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trlProps/ctrlProp7.xml" ContentType="application/vnd.ms-excel.controlproperties+xml"/>
  <Override PartName="/xl/ctrlProps/ctrlProp8.xml" ContentType="application/vnd.ms-excel.controlproperties+xml"/>
  <Override PartName="/xl/comments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defaultThemeVersion="124226"/>
  <mc:AlternateContent xmlns:mc="http://schemas.openxmlformats.org/markup-compatibility/2006">
    <mc:Choice Requires="x15">
      <x15ac:absPath xmlns:x15ac="http://schemas.microsoft.com/office/spreadsheetml/2010/11/ac" url="T:\B23672 - WMHA Term Contract\05 - Client PM's &amp; Secondments\11 - WNEP schemes PM (1082)\Fees\MS 6-7\"/>
    </mc:Choice>
  </mc:AlternateContent>
  <xr:revisionPtr revIDLastSave="0" documentId="13_ncr:1_{CC5F9B33-5147-44C6-9871-3FB42E61762F}" xr6:coauthVersionLast="41" xr6:coauthVersionMax="41" xr10:uidLastSave="{00000000-0000-0000-0000-000000000000}"/>
  <bookViews>
    <workbookView xWindow="-28920" yWindow="-120" windowWidth="29040" windowHeight="15840" firstSheet="2" activeTab="10" xr2:uid="{00000000-000D-0000-FFFF-FFFF00000000}"/>
  </bookViews>
  <sheets>
    <sheet name="Parameter Data" sheetId="131" state="veryHidden" r:id="rId1"/>
    <sheet name="Fringe Data" sheetId="94" state="hidden" r:id="rId2"/>
    <sheet name="Category Rates Data" sheetId="121" r:id="rId3"/>
    <sheet name="Currency Data" sheetId="140" state="hidden" r:id="rId4"/>
    <sheet name="IPCS Data" sheetId="122" state="hidden" r:id="rId5"/>
    <sheet name="PU List" sheetId="117" state="hidden" r:id="rId6"/>
    <sheet name="Overview" sheetId="137" r:id="rId7"/>
    <sheet name="1 Setup" sheetId="97" r:id="rId8"/>
    <sheet name="2 Staff List" sheetId="93" r:id="rId9"/>
    <sheet name="3a Staff Plan" sheetId="123" state="hidden" r:id="rId10"/>
    <sheet name="3b Activity Plan" sheetId="1" r:id="rId11"/>
    <sheet name="3c Plan Analysis" sheetId="130" state="hidden" r:id="rId12"/>
    <sheet name="4 Sign-off" sheetId="71" r:id="rId13"/>
    <sheet name="5  Control Accounts" sheetId="98" r:id="rId14"/>
    <sheet name="Change Log" sheetId="57" state="hidden" r:id="rId15"/>
    <sheet name="User Guide" sheetId="132" r:id="rId16"/>
    <sheet name="ImportRoot" sheetId="125" state="hidden" r:id="rId17"/>
    <sheet name="ImportControlAccount" sheetId="115" state="hidden" r:id="rId18"/>
    <sheet name="ImportReferenceData" sheetId="128" state="hidden" r:id="rId19"/>
    <sheet name="ImportOriginalBudget" sheetId="127" state="hidden" r:id="rId20"/>
    <sheet name="ImportTiming" sheetId="129" state="hidden" r:id="rId21"/>
    <sheet name="ImportForecast" sheetId="136" state="hidden" r:id="rId22"/>
    <sheet name="ImportChangeHeaders" sheetId="134" state="hidden" r:id="rId23"/>
    <sheet name="ImportChangeDetails" sheetId="135" state="hidden" r:id="rId24"/>
  </sheets>
  <externalReferences>
    <externalReference r:id="rId25"/>
  </externalReferences>
  <definedNames>
    <definedName name="___xlc_DefaultDisplayOption___" hidden="1">"caption"</definedName>
    <definedName name="___xlc_DisplayNullValues___" hidden="1">TRUE</definedName>
    <definedName name="___xlc_DisplayNullValuesAs___" hidden="1">0</definedName>
    <definedName name="___xlc_PromptForInsertOnDrill___" hidden="1">FALSE</definedName>
    <definedName name="___xlc_SuppressNULLSOnDrill___" hidden="1">FALSE</definedName>
    <definedName name="___xlc_SuppressZerosOnDrill___" hidden="1">TRUE</definedName>
    <definedName name="ChangeDropdown" localSheetId="3">OFFSET(#REF!,0,0,COUNTA(#REF!),1)</definedName>
    <definedName name="ChangeDropdown" localSheetId="23">OFFSET(#REF!,0,0,COUNTA(#REF!),1)</definedName>
    <definedName name="ChangeDropdown" localSheetId="22">OFFSET(#REF!,0,0,COUNTA(#REF!),1)</definedName>
    <definedName name="ChangeDropdown" localSheetId="6">OFFSET('[1]Change Log'!$BJ$26:$BJ$40,0,0,COUNTA('[1]Change Log'!$BJ$26:$BJ$40),1)</definedName>
    <definedName name="ChangeDropdown">OFFSET('Change Log'!$BQ$26:$BQ$40,0,0,COUNTA('Change Log'!$BQ$26:$BQ$40),1)</definedName>
    <definedName name="Country" localSheetId="3">'Currency Data'!#REF!</definedName>
    <definedName name="Country" localSheetId="23">#REF!</definedName>
    <definedName name="Country" localSheetId="22">#REF!</definedName>
    <definedName name="Country">'Fringe Data'!$F$8:$F$63</definedName>
    <definedName name="Currency" localSheetId="3">'Currency Data'!#REF!</definedName>
    <definedName name="Currency" localSheetId="23">#REF!</definedName>
    <definedName name="Currency" localSheetId="22">#REF!</definedName>
    <definedName name="Currency">'Fringe Data'!$G$8:$G$63</definedName>
    <definedName name="D126757F_8C22_4332_AE16_6A56D0626CD4_Summary_Chart_2_ChartType" hidden="1">1</definedName>
    <definedName name="D126757F_8C22_4332_AE16_6A56D0626CD4_Summary_Chart_2_distributionSingle" hidden="1">FALSE</definedName>
    <definedName name="D126757F_8C22_4332_AE16_6A56D0626CD4_Summary_Chart_2_HorAxisGridlines" hidden="1">FALSE</definedName>
    <definedName name="D126757F_8C22_4332_AE16_6A56D0626CD4_Summary_Chart_2_VerAxisGridlines" hidden="1">FALSE</definedName>
    <definedName name="FieldBurden" localSheetId="3">'Currency Data'!#REF!</definedName>
    <definedName name="FieldBurden" localSheetId="23">#REF!</definedName>
    <definedName name="FieldBurden" localSheetId="22">#REF!</definedName>
    <definedName name="FieldBurden">'Fringe Data'!$M$8:$M$63</definedName>
    <definedName name="GradeDescriptions" localSheetId="3">OFFSET(#REF!,0,#REF!,#REF!,1)</definedName>
    <definedName name="GradeDescriptions" localSheetId="23">OFFSET(#REF!,0,#REF!,#REF!,1)</definedName>
    <definedName name="GradeDescriptions" localSheetId="22">OFFSET(#REF!,0,#REF!,#REF!,1)</definedName>
    <definedName name="GradeDescriptions" localSheetId="6">OFFSET('[1]Category Rates Data'!$C$19:$C$63,0,'[1]Category Rates Data'!$B$2,'[1]Category Rates Data'!$D$2,1)</definedName>
    <definedName name="GradeDescriptions">OFFSET('Category Rates Data'!$C$19:$C$63,0,'Category Rates Data'!$B$2,'Category Rates Data'!$D$2,1)</definedName>
    <definedName name="GradeRates" localSheetId="3">OFFSET(#REF!,0,#REF!,#REF!,1)</definedName>
    <definedName name="GradeRates" localSheetId="23">OFFSET(#REF!,0,#REF!,#REF!,1)</definedName>
    <definedName name="GradeRates" localSheetId="22">OFFSET(#REF!,0,#REF!,#REF!,1)</definedName>
    <definedName name="GradeRates" localSheetId="6">OFFSET('[1]Category Rates Data'!$B$19:$B$63,0,'[1]Category Rates Data'!$B$2,'[1]Category Rates Data'!$D$2,1)</definedName>
    <definedName name="GradeRates">OFFSET('Category Rates Data'!$B$19:$B$63,0,'Category Rates Data'!$B$2,'Category Rates Data'!$D$2,1)</definedName>
    <definedName name="JobshopperBurden" localSheetId="3">'Currency Data'!#REF!</definedName>
    <definedName name="JobshopperBurden" localSheetId="23">#REF!</definedName>
    <definedName name="JobshopperBurden" localSheetId="22">#REF!</definedName>
    <definedName name="JobshopperBurden">'Fringe Data'!$L$8:$L$63</definedName>
    <definedName name="LBOBurden" localSheetId="3">'Currency Data'!#REF!</definedName>
    <definedName name="LBOBurden" localSheetId="23">#REF!</definedName>
    <definedName name="LBOBurden" localSheetId="22">#REF!</definedName>
    <definedName name="LBOBurden">'Fringe Data'!$N$8:$N$63</definedName>
    <definedName name="_xlnm.Print_Area" localSheetId="9">'3a Staff Plan'!$F$113:$DX$305</definedName>
    <definedName name="_xlnm.Print_Area" localSheetId="10">'3b Activity Plan'!$F$156:$FI$365</definedName>
    <definedName name="_xlnm.Print_Area" localSheetId="12">'4 Sign-off'!$C$95:$P$193</definedName>
    <definedName name="_xlnm.Print_Area" localSheetId="14">'Change Log'!$BW$15:$CH$40</definedName>
    <definedName name="_xlnm.Print_Area" localSheetId="15">'User Guide'!$B$2:$F$818</definedName>
    <definedName name="PrintProposal" localSheetId="3">'Currency Data'!PrintProposal</definedName>
    <definedName name="PrintProposal" localSheetId="23">#N/A</definedName>
    <definedName name="PrintProposal" localSheetId="22">ImportChangeHeaders!PrintProposal</definedName>
    <definedName name="PrintProposal" localSheetId="6">Overview!PrintProposal</definedName>
    <definedName name="PrintProposal">ImportChangeDetails!PrintProposal</definedName>
    <definedName name="Setup_Error_Log">#REF!</definedName>
    <definedName name="StaffBurden" localSheetId="3">'Currency Data'!#REF!</definedName>
    <definedName name="StaffBurden" localSheetId="23">#REF!</definedName>
    <definedName name="StaffBurden" localSheetId="22">#REF!</definedName>
    <definedName name="StaffBurden">'Fringe Data'!$K$8:$K$63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D213" i="123" l="1"/>
  <c r="AE213" i="123"/>
  <c r="AF213" i="123"/>
  <c r="AH213" i="123"/>
  <c r="AK213" i="123" s="1"/>
  <c r="AN213" i="123"/>
  <c r="CT213" i="123"/>
  <c r="CU213" i="123"/>
  <c r="CV213" i="123"/>
  <c r="DC213" i="123"/>
  <c r="DD213" i="123"/>
  <c r="DG213" i="123"/>
  <c r="AG213" i="123" s="1"/>
  <c r="AA213" i="123" s="1"/>
  <c r="DO213" i="123" a="1"/>
  <c r="DO213" i="123" s="1"/>
  <c r="DS213" i="123"/>
  <c r="CY304" i="123"/>
  <c r="CR363" i="1"/>
  <c r="CR364" i="1"/>
  <c r="AE209" i="1"/>
  <c r="CU209" i="1" s="1"/>
  <c r="AF209" i="1"/>
  <c r="AG209" i="1"/>
  <c r="AI209" i="1"/>
  <c r="CR209" i="1" s="1"/>
  <c r="CS209" i="1"/>
  <c r="CV209" i="1"/>
  <c r="FL209" i="1"/>
  <c r="FR209" i="1"/>
  <c r="FV209" i="1"/>
  <c r="FW209" i="1"/>
  <c r="FX209" i="1"/>
  <c r="GA209" i="1" a="1"/>
  <c r="GA209" i="1"/>
  <c r="CQ213" i="123" l="1"/>
  <c r="CL213" i="123"/>
  <c r="BV213" i="123"/>
  <c r="BF213" i="123"/>
  <c r="BP213" i="123"/>
  <c r="BK213" i="123"/>
  <c r="CI213" i="123"/>
  <c r="BN213" i="123"/>
  <c r="BC213" i="123"/>
  <c r="CN213" i="123"/>
  <c r="BS213" i="123"/>
  <c r="BH213" i="123"/>
  <c r="AJ213" i="123"/>
  <c r="CP213" i="123"/>
  <c r="CJ213" i="123"/>
  <c r="BT213" i="123"/>
  <c r="BO213" i="123"/>
  <c r="BJ213" i="123"/>
  <c r="BD213" i="123"/>
  <c r="AM213" i="123"/>
  <c r="CM213" i="123"/>
  <c r="CH213" i="123"/>
  <c r="BR213" i="123"/>
  <c r="BL213" i="123"/>
  <c r="BG213" i="123"/>
  <c r="AP213" i="123"/>
  <c r="AI213" i="123"/>
  <c r="DB213" i="123"/>
  <c r="CZ213" i="123"/>
  <c r="BW213" i="123"/>
  <c r="T213" i="123" s="1"/>
  <c r="AR213" i="123"/>
  <c r="U213" i="123" s="1"/>
  <c r="CY213" i="123"/>
  <c r="DA213" i="123"/>
  <c r="CW213" i="123"/>
  <c r="CO213" i="123"/>
  <c r="CK213" i="123"/>
  <c r="BU213" i="123"/>
  <c r="BQ213" i="123"/>
  <c r="BM213" i="123"/>
  <c r="BI213" i="123"/>
  <c r="BE213" i="123"/>
  <c r="CT209" i="1"/>
  <c r="CP209" i="1"/>
  <c r="AH209" i="1"/>
  <c r="CW209" i="1"/>
  <c r="CO209" i="1"/>
  <c r="R213" i="123" l="1"/>
  <c r="V213" i="123"/>
  <c r="EA213" i="123"/>
  <c r="E50" i="93" l="1"/>
  <c r="E51" i="93"/>
  <c r="E52" i="93"/>
  <c r="E53" i="93"/>
  <c r="E54" i="93"/>
  <c r="E55" i="93"/>
  <c r="D50" i="93"/>
  <c r="D51" i="93"/>
  <c r="D52" i="93"/>
  <c r="D53" i="93"/>
  <c r="D54" i="93"/>
  <c r="D55" i="93"/>
  <c r="I50" i="93"/>
  <c r="I51" i="93"/>
  <c r="I53" i="93"/>
  <c r="I54" i="93"/>
  <c r="I55" i="93"/>
  <c r="H50" i="93"/>
  <c r="H51" i="93"/>
  <c r="H53" i="93"/>
  <c r="H54" i="93"/>
  <c r="H55" i="93"/>
  <c r="FX4" i="98" l="1"/>
  <c r="FX3" i="98"/>
  <c r="AD221" i="123" l="1"/>
  <c r="AE221" i="123"/>
  <c r="AF221" i="123"/>
  <c r="AH221" i="123"/>
  <c r="AI221" i="123" s="1"/>
  <c r="AN221" i="123"/>
  <c r="CT221" i="123"/>
  <c r="DB221" i="123"/>
  <c r="DC221" i="123"/>
  <c r="DG221" i="123"/>
  <c r="DO221" i="123" a="1"/>
  <c r="DO221" i="123"/>
  <c r="DS221" i="123"/>
  <c r="AD218" i="123"/>
  <c r="AE218" i="123"/>
  <c r="AF218" i="123"/>
  <c r="AH218" i="123"/>
  <c r="AI218" i="123" s="1"/>
  <c r="AN218" i="123"/>
  <c r="AR218" i="123"/>
  <c r="BW218" i="123"/>
  <c r="CT218" i="123"/>
  <c r="CV218" i="123"/>
  <c r="CW218" i="123"/>
  <c r="CZ218" i="123"/>
  <c r="DA218" i="123"/>
  <c r="DB218" i="123"/>
  <c r="DC218" i="123"/>
  <c r="DD218" i="123"/>
  <c r="DG218" i="123"/>
  <c r="DO218" i="123" a="1"/>
  <c r="DO218" i="123" s="1"/>
  <c r="DS218" i="123"/>
  <c r="AD219" i="123"/>
  <c r="CW219" i="123" s="1"/>
  <c r="AE219" i="123"/>
  <c r="AF219" i="123"/>
  <c r="AH219" i="123"/>
  <c r="BI219" i="123" s="1"/>
  <c r="AN219" i="123"/>
  <c r="CT219" i="123"/>
  <c r="DA219" i="123"/>
  <c r="DC219" i="123"/>
  <c r="DG219" i="123"/>
  <c r="CY219" i="123" s="1"/>
  <c r="DO219" i="123" a="1"/>
  <c r="DO219" i="123"/>
  <c r="DS219" i="123"/>
  <c r="AD220" i="123"/>
  <c r="AE220" i="123"/>
  <c r="AF220" i="123"/>
  <c r="AH220" i="123"/>
  <c r="BF220" i="123" s="1"/>
  <c r="AN220" i="123"/>
  <c r="BW220" i="123"/>
  <c r="CT220" i="123"/>
  <c r="DC220" i="123"/>
  <c r="DG220" i="123"/>
  <c r="DO220" i="123" a="1"/>
  <c r="DO220" i="123"/>
  <c r="DS220" i="123"/>
  <c r="AD222" i="123"/>
  <c r="BW222" i="123" s="1"/>
  <c r="AE222" i="123"/>
  <c r="AF222" i="123"/>
  <c r="AH222" i="123"/>
  <c r="AK222" i="123" s="1"/>
  <c r="AN222" i="123"/>
  <c r="AR222" i="123"/>
  <c r="CT222" i="123"/>
  <c r="DA222" i="123"/>
  <c r="DC222" i="123"/>
  <c r="DD222" i="123"/>
  <c r="DG222" i="123"/>
  <c r="DO222" i="123" a="1"/>
  <c r="DO222" i="123" s="1"/>
  <c r="DS222" i="123"/>
  <c r="AD217" i="123"/>
  <c r="AE217" i="123"/>
  <c r="AF217" i="123"/>
  <c r="AH217" i="123"/>
  <c r="AK217" i="123" s="1"/>
  <c r="AN217" i="123"/>
  <c r="CT217" i="123"/>
  <c r="DB217" i="123"/>
  <c r="DC217" i="123"/>
  <c r="DG217" i="123"/>
  <c r="DO217" i="123" a="1"/>
  <c r="DO217" i="123" s="1"/>
  <c r="DS217" i="123"/>
  <c r="AD223" i="123"/>
  <c r="DA223" i="123" s="1"/>
  <c r="AE223" i="123"/>
  <c r="AF223" i="123"/>
  <c r="AH223" i="123"/>
  <c r="AK223" i="123" s="1"/>
  <c r="AN223" i="123"/>
  <c r="CT223" i="123"/>
  <c r="DC223" i="123"/>
  <c r="DG223" i="123"/>
  <c r="DO223" i="123" a="1"/>
  <c r="DO223" i="123"/>
  <c r="DS223" i="123"/>
  <c r="BL218" i="123" l="1"/>
  <c r="AJ223" i="123"/>
  <c r="CH218" i="123"/>
  <c r="AG218" i="123"/>
  <c r="AA218" i="123" s="1"/>
  <c r="CY218" i="123"/>
  <c r="AG219" i="123"/>
  <c r="AG223" i="123"/>
  <c r="AA223" i="123" s="1"/>
  <c r="CY223" i="123"/>
  <c r="AG217" i="123"/>
  <c r="AA217" i="123" s="1"/>
  <c r="CY217" i="123"/>
  <c r="AG222" i="123"/>
  <c r="AA222" i="123" s="1"/>
  <c r="CY222" i="123"/>
  <c r="CZ222" i="123"/>
  <c r="AG220" i="123"/>
  <c r="CY220" i="123"/>
  <c r="AG221" i="123"/>
  <c r="CY221" i="123"/>
  <c r="CJ223" i="123"/>
  <c r="BS222" i="123"/>
  <c r="BE219" i="123"/>
  <c r="BH222" i="123"/>
  <c r="CL219" i="123"/>
  <c r="BN222" i="123"/>
  <c r="BT223" i="123"/>
  <c r="CM222" i="123"/>
  <c r="BU219" i="123"/>
  <c r="CP218" i="123"/>
  <c r="BH218" i="123"/>
  <c r="CK219" i="123"/>
  <c r="BN219" i="123"/>
  <c r="AP219" i="123"/>
  <c r="BJ223" i="123"/>
  <c r="CH219" i="123"/>
  <c r="BM219" i="123"/>
  <c r="CN218" i="123"/>
  <c r="BT218" i="123"/>
  <c r="BD218" i="123"/>
  <c r="CH222" i="123"/>
  <c r="BC222" i="123"/>
  <c r="CP219" i="123"/>
  <c r="BV219" i="123"/>
  <c r="BJ219" i="123"/>
  <c r="AK219" i="123"/>
  <c r="CL218" i="123"/>
  <c r="BP218" i="123"/>
  <c r="CV217" i="123"/>
  <c r="DD217" i="123"/>
  <c r="CW222" i="123"/>
  <c r="CZ223" i="123"/>
  <c r="DB222" i="123"/>
  <c r="CV222" i="123"/>
  <c r="AA219" i="123"/>
  <c r="BU221" i="123"/>
  <c r="BI221" i="123"/>
  <c r="AK221" i="123"/>
  <c r="DD221" i="123"/>
  <c r="CZ221" i="123"/>
  <c r="CV221" i="123"/>
  <c r="CN221" i="123"/>
  <c r="CJ221" i="123"/>
  <c r="BT221" i="123"/>
  <c r="BP221" i="123"/>
  <c r="BL221" i="123"/>
  <c r="BH221" i="123"/>
  <c r="BD221" i="123"/>
  <c r="AR221" i="123"/>
  <c r="U221" i="123" s="1"/>
  <c r="AJ221" i="123"/>
  <c r="AA221" i="123"/>
  <c r="CP221" i="123"/>
  <c r="CL221" i="123"/>
  <c r="CH221" i="123"/>
  <c r="BV221" i="123"/>
  <c r="BR221" i="123"/>
  <c r="BN221" i="123"/>
  <c r="BJ221" i="123"/>
  <c r="BF221" i="123"/>
  <c r="AP221" i="123"/>
  <c r="DA221" i="123"/>
  <c r="CW221" i="123"/>
  <c r="CO221" i="123"/>
  <c r="CK221" i="123"/>
  <c r="BQ221" i="123"/>
  <c r="BM221" i="123"/>
  <c r="BE221" i="123"/>
  <c r="CQ221" i="123"/>
  <c r="CM221" i="123"/>
  <c r="CI221" i="123"/>
  <c r="BW221" i="123"/>
  <c r="T221" i="123" s="1"/>
  <c r="BS221" i="123"/>
  <c r="BO221" i="123"/>
  <c r="BK221" i="123"/>
  <c r="BG221" i="123"/>
  <c r="BC221" i="123"/>
  <c r="AM221" i="123"/>
  <c r="CQ222" i="123"/>
  <c r="BL222" i="123"/>
  <c r="AM222" i="123"/>
  <c r="BG220" i="123"/>
  <c r="BH223" i="123"/>
  <c r="CN222" i="123"/>
  <c r="CI222" i="123"/>
  <c r="BT222" i="123"/>
  <c r="BO222" i="123"/>
  <c r="BJ222" i="123"/>
  <c r="BD222" i="123"/>
  <c r="AI222" i="123"/>
  <c r="U222" i="123"/>
  <c r="CQ220" i="123"/>
  <c r="CI220" i="123"/>
  <c r="BS220" i="123"/>
  <c r="BK220" i="123"/>
  <c r="BC220" i="123"/>
  <c r="AM220" i="123"/>
  <c r="BR219" i="123"/>
  <c r="BF219" i="123"/>
  <c r="CO218" i="123"/>
  <c r="CK218" i="123"/>
  <c r="BS218" i="123"/>
  <c r="BO218" i="123"/>
  <c r="BK218" i="123"/>
  <c r="BG218" i="123"/>
  <c r="BC218" i="123"/>
  <c r="CP220" i="123"/>
  <c r="CH220" i="123"/>
  <c r="BR220" i="123"/>
  <c r="BJ220" i="123"/>
  <c r="AP220" i="123"/>
  <c r="AI220" i="123"/>
  <c r="CJ218" i="123"/>
  <c r="BV218" i="123"/>
  <c r="BR218" i="123"/>
  <c r="BN218" i="123"/>
  <c r="BJ218" i="123"/>
  <c r="BF218" i="123"/>
  <c r="AK218" i="123"/>
  <c r="CQ218" i="123"/>
  <c r="CM218" i="123"/>
  <c r="CI218" i="123"/>
  <c r="BU218" i="123"/>
  <c r="BQ218" i="123"/>
  <c r="BM218" i="123"/>
  <c r="BI218" i="123"/>
  <c r="BE218" i="123"/>
  <c r="AP218" i="123"/>
  <c r="AJ218" i="123"/>
  <c r="CL222" i="123"/>
  <c r="BR222" i="123"/>
  <c r="BG222" i="123"/>
  <c r="CM220" i="123"/>
  <c r="BO220" i="123"/>
  <c r="CP222" i="123"/>
  <c r="CJ222" i="123"/>
  <c r="BV222" i="123"/>
  <c r="BP222" i="123"/>
  <c r="BK222" i="123"/>
  <c r="BF222" i="123"/>
  <c r="AP222" i="123"/>
  <c r="AJ222" i="123"/>
  <c r="CL220" i="123"/>
  <c r="BV220" i="123"/>
  <c r="BN220" i="123"/>
  <c r="CV223" i="123"/>
  <c r="T220" i="123"/>
  <c r="CW220" i="123"/>
  <c r="DA220" i="123"/>
  <c r="AR220" i="123"/>
  <c r="U220" i="123" s="1"/>
  <c r="CV220" i="123"/>
  <c r="CZ220" i="123"/>
  <c r="DD220" i="123"/>
  <c r="DB223" i="123"/>
  <c r="AK220" i="123"/>
  <c r="BE220" i="123"/>
  <c r="BI220" i="123"/>
  <c r="BM220" i="123"/>
  <c r="BQ220" i="123"/>
  <c r="BU220" i="123"/>
  <c r="CK220" i="123"/>
  <c r="CO220" i="123"/>
  <c r="AJ220" i="123"/>
  <c r="BD220" i="123"/>
  <c r="BH220" i="123"/>
  <c r="BL220" i="123"/>
  <c r="BP220" i="123"/>
  <c r="BT220" i="123"/>
  <c r="CJ220" i="123"/>
  <c r="CN220" i="123"/>
  <c r="DB219" i="123"/>
  <c r="CO219" i="123"/>
  <c r="BQ219" i="123"/>
  <c r="T218" i="123"/>
  <c r="DD223" i="123"/>
  <c r="CW223" i="123"/>
  <c r="BW223" i="123"/>
  <c r="AR223" i="123"/>
  <c r="CZ217" i="123"/>
  <c r="DB220" i="123"/>
  <c r="AA220" i="123"/>
  <c r="AJ219" i="123"/>
  <c r="BD219" i="123"/>
  <c r="BH219" i="123"/>
  <c r="BL219" i="123"/>
  <c r="BP219" i="123"/>
  <c r="BT219" i="123"/>
  <c r="CJ219" i="123"/>
  <c r="CN219" i="123"/>
  <c r="AI219" i="123"/>
  <c r="AM219" i="123"/>
  <c r="BC219" i="123"/>
  <c r="BG219" i="123"/>
  <c r="BK219" i="123"/>
  <c r="BO219" i="123"/>
  <c r="BS219" i="123"/>
  <c r="CI219" i="123"/>
  <c r="CM219" i="123"/>
  <c r="CQ219" i="123"/>
  <c r="AR219" i="123"/>
  <c r="U219" i="123" s="1"/>
  <c r="CV219" i="123"/>
  <c r="CZ219" i="123"/>
  <c r="DD219" i="123"/>
  <c r="BW219" i="123"/>
  <c r="T219" i="123" s="1"/>
  <c r="CO222" i="123"/>
  <c r="CK222" i="123"/>
  <c r="BU222" i="123"/>
  <c r="BQ222" i="123"/>
  <c r="BM222" i="123"/>
  <c r="BI222" i="123"/>
  <c r="BE222" i="123"/>
  <c r="T222" i="123"/>
  <c r="U218" i="123"/>
  <c r="AM218" i="123"/>
  <c r="CL223" i="123"/>
  <c r="BR223" i="123"/>
  <c r="CP223" i="123"/>
  <c r="CH223" i="123"/>
  <c r="BP223" i="123"/>
  <c r="BD223" i="123"/>
  <c r="CN223" i="123"/>
  <c r="BL223" i="123"/>
  <c r="BV223" i="123"/>
  <c r="BN223" i="123"/>
  <c r="BF223" i="123"/>
  <c r="AM223" i="123"/>
  <c r="CO223" i="123"/>
  <c r="CK223" i="123"/>
  <c r="BS223" i="123"/>
  <c r="BO223" i="123"/>
  <c r="BK223" i="123"/>
  <c r="BG223" i="123"/>
  <c r="BC223" i="123"/>
  <c r="AI223" i="123"/>
  <c r="AM217" i="123"/>
  <c r="CQ223" i="123"/>
  <c r="CM223" i="123"/>
  <c r="CI223" i="123"/>
  <c r="BU223" i="123"/>
  <c r="BQ223" i="123"/>
  <c r="BM223" i="123"/>
  <c r="BI223" i="123"/>
  <c r="BE223" i="123"/>
  <c r="AP223" i="123"/>
  <c r="DA217" i="123"/>
  <c r="CW217" i="123"/>
  <c r="U223" i="123" l="1"/>
  <c r="T223" i="123"/>
  <c r="R218" i="123"/>
  <c r="V223" i="123"/>
  <c r="V221" i="123"/>
  <c r="EA221" i="123"/>
  <c r="R221" i="123"/>
  <c r="EA223" i="123"/>
  <c r="EA220" i="123"/>
  <c r="R220" i="123"/>
  <c r="V219" i="123"/>
  <c r="EA219" i="123"/>
  <c r="R219" i="123"/>
  <c r="V220" i="123"/>
  <c r="R222" i="123"/>
  <c r="V222" i="123"/>
  <c r="EA222" i="123"/>
  <c r="V218" i="123"/>
  <c r="EA218" i="123"/>
  <c r="R223" i="123"/>
  <c r="AE219" i="1"/>
  <c r="CO219" i="1" s="1"/>
  <c r="AF219" i="1"/>
  <c r="AG219" i="1"/>
  <c r="AI219" i="1"/>
  <c r="CS219" i="1"/>
  <c r="CV219" i="1"/>
  <c r="FL219" i="1"/>
  <c r="FR219" i="1"/>
  <c r="FV219" i="1"/>
  <c r="FW219" i="1"/>
  <c r="FX219" i="1"/>
  <c r="GA219" i="1" a="1"/>
  <c r="GA219" i="1" s="1"/>
  <c r="AE217" i="1"/>
  <c r="CO217" i="1" s="1"/>
  <c r="AF217" i="1"/>
  <c r="AG217" i="1"/>
  <c r="AI217" i="1"/>
  <c r="CS217" i="1"/>
  <c r="CT217" i="1"/>
  <c r="CV217" i="1"/>
  <c r="FL217" i="1"/>
  <c r="FR217" i="1"/>
  <c r="FV217" i="1"/>
  <c r="FW217" i="1"/>
  <c r="FX217" i="1"/>
  <c r="GA217" i="1" a="1"/>
  <c r="GA217" i="1" s="1"/>
  <c r="AE214" i="1"/>
  <c r="CO214" i="1" s="1"/>
  <c r="AF214" i="1"/>
  <c r="AG214" i="1"/>
  <c r="AI214" i="1"/>
  <c r="CP214" i="1"/>
  <c r="CS214" i="1"/>
  <c r="CV214" i="1"/>
  <c r="FL214" i="1"/>
  <c r="FR214" i="1"/>
  <c r="FV214" i="1"/>
  <c r="FW214" i="1"/>
  <c r="FX214" i="1"/>
  <c r="GA214" i="1" a="1"/>
  <c r="GA214" i="1"/>
  <c r="AE212" i="1"/>
  <c r="CO212" i="1" s="1"/>
  <c r="AF212" i="1"/>
  <c r="AG212" i="1"/>
  <c r="AI212" i="1"/>
  <c r="CS212" i="1"/>
  <c r="CV212" i="1"/>
  <c r="FL212" i="1"/>
  <c r="FR212" i="1"/>
  <c r="FV212" i="1"/>
  <c r="FW212" i="1"/>
  <c r="FX212" i="1"/>
  <c r="GA212" i="1" a="1"/>
  <c r="GA212" i="1"/>
  <c r="AE210" i="1"/>
  <c r="CW210" i="1" s="1"/>
  <c r="AF210" i="1"/>
  <c r="AG210" i="1"/>
  <c r="AI210" i="1"/>
  <c r="CO210" i="1"/>
  <c r="CS210" i="1"/>
  <c r="CV210" i="1"/>
  <c r="FL210" i="1"/>
  <c r="FR210" i="1"/>
  <c r="FV210" i="1"/>
  <c r="FW210" i="1"/>
  <c r="FX210" i="1"/>
  <c r="GA210" i="1" a="1"/>
  <c r="GA210" i="1" s="1"/>
  <c r="AE216" i="1"/>
  <c r="CT216" i="1" s="1"/>
  <c r="AF216" i="1"/>
  <c r="AG216" i="1"/>
  <c r="AI216" i="1"/>
  <c r="CS216" i="1"/>
  <c r="CV216" i="1"/>
  <c r="FL216" i="1"/>
  <c r="FR216" i="1"/>
  <c r="FV216" i="1"/>
  <c r="FW216" i="1"/>
  <c r="FX216" i="1"/>
  <c r="GA216" i="1" a="1"/>
  <c r="GA216" i="1"/>
  <c r="AE218" i="1"/>
  <c r="CT218" i="1" s="1"/>
  <c r="AF218" i="1"/>
  <c r="AG218" i="1"/>
  <c r="AI218" i="1"/>
  <c r="CS218" i="1"/>
  <c r="CV218" i="1"/>
  <c r="FL218" i="1"/>
  <c r="FR218" i="1"/>
  <c r="FV218" i="1"/>
  <c r="FW218" i="1"/>
  <c r="FX218" i="1"/>
  <c r="GA218" i="1" a="1"/>
  <c r="GA218" i="1" s="1"/>
  <c r="AH218" i="1" l="1"/>
  <c r="CR218" i="1"/>
  <c r="CU210" i="1"/>
  <c r="AH217" i="1"/>
  <c r="CR217" i="1"/>
  <c r="AH219" i="1"/>
  <c r="CR219" i="1"/>
  <c r="AH216" i="1"/>
  <c r="CR216" i="1"/>
  <c r="AH212" i="1"/>
  <c r="CR212" i="1"/>
  <c r="AH210" i="1"/>
  <c r="CR210" i="1"/>
  <c r="CT212" i="1"/>
  <c r="AH214" i="1"/>
  <c r="CR214" i="1"/>
  <c r="CT214" i="1"/>
  <c r="CW216" i="1"/>
  <c r="CW214" i="1"/>
  <c r="CU214" i="1"/>
  <c r="CU219" i="1"/>
  <c r="CW219" i="1"/>
  <c r="CT219" i="1"/>
  <c r="CP219" i="1"/>
  <c r="CW212" i="1"/>
  <c r="CW217" i="1"/>
  <c r="CW218" i="1"/>
  <c r="CP212" i="1"/>
  <c r="CP217" i="1"/>
  <c r="CU212" i="1"/>
  <c r="CU217" i="1"/>
  <c r="CP218" i="1"/>
  <c r="CP216" i="1"/>
  <c r="CT210" i="1"/>
  <c r="CU218" i="1"/>
  <c r="CO218" i="1"/>
  <c r="CU216" i="1"/>
  <c r="CO216" i="1"/>
  <c r="CP210" i="1"/>
  <c r="M4" i="136"/>
  <c r="T5" i="136" l="1"/>
  <c r="T5" i="127"/>
  <c r="W5" i="117" l="1"/>
  <c r="AG304" i="123" l="1"/>
  <c r="LS60" i="93" l="1"/>
  <c r="H283" i="117" l="1"/>
  <c r="I283" i="117"/>
  <c r="L283" i="117"/>
  <c r="H284" i="117"/>
  <c r="I284" i="117"/>
  <c r="L284" i="117"/>
  <c r="H33" i="94" l="1"/>
  <c r="L392" i="117" l="1"/>
  <c r="L393" i="117"/>
  <c r="L394" i="117"/>
  <c r="H393" i="117"/>
  <c r="I393" i="117"/>
  <c r="H394" i="117"/>
  <c r="I394" i="117"/>
  <c r="H395" i="117"/>
  <c r="I395" i="117"/>
  <c r="CZ119" i="130" l="1"/>
  <c r="CZ120" i="130"/>
  <c r="CZ121" i="130"/>
  <c r="CZ122" i="130"/>
  <c r="CZ123" i="130"/>
  <c r="CZ124" i="130"/>
  <c r="CZ56" i="130"/>
  <c r="CZ57" i="130"/>
  <c r="CZ58" i="130"/>
  <c r="CZ59" i="130"/>
  <c r="CZ60" i="130"/>
  <c r="CZ61" i="130"/>
  <c r="H21" i="94" l="1"/>
  <c r="L374" i="117" l="1"/>
  <c r="H374" i="117"/>
  <c r="I374" i="117"/>
  <c r="H375" i="117"/>
  <c r="I375" i="117"/>
  <c r="L36" i="117" l="1"/>
  <c r="I36" i="117"/>
  <c r="H36" i="117"/>
  <c r="L37" i="117"/>
  <c r="H37" i="117"/>
  <c r="I37" i="117"/>
  <c r="I40" i="93" l="1"/>
  <c r="E40" i="93"/>
  <c r="I37" i="93"/>
  <c r="H37" i="93"/>
  <c r="E37" i="93"/>
  <c r="D37" i="93"/>
  <c r="AC9" i="122" l="1"/>
  <c r="AC10" i="122"/>
  <c r="AC11" i="122"/>
  <c r="AC12" i="122"/>
  <c r="AC13" i="122"/>
  <c r="AC14" i="122"/>
  <c r="AC15" i="122"/>
  <c r="AC16" i="122"/>
  <c r="AC17" i="122"/>
  <c r="AC18" i="122"/>
  <c r="AC19" i="122"/>
  <c r="AC20" i="122"/>
  <c r="AC21" i="122"/>
  <c r="AC22" i="122"/>
  <c r="AC23" i="122"/>
  <c r="AC24" i="122"/>
  <c r="AC25" i="122"/>
  <c r="AC26" i="122"/>
  <c r="AC27" i="122"/>
  <c r="AC28" i="122"/>
  <c r="AC29" i="122"/>
  <c r="AC30" i="122"/>
  <c r="AC31" i="122"/>
  <c r="AC32" i="122"/>
  <c r="AC33" i="122"/>
  <c r="AC34" i="122"/>
  <c r="AC35" i="122"/>
  <c r="AC36" i="122"/>
  <c r="AC37" i="122"/>
  <c r="AC38" i="122"/>
  <c r="AC39" i="122"/>
  <c r="AC40" i="122"/>
  <c r="AC41" i="122"/>
  <c r="AC42" i="122"/>
  <c r="AC43" i="122"/>
  <c r="AC44" i="122"/>
  <c r="AC45" i="122"/>
  <c r="AC46" i="122"/>
  <c r="AC47" i="122"/>
  <c r="AC48" i="122"/>
  <c r="AC49" i="122"/>
  <c r="AC50" i="122"/>
  <c r="AC51" i="122"/>
  <c r="AC52" i="122"/>
  <c r="AC53" i="122"/>
  <c r="AC54" i="122"/>
  <c r="AC55" i="122"/>
  <c r="AC56" i="122"/>
  <c r="AC57" i="122"/>
  <c r="AC58" i="122"/>
  <c r="AC59" i="122"/>
  <c r="AC60" i="122"/>
  <c r="AC61" i="122"/>
  <c r="AC62" i="122"/>
  <c r="AC63" i="122"/>
  <c r="AC64" i="122"/>
  <c r="AC65" i="122"/>
  <c r="AC66" i="122"/>
  <c r="AC67" i="122"/>
  <c r="AC68" i="122"/>
  <c r="AC69" i="122"/>
  <c r="AC70" i="122"/>
  <c r="AC71" i="122"/>
  <c r="AC72" i="122"/>
  <c r="AC73" i="122"/>
  <c r="AC74" i="122"/>
  <c r="AC75" i="122"/>
  <c r="AC76" i="122"/>
  <c r="AC77" i="122"/>
  <c r="AC78" i="122"/>
  <c r="AC79" i="122"/>
  <c r="AC80" i="122"/>
  <c r="AC8" i="122"/>
  <c r="AC7" i="122"/>
  <c r="H175" i="117"/>
  <c r="I175" i="117"/>
  <c r="H9" i="94"/>
  <c r="U141" i="71" l="1"/>
  <c r="E52" i="128"/>
  <c r="D52" i="128" l="1"/>
  <c r="L4" i="127"/>
  <c r="U4" i="127" s="1"/>
  <c r="C4" i="123"/>
  <c r="C5" i="1"/>
  <c r="L395" i="117" l="1"/>
  <c r="L396" i="117"/>
  <c r="L391" i="117"/>
  <c r="L390" i="117"/>
  <c r="L389" i="117"/>
  <c r="L387" i="117"/>
  <c r="L386" i="117"/>
  <c r="L385" i="117"/>
  <c r="L377" i="117"/>
  <c r="L378" i="117"/>
  <c r="L379" i="117"/>
  <c r="L380" i="117"/>
  <c r="L381" i="117"/>
  <c r="L382" i="117"/>
  <c r="L383" i="117"/>
  <c r="L376" i="117"/>
  <c r="L375" i="117"/>
  <c r="L373" i="117"/>
  <c r="L372" i="117"/>
  <c r="L371" i="117"/>
  <c r="L370" i="117"/>
  <c r="L365" i="117"/>
  <c r="L366" i="117"/>
  <c r="L367" i="117"/>
  <c r="L368" i="117"/>
  <c r="L364" i="117"/>
  <c r="L363" i="117"/>
  <c r="L362" i="117"/>
  <c r="L340" i="117"/>
  <c r="L341" i="117"/>
  <c r="L342" i="117"/>
  <c r="L343" i="117"/>
  <c r="L344" i="117"/>
  <c r="L345" i="117"/>
  <c r="L346" i="117"/>
  <c r="L347" i="117"/>
  <c r="L348" i="117"/>
  <c r="L349" i="117"/>
  <c r="L350" i="117"/>
  <c r="L351" i="117"/>
  <c r="L352" i="117"/>
  <c r="L353" i="117"/>
  <c r="L354" i="117"/>
  <c r="L355" i="117"/>
  <c r="L356" i="117"/>
  <c r="L357" i="117"/>
  <c r="L358" i="117"/>
  <c r="L359" i="117"/>
  <c r="L360" i="117"/>
  <c r="L339" i="117"/>
  <c r="L338" i="117"/>
  <c r="L337" i="117"/>
  <c r="L336" i="117"/>
  <c r="L335" i="117"/>
  <c r="L334" i="117"/>
  <c r="L333" i="117"/>
  <c r="L329" i="117"/>
  <c r="L330" i="117"/>
  <c r="L331" i="117"/>
  <c r="L328" i="117"/>
  <c r="L327" i="117"/>
  <c r="L326" i="117"/>
  <c r="L325" i="117"/>
  <c r="L323" i="117"/>
  <c r="L322" i="117"/>
  <c r="L321" i="117"/>
  <c r="L320" i="117"/>
  <c r="L315" i="117"/>
  <c r="L316" i="117"/>
  <c r="L317" i="117"/>
  <c r="L318" i="117"/>
  <c r="L314" i="117"/>
  <c r="L313" i="117"/>
  <c r="L312" i="117"/>
  <c r="L311" i="117"/>
  <c r="L310" i="117"/>
  <c r="L289" i="117"/>
  <c r="L290" i="117"/>
  <c r="L291" i="117"/>
  <c r="L292" i="117"/>
  <c r="L293" i="117"/>
  <c r="L294" i="117"/>
  <c r="L295" i="117"/>
  <c r="L296" i="117"/>
  <c r="L297" i="117"/>
  <c r="L298" i="117"/>
  <c r="L299" i="117"/>
  <c r="L300" i="117"/>
  <c r="L301" i="117"/>
  <c r="L302" i="117"/>
  <c r="L303" i="117"/>
  <c r="L304" i="117"/>
  <c r="L305" i="117"/>
  <c r="L306" i="117"/>
  <c r="L307" i="117"/>
  <c r="L308" i="117"/>
  <c r="L288" i="117"/>
  <c r="L287" i="117"/>
  <c r="L286" i="117"/>
  <c r="L258" i="117"/>
  <c r="L259" i="117"/>
  <c r="L263" i="117"/>
  <c r="L264" i="117"/>
  <c r="L265" i="117"/>
  <c r="L266" i="117"/>
  <c r="L267" i="117"/>
  <c r="L268" i="117"/>
  <c r="L269" i="117"/>
  <c r="L270" i="117"/>
  <c r="L271" i="117"/>
  <c r="L272" i="117"/>
  <c r="L273" i="117"/>
  <c r="L274" i="117"/>
  <c r="L275" i="117"/>
  <c r="L276" i="117"/>
  <c r="L277" i="117"/>
  <c r="L260" i="117"/>
  <c r="L261" i="117"/>
  <c r="L262" i="117"/>
  <c r="L278" i="117"/>
  <c r="L279" i="117"/>
  <c r="L280" i="117"/>
  <c r="L281" i="117"/>
  <c r="L282" i="117"/>
  <c r="L257" i="117"/>
  <c r="L256" i="117"/>
  <c r="L254" i="117"/>
  <c r="L253" i="117"/>
  <c r="L245" i="117"/>
  <c r="L246" i="117"/>
  <c r="L247" i="117"/>
  <c r="L248" i="117"/>
  <c r="L249" i="117"/>
  <c r="L250" i="117"/>
  <c r="L251" i="117"/>
  <c r="L244" i="117"/>
  <c r="L243" i="117"/>
  <c r="L242" i="117"/>
  <c r="L241" i="117"/>
  <c r="L240" i="117"/>
  <c r="L235" i="117"/>
  <c r="L236" i="117"/>
  <c r="L237" i="117"/>
  <c r="L238" i="117"/>
  <c r="L234" i="117"/>
  <c r="L233" i="117"/>
  <c r="L232" i="117"/>
  <c r="L231" i="117"/>
  <c r="L230" i="117"/>
  <c r="L229" i="117"/>
  <c r="L228" i="117"/>
  <c r="L227" i="117"/>
  <c r="L222" i="117"/>
  <c r="L223" i="117"/>
  <c r="L224" i="117"/>
  <c r="L225" i="117"/>
  <c r="L221" i="117"/>
  <c r="L220" i="117"/>
  <c r="L219" i="117"/>
  <c r="L218" i="117"/>
  <c r="L216" i="117"/>
  <c r="L215" i="117"/>
  <c r="L214" i="117"/>
  <c r="L213" i="117"/>
  <c r="L205" i="117"/>
  <c r="L206" i="117"/>
  <c r="L207" i="117"/>
  <c r="L208" i="117"/>
  <c r="L209" i="117"/>
  <c r="L210" i="117"/>
  <c r="L211" i="117"/>
  <c r="L204" i="117"/>
  <c r="L203" i="117"/>
  <c r="L202" i="117"/>
  <c r="L201" i="117"/>
  <c r="L200" i="117"/>
  <c r="L199" i="117"/>
  <c r="L198" i="117"/>
  <c r="L196" i="117"/>
  <c r="L195" i="117"/>
  <c r="L194" i="117"/>
  <c r="L193" i="117"/>
  <c r="L192" i="117"/>
  <c r="L191" i="117"/>
  <c r="L190" i="117"/>
  <c r="L187" i="117"/>
  <c r="L188" i="117"/>
  <c r="L186" i="117"/>
  <c r="L185" i="117"/>
  <c r="L175" i="117"/>
  <c r="L176" i="117"/>
  <c r="L177" i="117"/>
  <c r="L178" i="117"/>
  <c r="L179" i="117"/>
  <c r="L180" i="117"/>
  <c r="L181" i="117"/>
  <c r="L182" i="117"/>
  <c r="L183" i="117"/>
  <c r="L174" i="117"/>
  <c r="L173" i="117"/>
  <c r="L169" i="117"/>
  <c r="L170" i="117"/>
  <c r="L171" i="117"/>
  <c r="L168" i="117"/>
  <c r="L167" i="117"/>
  <c r="L166" i="117"/>
  <c r="L165" i="117"/>
  <c r="L164" i="117"/>
  <c r="L162" i="117"/>
  <c r="L161" i="117"/>
  <c r="L160" i="117"/>
  <c r="L159" i="117"/>
  <c r="L158" i="117"/>
  <c r="L156" i="117"/>
  <c r="L155" i="117"/>
  <c r="L154" i="117"/>
  <c r="L153" i="117"/>
  <c r="L152" i="117"/>
  <c r="L150" i="117"/>
  <c r="L149" i="117"/>
  <c r="L148" i="117"/>
  <c r="L147" i="117"/>
  <c r="L146" i="117"/>
  <c r="L143" i="117"/>
  <c r="L144" i="117"/>
  <c r="L142" i="117"/>
  <c r="L141" i="117"/>
  <c r="L139" i="117"/>
  <c r="L138" i="117"/>
  <c r="L135" i="117"/>
  <c r="L136" i="117"/>
  <c r="L132" i="117"/>
  <c r="L134" i="117"/>
  <c r="L133" i="117"/>
  <c r="L130" i="117"/>
  <c r="L129" i="117"/>
  <c r="L127" i="117"/>
  <c r="L126" i="117"/>
  <c r="L125" i="117"/>
  <c r="L124" i="117"/>
  <c r="L123" i="117"/>
  <c r="L122" i="117"/>
  <c r="L113" i="117"/>
  <c r="L114" i="117"/>
  <c r="L115" i="117"/>
  <c r="L116" i="117"/>
  <c r="L117" i="117"/>
  <c r="L118" i="117"/>
  <c r="L119" i="117"/>
  <c r="L120" i="117"/>
  <c r="L112" i="117"/>
  <c r="L111" i="117"/>
  <c r="L110" i="117"/>
  <c r="L109" i="117"/>
  <c r="L108" i="117"/>
  <c r="L106" i="117"/>
  <c r="L105" i="117"/>
  <c r="L104" i="117"/>
  <c r="L103" i="117"/>
  <c r="L102" i="117"/>
  <c r="L99" i="117"/>
  <c r="L100" i="117"/>
  <c r="L98" i="117"/>
  <c r="L97" i="117"/>
  <c r="L96" i="117"/>
  <c r="L94" i="117"/>
  <c r="L93" i="117"/>
  <c r="L92" i="117"/>
  <c r="L90" i="117"/>
  <c r="L89" i="117"/>
  <c r="L88" i="117"/>
  <c r="L86" i="117"/>
  <c r="L85" i="117"/>
  <c r="L84" i="117"/>
  <c r="L83" i="117"/>
  <c r="L81" i="117"/>
  <c r="L80" i="117"/>
  <c r="L79" i="117"/>
  <c r="L78" i="117"/>
  <c r="L77" i="117"/>
  <c r="L76" i="117"/>
  <c r="L70" i="117"/>
  <c r="L71" i="117"/>
  <c r="L72" i="117"/>
  <c r="L73" i="117"/>
  <c r="L74" i="117"/>
  <c r="L69" i="117"/>
  <c r="L68" i="117"/>
  <c r="L67" i="117"/>
  <c r="L65" i="117"/>
  <c r="L64" i="117"/>
  <c r="L63" i="117"/>
  <c r="L62" i="117"/>
  <c r="L59" i="117"/>
  <c r="L60" i="117"/>
  <c r="L58" i="117"/>
  <c r="L56" i="117"/>
  <c r="L41" i="117"/>
  <c r="L42" i="117"/>
  <c r="L43" i="117"/>
  <c r="L44" i="117"/>
  <c r="L45" i="117"/>
  <c r="L46" i="117"/>
  <c r="L47" i="117"/>
  <c r="L48" i="117"/>
  <c r="L49" i="117"/>
  <c r="L50" i="117"/>
  <c r="L51" i="117"/>
  <c r="L52" i="117"/>
  <c r="L53" i="117"/>
  <c r="L54" i="117"/>
  <c r="L40" i="117"/>
  <c r="L35" i="117"/>
  <c r="L38" i="117"/>
  <c r="L34" i="117"/>
  <c r="I169" i="117"/>
  <c r="H169" i="117"/>
  <c r="AM28" i="57" l="1"/>
  <c r="AM29" i="57"/>
  <c r="AM30" i="57"/>
  <c r="AM31" i="57"/>
  <c r="AM32" i="57"/>
  <c r="AM33" i="57"/>
  <c r="AM34" i="57"/>
  <c r="AM35" i="57"/>
  <c r="AM36" i="57"/>
  <c r="AM37" i="57"/>
  <c r="AM38" i="57"/>
  <c r="AM39" i="57"/>
  <c r="AM27" i="57"/>
  <c r="AN28" i="57"/>
  <c r="AO28" i="57"/>
  <c r="AP28" i="57"/>
  <c r="AQ28" i="57"/>
  <c r="AR28" i="57"/>
  <c r="AN29" i="57"/>
  <c r="AO29" i="57"/>
  <c r="AP29" i="57"/>
  <c r="AQ29" i="57"/>
  <c r="AR29" i="57"/>
  <c r="AN30" i="57"/>
  <c r="AO30" i="57"/>
  <c r="AP30" i="57"/>
  <c r="AQ30" i="57"/>
  <c r="AR30" i="57"/>
  <c r="AN31" i="57"/>
  <c r="AO31" i="57"/>
  <c r="AP31" i="57"/>
  <c r="AQ31" i="57"/>
  <c r="AR31" i="57"/>
  <c r="AN32" i="57"/>
  <c r="AO32" i="57"/>
  <c r="AP32" i="57"/>
  <c r="AQ32" i="57"/>
  <c r="AR32" i="57"/>
  <c r="AN33" i="57"/>
  <c r="AO33" i="57"/>
  <c r="AP33" i="57"/>
  <c r="AQ33" i="57"/>
  <c r="AR33" i="57"/>
  <c r="AN34" i="57"/>
  <c r="AO34" i="57"/>
  <c r="AP34" i="57"/>
  <c r="AQ34" i="57"/>
  <c r="AR34" i="57"/>
  <c r="AN35" i="57"/>
  <c r="AO35" i="57"/>
  <c r="AP35" i="57"/>
  <c r="AQ35" i="57"/>
  <c r="AR35" i="57"/>
  <c r="AN36" i="57"/>
  <c r="AO36" i="57"/>
  <c r="AP36" i="57"/>
  <c r="AQ36" i="57"/>
  <c r="AR36" i="57"/>
  <c r="AN37" i="57"/>
  <c r="AO37" i="57"/>
  <c r="AP37" i="57"/>
  <c r="AQ37" i="57"/>
  <c r="AR37" i="57"/>
  <c r="AN38" i="57"/>
  <c r="AO38" i="57"/>
  <c r="AP38" i="57"/>
  <c r="AQ38" i="57"/>
  <c r="AR38" i="57"/>
  <c r="AN39" i="57"/>
  <c r="AO39" i="57"/>
  <c r="AP39" i="57"/>
  <c r="AQ39" i="57"/>
  <c r="AR39" i="57"/>
  <c r="AR27" i="57"/>
  <c r="AP27" i="57"/>
  <c r="AO27" i="57"/>
  <c r="AN27" i="57"/>
  <c r="AQ27" i="57"/>
  <c r="CE34" i="98"/>
  <c r="H22" i="97"/>
  <c r="AM25" i="57" l="1"/>
  <c r="ED119" i="98" s="1"/>
  <c r="JW65" i="93"/>
  <c r="CF35" i="98" l="1"/>
  <c r="CG35" i="98"/>
  <c r="CH35" i="98"/>
  <c r="CI35" i="98"/>
  <c r="CF36" i="98"/>
  <c r="CG36" i="98"/>
  <c r="CH36" i="98"/>
  <c r="CI36" i="98"/>
  <c r="CF37" i="98"/>
  <c r="CG37" i="98"/>
  <c r="CH37" i="98"/>
  <c r="CI37" i="98"/>
  <c r="CF38" i="98"/>
  <c r="CG38" i="98"/>
  <c r="CH38" i="98"/>
  <c r="CI38" i="98"/>
  <c r="CF39" i="98"/>
  <c r="CG39" i="98"/>
  <c r="CH39" i="98"/>
  <c r="CI39" i="98"/>
  <c r="CF40" i="98"/>
  <c r="CG40" i="98"/>
  <c r="CH40" i="98"/>
  <c r="CI40" i="98"/>
  <c r="CF41" i="98"/>
  <c r="CG41" i="98"/>
  <c r="CH41" i="98"/>
  <c r="CI41" i="98"/>
  <c r="CF42" i="98"/>
  <c r="CG42" i="98"/>
  <c r="CH42" i="98"/>
  <c r="CI42" i="98"/>
  <c r="CF43" i="98"/>
  <c r="CG43" i="98"/>
  <c r="CH43" i="98"/>
  <c r="CI43" i="98"/>
  <c r="CF44" i="98"/>
  <c r="CG44" i="98"/>
  <c r="CH44" i="98"/>
  <c r="CI44" i="98"/>
  <c r="CF45" i="98"/>
  <c r="CG45" i="98"/>
  <c r="CH45" i="98"/>
  <c r="CI45" i="98"/>
  <c r="CF46" i="98"/>
  <c r="CG46" i="98"/>
  <c r="CH46" i="98"/>
  <c r="CI46" i="98"/>
  <c r="CF47" i="98"/>
  <c r="CG47" i="98"/>
  <c r="CH47" i="98"/>
  <c r="CI47" i="98"/>
  <c r="CF48" i="98"/>
  <c r="CG48" i="98"/>
  <c r="CH48" i="98"/>
  <c r="CI48" i="98"/>
  <c r="CF49" i="98"/>
  <c r="CG49" i="98"/>
  <c r="CH49" i="98"/>
  <c r="CI49" i="98"/>
  <c r="CF50" i="98"/>
  <c r="CG50" i="98"/>
  <c r="CH50" i="98"/>
  <c r="CI50" i="98"/>
  <c r="CF51" i="98"/>
  <c r="CG51" i="98"/>
  <c r="CH51" i="98"/>
  <c r="CI51" i="98"/>
  <c r="CF52" i="98"/>
  <c r="CG52" i="98"/>
  <c r="CH52" i="98"/>
  <c r="CI52" i="98"/>
  <c r="CF53" i="98"/>
  <c r="CG53" i="98"/>
  <c r="CH53" i="98"/>
  <c r="CI53" i="98"/>
  <c r="CF54" i="98"/>
  <c r="CG54" i="98"/>
  <c r="CH54" i="98"/>
  <c r="CI54" i="98"/>
  <c r="CF55" i="98"/>
  <c r="CG55" i="98"/>
  <c r="CH55" i="98"/>
  <c r="CI55" i="98"/>
  <c r="CF56" i="98"/>
  <c r="CG56" i="98"/>
  <c r="CH56" i="98"/>
  <c r="CI56" i="98"/>
  <c r="CF57" i="98"/>
  <c r="CG57" i="98"/>
  <c r="CH57" i="98"/>
  <c r="CI57" i="98"/>
  <c r="CF58" i="98"/>
  <c r="CG58" i="98"/>
  <c r="CH58" i="98"/>
  <c r="CI58" i="98"/>
  <c r="CF59" i="98"/>
  <c r="CG59" i="98"/>
  <c r="CH59" i="98"/>
  <c r="CI59" i="98"/>
  <c r="CF60" i="98"/>
  <c r="CG60" i="98"/>
  <c r="CH60" i="98"/>
  <c r="CI60" i="98"/>
  <c r="CF61" i="98"/>
  <c r="CG61" i="98"/>
  <c r="CH61" i="98"/>
  <c r="CI61" i="98"/>
  <c r="CF62" i="98"/>
  <c r="CG62" i="98"/>
  <c r="CH62" i="98"/>
  <c r="CI62" i="98"/>
  <c r="CF63" i="98"/>
  <c r="CG63" i="98"/>
  <c r="CH63" i="98"/>
  <c r="CI63" i="98"/>
  <c r="CF64" i="98"/>
  <c r="CG64" i="98"/>
  <c r="CH64" i="98"/>
  <c r="CI64" i="98"/>
  <c r="CF65" i="98"/>
  <c r="CG65" i="98"/>
  <c r="CH65" i="98"/>
  <c r="CI65" i="98"/>
  <c r="CF66" i="98"/>
  <c r="CG66" i="98"/>
  <c r="CH66" i="98"/>
  <c r="CI66" i="98"/>
  <c r="CF67" i="98"/>
  <c r="CG67" i="98"/>
  <c r="CH67" i="98"/>
  <c r="CI67" i="98"/>
  <c r="CF68" i="98"/>
  <c r="CG68" i="98"/>
  <c r="CH68" i="98"/>
  <c r="CI68" i="98"/>
  <c r="CF69" i="98"/>
  <c r="CG69" i="98"/>
  <c r="CH69" i="98"/>
  <c r="CI69" i="98"/>
  <c r="CF70" i="98"/>
  <c r="CG70" i="98"/>
  <c r="CH70" i="98"/>
  <c r="CI70" i="98"/>
  <c r="CF71" i="98"/>
  <c r="CG71" i="98"/>
  <c r="CH71" i="98"/>
  <c r="CI71" i="98"/>
  <c r="CF72" i="98"/>
  <c r="CG72" i="98"/>
  <c r="CH72" i="98"/>
  <c r="CI72" i="98"/>
  <c r="CF73" i="98"/>
  <c r="CG73" i="98"/>
  <c r="CH73" i="98"/>
  <c r="CI73" i="98"/>
  <c r="CF74" i="98"/>
  <c r="CG74" i="98"/>
  <c r="CH74" i="98"/>
  <c r="CI74" i="98"/>
  <c r="CF75" i="98"/>
  <c r="CG75" i="98"/>
  <c r="CH75" i="98"/>
  <c r="CI75" i="98"/>
  <c r="CF76" i="98"/>
  <c r="CG76" i="98"/>
  <c r="CH76" i="98"/>
  <c r="CI76" i="98"/>
  <c r="CF77" i="98"/>
  <c r="CG77" i="98"/>
  <c r="CH77" i="98"/>
  <c r="CI77" i="98"/>
  <c r="CF78" i="98"/>
  <c r="CG78" i="98"/>
  <c r="CH78" i="98"/>
  <c r="CI78" i="98"/>
  <c r="CF79" i="98"/>
  <c r="CG79" i="98"/>
  <c r="CH79" i="98"/>
  <c r="CI79" i="98"/>
  <c r="CF80" i="98"/>
  <c r="CG80" i="98"/>
  <c r="CH80" i="98"/>
  <c r="CI80" i="98"/>
  <c r="CF81" i="98"/>
  <c r="CG81" i="98"/>
  <c r="CH81" i="98"/>
  <c r="CI81" i="98"/>
  <c r="CF82" i="98"/>
  <c r="CG82" i="98"/>
  <c r="CH82" i="98"/>
  <c r="CI82" i="98"/>
  <c r="CF83" i="98"/>
  <c r="CG83" i="98"/>
  <c r="CH83" i="98"/>
  <c r="CI83" i="98"/>
  <c r="CF84" i="98"/>
  <c r="CG84" i="98"/>
  <c r="CH84" i="98"/>
  <c r="CI84" i="98"/>
  <c r="CF85" i="98"/>
  <c r="CG85" i="98"/>
  <c r="CH85" i="98"/>
  <c r="CI85" i="98"/>
  <c r="CF86" i="98"/>
  <c r="CG86" i="98"/>
  <c r="CH86" i="98"/>
  <c r="CI86" i="98"/>
  <c r="CF87" i="98"/>
  <c r="CG87" i="98"/>
  <c r="CH87" i="98"/>
  <c r="CI87" i="98"/>
  <c r="CF88" i="98"/>
  <c r="CG88" i="98"/>
  <c r="CH88" i="98"/>
  <c r="CI88" i="98"/>
  <c r="CF89" i="98"/>
  <c r="CG89" i="98"/>
  <c r="CH89" i="98"/>
  <c r="CI89" i="98"/>
  <c r="CF90" i="98"/>
  <c r="CG90" i="98"/>
  <c r="CH90" i="98"/>
  <c r="CI90" i="98"/>
  <c r="CF91" i="98"/>
  <c r="CG91" i="98"/>
  <c r="CH91" i="98"/>
  <c r="CI91" i="98"/>
  <c r="CF92" i="98"/>
  <c r="CG92" i="98"/>
  <c r="CH92" i="98"/>
  <c r="CI92" i="98"/>
  <c r="CF93" i="98"/>
  <c r="CG93" i="98"/>
  <c r="CH93" i="98"/>
  <c r="CI93" i="98"/>
  <c r="CF94" i="98"/>
  <c r="CG94" i="98"/>
  <c r="CH94" i="98"/>
  <c r="CI94" i="98"/>
  <c r="CI34" i="98"/>
  <c r="CH34" i="98"/>
  <c r="CG34" i="98"/>
  <c r="CF34" i="98"/>
  <c r="AC9" i="71" l="1"/>
  <c r="AE5" i="71"/>
  <c r="AE2" i="71"/>
  <c r="HO15" i="1" l="1"/>
  <c r="HP15" i="1"/>
  <c r="HQ15" i="1"/>
  <c r="HR15" i="1"/>
  <c r="HS15" i="1"/>
  <c r="HT15" i="1"/>
  <c r="HU15" i="1"/>
  <c r="HV15" i="1"/>
  <c r="HN15" i="1"/>
  <c r="HN16" i="1" s="1"/>
  <c r="HO16" i="1" l="1"/>
  <c r="HP16" i="1" s="1"/>
  <c r="HQ16" i="1" s="1"/>
  <c r="HR16" i="1" s="1"/>
  <c r="HS16" i="1" s="1"/>
  <c r="HT16" i="1" s="1"/>
  <c r="HU16" i="1" s="1"/>
  <c r="HV16" i="1" s="1"/>
  <c r="AB2" i="125"/>
  <c r="U16" i="94" l="1"/>
  <c r="U17" i="94"/>
  <c r="U27" i="94"/>
  <c r="U43" i="94"/>
  <c r="U45" i="94"/>
  <c r="U47" i="94"/>
  <c r="U48" i="94"/>
  <c r="U49" i="94"/>
  <c r="U50" i="94"/>
  <c r="U51" i="94"/>
  <c r="U52" i="94"/>
  <c r="U53" i="94"/>
  <c r="U54" i="94"/>
  <c r="U55" i="94"/>
  <c r="U56" i="94"/>
  <c r="U57" i="94"/>
  <c r="U58" i="94"/>
  <c r="U59" i="94"/>
  <c r="U60" i="94"/>
  <c r="U61" i="94"/>
  <c r="U62" i="94"/>
  <c r="U63" i="94"/>
  <c r="U64" i="94"/>
  <c r="U65" i="94"/>
  <c r="U66" i="94"/>
  <c r="U67" i="94"/>
  <c r="U68" i="94"/>
  <c r="U69" i="94"/>
  <c r="U70" i="94"/>
  <c r="U71" i="94"/>
  <c r="U72" i="94"/>
  <c r="U73" i="94"/>
  <c r="U74" i="94"/>
  <c r="U75" i="94"/>
  <c r="U76" i="94"/>
  <c r="U77" i="94"/>
  <c r="U78" i="94"/>
  <c r="U79" i="94"/>
  <c r="U80" i="94"/>
  <c r="U81" i="94"/>
  <c r="U82" i="94"/>
  <c r="U83" i="94"/>
  <c r="U84" i="94"/>
  <c r="U85" i="94"/>
  <c r="U86" i="94"/>
  <c r="U87" i="94"/>
  <c r="U88" i="94"/>
  <c r="U89" i="94"/>
  <c r="U90" i="94"/>
  <c r="U91" i="94"/>
  <c r="U92" i="94"/>
  <c r="U93" i="94"/>
  <c r="U94" i="94"/>
  <c r="U95" i="94"/>
  <c r="U96" i="94"/>
  <c r="U97" i="94"/>
  <c r="U98" i="94"/>
  <c r="U99" i="94"/>
  <c r="U100" i="94"/>
  <c r="U101" i="94"/>
  <c r="U102" i="94"/>
  <c r="U103" i="94"/>
  <c r="U104" i="94"/>
  <c r="U105" i="94"/>
  <c r="U106" i="94"/>
  <c r="U107" i="94"/>
  <c r="U108" i="94"/>
  <c r="U109" i="94"/>
  <c r="U110" i="94"/>
  <c r="U111" i="94"/>
  <c r="U8" i="94"/>
  <c r="U11" i="94"/>
  <c r="U12" i="94"/>
  <c r="U13" i="94"/>
  <c r="I19" i="140"/>
  <c r="T166" i="1" l="1"/>
  <c r="AD214" i="123" l="1"/>
  <c r="BW214" i="123" s="1"/>
  <c r="AE214" i="123"/>
  <c r="AF214" i="123"/>
  <c r="AH214" i="123"/>
  <c r="AI214" i="123" s="1"/>
  <c r="AN214" i="123"/>
  <c r="CT214" i="123"/>
  <c r="CW214" i="123"/>
  <c r="DC214" i="123"/>
  <c r="DG214" i="123"/>
  <c r="DO214" i="123" a="1"/>
  <c r="DO214" i="123"/>
  <c r="DS214" i="123"/>
  <c r="AD212" i="123"/>
  <c r="DA212" i="123" s="1"/>
  <c r="AE212" i="123"/>
  <c r="AF212" i="123"/>
  <c r="AH212" i="123"/>
  <c r="BI212" i="123" s="1"/>
  <c r="AN212" i="123"/>
  <c r="CT212" i="123"/>
  <c r="DC212" i="123"/>
  <c r="DG212" i="123"/>
  <c r="DO212" i="123" a="1"/>
  <c r="DO212" i="123"/>
  <c r="DS212" i="123"/>
  <c r="AD215" i="123"/>
  <c r="CW215" i="123" s="1"/>
  <c r="AE215" i="123"/>
  <c r="AF215" i="123"/>
  <c r="AH215" i="123"/>
  <c r="AN215" i="123"/>
  <c r="CT215" i="123"/>
  <c r="DC215" i="123"/>
  <c r="DG215" i="123"/>
  <c r="DO215" i="123" a="1"/>
  <c r="DO215" i="123"/>
  <c r="DS215" i="123"/>
  <c r="AE215" i="1"/>
  <c r="CU215" i="1" s="1"/>
  <c r="AF215" i="1"/>
  <c r="AG215" i="1"/>
  <c r="AI215" i="1"/>
  <c r="CS215" i="1"/>
  <c r="CV215" i="1"/>
  <c r="FL215" i="1"/>
  <c r="FR215" i="1"/>
  <c r="FV215" i="1"/>
  <c r="FW215" i="1"/>
  <c r="FX215" i="1"/>
  <c r="GA215" i="1" a="1"/>
  <c r="GA215" i="1" s="1"/>
  <c r="AE213" i="1"/>
  <c r="CU213" i="1" s="1"/>
  <c r="AF213" i="1"/>
  <c r="AG213" i="1"/>
  <c r="AI213" i="1"/>
  <c r="CO213" i="1"/>
  <c r="CS213" i="1"/>
  <c r="CV213" i="1"/>
  <c r="FL213" i="1"/>
  <c r="FR213" i="1"/>
  <c r="FV213" i="1"/>
  <c r="FW213" i="1"/>
  <c r="FX213" i="1"/>
  <c r="GA213" i="1" a="1"/>
  <c r="GA213" i="1" s="1"/>
  <c r="AE211" i="1"/>
  <c r="CP211" i="1" s="1"/>
  <c r="AF211" i="1"/>
  <c r="AG211" i="1"/>
  <c r="AI211" i="1"/>
  <c r="CO211" i="1"/>
  <c r="CS211" i="1"/>
  <c r="CV211" i="1"/>
  <c r="FL211" i="1"/>
  <c r="FR211" i="1"/>
  <c r="FV211" i="1"/>
  <c r="FW211" i="1"/>
  <c r="FX211" i="1"/>
  <c r="GA211" i="1" a="1"/>
  <c r="GA211" i="1" s="1"/>
  <c r="AH211" i="1" l="1"/>
  <c r="CR211" i="1"/>
  <c r="AH213" i="1"/>
  <c r="CR213" i="1"/>
  <c r="AH215" i="1"/>
  <c r="CR215" i="1"/>
  <c r="AG215" i="123"/>
  <c r="CY215" i="123"/>
  <c r="AG212" i="123"/>
  <c r="CY212" i="123"/>
  <c r="AG214" i="123"/>
  <c r="CY214" i="123"/>
  <c r="CV214" i="123"/>
  <c r="DB215" i="123"/>
  <c r="DB214" i="123"/>
  <c r="AR214" i="123"/>
  <c r="CU211" i="1"/>
  <c r="CT211" i="1"/>
  <c r="CW211" i="1"/>
  <c r="CW213" i="1"/>
  <c r="DA215" i="123"/>
  <c r="DA214" i="123"/>
  <c r="DD214" i="123"/>
  <c r="CZ214" i="123"/>
  <c r="BE214" i="123"/>
  <c r="CQ214" i="123"/>
  <c r="BU214" i="123"/>
  <c r="AJ214" i="123"/>
  <c r="AP212" i="123"/>
  <c r="CM214" i="123"/>
  <c r="BQ214" i="123"/>
  <c r="AP214" i="123"/>
  <c r="CI214" i="123"/>
  <c r="BM214" i="123"/>
  <c r="BI214" i="123"/>
  <c r="CO214" i="123"/>
  <c r="CK214" i="123"/>
  <c r="BS214" i="123"/>
  <c r="BO214" i="123"/>
  <c r="BK214" i="123"/>
  <c r="BG214" i="123"/>
  <c r="BC214" i="123"/>
  <c r="AM214" i="123"/>
  <c r="BF212" i="123"/>
  <c r="CN214" i="123"/>
  <c r="CJ214" i="123"/>
  <c r="BV214" i="123"/>
  <c r="BR214" i="123"/>
  <c r="BN214" i="123"/>
  <c r="BJ214" i="123"/>
  <c r="BF214" i="123"/>
  <c r="AK214" i="123"/>
  <c r="CL212" i="123"/>
  <c r="CP214" i="123"/>
  <c r="CL214" i="123"/>
  <c r="CH214" i="123"/>
  <c r="BT214" i="123"/>
  <c r="BP214" i="123"/>
  <c r="BL214" i="123"/>
  <c r="BH214" i="123"/>
  <c r="BD214" i="123"/>
  <c r="BV212" i="123"/>
  <c r="AM215" i="123"/>
  <c r="CK212" i="123"/>
  <c r="BU212" i="123"/>
  <c r="BE212" i="123"/>
  <c r="BN212" i="123"/>
  <c r="BM212" i="123"/>
  <c r="AK212" i="123"/>
  <c r="AK215" i="123"/>
  <c r="DB212" i="123"/>
  <c r="CO212" i="123"/>
  <c r="BQ212" i="123"/>
  <c r="AI212" i="123"/>
  <c r="AM212" i="123"/>
  <c r="BC212" i="123"/>
  <c r="BG212" i="123"/>
  <c r="BK212" i="123"/>
  <c r="BO212" i="123"/>
  <c r="BS212" i="123"/>
  <c r="CI212" i="123"/>
  <c r="CM212" i="123"/>
  <c r="CQ212" i="123"/>
  <c r="AJ212" i="123"/>
  <c r="BD212" i="123"/>
  <c r="BH212" i="123"/>
  <c r="BL212" i="123"/>
  <c r="BP212" i="123"/>
  <c r="BT212" i="123"/>
  <c r="CJ212" i="123"/>
  <c r="CN212" i="123"/>
  <c r="BW212" i="123"/>
  <c r="AR212" i="123"/>
  <c r="CV212" i="123"/>
  <c r="CZ212" i="123"/>
  <c r="DD212" i="123"/>
  <c r="CV215" i="123"/>
  <c r="CZ215" i="123"/>
  <c r="DD215" i="123"/>
  <c r="CW212" i="123"/>
  <c r="CP212" i="123"/>
  <c r="CH212" i="123"/>
  <c r="BR212" i="123"/>
  <c r="BJ212" i="123"/>
  <c r="CT215" i="1"/>
  <c r="CP215" i="1"/>
  <c r="CW215" i="1"/>
  <c r="CO215" i="1"/>
  <c r="CT213" i="1"/>
  <c r="CP213" i="1"/>
  <c r="Q12" i="122"/>
  <c r="Q8" i="122"/>
  <c r="T19" i="97" l="1"/>
  <c r="C25" i="71" s="1"/>
  <c r="G17" i="123" l="1"/>
  <c r="P119" i="123" s="1"/>
  <c r="G28" i="1"/>
  <c r="P163" i="1" s="1"/>
  <c r="J10" i="140"/>
  <c r="J12" i="140"/>
  <c r="J13" i="140"/>
  <c r="J14" i="140"/>
  <c r="J15" i="140"/>
  <c r="J16" i="140"/>
  <c r="J17" i="140"/>
  <c r="J18" i="140"/>
  <c r="J20" i="140"/>
  <c r="J21" i="140"/>
  <c r="J22" i="140"/>
  <c r="J23" i="140"/>
  <c r="J24" i="140"/>
  <c r="J25" i="140"/>
  <c r="J26" i="140"/>
  <c r="J27" i="140"/>
  <c r="J28" i="140"/>
  <c r="J29" i="140"/>
  <c r="J30" i="140"/>
  <c r="J31" i="140"/>
  <c r="J32" i="140"/>
  <c r="J33" i="140"/>
  <c r="J34" i="140"/>
  <c r="J35" i="140"/>
  <c r="J36" i="140"/>
  <c r="J37" i="140"/>
  <c r="J38" i="140"/>
  <c r="J39" i="140"/>
  <c r="J40" i="140"/>
  <c r="J9" i="140"/>
  <c r="Q164" i="1" l="1"/>
  <c r="Q165" i="1"/>
  <c r="Q121" i="123"/>
  <c r="Q120" i="123"/>
  <c r="DA166" i="1"/>
  <c r="H236" i="117" l="1"/>
  <c r="I236" i="117"/>
  <c r="H14" i="94" l="1"/>
  <c r="H15" i="94"/>
  <c r="H16" i="94"/>
  <c r="H17" i="94"/>
  <c r="H18" i="94"/>
  <c r="H19" i="94"/>
  <c r="H20" i="94"/>
  <c r="H22" i="94"/>
  <c r="H23" i="94"/>
  <c r="H24" i="94"/>
  <c r="H25" i="94"/>
  <c r="H26" i="94"/>
  <c r="H27" i="94"/>
  <c r="H28" i="94"/>
  <c r="H29" i="94"/>
  <c r="H30" i="94"/>
  <c r="H31" i="94"/>
  <c r="H32" i="94"/>
  <c r="H34" i="94"/>
  <c r="H35" i="94"/>
  <c r="H36" i="94"/>
  <c r="H37" i="94"/>
  <c r="H38" i="94"/>
  <c r="H39" i="94"/>
  <c r="H40" i="94"/>
  <c r="H41" i="94"/>
  <c r="H42" i="94"/>
  <c r="H43" i="94"/>
  <c r="H44" i="94"/>
  <c r="H45" i="94"/>
  <c r="H46" i="94"/>
  <c r="H47" i="94"/>
  <c r="H48" i="94"/>
  <c r="H49" i="94"/>
  <c r="H50" i="94"/>
  <c r="H51" i="94"/>
  <c r="H52" i="94"/>
  <c r="H53" i="94"/>
  <c r="H54" i="94"/>
  <c r="H55" i="94"/>
  <c r="H56" i="94"/>
  <c r="H57" i="94"/>
  <c r="H58" i="94"/>
  <c r="H59" i="94"/>
  <c r="H60" i="94"/>
  <c r="H61" i="94"/>
  <c r="H62" i="94"/>
  <c r="H63" i="94"/>
  <c r="H64" i="94"/>
  <c r="H65" i="94"/>
  <c r="H66" i="94"/>
  <c r="H67" i="94"/>
  <c r="H68" i="94"/>
  <c r="H69" i="94"/>
  <c r="H70" i="94"/>
  <c r="H71" i="94"/>
  <c r="H72" i="94"/>
  <c r="H73" i="94"/>
  <c r="H74" i="94"/>
  <c r="H75" i="94"/>
  <c r="H76" i="94"/>
  <c r="H77" i="94"/>
  <c r="H78" i="94"/>
  <c r="H79" i="94"/>
  <c r="H80" i="94"/>
  <c r="H81" i="94"/>
  <c r="H82" i="94"/>
  <c r="H83" i="94"/>
  <c r="H84" i="94"/>
  <c r="H85" i="94"/>
  <c r="H86" i="94"/>
  <c r="H87" i="94"/>
  <c r="H88" i="94"/>
  <c r="H89" i="94"/>
  <c r="H90" i="94"/>
  <c r="H91" i="94"/>
  <c r="H92" i="94"/>
  <c r="H93" i="94"/>
  <c r="H94" i="94"/>
  <c r="H95" i="94"/>
  <c r="H96" i="94"/>
  <c r="H97" i="94"/>
  <c r="H98" i="94"/>
  <c r="H99" i="94"/>
  <c r="H100" i="94"/>
  <c r="H101" i="94"/>
  <c r="H102" i="94"/>
  <c r="H103" i="94"/>
  <c r="H104" i="94"/>
  <c r="H105" i="94"/>
  <c r="H106" i="94"/>
  <c r="H107" i="94"/>
  <c r="H108" i="94"/>
  <c r="H109" i="94"/>
  <c r="H110" i="94"/>
  <c r="H10" i="94"/>
  <c r="H11" i="94"/>
  <c r="H12" i="94"/>
  <c r="H13" i="94"/>
  <c r="H8" i="94"/>
  <c r="H392" i="117" l="1"/>
  <c r="I392" i="117"/>
  <c r="H396" i="117"/>
  <c r="I396" i="117"/>
  <c r="I391" i="117"/>
  <c r="H391" i="117"/>
  <c r="I390" i="117"/>
  <c r="H390" i="117"/>
  <c r="I389" i="117"/>
  <c r="H389" i="117"/>
  <c r="I387" i="117"/>
  <c r="H387" i="117"/>
  <c r="I386" i="117"/>
  <c r="H386" i="117"/>
  <c r="I385" i="117"/>
  <c r="H385" i="117"/>
  <c r="H376" i="117"/>
  <c r="I376" i="117"/>
  <c r="H377" i="117"/>
  <c r="I377" i="117"/>
  <c r="H378" i="117"/>
  <c r="I378" i="117"/>
  <c r="H379" i="117"/>
  <c r="I379" i="117"/>
  <c r="H380" i="117"/>
  <c r="I380" i="117"/>
  <c r="H381" i="117"/>
  <c r="I381" i="117"/>
  <c r="H382" i="117"/>
  <c r="I382" i="117"/>
  <c r="H383" i="117"/>
  <c r="I383" i="117"/>
  <c r="I373" i="117"/>
  <c r="H373" i="117"/>
  <c r="I372" i="117"/>
  <c r="H372" i="117"/>
  <c r="I371" i="117"/>
  <c r="H371" i="117"/>
  <c r="I370" i="117"/>
  <c r="H370" i="117"/>
  <c r="H362" i="117"/>
  <c r="I362" i="117"/>
  <c r="H363" i="117"/>
  <c r="I363" i="117"/>
  <c r="H364" i="117"/>
  <c r="I364" i="117"/>
  <c r="H365" i="117"/>
  <c r="I365" i="117"/>
  <c r="H366" i="117"/>
  <c r="I366" i="117"/>
  <c r="H367" i="117"/>
  <c r="I367" i="117"/>
  <c r="H368" i="117"/>
  <c r="I368" i="117"/>
  <c r="H336" i="117"/>
  <c r="I336" i="117"/>
  <c r="H337" i="117"/>
  <c r="I337" i="117"/>
  <c r="H338" i="117"/>
  <c r="I338" i="117"/>
  <c r="H339" i="117"/>
  <c r="I339" i="117"/>
  <c r="H340" i="117"/>
  <c r="I340" i="117"/>
  <c r="H341" i="117"/>
  <c r="I341" i="117"/>
  <c r="H342" i="117"/>
  <c r="I342" i="117"/>
  <c r="H343" i="117"/>
  <c r="I343" i="117"/>
  <c r="H344" i="117"/>
  <c r="I344" i="117"/>
  <c r="H345" i="117"/>
  <c r="I345" i="117"/>
  <c r="H346" i="117"/>
  <c r="I346" i="117"/>
  <c r="H347" i="117"/>
  <c r="I347" i="117"/>
  <c r="H348" i="117"/>
  <c r="I348" i="117"/>
  <c r="H349" i="117"/>
  <c r="I349" i="117"/>
  <c r="H350" i="117"/>
  <c r="I350" i="117"/>
  <c r="H351" i="117"/>
  <c r="I351" i="117"/>
  <c r="H352" i="117"/>
  <c r="I352" i="117"/>
  <c r="H353" i="117"/>
  <c r="I353" i="117"/>
  <c r="H354" i="117"/>
  <c r="I354" i="117"/>
  <c r="H355" i="117"/>
  <c r="I355" i="117"/>
  <c r="H356" i="117"/>
  <c r="I356" i="117"/>
  <c r="H357" i="117"/>
  <c r="I357" i="117"/>
  <c r="H358" i="117"/>
  <c r="I358" i="117"/>
  <c r="H359" i="117"/>
  <c r="I359" i="117"/>
  <c r="H360" i="117"/>
  <c r="I360" i="117"/>
  <c r="I335" i="117"/>
  <c r="H335" i="117"/>
  <c r="I334" i="117"/>
  <c r="H334" i="117"/>
  <c r="I333" i="117"/>
  <c r="H333" i="117"/>
  <c r="H326" i="117"/>
  <c r="H328" i="117"/>
  <c r="I328" i="117"/>
  <c r="H329" i="117"/>
  <c r="I329" i="117"/>
  <c r="H330" i="117"/>
  <c r="I330" i="117"/>
  <c r="H331" i="117"/>
  <c r="I331" i="117"/>
  <c r="I327" i="117"/>
  <c r="H327" i="117"/>
  <c r="I325" i="117"/>
  <c r="H325" i="117"/>
  <c r="I323" i="117"/>
  <c r="H323" i="117"/>
  <c r="I322" i="117"/>
  <c r="H322" i="117"/>
  <c r="I321" i="117"/>
  <c r="H321" i="117"/>
  <c r="I320" i="117"/>
  <c r="H320" i="117"/>
  <c r="H315" i="117"/>
  <c r="I315" i="117"/>
  <c r="H316" i="117"/>
  <c r="I316" i="117"/>
  <c r="H317" i="117"/>
  <c r="I317" i="117"/>
  <c r="H318" i="117"/>
  <c r="I318" i="117"/>
  <c r="I314" i="117"/>
  <c r="H314" i="117"/>
  <c r="I313" i="117"/>
  <c r="H313" i="117"/>
  <c r="I312" i="117"/>
  <c r="H312" i="117"/>
  <c r="I311" i="117"/>
  <c r="H311" i="117"/>
  <c r="I310" i="117"/>
  <c r="H310" i="117"/>
  <c r="H292" i="117"/>
  <c r="I292" i="117"/>
  <c r="H293" i="117"/>
  <c r="I293" i="117"/>
  <c r="H294" i="117"/>
  <c r="I294" i="117"/>
  <c r="H295" i="117"/>
  <c r="I295" i="117"/>
  <c r="H296" i="117"/>
  <c r="I296" i="117"/>
  <c r="H297" i="117"/>
  <c r="I297" i="117"/>
  <c r="H298" i="117"/>
  <c r="I298" i="117"/>
  <c r="H299" i="117"/>
  <c r="I299" i="117"/>
  <c r="H300" i="117"/>
  <c r="I300" i="117"/>
  <c r="H301" i="117"/>
  <c r="I301" i="117"/>
  <c r="H302" i="117"/>
  <c r="I302" i="117"/>
  <c r="H303" i="117"/>
  <c r="I303" i="117"/>
  <c r="H304" i="117"/>
  <c r="I304" i="117"/>
  <c r="H305" i="117"/>
  <c r="I305" i="117"/>
  <c r="H306" i="117"/>
  <c r="I306" i="117"/>
  <c r="H307" i="117"/>
  <c r="I307" i="117"/>
  <c r="H308" i="117"/>
  <c r="I308" i="117"/>
  <c r="I291" i="117"/>
  <c r="H291" i="117"/>
  <c r="I290" i="117"/>
  <c r="H290" i="117"/>
  <c r="I289" i="117"/>
  <c r="H289" i="117"/>
  <c r="I288" i="117"/>
  <c r="H288" i="117"/>
  <c r="I287" i="117"/>
  <c r="H287" i="117"/>
  <c r="I286" i="117"/>
  <c r="H286" i="117"/>
  <c r="H257" i="117"/>
  <c r="I257" i="117"/>
  <c r="H258" i="117"/>
  <c r="I258" i="117"/>
  <c r="H259" i="117"/>
  <c r="I259" i="117"/>
  <c r="H263" i="117"/>
  <c r="I263" i="117"/>
  <c r="H264" i="117"/>
  <c r="I264" i="117"/>
  <c r="H265" i="117"/>
  <c r="I265" i="117"/>
  <c r="H266" i="117"/>
  <c r="I266" i="117"/>
  <c r="H267" i="117"/>
  <c r="I267" i="117"/>
  <c r="H268" i="117"/>
  <c r="I268" i="117"/>
  <c r="H269" i="117"/>
  <c r="I269" i="117"/>
  <c r="H270" i="117"/>
  <c r="I270" i="117"/>
  <c r="H271" i="117"/>
  <c r="I271" i="117"/>
  <c r="H272" i="117"/>
  <c r="I272" i="117"/>
  <c r="H273" i="117"/>
  <c r="I273" i="117"/>
  <c r="H274" i="117"/>
  <c r="I274" i="117"/>
  <c r="H275" i="117"/>
  <c r="I275" i="117"/>
  <c r="H276" i="117"/>
  <c r="I276" i="117"/>
  <c r="H277" i="117"/>
  <c r="I277" i="117"/>
  <c r="H260" i="117"/>
  <c r="I260" i="117"/>
  <c r="H261" i="117"/>
  <c r="I261" i="117"/>
  <c r="H262" i="117"/>
  <c r="I262" i="117"/>
  <c r="H278" i="117"/>
  <c r="I278" i="117"/>
  <c r="H279" i="117"/>
  <c r="I279" i="117"/>
  <c r="H280" i="117"/>
  <c r="I280" i="117"/>
  <c r="H281" i="117"/>
  <c r="I281" i="117"/>
  <c r="H282" i="117"/>
  <c r="I282" i="117"/>
  <c r="I256" i="117"/>
  <c r="H256" i="117"/>
  <c r="I254" i="117"/>
  <c r="H254" i="117"/>
  <c r="I253" i="117"/>
  <c r="H253" i="117"/>
  <c r="H251" i="117"/>
  <c r="I251" i="117"/>
  <c r="I250" i="117"/>
  <c r="H250" i="117"/>
  <c r="I249" i="117"/>
  <c r="H249" i="117"/>
  <c r="I248" i="117"/>
  <c r="H248" i="117"/>
  <c r="I247" i="117"/>
  <c r="H247" i="117"/>
  <c r="I246" i="117"/>
  <c r="H246" i="117"/>
  <c r="I245" i="117"/>
  <c r="H245" i="117"/>
  <c r="I244" i="117"/>
  <c r="H244" i="117"/>
  <c r="I243" i="117"/>
  <c r="H243" i="117"/>
  <c r="I242" i="117"/>
  <c r="H242" i="117"/>
  <c r="I241" i="117"/>
  <c r="H241" i="117"/>
  <c r="I240" i="117"/>
  <c r="H240" i="117"/>
  <c r="H235" i="117"/>
  <c r="I235" i="117"/>
  <c r="H237" i="117"/>
  <c r="I237" i="117"/>
  <c r="H238" i="117"/>
  <c r="I238" i="117"/>
  <c r="I234" i="117"/>
  <c r="H234" i="117"/>
  <c r="I233" i="117"/>
  <c r="H233" i="117"/>
  <c r="I232" i="117"/>
  <c r="H232" i="117"/>
  <c r="I231" i="117"/>
  <c r="H231" i="117"/>
  <c r="I230" i="117"/>
  <c r="H230" i="117"/>
  <c r="I229" i="117"/>
  <c r="H229" i="117"/>
  <c r="I228" i="117"/>
  <c r="H228" i="117"/>
  <c r="I227" i="117"/>
  <c r="H227" i="117"/>
  <c r="H222" i="117"/>
  <c r="I222" i="117"/>
  <c r="H223" i="117"/>
  <c r="I223" i="117"/>
  <c r="H224" i="117"/>
  <c r="I224" i="117"/>
  <c r="H225" i="117"/>
  <c r="I225" i="117"/>
  <c r="I221" i="117"/>
  <c r="H221" i="117"/>
  <c r="I220" i="117"/>
  <c r="H220" i="117"/>
  <c r="I219" i="117"/>
  <c r="H219" i="117"/>
  <c r="I218" i="117"/>
  <c r="H218" i="117"/>
  <c r="H216" i="117"/>
  <c r="I216" i="117"/>
  <c r="I215" i="117"/>
  <c r="H215" i="117"/>
  <c r="I214" i="117"/>
  <c r="H214" i="117"/>
  <c r="I213" i="117"/>
  <c r="H213" i="117"/>
  <c r="H202" i="117"/>
  <c r="I202" i="117"/>
  <c r="H203" i="117"/>
  <c r="I203" i="117"/>
  <c r="H204" i="117"/>
  <c r="I204" i="117"/>
  <c r="H205" i="117"/>
  <c r="I205" i="117"/>
  <c r="H206" i="117"/>
  <c r="I206" i="117"/>
  <c r="H207" i="117"/>
  <c r="I207" i="117"/>
  <c r="H208" i="117"/>
  <c r="I208" i="117"/>
  <c r="H209" i="117"/>
  <c r="I209" i="117"/>
  <c r="H210" i="117"/>
  <c r="I210" i="117"/>
  <c r="H211" i="117"/>
  <c r="I211" i="117"/>
  <c r="I201" i="117"/>
  <c r="H201" i="117"/>
  <c r="I200" i="117"/>
  <c r="H200" i="117"/>
  <c r="I199" i="117"/>
  <c r="H199" i="117"/>
  <c r="I198" i="117"/>
  <c r="H198" i="117"/>
  <c r="I196" i="117"/>
  <c r="H196" i="117"/>
  <c r="I195" i="117"/>
  <c r="H195" i="117"/>
  <c r="I194" i="117"/>
  <c r="H194" i="117"/>
  <c r="I193" i="117"/>
  <c r="H193" i="117"/>
  <c r="I192" i="117"/>
  <c r="H192" i="117"/>
  <c r="I191" i="117"/>
  <c r="H191" i="117"/>
  <c r="I190" i="117"/>
  <c r="H190" i="117"/>
  <c r="H186" i="117"/>
  <c r="I186" i="117"/>
  <c r="H187" i="117"/>
  <c r="I187" i="117"/>
  <c r="H188" i="117"/>
  <c r="I188" i="117"/>
  <c r="I185" i="117"/>
  <c r="H185" i="117"/>
  <c r="H180" i="117"/>
  <c r="I180" i="117"/>
  <c r="H181" i="117"/>
  <c r="I181" i="117"/>
  <c r="H182" i="117"/>
  <c r="I182" i="117"/>
  <c r="H183" i="117"/>
  <c r="I183" i="117"/>
  <c r="I179" i="117"/>
  <c r="H179" i="117"/>
  <c r="I178" i="117"/>
  <c r="H178" i="117"/>
  <c r="I177" i="117"/>
  <c r="H177" i="117"/>
  <c r="I176" i="117"/>
  <c r="H176" i="117"/>
  <c r="I174" i="117"/>
  <c r="H174" i="117"/>
  <c r="I173" i="117"/>
  <c r="H173" i="117"/>
  <c r="H165" i="117"/>
  <c r="I165" i="117"/>
  <c r="H166" i="117"/>
  <c r="I166" i="117"/>
  <c r="H167" i="117"/>
  <c r="I167" i="117"/>
  <c r="H168" i="117"/>
  <c r="I168" i="117"/>
  <c r="H170" i="117"/>
  <c r="I170" i="117"/>
  <c r="H171" i="117"/>
  <c r="I171" i="117"/>
  <c r="I164" i="117"/>
  <c r="H164" i="117"/>
  <c r="H160" i="117"/>
  <c r="I160" i="117"/>
  <c r="H161" i="117"/>
  <c r="I161" i="117"/>
  <c r="H162" i="117"/>
  <c r="I162" i="117"/>
  <c r="I159" i="117"/>
  <c r="H159" i="117"/>
  <c r="I158" i="117"/>
  <c r="H158" i="117"/>
  <c r="H153" i="117"/>
  <c r="I153" i="117"/>
  <c r="H154" i="117"/>
  <c r="I154" i="117"/>
  <c r="H155" i="117"/>
  <c r="I155" i="117"/>
  <c r="H156" i="117"/>
  <c r="I156" i="117"/>
  <c r="I152" i="117"/>
  <c r="H152" i="117"/>
  <c r="H147" i="117"/>
  <c r="I147" i="117"/>
  <c r="H148" i="117"/>
  <c r="I148" i="117"/>
  <c r="H149" i="117"/>
  <c r="I149" i="117"/>
  <c r="H150" i="117"/>
  <c r="I150" i="117"/>
  <c r="I146" i="117"/>
  <c r="H146" i="117"/>
  <c r="H141" i="117"/>
  <c r="I141" i="117"/>
  <c r="H142" i="117"/>
  <c r="I142" i="117"/>
  <c r="H143" i="117"/>
  <c r="I143" i="117"/>
  <c r="H144" i="117"/>
  <c r="I144" i="117"/>
  <c r="I139" i="117"/>
  <c r="H139" i="117"/>
  <c r="I138" i="117"/>
  <c r="H138" i="117"/>
  <c r="H132" i="117"/>
  <c r="I132" i="117"/>
  <c r="H133" i="117"/>
  <c r="I133" i="117"/>
  <c r="H134" i="117"/>
  <c r="I134" i="117"/>
  <c r="H135" i="117"/>
  <c r="I135" i="117"/>
  <c r="H136" i="117"/>
  <c r="I136" i="117"/>
  <c r="I130" i="117"/>
  <c r="H130" i="117"/>
  <c r="I129" i="117"/>
  <c r="H129" i="117"/>
  <c r="H127" i="117"/>
  <c r="I127" i="117"/>
  <c r="H122" i="117"/>
  <c r="I122" i="117"/>
  <c r="H123" i="117"/>
  <c r="I123" i="117"/>
  <c r="H124" i="117"/>
  <c r="I124" i="117"/>
  <c r="H125" i="117"/>
  <c r="I125" i="117"/>
  <c r="H126" i="117"/>
  <c r="I126" i="117"/>
  <c r="H110" i="117"/>
  <c r="I110" i="117"/>
  <c r="H111" i="117"/>
  <c r="I111" i="117"/>
  <c r="H112" i="117"/>
  <c r="I112" i="117"/>
  <c r="H113" i="117"/>
  <c r="I113" i="117"/>
  <c r="H114" i="117"/>
  <c r="I114" i="117"/>
  <c r="H115" i="117"/>
  <c r="I115" i="117"/>
  <c r="H116" i="117"/>
  <c r="I116" i="117"/>
  <c r="H117" i="117"/>
  <c r="I117" i="117"/>
  <c r="H118" i="117"/>
  <c r="I118" i="117"/>
  <c r="H119" i="117"/>
  <c r="I119" i="117"/>
  <c r="H120" i="117"/>
  <c r="I120" i="117"/>
  <c r="I109" i="117"/>
  <c r="H109" i="117"/>
  <c r="I108" i="117"/>
  <c r="H108" i="117"/>
  <c r="H106" i="117"/>
  <c r="I106" i="117"/>
  <c r="H103" i="117"/>
  <c r="I103" i="117"/>
  <c r="H104" i="117"/>
  <c r="I104" i="117"/>
  <c r="H105" i="117"/>
  <c r="I105" i="117"/>
  <c r="I102" i="117"/>
  <c r="H102" i="117"/>
  <c r="H98" i="117"/>
  <c r="I98" i="117"/>
  <c r="H99" i="117"/>
  <c r="I99" i="117"/>
  <c r="H100" i="117"/>
  <c r="I100" i="117"/>
  <c r="I97" i="117"/>
  <c r="H97" i="117"/>
  <c r="I96" i="117"/>
  <c r="H96" i="117"/>
  <c r="H94" i="117"/>
  <c r="I94" i="117"/>
  <c r="I93" i="117"/>
  <c r="H93" i="117"/>
  <c r="I92" i="117"/>
  <c r="H92" i="117"/>
  <c r="I90" i="117"/>
  <c r="H90" i="117"/>
  <c r="I89" i="117"/>
  <c r="H89" i="117"/>
  <c r="I88" i="117"/>
  <c r="H88" i="117"/>
  <c r="I86" i="117"/>
  <c r="H86" i="117"/>
  <c r="I85" i="117"/>
  <c r="H85" i="117"/>
  <c r="I84" i="117"/>
  <c r="H84" i="117"/>
  <c r="I83" i="117"/>
  <c r="H83" i="117"/>
  <c r="H78" i="117"/>
  <c r="I78" i="117"/>
  <c r="H79" i="117"/>
  <c r="I79" i="117"/>
  <c r="H80" i="117"/>
  <c r="I80" i="117"/>
  <c r="H81" i="117"/>
  <c r="I81" i="117"/>
  <c r="I77" i="117"/>
  <c r="H77" i="117"/>
  <c r="I76" i="117"/>
  <c r="H76" i="117"/>
  <c r="H71" i="117"/>
  <c r="I71" i="117"/>
  <c r="H72" i="117"/>
  <c r="I72" i="117"/>
  <c r="H73" i="117"/>
  <c r="I73" i="117"/>
  <c r="H74" i="117"/>
  <c r="I74" i="117"/>
  <c r="I70" i="117"/>
  <c r="H70" i="117"/>
  <c r="I69" i="117"/>
  <c r="H69" i="117"/>
  <c r="I68" i="117"/>
  <c r="H68" i="117"/>
  <c r="I67" i="117"/>
  <c r="H67" i="117"/>
  <c r="H62" i="117"/>
  <c r="I62" i="117"/>
  <c r="H63" i="117"/>
  <c r="I63" i="117"/>
  <c r="H64" i="117"/>
  <c r="I64" i="117"/>
  <c r="H65" i="117"/>
  <c r="I65" i="117"/>
  <c r="H59" i="117"/>
  <c r="I59" i="117"/>
  <c r="H60" i="117"/>
  <c r="I60" i="117"/>
  <c r="I58" i="117"/>
  <c r="H58" i="117"/>
  <c r="I56" i="117"/>
  <c r="H56" i="117"/>
  <c r="I41" i="117"/>
  <c r="I42" i="117"/>
  <c r="I43" i="117"/>
  <c r="I44" i="117"/>
  <c r="I45" i="117"/>
  <c r="I46" i="117"/>
  <c r="I47" i="117"/>
  <c r="I48" i="117"/>
  <c r="I49" i="117"/>
  <c r="I50" i="117"/>
  <c r="I51" i="117"/>
  <c r="I52" i="117"/>
  <c r="I53" i="117"/>
  <c r="I54" i="117"/>
  <c r="I40" i="117"/>
  <c r="I35" i="117"/>
  <c r="I38" i="117"/>
  <c r="I34" i="117" l="1"/>
  <c r="H41" i="117"/>
  <c r="H42" i="117"/>
  <c r="H43" i="117"/>
  <c r="H44" i="117"/>
  <c r="H45" i="117"/>
  <c r="H46" i="117"/>
  <c r="H47" i="117"/>
  <c r="H48" i="117"/>
  <c r="H49" i="117"/>
  <c r="H50" i="117"/>
  <c r="H51" i="117"/>
  <c r="H52" i="117"/>
  <c r="H53" i="117"/>
  <c r="H54" i="117"/>
  <c r="H40" i="117"/>
  <c r="H35" i="117"/>
  <c r="H38" i="117"/>
  <c r="H34" i="117"/>
  <c r="H41" i="140"/>
  <c r="R5" i="117"/>
  <c r="EG53" i="93" l="1"/>
  <c r="BF122" i="97" l="1"/>
  <c r="BE122" i="97"/>
  <c r="BD122" i="97"/>
  <c r="BF121" i="97"/>
  <c r="BE121" i="97"/>
  <c r="BD121" i="97"/>
  <c r="BF120" i="97"/>
  <c r="BE120" i="97"/>
  <c r="BD120" i="97"/>
  <c r="AV120" i="97"/>
  <c r="AV121" i="97"/>
  <c r="AV122" i="97"/>
  <c r="AU122" i="97"/>
  <c r="AT122" i="97"/>
  <c r="AU121" i="97"/>
  <c r="AT121" i="97"/>
  <c r="AU120" i="97"/>
  <c r="AT120" i="97"/>
  <c r="AR122" i="97"/>
  <c r="AQ122" i="97"/>
  <c r="AR121" i="97"/>
  <c r="AQ121" i="97"/>
  <c r="AR120" i="97"/>
  <c r="AQ120" i="97"/>
  <c r="AK122" i="97"/>
  <c r="AM122" i="97"/>
  <c r="AJ122" i="97"/>
  <c r="AK121" i="97"/>
  <c r="AM121" i="97"/>
  <c r="AJ121" i="97"/>
  <c r="AK120" i="97"/>
  <c r="AM120" i="97"/>
  <c r="AJ120" i="97"/>
  <c r="DT45" i="93" l="1"/>
  <c r="DT46" i="93"/>
  <c r="DT47" i="93"/>
  <c r="DT48" i="93"/>
  <c r="DV48" i="93" s="1"/>
  <c r="DT49" i="93"/>
  <c r="DV49" i="93" s="1"/>
  <c r="DT50" i="93"/>
  <c r="AD210" i="123"/>
  <c r="AE210" i="123"/>
  <c r="AF210" i="123"/>
  <c r="AH210" i="123"/>
  <c r="AN210" i="123"/>
  <c r="CT210" i="123"/>
  <c r="DC210" i="123"/>
  <c r="DG210" i="123"/>
  <c r="DJ210" i="123"/>
  <c r="DO210" i="123" a="1"/>
  <c r="DO210" i="123" s="1"/>
  <c r="DS210" i="123"/>
  <c r="AD211" i="123"/>
  <c r="AE211" i="123"/>
  <c r="AF211" i="123"/>
  <c r="AH211" i="123"/>
  <c r="AN211" i="123"/>
  <c r="CT211" i="123"/>
  <c r="DC211" i="123"/>
  <c r="DG211" i="123"/>
  <c r="DO211" i="123" a="1"/>
  <c r="DO211" i="123" s="1"/>
  <c r="DS211" i="123"/>
  <c r="AD216" i="123"/>
  <c r="CV216" i="123" s="1"/>
  <c r="AE216" i="123"/>
  <c r="AF216" i="123"/>
  <c r="AH216" i="123"/>
  <c r="AN216" i="123"/>
  <c r="CT216" i="123"/>
  <c r="DC216" i="123"/>
  <c r="DG216" i="123"/>
  <c r="DO216" i="123" a="1"/>
  <c r="DO216" i="123" s="1"/>
  <c r="DS216" i="123"/>
  <c r="AD224" i="123"/>
  <c r="CV224" i="123" s="1"/>
  <c r="AE224" i="123"/>
  <c r="AF224" i="123"/>
  <c r="AH224" i="123"/>
  <c r="AN224" i="123"/>
  <c r="CT224" i="123"/>
  <c r="DB224" i="123"/>
  <c r="DC224" i="123"/>
  <c r="DG224" i="123"/>
  <c r="DJ224" i="123"/>
  <c r="DO224" i="123" a="1"/>
  <c r="DO224" i="123" s="1"/>
  <c r="DS224" i="123"/>
  <c r="AE206" i="1"/>
  <c r="AF206" i="1"/>
  <c r="AG206" i="1"/>
  <c r="AI206" i="1"/>
  <c r="AL206" i="1"/>
  <c r="CS206" i="1"/>
  <c r="CV206" i="1"/>
  <c r="FL206" i="1"/>
  <c r="FR206" i="1"/>
  <c r="FV206" i="1"/>
  <c r="FW206" i="1"/>
  <c r="FX206" i="1"/>
  <c r="GA206" i="1" a="1"/>
  <c r="GA206" i="1" s="1"/>
  <c r="AE207" i="1"/>
  <c r="CO207" i="1" s="1"/>
  <c r="AF207" i="1"/>
  <c r="AG207" i="1"/>
  <c r="AI207" i="1"/>
  <c r="CS207" i="1"/>
  <c r="CV207" i="1"/>
  <c r="FL207" i="1"/>
  <c r="FR207" i="1"/>
  <c r="FV207" i="1"/>
  <c r="FW207" i="1"/>
  <c r="FX207" i="1"/>
  <c r="GA207" i="1" a="1"/>
  <c r="GA207" i="1" s="1"/>
  <c r="AE208" i="1"/>
  <c r="CO208" i="1" s="1"/>
  <c r="AF208" i="1"/>
  <c r="AG208" i="1"/>
  <c r="AI208" i="1"/>
  <c r="CS208" i="1"/>
  <c r="CV208" i="1"/>
  <c r="FL208" i="1"/>
  <c r="FR208" i="1"/>
  <c r="FV208" i="1"/>
  <c r="FW208" i="1"/>
  <c r="FX208" i="1"/>
  <c r="GA208" i="1" a="1"/>
  <c r="GA208" i="1" s="1"/>
  <c r="AE205" i="1"/>
  <c r="AF205" i="1"/>
  <c r="AG205" i="1"/>
  <c r="AI205" i="1"/>
  <c r="CS205" i="1"/>
  <c r="CV205" i="1"/>
  <c r="FL205" i="1"/>
  <c r="FR205" i="1"/>
  <c r="FV205" i="1"/>
  <c r="FW205" i="1"/>
  <c r="FX205" i="1"/>
  <c r="GA205" i="1" a="1"/>
  <c r="GA205" i="1" s="1"/>
  <c r="B2" i="125"/>
  <c r="AH205" i="1" l="1"/>
  <c r="CR205" i="1"/>
  <c r="AH208" i="1"/>
  <c r="CR208" i="1"/>
  <c r="AH207" i="1"/>
  <c r="CR207" i="1"/>
  <c r="AH206" i="1"/>
  <c r="CR206" i="1"/>
  <c r="AG211" i="123"/>
  <c r="CY211" i="123"/>
  <c r="AG210" i="123"/>
  <c r="CY210" i="123"/>
  <c r="AG224" i="123"/>
  <c r="CY224" i="123"/>
  <c r="AG216" i="123"/>
  <c r="CY216" i="123"/>
  <c r="CW224" i="123"/>
  <c r="CV211" i="123"/>
  <c r="AJ211" i="123"/>
  <c r="CK211" i="123"/>
  <c r="CO211" i="123"/>
  <c r="CJ211" i="123"/>
  <c r="CP211" i="123"/>
  <c r="CL211" i="123"/>
  <c r="CM211" i="123"/>
  <c r="CQ211" i="123"/>
  <c r="CH211" i="123"/>
  <c r="CI211" i="123"/>
  <c r="CN211" i="123"/>
  <c r="BI224" i="123"/>
  <c r="CK224" i="123"/>
  <c r="CO224" i="123"/>
  <c r="CL224" i="123"/>
  <c r="CQ224" i="123"/>
  <c r="CM224" i="123"/>
  <c r="CH224" i="123"/>
  <c r="CN224" i="123"/>
  <c r="CJ224" i="123"/>
  <c r="CP224" i="123"/>
  <c r="CI224" i="123"/>
  <c r="AI210" i="123"/>
  <c r="CI210" i="123"/>
  <c r="CM210" i="123"/>
  <c r="CQ210" i="123"/>
  <c r="CJ210" i="123"/>
  <c r="CO210" i="123"/>
  <c r="CN210" i="123"/>
  <c r="CH210" i="123"/>
  <c r="CP210" i="123"/>
  <c r="CL210" i="123"/>
  <c r="CK210" i="123"/>
  <c r="CV210" i="123"/>
  <c r="CZ210" i="123"/>
  <c r="CO206" i="1"/>
  <c r="CP205" i="1"/>
  <c r="CO205" i="1"/>
  <c r="CW210" i="123"/>
  <c r="DB210" i="123"/>
  <c r="AR210" i="123"/>
  <c r="U210" i="123" s="1"/>
  <c r="CW205" i="1"/>
  <c r="CT205" i="1"/>
  <c r="DD211" i="123"/>
  <c r="DA211" i="123"/>
  <c r="BW211" i="123"/>
  <c r="CW208" i="1"/>
  <c r="CT208" i="1"/>
  <c r="DA224" i="123"/>
  <c r="DD224" i="123"/>
  <c r="CZ224" i="123"/>
  <c r="CU205" i="1"/>
  <c r="AJ224" i="123"/>
  <c r="BM224" i="123"/>
  <c r="CZ211" i="123"/>
  <c r="CT207" i="1"/>
  <c r="CW207" i="1"/>
  <c r="CT206" i="1"/>
  <c r="CW206" i="1"/>
  <c r="BU224" i="123"/>
  <c r="DD216" i="123"/>
  <c r="DA216" i="123"/>
  <c r="BK211" i="123"/>
  <c r="BW210" i="123"/>
  <c r="DD210" i="123"/>
  <c r="DA210" i="123"/>
  <c r="AM211" i="123"/>
  <c r="BU210" i="123"/>
  <c r="BE224" i="123"/>
  <c r="BG211" i="123"/>
  <c r="DU48" i="93"/>
  <c r="DW48" i="93"/>
  <c r="DU49" i="93"/>
  <c r="DW49" i="93"/>
  <c r="BQ224" i="123"/>
  <c r="BN210" i="123"/>
  <c r="BR211" i="123"/>
  <c r="AP211" i="123"/>
  <c r="BF210" i="123"/>
  <c r="BV224" i="123"/>
  <c r="BN224" i="123"/>
  <c r="BF224" i="123"/>
  <c r="AK224" i="123"/>
  <c r="BO211" i="123"/>
  <c r="BC211" i="123"/>
  <c r="AI211" i="123"/>
  <c r="BV210" i="123"/>
  <c r="BJ210" i="123"/>
  <c r="AJ210" i="123"/>
  <c r="BR224" i="123"/>
  <c r="BJ224" i="123"/>
  <c r="AP224" i="123"/>
  <c r="BS211" i="123"/>
  <c r="BJ211" i="123"/>
  <c r="BR210" i="123"/>
  <c r="BQ210" i="123"/>
  <c r="BM210" i="123"/>
  <c r="BI210" i="123"/>
  <c r="BE210" i="123"/>
  <c r="AP210" i="123"/>
  <c r="BT210" i="123"/>
  <c r="BP210" i="123"/>
  <c r="BL210" i="123"/>
  <c r="BH210" i="123"/>
  <c r="BD210" i="123"/>
  <c r="BV211" i="123"/>
  <c r="BN211" i="123"/>
  <c r="BF211" i="123"/>
  <c r="BS210" i="123"/>
  <c r="BO210" i="123"/>
  <c r="BK210" i="123"/>
  <c r="BG210" i="123"/>
  <c r="BC210" i="123"/>
  <c r="CW216" i="123"/>
  <c r="DB216" i="123"/>
  <c r="CZ216" i="123"/>
  <c r="AK216" i="123"/>
  <c r="AM216" i="123"/>
  <c r="BW224" i="123"/>
  <c r="BS224" i="123"/>
  <c r="BO224" i="123"/>
  <c r="BK224" i="123"/>
  <c r="BG224" i="123"/>
  <c r="BC224" i="123"/>
  <c r="AM224" i="123"/>
  <c r="AI224" i="123"/>
  <c r="DB211" i="123"/>
  <c r="CW211" i="123"/>
  <c r="BU211" i="123"/>
  <c r="BQ211" i="123"/>
  <c r="BM211" i="123"/>
  <c r="BI211" i="123"/>
  <c r="BE211" i="123"/>
  <c r="AK211" i="123"/>
  <c r="BT211" i="123"/>
  <c r="BP211" i="123"/>
  <c r="BL211" i="123"/>
  <c r="BH211" i="123"/>
  <c r="BD211" i="123"/>
  <c r="AR211" i="123"/>
  <c r="AK210" i="123"/>
  <c r="BT224" i="123"/>
  <c r="BP224" i="123"/>
  <c r="BL224" i="123"/>
  <c r="BH224" i="123"/>
  <c r="BD224" i="123"/>
  <c r="AR224" i="123"/>
  <c r="AM210" i="123"/>
  <c r="CP208" i="1"/>
  <c r="CP206" i="1"/>
  <c r="CU206" i="1"/>
  <c r="CP207" i="1"/>
  <c r="CU207" i="1"/>
  <c r="CU208" i="1"/>
  <c r="T210" i="123" l="1"/>
  <c r="EA210" i="123" s="1"/>
  <c r="AH99" i="97"/>
  <c r="T20" i="97" l="1"/>
  <c r="X4" i="97"/>
  <c r="AH106" i="97" l="1"/>
  <c r="AH107" i="97"/>
  <c r="AH108" i="97"/>
  <c r="AH109" i="97"/>
  <c r="AH110" i="97"/>
  <c r="AH114" i="97"/>
  <c r="AH115" i="97"/>
  <c r="AH116" i="97"/>
  <c r="AH117" i="97"/>
  <c r="D107" i="97" l="1"/>
  <c r="D108" i="97"/>
  <c r="D109" i="97"/>
  <c r="D110" i="97"/>
  <c r="D106" i="97"/>
  <c r="C107" i="97"/>
  <c r="C108" i="97"/>
  <c r="C109" i="97"/>
  <c r="C110" i="97"/>
  <c r="C106" i="97"/>
  <c r="J2" i="125"/>
  <c r="Y2" i="125" s="1"/>
  <c r="I2" i="125"/>
  <c r="D2" i="125"/>
  <c r="T3" i="97" l="1"/>
  <c r="M58" i="97" s="1"/>
  <c r="J60" i="97"/>
  <c r="Q58" i="97" l="1"/>
  <c r="K58" i="97"/>
  <c r="T4" i="97" l="1"/>
  <c r="U5" i="117"/>
  <c r="L2" i="125" l="1"/>
  <c r="O5" i="117"/>
  <c r="I58" i="97" l="1"/>
  <c r="G21" i="97" s="1"/>
  <c r="A107" i="97"/>
  <c r="A108" i="97"/>
  <c r="B108" i="97" s="1"/>
  <c r="A109" i="97"/>
  <c r="B109" i="97" s="1"/>
  <c r="A110" i="97"/>
  <c r="B110" i="97" s="1"/>
  <c r="A106" i="97"/>
  <c r="D55" i="97"/>
  <c r="C55" i="97"/>
  <c r="A55" i="97"/>
  <c r="J66" i="97" l="1"/>
  <c r="L60" i="97"/>
  <c r="P5" i="117"/>
  <c r="S5" i="117"/>
  <c r="T5" i="117" l="1"/>
  <c r="T21" i="97"/>
  <c r="I60" i="97" s="1"/>
  <c r="HU62" i="93" l="1"/>
  <c r="M115" i="71"/>
  <c r="P16" i="97"/>
  <c r="L5" i="140"/>
  <c r="HS62" i="93"/>
  <c r="GP55" i="93"/>
  <c r="GQ55" i="93"/>
  <c r="GQ64" i="93" s="1"/>
  <c r="GR55" i="93"/>
  <c r="GR65" i="93" s="1"/>
  <c r="L1" i="140" l="1"/>
  <c r="L6" i="140"/>
  <c r="GR88" i="93"/>
  <c r="GR112" i="93"/>
  <c r="GR96" i="93"/>
  <c r="GR80" i="93"/>
  <c r="GR108" i="93"/>
  <c r="GR92" i="93"/>
  <c r="GR76" i="93"/>
  <c r="GR104" i="93"/>
  <c r="GR72" i="93"/>
  <c r="GR100" i="93"/>
  <c r="GR84" i="93"/>
  <c r="GR68" i="93"/>
  <c r="GP66" i="93"/>
  <c r="GQ109" i="93"/>
  <c r="GQ103" i="93"/>
  <c r="GQ97" i="93"/>
  <c r="GQ89" i="93"/>
  <c r="GQ85" i="93"/>
  <c r="GQ79" i="93"/>
  <c r="GQ73" i="93"/>
  <c r="GQ65" i="93"/>
  <c r="GP113" i="93"/>
  <c r="GP111" i="93"/>
  <c r="GP109" i="93"/>
  <c r="GP107" i="93"/>
  <c r="GP105" i="93"/>
  <c r="GP103" i="93"/>
  <c r="GP101" i="93"/>
  <c r="GP99" i="93"/>
  <c r="GP97" i="93"/>
  <c r="GP95" i="93"/>
  <c r="GP93" i="93"/>
  <c r="GP91" i="93"/>
  <c r="GP89" i="93"/>
  <c r="GP87" i="93"/>
  <c r="GP85" i="93"/>
  <c r="GP83" i="93"/>
  <c r="GP81" i="93"/>
  <c r="GP79" i="93"/>
  <c r="GP77" i="93"/>
  <c r="GP75" i="93"/>
  <c r="GP73" i="93"/>
  <c r="GP71" i="93"/>
  <c r="GP69" i="93"/>
  <c r="GP67" i="93"/>
  <c r="GP65" i="93"/>
  <c r="GR111" i="93"/>
  <c r="GR107" i="93"/>
  <c r="GR103" i="93"/>
  <c r="GR99" i="93"/>
  <c r="GR95" i="93"/>
  <c r="GR91" i="93"/>
  <c r="GR87" i="93"/>
  <c r="GR83" i="93"/>
  <c r="GR79" i="93"/>
  <c r="GR75" i="93"/>
  <c r="GR71" i="93"/>
  <c r="GR67" i="93"/>
  <c r="GQ113" i="93"/>
  <c r="GQ105" i="93"/>
  <c r="GQ99" i="93"/>
  <c r="GQ93" i="93"/>
  <c r="GQ87" i="93"/>
  <c r="GQ81" i="93"/>
  <c r="GQ75" i="93"/>
  <c r="GQ69" i="93"/>
  <c r="GP64" i="93"/>
  <c r="GQ112" i="93"/>
  <c r="GQ110" i="93"/>
  <c r="GQ108" i="93"/>
  <c r="GQ106" i="93"/>
  <c r="GQ104" i="93"/>
  <c r="GQ102" i="93"/>
  <c r="GQ100" i="93"/>
  <c r="GQ98" i="93"/>
  <c r="GQ96" i="93"/>
  <c r="GQ94" i="93"/>
  <c r="GQ92" i="93"/>
  <c r="GQ90" i="93"/>
  <c r="GQ88" i="93"/>
  <c r="GQ86" i="93"/>
  <c r="GQ84" i="93"/>
  <c r="GQ82" i="93"/>
  <c r="GQ80" i="93"/>
  <c r="GQ78" i="93"/>
  <c r="GQ76" i="93"/>
  <c r="GQ74" i="93"/>
  <c r="GQ72" i="93"/>
  <c r="GQ70" i="93"/>
  <c r="GQ68" i="93"/>
  <c r="GQ66" i="93"/>
  <c r="GR64" i="93"/>
  <c r="GR110" i="93"/>
  <c r="GR106" i="93"/>
  <c r="GR102" i="93"/>
  <c r="GR98" i="93"/>
  <c r="GR94" i="93"/>
  <c r="GR90" i="93"/>
  <c r="GR86" i="93"/>
  <c r="GR82" i="93"/>
  <c r="GR78" i="93"/>
  <c r="GR74" i="93"/>
  <c r="GR70" i="93"/>
  <c r="GR66" i="93"/>
  <c r="GQ111" i="93"/>
  <c r="GQ107" i="93"/>
  <c r="GQ101" i="93"/>
  <c r="GQ95" i="93"/>
  <c r="GQ91" i="93"/>
  <c r="GQ83" i="93"/>
  <c r="GQ77" i="93"/>
  <c r="GQ71" i="93"/>
  <c r="GQ67" i="93"/>
  <c r="GP112" i="93"/>
  <c r="GP110" i="93"/>
  <c r="GP108" i="93"/>
  <c r="GP106" i="93"/>
  <c r="GP104" i="93"/>
  <c r="GP102" i="93"/>
  <c r="GP100" i="93"/>
  <c r="GP98" i="93"/>
  <c r="GP96" i="93"/>
  <c r="GP94" i="93"/>
  <c r="GP92" i="93"/>
  <c r="GP90" i="93"/>
  <c r="GP88" i="93"/>
  <c r="GP86" i="93"/>
  <c r="GP84" i="93"/>
  <c r="GP82" i="93"/>
  <c r="GP80" i="93"/>
  <c r="GP78" i="93"/>
  <c r="GP76" i="93"/>
  <c r="GP74" i="93"/>
  <c r="GP72" i="93"/>
  <c r="GP70" i="93"/>
  <c r="GP68" i="93"/>
  <c r="GR113" i="93"/>
  <c r="GR109" i="93"/>
  <c r="GR105" i="93"/>
  <c r="GR101" i="93"/>
  <c r="GR97" i="93"/>
  <c r="GR93" i="93"/>
  <c r="GR89" i="93"/>
  <c r="GR85" i="93"/>
  <c r="GR81" i="93"/>
  <c r="GR77" i="93"/>
  <c r="GR73" i="93"/>
  <c r="GR69" i="93"/>
  <c r="AH113" i="97"/>
  <c r="L15" i="140" l="1"/>
  <c r="U15" i="94" s="1"/>
  <c r="L19" i="140"/>
  <c r="L18" i="140"/>
  <c r="L37" i="140"/>
  <c r="L21" i="140"/>
  <c r="U23" i="94" s="1"/>
  <c r="L36" i="140"/>
  <c r="L20" i="140"/>
  <c r="L35" i="140"/>
  <c r="L22" i="140"/>
  <c r="L30" i="140"/>
  <c r="U32" i="94" s="1"/>
  <c r="L33" i="140"/>
  <c r="L17" i="140"/>
  <c r="U21" i="94" s="1"/>
  <c r="L16" i="140"/>
  <c r="L38" i="140"/>
  <c r="L26" i="140"/>
  <c r="U29" i="94" s="1"/>
  <c r="L29" i="140"/>
  <c r="L13" i="140"/>
  <c r="U40" i="94" s="1"/>
  <c r="L28" i="140"/>
  <c r="U30" i="94" s="1"/>
  <c r="L12" i="140"/>
  <c r="L27" i="140"/>
  <c r="L34" i="140"/>
  <c r="L14" i="140"/>
  <c r="U14" i="94" s="1"/>
  <c r="L25" i="140"/>
  <c r="L40" i="140"/>
  <c r="U37" i="94" s="1"/>
  <c r="L24" i="140"/>
  <c r="L39" i="140"/>
  <c r="L23" i="140"/>
  <c r="L32" i="140"/>
  <c r="L31" i="140"/>
  <c r="L10" i="140"/>
  <c r="U10" i="94" s="1"/>
  <c r="L11" i="140"/>
  <c r="L8" i="140"/>
  <c r="L9" i="140"/>
  <c r="U41" i="94" s="1"/>
  <c r="GP62" i="93"/>
  <c r="IU57" i="93" s="1"/>
  <c r="EM34" i="98"/>
  <c r="U9" i="94" l="1"/>
  <c r="U33" i="94"/>
  <c r="U44" i="94"/>
  <c r="U46" i="94"/>
  <c r="U22" i="94"/>
  <c r="U36" i="94"/>
  <c r="U34" i="94"/>
  <c r="U24" i="94"/>
  <c r="U28" i="94"/>
  <c r="U42" i="94"/>
  <c r="U19" i="94"/>
  <c r="U20" i="94"/>
  <c r="U35" i="94"/>
  <c r="U26" i="94"/>
  <c r="U18" i="94"/>
  <c r="U31" i="94"/>
  <c r="U38" i="94"/>
  <c r="U25" i="94"/>
  <c r="U39" i="94"/>
  <c r="CN34" i="98"/>
  <c r="CJ34" i="98"/>
  <c r="CL34" i="98"/>
  <c r="CK34" i="98"/>
  <c r="CM34" i="98"/>
  <c r="EW65" i="93"/>
  <c r="EW66" i="93"/>
  <c r="EW67" i="93"/>
  <c r="EG67" i="93" s="1"/>
  <c r="EH67" i="93" s="1"/>
  <c r="EW68" i="93"/>
  <c r="EG68" i="93" s="1"/>
  <c r="EH68" i="93" s="1"/>
  <c r="EW69" i="93"/>
  <c r="EW70" i="93"/>
  <c r="EW71" i="93"/>
  <c r="EW72" i="93"/>
  <c r="EW73" i="93"/>
  <c r="EW74" i="93"/>
  <c r="EW75" i="93"/>
  <c r="EW76" i="93"/>
  <c r="EW77" i="93"/>
  <c r="EW78" i="93"/>
  <c r="EG78" i="93" s="1"/>
  <c r="EH78" i="93" s="1"/>
  <c r="EW79" i="93"/>
  <c r="EW80" i="93"/>
  <c r="EW81" i="93"/>
  <c r="EW82" i="93"/>
  <c r="EW83" i="93"/>
  <c r="EW84" i="93"/>
  <c r="EW85" i="93"/>
  <c r="EW86" i="93"/>
  <c r="EW87" i="93"/>
  <c r="EG87" i="93" s="1"/>
  <c r="EH87" i="93" s="1"/>
  <c r="EW88" i="93"/>
  <c r="EW89" i="93"/>
  <c r="EW90" i="93"/>
  <c r="EW91" i="93"/>
  <c r="EW92" i="93"/>
  <c r="EW93" i="93"/>
  <c r="EW94" i="93"/>
  <c r="EW95" i="93"/>
  <c r="EW96" i="93"/>
  <c r="EW97" i="93"/>
  <c r="EW98" i="93"/>
  <c r="EW99" i="93"/>
  <c r="EW100" i="93"/>
  <c r="EW101" i="93"/>
  <c r="EW102" i="93"/>
  <c r="EW103" i="93"/>
  <c r="EW104" i="93"/>
  <c r="EW105" i="93"/>
  <c r="EW106" i="93"/>
  <c r="EW107" i="93"/>
  <c r="EW108" i="93"/>
  <c r="EW109" i="93"/>
  <c r="EW110" i="93"/>
  <c r="EW111" i="93"/>
  <c r="EW112" i="93"/>
  <c r="EW113" i="93"/>
  <c r="EW64" i="93"/>
  <c r="JZ102" i="93" l="1"/>
  <c r="KA102" i="93"/>
  <c r="JZ90" i="93"/>
  <c r="KA90" i="93"/>
  <c r="JZ82" i="93"/>
  <c r="KA82" i="93"/>
  <c r="JZ111" i="93"/>
  <c r="KA111" i="93"/>
  <c r="JZ107" i="93"/>
  <c r="KA107" i="93"/>
  <c r="JZ103" i="93"/>
  <c r="KA103" i="93"/>
  <c r="JZ99" i="93"/>
  <c r="KA99" i="93"/>
  <c r="JZ95" i="93"/>
  <c r="KA95" i="93"/>
  <c r="JZ91" i="93"/>
  <c r="KA91" i="93"/>
  <c r="JZ87" i="93"/>
  <c r="KA87" i="93"/>
  <c r="JZ83" i="93"/>
  <c r="KA83" i="93"/>
  <c r="JZ79" i="93"/>
  <c r="KA79" i="93"/>
  <c r="JZ75" i="93"/>
  <c r="KA75" i="93"/>
  <c r="JZ71" i="93"/>
  <c r="KA71" i="93"/>
  <c r="JZ67" i="93"/>
  <c r="KA67" i="93"/>
  <c r="JZ98" i="93"/>
  <c r="KA98" i="93"/>
  <c r="JZ86" i="93"/>
  <c r="KA86" i="93"/>
  <c r="JZ78" i="93"/>
  <c r="KA78" i="93"/>
  <c r="JZ70" i="93"/>
  <c r="KA70" i="93"/>
  <c r="JZ105" i="93"/>
  <c r="KA105" i="93"/>
  <c r="JZ93" i="93"/>
  <c r="KA93" i="93"/>
  <c r="JZ85" i="93"/>
  <c r="KA85" i="93"/>
  <c r="JZ77" i="93"/>
  <c r="KA77" i="93"/>
  <c r="JZ73" i="93"/>
  <c r="KA73" i="93"/>
  <c r="JZ69" i="93"/>
  <c r="KA69" i="93"/>
  <c r="JZ65" i="93"/>
  <c r="JZ110" i="93"/>
  <c r="KA110" i="93"/>
  <c r="JZ106" i="93"/>
  <c r="KA106" i="93"/>
  <c r="JZ94" i="93"/>
  <c r="KA94" i="93"/>
  <c r="JZ74" i="93"/>
  <c r="KA74" i="93"/>
  <c r="JZ66" i="93"/>
  <c r="JZ113" i="93"/>
  <c r="KA113" i="93"/>
  <c r="JZ109" i="93"/>
  <c r="KA109" i="93"/>
  <c r="JZ101" i="93"/>
  <c r="KA101" i="93"/>
  <c r="JZ97" i="93"/>
  <c r="KA97" i="93"/>
  <c r="JZ89" i="93"/>
  <c r="KA89" i="93"/>
  <c r="JZ81" i="93"/>
  <c r="KA81" i="93"/>
  <c r="JZ112" i="93"/>
  <c r="KA112" i="93"/>
  <c r="JZ108" i="93"/>
  <c r="KA108" i="93"/>
  <c r="JZ104" i="93"/>
  <c r="KA104" i="93"/>
  <c r="JZ100" i="93"/>
  <c r="KA100" i="93"/>
  <c r="JZ96" i="93"/>
  <c r="KA96" i="93"/>
  <c r="JZ92" i="93"/>
  <c r="KA92" i="93"/>
  <c r="JZ88" i="93"/>
  <c r="KA88" i="93"/>
  <c r="JZ84" i="93"/>
  <c r="KA84" i="93"/>
  <c r="JZ80" i="93"/>
  <c r="KA80" i="93"/>
  <c r="JZ76" i="93"/>
  <c r="KA76" i="93"/>
  <c r="JZ72" i="93"/>
  <c r="KA72" i="93"/>
  <c r="JZ68" i="93"/>
  <c r="KA68" i="93"/>
  <c r="KA66" i="93"/>
  <c r="EG112" i="93"/>
  <c r="EH112" i="93" s="1"/>
  <c r="EG108" i="93"/>
  <c r="EH108" i="93" s="1"/>
  <c r="EG104" i="93"/>
  <c r="EH104" i="93" s="1"/>
  <c r="EG100" i="93"/>
  <c r="EH100" i="93" s="1"/>
  <c r="EG96" i="93"/>
  <c r="EH96" i="93" s="1"/>
  <c r="EG92" i="93"/>
  <c r="EH92" i="93" s="1"/>
  <c r="EG88" i="93"/>
  <c r="EH88" i="93" s="1"/>
  <c r="EG84" i="93"/>
  <c r="EH84" i="93" s="1"/>
  <c r="EG80" i="93"/>
  <c r="EH80" i="93" s="1"/>
  <c r="EG76" i="93"/>
  <c r="EH76" i="93" s="1"/>
  <c r="EG72" i="93"/>
  <c r="EH72" i="93" s="1"/>
  <c r="EG111" i="93"/>
  <c r="EH111" i="93" s="1"/>
  <c r="EG107" i="93"/>
  <c r="EH107" i="93" s="1"/>
  <c r="EG103" i="93"/>
  <c r="EH103" i="93" s="1"/>
  <c r="EG99" i="93"/>
  <c r="EH99" i="93" s="1"/>
  <c r="EG95" i="93"/>
  <c r="EH95" i="93" s="1"/>
  <c r="EG91" i="93"/>
  <c r="EH91" i="93" s="1"/>
  <c r="EG83" i="93"/>
  <c r="EH83" i="93" s="1"/>
  <c r="EG79" i="93"/>
  <c r="EH79" i="93" s="1"/>
  <c r="EG75" i="93"/>
  <c r="EH75" i="93" s="1"/>
  <c r="EG71" i="93"/>
  <c r="EH71" i="93" s="1"/>
  <c r="EG110" i="93"/>
  <c r="EH110" i="93" s="1"/>
  <c r="EG106" i="93"/>
  <c r="EH106" i="93" s="1"/>
  <c r="EG102" i="93"/>
  <c r="EH102" i="93" s="1"/>
  <c r="EG98" i="93"/>
  <c r="EH98" i="93" s="1"/>
  <c r="EG94" i="93"/>
  <c r="EH94" i="93" s="1"/>
  <c r="EG90" i="93"/>
  <c r="EH90" i="93" s="1"/>
  <c r="EG86" i="93"/>
  <c r="EH86" i="93" s="1"/>
  <c r="EG82" i="93"/>
  <c r="EH82" i="93" s="1"/>
  <c r="EG74" i="93"/>
  <c r="EH74" i="93" s="1"/>
  <c r="EG70" i="93"/>
  <c r="EH70" i="93" s="1"/>
  <c r="EG66" i="93"/>
  <c r="EH66" i="93" s="1"/>
  <c r="EG113" i="93"/>
  <c r="EH113" i="93" s="1"/>
  <c r="EG109" i="93"/>
  <c r="EH109" i="93" s="1"/>
  <c r="EG105" i="93"/>
  <c r="EH105" i="93" s="1"/>
  <c r="EG101" i="93"/>
  <c r="EH101" i="93" s="1"/>
  <c r="EG97" i="93"/>
  <c r="EH97" i="93" s="1"/>
  <c r="EG93" i="93"/>
  <c r="EH93" i="93" s="1"/>
  <c r="EG89" i="93"/>
  <c r="EH89" i="93" s="1"/>
  <c r="EG85" i="93"/>
  <c r="EH85" i="93" s="1"/>
  <c r="EG81" i="93"/>
  <c r="EH81" i="93" s="1"/>
  <c r="EG77" i="93"/>
  <c r="EH77" i="93" s="1"/>
  <c r="EG73" i="93"/>
  <c r="EH73" i="93" s="1"/>
  <c r="EG69" i="93"/>
  <c r="EH69" i="93" s="1"/>
  <c r="EG65" i="93"/>
  <c r="EH65" i="93" s="1"/>
  <c r="EG64" i="93"/>
  <c r="EH64" i="93" s="1"/>
  <c r="EY111" i="93"/>
  <c r="EY107" i="93"/>
  <c r="EY99" i="93"/>
  <c r="EY91" i="93"/>
  <c r="EY71" i="93"/>
  <c r="JS7" i="93"/>
  <c r="JS8" i="93"/>
  <c r="FA106" i="93"/>
  <c r="FA98" i="93"/>
  <c r="FA90" i="93"/>
  <c r="FA70" i="93"/>
  <c r="FA113" i="93"/>
  <c r="FA105" i="93"/>
  <c r="FB112" i="93"/>
  <c r="FB108" i="93"/>
  <c r="FB104" i="93"/>
  <c r="FB100" i="93"/>
  <c r="FB96" i="93"/>
  <c r="FB92" i="93"/>
  <c r="FB88" i="93"/>
  <c r="FB84" i="93"/>
  <c r="FA76" i="93"/>
  <c r="EY72" i="93"/>
  <c r="EY68" i="93"/>
  <c r="EY103" i="93"/>
  <c r="EY95" i="93"/>
  <c r="EY83" i="93"/>
  <c r="EY75" i="93"/>
  <c r="EY67" i="93"/>
  <c r="FA110" i="93"/>
  <c r="FA102" i="93"/>
  <c r="FA94" i="93"/>
  <c r="FA82" i="93"/>
  <c r="FA74" i="93"/>
  <c r="FA66" i="93"/>
  <c r="FA109" i="93"/>
  <c r="FA101" i="93"/>
  <c r="FA97" i="93"/>
  <c r="FA89" i="93"/>
  <c r="FA81" i="93"/>
  <c r="FB73" i="93"/>
  <c r="EY87" i="93"/>
  <c r="FA85" i="93"/>
  <c r="FB77" i="93"/>
  <c r="EY79" i="93"/>
  <c r="EY78" i="93"/>
  <c r="FA96" i="93"/>
  <c r="EY66" i="93"/>
  <c r="FA88" i="93"/>
  <c r="EY64" i="93"/>
  <c r="FA112" i="93"/>
  <c r="FB72" i="93"/>
  <c r="EY98" i="93"/>
  <c r="FA104" i="93"/>
  <c r="EY82" i="93"/>
  <c r="FA107" i="93"/>
  <c r="FA91" i="93"/>
  <c r="FB107" i="93"/>
  <c r="FB91" i="93"/>
  <c r="EY94" i="93"/>
  <c r="FB106" i="93"/>
  <c r="FB98" i="93"/>
  <c r="FB90" i="93"/>
  <c r="FB71" i="93"/>
  <c r="EY106" i="93"/>
  <c r="EY90" i="93"/>
  <c r="EY74" i="93"/>
  <c r="FA111" i="93"/>
  <c r="FA103" i="93"/>
  <c r="FA95" i="93"/>
  <c r="FA87" i="93"/>
  <c r="FB111" i="93"/>
  <c r="FB103" i="93"/>
  <c r="FB95" i="93"/>
  <c r="FB87" i="93"/>
  <c r="FB76" i="93"/>
  <c r="FB68" i="93"/>
  <c r="FA99" i="93"/>
  <c r="FA83" i="93"/>
  <c r="FB99" i="93"/>
  <c r="FB83" i="93"/>
  <c r="EY110" i="93"/>
  <c r="FB82" i="93"/>
  <c r="EY102" i="93"/>
  <c r="EY86" i="93"/>
  <c r="EY70" i="93"/>
  <c r="FA108" i="93"/>
  <c r="FA100" i="93"/>
  <c r="FA92" i="93"/>
  <c r="FA84" i="93"/>
  <c r="FB110" i="93"/>
  <c r="FB102" i="93"/>
  <c r="FB94" i="93"/>
  <c r="FB75" i="93"/>
  <c r="FA77" i="93"/>
  <c r="EY113" i="93"/>
  <c r="EY109" i="93"/>
  <c r="EY101" i="93"/>
  <c r="EY93" i="93"/>
  <c r="EY85" i="93"/>
  <c r="EY73" i="93"/>
  <c r="FA72" i="93"/>
  <c r="FA68" i="93"/>
  <c r="EY112" i="93"/>
  <c r="EY108" i="93"/>
  <c r="EY104" i="93"/>
  <c r="EY100" i="93"/>
  <c r="EY96" i="93"/>
  <c r="EY92" i="93"/>
  <c r="EY88" i="93"/>
  <c r="EY84" i="93"/>
  <c r="EY80" i="93"/>
  <c r="EY76" i="93"/>
  <c r="FA75" i="93"/>
  <c r="FA71" i="93"/>
  <c r="FB113" i="93"/>
  <c r="FB109" i="93"/>
  <c r="FB105" i="93"/>
  <c r="FB101" i="93"/>
  <c r="FB97" i="93"/>
  <c r="FB89" i="93"/>
  <c r="FB85" i="93"/>
  <c r="FB81" i="93"/>
  <c r="FB74" i="93"/>
  <c r="FB70" i="93"/>
  <c r="FB66" i="93"/>
  <c r="FA73" i="93"/>
  <c r="EY105" i="93"/>
  <c r="EY97" i="93"/>
  <c r="EY89" i="93"/>
  <c r="EY81" i="93"/>
  <c r="EY77" i="93"/>
  <c r="EY69" i="93"/>
  <c r="EY65" i="93"/>
  <c r="A128" i="97" l="1"/>
  <c r="DG130" i="123" l="1"/>
  <c r="DG131" i="123"/>
  <c r="DG132" i="123"/>
  <c r="DG133" i="123"/>
  <c r="DG134" i="123"/>
  <c r="DG135" i="123"/>
  <c r="DG136" i="123"/>
  <c r="DG137" i="123"/>
  <c r="DG138" i="123"/>
  <c r="DG139" i="123"/>
  <c r="DG140" i="123"/>
  <c r="DG141" i="123"/>
  <c r="DG142" i="123"/>
  <c r="DG143" i="123"/>
  <c r="DG144" i="123"/>
  <c r="DG145" i="123"/>
  <c r="DG146" i="123"/>
  <c r="DG147" i="123"/>
  <c r="DG148" i="123"/>
  <c r="DG149" i="123"/>
  <c r="DG150" i="123"/>
  <c r="DG151" i="123"/>
  <c r="DG152" i="123"/>
  <c r="DG153" i="123"/>
  <c r="DG154" i="123"/>
  <c r="DG155" i="123"/>
  <c r="DG156" i="123"/>
  <c r="DG157" i="123"/>
  <c r="DG158" i="123"/>
  <c r="DG159" i="123"/>
  <c r="DG160" i="123"/>
  <c r="DG161" i="123"/>
  <c r="DG162" i="123"/>
  <c r="DG163" i="123"/>
  <c r="DG164" i="123"/>
  <c r="DG165" i="123"/>
  <c r="DG166" i="123"/>
  <c r="DG167" i="123"/>
  <c r="DG168" i="123"/>
  <c r="DG169" i="123"/>
  <c r="DG170" i="123"/>
  <c r="DG171" i="123"/>
  <c r="DG172" i="123"/>
  <c r="DG173" i="123"/>
  <c r="DG174" i="123"/>
  <c r="DG175" i="123"/>
  <c r="DG176" i="123"/>
  <c r="DG177" i="123"/>
  <c r="DG178" i="123"/>
  <c r="DG179" i="123"/>
  <c r="DG180" i="123"/>
  <c r="DG181" i="123"/>
  <c r="DG182" i="123"/>
  <c r="DG183" i="123"/>
  <c r="DG184" i="123"/>
  <c r="DG185" i="123"/>
  <c r="DG186" i="123"/>
  <c r="DG187" i="123"/>
  <c r="DG188" i="123"/>
  <c r="DG189" i="123"/>
  <c r="DG190" i="123"/>
  <c r="DG191" i="123"/>
  <c r="DG192" i="123"/>
  <c r="DG193" i="123"/>
  <c r="DG194" i="123"/>
  <c r="DG195" i="123"/>
  <c r="DG196" i="123"/>
  <c r="DG197" i="123"/>
  <c r="DG198" i="123"/>
  <c r="DG199" i="123"/>
  <c r="DG200" i="123"/>
  <c r="DG201" i="123"/>
  <c r="DG202" i="123"/>
  <c r="DG203" i="123"/>
  <c r="DG204" i="123"/>
  <c r="DG205" i="123"/>
  <c r="DG206" i="123"/>
  <c r="DG207" i="123"/>
  <c r="DG208" i="123"/>
  <c r="DG209" i="123"/>
  <c r="DG225" i="123"/>
  <c r="DG226" i="123"/>
  <c r="DG227" i="123"/>
  <c r="DG228" i="123"/>
  <c r="DG229" i="123"/>
  <c r="DG230" i="123"/>
  <c r="DG231" i="123"/>
  <c r="DG232" i="123"/>
  <c r="DG233" i="123"/>
  <c r="DG234" i="123"/>
  <c r="DG235" i="123"/>
  <c r="DG236" i="123"/>
  <c r="DG237" i="123"/>
  <c r="DG238" i="123"/>
  <c r="DG239" i="123"/>
  <c r="DG240" i="123"/>
  <c r="DG241" i="123"/>
  <c r="DG242" i="123"/>
  <c r="DG243" i="123"/>
  <c r="DG244" i="123"/>
  <c r="DG245" i="123"/>
  <c r="DG246" i="123"/>
  <c r="DG247" i="123"/>
  <c r="DG248" i="123"/>
  <c r="DG249" i="123"/>
  <c r="DG250" i="123"/>
  <c r="DG251" i="123"/>
  <c r="DG252" i="123"/>
  <c r="DG253" i="123"/>
  <c r="DG254" i="123"/>
  <c r="DG255" i="123"/>
  <c r="DG256" i="123"/>
  <c r="DG257" i="123"/>
  <c r="DG258" i="123"/>
  <c r="DG259" i="123"/>
  <c r="DG260" i="123"/>
  <c r="DG261" i="123"/>
  <c r="DG262" i="123"/>
  <c r="DG263" i="123"/>
  <c r="DG264" i="123"/>
  <c r="DG265" i="123"/>
  <c r="DG266" i="123"/>
  <c r="DG267" i="123"/>
  <c r="DG268" i="123"/>
  <c r="DG269" i="123"/>
  <c r="DG270" i="123"/>
  <c r="DG271" i="123"/>
  <c r="DG272" i="123"/>
  <c r="DG273" i="123"/>
  <c r="DG274" i="123"/>
  <c r="DG275" i="123"/>
  <c r="DG276" i="123"/>
  <c r="DG277" i="123"/>
  <c r="DG278" i="123"/>
  <c r="DG279" i="123"/>
  <c r="DG280" i="123"/>
  <c r="DG281" i="123"/>
  <c r="DG282" i="123"/>
  <c r="DG283" i="123"/>
  <c r="DG284" i="123"/>
  <c r="DG285" i="123"/>
  <c r="DG286" i="123"/>
  <c r="DG287" i="123"/>
  <c r="DG288" i="123"/>
  <c r="DG289" i="123"/>
  <c r="DG290" i="123"/>
  <c r="DG291" i="123"/>
  <c r="DG292" i="123"/>
  <c r="DG293" i="123"/>
  <c r="DG294" i="123"/>
  <c r="DG295" i="123"/>
  <c r="DG296" i="123"/>
  <c r="DG297" i="123"/>
  <c r="DG298" i="123"/>
  <c r="DG299" i="123"/>
  <c r="DG300" i="123"/>
  <c r="DG301" i="123"/>
  <c r="DG302" i="123"/>
  <c r="DG303" i="123"/>
  <c r="DG304" i="123"/>
  <c r="DG129" i="123"/>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H363" i="1" s="1"/>
  <c r="AI364" i="1"/>
  <c r="AH364" i="1" s="1"/>
  <c r="AI174" i="1"/>
  <c r="AI175" i="1"/>
  <c r="AI176" i="1"/>
  <c r="AI173" i="1"/>
  <c r="AH361" i="1" l="1"/>
  <c r="CR361" i="1"/>
  <c r="AH353" i="1"/>
  <c r="CR353" i="1"/>
  <c r="AH345" i="1"/>
  <c r="CR345" i="1"/>
  <c r="AH337" i="1"/>
  <c r="CR337" i="1"/>
  <c r="AH329" i="1"/>
  <c r="CR329" i="1"/>
  <c r="AH321" i="1"/>
  <c r="CR321" i="1"/>
  <c r="AH313" i="1"/>
  <c r="CR313" i="1"/>
  <c r="AH305" i="1"/>
  <c r="CR305" i="1"/>
  <c r="AH297" i="1"/>
  <c r="CR297" i="1"/>
  <c r="AH293" i="1"/>
  <c r="CR293" i="1"/>
  <c r="AH285" i="1"/>
  <c r="CR285" i="1"/>
  <c r="AH277" i="1"/>
  <c r="CR277" i="1"/>
  <c r="AH269" i="1"/>
  <c r="CR269" i="1"/>
  <c r="AH261" i="1"/>
  <c r="CR261" i="1"/>
  <c r="AH253" i="1"/>
  <c r="CR253" i="1"/>
  <c r="AH245" i="1"/>
  <c r="CR245" i="1"/>
  <c r="AH237" i="1"/>
  <c r="CR237" i="1"/>
  <c r="AH229" i="1"/>
  <c r="CR229" i="1"/>
  <c r="AH221" i="1"/>
  <c r="CR221" i="1"/>
  <c r="AH198" i="1"/>
  <c r="CR198" i="1"/>
  <c r="AH190" i="1"/>
  <c r="CR190" i="1"/>
  <c r="AH182" i="1"/>
  <c r="CR182" i="1"/>
  <c r="AH176" i="1"/>
  <c r="CR176" i="1"/>
  <c r="AH362" i="1"/>
  <c r="CR362" i="1"/>
  <c r="AH358" i="1"/>
  <c r="CR358" i="1"/>
  <c r="AH354" i="1"/>
  <c r="CR354" i="1"/>
  <c r="AH350" i="1"/>
  <c r="CR350" i="1"/>
  <c r="AH346" i="1"/>
  <c r="CR346" i="1"/>
  <c r="AH342" i="1"/>
  <c r="CR342" i="1"/>
  <c r="AH338" i="1"/>
  <c r="CR338" i="1"/>
  <c r="AH334" i="1"/>
  <c r="CR334" i="1"/>
  <c r="AH330" i="1"/>
  <c r="CR330" i="1"/>
  <c r="AH326" i="1"/>
  <c r="CR326" i="1"/>
  <c r="AH322" i="1"/>
  <c r="CR322" i="1"/>
  <c r="AH318" i="1"/>
  <c r="CR318" i="1"/>
  <c r="AH314" i="1"/>
  <c r="CR314" i="1"/>
  <c r="AH310" i="1"/>
  <c r="CR310" i="1"/>
  <c r="AH306" i="1"/>
  <c r="CR306" i="1"/>
  <c r="AH302" i="1"/>
  <c r="CR302" i="1"/>
  <c r="AH298" i="1"/>
  <c r="CR298" i="1"/>
  <c r="AH294" i="1"/>
  <c r="CR294" i="1"/>
  <c r="AH290" i="1"/>
  <c r="CR290" i="1"/>
  <c r="AH286" i="1"/>
  <c r="CR286" i="1"/>
  <c r="AH282" i="1"/>
  <c r="CR282" i="1"/>
  <c r="AH278" i="1"/>
  <c r="CR278" i="1"/>
  <c r="AH274" i="1"/>
  <c r="CR274" i="1"/>
  <c r="AH270" i="1"/>
  <c r="CR270" i="1"/>
  <c r="AH266" i="1"/>
  <c r="CR266" i="1"/>
  <c r="AH262" i="1"/>
  <c r="CR262" i="1"/>
  <c r="AH258" i="1"/>
  <c r="CR258" i="1"/>
  <c r="AH254" i="1"/>
  <c r="CR254" i="1"/>
  <c r="AH250" i="1"/>
  <c r="CR250" i="1"/>
  <c r="AH246" i="1"/>
  <c r="CR246" i="1"/>
  <c r="AH242" i="1"/>
  <c r="CR242" i="1"/>
  <c r="AH238" i="1"/>
  <c r="CR238" i="1"/>
  <c r="AH234" i="1"/>
  <c r="CR234" i="1"/>
  <c r="AH230" i="1"/>
  <c r="CR230" i="1"/>
  <c r="AH226" i="1"/>
  <c r="CR226" i="1"/>
  <c r="AH222" i="1"/>
  <c r="CR222" i="1"/>
  <c r="AH203" i="1"/>
  <c r="CR203" i="1"/>
  <c r="AH199" i="1"/>
  <c r="CR199" i="1"/>
  <c r="AH195" i="1"/>
  <c r="CR195" i="1"/>
  <c r="AH191" i="1"/>
  <c r="CR191" i="1"/>
  <c r="AH187" i="1"/>
  <c r="CR187" i="1"/>
  <c r="AH183" i="1"/>
  <c r="CR183" i="1"/>
  <c r="AH174" i="1"/>
  <c r="CR174" i="1"/>
  <c r="AH357" i="1"/>
  <c r="CR357" i="1"/>
  <c r="AH349" i="1"/>
  <c r="CR349" i="1"/>
  <c r="AH341" i="1"/>
  <c r="CR341" i="1"/>
  <c r="AH333" i="1"/>
  <c r="CR333" i="1"/>
  <c r="AH325" i="1"/>
  <c r="CR325" i="1"/>
  <c r="AH317" i="1"/>
  <c r="CR317" i="1"/>
  <c r="AH309" i="1"/>
  <c r="CR309" i="1"/>
  <c r="AH301" i="1"/>
  <c r="CR301" i="1"/>
  <c r="AH289" i="1"/>
  <c r="CR289" i="1"/>
  <c r="AH281" i="1"/>
  <c r="CR281" i="1"/>
  <c r="AH273" i="1"/>
  <c r="CR273" i="1"/>
  <c r="AH265" i="1"/>
  <c r="CR265" i="1"/>
  <c r="AH257" i="1"/>
  <c r="CR257" i="1"/>
  <c r="AH249" i="1"/>
  <c r="CR249" i="1"/>
  <c r="AH241" i="1"/>
  <c r="CR241" i="1"/>
  <c r="AH233" i="1"/>
  <c r="CR233" i="1"/>
  <c r="AH225" i="1"/>
  <c r="CR225" i="1"/>
  <c r="AH202" i="1"/>
  <c r="CR202" i="1"/>
  <c r="AH194" i="1"/>
  <c r="CR194" i="1"/>
  <c r="AH186" i="1"/>
  <c r="CR186" i="1"/>
  <c r="AH178" i="1"/>
  <c r="CR178" i="1"/>
  <c r="AH173" i="1"/>
  <c r="CR173" i="1"/>
  <c r="AH360" i="1"/>
  <c r="CR360" i="1"/>
  <c r="AH356" i="1"/>
  <c r="CR356" i="1"/>
  <c r="AH352" i="1"/>
  <c r="CR352" i="1"/>
  <c r="AH348" i="1"/>
  <c r="CR348" i="1"/>
  <c r="AH344" i="1"/>
  <c r="CR344" i="1"/>
  <c r="AH340" i="1"/>
  <c r="CR340" i="1"/>
  <c r="AH336" i="1"/>
  <c r="CR336" i="1"/>
  <c r="AH332" i="1"/>
  <c r="CR332" i="1"/>
  <c r="AH328" i="1"/>
  <c r="CR328" i="1"/>
  <c r="AH324" i="1"/>
  <c r="CR324" i="1"/>
  <c r="AH320" i="1"/>
  <c r="CR320" i="1"/>
  <c r="AH316" i="1"/>
  <c r="CR316" i="1"/>
  <c r="AH312" i="1"/>
  <c r="CR312" i="1"/>
  <c r="AH308" i="1"/>
  <c r="CR308" i="1"/>
  <c r="AH304" i="1"/>
  <c r="CR304" i="1"/>
  <c r="AH300" i="1"/>
  <c r="CR300" i="1"/>
  <c r="AH296" i="1"/>
  <c r="CR296" i="1"/>
  <c r="AH292" i="1"/>
  <c r="CR292" i="1"/>
  <c r="AH288" i="1"/>
  <c r="CR288" i="1"/>
  <c r="AH284" i="1"/>
  <c r="CR284" i="1"/>
  <c r="AH280" i="1"/>
  <c r="CR280" i="1"/>
  <c r="AH276" i="1"/>
  <c r="CR276" i="1"/>
  <c r="AH272" i="1"/>
  <c r="CR272" i="1"/>
  <c r="AH268" i="1"/>
  <c r="CR268" i="1"/>
  <c r="AH264" i="1"/>
  <c r="CR264" i="1"/>
  <c r="AH260" i="1"/>
  <c r="CR260" i="1"/>
  <c r="AH256" i="1"/>
  <c r="CR256" i="1"/>
  <c r="AH252" i="1"/>
  <c r="CR252" i="1"/>
  <c r="AH248" i="1"/>
  <c r="CR248" i="1"/>
  <c r="AH244" i="1"/>
  <c r="CR244" i="1"/>
  <c r="AH240" i="1"/>
  <c r="CR240" i="1"/>
  <c r="AH236" i="1"/>
  <c r="CR236" i="1"/>
  <c r="AH232" i="1"/>
  <c r="CR232" i="1"/>
  <c r="AH228" i="1"/>
  <c r="CR228" i="1"/>
  <c r="AH224" i="1"/>
  <c r="CR224" i="1"/>
  <c r="AH220" i="1"/>
  <c r="CR220" i="1"/>
  <c r="AH201" i="1"/>
  <c r="CR201" i="1"/>
  <c r="AH197" i="1"/>
  <c r="CR197" i="1"/>
  <c r="AH193" i="1"/>
  <c r="CR193" i="1"/>
  <c r="AH177" i="1"/>
  <c r="CR177" i="1"/>
  <c r="AH359" i="1"/>
  <c r="CR359" i="1"/>
  <c r="AH355" i="1"/>
  <c r="CR355" i="1"/>
  <c r="AH351" i="1"/>
  <c r="CR351" i="1"/>
  <c r="AH347" i="1"/>
  <c r="CR347" i="1"/>
  <c r="AH343" i="1"/>
  <c r="CR343" i="1"/>
  <c r="AH339" i="1"/>
  <c r="CR339" i="1"/>
  <c r="AH335" i="1"/>
  <c r="CR335" i="1"/>
  <c r="AH331" i="1"/>
  <c r="CR331" i="1"/>
  <c r="AH327" i="1"/>
  <c r="CR327" i="1"/>
  <c r="AH323" i="1"/>
  <c r="CR323" i="1"/>
  <c r="AH319" i="1"/>
  <c r="CR319" i="1"/>
  <c r="AH315" i="1"/>
  <c r="CR315" i="1"/>
  <c r="AH311" i="1"/>
  <c r="CR311" i="1"/>
  <c r="AH307" i="1"/>
  <c r="CR307" i="1"/>
  <c r="AH303" i="1"/>
  <c r="CR303" i="1"/>
  <c r="AH299" i="1"/>
  <c r="CR299" i="1"/>
  <c r="AH295" i="1"/>
  <c r="CR295" i="1"/>
  <c r="AH291" i="1"/>
  <c r="CR291" i="1"/>
  <c r="AH287" i="1"/>
  <c r="CR287" i="1"/>
  <c r="AH283" i="1"/>
  <c r="CR283" i="1"/>
  <c r="AH279" i="1"/>
  <c r="CR279" i="1"/>
  <c r="AH275" i="1"/>
  <c r="CR275" i="1"/>
  <c r="AH271" i="1"/>
  <c r="CR271" i="1"/>
  <c r="AH267" i="1"/>
  <c r="CR267" i="1"/>
  <c r="AH263" i="1"/>
  <c r="CR263" i="1"/>
  <c r="AH259" i="1"/>
  <c r="CR259" i="1"/>
  <c r="AH255" i="1"/>
  <c r="CR255" i="1"/>
  <c r="AH251" i="1"/>
  <c r="CR251" i="1"/>
  <c r="AH247" i="1"/>
  <c r="CR247" i="1"/>
  <c r="AH243" i="1"/>
  <c r="CR243" i="1"/>
  <c r="AH239" i="1"/>
  <c r="CR239" i="1"/>
  <c r="AH235" i="1"/>
  <c r="CR235" i="1"/>
  <c r="AH231" i="1"/>
  <c r="CR231" i="1"/>
  <c r="AH227" i="1"/>
  <c r="CR227" i="1"/>
  <c r="AH223" i="1"/>
  <c r="CR223" i="1"/>
  <c r="AH204" i="1"/>
  <c r="CR204" i="1"/>
  <c r="AH200" i="1"/>
  <c r="CR200" i="1"/>
  <c r="AH196" i="1"/>
  <c r="CR196" i="1"/>
  <c r="AH192" i="1"/>
  <c r="CR192" i="1"/>
  <c r="AH188" i="1"/>
  <c r="CR188" i="1"/>
  <c r="AH184" i="1"/>
  <c r="CR184" i="1"/>
  <c r="AH180" i="1"/>
  <c r="CR180" i="1"/>
  <c r="CY129" i="123"/>
  <c r="AG129" i="123"/>
  <c r="CY301" i="123"/>
  <c r="AG301" i="123"/>
  <c r="CY297" i="123"/>
  <c r="AG297" i="123"/>
  <c r="CY293" i="123"/>
  <c r="AG293" i="123"/>
  <c r="CY289" i="123"/>
  <c r="AG289" i="123"/>
  <c r="CY285" i="123"/>
  <c r="AG285" i="123"/>
  <c r="CY281" i="123"/>
  <c r="AG281" i="123"/>
  <c r="CY277" i="123"/>
  <c r="AG277" i="123"/>
  <c r="CY273" i="123"/>
  <c r="AG273" i="123"/>
  <c r="CY269" i="123"/>
  <c r="AG269" i="123"/>
  <c r="CY265" i="123"/>
  <c r="AG265" i="123"/>
  <c r="CY261" i="123"/>
  <c r="AG261" i="123"/>
  <c r="CY257" i="123"/>
  <c r="AG257" i="123"/>
  <c r="CY253" i="123"/>
  <c r="AG253" i="123"/>
  <c r="CY249" i="123"/>
  <c r="AG249" i="123"/>
  <c r="CY245" i="123"/>
  <c r="AG245" i="123"/>
  <c r="CY241" i="123"/>
  <c r="AG241" i="123"/>
  <c r="CY237" i="123"/>
  <c r="AG237" i="123"/>
  <c r="CY233" i="123"/>
  <c r="AG233" i="123"/>
  <c r="CY229" i="123"/>
  <c r="AG229" i="123"/>
  <c r="CY225" i="123"/>
  <c r="AG225" i="123"/>
  <c r="CY206" i="123"/>
  <c r="AG206" i="123"/>
  <c r="CY202" i="123"/>
  <c r="AG202" i="123"/>
  <c r="CY198" i="123"/>
  <c r="AG198" i="123"/>
  <c r="CY194" i="123"/>
  <c r="AG194" i="123"/>
  <c r="CY190" i="123"/>
  <c r="AG190" i="123"/>
  <c r="CY186" i="123"/>
  <c r="AG186" i="123"/>
  <c r="CY182" i="123"/>
  <c r="AG182" i="123"/>
  <c r="CY178" i="123"/>
  <c r="AG178" i="123"/>
  <c r="CY174" i="123"/>
  <c r="AG174" i="123"/>
  <c r="CY170" i="123"/>
  <c r="AG170" i="123"/>
  <c r="CY166" i="123"/>
  <c r="AG166" i="123"/>
  <c r="CY162" i="123"/>
  <c r="AG162" i="123"/>
  <c r="CY158" i="123"/>
  <c r="AG158" i="123"/>
  <c r="CY154" i="123"/>
  <c r="AG154" i="123"/>
  <c r="CY150" i="123"/>
  <c r="AG150" i="123"/>
  <c r="CY146" i="123"/>
  <c r="AG146" i="123"/>
  <c r="CY142" i="123"/>
  <c r="AG142" i="123"/>
  <c r="CY138" i="123"/>
  <c r="AG138" i="123"/>
  <c r="CY134" i="123"/>
  <c r="AG134" i="123"/>
  <c r="CY130" i="123"/>
  <c r="AG130" i="123"/>
  <c r="CY300" i="123"/>
  <c r="AG300" i="123"/>
  <c r="CY296" i="123"/>
  <c r="AG296" i="123"/>
  <c r="CY292" i="123"/>
  <c r="AG292" i="123"/>
  <c r="CY288" i="123"/>
  <c r="AG288" i="123"/>
  <c r="CY284" i="123"/>
  <c r="AG284" i="123"/>
  <c r="CY280" i="123"/>
  <c r="AG280" i="123"/>
  <c r="CY276" i="123"/>
  <c r="AG276" i="123"/>
  <c r="CY272" i="123"/>
  <c r="AG272" i="123"/>
  <c r="CY268" i="123"/>
  <c r="AG268" i="123"/>
  <c r="CY264" i="123"/>
  <c r="AG264" i="123"/>
  <c r="CY260" i="123"/>
  <c r="AG260" i="123"/>
  <c r="CY256" i="123"/>
  <c r="AG256" i="123"/>
  <c r="CY252" i="123"/>
  <c r="AG252" i="123"/>
  <c r="CY248" i="123"/>
  <c r="AG248" i="123"/>
  <c r="CY244" i="123"/>
  <c r="AG244" i="123"/>
  <c r="CY240" i="123"/>
  <c r="AG240" i="123"/>
  <c r="CY236" i="123"/>
  <c r="AG236" i="123"/>
  <c r="CY232" i="123"/>
  <c r="AG232" i="123"/>
  <c r="CY228" i="123"/>
  <c r="AG228" i="123"/>
  <c r="CY209" i="123"/>
  <c r="AG209" i="123"/>
  <c r="CY205" i="123"/>
  <c r="AG205" i="123"/>
  <c r="CY201" i="123"/>
  <c r="AG201" i="123"/>
  <c r="CY197" i="123"/>
  <c r="AG197" i="123"/>
  <c r="CY193" i="123"/>
  <c r="AG193" i="123"/>
  <c r="CY189" i="123"/>
  <c r="AG189" i="123"/>
  <c r="CY185" i="123"/>
  <c r="AG185" i="123"/>
  <c r="CY181" i="123"/>
  <c r="AG181" i="123"/>
  <c r="CY177" i="123"/>
  <c r="AG177" i="123"/>
  <c r="CY173" i="123"/>
  <c r="AG173" i="123"/>
  <c r="CY169" i="123"/>
  <c r="AG169" i="123"/>
  <c r="CY165" i="123"/>
  <c r="AG165" i="123"/>
  <c r="CY161" i="123"/>
  <c r="AG161" i="123"/>
  <c r="CY157" i="123"/>
  <c r="AG157" i="123"/>
  <c r="CY153" i="123"/>
  <c r="AG153" i="123"/>
  <c r="CY149" i="123"/>
  <c r="AG149" i="123"/>
  <c r="CY145" i="123"/>
  <c r="AG145" i="123"/>
  <c r="CY141" i="123"/>
  <c r="AG141" i="123"/>
  <c r="CY137" i="123"/>
  <c r="AG137" i="123"/>
  <c r="CY303" i="123"/>
  <c r="AG303" i="123"/>
  <c r="CY299" i="123"/>
  <c r="AG299" i="123"/>
  <c r="CY295" i="123"/>
  <c r="AG295" i="123"/>
  <c r="CY291" i="123"/>
  <c r="AG291" i="123"/>
  <c r="CY287" i="123"/>
  <c r="AG287" i="123"/>
  <c r="CY283" i="123"/>
  <c r="AG283" i="123"/>
  <c r="CY279" i="123"/>
  <c r="AG279" i="123"/>
  <c r="CY275" i="123"/>
  <c r="AG275" i="123"/>
  <c r="CY271" i="123"/>
  <c r="AG271" i="123"/>
  <c r="CY267" i="123"/>
  <c r="AG267" i="123"/>
  <c r="CY263" i="123"/>
  <c r="AG263" i="123"/>
  <c r="CY259" i="123"/>
  <c r="AG259" i="123"/>
  <c r="CY255" i="123"/>
  <c r="AG255" i="123"/>
  <c r="CY251" i="123"/>
  <c r="AG251" i="123"/>
  <c r="CY247" i="123"/>
  <c r="AG247" i="123"/>
  <c r="CY243" i="123"/>
  <c r="AG243" i="123"/>
  <c r="CY239" i="123"/>
  <c r="AG239" i="123"/>
  <c r="CY235" i="123"/>
  <c r="AG235" i="123"/>
  <c r="CY231" i="123"/>
  <c r="AG231" i="123"/>
  <c r="CY227" i="123"/>
  <c r="AG227" i="123"/>
  <c r="CY208" i="123"/>
  <c r="AG208" i="123"/>
  <c r="CY204" i="123"/>
  <c r="AG204" i="123"/>
  <c r="CY200" i="123"/>
  <c r="AG200" i="123"/>
  <c r="CY192" i="123"/>
  <c r="AG192" i="123"/>
  <c r="CY188" i="123"/>
  <c r="AG188" i="123"/>
  <c r="CY184" i="123"/>
  <c r="AG184" i="123"/>
  <c r="CY180" i="123"/>
  <c r="AG180" i="123"/>
  <c r="CY176" i="123"/>
  <c r="AG176" i="123"/>
  <c r="CY172" i="123"/>
  <c r="AG172" i="123"/>
  <c r="CY168" i="123"/>
  <c r="AG168" i="123"/>
  <c r="CY164" i="123"/>
  <c r="AG164" i="123"/>
  <c r="CY160" i="123"/>
  <c r="AG160" i="123"/>
  <c r="CY156" i="123"/>
  <c r="AG156" i="123"/>
  <c r="CY152" i="123"/>
  <c r="AG152" i="123"/>
  <c r="CY148" i="123"/>
  <c r="AG148" i="123"/>
  <c r="CY144" i="123"/>
  <c r="AG144" i="123"/>
  <c r="CY140" i="123"/>
  <c r="AG140" i="123"/>
  <c r="CY136" i="123"/>
  <c r="AG136" i="123"/>
  <c r="CY302" i="123"/>
  <c r="AG302" i="123"/>
  <c r="CY298" i="123"/>
  <c r="AG298" i="123"/>
  <c r="CY294" i="123"/>
  <c r="AG294" i="123"/>
  <c r="CY290" i="123"/>
  <c r="AG290" i="123"/>
  <c r="CY286" i="123"/>
  <c r="AG286" i="123"/>
  <c r="CY282" i="123"/>
  <c r="AG282" i="123"/>
  <c r="CY278" i="123"/>
  <c r="AG278" i="123"/>
  <c r="CY274" i="123"/>
  <c r="AG274" i="123"/>
  <c r="CY270" i="123"/>
  <c r="AG270" i="123"/>
  <c r="CY266" i="123"/>
  <c r="AG266" i="123"/>
  <c r="CY262" i="123"/>
  <c r="AG262" i="123"/>
  <c r="CY258" i="123"/>
  <c r="AG258" i="123"/>
  <c r="CY254" i="123"/>
  <c r="AG254" i="123"/>
  <c r="CY250" i="123"/>
  <c r="AG250" i="123"/>
  <c r="CY246" i="123"/>
  <c r="AG246" i="123"/>
  <c r="CY242" i="123"/>
  <c r="AG242" i="123"/>
  <c r="CY238" i="123"/>
  <c r="AG238" i="123"/>
  <c r="CY234" i="123"/>
  <c r="AG234" i="123"/>
  <c r="CY230" i="123"/>
  <c r="AG230" i="123"/>
  <c r="CY226" i="123"/>
  <c r="AG226" i="123"/>
  <c r="CY207" i="123"/>
  <c r="AG207" i="123"/>
  <c r="CY203" i="123"/>
  <c r="AG203" i="123"/>
  <c r="CY199" i="123"/>
  <c r="AG199" i="123"/>
  <c r="CY195" i="123"/>
  <c r="AG195" i="123"/>
  <c r="CY191" i="123"/>
  <c r="AG191" i="123"/>
  <c r="CY187" i="123"/>
  <c r="AG187" i="123"/>
  <c r="CY183" i="123"/>
  <c r="AG183" i="123"/>
  <c r="CY179" i="123"/>
  <c r="AG179" i="123"/>
  <c r="CY175" i="123"/>
  <c r="AG175" i="123"/>
  <c r="CY171" i="123"/>
  <c r="AG171" i="123"/>
  <c r="CY167" i="123"/>
  <c r="AG167" i="123"/>
  <c r="CY163" i="123"/>
  <c r="AG163" i="123"/>
  <c r="CY159" i="123"/>
  <c r="AG159" i="123"/>
  <c r="CY155" i="123"/>
  <c r="AG155" i="123"/>
  <c r="CY151" i="123"/>
  <c r="AG151" i="123"/>
  <c r="CY147" i="123"/>
  <c r="AG147" i="123"/>
  <c r="CY143" i="123"/>
  <c r="AG143" i="123"/>
  <c r="CY139" i="123"/>
  <c r="AG139" i="123"/>
  <c r="CY135" i="123"/>
  <c r="AG135" i="123"/>
  <c r="CY131" i="123"/>
  <c r="AG131" i="123"/>
  <c r="CY196" i="123"/>
  <c r="AG196" i="123"/>
  <c r="CY133" i="123"/>
  <c r="AG133" i="123"/>
  <c r="CY132" i="123"/>
  <c r="AG132" i="123"/>
  <c r="AH175" i="1"/>
  <c r="CR175" i="1"/>
  <c r="AH189" i="1"/>
  <c r="CR189" i="1"/>
  <c r="AH179" i="1"/>
  <c r="CR179" i="1"/>
  <c r="AH185" i="1"/>
  <c r="CR185" i="1"/>
  <c r="AH181" i="1"/>
  <c r="CR181" i="1"/>
  <c r="FW174" i="1"/>
  <c r="FW194" i="1"/>
  <c r="FW200" i="1"/>
  <c r="FW201" i="1"/>
  <c r="FW204" i="1"/>
  <c r="FW220" i="1"/>
  <c r="FW221" i="1"/>
  <c r="FW222" i="1"/>
  <c r="FW345" i="1"/>
  <c r="FW346" i="1"/>
  <c r="FW347" i="1"/>
  <c r="FW348" i="1"/>
  <c r="FW349" i="1"/>
  <c r="FW350" i="1"/>
  <c r="FW351" i="1"/>
  <c r="FW352" i="1"/>
  <c r="FW353" i="1"/>
  <c r="FW354" i="1"/>
  <c r="FW355" i="1"/>
  <c r="FW356" i="1"/>
  <c r="FW357" i="1"/>
  <c r="FW358" i="1"/>
  <c r="FW359" i="1"/>
  <c r="FW360" i="1"/>
  <c r="FW361" i="1"/>
  <c r="FW362" i="1"/>
  <c r="FW363" i="1"/>
  <c r="FW364" i="1"/>
  <c r="FW173" i="1"/>
  <c r="FX174" i="1" l="1"/>
  <c r="FX175" i="1"/>
  <c r="FX176" i="1"/>
  <c r="FX177" i="1"/>
  <c r="FX178" i="1"/>
  <c r="FX179" i="1"/>
  <c r="FX180" i="1"/>
  <c r="FX181" i="1"/>
  <c r="FX182" i="1"/>
  <c r="FX183" i="1"/>
  <c r="FX184" i="1"/>
  <c r="FX185" i="1"/>
  <c r="FX186" i="1"/>
  <c r="FX187" i="1"/>
  <c r="FX188" i="1"/>
  <c r="FX189" i="1"/>
  <c r="FX190" i="1"/>
  <c r="FX191" i="1"/>
  <c r="FX192" i="1"/>
  <c r="FX193" i="1"/>
  <c r="FX194" i="1"/>
  <c r="FX195" i="1"/>
  <c r="FX196" i="1"/>
  <c r="FX197" i="1"/>
  <c r="FX198" i="1"/>
  <c r="FX199" i="1"/>
  <c r="FX200" i="1"/>
  <c r="FX201" i="1"/>
  <c r="FX202" i="1"/>
  <c r="FX203" i="1"/>
  <c r="FX204" i="1"/>
  <c r="FX220" i="1"/>
  <c r="FX221" i="1"/>
  <c r="FX222" i="1"/>
  <c r="FX223" i="1"/>
  <c r="FX224" i="1"/>
  <c r="FX225" i="1"/>
  <c r="FX226" i="1"/>
  <c r="FX227" i="1"/>
  <c r="FX228" i="1"/>
  <c r="FX229" i="1"/>
  <c r="FX230" i="1"/>
  <c r="FX231" i="1"/>
  <c r="FX232" i="1"/>
  <c r="FX233" i="1"/>
  <c r="FX234" i="1"/>
  <c r="FX235" i="1"/>
  <c r="FX236" i="1"/>
  <c r="FX237" i="1"/>
  <c r="FX238" i="1"/>
  <c r="FX239" i="1"/>
  <c r="FX240" i="1"/>
  <c r="FX241" i="1"/>
  <c r="FX242" i="1"/>
  <c r="FX243" i="1"/>
  <c r="FX244" i="1"/>
  <c r="FX245" i="1"/>
  <c r="FX246" i="1"/>
  <c r="FX247" i="1"/>
  <c r="FX248" i="1"/>
  <c r="FX249" i="1"/>
  <c r="FX250" i="1"/>
  <c r="FX251" i="1"/>
  <c r="FX252" i="1"/>
  <c r="FX253" i="1"/>
  <c r="FX254" i="1"/>
  <c r="FX255" i="1"/>
  <c r="FX256" i="1"/>
  <c r="FX257" i="1"/>
  <c r="FX258" i="1"/>
  <c r="FX259" i="1"/>
  <c r="FX260" i="1"/>
  <c r="FX261" i="1"/>
  <c r="FX262" i="1"/>
  <c r="FX263" i="1"/>
  <c r="FX264" i="1"/>
  <c r="FX265" i="1"/>
  <c r="FX266" i="1"/>
  <c r="FX267" i="1"/>
  <c r="FX268" i="1"/>
  <c r="FX269" i="1"/>
  <c r="FX270" i="1"/>
  <c r="FX271" i="1"/>
  <c r="FX272" i="1"/>
  <c r="FX273" i="1"/>
  <c r="FX274" i="1"/>
  <c r="FX275" i="1"/>
  <c r="FX276" i="1"/>
  <c r="FX277" i="1"/>
  <c r="FX278" i="1"/>
  <c r="FX279" i="1"/>
  <c r="FX280" i="1"/>
  <c r="FX281" i="1"/>
  <c r="FX282" i="1"/>
  <c r="FX283" i="1"/>
  <c r="FX284" i="1"/>
  <c r="FX285" i="1"/>
  <c r="FX286" i="1"/>
  <c r="FX287" i="1"/>
  <c r="FX288" i="1"/>
  <c r="FX289" i="1"/>
  <c r="FX290" i="1"/>
  <c r="FX291" i="1"/>
  <c r="FX292" i="1"/>
  <c r="FX293" i="1"/>
  <c r="FX294" i="1"/>
  <c r="FX295" i="1"/>
  <c r="FX296" i="1"/>
  <c r="FX297" i="1"/>
  <c r="FX298" i="1"/>
  <c r="FX299" i="1"/>
  <c r="FX300" i="1"/>
  <c r="FX301" i="1"/>
  <c r="FX302" i="1"/>
  <c r="FX303" i="1"/>
  <c r="FX304" i="1"/>
  <c r="FX305" i="1"/>
  <c r="FX306" i="1"/>
  <c r="FX307" i="1"/>
  <c r="FX308" i="1"/>
  <c r="FX309" i="1"/>
  <c r="FX310" i="1"/>
  <c r="FX311" i="1"/>
  <c r="FX312" i="1"/>
  <c r="FX313" i="1"/>
  <c r="FX314" i="1"/>
  <c r="FX315" i="1"/>
  <c r="FX316" i="1"/>
  <c r="FX317" i="1"/>
  <c r="FX318" i="1"/>
  <c r="FX319" i="1"/>
  <c r="FX320" i="1"/>
  <c r="FX321" i="1"/>
  <c r="FX322" i="1"/>
  <c r="FX323" i="1"/>
  <c r="FX324" i="1"/>
  <c r="FX325" i="1"/>
  <c r="FX326" i="1"/>
  <c r="FX327" i="1"/>
  <c r="FX328" i="1"/>
  <c r="FX329" i="1"/>
  <c r="FX330" i="1"/>
  <c r="FX331" i="1"/>
  <c r="FX332" i="1"/>
  <c r="FX333" i="1"/>
  <c r="FX334" i="1"/>
  <c r="FX335" i="1"/>
  <c r="FX336" i="1"/>
  <c r="FX337" i="1"/>
  <c r="FX338" i="1"/>
  <c r="FX339" i="1"/>
  <c r="FX340" i="1"/>
  <c r="FX341" i="1"/>
  <c r="FX342" i="1"/>
  <c r="FX343" i="1"/>
  <c r="FX344" i="1"/>
  <c r="FX345" i="1"/>
  <c r="FX346" i="1"/>
  <c r="FX347" i="1"/>
  <c r="FX348" i="1"/>
  <c r="FX349" i="1"/>
  <c r="FX350" i="1"/>
  <c r="FX351" i="1"/>
  <c r="FX352" i="1"/>
  <c r="FX353" i="1"/>
  <c r="FX354" i="1"/>
  <c r="FX355" i="1"/>
  <c r="FX356" i="1"/>
  <c r="FX357" i="1"/>
  <c r="FX358" i="1"/>
  <c r="FX359" i="1"/>
  <c r="FX360" i="1"/>
  <c r="FX361" i="1"/>
  <c r="FX362" i="1"/>
  <c r="FX363" i="1"/>
  <c r="FX364" i="1"/>
  <c r="FX173" i="1"/>
  <c r="FV174" i="1" l="1"/>
  <c r="FV175" i="1"/>
  <c r="FV176" i="1"/>
  <c r="FV177" i="1"/>
  <c r="FV178" i="1"/>
  <c r="FV179" i="1"/>
  <c r="FV180" i="1"/>
  <c r="FV181" i="1"/>
  <c r="FV182" i="1"/>
  <c r="FV183" i="1"/>
  <c r="FV184" i="1"/>
  <c r="FV185" i="1"/>
  <c r="FV186" i="1"/>
  <c r="FV187" i="1"/>
  <c r="FV188" i="1"/>
  <c r="FV189" i="1"/>
  <c r="FV190" i="1"/>
  <c r="FV191" i="1"/>
  <c r="FV192" i="1"/>
  <c r="FV193" i="1"/>
  <c r="FV194" i="1"/>
  <c r="FV200" i="1"/>
  <c r="FV201" i="1"/>
  <c r="FV203" i="1"/>
  <c r="FV204" i="1"/>
  <c r="FV220" i="1"/>
  <c r="FV221" i="1"/>
  <c r="FV222" i="1"/>
  <c r="FV223" i="1"/>
  <c r="FV224" i="1"/>
  <c r="FV225" i="1"/>
  <c r="FV226" i="1"/>
  <c r="FV227" i="1"/>
  <c r="FV228" i="1"/>
  <c r="FV229" i="1"/>
  <c r="FV230" i="1"/>
  <c r="FV231" i="1"/>
  <c r="FV232" i="1"/>
  <c r="FV233" i="1"/>
  <c r="FV234" i="1"/>
  <c r="FV235" i="1"/>
  <c r="FV236" i="1"/>
  <c r="FV237" i="1"/>
  <c r="FV238" i="1"/>
  <c r="FV239" i="1"/>
  <c r="FV240" i="1"/>
  <c r="FV241" i="1"/>
  <c r="FV242" i="1"/>
  <c r="FV243" i="1"/>
  <c r="FV244" i="1"/>
  <c r="FV245" i="1"/>
  <c r="FV246" i="1"/>
  <c r="FV247" i="1"/>
  <c r="FV248" i="1"/>
  <c r="FV249" i="1"/>
  <c r="FV250" i="1"/>
  <c r="FV251" i="1"/>
  <c r="FV252" i="1"/>
  <c r="FV253" i="1"/>
  <c r="FV254" i="1"/>
  <c r="FV255" i="1"/>
  <c r="FV256" i="1"/>
  <c r="FV257" i="1"/>
  <c r="FV258" i="1"/>
  <c r="FV259" i="1"/>
  <c r="FV260" i="1"/>
  <c r="FV261" i="1"/>
  <c r="FV262" i="1"/>
  <c r="FV263" i="1"/>
  <c r="FV264" i="1"/>
  <c r="FV265" i="1"/>
  <c r="FV266" i="1"/>
  <c r="FV267" i="1"/>
  <c r="FV268" i="1"/>
  <c r="FV269" i="1"/>
  <c r="FV270" i="1"/>
  <c r="FV271" i="1"/>
  <c r="FV272" i="1"/>
  <c r="FV273" i="1"/>
  <c r="FV274" i="1"/>
  <c r="FV275" i="1"/>
  <c r="FV276" i="1"/>
  <c r="FV277" i="1"/>
  <c r="FV278" i="1"/>
  <c r="FV279" i="1"/>
  <c r="FV280" i="1"/>
  <c r="FV281" i="1"/>
  <c r="FV282" i="1"/>
  <c r="FV283" i="1"/>
  <c r="FV284" i="1"/>
  <c r="FV285" i="1"/>
  <c r="FV286" i="1"/>
  <c r="FV287" i="1"/>
  <c r="FV288" i="1"/>
  <c r="FV289" i="1"/>
  <c r="FV290" i="1"/>
  <c r="FV291" i="1"/>
  <c r="FV292" i="1"/>
  <c r="FV293" i="1"/>
  <c r="FV294" i="1"/>
  <c r="FV295" i="1"/>
  <c r="FV296" i="1"/>
  <c r="FV297" i="1"/>
  <c r="FV298" i="1"/>
  <c r="FV299" i="1"/>
  <c r="FV300" i="1"/>
  <c r="FV301" i="1"/>
  <c r="FV302" i="1"/>
  <c r="FV303" i="1"/>
  <c r="FV304" i="1"/>
  <c r="FV305" i="1"/>
  <c r="FV306" i="1"/>
  <c r="FV307" i="1"/>
  <c r="FV308" i="1"/>
  <c r="FV309" i="1"/>
  <c r="FV310" i="1"/>
  <c r="FV311" i="1"/>
  <c r="FV312" i="1"/>
  <c r="FV313" i="1"/>
  <c r="FV314" i="1"/>
  <c r="FV315" i="1"/>
  <c r="FV316" i="1"/>
  <c r="FV317" i="1"/>
  <c r="FV318" i="1"/>
  <c r="FV319" i="1"/>
  <c r="FV320" i="1"/>
  <c r="FV321" i="1"/>
  <c r="FV322" i="1"/>
  <c r="FV323" i="1"/>
  <c r="FV324" i="1"/>
  <c r="FV325" i="1"/>
  <c r="FV326" i="1"/>
  <c r="FV327" i="1"/>
  <c r="FV328" i="1"/>
  <c r="FV329" i="1"/>
  <c r="FV330" i="1"/>
  <c r="FV331" i="1"/>
  <c r="FV332" i="1"/>
  <c r="FV333" i="1"/>
  <c r="FV334" i="1"/>
  <c r="FV335" i="1"/>
  <c r="FV336" i="1"/>
  <c r="FV337" i="1"/>
  <c r="FV338" i="1"/>
  <c r="FV339" i="1"/>
  <c r="FV340" i="1"/>
  <c r="FV341" i="1"/>
  <c r="FV342" i="1"/>
  <c r="FV343" i="1"/>
  <c r="FV344" i="1"/>
  <c r="FV345" i="1"/>
  <c r="FV346" i="1"/>
  <c r="FV347" i="1"/>
  <c r="FV348" i="1"/>
  <c r="FV349" i="1"/>
  <c r="FV350" i="1"/>
  <c r="FV351" i="1"/>
  <c r="FV352" i="1"/>
  <c r="FV353" i="1"/>
  <c r="FV354" i="1"/>
  <c r="FV355" i="1"/>
  <c r="FV356" i="1"/>
  <c r="FV357" i="1"/>
  <c r="FV358" i="1"/>
  <c r="FV359" i="1"/>
  <c r="FV360" i="1"/>
  <c r="FV361" i="1"/>
  <c r="FV362" i="1"/>
  <c r="FV363" i="1"/>
  <c r="FV364" i="1"/>
  <c r="FV173" i="1"/>
  <c r="CT35" i="98" l="1"/>
  <c r="CT36" i="98"/>
  <c r="CT37" i="98"/>
  <c r="CT38" i="98"/>
  <c r="CT39" i="98"/>
  <c r="CT40" i="98"/>
  <c r="CT41" i="98"/>
  <c r="CT42" i="98"/>
  <c r="CT43" i="98"/>
  <c r="CT44" i="98"/>
  <c r="CT45" i="98"/>
  <c r="CT46" i="98"/>
  <c r="CT47" i="98"/>
  <c r="CT48" i="98"/>
  <c r="CT49" i="98"/>
  <c r="CT50" i="98"/>
  <c r="CT51" i="98"/>
  <c r="CT52" i="98"/>
  <c r="CT53" i="98"/>
  <c r="CT54" i="98"/>
  <c r="CT55" i="98"/>
  <c r="CT56" i="98"/>
  <c r="CT57" i="98"/>
  <c r="CT58" i="98"/>
  <c r="CT59" i="98"/>
  <c r="CT60" i="98"/>
  <c r="CT61" i="98"/>
  <c r="CT62" i="98"/>
  <c r="CT63" i="98"/>
  <c r="CT64" i="98"/>
  <c r="CT65" i="98"/>
  <c r="CT66" i="98"/>
  <c r="CT67" i="98"/>
  <c r="CT68" i="98"/>
  <c r="CT69" i="98"/>
  <c r="CT70" i="98"/>
  <c r="CT71" i="98"/>
  <c r="CT72" i="98"/>
  <c r="CT73" i="98"/>
  <c r="CT74" i="98"/>
  <c r="CT75" i="98"/>
  <c r="CT76" i="98"/>
  <c r="CT77" i="98"/>
  <c r="CT78" i="98"/>
  <c r="CT79" i="98"/>
  <c r="CT80" i="98"/>
  <c r="CT81" i="98"/>
  <c r="CT82" i="98"/>
  <c r="CT83" i="98"/>
  <c r="CT84" i="98"/>
  <c r="CT85" i="98"/>
  <c r="CT86" i="98"/>
  <c r="CT87" i="98"/>
  <c r="CT88" i="98"/>
  <c r="CT89" i="98"/>
  <c r="CT90" i="98"/>
  <c r="CT91" i="98"/>
  <c r="CT92" i="98"/>
  <c r="CT93" i="98"/>
  <c r="CT94" i="98"/>
  <c r="CT34" i="98"/>
  <c r="P69" i="115" l="1"/>
  <c r="P70" i="115"/>
  <c r="P71" i="115"/>
  <c r="P72" i="115"/>
  <c r="P73" i="115"/>
  <c r="P74" i="115"/>
  <c r="P75" i="115"/>
  <c r="P76" i="115"/>
  <c r="P77" i="115"/>
  <c r="P78" i="115"/>
  <c r="P79" i="115"/>
  <c r="P80" i="115"/>
  <c r="P81" i="115"/>
  <c r="P82" i="115"/>
  <c r="P83" i="115"/>
  <c r="P84" i="115"/>
  <c r="P85" i="115"/>
  <c r="P86" i="115"/>
  <c r="P87" i="115"/>
  <c r="P88" i="115"/>
  <c r="P89" i="115"/>
  <c r="P90" i="115"/>
  <c r="P91" i="115"/>
  <c r="P92" i="115"/>
  <c r="P93" i="115"/>
  <c r="P94" i="115"/>
  <c r="P95" i="115"/>
  <c r="P96" i="115"/>
  <c r="P97" i="115"/>
  <c r="P98" i="115"/>
  <c r="P99" i="115"/>
  <c r="P100" i="115"/>
  <c r="P101" i="115"/>
  <c r="P102" i="115"/>
  <c r="P103" i="115"/>
  <c r="P104" i="115"/>
  <c r="P105" i="115"/>
  <c r="P106" i="115"/>
  <c r="P107" i="115"/>
  <c r="P108" i="115"/>
  <c r="P109" i="115"/>
  <c r="P110" i="115"/>
  <c r="P111" i="115"/>
  <c r="P112" i="115"/>
  <c r="P113" i="115"/>
  <c r="P114" i="115"/>
  <c r="P115" i="115"/>
  <c r="P116" i="115"/>
  <c r="P117" i="115"/>
  <c r="P118" i="115"/>
  <c r="P119" i="115"/>
  <c r="P120" i="115"/>
  <c r="P121" i="115"/>
  <c r="P122" i="115"/>
  <c r="P123" i="115"/>
  <c r="P124" i="115"/>
  <c r="P125" i="115"/>
  <c r="P126" i="115"/>
  <c r="N69" i="115"/>
  <c r="N70" i="115"/>
  <c r="N71" i="115"/>
  <c r="N72" i="115"/>
  <c r="N73" i="115"/>
  <c r="N74" i="115"/>
  <c r="N75" i="115"/>
  <c r="N76" i="115"/>
  <c r="N77" i="115"/>
  <c r="N78" i="115"/>
  <c r="N79" i="115"/>
  <c r="N80" i="115"/>
  <c r="N81" i="115"/>
  <c r="N82" i="115"/>
  <c r="N83" i="115"/>
  <c r="N84" i="115"/>
  <c r="N85" i="115"/>
  <c r="N86" i="115"/>
  <c r="N87" i="115"/>
  <c r="N88" i="115"/>
  <c r="N89" i="115"/>
  <c r="N90" i="115"/>
  <c r="N91" i="115"/>
  <c r="N92" i="115"/>
  <c r="N93" i="115"/>
  <c r="N94" i="115"/>
  <c r="N95" i="115"/>
  <c r="N96" i="115"/>
  <c r="N97" i="115"/>
  <c r="N98" i="115"/>
  <c r="N99" i="115"/>
  <c r="N100" i="115"/>
  <c r="N101" i="115"/>
  <c r="N102" i="115"/>
  <c r="N103" i="115"/>
  <c r="N104" i="115"/>
  <c r="N105" i="115"/>
  <c r="N106" i="115"/>
  <c r="N107" i="115"/>
  <c r="N108" i="115"/>
  <c r="N109" i="115"/>
  <c r="N110" i="115"/>
  <c r="N111" i="115"/>
  <c r="N112" i="115"/>
  <c r="N113" i="115"/>
  <c r="N114" i="115"/>
  <c r="N115" i="115"/>
  <c r="N116" i="115"/>
  <c r="N117" i="115"/>
  <c r="N118" i="115"/>
  <c r="N119" i="115"/>
  <c r="N120" i="115"/>
  <c r="N121" i="115"/>
  <c r="N122" i="115"/>
  <c r="N123" i="115"/>
  <c r="N124" i="115"/>
  <c r="N125" i="115"/>
  <c r="N126" i="115"/>
  <c r="M69" i="115"/>
  <c r="M70" i="115"/>
  <c r="M71" i="115"/>
  <c r="M72" i="115"/>
  <c r="M73" i="115"/>
  <c r="M74" i="115"/>
  <c r="M75" i="115"/>
  <c r="M76" i="115"/>
  <c r="M77" i="115"/>
  <c r="M78" i="115"/>
  <c r="M79" i="115"/>
  <c r="M80" i="115"/>
  <c r="M81" i="115"/>
  <c r="M82" i="115"/>
  <c r="M83" i="115"/>
  <c r="M84" i="115"/>
  <c r="M85" i="115"/>
  <c r="M86" i="115"/>
  <c r="M87" i="115"/>
  <c r="M88" i="115"/>
  <c r="M89" i="115"/>
  <c r="M90" i="115"/>
  <c r="M91" i="115"/>
  <c r="M92" i="115"/>
  <c r="M93" i="115"/>
  <c r="M94" i="115"/>
  <c r="M95" i="115"/>
  <c r="M96" i="115"/>
  <c r="M97" i="115"/>
  <c r="M98" i="115"/>
  <c r="M99" i="115"/>
  <c r="M100" i="115"/>
  <c r="M101" i="115"/>
  <c r="M102" i="115"/>
  <c r="M103" i="115"/>
  <c r="M104" i="115"/>
  <c r="M105" i="115"/>
  <c r="M106" i="115"/>
  <c r="M107" i="115"/>
  <c r="M108" i="115"/>
  <c r="M109" i="115"/>
  <c r="M110" i="115"/>
  <c r="M111" i="115"/>
  <c r="M112" i="115"/>
  <c r="M113" i="115"/>
  <c r="M114" i="115"/>
  <c r="M115" i="115"/>
  <c r="M116" i="115"/>
  <c r="M117" i="115"/>
  <c r="M118" i="115"/>
  <c r="M119" i="115"/>
  <c r="M120" i="115"/>
  <c r="M121" i="115"/>
  <c r="M122" i="115"/>
  <c r="M123" i="115"/>
  <c r="M124" i="115"/>
  <c r="M125" i="115"/>
  <c r="M126" i="115"/>
  <c r="L69" i="115"/>
  <c r="L70" i="115"/>
  <c r="L71" i="115"/>
  <c r="L72" i="115"/>
  <c r="L73" i="115"/>
  <c r="L74" i="115"/>
  <c r="L75" i="115"/>
  <c r="L76" i="115"/>
  <c r="L77" i="115"/>
  <c r="L78" i="115"/>
  <c r="L79" i="115"/>
  <c r="L80" i="115"/>
  <c r="L81" i="115"/>
  <c r="L82" i="115"/>
  <c r="L83" i="115"/>
  <c r="L84" i="115"/>
  <c r="L85" i="115"/>
  <c r="L86" i="115"/>
  <c r="L87" i="115"/>
  <c r="L88" i="115"/>
  <c r="L89" i="115"/>
  <c r="L90" i="115"/>
  <c r="L91" i="115"/>
  <c r="L92" i="115"/>
  <c r="L93" i="115"/>
  <c r="L94" i="115"/>
  <c r="L95" i="115"/>
  <c r="L96" i="115"/>
  <c r="L97" i="115"/>
  <c r="L98" i="115"/>
  <c r="L99" i="115"/>
  <c r="L100" i="115"/>
  <c r="L101" i="115"/>
  <c r="L102" i="115"/>
  <c r="L103" i="115"/>
  <c r="L104" i="115"/>
  <c r="L105" i="115"/>
  <c r="L106" i="115"/>
  <c r="L107" i="115"/>
  <c r="L108" i="115"/>
  <c r="L109" i="115"/>
  <c r="L110" i="115"/>
  <c r="L111" i="115"/>
  <c r="L112" i="115"/>
  <c r="L113" i="115"/>
  <c r="L114" i="115"/>
  <c r="L115" i="115"/>
  <c r="L116" i="115"/>
  <c r="L117" i="115"/>
  <c r="L118" i="115"/>
  <c r="L119" i="115"/>
  <c r="L120" i="115"/>
  <c r="L121" i="115"/>
  <c r="L122" i="115"/>
  <c r="L123" i="115"/>
  <c r="L124" i="115"/>
  <c r="L125" i="115"/>
  <c r="L126" i="115"/>
  <c r="K69" i="115"/>
  <c r="K70" i="115"/>
  <c r="K71" i="115"/>
  <c r="K72" i="115"/>
  <c r="K73" i="115"/>
  <c r="K74" i="115"/>
  <c r="K75" i="115"/>
  <c r="K76" i="115"/>
  <c r="K77" i="115"/>
  <c r="K78" i="115"/>
  <c r="K79" i="115"/>
  <c r="K80" i="115"/>
  <c r="K81" i="115"/>
  <c r="K82" i="115"/>
  <c r="K83" i="115"/>
  <c r="K84" i="115"/>
  <c r="K85" i="115"/>
  <c r="K86" i="115"/>
  <c r="K87" i="115"/>
  <c r="K88" i="115"/>
  <c r="K89" i="115"/>
  <c r="K90" i="115"/>
  <c r="K91" i="115"/>
  <c r="K92" i="115"/>
  <c r="K93" i="115"/>
  <c r="K94" i="115"/>
  <c r="K95" i="115"/>
  <c r="K96" i="115"/>
  <c r="K97" i="115"/>
  <c r="K98" i="115"/>
  <c r="K99" i="115"/>
  <c r="K100" i="115"/>
  <c r="K101" i="115"/>
  <c r="K102" i="115"/>
  <c r="K103" i="115"/>
  <c r="K104" i="115"/>
  <c r="K105" i="115"/>
  <c r="K106" i="115"/>
  <c r="K107" i="115"/>
  <c r="K108" i="115"/>
  <c r="K109" i="115"/>
  <c r="K110" i="115"/>
  <c r="K111" i="115"/>
  <c r="K112" i="115"/>
  <c r="K113" i="115"/>
  <c r="K114" i="115"/>
  <c r="K115" i="115"/>
  <c r="K116" i="115"/>
  <c r="K117" i="115"/>
  <c r="K118" i="115"/>
  <c r="K119" i="115"/>
  <c r="K120" i="115"/>
  <c r="K121" i="115"/>
  <c r="K122" i="115"/>
  <c r="K123" i="115"/>
  <c r="K124" i="115"/>
  <c r="K125" i="115"/>
  <c r="K126" i="115"/>
  <c r="J69" i="115"/>
  <c r="J70" i="115"/>
  <c r="J71" i="115"/>
  <c r="J72" i="115"/>
  <c r="J73" i="115"/>
  <c r="J74" i="115"/>
  <c r="J75" i="115"/>
  <c r="J76" i="115"/>
  <c r="J77" i="115"/>
  <c r="J78" i="115"/>
  <c r="J79" i="115"/>
  <c r="J80" i="115"/>
  <c r="J81" i="115"/>
  <c r="J82" i="115"/>
  <c r="J83" i="115"/>
  <c r="J84" i="115"/>
  <c r="J85" i="115"/>
  <c r="J86" i="115"/>
  <c r="J87" i="115"/>
  <c r="J88" i="115"/>
  <c r="J89" i="115"/>
  <c r="J90" i="115"/>
  <c r="J91" i="115"/>
  <c r="J92" i="115"/>
  <c r="J93" i="115"/>
  <c r="J94" i="115"/>
  <c r="J95" i="115"/>
  <c r="J96" i="115"/>
  <c r="J97" i="115"/>
  <c r="J98" i="115"/>
  <c r="J99" i="115"/>
  <c r="J100" i="115"/>
  <c r="J101" i="115"/>
  <c r="J102" i="115"/>
  <c r="J103" i="115"/>
  <c r="J104" i="115"/>
  <c r="J105" i="115"/>
  <c r="J106" i="115"/>
  <c r="J107" i="115"/>
  <c r="J108" i="115"/>
  <c r="J109" i="115"/>
  <c r="J110" i="115"/>
  <c r="J111" i="115"/>
  <c r="J112" i="115"/>
  <c r="J113" i="115"/>
  <c r="J114" i="115"/>
  <c r="J115" i="115"/>
  <c r="J116" i="115"/>
  <c r="J117" i="115"/>
  <c r="J118" i="115"/>
  <c r="J119" i="115"/>
  <c r="J120" i="115"/>
  <c r="J121" i="115"/>
  <c r="J122" i="115"/>
  <c r="J123" i="115"/>
  <c r="J124" i="115"/>
  <c r="J125" i="115"/>
  <c r="J126" i="115"/>
  <c r="I69" i="115"/>
  <c r="I70" i="115"/>
  <c r="I71" i="115"/>
  <c r="I72" i="115"/>
  <c r="I73" i="115"/>
  <c r="I74" i="115"/>
  <c r="I75" i="115"/>
  <c r="I76" i="115"/>
  <c r="I77" i="115"/>
  <c r="I78" i="115"/>
  <c r="I79" i="115"/>
  <c r="I80" i="115"/>
  <c r="I81" i="115"/>
  <c r="I82" i="115"/>
  <c r="I83" i="115"/>
  <c r="I84" i="115"/>
  <c r="I85" i="115"/>
  <c r="I86" i="115"/>
  <c r="I87" i="115"/>
  <c r="I88" i="115"/>
  <c r="I89" i="115"/>
  <c r="I90" i="115"/>
  <c r="I91" i="115"/>
  <c r="I92" i="115"/>
  <c r="I93" i="115"/>
  <c r="I94" i="115"/>
  <c r="I95" i="115"/>
  <c r="I96" i="115"/>
  <c r="I97" i="115"/>
  <c r="I98" i="115"/>
  <c r="I99" i="115"/>
  <c r="I100" i="115"/>
  <c r="I101" i="115"/>
  <c r="I102" i="115"/>
  <c r="I103" i="115"/>
  <c r="I104" i="115"/>
  <c r="I105" i="115"/>
  <c r="I106" i="115"/>
  <c r="I107" i="115"/>
  <c r="I108" i="115"/>
  <c r="I109" i="115"/>
  <c r="I110" i="115"/>
  <c r="I111" i="115"/>
  <c r="I112" i="115"/>
  <c r="I113" i="115"/>
  <c r="I114" i="115"/>
  <c r="I115" i="115"/>
  <c r="I116" i="115"/>
  <c r="I117" i="115"/>
  <c r="I118" i="115"/>
  <c r="I119" i="115"/>
  <c r="I120" i="115"/>
  <c r="I121" i="115"/>
  <c r="I122" i="115"/>
  <c r="I123" i="115"/>
  <c r="I124" i="115"/>
  <c r="I125" i="115"/>
  <c r="I126" i="115"/>
  <c r="H69" i="115"/>
  <c r="H70" i="115"/>
  <c r="H71" i="115"/>
  <c r="H72" i="115"/>
  <c r="H73" i="115"/>
  <c r="H74" i="115"/>
  <c r="H75" i="115"/>
  <c r="H76" i="115"/>
  <c r="H77" i="115"/>
  <c r="H78" i="115"/>
  <c r="H79" i="115"/>
  <c r="H80" i="115"/>
  <c r="H81" i="115"/>
  <c r="H82" i="115"/>
  <c r="H83" i="115"/>
  <c r="H84" i="115"/>
  <c r="H85" i="115"/>
  <c r="H86" i="115"/>
  <c r="H87" i="115"/>
  <c r="H88" i="115"/>
  <c r="H89" i="115"/>
  <c r="H90" i="115"/>
  <c r="H91" i="115"/>
  <c r="H92" i="115"/>
  <c r="H93" i="115"/>
  <c r="H94" i="115"/>
  <c r="H95" i="115"/>
  <c r="H96" i="115"/>
  <c r="H97" i="115"/>
  <c r="H98" i="115"/>
  <c r="H99" i="115"/>
  <c r="H100" i="115"/>
  <c r="H101" i="115"/>
  <c r="H102" i="115"/>
  <c r="H103" i="115"/>
  <c r="H104" i="115"/>
  <c r="H105" i="115"/>
  <c r="H106" i="115"/>
  <c r="H107" i="115"/>
  <c r="H108" i="115"/>
  <c r="H109" i="115"/>
  <c r="H110" i="115"/>
  <c r="H111" i="115"/>
  <c r="H112" i="115"/>
  <c r="H113" i="115"/>
  <c r="H114" i="115"/>
  <c r="H115" i="115"/>
  <c r="H116" i="115"/>
  <c r="H117" i="115"/>
  <c r="H118" i="115"/>
  <c r="H119" i="115"/>
  <c r="H120" i="115"/>
  <c r="H121" i="115"/>
  <c r="H122" i="115"/>
  <c r="H123" i="115"/>
  <c r="H124" i="115"/>
  <c r="H125" i="115"/>
  <c r="H126" i="115"/>
  <c r="G69" i="115"/>
  <c r="G70" i="115"/>
  <c r="G71" i="115"/>
  <c r="G72" i="115"/>
  <c r="G73" i="115"/>
  <c r="G74" i="115"/>
  <c r="G75" i="115"/>
  <c r="G76" i="115"/>
  <c r="G77" i="115"/>
  <c r="G78" i="115"/>
  <c r="G79" i="115"/>
  <c r="G80" i="115"/>
  <c r="G81" i="115"/>
  <c r="G82" i="115"/>
  <c r="G83" i="115"/>
  <c r="G84" i="115"/>
  <c r="G85" i="115"/>
  <c r="G86" i="115"/>
  <c r="G87" i="115"/>
  <c r="G88" i="115"/>
  <c r="G89" i="115"/>
  <c r="G90" i="115"/>
  <c r="G91" i="115"/>
  <c r="G92" i="115"/>
  <c r="G93" i="115"/>
  <c r="G94" i="115"/>
  <c r="G95" i="115"/>
  <c r="G96" i="115"/>
  <c r="G97" i="115"/>
  <c r="G98" i="115"/>
  <c r="G99" i="115"/>
  <c r="G100" i="115"/>
  <c r="G101" i="115"/>
  <c r="G102" i="115"/>
  <c r="G103" i="115"/>
  <c r="G104" i="115"/>
  <c r="G105" i="115"/>
  <c r="G106" i="115"/>
  <c r="G107" i="115"/>
  <c r="G108" i="115"/>
  <c r="G109" i="115"/>
  <c r="G110" i="115"/>
  <c r="G111" i="115"/>
  <c r="G112" i="115"/>
  <c r="G113" i="115"/>
  <c r="G114" i="115"/>
  <c r="G115" i="115"/>
  <c r="G116" i="115"/>
  <c r="G117" i="115"/>
  <c r="G118" i="115"/>
  <c r="G119" i="115"/>
  <c r="G120" i="115"/>
  <c r="G121" i="115"/>
  <c r="G122" i="115"/>
  <c r="G123" i="115"/>
  <c r="G124" i="115"/>
  <c r="G125" i="115"/>
  <c r="G126" i="115"/>
  <c r="F69" i="115"/>
  <c r="F70" i="115"/>
  <c r="F71" i="115"/>
  <c r="F72" i="115"/>
  <c r="F73" i="115"/>
  <c r="F74" i="115"/>
  <c r="F75" i="115"/>
  <c r="F76" i="115"/>
  <c r="F77" i="115"/>
  <c r="F78" i="115"/>
  <c r="F79" i="115"/>
  <c r="F80" i="115"/>
  <c r="F81" i="115"/>
  <c r="F82" i="115"/>
  <c r="F83" i="115"/>
  <c r="F84" i="115"/>
  <c r="F85" i="115"/>
  <c r="F86" i="115"/>
  <c r="F87" i="115"/>
  <c r="F88" i="115"/>
  <c r="F89" i="115"/>
  <c r="F90" i="115"/>
  <c r="F91" i="115"/>
  <c r="F92" i="115"/>
  <c r="F93" i="115"/>
  <c r="F94" i="115"/>
  <c r="F95" i="115"/>
  <c r="F96" i="115"/>
  <c r="F97" i="115"/>
  <c r="F98" i="115"/>
  <c r="F99" i="115"/>
  <c r="F100" i="115"/>
  <c r="F101" i="115"/>
  <c r="F102" i="115"/>
  <c r="F103" i="115"/>
  <c r="F104" i="115"/>
  <c r="F105" i="115"/>
  <c r="F106" i="115"/>
  <c r="F107" i="115"/>
  <c r="F108" i="115"/>
  <c r="F109" i="115"/>
  <c r="F110" i="115"/>
  <c r="F111" i="115"/>
  <c r="F112" i="115"/>
  <c r="F113" i="115"/>
  <c r="F114" i="115"/>
  <c r="F115" i="115"/>
  <c r="F116" i="115"/>
  <c r="F117" i="115"/>
  <c r="F118" i="115"/>
  <c r="F119" i="115"/>
  <c r="F120" i="115"/>
  <c r="F121" i="115"/>
  <c r="F122" i="115"/>
  <c r="F123" i="115"/>
  <c r="F124" i="115"/>
  <c r="F125" i="115"/>
  <c r="F126" i="115"/>
  <c r="Q6" i="135" l="1"/>
  <c r="Z6" i="135" s="1"/>
  <c r="L6" i="135"/>
  <c r="Y6" i="135" s="1"/>
  <c r="C6" i="135" l="1"/>
  <c r="GO43" i="1" l="1"/>
  <c r="GT34" i="1" s="1"/>
  <c r="EB35" i="123"/>
  <c r="EG28" i="123" s="1"/>
  <c r="DY3" i="123"/>
  <c r="EB126" i="123" l="1"/>
  <c r="GT36" i="1"/>
  <c r="EG26" i="123"/>
  <c r="L2" i="97" l="1"/>
  <c r="O5" i="137" l="1"/>
  <c r="Y26" i="97" s="1"/>
  <c r="O4" i="137"/>
  <c r="Y25" i="97" s="1"/>
  <c r="F5" i="132" l="1"/>
  <c r="F6" i="132"/>
  <c r="AU28" i="57" l="1"/>
  <c r="AV28" i="57"/>
  <c r="AU29" i="57"/>
  <c r="AV29" i="57"/>
  <c r="AU30" i="57"/>
  <c r="AV30" i="57"/>
  <c r="AU31" i="57"/>
  <c r="AV31" i="57"/>
  <c r="AU32" i="57"/>
  <c r="AV32" i="57"/>
  <c r="AU33" i="57"/>
  <c r="AV33" i="57"/>
  <c r="AU34" i="57"/>
  <c r="AV34" i="57"/>
  <c r="AU35" i="57"/>
  <c r="AV35" i="57"/>
  <c r="AU36" i="57"/>
  <c r="AV36" i="57"/>
  <c r="AU37" i="57"/>
  <c r="AV37" i="57"/>
  <c r="AU38" i="57"/>
  <c r="AV38" i="57"/>
  <c r="AU39" i="57"/>
  <c r="AV39" i="57"/>
  <c r="AU27" i="57"/>
  <c r="AV27" i="57"/>
  <c r="K28" i="57"/>
  <c r="K29" i="57"/>
  <c r="K30" i="57"/>
  <c r="K31" i="57"/>
  <c r="K32" i="57"/>
  <c r="K33" i="57"/>
  <c r="K34" i="57"/>
  <c r="K35" i="57"/>
  <c r="K36" i="57"/>
  <c r="K37" i="57"/>
  <c r="K38" i="57"/>
  <c r="K39" i="57"/>
  <c r="K27" i="57"/>
  <c r="B29" i="57"/>
  <c r="C29" i="57"/>
  <c r="D29" i="57"/>
  <c r="E29" i="57"/>
  <c r="G29" i="57"/>
  <c r="B30" i="57"/>
  <c r="C30" i="57"/>
  <c r="D30" i="57"/>
  <c r="E30" i="57"/>
  <c r="G30" i="57"/>
  <c r="B31" i="57"/>
  <c r="C31" i="57"/>
  <c r="D31" i="57"/>
  <c r="E31" i="57"/>
  <c r="G31" i="57"/>
  <c r="B32" i="57"/>
  <c r="C32" i="57"/>
  <c r="D32" i="57"/>
  <c r="E32" i="57"/>
  <c r="G32" i="57"/>
  <c r="B33" i="57"/>
  <c r="C33" i="57"/>
  <c r="D33" i="57"/>
  <c r="E33" i="57"/>
  <c r="G33" i="57"/>
  <c r="B34" i="57"/>
  <c r="C34" i="57"/>
  <c r="D34" i="57"/>
  <c r="E34" i="57"/>
  <c r="G34" i="57"/>
  <c r="B35" i="57"/>
  <c r="C35" i="57"/>
  <c r="D35" i="57"/>
  <c r="E35" i="57"/>
  <c r="G35" i="57"/>
  <c r="B36" i="57"/>
  <c r="C36" i="57"/>
  <c r="D36" i="57"/>
  <c r="E36" i="57"/>
  <c r="G36" i="57"/>
  <c r="B37" i="57"/>
  <c r="C37" i="57"/>
  <c r="D37" i="57"/>
  <c r="E37" i="57"/>
  <c r="G37" i="57"/>
  <c r="B38" i="57"/>
  <c r="C38" i="57"/>
  <c r="D38" i="57"/>
  <c r="E38" i="57"/>
  <c r="G38" i="57"/>
  <c r="B39" i="57"/>
  <c r="C39" i="57"/>
  <c r="D39" i="57"/>
  <c r="E39" i="57"/>
  <c r="G39" i="57"/>
  <c r="V28" i="57"/>
  <c r="V29" i="57"/>
  <c r="V30" i="57"/>
  <c r="V31" i="57"/>
  <c r="V32" i="57"/>
  <c r="V33" i="57"/>
  <c r="V34" i="57"/>
  <c r="V35" i="57"/>
  <c r="V36" i="57"/>
  <c r="V37" i="57"/>
  <c r="V38" i="57"/>
  <c r="V39" i="57"/>
  <c r="V27" i="57"/>
  <c r="M32" i="57"/>
  <c r="N32" i="57"/>
  <c r="O32" i="57"/>
  <c r="P32" i="57"/>
  <c r="R32" i="57"/>
  <c r="M33" i="57"/>
  <c r="N33" i="57"/>
  <c r="O33" i="57"/>
  <c r="P33" i="57"/>
  <c r="R33" i="57"/>
  <c r="M34" i="57"/>
  <c r="N34" i="57"/>
  <c r="O34" i="57"/>
  <c r="P34" i="57"/>
  <c r="R34" i="57"/>
  <c r="M35" i="57"/>
  <c r="N35" i="57"/>
  <c r="O35" i="57"/>
  <c r="P35" i="57"/>
  <c r="R35" i="57"/>
  <c r="M36" i="57"/>
  <c r="N36" i="57"/>
  <c r="O36" i="57"/>
  <c r="P36" i="57"/>
  <c r="R36" i="57"/>
  <c r="M37" i="57"/>
  <c r="N37" i="57"/>
  <c r="O37" i="57"/>
  <c r="P37" i="57"/>
  <c r="R37" i="57"/>
  <c r="M38" i="57"/>
  <c r="N38" i="57"/>
  <c r="O38" i="57"/>
  <c r="P38" i="57"/>
  <c r="R38" i="57"/>
  <c r="M39" i="57"/>
  <c r="N39" i="57"/>
  <c r="O39" i="57"/>
  <c r="P39" i="57"/>
  <c r="R39" i="57"/>
  <c r="L6" i="127" l="1"/>
  <c r="U6" i="127" s="1"/>
  <c r="K5" i="127"/>
  <c r="I3" i="127"/>
  <c r="I4" i="127"/>
  <c r="I5" i="127"/>
  <c r="I6" i="127"/>
  <c r="H4" i="127"/>
  <c r="H5" i="127"/>
  <c r="H6" i="127"/>
  <c r="H3" i="127"/>
  <c r="M6" i="136"/>
  <c r="U6" i="136" s="1"/>
  <c r="K5" i="136"/>
  <c r="F3" i="136"/>
  <c r="G3" i="136"/>
  <c r="F4" i="136"/>
  <c r="G4" i="136"/>
  <c r="F5" i="136"/>
  <c r="G5" i="136"/>
  <c r="F6" i="136"/>
  <c r="G6" i="136"/>
  <c r="J3" i="136"/>
  <c r="J4" i="136"/>
  <c r="J5" i="136"/>
  <c r="J6" i="136"/>
  <c r="I3" i="136"/>
  <c r="I4" i="136"/>
  <c r="I5" i="136"/>
  <c r="I6" i="136"/>
  <c r="H4" i="136"/>
  <c r="H5" i="136"/>
  <c r="H6" i="136"/>
  <c r="H3" i="136"/>
  <c r="AG2" i="134" l="1"/>
  <c r="AH2" i="134" s="1"/>
  <c r="AI2" i="134" l="1"/>
  <c r="BY28" i="57"/>
  <c r="BY29" i="57"/>
  <c r="BY30" i="57"/>
  <c r="BY31" i="57"/>
  <c r="BY32" i="57"/>
  <c r="BY33" i="57"/>
  <c r="BY34" i="57"/>
  <c r="BY35" i="57"/>
  <c r="BY36" i="57"/>
  <c r="BY37" i="57"/>
  <c r="BY38" i="57"/>
  <c r="BY39" i="57"/>
  <c r="BY27" i="57"/>
  <c r="BX28" i="57"/>
  <c r="BX29" i="57"/>
  <c r="BX30" i="57"/>
  <c r="BX31" i="57"/>
  <c r="BX32" i="57"/>
  <c r="BX33" i="57"/>
  <c r="BX34" i="57"/>
  <c r="BX35" i="57"/>
  <c r="BX36" i="57"/>
  <c r="BX37" i="57"/>
  <c r="BX38" i="57"/>
  <c r="BX39" i="57"/>
  <c r="BX27" i="57"/>
  <c r="BZ28" i="57"/>
  <c r="BZ29" i="57"/>
  <c r="BZ30" i="57"/>
  <c r="BZ31" i="57"/>
  <c r="BZ32" i="57"/>
  <c r="BZ33" i="57"/>
  <c r="BZ34" i="57"/>
  <c r="BZ35" i="57"/>
  <c r="BZ36" i="57"/>
  <c r="BZ37" i="57"/>
  <c r="BZ38" i="57"/>
  <c r="BZ39" i="57"/>
  <c r="BZ27" i="57"/>
  <c r="P4" i="135"/>
  <c r="P5" i="135"/>
  <c r="P6" i="135"/>
  <c r="P7" i="135"/>
  <c r="P3" i="135"/>
  <c r="K4" i="135"/>
  <c r="K5" i="135"/>
  <c r="K6" i="135"/>
  <c r="K7" i="135"/>
  <c r="K3" i="135"/>
  <c r="M6" i="135"/>
  <c r="F6" i="135"/>
  <c r="E6" i="135"/>
  <c r="D6" i="135"/>
  <c r="W6" i="135"/>
  <c r="X6" i="135"/>
  <c r="B6" i="135"/>
  <c r="A6" i="135"/>
  <c r="CQ35" i="98" l="1"/>
  <c r="CQ36" i="98"/>
  <c r="CQ37" i="98"/>
  <c r="CQ38" i="98"/>
  <c r="CQ39" i="98"/>
  <c r="CQ40" i="98"/>
  <c r="CQ41" i="98"/>
  <c r="CQ42" i="98"/>
  <c r="CQ43" i="98"/>
  <c r="CQ44" i="98"/>
  <c r="CQ45" i="98"/>
  <c r="CQ46" i="98"/>
  <c r="CQ47" i="98"/>
  <c r="CQ48" i="98"/>
  <c r="CQ49" i="98"/>
  <c r="CQ50" i="98"/>
  <c r="CQ51" i="98"/>
  <c r="CQ52" i="98"/>
  <c r="CQ53" i="98"/>
  <c r="CQ54" i="98"/>
  <c r="CQ55" i="98"/>
  <c r="CQ56" i="98"/>
  <c r="CQ57" i="98"/>
  <c r="CQ58" i="98"/>
  <c r="CQ59" i="98"/>
  <c r="CQ60" i="98"/>
  <c r="CQ61" i="98"/>
  <c r="CQ62" i="98"/>
  <c r="CQ63" i="98"/>
  <c r="CQ64" i="98"/>
  <c r="CQ65" i="98"/>
  <c r="CQ66" i="98"/>
  <c r="CQ67" i="98"/>
  <c r="CQ68" i="98"/>
  <c r="CQ69" i="98"/>
  <c r="CQ70" i="98"/>
  <c r="CQ71" i="98"/>
  <c r="CQ72" i="98"/>
  <c r="CQ73" i="98"/>
  <c r="CQ74" i="98"/>
  <c r="CQ75" i="98"/>
  <c r="CQ76" i="98"/>
  <c r="CQ77" i="98"/>
  <c r="CQ78" i="98"/>
  <c r="CQ79" i="98"/>
  <c r="CQ80" i="98"/>
  <c r="CQ81" i="98"/>
  <c r="CQ82" i="98"/>
  <c r="CQ83" i="98"/>
  <c r="CQ84" i="98"/>
  <c r="CQ85" i="98"/>
  <c r="CQ86" i="98"/>
  <c r="CQ87" i="98"/>
  <c r="CQ88" i="98"/>
  <c r="CQ89" i="98"/>
  <c r="CQ90" i="98"/>
  <c r="CQ91" i="98"/>
  <c r="CQ92" i="98"/>
  <c r="CQ93" i="98"/>
  <c r="CQ94" i="98"/>
  <c r="CQ34" i="98"/>
  <c r="AU33" i="98" l="1"/>
  <c r="AP32" i="98"/>
  <c r="AP31" i="98"/>
  <c r="AP30" i="98"/>
  <c r="AO30" i="98"/>
  <c r="AS29" i="98"/>
  <c r="AR29" i="98"/>
  <c r="AQ29" i="98"/>
  <c r="AO33" i="98"/>
  <c r="CS174" i="1" l="1"/>
  <c r="CS175" i="1"/>
  <c r="CS176" i="1"/>
  <c r="CS177" i="1"/>
  <c r="CS178" i="1"/>
  <c r="CS179" i="1"/>
  <c r="CS180" i="1"/>
  <c r="CS181" i="1"/>
  <c r="CS182" i="1"/>
  <c r="CS183" i="1"/>
  <c r="CS184" i="1"/>
  <c r="CS185" i="1"/>
  <c r="CS186" i="1"/>
  <c r="CS187" i="1"/>
  <c r="CS188" i="1"/>
  <c r="CS189" i="1"/>
  <c r="CS190" i="1"/>
  <c r="CS191" i="1"/>
  <c r="CS192" i="1"/>
  <c r="CS193" i="1"/>
  <c r="CS194" i="1"/>
  <c r="CS195" i="1"/>
  <c r="CS196" i="1"/>
  <c r="CS197" i="1"/>
  <c r="CS198" i="1"/>
  <c r="CS199" i="1"/>
  <c r="CS200" i="1"/>
  <c r="CS201" i="1"/>
  <c r="CS202" i="1"/>
  <c r="CS203" i="1"/>
  <c r="CS204" i="1"/>
  <c r="CS220" i="1"/>
  <c r="CS221" i="1"/>
  <c r="CS222" i="1"/>
  <c r="CS223" i="1"/>
  <c r="CS224" i="1"/>
  <c r="CS225" i="1"/>
  <c r="CS226" i="1"/>
  <c r="CS227" i="1"/>
  <c r="CS228" i="1"/>
  <c r="CS229" i="1"/>
  <c r="CS230" i="1"/>
  <c r="CS231" i="1"/>
  <c r="CS232" i="1"/>
  <c r="CS233" i="1"/>
  <c r="CS234" i="1"/>
  <c r="CS235" i="1"/>
  <c r="CS236" i="1"/>
  <c r="CS237" i="1"/>
  <c r="CS238" i="1"/>
  <c r="CS239" i="1"/>
  <c r="CS240" i="1"/>
  <c r="CS241" i="1"/>
  <c r="CS242" i="1"/>
  <c r="CS243" i="1"/>
  <c r="CS244" i="1"/>
  <c r="CS245" i="1"/>
  <c r="CS246" i="1"/>
  <c r="CS247" i="1"/>
  <c r="CS248" i="1"/>
  <c r="CS249" i="1"/>
  <c r="CS250" i="1"/>
  <c r="CS251" i="1"/>
  <c r="CS252" i="1"/>
  <c r="CS253" i="1"/>
  <c r="CS254" i="1"/>
  <c r="CS255" i="1"/>
  <c r="CS256" i="1"/>
  <c r="CS257" i="1"/>
  <c r="CS258" i="1"/>
  <c r="CS259" i="1"/>
  <c r="CS260" i="1"/>
  <c r="CS261" i="1"/>
  <c r="CS262" i="1"/>
  <c r="CS263" i="1"/>
  <c r="CS264" i="1"/>
  <c r="CS265" i="1"/>
  <c r="CS266" i="1"/>
  <c r="CS267" i="1"/>
  <c r="CS268" i="1"/>
  <c r="CS269" i="1"/>
  <c r="CS270" i="1"/>
  <c r="CS271" i="1"/>
  <c r="CS272" i="1"/>
  <c r="CS273" i="1"/>
  <c r="CS274" i="1"/>
  <c r="CS275" i="1"/>
  <c r="CS276" i="1"/>
  <c r="CS277" i="1"/>
  <c r="CS278" i="1"/>
  <c r="CS279" i="1"/>
  <c r="CS280" i="1"/>
  <c r="CS281" i="1"/>
  <c r="CS282" i="1"/>
  <c r="CS283" i="1"/>
  <c r="CS284" i="1"/>
  <c r="CS285" i="1"/>
  <c r="CS286" i="1"/>
  <c r="CS287" i="1"/>
  <c r="CS288" i="1"/>
  <c r="CS289" i="1"/>
  <c r="CS290" i="1"/>
  <c r="CS291" i="1"/>
  <c r="CS292" i="1"/>
  <c r="CS293" i="1"/>
  <c r="CS294" i="1"/>
  <c r="CS295" i="1"/>
  <c r="CS296" i="1"/>
  <c r="CS297" i="1"/>
  <c r="CS298" i="1"/>
  <c r="CS299" i="1"/>
  <c r="CS300" i="1"/>
  <c r="CS301" i="1"/>
  <c r="CS302" i="1"/>
  <c r="CS303" i="1"/>
  <c r="CS304" i="1"/>
  <c r="CS305" i="1"/>
  <c r="CS306" i="1"/>
  <c r="CS307" i="1"/>
  <c r="CS308" i="1"/>
  <c r="CS309" i="1"/>
  <c r="CS310" i="1"/>
  <c r="CS311" i="1"/>
  <c r="CS312" i="1"/>
  <c r="CS313" i="1"/>
  <c r="CS314" i="1"/>
  <c r="CS315" i="1"/>
  <c r="CS316" i="1"/>
  <c r="CS317" i="1"/>
  <c r="CS318" i="1"/>
  <c r="CS319" i="1"/>
  <c r="CS320" i="1"/>
  <c r="CS321" i="1"/>
  <c r="CS322" i="1"/>
  <c r="CS323" i="1"/>
  <c r="CS324" i="1"/>
  <c r="CS325" i="1"/>
  <c r="CS326" i="1"/>
  <c r="CS327" i="1"/>
  <c r="CS328" i="1"/>
  <c r="CS329" i="1"/>
  <c r="CS330" i="1"/>
  <c r="CS331" i="1"/>
  <c r="CS332" i="1"/>
  <c r="CS333" i="1"/>
  <c r="CS334" i="1"/>
  <c r="CS335" i="1"/>
  <c r="CS336" i="1"/>
  <c r="CS337" i="1"/>
  <c r="CS338" i="1"/>
  <c r="CS339" i="1"/>
  <c r="CS340" i="1"/>
  <c r="CS341" i="1"/>
  <c r="CS342" i="1"/>
  <c r="CS343" i="1"/>
  <c r="CS344" i="1"/>
  <c r="CS345" i="1"/>
  <c r="CS346" i="1"/>
  <c r="CS347" i="1"/>
  <c r="CS348" i="1"/>
  <c r="CS349" i="1"/>
  <c r="CS350" i="1"/>
  <c r="CS351" i="1"/>
  <c r="CS352" i="1"/>
  <c r="CS353" i="1"/>
  <c r="CS354" i="1"/>
  <c r="CS355" i="1"/>
  <c r="CS356" i="1"/>
  <c r="CS357" i="1"/>
  <c r="CS358" i="1"/>
  <c r="CS359" i="1"/>
  <c r="CS360" i="1"/>
  <c r="CS361" i="1"/>
  <c r="CS362" i="1"/>
  <c r="CS363" i="1"/>
  <c r="CS364" i="1"/>
  <c r="CS173" i="1"/>
  <c r="AN130" i="123" l="1"/>
  <c r="AN131" i="123"/>
  <c r="AN132" i="123"/>
  <c r="AN133" i="123"/>
  <c r="AN134" i="123"/>
  <c r="AN135" i="123"/>
  <c r="AN136" i="123"/>
  <c r="AN137" i="123"/>
  <c r="AN138" i="123"/>
  <c r="AN139" i="123"/>
  <c r="AN140" i="123"/>
  <c r="AN141" i="123"/>
  <c r="AN142" i="123"/>
  <c r="AN143" i="123"/>
  <c r="AN144" i="123"/>
  <c r="AN145" i="123"/>
  <c r="AN146" i="123"/>
  <c r="AN147" i="123"/>
  <c r="AN148" i="123"/>
  <c r="AN149" i="123"/>
  <c r="AN150" i="123"/>
  <c r="AN151" i="123"/>
  <c r="AN152" i="123"/>
  <c r="AN153" i="123"/>
  <c r="AN154" i="123"/>
  <c r="AN155" i="123"/>
  <c r="AN156" i="123"/>
  <c r="AN157" i="123"/>
  <c r="AN158" i="123"/>
  <c r="AN159" i="123"/>
  <c r="AN160" i="123"/>
  <c r="AN161" i="123"/>
  <c r="AN162" i="123"/>
  <c r="AN163" i="123"/>
  <c r="AN164" i="123"/>
  <c r="AN165" i="123"/>
  <c r="AN166" i="123"/>
  <c r="AN167" i="123"/>
  <c r="AN168" i="123"/>
  <c r="AN169" i="123"/>
  <c r="AN170" i="123"/>
  <c r="AN171" i="123"/>
  <c r="AN172" i="123"/>
  <c r="AN173" i="123"/>
  <c r="AN174" i="123"/>
  <c r="AN175" i="123"/>
  <c r="AN176" i="123"/>
  <c r="AN177" i="123"/>
  <c r="AN178" i="123"/>
  <c r="AN179" i="123"/>
  <c r="AN180" i="123"/>
  <c r="AN181" i="123"/>
  <c r="AN182" i="123"/>
  <c r="AN183" i="123"/>
  <c r="AN184" i="123"/>
  <c r="AN185" i="123"/>
  <c r="AN186" i="123"/>
  <c r="AN187" i="123"/>
  <c r="AN188" i="123"/>
  <c r="AN189" i="123"/>
  <c r="AN190" i="123"/>
  <c r="AN191" i="123"/>
  <c r="AN192" i="123"/>
  <c r="AN193" i="123"/>
  <c r="AN194" i="123"/>
  <c r="AN195" i="123"/>
  <c r="AN196" i="123"/>
  <c r="AN197" i="123"/>
  <c r="AN198" i="123"/>
  <c r="AN199" i="123"/>
  <c r="AN200" i="123"/>
  <c r="AN201" i="123"/>
  <c r="AN202" i="123"/>
  <c r="AN203" i="123"/>
  <c r="AN204" i="123"/>
  <c r="AN205" i="123"/>
  <c r="AN206" i="123"/>
  <c r="AN207" i="123"/>
  <c r="AN208" i="123"/>
  <c r="AN209" i="123"/>
  <c r="AN225" i="123"/>
  <c r="AN226" i="123"/>
  <c r="AN227" i="123"/>
  <c r="AN228" i="123"/>
  <c r="AN229" i="123"/>
  <c r="AN230" i="123"/>
  <c r="AN231" i="123"/>
  <c r="AN232" i="123"/>
  <c r="AN233" i="123"/>
  <c r="AN234" i="123"/>
  <c r="AN235" i="123"/>
  <c r="AN236" i="123"/>
  <c r="AN237" i="123"/>
  <c r="AN238" i="123"/>
  <c r="AN239" i="123"/>
  <c r="AN240" i="123"/>
  <c r="AN241" i="123"/>
  <c r="AN242" i="123"/>
  <c r="AN243" i="123"/>
  <c r="AN244" i="123"/>
  <c r="AN245" i="123"/>
  <c r="AN246" i="123"/>
  <c r="AN247" i="123"/>
  <c r="AN248" i="123"/>
  <c r="AN249" i="123"/>
  <c r="AN250" i="123"/>
  <c r="AN251" i="123"/>
  <c r="AN252" i="123"/>
  <c r="AN253" i="123"/>
  <c r="AN254" i="123"/>
  <c r="AN255" i="123"/>
  <c r="AN256" i="123"/>
  <c r="AN257" i="123"/>
  <c r="AN258" i="123"/>
  <c r="AN259" i="123"/>
  <c r="AN260" i="123"/>
  <c r="AN261" i="123"/>
  <c r="AN262" i="123"/>
  <c r="AN263" i="123"/>
  <c r="AN264" i="123"/>
  <c r="AN265" i="123"/>
  <c r="AN266" i="123"/>
  <c r="AN267" i="123"/>
  <c r="AN268" i="123"/>
  <c r="AN269" i="123"/>
  <c r="AN270" i="123"/>
  <c r="AN271" i="123"/>
  <c r="AN272" i="123"/>
  <c r="AN273" i="123"/>
  <c r="AN274" i="123"/>
  <c r="AN275" i="123"/>
  <c r="AN276" i="123"/>
  <c r="AN277" i="123"/>
  <c r="AN278" i="123"/>
  <c r="AN279" i="123"/>
  <c r="AN280" i="123"/>
  <c r="AN281" i="123"/>
  <c r="AN282" i="123"/>
  <c r="AN283" i="123"/>
  <c r="AN284" i="123"/>
  <c r="AN285" i="123"/>
  <c r="AN286" i="123"/>
  <c r="AN287" i="123"/>
  <c r="AN288" i="123"/>
  <c r="AN289" i="123"/>
  <c r="AN290" i="123"/>
  <c r="AN291" i="123"/>
  <c r="AN292" i="123"/>
  <c r="AN293" i="123"/>
  <c r="AN294" i="123"/>
  <c r="AN295" i="123"/>
  <c r="AN296" i="123"/>
  <c r="AN297" i="123"/>
  <c r="AN298" i="123"/>
  <c r="AN299" i="123"/>
  <c r="AN300" i="123"/>
  <c r="AN301" i="123"/>
  <c r="AN302" i="123"/>
  <c r="AN303" i="123"/>
  <c r="AN304" i="123"/>
  <c r="AN129" i="123"/>
  <c r="LQ3" i="93" l="1"/>
  <c r="GW62" i="93" s="1"/>
  <c r="LR60" i="93"/>
  <c r="LQ60" i="93"/>
  <c r="LT60" i="93"/>
  <c r="LU60" i="93"/>
  <c r="LV60" i="93"/>
  <c r="LW60" i="93"/>
  <c r="LX60" i="93"/>
  <c r="LP60" i="93"/>
  <c r="GU15" i="1" l="1"/>
  <c r="GY15" i="1"/>
  <c r="GT15" i="1"/>
  <c r="GT16" i="1" s="1"/>
  <c r="GV15" i="1"/>
  <c r="GZ15" i="1"/>
  <c r="GW15" i="1"/>
  <c r="HA15" i="1"/>
  <c r="GX15" i="1"/>
  <c r="HB15" i="1"/>
  <c r="LX56" i="93"/>
  <c r="GU16" i="1" l="1"/>
  <c r="GV16" i="1" s="1"/>
  <c r="GW16" i="1" s="1"/>
  <c r="GX16" i="1" s="1"/>
  <c r="GY16" i="1" s="1"/>
  <c r="GZ16" i="1" s="1"/>
  <c r="HA16" i="1" s="1"/>
  <c r="HB16" i="1" s="1"/>
  <c r="M108" i="71"/>
  <c r="M104" i="71"/>
  <c r="X2" i="125" l="1"/>
  <c r="FP15" i="123" l="1"/>
  <c r="FQ15" i="123"/>
  <c r="FR15" i="123"/>
  <c r="FS15" i="123"/>
  <c r="FT15" i="123"/>
  <c r="FU15" i="123"/>
  <c r="FV15" i="123"/>
  <c r="FW15" i="123"/>
  <c r="FX15" i="123"/>
  <c r="FY15" i="123"/>
  <c r="FZ15" i="123"/>
  <c r="GA15" i="123"/>
  <c r="GB15" i="123"/>
  <c r="GC15" i="123"/>
  <c r="GD15" i="123"/>
  <c r="GE15" i="123"/>
  <c r="GF15" i="123"/>
  <c r="GG15" i="123"/>
  <c r="GH15" i="123"/>
  <c r="GI15" i="123"/>
  <c r="GJ15" i="123"/>
  <c r="GK15" i="123"/>
  <c r="GL15" i="123"/>
  <c r="GM15" i="123"/>
  <c r="GN15" i="123"/>
  <c r="GO15" i="123"/>
  <c r="GP15" i="123"/>
  <c r="GQ15" i="123"/>
  <c r="GR15" i="123"/>
  <c r="GS15" i="123"/>
  <c r="GT15" i="123"/>
  <c r="GU15" i="123"/>
  <c r="GV15" i="123"/>
  <c r="GW15" i="123"/>
  <c r="GX15" i="123"/>
  <c r="GY15" i="123"/>
  <c r="GZ15" i="123"/>
  <c r="HA15" i="123"/>
  <c r="HB15" i="123"/>
  <c r="HC15" i="123"/>
  <c r="HD15" i="123"/>
  <c r="HE15" i="123"/>
  <c r="HF15" i="123"/>
  <c r="HG15" i="123"/>
  <c r="HH15" i="123"/>
  <c r="HI15" i="123"/>
  <c r="HJ15" i="123"/>
  <c r="HK15" i="123"/>
  <c r="HL15" i="123"/>
  <c r="HM15" i="123"/>
  <c r="HN15" i="123"/>
  <c r="HO15" i="123"/>
  <c r="HP15" i="123"/>
  <c r="HQ15" i="123"/>
  <c r="HR15" i="123"/>
  <c r="HS15" i="123"/>
  <c r="HT15" i="123"/>
  <c r="HU15" i="123"/>
  <c r="HV15" i="123"/>
  <c r="HW15" i="123"/>
  <c r="HX15" i="123"/>
  <c r="HY15" i="123"/>
  <c r="HZ15" i="123"/>
  <c r="IA15" i="123"/>
  <c r="IB15" i="123"/>
  <c r="IC15" i="123"/>
  <c r="ID15" i="123"/>
  <c r="IE15" i="123"/>
  <c r="IF15" i="123"/>
  <c r="IG15" i="123"/>
  <c r="IH15" i="123"/>
  <c r="II15" i="123"/>
  <c r="IJ15" i="123"/>
  <c r="IK15" i="123"/>
  <c r="IL15" i="123"/>
  <c r="IM15" i="123"/>
  <c r="IN15" i="123"/>
  <c r="IO15" i="123"/>
  <c r="IP15" i="123"/>
  <c r="IQ15" i="123"/>
  <c r="IR15" i="123"/>
  <c r="IS15" i="123"/>
  <c r="IT15" i="123"/>
  <c r="IU15" i="123"/>
  <c r="IV15" i="123"/>
  <c r="IW15" i="123"/>
  <c r="IX15" i="123"/>
  <c r="IY15" i="123"/>
  <c r="IZ15" i="123"/>
  <c r="JA15" i="123"/>
  <c r="JB15" i="123"/>
  <c r="JC15" i="123"/>
  <c r="EG15" i="123"/>
  <c r="EG13" i="123" s="1"/>
  <c r="EG127" i="123" l="1"/>
  <c r="EG18" i="123" s="1"/>
  <c r="AE4" i="71"/>
  <c r="IK23" i="1"/>
  <c r="IL23" i="1"/>
  <c r="IM23" i="1"/>
  <c r="IN23" i="1"/>
  <c r="IO23" i="1"/>
  <c r="IP23" i="1"/>
  <c r="IQ23" i="1"/>
  <c r="IR23" i="1"/>
  <c r="IS23" i="1"/>
  <c r="IT23" i="1"/>
  <c r="IU23" i="1"/>
  <c r="IV23" i="1"/>
  <c r="IW23" i="1"/>
  <c r="IX23" i="1"/>
  <c r="IY23" i="1"/>
  <c r="IZ23" i="1"/>
  <c r="JA23" i="1"/>
  <c r="JB23" i="1"/>
  <c r="JC23" i="1"/>
  <c r="JD23" i="1"/>
  <c r="JE23" i="1"/>
  <c r="JF23" i="1"/>
  <c r="JG23" i="1"/>
  <c r="JH23" i="1"/>
  <c r="JI23" i="1"/>
  <c r="JJ23" i="1"/>
  <c r="JK23" i="1"/>
  <c r="JL23" i="1"/>
  <c r="JM23" i="1"/>
  <c r="JN23" i="1"/>
  <c r="JO23" i="1"/>
  <c r="JP23" i="1"/>
  <c r="JQ23" i="1"/>
  <c r="JR23" i="1"/>
  <c r="JS23" i="1"/>
  <c r="JT23" i="1"/>
  <c r="JU23" i="1"/>
  <c r="JV23" i="1"/>
  <c r="JW23" i="1"/>
  <c r="JX23" i="1"/>
  <c r="JY23" i="1"/>
  <c r="JZ23" i="1"/>
  <c r="KA23" i="1"/>
  <c r="KB23" i="1"/>
  <c r="KC23" i="1"/>
  <c r="KD23" i="1"/>
  <c r="KE23" i="1"/>
  <c r="KF23" i="1"/>
  <c r="KG23" i="1"/>
  <c r="KH23" i="1"/>
  <c r="KI23" i="1"/>
  <c r="KJ23" i="1"/>
  <c r="KK23" i="1"/>
  <c r="KL23" i="1"/>
  <c r="KM23" i="1"/>
  <c r="KN23" i="1"/>
  <c r="KO23" i="1"/>
  <c r="KP23" i="1"/>
  <c r="KQ23" i="1"/>
  <c r="KR23" i="1"/>
  <c r="KS23" i="1"/>
  <c r="KT23" i="1"/>
  <c r="KU23" i="1"/>
  <c r="KV23" i="1"/>
  <c r="KW23" i="1"/>
  <c r="KX23" i="1"/>
  <c r="KY23" i="1"/>
  <c r="KZ23" i="1"/>
  <c r="LA23" i="1"/>
  <c r="LB23" i="1"/>
  <c r="LC23" i="1"/>
  <c r="LD23" i="1"/>
  <c r="LE23" i="1"/>
  <c r="LF23" i="1"/>
  <c r="LG23" i="1"/>
  <c r="LH23" i="1"/>
  <c r="LI23" i="1"/>
  <c r="LJ23" i="1"/>
  <c r="LK23" i="1"/>
  <c r="LL23" i="1"/>
  <c r="LM23" i="1"/>
  <c r="LN23" i="1"/>
  <c r="LO23" i="1"/>
  <c r="LP23" i="1"/>
  <c r="GU23" i="1"/>
  <c r="GT23" i="1"/>
  <c r="GT21" i="1" s="1"/>
  <c r="EI29" i="123"/>
  <c r="EJ29" i="123"/>
  <c r="EK29" i="123"/>
  <c r="EL29" i="123"/>
  <c r="EM29" i="123"/>
  <c r="EN29" i="123"/>
  <c r="EO29" i="123"/>
  <c r="EP29" i="123"/>
  <c r="EQ29" i="123"/>
  <c r="ER29" i="123"/>
  <c r="ES29" i="123"/>
  <c r="ET29" i="123"/>
  <c r="EU29" i="123"/>
  <c r="EV29" i="123"/>
  <c r="EW29" i="123"/>
  <c r="EX29" i="123"/>
  <c r="EY29" i="123"/>
  <c r="EZ29" i="123"/>
  <c r="FA29" i="123"/>
  <c r="FB29" i="123"/>
  <c r="FC29" i="123"/>
  <c r="FD29" i="123"/>
  <c r="FE29" i="123"/>
  <c r="FF29" i="123"/>
  <c r="FG29" i="123"/>
  <c r="FH29" i="123"/>
  <c r="FI29" i="123"/>
  <c r="FJ29" i="123"/>
  <c r="FK29" i="123"/>
  <c r="FL29" i="123"/>
  <c r="FM29" i="123"/>
  <c r="FN29" i="123"/>
  <c r="FO29" i="123"/>
  <c r="FP29" i="123"/>
  <c r="FQ29" i="123"/>
  <c r="FR29" i="123"/>
  <c r="FS29" i="123"/>
  <c r="FT29" i="123"/>
  <c r="FU29" i="123"/>
  <c r="FV29" i="123"/>
  <c r="FW29" i="123"/>
  <c r="FX29" i="123"/>
  <c r="FY29" i="123"/>
  <c r="FZ29" i="123"/>
  <c r="GA29" i="123"/>
  <c r="GB29" i="123"/>
  <c r="GC29" i="123"/>
  <c r="GD29" i="123"/>
  <c r="GE29" i="123"/>
  <c r="GF29" i="123"/>
  <c r="GG29" i="123"/>
  <c r="GH29" i="123"/>
  <c r="GI29" i="123"/>
  <c r="GJ29" i="123"/>
  <c r="GK29" i="123"/>
  <c r="GL29" i="123"/>
  <c r="GM29" i="123"/>
  <c r="GN29" i="123"/>
  <c r="GO29" i="123"/>
  <c r="GP29" i="123"/>
  <c r="GQ29" i="123"/>
  <c r="GR29" i="123"/>
  <c r="GS29" i="123"/>
  <c r="GT29" i="123"/>
  <c r="GU29" i="123"/>
  <c r="GV29" i="123"/>
  <c r="GW29" i="123"/>
  <c r="GX29" i="123"/>
  <c r="GY29" i="123"/>
  <c r="GZ29" i="123"/>
  <c r="HA29" i="123"/>
  <c r="HB29" i="123"/>
  <c r="HC29" i="123"/>
  <c r="HD29" i="123"/>
  <c r="HE29" i="123"/>
  <c r="HF29" i="123"/>
  <c r="HG29" i="123"/>
  <c r="HH29" i="123"/>
  <c r="HI29" i="123"/>
  <c r="HJ29" i="123"/>
  <c r="HK29" i="123"/>
  <c r="HL29" i="123"/>
  <c r="HM29" i="123"/>
  <c r="HN29" i="123"/>
  <c r="HO29" i="123"/>
  <c r="HP29" i="123"/>
  <c r="HQ29" i="123"/>
  <c r="HR29" i="123"/>
  <c r="HS29" i="123"/>
  <c r="HT29" i="123"/>
  <c r="HU29" i="123"/>
  <c r="HV29" i="123"/>
  <c r="HW29" i="123"/>
  <c r="HX29" i="123"/>
  <c r="HY29" i="123"/>
  <c r="HZ29" i="123"/>
  <c r="IA29" i="123"/>
  <c r="IB29" i="123"/>
  <c r="IC29" i="123"/>
  <c r="ID29" i="123"/>
  <c r="IE29" i="123"/>
  <c r="IF29" i="123"/>
  <c r="IG29" i="123"/>
  <c r="IH29" i="123"/>
  <c r="II29" i="123"/>
  <c r="IJ29" i="123"/>
  <c r="IK29" i="123"/>
  <c r="IL29" i="123"/>
  <c r="IM29" i="123"/>
  <c r="IN29" i="123"/>
  <c r="IO29" i="123"/>
  <c r="IP29" i="123"/>
  <c r="IQ29" i="123"/>
  <c r="IR29" i="123"/>
  <c r="IS29" i="123"/>
  <c r="IT29" i="123"/>
  <c r="IU29" i="123"/>
  <c r="IV29" i="123"/>
  <c r="IW29" i="123"/>
  <c r="IX29" i="123"/>
  <c r="IY29" i="123"/>
  <c r="IZ29" i="123"/>
  <c r="JA29" i="123"/>
  <c r="JB29" i="123"/>
  <c r="JC29" i="123"/>
  <c r="EH29" i="123"/>
  <c r="GV37" i="1"/>
  <c r="GV23" i="1" s="1"/>
  <c r="GW37" i="1"/>
  <c r="GW23" i="1" s="1"/>
  <c r="GX37" i="1"/>
  <c r="GX23" i="1" s="1"/>
  <c r="GY37" i="1"/>
  <c r="GY23" i="1" s="1"/>
  <c r="GZ37" i="1"/>
  <c r="GZ23" i="1" s="1"/>
  <c r="HA37" i="1"/>
  <c r="HA23" i="1" s="1"/>
  <c r="HB37" i="1"/>
  <c r="HB23" i="1" s="1"/>
  <c r="HC37" i="1"/>
  <c r="HC23" i="1" s="1"/>
  <c r="HD37" i="1"/>
  <c r="HD23" i="1" s="1"/>
  <c r="HE37" i="1"/>
  <c r="HE23" i="1" s="1"/>
  <c r="HF37" i="1"/>
  <c r="HF23" i="1" s="1"/>
  <c r="HG37" i="1"/>
  <c r="HG23" i="1" s="1"/>
  <c r="HH37" i="1"/>
  <c r="HH23" i="1" s="1"/>
  <c r="HI37" i="1"/>
  <c r="HI23" i="1" s="1"/>
  <c r="HJ37" i="1"/>
  <c r="HJ23" i="1" s="1"/>
  <c r="HK37" i="1"/>
  <c r="HK23" i="1" s="1"/>
  <c r="HL37" i="1"/>
  <c r="HL23" i="1" s="1"/>
  <c r="HM37" i="1"/>
  <c r="HM23" i="1" s="1"/>
  <c r="HN37" i="1"/>
  <c r="HN23" i="1" s="1"/>
  <c r="HO37" i="1"/>
  <c r="HO23" i="1" s="1"/>
  <c r="HP37" i="1"/>
  <c r="HP23" i="1" s="1"/>
  <c r="HQ37" i="1"/>
  <c r="HQ23" i="1" s="1"/>
  <c r="HR37" i="1"/>
  <c r="HR23" i="1" s="1"/>
  <c r="HS37" i="1"/>
  <c r="HS23" i="1" s="1"/>
  <c r="HT37" i="1"/>
  <c r="HT23" i="1" s="1"/>
  <c r="HU37" i="1"/>
  <c r="HU23" i="1" s="1"/>
  <c r="HV37" i="1"/>
  <c r="HV23" i="1" s="1"/>
  <c r="HW37" i="1"/>
  <c r="HW23" i="1" s="1"/>
  <c r="HX37" i="1"/>
  <c r="HX23" i="1" s="1"/>
  <c r="HY37" i="1"/>
  <c r="HY23" i="1" s="1"/>
  <c r="HZ37" i="1"/>
  <c r="HZ23" i="1" s="1"/>
  <c r="IA37" i="1"/>
  <c r="IA23" i="1" s="1"/>
  <c r="IB37" i="1"/>
  <c r="IB23" i="1" s="1"/>
  <c r="IC37" i="1"/>
  <c r="IC23" i="1" s="1"/>
  <c r="ID37" i="1"/>
  <c r="ID23" i="1" s="1"/>
  <c r="IE37" i="1"/>
  <c r="IE23" i="1" s="1"/>
  <c r="IF37" i="1"/>
  <c r="IF23" i="1" s="1"/>
  <c r="IG37" i="1"/>
  <c r="IG23" i="1" s="1"/>
  <c r="IH37" i="1"/>
  <c r="IH23" i="1" s="1"/>
  <c r="II37" i="1"/>
  <c r="II23" i="1" s="1"/>
  <c r="IJ37" i="1"/>
  <c r="IJ23" i="1" s="1"/>
  <c r="IK37" i="1"/>
  <c r="IL37" i="1"/>
  <c r="IM37" i="1"/>
  <c r="IN37" i="1"/>
  <c r="IO37" i="1"/>
  <c r="IP37" i="1"/>
  <c r="IQ37" i="1"/>
  <c r="IR37" i="1"/>
  <c r="IS37" i="1"/>
  <c r="IT37" i="1"/>
  <c r="IU37" i="1"/>
  <c r="IV37" i="1"/>
  <c r="IW37" i="1"/>
  <c r="IX37" i="1"/>
  <c r="IY37" i="1"/>
  <c r="IZ37" i="1"/>
  <c r="JA37" i="1"/>
  <c r="JB37" i="1"/>
  <c r="JC37" i="1"/>
  <c r="JD37" i="1"/>
  <c r="JE37" i="1"/>
  <c r="JF37" i="1"/>
  <c r="JG37" i="1"/>
  <c r="JH37" i="1"/>
  <c r="JI37" i="1"/>
  <c r="JJ37" i="1"/>
  <c r="JK37" i="1"/>
  <c r="JL37" i="1"/>
  <c r="JM37" i="1"/>
  <c r="JN37" i="1"/>
  <c r="JO37" i="1"/>
  <c r="JP37" i="1"/>
  <c r="JQ37" i="1"/>
  <c r="JR37" i="1"/>
  <c r="JS37" i="1"/>
  <c r="JT37" i="1"/>
  <c r="JU37" i="1"/>
  <c r="JV37" i="1"/>
  <c r="JW37" i="1"/>
  <c r="JX37" i="1"/>
  <c r="JY37" i="1"/>
  <c r="JZ37" i="1"/>
  <c r="KA37" i="1"/>
  <c r="KB37" i="1"/>
  <c r="KC37" i="1"/>
  <c r="KD37" i="1"/>
  <c r="KE37" i="1"/>
  <c r="KF37" i="1"/>
  <c r="KG37" i="1"/>
  <c r="KH37" i="1"/>
  <c r="KI37" i="1"/>
  <c r="KJ37" i="1"/>
  <c r="KK37" i="1"/>
  <c r="KL37" i="1"/>
  <c r="KM37" i="1"/>
  <c r="KN37" i="1"/>
  <c r="KO37" i="1"/>
  <c r="KP37" i="1"/>
  <c r="KQ37" i="1"/>
  <c r="KR37" i="1"/>
  <c r="KS37" i="1"/>
  <c r="KT37" i="1"/>
  <c r="KU37" i="1"/>
  <c r="KV37" i="1"/>
  <c r="KW37" i="1"/>
  <c r="KX37" i="1"/>
  <c r="KY37" i="1"/>
  <c r="KZ37" i="1"/>
  <c r="LA37" i="1"/>
  <c r="LB37" i="1"/>
  <c r="LC37" i="1"/>
  <c r="LD37" i="1"/>
  <c r="LE37" i="1"/>
  <c r="LF37" i="1"/>
  <c r="LG37" i="1"/>
  <c r="LH37" i="1"/>
  <c r="LI37" i="1"/>
  <c r="LJ37" i="1"/>
  <c r="LK37" i="1"/>
  <c r="LL37" i="1"/>
  <c r="LM37" i="1"/>
  <c r="LN37" i="1"/>
  <c r="LO37" i="1"/>
  <c r="LP37" i="1"/>
  <c r="GU37" i="1"/>
  <c r="GT171" i="1" l="1"/>
  <c r="AE7" i="71"/>
  <c r="FG15" i="123"/>
  <c r="EU15" i="123"/>
  <c r="EI15" i="123"/>
  <c r="FJ15" i="123"/>
  <c r="EX15" i="123"/>
  <c r="EP15" i="123"/>
  <c r="FM15" i="123"/>
  <c r="FI15" i="123"/>
  <c r="FE15" i="123"/>
  <c r="FA15" i="123"/>
  <c r="EW15" i="123"/>
  <c r="ES15" i="123"/>
  <c r="EO15" i="123"/>
  <c r="EK15" i="123"/>
  <c r="FO15" i="123"/>
  <c r="FK15" i="123"/>
  <c r="FC15" i="123"/>
  <c r="EY15" i="123"/>
  <c r="EQ15" i="123"/>
  <c r="EM15" i="123"/>
  <c r="FN15" i="123"/>
  <c r="FF15" i="123"/>
  <c r="FB15" i="123"/>
  <c r="ET15" i="123"/>
  <c r="EL15" i="123"/>
  <c r="EH15" i="123"/>
  <c r="FL15" i="123"/>
  <c r="FH15" i="123"/>
  <c r="FD15" i="123"/>
  <c r="EZ15" i="123"/>
  <c r="EV15" i="123"/>
  <c r="ER15" i="123"/>
  <c r="EN15" i="123"/>
  <c r="EJ15" i="123"/>
  <c r="GO23" i="1"/>
  <c r="GN23" i="1"/>
  <c r="GT26" i="1" l="1"/>
  <c r="GU21" i="1"/>
  <c r="GV21" i="1" s="1"/>
  <c r="AG7" i="71" s="1"/>
  <c r="IQ21" i="1"/>
  <c r="IU21" i="1"/>
  <c r="IY21" i="1"/>
  <c r="JC21" i="1"/>
  <c r="JG21" i="1"/>
  <c r="JK21" i="1"/>
  <c r="JO21" i="1"/>
  <c r="JS21" i="1"/>
  <c r="JW21" i="1"/>
  <c r="KA21" i="1"/>
  <c r="KE21" i="1"/>
  <c r="KI21" i="1"/>
  <c r="KM21" i="1"/>
  <c r="KQ21" i="1"/>
  <c r="KU21" i="1"/>
  <c r="KY21" i="1"/>
  <c r="LC21" i="1"/>
  <c r="LG21" i="1"/>
  <c r="LK21" i="1"/>
  <c r="LO21" i="1"/>
  <c r="IL21" i="1"/>
  <c r="IS21" i="1"/>
  <c r="JA21" i="1"/>
  <c r="JI21" i="1"/>
  <c r="JQ21" i="1"/>
  <c r="JY21" i="1"/>
  <c r="KG21" i="1"/>
  <c r="KO21" i="1"/>
  <c r="KW21" i="1"/>
  <c r="LE21" i="1"/>
  <c r="LM21" i="1"/>
  <c r="IN21" i="1"/>
  <c r="IR21" i="1"/>
  <c r="IV21" i="1"/>
  <c r="IZ21" i="1"/>
  <c r="JD21" i="1"/>
  <c r="JH21" i="1"/>
  <c r="JL21" i="1"/>
  <c r="JP21" i="1"/>
  <c r="JT21" i="1"/>
  <c r="JX21" i="1"/>
  <c r="KB21" i="1"/>
  <c r="KF21" i="1"/>
  <c r="KJ21" i="1"/>
  <c r="KN21" i="1"/>
  <c r="KR21" i="1"/>
  <c r="KV21" i="1"/>
  <c r="KZ21" i="1"/>
  <c r="LD21" i="1"/>
  <c r="LH21" i="1"/>
  <c r="LL21" i="1"/>
  <c r="LP21" i="1"/>
  <c r="IM21" i="1"/>
  <c r="IW21" i="1"/>
  <c r="JE21" i="1"/>
  <c r="JM21" i="1"/>
  <c r="JU21" i="1"/>
  <c r="KC21" i="1"/>
  <c r="KK21" i="1"/>
  <c r="KS21" i="1"/>
  <c r="LA21" i="1"/>
  <c r="LI21" i="1"/>
  <c r="IP21" i="1"/>
  <c r="JF21" i="1"/>
  <c r="JV21" i="1"/>
  <c r="KL21" i="1"/>
  <c r="LB21" i="1"/>
  <c r="IK21" i="1"/>
  <c r="LJ21" i="1"/>
  <c r="JR21" i="1"/>
  <c r="KX21" i="1"/>
  <c r="IT21" i="1"/>
  <c r="JJ21" i="1"/>
  <c r="JZ21" i="1"/>
  <c r="KP21" i="1"/>
  <c r="LF21" i="1"/>
  <c r="IO21" i="1"/>
  <c r="IX21" i="1"/>
  <c r="JN21" i="1"/>
  <c r="KD21" i="1"/>
  <c r="KT21" i="1"/>
  <c r="JB21" i="1"/>
  <c r="KH21" i="1"/>
  <c r="LN21" i="1"/>
  <c r="EB15" i="123"/>
  <c r="EA15" i="123"/>
  <c r="JJ171" i="1" l="1"/>
  <c r="JJ104" i="1" s="1"/>
  <c r="CU7" i="71"/>
  <c r="LI171" i="1"/>
  <c r="LI7" i="1" s="1"/>
  <c r="ET7" i="71"/>
  <c r="LH171" i="1"/>
  <c r="LH107" i="1" s="1"/>
  <c r="ES7" i="71"/>
  <c r="KB171" i="1"/>
  <c r="KB7" i="1" s="1"/>
  <c r="DM7" i="71"/>
  <c r="LE171" i="1"/>
  <c r="LE26" i="1" s="1"/>
  <c r="EP7" i="71"/>
  <c r="KQ171" i="1"/>
  <c r="KQ7" i="1" s="1"/>
  <c r="EB7" i="71"/>
  <c r="JB171" i="1"/>
  <c r="CM7" i="71"/>
  <c r="IX171" i="1"/>
  <c r="IX7" i="1" s="1"/>
  <c r="CI7" i="71"/>
  <c r="JZ171" i="1"/>
  <c r="JZ122" i="1" s="1"/>
  <c r="DK7" i="71"/>
  <c r="JR171" i="1"/>
  <c r="JR7" i="1" s="1"/>
  <c r="DC7" i="71"/>
  <c r="KL171" i="1"/>
  <c r="KL104" i="1" s="1"/>
  <c r="DW7" i="71"/>
  <c r="KK171" i="1"/>
  <c r="KK7" i="1" s="1"/>
  <c r="DV7" i="71"/>
  <c r="JE171" i="1"/>
  <c r="JE114" i="1" s="1"/>
  <c r="CP7" i="71"/>
  <c r="LL171" i="1"/>
  <c r="LL7" i="1" s="1"/>
  <c r="EW7" i="71"/>
  <c r="KV171" i="1"/>
  <c r="KV122" i="1" s="1"/>
  <c r="EG7" i="71"/>
  <c r="KF171" i="1"/>
  <c r="KF7" i="1" s="1"/>
  <c r="DQ7" i="71"/>
  <c r="JP171" i="1"/>
  <c r="JP95" i="1" s="1"/>
  <c r="DA7" i="71"/>
  <c r="IZ171" i="1"/>
  <c r="IZ7" i="1" s="1"/>
  <c r="CK7" i="71"/>
  <c r="LM171" i="1"/>
  <c r="LM110" i="1" s="1"/>
  <c r="EX7" i="71"/>
  <c r="KG171" i="1"/>
  <c r="KG7" i="1" s="1"/>
  <c r="DR7" i="71"/>
  <c r="JA171" i="1"/>
  <c r="JA125" i="1" s="1"/>
  <c r="CL7" i="71"/>
  <c r="LK171" i="1"/>
  <c r="LK7" i="1" s="1"/>
  <c r="EV7" i="71"/>
  <c r="KU171" i="1"/>
  <c r="KU112" i="1" s="1"/>
  <c r="EF7" i="71"/>
  <c r="KE171" i="1"/>
  <c r="KE7" i="1" s="1"/>
  <c r="DP7" i="71"/>
  <c r="JO171" i="1"/>
  <c r="JO110" i="1" s="1"/>
  <c r="CZ7" i="71"/>
  <c r="IY171" i="1"/>
  <c r="IY7" i="1" s="1"/>
  <c r="CJ7" i="71"/>
  <c r="KT171" i="1"/>
  <c r="KT106" i="1" s="1"/>
  <c r="EE7" i="71"/>
  <c r="LJ171" i="1"/>
  <c r="LJ7" i="1" s="1"/>
  <c r="EU7" i="71"/>
  <c r="KC171" i="1"/>
  <c r="KC95" i="1" s="1"/>
  <c r="DN7" i="71"/>
  <c r="KR171" i="1"/>
  <c r="KR7" i="1" s="1"/>
  <c r="EC7" i="71"/>
  <c r="IV171" i="1"/>
  <c r="IV93" i="1" s="1"/>
  <c r="CG7" i="71"/>
  <c r="IS171" i="1"/>
  <c r="IS7" i="1" s="1"/>
  <c r="CD7" i="71"/>
  <c r="JK171" i="1"/>
  <c r="JK108" i="1" s="1"/>
  <c r="CV7" i="71"/>
  <c r="LN171" i="1"/>
  <c r="LN7" i="1" s="1"/>
  <c r="EY7" i="71"/>
  <c r="KD171" i="1"/>
  <c r="DO7" i="71"/>
  <c r="LF171" i="1"/>
  <c r="LF7" i="1" s="1"/>
  <c r="EQ7" i="71"/>
  <c r="IT171" i="1"/>
  <c r="CE7" i="71"/>
  <c r="IK171" i="1"/>
  <c r="IK7" i="1" s="1"/>
  <c r="BV7" i="71"/>
  <c r="JF171" i="1"/>
  <c r="CQ7" i="71"/>
  <c r="LA171" i="1"/>
  <c r="EL7" i="71"/>
  <c r="JU171" i="1"/>
  <c r="DF7" i="71"/>
  <c r="IM171" i="1"/>
  <c r="IM7" i="1" s="1"/>
  <c r="BX7" i="71"/>
  <c r="LD171" i="1"/>
  <c r="EO7" i="71"/>
  <c r="KN171" i="1"/>
  <c r="KN7" i="1" s="1"/>
  <c r="DY7" i="71"/>
  <c r="JX171" i="1"/>
  <c r="DI7" i="71"/>
  <c r="JH171" i="1"/>
  <c r="JH7" i="1" s="1"/>
  <c r="CS7" i="71"/>
  <c r="IR171" i="1"/>
  <c r="CC7" i="71"/>
  <c r="KW171" i="1"/>
  <c r="KW7" i="1" s="1"/>
  <c r="EH7" i="71"/>
  <c r="JQ171" i="1"/>
  <c r="DB7" i="71"/>
  <c r="IL171" i="1"/>
  <c r="IL7" i="1" s="1"/>
  <c r="BW7" i="71"/>
  <c r="LC171" i="1"/>
  <c r="EN7" i="71"/>
  <c r="KM171" i="1"/>
  <c r="KM7" i="1" s="1"/>
  <c r="DX7" i="71"/>
  <c r="JW171" i="1"/>
  <c r="DH7" i="71"/>
  <c r="JG171" i="1"/>
  <c r="JG7" i="1" s="1"/>
  <c r="CR7" i="71"/>
  <c r="IQ171" i="1"/>
  <c r="CB7" i="71"/>
  <c r="IO171" i="1"/>
  <c r="IO7" i="1" s="1"/>
  <c r="BZ7" i="71"/>
  <c r="JV171" i="1"/>
  <c r="JV112" i="1" s="1"/>
  <c r="DG7" i="71"/>
  <c r="IW171" i="1"/>
  <c r="IW7" i="1" s="1"/>
  <c r="CH7" i="71"/>
  <c r="JL171" i="1"/>
  <c r="JL97" i="1" s="1"/>
  <c r="CW7" i="71"/>
  <c r="JY171" i="1"/>
  <c r="JY7" i="1" s="1"/>
  <c r="DJ7" i="71"/>
  <c r="LG171" i="1"/>
  <c r="LG101" i="1" s="1"/>
  <c r="ER7" i="71"/>
  <c r="KA171" i="1"/>
  <c r="KA7" i="1" s="1"/>
  <c r="DL7" i="71"/>
  <c r="IU171" i="1"/>
  <c r="IU105" i="1" s="1"/>
  <c r="CF7" i="71"/>
  <c r="KH171" i="1"/>
  <c r="KH7" i="1" s="1"/>
  <c r="DS7" i="71"/>
  <c r="JN171" i="1"/>
  <c r="JN94" i="1" s="1"/>
  <c r="CY7" i="71"/>
  <c r="KP171" i="1"/>
  <c r="KP7" i="1" s="1"/>
  <c r="EA7" i="71"/>
  <c r="KX171" i="1"/>
  <c r="EI7" i="71"/>
  <c r="LB171" i="1"/>
  <c r="LB7" i="1" s="1"/>
  <c r="EM7" i="71"/>
  <c r="IP171" i="1"/>
  <c r="CA7" i="71"/>
  <c r="KS171" i="1"/>
  <c r="KS7" i="1" s="1"/>
  <c r="ED7" i="71"/>
  <c r="JM171" i="1"/>
  <c r="JM104" i="1" s="1"/>
  <c r="CX7" i="71"/>
  <c r="LP171" i="1"/>
  <c r="LP7" i="1" s="1"/>
  <c r="FA7" i="71"/>
  <c r="KZ171" i="1"/>
  <c r="KZ125" i="1" s="1"/>
  <c r="EK7" i="71"/>
  <c r="KJ171" i="1"/>
  <c r="KJ7" i="1" s="1"/>
  <c r="DU7" i="71"/>
  <c r="JT171" i="1"/>
  <c r="JT134" i="1" s="1"/>
  <c r="DE7" i="71"/>
  <c r="JD171" i="1"/>
  <c r="JD7" i="1" s="1"/>
  <c r="CO7" i="71"/>
  <c r="IN171" i="1"/>
  <c r="BY7" i="71"/>
  <c r="KO171" i="1"/>
  <c r="KO7" i="1" s="1"/>
  <c r="DZ7" i="71"/>
  <c r="JI171" i="1"/>
  <c r="JI93" i="1" s="1"/>
  <c r="CT7" i="71"/>
  <c r="LO171" i="1"/>
  <c r="LO7" i="1" s="1"/>
  <c r="EZ7" i="71"/>
  <c r="KY171" i="1"/>
  <c r="KY107" i="1" s="1"/>
  <c r="EJ7" i="71"/>
  <c r="KI171" i="1"/>
  <c r="KI7" i="1" s="1"/>
  <c r="DT7" i="71"/>
  <c r="JS171" i="1"/>
  <c r="JS131" i="1" s="1"/>
  <c r="DD7" i="71"/>
  <c r="JC171" i="1"/>
  <c r="JC7" i="1" s="1"/>
  <c r="CN7" i="71"/>
  <c r="GU171" i="1"/>
  <c r="GU26" i="1" s="1"/>
  <c r="AF7" i="71"/>
  <c r="EX13" i="123"/>
  <c r="FB13" i="123"/>
  <c r="FF13" i="123"/>
  <c r="FJ13" i="123"/>
  <c r="FN13" i="123"/>
  <c r="FR13" i="123"/>
  <c r="FV13" i="123"/>
  <c r="FZ13" i="123"/>
  <c r="GD13" i="123"/>
  <c r="GH13" i="123"/>
  <c r="GL13" i="123"/>
  <c r="GP13" i="123"/>
  <c r="GT13" i="123"/>
  <c r="GX13" i="123"/>
  <c r="HB13" i="123"/>
  <c r="HF13" i="123"/>
  <c r="HJ13" i="123"/>
  <c r="HN13" i="123"/>
  <c r="HR13" i="123"/>
  <c r="HV13" i="123"/>
  <c r="HZ13" i="123"/>
  <c r="ID13" i="123"/>
  <c r="IH13" i="123"/>
  <c r="IL13" i="123"/>
  <c r="IP13" i="123"/>
  <c r="IT13" i="123"/>
  <c r="IX13" i="123"/>
  <c r="JB13" i="123"/>
  <c r="EZ13" i="123"/>
  <c r="FD13" i="123"/>
  <c r="FH13" i="123"/>
  <c r="FL13" i="123"/>
  <c r="FP13" i="123"/>
  <c r="FT13" i="123"/>
  <c r="FX13" i="123"/>
  <c r="GB13" i="123"/>
  <c r="GF13" i="123"/>
  <c r="GJ13" i="123"/>
  <c r="GN13" i="123"/>
  <c r="GR13" i="123"/>
  <c r="GV13" i="123"/>
  <c r="GZ13" i="123"/>
  <c r="HD13" i="123"/>
  <c r="HH13" i="123"/>
  <c r="HL13" i="123"/>
  <c r="HP13" i="123"/>
  <c r="HT13" i="123"/>
  <c r="HX13" i="123"/>
  <c r="IB13" i="123"/>
  <c r="IF13" i="123"/>
  <c r="IJ13" i="123"/>
  <c r="IN13" i="123"/>
  <c r="IR13" i="123"/>
  <c r="IV13" i="123"/>
  <c r="IZ13" i="123"/>
  <c r="EH13" i="123"/>
  <c r="II13" i="123"/>
  <c r="FA13" i="123"/>
  <c r="FI13" i="123"/>
  <c r="FQ13" i="123"/>
  <c r="FY13" i="123"/>
  <c r="GG13" i="123"/>
  <c r="GO13" i="123"/>
  <c r="GW13" i="123"/>
  <c r="HE13" i="123"/>
  <c r="HM13" i="123"/>
  <c r="HU13" i="123"/>
  <c r="IC13" i="123"/>
  <c r="IK13" i="123"/>
  <c r="IS13" i="123"/>
  <c r="JA13" i="123"/>
  <c r="FC13" i="123"/>
  <c r="FK13" i="123"/>
  <c r="FS13" i="123"/>
  <c r="GA13" i="123"/>
  <c r="GI13" i="123"/>
  <c r="GQ13" i="123"/>
  <c r="GY13" i="123"/>
  <c r="HG13" i="123"/>
  <c r="HO13" i="123"/>
  <c r="HW13" i="123"/>
  <c r="IE13" i="123"/>
  <c r="IM13" i="123"/>
  <c r="IU13" i="123"/>
  <c r="JC13" i="123"/>
  <c r="EW13" i="123"/>
  <c r="FE13" i="123"/>
  <c r="FM13" i="123"/>
  <c r="FU13" i="123"/>
  <c r="GC13" i="123"/>
  <c r="GK13" i="123"/>
  <c r="GS13" i="123"/>
  <c r="HA13" i="123"/>
  <c r="HI13" i="123"/>
  <c r="HQ13" i="123"/>
  <c r="HY13" i="123"/>
  <c r="IG13" i="123"/>
  <c r="IO13" i="123"/>
  <c r="IW13" i="123"/>
  <c r="EY13" i="123"/>
  <c r="FG13" i="123"/>
  <c r="FO13" i="123"/>
  <c r="FW13" i="123"/>
  <c r="GE13" i="123"/>
  <c r="GM13" i="123"/>
  <c r="GU13" i="123"/>
  <c r="HC13" i="123"/>
  <c r="HK13" i="123"/>
  <c r="HS13" i="123"/>
  <c r="IA13" i="123"/>
  <c r="IQ13" i="123"/>
  <c r="IY13" i="123"/>
  <c r="GW21" i="1"/>
  <c r="AH7" i="71" s="1"/>
  <c r="GV171" i="1"/>
  <c r="I37" i="97"/>
  <c r="JK92" i="1" l="1"/>
  <c r="IV115" i="1"/>
  <c r="JJ119" i="1"/>
  <c r="IU140" i="1"/>
  <c r="LG115" i="1"/>
  <c r="JL134" i="1"/>
  <c r="JO114" i="1"/>
  <c r="IU110" i="1"/>
  <c r="LE129" i="1"/>
  <c r="LH128" i="1"/>
  <c r="KV96" i="1"/>
  <c r="JK126" i="1"/>
  <c r="LE96" i="1"/>
  <c r="KC126" i="1"/>
  <c r="IU138" i="1"/>
  <c r="IU97" i="1"/>
  <c r="JK123" i="1"/>
  <c r="LG133" i="1"/>
  <c r="LG106" i="1"/>
  <c r="LE122" i="1"/>
  <c r="IV135" i="1"/>
  <c r="IV104" i="1"/>
  <c r="JL116" i="1"/>
  <c r="LH112" i="1"/>
  <c r="KC107" i="1"/>
  <c r="JJ110" i="1"/>
  <c r="KU126" i="1"/>
  <c r="KL133" i="1"/>
  <c r="IU131" i="1"/>
  <c r="IU26" i="1"/>
  <c r="JK109" i="1"/>
  <c r="LG134" i="1"/>
  <c r="LG98" i="1"/>
  <c r="LE110" i="1"/>
  <c r="IV126" i="1"/>
  <c r="IV99" i="1"/>
  <c r="JL101" i="1"/>
  <c r="LH98" i="1"/>
  <c r="JV101" i="1"/>
  <c r="JJ93" i="1"/>
  <c r="LM135" i="1"/>
  <c r="IU117" i="1"/>
  <c r="JK130" i="1"/>
  <c r="JK103" i="1"/>
  <c r="LG129" i="1"/>
  <c r="LE123" i="1"/>
  <c r="LE103" i="1"/>
  <c r="IV123" i="1"/>
  <c r="JL140" i="1"/>
  <c r="LH135" i="1"/>
  <c r="KC136" i="1"/>
  <c r="JJ139" i="1"/>
  <c r="KT128" i="1"/>
  <c r="JP128" i="1"/>
  <c r="JV118" i="1"/>
  <c r="KQ95" i="1"/>
  <c r="LK139" i="1"/>
  <c r="JL111" i="1"/>
  <c r="KT97" i="1"/>
  <c r="JA111" i="1"/>
  <c r="JL120" i="1"/>
  <c r="JL94" i="1"/>
  <c r="JV137" i="1"/>
  <c r="JY92" i="1"/>
  <c r="IU126" i="1"/>
  <c r="IU109" i="1"/>
  <c r="IU95" i="1"/>
  <c r="JK138" i="1"/>
  <c r="JK117" i="1"/>
  <c r="JK96" i="1"/>
  <c r="LG139" i="1"/>
  <c r="LG114" i="1"/>
  <c r="LG107" i="1"/>
  <c r="LG93" i="1"/>
  <c r="LE119" i="1"/>
  <c r="LE99" i="1"/>
  <c r="LE98" i="1"/>
  <c r="IV134" i="1"/>
  <c r="IV116" i="1"/>
  <c r="IV103" i="1"/>
  <c r="JL133" i="1"/>
  <c r="JL125" i="1"/>
  <c r="JL102" i="1"/>
  <c r="KR110" i="1"/>
  <c r="LH127" i="1"/>
  <c r="LH26" i="1"/>
  <c r="KC112" i="1"/>
  <c r="JV121" i="1"/>
  <c r="JV95" i="1"/>
  <c r="JJ117" i="1"/>
  <c r="KT129" i="1"/>
  <c r="JO137" i="1"/>
  <c r="KU99" i="1"/>
  <c r="JA92" i="1"/>
  <c r="IU120" i="1"/>
  <c r="IU123" i="1"/>
  <c r="JK140" i="1"/>
  <c r="JK131" i="1"/>
  <c r="KA112" i="1"/>
  <c r="LG122" i="1"/>
  <c r="LG121" i="1"/>
  <c r="LE132" i="1"/>
  <c r="LE130" i="1"/>
  <c r="LE111" i="1"/>
  <c r="IV131" i="1"/>
  <c r="IV111" i="1"/>
  <c r="JL128" i="1"/>
  <c r="JL115" i="1"/>
  <c r="LH136" i="1"/>
  <c r="KC137" i="1"/>
  <c r="JJ135" i="1"/>
  <c r="KT113" i="1"/>
  <c r="JO91" i="1"/>
  <c r="JA134" i="1"/>
  <c r="LM93" i="1"/>
  <c r="KA102" i="1"/>
  <c r="IS135" i="1"/>
  <c r="LJ120" i="1"/>
  <c r="IO116" i="1"/>
  <c r="KE26" i="1"/>
  <c r="KQ111" i="1"/>
  <c r="JY115" i="1"/>
  <c r="KB26" i="1"/>
  <c r="LI116" i="1"/>
  <c r="KT138" i="1"/>
  <c r="FO127" i="123"/>
  <c r="FO6" i="123" s="1"/>
  <c r="BM4" i="71"/>
  <c r="GC127" i="123"/>
  <c r="GC18" i="123" s="1"/>
  <c r="CA4" i="71"/>
  <c r="GY127" i="123"/>
  <c r="GY6" i="123" s="1"/>
  <c r="CW4" i="71"/>
  <c r="HM127" i="123"/>
  <c r="HM6" i="123" s="1"/>
  <c r="DK4" i="71"/>
  <c r="IV127" i="123"/>
  <c r="IV18" i="123" s="1"/>
  <c r="ET4" i="71"/>
  <c r="GZ127" i="123"/>
  <c r="GZ6" i="123" s="1"/>
  <c r="CX4" i="71"/>
  <c r="FD127" i="123"/>
  <c r="FD8" i="123" s="1"/>
  <c r="BB4" i="71"/>
  <c r="HN127" i="123"/>
  <c r="HN8" i="123" s="1"/>
  <c r="DL4" i="71"/>
  <c r="FR127" i="123"/>
  <c r="FR8" i="123" s="1"/>
  <c r="BP4" i="71"/>
  <c r="FG127" i="123"/>
  <c r="FG6" i="123" s="1"/>
  <c r="BE4" i="71"/>
  <c r="FU127" i="123"/>
  <c r="FU18" i="123" s="1"/>
  <c r="BS4" i="71"/>
  <c r="GQ127" i="123"/>
  <c r="GQ18" i="123" s="1"/>
  <c r="CO4" i="71"/>
  <c r="HE127" i="123"/>
  <c r="HE8" i="123" s="1"/>
  <c r="DC4" i="71"/>
  <c r="IR127" i="123"/>
  <c r="IR8" i="123" s="1"/>
  <c r="EP4" i="71"/>
  <c r="GV127" i="123"/>
  <c r="GV8" i="123" s="1"/>
  <c r="CT4" i="71"/>
  <c r="EZ127" i="123"/>
  <c r="EZ6" i="123" s="1"/>
  <c r="AX4" i="71"/>
  <c r="HJ127" i="123"/>
  <c r="HJ8" i="123" s="1"/>
  <c r="DH4" i="71"/>
  <c r="EX127" i="123"/>
  <c r="EX8" i="123" s="1"/>
  <c r="AV4" i="71"/>
  <c r="HK127" i="123"/>
  <c r="HK18" i="123" s="1"/>
  <c r="DI4" i="71"/>
  <c r="HY127" i="123"/>
  <c r="HY8" i="123" s="1"/>
  <c r="DW4" i="71"/>
  <c r="IU127" i="123"/>
  <c r="IU8" i="123" s="1"/>
  <c r="ES4" i="71"/>
  <c r="FC127" i="123"/>
  <c r="FC8" i="123" s="1"/>
  <c r="BA4" i="71"/>
  <c r="FQ127" i="123"/>
  <c r="FQ18" i="123" s="1"/>
  <c r="BO4" i="71"/>
  <c r="EH127" i="123"/>
  <c r="EH18" i="123" s="1"/>
  <c r="AF4" i="71"/>
  <c r="IN127" i="123"/>
  <c r="IN6" i="123" s="1"/>
  <c r="EL4" i="71"/>
  <c r="HX127" i="123"/>
  <c r="HX18" i="123" s="1"/>
  <c r="DV4" i="71"/>
  <c r="HH127" i="123"/>
  <c r="HH8" i="123" s="1"/>
  <c r="DF4" i="71"/>
  <c r="GR127" i="123"/>
  <c r="GR8" i="123" s="1"/>
  <c r="CP4" i="71"/>
  <c r="GB127" i="123"/>
  <c r="GB8" i="123" s="1"/>
  <c r="BZ4" i="71"/>
  <c r="FL127" i="123"/>
  <c r="FL6" i="123" s="1"/>
  <c r="BJ4" i="71"/>
  <c r="JB127" i="123"/>
  <c r="JB8" i="123" s="1"/>
  <c r="EZ4" i="71"/>
  <c r="IL127" i="123"/>
  <c r="IL6" i="123" s="1"/>
  <c r="EJ4" i="71"/>
  <c r="HV127" i="123"/>
  <c r="HV6" i="123" s="1"/>
  <c r="DT4" i="71"/>
  <c r="HF127" i="123"/>
  <c r="HF8" i="123" s="1"/>
  <c r="DD4" i="71"/>
  <c r="GP127" i="123"/>
  <c r="GP8" i="123" s="1"/>
  <c r="CN4" i="71"/>
  <c r="FZ127" i="123"/>
  <c r="FZ6" i="123" s="1"/>
  <c r="BX4" i="71"/>
  <c r="FJ127" i="123"/>
  <c r="FJ6" i="123" s="1"/>
  <c r="BH4" i="71"/>
  <c r="IA127" i="123"/>
  <c r="IA8" i="123" s="1"/>
  <c r="DY4" i="71"/>
  <c r="GU127" i="123"/>
  <c r="GU6" i="123" s="1"/>
  <c r="CS4" i="71"/>
  <c r="IO127" i="123"/>
  <c r="IO8" i="123" s="1"/>
  <c r="EM4" i="71"/>
  <c r="HI127" i="123"/>
  <c r="HI18" i="123" s="1"/>
  <c r="DG4" i="71"/>
  <c r="EW127" i="123"/>
  <c r="EW6" i="123" s="1"/>
  <c r="AU4" i="71"/>
  <c r="IE127" i="123"/>
  <c r="IE18" i="123" s="1"/>
  <c r="EC4" i="71"/>
  <c r="FS127" i="123"/>
  <c r="FS18" i="123" s="1"/>
  <c r="BQ4" i="71"/>
  <c r="IS127" i="123"/>
  <c r="IS6" i="123" s="1"/>
  <c r="EQ4" i="71"/>
  <c r="GG127" i="123"/>
  <c r="GG6" i="123" s="1"/>
  <c r="CE4" i="71"/>
  <c r="FA127" i="123"/>
  <c r="FA8" i="123" s="1"/>
  <c r="AY4" i="71"/>
  <c r="IF127" i="123"/>
  <c r="IF8" i="123" s="1"/>
  <c r="ED4" i="71"/>
  <c r="HP127" i="123"/>
  <c r="HP18" i="123" s="1"/>
  <c r="DN4" i="71"/>
  <c r="GJ127" i="123"/>
  <c r="GJ8" i="123" s="1"/>
  <c r="CH4" i="71"/>
  <c r="FT127" i="123"/>
  <c r="FT18" i="123" s="1"/>
  <c r="BR4" i="71"/>
  <c r="IT127" i="123"/>
  <c r="IT6" i="123" s="1"/>
  <c r="ER4" i="71"/>
  <c r="ID127" i="123"/>
  <c r="ID8" i="123" s="1"/>
  <c r="EB4" i="71"/>
  <c r="GX127" i="123"/>
  <c r="GX6" i="123" s="1"/>
  <c r="CV4" i="71"/>
  <c r="GH127" i="123"/>
  <c r="GH6" i="123" s="1"/>
  <c r="CF4" i="71"/>
  <c r="FB127" i="123"/>
  <c r="FB6" i="123" s="1"/>
  <c r="AZ4" i="71"/>
  <c r="HS127" i="123"/>
  <c r="HS6" i="123" s="1"/>
  <c r="DQ4" i="71"/>
  <c r="GM127" i="123"/>
  <c r="GM18" i="123" s="1"/>
  <c r="CK4" i="71"/>
  <c r="IG127" i="123"/>
  <c r="IG8" i="123" s="1"/>
  <c r="EE4" i="71"/>
  <c r="HA127" i="123"/>
  <c r="HA18" i="123" s="1"/>
  <c r="CY4" i="71"/>
  <c r="JC127" i="123"/>
  <c r="JC6" i="123" s="1"/>
  <c r="FA4" i="71"/>
  <c r="HW127" i="123"/>
  <c r="HW18" i="123" s="1"/>
  <c r="DU4" i="71"/>
  <c r="FK127" i="123"/>
  <c r="FK6" i="123" s="1"/>
  <c r="BI4" i="71"/>
  <c r="IK127" i="123"/>
  <c r="IK8" i="123" s="1"/>
  <c r="EI4" i="71"/>
  <c r="FY127" i="123"/>
  <c r="FY18" i="123" s="1"/>
  <c r="BW4" i="71"/>
  <c r="II127" i="123"/>
  <c r="II8" i="123" s="1"/>
  <c r="EG4" i="71"/>
  <c r="IB127" i="123"/>
  <c r="IB18" i="123" s="1"/>
  <c r="DZ4" i="71"/>
  <c r="HL127" i="123"/>
  <c r="HL8" i="123" s="1"/>
  <c r="DJ4" i="71"/>
  <c r="GF127" i="123"/>
  <c r="GF6" i="123" s="1"/>
  <c r="CD4" i="71"/>
  <c r="FP127" i="123"/>
  <c r="FP18" i="123" s="1"/>
  <c r="BN4" i="71"/>
  <c r="IP127" i="123"/>
  <c r="IP8" i="123" s="1"/>
  <c r="EN4" i="71"/>
  <c r="HZ127" i="123"/>
  <c r="HZ8" i="123" s="1"/>
  <c r="DX4" i="71"/>
  <c r="GT127" i="123"/>
  <c r="GT18" i="123" s="1"/>
  <c r="CR4" i="71"/>
  <c r="GD127" i="123"/>
  <c r="GD8" i="123" s="1"/>
  <c r="CB4" i="71"/>
  <c r="FN127" i="123"/>
  <c r="FN6" i="123" s="1"/>
  <c r="BL4" i="71"/>
  <c r="IY127" i="123"/>
  <c r="IY6" i="123" s="1"/>
  <c r="EW4" i="71"/>
  <c r="GE127" i="123"/>
  <c r="GE6" i="123" s="1"/>
  <c r="CC4" i="71"/>
  <c r="EY127" i="123"/>
  <c r="EY8" i="123" s="1"/>
  <c r="AW4" i="71"/>
  <c r="GS127" i="123"/>
  <c r="GS8" i="123" s="1"/>
  <c r="CQ4" i="71"/>
  <c r="FM127" i="123"/>
  <c r="FM6" i="123" s="1"/>
  <c r="BK4" i="71"/>
  <c r="HO127" i="123"/>
  <c r="HO6" i="123" s="1"/>
  <c r="DM4" i="71"/>
  <c r="GI127" i="123"/>
  <c r="GI6" i="123" s="1"/>
  <c r="CG4" i="71"/>
  <c r="IC127" i="123"/>
  <c r="IC8" i="123" s="1"/>
  <c r="EA4" i="71"/>
  <c r="GW127" i="123"/>
  <c r="GW8" i="123" s="1"/>
  <c r="CU4" i="71"/>
  <c r="IQ127" i="123"/>
  <c r="IQ6" i="123" s="1"/>
  <c r="EO4" i="71"/>
  <c r="HC127" i="123"/>
  <c r="HC18" i="123" s="1"/>
  <c r="DA4" i="71"/>
  <c r="FW127" i="123"/>
  <c r="FW8" i="123" s="1"/>
  <c r="BU4" i="71"/>
  <c r="IW127" i="123"/>
  <c r="IW8" i="123" s="1"/>
  <c r="EU4" i="71"/>
  <c r="HQ127" i="123"/>
  <c r="HQ18" i="123" s="1"/>
  <c r="DO4" i="71"/>
  <c r="GK127" i="123"/>
  <c r="GK18" i="123" s="1"/>
  <c r="CI4" i="71"/>
  <c r="FE127" i="123"/>
  <c r="FE8" i="123" s="1"/>
  <c r="BC4" i="71"/>
  <c r="IM127" i="123"/>
  <c r="IM8" i="123" s="1"/>
  <c r="EK4" i="71"/>
  <c r="HG127" i="123"/>
  <c r="HG8" i="123" s="1"/>
  <c r="DE4" i="71"/>
  <c r="GA127" i="123"/>
  <c r="GA18" i="123" s="1"/>
  <c r="BY4" i="71"/>
  <c r="JA127" i="123"/>
  <c r="JA8" i="123" s="1"/>
  <c r="EY4" i="71"/>
  <c r="HU127" i="123"/>
  <c r="HU6" i="123" s="1"/>
  <c r="DS4" i="71"/>
  <c r="GO127" i="123"/>
  <c r="GO6" i="123" s="1"/>
  <c r="CM4" i="71"/>
  <c r="FI127" i="123"/>
  <c r="FI8" i="123" s="1"/>
  <c r="BG4" i="71"/>
  <c r="IZ127" i="123"/>
  <c r="IZ6" i="123" s="1"/>
  <c r="EX4" i="71"/>
  <c r="IJ127" i="123"/>
  <c r="IJ18" i="123" s="1"/>
  <c r="EH4" i="71"/>
  <c r="HT127" i="123"/>
  <c r="HT6" i="123" s="1"/>
  <c r="DR4" i="71"/>
  <c r="HD127" i="123"/>
  <c r="HD8" i="123" s="1"/>
  <c r="DB4" i="71"/>
  <c r="GN127" i="123"/>
  <c r="GN8" i="123" s="1"/>
  <c r="CL4" i="71"/>
  <c r="FX127" i="123"/>
  <c r="FX8" i="123" s="1"/>
  <c r="BV4" i="71"/>
  <c r="FH127" i="123"/>
  <c r="FH8" i="123" s="1"/>
  <c r="BF4" i="71"/>
  <c r="IX127" i="123"/>
  <c r="IX8" i="123" s="1"/>
  <c r="EV4" i="71"/>
  <c r="IH127" i="123"/>
  <c r="IH8" i="123" s="1"/>
  <c r="EF4" i="71"/>
  <c r="HR127" i="123"/>
  <c r="HR18" i="123" s="1"/>
  <c r="DP4" i="71"/>
  <c r="HB127" i="123"/>
  <c r="HB6" i="123" s="1"/>
  <c r="CZ4" i="71"/>
  <c r="GL127" i="123"/>
  <c r="GL6" i="123" s="1"/>
  <c r="CJ4" i="71"/>
  <c r="FV127" i="123"/>
  <c r="FV8" i="123" s="1"/>
  <c r="BT4" i="71"/>
  <c r="FF127" i="123"/>
  <c r="FF8" i="123" s="1"/>
  <c r="BD4" i="71"/>
  <c r="IW126" i="1"/>
  <c r="JS7" i="1"/>
  <c r="JS10" i="1"/>
  <c r="JS26" i="1"/>
  <c r="JS95" i="1"/>
  <c r="JS97" i="1"/>
  <c r="JS105" i="1"/>
  <c r="JS108" i="1"/>
  <c r="JS111" i="1"/>
  <c r="JS114" i="1"/>
  <c r="JS125" i="1"/>
  <c r="JS112" i="1"/>
  <c r="JS130" i="1"/>
  <c r="JS138" i="1"/>
  <c r="JS126" i="1"/>
  <c r="JS140" i="1"/>
  <c r="JS91" i="1"/>
  <c r="JS94" i="1"/>
  <c r="JS99" i="1"/>
  <c r="JS104" i="1"/>
  <c r="JS110" i="1"/>
  <c r="JS113" i="1"/>
  <c r="JS119" i="1"/>
  <c r="JS127" i="1"/>
  <c r="JS116" i="1"/>
  <c r="JS132" i="1"/>
  <c r="JS120" i="1"/>
  <c r="JS124" i="1"/>
  <c r="JS133" i="1"/>
  <c r="JS93" i="1"/>
  <c r="JS98" i="1"/>
  <c r="JS101" i="1"/>
  <c r="JS102" i="1"/>
  <c r="JS107" i="1"/>
  <c r="JS115" i="1"/>
  <c r="JS121" i="1"/>
  <c r="JS129" i="1"/>
  <c r="JS100" i="1"/>
  <c r="JS134" i="1"/>
  <c r="JS128" i="1"/>
  <c r="JS137" i="1"/>
  <c r="JS139" i="1"/>
  <c r="JS92" i="1"/>
  <c r="JS109" i="1"/>
  <c r="JS122" i="1"/>
  <c r="JS96" i="1"/>
  <c r="JS117" i="1"/>
  <c r="JS136" i="1"/>
  <c r="JS103" i="1"/>
  <c r="JS123" i="1"/>
  <c r="JS118" i="1"/>
  <c r="KY7" i="1"/>
  <c r="KY10" i="1"/>
  <c r="KY92" i="1"/>
  <c r="KY96" i="1"/>
  <c r="KY103" i="1"/>
  <c r="KY106" i="1"/>
  <c r="KY109" i="1"/>
  <c r="KY115" i="1"/>
  <c r="KY121" i="1"/>
  <c r="KY129" i="1"/>
  <c r="KY122" i="1"/>
  <c r="KY136" i="1"/>
  <c r="KY118" i="1"/>
  <c r="KY135" i="1"/>
  <c r="KY26" i="1"/>
  <c r="KY95" i="1"/>
  <c r="KY97" i="1"/>
  <c r="KY105" i="1"/>
  <c r="KY108" i="1"/>
  <c r="KY111" i="1"/>
  <c r="KY117" i="1"/>
  <c r="KY123" i="1"/>
  <c r="KY131" i="1"/>
  <c r="KY130" i="1"/>
  <c r="KY138" i="1"/>
  <c r="KY126" i="1"/>
  <c r="KY140" i="1"/>
  <c r="KY91" i="1"/>
  <c r="KY94" i="1"/>
  <c r="KY99" i="1"/>
  <c r="KY104" i="1"/>
  <c r="KY110" i="1"/>
  <c r="KY100" i="1"/>
  <c r="KY114" i="1"/>
  <c r="KY125" i="1"/>
  <c r="KY112" i="1"/>
  <c r="KY132" i="1"/>
  <c r="KY120" i="1"/>
  <c r="KY124" i="1"/>
  <c r="KY133" i="1"/>
  <c r="KY98" i="1"/>
  <c r="KY113" i="1"/>
  <c r="KY134" i="1"/>
  <c r="KY101" i="1"/>
  <c r="KY119" i="1"/>
  <c r="KY128" i="1"/>
  <c r="KY102" i="1"/>
  <c r="KY127" i="1"/>
  <c r="KY137" i="1"/>
  <c r="JI7" i="1"/>
  <c r="JI10" i="1"/>
  <c r="JI94" i="1"/>
  <c r="JI97" i="1"/>
  <c r="JI100" i="1"/>
  <c r="JI103" i="1"/>
  <c r="JI111" i="1"/>
  <c r="JI112" i="1"/>
  <c r="JI118" i="1"/>
  <c r="JI126" i="1"/>
  <c r="JI121" i="1"/>
  <c r="JI137" i="1"/>
  <c r="JI125" i="1"/>
  <c r="JI134" i="1"/>
  <c r="JI140" i="1"/>
  <c r="JI91" i="1"/>
  <c r="JI99" i="1"/>
  <c r="JI102" i="1"/>
  <c r="JI101" i="1"/>
  <c r="JI105" i="1"/>
  <c r="JI114" i="1"/>
  <c r="JI120" i="1"/>
  <c r="JI128" i="1"/>
  <c r="JI129" i="1"/>
  <c r="JI117" i="1"/>
  <c r="JI123" i="1"/>
  <c r="JI139" i="1"/>
  <c r="JI26" i="1"/>
  <c r="JI96" i="1"/>
  <c r="JI95" i="1"/>
  <c r="JI104" i="1"/>
  <c r="JI107" i="1"/>
  <c r="JI108" i="1"/>
  <c r="JI116" i="1"/>
  <c r="JI122" i="1"/>
  <c r="JI130" i="1"/>
  <c r="JI133" i="1"/>
  <c r="JI119" i="1"/>
  <c r="JI131" i="1"/>
  <c r="JI132" i="1"/>
  <c r="JI98" i="1"/>
  <c r="JI113" i="1"/>
  <c r="JI127" i="1"/>
  <c r="JI106" i="1"/>
  <c r="JI124" i="1"/>
  <c r="JI136" i="1"/>
  <c r="JI92" i="1"/>
  <c r="JI109" i="1"/>
  <c r="JI115" i="1"/>
  <c r="JI138" i="1"/>
  <c r="IN7" i="1"/>
  <c r="IN92" i="1"/>
  <c r="IN91" i="1"/>
  <c r="IN101" i="1"/>
  <c r="IN100" i="1"/>
  <c r="IN107" i="1"/>
  <c r="IN113" i="1"/>
  <c r="IN114" i="1"/>
  <c r="IN121" i="1"/>
  <c r="IN129" i="1"/>
  <c r="IN124" i="1"/>
  <c r="IN134" i="1"/>
  <c r="IN133" i="1"/>
  <c r="IN132" i="1"/>
  <c r="IN94" i="1"/>
  <c r="IN97" i="1"/>
  <c r="IN103" i="1"/>
  <c r="IN102" i="1"/>
  <c r="IN109" i="1"/>
  <c r="IN115" i="1"/>
  <c r="IN116" i="1"/>
  <c r="IN123" i="1"/>
  <c r="IN131" i="1"/>
  <c r="IN126" i="1"/>
  <c r="IN136" i="1"/>
  <c r="IN135" i="1"/>
  <c r="IN140" i="1"/>
  <c r="IN93" i="1"/>
  <c r="IN99" i="1"/>
  <c r="IN105" i="1"/>
  <c r="IN104" i="1"/>
  <c r="IN111" i="1"/>
  <c r="IN117" i="1"/>
  <c r="IN118" i="1"/>
  <c r="IN125" i="1"/>
  <c r="IN120" i="1"/>
  <c r="IN128" i="1"/>
  <c r="IN138" i="1"/>
  <c r="IN137" i="1"/>
  <c r="IN98" i="1"/>
  <c r="IN119" i="1"/>
  <c r="IN110" i="1"/>
  <c r="IN26" i="1"/>
  <c r="IN106" i="1"/>
  <c r="IN127" i="1"/>
  <c r="IN139" i="1"/>
  <c r="IN96" i="1"/>
  <c r="IN112" i="1"/>
  <c r="IN122" i="1"/>
  <c r="JT7" i="1"/>
  <c r="JT10" i="1"/>
  <c r="JT26" i="1"/>
  <c r="JT96" i="1"/>
  <c r="JT99" i="1"/>
  <c r="JT98" i="1"/>
  <c r="JT107" i="1"/>
  <c r="JT113" i="1"/>
  <c r="JT112" i="1"/>
  <c r="JT119" i="1"/>
  <c r="JT127" i="1"/>
  <c r="JT122" i="1"/>
  <c r="JT130" i="1"/>
  <c r="JT136" i="1"/>
  <c r="JT137" i="1"/>
  <c r="JT92" i="1"/>
  <c r="JT91" i="1"/>
  <c r="JT101" i="1"/>
  <c r="JT100" i="1"/>
  <c r="JT109" i="1"/>
  <c r="JT115" i="1"/>
  <c r="JT114" i="1"/>
  <c r="JT121" i="1"/>
  <c r="JT129" i="1"/>
  <c r="JT124" i="1"/>
  <c r="JT131" i="1"/>
  <c r="JT138" i="1"/>
  <c r="JT139" i="1"/>
  <c r="JT94" i="1"/>
  <c r="JT95" i="1"/>
  <c r="JT103" i="1"/>
  <c r="JT102" i="1"/>
  <c r="JT111" i="1"/>
  <c r="JT117" i="1"/>
  <c r="JT116" i="1"/>
  <c r="JT123" i="1"/>
  <c r="JT118" i="1"/>
  <c r="JT126" i="1"/>
  <c r="JT132" i="1"/>
  <c r="JT133" i="1"/>
  <c r="JT140" i="1"/>
  <c r="JT104" i="1"/>
  <c r="JT125" i="1"/>
  <c r="JT135" i="1"/>
  <c r="JT93" i="1"/>
  <c r="JT106" i="1"/>
  <c r="JT120" i="1"/>
  <c r="JT97" i="1"/>
  <c r="JT108" i="1"/>
  <c r="JT128" i="1"/>
  <c r="KZ7" i="1"/>
  <c r="KZ10" i="1"/>
  <c r="KZ93" i="1"/>
  <c r="KZ97" i="1"/>
  <c r="KZ105" i="1"/>
  <c r="KZ104" i="1"/>
  <c r="KZ106" i="1"/>
  <c r="KZ108" i="1"/>
  <c r="KZ119" i="1"/>
  <c r="KZ127" i="1"/>
  <c r="KZ122" i="1"/>
  <c r="KZ130" i="1"/>
  <c r="KZ134" i="1"/>
  <c r="KZ135" i="1"/>
  <c r="KZ26" i="1"/>
  <c r="KZ96" i="1"/>
  <c r="KZ99" i="1"/>
  <c r="KZ98" i="1"/>
  <c r="KZ107" i="1"/>
  <c r="KZ113" i="1"/>
  <c r="KZ112" i="1"/>
  <c r="KZ121" i="1"/>
  <c r="KZ129" i="1"/>
  <c r="KZ124" i="1"/>
  <c r="KZ110" i="1"/>
  <c r="KZ136" i="1"/>
  <c r="KZ137" i="1"/>
  <c r="KZ92" i="1"/>
  <c r="KZ91" i="1"/>
  <c r="KZ101" i="1"/>
  <c r="KZ100" i="1"/>
  <c r="KZ109" i="1"/>
  <c r="KZ115" i="1"/>
  <c r="KZ114" i="1"/>
  <c r="KZ123" i="1"/>
  <c r="KZ118" i="1"/>
  <c r="KZ126" i="1"/>
  <c r="KZ131" i="1"/>
  <c r="KZ138" i="1"/>
  <c r="KZ139" i="1"/>
  <c r="KZ94" i="1"/>
  <c r="KZ111" i="1"/>
  <c r="KZ120" i="1"/>
  <c r="KZ140" i="1"/>
  <c r="KZ95" i="1"/>
  <c r="KZ117" i="1"/>
  <c r="KZ128" i="1"/>
  <c r="KZ103" i="1"/>
  <c r="KZ116" i="1"/>
  <c r="KZ132" i="1"/>
  <c r="JM7" i="1"/>
  <c r="JM10" i="1"/>
  <c r="JM93" i="1"/>
  <c r="JM97" i="1"/>
  <c r="JM102" i="1"/>
  <c r="JM107" i="1"/>
  <c r="JM108" i="1"/>
  <c r="JM92" i="1"/>
  <c r="JM91" i="1"/>
  <c r="JM98" i="1"/>
  <c r="JM105" i="1"/>
  <c r="JM111" i="1"/>
  <c r="JM112" i="1"/>
  <c r="JM95" i="1"/>
  <c r="JM103" i="1"/>
  <c r="JM114" i="1"/>
  <c r="JM118" i="1"/>
  <c r="JM126" i="1"/>
  <c r="JM117" i="1"/>
  <c r="JM137" i="1"/>
  <c r="JM119" i="1"/>
  <c r="JM136" i="1"/>
  <c r="JM140" i="1"/>
  <c r="JM26" i="1"/>
  <c r="JM99" i="1"/>
  <c r="JM109" i="1"/>
  <c r="JM116" i="1"/>
  <c r="JM120" i="1"/>
  <c r="JM128" i="1"/>
  <c r="JM123" i="1"/>
  <c r="JM121" i="1"/>
  <c r="JM127" i="1"/>
  <c r="JM139" i="1"/>
  <c r="JM94" i="1"/>
  <c r="JM100" i="1"/>
  <c r="JM106" i="1"/>
  <c r="JM101" i="1"/>
  <c r="JM122" i="1"/>
  <c r="JM130" i="1"/>
  <c r="JM133" i="1"/>
  <c r="JM129" i="1"/>
  <c r="JM125" i="1"/>
  <c r="JM134" i="1"/>
  <c r="JM110" i="1"/>
  <c r="JM135" i="1"/>
  <c r="JM115" i="1"/>
  <c r="JM131" i="1"/>
  <c r="JM96" i="1"/>
  <c r="JM124" i="1"/>
  <c r="JM138" i="1"/>
  <c r="IP7" i="1"/>
  <c r="IP93" i="1"/>
  <c r="IP98" i="1"/>
  <c r="IP102" i="1"/>
  <c r="IP103" i="1"/>
  <c r="IP110" i="1"/>
  <c r="IP114" i="1"/>
  <c r="IP115" i="1"/>
  <c r="IP124" i="1"/>
  <c r="IP119" i="1"/>
  <c r="IP127" i="1"/>
  <c r="IP135" i="1"/>
  <c r="IP132" i="1"/>
  <c r="IP140" i="1"/>
  <c r="IP26" i="1"/>
  <c r="IP95" i="1"/>
  <c r="IP99" i="1"/>
  <c r="IP106" i="1"/>
  <c r="IP97" i="1"/>
  <c r="IP111" i="1"/>
  <c r="IP118" i="1"/>
  <c r="IP120" i="1"/>
  <c r="IP128" i="1"/>
  <c r="IP123" i="1"/>
  <c r="IP131" i="1"/>
  <c r="IP139" i="1"/>
  <c r="IP136" i="1"/>
  <c r="IP91" i="1"/>
  <c r="IP100" i="1"/>
  <c r="IP108" i="1"/>
  <c r="IP113" i="1"/>
  <c r="IP130" i="1"/>
  <c r="IP133" i="1"/>
  <c r="IP138" i="1"/>
  <c r="IP94" i="1"/>
  <c r="IP104" i="1"/>
  <c r="IP112" i="1"/>
  <c r="IP117" i="1"/>
  <c r="IP121" i="1"/>
  <c r="IP137" i="1"/>
  <c r="IP96" i="1"/>
  <c r="IP101" i="1"/>
  <c r="IP109" i="1"/>
  <c r="IP122" i="1"/>
  <c r="IP125" i="1"/>
  <c r="IP107" i="1"/>
  <c r="IP92" i="1"/>
  <c r="IP129" i="1"/>
  <c r="IP105" i="1"/>
  <c r="IP134" i="1"/>
  <c r="IP116" i="1"/>
  <c r="KX7" i="1"/>
  <c r="KX10" i="1"/>
  <c r="KX91" i="1"/>
  <c r="KX94" i="1"/>
  <c r="KX100" i="1"/>
  <c r="KX101" i="1"/>
  <c r="KX108" i="1"/>
  <c r="KX112" i="1"/>
  <c r="KX113" i="1"/>
  <c r="KX120" i="1"/>
  <c r="KX128" i="1"/>
  <c r="KX123" i="1"/>
  <c r="KX131" i="1"/>
  <c r="KX132" i="1"/>
  <c r="KX140" i="1"/>
  <c r="KX93" i="1"/>
  <c r="KX98" i="1"/>
  <c r="KX102" i="1"/>
  <c r="KX103" i="1"/>
  <c r="KX110" i="1"/>
  <c r="KX92" i="1"/>
  <c r="KX96" i="1"/>
  <c r="KX104" i="1"/>
  <c r="KX105" i="1"/>
  <c r="KX109" i="1"/>
  <c r="KX116" i="1"/>
  <c r="KX117" i="1"/>
  <c r="KX124" i="1"/>
  <c r="KX119" i="1"/>
  <c r="KX127" i="1"/>
  <c r="KX135" i="1"/>
  <c r="KX136" i="1"/>
  <c r="KX95" i="1"/>
  <c r="KX107" i="1"/>
  <c r="KX118" i="1"/>
  <c r="KX121" i="1"/>
  <c r="KX137" i="1"/>
  <c r="KX97" i="1"/>
  <c r="KX114" i="1"/>
  <c r="KX122" i="1"/>
  <c r="KX125" i="1"/>
  <c r="KX134" i="1"/>
  <c r="KX99" i="1"/>
  <c r="KX111" i="1"/>
  <c r="KX126" i="1"/>
  <c r="KX129" i="1"/>
  <c r="KX138" i="1"/>
  <c r="KX115" i="1"/>
  <c r="KX130" i="1"/>
  <c r="KX26" i="1"/>
  <c r="KX133" i="1"/>
  <c r="JN7" i="1"/>
  <c r="JN10" i="1"/>
  <c r="JN26" i="1"/>
  <c r="JN95" i="1"/>
  <c r="JN100" i="1"/>
  <c r="JN99" i="1"/>
  <c r="JN106" i="1"/>
  <c r="JN112" i="1"/>
  <c r="JN113" i="1"/>
  <c r="JN118" i="1"/>
  <c r="JN126" i="1"/>
  <c r="JN121" i="1"/>
  <c r="JN129" i="1"/>
  <c r="JN137" i="1"/>
  <c r="JN138" i="1"/>
  <c r="JN91" i="1"/>
  <c r="JN96" i="1"/>
  <c r="JN102" i="1"/>
  <c r="JN101" i="1"/>
  <c r="JN108" i="1"/>
  <c r="JN114" i="1"/>
  <c r="JN115" i="1"/>
  <c r="JN120" i="1"/>
  <c r="JN128" i="1"/>
  <c r="JN123" i="1"/>
  <c r="JN131" i="1"/>
  <c r="JN132" i="1"/>
  <c r="JN140" i="1"/>
  <c r="JN93" i="1"/>
  <c r="JN98" i="1"/>
  <c r="JN104" i="1"/>
  <c r="JN103" i="1"/>
  <c r="JN110" i="1"/>
  <c r="JN116" i="1"/>
  <c r="JN117" i="1"/>
  <c r="JN122" i="1"/>
  <c r="JN130" i="1"/>
  <c r="JN125" i="1"/>
  <c r="JN133" i="1"/>
  <c r="JN134" i="1"/>
  <c r="JN139" i="1"/>
  <c r="JN97" i="1"/>
  <c r="JN109" i="1"/>
  <c r="JN127" i="1"/>
  <c r="JN92" i="1"/>
  <c r="JN111" i="1"/>
  <c r="JN135" i="1"/>
  <c r="JN105" i="1"/>
  <c r="JN124" i="1"/>
  <c r="JN136" i="1"/>
  <c r="JN107" i="1"/>
  <c r="JN119" i="1"/>
  <c r="IU7" i="1"/>
  <c r="IU10" i="1"/>
  <c r="LG7" i="1"/>
  <c r="LG10" i="1"/>
  <c r="JL7" i="1"/>
  <c r="JL10" i="1"/>
  <c r="JV7" i="1"/>
  <c r="JV10" i="1"/>
  <c r="JV94" i="1"/>
  <c r="JV92" i="1"/>
  <c r="JV99" i="1"/>
  <c r="JV106" i="1"/>
  <c r="JV109" i="1"/>
  <c r="JV113" i="1"/>
  <c r="JV107" i="1"/>
  <c r="JV124" i="1"/>
  <c r="JV119" i="1"/>
  <c r="JV127" i="1"/>
  <c r="JV135" i="1"/>
  <c r="JV136" i="1"/>
  <c r="JV91" i="1"/>
  <c r="JV96" i="1"/>
  <c r="JV102" i="1"/>
  <c r="JV103" i="1"/>
  <c r="JV110" i="1"/>
  <c r="JV114" i="1"/>
  <c r="JV117" i="1"/>
  <c r="JV120" i="1"/>
  <c r="JV128" i="1"/>
  <c r="JV123" i="1"/>
  <c r="JV131" i="1"/>
  <c r="JV132" i="1"/>
  <c r="JV140" i="1"/>
  <c r="IQ7" i="1"/>
  <c r="IQ10" i="1"/>
  <c r="IQ94" i="1"/>
  <c r="IQ98" i="1"/>
  <c r="IQ103" i="1"/>
  <c r="IQ108" i="1"/>
  <c r="IQ107" i="1"/>
  <c r="IQ115" i="1"/>
  <c r="IQ119" i="1"/>
  <c r="IQ127" i="1"/>
  <c r="IQ118" i="1"/>
  <c r="IQ136" i="1"/>
  <c r="IQ120" i="1"/>
  <c r="IQ137" i="1"/>
  <c r="IQ26" i="1"/>
  <c r="IQ95" i="1"/>
  <c r="IQ97" i="1"/>
  <c r="IQ105" i="1"/>
  <c r="IQ110" i="1"/>
  <c r="IQ109" i="1"/>
  <c r="IQ117" i="1"/>
  <c r="IQ121" i="1"/>
  <c r="IQ129" i="1"/>
  <c r="IQ124" i="1"/>
  <c r="IQ138" i="1"/>
  <c r="IQ128" i="1"/>
  <c r="IQ140" i="1"/>
  <c r="IQ91" i="1"/>
  <c r="IQ92" i="1"/>
  <c r="IQ99" i="1"/>
  <c r="IQ106" i="1"/>
  <c r="IQ112" i="1"/>
  <c r="IQ111" i="1"/>
  <c r="IQ102" i="1"/>
  <c r="IQ123" i="1"/>
  <c r="IQ131" i="1"/>
  <c r="IQ132" i="1"/>
  <c r="IQ122" i="1"/>
  <c r="IQ126" i="1"/>
  <c r="IQ135" i="1"/>
  <c r="IQ101" i="1"/>
  <c r="IQ116" i="1"/>
  <c r="IQ130" i="1"/>
  <c r="IQ104" i="1"/>
  <c r="IQ125" i="1"/>
  <c r="IQ139" i="1"/>
  <c r="IQ93" i="1"/>
  <c r="IQ100" i="1"/>
  <c r="IQ114" i="1"/>
  <c r="IQ133" i="1"/>
  <c r="IQ96" i="1"/>
  <c r="IQ113" i="1"/>
  <c r="IQ134" i="1"/>
  <c r="JW7" i="1"/>
  <c r="JW10" i="1"/>
  <c r="JW26" i="1"/>
  <c r="JW95" i="1"/>
  <c r="JW97" i="1"/>
  <c r="JW105" i="1"/>
  <c r="JW110" i="1"/>
  <c r="JW111" i="1"/>
  <c r="JW102" i="1"/>
  <c r="JW123" i="1"/>
  <c r="JW131" i="1"/>
  <c r="JW134" i="1"/>
  <c r="JW130" i="1"/>
  <c r="JW118" i="1"/>
  <c r="JW93" i="1"/>
  <c r="JW96" i="1"/>
  <c r="JW101" i="1"/>
  <c r="JW106" i="1"/>
  <c r="JW107" i="1"/>
  <c r="JW115" i="1"/>
  <c r="JW119" i="1"/>
  <c r="JW127" i="1"/>
  <c r="JW124" i="1"/>
  <c r="JW138" i="1"/>
  <c r="JW128" i="1"/>
  <c r="JW98" i="1"/>
  <c r="JW108" i="1"/>
  <c r="JW117" i="1"/>
  <c r="JW129" i="1"/>
  <c r="JW122" i="1"/>
  <c r="JW137" i="1"/>
  <c r="JW139" i="1"/>
  <c r="JW91" i="1"/>
  <c r="JW99" i="1"/>
  <c r="JW100" i="1"/>
  <c r="JW116" i="1"/>
  <c r="JW114" i="1"/>
  <c r="JW120" i="1"/>
  <c r="JW140" i="1"/>
  <c r="JW94" i="1"/>
  <c r="JW103" i="1"/>
  <c r="JW109" i="1"/>
  <c r="JW121" i="1"/>
  <c r="JW132" i="1"/>
  <c r="JW112" i="1"/>
  <c r="JW135" i="1"/>
  <c r="JW104" i="1"/>
  <c r="JW126" i="1"/>
  <c r="JW113" i="1"/>
  <c r="JW133" i="1"/>
  <c r="JW125" i="1"/>
  <c r="JW92" i="1"/>
  <c r="LC7" i="1"/>
  <c r="LC10" i="1"/>
  <c r="LC94" i="1"/>
  <c r="LC98" i="1"/>
  <c r="LC103" i="1"/>
  <c r="LC108" i="1"/>
  <c r="LC109" i="1"/>
  <c r="LC117" i="1"/>
  <c r="LC121" i="1"/>
  <c r="LC129" i="1"/>
  <c r="LC132" i="1"/>
  <c r="LC112" i="1"/>
  <c r="LC128" i="1"/>
  <c r="LC140" i="1"/>
  <c r="LC91" i="1"/>
  <c r="LC92" i="1"/>
  <c r="LC99" i="1"/>
  <c r="LC104" i="1"/>
  <c r="LC100" i="1"/>
  <c r="LC113" i="1"/>
  <c r="LC116" i="1"/>
  <c r="LC125" i="1"/>
  <c r="LC114" i="1"/>
  <c r="LC136" i="1"/>
  <c r="LC130" i="1"/>
  <c r="LC126" i="1"/>
  <c r="LC133" i="1"/>
  <c r="LC93" i="1"/>
  <c r="LC101" i="1"/>
  <c r="LC107" i="1"/>
  <c r="LC119" i="1"/>
  <c r="LC124" i="1"/>
  <c r="LC120" i="1"/>
  <c r="LC139" i="1"/>
  <c r="LC95" i="1"/>
  <c r="LC105" i="1"/>
  <c r="LC111" i="1"/>
  <c r="LC123" i="1"/>
  <c r="LC134" i="1"/>
  <c r="LC118" i="1"/>
  <c r="LC96" i="1"/>
  <c r="LC106" i="1"/>
  <c r="LC115" i="1"/>
  <c r="LC127" i="1"/>
  <c r="LC138" i="1"/>
  <c r="LC137" i="1"/>
  <c r="LC26" i="1"/>
  <c r="LC131" i="1"/>
  <c r="LC97" i="1"/>
  <c r="LC122" i="1"/>
  <c r="LC110" i="1"/>
  <c r="LC135" i="1"/>
  <c r="LC102" i="1"/>
  <c r="JQ7" i="1"/>
  <c r="JQ10" i="1"/>
  <c r="JQ94" i="1"/>
  <c r="JQ97" i="1"/>
  <c r="JQ100" i="1"/>
  <c r="JQ107" i="1"/>
  <c r="JQ106" i="1"/>
  <c r="JQ114" i="1"/>
  <c r="JQ120" i="1"/>
  <c r="JQ128" i="1"/>
  <c r="JQ125" i="1"/>
  <c r="JQ103" i="1"/>
  <c r="JQ119" i="1"/>
  <c r="JQ138" i="1"/>
  <c r="JQ140" i="1"/>
  <c r="JQ91" i="1"/>
  <c r="JQ99" i="1"/>
  <c r="JQ102" i="1"/>
  <c r="JQ109" i="1"/>
  <c r="JQ108" i="1"/>
  <c r="JQ116" i="1"/>
  <c r="JQ122" i="1"/>
  <c r="JQ130" i="1"/>
  <c r="JQ133" i="1"/>
  <c r="JQ123" i="1"/>
  <c r="JQ127" i="1"/>
  <c r="JQ26" i="1"/>
  <c r="JQ96" i="1"/>
  <c r="JQ95" i="1"/>
  <c r="JQ104" i="1"/>
  <c r="JQ111" i="1"/>
  <c r="JQ110" i="1"/>
  <c r="JQ117" i="1"/>
  <c r="JQ124" i="1"/>
  <c r="JQ115" i="1"/>
  <c r="JQ135" i="1"/>
  <c r="JQ121" i="1"/>
  <c r="JQ131" i="1"/>
  <c r="JQ136" i="1"/>
  <c r="JQ105" i="1"/>
  <c r="JQ126" i="1"/>
  <c r="JQ132" i="1"/>
  <c r="JQ92" i="1"/>
  <c r="JQ101" i="1"/>
  <c r="JQ113" i="1"/>
  <c r="JQ139" i="1"/>
  <c r="JQ93" i="1"/>
  <c r="JQ112" i="1"/>
  <c r="JQ137" i="1"/>
  <c r="JQ134" i="1"/>
  <c r="JQ98" i="1"/>
  <c r="JQ118" i="1"/>
  <c r="JQ129" i="1"/>
  <c r="IR7" i="1"/>
  <c r="IR92" i="1"/>
  <c r="IR97" i="1"/>
  <c r="IR101" i="1"/>
  <c r="IR100" i="1"/>
  <c r="IR107" i="1"/>
  <c r="IR113" i="1"/>
  <c r="IR114" i="1"/>
  <c r="IR119" i="1"/>
  <c r="IR127" i="1"/>
  <c r="IR122" i="1"/>
  <c r="IR130" i="1"/>
  <c r="IR138" i="1"/>
  <c r="IR139" i="1"/>
  <c r="IR10" i="1"/>
  <c r="IR94" i="1"/>
  <c r="IR99" i="1"/>
  <c r="IR103" i="1"/>
  <c r="IR102" i="1"/>
  <c r="IR109" i="1"/>
  <c r="IR115" i="1"/>
  <c r="IR116" i="1"/>
  <c r="IR121" i="1"/>
  <c r="IR129" i="1"/>
  <c r="IR124" i="1"/>
  <c r="IR132" i="1"/>
  <c r="IR133" i="1"/>
  <c r="IR140" i="1"/>
  <c r="IR91" i="1"/>
  <c r="IR98" i="1"/>
  <c r="IR105" i="1"/>
  <c r="IR104" i="1"/>
  <c r="IR111" i="1"/>
  <c r="IR117" i="1"/>
  <c r="IR118" i="1"/>
  <c r="IR123" i="1"/>
  <c r="IR131" i="1"/>
  <c r="IR126" i="1"/>
  <c r="IR134" i="1"/>
  <c r="IR135" i="1"/>
  <c r="IR26" i="1"/>
  <c r="IR106" i="1"/>
  <c r="IR125" i="1"/>
  <c r="IR137" i="1"/>
  <c r="IR96" i="1"/>
  <c r="IR108" i="1"/>
  <c r="IR120" i="1"/>
  <c r="IR93" i="1"/>
  <c r="IR110" i="1"/>
  <c r="IR128" i="1"/>
  <c r="IR136" i="1"/>
  <c r="IR95" i="1"/>
  <c r="JX7" i="1"/>
  <c r="JX10" i="1"/>
  <c r="JX26" i="1"/>
  <c r="JX96" i="1"/>
  <c r="JX101" i="1"/>
  <c r="JX100" i="1"/>
  <c r="JX109" i="1"/>
  <c r="JX106" i="1"/>
  <c r="JX110" i="1"/>
  <c r="JX119" i="1"/>
  <c r="JX127" i="1"/>
  <c r="JX122" i="1"/>
  <c r="JX130" i="1"/>
  <c r="JX138" i="1"/>
  <c r="JX137" i="1"/>
  <c r="JX92" i="1"/>
  <c r="JX97" i="1"/>
  <c r="JX103" i="1"/>
  <c r="JX102" i="1"/>
  <c r="JX111" i="1"/>
  <c r="JX113" i="1"/>
  <c r="JX112" i="1"/>
  <c r="JX121" i="1"/>
  <c r="JX129" i="1"/>
  <c r="JX124" i="1"/>
  <c r="JX132" i="1"/>
  <c r="JX131" i="1"/>
  <c r="JX139" i="1"/>
  <c r="JX94" i="1"/>
  <c r="JX98" i="1"/>
  <c r="JX105" i="1"/>
  <c r="JX104" i="1"/>
  <c r="JX93" i="1"/>
  <c r="JX115" i="1"/>
  <c r="JX114" i="1"/>
  <c r="JX123" i="1"/>
  <c r="JX118" i="1"/>
  <c r="JX126" i="1"/>
  <c r="JX134" i="1"/>
  <c r="JX133" i="1"/>
  <c r="JX140" i="1"/>
  <c r="JX91" i="1"/>
  <c r="JX108" i="1"/>
  <c r="JX120" i="1"/>
  <c r="JX99" i="1"/>
  <c r="JX117" i="1"/>
  <c r="JX128" i="1"/>
  <c r="JX95" i="1"/>
  <c r="JX116" i="1"/>
  <c r="JX136" i="1"/>
  <c r="JX125" i="1"/>
  <c r="JX135" i="1"/>
  <c r="JX107" i="1"/>
  <c r="JU7" i="1"/>
  <c r="JU93" i="1"/>
  <c r="JU97" i="1"/>
  <c r="JU104" i="1"/>
  <c r="JU109" i="1"/>
  <c r="JU108" i="1"/>
  <c r="JU116" i="1"/>
  <c r="JU122" i="1"/>
  <c r="JU130" i="1"/>
  <c r="JU127" i="1"/>
  <c r="JU125" i="1"/>
  <c r="JU121" i="1"/>
  <c r="JU139" i="1"/>
  <c r="JU10" i="1"/>
  <c r="JU26" i="1"/>
  <c r="JU96" i="1"/>
  <c r="JU98" i="1"/>
  <c r="JU101" i="1"/>
  <c r="JU111" i="1"/>
  <c r="JU110" i="1"/>
  <c r="JU105" i="1"/>
  <c r="JU124" i="1"/>
  <c r="JU117" i="1"/>
  <c r="JU133" i="1"/>
  <c r="JU131" i="1"/>
  <c r="JU129" i="1"/>
  <c r="JU138" i="1"/>
  <c r="JU92" i="1"/>
  <c r="JU91" i="1"/>
  <c r="JU100" i="1"/>
  <c r="JU99" i="1"/>
  <c r="JU103" i="1"/>
  <c r="JU112" i="1"/>
  <c r="JU118" i="1"/>
  <c r="JU126" i="1"/>
  <c r="JU113" i="1"/>
  <c r="JU135" i="1"/>
  <c r="JU123" i="1"/>
  <c r="JU134" i="1"/>
  <c r="JU136" i="1"/>
  <c r="JU102" i="1"/>
  <c r="JU120" i="1"/>
  <c r="JU115" i="1"/>
  <c r="JU107" i="1"/>
  <c r="JU128" i="1"/>
  <c r="JU132" i="1"/>
  <c r="JU94" i="1"/>
  <c r="JU106" i="1"/>
  <c r="JU119" i="1"/>
  <c r="JU140" i="1"/>
  <c r="JU95" i="1"/>
  <c r="JU114" i="1"/>
  <c r="JU137" i="1"/>
  <c r="IT7" i="1"/>
  <c r="IT10" i="1"/>
  <c r="IT91" i="1"/>
  <c r="IT98" i="1"/>
  <c r="IT104" i="1"/>
  <c r="IT103" i="1"/>
  <c r="IT112" i="1"/>
  <c r="IT114" i="1"/>
  <c r="IT113" i="1"/>
  <c r="IT120" i="1"/>
  <c r="IT128" i="1"/>
  <c r="IT123" i="1"/>
  <c r="IT131" i="1"/>
  <c r="IT139" i="1"/>
  <c r="IT138" i="1"/>
  <c r="IT93" i="1"/>
  <c r="IT94" i="1"/>
  <c r="IT106" i="1"/>
  <c r="IT105" i="1"/>
  <c r="IT96" i="1"/>
  <c r="IT116" i="1"/>
  <c r="IT115" i="1"/>
  <c r="IT122" i="1"/>
  <c r="IT130" i="1"/>
  <c r="IT125" i="1"/>
  <c r="IT133" i="1"/>
  <c r="IT132" i="1"/>
  <c r="IT140" i="1"/>
  <c r="IT92" i="1"/>
  <c r="IT100" i="1"/>
  <c r="IT97" i="1"/>
  <c r="IT108" i="1"/>
  <c r="IT99" i="1"/>
  <c r="IT118" i="1"/>
  <c r="IT117" i="1"/>
  <c r="IT124" i="1"/>
  <c r="IT119" i="1"/>
  <c r="IT127" i="1"/>
  <c r="IT135" i="1"/>
  <c r="IT134" i="1"/>
  <c r="IT26" i="1"/>
  <c r="IT110" i="1"/>
  <c r="IT126" i="1"/>
  <c r="IT136" i="1"/>
  <c r="IT95" i="1"/>
  <c r="IT111" i="1"/>
  <c r="IT121" i="1"/>
  <c r="IT102" i="1"/>
  <c r="IT107" i="1"/>
  <c r="IT129" i="1"/>
  <c r="IT137" i="1"/>
  <c r="IT101" i="1"/>
  <c r="IT109" i="1"/>
  <c r="KD7" i="1"/>
  <c r="KD10" i="1"/>
  <c r="KD26" i="1"/>
  <c r="KD95" i="1"/>
  <c r="KD97" i="1"/>
  <c r="KD99" i="1"/>
  <c r="KD106" i="1"/>
  <c r="KD112" i="1"/>
  <c r="KD113" i="1"/>
  <c r="KD120" i="1"/>
  <c r="KD128" i="1"/>
  <c r="KD123" i="1"/>
  <c r="KD131" i="1"/>
  <c r="KD137" i="1"/>
  <c r="KD138" i="1"/>
  <c r="KD91" i="1"/>
  <c r="KD92" i="1"/>
  <c r="KD100" i="1"/>
  <c r="KD101" i="1"/>
  <c r="KD108" i="1"/>
  <c r="KD114" i="1"/>
  <c r="KD115" i="1"/>
  <c r="KD122" i="1"/>
  <c r="KD130" i="1"/>
  <c r="KD125" i="1"/>
  <c r="KD111" i="1"/>
  <c r="KD132" i="1"/>
  <c r="KD140" i="1"/>
  <c r="KD93" i="1"/>
  <c r="KD96" i="1"/>
  <c r="KD102" i="1"/>
  <c r="KD103" i="1"/>
  <c r="KD110" i="1"/>
  <c r="KD116" i="1"/>
  <c r="KD117" i="1"/>
  <c r="KD124" i="1"/>
  <c r="KD119" i="1"/>
  <c r="KD127" i="1"/>
  <c r="KD133" i="1"/>
  <c r="KD134" i="1"/>
  <c r="KD139" i="1"/>
  <c r="KD94" i="1"/>
  <c r="KD107" i="1"/>
  <c r="KD121" i="1"/>
  <c r="KD98" i="1"/>
  <c r="KD109" i="1"/>
  <c r="KD129" i="1"/>
  <c r="KD104" i="1"/>
  <c r="KD118" i="1"/>
  <c r="KD135" i="1"/>
  <c r="KD126" i="1"/>
  <c r="KD136" i="1"/>
  <c r="KD105" i="1"/>
  <c r="JK7" i="1"/>
  <c r="JK10" i="1"/>
  <c r="IV7" i="1"/>
  <c r="IV10" i="1"/>
  <c r="KC7" i="1"/>
  <c r="KC10" i="1"/>
  <c r="KC93" i="1"/>
  <c r="KC97" i="1"/>
  <c r="KC104" i="1"/>
  <c r="KC109" i="1"/>
  <c r="KC108" i="1"/>
  <c r="KC114" i="1"/>
  <c r="KC120" i="1"/>
  <c r="KC128" i="1"/>
  <c r="KC123" i="1"/>
  <c r="KC121" i="1"/>
  <c r="KC127" i="1"/>
  <c r="KC139" i="1"/>
  <c r="KC92" i="1"/>
  <c r="KC91" i="1"/>
  <c r="KC100" i="1"/>
  <c r="KC103" i="1"/>
  <c r="KC99" i="1"/>
  <c r="KC101" i="1"/>
  <c r="KC115" i="1"/>
  <c r="KC124" i="1"/>
  <c r="KC113" i="1"/>
  <c r="KC135" i="1"/>
  <c r="KC131" i="1"/>
  <c r="KC138" i="1"/>
  <c r="KC132" i="1"/>
  <c r="KT7" i="1"/>
  <c r="KT10" i="1"/>
  <c r="KT94" i="1"/>
  <c r="KT92" i="1"/>
  <c r="KT104" i="1"/>
  <c r="KT105" i="1"/>
  <c r="KT107" i="1"/>
  <c r="KT109" i="1"/>
  <c r="KT118" i="1"/>
  <c r="KT126" i="1"/>
  <c r="KT119" i="1"/>
  <c r="KT127" i="1"/>
  <c r="KT135" i="1"/>
  <c r="KT136" i="1"/>
  <c r="KT26" i="1"/>
  <c r="KT91" i="1"/>
  <c r="KT96" i="1"/>
  <c r="KT100" i="1"/>
  <c r="KT101" i="1"/>
  <c r="KT108" i="1"/>
  <c r="KT114" i="1"/>
  <c r="KT115" i="1"/>
  <c r="KT122" i="1"/>
  <c r="KT130" i="1"/>
  <c r="KT123" i="1"/>
  <c r="KT131" i="1"/>
  <c r="KT132" i="1"/>
  <c r="KT140" i="1"/>
  <c r="JO7" i="1"/>
  <c r="JO10" i="1"/>
  <c r="JO93" i="1"/>
  <c r="JO96" i="1"/>
  <c r="JO101" i="1"/>
  <c r="JO100" i="1"/>
  <c r="JO104" i="1"/>
  <c r="JO113" i="1"/>
  <c r="JO119" i="1"/>
  <c r="JO127" i="1"/>
  <c r="JO116" i="1"/>
  <c r="JO134" i="1"/>
  <c r="JO126" i="1"/>
  <c r="JO135" i="1"/>
  <c r="JO139" i="1"/>
  <c r="JO94" i="1"/>
  <c r="JO98" i="1"/>
  <c r="JO103" i="1"/>
  <c r="JO106" i="1"/>
  <c r="JO107" i="1"/>
  <c r="JO115" i="1"/>
  <c r="JO121" i="1"/>
  <c r="JO129" i="1"/>
  <c r="JO120" i="1"/>
  <c r="JO136" i="1"/>
  <c r="JO124" i="1"/>
  <c r="JO133" i="1"/>
  <c r="JO26" i="1"/>
  <c r="JO95" i="1"/>
  <c r="JO97" i="1"/>
  <c r="JO105" i="1"/>
  <c r="JO108" i="1"/>
  <c r="JO109" i="1"/>
  <c r="JO117" i="1"/>
  <c r="JO123" i="1"/>
  <c r="JO131" i="1"/>
  <c r="JO128" i="1"/>
  <c r="JO138" i="1"/>
  <c r="JO122" i="1"/>
  <c r="JO140" i="1"/>
  <c r="KU7" i="1"/>
  <c r="KU10" i="1"/>
  <c r="KU93" i="1"/>
  <c r="KU96" i="1"/>
  <c r="KU101" i="1"/>
  <c r="KU100" i="1"/>
  <c r="KU104" i="1"/>
  <c r="KU113" i="1"/>
  <c r="KU119" i="1"/>
  <c r="KU127" i="1"/>
  <c r="KU120" i="1"/>
  <c r="KU136" i="1"/>
  <c r="KU116" i="1"/>
  <c r="KU135" i="1"/>
  <c r="KU139" i="1"/>
  <c r="KU94" i="1"/>
  <c r="KU98" i="1"/>
  <c r="KU103" i="1"/>
  <c r="KU106" i="1"/>
  <c r="KU107" i="1"/>
  <c r="KU115" i="1"/>
  <c r="KU121" i="1"/>
  <c r="KU129" i="1"/>
  <c r="KU128" i="1"/>
  <c r="KU138" i="1"/>
  <c r="KU124" i="1"/>
  <c r="KU133" i="1"/>
  <c r="KU26" i="1"/>
  <c r="KU95" i="1"/>
  <c r="KU97" i="1"/>
  <c r="KU105" i="1"/>
  <c r="KU108" i="1"/>
  <c r="KU109" i="1"/>
  <c r="KU117" i="1"/>
  <c r="KU123" i="1"/>
  <c r="KU131" i="1"/>
  <c r="KU132" i="1"/>
  <c r="KU118" i="1"/>
  <c r="KU122" i="1"/>
  <c r="KU140" i="1"/>
  <c r="JA7" i="1"/>
  <c r="JA10" i="1"/>
  <c r="JA94" i="1"/>
  <c r="JA97" i="1"/>
  <c r="JA100" i="1"/>
  <c r="JA105" i="1"/>
  <c r="JA101" i="1"/>
  <c r="JA114" i="1"/>
  <c r="JA120" i="1"/>
  <c r="JA128" i="1"/>
  <c r="JA133" i="1"/>
  <c r="JA123" i="1"/>
  <c r="JA129" i="1"/>
  <c r="JA132" i="1"/>
  <c r="JA140" i="1"/>
  <c r="JA91" i="1"/>
  <c r="JA99" i="1"/>
  <c r="JA102" i="1"/>
  <c r="JA107" i="1"/>
  <c r="JA108" i="1"/>
  <c r="JA116" i="1"/>
  <c r="JA122" i="1"/>
  <c r="JA130" i="1"/>
  <c r="JA135" i="1"/>
  <c r="JA131" i="1"/>
  <c r="JA113" i="1"/>
  <c r="JA138" i="1"/>
  <c r="JA26" i="1"/>
  <c r="JA96" i="1"/>
  <c r="JA95" i="1"/>
  <c r="JA104" i="1"/>
  <c r="JA109" i="1"/>
  <c r="JA110" i="1"/>
  <c r="JA103" i="1"/>
  <c r="JA124" i="1"/>
  <c r="JA115" i="1"/>
  <c r="JA137" i="1"/>
  <c r="JA118" i="1"/>
  <c r="JA119" i="1"/>
  <c r="JA136" i="1"/>
  <c r="LM7" i="1"/>
  <c r="LM10" i="1"/>
  <c r="LM92" i="1"/>
  <c r="LM97" i="1"/>
  <c r="LM100" i="1"/>
  <c r="LM105" i="1"/>
  <c r="LM101" i="1"/>
  <c r="LM112" i="1"/>
  <c r="LM117" i="1"/>
  <c r="LM124" i="1"/>
  <c r="LM115" i="1"/>
  <c r="LM137" i="1"/>
  <c r="LM113" i="1"/>
  <c r="LM132" i="1"/>
  <c r="LM134" i="1"/>
  <c r="LM91" i="1"/>
  <c r="LM95" i="1"/>
  <c r="LM102" i="1"/>
  <c r="LM107" i="1"/>
  <c r="LM106" i="1"/>
  <c r="LM114" i="1"/>
  <c r="LM118" i="1"/>
  <c r="LM126" i="1"/>
  <c r="LM125" i="1"/>
  <c r="LM123" i="1"/>
  <c r="LM119" i="1"/>
  <c r="LM138" i="1"/>
  <c r="LM140" i="1"/>
  <c r="LM94" i="1"/>
  <c r="LM96" i="1"/>
  <c r="LM104" i="1"/>
  <c r="LM109" i="1"/>
  <c r="LM108" i="1"/>
  <c r="LM116" i="1"/>
  <c r="LM120" i="1"/>
  <c r="LM128" i="1"/>
  <c r="LM133" i="1"/>
  <c r="LM121" i="1"/>
  <c r="LM127" i="1"/>
  <c r="LM139" i="1"/>
  <c r="JP7" i="1"/>
  <c r="JP10" i="1"/>
  <c r="JP26" i="1"/>
  <c r="JP96" i="1"/>
  <c r="JP101" i="1"/>
  <c r="JP102" i="1"/>
  <c r="JP111" i="1"/>
  <c r="JP113" i="1"/>
  <c r="JP112" i="1"/>
  <c r="JP119" i="1"/>
  <c r="JP94" i="1"/>
  <c r="JP99" i="1"/>
  <c r="JP105" i="1"/>
  <c r="JP107" i="1"/>
  <c r="JP98" i="1"/>
  <c r="JP117" i="1"/>
  <c r="JP116" i="1"/>
  <c r="JP91" i="1"/>
  <c r="JP100" i="1"/>
  <c r="JP110" i="1"/>
  <c r="JP108" i="1"/>
  <c r="JP127" i="1"/>
  <c r="JP122" i="1"/>
  <c r="JP130" i="1"/>
  <c r="JP138" i="1"/>
  <c r="JP137" i="1"/>
  <c r="JP97" i="1"/>
  <c r="JP104" i="1"/>
  <c r="JP115" i="1"/>
  <c r="JP121" i="1"/>
  <c r="JP129" i="1"/>
  <c r="JP124" i="1"/>
  <c r="JP132" i="1"/>
  <c r="JP131" i="1"/>
  <c r="JP139" i="1"/>
  <c r="JP93" i="1"/>
  <c r="JP109" i="1"/>
  <c r="JP106" i="1"/>
  <c r="JP123" i="1"/>
  <c r="JP118" i="1"/>
  <c r="JP126" i="1"/>
  <c r="JP134" i="1"/>
  <c r="JP133" i="1"/>
  <c r="JP140" i="1"/>
  <c r="KV7" i="1"/>
  <c r="KV10" i="1"/>
  <c r="KV91" i="1"/>
  <c r="KV99" i="1"/>
  <c r="KV100" i="1"/>
  <c r="KV107" i="1"/>
  <c r="KV110" i="1"/>
  <c r="KV106" i="1"/>
  <c r="KV119" i="1"/>
  <c r="KV127" i="1"/>
  <c r="KV120" i="1"/>
  <c r="KV128" i="1"/>
  <c r="KV136" i="1"/>
  <c r="KV137" i="1"/>
  <c r="KV92" i="1"/>
  <c r="KV97" i="1"/>
  <c r="KV103" i="1"/>
  <c r="KV104" i="1"/>
  <c r="KV111" i="1"/>
  <c r="KV115" i="1"/>
  <c r="KV114" i="1"/>
  <c r="KV123" i="1"/>
  <c r="KV108" i="1"/>
  <c r="KV124" i="1"/>
  <c r="KV132" i="1"/>
  <c r="KV133" i="1"/>
  <c r="KV139" i="1"/>
  <c r="KV93" i="1"/>
  <c r="KV95" i="1"/>
  <c r="KV117" i="1"/>
  <c r="KV125" i="1"/>
  <c r="KV126" i="1"/>
  <c r="KV135" i="1"/>
  <c r="KV26" i="1"/>
  <c r="KV101" i="1"/>
  <c r="KV109" i="1"/>
  <c r="KV112" i="1"/>
  <c r="KV129" i="1"/>
  <c r="KV130" i="1"/>
  <c r="KV131" i="1"/>
  <c r="KV94" i="1"/>
  <c r="KV105" i="1"/>
  <c r="KV98" i="1"/>
  <c r="KV116" i="1"/>
  <c r="KV118" i="1"/>
  <c r="KV134" i="1"/>
  <c r="KV140" i="1"/>
  <c r="JE7" i="1"/>
  <c r="JE10" i="1"/>
  <c r="JE94" i="1"/>
  <c r="JE95" i="1"/>
  <c r="JE100" i="1"/>
  <c r="JE101" i="1"/>
  <c r="JE103" i="1"/>
  <c r="JE105" i="1"/>
  <c r="JE120" i="1"/>
  <c r="JE128" i="1"/>
  <c r="JE119" i="1"/>
  <c r="JE137" i="1"/>
  <c r="JE131" i="1"/>
  <c r="JE132" i="1"/>
  <c r="JE140" i="1"/>
  <c r="JE26" i="1"/>
  <c r="JE96" i="1"/>
  <c r="JE99" i="1"/>
  <c r="JE104" i="1"/>
  <c r="JE109" i="1"/>
  <c r="JE110" i="1"/>
  <c r="JE116" i="1"/>
  <c r="JE124" i="1"/>
  <c r="JE117" i="1"/>
  <c r="JE133" i="1"/>
  <c r="JE115" i="1"/>
  <c r="JE129" i="1"/>
  <c r="JE138" i="1"/>
  <c r="JE92" i="1"/>
  <c r="JE98" i="1"/>
  <c r="JE111" i="1"/>
  <c r="JE118" i="1"/>
  <c r="JE113" i="1"/>
  <c r="JE123" i="1"/>
  <c r="JE136" i="1"/>
  <c r="JE93" i="1"/>
  <c r="JE102" i="1"/>
  <c r="JE108" i="1"/>
  <c r="JE122" i="1"/>
  <c r="JE127" i="1"/>
  <c r="JE121" i="1"/>
  <c r="JE91" i="1"/>
  <c r="JE106" i="1"/>
  <c r="JE112" i="1"/>
  <c r="JE126" i="1"/>
  <c r="JE135" i="1"/>
  <c r="JE134" i="1"/>
  <c r="KL7" i="1"/>
  <c r="KL10" i="1"/>
  <c r="KL91" i="1"/>
  <c r="KL96" i="1"/>
  <c r="KL102" i="1"/>
  <c r="KL103" i="1"/>
  <c r="KL110" i="1"/>
  <c r="KL112" i="1"/>
  <c r="KL115" i="1"/>
  <c r="KL120" i="1"/>
  <c r="KL128" i="1"/>
  <c r="KL123" i="1"/>
  <c r="KL131" i="1"/>
  <c r="KL132" i="1"/>
  <c r="KL140" i="1"/>
  <c r="KL94" i="1"/>
  <c r="KL92" i="1"/>
  <c r="KL99" i="1"/>
  <c r="KL106" i="1"/>
  <c r="KL111" i="1"/>
  <c r="KL116" i="1"/>
  <c r="KL107" i="1"/>
  <c r="KL124" i="1"/>
  <c r="KL119" i="1"/>
  <c r="KL127" i="1"/>
  <c r="KL135" i="1"/>
  <c r="KL136" i="1"/>
  <c r="KL95" i="1"/>
  <c r="KL101" i="1"/>
  <c r="KL109" i="1"/>
  <c r="KL118" i="1"/>
  <c r="KL121" i="1"/>
  <c r="KL137" i="1"/>
  <c r="KL98" i="1"/>
  <c r="KL105" i="1"/>
  <c r="KL114" i="1"/>
  <c r="KL122" i="1"/>
  <c r="KL125" i="1"/>
  <c r="KL134" i="1"/>
  <c r="KL26" i="1"/>
  <c r="KL100" i="1"/>
  <c r="KL108" i="1"/>
  <c r="KL113" i="1"/>
  <c r="KL126" i="1"/>
  <c r="KL129" i="1"/>
  <c r="KL138" i="1"/>
  <c r="JZ7" i="1"/>
  <c r="JZ10" i="1"/>
  <c r="JZ26" i="1"/>
  <c r="JZ95" i="1"/>
  <c r="JZ102" i="1"/>
  <c r="JZ101" i="1"/>
  <c r="JZ108" i="1"/>
  <c r="JZ112" i="1"/>
  <c r="JZ113" i="1"/>
  <c r="JZ120" i="1"/>
  <c r="JZ128" i="1"/>
  <c r="JZ121" i="1"/>
  <c r="JZ129" i="1"/>
  <c r="JZ137" i="1"/>
  <c r="JZ138" i="1"/>
  <c r="JZ91" i="1"/>
  <c r="JZ98" i="1"/>
  <c r="JZ104" i="1"/>
  <c r="JZ103" i="1"/>
  <c r="JZ93" i="1"/>
  <c r="JZ94" i="1"/>
  <c r="JZ97" i="1"/>
  <c r="JZ105" i="1"/>
  <c r="JZ96" i="1"/>
  <c r="JZ116" i="1"/>
  <c r="JZ117" i="1"/>
  <c r="JZ124" i="1"/>
  <c r="JZ109" i="1"/>
  <c r="JZ125" i="1"/>
  <c r="JZ133" i="1"/>
  <c r="JZ134" i="1"/>
  <c r="JZ139" i="1"/>
  <c r="JZ106" i="1"/>
  <c r="JZ107" i="1"/>
  <c r="JZ126" i="1"/>
  <c r="JZ127" i="1"/>
  <c r="JZ136" i="1"/>
  <c r="JZ92" i="1"/>
  <c r="JZ110" i="1"/>
  <c r="JZ115" i="1"/>
  <c r="JZ130" i="1"/>
  <c r="JZ131" i="1"/>
  <c r="JZ140" i="1"/>
  <c r="JZ100" i="1"/>
  <c r="JZ111" i="1"/>
  <c r="JZ118" i="1"/>
  <c r="JZ119" i="1"/>
  <c r="JZ135" i="1"/>
  <c r="JB7" i="1"/>
  <c r="JB92" i="1"/>
  <c r="JB99" i="1"/>
  <c r="JB104" i="1"/>
  <c r="JB103" i="1"/>
  <c r="JB112" i="1"/>
  <c r="JB116" i="1"/>
  <c r="JB115" i="1"/>
  <c r="JB124" i="1"/>
  <c r="JB119" i="1"/>
  <c r="JB127" i="1"/>
  <c r="JB135" i="1"/>
  <c r="JB134" i="1"/>
  <c r="JB26" i="1"/>
  <c r="JB95" i="1"/>
  <c r="JB97" i="1"/>
  <c r="JB106" i="1"/>
  <c r="JB105" i="1"/>
  <c r="JB109" i="1"/>
  <c r="JB118" i="1"/>
  <c r="JB117" i="1"/>
  <c r="JB126" i="1"/>
  <c r="JB121" i="1"/>
  <c r="JB129" i="1"/>
  <c r="JB137" i="1"/>
  <c r="JB136" i="1"/>
  <c r="JB10" i="1"/>
  <c r="JB91" i="1"/>
  <c r="JB98" i="1"/>
  <c r="JB100" i="1"/>
  <c r="JB96" i="1"/>
  <c r="JB108" i="1"/>
  <c r="JB107" i="1"/>
  <c r="JB111" i="1"/>
  <c r="JB120" i="1"/>
  <c r="JB128" i="1"/>
  <c r="JB123" i="1"/>
  <c r="JB131" i="1"/>
  <c r="JB139" i="1"/>
  <c r="JB138" i="1"/>
  <c r="JB94" i="1"/>
  <c r="JB114" i="1"/>
  <c r="JB125" i="1"/>
  <c r="JB102" i="1"/>
  <c r="JB113" i="1"/>
  <c r="JB133" i="1"/>
  <c r="JB101" i="1"/>
  <c r="JB122" i="1"/>
  <c r="JB132" i="1"/>
  <c r="JB110" i="1"/>
  <c r="JB130" i="1"/>
  <c r="JB140" i="1"/>
  <c r="JB93" i="1"/>
  <c r="LE7" i="1"/>
  <c r="LE10" i="1"/>
  <c r="LH7" i="1"/>
  <c r="LH10" i="1"/>
  <c r="LH96" i="1"/>
  <c r="LH91" i="1"/>
  <c r="LH103" i="1"/>
  <c r="LH104" i="1"/>
  <c r="LH110" i="1"/>
  <c r="LH117" i="1"/>
  <c r="LH106" i="1"/>
  <c r="LH125" i="1"/>
  <c r="LH120" i="1"/>
  <c r="LH92" i="1"/>
  <c r="LH95" i="1"/>
  <c r="LH99" i="1"/>
  <c r="LH100" i="1"/>
  <c r="LH109" i="1"/>
  <c r="LH113" i="1"/>
  <c r="LH114" i="1"/>
  <c r="LH121" i="1"/>
  <c r="LH129" i="1"/>
  <c r="LH124" i="1"/>
  <c r="JJ7" i="1"/>
  <c r="JJ10" i="1"/>
  <c r="JJ92" i="1"/>
  <c r="JJ96" i="1"/>
  <c r="JJ106" i="1"/>
  <c r="JJ105" i="1"/>
  <c r="JJ111" i="1"/>
  <c r="JJ107" i="1"/>
  <c r="JJ118" i="1"/>
  <c r="JJ126" i="1"/>
  <c r="JJ121" i="1"/>
  <c r="JJ129" i="1"/>
  <c r="JJ137" i="1"/>
  <c r="JJ136" i="1"/>
  <c r="JJ91" i="1"/>
  <c r="JJ98" i="1"/>
  <c r="JJ102" i="1"/>
  <c r="JJ101" i="1"/>
  <c r="JJ108" i="1"/>
  <c r="JJ114" i="1"/>
  <c r="JJ115" i="1"/>
  <c r="JJ122" i="1"/>
  <c r="JJ130" i="1"/>
  <c r="JJ125" i="1"/>
  <c r="JJ133" i="1"/>
  <c r="JJ132" i="1"/>
  <c r="JJ140" i="1"/>
  <c r="IU139" i="1"/>
  <c r="IU130" i="1"/>
  <c r="IU136" i="1"/>
  <c r="IU114" i="1"/>
  <c r="IU129" i="1"/>
  <c r="IU121" i="1"/>
  <c r="IU115" i="1"/>
  <c r="IU107" i="1"/>
  <c r="IU108" i="1"/>
  <c r="IU103" i="1"/>
  <c r="IU96" i="1"/>
  <c r="IU92" i="1"/>
  <c r="JK139" i="1"/>
  <c r="JK133" i="1"/>
  <c r="JK122" i="1"/>
  <c r="JK136" i="1"/>
  <c r="JK118" i="1"/>
  <c r="JK129" i="1"/>
  <c r="JK121" i="1"/>
  <c r="JK115" i="1"/>
  <c r="JK107" i="1"/>
  <c r="JK106" i="1"/>
  <c r="JK101" i="1"/>
  <c r="JK98" i="1"/>
  <c r="JK93" i="1"/>
  <c r="LG135" i="1"/>
  <c r="LG128" i="1"/>
  <c r="LG124" i="1"/>
  <c r="LG132" i="1"/>
  <c r="LG112" i="1"/>
  <c r="LG127" i="1"/>
  <c r="LG119" i="1"/>
  <c r="LG113" i="1"/>
  <c r="LG102" i="1"/>
  <c r="LG100" i="1"/>
  <c r="LG99" i="1"/>
  <c r="LG95" i="1"/>
  <c r="LG91" i="1"/>
  <c r="LE139" i="1"/>
  <c r="LE125" i="1"/>
  <c r="LE137" i="1"/>
  <c r="LE121" i="1"/>
  <c r="LE128" i="1"/>
  <c r="LE120" i="1"/>
  <c r="LE116" i="1"/>
  <c r="LE108" i="1"/>
  <c r="LE109" i="1"/>
  <c r="LE104" i="1"/>
  <c r="LE95" i="1"/>
  <c r="LE91" i="1"/>
  <c r="IV140" i="1"/>
  <c r="IV133" i="1"/>
  <c r="IV132" i="1"/>
  <c r="IV124" i="1"/>
  <c r="IV129" i="1"/>
  <c r="IV121" i="1"/>
  <c r="IV114" i="1"/>
  <c r="IV113" i="1"/>
  <c r="IV109" i="1"/>
  <c r="IV102" i="1"/>
  <c r="IV101" i="1"/>
  <c r="IV97" i="1"/>
  <c r="IV94" i="1"/>
  <c r="JL139" i="1"/>
  <c r="JL106" i="1"/>
  <c r="JL132" i="1"/>
  <c r="JL126" i="1"/>
  <c r="JL118" i="1"/>
  <c r="JL123" i="1"/>
  <c r="JL114" i="1"/>
  <c r="JL113" i="1"/>
  <c r="JL109" i="1"/>
  <c r="JL100" i="1"/>
  <c r="JL98" i="1"/>
  <c r="JL95" i="1"/>
  <c r="JL92" i="1"/>
  <c r="LH140" i="1"/>
  <c r="LH133" i="1"/>
  <c r="LH134" i="1"/>
  <c r="LH126" i="1"/>
  <c r="LH123" i="1"/>
  <c r="LH115" i="1"/>
  <c r="LH102" i="1"/>
  <c r="LH97" i="1"/>
  <c r="KC125" i="1"/>
  <c r="KC133" i="1"/>
  <c r="KC122" i="1"/>
  <c r="KC110" i="1"/>
  <c r="KC105" i="1"/>
  <c r="KC96" i="1"/>
  <c r="JV139" i="1"/>
  <c r="JV133" i="1"/>
  <c r="JV130" i="1"/>
  <c r="JV97" i="1"/>
  <c r="JV111" i="1"/>
  <c r="JV104" i="1"/>
  <c r="JV93" i="1"/>
  <c r="JJ138" i="1"/>
  <c r="JJ131" i="1"/>
  <c r="JJ128" i="1"/>
  <c r="JJ113" i="1"/>
  <c r="JJ99" i="1"/>
  <c r="JJ100" i="1"/>
  <c r="JJ26" i="1"/>
  <c r="KT134" i="1"/>
  <c r="KT125" i="1"/>
  <c r="KT124" i="1"/>
  <c r="KT116" i="1"/>
  <c r="KT103" i="1"/>
  <c r="KT98" i="1"/>
  <c r="JO130" i="1"/>
  <c r="JO125" i="1"/>
  <c r="JO102" i="1"/>
  <c r="KU134" i="1"/>
  <c r="KU111" i="1"/>
  <c r="KU92" i="1"/>
  <c r="JA127" i="1"/>
  <c r="JA126" i="1"/>
  <c r="JA106" i="1"/>
  <c r="LM136" i="1"/>
  <c r="LM130" i="1"/>
  <c r="LM111" i="1"/>
  <c r="LM26" i="1"/>
  <c r="JP120" i="1"/>
  <c r="JP103" i="1"/>
  <c r="KV121" i="1"/>
  <c r="JE139" i="1"/>
  <c r="JE107" i="1"/>
  <c r="KL130" i="1"/>
  <c r="KL93" i="1"/>
  <c r="JZ114" i="1"/>
  <c r="JS106" i="1"/>
  <c r="KY93" i="1"/>
  <c r="IN130" i="1"/>
  <c r="JT110" i="1"/>
  <c r="KZ102" i="1"/>
  <c r="IP126" i="1"/>
  <c r="JW136" i="1"/>
  <c r="LD7" i="1"/>
  <c r="LD26" i="1"/>
  <c r="LD97" i="1"/>
  <c r="LD101" i="1"/>
  <c r="LD95" i="1"/>
  <c r="LD107" i="1"/>
  <c r="LD106" i="1"/>
  <c r="LD110" i="1"/>
  <c r="LD119" i="1"/>
  <c r="LD127" i="1"/>
  <c r="LD122" i="1"/>
  <c r="LD130" i="1"/>
  <c r="LD136" i="1"/>
  <c r="LD10" i="1"/>
  <c r="LD92" i="1"/>
  <c r="LD94" i="1"/>
  <c r="LD103" i="1"/>
  <c r="LD100" i="1"/>
  <c r="LD109" i="1"/>
  <c r="LD113" i="1"/>
  <c r="LD112" i="1"/>
  <c r="LD121" i="1"/>
  <c r="LD129" i="1"/>
  <c r="LD124" i="1"/>
  <c r="LD131" i="1"/>
  <c r="LD91" i="1"/>
  <c r="LD98" i="1"/>
  <c r="LD105" i="1"/>
  <c r="LD102" i="1"/>
  <c r="LD111" i="1"/>
  <c r="LD115" i="1"/>
  <c r="LD114" i="1"/>
  <c r="LD123" i="1"/>
  <c r="LD118" i="1"/>
  <c r="LD126" i="1"/>
  <c r="LD132" i="1"/>
  <c r="LD99" i="1"/>
  <c r="LD117" i="1"/>
  <c r="LD128" i="1"/>
  <c r="LD135" i="1"/>
  <c r="LD93" i="1"/>
  <c r="LD116" i="1"/>
  <c r="LD134" i="1"/>
  <c r="LD137" i="1"/>
  <c r="LD104" i="1"/>
  <c r="LD125" i="1"/>
  <c r="LD138" i="1"/>
  <c r="LD139" i="1"/>
  <c r="LD108" i="1"/>
  <c r="LD120" i="1"/>
  <c r="LD133" i="1"/>
  <c r="LD96" i="1"/>
  <c r="LD140" i="1"/>
  <c r="IU133" i="1"/>
  <c r="IU127" i="1"/>
  <c r="IU102" i="1"/>
  <c r="IU98" i="1"/>
  <c r="JK128" i="1"/>
  <c r="JK112" i="1"/>
  <c r="JK113" i="1"/>
  <c r="JK99" i="1"/>
  <c r="JK91" i="1"/>
  <c r="LG120" i="1"/>
  <c r="LG116" i="1"/>
  <c r="LG111" i="1"/>
  <c r="LG105" i="1"/>
  <c r="LG92" i="1"/>
  <c r="LE140" i="1"/>
  <c r="LE131" i="1"/>
  <c r="LE135" i="1"/>
  <c r="LE117" i="1"/>
  <c r="LE126" i="1"/>
  <c r="LE118" i="1"/>
  <c r="LE114" i="1"/>
  <c r="LE107" i="1"/>
  <c r="LE102" i="1"/>
  <c r="LE97" i="1"/>
  <c r="LE94" i="1"/>
  <c r="IV139" i="1"/>
  <c r="IV138" i="1"/>
  <c r="IV130" i="1"/>
  <c r="IV122" i="1"/>
  <c r="IV127" i="1"/>
  <c r="IV119" i="1"/>
  <c r="IV112" i="1"/>
  <c r="IV108" i="1"/>
  <c r="IV107" i="1"/>
  <c r="IV100" i="1"/>
  <c r="IV98" i="1"/>
  <c r="IV95" i="1"/>
  <c r="IV92" i="1"/>
  <c r="JL137" i="1"/>
  <c r="JL138" i="1"/>
  <c r="JL131" i="1"/>
  <c r="JL124" i="1"/>
  <c r="JL129" i="1"/>
  <c r="JL121" i="1"/>
  <c r="JL112" i="1"/>
  <c r="JL108" i="1"/>
  <c r="JL107" i="1"/>
  <c r="JL105" i="1"/>
  <c r="JL91" i="1"/>
  <c r="JL96" i="1"/>
  <c r="JL26" i="1"/>
  <c r="LH139" i="1"/>
  <c r="LH131" i="1"/>
  <c r="LH132" i="1"/>
  <c r="LH122" i="1"/>
  <c r="LH119" i="1"/>
  <c r="LH108" i="1"/>
  <c r="LH105" i="1"/>
  <c r="LH94" i="1"/>
  <c r="KC140" i="1"/>
  <c r="KC119" i="1"/>
  <c r="KC117" i="1"/>
  <c r="KC118" i="1"/>
  <c r="KC106" i="1"/>
  <c r="KC102" i="1"/>
  <c r="KC94" i="1"/>
  <c r="JV138" i="1"/>
  <c r="JV129" i="1"/>
  <c r="JV126" i="1"/>
  <c r="JV115" i="1"/>
  <c r="JV108" i="1"/>
  <c r="JV100" i="1"/>
  <c r="JV26" i="1"/>
  <c r="JJ134" i="1"/>
  <c r="JJ127" i="1"/>
  <c r="JJ124" i="1"/>
  <c r="JJ116" i="1"/>
  <c r="JJ103" i="1"/>
  <c r="JJ94" i="1"/>
  <c r="KT137" i="1"/>
  <c r="KT121" i="1"/>
  <c r="KT120" i="1"/>
  <c r="KT112" i="1"/>
  <c r="KT99" i="1"/>
  <c r="KT95" i="1"/>
  <c r="JO118" i="1"/>
  <c r="JO112" i="1"/>
  <c r="JO99" i="1"/>
  <c r="KU137" i="1"/>
  <c r="KU114" i="1"/>
  <c r="KU110" i="1"/>
  <c r="KU91" i="1"/>
  <c r="JA121" i="1"/>
  <c r="JA117" i="1"/>
  <c r="JA98" i="1"/>
  <c r="LM131" i="1"/>
  <c r="LM122" i="1"/>
  <c r="LM99" i="1"/>
  <c r="JP135" i="1"/>
  <c r="JP125" i="1"/>
  <c r="JP92" i="1"/>
  <c r="KV113" i="1"/>
  <c r="JE125" i="1"/>
  <c r="JE97" i="1"/>
  <c r="KL117" i="1"/>
  <c r="JZ132" i="1"/>
  <c r="JZ99" i="1"/>
  <c r="KY139" i="1"/>
  <c r="JI135" i="1"/>
  <c r="IN108" i="1"/>
  <c r="JT105" i="1"/>
  <c r="JM132" i="1"/>
  <c r="KX139" i="1"/>
  <c r="IR112" i="1"/>
  <c r="JF7" i="1"/>
  <c r="JF93" i="1"/>
  <c r="JF98" i="1"/>
  <c r="JF102" i="1"/>
  <c r="JF103" i="1"/>
  <c r="JF97" i="1"/>
  <c r="JF116" i="1"/>
  <c r="JF118" i="1"/>
  <c r="JF126" i="1"/>
  <c r="JF119" i="1"/>
  <c r="JF127" i="1"/>
  <c r="JF135" i="1"/>
  <c r="JF134" i="1"/>
  <c r="JF139" i="1"/>
  <c r="JF10" i="1"/>
  <c r="JF94" i="1"/>
  <c r="JF92" i="1"/>
  <c r="JF104" i="1"/>
  <c r="JF105" i="1"/>
  <c r="JF111" i="1"/>
  <c r="JF113" i="1"/>
  <c r="JF120" i="1"/>
  <c r="JF128" i="1"/>
  <c r="JF121" i="1"/>
  <c r="JF129" i="1"/>
  <c r="JF137" i="1"/>
  <c r="JF136" i="1"/>
  <c r="JF26" i="1"/>
  <c r="JF95" i="1"/>
  <c r="JF99" i="1"/>
  <c r="JF106" i="1"/>
  <c r="JF108" i="1"/>
  <c r="JF109" i="1"/>
  <c r="JF115" i="1"/>
  <c r="JF122" i="1"/>
  <c r="JF130" i="1"/>
  <c r="JF123" i="1"/>
  <c r="JF131" i="1"/>
  <c r="JF112" i="1"/>
  <c r="JF138" i="1"/>
  <c r="JF101" i="1"/>
  <c r="JF124" i="1"/>
  <c r="JF132" i="1"/>
  <c r="JF91" i="1"/>
  <c r="JF110" i="1"/>
  <c r="JF107" i="1"/>
  <c r="JF140" i="1"/>
  <c r="JF96" i="1"/>
  <c r="JF114" i="1"/>
  <c r="JF125" i="1"/>
  <c r="JF100" i="1"/>
  <c r="JF117" i="1"/>
  <c r="JF133" i="1"/>
  <c r="IU135" i="1"/>
  <c r="IU122" i="1"/>
  <c r="IU134" i="1"/>
  <c r="IU104" i="1"/>
  <c r="IU119" i="1"/>
  <c r="IU113" i="1"/>
  <c r="IU106" i="1"/>
  <c r="IU101" i="1"/>
  <c r="IU93" i="1"/>
  <c r="JK135" i="1"/>
  <c r="JK124" i="1"/>
  <c r="JK134" i="1"/>
  <c r="JK127" i="1"/>
  <c r="JK119" i="1"/>
  <c r="JK102" i="1"/>
  <c r="JK100" i="1"/>
  <c r="JK94" i="1"/>
  <c r="LG137" i="1"/>
  <c r="LG138" i="1"/>
  <c r="LG126" i="1"/>
  <c r="LG125" i="1"/>
  <c r="LG104" i="1"/>
  <c r="LG110" i="1"/>
  <c r="LG97" i="1"/>
  <c r="LG26" i="1"/>
  <c r="LE134" i="1"/>
  <c r="LE106" i="1"/>
  <c r="IU137" i="1"/>
  <c r="IU128" i="1"/>
  <c r="IU124" i="1"/>
  <c r="IU132" i="1"/>
  <c r="IU116" i="1"/>
  <c r="IU125" i="1"/>
  <c r="IU118" i="1"/>
  <c r="IU111" i="1"/>
  <c r="IU112" i="1"/>
  <c r="IU100" i="1"/>
  <c r="IU99" i="1"/>
  <c r="IU94" i="1"/>
  <c r="IU91" i="1"/>
  <c r="JK137" i="1"/>
  <c r="JK120" i="1"/>
  <c r="JK114" i="1"/>
  <c r="JK132" i="1"/>
  <c r="JK116" i="1"/>
  <c r="JK125" i="1"/>
  <c r="JK104" i="1"/>
  <c r="JK111" i="1"/>
  <c r="JK110" i="1"/>
  <c r="JK105" i="1"/>
  <c r="JK97" i="1"/>
  <c r="JK95" i="1"/>
  <c r="JK26" i="1"/>
  <c r="LG140" i="1"/>
  <c r="LG130" i="1"/>
  <c r="LG136" i="1"/>
  <c r="LG118" i="1"/>
  <c r="LG131" i="1"/>
  <c r="LG123" i="1"/>
  <c r="LG117" i="1"/>
  <c r="LG109" i="1"/>
  <c r="LG108" i="1"/>
  <c r="LG103" i="1"/>
  <c r="LG96" i="1"/>
  <c r="LG94" i="1"/>
  <c r="LE138" i="1"/>
  <c r="LE136" i="1"/>
  <c r="LE127" i="1"/>
  <c r="LE133" i="1"/>
  <c r="LE115" i="1"/>
  <c r="LE124" i="1"/>
  <c r="LE113" i="1"/>
  <c r="LE112" i="1"/>
  <c r="LE105" i="1"/>
  <c r="LE101" i="1"/>
  <c r="LE100" i="1"/>
  <c r="LE93" i="1"/>
  <c r="LE92" i="1"/>
  <c r="IV137" i="1"/>
  <c r="IV136" i="1"/>
  <c r="IV128" i="1"/>
  <c r="IV120" i="1"/>
  <c r="IV125" i="1"/>
  <c r="IV118" i="1"/>
  <c r="IV117" i="1"/>
  <c r="IV110" i="1"/>
  <c r="IV106" i="1"/>
  <c r="IV105" i="1"/>
  <c r="IV91" i="1"/>
  <c r="IV96" i="1"/>
  <c r="IV26" i="1"/>
  <c r="JL135" i="1"/>
  <c r="JL136" i="1"/>
  <c r="JL130" i="1"/>
  <c r="JL122" i="1"/>
  <c r="JL127" i="1"/>
  <c r="JL119" i="1"/>
  <c r="JL117" i="1"/>
  <c r="JL110" i="1"/>
  <c r="JL104" i="1"/>
  <c r="JL103" i="1"/>
  <c r="JL99" i="1"/>
  <c r="JL93" i="1"/>
  <c r="LH137" i="1"/>
  <c r="LH138" i="1"/>
  <c r="LH130" i="1"/>
  <c r="LH118" i="1"/>
  <c r="LH116" i="1"/>
  <c r="LH111" i="1"/>
  <c r="LH101" i="1"/>
  <c r="LH93" i="1"/>
  <c r="KC134" i="1"/>
  <c r="KC129" i="1"/>
  <c r="KC130" i="1"/>
  <c r="KC116" i="1"/>
  <c r="KC111" i="1"/>
  <c r="KC98" i="1"/>
  <c r="KC26" i="1"/>
  <c r="JV134" i="1"/>
  <c r="JV125" i="1"/>
  <c r="JV122" i="1"/>
  <c r="JV116" i="1"/>
  <c r="JV105" i="1"/>
  <c r="JV98" i="1"/>
  <c r="JJ109" i="1"/>
  <c r="JJ123" i="1"/>
  <c r="JJ120" i="1"/>
  <c r="JJ112" i="1"/>
  <c r="JJ97" i="1"/>
  <c r="JJ95" i="1"/>
  <c r="KT139" i="1"/>
  <c r="KT133" i="1"/>
  <c r="KT111" i="1"/>
  <c r="KT117" i="1"/>
  <c r="KT110" i="1"/>
  <c r="KT102" i="1"/>
  <c r="KT93" i="1"/>
  <c r="JO132" i="1"/>
  <c r="JO111" i="1"/>
  <c r="JO92" i="1"/>
  <c r="KU130" i="1"/>
  <c r="KU125" i="1"/>
  <c r="KU102" i="1"/>
  <c r="JA139" i="1"/>
  <c r="JA112" i="1"/>
  <c r="JA93" i="1"/>
  <c r="LM129" i="1"/>
  <c r="LM103" i="1"/>
  <c r="LM98" i="1"/>
  <c r="JP136" i="1"/>
  <c r="JP114" i="1"/>
  <c r="KV138" i="1"/>
  <c r="KV102" i="1"/>
  <c r="JE130" i="1"/>
  <c r="KL139" i="1"/>
  <c r="KL97" i="1"/>
  <c r="JZ123" i="1"/>
  <c r="JS135" i="1"/>
  <c r="KY116" i="1"/>
  <c r="JI110" i="1"/>
  <c r="IN95" i="1"/>
  <c r="KZ133" i="1"/>
  <c r="JM113" i="1"/>
  <c r="KX106" i="1"/>
  <c r="KA91" i="1"/>
  <c r="IS112" i="1"/>
  <c r="KF125" i="1"/>
  <c r="KA135" i="1"/>
  <c r="KQ132" i="1"/>
  <c r="IS97" i="1"/>
  <c r="KB129" i="1"/>
  <c r="LA136" i="1"/>
  <c r="LA7" i="1"/>
  <c r="KA127" i="1"/>
  <c r="KQ116" i="1"/>
  <c r="KQ26" i="1"/>
  <c r="IS140" i="1"/>
  <c r="IS117" i="1"/>
  <c r="IS94" i="1"/>
  <c r="KR103" i="1"/>
  <c r="LI105" i="1"/>
  <c r="KG99" i="1"/>
  <c r="KA134" i="1"/>
  <c r="KA104" i="1"/>
  <c r="KA94" i="1"/>
  <c r="KQ124" i="1"/>
  <c r="KQ104" i="1"/>
  <c r="KQ97" i="1"/>
  <c r="IS127" i="1"/>
  <c r="IS113" i="1"/>
  <c r="IS100" i="1"/>
  <c r="JY117" i="1"/>
  <c r="JY100" i="1"/>
  <c r="KB130" i="1"/>
  <c r="KB98" i="1"/>
  <c r="KR106" i="1"/>
  <c r="IW133" i="1"/>
  <c r="LI123" i="1"/>
  <c r="LJ125" i="1"/>
  <c r="IO132" i="1"/>
  <c r="IY112" i="1"/>
  <c r="KE131" i="1"/>
  <c r="KK122" i="1"/>
  <c r="IN10" i="1"/>
  <c r="IP10" i="1"/>
  <c r="KA128" i="1"/>
  <c r="KA100" i="1"/>
  <c r="KQ137" i="1"/>
  <c r="KQ110" i="1"/>
  <c r="IS111" i="1"/>
  <c r="JY113" i="1"/>
  <c r="KB112" i="1"/>
  <c r="KR134" i="1"/>
  <c r="IW112" i="1"/>
  <c r="LJ110" i="1"/>
  <c r="IO104" i="1"/>
  <c r="LK108" i="1"/>
  <c r="KJ91" i="1"/>
  <c r="LP131" i="1"/>
  <c r="KA114" i="1"/>
  <c r="KA119" i="1"/>
  <c r="KA99" i="1"/>
  <c r="KQ120" i="1"/>
  <c r="KQ125" i="1"/>
  <c r="KQ105" i="1"/>
  <c r="IS136" i="1"/>
  <c r="IS126" i="1"/>
  <c r="IS103" i="1"/>
  <c r="JY138" i="1"/>
  <c r="JY105" i="1"/>
  <c r="KB137" i="1"/>
  <c r="KB107" i="1"/>
  <c r="KR120" i="1"/>
  <c r="KR93" i="1"/>
  <c r="IW125" i="1"/>
  <c r="IW100" i="1"/>
  <c r="LI125" i="1"/>
  <c r="LI93" i="1"/>
  <c r="LJ140" i="1"/>
  <c r="LJ96" i="1"/>
  <c r="IO131" i="1"/>
  <c r="IO26" i="1"/>
  <c r="IY139" i="1"/>
  <c r="IX118" i="1"/>
  <c r="JC95" i="1"/>
  <c r="JC122" i="1"/>
  <c r="JC112" i="1"/>
  <c r="JC133" i="1"/>
  <c r="JC91" i="1"/>
  <c r="JC131" i="1"/>
  <c r="JC109" i="1"/>
  <c r="KI109" i="1"/>
  <c r="KI127" i="1"/>
  <c r="KI102" i="1"/>
  <c r="KI137" i="1"/>
  <c r="KI92" i="1"/>
  <c r="KI122" i="1"/>
  <c r="LO125" i="1"/>
  <c r="LO105" i="1"/>
  <c r="LO126" i="1"/>
  <c r="LO123" i="1"/>
  <c r="LO124" i="1"/>
  <c r="LO104" i="1"/>
  <c r="KO95" i="1"/>
  <c r="KO119" i="1"/>
  <c r="KO107" i="1"/>
  <c r="KO134" i="1"/>
  <c r="KO128" i="1"/>
  <c r="KO116" i="1"/>
  <c r="JD91" i="1"/>
  <c r="JD128" i="1"/>
  <c r="JD113" i="1"/>
  <c r="JD95" i="1"/>
  <c r="JD122" i="1"/>
  <c r="JD108" i="1"/>
  <c r="KJ108" i="1"/>
  <c r="KJ116" i="1"/>
  <c r="KJ103" i="1"/>
  <c r="KJ132" i="1"/>
  <c r="KJ128" i="1"/>
  <c r="LP114" i="1"/>
  <c r="LP101" i="1"/>
  <c r="LP130" i="1"/>
  <c r="LP112" i="1"/>
  <c r="LP103" i="1"/>
  <c r="KS102" i="1"/>
  <c r="KS119" i="1"/>
  <c r="KS104" i="1"/>
  <c r="KS127" i="1"/>
  <c r="KS120" i="1"/>
  <c r="KS118" i="1"/>
  <c r="LB135" i="1"/>
  <c r="LB108" i="1"/>
  <c r="LB127" i="1"/>
  <c r="LB112" i="1"/>
  <c r="KP123" i="1"/>
  <c r="KP137" i="1"/>
  <c r="KP107" i="1"/>
  <c r="KP101" i="1"/>
  <c r="KH115" i="1"/>
  <c r="KH124" i="1"/>
  <c r="KA10" i="1"/>
  <c r="KA26" i="1"/>
  <c r="KA97" i="1"/>
  <c r="KA110" i="1"/>
  <c r="KA117" i="1"/>
  <c r="KA116" i="1"/>
  <c r="KA124" i="1"/>
  <c r="KA137" i="1"/>
  <c r="KA95" i="1"/>
  <c r="KA105" i="1"/>
  <c r="KA111" i="1"/>
  <c r="KA125" i="1"/>
  <c r="KA132" i="1"/>
  <c r="KA120" i="1"/>
  <c r="JY26" i="1"/>
  <c r="JY98" i="1"/>
  <c r="JY111" i="1"/>
  <c r="JY99" i="1"/>
  <c r="JY130" i="1"/>
  <c r="JY127" i="1"/>
  <c r="JY132" i="1"/>
  <c r="JY96" i="1"/>
  <c r="JY103" i="1"/>
  <c r="JY110" i="1"/>
  <c r="JY122" i="1"/>
  <c r="JY133" i="1"/>
  <c r="JY131" i="1"/>
  <c r="JY93" i="1"/>
  <c r="JY101" i="1"/>
  <c r="JY112" i="1"/>
  <c r="JY124" i="1"/>
  <c r="JY135" i="1"/>
  <c r="JY136" i="1"/>
  <c r="IW93" i="1"/>
  <c r="IW92" i="1"/>
  <c r="IW98" i="1"/>
  <c r="IW109" i="1"/>
  <c r="IW91" i="1"/>
  <c r="IW105" i="1"/>
  <c r="IW115" i="1"/>
  <c r="IW101" i="1"/>
  <c r="IW121" i="1"/>
  <c r="IW132" i="1"/>
  <c r="IW95" i="1"/>
  <c r="IW111" i="1"/>
  <c r="IW120" i="1"/>
  <c r="IW117" i="1"/>
  <c r="IW129" i="1"/>
  <c r="IW140" i="1"/>
  <c r="IW94" i="1"/>
  <c r="IW106" i="1"/>
  <c r="IW114" i="1"/>
  <c r="IW128" i="1"/>
  <c r="IW135" i="1"/>
  <c r="IW138" i="1"/>
  <c r="IO92" i="1"/>
  <c r="IO93" i="1"/>
  <c r="IO102" i="1"/>
  <c r="IO108" i="1"/>
  <c r="IO122" i="1"/>
  <c r="IO119" i="1"/>
  <c r="IO123" i="1"/>
  <c r="IO97" i="1"/>
  <c r="IO109" i="1"/>
  <c r="IO124" i="1"/>
  <c r="IO137" i="1"/>
  <c r="IO138" i="1"/>
  <c r="IO99" i="1"/>
  <c r="IO110" i="1"/>
  <c r="IO130" i="1"/>
  <c r="IO139" i="1"/>
  <c r="IO96" i="1"/>
  <c r="IO107" i="1"/>
  <c r="IO118" i="1"/>
  <c r="IO127" i="1"/>
  <c r="IO134" i="1"/>
  <c r="JG129" i="1"/>
  <c r="JG130" i="1"/>
  <c r="JG99" i="1"/>
  <c r="JG26" i="1"/>
  <c r="KM107" i="1"/>
  <c r="KM123" i="1"/>
  <c r="KM139" i="1"/>
  <c r="KW96" i="1"/>
  <c r="KW103" i="1"/>
  <c r="JH135" i="1"/>
  <c r="JH97" i="1"/>
  <c r="KN137" i="1"/>
  <c r="KN121" i="1"/>
  <c r="IM93" i="1"/>
  <c r="IM108" i="1"/>
  <c r="IS91" i="1"/>
  <c r="IS93" i="1"/>
  <c r="IS106" i="1"/>
  <c r="IS110" i="1"/>
  <c r="IS124" i="1"/>
  <c r="IS133" i="1"/>
  <c r="IS131" i="1"/>
  <c r="IS92" i="1"/>
  <c r="IS98" i="1"/>
  <c r="IS109" i="1"/>
  <c r="IS118" i="1"/>
  <c r="IS115" i="1"/>
  <c r="IS119" i="1"/>
  <c r="IS138" i="1"/>
  <c r="KR92" i="1"/>
  <c r="KR91" i="1"/>
  <c r="KR104" i="1"/>
  <c r="KR117" i="1"/>
  <c r="KR125" i="1"/>
  <c r="KR128" i="1"/>
  <c r="KR135" i="1"/>
  <c r="KR26" i="1"/>
  <c r="KR98" i="1"/>
  <c r="KR107" i="1"/>
  <c r="KR112" i="1"/>
  <c r="KR127" i="1"/>
  <c r="KR130" i="1"/>
  <c r="KR137" i="1"/>
  <c r="KR96" i="1"/>
  <c r="KR105" i="1"/>
  <c r="KR108" i="1"/>
  <c r="KR119" i="1"/>
  <c r="KR122" i="1"/>
  <c r="KR136" i="1"/>
  <c r="LJ95" i="1"/>
  <c r="LJ93" i="1"/>
  <c r="LJ104" i="1"/>
  <c r="LJ94" i="1"/>
  <c r="LJ117" i="1"/>
  <c r="LJ130" i="1"/>
  <c r="LJ133" i="1"/>
  <c r="LJ139" i="1"/>
  <c r="LJ91" i="1"/>
  <c r="LJ103" i="1"/>
  <c r="LJ116" i="1"/>
  <c r="LJ128" i="1"/>
  <c r="LJ132" i="1"/>
  <c r="LJ98" i="1"/>
  <c r="LJ105" i="1"/>
  <c r="LJ115" i="1"/>
  <c r="LJ123" i="1"/>
  <c r="LJ134" i="1"/>
  <c r="LJ102" i="1"/>
  <c r="LJ114" i="1"/>
  <c r="LJ122" i="1"/>
  <c r="LJ131" i="1"/>
  <c r="IY92" i="1"/>
  <c r="IY102" i="1"/>
  <c r="IY111" i="1"/>
  <c r="IY125" i="1"/>
  <c r="IY132" i="1"/>
  <c r="IY130" i="1"/>
  <c r="IY96" i="1"/>
  <c r="IY100" i="1"/>
  <c r="IY113" i="1"/>
  <c r="IY127" i="1"/>
  <c r="IY134" i="1"/>
  <c r="IY135" i="1"/>
  <c r="IY93" i="1"/>
  <c r="IY101" i="1"/>
  <c r="IY104" i="1"/>
  <c r="IY119" i="1"/>
  <c r="IY114" i="1"/>
  <c r="IY124" i="1"/>
  <c r="IY137" i="1"/>
  <c r="IY91" i="1"/>
  <c r="IY118" i="1"/>
  <c r="IY99" i="1"/>
  <c r="IY126" i="1"/>
  <c r="IY106" i="1"/>
  <c r="KE10" i="1"/>
  <c r="KE95" i="1"/>
  <c r="KE105" i="1"/>
  <c r="KE109" i="1"/>
  <c r="KE123" i="1"/>
  <c r="KE132" i="1"/>
  <c r="KE122" i="1"/>
  <c r="KE98" i="1"/>
  <c r="KE106" i="1"/>
  <c r="KE115" i="1"/>
  <c r="KE129" i="1"/>
  <c r="KE138" i="1"/>
  <c r="KE133" i="1"/>
  <c r="KE94" i="1"/>
  <c r="KE103" i="1"/>
  <c r="KE107" i="1"/>
  <c r="KE121" i="1"/>
  <c r="KE128" i="1"/>
  <c r="KE124" i="1"/>
  <c r="KE108" i="1"/>
  <c r="KE140" i="1"/>
  <c r="KE117" i="1"/>
  <c r="KE97" i="1"/>
  <c r="KE116" i="1"/>
  <c r="LK26" i="1"/>
  <c r="LK103" i="1"/>
  <c r="LK111" i="1"/>
  <c r="LK127" i="1"/>
  <c r="LK136" i="1"/>
  <c r="LK135" i="1"/>
  <c r="LK92" i="1"/>
  <c r="LK100" i="1"/>
  <c r="LK112" i="1"/>
  <c r="LK114" i="1"/>
  <c r="LK126" i="1"/>
  <c r="LK137" i="1"/>
  <c r="LK101" i="1"/>
  <c r="LK109" i="1"/>
  <c r="LK125" i="1"/>
  <c r="LK134" i="1"/>
  <c r="LK130" i="1"/>
  <c r="LK120" i="1"/>
  <c r="LK94" i="1"/>
  <c r="LK124" i="1"/>
  <c r="LK119" i="1"/>
  <c r="KG95" i="1"/>
  <c r="KG106" i="1"/>
  <c r="KG122" i="1"/>
  <c r="KG123" i="1"/>
  <c r="KG140" i="1"/>
  <c r="KG26" i="1"/>
  <c r="KG104" i="1"/>
  <c r="KG114" i="1"/>
  <c r="KG130" i="1"/>
  <c r="KG127" i="1"/>
  <c r="KG97" i="1"/>
  <c r="KG111" i="1"/>
  <c r="KG120" i="1"/>
  <c r="KG113" i="1"/>
  <c r="KG136" i="1"/>
  <c r="KG125" i="1"/>
  <c r="KG94" i="1"/>
  <c r="KG131" i="1"/>
  <c r="KG116" i="1"/>
  <c r="IZ97" i="1"/>
  <c r="IZ113" i="1"/>
  <c r="IZ120" i="1"/>
  <c r="IZ133" i="1"/>
  <c r="IZ100" i="1"/>
  <c r="IZ108" i="1"/>
  <c r="IZ128" i="1"/>
  <c r="IZ140" i="1"/>
  <c r="IZ96" i="1"/>
  <c r="IZ110" i="1"/>
  <c r="IZ129" i="1"/>
  <c r="IZ138" i="1"/>
  <c r="IZ119" i="1"/>
  <c r="IZ130" i="1"/>
  <c r="IZ102" i="1"/>
  <c r="KF93" i="1"/>
  <c r="KF117" i="1"/>
  <c r="KF128" i="1"/>
  <c r="KF95" i="1"/>
  <c r="KF106" i="1"/>
  <c r="KF130" i="1"/>
  <c r="KF98" i="1"/>
  <c r="KF127" i="1"/>
  <c r="KF135" i="1"/>
  <c r="KF104" i="1"/>
  <c r="KF133" i="1"/>
  <c r="LL26" i="1"/>
  <c r="LL109" i="1"/>
  <c r="LL127" i="1"/>
  <c r="LL139" i="1"/>
  <c r="LL97" i="1"/>
  <c r="LL115" i="1"/>
  <c r="LL124" i="1"/>
  <c r="LL102" i="1"/>
  <c r="LL121" i="1"/>
  <c r="LL133" i="1"/>
  <c r="LL112" i="1"/>
  <c r="LL130" i="1"/>
  <c r="LL99" i="1"/>
  <c r="KK94" i="1"/>
  <c r="KK106" i="1"/>
  <c r="KK115" i="1"/>
  <c r="KK140" i="1"/>
  <c r="KK97" i="1"/>
  <c r="KK116" i="1"/>
  <c r="KK137" i="1"/>
  <c r="KK109" i="1"/>
  <c r="KK105" i="1"/>
  <c r="KK139" i="1"/>
  <c r="KK102" i="1"/>
  <c r="KK123" i="1"/>
  <c r="JR91" i="1"/>
  <c r="JR108" i="1"/>
  <c r="JR128" i="1"/>
  <c r="JR140" i="1"/>
  <c r="JR96" i="1"/>
  <c r="JR111" i="1"/>
  <c r="JR129" i="1"/>
  <c r="JR26" i="1"/>
  <c r="JR106" i="1"/>
  <c r="JR126" i="1"/>
  <c r="JR138" i="1"/>
  <c r="JR113" i="1"/>
  <c r="JR131" i="1"/>
  <c r="JR97" i="1"/>
  <c r="IX99" i="1"/>
  <c r="IX130" i="1"/>
  <c r="IX91" i="1"/>
  <c r="IX116" i="1"/>
  <c r="IX133" i="1"/>
  <c r="IX104" i="1"/>
  <c r="IX128" i="1"/>
  <c r="IX140" i="1"/>
  <c r="IX93" i="1"/>
  <c r="IX135" i="1"/>
  <c r="KQ91" i="1"/>
  <c r="KQ92" i="1"/>
  <c r="KQ103" i="1"/>
  <c r="KQ109" i="1"/>
  <c r="KQ123" i="1"/>
  <c r="KQ126" i="1"/>
  <c r="KQ114" i="1"/>
  <c r="KQ96" i="1"/>
  <c r="KQ108" i="1"/>
  <c r="KQ117" i="1"/>
  <c r="KQ131" i="1"/>
  <c r="KQ138" i="1"/>
  <c r="KQ140" i="1"/>
  <c r="KB93" i="1"/>
  <c r="KB95" i="1"/>
  <c r="KB100" i="1"/>
  <c r="KB113" i="1"/>
  <c r="KB123" i="1"/>
  <c r="KB124" i="1"/>
  <c r="KB138" i="1"/>
  <c r="KB92" i="1"/>
  <c r="KB99" i="1"/>
  <c r="KB109" i="1"/>
  <c r="KB114" i="1"/>
  <c r="KB106" i="1"/>
  <c r="KB131" i="1"/>
  <c r="KB139" i="1"/>
  <c r="KB96" i="1"/>
  <c r="KB105" i="1"/>
  <c r="KB108" i="1"/>
  <c r="KB121" i="1"/>
  <c r="KB122" i="1"/>
  <c r="KB136" i="1"/>
  <c r="LI92" i="1"/>
  <c r="LI26" i="1"/>
  <c r="LI98" i="1"/>
  <c r="LI111" i="1"/>
  <c r="LI101" i="1"/>
  <c r="LI130" i="1"/>
  <c r="LI121" i="1"/>
  <c r="LI134" i="1"/>
  <c r="LI97" i="1"/>
  <c r="LI108" i="1"/>
  <c r="LI122" i="1"/>
  <c r="LI137" i="1"/>
  <c r="LI104" i="1"/>
  <c r="LI110" i="1"/>
  <c r="LI128" i="1"/>
  <c r="LI127" i="1"/>
  <c r="LI91" i="1"/>
  <c r="LI109" i="1"/>
  <c r="LI120" i="1"/>
  <c r="LI131" i="1"/>
  <c r="LI139" i="1"/>
  <c r="JC10" i="1"/>
  <c r="JC93" i="1"/>
  <c r="JC98" i="1"/>
  <c r="JC101" i="1"/>
  <c r="JC102" i="1"/>
  <c r="JC106" i="1"/>
  <c r="JC113" i="1"/>
  <c r="JC114" i="1"/>
  <c r="JC125" i="1"/>
  <c r="JC116" i="1"/>
  <c r="JC132" i="1"/>
  <c r="JC120" i="1"/>
  <c r="JC137" i="1"/>
  <c r="JC139" i="1"/>
  <c r="JC92" i="1"/>
  <c r="JC96" i="1"/>
  <c r="JC103" i="1"/>
  <c r="JC108" i="1"/>
  <c r="JC107" i="1"/>
  <c r="JC115" i="1"/>
  <c r="JC119" i="1"/>
  <c r="JC127" i="1"/>
  <c r="JC118" i="1"/>
  <c r="JC134" i="1"/>
  <c r="JC128" i="1"/>
  <c r="JC135" i="1"/>
  <c r="JC94" i="1"/>
  <c r="JC104" i="1"/>
  <c r="JC111" i="1"/>
  <c r="JC123" i="1"/>
  <c r="JC130" i="1"/>
  <c r="JC124" i="1"/>
  <c r="JC26" i="1"/>
  <c r="JC97" i="1"/>
  <c r="JC110" i="1"/>
  <c r="JC117" i="1"/>
  <c r="JC129" i="1"/>
  <c r="JC136" i="1"/>
  <c r="JC140" i="1"/>
  <c r="KI10" i="1"/>
  <c r="KI26" i="1"/>
  <c r="KI95" i="1"/>
  <c r="KI97" i="1"/>
  <c r="KI105" i="1"/>
  <c r="KI108" i="1"/>
  <c r="KI111" i="1"/>
  <c r="KI100" i="1"/>
  <c r="KI123" i="1"/>
  <c r="KI131" i="1"/>
  <c r="KI130" i="1"/>
  <c r="KI138" i="1"/>
  <c r="KI126" i="1"/>
  <c r="KI140" i="1"/>
  <c r="KI91" i="1"/>
  <c r="KI94" i="1"/>
  <c r="KI99" i="1"/>
  <c r="KI104" i="1"/>
  <c r="KI110" i="1"/>
  <c r="KI113" i="1"/>
  <c r="KI114" i="1"/>
  <c r="KI125" i="1"/>
  <c r="KI112" i="1"/>
  <c r="KI132" i="1"/>
  <c r="KI120" i="1"/>
  <c r="KI124" i="1"/>
  <c r="KI133" i="1"/>
  <c r="KI96" i="1"/>
  <c r="KI106" i="1"/>
  <c r="KI117" i="1"/>
  <c r="KI129" i="1"/>
  <c r="KI136" i="1"/>
  <c r="KI135" i="1"/>
  <c r="KI93" i="1"/>
  <c r="KI101" i="1"/>
  <c r="KI107" i="1"/>
  <c r="KI119" i="1"/>
  <c r="KI116" i="1"/>
  <c r="KI128" i="1"/>
  <c r="KI139" i="1"/>
  <c r="LO10" i="1"/>
  <c r="LO93" i="1"/>
  <c r="LO96" i="1"/>
  <c r="LO101" i="1"/>
  <c r="LO102" i="1"/>
  <c r="LO107" i="1"/>
  <c r="LO115" i="1"/>
  <c r="LO119" i="1"/>
  <c r="LO127" i="1"/>
  <c r="LO116" i="1"/>
  <c r="LO134" i="1"/>
  <c r="LO128" i="1"/>
  <c r="LO137" i="1"/>
  <c r="LO139" i="1"/>
  <c r="LO92" i="1"/>
  <c r="LO98" i="1"/>
  <c r="LO103" i="1"/>
  <c r="LO106" i="1"/>
  <c r="LO109" i="1"/>
  <c r="LO117" i="1"/>
  <c r="LO121" i="1"/>
  <c r="LO129" i="1"/>
  <c r="LO122" i="1"/>
  <c r="LO136" i="1"/>
  <c r="LO118" i="1"/>
  <c r="LO135" i="1"/>
  <c r="LO26" i="1"/>
  <c r="LO97" i="1"/>
  <c r="LO108" i="1"/>
  <c r="LO100" i="1"/>
  <c r="LO131" i="1"/>
  <c r="LO138" i="1"/>
  <c r="LO140" i="1"/>
  <c r="LO91" i="1"/>
  <c r="LO99" i="1"/>
  <c r="LO110" i="1"/>
  <c r="LO114" i="1"/>
  <c r="LO112" i="1"/>
  <c r="LO120" i="1"/>
  <c r="LO133" i="1"/>
  <c r="KO10" i="1"/>
  <c r="KO26" i="1"/>
  <c r="KO96" i="1"/>
  <c r="KO98" i="1"/>
  <c r="KO103" i="1"/>
  <c r="KO111" i="1"/>
  <c r="KO110" i="1"/>
  <c r="KO113" i="1"/>
  <c r="KO124" i="1"/>
  <c r="KO99" i="1"/>
  <c r="KO133" i="1"/>
  <c r="KO127" i="1"/>
  <c r="KO131" i="1"/>
  <c r="KO132" i="1"/>
  <c r="KO92" i="1"/>
  <c r="KO93" i="1"/>
  <c r="KO100" i="1"/>
  <c r="KO101" i="1"/>
  <c r="KO105" i="1"/>
  <c r="KO112" i="1"/>
  <c r="KO118" i="1"/>
  <c r="KO126" i="1"/>
  <c r="KO115" i="1"/>
  <c r="KO135" i="1"/>
  <c r="KO125" i="1"/>
  <c r="KO136" i="1"/>
  <c r="KO138" i="1"/>
  <c r="KO94" i="1"/>
  <c r="KO102" i="1"/>
  <c r="KO106" i="1"/>
  <c r="KO120" i="1"/>
  <c r="KO121" i="1"/>
  <c r="KO117" i="1"/>
  <c r="KO140" i="1"/>
  <c r="KO91" i="1"/>
  <c r="KO104" i="1"/>
  <c r="KO108" i="1"/>
  <c r="KO122" i="1"/>
  <c r="KO129" i="1"/>
  <c r="KO123" i="1"/>
  <c r="JD10" i="1"/>
  <c r="JD94" i="1"/>
  <c r="JD97" i="1"/>
  <c r="JD103" i="1"/>
  <c r="JD102" i="1"/>
  <c r="JD109" i="1"/>
  <c r="JD115" i="1"/>
  <c r="JD116" i="1"/>
  <c r="JD123" i="1"/>
  <c r="JD131" i="1"/>
  <c r="JD124" i="1"/>
  <c r="JD132" i="1"/>
  <c r="JD133" i="1"/>
  <c r="JD140" i="1"/>
  <c r="JD93" i="1"/>
  <c r="JD99" i="1"/>
  <c r="JD105" i="1"/>
  <c r="JD104" i="1"/>
  <c r="JD111" i="1"/>
  <c r="JD117" i="1"/>
  <c r="JD118" i="1"/>
  <c r="JD125" i="1"/>
  <c r="JD110" i="1"/>
  <c r="JD126" i="1"/>
  <c r="JD134" i="1"/>
  <c r="JD135" i="1"/>
  <c r="JD92" i="1"/>
  <c r="JD101" i="1"/>
  <c r="JD107" i="1"/>
  <c r="JD114" i="1"/>
  <c r="JD129" i="1"/>
  <c r="JD130" i="1"/>
  <c r="JD139" i="1"/>
  <c r="JD96" i="1"/>
  <c r="JD98" i="1"/>
  <c r="JD112" i="1"/>
  <c r="JD119" i="1"/>
  <c r="JD120" i="1"/>
  <c r="JD136" i="1"/>
  <c r="KJ10" i="1"/>
  <c r="KJ26" i="1"/>
  <c r="KJ96" i="1"/>
  <c r="KJ99" i="1"/>
  <c r="KJ98" i="1"/>
  <c r="KJ107" i="1"/>
  <c r="KJ113" i="1"/>
  <c r="KJ112" i="1"/>
  <c r="KJ119" i="1"/>
  <c r="KJ127" i="1"/>
  <c r="KJ122" i="1"/>
  <c r="KJ130" i="1"/>
  <c r="KJ136" i="1"/>
  <c r="KJ137" i="1"/>
  <c r="KJ92" i="1"/>
  <c r="KJ95" i="1"/>
  <c r="KJ101" i="1"/>
  <c r="KJ100" i="1"/>
  <c r="KJ109" i="1"/>
  <c r="KJ115" i="1"/>
  <c r="KJ114" i="1"/>
  <c r="KJ121" i="1"/>
  <c r="KJ129" i="1"/>
  <c r="KJ124" i="1"/>
  <c r="KJ131" i="1"/>
  <c r="KJ138" i="1"/>
  <c r="KJ139" i="1"/>
  <c r="KJ93" i="1"/>
  <c r="KJ105" i="1"/>
  <c r="KJ106" i="1"/>
  <c r="KJ110" i="1"/>
  <c r="KJ120" i="1"/>
  <c r="KJ134" i="1"/>
  <c r="KJ97" i="1"/>
  <c r="KJ102" i="1"/>
  <c r="KJ117" i="1"/>
  <c r="KJ123" i="1"/>
  <c r="KJ126" i="1"/>
  <c r="KJ133" i="1"/>
  <c r="LP10" i="1"/>
  <c r="LP93" i="1"/>
  <c r="LP96" i="1"/>
  <c r="LP105" i="1"/>
  <c r="LP104" i="1"/>
  <c r="LP111" i="1"/>
  <c r="LP117" i="1"/>
  <c r="LP116" i="1"/>
  <c r="LP125" i="1"/>
  <c r="LP118" i="1"/>
  <c r="LP126" i="1"/>
  <c r="LP132" i="1"/>
  <c r="LP133" i="1"/>
  <c r="LP140" i="1"/>
  <c r="LP94" i="1"/>
  <c r="LP99" i="1"/>
  <c r="LP98" i="1"/>
  <c r="LP91" i="1"/>
  <c r="LP106" i="1"/>
  <c r="LP108" i="1"/>
  <c r="LP119" i="1"/>
  <c r="LP127" i="1"/>
  <c r="LP120" i="1"/>
  <c r="LP128" i="1"/>
  <c r="LP134" i="1"/>
  <c r="LP135" i="1"/>
  <c r="LP95" i="1"/>
  <c r="LP100" i="1"/>
  <c r="LP113" i="1"/>
  <c r="LP121" i="1"/>
  <c r="LP122" i="1"/>
  <c r="LP136" i="1"/>
  <c r="LP97" i="1"/>
  <c r="LP102" i="1"/>
  <c r="LP115" i="1"/>
  <c r="LP123" i="1"/>
  <c r="LP124" i="1"/>
  <c r="LP138" i="1"/>
  <c r="KS10" i="1"/>
  <c r="KS26" i="1"/>
  <c r="KS96" i="1"/>
  <c r="KS98" i="1"/>
  <c r="KS105" i="1"/>
  <c r="KS111" i="1"/>
  <c r="KS110" i="1"/>
  <c r="KS101" i="1"/>
  <c r="KS122" i="1"/>
  <c r="KS130" i="1"/>
  <c r="KS133" i="1"/>
  <c r="KS129" i="1"/>
  <c r="KS125" i="1"/>
  <c r="KS134" i="1"/>
  <c r="KS92" i="1"/>
  <c r="KS91" i="1"/>
  <c r="KS100" i="1"/>
  <c r="KS103" i="1"/>
  <c r="KS99" i="1"/>
  <c r="KS112" i="1"/>
  <c r="KS115" i="1"/>
  <c r="KS124" i="1"/>
  <c r="KS113" i="1"/>
  <c r="KS135" i="1"/>
  <c r="KS131" i="1"/>
  <c r="KS138" i="1"/>
  <c r="KS132" i="1"/>
  <c r="KS95" i="1"/>
  <c r="KS107" i="1"/>
  <c r="KS114" i="1"/>
  <c r="KS126" i="1"/>
  <c r="KS137" i="1"/>
  <c r="KS136" i="1"/>
  <c r="KS97" i="1"/>
  <c r="KS109" i="1"/>
  <c r="KS116" i="1"/>
  <c r="KS128" i="1"/>
  <c r="KS121" i="1"/>
  <c r="KS139" i="1"/>
  <c r="LB10" i="1"/>
  <c r="LB26" i="1"/>
  <c r="LB95" i="1"/>
  <c r="LB100" i="1"/>
  <c r="LB101" i="1"/>
  <c r="LB106" i="1"/>
  <c r="LB109" i="1"/>
  <c r="LB113" i="1"/>
  <c r="LB120" i="1"/>
  <c r="LB128" i="1"/>
  <c r="LB123" i="1"/>
  <c r="LB107" i="1"/>
  <c r="LB131" i="1"/>
  <c r="LB138" i="1"/>
  <c r="LB93" i="1"/>
  <c r="LB92" i="1"/>
  <c r="LB103" i="1"/>
  <c r="LB110" i="1"/>
  <c r="LB116" i="1"/>
  <c r="LB122" i="1"/>
  <c r="LB119" i="1"/>
  <c r="LB129" i="1"/>
  <c r="LB132" i="1"/>
  <c r="LB139" i="1"/>
  <c r="LB94" i="1"/>
  <c r="LB102" i="1"/>
  <c r="LB105" i="1"/>
  <c r="LB111" i="1"/>
  <c r="LB115" i="1"/>
  <c r="LB124" i="1"/>
  <c r="LB121" i="1"/>
  <c r="LB133" i="1"/>
  <c r="LB134" i="1"/>
  <c r="LB91" i="1"/>
  <c r="LB99" i="1"/>
  <c r="LB114" i="1"/>
  <c r="LB130" i="1"/>
  <c r="LB137" i="1"/>
  <c r="LB96" i="1"/>
  <c r="LB97" i="1"/>
  <c r="LB117" i="1"/>
  <c r="LB125" i="1"/>
  <c r="LB136" i="1"/>
  <c r="KP10" i="1"/>
  <c r="KP93" i="1"/>
  <c r="KP94" i="1"/>
  <c r="KP104" i="1"/>
  <c r="KP103" i="1"/>
  <c r="KP110" i="1"/>
  <c r="KP116" i="1"/>
  <c r="KP117" i="1"/>
  <c r="KP122" i="1"/>
  <c r="KP130" i="1"/>
  <c r="KP125" i="1"/>
  <c r="KP133" i="1"/>
  <c r="KP134" i="1"/>
  <c r="KP139" i="1"/>
  <c r="KP92" i="1"/>
  <c r="KP96" i="1"/>
  <c r="KP97" i="1"/>
  <c r="KP105" i="1"/>
  <c r="KP111" i="1"/>
  <c r="KP91" i="1"/>
  <c r="KP102" i="1"/>
  <c r="KP108" i="1"/>
  <c r="KP113" i="1"/>
  <c r="KP120" i="1"/>
  <c r="KP119" i="1"/>
  <c r="KP129" i="1"/>
  <c r="KP132" i="1"/>
  <c r="KP95" i="1"/>
  <c r="KP99" i="1"/>
  <c r="KP112" i="1"/>
  <c r="KP115" i="1"/>
  <c r="KP124" i="1"/>
  <c r="KP121" i="1"/>
  <c r="KP131" i="1"/>
  <c r="KP136" i="1"/>
  <c r="KP26" i="1"/>
  <c r="KP106" i="1"/>
  <c r="KP118" i="1"/>
  <c r="KP127" i="1"/>
  <c r="KP140" i="1"/>
  <c r="KP98" i="1"/>
  <c r="KP114" i="1"/>
  <c r="KP126" i="1"/>
  <c r="KP135" i="1"/>
  <c r="KH10" i="1"/>
  <c r="KH26" i="1"/>
  <c r="KH95" i="1"/>
  <c r="KH100" i="1"/>
  <c r="KH99" i="1"/>
  <c r="KH106" i="1"/>
  <c r="KH107" i="1"/>
  <c r="KH111" i="1"/>
  <c r="KH118" i="1"/>
  <c r="KH126" i="1"/>
  <c r="KH121" i="1"/>
  <c r="KH129" i="1"/>
  <c r="KH137" i="1"/>
  <c r="KH138" i="1"/>
  <c r="KH91" i="1"/>
  <c r="KH98" i="1"/>
  <c r="KH102" i="1"/>
  <c r="KH101" i="1"/>
  <c r="KH108" i="1"/>
  <c r="KH112" i="1"/>
  <c r="KH113" i="1"/>
  <c r="KH120" i="1"/>
  <c r="KH128" i="1"/>
  <c r="KH123" i="1"/>
  <c r="KH131" i="1"/>
  <c r="KH132" i="1"/>
  <c r="KH140" i="1"/>
  <c r="KH92" i="1"/>
  <c r="KH96" i="1"/>
  <c r="KH109" i="1"/>
  <c r="KH117" i="1"/>
  <c r="KH119" i="1"/>
  <c r="KH135" i="1"/>
  <c r="KH94" i="1"/>
  <c r="KH103" i="1"/>
  <c r="KH114" i="1"/>
  <c r="KH122" i="1"/>
  <c r="KH125" i="1"/>
  <c r="KH134" i="1"/>
  <c r="KH93" i="1"/>
  <c r="KH110" i="1"/>
  <c r="KH130" i="1"/>
  <c r="KH139" i="1"/>
  <c r="KH97" i="1"/>
  <c r="KH116" i="1"/>
  <c r="KH127" i="1"/>
  <c r="JY10" i="1"/>
  <c r="JG10" i="1"/>
  <c r="JG93" i="1"/>
  <c r="JG96" i="1"/>
  <c r="JG101" i="1"/>
  <c r="JG104" i="1"/>
  <c r="JG100" i="1"/>
  <c r="JG102" i="1"/>
  <c r="JG116" i="1"/>
  <c r="JG125" i="1"/>
  <c r="JG114" i="1"/>
  <c r="JG136" i="1"/>
  <c r="JG120" i="1"/>
  <c r="JG137" i="1"/>
  <c r="JG139" i="1"/>
  <c r="JG94" i="1"/>
  <c r="JG98" i="1"/>
  <c r="JG103" i="1"/>
  <c r="JG108" i="1"/>
  <c r="JG107" i="1"/>
  <c r="JG113" i="1"/>
  <c r="JG119" i="1"/>
  <c r="JG127" i="1"/>
  <c r="JG124" i="1"/>
  <c r="JG138" i="1"/>
  <c r="JG128" i="1"/>
  <c r="JG140" i="1"/>
  <c r="JG95" i="1"/>
  <c r="JG105" i="1"/>
  <c r="JG109" i="1"/>
  <c r="JG121" i="1"/>
  <c r="JG132" i="1"/>
  <c r="JG118" i="1"/>
  <c r="JG92" i="1"/>
  <c r="JG106" i="1"/>
  <c r="JG111" i="1"/>
  <c r="JG123" i="1"/>
  <c r="JG134" i="1"/>
  <c r="JG126" i="1"/>
  <c r="JG91" i="1"/>
  <c r="JG112" i="1"/>
  <c r="JG131" i="1"/>
  <c r="JG133" i="1"/>
  <c r="JG97" i="1"/>
  <c r="JG115" i="1"/>
  <c r="JG122" i="1"/>
  <c r="KM10" i="1"/>
  <c r="KM94" i="1"/>
  <c r="KM98" i="1"/>
  <c r="KM93" i="1"/>
  <c r="KM96" i="1"/>
  <c r="KM101" i="1"/>
  <c r="KM92" i="1"/>
  <c r="KM105" i="1"/>
  <c r="KM110" i="1"/>
  <c r="KM111" i="1"/>
  <c r="KM116" i="1"/>
  <c r="KM125" i="1"/>
  <c r="KM102" i="1"/>
  <c r="KM132" i="1"/>
  <c r="KM122" i="1"/>
  <c r="KM118" i="1"/>
  <c r="KM135" i="1"/>
  <c r="KM26" i="1"/>
  <c r="KM97" i="1"/>
  <c r="KM104" i="1"/>
  <c r="KM100" i="1"/>
  <c r="KM113" i="1"/>
  <c r="KM119" i="1"/>
  <c r="KM127" i="1"/>
  <c r="KM114" i="1"/>
  <c r="KM134" i="1"/>
  <c r="KM130" i="1"/>
  <c r="KM126" i="1"/>
  <c r="KM133" i="1"/>
  <c r="KM91" i="1"/>
  <c r="KM106" i="1"/>
  <c r="KM115" i="1"/>
  <c r="KM129" i="1"/>
  <c r="KM136" i="1"/>
  <c r="KM137" i="1"/>
  <c r="KM95" i="1"/>
  <c r="KM108" i="1"/>
  <c r="KM117" i="1"/>
  <c r="KM131" i="1"/>
  <c r="KM138" i="1"/>
  <c r="KM140" i="1"/>
  <c r="KM109" i="1"/>
  <c r="KM124" i="1"/>
  <c r="KM99" i="1"/>
  <c r="KM121" i="1"/>
  <c r="KM120" i="1"/>
  <c r="IL10" i="1"/>
  <c r="IL91" i="1"/>
  <c r="IL94" i="1"/>
  <c r="IL97" i="1"/>
  <c r="IL106" i="1"/>
  <c r="IL108" i="1"/>
  <c r="IL107" i="1"/>
  <c r="IL111" i="1"/>
  <c r="IL120" i="1"/>
  <c r="IL128" i="1"/>
  <c r="IL123" i="1"/>
  <c r="IL131" i="1"/>
  <c r="IL137" i="1"/>
  <c r="IL138" i="1"/>
  <c r="IL26" i="1"/>
  <c r="IL95" i="1"/>
  <c r="IL96" i="1"/>
  <c r="IL104" i="1"/>
  <c r="IL105" i="1"/>
  <c r="IL109" i="1"/>
  <c r="IL118" i="1"/>
  <c r="IL117" i="1"/>
  <c r="IL126" i="1"/>
  <c r="IL121" i="1"/>
  <c r="IL129" i="1"/>
  <c r="IL135" i="1"/>
  <c r="IL136" i="1"/>
  <c r="IL99" i="1"/>
  <c r="IL103" i="1"/>
  <c r="IL116" i="1"/>
  <c r="IL124" i="1"/>
  <c r="IL127" i="1"/>
  <c r="IL134" i="1"/>
  <c r="IL93" i="1"/>
  <c r="IL100" i="1"/>
  <c r="IL110" i="1"/>
  <c r="IL113" i="1"/>
  <c r="IL130" i="1"/>
  <c r="IL132" i="1"/>
  <c r="IL140" i="1"/>
  <c r="IL101" i="1"/>
  <c r="IL122" i="1"/>
  <c r="IL139" i="1"/>
  <c r="IL92" i="1"/>
  <c r="IL112" i="1"/>
  <c r="IL119" i="1"/>
  <c r="IL98" i="1"/>
  <c r="IL125" i="1"/>
  <c r="IL102" i="1"/>
  <c r="IL133" i="1"/>
  <c r="KW10" i="1"/>
  <c r="KW91" i="1"/>
  <c r="KW95" i="1"/>
  <c r="KW104" i="1"/>
  <c r="KW109" i="1"/>
  <c r="KW108" i="1"/>
  <c r="KW114" i="1"/>
  <c r="KW120" i="1"/>
  <c r="KW128" i="1"/>
  <c r="KW133" i="1"/>
  <c r="KW113" i="1"/>
  <c r="KW127" i="1"/>
  <c r="KW139" i="1"/>
  <c r="KW94" i="1"/>
  <c r="KW97" i="1"/>
  <c r="KW102" i="1"/>
  <c r="KW107" i="1"/>
  <c r="KW106" i="1"/>
  <c r="KW112" i="1"/>
  <c r="KW118" i="1"/>
  <c r="KW126" i="1"/>
  <c r="KW125" i="1"/>
  <c r="KW123" i="1"/>
  <c r="KW119" i="1"/>
  <c r="KW138" i="1"/>
  <c r="KW140" i="1"/>
  <c r="KW26" i="1"/>
  <c r="KW98" i="1"/>
  <c r="KW111" i="1"/>
  <c r="KW116" i="1"/>
  <c r="KW130" i="1"/>
  <c r="KW121" i="1"/>
  <c r="KW136" i="1"/>
  <c r="KW92" i="1"/>
  <c r="KW100" i="1"/>
  <c r="KW101" i="1"/>
  <c r="KW117" i="1"/>
  <c r="KW115" i="1"/>
  <c r="KW129" i="1"/>
  <c r="KW134" i="1"/>
  <c r="KW99" i="1"/>
  <c r="KW122" i="1"/>
  <c r="KW131" i="1"/>
  <c r="KW105" i="1"/>
  <c r="KW124" i="1"/>
  <c r="KW132" i="1"/>
  <c r="KW93" i="1"/>
  <c r="KW137" i="1"/>
  <c r="KW110" i="1"/>
  <c r="JH10" i="1"/>
  <c r="JH92" i="1"/>
  <c r="JH93" i="1"/>
  <c r="JH95" i="1"/>
  <c r="JH100" i="1"/>
  <c r="JH107" i="1"/>
  <c r="JH113" i="1"/>
  <c r="JH112" i="1"/>
  <c r="JH121" i="1"/>
  <c r="JH129" i="1"/>
  <c r="JH122" i="1"/>
  <c r="JH130" i="1"/>
  <c r="JH138" i="1"/>
  <c r="JH139" i="1"/>
  <c r="JH26" i="1"/>
  <c r="JH96" i="1"/>
  <c r="JH98" i="1"/>
  <c r="JH105" i="1"/>
  <c r="JH106" i="1"/>
  <c r="JH108" i="1"/>
  <c r="JH110" i="1"/>
  <c r="JH119" i="1"/>
  <c r="JH127" i="1"/>
  <c r="JH120" i="1"/>
  <c r="JH128" i="1"/>
  <c r="JH136" i="1"/>
  <c r="JH137" i="1"/>
  <c r="JH94" i="1"/>
  <c r="JH101" i="1"/>
  <c r="JH109" i="1"/>
  <c r="JH114" i="1"/>
  <c r="JH131" i="1"/>
  <c r="JH132" i="1"/>
  <c r="JH140" i="1"/>
  <c r="JH91" i="1"/>
  <c r="JH103" i="1"/>
  <c r="JH111" i="1"/>
  <c r="JH116" i="1"/>
  <c r="JH118" i="1"/>
  <c r="JH134" i="1"/>
  <c r="JH99" i="1"/>
  <c r="JH117" i="1"/>
  <c r="JH126" i="1"/>
  <c r="JH102" i="1"/>
  <c r="JH123" i="1"/>
  <c r="JH133" i="1"/>
  <c r="JH115" i="1"/>
  <c r="JH125" i="1"/>
  <c r="KN10" i="1"/>
  <c r="KN91" i="1"/>
  <c r="KN98" i="1"/>
  <c r="KN103" i="1"/>
  <c r="KN104" i="1"/>
  <c r="KN108" i="1"/>
  <c r="KN117" i="1"/>
  <c r="KN116" i="1"/>
  <c r="KN125" i="1"/>
  <c r="KN120" i="1"/>
  <c r="KN128" i="1"/>
  <c r="KN136" i="1"/>
  <c r="KN135" i="1"/>
  <c r="KN94" i="1"/>
  <c r="KN97" i="1"/>
  <c r="KN101" i="1"/>
  <c r="KN102" i="1"/>
  <c r="KN111" i="1"/>
  <c r="KN115" i="1"/>
  <c r="KN114" i="1"/>
  <c r="KN123" i="1"/>
  <c r="KN118" i="1"/>
  <c r="KN126" i="1"/>
  <c r="KN134" i="1"/>
  <c r="KN133" i="1"/>
  <c r="KN140" i="1"/>
  <c r="KN92" i="1"/>
  <c r="KN99" i="1"/>
  <c r="KN109" i="1"/>
  <c r="KN112" i="1"/>
  <c r="KN129" i="1"/>
  <c r="KN132" i="1"/>
  <c r="KN139" i="1"/>
  <c r="KN96" i="1"/>
  <c r="KN105" i="1"/>
  <c r="KN106" i="1"/>
  <c r="KN119" i="1"/>
  <c r="KN122" i="1"/>
  <c r="KN138" i="1"/>
  <c r="KN93" i="1"/>
  <c r="KN113" i="1"/>
  <c r="KN124" i="1"/>
  <c r="KN95" i="1"/>
  <c r="KN110" i="1"/>
  <c r="KN130" i="1"/>
  <c r="KN26" i="1"/>
  <c r="KN127" i="1"/>
  <c r="KN100" i="1"/>
  <c r="KN131" i="1"/>
  <c r="IM91" i="1"/>
  <c r="IM94" i="1"/>
  <c r="IM99" i="1"/>
  <c r="IM104" i="1"/>
  <c r="IM112" i="1"/>
  <c r="IM111" i="1"/>
  <c r="IM117" i="1"/>
  <c r="IM123" i="1"/>
  <c r="IM131" i="1"/>
  <c r="IM134" i="1"/>
  <c r="IM120" i="1"/>
  <c r="IM124" i="1"/>
  <c r="IM133" i="1"/>
  <c r="IM26" i="1"/>
  <c r="IM95" i="1"/>
  <c r="IM97" i="1"/>
  <c r="IM105" i="1"/>
  <c r="IM110" i="1"/>
  <c r="IM109" i="1"/>
  <c r="IM115" i="1"/>
  <c r="IM121" i="1"/>
  <c r="IM129" i="1"/>
  <c r="IM130" i="1"/>
  <c r="IM118" i="1"/>
  <c r="IM126" i="1"/>
  <c r="IM140" i="1"/>
  <c r="IM92" i="1"/>
  <c r="IM103" i="1"/>
  <c r="IM107" i="1"/>
  <c r="IM119" i="1"/>
  <c r="IM122" i="1"/>
  <c r="IM132" i="1"/>
  <c r="IM98" i="1"/>
  <c r="IM102" i="1"/>
  <c r="IM100" i="1"/>
  <c r="IM125" i="1"/>
  <c r="IM136" i="1"/>
  <c r="IM137" i="1"/>
  <c r="IM96" i="1"/>
  <c r="IM113" i="1"/>
  <c r="IM138" i="1"/>
  <c r="IM101" i="1"/>
  <c r="IM114" i="1"/>
  <c r="IM128" i="1"/>
  <c r="IM106" i="1"/>
  <c r="IM139" i="1"/>
  <c r="IM127" i="1"/>
  <c r="LA92" i="1"/>
  <c r="LA103" i="1"/>
  <c r="LA126" i="1"/>
  <c r="LA135" i="1"/>
  <c r="LA131" i="1"/>
  <c r="LA99" i="1"/>
  <c r="LA124" i="1"/>
  <c r="LA133" i="1"/>
  <c r="LA134" i="1"/>
  <c r="LA140" i="1"/>
  <c r="LA112" i="1"/>
  <c r="LA125" i="1"/>
  <c r="LA118" i="1"/>
  <c r="LA123" i="1"/>
  <c r="LA117" i="1"/>
  <c r="LA113" i="1"/>
  <c r="LA100" i="1"/>
  <c r="LA138" i="1"/>
  <c r="IK107" i="1"/>
  <c r="IK128" i="1"/>
  <c r="IK138" i="1"/>
  <c r="IK102" i="1"/>
  <c r="IK120" i="1"/>
  <c r="IK121" i="1"/>
  <c r="IK114" i="1"/>
  <c r="IK91" i="1"/>
  <c r="IK125" i="1"/>
  <c r="IK97" i="1"/>
  <c r="IK108" i="1"/>
  <c r="LF103" i="1"/>
  <c r="LF120" i="1"/>
  <c r="LF134" i="1"/>
  <c r="LF104" i="1"/>
  <c r="LF115" i="1"/>
  <c r="LF133" i="1"/>
  <c r="LF94" i="1"/>
  <c r="LF123" i="1"/>
  <c r="LF110" i="1"/>
  <c r="LF131" i="1"/>
  <c r="LF128" i="1"/>
  <c r="LN104" i="1"/>
  <c r="LN117" i="1"/>
  <c r="LN135" i="1"/>
  <c r="LN94" i="1"/>
  <c r="LN116" i="1"/>
  <c r="LN127" i="1"/>
  <c r="LN109" i="1"/>
  <c r="LN124" i="1"/>
  <c r="LN105" i="1"/>
  <c r="LN119" i="1"/>
  <c r="LN92" i="1"/>
  <c r="IY10" i="1"/>
  <c r="LK10" i="1"/>
  <c r="LK95" i="1"/>
  <c r="LK97" i="1"/>
  <c r="LK105" i="1"/>
  <c r="LK106" i="1"/>
  <c r="LK107" i="1"/>
  <c r="LK115" i="1"/>
  <c r="KG10" i="1"/>
  <c r="KG92" i="1"/>
  <c r="KG93" i="1"/>
  <c r="KG100" i="1"/>
  <c r="KG105" i="1"/>
  <c r="KG101" i="1"/>
  <c r="KG112" i="1"/>
  <c r="KG117" i="1"/>
  <c r="KG124" i="1"/>
  <c r="KG115" i="1"/>
  <c r="KG137" i="1"/>
  <c r="KG129" i="1"/>
  <c r="KG132" i="1"/>
  <c r="KG134" i="1"/>
  <c r="IZ10" i="1"/>
  <c r="IZ94" i="1"/>
  <c r="IZ99" i="1"/>
  <c r="IZ103" i="1"/>
  <c r="IZ104" i="1"/>
  <c r="IZ111" i="1"/>
  <c r="IZ115" i="1"/>
  <c r="IZ116" i="1"/>
  <c r="IZ121" i="1"/>
  <c r="IZ91" i="1"/>
  <c r="IZ93" i="1"/>
  <c r="IZ105" i="1"/>
  <c r="IZ106" i="1"/>
  <c r="IZ112" i="1"/>
  <c r="IZ117" i="1"/>
  <c r="IZ118" i="1"/>
  <c r="IZ123" i="1"/>
  <c r="IZ131" i="1"/>
  <c r="IZ126" i="1"/>
  <c r="IZ134" i="1"/>
  <c r="IZ135" i="1"/>
  <c r="KF10" i="1"/>
  <c r="KF26" i="1"/>
  <c r="KF96" i="1"/>
  <c r="KF99" i="1"/>
  <c r="KF100" i="1"/>
  <c r="KF107" i="1"/>
  <c r="KF113" i="1"/>
  <c r="KF112" i="1"/>
  <c r="KF121" i="1"/>
  <c r="KF129" i="1"/>
  <c r="KF124" i="1"/>
  <c r="KF108" i="1"/>
  <c r="KF138" i="1"/>
  <c r="KF137" i="1"/>
  <c r="KF92" i="1"/>
  <c r="KF97" i="1"/>
  <c r="KF101" i="1"/>
  <c r="KF102" i="1"/>
  <c r="KF109" i="1"/>
  <c r="KF115" i="1"/>
  <c r="KF114" i="1"/>
  <c r="KF123" i="1"/>
  <c r="KF118" i="1"/>
  <c r="KF126" i="1"/>
  <c r="KF132" i="1"/>
  <c r="KF131" i="1"/>
  <c r="KF139" i="1"/>
  <c r="LL10" i="1"/>
  <c r="LL91" i="1"/>
  <c r="LL93" i="1"/>
  <c r="LL103" i="1"/>
  <c r="LL104" i="1"/>
  <c r="LL98" i="1"/>
  <c r="LL117" i="1"/>
  <c r="LL116" i="1"/>
  <c r="LL123" i="1"/>
  <c r="LL118" i="1"/>
  <c r="LL126" i="1"/>
  <c r="LL134" i="1"/>
  <c r="LL135" i="1"/>
  <c r="LL131" i="1"/>
  <c r="LL94" i="1"/>
  <c r="LL95" i="1"/>
  <c r="LL105" i="1"/>
  <c r="LL107" i="1"/>
  <c r="LL110" i="1"/>
  <c r="LL106" i="1"/>
  <c r="LL108" i="1"/>
  <c r="LL125" i="1"/>
  <c r="LL120" i="1"/>
  <c r="LL128" i="1"/>
  <c r="LL136" i="1"/>
  <c r="LL137" i="1"/>
  <c r="KK10" i="1"/>
  <c r="KK26" i="1"/>
  <c r="KK96" i="1"/>
  <c r="KK98" i="1"/>
  <c r="KK101" i="1"/>
  <c r="KK111" i="1"/>
  <c r="KK110" i="1"/>
  <c r="KK118" i="1"/>
  <c r="KK126" i="1"/>
  <c r="KK117" i="1"/>
  <c r="KK127" i="1"/>
  <c r="KK125" i="1"/>
  <c r="KK129" i="1"/>
  <c r="KK138" i="1"/>
  <c r="KK92" i="1"/>
  <c r="KK91" i="1"/>
  <c r="KK100" i="1"/>
  <c r="KK99" i="1"/>
  <c r="KK103" i="1"/>
  <c r="KK112" i="1"/>
  <c r="KK120" i="1"/>
  <c r="KK128" i="1"/>
  <c r="KK113" i="1"/>
  <c r="KK133" i="1"/>
  <c r="KK131" i="1"/>
  <c r="KK134" i="1"/>
  <c r="KK136" i="1"/>
  <c r="JR10" i="1"/>
  <c r="JR93" i="1"/>
  <c r="JR98" i="1"/>
  <c r="JR100" i="1"/>
  <c r="JR103" i="1"/>
  <c r="JR110" i="1"/>
  <c r="JR114" i="1"/>
  <c r="JR115" i="1"/>
  <c r="JR122" i="1"/>
  <c r="JR130" i="1"/>
  <c r="JR125" i="1"/>
  <c r="JR133" i="1"/>
  <c r="JR134" i="1"/>
  <c r="JR139" i="1"/>
  <c r="JR92" i="1"/>
  <c r="JR99" i="1"/>
  <c r="JR102" i="1"/>
  <c r="JR105" i="1"/>
  <c r="JR109" i="1"/>
  <c r="JR116" i="1"/>
  <c r="JR117" i="1"/>
  <c r="JR124" i="1"/>
  <c r="JR119" i="1"/>
  <c r="JR127" i="1"/>
  <c r="JR135" i="1"/>
  <c r="JR136" i="1"/>
  <c r="IX10" i="1"/>
  <c r="IX26" i="1"/>
  <c r="IX95" i="1"/>
  <c r="IX97" i="1"/>
  <c r="IX106" i="1"/>
  <c r="IX105" i="1"/>
  <c r="IX107" i="1"/>
  <c r="IX109" i="1"/>
  <c r="IX111" i="1"/>
  <c r="IX126" i="1"/>
  <c r="IX121" i="1"/>
  <c r="IX94" i="1"/>
  <c r="IX100" i="1"/>
  <c r="IX101" i="1"/>
  <c r="IX112" i="1"/>
  <c r="IX113" i="1"/>
  <c r="IX122" i="1"/>
  <c r="IX119" i="1"/>
  <c r="IX129" i="1"/>
  <c r="IX137" i="1"/>
  <c r="IX136" i="1"/>
  <c r="IX92" i="1"/>
  <c r="IX102" i="1"/>
  <c r="IX103" i="1"/>
  <c r="IX114" i="1"/>
  <c r="IX115" i="1"/>
  <c r="IX124" i="1"/>
  <c r="IX123" i="1"/>
  <c r="IX131" i="1"/>
  <c r="IX139" i="1"/>
  <c r="IX138" i="1"/>
  <c r="KA140" i="1"/>
  <c r="KA130" i="1"/>
  <c r="KA138" i="1"/>
  <c r="KA126" i="1"/>
  <c r="KA131" i="1"/>
  <c r="KA123" i="1"/>
  <c r="KA115" i="1"/>
  <c r="KA109" i="1"/>
  <c r="KA108" i="1"/>
  <c r="KA103" i="1"/>
  <c r="KA96" i="1"/>
  <c r="KA92" i="1"/>
  <c r="KQ139" i="1"/>
  <c r="KQ133" i="1"/>
  <c r="KQ130" i="1"/>
  <c r="KQ136" i="1"/>
  <c r="KQ118" i="1"/>
  <c r="KQ129" i="1"/>
  <c r="KQ121" i="1"/>
  <c r="KQ115" i="1"/>
  <c r="KQ107" i="1"/>
  <c r="KQ106" i="1"/>
  <c r="KQ101" i="1"/>
  <c r="KQ98" i="1"/>
  <c r="KQ93" i="1"/>
  <c r="IS132" i="1"/>
  <c r="IS123" i="1"/>
  <c r="IS139" i="1"/>
  <c r="IS129" i="1"/>
  <c r="IS130" i="1"/>
  <c r="IS122" i="1"/>
  <c r="IS116" i="1"/>
  <c r="IS108" i="1"/>
  <c r="IS107" i="1"/>
  <c r="IS104" i="1"/>
  <c r="IS95" i="1"/>
  <c r="IS96" i="1"/>
  <c r="IS26" i="1"/>
  <c r="JY139" i="1"/>
  <c r="JY123" i="1"/>
  <c r="JY119" i="1"/>
  <c r="JY129" i="1"/>
  <c r="JY128" i="1"/>
  <c r="JY120" i="1"/>
  <c r="JY116" i="1"/>
  <c r="JY108" i="1"/>
  <c r="JY109" i="1"/>
  <c r="JY104" i="1"/>
  <c r="JY95" i="1"/>
  <c r="JY91" i="1"/>
  <c r="KB135" i="1"/>
  <c r="KB134" i="1"/>
  <c r="KB128" i="1"/>
  <c r="KB120" i="1"/>
  <c r="KB127" i="1"/>
  <c r="KB119" i="1"/>
  <c r="KB117" i="1"/>
  <c r="KB110" i="1"/>
  <c r="KB104" i="1"/>
  <c r="KB103" i="1"/>
  <c r="KB91" i="1"/>
  <c r="KR140" i="1"/>
  <c r="KR133" i="1"/>
  <c r="KR132" i="1"/>
  <c r="KR126" i="1"/>
  <c r="KR118" i="1"/>
  <c r="KR123" i="1"/>
  <c r="KR116" i="1"/>
  <c r="KR115" i="1"/>
  <c r="KR111" i="1"/>
  <c r="KR102" i="1"/>
  <c r="KR101" i="1"/>
  <c r="KR97" i="1"/>
  <c r="KR94" i="1"/>
  <c r="IW134" i="1"/>
  <c r="IW127" i="1"/>
  <c r="IW139" i="1"/>
  <c r="IW131" i="1"/>
  <c r="IW113" i="1"/>
  <c r="IW124" i="1"/>
  <c r="IW118" i="1"/>
  <c r="IW110" i="1"/>
  <c r="IW107" i="1"/>
  <c r="IW104" i="1"/>
  <c r="IW99" i="1"/>
  <c r="IW96" i="1"/>
  <c r="IW26" i="1"/>
  <c r="LI140" i="1"/>
  <c r="LI136" i="1"/>
  <c r="LI119" i="1"/>
  <c r="LI135" i="1"/>
  <c r="LI117" i="1"/>
  <c r="LI126" i="1"/>
  <c r="LI118" i="1"/>
  <c r="LI114" i="1"/>
  <c r="LI106" i="1"/>
  <c r="LI107" i="1"/>
  <c r="LI102" i="1"/>
  <c r="LI95" i="1"/>
  <c r="LI94" i="1"/>
  <c r="LJ138" i="1"/>
  <c r="LJ137" i="1"/>
  <c r="LJ129" i="1"/>
  <c r="LJ121" i="1"/>
  <c r="LJ126" i="1"/>
  <c r="LJ118" i="1"/>
  <c r="LJ113" i="1"/>
  <c r="LJ112" i="1"/>
  <c r="LJ108" i="1"/>
  <c r="LJ101" i="1"/>
  <c r="LJ100" i="1"/>
  <c r="LJ92" i="1"/>
  <c r="LJ26" i="1"/>
  <c r="IO140" i="1"/>
  <c r="IO129" i="1"/>
  <c r="IO125" i="1"/>
  <c r="IO135" i="1"/>
  <c r="IO113" i="1"/>
  <c r="IO128" i="1"/>
  <c r="IO120" i="1"/>
  <c r="IO114" i="1"/>
  <c r="IO103" i="1"/>
  <c r="IO101" i="1"/>
  <c r="IO100" i="1"/>
  <c r="IO95" i="1"/>
  <c r="IO94" i="1"/>
  <c r="IY140" i="1"/>
  <c r="IY122" i="1"/>
  <c r="IY138" i="1"/>
  <c r="IY128" i="1"/>
  <c r="IY131" i="1"/>
  <c r="IY123" i="1"/>
  <c r="IY117" i="1"/>
  <c r="IY109" i="1"/>
  <c r="IY110" i="1"/>
  <c r="IY105" i="1"/>
  <c r="IY97" i="1"/>
  <c r="IY95" i="1"/>
  <c r="IY26" i="1"/>
  <c r="KE139" i="1"/>
  <c r="KE135" i="1"/>
  <c r="KE126" i="1"/>
  <c r="KE136" i="1"/>
  <c r="KE120" i="1"/>
  <c r="KE127" i="1"/>
  <c r="KE119" i="1"/>
  <c r="KE113" i="1"/>
  <c r="KE104" i="1"/>
  <c r="KE100" i="1"/>
  <c r="KE101" i="1"/>
  <c r="KE96" i="1"/>
  <c r="KE93" i="1"/>
  <c r="LK140" i="1"/>
  <c r="LK122" i="1"/>
  <c r="LK118" i="1"/>
  <c r="LK132" i="1"/>
  <c r="LK131" i="1"/>
  <c r="LK123" i="1"/>
  <c r="LK117" i="1"/>
  <c r="LK104" i="1"/>
  <c r="LK102" i="1"/>
  <c r="LK99" i="1"/>
  <c r="LK93" i="1"/>
  <c r="KG139" i="1"/>
  <c r="KG119" i="1"/>
  <c r="KG135" i="1"/>
  <c r="KG128" i="1"/>
  <c r="KG118" i="1"/>
  <c r="KG110" i="1"/>
  <c r="KG109" i="1"/>
  <c r="KG102" i="1"/>
  <c r="KG96" i="1"/>
  <c r="IZ139" i="1"/>
  <c r="IZ136" i="1"/>
  <c r="IZ124" i="1"/>
  <c r="IZ127" i="1"/>
  <c r="IZ114" i="1"/>
  <c r="IZ109" i="1"/>
  <c r="IZ101" i="1"/>
  <c r="IZ92" i="1"/>
  <c r="KF136" i="1"/>
  <c r="KF122" i="1"/>
  <c r="KF119" i="1"/>
  <c r="KF110" i="1"/>
  <c r="KF105" i="1"/>
  <c r="KF91" i="1"/>
  <c r="LL138" i="1"/>
  <c r="LL122" i="1"/>
  <c r="LL119" i="1"/>
  <c r="LL113" i="1"/>
  <c r="LL100" i="1"/>
  <c r="LL96" i="1"/>
  <c r="KK132" i="1"/>
  <c r="KK135" i="1"/>
  <c r="KK130" i="1"/>
  <c r="KK114" i="1"/>
  <c r="KK107" i="1"/>
  <c r="KK95" i="1"/>
  <c r="JR132" i="1"/>
  <c r="JR123" i="1"/>
  <c r="JR120" i="1"/>
  <c r="JR112" i="1"/>
  <c r="JR101" i="1"/>
  <c r="JR94" i="1"/>
  <c r="IX134" i="1"/>
  <c r="IX127" i="1"/>
  <c r="IX120" i="1"/>
  <c r="IX110" i="1"/>
  <c r="IX98" i="1"/>
  <c r="JC126" i="1"/>
  <c r="JC121" i="1"/>
  <c r="JC105" i="1"/>
  <c r="KI118" i="1"/>
  <c r="KI121" i="1"/>
  <c r="KI103" i="1"/>
  <c r="LO132" i="1"/>
  <c r="LO113" i="1"/>
  <c r="LO94" i="1"/>
  <c r="KO137" i="1"/>
  <c r="KO114" i="1"/>
  <c r="KO97" i="1"/>
  <c r="JD137" i="1"/>
  <c r="JD127" i="1"/>
  <c r="JD106" i="1"/>
  <c r="JD26" i="1"/>
  <c r="KJ140" i="1"/>
  <c r="KJ118" i="1"/>
  <c r="KJ111" i="1"/>
  <c r="KJ94" i="1"/>
  <c r="LP139" i="1"/>
  <c r="LP110" i="1"/>
  <c r="LP109" i="1"/>
  <c r="LP92" i="1"/>
  <c r="KS123" i="1"/>
  <c r="KS108" i="1"/>
  <c r="KS93" i="1"/>
  <c r="LB126" i="1"/>
  <c r="LB104" i="1"/>
  <c r="KP128" i="1"/>
  <c r="KP100" i="1"/>
  <c r="KH136" i="1"/>
  <c r="KH105" i="1"/>
  <c r="JG117" i="1"/>
  <c r="KM128" i="1"/>
  <c r="KM103" i="1"/>
  <c r="IL115" i="1"/>
  <c r="JH124" i="1"/>
  <c r="KN107" i="1"/>
  <c r="IM135" i="1"/>
  <c r="LA91" i="1"/>
  <c r="IK139" i="1"/>
  <c r="LF114" i="1"/>
  <c r="KB10" i="1"/>
  <c r="KA139" i="1"/>
  <c r="KA133" i="1"/>
  <c r="KA122" i="1"/>
  <c r="KA136" i="1"/>
  <c r="KA118" i="1"/>
  <c r="KA129" i="1"/>
  <c r="KA121" i="1"/>
  <c r="KA113" i="1"/>
  <c r="KA107" i="1"/>
  <c r="KA106" i="1"/>
  <c r="KA101" i="1"/>
  <c r="KA98" i="1"/>
  <c r="KA93" i="1"/>
  <c r="KQ135" i="1"/>
  <c r="KQ128" i="1"/>
  <c r="KQ122" i="1"/>
  <c r="KQ134" i="1"/>
  <c r="KQ112" i="1"/>
  <c r="KQ127" i="1"/>
  <c r="KQ119" i="1"/>
  <c r="KQ113" i="1"/>
  <c r="KQ102" i="1"/>
  <c r="KQ100" i="1"/>
  <c r="KQ99" i="1"/>
  <c r="KQ94" i="1"/>
  <c r="IS134" i="1"/>
  <c r="IS125" i="1"/>
  <c r="IS137" i="1"/>
  <c r="IS121" i="1"/>
  <c r="IS128" i="1"/>
  <c r="IS120" i="1"/>
  <c r="IS114" i="1"/>
  <c r="IS105" i="1"/>
  <c r="IS101" i="1"/>
  <c r="IS102" i="1"/>
  <c r="IS99" i="1"/>
  <c r="JY140" i="1"/>
  <c r="JY134" i="1"/>
  <c r="JY125" i="1"/>
  <c r="JY137" i="1"/>
  <c r="JY121" i="1"/>
  <c r="JY126" i="1"/>
  <c r="JY118" i="1"/>
  <c r="JY114" i="1"/>
  <c r="JY106" i="1"/>
  <c r="JY107" i="1"/>
  <c r="JY102" i="1"/>
  <c r="JY97" i="1"/>
  <c r="JY94" i="1"/>
  <c r="KB140" i="1"/>
  <c r="KB133" i="1"/>
  <c r="KB132" i="1"/>
  <c r="KB126" i="1"/>
  <c r="KB118" i="1"/>
  <c r="KB125" i="1"/>
  <c r="KB116" i="1"/>
  <c r="KB115" i="1"/>
  <c r="KB111" i="1"/>
  <c r="KB102" i="1"/>
  <c r="KB101" i="1"/>
  <c r="KB97" i="1"/>
  <c r="KB94" i="1"/>
  <c r="KR139" i="1"/>
  <c r="KR138" i="1"/>
  <c r="KR131" i="1"/>
  <c r="KR124" i="1"/>
  <c r="KR129" i="1"/>
  <c r="KR121" i="1"/>
  <c r="KR114" i="1"/>
  <c r="KR113" i="1"/>
  <c r="KR109" i="1"/>
  <c r="KR100" i="1"/>
  <c r="KR99" i="1"/>
  <c r="KR95" i="1"/>
  <c r="IW136" i="1"/>
  <c r="IW119" i="1"/>
  <c r="IW137" i="1"/>
  <c r="IW123" i="1"/>
  <c r="IW130" i="1"/>
  <c r="IW122" i="1"/>
  <c r="IW116" i="1"/>
  <c r="IW108" i="1"/>
  <c r="IW103" i="1"/>
  <c r="IW102" i="1"/>
  <c r="IW97" i="1"/>
  <c r="LI132" i="1"/>
  <c r="LI138" i="1"/>
  <c r="LI129" i="1"/>
  <c r="LI133" i="1"/>
  <c r="LI113" i="1"/>
  <c r="LI124" i="1"/>
  <c r="LI115" i="1"/>
  <c r="LI112" i="1"/>
  <c r="LI99" i="1"/>
  <c r="LI103" i="1"/>
  <c r="LI100" i="1"/>
  <c r="LI96" i="1"/>
  <c r="LJ136" i="1"/>
  <c r="LJ135" i="1"/>
  <c r="LJ127" i="1"/>
  <c r="LJ119" i="1"/>
  <c r="LJ124" i="1"/>
  <c r="LJ111" i="1"/>
  <c r="LJ109" i="1"/>
  <c r="LJ107" i="1"/>
  <c r="LJ106" i="1"/>
  <c r="LJ99" i="1"/>
  <c r="LJ97" i="1"/>
  <c r="IO136" i="1"/>
  <c r="IO121" i="1"/>
  <c r="IO115" i="1"/>
  <c r="IO133" i="1"/>
  <c r="IO117" i="1"/>
  <c r="IO126" i="1"/>
  <c r="IO105" i="1"/>
  <c r="IO112" i="1"/>
  <c r="IO111" i="1"/>
  <c r="IO106" i="1"/>
  <c r="IO98" i="1"/>
  <c r="IO91" i="1"/>
  <c r="IY133" i="1"/>
  <c r="IY116" i="1"/>
  <c r="IY136" i="1"/>
  <c r="IY120" i="1"/>
  <c r="IY129" i="1"/>
  <c r="IY121" i="1"/>
  <c r="IY115" i="1"/>
  <c r="IY107" i="1"/>
  <c r="IY108" i="1"/>
  <c r="IY103" i="1"/>
  <c r="IY98" i="1"/>
  <c r="IY94" i="1"/>
  <c r="KE137" i="1"/>
  <c r="KE130" i="1"/>
  <c r="KE118" i="1"/>
  <c r="KE134" i="1"/>
  <c r="KE114" i="1"/>
  <c r="KE125" i="1"/>
  <c r="KE112" i="1"/>
  <c r="KE111" i="1"/>
  <c r="KE110" i="1"/>
  <c r="KE102" i="1"/>
  <c r="KE99" i="1"/>
  <c r="KE92" i="1"/>
  <c r="KE91" i="1"/>
  <c r="LK133" i="1"/>
  <c r="LK116" i="1"/>
  <c r="LK138" i="1"/>
  <c r="LK128" i="1"/>
  <c r="LK129" i="1"/>
  <c r="LK121" i="1"/>
  <c r="LK113" i="1"/>
  <c r="LK110" i="1"/>
  <c r="LK96" i="1"/>
  <c r="LK98" i="1"/>
  <c r="LK91" i="1"/>
  <c r="KG138" i="1"/>
  <c r="KG121" i="1"/>
  <c r="KG133" i="1"/>
  <c r="KG126" i="1"/>
  <c r="KG103" i="1"/>
  <c r="KG108" i="1"/>
  <c r="KG107" i="1"/>
  <c r="KG98" i="1"/>
  <c r="KG91" i="1"/>
  <c r="IZ137" i="1"/>
  <c r="IZ132" i="1"/>
  <c r="IZ122" i="1"/>
  <c r="IZ125" i="1"/>
  <c r="IZ98" i="1"/>
  <c r="IZ107" i="1"/>
  <c r="IZ95" i="1"/>
  <c r="IZ26" i="1"/>
  <c r="KF140" i="1"/>
  <c r="KF134" i="1"/>
  <c r="KF120" i="1"/>
  <c r="KF116" i="1"/>
  <c r="KF111" i="1"/>
  <c r="KF103" i="1"/>
  <c r="KF94" i="1"/>
  <c r="LL140" i="1"/>
  <c r="LL132" i="1"/>
  <c r="LL129" i="1"/>
  <c r="LL114" i="1"/>
  <c r="LL111" i="1"/>
  <c r="LL101" i="1"/>
  <c r="LL92" i="1"/>
  <c r="KK121" i="1"/>
  <c r="KK119" i="1"/>
  <c r="KK124" i="1"/>
  <c r="KK108" i="1"/>
  <c r="KK104" i="1"/>
  <c r="KK93" i="1"/>
  <c r="JR137" i="1"/>
  <c r="JR121" i="1"/>
  <c r="JR118" i="1"/>
  <c r="JR107" i="1"/>
  <c r="JR104" i="1"/>
  <c r="JR95" i="1"/>
  <c r="IX132" i="1"/>
  <c r="IX125" i="1"/>
  <c r="IX117" i="1"/>
  <c r="IX108" i="1"/>
  <c r="IX96" i="1"/>
  <c r="JC138" i="1"/>
  <c r="JC100" i="1"/>
  <c r="JC99" i="1"/>
  <c r="KI134" i="1"/>
  <c r="KI115" i="1"/>
  <c r="KI98" i="1"/>
  <c r="LO130" i="1"/>
  <c r="LO111" i="1"/>
  <c r="LO95" i="1"/>
  <c r="KO139" i="1"/>
  <c r="KO130" i="1"/>
  <c r="KO109" i="1"/>
  <c r="JD138" i="1"/>
  <c r="JD121" i="1"/>
  <c r="JD100" i="1"/>
  <c r="KJ135" i="1"/>
  <c r="KJ125" i="1"/>
  <c r="KJ104" i="1"/>
  <c r="LP137" i="1"/>
  <c r="LP129" i="1"/>
  <c r="LP107" i="1"/>
  <c r="LP26" i="1"/>
  <c r="KS140" i="1"/>
  <c r="KS117" i="1"/>
  <c r="KS106" i="1"/>
  <c r="KS94" i="1"/>
  <c r="LB140" i="1"/>
  <c r="LB118" i="1"/>
  <c r="LB98" i="1"/>
  <c r="KP138" i="1"/>
  <c r="KP109" i="1"/>
  <c r="KH133" i="1"/>
  <c r="KH104" i="1"/>
  <c r="JG135" i="1"/>
  <c r="JG110" i="1"/>
  <c r="KM112" i="1"/>
  <c r="IL114" i="1"/>
  <c r="KW135" i="1"/>
  <c r="JH104" i="1"/>
  <c r="IM116" i="1"/>
  <c r="LF91" i="1"/>
  <c r="LN136" i="1"/>
  <c r="IW10" i="1"/>
  <c r="IO10" i="1"/>
  <c r="IM10" i="1"/>
  <c r="LA93" i="1"/>
  <c r="LA97" i="1"/>
  <c r="LA104" i="1"/>
  <c r="LA109" i="1"/>
  <c r="LA108" i="1"/>
  <c r="LA116" i="1"/>
  <c r="LA122" i="1"/>
  <c r="LA130" i="1"/>
  <c r="LA127" i="1"/>
  <c r="LA115" i="1"/>
  <c r="LA129" i="1"/>
  <c r="LA139" i="1"/>
  <c r="LA26" i="1"/>
  <c r="LA96" i="1"/>
  <c r="LA98" i="1"/>
  <c r="LA101" i="1"/>
  <c r="LA111" i="1"/>
  <c r="LA110" i="1"/>
  <c r="LA105" i="1"/>
  <c r="LA10" i="1"/>
  <c r="LA94" i="1"/>
  <c r="LA95" i="1"/>
  <c r="LA102" i="1"/>
  <c r="LA107" i="1"/>
  <c r="LA106" i="1"/>
  <c r="LA114" i="1"/>
  <c r="LA120" i="1"/>
  <c r="LA128" i="1"/>
  <c r="LA119" i="1"/>
  <c r="LA137" i="1"/>
  <c r="LA121" i="1"/>
  <c r="LA132" i="1"/>
  <c r="IK92" i="1"/>
  <c r="IK93" i="1"/>
  <c r="IK98" i="1"/>
  <c r="IK106" i="1"/>
  <c r="IK111" i="1"/>
  <c r="IK112" i="1"/>
  <c r="IK118" i="1"/>
  <c r="IK124" i="1"/>
  <c r="IK132" i="1"/>
  <c r="IK135" i="1"/>
  <c r="IK131" i="1"/>
  <c r="IK119" i="1"/>
  <c r="IK134" i="1"/>
  <c r="IK94" i="1"/>
  <c r="IK95" i="1"/>
  <c r="IK100" i="1"/>
  <c r="IK105" i="1"/>
  <c r="IK101" i="1"/>
  <c r="IK103" i="1"/>
  <c r="IK117" i="1"/>
  <c r="IK126" i="1"/>
  <c r="IK115" i="1"/>
  <c r="IK137" i="1"/>
  <c r="IK113" i="1"/>
  <c r="IK127" i="1"/>
  <c r="IK140" i="1"/>
  <c r="IK10" i="1"/>
  <c r="IK26" i="1"/>
  <c r="IK96" i="1"/>
  <c r="IK99" i="1"/>
  <c r="IK104" i="1"/>
  <c r="IK109" i="1"/>
  <c r="IK110" i="1"/>
  <c r="IK116" i="1"/>
  <c r="IK122" i="1"/>
  <c r="IK130" i="1"/>
  <c r="IK133" i="1"/>
  <c r="IK123" i="1"/>
  <c r="IK129" i="1"/>
  <c r="IK136" i="1"/>
  <c r="LF92" i="1"/>
  <c r="LF100" i="1"/>
  <c r="LF99" i="1"/>
  <c r="LF106" i="1"/>
  <c r="LF111" i="1"/>
  <c r="LF107" i="1"/>
  <c r="LF109" i="1"/>
  <c r="LF124" i="1"/>
  <c r="LF119" i="1"/>
  <c r="LF127" i="1"/>
  <c r="LF137" i="1"/>
  <c r="LF138" i="1"/>
  <c r="LF26" i="1"/>
  <c r="LF95" i="1"/>
  <c r="LF102" i="1"/>
  <c r="LF101" i="1"/>
  <c r="LF108" i="1"/>
  <c r="LF112" i="1"/>
  <c r="LF113" i="1"/>
  <c r="LF118" i="1"/>
  <c r="LF126" i="1"/>
  <c r="LF121" i="1"/>
  <c r="LF129" i="1"/>
  <c r="LF132" i="1"/>
  <c r="LF140" i="1"/>
  <c r="LF10" i="1"/>
  <c r="LF93" i="1"/>
  <c r="LF98" i="1"/>
  <c r="LF97" i="1"/>
  <c r="LF105" i="1"/>
  <c r="LF96" i="1"/>
  <c r="LF116" i="1"/>
  <c r="LF117" i="1"/>
  <c r="LF122" i="1"/>
  <c r="LF130" i="1"/>
  <c r="LF125" i="1"/>
  <c r="LF135" i="1"/>
  <c r="LF136" i="1"/>
  <c r="LF139" i="1"/>
  <c r="LN91" i="1"/>
  <c r="LN96" i="1"/>
  <c r="LN100" i="1"/>
  <c r="LN101" i="1"/>
  <c r="LN108" i="1"/>
  <c r="LN112" i="1"/>
  <c r="LN113" i="1"/>
  <c r="LN120" i="1"/>
  <c r="LN128" i="1"/>
  <c r="LN123" i="1"/>
  <c r="LN131" i="1"/>
  <c r="LN132" i="1"/>
  <c r="LN140" i="1"/>
  <c r="LN93" i="1"/>
  <c r="LN98" i="1"/>
  <c r="LN102" i="1"/>
  <c r="LN103" i="1"/>
  <c r="LN110" i="1"/>
  <c r="LN114" i="1"/>
  <c r="LN115" i="1"/>
  <c r="LN122" i="1"/>
  <c r="LN130" i="1"/>
  <c r="LN125" i="1"/>
  <c r="LN133" i="1"/>
  <c r="LN134" i="1"/>
  <c r="LN139" i="1"/>
  <c r="LN10" i="1"/>
  <c r="LN26" i="1"/>
  <c r="LN95" i="1"/>
  <c r="LN97" i="1"/>
  <c r="LN99" i="1"/>
  <c r="LN106" i="1"/>
  <c r="LN107" i="1"/>
  <c r="LN111" i="1"/>
  <c r="LN118" i="1"/>
  <c r="LN126" i="1"/>
  <c r="LN121" i="1"/>
  <c r="LN129" i="1"/>
  <c r="LN137" i="1"/>
  <c r="LN138" i="1"/>
  <c r="IS10" i="1"/>
  <c r="KR10" i="1"/>
  <c r="LJ10" i="1"/>
  <c r="KQ10" i="1"/>
  <c r="LI10" i="1"/>
  <c r="GV26" i="1"/>
  <c r="IQ18" i="123"/>
  <c r="EI13" i="123"/>
  <c r="GX21" i="1"/>
  <c r="AI7" i="71" s="1"/>
  <c r="GW171" i="1"/>
  <c r="FA26" i="98"/>
  <c r="AD231" i="123"/>
  <c r="AE231" i="123"/>
  <c r="AF231" i="123"/>
  <c r="AH231" i="123"/>
  <c r="CT231" i="123"/>
  <c r="DC231" i="123"/>
  <c r="DO231" i="123" a="1"/>
  <c r="DO231" i="123" s="1"/>
  <c r="DS231" i="123"/>
  <c r="CV231" i="123" l="1"/>
  <c r="HJ6" i="123"/>
  <c r="IV6" i="123"/>
  <c r="FR6" i="123"/>
  <c r="HI6" i="123"/>
  <c r="HE18" i="123"/>
  <c r="IZ18" i="123"/>
  <c r="HO18" i="123"/>
  <c r="GY8" i="123"/>
  <c r="IX6" i="123"/>
  <c r="EZ8" i="123"/>
  <c r="GG18" i="123"/>
  <c r="IR18" i="123"/>
  <c r="GJ18" i="123"/>
  <c r="GK6" i="123"/>
  <c r="IF18" i="123"/>
  <c r="GC6" i="123"/>
  <c r="HN6" i="123"/>
  <c r="HR6" i="123"/>
  <c r="HV18" i="123"/>
  <c r="HH6" i="123"/>
  <c r="IB6" i="123"/>
  <c r="HS18" i="123"/>
  <c r="FQ8" i="123"/>
  <c r="FR18" i="123"/>
  <c r="GN18" i="123"/>
  <c r="HQ8" i="123"/>
  <c r="HJ18" i="123"/>
  <c r="GE8" i="123"/>
  <c r="FU8" i="123"/>
  <c r="FT6" i="123"/>
  <c r="FJ8" i="123"/>
  <c r="HG6" i="123"/>
  <c r="GT8" i="123"/>
  <c r="GB6" i="123"/>
  <c r="IN8" i="123"/>
  <c r="IC18" i="123"/>
  <c r="GS6" i="123"/>
  <c r="HK6" i="123"/>
  <c r="GV6" i="123"/>
  <c r="FY8" i="123"/>
  <c r="JC8" i="123"/>
  <c r="IG18" i="123"/>
  <c r="FV18" i="123"/>
  <c r="HP6" i="123"/>
  <c r="IE6" i="123"/>
  <c r="GU8" i="123"/>
  <c r="GP18" i="123"/>
  <c r="FH6" i="123"/>
  <c r="HT18" i="123"/>
  <c r="JA6" i="123"/>
  <c r="FE6" i="123"/>
  <c r="FW18" i="123"/>
  <c r="GB18" i="123"/>
  <c r="IN18" i="123"/>
  <c r="HO8" i="123"/>
  <c r="GS18" i="123"/>
  <c r="ID6" i="123"/>
  <c r="GV18" i="123"/>
  <c r="HE6" i="123"/>
  <c r="JC18" i="123"/>
  <c r="HS8" i="123"/>
  <c r="HB8" i="123"/>
  <c r="FD6" i="123"/>
  <c r="IS8" i="123"/>
  <c r="GU18" i="123"/>
  <c r="HV8" i="123"/>
  <c r="GN6" i="123"/>
  <c r="IZ8" i="123"/>
  <c r="JA18" i="123"/>
  <c r="IQ8" i="123"/>
  <c r="FN8" i="123"/>
  <c r="IP6" i="123"/>
  <c r="HH18" i="123"/>
  <c r="IC6" i="123"/>
  <c r="IU6" i="123"/>
  <c r="GE18" i="123"/>
  <c r="GH8" i="123"/>
  <c r="GF8" i="123"/>
  <c r="FK8" i="123"/>
  <c r="IG6" i="123"/>
  <c r="FV6" i="123"/>
  <c r="IH6" i="123"/>
  <c r="FA6" i="123"/>
  <c r="GY18" i="123"/>
  <c r="FO8" i="123"/>
  <c r="GP6" i="123"/>
  <c r="JB6" i="123"/>
  <c r="HT8" i="123"/>
  <c r="GO8" i="123"/>
  <c r="HG18" i="123"/>
  <c r="FW6" i="123"/>
  <c r="GT6" i="123"/>
  <c r="IP18" i="123"/>
  <c r="GR18" i="123"/>
  <c r="HX8" i="123"/>
  <c r="FQ6" i="123"/>
  <c r="IU18" i="123"/>
  <c r="EY6" i="123"/>
  <c r="HK8" i="123"/>
  <c r="GH18" i="123"/>
  <c r="ID18" i="123"/>
  <c r="GF18" i="123"/>
  <c r="IB8" i="123"/>
  <c r="FY6" i="123"/>
  <c r="HW8" i="123"/>
  <c r="FU6" i="123"/>
  <c r="HB18" i="123"/>
  <c r="IH18" i="123"/>
  <c r="FT8" i="123"/>
  <c r="HP8" i="123"/>
  <c r="IV8" i="123"/>
  <c r="IS18" i="123"/>
  <c r="IE8" i="123"/>
  <c r="HI8" i="123"/>
  <c r="JB18" i="123"/>
  <c r="GO18" i="123"/>
  <c r="GA8" i="123"/>
  <c r="IM6" i="123"/>
  <c r="HQ6" i="123"/>
  <c r="FC6" i="123"/>
  <c r="GM8" i="123"/>
  <c r="IA6" i="123"/>
  <c r="FZ18" i="123"/>
  <c r="HF6" i="123"/>
  <c r="HD18" i="123"/>
  <c r="IJ8" i="123"/>
  <c r="HC8" i="123"/>
  <c r="FL8" i="123"/>
  <c r="GR6" i="123"/>
  <c r="GW18" i="123"/>
  <c r="HY18" i="123"/>
  <c r="FB8" i="123"/>
  <c r="GX18" i="123"/>
  <c r="IT18" i="123"/>
  <c r="IR6" i="123"/>
  <c r="IK18" i="123"/>
  <c r="GQ8" i="123"/>
  <c r="GM6" i="123"/>
  <c r="GL18" i="123"/>
  <c r="HR8" i="123"/>
  <c r="GJ6" i="123"/>
  <c r="IF6" i="123"/>
  <c r="GG8" i="123"/>
  <c r="FS6" i="123"/>
  <c r="GC8" i="123"/>
  <c r="FZ8" i="123"/>
  <c r="IL18" i="123"/>
  <c r="FX18" i="123"/>
  <c r="HD6" i="123"/>
  <c r="HU18" i="123"/>
  <c r="GA6" i="123"/>
  <c r="IW18" i="123"/>
  <c r="HC6" i="123"/>
  <c r="GD6" i="123"/>
  <c r="HZ6" i="123"/>
  <c r="GI8" i="123"/>
  <c r="FM8" i="123"/>
  <c r="HL6" i="123"/>
  <c r="II6" i="123"/>
  <c r="IA18" i="123"/>
  <c r="GZ8" i="123"/>
  <c r="GK8" i="123"/>
  <c r="IY8" i="123"/>
  <c r="HX6" i="123"/>
  <c r="HY6" i="123"/>
  <c r="HN18" i="123"/>
  <c r="IT8" i="123"/>
  <c r="FP6" i="123"/>
  <c r="IK6" i="123"/>
  <c r="HW6" i="123"/>
  <c r="HA6" i="123"/>
  <c r="IX18" i="123"/>
  <c r="HM8" i="123"/>
  <c r="IO6" i="123"/>
  <c r="HF18" i="123"/>
  <c r="IL8" i="123"/>
  <c r="FX6" i="123"/>
  <c r="IJ6" i="123"/>
  <c r="IM18" i="123"/>
  <c r="EX6" i="123"/>
  <c r="GD18" i="123"/>
  <c r="HZ18" i="123"/>
  <c r="GW6" i="123"/>
  <c r="GI18" i="123"/>
  <c r="GX8" i="123"/>
  <c r="FP8" i="123"/>
  <c r="HL18" i="123"/>
  <c r="II18" i="123"/>
  <c r="GQ6" i="123"/>
  <c r="HA8" i="123"/>
  <c r="FG8" i="123"/>
  <c r="FF6" i="123"/>
  <c r="GL8" i="123"/>
  <c r="GZ18" i="123"/>
  <c r="HM18" i="123"/>
  <c r="FS8" i="123"/>
  <c r="EW8" i="123"/>
  <c r="IO18" i="123"/>
  <c r="FI6" i="123"/>
  <c r="HU8" i="123"/>
  <c r="IW6" i="123"/>
  <c r="IY18" i="123"/>
  <c r="EI127" i="123"/>
  <c r="EI18" i="123" s="1"/>
  <c r="AG4" i="71"/>
  <c r="GW26" i="1"/>
  <c r="AI231" i="123"/>
  <c r="CJ231" i="123"/>
  <c r="CN231" i="123"/>
  <c r="CH231" i="123"/>
  <c r="CM231" i="123"/>
  <c r="CI231" i="123"/>
  <c r="CO231" i="123"/>
  <c r="CQ231" i="123"/>
  <c r="CK231" i="123"/>
  <c r="CL231" i="123"/>
  <c r="CP231" i="123"/>
  <c r="EJ13" i="123"/>
  <c r="DD231" i="123"/>
  <c r="DA231" i="123"/>
  <c r="GY21" i="1"/>
  <c r="AJ7" i="71" s="1"/>
  <c r="GX171" i="1"/>
  <c r="CW231" i="123"/>
  <c r="CZ231" i="123"/>
  <c r="BW231" i="123"/>
  <c r="AR231" i="123"/>
  <c r="BO231" i="123"/>
  <c r="BK231" i="123"/>
  <c r="BG231" i="123"/>
  <c r="BS231" i="123"/>
  <c r="BC231" i="123"/>
  <c r="BV231" i="123"/>
  <c r="BR231" i="123"/>
  <c r="BN231" i="123"/>
  <c r="BJ231" i="123"/>
  <c r="BF231" i="123"/>
  <c r="AP231" i="123"/>
  <c r="AK231" i="123"/>
  <c r="BU231" i="123"/>
  <c r="BQ231" i="123"/>
  <c r="BM231" i="123"/>
  <c r="BI231" i="123"/>
  <c r="BE231" i="123"/>
  <c r="DB231" i="123"/>
  <c r="BT231" i="123"/>
  <c r="BP231" i="123"/>
  <c r="BL231" i="123"/>
  <c r="BH231" i="123"/>
  <c r="BD231" i="123"/>
  <c r="AM231" i="123"/>
  <c r="EJ127" i="123" l="1"/>
  <c r="EJ18" i="123" s="1"/>
  <c r="AH4" i="71"/>
  <c r="GX26" i="1"/>
  <c r="EK13" i="123"/>
  <c r="GZ21" i="1"/>
  <c r="AK7" i="71" s="1"/>
  <c r="GY171" i="1"/>
  <c r="IX60" i="93"/>
  <c r="EK127" i="123" l="1"/>
  <c r="EK18" i="123" s="1"/>
  <c r="AI4" i="71"/>
  <c r="GY26" i="1"/>
  <c r="EL13" i="123"/>
  <c r="HA21" i="1"/>
  <c r="AL7" i="71" s="1"/>
  <c r="GZ171" i="1"/>
  <c r="EM13" i="123" l="1"/>
  <c r="AK4" i="71" s="1"/>
  <c r="AJ4" i="71"/>
  <c r="GZ26" i="1"/>
  <c r="EL127" i="123"/>
  <c r="AA231" i="123"/>
  <c r="T231" i="123"/>
  <c r="U231" i="123"/>
  <c r="HB21" i="1"/>
  <c r="AM7" i="71" s="1"/>
  <c r="HA171" i="1"/>
  <c r="EM127" i="123" l="1"/>
  <c r="EM18" i="123" s="1"/>
  <c r="EN13" i="123"/>
  <c r="AL4" i="71" s="1"/>
  <c r="HA26" i="1"/>
  <c r="EL18" i="123"/>
  <c r="V231" i="123"/>
  <c r="EA231" i="123"/>
  <c r="R231" i="123"/>
  <c r="HC21" i="1"/>
  <c r="AN7" i="71" s="1"/>
  <c r="HB171" i="1"/>
  <c r="EO13" i="123" l="1"/>
  <c r="AM4" i="71" s="1"/>
  <c r="EN127" i="123"/>
  <c r="EN18" i="123" s="1"/>
  <c r="HB26" i="1"/>
  <c r="HD21" i="1"/>
  <c r="AO7" i="71" s="1"/>
  <c r="HC171" i="1"/>
  <c r="CN171" i="1"/>
  <c r="CU127" i="123"/>
  <c r="CU221" i="123" s="1"/>
  <c r="CN219" i="1" l="1"/>
  <c r="CN209" i="1"/>
  <c r="CU218" i="123"/>
  <c r="CU219" i="123"/>
  <c r="CU222" i="123"/>
  <c r="CU220" i="123"/>
  <c r="CU214" i="123"/>
  <c r="CU217" i="123"/>
  <c r="CU223" i="123"/>
  <c r="EO127" i="123"/>
  <c r="EO18" i="123" s="1"/>
  <c r="EP13" i="123"/>
  <c r="AN4" i="71" s="1"/>
  <c r="CN214" i="1"/>
  <c r="CN217" i="1"/>
  <c r="CN210" i="1"/>
  <c r="CN212" i="1"/>
  <c r="CN215" i="1"/>
  <c r="CN216" i="1"/>
  <c r="CN218" i="1"/>
  <c r="HC26" i="1"/>
  <c r="CU212" i="123"/>
  <c r="CU215" i="123"/>
  <c r="CN211" i="1"/>
  <c r="CN213" i="1"/>
  <c r="CN206" i="1"/>
  <c r="CN205" i="1"/>
  <c r="CN208" i="1"/>
  <c r="CN207" i="1"/>
  <c r="CU216" i="123"/>
  <c r="CU224" i="123"/>
  <c r="CU210" i="123"/>
  <c r="CU211" i="123"/>
  <c r="HE21" i="1"/>
  <c r="AP7" i="71" s="1"/>
  <c r="HD171" i="1"/>
  <c r="CN177" i="1"/>
  <c r="CU132" i="123"/>
  <c r="CU231" i="123"/>
  <c r="CN327" i="1"/>
  <c r="CN242" i="1"/>
  <c r="CU303" i="123"/>
  <c r="CU261" i="123"/>
  <c r="CU205" i="123"/>
  <c r="CU162" i="123"/>
  <c r="CN358" i="1"/>
  <c r="CN274" i="1"/>
  <c r="CU299" i="123"/>
  <c r="CU278" i="123"/>
  <c r="CU257" i="123"/>
  <c r="CU235" i="123"/>
  <c r="CU201" i="123"/>
  <c r="CU180" i="123"/>
  <c r="CU158" i="123"/>
  <c r="CU137" i="123"/>
  <c r="CN347" i="1"/>
  <c r="CN306" i="1"/>
  <c r="CN263" i="1"/>
  <c r="CN220" i="1"/>
  <c r="CU289" i="123"/>
  <c r="CU267" i="123"/>
  <c r="CU246" i="123"/>
  <c r="CU190" i="123"/>
  <c r="CU169" i="123"/>
  <c r="CU148" i="123"/>
  <c r="CN284" i="1"/>
  <c r="CN184" i="1"/>
  <c r="CU282" i="123"/>
  <c r="CU239" i="123"/>
  <c r="CU184" i="123"/>
  <c r="CU141" i="123"/>
  <c r="CN316" i="1"/>
  <c r="CN231" i="1"/>
  <c r="CU293" i="123"/>
  <c r="CU271" i="123"/>
  <c r="CU250" i="123"/>
  <c r="CU228" i="123"/>
  <c r="CU194" i="123"/>
  <c r="CU173" i="123"/>
  <c r="CU152" i="123"/>
  <c r="CU130" i="123"/>
  <c r="CN337" i="1"/>
  <c r="CN295" i="1"/>
  <c r="CN252" i="1"/>
  <c r="CN195" i="1"/>
  <c r="CN357" i="1"/>
  <c r="CN346" i="1"/>
  <c r="CN335" i="1"/>
  <c r="CN326" i="1"/>
  <c r="CN315" i="1"/>
  <c r="CN304" i="1"/>
  <c r="CN294" i="1"/>
  <c r="CN283" i="1"/>
  <c r="CN272" i="1"/>
  <c r="CN262" i="1"/>
  <c r="CN251" i="1"/>
  <c r="CN240" i="1"/>
  <c r="CN230" i="1"/>
  <c r="CN204" i="1"/>
  <c r="CN193" i="1"/>
  <c r="CN183" i="1"/>
  <c r="CU298" i="123"/>
  <c r="CU287" i="123"/>
  <c r="CU277" i="123"/>
  <c r="CU266" i="123"/>
  <c r="CU255" i="123"/>
  <c r="CU245" i="123"/>
  <c r="CU234" i="123"/>
  <c r="CU200" i="123"/>
  <c r="CU189" i="123"/>
  <c r="CU178" i="123"/>
  <c r="CU168" i="123"/>
  <c r="CU157" i="123"/>
  <c r="CU146" i="123"/>
  <c r="CU136" i="123"/>
  <c r="CN363" i="1"/>
  <c r="CN353" i="1"/>
  <c r="CN342" i="1"/>
  <c r="CN332" i="1"/>
  <c r="CN322" i="1"/>
  <c r="CN311" i="1"/>
  <c r="CN300" i="1"/>
  <c r="CN290" i="1"/>
  <c r="CN279" i="1"/>
  <c r="CN268" i="1"/>
  <c r="CN258" i="1"/>
  <c r="CN247" i="1"/>
  <c r="CN236" i="1"/>
  <c r="CN226" i="1"/>
  <c r="CN200" i="1"/>
  <c r="CN189" i="1"/>
  <c r="CN179" i="1"/>
  <c r="CU304" i="123"/>
  <c r="CU294" i="123"/>
  <c r="CU283" i="123"/>
  <c r="CU273" i="123"/>
  <c r="CU262" i="123"/>
  <c r="CU251" i="123"/>
  <c r="CU241" i="123"/>
  <c r="CU229" i="123"/>
  <c r="CU206" i="123"/>
  <c r="CU196" i="123"/>
  <c r="CU185" i="123"/>
  <c r="CU174" i="123"/>
  <c r="CU164" i="123"/>
  <c r="CU153" i="123"/>
  <c r="CU142" i="123"/>
  <c r="CN362" i="1"/>
  <c r="CN351" i="1"/>
  <c r="CN341" i="1"/>
  <c r="CN331" i="1"/>
  <c r="CN320" i="1"/>
  <c r="CN310" i="1"/>
  <c r="CN299" i="1"/>
  <c r="CN288" i="1"/>
  <c r="CN278" i="1"/>
  <c r="CN267" i="1"/>
  <c r="CN256" i="1"/>
  <c r="CN246" i="1"/>
  <c r="CN235" i="1"/>
  <c r="CN224" i="1"/>
  <c r="CN199" i="1"/>
  <c r="CN188" i="1"/>
  <c r="CU131" i="123"/>
  <c r="CU135" i="123"/>
  <c r="CU139" i="123"/>
  <c r="CU143" i="123"/>
  <c r="CU147" i="123"/>
  <c r="CU151" i="123"/>
  <c r="CU155" i="123"/>
  <c r="CU159" i="123"/>
  <c r="CU163" i="123"/>
  <c r="CU167" i="123"/>
  <c r="CU171" i="123"/>
  <c r="CU175" i="123"/>
  <c r="CU179" i="123"/>
  <c r="CU183" i="123"/>
  <c r="CU187" i="123"/>
  <c r="CU191" i="123"/>
  <c r="CU195" i="123"/>
  <c r="CU199" i="123"/>
  <c r="CU203" i="123"/>
  <c r="CU207" i="123"/>
  <c r="CU227" i="123"/>
  <c r="CU232" i="123"/>
  <c r="CU236" i="123"/>
  <c r="CU240" i="123"/>
  <c r="CU244" i="123"/>
  <c r="CU248" i="123"/>
  <c r="CU252" i="123"/>
  <c r="CU256" i="123"/>
  <c r="CU260" i="123"/>
  <c r="CU264" i="123"/>
  <c r="CU268" i="123"/>
  <c r="CU272" i="123"/>
  <c r="CU276" i="123"/>
  <c r="CU280" i="123"/>
  <c r="CU284" i="123"/>
  <c r="CU288" i="123"/>
  <c r="CU292" i="123"/>
  <c r="CU296" i="123"/>
  <c r="CU300" i="123"/>
  <c r="CU302" i="123"/>
  <c r="CU297" i="123"/>
  <c r="CU291" i="123"/>
  <c r="CU286" i="123"/>
  <c r="CU281" i="123"/>
  <c r="CU275" i="123"/>
  <c r="CU270" i="123"/>
  <c r="CU265" i="123"/>
  <c r="CU259" i="123"/>
  <c r="CU254" i="123"/>
  <c r="CU249" i="123"/>
  <c r="CU243" i="123"/>
  <c r="CU238" i="123"/>
  <c r="CU233" i="123"/>
  <c r="CU226" i="123"/>
  <c r="CU209" i="123"/>
  <c r="CU204" i="123"/>
  <c r="CU198" i="123"/>
  <c r="CU193" i="123"/>
  <c r="CU188" i="123"/>
  <c r="CU182" i="123"/>
  <c r="CU177" i="123"/>
  <c r="CU172" i="123"/>
  <c r="CU166" i="123"/>
  <c r="CU161" i="123"/>
  <c r="CU156" i="123"/>
  <c r="CU150" i="123"/>
  <c r="CU145" i="123"/>
  <c r="CU140" i="123"/>
  <c r="CU134" i="123"/>
  <c r="CN174" i="1"/>
  <c r="CN178" i="1"/>
  <c r="CN182" i="1"/>
  <c r="CN186" i="1"/>
  <c r="CN190" i="1"/>
  <c r="CN194" i="1"/>
  <c r="CN198" i="1"/>
  <c r="CN202" i="1"/>
  <c r="CN221" i="1"/>
  <c r="CN225" i="1"/>
  <c r="CN229" i="1"/>
  <c r="CN233" i="1"/>
  <c r="CN237" i="1"/>
  <c r="CN241" i="1"/>
  <c r="CN245" i="1"/>
  <c r="CN249" i="1"/>
  <c r="CN253" i="1"/>
  <c r="CN257" i="1"/>
  <c r="CN261" i="1"/>
  <c r="CN265" i="1"/>
  <c r="CN269" i="1"/>
  <c r="CN273" i="1"/>
  <c r="CN277" i="1"/>
  <c r="CN281" i="1"/>
  <c r="CN285" i="1"/>
  <c r="CN289" i="1"/>
  <c r="CN293" i="1"/>
  <c r="CN297" i="1"/>
  <c r="CN301" i="1"/>
  <c r="CN305" i="1"/>
  <c r="CN309" i="1"/>
  <c r="CN313" i="1"/>
  <c r="CN317" i="1"/>
  <c r="CN321" i="1"/>
  <c r="CN325" i="1"/>
  <c r="CN329" i="1"/>
  <c r="CN333" i="1"/>
  <c r="CN336" i="1"/>
  <c r="CN340" i="1"/>
  <c r="CN344" i="1"/>
  <c r="CN348" i="1"/>
  <c r="CN352" i="1"/>
  <c r="CN356" i="1"/>
  <c r="CN360" i="1"/>
  <c r="CN364" i="1"/>
  <c r="CN361" i="1"/>
  <c r="CN355" i="1"/>
  <c r="CN350" i="1"/>
  <c r="CN345" i="1"/>
  <c r="CN339" i="1"/>
  <c r="CN334" i="1"/>
  <c r="CN330" i="1"/>
  <c r="CN324" i="1"/>
  <c r="CN319" i="1"/>
  <c r="CN314" i="1"/>
  <c r="CN308" i="1"/>
  <c r="CN303" i="1"/>
  <c r="CN298" i="1"/>
  <c r="CN292" i="1"/>
  <c r="CN287" i="1"/>
  <c r="CN282" i="1"/>
  <c r="CN276" i="1"/>
  <c r="CN271" i="1"/>
  <c r="CN266" i="1"/>
  <c r="CN260" i="1"/>
  <c r="CN255" i="1"/>
  <c r="CN250" i="1"/>
  <c r="CN244" i="1"/>
  <c r="CN239" i="1"/>
  <c r="CN234" i="1"/>
  <c r="CN228" i="1"/>
  <c r="CN223" i="1"/>
  <c r="CN203" i="1"/>
  <c r="CN197" i="1"/>
  <c r="CN192" i="1"/>
  <c r="CN187" i="1"/>
  <c r="CN181" i="1"/>
  <c r="CN176" i="1"/>
  <c r="CU129" i="123"/>
  <c r="CU301" i="123"/>
  <c r="CU295" i="123"/>
  <c r="CU290" i="123"/>
  <c r="CU285" i="123"/>
  <c r="CU279" i="123"/>
  <c r="CU274" i="123"/>
  <c r="CU269" i="123"/>
  <c r="CU263" i="123"/>
  <c r="CU258" i="123"/>
  <c r="CU253" i="123"/>
  <c r="CU247" i="123"/>
  <c r="CU242" i="123"/>
  <c r="CU237" i="123"/>
  <c r="CU230" i="123"/>
  <c r="CU225" i="123"/>
  <c r="CU208" i="123"/>
  <c r="CU202" i="123"/>
  <c r="CU197" i="123"/>
  <c r="CU192" i="123"/>
  <c r="CU186" i="123"/>
  <c r="CU181" i="123"/>
  <c r="CU176" i="123"/>
  <c r="CU170" i="123"/>
  <c r="CU165" i="123"/>
  <c r="CU160" i="123"/>
  <c r="CU154" i="123"/>
  <c r="CU149" i="123"/>
  <c r="CU144" i="123"/>
  <c r="CU138" i="123"/>
  <c r="CU133" i="123"/>
  <c r="CN173" i="1"/>
  <c r="CN359" i="1"/>
  <c r="CN354" i="1"/>
  <c r="CN349" i="1"/>
  <c r="CN343" i="1"/>
  <c r="CN338" i="1"/>
  <c r="CN328" i="1"/>
  <c r="CN323" i="1"/>
  <c r="CN318" i="1"/>
  <c r="CN312" i="1"/>
  <c r="CN307" i="1"/>
  <c r="CN302" i="1"/>
  <c r="CN296" i="1"/>
  <c r="CN291" i="1"/>
  <c r="CN286" i="1"/>
  <c r="CN280" i="1"/>
  <c r="CN275" i="1"/>
  <c r="CN270" i="1"/>
  <c r="CN264" i="1"/>
  <c r="CN259" i="1"/>
  <c r="CN254" i="1"/>
  <c r="CN248" i="1"/>
  <c r="CN243" i="1"/>
  <c r="CN238" i="1"/>
  <c r="CN232" i="1"/>
  <c r="CN227" i="1"/>
  <c r="CN222" i="1"/>
  <c r="CN201" i="1"/>
  <c r="CN196" i="1"/>
  <c r="CN191" i="1"/>
  <c r="CN185" i="1"/>
  <c r="CN180" i="1"/>
  <c r="CN175" i="1"/>
  <c r="EP127" i="123" l="1"/>
  <c r="EP18" i="123" s="1"/>
  <c r="EQ13" i="123"/>
  <c r="AO4" i="71" s="1"/>
  <c r="HD26" i="1"/>
  <c r="HF21" i="1"/>
  <c r="AQ7" i="71" s="1"/>
  <c r="HE171" i="1"/>
  <c r="J175" i="71"/>
  <c r="EQ127" i="123" l="1"/>
  <c r="EQ18" i="123" s="1"/>
  <c r="ER13" i="123"/>
  <c r="AP4" i="71" s="1"/>
  <c r="HE26" i="1"/>
  <c r="HG21" i="1"/>
  <c r="AR7" i="71" s="1"/>
  <c r="HF171" i="1"/>
  <c r="FD20" i="98"/>
  <c r="ES13" i="123" l="1"/>
  <c r="AQ4" i="71" s="1"/>
  <c r="ER127" i="123"/>
  <c r="ER18" i="123" s="1"/>
  <c r="HF26" i="1"/>
  <c r="HH21" i="1"/>
  <c r="AS7" i="71" s="1"/>
  <c r="HG171" i="1"/>
  <c r="LQ50" i="93"/>
  <c r="ET13" i="123" l="1"/>
  <c r="AR4" i="71" s="1"/>
  <c r="ES127" i="123"/>
  <c r="ES18" i="123" s="1"/>
  <c r="HG26" i="1"/>
  <c r="HI21" i="1"/>
  <c r="AT7" i="71" s="1"/>
  <c r="HH171" i="1"/>
  <c r="JP6" i="93"/>
  <c r="IY10" i="93"/>
  <c r="EU13" i="123" l="1"/>
  <c r="AS4" i="71" s="1"/>
  <c r="ET127" i="123"/>
  <c r="ET18" i="123" s="1"/>
  <c r="HH26" i="1"/>
  <c r="HJ21" i="1"/>
  <c r="AU7" i="71" s="1"/>
  <c r="HI171" i="1"/>
  <c r="EV13" i="123" l="1"/>
  <c r="EV127" i="123" s="1"/>
  <c r="EV18" i="123" s="1"/>
  <c r="EU127" i="123"/>
  <c r="EU18" i="123" s="1"/>
  <c r="HI26" i="1"/>
  <c r="HK21" i="1"/>
  <c r="AV7" i="71" s="1"/>
  <c r="HJ171" i="1"/>
  <c r="JW66" i="93"/>
  <c r="JW67" i="93"/>
  <c r="JW68" i="93"/>
  <c r="JW69" i="93"/>
  <c r="JW70" i="93"/>
  <c r="JW71" i="93"/>
  <c r="JW72" i="93"/>
  <c r="JW73" i="93"/>
  <c r="JW74" i="93"/>
  <c r="JW75" i="93"/>
  <c r="JW76" i="93"/>
  <c r="JW77" i="93"/>
  <c r="JW78" i="93"/>
  <c r="JW79" i="93"/>
  <c r="JW80" i="93"/>
  <c r="JW81" i="93"/>
  <c r="JW82" i="93"/>
  <c r="JW83" i="93"/>
  <c r="JW84" i="93"/>
  <c r="JW85" i="93"/>
  <c r="JW86" i="93"/>
  <c r="JW87" i="93"/>
  <c r="JW88" i="93"/>
  <c r="JW89" i="93"/>
  <c r="JW90" i="93"/>
  <c r="JW91" i="93"/>
  <c r="JW92" i="93"/>
  <c r="JW93" i="93"/>
  <c r="JW94" i="93"/>
  <c r="JW95" i="93"/>
  <c r="JW96" i="93"/>
  <c r="JW97" i="93"/>
  <c r="JW98" i="93"/>
  <c r="JW99" i="93"/>
  <c r="JW100" i="93"/>
  <c r="JW101" i="93"/>
  <c r="JW102" i="93"/>
  <c r="JW103" i="93"/>
  <c r="JW104" i="93"/>
  <c r="JW105" i="93"/>
  <c r="JW106" i="93"/>
  <c r="JW107" i="93"/>
  <c r="JW108" i="93"/>
  <c r="JW109" i="93"/>
  <c r="JW110" i="93"/>
  <c r="JW111" i="93"/>
  <c r="JW112" i="93"/>
  <c r="JW113" i="93"/>
  <c r="JW64" i="93"/>
  <c r="AT4" i="71" l="1"/>
  <c r="HJ26" i="1"/>
  <c r="HL21" i="1"/>
  <c r="AW7" i="71" s="1"/>
  <c r="HK171" i="1"/>
  <c r="EW18" i="123"/>
  <c r="BY63" i="98"/>
  <c r="BY64" i="98"/>
  <c r="BY65" i="98"/>
  <c r="BY66" i="98"/>
  <c r="BY67" i="98"/>
  <c r="BY68" i="98"/>
  <c r="BY69" i="98"/>
  <c r="BY70" i="98"/>
  <c r="BY71" i="98"/>
  <c r="BY72" i="98"/>
  <c r="BY73" i="98"/>
  <c r="BY74" i="98"/>
  <c r="BY75" i="98"/>
  <c r="BY76" i="98"/>
  <c r="BY77" i="98"/>
  <c r="BY78" i="98"/>
  <c r="BY79" i="98"/>
  <c r="BY80" i="98"/>
  <c r="BY81" i="98"/>
  <c r="BY82" i="98"/>
  <c r="BY83" i="98"/>
  <c r="BY84" i="98"/>
  <c r="BY85" i="98"/>
  <c r="BY86" i="98"/>
  <c r="BY87" i="98"/>
  <c r="BY88" i="98"/>
  <c r="BY89" i="98"/>
  <c r="BY90" i="98"/>
  <c r="BY91" i="98"/>
  <c r="BY92" i="98"/>
  <c r="BY93" i="98"/>
  <c r="BY94" i="98"/>
  <c r="AY35" i="98"/>
  <c r="AY36" i="98"/>
  <c r="AY37" i="98"/>
  <c r="AY38" i="98"/>
  <c r="AY39" i="98"/>
  <c r="AY40" i="98"/>
  <c r="AY41" i="98"/>
  <c r="AY42" i="98"/>
  <c r="AY43" i="98"/>
  <c r="AY44" i="98"/>
  <c r="AY45" i="98"/>
  <c r="AY46" i="98"/>
  <c r="AY47" i="98"/>
  <c r="AY48" i="98"/>
  <c r="AY49" i="98"/>
  <c r="AY50" i="98"/>
  <c r="AY51" i="98"/>
  <c r="AY52" i="98"/>
  <c r="AY53" i="98"/>
  <c r="AY54" i="98"/>
  <c r="AY55" i="98"/>
  <c r="AY56" i="98"/>
  <c r="AY57" i="98"/>
  <c r="AY58" i="98"/>
  <c r="AY59" i="98"/>
  <c r="AY60" i="98"/>
  <c r="AY61" i="98"/>
  <c r="AY62" i="98"/>
  <c r="AY63" i="98"/>
  <c r="AY64" i="98"/>
  <c r="AY65" i="98"/>
  <c r="AY66" i="98"/>
  <c r="AY67" i="98"/>
  <c r="AY68" i="98"/>
  <c r="AY69" i="98"/>
  <c r="AY70" i="98"/>
  <c r="AY71" i="98"/>
  <c r="AY72" i="98"/>
  <c r="AY73" i="98"/>
  <c r="AY74" i="98"/>
  <c r="AY75" i="98"/>
  <c r="AY76" i="98"/>
  <c r="AY77" i="98"/>
  <c r="AY78" i="98"/>
  <c r="AY79" i="98"/>
  <c r="AY80" i="98"/>
  <c r="AY81" i="98"/>
  <c r="AY82" i="98"/>
  <c r="AY83" i="98"/>
  <c r="AY84" i="98"/>
  <c r="AY85" i="98"/>
  <c r="AY86" i="98"/>
  <c r="AY87" i="98"/>
  <c r="AY88" i="98"/>
  <c r="AY89" i="98"/>
  <c r="AY90" i="98"/>
  <c r="AY91" i="98"/>
  <c r="AY92" i="98"/>
  <c r="AY93" i="98"/>
  <c r="AY94" i="98"/>
  <c r="AY34" i="98"/>
  <c r="BY62" i="98" l="1"/>
  <c r="BY61" i="98"/>
  <c r="BY60" i="98"/>
  <c r="HK26" i="1"/>
  <c r="BY58" i="98"/>
  <c r="BY59" i="98"/>
  <c r="BY57" i="98"/>
  <c r="BY55" i="98"/>
  <c r="BY56" i="98"/>
  <c r="HM21" i="1"/>
  <c r="AX7" i="71" s="1"/>
  <c r="HL171" i="1"/>
  <c r="EX18" i="123"/>
  <c r="BY35" i="98"/>
  <c r="BY34" i="98"/>
  <c r="BY50" i="98"/>
  <c r="BY45" i="98"/>
  <c r="BY39" i="98"/>
  <c r="BY54" i="98"/>
  <c r="BY49" i="98"/>
  <c r="BY43" i="98"/>
  <c r="BY38" i="98"/>
  <c r="BY53" i="98"/>
  <c r="BY47" i="98"/>
  <c r="BY42" i="98"/>
  <c r="BY37" i="98"/>
  <c r="BY36" i="98"/>
  <c r="BY51" i="98"/>
  <c r="BY46" i="98"/>
  <c r="BY41" i="98"/>
  <c r="BY52" i="98"/>
  <c r="BY48" i="98"/>
  <c r="BY44" i="98"/>
  <c r="BY40" i="98"/>
  <c r="HL26" i="1" l="1"/>
  <c r="HN21" i="1"/>
  <c r="AY7" i="71" s="1"/>
  <c r="HM171" i="1"/>
  <c r="EY18" i="123"/>
  <c r="HM26" i="1" l="1"/>
  <c r="HO21" i="1"/>
  <c r="AZ7" i="71" s="1"/>
  <c r="HN171" i="1"/>
  <c r="EZ18" i="123"/>
  <c r="HN26" i="1" l="1"/>
  <c r="HP21" i="1"/>
  <c r="BA7" i="71" s="1"/>
  <c r="HO171" i="1"/>
  <c r="FA18" i="123"/>
  <c r="MX72" i="93"/>
  <c r="MX73" i="93"/>
  <c r="MX74" i="93"/>
  <c r="MX75" i="93"/>
  <c r="MX76" i="93"/>
  <c r="MX77" i="93"/>
  <c r="MX78" i="93"/>
  <c r="MX79" i="93"/>
  <c r="MX80" i="93"/>
  <c r="MX81" i="93"/>
  <c r="MX82" i="93"/>
  <c r="MX83" i="93"/>
  <c r="MX84" i="93"/>
  <c r="MX85" i="93"/>
  <c r="MX86" i="93"/>
  <c r="MX87" i="93"/>
  <c r="MX88" i="93"/>
  <c r="MX89" i="93"/>
  <c r="MX90" i="93"/>
  <c r="MX91" i="93"/>
  <c r="MX92" i="93"/>
  <c r="MX93" i="93"/>
  <c r="MX94" i="93"/>
  <c r="MX95" i="93"/>
  <c r="MX96" i="93"/>
  <c r="MX97" i="93"/>
  <c r="MX98" i="93"/>
  <c r="MX99" i="93"/>
  <c r="MX100" i="93"/>
  <c r="MX101" i="93"/>
  <c r="MX102" i="93"/>
  <c r="MX103" i="93"/>
  <c r="MX104" i="93"/>
  <c r="MX105" i="93"/>
  <c r="MX106" i="93"/>
  <c r="MX107" i="93"/>
  <c r="MX108" i="93"/>
  <c r="MX109" i="93"/>
  <c r="MX110" i="93"/>
  <c r="MX111" i="93"/>
  <c r="MX112" i="93"/>
  <c r="MX113" i="93"/>
  <c r="MX65" i="93"/>
  <c r="MX66" i="93"/>
  <c r="MX67" i="93"/>
  <c r="MX68" i="93"/>
  <c r="MX69" i="93"/>
  <c r="MX70" i="93"/>
  <c r="MX71" i="93"/>
  <c r="MX64" i="93"/>
  <c r="HO26" i="1" l="1"/>
  <c r="HQ21" i="1"/>
  <c r="BB7" i="71" s="1"/>
  <c r="HP171" i="1"/>
  <c r="FB18" i="123"/>
  <c r="AD227" i="123"/>
  <c r="CV227" i="123" s="1"/>
  <c r="AE227" i="123"/>
  <c r="AF227" i="123"/>
  <c r="AH227" i="123"/>
  <c r="CT227" i="123"/>
  <c r="DC227" i="123"/>
  <c r="DO227" i="123" a="1"/>
  <c r="DO227" i="123" s="1"/>
  <c r="DS227" i="123"/>
  <c r="HP26" i="1" l="1"/>
  <c r="DD227" i="123"/>
  <c r="DA227" i="123"/>
  <c r="HR21" i="1"/>
  <c r="BC7" i="71" s="1"/>
  <c r="HQ171" i="1"/>
  <c r="FC18" i="123"/>
  <c r="DB227" i="123"/>
  <c r="CW227" i="123"/>
  <c r="CZ227" i="123"/>
  <c r="AM227" i="123"/>
  <c r="AK227" i="123"/>
  <c r="CE35" i="98"/>
  <c r="CE36" i="98"/>
  <c r="CE37" i="98"/>
  <c r="CE38" i="98"/>
  <c r="CE39" i="98"/>
  <c r="CE40" i="98"/>
  <c r="CE41" i="98"/>
  <c r="CE42" i="98"/>
  <c r="CE43" i="98"/>
  <c r="CE44" i="98"/>
  <c r="CE45" i="98"/>
  <c r="CE46" i="98"/>
  <c r="CE47" i="98"/>
  <c r="CE48" i="98"/>
  <c r="CE49" i="98"/>
  <c r="CE50" i="98"/>
  <c r="CE51" i="98"/>
  <c r="CE52" i="98"/>
  <c r="CE53" i="98"/>
  <c r="CE54" i="98"/>
  <c r="CE55" i="98"/>
  <c r="CE56" i="98"/>
  <c r="CE57" i="98"/>
  <c r="CE58" i="98"/>
  <c r="CE59" i="98"/>
  <c r="CE60" i="98"/>
  <c r="CE61" i="98"/>
  <c r="CE62" i="98"/>
  <c r="CE63" i="98"/>
  <c r="CE64" i="98"/>
  <c r="CE65" i="98"/>
  <c r="CE66" i="98"/>
  <c r="CE67" i="98"/>
  <c r="CE68" i="98"/>
  <c r="CE69" i="98"/>
  <c r="CE70" i="98"/>
  <c r="CE71" i="98"/>
  <c r="CE72" i="98"/>
  <c r="CE73" i="98"/>
  <c r="CE74" i="98"/>
  <c r="CE75" i="98"/>
  <c r="CE76" i="98"/>
  <c r="CE77" i="98"/>
  <c r="CE78" i="98"/>
  <c r="CE79" i="98"/>
  <c r="CE80" i="98"/>
  <c r="CE81" i="98"/>
  <c r="CE82" i="98"/>
  <c r="CE83" i="98"/>
  <c r="CE84" i="98"/>
  <c r="CE85" i="98"/>
  <c r="CE86" i="98"/>
  <c r="CE87" i="98"/>
  <c r="CE88" i="98"/>
  <c r="CE89" i="98"/>
  <c r="CE90" i="98"/>
  <c r="CE91" i="98"/>
  <c r="CE92" i="98"/>
  <c r="CE93" i="98"/>
  <c r="CE94" i="98"/>
  <c r="D3" i="115"/>
  <c r="D4" i="115"/>
  <c r="D5" i="115"/>
  <c r="D6" i="115"/>
  <c r="D7" i="115"/>
  <c r="D8" i="115"/>
  <c r="D9" i="115"/>
  <c r="D10" i="115"/>
  <c r="D11" i="115"/>
  <c r="D12" i="115"/>
  <c r="D13" i="115"/>
  <c r="D14" i="115"/>
  <c r="D15" i="115"/>
  <c r="D16" i="115"/>
  <c r="D17" i="115"/>
  <c r="D18" i="115"/>
  <c r="D19" i="115"/>
  <c r="D20" i="115"/>
  <c r="D21" i="115"/>
  <c r="D22" i="115"/>
  <c r="D23" i="115"/>
  <c r="D24" i="115"/>
  <c r="D25" i="115"/>
  <c r="D26" i="115"/>
  <c r="D27" i="115"/>
  <c r="D28" i="115"/>
  <c r="D29" i="115"/>
  <c r="D30" i="115"/>
  <c r="D31" i="115"/>
  <c r="D32" i="115"/>
  <c r="D33" i="115"/>
  <c r="D34" i="115"/>
  <c r="D35" i="115"/>
  <c r="D36" i="115"/>
  <c r="D37" i="115"/>
  <c r="D38" i="115"/>
  <c r="D39" i="115"/>
  <c r="D40" i="115"/>
  <c r="D41" i="115"/>
  <c r="D42" i="115"/>
  <c r="D43" i="115"/>
  <c r="D44" i="115"/>
  <c r="D45" i="115"/>
  <c r="D46" i="115"/>
  <c r="D47" i="115"/>
  <c r="D48" i="115"/>
  <c r="D49" i="115"/>
  <c r="D50" i="115"/>
  <c r="D51" i="115"/>
  <c r="D52" i="115"/>
  <c r="D53" i="115"/>
  <c r="D54" i="115"/>
  <c r="D55" i="115"/>
  <c r="D56" i="115"/>
  <c r="D57" i="115"/>
  <c r="D58" i="115"/>
  <c r="D59" i="115"/>
  <c r="D60" i="115"/>
  <c r="D61" i="115"/>
  <c r="D62" i="115"/>
  <c r="D63" i="115"/>
  <c r="D64" i="115"/>
  <c r="D65" i="115"/>
  <c r="D66" i="115"/>
  <c r="D67" i="115"/>
  <c r="D68" i="115"/>
  <c r="D69" i="115"/>
  <c r="D70" i="115"/>
  <c r="D71" i="115"/>
  <c r="D72" i="115"/>
  <c r="D73" i="115"/>
  <c r="D74" i="115"/>
  <c r="D75" i="115"/>
  <c r="D76" i="115"/>
  <c r="D77" i="115"/>
  <c r="D78" i="115"/>
  <c r="D79" i="115"/>
  <c r="D80" i="115"/>
  <c r="D81" i="115"/>
  <c r="D82" i="115"/>
  <c r="D83" i="115"/>
  <c r="D84" i="115"/>
  <c r="D85" i="115"/>
  <c r="D86" i="115"/>
  <c r="D87" i="115"/>
  <c r="D88" i="115"/>
  <c r="D89" i="115"/>
  <c r="D90" i="115"/>
  <c r="D91" i="115"/>
  <c r="D92" i="115"/>
  <c r="D93" i="115"/>
  <c r="D94" i="115"/>
  <c r="D95" i="115"/>
  <c r="D96" i="115"/>
  <c r="D97" i="115"/>
  <c r="D98" i="115"/>
  <c r="D99" i="115"/>
  <c r="D100" i="115"/>
  <c r="D101" i="115"/>
  <c r="D102" i="115"/>
  <c r="D103" i="115"/>
  <c r="D104" i="115"/>
  <c r="D105" i="115"/>
  <c r="D106" i="115"/>
  <c r="D107" i="115"/>
  <c r="D108" i="115"/>
  <c r="D109" i="115"/>
  <c r="D110" i="115"/>
  <c r="D111" i="115"/>
  <c r="D112" i="115"/>
  <c r="D113" i="115"/>
  <c r="D114" i="115"/>
  <c r="D115" i="115"/>
  <c r="D116" i="115"/>
  <c r="D117" i="115"/>
  <c r="D118" i="115"/>
  <c r="D119" i="115"/>
  <c r="D120" i="115"/>
  <c r="D121" i="115"/>
  <c r="D122" i="115"/>
  <c r="D123" i="115"/>
  <c r="D124" i="115"/>
  <c r="D125" i="115"/>
  <c r="D126" i="115"/>
  <c r="D2" i="115"/>
  <c r="N5" i="115"/>
  <c r="N6" i="115"/>
  <c r="N4" i="115"/>
  <c r="N2" i="115"/>
  <c r="M4" i="115"/>
  <c r="M5" i="115"/>
  <c r="M6" i="115"/>
  <c r="M3" i="115"/>
  <c r="CE27" i="98" l="1"/>
  <c r="HQ26" i="1"/>
  <c r="HS21" i="1"/>
  <c r="BD7" i="71" s="1"/>
  <c r="HR171" i="1"/>
  <c r="FD18" i="123"/>
  <c r="HR26" i="1" l="1"/>
  <c r="HT21" i="1"/>
  <c r="BE7" i="71" s="1"/>
  <c r="HS171" i="1"/>
  <c r="FE18" i="123"/>
  <c r="HS26" i="1" l="1"/>
  <c r="HU21" i="1"/>
  <c r="BF7" i="71" s="1"/>
  <c r="HT171" i="1"/>
  <c r="FF18" i="123"/>
  <c r="CF66" i="93"/>
  <c r="CF70" i="93"/>
  <c r="CF76" i="93"/>
  <c r="CF83" i="93"/>
  <c r="CF84" i="93"/>
  <c r="CF88" i="93"/>
  <c r="CF91" i="93"/>
  <c r="CF94" i="93"/>
  <c r="CF95" i="93"/>
  <c r="CF96" i="93"/>
  <c r="CF97" i="93"/>
  <c r="CF98" i="93"/>
  <c r="CF99" i="93"/>
  <c r="CF100" i="93"/>
  <c r="CF101" i="93"/>
  <c r="CF102" i="93"/>
  <c r="CF103" i="93"/>
  <c r="CF104" i="93"/>
  <c r="CF105" i="93"/>
  <c r="CF106" i="93"/>
  <c r="CF107" i="93"/>
  <c r="CF108" i="93"/>
  <c r="CF109" i="93"/>
  <c r="CF110" i="93"/>
  <c r="CF111" i="93"/>
  <c r="CF112" i="93"/>
  <c r="CF113" i="93"/>
  <c r="HT26" i="1" l="1"/>
  <c r="HV21" i="1"/>
  <c r="BG7" i="71" s="1"/>
  <c r="HU171" i="1"/>
  <c r="FG18" i="123"/>
  <c r="CS113" i="93"/>
  <c r="CR113" i="93"/>
  <c r="CQ113" i="93"/>
  <c r="CP113" i="93"/>
  <c r="CO113" i="93"/>
  <c r="CN113" i="93"/>
  <c r="CM113" i="93"/>
  <c r="CL113" i="93"/>
  <c r="CK113" i="93"/>
  <c r="CJ113" i="93"/>
  <c r="CS112" i="93"/>
  <c r="CR112" i="93"/>
  <c r="CQ112" i="93"/>
  <c r="CP112" i="93"/>
  <c r="CO112" i="93"/>
  <c r="CN112" i="93"/>
  <c r="CM112" i="93"/>
  <c r="CL112" i="93"/>
  <c r="CK112" i="93"/>
  <c r="CJ112" i="93"/>
  <c r="CS111" i="93"/>
  <c r="CR111" i="93"/>
  <c r="CQ111" i="93"/>
  <c r="CP111" i="93"/>
  <c r="CO111" i="93"/>
  <c r="CN111" i="93"/>
  <c r="CM111" i="93"/>
  <c r="CL111" i="93"/>
  <c r="CK111" i="93"/>
  <c r="CJ111" i="93"/>
  <c r="CS110" i="93"/>
  <c r="CR110" i="93"/>
  <c r="CQ110" i="93"/>
  <c r="CP110" i="93"/>
  <c r="CO110" i="93"/>
  <c r="CN110" i="93"/>
  <c r="CM110" i="93"/>
  <c r="CL110" i="93"/>
  <c r="CK110" i="93"/>
  <c r="CJ110" i="93"/>
  <c r="CS109" i="93"/>
  <c r="CR109" i="93"/>
  <c r="CQ109" i="93"/>
  <c r="CP109" i="93"/>
  <c r="CO109" i="93"/>
  <c r="CN109" i="93"/>
  <c r="CM109" i="93"/>
  <c r="CL109" i="93"/>
  <c r="CK109" i="93"/>
  <c r="CJ109" i="93"/>
  <c r="CS108" i="93"/>
  <c r="CR108" i="93"/>
  <c r="CQ108" i="93"/>
  <c r="CP108" i="93"/>
  <c r="CO108" i="93"/>
  <c r="CN108" i="93"/>
  <c r="CM108" i="93"/>
  <c r="CL108" i="93"/>
  <c r="CK108" i="93"/>
  <c r="CJ108" i="93"/>
  <c r="CS107" i="93"/>
  <c r="CR107" i="93"/>
  <c r="CQ107" i="93"/>
  <c r="CP107" i="93"/>
  <c r="CO107" i="93"/>
  <c r="CN107" i="93"/>
  <c r="CM107" i="93"/>
  <c r="CL107" i="93"/>
  <c r="CK107" i="93"/>
  <c r="CJ107" i="93"/>
  <c r="CS106" i="93"/>
  <c r="CR106" i="93"/>
  <c r="CQ106" i="93"/>
  <c r="CP106" i="93"/>
  <c r="CO106" i="93"/>
  <c r="CN106" i="93"/>
  <c r="CM106" i="93"/>
  <c r="CL106" i="93"/>
  <c r="CK106" i="93"/>
  <c r="CJ106" i="93"/>
  <c r="CS105" i="93"/>
  <c r="CR105" i="93"/>
  <c r="CQ105" i="93"/>
  <c r="CP105" i="93"/>
  <c r="CO105" i="93"/>
  <c r="CN105" i="93"/>
  <c r="CM105" i="93"/>
  <c r="CL105" i="93"/>
  <c r="CK105" i="93"/>
  <c r="CJ105" i="93"/>
  <c r="CS104" i="93"/>
  <c r="CR104" i="93"/>
  <c r="CQ104" i="93"/>
  <c r="CP104" i="93"/>
  <c r="CO104" i="93"/>
  <c r="CN104" i="93"/>
  <c r="CM104" i="93"/>
  <c r="CL104" i="93"/>
  <c r="CK104" i="93"/>
  <c r="CJ104" i="93"/>
  <c r="CS103" i="93"/>
  <c r="CR103" i="93"/>
  <c r="CQ103" i="93"/>
  <c r="CP103" i="93"/>
  <c r="CO103" i="93"/>
  <c r="CN103" i="93"/>
  <c r="CM103" i="93"/>
  <c r="CL103" i="93"/>
  <c r="CK103" i="93"/>
  <c r="CJ103" i="93"/>
  <c r="CS102" i="93"/>
  <c r="CR102" i="93"/>
  <c r="CQ102" i="93"/>
  <c r="CP102" i="93"/>
  <c r="CO102" i="93"/>
  <c r="CN102" i="93"/>
  <c r="CM102" i="93"/>
  <c r="CL102" i="93"/>
  <c r="CK102" i="93"/>
  <c r="CJ102" i="93"/>
  <c r="CS101" i="93"/>
  <c r="CR101" i="93"/>
  <c r="CQ101" i="93"/>
  <c r="CP101" i="93"/>
  <c r="CO101" i="93"/>
  <c r="CN101" i="93"/>
  <c r="CM101" i="93"/>
  <c r="CL101" i="93"/>
  <c r="CK101" i="93"/>
  <c r="CJ101" i="93"/>
  <c r="CS100" i="93"/>
  <c r="CR100" i="93"/>
  <c r="CQ100" i="93"/>
  <c r="CP100" i="93"/>
  <c r="CO100" i="93"/>
  <c r="CN100" i="93"/>
  <c r="CM100" i="93"/>
  <c r="CL100" i="93"/>
  <c r="CK100" i="93"/>
  <c r="CJ100" i="93"/>
  <c r="CS99" i="93"/>
  <c r="CR99" i="93"/>
  <c r="CQ99" i="93"/>
  <c r="CP99" i="93"/>
  <c r="CO99" i="93"/>
  <c r="CN99" i="93"/>
  <c r="CM99" i="93"/>
  <c r="CL99" i="93"/>
  <c r="CK99" i="93"/>
  <c r="CJ99" i="93"/>
  <c r="CS98" i="93"/>
  <c r="CR98" i="93"/>
  <c r="CQ98" i="93"/>
  <c r="CP98" i="93"/>
  <c r="CO98" i="93"/>
  <c r="CN98" i="93"/>
  <c r="CM98" i="93"/>
  <c r="CL98" i="93"/>
  <c r="CK98" i="93"/>
  <c r="CJ98" i="93"/>
  <c r="CS97" i="93"/>
  <c r="CR97" i="93"/>
  <c r="CQ97" i="93"/>
  <c r="CP97" i="93"/>
  <c r="CO97" i="93"/>
  <c r="CN97" i="93"/>
  <c r="CM97" i="93"/>
  <c r="CL97" i="93"/>
  <c r="CK97" i="93"/>
  <c r="CJ97" i="93"/>
  <c r="CS96" i="93"/>
  <c r="CR96" i="93"/>
  <c r="CQ96" i="93"/>
  <c r="CP96" i="93"/>
  <c r="CO96" i="93"/>
  <c r="CN96" i="93"/>
  <c r="CM96" i="93"/>
  <c r="CL96" i="93"/>
  <c r="CK96" i="93"/>
  <c r="CJ96" i="93"/>
  <c r="CS95" i="93"/>
  <c r="CR95" i="93"/>
  <c r="CQ95" i="93"/>
  <c r="CP95" i="93"/>
  <c r="CO95" i="93"/>
  <c r="CN95" i="93"/>
  <c r="CM95" i="93"/>
  <c r="CL95" i="93"/>
  <c r="CK95" i="93"/>
  <c r="CJ95" i="93"/>
  <c r="CS94" i="93"/>
  <c r="CR94" i="93"/>
  <c r="CQ94" i="93"/>
  <c r="CP94" i="93"/>
  <c r="CO94" i="93"/>
  <c r="CN94" i="93"/>
  <c r="CM94" i="93"/>
  <c r="CL94" i="93"/>
  <c r="CK94" i="93"/>
  <c r="CJ94" i="93"/>
  <c r="CS91" i="93"/>
  <c r="CR91" i="93"/>
  <c r="CQ91" i="93"/>
  <c r="CP91" i="93"/>
  <c r="CO91" i="93"/>
  <c r="CN91" i="93"/>
  <c r="CM91" i="93"/>
  <c r="CL91" i="93"/>
  <c r="CK91" i="93"/>
  <c r="CJ91" i="93"/>
  <c r="CS88" i="93"/>
  <c r="CR88" i="93"/>
  <c r="CQ88" i="93"/>
  <c r="CP88" i="93"/>
  <c r="CO88" i="93"/>
  <c r="CN88" i="93"/>
  <c r="CM88" i="93"/>
  <c r="CL88" i="93"/>
  <c r="CK88" i="93"/>
  <c r="CJ88" i="93"/>
  <c r="CS84" i="93"/>
  <c r="CR84" i="93"/>
  <c r="CQ84" i="93"/>
  <c r="CP84" i="93"/>
  <c r="CO84" i="93"/>
  <c r="CN84" i="93"/>
  <c r="CM84" i="93"/>
  <c r="CL84" i="93"/>
  <c r="CK84" i="93"/>
  <c r="CJ84" i="93"/>
  <c r="CS83" i="93"/>
  <c r="CR83" i="93"/>
  <c r="CQ83" i="93"/>
  <c r="CP83" i="93"/>
  <c r="CO83" i="93"/>
  <c r="CN83" i="93"/>
  <c r="CM83" i="93"/>
  <c r="CL83" i="93"/>
  <c r="CK83" i="93"/>
  <c r="CJ83" i="93"/>
  <c r="CS76" i="93"/>
  <c r="CR76" i="93"/>
  <c r="CQ76" i="93"/>
  <c r="CP76" i="93"/>
  <c r="CO76" i="93"/>
  <c r="CN76" i="93"/>
  <c r="CM76" i="93"/>
  <c r="CL76" i="93"/>
  <c r="CK76" i="93"/>
  <c r="CJ76" i="93"/>
  <c r="CS70" i="93"/>
  <c r="CR70" i="93"/>
  <c r="CQ70" i="93"/>
  <c r="CP70" i="93"/>
  <c r="CO70" i="93"/>
  <c r="CN70" i="93"/>
  <c r="CM70" i="93"/>
  <c r="CL70" i="93"/>
  <c r="CK70" i="93"/>
  <c r="CJ70" i="93"/>
  <c r="CS66" i="93"/>
  <c r="CR66" i="93"/>
  <c r="CQ66" i="93"/>
  <c r="CP66" i="93"/>
  <c r="CO66" i="93"/>
  <c r="CN66" i="93"/>
  <c r="CM66" i="93"/>
  <c r="CL66" i="93"/>
  <c r="CK66" i="93"/>
  <c r="CJ66" i="93"/>
  <c r="AY113" i="93"/>
  <c r="AX113" i="93"/>
  <c r="AW113" i="93"/>
  <c r="AV113" i="93"/>
  <c r="AU113" i="93"/>
  <c r="AT113" i="93"/>
  <c r="AS113" i="93"/>
  <c r="AR113" i="93"/>
  <c r="AQ113" i="93"/>
  <c r="AP113" i="93"/>
  <c r="AY112" i="93"/>
  <c r="AX112" i="93"/>
  <c r="AW112" i="93"/>
  <c r="AV112" i="93"/>
  <c r="AU112" i="93"/>
  <c r="AT112" i="93"/>
  <c r="AS112" i="93"/>
  <c r="AR112" i="93"/>
  <c r="AQ112" i="93"/>
  <c r="AP112" i="93"/>
  <c r="AY111" i="93"/>
  <c r="AX111" i="93"/>
  <c r="AW111" i="93"/>
  <c r="AV111" i="93"/>
  <c r="AU111" i="93"/>
  <c r="AT111" i="93"/>
  <c r="AS111" i="93"/>
  <c r="AR111" i="93"/>
  <c r="AQ111" i="93"/>
  <c r="AP111" i="93"/>
  <c r="AY110" i="93"/>
  <c r="AX110" i="93"/>
  <c r="AW110" i="93"/>
  <c r="AV110" i="93"/>
  <c r="AU110" i="93"/>
  <c r="AT110" i="93"/>
  <c r="AS110" i="93"/>
  <c r="AR110" i="93"/>
  <c r="AQ110" i="93"/>
  <c r="AP110" i="93"/>
  <c r="AY109" i="93"/>
  <c r="AX109" i="93"/>
  <c r="AW109" i="93"/>
  <c r="AV109" i="93"/>
  <c r="AU109" i="93"/>
  <c r="AT109" i="93"/>
  <c r="AS109" i="93"/>
  <c r="AR109" i="93"/>
  <c r="AQ109" i="93"/>
  <c r="AP109" i="93"/>
  <c r="AY108" i="93"/>
  <c r="AX108" i="93"/>
  <c r="AW108" i="93"/>
  <c r="AV108" i="93"/>
  <c r="AU108" i="93"/>
  <c r="AT108" i="93"/>
  <c r="AS108" i="93"/>
  <c r="AR108" i="93"/>
  <c r="AQ108" i="93"/>
  <c r="AP108" i="93"/>
  <c r="AY107" i="93"/>
  <c r="AX107" i="93"/>
  <c r="AW107" i="93"/>
  <c r="AV107" i="93"/>
  <c r="AU107" i="93"/>
  <c r="AT107" i="93"/>
  <c r="AS107" i="93"/>
  <c r="AR107" i="93"/>
  <c r="AQ107" i="93"/>
  <c r="AP107" i="93"/>
  <c r="AY106" i="93"/>
  <c r="AX106" i="93"/>
  <c r="AW106" i="93"/>
  <c r="AV106" i="93"/>
  <c r="AU106" i="93"/>
  <c r="AT106" i="93"/>
  <c r="AS106" i="93"/>
  <c r="AR106" i="93"/>
  <c r="AQ106" i="93"/>
  <c r="AP106" i="93"/>
  <c r="AY105" i="93"/>
  <c r="AX105" i="93"/>
  <c r="AW105" i="93"/>
  <c r="AV105" i="93"/>
  <c r="AU105" i="93"/>
  <c r="AT105" i="93"/>
  <c r="AS105" i="93"/>
  <c r="AR105" i="93"/>
  <c r="AQ105" i="93"/>
  <c r="AP105" i="93"/>
  <c r="AY104" i="93"/>
  <c r="AX104" i="93"/>
  <c r="AW104" i="93"/>
  <c r="AV104" i="93"/>
  <c r="AU104" i="93"/>
  <c r="AT104" i="93"/>
  <c r="AS104" i="93"/>
  <c r="AR104" i="93"/>
  <c r="AQ104" i="93"/>
  <c r="AP104" i="93"/>
  <c r="AY103" i="93"/>
  <c r="AX103" i="93"/>
  <c r="AW103" i="93"/>
  <c r="AV103" i="93"/>
  <c r="AU103" i="93"/>
  <c r="AT103" i="93"/>
  <c r="AS103" i="93"/>
  <c r="AR103" i="93"/>
  <c r="AQ103" i="93"/>
  <c r="AP103" i="93"/>
  <c r="AY102" i="93"/>
  <c r="AX102" i="93"/>
  <c r="AW102" i="93"/>
  <c r="AV102" i="93"/>
  <c r="AU102" i="93"/>
  <c r="AT102" i="93"/>
  <c r="AS102" i="93"/>
  <c r="AR102" i="93"/>
  <c r="AQ102" i="93"/>
  <c r="AP102" i="93"/>
  <c r="AY101" i="93"/>
  <c r="AX101" i="93"/>
  <c r="AW101" i="93"/>
  <c r="AV101" i="93"/>
  <c r="AU101" i="93"/>
  <c r="AT101" i="93"/>
  <c r="AS101" i="93"/>
  <c r="AR101" i="93"/>
  <c r="AQ101" i="93"/>
  <c r="AP101" i="93"/>
  <c r="AY100" i="93"/>
  <c r="AX100" i="93"/>
  <c r="AW100" i="93"/>
  <c r="AV100" i="93"/>
  <c r="AU100" i="93"/>
  <c r="AT100" i="93"/>
  <c r="AS100" i="93"/>
  <c r="AR100" i="93"/>
  <c r="AQ100" i="93"/>
  <c r="AP100" i="93"/>
  <c r="AY99" i="93"/>
  <c r="AX99" i="93"/>
  <c r="AW99" i="93"/>
  <c r="AV99" i="93"/>
  <c r="AU99" i="93"/>
  <c r="AT99" i="93"/>
  <c r="AS99" i="93"/>
  <c r="AR99" i="93"/>
  <c r="AQ99" i="93"/>
  <c r="AP99" i="93"/>
  <c r="AY98" i="93"/>
  <c r="AX98" i="93"/>
  <c r="AW98" i="93"/>
  <c r="AV98" i="93"/>
  <c r="AU98" i="93"/>
  <c r="AT98" i="93"/>
  <c r="AS98" i="93"/>
  <c r="AR98" i="93"/>
  <c r="AQ98" i="93"/>
  <c r="AP98" i="93"/>
  <c r="AY97" i="93"/>
  <c r="AX97" i="93"/>
  <c r="AW97" i="93"/>
  <c r="AV97" i="93"/>
  <c r="AU97" i="93"/>
  <c r="AT97" i="93"/>
  <c r="AS97" i="93"/>
  <c r="AR97" i="93"/>
  <c r="AQ97" i="93"/>
  <c r="AP97" i="93"/>
  <c r="AY96" i="93"/>
  <c r="AX96" i="93"/>
  <c r="AW96" i="93"/>
  <c r="AV96" i="93"/>
  <c r="AU96" i="93"/>
  <c r="AT96" i="93"/>
  <c r="AS96" i="93"/>
  <c r="AR96" i="93"/>
  <c r="AQ96" i="93"/>
  <c r="AP96" i="93"/>
  <c r="AY95" i="93"/>
  <c r="AX95" i="93"/>
  <c r="AW95" i="93"/>
  <c r="AV95" i="93"/>
  <c r="AU95" i="93"/>
  <c r="AT95" i="93"/>
  <c r="AS95" i="93"/>
  <c r="AR95" i="93"/>
  <c r="AQ95" i="93"/>
  <c r="AP95" i="93"/>
  <c r="AY94" i="93"/>
  <c r="AX94" i="93"/>
  <c r="AW94" i="93"/>
  <c r="AV94" i="93"/>
  <c r="AU94" i="93"/>
  <c r="AT94" i="93"/>
  <c r="AS94" i="93"/>
  <c r="AR94" i="93"/>
  <c r="AQ94" i="93"/>
  <c r="AP94" i="93"/>
  <c r="AY91" i="93"/>
  <c r="AX91" i="93"/>
  <c r="AW91" i="93"/>
  <c r="AV91" i="93"/>
  <c r="AU91" i="93"/>
  <c r="AT91" i="93"/>
  <c r="AS91" i="93"/>
  <c r="AR91" i="93"/>
  <c r="AQ91" i="93"/>
  <c r="AP91" i="93"/>
  <c r="AY88" i="93"/>
  <c r="AX88" i="93"/>
  <c r="AW88" i="93"/>
  <c r="AV88" i="93"/>
  <c r="AU88" i="93"/>
  <c r="AT88" i="93"/>
  <c r="AS88" i="93"/>
  <c r="AR88" i="93"/>
  <c r="AQ88" i="93"/>
  <c r="AP88" i="93"/>
  <c r="AY84" i="93"/>
  <c r="AX84" i="93"/>
  <c r="AW84" i="93"/>
  <c r="AV84" i="93"/>
  <c r="AU84" i="93"/>
  <c r="AT84" i="93"/>
  <c r="AS84" i="93"/>
  <c r="AR84" i="93"/>
  <c r="AQ84" i="93"/>
  <c r="AP84" i="93"/>
  <c r="AY83" i="93"/>
  <c r="AX83" i="93"/>
  <c r="AW83" i="93"/>
  <c r="AV83" i="93"/>
  <c r="AU83" i="93"/>
  <c r="AT83" i="93"/>
  <c r="AS83" i="93"/>
  <c r="AR83" i="93"/>
  <c r="AQ83" i="93"/>
  <c r="AP83" i="93"/>
  <c r="AY76" i="93"/>
  <c r="AX76" i="93"/>
  <c r="AW76" i="93"/>
  <c r="AV76" i="93"/>
  <c r="AU76" i="93"/>
  <c r="AT76" i="93"/>
  <c r="AS76" i="93"/>
  <c r="AR76" i="93"/>
  <c r="AQ76" i="93"/>
  <c r="AP76" i="93"/>
  <c r="AY70" i="93"/>
  <c r="AX70" i="93"/>
  <c r="AW70" i="93"/>
  <c r="AV70" i="93"/>
  <c r="AU70" i="93"/>
  <c r="AT70" i="93"/>
  <c r="AS70" i="93"/>
  <c r="AR70" i="93"/>
  <c r="AQ70" i="93"/>
  <c r="AP70" i="93"/>
  <c r="AY66" i="93"/>
  <c r="AX66" i="93"/>
  <c r="AW66" i="93"/>
  <c r="AV66" i="93"/>
  <c r="AU66" i="93"/>
  <c r="AT66" i="93"/>
  <c r="AS66" i="93"/>
  <c r="AR66" i="93"/>
  <c r="AQ66" i="93"/>
  <c r="AP66" i="93"/>
  <c r="AL66" i="93"/>
  <c r="AL70" i="93"/>
  <c r="AL76" i="93"/>
  <c r="AL83" i="93"/>
  <c r="AL84" i="93"/>
  <c r="AL88" i="93"/>
  <c r="AL91" i="93"/>
  <c r="AL94" i="93"/>
  <c r="AL95" i="93"/>
  <c r="AL96" i="93"/>
  <c r="AL97" i="93"/>
  <c r="AL98" i="93"/>
  <c r="AL99" i="93"/>
  <c r="AL100" i="93"/>
  <c r="AL101" i="93"/>
  <c r="AL102" i="93"/>
  <c r="AL103" i="93"/>
  <c r="AL104" i="93"/>
  <c r="AL105" i="93"/>
  <c r="AL106" i="93"/>
  <c r="AL107" i="93"/>
  <c r="AL108" i="93"/>
  <c r="AL109" i="93"/>
  <c r="AL110" i="93"/>
  <c r="AL111" i="93"/>
  <c r="AL112" i="93"/>
  <c r="AL113" i="93"/>
  <c r="HU26" i="1" l="1"/>
  <c r="HW21" i="1"/>
  <c r="BH7" i="71" s="1"/>
  <c r="HV171" i="1"/>
  <c r="FH18" i="123"/>
  <c r="GF30" i="98"/>
  <c r="GF31" i="98"/>
  <c r="GF32" i="98"/>
  <c r="GF33" i="98"/>
  <c r="GF29" i="98"/>
  <c r="G112" i="71"/>
  <c r="HJ30" i="93"/>
  <c r="DC130" i="123"/>
  <c r="DC131" i="123"/>
  <c r="DC132" i="123"/>
  <c r="DC133" i="123"/>
  <c r="DC134" i="123"/>
  <c r="DC135" i="123"/>
  <c r="DC136" i="123"/>
  <c r="DC137" i="123"/>
  <c r="DC138" i="123"/>
  <c r="DC139" i="123"/>
  <c r="DC140" i="123"/>
  <c r="DC141" i="123"/>
  <c r="DC142" i="123"/>
  <c r="DC143" i="123"/>
  <c r="DC144" i="123"/>
  <c r="DC145" i="123"/>
  <c r="DC146" i="123"/>
  <c r="DC147" i="123"/>
  <c r="DC148" i="123"/>
  <c r="DC149" i="123"/>
  <c r="DC150" i="123"/>
  <c r="DC151" i="123"/>
  <c r="DC152" i="123"/>
  <c r="DC153" i="123"/>
  <c r="DC154" i="123"/>
  <c r="DC155" i="123"/>
  <c r="DC156" i="123"/>
  <c r="DC157" i="123"/>
  <c r="DC158" i="123"/>
  <c r="DC159" i="123"/>
  <c r="DC160" i="123"/>
  <c r="DC161" i="123"/>
  <c r="DC162" i="123"/>
  <c r="DC163" i="123"/>
  <c r="DC164" i="123"/>
  <c r="DC165" i="123"/>
  <c r="DC166" i="123"/>
  <c r="DC167" i="123"/>
  <c r="DC168" i="123"/>
  <c r="DC169" i="123"/>
  <c r="DC170" i="123"/>
  <c r="DC171" i="123"/>
  <c r="DC172" i="123"/>
  <c r="DC173" i="123"/>
  <c r="DC174" i="123"/>
  <c r="DC175" i="123"/>
  <c r="DC176" i="123"/>
  <c r="DC177" i="123"/>
  <c r="DC178" i="123"/>
  <c r="DC179" i="123"/>
  <c r="DC180" i="123"/>
  <c r="DC181" i="123"/>
  <c r="DC182" i="123"/>
  <c r="DC183" i="123"/>
  <c r="DC184" i="123"/>
  <c r="DC185" i="123"/>
  <c r="DC186" i="123"/>
  <c r="DC187" i="123"/>
  <c r="DC188" i="123"/>
  <c r="DC189" i="123"/>
  <c r="DC190" i="123"/>
  <c r="DC191" i="123"/>
  <c r="DC192" i="123"/>
  <c r="DC193" i="123"/>
  <c r="DC194" i="123"/>
  <c r="DC195" i="123"/>
  <c r="DC196" i="123"/>
  <c r="DC197" i="123"/>
  <c r="DC198" i="123"/>
  <c r="DC199" i="123"/>
  <c r="DC200" i="123"/>
  <c r="DC201" i="123"/>
  <c r="DC202" i="123"/>
  <c r="DC203" i="123"/>
  <c r="DC204" i="123"/>
  <c r="DC205" i="123"/>
  <c r="DC206" i="123"/>
  <c r="DC207" i="123"/>
  <c r="DC208" i="123"/>
  <c r="DC209" i="123"/>
  <c r="DC225" i="123"/>
  <c r="DC226" i="123"/>
  <c r="DC228" i="123"/>
  <c r="DC229" i="123"/>
  <c r="DC230" i="123"/>
  <c r="DC232" i="123"/>
  <c r="DC233" i="123"/>
  <c r="DC234" i="123"/>
  <c r="DC235" i="123"/>
  <c r="DC236" i="123"/>
  <c r="DC237" i="123"/>
  <c r="DC238" i="123"/>
  <c r="DC239" i="123"/>
  <c r="DC240" i="123"/>
  <c r="DC241" i="123"/>
  <c r="DC242" i="123"/>
  <c r="DC243" i="123"/>
  <c r="DC244" i="123"/>
  <c r="DC245" i="123"/>
  <c r="DC246" i="123"/>
  <c r="DC247" i="123"/>
  <c r="DC248" i="123"/>
  <c r="DC249" i="123"/>
  <c r="DC250" i="123"/>
  <c r="DC251" i="123"/>
  <c r="DC252" i="123"/>
  <c r="DC253" i="123"/>
  <c r="DC254" i="123"/>
  <c r="DC255" i="123"/>
  <c r="DC256" i="123"/>
  <c r="DC257" i="123"/>
  <c r="DC258" i="123"/>
  <c r="DC259" i="123"/>
  <c r="DC260" i="123"/>
  <c r="DC261" i="123"/>
  <c r="DC262" i="123"/>
  <c r="DC263" i="123"/>
  <c r="DC264" i="123"/>
  <c r="DC265" i="123"/>
  <c r="DC266" i="123"/>
  <c r="DC267" i="123"/>
  <c r="DC268" i="123"/>
  <c r="DC269" i="123"/>
  <c r="DC270" i="123"/>
  <c r="DC271" i="123"/>
  <c r="DC272" i="123"/>
  <c r="DC273" i="123"/>
  <c r="DC274" i="123"/>
  <c r="DC275" i="123"/>
  <c r="DC276" i="123"/>
  <c r="DC277" i="123"/>
  <c r="DC278" i="123"/>
  <c r="DC279" i="123"/>
  <c r="DC280" i="123"/>
  <c r="DC281" i="123"/>
  <c r="DC282" i="123"/>
  <c r="DC283" i="123"/>
  <c r="DC284" i="123"/>
  <c r="DC285" i="123"/>
  <c r="DC286" i="123"/>
  <c r="DC287" i="123"/>
  <c r="DC288" i="123"/>
  <c r="DC289" i="123"/>
  <c r="DC290" i="123"/>
  <c r="DC291" i="123"/>
  <c r="DC292" i="123"/>
  <c r="DC293" i="123"/>
  <c r="DC294" i="123"/>
  <c r="DC295" i="123"/>
  <c r="DC296" i="123"/>
  <c r="DC297" i="123"/>
  <c r="DC298" i="123"/>
  <c r="DC299" i="123"/>
  <c r="DC300" i="123"/>
  <c r="DC301" i="123"/>
  <c r="DC302" i="123"/>
  <c r="DC303" i="123"/>
  <c r="DC304" i="123"/>
  <c r="CV174" i="1"/>
  <c r="CV175" i="1"/>
  <c r="CV176" i="1"/>
  <c r="CV177" i="1"/>
  <c r="CV178" i="1"/>
  <c r="CV179" i="1"/>
  <c r="CV180" i="1"/>
  <c r="CV181" i="1"/>
  <c r="CV182" i="1"/>
  <c r="CV183" i="1"/>
  <c r="CV184" i="1"/>
  <c r="CV185" i="1"/>
  <c r="CV186" i="1"/>
  <c r="CV187" i="1"/>
  <c r="CV188" i="1"/>
  <c r="CV189" i="1"/>
  <c r="CV190" i="1"/>
  <c r="CV191" i="1"/>
  <c r="CV192" i="1"/>
  <c r="CV193" i="1"/>
  <c r="CV194" i="1"/>
  <c r="CV195" i="1"/>
  <c r="CV196" i="1"/>
  <c r="CV197" i="1"/>
  <c r="CV198" i="1"/>
  <c r="CV199" i="1"/>
  <c r="CV200" i="1"/>
  <c r="CV201" i="1"/>
  <c r="CV202" i="1"/>
  <c r="CV203" i="1"/>
  <c r="CV204" i="1"/>
  <c r="CV220" i="1"/>
  <c r="CV221" i="1"/>
  <c r="CV222" i="1"/>
  <c r="CV223" i="1"/>
  <c r="CV224" i="1"/>
  <c r="CV225" i="1"/>
  <c r="CV226" i="1"/>
  <c r="CV227" i="1"/>
  <c r="CV228" i="1"/>
  <c r="CV229" i="1"/>
  <c r="CV230" i="1"/>
  <c r="CV231" i="1"/>
  <c r="CV232" i="1"/>
  <c r="CV233" i="1"/>
  <c r="CV234" i="1"/>
  <c r="CV235" i="1"/>
  <c r="CV236" i="1"/>
  <c r="CV237" i="1"/>
  <c r="CV238" i="1"/>
  <c r="CV239" i="1"/>
  <c r="CV240" i="1"/>
  <c r="CV241" i="1"/>
  <c r="CV242" i="1"/>
  <c r="CV243" i="1"/>
  <c r="CV244" i="1"/>
  <c r="CV245" i="1"/>
  <c r="CV246" i="1"/>
  <c r="CV247" i="1"/>
  <c r="CV248" i="1"/>
  <c r="CV249" i="1"/>
  <c r="CV250" i="1"/>
  <c r="CV251" i="1"/>
  <c r="CV252" i="1"/>
  <c r="CV253" i="1"/>
  <c r="CV254" i="1"/>
  <c r="CV255" i="1"/>
  <c r="CV256" i="1"/>
  <c r="CV257" i="1"/>
  <c r="CV258" i="1"/>
  <c r="CV259" i="1"/>
  <c r="CV260" i="1"/>
  <c r="CV261" i="1"/>
  <c r="CV262" i="1"/>
  <c r="CV263" i="1"/>
  <c r="CV264" i="1"/>
  <c r="CV265" i="1"/>
  <c r="CV266" i="1"/>
  <c r="CV267" i="1"/>
  <c r="CV268" i="1"/>
  <c r="CV269" i="1"/>
  <c r="CV270" i="1"/>
  <c r="CV271" i="1"/>
  <c r="CV272" i="1"/>
  <c r="CV273" i="1"/>
  <c r="CV274" i="1"/>
  <c r="CV275" i="1"/>
  <c r="CV276" i="1"/>
  <c r="CV277" i="1"/>
  <c r="CV278" i="1"/>
  <c r="CV279" i="1"/>
  <c r="CV280" i="1"/>
  <c r="CV281" i="1"/>
  <c r="CV282" i="1"/>
  <c r="CV283" i="1"/>
  <c r="CV284" i="1"/>
  <c r="CV285" i="1"/>
  <c r="CV286" i="1"/>
  <c r="CV287" i="1"/>
  <c r="CV288" i="1"/>
  <c r="CV289" i="1"/>
  <c r="CV290" i="1"/>
  <c r="CV291" i="1"/>
  <c r="CV292" i="1"/>
  <c r="CV293" i="1"/>
  <c r="CV294" i="1"/>
  <c r="CV295" i="1"/>
  <c r="CV296" i="1"/>
  <c r="CV297" i="1"/>
  <c r="CV298" i="1"/>
  <c r="CV299" i="1"/>
  <c r="CV300" i="1"/>
  <c r="CV301" i="1"/>
  <c r="CV302" i="1"/>
  <c r="CV303" i="1"/>
  <c r="CV304" i="1"/>
  <c r="CV305" i="1"/>
  <c r="CV306" i="1"/>
  <c r="CV307" i="1"/>
  <c r="CV308" i="1"/>
  <c r="CV309" i="1"/>
  <c r="CV310" i="1"/>
  <c r="CV311" i="1"/>
  <c r="CV312" i="1"/>
  <c r="CV313" i="1"/>
  <c r="CV314" i="1"/>
  <c r="CV315" i="1"/>
  <c r="CV316" i="1"/>
  <c r="CV317" i="1"/>
  <c r="CV318" i="1"/>
  <c r="CV319" i="1"/>
  <c r="CV320" i="1"/>
  <c r="CV321" i="1"/>
  <c r="CV322" i="1"/>
  <c r="CV323" i="1"/>
  <c r="CV324" i="1"/>
  <c r="CV325" i="1"/>
  <c r="CV326" i="1"/>
  <c r="CV327" i="1"/>
  <c r="CV328" i="1"/>
  <c r="CV329" i="1"/>
  <c r="CV330" i="1"/>
  <c r="CV331" i="1"/>
  <c r="CV332" i="1"/>
  <c r="CV333" i="1"/>
  <c r="CV334" i="1"/>
  <c r="CV335" i="1"/>
  <c r="CV336" i="1"/>
  <c r="CV337" i="1"/>
  <c r="CV338" i="1"/>
  <c r="CV339" i="1"/>
  <c r="CV340" i="1"/>
  <c r="CV341" i="1"/>
  <c r="CV342" i="1"/>
  <c r="CV343" i="1"/>
  <c r="CV344" i="1"/>
  <c r="CV345" i="1"/>
  <c r="CV346" i="1"/>
  <c r="CV347" i="1"/>
  <c r="CV348" i="1"/>
  <c r="CV349" i="1"/>
  <c r="CV350" i="1"/>
  <c r="CV351" i="1"/>
  <c r="CV352" i="1"/>
  <c r="CV353" i="1"/>
  <c r="CV354" i="1"/>
  <c r="CV355" i="1"/>
  <c r="CV356" i="1"/>
  <c r="CV357" i="1"/>
  <c r="CV358" i="1"/>
  <c r="CV359" i="1"/>
  <c r="CV360" i="1"/>
  <c r="CV361" i="1"/>
  <c r="CV362" i="1"/>
  <c r="CV363" i="1"/>
  <c r="CV364" i="1"/>
  <c r="CV173" i="1"/>
  <c r="DC129" i="123"/>
  <c r="M102" i="71"/>
  <c r="EA17" i="98"/>
  <c r="EB16" i="98" s="1"/>
  <c r="C33" i="71"/>
  <c r="CX163" i="1" s="1"/>
  <c r="Z122" i="71"/>
  <c r="HV26" i="1" l="1"/>
  <c r="HX21" i="1"/>
  <c r="BI7" i="71" s="1"/>
  <c r="HW171" i="1"/>
  <c r="FI18" i="123"/>
  <c r="EB29" i="98"/>
  <c r="EA29" i="98"/>
  <c r="DE119" i="123"/>
  <c r="AF14" i="57"/>
  <c r="HW26" i="1" l="1"/>
  <c r="HY21" i="1"/>
  <c r="BJ7" i="71" s="1"/>
  <c r="HX171" i="1"/>
  <c r="FJ18" i="123"/>
  <c r="C3" i="123"/>
  <c r="C7" i="123" s="1"/>
  <c r="C4" i="1"/>
  <c r="C8" i="1" s="1"/>
  <c r="N3" i="97"/>
  <c r="R113" i="123" s="1"/>
  <c r="N4" i="97"/>
  <c r="R157" i="1" s="1"/>
  <c r="R35" i="97"/>
  <c r="C16" i="71"/>
  <c r="AC10" i="71" l="1"/>
  <c r="EN9" i="71" s="1"/>
  <c r="HX26" i="1"/>
  <c r="DE4" i="130"/>
  <c r="HZ21" i="1"/>
  <c r="BK7" i="71" s="1"/>
  <c r="HY171" i="1"/>
  <c r="DE3" i="130"/>
  <c r="V51" i="93"/>
  <c r="AL51" i="93"/>
  <c r="FK18" i="123"/>
  <c r="Y33" i="97"/>
  <c r="EV10" i="71" l="1"/>
  <c r="EE10" i="71"/>
  <c r="DH9" i="71"/>
  <c r="EY10" i="71"/>
  <c r="DY9" i="71"/>
  <c r="CL10" i="71"/>
  <c r="EU9" i="71"/>
  <c r="CM10" i="71"/>
  <c r="CU9" i="71"/>
  <c r="EP9" i="71"/>
  <c r="DP10" i="71"/>
  <c r="CB9" i="71"/>
  <c r="EK10" i="71"/>
  <c r="DI9" i="71"/>
  <c r="EX10" i="71"/>
  <c r="DJ9" i="71"/>
  <c r="CJ10" i="71"/>
  <c r="BY10" i="71"/>
  <c r="DA10" i="71"/>
  <c r="DR10" i="71"/>
  <c r="CD9" i="71"/>
  <c r="CF9" i="71"/>
  <c r="CV9" i="71"/>
  <c r="DL9" i="71"/>
  <c r="EB9" i="71"/>
  <c r="ER9" i="71"/>
  <c r="BX10" i="71"/>
  <c r="CN10" i="71"/>
  <c r="DD10" i="71"/>
  <c r="DT10" i="71"/>
  <c r="EJ10" i="71"/>
  <c r="EZ10" i="71"/>
  <c r="CK9" i="71"/>
  <c r="CH9" i="71"/>
  <c r="CX9" i="71"/>
  <c r="DN9" i="71"/>
  <c r="ED9" i="71"/>
  <c r="ET9" i="71"/>
  <c r="BZ10" i="71"/>
  <c r="CP10" i="71"/>
  <c r="DF10" i="71"/>
  <c r="DV10" i="71"/>
  <c r="EL10" i="71"/>
  <c r="CI9" i="71"/>
  <c r="CY9" i="71"/>
  <c r="CO9" i="71"/>
  <c r="EG9" i="71"/>
  <c r="CC10" i="71"/>
  <c r="DI10" i="71"/>
  <c r="EO10" i="71"/>
  <c r="DS9" i="71"/>
  <c r="EY9" i="71"/>
  <c r="CU10" i="71"/>
  <c r="EA10" i="71"/>
  <c r="CW9" i="71"/>
  <c r="EK9" i="71"/>
  <c r="CG10" i="71"/>
  <c r="DM10" i="71"/>
  <c r="ES10" i="71"/>
  <c r="DW9" i="71"/>
  <c r="CA10" i="71"/>
  <c r="DG10" i="71"/>
  <c r="EM10" i="71"/>
  <c r="CJ9" i="71"/>
  <c r="CZ9" i="71"/>
  <c r="DP9" i="71"/>
  <c r="EF9" i="71"/>
  <c r="EV9" i="71"/>
  <c r="CB10" i="71"/>
  <c r="CR10" i="71"/>
  <c r="DH10" i="71"/>
  <c r="DX10" i="71"/>
  <c r="EN10" i="71"/>
  <c r="BY9" i="71"/>
  <c r="BV9" i="71"/>
  <c r="CL9" i="71"/>
  <c r="DB9" i="71"/>
  <c r="DR9" i="71"/>
  <c r="EH9" i="71"/>
  <c r="EX9" i="71"/>
  <c r="CD10" i="71"/>
  <c r="CT10" i="71"/>
  <c r="DJ10" i="71"/>
  <c r="DZ10" i="71"/>
  <c r="EP10" i="71"/>
  <c r="BW9" i="71"/>
  <c r="CM9" i="71"/>
  <c r="DC9" i="71"/>
  <c r="DE9" i="71"/>
  <c r="EO9" i="71"/>
  <c r="CK10" i="71"/>
  <c r="DQ10" i="71"/>
  <c r="EW10" i="71"/>
  <c r="EA9" i="71"/>
  <c r="BW10" i="71"/>
  <c r="DC10" i="71"/>
  <c r="EI10" i="71"/>
  <c r="DM9" i="71"/>
  <c r="ES9" i="71"/>
  <c r="CO10" i="71"/>
  <c r="DU10" i="71"/>
  <c r="FA10" i="71"/>
  <c r="EE9" i="71"/>
  <c r="CI10" i="71"/>
  <c r="DO10" i="71"/>
  <c r="DW10" i="71"/>
  <c r="EM9" i="71"/>
  <c r="EC10" i="71"/>
  <c r="FA9" i="71"/>
  <c r="EQ10" i="71"/>
  <c r="CE10" i="71"/>
  <c r="CS9" i="71"/>
  <c r="CS10" i="71"/>
  <c r="DQ9" i="71"/>
  <c r="CQ9" i="71"/>
  <c r="ET10" i="71"/>
  <c r="DN10" i="71"/>
  <c r="CH10" i="71"/>
  <c r="EL9" i="71"/>
  <c r="DF9" i="71"/>
  <c r="BZ9" i="71"/>
  <c r="ER10" i="71"/>
  <c r="DL10" i="71"/>
  <c r="CF10" i="71"/>
  <c r="EJ9" i="71"/>
  <c r="DD9" i="71"/>
  <c r="BX9" i="71"/>
  <c r="AE10" i="71"/>
  <c r="CY10" i="71"/>
  <c r="DO9" i="71"/>
  <c r="DE10" i="71"/>
  <c r="EC9" i="71"/>
  <c r="DS10" i="71"/>
  <c r="EQ9" i="71"/>
  <c r="EG10" i="71"/>
  <c r="DK9" i="71"/>
  <c r="CE9" i="71"/>
  <c r="EH10" i="71"/>
  <c r="DB10" i="71"/>
  <c r="BV10" i="71"/>
  <c r="DZ9" i="71"/>
  <c r="CT9" i="71"/>
  <c r="CG9" i="71"/>
  <c r="EF10" i="71"/>
  <c r="CZ10" i="71"/>
  <c r="DX9" i="71"/>
  <c r="CR9" i="71"/>
  <c r="EU10" i="71"/>
  <c r="CQ10" i="71"/>
  <c r="DA9" i="71"/>
  <c r="CW10" i="71"/>
  <c r="DU9" i="71"/>
  <c r="DK10" i="71"/>
  <c r="EI9" i="71"/>
  <c r="DY10" i="71"/>
  <c r="EW9" i="71"/>
  <c r="DG9" i="71"/>
  <c r="CA9" i="71"/>
  <c r="ED10" i="71"/>
  <c r="CX10" i="71"/>
  <c r="DV9" i="71"/>
  <c r="CP9" i="71"/>
  <c r="CC9" i="71"/>
  <c r="EB10" i="71"/>
  <c r="CV10" i="71"/>
  <c r="EZ9" i="71"/>
  <c r="DT9" i="71"/>
  <c r="CN9" i="71"/>
  <c r="HY26" i="1"/>
  <c r="IA21" i="1"/>
  <c r="BL7" i="71" s="1"/>
  <c r="HZ171" i="1"/>
  <c r="FL18" i="123"/>
  <c r="G2" i="97"/>
  <c r="N33" i="97"/>
  <c r="HZ26" i="1" l="1"/>
  <c r="IB21" i="1"/>
  <c r="BM7" i="71" s="1"/>
  <c r="IA171" i="1"/>
  <c r="FM18" i="123"/>
  <c r="FO20" i="98"/>
  <c r="HD35" i="93"/>
  <c r="IE57" i="93"/>
  <c r="G3" i="97"/>
  <c r="P2" i="127" s="1"/>
  <c r="CY163" i="1"/>
  <c r="DF119" i="123"/>
  <c r="I35" i="97"/>
  <c r="C30" i="71"/>
  <c r="O96" i="71" s="1"/>
  <c r="O3" i="1"/>
  <c r="Q159" i="1" s="1"/>
  <c r="O2" i="123"/>
  <c r="Q115" i="123" s="1"/>
  <c r="E24" i="98" s="1"/>
  <c r="H45" i="97"/>
  <c r="HD35" i="71"/>
  <c r="W10" i="97" l="1"/>
  <c r="DE6" i="130"/>
  <c r="N28" i="93"/>
  <c r="IA26" i="1"/>
  <c r="ED134" i="98"/>
  <c r="C6" i="123"/>
  <c r="O2" i="136"/>
  <c r="IC21" i="1"/>
  <c r="BN7" i="71" s="1"/>
  <c r="IB171" i="1"/>
  <c r="FN18" i="123"/>
  <c r="AF2" i="134"/>
  <c r="T2" i="135" s="1"/>
  <c r="E116" i="71"/>
  <c r="HI21" i="93"/>
  <c r="II56" i="93" s="1"/>
  <c r="EB6" i="98"/>
  <c r="C29" i="71"/>
  <c r="M118" i="71" s="1"/>
  <c r="C7" i="1"/>
  <c r="DE213" i="123" l="1"/>
  <c r="DF213" i="123" s="1"/>
  <c r="DN213" i="123"/>
  <c r="EC213" i="123" s="1"/>
  <c r="CX209" i="1"/>
  <c r="CY209" i="1" s="1"/>
  <c r="FO209" i="1"/>
  <c r="FY209" i="1"/>
  <c r="DE221" i="123"/>
  <c r="DF221" i="123" s="1"/>
  <c r="DN221" i="123"/>
  <c r="EC221" i="123" s="1"/>
  <c r="DN220" i="123"/>
  <c r="EC220" i="123" s="1"/>
  <c r="DE218" i="123"/>
  <c r="DF218" i="123" s="1"/>
  <c r="DE219" i="123"/>
  <c r="DF219" i="123" s="1"/>
  <c r="DE220" i="123"/>
  <c r="DF220" i="123" s="1"/>
  <c r="DE222" i="123"/>
  <c r="DF222" i="123" s="1"/>
  <c r="DN219" i="123"/>
  <c r="EC219" i="123" s="1"/>
  <c r="DN218" i="123"/>
  <c r="EC218" i="123" s="1"/>
  <c r="DN222" i="123"/>
  <c r="EC222" i="123" s="1"/>
  <c r="DE217" i="123"/>
  <c r="DF217" i="123" s="1"/>
  <c r="DE223" i="123"/>
  <c r="DF223" i="123" s="1"/>
  <c r="DN223" i="123"/>
  <c r="EC223" i="123" s="1"/>
  <c r="DN217" i="123"/>
  <c r="EC217" i="123" s="1"/>
  <c r="CX219" i="1"/>
  <c r="CY219" i="1" s="1"/>
  <c r="FO219" i="1"/>
  <c r="FY219" i="1"/>
  <c r="CX217" i="1"/>
  <c r="CY217" i="1" s="1"/>
  <c r="FO217" i="1"/>
  <c r="FY217" i="1"/>
  <c r="CX214" i="1"/>
  <c r="CY214" i="1" s="1"/>
  <c r="FO214" i="1"/>
  <c r="FY214" i="1"/>
  <c r="CX212" i="1"/>
  <c r="CY212" i="1" s="1"/>
  <c r="FO212" i="1"/>
  <c r="FY212" i="1"/>
  <c r="FO210" i="1"/>
  <c r="CX210" i="1"/>
  <c r="CY210" i="1" s="1"/>
  <c r="FY210" i="1"/>
  <c r="FO216" i="1"/>
  <c r="FO218" i="1"/>
  <c r="CX216" i="1"/>
  <c r="CY216" i="1" s="1"/>
  <c r="CX218" i="1"/>
  <c r="CY218" i="1" s="1"/>
  <c r="FY218" i="1"/>
  <c r="FY216" i="1"/>
  <c r="G18" i="123"/>
  <c r="G19" i="123" s="1"/>
  <c r="G29" i="1"/>
  <c r="G30" i="1" s="1"/>
  <c r="M40" i="93"/>
  <c r="M37" i="93"/>
  <c r="L37" i="93"/>
  <c r="IB26" i="1"/>
  <c r="E168" i="71"/>
  <c r="DA165" i="1"/>
  <c r="DA164" i="1"/>
  <c r="DQ120" i="123"/>
  <c r="DQ121" i="123"/>
  <c r="FO215" i="1"/>
  <c r="CX215" i="1"/>
  <c r="CY215" i="1" s="1"/>
  <c r="DE214" i="123"/>
  <c r="DF214" i="123" s="1"/>
  <c r="DE212" i="123"/>
  <c r="DF212" i="123" s="1"/>
  <c r="DE215" i="123"/>
  <c r="DF215" i="123" s="1"/>
  <c r="FO213" i="1"/>
  <c r="CX213" i="1"/>
  <c r="CY213" i="1" s="1"/>
  <c r="FO211" i="1"/>
  <c r="CX211" i="1"/>
  <c r="CY211" i="1" s="1"/>
  <c r="F126" i="123"/>
  <c r="F170" i="1"/>
  <c r="ED117" i="98"/>
  <c r="DE211" i="123"/>
  <c r="DF211" i="123" s="1"/>
  <c r="DE224" i="123"/>
  <c r="DF224" i="123" s="1"/>
  <c r="DE210" i="123"/>
  <c r="DF210" i="123" s="1"/>
  <c r="DE216" i="123"/>
  <c r="DF216" i="123" s="1"/>
  <c r="FO207" i="1"/>
  <c r="FO208" i="1"/>
  <c r="CX205" i="1"/>
  <c r="CY205" i="1" s="1"/>
  <c r="CX206" i="1"/>
  <c r="CY206" i="1" s="1"/>
  <c r="CX207" i="1"/>
  <c r="CY207" i="1" s="1"/>
  <c r="CX208" i="1"/>
  <c r="CY208" i="1" s="1"/>
  <c r="FO205" i="1"/>
  <c r="FO206" i="1"/>
  <c r="GE22" i="98"/>
  <c r="GR43" i="1"/>
  <c r="FO177" i="1"/>
  <c r="FO181" i="1"/>
  <c r="FO185" i="1"/>
  <c r="FO189" i="1"/>
  <c r="FO193" i="1"/>
  <c r="FO197" i="1"/>
  <c r="CM197" i="1" s="1"/>
  <c r="FO201" i="1"/>
  <c r="FO220" i="1"/>
  <c r="FO224" i="1"/>
  <c r="FO228" i="1"/>
  <c r="FO232" i="1"/>
  <c r="FO236" i="1"/>
  <c r="FO240" i="1"/>
  <c r="FO244" i="1"/>
  <c r="FO248" i="1"/>
  <c r="FO252" i="1"/>
  <c r="FO256" i="1"/>
  <c r="FO260" i="1"/>
  <c r="FO264" i="1"/>
  <c r="FO268" i="1"/>
  <c r="FO272" i="1"/>
  <c r="FO276" i="1"/>
  <c r="FO280" i="1"/>
  <c r="FO284" i="1"/>
  <c r="FO288" i="1"/>
  <c r="FO292" i="1"/>
  <c r="FO296" i="1"/>
  <c r="FO300" i="1"/>
  <c r="FO304" i="1"/>
  <c r="FO308" i="1"/>
  <c r="FO312" i="1"/>
  <c r="FO316" i="1"/>
  <c r="FO320" i="1"/>
  <c r="FO324" i="1"/>
  <c r="FO328" i="1"/>
  <c r="FO332" i="1"/>
  <c r="FO334" i="1"/>
  <c r="FO338" i="1"/>
  <c r="FO342" i="1"/>
  <c r="FO346" i="1"/>
  <c r="FO350" i="1"/>
  <c r="FO354" i="1"/>
  <c r="FO358" i="1"/>
  <c r="FO362" i="1"/>
  <c r="FO174" i="1"/>
  <c r="FO178" i="1"/>
  <c r="FO182" i="1"/>
  <c r="FO186" i="1"/>
  <c r="FO190" i="1"/>
  <c r="FO194" i="1"/>
  <c r="FO198" i="1"/>
  <c r="CM198" i="1" s="1"/>
  <c r="FO202" i="1"/>
  <c r="CM202" i="1" s="1"/>
  <c r="FO221" i="1"/>
  <c r="FO225" i="1"/>
  <c r="FO229" i="1"/>
  <c r="FO233" i="1"/>
  <c r="FO237" i="1"/>
  <c r="FO241" i="1"/>
  <c r="FO245" i="1"/>
  <c r="FO249" i="1"/>
  <c r="FO253" i="1"/>
  <c r="FO257" i="1"/>
  <c r="FO261" i="1"/>
  <c r="FO265" i="1"/>
  <c r="FO269" i="1"/>
  <c r="FO273" i="1"/>
  <c r="FO277" i="1"/>
  <c r="FO281" i="1"/>
  <c r="FO285" i="1"/>
  <c r="FO289" i="1"/>
  <c r="FO293" i="1"/>
  <c r="FO297" i="1"/>
  <c r="FO301" i="1"/>
  <c r="FO305" i="1"/>
  <c r="FO309" i="1"/>
  <c r="FO313" i="1"/>
  <c r="FO317" i="1"/>
  <c r="FO321" i="1"/>
  <c r="FO325" i="1"/>
  <c r="FO329" i="1"/>
  <c r="FO333" i="1"/>
  <c r="FO335" i="1"/>
  <c r="FO339" i="1"/>
  <c r="FO343" i="1"/>
  <c r="FO175" i="1"/>
  <c r="FO183" i="1"/>
  <c r="FO191" i="1"/>
  <c r="FO199" i="1"/>
  <c r="CM199" i="1" s="1"/>
  <c r="FO222" i="1"/>
  <c r="FO230" i="1"/>
  <c r="FO238" i="1"/>
  <c r="FO246" i="1"/>
  <c r="FO254" i="1"/>
  <c r="FO262" i="1"/>
  <c r="FO270" i="1"/>
  <c r="FO278" i="1"/>
  <c r="FO286" i="1"/>
  <c r="FO294" i="1"/>
  <c r="FO302" i="1"/>
  <c r="FO310" i="1"/>
  <c r="FO318" i="1"/>
  <c r="FO326" i="1"/>
  <c r="FO340" i="1"/>
  <c r="FO347" i="1"/>
  <c r="FO352" i="1"/>
  <c r="FO357" i="1"/>
  <c r="FO363" i="1"/>
  <c r="FO176" i="1"/>
  <c r="FO184" i="1"/>
  <c r="FO192" i="1"/>
  <c r="FO200" i="1"/>
  <c r="FO223" i="1"/>
  <c r="FO231" i="1"/>
  <c r="FO239" i="1"/>
  <c r="FO247" i="1"/>
  <c r="FO255" i="1"/>
  <c r="FO263" i="1"/>
  <c r="FO271" i="1"/>
  <c r="FO279" i="1"/>
  <c r="FO287" i="1"/>
  <c r="FO295" i="1"/>
  <c r="FO303" i="1"/>
  <c r="FO311" i="1"/>
  <c r="FO319" i="1"/>
  <c r="FO327" i="1"/>
  <c r="FO341" i="1"/>
  <c r="FO348" i="1"/>
  <c r="FO353" i="1"/>
  <c r="FO359" i="1"/>
  <c r="FO364" i="1"/>
  <c r="FO314" i="1"/>
  <c r="FO330" i="1"/>
  <c r="FO336" i="1"/>
  <c r="FO349" i="1"/>
  <c r="FO355" i="1"/>
  <c r="FO360" i="1"/>
  <c r="FO180" i="1"/>
  <c r="FO196" i="1"/>
  <c r="CM196" i="1" s="1"/>
  <c r="FO227" i="1"/>
  <c r="FO243" i="1"/>
  <c r="FO259" i="1"/>
  <c r="FO275" i="1"/>
  <c r="FO291" i="1"/>
  <c r="FO307" i="1"/>
  <c r="FO315" i="1"/>
  <c r="FO331" i="1"/>
  <c r="FO345" i="1"/>
  <c r="FO356" i="1"/>
  <c r="FO179" i="1"/>
  <c r="FO187" i="1"/>
  <c r="FO195" i="1"/>
  <c r="CM195" i="1" s="1"/>
  <c r="FO203" i="1"/>
  <c r="FO226" i="1"/>
  <c r="FO234" i="1"/>
  <c r="FO242" i="1"/>
  <c r="FO250" i="1"/>
  <c r="FO258" i="1"/>
  <c r="FO266" i="1"/>
  <c r="FO274" i="1"/>
  <c r="FO282" i="1"/>
  <c r="FO290" i="1"/>
  <c r="FO298" i="1"/>
  <c r="FO306" i="1"/>
  <c r="FO322" i="1"/>
  <c r="FO344" i="1"/>
  <c r="FO173" i="1"/>
  <c r="FO188" i="1"/>
  <c r="FO204" i="1"/>
  <c r="FO235" i="1"/>
  <c r="FO251" i="1"/>
  <c r="FO267" i="1"/>
  <c r="FO283" i="1"/>
  <c r="FO299" i="1"/>
  <c r="FO323" i="1"/>
  <c r="FO337" i="1"/>
  <c r="FO351" i="1"/>
  <c r="FO361" i="1"/>
  <c r="P72" i="136"/>
  <c r="E72" i="136" s="1"/>
  <c r="P76" i="136"/>
  <c r="E76" i="136" s="1"/>
  <c r="P80" i="136"/>
  <c r="E80" i="136" s="1"/>
  <c r="P84" i="136"/>
  <c r="E84" i="136" s="1"/>
  <c r="P88" i="136"/>
  <c r="E88" i="136" s="1"/>
  <c r="P92" i="136"/>
  <c r="E92" i="136" s="1"/>
  <c r="P96" i="136"/>
  <c r="E96" i="136" s="1"/>
  <c r="P100" i="136"/>
  <c r="E100" i="136" s="1"/>
  <c r="P104" i="136"/>
  <c r="E104" i="136" s="1"/>
  <c r="P108" i="136"/>
  <c r="E108" i="136" s="1"/>
  <c r="P112" i="136"/>
  <c r="E112" i="136" s="1"/>
  <c r="P116" i="136"/>
  <c r="E116" i="136" s="1"/>
  <c r="P120" i="136"/>
  <c r="E120" i="136" s="1"/>
  <c r="P124" i="136"/>
  <c r="E124" i="136" s="1"/>
  <c r="P69" i="136"/>
  <c r="E69" i="136" s="1"/>
  <c r="P73" i="136"/>
  <c r="E73" i="136" s="1"/>
  <c r="P77" i="136"/>
  <c r="E77" i="136" s="1"/>
  <c r="P81" i="136"/>
  <c r="E81" i="136" s="1"/>
  <c r="P85" i="136"/>
  <c r="E85" i="136" s="1"/>
  <c r="P89" i="136"/>
  <c r="E89" i="136" s="1"/>
  <c r="P93" i="136"/>
  <c r="E93" i="136" s="1"/>
  <c r="P97" i="136"/>
  <c r="E97" i="136" s="1"/>
  <c r="P101" i="136"/>
  <c r="E101" i="136" s="1"/>
  <c r="P105" i="136"/>
  <c r="E105" i="136" s="1"/>
  <c r="P109" i="136"/>
  <c r="E109" i="136" s="1"/>
  <c r="P113" i="136"/>
  <c r="E113" i="136" s="1"/>
  <c r="P117" i="136"/>
  <c r="E117" i="136" s="1"/>
  <c r="P121" i="136"/>
  <c r="E121" i="136" s="1"/>
  <c r="P125" i="136"/>
  <c r="E125" i="136" s="1"/>
  <c r="P70" i="136"/>
  <c r="E70" i="136" s="1"/>
  <c r="P74" i="136"/>
  <c r="E74" i="136" s="1"/>
  <c r="P78" i="136"/>
  <c r="E78" i="136" s="1"/>
  <c r="P82" i="136"/>
  <c r="E82" i="136" s="1"/>
  <c r="P86" i="136"/>
  <c r="E86" i="136" s="1"/>
  <c r="P90" i="136"/>
  <c r="E90" i="136" s="1"/>
  <c r="P94" i="136"/>
  <c r="E94" i="136" s="1"/>
  <c r="P98" i="136"/>
  <c r="E98" i="136" s="1"/>
  <c r="P102" i="136"/>
  <c r="E102" i="136" s="1"/>
  <c r="P106" i="136"/>
  <c r="E106" i="136" s="1"/>
  <c r="P110" i="136"/>
  <c r="E110" i="136" s="1"/>
  <c r="P114" i="136"/>
  <c r="E114" i="136" s="1"/>
  <c r="P118" i="136"/>
  <c r="E118" i="136" s="1"/>
  <c r="P122" i="136"/>
  <c r="E122" i="136" s="1"/>
  <c r="P126" i="136"/>
  <c r="E126" i="136" s="1"/>
  <c r="P71" i="136"/>
  <c r="E71" i="136" s="1"/>
  <c r="P75" i="136"/>
  <c r="E75" i="136" s="1"/>
  <c r="P79" i="136"/>
  <c r="E79" i="136" s="1"/>
  <c r="P83" i="136"/>
  <c r="E83" i="136" s="1"/>
  <c r="P87" i="136"/>
  <c r="E87" i="136" s="1"/>
  <c r="P91" i="136"/>
  <c r="E91" i="136" s="1"/>
  <c r="P95" i="136"/>
  <c r="E95" i="136" s="1"/>
  <c r="P99" i="136"/>
  <c r="E99" i="136" s="1"/>
  <c r="P103" i="136"/>
  <c r="E103" i="136" s="1"/>
  <c r="P107" i="136"/>
  <c r="E107" i="136" s="1"/>
  <c r="P111" i="136"/>
  <c r="E111" i="136" s="1"/>
  <c r="P115" i="136"/>
  <c r="E115" i="136" s="1"/>
  <c r="P119" i="136"/>
  <c r="E119" i="136" s="1"/>
  <c r="P123" i="136"/>
  <c r="E123" i="136" s="1"/>
  <c r="ID21" i="1"/>
  <c r="BO7" i="71" s="1"/>
  <c r="IC171" i="1"/>
  <c r="GT25" i="1"/>
  <c r="EG17" i="123"/>
  <c r="B2" i="134"/>
  <c r="X2" i="134"/>
  <c r="D2" i="134"/>
  <c r="ED118" i="98" s="1"/>
  <c r="E2" i="134"/>
  <c r="O2" i="134"/>
  <c r="FR20" i="98"/>
  <c r="L112" i="71"/>
  <c r="L110" i="71"/>
  <c r="K108" i="71"/>
  <c r="HG62" i="93"/>
  <c r="DE231" i="123"/>
  <c r="DF231" i="123" s="1"/>
  <c r="HG33" i="93"/>
  <c r="HG42" i="93"/>
  <c r="HG37" i="93"/>
  <c r="HG58" i="93"/>
  <c r="I114" i="71"/>
  <c r="I123" i="71"/>
  <c r="T116" i="71"/>
  <c r="O118" i="71"/>
  <c r="IH56" i="93"/>
  <c r="DE227" i="123"/>
  <c r="DF227" i="123" s="1"/>
  <c r="J119" i="71"/>
  <c r="AA120" i="123"/>
  <c r="AA164" i="1"/>
  <c r="AB164" i="1" s="1"/>
  <c r="F106" i="71"/>
  <c r="CM217" i="1" l="1"/>
  <c r="AA217" i="1" s="1"/>
  <c r="AN217" i="1"/>
  <c r="CM181" i="1"/>
  <c r="AN181" i="1"/>
  <c r="CM211" i="1"/>
  <c r="AN211" i="1"/>
  <c r="CM179" i="1"/>
  <c r="AN179" i="1"/>
  <c r="CM180" i="1"/>
  <c r="AN180" i="1"/>
  <c r="CM333" i="1"/>
  <c r="AN333" i="1"/>
  <c r="CM182" i="1"/>
  <c r="AN182" i="1"/>
  <c r="CM185" i="1"/>
  <c r="AN185" i="1"/>
  <c r="CM176" i="1"/>
  <c r="AN176" i="1"/>
  <c r="CM219" i="1"/>
  <c r="AA219" i="1" s="1"/>
  <c r="AN219" i="1"/>
  <c r="AN209" i="1"/>
  <c r="CM209" i="1"/>
  <c r="AA209" i="1" s="1"/>
  <c r="CM212" i="1"/>
  <c r="AA212" i="1" s="1"/>
  <c r="AN212" i="1"/>
  <c r="CM214" i="1"/>
  <c r="AA214" i="1" s="1"/>
  <c r="AN214" i="1"/>
  <c r="AN210" i="1"/>
  <c r="CM210" i="1"/>
  <c r="AA210" i="1" s="1"/>
  <c r="CM218" i="1"/>
  <c r="AA218" i="1" s="1"/>
  <c r="AN218" i="1"/>
  <c r="CM216" i="1"/>
  <c r="AA216" i="1" s="1"/>
  <c r="AN216" i="1"/>
  <c r="IC26" i="1"/>
  <c r="AN215" i="1"/>
  <c r="CM215" i="1"/>
  <c r="AN213" i="1"/>
  <c r="CM213" i="1"/>
  <c r="CM207" i="1"/>
  <c r="AN207" i="1"/>
  <c r="EH17" i="123"/>
  <c r="CM208" i="1"/>
  <c r="AN208" i="1"/>
  <c r="AN206" i="1"/>
  <c r="CM206" i="1"/>
  <c r="CM205" i="1"/>
  <c r="AN205" i="1"/>
  <c r="GT20" i="1"/>
  <c r="U111" i="135"/>
  <c r="X111" i="135" s="1"/>
  <c r="U70" i="135"/>
  <c r="P70" i="135" s="1"/>
  <c r="CM175" i="1"/>
  <c r="AN175" i="1"/>
  <c r="U75" i="135"/>
  <c r="W75" i="135" s="1"/>
  <c r="U116" i="135"/>
  <c r="Q116" i="135" s="1"/>
  <c r="Z116" i="135" s="1"/>
  <c r="U113" i="135"/>
  <c r="W113" i="135" s="1"/>
  <c r="U88" i="135"/>
  <c r="F88" i="135" s="1"/>
  <c r="U107" i="135"/>
  <c r="Q107" i="135" s="1"/>
  <c r="Z107" i="135" s="1"/>
  <c r="U102" i="135"/>
  <c r="W102" i="135" s="1"/>
  <c r="U97" i="135"/>
  <c r="Q97" i="135" s="1"/>
  <c r="Z97" i="135" s="1"/>
  <c r="U118" i="135"/>
  <c r="X118" i="135" s="1"/>
  <c r="U100" i="135"/>
  <c r="Q100" i="135" s="1"/>
  <c r="Z100" i="135" s="1"/>
  <c r="U91" i="135"/>
  <c r="F91" i="135" s="1"/>
  <c r="U86" i="135"/>
  <c r="W86" i="135" s="1"/>
  <c r="U81" i="135"/>
  <c r="K81" i="135" s="1"/>
  <c r="U123" i="135"/>
  <c r="L123" i="135" s="1"/>
  <c r="Y123" i="135" s="1"/>
  <c r="U72" i="135"/>
  <c r="Q72" i="135" s="1"/>
  <c r="Z72" i="135" s="1"/>
  <c r="U84" i="135"/>
  <c r="X84" i="135" s="1"/>
  <c r="U96" i="135"/>
  <c r="Q96" i="135" s="1"/>
  <c r="Z96" i="135" s="1"/>
  <c r="U108" i="135"/>
  <c r="B108" i="135" s="1"/>
  <c r="U103" i="135"/>
  <c r="L103" i="135" s="1"/>
  <c r="Y103" i="135" s="1"/>
  <c r="U87" i="135"/>
  <c r="B87" i="135" s="1"/>
  <c r="U71" i="135"/>
  <c r="L71" i="135" s="1"/>
  <c r="Y71" i="135" s="1"/>
  <c r="U114" i="135"/>
  <c r="L114" i="135" s="1"/>
  <c r="Y114" i="135" s="1"/>
  <c r="U98" i="135"/>
  <c r="X98" i="135" s="1"/>
  <c r="U82" i="135"/>
  <c r="K82" i="135" s="1"/>
  <c r="U125" i="135"/>
  <c r="W125" i="135" s="1"/>
  <c r="U109" i="135"/>
  <c r="A109" i="135" s="1"/>
  <c r="U93" i="135"/>
  <c r="P93" i="135" s="1"/>
  <c r="U77" i="135"/>
  <c r="Q77" i="135" s="1"/>
  <c r="Z77" i="135" s="1"/>
  <c r="U115" i="135"/>
  <c r="W115" i="135" s="1"/>
  <c r="U120" i="135"/>
  <c r="Q120" i="135" s="1"/>
  <c r="Z120" i="135" s="1"/>
  <c r="U127" i="135"/>
  <c r="X127" i="135" s="1"/>
  <c r="U80" i="135"/>
  <c r="K80" i="135" s="1"/>
  <c r="U92" i="135"/>
  <c r="X92" i="135" s="1"/>
  <c r="U99" i="135"/>
  <c r="F99" i="135" s="1"/>
  <c r="U83" i="135"/>
  <c r="X83" i="135" s="1"/>
  <c r="U126" i="135"/>
  <c r="P126" i="135" s="1"/>
  <c r="U110" i="135"/>
  <c r="Q110" i="135" s="1"/>
  <c r="Z110" i="135" s="1"/>
  <c r="U94" i="135"/>
  <c r="W94" i="135" s="1"/>
  <c r="U78" i="135"/>
  <c r="P78" i="135" s="1"/>
  <c r="U121" i="135"/>
  <c r="Q121" i="135" s="1"/>
  <c r="Z121" i="135" s="1"/>
  <c r="U105" i="135"/>
  <c r="D105" i="135" s="1"/>
  <c r="U89" i="135"/>
  <c r="P89" i="135" s="1"/>
  <c r="U73" i="135"/>
  <c r="X73" i="135" s="1"/>
  <c r="U104" i="135"/>
  <c r="W104" i="135" s="1"/>
  <c r="U112" i="135"/>
  <c r="K112" i="135" s="1"/>
  <c r="U119" i="135"/>
  <c r="K119" i="135" s="1"/>
  <c r="U124" i="135"/>
  <c r="X124" i="135" s="1"/>
  <c r="U76" i="135"/>
  <c r="B76" i="135" s="1"/>
  <c r="U95" i="135"/>
  <c r="E95" i="135" s="1"/>
  <c r="U79" i="135"/>
  <c r="B79" i="135" s="1"/>
  <c r="U122" i="135"/>
  <c r="X122" i="135" s="1"/>
  <c r="U106" i="135"/>
  <c r="P106" i="135" s="1"/>
  <c r="U90" i="135"/>
  <c r="D90" i="135" s="1"/>
  <c r="U74" i="135"/>
  <c r="D74" i="135" s="1"/>
  <c r="U117" i="135"/>
  <c r="Q117" i="135" s="1"/>
  <c r="Z117" i="135" s="1"/>
  <c r="U101" i="135"/>
  <c r="K101" i="135" s="1"/>
  <c r="U85" i="135"/>
  <c r="C85" i="135" s="1"/>
  <c r="AN346" i="1"/>
  <c r="CM346" i="1"/>
  <c r="AN316" i="1"/>
  <c r="CM316" i="1"/>
  <c r="AN284" i="1"/>
  <c r="CM284" i="1"/>
  <c r="CM252" i="1"/>
  <c r="AN252" i="1"/>
  <c r="AN220" i="1"/>
  <c r="CM220" i="1"/>
  <c r="AN361" i="1"/>
  <c r="CM361" i="1"/>
  <c r="CM337" i="1"/>
  <c r="AN337" i="1"/>
  <c r="AN307" i="1"/>
  <c r="CM307" i="1"/>
  <c r="CM275" i="1"/>
  <c r="AN275" i="1"/>
  <c r="AN243" i="1"/>
  <c r="CM243" i="1"/>
  <c r="AN360" i="1"/>
  <c r="CM360" i="1"/>
  <c r="AN334" i="1"/>
  <c r="CM334" i="1"/>
  <c r="CM304" i="1"/>
  <c r="AN304" i="1"/>
  <c r="AN272" i="1"/>
  <c r="CM272" i="1"/>
  <c r="CM240" i="1"/>
  <c r="AN240" i="1"/>
  <c r="AN193" i="1"/>
  <c r="CM193" i="1"/>
  <c r="AN358" i="1"/>
  <c r="CM358" i="1"/>
  <c r="AN303" i="1"/>
  <c r="CM303" i="1"/>
  <c r="AN271" i="1"/>
  <c r="CM271" i="1"/>
  <c r="AN239" i="1"/>
  <c r="CM239" i="1"/>
  <c r="CM192" i="1"/>
  <c r="AN192" i="1"/>
  <c r="AN340" i="1"/>
  <c r="CM340" i="1"/>
  <c r="AN326" i="1"/>
  <c r="CM326" i="1"/>
  <c r="AN310" i="1"/>
  <c r="CM310" i="1"/>
  <c r="AN294" i="1"/>
  <c r="CM294" i="1"/>
  <c r="AN278" i="1"/>
  <c r="CM278" i="1"/>
  <c r="AN262" i="1"/>
  <c r="CM262" i="1"/>
  <c r="AN246" i="1"/>
  <c r="CM246" i="1"/>
  <c r="AN230" i="1"/>
  <c r="CM230" i="1"/>
  <c r="CM183" i="1"/>
  <c r="AN183" i="1"/>
  <c r="CM359" i="1"/>
  <c r="AN359" i="1"/>
  <c r="CM343" i="1"/>
  <c r="AN343" i="1"/>
  <c r="AN329" i="1"/>
  <c r="CM329" i="1"/>
  <c r="CM313" i="1"/>
  <c r="AN313" i="1"/>
  <c r="AN297" i="1"/>
  <c r="CM297" i="1"/>
  <c r="AN281" i="1"/>
  <c r="CM281" i="1"/>
  <c r="CM265" i="1"/>
  <c r="AN265" i="1"/>
  <c r="AN249" i="1"/>
  <c r="CM249" i="1"/>
  <c r="CM233" i="1"/>
  <c r="AN233" i="1"/>
  <c r="CM186" i="1"/>
  <c r="AN186" i="1"/>
  <c r="CM362" i="1"/>
  <c r="AN362" i="1"/>
  <c r="AN338" i="1"/>
  <c r="CM338" i="1"/>
  <c r="CM308" i="1"/>
  <c r="AN308" i="1"/>
  <c r="CM276" i="1"/>
  <c r="AN276" i="1"/>
  <c r="CM244" i="1"/>
  <c r="AN244" i="1"/>
  <c r="AN356" i="1"/>
  <c r="CM356" i="1"/>
  <c r="CM331" i="1"/>
  <c r="AN331" i="1"/>
  <c r="AN299" i="1"/>
  <c r="CM299" i="1"/>
  <c r="CM267" i="1"/>
  <c r="AN267" i="1"/>
  <c r="AN235" i="1"/>
  <c r="CM235" i="1"/>
  <c r="AN188" i="1"/>
  <c r="CM188" i="1"/>
  <c r="AN354" i="1"/>
  <c r="CM354" i="1"/>
  <c r="AN328" i="1"/>
  <c r="CM328" i="1"/>
  <c r="CM296" i="1"/>
  <c r="AN296" i="1"/>
  <c r="AN264" i="1"/>
  <c r="CM264" i="1"/>
  <c r="CM232" i="1"/>
  <c r="AN232" i="1"/>
  <c r="CM353" i="1"/>
  <c r="AN353" i="1"/>
  <c r="AN327" i="1"/>
  <c r="CM327" i="1"/>
  <c r="CM295" i="1"/>
  <c r="AN295" i="1"/>
  <c r="AN263" i="1"/>
  <c r="CM263" i="1"/>
  <c r="AN231" i="1"/>
  <c r="CM231" i="1"/>
  <c r="AN184" i="1"/>
  <c r="CM184" i="1"/>
  <c r="AN336" i="1"/>
  <c r="CM336" i="1"/>
  <c r="AN322" i="1"/>
  <c r="CM322" i="1"/>
  <c r="AN306" i="1"/>
  <c r="CM306" i="1"/>
  <c r="AN290" i="1"/>
  <c r="CM290" i="1"/>
  <c r="AN274" i="1"/>
  <c r="CM274" i="1"/>
  <c r="AN258" i="1"/>
  <c r="CM258" i="1"/>
  <c r="AN242" i="1"/>
  <c r="CM242" i="1"/>
  <c r="AN226" i="1"/>
  <c r="CM226" i="1"/>
  <c r="AN355" i="1"/>
  <c r="CM355" i="1"/>
  <c r="AN339" i="1"/>
  <c r="CM339" i="1"/>
  <c r="AN325" i="1"/>
  <c r="CM325" i="1"/>
  <c r="CM309" i="1"/>
  <c r="AN309" i="1"/>
  <c r="AN293" i="1"/>
  <c r="CM293" i="1"/>
  <c r="AN277" i="1"/>
  <c r="CM277" i="1"/>
  <c r="AN261" i="1"/>
  <c r="CM261" i="1"/>
  <c r="CM245" i="1"/>
  <c r="AN245" i="1"/>
  <c r="CM229" i="1"/>
  <c r="AN229" i="1"/>
  <c r="AN357" i="1"/>
  <c r="CM357" i="1"/>
  <c r="CM332" i="1"/>
  <c r="AN332" i="1"/>
  <c r="AN300" i="1"/>
  <c r="CM300" i="1"/>
  <c r="CM268" i="1"/>
  <c r="AN268" i="1"/>
  <c r="AN236" i="1"/>
  <c r="CM236" i="1"/>
  <c r="AN189" i="1"/>
  <c r="CM189" i="1"/>
  <c r="AN350" i="1"/>
  <c r="CM350" i="1"/>
  <c r="CM323" i="1"/>
  <c r="AN323" i="1"/>
  <c r="AN291" i="1"/>
  <c r="CM291" i="1"/>
  <c r="AN259" i="1"/>
  <c r="CM259" i="1"/>
  <c r="AN227" i="1"/>
  <c r="CM227" i="1"/>
  <c r="CM349" i="1"/>
  <c r="AN349" i="1"/>
  <c r="CM320" i="1"/>
  <c r="AN320" i="1"/>
  <c r="CM288" i="1"/>
  <c r="AN288" i="1"/>
  <c r="CM256" i="1"/>
  <c r="AN256" i="1"/>
  <c r="CM224" i="1"/>
  <c r="AN224" i="1"/>
  <c r="AN177" i="1"/>
  <c r="CM177" i="1"/>
  <c r="AN348" i="1"/>
  <c r="CM348" i="1"/>
  <c r="AN319" i="1"/>
  <c r="CM319" i="1"/>
  <c r="CM287" i="1"/>
  <c r="AN287" i="1"/>
  <c r="AN255" i="1"/>
  <c r="CM255" i="1"/>
  <c r="AN223" i="1"/>
  <c r="CM223" i="1"/>
  <c r="AN318" i="1"/>
  <c r="CM318" i="1"/>
  <c r="AN302" i="1"/>
  <c r="CM302" i="1"/>
  <c r="AN286" i="1"/>
  <c r="CM286" i="1"/>
  <c r="AN270" i="1"/>
  <c r="CM270" i="1"/>
  <c r="AN254" i="1"/>
  <c r="CM254" i="1"/>
  <c r="AN238" i="1"/>
  <c r="CM238" i="1"/>
  <c r="AN222" i="1"/>
  <c r="CM222" i="1"/>
  <c r="AN191" i="1"/>
  <c r="CM191" i="1"/>
  <c r="CM351" i="1"/>
  <c r="AN351" i="1"/>
  <c r="AN335" i="1"/>
  <c r="CM335" i="1"/>
  <c r="AN321" i="1"/>
  <c r="CM321" i="1"/>
  <c r="CM305" i="1"/>
  <c r="AN305" i="1"/>
  <c r="CM289" i="1"/>
  <c r="AN289" i="1"/>
  <c r="AN273" i="1"/>
  <c r="CM273" i="1"/>
  <c r="CM257" i="1"/>
  <c r="AN257" i="1"/>
  <c r="AN241" i="1"/>
  <c r="CM241" i="1"/>
  <c r="CM225" i="1"/>
  <c r="AN225" i="1"/>
  <c r="CM194" i="1"/>
  <c r="AN194" i="1"/>
  <c r="AN178" i="1"/>
  <c r="CM178" i="1"/>
  <c r="AN352" i="1"/>
  <c r="CM352" i="1"/>
  <c r="AN324" i="1"/>
  <c r="CM324" i="1"/>
  <c r="AN292" i="1"/>
  <c r="CM292" i="1"/>
  <c r="CM260" i="1"/>
  <c r="AN260" i="1"/>
  <c r="AN228" i="1"/>
  <c r="CM228" i="1"/>
  <c r="AN345" i="1"/>
  <c r="CM345" i="1"/>
  <c r="AN315" i="1"/>
  <c r="CM315" i="1"/>
  <c r="CM283" i="1"/>
  <c r="AN283" i="1"/>
  <c r="AN251" i="1"/>
  <c r="CM251" i="1"/>
  <c r="CM204" i="1"/>
  <c r="AN204" i="1"/>
  <c r="AN173" i="1"/>
  <c r="CM173" i="1"/>
  <c r="CM342" i="1"/>
  <c r="AN342" i="1"/>
  <c r="AN312" i="1"/>
  <c r="CM312" i="1"/>
  <c r="AN280" i="1"/>
  <c r="CM280" i="1"/>
  <c r="AN248" i="1"/>
  <c r="CM248" i="1"/>
  <c r="AN201" i="1"/>
  <c r="CM201" i="1"/>
  <c r="AN364" i="1"/>
  <c r="CM364" i="1"/>
  <c r="CM341" i="1"/>
  <c r="AN341" i="1"/>
  <c r="AN311" i="1"/>
  <c r="CM311" i="1"/>
  <c r="CM279" i="1"/>
  <c r="AN279" i="1"/>
  <c r="AN247" i="1"/>
  <c r="CM247" i="1"/>
  <c r="CM200" i="1"/>
  <c r="AN200" i="1"/>
  <c r="AN344" i="1"/>
  <c r="CM344" i="1"/>
  <c r="AN330" i="1"/>
  <c r="CM330" i="1"/>
  <c r="AN314" i="1"/>
  <c r="CM314" i="1"/>
  <c r="AN298" i="1"/>
  <c r="CM298" i="1"/>
  <c r="AN282" i="1"/>
  <c r="CM282" i="1"/>
  <c r="AN266" i="1"/>
  <c r="CM266" i="1"/>
  <c r="AN250" i="1"/>
  <c r="CM250" i="1"/>
  <c r="AN234" i="1"/>
  <c r="CM234" i="1"/>
  <c r="AN203" i="1"/>
  <c r="CM203" i="1"/>
  <c r="AN187" i="1"/>
  <c r="CM187" i="1"/>
  <c r="AN363" i="1"/>
  <c r="CM363" i="1"/>
  <c r="AN347" i="1"/>
  <c r="CM347" i="1"/>
  <c r="AN317" i="1"/>
  <c r="CM317" i="1"/>
  <c r="AN301" i="1"/>
  <c r="CM301" i="1"/>
  <c r="AN285" i="1"/>
  <c r="CM285" i="1"/>
  <c r="AN269" i="1"/>
  <c r="CM269" i="1"/>
  <c r="AN253" i="1"/>
  <c r="CM253" i="1"/>
  <c r="AN237" i="1"/>
  <c r="CM237" i="1"/>
  <c r="CM221" i="1"/>
  <c r="AN221" i="1"/>
  <c r="CM190" i="1"/>
  <c r="AN190" i="1"/>
  <c r="CM174" i="1"/>
  <c r="AN174" i="1"/>
  <c r="S114" i="136"/>
  <c r="C114" i="136" s="1"/>
  <c r="GU25" i="1"/>
  <c r="A114" i="136"/>
  <c r="L114" i="136"/>
  <c r="J114" i="136"/>
  <c r="D114" i="136"/>
  <c r="M114" i="136"/>
  <c r="U114" i="136" s="1"/>
  <c r="G114" i="136"/>
  <c r="H114" i="136"/>
  <c r="F114" i="136"/>
  <c r="R114" i="136"/>
  <c r="B114" i="136" s="1"/>
  <c r="K114" i="136"/>
  <c r="T114" i="136" s="1"/>
  <c r="I114" i="136"/>
  <c r="R77" i="136"/>
  <c r="B77" i="136" s="1"/>
  <c r="S77" i="136"/>
  <c r="C77" i="136" s="1"/>
  <c r="S75" i="136"/>
  <c r="C75" i="136" s="1"/>
  <c r="R75" i="136"/>
  <c r="B75" i="136" s="1"/>
  <c r="S112" i="136"/>
  <c r="C112" i="136" s="1"/>
  <c r="R112" i="136"/>
  <c r="B112" i="136" s="1"/>
  <c r="S90" i="136"/>
  <c r="C90" i="136" s="1"/>
  <c r="R90" i="136"/>
  <c r="B90" i="136" s="1"/>
  <c r="S115" i="136"/>
  <c r="C115" i="136" s="1"/>
  <c r="R115" i="136"/>
  <c r="B115" i="136" s="1"/>
  <c r="S101" i="136"/>
  <c r="C101" i="136" s="1"/>
  <c r="R101" i="136"/>
  <c r="B101" i="136" s="1"/>
  <c r="S72" i="136"/>
  <c r="C72" i="136" s="1"/>
  <c r="R72" i="136"/>
  <c r="B72" i="136" s="1"/>
  <c r="S78" i="136"/>
  <c r="C78" i="136" s="1"/>
  <c r="R78" i="136"/>
  <c r="B78" i="136" s="1"/>
  <c r="S94" i="136"/>
  <c r="C94" i="136" s="1"/>
  <c r="R94" i="136"/>
  <c r="B94" i="136" s="1"/>
  <c r="R111" i="136"/>
  <c r="B111" i="136" s="1"/>
  <c r="S111" i="136"/>
  <c r="C111" i="136" s="1"/>
  <c r="S92" i="136"/>
  <c r="C92" i="136" s="1"/>
  <c r="R92" i="136"/>
  <c r="B92" i="136" s="1"/>
  <c r="R81" i="136"/>
  <c r="B81" i="136" s="1"/>
  <c r="S81" i="136"/>
  <c r="C81" i="136" s="1"/>
  <c r="R89" i="136"/>
  <c r="B89" i="136" s="1"/>
  <c r="S89" i="136"/>
  <c r="C89" i="136" s="1"/>
  <c r="R71" i="136"/>
  <c r="B71" i="136" s="1"/>
  <c r="S71" i="136"/>
  <c r="C71" i="136" s="1"/>
  <c r="S116" i="136"/>
  <c r="C116" i="136" s="1"/>
  <c r="R116" i="136"/>
  <c r="B116" i="136" s="1"/>
  <c r="S98" i="136"/>
  <c r="C98" i="136" s="1"/>
  <c r="R98" i="136"/>
  <c r="B98" i="136" s="1"/>
  <c r="S123" i="136"/>
  <c r="C123" i="136" s="1"/>
  <c r="R123" i="136"/>
  <c r="B123" i="136" s="1"/>
  <c r="R113" i="136"/>
  <c r="B113" i="136" s="1"/>
  <c r="S113" i="136"/>
  <c r="C113" i="136" s="1"/>
  <c r="S104" i="136"/>
  <c r="C104" i="136" s="1"/>
  <c r="R104" i="136"/>
  <c r="B104" i="136" s="1"/>
  <c r="S74" i="136"/>
  <c r="C74" i="136" s="1"/>
  <c r="R74" i="136"/>
  <c r="B74" i="136" s="1"/>
  <c r="S99" i="136"/>
  <c r="C99" i="136" s="1"/>
  <c r="R99" i="136"/>
  <c r="B99" i="136" s="1"/>
  <c r="S69" i="136"/>
  <c r="C69" i="136" s="1"/>
  <c r="R69" i="136"/>
  <c r="B69" i="136" s="1"/>
  <c r="S102" i="136"/>
  <c r="C102" i="136" s="1"/>
  <c r="R102" i="136"/>
  <c r="B102" i="136" s="1"/>
  <c r="S110" i="136"/>
  <c r="C110" i="136" s="1"/>
  <c r="R110" i="136"/>
  <c r="B110" i="136" s="1"/>
  <c r="R73" i="136"/>
  <c r="B73" i="136" s="1"/>
  <c r="S73" i="136"/>
  <c r="C73" i="136" s="1"/>
  <c r="R79" i="136"/>
  <c r="B79" i="136" s="1"/>
  <c r="S79" i="136"/>
  <c r="C79" i="136" s="1"/>
  <c r="S70" i="136"/>
  <c r="C70" i="136" s="1"/>
  <c r="R70" i="136"/>
  <c r="B70" i="136" s="1"/>
  <c r="S76" i="136"/>
  <c r="C76" i="136" s="1"/>
  <c r="R76" i="136"/>
  <c r="B76" i="136" s="1"/>
  <c r="R117" i="136"/>
  <c r="B117" i="136" s="1"/>
  <c r="S117" i="136"/>
  <c r="C117" i="136" s="1"/>
  <c r="S88" i="136"/>
  <c r="C88" i="136" s="1"/>
  <c r="R88" i="136"/>
  <c r="B88" i="136" s="1"/>
  <c r="S82" i="136"/>
  <c r="C82" i="136" s="1"/>
  <c r="R82" i="136"/>
  <c r="B82" i="136" s="1"/>
  <c r="S107" i="136"/>
  <c r="C107" i="136" s="1"/>
  <c r="R107" i="136"/>
  <c r="B107" i="136" s="1"/>
  <c r="S85" i="136"/>
  <c r="C85" i="136" s="1"/>
  <c r="R85" i="136"/>
  <c r="B85" i="136" s="1"/>
  <c r="S122" i="136"/>
  <c r="C122" i="136" s="1"/>
  <c r="R122" i="136"/>
  <c r="B122" i="136" s="1"/>
  <c r="R97" i="136"/>
  <c r="B97" i="136" s="1"/>
  <c r="S97" i="136"/>
  <c r="C97" i="136" s="1"/>
  <c r="S83" i="136"/>
  <c r="C83" i="136" s="1"/>
  <c r="R83" i="136"/>
  <c r="B83" i="136" s="1"/>
  <c r="S126" i="136"/>
  <c r="C126" i="136" s="1"/>
  <c r="R126" i="136"/>
  <c r="B126" i="136" s="1"/>
  <c r="R109" i="136"/>
  <c r="B109" i="136" s="1"/>
  <c r="S109" i="136"/>
  <c r="C109" i="136" s="1"/>
  <c r="S86" i="136"/>
  <c r="C86" i="136" s="1"/>
  <c r="R86" i="136"/>
  <c r="B86" i="136" s="1"/>
  <c r="R93" i="136"/>
  <c r="B93" i="136" s="1"/>
  <c r="S93" i="136"/>
  <c r="C93" i="136" s="1"/>
  <c r="R87" i="136"/>
  <c r="B87" i="136" s="1"/>
  <c r="S87" i="136"/>
  <c r="C87" i="136" s="1"/>
  <c r="S84" i="136"/>
  <c r="C84" i="136" s="1"/>
  <c r="R84" i="136"/>
  <c r="B84" i="136" s="1"/>
  <c r="S96" i="136"/>
  <c r="C96" i="136" s="1"/>
  <c r="R96" i="136"/>
  <c r="B96" i="136" s="1"/>
  <c r="R121" i="136"/>
  <c r="B121" i="136" s="1"/>
  <c r="S121" i="136"/>
  <c r="C121" i="136" s="1"/>
  <c r="S91" i="136"/>
  <c r="C91" i="136" s="1"/>
  <c r="R91" i="136"/>
  <c r="B91" i="136" s="1"/>
  <c r="S100" i="136"/>
  <c r="C100" i="136" s="1"/>
  <c r="R100" i="136"/>
  <c r="B100" i="136" s="1"/>
  <c r="S106" i="136"/>
  <c r="C106" i="136" s="1"/>
  <c r="R106" i="136"/>
  <c r="B106" i="136" s="1"/>
  <c r="S124" i="136"/>
  <c r="C124" i="136" s="1"/>
  <c r="R124" i="136"/>
  <c r="B124" i="136" s="1"/>
  <c r="S125" i="136"/>
  <c r="C125" i="136" s="1"/>
  <c r="R125" i="136"/>
  <c r="B125" i="136" s="1"/>
  <c r="S80" i="136"/>
  <c r="C80" i="136" s="1"/>
  <c r="R80" i="136"/>
  <c r="B80" i="136" s="1"/>
  <c r="S118" i="136"/>
  <c r="C118" i="136" s="1"/>
  <c r="R118" i="136"/>
  <c r="B118" i="136" s="1"/>
  <c r="R119" i="136"/>
  <c r="B119" i="136" s="1"/>
  <c r="S119" i="136"/>
  <c r="C119" i="136" s="1"/>
  <c r="S120" i="136"/>
  <c r="C120" i="136" s="1"/>
  <c r="R120" i="136"/>
  <c r="B120" i="136" s="1"/>
  <c r="S108" i="136"/>
  <c r="C108" i="136" s="1"/>
  <c r="R108" i="136"/>
  <c r="B108" i="136" s="1"/>
  <c r="R95" i="136"/>
  <c r="B95" i="136" s="1"/>
  <c r="S95" i="136"/>
  <c r="C95" i="136" s="1"/>
  <c r="R105" i="136"/>
  <c r="B105" i="136" s="1"/>
  <c r="S105" i="136"/>
  <c r="C105" i="136" s="1"/>
  <c r="R103" i="136"/>
  <c r="B103" i="136" s="1"/>
  <c r="S103" i="136"/>
  <c r="C103" i="136" s="1"/>
  <c r="L82" i="136"/>
  <c r="M82" i="136"/>
  <c r="U82" i="136" s="1"/>
  <c r="L122" i="136"/>
  <c r="M122" i="136"/>
  <c r="U122" i="136" s="1"/>
  <c r="L83" i="136"/>
  <c r="M83" i="136"/>
  <c r="U83" i="136" s="1"/>
  <c r="L126" i="136"/>
  <c r="M126" i="136"/>
  <c r="U126" i="136" s="1"/>
  <c r="L93" i="136"/>
  <c r="M93" i="136"/>
  <c r="U93" i="136" s="1"/>
  <c r="L91" i="136"/>
  <c r="M91" i="136"/>
  <c r="U91" i="136" s="1"/>
  <c r="L106" i="136"/>
  <c r="M106" i="136"/>
  <c r="U106" i="136" s="1"/>
  <c r="L125" i="136"/>
  <c r="M125" i="136"/>
  <c r="U125" i="136" s="1"/>
  <c r="L119" i="136"/>
  <c r="M119" i="136"/>
  <c r="U119" i="136" s="1"/>
  <c r="L108" i="136"/>
  <c r="M108" i="136"/>
  <c r="U108" i="136" s="1"/>
  <c r="L105" i="136"/>
  <c r="M105" i="136"/>
  <c r="U105" i="136" s="1"/>
  <c r="L77" i="136"/>
  <c r="M77" i="136"/>
  <c r="U77" i="136" s="1"/>
  <c r="L75" i="136"/>
  <c r="M75" i="136"/>
  <c r="U75" i="136" s="1"/>
  <c r="L112" i="136"/>
  <c r="M112" i="136"/>
  <c r="U112" i="136" s="1"/>
  <c r="L90" i="136"/>
  <c r="M90" i="136"/>
  <c r="U90" i="136" s="1"/>
  <c r="L115" i="136"/>
  <c r="M115" i="136"/>
  <c r="U115" i="136" s="1"/>
  <c r="L101" i="136"/>
  <c r="M101" i="136"/>
  <c r="U101" i="136" s="1"/>
  <c r="L72" i="136"/>
  <c r="M72" i="136"/>
  <c r="U72" i="136" s="1"/>
  <c r="L78" i="136"/>
  <c r="M78" i="136"/>
  <c r="U78" i="136" s="1"/>
  <c r="L94" i="136"/>
  <c r="M94" i="136"/>
  <c r="U94" i="136" s="1"/>
  <c r="L111" i="136"/>
  <c r="M111" i="136"/>
  <c r="U111" i="136" s="1"/>
  <c r="L92" i="136"/>
  <c r="M92" i="136"/>
  <c r="U92" i="136" s="1"/>
  <c r="L81" i="136"/>
  <c r="M81" i="136"/>
  <c r="U81" i="136" s="1"/>
  <c r="L89" i="136"/>
  <c r="M89" i="136"/>
  <c r="U89" i="136" s="1"/>
  <c r="L71" i="136"/>
  <c r="M71" i="136"/>
  <c r="U71" i="136" s="1"/>
  <c r="L116" i="136"/>
  <c r="M116" i="136"/>
  <c r="U116" i="136" s="1"/>
  <c r="L107" i="136"/>
  <c r="M107" i="136"/>
  <c r="U107" i="136" s="1"/>
  <c r="L85" i="136"/>
  <c r="M85" i="136"/>
  <c r="U85" i="136" s="1"/>
  <c r="L97" i="136"/>
  <c r="M97" i="136"/>
  <c r="U97" i="136" s="1"/>
  <c r="L109" i="136"/>
  <c r="M109" i="136"/>
  <c r="U109" i="136" s="1"/>
  <c r="L86" i="136"/>
  <c r="M86" i="136"/>
  <c r="U86" i="136" s="1"/>
  <c r="L87" i="136"/>
  <c r="M87" i="136"/>
  <c r="U87" i="136" s="1"/>
  <c r="L84" i="136"/>
  <c r="M84" i="136"/>
  <c r="U84" i="136" s="1"/>
  <c r="L96" i="136"/>
  <c r="M96" i="136"/>
  <c r="U96" i="136" s="1"/>
  <c r="L121" i="136"/>
  <c r="M121" i="136"/>
  <c r="U121" i="136" s="1"/>
  <c r="L100" i="136"/>
  <c r="M100" i="136"/>
  <c r="U100" i="136" s="1"/>
  <c r="L124" i="136"/>
  <c r="M124" i="136"/>
  <c r="U124" i="136" s="1"/>
  <c r="L80" i="136"/>
  <c r="M80" i="136"/>
  <c r="U80" i="136" s="1"/>
  <c r="L118" i="136"/>
  <c r="M118" i="136"/>
  <c r="U118" i="136" s="1"/>
  <c r="L120" i="136"/>
  <c r="M120" i="136"/>
  <c r="U120" i="136" s="1"/>
  <c r="L95" i="136"/>
  <c r="M95" i="136"/>
  <c r="U95" i="136" s="1"/>
  <c r="L103" i="136"/>
  <c r="M103" i="136"/>
  <c r="U103" i="136" s="1"/>
  <c r="L98" i="136"/>
  <c r="M98" i="136"/>
  <c r="U98" i="136" s="1"/>
  <c r="L123" i="136"/>
  <c r="M123" i="136"/>
  <c r="U123" i="136" s="1"/>
  <c r="L113" i="136"/>
  <c r="M113" i="136"/>
  <c r="U113" i="136" s="1"/>
  <c r="L104" i="136"/>
  <c r="M104" i="136"/>
  <c r="U104" i="136" s="1"/>
  <c r="L74" i="136"/>
  <c r="M74" i="136"/>
  <c r="U74" i="136" s="1"/>
  <c r="L99" i="136"/>
  <c r="M99" i="136"/>
  <c r="U99" i="136" s="1"/>
  <c r="L69" i="136"/>
  <c r="M69" i="136"/>
  <c r="U69" i="136" s="1"/>
  <c r="L102" i="136"/>
  <c r="M102" i="136"/>
  <c r="U102" i="136" s="1"/>
  <c r="L110" i="136"/>
  <c r="M110" i="136"/>
  <c r="U110" i="136" s="1"/>
  <c r="L73" i="136"/>
  <c r="M73" i="136"/>
  <c r="U73" i="136" s="1"/>
  <c r="L79" i="136"/>
  <c r="M79" i="136"/>
  <c r="U79" i="136" s="1"/>
  <c r="L70" i="136"/>
  <c r="M70" i="136"/>
  <c r="U70" i="136" s="1"/>
  <c r="L76" i="136"/>
  <c r="M76" i="136"/>
  <c r="U76" i="136" s="1"/>
  <c r="L117" i="136"/>
  <c r="M117" i="136"/>
  <c r="U117" i="136" s="1"/>
  <c r="L88" i="136"/>
  <c r="M88" i="136"/>
  <c r="U88" i="136" s="1"/>
  <c r="I98" i="136"/>
  <c r="F98" i="136"/>
  <c r="J98" i="136"/>
  <c r="H98" i="136"/>
  <c r="K98" i="136"/>
  <c r="T98" i="136" s="1"/>
  <c r="G98" i="136"/>
  <c r="G113" i="136"/>
  <c r="K113" i="136"/>
  <c r="T113" i="136" s="1"/>
  <c r="H113" i="136"/>
  <c r="I113" i="136"/>
  <c r="F113" i="136"/>
  <c r="J113" i="136"/>
  <c r="I104" i="136"/>
  <c r="F104" i="136"/>
  <c r="J104" i="136"/>
  <c r="H104" i="136"/>
  <c r="G104" i="136"/>
  <c r="K104" i="136"/>
  <c r="T104" i="136" s="1"/>
  <c r="G99" i="136"/>
  <c r="K99" i="136"/>
  <c r="T99" i="136" s="1"/>
  <c r="H99" i="136"/>
  <c r="F99" i="136"/>
  <c r="J99" i="136"/>
  <c r="I99" i="136"/>
  <c r="I102" i="136"/>
  <c r="F102" i="136"/>
  <c r="J102" i="136"/>
  <c r="H102" i="136"/>
  <c r="G102" i="136"/>
  <c r="K102" i="136"/>
  <c r="T102" i="136" s="1"/>
  <c r="G73" i="136"/>
  <c r="K73" i="136"/>
  <c r="T73" i="136" s="1"/>
  <c r="H73" i="136"/>
  <c r="F73" i="136"/>
  <c r="J73" i="136"/>
  <c r="I73" i="136"/>
  <c r="I70" i="136"/>
  <c r="F70" i="136"/>
  <c r="J70" i="136"/>
  <c r="H70" i="136"/>
  <c r="G70" i="136"/>
  <c r="K70" i="136"/>
  <c r="T70" i="136" s="1"/>
  <c r="I88" i="136"/>
  <c r="F88" i="136"/>
  <c r="J88" i="136"/>
  <c r="H88" i="136"/>
  <c r="G88" i="136"/>
  <c r="K88" i="136"/>
  <c r="T88" i="136" s="1"/>
  <c r="I82" i="136"/>
  <c r="F82" i="136"/>
  <c r="J82" i="136"/>
  <c r="H82" i="136"/>
  <c r="K82" i="136"/>
  <c r="T82" i="136" s="1"/>
  <c r="G82" i="136"/>
  <c r="G85" i="136"/>
  <c r="K85" i="136"/>
  <c r="T85" i="136" s="1"/>
  <c r="H85" i="136"/>
  <c r="F85" i="136"/>
  <c r="J85" i="136"/>
  <c r="I85" i="136"/>
  <c r="G97" i="136"/>
  <c r="K97" i="136"/>
  <c r="T97" i="136" s="1"/>
  <c r="H97" i="136"/>
  <c r="F97" i="136"/>
  <c r="J97" i="136"/>
  <c r="I97" i="136"/>
  <c r="G109" i="136"/>
  <c r="K109" i="136"/>
  <c r="T109" i="136" s="1"/>
  <c r="H109" i="136"/>
  <c r="I109" i="136"/>
  <c r="F109" i="136"/>
  <c r="J109" i="136"/>
  <c r="G93" i="136"/>
  <c r="K93" i="136"/>
  <c r="T93" i="136" s="1"/>
  <c r="H93" i="136"/>
  <c r="F93" i="136"/>
  <c r="J93" i="136"/>
  <c r="I93" i="136"/>
  <c r="I84" i="136"/>
  <c r="F84" i="136"/>
  <c r="J84" i="136"/>
  <c r="H84" i="136"/>
  <c r="G84" i="136"/>
  <c r="K84" i="136"/>
  <c r="T84" i="136" s="1"/>
  <c r="G77" i="136"/>
  <c r="K77" i="136"/>
  <c r="T77" i="136" s="1"/>
  <c r="H77" i="136"/>
  <c r="F77" i="136"/>
  <c r="J77" i="136"/>
  <c r="I77" i="136"/>
  <c r="G75" i="136"/>
  <c r="K75" i="136"/>
  <c r="T75" i="136" s="1"/>
  <c r="H75" i="136"/>
  <c r="F75" i="136"/>
  <c r="J75" i="136"/>
  <c r="I75" i="136"/>
  <c r="I112" i="136"/>
  <c r="F112" i="136"/>
  <c r="J112" i="136"/>
  <c r="G112" i="136"/>
  <c r="K112" i="136"/>
  <c r="T112" i="136" s="1"/>
  <c r="H112" i="136"/>
  <c r="I90" i="136"/>
  <c r="F90" i="136"/>
  <c r="J90" i="136"/>
  <c r="H90" i="136"/>
  <c r="K90" i="136"/>
  <c r="T90" i="136" s="1"/>
  <c r="G90" i="136"/>
  <c r="G115" i="136"/>
  <c r="K115" i="136"/>
  <c r="T115" i="136" s="1"/>
  <c r="H115" i="136"/>
  <c r="I115" i="136"/>
  <c r="F115" i="136"/>
  <c r="J115" i="136"/>
  <c r="G101" i="136"/>
  <c r="K101" i="136"/>
  <c r="T101" i="136" s="1"/>
  <c r="H101" i="136"/>
  <c r="F101" i="136"/>
  <c r="J101" i="136"/>
  <c r="I101" i="136"/>
  <c r="I72" i="136"/>
  <c r="F72" i="136"/>
  <c r="J72" i="136"/>
  <c r="H72" i="136"/>
  <c r="G72" i="136"/>
  <c r="K72" i="136"/>
  <c r="T72" i="136" s="1"/>
  <c r="I78" i="136"/>
  <c r="F78" i="136"/>
  <c r="J78" i="136"/>
  <c r="H78" i="136"/>
  <c r="G78" i="136"/>
  <c r="K78" i="136"/>
  <c r="T78" i="136" s="1"/>
  <c r="I94" i="136"/>
  <c r="F94" i="136"/>
  <c r="J94" i="136"/>
  <c r="H94" i="136"/>
  <c r="G94" i="136"/>
  <c r="K94" i="136"/>
  <c r="T94" i="136" s="1"/>
  <c r="G111" i="136"/>
  <c r="K111" i="136"/>
  <c r="T111" i="136" s="1"/>
  <c r="H111" i="136"/>
  <c r="I111" i="136"/>
  <c r="F111" i="136"/>
  <c r="J111" i="136"/>
  <c r="I92" i="136"/>
  <c r="F92" i="136"/>
  <c r="J92" i="136"/>
  <c r="H92" i="136"/>
  <c r="G92" i="136"/>
  <c r="K92" i="136"/>
  <c r="T92" i="136" s="1"/>
  <c r="G81" i="136"/>
  <c r="K81" i="136"/>
  <c r="T81" i="136" s="1"/>
  <c r="H81" i="136"/>
  <c r="F81" i="136"/>
  <c r="J81" i="136"/>
  <c r="I81" i="136"/>
  <c r="G89" i="136"/>
  <c r="K89" i="136"/>
  <c r="T89" i="136" s="1"/>
  <c r="H89" i="136"/>
  <c r="F89" i="136"/>
  <c r="J89" i="136"/>
  <c r="I89" i="136"/>
  <c r="G71" i="136"/>
  <c r="K71" i="136"/>
  <c r="T71" i="136" s="1"/>
  <c r="H71" i="136"/>
  <c r="F71" i="136"/>
  <c r="J71" i="136"/>
  <c r="I71" i="136"/>
  <c r="I116" i="136"/>
  <c r="F116" i="136"/>
  <c r="J116" i="136"/>
  <c r="G116" i="136"/>
  <c r="K116" i="136"/>
  <c r="T116" i="136" s="1"/>
  <c r="H116" i="136"/>
  <c r="G123" i="136"/>
  <c r="K123" i="136"/>
  <c r="T123" i="136" s="1"/>
  <c r="H123" i="136"/>
  <c r="I123" i="136"/>
  <c r="F123" i="136"/>
  <c r="J123" i="136"/>
  <c r="I74" i="136"/>
  <c r="F74" i="136"/>
  <c r="J74" i="136"/>
  <c r="H74" i="136"/>
  <c r="K74" i="136"/>
  <c r="T74" i="136" s="1"/>
  <c r="G74" i="136"/>
  <c r="G69" i="136"/>
  <c r="K69" i="136"/>
  <c r="T69" i="136" s="1"/>
  <c r="H69" i="136"/>
  <c r="F69" i="136"/>
  <c r="J69" i="136"/>
  <c r="I69" i="136"/>
  <c r="I110" i="136"/>
  <c r="F110" i="136"/>
  <c r="J110" i="136"/>
  <c r="G110" i="136"/>
  <c r="K110" i="136"/>
  <c r="T110" i="136" s="1"/>
  <c r="H110" i="136"/>
  <c r="G79" i="136"/>
  <c r="K79" i="136"/>
  <c r="T79" i="136" s="1"/>
  <c r="H79" i="136"/>
  <c r="F79" i="136"/>
  <c r="J79" i="136"/>
  <c r="I79" i="136"/>
  <c r="I76" i="136"/>
  <c r="F76" i="136"/>
  <c r="J76" i="136"/>
  <c r="H76" i="136"/>
  <c r="G76" i="136"/>
  <c r="K76" i="136"/>
  <c r="T76" i="136" s="1"/>
  <c r="G117" i="136"/>
  <c r="K117" i="136"/>
  <c r="T117" i="136" s="1"/>
  <c r="H117" i="136"/>
  <c r="I117" i="136"/>
  <c r="F117" i="136"/>
  <c r="J117" i="136"/>
  <c r="G107" i="136"/>
  <c r="F107" i="136"/>
  <c r="K107" i="136"/>
  <c r="T107" i="136" s="1"/>
  <c r="H107" i="136"/>
  <c r="I107" i="136"/>
  <c r="J107" i="136"/>
  <c r="I122" i="136"/>
  <c r="F122" i="136"/>
  <c r="J122" i="136"/>
  <c r="G122" i="136"/>
  <c r="K122" i="136"/>
  <c r="T122" i="136" s="1"/>
  <c r="H122" i="136"/>
  <c r="G83" i="136"/>
  <c r="K83" i="136"/>
  <c r="T83" i="136" s="1"/>
  <c r="H83" i="136"/>
  <c r="F83" i="136"/>
  <c r="J83" i="136"/>
  <c r="I83" i="136"/>
  <c r="I126" i="136"/>
  <c r="F126" i="136"/>
  <c r="J126" i="136"/>
  <c r="G126" i="136"/>
  <c r="K126" i="136"/>
  <c r="T126" i="136" s="1"/>
  <c r="H126" i="136"/>
  <c r="I86" i="136"/>
  <c r="F86" i="136"/>
  <c r="J86" i="136"/>
  <c r="H86" i="136"/>
  <c r="G86" i="136"/>
  <c r="K86" i="136"/>
  <c r="T86" i="136" s="1"/>
  <c r="G87" i="136"/>
  <c r="K87" i="136"/>
  <c r="T87" i="136" s="1"/>
  <c r="H87" i="136"/>
  <c r="F87" i="136"/>
  <c r="J87" i="136"/>
  <c r="I87" i="136"/>
  <c r="I96" i="136"/>
  <c r="F96" i="136"/>
  <c r="J96" i="136"/>
  <c r="H96" i="136"/>
  <c r="G96" i="136"/>
  <c r="K96" i="136"/>
  <c r="T96" i="136" s="1"/>
  <c r="G121" i="136"/>
  <c r="K121" i="136"/>
  <c r="T121" i="136" s="1"/>
  <c r="I121" i="136"/>
  <c r="H121" i="136"/>
  <c r="F121" i="136"/>
  <c r="J121" i="136"/>
  <c r="G91" i="136"/>
  <c r="K91" i="136"/>
  <c r="T91" i="136" s="1"/>
  <c r="H91" i="136"/>
  <c r="F91" i="136"/>
  <c r="J91" i="136"/>
  <c r="I91" i="136"/>
  <c r="I100" i="136"/>
  <c r="F100" i="136"/>
  <c r="J100" i="136"/>
  <c r="H100" i="136"/>
  <c r="G100" i="136"/>
  <c r="K100" i="136"/>
  <c r="T100" i="136" s="1"/>
  <c r="I106" i="136"/>
  <c r="F106" i="136"/>
  <c r="J106" i="136"/>
  <c r="H106" i="136"/>
  <c r="K106" i="136"/>
  <c r="T106" i="136" s="1"/>
  <c r="G106" i="136"/>
  <c r="I124" i="136"/>
  <c r="F124" i="136"/>
  <c r="J124" i="136"/>
  <c r="G124" i="136"/>
  <c r="K124" i="136"/>
  <c r="T124" i="136" s="1"/>
  <c r="H124" i="136"/>
  <c r="G125" i="136"/>
  <c r="K125" i="136"/>
  <c r="T125" i="136" s="1"/>
  <c r="H125" i="136"/>
  <c r="F125" i="136"/>
  <c r="J125" i="136"/>
  <c r="I125" i="136"/>
  <c r="I80" i="136"/>
  <c r="F80" i="136"/>
  <c r="J80" i="136"/>
  <c r="H80" i="136"/>
  <c r="G80" i="136"/>
  <c r="K80" i="136"/>
  <c r="T80" i="136" s="1"/>
  <c r="I118" i="136"/>
  <c r="F118" i="136"/>
  <c r="J118" i="136"/>
  <c r="G118" i="136"/>
  <c r="K118" i="136"/>
  <c r="T118" i="136" s="1"/>
  <c r="H118" i="136"/>
  <c r="G119" i="136"/>
  <c r="K119" i="136"/>
  <c r="T119" i="136" s="1"/>
  <c r="H119" i="136"/>
  <c r="I119" i="136"/>
  <c r="F119" i="136"/>
  <c r="J119" i="136"/>
  <c r="I120" i="136"/>
  <c r="F120" i="136"/>
  <c r="J120" i="136"/>
  <c r="G120" i="136"/>
  <c r="K120" i="136"/>
  <c r="T120" i="136" s="1"/>
  <c r="H120" i="136"/>
  <c r="I108" i="136"/>
  <c r="F108" i="136"/>
  <c r="J108" i="136"/>
  <c r="G108" i="136"/>
  <c r="K108" i="136"/>
  <c r="T108" i="136" s="1"/>
  <c r="H108" i="136"/>
  <c r="G95" i="136"/>
  <c r="K95" i="136"/>
  <c r="T95" i="136" s="1"/>
  <c r="H95" i="136"/>
  <c r="F95" i="136"/>
  <c r="J95" i="136"/>
  <c r="I95" i="136"/>
  <c r="G105" i="136"/>
  <c r="K105" i="136"/>
  <c r="T105" i="136" s="1"/>
  <c r="H105" i="136"/>
  <c r="F105" i="136"/>
  <c r="J105" i="136"/>
  <c r="I105" i="136"/>
  <c r="G103" i="136"/>
  <c r="K103" i="136"/>
  <c r="T103" i="136" s="1"/>
  <c r="H103" i="136"/>
  <c r="F103" i="136"/>
  <c r="J103" i="136"/>
  <c r="I103" i="136"/>
  <c r="A121" i="136"/>
  <c r="D121" i="136"/>
  <c r="A100" i="136"/>
  <c r="D100" i="136"/>
  <c r="A106" i="136"/>
  <c r="D106" i="136"/>
  <c r="A125" i="136"/>
  <c r="D125" i="136"/>
  <c r="A118" i="136"/>
  <c r="D118" i="136"/>
  <c r="A120" i="136"/>
  <c r="D120" i="136"/>
  <c r="A95" i="136"/>
  <c r="D95" i="136"/>
  <c r="A103" i="136"/>
  <c r="D103" i="136"/>
  <c r="A77" i="136"/>
  <c r="D77" i="136"/>
  <c r="A112" i="136"/>
  <c r="D112" i="136"/>
  <c r="A115" i="136"/>
  <c r="D115" i="136"/>
  <c r="A101" i="136"/>
  <c r="D101" i="136"/>
  <c r="A78" i="136"/>
  <c r="D78" i="136"/>
  <c r="A111" i="136"/>
  <c r="D111" i="136"/>
  <c r="A81" i="136"/>
  <c r="D81" i="136"/>
  <c r="A71" i="136"/>
  <c r="D71" i="136"/>
  <c r="A116" i="136"/>
  <c r="D116" i="136"/>
  <c r="A82" i="136"/>
  <c r="D82" i="136"/>
  <c r="A107" i="136"/>
  <c r="D107" i="136"/>
  <c r="A85" i="136"/>
  <c r="D85" i="136"/>
  <c r="A122" i="136"/>
  <c r="D122" i="136"/>
  <c r="A97" i="136"/>
  <c r="D97" i="136"/>
  <c r="A83" i="136"/>
  <c r="D83" i="136"/>
  <c r="A126" i="136"/>
  <c r="D126" i="136"/>
  <c r="A109" i="136"/>
  <c r="D109" i="136"/>
  <c r="A86" i="136"/>
  <c r="D86" i="136"/>
  <c r="A93" i="136"/>
  <c r="D93" i="136"/>
  <c r="A87" i="136"/>
  <c r="D87" i="136"/>
  <c r="A84" i="136"/>
  <c r="D84" i="136"/>
  <c r="A96" i="136"/>
  <c r="D96" i="136"/>
  <c r="A91" i="136"/>
  <c r="D91" i="136"/>
  <c r="A124" i="136"/>
  <c r="D124" i="136"/>
  <c r="A80" i="136"/>
  <c r="D80" i="136"/>
  <c r="A119" i="136"/>
  <c r="D119" i="136"/>
  <c r="A108" i="136"/>
  <c r="D108" i="136"/>
  <c r="A105" i="136"/>
  <c r="D105" i="136"/>
  <c r="A75" i="136"/>
  <c r="D75" i="136"/>
  <c r="A90" i="136"/>
  <c r="D90" i="136"/>
  <c r="A72" i="136"/>
  <c r="D72" i="136"/>
  <c r="A94" i="136"/>
  <c r="D94" i="136"/>
  <c r="A92" i="136"/>
  <c r="D92" i="136"/>
  <c r="A89" i="136"/>
  <c r="D89" i="136"/>
  <c r="A98" i="136"/>
  <c r="D98" i="136"/>
  <c r="A123" i="136"/>
  <c r="D123" i="136"/>
  <c r="A113" i="136"/>
  <c r="D113" i="136"/>
  <c r="A104" i="136"/>
  <c r="D104" i="136"/>
  <c r="A74" i="136"/>
  <c r="D74" i="136"/>
  <c r="A99" i="136"/>
  <c r="D99" i="136"/>
  <c r="A69" i="136"/>
  <c r="D69" i="136"/>
  <c r="A102" i="136"/>
  <c r="D102" i="136"/>
  <c r="A110" i="136"/>
  <c r="D110" i="136"/>
  <c r="A73" i="136"/>
  <c r="D73" i="136"/>
  <c r="A79" i="136"/>
  <c r="D79" i="136"/>
  <c r="A70" i="136"/>
  <c r="D70" i="136"/>
  <c r="A76" i="136"/>
  <c r="D76" i="136"/>
  <c r="A117" i="136"/>
  <c r="D117" i="136"/>
  <c r="A88" i="136"/>
  <c r="D88" i="136"/>
  <c r="IE21" i="1"/>
  <c r="BP7" i="71" s="1"/>
  <c r="ID171" i="1"/>
  <c r="FO18" i="123"/>
  <c r="EB17" i="123" s="1"/>
  <c r="AB120" i="123"/>
  <c r="J12" i="1"/>
  <c r="T219" i="1" l="1"/>
  <c r="U219" i="1"/>
  <c r="T217" i="1"/>
  <c r="U217" i="1"/>
  <c r="U206" i="1"/>
  <c r="T206" i="1"/>
  <c r="FN206" i="1" s="1"/>
  <c r="U209" i="1"/>
  <c r="T209" i="1"/>
  <c r="T212" i="1"/>
  <c r="U212" i="1"/>
  <c r="T214" i="1"/>
  <c r="U214" i="1"/>
  <c r="U210" i="1"/>
  <c r="T210" i="1"/>
  <c r="FN210" i="1" s="1"/>
  <c r="T216" i="1"/>
  <c r="U216" i="1"/>
  <c r="T218" i="1"/>
  <c r="U218" i="1"/>
  <c r="ID26" i="1"/>
  <c r="DN216" i="123"/>
  <c r="EC216" i="123" s="1"/>
  <c r="DN211" i="123"/>
  <c r="EC211" i="123" s="1"/>
  <c r="DN212" i="123"/>
  <c r="EC212" i="123" s="1"/>
  <c r="DN210" i="123"/>
  <c r="EC210" i="123" s="1"/>
  <c r="DN214" i="123"/>
  <c r="EC214" i="123" s="1"/>
  <c r="DN215" i="123"/>
  <c r="EC215" i="123" s="1"/>
  <c r="DN224" i="123"/>
  <c r="EC224" i="123" s="1"/>
  <c r="EI17" i="123"/>
  <c r="W111" i="135"/>
  <c r="X70" i="135"/>
  <c r="F70" i="135"/>
  <c r="Q70" i="135"/>
  <c r="Z70" i="135" s="1"/>
  <c r="K111" i="135"/>
  <c r="E111" i="135"/>
  <c r="M70" i="135"/>
  <c r="C70" i="135"/>
  <c r="L70" i="135"/>
  <c r="Y70" i="135" s="1"/>
  <c r="W70" i="135"/>
  <c r="B70" i="135"/>
  <c r="A70" i="135"/>
  <c r="E70" i="135"/>
  <c r="D70" i="135"/>
  <c r="B111" i="135"/>
  <c r="M111" i="135"/>
  <c r="F111" i="135"/>
  <c r="Q111" i="135"/>
  <c r="Z111" i="135" s="1"/>
  <c r="A111" i="135"/>
  <c r="P111" i="135"/>
  <c r="D111" i="135"/>
  <c r="C111" i="135"/>
  <c r="L111" i="135"/>
  <c r="Y111" i="135" s="1"/>
  <c r="K70" i="135"/>
  <c r="B117" i="135"/>
  <c r="A75" i="135"/>
  <c r="D75" i="135"/>
  <c r="E75" i="135"/>
  <c r="C75" i="135"/>
  <c r="M75" i="135"/>
  <c r="K75" i="135"/>
  <c r="Q75" i="135"/>
  <c r="Z75" i="135" s="1"/>
  <c r="F75" i="135"/>
  <c r="P75" i="135"/>
  <c r="B75" i="135"/>
  <c r="X75" i="135"/>
  <c r="L75" i="135"/>
  <c r="Y75" i="135" s="1"/>
  <c r="Q98" i="135"/>
  <c r="Z98" i="135" s="1"/>
  <c r="A102" i="135"/>
  <c r="K116" i="135"/>
  <c r="Q101" i="135"/>
  <c r="Z101" i="135" s="1"/>
  <c r="E73" i="135"/>
  <c r="B116" i="135"/>
  <c r="M127" i="135"/>
  <c r="X117" i="135"/>
  <c r="W83" i="135"/>
  <c r="A98" i="135"/>
  <c r="E83" i="135"/>
  <c r="B122" i="135"/>
  <c r="X103" i="135"/>
  <c r="P118" i="135"/>
  <c r="M88" i="135"/>
  <c r="K118" i="135"/>
  <c r="W88" i="135"/>
  <c r="M112" i="135"/>
  <c r="M125" i="135"/>
  <c r="M104" i="135"/>
  <c r="K106" i="135"/>
  <c r="L113" i="135"/>
  <c r="Y113" i="135" s="1"/>
  <c r="A73" i="135"/>
  <c r="A116" i="135"/>
  <c r="C83" i="135"/>
  <c r="W117" i="135"/>
  <c r="E98" i="135"/>
  <c r="A78" i="135"/>
  <c r="D83" i="135"/>
  <c r="A93" i="135"/>
  <c r="C102" i="135"/>
  <c r="F93" i="135"/>
  <c r="K91" i="135"/>
  <c r="L122" i="135"/>
  <c r="Y122" i="135" s="1"/>
  <c r="L102" i="135"/>
  <c r="Y102" i="135" s="1"/>
  <c r="P72" i="135"/>
  <c r="X78" i="135"/>
  <c r="B98" i="135"/>
  <c r="A117" i="135"/>
  <c r="B103" i="135"/>
  <c r="A124" i="135"/>
  <c r="D122" i="135"/>
  <c r="B93" i="135"/>
  <c r="D102" i="135"/>
  <c r="F117" i="135"/>
  <c r="F83" i="135"/>
  <c r="X93" i="135"/>
  <c r="X91" i="135"/>
  <c r="D103" i="135"/>
  <c r="B124" i="135"/>
  <c r="B91" i="135"/>
  <c r="E72" i="135"/>
  <c r="E117" i="135"/>
  <c r="M78" i="135"/>
  <c r="B73" i="135"/>
  <c r="B83" i="135"/>
  <c r="B127" i="135"/>
  <c r="M91" i="135"/>
  <c r="M93" i="135"/>
  <c r="A72" i="135"/>
  <c r="B102" i="135"/>
  <c r="C117" i="135"/>
  <c r="K78" i="135"/>
  <c r="L116" i="135"/>
  <c r="Y116" i="135" s="1"/>
  <c r="K102" i="135"/>
  <c r="Q103" i="135"/>
  <c r="Z103" i="135" s="1"/>
  <c r="P116" i="135"/>
  <c r="W127" i="135"/>
  <c r="D82" i="135"/>
  <c r="L97" i="135"/>
  <c r="Y97" i="135" s="1"/>
  <c r="D126" i="135"/>
  <c r="B84" i="135"/>
  <c r="E97" i="135"/>
  <c r="M113" i="135"/>
  <c r="C97" i="135"/>
  <c r="Q84" i="135"/>
  <c r="Z84" i="135" s="1"/>
  <c r="X87" i="135"/>
  <c r="E121" i="135"/>
  <c r="A87" i="135"/>
  <c r="D76" i="135"/>
  <c r="L104" i="135"/>
  <c r="Y104" i="135" s="1"/>
  <c r="W126" i="135"/>
  <c r="W97" i="135"/>
  <c r="M106" i="135"/>
  <c r="M101" i="135"/>
  <c r="M80" i="135"/>
  <c r="E77" i="135"/>
  <c r="K84" i="135"/>
  <c r="Q80" i="135"/>
  <c r="Z80" i="135" s="1"/>
  <c r="P77" i="135"/>
  <c r="Q86" i="135"/>
  <c r="Z86" i="135" s="1"/>
  <c r="W121" i="135"/>
  <c r="D106" i="135"/>
  <c r="M121" i="135"/>
  <c r="B80" i="135"/>
  <c r="M77" i="135"/>
  <c r="A104" i="135"/>
  <c r="C126" i="135"/>
  <c r="L82" i="135"/>
  <c r="Y82" i="135" s="1"/>
  <c r="K121" i="135"/>
  <c r="F104" i="135"/>
  <c r="F101" i="135"/>
  <c r="Q82" i="135"/>
  <c r="Z82" i="135" s="1"/>
  <c r="W84" i="135"/>
  <c r="X77" i="135"/>
  <c r="D98" i="135"/>
  <c r="D117" i="135"/>
  <c r="B78" i="135"/>
  <c r="E78" i="135"/>
  <c r="A121" i="135"/>
  <c r="M103" i="135"/>
  <c r="M126" i="135"/>
  <c r="D73" i="135"/>
  <c r="M83" i="135"/>
  <c r="D101" i="135"/>
  <c r="M124" i="135"/>
  <c r="E124" i="135"/>
  <c r="E82" i="135"/>
  <c r="M84" i="135"/>
  <c r="D127" i="135"/>
  <c r="A127" i="135"/>
  <c r="B77" i="135"/>
  <c r="M87" i="135"/>
  <c r="E122" i="135"/>
  <c r="A122" i="135"/>
  <c r="E91" i="135"/>
  <c r="D93" i="135"/>
  <c r="A97" i="135"/>
  <c r="E86" i="135"/>
  <c r="M116" i="135"/>
  <c r="E116" i="135"/>
  <c r="B72" i="135"/>
  <c r="E104" i="135"/>
  <c r="E113" i="135"/>
  <c r="E102" i="135"/>
  <c r="C77" i="135"/>
  <c r="C124" i="135"/>
  <c r="C82" i="135"/>
  <c r="C106" i="135"/>
  <c r="C84" i="135"/>
  <c r="F82" i="135"/>
  <c r="F80" i="135"/>
  <c r="F121" i="135"/>
  <c r="F77" i="135"/>
  <c r="K87" i="135"/>
  <c r="K98" i="135"/>
  <c r="F86" i="135"/>
  <c r="L124" i="135"/>
  <c r="Y124" i="135" s="1"/>
  <c r="K103" i="135"/>
  <c r="L76" i="135"/>
  <c r="Y76" i="135" s="1"/>
  <c r="P82" i="135"/>
  <c r="P73" i="135"/>
  <c r="Q127" i="135"/>
  <c r="Z127" i="135" s="1"/>
  <c r="Q83" i="135"/>
  <c r="Z83" i="135" s="1"/>
  <c r="Q76" i="135"/>
  <c r="Z76" i="135" s="1"/>
  <c r="Q102" i="135"/>
  <c r="Z102" i="135" s="1"/>
  <c r="Q91" i="135"/>
  <c r="Z91" i="135" s="1"/>
  <c r="P104" i="135"/>
  <c r="P117" i="135"/>
  <c r="X82" i="135"/>
  <c r="W73" i="135"/>
  <c r="X102" i="135"/>
  <c r="W72" i="135"/>
  <c r="W116" i="135"/>
  <c r="X86" i="135"/>
  <c r="X113" i="135"/>
  <c r="X76" i="135"/>
  <c r="W91" i="135"/>
  <c r="A126" i="135"/>
  <c r="A101" i="135"/>
  <c r="M82" i="135"/>
  <c r="E84" i="135"/>
  <c r="E87" i="135"/>
  <c r="A86" i="135"/>
  <c r="E76" i="135"/>
  <c r="A113" i="135"/>
  <c r="C101" i="135"/>
  <c r="K97" i="135"/>
  <c r="L77" i="135"/>
  <c r="Y77" i="135" s="1"/>
  <c r="F126" i="135"/>
  <c r="P101" i="135"/>
  <c r="P80" i="135"/>
  <c r="P121" i="135"/>
  <c r="X106" i="135"/>
  <c r="W87" i="135"/>
  <c r="M98" i="135"/>
  <c r="M117" i="135"/>
  <c r="D78" i="135"/>
  <c r="E106" i="135"/>
  <c r="B121" i="135"/>
  <c r="A103" i="135"/>
  <c r="E103" i="135"/>
  <c r="B126" i="135"/>
  <c r="M73" i="135"/>
  <c r="A83" i="135"/>
  <c r="B101" i="135"/>
  <c r="D124" i="135"/>
  <c r="B82" i="135"/>
  <c r="E80" i="135"/>
  <c r="A84" i="135"/>
  <c r="E127" i="135"/>
  <c r="D77" i="135"/>
  <c r="D87" i="135"/>
  <c r="M122" i="135"/>
  <c r="A91" i="135"/>
  <c r="D91" i="135"/>
  <c r="E93" i="135"/>
  <c r="B97" i="135"/>
  <c r="A76" i="135"/>
  <c r="D116" i="135"/>
  <c r="M72" i="135"/>
  <c r="D72" i="135"/>
  <c r="M102" i="135"/>
  <c r="C98" i="135"/>
  <c r="C78" i="135"/>
  <c r="C73" i="135"/>
  <c r="L78" i="135"/>
  <c r="Y78" i="135" s="1"/>
  <c r="F73" i="135"/>
  <c r="L84" i="135"/>
  <c r="Y84" i="135" s="1"/>
  <c r="L91" i="135"/>
  <c r="Y91" i="135" s="1"/>
  <c r="L72" i="135"/>
  <c r="Y72" i="135" s="1"/>
  <c r="F87" i="135"/>
  <c r="F98" i="135"/>
  <c r="L106" i="135"/>
  <c r="Y106" i="135" s="1"/>
  <c r="K124" i="135"/>
  <c r="F127" i="135"/>
  <c r="F103" i="135"/>
  <c r="F76" i="135"/>
  <c r="Q106" i="135"/>
  <c r="Z106" i="135" s="1"/>
  <c r="Q124" i="135"/>
  <c r="Z124" i="135" s="1"/>
  <c r="Q113" i="135"/>
  <c r="Z113" i="135" s="1"/>
  <c r="P83" i="135"/>
  <c r="P76" i="135"/>
  <c r="P102" i="135"/>
  <c r="P91" i="135"/>
  <c r="Q87" i="135"/>
  <c r="Z87" i="135" s="1"/>
  <c r="P122" i="135"/>
  <c r="W78" i="135"/>
  <c r="W124" i="135"/>
  <c r="W80" i="135"/>
  <c r="X72" i="135"/>
  <c r="X116" i="135"/>
  <c r="X101" i="135"/>
  <c r="X97" i="135"/>
  <c r="X121" i="135"/>
  <c r="D118" i="135"/>
  <c r="F110" i="135"/>
  <c r="Q88" i="135"/>
  <c r="Z88" i="135" s="1"/>
  <c r="Q105" i="135"/>
  <c r="Z105" i="135" s="1"/>
  <c r="A110" i="135"/>
  <c r="K95" i="135"/>
  <c r="C72" i="135"/>
  <c r="C122" i="135"/>
  <c r="C127" i="135"/>
  <c r="C91" i="135"/>
  <c r="L93" i="135"/>
  <c r="Y93" i="135" s="1"/>
  <c r="F78" i="135"/>
  <c r="L73" i="135"/>
  <c r="Y73" i="135" s="1"/>
  <c r="K72" i="135"/>
  <c r="F116" i="135"/>
  <c r="L117" i="135"/>
  <c r="Y117" i="135" s="1"/>
  <c r="K122" i="135"/>
  <c r="F124" i="135"/>
  <c r="L127" i="135"/>
  <c r="Y127" i="135" s="1"/>
  <c r="L83" i="135"/>
  <c r="Y83" i="135" s="1"/>
  <c r="F102" i="135"/>
  <c r="Q93" i="135"/>
  <c r="Z93" i="135" s="1"/>
  <c r="Q78" i="135"/>
  <c r="Z78" i="135" s="1"/>
  <c r="P124" i="135"/>
  <c r="P127" i="135"/>
  <c r="P103" i="135"/>
  <c r="P98" i="135"/>
  <c r="Q122" i="135"/>
  <c r="Z122" i="135" s="1"/>
  <c r="W93" i="135"/>
  <c r="W103" i="135"/>
  <c r="W98" i="135"/>
  <c r="W122" i="135"/>
  <c r="C116" i="135"/>
  <c r="C103" i="135"/>
  <c r="C93" i="135"/>
  <c r="K93" i="135"/>
  <c r="K73" i="135"/>
  <c r="F72" i="135"/>
  <c r="L98" i="135"/>
  <c r="Y98" i="135" s="1"/>
  <c r="K117" i="135"/>
  <c r="F122" i="135"/>
  <c r="K127" i="135"/>
  <c r="K83" i="135"/>
  <c r="Q73" i="135"/>
  <c r="Z73" i="135" s="1"/>
  <c r="E89" i="135"/>
  <c r="W81" i="135"/>
  <c r="D92" i="135"/>
  <c r="B96" i="135"/>
  <c r="A115" i="135"/>
  <c r="M105" i="135"/>
  <c r="Q125" i="135"/>
  <c r="Z125" i="135" s="1"/>
  <c r="Q74" i="135"/>
  <c r="Z74" i="135" s="1"/>
  <c r="X105" i="135"/>
  <c r="D114" i="135"/>
  <c r="M71" i="135"/>
  <c r="E81" i="135"/>
  <c r="E100" i="135"/>
  <c r="E88" i="135"/>
  <c r="L88" i="135"/>
  <c r="Y88" i="135" s="1"/>
  <c r="P81" i="135"/>
  <c r="X71" i="135"/>
  <c r="A79" i="135"/>
  <c r="B106" i="135"/>
  <c r="A106" i="135"/>
  <c r="D121" i="135"/>
  <c r="E126" i="135"/>
  <c r="E101" i="135"/>
  <c r="A82" i="135"/>
  <c r="D80" i="135"/>
  <c r="A80" i="135"/>
  <c r="D84" i="135"/>
  <c r="A77" i="135"/>
  <c r="D81" i="135"/>
  <c r="M94" i="135"/>
  <c r="M118" i="135"/>
  <c r="M97" i="135"/>
  <c r="M86" i="135"/>
  <c r="D104" i="135"/>
  <c r="D113" i="135"/>
  <c r="C104" i="135"/>
  <c r="C112" i="135"/>
  <c r="C80" i="135"/>
  <c r="C123" i="135"/>
  <c r="C107" i="135"/>
  <c r="C113" i="135"/>
  <c r="C121" i="135"/>
  <c r="L121" i="135"/>
  <c r="Y121" i="135" s="1"/>
  <c r="K104" i="135"/>
  <c r="L86" i="135"/>
  <c r="Y86" i="135" s="1"/>
  <c r="L101" i="135"/>
  <c r="Y101" i="135" s="1"/>
  <c r="F113" i="135"/>
  <c r="K126" i="135"/>
  <c r="K92" i="135"/>
  <c r="P113" i="135"/>
  <c r="Q104" i="135"/>
  <c r="Z104" i="135" s="1"/>
  <c r="W82" i="135"/>
  <c r="W110" i="135"/>
  <c r="X81" i="135"/>
  <c r="W101" i="135"/>
  <c r="K107" i="135"/>
  <c r="F120" i="135"/>
  <c r="D123" i="135"/>
  <c r="M81" i="135"/>
  <c r="A81" i="135"/>
  <c r="A118" i="135"/>
  <c r="D119" i="135"/>
  <c r="C100" i="135"/>
  <c r="C88" i="135"/>
  <c r="F85" i="135"/>
  <c r="K88" i="135"/>
  <c r="L81" i="135"/>
  <c r="Y81" i="135" s="1"/>
  <c r="L105" i="135"/>
  <c r="Y105" i="135" s="1"/>
  <c r="P123" i="135"/>
  <c r="P107" i="135"/>
  <c r="P114" i="135"/>
  <c r="Q94" i="135"/>
  <c r="Z94" i="135" s="1"/>
  <c r="X107" i="135"/>
  <c r="X85" i="135"/>
  <c r="W108" i="135"/>
  <c r="W112" i="135"/>
  <c r="D120" i="135"/>
  <c r="A99" i="135"/>
  <c r="M120" i="135"/>
  <c r="B107" i="135"/>
  <c r="E120" i="135"/>
  <c r="M107" i="135"/>
  <c r="B81" i="135"/>
  <c r="M85" i="135"/>
  <c r="A88" i="135"/>
  <c r="B118" i="135"/>
  <c r="C81" i="135"/>
  <c r="C125" i="135"/>
  <c r="F81" i="135"/>
  <c r="F112" i="135"/>
  <c r="L118" i="135"/>
  <c r="Y118" i="135" s="1"/>
  <c r="Q115" i="135"/>
  <c r="Z115" i="135" s="1"/>
  <c r="Q81" i="135"/>
  <c r="Z81" i="135" s="1"/>
  <c r="Q112" i="135"/>
  <c r="Z112" i="135" s="1"/>
  <c r="X120" i="135"/>
  <c r="L74" i="135"/>
  <c r="Y74" i="135" s="1"/>
  <c r="C74" i="135"/>
  <c r="W79" i="135"/>
  <c r="L79" i="135"/>
  <c r="Y79" i="135" s="1"/>
  <c r="C79" i="135"/>
  <c r="F119" i="135"/>
  <c r="M119" i="135"/>
  <c r="W89" i="135"/>
  <c r="F89" i="135"/>
  <c r="A89" i="135"/>
  <c r="B89" i="135"/>
  <c r="P94" i="135"/>
  <c r="L94" i="135"/>
  <c r="Y94" i="135" s="1"/>
  <c r="C94" i="135"/>
  <c r="B94" i="135"/>
  <c r="D94" i="135"/>
  <c r="X99" i="135"/>
  <c r="E99" i="135"/>
  <c r="X109" i="135"/>
  <c r="P109" i="135"/>
  <c r="L109" i="135"/>
  <c r="Y109" i="135" s="1"/>
  <c r="C109" i="135"/>
  <c r="Q114" i="135"/>
  <c r="Z114" i="135" s="1"/>
  <c r="C114" i="135"/>
  <c r="E114" i="135"/>
  <c r="A114" i="135"/>
  <c r="P108" i="135"/>
  <c r="F108" i="135"/>
  <c r="M108" i="135"/>
  <c r="X123" i="135"/>
  <c r="K123" i="135"/>
  <c r="X100" i="135"/>
  <c r="L100" i="135"/>
  <c r="Y100" i="135" s="1"/>
  <c r="B100" i="135"/>
  <c r="D109" i="135"/>
  <c r="E109" i="135"/>
  <c r="M123" i="135"/>
  <c r="E74" i="135"/>
  <c r="A74" i="135"/>
  <c r="A108" i="135"/>
  <c r="E94" i="135"/>
  <c r="D100" i="135"/>
  <c r="E119" i="135"/>
  <c r="M114" i="135"/>
  <c r="B99" i="135"/>
  <c r="D89" i="135"/>
  <c r="C89" i="135"/>
  <c r="C99" i="135"/>
  <c r="C119" i="135"/>
  <c r="C108" i="135"/>
  <c r="F123" i="135"/>
  <c r="F107" i="135"/>
  <c r="K100" i="135"/>
  <c r="L89" i="135"/>
  <c r="Y89" i="135" s="1"/>
  <c r="K109" i="135"/>
  <c r="K74" i="135"/>
  <c r="K114" i="135"/>
  <c r="Q79" i="135"/>
  <c r="Z79" i="135" s="1"/>
  <c r="Q109" i="135"/>
  <c r="Z109" i="135" s="1"/>
  <c r="P74" i="135"/>
  <c r="Q108" i="135"/>
  <c r="Z108" i="135" s="1"/>
  <c r="P100" i="135"/>
  <c r="W123" i="135"/>
  <c r="W107" i="135"/>
  <c r="W109" i="135"/>
  <c r="W74" i="135"/>
  <c r="X108" i="135"/>
  <c r="X94" i="135"/>
  <c r="X89" i="135"/>
  <c r="P85" i="135"/>
  <c r="D85" i="135"/>
  <c r="P90" i="135"/>
  <c r="W90" i="135"/>
  <c r="F90" i="135"/>
  <c r="W95" i="135"/>
  <c r="Q95" i="135"/>
  <c r="Z95" i="135" s="1"/>
  <c r="A95" i="135"/>
  <c r="D71" i="135"/>
  <c r="Q71" i="135"/>
  <c r="Z71" i="135" s="1"/>
  <c r="X96" i="135"/>
  <c r="C96" i="135"/>
  <c r="W118" i="135"/>
  <c r="Q118" i="135"/>
  <c r="Z118" i="135" s="1"/>
  <c r="F118" i="135"/>
  <c r="C118" i="135"/>
  <c r="E118" i="135"/>
  <c r="X88" i="135"/>
  <c r="P88" i="135"/>
  <c r="B88" i="135"/>
  <c r="D88" i="135"/>
  <c r="D79" i="135"/>
  <c r="A120" i="135"/>
  <c r="E107" i="135"/>
  <c r="M109" i="135"/>
  <c r="A123" i="135"/>
  <c r="E123" i="135"/>
  <c r="B74" i="135"/>
  <c r="E108" i="135"/>
  <c r="M100" i="135"/>
  <c r="A119" i="135"/>
  <c r="M99" i="135"/>
  <c r="M89" i="135"/>
  <c r="L99" i="135"/>
  <c r="Y99" i="135" s="1"/>
  <c r="K79" i="135"/>
  <c r="K94" i="135"/>
  <c r="F100" i="135"/>
  <c r="K89" i="135"/>
  <c r="L120" i="135"/>
  <c r="Y120" i="135" s="1"/>
  <c r="F109" i="135"/>
  <c r="F74" i="135"/>
  <c r="L108" i="135"/>
  <c r="Y108" i="135" s="1"/>
  <c r="F114" i="135"/>
  <c r="Q99" i="135"/>
  <c r="Z99" i="135" s="1"/>
  <c r="P79" i="135"/>
  <c r="Q119" i="135"/>
  <c r="Z119" i="135" s="1"/>
  <c r="W99" i="135"/>
  <c r="X79" i="135"/>
  <c r="X119" i="135"/>
  <c r="X74" i="135"/>
  <c r="W100" i="135"/>
  <c r="W114" i="135"/>
  <c r="W106" i="135"/>
  <c r="F106" i="135"/>
  <c r="W76" i="135"/>
  <c r="K76" i="135"/>
  <c r="C76" i="135"/>
  <c r="M76" i="135"/>
  <c r="X104" i="135"/>
  <c r="B104" i="135"/>
  <c r="X126" i="135"/>
  <c r="Q126" i="135"/>
  <c r="Z126" i="135" s="1"/>
  <c r="L126" i="135"/>
  <c r="Y126" i="135" s="1"/>
  <c r="X80" i="135"/>
  <c r="L80" i="135"/>
  <c r="Y80" i="135" s="1"/>
  <c r="W77" i="135"/>
  <c r="K77" i="135"/>
  <c r="P87" i="135"/>
  <c r="L87" i="135"/>
  <c r="Y87" i="135" s="1"/>
  <c r="C87" i="135"/>
  <c r="P84" i="135"/>
  <c r="F84" i="135"/>
  <c r="P86" i="135"/>
  <c r="K86" i="135"/>
  <c r="C86" i="135"/>
  <c r="D86" i="135"/>
  <c r="B86" i="135"/>
  <c r="P97" i="135"/>
  <c r="F97" i="135"/>
  <c r="D97" i="135"/>
  <c r="K113" i="135"/>
  <c r="B113" i="135"/>
  <c r="M79" i="135"/>
  <c r="E79" i="135"/>
  <c r="B120" i="135"/>
  <c r="A107" i="135"/>
  <c r="D107" i="135"/>
  <c r="B109" i="135"/>
  <c r="B123" i="135"/>
  <c r="M74" i="135"/>
  <c r="D108" i="135"/>
  <c r="A94" i="135"/>
  <c r="A100" i="135"/>
  <c r="B119" i="135"/>
  <c r="B114" i="135"/>
  <c r="D99" i="135"/>
  <c r="C120" i="135"/>
  <c r="K99" i="135"/>
  <c r="L107" i="135"/>
  <c r="Y107" i="135" s="1"/>
  <c r="F79" i="135"/>
  <c r="L119" i="135"/>
  <c r="Y119" i="135" s="1"/>
  <c r="F94" i="135"/>
  <c r="K120" i="135"/>
  <c r="K108" i="135"/>
  <c r="P99" i="135"/>
  <c r="Q123" i="135"/>
  <c r="Z123" i="135" s="1"/>
  <c r="P120" i="135"/>
  <c r="P119" i="135"/>
  <c r="Q89" i="135"/>
  <c r="Z89" i="135" s="1"/>
  <c r="W120" i="135"/>
  <c r="W119" i="135"/>
  <c r="X114" i="135"/>
  <c r="A92" i="135"/>
  <c r="A71" i="135"/>
  <c r="E71" i="135"/>
  <c r="D96" i="135"/>
  <c r="A96" i="135"/>
  <c r="M115" i="135"/>
  <c r="M110" i="135"/>
  <c r="B110" i="135"/>
  <c r="B105" i="135"/>
  <c r="A105" i="135"/>
  <c r="B112" i="135"/>
  <c r="A85" i="135"/>
  <c r="M90" i="135"/>
  <c r="B125" i="135"/>
  <c r="B95" i="135"/>
  <c r="L125" i="135"/>
  <c r="Y125" i="135" s="1"/>
  <c r="F95" i="135"/>
  <c r="L96" i="135"/>
  <c r="Y96" i="135" s="1"/>
  <c r="L115" i="135"/>
  <c r="Y115" i="135" s="1"/>
  <c r="K71" i="135"/>
  <c r="K105" i="135"/>
  <c r="F92" i="135"/>
  <c r="P125" i="135"/>
  <c r="P95" i="135"/>
  <c r="P96" i="135"/>
  <c r="P115" i="135"/>
  <c r="P112" i="135"/>
  <c r="P71" i="135"/>
  <c r="P105" i="135"/>
  <c r="X90" i="135"/>
  <c r="X110" i="135"/>
  <c r="W85" i="135"/>
  <c r="X112" i="135"/>
  <c r="W71" i="135"/>
  <c r="W105" i="135"/>
  <c r="B92" i="135"/>
  <c r="B71" i="135"/>
  <c r="M96" i="135"/>
  <c r="B115" i="135"/>
  <c r="D115" i="135"/>
  <c r="E110" i="135"/>
  <c r="E105" i="135"/>
  <c r="D112" i="135"/>
  <c r="A112" i="135"/>
  <c r="B85" i="135"/>
  <c r="E90" i="135"/>
  <c r="A125" i="135"/>
  <c r="E125" i="135"/>
  <c r="D95" i="135"/>
  <c r="C71" i="135"/>
  <c r="C105" i="135"/>
  <c r="C95" i="135"/>
  <c r="K125" i="135"/>
  <c r="K96" i="135"/>
  <c r="L90" i="135"/>
  <c r="Y90" i="135" s="1"/>
  <c r="L110" i="135"/>
  <c r="Y110" i="135" s="1"/>
  <c r="K115" i="135"/>
  <c r="L85" i="135"/>
  <c r="Y85" i="135" s="1"/>
  <c r="L112" i="135"/>
  <c r="Y112" i="135" s="1"/>
  <c r="F71" i="135"/>
  <c r="F105" i="135"/>
  <c r="Q90" i="135"/>
  <c r="Z90" i="135" s="1"/>
  <c r="P110" i="135"/>
  <c r="Q85" i="135"/>
  <c r="Z85" i="135" s="1"/>
  <c r="Q92" i="135"/>
  <c r="Z92" i="135" s="1"/>
  <c r="X125" i="135"/>
  <c r="X95" i="135"/>
  <c r="W96" i="135"/>
  <c r="W92" i="135"/>
  <c r="X115" i="135"/>
  <c r="M92" i="135"/>
  <c r="E92" i="135"/>
  <c r="E96" i="135"/>
  <c r="E115" i="135"/>
  <c r="D110" i="135"/>
  <c r="E112" i="135"/>
  <c r="E85" i="135"/>
  <c r="B90" i="135"/>
  <c r="A90" i="135"/>
  <c r="D125" i="135"/>
  <c r="M95" i="135"/>
  <c r="C115" i="135"/>
  <c r="C92" i="135"/>
  <c r="C90" i="135"/>
  <c r="C110" i="135"/>
  <c r="F125" i="135"/>
  <c r="L95" i="135"/>
  <c r="Y95" i="135" s="1"/>
  <c r="F96" i="135"/>
  <c r="K90" i="135"/>
  <c r="K110" i="135"/>
  <c r="F115" i="135"/>
  <c r="K85" i="135"/>
  <c r="L92" i="135"/>
  <c r="Y92" i="135" s="1"/>
  <c r="P92" i="135"/>
  <c r="GV25" i="1"/>
  <c r="GU20" i="1"/>
  <c r="IF21" i="1"/>
  <c r="BQ7" i="71" s="1"/>
  <c r="IE171" i="1"/>
  <c r="DN227" i="123"/>
  <c r="EC227" i="123" s="1"/>
  <c r="DN231" i="123"/>
  <c r="EC231" i="123" s="1"/>
  <c r="FN217" i="1" l="1"/>
  <c r="R217" i="1"/>
  <c r="FN219" i="1"/>
  <c r="R219" i="1"/>
  <c r="FN209" i="1"/>
  <c r="R209" i="1"/>
  <c r="FN212" i="1"/>
  <c r="R212" i="1"/>
  <c r="FN214" i="1"/>
  <c r="R214" i="1"/>
  <c r="R210" i="1"/>
  <c r="FN218" i="1"/>
  <c r="R218" i="1"/>
  <c r="FN216" i="1"/>
  <c r="R216" i="1"/>
  <c r="IE26" i="1"/>
  <c r="EJ17" i="123"/>
  <c r="DM215" i="123" a="1"/>
  <c r="DM212" i="123" a="1"/>
  <c r="DM211" i="123" a="1"/>
  <c r="Q72" i="127"/>
  <c r="GW25" i="1"/>
  <c r="GV20" i="1"/>
  <c r="IG21" i="1"/>
  <c r="BR7" i="71" s="1"/>
  <c r="IF171" i="1"/>
  <c r="C28" i="71"/>
  <c r="IF26" i="1" l="1"/>
  <c r="EK17" i="123"/>
  <c r="DM210" i="123" a="1"/>
  <c r="DM224" i="123" a="1"/>
  <c r="DM216" i="123" a="1"/>
  <c r="Q97" i="127"/>
  <c r="C97" i="127" s="1"/>
  <c r="Q117" i="127"/>
  <c r="C117" i="127" s="1"/>
  <c r="Q111" i="127"/>
  <c r="C111" i="127" s="1"/>
  <c r="Q93" i="127"/>
  <c r="C93" i="127" s="1"/>
  <c r="Q107" i="127"/>
  <c r="C107" i="127" s="1"/>
  <c r="Q115" i="127"/>
  <c r="C115" i="127" s="1"/>
  <c r="Q101" i="127"/>
  <c r="C101" i="127" s="1"/>
  <c r="Q95" i="127"/>
  <c r="C95" i="127" s="1"/>
  <c r="Q81" i="127"/>
  <c r="C81" i="127" s="1"/>
  <c r="Q91" i="127"/>
  <c r="C91" i="127" s="1"/>
  <c r="Q77" i="127"/>
  <c r="C77" i="127" s="1"/>
  <c r="Q126" i="127"/>
  <c r="C126" i="127" s="1"/>
  <c r="Q116" i="127"/>
  <c r="C116" i="127" s="1"/>
  <c r="Q102" i="127"/>
  <c r="C102" i="127" s="1"/>
  <c r="Q96" i="127"/>
  <c r="C96" i="127" s="1"/>
  <c r="Q98" i="127"/>
  <c r="C98" i="127" s="1"/>
  <c r="Q103" i="127"/>
  <c r="C103" i="127" s="1"/>
  <c r="Q106" i="127"/>
  <c r="C106" i="127" s="1"/>
  <c r="Q100" i="127"/>
  <c r="C100" i="127" s="1"/>
  <c r="Q86" i="127"/>
  <c r="C86" i="127" s="1"/>
  <c r="Q80" i="127"/>
  <c r="C80" i="127" s="1"/>
  <c r="Q82" i="127"/>
  <c r="C82" i="127" s="1"/>
  <c r="Q71" i="127"/>
  <c r="C71" i="127" s="1"/>
  <c r="Q99" i="127"/>
  <c r="C99" i="127" s="1"/>
  <c r="Q90" i="127"/>
  <c r="C90" i="127" s="1"/>
  <c r="Q85" i="127"/>
  <c r="C85" i="127" s="1"/>
  <c r="Q84" i="127"/>
  <c r="C84" i="127" s="1"/>
  <c r="Q79" i="127"/>
  <c r="C79" i="127" s="1"/>
  <c r="Q70" i="127"/>
  <c r="C70" i="127" s="1"/>
  <c r="Q114" i="127"/>
  <c r="C114" i="127" s="1"/>
  <c r="H2" i="129"/>
  <c r="I72" i="129" s="1"/>
  <c r="Q75" i="127"/>
  <c r="C75" i="127" s="1"/>
  <c r="Q125" i="127"/>
  <c r="C125" i="127" s="1"/>
  <c r="Q108" i="127"/>
  <c r="C108" i="127" s="1"/>
  <c r="Q94" i="127"/>
  <c r="C94" i="127" s="1"/>
  <c r="Q83" i="127"/>
  <c r="C83" i="127" s="1"/>
  <c r="Q74" i="127"/>
  <c r="C74" i="127" s="1"/>
  <c r="Q69" i="127"/>
  <c r="C69" i="127" s="1"/>
  <c r="Q122" i="127"/>
  <c r="C122" i="127" s="1"/>
  <c r="Q113" i="127"/>
  <c r="C113" i="127" s="1"/>
  <c r="Q112" i="127"/>
  <c r="C112" i="127" s="1"/>
  <c r="Q123" i="127"/>
  <c r="C123" i="127" s="1"/>
  <c r="Q118" i="127"/>
  <c r="C118" i="127" s="1"/>
  <c r="Q109" i="127"/>
  <c r="C109" i="127" s="1"/>
  <c r="Q76" i="127"/>
  <c r="C76" i="127" s="1"/>
  <c r="Q89" i="127"/>
  <c r="C89" i="127" s="1"/>
  <c r="Q92" i="127"/>
  <c r="C92" i="127" s="1"/>
  <c r="Q87" i="127"/>
  <c r="C87" i="127" s="1"/>
  <c r="Q78" i="127"/>
  <c r="C78" i="127" s="1"/>
  <c r="Q73" i="127"/>
  <c r="C73" i="127" s="1"/>
  <c r="Q121" i="127"/>
  <c r="C121" i="127" s="1"/>
  <c r="Q120" i="127"/>
  <c r="C120" i="127" s="1"/>
  <c r="Q124" i="127"/>
  <c r="C124" i="127" s="1"/>
  <c r="Q119" i="127"/>
  <c r="C119" i="127" s="1"/>
  <c r="Q110" i="127"/>
  <c r="C110" i="127" s="1"/>
  <c r="Q105" i="127"/>
  <c r="C105" i="127" s="1"/>
  <c r="Q88" i="127"/>
  <c r="C88" i="127" s="1"/>
  <c r="Q104" i="127"/>
  <c r="C104" i="127" s="1"/>
  <c r="GX25" i="1"/>
  <c r="GW20" i="1"/>
  <c r="IH21" i="1"/>
  <c r="BS7" i="71" s="1"/>
  <c r="IG171" i="1"/>
  <c r="C72" i="127"/>
  <c r="CG66" i="93"/>
  <c r="CH66" i="93"/>
  <c r="CG70" i="93"/>
  <c r="CH70" i="93"/>
  <c r="CG76" i="93"/>
  <c r="CH76" i="93"/>
  <c r="CG83" i="93"/>
  <c r="CH83" i="93"/>
  <c r="CG84" i="93"/>
  <c r="CH84" i="93"/>
  <c r="CG88" i="93"/>
  <c r="CH88" i="93"/>
  <c r="CG91" i="93"/>
  <c r="CH91" i="93"/>
  <c r="CG94" i="93"/>
  <c r="CH94" i="93"/>
  <c r="CG95" i="93"/>
  <c r="CH95" i="93"/>
  <c r="CG96" i="93"/>
  <c r="CH96" i="93"/>
  <c r="CG97" i="93"/>
  <c r="CH97" i="93"/>
  <c r="CG98" i="93"/>
  <c r="CH98" i="93"/>
  <c r="CG99" i="93"/>
  <c r="CH99" i="93"/>
  <c r="CG100" i="93"/>
  <c r="CH100" i="93"/>
  <c r="CG101" i="93"/>
  <c r="CH101" i="93"/>
  <c r="CG102" i="93"/>
  <c r="CH102" i="93"/>
  <c r="CG103" i="93"/>
  <c r="CH103" i="93"/>
  <c r="CG104" i="93"/>
  <c r="CH104" i="93"/>
  <c r="CG105" i="93"/>
  <c r="CH105" i="93"/>
  <c r="CG106" i="93"/>
  <c r="CH106" i="93"/>
  <c r="CG107" i="93"/>
  <c r="CH107" i="93"/>
  <c r="CG108" i="93"/>
  <c r="CH108" i="93"/>
  <c r="CG109" i="93"/>
  <c r="CH109" i="93"/>
  <c r="CG110" i="93"/>
  <c r="CH110" i="93"/>
  <c r="CG111" i="93"/>
  <c r="CH111" i="93"/>
  <c r="CG112" i="93"/>
  <c r="CH112" i="93"/>
  <c r="CG113" i="93"/>
  <c r="CH113" i="93"/>
  <c r="IG26" i="1" l="1"/>
  <c r="EL17" i="123"/>
  <c r="I102" i="129"/>
  <c r="I102" i="127"/>
  <c r="I104" i="129"/>
  <c r="I107" i="129"/>
  <c r="I85" i="129"/>
  <c r="I83" i="129"/>
  <c r="I109" i="129"/>
  <c r="J102" i="127"/>
  <c r="D102" i="127"/>
  <c r="I112" i="129"/>
  <c r="I124" i="129"/>
  <c r="I89" i="129"/>
  <c r="I91" i="129"/>
  <c r="K102" i="127"/>
  <c r="T102" i="127" s="1"/>
  <c r="I121" i="129"/>
  <c r="I111" i="129"/>
  <c r="I87" i="129"/>
  <c r="I70" i="129"/>
  <c r="H102" i="127"/>
  <c r="A102" i="127"/>
  <c r="L102" i="127"/>
  <c r="U102" i="127" s="1"/>
  <c r="I120" i="129"/>
  <c r="I94" i="129"/>
  <c r="I123" i="129"/>
  <c r="I84" i="129"/>
  <c r="I110" i="129"/>
  <c r="I73" i="129"/>
  <c r="I100" i="129"/>
  <c r="I88" i="129"/>
  <c r="I77" i="129"/>
  <c r="I118" i="129"/>
  <c r="I119" i="129"/>
  <c r="I95" i="129"/>
  <c r="I92" i="129"/>
  <c r="I74" i="129"/>
  <c r="I75" i="129"/>
  <c r="I69" i="129"/>
  <c r="I108" i="129"/>
  <c r="I106" i="129"/>
  <c r="I82" i="129"/>
  <c r="I79" i="129"/>
  <c r="I86" i="129"/>
  <c r="I116" i="129"/>
  <c r="I122" i="129"/>
  <c r="B122" i="129" s="1"/>
  <c r="I76" i="129"/>
  <c r="I96" i="129"/>
  <c r="I114" i="129"/>
  <c r="I117" i="129"/>
  <c r="I71" i="129"/>
  <c r="I125" i="129"/>
  <c r="I78" i="129"/>
  <c r="I103" i="129"/>
  <c r="I126" i="129"/>
  <c r="I90" i="129"/>
  <c r="I99" i="129"/>
  <c r="I80" i="129"/>
  <c r="I97" i="129"/>
  <c r="I101" i="129"/>
  <c r="I98" i="129"/>
  <c r="I93" i="129"/>
  <c r="I81" i="129"/>
  <c r="I115" i="129"/>
  <c r="I105" i="129"/>
  <c r="I113" i="129"/>
  <c r="GY25" i="1"/>
  <c r="GX20" i="1"/>
  <c r="K86" i="127"/>
  <c r="T86" i="127" s="1"/>
  <c r="L86" i="127"/>
  <c r="U86" i="127" s="1"/>
  <c r="K110" i="127"/>
  <c r="T110" i="127" s="1"/>
  <c r="L110" i="127"/>
  <c r="U110" i="127" s="1"/>
  <c r="L113" i="127"/>
  <c r="U113" i="127" s="1"/>
  <c r="K113" i="127"/>
  <c r="T113" i="127" s="1"/>
  <c r="K72" i="127"/>
  <c r="T72" i="127" s="1"/>
  <c r="L72" i="127"/>
  <c r="U72" i="127" s="1"/>
  <c r="L81" i="127"/>
  <c r="U81" i="127" s="1"/>
  <c r="K81" i="127"/>
  <c r="T81" i="127" s="1"/>
  <c r="K82" i="127"/>
  <c r="T82" i="127" s="1"/>
  <c r="L82" i="127"/>
  <c r="U82" i="127" s="1"/>
  <c r="K71" i="127"/>
  <c r="T71" i="127" s="1"/>
  <c r="L71" i="127"/>
  <c r="U71" i="127" s="1"/>
  <c r="L125" i="127"/>
  <c r="U125" i="127" s="1"/>
  <c r="K125" i="127"/>
  <c r="T125" i="127" s="1"/>
  <c r="L85" i="127"/>
  <c r="U85" i="127" s="1"/>
  <c r="K85" i="127"/>
  <c r="T85" i="127" s="1"/>
  <c r="K114" i="127"/>
  <c r="T114" i="127" s="1"/>
  <c r="L114" i="127"/>
  <c r="U114" i="127" s="1"/>
  <c r="K74" i="127"/>
  <c r="T74" i="127" s="1"/>
  <c r="L74" i="127"/>
  <c r="U74" i="127" s="1"/>
  <c r="L117" i="127"/>
  <c r="U117" i="127" s="1"/>
  <c r="K117" i="127"/>
  <c r="T117" i="127" s="1"/>
  <c r="L73" i="127"/>
  <c r="U73" i="127" s="1"/>
  <c r="K73" i="127"/>
  <c r="T73" i="127" s="1"/>
  <c r="K124" i="127"/>
  <c r="T124" i="127" s="1"/>
  <c r="L124" i="127"/>
  <c r="U124" i="127" s="1"/>
  <c r="K116" i="127"/>
  <c r="T116" i="127" s="1"/>
  <c r="L116" i="127"/>
  <c r="U116" i="127" s="1"/>
  <c r="K76" i="127"/>
  <c r="T76" i="127" s="1"/>
  <c r="L76" i="127"/>
  <c r="U76" i="127" s="1"/>
  <c r="K99" i="127"/>
  <c r="T99" i="127" s="1"/>
  <c r="L99" i="127"/>
  <c r="U99" i="127" s="1"/>
  <c r="K70" i="127"/>
  <c r="T70" i="127" s="1"/>
  <c r="L70" i="127"/>
  <c r="U70" i="127" s="1"/>
  <c r="L109" i="127"/>
  <c r="U109" i="127" s="1"/>
  <c r="K109" i="127"/>
  <c r="T109" i="127" s="1"/>
  <c r="L89" i="127"/>
  <c r="U89" i="127" s="1"/>
  <c r="K89" i="127"/>
  <c r="T89" i="127" s="1"/>
  <c r="L69" i="127"/>
  <c r="U69" i="127" s="1"/>
  <c r="K69" i="127"/>
  <c r="T69" i="127" s="1"/>
  <c r="K115" i="127"/>
  <c r="T115" i="127" s="1"/>
  <c r="L115" i="127"/>
  <c r="U115" i="127" s="1"/>
  <c r="K88" i="127"/>
  <c r="T88" i="127" s="1"/>
  <c r="L88" i="127"/>
  <c r="U88" i="127" s="1"/>
  <c r="L121" i="127"/>
  <c r="U121" i="127" s="1"/>
  <c r="K121" i="127"/>
  <c r="T121" i="127" s="1"/>
  <c r="K103" i="127"/>
  <c r="T103" i="127" s="1"/>
  <c r="L103" i="127"/>
  <c r="U103" i="127" s="1"/>
  <c r="K122" i="127"/>
  <c r="T122" i="127" s="1"/>
  <c r="L122" i="127"/>
  <c r="U122" i="127" s="1"/>
  <c r="K126" i="127"/>
  <c r="T126" i="127" s="1"/>
  <c r="L126" i="127"/>
  <c r="U126" i="127" s="1"/>
  <c r="K90" i="127"/>
  <c r="T90" i="127" s="1"/>
  <c r="L90" i="127"/>
  <c r="U90" i="127" s="1"/>
  <c r="K80" i="127"/>
  <c r="T80" i="127" s="1"/>
  <c r="L80" i="127"/>
  <c r="U80" i="127" s="1"/>
  <c r="K87" i="127"/>
  <c r="T87" i="127" s="1"/>
  <c r="L87" i="127"/>
  <c r="U87" i="127" s="1"/>
  <c r="K75" i="127"/>
  <c r="T75" i="127" s="1"/>
  <c r="L75" i="127"/>
  <c r="U75" i="127" s="1"/>
  <c r="L101" i="127"/>
  <c r="U101" i="127" s="1"/>
  <c r="K101" i="127"/>
  <c r="T101" i="127" s="1"/>
  <c r="K95" i="127"/>
  <c r="T95" i="127" s="1"/>
  <c r="L95" i="127"/>
  <c r="U95" i="127" s="1"/>
  <c r="K106" i="127"/>
  <c r="T106" i="127" s="1"/>
  <c r="L106" i="127"/>
  <c r="U106" i="127" s="1"/>
  <c r="K118" i="127"/>
  <c r="T118" i="127" s="1"/>
  <c r="L118" i="127"/>
  <c r="U118" i="127" s="1"/>
  <c r="L105" i="127"/>
  <c r="U105" i="127" s="1"/>
  <c r="K105" i="127"/>
  <c r="T105" i="127" s="1"/>
  <c r="K123" i="127"/>
  <c r="T123" i="127" s="1"/>
  <c r="L123" i="127"/>
  <c r="U123" i="127" s="1"/>
  <c r="K94" i="127"/>
  <c r="T94" i="127" s="1"/>
  <c r="L94" i="127"/>
  <c r="U94" i="127" s="1"/>
  <c r="K98" i="127"/>
  <c r="T98" i="127" s="1"/>
  <c r="L98" i="127"/>
  <c r="U98" i="127" s="1"/>
  <c r="K83" i="127"/>
  <c r="T83" i="127" s="1"/>
  <c r="L83" i="127"/>
  <c r="U83" i="127" s="1"/>
  <c r="K111" i="127"/>
  <c r="T111" i="127" s="1"/>
  <c r="L111" i="127"/>
  <c r="U111" i="127" s="1"/>
  <c r="L77" i="127"/>
  <c r="U77" i="127" s="1"/>
  <c r="K77" i="127"/>
  <c r="T77" i="127" s="1"/>
  <c r="L97" i="127"/>
  <c r="U97" i="127" s="1"/>
  <c r="K97" i="127"/>
  <c r="T97" i="127" s="1"/>
  <c r="K112" i="127"/>
  <c r="T112" i="127" s="1"/>
  <c r="L112" i="127"/>
  <c r="U112" i="127" s="1"/>
  <c r="K104" i="127"/>
  <c r="T104" i="127" s="1"/>
  <c r="L104" i="127"/>
  <c r="U104" i="127" s="1"/>
  <c r="K119" i="127"/>
  <c r="T119" i="127" s="1"/>
  <c r="L119" i="127"/>
  <c r="U119" i="127" s="1"/>
  <c r="K79" i="127"/>
  <c r="T79" i="127" s="1"/>
  <c r="L79" i="127"/>
  <c r="U79" i="127" s="1"/>
  <c r="K92" i="127"/>
  <c r="T92" i="127" s="1"/>
  <c r="L92" i="127"/>
  <c r="U92" i="127" s="1"/>
  <c r="K84" i="127"/>
  <c r="T84" i="127" s="1"/>
  <c r="L84" i="127"/>
  <c r="U84" i="127" s="1"/>
  <c r="K107" i="127"/>
  <c r="T107" i="127" s="1"/>
  <c r="L107" i="127"/>
  <c r="U107" i="127" s="1"/>
  <c r="K120" i="127"/>
  <c r="T120" i="127" s="1"/>
  <c r="L120" i="127"/>
  <c r="U120" i="127" s="1"/>
  <c r="K78" i="127"/>
  <c r="T78" i="127" s="1"/>
  <c r="L78" i="127"/>
  <c r="U78" i="127" s="1"/>
  <c r="K91" i="127"/>
  <c r="T91" i="127" s="1"/>
  <c r="L91" i="127"/>
  <c r="U91" i="127" s="1"/>
  <c r="K96" i="127"/>
  <c r="T96" i="127" s="1"/>
  <c r="L96" i="127"/>
  <c r="U96" i="127" s="1"/>
  <c r="L93" i="127"/>
  <c r="U93" i="127" s="1"/>
  <c r="K93" i="127"/>
  <c r="T93" i="127" s="1"/>
  <c r="K100" i="127"/>
  <c r="T100" i="127" s="1"/>
  <c r="L100" i="127"/>
  <c r="U100" i="127" s="1"/>
  <c r="K108" i="127"/>
  <c r="T108" i="127" s="1"/>
  <c r="L108" i="127"/>
  <c r="U108" i="127" s="1"/>
  <c r="D86" i="127"/>
  <c r="H86" i="127"/>
  <c r="I86" i="127"/>
  <c r="D110" i="127"/>
  <c r="H110" i="127"/>
  <c r="I110" i="127"/>
  <c r="D90" i="127"/>
  <c r="H90" i="127"/>
  <c r="I90" i="127"/>
  <c r="D113" i="127"/>
  <c r="I113" i="127"/>
  <c r="H113" i="127"/>
  <c r="D80" i="127"/>
  <c r="H80" i="127"/>
  <c r="I80" i="127"/>
  <c r="D72" i="127"/>
  <c r="H72" i="127"/>
  <c r="I72" i="127"/>
  <c r="D87" i="127"/>
  <c r="I87" i="127"/>
  <c r="H87" i="127"/>
  <c r="D81" i="127"/>
  <c r="I81" i="127"/>
  <c r="H81" i="127"/>
  <c r="D75" i="127"/>
  <c r="I75" i="127"/>
  <c r="H75" i="127"/>
  <c r="D82" i="127"/>
  <c r="H82" i="127"/>
  <c r="I82" i="127"/>
  <c r="D101" i="127"/>
  <c r="I101" i="127"/>
  <c r="H101" i="127"/>
  <c r="D95" i="127"/>
  <c r="I95" i="127"/>
  <c r="H95" i="127"/>
  <c r="D71" i="127"/>
  <c r="I71" i="127"/>
  <c r="H71" i="127"/>
  <c r="D106" i="127"/>
  <c r="H106" i="127"/>
  <c r="I106" i="127"/>
  <c r="D118" i="127"/>
  <c r="H118" i="127"/>
  <c r="I118" i="127"/>
  <c r="D125" i="127"/>
  <c r="I125" i="127"/>
  <c r="H125" i="127"/>
  <c r="D105" i="127"/>
  <c r="I105" i="127"/>
  <c r="H105" i="127"/>
  <c r="D85" i="127"/>
  <c r="I85" i="127"/>
  <c r="H85" i="127"/>
  <c r="D123" i="127"/>
  <c r="I123" i="127"/>
  <c r="H123" i="127"/>
  <c r="D114" i="127"/>
  <c r="H114" i="127"/>
  <c r="I114" i="127"/>
  <c r="D94" i="127"/>
  <c r="H94" i="127"/>
  <c r="I94" i="127"/>
  <c r="D74" i="127"/>
  <c r="H74" i="127"/>
  <c r="I74" i="127"/>
  <c r="D98" i="127"/>
  <c r="H98" i="127"/>
  <c r="I98" i="127"/>
  <c r="D117" i="127"/>
  <c r="I117" i="127"/>
  <c r="H117" i="127"/>
  <c r="D83" i="127"/>
  <c r="I83" i="127"/>
  <c r="H83" i="127"/>
  <c r="D111" i="127"/>
  <c r="I111" i="127"/>
  <c r="H111" i="127"/>
  <c r="D73" i="127"/>
  <c r="I73" i="127"/>
  <c r="H73" i="127"/>
  <c r="D77" i="127"/>
  <c r="I77" i="127"/>
  <c r="H77" i="127"/>
  <c r="D124" i="127"/>
  <c r="H124" i="127"/>
  <c r="I124" i="127"/>
  <c r="D116" i="127"/>
  <c r="H116" i="127"/>
  <c r="I116" i="127"/>
  <c r="D76" i="127"/>
  <c r="H76" i="127"/>
  <c r="I76" i="127"/>
  <c r="D99" i="127"/>
  <c r="I99" i="127"/>
  <c r="H99" i="127"/>
  <c r="D70" i="127"/>
  <c r="H70" i="127"/>
  <c r="I70" i="127"/>
  <c r="D109" i="127"/>
  <c r="I109" i="127"/>
  <c r="H109" i="127"/>
  <c r="D89" i="127"/>
  <c r="I89" i="127"/>
  <c r="H89" i="127"/>
  <c r="D69" i="127"/>
  <c r="I69" i="127"/>
  <c r="H69" i="127"/>
  <c r="D115" i="127"/>
  <c r="I115" i="127"/>
  <c r="H115" i="127"/>
  <c r="D88" i="127"/>
  <c r="H88" i="127"/>
  <c r="I88" i="127"/>
  <c r="D121" i="127"/>
  <c r="I121" i="127"/>
  <c r="H121" i="127"/>
  <c r="D103" i="127"/>
  <c r="I103" i="127"/>
  <c r="H103" i="127"/>
  <c r="D122" i="127"/>
  <c r="H122" i="127"/>
  <c r="I122" i="127"/>
  <c r="D126" i="127"/>
  <c r="H126" i="127"/>
  <c r="I126" i="127"/>
  <c r="D97" i="127"/>
  <c r="I97" i="127"/>
  <c r="H97" i="127"/>
  <c r="D112" i="127"/>
  <c r="H112" i="127"/>
  <c r="I112" i="127"/>
  <c r="D104" i="127"/>
  <c r="H104" i="127"/>
  <c r="I104" i="127"/>
  <c r="D119" i="127"/>
  <c r="I119" i="127"/>
  <c r="H119" i="127"/>
  <c r="D79" i="127"/>
  <c r="I79" i="127"/>
  <c r="H79" i="127"/>
  <c r="D92" i="127"/>
  <c r="H92" i="127"/>
  <c r="I92" i="127"/>
  <c r="D84" i="127"/>
  <c r="H84" i="127"/>
  <c r="I84" i="127"/>
  <c r="D107" i="127"/>
  <c r="I107" i="127"/>
  <c r="H107" i="127"/>
  <c r="D120" i="127"/>
  <c r="H120" i="127"/>
  <c r="I120" i="127"/>
  <c r="D78" i="127"/>
  <c r="H78" i="127"/>
  <c r="I78" i="127"/>
  <c r="D91" i="127"/>
  <c r="I91" i="127"/>
  <c r="H91" i="127"/>
  <c r="D96" i="127"/>
  <c r="H96" i="127"/>
  <c r="I96" i="127"/>
  <c r="D93" i="127"/>
  <c r="I93" i="127"/>
  <c r="H93" i="127"/>
  <c r="D100" i="127"/>
  <c r="H100" i="127"/>
  <c r="I100" i="127"/>
  <c r="D108" i="127"/>
  <c r="H108" i="127"/>
  <c r="I108" i="127"/>
  <c r="A86" i="127"/>
  <c r="A110" i="127"/>
  <c r="A113" i="127"/>
  <c r="A72" i="127"/>
  <c r="A81" i="127"/>
  <c r="A82" i="127"/>
  <c r="A95" i="127"/>
  <c r="A106" i="127"/>
  <c r="A118" i="127"/>
  <c r="A105" i="127"/>
  <c r="A114" i="127"/>
  <c r="A74" i="127"/>
  <c r="A117" i="127"/>
  <c r="A111" i="127"/>
  <c r="A77" i="127"/>
  <c r="A97" i="127"/>
  <c r="A112" i="127"/>
  <c r="A104" i="127"/>
  <c r="A119" i="127"/>
  <c r="A79" i="127"/>
  <c r="A92" i="127"/>
  <c r="A84" i="127"/>
  <c r="A107" i="127"/>
  <c r="A120" i="127"/>
  <c r="A78" i="127"/>
  <c r="A91" i="127"/>
  <c r="A96" i="127"/>
  <c r="A93" i="127"/>
  <c r="A100" i="127"/>
  <c r="A108" i="127"/>
  <c r="A90" i="127"/>
  <c r="A80" i="127"/>
  <c r="A87" i="127"/>
  <c r="A75" i="127"/>
  <c r="A101" i="127"/>
  <c r="A71" i="127"/>
  <c r="A125" i="127"/>
  <c r="A85" i="127"/>
  <c r="A123" i="127"/>
  <c r="A94" i="127"/>
  <c r="A98" i="127"/>
  <c r="A83" i="127"/>
  <c r="A73" i="127"/>
  <c r="A124" i="127"/>
  <c r="A116" i="127"/>
  <c r="A76" i="127"/>
  <c r="A99" i="127"/>
  <c r="A70" i="127"/>
  <c r="A109" i="127"/>
  <c r="A89" i="127"/>
  <c r="A69" i="127"/>
  <c r="A115" i="127"/>
  <c r="A88" i="127"/>
  <c r="A121" i="127"/>
  <c r="A103" i="127"/>
  <c r="A122" i="127"/>
  <c r="A126" i="127"/>
  <c r="II21" i="1"/>
  <c r="BT7" i="71" s="1"/>
  <c r="IH171" i="1"/>
  <c r="J112" i="127"/>
  <c r="J119" i="127"/>
  <c r="J92" i="127"/>
  <c r="J107" i="127"/>
  <c r="J78" i="127"/>
  <c r="J96" i="127"/>
  <c r="J100" i="127"/>
  <c r="J90" i="127"/>
  <c r="J80" i="127"/>
  <c r="J87" i="127"/>
  <c r="J75" i="127"/>
  <c r="J101" i="127"/>
  <c r="J71" i="127"/>
  <c r="J118" i="127"/>
  <c r="J125" i="127"/>
  <c r="J105" i="127"/>
  <c r="J85" i="127"/>
  <c r="J123" i="127"/>
  <c r="J114" i="127"/>
  <c r="J94" i="127"/>
  <c r="J74" i="127"/>
  <c r="J98" i="127"/>
  <c r="J117" i="127"/>
  <c r="J83" i="127"/>
  <c r="J111" i="127"/>
  <c r="J73" i="127"/>
  <c r="J77" i="127"/>
  <c r="J97" i="127"/>
  <c r="J104" i="127"/>
  <c r="J79" i="127"/>
  <c r="J84" i="127"/>
  <c r="J120" i="127"/>
  <c r="J91" i="127"/>
  <c r="J93" i="127"/>
  <c r="J108" i="127"/>
  <c r="J86" i="127"/>
  <c r="J110" i="127"/>
  <c r="J113" i="127"/>
  <c r="J72" i="127"/>
  <c r="J81" i="127"/>
  <c r="J82" i="127"/>
  <c r="J95" i="127"/>
  <c r="J106" i="127"/>
  <c r="J124" i="127"/>
  <c r="J116" i="127"/>
  <c r="J76" i="127"/>
  <c r="J99" i="127"/>
  <c r="J70" i="127"/>
  <c r="J109" i="127"/>
  <c r="J89" i="127"/>
  <c r="J69" i="127"/>
  <c r="J115" i="127"/>
  <c r="J88" i="127"/>
  <c r="J121" i="127"/>
  <c r="J103" i="127"/>
  <c r="J122" i="127"/>
  <c r="J126" i="127"/>
  <c r="IH26" i="1" l="1"/>
  <c r="EM17" i="123"/>
  <c r="AA211" i="123"/>
  <c r="U211" i="123"/>
  <c r="T211" i="123"/>
  <c r="M122" i="129"/>
  <c r="L122" i="129"/>
  <c r="C122" i="129"/>
  <c r="GZ25" i="1"/>
  <c r="GY20" i="1"/>
  <c r="L93" i="129"/>
  <c r="M93" i="129"/>
  <c r="L71" i="129"/>
  <c r="M71" i="129"/>
  <c r="M110" i="129"/>
  <c r="L110" i="129"/>
  <c r="M78" i="129"/>
  <c r="L78" i="129"/>
  <c r="L109" i="129"/>
  <c r="M109" i="129"/>
  <c r="L77" i="129"/>
  <c r="M77" i="129"/>
  <c r="M88" i="129"/>
  <c r="L88" i="129"/>
  <c r="M97" i="129"/>
  <c r="L97" i="129"/>
  <c r="L101" i="129"/>
  <c r="M101" i="129"/>
  <c r="M82" i="129"/>
  <c r="L82" i="129"/>
  <c r="L119" i="129"/>
  <c r="M119" i="129"/>
  <c r="M126" i="129"/>
  <c r="L126" i="129"/>
  <c r="L87" i="129"/>
  <c r="M87" i="129"/>
  <c r="L117" i="129"/>
  <c r="M117" i="129"/>
  <c r="M106" i="129"/>
  <c r="L106" i="129"/>
  <c r="M124" i="129"/>
  <c r="L124" i="129"/>
  <c r="L115" i="129"/>
  <c r="M115" i="129"/>
  <c r="M90" i="129"/>
  <c r="L90" i="129"/>
  <c r="M120" i="129"/>
  <c r="L120" i="129"/>
  <c r="L111" i="129"/>
  <c r="M111" i="129"/>
  <c r="M116" i="129"/>
  <c r="L116" i="129"/>
  <c r="M80" i="129"/>
  <c r="L80" i="129"/>
  <c r="M89" i="129"/>
  <c r="L89" i="129"/>
  <c r="M98" i="129"/>
  <c r="L98" i="129"/>
  <c r="L91" i="129"/>
  <c r="M91" i="129"/>
  <c r="M92" i="129"/>
  <c r="L92" i="129"/>
  <c r="L107" i="129"/>
  <c r="M107" i="129"/>
  <c r="M74" i="129"/>
  <c r="L74" i="129"/>
  <c r="L79" i="129"/>
  <c r="M79" i="129"/>
  <c r="M104" i="129"/>
  <c r="L104" i="129"/>
  <c r="M118" i="129"/>
  <c r="L118" i="129"/>
  <c r="M70" i="129"/>
  <c r="L70" i="129"/>
  <c r="M100" i="129"/>
  <c r="L100" i="129"/>
  <c r="M121" i="129"/>
  <c r="L121" i="129"/>
  <c r="M81" i="129"/>
  <c r="L81" i="129"/>
  <c r="L85" i="129"/>
  <c r="M85" i="129"/>
  <c r="M96" i="129"/>
  <c r="L96" i="129"/>
  <c r="M94" i="129"/>
  <c r="L94" i="129"/>
  <c r="M73" i="129"/>
  <c r="L73" i="129"/>
  <c r="L125" i="129"/>
  <c r="M125" i="129"/>
  <c r="M105" i="129"/>
  <c r="L105" i="129"/>
  <c r="M113" i="129"/>
  <c r="L113" i="129"/>
  <c r="L69" i="129"/>
  <c r="M69" i="129"/>
  <c r="M102" i="129"/>
  <c r="L102" i="129"/>
  <c r="M84" i="129"/>
  <c r="L84" i="129"/>
  <c r="L75" i="129"/>
  <c r="M75" i="129"/>
  <c r="M112" i="129"/>
  <c r="L112" i="129"/>
  <c r="L103" i="129"/>
  <c r="M103" i="129"/>
  <c r="L123" i="129"/>
  <c r="M123" i="129"/>
  <c r="M108" i="129"/>
  <c r="L108" i="129"/>
  <c r="M76" i="129"/>
  <c r="L76" i="129"/>
  <c r="L83" i="129"/>
  <c r="M83" i="129"/>
  <c r="M72" i="129"/>
  <c r="L72" i="129"/>
  <c r="L95" i="129"/>
  <c r="M95" i="129"/>
  <c r="L99" i="129"/>
  <c r="M99" i="129"/>
  <c r="M86" i="129"/>
  <c r="L86" i="129"/>
  <c r="M114" i="129"/>
  <c r="L114" i="129"/>
  <c r="B71" i="129"/>
  <c r="C71" i="129"/>
  <c r="B110" i="129"/>
  <c r="C110" i="129"/>
  <c r="B109" i="129"/>
  <c r="C109" i="129"/>
  <c r="B88" i="129"/>
  <c r="C88" i="129"/>
  <c r="B97" i="129"/>
  <c r="C97" i="129"/>
  <c r="B82" i="129"/>
  <c r="C82" i="129"/>
  <c r="B119" i="129"/>
  <c r="C119" i="129"/>
  <c r="B126" i="129"/>
  <c r="C126" i="129"/>
  <c r="B117" i="129"/>
  <c r="C117" i="129"/>
  <c r="B106" i="129"/>
  <c r="C106" i="129"/>
  <c r="B115" i="129"/>
  <c r="C115" i="129"/>
  <c r="B90" i="129"/>
  <c r="C90" i="129"/>
  <c r="B111" i="129"/>
  <c r="C111" i="129"/>
  <c r="B116" i="129"/>
  <c r="C116" i="129"/>
  <c r="B80" i="129"/>
  <c r="C80" i="129"/>
  <c r="B89" i="129"/>
  <c r="C89" i="129"/>
  <c r="B91" i="129"/>
  <c r="C91" i="129"/>
  <c r="B92" i="129"/>
  <c r="C92" i="129"/>
  <c r="B74" i="129"/>
  <c r="C74" i="129"/>
  <c r="B79" i="129"/>
  <c r="C79" i="129"/>
  <c r="B118" i="129"/>
  <c r="C118" i="129"/>
  <c r="B70" i="129"/>
  <c r="C70" i="129"/>
  <c r="B121" i="129"/>
  <c r="C121" i="129"/>
  <c r="B81" i="129"/>
  <c r="C81" i="129"/>
  <c r="B85" i="129"/>
  <c r="C85" i="129"/>
  <c r="B94" i="129"/>
  <c r="C94" i="129"/>
  <c r="B73" i="129"/>
  <c r="C73" i="129"/>
  <c r="B105" i="129"/>
  <c r="C105" i="129"/>
  <c r="B113" i="129"/>
  <c r="C113" i="129"/>
  <c r="B102" i="129"/>
  <c r="C102" i="129"/>
  <c r="B84" i="129"/>
  <c r="C84" i="129"/>
  <c r="B75" i="129"/>
  <c r="C75" i="129"/>
  <c r="B112" i="129"/>
  <c r="C112" i="129"/>
  <c r="B103" i="129"/>
  <c r="C103" i="129"/>
  <c r="B123" i="129"/>
  <c r="C123" i="129"/>
  <c r="B108" i="129"/>
  <c r="C108" i="129"/>
  <c r="B76" i="129"/>
  <c r="C76" i="129"/>
  <c r="B83" i="129"/>
  <c r="C83" i="129"/>
  <c r="B72" i="129"/>
  <c r="C72" i="129"/>
  <c r="B95" i="129"/>
  <c r="C95" i="129"/>
  <c r="B99" i="129"/>
  <c r="C99" i="129"/>
  <c r="B86" i="129"/>
  <c r="C86" i="129"/>
  <c r="B114" i="129"/>
  <c r="C114" i="129"/>
  <c r="B93" i="129"/>
  <c r="C93" i="129"/>
  <c r="B78" i="129"/>
  <c r="C78" i="129"/>
  <c r="B77" i="129"/>
  <c r="C77" i="129"/>
  <c r="B101" i="129"/>
  <c r="C101" i="129"/>
  <c r="B87" i="129"/>
  <c r="C87" i="129"/>
  <c r="B124" i="129"/>
  <c r="C124" i="129"/>
  <c r="B120" i="129"/>
  <c r="C120" i="129"/>
  <c r="B98" i="129"/>
  <c r="C98" i="129"/>
  <c r="B107" i="129"/>
  <c r="C107" i="129"/>
  <c r="B104" i="129"/>
  <c r="C104" i="129"/>
  <c r="B100" i="129"/>
  <c r="C100" i="129"/>
  <c r="B96" i="129"/>
  <c r="C96" i="129"/>
  <c r="B125" i="129"/>
  <c r="C125" i="129"/>
  <c r="B69" i="129"/>
  <c r="C69" i="129"/>
  <c r="IJ21" i="1"/>
  <c r="II171" i="1"/>
  <c r="EF290" i="123"/>
  <c r="EF291" i="123"/>
  <c r="EF292" i="123"/>
  <c r="EF293" i="123"/>
  <c r="EF294" i="123"/>
  <c r="EF295" i="123"/>
  <c r="EF296" i="123"/>
  <c r="EF297" i="123"/>
  <c r="EF298" i="123"/>
  <c r="EF299" i="123"/>
  <c r="EF300" i="123"/>
  <c r="EF301" i="123"/>
  <c r="EF302" i="123"/>
  <c r="EF303" i="123"/>
  <c r="EF304" i="123"/>
  <c r="IJ171" i="1" l="1"/>
  <c r="IJ26" i="1" s="1"/>
  <c r="BU7" i="71"/>
  <c r="II26" i="1"/>
  <c r="EN17" i="123"/>
  <c r="V211" i="123"/>
  <c r="EA211" i="123"/>
  <c r="R211" i="123"/>
  <c r="HA25" i="1"/>
  <c r="GZ20" i="1"/>
  <c r="G12" i="128"/>
  <c r="B12" i="128" s="1"/>
  <c r="E5" i="128"/>
  <c r="E6" i="128"/>
  <c r="E7" i="128"/>
  <c r="E8" i="128"/>
  <c r="E9" i="128"/>
  <c r="E10" i="128"/>
  <c r="E11" i="128"/>
  <c r="E12" i="128"/>
  <c r="E13" i="128"/>
  <c r="D12" i="128"/>
  <c r="D13" i="128"/>
  <c r="D5" i="128"/>
  <c r="D6" i="128"/>
  <c r="D7" i="128"/>
  <c r="D8" i="128"/>
  <c r="D9" i="128"/>
  <c r="D10" i="128"/>
  <c r="D11" i="128"/>
  <c r="G5" i="128"/>
  <c r="A5" i="128" s="1"/>
  <c r="G6" i="128"/>
  <c r="G7" i="128"/>
  <c r="A7" i="128" s="1"/>
  <c r="G8" i="128"/>
  <c r="A8" i="128" s="1"/>
  <c r="G9" i="128"/>
  <c r="A9" i="128" s="1"/>
  <c r="G10" i="128"/>
  <c r="G11" i="128"/>
  <c r="A11" i="128" s="1"/>
  <c r="B16" i="122"/>
  <c r="A2" i="128"/>
  <c r="GO25" i="1" l="1"/>
  <c r="EO17" i="123"/>
  <c r="AA210" i="123"/>
  <c r="V210" i="123"/>
  <c r="HB25" i="1"/>
  <c r="HA20" i="1"/>
  <c r="A12" i="128"/>
  <c r="C11" i="128"/>
  <c r="B11" i="128"/>
  <c r="C12" i="128"/>
  <c r="A10" i="128"/>
  <c r="A6" i="128"/>
  <c r="FY211" i="1" l="1"/>
  <c r="FY207" i="1"/>
  <c r="FY215" i="1"/>
  <c r="FY213" i="1"/>
  <c r="FY206" i="1"/>
  <c r="GO206" i="1" s="1"/>
  <c r="FY205" i="1"/>
  <c r="GO205" i="1" s="1"/>
  <c r="FY208" i="1"/>
  <c r="EP17" i="123"/>
  <c r="DM214" i="123" a="1"/>
  <c r="HC25" i="1"/>
  <c r="HB20" i="1"/>
  <c r="EQ17" i="123" l="1"/>
  <c r="HD25" i="1"/>
  <c r="HC20" i="1"/>
  <c r="IY9" i="93"/>
  <c r="ER17" i="123" l="1"/>
  <c r="HE25" i="1"/>
  <c r="HD20" i="1"/>
  <c r="ES17" i="123" l="1"/>
  <c r="R31" i="57"/>
  <c r="HF25" i="1"/>
  <c r="HE20" i="1"/>
  <c r="GT167" i="1"/>
  <c r="GT17" i="1" s="1"/>
  <c r="GO36" i="1"/>
  <c r="GO35" i="1"/>
  <c r="ET17" i="123" l="1"/>
  <c r="HG25" i="1"/>
  <c r="HF20" i="1"/>
  <c r="EG123" i="123"/>
  <c r="EB28" i="123"/>
  <c r="EB27" i="123"/>
  <c r="EU17" i="123" l="1"/>
  <c r="HH25" i="1"/>
  <c r="HG20" i="1"/>
  <c r="C6" i="1"/>
  <c r="C5" i="123"/>
  <c r="EV17" i="123" l="1"/>
  <c r="HI25" i="1"/>
  <c r="HH20" i="1"/>
  <c r="A27" i="128"/>
  <c r="BD30" i="98"/>
  <c r="BD31" i="98"/>
  <c r="BD32" i="98"/>
  <c r="BD33" i="98"/>
  <c r="BD29" i="98"/>
  <c r="EW17" i="123" l="1"/>
  <c r="HJ25" i="1"/>
  <c r="HI20" i="1"/>
  <c r="EA16" i="98"/>
  <c r="A2" i="134" s="1"/>
  <c r="EX17" i="123" l="1"/>
  <c r="HK25" i="1"/>
  <c r="HJ20" i="1"/>
  <c r="EB39" i="98"/>
  <c r="EY17" i="123" l="1"/>
  <c r="T214" i="123"/>
  <c r="AA214" i="123"/>
  <c r="U214" i="123"/>
  <c r="HL25" i="1"/>
  <c r="HK20" i="1"/>
  <c r="D154" i="128"/>
  <c r="E154" i="128"/>
  <c r="EZ17" i="123" l="1"/>
  <c r="V214" i="123"/>
  <c r="EA214" i="123"/>
  <c r="R214" i="123"/>
  <c r="HM25" i="1"/>
  <c r="HL20" i="1"/>
  <c r="FA17" i="123" l="1"/>
  <c r="HN25" i="1"/>
  <c r="HM20" i="1"/>
  <c r="Q5" i="117"/>
  <c r="B107" i="97" s="1"/>
  <c r="V5" i="117"/>
  <c r="FB17" i="123" l="1"/>
  <c r="B55" i="97"/>
  <c r="B106" i="97"/>
  <c r="HO25" i="1"/>
  <c r="HN20" i="1"/>
  <c r="A71" i="128"/>
  <c r="D71" i="128"/>
  <c r="E71" i="128"/>
  <c r="A72" i="128"/>
  <c r="D72" i="128"/>
  <c r="E72" i="128"/>
  <c r="Q27" i="122"/>
  <c r="Q28" i="122"/>
  <c r="FC17" i="123" l="1"/>
  <c r="HP25" i="1"/>
  <c r="HO20" i="1"/>
  <c r="EB25" i="123"/>
  <c r="FD17" i="123" l="1"/>
  <c r="HQ25" i="1"/>
  <c r="HP20" i="1"/>
  <c r="DK21" i="1"/>
  <c r="DK169" i="1" s="1"/>
  <c r="DL21" i="1"/>
  <c r="DL169" i="1" s="1"/>
  <c r="DM21" i="1"/>
  <c r="DM169" i="1" s="1"/>
  <c r="DN21" i="1"/>
  <c r="DN169" i="1" s="1"/>
  <c r="DO21" i="1"/>
  <c r="DO169" i="1" s="1"/>
  <c r="DP21" i="1"/>
  <c r="DP169" i="1" s="1"/>
  <c r="DQ21" i="1"/>
  <c r="DQ169" i="1" s="1"/>
  <c r="DR21" i="1"/>
  <c r="DR169" i="1" s="1"/>
  <c r="DS21" i="1"/>
  <c r="DS169" i="1" s="1"/>
  <c r="DT21" i="1"/>
  <c r="DT169" i="1" s="1"/>
  <c r="DU21" i="1"/>
  <c r="DV21" i="1"/>
  <c r="DW21" i="1"/>
  <c r="DX21" i="1"/>
  <c r="DY21" i="1"/>
  <c r="DZ21" i="1"/>
  <c r="EA21" i="1"/>
  <c r="EB21" i="1"/>
  <c r="EC21" i="1"/>
  <c r="ED21" i="1"/>
  <c r="EE21" i="1"/>
  <c r="EF21" i="1"/>
  <c r="EG21" i="1"/>
  <c r="EH21" i="1"/>
  <c r="EI21" i="1"/>
  <c r="EJ21" i="1"/>
  <c r="EK21" i="1"/>
  <c r="EL21" i="1"/>
  <c r="EM21" i="1"/>
  <c r="EN21" i="1"/>
  <c r="EO21" i="1"/>
  <c r="EP21" i="1"/>
  <c r="EQ21" i="1"/>
  <c r="ER21" i="1"/>
  <c r="ES21" i="1"/>
  <c r="ET21" i="1"/>
  <c r="EU21" i="1"/>
  <c r="EV21" i="1"/>
  <c r="EW21" i="1"/>
  <c r="EX21" i="1"/>
  <c r="EY21" i="1"/>
  <c r="EZ21" i="1"/>
  <c r="FA21" i="1"/>
  <c r="FB21" i="1"/>
  <c r="FC21" i="1"/>
  <c r="FD21" i="1"/>
  <c r="FE21" i="1"/>
  <c r="FF21" i="1"/>
  <c r="FG21" i="1"/>
  <c r="DJ21" i="1"/>
  <c r="FE17" i="123" l="1"/>
  <c r="HR25" i="1"/>
  <c r="HQ20" i="1"/>
  <c r="DR27" i="1"/>
  <c r="DR25" i="1"/>
  <c r="DR26" i="1"/>
  <c r="DQ27" i="1"/>
  <c r="DQ25" i="1"/>
  <c r="DQ26" i="1"/>
  <c r="DM27" i="1"/>
  <c r="DM25" i="1"/>
  <c r="DM26" i="1"/>
  <c r="DT26" i="1"/>
  <c r="DT27" i="1"/>
  <c r="DT25" i="1"/>
  <c r="DP30" i="1"/>
  <c r="DP26" i="1"/>
  <c r="DP25" i="1"/>
  <c r="DP27" i="1"/>
  <c r="DL26" i="1"/>
  <c r="DL27" i="1"/>
  <c r="DL25" i="1"/>
  <c r="DN27" i="1"/>
  <c r="DN25" i="1"/>
  <c r="DN26" i="1"/>
  <c r="DS26" i="1"/>
  <c r="DS27" i="1"/>
  <c r="DS25" i="1"/>
  <c r="DO26" i="1"/>
  <c r="DO25" i="1"/>
  <c r="DO27" i="1"/>
  <c r="DK26" i="1"/>
  <c r="DK27" i="1"/>
  <c r="DK25" i="1"/>
  <c r="DP23" i="1"/>
  <c r="DJ161" i="1"/>
  <c r="FF17" i="123" l="1"/>
  <c r="FG17" i="123" s="1"/>
  <c r="FH17" i="123" s="1"/>
  <c r="FI17" i="123" s="1"/>
  <c r="FJ17" i="123" s="1"/>
  <c r="FK17" i="123" s="1"/>
  <c r="FL17" i="123" s="1"/>
  <c r="FM17" i="123" s="1"/>
  <c r="FN17" i="123" s="1"/>
  <c r="FO17" i="123" s="1"/>
  <c r="FP17" i="123" s="1"/>
  <c r="FQ17" i="123" s="1"/>
  <c r="FR17" i="123" s="1"/>
  <c r="FS17" i="123" s="1"/>
  <c r="FT17" i="123" s="1"/>
  <c r="FU17" i="123" s="1"/>
  <c r="FV17" i="123" s="1"/>
  <c r="FW17" i="123" s="1"/>
  <c r="FX17" i="123" s="1"/>
  <c r="FY17" i="123" s="1"/>
  <c r="FZ17" i="123" s="1"/>
  <c r="GA17" i="123" s="1"/>
  <c r="GB17" i="123" s="1"/>
  <c r="GC17" i="123" s="1"/>
  <c r="GD17" i="123" s="1"/>
  <c r="GE17" i="123" s="1"/>
  <c r="GF17" i="123" s="1"/>
  <c r="GG17" i="123" s="1"/>
  <c r="GH17" i="123" s="1"/>
  <c r="GI17" i="123" s="1"/>
  <c r="GJ17" i="123" s="1"/>
  <c r="GK17" i="123" s="1"/>
  <c r="GL17" i="123" s="1"/>
  <c r="GM17" i="123" s="1"/>
  <c r="GN17" i="123" s="1"/>
  <c r="GO17" i="123" s="1"/>
  <c r="GP17" i="123" s="1"/>
  <c r="GQ17" i="123" s="1"/>
  <c r="GR17" i="123" s="1"/>
  <c r="GS17" i="123" s="1"/>
  <c r="GT17" i="123" s="1"/>
  <c r="GU17" i="123" s="1"/>
  <c r="GV17" i="123" s="1"/>
  <c r="GW17" i="123" s="1"/>
  <c r="GX17" i="123" s="1"/>
  <c r="GY17" i="123" s="1"/>
  <c r="GZ17" i="123" s="1"/>
  <c r="HA17" i="123" s="1"/>
  <c r="HB17" i="123" s="1"/>
  <c r="HC17" i="123" s="1"/>
  <c r="HD17" i="123" s="1"/>
  <c r="HE17" i="123" s="1"/>
  <c r="HF17" i="123" s="1"/>
  <c r="HG17" i="123" s="1"/>
  <c r="HH17" i="123" s="1"/>
  <c r="HI17" i="123" s="1"/>
  <c r="HJ17" i="123" s="1"/>
  <c r="HK17" i="123" s="1"/>
  <c r="HL17" i="123" s="1"/>
  <c r="HM17" i="123" s="1"/>
  <c r="HN17" i="123" s="1"/>
  <c r="HO17" i="123" s="1"/>
  <c r="HP17" i="123" s="1"/>
  <c r="HQ17" i="123" s="1"/>
  <c r="HR17" i="123" s="1"/>
  <c r="HS17" i="123" s="1"/>
  <c r="HT17" i="123" s="1"/>
  <c r="HU17" i="123" s="1"/>
  <c r="HV17" i="123" s="1"/>
  <c r="HW17" i="123" s="1"/>
  <c r="HX17" i="123" s="1"/>
  <c r="HY17" i="123" s="1"/>
  <c r="HZ17" i="123" s="1"/>
  <c r="IA17" i="123" s="1"/>
  <c r="IB17" i="123" s="1"/>
  <c r="IC17" i="123" s="1"/>
  <c r="ID17" i="123" s="1"/>
  <c r="IE17" i="123" s="1"/>
  <c r="IF17" i="123" s="1"/>
  <c r="IG17" i="123" s="1"/>
  <c r="IH17" i="123" s="1"/>
  <c r="II17" i="123" s="1"/>
  <c r="IJ17" i="123" s="1"/>
  <c r="IK17" i="123" s="1"/>
  <c r="IL17" i="123" s="1"/>
  <c r="IM17" i="123" s="1"/>
  <c r="IN17" i="123" s="1"/>
  <c r="IO17" i="123" s="1"/>
  <c r="IP17" i="123" s="1"/>
  <c r="IQ17" i="123" s="1"/>
  <c r="IR17" i="123" s="1"/>
  <c r="IS17" i="123" s="1"/>
  <c r="IT17" i="123" s="1"/>
  <c r="IU17" i="123" s="1"/>
  <c r="IV17" i="123" s="1"/>
  <c r="IW17" i="123" s="1"/>
  <c r="IX17" i="123" s="1"/>
  <c r="IY17" i="123" s="1"/>
  <c r="IZ17" i="123" s="1"/>
  <c r="JA17" i="123" s="1"/>
  <c r="JB17" i="123" s="1"/>
  <c r="JC17" i="123" s="1"/>
  <c r="CR210" i="123" s="1"/>
  <c r="CS210" i="123" s="1"/>
  <c r="HS25" i="1"/>
  <c r="HR20" i="1"/>
  <c r="AH130" i="123"/>
  <c r="AH131" i="123"/>
  <c r="AH132" i="123"/>
  <c r="AH133" i="123"/>
  <c r="AH134" i="123"/>
  <c r="AH135" i="123"/>
  <c r="AH136" i="123"/>
  <c r="AH137" i="123"/>
  <c r="AH138" i="123"/>
  <c r="AH139" i="123"/>
  <c r="AH140" i="123"/>
  <c r="AH141" i="123"/>
  <c r="AH142" i="123"/>
  <c r="AH143" i="123"/>
  <c r="AH144" i="123"/>
  <c r="AH145" i="123"/>
  <c r="AH146" i="123"/>
  <c r="AH147" i="123"/>
  <c r="AH148" i="123"/>
  <c r="AH149" i="123"/>
  <c r="AH150" i="123"/>
  <c r="AH151" i="123"/>
  <c r="AH152" i="123"/>
  <c r="AH153" i="123"/>
  <c r="AH154" i="123"/>
  <c r="AH155" i="123"/>
  <c r="AH156" i="123"/>
  <c r="AH157" i="123"/>
  <c r="AH158" i="123"/>
  <c r="AH159" i="123"/>
  <c r="AH160" i="123"/>
  <c r="AH161" i="123"/>
  <c r="AH162" i="123"/>
  <c r="AH163" i="123"/>
  <c r="AH164" i="123"/>
  <c r="AH165" i="123"/>
  <c r="AH166" i="123"/>
  <c r="AH167" i="123"/>
  <c r="AH168" i="123"/>
  <c r="AH169" i="123"/>
  <c r="AH170" i="123"/>
  <c r="AH171" i="123"/>
  <c r="AH172" i="123"/>
  <c r="AH173" i="123"/>
  <c r="AH174" i="123"/>
  <c r="AH175" i="123"/>
  <c r="AH176" i="123"/>
  <c r="AH177" i="123"/>
  <c r="AH178" i="123"/>
  <c r="AH179" i="123"/>
  <c r="AH180" i="123"/>
  <c r="AH181" i="123"/>
  <c r="AH182" i="123"/>
  <c r="AH183" i="123"/>
  <c r="AH184" i="123"/>
  <c r="AH185" i="123"/>
  <c r="AH186" i="123"/>
  <c r="AH187" i="123"/>
  <c r="AH188" i="123"/>
  <c r="AH189" i="123"/>
  <c r="AH190" i="123"/>
  <c r="AH191" i="123"/>
  <c r="AH192" i="123"/>
  <c r="AH193" i="123"/>
  <c r="AH194" i="123"/>
  <c r="AH195" i="123"/>
  <c r="AH196" i="123"/>
  <c r="AH197" i="123"/>
  <c r="AH198" i="123"/>
  <c r="AH199" i="123"/>
  <c r="AH200" i="123"/>
  <c r="AH201" i="123"/>
  <c r="AH202" i="123"/>
  <c r="AH203" i="123"/>
  <c r="AH204" i="123"/>
  <c r="AH205" i="123"/>
  <c r="AH206" i="123"/>
  <c r="AH207" i="123"/>
  <c r="AH208" i="123"/>
  <c r="AH209" i="123"/>
  <c r="AH225" i="123"/>
  <c r="AH226" i="123"/>
  <c r="AH228" i="123"/>
  <c r="AH229" i="123"/>
  <c r="AH230" i="123"/>
  <c r="AH232" i="123"/>
  <c r="AH233" i="123"/>
  <c r="AH234" i="123"/>
  <c r="AH235" i="123"/>
  <c r="AH236" i="123"/>
  <c r="AH237" i="123"/>
  <c r="AH238" i="123"/>
  <c r="AH239" i="123"/>
  <c r="AH240" i="123"/>
  <c r="AH241" i="123"/>
  <c r="AH242" i="123"/>
  <c r="AH243" i="123"/>
  <c r="AH244" i="123"/>
  <c r="AH245" i="123"/>
  <c r="AH246" i="123"/>
  <c r="AH247" i="123"/>
  <c r="AH248" i="123"/>
  <c r="AH249" i="123"/>
  <c r="AH250" i="123"/>
  <c r="AH251" i="123"/>
  <c r="AH252" i="123"/>
  <c r="AH253" i="123"/>
  <c r="AH254" i="123"/>
  <c r="AH255" i="123"/>
  <c r="AH256" i="123"/>
  <c r="AH257" i="123"/>
  <c r="AH258" i="123"/>
  <c r="AH259" i="123"/>
  <c r="AH260" i="123"/>
  <c r="AH261" i="123"/>
  <c r="AH262" i="123"/>
  <c r="AH263" i="123"/>
  <c r="AH264" i="123"/>
  <c r="AH265" i="123"/>
  <c r="AH266" i="123"/>
  <c r="AH267" i="123"/>
  <c r="AH268" i="123"/>
  <c r="AH269" i="123"/>
  <c r="AH270" i="123"/>
  <c r="AH271" i="123"/>
  <c r="AH272" i="123"/>
  <c r="AH273" i="123"/>
  <c r="AH274" i="123"/>
  <c r="AH275" i="123"/>
  <c r="AH276" i="123"/>
  <c r="AH277" i="123"/>
  <c r="AH278" i="123"/>
  <c r="AH279" i="123"/>
  <c r="AH280" i="123"/>
  <c r="AH281" i="123"/>
  <c r="AH282" i="123"/>
  <c r="AH283" i="123"/>
  <c r="AH284" i="123"/>
  <c r="AH285" i="123"/>
  <c r="AH286" i="123"/>
  <c r="AH287" i="123"/>
  <c r="AH288" i="123"/>
  <c r="AH289" i="123"/>
  <c r="AH290" i="123"/>
  <c r="AH291" i="123"/>
  <c r="AH292" i="123"/>
  <c r="AH293" i="123"/>
  <c r="AH294" i="123"/>
  <c r="AH295" i="123"/>
  <c r="AH296" i="123"/>
  <c r="AH297" i="123"/>
  <c r="AH298" i="123"/>
  <c r="AH299" i="123"/>
  <c r="AH300" i="123"/>
  <c r="AH301" i="123"/>
  <c r="AH302" i="123"/>
  <c r="AH303" i="123"/>
  <c r="AH304" i="123"/>
  <c r="AH129" i="123"/>
  <c r="DM213" i="123" l="1" a="1"/>
  <c r="DM213" i="123" s="1"/>
  <c r="EB213" i="123" s="1"/>
  <c r="CR213" i="123"/>
  <c r="CS213" i="123" s="1"/>
  <c r="AQ213" i="123"/>
  <c r="BW217" i="123"/>
  <c r="T217" i="123" s="1"/>
  <c r="BW216" i="123"/>
  <c r="AR217" i="123"/>
  <c r="U217" i="123" s="1"/>
  <c r="AR216" i="123"/>
  <c r="CR221" i="123"/>
  <c r="CS221" i="123" s="1"/>
  <c r="AQ221" i="123"/>
  <c r="DM221" i="123" a="1"/>
  <c r="DM221" i="123" s="1"/>
  <c r="EB221" i="123" s="1"/>
  <c r="AQ218" i="123"/>
  <c r="AQ219" i="123"/>
  <c r="CR220" i="123"/>
  <c r="CS220" i="123" s="1"/>
  <c r="CR219" i="123"/>
  <c r="CS219" i="123" s="1"/>
  <c r="DM222" i="123" a="1"/>
  <c r="DM222" i="123" s="1"/>
  <c r="EB222" i="123" s="1"/>
  <c r="DM218" i="123" a="1"/>
  <c r="DM218" i="123" s="1"/>
  <c r="EB218" i="123" s="1"/>
  <c r="AQ220" i="123"/>
  <c r="CR218" i="123"/>
  <c r="CS218" i="123" s="1"/>
  <c r="CR222" i="123"/>
  <c r="CS222" i="123" s="1"/>
  <c r="AQ222" i="123"/>
  <c r="DM219" i="123" a="1"/>
  <c r="DM219" i="123" s="1"/>
  <c r="EB219" i="123" s="1"/>
  <c r="DM220" i="123" a="1"/>
  <c r="DM220" i="123" s="1"/>
  <c r="EB220" i="123" s="1"/>
  <c r="DM217" i="123" a="1"/>
  <c r="DM217" i="123" s="1"/>
  <c r="EB217" i="123" s="1"/>
  <c r="AQ223" i="123"/>
  <c r="CR223" i="123"/>
  <c r="CS223" i="123" s="1"/>
  <c r="AQ217" i="123"/>
  <c r="DM223" i="123" a="1"/>
  <c r="DM223" i="123" s="1"/>
  <c r="EB223" i="123" s="1"/>
  <c r="CR217" i="123"/>
  <c r="CS217" i="123" s="1"/>
  <c r="DM210" i="123"/>
  <c r="EB210" i="123" s="1"/>
  <c r="CR214" i="123"/>
  <c r="CS214" i="123" s="1"/>
  <c r="CR224" i="123"/>
  <c r="CS224" i="123" s="1"/>
  <c r="AQ212" i="123"/>
  <c r="CR211" i="123"/>
  <c r="CS211" i="123" s="1"/>
  <c r="AQ214" i="123"/>
  <c r="AR215" i="123"/>
  <c r="DM211" i="123"/>
  <c r="EB211" i="123" s="1"/>
  <c r="DM212" i="123"/>
  <c r="EB212" i="123" s="1"/>
  <c r="DM215" i="123"/>
  <c r="EB215" i="123" s="1"/>
  <c r="DM214" i="123"/>
  <c r="EB214" i="123" s="1"/>
  <c r="DM216" i="123"/>
  <c r="EB216" i="123" s="1"/>
  <c r="AQ210" i="123"/>
  <c r="CR212" i="123"/>
  <c r="CS212" i="123" s="1"/>
  <c r="AQ215" i="123"/>
  <c r="CR215" i="123"/>
  <c r="CS215" i="123" s="1"/>
  <c r="DM224" i="123"/>
  <c r="EB224" i="123" s="1"/>
  <c r="AQ211" i="123"/>
  <c r="CR216" i="123"/>
  <c r="CS216" i="123" s="1"/>
  <c r="AQ224" i="123"/>
  <c r="AQ216" i="123"/>
  <c r="CJ295" i="123"/>
  <c r="CN295" i="123"/>
  <c r="CL295" i="123"/>
  <c r="CQ295" i="123"/>
  <c r="CH295" i="123"/>
  <c r="CM295" i="123"/>
  <c r="CI295" i="123"/>
  <c r="CO295" i="123"/>
  <c r="CK295" i="123"/>
  <c r="CP295" i="123"/>
  <c r="CJ283" i="123"/>
  <c r="CN283" i="123"/>
  <c r="CI283" i="123"/>
  <c r="CO283" i="123"/>
  <c r="CK283" i="123"/>
  <c r="CP283" i="123"/>
  <c r="CL283" i="123"/>
  <c r="CQ283" i="123"/>
  <c r="CH283" i="123"/>
  <c r="CM283" i="123"/>
  <c r="CH271" i="123"/>
  <c r="CL271" i="123"/>
  <c r="CP271" i="123"/>
  <c r="CK271" i="123"/>
  <c r="CQ271" i="123"/>
  <c r="CM271" i="123"/>
  <c r="CJ271" i="123"/>
  <c r="CN271" i="123"/>
  <c r="CO271" i="123"/>
  <c r="CI271" i="123"/>
  <c r="CH259" i="123"/>
  <c r="CL259" i="123"/>
  <c r="CP259" i="123"/>
  <c r="CI259" i="123"/>
  <c r="CN259" i="123"/>
  <c r="CJ259" i="123"/>
  <c r="CO259" i="123"/>
  <c r="CM259" i="123"/>
  <c r="CQ259" i="123"/>
  <c r="CK259" i="123"/>
  <c r="CH255" i="123"/>
  <c r="CL255" i="123"/>
  <c r="CP255" i="123"/>
  <c r="CK255" i="123"/>
  <c r="CQ255" i="123"/>
  <c r="CM255" i="123"/>
  <c r="CJ255" i="123"/>
  <c r="CN255" i="123"/>
  <c r="CO255" i="123"/>
  <c r="CI255" i="123"/>
  <c r="CH243" i="123"/>
  <c r="CL243" i="123"/>
  <c r="CP243" i="123"/>
  <c r="CI243" i="123"/>
  <c r="CN243" i="123"/>
  <c r="CJ243" i="123"/>
  <c r="CO243" i="123"/>
  <c r="CM243" i="123"/>
  <c r="CQ243" i="123"/>
  <c r="CK243" i="123"/>
  <c r="CI225" i="123"/>
  <c r="CM225" i="123"/>
  <c r="CQ225" i="123"/>
  <c r="CL225" i="123"/>
  <c r="CJ225" i="123"/>
  <c r="CP225" i="123"/>
  <c r="CK225" i="123"/>
  <c r="CO225" i="123"/>
  <c r="CH225" i="123"/>
  <c r="CN225" i="123"/>
  <c r="CK202" i="123"/>
  <c r="CO202" i="123"/>
  <c r="CJ202" i="123"/>
  <c r="CP202" i="123"/>
  <c r="CM202" i="123"/>
  <c r="CH202" i="123"/>
  <c r="CN202" i="123"/>
  <c r="CL202" i="123"/>
  <c r="CQ202" i="123"/>
  <c r="CI202" i="123"/>
  <c r="CK194" i="123"/>
  <c r="CO194" i="123"/>
  <c r="CJ194" i="123"/>
  <c r="CP194" i="123"/>
  <c r="CH194" i="123"/>
  <c r="CN194" i="123"/>
  <c r="CI194" i="123"/>
  <c r="CQ194" i="123"/>
  <c r="CL194" i="123"/>
  <c r="CM194" i="123"/>
  <c r="CI174" i="123"/>
  <c r="CM174" i="123"/>
  <c r="CQ174" i="123"/>
  <c r="CJ174" i="123"/>
  <c r="CO174" i="123"/>
  <c r="CL174" i="123"/>
  <c r="CN174" i="123"/>
  <c r="CK174" i="123"/>
  <c r="CP174" i="123"/>
  <c r="CH174" i="123"/>
  <c r="CI154" i="123"/>
  <c r="CM154" i="123"/>
  <c r="CQ154" i="123"/>
  <c r="CH154" i="123"/>
  <c r="CN154" i="123"/>
  <c r="CK154" i="123"/>
  <c r="CL154" i="123"/>
  <c r="CP154" i="123"/>
  <c r="CJ154" i="123"/>
  <c r="CO154" i="123"/>
  <c r="CK130" i="123"/>
  <c r="CO130" i="123"/>
  <c r="CL130" i="123"/>
  <c r="CQ130" i="123"/>
  <c r="CM130" i="123"/>
  <c r="CH130" i="123"/>
  <c r="CN130" i="123"/>
  <c r="CI130" i="123"/>
  <c r="CJ130" i="123"/>
  <c r="CP130" i="123"/>
  <c r="CH294" i="123"/>
  <c r="CL294" i="123"/>
  <c r="CP294" i="123"/>
  <c r="CK294" i="123"/>
  <c r="CQ294" i="123"/>
  <c r="CM294" i="123"/>
  <c r="CI294" i="123"/>
  <c r="CN294" i="123"/>
  <c r="CJ294" i="123"/>
  <c r="CO294" i="123"/>
  <c r="CH286" i="123"/>
  <c r="CL286" i="123"/>
  <c r="CP286" i="123"/>
  <c r="CK286" i="123"/>
  <c r="CQ286" i="123"/>
  <c r="CM286" i="123"/>
  <c r="CI286" i="123"/>
  <c r="CN286" i="123"/>
  <c r="CJ286" i="123"/>
  <c r="CO286" i="123"/>
  <c r="CO129" i="123"/>
  <c r="CK129" i="123"/>
  <c r="CQ129" i="123"/>
  <c r="CL129" i="123"/>
  <c r="CP129" i="123"/>
  <c r="CJ129" i="123"/>
  <c r="CN129" i="123"/>
  <c r="CI129" i="123"/>
  <c r="CM129" i="123"/>
  <c r="CH129" i="123"/>
  <c r="CJ297" i="123"/>
  <c r="CN297" i="123"/>
  <c r="CH297" i="123"/>
  <c r="CM297" i="123"/>
  <c r="CI297" i="123"/>
  <c r="CO297" i="123"/>
  <c r="CK297" i="123"/>
  <c r="CP297" i="123"/>
  <c r="CL297" i="123"/>
  <c r="CQ297" i="123"/>
  <c r="CJ293" i="123"/>
  <c r="CN293" i="123"/>
  <c r="CK293" i="123"/>
  <c r="CP293" i="123"/>
  <c r="CL293" i="123"/>
  <c r="CQ293" i="123"/>
  <c r="CH293" i="123"/>
  <c r="CM293" i="123"/>
  <c r="CI293" i="123"/>
  <c r="CO293" i="123"/>
  <c r="CJ285" i="123"/>
  <c r="CN285" i="123"/>
  <c r="CK285" i="123"/>
  <c r="CP285" i="123"/>
  <c r="CL285" i="123"/>
  <c r="CQ285" i="123"/>
  <c r="CH285" i="123"/>
  <c r="CM285" i="123"/>
  <c r="CI285" i="123"/>
  <c r="CO285" i="123"/>
  <c r="CJ281" i="123"/>
  <c r="CN281" i="123"/>
  <c r="CH281" i="123"/>
  <c r="CM281" i="123"/>
  <c r="CI281" i="123"/>
  <c r="CO281" i="123"/>
  <c r="CK281" i="123"/>
  <c r="CP281" i="123"/>
  <c r="CL281" i="123"/>
  <c r="CQ281" i="123"/>
  <c r="CH273" i="123"/>
  <c r="CL273" i="123"/>
  <c r="CP273" i="123"/>
  <c r="CM273" i="123"/>
  <c r="CI273" i="123"/>
  <c r="CN273" i="123"/>
  <c r="CK273" i="123"/>
  <c r="CO273" i="123"/>
  <c r="CQ273" i="123"/>
  <c r="CJ273" i="123"/>
  <c r="CH304" i="123"/>
  <c r="CL304" i="123"/>
  <c r="CP304" i="123"/>
  <c r="CM304" i="123"/>
  <c r="CI304" i="123"/>
  <c r="CN304" i="123"/>
  <c r="CJ304" i="123"/>
  <c r="CO304" i="123"/>
  <c r="CK304" i="123"/>
  <c r="CQ304" i="123"/>
  <c r="CH300" i="123"/>
  <c r="CL300" i="123"/>
  <c r="CP300" i="123"/>
  <c r="CJ300" i="123"/>
  <c r="CO300" i="123"/>
  <c r="CK300" i="123"/>
  <c r="CQ300" i="123"/>
  <c r="CM300" i="123"/>
  <c r="CI300" i="123"/>
  <c r="CN300" i="123"/>
  <c r="CH296" i="123"/>
  <c r="CL296" i="123"/>
  <c r="CP296" i="123"/>
  <c r="CM296" i="123"/>
  <c r="CI296" i="123"/>
  <c r="CN296" i="123"/>
  <c r="CJ296" i="123"/>
  <c r="CO296" i="123"/>
  <c r="CK296" i="123"/>
  <c r="CQ296" i="123"/>
  <c r="CH292" i="123"/>
  <c r="CL292" i="123"/>
  <c r="CP292" i="123"/>
  <c r="CJ292" i="123"/>
  <c r="CO292" i="123"/>
  <c r="CK292" i="123"/>
  <c r="CQ292" i="123"/>
  <c r="CM292" i="123"/>
  <c r="CI292" i="123"/>
  <c r="CN292" i="123"/>
  <c r="CH288" i="123"/>
  <c r="CL288" i="123"/>
  <c r="CP288" i="123"/>
  <c r="CM288" i="123"/>
  <c r="CI288" i="123"/>
  <c r="CN288" i="123"/>
  <c r="CJ288" i="123"/>
  <c r="CO288" i="123"/>
  <c r="CK288" i="123"/>
  <c r="CQ288" i="123"/>
  <c r="CH284" i="123"/>
  <c r="CL284" i="123"/>
  <c r="CP284" i="123"/>
  <c r="CJ284" i="123"/>
  <c r="CO284" i="123"/>
  <c r="CK284" i="123"/>
  <c r="CQ284" i="123"/>
  <c r="CM284" i="123"/>
  <c r="CI284" i="123"/>
  <c r="CN284" i="123"/>
  <c r="CH280" i="123"/>
  <c r="CL280" i="123"/>
  <c r="CP280" i="123"/>
  <c r="CM280" i="123"/>
  <c r="CI280" i="123"/>
  <c r="CN280" i="123"/>
  <c r="CJ280" i="123"/>
  <c r="CO280" i="123"/>
  <c r="CK280" i="123"/>
  <c r="CQ280" i="123"/>
  <c r="CH276" i="123"/>
  <c r="CL276" i="123"/>
  <c r="CP276" i="123"/>
  <c r="CI276" i="123"/>
  <c r="CM276" i="123"/>
  <c r="CQ276" i="123"/>
  <c r="CK276" i="123"/>
  <c r="CN276" i="123"/>
  <c r="CO276" i="123"/>
  <c r="CJ276" i="123"/>
  <c r="CJ272" i="123"/>
  <c r="CN272" i="123"/>
  <c r="CL272" i="123"/>
  <c r="CQ272" i="123"/>
  <c r="CH272" i="123"/>
  <c r="CM272" i="123"/>
  <c r="CK272" i="123"/>
  <c r="CO272" i="123"/>
  <c r="CP272" i="123"/>
  <c r="CI272" i="123"/>
  <c r="CJ268" i="123"/>
  <c r="CN268" i="123"/>
  <c r="CI268" i="123"/>
  <c r="CO268" i="123"/>
  <c r="CK268" i="123"/>
  <c r="CP268" i="123"/>
  <c r="CH268" i="123"/>
  <c r="CL268" i="123"/>
  <c r="CM268" i="123"/>
  <c r="CQ268" i="123"/>
  <c r="CJ264" i="123"/>
  <c r="CN264" i="123"/>
  <c r="CL264" i="123"/>
  <c r="CQ264" i="123"/>
  <c r="CH264" i="123"/>
  <c r="CM264" i="123"/>
  <c r="CP264" i="123"/>
  <c r="CI264" i="123"/>
  <c r="CK264" i="123"/>
  <c r="CO264" i="123"/>
  <c r="CJ260" i="123"/>
  <c r="CN260" i="123"/>
  <c r="CI260" i="123"/>
  <c r="CO260" i="123"/>
  <c r="CK260" i="123"/>
  <c r="CP260" i="123"/>
  <c r="CM260" i="123"/>
  <c r="CQ260" i="123"/>
  <c r="CH260" i="123"/>
  <c r="CL260" i="123"/>
  <c r="CJ256" i="123"/>
  <c r="CN256" i="123"/>
  <c r="CL256" i="123"/>
  <c r="CQ256" i="123"/>
  <c r="CH256" i="123"/>
  <c r="CM256" i="123"/>
  <c r="CK256" i="123"/>
  <c r="CO256" i="123"/>
  <c r="CP256" i="123"/>
  <c r="CI256" i="123"/>
  <c r="CJ252" i="123"/>
  <c r="CN252" i="123"/>
  <c r="CI252" i="123"/>
  <c r="CO252" i="123"/>
  <c r="CK252" i="123"/>
  <c r="CP252" i="123"/>
  <c r="CH252" i="123"/>
  <c r="CL252" i="123"/>
  <c r="CM252" i="123"/>
  <c r="CQ252" i="123"/>
  <c r="CJ248" i="123"/>
  <c r="CN248" i="123"/>
  <c r="CL248" i="123"/>
  <c r="CQ248" i="123"/>
  <c r="CH248" i="123"/>
  <c r="CM248" i="123"/>
  <c r="CP248" i="123"/>
  <c r="CI248" i="123"/>
  <c r="CK248" i="123"/>
  <c r="CO248" i="123"/>
  <c r="CJ244" i="123"/>
  <c r="CN244" i="123"/>
  <c r="CI244" i="123"/>
  <c r="CO244" i="123"/>
  <c r="CK244" i="123"/>
  <c r="CP244" i="123"/>
  <c r="CM244" i="123"/>
  <c r="CQ244" i="123"/>
  <c r="CH244" i="123"/>
  <c r="CL244" i="123"/>
  <c r="CJ240" i="123"/>
  <c r="CN240" i="123"/>
  <c r="CL240" i="123"/>
  <c r="CQ240" i="123"/>
  <c r="CH240" i="123"/>
  <c r="CM240" i="123"/>
  <c r="CK240" i="123"/>
  <c r="CO240" i="123"/>
  <c r="CP240" i="123"/>
  <c r="CI240" i="123"/>
  <c r="CJ236" i="123"/>
  <c r="CN236" i="123"/>
  <c r="CI236" i="123"/>
  <c r="CO236" i="123"/>
  <c r="CK236" i="123"/>
  <c r="CP236" i="123"/>
  <c r="CH236" i="123"/>
  <c r="CL236" i="123"/>
  <c r="CM236" i="123"/>
  <c r="CQ236" i="123"/>
  <c r="CH232" i="123"/>
  <c r="CL232" i="123"/>
  <c r="CP232" i="123"/>
  <c r="CI232" i="123"/>
  <c r="CN232" i="123"/>
  <c r="CJ232" i="123"/>
  <c r="CO232" i="123"/>
  <c r="CK232" i="123"/>
  <c r="CM232" i="123"/>
  <c r="CQ232" i="123"/>
  <c r="CH226" i="123"/>
  <c r="CL226" i="123"/>
  <c r="CP226" i="123"/>
  <c r="CM226" i="123"/>
  <c r="CI226" i="123"/>
  <c r="CN226" i="123"/>
  <c r="CQ226" i="123"/>
  <c r="CJ226" i="123"/>
  <c r="CK226" i="123"/>
  <c r="CO226" i="123"/>
  <c r="CK207" i="123"/>
  <c r="CO207" i="123"/>
  <c r="CH207" i="123"/>
  <c r="CM207" i="123"/>
  <c r="CI207" i="123"/>
  <c r="CP207" i="123"/>
  <c r="CJ207" i="123"/>
  <c r="CQ207" i="123"/>
  <c r="CN207" i="123"/>
  <c r="CL207" i="123"/>
  <c r="CI203" i="123"/>
  <c r="CM203" i="123"/>
  <c r="CQ203" i="123"/>
  <c r="CK203" i="123"/>
  <c r="CP203" i="123"/>
  <c r="CJ203" i="123"/>
  <c r="CL203" i="123"/>
  <c r="CO203" i="123"/>
  <c r="CH203" i="123"/>
  <c r="CN203" i="123"/>
  <c r="CI199" i="123"/>
  <c r="CM199" i="123"/>
  <c r="CQ199" i="123"/>
  <c r="CH199" i="123"/>
  <c r="CN199" i="123"/>
  <c r="CO199" i="123"/>
  <c r="CJ199" i="123"/>
  <c r="CP199" i="123"/>
  <c r="CL199" i="123"/>
  <c r="CK199" i="123"/>
  <c r="CI195" i="123"/>
  <c r="CM195" i="123"/>
  <c r="CQ195" i="123"/>
  <c r="CK195" i="123"/>
  <c r="CP195" i="123"/>
  <c r="CL195" i="123"/>
  <c r="CN195" i="123"/>
  <c r="CJ195" i="123"/>
  <c r="CO195" i="123"/>
  <c r="CH195" i="123"/>
  <c r="CI191" i="123"/>
  <c r="CM191" i="123"/>
  <c r="CQ191" i="123"/>
  <c r="CH191" i="123"/>
  <c r="CN191" i="123"/>
  <c r="CJ191" i="123"/>
  <c r="CP191" i="123"/>
  <c r="CK191" i="123"/>
  <c r="CL191" i="123"/>
  <c r="CO191" i="123"/>
  <c r="CK183" i="123"/>
  <c r="CO183" i="123"/>
  <c r="CL183" i="123"/>
  <c r="CQ183" i="123"/>
  <c r="CJ183" i="123"/>
  <c r="CM183" i="123"/>
  <c r="CI183" i="123"/>
  <c r="CN183" i="123"/>
  <c r="CP183" i="123"/>
  <c r="CH183" i="123"/>
  <c r="CK175" i="123"/>
  <c r="CO175" i="123"/>
  <c r="CJ175" i="123"/>
  <c r="CP175" i="123"/>
  <c r="CI175" i="123"/>
  <c r="CQ175" i="123"/>
  <c r="CL175" i="123"/>
  <c r="CN175" i="123"/>
  <c r="CH175" i="123"/>
  <c r="CM175" i="123"/>
  <c r="CK155" i="123"/>
  <c r="CO155" i="123"/>
  <c r="CI155" i="123"/>
  <c r="CN155" i="123"/>
  <c r="CH155" i="123"/>
  <c r="CP155" i="123"/>
  <c r="CJ155" i="123"/>
  <c r="CQ155" i="123"/>
  <c r="CL155" i="123"/>
  <c r="CM155" i="123"/>
  <c r="CK135" i="123"/>
  <c r="CO135" i="123"/>
  <c r="CH135" i="123"/>
  <c r="CM135" i="123"/>
  <c r="CN135" i="123"/>
  <c r="CI135" i="123"/>
  <c r="CP135" i="123"/>
  <c r="CL135" i="123"/>
  <c r="CQ135" i="123"/>
  <c r="CJ135" i="123"/>
  <c r="CJ303" i="123"/>
  <c r="CN303" i="123"/>
  <c r="CL303" i="123"/>
  <c r="CQ303" i="123"/>
  <c r="CH303" i="123"/>
  <c r="CM303" i="123"/>
  <c r="CI303" i="123"/>
  <c r="CO303" i="123"/>
  <c r="CK303" i="123"/>
  <c r="CP303" i="123"/>
  <c r="CJ287" i="123"/>
  <c r="CN287" i="123"/>
  <c r="CL287" i="123"/>
  <c r="CQ287" i="123"/>
  <c r="CH287" i="123"/>
  <c r="CM287" i="123"/>
  <c r="CI287" i="123"/>
  <c r="CO287" i="123"/>
  <c r="CK287" i="123"/>
  <c r="CP287" i="123"/>
  <c r="CJ279" i="123"/>
  <c r="CN279" i="123"/>
  <c r="CL279" i="123"/>
  <c r="CQ279" i="123"/>
  <c r="CH279" i="123"/>
  <c r="CM279" i="123"/>
  <c r="CI279" i="123"/>
  <c r="CO279" i="123"/>
  <c r="CK279" i="123"/>
  <c r="CP279" i="123"/>
  <c r="CH267" i="123"/>
  <c r="CL267" i="123"/>
  <c r="CP267" i="123"/>
  <c r="CI267" i="123"/>
  <c r="CN267" i="123"/>
  <c r="CJ267" i="123"/>
  <c r="CO267" i="123"/>
  <c r="CK267" i="123"/>
  <c r="CM267" i="123"/>
  <c r="CQ267" i="123"/>
  <c r="CH251" i="123"/>
  <c r="CL251" i="123"/>
  <c r="CP251" i="123"/>
  <c r="CI251" i="123"/>
  <c r="CN251" i="123"/>
  <c r="CJ251" i="123"/>
  <c r="CO251" i="123"/>
  <c r="CK251" i="123"/>
  <c r="CM251" i="123"/>
  <c r="CQ251" i="123"/>
  <c r="CH239" i="123"/>
  <c r="CL239" i="123"/>
  <c r="CP239" i="123"/>
  <c r="CK239" i="123"/>
  <c r="CQ239" i="123"/>
  <c r="CM239" i="123"/>
  <c r="CJ239" i="123"/>
  <c r="CN239" i="123"/>
  <c r="CO239" i="123"/>
  <c r="CI239" i="123"/>
  <c r="CI206" i="123"/>
  <c r="CM206" i="123"/>
  <c r="CQ206" i="123"/>
  <c r="CL206" i="123"/>
  <c r="CK206" i="123"/>
  <c r="CN206" i="123"/>
  <c r="CJ206" i="123"/>
  <c r="CO206" i="123"/>
  <c r="CP206" i="123"/>
  <c r="CH206" i="123"/>
  <c r="CK190" i="123"/>
  <c r="CO190" i="123"/>
  <c r="CH190" i="123"/>
  <c r="CM190" i="123"/>
  <c r="CL190" i="123"/>
  <c r="CN190" i="123"/>
  <c r="CQ190" i="123"/>
  <c r="CI190" i="123"/>
  <c r="CJ190" i="123"/>
  <c r="CP190" i="123"/>
  <c r="CI134" i="123"/>
  <c r="CM134" i="123"/>
  <c r="CQ134" i="123"/>
  <c r="CL134" i="123"/>
  <c r="CJ134" i="123"/>
  <c r="CP134" i="123"/>
  <c r="CK134" i="123"/>
  <c r="CH134" i="123"/>
  <c r="CN134" i="123"/>
  <c r="CO134" i="123"/>
  <c r="CH298" i="123"/>
  <c r="CL298" i="123"/>
  <c r="CP298" i="123"/>
  <c r="CI298" i="123"/>
  <c r="CN298" i="123"/>
  <c r="CJ298" i="123"/>
  <c r="CO298" i="123"/>
  <c r="CK298" i="123"/>
  <c r="CQ298" i="123"/>
  <c r="CM298" i="123"/>
  <c r="CH282" i="123"/>
  <c r="CL282" i="123"/>
  <c r="CP282" i="123"/>
  <c r="CI282" i="123"/>
  <c r="CN282" i="123"/>
  <c r="CJ282" i="123"/>
  <c r="CO282" i="123"/>
  <c r="CK282" i="123"/>
  <c r="CQ282" i="123"/>
  <c r="CM282" i="123"/>
  <c r="CH278" i="123"/>
  <c r="CL278" i="123"/>
  <c r="CP278" i="123"/>
  <c r="CI278" i="123"/>
  <c r="CM278" i="123"/>
  <c r="CQ278" i="123"/>
  <c r="CO278" i="123"/>
  <c r="CJ278" i="123"/>
  <c r="CK278" i="123"/>
  <c r="CN278" i="123"/>
  <c r="CJ274" i="123"/>
  <c r="CN274" i="123"/>
  <c r="CH274" i="123"/>
  <c r="CM274" i="123"/>
  <c r="CI274" i="123"/>
  <c r="CO274" i="123"/>
  <c r="CL274" i="123"/>
  <c r="CP274" i="123"/>
  <c r="CQ274" i="123"/>
  <c r="CK274" i="123"/>
  <c r="CJ270" i="123"/>
  <c r="CN270" i="123"/>
  <c r="CK270" i="123"/>
  <c r="CP270" i="123"/>
  <c r="CL270" i="123"/>
  <c r="CQ270" i="123"/>
  <c r="CI270" i="123"/>
  <c r="CM270" i="123"/>
  <c r="CO270" i="123"/>
  <c r="CH270" i="123"/>
  <c r="CJ266" i="123"/>
  <c r="CN266" i="123"/>
  <c r="CH266" i="123"/>
  <c r="CM266" i="123"/>
  <c r="CI266" i="123"/>
  <c r="CO266" i="123"/>
  <c r="CQ266" i="123"/>
  <c r="CK266" i="123"/>
  <c r="CL266" i="123"/>
  <c r="CP266" i="123"/>
  <c r="CJ262" i="123"/>
  <c r="CN262" i="123"/>
  <c r="CK262" i="123"/>
  <c r="CP262" i="123"/>
  <c r="CL262" i="123"/>
  <c r="CQ262" i="123"/>
  <c r="CO262" i="123"/>
  <c r="CH262" i="123"/>
  <c r="CI262" i="123"/>
  <c r="CM262" i="123"/>
  <c r="CJ258" i="123"/>
  <c r="CN258" i="123"/>
  <c r="CH258" i="123"/>
  <c r="CM258" i="123"/>
  <c r="CI258" i="123"/>
  <c r="CO258" i="123"/>
  <c r="CL258" i="123"/>
  <c r="CP258" i="123"/>
  <c r="CQ258" i="123"/>
  <c r="CK258" i="123"/>
  <c r="CJ254" i="123"/>
  <c r="CN254" i="123"/>
  <c r="CK254" i="123"/>
  <c r="CP254" i="123"/>
  <c r="CL254" i="123"/>
  <c r="CQ254" i="123"/>
  <c r="CI254" i="123"/>
  <c r="CM254" i="123"/>
  <c r="CO254" i="123"/>
  <c r="CH254" i="123"/>
  <c r="CJ250" i="123"/>
  <c r="CN250" i="123"/>
  <c r="CH250" i="123"/>
  <c r="CM250" i="123"/>
  <c r="CI250" i="123"/>
  <c r="CO250" i="123"/>
  <c r="CQ250" i="123"/>
  <c r="CK250" i="123"/>
  <c r="CL250" i="123"/>
  <c r="CP250" i="123"/>
  <c r="CJ246" i="123"/>
  <c r="CN246" i="123"/>
  <c r="CK246" i="123"/>
  <c r="CP246" i="123"/>
  <c r="CL246" i="123"/>
  <c r="CQ246" i="123"/>
  <c r="CO246" i="123"/>
  <c r="CH246" i="123"/>
  <c r="CI246" i="123"/>
  <c r="CM246" i="123"/>
  <c r="CJ242" i="123"/>
  <c r="CN242" i="123"/>
  <c r="CH242" i="123"/>
  <c r="CM242" i="123"/>
  <c r="CI242" i="123"/>
  <c r="CO242" i="123"/>
  <c r="CL242" i="123"/>
  <c r="CP242" i="123"/>
  <c r="CQ242" i="123"/>
  <c r="CK242" i="123"/>
  <c r="CJ238" i="123"/>
  <c r="CN238" i="123"/>
  <c r="CK238" i="123"/>
  <c r="CP238" i="123"/>
  <c r="CL238" i="123"/>
  <c r="CQ238" i="123"/>
  <c r="CI238" i="123"/>
  <c r="CM238" i="123"/>
  <c r="CO238" i="123"/>
  <c r="CH238" i="123"/>
  <c r="CK209" i="123"/>
  <c r="CO209" i="123"/>
  <c r="CI209" i="123"/>
  <c r="CN209" i="123"/>
  <c r="CJ209" i="123"/>
  <c r="CQ209" i="123"/>
  <c r="CL209" i="123"/>
  <c r="CH209" i="123"/>
  <c r="CM209" i="123"/>
  <c r="CP209" i="123"/>
  <c r="CI201" i="123"/>
  <c r="CM201" i="123"/>
  <c r="CQ201" i="123"/>
  <c r="CJ201" i="123"/>
  <c r="CO201" i="123"/>
  <c r="CH201" i="123"/>
  <c r="CP201" i="123"/>
  <c r="CK201" i="123"/>
  <c r="CL201" i="123"/>
  <c r="CN201" i="123"/>
  <c r="CI197" i="123"/>
  <c r="CM197" i="123"/>
  <c r="CQ197" i="123"/>
  <c r="CL197" i="123"/>
  <c r="CN197" i="123"/>
  <c r="CH197" i="123"/>
  <c r="CO197" i="123"/>
  <c r="CJ197" i="123"/>
  <c r="CK197" i="123"/>
  <c r="CP197" i="123"/>
  <c r="CI193" i="123"/>
  <c r="CM193" i="123"/>
  <c r="CQ193" i="123"/>
  <c r="CJ193" i="123"/>
  <c r="CO193" i="123"/>
  <c r="CK193" i="123"/>
  <c r="CL193" i="123"/>
  <c r="CP193" i="123"/>
  <c r="CH193" i="123"/>
  <c r="CN193" i="123"/>
  <c r="CI189" i="123"/>
  <c r="CM189" i="123"/>
  <c r="CQ189" i="123"/>
  <c r="CL189" i="123"/>
  <c r="CH189" i="123"/>
  <c r="CO189" i="123"/>
  <c r="CJ189" i="123"/>
  <c r="CP189" i="123"/>
  <c r="CN189" i="123"/>
  <c r="CK189" i="123"/>
  <c r="CJ299" i="123"/>
  <c r="CN299" i="123"/>
  <c r="CI299" i="123"/>
  <c r="CO299" i="123"/>
  <c r="CK299" i="123"/>
  <c r="CP299" i="123"/>
  <c r="CL299" i="123"/>
  <c r="CQ299" i="123"/>
  <c r="CH299" i="123"/>
  <c r="CM299" i="123"/>
  <c r="CJ291" i="123"/>
  <c r="CN291" i="123"/>
  <c r="CI291" i="123"/>
  <c r="CO291" i="123"/>
  <c r="CK291" i="123"/>
  <c r="CP291" i="123"/>
  <c r="CL291" i="123"/>
  <c r="CQ291" i="123"/>
  <c r="CH291" i="123"/>
  <c r="CM291" i="123"/>
  <c r="CH275" i="123"/>
  <c r="CL275" i="123"/>
  <c r="CI275" i="123"/>
  <c r="CN275" i="123"/>
  <c r="CJ275" i="123"/>
  <c r="CO275" i="123"/>
  <c r="CM275" i="123"/>
  <c r="CP275" i="123"/>
  <c r="CQ275" i="123"/>
  <c r="CK275" i="123"/>
  <c r="CH263" i="123"/>
  <c r="CL263" i="123"/>
  <c r="CP263" i="123"/>
  <c r="CK263" i="123"/>
  <c r="CQ263" i="123"/>
  <c r="CM263" i="123"/>
  <c r="CO263" i="123"/>
  <c r="CI263" i="123"/>
  <c r="CJ263" i="123"/>
  <c r="CN263" i="123"/>
  <c r="CH247" i="123"/>
  <c r="CL247" i="123"/>
  <c r="CP247" i="123"/>
  <c r="CK247" i="123"/>
  <c r="CQ247" i="123"/>
  <c r="CM247" i="123"/>
  <c r="CO247" i="123"/>
  <c r="CI247" i="123"/>
  <c r="CJ247" i="123"/>
  <c r="CN247" i="123"/>
  <c r="CK198" i="123"/>
  <c r="CO198" i="123"/>
  <c r="CH198" i="123"/>
  <c r="CM198" i="123"/>
  <c r="CJ198" i="123"/>
  <c r="CQ198" i="123"/>
  <c r="CL198" i="123"/>
  <c r="CI198" i="123"/>
  <c r="CN198" i="123"/>
  <c r="CP198" i="123"/>
  <c r="CI182" i="123"/>
  <c r="CM182" i="123"/>
  <c r="CQ182" i="123"/>
  <c r="CK182" i="123"/>
  <c r="CP182" i="123"/>
  <c r="CN182" i="123"/>
  <c r="CH182" i="123"/>
  <c r="CO182" i="123"/>
  <c r="CJ182" i="123"/>
  <c r="CL182" i="123"/>
  <c r="CH302" i="123"/>
  <c r="CL302" i="123"/>
  <c r="CP302" i="123"/>
  <c r="CK302" i="123"/>
  <c r="CQ302" i="123"/>
  <c r="CM302" i="123"/>
  <c r="CI302" i="123"/>
  <c r="CN302" i="123"/>
  <c r="CJ302" i="123"/>
  <c r="CO302" i="123"/>
  <c r="CH290" i="123"/>
  <c r="CL290" i="123"/>
  <c r="CP290" i="123"/>
  <c r="CI290" i="123"/>
  <c r="CN290" i="123"/>
  <c r="CJ290" i="123"/>
  <c r="CO290" i="123"/>
  <c r="CK290" i="123"/>
  <c r="CQ290" i="123"/>
  <c r="CM290" i="123"/>
  <c r="CJ301" i="123"/>
  <c r="CN301" i="123"/>
  <c r="CK301" i="123"/>
  <c r="CP301" i="123"/>
  <c r="CL301" i="123"/>
  <c r="CQ301" i="123"/>
  <c r="CH301" i="123"/>
  <c r="CM301" i="123"/>
  <c r="CI301" i="123"/>
  <c r="CO301" i="123"/>
  <c r="CJ289" i="123"/>
  <c r="CN289" i="123"/>
  <c r="CH289" i="123"/>
  <c r="CM289" i="123"/>
  <c r="CI289" i="123"/>
  <c r="CO289" i="123"/>
  <c r="CK289" i="123"/>
  <c r="CP289" i="123"/>
  <c r="CL289" i="123"/>
  <c r="CQ289" i="123"/>
  <c r="CJ277" i="123"/>
  <c r="CN277" i="123"/>
  <c r="CK277" i="123"/>
  <c r="CO277" i="123"/>
  <c r="CI277" i="123"/>
  <c r="CQ277" i="123"/>
  <c r="CL277" i="123"/>
  <c r="CM277" i="123"/>
  <c r="CH277" i="123"/>
  <c r="CP277" i="123"/>
  <c r="CH269" i="123"/>
  <c r="CL269" i="123"/>
  <c r="CP269" i="123"/>
  <c r="CJ269" i="123"/>
  <c r="CO269" i="123"/>
  <c r="CK269" i="123"/>
  <c r="CQ269" i="123"/>
  <c r="CI269" i="123"/>
  <c r="CM269" i="123"/>
  <c r="CN269" i="123"/>
  <c r="CH265" i="123"/>
  <c r="CL265" i="123"/>
  <c r="CP265" i="123"/>
  <c r="CM265" i="123"/>
  <c r="CI265" i="123"/>
  <c r="CN265" i="123"/>
  <c r="CQ265" i="123"/>
  <c r="CJ265" i="123"/>
  <c r="CK265" i="123"/>
  <c r="CO265" i="123"/>
  <c r="CH261" i="123"/>
  <c r="CL261" i="123"/>
  <c r="CP261" i="123"/>
  <c r="CJ261" i="123"/>
  <c r="CO261" i="123"/>
  <c r="CK261" i="123"/>
  <c r="CQ261" i="123"/>
  <c r="CN261" i="123"/>
  <c r="CI261" i="123"/>
  <c r="CM261" i="123"/>
  <c r="CH257" i="123"/>
  <c r="CL257" i="123"/>
  <c r="CP257" i="123"/>
  <c r="CM257" i="123"/>
  <c r="CI257" i="123"/>
  <c r="CN257" i="123"/>
  <c r="CK257" i="123"/>
  <c r="CO257" i="123"/>
  <c r="CQ257" i="123"/>
  <c r="CJ257" i="123"/>
  <c r="CH253" i="123"/>
  <c r="CL253" i="123"/>
  <c r="CP253" i="123"/>
  <c r="CJ253" i="123"/>
  <c r="CO253" i="123"/>
  <c r="CK253" i="123"/>
  <c r="CQ253" i="123"/>
  <c r="CI253" i="123"/>
  <c r="CM253" i="123"/>
  <c r="CN253" i="123"/>
  <c r="CH249" i="123"/>
  <c r="CL249" i="123"/>
  <c r="CP249" i="123"/>
  <c r="CM249" i="123"/>
  <c r="CI249" i="123"/>
  <c r="CN249" i="123"/>
  <c r="CQ249" i="123"/>
  <c r="CJ249" i="123"/>
  <c r="CK249" i="123"/>
  <c r="CO249" i="123"/>
  <c r="CH245" i="123"/>
  <c r="CL245" i="123"/>
  <c r="CP245" i="123"/>
  <c r="CJ245" i="123"/>
  <c r="CO245" i="123"/>
  <c r="CK245" i="123"/>
  <c r="CQ245" i="123"/>
  <c r="CN245" i="123"/>
  <c r="CI245" i="123"/>
  <c r="CM245" i="123"/>
  <c r="CH241" i="123"/>
  <c r="CL241" i="123"/>
  <c r="CP241" i="123"/>
  <c r="CM241" i="123"/>
  <c r="CI241" i="123"/>
  <c r="CN241" i="123"/>
  <c r="CK241" i="123"/>
  <c r="CO241" i="123"/>
  <c r="CQ241" i="123"/>
  <c r="CJ241" i="123"/>
  <c r="CH237" i="123"/>
  <c r="CL237" i="123"/>
  <c r="CP237" i="123"/>
  <c r="CJ237" i="123"/>
  <c r="CO237" i="123"/>
  <c r="CK237" i="123"/>
  <c r="CQ237" i="123"/>
  <c r="CI237" i="123"/>
  <c r="CM237" i="123"/>
  <c r="CN237" i="123"/>
  <c r="CI208" i="123"/>
  <c r="CM208" i="123"/>
  <c r="CQ208" i="123"/>
  <c r="CH208" i="123"/>
  <c r="CN208" i="123"/>
  <c r="CL208" i="123"/>
  <c r="CO208" i="123"/>
  <c r="CJ208" i="123"/>
  <c r="CK208" i="123"/>
  <c r="CP208" i="123"/>
  <c r="CK204" i="123"/>
  <c r="CO204" i="123"/>
  <c r="CL204" i="123"/>
  <c r="CQ204" i="123"/>
  <c r="CH204" i="123"/>
  <c r="CN204" i="123"/>
  <c r="CI204" i="123"/>
  <c r="CP204" i="123"/>
  <c r="CJ204" i="123"/>
  <c r="CM204" i="123"/>
  <c r="CK200" i="123"/>
  <c r="CO200" i="123"/>
  <c r="CI200" i="123"/>
  <c r="CN200" i="123"/>
  <c r="CL200" i="123"/>
  <c r="CM200" i="123"/>
  <c r="CQ200" i="123"/>
  <c r="CH200" i="123"/>
  <c r="CJ200" i="123"/>
  <c r="CP200" i="123"/>
  <c r="CK196" i="123"/>
  <c r="CO196" i="123"/>
  <c r="CL196" i="123"/>
  <c r="CQ196" i="123"/>
  <c r="CI196" i="123"/>
  <c r="CP196" i="123"/>
  <c r="CJ196" i="123"/>
  <c r="CN196" i="123"/>
  <c r="CH196" i="123"/>
  <c r="CM196" i="123"/>
  <c r="CK192" i="123"/>
  <c r="CO192" i="123"/>
  <c r="CI192" i="123"/>
  <c r="CN192" i="123"/>
  <c r="CM192" i="123"/>
  <c r="CH192" i="123"/>
  <c r="CP192" i="123"/>
  <c r="CL192" i="123"/>
  <c r="CQ192" i="123"/>
  <c r="CJ192" i="123"/>
  <c r="HT25" i="1"/>
  <c r="HS20" i="1"/>
  <c r="AI197" i="123"/>
  <c r="AI193" i="123"/>
  <c r="AI208" i="123"/>
  <c r="AI196" i="123"/>
  <c r="AI192" i="123"/>
  <c r="AI199" i="123"/>
  <c r="AI202" i="123"/>
  <c r="AI198" i="123"/>
  <c r="AI299" i="123"/>
  <c r="AI291" i="123"/>
  <c r="AI279" i="123"/>
  <c r="AI271" i="123"/>
  <c r="AI263" i="123"/>
  <c r="AI259" i="123"/>
  <c r="AI251" i="123"/>
  <c r="AI239" i="123"/>
  <c r="AI207" i="123"/>
  <c r="AI183" i="123"/>
  <c r="AI175" i="123"/>
  <c r="AI298" i="123"/>
  <c r="AI290" i="123"/>
  <c r="AI282" i="123"/>
  <c r="AI278" i="123"/>
  <c r="AI270" i="123"/>
  <c r="AI262" i="123"/>
  <c r="AI254" i="123"/>
  <c r="AI246" i="123"/>
  <c r="AI194" i="123"/>
  <c r="AI154" i="123"/>
  <c r="AI130" i="123"/>
  <c r="AI297" i="123"/>
  <c r="AI293" i="123"/>
  <c r="AI289" i="123"/>
  <c r="AI285" i="123"/>
  <c r="AI281" i="123"/>
  <c r="AI277" i="123"/>
  <c r="AI273" i="123"/>
  <c r="AI269" i="123"/>
  <c r="AI265" i="123"/>
  <c r="AI261" i="123"/>
  <c r="AI257" i="123"/>
  <c r="AI253" i="123"/>
  <c r="AI249" i="123"/>
  <c r="AI245" i="123"/>
  <c r="AI241" i="123"/>
  <c r="AI237" i="123"/>
  <c r="AI209" i="123"/>
  <c r="AI201" i="123"/>
  <c r="AI189" i="123"/>
  <c r="AI303" i="123"/>
  <c r="AI295" i="123"/>
  <c r="AI287" i="123"/>
  <c r="AI283" i="123"/>
  <c r="AI275" i="123"/>
  <c r="AI267" i="123"/>
  <c r="AI255" i="123"/>
  <c r="AI247" i="123"/>
  <c r="AI243" i="123"/>
  <c r="AI225" i="123"/>
  <c r="AI203" i="123"/>
  <c r="AI195" i="123"/>
  <c r="AI191" i="123"/>
  <c r="AI155" i="123"/>
  <c r="AI135" i="123"/>
  <c r="AI302" i="123"/>
  <c r="AI294" i="123"/>
  <c r="AI286" i="123"/>
  <c r="AI274" i="123"/>
  <c r="AI266" i="123"/>
  <c r="AI258" i="123"/>
  <c r="AI250" i="123"/>
  <c r="AI242" i="123"/>
  <c r="AI238" i="123"/>
  <c r="AI206" i="123"/>
  <c r="AI190" i="123"/>
  <c r="AI182" i="123"/>
  <c r="AI174" i="123"/>
  <c r="AI134" i="123"/>
  <c r="AI129" i="123"/>
  <c r="AI301" i="123"/>
  <c r="AI304" i="123"/>
  <c r="AI300" i="123"/>
  <c r="AI296" i="123"/>
  <c r="AI292" i="123"/>
  <c r="AI288" i="123"/>
  <c r="AI284" i="123"/>
  <c r="AI280" i="123"/>
  <c r="AI276" i="123"/>
  <c r="AI272" i="123"/>
  <c r="AI268" i="123"/>
  <c r="AI264" i="123"/>
  <c r="AI260" i="123"/>
  <c r="AI256" i="123"/>
  <c r="AI252" i="123"/>
  <c r="AI248" i="123"/>
  <c r="AI244" i="123"/>
  <c r="AI240" i="123"/>
  <c r="AI236" i="123"/>
  <c r="AI232" i="123"/>
  <c r="AI226" i="123"/>
  <c r="AI204" i="123"/>
  <c r="AI200" i="123"/>
  <c r="EA217" i="123" l="1"/>
  <c r="R217" i="123"/>
  <c r="HU25" i="1"/>
  <c r="HT20" i="1"/>
  <c r="DJ135" i="123"/>
  <c r="DJ154" i="123"/>
  <c r="DJ155" i="123"/>
  <c r="DJ174" i="123"/>
  <c r="DJ175" i="123"/>
  <c r="DJ182" i="123"/>
  <c r="DJ183" i="123"/>
  <c r="DJ189" i="123"/>
  <c r="DJ190" i="123"/>
  <c r="DJ191" i="123"/>
  <c r="DJ194" i="123"/>
  <c r="DJ195" i="123"/>
  <c r="DJ200" i="123"/>
  <c r="DJ201" i="123"/>
  <c r="DJ203" i="123"/>
  <c r="DJ204" i="123"/>
  <c r="DJ206" i="123"/>
  <c r="DJ207" i="123"/>
  <c r="DJ209" i="123"/>
  <c r="DJ225" i="123"/>
  <c r="DJ226" i="123"/>
  <c r="DJ232" i="123"/>
  <c r="DJ237" i="123"/>
  <c r="DJ238" i="123"/>
  <c r="DJ240" i="123"/>
  <c r="DJ241" i="123"/>
  <c r="DJ242" i="123"/>
  <c r="DJ243" i="123"/>
  <c r="DJ244" i="123"/>
  <c r="DJ245" i="123"/>
  <c r="DJ246" i="123"/>
  <c r="DJ247" i="123"/>
  <c r="DJ248" i="123"/>
  <c r="DJ249" i="123"/>
  <c r="DJ250" i="123"/>
  <c r="DJ251" i="123"/>
  <c r="DJ252" i="123"/>
  <c r="DJ253" i="123"/>
  <c r="DJ254" i="123"/>
  <c r="DJ255" i="123"/>
  <c r="DJ256" i="123"/>
  <c r="DJ257" i="123"/>
  <c r="DJ258" i="123"/>
  <c r="DJ259" i="123"/>
  <c r="DJ260" i="123"/>
  <c r="DJ261" i="123"/>
  <c r="DJ262" i="123"/>
  <c r="DJ263" i="123"/>
  <c r="DJ264" i="123"/>
  <c r="DJ265" i="123"/>
  <c r="DJ266" i="123"/>
  <c r="DJ267" i="123"/>
  <c r="DJ268" i="123"/>
  <c r="DJ269" i="123"/>
  <c r="DJ270" i="123"/>
  <c r="DJ271" i="123"/>
  <c r="DJ272" i="123"/>
  <c r="DJ273" i="123"/>
  <c r="DJ274" i="123"/>
  <c r="DJ275" i="123"/>
  <c r="DJ276" i="123"/>
  <c r="DJ277" i="123"/>
  <c r="DJ278" i="123"/>
  <c r="DJ279" i="123"/>
  <c r="DJ280" i="123"/>
  <c r="DJ281" i="123"/>
  <c r="DJ282" i="123"/>
  <c r="DJ283" i="123"/>
  <c r="DJ284" i="123"/>
  <c r="DJ285" i="123"/>
  <c r="DJ286" i="123"/>
  <c r="DJ287" i="123"/>
  <c r="DJ288" i="123"/>
  <c r="DJ289" i="123"/>
  <c r="DJ290" i="123"/>
  <c r="DJ291" i="123"/>
  <c r="DJ292" i="123"/>
  <c r="DJ293" i="123"/>
  <c r="DJ294" i="123"/>
  <c r="DJ295" i="123"/>
  <c r="DJ296" i="123"/>
  <c r="DJ297" i="123"/>
  <c r="DJ298" i="123"/>
  <c r="DJ299" i="123"/>
  <c r="DJ300" i="123"/>
  <c r="DJ301" i="123"/>
  <c r="DJ302" i="123"/>
  <c r="DJ303" i="123"/>
  <c r="DJ304" i="123"/>
  <c r="AL174" i="1"/>
  <c r="AL177" i="1"/>
  <c r="AL178" i="1"/>
  <c r="AL183" i="1"/>
  <c r="AL184" i="1"/>
  <c r="AL186" i="1"/>
  <c r="AL187" i="1"/>
  <c r="AL188" i="1"/>
  <c r="AL193" i="1"/>
  <c r="AL194" i="1"/>
  <c r="AL200" i="1"/>
  <c r="AL201" i="1"/>
  <c r="AL220" i="1"/>
  <c r="AL221" i="1"/>
  <c r="AL222" i="1"/>
  <c r="AL230" i="1"/>
  <c r="AL231" i="1"/>
  <c r="AL237" i="1"/>
  <c r="AL238" i="1"/>
  <c r="AL247" i="1"/>
  <c r="AL248" i="1"/>
  <c r="AL258" i="1"/>
  <c r="AL259" i="1"/>
  <c r="AL270" i="1"/>
  <c r="AL271" i="1"/>
  <c r="AL281" i="1"/>
  <c r="AL282" i="1"/>
  <c r="AL286" i="1"/>
  <c r="AL287" i="1"/>
  <c r="AL294" i="1"/>
  <c r="AL295" i="1"/>
  <c r="AL296" i="1"/>
  <c r="AL301" i="1"/>
  <c r="AL302" i="1"/>
  <c r="AL322" i="1"/>
  <c r="AL323" i="1"/>
  <c r="AL327" i="1"/>
  <c r="AL328" i="1"/>
  <c r="AL329" i="1"/>
  <c r="AL330" i="1"/>
  <c r="AL334" i="1"/>
  <c r="AL335" i="1"/>
  <c r="AL338" i="1"/>
  <c r="AL339" i="1"/>
  <c r="AL341" i="1"/>
  <c r="AL342" i="1"/>
  <c r="AL343" i="1"/>
  <c r="AL344" i="1"/>
  <c r="AL345" i="1"/>
  <c r="AL348" i="1"/>
  <c r="AL353" i="1"/>
  <c r="AL354" i="1"/>
  <c r="AL355" i="1"/>
  <c r="AL356" i="1"/>
  <c r="AL357" i="1"/>
  <c r="AL358" i="1"/>
  <c r="AL359" i="1"/>
  <c r="AL360" i="1"/>
  <c r="AL361" i="1"/>
  <c r="AL362" i="1"/>
  <c r="AL363" i="1"/>
  <c r="AL364" i="1"/>
  <c r="AL173" i="1"/>
  <c r="HV25" i="1" l="1"/>
  <c r="HU20" i="1"/>
  <c r="BX35" i="98"/>
  <c r="BX36" i="98"/>
  <c r="BX37" i="98"/>
  <c r="BX38" i="98"/>
  <c r="BX39" i="98"/>
  <c r="BX40" i="98"/>
  <c r="BX41" i="98"/>
  <c r="BX42" i="98"/>
  <c r="BX43" i="98"/>
  <c r="BX44" i="98"/>
  <c r="BX45" i="98"/>
  <c r="BX46" i="98"/>
  <c r="BX47" i="98"/>
  <c r="BX48" i="98"/>
  <c r="BX49" i="98"/>
  <c r="BX50" i="98"/>
  <c r="BX51" i="98"/>
  <c r="BX52" i="98"/>
  <c r="BX53" i="98"/>
  <c r="BX54" i="98"/>
  <c r="BX55" i="98"/>
  <c r="BX56" i="98"/>
  <c r="BX57" i="98"/>
  <c r="BX58" i="98"/>
  <c r="BX59" i="98"/>
  <c r="BX60" i="98"/>
  <c r="BX61" i="98"/>
  <c r="BX62" i="98"/>
  <c r="BX63" i="98"/>
  <c r="BX64" i="98"/>
  <c r="BX65" i="98"/>
  <c r="BX66" i="98"/>
  <c r="BX67" i="98"/>
  <c r="BX68" i="98"/>
  <c r="BX69" i="98"/>
  <c r="BX70" i="98"/>
  <c r="BX71" i="98"/>
  <c r="BX72" i="98"/>
  <c r="BX73" i="98"/>
  <c r="BX74" i="98"/>
  <c r="BX75" i="98"/>
  <c r="BX76" i="98"/>
  <c r="BX77" i="98"/>
  <c r="BX78" i="98"/>
  <c r="BX79" i="98"/>
  <c r="BX80" i="98"/>
  <c r="BX81" i="98"/>
  <c r="BX82" i="98"/>
  <c r="BX83" i="98"/>
  <c r="BX84" i="98"/>
  <c r="BX85" i="98"/>
  <c r="BX86" i="98"/>
  <c r="BX87" i="98"/>
  <c r="BX88" i="98"/>
  <c r="BX89" i="98"/>
  <c r="BX90" i="98"/>
  <c r="BX91" i="98"/>
  <c r="BX92" i="98"/>
  <c r="BX93" i="98"/>
  <c r="BX94" i="98"/>
  <c r="BX34" i="98"/>
  <c r="HW25" i="1" l="1"/>
  <c r="HV20" i="1"/>
  <c r="BX27" i="98"/>
  <c r="EM40" i="98"/>
  <c r="EM43" i="98"/>
  <c r="EM35" i="98"/>
  <c r="BT40" i="98" l="1"/>
  <c r="CM40" i="98"/>
  <c r="CJ40" i="98"/>
  <c r="CN40" i="98"/>
  <c r="CK40" i="98"/>
  <c r="CL40" i="98"/>
  <c r="BT35" i="98"/>
  <c r="CJ35" i="98"/>
  <c r="CN35" i="98"/>
  <c r="CK35" i="98"/>
  <c r="CL35" i="98"/>
  <c r="CM35" i="98"/>
  <c r="BT43" i="98"/>
  <c r="CJ43" i="98"/>
  <c r="CN43" i="98"/>
  <c r="CL43" i="98"/>
  <c r="CM43" i="98"/>
  <c r="CK43" i="98"/>
  <c r="HX25" i="1"/>
  <c r="HW20" i="1"/>
  <c r="D251" i="128"/>
  <c r="D252" i="128"/>
  <c r="D253" i="128"/>
  <c r="D254" i="128"/>
  <c r="D255" i="128"/>
  <c r="D256" i="128"/>
  <c r="D257" i="128"/>
  <c r="D258" i="128"/>
  <c r="D259" i="128"/>
  <c r="D260" i="128"/>
  <c r="D261" i="128"/>
  <c r="D262" i="128"/>
  <c r="D263" i="128"/>
  <c r="D264" i="128"/>
  <c r="D265" i="128"/>
  <c r="D266" i="128"/>
  <c r="D267" i="128"/>
  <c r="D268" i="128"/>
  <c r="D269" i="128"/>
  <c r="D270" i="128"/>
  <c r="D271" i="128"/>
  <c r="D272" i="128"/>
  <c r="D273" i="128"/>
  <c r="D274" i="128"/>
  <c r="D275" i="128"/>
  <c r="D276" i="128"/>
  <c r="D277" i="128"/>
  <c r="D278" i="128"/>
  <c r="D279" i="128"/>
  <c r="D280" i="128"/>
  <c r="D281" i="128"/>
  <c r="D282" i="128"/>
  <c r="D283" i="128"/>
  <c r="D284" i="128"/>
  <c r="D285" i="128"/>
  <c r="D286" i="128"/>
  <c r="D287" i="128"/>
  <c r="D288" i="128"/>
  <c r="D289" i="128"/>
  <c r="D250" i="128"/>
  <c r="D206" i="128"/>
  <c r="D207" i="128"/>
  <c r="D208" i="128"/>
  <c r="D209" i="128"/>
  <c r="D210" i="128"/>
  <c r="D211" i="128"/>
  <c r="D212" i="128"/>
  <c r="D213" i="128"/>
  <c r="D214" i="128"/>
  <c r="D215" i="128"/>
  <c r="D216" i="128"/>
  <c r="D217" i="128"/>
  <c r="D218" i="128"/>
  <c r="D219" i="128"/>
  <c r="D220" i="128"/>
  <c r="D221" i="128"/>
  <c r="D222" i="128"/>
  <c r="D223" i="128"/>
  <c r="D224" i="128"/>
  <c r="D225" i="128"/>
  <c r="D226" i="128"/>
  <c r="D227" i="128"/>
  <c r="D228" i="128"/>
  <c r="D229" i="128"/>
  <c r="D230" i="128"/>
  <c r="D231" i="128"/>
  <c r="D232" i="128"/>
  <c r="D233" i="128"/>
  <c r="D234" i="128"/>
  <c r="D235" i="128"/>
  <c r="D236" i="128"/>
  <c r="D237" i="128"/>
  <c r="D238" i="128"/>
  <c r="D239" i="128"/>
  <c r="D240" i="128"/>
  <c r="D241" i="128"/>
  <c r="D242" i="128"/>
  <c r="D243" i="128"/>
  <c r="D244" i="128"/>
  <c r="D205" i="128"/>
  <c r="D172" i="128"/>
  <c r="D173" i="128"/>
  <c r="D174" i="128"/>
  <c r="D175" i="128"/>
  <c r="D176" i="128"/>
  <c r="D177" i="128"/>
  <c r="D178" i="128"/>
  <c r="D179" i="128"/>
  <c r="D180" i="128"/>
  <c r="D181" i="128"/>
  <c r="D182" i="128"/>
  <c r="D183" i="128"/>
  <c r="D184" i="128"/>
  <c r="D185" i="128"/>
  <c r="D186" i="128"/>
  <c r="D187" i="128"/>
  <c r="D188" i="128"/>
  <c r="D189" i="128"/>
  <c r="D190" i="128"/>
  <c r="D191" i="128"/>
  <c r="D192" i="128"/>
  <c r="D193" i="128"/>
  <c r="D194" i="128"/>
  <c r="D195" i="128"/>
  <c r="D196" i="128"/>
  <c r="D197" i="128"/>
  <c r="D198" i="128"/>
  <c r="D199" i="128"/>
  <c r="D161" i="128"/>
  <c r="D162" i="128"/>
  <c r="D163" i="128"/>
  <c r="D164" i="128"/>
  <c r="D165" i="128"/>
  <c r="D166" i="128"/>
  <c r="D167" i="128"/>
  <c r="D168" i="128"/>
  <c r="D169" i="128"/>
  <c r="D170" i="128"/>
  <c r="D171" i="128"/>
  <c r="D160" i="128"/>
  <c r="D316" i="128"/>
  <c r="D317" i="128"/>
  <c r="D318" i="128"/>
  <c r="D319" i="128"/>
  <c r="D320" i="128"/>
  <c r="D321" i="128"/>
  <c r="D322" i="128"/>
  <c r="D323" i="128"/>
  <c r="D324" i="128"/>
  <c r="D325" i="128"/>
  <c r="D326" i="128"/>
  <c r="D327" i="128"/>
  <c r="D328" i="128"/>
  <c r="D329" i="128"/>
  <c r="D330" i="128"/>
  <c r="D331" i="128"/>
  <c r="D332" i="128"/>
  <c r="D333" i="128"/>
  <c r="D334" i="128"/>
  <c r="D335" i="128"/>
  <c r="D336" i="128"/>
  <c r="D337" i="128"/>
  <c r="D338" i="128"/>
  <c r="D339" i="128"/>
  <c r="D340" i="128"/>
  <c r="D341" i="128"/>
  <c r="D342" i="128"/>
  <c r="D343" i="128"/>
  <c r="D344" i="128"/>
  <c r="D345" i="128"/>
  <c r="D346" i="128"/>
  <c r="D347" i="128"/>
  <c r="D348" i="128"/>
  <c r="D349" i="128"/>
  <c r="D350" i="128"/>
  <c r="D351" i="128"/>
  <c r="D352" i="128"/>
  <c r="D353" i="128"/>
  <c r="D354" i="128"/>
  <c r="D355" i="128"/>
  <c r="D356" i="128"/>
  <c r="D357" i="128"/>
  <c r="D358" i="128"/>
  <c r="D360" i="128"/>
  <c r="D361" i="128"/>
  <c r="D362" i="128"/>
  <c r="D363" i="128"/>
  <c r="D364" i="128"/>
  <c r="D365" i="128"/>
  <c r="D366" i="128"/>
  <c r="D367" i="128"/>
  <c r="D368" i="128"/>
  <c r="D369" i="128"/>
  <c r="D370" i="128"/>
  <c r="D371" i="128"/>
  <c r="D372" i="128"/>
  <c r="D373" i="128"/>
  <c r="D374" i="128"/>
  <c r="D375" i="128"/>
  <c r="D376" i="128"/>
  <c r="D377" i="128"/>
  <c r="D378" i="128"/>
  <c r="D379" i="128"/>
  <c r="D380" i="128"/>
  <c r="D381" i="128"/>
  <c r="D382" i="128"/>
  <c r="D383" i="128"/>
  <c r="D384" i="128"/>
  <c r="D385" i="128"/>
  <c r="D386" i="128"/>
  <c r="D387" i="128"/>
  <c r="D388" i="128"/>
  <c r="D389" i="128"/>
  <c r="D390" i="128"/>
  <c r="D391" i="128"/>
  <c r="D392" i="128"/>
  <c r="D393" i="128"/>
  <c r="D394" i="128"/>
  <c r="D395" i="128"/>
  <c r="D396" i="128"/>
  <c r="D397" i="128"/>
  <c r="D398" i="128"/>
  <c r="D399" i="128"/>
  <c r="D400" i="128"/>
  <c r="D401" i="128"/>
  <c r="D402" i="128"/>
  <c r="D403" i="128"/>
  <c r="D404" i="128"/>
  <c r="D405" i="128"/>
  <c r="D406" i="128"/>
  <c r="D407" i="128"/>
  <c r="D408" i="128"/>
  <c r="D409" i="128"/>
  <c r="D410" i="128"/>
  <c r="D411" i="128"/>
  <c r="D412" i="128"/>
  <c r="D413" i="128"/>
  <c r="D414" i="128"/>
  <c r="D296" i="128"/>
  <c r="D297" i="128"/>
  <c r="D298" i="128"/>
  <c r="D299" i="128"/>
  <c r="D300" i="128"/>
  <c r="D301" i="128"/>
  <c r="D302" i="128"/>
  <c r="D303" i="128"/>
  <c r="D304" i="128"/>
  <c r="D305" i="128"/>
  <c r="D306" i="128"/>
  <c r="D307" i="128"/>
  <c r="D308" i="128"/>
  <c r="D309" i="128"/>
  <c r="D310" i="128"/>
  <c r="D311" i="128"/>
  <c r="D312" i="128"/>
  <c r="D313" i="128"/>
  <c r="D314" i="128"/>
  <c r="D315" i="128"/>
  <c r="D295" i="128"/>
  <c r="EM51" i="98"/>
  <c r="BT51" i="98" l="1"/>
  <c r="CJ51" i="98"/>
  <c r="CN51" i="98"/>
  <c r="CL51" i="98"/>
  <c r="CM51" i="98"/>
  <c r="CK51" i="98"/>
  <c r="HY25" i="1"/>
  <c r="HX20" i="1"/>
  <c r="EM45" i="98"/>
  <c r="BT45" i="98" l="1"/>
  <c r="CL45" i="98"/>
  <c r="CJ45" i="98"/>
  <c r="CN45" i="98"/>
  <c r="CK45" i="98"/>
  <c r="CM45" i="98"/>
  <c r="HZ25" i="1"/>
  <c r="HY20" i="1"/>
  <c r="BZ35" i="98"/>
  <c r="BZ36" i="98"/>
  <c r="BZ37" i="98"/>
  <c r="BZ38" i="98"/>
  <c r="BZ39" i="98"/>
  <c r="BZ40" i="98"/>
  <c r="BZ41" i="98"/>
  <c r="BZ42" i="98"/>
  <c r="BZ43" i="98"/>
  <c r="BZ44" i="98"/>
  <c r="BZ45" i="98"/>
  <c r="BZ46" i="98"/>
  <c r="BZ47" i="98"/>
  <c r="BZ48" i="98"/>
  <c r="BZ49" i="98"/>
  <c r="BZ50" i="98"/>
  <c r="BZ51" i="98"/>
  <c r="BZ52" i="98"/>
  <c r="BZ53" i="98"/>
  <c r="BZ54" i="98"/>
  <c r="BZ55" i="98"/>
  <c r="BZ56" i="98"/>
  <c r="BZ57" i="98"/>
  <c r="BZ58" i="98"/>
  <c r="BZ59" i="98"/>
  <c r="BZ60" i="98"/>
  <c r="BZ61" i="98"/>
  <c r="BZ62" i="98"/>
  <c r="BZ63" i="98"/>
  <c r="BZ64" i="98"/>
  <c r="BZ65" i="98"/>
  <c r="BZ66" i="98"/>
  <c r="BZ67" i="98"/>
  <c r="BZ68" i="98"/>
  <c r="BZ69" i="98"/>
  <c r="BZ70" i="98"/>
  <c r="BZ71" i="98"/>
  <c r="BZ72" i="98"/>
  <c r="BZ73" i="98"/>
  <c r="BZ74" i="98"/>
  <c r="BZ75" i="98"/>
  <c r="BZ76" i="98"/>
  <c r="BZ77" i="98"/>
  <c r="BZ78" i="98"/>
  <c r="BZ79" i="98"/>
  <c r="BZ80" i="98"/>
  <c r="BZ81" i="98"/>
  <c r="BZ82" i="98"/>
  <c r="BZ83" i="98"/>
  <c r="BZ84" i="98"/>
  <c r="BZ85" i="98"/>
  <c r="BZ86" i="98"/>
  <c r="BZ87" i="98"/>
  <c r="BZ88" i="98"/>
  <c r="BZ89" i="98"/>
  <c r="BZ90" i="98"/>
  <c r="BZ91" i="98"/>
  <c r="BZ92" i="98"/>
  <c r="BZ93" i="98"/>
  <c r="BZ94" i="98"/>
  <c r="BZ34" i="98"/>
  <c r="IA25" i="1" l="1"/>
  <c r="HZ20" i="1"/>
  <c r="BZ27" i="98"/>
  <c r="ED131" i="98" s="1"/>
  <c r="BY27" i="98"/>
  <c r="G108" i="71"/>
  <c r="G110" i="71"/>
  <c r="IB25" i="1" l="1"/>
  <c r="IA20" i="1"/>
  <c r="ES45" i="98"/>
  <c r="ES51" i="98"/>
  <c r="IC25" i="1" l="1"/>
  <c r="IB20" i="1"/>
  <c r="Q30" i="122"/>
  <c r="Q20" i="122"/>
  <c r="IC20" i="1" l="1"/>
  <c r="ID25" i="1"/>
  <c r="E289" i="128"/>
  <c r="E288" i="128"/>
  <c r="E269" i="128"/>
  <c r="E270" i="128"/>
  <c r="E271" i="128"/>
  <c r="E272" i="128"/>
  <c r="E273" i="128"/>
  <c r="E274" i="128"/>
  <c r="E275" i="128"/>
  <c r="E276" i="128"/>
  <c r="E277" i="128"/>
  <c r="E278" i="128"/>
  <c r="E279" i="128"/>
  <c r="E280" i="128"/>
  <c r="E281" i="128"/>
  <c r="E282" i="128"/>
  <c r="E283" i="128"/>
  <c r="E284" i="128"/>
  <c r="E285" i="128"/>
  <c r="E286" i="128"/>
  <c r="E287" i="128"/>
  <c r="E244" i="128"/>
  <c r="E224" i="128"/>
  <c r="E225" i="128"/>
  <c r="E226" i="128"/>
  <c r="E227" i="128"/>
  <c r="E228" i="128"/>
  <c r="E229" i="128"/>
  <c r="E230" i="128"/>
  <c r="E231" i="128"/>
  <c r="E232" i="128"/>
  <c r="E233" i="128"/>
  <c r="E234" i="128"/>
  <c r="E235" i="128"/>
  <c r="E236" i="128"/>
  <c r="E237" i="128"/>
  <c r="E238" i="128"/>
  <c r="E239" i="128"/>
  <c r="E240" i="128"/>
  <c r="E241" i="128"/>
  <c r="E242" i="128"/>
  <c r="E243" i="128"/>
  <c r="ID20" i="1" l="1"/>
  <c r="IE25" i="1"/>
  <c r="E199" i="128"/>
  <c r="E198" i="128"/>
  <c r="E193" i="128"/>
  <c r="E194" i="128"/>
  <c r="E195" i="128"/>
  <c r="E196" i="128"/>
  <c r="E197" i="128"/>
  <c r="E179" i="128"/>
  <c r="E180" i="128"/>
  <c r="E181" i="128"/>
  <c r="E182" i="128"/>
  <c r="E183" i="128"/>
  <c r="E184" i="128"/>
  <c r="E185" i="128"/>
  <c r="E186" i="128"/>
  <c r="E187" i="128"/>
  <c r="E188" i="128"/>
  <c r="E189" i="128"/>
  <c r="E190" i="128"/>
  <c r="E191" i="128"/>
  <c r="E192" i="128"/>
  <c r="A140" i="128"/>
  <c r="D140" i="128"/>
  <c r="E140" i="128"/>
  <c r="A119" i="128"/>
  <c r="D119" i="128"/>
  <c r="E119" i="128"/>
  <c r="A110" i="128"/>
  <c r="D110" i="128"/>
  <c r="E110" i="128"/>
  <c r="A111" i="128"/>
  <c r="D111" i="128"/>
  <c r="E111" i="128"/>
  <c r="IE20" i="1" l="1"/>
  <c r="IF25" i="1"/>
  <c r="IF20" i="1" l="1"/>
  <c r="IG25" i="1"/>
  <c r="M112" i="71"/>
  <c r="M110" i="71"/>
  <c r="G104" i="71"/>
  <c r="IG20" i="1" l="1"/>
  <c r="IH25" i="1"/>
  <c r="C13" i="71"/>
  <c r="IH20" i="1" l="1"/>
  <c r="II25" i="1"/>
  <c r="Q9" i="122"/>
  <c r="Q11" i="122"/>
  <c r="IJ25" i="1" l="1"/>
  <c r="II20" i="1"/>
  <c r="Q32" i="122"/>
  <c r="Q33" i="122"/>
  <c r="Q34" i="122"/>
  <c r="Q35" i="122"/>
  <c r="Q36" i="122"/>
  <c r="Q37" i="122"/>
  <c r="Q38" i="122"/>
  <c r="Q39" i="122"/>
  <c r="Q40" i="122"/>
  <c r="Q41" i="122"/>
  <c r="Q42" i="122"/>
  <c r="Q43" i="122"/>
  <c r="Q44" i="122"/>
  <c r="Q45" i="122"/>
  <c r="Q46" i="122"/>
  <c r="Q47" i="122"/>
  <c r="Q48" i="122"/>
  <c r="Q49" i="122"/>
  <c r="Q50" i="122"/>
  <c r="Q51" i="122"/>
  <c r="Q52" i="122"/>
  <c r="Q53" i="122"/>
  <c r="Q54" i="122"/>
  <c r="Q55" i="122"/>
  <c r="Q56" i="122"/>
  <c r="Q57" i="122"/>
  <c r="Q58" i="122"/>
  <c r="Q59" i="122"/>
  <c r="Q60" i="122"/>
  <c r="Q61" i="122"/>
  <c r="Q62" i="122"/>
  <c r="Q63" i="122"/>
  <c r="Q64" i="122"/>
  <c r="Q65" i="122"/>
  <c r="Q66" i="122"/>
  <c r="Q67" i="122"/>
  <c r="Q69" i="122"/>
  <c r="Q70" i="122"/>
  <c r="Q71" i="122"/>
  <c r="Q72" i="122"/>
  <c r="Q73" i="122"/>
  <c r="Q74" i="122"/>
  <c r="Q75" i="122"/>
  <c r="Q77" i="122"/>
  <c r="Q78" i="122"/>
  <c r="Q79" i="122"/>
  <c r="Q80" i="122"/>
  <c r="Q81" i="122"/>
  <c r="Q82" i="122"/>
  <c r="Q83" i="122"/>
  <c r="Q84" i="122"/>
  <c r="Q85" i="122"/>
  <c r="Q86" i="122"/>
  <c r="Q88" i="122"/>
  <c r="Q89" i="122"/>
  <c r="Q90" i="122"/>
  <c r="Q91" i="122"/>
  <c r="Q92" i="122"/>
  <c r="Q93" i="122"/>
  <c r="Q94" i="122"/>
  <c r="Q95" i="122"/>
  <c r="Q96" i="122"/>
  <c r="Q97" i="122"/>
  <c r="Q98" i="122"/>
  <c r="Q99" i="122"/>
  <c r="Q100" i="122"/>
  <c r="Q101" i="122"/>
  <c r="Q102" i="122"/>
  <c r="Q103" i="122"/>
  <c r="Q104" i="122"/>
  <c r="Q105" i="122"/>
  <c r="Q106" i="122"/>
  <c r="Q107" i="122"/>
  <c r="Q108" i="122"/>
  <c r="Q109" i="122"/>
  <c r="Q18" i="122"/>
  <c r="Q19" i="122"/>
  <c r="Q21" i="122"/>
  <c r="Q22" i="122"/>
  <c r="Q23" i="122"/>
  <c r="Q24" i="122"/>
  <c r="Q25" i="122"/>
  <c r="Q26" i="122"/>
  <c r="Q29" i="122"/>
  <c r="Q10" i="122"/>
  <c r="Q13" i="122"/>
  <c r="Q14" i="122"/>
  <c r="Q15" i="122"/>
  <c r="Q16" i="122"/>
  <c r="IK25" i="1" l="1"/>
  <c r="IJ20" i="1"/>
  <c r="AX35" i="98"/>
  <c r="AX39" i="98"/>
  <c r="AX43" i="98"/>
  <c r="AX47" i="98"/>
  <c r="AX51" i="98"/>
  <c r="AX55" i="98"/>
  <c r="AX59" i="98"/>
  <c r="AX63" i="98"/>
  <c r="AX67" i="98"/>
  <c r="AX71" i="98"/>
  <c r="AX75" i="98"/>
  <c r="AX79" i="98"/>
  <c r="AX83" i="98"/>
  <c r="AX87" i="98"/>
  <c r="AX91" i="98"/>
  <c r="AX34" i="98"/>
  <c r="AX41" i="98"/>
  <c r="AX49" i="98"/>
  <c r="AX57" i="98"/>
  <c r="AX65" i="98"/>
  <c r="AX73" i="98"/>
  <c r="AX77" i="98"/>
  <c r="AX85" i="98"/>
  <c r="AX93" i="98"/>
  <c r="AX42" i="98"/>
  <c r="AX50" i="98"/>
  <c r="AX58" i="98"/>
  <c r="AX66" i="98"/>
  <c r="AX74" i="98"/>
  <c r="AX82" i="98"/>
  <c r="AX90" i="98"/>
  <c r="AX36" i="98"/>
  <c r="AX40" i="98"/>
  <c r="AX44" i="98"/>
  <c r="AX48" i="98"/>
  <c r="AX52" i="98"/>
  <c r="AX56" i="98"/>
  <c r="AX60" i="98"/>
  <c r="AX64" i="98"/>
  <c r="AX68" i="98"/>
  <c r="AX72" i="98"/>
  <c r="AX76" i="98"/>
  <c r="AX80" i="98"/>
  <c r="AX84" i="98"/>
  <c r="AX88" i="98"/>
  <c r="AX92" i="98"/>
  <c r="AX37" i="98"/>
  <c r="AX45" i="98"/>
  <c r="AX53" i="98"/>
  <c r="AX61" i="98"/>
  <c r="AX69" i="98"/>
  <c r="AX81" i="98"/>
  <c r="AX89" i="98"/>
  <c r="AX38" i="98"/>
  <c r="AX46" i="98"/>
  <c r="AX54" i="98"/>
  <c r="AX62" i="98"/>
  <c r="AX70" i="98"/>
  <c r="AX78" i="98"/>
  <c r="AX86" i="98"/>
  <c r="AX94" i="98"/>
  <c r="EJ35" i="98"/>
  <c r="BA35" i="98" s="1"/>
  <c r="EJ34" i="98"/>
  <c r="BA34" i="98" s="1"/>
  <c r="EJ39" i="98"/>
  <c r="BA39" i="98" s="1"/>
  <c r="EJ43" i="98"/>
  <c r="BA43" i="98" s="1"/>
  <c r="EJ47" i="98"/>
  <c r="BA47" i="98" s="1"/>
  <c r="EJ51" i="98"/>
  <c r="BA51" i="98" s="1"/>
  <c r="EJ55" i="98"/>
  <c r="BA55" i="98" s="1"/>
  <c r="EJ59" i="98"/>
  <c r="BA59" i="98" s="1"/>
  <c r="EJ63" i="98"/>
  <c r="BA63" i="98" s="1"/>
  <c r="EJ67" i="98"/>
  <c r="BA67" i="98" s="1"/>
  <c r="EJ71" i="98"/>
  <c r="BA71" i="98" s="1"/>
  <c r="EJ75" i="98"/>
  <c r="BA75" i="98" s="1"/>
  <c r="EJ79" i="98"/>
  <c r="BA79" i="98" s="1"/>
  <c r="EJ83" i="98"/>
  <c r="BA83" i="98" s="1"/>
  <c r="EJ87" i="98"/>
  <c r="BA87" i="98" s="1"/>
  <c r="EJ91" i="98"/>
  <c r="BA91" i="98" s="1"/>
  <c r="EJ36" i="98"/>
  <c r="BA36" i="98" s="1"/>
  <c r="EJ40" i="98"/>
  <c r="BA40" i="98" s="1"/>
  <c r="EJ48" i="98"/>
  <c r="BA48" i="98" s="1"/>
  <c r="EJ52" i="98"/>
  <c r="BA52" i="98" s="1"/>
  <c r="EJ60" i="98"/>
  <c r="BA60" i="98" s="1"/>
  <c r="EJ64" i="98"/>
  <c r="BA64" i="98" s="1"/>
  <c r="EJ72" i="98"/>
  <c r="BA72" i="98" s="1"/>
  <c r="EJ76" i="98"/>
  <c r="BA76" i="98" s="1"/>
  <c r="EJ84" i="98"/>
  <c r="BA84" i="98" s="1"/>
  <c r="EJ92" i="98"/>
  <c r="BA92" i="98" s="1"/>
  <c r="EJ37" i="98"/>
  <c r="BA37" i="98" s="1"/>
  <c r="EJ45" i="98"/>
  <c r="BA45" i="98" s="1"/>
  <c r="EJ49" i="98"/>
  <c r="BA49" i="98" s="1"/>
  <c r="EJ57" i="98"/>
  <c r="BA57" i="98" s="1"/>
  <c r="EJ61" i="98"/>
  <c r="BA61" i="98" s="1"/>
  <c r="EJ69" i="98"/>
  <c r="BA69" i="98" s="1"/>
  <c r="EJ73" i="98"/>
  <c r="BA73" i="98" s="1"/>
  <c r="EJ81" i="98"/>
  <c r="BA81" i="98" s="1"/>
  <c r="EJ85" i="98"/>
  <c r="BA85" i="98" s="1"/>
  <c r="EJ93" i="98"/>
  <c r="BA93" i="98" s="1"/>
  <c r="EJ38" i="98"/>
  <c r="BA38" i="98" s="1"/>
  <c r="EJ42" i="98"/>
  <c r="BA42" i="98" s="1"/>
  <c r="EJ46" i="98"/>
  <c r="BA46" i="98" s="1"/>
  <c r="EJ50" i="98"/>
  <c r="BA50" i="98" s="1"/>
  <c r="EJ54" i="98"/>
  <c r="BA54" i="98" s="1"/>
  <c r="EJ58" i="98"/>
  <c r="BA58" i="98" s="1"/>
  <c r="EJ62" i="98"/>
  <c r="BA62" i="98" s="1"/>
  <c r="EJ66" i="98"/>
  <c r="BA66" i="98" s="1"/>
  <c r="EJ70" i="98"/>
  <c r="BA70" i="98" s="1"/>
  <c r="EJ74" i="98"/>
  <c r="BA74" i="98" s="1"/>
  <c r="EJ78" i="98"/>
  <c r="BA78" i="98" s="1"/>
  <c r="EJ82" i="98"/>
  <c r="BA82" i="98" s="1"/>
  <c r="EJ86" i="98"/>
  <c r="BA86" i="98" s="1"/>
  <c r="EJ90" i="98"/>
  <c r="BA90" i="98" s="1"/>
  <c r="EJ94" i="98"/>
  <c r="BA94" i="98" s="1"/>
  <c r="EJ44" i="98"/>
  <c r="BA44" i="98" s="1"/>
  <c r="EJ56" i="98"/>
  <c r="BA56" i="98" s="1"/>
  <c r="EJ68" i="98"/>
  <c r="BA68" i="98" s="1"/>
  <c r="EJ80" i="98"/>
  <c r="BA80" i="98" s="1"/>
  <c r="EJ88" i="98"/>
  <c r="BA88" i="98" s="1"/>
  <c r="EJ41" i="98"/>
  <c r="BA41" i="98" s="1"/>
  <c r="EJ53" i="98"/>
  <c r="BA53" i="98" s="1"/>
  <c r="EJ65" i="98"/>
  <c r="BA65" i="98" s="1"/>
  <c r="EJ77" i="98"/>
  <c r="BA77" i="98" s="1"/>
  <c r="EJ89" i="98"/>
  <c r="BA89" i="98" s="1"/>
  <c r="IL25" i="1" l="1"/>
  <c r="IK20" i="1"/>
  <c r="I81" i="97"/>
  <c r="IM25" i="1" l="1"/>
  <c r="IL20" i="1"/>
  <c r="IN25" i="1" l="1"/>
  <c r="IM20" i="1"/>
  <c r="ED53" i="93"/>
  <c r="IO25" i="1" l="1"/>
  <c r="IN20" i="1"/>
  <c r="ED39" i="98"/>
  <c r="BN39" i="98" l="1"/>
  <c r="BO39" i="98"/>
  <c r="IP25" i="1"/>
  <c r="IO20" i="1"/>
  <c r="AR39" i="98"/>
  <c r="AP39" i="98"/>
  <c r="AO39" i="98"/>
  <c r="AS39" i="98"/>
  <c r="BC39" i="98"/>
  <c r="AQ39" i="98"/>
  <c r="BD39" i="98" l="1"/>
  <c r="BU39" i="98"/>
  <c r="IQ25" i="1"/>
  <c r="IP20" i="1"/>
  <c r="J177" i="71"/>
  <c r="IR25" i="1" l="1"/>
  <c r="IQ20" i="1"/>
  <c r="IS25" i="1" l="1"/>
  <c r="IR20" i="1"/>
  <c r="Q5" i="121"/>
  <c r="N5" i="121"/>
  <c r="K5" i="121"/>
  <c r="H5" i="121"/>
  <c r="E5" i="121"/>
  <c r="B5" i="121"/>
  <c r="Q3" i="121"/>
  <c r="N3" i="121"/>
  <c r="K3" i="121"/>
  <c r="H3" i="121"/>
  <c r="E3" i="121"/>
  <c r="B3" i="121"/>
  <c r="R4" i="121"/>
  <c r="O4" i="121"/>
  <c r="L4" i="121"/>
  <c r="I4" i="121"/>
  <c r="F4" i="121"/>
  <c r="C4" i="121"/>
  <c r="IT25" i="1" l="1"/>
  <c r="IS20" i="1"/>
  <c r="B2" i="121"/>
  <c r="CL46" i="130"/>
  <c r="CL130" i="130" s="1"/>
  <c r="M130" i="130" s="1"/>
  <c r="M67" i="130" s="1"/>
  <c r="CM46" i="130"/>
  <c r="CM112" i="130" s="1"/>
  <c r="CN46" i="130"/>
  <c r="CE112" i="130" s="1"/>
  <c r="CO46" i="130"/>
  <c r="CF130" i="130" s="1"/>
  <c r="CP46" i="130"/>
  <c r="CP130" i="130" s="1"/>
  <c r="BA130" i="130" s="1"/>
  <c r="BA67" i="130" s="1"/>
  <c r="CQ46" i="130"/>
  <c r="CQ112" i="130" s="1"/>
  <c r="CK46" i="130"/>
  <c r="CB130" i="130" s="1"/>
  <c r="DG130" i="130"/>
  <c r="IU25" i="1" l="1"/>
  <c r="IT20" i="1"/>
  <c r="F2" i="121"/>
  <c r="E1" i="121"/>
  <c r="D2" i="121"/>
  <c r="FI69" i="93" s="1"/>
  <c r="JP69" i="93" s="1"/>
  <c r="CC46" i="130"/>
  <c r="CG66" i="130"/>
  <c r="CG69" i="130" s="1"/>
  <c r="CG71" i="130" s="1"/>
  <c r="CC130" i="130"/>
  <c r="CM130" i="130"/>
  <c r="W130" i="130" s="1"/>
  <c r="W67" i="130" s="1"/>
  <c r="CG46" i="130"/>
  <c r="CQ130" i="130"/>
  <c r="BK130" i="130" s="1"/>
  <c r="BK67" i="130" s="1"/>
  <c r="CN112" i="130"/>
  <c r="CH66" i="130"/>
  <c r="CH69" i="130" s="1"/>
  <c r="CH71" i="130" s="1"/>
  <c r="CB112" i="130"/>
  <c r="CD130" i="130"/>
  <c r="CC66" i="130"/>
  <c r="CM66" i="130"/>
  <c r="CC112" i="130"/>
  <c r="CG130" i="130"/>
  <c r="CB46" i="130"/>
  <c r="CD66" i="130"/>
  <c r="CD69" i="130" s="1"/>
  <c r="CQ66" i="130"/>
  <c r="CQ69" i="130" s="1"/>
  <c r="CG112" i="130"/>
  <c r="CH130" i="130"/>
  <c r="CF112" i="130"/>
  <c r="CN66" i="130"/>
  <c r="CK112" i="130"/>
  <c r="CO112" i="130"/>
  <c r="CN130" i="130"/>
  <c r="AG130" i="130" s="1"/>
  <c r="AG67" i="130" s="1"/>
  <c r="CD46" i="130"/>
  <c r="CH46" i="130"/>
  <c r="CE66" i="130"/>
  <c r="CE69" i="130" s="1"/>
  <c r="CK66" i="130"/>
  <c r="CO66" i="130"/>
  <c r="CL112" i="130"/>
  <c r="CP112" i="130"/>
  <c r="CD112" i="130"/>
  <c r="CH112" i="130"/>
  <c r="CE130" i="130"/>
  <c r="CK130" i="130"/>
  <c r="C130" i="130" s="1"/>
  <c r="C67" i="130" s="1"/>
  <c r="CO130" i="130"/>
  <c r="AQ130" i="130" s="1"/>
  <c r="AQ67" i="130" s="1"/>
  <c r="CF46" i="130"/>
  <c r="CE46" i="130"/>
  <c r="CB66" i="130"/>
  <c r="CB69" i="130" s="1"/>
  <c r="CF66" i="130"/>
  <c r="CF69" i="130" s="1"/>
  <c r="CF71" i="130" s="1"/>
  <c r="CL66" i="130"/>
  <c r="CP66" i="130"/>
  <c r="IV25" i="1" l="1"/>
  <c r="IU20" i="1"/>
  <c r="CO69" i="130"/>
  <c r="CP69" i="130"/>
  <c r="AY120" i="97"/>
  <c r="AZ121" i="97"/>
  <c r="AX120" i="97"/>
  <c r="AY121" i="97"/>
  <c r="AY122" i="97"/>
  <c r="AX122" i="97"/>
  <c r="AZ122" i="97"/>
  <c r="AX121" i="97"/>
  <c r="AZ120" i="97"/>
  <c r="FI85" i="93"/>
  <c r="JP85" i="93" s="1"/>
  <c r="FI84" i="93"/>
  <c r="JP84" i="93" s="1"/>
  <c r="FI101" i="93"/>
  <c r="FI68" i="93"/>
  <c r="JP68" i="93" s="1"/>
  <c r="FI65" i="93"/>
  <c r="JP65" i="93" s="1"/>
  <c r="FI87" i="93"/>
  <c r="JP87" i="93" s="1"/>
  <c r="FI100" i="93"/>
  <c r="FI103" i="93"/>
  <c r="FI99" i="93"/>
  <c r="FI83" i="93"/>
  <c r="JP83" i="93" s="1"/>
  <c r="FI67" i="93"/>
  <c r="JP67" i="93" s="1"/>
  <c r="FI102" i="93"/>
  <c r="FI86" i="93"/>
  <c r="JP86" i="93" s="1"/>
  <c r="FI70" i="93"/>
  <c r="JP70" i="93" s="1"/>
  <c r="FI109" i="93"/>
  <c r="FI93" i="93"/>
  <c r="JP93" i="93" s="1"/>
  <c r="FI77" i="93"/>
  <c r="JP77" i="93" s="1"/>
  <c r="FI108" i="93"/>
  <c r="FI92" i="93"/>
  <c r="JP92" i="93" s="1"/>
  <c r="FI76" i="93"/>
  <c r="JP76" i="93" s="1"/>
  <c r="FI111" i="93"/>
  <c r="FI95" i="93"/>
  <c r="JP95" i="93" s="1"/>
  <c r="FI79" i="93"/>
  <c r="JP79" i="93" s="1"/>
  <c r="FI64" i="93"/>
  <c r="JP64" i="93" s="1"/>
  <c r="FI98" i="93"/>
  <c r="FI82" i="93"/>
  <c r="JP82" i="93" s="1"/>
  <c r="FI66" i="93"/>
  <c r="JP66" i="93" s="1"/>
  <c r="FI71" i="93"/>
  <c r="JP71" i="93" s="1"/>
  <c r="FI106" i="93"/>
  <c r="FI90" i="93"/>
  <c r="JP90" i="93" s="1"/>
  <c r="FI74" i="93"/>
  <c r="JP74" i="93" s="1"/>
  <c r="FI113" i="93"/>
  <c r="FI97" i="93"/>
  <c r="JP97" i="93" s="1"/>
  <c r="FI81" i="93"/>
  <c r="JP81" i="93" s="1"/>
  <c r="FI112" i="93"/>
  <c r="FI96" i="93"/>
  <c r="JP96" i="93" s="1"/>
  <c r="FI80" i="93"/>
  <c r="JP80" i="93" s="1"/>
  <c r="FI105" i="93"/>
  <c r="FI89" i="93"/>
  <c r="JP89" i="93" s="1"/>
  <c r="FI73" i="93"/>
  <c r="JP73" i="93" s="1"/>
  <c r="FI104" i="93"/>
  <c r="FI88" i="93"/>
  <c r="JP88" i="93" s="1"/>
  <c r="FI72" i="93"/>
  <c r="JP72" i="93" s="1"/>
  <c r="FI107" i="93"/>
  <c r="FI91" i="93"/>
  <c r="JP91" i="93" s="1"/>
  <c r="FI75" i="93"/>
  <c r="JP75" i="93" s="1"/>
  <c r="FI110" i="93"/>
  <c r="FI94" i="93"/>
  <c r="JP94" i="93" s="1"/>
  <c r="FI78" i="93"/>
  <c r="JP78" i="93" s="1"/>
  <c r="AO121" i="97"/>
  <c r="AO122" i="97"/>
  <c r="AO120" i="97"/>
  <c r="IW25" i="1" l="1"/>
  <c r="IV20" i="1"/>
  <c r="IX25" i="1" l="1"/>
  <c r="IW20" i="1"/>
  <c r="E143" i="128"/>
  <c r="E63" i="128"/>
  <c r="IY25" i="1" l="1"/>
  <c r="IX20" i="1"/>
  <c r="ES52" i="98"/>
  <c r="EP52" i="98"/>
  <c r="EM52" i="98"/>
  <c r="AV52" i="98"/>
  <c r="DX52" i="98" s="1"/>
  <c r="DW52" i="98" s="1"/>
  <c r="EG52" i="98"/>
  <c r="ED52" i="98"/>
  <c r="EX52" i="98"/>
  <c r="BL52" i="98"/>
  <c r="GA333" i="1" a="1"/>
  <c r="GA333" i="1" s="1"/>
  <c r="FY333" i="1" s="1"/>
  <c r="FR333" i="1"/>
  <c r="FL333" i="1"/>
  <c r="AG333" i="1"/>
  <c r="AF333" i="1"/>
  <c r="AE333" i="1"/>
  <c r="CO333" i="1" s="1"/>
  <c r="BT52" i="98" l="1"/>
  <c r="CM52" i="98"/>
  <c r="CK52" i="98"/>
  <c r="CL52" i="98"/>
  <c r="CN52" i="98"/>
  <c r="CJ52" i="98"/>
  <c r="AT52" i="98"/>
  <c r="DP52" i="98" s="1"/>
  <c r="DO52" i="98" s="1"/>
  <c r="J25" i="115" s="1"/>
  <c r="BN52" i="98"/>
  <c r="BO52" i="98"/>
  <c r="CP333" i="1"/>
  <c r="CT333" i="1"/>
  <c r="CW333" i="1"/>
  <c r="CX333" i="1" s="1"/>
  <c r="IZ25" i="1"/>
  <c r="IY20" i="1"/>
  <c r="AS52" i="98"/>
  <c r="DM52" i="98" s="1"/>
  <c r="DL52" i="98" s="1"/>
  <c r="I25" i="115" s="1"/>
  <c r="AR52" i="98"/>
  <c r="DJ52" i="98" s="1"/>
  <c r="DI52" i="98" s="1"/>
  <c r="G25" i="115" s="1"/>
  <c r="AP52" i="98"/>
  <c r="DD52" i="98" s="1"/>
  <c r="DC52" i="98" s="1"/>
  <c r="K25" i="115" s="1"/>
  <c r="AO52" i="98"/>
  <c r="DA52" i="98" s="1"/>
  <c r="CZ52" i="98" s="1"/>
  <c r="H25" i="115" s="1"/>
  <c r="BC52" i="98"/>
  <c r="AQ52" i="98"/>
  <c r="DG52" i="98" s="1"/>
  <c r="DF52" i="98" s="1"/>
  <c r="F25" i="115" s="1"/>
  <c r="CU333" i="1"/>
  <c r="BG52" i="98"/>
  <c r="CY333" i="1" l="1"/>
  <c r="BD52" i="98"/>
  <c r="BU52" i="98"/>
  <c r="JA25" i="1"/>
  <c r="IZ20" i="1"/>
  <c r="FU62" i="93"/>
  <c r="FV62" i="93" s="1"/>
  <c r="FW62" i="93" s="1"/>
  <c r="FX62" i="93" s="1"/>
  <c r="FY62" i="93" s="1"/>
  <c r="FZ62" i="93" s="1"/>
  <c r="GA62" i="93" s="1"/>
  <c r="GB62" i="93" s="1"/>
  <c r="GC62" i="93" s="1"/>
  <c r="JB25" i="1" l="1"/>
  <c r="JA20" i="1"/>
  <c r="HD90" i="93"/>
  <c r="HD91" i="93"/>
  <c r="HD94" i="93"/>
  <c r="HD95" i="93"/>
  <c r="HD96" i="93"/>
  <c r="HD97" i="93"/>
  <c r="HD98" i="93"/>
  <c r="HD99" i="93"/>
  <c r="HD100" i="93"/>
  <c r="HD101" i="93"/>
  <c r="HD102" i="93"/>
  <c r="HD103" i="93"/>
  <c r="HD104" i="93"/>
  <c r="HD105" i="93"/>
  <c r="HD106" i="93"/>
  <c r="HD107" i="93"/>
  <c r="HD108" i="93"/>
  <c r="HD109" i="93"/>
  <c r="HD110" i="93"/>
  <c r="HD111" i="93"/>
  <c r="HD112" i="93"/>
  <c r="HD113" i="93"/>
  <c r="HD65" i="93"/>
  <c r="HD66" i="93"/>
  <c r="HD67" i="93"/>
  <c r="HD70" i="93"/>
  <c r="HD71" i="93"/>
  <c r="HD72" i="93"/>
  <c r="HD73" i="93"/>
  <c r="HD74" i="93"/>
  <c r="HD75" i="93"/>
  <c r="HD76" i="93"/>
  <c r="HD77" i="93"/>
  <c r="HD78" i="93"/>
  <c r="HD83" i="93"/>
  <c r="HD84" i="93"/>
  <c r="HD85" i="93"/>
  <c r="HD88" i="93"/>
  <c r="HD89" i="93"/>
  <c r="HD64" i="93"/>
  <c r="HD69" i="93"/>
  <c r="JC25" i="1" l="1"/>
  <c r="JB20" i="1"/>
  <c r="HD68" i="93"/>
  <c r="HD82" i="93"/>
  <c r="HD80" i="93"/>
  <c r="HD93" i="93"/>
  <c r="HD87" i="93"/>
  <c r="HD79" i="93"/>
  <c r="HD92" i="93"/>
  <c r="HD86" i="93"/>
  <c r="HD81" i="93"/>
  <c r="JD25" i="1" l="1"/>
  <c r="JC20" i="1"/>
  <c r="JE25" i="1" l="1"/>
  <c r="JD20" i="1"/>
  <c r="JF25" i="1" l="1"/>
  <c r="JE20" i="1"/>
  <c r="JG25" i="1" l="1"/>
  <c r="JF20" i="1"/>
  <c r="JH25" i="1" l="1"/>
  <c r="JG20" i="1"/>
  <c r="E55" i="97"/>
  <c r="K106" i="97"/>
  <c r="K107" i="97"/>
  <c r="Q106" i="97"/>
  <c r="Q107" i="97"/>
  <c r="JI25" i="1" l="1"/>
  <c r="JH20" i="1"/>
  <c r="F7" i="122"/>
  <c r="JJ25" i="1" l="1"/>
  <c r="JI20" i="1"/>
  <c r="JK25" i="1" l="1"/>
  <c r="JJ20" i="1"/>
  <c r="GT68" i="93"/>
  <c r="GM68" i="93"/>
  <c r="E251" i="128"/>
  <c r="E252" i="128"/>
  <c r="E253" i="128"/>
  <c r="E254" i="128"/>
  <c r="E255" i="128"/>
  <c r="E256" i="128"/>
  <c r="E257" i="128"/>
  <c r="E258" i="128"/>
  <c r="E259" i="128"/>
  <c r="E260" i="128"/>
  <c r="E261" i="128"/>
  <c r="E262" i="128"/>
  <c r="E263" i="128"/>
  <c r="E264" i="128"/>
  <c r="E265" i="128"/>
  <c r="E266" i="128"/>
  <c r="E267" i="128"/>
  <c r="E268" i="128"/>
  <c r="E250" i="128"/>
  <c r="E246" i="128"/>
  <c r="E247" i="128"/>
  <c r="E248" i="128"/>
  <c r="E249" i="128"/>
  <c r="E245" i="128"/>
  <c r="E206" i="128"/>
  <c r="E207" i="128"/>
  <c r="E208" i="128"/>
  <c r="E209" i="128"/>
  <c r="E210" i="128"/>
  <c r="E211" i="128"/>
  <c r="E212" i="128"/>
  <c r="E213" i="128"/>
  <c r="E214" i="128"/>
  <c r="E215" i="128"/>
  <c r="E216" i="128"/>
  <c r="E217" i="128"/>
  <c r="E218" i="128"/>
  <c r="E219" i="128"/>
  <c r="E220" i="128"/>
  <c r="E221" i="128"/>
  <c r="E222" i="128"/>
  <c r="E223" i="128"/>
  <c r="E205" i="128"/>
  <c r="E200" i="128"/>
  <c r="E201" i="128"/>
  <c r="E202" i="128"/>
  <c r="E203" i="128"/>
  <c r="E204" i="128"/>
  <c r="E156" i="128"/>
  <c r="E157" i="128"/>
  <c r="E158" i="128"/>
  <c r="E159" i="128"/>
  <c r="E155" i="128"/>
  <c r="E161" i="128"/>
  <c r="E162" i="128"/>
  <c r="E163" i="128"/>
  <c r="E164" i="128"/>
  <c r="E165" i="128"/>
  <c r="E166" i="128"/>
  <c r="E167" i="128"/>
  <c r="E168" i="128"/>
  <c r="E169" i="128"/>
  <c r="E170" i="128"/>
  <c r="E171" i="128"/>
  <c r="E172" i="128"/>
  <c r="E173" i="128"/>
  <c r="E174" i="128"/>
  <c r="E175" i="128"/>
  <c r="E176" i="128"/>
  <c r="E177" i="128"/>
  <c r="E178" i="128"/>
  <c r="E160" i="128"/>
  <c r="JL25" i="1" l="1"/>
  <c r="JK20" i="1"/>
  <c r="GT76" i="93"/>
  <c r="GM76" i="93"/>
  <c r="GT75" i="93"/>
  <c r="GM75" i="93"/>
  <c r="GT91" i="93"/>
  <c r="GM91" i="93"/>
  <c r="GT113" i="93"/>
  <c r="GM113" i="93"/>
  <c r="GT106" i="93"/>
  <c r="GM106" i="93"/>
  <c r="GT102" i="93"/>
  <c r="GM102" i="93"/>
  <c r="GT96" i="93"/>
  <c r="GM96" i="93"/>
  <c r="GT79" i="93"/>
  <c r="GM79" i="93"/>
  <c r="GT111" i="93"/>
  <c r="GM111" i="93"/>
  <c r="GT100" i="93"/>
  <c r="GM100" i="93"/>
  <c r="GT67" i="93"/>
  <c r="GM67" i="93"/>
  <c r="GT83" i="93"/>
  <c r="GM83" i="93"/>
  <c r="GT99" i="93"/>
  <c r="GM99" i="93"/>
  <c r="GT65" i="93"/>
  <c r="GM65" i="93"/>
  <c r="GT82" i="93"/>
  <c r="GM82" i="93"/>
  <c r="GT85" i="93"/>
  <c r="GM85" i="93"/>
  <c r="GT86" i="93"/>
  <c r="GM86" i="93"/>
  <c r="GT74" i="93"/>
  <c r="GM74" i="93"/>
  <c r="GT72" i="93"/>
  <c r="GM72" i="93"/>
  <c r="GT88" i="93"/>
  <c r="GM88" i="93"/>
  <c r="GT104" i="93"/>
  <c r="GM104" i="93"/>
  <c r="GT71" i="93"/>
  <c r="GM71" i="93"/>
  <c r="GT87" i="93"/>
  <c r="GM87" i="93"/>
  <c r="GT103" i="93"/>
  <c r="GM103" i="93"/>
  <c r="GT73" i="93"/>
  <c r="GM73" i="93"/>
  <c r="GT105" i="93"/>
  <c r="GM105" i="93"/>
  <c r="GT90" i="93"/>
  <c r="GM90" i="93"/>
  <c r="GT101" i="93"/>
  <c r="GM101" i="93"/>
  <c r="GT94" i="93"/>
  <c r="GM94" i="93"/>
  <c r="GT98" i="93"/>
  <c r="GM98" i="93"/>
  <c r="GT109" i="93"/>
  <c r="GM109" i="93"/>
  <c r="GT108" i="93"/>
  <c r="GM108" i="93"/>
  <c r="GT107" i="93"/>
  <c r="GM107" i="93"/>
  <c r="GT64" i="93"/>
  <c r="GM64" i="93"/>
  <c r="GT80" i="93"/>
  <c r="GM80" i="93"/>
  <c r="GT112" i="93"/>
  <c r="GM112" i="93"/>
  <c r="GT95" i="93"/>
  <c r="GM95" i="93"/>
  <c r="GT89" i="93"/>
  <c r="GM89" i="93"/>
  <c r="GT66" i="93"/>
  <c r="GM66" i="93"/>
  <c r="GT77" i="93"/>
  <c r="GM77" i="93"/>
  <c r="GT78" i="93"/>
  <c r="GM78" i="93"/>
  <c r="GT110" i="93"/>
  <c r="GM110" i="93"/>
  <c r="GT69" i="93"/>
  <c r="GM69" i="93"/>
  <c r="GT92" i="93"/>
  <c r="GM92" i="93"/>
  <c r="GT81" i="93"/>
  <c r="GM81" i="93"/>
  <c r="GT70" i="93"/>
  <c r="GM70" i="93"/>
  <c r="GT84" i="93"/>
  <c r="GM84" i="93"/>
  <c r="GT97" i="93"/>
  <c r="GM97" i="93"/>
  <c r="GT93" i="93"/>
  <c r="GM93" i="93"/>
  <c r="GQ62" i="93"/>
  <c r="H2" i="125" s="1"/>
  <c r="ES35" i="98"/>
  <c r="ES36" i="98"/>
  <c r="ES37" i="98"/>
  <c r="ES38" i="98"/>
  <c r="ES39" i="98"/>
  <c r="ES40" i="98"/>
  <c r="ES41" i="98"/>
  <c r="ES42" i="98"/>
  <c r="ES43" i="98"/>
  <c r="ES44" i="98"/>
  <c r="ES46" i="98"/>
  <c r="ES47" i="98"/>
  <c r="ES48" i="98"/>
  <c r="ES49" i="98"/>
  <c r="ES50" i="98"/>
  <c r="ES53" i="98"/>
  <c r="ES54" i="98"/>
  <c r="ES55" i="98"/>
  <c r="ES56" i="98"/>
  <c r="ES57" i="98"/>
  <c r="ES58" i="98"/>
  <c r="ES59" i="98"/>
  <c r="ES60" i="98"/>
  <c r="ES61" i="98"/>
  <c r="ES62" i="98"/>
  <c r="ES63" i="98"/>
  <c r="ES64" i="98"/>
  <c r="ES65" i="98"/>
  <c r="ES66" i="98"/>
  <c r="ES67" i="98"/>
  <c r="ES68" i="98"/>
  <c r="ES69" i="98"/>
  <c r="ES70" i="98"/>
  <c r="ES71" i="98"/>
  <c r="ES72" i="98"/>
  <c r="ES73" i="98"/>
  <c r="ES74" i="98"/>
  <c r="ES75" i="98"/>
  <c r="ES76" i="98"/>
  <c r="ES77" i="98"/>
  <c r="ES78" i="98"/>
  <c r="ES79" i="98"/>
  <c r="ES80" i="98"/>
  <c r="ES81" i="98"/>
  <c r="ES82" i="98"/>
  <c r="ES83" i="98"/>
  <c r="ES84" i="98"/>
  <c r="ES85" i="98"/>
  <c r="ES86" i="98"/>
  <c r="ES87" i="98"/>
  <c r="ES88" i="98"/>
  <c r="ES89" i="98"/>
  <c r="ES90" i="98"/>
  <c r="ES91" i="98"/>
  <c r="ES92" i="98"/>
  <c r="ES93" i="98"/>
  <c r="ES94" i="98"/>
  <c r="ES34" i="98"/>
  <c r="EP35" i="98"/>
  <c r="EP36" i="98"/>
  <c r="EP37" i="98"/>
  <c r="EP38" i="98"/>
  <c r="EP39" i="98"/>
  <c r="EP40" i="98"/>
  <c r="EP41" i="98"/>
  <c r="EP42" i="98"/>
  <c r="EP43" i="98"/>
  <c r="EP44" i="98"/>
  <c r="EP45" i="98"/>
  <c r="EP46" i="98"/>
  <c r="EP47" i="98"/>
  <c r="EP48" i="98"/>
  <c r="EP49" i="98"/>
  <c r="EP50" i="98"/>
  <c r="EP51" i="98"/>
  <c r="EP53" i="98"/>
  <c r="EP54" i="98"/>
  <c r="EP55" i="98"/>
  <c r="EP56" i="98"/>
  <c r="EP57" i="98"/>
  <c r="EP58" i="98"/>
  <c r="EP59" i="98"/>
  <c r="EP60" i="98"/>
  <c r="EP61" i="98"/>
  <c r="EP62" i="98"/>
  <c r="EP63" i="98"/>
  <c r="EP64" i="98"/>
  <c r="EP65" i="98"/>
  <c r="EP66" i="98"/>
  <c r="EP67" i="98"/>
  <c r="EP68" i="98"/>
  <c r="EP69" i="98"/>
  <c r="EP70" i="98"/>
  <c r="EP71" i="98"/>
  <c r="EP72" i="98"/>
  <c r="EP73" i="98"/>
  <c r="EP74" i="98"/>
  <c r="EP75" i="98"/>
  <c r="EP76" i="98"/>
  <c r="EP77" i="98"/>
  <c r="EP78" i="98"/>
  <c r="EP79" i="98"/>
  <c r="EP80" i="98"/>
  <c r="EP81" i="98"/>
  <c r="EP82" i="98"/>
  <c r="EP83" i="98"/>
  <c r="EP84" i="98"/>
  <c r="EP85" i="98"/>
  <c r="EP86" i="98"/>
  <c r="EP87" i="98"/>
  <c r="EP88" i="98"/>
  <c r="EP89" i="98"/>
  <c r="EP90" i="98"/>
  <c r="EP91" i="98"/>
  <c r="EP92" i="98"/>
  <c r="EP93" i="98"/>
  <c r="EP94" i="98"/>
  <c r="EP34" i="98"/>
  <c r="EM36" i="98"/>
  <c r="EM37" i="98"/>
  <c r="EM38" i="98"/>
  <c r="EM39" i="98"/>
  <c r="EM41" i="98"/>
  <c r="EM42" i="98"/>
  <c r="EM44" i="98"/>
  <c r="EM46" i="98"/>
  <c r="EM47" i="98"/>
  <c r="EM48" i="98"/>
  <c r="EM49" i="98"/>
  <c r="EM50" i="98"/>
  <c r="EM53" i="98"/>
  <c r="EM54" i="98"/>
  <c r="EM55" i="98"/>
  <c r="EM56" i="98"/>
  <c r="EM57" i="98"/>
  <c r="EM58" i="98"/>
  <c r="EM59" i="98"/>
  <c r="EM60" i="98"/>
  <c r="EM61" i="98"/>
  <c r="EM62" i="98"/>
  <c r="EM63" i="98"/>
  <c r="EM64" i="98"/>
  <c r="EM65" i="98"/>
  <c r="EM66" i="98"/>
  <c r="EM67" i="98"/>
  <c r="EM68" i="98"/>
  <c r="EM69" i="98"/>
  <c r="EM70" i="98"/>
  <c r="EM71" i="98"/>
  <c r="EM72" i="98"/>
  <c r="EM73" i="98"/>
  <c r="EM74" i="98"/>
  <c r="EM75" i="98"/>
  <c r="EM76" i="98"/>
  <c r="EM77" i="98"/>
  <c r="EM78" i="98"/>
  <c r="EM79" i="98"/>
  <c r="EM80" i="98"/>
  <c r="EM81" i="98"/>
  <c r="EM82" i="98"/>
  <c r="EM83" i="98"/>
  <c r="EM84" i="98"/>
  <c r="EM85" i="98"/>
  <c r="EM86" i="98"/>
  <c r="EM87" i="98"/>
  <c r="EM88" i="98"/>
  <c r="EM89" i="98"/>
  <c r="EM90" i="98"/>
  <c r="EM91" i="98"/>
  <c r="EM92" i="98"/>
  <c r="EM93" i="98"/>
  <c r="EM94" i="98"/>
  <c r="BT34" i="98"/>
  <c r="BT94" i="98" l="1"/>
  <c r="CK94" i="98"/>
  <c r="CM94" i="98"/>
  <c r="CJ94" i="98"/>
  <c r="CN94" i="98"/>
  <c r="CL94" i="98"/>
  <c r="BT82" i="98"/>
  <c r="CK82" i="98"/>
  <c r="CM82" i="98"/>
  <c r="CN82" i="98"/>
  <c r="CJ82" i="98"/>
  <c r="CL82" i="98"/>
  <c r="BT62" i="98"/>
  <c r="CK62" i="98"/>
  <c r="CM62" i="98"/>
  <c r="CJ62" i="98"/>
  <c r="CL62" i="98"/>
  <c r="CN62" i="98"/>
  <c r="BT42" i="98"/>
  <c r="CK42" i="98"/>
  <c r="CM42" i="98"/>
  <c r="CN42" i="98"/>
  <c r="CL42" i="98"/>
  <c r="CJ42" i="98"/>
  <c r="BT91" i="98"/>
  <c r="CJ91" i="98"/>
  <c r="CN91" i="98"/>
  <c r="CL91" i="98"/>
  <c r="CM91" i="98"/>
  <c r="CK91" i="98"/>
  <c r="BT87" i="98"/>
  <c r="CJ87" i="98"/>
  <c r="CN87" i="98"/>
  <c r="CL87" i="98"/>
  <c r="CM87" i="98"/>
  <c r="CK87" i="98"/>
  <c r="BT83" i="98"/>
  <c r="CJ83" i="98"/>
  <c r="CN83" i="98"/>
  <c r="CL83" i="98"/>
  <c r="CK83" i="98"/>
  <c r="CM83" i="98"/>
  <c r="BT79" i="98"/>
  <c r="CJ79" i="98"/>
  <c r="CN79" i="98"/>
  <c r="CL79" i="98"/>
  <c r="CM79" i="98"/>
  <c r="CK79" i="98"/>
  <c r="BT75" i="98"/>
  <c r="CJ75" i="98"/>
  <c r="CN75" i="98"/>
  <c r="CL75" i="98"/>
  <c r="CM75" i="98"/>
  <c r="CK75" i="98"/>
  <c r="BT71" i="98"/>
  <c r="CJ71" i="98"/>
  <c r="CN71" i="98"/>
  <c r="CL71" i="98"/>
  <c r="CM71" i="98"/>
  <c r="CK71" i="98"/>
  <c r="BT67" i="98"/>
  <c r="CJ67" i="98"/>
  <c r="CN67" i="98"/>
  <c r="CL67" i="98"/>
  <c r="CK67" i="98"/>
  <c r="CM67" i="98"/>
  <c r="BT63" i="98"/>
  <c r="CJ63" i="98"/>
  <c r="CN63" i="98"/>
  <c r="CL63" i="98"/>
  <c r="CM63" i="98"/>
  <c r="CK63" i="98"/>
  <c r="BT59" i="98"/>
  <c r="CJ59" i="98"/>
  <c r="CN59" i="98"/>
  <c r="CL59" i="98"/>
  <c r="CK59" i="98"/>
  <c r="CM59" i="98"/>
  <c r="BT55" i="98"/>
  <c r="CJ55" i="98"/>
  <c r="CN55" i="98"/>
  <c r="CL55" i="98"/>
  <c r="CM55" i="98"/>
  <c r="CK55" i="98"/>
  <c r="BT49" i="98"/>
  <c r="CL49" i="98"/>
  <c r="CJ49" i="98"/>
  <c r="CN49" i="98"/>
  <c r="CK49" i="98"/>
  <c r="CM49" i="98"/>
  <c r="BT44" i="98"/>
  <c r="CM44" i="98"/>
  <c r="CK44" i="98"/>
  <c r="CL44" i="98"/>
  <c r="CJ44" i="98"/>
  <c r="CN44" i="98"/>
  <c r="BT38" i="98"/>
  <c r="CK38" i="98"/>
  <c r="CL38" i="98"/>
  <c r="CM38" i="98"/>
  <c r="CJ38" i="98"/>
  <c r="CN38" i="98"/>
  <c r="BT90" i="98"/>
  <c r="CK90" i="98"/>
  <c r="CM90" i="98"/>
  <c r="CN90" i="98"/>
  <c r="CJ90" i="98"/>
  <c r="CL90" i="98"/>
  <c r="BT78" i="98"/>
  <c r="CK78" i="98"/>
  <c r="CM78" i="98"/>
  <c r="CJ78" i="98"/>
  <c r="CN78" i="98"/>
  <c r="CL78" i="98"/>
  <c r="BT66" i="98"/>
  <c r="CK66" i="98"/>
  <c r="CM66" i="98"/>
  <c r="CN66" i="98"/>
  <c r="CJ66" i="98"/>
  <c r="CL66" i="98"/>
  <c r="BT48" i="98"/>
  <c r="CM48" i="98"/>
  <c r="CK48" i="98"/>
  <c r="CL48" i="98"/>
  <c r="CJ48" i="98"/>
  <c r="CN48" i="98"/>
  <c r="BT93" i="98"/>
  <c r="CL93" i="98"/>
  <c r="CJ93" i="98"/>
  <c r="CN93" i="98"/>
  <c r="CK93" i="98"/>
  <c r="CM93" i="98"/>
  <c r="BT85" i="98"/>
  <c r="CL85" i="98"/>
  <c r="CJ85" i="98"/>
  <c r="CN85" i="98"/>
  <c r="CK85" i="98"/>
  <c r="CM85" i="98"/>
  <c r="BT77" i="98"/>
  <c r="CL77" i="98"/>
  <c r="CJ77" i="98"/>
  <c r="CN77" i="98"/>
  <c r="CK77" i="98"/>
  <c r="CM77" i="98"/>
  <c r="BT73" i="98"/>
  <c r="CL73" i="98"/>
  <c r="CJ73" i="98"/>
  <c r="CN73" i="98"/>
  <c r="CK73" i="98"/>
  <c r="CM73" i="98"/>
  <c r="BT69" i="98"/>
  <c r="CL69" i="98"/>
  <c r="CJ69" i="98"/>
  <c r="CN69" i="98"/>
  <c r="CK69" i="98"/>
  <c r="CM69" i="98"/>
  <c r="BT65" i="98"/>
  <c r="CL65" i="98"/>
  <c r="CJ65" i="98"/>
  <c r="CN65" i="98"/>
  <c r="CK65" i="98"/>
  <c r="CM65" i="98"/>
  <c r="BT61" i="98"/>
  <c r="CL61" i="98"/>
  <c r="CJ61" i="98"/>
  <c r="CN61" i="98"/>
  <c r="CK61" i="98"/>
  <c r="CM61" i="98"/>
  <c r="BT57" i="98"/>
  <c r="CL57" i="98"/>
  <c r="CJ57" i="98"/>
  <c r="CN57" i="98"/>
  <c r="CK57" i="98"/>
  <c r="CM57" i="98"/>
  <c r="BT53" i="98"/>
  <c r="CL53" i="98"/>
  <c r="CJ53" i="98"/>
  <c r="CN53" i="98"/>
  <c r="CM53" i="98"/>
  <c r="CK53" i="98"/>
  <c r="BT47" i="98"/>
  <c r="CJ47" i="98"/>
  <c r="CN47" i="98"/>
  <c r="CL47" i="98"/>
  <c r="CM47" i="98"/>
  <c r="CK47" i="98"/>
  <c r="BT41" i="98"/>
  <c r="CL41" i="98"/>
  <c r="CJ41" i="98"/>
  <c r="CN41" i="98"/>
  <c r="CK41" i="98"/>
  <c r="CM41" i="98"/>
  <c r="BT36" i="98"/>
  <c r="CM36" i="98"/>
  <c r="CJ36" i="98"/>
  <c r="CN36" i="98"/>
  <c r="CK36" i="98"/>
  <c r="CL36" i="98"/>
  <c r="BT86" i="98"/>
  <c r="CK86" i="98"/>
  <c r="CM86" i="98"/>
  <c r="CJ86" i="98"/>
  <c r="CL86" i="98"/>
  <c r="CN86" i="98"/>
  <c r="BT74" i="98"/>
  <c r="CK74" i="98"/>
  <c r="CM74" i="98"/>
  <c r="CN74" i="98"/>
  <c r="CJ74" i="98"/>
  <c r="CL74" i="98"/>
  <c r="BT70" i="98"/>
  <c r="CK70" i="98"/>
  <c r="CM70" i="98"/>
  <c r="CJ70" i="98"/>
  <c r="CL70" i="98"/>
  <c r="CN70" i="98"/>
  <c r="BT58" i="98"/>
  <c r="CK58" i="98"/>
  <c r="CM58" i="98"/>
  <c r="CN58" i="98"/>
  <c r="CJ58" i="98"/>
  <c r="CL58" i="98"/>
  <c r="BT54" i="98"/>
  <c r="CK54" i="98"/>
  <c r="CM54" i="98"/>
  <c r="CJ54" i="98"/>
  <c r="CN54" i="98"/>
  <c r="CL54" i="98"/>
  <c r="BT37" i="98"/>
  <c r="CL37" i="98"/>
  <c r="CM37" i="98"/>
  <c r="CJ37" i="98"/>
  <c r="CN37" i="98"/>
  <c r="CK37" i="98"/>
  <c r="BT89" i="98"/>
  <c r="CL89" i="98"/>
  <c r="CJ89" i="98"/>
  <c r="CN89" i="98"/>
  <c r="CK89" i="98"/>
  <c r="CM89" i="98"/>
  <c r="BT81" i="98"/>
  <c r="CL81" i="98"/>
  <c r="CJ81" i="98"/>
  <c r="CN81" i="98"/>
  <c r="CK81" i="98"/>
  <c r="CM81" i="98"/>
  <c r="BT92" i="98"/>
  <c r="CM92" i="98"/>
  <c r="CK92" i="98"/>
  <c r="CL92" i="98"/>
  <c r="CJ92" i="98"/>
  <c r="CN92" i="98"/>
  <c r="BT88" i="98"/>
  <c r="CM88" i="98"/>
  <c r="CK88" i="98"/>
  <c r="CL88" i="98"/>
  <c r="CN88" i="98"/>
  <c r="CJ88" i="98"/>
  <c r="BT84" i="98"/>
  <c r="CM84" i="98"/>
  <c r="CK84" i="98"/>
  <c r="CL84" i="98"/>
  <c r="CN84" i="98"/>
  <c r="CJ84" i="98"/>
  <c r="BT80" i="98"/>
  <c r="CM80" i="98"/>
  <c r="CK80" i="98"/>
  <c r="CJ80" i="98"/>
  <c r="CL80" i="98"/>
  <c r="CN80" i="98"/>
  <c r="BT76" i="98"/>
  <c r="CM76" i="98"/>
  <c r="CK76" i="98"/>
  <c r="CL76" i="98"/>
  <c r="CJ76" i="98"/>
  <c r="CN76" i="98"/>
  <c r="BT72" i="98"/>
  <c r="CM72" i="98"/>
  <c r="CK72" i="98"/>
  <c r="CL72" i="98"/>
  <c r="CN72" i="98"/>
  <c r="CJ72" i="98"/>
  <c r="BT68" i="98"/>
  <c r="CM68" i="98"/>
  <c r="CK68" i="98"/>
  <c r="CL68" i="98"/>
  <c r="CN68" i="98"/>
  <c r="CJ68" i="98"/>
  <c r="BT64" i="98"/>
  <c r="CM64" i="98"/>
  <c r="CK64" i="98"/>
  <c r="CJ64" i="98"/>
  <c r="CL64" i="98"/>
  <c r="CN64" i="98"/>
  <c r="BT60" i="98"/>
  <c r="CM60" i="98"/>
  <c r="CK60" i="98"/>
  <c r="CL60" i="98"/>
  <c r="CJ60" i="98"/>
  <c r="CN60" i="98"/>
  <c r="BT56" i="98"/>
  <c r="CM56" i="98"/>
  <c r="CK56" i="98"/>
  <c r="CN56" i="98"/>
  <c r="CJ56" i="98"/>
  <c r="CL56" i="98"/>
  <c r="BT50" i="98"/>
  <c r="CK50" i="98"/>
  <c r="CM50" i="98"/>
  <c r="CN50" i="98"/>
  <c r="CL50" i="98"/>
  <c r="CJ50" i="98"/>
  <c r="BT46" i="98"/>
  <c r="CK46" i="98"/>
  <c r="CM46" i="98"/>
  <c r="CJ46" i="98"/>
  <c r="CL46" i="98"/>
  <c r="CN46" i="98"/>
  <c r="BT39" i="98"/>
  <c r="CJ39" i="98"/>
  <c r="CN39" i="98"/>
  <c r="CK39" i="98"/>
  <c r="CL39" i="98"/>
  <c r="CM39" i="98"/>
  <c r="JM25" i="1"/>
  <c r="JL20" i="1"/>
  <c r="E290" i="128"/>
  <c r="E291" i="128"/>
  <c r="E292" i="128"/>
  <c r="E293" i="128"/>
  <c r="E294" i="128"/>
  <c r="E295" i="128"/>
  <c r="E296" i="128"/>
  <c r="E297" i="128"/>
  <c r="E298" i="128"/>
  <c r="E299" i="128"/>
  <c r="E300" i="128"/>
  <c r="E301" i="128"/>
  <c r="E302" i="128"/>
  <c r="E303" i="128"/>
  <c r="E304" i="128"/>
  <c r="E305" i="128"/>
  <c r="E306" i="128"/>
  <c r="E307" i="128"/>
  <c r="E308" i="128"/>
  <c r="E309" i="128"/>
  <c r="E310" i="128"/>
  <c r="E311" i="128"/>
  <c r="E312" i="128"/>
  <c r="E313" i="128"/>
  <c r="E314" i="128"/>
  <c r="E315" i="128"/>
  <c r="E316" i="128"/>
  <c r="E317" i="128"/>
  <c r="E318" i="128"/>
  <c r="E319" i="128"/>
  <c r="E320" i="128"/>
  <c r="E321" i="128"/>
  <c r="E322" i="128"/>
  <c r="E323" i="128"/>
  <c r="E324" i="128"/>
  <c r="E325" i="128"/>
  <c r="E326" i="128"/>
  <c r="E327" i="128"/>
  <c r="E328" i="128"/>
  <c r="E329" i="128"/>
  <c r="E330" i="128"/>
  <c r="E331" i="128"/>
  <c r="E332" i="128"/>
  <c r="E333" i="128"/>
  <c r="E334" i="128"/>
  <c r="E335" i="128"/>
  <c r="E336" i="128"/>
  <c r="E337" i="128"/>
  <c r="E338" i="128"/>
  <c r="E339" i="128"/>
  <c r="E340" i="128"/>
  <c r="E341" i="128"/>
  <c r="E342" i="128"/>
  <c r="E343" i="128"/>
  <c r="E344" i="128"/>
  <c r="E345" i="128"/>
  <c r="E346" i="128"/>
  <c r="E347" i="128"/>
  <c r="E348" i="128"/>
  <c r="E349" i="128"/>
  <c r="E350" i="128"/>
  <c r="E351" i="128"/>
  <c r="E352" i="128"/>
  <c r="E353" i="128"/>
  <c r="E354" i="128"/>
  <c r="E355" i="128"/>
  <c r="E356" i="128"/>
  <c r="E357" i="128"/>
  <c r="E358" i="128"/>
  <c r="E361" i="128"/>
  <c r="E362" i="128"/>
  <c r="E363" i="128"/>
  <c r="E364" i="128"/>
  <c r="E365" i="128"/>
  <c r="E366" i="128"/>
  <c r="E367" i="128"/>
  <c r="E368" i="128"/>
  <c r="E369" i="128"/>
  <c r="E370" i="128"/>
  <c r="E371" i="128"/>
  <c r="E372" i="128"/>
  <c r="E373" i="128"/>
  <c r="E374" i="128"/>
  <c r="E375" i="128"/>
  <c r="E376" i="128"/>
  <c r="E377" i="128"/>
  <c r="E378" i="128"/>
  <c r="E379" i="128"/>
  <c r="E380" i="128"/>
  <c r="E381" i="128"/>
  <c r="E382" i="128"/>
  <c r="E383" i="128"/>
  <c r="E384" i="128"/>
  <c r="E385" i="128"/>
  <c r="E386" i="128"/>
  <c r="E387" i="128"/>
  <c r="E388" i="128"/>
  <c r="E389" i="128"/>
  <c r="E390" i="128"/>
  <c r="E391" i="128"/>
  <c r="E392" i="128"/>
  <c r="E393" i="128"/>
  <c r="E394" i="128"/>
  <c r="E395" i="128"/>
  <c r="E396" i="128"/>
  <c r="E397" i="128"/>
  <c r="E398" i="128"/>
  <c r="E399" i="128"/>
  <c r="E400" i="128"/>
  <c r="E401" i="128"/>
  <c r="E402" i="128"/>
  <c r="E403" i="128"/>
  <c r="E404" i="128"/>
  <c r="E405" i="128"/>
  <c r="E406" i="128"/>
  <c r="E407" i="128"/>
  <c r="E408" i="128"/>
  <c r="E409" i="128"/>
  <c r="E410" i="128"/>
  <c r="E411" i="128"/>
  <c r="E412" i="128"/>
  <c r="E413" i="128"/>
  <c r="E414" i="128"/>
  <c r="F3" i="115"/>
  <c r="G3" i="115"/>
  <c r="I3" i="115"/>
  <c r="J3" i="115"/>
  <c r="BT27" i="98" l="1"/>
  <c r="CJ27" i="98"/>
  <c r="ED114" i="98" s="1"/>
  <c r="JN25" i="1"/>
  <c r="JM20" i="1"/>
  <c r="Y106" i="97"/>
  <c r="Y107" i="97"/>
  <c r="EG30" i="98"/>
  <c r="BG30" i="98" s="1"/>
  <c r="DX30" i="98"/>
  <c r="DW30" i="98" s="1"/>
  <c r="DD30" i="98"/>
  <c r="DA30" i="98"/>
  <c r="CZ30" i="98" s="1"/>
  <c r="H3" i="115" s="1"/>
  <c r="AU30" i="98"/>
  <c r="DT30" i="98" s="1"/>
  <c r="DS30" i="98" s="1"/>
  <c r="L3" i="115" s="1"/>
  <c r="DT33" i="98"/>
  <c r="AU31" i="98"/>
  <c r="DT31" i="98" s="1"/>
  <c r="AU32" i="98"/>
  <c r="DT32" i="98" s="1"/>
  <c r="AU29" i="98"/>
  <c r="DT29" i="98" s="1"/>
  <c r="DM29" i="98"/>
  <c r="DJ29" i="98"/>
  <c r="DG29" i="98"/>
  <c r="DD32" i="98"/>
  <c r="DD31" i="98"/>
  <c r="DA33" i="98"/>
  <c r="JO25" i="1" l="1"/>
  <c r="JN20" i="1"/>
  <c r="DC30" i="98"/>
  <c r="K3" i="115" s="1"/>
  <c r="JP25" i="1" l="1"/>
  <c r="JO20" i="1"/>
  <c r="JQ25" i="1" l="1"/>
  <c r="JP20" i="1"/>
  <c r="JR25" i="1" l="1"/>
  <c r="JQ20" i="1"/>
  <c r="E3" i="128"/>
  <c r="E4" i="128"/>
  <c r="E2" i="128"/>
  <c r="G4" i="115"/>
  <c r="H4" i="115"/>
  <c r="I4" i="115"/>
  <c r="J4" i="115"/>
  <c r="G5" i="115"/>
  <c r="H5" i="115"/>
  <c r="I5" i="115"/>
  <c r="J5" i="115"/>
  <c r="G6" i="115"/>
  <c r="I6" i="115"/>
  <c r="J6" i="115"/>
  <c r="K6" i="115"/>
  <c r="K2" i="115"/>
  <c r="H2" i="115"/>
  <c r="F4" i="115"/>
  <c r="F5" i="115"/>
  <c r="F6" i="115"/>
  <c r="JS25" i="1" l="1"/>
  <c r="JR20" i="1"/>
  <c r="AE339" i="1"/>
  <c r="AF339" i="1"/>
  <c r="AG339" i="1"/>
  <c r="FL339" i="1"/>
  <c r="FR339" i="1"/>
  <c r="GA339" i="1" a="1"/>
  <c r="GA339" i="1" s="1"/>
  <c r="FY339" i="1" s="1"/>
  <c r="GO339" i="1" s="1"/>
  <c r="AE340" i="1"/>
  <c r="CO340" i="1" s="1"/>
  <c r="AF340" i="1"/>
  <c r="AG340" i="1"/>
  <c r="FL340" i="1"/>
  <c r="FR340" i="1"/>
  <c r="GA340" i="1" a="1"/>
  <c r="GA340" i="1" s="1"/>
  <c r="FY340" i="1" s="1"/>
  <c r="AE341" i="1"/>
  <c r="CO341" i="1" s="1"/>
  <c r="AF341" i="1"/>
  <c r="AG341" i="1"/>
  <c r="FL341" i="1"/>
  <c r="FR341" i="1"/>
  <c r="GA341" i="1" a="1"/>
  <c r="GA341" i="1" s="1"/>
  <c r="FY341" i="1" s="1"/>
  <c r="GO341" i="1" s="1"/>
  <c r="CO339" i="1" l="1"/>
  <c r="CP341" i="1"/>
  <c r="CW341" i="1"/>
  <c r="CX341" i="1" s="1"/>
  <c r="CT341" i="1"/>
  <c r="CP339" i="1"/>
  <c r="CT339" i="1"/>
  <c r="CW339" i="1"/>
  <c r="CX339" i="1" s="1"/>
  <c r="CP340" i="1"/>
  <c r="CW340" i="1"/>
  <c r="CX340" i="1" s="1"/>
  <c r="CT340" i="1"/>
  <c r="JT25" i="1"/>
  <c r="JS20" i="1"/>
  <c r="T339" i="1"/>
  <c r="U339" i="1"/>
  <c r="CU339" i="1"/>
  <c r="CU341" i="1"/>
  <c r="CU340" i="1"/>
  <c r="AA339" i="1" l="1"/>
  <c r="CY341" i="1"/>
  <c r="CY340" i="1"/>
  <c r="JU25" i="1"/>
  <c r="JT20" i="1"/>
  <c r="CY339" i="1"/>
  <c r="JV25" i="1" l="1"/>
  <c r="JU20" i="1"/>
  <c r="FN339" i="1"/>
  <c r="DC31" i="98"/>
  <c r="K4" i="115" s="1"/>
  <c r="DC32" i="98"/>
  <c r="K5" i="115" s="1"/>
  <c r="JW25" i="1" l="1"/>
  <c r="JV20" i="1"/>
  <c r="BL36" i="98"/>
  <c r="BL37" i="98"/>
  <c r="BL38" i="98"/>
  <c r="BL39" i="98"/>
  <c r="BL40" i="98"/>
  <c r="BL41" i="98"/>
  <c r="BL42" i="98"/>
  <c r="BL43" i="98"/>
  <c r="BL44" i="98"/>
  <c r="BL45" i="98"/>
  <c r="BL46" i="98"/>
  <c r="BL47" i="98"/>
  <c r="BL48" i="98"/>
  <c r="BL49" i="98"/>
  <c r="BL50" i="98"/>
  <c r="BL51" i="98"/>
  <c r="BL53" i="98"/>
  <c r="BL54" i="98"/>
  <c r="BL55" i="98"/>
  <c r="BL56" i="98"/>
  <c r="BL57" i="98"/>
  <c r="BL58" i="98"/>
  <c r="BL59" i="98"/>
  <c r="BL60" i="98"/>
  <c r="BL61" i="98"/>
  <c r="BL62" i="98"/>
  <c r="BL63" i="98"/>
  <c r="BL64" i="98"/>
  <c r="BL65" i="98"/>
  <c r="BL66" i="98"/>
  <c r="BL67" i="98"/>
  <c r="BL68" i="98"/>
  <c r="BL69" i="98"/>
  <c r="BL70" i="98"/>
  <c r="BL71" i="98"/>
  <c r="BL72" i="98"/>
  <c r="BL73" i="98"/>
  <c r="BL74" i="98"/>
  <c r="BL75" i="98"/>
  <c r="FA75" i="98" s="1"/>
  <c r="CA75" i="98" s="1"/>
  <c r="BL76" i="98"/>
  <c r="FA76" i="98" s="1"/>
  <c r="CA76" i="98" s="1"/>
  <c r="BL77" i="98"/>
  <c r="FA77" i="98" s="1"/>
  <c r="CA77" i="98" s="1"/>
  <c r="BL78" i="98"/>
  <c r="FA78" i="98" s="1"/>
  <c r="CA78" i="98" s="1"/>
  <c r="BL79" i="98"/>
  <c r="FA79" i="98" s="1"/>
  <c r="CA79" i="98" s="1"/>
  <c r="BL80" i="98"/>
  <c r="FA80" i="98" s="1"/>
  <c r="CA80" i="98" s="1"/>
  <c r="BL81" i="98"/>
  <c r="FA81" i="98" s="1"/>
  <c r="CA81" i="98" s="1"/>
  <c r="BL82" i="98"/>
  <c r="FA82" i="98" s="1"/>
  <c r="CA82" i="98" s="1"/>
  <c r="BL83" i="98"/>
  <c r="FA83" i="98" s="1"/>
  <c r="CA83" i="98" s="1"/>
  <c r="BL84" i="98"/>
  <c r="FA84" i="98" s="1"/>
  <c r="CA84" i="98" s="1"/>
  <c r="BL85" i="98"/>
  <c r="FA85" i="98" s="1"/>
  <c r="CA85" i="98" s="1"/>
  <c r="BL86" i="98"/>
  <c r="FA86" i="98" s="1"/>
  <c r="CA86" i="98" s="1"/>
  <c r="BL87" i="98"/>
  <c r="FA87" i="98" s="1"/>
  <c r="CA87" i="98" s="1"/>
  <c r="BL88" i="98"/>
  <c r="FA88" i="98" s="1"/>
  <c r="CA88" i="98" s="1"/>
  <c r="BL89" i="98"/>
  <c r="FA89" i="98" s="1"/>
  <c r="CA89" i="98" s="1"/>
  <c r="BL90" i="98"/>
  <c r="FA90" i="98" s="1"/>
  <c r="CA90" i="98" s="1"/>
  <c r="BL91" i="98"/>
  <c r="FA91" i="98" s="1"/>
  <c r="CA91" i="98" s="1"/>
  <c r="BL92" i="98"/>
  <c r="FA92" i="98" s="1"/>
  <c r="CA92" i="98" s="1"/>
  <c r="BL93" i="98"/>
  <c r="FA93" i="98" s="1"/>
  <c r="CA93" i="98" s="1"/>
  <c r="BL94" i="98"/>
  <c r="FA94" i="98" s="1"/>
  <c r="CA94" i="98" s="1"/>
  <c r="BL34" i="98"/>
  <c r="BL35" i="98"/>
  <c r="X92" i="98" l="1"/>
  <c r="Y92" i="98"/>
  <c r="X88" i="98"/>
  <c r="Y88" i="98"/>
  <c r="X94" i="98"/>
  <c r="Y94" i="98"/>
  <c r="X90" i="98"/>
  <c r="Y90" i="98"/>
  <c r="X86" i="98"/>
  <c r="Y86" i="98"/>
  <c r="X82" i="98"/>
  <c r="Y82" i="98"/>
  <c r="X78" i="98"/>
  <c r="Y78" i="98"/>
  <c r="X93" i="98"/>
  <c r="Y93" i="98"/>
  <c r="X89" i="98"/>
  <c r="Y89" i="98"/>
  <c r="X85" i="98"/>
  <c r="Y85" i="98"/>
  <c r="X81" i="98"/>
  <c r="Y81" i="98"/>
  <c r="X77" i="98"/>
  <c r="Y77" i="98"/>
  <c r="X84" i="98"/>
  <c r="Y84" i="98"/>
  <c r="X80" i="98"/>
  <c r="Y80" i="98"/>
  <c r="X76" i="98"/>
  <c r="Y76" i="98"/>
  <c r="X91" i="98"/>
  <c r="Y91" i="98"/>
  <c r="X87" i="98"/>
  <c r="Y87" i="98"/>
  <c r="X83" i="98"/>
  <c r="Y83" i="98"/>
  <c r="X79" i="98"/>
  <c r="Y79" i="98"/>
  <c r="X75" i="98"/>
  <c r="Y75" i="98"/>
  <c r="AH88" i="98"/>
  <c r="AH94" i="98"/>
  <c r="AH90" i="98"/>
  <c r="AH86" i="98"/>
  <c r="AH82" i="98"/>
  <c r="AH78" i="98"/>
  <c r="AH93" i="98"/>
  <c r="AH89" i="98"/>
  <c r="AH85" i="98"/>
  <c r="AH81" i="98"/>
  <c r="AH77" i="98"/>
  <c r="AH92" i="98"/>
  <c r="AH84" i="98"/>
  <c r="AH80" i="98"/>
  <c r="AH76" i="98"/>
  <c r="AH91" i="98"/>
  <c r="AH87" i="98"/>
  <c r="AH83" i="98"/>
  <c r="AH79" i="98"/>
  <c r="AH75" i="98"/>
  <c r="JX25" i="1"/>
  <c r="JW20" i="1"/>
  <c r="GE93" i="98"/>
  <c r="GE85" i="98"/>
  <c r="GE94" i="98"/>
  <c r="GE90" i="98"/>
  <c r="GE86" i="98"/>
  <c r="GE82" i="98"/>
  <c r="GE78" i="98"/>
  <c r="GE81" i="98"/>
  <c r="GE92" i="98"/>
  <c r="GE88" i="98"/>
  <c r="GE84" i="98"/>
  <c r="GE80" i="98"/>
  <c r="GE76" i="98"/>
  <c r="GE89" i="98"/>
  <c r="GE77" i="98"/>
  <c r="GE91" i="98"/>
  <c r="GE87" i="98"/>
  <c r="GE83" i="98"/>
  <c r="GE79" i="98"/>
  <c r="GE75" i="98"/>
  <c r="BV87" i="98"/>
  <c r="BV79" i="98"/>
  <c r="BV90" i="98"/>
  <c r="BV82" i="98"/>
  <c r="BV92" i="98"/>
  <c r="BV88" i="98"/>
  <c r="BV84" i="98"/>
  <c r="BV80" i="98"/>
  <c r="BV76" i="98"/>
  <c r="BV91" i="98"/>
  <c r="BV83" i="98"/>
  <c r="BV75" i="98"/>
  <c r="BV94" i="98"/>
  <c r="BV86" i="98"/>
  <c r="BV78" i="98"/>
  <c r="BV93" i="98"/>
  <c r="BV89" i="98"/>
  <c r="BV85" i="98"/>
  <c r="BV81" i="98"/>
  <c r="BV77" i="98"/>
  <c r="JY25" i="1" l="1"/>
  <c r="JX20" i="1"/>
  <c r="ED34" i="98"/>
  <c r="AT34" i="98" l="1"/>
  <c r="BO34" i="98"/>
  <c r="BN34" i="98"/>
  <c r="JZ25" i="1"/>
  <c r="JY20" i="1"/>
  <c r="AR34" i="98"/>
  <c r="AP34" i="98"/>
  <c r="AS34" i="98"/>
  <c r="AO34" i="98"/>
  <c r="BC34" i="98"/>
  <c r="AQ34" i="98"/>
  <c r="BD34" i="98" l="1"/>
  <c r="BU34" i="98"/>
  <c r="KA25" i="1"/>
  <c r="JZ20" i="1"/>
  <c r="CA22" i="57"/>
  <c r="CT130" i="123"/>
  <c r="CT131" i="123"/>
  <c r="CT132" i="123"/>
  <c r="CT133" i="123"/>
  <c r="CT134" i="123"/>
  <c r="CT135" i="123"/>
  <c r="CT136" i="123"/>
  <c r="CT137" i="123"/>
  <c r="CT138" i="123"/>
  <c r="CT139" i="123"/>
  <c r="CT140" i="123"/>
  <c r="CT141" i="123"/>
  <c r="CT142" i="123"/>
  <c r="CT143" i="123"/>
  <c r="CT144" i="123"/>
  <c r="CT145" i="123"/>
  <c r="CT146" i="123"/>
  <c r="CT147" i="123"/>
  <c r="CT148" i="123"/>
  <c r="CT149" i="123"/>
  <c r="CT150" i="123"/>
  <c r="CT151" i="123"/>
  <c r="CT152" i="123"/>
  <c r="CT153" i="123"/>
  <c r="CT154" i="123"/>
  <c r="CT155" i="123"/>
  <c r="CT156" i="123"/>
  <c r="CT157" i="123"/>
  <c r="CT158" i="123"/>
  <c r="CT159" i="123"/>
  <c r="CT160" i="123"/>
  <c r="CT161" i="123"/>
  <c r="CT162" i="123"/>
  <c r="CT163" i="123"/>
  <c r="CT164" i="123"/>
  <c r="CT165" i="123"/>
  <c r="CT166" i="123"/>
  <c r="CT167" i="123"/>
  <c r="CT168" i="123"/>
  <c r="CT169" i="123"/>
  <c r="CT170" i="123"/>
  <c r="CT171" i="123"/>
  <c r="CT172" i="123"/>
  <c r="CT173" i="123"/>
  <c r="CT174" i="123"/>
  <c r="CT175" i="123"/>
  <c r="CT176" i="123"/>
  <c r="CT177" i="123"/>
  <c r="CT178" i="123"/>
  <c r="CT179" i="123"/>
  <c r="CT180" i="123"/>
  <c r="CT181" i="123"/>
  <c r="CT182" i="123"/>
  <c r="CT183" i="123"/>
  <c r="CT184" i="123"/>
  <c r="CT185" i="123"/>
  <c r="CT186" i="123"/>
  <c r="CT187" i="123"/>
  <c r="CT188" i="123"/>
  <c r="CT189" i="123"/>
  <c r="CT190" i="123"/>
  <c r="CT191" i="123"/>
  <c r="CT192" i="123"/>
  <c r="CT193" i="123"/>
  <c r="CT194" i="123"/>
  <c r="CT195" i="123"/>
  <c r="CT196" i="123"/>
  <c r="CT197" i="123"/>
  <c r="CT198" i="123"/>
  <c r="CT199" i="123"/>
  <c r="CT200" i="123"/>
  <c r="CT201" i="123"/>
  <c r="CT202" i="123"/>
  <c r="CT203" i="123"/>
  <c r="CT204" i="123"/>
  <c r="CT205" i="123"/>
  <c r="CT206" i="123"/>
  <c r="CT207" i="123"/>
  <c r="CT208" i="123"/>
  <c r="CT209" i="123"/>
  <c r="CT225" i="123"/>
  <c r="CT226" i="123"/>
  <c r="CT228" i="123"/>
  <c r="CT229" i="123"/>
  <c r="CT230" i="123"/>
  <c r="CT232" i="123"/>
  <c r="CT233" i="123"/>
  <c r="CT234" i="123"/>
  <c r="CT235" i="123"/>
  <c r="CT236" i="123"/>
  <c r="CT237" i="123"/>
  <c r="CT238" i="123"/>
  <c r="CT239" i="123"/>
  <c r="CT240" i="123"/>
  <c r="CT241" i="123"/>
  <c r="CT242" i="123"/>
  <c r="CT243" i="123"/>
  <c r="CT244" i="123"/>
  <c r="CT245" i="123"/>
  <c r="CT246" i="123"/>
  <c r="CT247" i="123"/>
  <c r="CT248" i="123"/>
  <c r="CT249" i="123"/>
  <c r="CT250" i="123"/>
  <c r="CT251" i="123"/>
  <c r="CT252" i="123"/>
  <c r="CT253" i="123"/>
  <c r="CT254" i="123"/>
  <c r="CT255" i="123"/>
  <c r="CT256" i="123"/>
  <c r="CT257" i="123"/>
  <c r="CT258" i="123"/>
  <c r="CT259" i="123"/>
  <c r="CT260" i="123"/>
  <c r="CT261" i="123"/>
  <c r="CT262" i="123"/>
  <c r="CT263" i="123"/>
  <c r="CT264" i="123"/>
  <c r="CT265" i="123"/>
  <c r="CT266" i="123"/>
  <c r="CT267" i="123"/>
  <c r="CT268" i="123"/>
  <c r="CT269" i="123"/>
  <c r="CT270" i="123"/>
  <c r="CT271" i="123"/>
  <c r="CT272" i="123"/>
  <c r="CT273" i="123"/>
  <c r="CT274" i="123"/>
  <c r="CT275" i="123"/>
  <c r="CT276" i="123"/>
  <c r="CT277" i="123"/>
  <c r="CT278" i="123"/>
  <c r="CT279" i="123"/>
  <c r="CT280" i="123"/>
  <c r="CT281" i="123"/>
  <c r="CT282" i="123"/>
  <c r="CT283" i="123"/>
  <c r="CT284" i="123"/>
  <c r="CT285" i="123"/>
  <c r="CT286" i="123"/>
  <c r="CT287" i="123"/>
  <c r="CT288" i="123"/>
  <c r="CT289" i="123"/>
  <c r="CT290" i="123"/>
  <c r="CT291" i="123"/>
  <c r="CT292" i="123"/>
  <c r="CT293" i="123"/>
  <c r="CT294" i="123"/>
  <c r="CT295" i="123"/>
  <c r="CT296" i="123"/>
  <c r="CT297" i="123"/>
  <c r="CT298" i="123"/>
  <c r="CT299" i="123"/>
  <c r="CT300" i="123"/>
  <c r="CT301" i="123"/>
  <c r="CT302" i="123"/>
  <c r="CT303" i="123"/>
  <c r="CT304" i="123"/>
  <c r="CT129" i="123"/>
  <c r="KB25" i="1" l="1"/>
  <c r="KA20" i="1"/>
  <c r="AI43" i="123"/>
  <c r="AJ43" i="123" s="1"/>
  <c r="DZ43" i="123" s="1"/>
  <c r="AI44" i="123"/>
  <c r="AJ44" i="123" s="1"/>
  <c r="AI45" i="123"/>
  <c r="AJ45" i="123" s="1"/>
  <c r="AI46" i="123"/>
  <c r="AJ46" i="123" s="1"/>
  <c r="AI47" i="123"/>
  <c r="AI48" i="123"/>
  <c r="AI49" i="123"/>
  <c r="AI50" i="123"/>
  <c r="AI51" i="123"/>
  <c r="AI52" i="123"/>
  <c r="AI53" i="123"/>
  <c r="AI54" i="123"/>
  <c r="AI55" i="123"/>
  <c r="AI56" i="123"/>
  <c r="AI57" i="123"/>
  <c r="AI58" i="123"/>
  <c r="AI59" i="123"/>
  <c r="AI60" i="123"/>
  <c r="AI61" i="123"/>
  <c r="AI62" i="123"/>
  <c r="AI63" i="123"/>
  <c r="AI64" i="123"/>
  <c r="AI65" i="123"/>
  <c r="AI66" i="123"/>
  <c r="AI67" i="123"/>
  <c r="AI68" i="123"/>
  <c r="AI69" i="123"/>
  <c r="AI70" i="123"/>
  <c r="AI71" i="123"/>
  <c r="AI72" i="123"/>
  <c r="AI73" i="123"/>
  <c r="AI74" i="123"/>
  <c r="AI75" i="123"/>
  <c r="AI76" i="123"/>
  <c r="AI77" i="123"/>
  <c r="AI78" i="123"/>
  <c r="AI79" i="123"/>
  <c r="AI80" i="123"/>
  <c r="AI81" i="123"/>
  <c r="AI82" i="123"/>
  <c r="AI83" i="123"/>
  <c r="AI84" i="123"/>
  <c r="AI85" i="123"/>
  <c r="AI86" i="123"/>
  <c r="AI87" i="123"/>
  <c r="AI88" i="123"/>
  <c r="AI89" i="123"/>
  <c r="AI90" i="123"/>
  <c r="AI91" i="123"/>
  <c r="AI92" i="123"/>
  <c r="AI93" i="123"/>
  <c r="AI94" i="123"/>
  <c r="AI95" i="123"/>
  <c r="AD96" i="123"/>
  <c r="AD95" i="123" s="1"/>
  <c r="AD94" i="123" s="1"/>
  <c r="AD93" i="123" s="1"/>
  <c r="AD92" i="123" s="1"/>
  <c r="AD91" i="123" s="1"/>
  <c r="AD90" i="123" s="1"/>
  <c r="AD89" i="123" s="1"/>
  <c r="AD88" i="123" s="1"/>
  <c r="AD87" i="123" s="1"/>
  <c r="AD86" i="123" s="1"/>
  <c r="AD85" i="123" s="1"/>
  <c r="AD84" i="123" s="1"/>
  <c r="AD83" i="123" s="1"/>
  <c r="AD82" i="123" s="1"/>
  <c r="AD81" i="123" s="1"/>
  <c r="AD80" i="123" s="1"/>
  <c r="AD79" i="123" s="1"/>
  <c r="AD78" i="123" s="1"/>
  <c r="AD77" i="123" s="1"/>
  <c r="AD76" i="123" s="1"/>
  <c r="AD75" i="123" s="1"/>
  <c r="AD74" i="123" s="1"/>
  <c r="AD73" i="123" s="1"/>
  <c r="AD72" i="123" s="1"/>
  <c r="AD71" i="123" s="1"/>
  <c r="AD70" i="123" s="1"/>
  <c r="AD69" i="123" s="1"/>
  <c r="AD68" i="123" s="1"/>
  <c r="AD67" i="123" s="1"/>
  <c r="AD66" i="123" s="1"/>
  <c r="AD65" i="123" s="1"/>
  <c r="AD64" i="123" s="1"/>
  <c r="AD63" i="123" s="1"/>
  <c r="AD62" i="123" s="1"/>
  <c r="AD61" i="123" s="1"/>
  <c r="AD60" i="123" s="1"/>
  <c r="AD59" i="123" s="1"/>
  <c r="AD58" i="123" s="1"/>
  <c r="AD57" i="123" s="1"/>
  <c r="AD56" i="123" s="1"/>
  <c r="AD55" i="123" s="1"/>
  <c r="AD54" i="123" s="1"/>
  <c r="AD53" i="123" s="1"/>
  <c r="AD52" i="123" s="1"/>
  <c r="AD51" i="123" s="1"/>
  <c r="AD50" i="123" s="1"/>
  <c r="AD49" i="123" s="1"/>
  <c r="AD48" i="123" s="1"/>
  <c r="AD47" i="123" s="1"/>
  <c r="AD46" i="123" s="1"/>
  <c r="AD45" i="123" s="1"/>
  <c r="AD44" i="123" s="1"/>
  <c r="AD43" i="123" s="1"/>
  <c r="AJ96" i="123"/>
  <c r="AD129" i="123"/>
  <c r="AE129" i="123"/>
  <c r="AF129" i="123"/>
  <c r="DO129" i="123" a="1"/>
  <c r="DO129" i="123" s="1"/>
  <c r="DN129" i="123" s="1"/>
  <c r="EC129" i="123" s="1"/>
  <c r="AD130" i="123"/>
  <c r="AE130" i="123"/>
  <c r="AF130" i="123"/>
  <c r="DO130" i="123" a="1"/>
  <c r="DO130" i="123" s="1"/>
  <c r="DN130" i="123" s="1"/>
  <c r="EC130" i="123" s="1"/>
  <c r="AD131" i="123"/>
  <c r="CV131" i="123" s="1"/>
  <c r="AE131" i="123"/>
  <c r="AF131" i="123"/>
  <c r="DO131" i="123" a="1"/>
  <c r="DO131" i="123" s="1"/>
  <c r="DN131" i="123" s="1"/>
  <c r="EC131" i="123" s="1"/>
  <c r="AD132" i="123"/>
  <c r="CV132" i="123" s="1"/>
  <c r="AE132" i="123"/>
  <c r="AF132" i="123"/>
  <c r="DO132" i="123" a="1"/>
  <c r="DO132" i="123" s="1"/>
  <c r="DN132" i="123" s="1"/>
  <c r="EC132" i="123" s="1"/>
  <c r="AD133" i="123"/>
  <c r="CV133" i="123" s="1"/>
  <c r="AE133" i="123"/>
  <c r="AF133" i="123"/>
  <c r="DO133" i="123" a="1"/>
  <c r="DO133" i="123" s="1"/>
  <c r="DN133" i="123" s="1"/>
  <c r="EC133" i="123" s="1"/>
  <c r="AD134" i="123"/>
  <c r="CV134" i="123" s="1"/>
  <c r="AE134" i="123"/>
  <c r="AF134" i="123"/>
  <c r="DO134" i="123" a="1"/>
  <c r="DO134" i="123" s="1"/>
  <c r="DN134" i="123" s="1"/>
  <c r="EC134" i="123" s="1"/>
  <c r="AD135" i="123"/>
  <c r="AE135" i="123"/>
  <c r="AF135" i="123"/>
  <c r="DO135" i="123" a="1"/>
  <c r="DO135" i="123" s="1"/>
  <c r="DN135" i="123" s="1"/>
  <c r="EC135" i="123" s="1"/>
  <c r="AD136" i="123"/>
  <c r="CV136" i="123" s="1"/>
  <c r="AE136" i="123"/>
  <c r="AF136" i="123"/>
  <c r="DO136" i="123" a="1"/>
  <c r="DO136" i="123" s="1"/>
  <c r="DN136" i="123" s="1"/>
  <c r="EC136" i="123" s="1"/>
  <c r="AD137" i="123"/>
  <c r="CV137" i="123" s="1"/>
  <c r="AE137" i="123"/>
  <c r="AF137" i="123"/>
  <c r="DO137" i="123" a="1"/>
  <c r="DO137" i="123" s="1"/>
  <c r="DN137" i="123" s="1"/>
  <c r="EC137" i="123" s="1"/>
  <c r="AD138" i="123"/>
  <c r="CV138" i="123" s="1"/>
  <c r="AE138" i="123"/>
  <c r="AF138" i="123"/>
  <c r="DO138" i="123" a="1"/>
  <c r="DO138" i="123" s="1"/>
  <c r="DN138" i="123" s="1"/>
  <c r="EC138" i="123" s="1"/>
  <c r="AD139" i="123"/>
  <c r="CV139" i="123" s="1"/>
  <c r="AE139" i="123"/>
  <c r="AF139" i="123"/>
  <c r="DO139" i="123" a="1"/>
  <c r="DO139" i="123" s="1"/>
  <c r="DN139" i="123" s="1"/>
  <c r="EC139" i="123" s="1"/>
  <c r="AD140" i="123"/>
  <c r="CV140" i="123" s="1"/>
  <c r="AE140" i="123"/>
  <c r="AF140" i="123"/>
  <c r="DO140" i="123" a="1"/>
  <c r="DO140" i="123" s="1"/>
  <c r="DN140" i="123" s="1"/>
  <c r="EC140" i="123" s="1"/>
  <c r="AD141" i="123"/>
  <c r="CV141" i="123" s="1"/>
  <c r="AE141" i="123"/>
  <c r="AF141" i="123"/>
  <c r="DO141" i="123" a="1"/>
  <c r="DO141" i="123" s="1"/>
  <c r="DN141" i="123" s="1"/>
  <c r="EC141" i="123" s="1"/>
  <c r="AD142" i="123"/>
  <c r="CV142" i="123" s="1"/>
  <c r="AE142" i="123"/>
  <c r="AF142" i="123"/>
  <c r="DO142" i="123" a="1"/>
  <c r="DO142" i="123" s="1"/>
  <c r="DN142" i="123" s="1"/>
  <c r="EC142" i="123" s="1"/>
  <c r="AD143" i="123"/>
  <c r="CV143" i="123" s="1"/>
  <c r="AE143" i="123"/>
  <c r="AF143" i="123"/>
  <c r="DO143" i="123" a="1"/>
  <c r="DO143" i="123" s="1"/>
  <c r="DN143" i="123" s="1"/>
  <c r="EC143" i="123" s="1"/>
  <c r="AD144" i="123"/>
  <c r="CV144" i="123" s="1"/>
  <c r="AE144" i="123"/>
  <c r="AF144" i="123"/>
  <c r="DO144" i="123" a="1"/>
  <c r="DO144" i="123" s="1"/>
  <c r="DN144" i="123" s="1"/>
  <c r="EC144" i="123" s="1"/>
  <c r="AD145" i="123"/>
  <c r="CV145" i="123" s="1"/>
  <c r="AE145" i="123"/>
  <c r="AF145" i="123"/>
  <c r="DO145" i="123" a="1"/>
  <c r="DO145" i="123" s="1"/>
  <c r="DN145" i="123" s="1"/>
  <c r="EC145" i="123" s="1"/>
  <c r="AD146" i="123"/>
  <c r="CV146" i="123" s="1"/>
  <c r="AE146" i="123"/>
  <c r="AF146" i="123"/>
  <c r="DO146" i="123" a="1"/>
  <c r="DO146" i="123" s="1"/>
  <c r="DN146" i="123" s="1"/>
  <c r="EC146" i="123" s="1"/>
  <c r="AD147" i="123"/>
  <c r="CV147" i="123" s="1"/>
  <c r="AE147" i="123"/>
  <c r="AF147" i="123"/>
  <c r="DO147" i="123" a="1"/>
  <c r="DO147" i="123" s="1"/>
  <c r="DN147" i="123" s="1"/>
  <c r="EC147" i="123" s="1"/>
  <c r="AD148" i="123"/>
  <c r="CV148" i="123" s="1"/>
  <c r="AE148" i="123"/>
  <c r="AF148" i="123"/>
  <c r="DO148" i="123" a="1"/>
  <c r="DO148" i="123" s="1"/>
  <c r="DN148" i="123" s="1"/>
  <c r="EC148" i="123" s="1"/>
  <c r="AD149" i="123"/>
  <c r="CV149" i="123" s="1"/>
  <c r="AE149" i="123"/>
  <c r="AF149" i="123"/>
  <c r="DO149" i="123" a="1"/>
  <c r="DO149" i="123" s="1"/>
  <c r="DN149" i="123" s="1"/>
  <c r="EC149" i="123" s="1"/>
  <c r="AD150" i="123"/>
  <c r="CV150" i="123" s="1"/>
  <c r="AE150" i="123"/>
  <c r="AF150" i="123"/>
  <c r="DO150" i="123" a="1"/>
  <c r="DO150" i="123" s="1"/>
  <c r="DN150" i="123" s="1"/>
  <c r="EC150" i="123" s="1"/>
  <c r="AD151" i="123"/>
  <c r="CV151" i="123" s="1"/>
  <c r="AE151" i="123"/>
  <c r="AF151" i="123"/>
  <c r="DO151" i="123" a="1"/>
  <c r="DO151" i="123" s="1"/>
  <c r="DN151" i="123" s="1"/>
  <c r="EC151" i="123" s="1"/>
  <c r="AD152" i="123"/>
  <c r="CV152" i="123" s="1"/>
  <c r="AE152" i="123"/>
  <c r="AF152" i="123"/>
  <c r="DO152" i="123" a="1"/>
  <c r="DO152" i="123" s="1"/>
  <c r="DN152" i="123" s="1"/>
  <c r="EC152" i="123" s="1"/>
  <c r="AD153" i="123"/>
  <c r="CV153" i="123" s="1"/>
  <c r="AE153" i="123"/>
  <c r="AF153" i="123"/>
  <c r="DO153" i="123" a="1"/>
  <c r="DO153" i="123" s="1"/>
  <c r="DN153" i="123" s="1"/>
  <c r="EC153" i="123" s="1"/>
  <c r="AD154" i="123"/>
  <c r="CV154" i="123" s="1"/>
  <c r="AE154" i="123"/>
  <c r="AF154" i="123"/>
  <c r="DO154" i="123" a="1"/>
  <c r="DO154" i="123" s="1"/>
  <c r="DN154" i="123" s="1"/>
  <c r="EC154" i="123" s="1"/>
  <c r="AD155" i="123"/>
  <c r="AE155" i="123"/>
  <c r="AF155" i="123"/>
  <c r="DO155" i="123" a="1"/>
  <c r="DO155" i="123" s="1"/>
  <c r="DN155" i="123" s="1"/>
  <c r="EC155" i="123" s="1"/>
  <c r="AD156" i="123"/>
  <c r="CV156" i="123" s="1"/>
  <c r="AE156" i="123"/>
  <c r="AF156" i="123"/>
  <c r="DO156" i="123" a="1"/>
  <c r="DO156" i="123" s="1"/>
  <c r="DN156" i="123" s="1"/>
  <c r="EC156" i="123" s="1"/>
  <c r="AD157" i="123"/>
  <c r="CV157" i="123" s="1"/>
  <c r="AE157" i="123"/>
  <c r="AF157" i="123"/>
  <c r="DO157" i="123" a="1"/>
  <c r="DO157" i="123" s="1"/>
  <c r="DN157" i="123" s="1"/>
  <c r="EC157" i="123" s="1"/>
  <c r="AD158" i="123"/>
  <c r="CV158" i="123" s="1"/>
  <c r="AE158" i="123"/>
  <c r="AF158" i="123"/>
  <c r="DO158" i="123" a="1"/>
  <c r="DO158" i="123" s="1"/>
  <c r="DN158" i="123" s="1"/>
  <c r="EC158" i="123" s="1"/>
  <c r="AD159" i="123"/>
  <c r="CV159" i="123" s="1"/>
  <c r="AE159" i="123"/>
  <c r="AF159" i="123"/>
  <c r="DO159" i="123" a="1"/>
  <c r="DO159" i="123" s="1"/>
  <c r="DN159" i="123" s="1"/>
  <c r="EC159" i="123" s="1"/>
  <c r="AD160" i="123"/>
  <c r="CV160" i="123" s="1"/>
  <c r="AE160" i="123"/>
  <c r="AF160" i="123"/>
  <c r="DO160" i="123" a="1"/>
  <c r="DO160" i="123" s="1"/>
  <c r="DN160" i="123" s="1"/>
  <c r="EC160" i="123" s="1"/>
  <c r="AD161" i="123"/>
  <c r="CV161" i="123" s="1"/>
  <c r="AE161" i="123"/>
  <c r="AF161" i="123"/>
  <c r="DO161" i="123" a="1"/>
  <c r="DO161" i="123" s="1"/>
  <c r="DN161" i="123" s="1"/>
  <c r="EC161" i="123" s="1"/>
  <c r="AD162" i="123"/>
  <c r="CV162" i="123" s="1"/>
  <c r="AE162" i="123"/>
  <c r="AF162" i="123"/>
  <c r="DO162" i="123" a="1"/>
  <c r="DO162" i="123" s="1"/>
  <c r="DN162" i="123" s="1"/>
  <c r="EC162" i="123" s="1"/>
  <c r="AD163" i="123"/>
  <c r="CV163" i="123" s="1"/>
  <c r="AE163" i="123"/>
  <c r="AF163" i="123"/>
  <c r="DO163" i="123" a="1"/>
  <c r="DO163" i="123" s="1"/>
  <c r="DN163" i="123" s="1"/>
  <c r="EC163" i="123" s="1"/>
  <c r="AD164" i="123"/>
  <c r="CV164" i="123" s="1"/>
  <c r="AE164" i="123"/>
  <c r="AF164" i="123"/>
  <c r="DO164" i="123" a="1"/>
  <c r="DO164" i="123" s="1"/>
  <c r="DN164" i="123" s="1"/>
  <c r="EC164" i="123" s="1"/>
  <c r="AD165" i="123"/>
  <c r="CV165" i="123" s="1"/>
  <c r="AE165" i="123"/>
  <c r="AF165" i="123"/>
  <c r="DO165" i="123" a="1"/>
  <c r="DO165" i="123" s="1"/>
  <c r="DN165" i="123" s="1"/>
  <c r="EC165" i="123" s="1"/>
  <c r="AD166" i="123"/>
  <c r="CV166" i="123" s="1"/>
  <c r="AE166" i="123"/>
  <c r="AF166" i="123"/>
  <c r="DO166" i="123" a="1"/>
  <c r="DO166" i="123" s="1"/>
  <c r="DN166" i="123" s="1"/>
  <c r="EC166" i="123" s="1"/>
  <c r="AD167" i="123"/>
  <c r="CV167" i="123" s="1"/>
  <c r="AE167" i="123"/>
  <c r="AF167" i="123"/>
  <c r="DO167" i="123" a="1"/>
  <c r="DO167" i="123" s="1"/>
  <c r="DN167" i="123" s="1"/>
  <c r="EC167" i="123" s="1"/>
  <c r="AD168" i="123"/>
  <c r="CV168" i="123" s="1"/>
  <c r="AE168" i="123"/>
  <c r="AF168" i="123"/>
  <c r="DO168" i="123" a="1"/>
  <c r="DO168" i="123" s="1"/>
  <c r="DN168" i="123" s="1"/>
  <c r="EC168" i="123" s="1"/>
  <c r="AD169" i="123"/>
  <c r="CV169" i="123" s="1"/>
  <c r="AE169" i="123"/>
  <c r="AF169" i="123"/>
  <c r="DO169" i="123" a="1"/>
  <c r="DO169" i="123" s="1"/>
  <c r="DN169" i="123" s="1"/>
  <c r="EC169" i="123" s="1"/>
  <c r="AD170" i="123"/>
  <c r="CV170" i="123" s="1"/>
  <c r="AE170" i="123"/>
  <c r="AF170" i="123"/>
  <c r="DO170" i="123" a="1"/>
  <c r="DO170" i="123" s="1"/>
  <c r="DN170" i="123" s="1"/>
  <c r="EC170" i="123" s="1"/>
  <c r="AD171" i="123"/>
  <c r="CV171" i="123" s="1"/>
  <c r="AE171" i="123"/>
  <c r="AF171" i="123"/>
  <c r="DO171" i="123" a="1"/>
  <c r="DO171" i="123" s="1"/>
  <c r="DN171" i="123" s="1"/>
  <c r="EC171" i="123" s="1"/>
  <c r="AD172" i="123"/>
  <c r="CV172" i="123" s="1"/>
  <c r="AE172" i="123"/>
  <c r="AF172" i="123"/>
  <c r="DO172" i="123" a="1"/>
  <c r="DO172" i="123" s="1"/>
  <c r="DN172" i="123" s="1"/>
  <c r="EC172" i="123" s="1"/>
  <c r="AD173" i="123"/>
  <c r="CV173" i="123" s="1"/>
  <c r="AE173" i="123"/>
  <c r="AF173" i="123"/>
  <c r="DO173" i="123" a="1"/>
  <c r="DO173" i="123" s="1"/>
  <c r="DN173" i="123" s="1"/>
  <c r="EC173" i="123" s="1"/>
  <c r="AD174" i="123"/>
  <c r="CV174" i="123" s="1"/>
  <c r="AE174" i="123"/>
  <c r="AF174" i="123"/>
  <c r="DO174" i="123" a="1"/>
  <c r="DO174" i="123" s="1"/>
  <c r="DN174" i="123" s="1"/>
  <c r="EC174" i="123" s="1"/>
  <c r="AD175" i="123"/>
  <c r="AE175" i="123"/>
  <c r="AF175" i="123"/>
  <c r="DO175" i="123" a="1"/>
  <c r="DO175" i="123" s="1"/>
  <c r="DN175" i="123" s="1"/>
  <c r="EC175" i="123" s="1"/>
  <c r="AD176" i="123"/>
  <c r="CV176" i="123" s="1"/>
  <c r="AE176" i="123"/>
  <c r="AF176" i="123"/>
  <c r="DO176" i="123" a="1"/>
  <c r="DO176" i="123" s="1"/>
  <c r="DN176" i="123" s="1"/>
  <c r="EC176" i="123" s="1"/>
  <c r="AD177" i="123"/>
  <c r="CV177" i="123" s="1"/>
  <c r="AE177" i="123"/>
  <c r="AF177" i="123"/>
  <c r="DO177" i="123" a="1"/>
  <c r="DO177" i="123" s="1"/>
  <c r="DN177" i="123" s="1"/>
  <c r="EC177" i="123" s="1"/>
  <c r="AD178" i="123"/>
  <c r="CV178" i="123" s="1"/>
  <c r="AE178" i="123"/>
  <c r="AF178" i="123"/>
  <c r="DO178" i="123" a="1"/>
  <c r="DO178" i="123" s="1"/>
  <c r="DN178" i="123" s="1"/>
  <c r="EC178" i="123" s="1"/>
  <c r="AD179" i="123"/>
  <c r="CV179" i="123" s="1"/>
  <c r="AE179" i="123"/>
  <c r="AF179" i="123"/>
  <c r="DO179" i="123" a="1"/>
  <c r="DO179" i="123" s="1"/>
  <c r="DN179" i="123" s="1"/>
  <c r="EC179" i="123" s="1"/>
  <c r="AD180" i="123"/>
  <c r="CV180" i="123" s="1"/>
  <c r="AE180" i="123"/>
  <c r="AF180" i="123"/>
  <c r="DO180" i="123" a="1"/>
  <c r="DO180" i="123" s="1"/>
  <c r="DN180" i="123" s="1"/>
  <c r="EC180" i="123" s="1"/>
  <c r="AD181" i="123"/>
  <c r="CV181" i="123" s="1"/>
  <c r="AE181" i="123"/>
  <c r="AF181" i="123"/>
  <c r="DO181" i="123" a="1"/>
  <c r="DO181" i="123" s="1"/>
  <c r="DN181" i="123" s="1"/>
  <c r="EC181" i="123" s="1"/>
  <c r="AD182" i="123"/>
  <c r="CV182" i="123" s="1"/>
  <c r="AE182" i="123"/>
  <c r="AF182" i="123"/>
  <c r="DO182" i="123" a="1"/>
  <c r="DO182" i="123" s="1"/>
  <c r="DN182" i="123" s="1"/>
  <c r="EC182" i="123" s="1"/>
  <c r="AD183" i="123"/>
  <c r="AE183" i="123"/>
  <c r="AF183" i="123"/>
  <c r="DO183" i="123" a="1"/>
  <c r="DO183" i="123" s="1"/>
  <c r="DN183" i="123" s="1"/>
  <c r="EC183" i="123" s="1"/>
  <c r="AD184" i="123"/>
  <c r="CV184" i="123" s="1"/>
  <c r="AE184" i="123"/>
  <c r="AF184" i="123"/>
  <c r="DO184" i="123" a="1"/>
  <c r="DO184" i="123" s="1"/>
  <c r="DN184" i="123" s="1"/>
  <c r="EC184" i="123" s="1"/>
  <c r="AD185" i="123"/>
  <c r="CV185" i="123" s="1"/>
  <c r="AE185" i="123"/>
  <c r="AF185" i="123"/>
  <c r="DO185" i="123" a="1"/>
  <c r="DO185" i="123" s="1"/>
  <c r="DN185" i="123" s="1"/>
  <c r="EC185" i="123" s="1"/>
  <c r="AD186" i="123"/>
  <c r="CV186" i="123" s="1"/>
  <c r="AE186" i="123"/>
  <c r="AF186" i="123"/>
  <c r="DO186" i="123" a="1"/>
  <c r="DO186" i="123" s="1"/>
  <c r="DN186" i="123" s="1"/>
  <c r="EC186" i="123" s="1"/>
  <c r="AD187" i="123"/>
  <c r="CV187" i="123" s="1"/>
  <c r="AE187" i="123"/>
  <c r="AF187" i="123"/>
  <c r="DO187" i="123" a="1"/>
  <c r="DO187" i="123" s="1"/>
  <c r="DN187" i="123" s="1"/>
  <c r="EC187" i="123" s="1"/>
  <c r="AD188" i="123"/>
  <c r="CV188" i="123" s="1"/>
  <c r="AE188" i="123"/>
  <c r="AF188" i="123"/>
  <c r="DO188" i="123" a="1"/>
  <c r="DO188" i="123" s="1"/>
  <c r="DN188" i="123" s="1"/>
  <c r="EC188" i="123" s="1"/>
  <c r="AD189" i="123"/>
  <c r="CV189" i="123" s="1"/>
  <c r="AE189" i="123"/>
  <c r="AF189" i="123"/>
  <c r="DO189" i="123" a="1"/>
  <c r="DO189" i="123" s="1"/>
  <c r="DN189" i="123" s="1"/>
  <c r="EC189" i="123" s="1"/>
  <c r="AD190" i="123"/>
  <c r="AE190" i="123"/>
  <c r="AF190" i="123"/>
  <c r="DO190" i="123" a="1"/>
  <c r="DO190" i="123" s="1"/>
  <c r="DN190" i="123" s="1"/>
  <c r="EC190" i="123" s="1"/>
  <c r="AD191" i="123"/>
  <c r="AE191" i="123"/>
  <c r="AF191" i="123"/>
  <c r="DO191" i="123" a="1"/>
  <c r="DO191" i="123" s="1"/>
  <c r="DN191" i="123" s="1"/>
  <c r="EC191" i="123" s="1"/>
  <c r="AD192" i="123"/>
  <c r="AE192" i="123"/>
  <c r="AF192" i="123"/>
  <c r="DO192" i="123" a="1"/>
  <c r="DO192" i="123" s="1"/>
  <c r="DN192" i="123" s="1"/>
  <c r="EC192" i="123" s="1"/>
  <c r="AD193" i="123"/>
  <c r="AE193" i="123"/>
  <c r="AF193" i="123"/>
  <c r="DO193" i="123" a="1"/>
  <c r="DO193" i="123" s="1"/>
  <c r="DN193" i="123" s="1"/>
  <c r="EC193" i="123" s="1"/>
  <c r="AD194" i="123"/>
  <c r="CV194" i="123" s="1"/>
  <c r="AE194" i="123"/>
  <c r="AF194" i="123"/>
  <c r="DO194" i="123" a="1"/>
  <c r="DO194" i="123" s="1"/>
  <c r="DN194" i="123" s="1"/>
  <c r="EC194" i="123" s="1"/>
  <c r="AD195" i="123"/>
  <c r="AE195" i="123"/>
  <c r="AF195" i="123"/>
  <c r="DO195" i="123" a="1"/>
  <c r="DO195" i="123" s="1"/>
  <c r="DN195" i="123" s="1"/>
  <c r="EC195" i="123" s="1"/>
  <c r="AD196" i="123"/>
  <c r="AE196" i="123"/>
  <c r="AF196" i="123"/>
  <c r="DO196" i="123" a="1"/>
  <c r="DO196" i="123" s="1"/>
  <c r="DN196" i="123" s="1"/>
  <c r="EC196" i="123" s="1"/>
  <c r="AD197" i="123"/>
  <c r="AE197" i="123"/>
  <c r="AF197" i="123"/>
  <c r="DO197" i="123" a="1"/>
  <c r="DO197" i="123" s="1"/>
  <c r="DN197" i="123" s="1"/>
  <c r="EC197" i="123" s="1"/>
  <c r="AD198" i="123"/>
  <c r="AE198" i="123"/>
  <c r="AF198" i="123"/>
  <c r="DO198" i="123" a="1"/>
  <c r="DO198" i="123" s="1"/>
  <c r="DN198" i="123" s="1"/>
  <c r="EC198" i="123" s="1"/>
  <c r="AD199" i="123"/>
  <c r="AE199" i="123"/>
  <c r="AF199" i="123"/>
  <c r="DO199" i="123" a="1"/>
  <c r="DO199" i="123" s="1"/>
  <c r="DN199" i="123" s="1"/>
  <c r="EC199" i="123" s="1"/>
  <c r="AD200" i="123"/>
  <c r="CV200" i="123" s="1"/>
  <c r="AE200" i="123"/>
  <c r="AF200" i="123"/>
  <c r="DO200" i="123" a="1"/>
  <c r="DO200" i="123" s="1"/>
  <c r="DN200" i="123" s="1"/>
  <c r="EC200" i="123" s="1"/>
  <c r="AD201" i="123"/>
  <c r="AE201" i="123"/>
  <c r="AF201" i="123"/>
  <c r="DO201" i="123" a="1"/>
  <c r="DO201" i="123" s="1"/>
  <c r="DN201" i="123" s="1"/>
  <c r="EC201" i="123" s="1"/>
  <c r="AD202" i="123"/>
  <c r="AE202" i="123"/>
  <c r="AF202" i="123"/>
  <c r="DO202" i="123" a="1"/>
  <c r="DO202" i="123" s="1"/>
  <c r="DN202" i="123" s="1"/>
  <c r="EC202" i="123" s="1"/>
  <c r="AD203" i="123"/>
  <c r="CV203" i="123" s="1"/>
  <c r="AE203" i="123"/>
  <c r="AF203" i="123"/>
  <c r="DO203" i="123" a="1"/>
  <c r="DO203" i="123" s="1"/>
  <c r="DN203" i="123" s="1"/>
  <c r="EC203" i="123" s="1"/>
  <c r="AD204" i="123"/>
  <c r="AE204" i="123"/>
  <c r="AF204" i="123"/>
  <c r="DO204" i="123" a="1"/>
  <c r="DO204" i="123" s="1"/>
  <c r="DN204" i="123" s="1"/>
  <c r="EC204" i="123" s="1"/>
  <c r="AD205" i="123"/>
  <c r="CV205" i="123" s="1"/>
  <c r="AE205" i="123"/>
  <c r="AF205" i="123"/>
  <c r="DO205" i="123" a="1"/>
  <c r="DO205" i="123" s="1"/>
  <c r="DN205" i="123" s="1"/>
  <c r="EC205" i="123" s="1"/>
  <c r="AD206" i="123"/>
  <c r="CV206" i="123" s="1"/>
  <c r="AE206" i="123"/>
  <c r="AF206" i="123"/>
  <c r="DO206" i="123" a="1"/>
  <c r="DO206" i="123" s="1"/>
  <c r="DN206" i="123" s="1"/>
  <c r="EC206" i="123" s="1"/>
  <c r="AD207" i="123"/>
  <c r="AE207" i="123"/>
  <c r="AF207" i="123"/>
  <c r="DO207" i="123" a="1"/>
  <c r="DO207" i="123" s="1"/>
  <c r="DN207" i="123" s="1"/>
  <c r="EC207" i="123" s="1"/>
  <c r="AD208" i="123"/>
  <c r="AE208" i="123"/>
  <c r="AF208" i="123"/>
  <c r="DO208" i="123" a="1"/>
  <c r="DO208" i="123" s="1"/>
  <c r="DN208" i="123" s="1"/>
  <c r="EC208" i="123" s="1"/>
  <c r="AD209" i="123"/>
  <c r="CV209" i="123" s="1"/>
  <c r="AE209" i="123"/>
  <c r="AF209" i="123"/>
  <c r="DO209" i="123" a="1"/>
  <c r="DO209" i="123" s="1"/>
  <c r="DN209" i="123" s="1"/>
  <c r="EC209" i="123" s="1"/>
  <c r="AD225" i="123"/>
  <c r="AE225" i="123"/>
  <c r="AF225" i="123"/>
  <c r="DO225" i="123" a="1"/>
  <c r="DO225" i="123" s="1"/>
  <c r="DN225" i="123" s="1"/>
  <c r="EC225" i="123" s="1"/>
  <c r="AD226" i="123"/>
  <c r="AE226" i="123"/>
  <c r="AF226" i="123"/>
  <c r="DO226" i="123" a="1"/>
  <c r="DO226" i="123" s="1"/>
  <c r="DN226" i="123" s="1"/>
  <c r="EC226" i="123" s="1"/>
  <c r="AD228" i="123"/>
  <c r="CV228" i="123" s="1"/>
  <c r="AE228" i="123"/>
  <c r="AF228" i="123"/>
  <c r="DO228" i="123" a="1"/>
  <c r="DO228" i="123" s="1"/>
  <c r="DN228" i="123" s="1"/>
  <c r="EC228" i="123" s="1"/>
  <c r="AD229" i="123"/>
  <c r="CV229" i="123" s="1"/>
  <c r="AE229" i="123"/>
  <c r="AF229" i="123"/>
  <c r="DO229" i="123" a="1"/>
  <c r="DO229" i="123" s="1"/>
  <c r="DN229" i="123" s="1"/>
  <c r="EC229" i="123" s="1"/>
  <c r="AD230" i="123"/>
  <c r="CV230" i="123" s="1"/>
  <c r="AE230" i="123"/>
  <c r="AF230" i="123"/>
  <c r="DO230" i="123" a="1"/>
  <c r="DO230" i="123" s="1"/>
  <c r="DN230" i="123" s="1"/>
  <c r="EC230" i="123" s="1"/>
  <c r="AD232" i="123"/>
  <c r="AE232" i="123"/>
  <c r="AF232" i="123"/>
  <c r="DO232" i="123" a="1"/>
  <c r="DO232" i="123" s="1"/>
  <c r="DN232" i="123" s="1"/>
  <c r="EC232" i="123" s="1"/>
  <c r="AD233" i="123"/>
  <c r="CV233" i="123" s="1"/>
  <c r="AE233" i="123"/>
  <c r="AF233" i="123"/>
  <c r="DO233" i="123" a="1"/>
  <c r="DO233" i="123" s="1"/>
  <c r="DN233" i="123" s="1"/>
  <c r="EC233" i="123" s="1"/>
  <c r="AD234" i="123"/>
  <c r="CV234" i="123" s="1"/>
  <c r="AE234" i="123"/>
  <c r="AF234" i="123"/>
  <c r="DO234" i="123" a="1"/>
  <c r="DO234" i="123" s="1"/>
  <c r="DN234" i="123" s="1"/>
  <c r="EC234" i="123" s="1"/>
  <c r="AD235" i="123"/>
  <c r="CV235" i="123" s="1"/>
  <c r="AE235" i="123"/>
  <c r="AF235" i="123"/>
  <c r="DO235" i="123" a="1"/>
  <c r="DO235" i="123" s="1"/>
  <c r="DN235" i="123" s="1"/>
  <c r="EC235" i="123" s="1"/>
  <c r="AD236" i="123"/>
  <c r="CV236" i="123" s="1"/>
  <c r="AE236" i="123"/>
  <c r="AF236" i="123"/>
  <c r="DO236" i="123" a="1"/>
  <c r="DO236" i="123" s="1"/>
  <c r="DN236" i="123" s="1"/>
  <c r="EC236" i="123" s="1"/>
  <c r="AD237" i="123"/>
  <c r="CV237" i="123" s="1"/>
  <c r="AE237" i="123"/>
  <c r="AF237" i="123"/>
  <c r="DO237" i="123" a="1"/>
  <c r="DO237" i="123" s="1"/>
  <c r="DN237" i="123" s="1"/>
  <c r="EC237" i="123" s="1"/>
  <c r="AD238" i="123"/>
  <c r="CV238" i="123" s="1"/>
  <c r="AE238" i="123"/>
  <c r="AF238" i="123"/>
  <c r="DO238" i="123" a="1"/>
  <c r="DO238" i="123" s="1"/>
  <c r="DN238" i="123" s="1"/>
  <c r="EC238" i="123" s="1"/>
  <c r="AD239" i="123"/>
  <c r="CV239" i="123" s="1"/>
  <c r="AE239" i="123"/>
  <c r="AF239" i="123"/>
  <c r="DO239" i="123" a="1"/>
  <c r="DO239" i="123" s="1"/>
  <c r="DN239" i="123" s="1"/>
  <c r="EC239" i="123" s="1"/>
  <c r="AD240" i="123"/>
  <c r="CV240" i="123" s="1"/>
  <c r="AE240" i="123"/>
  <c r="AF240" i="123"/>
  <c r="DO240" i="123" a="1"/>
  <c r="DO240" i="123" s="1"/>
  <c r="DN240" i="123" s="1"/>
  <c r="EC240" i="123" s="1"/>
  <c r="AD241" i="123"/>
  <c r="CV241" i="123" s="1"/>
  <c r="AE241" i="123"/>
  <c r="AF241" i="123"/>
  <c r="DO241" i="123" a="1"/>
  <c r="DO241" i="123" s="1"/>
  <c r="DN241" i="123" s="1"/>
  <c r="EC241" i="123" s="1"/>
  <c r="AD242" i="123"/>
  <c r="CV242" i="123" s="1"/>
  <c r="AE242" i="123"/>
  <c r="AF242" i="123"/>
  <c r="DO242" i="123" a="1"/>
  <c r="DO242" i="123" s="1"/>
  <c r="DN242" i="123" s="1"/>
  <c r="EC242" i="123" s="1"/>
  <c r="AD243" i="123"/>
  <c r="CV243" i="123" s="1"/>
  <c r="AE243" i="123"/>
  <c r="AF243" i="123"/>
  <c r="DO243" i="123" a="1"/>
  <c r="DO243" i="123" s="1"/>
  <c r="DN243" i="123" s="1"/>
  <c r="EC243" i="123" s="1"/>
  <c r="AD244" i="123"/>
  <c r="CV244" i="123" s="1"/>
  <c r="AE244" i="123"/>
  <c r="AF244" i="123"/>
  <c r="DO244" i="123" a="1"/>
  <c r="DO244" i="123" s="1"/>
  <c r="DN244" i="123" s="1"/>
  <c r="EC244" i="123" s="1"/>
  <c r="AD245" i="123"/>
  <c r="CV245" i="123" s="1"/>
  <c r="AE245" i="123"/>
  <c r="AF245" i="123"/>
  <c r="DO245" i="123" a="1"/>
  <c r="DO245" i="123" s="1"/>
  <c r="DN245" i="123" s="1"/>
  <c r="EC245" i="123" s="1"/>
  <c r="AD246" i="123"/>
  <c r="CV246" i="123" s="1"/>
  <c r="AE246" i="123"/>
  <c r="AF246" i="123"/>
  <c r="DO246" i="123" a="1"/>
  <c r="DO246" i="123" s="1"/>
  <c r="DN246" i="123" s="1"/>
  <c r="EC246" i="123" s="1"/>
  <c r="AD247" i="123"/>
  <c r="CV247" i="123" s="1"/>
  <c r="AE247" i="123"/>
  <c r="AF247" i="123"/>
  <c r="DO247" i="123" a="1"/>
  <c r="DO247" i="123" s="1"/>
  <c r="DN247" i="123" s="1"/>
  <c r="EC247" i="123" s="1"/>
  <c r="AD248" i="123"/>
  <c r="CV248" i="123" s="1"/>
  <c r="AE248" i="123"/>
  <c r="AF248" i="123"/>
  <c r="DO248" i="123" a="1"/>
  <c r="DO248" i="123" s="1"/>
  <c r="DN248" i="123" s="1"/>
  <c r="EC248" i="123" s="1"/>
  <c r="AD249" i="123"/>
  <c r="CV249" i="123" s="1"/>
  <c r="AE249" i="123"/>
  <c r="AF249" i="123"/>
  <c r="DO249" i="123" a="1"/>
  <c r="DO249" i="123" s="1"/>
  <c r="DN249" i="123" s="1"/>
  <c r="EC249" i="123" s="1"/>
  <c r="AD250" i="123"/>
  <c r="CV250" i="123" s="1"/>
  <c r="AE250" i="123"/>
  <c r="AF250" i="123"/>
  <c r="DO250" i="123" a="1"/>
  <c r="DO250" i="123" s="1"/>
  <c r="DN250" i="123" s="1"/>
  <c r="EC250" i="123" s="1"/>
  <c r="AD251" i="123"/>
  <c r="CV251" i="123" s="1"/>
  <c r="AE251" i="123"/>
  <c r="AF251" i="123"/>
  <c r="DO251" i="123" a="1"/>
  <c r="DO251" i="123" s="1"/>
  <c r="DN251" i="123" s="1"/>
  <c r="EC251" i="123" s="1"/>
  <c r="AD252" i="123"/>
  <c r="CV252" i="123" s="1"/>
  <c r="AE252" i="123"/>
  <c r="AF252" i="123"/>
  <c r="DO252" i="123" a="1"/>
  <c r="DO252" i="123" s="1"/>
  <c r="DN252" i="123" s="1"/>
  <c r="EC252" i="123" s="1"/>
  <c r="AD253" i="123"/>
  <c r="CV253" i="123" s="1"/>
  <c r="AE253" i="123"/>
  <c r="AF253" i="123"/>
  <c r="DO253" i="123" a="1"/>
  <c r="DO253" i="123" s="1"/>
  <c r="DN253" i="123" s="1"/>
  <c r="EC253" i="123" s="1"/>
  <c r="AD254" i="123"/>
  <c r="CV254" i="123" s="1"/>
  <c r="AE254" i="123"/>
  <c r="AF254" i="123"/>
  <c r="DO254" i="123" a="1"/>
  <c r="DO254" i="123" s="1"/>
  <c r="DN254" i="123" s="1"/>
  <c r="EC254" i="123" s="1"/>
  <c r="AD255" i="123"/>
  <c r="CV255" i="123" s="1"/>
  <c r="AE255" i="123"/>
  <c r="AF255" i="123"/>
  <c r="DO255" i="123" a="1"/>
  <c r="DO255" i="123" s="1"/>
  <c r="DN255" i="123" s="1"/>
  <c r="EC255" i="123" s="1"/>
  <c r="AD256" i="123"/>
  <c r="CV256" i="123" s="1"/>
  <c r="AE256" i="123"/>
  <c r="AF256" i="123"/>
  <c r="DO256" i="123" a="1"/>
  <c r="DO256" i="123" s="1"/>
  <c r="DN256" i="123" s="1"/>
  <c r="EC256" i="123" s="1"/>
  <c r="AD257" i="123"/>
  <c r="CV257" i="123" s="1"/>
  <c r="AE257" i="123"/>
  <c r="AF257" i="123"/>
  <c r="DO257" i="123" a="1"/>
  <c r="DO257" i="123" s="1"/>
  <c r="DN257" i="123" s="1"/>
  <c r="EC257" i="123" s="1"/>
  <c r="AD258" i="123"/>
  <c r="CV258" i="123" s="1"/>
  <c r="AE258" i="123"/>
  <c r="AF258" i="123"/>
  <c r="DO258" i="123" a="1"/>
  <c r="DO258" i="123" s="1"/>
  <c r="DN258" i="123" s="1"/>
  <c r="EC258" i="123" s="1"/>
  <c r="AD259" i="123"/>
  <c r="CV259" i="123" s="1"/>
  <c r="AE259" i="123"/>
  <c r="AF259" i="123"/>
  <c r="DO259" i="123" a="1"/>
  <c r="DO259" i="123" s="1"/>
  <c r="DN259" i="123" s="1"/>
  <c r="EC259" i="123" s="1"/>
  <c r="AD260" i="123"/>
  <c r="CV260" i="123" s="1"/>
  <c r="AE260" i="123"/>
  <c r="AF260" i="123"/>
  <c r="DO260" i="123" a="1"/>
  <c r="DO260" i="123" s="1"/>
  <c r="DN260" i="123" s="1"/>
  <c r="EC260" i="123" s="1"/>
  <c r="AD261" i="123"/>
  <c r="CV261" i="123" s="1"/>
  <c r="AE261" i="123"/>
  <c r="AF261" i="123"/>
  <c r="DO261" i="123" a="1"/>
  <c r="DO261" i="123" s="1"/>
  <c r="DN261" i="123" s="1"/>
  <c r="EC261" i="123" s="1"/>
  <c r="AD262" i="123"/>
  <c r="CV262" i="123" s="1"/>
  <c r="AE262" i="123"/>
  <c r="AF262" i="123"/>
  <c r="DO262" i="123" a="1"/>
  <c r="DO262" i="123" s="1"/>
  <c r="DN262" i="123" s="1"/>
  <c r="EC262" i="123" s="1"/>
  <c r="AD263" i="123"/>
  <c r="CV263" i="123" s="1"/>
  <c r="AE263" i="123"/>
  <c r="AF263" i="123"/>
  <c r="DO263" i="123" a="1"/>
  <c r="DO263" i="123" s="1"/>
  <c r="DN263" i="123" s="1"/>
  <c r="EC263" i="123" s="1"/>
  <c r="AD264" i="123"/>
  <c r="CV264" i="123" s="1"/>
  <c r="AE264" i="123"/>
  <c r="AF264" i="123"/>
  <c r="DO264" i="123" a="1"/>
  <c r="DO264" i="123" s="1"/>
  <c r="DN264" i="123" s="1"/>
  <c r="EC264" i="123" s="1"/>
  <c r="AD265" i="123"/>
  <c r="CV265" i="123" s="1"/>
  <c r="AE265" i="123"/>
  <c r="AF265" i="123"/>
  <c r="DO265" i="123" a="1"/>
  <c r="DO265" i="123" s="1"/>
  <c r="DN265" i="123" s="1"/>
  <c r="EC265" i="123" s="1"/>
  <c r="AD266" i="123"/>
  <c r="CV266" i="123" s="1"/>
  <c r="AE266" i="123"/>
  <c r="AF266" i="123"/>
  <c r="DO266" i="123" a="1"/>
  <c r="DO266" i="123" s="1"/>
  <c r="DN266" i="123" s="1"/>
  <c r="EC266" i="123" s="1"/>
  <c r="AD267" i="123"/>
  <c r="CV267" i="123" s="1"/>
  <c r="AE267" i="123"/>
  <c r="AF267" i="123"/>
  <c r="DO267" i="123" a="1"/>
  <c r="DO267" i="123" s="1"/>
  <c r="DN267" i="123" s="1"/>
  <c r="EC267" i="123" s="1"/>
  <c r="AD268" i="123"/>
  <c r="CV268" i="123" s="1"/>
  <c r="AE268" i="123"/>
  <c r="AF268" i="123"/>
  <c r="DO268" i="123" a="1"/>
  <c r="DO268" i="123" s="1"/>
  <c r="DN268" i="123" s="1"/>
  <c r="EC268" i="123" s="1"/>
  <c r="AD269" i="123"/>
  <c r="CV269" i="123" s="1"/>
  <c r="AE269" i="123"/>
  <c r="AF269" i="123"/>
  <c r="DO269" i="123" a="1"/>
  <c r="DO269" i="123" s="1"/>
  <c r="DN269" i="123" s="1"/>
  <c r="EC269" i="123" s="1"/>
  <c r="AD270" i="123"/>
  <c r="CV270" i="123" s="1"/>
  <c r="AE270" i="123"/>
  <c r="AF270" i="123"/>
  <c r="DO270" i="123" a="1"/>
  <c r="DO270" i="123" s="1"/>
  <c r="DN270" i="123" s="1"/>
  <c r="EC270" i="123" s="1"/>
  <c r="AD271" i="123"/>
  <c r="CV271" i="123" s="1"/>
  <c r="AE271" i="123"/>
  <c r="AF271" i="123"/>
  <c r="DO271" i="123" a="1"/>
  <c r="DO271" i="123" s="1"/>
  <c r="DN271" i="123" s="1"/>
  <c r="EC271" i="123" s="1"/>
  <c r="AD272" i="123"/>
  <c r="CV272" i="123" s="1"/>
  <c r="AE272" i="123"/>
  <c r="AF272" i="123"/>
  <c r="DO272" i="123" a="1"/>
  <c r="DO272" i="123" s="1"/>
  <c r="DN272" i="123" s="1"/>
  <c r="EC272" i="123" s="1"/>
  <c r="AD273" i="123"/>
  <c r="CV273" i="123" s="1"/>
  <c r="AE273" i="123"/>
  <c r="AF273" i="123"/>
  <c r="DO273" i="123" a="1"/>
  <c r="DO273" i="123" s="1"/>
  <c r="DN273" i="123" s="1"/>
  <c r="EC273" i="123" s="1"/>
  <c r="AD274" i="123"/>
  <c r="CV274" i="123" s="1"/>
  <c r="AE274" i="123"/>
  <c r="AF274" i="123"/>
  <c r="DO274" i="123" a="1"/>
  <c r="DO274" i="123" s="1"/>
  <c r="DN274" i="123" s="1"/>
  <c r="EC274" i="123" s="1"/>
  <c r="AD275" i="123"/>
  <c r="CV275" i="123" s="1"/>
  <c r="AE275" i="123"/>
  <c r="AF275" i="123"/>
  <c r="DO275" i="123" a="1"/>
  <c r="DO275" i="123" s="1"/>
  <c r="DN275" i="123" s="1"/>
  <c r="EC275" i="123" s="1"/>
  <c r="AD276" i="123"/>
  <c r="CV276" i="123" s="1"/>
  <c r="AE276" i="123"/>
  <c r="AF276" i="123"/>
  <c r="DO276" i="123" a="1"/>
  <c r="DO276" i="123" s="1"/>
  <c r="DN276" i="123" s="1"/>
  <c r="EC276" i="123" s="1"/>
  <c r="AD277" i="123"/>
  <c r="CV277" i="123" s="1"/>
  <c r="AE277" i="123"/>
  <c r="AF277" i="123"/>
  <c r="DO277" i="123" a="1"/>
  <c r="DO277" i="123" s="1"/>
  <c r="DN277" i="123" s="1"/>
  <c r="EC277" i="123" s="1"/>
  <c r="AD278" i="123"/>
  <c r="CV278" i="123" s="1"/>
  <c r="AE278" i="123"/>
  <c r="AF278" i="123"/>
  <c r="DO278" i="123" a="1"/>
  <c r="DO278" i="123" s="1"/>
  <c r="DN278" i="123" s="1"/>
  <c r="EC278" i="123" s="1"/>
  <c r="AD279" i="123"/>
  <c r="CV279" i="123" s="1"/>
  <c r="AE279" i="123"/>
  <c r="AF279" i="123"/>
  <c r="DO279" i="123" a="1"/>
  <c r="DO279" i="123" s="1"/>
  <c r="DN279" i="123" s="1"/>
  <c r="EC279" i="123" s="1"/>
  <c r="AD280" i="123"/>
  <c r="CV280" i="123" s="1"/>
  <c r="AE280" i="123"/>
  <c r="AF280" i="123"/>
  <c r="DO280" i="123" a="1"/>
  <c r="DO280" i="123" s="1"/>
  <c r="DN280" i="123" s="1"/>
  <c r="EC280" i="123" s="1"/>
  <c r="AD281" i="123"/>
  <c r="CV281" i="123" s="1"/>
  <c r="AE281" i="123"/>
  <c r="AF281" i="123"/>
  <c r="DO281" i="123" a="1"/>
  <c r="DO281" i="123" s="1"/>
  <c r="DN281" i="123" s="1"/>
  <c r="EC281" i="123" s="1"/>
  <c r="AD282" i="123"/>
  <c r="CV282" i="123" s="1"/>
  <c r="AE282" i="123"/>
  <c r="AF282" i="123"/>
  <c r="DO282" i="123" a="1"/>
  <c r="DO282" i="123" s="1"/>
  <c r="DN282" i="123" s="1"/>
  <c r="EC282" i="123" s="1"/>
  <c r="AD283" i="123"/>
  <c r="CV283" i="123" s="1"/>
  <c r="AE283" i="123"/>
  <c r="AF283" i="123"/>
  <c r="DO283" i="123" a="1"/>
  <c r="DO283" i="123" s="1"/>
  <c r="DN283" i="123" s="1"/>
  <c r="EC283" i="123" s="1"/>
  <c r="AD284" i="123"/>
  <c r="CV284" i="123" s="1"/>
  <c r="AE284" i="123"/>
  <c r="AF284" i="123"/>
  <c r="DO284" i="123" a="1"/>
  <c r="DO284" i="123" s="1"/>
  <c r="DN284" i="123" s="1"/>
  <c r="EC284" i="123" s="1"/>
  <c r="AD285" i="123"/>
  <c r="CV285" i="123" s="1"/>
  <c r="AE285" i="123"/>
  <c r="AF285" i="123"/>
  <c r="DO285" i="123" a="1"/>
  <c r="DO285" i="123" s="1"/>
  <c r="DN285" i="123" s="1"/>
  <c r="EC285" i="123" s="1"/>
  <c r="AD286" i="123"/>
  <c r="CV286" i="123" s="1"/>
  <c r="AE286" i="123"/>
  <c r="AF286" i="123"/>
  <c r="DO286" i="123" a="1"/>
  <c r="DO286" i="123" s="1"/>
  <c r="DN286" i="123" s="1"/>
  <c r="EC286" i="123" s="1"/>
  <c r="AD287" i="123"/>
  <c r="CV287" i="123" s="1"/>
  <c r="AE287" i="123"/>
  <c r="AF287" i="123"/>
  <c r="DO287" i="123" a="1"/>
  <c r="DO287" i="123" s="1"/>
  <c r="DN287" i="123" s="1"/>
  <c r="EC287" i="123" s="1"/>
  <c r="AD288" i="123"/>
  <c r="CV288" i="123" s="1"/>
  <c r="AE288" i="123"/>
  <c r="AF288" i="123"/>
  <c r="DO288" i="123" a="1"/>
  <c r="DO288" i="123" s="1"/>
  <c r="DN288" i="123" s="1"/>
  <c r="EC288" i="123" s="1"/>
  <c r="AD289" i="123"/>
  <c r="CV289" i="123" s="1"/>
  <c r="AE289" i="123"/>
  <c r="AF289" i="123"/>
  <c r="DO289" i="123" a="1"/>
  <c r="DO289" i="123" s="1"/>
  <c r="DN289" i="123" s="1"/>
  <c r="EC289" i="123" s="1"/>
  <c r="AD290" i="123"/>
  <c r="CV290" i="123" s="1"/>
  <c r="AE290" i="123"/>
  <c r="AF290" i="123"/>
  <c r="DO290" i="123" a="1"/>
  <c r="DO290" i="123" s="1"/>
  <c r="DN290" i="123" s="1"/>
  <c r="EC290" i="123" s="1"/>
  <c r="AD291" i="123"/>
  <c r="CV291" i="123" s="1"/>
  <c r="AE291" i="123"/>
  <c r="AF291" i="123"/>
  <c r="DO291" i="123" a="1"/>
  <c r="DO291" i="123" s="1"/>
  <c r="DN291" i="123" s="1"/>
  <c r="EC291" i="123" s="1"/>
  <c r="AD292" i="123"/>
  <c r="CV292" i="123" s="1"/>
  <c r="AE292" i="123"/>
  <c r="AF292" i="123"/>
  <c r="DO292" i="123" a="1"/>
  <c r="DO292" i="123" s="1"/>
  <c r="DN292" i="123" s="1"/>
  <c r="EC292" i="123" s="1"/>
  <c r="AD293" i="123"/>
  <c r="CV293" i="123" s="1"/>
  <c r="AE293" i="123"/>
  <c r="AF293" i="123"/>
  <c r="DO293" i="123" a="1"/>
  <c r="DO293" i="123" s="1"/>
  <c r="DN293" i="123" s="1"/>
  <c r="EC293" i="123" s="1"/>
  <c r="AD294" i="123"/>
  <c r="CV294" i="123" s="1"/>
  <c r="AE294" i="123"/>
  <c r="AF294" i="123"/>
  <c r="DO294" i="123" a="1"/>
  <c r="DO294" i="123" s="1"/>
  <c r="DN294" i="123" s="1"/>
  <c r="EC294" i="123" s="1"/>
  <c r="AD295" i="123"/>
  <c r="CV295" i="123" s="1"/>
  <c r="AE295" i="123"/>
  <c r="AF295" i="123"/>
  <c r="DO295" i="123" a="1"/>
  <c r="DO295" i="123" s="1"/>
  <c r="DN295" i="123" s="1"/>
  <c r="EC295" i="123" s="1"/>
  <c r="AD296" i="123"/>
  <c r="CV296" i="123" s="1"/>
  <c r="AE296" i="123"/>
  <c r="AF296" i="123"/>
  <c r="DO296" i="123" a="1"/>
  <c r="DO296" i="123" s="1"/>
  <c r="DN296" i="123" s="1"/>
  <c r="EC296" i="123" s="1"/>
  <c r="AD297" i="123"/>
  <c r="CV297" i="123" s="1"/>
  <c r="AE297" i="123"/>
  <c r="AF297" i="123"/>
  <c r="DO297" i="123" a="1"/>
  <c r="DO297" i="123" s="1"/>
  <c r="DN297" i="123" s="1"/>
  <c r="EC297" i="123" s="1"/>
  <c r="AD298" i="123"/>
  <c r="CV298" i="123" s="1"/>
  <c r="AE298" i="123"/>
  <c r="AF298" i="123"/>
  <c r="DO298" i="123" a="1"/>
  <c r="DO298" i="123" s="1"/>
  <c r="DN298" i="123" s="1"/>
  <c r="EC298" i="123" s="1"/>
  <c r="AD299" i="123"/>
  <c r="CV299" i="123" s="1"/>
  <c r="AE299" i="123"/>
  <c r="AF299" i="123"/>
  <c r="DO299" i="123" a="1"/>
  <c r="DO299" i="123" s="1"/>
  <c r="DN299" i="123" s="1"/>
  <c r="EC299" i="123" s="1"/>
  <c r="AD300" i="123"/>
  <c r="CV300" i="123" s="1"/>
  <c r="AE300" i="123"/>
  <c r="AF300" i="123"/>
  <c r="DO300" i="123" a="1"/>
  <c r="DO300" i="123" s="1"/>
  <c r="DN300" i="123" s="1"/>
  <c r="EC300" i="123" s="1"/>
  <c r="AD301" i="123"/>
  <c r="CV301" i="123" s="1"/>
  <c r="AE301" i="123"/>
  <c r="AF301" i="123"/>
  <c r="DO301" i="123" a="1"/>
  <c r="DO301" i="123" s="1"/>
  <c r="DN301" i="123" s="1"/>
  <c r="EC301" i="123" s="1"/>
  <c r="AD302" i="123"/>
  <c r="CV302" i="123" s="1"/>
  <c r="AE302" i="123"/>
  <c r="AF302" i="123"/>
  <c r="DO302" i="123" a="1"/>
  <c r="DO302" i="123" s="1"/>
  <c r="DN302" i="123" s="1"/>
  <c r="EC302" i="123" s="1"/>
  <c r="AD303" i="123"/>
  <c r="CV303" i="123" s="1"/>
  <c r="AE303" i="123"/>
  <c r="AF303" i="123"/>
  <c r="DO303" i="123" a="1"/>
  <c r="DO303" i="123" s="1"/>
  <c r="DN303" i="123" s="1"/>
  <c r="EC303" i="123" s="1"/>
  <c r="AD304" i="123"/>
  <c r="CV304" i="123" s="1"/>
  <c r="AE304" i="123"/>
  <c r="AF304" i="123"/>
  <c r="DO304" i="123" a="1"/>
  <c r="DO304" i="123" s="1"/>
  <c r="DN304" i="123" s="1"/>
  <c r="EC304" i="123" s="1"/>
  <c r="CV198" i="123" l="1"/>
  <c r="CV196" i="123"/>
  <c r="CV193" i="123"/>
  <c r="CV208" i="123"/>
  <c r="CV202" i="123"/>
  <c r="CV199" i="123"/>
  <c r="CV197" i="123"/>
  <c r="CV192" i="123"/>
  <c r="CV232" i="123"/>
  <c r="CV226" i="123"/>
  <c r="CV225" i="123"/>
  <c r="CV207" i="123"/>
  <c r="CV204" i="123"/>
  <c r="CV201" i="123"/>
  <c r="CV195" i="123"/>
  <c r="CV191" i="123"/>
  <c r="CV190" i="123"/>
  <c r="CV183" i="123"/>
  <c r="CV175" i="123"/>
  <c r="CV155" i="123"/>
  <c r="CV135" i="123"/>
  <c r="CV130" i="123"/>
  <c r="CV129" i="123"/>
  <c r="DA304" i="123"/>
  <c r="DD304" i="123"/>
  <c r="DE304" i="123" s="1"/>
  <c r="DF304" i="123" s="1"/>
  <c r="DD303" i="123"/>
  <c r="DA303" i="123"/>
  <c r="DD302" i="123"/>
  <c r="DE302" i="123" s="1"/>
  <c r="DA302" i="123"/>
  <c r="DD301" i="123"/>
  <c r="DA301" i="123"/>
  <c r="DA300" i="123"/>
  <c r="DD300" i="123"/>
  <c r="DE300" i="123" s="1"/>
  <c r="DF300" i="123" s="1"/>
  <c r="DA299" i="123"/>
  <c r="DD299" i="123"/>
  <c r="DD298" i="123"/>
  <c r="DE298" i="123" s="1"/>
  <c r="DF298" i="123" s="1"/>
  <c r="DA298" i="123"/>
  <c r="DD297" i="123"/>
  <c r="DA297" i="123"/>
  <c r="DA296" i="123"/>
  <c r="DD296" i="123"/>
  <c r="DE296" i="123" s="1"/>
  <c r="DD295" i="123"/>
  <c r="DA295" i="123"/>
  <c r="DD294" i="123"/>
  <c r="DE294" i="123" s="1"/>
  <c r="DF294" i="123" s="1"/>
  <c r="DA294" i="123"/>
  <c r="DD293" i="123"/>
  <c r="DA293" i="123"/>
  <c r="DA292" i="123"/>
  <c r="DD292" i="123"/>
  <c r="DE292" i="123" s="1"/>
  <c r="DF292" i="123" s="1"/>
  <c r="DD291" i="123"/>
  <c r="DA291" i="123"/>
  <c r="DD290" i="123"/>
  <c r="DA290" i="123"/>
  <c r="DD289" i="123"/>
  <c r="DA289" i="123"/>
  <c r="DA288" i="123"/>
  <c r="DD288" i="123"/>
  <c r="DE288" i="123" s="1"/>
  <c r="DF288" i="123" s="1"/>
  <c r="DD287" i="123"/>
  <c r="DA287" i="123"/>
  <c r="DD286" i="123"/>
  <c r="DE286" i="123" s="1"/>
  <c r="DA286" i="123"/>
  <c r="DD285" i="123"/>
  <c r="DA285" i="123"/>
  <c r="DA284" i="123"/>
  <c r="DD284" i="123"/>
  <c r="DE284" i="123" s="1"/>
  <c r="DF284" i="123" s="1"/>
  <c r="DD283" i="123"/>
  <c r="DA283" i="123"/>
  <c r="DD282" i="123"/>
  <c r="DE282" i="123" s="1"/>
  <c r="DF282" i="123" s="1"/>
  <c r="DA282" i="123"/>
  <c r="DD281" i="123"/>
  <c r="DA281" i="123"/>
  <c r="DA280" i="123"/>
  <c r="DD280" i="123"/>
  <c r="DE280" i="123" s="1"/>
  <c r="DD279" i="123"/>
  <c r="DA279" i="123"/>
  <c r="DA278" i="123"/>
  <c r="DD278" i="123"/>
  <c r="DE278" i="123" s="1"/>
  <c r="DF278" i="123" s="1"/>
  <c r="DD277" i="123"/>
  <c r="DA277" i="123"/>
  <c r="DA276" i="123"/>
  <c r="DD276" i="123"/>
  <c r="DE276" i="123" s="1"/>
  <c r="DF276" i="123" s="1"/>
  <c r="DD275" i="123"/>
  <c r="DA275" i="123"/>
  <c r="DD274" i="123"/>
  <c r="DE274" i="123" s="1"/>
  <c r="DF274" i="123" s="1"/>
  <c r="DA274" i="123"/>
  <c r="DD273" i="123"/>
  <c r="DA273" i="123"/>
  <c r="DA272" i="123"/>
  <c r="DD272" i="123"/>
  <c r="DE272" i="123" s="1"/>
  <c r="DF272" i="123" s="1"/>
  <c r="DA271" i="123"/>
  <c r="DD271" i="123"/>
  <c r="DD270" i="123"/>
  <c r="DE270" i="123" s="1"/>
  <c r="DA270" i="123"/>
  <c r="DD269" i="123"/>
  <c r="DA269" i="123"/>
  <c r="DA268" i="123"/>
  <c r="DD268" i="123"/>
  <c r="DE268" i="123" s="1"/>
  <c r="DF268" i="123" s="1"/>
  <c r="DD267" i="123"/>
  <c r="DA267" i="123"/>
  <c r="DD266" i="123"/>
  <c r="DE266" i="123" s="1"/>
  <c r="DF266" i="123" s="1"/>
  <c r="DA266" i="123"/>
  <c r="DD265" i="123"/>
  <c r="DA265" i="123"/>
  <c r="DA264" i="123"/>
  <c r="DD264" i="123"/>
  <c r="DE264" i="123" s="1"/>
  <c r="DA263" i="123"/>
  <c r="DD263" i="123"/>
  <c r="DD262" i="123"/>
  <c r="DA262" i="123"/>
  <c r="DD261" i="123"/>
  <c r="DA261" i="123"/>
  <c r="DA260" i="123"/>
  <c r="DD260" i="123"/>
  <c r="DE260" i="123" s="1"/>
  <c r="DF260" i="123" s="1"/>
  <c r="DD259" i="123"/>
  <c r="DA259" i="123"/>
  <c r="DD258" i="123"/>
  <c r="DE258" i="123" s="1"/>
  <c r="DF258" i="123" s="1"/>
  <c r="DA258" i="123"/>
  <c r="DD257" i="123"/>
  <c r="DA257" i="123"/>
  <c r="DA256" i="123"/>
  <c r="DD256" i="123"/>
  <c r="DE256" i="123" s="1"/>
  <c r="DF256" i="123" s="1"/>
  <c r="DD255" i="123"/>
  <c r="DA255" i="123"/>
  <c r="DD254" i="123"/>
  <c r="DE254" i="123" s="1"/>
  <c r="DA254" i="123"/>
  <c r="DD253" i="123"/>
  <c r="DA253" i="123"/>
  <c r="DA252" i="123"/>
  <c r="DD252" i="123"/>
  <c r="DE252" i="123" s="1"/>
  <c r="DF252" i="123" s="1"/>
  <c r="DD251" i="123"/>
  <c r="DA251" i="123"/>
  <c r="DA250" i="123"/>
  <c r="DD250" i="123"/>
  <c r="DE250" i="123" s="1"/>
  <c r="DF250" i="123" s="1"/>
  <c r="DD249" i="123"/>
  <c r="DA249" i="123"/>
  <c r="DA248" i="123"/>
  <c r="DD248" i="123"/>
  <c r="DE248" i="123" s="1"/>
  <c r="DD247" i="123"/>
  <c r="DA247" i="123"/>
  <c r="DD246" i="123"/>
  <c r="DE246" i="123" s="1"/>
  <c r="DF246" i="123" s="1"/>
  <c r="DA246" i="123"/>
  <c r="DD245" i="123"/>
  <c r="DA245" i="123"/>
  <c r="DA244" i="123"/>
  <c r="DD244" i="123"/>
  <c r="DE244" i="123" s="1"/>
  <c r="DF244" i="123" s="1"/>
  <c r="DD243" i="123"/>
  <c r="DA243" i="123"/>
  <c r="DA242" i="123"/>
  <c r="DD242" i="123"/>
  <c r="DE242" i="123" s="1"/>
  <c r="DF242" i="123" s="1"/>
  <c r="DD241" i="123"/>
  <c r="DE241" i="123" s="1"/>
  <c r="DA241" i="123"/>
  <c r="DA240" i="123"/>
  <c r="DD240" i="123"/>
  <c r="DE240" i="123" s="1"/>
  <c r="DD239" i="123"/>
  <c r="DA239" i="123"/>
  <c r="DD238" i="123"/>
  <c r="DA238" i="123"/>
  <c r="DD237" i="123"/>
  <c r="DA237" i="123"/>
  <c r="DA236" i="123"/>
  <c r="DD236" i="123"/>
  <c r="DE236" i="123" s="1"/>
  <c r="DA235" i="123"/>
  <c r="DD235" i="123"/>
  <c r="DE235" i="123" s="1"/>
  <c r="DF235" i="123" s="1"/>
  <c r="DD234" i="123"/>
  <c r="DE234" i="123" s="1"/>
  <c r="DA234" i="123"/>
  <c r="DD233" i="123"/>
  <c r="DA233" i="123"/>
  <c r="DA232" i="123"/>
  <c r="DD232" i="123"/>
  <c r="DE232" i="123" s="1"/>
  <c r="DD230" i="123"/>
  <c r="DA230" i="123"/>
  <c r="DD229" i="123"/>
  <c r="DE229" i="123" s="1"/>
  <c r="DA229" i="123"/>
  <c r="DA228" i="123"/>
  <c r="DD228" i="123"/>
  <c r="DE228" i="123" s="1"/>
  <c r="DD226" i="123"/>
  <c r="DE226" i="123" s="1"/>
  <c r="DF226" i="123" s="1"/>
  <c r="DA226" i="123"/>
  <c r="DD225" i="123"/>
  <c r="DA225" i="123"/>
  <c r="DA209" i="123"/>
  <c r="DD209" i="123"/>
  <c r="DE209" i="123" s="1"/>
  <c r="DF209" i="123" s="1"/>
  <c r="DD208" i="123"/>
  <c r="DE208" i="123" s="1"/>
  <c r="DA208" i="123"/>
  <c r="DD207" i="123"/>
  <c r="DE207" i="123" s="1"/>
  <c r="DF207" i="123" s="1"/>
  <c r="DA207" i="123"/>
  <c r="DD206" i="123"/>
  <c r="DA206" i="123"/>
  <c r="DA205" i="123"/>
  <c r="DD205" i="123"/>
  <c r="DE205" i="123" s="1"/>
  <c r="DA204" i="123"/>
  <c r="DD204" i="123"/>
  <c r="DE204" i="123" s="1"/>
  <c r="DA203" i="123"/>
  <c r="DD203" i="123"/>
  <c r="DE203" i="123" s="1"/>
  <c r="DD202" i="123"/>
  <c r="DA202" i="123"/>
  <c r="DA201" i="123"/>
  <c r="DD201" i="123"/>
  <c r="DE201" i="123" s="1"/>
  <c r="DF201" i="123" s="1"/>
  <c r="DD200" i="123"/>
  <c r="DA200" i="123"/>
  <c r="DD199" i="123"/>
  <c r="DE199" i="123" s="1"/>
  <c r="DF199" i="123" s="1"/>
  <c r="DA199" i="123"/>
  <c r="DD198" i="123"/>
  <c r="DE198" i="123" s="1"/>
  <c r="DF198" i="123" s="1"/>
  <c r="DA198" i="123"/>
  <c r="DA197" i="123"/>
  <c r="DD197" i="123"/>
  <c r="DE197" i="123" s="1"/>
  <c r="DD196" i="123"/>
  <c r="DA196" i="123"/>
  <c r="DD195" i="123"/>
  <c r="DE195" i="123" s="1"/>
  <c r="DF195" i="123" s="1"/>
  <c r="DA195" i="123"/>
  <c r="DD194" i="123"/>
  <c r="DE194" i="123" s="1"/>
  <c r="DF194" i="123" s="1"/>
  <c r="DA194" i="123"/>
  <c r="DA193" i="123"/>
  <c r="DD193" i="123"/>
  <c r="DE193" i="123" s="1"/>
  <c r="DD192" i="123"/>
  <c r="DE192" i="123" s="1"/>
  <c r="DA192" i="123"/>
  <c r="DD191" i="123"/>
  <c r="DE191" i="123" s="1"/>
  <c r="DF191" i="123" s="1"/>
  <c r="DA191" i="123"/>
  <c r="DD190" i="123"/>
  <c r="DE190" i="123" s="1"/>
  <c r="DF190" i="123" s="1"/>
  <c r="DA190" i="123"/>
  <c r="DA189" i="123"/>
  <c r="DD189" i="123"/>
  <c r="DE189" i="123" s="1"/>
  <c r="DF189" i="123" s="1"/>
  <c r="DA188" i="123"/>
  <c r="DD188" i="123"/>
  <c r="DD187" i="123"/>
  <c r="DE187" i="123" s="1"/>
  <c r="DF187" i="123" s="1"/>
  <c r="DA187" i="123"/>
  <c r="DD186" i="123"/>
  <c r="DE186" i="123" s="1"/>
  <c r="DF186" i="123" s="1"/>
  <c r="DA186" i="123"/>
  <c r="DA185" i="123"/>
  <c r="DD185" i="123"/>
  <c r="DE185" i="123" s="1"/>
  <c r="DF185" i="123" s="1"/>
  <c r="DD184" i="123"/>
  <c r="DA184" i="123"/>
  <c r="DA183" i="123"/>
  <c r="DD183" i="123"/>
  <c r="DE183" i="123" s="1"/>
  <c r="DD182" i="123"/>
  <c r="DE182" i="123" s="1"/>
  <c r="DA182" i="123"/>
  <c r="DA181" i="123"/>
  <c r="DD181" i="123"/>
  <c r="DE181" i="123" s="1"/>
  <c r="DF181" i="123" s="1"/>
  <c r="DD180" i="123"/>
  <c r="DE180" i="123" s="1"/>
  <c r="DA180" i="123"/>
  <c r="DD179" i="123"/>
  <c r="DE179" i="123" s="1"/>
  <c r="DA179" i="123"/>
  <c r="DD178" i="123"/>
  <c r="DE178" i="123" s="1"/>
  <c r="DF178" i="123" s="1"/>
  <c r="DA178" i="123"/>
  <c r="DA177" i="123"/>
  <c r="DD177" i="123"/>
  <c r="DD176" i="123"/>
  <c r="DA176" i="123"/>
  <c r="DD175" i="123"/>
  <c r="DE175" i="123" s="1"/>
  <c r="DF175" i="123" s="1"/>
  <c r="DA175" i="123"/>
  <c r="DD174" i="123"/>
  <c r="DA174" i="123"/>
  <c r="DA173" i="123"/>
  <c r="DD173" i="123"/>
  <c r="DE173" i="123" s="1"/>
  <c r="DF173" i="123" s="1"/>
  <c r="DD172" i="123"/>
  <c r="DE172" i="123" s="1"/>
  <c r="DF172" i="123" s="1"/>
  <c r="DA172" i="123"/>
  <c r="DD171" i="123"/>
  <c r="DE171" i="123" s="1"/>
  <c r="DA171" i="123"/>
  <c r="DD170" i="123"/>
  <c r="DE170" i="123" s="1"/>
  <c r="DF170" i="123" s="1"/>
  <c r="DA170" i="123"/>
  <c r="DA169" i="123"/>
  <c r="DD169" i="123"/>
  <c r="DD168" i="123"/>
  <c r="DE168" i="123" s="1"/>
  <c r="DA168" i="123"/>
  <c r="DA167" i="123"/>
  <c r="DD167" i="123"/>
  <c r="DE167" i="123" s="1"/>
  <c r="DD166" i="123"/>
  <c r="DA166" i="123"/>
  <c r="DA165" i="123"/>
  <c r="DD165" i="123"/>
  <c r="DE165" i="123" s="1"/>
  <c r="DF165" i="123" s="1"/>
  <c r="DD164" i="123"/>
  <c r="DE164" i="123" s="1"/>
  <c r="DA164" i="123"/>
  <c r="DD163" i="123"/>
  <c r="DE163" i="123" s="1"/>
  <c r="DF163" i="123" s="1"/>
  <c r="DA163" i="123"/>
  <c r="DD162" i="123"/>
  <c r="DE162" i="123" s="1"/>
  <c r="DF162" i="123" s="1"/>
  <c r="DA162" i="123"/>
  <c r="DA161" i="123"/>
  <c r="DD161" i="123"/>
  <c r="DE161" i="123" s="1"/>
  <c r="DF161" i="123" s="1"/>
  <c r="DA160" i="123"/>
  <c r="DD160" i="123"/>
  <c r="DE160" i="123" s="1"/>
  <c r="DD159" i="123"/>
  <c r="DE159" i="123" s="1"/>
  <c r="DF159" i="123" s="1"/>
  <c r="DA159" i="123"/>
  <c r="DD158" i="123"/>
  <c r="DE158" i="123" s="1"/>
  <c r="DF158" i="123" s="1"/>
  <c r="DA158" i="123"/>
  <c r="DA157" i="123"/>
  <c r="DD157" i="123"/>
  <c r="DE157" i="123" s="1"/>
  <c r="DF157" i="123" s="1"/>
  <c r="DD156" i="123"/>
  <c r="DA156" i="123"/>
  <c r="DD155" i="123"/>
  <c r="DE155" i="123" s="1"/>
  <c r="DA155" i="123"/>
  <c r="DD154" i="123"/>
  <c r="DE154" i="123" s="1"/>
  <c r="DF154" i="123" s="1"/>
  <c r="DA154" i="123"/>
  <c r="DA153" i="123"/>
  <c r="DD153" i="123"/>
  <c r="DE153" i="123" s="1"/>
  <c r="DF153" i="123" s="1"/>
  <c r="DD152" i="123"/>
  <c r="DE152" i="123" s="1"/>
  <c r="DA152" i="123"/>
  <c r="DD151" i="123"/>
  <c r="DE151" i="123" s="1"/>
  <c r="DF151" i="123" s="1"/>
  <c r="DA151" i="123"/>
  <c r="DD150" i="123"/>
  <c r="DE150" i="123" s="1"/>
  <c r="DA150" i="123"/>
  <c r="DA149" i="123"/>
  <c r="DD149" i="123"/>
  <c r="DE149" i="123" s="1"/>
  <c r="DD148" i="123"/>
  <c r="DE148" i="123" s="1"/>
  <c r="DA148" i="123"/>
  <c r="DD147" i="123"/>
  <c r="DE147" i="123" s="1"/>
  <c r="DF147" i="123" s="1"/>
  <c r="DA147" i="123"/>
  <c r="DD146" i="123"/>
  <c r="DE146" i="123" s="1"/>
  <c r="DF146" i="123" s="1"/>
  <c r="DA146" i="123"/>
  <c r="DA145" i="123"/>
  <c r="DD145" i="123"/>
  <c r="DE145" i="123" s="1"/>
  <c r="DF145" i="123" s="1"/>
  <c r="DD144" i="123"/>
  <c r="DE144" i="123" s="1"/>
  <c r="DA144" i="123"/>
  <c r="DD143" i="123"/>
  <c r="DE143" i="123" s="1"/>
  <c r="DF143" i="123" s="1"/>
  <c r="DA143" i="123"/>
  <c r="DD142" i="123"/>
  <c r="DE142" i="123" s="1"/>
  <c r="DF142" i="123" s="1"/>
  <c r="DA142" i="123"/>
  <c r="DA141" i="123"/>
  <c r="DD141" i="123"/>
  <c r="DE141" i="123" s="1"/>
  <c r="DA140" i="123"/>
  <c r="DD140" i="123"/>
  <c r="DE140" i="123" s="1"/>
  <c r="DF140" i="123" s="1"/>
  <c r="DA139" i="123"/>
  <c r="DD139" i="123"/>
  <c r="DE139" i="123" s="1"/>
  <c r="DF139" i="123" s="1"/>
  <c r="DD138" i="123"/>
  <c r="DA138" i="123"/>
  <c r="DA137" i="123"/>
  <c r="DD137" i="123"/>
  <c r="DE137" i="123" s="1"/>
  <c r="DF137" i="123" s="1"/>
  <c r="DD136" i="123"/>
  <c r="DE136" i="123" s="1"/>
  <c r="DF136" i="123" s="1"/>
  <c r="DA136" i="123"/>
  <c r="DD135" i="123"/>
  <c r="DE135" i="123" s="1"/>
  <c r="DA135" i="123"/>
  <c r="DD134" i="123"/>
  <c r="DE134" i="123" s="1"/>
  <c r="DF134" i="123" s="1"/>
  <c r="DA134" i="123"/>
  <c r="DA133" i="123"/>
  <c r="DD133" i="123"/>
  <c r="DE133" i="123" s="1"/>
  <c r="DF133" i="123" s="1"/>
  <c r="DD132" i="123"/>
  <c r="DE132" i="123" s="1"/>
  <c r="DF132" i="123" s="1"/>
  <c r="DA132" i="123"/>
  <c r="DD131" i="123"/>
  <c r="DE131" i="123" s="1"/>
  <c r="DA131" i="123"/>
  <c r="DD130" i="123"/>
  <c r="DE130" i="123" s="1"/>
  <c r="DA130" i="123"/>
  <c r="DD129" i="123"/>
  <c r="DE129" i="123" s="1"/>
  <c r="DA129" i="123"/>
  <c r="KC25" i="1"/>
  <c r="KB20" i="1"/>
  <c r="CW304" i="123"/>
  <c r="CZ304" i="123"/>
  <c r="AR304" i="123"/>
  <c r="BW304" i="123"/>
  <c r="CW303" i="123"/>
  <c r="CZ303" i="123"/>
  <c r="BW303" i="123"/>
  <c r="AR303" i="123"/>
  <c r="CZ302" i="123"/>
  <c r="CW302" i="123"/>
  <c r="BW302" i="123"/>
  <c r="AR302" i="123"/>
  <c r="CW301" i="123"/>
  <c r="CZ301" i="123"/>
  <c r="BW301" i="123"/>
  <c r="AR301" i="123"/>
  <c r="CW300" i="123"/>
  <c r="CZ300" i="123"/>
  <c r="AR300" i="123"/>
  <c r="BW300" i="123"/>
  <c r="CW299" i="123"/>
  <c r="CZ299" i="123"/>
  <c r="BW299" i="123"/>
  <c r="AR299" i="123"/>
  <c r="CW298" i="123"/>
  <c r="CZ298" i="123"/>
  <c r="BW298" i="123"/>
  <c r="AR298" i="123"/>
  <c r="CW297" i="123"/>
  <c r="CZ297" i="123"/>
  <c r="BW297" i="123"/>
  <c r="AR297" i="123"/>
  <c r="CW296" i="123"/>
  <c r="CZ296" i="123"/>
  <c r="AR296" i="123"/>
  <c r="BW296" i="123"/>
  <c r="CW295" i="123"/>
  <c r="CZ295" i="123"/>
  <c r="BW295" i="123"/>
  <c r="AR295" i="123"/>
  <c r="CW294" i="123"/>
  <c r="CZ294" i="123"/>
  <c r="BW294" i="123"/>
  <c r="AR294" i="123"/>
  <c r="CW293" i="123"/>
  <c r="CZ293" i="123"/>
  <c r="BW293" i="123"/>
  <c r="AR293" i="123"/>
  <c r="CW292" i="123"/>
  <c r="CZ292" i="123"/>
  <c r="AR292" i="123"/>
  <c r="BW292" i="123"/>
  <c r="CW291" i="123"/>
  <c r="CZ291" i="123"/>
  <c r="BW291" i="123"/>
  <c r="AR291" i="123"/>
  <c r="CW290" i="123"/>
  <c r="CZ290" i="123"/>
  <c r="BW290" i="123"/>
  <c r="AR290" i="123"/>
  <c r="CW289" i="123"/>
  <c r="CZ289" i="123"/>
  <c r="BW289" i="123"/>
  <c r="AR289" i="123"/>
  <c r="CW288" i="123"/>
  <c r="CZ288" i="123"/>
  <c r="AR288" i="123"/>
  <c r="BW288" i="123"/>
  <c r="CW287" i="123"/>
  <c r="CZ287" i="123"/>
  <c r="BW287" i="123"/>
  <c r="AR287" i="123"/>
  <c r="CZ286" i="123"/>
  <c r="CW286" i="123"/>
  <c r="BW286" i="123"/>
  <c r="AR286" i="123"/>
  <c r="CW285" i="123"/>
  <c r="CZ285" i="123"/>
  <c r="BW285" i="123"/>
  <c r="AR285" i="123"/>
  <c r="CW284" i="123"/>
  <c r="CZ284" i="123"/>
  <c r="AR284" i="123"/>
  <c r="BW284" i="123"/>
  <c r="CW283" i="123"/>
  <c r="CZ283" i="123"/>
  <c r="BW283" i="123"/>
  <c r="AR283" i="123"/>
  <c r="CW282" i="123"/>
  <c r="CZ282" i="123"/>
  <c r="BW282" i="123"/>
  <c r="AR282" i="123"/>
  <c r="CW281" i="123"/>
  <c r="CZ281" i="123"/>
  <c r="BW281" i="123"/>
  <c r="AR281" i="123"/>
  <c r="CW280" i="123"/>
  <c r="CZ280" i="123"/>
  <c r="AR280" i="123"/>
  <c r="BW280" i="123"/>
  <c r="CW279" i="123"/>
  <c r="CZ279" i="123"/>
  <c r="BW279" i="123"/>
  <c r="AR279" i="123"/>
  <c r="CW278" i="123"/>
  <c r="CZ278" i="123"/>
  <c r="BW278" i="123"/>
  <c r="AR278" i="123"/>
  <c r="CW277" i="123"/>
  <c r="CZ277" i="123"/>
  <c r="BW277" i="123"/>
  <c r="AR277" i="123"/>
  <c r="CW276" i="123"/>
  <c r="CZ276" i="123"/>
  <c r="AR276" i="123"/>
  <c r="BW276" i="123"/>
  <c r="CW275" i="123"/>
  <c r="CZ275" i="123"/>
  <c r="BW275" i="123"/>
  <c r="AR275" i="123"/>
  <c r="CW274" i="123"/>
  <c r="CZ274" i="123"/>
  <c r="BW274" i="123"/>
  <c r="AR274" i="123"/>
  <c r="CW273" i="123"/>
  <c r="CZ273" i="123"/>
  <c r="BW273" i="123"/>
  <c r="AR273" i="123"/>
  <c r="CW272" i="123"/>
  <c r="CZ272" i="123"/>
  <c r="AR272" i="123"/>
  <c r="BW272" i="123"/>
  <c r="CW271" i="123"/>
  <c r="CZ271" i="123"/>
  <c r="BW271" i="123"/>
  <c r="AR271" i="123"/>
  <c r="CZ270" i="123"/>
  <c r="CW270" i="123"/>
  <c r="BW270" i="123"/>
  <c r="AR270" i="123"/>
  <c r="CW269" i="123"/>
  <c r="CZ269" i="123"/>
  <c r="BW269" i="123"/>
  <c r="AR269" i="123"/>
  <c r="CW268" i="123"/>
  <c r="CZ268" i="123"/>
  <c r="AR268" i="123"/>
  <c r="BW268" i="123"/>
  <c r="CW267" i="123"/>
  <c r="CZ267" i="123"/>
  <c r="BW267" i="123"/>
  <c r="AR267" i="123"/>
  <c r="CW266" i="123"/>
  <c r="CZ266" i="123"/>
  <c r="BW266" i="123"/>
  <c r="AR266" i="123"/>
  <c r="CW265" i="123"/>
  <c r="CZ265" i="123"/>
  <c r="BW265" i="123"/>
  <c r="AR265" i="123"/>
  <c r="CW264" i="123"/>
  <c r="CZ264" i="123"/>
  <c r="AR264" i="123"/>
  <c r="BW264" i="123"/>
  <c r="CW263" i="123"/>
  <c r="CZ263" i="123"/>
  <c r="BW263" i="123"/>
  <c r="AR263" i="123"/>
  <c r="CW262" i="123"/>
  <c r="CZ262" i="123"/>
  <c r="BW262" i="123"/>
  <c r="AR262" i="123"/>
  <c r="CW261" i="123"/>
  <c r="CZ261" i="123"/>
  <c r="BW261" i="123"/>
  <c r="AR261" i="123"/>
  <c r="CW260" i="123"/>
  <c r="CZ260" i="123"/>
  <c r="AR260" i="123"/>
  <c r="BW260" i="123"/>
  <c r="CW259" i="123"/>
  <c r="CZ259" i="123"/>
  <c r="BW259" i="123"/>
  <c r="AR259" i="123"/>
  <c r="CW258" i="123"/>
  <c r="CZ258" i="123"/>
  <c r="BW258" i="123"/>
  <c r="AR258" i="123"/>
  <c r="CW257" i="123"/>
  <c r="CZ257" i="123"/>
  <c r="BW257" i="123"/>
  <c r="AR257" i="123"/>
  <c r="CW256" i="123"/>
  <c r="CZ256" i="123"/>
  <c r="AR256" i="123"/>
  <c r="BW256" i="123"/>
  <c r="CW255" i="123"/>
  <c r="CZ255" i="123"/>
  <c r="BW255" i="123"/>
  <c r="AR255" i="123"/>
  <c r="CZ254" i="123"/>
  <c r="CW254" i="123"/>
  <c r="BW254" i="123"/>
  <c r="AR254" i="123"/>
  <c r="CW253" i="123"/>
  <c r="CZ253" i="123"/>
  <c r="BW253" i="123"/>
  <c r="AR253" i="123"/>
  <c r="CW252" i="123"/>
  <c r="CZ252" i="123"/>
  <c r="AR252" i="123"/>
  <c r="BW252" i="123"/>
  <c r="CW251" i="123"/>
  <c r="CZ251" i="123"/>
  <c r="BW251" i="123"/>
  <c r="AR251" i="123"/>
  <c r="CW250" i="123"/>
  <c r="CZ250" i="123"/>
  <c r="BW250" i="123"/>
  <c r="AR250" i="123"/>
  <c r="CW249" i="123"/>
  <c r="CZ249" i="123"/>
  <c r="BW249" i="123"/>
  <c r="AR249" i="123"/>
  <c r="CW248" i="123"/>
  <c r="CZ248" i="123"/>
  <c r="AR248" i="123"/>
  <c r="BW248" i="123"/>
  <c r="CW247" i="123"/>
  <c r="CZ247" i="123"/>
  <c r="BW247" i="123"/>
  <c r="AR247" i="123"/>
  <c r="CW246" i="123"/>
  <c r="CZ246" i="123"/>
  <c r="BW246" i="123"/>
  <c r="AR246" i="123"/>
  <c r="CW245" i="123"/>
  <c r="CZ245" i="123"/>
  <c r="BW245" i="123"/>
  <c r="AR245" i="123"/>
  <c r="CW244" i="123"/>
  <c r="CZ244" i="123"/>
  <c r="AR244" i="123"/>
  <c r="BW244" i="123"/>
  <c r="CW243" i="123"/>
  <c r="CZ243" i="123"/>
  <c r="BW243" i="123"/>
  <c r="AR243" i="123"/>
  <c r="CW242" i="123"/>
  <c r="CZ242" i="123"/>
  <c r="BW242" i="123"/>
  <c r="AR242" i="123"/>
  <c r="CW241" i="123"/>
  <c r="CZ241" i="123"/>
  <c r="BW241" i="123"/>
  <c r="AR241" i="123"/>
  <c r="CW240" i="123"/>
  <c r="CZ240" i="123"/>
  <c r="AR240" i="123"/>
  <c r="BW240" i="123"/>
  <c r="CW239" i="123"/>
  <c r="CZ239" i="123"/>
  <c r="BW239" i="123"/>
  <c r="AR239" i="123"/>
  <c r="CZ238" i="123"/>
  <c r="CW238" i="123"/>
  <c r="BW238" i="123"/>
  <c r="AR238" i="123"/>
  <c r="CW237" i="123"/>
  <c r="CZ237" i="123"/>
  <c r="BW237" i="123"/>
  <c r="AR237" i="123"/>
  <c r="CW236" i="123"/>
  <c r="CZ236" i="123"/>
  <c r="AR236" i="123"/>
  <c r="BW236" i="123"/>
  <c r="CW235" i="123"/>
  <c r="CZ235" i="123"/>
  <c r="CW234" i="123"/>
  <c r="CZ234" i="123"/>
  <c r="CW233" i="123"/>
  <c r="CZ233" i="123"/>
  <c r="CW232" i="123"/>
  <c r="CZ232" i="123"/>
  <c r="BW232" i="123"/>
  <c r="AR232" i="123"/>
  <c r="CW230" i="123"/>
  <c r="CZ230" i="123"/>
  <c r="CW229" i="123"/>
  <c r="CZ229" i="123"/>
  <c r="CW228" i="123"/>
  <c r="CZ228" i="123"/>
  <c r="CW226" i="123"/>
  <c r="CZ226" i="123"/>
  <c r="BW226" i="123"/>
  <c r="T226" i="123" s="1"/>
  <c r="AR226" i="123"/>
  <c r="U226" i="123" s="1"/>
  <c r="CW225" i="123"/>
  <c r="CZ225" i="123"/>
  <c r="AR225" i="123"/>
  <c r="U225" i="123" s="1"/>
  <c r="BW225" i="123"/>
  <c r="CW209" i="123"/>
  <c r="CZ209" i="123"/>
  <c r="BW209" i="123"/>
  <c r="AR209" i="123"/>
  <c r="CW208" i="123"/>
  <c r="CZ208" i="123"/>
  <c r="AR208" i="123"/>
  <c r="BW208" i="123"/>
  <c r="CZ207" i="123"/>
  <c r="CW207" i="123"/>
  <c r="BW207" i="123"/>
  <c r="T207" i="123" s="1"/>
  <c r="AR207" i="123"/>
  <c r="U207" i="123" s="1"/>
  <c r="CW206" i="123"/>
  <c r="CZ206" i="123"/>
  <c r="AR206" i="123"/>
  <c r="BW206" i="123"/>
  <c r="CW205" i="123"/>
  <c r="CZ205" i="123"/>
  <c r="CW204" i="123"/>
  <c r="CZ204" i="123"/>
  <c r="BW204" i="123"/>
  <c r="T204" i="123" s="1"/>
  <c r="AR204" i="123"/>
  <c r="CW203" i="123"/>
  <c r="CZ203" i="123"/>
  <c r="AR203" i="123"/>
  <c r="BW203" i="123"/>
  <c r="CW202" i="123"/>
  <c r="CZ202" i="123"/>
  <c r="BW202" i="123"/>
  <c r="AR202" i="123"/>
  <c r="CW201" i="123"/>
  <c r="CZ201" i="123"/>
  <c r="BW201" i="123"/>
  <c r="T201" i="123" s="1"/>
  <c r="AR201" i="123"/>
  <c r="CW200" i="123"/>
  <c r="CZ200" i="123"/>
  <c r="BW200" i="123"/>
  <c r="AR200" i="123"/>
  <c r="CW199" i="123"/>
  <c r="CZ199" i="123"/>
  <c r="BW199" i="123"/>
  <c r="AR199" i="123"/>
  <c r="CW198" i="123"/>
  <c r="CZ198" i="123"/>
  <c r="BW198" i="123"/>
  <c r="AR198" i="123"/>
  <c r="CW197" i="123"/>
  <c r="CZ197" i="123"/>
  <c r="AR197" i="123"/>
  <c r="BW197" i="123"/>
  <c r="CW196" i="123"/>
  <c r="CZ196" i="123"/>
  <c r="BW196" i="123"/>
  <c r="AR196" i="123"/>
  <c r="CW195" i="123"/>
  <c r="CZ195" i="123"/>
  <c r="BW195" i="123"/>
  <c r="T195" i="123" s="1"/>
  <c r="AR195" i="123"/>
  <c r="CW194" i="123"/>
  <c r="CZ194" i="123"/>
  <c r="BW194" i="123"/>
  <c r="AR194" i="123"/>
  <c r="CW193" i="123"/>
  <c r="CZ193" i="123"/>
  <c r="BW193" i="123"/>
  <c r="AR193" i="123"/>
  <c r="CW192" i="123"/>
  <c r="CZ192" i="123"/>
  <c r="BW192" i="123"/>
  <c r="AR192" i="123"/>
  <c r="CZ191" i="123"/>
  <c r="CW191" i="123"/>
  <c r="AR191" i="123"/>
  <c r="U191" i="123" s="1"/>
  <c r="BW191" i="123"/>
  <c r="CW190" i="123"/>
  <c r="CZ190" i="123"/>
  <c r="BW190" i="123"/>
  <c r="T190" i="123" s="1"/>
  <c r="AR190" i="123"/>
  <c r="CW189" i="123"/>
  <c r="CZ189" i="123"/>
  <c r="AR189" i="123"/>
  <c r="BW189" i="123"/>
  <c r="CW188" i="123"/>
  <c r="CZ188" i="123"/>
  <c r="CW187" i="123"/>
  <c r="CZ187" i="123"/>
  <c r="CW186" i="123"/>
  <c r="CZ186" i="123"/>
  <c r="CW185" i="123"/>
  <c r="CZ185" i="123"/>
  <c r="CW184" i="123"/>
  <c r="CZ184" i="123"/>
  <c r="CW183" i="123"/>
  <c r="CZ183" i="123"/>
  <c r="BW183" i="123"/>
  <c r="T183" i="123" s="1"/>
  <c r="AR183" i="123"/>
  <c r="U183" i="123" s="1"/>
  <c r="CW182" i="123"/>
  <c r="CZ182" i="123"/>
  <c r="AR182" i="123"/>
  <c r="BW182" i="123"/>
  <c r="CW181" i="123"/>
  <c r="CZ181" i="123"/>
  <c r="CW180" i="123"/>
  <c r="CZ180" i="123"/>
  <c r="CW179" i="123"/>
  <c r="CZ179" i="123"/>
  <c r="CW178" i="123"/>
  <c r="CZ178" i="123"/>
  <c r="CW177" i="123"/>
  <c r="CZ177" i="123"/>
  <c r="CW176" i="123"/>
  <c r="CZ176" i="123"/>
  <c r="CZ175" i="123"/>
  <c r="CW175" i="123"/>
  <c r="BW175" i="123"/>
  <c r="T175" i="123" s="1"/>
  <c r="AR175" i="123"/>
  <c r="U175" i="123" s="1"/>
  <c r="CW174" i="123"/>
  <c r="CZ174" i="123"/>
  <c r="AR174" i="123"/>
  <c r="BW174" i="123"/>
  <c r="CW173" i="123"/>
  <c r="CZ173" i="123"/>
  <c r="CW172" i="123"/>
  <c r="CZ172" i="123"/>
  <c r="CW171" i="123"/>
  <c r="CZ171" i="123"/>
  <c r="CW170" i="123"/>
  <c r="CZ170" i="123"/>
  <c r="CW169" i="123"/>
  <c r="CZ169" i="123"/>
  <c r="CW168" i="123"/>
  <c r="CZ168" i="123"/>
  <c r="CW167" i="123"/>
  <c r="CZ167" i="123"/>
  <c r="CW166" i="123"/>
  <c r="CZ166" i="123"/>
  <c r="CW165" i="123"/>
  <c r="CZ165" i="123"/>
  <c r="CW164" i="123"/>
  <c r="CZ164" i="123"/>
  <c r="CW163" i="123"/>
  <c r="CZ163" i="123"/>
  <c r="CW162" i="123"/>
  <c r="CZ162" i="123"/>
  <c r="CW161" i="123"/>
  <c r="CZ161" i="123"/>
  <c r="CW160" i="123"/>
  <c r="CZ160" i="123"/>
  <c r="CZ159" i="123"/>
  <c r="CW159" i="123"/>
  <c r="CW158" i="123"/>
  <c r="CZ158" i="123"/>
  <c r="CW157" i="123"/>
  <c r="CZ157" i="123"/>
  <c r="CW156" i="123"/>
  <c r="CZ156" i="123"/>
  <c r="CW155" i="123"/>
  <c r="CZ155" i="123"/>
  <c r="BW155" i="123"/>
  <c r="T155" i="123" s="1"/>
  <c r="AR155" i="123"/>
  <c r="U155" i="123" s="1"/>
  <c r="CW154" i="123"/>
  <c r="CZ154" i="123"/>
  <c r="AR154" i="123"/>
  <c r="BW154" i="123"/>
  <c r="CW153" i="123"/>
  <c r="CZ153" i="123"/>
  <c r="CW152" i="123"/>
  <c r="CZ152" i="123"/>
  <c r="CW151" i="123"/>
  <c r="CZ151" i="123"/>
  <c r="CW150" i="123"/>
  <c r="CZ150" i="123"/>
  <c r="CW149" i="123"/>
  <c r="CZ149" i="123"/>
  <c r="CW148" i="123"/>
  <c r="CZ148" i="123"/>
  <c r="CW147" i="123"/>
  <c r="CZ147" i="123"/>
  <c r="CW146" i="123"/>
  <c r="CZ146" i="123"/>
  <c r="CW145" i="123"/>
  <c r="CZ145" i="123"/>
  <c r="CW144" i="123"/>
  <c r="CZ144" i="123"/>
  <c r="CZ143" i="123"/>
  <c r="CW143" i="123"/>
  <c r="CW142" i="123"/>
  <c r="CZ142" i="123"/>
  <c r="CW141" i="123"/>
  <c r="CZ141" i="123"/>
  <c r="CW140" i="123"/>
  <c r="CZ140" i="123"/>
  <c r="CZ139" i="123"/>
  <c r="CW139" i="123"/>
  <c r="CW138" i="123"/>
  <c r="CZ138" i="123"/>
  <c r="CW137" i="123"/>
  <c r="CZ137" i="123"/>
  <c r="CW136" i="123"/>
  <c r="CZ136" i="123"/>
  <c r="CW135" i="123"/>
  <c r="CZ135" i="123"/>
  <c r="BW135" i="123"/>
  <c r="T135" i="123" s="1"/>
  <c r="AR135" i="123"/>
  <c r="U135" i="123" s="1"/>
  <c r="CW134" i="123"/>
  <c r="CZ134" i="123"/>
  <c r="AR134" i="123"/>
  <c r="BW134" i="123"/>
  <c r="CW133" i="123"/>
  <c r="CZ133" i="123"/>
  <c r="CW132" i="123"/>
  <c r="CZ132" i="123"/>
  <c r="CW131" i="123"/>
  <c r="CZ131" i="123"/>
  <c r="CW130" i="123"/>
  <c r="CZ130" i="123"/>
  <c r="BW130" i="123"/>
  <c r="AR130" i="123"/>
  <c r="U130" i="123" s="1"/>
  <c r="CW129" i="123"/>
  <c r="CZ129" i="123"/>
  <c r="BW129" i="123"/>
  <c r="T129" i="123" s="1"/>
  <c r="AR129" i="123"/>
  <c r="DE303" i="123"/>
  <c r="DF303" i="123" s="1"/>
  <c r="DE301" i="123"/>
  <c r="DE299" i="123"/>
  <c r="DF299" i="123" s="1"/>
  <c r="DE297" i="123"/>
  <c r="DE295" i="123"/>
  <c r="DF295" i="123" s="1"/>
  <c r="DE293" i="123"/>
  <c r="DE291" i="123"/>
  <c r="DF291" i="123" s="1"/>
  <c r="DE290" i="123"/>
  <c r="DF290" i="123" s="1"/>
  <c r="DE289" i="123"/>
  <c r="DE287" i="123"/>
  <c r="DF287" i="123" s="1"/>
  <c r="DE285" i="123"/>
  <c r="DE283" i="123"/>
  <c r="DF283" i="123" s="1"/>
  <c r="DE281" i="123"/>
  <c r="DE279" i="123"/>
  <c r="DF279" i="123" s="1"/>
  <c r="DE277" i="123"/>
  <c r="DE275" i="123"/>
  <c r="DF275" i="123" s="1"/>
  <c r="DE273" i="123"/>
  <c r="DE271" i="123"/>
  <c r="DF271" i="123" s="1"/>
  <c r="DE269" i="123"/>
  <c r="DE267" i="123"/>
  <c r="DF267" i="123" s="1"/>
  <c r="DE265" i="123"/>
  <c r="DE263" i="123"/>
  <c r="DF263" i="123" s="1"/>
  <c r="DE262" i="123"/>
  <c r="DF262" i="123" s="1"/>
  <c r="DE261" i="123"/>
  <c r="DE259" i="123"/>
  <c r="DF259" i="123" s="1"/>
  <c r="DE257" i="123"/>
  <c r="DE255" i="123"/>
  <c r="DF255" i="123" s="1"/>
  <c r="DE253" i="123"/>
  <c r="DE251" i="123"/>
  <c r="DF251" i="123" s="1"/>
  <c r="DE249" i="123"/>
  <c r="DE247" i="123"/>
  <c r="DF247" i="123" s="1"/>
  <c r="DE245" i="123"/>
  <c r="DE243" i="123"/>
  <c r="DE239" i="123"/>
  <c r="DF239" i="123" s="1"/>
  <c r="DE238" i="123"/>
  <c r="DE237" i="123"/>
  <c r="DE202" i="123"/>
  <c r="DE200" i="123"/>
  <c r="U195" i="123"/>
  <c r="U190" i="123"/>
  <c r="DE188" i="123"/>
  <c r="DF188" i="123" s="1"/>
  <c r="DE184" i="123"/>
  <c r="DF184" i="123" s="1"/>
  <c r="DE176" i="123"/>
  <c r="DF176" i="123" s="1"/>
  <c r="DE174" i="123"/>
  <c r="DE166" i="123"/>
  <c r="DF166" i="123" s="1"/>
  <c r="DE138" i="123"/>
  <c r="U129" i="123"/>
  <c r="DE206" i="123"/>
  <c r="DF206" i="123" s="1"/>
  <c r="U204" i="123"/>
  <c r="U201" i="123"/>
  <c r="DE196" i="123"/>
  <c r="T191" i="123"/>
  <c r="DE177" i="123"/>
  <c r="DE169" i="123"/>
  <c r="DF169" i="123" s="1"/>
  <c r="DE156" i="123"/>
  <c r="DF156" i="123" s="1"/>
  <c r="T130" i="123"/>
  <c r="DB206" i="123"/>
  <c r="DE233" i="123"/>
  <c r="T232" i="123"/>
  <c r="DE230" i="123"/>
  <c r="DE225" i="123"/>
  <c r="T225" i="123"/>
  <c r="DB284" i="123"/>
  <c r="DB246" i="123"/>
  <c r="DB189" i="123"/>
  <c r="DB272" i="123"/>
  <c r="DB252" i="123"/>
  <c r="DB294" i="123"/>
  <c r="DB274" i="123"/>
  <c r="DB174" i="123"/>
  <c r="DB296" i="123"/>
  <c r="DB157" i="123"/>
  <c r="DB282" i="123"/>
  <c r="DB280" i="123"/>
  <c r="DB159" i="123"/>
  <c r="DB286" i="123"/>
  <c r="DB283" i="123"/>
  <c r="DB295" i="123"/>
  <c r="DB244" i="123"/>
  <c r="DB197" i="123"/>
  <c r="DB134" i="123"/>
  <c r="DB154" i="123"/>
  <c r="DB304" i="123"/>
  <c r="DB178" i="123"/>
  <c r="DB268" i="123"/>
  <c r="DB266" i="123"/>
  <c r="DB262" i="123"/>
  <c r="DB253" i="123"/>
  <c r="DB208" i="123"/>
  <c r="DB187" i="123"/>
  <c r="DB271" i="123"/>
  <c r="DB249" i="123"/>
  <c r="DB245" i="123"/>
  <c r="DB162" i="123"/>
  <c r="DB140" i="123"/>
  <c r="DB136" i="123"/>
  <c r="DB264" i="123"/>
  <c r="DB260" i="123"/>
  <c r="DB158" i="123"/>
  <c r="DB301" i="123"/>
  <c r="DB276" i="123"/>
  <c r="DB185" i="123"/>
  <c r="DB147" i="123"/>
  <c r="DB255" i="123"/>
  <c r="DB199" i="123"/>
  <c r="DB191" i="123"/>
  <c r="DB182" i="123"/>
  <c r="DB290" i="123"/>
  <c r="DB288" i="123"/>
  <c r="DB270" i="123"/>
  <c r="DB258" i="123"/>
  <c r="DB254" i="123"/>
  <c r="DB303" i="123"/>
  <c r="DB302" i="123"/>
  <c r="DB278" i="123"/>
  <c r="DB267" i="123"/>
  <c r="DB263" i="123"/>
  <c r="DB250" i="123"/>
  <c r="DB239" i="123"/>
  <c r="U232" i="123"/>
  <c r="DB207" i="123"/>
  <c r="DB183" i="123"/>
  <c r="DB164" i="123"/>
  <c r="DB146" i="123"/>
  <c r="DB279" i="123"/>
  <c r="DB275" i="123"/>
  <c r="DB259" i="123"/>
  <c r="DB143" i="123"/>
  <c r="DB287" i="123"/>
  <c r="DB204" i="123"/>
  <c r="DB193" i="123"/>
  <c r="DB160" i="123"/>
  <c r="DB299" i="123"/>
  <c r="DB291" i="123"/>
  <c r="DB285" i="123"/>
  <c r="DB281" i="123"/>
  <c r="DB277" i="123"/>
  <c r="DB269" i="123"/>
  <c r="DB265" i="123"/>
  <c r="DB261" i="123"/>
  <c r="DB298" i="123"/>
  <c r="DB297" i="123"/>
  <c r="DB289" i="123"/>
  <c r="DB256" i="123"/>
  <c r="DB248" i="123"/>
  <c r="DB247" i="123"/>
  <c r="DB205" i="123"/>
  <c r="DB202" i="123"/>
  <c r="DB201" i="123"/>
  <c r="DB198" i="123"/>
  <c r="DB169" i="123"/>
  <c r="DB161" i="123"/>
  <c r="DB243" i="123"/>
  <c r="DB241" i="123"/>
  <c r="DB293" i="123"/>
  <c r="DB151" i="123"/>
  <c r="DB148" i="123"/>
  <c r="AJ135" i="123"/>
  <c r="DB300" i="123"/>
  <c r="DB292" i="123"/>
  <c r="DB273" i="123"/>
  <c r="DB257" i="123"/>
  <c r="DB171" i="123"/>
  <c r="DB170" i="123"/>
  <c r="DB166" i="123"/>
  <c r="DB163" i="123"/>
  <c r="DB152" i="123"/>
  <c r="DB150" i="123"/>
  <c r="AP296" i="123"/>
  <c r="AJ296" i="123"/>
  <c r="AP289" i="123"/>
  <c r="AJ289" i="123"/>
  <c r="AP254" i="123"/>
  <c r="AJ254" i="123"/>
  <c r="AP250" i="123"/>
  <c r="AJ250" i="123"/>
  <c r="AP236" i="123"/>
  <c r="AP225" i="123"/>
  <c r="AJ225" i="123"/>
  <c r="AP207" i="123"/>
  <c r="AJ207" i="123"/>
  <c r="AP197" i="123"/>
  <c r="AJ197" i="123"/>
  <c r="AP303" i="123"/>
  <c r="AJ303" i="123"/>
  <c r="AP295" i="123"/>
  <c r="AJ295" i="123"/>
  <c r="AP287" i="123"/>
  <c r="AJ287" i="123"/>
  <c r="AP283" i="123"/>
  <c r="AJ283" i="123"/>
  <c r="AP279" i="123"/>
  <c r="AJ279" i="123"/>
  <c r="AP275" i="123"/>
  <c r="AJ275" i="123"/>
  <c r="AP271" i="123"/>
  <c r="AJ271" i="123"/>
  <c r="AP267" i="123"/>
  <c r="AJ267" i="123"/>
  <c r="AP263" i="123"/>
  <c r="AJ263" i="123"/>
  <c r="AP259" i="123"/>
  <c r="AJ259" i="123"/>
  <c r="AP253" i="123"/>
  <c r="AJ253" i="123"/>
  <c r="AP246" i="123"/>
  <c r="AJ246" i="123"/>
  <c r="AP194" i="123"/>
  <c r="AJ194" i="123"/>
  <c r="AP189" i="123"/>
  <c r="AJ189" i="123"/>
  <c r="AP301" i="123"/>
  <c r="AJ301" i="123"/>
  <c r="AP300" i="123"/>
  <c r="AJ300" i="123"/>
  <c r="AP293" i="123"/>
  <c r="AJ293" i="123"/>
  <c r="AP292" i="123"/>
  <c r="AJ292" i="123"/>
  <c r="AP245" i="123"/>
  <c r="AJ245" i="123"/>
  <c r="AP243" i="123"/>
  <c r="AJ243" i="123"/>
  <c r="AP241" i="123"/>
  <c r="AJ241" i="123"/>
  <c r="AP240" i="123"/>
  <c r="AJ240" i="123"/>
  <c r="AP239" i="123"/>
  <c r="AJ239" i="123"/>
  <c r="AP237" i="123"/>
  <c r="AJ237" i="123"/>
  <c r="AP226" i="123"/>
  <c r="AJ226" i="123"/>
  <c r="AP209" i="123"/>
  <c r="AJ209" i="123"/>
  <c r="AP208" i="123"/>
  <c r="AJ208" i="123"/>
  <c r="AP202" i="123"/>
  <c r="AJ202" i="123"/>
  <c r="AP201" i="123"/>
  <c r="AJ201" i="123"/>
  <c r="AP193" i="123"/>
  <c r="AJ193" i="123"/>
  <c r="AP190" i="123"/>
  <c r="AJ190" i="123"/>
  <c r="AP155" i="123"/>
  <c r="AJ155" i="123"/>
  <c r="AP304" i="123"/>
  <c r="AJ304" i="123"/>
  <c r="AP297" i="123"/>
  <c r="AJ297" i="123"/>
  <c r="AP288" i="123"/>
  <c r="AJ288" i="123"/>
  <c r="AP255" i="123"/>
  <c r="AJ255" i="123"/>
  <c r="AP242" i="123"/>
  <c r="AJ242" i="123"/>
  <c r="AP238" i="123"/>
  <c r="AJ238" i="123"/>
  <c r="AP203" i="123"/>
  <c r="AJ203" i="123"/>
  <c r="AP199" i="123"/>
  <c r="AJ199" i="123"/>
  <c r="AP196" i="123"/>
  <c r="AJ196" i="123"/>
  <c r="AP174" i="123"/>
  <c r="AJ174" i="123"/>
  <c r="AP302" i="123"/>
  <c r="AJ302" i="123"/>
  <c r="AP294" i="123"/>
  <c r="AJ294" i="123"/>
  <c r="AP286" i="123"/>
  <c r="AJ286" i="123"/>
  <c r="AP282" i="123"/>
  <c r="AJ282" i="123"/>
  <c r="AP278" i="123"/>
  <c r="AJ278" i="123"/>
  <c r="AP274" i="123"/>
  <c r="AJ274" i="123"/>
  <c r="AP270" i="123"/>
  <c r="AJ270" i="123"/>
  <c r="AP266" i="123"/>
  <c r="AJ266" i="123"/>
  <c r="AP262" i="123"/>
  <c r="AJ262" i="123"/>
  <c r="AP258" i="123"/>
  <c r="AJ258" i="123"/>
  <c r="AP251" i="123"/>
  <c r="AJ251" i="123"/>
  <c r="AP244" i="123"/>
  <c r="AJ244" i="123"/>
  <c r="AP200" i="123"/>
  <c r="AJ200" i="123"/>
  <c r="AP195" i="123"/>
  <c r="AJ195" i="123"/>
  <c r="AP192" i="123"/>
  <c r="AJ192" i="123"/>
  <c r="AP175" i="123"/>
  <c r="AJ175" i="123"/>
  <c r="AP299" i="123"/>
  <c r="AJ299" i="123"/>
  <c r="AP298" i="123"/>
  <c r="AJ298" i="123"/>
  <c r="AP291" i="123"/>
  <c r="AJ291" i="123"/>
  <c r="AP290" i="123"/>
  <c r="AJ290" i="123"/>
  <c r="AP285" i="123"/>
  <c r="AJ285" i="123"/>
  <c r="AP284" i="123"/>
  <c r="AJ284" i="123"/>
  <c r="AP281" i="123"/>
  <c r="AJ281" i="123"/>
  <c r="AP280" i="123"/>
  <c r="AJ280" i="123"/>
  <c r="AP277" i="123"/>
  <c r="AJ277" i="123"/>
  <c r="AP276" i="123"/>
  <c r="AJ276" i="123"/>
  <c r="AP273" i="123"/>
  <c r="AJ273" i="123"/>
  <c r="AP272" i="123"/>
  <c r="AJ272" i="123"/>
  <c r="AP269" i="123"/>
  <c r="AJ269" i="123"/>
  <c r="AP268" i="123"/>
  <c r="AJ268" i="123"/>
  <c r="AP265" i="123"/>
  <c r="AJ265" i="123"/>
  <c r="AP264" i="123"/>
  <c r="AJ264" i="123"/>
  <c r="AP261" i="123"/>
  <c r="AJ261" i="123"/>
  <c r="AP260" i="123"/>
  <c r="AJ260" i="123"/>
  <c r="AP257" i="123"/>
  <c r="AJ257" i="123"/>
  <c r="AP256" i="123"/>
  <c r="AJ256" i="123"/>
  <c r="AP252" i="123"/>
  <c r="AJ252" i="123"/>
  <c r="AP249" i="123"/>
  <c r="AJ249" i="123"/>
  <c r="AP248" i="123"/>
  <c r="AJ248" i="123"/>
  <c r="AP247" i="123"/>
  <c r="AJ247" i="123"/>
  <c r="AP232" i="123"/>
  <c r="AJ232" i="123"/>
  <c r="AP206" i="123"/>
  <c r="AJ206" i="123"/>
  <c r="AP204" i="123"/>
  <c r="AJ204" i="123"/>
  <c r="AP198" i="123"/>
  <c r="AJ198" i="123"/>
  <c r="AP191" i="123"/>
  <c r="AJ191" i="123"/>
  <c r="AP183" i="123"/>
  <c r="AJ183" i="123"/>
  <c r="AP182" i="123"/>
  <c r="AJ182" i="123"/>
  <c r="AP154" i="123"/>
  <c r="AJ154" i="123"/>
  <c r="BN295" i="123"/>
  <c r="BR295" i="123"/>
  <c r="BV295" i="123"/>
  <c r="BM295" i="123"/>
  <c r="BS295" i="123"/>
  <c r="BO295" i="123"/>
  <c r="BQ295" i="123"/>
  <c r="BT295" i="123"/>
  <c r="BP295" i="123"/>
  <c r="BU295" i="123"/>
  <c r="BN287" i="123"/>
  <c r="BR287" i="123"/>
  <c r="BV287" i="123"/>
  <c r="BM287" i="123"/>
  <c r="BS287" i="123"/>
  <c r="BQ287" i="123"/>
  <c r="BO287" i="123"/>
  <c r="BT287" i="123"/>
  <c r="BP287" i="123"/>
  <c r="BU287" i="123"/>
  <c r="BP278" i="123"/>
  <c r="BT278" i="123"/>
  <c r="BM278" i="123"/>
  <c r="BR278" i="123"/>
  <c r="BV278" i="123"/>
  <c r="BN278" i="123"/>
  <c r="BS278" i="123"/>
  <c r="BO278" i="123"/>
  <c r="BU278" i="123"/>
  <c r="BQ278" i="123"/>
  <c r="BP270" i="123"/>
  <c r="BT270" i="123"/>
  <c r="BM270" i="123"/>
  <c r="BR270" i="123"/>
  <c r="BQ270" i="123"/>
  <c r="BN270" i="123"/>
  <c r="BS270" i="123"/>
  <c r="BO270" i="123"/>
  <c r="BU270" i="123"/>
  <c r="BV270" i="123"/>
  <c r="BN255" i="123"/>
  <c r="BR255" i="123"/>
  <c r="BV255" i="123"/>
  <c r="BO255" i="123"/>
  <c r="BT255" i="123"/>
  <c r="BP255" i="123"/>
  <c r="BU255" i="123"/>
  <c r="BQ255" i="123"/>
  <c r="BM255" i="123"/>
  <c r="BS255" i="123"/>
  <c r="BP248" i="123"/>
  <c r="BT248" i="123"/>
  <c r="BO248" i="123"/>
  <c r="BU248" i="123"/>
  <c r="BQ248" i="123"/>
  <c r="BV248" i="123"/>
  <c r="BM248" i="123"/>
  <c r="BR248" i="123"/>
  <c r="BN248" i="123"/>
  <c r="BS248" i="123"/>
  <c r="BN243" i="123"/>
  <c r="BR243" i="123"/>
  <c r="BV243" i="123"/>
  <c r="BQ243" i="123"/>
  <c r="BM243" i="123"/>
  <c r="BS243" i="123"/>
  <c r="BO243" i="123"/>
  <c r="BT243" i="123"/>
  <c r="BU243" i="123"/>
  <c r="BP243" i="123"/>
  <c r="BP195" i="123"/>
  <c r="BT195" i="123"/>
  <c r="BQ195" i="123"/>
  <c r="BV195" i="123"/>
  <c r="BR195" i="123"/>
  <c r="BM195" i="123"/>
  <c r="BS195" i="123"/>
  <c r="BN195" i="123"/>
  <c r="BU195" i="123"/>
  <c r="BO195" i="123"/>
  <c r="BP302" i="123"/>
  <c r="BT302" i="123"/>
  <c r="BM302" i="123"/>
  <c r="BR302" i="123"/>
  <c r="BN302" i="123"/>
  <c r="BQ302" i="123"/>
  <c r="BS302" i="123"/>
  <c r="BO302" i="123"/>
  <c r="BU302" i="123"/>
  <c r="BV302" i="123"/>
  <c r="BN297" i="123"/>
  <c r="BR297" i="123"/>
  <c r="BV297" i="123"/>
  <c r="BO297" i="123"/>
  <c r="BT297" i="123"/>
  <c r="BU297" i="123"/>
  <c r="BP297" i="123"/>
  <c r="BM297" i="123"/>
  <c r="BQ297" i="123"/>
  <c r="BS297" i="123"/>
  <c r="BP294" i="123"/>
  <c r="BT294" i="123"/>
  <c r="BM294" i="123"/>
  <c r="BR294" i="123"/>
  <c r="BN294" i="123"/>
  <c r="BS294" i="123"/>
  <c r="BQ294" i="123"/>
  <c r="BV294" i="123"/>
  <c r="BO294" i="123"/>
  <c r="BU294" i="123"/>
  <c r="BN289" i="123"/>
  <c r="BR289" i="123"/>
  <c r="BV289" i="123"/>
  <c r="BO289" i="123"/>
  <c r="BT289" i="123"/>
  <c r="BM289" i="123"/>
  <c r="BP289" i="123"/>
  <c r="BU289" i="123"/>
  <c r="BQ289" i="123"/>
  <c r="BS289" i="123"/>
  <c r="BN281" i="123"/>
  <c r="BR281" i="123"/>
  <c r="BV281" i="123"/>
  <c r="BO281" i="123"/>
  <c r="BT281" i="123"/>
  <c r="BM281" i="123"/>
  <c r="BP281" i="123"/>
  <c r="BU281" i="123"/>
  <c r="BS281" i="123"/>
  <c r="BQ281" i="123"/>
  <c r="BP280" i="123"/>
  <c r="BT280" i="123"/>
  <c r="BN280" i="123"/>
  <c r="BS280" i="123"/>
  <c r="BR280" i="123"/>
  <c r="BO280" i="123"/>
  <c r="BU280" i="123"/>
  <c r="BQ280" i="123"/>
  <c r="BV280" i="123"/>
  <c r="BM280" i="123"/>
  <c r="BN273" i="123"/>
  <c r="BR273" i="123"/>
  <c r="BV273" i="123"/>
  <c r="BO273" i="123"/>
  <c r="BT273" i="123"/>
  <c r="BM273" i="123"/>
  <c r="BP273" i="123"/>
  <c r="BU273" i="123"/>
  <c r="BQ273" i="123"/>
  <c r="BS273" i="123"/>
  <c r="BP272" i="123"/>
  <c r="BT272" i="123"/>
  <c r="BN272" i="123"/>
  <c r="BS272" i="123"/>
  <c r="BO272" i="123"/>
  <c r="BU272" i="123"/>
  <c r="BR272" i="123"/>
  <c r="BQ272" i="123"/>
  <c r="BV272" i="123"/>
  <c r="BM272" i="123"/>
  <c r="BN265" i="123"/>
  <c r="BP265" i="123"/>
  <c r="BT265" i="123"/>
  <c r="BQ265" i="123"/>
  <c r="BU265" i="123"/>
  <c r="BM265" i="123"/>
  <c r="BR265" i="123"/>
  <c r="BV265" i="123"/>
  <c r="BO265" i="123"/>
  <c r="BS265" i="123"/>
  <c r="BP264" i="123"/>
  <c r="BT264" i="123"/>
  <c r="BO264" i="123"/>
  <c r="BU264" i="123"/>
  <c r="BQ264" i="123"/>
  <c r="BV264" i="123"/>
  <c r="BM264" i="123"/>
  <c r="BR264" i="123"/>
  <c r="BS264" i="123"/>
  <c r="BN264" i="123"/>
  <c r="BN257" i="123"/>
  <c r="BR257" i="123"/>
  <c r="BV257" i="123"/>
  <c r="BP257" i="123"/>
  <c r="BU257" i="123"/>
  <c r="BQ257" i="123"/>
  <c r="BM257" i="123"/>
  <c r="BS257" i="123"/>
  <c r="BO257" i="123"/>
  <c r="BT257" i="123"/>
  <c r="BP254" i="123"/>
  <c r="BT254" i="123"/>
  <c r="BN254" i="123"/>
  <c r="BS254" i="123"/>
  <c r="BO254" i="123"/>
  <c r="BU254" i="123"/>
  <c r="BQ254" i="123"/>
  <c r="BV254" i="123"/>
  <c r="BR254" i="123"/>
  <c r="BM254" i="123"/>
  <c r="BP252" i="123"/>
  <c r="BT252" i="123"/>
  <c r="BM252" i="123"/>
  <c r="BR252" i="123"/>
  <c r="BN252" i="123"/>
  <c r="BS252" i="123"/>
  <c r="BO252" i="123"/>
  <c r="BU252" i="123"/>
  <c r="BQ252" i="123"/>
  <c r="BV252" i="123"/>
  <c r="BN241" i="123"/>
  <c r="BR241" i="123"/>
  <c r="BV241" i="123"/>
  <c r="BP241" i="123"/>
  <c r="BU241" i="123"/>
  <c r="BQ241" i="123"/>
  <c r="BM241" i="123"/>
  <c r="BS241" i="123"/>
  <c r="BO241" i="123"/>
  <c r="BT241" i="123"/>
  <c r="BP238" i="123"/>
  <c r="BT238" i="123"/>
  <c r="BN238" i="123"/>
  <c r="BS238" i="123"/>
  <c r="BO238" i="123"/>
  <c r="BU238" i="123"/>
  <c r="BQ238" i="123"/>
  <c r="BV238" i="123"/>
  <c r="BM238" i="123"/>
  <c r="BR238" i="123"/>
  <c r="BP206" i="123"/>
  <c r="BT206" i="123"/>
  <c r="BN206" i="123"/>
  <c r="BS206" i="123"/>
  <c r="BO206" i="123"/>
  <c r="BU206" i="123"/>
  <c r="BQ206" i="123"/>
  <c r="BV206" i="123"/>
  <c r="BM206" i="123"/>
  <c r="BR206" i="123"/>
  <c r="BP197" i="123"/>
  <c r="BM197" i="123"/>
  <c r="BR197" i="123"/>
  <c r="BV197" i="123"/>
  <c r="BS197" i="123"/>
  <c r="BN197" i="123"/>
  <c r="BT197" i="123"/>
  <c r="BO197" i="123"/>
  <c r="BU197" i="123"/>
  <c r="BQ197" i="123"/>
  <c r="BN194" i="123"/>
  <c r="BR194" i="123"/>
  <c r="BV194" i="123"/>
  <c r="BP194" i="123"/>
  <c r="BU194" i="123"/>
  <c r="BM194" i="123"/>
  <c r="BT194" i="123"/>
  <c r="BO194" i="123"/>
  <c r="BQ194" i="123"/>
  <c r="BS194" i="123"/>
  <c r="BN182" i="123"/>
  <c r="BR182" i="123"/>
  <c r="BV182" i="123"/>
  <c r="BM182" i="123"/>
  <c r="BS182" i="123"/>
  <c r="BT182" i="123"/>
  <c r="BO182" i="123"/>
  <c r="BU182" i="123"/>
  <c r="BP182" i="123"/>
  <c r="BQ182" i="123"/>
  <c r="BP155" i="123"/>
  <c r="BT155" i="123"/>
  <c r="BN155" i="123"/>
  <c r="BS155" i="123"/>
  <c r="BO155" i="123"/>
  <c r="BU155" i="123"/>
  <c r="BQ155" i="123"/>
  <c r="BV155" i="123"/>
  <c r="BM155" i="123"/>
  <c r="BR155" i="123"/>
  <c r="BP300" i="123"/>
  <c r="BT300" i="123"/>
  <c r="BQ300" i="123"/>
  <c r="BV300" i="123"/>
  <c r="BM300" i="123"/>
  <c r="BR300" i="123"/>
  <c r="BO300" i="123"/>
  <c r="BN300" i="123"/>
  <c r="BS300" i="123"/>
  <c r="BU300" i="123"/>
  <c r="BP286" i="123"/>
  <c r="BT286" i="123"/>
  <c r="BM286" i="123"/>
  <c r="BR286" i="123"/>
  <c r="BQ286" i="123"/>
  <c r="BN286" i="123"/>
  <c r="BS286" i="123"/>
  <c r="BO286" i="123"/>
  <c r="BU286" i="123"/>
  <c r="BV286" i="123"/>
  <c r="BN271" i="123"/>
  <c r="BR271" i="123"/>
  <c r="BV271" i="123"/>
  <c r="BM271" i="123"/>
  <c r="BS271" i="123"/>
  <c r="BQ271" i="123"/>
  <c r="BO271" i="123"/>
  <c r="BT271" i="123"/>
  <c r="BP271" i="123"/>
  <c r="BU271" i="123"/>
  <c r="BN263" i="123"/>
  <c r="BR263" i="123"/>
  <c r="BV263" i="123"/>
  <c r="BO263" i="123"/>
  <c r="BT263" i="123"/>
  <c r="BP263" i="123"/>
  <c r="BU263" i="123"/>
  <c r="BQ263" i="123"/>
  <c r="BM263" i="123"/>
  <c r="BS263" i="123"/>
  <c r="BN251" i="123"/>
  <c r="BR251" i="123"/>
  <c r="BV251" i="123"/>
  <c r="BQ251" i="123"/>
  <c r="BM251" i="123"/>
  <c r="BS251" i="123"/>
  <c r="BO251" i="123"/>
  <c r="BT251" i="123"/>
  <c r="BP251" i="123"/>
  <c r="BU251" i="123"/>
  <c r="BN245" i="123"/>
  <c r="BR245" i="123"/>
  <c r="BV245" i="123"/>
  <c r="BM245" i="123"/>
  <c r="BS245" i="123"/>
  <c r="BO245" i="123"/>
  <c r="BT245" i="123"/>
  <c r="BP245" i="123"/>
  <c r="BU245" i="123"/>
  <c r="BQ245" i="123"/>
  <c r="BN203" i="123"/>
  <c r="BR203" i="123"/>
  <c r="BV203" i="123"/>
  <c r="BQ203" i="123"/>
  <c r="BM203" i="123"/>
  <c r="BS203" i="123"/>
  <c r="BO203" i="123"/>
  <c r="BT203" i="123"/>
  <c r="BP203" i="123"/>
  <c r="BU203" i="123"/>
  <c r="BP304" i="123"/>
  <c r="BT304" i="123"/>
  <c r="BN304" i="123"/>
  <c r="BS304" i="123"/>
  <c r="BO304" i="123"/>
  <c r="BV304" i="123"/>
  <c r="BU304" i="123"/>
  <c r="BM304" i="123"/>
  <c r="BQ304" i="123"/>
  <c r="BR304" i="123"/>
  <c r="BN299" i="123"/>
  <c r="BR299" i="123"/>
  <c r="BV299" i="123"/>
  <c r="BP299" i="123"/>
  <c r="BU299" i="123"/>
  <c r="BQ299" i="123"/>
  <c r="BT299" i="123"/>
  <c r="BM299" i="123"/>
  <c r="BS299" i="123"/>
  <c r="BO299" i="123"/>
  <c r="BP296" i="123"/>
  <c r="BT296" i="123"/>
  <c r="BN296" i="123"/>
  <c r="BS296" i="123"/>
  <c r="BO296" i="123"/>
  <c r="BU296" i="123"/>
  <c r="BR296" i="123"/>
  <c r="BQ296" i="123"/>
  <c r="BV296" i="123"/>
  <c r="BM296" i="123"/>
  <c r="BN291" i="123"/>
  <c r="BR291" i="123"/>
  <c r="BV291" i="123"/>
  <c r="BP291" i="123"/>
  <c r="BU291" i="123"/>
  <c r="BQ291" i="123"/>
  <c r="BT291" i="123"/>
  <c r="BM291" i="123"/>
  <c r="BS291" i="123"/>
  <c r="BO291" i="123"/>
  <c r="BP288" i="123"/>
  <c r="BT288" i="123"/>
  <c r="BN288" i="123"/>
  <c r="BS288" i="123"/>
  <c r="BO288" i="123"/>
  <c r="BU288" i="123"/>
  <c r="BR288" i="123"/>
  <c r="BQ288" i="123"/>
  <c r="BV288" i="123"/>
  <c r="BM288" i="123"/>
  <c r="BN283" i="123"/>
  <c r="BR283" i="123"/>
  <c r="BV283" i="123"/>
  <c r="BP283" i="123"/>
  <c r="BU283" i="123"/>
  <c r="BQ283" i="123"/>
  <c r="BT283" i="123"/>
  <c r="BM283" i="123"/>
  <c r="BS283" i="123"/>
  <c r="BO283" i="123"/>
  <c r="BP282" i="123"/>
  <c r="BT282" i="123"/>
  <c r="BO282" i="123"/>
  <c r="BU282" i="123"/>
  <c r="BS282" i="123"/>
  <c r="BQ282" i="123"/>
  <c r="BV282" i="123"/>
  <c r="BM282" i="123"/>
  <c r="BR282" i="123"/>
  <c r="BN282" i="123"/>
  <c r="BN275" i="123"/>
  <c r="BR275" i="123"/>
  <c r="BV275" i="123"/>
  <c r="BP275" i="123"/>
  <c r="BU275" i="123"/>
  <c r="BT275" i="123"/>
  <c r="BQ275" i="123"/>
  <c r="BM275" i="123"/>
  <c r="BS275" i="123"/>
  <c r="BO275" i="123"/>
  <c r="BP274" i="123"/>
  <c r="BT274" i="123"/>
  <c r="BO274" i="123"/>
  <c r="BU274" i="123"/>
  <c r="BN274" i="123"/>
  <c r="BQ274" i="123"/>
  <c r="BV274" i="123"/>
  <c r="BS274" i="123"/>
  <c r="BM274" i="123"/>
  <c r="BR274" i="123"/>
  <c r="BN267" i="123"/>
  <c r="BR267" i="123"/>
  <c r="BV267" i="123"/>
  <c r="BP267" i="123"/>
  <c r="BU267" i="123"/>
  <c r="BQ267" i="123"/>
  <c r="BT267" i="123"/>
  <c r="BM267" i="123"/>
  <c r="BS267" i="123"/>
  <c r="BO267" i="123"/>
  <c r="BP266" i="123"/>
  <c r="BT266" i="123"/>
  <c r="BO266" i="123"/>
  <c r="BU266" i="123"/>
  <c r="BS266" i="123"/>
  <c r="BQ266" i="123"/>
  <c r="BV266" i="123"/>
  <c r="BM266" i="123"/>
  <c r="BR266" i="123"/>
  <c r="BN266" i="123"/>
  <c r="BN259" i="123"/>
  <c r="BR259" i="123"/>
  <c r="BV259" i="123"/>
  <c r="BQ259" i="123"/>
  <c r="BM259" i="123"/>
  <c r="BS259" i="123"/>
  <c r="BO259" i="123"/>
  <c r="BT259" i="123"/>
  <c r="BP259" i="123"/>
  <c r="BU259" i="123"/>
  <c r="BP258" i="123"/>
  <c r="BT258" i="123"/>
  <c r="BQ258" i="123"/>
  <c r="BV258" i="123"/>
  <c r="BM258" i="123"/>
  <c r="BR258" i="123"/>
  <c r="BN258" i="123"/>
  <c r="BS258" i="123"/>
  <c r="BU258" i="123"/>
  <c r="BO258" i="123"/>
  <c r="BP256" i="123"/>
  <c r="BT256" i="123"/>
  <c r="BO256" i="123"/>
  <c r="BU256" i="123"/>
  <c r="BQ256" i="123"/>
  <c r="BV256" i="123"/>
  <c r="BM256" i="123"/>
  <c r="BR256" i="123"/>
  <c r="BS256" i="123"/>
  <c r="BN256" i="123"/>
  <c r="BP246" i="123"/>
  <c r="BT246" i="123"/>
  <c r="BN246" i="123"/>
  <c r="BS246" i="123"/>
  <c r="BO246" i="123"/>
  <c r="BU246" i="123"/>
  <c r="BQ246" i="123"/>
  <c r="BV246" i="123"/>
  <c r="BM246" i="123"/>
  <c r="BR246" i="123"/>
  <c r="BP240" i="123"/>
  <c r="BT240" i="123"/>
  <c r="BO240" i="123"/>
  <c r="BU240" i="123"/>
  <c r="BQ240" i="123"/>
  <c r="BV240" i="123"/>
  <c r="BM240" i="123"/>
  <c r="BR240" i="123"/>
  <c r="BN240" i="123"/>
  <c r="BS240" i="123"/>
  <c r="BN239" i="123"/>
  <c r="BR239" i="123"/>
  <c r="BV239" i="123"/>
  <c r="BO239" i="123"/>
  <c r="BT239" i="123"/>
  <c r="BP239" i="123"/>
  <c r="BU239" i="123"/>
  <c r="BQ239" i="123"/>
  <c r="BM239" i="123"/>
  <c r="BS239" i="123"/>
  <c r="BP236" i="123"/>
  <c r="BT236" i="123"/>
  <c r="BM236" i="123"/>
  <c r="BR236" i="123"/>
  <c r="BN236" i="123"/>
  <c r="BS236" i="123"/>
  <c r="BO236" i="123"/>
  <c r="BU236" i="123"/>
  <c r="BQ236" i="123"/>
  <c r="BV236" i="123"/>
  <c r="BP232" i="123"/>
  <c r="BT232" i="123"/>
  <c r="BO232" i="123"/>
  <c r="BU232" i="123"/>
  <c r="BQ232" i="123"/>
  <c r="BV232" i="123"/>
  <c r="BM232" i="123"/>
  <c r="BR232" i="123"/>
  <c r="BN232" i="123"/>
  <c r="BS232" i="123"/>
  <c r="BP226" i="123"/>
  <c r="BT226" i="123"/>
  <c r="BM226" i="123"/>
  <c r="BR226" i="123"/>
  <c r="BN226" i="123"/>
  <c r="BS226" i="123"/>
  <c r="BO226" i="123"/>
  <c r="BU226" i="123"/>
  <c r="BQ226" i="123"/>
  <c r="BV226" i="123"/>
  <c r="BN207" i="123"/>
  <c r="BR207" i="123"/>
  <c r="BV207" i="123"/>
  <c r="BO207" i="123"/>
  <c r="BT207" i="123"/>
  <c r="BP207" i="123"/>
  <c r="BU207" i="123"/>
  <c r="BQ207" i="123"/>
  <c r="BM207" i="123"/>
  <c r="BS207" i="123"/>
  <c r="BP204" i="123"/>
  <c r="BT204" i="123"/>
  <c r="BM204" i="123"/>
  <c r="BR204" i="123"/>
  <c r="BN204" i="123"/>
  <c r="BS204" i="123"/>
  <c r="BO204" i="123"/>
  <c r="BU204" i="123"/>
  <c r="BQ204" i="123"/>
  <c r="BV204" i="123"/>
  <c r="BP202" i="123"/>
  <c r="BT202" i="123"/>
  <c r="BQ202" i="123"/>
  <c r="BV202" i="123"/>
  <c r="BM202" i="123"/>
  <c r="BR202" i="123"/>
  <c r="BN202" i="123"/>
  <c r="BS202" i="123"/>
  <c r="BO202" i="123"/>
  <c r="BU202" i="123"/>
  <c r="BN196" i="123"/>
  <c r="BR196" i="123"/>
  <c r="BV196" i="123"/>
  <c r="BQ196" i="123"/>
  <c r="BO196" i="123"/>
  <c r="BU196" i="123"/>
  <c r="BP196" i="123"/>
  <c r="BS196" i="123"/>
  <c r="BM196" i="123"/>
  <c r="BT196" i="123"/>
  <c r="BN192" i="123"/>
  <c r="BR192" i="123"/>
  <c r="BV192" i="123"/>
  <c r="BO192" i="123"/>
  <c r="BT192" i="123"/>
  <c r="BS192" i="123"/>
  <c r="BM192" i="123"/>
  <c r="BU192" i="123"/>
  <c r="BP192" i="123"/>
  <c r="BQ192" i="123"/>
  <c r="BP189" i="123"/>
  <c r="BT189" i="123"/>
  <c r="BM189" i="123"/>
  <c r="BR189" i="123"/>
  <c r="BN189" i="123"/>
  <c r="BU189" i="123"/>
  <c r="BO189" i="123"/>
  <c r="BV189" i="123"/>
  <c r="BQ189" i="123"/>
  <c r="BS189" i="123"/>
  <c r="BP175" i="123"/>
  <c r="BT175" i="123"/>
  <c r="BQ175" i="123"/>
  <c r="BV175" i="123"/>
  <c r="BM175" i="123"/>
  <c r="BR175" i="123"/>
  <c r="BN175" i="123"/>
  <c r="BS175" i="123"/>
  <c r="BO175" i="123"/>
  <c r="BU175" i="123"/>
  <c r="BN174" i="123"/>
  <c r="BR174" i="123"/>
  <c r="BV174" i="123"/>
  <c r="BP174" i="123"/>
  <c r="BU174" i="123"/>
  <c r="BQ174" i="123"/>
  <c r="BM174" i="123"/>
  <c r="BS174" i="123"/>
  <c r="BO174" i="123"/>
  <c r="BT174" i="123"/>
  <c r="BN154" i="123"/>
  <c r="BR154" i="123"/>
  <c r="BV154" i="123"/>
  <c r="BM154" i="123"/>
  <c r="BS154" i="123"/>
  <c r="BO154" i="123"/>
  <c r="BT154" i="123"/>
  <c r="BP154" i="123"/>
  <c r="BU154" i="123"/>
  <c r="BQ154" i="123"/>
  <c r="BN303" i="123"/>
  <c r="BR303" i="123"/>
  <c r="BV303" i="123"/>
  <c r="BM303" i="123"/>
  <c r="BS303" i="123"/>
  <c r="BO303" i="123"/>
  <c r="BT303" i="123"/>
  <c r="BU303" i="123"/>
  <c r="BQ303" i="123"/>
  <c r="BP303" i="123"/>
  <c r="BP292" i="123"/>
  <c r="BT292" i="123"/>
  <c r="BQ292" i="123"/>
  <c r="BV292" i="123"/>
  <c r="BR292" i="123"/>
  <c r="BM292" i="123"/>
  <c r="BO292" i="123"/>
  <c r="BN292" i="123"/>
  <c r="BS292" i="123"/>
  <c r="BU292" i="123"/>
  <c r="BN279" i="123"/>
  <c r="BR279" i="123"/>
  <c r="BV279" i="123"/>
  <c r="BM279" i="123"/>
  <c r="BS279" i="123"/>
  <c r="BO279" i="123"/>
  <c r="BT279" i="123"/>
  <c r="BQ279" i="123"/>
  <c r="BP279" i="123"/>
  <c r="BU279" i="123"/>
  <c r="BP262" i="123"/>
  <c r="BT262" i="123"/>
  <c r="BN262" i="123"/>
  <c r="BS262" i="123"/>
  <c r="BO262" i="123"/>
  <c r="BU262" i="123"/>
  <c r="BQ262" i="123"/>
  <c r="BV262" i="123"/>
  <c r="BR262" i="123"/>
  <c r="BM262" i="123"/>
  <c r="BP250" i="123"/>
  <c r="BT250" i="123"/>
  <c r="BQ250" i="123"/>
  <c r="BV250" i="123"/>
  <c r="BM250" i="123"/>
  <c r="BR250" i="123"/>
  <c r="BN250" i="123"/>
  <c r="BS250" i="123"/>
  <c r="BO250" i="123"/>
  <c r="BU250" i="123"/>
  <c r="BN247" i="123"/>
  <c r="BR247" i="123"/>
  <c r="BV247" i="123"/>
  <c r="BO247" i="123"/>
  <c r="BT247" i="123"/>
  <c r="BP247" i="123"/>
  <c r="BU247" i="123"/>
  <c r="BQ247" i="123"/>
  <c r="BS247" i="123"/>
  <c r="BM247" i="123"/>
  <c r="BN225" i="123"/>
  <c r="BR225" i="123"/>
  <c r="BV225" i="123"/>
  <c r="BQ225" i="123"/>
  <c r="BM225" i="123"/>
  <c r="BS225" i="123"/>
  <c r="BO225" i="123"/>
  <c r="BT225" i="123"/>
  <c r="BP225" i="123"/>
  <c r="BU225" i="123"/>
  <c r="BP191" i="123"/>
  <c r="BT191" i="123"/>
  <c r="BN191" i="123"/>
  <c r="BS191" i="123"/>
  <c r="BO191" i="123"/>
  <c r="BV191" i="123"/>
  <c r="BQ191" i="123"/>
  <c r="BR191" i="123"/>
  <c r="BM191" i="123"/>
  <c r="BU191" i="123"/>
  <c r="BP183" i="123"/>
  <c r="BT183" i="123"/>
  <c r="BN183" i="123"/>
  <c r="BS183" i="123"/>
  <c r="BQ183" i="123"/>
  <c r="BR183" i="123"/>
  <c r="BM183" i="123"/>
  <c r="BU183" i="123"/>
  <c r="BO183" i="123"/>
  <c r="BV183" i="123"/>
  <c r="BN301" i="123"/>
  <c r="BR301" i="123"/>
  <c r="BV301" i="123"/>
  <c r="BQ301" i="123"/>
  <c r="BS301" i="123"/>
  <c r="BP301" i="123"/>
  <c r="BM301" i="123"/>
  <c r="BU301" i="123"/>
  <c r="BO301" i="123"/>
  <c r="BT301" i="123"/>
  <c r="BP298" i="123"/>
  <c r="BT298" i="123"/>
  <c r="BO298" i="123"/>
  <c r="BU298" i="123"/>
  <c r="BQ298" i="123"/>
  <c r="BN298" i="123"/>
  <c r="BS298" i="123"/>
  <c r="BV298" i="123"/>
  <c r="BM298" i="123"/>
  <c r="BR298" i="123"/>
  <c r="BN293" i="123"/>
  <c r="BR293" i="123"/>
  <c r="BV293" i="123"/>
  <c r="BQ293" i="123"/>
  <c r="BM293" i="123"/>
  <c r="BP293" i="123"/>
  <c r="BS293" i="123"/>
  <c r="BO293" i="123"/>
  <c r="BT293" i="123"/>
  <c r="BU293" i="123"/>
  <c r="BP290" i="123"/>
  <c r="BT290" i="123"/>
  <c r="BO290" i="123"/>
  <c r="BU290" i="123"/>
  <c r="BQ290" i="123"/>
  <c r="BS290" i="123"/>
  <c r="BV290" i="123"/>
  <c r="BN290" i="123"/>
  <c r="BM290" i="123"/>
  <c r="BR290" i="123"/>
  <c r="BN285" i="123"/>
  <c r="BR285" i="123"/>
  <c r="BV285" i="123"/>
  <c r="BQ285" i="123"/>
  <c r="BP285" i="123"/>
  <c r="BM285" i="123"/>
  <c r="BS285" i="123"/>
  <c r="BU285" i="123"/>
  <c r="BO285" i="123"/>
  <c r="BT285" i="123"/>
  <c r="BP284" i="123"/>
  <c r="BT284" i="123"/>
  <c r="BQ284" i="123"/>
  <c r="BV284" i="123"/>
  <c r="BO284" i="123"/>
  <c r="BM284" i="123"/>
  <c r="BR284" i="123"/>
  <c r="BN284" i="123"/>
  <c r="BS284" i="123"/>
  <c r="BU284" i="123"/>
  <c r="BN277" i="123"/>
  <c r="BR277" i="123"/>
  <c r="BV277" i="123"/>
  <c r="BQ277" i="123"/>
  <c r="BU277" i="123"/>
  <c r="BM277" i="123"/>
  <c r="BS277" i="123"/>
  <c r="BP277" i="123"/>
  <c r="BO277" i="123"/>
  <c r="BT277" i="123"/>
  <c r="BP276" i="123"/>
  <c r="BT276" i="123"/>
  <c r="BQ276" i="123"/>
  <c r="BV276" i="123"/>
  <c r="BO276" i="123"/>
  <c r="BM276" i="123"/>
  <c r="BR276" i="123"/>
  <c r="BN276" i="123"/>
  <c r="BS276" i="123"/>
  <c r="BU276" i="123"/>
  <c r="BN269" i="123"/>
  <c r="BR269" i="123"/>
  <c r="BV269" i="123"/>
  <c r="BQ269" i="123"/>
  <c r="BP269" i="123"/>
  <c r="BM269" i="123"/>
  <c r="BS269" i="123"/>
  <c r="BU269" i="123"/>
  <c r="BO269" i="123"/>
  <c r="BT269" i="123"/>
  <c r="BP268" i="123"/>
  <c r="BT268" i="123"/>
  <c r="BQ268" i="123"/>
  <c r="BV268" i="123"/>
  <c r="BO268" i="123"/>
  <c r="BM268" i="123"/>
  <c r="BR268" i="123"/>
  <c r="BN268" i="123"/>
  <c r="BS268" i="123"/>
  <c r="BU268" i="123"/>
  <c r="BN261" i="123"/>
  <c r="BR261" i="123"/>
  <c r="BV261" i="123"/>
  <c r="BM261" i="123"/>
  <c r="BS261" i="123"/>
  <c r="BO261" i="123"/>
  <c r="BT261" i="123"/>
  <c r="BP261" i="123"/>
  <c r="BU261" i="123"/>
  <c r="BQ261" i="123"/>
  <c r="BP260" i="123"/>
  <c r="BT260" i="123"/>
  <c r="BM260" i="123"/>
  <c r="BR260" i="123"/>
  <c r="BN260" i="123"/>
  <c r="BS260" i="123"/>
  <c r="BO260" i="123"/>
  <c r="BU260" i="123"/>
  <c r="BV260" i="123"/>
  <c r="BQ260" i="123"/>
  <c r="BN253" i="123"/>
  <c r="BR253" i="123"/>
  <c r="BV253" i="123"/>
  <c r="BM253" i="123"/>
  <c r="BS253" i="123"/>
  <c r="BO253" i="123"/>
  <c r="BT253" i="123"/>
  <c r="BP253" i="123"/>
  <c r="BU253" i="123"/>
  <c r="BQ253" i="123"/>
  <c r="BN249" i="123"/>
  <c r="BR249" i="123"/>
  <c r="BV249" i="123"/>
  <c r="BP249" i="123"/>
  <c r="BU249" i="123"/>
  <c r="BQ249" i="123"/>
  <c r="BM249" i="123"/>
  <c r="BS249" i="123"/>
  <c r="BT249" i="123"/>
  <c r="BO249" i="123"/>
  <c r="BP244" i="123"/>
  <c r="BT244" i="123"/>
  <c r="BM244" i="123"/>
  <c r="BR244" i="123"/>
  <c r="BN244" i="123"/>
  <c r="BS244" i="123"/>
  <c r="BO244" i="123"/>
  <c r="BU244" i="123"/>
  <c r="BQ244" i="123"/>
  <c r="BV244" i="123"/>
  <c r="BP242" i="123"/>
  <c r="BT242" i="123"/>
  <c r="BQ242" i="123"/>
  <c r="BV242" i="123"/>
  <c r="BM242" i="123"/>
  <c r="BR242" i="123"/>
  <c r="BN242" i="123"/>
  <c r="BS242" i="123"/>
  <c r="BO242" i="123"/>
  <c r="BU242" i="123"/>
  <c r="BN237" i="123"/>
  <c r="BR237" i="123"/>
  <c r="BV237" i="123"/>
  <c r="BM237" i="123"/>
  <c r="BS237" i="123"/>
  <c r="BO237" i="123"/>
  <c r="BT237" i="123"/>
  <c r="BP237" i="123"/>
  <c r="BU237" i="123"/>
  <c r="BQ237" i="123"/>
  <c r="BN209" i="123"/>
  <c r="BR209" i="123"/>
  <c r="BV209" i="123"/>
  <c r="BP209" i="123"/>
  <c r="BU209" i="123"/>
  <c r="BQ209" i="123"/>
  <c r="BM209" i="123"/>
  <c r="BS209" i="123"/>
  <c r="BO209" i="123"/>
  <c r="BT209" i="123"/>
  <c r="BP208" i="123"/>
  <c r="BT208" i="123"/>
  <c r="BO208" i="123"/>
  <c r="BU208" i="123"/>
  <c r="BQ208" i="123"/>
  <c r="BV208" i="123"/>
  <c r="BM208" i="123"/>
  <c r="BR208" i="123"/>
  <c r="BN208" i="123"/>
  <c r="BS208" i="123"/>
  <c r="BN201" i="123"/>
  <c r="BR201" i="123"/>
  <c r="BV201" i="123"/>
  <c r="BP201" i="123"/>
  <c r="BU201" i="123"/>
  <c r="BQ201" i="123"/>
  <c r="BM201" i="123"/>
  <c r="BS201" i="123"/>
  <c r="BO201" i="123"/>
  <c r="BT201" i="123"/>
  <c r="BP200" i="123"/>
  <c r="BT200" i="123"/>
  <c r="BO200" i="123"/>
  <c r="BU200" i="123"/>
  <c r="BQ200" i="123"/>
  <c r="BV200" i="123"/>
  <c r="BM200" i="123"/>
  <c r="BR200" i="123"/>
  <c r="BN200" i="123"/>
  <c r="BS200" i="123"/>
  <c r="BN199" i="123"/>
  <c r="BR199" i="123"/>
  <c r="BV199" i="123"/>
  <c r="BO199" i="123"/>
  <c r="BT199" i="123"/>
  <c r="BP199" i="123"/>
  <c r="BU199" i="123"/>
  <c r="BQ199" i="123"/>
  <c r="BM199" i="123"/>
  <c r="BS199" i="123"/>
  <c r="BP198" i="123"/>
  <c r="BT198" i="123"/>
  <c r="BN198" i="123"/>
  <c r="BS198" i="123"/>
  <c r="BO198" i="123"/>
  <c r="BU198" i="123"/>
  <c r="BQ198" i="123"/>
  <c r="BV198" i="123"/>
  <c r="BM198" i="123"/>
  <c r="BR198" i="123"/>
  <c r="BP193" i="123"/>
  <c r="BT193" i="123"/>
  <c r="BO193" i="123"/>
  <c r="BU193" i="123"/>
  <c r="BQ193" i="123"/>
  <c r="BR193" i="123"/>
  <c r="BM193" i="123"/>
  <c r="BS193" i="123"/>
  <c r="BN193" i="123"/>
  <c r="BV193" i="123"/>
  <c r="BN190" i="123"/>
  <c r="BR190" i="123"/>
  <c r="BV190" i="123"/>
  <c r="BM190" i="123"/>
  <c r="BS190" i="123"/>
  <c r="BQ190" i="123"/>
  <c r="BT190" i="123"/>
  <c r="BO190" i="123"/>
  <c r="BU190" i="123"/>
  <c r="BP190" i="123"/>
  <c r="AK292" i="123"/>
  <c r="BD262" i="123"/>
  <c r="AK188" i="123"/>
  <c r="AK166" i="123"/>
  <c r="AK294" i="123"/>
  <c r="BL252" i="123"/>
  <c r="AK238" i="123"/>
  <c r="AM185" i="123"/>
  <c r="AK182" i="123"/>
  <c r="AM181" i="123"/>
  <c r="AM155" i="123"/>
  <c r="AK129" i="123"/>
  <c r="AM202" i="123"/>
  <c r="AM189" i="123"/>
  <c r="AM179" i="123"/>
  <c r="AM177" i="123"/>
  <c r="AM175" i="123"/>
  <c r="AM173" i="123"/>
  <c r="AK300" i="123"/>
  <c r="AK279" i="123"/>
  <c r="AM278" i="123"/>
  <c r="BL255" i="123"/>
  <c r="AM183" i="123"/>
  <c r="AK302" i="123"/>
  <c r="AK304" i="123"/>
  <c r="AK296" i="123"/>
  <c r="AK288" i="123"/>
  <c r="AK283" i="123"/>
  <c r="BE274" i="123"/>
  <c r="AK298" i="123"/>
  <c r="AK290" i="123"/>
  <c r="AM276" i="123"/>
  <c r="AM260" i="123"/>
  <c r="BK244" i="123"/>
  <c r="AM237" i="123"/>
  <c r="AK228" i="123"/>
  <c r="AK187" i="123"/>
  <c r="AK150" i="123"/>
  <c r="DB203" i="123"/>
  <c r="DB138" i="123"/>
  <c r="DB195" i="123"/>
  <c r="DB251" i="123"/>
  <c r="DB200" i="123"/>
  <c r="DB180" i="123"/>
  <c r="DB172" i="123"/>
  <c r="DB165" i="123"/>
  <c r="DB141" i="123"/>
  <c r="DB131" i="123"/>
  <c r="DB176" i="123"/>
  <c r="DB168" i="123"/>
  <c r="DB132" i="123"/>
  <c r="DB196" i="123"/>
  <c r="DB194" i="123"/>
  <c r="DB167" i="123"/>
  <c r="DB156" i="123"/>
  <c r="DB144" i="123"/>
  <c r="DB142" i="123"/>
  <c r="DB209" i="123"/>
  <c r="BK279" i="123"/>
  <c r="BD303" i="123"/>
  <c r="BF279" i="123"/>
  <c r="BK243" i="123"/>
  <c r="AK183" i="123"/>
  <c r="BF278" i="123"/>
  <c r="BC243" i="123"/>
  <c r="AM137" i="123"/>
  <c r="BH269" i="123"/>
  <c r="BL259" i="123"/>
  <c r="AK158" i="123"/>
  <c r="BJ264" i="123"/>
  <c r="BJ243" i="123"/>
  <c r="BJ209" i="123"/>
  <c r="BJ302" i="123"/>
  <c r="BL300" i="123"/>
  <c r="BH299" i="123"/>
  <c r="BF292" i="123"/>
  <c r="BL274" i="123"/>
  <c r="BJ270" i="123"/>
  <c r="BD264" i="123"/>
  <c r="BG243" i="123"/>
  <c r="BH190" i="123"/>
  <c r="BD302" i="123"/>
  <c r="BF302" i="123"/>
  <c r="BI286" i="123"/>
  <c r="BL278" i="123"/>
  <c r="BF276" i="123"/>
  <c r="BF243" i="123"/>
  <c r="AK243" i="123"/>
  <c r="AK190" i="123"/>
  <c r="AM147" i="123"/>
  <c r="BK271" i="123"/>
  <c r="BF286" i="123"/>
  <c r="BD271" i="123"/>
  <c r="BI268" i="123"/>
  <c r="BD263" i="123"/>
  <c r="BG242" i="123"/>
  <c r="BH238" i="123"/>
  <c r="BG201" i="123"/>
  <c r="AM286" i="123"/>
  <c r="BH283" i="123"/>
  <c r="BJ277" i="123"/>
  <c r="BC275" i="123"/>
  <c r="BI272" i="123"/>
  <c r="BE268" i="123"/>
  <c r="BC242" i="123"/>
  <c r="BC238" i="123"/>
  <c r="AM228" i="123"/>
  <c r="BK190" i="123"/>
  <c r="BC190" i="123"/>
  <c r="AM184" i="123"/>
  <c r="AM157" i="123"/>
  <c r="BK273" i="123"/>
  <c r="BJ265" i="123"/>
  <c r="BJ263" i="123"/>
  <c r="BJ275" i="123"/>
  <c r="BD273" i="123"/>
  <c r="BD265" i="123"/>
  <c r="BD190" i="123"/>
  <c r="BL302" i="123"/>
  <c r="BL286" i="123"/>
  <c r="BF284" i="123"/>
  <c r="BL276" i="123"/>
  <c r="BL269" i="123"/>
  <c r="AM268" i="123"/>
  <c r="BI264" i="123"/>
  <c r="BF259" i="123"/>
  <c r="BK192" i="123"/>
  <c r="BI190" i="123"/>
  <c r="AM190" i="123"/>
  <c r="AK189" i="123"/>
  <c r="AK185" i="123"/>
  <c r="AM141" i="123"/>
  <c r="AM139" i="123"/>
  <c r="BD298" i="123"/>
  <c r="BL293" i="123"/>
  <c r="BD285" i="123"/>
  <c r="BH280" i="123"/>
  <c r="BL277" i="123"/>
  <c r="AK277" i="123"/>
  <c r="BG277" i="123"/>
  <c r="AM270" i="123"/>
  <c r="BI270" i="123"/>
  <c r="BE270" i="123"/>
  <c r="BL270" i="123"/>
  <c r="BE262" i="123"/>
  <c r="BL262" i="123"/>
  <c r="BF262" i="123"/>
  <c r="BI262" i="123"/>
  <c r="BD247" i="123"/>
  <c r="BJ285" i="123"/>
  <c r="AM225" i="123"/>
  <c r="BH293" i="123"/>
  <c r="BD277" i="123"/>
  <c r="BH273" i="123"/>
  <c r="BD272" i="123"/>
  <c r="AM272" i="123"/>
  <c r="BL272" i="123"/>
  <c r="BF270" i="123"/>
  <c r="AM266" i="123"/>
  <c r="BD257" i="123"/>
  <c r="BJ257" i="123"/>
  <c r="BD253" i="123"/>
  <c r="BJ253" i="123"/>
  <c r="BF193" i="123"/>
  <c r="BH193" i="123"/>
  <c r="BL298" i="123"/>
  <c r="AM206" i="123"/>
  <c r="BD200" i="123"/>
  <c r="BJ200" i="123"/>
  <c r="BD300" i="123"/>
  <c r="BJ304" i="123"/>
  <c r="BH294" i="123"/>
  <c r="BJ292" i="123"/>
  <c r="BD286" i="123"/>
  <c r="BL285" i="123"/>
  <c r="BL284" i="123"/>
  <c r="BD278" i="123"/>
  <c r="BE276" i="123"/>
  <c r="BJ276" i="123"/>
  <c r="BD270" i="123"/>
  <c r="BJ262" i="123"/>
  <c r="BD245" i="123"/>
  <c r="BL245" i="123"/>
  <c r="AK199" i="123"/>
  <c r="BK269" i="123"/>
  <c r="BF268" i="123"/>
  <c r="BG259" i="123"/>
  <c r="BI243" i="123"/>
  <c r="BE243" i="123"/>
  <c r="BF239" i="123"/>
  <c r="BK238" i="123"/>
  <c r="BK237" i="123"/>
  <c r="AM235" i="123"/>
  <c r="BD209" i="123"/>
  <c r="BF208" i="123"/>
  <c r="BI192" i="123"/>
  <c r="AK180" i="123"/>
  <c r="AK152" i="123"/>
  <c r="BL243" i="123"/>
  <c r="BH243" i="123"/>
  <c r="BD243" i="123"/>
  <c r="AM243" i="123"/>
  <c r="AK242" i="123"/>
  <c r="BH237" i="123"/>
  <c r="BC269" i="123"/>
  <c r="BL268" i="123"/>
  <c r="BK263" i="123"/>
  <c r="BE190" i="123"/>
  <c r="BJ288" i="123"/>
  <c r="BG261" i="123"/>
  <c r="AM204" i="123"/>
  <c r="AM151" i="123"/>
  <c r="BJ300" i="123"/>
  <c r="BL297" i="123"/>
  <c r="BH290" i="123"/>
  <c r="BH287" i="123"/>
  <c r="BE284" i="123"/>
  <c r="BJ279" i="123"/>
  <c r="BD279" i="123"/>
  <c r="AK275" i="123"/>
  <c r="BH274" i="123"/>
  <c r="BD266" i="123"/>
  <c r="BJ266" i="123"/>
  <c r="BE266" i="123"/>
  <c r="BL266" i="123"/>
  <c r="BD246" i="123"/>
  <c r="BH300" i="123"/>
  <c r="BH298" i="123"/>
  <c r="BH297" i="123"/>
  <c r="BL294" i="123"/>
  <c r="BL291" i="123"/>
  <c r="BF290" i="123"/>
  <c r="BF288" i="123"/>
  <c r="BL287" i="123"/>
  <c r="BG287" i="123"/>
  <c r="AK287" i="123"/>
  <c r="BG285" i="123"/>
  <c r="AK285" i="123"/>
  <c r="BJ284" i="123"/>
  <c r="BK283" i="123"/>
  <c r="BD283" i="123"/>
  <c r="BJ280" i="123"/>
  <c r="BE280" i="123"/>
  <c r="BH279" i="123"/>
  <c r="BC279" i="123"/>
  <c r="BI278" i="123"/>
  <c r="BF275" i="123"/>
  <c r="BF273" i="123"/>
  <c r="BH272" i="123"/>
  <c r="BF266" i="123"/>
  <c r="BK265" i="123"/>
  <c r="BE264" i="123"/>
  <c r="BL264" i="123"/>
  <c r="AM264" i="123"/>
  <c r="BF264" i="123"/>
  <c r="BF260" i="123"/>
  <c r="AK259" i="123"/>
  <c r="BJ259" i="123"/>
  <c r="BD259" i="123"/>
  <c r="BK259" i="123"/>
  <c r="BH254" i="123"/>
  <c r="AK226" i="123"/>
  <c r="AM226" i="123"/>
  <c r="AK201" i="123"/>
  <c r="BL201" i="123"/>
  <c r="BF201" i="123"/>
  <c r="BJ201" i="123"/>
  <c r="AK172" i="123"/>
  <c r="AK134" i="123"/>
  <c r="BJ290" i="123"/>
  <c r="BJ287" i="123"/>
  <c r="BD287" i="123"/>
  <c r="AK261" i="123"/>
  <c r="BD261" i="123"/>
  <c r="BK261" i="123"/>
  <c r="BF261" i="123"/>
  <c r="BL261" i="123"/>
  <c r="BF258" i="123"/>
  <c r="AK229" i="123"/>
  <c r="AK131" i="123"/>
  <c r="AM131" i="123"/>
  <c r="BJ298" i="123"/>
  <c r="BD294" i="123"/>
  <c r="BH288" i="123"/>
  <c r="BC287" i="123"/>
  <c r="BF283" i="123"/>
  <c r="BL280" i="123"/>
  <c r="BF280" i="123"/>
  <c r="AM280" i="123"/>
  <c r="BH275" i="123"/>
  <c r="AM274" i="123"/>
  <c r="BJ274" i="123"/>
  <c r="BJ267" i="123"/>
  <c r="BK267" i="123"/>
  <c r="BI266" i="123"/>
  <c r="BD244" i="123"/>
  <c r="BC239" i="123"/>
  <c r="AK239" i="123"/>
  <c r="BK239" i="123"/>
  <c r="AM188" i="123"/>
  <c r="BF304" i="123"/>
  <c r="BH302" i="123"/>
  <c r="BF300" i="123"/>
  <c r="BF298" i="123"/>
  <c r="BD297" i="123"/>
  <c r="BJ294" i="123"/>
  <c r="BD291" i="123"/>
  <c r="BL290" i="123"/>
  <c r="BD290" i="123"/>
  <c r="BH289" i="123"/>
  <c r="BL288" i="123"/>
  <c r="BD288" i="123"/>
  <c r="BK287" i="123"/>
  <c r="BF287" i="123"/>
  <c r="BH284" i="123"/>
  <c r="AM284" i="123"/>
  <c r="BJ283" i="123"/>
  <c r="BC283" i="123"/>
  <c r="BI280" i="123"/>
  <c r="BD280" i="123"/>
  <c r="BL279" i="123"/>
  <c r="BG279" i="123"/>
  <c r="BK275" i="123"/>
  <c r="BD275" i="123"/>
  <c r="BD267" i="123"/>
  <c r="BJ261" i="123"/>
  <c r="BH246" i="123"/>
  <c r="BJ239" i="123"/>
  <c r="BD237" i="123"/>
  <c r="BL237" i="123"/>
  <c r="BC237" i="123"/>
  <c r="BG237" i="123"/>
  <c r="AM233" i="123"/>
  <c r="AK233" i="123"/>
  <c r="BG271" i="123"/>
  <c r="AK271" i="123"/>
  <c r="BH270" i="123"/>
  <c r="BG269" i="123"/>
  <c r="BJ268" i="123"/>
  <c r="BD268" i="123"/>
  <c r="BL253" i="123"/>
  <c r="BG238" i="123"/>
  <c r="AK232" i="123"/>
  <c r="AK225" i="123"/>
  <c r="BH208" i="123"/>
  <c r="AM208" i="123"/>
  <c r="BL208" i="123"/>
  <c r="BE200" i="123"/>
  <c r="BI200" i="123"/>
  <c r="BJ193" i="123"/>
  <c r="BD193" i="123"/>
  <c r="BL193" i="123"/>
  <c r="AK178" i="123"/>
  <c r="AK176" i="123"/>
  <c r="AK154" i="123"/>
  <c r="AK144" i="123"/>
  <c r="AM262" i="123"/>
  <c r="BD238" i="123"/>
  <c r="BL238" i="123"/>
  <c r="AM192" i="123"/>
  <c r="BD192" i="123"/>
  <c r="BG192" i="123"/>
  <c r="AK168" i="123"/>
  <c r="AM161" i="123"/>
  <c r="BL190" i="123"/>
  <c r="BG190" i="123"/>
  <c r="AK142" i="123"/>
  <c r="BL282" i="123"/>
  <c r="AK249" i="123"/>
  <c r="BD249" i="123"/>
  <c r="BL249" i="123"/>
  <c r="BH249" i="123"/>
  <c r="BJ249" i="123"/>
  <c r="BE241" i="123"/>
  <c r="BI241" i="123"/>
  <c r="AK241" i="123"/>
  <c r="BF241" i="123"/>
  <c r="BJ241" i="123"/>
  <c r="BD241" i="123"/>
  <c r="BL241" i="123"/>
  <c r="BG241" i="123"/>
  <c r="AM241" i="123"/>
  <c r="BH241" i="123"/>
  <c r="BE191" i="123"/>
  <c r="BI191" i="123"/>
  <c r="AK191" i="123"/>
  <c r="BF191" i="123"/>
  <c r="BJ191" i="123"/>
  <c r="BC191" i="123"/>
  <c r="BG191" i="123"/>
  <c r="BK191" i="123"/>
  <c r="AM191" i="123"/>
  <c r="BD191" i="123"/>
  <c r="BH191" i="123"/>
  <c r="AK164" i="123"/>
  <c r="BL304" i="123"/>
  <c r="BD304" i="123"/>
  <c r="BL301" i="123"/>
  <c r="BL299" i="123"/>
  <c r="BH296" i="123"/>
  <c r="BH295" i="123"/>
  <c r="BF294" i="123"/>
  <c r="BD293" i="123"/>
  <c r="BL292" i="123"/>
  <c r="BD292" i="123"/>
  <c r="BL289" i="123"/>
  <c r="BH286" i="123"/>
  <c r="BK285" i="123"/>
  <c r="BF285" i="123"/>
  <c r="BI284" i="123"/>
  <c r="BD284" i="123"/>
  <c r="BL283" i="123"/>
  <c r="BG283" i="123"/>
  <c r="BJ282" i="123"/>
  <c r="BE282" i="123"/>
  <c r="BH281" i="123"/>
  <c r="BC281" i="123"/>
  <c r="BH278" i="123"/>
  <c r="BK277" i="123"/>
  <c r="BF277" i="123"/>
  <c r="BI276" i="123"/>
  <c r="BD276" i="123"/>
  <c r="BL275" i="123"/>
  <c r="BG275" i="123"/>
  <c r="BF274" i="123"/>
  <c r="BJ273" i="123"/>
  <c r="BC273" i="123"/>
  <c r="BF272" i="123"/>
  <c r="BJ271" i="123"/>
  <c r="AK269" i="123"/>
  <c r="BD269" i="123"/>
  <c r="BJ269" i="123"/>
  <c r="AK267" i="123"/>
  <c r="BF267" i="123"/>
  <c r="BL267" i="123"/>
  <c r="AK265" i="123"/>
  <c r="BF265" i="123"/>
  <c r="BL265" i="123"/>
  <c r="AK263" i="123"/>
  <c r="BF263" i="123"/>
  <c r="BL263" i="123"/>
  <c r="BI260" i="123"/>
  <c r="BL258" i="123"/>
  <c r="BH257" i="123"/>
  <c r="BF256" i="123"/>
  <c r="BD255" i="123"/>
  <c r="BF251" i="123"/>
  <c r="AK236" i="123"/>
  <c r="BC236" i="123"/>
  <c r="BK236" i="123"/>
  <c r="BD236" i="123"/>
  <c r="BL236" i="123"/>
  <c r="BG236" i="123"/>
  <c r="BJ296" i="123"/>
  <c r="BL295" i="123"/>
  <c r="BJ281" i="123"/>
  <c r="BH251" i="123"/>
  <c r="BH301" i="123"/>
  <c r="BF296" i="123"/>
  <c r="BD295" i="123"/>
  <c r="BI282" i="123"/>
  <c r="BD282" i="123"/>
  <c r="BL281" i="123"/>
  <c r="BG281" i="123"/>
  <c r="AK281" i="123"/>
  <c r="BH276" i="123"/>
  <c r="BC271" i="123"/>
  <c r="BH271" i="123"/>
  <c r="BD260" i="123"/>
  <c r="BJ260" i="123"/>
  <c r="BL260" i="123"/>
  <c r="BD258" i="123"/>
  <c r="BJ258" i="123"/>
  <c r="AM258" i="123"/>
  <c r="BI258" i="123"/>
  <c r="BF257" i="123"/>
  <c r="BL257" i="123"/>
  <c r="BL250" i="123"/>
  <c r="BF249" i="123"/>
  <c r="BH248" i="123"/>
  <c r="BL248" i="123"/>
  <c r="BK241" i="123"/>
  <c r="BF282" i="123"/>
  <c r="AM282" i="123"/>
  <c r="BD281" i="123"/>
  <c r="BH256" i="123"/>
  <c r="AK251" i="123"/>
  <c r="BD251" i="123"/>
  <c r="BL251" i="123"/>
  <c r="BJ251" i="123"/>
  <c r="BL303" i="123"/>
  <c r="BH304" i="123"/>
  <c r="BH303" i="123"/>
  <c r="BD301" i="123"/>
  <c r="BD299" i="123"/>
  <c r="BL296" i="123"/>
  <c r="BD296" i="123"/>
  <c r="BH292" i="123"/>
  <c r="BH291" i="123"/>
  <c r="BD289" i="123"/>
  <c r="BJ286" i="123"/>
  <c r="BE286" i="123"/>
  <c r="BH285" i="123"/>
  <c r="BC285" i="123"/>
  <c r="BH282" i="123"/>
  <c r="BK281" i="123"/>
  <c r="BF281" i="123"/>
  <c r="BJ278" i="123"/>
  <c r="BE278" i="123"/>
  <c r="BH277" i="123"/>
  <c r="BC277" i="123"/>
  <c r="BD274" i="123"/>
  <c r="BI274" i="123"/>
  <c r="AK273" i="123"/>
  <c r="BG273" i="123"/>
  <c r="BL273" i="123"/>
  <c r="BE272" i="123"/>
  <c r="BJ272" i="123"/>
  <c r="BL271" i="123"/>
  <c r="BF271" i="123"/>
  <c r="BF269" i="123"/>
  <c r="BG267" i="123"/>
  <c r="BG265" i="123"/>
  <c r="BG263" i="123"/>
  <c r="BE260" i="123"/>
  <c r="BE258" i="123"/>
  <c r="BH255" i="123"/>
  <c r="AK247" i="123"/>
  <c r="BF247" i="123"/>
  <c r="BH247" i="123"/>
  <c r="BJ247" i="123"/>
  <c r="BL247" i="123"/>
  <c r="BC241" i="123"/>
  <c r="BH236" i="123"/>
  <c r="BL191" i="123"/>
  <c r="BF253" i="123"/>
  <c r="BJ245" i="123"/>
  <c r="BI244" i="123"/>
  <c r="AM244" i="123"/>
  <c r="BH242" i="123"/>
  <c r="BG239" i="123"/>
  <c r="BE237" i="123"/>
  <c r="BI237" i="123"/>
  <c r="AK237" i="123"/>
  <c r="BF237" i="123"/>
  <c r="BJ237" i="123"/>
  <c r="AK253" i="123"/>
  <c r="BH253" i="123"/>
  <c r="BL246" i="123"/>
  <c r="BH245" i="123"/>
  <c r="BG244" i="123"/>
  <c r="BH240" i="123"/>
  <c r="AK234" i="123"/>
  <c r="AM230" i="123"/>
  <c r="AK230" i="123"/>
  <c r="AK207" i="123"/>
  <c r="BJ207" i="123"/>
  <c r="BD207" i="123"/>
  <c r="BK207" i="123"/>
  <c r="BF207" i="123"/>
  <c r="BL207" i="123"/>
  <c r="AK245" i="123"/>
  <c r="BF245" i="123"/>
  <c r="AK244" i="123"/>
  <c r="BE244" i="123"/>
  <c r="BL244" i="123"/>
  <c r="BK242" i="123"/>
  <c r="AM239" i="123"/>
  <c r="BD239" i="123"/>
  <c r="BH239" i="123"/>
  <c r="BL239" i="123"/>
  <c r="BE239" i="123"/>
  <c r="BI239" i="123"/>
  <c r="AK235" i="123"/>
  <c r="BF209" i="123"/>
  <c r="BK209" i="123"/>
  <c r="AK209" i="123"/>
  <c r="BG209" i="123"/>
  <c r="BL209" i="123"/>
  <c r="BC209" i="123"/>
  <c r="BH209" i="123"/>
  <c r="BG207" i="123"/>
  <c r="AM186" i="123"/>
  <c r="AK146" i="123"/>
  <c r="AK132" i="123"/>
  <c r="BJ208" i="123"/>
  <c r="BE208" i="123"/>
  <c r="AK174" i="123"/>
  <c r="AK162" i="123"/>
  <c r="AM149" i="123"/>
  <c r="AM143" i="123"/>
  <c r="AK140" i="123"/>
  <c r="BI208" i="123"/>
  <c r="BD208" i="123"/>
  <c r="BK201" i="123"/>
  <c r="BD201" i="123"/>
  <c r="BH200" i="123"/>
  <c r="AM200" i="123"/>
  <c r="BL192" i="123"/>
  <c r="BE192" i="123"/>
  <c r="AM187" i="123"/>
  <c r="AM159" i="123"/>
  <c r="AK156" i="123"/>
  <c r="AM153" i="123"/>
  <c r="AK130" i="123"/>
  <c r="AM129" i="123"/>
  <c r="AE46" i="123"/>
  <c r="DY46" i="123"/>
  <c r="DZ46" i="123"/>
  <c r="AE44" i="123"/>
  <c r="DY44" i="123"/>
  <c r="DZ44" i="123"/>
  <c r="AE45" i="123"/>
  <c r="DY45" i="123"/>
  <c r="DZ45" i="123"/>
  <c r="AE96" i="123"/>
  <c r="DY96" i="123"/>
  <c r="DZ96" i="123"/>
  <c r="AE43" i="123"/>
  <c r="DY43" i="123"/>
  <c r="AM254" i="123"/>
  <c r="BE254" i="123"/>
  <c r="BI254" i="123"/>
  <c r="AK254" i="123"/>
  <c r="BC254" i="123"/>
  <c r="BG254" i="123"/>
  <c r="BK254" i="123"/>
  <c r="BI304" i="123"/>
  <c r="BE304" i="123"/>
  <c r="AM304" i="123"/>
  <c r="BK303" i="123"/>
  <c r="BG303" i="123"/>
  <c r="BC303" i="123"/>
  <c r="AK303" i="123"/>
  <c r="BI302" i="123"/>
  <c r="BE302" i="123"/>
  <c r="AM302" i="123"/>
  <c r="BK301" i="123"/>
  <c r="BG301" i="123"/>
  <c r="BC301" i="123"/>
  <c r="AK301" i="123"/>
  <c r="BI300" i="123"/>
  <c r="BE300" i="123"/>
  <c r="AM300" i="123"/>
  <c r="BK299" i="123"/>
  <c r="BG299" i="123"/>
  <c r="BC299" i="123"/>
  <c r="AK299" i="123"/>
  <c r="BI298" i="123"/>
  <c r="BE298" i="123"/>
  <c r="AM298" i="123"/>
  <c r="BK297" i="123"/>
  <c r="BG297" i="123"/>
  <c r="BC297" i="123"/>
  <c r="AK297" i="123"/>
  <c r="BI296" i="123"/>
  <c r="BE296" i="123"/>
  <c r="AM296" i="123"/>
  <c r="BK295" i="123"/>
  <c r="BG295" i="123"/>
  <c r="BC295" i="123"/>
  <c r="AK295" i="123"/>
  <c r="BI294" i="123"/>
  <c r="BE294" i="123"/>
  <c r="AM294" i="123"/>
  <c r="BK293" i="123"/>
  <c r="BG293" i="123"/>
  <c r="BC293" i="123"/>
  <c r="AK293" i="123"/>
  <c r="BI292" i="123"/>
  <c r="BE292" i="123"/>
  <c r="AM292" i="123"/>
  <c r="BK291" i="123"/>
  <c r="BG291" i="123"/>
  <c r="BC291" i="123"/>
  <c r="AK291" i="123"/>
  <c r="BI290" i="123"/>
  <c r="BE290" i="123"/>
  <c r="AM290" i="123"/>
  <c r="BK289" i="123"/>
  <c r="BG289" i="123"/>
  <c r="BC289" i="123"/>
  <c r="AK289" i="123"/>
  <c r="BI288" i="123"/>
  <c r="BE288" i="123"/>
  <c r="AM288" i="123"/>
  <c r="BH268" i="123"/>
  <c r="BH267" i="123"/>
  <c r="BC267" i="123"/>
  <c r="BH266" i="123"/>
  <c r="BH265" i="123"/>
  <c r="BC265" i="123"/>
  <c r="BH264" i="123"/>
  <c r="BH263" i="123"/>
  <c r="BC263" i="123"/>
  <c r="BH262" i="123"/>
  <c r="BH261" i="123"/>
  <c r="BC261" i="123"/>
  <c r="BH260" i="123"/>
  <c r="BH259" i="123"/>
  <c r="BC259" i="123"/>
  <c r="BH258" i="123"/>
  <c r="AK257" i="123"/>
  <c r="BC257" i="123"/>
  <c r="BG257" i="123"/>
  <c r="BK257" i="123"/>
  <c r="AM257" i="123"/>
  <c r="BE257" i="123"/>
  <c r="BI257" i="123"/>
  <c r="BL256" i="123"/>
  <c r="BD256" i="123"/>
  <c r="BJ255" i="123"/>
  <c r="BF254" i="123"/>
  <c r="BH250" i="123"/>
  <c r="BD248" i="123"/>
  <c r="AM246" i="123"/>
  <c r="BE246" i="123"/>
  <c r="BI246" i="123"/>
  <c r="BF246" i="123"/>
  <c r="BJ246" i="123"/>
  <c r="AK246" i="123"/>
  <c r="BC246" i="123"/>
  <c r="BG246" i="123"/>
  <c r="BK246" i="123"/>
  <c r="AM240" i="123"/>
  <c r="BE240" i="123"/>
  <c r="BI240" i="123"/>
  <c r="BF240" i="123"/>
  <c r="BJ240" i="123"/>
  <c r="AK240" i="123"/>
  <c r="BC240" i="123"/>
  <c r="BK240" i="123"/>
  <c r="BD240" i="123"/>
  <c r="BL240" i="123"/>
  <c r="BG240" i="123"/>
  <c r="AM252" i="123"/>
  <c r="BE252" i="123"/>
  <c r="BI252" i="123"/>
  <c r="BF252" i="123"/>
  <c r="BJ252" i="123"/>
  <c r="AK252" i="123"/>
  <c r="BC252" i="123"/>
  <c r="BG252" i="123"/>
  <c r="BK252" i="123"/>
  <c r="BJ301" i="123"/>
  <c r="BF301" i="123"/>
  <c r="BJ295" i="123"/>
  <c r="BF295" i="123"/>
  <c r="BJ291" i="123"/>
  <c r="BF291" i="123"/>
  <c r="BJ289" i="123"/>
  <c r="BF289" i="123"/>
  <c r="BJ256" i="123"/>
  <c r="AK255" i="123"/>
  <c r="BC255" i="123"/>
  <c r="BG255" i="123"/>
  <c r="BK255" i="123"/>
  <c r="AM255" i="123"/>
  <c r="BE255" i="123"/>
  <c r="BI255" i="123"/>
  <c r="BL254" i="123"/>
  <c r="BD254" i="123"/>
  <c r="BH252" i="123"/>
  <c r="BD250" i="123"/>
  <c r="AM248" i="123"/>
  <c r="BE248" i="123"/>
  <c r="BI248" i="123"/>
  <c r="BF248" i="123"/>
  <c r="BJ248" i="123"/>
  <c r="AK248" i="123"/>
  <c r="BC248" i="123"/>
  <c r="BG248" i="123"/>
  <c r="BK248" i="123"/>
  <c r="DB186" i="123"/>
  <c r="BJ303" i="123"/>
  <c r="BF303" i="123"/>
  <c r="BJ299" i="123"/>
  <c r="BF299" i="123"/>
  <c r="BJ297" i="123"/>
  <c r="BF297" i="123"/>
  <c r="BJ293" i="123"/>
  <c r="BF293" i="123"/>
  <c r="BK304" i="123"/>
  <c r="BG304" i="123"/>
  <c r="BC304" i="123"/>
  <c r="BI303" i="123"/>
  <c r="BE303" i="123"/>
  <c r="AM303" i="123"/>
  <c r="BK302" i="123"/>
  <c r="BG302" i="123"/>
  <c r="BC302" i="123"/>
  <c r="BI301" i="123"/>
  <c r="BE301" i="123"/>
  <c r="AM301" i="123"/>
  <c r="BK300" i="123"/>
  <c r="BG300" i="123"/>
  <c r="BC300" i="123"/>
  <c r="BI299" i="123"/>
  <c r="BE299" i="123"/>
  <c r="AM299" i="123"/>
  <c r="BK298" i="123"/>
  <c r="BG298" i="123"/>
  <c r="BC298" i="123"/>
  <c r="BI297" i="123"/>
  <c r="BE297" i="123"/>
  <c r="AM297" i="123"/>
  <c r="BK296" i="123"/>
  <c r="BG296" i="123"/>
  <c r="BC296" i="123"/>
  <c r="BI295" i="123"/>
  <c r="BE295" i="123"/>
  <c r="AM295" i="123"/>
  <c r="BK294" i="123"/>
  <c r="BG294" i="123"/>
  <c r="BC294" i="123"/>
  <c r="BI293" i="123"/>
  <c r="BE293" i="123"/>
  <c r="AM293" i="123"/>
  <c r="BK292" i="123"/>
  <c r="BG292" i="123"/>
  <c r="BC292" i="123"/>
  <c r="BI291" i="123"/>
  <c r="BE291" i="123"/>
  <c r="AM291" i="123"/>
  <c r="BK290" i="123"/>
  <c r="BG290" i="123"/>
  <c r="BC290" i="123"/>
  <c r="BI289" i="123"/>
  <c r="BE289" i="123"/>
  <c r="AM289" i="123"/>
  <c r="BK288" i="123"/>
  <c r="BG288" i="123"/>
  <c r="BC288" i="123"/>
  <c r="AM287" i="123"/>
  <c r="BE287" i="123"/>
  <c r="BI287" i="123"/>
  <c r="AK286" i="123"/>
  <c r="BC286" i="123"/>
  <c r="BG286" i="123"/>
  <c r="BK286" i="123"/>
  <c r="AM285" i="123"/>
  <c r="BE285" i="123"/>
  <c r="BI285" i="123"/>
  <c r="AK284" i="123"/>
  <c r="BC284" i="123"/>
  <c r="BG284" i="123"/>
  <c r="BK284" i="123"/>
  <c r="AM283" i="123"/>
  <c r="BE283" i="123"/>
  <c r="BI283" i="123"/>
  <c r="AK282" i="123"/>
  <c r="BC282" i="123"/>
  <c r="BG282" i="123"/>
  <c r="BK282" i="123"/>
  <c r="AM281" i="123"/>
  <c r="BE281" i="123"/>
  <c r="BI281" i="123"/>
  <c r="AK280" i="123"/>
  <c r="BC280" i="123"/>
  <c r="BG280" i="123"/>
  <c r="BK280" i="123"/>
  <c r="AM279" i="123"/>
  <c r="BE279" i="123"/>
  <c r="BI279" i="123"/>
  <c r="AK278" i="123"/>
  <c r="BC278" i="123"/>
  <c r="BG278" i="123"/>
  <c r="BK278" i="123"/>
  <c r="AM277" i="123"/>
  <c r="BE277" i="123"/>
  <c r="BI277" i="123"/>
  <c r="AK276" i="123"/>
  <c r="BC276" i="123"/>
  <c r="BG276" i="123"/>
  <c r="BK276" i="123"/>
  <c r="AM275" i="123"/>
  <c r="BE275" i="123"/>
  <c r="BI275" i="123"/>
  <c r="AK274" i="123"/>
  <c r="BC274" i="123"/>
  <c r="BG274" i="123"/>
  <c r="BK274" i="123"/>
  <c r="AM273" i="123"/>
  <c r="BE273" i="123"/>
  <c r="BI273" i="123"/>
  <c r="AK272" i="123"/>
  <c r="BC272" i="123"/>
  <c r="BG272" i="123"/>
  <c r="BK272" i="123"/>
  <c r="AM271" i="123"/>
  <c r="BE271" i="123"/>
  <c r="BI271" i="123"/>
  <c r="AK270" i="123"/>
  <c r="BC270" i="123"/>
  <c r="BG270" i="123"/>
  <c r="BK270" i="123"/>
  <c r="AM269" i="123"/>
  <c r="BE269" i="123"/>
  <c r="BI269" i="123"/>
  <c r="AK268" i="123"/>
  <c r="BC268" i="123"/>
  <c r="BG268" i="123"/>
  <c r="BK268" i="123"/>
  <c r="AM267" i="123"/>
  <c r="BE267" i="123"/>
  <c r="BI267" i="123"/>
  <c r="AK266" i="123"/>
  <c r="BC266" i="123"/>
  <c r="BG266" i="123"/>
  <c r="BK266" i="123"/>
  <c r="AM265" i="123"/>
  <c r="BE265" i="123"/>
  <c r="BI265" i="123"/>
  <c r="AK264" i="123"/>
  <c r="BC264" i="123"/>
  <c r="BG264" i="123"/>
  <c r="BK264" i="123"/>
  <c r="AM263" i="123"/>
  <c r="BE263" i="123"/>
  <c r="BI263" i="123"/>
  <c r="AK262" i="123"/>
  <c r="BC262" i="123"/>
  <c r="BG262" i="123"/>
  <c r="BK262" i="123"/>
  <c r="AM261" i="123"/>
  <c r="BE261" i="123"/>
  <c r="BI261" i="123"/>
  <c r="AK260" i="123"/>
  <c r="BC260" i="123"/>
  <c r="BG260" i="123"/>
  <c r="BK260" i="123"/>
  <c r="AM259" i="123"/>
  <c r="BE259" i="123"/>
  <c r="BI259" i="123"/>
  <c r="AK258" i="123"/>
  <c r="BC258" i="123"/>
  <c r="BG258" i="123"/>
  <c r="BK258" i="123"/>
  <c r="AM256" i="123"/>
  <c r="BE256" i="123"/>
  <c r="BI256" i="123"/>
  <c r="AK256" i="123"/>
  <c r="BC256" i="123"/>
  <c r="BG256" i="123"/>
  <c r="BK256" i="123"/>
  <c r="BF255" i="123"/>
  <c r="BJ254" i="123"/>
  <c r="BD252" i="123"/>
  <c r="AM250" i="123"/>
  <c r="BE250" i="123"/>
  <c r="BI250" i="123"/>
  <c r="BF250" i="123"/>
  <c r="BJ250" i="123"/>
  <c r="AK250" i="123"/>
  <c r="BC250" i="123"/>
  <c r="BG250" i="123"/>
  <c r="BK250" i="123"/>
  <c r="DB228" i="123"/>
  <c r="DB225" i="123"/>
  <c r="BI253" i="123"/>
  <c r="BE253" i="123"/>
  <c r="AM253" i="123"/>
  <c r="BI251" i="123"/>
  <c r="BE251" i="123"/>
  <c r="AM251" i="123"/>
  <c r="BI249" i="123"/>
  <c r="BE249" i="123"/>
  <c r="AM249" i="123"/>
  <c r="BI247" i="123"/>
  <c r="BE247" i="123"/>
  <c r="AM247" i="123"/>
  <c r="BI245" i="123"/>
  <c r="BE245" i="123"/>
  <c r="AM245" i="123"/>
  <c r="BH244" i="123"/>
  <c r="BC244" i="123"/>
  <c r="BL242" i="123"/>
  <c r="BD242" i="123"/>
  <c r="AM238" i="123"/>
  <c r="BE238" i="123"/>
  <c r="BI238" i="123"/>
  <c r="BF238" i="123"/>
  <c r="BJ238" i="123"/>
  <c r="DB237" i="123"/>
  <c r="DB235" i="123"/>
  <c r="DB233" i="123"/>
  <c r="DB230" i="123"/>
  <c r="AK196" i="123"/>
  <c r="AM196" i="123"/>
  <c r="BK253" i="123"/>
  <c r="BG253" i="123"/>
  <c r="BC253" i="123"/>
  <c r="BK251" i="123"/>
  <c r="BG251" i="123"/>
  <c r="BC251" i="123"/>
  <c r="BK249" i="123"/>
  <c r="BG249" i="123"/>
  <c r="BC249" i="123"/>
  <c r="BK247" i="123"/>
  <c r="BG247" i="123"/>
  <c r="BC247" i="123"/>
  <c r="BK245" i="123"/>
  <c r="BG245" i="123"/>
  <c r="BC245" i="123"/>
  <c r="BF244" i="123"/>
  <c r="BJ244" i="123"/>
  <c r="AM242" i="123"/>
  <c r="BE242" i="123"/>
  <c r="BI242" i="123"/>
  <c r="BF242" i="123"/>
  <c r="BJ242" i="123"/>
  <c r="DB242" i="123"/>
  <c r="DB240" i="123"/>
  <c r="DB238" i="123"/>
  <c r="DB236" i="123"/>
  <c r="BJ236" i="123"/>
  <c r="BF236" i="123"/>
  <c r="DB234" i="123"/>
  <c r="DB232" i="123"/>
  <c r="DB229" i="123"/>
  <c r="DB226" i="123"/>
  <c r="BH207" i="123"/>
  <c r="BC207" i="123"/>
  <c r="AK205" i="123"/>
  <c r="AK203" i="123"/>
  <c r="BH201" i="123"/>
  <c r="BC201" i="123"/>
  <c r="BL200" i="123"/>
  <c r="BF200" i="123"/>
  <c r="AK194" i="123"/>
  <c r="AM194" i="123"/>
  <c r="BI236" i="123"/>
  <c r="BE236" i="123"/>
  <c r="AM236" i="123"/>
  <c r="AM234" i="123"/>
  <c r="AM232" i="123"/>
  <c r="AM229" i="123"/>
  <c r="AM201" i="123"/>
  <c r="BE201" i="123"/>
  <c r="BI201" i="123"/>
  <c r="AK200" i="123"/>
  <c r="BC200" i="123"/>
  <c r="BG200" i="123"/>
  <c r="BK200" i="123"/>
  <c r="AM199" i="123"/>
  <c r="AM197" i="123"/>
  <c r="AK197" i="123"/>
  <c r="AM193" i="123"/>
  <c r="BE193" i="123"/>
  <c r="BI193" i="123"/>
  <c r="AK193" i="123"/>
  <c r="BC193" i="123"/>
  <c r="BG193" i="123"/>
  <c r="BK193" i="123"/>
  <c r="AM209" i="123"/>
  <c r="BE209" i="123"/>
  <c r="BI209" i="123"/>
  <c r="AK208" i="123"/>
  <c r="BC208" i="123"/>
  <c r="BG208" i="123"/>
  <c r="BK208" i="123"/>
  <c r="AM207" i="123"/>
  <c r="BE207" i="123"/>
  <c r="BI207" i="123"/>
  <c r="AK206" i="123"/>
  <c r="AM205" i="123"/>
  <c r="AK204" i="123"/>
  <c r="AM203" i="123"/>
  <c r="AK202" i="123"/>
  <c r="AK198" i="123"/>
  <c r="AM198" i="123"/>
  <c r="AM195" i="123"/>
  <c r="AK195" i="123"/>
  <c r="DB192" i="123"/>
  <c r="BF192" i="123"/>
  <c r="BJ192" i="123"/>
  <c r="AK186" i="123"/>
  <c r="AK170" i="123"/>
  <c r="AM170" i="123"/>
  <c r="DB190" i="123"/>
  <c r="DB188" i="123"/>
  <c r="DB184" i="123"/>
  <c r="BH192" i="123"/>
  <c r="BC192" i="123"/>
  <c r="AK192" i="123"/>
  <c r="BF190" i="123"/>
  <c r="BJ190" i="123"/>
  <c r="AK184" i="123"/>
  <c r="AK171" i="123"/>
  <c r="AM167" i="123"/>
  <c r="AK167" i="123"/>
  <c r="AM138" i="123"/>
  <c r="AK138" i="123"/>
  <c r="AM182" i="123"/>
  <c r="AK181" i="123"/>
  <c r="AM180" i="123"/>
  <c r="AK179" i="123"/>
  <c r="AM178" i="123"/>
  <c r="AK177" i="123"/>
  <c r="AM176" i="123"/>
  <c r="AK175" i="123"/>
  <c r="AM174" i="123"/>
  <c r="AK173" i="123"/>
  <c r="AM172" i="123"/>
  <c r="AM171" i="123"/>
  <c r="AM169" i="123"/>
  <c r="AK169" i="123"/>
  <c r="AM165" i="123"/>
  <c r="AK165" i="123"/>
  <c r="DB181" i="123"/>
  <c r="DB179" i="123"/>
  <c r="DB177" i="123"/>
  <c r="DB175" i="123"/>
  <c r="DB173" i="123"/>
  <c r="AM163" i="123"/>
  <c r="AK163" i="123"/>
  <c r="AM168" i="123"/>
  <c r="AM166" i="123"/>
  <c r="AM164" i="123"/>
  <c r="AK160" i="123"/>
  <c r="DB155" i="123"/>
  <c r="DB139" i="123"/>
  <c r="DB149" i="123"/>
  <c r="AM162" i="123"/>
  <c r="AK161" i="123"/>
  <c r="AM160" i="123"/>
  <c r="AM150" i="123"/>
  <c r="AK149" i="123"/>
  <c r="AM148" i="123"/>
  <c r="AM133" i="123"/>
  <c r="AK133" i="123"/>
  <c r="AK159" i="123"/>
  <c r="AM158" i="123"/>
  <c r="AK157" i="123"/>
  <c r="AM156" i="123"/>
  <c r="AK155" i="123"/>
  <c r="AM154" i="123"/>
  <c r="AK153" i="123"/>
  <c r="AM152" i="123"/>
  <c r="AK151" i="123"/>
  <c r="AK137" i="123"/>
  <c r="DB153" i="123"/>
  <c r="AK148" i="123"/>
  <c r="AK147" i="123"/>
  <c r="AM145" i="123"/>
  <c r="AK145" i="123"/>
  <c r="AM146" i="123"/>
  <c r="AM144" i="123"/>
  <c r="AM140" i="123"/>
  <c r="AK139" i="123"/>
  <c r="DB137" i="123"/>
  <c r="AK136" i="123"/>
  <c r="DB145" i="123"/>
  <c r="AK143" i="123"/>
  <c r="AM142" i="123"/>
  <c r="AK141" i="123"/>
  <c r="AM135" i="123"/>
  <c r="AK135" i="123"/>
  <c r="AM136" i="123"/>
  <c r="AM134" i="123"/>
  <c r="AM132" i="123"/>
  <c r="DB135" i="123"/>
  <c r="DB133" i="123"/>
  <c r="AM130" i="123"/>
  <c r="DB129" i="123"/>
  <c r="DB130" i="123"/>
  <c r="EB52" i="98"/>
  <c r="B2" i="128"/>
  <c r="DF204" i="123" l="1"/>
  <c r="DF183" i="123"/>
  <c r="DF130" i="123"/>
  <c r="DF155" i="123"/>
  <c r="DF236" i="123"/>
  <c r="DF144" i="123"/>
  <c r="DF131" i="123"/>
  <c r="DF160" i="123"/>
  <c r="DF168" i="123"/>
  <c r="DF208" i="123"/>
  <c r="DF241" i="123"/>
  <c r="DF245" i="123"/>
  <c r="DF249" i="123"/>
  <c r="DF253" i="123"/>
  <c r="DF257" i="123"/>
  <c r="DF261" i="123"/>
  <c r="DF265" i="123"/>
  <c r="DF269" i="123"/>
  <c r="DF273" i="123"/>
  <c r="DF277" i="123"/>
  <c r="DF281" i="123"/>
  <c r="DF285" i="123"/>
  <c r="DF289" i="123"/>
  <c r="DF293" i="123"/>
  <c r="DF297" i="123"/>
  <c r="DF301" i="123"/>
  <c r="DF233" i="123"/>
  <c r="DF135" i="123"/>
  <c r="DF148" i="123"/>
  <c r="DF152" i="123"/>
  <c r="DF229" i="123"/>
  <c r="KD25" i="1"/>
  <c r="KC20" i="1"/>
  <c r="DF243" i="123"/>
  <c r="DF234" i="123"/>
  <c r="DF230" i="123"/>
  <c r="DF129" i="123"/>
  <c r="DF167" i="123"/>
  <c r="DF171" i="123"/>
  <c r="DF174" i="123"/>
  <c r="DF240" i="123"/>
  <c r="DF254" i="123"/>
  <c r="DF264" i="123"/>
  <c r="DF270" i="123"/>
  <c r="DF302" i="123"/>
  <c r="DF225" i="123"/>
  <c r="DF228" i="123"/>
  <c r="DF232" i="123"/>
  <c r="DF141" i="123"/>
  <c r="DF179" i="123"/>
  <c r="DF138" i="123"/>
  <c r="DF164" i="123"/>
  <c r="DF180" i="123"/>
  <c r="DF182" i="123"/>
  <c r="DF203" i="123"/>
  <c r="DF205" i="123"/>
  <c r="DF248" i="123"/>
  <c r="DF280" i="123"/>
  <c r="DF286" i="123"/>
  <c r="DF296" i="123"/>
  <c r="DF149" i="123"/>
  <c r="DF177" i="123"/>
  <c r="DF196" i="123"/>
  <c r="DF150" i="123"/>
  <c r="DF192" i="123"/>
  <c r="DF193" i="123"/>
  <c r="DF197" i="123"/>
  <c r="DF200" i="123"/>
  <c r="DF202" i="123"/>
  <c r="DF237" i="123"/>
  <c r="DF238" i="123"/>
  <c r="B5" i="128"/>
  <c r="C8" i="128"/>
  <c r="B9" i="128"/>
  <c r="B8" i="128"/>
  <c r="C9" i="128"/>
  <c r="C10" i="128"/>
  <c r="C7" i="128"/>
  <c r="C6" i="128"/>
  <c r="B10" i="128"/>
  <c r="C5" i="128"/>
  <c r="B6" i="128"/>
  <c r="B7" i="128"/>
  <c r="C27" i="128"/>
  <c r="B27" i="128"/>
  <c r="C72" i="128"/>
  <c r="B71" i="128"/>
  <c r="C71" i="128"/>
  <c r="B72" i="128"/>
  <c r="C140" i="128"/>
  <c r="B140" i="128"/>
  <c r="B119" i="128"/>
  <c r="C119" i="128"/>
  <c r="B110" i="128"/>
  <c r="B111" i="128"/>
  <c r="C110" i="128"/>
  <c r="C111" i="128"/>
  <c r="EB46" i="98"/>
  <c r="EB67" i="98"/>
  <c r="EB71" i="98"/>
  <c r="EB43" i="98"/>
  <c r="EB47" i="98"/>
  <c r="EB51" i="98"/>
  <c r="EB56" i="98"/>
  <c r="EB60" i="98"/>
  <c r="EB64" i="98"/>
  <c r="EB68" i="98"/>
  <c r="EB72" i="98"/>
  <c r="EB44" i="98"/>
  <c r="EB48" i="98"/>
  <c r="EB53" i="98"/>
  <c r="EB57" i="98"/>
  <c r="EB61" i="98"/>
  <c r="EB65" i="98"/>
  <c r="EB69" i="98"/>
  <c r="EB73" i="98"/>
  <c r="EB45" i="98"/>
  <c r="EB49" i="98"/>
  <c r="EB54" i="98"/>
  <c r="EB58" i="98"/>
  <c r="EB62" i="98"/>
  <c r="EB66" i="98"/>
  <c r="EB70" i="98"/>
  <c r="EB42" i="98"/>
  <c r="EB50" i="98"/>
  <c r="EB55" i="98"/>
  <c r="EB59" i="98"/>
  <c r="EB63" i="98"/>
  <c r="D2" i="128"/>
  <c r="EB30" i="98"/>
  <c r="EB77" i="98"/>
  <c r="EB81" i="98"/>
  <c r="EB85" i="98"/>
  <c r="EB89" i="98"/>
  <c r="EB93" i="98"/>
  <c r="E7" i="122"/>
  <c r="EB74" i="98"/>
  <c r="EB78" i="98"/>
  <c r="EB82" i="98"/>
  <c r="EB86" i="98"/>
  <c r="EB94" i="98"/>
  <c r="EB75" i="98"/>
  <c r="EB79" i="98"/>
  <c r="EB83" i="98"/>
  <c r="EB87" i="98"/>
  <c r="EB91" i="98"/>
  <c r="EB76" i="98"/>
  <c r="EB80" i="98"/>
  <c r="EB84" i="98"/>
  <c r="EB88" i="98"/>
  <c r="EB92" i="98"/>
  <c r="EB90" i="98"/>
  <c r="EB31" i="98"/>
  <c r="EB33" i="98"/>
  <c r="EB32" i="98"/>
  <c r="H32" i="93" l="1"/>
  <c r="KE25" i="1"/>
  <c r="KD20" i="1"/>
  <c r="AC76" i="98"/>
  <c r="AC80" i="98"/>
  <c r="AC84" i="98"/>
  <c r="AC88" i="98"/>
  <c r="AC92" i="98"/>
  <c r="AB78" i="98"/>
  <c r="AB82" i="98"/>
  <c r="AB86" i="98"/>
  <c r="AB90" i="98"/>
  <c r="AB94" i="98"/>
  <c r="AC77" i="98"/>
  <c r="AC81" i="98"/>
  <c r="AC85" i="98"/>
  <c r="AC89" i="98"/>
  <c r="AC93" i="98"/>
  <c r="AB75" i="98"/>
  <c r="AB79" i="98"/>
  <c r="AB83" i="98"/>
  <c r="AB87" i="98"/>
  <c r="AB91" i="98"/>
  <c r="AC79" i="98"/>
  <c r="AC87" i="98"/>
  <c r="AB81" i="98"/>
  <c r="AB89" i="98"/>
  <c r="AB84" i="98"/>
  <c r="AC75" i="98"/>
  <c r="AC91" i="98"/>
  <c r="AB85" i="98"/>
  <c r="AC86" i="98"/>
  <c r="AB88" i="98"/>
  <c r="AC82" i="98"/>
  <c r="AC90" i="98"/>
  <c r="AB76" i="98"/>
  <c r="AB92" i="98"/>
  <c r="AC83" i="98"/>
  <c r="AB77" i="98"/>
  <c r="AB93" i="98"/>
  <c r="AC78" i="98"/>
  <c r="AC94" i="98"/>
  <c r="AB80" i="98"/>
  <c r="HQ14" i="123"/>
  <c r="IR14" i="123"/>
  <c r="GE14" i="123"/>
  <c r="IQ14" i="123"/>
  <c r="GR14" i="123"/>
  <c r="IN14" i="123"/>
  <c r="HB14" i="123"/>
  <c r="GN14" i="123"/>
  <c r="IA14" i="123"/>
  <c r="IX14" i="123"/>
  <c r="GL14" i="123"/>
  <c r="GV14" i="123"/>
  <c r="HA14" i="123"/>
  <c r="GU14" i="123"/>
  <c r="IJ14" i="123"/>
  <c r="HR14" i="123"/>
  <c r="IG14" i="123"/>
  <c r="FU14" i="123"/>
  <c r="HK14" i="123"/>
  <c r="IH14" i="123"/>
  <c r="FV14" i="123"/>
  <c r="IW14" i="123"/>
  <c r="GK14" i="123"/>
  <c r="IB14" i="123"/>
  <c r="HW14" i="123"/>
  <c r="GQ14" i="123"/>
  <c r="HX14" i="123"/>
  <c r="IT14" i="123"/>
  <c r="HN14" i="123"/>
  <c r="GH14" i="123"/>
  <c r="GF14" i="123"/>
  <c r="IC14" i="123"/>
  <c r="HM14" i="123"/>
  <c r="GG14" i="123"/>
  <c r="FQ14" i="123"/>
  <c r="EG14" i="123"/>
  <c r="HP14" i="123"/>
  <c r="FP14" i="123"/>
  <c r="IY14" i="123"/>
  <c r="II14" i="123"/>
  <c r="HS14" i="123"/>
  <c r="HC14" i="123"/>
  <c r="GM14" i="123"/>
  <c r="FW14" i="123"/>
  <c r="HL14" i="123"/>
  <c r="FX14" i="123"/>
  <c r="IP14" i="123"/>
  <c r="HZ14" i="123"/>
  <c r="HJ14" i="123"/>
  <c r="GT14" i="123"/>
  <c r="GD14" i="123"/>
  <c r="HT14" i="123"/>
  <c r="FT14" i="123"/>
  <c r="IO14" i="123"/>
  <c r="HY14" i="123"/>
  <c r="HI14" i="123"/>
  <c r="GS14" i="123"/>
  <c r="GC14" i="123"/>
  <c r="GB14" i="123"/>
  <c r="JC14" i="123"/>
  <c r="IM14" i="123"/>
  <c r="HG14" i="123"/>
  <c r="GA14" i="123"/>
  <c r="GJ14" i="123"/>
  <c r="ID14" i="123"/>
  <c r="GX14" i="123"/>
  <c r="FR14" i="123"/>
  <c r="IF14" i="123"/>
  <c r="IS14" i="123"/>
  <c r="GW14" i="123"/>
  <c r="IZ14" i="123"/>
  <c r="GZ14" i="123"/>
  <c r="IU14" i="123"/>
  <c r="IE14" i="123"/>
  <c r="HO14" i="123"/>
  <c r="GY14" i="123"/>
  <c r="GI14" i="123"/>
  <c r="FS14" i="123"/>
  <c r="IV14" i="123"/>
  <c r="HD14" i="123"/>
  <c r="JB14" i="123"/>
  <c r="IL14" i="123"/>
  <c r="HV14" i="123"/>
  <c r="HF14" i="123"/>
  <c r="GP14" i="123"/>
  <c r="FZ14" i="123"/>
  <c r="HH14" i="123"/>
  <c r="JA14" i="123"/>
  <c r="IK14" i="123"/>
  <c r="HU14" i="123"/>
  <c r="HE14" i="123"/>
  <c r="GO14" i="123"/>
  <c r="FY14" i="123"/>
  <c r="B84" i="98"/>
  <c r="I78" i="98"/>
  <c r="I77" i="98"/>
  <c r="I94" i="98"/>
  <c r="D91" i="98"/>
  <c r="D92" i="98"/>
  <c r="D82" i="98"/>
  <c r="B89" i="98"/>
  <c r="E85" i="98"/>
  <c r="B86" i="98"/>
  <c r="B87" i="98"/>
  <c r="C77" i="98"/>
  <c r="J85" i="98"/>
  <c r="D84" i="98"/>
  <c r="D90" i="98"/>
  <c r="B78" i="98"/>
  <c r="J93" i="98"/>
  <c r="B88" i="98"/>
  <c r="E93" i="98"/>
  <c r="D76" i="98"/>
  <c r="I86" i="98"/>
  <c r="E94" i="98"/>
  <c r="J88" i="98"/>
  <c r="I87" i="98"/>
  <c r="B85" i="98"/>
  <c r="D94" i="98"/>
  <c r="J75" i="98"/>
  <c r="E89" i="98"/>
  <c r="J92" i="98"/>
  <c r="J91" i="98"/>
  <c r="B93" i="98"/>
  <c r="J86" i="98"/>
  <c r="B83" i="98"/>
  <c r="D85" i="98"/>
  <c r="D80" i="98"/>
  <c r="E91" i="98"/>
  <c r="I81" i="98"/>
  <c r="I90" i="98"/>
  <c r="J79" i="98"/>
  <c r="I76" i="98"/>
  <c r="B92" i="98"/>
  <c r="C90" i="98"/>
  <c r="C93" i="98"/>
  <c r="B75" i="98"/>
  <c r="J84" i="98"/>
  <c r="D87" i="98"/>
  <c r="C94" i="98"/>
  <c r="J89" i="98"/>
  <c r="I91" i="98"/>
  <c r="C92" i="98"/>
  <c r="B80" i="98"/>
  <c r="J87" i="98"/>
  <c r="D89" i="98"/>
  <c r="J77" i="98"/>
  <c r="C91" i="98"/>
  <c r="D86" i="98"/>
  <c r="C78" i="98"/>
  <c r="I92" i="98"/>
  <c r="I84" i="98"/>
  <c r="C88" i="98"/>
  <c r="D93" i="98"/>
  <c r="J80" i="98"/>
  <c r="B79" i="98"/>
  <c r="D75" i="98"/>
  <c r="J78" i="98"/>
  <c r="I88" i="98"/>
  <c r="J90" i="98"/>
  <c r="C89" i="98"/>
  <c r="C87" i="98"/>
  <c r="J94" i="98"/>
  <c r="C82" i="98"/>
  <c r="J81" i="98"/>
  <c r="D83" i="98"/>
  <c r="E92" i="98"/>
  <c r="C84" i="98"/>
  <c r="I79" i="98"/>
  <c r="I82" i="98"/>
  <c r="I93" i="98"/>
  <c r="C85" i="98"/>
  <c r="D77" i="98"/>
  <c r="C83" i="98"/>
  <c r="E86" i="98"/>
  <c r="D88" i="98"/>
  <c r="B76" i="98"/>
  <c r="C79" i="98"/>
  <c r="E82" i="98"/>
  <c r="C81" i="98"/>
  <c r="B91" i="98"/>
  <c r="J83" i="98"/>
  <c r="E80" i="98"/>
  <c r="B90" i="98"/>
  <c r="I83" i="98"/>
  <c r="I80" i="98"/>
  <c r="I85" i="98"/>
  <c r="D78" i="98"/>
  <c r="B82" i="98"/>
  <c r="B81" i="98"/>
  <c r="C86" i="98"/>
  <c r="C80" i="98"/>
  <c r="D79" i="98"/>
  <c r="E90" i="98"/>
  <c r="C76" i="98"/>
  <c r="E75" i="98"/>
  <c r="E77" i="98"/>
  <c r="E83" i="98"/>
  <c r="E79" i="98"/>
  <c r="E84" i="98"/>
  <c r="C75" i="98"/>
  <c r="E81" i="98"/>
  <c r="E87" i="98"/>
  <c r="E76" i="98"/>
  <c r="I75" i="98"/>
  <c r="D81" i="98"/>
  <c r="B94" i="98"/>
  <c r="J76" i="98"/>
  <c r="E78" i="98"/>
  <c r="B77" i="98"/>
  <c r="I89" i="98"/>
  <c r="J82" i="98"/>
  <c r="E88" i="98"/>
  <c r="EA191" i="123"/>
  <c r="EA225" i="123"/>
  <c r="EA232" i="123"/>
  <c r="EA190" i="123"/>
  <c r="EA201" i="123"/>
  <c r="EA226" i="123"/>
  <c r="EA207" i="123"/>
  <c r="KF25" i="1" l="1"/>
  <c r="KE20" i="1"/>
  <c r="AE328" i="1"/>
  <c r="CO328" i="1" s="1"/>
  <c r="AF328" i="1"/>
  <c r="AG328" i="1"/>
  <c r="FL328" i="1"/>
  <c r="FR328" i="1"/>
  <c r="GA328" i="1" a="1"/>
  <c r="GA328" i="1" s="1"/>
  <c r="FY328" i="1" s="1"/>
  <c r="GO328" i="1" s="1"/>
  <c r="GA336" i="1" a="1"/>
  <c r="GA336" i="1" s="1"/>
  <c r="FY336" i="1" s="1"/>
  <c r="FR336" i="1"/>
  <c r="FL336" i="1"/>
  <c r="AG336" i="1"/>
  <c r="AF336" i="1"/>
  <c r="AE336" i="1"/>
  <c r="CO336" i="1" s="1"/>
  <c r="CP328" i="1" l="1"/>
  <c r="CW328" i="1"/>
  <c r="CX328" i="1" s="1"/>
  <c r="CY328" i="1" s="1"/>
  <c r="CT328" i="1"/>
  <c r="CP336" i="1"/>
  <c r="CW336" i="1"/>
  <c r="CX336" i="1" s="1"/>
  <c r="CT336" i="1"/>
  <c r="KG25" i="1"/>
  <c r="KF20" i="1"/>
  <c r="CU336" i="1"/>
  <c r="CU328" i="1"/>
  <c r="KH25" i="1" l="1"/>
  <c r="KG20" i="1"/>
  <c r="CY336" i="1"/>
  <c r="EA135" i="123"/>
  <c r="IY97" i="93"/>
  <c r="IX97" i="93"/>
  <c r="HB97" i="93"/>
  <c r="HA97" i="93"/>
  <c r="GU97" i="93"/>
  <c r="AJ63" i="123" s="1"/>
  <c r="GF97" i="93"/>
  <c r="IO97" i="93" s="1"/>
  <c r="ND97" i="93" s="1"/>
  <c r="AN97" i="93"/>
  <c r="KI25" i="1" l="1"/>
  <c r="KH20" i="1"/>
  <c r="KF97" i="93"/>
  <c r="JD97" i="93"/>
  <c r="GK97" i="93"/>
  <c r="GJ97" i="93"/>
  <c r="GV97" i="93"/>
  <c r="DZ63" i="123"/>
  <c r="DY63" i="123"/>
  <c r="AE63" i="123"/>
  <c r="KJ25" i="1" l="1"/>
  <c r="KI20" i="1"/>
  <c r="T22" i="97"/>
  <c r="KK25" i="1" l="1"/>
  <c r="KJ20" i="1"/>
  <c r="P14" i="97"/>
  <c r="T66" i="97" s="1"/>
  <c r="Q14" i="97"/>
  <c r="W66" i="97" l="1"/>
  <c r="S12" i="97"/>
  <c r="KL25" i="1"/>
  <c r="KK20" i="1"/>
  <c r="S8" i="97"/>
  <c r="R8" i="97" s="1"/>
  <c r="S10" i="97"/>
  <c r="S9" i="97"/>
  <c r="S7" i="97"/>
  <c r="R7" i="97" s="1"/>
  <c r="EP49" i="93" s="1"/>
  <c r="S11" i="97"/>
  <c r="EJ53" i="93"/>
  <c r="AD88" i="97" l="1"/>
  <c r="BL15" i="57"/>
  <c r="R9" i="97"/>
  <c r="R10" i="97"/>
  <c r="R11" i="97"/>
  <c r="I76" i="97" s="1"/>
  <c r="ET49" i="93" s="1"/>
  <c r="R12" i="97"/>
  <c r="I74" i="97" s="1"/>
  <c r="EU49" i="93" s="1"/>
  <c r="KM25" i="1"/>
  <c r="KL20" i="1"/>
  <c r="ED54" i="93"/>
  <c r="FP20" i="98"/>
  <c r="K118" i="71"/>
  <c r="I177" i="71"/>
  <c r="I175" i="71"/>
  <c r="J57" i="71"/>
  <c r="I57" i="71"/>
  <c r="K57" i="71"/>
  <c r="HI17" i="93"/>
  <c r="M69" i="127"/>
  <c r="M70" i="127"/>
  <c r="M71" i="127"/>
  <c r="M72" i="127"/>
  <c r="M73" i="127"/>
  <c r="M74" i="127"/>
  <c r="M75" i="127"/>
  <c r="M76" i="127"/>
  <c r="M77" i="127"/>
  <c r="M78" i="127"/>
  <c r="M79" i="127"/>
  <c r="M80" i="127"/>
  <c r="M81" i="127"/>
  <c r="M82" i="127"/>
  <c r="M83" i="127"/>
  <c r="M84" i="127"/>
  <c r="M85" i="127"/>
  <c r="M86" i="127"/>
  <c r="M87" i="127"/>
  <c r="M88" i="127"/>
  <c r="M89" i="127"/>
  <c r="M90" i="127"/>
  <c r="M91" i="127"/>
  <c r="M92" i="127"/>
  <c r="M93" i="127"/>
  <c r="M94" i="127"/>
  <c r="M95" i="127"/>
  <c r="M96" i="127"/>
  <c r="M97" i="127"/>
  <c r="M98" i="127"/>
  <c r="M99" i="127"/>
  <c r="M100" i="127"/>
  <c r="M101" i="127"/>
  <c r="M102" i="127"/>
  <c r="M103" i="127"/>
  <c r="M104" i="127"/>
  <c r="M105" i="127"/>
  <c r="M106" i="127"/>
  <c r="M107" i="127"/>
  <c r="M108" i="127"/>
  <c r="M109" i="127"/>
  <c r="M110" i="127"/>
  <c r="M111" i="127"/>
  <c r="M112" i="127"/>
  <c r="M113" i="127"/>
  <c r="M114" i="127"/>
  <c r="M115" i="127"/>
  <c r="M116" i="127"/>
  <c r="M117" i="127"/>
  <c r="M118" i="127"/>
  <c r="M119" i="127"/>
  <c r="M120" i="127"/>
  <c r="E69" i="115"/>
  <c r="E70" i="115"/>
  <c r="E71" i="115"/>
  <c r="E72" i="115"/>
  <c r="E73" i="115"/>
  <c r="E74" i="115"/>
  <c r="E75" i="115"/>
  <c r="E76" i="115"/>
  <c r="E77" i="115"/>
  <c r="E78" i="115"/>
  <c r="E79" i="115"/>
  <c r="E80" i="115"/>
  <c r="E81" i="115"/>
  <c r="E82" i="115"/>
  <c r="E83" i="115"/>
  <c r="E84" i="115"/>
  <c r="E85" i="115"/>
  <c r="E86" i="115"/>
  <c r="E87" i="115"/>
  <c r="E88" i="115"/>
  <c r="E89" i="115"/>
  <c r="E90" i="115"/>
  <c r="E91" i="115"/>
  <c r="E92" i="115"/>
  <c r="E93" i="115"/>
  <c r="E94" i="115"/>
  <c r="E95" i="115"/>
  <c r="E96" i="115"/>
  <c r="E97" i="115"/>
  <c r="E98" i="115"/>
  <c r="E99" i="115"/>
  <c r="E100" i="115"/>
  <c r="E101" i="115"/>
  <c r="E102" i="115"/>
  <c r="E103" i="115"/>
  <c r="E104" i="115"/>
  <c r="E105" i="115"/>
  <c r="E106" i="115"/>
  <c r="E107" i="115"/>
  <c r="E108" i="115"/>
  <c r="E109" i="115"/>
  <c r="E110" i="115"/>
  <c r="E111" i="115"/>
  <c r="E112" i="115"/>
  <c r="E113" i="115"/>
  <c r="E114" i="115"/>
  <c r="E115" i="115"/>
  <c r="E116" i="115"/>
  <c r="E117" i="115"/>
  <c r="E118" i="115"/>
  <c r="E119" i="115"/>
  <c r="E120" i="115"/>
  <c r="E121" i="115"/>
  <c r="E122" i="115"/>
  <c r="E123" i="115"/>
  <c r="E124" i="115"/>
  <c r="E125" i="115"/>
  <c r="E126" i="115"/>
  <c r="EX36" i="98"/>
  <c r="EX37" i="98"/>
  <c r="EX38" i="98"/>
  <c r="EX39" i="98"/>
  <c r="EX40" i="98"/>
  <c r="EX41" i="98"/>
  <c r="EX42" i="98"/>
  <c r="EX43" i="98"/>
  <c r="EX44" i="98"/>
  <c r="EX45" i="98"/>
  <c r="EX46" i="98"/>
  <c r="EX47" i="98"/>
  <c r="EX48" i="98"/>
  <c r="EX49" i="98"/>
  <c r="EX50" i="98"/>
  <c r="EX51" i="98"/>
  <c r="EX53" i="98"/>
  <c r="EX54" i="98"/>
  <c r="EX55" i="98"/>
  <c r="EX56" i="98"/>
  <c r="EX57" i="98"/>
  <c r="EX58" i="98"/>
  <c r="EX59" i="98"/>
  <c r="EX60" i="98"/>
  <c r="EX61" i="98"/>
  <c r="EX62" i="98"/>
  <c r="EX63" i="98"/>
  <c r="EX64" i="98"/>
  <c r="EX65" i="98"/>
  <c r="EX66" i="98"/>
  <c r="EX67" i="98"/>
  <c r="EX68" i="98"/>
  <c r="EX69" i="98"/>
  <c r="EX70" i="98"/>
  <c r="EX71" i="98"/>
  <c r="EX72" i="98"/>
  <c r="EX73" i="98"/>
  <c r="EX74" i="98"/>
  <c r="EX75" i="98"/>
  <c r="EX76" i="98"/>
  <c r="EX77" i="98"/>
  <c r="EX78" i="98"/>
  <c r="EX79" i="98"/>
  <c r="EX80" i="98"/>
  <c r="EX81" i="98"/>
  <c r="EX82" i="98"/>
  <c r="EX83" i="98"/>
  <c r="EX84" i="98"/>
  <c r="EX85" i="98"/>
  <c r="EX86" i="98"/>
  <c r="EX87" i="98"/>
  <c r="EX88" i="98"/>
  <c r="EX89" i="98"/>
  <c r="EX90" i="98"/>
  <c r="EX91" i="98"/>
  <c r="EX92" i="98"/>
  <c r="EX93" i="98"/>
  <c r="EX94" i="98"/>
  <c r="EX35" i="98"/>
  <c r="EX34" i="98"/>
  <c r="ED57" i="98"/>
  <c r="EG57" i="98"/>
  <c r="ED58" i="98"/>
  <c r="EG58" i="98"/>
  <c r="ED59" i="98"/>
  <c r="EG59" i="98"/>
  <c r="ED60" i="98"/>
  <c r="EG60" i="98"/>
  <c r="ED61" i="98"/>
  <c r="EG61" i="98"/>
  <c r="ED62" i="98"/>
  <c r="EG62" i="98"/>
  <c r="ED63" i="98"/>
  <c r="EG63" i="98"/>
  <c r="AV63" i="98"/>
  <c r="DX63" i="98" s="1"/>
  <c r="DW63" i="98" s="1"/>
  <c r="ED64" i="98"/>
  <c r="EG64" i="98"/>
  <c r="ED65" i="98"/>
  <c r="EG65" i="98"/>
  <c r="ED66" i="98"/>
  <c r="EG66" i="98"/>
  <c r="HL34" i="93" l="1"/>
  <c r="HL62" i="93"/>
  <c r="HL57" i="93"/>
  <c r="BN66" i="98"/>
  <c r="BO66" i="98"/>
  <c r="BO65" i="98"/>
  <c r="BN65" i="98"/>
  <c r="BO64" i="98"/>
  <c r="BN64" i="98"/>
  <c r="BN63" i="98"/>
  <c r="BO63" i="98"/>
  <c r="BO62" i="98"/>
  <c r="BN62" i="98"/>
  <c r="BO61" i="98"/>
  <c r="BN61" i="98"/>
  <c r="BO60" i="98"/>
  <c r="BN60" i="98"/>
  <c r="BN59" i="98"/>
  <c r="BO59" i="98"/>
  <c r="BO58" i="98"/>
  <c r="BN58" i="98"/>
  <c r="BN57" i="98"/>
  <c r="BO57" i="98"/>
  <c r="AT65" i="98"/>
  <c r="DP65" i="98" s="1"/>
  <c r="AT62" i="98"/>
  <c r="DP62" i="98" s="1"/>
  <c r="DO62" i="98" s="1"/>
  <c r="AT60" i="98"/>
  <c r="DP60" i="98" s="1"/>
  <c r="AT58" i="98"/>
  <c r="DP58" i="98" s="1"/>
  <c r="AT63" i="98"/>
  <c r="DP63" i="98" s="1"/>
  <c r="AT61" i="98"/>
  <c r="DP61" i="98" s="1"/>
  <c r="DO61" i="98" s="1"/>
  <c r="AT59" i="98"/>
  <c r="DP59" i="98" s="1"/>
  <c r="AT57" i="98"/>
  <c r="DP57" i="98" s="1"/>
  <c r="AT66" i="98"/>
  <c r="DP66" i="98" s="1"/>
  <c r="AT64" i="98"/>
  <c r="DP64" i="98" s="1"/>
  <c r="DO64" i="98" s="1"/>
  <c r="KN25" i="1"/>
  <c r="KM20" i="1"/>
  <c r="B125" i="115"/>
  <c r="A125" i="115"/>
  <c r="B121" i="115"/>
  <c r="A121" i="115"/>
  <c r="B117" i="115"/>
  <c r="A117" i="115"/>
  <c r="B113" i="115"/>
  <c r="A113" i="115"/>
  <c r="B109" i="115"/>
  <c r="A109" i="115"/>
  <c r="B105" i="115"/>
  <c r="A105" i="115"/>
  <c r="B101" i="115"/>
  <c r="A101" i="115"/>
  <c r="B97" i="115"/>
  <c r="A97" i="115"/>
  <c r="B93" i="115"/>
  <c r="A93" i="115"/>
  <c r="B89" i="115"/>
  <c r="A89" i="115"/>
  <c r="B85" i="115"/>
  <c r="A85" i="115"/>
  <c r="B81" i="115"/>
  <c r="A81" i="115"/>
  <c r="B77" i="115"/>
  <c r="A77" i="115"/>
  <c r="B73" i="115"/>
  <c r="A73" i="115"/>
  <c r="B69" i="115"/>
  <c r="A69" i="115"/>
  <c r="B124" i="115"/>
  <c r="A124" i="115"/>
  <c r="B120" i="115"/>
  <c r="A120" i="115"/>
  <c r="B116" i="115"/>
  <c r="A116" i="115"/>
  <c r="B112" i="115"/>
  <c r="A112" i="115"/>
  <c r="B108" i="115"/>
  <c r="A108" i="115"/>
  <c r="B104" i="115"/>
  <c r="A104" i="115"/>
  <c r="B100" i="115"/>
  <c r="A100" i="115"/>
  <c r="B96" i="115"/>
  <c r="A96" i="115"/>
  <c r="B92" i="115"/>
  <c r="A92" i="115"/>
  <c r="B88" i="115"/>
  <c r="A88" i="115"/>
  <c r="B84" i="115"/>
  <c r="A84" i="115"/>
  <c r="B80" i="115"/>
  <c r="A80" i="115"/>
  <c r="B76" i="115"/>
  <c r="A76" i="115"/>
  <c r="B72" i="115"/>
  <c r="A72" i="115"/>
  <c r="B123" i="115"/>
  <c r="A123" i="115"/>
  <c r="B119" i="115"/>
  <c r="A119" i="115"/>
  <c r="B115" i="115"/>
  <c r="A115" i="115"/>
  <c r="B111" i="115"/>
  <c r="A111" i="115"/>
  <c r="B107" i="115"/>
  <c r="A107" i="115"/>
  <c r="B103" i="115"/>
  <c r="A103" i="115"/>
  <c r="B99" i="115"/>
  <c r="A99" i="115"/>
  <c r="B95" i="115"/>
  <c r="A95" i="115"/>
  <c r="B91" i="115"/>
  <c r="A91" i="115"/>
  <c r="B87" i="115"/>
  <c r="A87" i="115"/>
  <c r="B83" i="115"/>
  <c r="A83" i="115"/>
  <c r="B79" i="115"/>
  <c r="A79" i="115"/>
  <c r="B75" i="115"/>
  <c r="A75" i="115"/>
  <c r="B71" i="115"/>
  <c r="A71" i="115"/>
  <c r="B126" i="115"/>
  <c r="A126" i="115"/>
  <c r="B122" i="115"/>
  <c r="A122" i="115"/>
  <c r="B118" i="115"/>
  <c r="A118" i="115"/>
  <c r="B114" i="115"/>
  <c r="A114" i="115"/>
  <c r="B110" i="115"/>
  <c r="A110" i="115"/>
  <c r="B106" i="115"/>
  <c r="A106" i="115"/>
  <c r="B102" i="115"/>
  <c r="A102" i="115"/>
  <c r="B98" i="115"/>
  <c r="A98" i="115"/>
  <c r="B94" i="115"/>
  <c r="A94" i="115"/>
  <c r="B90" i="115"/>
  <c r="A90" i="115"/>
  <c r="B86" i="115"/>
  <c r="A86" i="115"/>
  <c r="B82" i="115"/>
  <c r="A82" i="115"/>
  <c r="B78" i="115"/>
  <c r="A78" i="115"/>
  <c r="B74" i="115"/>
  <c r="A74" i="115"/>
  <c r="B70" i="115"/>
  <c r="A70" i="115"/>
  <c r="M125" i="127"/>
  <c r="M121" i="127"/>
  <c r="M124" i="127"/>
  <c r="M123" i="127"/>
  <c r="M126" i="127"/>
  <c r="M122" i="127"/>
  <c r="B125" i="127"/>
  <c r="B121" i="127"/>
  <c r="B117" i="127"/>
  <c r="B113" i="127"/>
  <c r="B109" i="127"/>
  <c r="B105" i="127"/>
  <c r="B101" i="127"/>
  <c r="B97" i="127"/>
  <c r="B93" i="127"/>
  <c r="B89" i="127"/>
  <c r="B85" i="127"/>
  <c r="B81" i="127"/>
  <c r="B77" i="127"/>
  <c r="B73" i="127"/>
  <c r="B69" i="127"/>
  <c r="B124" i="127"/>
  <c r="B120" i="127"/>
  <c r="B116" i="127"/>
  <c r="B112" i="127"/>
  <c r="B108" i="127"/>
  <c r="B104" i="127"/>
  <c r="B100" i="127"/>
  <c r="B96" i="127"/>
  <c r="B92" i="127"/>
  <c r="B88" i="127"/>
  <c r="B84" i="127"/>
  <c r="B80" i="127"/>
  <c r="B76" i="127"/>
  <c r="B72" i="127"/>
  <c r="B123" i="127"/>
  <c r="B119" i="127"/>
  <c r="B115" i="127"/>
  <c r="B111" i="127"/>
  <c r="B107" i="127"/>
  <c r="B103" i="127"/>
  <c r="B99" i="127"/>
  <c r="B95" i="127"/>
  <c r="B91" i="127"/>
  <c r="B87" i="127"/>
  <c r="B83" i="127"/>
  <c r="B79" i="127"/>
  <c r="B75" i="127"/>
  <c r="B71" i="127"/>
  <c r="B126" i="127"/>
  <c r="B122" i="127"/>
  <c r="B118" i="127"/>
  <c r="B114" i="127"/>
  <c r="B110" i="127"/>
  <c r="B106" i="127"/>
  <c r="B102" i="127"/>
  <c r="B98" i="127"/>
  <c r="B94" i="127"/>
  <c r="B90" i="127"/>
  <c r="B86" i="127"/>
  <c r="B82" i="127"/>
  <c r="B78" i="127"/>
  <c r="B74" i="127"/>
  <c r="B70" i="127"/>
  <c r="AR63" i="98"/>
  <c r="DJ63" i="98" s="1"/>
  <c r="DI63" i="98" s="1"/>
  <c r="G36" i="115" s="1"/>
  <c r="AP63" i="98"/>
  <c r="DD63" i="98" s="1"/>
  <c r="DC63" i="98" s="1"/>
  <c r="AO63" i="98"/>
  <c r="DA63" i="98" s="1"/>
  <c r="CZ63" i="98" s="1"/>
  <c r="AS63" i="98"/>
  <c r="DM63" i="98" s="1"/>
  <c r="DL63" i="98" s="1"/>
  <c r="AO61" i="98"/>
  <c r="DA61" i="98" s="1"/>
  <c r="CZ61" i="98" s="1"/>
  <c r="H34" i="115" s="1"/>
  <c r="AS61" i="98"/>
  <c r="DM61" i="98" s="1"/>
  <c r="DL61" i="98" s="1"/>
  <c r="AR61" i="98"/>
  <c r="DJ61" i="98" s="1"/>
  <c r="DI61" i="98" s="1"/>
  <c r="AP61" i="98"/>
  <c r="DD61" i="98" s="1"/>
  <c r="DC61" i="98" s="1"/>
  <c r="AP66" i="98"/>
  <c r="DD66" i="98" s="1"/>
  <c r="AO66" i="98"/>
  <c r="DA66" i="98" s="1"/>
  <c r="CZ66" i="98" s="1"/>
  <c r="AS66" i="98"/>
  <c r="DM66" i="98" s="1"/>
  <c r="DL66" i="98" s="1"/>
  <c r="AR66" i="98"/>
  <c r="DJ66" i="98" s="1"/>
  <c r="DI66" i="98" s="1"/>
  <c r="AS64" i="98"/>
  <c r="DM64" i="98" s="1"/>
  <c r="DL64" i="98" s="1"/>
  <c r="I37" i="115" s="1"/>
  <c r="AR64" i="98"/>
  <c r="DJ64" i="98" s="1"/>
  <c r="DI64" i="98" s="1"/>
  <c r="AP64" i="98"/>
  <c r="DD64" i="98" s="1"/>
  <c r="AO64" i="98"/>
  <c r="DA64" i="98" s="1"/>
  <c r="CZ64" i="98" s="1"/>
  <c r="AO57" i="98"/>
  <c r="DA57" i="98" s="1"/>
  <c r="CZ57" i="98" s="1"/>
  <c r="H30" i="115" s="1"/>
  <c r="AS57" i="98"/>
  <c r="DM57" i="98" s="1"/>
  <c r="DL57" i="98" s="1"/>
  <c r="I30" i="115" s="1"/>
  <c r="AR57" i="98"/>
  <c r="DJ57" i="98" s="1"/>
  <c r="DI57" i="98" s="1"/>
  <c r="G30" i="115" s="1"/>
  <c r="AP57" i="98"/>
  <c r="DD57" i="98" s="1"/>
  <c r="AP62" i="98"/>
  <c r="DD62" i="98" s="1"/>
  <c r="DC62" i="98" s="1"/>
  <c r="K35" i="115" s="1"/>
  <c r="AO62" i="98"/>
  <c r="DA62" i="98" s="1"/>
  <c r="CZ62" i="98" s="1"/>
  <c r="AS62" i="98"/>
  <c r="DM62" i="98" s="1"/>
  <c r="DL62" i="98" s="1"/>
  <c r="I35" i="115" s="1"/>
  <c r="AR62" i="98"/>
  <c r="DJ62" i="98" s="1"/>
  <c r="DI62" i="98" s="1"/>
  <c r="AS60" i="98"/>
  <c r="DM60" i="98" s="1"/>
  <c r="DL60" i="98" s="1"/>
  <c r="I33" i="115" s="1"/>
  <c r="AR60" i="98"/>
  <c r="DJ60" i="98" s="1"/>
  <c r="DI60" i="98" s="1"/>
  <c r="AP60" i="98"/>
  <c r="DD60" i="98" s="1"/>
  <c r="AO60" i="98"/>
  <c r="DA60" i="98" s="1"/>
  <c r="CZ60" i="98" s="1"/>
  <c r="AP58" i="98"/>
  <c r="DD58" i="98" s="1"/>
  <c r="AO58" i="98"/>
  <c r="DA58" i="98" s="1"/>
  <c r="CZ58" i="98" s="1"/>
  <c r="AS58" i="98"/>
  <c r="DM58" i="98" s="1"/>
  <c r="DL58" i="98" s="1"/>
  <c r="I31" i="115" s="1"/>
  <c r="AR58" i="98"/>
  <c r="DJ58" i="98" s="1"/>
  <c r="DI58" i="98" s="1"/>
  <c r="AR59" i="98"/>
  <c r="DJ59" i="98" s="1"/>
  <c r="DI59" i="98" s="1"/>
  <c r="G32" i="115" s="1"/>
  <c r="AP59" i="98"/>
  <c r="DD59" i="98" s="1"/>
  <c r="AO59" i="98"/>
  <c r="DA59" i="98" s="1"/>
  <c r="CZ59" i="98" s="1"/>
  <c r="H32" i="115" s="1"/>
  <c r="AS59" i="98"/>
  <c r="DM59" i="98" s="1"/>
  <c r="DL59" i="98" s="1"/>
  <c r="AO65" i="98"/>
  <c r="DA65" i="98" s="1"/>
  <c r="CZ65" i="98" s="1"/>
  <c r="H38" i="115" s="1"/>
  <c r="AS65" i="98"/>
  <c r="DM65" i="98" s="1"/>
  <c r="DL65" i="98" s="1"/>
  <c r="AR65" i="98"/>
  <c r="DJ65" i="98" s="1"/>
  <c r="DI65" i="98" s="1"/>
  <c r="G38" i="115" s="1"/>
  <c r="AP65" i="98"/>
  <c r="DD65" i="98" s="1"/>
  <c r="BC61" i="98"/>
  <c r="BC59" i="98"/>
  <c r="BC64" i="98"/>
  <c r="BU64" i="98" s="1"/>
  <c r="BC62" i="98"/>
  <c r="BC60" i="98"/>
  <c r="BU60" i="98" s="1"/>
  <c r="BC58" i="98"/>
  <c r="BC63" i="98"/>
  <c r="BU63" i="98" s="1"/>
  <c r="BC57" i="98"/>
  <c r="BU57" i="98" s="1"/>
  <c r="BC66" i="98"/>
  <c r="BC65" i="98"/>
  <c r="IR60" i="93"/>
  <c r="IM60" i="93"/>
  <c r="IJ58" i="93"/>
  <c r="H5" i="93"/>
  <c r="IW58" i="93"/>
  <c r="AQ61" i="98"/>
  <c r="DG61" i="98" s="1"/>
  <c r="DF61" i="98" s="1"/>
  <c r="AQ57" i="98"/>
  <c r="DG57" i="98" s="1"/>
  <c r="DF57" i="98" s="1"/>
  <c r="F30" i="115" s="1"/>
  <c r="AQ62" i="98"/>
  <c r="DG62" i="98" s="1"/>
  <c r="DF62" i="98" s="1"/>
  <c r="F35" i="115" s="1"/>
  <c r="AQ58" i="98"/>
  <c r="DG58" i="98" s="1"/>
  <c r="DF58" i="98" s="1"/>
  <c r="AQ64" i="98"/>
  <c r="DG64" i="98" s="1"/>
  <c r="DF64" i="98" s="1"/>
  <c r="AQ63" i="98"/>
  <c r="DG63" i="98" s="1"/>
  <c r="DF63" i="98" s="1"/>
  <c r="F36" i="115" s="1"/>
  <c r="AQ59" i="98"/>
  <c r="DG59" i="98" s="1"/>
  <c r="DF59" i="98" s="1"/>
  <c r="F32" i="115" s="1"/>
  <c r="AQ65" i="98"/>
  <c r="DG65" i="98" s="1"/>
  <c r="DF65" i="98" s="1"/>
  <c r="F38" i="115" s="1"/>
  <c r="AQ60" i="98"/>
  <c r="DG60" i="98" s="1"/>
  <c r="DF60" i="98" s="1"/>
  <c r="AQ66" i="98"/>
  <c r="DG66" i="98" s="1"/>
  <c r="DF66" i="98" s="1"/>
  <c r="F39" i="115" s="1"/>
  <c r="C125" i="115"/>
  <c r="C121" i="115"/>
  <c r="C117" i="115"/>
  <c r="C113" i="115"/>
  <c r="C105" i="115"/>
  <c r="C101" i="115"/>
  <c r="C97" i="115"/>
  <c r="C93" i="115"/>
  <c r="C89" i="115"/>
  <c r="C85" i="115"/>
  <c r="C81" i="115"/>
  <c r="C73" i="115"/>
  <c r="C69" i="115"/>
  <c r="C124" i="115"/>
  <c r="C112" i="115"/>
  <c r="C108" i="115"/>
  <c r="C104" i="115"/>
  <c r="C100" i="115"/>
  <c r="C96" i="115"/>
  <c r="C80" i="115"/>
  <c r="C76" i="115"/>
  <c r="C72" i="115"/>
  <c r="C123" i="115"/>
  <c r="C119" i="115"/>
  <c r="C115" i="115"/>
  <c r="C111" i="115"/>
  <c r="C107" i="115"/>
  <c r="C103" i="115"/>
  <c r="C99" i="115"/>
  <c r="C95" i="115"/>
  <c r="C91" i="115"/>
  <c r="C87" i="115"/>
  <c r="C83" i="115"/>
  <c r="C79" i="115"/>
  <c r="C75" i="115"/>
  <c r="C71" i="115"/>
  <c r="C126" i="115"/>
  <c r="C118" i="115"/>
  <c r="C110" i="115"/>
  <c r="C102" i="115"/>
  <c r="C90" i="115"/>
  <c r="C109" i="115"/>
  <c r="C77" i="115"/>
  <c r="C120" i="115"/>
  <c r="C116" i="115"/>
  <c r="C92" i="115"/>
  <c r="C88" i="115"/>
  <c r="C84" i="115"/>
  <c r="C122" i="115"/>
  <c r="C114" i="115"/>
  <c r="C106" i="115"/>
  <c r="C98" i="115"/>
  <c r="C94" i="115"/>
  <c r="C86" i="115"/>
  <c r="C82" i="115"/>
  <c r="C78" i="115"/>
  <c r="C74" i="115"/>
  <c r="C70" i="115"/>
  <c r="E126" i="129"/>
  <c r="E122" i="129"/>
  <c r="E118" i="129"/>
  <c r="E114" i="129"/>
  <c r="E110" i="129"/>
  <c r="E106" i="129"/>
  <c r="E102" i="129"/>
  <c r="E98" i="129"/>
  <c r="E94" i="129"/>
  <c r="E90" i="129"/>
  <c r="E86" i="129"/>
  <c r="E82" i="129"/>
  <c r="E78" i="129"/>
  <c r="E74" i="129"/>
  <c r="E70" i="129"/>
  <c r="E125" i="129"/>
  <c r="E121" i="129"/>
  <c r="E117" i="129"/>
  <c r="E113" i="129"/>
  <c r="E109" i="129"/>
  <c r="E105" i="129"/>
  <c r="E101" i="129"/>
  <c r="E97" i="129"/>
  <c r="E93" i="129"/>
  <c r="E89" i="129"/>
  <c r="E85" i="129"/>
  <c r="E81" i="129"/>
  <c r="E77" i="129"/>
  <c r="E73" i="129"/>
  <c r="E69" i="129"/>
  <c r="E124" i="129"/>
  <c r="E120" i="129"/>
  <c r="E116" i="129"/>
  <c r="E112" i="129"/>
  <c r="E108" i="129"/>
  <c r="E104" i="129"/>
  <c r="E100" i="129"/>
  <c r="E96" i="129"/>
  <c r="E92" i="129"/>
  <c r="E88" i="129"/>
  <c r="E84" i="129"/>
  <c r="E80" i="129"/>
  <c r="E76" i="129"/>
  <c r="E72" i="129"/>
  <c r="E123" i="129"/>
  <c r="E119" i="129"/>
  <c r="E115" i="129"/>
  <c r="E111" i="129"/>
  <c r="E107" i="129"/>
  <c r="E103" i="129"/>
  <c r="E99" i="129"/>
  <c r="E95" i="129"/>
  <c r="E91" i="129"/>
  <c r="E87" i="129"/>
  <c r="E83" i="129"/>
  <c r="E79" i="129"/>
  <c r="E75" i="129"/>
  <c r="E71" i="129"/>
  <c r="F120" i="127"/>
  <c r="G120" i="127"/>
  <c r="F112" i="127"/>
  <c r="G112" i="127"/>
  <c r="F100" i="127"/>
  <c r="G100" i="127"/>
  <c r="F92" i="127"/>
  <c r="G92" i="127"/>
  <c r="F84" i="127"/>
  <c r="G84" i="127"/>
  <c r="F76" i="127"/>
  <c r="G76" i="127"/>
  <c r="F72" i="127"/>
  <c r="G72" i="127"/>
  <c r="F119" i="127"/>
  <c r="G119" i="127"/>
  <c r="F111" i="127"/>
  <c r="G111" i="127"/>
  <c r="F99" i="127"/>
  <c r="G99" i="127"/>
  <c r="F91" i="127"/>
  <c r="G91" i="127"/>
  <c r="F83" i="127"/>
  <c r="G83" i="127"/>
  <c r="F75" i="127"/>
  <c r="G75" i="127"/>
  <c r="F126" i="127"/>
  <c r="G126" i="127"/>
  <c r="F122" i="127"/>
  <c r="G122" i="127"/>
  <c r="F118" i="127"/>
  <c r="G118" i="127"/>
  <c r="F114" i="127"/>
  <c r="G114" i="127"/>
  <c r="F110" i="127"/>
  <c r="G110" i="127"/>
  <c r="F106" i="127"/>
  <c r="G106" i="127"/>
  <c r="F102" i="127"/>
  <c r="G102" i="127"/>
  <c r="F98" i="127"/>
  <c r="G98" i="127"/>
  <c r="F94" i="127"/>
  <c r="G94" i="127"/>
  <c r="F90" i="127"/>
  <c r="G90" i="127"/>
  <c r="F86" i="127"/>
  <c r="G86" i="127"/>
  <c r="F82" i="127"/>
  <c r="G82" i="127"/>
  <c r="F78" i="127"/>
  <c r="G78" i="127"/>
  <c r="F74" i="127"/>
  <c r="G74" i="127"/>
  <c r="F70" i="127"/>
  <c r="G70" i="127"/>
  <c r="F124" i="127"/>
  <c r="G124" i="127"/>
  <c r="F116" i="127"/>
  <c r="G116" i="127"/>
  <c r="F108" i="127"/>
  <c r="G108" i="127"/>
  <c r="F104" i="127"/>
  <c r="G104" i="127"/>
  <c r="F96" i="127"/>
  <c r="G96" i="127"/>
  <c r="F88" i="127"/>
  <c r="G88" i="127"/>
  <c r="F80" i="127"/>
  <c r="G80" i="127"/>
  <c r="F123" i="127"/>
  <c r="G123" i="127"/>
  <c r="F115" i="127"/>
  <c r="G115" i="127"/>
  <c r="F107" i="127"/>
  <c r="G107" i="127"/>
  <c r="F103" i="127"/>
  <c r="G103" i="127"/>
  <c r="F95" i="127"/>
  <c r="G95" i="127"/>
  <c r="F87" i="127"/>
  <c r="G87" i="127"/>
  <c r="F79" i="127"/>
  <c r="G79" i="127"/>
  <c r="F71" i="127"/>
  <c r="G71" i="127"/>
  <c r="F125" i="127"/>
  <c r="G125" i="127"/>
  <c r="F121" i="127"/>
  <c r="G121" i="127"/>
  <c r="F117" i="127"/>
  <c r="G117" i="127"/>
  <c r="F113" i="127"/>
  <c r="G113" i="127"/>
  <c r="F109" i="127"/>
  <c r="G109" i="127"/>
  <c r="F105" i="127"/>
  <c r="G105" i="127"/>
  <c r="F101" i="127"/>
  <c r="G101" i="127"/>
  <c r="F97" i="127"/>
  <c r="G97" i="127"/>
  <c r="F93" i="127"/>
  <c r="G93" i="127"/>
  <c r="F89" i="127"/>
  <c r="G89" i="127"/>
  <c r="F85" i="127"/>
  <c r="G85" i="127"/>
  <c r="F81" i="127"/>
  <c r="G81" i="127"/>
  <c r="F77" i="127"/>
  <c r="G77" i="127"/>
  <c r="F73" i="127"/>
  <c r="G73" i="127"/>
  <c r="F69" i="127"/>
  <c r="G69" i="127"/>
  <c r="E124" i="127"/>
  <c r="E120" i="127"/>
  <c r="E116" i="127"/>
  <c r="E112" i="127"/>
  <c r="E108" i="127"/>
  <c r="E104" i="127"/>
  <c r="E100" i="127"/>
  <c r="E96" i="127"/>
  <c r="E92" i="127"/>
  <c r="E88" i="127"/>
  <c r="E84" i="127"/>
  <c r="E80" i="127"/>
  <c r="E76" i="127"/>
  <c r="E72" i="127"/>
  <c r="E123" i="127"/>
  <c r="E119" i="127"/>
  <c r="E115" i="127"/>
  <c r="E111" i="127"/>
  <c r="E107" i="127"/>
  <c r="E103" i="127"/>
  <c r="E99" i="127"/>
  <c r="E95" i="127"/>
  <c r="E91" i="127"/>
  <c r="E87" i="127"/>
  <c r="E83" i="127"/>
  <c r="E79" i="127"/>
  <c r="E75" i="127"/>
  <c r="E71" i="127"/>
  <c r="E126" i="127"/>
  <c r="E122" i="127"/>
  <c r="E118" i="127"/>
  <c r="E114" i="127"/>
  <c r="E110" i="127"/>
  <c r="E106" i="127"/>
  <c r="E102" i="127"/>
  <c r="E98" i="127"/>
  <c r="E94" i="127"/>
  <c r="E90" i="127"/>
  <c r="E86" i="127"/>
  <c r="E82" i="127"/>
  <c r="E78" i="127"/>
  <c r="E74" i="127"/>
  <c r="E70" i="127"/>
  <c r="E125" i="127"/>
  <c r="E121" i="127"/>
  <c r="E117" i="127"/>
  <c r="E113" i="127"/>
  <c r="E109" i="127"/>
  <c r="E105" i="127"/>
  <c r="E101" i="127"/>
  <c r="E97" i="127"/>
  <c r="E93" i="127"/>
  <c r="E89" i="127"/>
  <c r="E85" i="127"/>
  <c r="E81" i="127"/>
  <c r="E77" i="127"/>
  <c r="E73" i="127"/>
  <c r="E69" i="127"/>
  <c r="AV57" i="98"/>
  <c r="DX57" i="98" s="1"/>
  <c r="DW57" i="98" s="1"/>
  <c r="AV62" i="98"/>
  <c r="DX62" i="98" s="1"/>
  <c r="DW62" i="98" s="1"/>
  <c r="AV58" i="98"/>
  <c r="DX58" i="98" s="1"/>
  <c r="DW58" i="98" s="1"/>
  <c r="BG62" i="98"/>
  <c r="BG60" i="98"/>
  <c r="BG59" i="98"/>
  <c r="BG65" i="98"/>
  <c r="BG64" i="98"/>
  <c r="AV61" i="98"/>
  <c r="DX61" i="98" s="1"/>
  <c r="DW61" i="98" s="1"/>
  <c r="BG61" i="98"/>
  <c r="BG63" i="98"/>
  <c r="AV65" i="98"/>
  <c r="DX65" i="98" s="1"/>
  <c r="DW65" i="98" s="1"/>
  <c r="AV64" i="98"/>
  <c r="DX64" i="98" s="1"/>
  <c r="DW64" i="98" s="1"/>
  <c r="BG58" i="98"/>
  <c r="AV60" i="98"/>
  <c r="DX60" i="98" s="1"/>
  <c r="DW60" i="98" s="1"/>
  <c r="AV59" i="98"/>
  <c r="DX59" i="98" s="1"/>
  <c r="DW59" i="98" s="1"/>
  <c r="BG57" i="98"/>
  <c r="AV66" i="98"/>
  <c r="DX66" i="98" s="1"/>
  <c r="DW66" i="98" s="1"/>
  <c r="BG66" i="98"/>
  <c r="F33" i="115" l="1"/>
  <c r="F37" i="115"/>
  <c r="F34" i="115"/>
  <c r="I32" i="115"/>
  <c r="G31" i="115"/>
  <c r="H33" i="115"/>
  <c r="G35" i="115"/>
  <c r="H37" i="115"/>
  <c r="G39" i="115"/>
  <c r="I36" i="115"/>
  <c r="F31" i="115"/>
  <c r="I39" i="115"/>
  <c r="G34" i="115"/>
  <c r="H36" i="115"/>
  <c r="I38" i="115"/>
  <c r="H31" i="115"/>
  <c r="G33" i="115"/>
  <c r="H35" i="115"/>
  <c r="G37" i="115"/>
  <c r="H39" i="115"/>
  <c r="I34" i="115"/>
  <c r="K36" i="115"/>
  <c r="J35" i="115"/>
  <c r="BD65" i="98"/>
  <c r="BU65" i="98"/>
  <c r="BD58" i="98"/>
  <c r="BU58" i="98"/>
  <c r="BD59" i="98"/>
  <c r="BU59" i="98"/>
  <c r="BD66" i="98"/>
  <c r="BU66" i="98"/>
  <c r="BD61" i="98"/>
  <c r="BU61" i="98"/>
  <c r="BD62" i="98"/>
  <c r="BU62" i="98"/>
  <c r="KO25" i="1"/>
  <c r="KN20" i="1"/>
  <c r="BD60" i="98"/>
  <c r="BD63" i="98"/>
  <c r="BD64" i="98"/>
  <c r="A83" i="129"/>
  <c r="F83" i="129"/>
  <c r="A99" i="129"/>
  <c r="F99" i="129"/>
  <c r="A115" i="129"/>
  <c r="F115" i="129"/>
  <c r="A76" i="129"/>
  <c r="F76" i="129"/>
  <c r="A92" i="129"/>
  <c r="F92" i="129"/>
  <c r="A108" i="129"/>
  <c r="F108" i="129"/>
  <c r="A124" i="129"/>
  <c r="F124" i="129"/>
  <c r="A81" i="129"/>
  <c r="F81" i="129"/>
  <c r="A97" i="129"/>
  <c r="F97" i="129"/>
  <c r="A113" i="129"/>
  <c r="F113" i="129"/>
  <c r="A70" i="129"/>
  <c r="F70" i="129"/>
  <c r="A86" i="129"/>
  <c r="F86" i="129"/>
  <c r="A102" i="129"/>
  <c r="F102" i="129"/>
  <c r="A126" i="129"/>
  <c r="F126" i="129"/>
  <c r="A71" i="129"/>
  <c r="F71" i="129"/>
  <c r="A79" i="129"/>
  <c r="F79" i="129"/>
  <c r="A87" i="129"/>
  <c r="F87" i="129"/>
  <c r="A95" i="129"/>
  <c r="F95" i="129"/>
  <c r="A103" i="129"/>
  <c r="F103" i="129"/>
  <c r="A111" i="129"/>
  <c r="F111" i="129"/>
  <c r="A72" i="129"/>
  <c r="F72" i="129"/>
  <c r="A80" i="129"/>
  <c r="F80" i="129"/>
  <c r="A88" i="129"/>
  <c r="F88" i="129"/>
  <c r="A96" i="129"/>
  <c r="F96" i="129"/>
  <c r="A104" i="129"/>
  <c r="F104" i="129"/>
  <c r="A112" i="129"/>
  <c r="F112" i="129"/>
  <c r="A120" i="129"/>
  <c r="F120" i="129"/>
  <c r="A69" i="129"/>
  <c r="F69" i="129"/>
  <c r="A77" i="129"/>
  <c r="F77" i="129"/>
  <c r="A85" i="129"/>
  <c r="F85" i="129"/>
  <c r="A93" i="129"/>
  <c r="F93" i="129"/>
  <c r="A101" i="129"/>
  <c r="F101" i="129"/>
  <c r="A109" i="129"/>
  <c r="F109" i="129"/>
  <c r="A117" i="129"/>
  <c r="F117" i="129"/>
  <c r="A125" i="129"/>
  <c r="F125" i="129"/>
  <c r="A74" i="129"/>
  <c r="F74" i="129"/>
  <c r="A82" i="129"/>
  <c r="F82" i="129"/>
  <c r="A90" i="129"/>
  <c r="F90" i="129"/>
  <c r="A98" i="129"/>
  <c r="F98" i="129"/>
  <c r="A106" i="129"/>
  <c r="F106" i="129"/>
  <c r="A114" i="129"/>
  <c r="F114" i="129"/>
  <c r="A122" i="129"/>
  <c r="F122" i="129"/>
  <c r="A75" i="129"/>
  <c r="F75" i="129"/>
  <c r="A91" i="129"/>
  <c r="F91" i="129"/>
  <c r="A107" i="129"/>
  <c r="F107" i="129"/>
  <c r="A123" i="129"/>
  <c r="F123" i="129"/>
  <c r="A84" i="129"/>
  <c r="F84" i="129"/>
  <c r="A100" i="129"/>
  <c r="F100" i="129"/>
  <c r="A116" i="129"/>
  <c r="F116" i="129"/>
  <c r="A73" i="129"/>
  <c r="F73" i="129"/>
  <c r="A89" i="129"/>
  <c r="F89" i="129"/>
  <c r="A105" i="129"/>
  <c r="F105" i="129"/>
  <c r="A121" i="129"/>
  <c r="F121" i="129"/>
  <c r="A78" i="129"/>
  <c r="F78" i="129"/>
  <c r="A94" i="129"/>
  <c r="F94" i="129"/>
  <c r="A110" i="129"/>
  <c r="F110" i="129"/>
  <c r="A118" i="129"/>
  <c r="F118" i="129"/>
  <c r="A119" i="129"/>
  <c r="F119" i="129"/>
  <c r="BD57" i="98"/>
  <c r="D75" i="129"/>
  <c r="D91" i="129"/>
  <c r="D107" i="129"/>
  <c r="D123" i="129"/>
  <c r="D80" i="129"/>
  <c r="D88" i="129"/>
  <c r="D104" i="129"/>
  <c r="D112" i="129"/>
  <c r="D69" i="129"/>
  <c r="D85" i="129"/>
  <c r="D93" i="129"/>
  <c r="D109" i="129"/>
  <c r="D117" i="129"/>
  <c r="D125" i="129"/>
  <c r="D74" i="129"/>
  <c r="D82" i="129"/>
  <c r="D90" i="129"/>
  <c r="D98" i="129"/>
  <c r="D106" i="129"/>
  <c r="D114" i="129"/>
  <c r="D119" i="129"/>
  <c r="D83" i="129"/>
  <c r="D99" i="129"/>
  <c r="D115" i="129"/>
  <c r="D72" i="129"/>
  <c r="D96" i="129"/>
  <c r="D120" i="129"/>
  <c r="D77" i="129"/>
  <c r="D101" i="129"/>
  <c r="D122" i="129"/>
  <c r="D71" i="129"/>
  <c r="D79" i="129"/>
  <c r="D87" i="129"/>
  <c r="D95" i="129"/>
  <c r="D103" i="129"/>
  <c r="D111" i="129"/>
  <c r="D76" i="129"/>
  <c r="D84" i="129"/>
  <c r="D92" i="129"/>
  <c r="D100" i="129"/>
  <c r="D108" i="129"/>
  <c r="D116" i="129"/>
  <c r="D124" i="129"/>
  <c r="D73" i="129"/>
  <c r="D81" i="129"/>
  <c r="D89" i="129"/>
  <c r="D97" i="129"/>
  <c r="D105" i="129"/>
  <c r="D113" i="129"/>
  <c r="D121" i="129"/>
  <c r="D70" i="129"/>
  <c r="D78" i="129"/>
  <c r="D86" i="129"/>
  <c r="D94" i="129"/>
  <c r="D102" i="129"/>
  <c r="D110" i="129"/>
  <c r="D118" i="129"/>
  <c r="D126" i="129"/>
  <c r="DC57" i="98"/>
  <c r="K30" i="115" s="1"/>
  <c r="DC58" i="98"/>
  <c r="K31" i="115" s="1"/>
  <c r="DO63" i="98"/>
  <c r="J36" i="115" s="1"/>
  <c r="DO65" i="98"/>
  <c r="J38" i="115" s="1"/>
  <c r="DC59" i="98"/>
  <c r="DO57" i="98"/>
  <c r="J30" i="115" s="1"/>
  <c r="DO60" i="98"/>
  <c r="J33" i="115" s="1"/>
  <c r="DC64" i="98"/>
  <c r="K37" i="115" s="1"/>
  <c r="DC60" i="98"/>
  <c r="K33" i="115" s="1"/>
  <c r="DO58" i="98"/>
  <c r="J31" i="115" s="1"/>
  <c r="DC65" i="98"/>
  <c r="K38" i="115" s="1"/>
  <c r="DO59" i="98"/>
  <c r="J32" i="115" s="1"/>
  <c r="DC66" i="98"/>
  <c r="DO66" i="98"/>
  <c r="J39" i="115" s="1"/>
  <c r="J34" i="115" l="1"/>
  <c r="J37" i="115"/>
  <c r="K39" i="115"/>
  <c r="K32" i="115"/>
  <c r="K34" i="115"/>
  <c r="KP25" i="1"/>
  <c r="KO20" i="1"/>
  <c r="D153" i="128"/>
  <c r="E153" i="128"/>
  <c r="D48" i="128"/>
  <c r="E48" i="128"/>
  <c r="D49" i="128"/>
  <c r="E49" i="128"/>
  <c r="D50" i="128"/>
  <c r="E50" i="128"/>
  <c r="D51" i="128"/>
  <c r="E51" i="128"/>
  <c r="D35" i="128"/>
  <c r="E35" i="128"/>
  <c r="D36" i="128"/>
  <c r="E36" i="128"/>
  <c r="D37" i="128"/>
  <c r="E37" i="128"/>
  <c r="D38" i="128"/>
  <c r="E38" i="128"/>
  <c r="D39" i="128"/>
  <c r="E39" i="128"/>
  <c r="D40" i="128"/>
  <c r="E40" i="128"/>
  <c r="D41" i="128"/>
  <c r="E41" i="128"/>
  <c r="D42" i="128"/>
  <c r="E42" i="128"/>
  <c r="D43" i="128"/>
  <c r="E43" i="128"/>
  <c r="D44" i="128"/>
  <c r="E44" i="128"/>
  <c r="D45" i="128"/>
  <c r="E45" i="128"/>
  <c r="D46" i="128"/>
  <c r="E46" i="128"/>
  <c r="D47" i="128"/>
  <c r="E47" i="128"/>
  <c r="D34" i="128"/>
  <c r="KQ25" i="1" l="1"/>
  <c r="KP20" i="1"/>
  <c r="EA8" i="98"/>
  <c r="EF113" i="98" l="1"/>
  <c r="FB36" i="98"/>
  <c r="KR25" i="1"/>
  <c r="KQ20" i="1"/>
  <c r="EE114" i="98"/>
  <c r="EE115" i="98"/>
  <c r="EE116" i="98"/>
  <c r="G360" i="128"/>
  <c r="G364" i="128"/>
  <c r="G368" i="128"/>
  <c r="G372" i="128"/>
  <c r="G376" i="128"/>
  <c r="G380" i="128"/>
  <c r="G384" i="128"/>
  <c r="G388" i="128"/>
  <c r="G392" i="128"/>
  <c r="G396" i="128"/>
  <c r="G400" i="128"/>
  <c r="G404" i="128"/>
  <c r="G408" i="128"/>
  <c r="G412" i="128"/>
  <c r="G361" i="128"/>
  <c r="G369" i="128"/>
  <c r="G377" i="128"/>
  <c r="G389" i="128"/>
  <c r="G393" i="128"/>
  <c r="G401" i="128"/>
  <c r="G409" i="128"/>
  <c r="G362" i="128"/>
  <c r="G370" i="128"/>
  <c r="G378" i="128"/>
  <c r="G386" i="128"/>
  <c r="G394" i="128"/>
  <c r="G402" i="128"/>
  <c r="G410" i="128"/>
  <c r="G359" i="128"/>
  <c r="G363" i="128"/>
  <c r="G367" i="128"/>
  <c r="G371" i="128"/>
  <c r="G375" i="128"/>
  <c r="G379" i="128"/>
  <c r="G383" i="128"/>
  <c r="G387" i="128"/>
  <c r="G391" i="128"/>
  <c r="G395" i="128"/>
  <c r="G399" i="128"/>
  <c r="G403" i="128"/>
  <c r="G407" i="128"/>
  <c r="G411" i="128"/>
  <c r="G357" i="128"/>
  <c r="G365" i="128"/>
  <c r="G373" i="128"/>
  <c r="G381" i="128"/>
  <c r="G385" i="128"/>
  <c r="G397" i="128"/>
  <c r="G405" i="128"/>
  <c r="G413" i="128"/>
  <c r="G358" i="128"/>
  <c r="G366" i="128"/>
  <c r="G374" i="128"/>
  <c r="G382" i="128"/>
  <c r="G390" i="128"/>
  <c r="G398" i="128"/>
  <c r="G406" i="128"/>
  <c r="G414" i="128"/>
  <c r="EM33" i="98"/>
  <c r="D159" i="128" s="1"/>
  <c r="G159" i="128" s="1"/>
  <c r="EV33" i="98"/>
  <c r="BK33" i="98" s="1"/>
  <c r="ES33" i="98"/>
  <c r="D249" i="128" s="1"/>
  <c r="G249" i="128" s="1"/>
  <c r="EP33" i="98"/>
  <c r="D204" i="128" s="1"/>
  <c r="G204" i="128" s="1"/>
  <c r="ED21" i="98"/>
  <c r="BK34" i="98"/>
  <c r="BK38" i="98"/>
  <c r="BK42" i="98"/>
  <c r="BK46" i="98"/>
  <c r="BK50" i="98"/>
  <c r="BK54" i="98"/>
  <c r="BK58" i="98"/>
  <c r="BK62" i="98"/>
  <c r="BK66" i="98"/>
  <c r="BK70" i="98"/>
  <c r="BK74" i="98"/>
  <c r="BK78" i="98"/>
  <c r="BK82" i="98"/>
  <c r="BK86" i="98"/>
  <c r="BK90" i="98"/>
  <c r="BK94" i="98"/>
  <c r="BK48" i="98"/>
  <c r="BK60" i="98"/>
  <c r="BK68" i="98"/>
  <c r="BK76" i="98"/>
  <c r="BK84" i="98"/>
  <c r="BK92" i="98"/>
  <c r="BK41" i="98"/>
  <c r="BK49" i="98"/>
  <c r="BK57" i="98"/>
  <c r="BK61" i="98"/>
  <c r="BK69" i="98"/>
  <c r="BK77" i="98"/>
  <c r="BK85" i="98"/>
  <c r="BK93" i="98"/>
  <c r="BK35" i="98"/>
  <c r="BK39" i="98"/>
  <c r="BK43" i="98"/>
  <c r="BK47" i="98"/>
  <c r="BK51" i="98"/>
  <c r="BK55" i="98"/>
  <c r="BK59" i="98"/>
  <c r="BK63" i="98"/>
  <c r="BK67" i="98"/>
  <c r="BK71" i="98"/>
  <c r="BK75" i="98"/>
  <c r="BK79" i="98"/>
  <c r="BK83" i="98"/>
  <c r="BK87" i="98"/>
  <c r="BK91" i="98"/>
  <c r="BK36" i="98"/>
  <c r="BK40" i="98"/>
  <c r="BK44" i="98"/>
  <c r="BK52" i="98"/>
  <c r="BK56" i="98"/>
  <c r="BK64" i="98"/>
  <c r="BK72" i="98"/>
  <c r="BK80" i="98"/>
  <c r="BK88" i="98"/>
  <c r="BK37" i="98"/>
  <c r="BK45" i="98"/>
  <c r="BK53" i="98"/>
  <c r="BK65" i="98"/>
  <c r="BK73" i="98"/>
  <c r="BK81" i="98"/>
  <c r="BK89" i="98"/>
  <c r="EE113" i="98"/>
  <c r="ED113" i="98"/>
  <c r="EV98" i="98"/>
  <c r="D359" i="128" s="1"/>
  <c r="FB37" i="98"/>
  <c r="ET27" i="98"/>
  <c r="EQ27" i="98"/>
  <c r="EW27" i="98"/>
  <c r="EN27" i="98"/>
  <c r="EM98" i="98"/>
  <c r="ES98" i="98"/>
  <c r="EP98" i="98"/>
  <c r="EW99" i="98"/>
  <c r="FB55" i="98"/>
  <c r="GF55" i="98" s="1"/>
  <c r="EK27" i="98"/>
  <c r="G195" i="128"/>
  <c r="G180" i="128"/>
  <c r="G179" i="128"/>
  <c r="G192" i="128"/>
  <c r="G188" i="128"/>
  <c r="G184" i="128"/>
  <c r="G276" i="128"/>
  <c r="G285" i="128"/>
  <c r="G283" i="128"/>
  <c r="G279" i="128"/>
  <c r="G272" i="128"/>
  <c r="G224" i="128"/>
  <c r="G230" i="128"/>
  <c r="G236" i="128"/>
  <c r="G227" i="128"/>
  <c r="G239" i="128"/>
  <c r="G193" i="128"/>
  <c r="G186" i="128"/>
  <c r="G183" i="128"/>
  <c r="G189" i="128"/>
  <c r="G187" i="128"/>
  <c r="G270" i="128"/>
  <c r="G278" i="128"/>
  <c r="G271" i="128"/>
  <c r="G282" i="128"/>
  <c r="G273" i="128"/>
  <c r="G281" i="128"/>
  <c r="G232" i="128"/>
  <c r="G244" i="128"/>
  <c r="G229" i="128"/>
  <c r="G225" i="128"/>
  <c r="G237" i="128"/>
  <c r="G196" i="128"/>
  <c r="G181" i="128"/>
  <c r="G199" i="128"/>
  <c r="G190" i="128"/>
  <c r="G198" i="128"/>
  <c r="G286" i="128"/>
  <c r="G284" i="128"/>
  <c r="G288" i="128"/>
  <c r="G287" i="128"/>
  <c r="G269" i="128"/>
  <c r="G238" i="128"/>
  <c r="G228" i="128"/>
  <c r="G242" i="128"/>
  <c r="G240" i="128"/>
  <c r="G234" i="128"/>
  <c r="G241" i="128"/>
  <c r="G191" i="128"/>
  <c r="G182" i="128"/>
  <c r="G185" i="128"/>
  <c r="G194" i="128"/>
  <c r="G197" i="128"/>
  <c r="G289" i="128"/>
  <c r="G274" i="128"/>
  <c r="G277" i="128"/>
  <c r="G280" i="128"/>
  <c r="G275" i="128"/>
  <c r="G231" i="128"/>
  <c r="G233" i="128"/>
  <c r="G226" i="128"/>
  <c r="G243" i="128"/>
  <c r="G235" i="128"/>
  <c r="FB41" i="98"/>
  <c r="GF41" i="98" s="1"/>
  <c r="FB45" i="98"/>
  <c r="GF45" i="98" s="1"/>
  <c r="FB49" i="98"/>
  <c r="GF49" i="98" s="1"/>
  <c r="FB53" i="98"/>
  <c r="GF53" i="98" s="1"/>
  <c r="FB57" i="98"/>
  <c r="GF57" i="98" s="1"/>
  <c r="FB61" i="98"/>
  <c r="GF61" i="98" s="1"/>
  <c r="FB65" i="98"/>
  <c r="GF65" i="98" s="1"/>
  <c r="FB69" i="98"/>
  <c r="GF69" i="98" s="1"/>
  <c r="FB73" i="98"/>
  <c r="GF73" i="98" s="1"/>
  <c r="FB77" i="98"/>
  <c r="GF77" i="98" s="1"/>
  <c r="FB81" i="98"/>
  <c r="GF81" i="98" s="1"/>
  <c r="FB85" i="98"/>
  <c r="GF85" i="98" s="1"/>
  <c r="FB89" i="98"/>
  <c r="GF89" i="98" s="1"/>
  <c r="FB93" i="98"/>
  <c r="GF93" i="98" s="1"/>
  <c r="FB38" i="98"/>
  <c r="FB42" i="98"/>
  <c r="GF42" i="98" s="1"/>
  <c r="FB46" i="98"/>
  <c r="GF46" i="98" s="1"/>
  <c r="FB50" i="98"/>
  <c r="GF50" i="98" s="1"/>
  <c r="FB54" i="98"/>
  <c r="GF54" i="98" s="1"/>
  <c r="FB58" i="98"/>
  <c r="GF58" i="98" s="1"/>
  <c r="FB62" i="98"/>
  <c r="GF62" i="98" s="1"/>
  <c r="FB66" i="98"/>
  <c r="GF66" i="98" s="1"/>
  <c r="FB70" i="98"/>
  <c r="GF70" i="98" s="1"/>
  <c r="FB74" i="98"/>
  <c r="GF74" i="98" s="1"/>
  <c r="FB78" i="98"/>
  <c r="GF78" i="98" s="1"/>
  <c r="FB82" i="98"/>
  <c r="GF82" i="98" s="1"/>
  <c r="FB86" i="98"/>
  <c r="GF86" i="98" s="1"/>
  <c r="FB90" i="98"/>
  <c r="GF90" i="98" s="1"/>
  <c r="FB94" i="98"/>
  <c r="GF94" i="98" s="1"/>
  <c r="FB35" i="98"/>
  <c r="FB39" i="98"/>
  <c r="GF39" i="98" s="1"/>
  <c r="FB43" i="98"/>
  <c r="GF43" i="98" s="1"/>
  <c r="FB47" i="98"/>
  <c r="GF47" i="98" s="1"/>
  <c r="FB51" i="98"/>
  <c r="GF51" i="98" s="1"/>
  <c r="FB59" i="98"/>
  <c r="GF59" i="98" s="1"/>
  <c r="FB63" i="98"/>
  <c r="GF63" i="98" s="1"/>
  <c r="FB67" i="98"/>
  <c r="GF67" i="98" s="1"/>
  <c r="FB71" i="98"/>
  <c r="GF71" i="98" s="1"/>
  <c r="FB75" i="98"/>
  <c r="GF75" i="98" s="1"/>
  <c r="FB79" i="98"/>
  <c r="GF79" i="98" s="1"/>
  <c r="FB83" i="98"/>
  <c r="GF83" i="98" s="1"/>
  <c r="FB87" i="98"/>
  <c r="GF87" i="98" s="1"/>
  <c r="FB91" i="98"/>
  <c r="GF91" i="98" s="1"/>
  <c r="FB34" i="98"/>
  <c r="FB40" i="98"/>
  <c r="FB44" i="98"/>
  <c r="GF44" i="98" s="1"/>
  <c r="FB48" i="98"/>
  <c r="GF48" i="98" s="1"/>
  <c r="FB52" i="98"/>
  <c r="GF52" i="98" s="1"/>
  <c r="FB56" i="98"/>
  <c r="GF56" i="98" s="1"/>
  <c r="FB60" i="98"/>
  <c r="GF60" i="98" s="1"/>
  <c r="FB64" i="98"/>
  <c r="GF64" i="98" s="1"/>
  <c r="FB68" i="98"/>
  <c r="GF68" i="98" s="1"/>
  <c r="FB72" i="98"/>
  <c r="GF72" i="98" s="1"/>
  <c r="FB76" i="98"/>
  <c r="GF76" i="98" s="1"/>
  <c r="FB80" i="98"/>
  <c r="GF80" i="98" s="1"/>
  <c r="FB84" i="98"/>
  <c r="GF84" i="98" s="1"/>
  <c r="FB88" i="98"/>
  <c r="GF88" i="98" s="1"/>
  <c r="FB92" i="98"/>
  <c r="GF92" i="98" s="1"/>
  <c r="G254" i="128"/>
  <c r="C254" i="128" s="1"/>
  <c r="G258" i="128"/>
  <c r="C258" i="128" s="1"/>
  <c r="G262" i="128"/>
  <c r="C262" i="128" s="1"/>
  <c r="G266" i="128"/>
  <c r="C266" i="128" s="1"/>
  <c r="G250" i="128"/>
  <c r="C250" i="128" s="1"/>
  <c r="G252" i="128"/>
  <c r="C252" i="128" s="1"/>
  <c r="G264" i="128"/>
  <c r="C264" i="128" s="1"/>
  <c r="G251" i="128"/>
  <c r="C251" i="128" s="1"/>
  <c r="G255" i="128"/>
  <c r="C255" i="128" s="1"/>
  <c r="G259" i="128"/>
  <c r="C259" i="128" s="1"/>
  <c r="G263" i="128"/>
  <c r="C263" i="128" s="1"/>
  <c r="G267" i="128"/>
  <c r="C267" i="128" s="1"/>
  <c r="G256" i="128"/>
  <c r="C256" i="128" s="1"/>
  <c r="G260" i="128"/>
  <c r="C260" i="128" s="1"/>
  <c r="G268" i="128"/>
  <c r="C268" i="128" s="1"/>
  <c r="G253" i="128"/>
  <c r="C253" i="128" s="1"/>
  <c r="G257" i="128"/>
  <c r="C257" i="128" s="1"/>
  <c r="G261" i="128"/>
  <c r="C261" i="128" s="1"/>
  <c r="G265" i="128"/>
  <c r="C265" i="128" s="1"/>
  <c r="G207" i="128"/>
  <c r="C207" i="128" s="1"/>
  <c r="G211" i="128"/>
  <c r="C211" i="128" s="1"/>
  <c r="G215" i="128"/>
  <c r="C215" i="128" s="1"/>
  <c r="G219" i="128"/>
  <c r="C219" i="128" s="1"/>
  <c r="G223" i="128"/>
  <c r="C223" i="128" s="1"/>
  <c r="G212" i="128"/>
  <c r="C212" i="128" s="1"/>
  <c r="G216" i="128"/>
  <c r="C216" i="128" s="1"/>
  <c r="G220" i="128"/>
  <c r="C220" i="128" s="1"/>
  <c r="G209" i="128"/>
  <c r="C209" i="128" s="1"/>
  <c r="G213" i="128"/>
  <c r="C213" i="128" s="1"/>
  <c r="G217" i="128"/>
  <c r="C217" i="128" s="1"/>
  <c r="G205" i="128"/>
  <c r="C205" i="128" s="1"/>
  <c r="G206" i="128"/>
  <c r="C206" i="128" s="1"/>
  <c r="G214" i="128"/>
  <c r="C214" i="128" s="1"/>
  <c r="G218" i="128"/>
  <c r="C218" i="128" s="1"/>
  <c r="G222" i="128"/>
  <c r="C222" i="128" s="1"/>
  <c r="G208" i="128"/>
  <c r="C208" i="128" s="1"/>
  <c r="G221" i="128"/>
  <c r="C221" i="128" s="1"/>
  <c r="G210" i="128"/>
  <c r="C210" i="128" s="1"/>
  <c r="EV32" i="98"/>
  <c r="BK32" i="98" s="1"/>
  <c r="ES30" i="98"/>
  <c r="D246" i="128" s="1"/>
  <c r="G246" i="128" s="1"/>
  <c r="EV31" i="98"/>
  <c r="ES29" i="98"/>
  <c r="D245" i="128" s="1"/>
  <c r="G245" i="128" s="1"/>
  <c r="EV30" i="98"/>
  <c r="BK30" i="98" s="1"/>
  <c r="ES32" i="98"/>
  <c r="D248" i="128" s="1"/>
  <c r="G248" i="128" s="1"/>
  <c r="EV29" i="98"/>
  <c r="BK29" i="98" s="1"/>
  <c r="ES31" i="98"/>
  <c r="D247" i="128" s="1"/>
  <c r="G247" i="128" s="1"/>
  <c r="G175" i="128"/>
  <c r="G172" i="128"/>
  <c r="G169" i="128"/>
  <c r="G166" i="128"/>
  <c r="G178" i="128"/>
  <c r="G176" i="128"/>
  <c r="G173" i="128"/>
  <c r="G170" i="128"/>
  <c r="G163" i="128"/>
  <c r="G164" i="128"/>
  <c r="G161" i="128"/>
  <c r="G177" i="128"/>
  <c r="G160" i="128"/>
  <c r="G167" i="128"/>
  <c r="G168" i="128"/>
  <c r="G165" i="128"/>
  <c r="G162" i="128"/>
  <c r="G174" i="128"/>
  <c r="G171" i="128"/>
  <c r="EP29" i="98"/>
  <c r="D200" i="128" s="1"/>
  <c r="G200" i="128" s="1"/>
  <c r="EM31" i="98"/>
  <c r="D157" i="128" s="1"/>
  <c r="G157" i="128" s="1"/>
  <c r="EP32" i="98"/>
  <c r="D203" i="128" s="1"/>
  <c r="G203" i="128" s="1"/>
  <c r="EM30" i="98"/>
  <c r="D156" i="128" s="1"/>
  <c r="G156" i="128" s="1"/>
  <c r="EP31" i="98"/>
  <c r="D202" i="128" s="1"/>
  <c r="G202" i="128" s="1"/>
  <c r="EM29" i="98"/>
  <c r="D155" i="128" s="1"/>
  <c r="G155" i="128" s="1"/>
  <c r="EP30" i="98"/>
  <c r="D201" i="128" s="1"/>
  <c r="G201" i="128" s="1"/>
  <c r="EM32" i="98"/>
  <c r="EV27" i="98"/>
  <c r="ET26" i="98"/>
  <c r="EQ26" i="98"/>
  <c r="EP27" i="98"/>
  <c r="ES27" i="98"/>
  <c r="EW26" i="98"/>
  <c r="EN26" i="98"/>
  <c r="KS25" i="1" l="1"/>
  <c r="KR20" i="1"/>
  <c r="GF36" i="98"/>
  <c r="GF34" i="98"/>
  <c r="GF38" i="98"/>
  <c r="GF37" i="98"/>
  <c r="GF40" i="98"/>
  <c r="GF35" i="98"/>
  <c r="C394" i="128"/>
  <c r="B394" i="128"/>
  <c r="A394" i="128"/>
  <c r="B414" i="128"/>
  <c r="A414" i="128"/>
  <c r="C414" i="128"/>
  <c r="B382" i="128"/>
  <c r="A382" i="128"/>
  <c r="C382" i="128"/>
  <c r="B385" i="128"/>
  <c r="A385" i="128"/>
  <c r="C385" i="128"/>
  <c r="B357" i="128"/>
  <c r="A357" i="128"/>
  <c r="C357" i="128"/>
  <c r="B403" i="128"/>
  <c r="A403" i="128"/>
  <c r="C403" i="128"/>
  <c r="B387" i="128"/>
  <c r="A387" i="128"/>
  <c r="C387" i="128"/>
  <c r="B371" i="128"/>
  <c r="A371" i="128"/>
  <c r="C371" i="128"/>
  <c r="A402" i="128"/>
  <c r="C402" i="128"/>
  <c r="B402" i="128"/>
  <c r="A370" i="128"/>
  <c r="C370" i="128"/>
  <c r="B370" i="128"/>
  <c r="B409" i="128"/>
  <c r="A409" i="128"/>
  <c r="C409" i="128"/>
  <c r="B377" i="128"/>
  <c r="A377" i="128"/>
  <c r="C377" i="128"/>
  <c r="B404" i="128"/>
  <c r="A404" i="128"/>
  <c r="C404" i="128"/>
  <c r="B388" i="128"/>
  <c r="A388" i="128"/>
  <c r="C388" i="128"/>
  <c r="B372" i="128"/>
  <c r="A372" i="128"/>
  <c r="C372" i="128"/>
  <c r="B374" i="128"/>
  <c r="A374" i="128"/>
  <c r="C374" i="128"/>
  <c r="B381" i="128"/>
  <c r="A381" i="128"/>
  <c r="C381" i="128"/>
  <c r="B399" i="128"/>
  <c r="A399" i="128"/>
  <c r="C399" i="128"/>
  <c r="B383" i="128"/>
  <c r="A383" i="128"/>
  <c r="C383" i="128"/>
  <c r="B367" i="128"/>
  <c r="A367" i="128"/>
  <c r="C367" i="128"/>
  <c r="C362" i="128"/>
  <c r="B362" i="128"/>
  <c r="A362" i="128"/>
  <c r="B401" i="128"/>
  <c r="A401" i="128"/>
  <c r="C401" i="128"/>
  <c r="B369" i="128"/>
  <c r="A369" i="128"/>
  <c r="C369" i="128"/>
  <c r="B400" i="128"/>
  <c r="A400" i="128"/>
  <c r="C400" i="128"/>
  <c r="B384" i="128"/>
  <c r="A384" i="128"/>
  <c r="C384" i="128"/>
  <c r="B368" i="128"/>
  <c r="A368" i="128"/>
  <c r="C368" i="128"/>
  <c r="B398" i="128"/>
  <c r="A398" i="128"/>
  <c r="C398" i="128"/>
  <c r="B366" i="128"/>
  <c r="A366" i="128"/>
  <c r="C366" i="128"/>
  <c r="B405" i="128"/>
  <c r="A405" i="128"/>
  <c r="C405" i="128"/>
  <c r="B373" i="128"/>
  <c r="A373" i="128"/>
  <c r="C373" i="128"/>
  <c r="B411" i="128"/>
  <c r="A411" i="128"/>
  <c r="C411" i="128"/>
  <c r="B395" i="128"/>
  <c r="A395" i="128"/>
  <c r="C395" i="128"/>
  <c r="B379" i="128"/>
  <c r="A379" i="128"/>
  <c r="C379" i="128"/>
  <c r="B363" i="128"/>
  <c r="A363" i="128"/>
  <c r="C363" i="128"/>
  <c r="C386" i="128"/>
  <c r="A386" i="128"/>
  <c r="B386" i="128"/>
  <c r="B393" i="128"/>
  <c r="A393" i="128"/>
  <c r="C393" i="128"/>
  <c r="B361" i="128"/>
  <c r="A361" i="128"/>
  <c r="C361" i="128"/>
  <c r="B412" i="128"/>
  <c r="A412" i="128"/>
  <c r="C412" i="128"/>
  <c r="B396" i="128"/>
  <c r="A396" i="128"/>
  <c r="C396" i="128"/>
  <c r="B380" i="128"/>
  <c r="A380" i="128"/>
  <c r="C380" i="128"/>
  <c r="B364" i="128"/>
  <c r="A364" i="128"/>
  <c r="C364" i="128"/>
  <c r="B406" i="128"/>
  <c r="A406" i="128"/>
  <c r="C406" i="128"/>
  <c r="B413" i="128"/>
  <c r="A413" i="128"/>
  <c r="C413" i="128"/>
  <c r="B390" i="128"/>
  <c r="A390" i="128"/>
  <c r="C390" i="128"/>
  <c r="B358" i="128"/>
  <c r="A358" i="128"/>
  <c r="C358" i="128"/>
  <c r="B397" i="128"/>
  <c r="A397" i="128"/>
  <c r="C397" i="128"/>
  <c r="B365" i="128"/>
  <c r="A365" i="128"/>
  <c r="C365" i="128"/>
  <c r="B407" i="128"/>
  <c r="A407" i="128"/>
  <c r="C407" i="128"/>
  <c r="B391" i="128"/>
  <c r="A391" i="128"/>
  <c r="C391" i="128"/>
  <c r="B375" i="128"/>
  <c r="A375" i="128"/>
  <c r="C375" i="128"/>
  <c r="B359" i="128"/>
  <c r="A359" i="128"/>
  <c r="C359" i="128"/>
  <c r="C410" i="128"/>
  <c r="B410" i="128"/>
  <c r="A410" i="128"/>
  <c r="C378" i="128"/>
  <c r="B378" i="128"/>
  <c r="A378" i="128"/>
  <c r="B389" i="128"/>
  <c r="A389" i="128"/>
  <c r="C389" i="128"/>
  <c r="B408" i="128"/>
  <c r="A408" i="128"/>
  <c r="C408" i="128"/>
  <c r="B392" i="128"/>
  <c r="A392" i="128"/>
  <c r="C392" i="128"/>
  <c r="B376" i="128"/>
  <c r="A376" i="128"/>
  <c r="C376" i="128"/>
  <c r="B360" i="128"/>
  <c r="A360" i="128"/>
  <c r="C360" i="128"/>
  <c r="BW92" i="98"/>
  <c r="BW76" i="98"/>
  <c r="BW91" i="98"/>
  <c r="BW75" i="98"/>
  <c r="BW86" i="98"/>
  <c r="BW54" i="98"/>
  <c r="BW65" i="98"/>
  <c r="BW80" i="98"/>
  <c r="BW64" i="98"/>
  <c r="BW79" i="98"/>
  <c r="BW63" i="98"/>
  <c r="BW90" i="98"/>
  <c r="BW74" i="98"/>
  <c r="BW58" i="98"/>
  <c r="BW85" i="98"/>
  <c r="BW69" i="98"/>
  <c r="BW55" i="98"/>
  <c r="BW60" i="98"/>
  <c r="BW70" i="98"/>
  <c r="BW81" i="98"/>
  <c r="BW88" i="98"/>
  <c r="BW72" i="98"/>
  <c r="BW56" i="98"/>
  <c r="BW87" i="98"/>
  <c r="BW71" i="98"/>
  <c r="BW82" i="98"/>
  <c r="BW66" i="98"/>
  <c r="BW93" i="98"/>
  <c r="BW77" i="98"/>
  <c r="BW61" i="98"/>
  <c r="BW59" i="98"/>
  <c r="BW84" i="98"/>
  <c r="BW68" i="98"/>
  <c r="BW83" i="98"/>
  <c r="BW67" i="98"/>
  <c r="BW94" i="98"/>
  <c r="BW78" i="98"/>
  <c r="BW62" i="98"/>
  <c r="BW89" i="98"/>
  <c r="BW73" i="98"/>
  <c r="BW57" i="98"/>
  <c r="D293" i="128"/>
  <c r="BK31" i="98"/>
  <c r="D292" i="128" s="1"/>
  <c r="BH30" i="98"/>
  <c r="BI30" i="98" s="1"/>
  <c r="BJ30" i="98" s="1"/>
  <c r="BW34" i="98"/>
  <c r="BW48" i="98"/>
  <c r="BW43" i="98"/>
  <c r="BW40" i="98"/>
  <c r="BW51" i="98"/>
  <c r="BW35" i="98"/>
  <c r="BW50" i="98"/>
  <c r="BW45" i="98"/>
  <c r="BW52" i="98"/>
  <c r="BW36" i="98"/>
  <c r="BW47" i="98"/>
  <c r="BW46" i="98"/>
  <c r="BW41" i="98"/>
  <c r="BW42" i="98"/>
  <c r="BW53" i="98"/>
  <c r="BW37" i="98"/>
  <c r="BW44" i="98"/>
  <c r="BW39" i="98"/>
  <c r="BW38" i="98"/>
  <c r="BW49" i="98"/>
  <c r="B194" i="128"/>
  <c r="C194" i="128"/>
  <c r="A194" i="128"/>
  <c r="C228" i="128"/>
  <c r="A228" i="128"/>
  <c r="B228" i="128"/>
  <c r="B288" i="128"/>
  <c r="A288" i="128"/>
  <c r="C288" i="128"/>
  <c r="C237" i="128"/>
  <c r="A237" i="128"/>
  <c r="B237" i="128"/>
  <c r="C189" i="128"/>
  <c r="A189" i="128"/>
  <c r="B189" i="128"/>
  <c r="B224" i="128"/>
  <c r="C224" i="128"/>
  <c r="A224" i="128"/>
  <c r="A285" i="128"/>
  <c r="B285" i="128"/>
  <c r="C285" i="128"/>
  <c r="A231" i="128"/>
  <c r="C231" i="128"/>
  <c r="B231" i="128"/>
  <c r="B185" i="128"/>
  <c r="C185" i="128"/>
  <c r="A185" i="128"/>
  <c r="B238" i="128"/>
  <c r="A238" i="128"/>
  <c r="C238" i="128"/>
  <c r="C284" i="128"/>
  <c r="A284" i="128"/>
  <c r="B284" i="128"/>
  <c r="B225" i="128"/>
  <c r="A225" i="128"/>
  <c r="C225" i="128"/>
  <c r="B183" i="128"/>
  <c r="A183" i="128"/>
  <c r="C183" i="128"/>
  <c r="C227" i="128"/>
  <c r="A227" i="128"/>
  <c r="B227" i="128"/>
  <c r="C276" i="128"/>
  <c r="A276" i="128"/>
  <c r="B276" i="128"/>
  <c r="C179" i="128"/>
  <c r="A179" i="128"/>
  <c r="B179" i="128"/>
  <c r="C243" i="128"/>
  <c r="B243" i="128"/>
  <c r="A243" i="128"/>
  <c r="A275" i="128"/>
  <c r="B275" i="128"/>
  <c r="C275" i="128"/>
  <c r="B289" i="128"/>
  <c r="A289" i="128"/>
  <c r="C289" i="128"/>
  <c r="A182" i="128"/>
  <c r="C182" i="128"/>
  <c r="B182" i="128"/>
  <c r="A240" i="128"/>
  <c r="B240" i="128"/>
  <c r="C240" i="128"/>
  <c r="C269" i="128"/>
  <c r="B269" i="128"/>
  <c r="A269" i="128"/>
  <c r="B286" i="128"/>
  <c r="A286" i="128"/>
  <c r="C286" i="128"/>
  <c r="C181" i="128"/>
  <c r="A181" i="128"/>
  <c r="B181" i="128"/>
  <c r="C229" i="128"/>
  <c r="A229" i="128"/>
  <c r="B229" i="128"/>
  <c r="C273" i="128"/>
  <c r="B273" i="128"/>
  <c r="A273" i="128"/>
  <c r="B270" i="128"/>
  <c r="A270" i="128"/>
  <c r="C270" i="128"/>
  <c r="C186" i="128"/>
  <c r="B186" i="128"/>
  <c r="A186" i="128"/>
  <c r="A236" i="128"/>
  <c r="C236" i="128"/>
  <c r="B236" i="128"/>
  <c r="C279" i="128"/>
  <c r="B279" i="128"/>
  <c r="A279" i="128"/>
  <c r="A184" i="128"/>
  <c r="B184" i="128"/>
  <c r="C184" i="128"/>
  <c r="A180" i="128"/>
  <c r="C180" i="128"/>
  <c r="B180" i="128"/>
  <c r="C233" i="128"/>
  <c r="A233" i="128"/>
  <c r="B233" i="128"/>
  <c r="B277" i="128"/>
  <c r="C277" i="128"/>
  <c r="A277" i="128"/>
  <c r="A241" i="128"/>
  <c r="C241" i="128"/>
  <c r="B241" i="128"/>
  <c r="C190" i="128"/>
  <c r="B190" i="128"/>
  <c r="A190" i="128"/>
  <c r="A232" i="128"/>
  <c r="C232" i="128"/>
  <c r="B232" i="128"/>
  <c r="A271" i="128"/>
  <c r="C271" i="128"/>
  <c r="B271" i="128"/>
  <c r="B239" i="128"/>
  <c r="C239" i="128"/>
  <c r="A239" i="128"/>
  <c r="C192" i="128"/>
  <c r="B192" i="128"/>
  <c r="A192" i="128"/>
  <c r="B235" i="128"/>
  <c r="A235" i="128"/>
  <c r="C235" i="128"/>
  <c r="C274" i="128"/>
  <c r="A274" i="128"/>
  <c r="B274" i="128"/>
  <c r="B234" i="128"/>
  <c r="A234" i="128"/>
  <c r="C234" i="128"/>
  <c r="C199" i="128"/>
  <c r="A199" i="128"/>
  <c r="B199" i="128"/>
  <c r="C281" i="128"/>
  <c r="A281" i="128"/>
  <c r="B281" i="128"/>
  <c r="C278" i="128"/>
  <c r="B278" i="128"/>
  <c r="A278" i="128"/>
  <c r="A272" i="128"/>
  <c r="C272" i="128"/>
  <c r="B272" i="128"/>
  <c r="C226" i="128"/>
  <c r="A226" i="128"/>
  <c r="B226" i="128"/>
  <c r="B280" i="128"/>
  <c r="C280" i="128"/>
  <c r="A280" i="128"/>
  <c r="B197" i="128"/>
  <c r="C197" i="128"/>
  <c r="A197" i="128"/>
  <c r="C191" i="128"/>
  <c r="A191" i="128"/>
  <c r="B191" i="128"/>
  <c r="A242" i="128"/>
  <c r="B242" i="128"/>
  <c r="C242" i="128"/>
  <c r="B287" i="128"/>
  <c r="A287" i="128"/>
  <c r="C287" i="128"/>
  <c r="A198" i="128"/>
  <c r="B198" i="128"/>
  <c r="C198" i="128"/>
  <c r="C196" i="128"/>
  <c r="B196" i="128"/>
  <c r="A196" i="128"/>
  <c r="C244" i="128"/>
  <c r="A244" i="128"/>
  <c r="B244" i="128"/>
  <c r="B282" i="128"/>
  <c r="C282" i="128"/>
  <c r="A282" i="128"/>
  <c r="B187" i="128"/>
  <c r="C187" i="128"/>
  <c r="A187" i="128"/>
  <c r="A193" i="128"/>
  <c r="C193" i="128"/>
  <c r="B193" i="128"/>
  <c r="B230" i="128"/>
  <c r="A230" i="128"/>
  <c r="C230" i="128"/>
  <c r="B283" i="128"/>
  <c r="A283" i="128"/>
  <c r="C283" i="128"/>
  <c r="C188" i="128"/>
  <c r="A188" i="128"/>
  <c r="B188" i="128"/>
  <c r="A195" i="128"/>
  <c r="C195" i="128"/>
  <c r="B195" i="128"/>
  <c r="E359" i="128"/>
  <c r="E360" i="128"/>
  <c r="CP52" i="98"/>
  <c r="A249" i="128"/>
  <c r="B249" i="128"/>
  <c r="C249" i="128"/>
  <c r="B247" i="128"/>
  <c r="A247" i="128"/>
  <c r="C247" i="128"/>
  <c r="A246" i="128"/>
  <c r="B246" i="128"/>
  <c r="C246" i="128"/>
  <c r="A245" i="128"/>
  <c r="C245" i="128"/>
  <c r="B245" i="128"/>
  <c r="D294" i="128"/>
  <c r="C248" i="128"/>
  <c r="A248" i="128"/>
  <c r="B248" i="128"/>
  <c r="A203" i="128"/>
  <c r="B203" i="128"/>
  <c r="C203" i="128"/>
  <c r="C201" i="128"/>
  <c r="A201" i="128"/>
  <c r="B201" i="128"/>
  <c r="C204" i="128"/>
  <c r="A204" i="128"/>
  <c r="B204" i="128"/>
  <c r="B200" i="128"/>
  <c r="C200" i="128"/>
  <c r="A200" i="128"/>
  <c r="A202" i="128"/>
  <c r="B202" i="128"/>
  <c r="C202" i="128"/>
  <c r="C157" i="128"/>
  <c r="A157" i="128"/>
  <c r="B157" i="128"/>
  <c r="C159" i="128"/>
  <c r="A159" i="128"/>
  <c r="B159" i="128"/>
  <c r="C156" i="128"/>
  <c r="A156" i="128"/>
  <c r="B156" i="128"/>
  <c r="B155" i="128"/>
  <c r="C155" i="128"/>
  <c r="A155" i="128"/>
  <c r="D158" i="128"/>
  <c r="G158" i="128" s="1"/>
  <c r="D290" i="128"/>
  <c r="A217" i="128"/>
  <c r="B217" i="128"/>
  <c r="A216" i="128"/>
  <c r="B216" i="128"/>
  <c r="A221" i="128"/>
  <c r="B221" i="128"/>
  <c r="A209" i="128"/>
  <c r="B209" i="128"/>
  <c r="A215" i="128"/>
  <c r="B215" i="128"/>
  <c r="B214" i="128"/>
  <c r="A214" i="128"/>
  <c r="A208" i="128"/>
  <c r="B208" i="128"/>
  <c r="B206" i="128"/>
  <c r="A206" i="128"/>
  <c r="A223" i="128"/>
  <c r="B223" i="128"/>
  <c r="B210" i="128"/>
  <c r="A210" i="128"/>
  <c r="A212" i="128"/>
  <c r="B212" i="128"/>
  <c r="B218" i="128"/>
  <c r="A218" i="128"/>
  <c r="A207" i="128"/>
  <c r="B207" i="128"/>
  <c r="B222" i="128"/>
  <c r="A222" i="128"/>
  <c r="A220" i="128"/>
  <c r="B220" i="128"/>
  <c r="A219" i="128"/>
  <c r="B219" i="128"/>
  <c r="A213" i="128"/>
  <c r="B213" i="128"/>
  <c r="A211" i="128"/>
  <c r="B211" i="128"/>
  <c r="B205" i="128"/>
  <c r="A205" i="128"/>
  <c r="A266" i="128"/>
  <c r="B266" i="128"/>
  <c r="B258" i="128"/>
  <c r="A258" i="128"/>
  <c r="B259" i="128"/>
  <c r="A259" i="128"/>
  <c r="A260" i="128"/>
  <c r="B260" i="128"/>
  <c r="A254" i="128"/>
  <c r="B254" i="128"/>
  <c r="B255" i="128"/>
  <c r="A255" i="128"/>
  <c r="A262" i="128"/>
  <c r="B262" i="128"/>
  <c r="B257" i="128"/>
  <c r="A257" i="128"/>
  <c r="A256" i="128"/>
  <c r="B256" i="128"/>
  <c r="B267" i="128"/>
  <c r="A267" i="128"/>
  <c r="B251" i="128"/>
  <c r="A251" i="128"/>
  <c r="A264" i="128"/>
  <c r="B264" i="128"/>
  <c r="B253" i="128"/>
  <c r="A253" i="128"/>
  <c r="B265" i="128"/>
  <c r="A265" i="128"/>
  <c r="A268" i="128"/>
  <c r="B268" i="128"/>
  <c r="A252" i="128"/>
  <c r="B252" i="128"/>
  <c r="B261" i="128"/>
  <c r="A261" i="128"/>
  <c r="B263" i="128"/>
  <c r="A263" i="128"/>
  <c r="B250" i="128"/>
  <c r="A250" i="128"/>
  <c r="CP62" i="98"/>
  <c r="CO62" i="98" s="1"/>
  <c r="CP57" i="98"/>
  <c r="AI66" i="98"/>
  <c r="CP66" i="98"/>
  <c r="CO66" i="98" s="1"/>
  <c r="CP60" i="98"/>
  <c r="AI65" i="98"/>
  <c r="CP65" i="98"/>
  <c r="CP59" i="98"/>
  <c r="CP61" i="98"/>
  <c r="AI63" i="98"/>
  <c r="CP63" i="98"/>
  <c r="CO63" i="98" s="1"/>
  <c r="CP64" i="98"/>
  <c r="CO64" i="98" s="1"/>
  <c r="AI64" i="98"/>
  <c r="CP58" i="98"/>
  <c r="GG58" i="98" l="1"/>
  <c r="CO58" i="98"/>
  <c r="GG61" i="98"/>
  <c r="CO61" i="98"/>
  <c r="GG57" i="98"/>
  <c r="CO57" i="98"/>
  <c r="GG60" i="98"/>
  <c r="CO60" i="98"/>
  <c r="GG52" i="98"/>
  <c r="CO52" i="98"/>
  <c r="GG65" i="98"/>
  <c r="CW65" i="98" s="1"/>
  <c r="CO65" i="98"/>
  <c r="GG59" i="98"/>
  <c r="CO59" i="98"/>
  <c r="GG64" i="98"/>
  <c r="CW64" i="98" s="1"/>
  <c r="GG63" i="98"/>
  <c r="CW63" i="98" s="1"/>
  <c r="GG66" i="98"/>
  <c r="CW66" i="98" s="1"/>
  <c r="GG62" i="98"/>
  <c r="KT25" i="1"/>
  <c r="KS20" i="1"/>
  <c r="P34" i="115"/>
  <c r="E34" i="115" s="1"/>
  <c r="Q34" i="127"/>
  <c r="C34" i="127" s="1"/>
  <c r="P34" i="136"/>
  <c r="I34" i="129"/>
  <c r="P38" i="115"/>
  <c r="E38" i="115" s="1"/>
  <c r="Q38" i="127"/>
  <c r="C38" i="127" s="1"/>
  <c r="P38" i="136"/>
  <c r="E38" i="136" s="1"/>
  <c r="I38" i="129"/>
  <c r="P39" i="115"/>
  <c r="Q39" i="127"/>
  <c r="C39" i="127" s="1"/>
  <c r="I39" i="129"/>
  <c r="P39" i="136"/>
  <c r="E39" i="136" s="1"/>
  <c r="P25" i="115"/>
  <c r="Q25" i="127"/>
  <c r="C25" i="127" s="1"/>
  <c r="I25" i="129"/>
  <c r="P25" i="136"/>
  <c r="P36" i="115"/>
  <c r="E36" i="115" s="1"/>
  <c r="Q36" i="127"/>
  <c r="C36" i="127" s="1"/>
  <c r="I36" i="129"/>
  <c r="P36" i="136"/>
  <c r="E36" i="136" s="1"/>
  <c r="P37" i="115"/>
  <c r="E37" i="115" s="1"/>
  <c r="Q37" i="127"/>
  <c r="C37" i="127" s="1"/>
  <c r="I37" i="129"/>
  <c r="P37" i="136"/>
  <c r="E37" i="136" s="1"/>
  <c r="P35" i="115"/>
  <c r="E35" i="115" s="1"/>
  <c r="Q35" i="127"/>
  <c r="C35" i="127" s="1"/>
  <c r="I35" i="129"/>
  <c r="P35" i="136"/>
  <c r="E35" i="136" s="1"/>
  <c r="P31" i="115"/>
  <c r="E31" i="115" s="1"/>
  <c r="P31" i="136"/>
  <c r="I31" i="129"/>
  <c r="Q31" i="127"/>
  <c r="C31" i="127" s="1"/>
  <c r="P32" i="115"/>
  <c r="E32" i="115" s="1"/>
  <c r="Q32" i="127"/>
  <c r="C32" i="127" s="1"/>
  <c r="I32" i="129"/>
  <c r="P32" i="136"/>
  <c r="P30" i="115"/>
  <c r="Q30" i="127"/>
  <c r="C30" i="127" s="1"/>
  <c r="I30" i="129"/>
  <c r="P30" i="136"/>
  <c r="P33" i="115"/>
  <c r="E33" i="115" s="1"/>
  <c r="I33" i="129"/>
  <c r="Q33" i="127"/>
  <c r="C33" i="127" s="1"/>
  <c r="P33" i="136"/>
  <c r="AU58" i="98"/>
  <c r="DT58" i="98" s="1"/>
  <c r="DS58" i="98" s="1"/>
  <c r="AU59" i="98"/>
  <c r="DT59" i="98" s="1"/>
  <c r="DS59" i="98" s="1"/>
  <c r="AU57" i="98"/>
  <c r="DT57" i="98" s="1"/>
  <c r="DS57" i="98" s="1"/>
  <c r="L30" i="115" s="1"/>
  <c r="AU61" i="98"/>
  <c r="DT61" i="98" s="1"/>
  <c r="DS61" i="98" s="1"/>
  <c r="AU65" i="98"/>
  <c r="DT65" i="98" s="1"/>
  <c r="DS65" i="98" s="1"/>
  <c r="AU66" i="98"/>
  <c r="DT66" i="98" s="1"/>
  <c r="DS66" i="98" s="1"/>
  <c r="L39" i="115" s="1"/>
  <c r="AU52" i="98"/>
  <c r="DT52" i="98" s="1"/>
  <c r="DS52" i="98" s="1"/>
  <c r="L25" i="115" s="1"/>
  <c r="AU64" i="98"/>
  <c r="DT64" i="98" s="1"/>
  <c r="DS64" i="98" s="1"/>
  <c r="AU62" i="98"/>
  <c r="DT62" i="98" s="1"/>
  <c r="DS62" i="98" s="1"/>
  <c r="AU63" i="98"/>
  <c r="DT63" i="98" s="1"/>
  <c r="DS63" i="98" s="1"/>
  <c r="L36" i="115" s="1"/>
  <c r="AU60" i="98"/>
  <c r="DT60" i="98" s="1"/>
  <c r="DS60" i="98" s="1"/>
  <c r="L33" i="115" s="1"/>
  <c r="G322" i="128"/>
  <c r="B322" i="128" s="1"/>
  <c r="G319" i="128"/>
  <c r="B319" i="128" s="1"/>
  <c r="G324" i="128"/>
  <c r="B324" i="128" s="1"/>
  <c r="G320" i="128"/>
  <c r="B320" i="128" s="1"/>
  <c r="G321" i="128"/>
  <c r="B321" i="128" s="1"/>
  <c r="G325" i="128"/>
  <c r="B325" i="128" s="1"/>
  <c r="G323" i="128"/>
  <c r="B323" i="128" s="1"/>
  <c r="G326" i="128"/>
  <c r="B326" i="128" s="1"/>
  <c r="G327" i="128"/>
  <c r="D291" i="128"/>
  <c r="CB52" i="98"/>
  <c r="BW27" i="98"/>
  <c r="ED130" i="98" s="1"/>
  <c r="CB58" i="98"/>
  <c r="CB63" i="98"/>
  <c r="CB59" i="98"/>
  <c r="CB57" i="98"/>
  <c r="CB60" i="98"/>
  <c r="CB65" i="98"/>
  <c r="CB61" i="98"/>
  <c r="CB66" i="98"/>
  <c r="CB64" i="98"/>
  <c r="CB62" i="98"/>
  <c r="CR52" i="98"/>
  <c r="BH52" i="98"/>
  <c r="BI52" i="98" s="1"/>
  <c r="BJ52" i="98" s="1"/>
  <c r="AL63" i="98"/>
  <c r="FE63" i="98" s="1"/>
  <c r="AL64" i="98"/>
  <c r="FE64" i="98" s="1"/>
  <c r="AL65" i="98"/>
  <c r="FE65" i="98" s="1"/>
  <c r="AL66" i="98"/>
  <c r="FE66" i="98" s="1"/>
  <c r="B158" i="128"/>
  <c r="C158" i="128"/>
  <c r="A158" i="128"/>
  <c r="CR60" i="98"/>
  <c r="BH60" i="98"/>
  <c r="BI60" i="98" s="1"/>
  <c r="CR66" i="98"/>
  <c r="BH66" i="98"/>
  <c r="BI66" i="98" s="1"/>
  <c r="CR58" i="98"/>
  <c r="BH58" i="98"/>
  <c r="BI58" i="98" s="1"/>
  <c r="CR63" i="98"/>
  <c r="BH63" i="98"/>
  <c r="BI63" i="98" s="1"/>
  <c r="CR59" i="98"/>
  <c r="BH59" i="98"/>
  <c r="BI59" i="98" s="1"/>
  <c r="CR57" i="98"/>
  <c r="BH57" i="98"/>
  <c r="BI57" i="98" s="1"/>
  <c r="CR61" i="98"/>
  <c r="BH61" i="98"/>
  <c r="BI61" i="98" s="1"/>
  <c r="CR65" i="98"/>
  <c r="BH65" i="98"/>
  <c r="BI65" i="98" s="1"/>
  <c r="CR64" i="98"/>
  <c r="BH64" i="98"/>
  <c r="BI64" i="98" s="1"/>
  <c r="CR62" i="98"/>
  <c r="BH62" i="98"/>
  <c r="BI62" i="98" s="1"/>
  <c r="L37" i="115" l="1"/>
  <c r="L34" i="115"/>
  <c r="L32" i="115"/>
  <c r="L31" i="115"/>
  <c r="L38" i="115"/>
  <c r="L35" i="115"/>
  <c r="CU65" i="98"/>
  <c r="CU66" i="98"/>
  <c r="CU64" i="98"/>
  <c r="CU63" i="98"/>
  <c r="BJ66" i="98"/>
  <c r="FA66" i="98"/>
  <c r="BJ65" i="98"/>
  <c r="FA65" i="98"/>
  <c r="BJ64" i="98"/>
  <c r="FA64" i="98"/>
  <c r="BJ63" i="98"/>
  <c r="FA63" i="98"/>
  <c r="BJ62" i="98"/>
  <c r="FA62" i="98"/>
  <c r="CW62" i="98" s="1"/>
  <c r="BJ61" i="98"/>
  <c r="FA61" i="98"/>
  <c r="CW61" i="98" s="1"/>
  <c r="BJ60" i="98"/>
  <c r="FA60" i="98"/>
  <c r="CW60" i="98" s="1"/>
  <c r="BJ59" i="98"/>
  <c r="FA59" i="98"/>
  <c r="CW59" i="98" s="1"/>
  <c r="BJ58" i="98"/>
  <c r="FA58" i="98"/>
  <c r="CW58" i="98" s="1"/>
  <c r="BJ57" i="98"/>
  <c r="FA57" i="98"/>
  <c r="CW57" i="98" s="1"/>
  <c r="KU25" i="1"/>
  <c r="KT20" i="1"/>
  <c r="R39" i="136"/>
  <c r="B39" i="136" s="1"/>
  <c r="S39" i="136"/>
  <c r="C39" i="136" s="1"/>
  <c r="S36" i="136"/>
  <c r="C36" i="136" s="1"/>
  <c r="R36" i="136"/>
  <c r="B36" i="136" s="1"/>
  <c r="R37" i="136"/>
  <c r="B37" i="136" s="1"/>
  <c r="S37" i="136"/>
  <c r="C37" i="136" s="1"/>
  <c r="S38" i="136"/>
  <c r="C38" i="136" s="1"/>
  <c r="R38" i="136"/>
  <c r="B38" i="136" s="1"/>
  <c r="R35" i="136"/>
  <c r="B35" i="136" s="1"/>
  <c r="S35" i="136"/>
  <c r="C35" i="136" s="1"/>
  <c r="L36" i="136"/>
  <c r="M36" i="136"/>
  <c r="U36" i="136" s="1"/>
  <c r="L37" i="136"/>
  <c r="M37" i="136"/>
  <c r="U37" i="136" s="1"/>
  <c r="L39" i="136"/>
  <c r="M39" i="136"/>
  <c r="U39" i="136" s="1"/>
  <c r="L38" i="136"/>
  <c r="M38" i="136"/>
  <c r="U38" i="136" s="1"/>
  <c r="L35" i="136"/>
  <c r="M35" i="136"/>
  <c r="U35" i="136" s="1"/>
  <c r="H39" i="136"/>
  <c r="I39" i="136"/>
  <c r="G39" i="136"/>
  <c r="K39" i="136"/>
  <c r="T39" i="136" s="1"/>
  <c r="J39" i="136"/>
  <c r="F39" i="136"/>
  <c r="F38" i="136"/>
  <c r="J38" i="136"/>
  <c r="G38" i="136"/>
  <c r="K38" i="136"/>
  <c r="T38" i="136" s="1"/>
  <c r="I38" i="136"/>
  <c r="H38" i="136"/>
  <c r="F36" i="136"/>
  <c r="J36" i="136"/>
  <c r="G36" i="136"/>
  <c r="K36" i="136"/>
  <c r="T36" i="136" s="1"/>
  <c r="I36" i="136"/>
  <c r="H36" i="136"/>
  <c r="H37" i="136"/>
  <c r="I37" i="136"/>
  <c r="G37" i="136"/>
  <c r="K37" i="136"/>
  <c r="T37" i="136" s="1"/>
  <c r="J37" i="136"/>
  <c r="F37" i="136"/>
  <c r="H35" i="136"/>
  <c r="I35" i="136"/>
  <c r="G35" i="136"/>
  <c r="K35" i="136"/>
  <c r="T35" i="136" s="1"/>
  <c r="F35" i="136"/>
  <c r="J35" i="136"/>
  <c r="D34" i="136"/>
  <c r="D31" i="136"/>
  <c r="D25" i="136"/>
  <c r="A36" i="136"/>
  <c r="D36" i="136"/>
  <c r="A37" i="136"/>
  <c r="D37" i="136"/>
  <c r="D30" i="136"/>
  <c r="A39" i="136"/>
  <c r="D39" i="136"/>
  <c r="A38" i="136"/>
  <c r="D38" i="136"/>
  <c r="D33" i="136"/>
  <c r="D32" i="136"/>
  <c r="A35" i="136"/>
  <c r="D35" i="136"/>
  <c r="M36" i="129"/>
  <c r="E36" i="129" s="1"/>
  <c r="L36" i="129"/>
  <c r="L37" i="129"/>
  <c r="M37" i="129"/>
  <c r="E37" i="129" s="1"/>
  <c r="L39" i="129"/>
  <c r="M39" i="129"/>
  <c r="M38" i="129"/>
  <c r="E38" i="129" s="1"/>
  <c r="L38" i="129"/>
  <c r="B32" i="129"/>
  <c r="C32" i="129"/>
  <c r="B30" i="129"/>
  <c r="C30" i="129"/>
  <c r="B39" i="129"/>
  <c r="C39" i="129"/>
  <c r="B38" i="129"/>
  <c r="C38" i="129"/>
  <c r="B33" i="129"/>
  <c r="C33" i="129"/>
  <c r="B36" i="129"/>
  <c r="C36" i="129"/>
  <c r="B37" i="129"/>
  <c r="C37" i="129"/>
  <c r="B35" i="129"/>
  <c r="C35" i="129"/>
  <c r="B34" i="129"/>
  <c r="C34" i="129"/>
  <c r="B31" i="129"/>
  <c r="C31" i="129"/>
  <c r="B25" i="129"/>
  <c r="C25" i="129"/>
  <c r="K38" i="127"/>
  <c r="T38" i="127" s="1"/>
  <c r="L38" i="127"/>
  <c r="U38" i="127" s="1"/>
  <c r="K39" i="127"/>
  <c r="T39" i="127" s="1"/>
  <c r="L39" i="127"/>
  <c r="U39" i="127" s="1"/>
  <c r="K36" i="127"/>
  <c r="T36" i="127" s="1"/>
  <c r="L36" i="127"/>
  <c r="U36" i="127" s="1"/>
  <c r="K37" i="127"/>
  <c r="T37" i="127" s="1"/>
  <c r="L37" i="127"/>
  <c r="U37" i="127" s="1"/>
  <c r="D31" i="127"/>
  <c r="D33" i="127"/>
  <c r="D36" i="127"/>
  <c r="H36" i="127"/>
  <c r="I36" i="127"/>
  <c r="D37" i="127"/>
  <c r="H37" i="127"/>
  <c r="I37" i="127"/>
  <c r="D34" i="127"/>
  <c r="D25" i="127"/>
  <c r="D32" i="127"/>
  <c r="D35" i="127"/>
  <c r="D30" i="127"/>
  <c r="D39" i="127"/>
  <c r="H39" i="127"/>
  <c r="I39" i="127"/>
  <c r="D38" i="127"/>
  <c r="H38" i="127"/>
  <c r="I38" i="127"/>
  <c r="A36" i="127"/>
  <c r="B36" i="127" s="1"/>
  <c r="A37" i="127"/>
  <c r="B37" i="127" s="1"/>
  <c r="A35" i="127"/>
  <c r="B35" i="127" s="1"/>
  <c r="A39" i="127"/>
  <c r="A38" i="127"/>
  <c r="B38" i="127" s="1"/>
  <c r="B38" i="115"/>
  <c r="A38" i="115"/>
  <c r="B35" i="115"/>
  <c r="B32" i="115"/>
  <c r="B37" i="115"/>
  <c r="A37" i="115"/>
  <c r="B31" i="115"/>
  <c r="B36" i="115"/>
  <c r="A36" i="115"/>
  <c r="B34" i="115"/>
  <c r="B33" i="115"/>
  <c r="J30" i="127"/>
  <c r="J39" i="127"/>
  <c r="M33" i="127"/>
  <c r="J33" i="127"/>
  <c r="M36" i="127"/>
  <c r="J36" i="127"/>
  <c r="M37" i="127"/>
  <c r="J37" i="127"/>
  <c r="M32" i="127"/>
  <c r="J32" i="127"/>
  <c r="M35" i="127"/>
  <c r="J35" i="127"/>
  <c r="M38" i="127"/>
  <c r="J38" i="127"/>
  <c r="M34" i="127"/>
  <c r="J34" i="127"/>
  <c r="M31" i="127"/>
  <c r="J31" i="127"/>
  <c r="J25" i="127"/>
  <c r="FA52" i="98"/>
  <c r="CW52" i="98" s="1"/>
  <c r="A322" i="128"/>
  <c r="C322" i="128"/>
  <c r="A324" i="128"/>
  <c r="C324" i="128"/>
  <c r="A320" i="128"/>
  <c r="C320" i="128"/>
  <c r="A326" i="128"/>
  <c r="C326" i="128"/>
  <c r="A319" i="128"/>
  <c r="C319" i="128"/>
  <c r="A321" i="128"/>
  <c r="C321" i="128"/>
  <c r="A323" i="128"/>
  <c r="C323" i="128"/>
  <c r="A325" i="128"/>
  <c r="C325" i="128"/>
  <c r="C31" i="115"/>
  <c r="C33" i="115"/>
  <c r="C35" i="115"/>
  <c r="C37" i="115"/>
  <c r="C34" i="115"/>
  <c r="C38" i="115"/>
  <c r="C32" i="115"/>
  <c r="C36" i="115"/>
  <c r="F31" i="127"/>
  <c r="G31" i="127"/>
  <c r="F33" i="127"/>
  <c r="G33" i="127"/>
  <c r="F35" i="127"/>
  <c r="G35" i="127"/>
  <c r="F37" i="127"/>
  <c r="G37" i="127"/>
  <c r="F34" i="127"/>
  <c r="G34" i="127"/>
  <c r="F38" i="127"/>
  <c r="G38" i="127"/>
  <c r="F32" i="127"/>
  <c r="G32" i="127"/>
  <c r="F36" i="127"/>
  <c r="G36" i="127"/>
  <c r="E34" i="127"/>
  <c r="E38" i="127"/>
  <c r="E32" i="127"/>
  <c r="E36" i="127"/>
  <c r="E31" i="127"/>
  <c r="E33" i="127"/>
  <c r="E35" i="127"/>
  <c r="E37" i="127"/>
  <c r="DS153" i="123"/>
  <c r="DS154" i="123"/>
  <c r="DS155" i="123"/>
  <c r="DS156" i="123"/>
  <c r="DS157" i="123"/>
  <c r="DS158" i="123"/>
  <c r="DS159" i="123"/>
  <c r="DS160" i="123"/>
  <c r="DS161" i="123"/>
  <c r="DS162" i="123"/>
  <c r="DS163" i="123"/>
  <c r="DS164" i="123"/>
  <c r="DS165" i="123"/>
  <c r="DS166" i="123"/>
  <c r="DS167" i="123"/>
  <c r="DS168" i="123"/>
  <c r="DS169" i="123"/>
  <c r="CA52" i="98" l="1"/>
  <c r="CA66" i="98"/>
  <c r="Y66" i="98"/>
  <c r="X66" i="98"/>
  <c r="AH66" i="98"/>
  <c r="AM66" i="98" s="1"/>
  <c r="J66" i="98"/>
  <c r="B66" i="98"/>
  <c r="AB66" i="98"/>
  <c r="AC66" i="98"/>
  <c r="E66" i="98"/>
  <c r="D66" i="98"/>
  <c r="I66" i="98"/>
  <c r="C66" i="98"/>
  <c r="CA65" i="98"/>
  <c r="Y65" i="98"/>
  <c r="AH65" i="98"/>
  <c r="AM65" i="98" s="1"/>
  <c r="X65" i="98"/>
  <c r="AC65" i="98"/>
  <c r="B65" i="98"/>
  <c r="C65" i="98"/>
  <c r="E65" i="98"/>
  <c r="AB65" i="98"/>
  <c r="I65" i="98"/>
  <c r="J65" i="98"/>
  <c r="D65" i="98"/>
  <c r="CA64" i="98"/>
  <c r="Y64" i="98"/>
  <c r="X64" i="98"/>
  <c r="AH64" i="98"/>
  <c r="E64" i="98"/>
  <c r="C64" i="98"/>
  <c r="B64" i="98"/>
  <c r="D64" i="98"/>
  <c r="AC64" i="98"/>
  <c r="AB64" i="98"/>
  <c r="J64" i="98"/>
  <c r="I64" i="98"/>
  <c r="CA63" i="98"/>
  <c r="Y63" i="98"/>
  <c r="AH63" i="98"/>
  <c r="X63" i="98"/>
  <c r="E63" i="98"/>
  <c r="D63" i="98"/>
  <c r="B63" i="98"/>
  <c r="AC63" i="98"/>
  <c r="C63" i="98"/>
  <c r="I63" i="98"/>
  <c r="AB63" i="98"/>
  <c r="J63" i="98"/>
  <c r="CA62" i="98"/>
  <c r="Y62" i="98"/>
  <c r="AC62" i="98"/>
  <c r="AB62" i="98"/>
  <c r="CA61" i="98"/>
  <c r="Y61" i="98"/>
  <c r="AC61" i="98"/>
  <c r="C61" i="98"/>
  <c r="I61" i="98"/>
  <c r="B61" i="98"/>
  <c r="AB61" i="98"/>
  <c r="CA60" i="98"/>
  <c r="Y60" i="98"/>
  <c r="AC60" i="98"/>
  <c r="AB60" i="98"/>
  <c r="CA59" i="98"/>
  <c r="AC59" i="98"/>
  <c r="CA58" i="98"/>
  <c r="AB58" i="98"/>
  <c r="AC58" i="98"/>
  <c r="CA57" i="98"/>
  <c r="Y57" i="98"/>
  <c r="B57" i="98"/>
  <c r="I57" i="98"/>
  <c r="AB57" i="98"/>
  <c r="C57" i="98"/>
  <c r="AC57" i="98"/>
  <c r="KV25" i="1"/>
  <c r="KU20" i="1"/>
  <c r="AB52" i="98"/>
  <c r="AC52" i="98"/>
  <c r="A36" i="129"/>
  <c r="F36" i="129"/>
  <c r="A38" i="129"/>
  <c r="F38" i="129"/>
  <c r="A37" i="129"/>
  <c r="F37" i="129"/>
  <c r="D52" i="98"/>
  <c r="E52" i="98"/>
  <c r="GE52" i="98"/>
  <c r="GE60" i="98"/>
  <c r="GE59" i="98"/>
  <c r="GE64" i="98"/>
  <c r="GE66" i="98"/>
  <c r="GE57" i="98"/>
  <c r="GE62" i="98"/>
  <c r="GE58" i="98"/>
  <c r="GE61" i="98"/>
  <c r="BV63" i="98"/>
  <c r="GE63" i="98"/>
  <c r="GE65" i="98"/>
  <c r="BV64" i="98"/>
  <c r="BV66" i="98"/>
  <c r="BV65" i="98"/>
  <c r="D37" i="129"/>
  <c r="D36" i="129"/>
  <c r="D38" i="129"/>
  <c r="KW25" i="1" l="1"/>
  <c r="KV20" i="1"/>
  <c r="AK65" i="98"/>
  <c r="FD65" i="98" s="1"/>
  <c r="AK66" i="98"/>
  <c r="FD66" i="98" s="1"/>
  <c r="KX25" i="1" l="1"/>
  <c r="KW20" i="1"/>
  <c r="IS6" i="93"/>
  <c r="IS5" i="93"/>
  <c r="IS4" i="93"/>
  <c r="FE74" i="93" s="1"/>
  <c r="KY25" i="1" l="1"/>
  <c r="KX20" i="1"/>
  <c r="D150" i="128"/>
  <c r="E150" i="128"/>
  <c r="D151" i="128"/>
  <c r="E151" i="128"/>
  <c r="D152" i="128"/>
  <c r="E152" i="128"/>
  <c r="D131" i="128"/>
  <c r="E131" i="128"/>
  <c r="D132" i="128"/>
  <c r="E132" i="128"/>
  <c r="D133" i="128"/>
  <c r="E133" i="128"/>
  <c r="D134" i="128"/>
  <c r="E134" i="128"/>
  <c r="D135" i="128"/>
  <c r="E135" i="128"/>
  <c r="D136" i="128"/>
  <c r="E136" i="128"/>
  <c r="D137" i="128"/>
  <c r="E137" i="128"/>
  <c r="D138" i="128"/>
  <c r="E138" i="128"/>
  <c r="D139" i="128"/>
  <c r="E139" i="128"/>
  <c r="D141" i="128"/>
  <c r="E141" i="128"/>
  <c r="D142" i="128"/>
  <c r="E142" i="128"/>
  <c r="D143" i="128"/>
  <c r="D144" i="128"/>
  <c r="E144" i="128"/>
  <c r="D145" i="128"/>
  <c r="E145" i="128"/>
  <c r="D146" i="128"/>
  <c r="E146" i="128"/>
  <c r="D147" i="128"/>
  <c r="E147" i="128"/>
  <c r="D148" i="128"/>
  <c r="E148" i="128"/>
  <c r="D149" i="128"/>
  <c r="E149" i="128"/>
  <c r="D109" i="128"/>
  <c r="E109" i="128"/>
  <c r="D112" i="128"/>
  <c r="D113" i="128"/>
  <c r="E113" i="128"/>
  <c r="D114" i="128"/>
  <c r="E114" i="128"/>
  <c r="D115" i="128"/>
  <c r="E115" i="128"/>
  <c r="D116" i="128"/>
  <c r="E116" i="128"/>
  <c r="D117" i="128"/>
  <c r="E117" i="128"/>
  <c r="D118" i="128"/>
  <c r="E118" i="128"/>
  <c r="D120" i="128"/>
  <c r="D121" i="128"/>
  <c r="E121" i="128"/>
  <c r="D122" i="128"/>
  <c r="E122" i="128"/>
  <c r="D123" i="128"/>
  <c r="E123" i="128"/>
  <c r="D124" i="128"/>
  <c r="E124" i="128"/>
  <c r="D125" i="128"/>
  <c r="E125" i="128"/>
  <c r="D126" i="128"/>
  <c r="E126" i="128"/>
  <c r="D127" i="128"/>
  <c r="E127" i="128"/>
  <c r="D128" i="128"/>
  <c r="E128" i="128"/>
  <c r="D129" i="128"/>
  <c r="E129" i="128"/>
  <c r="D130" i="128"/>
  <c r="E130" i="128"/>
  <c r="D92" i="128"/>
  <c r="E92" i="128"/>
  <c r="D93" i="128"/>
  <c r="E93" i="128"/>
  <c r="D94" i="128"/>
  <c r="E94" i="128"/>
  <c r="D95" i="128"/>
  <c r="E95" i="128"/>
  <c r="D96" i="128"/>
  <c r="E96" i="128"/>
  <c r="D97" i="128"/>
  <c r="E97" i="128"/>
  <c r="D98" i="128"/>
  <c r="E98" i="128"/>
  <c r="D99" i="128"/>
  <c r="E99" i="128"/>
  <c r="D100" i="128"/>
  <c r="E100" i="128"/>
  <c r="D101" i="128"/>
  <c r="E101" i="128"/>
  <c r="D102" i="128"/>
  <c r="E102" i="128"/>
  <c r="D103" i="128"/>
  <c r="E103" i="128"/>
  <c r="D104" i="128"/>
  <c r="E104" i="128"/>
  <c r="D105" i="128"/>
  <c r="E105" i="128"/>
  <c r="D106" i="128"/>
  <c r="E106" i="128"/>
  <c r="D107" i="128"/>
  <c r="E107" i="128"/>
  <c r="D108" i="128"/>
  <c r="E108" i="128"/>
  <c r="D53" i="128"/>
  <c r="E53" i="128"/>
  <c r="D54" i="128"/>
  <c r="E54" i="128"/>
  <c r="D55" i="128"/>
  <c r="E55" i="128"/>
  <c r="D56" i="128"/>
  <c r="E56" i="128"/>
  <c r="D57" i="128"/>
  <c r="E57" i="128"/>
  <c r="D58" i="128"/>
  <c r="E58" i="128"/>
  <c r="D59" i="128"/>
  <c r="E59" i="128"/>
  <c r="D60" i="128"/>
  <c r="E60" i="128"/>
  <c r="D61" i="128"/>
  <c r="E61" i="128"/>
  <c r="D62" i="128"/>
  <c r="E62" i="128"/>
  <c r="D63" i="128"/>
  <c r="D64" i="128"/>
  <c r="E64" i="128"/>
  <c r="D65" i="128"/>
  <c r="E65" i="128"/>
  <c r="D66" i="128"/>
  <c r="E66" i="128"/>
  <c r="D67" i="128"/>
  <c r="E67" i="128"/>
  <c r="D68" i="128"/>
  <c r="E68" i="128"/>
  <c r="D69" i="128"/>
  <c r="E69" i="128"/>
  <c r="D70" i="128"/>
  <c r="E70" i="128"/>
  <c r="D73" i="128"/>
  <c r="E73" i="128"/>
  <c r="D74" i="128"/>
  <c r="E74" i="128"/>
  <c r="D75" i="128"/>
  <c r="D76" i="128"/>
  <c r="E76" i="128"/>
  <c r="D77" i="128"/>
  <c r="E77" i="128"/>
  <c r="D78" i="128"/>
  <c r="E78" i="128"/>
  <c r="D79" i="128"/>
  <c r="E79" i="128"/>
  <c r="D80" i="128"/>
  <c r="E80" i="128"/>
  <c r="D81" i="128"/>
  <c r="E81" i="128"/>
  <c r="D82" i="128"/>
  <c r="E82" i="128"/>
  <c r="D83" i="128"/>
  <c r="E83" i="128"/>
  <c r="D84" i="128"/>
  <c r="E84" i="128"/>
  <c r="D85" i="128"/>
  <c r="E85" i="128"/>
  <c r="D86" i="128"/>
  <c r="E86" i="128"/>
  <c r="D87" i="128"/>
  <c r="E87" i="128"/>
  <c r="D88" i="128"/>
  <c r="E88" i="128"/>
  <c r="D89" i="128"/>
  <c r="E89" i="128"/>
  <c r="D90" i="128"/>
  <c r="E90" i="128"/>
  <c r="D91" i="128"/>
  <c r="E91" i="128"/>
  <c r="KZ25" i="1" l="1"/>
  <c r="KY20" i="1"/>
  <c r="ED84" i="98"/>
  <c r="ED85" i="98"/>
  <c r="ED86" i="98"/>
  <c r="ED87" i="98"/>
  <c r="ED88" i="98"/>
  <c r="ED89" i="98"/>
  <c r="ED90" i="98"/>
  <c r="ED91" i="98"/>
  <c r="ED92" i="98"/>
  <c r="ED93" i="98"/>
  <c r="ED94" i="98"/>
  <c r="ED72" i="98"/>
  <c r="ED73" i="98"/>
  <c r="ED74" i="98"/>
  <c r="ED75" i="98"/>
  <c r="ED76" i="98"/>
  <c r="ED77" i="98"/>
  <c r="ED78" i="98"/>
  <c r="ED79" i="98"/>
  <c r="ED80" i="98"/>
  <c r="ED81" i="98"/>
  <c r="ED82" i="98"/>
  <c r="ED83" i="98"/>
  <c r="BN82" i="98" l="1"/>
  <c r="BO82" i="98"/>
  <c r="BN89" i="98"/>
  <c r="BO89" i="98"/>
  <c r="BN77" i="98"/>
  <c r="BO77" i="98"/>
  <c r="BN73" i="98"/>
  <c r="BO73" i="98"/>
  <c r="BN92" i="98"/>
  <c r="BO92" i="98"/>
  <c r="BN88" i="98"/>
  <c r="BO88" i="98"/>
  <c r="BN84" i="98"/>
  <c r="BO84" i="98"/>
  <c r="BN78" i="98"/>
  <c r="BO78" i="98"/>
  <c r="BN93" i="98"/>
  <c r="BO93" i="98"/>
  <c r="BN85" i="98"/>
  <c r="BO85" i="98"/>
  <c r="BN81" i="98"/>
  <c r="BO81" i="98"/>
  <c r="BN80" i="98"/>
  <c r="BO80" i="98"/>
  <c r="BN76" i="98"/>
  <c r="BO76" i="98"/>
  <c r="BN72" i="98"/>
  <c r="BO72" i="98"/>
  <c r="BN91" i="98"/>
  <c r="BO91" i="98"/>
  <c r="BN87" i="98"/>
  <c r="BO87" i="98"/>
  <c r="BN74" i="98"/>
  <c r="BO74" i="98"/>
  <c r="BN83" i="98"/>
  <c r="BO83" i="98"/>
  <c r="BN79" i="98"/>
  <c r="BO79" i="98"/>
  <c r="BN75" i="98"/>
  <c r="BO75" i="98"/>
  <c r="BN94" i="98"/>
  <c r="BO94" i="98"/>
  <c r="BN90" i="98"/>
  <c r="BO90" i="98"/>
  <c r="BN86" i="98"/>
  <c r="BO86" i="98"/>
  <c r="AT92" i="98"/>
  <c r="DP92" i="98" s="1"/>
  <c r="AT82" i="98"/>
  <c r="DP82" i="98" s="1"/>
  <c r="AT78" i="98"/>
  <c r="DP78" i="98" s="1"/>
  <c r="AT74" i="98"/>
  <c r="DP74" i="98" s="1"/>
  <c r="AT93" i="98"/>
  <c r="DP93" i="98" s="1"/>
  <c r="AT89" i="98"/>
  <c r="DP89" i="98" s="1"/>
  <c r="AT85" i="98"/>
  <c r="DP85" i="98" s="1"/>
  <c r="AT81" i="98"/>
  <c r="DP81" i="98" s="1"/>
  <c r="AT73" i="98"/>
  <c r="DP73" i="98" s="1"/>
  <c r="AT84" i="98"/>
  <c r="DP84" i="98" s="1"/>
  <c r="DO84" i="98" s="1"/>
  <c r="AT80" i="98"/>
  <c r="DP80" i="98" s="1"/>
  <c r="AT76" i="98"/>
  <c r="DP76" i="98" s="1"/>
  <c r="AT72" i="98"/>
  <c r="DP72" i="98" s="1"/>
  <c r="DO72" i="98" s="1"/>
  <c r="AT91" i="98"/>
  <c r="DP91" i="98" s="1"/>
  <c r="AT87" i="98"/>
  <c r="DP87" i="98" s="1"/>
  <c r="AT77" i="98"/>
  <c r="DP77" i="98" s="1"/>
  <c r="AT88" i="98"/>
  <c r="DP88" i="98" s="1"/>
  <c r="DO88" i="98" s="1"/>
  <c r="AT83" i="98"/>
  <c r="DP83" i="98" s="1"/>
  <c r="AT79" i="98"/>
  <c r="DP79" i="98" s="1"/>
  <c r="AT75" i="98"/>
  <c r="DP75" i="98" s="1"/>
  <c r="AT94" i="98"/>
  <c r="DP94" i="98" s="1"/>
  <c r="AT90" i="98"/>
  <c r="DP90" i="98" s="1"/>
  <c r="AT86" i="98"/>
  <c r="DP86" i="98" s="1"/>
  <c r="LA25" i="1"/>
  <c r="KZ20" i="1"/>
  <c r="AS80" i="98"/>
  <c r="DM80" i="98" s="1"/>
  <c r="DL80" i="98" s="1"/>
  <c r="I53" i="115" s="1"/>
  <c r="AR80" i="98"/>
  <c r="DJ80" i="98" s="1"/>
  <c r="DI80" i="98" s="1"/>
  <c r="AP80" i="98"/>
  <c r="DD80" i="98" s="1"/>
  <c r="AO80" i="98"/>
  <c r="DA80" i="98" s="1"/>
  <c r="CZ80" i="98" s="1"/>
  <c r="AS76" i="98"/>
  <c r="DM76" i="98" s="1"/>
  <c r="DL76" i="98" s="1"/>
  <c r="I49" i="115" s="1"/>
  <c r="AR76" i="98"/>
  <c r="DJ76" i="98" s="1"/>
  <c r="DI76" i="98" s="1"/>
  <c r="AP76" i="98"/>
  <c r="DD76" i="98" s="1"/>
  <c r="AO76" i="98"/>
  <c r="DA76" i="98" s="1"/>
  <c r="CZ76" i="98" s="1"/>
  <c r="H49" i="115" s="1"/>
  <c r="AS72" i="98"/>
  <c r="DM72" i="98" s="1"/>
  <c r="DL72" i="98" s="1"/>
  <c r="AR72" i="98"/>
  <c r="DJ72" i="98" s="1"/>
  <c r="DI72" i="98" s="1"/>
  <c r="AP72" i="98"/>
  <c r="DD72" i="98" s="1"/>
  <c r="AO72" i="98"/>
  <c r="DA72" i="98" s="1"/>
  <c r="CZ72" i="98" s="1"/>
  <c r="AR91" i="98"/>
  <c r="DJ91" i="98" s="1"/>
  <c r="DI91" i="98" s="1"/>
  <c r="G64" i="115" s="1"/>
  <c r="AP91" i="98"/>
  <c r="DD91" i="98" s="1"/>
  <c r="AS91" i="98"/>
  <c r="DM91" i="98" s="1"/>
  <c r="DL91" i="98" s="1"/>
  <c r="AO91" i="98"/>
  <c r="DA91" i="98" s="1"/>
  <c r="CZ91" i="98" s="1"/>
  <c r="H64" i="115" s="1"/>
  <c r="AR87" i="98"/>
  <c r="DJ87" i="98" s="1"/>
  <c r="DI87" i="98" s="1"/>
  <c r="G60" i="115" s="1"/>
  <c r="AP87" i="98"/>
  <c r="DD87" i="98" s="1"/>
  <c r="AO87" i="98"/>
  <c r="DA87" i="98" s="1"/>
  <c r="CZ87" i="98" s="1"/>
  <c r="AS87" i="98"/>
  <c r="DM87" i="98" s="1"/>
  <c r="DL87" i="98" s="1"/>
  <c r="I60" i="115" s="1"/>
  <c r="AR83" i="98"/>
  <c r="DJ83" i="98" s="1"/>
  <c r="DI83" i="98" s="1"/>
  <c r="G56" i="115" s="1"/>
  <c r="AP83" i="98"/>
  <c r="DD83" i="98" s="1"/>
  <c r="AS83" i="98"/>
  <c r="DM83" i="98" s="1"/>
  <c r="DL83" i="98" s="1"/>
  <c r="AO83" i="98"/>
  <c r="DA83" i="98" s="1"/>
  <c r="CZ83" i="98" s="1"/>
  <c r="AR79" i="98"/>
  <c r="DJ79" i="98" s="1"/>
  <c r="DI79" i="98" s="1"/>
  <c r="G52" i="115" s="1"/>
  <c r="AP79" i="98"/>
  <c r="DD79" i="98" s="1"/>
  <c r="AS79" i="98"/>
  <c r="DM79" i="98" s="1"/>
  <c r="DL79" i="98" s="1"/>
  <c r="AO79" i="98"/>
  <c r="DA79" i="98" s="1"/>
  <c r="CZ79" i="98" s="1"/>
  <c r="AR75" i="98"/>
  <c r="DJ75" i="98" s="1"/>
  <c r="DI75" i="98" s="1"/>
  <c r="G48" i="115" s="1"/>
  <c r="AP75" i="98"/>
  <c r="DD75" i="98" s="1"/>
  <c r="AO75" i="98"/>
  <c r="DA75" i="98" s="1"/>
  <c r="CZ75" i="98" s="1"/>
  <c r="AS75" i="98"/>
  <c r="DM75" i="98" s="1"/>
  <c r="DL75" i="98" s="1"/>
  <c r="AP94" i="98"/>
  <c r="DD94" i="98" s="1"/>
  <c r="AS94" i="98"/>
  <c r="DM94" i="98" s="1"/>
  <c r="DL94" i="98" s="1"/>
  <c r="AO94" i="98"/>
  <c r="DA94" i="98" s="1"/>
  <c r="CZ94" i="98" s="1"/>
  <c r="AR94" i="98"/>
  <c r="DJ94" i="98" s="1"/>
  <c r="DI94" i="98" s="1"/>
  <c r="AP90" i="98"/>
  <c r="DD90" i="98" s="1"/>
  <c r="DC90" i="98" s="1"/>
  <c r="AS90" i="98"/>
  <c r="DM90" i="98" s="1"/>
  <c r="DL90" i="98" s="1"/>
  <c r="AO90" i="98"/>
  <c r="DA90" i="98" s="1"/>
  <c r="CZ90" i="98" s="1"/>
  <c r="AR90" i="98"/>
  <c r="DJ90" i="98" s="1"/>
  <c r="DI90" i="98" s="1"/>
  <c r="AP86" i="98"/>
  <c r="DD86" i="98" s="1"/>
  <c r="DC86" i="98" s="1"/>
  <c r="AS86" i="98"/>
  <c r="DM86" i="98" s="1"/>
  <c r="DL86" i="98" s="1"/>
  <c r="AO86" i="98"/>
  <c r="DA86" i="98" s="1"/>
  <c r="CZ86" i="98" s="1"/>
  <c r="AR86" i="98"/>
  <c r="DJ86" i="98" s="1"/>
  <c r="DI86" i="98" s="1"/>
  <c r="AP82" i="98"/>
  <c r="DD82" i="98" s="1"/>
  <c r="AS82" i="98"/>
  <c r="DM82" i="98" s="1"/>
  <c r="DL82" i="98" s="1"/>
  <c r="AR82" i="98"/>
  <c r="DJ82" i="98" s="1"/>
  <c r="DI82" i="98" s="1"/>
  <c r="AO82" i="98"/>
  <c r="DA82" i="98" s="1"/>
  <c r="CZ82" i="98" s="1"/>
  <c r="AP78" i="98"/>
  <c r="DD78" i="98" s="1"/>
  <c r="AS78" i="98"/>
  <c r="DM78" i="98" s="1"/>
  <c r="DL78" i="98" s="1"/>
  <c r="AR78" i="98"/>
  <c r="DJ78" i="98" s="1"/>
  <c r="DI78" i="98" s="1"/>
  <c r="AO78" i="98"/>
  <c r="DA78" i="98" s="1"/>
  <c r="CZ78" i="98" s="1"/>
  <c r="AP74" i="98"/>
  <c r="DD74" i="98" s="1"/>
  <c r="AS74" i="98"/>
  <c r="DM74" i="98" s="1"/>
  <c r="DL74" i="98" s="1"/>
  <c r="I47" i="115" s="1"/>
  <c r="AO74" i="98"/>
  <c r="DA74" i="98" s="1"/>
  <c r="CZ74" i="98" s="1"/>
  <c r="AR74" i="98"/>
  <c r="DJ74" i="98" s="1"/>
  <c r="DI74" i="98" s="1"/>
  <c r="AS93" i="98"/>
  <c r="DM93" i="98" s="1"/>
  <c r="DL93" i="98" s="1"/>
  <c r="AR93" i="98"/>
  <c r="DJ93" i="98" s="1"/>
  <c r="DI93" i="98" s="1"/>
  <c r="AP93" i="98"/>
  <c r="DD93" i="98" s="1"/>
  <c r="AO93" i="98"/>
  <c r="DA93" i="98" s="1"/>
  <c r="CZ93" i="98" s="1"/>
  <c r="AS89" i="98"/>
  <c r="DM89" i="98" s="1"/>
  <c r="DL89" i="98" s="1"/>
  <c r="AR89" i="98"/>
  <c r="DJ89" i="98" s="1"/>
  <c r="DI89" i="98" s="1"/>
  <c r="AP89" i="98"/>
  <c r="DD89" i="98" s="1"/>
  <c r="AO89" i="98"/>
  <c r="DA89" i="98" s="1"/>
  <c r="CZ89" i="98" s="1"/>
  <c r="AS85" i="98"/>
  <c r="DM85" i="98" s="1"/>
  <c r="DL85" i="98" s="1"/>
  <c r="AR85" i="98"/>
  <c r="DJ85" i="98" s="1"/>
  <c r="DI85" i="98" s="1"/>
  <c r="AO85" i="98"/>
  <c r="DA85" i="98" s="1"/>
  <c r="CZ85" i="98" s="1"/>
  <c r="AP85" i="98"/>
  <c r="DD85" i="98" s="1"/>
  <c r="AS81" i="98"/>
  <c r="DM81" i="98" s="1"/>
  <c r="DL81" i="98" s="1"/>
  <c r="I54" i="115" s="1"/>
  <c r="AR81" i="98"/>
  <c r="DJ81" i="98" s="1"/>
  <c r="DI81" i="98" s="1"/>
  <c r="G54" i="115" s="1"/>
  <c r="AP81" i="98"/>
  <c r="DD81" i="98" s="1"/>
  <c r="AO81" i="98"/>
  <c r="DA81" i="98" s="1"/>
  <c r="CZ81" i="98" s="1"/>
  <c r="H54" i="115" s="1"/>
  <c r="AS77" i="98"/>
  <c r="DM77" i="98" s="1"/>
  <c r="DL77" i="98" s="1"/>
  <c r="I50" i="115" s="1"/>
  <c r="AR77" i="98"/>
  <c r="DJ77" i="98" s="1"/>
  <c r="DI77" i="98" s="1"/>
  <c r="G50" i="115" s="1"/>
  <c r="AP77" i="98"/>
  <c r="DD77" i="98" s="1"/>
  <c r="DC77" i="98" s="1"/>
  <c r="AO77" i="98"/>
  <c r="DA77" i="98" s="1"/>
  <c r="CZ77" i="98" s="1"/>
  <c r="H50" i="115" s="1"/>
  <c r="AS73" i="98"/>
  <c r="DM73" i="98" s="1"/>
  <c r="DL73" i="98" s="1"/>
  <c r="I46" i="115" s="1"/>
  <c r="AR73" i="98"/>
  <c r="DJ73" i="98" s="1"/>
  <c r="DI73" i="98" s="1"/>
  <c r="G46" i="115" s="1"/>
  <c r="AP73" i="98"/>
  <c r="DD73" i="98" s="1"/>
  <c r="AO73" i="98"/>
  <c r="DA73" i="98" s="1"/>
  <c r="CZ73" i="98" s="1"/>
  <c r="H46" i="115" s="1"/>
  <c r="AS92" i="98"/>
  <c r="DM92" i="98" s="1"/>
  <c r="DL92" i="98" s="1"/>
  <c r="I65" i="115" s="1"/>
  <c r="AR92" i="98"/>
  <c r="DJ92" i="98" s="1"/>
  <c r="DI92" i="98" s="1"/>
  <c r="G65" i="115" s="1"/>
  <c r="AP92" i="98"/>
  <c r="DD92" i="98" s="1"/>
  <c r="AO92" i="98"/>
  <c r="DA92" i="98" s="1"/>
  <c r="CZ92" i="98" s="1"/>
  <c r="H65" i="115" s="1"/>
  <c r="AS88" i="98"/>
  <c r="DM88" i="98" s="1"/>
  <c r="DL88" i="98" s="1"/>
  <c r="I61" i="115" s="1"/>
  <c r="AR88" i="98"/>
  <c r="DJ88" i="98" s="1"/>
  <c r="DI88" i="98" s="1"/>
  <c r="G61" i="115" s="1"/>
  <c r="AP88" i="98"/>
  <c r="DD88" i="98" s="1"/>
  <c r="AO88" i="98"/>
  <c r="DA88" i="98" s="1"/>
  <c r="CZ88" i="98" s="1"/>
  <c r="H61" i="115" s="1"/>
  <c r="AS84" i="98"/>
  <c r="DM84" i="98" s="1"/>
  <c r="DL84" i="98" s="1"/>
  <c r="I57" i="115" s="1"/>
  <c r="AR84" i="98"/>
  <c r="DJ84" i="98" s="1"/>
  <c r="DI84" i="98" s="1"/>
  <c r="G57" i="115" s="1"/>
  <c r="AP84" i="98"/>
  <c r="DD84" i="98" s="1"/>
  <c r="AO84" i="98"/>
  <c r="DA84" i="98" s="1"/>
  <c r="CZ84" i="98" s="1"/>
  <c r="H57" i="115" s="1"/>
  <c r="BC83" i="98"/>
  <c r="BU83" i="98" s="1"/>
  <c r="BC90" i="98"/>
  <c r="BC77" i="98"/>
  <c r="BC80" i="98"/>
  <c r="BU80" i="98" s="1"/>
  <c r="BC76" i="98"/>
  <c r="BC72" i="98"/>
  <c r="BU72" i="98" s="1"/>
  <c r="BC91" i="98"/>
  <c r="BU91" i="98" s="1"/>
  <c r="BC87" i="98"/>
  <c r="BU87" i="98" s="1"/>
  <c r="BC75" i="98"/>
  <c r="BU75" i="98" s="1"/>
  <c r="BC86" i="98"/>
  <c r="BC82" i="98"/>
  <c r="BU82" i="98" s="1"/>
  <c r="BC78" i="98"/>
  <c r="BC74" i="98"/>
  <c r="BU74" i="98" s="1"/>
  <c r="BC93" i="98"/>
  <c r="BC89" i="98"/>
  <c r="BU89" i="98" s="1"/>
  <c r="BC85" i="98"/>
  <c r="BC79" i="98"/>
  <c r="BC94" i="98"/>
  <c r="BC81" i="98"/>
  <c r="BU81" i="98" s="1"/>
  <c r="BC73" i="98"/>
  <c r="BU73" i="98" s="1"/>
  <c r="BC92" i="98"/>
  <c r="BC88" i="98"/>
  <c r="BU88" i="98" s="1"/>
  <c r="BC84" i="98"/>
  <c r="AQ78" i="98"/>
  <c r="DG78" i="98" s="1"/>
  <c r="DF78" i="98" s="1"/>
  <c r="F51" i="115" s="1"/>
  <c r="AQ93" i="98"/>
  <c r="DG93" i="98" s="1"/>
  <c r="DF93" i="98" s="1"/>
  <c r="F66" i="115" s="1"/>
  <c r="AQ85" i="98"/>
  <c r="DG85" i="98" s="1"/>
  <c r="DF85" i="98" s="1"/>
  <c r="F58" i="115" s="1"/>
  <c r="AQ77" i="98"/>
  <c r="DG77" i="98" s="1"/>
  <c r="DF77" i="98" s="1"/>
  <c r="AQ92" i="98"/>
  <c r="DG92" i="98" s="1"/>
  <c r="DF92" i="98" s="1"/>
  <c r="AQ80" i="98"/>
  <c r="DG80" i="98" s="1"/>
  <c r="DF80" i="98" s="1"/>
  <c r="AQ76" i="98"/>
  <c r="DG76" i="98" s="1"/>
  <c r="DF76" i="98" s="1"/>
  <c r="F49" i="115" s="1"/>
  <c r="AQ72" i="98"/>
  <c r="DG72" i="98" s="1"/>
  <c r="DF72" i="98" s="1"/>
  <c r="AQ91" i="98"/>
  <c r="DG91" i="98" s="1"/>
  <c r="DF91" i="98" s="1"/>
  <c r="AQ87" i="98"/>
  <c r="DG87" i="98" s="1"/>
  <c r="DF87" i="98" s="1"/>
  <c r="AQ82" i="98"/>
  <c r="DG82" i="98" s="1"/>
  <c r="DF82" i="98" s="1"/>
  <c r="F55" i="115" s="1"/>
  <c r="AQ74" i="98"/>
  <c r="DG74" i="98" s="1"/>
  <c r="DF74" i="98" s="1"/>
  <c r="AQ89" i="98"/>
  <c r="DG89" i="98" s="1"/>
  <c r="DF89" i="98" s="1"/>
  <c r="F62" i="115" s="1"/>
  <c r="AQ81" i="98"/>
  <c r="DG81" i="98" s="1"/>
  <c r="DF81" i="98" s="1"/>
  <c r="F54" i="115" s="1"/>
  <c r="AQ73" i="98"/>
  <c r="DG73" i="98" s="1"/>
  <c r="DF73" i="98" s="1"/>
  <c r="F46" i="115" s="1"/>
  <c r="AQ88" i="98"/>
  <c r="DG88" i="98" s="1"/>
  <c r="DF88" i="98" s="1"/>
  <c r="AQ84" i="98"/>
  <c r="DG84" i="98" s="1"/>
  <c r="DF84" i="98" s="1"/>
  <c r="AQ83" i="98"/>
  <c r="DG83" i="98" s="1"/>
  <c r="DF83" i="98" s="1"/>
  <c r="AQ79" i="98"/>
  <c r="DG79" i="98" s="1"/>
  <c r="DF79" i="98" s="1"/>
  <c r="F52" i="115" s="1"/>
  <c r="AQ75" i="98"/>
  <c r="DG75" i="98" s="1"/>
  <c r="DF75" i="98" s="1"/>
  <c r="F48" i="115" s="1"/>
  <c r="AQ94" i="98"/>
  <c r="DG94" i="98" s="1"/>
  <c r="DF94" i="98" s="1"/>
  <c r="AQ90" i="98"/>
  <c r="DG90" i="98" s="1"/>
  <c r="DF90" i="98" s="1"/>
  <c r="F63" i="115" s="1"/>
  <c r="AQ86" i="98"/>
  <c r="DG86" i="98" s="1"/>
  <c r="DF86" i="98" s="1"/>
  <c r="F59" i="115" s="1"/>
  <c r="C25" i="128"/>
  <c r="AV83" i="98"/>
  <c r="DX83" i="98" s="1"/>
  <c r="DW83" i="98" s="1"/>
  <c r="AV81" i="98"/>
  <c r="DX81" i="98" s="1"/>
  <c r="DW81" i="98" s="1"/>
  <c r="AV79" i="98"/>
  <c r="DX79" i="98" s="1"/>
  <c r="DW79" i="98" s="1"/>
  <c r="AV77" i="98"/>
  <c r="DX77" i="98" s="1"/>
  <c r="DW77" i="98" s="1"/>
  <c r="AV75" i="98"/>
  <c r="DX75" i="98" s="1"/>
  <c r="DW75" i="98" s="1"/>
  <c r="AV74" i="98"/>
  <c r="DX74" i="98" s="1"/>
  <c r="DW74" i="98" s="1"/>
  <c r="AV72" i="98"/>
  <c r="DX72" i="98" s="1"/>
  <c r="DW72" i="98" s="1"/>
  <c r="AV94" i="98"/>
  <c r="DX94" i="98" s="1"/>
  <c r="DW94" i="98" s="1"/>
  <c r="AV93" i="98"/>
  <c r="DX93" i="98" s="1"/>
  <c r="DW93" i="98" s="1"/>
  <c r="AV92" i="98"/>
  <c r="DX92" i="98" s="1"/>
  <c r="DW92" i="98" s="1"/>
  <c r="AV91" i="98"/>
  <c r="DX91" i="98" s="1"/>
  <c r="DW91" i="98" s="1"/>
  <c r="AV90" i="98"/>
  <c r="DX90" i="98" s="1"/>
  <c r="DW90" i="98" s="1"/>
  <c r="AV89" i="98"/>
  <c r="DX89" i="98" s="1"/>
  <c r="DW89" i="98" s="1"/>
  <c r="AV88" i="98"/>
  <c r="DX88" i="98" s="1"/>
  <c r="DW88" i="98" s="1"/>
  <c r="AV87" i="98"/>
  <c r="DX87" i="98" s="1"/>
  <c r="DW87" i="98" s="1"/>
  <c r="AV86" i="98"/>
  <c r="DX86" i="98" s="1"/>
  <c r="DW86" i="98" s="1"/>
  <c r="AV85" i="98"/>
  <c r="DX85" i="98" s="1"/>
  <c r="DW85" i="98" s="1"/>
  <c r="AV84" i="98"/>
  <c r="DX84" i="98" s="1"/>
  <c r="DW84" i="98" s="1"/>
  <c r="AV82" i="98"/>
  <c r="DX82" i="98" s="1"/>
  <c r="DW82" i="98" s="1"/>
  <c r="AV80" i="98"/>
  <c r="DX80" i="98" s="1"/>
  <c r="DW80" i="98" s="1"/>
  <c r="AV78" i="98"/>
  <c r="DX78" i="98" s="1"/>
  <c r="DW78" i="98" s="1"/>
  <c r="AV76" i="98"/>
  <c r="DX76" i="98" s="1"/>
  <c r="DW76" i="98" s="1"/>
  <c r="AV73" i="98"/>
  <c r="DX73" i="98" s="1"/>
  <c r="DW73" i="98" s="1"/>
  <c r="DX31" i="98"/>
  <c r="DX29" i="98"/>
  <c r="G58" i="115" l="1"/>
  <c r="G62" i="115"/>
  <c r="G66" i="115"/>
  <c r="F56" i="115"/>
  <c r="F60" i="115"/>
  <c r="F53" i="115"/>
  <c r="I58" i="115"/>
  <c r="I62" i="115"/>
  <c r="I66" i="115"/>
  <c r="F67" i="115"/>
  <c r="F68" i="115"/>
  <c r="F57" i="115"/>
  <c r="F64" i="115"/>
  <c r="F65" i="115"/>
  <c r="H62" i="115"/>
  <c r="H66" i="115"/>
  <c r="G47" i="115"/>
  <c r="H51" i="115"/>
  <c r="H55" i="115"/>
  <c r="G59" i="115"/>
  <c r="G63" i="115"/>
  <c r="G67" i="115"/>
  <c r="G68" i="115"/>
  <c r="I48" i="115"/>
  <c r="H52" i="115"/>
  <c r="H56" i="115"/>
  <c r="H53" i="115"/>
  <c r="F61" i="115"/>
  <c r="F47" i="115"/>
  <c r="F50" i="115"/>
  <c r="H58" i="115"/>
  <c r="H47" i="115"/>
  <c r="G51" i="115"/>
  <c r="G55" i="115"/>
  <c r="H59" i="115"/>
  <c r="H63" i="115"/>
  <c r="H67" i="115"/>
  <c r="H68" i="115"/>
  <c r="H48" i="115"/>
  <c r="I52" i="115"/>
  <c r="I56" i="115"/>
  <c r="H60" i="115"/>
  <c r="I64" i="115"/>
  <c r="I51" i="115"/>
  <c r="I55" i="115"/>
  <c r="I59" i="115"/>
  <c r="I63" i="115"/>
  <c r="I67" i="115"/>
  <c r="I68" i="115"/>
  <c r="G49" i="115"/>
  <c r="G53" i="115"/>
  <c r="BD92" i="98"/>
  <c r="BU92" i="98"/>
  <c r="BD79" i="98"/>
  <c r="BU79" i="98"/>
  <c r="BD90" i="98"/>
  <c r="BU90" i="98"/>
  <c r="BD84" i="98"/>
  <c r="BU84" i="98"/>
  <c r="BD94" i="98"/>
  <c r="BU94" i="98"/>
  <c r="BD93" i="98"/>
  <c r="BU93" i="98"/>
  <c r="BD86" i="98"/>
  <c r="BU86" i="98"/>
  <c r="BD77" i="98"/>
  <c r="BU77" i="98"/>
  <c r="BD85" i="98"/>
  <c r="BU85" i="98"/>
  <c r="BD78" i="98"/>
  <c r="BU78" i="98"/>
  <c r="BD76" i="98"/>
  <c r="BU76" i="98"/>
  <c r="LB25" i="1"/>
  <c r="LA20" i="1"/>
  <c r="BD83" i="98"/>
  <c r="BD80" i="98"/>
  <c r="BD74" i="98"/>
  <c r="BD75" i="98"/>
  <c r="BD88" i="98"/>
  <c r="BD87" i="98"/>
  <c r="BD73" i="98"/>
  <c r="BD72" i="98"/>
  <c r="BD81" i="98"/>
  <c r="BD89" i="98"/>
  <c r="BD82" i="98"/>
  <c r="BD91" i="98"/>
  <c r="B25" i="128"/>
  <c r="A25" i="128"/>
  <c r="C57" i="128"/>
  <c r="C69" i="128"/>
  <c r="C64" i="128"/>
  <c r="C65" i="128"/>
  <c r="C68" i="128"/>
  <c r="AV70" i="98"/>
  <c r="DX70" i="98" s="1"/>
  <c r="AV56" i="98"/>
  <c r="DX56" i="98" s="1"/>
  <c r="AV47" i="98"/>
  <c r="DX47" i="98" s="1"/>
  <c r="AV43" i="98"/>
  <c r="DX43" i="98" s="1"/>
  <c r="AV35" i="98"/>
  <c r="DX35" i="98" s="1"/>
  <c r="AV69" i="98"/>
  <c r="DX69" i="98" s="1"/>
  <c r="AV55" i="98"/>
  <c r="DX55" i="98" s="1"/>
  <c r="AV50" i="98"/>
  <c r="DX50" i="98" s="1"/>
  <c r="AV46" i="98"/>
  <c r="DX46" i="98" s="1"/>
  <c r="AV42" i="98"/>
  <c r="DX42" i="98" s="1"/>
  <c r="AV38" i="98"/>
  <c r="DX38" i="98" s="1"/>
  <c r="AV71" i="98"/>
  <c r="DX71" i="98" s="1"/>
  <c r="AV51" i="98"/>
  <c r="DX51" i="98" s="1"/>
  <c r="AV39" i="98"/>
  <c r="DX39" i="98" s="1"/>
  <c r="AV68" i="98"/>
  <c r="DX68" i="98" s="1"/>
  <c r="AV54" i="98"/>
  <c r="DX54" i="98" s="1"/>
  <c r="AV49" i="98"/>
  <c r="DX49" i="98" s="1"/>
  <c r="AV45" i="98"/>
  <c r="DX45" i="98" s="1"/>
  <c r="AV41" i="98"/>
  <c r="DX41" i="98" s="1"/>
  <c r="AV37" i="98"/>
  <c r="DX37" i="98" s="1"/>
  <c r="AV67" i="98"/>
  <c r="DX67" i="98" s="1"/>
  <c r="AV53" i="98"/>
  <c r="DX53" i="98" s="1"/>
  <c r="AV48" i="98"/>
  <c r="DX48" i="98" s="1"/>
  <c r="AV44" i="98"/>
  <c r="DX44" i="98" s="1"/>
  <c r="AV40" i="98"/>
  <c r="DX40" i="98" s="1"/>
  <c r="AV36" i="98"/>
  <c r="DX36" i="98" s="1"/>
  <c r="AV34" i="98"/>
  <c r="DX34" i="98" s="1"/>
  <c r="G154" i="128"/>
  <c r="C153" i="128"/>
  <c r="G75" i="128"/>
  <c r="C75" i="128" s="1"/>
  <c r="C116" i="128"/>
  <c r="C137" i="128"/>
  <c r="C151" i="128"/>
  <c r="C113" i="128"/>
  <c r="C134" i="128"/>
  <c r="C74" i="128"/>
  <c r="C84" i="128"/>
  <c r="G61" i="128"/>
  <c r="C61" i="128" s="1"/>
  <c r="C53" i="128"/>
  <c r="C83" i="128"/>
  <c r="C62" i="128"/>
  <c r="C54" i="128"/>
  <c r="C102" i="128"/>
  <c r="C94" i="128"/>
  <c r="C125" i="128"/>
  <c r="C148" i="128"/>
  <c r="C52" i="128"/>
  <c r="C103" i="128"/>
  <c r="C95" i="128"/>
  <c r="C126" i="128"/>
  <c r="C147" i="128"/>
  <c r="C73" i="128"/>
  <c r="C63" i="128"/>
  <c r="C141" i="128"/>
  <c r="C132" i="128"/>
  <c r="C82" i="128"/>
  <c r="C59" i="128"/>
  <c r="C81" i="128"/>
  <c r="C108" i="128"/>
  <c r="C92" i="128"/>
  <c r="C146" i="128"/>
  <c r="C70" i="128"/>
  <c r="C101" i="128"/>
  <c r="C124" i="128"/>
  <c r="C67" i="128"/>
  <c r="C142" i="128"/>
  <c r="C133" i="128"/>
  <c r="C143" i="128"/>
  <c r="G112" i="128"/>
  <c r="C112" i="128" s="1"/>
  <c r="C117" i="128"/>
  <c r="C138" i="128"/>
  <c r="C152" i="128"/>
  <c r="C88" i="128"/>
  <c r="C80" i="128"/>
  <c r="C87" i="128"/>
  <c r="C79" i="128"/>
  <c r="C58" i="128"/>
  <c r="C106" i="128"/>
  <c r="C98" i="128"/>
  <c r="C129" i="128"/>
  <c r="C121" i="128"/>
  <c r="C144" i="128"/>
  <c r="C107" i="128"/>
  <c r="C99" i="128"/>
  <c r="C130" i="128"/>
  <c r="C122" i="128"/>
  <c r="C118" i="128"/>
  <c r="C139" i="128"/>
  <c r="G131" i="128"/>
  <c r="C131" i="128" s="1"/>
  <c r="C115" i="128"/>
  <c r="C136" i="128"/>
  <c r="C150" i="128"/>
  <c r="C86" i="128"/>
  <c r="C78" i="128"/>
  <c r="C55" i="128"/>
  <c r="C85" i="128"/>
  <c r="C77" i="128"/>
  <c r="C56" i="128"/>
  <c r="C104" i="128"/>
  <c r="C96" i="128"/>
  <c r="C127" i="128"/>
  <c r="C109" i="128"/>
  <c r="C89" i="128"/>
  <c r="C66" i="128"/>
  <c r="C105" i="128"/>
  <c r="C97" i="128"/>
  <c r="C128" i="128"/>
  <c r="C149" i="128"/>
  <c r="C114" i="128"/>
  <c r="C135" i="128"/>
  <c r="G120" i="128"/>
  <c r="C120" i="128" s="1"/>
  <c r="C90" i="128"/>
  <c r="C91" i="128"/>
  <c r="C60" i="128"/>
  <c r="C100" i="128"/>
  <c r="C123" i="128"/>
  <c r="C76" i="128"/>
  <c r="C93" i="128"/>
  <c r="C145" i="128"/>
  <c r="DX32" i="98"/>
  <c r="DC89" i="98"/>
  <c r="K62" i="115" s="1"/>
  <c r="DO79" i="98"/>
  <c r="J52" i="115" s="1"/>
  <c r="DO91" i="98"/>
  <c r="DO94" i="98"/>
  <c r="DC87" i="98"/>
  <c r="K60" i="115" s="1"/>
  <c r="DC84" i="98"/>
  <c r="DC82" i="98"/>
  <c r="DO77" i="98"/>
  <c r="DO73" i="98"/>
  <c r="J46" i="115" s="1"/>
  <c r="DC93" i="98"/>
  <c r="K66" i="115" s="1"/>
  <c r="DC72" i="98"/>
  <c r="DC76" i="98"/>
  <c r="K49" i="115" s="1"/>
  <c r="DO90" i="98"/>
  <c r="DO83" i="98"/>
  <c r="DO87" i="98"/>
  <c r="DO80" i="98"/>
  <c r="DO82" i="98"/>
  <c r="J55" i="115" s="1"/>
  <c r="DC83" i="98"/>
  <c r="K56" i="115" s="1"/>
  <c r="DC94" i="98"/>
  <c r="DO85" i="98"/>
  <c r="J58" i="115" s="1"/>
  <c r="DC85" i="98"/>
  <c r="K58" i="115" s="1"/>
  <c r="DO81" i="98"/>
  <c r="J54" i="115" s="1"/>
  <c r="DO92" i="98"/>
  <c r="J65" i="115" s="1"/>
  <c r="DO78" i="98"/>
  <c r="J51" i="115" s="1"/>
  <c r="DC73" i="98"/>
  <c r="K46" i="115" s="1"/>
  <c r="DC91" i="98"/>
  <c r="K64" i="115" s="1"/>
  <c r="DC88" i="98"/>
  <c r="DC74" i="98"/>
  <c r="DO89" i="98"/>
  <c r="J62" i="115" s="1"/>
  <c r="DO86" i="98"/>
  <c r="J59" i="115" s="1"/>
  <c r="DO75" i="98"/>
  <c r="DO76" i="98"/>
  <c r="J49" i="115" s="1"/>
  <c r="DO93" i="98"/>
  <c r="J66" i="115" s="1"/>
  <c r="DC81" i="98"/>
  <c r="K54" i="115" s="1"/>
  <c r="DC75" i="98"/>
  <c r="DO74" i="98"/>
  <c r="DC79" i="98"/>
  <c r="K52" i="115" s="1"/>
  <c r="DC80" i="98"/>
  <c r="K53" i="115" s="1"/>
  <c r="DC92" i="98"/>
  <c r="DC78" i="98"/>
  <c r="K51" i="115" s="1"/>
  <c r="J63" i="115" l="1"/>
  <c r="J47" i="115"/>
  <c r="K47" i="115"/>
  <c r="J53" i="115"/>
  <c r="J50" i="115"/>
  <c r="J67" i="115"/>
  <c r="J68" i="115"/>
  <c r="K50" i="115"/>
  <c r="K63" i="115"/>
  <c r="K65" i="115"/>
  <c r="K48" i="115"/>
  <c r="J48" i="115"/>
  <c r="K61" i="115"/>
  <c r="K67" i="115"/>
  <c r="K68" i="115"/>
  <c r="J60" i="115"/>
  <c r="K55" i="115"/>
  <c r="J64" i="115"/>
  <c r="K59" i="115"/>
  <c r="J56" i="115"/>
  <c r="K57" i="115"/>
  <c r="J61" i="115"/>
  <c r="J57" i="115"/>
  <c r="LC25" i="1"/>
  <c r="LB20" i="1"/>
  <c r="A154" i="128"/>
  <c r="B154" i="128"/>
  <c r="C154" i="128"/>
  <c r="B97" i="128"/>
  <c r="A97" i="128"/>
  <c r="B115" i="128"/>
  <c r="A115" i="128"/>
  <c r="B106" i="128"/>
  <c r="A106" i="128"/>
  <c r="B70" i="128"/>
  <c r="A70" i="128"/>
  <c r="B148" i="128"/>
  <c r="A148" i="128"/>
  <c r="B75" i="128"/>
  <c r="A75" i="128"/>
  <c r="B91" i="128"/>
  <c r="A91" i="128"/>
  <c r="B127" i="128"/>
  <c r="A127" i="128"/>
  <c r="B77" i="128"/>
  <c r="A77" i="128"/>
  <c r="A86" i="128"/>
  <c r="B86" i="128"/>
  <c r="B131" i="128"/>
  <c r="A131" i="128"/>
  <c r="B130" i="128"/>
  <c r="A130" i="128"/>
  <c r="A121" i="128"/>
  <c r="B121" i="128"/>
  <c r="B58" i="128"/>
  <c r="A58" i="128"/>
  <c r="B88" i="128"/>
  <c r="A88" i="128"/>
  <c r="B112" i="128"/>
  <c r="A112" i="128"/>
  <c r="B67" i="128"/>
  <c r="A67" i="128"/>
  <c r="B146" i="128"/>
  <c r="A146" i="128"/>
  <c r="B59" i="128"/>
  <c r="A59" i="128"/>
  <c r="B63" i="128"/>
  <c r="A63" i="128"/>
  <c r="B95" i="128"/>
  <c r="A95" i="128"/>
  <c r="B125" i="128"/>
  <c r="A125" i="128"/>
  <c r="B62" i="128"/>
  <c r="A62" i="128"/>
  <c r="B84" i="128"/>
  <c r="A84" i="128"/>
  <c r="B151" i="128"/>
  <c r="A151" i="128"/>
  <c r="A68" i="128"/>
  <c r="B68" i="128"/>
  <c r="B57" i="128"/>
  <c r="A57" i="128"/>
  <c r="B60" i="128"/>
  <c r="A60" i="128"/>
  <c r="B56" i="128"/>
  <c r="A56" i="128"/>
  <c r="B122" i="128"/>
  <c r="A122" i="128"/>
  <c r="B117" i="128"/>
  <c r="A117" i="128"/>
  <c r="B141" i="128"/>
  <c r="A141" i="128"/>
  <c r="B61" i="128"/>
  <c r="A61" i="128"/>
  <c r="B105" i="128"/>
  <c r="A105" i="128"/>
  <c r="B149" i="128"/>
  <c r="A149" i="128"/>
  <c r="B96" i="128"/>
  <c r="A96" i="128"/>
  <c r="B139" i="128"/>
  <c r="A139" i="128"/>
  <c r="B129" i="128"/>
  <c r="A129" i="128"/>
  <c r="B79" i="128"/>
  <c r="A79" i="128"/>
  <c r="B152" i="128"/>
  <c r="A152" i="128"/>
  <c r="B143" i="128"/>
  <c r="A143" i="128"/>
  <c r="B124" i="128"/>
  <c r="A124" i="128"/>
  <c r="B92" i="128"/>
  <c r="A92" i="128"/>
  <c r="B82" i="128"/>
  <c r="A82" i="128"/>
  <c r="B73" i="128"/>
  <c r="A73" i="128"/>
  <c r="B103" i="128"/>
  <c r="A103" i="128"/>
  <c r="B94" i="128"/>
  <c r="A94" i="128"/>
  <c r="B83" i="128"/>
  <c r="A83" i="128"/>
  <c r="B74" i="128"/>
  <c r="A74" i="128"/>
  <c r="A137" i="128"/>
  <c r="B137" i="128"/>
  <c r="B65" i="128"/>
  <c r="A65" i="128"/>
  <c r="B93" i="128"/>
  <c r="A93" i="128"/>
  <c r="B135" i="128"/>
  <c r="A135" i="128"/>
  <c r="B109" i="128"/>
  <c r="A109" i="128"/>
  <c r="B78" i="128"/>
  <c r="A78" i="128"/>
  <c r="B144" i="128"/>
  <c r="A144" i="128"/>
  <c r="B80" i="128"/>
  <c r="A80" i="128"/>
  <c r="B142" i="128"/>
  <c r="A142" i="128"/>
  <c r="B81" i="128"/>
  <c r="A81" i="128"/>
  <c r="B126" i="128"/>
  <c r="A126" i="128"/>
  <c r="B54" i="128"/>
  <c r="A54" i="128"/>
  <c r="B113" i="128"/>
  <c r="A113" i="128"/>
  <c r="B153" i="128"/>
  <c r="A153" i="128"/>
  <c r="B69" i="128"/>
  <c r="A69" i="128"/>
  <c r="B76" i="128"/>
  <c r="A76" i="128"/>
  <c r="B114" i="128"/>
  <c r="A114" i="128"/>
  <c r="B123" i="128"/>
  <c r="A123" i="128"/>
  <c r="B90" i="128"/>
  <c r="A90" i="128"/>
  <c r="B66" i="128"/>
  <c r="A66" i="128"/>
  <c r="B85" i="128"/>
  <c r="A85" i="128"/>
  <c r="B150" i="128"/>
  <c r="A150" i="128"/>
  <c r="B99" i="128"/>
  <c r="A99" i="128"/>
  <c r="B145" i="128"/>
  <c r="A145" i="128"/>
  <c r="B100" i="128"/>
  <c r="A100" i="128"/>
  <c r="B120" i="128"/>
  <c r="A120" i="128"/>
  <c r="B128" i="128"/>
  <c r="A128" i="128"/>
  <c r="B89" i="128"/>
  <c r="A89" i="128"/>
  <c r="B104" i="128"/>
  <c r="A104" i="128"/>
  <c r="B55" i="128"/>
  <c r="A55" i="128"/>
  <c r="B136" i="128"/>
  <c r="A136" i="128"/>
  <c r="B118" i="128"/>
  <c r="A118" i="128"/>
  <c r="B107" i="128"/>
  <c r="A107" i="128"/>
  <c r="B98" i="128"/>
  <c r="A98" i="128"/>
  <c r="B87" i="128"/>
  <c r="A87" i="128"/>
  <c r="B138" i="128"/>
  <c r="A138" i="128"/>
  <c r="B133" i="128"/>
  <c r="A133" i="128"/>
  <c r="B101" i="128"/>
  <c r="A101" i="128"/>
  <c r="B108" i="128"/>
  <c r="A108" i="128"/>
  <c r="B132" i="128"/>
  <c r="A132" i="128"/>
  <c r="B147" i="128"/>
  <c r="A147" i="128"/>
  <c r="B52" i="128"/>
  <c r="A52" i="128"/>
  <c r="A102" i="128"/>
  <c r="B102" i="128"/>
  <c r="B53" i="128"/>
  <c r="A53" i="128"/>
  <c r="B134" i="128"/>
  <c r="A134" i="128"/>
  <c r="B116" i="128"/>
  <c r="A116" i="128"/>
  <c r="B64" i="128"/>
  <c r="A64" i="128"/>
  <c r="LD25" i="1" l="1"/>
  <c r="LC20" i="1"/>
  <c r="LE25" i="1" l="1"/>
  <c r="LD20" i="1"/>
  <c r="C14" i="71"/>
  <c r="NB13" i="93" s="1"/>
  <c r="NB52" i="93" s="1"/>
  <c r="LF25" i="1" l="1"/>
  <c r="LE20" i="1"/>
  <c r="GT30" i="1"/>
  <c r="GO34" i="1"/>
  <c r="GO33" i="1"/>
  <c r="FM5" i="1"/>
  <c r="GO209" i="1" s="1"/>
  <c r="FN7" i="1"/>
  <c r="FN5" i="1" s="1"/>
  <c r="GO219" i="1" l="1"/>
  <c r="GO214" i="1"/>
  <c r="GO218" i="1"/>
  <c r="GO217" i="1"/>
  <c r="GO216" i="1"/>
  <c r="GO212" i="1"/>
  <c r="GO210" i="1"/>
  <c r="GO213" i="1"/>
  <c r="GO215" i="1"/>
  <c r="GO208" i="1"/>
  <c r="GO211" i="1"/>
  <c r="GO207" i="1"/>
  <c r="GN170" i="1"/>
  <c r="GO340" i="1"/>
  <c r="GO336" i="1"/>
  <c r="GO333" i="1"/>
  <c r="DC162" i="1"/>
  <c r="LG25" i="1"/>
  <c r="LF20" i="1"/>
  <c r="GN169" i="1"/>
  <c r="S3" i="1"/>
  <c r="GT31" i="1"/>
  <c r="GT151" i="1"/>
  <c r="FM146" i="1"/>
  <c r="FN8" i="1"/>
  <c r="GO29" i="1"/>
  <c r="LH25" i="1" l="1"/>
  <c r="LG20" i="1"/>
  <c r="V69" i="93"/>
  <c r="BP69" i="93" s="1"/>
  <c r="V67" i="93"/>
  <c r="BP67" i="93" s="1"/>
  <c r="V64" i="93"/>
  <c r="BP64" i="93" s="1"/>
  <c r="V70" i="93"/>
  <c r="BP70" i="93" s="1"/>
  <c r="V66" i="93"/>
  <c r="BP66" i="93" s="1"/>
  <c r="V65" i="93"/>
  <c r="BP65" i="93" s="1"/>
  <c r="V68" i="93"/>
  <c r="BP68" i="93" s="1"/>
  <c r="FQ92" i="1"/>
  <c r="FQ94" i="1"/>
  <c r="FQ96" i="1"/>
  <c r="FQ98" i="1"/>
  <c r="FQ100" i="1"/>
  <c r="FQ102" i="1"/>
  <c r="FQ104" i="1"/>
  <c r="FQ106" i="1"/>
  <c r="FQ108" i="1"/>
  <c r="FQ110" i="1"/>
  <c r="FQ112" i="1"/>
  <c r="FQ114" i="1"/>
  <c r="FQ116" i="1"/>
  <c r="FQ118" i="1"/>
  <c r="FQ120" i="1"/>
  <c r="FQ122" i="1"/>
  <c r="FQ124" i="1"/>
  <c r="FQ126" i="1"/>
  <c r="FQ128" i="1"/>
  <c r="FQ130" i="1"/>
  <c r="FQ132" i="1"/>
  <c r="FQ134" i="1"/>
  <c r="FQ136" i="1"/>
  <c r="FQ138" i="1"/>
  <c r="FQ140" i="1"/>
  <c r="FR92" i="1"/>
  <c r="FR94" i="1"/>
  <c r="FR96" i="1"/>
  <c r="FR98" i="1"/>
  <c r="FR100" i="1"/>
  <c r="FR102" i="1"/>
  <c r="FR104" i="1"/>
  <c r="FR106" i="1"/>
  <c r="FR108" i="1"/>
  <c r="FR110" i="1"/>
  <c r="FR112" i="1"/>
  <c r="FR114" i="1"/>
  <c r="FR116" i="1"/>
  <c r="FR118" i="1"/>
  <c r="FR120" i="1"/>
  <c r="FR122" i="1"/>
  <c r="FR124" i="1"/>
  <c r="FR126" i="1"/>
  <c r="FR128" i="1"/>
  <c r="FR130" i="1"/>
  <c r="FR132" i="1"/>
  <c r="FR134" i="1"/>
  <c r="FR136" i="1"/>
  <c r="FR138" i="1"/>
  <c r="FR140" i="1"/>
  <c r="FQ93" i="1"/>
  <c r="FQ95" i="1"/>
  <c r="FQ97" i="1"/>
  <c r="FQ99" i="1"/>
  <c r="FQ101" i="1"/>
  <c r="FQ103" i="1"/>
  <c r="FQ105" i="1"/>
  <c r="FQ107" i="1"/>
  <c r="FQ109" i="1"/>
  <c r="FQ111" i="1"/>
  <c r="FQ113" i="1"/>
  <c r="FQ115" i="1"/>
  <c r="FQ117" i="1"/>
  <c r="FQ119" i="1"/>
  <c r="FQ121" i="1"/>
  <c r="FQ123" i="1"/>
  <c r="FQ125" i="1"/>
  <c r="FQ127" i="1"/>
  <c r="FQ129" i="1"/>
  <c r="FQ131" i="1"/>
  <c r="FQ133" i="1"/>
  <c r="FQ135" i="1"/>
  <c r="FQ137" i="1"/>
  <c r="FQ139" i="1"/>
  <c r="FR91" i="1"/>
  <c r="FR93" i="1"/>
  <c r="FR95" i="1"/>
  <c r="FR97" i="1"/>
  <c r="FR99" i="1"/>
  <c r="FR101" i="1"/>
  <c r="FR103" i="1"/>
  <c r="FR105" i="1"/>
  <c r="FR107" i="1"/>
  <c r="FR109" i="1"/>
  <c r="FR111" i="1"/>
  <c r="FR113" i="1"/>
  <c r="FR115" i="1"/>
  <c r="FR117" i="1"/>
  <c r="FR119" i="1"/>
  <c r="FR121" i="1"/>
  <c r="FR123" i="1"/>
  <c r="FR125" i="1"/>
  <c r="FR127" i="1"/>
  <c r="FR129" i="1"/>
  <c r="FR131" i="1"/>
  <c r="FR133" i="1"/>
  <c r="FR135" i="1"/>
  <c r="FR137" i="1"/>
  <c r="FR139" i="1"/>
  <c r="FQ91" i="1"/>
  <c r="GO30" i="1"/>
  <c r="V108" i="93"/>
  <c r="BP108" i="93" s="1"/>
  <c r="EG161" i="1"/>
  <c r="DU161" i="1"/>
  <c r="DY161" i="1"/>
  <c r="DN161" i="1"/>
  <c r="FA161" i="1"/>
  <c r="EW161" i="1"/>
  <c r="EK161" i="1"/>
  <c r="EC161" i="1"/>
  <c r="DM161" i="1"/>
  <c r="FE161" i="1"/>
  <c r="EO161" i="1"/>
  <c r="FD161" i="1"/>
  <c r="EV161" i="1"/>
  <c r="EN161" i="1"/>
  <c r="EF161" i="1"/>
  <c r="DT161" i="1"/>
  <c r="DL161" i="1"/>
  <c r="FG161" i="1"/>
  <c r="FC161" i="1"/>
  <c r="EY161" i="1"/>
  <c r="EU161" i="1"/>
  <c r="EQ161" i="1"/>
  <c r="EM161" i="1"/>
  <c r="EI161" i="1"/>
  <c r="EE161" i="1"/>
  <c r="EA161" i="1"/>
  <c r="DW161" i="1"/>
  <c r="DS161" i="1"/>
  <c r="DO161" i="1"/>
  <c r="DK161" i="1"/>
  <c r="EZ161" i="1"/>
  <c r="ER161" i="1"/>
  <c r="EJ161" i="1"/>
  <c r="EB161" i="1"/>
  <c r="DX161" i="1"/>
  <c r="DP161" i="1"/>
  <c r="FF161" i="1"/>
  <c r="FB161" i="1"/>
  <c r="EX161" i="1"/>
  <c r="ET161" i="1"/>
  <c r="EP161" i="1"/>
  <c r="EL161" i="1"/>
  <c r="EH161" i="1"/>
  <c r="ED161" i="1"/>
  <c r="DZ161" i="1"/>
  <c r="DV161" i="1"/>
  <c r="DR161" i="1"/>
  <c r="Q79" i="97"/>
  <c r="LI25" i="1" l="1"/>
  <c r="LH20" i="1"/>
  <c r="ES161" i="1"/>
  <c r="ES169" i="1"/>
  <c r="ES22" i="1" s="1"/>
  <c r="V97" i="93"/>
  <c r="BP97" i="93" s="1"/>
  <c r="V88" i="93"/>
  <c r="BP88" i="93" s="1"/>
  <c r="V75" i="93"/>
  <c r="BP75" i="93" s="1"/>
  <c r="V72" i="93"/>
  <c r="BP72" i="93" s="1"/>
  <c r="V77" i="93"/>
  <c r="BP77" i="93" s="1"/>
  <c r="V102" i="93"/>
  <c r="BP102" i="93" s="1"/>
  <c r="V103" i="93"/>
  <c r="BP103" i="93" s="1"/>
  <c r="V87" i="93"/>
  <c r="BP87" i="93" s="1"/>
  <c r="V113" i="93"/>
  <c r="BP113" i="93" s="1"/>
  <c r="V86" i="93"/>
  <c r="BP86" i="93" s="1"/>
  <c r="V109" i="93"/>
  <c r="BP109" i="93" s="1"/>
  <c r="V89" i="93"/>
  <c r="BP89" i="93" s="1"/>
  <c r="V110" i="93"/>
  <c r="BP110" i="93" s="1"/>
  <c r="V96" i="93"/>
  <c r="BP96" i="93" s="1"/>
  <c r="V78" i="93"/>
  <c r="BP78" i="93" s="1"/>
  <c r="V95" i="93"/>
  <c r="BP95" i="93" s="1"/>
  <c r="V104" i="93"/>
  <c r="BP104" i="93" s="1"/>
  <c r="V74" i="93"/>
  <c r="BP74" i="93" s="1"/>
  <c r="V76" i="93"/>
  <c r="BP76" i="93" s="1"/>
  <c r="V90" i="93"/>
  <c r="BP90" i="93" s="1"/>
  <c r="V105" i="93"/>
  <c r="BP105" i="93" s="1"/>
  <c r="V94" i="93"/>
  <c r="BP94" i="93" s="1"/>
  <c r="V73" i="93"/>
  <c r="BP73" i="93" s="1"/>
  <c r="V91" i="93"/>
  <c r="BP91" i="93" s="1"/>
  <c r="V98" i="93"/>
  <c r="BP98" i="93" s="1"/>
  <c r="V82" i="93"/>
  <c r="BP82" i="93" s="1"/>
  <c r="V106" i="93"/>
  <c r="BP106" i="93" s="1"/>
  <c r="V79" i="93"/>
  <c r="BP79" i="93" s="1"/>
  <c r="V92" i="93"/>
  <c r="BP92" i="93" s="1"/>
  <c r="V100" i="93"/>
  <c r="BP100" i="93" s="1"/>
  <c r="V80" i="93"/>
  <c r="BP80" i="93" s="1"/>
  <c r="V93" i="93"/>
  <c r="BP93" i="93" s="1"/>
  <c r="V107" i="93"/>
  <c r="BP107" i="93" s="1"/>
  <c r="V71" i="93"/>
  <c r="BP71" i="93" s="1"/>
  <c r="V85" i="93"/>
  <c r="BP85" i="93" s="1"/>
  <c r="V99" i="93"/>
  <c r="BP99" i="93" s="1"/>
  <c r="V111" i="93"/>
  <c r="BP111" i="93" s="1"/>
  <c r="V83" i="93"/>
  <c r="BP83" i="93" s="1"/>
  <c r="V101" i="93"/>
  <c r="BP101" i="93" s="1"/>
  <c r="V81" i="93"/>
  <c r="BP81" i="93" s="1"/>
  <c r="V112" i="93"/>
  <c r="BP112" i="93" s="1"/>
  <c r="V84" i="93"/>
  <c r="BP84" i="93" s="1"/>
  <c r="DQ161" i="1"/>
  <c r="ES78" i="1" l="1"/>
  <c r="ES80" i="1"/>
  <c r="ES82" i="1"/>
  <c r="ES84" i="1"/>
  <c r="ES86" i="1"/>
  <c r="ES79" i="1"/>
  <c r="ES81" i="1"/>
  <c r="ES83" i="1"/>
  <c r="ES85" i="1"/>
  <c r="ES87" i="1"/>
  <c r="ES56" i="1"/>
  <c r="ES59" i="1"/>
  <c r="ES60" i="1"/>
  <c r="ES58" i="1"/>
  <c r="ES61" i="1"/>
  <c r="ES65" i="1"/>
  <c r="ES46" i="1"/>
  <c r="ES62" i="1"/>
  <c r="ES47" i="1"/>
  <c r="ES57" i="1"/>
  <c r="ES45" i="1"/>
  <c r="ES53" i="1"/>
  <c r="ES63" i="1"/>
  <c r="ES48" i="1"/>
  <c r="ES50" i="1"/>
  <c r="ES54" i="1"/>
  <c r="ES24" i="1"/>
  <c r="ES51" i="1"/>
  <c r="ES52" i="1"/>
  <c r="ES64" i="1"/>
  <c r="ES49" i="1"/>
  <c r="LJ25" i="1"/>
  <c r="LI20" i="1"/>
  <c r="ES27" i="1"/>
  <c r="ES25" i="1"/>
  <c r="ES26" i="1"/>
  <c r="ES30" i="1"/>
  <c r="ES23" i="1"/>
  <c r="ES6" i="1"/>
  <c r="ES4" i="1" s="1"/>
  <c r="ES15" i="1"/>
  <c r="BQ99" i="93" s="1"/>
  <c r="ES73" i="1"/>
  <c r="CA99" i="93" s="1"/>
  <c r="ES70" i="1"/>
  <c r="BX99" i="93" s="1"/>
  <c r="ES74" i="1"/>
  <c r="CB99" i="93" s="1"/>
  <c r="ES69" i="1"/>
  <c r="BW99" i="93" s="1"/>
  <c r="ES76" i="1"/>
  <c r="CD99" i="93" s="1"/>
  <c r="ES67" i="1"/>
  <c r="BU99" i="93" s="1"/>
  <c r="ES39" i="1"/>
  <c r="ES36" i="1"/>
  <c r="ES43" i="1"/>
  <c r="ES38" i="1"/>
  <c r="ES72" i="1"/>
  <c r="BZ99" i="93" s="1"/>
  <c r="ES42" i="1"/>
  <c r="ES40" i="1"/>
  <c r="ES71" i="1"/>
  <c r="BY99" i="93" s="1"/>
  <c r="ES68" i="1"/>
  <c r="BV99" i="93" s="1"/>
  <c r="ES75" i="1"/>
  <c r="CC99" i="93" s="1"/>
  <c r="ES35" i="1"/>
  <c r="ES41" i="1"/>
  <c r="ES37" i="1"/>
  <c r="ES34" i="1"/>
  <c r="ES16" i="1"/>
  <c r="ES159" i="1" s="1"/>
  <c r="ES7" i="1"/>
  <c r="LK25" i="1" l="1"/>
  <c r="LJ20" i="1"/>
  <c r="BS99" i="93"/>
  <c r="GT168" i="1"/>
  <c r="GT18" i="1" s="1"/>
  <c r="LL25" i="1" l="1"/>
  <c r="LK20" i="1"/>
  <c r="E34" i="128"/>
  <c r="EG124" i="123"/>
  <c r="LM25" i="1" l="1"/>
  <c r="LL20" i="1"/>
  <c r="EB26" i="123"/>
  <c r="EG22" i="123"/>
  <c r="LN25" i="1" l="1"/>
  <c r="LM20" i="1"/>
  <c r="AN110" i="93"/>
  <c r="GF110" i="93"/>
  <c r="IO110" i="93" s="1"/>
  <c r="ND110" i="93" s="1"/>
  <c r="GU110" i="93"/>
  <c r="AJ50" i="123" s="1"/>
  <c r="HA110" i="93"/>
  <c r="HB110" i="93"/>
  <c r="IX110" i="93"/>
  <c r="IY110" i="93"/>
  <c r="AN102" i="93"/>
  <c r="GF102" i="93"/>
  <c r="IO102" i="93" s="1"/>
  <c r="ND102" i="93" s="1"/>
  <c r="GU102" i="93"/>
  <c r="AJ58" i="123" s="1"/>
  <c r="HA102" i="93"/>
  <c r="HB102" i="93"/>
  <c r="IX102" i="93"/>
  <c r="IY102" i="93"/>
  <c r="AN103" i="93"/>
  <c r="GF103" i="93"/>
  <c r="IO103" i="93" s="1"/>
  <c r="ND103" i="93" s="1"/>
  <c r="GU103" i="93"/>
  <c r="AJ57" i="123" s="1"/>
  <c r="HA103" i="93"/>
  <c r="HB103" i="93"/>
  <c r="IX103" i="93"/>
  <c r="IY103" i="93"/>
  <c r="AN104" i="93"/>
  <c r="GF104" i="93"/>
  <c r="IO104" i="93" s="1"/>
  <c r="ND104" i="93" s="1"/>
  <c r="GU104" i="93"/>
  <c r="AJ56" i="123" s="1"/>
  <c r="HA104" i="93"/>
  <c r="HB104" i="93"/>
  <c r="IX104" i="93"/>
  <c r="IY104" i="93"/>
  <c r="AN105" i="93"/>
  <c r="GF105" i="93"/>
  <c r="IO105" i="93" s="1"/>
  <c r="ND105" i="93" s="1"/>
  <c r="GU105" i="93"/>
  <c r="AJ55" i="123" s="1"/>
  <c r="HA105" i="93"/>
  <c r="HB105" i="93"/>
  <c r="IX105" i="93"/>
  <c r="IY105" i="93"/>
  <c r="AN106" i="93"/>
  <c r="GF106" i="93"/>
  <c r="IO106" i="93" s="1"/>
  <c r="ND106" i="93" s="1"/>
  <c r="GU106" i="93"/>
  <c r="AJ54" i="123" s="1"/>
  <c r="HA106" i="93"/>
  <c r="HB106" i="93"/>
  <c r="IX106" i="93"/>
  <c r="IY106" i="93"/>
  <c r="AN107" i="93"/>
  <c r="GF107" i="93"/>
  <c r="IO107" i="93" s="1"/>
  <c r="ND107" i="93" s="1"/>
  <c r="GU107" i="93"/>
  <c r="AJ53" i="123" s="1"/>
  <c r="HA107" i="93"/>
  <c r="HB107" i="93"/>
  <c r="IX107" i="93"/>
  <c r="IY107" i="93"/>
  <c r="AN108" i="93"/>
  <c r="GF108" i="93"/>
  <c r="IO108" i="93" s="1"/>
  <c r="ND108" i="93" s="1"/>
  <c r="GU108" i="93"/>
  <c r="AJ52" i="123" s="1"/>
  <c r="HA108" i="93"/>
  <c r="HB108" i="93"/>
  <c r="IX108" i="93"/>
  <c r="IY108" i="93"/>
  <c r="AN109" i="93"/>
  <c r="GF109" i="93"/>
  <c r="IO109" i="93" s="1"/>
  <c r="ND109" i="93" s="1"/>
  <c r="GU109" i="93"/>
  <c r="AJ51" i="123" s="1"/>
  <c r="HA109" i="93"/>
  <c r="HB109" i="93"/>
  <c r="IX109" i="93"/>
  <c r="IY109" i="93"/>
  <c r="DT118" i="123"/>
  <c r="DZ5" i="123"/>
  <c r="DZ3" i="123" s="1"/>
  <c r="DI130" i="130"/>
  <c r="DH130" i="130"/>
  <c r="DF130" i="130"/>
  <c r="DE130" i="130"/>
  <c r="DD130" i="130"/>
  <c r="DC130" i="130"/>
  <c r="DI112" i="130"/>
  <c r="DH112" i="130"/>
  <c r="DG112" i="130"/>
  <c r="DF112" i="130"/>
  <c r="DE112" i="130"/>
  <c r="DD112" i="130"/>
  <c r="DC112" i="130"/>
  <c r="DI66" i="130"/>
  <c r="DH66" i="130"/>
  <c r="DG66" i="130"/>
  <c r="DF66" i="130"/>
  <c r="DE66" i="130"/>
  <c r="DD66" i="130"/>
  <c r="DC66" i="130"/>
  <c r="DI46" i="130"/>
  <c r="DH46" i="130"/>
  <c r="DG46" i="130"/>
  <c r="DF46" i="130"/>
  <c r="DE46" i="130"/>
  <c r="DD46" i="130"/>
  <c r="DC46" i="130"/>
  <c r="CS74" i="130"/>
  <c r="CS75" i="130"/>
  <c r="CS76" i="130"/>
  <c r="CS77" i="130"/>
  <c r="CS78" i="130"/>
  <c r="CS79" i="130"/>
  <c r="CS80" i="130"/>
  <c r="CS81" i="130"/>
  <c r="CS82" i="130"/>
  <c r="CS83" i="130"/>
  <c r="CS84" i="130"/>
  <c r="CS85" i="130"/>
  <c r="CS86" i="130"/>
  <c r="CS87" i="130"/>
  <c r="CS88" i="130"/>
  <c r="CS89" i="130"/>
  <c r="CS90" i="130"/>
  <c r="CS91" i="130"/>
  <c r="CS92" i="130"/>
  <c r="CS93" i="130"/>
  <c r="CS94" i="130"/>
  <c r="CS95" i="130"/>
  <c r="CS96" i="130"/>
  <c r="CS97" i="130"/>
  <c r="CS98" i="130"/>
  <c r="CS99" i="130"/>
  <c r="CS100" i="130"/>
  <c r="CS101" i="130"/>
  <c r="CS102" i="130"/>
  <c r="CS103" i="130"/>
  <c r="CS104" i="130"/>
  <c r="CS105" i="130"/>
  <c r="CS106" i="130"/>
  <c r="CS73" i="130"/>
  <c r="DD25" i="130"/>
  <c r="DE25" i="130"/>
  <c r="DF25" i="130"/>
  <c r="DG25" i="130"/>
  <c r="DH25" i="130"/>
  <c r="DI25" i="130"/>
  <c r="DC25" i="130"/>
  <c r="LO25" i="1" l="1"/>
  <c r="LN20" i="1"/>
  <c r="EB125" i="123"/>
  <c r="DT3" i="123"/>
  <c r="EG23" i="123"/>
  <c r="MZ109" i="93"/>
  <c r="MZ108" i="93"/>
  <c r="MZ107" i="93"/>
  <c r="MZ106" i="93"/>
  <c r="MZ105" i="93"/>
  <c r="MZ104" i="93"/>
  <c r="MZ103" i="93"/>
  <c r="MZ102" i="93"/>
  <c r="MZ110" i="93"/>
  <c r="JD109" i="93"/>
  <c r="KF109" i="93"/>
  <c r="KF108" i="93"/>
  <c r="JD108" i="93"/>
  <c r="JD107" i="93"/>
  <c r="KF107" i="93"/>
  <c r="KF106" i="93"/>
  <c r="JD106" i="93"/>
  <c r="KF105" i="93"/>
  <c r="JD105" i="93"/>
  <c r="KF104" i="93"/>
  <c r="JD104" i="93"/>
  <c r="KF103" i="93"/>
  <c r="JD103" i="93"/>
  <c r="KF102" i="93"/>
  <c r="JD102" i="93"/>
  <c r="KF110" i="93"/>
  <c r="JD110" i="93"/>
  <c r="EG107" i="123"/>
  <c r="GK107" i="93"/>
  <c r="GJ107" i="93"/>
  <c r="GK103" i="93"/>
  <c r="GJ103" i="93"/>
  <c r="GK108" i="93"/>
  <c r="GJ108" i="93"/>
  <c r="GK104" i="93"/>
  <c r="GJ104" i="93"/>
  <c r="GJ106" i="93"/>
  <c r="GK106" i="93"/>
  <c r="GK102" i="93"/>
  <c r="GJ102" i="93"/>
  <c r="GK109" i="93"/>
  <c r="GJ109" i="93"/>
  <c r="GK105" i="93"/>
  <c r="GJ105" i="93"/>
  <c r="GK110" i="93"/>
  <c r="GJ110" i="93"/>
  <c r="GV108" i="93"/>
  <c r="GV106" i="93"/>
  <c r="GV104" i="93"/>
  <c r="GV102" i="93"/>
  <c r="GV109" i="93"/>
  <c r="GV107" i="93"/>
  <c r="GV105" i="93"/>
  <c r="GV103" i="93"/>
  <c r="GV110" i="93"/>
  <c r="AE51" i="123"/>
  <c r="DZ51" i="123"/>
  <c r="DY51" i="123"/>
  <c r="DZ55" i="123"/>
  <c r="DY55" i="123"/>
  <c r="AE55" i="123"/>
  <c r="DY50" i="123"/>
  <c r="DZ50" i="123"/>
  <c r="AE50" i="123"/>
  <c r="DY54" i="123"/>
  <c r="AE54" i="123"/>
  <c r="DZ54" i="123"/>
  <c r="DZ58" i="123"/>
  <c r="AE58" i="123"/>
  <c r="DY58" i="123"/>
  <c r="DZ53" i="123"/>
  <c r="AE53" i="123"/>
  <c r="DY53" i="123"/>
  <c r="AE57" i="123"/>
  <c r="DY57" i="123"/>
  <c r="DZ57" i="123"/>
  <c r="AE52" i="123"/>
  <c r="DY52" i="123"/>
  <c r="DZ52" i="123"/>
  <c r="DZ56" i="123"/>
  <c r="AE56" i="123"/>
  <c r="DY56" i="123"/>
  <c r="DY102" i="123"/>
  <c r="DZ6" i="123"/>
  <c r="EB21" i="123"/>
  <c r="DB22" i="130"/>
  <c r="DB20" i="130"/>
  <c r="LP25" i="1" l="1"/>
  <c r="LO20" i="1"/>
  <c r="EB22" i="123"/>
  <c r="AF44" i="123"/>
  <c r="AF46" i="123"/>
  <c r="AF48" i="123"/>
  <c r="AF50" i="123"/>
  <c r="AF52" i="123"/>
  <c r="AF54" i="123"/>
  <c r="AF56" i="123"/>
  <c r="AF58" i="123"/>
  <c r="AF60" i="123"/>
  <c r="AF62" i="123"/>
  <c r="AF64" i="123"/>
  <c r="AF66" i="123"/>
  <c r="AF68" i="123"/>
  <c r="AF70" i="123"/>
  <c r="AF72" i="123"/>
  <c r="AF74" i="123"/>
  <c r="AF76" i="123"/>
  <c r="AF78" i="123"/>
  <c r="AF80" i="123"/>
  <c r="AF82" i="123"/>
  <c r="AF84" i="123"/>
  <c r="AF86" i="123"/>
  <c r="AF88" i="123"/>
  <c r="AF90" i="123"/>
  <c r="AF92" i="123"/>
  <c r="AF94" i="123"/>
  <c r="AF96" i="123"/>
  <c r="AH44" i="123"/>
  <c r="AH46" i="123"/>
  <c r="AH48" i="123"/>
  <c r="AH50" i="123"/>
  <c r="AH52" i="123"/>
  <c r="AH54" i="123"/>
  <c r="AH56" i="123"/>
  <c r="AH58" i="123"/>
  <c r="AH60" i="123"/>
  <c r="AH62" i="123"/>
  <c r="AH64" i="123"/>
  <c r="AH66" i="123"/>
  <c r="AH68" i="123"/>
  <c r="AH70" i="123"/>
  <c r="AH72" i="123"/>
  <c r="AH74" i="123"/>
  <c r="AH76" i="123"/>
  <c r="AH78" i="123"/>
  <c r="AH80" i="123"/>
  <c r="AH82" i="123"/>
  <c r="AH84" i="123"/>
  <c r="AH86" i="123"/>
  <c r="AH88" i="123"/>
  <c r="AH90" i="123"/>
  <c r="AH92" i="123"/>
  <c r="AH94" i="123"/>
  <c r="AH96" i="123"/>
  <c r="AF43" i="123"/>
  <c r="AF45" i="123"/>
  <c r="AF47" i="123"/>
  <c r="AF49" i="123"/>
  <c r="AF51" i="123"/>
  <c r="AF53" i="123"/>
  <c r="AF55" i="123"/>
  <c r="AF57" i="123"/>
  <c r="AF59" i="123"/>
  <c r="AF61" i="123"/>
  <c r="AF63" i="123"/>
  <c r="AF65" i="123"/>
  <c r="AF67" i="123"/>
  <c r="AF69" i="123"/>
  <c r="AF71" i="123"/>
  <c r="AF73" i="123"/>
  <c r="AF75" i="123"/>
  <c r="AF77" i="123"/>
  <c r="AF79" i="123"/>
  <c r="AF81" i="123"/>
  <c r="AF83" i="123"/>
  <c r="AF85" i="123"/>
  <c r="AF87" i="123"/>
  <c r="AF89" i="123"/>
  <c r="AF91" i="123"/>
  <c r="AF93" i="123"/>
  <c r="AF95" i="123"/>
  <c r="AH43" i="123"/>
  <c r="AH47" i="123"/>
  <c r="AH51" i="123"/>
  <c r="AH55" i="123"/>
  <c r="AH59" i="123"/>
  <c r="AH63" i="123"/>
  <c r="AH67" i="123"/>
  <c r="AH71" i="123"/>
  <c r="AH75" i="123"/>
  <c r="AH79" i="123"/>
  <c r="AH83" i="123"/>
  <c r="AH87" i="123"/>
  <c r="AH91" i="123"/>
  <c r="AH95" i="123"/>
  <c r="AH45" i="123"/>
  <c r="AH49" i="123"/>
  <c r="AH53" i="123"/>
  <c r="AH57" i="123"/>
  <c r="AH61" i="123"/>
  <c r="AH65" i="123"/>
  <c r="AH69" i="123"/>
  <c r="AH73" i="123"/>
  <c r="AH77" i="123"/>
  <c r="AH81" i="123"/>
  <c r="AH85" i="123"/>
  <c r="AH89" i="123"/>
  <c r="AH93" i="123"/>
  <c r="FQ209" i="1" l="1"/>
  <c r="FZ209" i="1" a="1"/>
  <c r="FZ209" i="1" s="1"/>
  <c r="GN209" i="1" s="1"/>
  <c r="FQ219" i="1"/>
  <c r="FZ219" i="1" a="1"/>
  <c r="FZ219" i="1" s="1"/>
  <c r="GN219" i="1" s="1"/>
  <c r="FZ217" i="1" a="1"/>
  <c r="FZ217" i="1" s="1"/>
  <c r="GN217" i="1" s="1"/>
  <c r="FQ217" i="1"/>
  <c r="FQ214" i="1"/>
  <c r="FZ214" i="1" a="1"/>
  <c r="FZ214" i="1" s="1"/>
  <c r="GN214" i="1" s="1"/>
  <c r="FQ212" i="1"/>
  <c r="FZ212" i="1" a="1"/>
  <c r="FZ212" i="1" s="1"/>
  <c r="GN212" i="1" s="1"/>
  <c r="FZ210" i="1" a="1"/>
  <c r="FZ210" i="1" s="1"/>
  <c r="GN210" i="1" s="1"/>
  <c r="FQ210" i="1"/>
  <c r="FQ216" i="1"/>
  <c r="FZ218" i="1" a="1"/>
  <c r="FZ218" i="1" s="1"/>
  <c r="GN218" i="1" s="1"/>
  <c r="FZ216" i="1" a="1"/>
  <c r="FZ216" i="1" s="1"/>
  <c r="GN216" i="1" s="1"/>
  <c r="FQ218" i="1"/>
  <c r="FZ215" i="1" a="1"/>
  <c r="FZ215" i="1" s="1"/>
  <c r="GN215" i="1" s="1"/>
  <c r="FQ215" i="1"/>
  <c r="FQ213" i="1"/>
  <c r="FZ213" i="1" a="1"/>
  <c r="FZ213" i="1" s="1"/>
  <c r="GN213" i="1" s="1"/>
  <c r="FZ211" i="1" a="1"/>
  <c r="FZ211" i="1" s="1"/>
  <c r="GN211" i="1" s="1"/>
  <c r="FQ211" i="1"/>
  <c r="FQ206" i="1"/>
  <c r="FQ207" i="1"/>
  <c r="FQ208" i="1"/>
  <c r="FZ207" i="1" a="1"/>
  <c r="FZ207" i="1" s="1"/>
  <c r="GN207" i="1" s="1"/>
  <c r="FZ206" i="1" a="1"/>
  <c r="FZ206" i="1" s="1"/>
  <c r="GN206" i="1" s="1"/>
  <c r="FZ208" i="1" a="1"/>
  <c r="FZ208" i="1" s="1"/>
  <c r="GN208" i="1" s="1"/>
  <c r="LP20" i="1"/>
  <c r="FV202" i="1" s="1"/>
  <c r="FQ205" i="1"/>
  <c r="FZ205" i="1" a="1"/>
  <c r="FZ205" i="1" s="1"/>
  <c r="GN205" i="1" s="1"/>
  <c r="CZ116" i="130"/>
  <c r="CZ117" i="130"/>
  <c r="CZ118" i="130"/>
  <c r="CA119" i="130"/>
  <c r="CA120" i="130"/>
  <c r="CA121" i="130"/>
  <c r="CA122" i="130"/>
  <c r="CA123" i="130"/>
  <c r="CA124" i="130"/>
  <c r="CZ115" i="130"/>
  <c r="CZ53" i="130"/>
  <c r="CZ54" i="130"/>
  <c r="CZ55" i="130"/>
  <c r="CA56" i="130"/>
  <c r="CA57" i="130"/>
  <c r="CA58" i="130"/>
  <c r="CA59" i="130"/>
  <c r="CA60" i="130"/>
  <c r="CA61" i="130"/>
  <c r="CZ52" i="130"/>
  <c r="CY106" i="130"/>
  <c r="CY105" i="130"/>
  <c r="CY102" i="130"/>
  <c r="CY99" i="130"/>
  <c r="CY98" i="130"/>
  <c r="CY95" i="130"/>
  <c r="CY94" i="130"/>
  <c r="CY91" i="130"/>
  <c r="CY90" i="130"/>
  <c r="CY89" i="130"/>
  <c r="CY87" i="130"/>
  <c r="CY86" i="130"/>
  <c r="CY83" i="130"/>
  <c r="CY82" i="130"/>
  <c r="CY79" i="130"/>
  <c r="CY78" i="130"/>
  <c r="CY77" i="130"/>
  <c r="CY75" i="130"/>
  <c r="CY74" i="130"/>
  <c r="CY73" i="130"/>
  <c r="CY72" i="130"/>
  <c r="CT72" i="130"/>
  <c r="CX5" i="130"/>
  <c r="CX2" i="130"/>
  <c r="B9" i="122"/>
  <c r="B10" i="122"/>
  <c r="B11" i="122"/>
  <c r="B12" i="122"/>
  <c r="B13" i="122"/>
  <c r="B14" i="122"/>
  <c r="B15" i="122"/>
  <c r="B8" i="122"/>
  <c r="D3" i="128"/>
  <c r="D4" i="128"/>
  <c r="FP209" i="1" l="1"/>
  <c r="FS209" i="1"/>
  <c r="FP219" i="1"/>
  <c r="FS219" i="1"/>
  <c r="FP217" i="1"/>
  <c r="FS217" i="1"/>
  <c r="FP214" i="1"/>
  <c r="FS214" i="1"/>
  <c r="FS212" i="1"/>
  <c r="FP212" i="1"/>
  <c r="FP210" i="1"/>
  <c r="FS210" i="1"/>
  <c r="FP218" i="1"/>
  <c r="FS218" i="1"/>
  <c r="FP216" i="1"/>
  <c r="FS216" i="1"/>
  <c r="FP215" i="1"/>
  <c r="FS215" i="1"/>
  <c r="FS213" i="1"/>
  <c r="FP213" i="1"/>
  <c r="FP211" i="1"/>
  <c r="FS211" i="1"/>
  <c r="FV197" i="1"/>
  <c r="FV196" i="1"/>
  <c r="FV199" i="1"/>
  <c r="FP208" i="1"/>
  <c r="FS208" i="1"/>
  <c r="FV198" i="1"/>
  <c r="FV195" i="1"/>
  <c r="FP207" i="1"/>
  <c r="FS207" i="1"/>
  <c r="FP206" i="1"/>
  <c r="FS206" i="1"/>
  <c r="FP205" i="1"/>
  <c r="FS205" i="1"/>
  <c r="CZ132" i="130"/>
  <c r="CZ68" i="130"/>
  <c r="EG75" i="98"/>
  <c r="BG75" i="98" s="1"/>
  <c r="EG91" i="98"/>
  <c r="BG91" i="98" s="1"/>
  <c r="EG85" i="98"/>
  <c r="BG85" i="98" s="1"/>
  <c r="EG88" i="98"/>
  <c r="BG88" i="98" s="1"/>
  <c r="EG81" i="98"/>
  <c r="BG81" i="98" s="1"/>
  <c r="EG29" i="98"/>
  <c r="EG86" i="98"/>
  <c r="BG86" i="98" s="1"/>
  <c r="EG79" i="98"/>
  <c r="BG79" i="98" s="1"/>
  <c r="EG72" i="98"/>
  <c r="BG72" i="98" s="1"/>
  <c r="EG93" i="98"/>
  <c r="BG93" i="98" s="1"/>
  <c r="EG92" i="98"/>
  <c r="BG92" i="98" s="1"/>
  <c r="EG89" i="98"/>
  <c r="BG89" i="98" s="1"/>
  <c r="EG31" i="98"/>
  <c r="BG31" i="98" s="1"/>
  <c r="BH31" i="98" s="1"/>
  <c r="BI31" i="98" s="1"/>
  <c r="BJ31" i="98" s="1"/>
  <c r="EG90" i="98"/>
  <c r="BG90" i="98" s="1"/>
  <c r="EG83" i="98"/>
  <c r="BG83" i="98" s="1"/>
  <c r="EG76" i="98"/>
  <c r="BG76" i="98" s="1"/>
  <c r="EG78" i="98"/>
  <c r="BG78" i="98" s="1"/>
  <c r="EG73" i="98"/>
  <c r="BG73" i="98" s="1"/>
  <c r="EG74" i="98"/>
  <c r="BG74" i="98" s="1"/>
  <c r="EG32" i="98"/>
  <c r="BG32" i="98" s="1"/>
  <c r="BH32" i="98" s="1"/>
  <c r="BI32" i="98" s="1"/>
  <c r="BJ32" i="98" s="1"/>
  <c r="EG94" i="98"/>
  <c r="BG94" i="98" s="1"/>
  <c r="EG87" i="98"/>
  <c r="BG87" i="98" s="1"/>
  <c r="EG80" i="98"/>
  <c r="BG80" i="98" s="1"/>
  <c r="EG84" i="98"/>
  <c r="BG84" i="98" s="1"/>
  <c r="EG77" i="98"/>
  <c r="BG77" i="98" s="1"/>
  <c r="EG82" i="98"/>
  <c r="BG82" i="98" s="1"/>
  <c r="CZ72" i="130"/>
  <c r="CV72" i="130"/>
  <c r="CX3" i="130"/>
  <c r="CX6" i="130"/>
  <c r="DC22" i="130" s="1"/>
  <c r="DI24" i="130"/>
  <c r="CY81" i="130"/>
  <c r="CY97" i="130"/>
  <c r="CY85" i="130"/>
  <c r="CY93" i="130"/>
  <c r="CY100" i="130"/>
  <c r="CY101" i="130"/>
  <c r="CY84" i="130"/>
  <c r="CY80" i="130"/>
  <c r="CY76" i="130"/>
  <c r="CY88" i="130"/>
  <c r="CY92" i="130"/>
  <c r="CY103" i="130"/>
  <c r="CY104" i="130"/>
  <c r="CY96" i="130"/>
  <c r="G13" i="128"/>
  <c r="G3" i="128"/>
  <c r="G4" i="128"/>
  <c r="DG4" i="130"/>
  <c r="DG3" i="130"/>
  <c r="CS167" i="130"/>
  <c r="CY167" i="130" s="1"/>
  <c r="CS152" i="130"/>
  <c r="CY152" i="130" s="1"/>
  <c r="CS153" i="130"/>
  <c r="CY153" i="130" s="1"/>
  <c r="CS154" i="130"/>
  <c r="CY154" i="130" s="1"/>
  <c r="CS155" i="130"/>
  <c r="CY155" i="130" s="1"/>
  <c r="CS156" i="130"/>
  <c r="CY156" i="130" s="1"/>
  <c r="CS157" i="130"/>
  <c r="CY157" i="130" s="1"/>
  <c r="CS159" i="130"/>
  <c r="CS160" i="130"/>
  <c r="CS161" i="130"/>
  <c r="CS162" i="130"/>
  <c r="CS163" i="130"/>
  <c r="CS165" i="130"/>
  <c r="CY165" i="130" s="1"/>
  <c r="CS164" i="130"/>
  <c r="CY164" i="130" s="1"/>
  <c r="CY133" i="130"/>
  <c r="CT133" i="130"/>
  <c r="CS135" i="130"/>
  <c r="CY135" i="130" s="1"/>
  <c r="CS136" i="130"/>
  <c r="CY136" i="130" s="1"/>
  <c r="CS137" i="130"/>
  <c r="CS138" i="130"/>
  <c r="CS139" i="130"/>
  <c r="CY139" i="130" s="1"/>
  <c r="CS140" i="130"/>
  <c r="CY140" i="130" s="1"/>
  <c r="CS141" i="130"/>
  <c r="CY141" i="130" s="1"/>
  <c r="CS142" i="130"/>
  <c r="CS143" i="130"/>
  <c r="CY143" i="130" s="1"/>
  <c r="CS144" i="130"/>
  <c r="CY144" i="130" s="1"/>
  <c r="CS145" i="130"/>
  <c r="CY145" i="130" s="1"/>
  <c r="CS146" i="130"/>
  <c r="CS147" i="130"/>
  <c r="CY147" i="130" s="1"/>
  <c r="CS148" i="130"/>
  <c r="CY148" i="130" s="1"/>
  <c r="CS149" i="130"/>
  <c r="CS150" i="130"/>
  <c r="CS151" i="130"/>
  <c r="CY151" i="130" s="1"/>
  <c r="CS158" i="130"/>
  <c r="CY158" i="130" s="1"/>
  <c r="CS166" i="130"/>
  <c r="CS134" i="130"/>
  <c r="CU72" i="130" l="1"/>
  <c r="A13" i="128"/>
  <c r="B13" i="128"/>
  <c r="C13" i="128"/>
  <c r="B4" i="128"/>
  <c r="A4" i="128"/>
  <c r="C4" i="128"/>
  <c r="C3" i="128"/>
  <c r="A3" i="128"/>
  <c r="B3" i="128"/>
  <c r="BG29" i="98"/>
  <c r="BH29" i="98" s="1"/>
  <c r="BI29" i="98" s="1"/>
  <c r="BJ29" i="98" s="1"/>
  <c r="CZ133" i="130"/>
  <c r="CV133" i="130"/>
  <c r="CY163" i="130"/>
  <c r="CY162" i="130"/>
  <c r="CY161" i="130"/>
  <c r="CY160" i="130"/>
  <c r="CY159" i="130"/>
  <c r="CY146" i="130"/>
  <c r="CY142" i="130"/>
  <c r="CY138" i="130"/>
  <c r="CY150" i="130"/>
  <c r="CY134" i="130"/>
  <c r="CY166" i="130"/>
  <c r="CY149" i="130"/>
  <c r="CY137" i="130"/>
  <c r="CG133" i="130" l="1"/>
  <c r="CH133" i="130"/>
  <c r="CE133" i="130"/>
  <c r="CF133" i="130"/>
  <c r="CC133" i="130"/>
  <c r="CD133" i="130"/>
  <c r="CU133" i="130"/>
  <c r="GU66" i="93" l="1"/>
  <c r="GU67" i="93"/>
  <c r="GU68" i="93"/>
  <c r="GU69" i="93"/>
  <c r="GU70" i="93"/>
  <c r="AJ90" i="123" s="1"/>
  <c r="GU71" i="93"/>
  <c r="GU72" i="93"/>
  <c r="GU73" i="93"/>
  <c r="GU74" i="93"/>
  <c r="GU75" i="93"/>
  <c r="GU76" i="93"/>
  <c r="AJ84" i="123" s="1"/>
  <c r="GU77" i="93"/>
  <c r="GU78" i="93"/>
  <c r="GU79" i="93"/>
  <c r="GU80" i="93"/>
  <c r="GU81" i="93"/>
  <c r="GU82" i="93"/>
  <c r="GU83" i="93"/>
  <c r="AJ77" i="123" s="1"/>
  <c r="GU84" i="93"/>
  <c r="AJ76" i="123" s="1"/>
  <c r="GU85" i="93"/>
  <c r="GU86" i="93"/>
  <c r="GU87" i="93"/>
  <c r="GU88" i="93"/>
  <c r="AJ72" i="123" s="1"/>
  <c r="GU89" i="93"/>
  <c r="GU90" i="93"/>
  <c r="GU91" i="93"/>
  <c r="AJ69" i="123" s="1"/>
  <c r="GU92" i="93"/>
  <c r="GU93" i="93"/>
  <c r="GU94" i="93"/>
  <c r="AJ66" i="123" s="1"/>
  <c r="GU95" i="93"/>
  <c r="AJ65" i="123" s="1"/>
  <c r="GU96" i="93"/>
  <c r="AJ64" i="123" s="1"/>
  <c r="GU98" i="93"/>
  <c r="AJ62" i="123" s="1"/>
  <c r="GU99" i="93"/>
  <c r="AJ61" i="123" s="1"/>
  <c r="GU100" i="93"/>
  <c r="AJ60" i="123" s="1"/>
  <c r="GU101" i="93"/>
  <c r="AJ59" i="123" s="1"/>
  <c r="GU111" i="93"/>
  <c r="AJ49" i="123" s="1"/>
  <c r="GU112" i="93"/>
  <c r="AJ48" i="123" s="1"/>
  <c r="GU113" i="93"/>
  <c r="AJ47" i="123" s="1"/>
  <c r="GU65" i="93"/>
  <c r="EI126" i="123"/>
  <c r="EI25" i="123" s="1"/>
  <c r="EJ126" i="123"/>
  <c r="EJ25" i="123" s="1"/>
  <c r="EK126" i="123"/>
  <c r="EK25" i="123" s="1"/>
  <c r="EL126" i="123"/>
  <c r="EL25" i="123" s="1"/>
  <c r="EM126" i="123"/>
  <c r="EM25" i="123" s="1"/>
  <c r="EN126" i="123"/>
  <c r="EN25" i="123" s="1"/>
  <c r="EO126" i="123"/>
  <c r="EO25" i="123" s="1"/>
  <c r="EP126" i="123"/>
  <c r="EP25" i="123" s="1"/>
  <c r="EQ126" i="123"/>
  <c r="EQ25" i="123" s="1"/>
  <c r="ER126" i="123"/>
  <c r="ER25" i="123" s="1"/>
  <c r="ES126" i="123"/>
  <c r="ES25" i="123" s="1"/>
  <c r="ET126" i="123"/>
  <c r="ET25" i="123" s="1"/>
  <c r="EU126" i="123"/>
  <c r="EU25" i="123" s="1"/>
  <c r="EV126" i="123"/>
  <c r="EV25" i="123" s="1"/>
  <c r="EW126" i="123"/>
  <c r="EW25" i="123" s="1"/>
  <c r="EX126" i="123"/>
  <c r="EX25" i="123" s="1"/>
  <c r="EY126" i="123"/>
  <c r="EY25" i="123" s="1"/>
  <c r="EZ126" i="123"/>
  <c r="EZ25" i="123" s="1"/>
  <c r="FA126" i="123"/>
  <c r="FA25" i="123" s="1"/>
  <c r="FB126" i="123"/>
  <c r="FB25" i="123" s="1"/>
  <c r="FC126" i="123"/>
  <c r="FC25" i="123" s="1"/>
  <c r="FD126" i="123"/>
  <c r="FD25" i="123" s="1"/>
  <c r="FE126" i="123"/>
  <c r="FE25" i="123" s="1"/>
  <c r="FF126" i="123"/>
  <c r="FF25" i="123" s="1"/>
  <c r="FG126" i="123"/>
  <c r="FG25" i="123" s="1"/>
  <c r="FH126" i="123"/>
  <c r="FH25" i="123" s="1"/>
  <c r="FI126" i="123"/>
  <c r="FI25" i="123" s="1"/>
  <c r="FJ126" i="123"/>
  <c r="FJ25" i="123" s="1"/>
  <c r="FK126" i="123"/>
  <c r="FK25" i="123" s="1"/>
  <c r="FL126" i="123"/>
  <c r="FL25" i="123" s="1"/>
  <c r="FM126" i="123"/>
  <c r="FM25" i="123" s="1"/>
  <c r="FN126" i="123"/>
  <c r="FN25" i="123" s="1"/>
  <c r="FO126" i="123"/>
  <c r="FO25" i="123" s="1"/>
  <c r="FP126" i="123"/>
  <c r="FP25" i="123" s="1"/>
  <c r="FQ126" i="123"/>
  <c r="FQ25" i="123" s="1"/>
  <c r="FR126" i="123"/>
  <c r="FR25" i="123" s="1"/>
  <c r="FS126" i="123"/>
  <c r="FS25" i="123" s="1"/>
  <c r="FT126" i="123"/>
  <c r="FT25" i="123" s="1"/>
  <c r="FU126" i="123"/>
  <c r="FU25" i="123" s="1"/>
  <c r="FV126" i="123"/>
  <c r="FV25" i="123" s="1"/>
  <c r="FW126" i="123"/>
  <c r="FW25" i="123" s="1"/>
  <c r="FX126" i="123"/>
  <c r="FX25" i="123" s="1"/>
  <c r="FY126" i="123"/>
  <c r="FY25" i="123" s="1"/>
  <c r="FZ126" i="123"/>
  <c r="FZ25" i="123" s="1"/>
  <c r="GA126" i="123"/>
  <c r="GA25" i="123" s="1"/>
  <c r="GB126" i="123"/>
  <c r="GB25" i="123" s="1"/>
  <c r="GC126" i="123"/>
  <c r="GC25" i="123" s="1"/>
  <c r="GD126" i="123"/>
  <c r="GD25" i="123" s="1"/>
  <c r="GE126" i="123"/>
  <c r="GE25" i="123" s="1"/>
  <c r="GF126" i="123"/>
  <c r="GF25" i="123" s="1"/>
  <c r="GG126" i="123"/>
  <c r="GG25" i="123" s="1"/>
  <c r="GH126" i="123"/>
  <c r="GH25" i="123" s="1"/>
  <c r="GI126" i="123"/>
  <c r="GI25" i="123" s="1"/>
  <c r="GJ126" i="123"/>
  <c r="GJ25" i="123" s="1"/>
  <c r="GK126" i="123"/>
  <c r="GK25" i="123" s="1"/>
  <c r="GL126" i="123"/>
  <c r="GL25" i="123" s="1"/>
  <c r="GM126" i="123"/>
  <c r="GM25" i="123" s="1"/>
  <c r="GN126" i="123"/>
  <c r="GN25" i="123" s="1"/>
  <c r="GO126" i="123"/>
  <c r="GO25" i="123" s="1"/>
  <c r="GP126" i="123"/>
  <c r="GP25" i="123" s="1"/>
  <c r="GQ126" i="123"/>
  <c r="GQ25" i="123" s="1"/>
  <c r="GR126" i="123"/>
  <c r="GR25" i="123" s="1"/>
  <c r="GS126" i="123"/>
  <c r="GS25" i="123" s="1"/>
  <c r="GT126" i="123"/>
  <c r="GT25" i="123" s="1"/>
  <c r="GU126" i="123"/>
  <c r="GU25" i="123" s="1"/>
  <c r="GV126" i="123"/>
  <c r="GV25" i="123" s="1"/>
  <c r="GW126" i="123"/>
  <c r="GW25" i="123" s="1"/>
  <c r="GX126" i="123"/>
  <c r="GX25" i="123" s="1"/>
  <c r="GY126" i="123"/>
  <c r="GY25" i="123" s="1"/>
  <c r="GZ126" i="123"/>
  <c r="GZ25" i="123" s="1"/>
  <c r="HA126" i="123"/>
  <c r="HA25" i="123" s="1"/>
  <c r="HB126" i="123"/>
  <c r="HB25" i="123" s="1"/>
  <c r="HC126" i="123"/>
  <c r="HC25" i="123" s="1"/>
  <c r="HD126" i="123"/>
  <c r="HD25" i="123" s="1"/>
  <c r="HE126" i="123"/>
  <c r="HE25" i="123" s="1"/>
  <c r="HF126" i="123"/>
  <c r="HF25" i="123" s="1"/>
  <c r="HG126" i="123"/>
  <c r="HG25" i="123" s="1"/>
  <c r="HH126" i="123"/>
  <c r="HH25" i="123" s="1"/>
  <c r="HI126" i="123"/>
  <c r="HI25" i="123" s="1"/>
  <c r="HJ126" i="123"/>
  <c r="HJ25" i="123" s="1"/>
  <c r="HK126" i="123"/>
  <c r="HK25" i="123" s="1"/>
  <c r="HL126" i="123"/>
  <c r="HL25" i="123" s="1"/>
  <c r="HM126" i="123"/>
  <c r="HM25" i="123" s="1"/>
  <c r="HN126" i="123"/>
  <c r="HN25" i="123" s="1"/>
  <c r="HO126" i="123"/>
  <c r="HO25" i="123" s="1"/>
  <c r="HP126" i="123"/>
  <c r="HP25" i="123" s="1"/>
  <c r="HQ126" i="123"/>
  <c r="HQ25" i="123" s="1"/>
  <c r="HR126" i="123"/>
  <c r="HR25" i="123" s="1"/>
  <c r="HS126" i="123"/>
  <c r="HS25" i="123" s="1"/>
  <c r="HT126" i="123"/>
  <c r="HT25" i="123" s="1"/>
  <c r="HU126" i="123"/>
  <c r="HU25" i="123" s="1"/>
  <c r="HV126" i="123"/>
  <c r="HV25" i="123" s="1"/>
  <c r="HW126" i="123"/>
  <c r="HW25" i="123" s="1"/>
  <c r="HX126" i="123"/>
  <c r="HX25" i="123" s="1"/>
  <c r="HY126" i="123"/>
  <c r="HY25" i="123" s="1"/>
  <c r="HZ126" i="123"/>
  <c r="HZ25" i="123" s="1"/>
  <c r="IA126" i="123"/>
  <c r="IA25" i="123" s="1"/>
  <c r="IB126" i="123"/>
  <c r="IB25" i="123" s="1"/>
  <c r="IC126" i="123"/>
  <c r="IC25" i="123" s="1"/>
  <c r="ID126" i="123"/>
  <c r="ID25" i="123" s="1"/>
  <c r="IE126" i="123"/>
  <c r="IE25" i="123" s="1"/>
  <c r="IF126" i="123"/>
  <c r="IF25" i="123" s="1"/>
  <c r="IG126" i="123"/>
  <c r="IG25" i="123" s="1"/>
  <c r="IH126" i="123"/>
  <c r="IH25" i="123" s="1"/>
  <c r="II126" i="123"/>
  <c r="II25" i="123" s="1"/>
  <c r="IJ126" i="123"/>
  <c r="IJ25" i="123" s="1"/>
  <c r="IK126" i="123"/>
  <c r="IK25" i="123" s="1"/>
  <c r="IL126" i="123"/>
  <c r="IL25" i="123" s="1"/>
  <c r="IM126" i="123"/>
  <c r="IM25" i="123" s="1"/>
  <c r="IN126" i="123"/>
  <c r="IN25" i="123" s="1"/>
  <c r="IO126" i="123"/>
  <c r="IO25" i="123" s="1"/>
  <c r="IP126" i="123"/>
  <c r="IP25" i="123" s="1"/>
  <c r="IQ126" i="123"/>
  <c r="IQ25" i="123" s="1"/>
  <c r="IR126" i="123"/>
  <c r="IR25" i="123" s="1"/>
  <c r="IS126" i="123"/>
  <c r="IS25" i="123" s="1"/>
  <c r="IT126" i="123"/>
  <c r="IT25" i="123" s="1"/>
  <c r="IU126" i="123"/>
  <c r="IU25" i="123" s="1"/>
  <c r="IV126" i="123"/>
  <c r="IV25" i="123" s="1"/>
  <c r="IW126" i="123"/>
  <c r="IW25" i="123" s="1"/>
  <c r="IX126" i="123"/>
  <c r="IX25" i="123" s="1"/>
  <c r="IY126" i="123"/>
  <c r="IY25" i="123" s="1"/>
  <c r="IZ126" i="123"/>
  <c r="IZ25" i="123" s="1"/>
  <c r="JA126" i="123"/>
  <c r="JA25" i="123" s="1"/>
  <c r="JB126" i="123"/>
  <c r="JB25" i="123" s="1"/>
  <c r="JC126" i="123"/>
  <c r="JC25" i="123" s="1"/>
  <c r="EH126" i="123"/>
  <c r="EH25" i="123" s="1"/>
  <c r="HX170" i="1"/>
  <c r="HY170" i="1"/>
  <c r="HZ170" i="1"/>
  <c r="IA170" i="1"/>
  <c r="IB170" i="1"/>
  <c r="IC170" i="1"/>
  <c r="ID170" i="1"/>
  <c r="IE170" i="1"/>
  <c r="IF170" i="1"/>
  <c r="IG170" i="1"/>
  <c r="IH170" i="1"/>
  <c r="II170" i="1"/>
  <c r="IJ170" i="1"/>
  <c r="IK170" i="1"/>
  <c r="IL170" i="1"/>
  <c r="IM170" i="1"/>
  <c r="IN170" i="1"/>
  <c r="IO170" i="1"/>
  <c r="IP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KM170" i="1"/>
  <c r="KN170" i="1"/>
  <c r="KO170" i="1"/>
  <c r="KP170" i="1"/>
  <c r="KQ170" i="1"/>
  <c r="KR170" i="1"/>
  <c r="KS170" i="1"/>
  <c r="KT170" i="1"/>
  <c r="KU170" i="1"/>
  <c r="KV170" i="1"/>
  <c r="KW170" i="1"/>
  <c r="KX170" i="1"/>
  <c r="KY170" i="1"/>
  <c r="KZ170" i="1"/>
  <c r="LA170" i="1"/>
  <c r="LB170" i="1"/>
  <c r="LC170" i="1"/>
  <c r="LD170" i="1"/>
  <c r="LE170" i="1"/>
  <c r="LF170" i="1"/>
  <c r="LG170" i="1"/>
  <c r="LH170" i="1"/>
  <c r="LI170" i="1"/>
  <c r="LJ170" i="1"/>
  <c r="LK170" i="1"/>
  <c r="LL170" i="1"/>
  <c r="LM170" i="1"/>
  <c r="LN170" i="1"/>
  <c r="LO170" i="1"/>
  <c r="LP170" i="1"/>
  <c r="GV170" i="1"/>
  <c r="GW170" i="1"/>
  <c r="GX170" i="1"/>
  <c r="GY170" i="1"/>
  <c r="GZ170" i="1"/>
  <c r="HA170" i="1"/>
  <c r="HB170" i="1"/>
  <c r="HC170" i="1"/>
  <c r="HD170" i="1"/>
  <c r="HE170" i="1"/>
  <c r="HF170" i="1"/>
  <c r="HG170" i="1"/>
  <c r="HH170" i="1"/>
  <c r="HI170" i="1"/>
  <c r="HJ170" i="1"/>
  <c r="HK170" i="1"/>
  <c r="HL170" i="1"/>
  <c r="HM170" i="1"/>
  <c r="HN170" i="1"/>
  <c r="HO170" i="1"/>
  <c r="HP170" i="1"/>
  <c r="HQ170" i="1"/>
  <c r="HR170" i="1"/>
  <c r="HS170" i="1"/>
  <c r="HT170" i="1"/>
  <c r="HU170" i="1"/>
  <c r="HV170" i="1"/>
  <c r="HW170" i="1"/>
  <c r="GU170" i="1"/>
  <c r="BB5" i="71" l="1"/>
  <c r="BB10" i="71" s="1"/>
  <c r="HQ33" i="1"/>
  <c r="AP5" i="71"/>
  <c r="HE33" i="1"/>
  <c r="EY5" i="71"/>
  <c r="LN33" i="1"/>
  <c r="EQ5" i="71"/>
  <c r="LF33" i="1"/>
  <c r="EI5" i="71"/>
  <c r="KX33" i="1"/>
  <c r="EA5" i="71"/>
  <c r="KP33" i="1"/>
  <c r="DS5" i="71"/>
  <c r="KH33" i="1"/>
  <c r="DO5" i="71"/>
  <c r="KD33" i="1"/>
  <c r="DK5" i="71"/>
  <c r="JZ33" i="1"/>
  <c r="DG5" i="71"/>
  <c r="JV33" i="1"/>
  <c r="DC5" i="71"/>
  <c r="JR33" i="1"/>
  <c r="CY5" i="71"/>
  <c r="JN33" i="1"/>
  <c r="CU5" i="71"/>
  <c r="JJ33" i="1"/>
  <c r="CQ5" i="71"/>
  <c r="JF33" i="1"/>
  <c r="CM5" i="71"/>
  <c r="JB33" i="1"/>
  <c r="CI5" i="71"/>
  <c r="IX33" i="1"/>
  <c r="CE5" i="71"/>
  <c r="IT33" i="1"/>
  <c r="CA5" i="71"/>
  <c r="IP33" i="1"/>
  <c r="BW5" i="71"/>
  <c r="IL33" i="1"/>
  <c r="BS5" i="71"/>
  <c r="BS10" i="71" s="1"/>
  <c r="IH33" i="1"/>
  <c r="BO5" i="71"/>
  <c r="BO10" i="71" s="1"/>
  <c r="ID33" i="1"/>
  <c r="BK5" i="71"/>
  <c r="BK10" i="71" s="1"/>
  <c r="HZ33" i="1"/>
  <c r="AF5" i="71"/>
  <c r="GU33" i="1"/>
  <c r="BE5" i="71"/>
  <c r="BE10" i="71" s="1"/>
  <c r="HT33" i="1"/>
  <c r="BA5" i="71"/>
  <c r="BA10" i="71" s="1"/>
  <c r="HP33" i="1"/>
  <c r="AW5" i="71"/>
  <c r="AW10" i="71" s="1"/>
  <c r="HL33" i="1"/>
  <c r="AS5" i="71"/>
  <c r="HH33" i="1"/>
  <c r="AO5" i="71"/>
  <c r="HD33" i="1"/>
  <c r="AK5" i="71"/>
  <c r="GZ33" i="1"/>
  <c r="AG5" i="71"/>
  <c r="GV33" i="1"/>
  <c r="EX5" i="71"/>
  <c r="LM33" i="1"/>
  <c r="ET5" i="71"/>
  <c r="LI33" i="1"/>
  <c r="EP5" i="71"/>
  <c r="LE33" i="1"/>
  <c r="EL5" i="71"/>
  <c r="LA33" i="1"/>
  <c r="EH5" i="71"/>
  <c r="KW33" i="1"/>
  <c r="ED5" i="71"/>
  <c r="KS33" i="1"/>
  <c r="DZ5" i="71"/>
  <c r="KO33" i="1"/>
  <c r="DV5" i="71"/>
  <c r="KK33" i="1"/>
  <c r="DR5" i="71"/>
  <c r="KG33" i="1"/>
  <c r="DN5" i="71"/>
  <c r="KC33" i="1"/>
  <c r="DJ5" i="71"/>
  <c r="JY33" i="1"/>
  <c r="DF5" i="71"/>
  <c r="JU33" i="1"/>
  <c r="DB5" i="71"/>
  <c r="JQ33" i="1"/>
  <c r="CX5" i="71"/>
  <c r="JM33" i="1"/>
  <c r="CT5" i="71"/>
  <c r="JI33" i="1"/>
  <c r="CP5" i="71"/>
  <c r="JE33" i="1"/>
  <c r="CL5" i="71"/>
  <c r="JA33" i="1"/>
  <c r="CH5" i="71"/>
  <c r="IW33" i="1"/>
  <c r="CD5" i="71"/>
  <c r="IS33" i="1"/>
  <c r="BZ5" i="71"/>
  <c r="IO33" i="1"/>
  <c r="BV5" i="71"/>
  <c r="IK33" i="1"/>
  <c r="BR5" i="71"/>
  <c r="BR10" i="71" s="1"/>
  <c r="IG33" i="1"/>
  <c r="BN5" i="71"/>
  <c r="BN10" i="71" s="1"/>
  <c r="IC33" i="1"/>
  <c r="BJ5" i="71"/>
  <c r="BJ10" i="71" s="1"/>
  <c r="HY33" i="1"/>
  <c r="BF5" i="71"/>
  <c r="BF10" i="71" s="1"/>
  <c r="HU33" i="1"/>
  <c r="AX5" i="71"/>
  <c r="AX10" i="71" s="1"/>
  <c r="HM33" i="1"/>
  <c r="AT5" i="71"/>
  <c r="HI33" i="1"/>
  <c r="AL5" i="71"/>
  <c r="HA33" i="1"/>
  <c r="AH5" i="71"/>
  <c r="GW33" i="1"/>
  <c r="EU5" i="71"/>
  <c r="LJ33" i="1"/>
  <c r="EM5" i="71"/>
  <c r="LB33" i="1"/>
  <c r="EE5" i="71"/>
  <c r="KT33" i="1"/>
  <c r="DW5" i="71"/>
  <c r="KL33" i="1"/>
  <c r="BH5" i="71"/>
  <c r="BH10" i="71" s="1"/>
  <c r="HW33" i="1"/>
  <c r="BD5" i="71"/>
  <c r="BD10" i="71" s="1"/>
  <c r="HS33" i="1"/>
  <c r="AZ5" i="71"/>
  <c r="AZ10" i="71" s="1"/>
  <c r="HO33" i="1"/>
  <c r="AV5" i="71"/>
  <c r="AV10" i="71" s="1"/>
  <c r="HK33" i="1"/>
  <c r="AR5" i="71"/>
  <c r="HG33" i="1"/>
  <c r="AN5" i="71"/>
  <c r="HC33" i="1"/>
  <c r="AJ5" i="71"/>
  <c r="GY33" i="1"/>
  <c r="FA5" i="71"/>
  <c r="LP33" i="1"/>
  <c r="EW5" i="71"/>
  <c r="LL33" i="1"/>
  <c r="ES5" i="71"/>
  <c r="LH33" i="1"/>
  <c r="EO5" i="71"/>
  <c r="LD33" i="1"/>
  <c r="EK5" i="71"/>
  <c r="KZ33" i="1"/>
  <c r="EG5" i="71"/>
  <c r="KV33" i="1"/>
  <c r="EC5" i="71"/>
  <c r="KR33" i="1"/>
  <c r="DY5" i="71"/>
  <c r="KN33" i="1"/>
  <c r="DU5" i="71"/>
  <c r="KJ33" i="1"/>
  <c r="DQ5" i="71"/>
  <c r="KF33" i="1"/>
  <c r="DM5" i="71"/>
  <c r="KB33" i="1"/>
  <c r="DI5" i="71"/>
  <c r="JX33" i="1"/>
  <c r="DE5" i="71"/>
  <c r="JT33" i="1"/>
  <c r="DA5" i="71"/>
  <c r="JP33" i="1"/>
  <c r="CW5" i="71"/>
  <c r="JL33" i="1"/>
  <c r="CS5" i="71"/>
  <c r="JH33" i="1"/>
  <c r="CO5" i="71"/>
  <c r="JD33" i="1"/>
  <c r="CK5" i="71"/>
  <c r="IZ33" i="1"/>
  <c r="CG5" i="71"/>
  <c r="IV33" i="1"/>
  <c r="CC5" i="71"/>
  <c r="IR33" i="1"/>
  <c r="BY5" i="71"/>
  <c r="IN33" i="1"/>
  <c r="BU5" i="71"/>
  <c r="BU10" i="71" s="1"/>
  <c r="IJ33" i="1"/>
  <c r="BQ5" i="71"/>
  <c r="BQ10" i="71" s="1"/>
  <c r="IF33" i="1"/>
  <c r="BM5" i="71"/>
  <c r="BM10" i="71" s="1"/>
  <c r="IB33" i="1"/>
  <c r="BI5" i="71"/>
  <c r="BI10" i="71" s="1"/>
  <c r="HX33" i="1"/>
  <c r="BG5" i="71"/>
  <c r="BG10" i="71" s="1"/>
  <c r="HV33" i="1"/>
  <c r="BC5" i="71"/>
  <c r="BC10" i="71" s="1"/>
  <c r="HR33" i="1"/>
  <c r="AY5" i="71"/>
  <c r="AY10" i="71" s="1"/>
  <c r="HN33" i="1"/>
  <c r="AU5" i="71"/>
  <c r="AU10" i="71" s="1"/>
  <c r="HJ33" i="1"/>
  <c r="AQ5" i="71"/>
  <c r="HF33" i="1"/>
  <c r="AM5" i="71"/>
  <c r="HB33" i="1"/>
  <c r="AI5" i="71"/>
  <c r="GX33" i="1"/>
  <c r="EZ5" i="71"/>
  <c r="LO33" i="1"/>
  <c r="EV5" i="71"/>
  <c r="LK33" i="1"/>
  <c r="ER5" i="71"/>
  <c r="LG33" i="1"/>
  <c r="EN5" i="71"/>
  <c r="LC33" i="1"/>
  <c r="EJ5" i="71"/>
  <c r="KY33" i="1"/>
  <c r="EF5" i="71"/>
  <c r="KU33" i="1"/>
  <c r="EB5" i="71"/>
  <c r="KQ33" i="1"/>
  <c r="DX5" i="71"/>
  <c r="KM33" i="1"/>
  <c r="DT5" i="71"/>
  <c r="KI33" i="1"/>
  <c r="DP5" i="71"/>
  <c r="KE33" i="1"/>
  <c r="DL5" i="71"/>
  <c r="KA33" i="1"/>
  <c r="DH5" i="71"/>
  <c r="JW33" i="1"/>
  <c r="DD5" i="71"/>
  <c r="JS33" i="1"/>
  <c r="CZ5" i="71"/>
  <c r="JO33" i="1"/>
  <c r="CV5" i="71"/>
  <c r="JK33" i="1"/>
  <c r="CR5" i="71"/>
  <c r="JG33" i="1"/>
  <c r="CN5" i="71"/>
  <c r="JC33" i="1"/>
  <c r="CJ5" i="71"/>
  <c r="IY33" i="1"/>
  <c r="CF5" i="71"/>
  <c r="IU33" i="1"/>
  <c r="CB5" i="71"/>
  <c r="IQ33" i="1"/>
  <c r="BX5" i="71"/>
  <c r="IM33" i="1"/>
  <c r="BT5" i="71"/>
  <c r="BT10" i="71" s="1"/>
  <c r="II33" i="1"/>
  <c r="BP5" i="71"/>
  <c r="BP10" i="71" s="1"/>
  <c r="IE33" i="1"/>
  <c r="BL5" i="71"/>
  <c r="BL10" i="71" s="1"/>
  <c r="IA33" i="1"/>
  <c r="EW2" i="71"/>
  <c r="EO2" i="71"/>
  <c r="EG2" i="71"/>
  <c r="DY2" i="71"/>
  <c r="DQ2" i="71"/>
  <c r="DI2" i="71"/>
  <c r="DA2" i="71"/>
  <c r="CS2" i="71"/>
  <c r="CK2" i="71"/>
  <c r="CC2" i="71"/>
  <c r="BU2" i="71"/>
  <c r="BM2" i="71"/>
  <c r="BE2" i="71"/>
  <c r="AW2" i="71"/>
  <c r="AO2" i="71"/>
  <c r="AG2" i="71"/>
  <c r="AG10" i="71" s="1"/>
  <c r="EV2" i="71"/>
  <c r="EN2" i="71"/>
  <c r="EF2" i="71"/>
  <c r="DX2" i="71"/>
  <c r="DP2" i="71"/>
  <c r="DH2" i="71"/>
  <c r="CZ2" i="71"/>
  <c r="CR2" i="71"/>
  <c r="CJ2" i="71"/>
  <c r="CB2" i="71"/>
  <c r="BT2" i="71"/>
  <c r="BL2" i="71"/>
  <c r="BD2" i="71"/>
  <c r="AV2" i="71"/>
  <c r="AN2" i="71"/>
  <c r="AJ2" i="71"/>
  <c r="EY2" i="71"/>
  <c r="EU2" i="71"/>
  <c r="EQ2" i="71"/>
  <c r="EM2" i="71"/>
  <c r="EI2" i="71"/>
  <c r="EE2" i="71"/>
  <c r="EA2" i="71"/>
  <c r="DW2" i="71"/>
  <c r="DS2" i="71"/>
  <c r="DO2" i="71"/>
  <c r="DK2" i="71"/>
  <c r="DG2" i="71"/>
  <c r="DC2" i="71"/>
  <c r="CY2" i="71"/>
  <c r="CU2" i="71"/>
  <c r="CQ2" i="71"/>
  <c r="CM2" i="71"/>
  <c r="CI2" i="71"/>
  <c r="CE2" i="71"/>
  <c r="CA2" i="71"/>
  <c r="BW2" i="71"/>
  <c r="BS2" i="71"/>
  <c r="BO2" i="71"/>
  <c r="BK2" i="71"/>
  <c r="BG2" i="71"/>
  <c r="BC2" i="71"/>
  <c r="AY2" i="71"/>
  <c r="AU2" i="71"/>
  <c r="AQ2" i="71"/>
  <c r="AM2" i="71"/>
  <c r="AI2" i="71"/>
  <c r="FA2" i="71"/>
  <c r="ES2" i="71"/>
  <c r="EK2" i="71"/>
  <c r="EC2" i="71"/>
  <c r="DU2" i="71"/>
  <c r="DM2" i="71"/>
  <c r="DE2" i="71"/>
  <c r="CW2" i="71"/>
  <c r="CO2" i="71"/>
  <c r="CG2" i="71"/>
  <c r="BY2" i="71"/>
  <c r="BQ2" i="71"/>
  <c r="BI2" i="71"/>
  <c r="BA2" i="71"/>
  <c r="AS2" i="71"/>
  <c r="AK2" i="71"/>
  <c r="EZ2" i="71"/>
  <c r="ER2" i="71"/>
  <c r="EJ2" i="71"/>
  <c r="EB2" i="71"/>
  <c r="DT2" i="71"/>
  <c r="DL2" i="71"/>
  <c r="DD2" i="71"/>
  <c r="CV2" i="71"/>
  <c r="CN2" i="71"/>
  <c r="CF2" i="71"/>
  <c r="BX2" i="71"/>
  <c r="BP2" i="71"/>
  <c r="BH2" i="71"/>
  <c r="AZ2" i="71"/>
  <c r="AR2" i="71"/>
  <c r="AF2" i="71"/>
  <c r="AF10" i="71" s="1"/>
  <c r="EX2" i="71"/>
  <c r="ET2" i="71"/>
  <c r="EP2" i="71"/>
  <c r="EL2" i="71"/>
  <c r="EH2" i="71"/>
  <c r="ED2" i="71"/>
  <c r="DZ2" i="71"/>
  <c r="DV2" i="71"/>
  <c r="DR2" i="71"/>
  <c r="DN2" i="71"/>
  <c r="DJ2" i="71"/>
  <c r="DF2" i="71"/>
  <c r="DB2" i="71"/>
  <c r="CX2" i="71"/>
  <c r="CT2" i="71"/>
  <c r="CP2" i="71"/>
  <c r="CL2" i="71"/>
  <c r="CH2" i="71"/>
  <c r="CD2" i="71"/>
  <c r="BZ2" i="71"/>
  <c r="BV2" i="71"/>
  <c r="BR2" i="71"/>
  <c r="BN2" i="71"/>
  <c r="BJ2" i="71"/>
  <c r="BF2" i="71"/>
  <c r="BB2" i="71"/>
  <c r="AX2" i="71"/>
  <c r="AT2" i="71"/>
  <c r="AP2" i="71"/>
  <c r="AL2" i="71"/>
  <c r="AH2" i="71"/>
  <c r="HR31" i="1"/>
  <c r="HF31" i="1"/>
  <c r="LO31" i="1"/>
  <c r="LC31" i="1"/>
  <c r="KU31" i="1"/>
  <c r="KI31" i="1"/>
  <c r="JW31" i="1"/>
  <c r="JK31" i="1"/>
  <c r="IY31" i="1"/>
  <c r="IM31" i="1"/>
  <c r="IA31" i="1"/>
  <c r="HQ31" i="1"/>
  <c r="HE31" i="1"/>
  <c r="LN31" i="1"/>
  <c r="LB31" i="1"/>
  <c r="KT31" i="1"/>
  <c r="KH31" i="1"/>
  <c r="JV31" i="1"/>
  <c r="JJ31" i="1"/>
  <c r="IX31" i="1"/>
  <c r="IL31" i="1"/>
  <c r="ID31" i="1"/>
  <c r="HP31" i="1"/>
  <c r="GZ31" i="1"/>
  <c r="LI31" i="1"/>
  <c r="LA31" i="1"/>
  <c r="KW31" i="1"/>
  <c r="KS31" i="1"/>
  <c r="KO31" i="1"/>
  <c r="KK31" i="1"/>
  <c r="KG31" i="1"/>
  <c r="KC31" i="1"/>
  <c r="JY31" i="1"/>
  <c r="JU31" i="1"/>
  <c r="JQ31" i="1"/>
  <c r="JM31" i="1"/>
  <c r="JI31" i="1"/>
  <c r="JE31" i="1"/>
  <c r="JA31" i="1"/>
  <c r="IW31" i="1"/>
  <c r="IS31" i="1"/>
  <c r="IO31" i="1"/>
  <c r="IK31" i="1"/>
  <c r="IG31" i="1"/>
  <c r="IC31" i="1"/>
  <c r="HY31" i="1"/>
  <c r="HV31" i="1"/>
  <c r="HN31" i="1"/>
  <c r="HJ31" i="1"/>
  <c r="HB31" i="1"/>
  <c r="GX31" i="1"/>
  <c r="LK31" i="1"/>
  <c r="LG31" i="1"/>
  <c r="KY31" i="1"/>
  <c r="KQ31" i="1"/>
  <c r="KM31" i="1"/>
  <c r="KE31" i="1"/>
  <c r="KA31" i="1"/>
  <c r="JS31" i="1"/>
  <c r="JO31" i="1"/>
  <c r="JG31" i="1"/>
  <c r="JC31" i="1"/>
  <c r="IU31" i="1"/>
  <c r="IQ31" i="1"/>
  <c r="II31" i="1"/>
  <c r="IE31" i="1"/>
  <c r="HU31" i="1"/>
  <c r="HM31" i="1"/>
  <c r="HI31" i="1"/>
  <c r="HA31" i="1"/>
  <c r="GW31" i="1"/>
  <c r="LJ31" i="1"/>
  <c r="LF31" i="1"/>
  <c r="KX31" i="1"/>
  <c r="KP31" i="1"/>
  <c r="KL31" i="1"/>
  <c r="KD31" i="1"/>
  <c r="JZ31" i="1"/>
  <c r="JR31" i="1"/>
  <c r="JN31" i="1"/>
  <c r="JF31" i="1"/>
  <c r="JB31" i="1"/>
  <c r="IT31" i="1"/>
  <c r="IP31" i="1"/>
  <c r="IH31" i="1"/>
  <c r="HZ31" i="1"/>
  <c r="GU31" i="1"/>
  <c r="HT31" i="1"/>
  <c r="HL31" i="1"/>
  <c r="HH31" i="1"/>
  <c r="HD31" i="1"/>
  <c r="GV31" i="1"/>
  <c r="LM31" i="1"/>
  <c r="LE31" i="1"/>
  <c r="HW31" i="1"/>
  <c r="HS31" i="1"/>
  <c r="HO31" i="1"/>
  <c r="HK31" i="1"/>
  <c r="HG31" i="1"/>
  <c r="HC31" i="1"/>
  <c r="GY31" i="1"/>
  <c r="LP31" i="1"/>
  <c r="LL31" i="1"/>
  <c r="LH31" i="1"/>
  <c r="LD31" i="1"/>
  <c r="KZ31" i="1"/>
  <c r="KV31" i="1"/>
  <c r="KR31" i="1"/>
  <c r="KN31" i="1"/>
  <c r="KJ31" i="1"/>
  <c r="KF31" i="1"/>
  <c r="KB31" i="1"/>
  <c r="JX31" i="1"/>
  <c r="JT31" i="1"/>
  <c r="JP31" i="1"/>
  <c r="JL31" i="1"/>
  <c r="JH31" i="1"/>
  <c r="JD31" i="1"/>
  <c r="IZ31" i="1"/>
  <c r="IV31" i="1"/>
  <c r="IR31" i="1"/>
  <c r="IN31" i="1"/>
  <c r="IJ31" i="1"/>
  <c r="IF31" i="1"/>
  <c r="IB31" i="1"/>
  <c r="HX31" i="1"/>
  <c r="EH23" i="123"/>
  <c r="IV23" i="123"/>
  <c r="IN23" i="123"/>
  <c r="IF23" i="123"/>
  <c r="HX23" i="123"/>
  <c r="HP23" i="123"/>
  <c r="HD23" i="123"/>
  <c r="GV23" i="123"/>
  <c r="GN23" i="123"/>
  <c r="GF23" i="123"/>
  <c r="GB23" i="123"/>
  <c r="FT23" i="123"/>
  <c r="FH23" i="123"/>
  <c r="EV23" i="123"/>
  <c r="EN23" i="123"/>
  <c r="JC23" i="123"/>
  <c r="IU23" i="123"/>
  <c r="IM23" i="123"/>
  <c r="IE23" i="123"/>
  <c r="HW23" i="123"/>
  <c r="HO23" i="123"/>
  <c r="HK23" i="123"/>
  <c r="HC23" i="123"/>
  <c r="GU23" i="123"/>
  <c r="GM23" i="123"/>
  <c r="GE23" i="123"/>
  <c r="FW23" i="123"/>
  <c r="FO23" i="123"/>
  <c r="FG23" i="123"/>
  <c r="EY23" i="123"/>
  <c r="EU23" i="123"/>
  <c r="EM23" i="123"/>
  <c r="EI23" i="123"/>
  <c r="JB23" i="123"/>
  <c r="IX23" i="123"/>
  <c r="IT23" i="123"/>
  <c r="IP23" i="123"/>
  <c r="IL23" i="123"/>
  <c r="IH23" i="123"/>
  <c r="ID23" i="123"/>
  <c r="HZ23" i="123"/>
  <c r="HV23" i="123"/>
  <c r="HR23" i="123"/>
  <c r="HN23" i="123"/>
  <c r="HJ23" i="123"/>
  <c r="HF23" i="123"/>
  <c r="HB23" i="123"/>
  <c r="GX23" i="123"/>
  <c r="GT23" i="123"/>
  <c r="GP23" i="123"/>
  <c r="GL23" i="123"/>
  <c r="GH23" i="123"/>
  <c r="GD23" i="123"/>
  <c r="FZ23" i="123"/>
  <c r="FV23" i="123"/>
  <c r="FR23" i="123"/>
  <c r="FN23" i="123"/>
  <c r="FJ23" i="123"/>
  <c r="FF23" i="123"/>
  <c r="FB23" i="123"/>
  <c r="EX23" i="123"/>
  <c r="ET23" i="123"/>
  <c r="EP23" i="123"/>
  <c r="EL23" i="123"/>
  <c r="IZ23" i="123"/>
  <c r="IR23" i="123"/>
  <c r="IJ23" i="123"/>
  <c r="IB23" i="123"/>
  <c r="HT23" i="123"/>
  <c r="HL23" i="123"/>
  <c r="HH23" i="123"/>
  <c r="GZ23" i="123"/>
  <c r="GR23" i="123"/>
  <c r="GJ23" i="123"/>
  <c r="FX23" i="123"/>
  <c r="FP23" i="123"/>
  <c r="FL23" i="123"/>
  <c r="FD23" i="123"/>
  <c r="EZ23" i="123"/>
  <c r="ER23" i="123"/>
  <c r="EJ23" i="123"/>
  <c r="IY23" i="123"/>
  <c r="IQ23" i="123"/>
  <c r="II23" i="123"/>
  <c r="IA23" i="123"/>
  <c r="HS23" i="123"/>
  <c r="HG23" i="123"/>
  <c r="GY23" i="123"/>
  <c r="GQ23" i="123"/>
  <c r="GI23" i="123"/>
  <c r="GA23" i="123"/>
  <c r="FS23" i="123"/>
  <c r="FK23" i="123"/>
  <c r="FC23" i="123"/>
  <c r="EQ23" i="123"/>
  <c r="JA23" i="123"/>
  <c r="IW23" i="123"/>
  <c r="IS23" i="123"/>
  <c r="IO23" i="123"/>
  <c r="IK23" i="123"/>
  <c r="IG23" i="123"/>
  <c r="IC23" i="123"/>
  <c r="HY23" i="123"/>
  <c r="HU23" i="123"/>
  <c r="HQ23" i="123"/>
  <c r="HM23" i="123"/>
  <c r="HI23" i="123"/>
  <c r="HE23" i="123"/>
  <c r="HA23" i="123"/>
  <c r="GW23" i="123"/>
  <c r="GS23" i="123"/>
  <c r="GO23" i="123"/>
  <c r="GK23" i="123"/>
  <c r="GG23" i="123"/>
  <c r="GC23" i="123"/>
  <c r="FY23" i="123"/>
  <c r="FU23" i="123"/>
  <c r="FQ23" i="123"/>
  <c r="FM23" i="123"/>
  <c r="FI23" i="123"/>
  <c r="FE23" i="123"/>
  <c r="FA23" i="123"/>
  <c r="EW23" i="123"/>
  <c r="ES23" i="123"/>
  <c r="EO23" i="123"/>
  <c r="EK23" i="123"/>
  <c r="FO22" i="123"/>
  <c r="FU22" i="123"/>
  <c r="FQ22" i="123"/>
  <c r="FI22" i="123"/>
  <c r="FT22" i="123"/>
  <c r="FP22" i="123"/>
  <c r="FL22" i="123"/>
  <c r="FH22" i="123"/>
  <c r="FD22" i="123"/>
  <c r="FK22" i="123"/>
  <c r="FR22" i="123"/>
  <c r="FN22" i="123"/>
  <c r="FJ22" i="123"/>
  <c r="FF22" i="123"/>
  <c r="FS22" i="123"/>
  <c r="FG22" i="123"/>
  <c r="FM22" i="123"/>
  <c r="FE22" i="123"/>
  <c r="AJ78" i="123"/>
  <c r="DZ78" i="123" s="1"/>
  <c r="AJ73" i="123"/>
  <c r="AE73" i="123" s="1"/>
  <c r="AJ81" i="123"/>
  <c r="DY81" i="123" s="1"/>
  <c r="AJ85" i="123"/>
  <c r="DY85" i="123" s="1"/>
  <c r="AJ89" i="123"/>
  <c r="AE89" i="123" s="1"/>
  <c r="AJ93" i="123"/>
  <c r="DY93" i="123" s="1"/>
  <c r="AJ67" i="123"/>
  <c r="DY67" i="123" s="1"/>
  <c r="AJ71" i="123"/>
  <c r="DY71" i="123" s="1"/>
  <c r="AJ75" i="123"/>
  <c r="DY75" i="123" s="1"/>
  <c r="AJ79" i="123"/>
  <c r="DZ79" i="123" s="1"/>
  <c r="AJ83" i="123"/>
  <c r="DY83" i="123" s="1"/>
  <c r="AJ87" i="123"/>
  <c r="DY87" i="123" s="1"/>
  <c r="AJ91" i="123"/>
  <c r="DZ91" i="123" s="1"/>
  <c r="AJ70" i="123"/>
  <c r="AE70" i="123" s="1"/>
  <c r="AJ74" i="123"/>
  <c r="DZ74" i="123" s="1"/>
  <c r="AJ82" i="123"/>
  <c r="AE82" i="123" s="1"/>
  <c r="AJ86" i="123"/>
  <c r="AE86" i="123" s="1"/>
  <c r="AJ94" i="123"/>
  <c r="AE94" i="123" s="1"/>
  <c r="AJ95" i="123"/>
  <c r="DZ95" i="123" s="1"/>
  <c r="AJ68" i="123"/>
  <c r="AE68" i="123" s="1"/>
  <c r="AJ80" i="123"/>
  <c r="DY80" i="123" s="1"/>
  <c r="AJ88" i="123"/>
  <c r="AE88" i="123" s="1"/>
  <c r="AJ92" i="123"/>
  <c r="AE92" i="123" s="1"/>
  <c r="DY64" i="123"/>
  <c r="AE64" i="123"/>
  <c r="DZ64" i="123"/>
  <c r="AE84" i="123"/>
  <c r="DY84" i="123"/>
  <c r="DZ84" i="123"/>
  <c r="DZ47" i="123"/>
  <c r="DY47" i="123"/>
  <c r="AE47" i="123"/>
  <c r="AE60" i="123"/>
  <c r="DY60" i="123"/>
  <c r="DZ60" i="123"/>
  <c r="AE65" i="123"/>
  <c r="DZ65" i="123"/>
  <c r="DY65" i="123"/>
  <c r="DY69" i="123"/>
  <c r="AE69" i="123"/>
  <c r="DZ69" i="123"/>
  <c r="DY77" i="123"/>
  <c r="AE77" i="123"/>
  <c r="DZ77" i="123"/>
  <c r="DZ72" i="123"/>
  <c r="DY72" i="123"/>
  <c r="AE72" i="123"/>
  <c r="DY48" i="123"/>
  <c r="DZ48" i="123"/>
  <c r="AE48" i="123"/>
  <c r="DZ61" i="123"/>
  <c r="AE61" i="123"/>
  <c r="DY61" i="123"/>
  <c r="DY66" i="123"/>
  <c r="AE66" i="123"/>
  <c r="DZ66" i="123"/>
  <c r="DY90" i="123"/>
  <c r="DZ90" i="123"/>
  <c r="AE90" i="123"/>
  <c r="AE59" i="123"/>
  <c r="DZ59" i="123"/>
  <c r="DY59" i="123"/>
  <c r="AE76" i="123"/>
  <c r="DY76" i="123"/>
  <c r="DZ76" i="123"/>
  <c r="AE49" i="123"/>
  <c r="DY49" i="123"/>
  <c r="DZ49" i="123"/>
  <c r="AE62" i="123"/>
  <c r="DZ62" i="123"/>
  <c r="DY62" i="123"/>
  <c r="HV30" i="1"/>
  <c r="HR30" i="1"/>
  <c r="HN30" i="1"/>
  <c r="HJ30" i="1"/>
  <c r="HF30" i="1"/>
  <c r="HB30" i="1"/>
  <c r="GX30" i="1"/>
  <c r="LO30" i="1"/>
  <c r="LK30" i="1"/>
  <c r="LG30" i="1"/>
  <c r="LC30" i="1"/>
  <c r="KY30" i="1"/>
  <c r="KU30" i="1"/>
  <c r="KQ30" i="1"/>
  <c r="KM30" i="1"/>
  <c r="KI30" i="1"/>
  <c r="KE30" i="1"/>
  <c r="KA30" i="1"/>
  <c r="JW30" i="1"/>
  <c r="JS30" i="1"/>
  <c r="JO30" i="1"/>
  <c r="JK30" i="1"/>
  <c r="JG30" i="1"/>
  <c r="JC30" i="1"/>
  <c r="IY30" i="1"/>
  <c r="IU30" i="1"/>
  <c r="IQ30" i="1"/>
  <c r="IM30" i="1"/>
  <c r="II30" i="1"/>
  <c r="IE30" i="1"/>
  <c r="IA30" i="1"/>
  <c r="HU30" i="1"/>
  <c r="HQ30" i="1"/>
  <c r="HM30" i="1"/>
  <c r="HI30" i="1"/>
  <c r="HE30" i="1"/>
  <c r="HA30" i="1"/>
  <c r="GW30" i="1"/>
  <c r="LN30" i="1"/>
  <c r="LJ30" i="1"/>
  <c r="LF30" i="1"/>
  <c r="LB30" i="1"/>
  <c r="KX30" i="1"/>
  <c r="KT30" i="1"/>
  <c r="KP30" i="1"/>
  <c r="KL30" i="1"/>
  <c r="KH30" i="1"/>
  <c r="KD30" i="1"/>
  <c r="JZ30" i="1"/>
  <c r="JV30" i="1"/>
  <c r="JR30" i="1"/>
  <c r="JN30" i="1"/>
  <c r="JJ30" i="1"/>
  <c r="JF30" i="1"/>
  <c r="JB30" i="1"/>
  <c r="IX30" i="1"/>
  <c r="IT30" i="1"/>
  <c r="IP30" i="1"/>
  <c r="IL30" i="1"/>
  <c r="IH30" i="1"/>
  <c r="ID30" i="1"/>
  <c r="HZ30" i="1"/>
  <c r="HW30" i="1"/>
  <c r="HS30" i="1"/>
  <c r="HO30" i="1"/>
  <c r="HK30" i="1"/>
  <c r="HG30" i="1"/>
  <c r="HC30" i="1"/>
  <c r="GY30" i="1"/>
  <c r="LP30" i="1"/>
  <c r="LL30" i="1"/>
  <c r="LH30" i="1"/>
  <c r="LD30" i="1"/>
  <c r="KZ30" i="1"/>
  <c r="KV30" i="1"/>
  <c r="KR30" i="1"/>
  <c r="KN30" i="1"/>
  <c r="KJ30" i="1"/>
  <c r="KF30" i="1"/>
  <c r="KB30" i="1"/>
  <c r="JX30" i="1"/>
  <c r="JT30" i="1"/>
  <c r="JP30" i="1"/>
  <c r="JL30" i="1"/>
  <c r="JH30" i="1"/>
  <c r="JD30" i="1"/>
  <c r="IZ30" i="1"/>
  <c r="IV30" i="1"/>
  <c r="IR30" i="1"/>
  <c r="IN30" i="1"/>
  <c r="IJ30" i="1"/>
  <c r="IF30" i="1"/>
  <c r="IB30" i="1"/>
  <c r="HX30" i="1"/>
  <c r="GU30" i="1"/>
  <c r="HT30" i="1"/>
  <c r="HP30" i="1"/>
  <c r="HL30" i="1"/>
  <c r="HH30" i="1"/>
  <c r="HD30" i="1"/>
  <c r="GZ30" i="1"/>
  <c r="GV30" i="1"/>
  <c r="LM30" i="1"/>
  <c r="LI30" i="1"/>
  <c r="LE30" i="1"/>
  <c r="LA30" i="1"/>
  <c r="KW30" i="1"/>
  <c r="KS30" i="1"/>
  <c r="KO30" i="1"/>
  <c r="KK30" i="1"/>
  <c r="KG30" i="1"/>
  <c r="KC30" i="1"/>
  <c r="JY30" i="1"/>
  <c r="JU30" i="1"/>
  <c r="JQ30" i="1"/>
  <c r="JM30" i="1"/>
  <c r="JI30" i="1"/>
  <c r="JE30" i="1"/>
  <c r="JA30" i="1"/>
  <c r="IW30" i="1"/>
  <c r="IS30" i="1"/>
  <c r="IO30" i="1"/>
  <c r="IK30" i="1"/>
  <c r="IG30" i="1"/>
  <c r="IC30" i="1"/>
  <c r="HY30" i="1"/>
  <c r="EH22" i="123"/>
  <c r="IU22" i="123"/>
  <c r="JA22" i="123"/>
  <c r="IW22" i="123"/>
  <c r="IS22" i="123"/>
  <c r="IO22" i="123"/>
  <c r="IK22" i="123"/>
  <c r="IG22" i="123"/>
  <c r="IC22" i="123"/>
  <c r="HY22" i="123"/>
  <c r="HU22" i="123"/>
  <c r="HQ22" i="123"/>
  <c r="HM22" i="123"/>
  <c r="HI22" i="123"/>
  <c r="HE22" i="123"/>
  <c r="HA22" i="123"/>
  <c r="GW22" i="123"/>
  <c r="GS22" i="123"/>
  <c r="GO22" i="123"/>
  <c r="GK22" i="123"/>
  <c r="GG22" i="123"/>
  <c r="GC22" i="123"/>
  <c r="FY22" i="123"/>
  <c r="FA22" i="123"/>
  <c r="EW22" i="123"/>
  <c r="ES22" i="123"/>
  <c r="EO22" i="123"/>
  <c r="EK22" i="123"/>
  <c r="IZ22" i="123"/>
  <c r="IV22" i="123"/>
  <c r="IR22" i="123"/>
  <c r="IN22" i="123"/>
  <c r="IJ22" i="123"/>
  <c r="IF22" i="123"/>
  <c r="IB22" i="123"/>
  <c r="HX22" i="123"/>
  <c r="HT22" i="123"/>
  <c r="HP22" i="123"/>
  <c r="HL22" i="123"/>
  <c r="HH22" i="123"/>
  <c r="HD22" i="123"/>
  <c r="GZ22" i="123"/>
  <c r="GV22" i="123"/>
  <c r="GR22" i="123"/>
  <c r="GN22" i="123"/>
  <c r="GJ22" i="123"/>
  <c r="GF22" i="123"/>
  <c r="GB22" i="123"/>
  <c r="FX22" i="123"/>
  <c r="EZ22" i="123"/>
  <c r="EV22" i="123"/>
  <c r="ER22" i="123"/>
  <c r="EN22" i="123"/>
  <c r="EJ22" i="123"/>
  <c r="JC22" i="123"/>
  <c r="IY22" i="123"/>
  <c r="IQ22" i="123"/>
  <c r="IM22" i="123"/>
  <c r="II22" i="123"/>
  <c r="IE22" i="123"/>
  <c r="IA22" i="123"/>
  <c r="HW22" i="123"/>
  <c r="HS22" i="123"/>
  <c r="HO22" i="123"/>
  <c r="HK22" i="123"/>
  <c r="HG22" i="123"/>
  <c r="HC22" i="123"/>
  <c r="GY22" i="123"/>
  <c r="GU22" i="123"/>
  <c r="GQ22" i="123"/>
  <c r="GM22" i="123"/>
  <c r="GI22" i="123"/>
  <c r="GE22" i="123"/>
  <c r="GA22" i="123"/>
  <c r="FW22" i="123"/>
  <c r="FC22" i="123"/>
  <c r="EY22" i="123"/>
  <c r="EU22" i="123"/>
  <c r="EQ22" i="123"/>
  <c r="EM22" i="123"/>
  <c r="EI22" i="123"/>
  <c r="JB22" i="123"/>
  <c r="IX22" i="123"/>
  <c r="IT22" i="123"/>
  <c r="IP22" i="123"/>
  <c r="IL22" i="123"/>
  <c r="IH22" i="123"/>
  <c r="ID22" i="123"/>
  <c r="HZ22" i="123"/>
  <c r="HV22" i="123"/>
  <c r="HR22" i="123"/>
  <c r="HN22" i="123"/>
  <c r="HJ22" i="123"/>
  <c r="HF22" i="123"/>
  <c r="HB22" i="123"/>
  <c r="GX22" i="123"/>
  <c r="GT22" i="123"/>
  <c r="GP22" i="123"/>
  <c r="GL22" i="123"/>
  <c r="GH22" i="123"/>
  <c r="GD22" i="123"/>
  <c r="FZ22" i="123"/>
  <c r="FV22" i="123"/>
  <c r="FB22" i="123"/>
  <c r="EX22" i="123"/>
  <c r="ET22" i="123"/>
  <c r="EP22" i="123"/>
  <c r="EL22" i="123"/>
  <c r="CT161" i="130"/>
  <c r="CT100" i="130"/>
  <c r="CT141" i="130"/>
  <c r="CT80" i="130"/>
  <c r="CT164" i="130"/>
  <c r="CT103" i="130"/>
  <c r="CT99" i="130"/>
  <c r="CT95" i="130"/>
  <c r="CT91" i="130"/>
  <c r="CT87" i="130"/>
  <c r="CT83" i="130"/>
  <c r="CT79" i="130"/>
  <c r="CT75" i="130"/>
  <c r="CT157" i="130"/>
  <c r="CT96" i="130"/>
  <c r="CT149" i="130"/>
  <c r="CT88" i="130"/>
  <c r="CT137" i="130"/>
  <c r="CT76" i="130"/>
  <c r="CT167" i="130"/>
  <c r="CT106" i="130"/>
  <c r="CT163" i="130"/>
  <c r="CT102" i="130"/>
  <c r="CT159" i="130"/>
  <c r="CT98" i="130"/>
  <c r="CT155" i="130"/>
  <c r="CT94" i="130"/>
  <c r="CT151" i="130"/>
  <c r="CT90" i="130"/>
  <c r="CT147" i="130"/>
  <c r="CT86" i="130"/>
  <c r="CT143" i="130"/>
  <c r="CT82" i="130"/>
  <c r="CT139" i="130"/>
  <c r="CT78" i="130"/>
  <c r="CT135" i="130"/>
  <c r="CT74" i="130"/>
  <c r="CT165" i="130"/>
  <c r="CT104" i="130"/>
  <c r="CT153" i="130"/>
  <c r="CT92" i="130"/>
  <c r="CT145" i="130"/>
  <c r="CT84" i="130"/>
  <c r="CT73" i="130"/>
  <c r="CT166" i="130"/>
  <c r="CT105" i="130"/>
  <c r="CT162" i="130"/>
  <c r="CT101" i="130"/>
  <c r="CT158" i="130"/>
  <c r="CT97" i="130"/>
  <c r="CT93" i="130"/>
  <c r="CT89" i="130"/>
  <c r="CT85" i="130"/>
  <c r="CT81" i="130"/>
  <c r="CT77" i="130"/>
  <c r="CT160" i="130"/>
  <c r="CT156" i="130"/>
  <c r="CT152" i="130"/>
  <c r="CT148" i="130"/>
  <c r="CT144" i="130"/>
  <c r="CT140" i="130"/>
  <c r="CT136" i="130"/>
  <c r="CT154" i="130"/>
  <c r="CT150" i="130"/>
  <c r="CT146" i="130"/>
  <c r="CT142" i="130"/>
  <c r="CT138" i="130"/>
  <c r="CT134" i="130"/>
  <c r="EA44" i="123"/>
  <c r="EA50" i="123"/>
  <c r="EA45" i="123"/>
  <c r="EA43" i="123"/>
  <c r="EA96" i="123"/>
  <c r="FO140" i="1"/>
  <c r="AM10" i="71" l="1"/>
  <c r="AN10" i="71"/>
  <c r="AH10" i="71"/>
  <c r="AT10" i="71"/>
  <c r="AK10" i="71"/>
  <c r="AS10" i="71"/>
  <c r="AI10" i="71"/>
  <c r="AQ10" i="71"/>
  <c r="AJ10" i="71"/>
  <c r="AR10" i="71"/>
  <c r="AL10" i="71"/>
  <c r="AO10" i="71"/>
  <c r="AP10" i="71"/>
  <c r="EX43" i="123"/>
  <c r="FB43" i="123"/>
  <c r="FF43" i="123"/>
  <c r="FJ43" i="123"/>
  <c r="FN43" i="123"/>
  <c r="FR43" i="123"/>
  <c r="FV43" i="123"/>
  <c r="FZ43" i="123"/>
  <c r="GD43" i="123"/>
  <c r="GH43" i="123"/>
  <c r="GL43" i="123"/>
  <c r="GP43" i="123"/>
  <c r="GT43" i="123"/>
  <c r="GX43" i="123"/>
  <c r="HB43" i="123"/>
  <c r="HF43" i="123"/>
  <c r="HJ43" i="123"/>
  <c r="HN43" i="123"/>
  <c r="HR43" i="123"/>
  <c r="HV43" i="123"/>
  <c r="HZ43" i="123"/>
  <c r="ID43" i="123"/>
  <c r="IH43" i="123"/>
  <c r="IL43" i="123"/>
  <c r="IP43" i="123"/>
  <c r="IT43" i="123"/>
  <c r="IX43" i="123"/>
  <c r="JB43" i="123"/>
  <c r="EY43" i="123"/>
  <c r="FD43" i="123"/>
  <c r="FI43" i="123"/>
  <c r="FO43" i="123"/>
  <c r="FT43" i="123"/>
  <c r="FY43" i="123"/>
  <c r="GE43" i="123"/>
  <c r="GJ43" i="123"/>
  <c r="GO43" i="123"/>
  <c r="GU43" i="123"/>
  <c r="GZ43" i="123"/>
  <c r="HE43" i="123"/>
  <c r="HK43" i="123"/>
  <c r="HP43" i="123"/>
  <c r="HU43" i="123"/>
  <c r="IA43" i="123"/>
  <c r="IF43" i="123"/>
  <c r="IK43" i="123"/>
  <c r="IQ43" i="123"/>
  <c r="IV43" i="123"/>
  <c r="JA43" i="123"/>
  <c r="EZ43" i="123"/>
  <c r="FG43" i="123"/>
  <c r="FM43" i="123"/>
  <c r="FU43" i="123"/>
  <c r="GB43" i="123"/>
  <c r="GI43" i="123"/>
  <c r="GQ43" i="123"/>
  <c r="GW43" i="123"/>
  <c r="HD43" i="123"/>
  <c r="HL43" i="123"/>
  <c r="HS43" i="123"/>
  <c r="HY43" i="123"/>
  <c r="IG43" i="123"/>
  <c r="IN43" i="123"/>
  <c r="IU43" i="123"/>
  <c r="JC43" i="123"/>
  <c r="FA43" i="123"/>
  <c r="FK43" i="123"/>
  <c r="FS43" i="123"/>
  <c r="GC43" i="123"/>
  <c r="GM43" i="123"/>
  <c r="GV43" i="123"/>
  <c r="HG43" i="123"/>
  <c r="HO43" i="123"/>
  <c r="HX43" i="123"/>
  <c r="II43" i="123"/>
  <c r="IR43" i="123"/>
  <c r="IZ43" i="123"/>
  <c r="FC43" i="123"/>
  <c r="FP43" i="123"/>
  <c r="GA43" i="123"/>
  <c r="GN43" i="123"/>
  <c r="HA43" i="123"/>
  <c r="HM43" i="123"/>
  <c r="IB43" i="123"/>
  <c r="IM43" i="123"/>
  <c r="IY43" i="123"/>
  <c r="FE43" i="123"/>
  <c r="FQ43" i="123"/>
  <c r="GF43" i="123"/>
  <c r="GR43" i="123"/>
  <c r="HC43" i="123"/>
  <c r="HQ43" i="123"/>
  <c r="IC43" i="123"/>
  <c r="IO43" i="123"/>
  <c r="FH43" i="123"/>
  <c r="GG43" i="123"/>
  <c r="HH43" i="123"/>
  <c r="IE43" i="123"/>
  <c r="FL43" i="123"/>
  <c r="GK43" i="123"/>
  <c r="HI43" i="123"/>
  <c r="IJ43" i="123"/>
  <c r="FW43" i="123"/>
  <c r="GS43" i="123"/>
  <c r="HT43" i="123"/>
  <c r="IS43" i="123"/>
  <c r="FX43" i="123"/>
  <c r="GY43" i="123"/>
  <c r="HW43" i="123"/>
  <c r="IW43" i="123"/>
  <c r="EX45" i="123"/>
  <c r="FB45" i="123"/>
  <c r="FF45" i="123"/>
  <c r="FJ45" i="123"/>
  <c r="FN45" i="123"/>
  <c r="FR45" i="123"/>
  <c r="FV45" i="123"/>
  <c r="FZ45" i="123"/>
  <c r="GD45" i="123"/>
  <c r="GH45" i="123"/>
  <c r="GL45" i="123"/>
  <c r="GP45" i="123"/>
  <c r="GT45" i="123"/>
  <c r="GX45" i="123"/>
  <c r="HB45" i="123"/>
  <c r="HF45" i="123"/>
  <c r="HJ45" i="123"/>
  <c r="HN45" i="123"/>
  <c r="HR45" i="123"/>
  <c r="HV45" i="123"/>
  <c r="HZ45" i="123"/>
  <c r="ID45" i="123"/>
  <c r="IH45" i="123"/>
  <c r="IL45" i="123"/>
  <c r="IP45" i="123"/>
  <c r="IT45" i="123"/>
  <c r="IX45" i="123"/>
  <c r="JB45" i="123"/>
  <c r="FC45" i="123"/>
  <c r="FH45" i="123"/>
  <c r="FM45" i="123"/>
  <c r="FS45" i="123"/>
  <c r="FX45" i="123"/>
  <c r="GC45" i="123"/>
  <c r="GI45" i="123"/>
  <c r="GN45" i="123"/>
  <c r="GS45" i="123"/>
  <c r="GY45" i="123"/>
  <c r="HD45" i="123"/>
  <c r="HI45" i="123"/>
  <c r="HO45" i="123"/>
  <c r="HT45" i="123"/>
  <c r="HY45" i="123"/>
  <c r="IE45" i="123"/>
  <c r="IJ45" i="123"/>
  <c r="IO45" i="123"/>
  <c r="IU45" i="123"/>
  <c r="IZ45" i="123"/>
  <c r="EZ45" i="123"/>
  <c r="FG45" i="123"/>
  <c r="FO45" i="123"/>
  <c r="FU45" i="123"/>
  <c r="GB45" i="123"/>
  <c r="GJ45" i="123"/>
  <c r="GQ45" i="123"/>
  <c r="GW45" i="123"/>
  <c r="HE45" i="123"/>
  <c r="HL45" i="123"/>
  <c r="HS45" i="123"/>
  <c r="IA45" i="123"/>
  <c r="IG45" i="123"/>
  <c r="IN45" i="123"/>
  <c r="IV45" i="123"/>
  <c r="JC45" i="123"/>
  <c r="EY45" i="123"/>
  <c r="FI45" i="123"/>
  <c r="FQ45" i="123"/>
  <c r="GA45" i="123"/>
  <c r="GK45" i="123"/>
  <c r="GU45" i="123"/>
  <c r="HC45" i="123"/>
  <c r="HM45" i="123"/>
  <c r="HW45" i="123"/>
  <c r="IF45" i="123"/>
  <c r="IQ45" i="123"/>
  <c r="IY45" i="123"/>
  <c r="FK45" i="123"/>
  <c r="FW45" i="123"/>
  <c r="GG45" i="123"/>
  <c r="GV45" i="123"/>
  <c r="HH45" i="123"/>
  <c r="HU45" i="123"/>
  <c r="II45" i="123"/>
  <c r="IS45" i="123"/>
  <c r="FA45" i="123"/>
  <c r="FL45" i="123"/>
  <c r="FY45" i="123"/>
  <c r="GM45" i="123"/>
  <c r="GZ45" i="123"/>
  <c r="HK45" i="123"/>
  <c r="HX45" i="123"/>
  <c r="IK45" i="123"/>
  <c r="IW45" i="123"/>
  <c r="FP45" i="123"/>
  <c r="GO45" i="123"/>
  <c r="HP45" i="123"/>
  <c r="IM45" i="123"/>
  <c r="FT45" i="123"/>
  <c r="GR45" i="123"/>
  <c r="HQ45" i="123"/>
  <c r="IR45" i="123"/>
  <c r="FD45" i="123"/>
  <c r="GE45" i="123"/>
  <c r="HA45" i="123"/>
  <c r="IB45" i="123"/>
  <c r="JA45" i="123"/>
  <c r="FE45" i="123"/>
  <c r="GF45" i="123"/>
  <c r="HG45" i="123"/>
  <c r="IC45" i="123"/>
  <c r="EX96" i="123"/>
  <c r="FB96" i="123"/>
  <c r="FF96" i="123"/>
  <c r="FJ96" i="123"/>
  <c r="FN96" i="123"/>
  <c r="FR96" i="123"/>
  <c r="FV96" i="123"/>
  <c r="FZ96" i="123"/>
  <c r="GD96" i="123"/>
  <c r="GH96" i="123"/>
  <c r="GL96" i="123"/>
  <c r="GP96" i="123"/>
  <c r="GT96" i="123"/>
  <c r="GX96" i="123"/>
  <c r="HB96" i="123"/>
  <c r="HF96" i="123"/>
  <c r="HJ96" i="123"/>
  <c r="HN96" i="123"/>
  <c r="HR96" i="123"/>
  <c r="HV96" i="123"/>
  <c r="HZ96" i="123"/>
  <c r="ID96" i="123"/>
  <c r="IH96" i="123"/>
  <c r="IL96" i="123"/>
  <c r="IP96" i="123"/>
  <c r="IT96" i="123"/>
  <c r="IX96" i="123"/>
  <c r="JB96" i="123"/>
  <c r="EZ96" i="123"/>
  <c r="FE96" i="123"/>
  <c r="FK96" i="123"/>
  <c r="FP96" i="123"/>
  <c r="FU96" i="123"/>
  <c r="GA96" i="123"/>
  <c r="GF96" i="123"/>
  <c r="GK96" i="123"/>
  <c r="GQ96" i="123"/>
  <c r="GV96" i="123"/>
  <c r="HA96" i="123"/>
  <c r="HG96" i="123"/>
  <c r="HL96" i="123"/>
  <c r="HQ96" i="123"/>
  <c r="HW96" i="123"/>
  <c r="IB96" i="123"/>
  <c r="IG96" i="123"/>
  <c r="IM96" i="123"/>
  <c r="IR96" i="123"/>
  <c r="IW96" i="123"/>
  <c r="JC96" i="123"/>
  <c r="FA96" i="123"/>
  <c r="FG96" i="123"/>
  <c r="FL96" i="123"/>
  <c r="FQ96" i="123"/>
  <c r="FW96" i="123"/>
  <c r="GB96" i="123"/>
  <c r="GG96" i="123"/>
  <c r="GM96" i="123"/>
  <c r="GR96" i="123"/>
  <c r="GW96" i="123"/>
  <c r="HC96" i="123"/>
  <c r="HH96" i="123"/>
  <c r="HM96" i="123"/>
  <c r="HS96" i="123"/>
  <c r="HX96" i="123"/>
  <c r="IC96" i="123"/>
  <c r="II96" i="123"/>
  <c r="IN96" i="123"/>
  <c r="IS96" i="123"/>
  <c r="IY96" i="123"/>
  <c r="FC96" i="123"/>
  <c r="FH96" i="123"/>
  <c r="FM96" i="123"/>
  <c r="FS96" i="123"/>
  <c r="FX96" i="123"/>
  <c r="GC96" i="123"/>
  <c r="GI96" i="123"/>
  <c r="GN96" i="123"/>
  <c r="GS96" i="123"/>
  <c r="GY96" i="123"/>
  <c r="HD96" i="123"/>
  <c r="HI96" i="123"/>
  <c r="HO96" i="123"/>
  <c r="HT96" i="123"/>
  <c r="HY96" i="123"/>
  <c r="IE96" i="123"/>
  <c r="IJ96" i="123"/>
  <c r="IO96" i="123"/>
  <c r="IU96" i="123"/>
  <c r="IZ96" i="123"/>
  <c r="FI96" i="123"/>
  <c r="GE96" i="123"/>
  <c r="GZ96" i="123"/>
  <c r="HU96" i="123"/>
  <c r="IQ96" i="123"/>
  <c r="FO96" i="123"/>
  <c r="GJ96" i="123"/>
  <c r="HE96" i="123"/>
  <c r="IA96" i="123"/>
  <c r="IV96" i="123"/>
  <c r="EY96" i="123"/>
  <c r="FT96" i="123"/>
  <c r="GO96" i="123"/>
  <c r="HK96" i="123"/>
  <c r="IF96" i="123"/>
  <c r="JA96" i="123"/>
  <c r="FD96" i="123"/>
  <c r="FY96" i="123"/>
  <c r="GU96" i="123"/>
  <c r="HP96" i="123"/>
  <c r="IK96" i="123"/>
  <c r="EZ44" i="123"/>
  <c r="FD44" i="123"/>
  <c r="FH44" i="123"/>
  <c r="FL44" i="123"/>
  <c r="FP44" i="123"/>
  <c r="FT44" i="123"/>
  <c r="FX44" i="123"/>
  <c r="GB44" i="123"/>
  <c r="GF44" i="123"/>
  <c r="GJ44" i="123"/>
  <c r="GN44" i="123"/>
  <c r="GR44" i="123"/>
  <c r="GV44" i="123"/>
  <c r="GZ44" i="123"/>
  <c r="HD44" i="123"/>
  <c r="HH44" i="123"/>
  <c r="HL44" i="123"/>
  <c r="HP44" i="123"/>
  <c r="HT44" i="123"/>
  <c r="HX44" i="123"/>
  <c r="IB44" i="123"/>
  <c r="IF44" i="123"/>
  <c r="IJ44" i="123"/>
  <c r="IN44" i="123"/>
  <c r="IR44" i="123"/>
  <c r="IV44" i="123"/>
  <c r="IZ44" i="123"/>
  <c r="FA44" i="123"/>
  <c r="FF44" i="123"/>
  <c r="FK44" i="123"/>
  <c r="FQ44" i="123"/>
  <c r="FV44" i="123"/>
  <c r="GA44" i="123"/>
  <c r="GG44" i="123"/>
  <c r="GL44" i="123"/>
  <c r="GQ44" i="123"/>
  <c r="GW44" i="123"/>
  <c r="HB44" i="123"/>
  <c r="HG44" i="123"/>
  <c r="HM44" i="123"/>
  <c r="HR44" i="123"/>
  <c r="HW44" i="123"/>
  <c r="IC44" i="123"/>
  <c r="IH44" i="123"/>
  <c r="IM44" i="123"/>
  <c r="IS44" i="123"/>
  <c r="IX44" i="123"/>
  <c r="JC44" i="123"/>
  <c r="FC44" i="123"/>
  <c r="FJ44" i="123"/>
  <c r="FR44" i="123"/>
  <c r="FY44" i="123"/>
  <c r="GE44" i="123"/>
  <c r="GM44" i="123"/>
  <c r="GT44" i="123"/>
  <c r="HA44" i="123"/>
  <c r="HI44" i="123"/>
  <c r="HO44" i="123"/>
  <c r="HV44" i="123"/>
  <c r="ID44" i="123"/>
  <c r="IK44" i="123"/>
  <c r="IQ44" i="123"/>
  <c r="IY44" i="123"/>
  <c r="FE44" i="123"/>
  <c r="FN44" i="123"/>
  <c r="FW44" i="123"/>
  <c r="GH44" i="123"/>
  <c r="GP44" i="123"/>
  <c r="GY44" i="123"/>
  <c r="HJ44" i="123"/>
  <c r="HS44" i="123"/>
  <c r="IA44" i="123"/>
  <c r="IL44" i="123"/>
  <c r="IU44" i="123"/>
  <c r="FG44" i="123"/>
  <c r="FS44" i="123"/>
  <c r="GD44" i="123"/>
  <c r="GS44" i="123"/>
  <c r="HE44" i="123"/>
  <c r="HQ44" i="123"/>
  <c r="IE44" i="123"/>
  <c r="IP44" i="123"/>
  <c r="JB44" i="123"/>
  <c r="EX44" i="123"/>
  <c r="FI44" i="123"/>
  <c r="FU44" i="123"/>
  <c r="GI44" i="123"/>
  <c r="GU44" i="123"/>
  <c r="HF44" i="123"/>
  <c r="HU44" i="123"/>
  <c r="IG44" i="123"/>
  <c r="IT44" i="123"/>
  <c r="EY44" i="123"/>
  <c r="FZ44" i="123"/>
  <c r="GX44" i="123"/>
  <c r="HY44" i="123"/>
  <c r="IW44" i="123"/>
  <c r="FB44" i="123"/>
  <c r="GC44" i="123"/>
  <c r="HC44" i="123"/>
  <c r="HZ44" i="123"/>
  <c r="JA44" i="123"/>
  <c r="FM44" i="123"/>
  <c r="GK44" i="123"/>
  <c r="HK44" i="123"/>
  <c r="II44" i="123"/>
  <c r="FO44" i="123"/>
  <c r="GO44" i="123"/>
  <c r="HN44" i="123"/>
  <c r="IO44" i="123"/>
  <c r="EY50" i="123"/>
  <c r="FC50" i="123"/>
  <c r="FG50" i="123"/>
  <c r="FK50" i="123"/>
  <c r="FO50" i="123"/>
  <c r="FS50" i="123"/>
  <c r="FW50" i="123"/>
  <c r="GA50" i="123"/>
  <c r="GE50" i="123"/>
  <c r="GI50" i="123"/>
  <c r="GM50" i="123"/>
  <c r="GQ50" i="123"/>
  <c r="GU50" i="123"/>
  <c r="GY50" i="123"/>
  <c r="HC50" i="123"/>
  <c r="HG50" i="123"/>
  <c r="HK50" i="123"/>
  <c r="HO50" i="123"/>
  <c r="HS50" i="123"/>
  <c r="HW50" i="123"/>
  <c r="IA50" i="123"/>
  <c r="IE50" i="123"/>
  <c r="II50" i="123"/>
  <c r="IM50" i="123"/>
  <c r="IQ50" i="123"/>
  <c r="IU50" i="123"/>
  <c r="IY50" i="123"/>
  <c r="JC50" i="123"/>
  <c r="FA50" i="123"/>
  <c r="FF50" i="123"/>
  <c r="FL50" i="123"/>
  <c r="FQ50" i="123"/>
  <c r="FV50" i="123"/>
  <c r="GB50" i="123"/>
  <c r="GG50" i="123"/>
  <c r="GL50" i="123"/>
  <c r="GR50" i="123"/>
  <c r="GW50" i="123"/>
  <c r="HB50" i="123"/>
  <c r="HH50" i="123"/>
  <c r="HM50" i="123"/>
  <c r="HR50" i="123"/>
  <c r="HX50" i="123"/>
  <c r="IC50" i="123"/>
  <c r="IH50" i="123"/>
  <c r="IN50" i="123"/>
  <c r="IS50" i="123"/>
  <c r="IX50" i="123"/>
  <c r="FD50" i="123"/>
  <c r="FJ50" i="123"/>
  <c r="FR50" i="123"/>
  <c r="FY50" i="123"/>
  <c r="GF50" i="123"/>
  <c r="GN50" i="123"/>
  <c r="GT50" i="123"/>
  <c r="HA50" i="123"/>
  <c r="HI50" i="123"/>
  <c r="HP50" i="123"/>
  <c r="HV50" i="123"/>
  <c r="ID50" i="123"/>
  <c r="IK50" i="123"/>
  <c r="IR50" i="123"/>
  <c r="IZ50" i="123"/>
  <c r="EX50" i="123"/>
  <c r="FE50" i="123"/>
  <c r="FM50" i="123"/>
  <c r="FT50" i="123"/>
  <c r="FZ50" i="123"/>
  <c r="GH50" i="123"/>
  <c r="GO50" i="123"/>
  <c r="GV50" i="123"/>
  <c r="HD50" i="123"/>
  <c r="HJ50" i="123"/>
  <c r="HQ50" i="123"/>
  <c r="HY50" i="123"/>
  <c r="IF50" i="123"/>
  <c r="IL50" i="123"/>
  <c r="IT50" i="123"/>
  <c r="JA50" i="123"/>
  <c r="EZ50" i="123"/>
  <c r="FN50" i="123"/>
  <c r="GC50" i="123"/>
  <c r="GP50" i="123"/>
  <c r="HE50" i="123"/>
  <c r="HT50" i="123"/>
  <c r="IG50" i="123"/>
  <c r="IV50" i="123"/>
  <c r="FB50" i="123"/>
  <c r="FP50" i="123"/>
  <c r="GD50" i="123"/>
  <c r="GS50" i="123"/>
  <c r="HF50" i="123"/>
  <c r="HU50" i="123"/>
  <c r="IJ50" i="123"/>
  <c r="IW50" i="123"/>
  <c r="FH50" i="123"/>
  <c r="FU50" i="123"/>
  <c r="GJ50" i="123"/>
  <c r="GX50" i="123"/>
  <c r="HL50" i="123"/>
  <c r="HZ50" i="123"/>
  <c r="IO50" i="123"/>
  <c r="JB50" i="123"/>
  <c r="FI50" i="123"/>
  <c r="FX50" i="123"/>
  <c r="GK50" i="123"/>
  <c r="GZ50" i="123"/>
  <c r="HN50" i="123"/>
  <c r="IB50" i="123"/>
  <c r="IP50" i="123"/>
  <c r="EG44" i="123"/>
  <c r="EH44" i="123"/>
  <c r="EL44" i="123"/>
  <c r="EP44" i="123"/>
  <c r="ET44" i="123"/>
  <c r="EI44" i="123"/>
  <c r="EM44" i="123"/>
  <c r="EQ44" i="123"/>
  <c r="EU44" i="123"/>
  <c r="EK44" i="123"/>
  <c r="EO44" i="123"/>
  <c r="ES44" i="123"/>
  <c r="EW44" i="123"/>
  <c r="EJ44" i="123"/>
  <c r="EN44" i="123"/>
  <c r="ER44" i="123"/>
  <c r="EV44" i="123"/>
  <c r="EG45" i="123"/>
  <c r="EH45" i="123"/>
  <c r="EL45" i="123"/>
  <c r="EP45" i="123"/>
  <c r="ET45" i="123"/>
  <c r="EI45" i="123"/>
  <c r="EM45" i="123"/>
  <c r="EQ45" i="123"/>
  <c r="EU45" i="123"/>
  <c r="EK45" i="123"/>
  <c r="EO45" i="123"/>
  <c r="ES45" i="123"/>
  <c r="EW45" i="123"/>
  <c r="EJ45" i="123"/>
  <c r="EN45" i="123"/>
  <c r="EV45" i="123"/>
  <c r="ER45" i="123"/>
  <c r="EG50" i="123"/>
  <c r="EH50" i="123"/>
  <c r="EL50" i="123"/>
  <c r="EP50" i="123"/>
  <c r="ET50" i="123"/>
  <c r="EI50" i="123"/>
  <c r="EM50" i="123"/>
  <c r="EQ50" i="123"/>
  <c r="EU50" i="123"/>
  <c r="EK50" i="123"/>
  <c r="EO50" i="123"/>
  <c r="ES50" i="123"/>
  <c r="EW50" i="123"/>
  <c r="EJ50" i="123"/>
  <c r="EN50" i="123"/>
  <c r="EV50" i="123"/>
  <c r="ER50" i="123"/>
  <c r="EG96" i="123"/>
  <c r="EK96" i="123"/>
  <c r="EO96" i="123"/>
  <c r="ES96" i="123"/>
  <c r="EW96" i="123"/>
  <c r="EH96" i="123"/>
  <c r="EL96" i="123"/>
  <c r="EP96" i="123"/>
  <c r="ET96" i="123"/>
  <c r="EJ96" i="123"/>
  <c r="EN96" i="123"/>
  <c r="ER96" i="123"/>
  <c r="EV96" i="123"/>
  <c r="EI96" i="123"/>
  <c r="EM96" i="123"/>
  <c r="EQ96" i="123"/>
  <c r="EU96" i="123"/>
  <c r="EG43" i="123"/>
  <c r="EH43" i="123"/>
  <c r="EL43" i="123"/>
  <c r="EP43" i="123"/>
  <c r="ET43" i="123"/>
  <c r="EI43" i="123"/>
  <c r="EM43" i="123"/>
  <c r="EQ43" i="123"/>
  <c r="EU43" i="123"/>
  <c r="EK43" i="123"/>
  <c r="EO43" i="123"/>
  <c r="ES43" i="123"/>
  <c r="EW43" i="123"/>
  <c r="EJ43" i="123"/>
  <c r="EN43" i="123"/>
  <c r="EV43" i="123"/>
  <c r="ER43" i="123"/>
  <c r="GY34" i="1"/>
  <c r="GY35" i="1" s="1"/>
  <c r="HC34" i="1"/>
  <c r="HC35" i="1" s="1"/>
  <c r="HG34" i="1"/>
  <c r="HG35" i="1" s="1"/>
  <c r="HK34" i="1"/>
  <c r="HK35" i="1" s="1"/>
  <c r="HO34" i="1"/>
  <c r="HO35" i="1" s="1"/>
  <c r="HS34" i="1"/>
  <c r="HS35" i="1" s="1"/>
  <c r="HW34" i="1"/>
  <c r="HW35" i="1" s="1"/>
  <c r="IA34" i="1"/>
  <c r="IA35" i="1" s="1"/>
  <c r="IE34" i="1"/>
  <c r="IE35" i="1" s="1"/>
  <c r="II34" i="1"/>
  <c r="II35" i="1" s="1"/>
  <c r="IM34" i="1"/>
  <c r="IM35" i="1" s="1"/>
  <c r="IQ34" i="1"/>
  <c r="IQ35" i="1" s="1"/>
  <c r="IU34" i="1"/>
  <c r="IU35" i="1" s="1"/>
  <c r="IY34" i="1"/>
  <c r="IY35" i="1" s="1"/>
  <c r="JC34" i="1"/>
  <c r="JC35" i="1" s="1"/>
  <c r="JG34" i="1"/>
  <c r="JG35" i="1" s="1"/>
  <c r="JK34" i="1"/>
  <c r="JK35" i="1" s="1"/>
  <c r="JO34" i="1"/>
  <c r="JO35" i="1" s="1"/>
  <c r="JS34" i="1"/>
  <c r="JS35" i="1" s="1"/>
  <c r="JW34" i="1"/>
  <c r="JW35" i="1" s="1"/>
  <c r="KA34" i="1"/>
  <c r="KA35" i="1" s="1"/>
  <c r="KE34" i="1"/>
  <c r="KE35" i="1" s="1"/>
  <c r="KI34" i="1"/>
  <c r="KI35" i="1" s="1"/>
  <c r="KM34" i="1"/>
  <c r="KM35" i="1" s="1"/>
  <c r="KQ34" i="1"/>
  <c r="KQ35" i="1" s="1"/>
  <c r="KU34" i="1"/>
  <c r="KU35" i="1" s="1"/>
  <c r="KY34" i="1"/>
  <c r="KY35" i="1" s="1"/>
  <c r="LC34" i="1"/>
  <c r="LC35" i="1" s="1"/>
  <c r="LG34" i="1"/>
  <c r="LG35" i="1" s="1"/>
  <c r="LK34" i="1"/>
  <c r="LK35" i="1" s="1"/>
  <c r="LO34" i="1"/>
  <c r="LO35" i="1" s="1"/>
  <c r="GV34" i="1"/>
  <c r="GV35" i="1" s="1"/>
  <c r="HA34" i="1"/>
  <c r="HA35" i="1" s="1"/>
  <c r="HF34" i="1"/>
  <c r="HF35" i="1" s="1"/>
  <c r="HL34" i="1"/>
  <c r="HL35" i="1" s="1"/>
  <c r="HQ34" i="1"/>
  <c r="HQ35" i="1" s="1"/>
  <c r="HV34" i="1"/>
  <c r="HV35" i="1" s="1"/>
  <c r="IB34" i="1"/>
  <c r="IB35" i="1" s="1"/>
  <c r="IG34" i="1"/>
  <c r="IG35" i="1" s="1"/>
  <c r="IL34" i="1"/>
  <c r="IL35" i="1" s="1"/>
  <c r="IR34" i="1"/>
  <c r="IR35" i="1" s="1"/>
  <c r="IW34" i="1"/>
  <c r="IW35" i="1" s="1"/>
  <c r="JB34" i="1"/>
  <c r="JB35" i="1" s="1"/>
  <c r="JH34" i="1"/>
  <c r="JH35" i="1" s="1"/>
  <c r="JM34" i="1"/>
  <c r="JM35" i="1" s="1"/>
  <c r="JR34" i="1"/>
  <c r="JR35" i="1" s="1"/>
  <c r="JX34" i="1"/>
  <c r="JX35" i="1" s="1"/>
  <c r="KC34" i="1"/>
  <c r="KC35" i="1" s="1"/>
  <c r="KH34" i="1"/>
  <c r="KH35" i="1" s="1"/>
  <c r="KN34" i="1"/>
  <c r="KN35" i="1" s="1"/>
  <c r="KS34" i="1"/>
  <c r="KS35" i="1" s="1"/>
  <c r="KX34" i="1"/>
  <c r="KX35" i="1" s="1"/>
  <c r="LD34" i="1"/>
  <c r="LD35" i="1" s="1"/>
  <c r="LI34" i="1"/>
  <c r="LI35" i="1" s="1"/>
  <c r="LN34" i="1"/>
  <c r="LN35" i="1" s="1"/>
  <c r="GW34" i="1"/>
  <c r="GW35" i="1" s="1"/>
  <c r="HB34" i="1"/>
  <c r="HB35" i="1" s="1"/>
  <c r="HH34" i="1"/>
  <c r="HH35" i="1" s="1"/>
  <c r="HM34" i="1"/>
  <c r="HM35" i="1" s="1"/>
  <c r="HR34" i="1"/>
  <c r="HR35" i="1" s="1"/>
  <c r="HX34" i="1"/>
  <c r="HX35" i="1" s="1"/>
  <c r="IC34" i="1"/>
  <c r="IC35" i="1" s="1"/>
  <c r="IH34" i="1"/>
  <c r="IH35" i="1" s="1"/>
  <c r="IN34" i="1"/>
  <c r="IN35" i="1" s="1"/>
  <c r="IS34" i="1"/>
  <c r="IS35" i="1" s="1"/>
  <c r="IX34" i="1"/>
  <c r="IX35" i="1" s="1"/>
  <c r="JD34" i="1"/>
  <c r="JD35" i="1" s="1"/>
  <c r="JI34" i="1"/>
  <c r="JI35" i="1" s="1"/>
  <c r="JN34" i="1"/>
  <c r="JN35" i="1" s="1"/>
  <c r="JT34" i="1"/>
  <c r="JT35" i="1" s="1"/>
  <c r="JY34" i="1"/>
  <c r="JY35" i="1" s="1"/>
  <c r="KD34" i="1"/>
  <c r="KD35" i="1" s="1"/>
  <c r="KJ34" i="1"/>
  <c r="KJ35" i="1" s="1"/>
  <c r="KO34" i="1"/>
  <c r="KO35" i="1" s="1"/>
  <c r="KT34" i="1"/>
  <c r="KT35" i="1" s="1"/>
  <c r="KZ34" i="1"/>
  <c r="KZ35" i="1" s="1"/>
  <c r="LE34" i="1"/>
  <c r="LE35" i="1" s="1"/>
  <c r="LJ34" i="1"/>
  <c r="LJ35" i="1" s="1"/>
  <c r="LP34" i="1"/>
  <c r="LP35" i="1" s="1"/>
  <c r="GX34" i="1"/>
  <c r="GX35" i="1" s="1"/>
  <c r="HD34" i="1"/>
  <c r="HD35" i="1" s="1"/>
  <c r="HI34" i="1"/>
  <c r="HI35" i="1" s="1"/>
  <c r="HN34" i="1"/>
  <c r="HN35" i="1" s="1"/>
  <c r="HT34" i="1"/>
  <c r="HT35" i="1" s="1"/>
  <c r="HY34" i="1"/>
  <c r="HY35" i="1" s="1"/>
  <c r="ID34" i="1"/>
  <c r="ID35" i="1" s="1"/>
  <c r="IJ34" i="1"/>
  <c r="IJ35" i="1" s="1"/>
  <c r="IO34" i="1"/>
  <c r="IO35" i="1" s="1"/>
  <c r="IT34" i="1"/>
  <c r="IT35" i="1" s="1"/>
  <c r="IZ34" i="1"/>
  <c r="IZ35" i="1" s="1"/>
  <c r="JE34" i="1"/>
  <c r="JE35" i="1" s="1"/>
  <c r="JJ34" i="1"/>
  <c r="JJ35" i="1" s="1"/>
  <c r="JP34" i="1"/>
  <c r="JP35" i="1" s="1"/>
  <c r="JU34" i="1"/>
  <c r="JU35" i="1" s="1"/>
  <c r="JZ34" i="1"/>
  <c r="JZ35" i="1" s="1"/>
  <c r="KF34" i="1"/>
  <c r="KF35" i="1" s="1"/>
  <c r="KK34" i="1"/>
  <c r="KK35" i="1" s="1"/>
  <c r="KP34" i="1"/>
  <c r="KP35" i="1" s="1"/>
  <c r="KV34" i="1"/>
  <c r="KV35" i="1" s="1"/>
  <c r="LA34" i="1"/>
  <c r="LA35" i="1" s="1"/>
  <c r="LF34" i="1"/>
  <c r="LF35" i="1" s="1"/>
  <c r="LL34" i="1"/>
  <c r="LL35" i="1" s="1"/>
  <c r="GU34" i="1"/>
  <c r="GU35" i="1" s="1"/>
  <c r="GZ34" i="1"/>
  <c r="GZ35" i="1" s="1"/>
  <c r="HE34" i="1"/>
  <c r="HE35" i="1" s="1"/>
  <c r="HJ34" i="1"/>
  <c r="HJ35" i="1" s="1"/>
  <c r="HP34" i="1"/>
  <c r="HP35" i="1" s="1"/>
  <c r="HU34" i="1"/>
  <c r="HU35" i="1" s="1"/>
  <c r="HZ34" i="1"/>
  <c r="HZ35" i="1" s="1"/>
  <c r="IF34" i="1"/>
  <c r="IF35" i="1" s="1"/>
  <c r="IK34" i="1"/>
  <c r="IK35" i="1" s="1"/>
  <c r="IP34" i="1"/>
  <c r="IP35" i="1" s="1"/>
  <c r="IV34" i="1"/>
  <c r="IV35" i="1" s="1"/>
  <c r="JA34" i="1"/>
  <c r="JA35" i="1" s="1"/>
  <c r="JF34" i="1"/>
  <c r="JF35" i="1" s="1"/>
  <c r="JL34" i="1"/>
  <c r="JL35" i="1" s="1"/>
  <c r="JQ34" i="1"/>
  <c r="JQ35" i="1" s="1"/>
  <c r="JV34" i="1"/>
  <c r="JV35" i="1" s="1"/>
  <c r="KB34" i="1"/>
  <c r="KB35" i="1" s="1"/>
  <c r="KG34" i="1"/>
  <c r="KG35" i="1" s="1"/>
  <c r="KL34" i="1"/>
  <c r="KL35" i="1" s="1"/>
  <c r="KR34" i="1"/>
  <c r="KR35" i="1" s="1"/>
  <c r="KW34" i="1"/>
  <c r="KW35" i="1" s="1"/>
  <c r="LB34" i="1"/>
  <c r="LB35" i="1" s="1"/>
  <c r="LH34" i="1"/>
  <c r="LH35" i="1" s="1"/>
  <c r="LM34" i="1"/>
  <c r="LM35" i="1" s="1"/>
  <c r="EJ26" i="123"/>
  <c r="EJ27" i="123" s="1"/>
  <c r="EN26" i="123"/>
  <c r="EN27" i="123" s="1"/>
  <c r="ER26" i="123"/>
  <c r="ER27" i="123" s="1"/>
  <c r="EV26" i="123"/>
  <c r="EV27" i="123" s="1"/>
  <c r="EZ26" i="123"/>
  <c r="EZ27" i="123" s="1"/>
  <c r="FD26" i="123"/>
  <c r="FD27" i="123" s="1"/>
  <c r="FH26" i="123"/>
  <c r="FH27" i="123" s="1"/>
  <c r="FL26" i="123"/>
  <c r="FL27" i="123" s="1"/>
  <c r="FP26" i="123"/>
  <c r="FP27" i="123" s="1"/>
  <c r="FT26" i="123"/>
  <c r="FT27" i="123" s="1"/>
  <c r="FX26" i="123"/>
  <c r="FX27" i="123" s="1"/>
  <c r="GB26" i="123"/>
  <c r="GB27" i="123" s="1"/>
  <c r="GF26" i="123"/>
  <c r="GF27" i="123" s="1"/>
  <c r="GJ26" i="123"/>
  <c r="GJ27" i="123" s="1"/>
  <c r="GN26" i="123"/>
  <c r="GN27" i="123" s="1"/>
  <c r="GR26" i="123"/>
  <c r="GR27" i="123" s="1"/>
  <c r="GV26" i="123"/>
  <c r="GV27" i="123" s="1"/>
  <c r="GZ26" i="123"/>
  <c r="GZ27" i="123" s="1"/>
  <c r="HD26" i="123"/>
  <c r="HD27" i="123" s="1"/>
  <c r="HH26" i="123"/>
  <c r="HH27" i="123" s="1"/>
  <c r="HL26" i="123"/>
  <c r="HL27" i="123" s="1"/>
  <c r="HP26" i="123"/>
  <c r="HP27" i="123" s="1"/>
  <c r="HT26" i="123"/>
  <c r="HT27" i="123" s="1"/>
  <c r="HX26" i="123"/>
  <c r="HX27" i="123" s="1"/>
  <c r="IB26" i="123"/>
  <c r="IB27" i="123" s="1"/>
  <c r="IF26" i="123"/>
  <c r="IF27" i="123" s="1"/>
  <c r="IN26" i="123"/>
  <c r="IN27" i="123" s="1"/>
  <c r="IZ26" i="123"/>
  <c r="IZ27" i="123" s="1"/>
  <c r="EI26" i="123"/>
  <c r="EI27" i="123" s="1"/>
  <c r="EM26" i="123"/>
  <c r="EM27" i="123" s="1"/>
  <c r="EQ26" i="123"/>
  <c r="EQ27" i="123" s="1"/>
  <c r="EU26" i="123"/>
  <c r="EU27" i="123" s="1"/>
  <c r="EY26" i="123"/>
  <c r="EY27" i="123" s="1"/>
  <c r="FC26" i="123"/>
  <c r="FC27" i="123" s="1"/>
  <c r="FG26" i="123"/>
  <c r="FG27" i="123" s="1"/>
  <c r="FK26" i="123"/>
  <c r="FK27" i="123" s="1"/>
  <c r="FO26" i="123"/>
  <c r="FO27" i="123" s="1"/>
  <c r="FS26" i="123"/>
  <c r="FS27" i="123" s="1"/>
  <c r="FW26" i="123"/>
  <c r="FW27" i="123" s="1"/>
  <c r="GA26" i="123"/>
  <c r="GA27" i="123" s="1"/>
  <c r="GE26" i="123"/>
  <c r="GE27" i="123" s="1"/>
  <c r="GI26" i="123"/>
  <c r="GI27" i="123" s="1"/>
  <c r="GM26" i="123"/>
  <c r="GM27" i="123" s="1"/>
  <c r="GQ26" i="123"/>
  <c r="GQ27" i="123" s="1"/>
  <c r="GU26" i="123"/>
  <c r="GU27" i="123" s="1"/>
  <c r="GY26" i="123"/>
  <c r="GY27" i="123" s="1"/>
  <c r="HC26" i="123"/>
  <c r="HC27" i="123" s="1"/>
  <c r="HG26" i="123"/>
  <c r="HG27" i="123" s="1"/>
  <c r="HK26" i="123"/>
  <c r="HK27" i="123" s="1"/>
  <c r="HO26" i="123"/>
  <c r="HO27" i="123" s="1"/>
  <c r="HS26" i="123"/>
  <c r="HS27" i="123" s="1"/>
  <c r="HW26" i="123"/>
  <c r="HW27" i="123" s="1"/>
  <c r="IA26" i="123"/>
  <c r="IA27" i="123" s="1"/>
  <c r="IE26" i="123"/>
  <c r="IE27" i="123" s="1"/>
  <c r="II26" i="123"/>
  <c r="II27" i="123" s="1"/>
  <c r="IM26" i="123"/>
  <c r="IM27" i="123" s="1"/>
  <c r="IQ26" i="123"/>
  <c r="IQ27" i="123" s="1"/>
  <c r="IU26" i="123"/>
  <c r="IU27" i="123" s="1"/>
  <c r="IY26" i="123"/>
  <c r="IY27" i="123" s="1"/>
  <c r="JC26" i="123"/>
  <c r="JC27" i="123" s="1"/>
  <c r="IJ26" i="123"/>
  <c r="IJ27" i="123" s="1"/>
  <c r="IR26" i="123"/>
  <c r="IR27" i="123" s="1"/>
  <c r="IV26" i="123"/>
  <c r="IV27" i="123" s="1"/>
  <c r="EH26" i="123"/>
  <c r="EH27" i="123" s="1"/>
  <c r="EK26" i="123"/>
  <c r="EK27" i="123" s="1"/>
  <c r="ES26" i="123"/>
  <c r="ES27" i="123" s="1"/>
  <c r="FA26" i="123"/>
  <c r="FA27" i="123" s="1"/>
  <c r="FI26" i="123"/>
  <c r="FI27" i="123" s="1"/>
  <c r="FQ26" i="123"/>
  <c r="FQ27" i="123" s="1"/>
  <c r="FY26" i="123"/>
  <c r="FY27" i="123" s="1"/>
  <c r="GG26" i="123"/>
  <c r="GG27" i="123" s="1"/>
  <c r="GO26" i="123"/>
  <c r="GO27" i="123" s="1"/>
  <c r="GW26" i="123"/>
  <c r="GW27" i="123" s="1"/>
  <c r="HE26" i="123"/>
  <c r="HE27" i="123" s="1"/>
  <c r="HM26" i="123"/>
  <c r="HM27" i="123" s="1"/>
  <c r="HU26" i="123"/>
  <c r="HU27" i="123" s="1"/>
  <c r="IC26" i="123"/>
  <c r="IC27" i="123" s="1"/>
  <c r="IK26" i="123"/>
  <c r="IK27" i="123" s="1"/>
  <c r="IS26" i="123"/>
  <c r="IS27" i="123" s="1"/>
  <c r="JA26" i="123"/>
  <c r="JA27" i="123" s="1"/>
  <c r="FB26" i="123"/>
  <c r="FB27" i="123" s="1"/>
  <c r="FR26" i="123"/>
  <c r="FR27" i="123" s="1"/>
  <c r="GP26" i="123"/>
  <c r="GP27" i="123" s="1"/>
  <c r="HN26" i="123"/>
  <c r="HN27" i="123" s="1"/>
  <c r="IL26" i="123"/>
  <c r="IL27" i="123" s="1"/>
  <c r="FM26" i="123"/>
  <c r="FM27" i="123" s="1"/>
  <c r="GC26" i="123"/>
  <c r="GC27" i="123" s="1"/>
  <c r="HA26" i="123"/>
  <c r="HA27" i="123" s="1"/>
  <c r="HQ26" i="123"/>
  <c r="HQ27" i="123" s="1"/>
  <c r="IO26" i="123"/>
  <c r="IO27" i="123" s="1"/>
  <c r="EP26" i="123"/>
  <c r="EP27" i="123" s="1"/>
  <c r="EX26" i="123"/>
  <c r="EX27" i="123" s="1"/>
  <c r="FF26" i="123"/>
  <c r="FF27" i="123" s="1"/>
  <c r="FN26" i="123"/>
  <c r="FN27" i="123" s="1"/>
  <c r="FV26" i="123"/>
  <c r="FV27" i="123" s="1"/>
  <c r="GD26" i="123"/>
  <c r="GD27" i="123" s="1"/>
  <c r="GL26" i="123"/>
  <c r="GL27" i="123" s="1"/>
  <c r="GT26" i="123"/>
  <c r="GT27" i="123" s="1"/>
  <c r="HB26" i="123"/>
  <c r="HB27" i="123" s="1"/>
  <c r="HJ26" i="123"/>
  <c r="HJ27" i="123" s="1"/>
  <c r="HR26" i="123"/>
  <c r="HR27" i="123" s="1"/>
  <c r="HZ26" i="123"/>
  <c r="HZ27" i="123" s="1"/>
  <c r="IH26" i="123"/>
  <c r="IH27" i="123" s="1"/>
  <c r="IP26" i="123"/>
  <c r="IP27" i="123" s="1"/>
  <c r="IX26" i="123"/>
  <c r="IX27" i="123" s="1"/>
  <c r="EL26" i="123"/>
  <c r="EL27" i="123" s="1"/>
  <c r="ET26" i="123"/>
  <c r="ET27" i="123" s="1"/>
  <c r="FJ26" i="123"/>
  <c r="FJ27" i="123" s="1"/>
  <c r="FZ26" i="123"/>
  <c r="FZ27" i="123" s="1"/>
  <c r="GH26" i="123"/>
  <c r="GH27" i="123" s="1"/>
  <c r="GX26" i="123"/>
  <c r="GX27" i="123" s="1"/>
  <c r="HF26" i="123"/>
  <c r="HF27" i="123" s="1"/>
  <c r="HV26" i="123"/>
  <c r="HV27" i="123" s="1"/>
  <c r="ID26" i="123"/>
  <c r="ID27" i="123" s="1"/>
  <c r="IT26" i="123"/>
  <c r="IT27" i="123" s="1"/>
  <c r="JB26" i="123"/>
  <c r="JB27" i="123" s="1"/>
  <c r="EO26" i="123"/>
  <c r="EO27" i="123" s="1"/>
  <c r="EW26" i="123"/>
  <c r="EW27" i="123" s="1"/>
  <c r="FE26" i="123"/>
  <c r="FE27" i="123" s="1"/>
  <c r="FU26" i="123"/>
  <c r="FU27" i="123" s="1"/>
  <c r="GK26" i="123"/>
  <c r="GK27" i="123" s="1"/>
  <c r="GS26" i="123"/>
  <c r="GS27" i="123" s="1"/>
  <c r="HI26" i="123"/>
  <c r="HI27" i="123" s="1"/>
  <c r="HY26" i="123"/>
  <c r="HY27" i="123" s="1"/>
  <c r="IG26" i="123"/>
  <c r="IG27" i="123" s="1"/>
  <c r="IW26" i="123"/>
  <c r="IW27" i="123" s="1"/>
  <c r="GW29" i="1"/>
  <c r="KC29" i="1"/>
  <c r="LA29" i="1"/>
  <c r="EI21" i="123"/>
  <c r="KS29" i="1"/>
  <c r="LL29" i="1"/>
  <c r="LD29" i="1"/>
  <c r="KZ29" i="1"/>
  <c r="LP29" i="1"/>
  <c r="IU21" i="123"/>
  <c r="FN20" i="123"/>
  <c r="JC21" i="123"/>
  <c r="IP21" i="123"/>
  <c r="FO20" i="123"/>
  <c r="FI21" i="123"/>
  <c r="FR20" i="123"/>
  <c r="FS20" i="123"/>
  <c r="FP20" i="123"/>
  <c r="FJ21" i="123"/>
  <c r="FA20" i="123"/>
  <c r="FM20" i="123"/>
  <c r="FK21" i="123"/>
  <c r="FB20" i="123"/>
  <c r="FL21" i="123"/>
  <c r="FC20" i="123"/>
  <c r="FG21" i="123"/>
  <c r="FO21" i="123"/>
  <c r="FF20" i="123"/>
  <c r="FH21" i="123"/>
  <c r="EP21" i="123"/>
  <c r="FP21" i="123"/>
  <c r="FG20" i="123"/>
  <c r="IT21" i="123"/>
  <c r="EW21" i="123"/>
  <c r="FE21" i="123"/>
  <c r="FM21" i="123"/>
  <c r="FD20" i="123"/>
  <c r="FQ20" i="123"/>
  <c r="FD21" i="123"/>
  <c r="FS21" i="123"/>
  <c r="FJ20" i="123"/>
  <c r="FT21" i="123"/>
  <c r="FK20" i="123"/>
  <c r="FQ21" i="123"/>
  <c r="FH20" i="123"/>
  <c r="FF21" i="123"/>
  <c r="FN21" i="123"/>
  <c r="FE20" i="123"/>
  <c r="FU21" i="123"/>
  <c r="FL20" i="123"/>
  <c r="FR21" i="123"/>
  <c r="FI20" i="123"/>
  <c r="GY29" i="1"/>
  <c r="HP29" i="1"/>
  <c r="KN29" i="1"/>
  <c r="HE29" i="1"/>
  <c r="IE28" i="1"/>
  <c r="JM28" i="1"/>
  <c r="IY28" i="1"/>
  <c r="IT28" i="1"/>
  <c r="KK28" i="1"/>
  <c r="KS28" i="1"/>
  <c r="LA28" i="1"/>
  <c r="LM28" i="1"/>
  <c r="LL28" i="1"/>
  <c r="HK29" i="1"/>
  <c r="GW28" i="1"/>
  <c r="II29" i="1"/>
  <c r="GX28" i="1"/>
  <c r="JK29" i="1"/>
  <c r="LG29" i="1"/>
  <c r="JS29" i="1"/>
  <c r="KY29" i="1"/>
  <c r="LO29" i="1"/>
  <c r="KA29" i="1"/>
  <c r="JR28" i="1"/>
  <c r="JO29" i="1"/>
  <c r="JH29" i="1"/>
  <c r="IA28" i="1"/>
  <c r="HH29" i="1"/>
  <c r="LI29" i="1"/>
  <c r="LN28" i="1"/>
  <c r="HE28" i="1"/>
  <c r="IX29" i="1"/>
  <c r="HB29" i="1"/>
  <c r="IH29" i="1"/>
  <c r="GU28" i="1"/>
  <c r="KM29" i="1"/>
  <c r="LK29" i="1"/>
  <c r="IG28" i="1"/>
  <c r="JB29" i="1"/>
  <c r="JR29" i="1"/>
  <c r="KU29" i="1"/>
  <c r="KX29" i="1"/>
  <c r="LF29" i="1"/>
  <c r="LN29" i="1"/>
  <c r="HX28" i="1"/>
  <c r="JG29" i="1"/>
  <c r="HM28" i="1"/>
  <c r="IN29" i="1"/>
  <c r="KU28" i="1"/>
  <c r="IB29" i="1"/>
  <c r="HW28" i="1"/>
  <c r="IV29" i="1"/>
  <c r="KG28" i="1"/>
  <c r="JA29" i="1"/>
  <c r="JB28" i="1"/>
  <c r="HK28" i="1"/>
  <c r="KJ29" i="1"/>
  <c r="JU29" i="1"/>
  <c r="JE29" i="1"/>
  <c r="KK29" i="1"/>
  <c r="JT28" i="1"/>
  <c r="HA29" i="1"/>
  <c r="HP28" i="1"/>
  <c r="IB28" i="1"/>
  <c r="JQ29" i="1"/>
  <c r="KT29" i="1"/>
  <c r="LE29" i="1"/>
  <c r="HU28" i="1"/>
  <c r="LH28" i="1"/>
  <c r="HA28" i="1"/>
  <c r="JK28" i="1"/>
  <c r="JJ28" i="1"/>
  <c r="KA28" i="1"/>
  <c r="KQ28" i="1"/>
  <c r="KY28" i="1"/>
  <c r="LK28" i="1"/>
  <c r="LO28" i="1"/>
  <c r="HI29" i="1"/>
  <c r="IC29" i="1"/>
  <c r="IX28" i="1"/>
  <c r="IX32" i="1" s="1"/>
  <c r="KZ28" i="1"/>
  <c r="LC29" i="1"/>
  <c r="HV29" i="1"/>
  <c r="HM29" i="1"/>
  <c r="IF28" i="1"/>
  <c r="IM29" i="1"/>
  <c r="GZ29" i="1"/>
  <c r="HS29" i="1"/>
  <c r="JQ28" i="1"/>
  <c r="JT29" i="1"/>
  <c r="KR29" i="1"/>
  <c r="JF29" i="1"/>
  <c r="KH29" i="1"/>
  <c r="JW29" i="1"/>
  <c r="KW29" i="1"/>
  <c r="JL28" i="1"/>
  <c r="HI28" i="1"/>
  <c r="JI29" i="1"/>
  <c r="LM29" i="1"/>
  <c r="HC28" i="1"/>
  <c r="KJ28" i="1"/>
  <c r="IC28" i="1"/>
  <c r="KI28" i="1"/>
  <c r="GU29" i="1"/>
  <c r="HN28" i="1"/>
  <c r="IN28" i="1"/>
  <c r="IU29" i="1"/>
  <c r="ID29" i="1"/>
  <c r="HZ28" i="1"/>
  <c r="JH28" i="1"/>
  <c r="JH32" i="1" s="1"/>
  <c r="KB29" i="1"/>
  <c r="LH29" i="1"/>
  <c r="JM29" i="1"/>
  <c r="JA28" i="1"/>
  <c r="KP29" i="1"/>
  <c r="JG28" i="1"/>
  <c r="KE29" i="1"/>
  <c r="II28" i="1"/>
  <c r="JU28" i="1"/>
  <c r="KC28" i="1"/>
  <c r="JP29" i="1"/>
  <c r="JX29" i="1"/>
  <c r="KN28" i="1"/>
  <c r="KV29" i="1"/>
  <c r="IJ29" i="1"/>
  <c r="JX28" i="1"/>
  <c r="KV28" i="1"/>
  <c r="LP28" i="1"/>
  <c r="IL29" i="1"/>
  <c r="IT29" i="1"/>
  <c r="HD28" i="1"/>
  <c r="HL28" i="1"/>
  <c r="HY29" i="1"/>
  <c r="HC29" i="1"/>
  <c r="GY28" i="1"/>
  <c r="HO29" i="1"/>
  <c r="HV28" i="1"/>
  <c r="IK29" i="1"/>
  <c r="IS29" i="1"/>
  <c r="HG28" i="1"/>
  <c r="GX29" i="1"/>
  <c r="ID28" i="1"/>
  <c r="IL28" i="1"/>
  <c r="HJ29" i="1"/>
  <c r="HR29" i="1"/>
  <c r="HQ28" i="1"/>
  <c r="HD29" i="1"/>
  <c r="IM28" i="1"/>
  <c r="HJ28" i="1"/>
  <c r="IA29" i="1"/>
  <c r="HL29" i="1"/>
  <c r="HS28" i="1"/>
  <c r="GT28" i="1"/>
  <c r="IQ28" i="1"/>
  <c r="IU28" i="1"/>
  <c r="JL29" i="1"/>
  <c r="KO28" i="1"/>
  <c r="KW28" i="1"/>
  <c r="LE28" i="1"/>
  <c r="JN28" i="1"/>
  <c r="JV28" i="1"/>
  <c r="IV28" i="1"/>
  <c r="KD28" i="1"/>
  <c r="KL28" i="1"/>
  <c r="KT28" i="1"/>
  <c r="LB28" i="1"/>
  <c r="LJ28" i="1"/>
  <c r="JO28" i="1"/>
  <c r="IS28" i="1"/>
  <c r="JW28" i="1"/>
  <c r="JJ29" i="1"/>
  <c r="JN29" i="1"/>
  <c r="JV29" i="1"/>
  <c r="KD29" i="1"/>
  <c r="LG28" i="1"/>
  <c r="LJ29" i="1"/>
  <c r="JC28" i="1"/>
  <c r="JC29" i="1"/>
  <c r="KB28" i="1"/>
  <c r="KR28" i="1"/>
  <c r="IP29" i="1"/>
  <c r="GZ28" i="1"/>
  <c r="HH28" i="1"/>
  <c r="HU29" i="1"/>
  <c r="HU32" i="1" s="1"/>
  <c r="HT28" i="1"/>
  <c r="HG29" i="1"/>
  <c r="IZ29" i="1"/>
  <c r="HW29" i="1"/>
  <c r="IE29" i="1"/>
  <c r="IO29" i="1"/>
  <c r="IW29" i="1"/>
  <c r="HO28" i="1"/>
  <c r="IF29" i="1"/>
  <c r="IF32" i="1" s="1"/>
  <c r="IH28" i="1"/>
  <c r="IY29" i="1"/>
  <c r="HN29" i="1"/>
  <c r="GV29" i="1"/>
  <c r="HZ29" i="1"/>
  <c r="HY28" i="1"/>
  <c r="HB28" i="1"/>
  <c r="HR28" i="1"/>
  <c r="GT29" i="1"/>
  <c r="GV28" i="1"/>
  <c r="JY28" i="1"/>
  <c r="KF29" i="1"/>
  <c r="LI28" i="1"/>
  <c r="JI28" i="1"/>
  <c r="JE28" i="1"/>
  <c r="IZ28" i="1"/>
  <c r="KH28" i="1"/>
  <c r="KP28" i="1"/>
  <c r="KX28" i="1"/>
  <c r="LF28" i="1"/>
  <c r="IO28" i="1"/>
  <c r="JF28" i="1"/>
  <c r="IW28" i="1"/>
  <c r="KE28" i="1"/>
  <c r="KM28" i="1"/>
  <c r="JZ29" i="1"/>
  <c r="LC28" i="1"/>
  <c r="LB29" i="1"/>
  <c r="JP28" i="1"/>
  <c r="IP28" i="1"/>
  <c r="KF28" i="1"/>
  <c r="KI29" i="1"/>
  <c r="KQ29" i="1"/>
  <c r="KQ32" i="1" s="1"/>
  <c r="IK28" i="1"/>
  <c r="HQ29" i="1"/>
  <c r="IG29" i="1"/>
  <c r="HF28" i="1"/>
  <c r="IJ28" i="1"/>
  <c r="HX29" i="1"/>
  <c r="HF29" i="1"/>
  <c r="IQ29" i="1"/>
  <c r="IQ32" i="1" s="1"/>
  <c r="IR29" i="1"/>
  <c r="HT29" i="1"/>
  <c r="JD28" i="1"/>
  <c r="JD29" i="1"/>
  <c r="IR28" i="1"/>
  <c r="JZ28" i="1"/>
  <c r="JY29" i="1"/>
  <c r="KG29" i="1"/>
  <c r="KO29" i="1"/>
  <c r="JS28" i="1"/>
  <c r="KL29" i="1"/>
  <c r="LD28" i="1"/>
  <c r="DY78" i="123"/>
  <c r="DY91" i="123"/>
  <c r="DZ81" i="123"/>
  <c r="DZ67" i="123"/>
  <c r="AE78" i="123"/>
  <c r="AE83" i="123"/>
  <c r="AE75" i="123"/>
  <c r="AE81" i="123"/>
  <c r="AE91" i="123"/>
  <c r="DZ89" i="123"/>
  <c r="DZ75" i="123"/>
  <c r="AE95" i="123"/>
  <c r="DZ83" i="123"/>
  <c r="AE67" i="123"/>
  <c r="DY86" i="123"/>
  <c r="DY89" i="123"/>
  <c r="DY74" i="123"/>
  <c r="DZ86" i="123"/>
  <c r="DY95" i="123"/>
  <c r="DZ71" i="123"/>
  <c r="AE74" i="123"/>
  <c r="DY92" i="123"/>
  <c r="AE80" i="123"/>
  <c r="DZ85" i="123"/>
  <c r="DZ80" i="123"/>
  <c r="DY70" i="123"/>
  <c r="DY73" i="123"/>
  <c r="AE87" i="123"/>
  <c r="DZ82" i="123"/>
  <c r="DZ92" i="123"/>
  <c r="DY68" i="123"/>
  <c r="DY88" i="123"/>
  <c r="DZ87" i="123"/>
  <c r="DY79" i="123"/>
  <c r="AE71" i="123"/>
  <c r="DZ94" i="123"/>
  <c r="DY82" i="123"/>
  <c r="DZ70" i="123"/>
  <c r="DZ93" i="123"/>
  <c r="AE85" i="123"/>
  <c r="DZ88" i="123"/>
  <c r="DZ68" i="123"/>
  <c r="AE79" i="123"/>
  <c r="DY94" i="123"/>
  <c r="AE93" i="123"/>
  <c r="DZ73" i="123"/>
  <c r="EU21" i="123"/>
  <c r="ET20" i="123"/>
  <c r="EU20" i="123"/>
  <c r="EQ21" i="123"/>
  <c r="EL21" i="123"/>
  <c r="ET21" i="123"/>
  <c r="EX20" i="123"/>
  <c r="EH21" i="123"/>
  <c r="EY20" i="123"/>
  <c r="FL140" i="1"/>
  <c r="CZ77" i="130"/>
  <c r="CV77" i="130"/>
  <c r="CZ84" i="130"/>
  <c r="CV84" i="130"/>
  <c r="CZ79" i="130"/>
  <c r="CV79" i="130"/>
  <c r="CZ95" i="130"/>
  <c r="CV95" i="130"/>
  <c r="CZ80" i="130"/>
  <c r="CV80" i="130"/>
  <c r="CZ81" i="130"/>
  <c r="CV81" i="130"/>
  <c r="CZ97" i="130"/>
  <c r="CV97" i="130"/>
  <c r="CZ105" i="130"/>
  <c r="CV105" i="130"/>
  <c r="CZ78" i="130"/>
  <c r="CV78" i="130"/>
  <c r="CZ86" i="130"/>
  <c r="CV86" i="130"/>
  <c r="CZ94" i="130"/>
  <c r="CV94" i="130"/>
  <c r="CZ102" i="130"/>
  <c r="CV102" i="130"/>
  <c r="CZ76" i="130"/>
  <c r="CV76" i="130"/>
  <c r="CZ96" i="130"/>
  <c r="CV96" i="130"/>
  <c r="CZ83" i="130"/>
  <c r="CV83" i="130"/>
  <c r="CZ99" i="130"/>
  <c r="CV99" i="130"/>
  <c r="CZ85" i="130"/>
  <c r="CV85" i="130"/>
  <c r="CZ92" i="130"/>
  <c r="CV92" i="130"/>
  <c r="CZ87" i="130"/>
  <c r="CV87" i="130"/>
  <c r="CZ103" i="130"/>
  <c r="CV103" i="130"/>
  <c r="CZ100" i="130"/>
  <c r="CV100" i="130"/>
  <c r="CZ93" i="130"/>
  <c r="CV93" i="130"/>
  <c r="CZ104" i="130"/>
  <c r="CV104" i="130"/>
  <c r="CZ89" i="130"/>
  <c r="CV89" i="130"/>
  <c r="CZ101" i="130"/>
  <c r="CV101" i="130"/>
  <c r="CZ73" i="130"/>
  <c r="CV73" i="130"/>
  <c r="CZ74" i="130"/>
  <c r="CV74" i="130"/>
  <c r="CZ82" i="130"/>
  <c r="CV82" i="130"/>
  <c r="CZ90" i="130"/>
  <c r="CV90" i="130"/>
  <c r="CZ98" i="130"/>
  <c r="CV98" i="130"/>
  <c r="CZ106" i="130"/>
  <c r="CV106" i="130"/>
  <c r="CZ88" i="130"/>
  <c r="CV88" i="130"/>
  <c r="CZ75" i="130"/>
  <c r="CV75" i="130"/>
  <c r="CZ91" i="130"/>
  <c r="CV91" i="130"/>
  <c r="CZ138" i="130"/>
  <c r="CV138" i="130"/>
  <c r="CZ146" i="130"/>
  <c r="CV146" i="130"/>
  <c r="CZ154" i="130"/>
  <c r="CV154" i="130"/>
  <c r="CZ140" i="130"/>
  <c r="CV140" i="130"/>
  <c r="CZ148" i="130"/>
  <c r="CV148" i="130"/>
  <c r="CZ156" i="130"/>
  <c r="CV156" i="130"/>
  <c r="CZ162" i="130"/>
  <c r="CV162" i="130"/>
  <c r="CZ135" i="130"/>
  <c r="CV135" i="130"/>
  <c r="CZ143" i="130"/>
  <c r="CV143" i="130"/>
  <c r="CZ151" i="130"/>
  <c r="CV151" i="130"/>
  <c r="CZ159" i="130"/>
  <c r="CV159" i="130"/>
  <c r="CZ167" i="130"/>
  <c r="CV167" i="130"/>
  <c r="CZ149" i="130"/>
  <c r="CV149" i="130"/>
  <c r="CZ145" i="130"/>
  <c r="CV145" i="130"/>
  <c r="CZ165" i="130"/>
  <c r="CV165" i="130"/>
  <c r="CZ141" i="130"/>
  <c r="CV141" i="130"/>
  <c r="CZ134" i="130"/>
  <c r="CV134" i="130"/>
  <c r="CZ142" i="130"/>
  <c r="CV142" i="130"/>
  <c r="CZ150" i="130"/>
  <c r="CV150" i="130"/>
  <c r="CZ136" i="130"/>
  <c r="CV136" i="130"/>
  <c r="CZ144" i="130"/>
  <c r="CV144" i="130"/>
  <c r="CZ152" i="130"/>
  <c r="CV152" i="130"/>
  <c r="CZ160" i="130"/>
  <c r="CV160" i="130"/>
  <c r="CZ158" i="130"/>
  <c r="CV158" i="130"/>
  <c r="CZ166" i="130"/>
  <c r="CV166" i="130"/>
  <c r="CZ139" i="130"/>
  <c r="CV139" i="130"/>
  <c r="CZ147" i="130"/>
  <c r="CV147" i="130"/>
  <c r="CZ155" i="130"/>
  <c r="CV155" i="130"/>
  <c r="CZ163" i="130"/>
  <c r="CV163" i="130"/>
  <c r="CZ137" i="130"/>
  <c r="CV137" i="130"/>
  <c r="CZ157" i="130"/>
  <c r="CV157" i="130"/>
  <c r="CZ153" i="130"/>
  <c r="CV153" i="130"/>
  <c r="CZ164" i="130"/>
  <c r="CV164" i="130"/>
  <c r="CZ161" i="130"/>
  <c r="CV161" i="130"/>
  <c r="IX21" i="123"/>
  <c r="GO21" i="123"/>
  <c r="EJ21" i="123"/>
  <c r="ER21" i="123"/>
  <c r="GM21" i="123"/>
  <c r="HU21" i="123"/>
  <c r="HC21" i="123"/>
  <c r="IF21" i="123"/>
  <c r="IN21" i="123"/>
  <c r="II21" i="123"/>
  <c r="IL20" i="123"/>
  <c r="EX21" i="123"/>
  <c r="FV21" i="123"/>
  <c r="HL21" i="123"/>
  <c r="EM21" i="123"/>
  <c r="GL21" i="123"/>
  <c r="EA49" i="123"/>
  <c r="GQ20" i="123"/>
  <c r="EV20" i="123"/>
  <c r="IR20" i="123"/>
  <c r="FZ20" i="123"/>
  <c r="IQ20" i="123"/>
  <c r="EV21" i="123"/>
  <c r="HF20" i="123"/>
  <c r="IW21" i="123"/>
  <c r="HS21" i="123"/>
  <c r="GO20" i="123"/>
  <c r="ES21" i="123"/>
  <c r="GP20" i="123"/>
  <c r="HV20" i="123"/>
  <c r="JB20" i="123"/>
  <c r="EH20" i="123"/>
  <c r="GP21" i="123"/>
  <c r="GI20" i="123"/>
  <c r="HZ21" i="123"/>
  <c r="HL20" i="123"/>
  <c r="HY20" i="123"/>
  <c r="IG20" i="123"/>
  <c r="IY20" i="123"/>
  <c r="GB21" i="123"/>
  <c r="HT21" i="123"/>
  <c r="FW21" i="123"/>
  <c r="IL21" i="123"/>
  <c r="GD21" i="123"/>
  <c r="EK20" i="123"/>
  <c r="GN20" i="123"/>
  <c r="GX20" i="123"/>
  <c r="HN20" i="123"/>
  <c r="ID20" i="123"/>
  <c r="HB21" i="123"/>
  <c r="HJ21" i="123"/>
  <c r="FT20" i="123"/>
  <c r="GB20" i="123"/>
  <c r="EJ20" i="123"/>
  <c r="HH20" i="123"/>
  <c r="HP20" i="123"/>
  <c r="HX20" i="123"/>
  <c r="IF20" i="123"/>
  <c r="IN20" i="123"/>
  <c r="IV20" i="123"/>
  <c r="IZ20" i="123"/>
  <c r="IH20" i="123"/>
  <c r="IP20" i="123"/>
  <c r="IX20" i="123"/>
  <c r="GF21" i="123"/>
  <c r="HN21" i="123"/>
  <c r="II20" i="123"/>
  <c r="JC20" i="123"/>
  <c r="HW21" i="123"/>
  <c r="IE21" i="123"/>
  <c r="IM21" i="123"/>
  <c r="FB21" i="123"/>
  <c r="HE20" i="123"/>
  <c r="IO20" i="123"/>
  <c r="IH21" i="123"/>
  <c r="HE21" i="123"/>
  <c r="GZ21" i="123"/>
  <c r="HO20" i="123"/>
  <c r="IE20" i="123"/>
  <c r="IU20" i="123"/>
  <c r="EM20" i="123"/>
  <c r="GK21" i="123"/>
  <c r="HD20" i="123"/>
  <c r="HQ21" i="123"/>
  <c r="HT20" i="123"/>
  <c r="HG21" i="123"/>
  <c r="IJ20" i="123"/>
  <c r="FZ21" i="123"/>
  <c r="GH21" i="123"/>
  <c r="GG20" i="123"/>
  <c r="GS20" i="123"/>
  <c r="HA20" i="123"/>
  <c r="HQ20" i="123"/>
  <c r="ID21" i="123"/>
  <c r="IC20" i="123"/>
  <c r="IS20" i="123"/>
  <c r="GH20" i="123"/>
  <c r="IY21" i="123"/>
  <c r="EW20" i="123"/>
  <c r="GX21" i="123"/>
  <c r="EZ20" i="123"/>
  <c r="IG21" i="123"/>
  <c r="ES20" i="123"/>
  <c r="GA20" i="123"/>
  <c r="GV21" i="123"/>
  <c r="HG20" i="123"/>
  <c r="IB21" i="123"/>
  <c r="IM20" i="123"/>
  <c r="GC21" i="123"/>
  <c r="HA21" i="123"/>
  <c r="EG21" i="123"/>
  <c r="GE21" i="123"/>
  <c r="GU21" i="123"/>
  <c r="HK21" i="123"/>
  <c r="IA21" i="123"/>
  <c r="IQ21" i="123"/>
  <c r="IT20" i="123"/>
  <c r="HV21" i="123"/>
  <c r="GN21" i="123"/>
  <c r="HH21" i="123"/>
  <c r="HW20" i="123"/>
  <c r="IV21" i="123"/>
  <c r="HI20" i="123"/>
  <c r="JB21" i="123"/>
  <c r="FY21" i="123"/>
  <c r="HI21" i="123"/>
  <c r="IK21" i="123"/>
  <c r="EG20" i="123"/>
  <c r="FC21" i="123"/>
  <c r="EO21" i="123"/>
  <c r="GA21" i="123"/>
  <c r="GI21" i="123"/>
  <c r="GQ21" i="123"/>
  <c r="GY21" i="123"/>
  <c r="HO21" i="123"/>
  <c r="HF21" i="123"/>
  <c r="EZ21" i="123"/>
  <c r="FX21" i="123"/>
  <c r="GR21" i="123"/>
  <c r="HD21" i="123"/>
  <c r="HX21" i="123"/>
  <c r="IJ21" i="123"/>
  <c r="IR21" i="123"/>
  <c r="IZ21" i="123"/>
  <c r="GT21" i="123"/>
  <c r="HR21" i="123"/>
  <c r="EI20" i="123"/>
  <c r="GW21" i="123"/>
  <c r="IO21" i="123"/>
  <c r="JA21" i="123"/>
  <c r="HU20" i="123"/>
  <c r="EY21" i="123"/>
  <c r="EK21" i="123"/>
  <c r="FV20" i="123"/>
  <c r="GD20" i="123"/>
  <c r="GL20" i="123"/>
  <c r="GT20" i="123"/>
  <c r="HB20" i="123"/>
  <c r="HJ20" i="123"/>
  <c r="HR20" i="123"/>
  <c r="HZ20" i="123"/>
  <c r="EN21" i="123"/>
  <c r="HM20" i="123"/>
  <c r="GJ21" i="123"/>
  <c r="GY20" i="123"/>
  <c r="HP21" i="123"/>
  <c r="FA21" i="123"/>
  <c r="IC21" i="123"/>
  <c r="GK20" i="123"/>
  <c r="EN20" i="123"/>
  <c r="GF20" i="123"/>
  <c r="EO20" i="123"/>
  <c r="FU20" i="123"/>
  <c r="IK20" i="123"/>
  <c r="HY21" i="123"/>
  <c r="GS21" i="123"/>
  <c r="GW20" i="123"/>
  <c r="EQ20" i="123"/>
  <c r="FW20" i="123"/>
  <c r="GE20" i="123"/>
  <c r="GM20" i="123"/>
  <c r="GU20" i="123"/>
  <c r="HC20" i="123"/>
  <c r="HK20" i="123"/>
  <c r="HS20" i="123"/>
  <c r="IA20" i="123"/>
  <c r="FX20" i="123"/>
  <c r="GV20" i="123"/>
  <c r="HM21" i="123"/>
  <c r="IB20" i="123"/>
  <c r="IS21" i="123"/>
  <c r="EP20" i="123"/>
  <c r="GG21" i="123"/>
  <c r="FY20" i="123"/>
  <c r="ER20" i="123"/>
  <c r="GJ20" i="123"/>
  <c r="GR20" i="123"/>
  <c r="GZ20" i="123"/>
  <c r="IW20" i="123"/>
  <c r="JA20" i="123"/>
  <c r="EL20" i="123"/>
  <c r="GC20" i="123"/>
  <c r="EA46" i="123"/>
  <c r="EA53" i="123"/>
  <c r="EA48" i="123"/>
  <c r="EA54" i="123"/>
  <c r="EA51" i="123"/>
  <c r="EA47" i="123"/>
  <c r="EA52" i="123"/>
  <c r="EA55" i="123"/>
  <c r="EA93" i="123"/>
  <c r="EA89" i="123"/>
  <c r="EA81" i="123"/>
  <c r="EA75" i="123"/>
  <c r="EA91" i="123"/>
  <c r="EA79" i="123"/>
  <c r="EA87" i="123"/>
  <c r="EA73" i="123"/>
  <c r="EA95" i="123"/>
  <c r="EA69" i="123"/>
  <c r="EA83" i="123"/>
  <c r="EA85" i="123"/>
  <c r="EA77" i="123"/>
  <c r="EA90" i="123"/>
  <c r="EA74" i="123"/>
  <c r="EA94" i="123"/>
  <c r="EA78" i="123"/>
  <c r="EA82" i="123"/>
  <c r="EA86" i="123"/>
  <c r="EA92" i="123"/>
  <c r="EA76" i="123"/>
  <c r="EA84" i="123"/>
  <c r="EA63" i="123"/>
  <c r="EA80" i="123"/>
  <c r="EA88" i="123"/>
  <c r="EA71" i="123"/>
  <c r="EA66" i="123"/>
  <c r="EA59" i="123"/>
  <c r="EA67" i="123"/>
  <c r="EA60" i="123"/>
  <c r="EA72" i="123"/>
  <c r="EA65" i="123"/>
  <c r="EA62" i="123"/>
  <c r="EA64" i="123"/>
  <c r="EA61" i="123"/>
  <c r="EA56" i="123"/>
  <c r="EA68" i="123"/>
  <c r="EA70" i="123"/>
  <c r="EA57" i="123"/>
  <c r="EA58" i="123"/>
  <c r="FS91" i="1"/>
  <c r="FS92" i="1"/>
  <c r="FS93" i="1"/>
  <c r="FS94" i="1"/>
  <c r="FS95" i="1"/>
  <c r="FS96" i="1"/>
  <c r="FS97" i="1"/>
  <c r="FS98" i="1"/>
  <c r="FS99" i="1"/>
  <c r="FS100" i="1"/>
  <c r="FS101" i="1"/>
  <c r="FS102" i="1"/>
  <c r="FS103" i="1"/>
  <c r="FS104" i="1"/>
  <c r="FS105" i="1"/>
  <c r="FS106" i="1"/>
  <c r="FS107" i="1"/>
  <c r="FS108" i="1"/>
  <c r="FS109" i="1"/>
  <c r="FS110" i="1"/>
  <c r="FS111" i="1"/>
  <c r="FS112" i="1"/>
  <c r="FS113" i="1"/>
  <c r="FS114" i="1"/>
  <c r="FS115" i="1"/>
  <c r="FS116" i="1"/>
  <c r="FS117" i="1"/>
  <c r="FS118" i="1"/>
  <c r="FS119" i="1"/>
  <c r="FS120" i="1"/>
  <c r="FS121" i="1"/>
  <c r="FS122" i="1"/>
  <c r="FS123" i="1"/>
  <c r="FS124" i="1"/>
  <c r="FS125" i="1"/>
  <c r="FS126" i="1"/>
  <c r="FS127" i="1"/>
  <c r="FS128" i="1"/>
  <c r="FS129" i="1"/>
  <c r="FS130" i="1"/>
  <c r="FS131" i="1"/>
  <c r="FS132" i="1"/>
  <c r="FS133" i="1"/>
  <c r="FS134" i="1"/>
  <c r="FS135" i="1"/>
  <c r="FS136" i="1"/>
  <c r="FS137" i="1"/>
  <c r="FS138" i="1"/>
  <c r="FS139" i="1"/>
  <c r="EW20" i="1"/>
  <c r="EX20" i="1"/>
  <c r="EY20" i="1"/>
  <c r="EZ20" i="1"/>
  <c r="FA20" i="1"/>
  <c r="FB20" i="1"/>
  <c r="FC20" i="1"/>
  <c r="FD20" i="1"/>
  <c r="FE20" i="1"/>
  <c r="FF20" i="1"/>
  <c r="FG20" i="1"/>
  <c r="DL20" i="1"/>
  <c r="DM20" i="1"/>
  <c r="DN20" i="1"/>
  <c r="DO20" i="1"/>
  <c r="DP20" i="1"/>
  <c r="DQ20" i="1"/>
  <c r="DR20" i="1"/>
  <c r="DS20" i="1"/>
  <c r="DT20" i="1"/>
  <c r="DU20" i="1"/>
  <c r="DV20" i="1"/>
  <c r="DW20" i="1"/>
  <c r="DX20" i="1"/>
  <c r="DY20" i="1"/>
  <c r="DZ20" i="1"/>
  <c r="EA20" i="1"/>
  <c r="EB20" i="1"/>
  <c r="EC20" i="1"/>
  <c r="ED20" i="1"/>
  <c r="EE20" i="1"/>
  <c r="EF20" i="1"/>
  <c r="EG20" i="1"/>
  <c r="EH20" i="1"/>
  <c r="EI20" i="1"/>
  <c r="EJ20" i="1"/>
  <c r="EK20" i="1"/>
  <c r="EL20" i="1"/>
  <c r="EM20" i="1"/>
  <c r="EN20" i="1"/>
  <c r="EO20" i="1"/>
  <c r="EP20" i="1"/>
  <c r="EQ20" i="1"/>
  <c r="ER20" i="1"/>
  <c r="ES20" i="1"/>
  <c r="ET20" i="1"/>
  <c r="EU20" i="1"/>
  <c r="EV20" i="1"/>
  <c r="DK20" i="1"/>
  <c r="JN32" i="1" l="1"/>
  <c r="JL32" i="1"/>
  <c r="KB32" i="1"/>
  <c r="JW32" i="1"/>
  <c r="JV32" i="1"/>
  <c r="EV124" i="123"/>
  <c r="EZ68" i="123"/>
  <c r="FD68" i="123"/>
  <c r="FH68" i="123"/>
  <c r="FL68" i="123"/>
  <c r="FP68" i="123"/>
  <c r="FT68" i="123"/>
  <c r="FX68" i="123"/>
  <c r="GB68" i="123"/>
  <c r="GF68" i="123"/>
  <c r="GJ68" i="123"/>
  <c r="GN68" i="123"/>
  <c r="GR68" i="123"/>
  <c r="GV68" i="123"/>
  <c r="GZ68" i="123"/>
  <c r="HD68" i="123"/>
  <c r="HH68" i="123"/>
  <c r="HL68" i="123"/>
  <c r="HP68" i="123"/>
  <c r="HT68" i="123"/>
  <c r="HX68" i="123"/>
  <c r="IB68" i="123"/>
  <c r="IF68" i="123"/>
  <c r="IJ68" i="123"/>
  <c r="IN68" i="123"/>
  <c r="IR68" i="123"/>
  <c r="IV68" i="123"/>
  <c r="IZ68" i="123"/>
  <c r="EY68" i="123"/>
  <c r="FE68" i="123"/>
  <c r="FJ68" i="123"/>
  <c r="FO68" i="123"/>
  <c r="FU68" i="123"/>
  <c r="FZ68" i="123"/>
  <c r="GE68" i="123"/>
  <c r="GK68" i="123"/>
  <c r="GP68" i="123"/>
  <c r="GU68" i="123"/>
  <c r="HA68" i="123"/>
  <c r="HF68" i="123"/>
  <c r="HK68" i="123"/>
  <c r="HQ68" i="123"/>
  <c r="HV68" i="123"/>
  <c r="IA68" i="123"/>
  <c r="IG68" i="123"/>
  <c r="IL68" i="123"/>
  <c r="IQ68" i="123"/>
  <c r="IW68" i="123"/>
  <c r="JB68" i="123"/>
  <c r="EX68" i="123"/>
  <c r="FF68" i="123"/>
  <c r="FM68" i="123"/>
  <c r="FS68" i="123"/>
  <c r="GA68" i="123"/>
  <c r="GH68" i="123"/>
  <c r="GO68" i="123"/>
  <c r="GW68" i="123"/>
  <c r="HC68" i="123"/>
  <c r="HJ68" i="123"/>
  <c r="HR68" i="123"/>
  <c r="HY68" i="123"/>
  <c r="IE68" i="123"/>
  <c r="IM68" i="123"/>
  <c r="IT68" i="123"/>
  <c r="JA68" i="123"/>
  <c r="FA68" i="123"/>
  <c r="FG68" i="123"/>
  <c r="FN68" i="123"/>
  <c r="FV68" i="123"/>
  <c r="GC68" i="123"/>
  <c r="GI68" i="123"/>
  <c r="GQ68" i="123"/>
  <c r="GX68" i="123"/>
  <c r="HE68" i="123"/>
  <c r="HM68" i="123"/>
  <c r="HS68" i="123"/>
  <c r="HZ68" i="123"/>
  <c r="IH68" i="123"/>
  <c r="IO68" i="123"/>
  <c r="IU68" i="123"/>
  <c r="JC68" i="123"/>
  <c r="FB68" i="123"/>
  <c r="FI68" i="123"/>
  <c r="FQ68" i="123"/>
  <c r="FW68" i="123"/>
  <c r="GD68" i="123"/>
  <c r="GL68" i="123"/>
  <c r="GS68" i="123"/>
  <c r="GY68" i="123"/>
  <c r="HG68" i="123"/>
  <c r="HN68" i="123"/>
  <c r="HU68" i="123"/>
  <c r="IC68" i="123"/>
  <c r="II68" i="123"/>
  <c r="IP68" i="123"/>
  <c r="IX68" i="123"/>
  <c r="FC68" i="123"/>
  <c r="FK68" i="123"/>
  <c r="FR68" i="123"/>
  <c r="FY68" i="123"/>
  <c r="GG68" i="123"/>
  <c r="HI68" i="123"/>
  <c r="IK68" i="123"/>
  <c r="GM68" i="123"/>
  <c r="HO68" i="123"/>
  <c r="IS68" i="123"/>
  <c r="GT68" i="123"/>
  <c r="HW68" i="123"/>
  <c r="IY68" i="123"/>
  <c r="HB68" i="123"/>
  <c r="ID68" i="123"/>
  <c r="EX67" i="123"/>
  <c r="FB67" i="123"/>
  <c r="FF67" i="123"/>
  <c r="FJ67" i="123"/>
  <c r="FN67" i="123"/>
  <c r="FR67" i="123"/>
  <c r="FV67" i="123"/>
  <c r="FZ67" i="123"/>
  <c r="GD67" i="123"/>
  <c r="GH67" i="123"/>
  <c r="GL67" i="123"/>
  <c r="GP67" i="123"/>
  <c r="GT67" i="123"/>
  <c r="GX67" i="123"/>
  <c r="HB67" i="123"/>
  <c r="HF67" i="123"/>
  <c r="HJ67" i="123"/>
  <c r="HN67" i="123"/>
  <c r="HR67" i="123"/>
  <c r="HV67" i="123"/>
  <c r="HZ67" i="123"/>
  <c r="ID67" i="123"/>
  <c r="IH67" i="123"/>
  <c r="IL67" i="123"/>
  <c r="IP67" i="123"/>
  <c r="IT67" i="123"/>
  <c r="IX67" i="123"/>
  <c r="JB67" i="123"/>
  <c r="FC67" i="123"/>
  <c r="FH67" i="123"/>
  <c r="FM67" i="123"/>
  <c r="FS67" i="123"/>
  <c r="FX67" i="123"/>
  <c r="GC67" i="123"/>
  <c r="GI67" i="123"/>
  <c r="GN67" i="123"/>
  <c r="GS67" i="123"/>
  <c r="GY67" i="123"/>
  <c r="HD67" i="123"/>
  <c r="HI67" i="123"/>
  <c r="HO67" i="123"/>
  <c r="HT67" i="123"/>
  <c r="HY67" i="123"/>
  <c r="IE67" i="123"/>
  <c r="IJ67" i="123"/>
  <c r="IO67" i="123"/>
  <c r="IU67" i="123"/>
  <c r="IZ67" i="123"/>
  <c r="FA67" i="123"/>
  <c r="FI67" i="123"/>
  <c r="FP67" i="123"/>
  <c r="FW67" i="123"/>
  <c r="GE67" i="123"/>
  <c r="GK67" i="123"/>
  <c r="GR67" i="123"/>
  <c r="GZ67" i="123"/>
  <c r="HG67" i="123"/>
  <c r="HM67" i="123"/>
  <c r="HU67" i="123"/>
  <c r="IB67" i="123"/>
  <c r="II67" i="123"/>
  <c r="IQ67" i="123"/>
  <c r="IW67" i="123"/>
  <c r="FD67" i="123"/>
  <c r="FK67" i="123"/>
  <c r="FQ67" i="123"/>
  <c r="FY67" i="123"/>
  <c r="GF67" i="123"/>
  <c r="GM67" i="123"/>
  <c r="GU67" i="123"/>
  <c r="HA67" i="123"/>
  <c r="HH67" i="123"/>
  <c r="HP67" i="123"/>
  <c r="HW67" i="123"/>
  <c r="IC67" i="123"/>
  <c r="IK67" i="123"/>
  <c r="IR67" i="123"/>
  <c r="IY67" i="123"/>
  <c r="EY67" i="123"/>
  <c r="FE67" i="123"/>
  <c r="FL67" i="123"/>
  <c r="FT67" i="123"/>
  <c r="GA67" i="123"/>
  <c r="GG67" i="123"/>
  <c r="GO67" i="123"/>
  <c r="GV67" i="123"/>
  <c r="HC67" i="123"/>
  <c r="HK67" i="123"/>
  <c r="HQ67" i="123"/>
  <c r="HX67" i="123"/>
  <c r="IF67" i="123"/>
  <c r="IM67" i="123"/>
  <c r="IS67" i="123"/>
  <c r="JA67" i="123"/>
  <c r="EZ67" i="123"/>
  <c r="FG67" i="123"/>
  <c r="FO67" i="123"/>
  <c r="FU67" i="123"/>
  <c r="GB67" i="123"/>
  <c r="GJ67" i="123"/>
  <c r="GQ67" i="123"/>
  <c r="GW67" i="123"/>
  <c r="HE67" i="123"/>
  <c r="HL67" i="123"/>
  <c r="HS67" i="123"/>
  <c r="IA67" i="123"/>
  <c r="IG67" i="123"/>
  <c r="IN67" i="123"/>
  <c r="IV67" i="123"/>
  <c r="JC67" i="123"/>
  <c r="EX78" i="123"/>
  <c r="FB78" i="123"/>
  <c r="FF78" i="123"/>
  <c r="FJ78" i="123"/>
  <c r="FN78" i="123"/>
  <c r="FR78" i="123"/>
  <c r="FV78" i="123"/>
  <c r="FZ78" i="123"/>
  <c r="GD78" i="123"/>
  <c r="GH78" i="123"/>
  <c r="GL78" i="123"/>
  <c r="GP78" i="123"/>
  <c r="GT78" i="123"/>
  <c r="GX78" i="123"/>
  <c r="HB78" i="123"/>
  <c r="HF78" i="123"/>
  <c r="HJ78" i="123"/>
  <c r="HN78" i="123"/>
  <c r="HR78" i="123"/>
  <c r="HV78" i="123"/>
  <c r="HZ78" i="123"/>
  <c r="ID78" i="123"/>
  <c r="IH78" i="123"/>
  <c r="IL78" i="123"/>
  <c r="IP78" i="123"/>
  <c r="IT78" i="123"/>
  <c r="IX78" i="123"/>
  <c r="JB78" i="123"/>
  <c r="FA78" i="123"/>
  <c r="FG78" i="123"/>
  <c r="FL78" i="123"/>
  <c r="FQ78" i="123"/>
  <c r="FW78" i="123"/>
  <c r="GB78" i="123"/>
  <c r="GG78" i="123"/>
  <c r="GM78" i="123"/>
  <c r="GR78" i="123"/>
  <c r="GW78" i="123"/>
  <c r="HC78" i="123"/>
  <c r="HH78" i="123"/>
  <c r="HM78" i="123"/>
  <c r="HS78" i="123"/>
  <c r="HX78" i="123"/>
  <c r="IC78" i="123"/>
  <c r="II78" i="123"/>
  <c r="IN78" i="123"/>
  <c r="IS78" i="123"/>
  <c r="IY78" i="123"/>
  <c r="FC78" i="123"/>
  <c r="FH78" i="123"/>
  <c r="FM78" i="123"/>
  <c r="FS78" i="123"/>
  <c r="FX78" i="123"/>
  <c r="GC78" i="123"/>
  <c r="GI78" i="123"/>
  <c r="GN78" i="123"/>
  <c r="GS78" i="123"/>
  <c r="GY78" i="123"/>
  <c r="HD78" i="123"/>
  <c r="HI78" i="123"/>
  <c r="HO78" i="123"/>
  <c r="HT78" i="123"/>
  <c r="HY78" i="123"/>
  <c r="IE78" i="123"/>
  <c r="IJ78" i="123"/>
  <c r="IO78" i="123"/>
  <c r="IU78" i="123"/>
  <c r="IZ78" i="123"/>
  <c r="EY78" i="123"/>
  <c r="FD78" i="123"/>
  <c r="FI78" i="123"/>
  <c r="FO78" i="123"/>
  <c r="FT78" i="123"/>
  <c r="FY78" i="123"/>
  <c r="GE78" i="123"/>
  <c r="GJ78" i="123"/>
  <c r="GO78" i="123"/>
  <c r="GU78" i="123"/>
  <c r="GZ78" i="123"/>
  <c r="HE78" i="123"/>
  <c r="HK78" i="123"/>
  <c r="HP78" i="123"/>
  <c r="HU78" i="123"/>
  <c r="IA78" i="123"/>
  <c r="IF78" i="123"/>
  <c r="IK78" i="123"/>
  <c r="IQ78" i="123"/>
  <c r="IV78" i="123"/>
  <c r="JA78" i="123"/>
  <c r="FE78" i="123"/>
  <c r="GA78" i="123"/>
  <c r="GV78" i="123"/>
  <c r="HQ78" i="123"/>
  <c r="IM78" i="123"/>
  <c r="FK78" i="123"/>
  <c r="GF78" i="123"/>
  <c r="HA78" i="123"/>
  <c r="HW78" i="123"/>
  <c r="IR78" i="123"/>
  <c r="FP78" i="123"/>
  <c r="GK78" i="123"/>
  <c r="HG78" i="123"/>
  <c r="IB78" i="123"/>
  <c r="IW78" i="123"/>
  <c r="EZ78" i="123"/>
  <c r="FU78" i="123"/>
  <c r="GQ78" i="123"/>
  <c r="HL78" i="123"/>
  <c r="IG78" i="123"/>
  <c r="JC78" i="123"/>
  <c r="EZ95" i="123"/>
  <c r="FD95" i="123"/>
  <c r="FH95" i="123"/>
  <c r="FL95" i="123"/>
  <c r="FP95" i="123"/>
  <c r="FT95" i="123"/>
  <c r="FX95" i="123"/>
  <c r="GB95" i="123"/>
  <c r="GF95" i="123"/>
  <c r="GJ95" i="123"/>
  <c r="GN95" i="123"/>
  <c r="GR95" i="123"/>
  <c r="GV95" i="123"/>
  <c r="GZ95" i="123"/>
  <c r="HD95" i="123"/>
  <c r="HH95" i="123"/>
  <c r="HL95" i="123"/>
  <c r="HP95" i="123"/>
  <c r="HT95" i="123"/>
  <c r="HX95" i="123"/>
  <c r="IB95" i="123"/>
  <c r="IF95" i="123"/>
  <c r="IJ95" i="123"/>
  <c r="IN95" i="123"/>
  <c r="IR95" i="123"/>
  <c r="IV95" i="123"/>
  <c r="IZ95" i="123"/>
  <c r="EX95" i="123"/>
  <c r="FC95" i="123"/>
  <c r="FI95" i="123"/>
  <c r="FN95" i="123"/>
  <c r="FS95" i="123"/>
  <c r="FY95" i="123"/>
  <c r="GD95" i="123"/>
  <c r="GI95" i="123"/>
  <c r="GO95" i="123"/>
  <c r="GT95" i="123"/>
  <c r="GY95" i="123"/>
  <c r="HE95" i="123"/>
  <c r="HJ95" i="123"/>
  <c r="HO95" i="123"/>
  <c r="HU95" i="123"/>
  <c r="HZ95" i="123"/>
  <c r="IE95" i="123"/>
  <c r="IK95" i="123"/>
  <c r="IP95" i="123"/>
  <c r="IU95" i="123"/>
  <c r="JA95" i="123"/>
  <c r="EY95" i="123"/>
  <c r="FE95" i="123"/>
  <c r="FJ95" i="123"/>
  <c r="FO95" i="123"/>
  <c r="FU95" i="123"/>
  <c r="FZ95" i="123"/>
  <c r="GE95" i="123"/>
  <c r="GK95" i="123"/>
  <c r="GP95" i="123"/>
  <c r="GU95" i="123"/>
  <c r="HA95" i="123"/>
  <c r="HF95" i="123"/>
  <c r="HK95" i="123"/>
  <c r="HQ95" i="123"/>
  <c r="HV95" i="123"/>
  <c r="IA95" i="123"/>
  <c r="IG95" i="123"/>
  <c r="IL95" i="123"/>
  <c r="IQ95" i="123"/>
  <c r="IW95" i="123"/>
  <c r="JB95" i="123"/>
  <c r="FA95" i="123"/>
  <c r="FF95" i="123"/>
  <c r="FK95" i="123"/>
  <c r="FQ95" i="123"/>
  <c r="FV95" i="123"/>
  <c r="GA95" i="123"/>
  <c r="GG95" i="123"/>
  <c r="GL95" i="123"/>
  <c r="GQ95" i="123"/>
  <c r="GW95" i="123"/>
  <c r="HB95" i="123"/>
  <c r="HG95" i="123"/>
  <c r="HM95" i="123"/>
  <c r="HR95" i="123"/>
  <c r="HW95" i="123"/>
  <c r="IC95" i="123"/>
  <c r="IH95" i="123"/>
  <c r="IM95" i="123"/>
  <c r="IS95" i="123"/>
  <c r="IX95" i="123"/>
  <c r="JC95" i="123"/>
  <c r="FM95" i="123"/>
  <c r="GH95" i="123"/>
  <c r="HC95" i="123"/>
  <c r="HY95" i="123"/>
  <c r="IT95" i="123"/>
  <c r="FR95" i="123"/>
  <c r="GM95" i="123"/>
  <c r="HI95" i="123"/>
  <c r="ID95" i="123"/>
  <c r="IY95" i="123"/>
  <c r="FB95" i="123"/>
  <c r="FW95" i="123"/>
  <c r="GS95" i="123"/>
  <c r="HN95" i="123"/>
  <c r="II95" i="123"/>
  <c r="FG95" i="123"/>
  <c r="GC95" i="123"/>
  <c r="GX95" i="123"/>
  <c r="HS95" i="123"/>
  <c r="IO95" i="123"/>
  <c r="EZ91" i="123"/>
  <c r="FD91" i="123"/>
  <c r="FH91" i="123"/>
  <c r="FL91" i="123"/>
  <c r="FP91" i="123"/>
  <c r="FT91" i="123"/>
  <c r="FX91" i="123"/>
  <c r="GB91" i="123"/>
  <c r="GF91" i="123"/>
  <c r="GJ91" i="123"/>
  <c r="GN91" i="123"/>
  <c r="GR91" i="123"/>
  <c r="GV91" i="123"/>
  <c r="GZ91" i="123"/>
  <c r="HD91" i="123"/>
  <c r="HH91" i="123"/>
  <c r="HL91" i="123"/>
  <c r="HP91" i="123"/>
  <c r="HT91" i="123"/>
  <c r="HX91" i="123"/>
  <c r="IB91" i="123"/>
  <c r="IF91" i="123"/>
  <c r="IJ91" i="123"/>
  <c r="IN91" i="123"/>
  <c r="IR91" i="123"/>
  <c r="IV91" i="123"/>
  <c r="IZ91" i="123"/>
  <c r="FA91" i="123"/>
  <c r="FF91" i="123"/>
  <c r="FK91" i="123"/>
  <c r="FQ91" i="123"/>
  <c r="FV91" i="123"/>
  <c r="GA91" i="123"/>
  <c r="GG91" i="123"/>
  <c r="GL91" i="123"/>
  <c r="GQ91" i="123"/>
  <c r="GW91" i="123"/>
  <c r="HB91" i="123"/>
  <c r="HG91" i="123"/>
  <c r="HM91" i="123"/>
  <c r="HR91" i="123"/>
  <c r="HW91" i="123"/>
  <c r="IC91" i="123"/>
  <c r="IH91" i="123"/>
  <c r="IM91" i="123"/>
  <c r="IS91" i="123"/>
  <c r="IX91" i="123"/>
  <c r="JC91" i="123"/>
  <c r="FB91" i="123"/>
  <c r="FG91" i="123"/>
  <c r="FM91" i="123"/>
  <c r="FR91" i="123"/>
  <c r="FW91" i="123"/>
  <c r="GC91" i="123"/>
  <c r="GH91" i="123"/>
  <c r="GM91" i="123"/>
  <c r="GS91" i="123"/>
  <c r="GX91" i="123"/>
  <c r="HC91" i="123"/>
  <c r="HI91" i="123"/>
  <c r="HN91" i="123"/>
  <c r="HS91" i="123"/>
  <c r="HY91" i="123"/>
  <c r="ID91" i="123"/>
  <c r="II91" i="123"/>
  <c r="IO91" i="123"/>
  <c r="IT91" i="123"/>
  <c r="IY91" i="123"/>
  <c r="EX91" i="123"/>
  <c r="FC91" i="123"/>
  <c r="FI91" i="123"/>
  <c r="FN91" i="123"/>
  <c r="FS91" i="123"/>
  <c r="FY91" i="123"/>
  <c r="GD91" i="123"/>
  <c r="GI91" i="123"/>
  <c r="GO91" i="123"/>
  <c r="GT91" i="123"/>
  <c r="GY91" i="123"/>
  <c r="HE91" i="123"/>
  <c r="HJ91" i="123"/>
  <c r="HO91" i="123"/>
  <c r="HU91" i="123"/>
  <c r="HZ91" i="123"/>
  <c r="IE91" i="123"/>
  <c r="IK91" i="123"/>
  <c r="IP91" i="123"/>
  <c r="IU91" i="123"/>
  <c r="JA91" i="123"/>
  <c r="FE91" i="123"/>
  <c r="FZ91" i="123"/>
  <c r="GU91" i="123"/>
  <c r="HQ91" i="123"/>
  <c r="IL91" i="123"/>
  <c r="FJ91" i="123"/>
  <c r="GE91" i="123"/>
  <c r="HA91" i="123"/>
  <c r="HV91" i="123"/>
  <c r="IQ91" i="123"/>
  <c r="FO91" i="123"/>
  <c r="GK91" i="123"/>
  <c r="HF91" i="123"/>
  <c r="IA91" i="123"/>
  <c r="IW91" i="123"/>
  <c r="EY91" i="123"/>
  <c r="FU91" i="123"/>
  <c r="GP91" i="123"/>
  <c r="HK91" i="123"/>
  <c r="IG91" i="123"/>
  <c r="JB91" i="123"/>
  <c r="FA51" i="123"/>
  <c r="FE51" i="123"/>
  <c r="FI51" i="123"/>
  <c r="FM51" i="123"/>
  <c r="FQ51" i="123"/>
  <c r="FU51" i="123"/>
  <c r="FY51" i="123"/>
  <c r="GC51" i="123"/>
  <c r="GG51" i="123"/>
  <c r="GK51" i="123"/>
  <c r="GO51" i="123"/>
  <c r="GS51" i="123"/>
  <c r="GW51" i="123"/>
  <c r="HA51" i="123"/>
  <c r="HE51" i="123"/>
  <c r="HI51" i="123"/>
  <c r="HM51" i="123"/>
  <c r="HQ51" i="123"/>
  <c r="HU51" i="123"/>
  <c r="HY51" i="123"/>
  <c r="IC51" i="123"/>
  <c r="IG51" i="123"/>
  <c r="IK51" i="123"/>
  <c r="IO51" i="123"/>
  <c r="IS51" i="123"/>
  <c r="IW51" i="123"/>
  <c r="JA51" i="123"/>
  <c r="EX51" i="123"/>
  <c r="FC51" i="123"/>
  <c r="FH51" i="123"/>
  <c r="FN51" i="123"/>
  <c r="FS51" i="123"/>
  <c r="FX51" i="123"/>
  <c r="GD51" i="123"/>
  <c r="GI51" i="123"/>
  <c r="GN51" i="123"/>
  <c r="GT51" i="123"/>
  <c r="GY51" i="123"/>
  <c r="HD51" i="123"/>
  <c r="HJ51" i="123"/>
  <c r="HO51" i="123"/>
  <c r="HT51" i="123"/>
  <c r="HZ51" i="123"/>
  <c r="IE51" i="123"/>
  <c r="IJ51" i="123"/>
  <c r="IP51" i="123"/>
  <c r="IU51" i="123"/>
  <c r="IZ51" i="123"/>
  <c r="EZ51" i="123"/>
  <c r="FG51" i="123"/>
  <c r="FO51" i="123"/>
  <c r="FV51" i="123"/>
  <c r="GB51" i="123"/>
  <c r="GJ51" i="123"/>
  <c r="GQ51" i="123"/>
  <c r="GX51" i="123"/>
  <c r="HF51" i="123"/>
  <c r="HL51" i="123"/>
  <c r="HS51" i="123"/>
  <c r="IA51" i="123"/>
  <c r="IH51" i="123"/>
  <c r="IN51" i="123"/>
  <c r="IV51" i="123"/>
  <c r="JC51" i="123"/>
  <c r="FB51" i="123"/>
  <c r="FJ51" i="123"/>
  <c r="FP51" i="123"/>
  <c r="FW51" i="123"/>
  <c r="GE51" i="123"/>
  <c r="GL51" i="123"/>
  <c r="GR51" i="123"/>
  <c r="GZ51" i="123"/>
  <c r="HG51" i="123"/>
  <c r="HN51" i="123"/>
  <c r="HV51" i="123"/>
  <c r="IB51" i="123"/>
  <c r="II51" i="123"/>
  <c r="IQ51" i="123"/>
  <c r="IX51" i="123"/>
  <c r="FD51" i="123"/>
  <c r="FR51" i="123"/>
  <c r="GF51" i="123"/>
  <c r="GU51" i="123"/>
  <c r="HH51" i="123"/>
  <c r="HW51" i="123"/>
  <c r="IL51" i="123"/>
  <c r="IY51" i="123"/>
  <c r="FF51" i="123"/>
  <c r="FT51" i="123"/>
  <c r="GH51" i="123"/>
  <c r="GV51" i="123"/>
  <c r="HK51" i="123"/>
  <c r="HX51" i="123"/>
  <c r="IM51" i="123"/>
  <c r="JB51" i="123"/>
  <c r="FK51" i="123"/>
  <c r="FZ51" i="123"/>
  <c r="GM51" i="123"/>
  <c r="HB51" i="123"/>
  <c r="HP51" i="123"/>
  <c r="ID51" i="123"/>
  <c r="IR51" i="123"/>
  <c r="EY51" i="123"/>
  <c r="FL51" i="123"/>
  <c r="GA51" i="123"/>
  <c r="GP51" i="123"/>
  <c r="HC51" i="123"/>
  <c r="HR51" i="123"/>
  <c r="IF51" i="123"/>
  <c r="IT51" i="123"/>
  <c r="EZ58" i="123"/>
  <c r="FD58" i="123"/>
  <c r="FH58" i="123"/>
  <c r="FL58" i="123"/>
  <c r="FP58" i="123"/>
  <c r="FT58" i="123"/>
  <c r="FX58" i="123"/>
  <c r="GB58" i="123"/>
  <c r="GF58" i="123"/>
  <c r="GJ58" i="123"/>
  <c r="GN58" i="123"/>
  <c r="GR58" i="123"/>
  <c r="GV58" i="123"/>
  <c r="GZ58" i="123"/>
  <c r="HD58" i="123"/>
  <c r="HH58" i="123"/>
  <c r="HL58" i="123"/>
  <c r="HP58" i="123"/>
  <c r="HT58" i="123"/>
  <c r="HX58" i="123"/>
  <c r="IB58" i="123"/>
  <c r="IF58" i="123"/>
  <c r="IJ58" i="123"/>
  <c r="IN58" i="123"/>
  <c r="IR58" i="123"/>
  <c r="IV58" i="123"/>
  <c r="IZ58" i="123"/>
  <c r="FA58" i="123"/>
  <c r="FF58" i="123"/>
  <c r="FK58" i="123"/>
  <c r="FQ58" i="123"/>
  <c r="FV58" i="123"/>
  <c r="GA58" i="123"/>
  <c r="GG58" i="123"/>
  <c r="GL58" i="123"/>
  <c r="GQ58" i="123"/>
  <c r="GW58" i="123"/>
  <c r="HB58" i="123"/>
  <c r="HG58" i="123"/>
  <c r="HM58" i="123"/>
  <c r="HR58" i="123"/>
  <c r="HW58" i="123"/>
  <c r="IC58" i="123"/>
  <c r="IH58" i="123"/>
  <c r="IM58" i="123"/>
  <c r="IS58" i="123"/>
  <c r="IX58" i="123"/>
  <c r="JC58" i="123"/>
  <c r="FB58" i="123"/>
  <c r="FC58" i="123"/>
  <c r="FJ58" i="123"/>
  <c r="FR58" i="123"/>
  <c r="FY58" i="123"/>
  <c r="GE58" i="123"/>
  <c r="GM58" i="123"/>
  <c r="GT58" i="123"/>
  <c r="HA58" i="123"/>
  <c r="HI58" i="123"/>
  <c r="HO58" i="123"/>
  <c r="HV58" i="123"/>
  <c r="ID58" i="123"/>
  <c r="IK58" i="123"/>
  <c r="IQ58" i="123"/>
  <c r="IY58" i="123"/>
  <c r="FE58" i="123"/>
  <c r="FM58" i="123"/>
  <c r="FS58" i="123"/>
  <c r="FZ58" i="123"/>
  <c r="GH58" i="123"/>
  <c r="GO58" i="123"/>
  <c r="GU58" i="123"/>
  <c r="HC58" i="123"/>
  <c r="HJ58" i="123"/>
  <c r="HQ58" i="123"/>
  <c r="HY58" i="123"/>
  <c r="IE58" i="123"/>
  <c r="IL58" i="123"/>
  <c r="IT58" i="123"/>
  <c r="JA58" i="123"/>
  <c r="EX58" i="123"/>
  <c r="FG58" i="123"/>
  <c r="FN58" i="123"/>
  <c r="FU58" i="123"/>
  <c r="GC58" i="123"/>
  <c r="GI58" i="123"/>
  <c r="GP58" i="123"/>
  <c r="GX58" i="123"/>
  <c r="HE58" i="123"/>
  <c r="HK58" i="123"/>
  <c r="HS58" i="123"/>
  <c r="HZ58" i="123"/>
  <c r="IG58" i="123"/>
  <c r="IO58" i="123"/>
  <c r="IU58" i="123"/>
  <c r="JB58" i="123"/>
  <c r="EY58" i="123"/>
  <c r="FI58" i="123"/>
  <c r="FO58" i="123"/>
  <c r="FW58" i="123"/>
  <c r="GD58" i="123"/>
  <c r="GK58" i="123"/>
  <c r="GS58" i="123"/>
  <c r="GY58" i="123"/>
  <c r="HF58" i="123"/>
  <c r="HN58" i="123"/>
  <c r="HU58" i="123"/>
  <c r="IA58" i="123"/>
  <c r="II58" i="123"/>
  <c r="IP58" i="123"/>
  <c r="IW58" i="123"/>
  <c r="EX65" i="123"/>
  <c r="FB65" i="123"/>
  <c r="FF65" i="123"/>
  <c r="FJ65" i="123"/>
  <c r="FN65" i="123"/>
  <c r="FR65" i="123"/>
  <c r="FV65" i="123"/>
  <c r="FZ65" i="123"/>
  <c r="GD65" i="123"/>
  <c r="GH65" i="123"/>
  <c r="GL65" i="123"/>
  <c r="GP65" i="123"/>
  <c r="GT65" i="123"/>
  <c r="GX65" i="123"/>
  <c r="HB65" i="123"/>
  <c r="HF65" i="123"/>
  <c r="HJ65" i="123"/>
  <c r="HN65" i="123"/>
  <c r="HR65" i="123"/>
  <c r="HV65" i="123"/>
  <c r="HZ65" i="123"/>
  <c r="ID65" i="123"/>
  <c r="IH65" i="123"/>
  <c r="IL65" i="123"/>
  <c r="IP65" i="123"/>
  <c r="IT65" i="123"/>
  <c r="IX65" i="123"/>
  <c r="JB65" i="123"/>
  <c r="EY65" i="123"/>
  <c r="FD65" i="123"/>
  <c r="FI65" i="123"/>
  <c r="FO65" i="123"/>
  <c r="FT65" i="123"/>
  <c r="FY65" i="123"/>
  <c r="GE65" i="123"/>
  <c r="GJ65" i="123"/>
  <c r="GO65" i="123"/>
  <c r="GU65" i="123"/>
  <c r="GZ65" i="123"/>
  <c r="HE65" i="123"/>
  <c r="HK65" i="123"/>
  <c r="HP65" i="123"/>
  <c r="HU65" i="123"/>
  <c r="IA65" i="123"/>
  <c r="IF65" i="123"/>
  <c r="IK65" i="123"/>
  <c r="IQ65" i="123"/>
  <c r="IV65" i="123"/>
  <c r="JA65" i="123"/>
  <c r="FA65" i="123"/>
  <c r="FH65" i="123"/>
  <c r="FP65" i="123"/>
  <c r="FW65" i="123"/>
  <c r="GC65" i="123"/>
  <c r="GK65" i="123"/>
  <c r="GR65" i="123"/>
  <c r="GY65" i="123"/>
  <c r="HG65" i="123"/>
  <c r="HM65" i="123"/>
  <c r="HT65" i="123"/>
  <c r="IB65" i="123"/>
  <c r="II65" i="123"/>
  <c r="IO65" i="123"/>
  <c r="IW65" i="123"/>
  <c r="FC65" i="123"/>
  <c r="FK65" i="123"/>
  <c r="FQ65" i="123"/>
  <c r="FX65" i="123"/>
  <c r="GF65" i="123"/>
  <c r="GM65" i="123"/>
  <c r="GS65" i="123"/>
  <c r="HA65" i="123"/>
  <c r="HH65" i="123"/>
  <c r="HO65" i="123"/>
  <c r="HW65" i="123"/>
  <c r="IC65" i="123"/>
  <c r="IJ65" i="123"/>
  <c r="IR65" i="123"/>
  <c r="IY65" i="123"/>
  <c r="FE65" i="123"/>
  <c r="FL65" i="123"/>
  <c r="FS65" i="123"/>
  <c r="GA65" i="123"/>
  <c r="GG65" i="123"/>
  <c r="GN65" i="123"/>
  <c r="GV65" i="123"/>
  <c r="HC65" i="123"/>
  <c r="HI65" i="123"/>
  <c r="HQ65" i="123"/>
  <c r="HX65" i="123"/>
  <c r="IE65" i="123"/>
  <c r="IM65" i="123"/>
  <c r="IS65" i="123"/>
  <c r="IZ65" i="123"/>
  <c r="EZ65" i="123"/>
  <c r="FG65" i="123"/>
  <c r="FM65" i="123"/>
  <c r="FU65" i="123"/>
  <c r="GB65" i="123"/>
  <c r="GI65" i="123"/>
  <c r="GQ65" i="123"/>
  <c r="GW65" i="123"/>
  <c r="HD65" i="123"/>
  <c r="HL65" i="123"/>
  <c r="HS65" i="123"/>
  <c r="HY65" i="123"/>
  <c r="IG65" i="123"/>
  <c r="IN65" i="123"/>
  <c r="IU65" i="123"/>
  <c r="JC65" i="123"/>
  <c r="EX80" i="123"/>
  <c r="FB80" i="123"/>
  <c r="FF80" i="123"/>
  <c r="FJ80" i="123"/>
  <c r="FN80" i="123"/>
  <c r="FR80" i="123"/>
  <c r="FV80" i="123"/>
  <c r="FZ80" i="123"/>
  <c r="GD80" i="123"/>
  <c r="GH80" i="123"/>
  <c r="GL80" i="123"/>
  <c r="GP80" i="123"/>
  <c r="GT80" i="123"/>
  <c r="GX80" i="123"/>
  <c r="HB80" i="123"/>
  <c r="HF80" i="123"/>
  <c r="HJ80" i="123"/>
  <c r="HN80" i="123"/>
  <c r="HR80" i="123"/>
  <c r="HV80" i="123"/>
  <c r="HZ80" i="123"/>
  <c r="ID80" i="123"/>
  <c r="IH80" i="123"/>
  <c r="IL80" i="123"/>
  <c r="IP80" i="123"/>
  <c r="IT80" i="123"/>
  <c r="IX80" i="123"/>
  <c r="JB80" i="123"/>
  <c r="EZ80" i="123"/>
  <c r="FE80" i="123"/>
  <c r="FK80" i="123"/>
  <c r="FP80" i="123"/>
  <c r="FU80" i="123"/>
  <c r="GA80" i="123"/>
  <c r="GF80" i="123"/>
  <c r="GK80" i="123"/>
  <c r="GQ80" i="123"/>
  <c r="GV80" i="123"/>
  <c r="HA80" i="123"/>
  <c r="HG80" i="123"/>
  <c r="HL80" i="123"/>
  <c r="HQ80" i="123"/>
  <c r="HW80" i="123"/>
  <c r="IB80" i="123"/>
  <c r="IG80" i="123"/>
  <c r="IM80" i="123"/>
  <c r="IR80" i="123"/>
  <c r="IW80" i="123"/>
  <c r="JC80" i="123"/>
  <c r="FA80" i="123"/>
  <c r="FG80" i="123"/>
  <c r="FL80" i="123"/>
  <c r="FQ80" i="123"/>
  <c r="FW80" i="123"/>
  <c r="GB80" i="123"/>
  <c r="GG80" i="123"/>
  <c r="GM80" i="123"/>
  <c r="GR80" i="123"/>
  <c r="GW80" i="123"/>
  <c r="HC80" i="123"/>
  <c r="HH80" i="123"/>
  <c r="HM80" i="123"/>
  <c r="HS80" i="123"/>
  <c r="HX80" i="123"/>
  <c r="IC80" i="123"/>
  <c r="II80" i="123"/>
  <c r="IN80" i="123"/>
  <c r="IS80" i="123"/>
  <c r="IY80" i="123"/>
  <c r="FC80" i="123"/>
  <c r="FH80" i="123"/>
  <c r="FM80" i="123"/>
  <c r="FS80" i="123"/>
  <c r="FX80" i="123"/>
  <c r="GC80" i="123"/>
  <c r="GI80" i="123"/>
  <c r="GN80" i="123"/>
  <c r="GS80" i="123"/>
  <c r="GY80" i="123"/>
  <c r="HD80" i="123"/>
  <c r="HI80" i="123"/>
  <c r="HO80" i="123"/>
  <c r="HT80" i="123"/>
  <c r="HY80" i="123"/>
  <c r="IE80" i="123"/>
  <c r="IJ80" i="123"/>
  <c r="IO80" i="123"/>
  <c r="IU80" i="123"/>
  <c r="IZ80" i="123"/>
  <c r="EY80" i="123"/>
  <c r="FT80" i="123"/>
  <c r="GO80" i="123"/>
  <c r="HK80" i="123"/>
  <c r="IF80" i="123"/>
  <c r="JA80" i="123"/>
  <c r="FD80" i="123"/>
  <c r="FY80" i="123"/>
  <c r="GU80" i="123"/>
  <c r="HP80" i="123"/>
  <c r="IK80" i="123"/>
  <c r="FI80" i="123"/>
  <c r="GE80" i="123"/>
  <c r="GZ80" i="123"/>
  <c r="HU80" i="123"/>
  <c r="IQ80" i="123"/>
  <c r="FO80" i="123"/>
  <c r="GJ80" i="123"/>
  <c r="HE80" i="123"/>
  <c r="IA80" i="123"/>
  <c r="IV80" i="123"/>
  <c r="EX94" i="123"/>
  <c r="FB94" i="123"/>
  <c r="FF94" i="123"/>
  <c r="FJ94" i="123"/>
  <c r="FN94" i="123"/>
  <c r="FR94" i="123"/>
  <c r="FV94" i="123"/>
  <c r="FZ94" i="123"/>
  <c r="GD94" i="123"/>
  <c r="GH94" i="123"/>
  <c r="GL94" i="123"/>
  <c r="GP94" i="123"/>
  <c r="GT94" i="123"/>
  <c r="GX94" i="123"/>
  <c r="HB94" i="123"/>
  <c r="HF94" i="123"/>
  <c r="HJ94" i="123"/>
  <c r="HN94" i="123"/>
  <c r="HR94" i="123"/>
  <c r="HV94" i="123"/>
  <c r="HZ94" i="123"/>
  <c r="ID94" i="123"/>
  <c r="IH94" i="123"/>
  <c r="IL94" i="123"/>
  <c r="IP94" i="123"/>
  <c r="IT94" i="123"/>
  <c r="IX94" i="123"/>
  <c r="JB94" i="123"/>
  <c r="FA94" i="123"/>
  <c r="FG94" i="123"/>
  <c r="FL94" i="123"/>
  <c r="FQ94" i="123"/>
  <c r="FW94" i="123"/>
  <c r="GB94" i="123"/>
  <c r="GG94" i="123"/>
  <c r="GM94" i="123"/>
  <c r="GR94" i="123"/>
  <c r="GW94" i="123"/>
  <c r="HC94" i="123"/>
  <c r="HH94" i="123"/>
  <c r="HM94" i="123"/>
  <c r="HS94" i="123"/>
  <c r="HX94" i="123"/>
  <c r="IC94" i="123"/>
  <c r="II94" i="123"/>
  <c r="IN94" i="123"/>
  <c r="IS94" i="123"/>
  <c r="IY94" i="123"/>
  <c r="FC94" i="123"/>
  <c r="FH94" i="123"/>
  <c r="FM94" i="123"/>
  <c r="FS94" i="123"/>
  <c r="FX94" i="123"/>
  <c r="GC94" i="123"/>
  <c r="GI94" i="123"/>
  <c r="GN94" i="123"/>
  <c r="GS94" i="123"/>
  <c r="GY94" i="123"/>
  <c r="HD94" i="123"/>
  <c r="HI94" i="123"/>
  <c r="HO94" i="123"/>
  <c r="HT94" i="123"/>
  <c r="HY94" i="123"/>
  <c r="IE94" i="123"/>
  <c r="IJ94" i="123"/>
  <c r="IO94" i="123"/>
  <c r="IU94" i="123"/>
  <c r="IZ94" i="123"/>
  <c r="EY94" i="123"/>
  <c r="FD94" i="123"/>
  <c r="FI94" i="123"/>
  <c r="FO94" i="123"/>
  <c r="FT94" i="123"/>
  <c r="FY94" i="123"/>
  <c r="GE94" i="123"/>
  <c r="GJ94" i="123"/>
  <c r="GO94" i="123"/>
  <c r="GU94" i="123"/>
  <c r="GZ94" i="123"/>
  <c r="HE94" i="123"/>
  <c r="HK94" i="123"/>
  <c r="HP94" i="123"/>
  <c r="HU94" i="123"/>
  <c r="IA94" i="123"/>
  <c r="IF94" i="123"/>
  <c r="IK94" i="123"/>
  <c r="IQ94" i="123"/>
  <c r="IV94" i="123"/>
  <c r="JA94" i="123"/>
  <c r="FP94" i="123"/>
  <c r="GK94" i="123"/>
  <c r="HG94" i="123"/>
  <c r="IB94" i="123"/>
  <c r="IW94" i="123"/>
  <c r="EZ94" i="123"/>
  <c r="FU94" i="123"/>
  <c r="GQ94" i="123"/>
  <c r="HL94" i="123"/>
  <c r="IG94" i="123"/>
  <c r="JC94" i="123"/>
  <c r="FE94" i="123"/>
  <c r="GA94" i="123"/>
  <c r="GV94" i="123"/>
  <c r="HQ94" i="123"/>
  <c r="IM94" i="123"/>
  <c r="FK94" i="123"/>
  <c r="GF94" i="123"/>
  <c r="HA94" i="123"/>
  <c r="HW94" i="123"/>
  <c r="IR94" i="123"/>
  <c r="EZ75" i="123"/>
  <c r="FD75" i="123"/>
  <c r="FH75" i="123"/>
  <c r="FL75" i="123"/>
  <c r="FP75" i="123"/>
  <c r="FT75" i="123"/>
  <c r="FX75" i="123"/>
  <c r="GB75" i="123"/>
  <c r="GF75" i="123"/>
  <c r="GJ75" i="123"/>
  <c r="GN75" i="123"/>
  <c r="GR75" i="123"/>
  <c r="GV75" i="123"/>
  <c r="GZ75" i="123"/>
  <c r="HD75" i="123"/>
  <c r="HH75" i="123"/>
  <c r="HL75" i="123"/>
  <c r="HP75" i="123"/>
  <c r="HT75" i="123"/>
  <c r="HX75" i="123"/>
  <c r="IB75" i="123"/>
  <c r="IF75" i="123"/>
  <c r="IJ75" i="123"/>
  <c r="IN75" i="123"/>
  <c r="IR75" i="123"/>
  <c r="IV75" i="123"/>
  <c r="IZ75" i="123"/>
  <c r="FA75" i="123"/>
  <c r="FF75" i="123"/>
  <c r="FK75" i="123"/>
  <c r="FQ75" i="123"/>
  <c r="FV75" i="123"/>
  <c r="GA75" i="123"/>
  <c r="GG75" i="123"/>
  <c r="GL75" i="123"/>
  <c r="GQ75" i="123"/>
  <c r="GW75" i="123"/>
  <c r="HB75" i="123"/>
  <c r="HG75" i="123"/>
  <c r="HM75" i="123"/>
  <c r="HR75" i="123"/>
  <c r="HW75" i="123"/>
  <c r="IC75" i="123"/>
  <c r="IH75" i="123"/>
  <c r="IM75" i="123"/>
  <c r="IS75" i="123"/>
  <c r="IX75" i="123"/>
  <c r="JC75" i="123"/>
  <c r="FB75" i="123"/>
  <c r="FG75" i="123"/>
  <c r="FM75" i="123"/>
  <c r="FR75" i="123"/>
  <c r="FW75" i="123"/>
  <c r="GC75" i="123"/>
  <c r="GH75" i="123"/>
  <c r="GM75" i="123"/>
  <c r="GS75" i="123"/>
  <c r="GX75" i="123"/>
  <c r="HC75" i="123"/>
  <c r="HI75" i="123"/>
  <c r="HN75" i="123"/>
  <c r="HS75" i="123"/>
  <c r="HY75" i="123"/>
  <c r="ID75" i="123"/>
  <c r="II75" i="123"/>
  <c r="IO75" i="123"/>
  <c r="IT75" i="123"/>
  <c r="IY75" i="123"/>
  <c r="EX75" i="123"/>
  <c r="FC75" i="123"/>
  <c r="FI75" i="123"/>
  <c r="FN75" i="123"/>
  <c r="FS75" i="123"/>
  <c r="FY75" i="123"/>
  <c r="GD75" i="123"/>
  <c r="GI75" i="123"/>
  <c r="GO75" i="123"/>
  <c r="GT75" i="123"/>
  <c r="GY75" i="123"/>
  <c r="HE75" i="123"/>
  <c r="HJ75" i="123"/>
  <c r="HO75" i="123"/>
  <c r="HU75" i="123"/>
  <c r="HZ75" i="123"/>
  <c r="IE75" i="123"/>
  <c r="IK75" i="123"/>
  <c r="IP75" i="123"/>
  <c r="IU75" i="123"/>
  <c r="JA75" i="123"/>
  <c r="FO75" i="123"/>
  <c r="GK75" i="123"/>
  <c r="HF75" i="123"/>
  <c r="IA75" i="123"/>
  <c r="IW75" i="123"/>
  <c r="EY75" i="123"/>
  <c r="FU75" i="123"/>
  <c r="GP75" i="123"/>
  <c r="HK75" i="123"/>
  <c r="IG75" i="123"/>
  <c r="JB75" i="123"/>
  <c r="FE75" i="123"/>
  <c r="FZ75" i="123"/>
  <c r="GU75" i="123"/>
  <c r="HQ75" i="123"/>
  <c r="IL75" i="123"/>
  <c r="FJ75" i="123"/>
  <c r="GE75" i="123"/>
  <c r="HA75" i="123"/>
  <c r="HV75" i="123"/>
  <c r="IQ75" i="123"/>
  <c r="EY54" i="123"/>
  <c r="FC54" i="123"/>
  <c r="FG54" i="123"/>
  <c r="FK54" i="123"/>
  <c r="FO54" i="123"/>
  <c r="FS54" i="123"/>
  <c r="FW54" i="123"/>
  <c r="GA54" i="123"/>
  <c r="GE54" i="123"/>
  <c r="GI54" i="123"/>
  <c r="GM54" i="123"/>
  <c r="GQ54" i="123"/>
  <c r="GU54" i="123"/>
  <c r="GY54" i="123"/>
  <c r="HC54" i="123"/>
  <c r="HG54" i="123"/>
  <c r="HK54" i="123"/>
  <c r="HO54" i="123"/>
  <c r="HS54" i="123"/>
  <c r="HW54" i="123"/>
  <c r="IA54" i="123"/>
  <c r="IE54" i="123"/>
  <c r="II54" i="123"/>
  <c r="IM54" i="123"/>
  <c r="IQ54" i="123"/>
  <c r="IU54" i="123"/>
  <c r="IY54" i="123"/>
  <c r="JC54" i="123"/>
  <c r="EX54" i="123"/>
  <c r="FD54" i="123"/>
  <c r="FI54" i="123"/>
  <c r="FN54" i="123"/>
  <c r="FT54" i="123"/>
  <c r="FY54" i="123"/>
  <c r="GD54" i="123"/>
  <c r="GJ54" i="123"/>
  <c r="GO54" i="123"/>
  <c r="GT54" i="123"/>
  <c r="GZ54" i="123"/>
  <c r="HE54" i="123"/>
  <c r="HJ54" i="123"/>
  <c r="HP54" i="123"/>
  <c r="HU54" i="123"/>
  <c r="HZ54" i="123"/>
  <c r="IF54" i="123"/>
  <c r="IK54" i="123"/>
  <c r="IP54" i="123"/>
  <c r="IV54" i="123"/>
  <c r="JA54" i="123"/>
  <c r="FE54" i="123"/>
  <c r="FL54" i="123"/>
  <c r="FR54" i="123"/>
  <c r="FZ54" i="123"/>
  <c r="GG54" i="123"/>
  <c r="GN54" i="123"/>
  <c r="GV54" i="123"/>
  <c r="HB54" i="123"/>
  <c r="HI54" i="123"/>
  <c r="HQ54" i="123"/>
  <c r="HX54" i="123"/>
  <c r="ID54" i="123"/>
  <c r="IL54" i="123"/>
  <c r="IS54" i="123"/>
  <c r="IZ54" i="123"/>
  <c r="EZ54" i="123"/>
  <c r="FF54" i="123"/>
  <c r="FM54" i="123"/>
  <c r="FU54" i="123"/>
  <c r="GB54" i="123"/>
  <c r="GH54" i="123"/>
  <c r="GP54" i="123"/>
  <c r="GW54" i="123"/>
  <c r="HD54" i="123"/>
  <c r="HL54" i="123"/>
  <c r="HR54" i="123"/>
  <c r="HY54" i="123"/>
  <c r="IG54" i="123"/>
  <c r="IN54" i="123"/>
  <c r="IT54" i="123"/>
  <c r="JB54" i="123"/>
  <c r="FA54" i="123"/>
  <c r="FP54" i="123"/>
  <c r="GC54" i="123"/>
  <c r="GR54" i="123"/>
  <c r="HF54" i="123"/>
  <c r="HT54" i="123"/>
  <c r="IH54" i="123"/>
  <c r="IW54" i="123"/>
  <c r="FB54" i="123"/>
  <c r="FQ54" i="123"/>
  <c r="GF54" i="123"/>
  <c r="GS54" i="123"/>
  <c r="HH54" i="123"/>
  <c r="HV54" i="123"/>
  <c r="IJ54" i="123"/>
  <c r="IX54" i="123"/>
  <c r="FH54" i="123"/>
  <c r="FV54" i="123"/>
  <c r="GK54" i="123"/>
  <c r="GX54" i="123"/>
  <c r="HM54" i="123"/>
  <c r="IB54" i="123"/>
  <c r="IO54" i="123"/>
  <c r="FJ54" i="123"/>
  <c r="FX54" i="123"/>
  <c r="GL54" i="123"/>
  <c r="HA54" i="123"/>
  <c r="HN54" i="123"/>
  <c r="IC54" i="123"/>
  <c r="IR54" i="123"/>
  <c r="EZ72" i="123"/>
  <c r="FD72" i="123"/>
  <c r="FH72" i="123"/>
  <c r="FL72" i="123"/>
  <c r="FP72" i="123"/>
  <c r="FT72" i="123"/>
  <c r="FX72" i="123"/>
  <c r="GB72" i="123"/>
  <c r="GF72" i="123"/>
  <c r="GJ72" i="123"/>
  <c r="GN72" i="123"/>
  <c r="GR72" i="123"/>
  <c r="GV72" i="123"/>
  <c r="GZ72" i="123"/>
  <c r="HD72" i="123"/>
  <c r="HH72" i="123"/>
  <c r="HL72" i="123"/>
  <c r="HP72" i="123"/>
  <c r="HT72" i="123"/>
  <c r="HX72" i="123"/>
  <c r="IB72" i="123"/>
  <c r="IF72" i="123"/>
  <c r="IJ72" i="123"/>
  <c r="IN72" i="123"/>
  <c r="IR72" i="123"/>
  <c r="IV72" i="123"/>
  <c r="IZ72" i="123"/>
  <c r="FB72" i="123"/>
  <c r="FG72" i="123"/>
  <c r="FM72" i="123"/>
  <c r="FR72" i="123"/>
  <c r="FW72" i="123"/>
  <c r="GC72" i="123"/>
  <c r="GH72" i="123"/>
  <c r="GM72" i="123"/>
  <c r="GS72" i="123"/>
  <c r="GX72" i="123"/>
  <c r="HC72" i="123"/>
  <c r="HI72" i="123"/>
  <c r="HN72" i="123"/>
  <c r="HS72" i="123"/>
  <c r="HY72" i="123"/>
  <c r="ID72" i="123"/>
  <c r="II72" i="123"/>
  <c r="IO72" i="123"/>
  <c r="IT72" i="123"/>
  <c r="IY72" i="123"/>
  <c r="EY72" i="123"/>
  <c r="FF72" i="123"/>
  <c r="FN72" i="123"/>
  <c r="FU72" i="123"/>
  <c r="GA72" i="123"/>
  <c r="GI72" i="123"/>
  <c r="GP72" i="123"/>
  <c r="GW72" i="123"/>
  <c r="HE72" i="123"/>
  <c r="HK72" i="123"/>
  <c r="HR72" i="123"/>
  <c r="HZ72" i="123"/>
  <c r="IG72" i="123"/>
  <c r="IM72" i="123"/>
  <c r="IU72" i="123"/>
  <c r="JB72" i="123"/>
  <c r="FA72" i="123"/>
  <c r="FI72" i="123"/>
  <c r="FO72" i="123"/>
  <c r="FV72" i="123"/>
  <c r="GD72" i="123"/>
  <c r="GK72" i="123"/>
  <c r="GQ72" i="123"/>
  <c r="GY72" i="123"/>
  <c r="HF72" i="123"/>
  <c r="HM72" i="123"/>
  <c r="HU72" i="123"/>
  <c r="IA72" i="123"/>
  <c r="IH72" i="123"/>
  <c r="IP72" i="123"/>
  <c r="IW72" i="123"/>
  <c r="JC72" i="123"/>
  <c r="FC72" i="123"/>
  <c r="FJ72" i="123"/>
  <c r="FQ72" i="123"/>
  <c r="FY72" i="123"/>
  <c r="GE72" i="123"/>
  <c r="GL72" i="123"/>
  <c r="GT72" i="123"/>
  <c r="HA72" i="123"/>
  <c r="HG72" i="123"/>
  <c r="HO72" i="123"/>
  <c r="HV72" i="123"/>
  <c r="IC72" i="123"/>
  <c r="IK72" i="123"/>
  <c r="IQ72" i="123"/>
  <c r="IX72" i="123"/>
  <c r="FS72" i="123"/>
  <c r="GU72" i="123"/>
  <c r="HW72" i="123"/>
  <c r="JA72" i="123"/>
  <c r="EX72" i="123"/>
  <c r="FZ72" i="123"/>
  <c r="HB72" i="123"/>
  <c r="IE72" i="123"/>
  <c r="FE72" i="123"/>
  <c r="GG72" i="123"/>
  <c r="HJ72" i="123"/>
  <c r="IL72" i="123"/>
  <c r="FK72" i="123"/>
  <c r="GO72" i="123"/>
  <c r="HQ72" i="123"/>
  <c r="IS72" i="123"/>
  <c r="EX63" i="123"/>
  <c r="FB63" i="123"/>
  <c r="FF63" i="123"/>
  <c r="FJ63" i="123"/>
  <c r="FN63" i="123"/>
  <c r="FR63" i="123"/>
  <c r="FV63" i="123"/>
  <c r="FZ63" i="123"/>
  <c r="GD63" i="123"/>
  <c r="GH63" i="123"/>
  <c r="GL63" i="123"/>
  <c r="GP63" i="123"/>
  <c r="GT63" i="123"/>
  <c r="GX63" i="123"/>
  <c r="HB63" i="123"/>
  <c r="HF63" i="123"/>
  <c r="HJ63" i="123"/>
  <c r="HN63" i="123"/>
  <c r="HR63" i="123"/>
  <c r="HV63" i="123"/>
  <c r="HZ63" i="123"/>
  <c r="ID63" i="123"/>
  <c r="IH63" i="123"/>
  <c r="IL63" i="123"/>
  <c r="IP63" i="123"/>
  <c r="IT63" i="123"/>
  <c r="IX63" i="123"/>
  <c r="JB63" i="123"/>
  <c r="EZ63" i="123"/>
  <c r="FE63" i="123"/>
  <c r="FK63" i="123"/>
  <c r="FP63" i="123"/>
  <c r="FU63" i="123"/>
  <c r="GA63" i="123"/>
  <c r="GF63" i="123"/>
  <c r="GK63" i="123"/>
  <c r="GQ63" i="123"/>
  <c r="GV63" i="123"/>
  <c r="HA63" i="123"/>
  <c r="HG63" i="123"/>
  <c r="HL63" i="123"/>
  <c r="HQ63" i="123"/>
  <c r="HW63" i="123"/>
  <c r="IB63" i="123"/>
  <c r="IG63" i="123"/>
  <c r="IM63" i="123"/>
  <c r="IR63" i="123"/>
  <c r="IW63" i="123"/>
  <c r="JC63" i="123"/>
  <c r="FA63" i="123"/>
  <c r="FH63" i="123"/>
  <c r="FO63" i="123"/>
  <c r="FW63" i="123"/>
  <c r="GC63" i="123"/>
  <c r="GJ63" i="123"/>
  <c r="GR63" i="123"/>
  <c r="GY63" i="123"/>
  <c r="HE63" i="123"/>
  <c r="HM63" i="123"/>
  <c r="HT63" i="123"/>
  <c r="IA63" i="123"/>
  <c r="II63" i="123"/>
  <c r="IO63" i="123"/>
  <c r="IV63" i="123"/>
  <c r="FC63" i="123"/>
  <c r="FI63" i="123"/>
  <c r="FQ63" i="123"/>
  <c r="FX63" i="123"/>
  <c r="GE63" i="123"/>
  <c r="GM63" i="123"/>
  <c r="GS63" i="123"/>
  <c r="GZ63" i="123"/>
  <c r="HH63" i="123"/>
  <c r="HO63" i="123"/>
  <c r="HU63" i="123"/>
  <c r="IC63" i="123"/>
  <c r="IJ63" i="123"/>
  <c r="IQ63" i="123"/>
  <c r="IY63" i="123"/>
  <c r="FD63" i="123"/>
  <c r="FL63" i="123"/>
  <c r="FS63" i="123"/>
  <c r="FY63" i="123"/>
  <c r="GG63" i="123"/>
  <c r="GN63" i="123"/>
  <c r="GU63" i="123"/>
  <c r="HC63" i="123"/>
  <c r="HI63" i="123"/>
  <c r="HP63" i="123"/>
  <c r="HX63" i="123"/>
  <c r="IE63" i="123"/>
  <c r="IK63" i="123"/>
  <c r="IS63" i="123"/>
  <c r="IZ63" i="123"/>
  <c r="EY63" i="123"/>
  <c r="FG63" i="123"/>
  <c r="FM63" i="123"/>
  <c r="FT63" i="123"/>
  <c r="GB63" i="123"/>
  <c r="GI63" i="123"/>
  <c r="GO63" i="123"/>
  <c r="GW63" i="123"/>
  <c r="HD63" i="123"/>
  <c r="HK63" i="123"/>
  <c r="HS63" i="123"/>
  <c r="HY63" i="123"/>
  <c r="IF63" i="123"/>
  <c r="IN63" i="123"/>
  <c r="IU63" i="123"/>
  <c r="JA63" i="123"/>
  <c r="EX74" i="123"/>
  <c r="FB74" i="123"/>
  <c r="FF74" i="123"/>
  <c r="FJ74" i="123"/>
  <c r="FN74" i="123"/>
  <c r="FR74" i="123"/>
  <c r="FV74" i="123"/>
  <c r="FZ74" i="123"/>
  <c r="GD74" i="123"/>
  <c r="GH74" i="123"/>
  <c r="GL74" i="123"/>
  <c r="GP74" i="123"/>
  <c r="GT74" i="123"/>
  <c r="GX74" i="123"/>
  <c r="HB74" i="123"/>
  <c r="HF74" i="123"/>
  <c r="HJ74" i="123"/>
  <c r="HN74" i="123"/>
  <c r="HR74" i="123"/>
  <c r="HV74" i="123"/>
  <c r="HZ74" i="123"/>
  <c r="ID74" i="123"/>
  <c r="IH74" i="123"/>
  <c r="IL74" i="123"/>
  <c r="IP74" i="123"/>
  <c r="IT74" i="123"/>
  <c r="IX74" i="123"/>
  <c r="JB74" i="123"/>
  <c r="EY74" i="123"/>
  <c r="FD74" i="123"/>
  <c r="FI74" i="123"/>
  <c r="FO74" i="123"/>
  <c r="FT74" i="123"/>
  <c r="FY74" i="123"/>
  <c r="GE74" i="123"/>
  <c r="GJ74" i="123"/>
  <c r="GO74" i="123"/>
  <c r="GU74" i="123"/>
  <c r="GZ74" i="123"/>
  <c r="HE74" i="123"/>
  <c r="HK74" i="123"/>
  <c r="HP74" i="123"/>
  <c r="HU74" i="123"/>
  <c r="IA74" i="123"/>
  <c r="IF74" i="123"/>
  <c r="IK74" i="123"/>
  <c r="IQ74" i="123"/>
  <c r="IV74" i="123"/>
  <c r="JA74" i="123"/>
  <c r="EZ74" i="123"/>
  <c r="FE74" i="123"/>
  <c r="FK74" i="123"/>
  <c r="FP74" i="123"/>
  <c r="FU74" i="123"/>
  <c r="GA74" i="123"/>
  <c r="GF74" i="123"/>
  <c r="GK74" i="123"/>
  <c r="GQ74" i="123"/>
  <c r="GV74" i="123"/>
  <c r="HA74" i="123"/>
  <c r="HG74" i="123"/>
  <c r="HL74" i="123"/>
  <c r="HQ74" i="123"/>
  <c r="HW74" i="123"/>
  <c r="IB74" i="123"/>
  <c r="IG74" i="123"/>
  <c r="IM74" i="123"/>
  <c r="IR74" i="123"/>
  <c r="IW74" i="123"/>
  <c r="JC74" i="123"/>
  <c r="FA74" i="123"/>
  <c r="FG74" i="123"/>
  <c r="FL74" i="123"/>
  <c r="FQ74" i="123"/>
  <c r="FW74" i="123"/>
  <c r="GB74" i="123"/>
  <c r="GG74" i="123"/>
  <c r="GM74" i="123"/>
  <c r="GR74" i="123"/>
  <c r="GW74" i="123"/>
  <c r="HC74" i="123"/>
  <c r="HH74" i="123"/>
  <c r="HM74" i="123"/>
  <c r="HS74" i="123"/>
  <c r="HX74" i="123"/>
  <c r="IC74" i="123"/>
  <c r="II74" i="123"/>
  <c r="IN74" i="123"/>
  <c r="IS74" i="123"/>
  <c r="IY74" i="123"/>
  <c r="FS74" i="123"/>
  <c r="GN74" i="123"/>
  <c r="HI74" i="123"/>
  <c r="IE74" i="123"/>
  <c r="IZ74" i="123"/>
  <c r="FC74" i="123"/>
  <c r="FX74" i="123"/>
  <c r="GS74" i="123"/>
  <c r="HO74" i="123"/>
  <c r="IJ74" i="123"/>
  <c r="FH74" i="123"/>
  <c r="GC74" i="123"/>
  <c r="GY74" i="123"/>
  <c r="HT74" i="123"/>
  <c r="IO74" i="123"/>
  <c r="FM74" i="123"/>
  <c r="GI74" i="123"/>
  <c r="HD74" i="123"/>
  <c r="HY74" i="123"/>
  <c r="IU74" i="123"/>
  <c r="EZ87" i="123"/>
  <c r="FD87" i="123"/>
  <c r="FH87" i="123"/>
  <c r="FL87" i="123"/>
  <c r="FP87" i="123"/>
  <c r="FT87" i="123"/>
  <c r="FX87" i="123"/>
  <c r="GB87" i="123"/>
  <c r="GF87" i="123"/>
  <c r="GJ87" i="123"/>
  <c r="GN87" i="123"/>
  <c r="GR87" i="123"/>
  <c r="GV87" i="123"/>
  <c r="GZ87" i="123"/>
  <c r="HD87" i="123"/>
  <c r="HH87" i="123"/>
  <c r="HL87" i="123"/>
  <c r="HP87" i="123"/>
  <c r="HT87" i="123"/>
  <c r="HX87" i="123"/>
  <c r="IB87" i="123"/>
  <c r="IF87" i="123"/>
  <c r="IJ87" i="123"/>
  <c r="IN87" i="123"/>
  <c r="IR87" i="123"/>
  <c r="IV87" i="123"/>
  <c r="IZ87" i="123"/>
  <c r="EX87" i="123"/>
  <c r="FC87" i="123"/>
  <c r="FI87" i="123"/>
  <c r="FN87" i="123"/>
  <c r="FS87" i="123"/>
  <c r="FY87" i="123"/>
  <c r="GD87" i="123"/>
  <c r="GI87" i="123"/>
  <c r="GO87" i="123"/>
  <c r="GT87" i="123"/>
  <c r="GY87" i="123"/>
  <c r="HE87" i="123"/>
  <c r="HJ87" i="123"/>
  <c r="HO87" i="123"/>
  <c r="HU87" i="123"/>
  <c r="HZ87" i="123"/>
  <c r="IE87" i="123"/>
  <c r="IK87" i="123"/>
  <c r="IP87" i="123"/>
  <c r="IU87" i="123"/>
  <c r="JA87" i="123"/>
  <c r="EY87" i="123"/>
  <c r="FE87" i="123"/>
  <c r="FJ87" i="123"/>
  <c r="FO87" i="123"/>
  <c r="FU87" i="123"/>
  <c r="FZ87" i="123"/>
  <c r="GE87" i="123"/>
  <c r="GK87" i="123"/>
  <c r="GP87" i="123"/>
  <c r="GU87" i="123"/>
  <c r="HA87" i="123"/>
  <c r="HF87" i="123"/>
  <c r="HK87" i="123"/>
  <c r="HQ87" i="123"/>
  <c r="HV87" i="123"/>
  <c r="IA87" i="123"/>
  <c r="IG87" i="123"/>
  <c r="IL87" i="123"/>
  <c r="IQ87" i="123"/>
  <c r="IW87" i="123"/>
  <c r="JB87" i="123"/>
  <c r="FA87" i="123"/>
  <c r="FF87" i="123"/>
  <c r="FK87" i="123"/>
  <c r="FQ87" i="123"/>
  <c r="FV87" i="123"/>
  <c r="GA87" i="123"/>
  <c r="GG87" i="123"/>
  <c r="GL87" i="123"/>
  <c r="GQ87" i="123"/>
  <c r="GW87" i="123"/>
  <c r="HB87" i="123"/>
  <c r="HG87" i="123"/>
  <c r="HM87" i="123"/>
  <c r="HR87" i="123"/>
  <c r="HW87" i="123"/>
  <c r="IC87" i="123"/>
  <c r="IH87" i="123"/>
  <c r="IM87" i="123"/>
  <c r="IS87" i="123"/>
  <c r="IX87" i="123"/>
  <c r="JC87" i="123"/>
  <c r="FR87" i="123"/>
  <c r="GM87" i="123"/>
  <c r="HI87" i="123"/>
  <c r="ID87" i="123"/>
  <c r="IY87" i="123"/>
  <c r="FB87" i="123"/>
  <c r="FW87" i="123"/>
  <c r="GS87" i="123"/>
  <c r="HN87" i="123"/>
  <c r="II87" i="123"/>
  <c r="FG87" i="123"/>
  <c r="GC87" i="123"/>
  <c r="GX87" i="123"/>
  <c r="HS87" i="123"/>
  <c r="IO87" i="123"/>
  <c r="FM87" i="123"/>
  <c r="GH87" i="123"/>
  <c r="HC87" i="123"/>
  <c r="HY87" i="123"/>
  <c r="IT87" i="123"/>
  <c r="EY52" i="123"/>
  <c r="FC52" i="123"/>
  <c r="FG52" i="123"/>
  <c r="FK52" i="123"/>
  <c r="FO52" i="123"/>
  <c r="FS52" i="123"/>
  <c r="FW52" i="123"/>
  <c r="GA52" i="123"/>
  <c r="GE52" i="123"/>
  <c r="GI52" i="123"/>
  <c r="GM52" i="123"/>
  <c r="GQ52" i="123"/>
  <c r="GU52" i="123"/>
  <c r="GY52" i="123"/>
  <c r="HC52" i="123"/>
  <c r="HG52" i="123"/>
  <c r="HK52" i="123"/>
  <c r="HO52" i="123"/>
  <c r="HS52" i="123"/>
  <c r="HW52" i="123"/>
  <c r="IA52" i="123"/>
  <c r="IE52" i="123"/>
  <c r="II52" i="123"/>
  <c r="IM52" i="123"/>
  <c r="IQ52" i="123"/>
  <c r="IU52" i="123"/>
  <c r="IY52" i="123"/>
  <c r="JC52" i="123"/>
  <c r="EZ52" i="123"/>
  <c r="FE52" i="123"/>
  <c r="FJ52" i="123"/>
  <c r="FP52" i="123"/>
  <c r="FU52" i="123"/>
  <c r="FZ52" i="123"/>
  <c r="GF52" i="123"/>
  <c r="GK52" i="123"/>
  <c r="GP52" i="123"/>
  <c r="GV52" i="123"/>
  <c r="HA52" i="123"/>
  <c r="HF52" i="123"/>
  <c r="HL52" i="123"/>
  <c r="HQ52" i="123"/>
  <c r="HV52" i="123"/>
  <c r="IB52" i="123"/>
  <c r="IG52" i="123"/>
  <c r="IL52" i="123"/>
  <c r="IR52" i="123"/>
  <c r="IW52" i="123"/>
  <c r="JB52" i="123"/>
  <c r="FD52" i="123"/>
  <c r="FL52" i="123"/>
  <c r="FR52" i="123"/>
  <c r="FY52" i="123"/>
  <c r="GG52" i="123"/>
  <c r="GN52" i="123"/>
  <c r="GT52" i="123"/>
  <c r="HB52" i="123"/>
  <c r="HI52" i="123"/>
  <c r="HP52" i="123"/>
  <c r="HX52" i="123"/>
  <c r="ID52" i="123"/>
  <c r="IK52" i="123"/>
  <c r="IS52" i="123"/>
  <c r="IZ52" i="123"/>
  <c r="EX52" i="123"/>
  <c r="FF52" i="123"/>
  <c r="FM52" i="123"/>
  <c r="FT52" i="123"/>
  <c r="GB52" i="123"/>
  <c r="GH52" i="123"/>
  <c r="GO52" i="123"/>
  <c r="GW52" i="123"/>
  <c r="HD52" i="123"/>
  <c r="HJ52" i="123"/>
  <c r="HR52" i="123"/>
  <c r="HY52" i="123"/>
  <c r="IF52" i="123"/>
  <c r="IN52" i="123"/>
  <c r="IT52" i="123"/>
  <c r="JA52" i="123"/>
  <c r="FH52" i="123"/>
  <c r="FV52" i="123"/>
  <c r="GJ52" i="123"/>
  <c r="GX52" i="123"/>
  <c r="HM52" i="123"/>
  <c r="HZ52" i="123"/>
  <c r="IO52" i="123"/>
  <c r="FI52" i="123"/>
  <c r="FX52" i="123"/>
  <c r="GL52" i="123"/>
  <c r="GZ52" i="123"/>
  <c r="HN52" i="123"/>
  <c r="IC52" i="123"/>
  <c r="IP52" i="123"/>
  <c r="FA52" i="123"/>
  <c r="FN52" i="123"/>
  <c r="GC52" i="123"/>
  <c r="GR52" i="123"/>
  <c r="HE52" i="123"/>
  <c r="HT52" i="123"/>
  <c r="IH52" i="123"/>
  <c r="IV52" i="123"/>
  <c r="FB52" i="123"/>
  <c r="FQ52" i="123"/>
  <c r="GD52" i="123"/>
  <c r="GS52" i="123"/>
  <c r="HH52" i="123"/>
  <c r="HU52" i="123"/>
  <c r="IJ52" i="123"/>
  <c r="IX52" i="123"/>
  <c r="EZ62" i="123"/>
  <c r="FD62" i="123"/>
  <c r="FH62" i="123"/>
  <c r="FL62" i="123"/>
  <c r="FP62" i="123"/>
  <c r="FT62" i="123"/>
  <c r="FX62" i="123"/>
  <c r="GB62" i="123"/>
  <c r="GF62" i="123"/>
  <c r="GJ62" i="123"/>
  <c r="GN62" i="123"/>
  <c r="GR62" i="123"/>
  <c r="GV62" i="123"/>
  <c r="GZ62" i="123"/>
  <c r="HD62" i="123"/>
  <c r="HH62" i="123"/>
  <c r="HL62" i="123"/>
  <c r="HP62" i="123"/>
  <c r="HT62" i="123"/>
  <c r="HX62" i="123"/>
  <c r="IB62" i="123"/>
  <c r="IF62" i="123"/>
  <c r="IJ62" i="123"/>
  <c r="IN62" i="123"/>
  <c r="IR62" i="123"/>
  <c r="IV62" i="123"/>
  <c r="IZ62" i="123"/>
  <c r="EX62" i="123"/>
  <c r="FC62" i="123"/>
  <c r="FI62" i="123"/>
  <c r="FN62" i="123"/>
  <c r="FS62" i="123"/>
  <c r="FY62" i="123"/>
  <c r="GD62" i="123"/>
  <c r="GI62" i="123"/>
  <c r="GO62" i="123"/>
  <c r="GT62" i="123"/>
  <c r="GY62" i="123"/>
  <c r="HE62" i="123"/>
  <c r="HJ62" i="123"/>
  <c r="HO62" i="123"/>
  <c r="HU62" i="123"/>
  <c r="HZ62" i="123"/>
  <c r="IE62" i="123"/>
  <c r="IK62" i="123"/>
  <c r="IP62" i="123"/>
  <c r="IU62" i="123"/>
  <c r="JA62" i="123"/>
  <c r="FE62" i="123"/>
  <c r="FK62" i="123"/>
  <c r="FR62" i="123"/>
  <c r="FZ62" i="123"/>
  <c r="GG62" i="123"/>
  <c r="GM62" i="123"/>
  <c r="GU62" i="123"/>
  <c r="HB62" i="123"/>
  <c r="HI62" i="123"/>
  <c r="HQ62" i="123"/>
  <c r="HW62" i="123"/>
  <c r="ID62" i="123"/>
  <c r="IL62" i="123"/>
  <c r="IS62" i="123"/>
  <c r="IY62" i="123"/>
  <c r="EY62" i="123"/>
  <c r="FF62" i="123"/>
  <c r="FM62" i="123"/>
  <c r="FU62" i="123"/>
  <c r="GA62" i="123"/>
  <c r="GH62" i="123"/>
  <c r="GP62" i="123"/>
  <c r="GW62" i="123"/>
  <c r="HC62" i="123"/>
  <c r="HK62" i="123"/>
  <c r="HR62" i="123"/>
  <c r="HY62" i="123"/>
  <c r="IG62" i="123"/>
  <c r="IM62" i="123"/>
  <c r="IT62" i="123"/>
  <c r="JB62" i="123"/>
  <c r="FA62" i="123"/>
  <c r="FG62" i="123"/>
  <c r="FO62" i="123"/>
  <c r="FV62" i="123"/>
  <c r="GC62" i="123"/>
  <c r="GK62" i="123"/>
  <c r="GQ62" i="123"/>
  <c r="GX62" i="123"/>
  <c r="HF62" i="123"/>
  <c r="HM62" i="123"/>
  <c r="HS62" i="123"/>
  <c r="IA62" i="123"/>
  <c r="IH62" i="123"/>
  <c r="IO62" i="123"/>
  <c r="IW62" i="123"/>
  <c r="JC62" i="123"/>
  <c r="FB62" i="123"/>
  <c r="FJ62" i="123"/>
  <c r="FQ62" i="123"/>
  <c r="FW62" i="123"/>
  <c r="GE62" i="123"/>
  <c r="GL62" i="123"/>
  <c r="GS62" i="123"/>
  <c r="HA62" i="123"/>
  <c r="HG62" i="123"/>
  <c r="HN62" i="123"/>
  <c r="HV62" i="123"/>
  <c r="IC62" i="123"/>
  <c r="II62" i="123"/>
  <c r="IQ62" i="123"/>
  <c r="IX62" i="123"/>
  <c r="EX88" i="123"/>
  <c r="FB88" i="123"/>
  <c r="FF88" i="123"/>
  <c r="FJ88" i="123"/>
  <c r="FN88" i="123"/>
  <c r="FR88" i="123"/>
  <c r="FV88" i="123"/>
  <c r="FZ88" i="123"/>
  <c r="GD88" i="123"/>
  <c r="GH88" i="123"/>
  <c r="GL88" i="123"/>
  <c r="GP88" i="123"/>
  <c r="GT88" i="123"/>
  <c r="GX88" i="123"/>
  <c r="HB88" i="123"/>
  <c r="HF88" i="123"/>
  <c r="HJ88" i="123"/>
  <c r="HN88" i="123"/>
  <c r="HR88" i="123"/>
  <c r="HV88" i="123"/>
  <c r="HZ88" i="123"/>
  <c r="ID88" i="123"/>
  <c r="IH88" i="123"/>
  <c r="IL88" i="123"/>
  <c r="IP88" i="123"/>
  <c r="IT88" i="123"/>
  <c r="IX88" i="123"/>
  <c r="JB88" i="123"/>
  <c r="EZ88" i="123"/>
  <c r="FE88" i="123"/>
  <c r="FK88" i="123"/>
  <c r="FP88" i="123"/>
  <c r="FU88" i="123"/>
  <c r="GA88" i="123"/>
  <c r="GF88" i="123"/>
  <c r="GK88" i="123"/>
  <c r="GQ88" i="123"/>
  <c r="GV88" i="123"/>
  <c r="HA88" i="123"/>
  <c r="HG88" i="123"/>
  <c r="HL88" i="123"/>
  <c r="HQ88" i="123"/>
  <c r="HW88" i="123"/>
  <c r="IB88" i="123"/>
  <c r="IG88" i="123"/>
  <c r="IM88" i="123"/>
  <c r="IR88" i="123"/>
  <c r="IW88" i="123"/>
  <c r="JC88" i="123"/>
  <c r="FA88" i="123"/>
  <c r="FG88" i="123"/>
  <c r="FL88" i="123"/>
  <c r="FQ88" i="123"/>
  <c r="FW88" i="123"/>
  <c r="GB88" i="123"/>
  <c r="GG88" i="123"/>
  <c r="GM88" i="123"/>
  <c r="GR88" i="123"/>
  <c r="GW88" i="123"/>
  <c r="HC88" i="123"/>
  <c r="HH88" i="123"/>
  <c r="HM88" i="123"/>
  <c r="HS88" i="123"/>
  <c r="HX88" i="123"/>
  <c r="IC88" i="123"/>
  <c r="II88" i="123"/>
  <c r="IN88" i="123"/>
  <c r="IS88" i="123"/>
  <c r="IY88" i="123"/>
  <c r="FC88" i="123"/>
  <c r="FH88" i="123"/>
  <c r="FM88" i="123"/>
  <c r="FS88" i="123"/>
  <c r="FX88" i="123"/>
  <c r="GC88" i="123"/>
  <c r="GI88" i="123"/>
  <c r="GN88" i="123"/>
  <c r="GS88" i="123"/>
  <c r="GY88" i="123"/>
  <c r="HD88" i="123"/>
  <c r="HI88" i="123"/>
  <c r="HO88" i="123"/>
  <c r="HT88" i="123"/>
  <c r="HY88" i="123"/>
  <c r="IE88" i="123"/>
  <c r="IJ88" i="123"/>
  <c r="IO88" i="123"/>
  <c r="IU88" i="123"/>
  <c r="IZ88" i="123"/>
  <c r="FO88" i="123"/>
  <c r="GJ88" i="123"/>
  <c r="HE88" i="123"/>
  <c r="IA88" i="123"/>
  <c r="IV88" i="123"/>
  <c r="EY88" i="123"/>
  <c r="FT88" i="123"/>
  <c r="GO88" i="123"/>
  <c r="HK88" i="123"/>
  <c r="IF88" i="123"/>
  <c r="JA88" i="123"/>
  <c r="FD88" i="123"/>
  <c r="FY88" i="123"/>
  <c r="GU88" i="123"/>
  <c r="HP88" i="123"/>
  <c r="IK88" i="123"/>
  <c r="FI88" i="123"/>
  <c r="GE88" i="123"/>
  <c r="GZ88" i="123"/>
  <c r="HU88" i="123"/>
  <c r="IQ88" i="123"/>
  <c r="EX76" i="123"/>
  <c r="FB76" i="123"/>
  <c r="FF76" i="123"/>
  <c r="FJ76" i="123"/>
  <c r="FN76" i="123"/>
  <c r="FR76" i="123"/>
  <c r="FV76" i="123"/>
  <c r="FZ76" i="123"/>
  <c r="GD76" i="123"/>
  <c r="GH76" i="123"/>
  <c r="GL76" i="123"/>
  <c r="GP76" i="123"/>
  <c r="GT76" i="123"/>
  <c r="GX76" i="123"/>
  <c r="HB76" i="123"/>
  <c r="HF76" i="123"/>
  <c r="HJ76" i="123"/>
  <c r="HN76" i="123"/>
  <c r="HR76" i="123"/>
  <c r="HV76" i="123"/>
  <c r="HZ76" i="123"/>
  <c r="ID76" i="123"/>
  <c r="IH76" i="123"/>
  <c r="IL76" i="123"/>
  <c r="IP76" i="123"/>
  <c r="IT76" i="123"/>
  <c r="IX76" i="123"/>
  <c r="JB76" i="123"/>
  <c r="FC76" i="123"/>
  <c r="FH76" i="123"/>
  <c r="FM76" i="123"/>
  <c r="FS76" i="123"/>
  <c r="FX76" i="123"/>
  <c r="GC76" i="123"/>
  <c r="GI76" i="123"/>
  <c r="GN76" i="123"/>
  <c r="GS76" i="123"/>
  <c r="GY76" i="123"/>
  <c r="HD76" i="123"/>
  <c r="HI76" i="123"/>
  <c r="HO76" i="123"/>
  <c r="HT76" i="123"/>
  <c r="HY76" i="123"/>
  <c r="IE76" i="123"/>
  <c r="IJ76" i="123"/>
  <c r="IO76" i="123"/>
  <c r="IU76" i="123"/>
  <c r="IZ76" i="123"/>
  <c r="EY76" i="123"/>
  <c r="FD76" i="123"/>
  <c r="FI76" i="123"/>
  <c r="FO76" i="123"/>
  <c r="FT76" i="123"/>
  <c r="FY76" i="123"/>
  <c r="GE76" i="123"/>
  <c r="GJ76" i="123"/>
  <c r="GO76" i="123"/>
  <c r="GU76" i="123"/>
  <c r="GZ76" i="123"/>
  <c r="HE76" i="123"/>
  <c r="HK76" i="123"/>
  <c r="HP76" i="123"/>
  <c r="HU76" i="123"/>
  <c r="IA76" i="123"/>
  <c r="IF76" i="123"/>
  <c r="IK76" i="123"/>
  <c r="IQ76" i="123"/>
  <c r="IV76" i="123"/>
  <c r="JA76" i="123"/>
  <c r="EZ76" i="123"/>
  <c r="FE76" i="123"/>
  <c r="FK76" i="123"/>
  <c r="FP76" i="123"/>
  <c r="FU76" i="123"/>
  <c r="GA76" i="123"/>
  <c r="GF76" i="123"/>
  <c r="GK76" i="123"/>
  <c r="GQ76" i="123"/>
  <c r="GV76" i="123"/>
  <c r="HA76" i="123"/>
  <c r="HG76" i="123"/>
  <c r="HL76" i="123"/>
  <c r="HQ76" i="123"/>
  <c r="HW76" i="123"/>
  <c r="IB76" i="123"/>
  <c r="IG76" i="123"/>
  <c r="IM76" i="123"/>
  <c r="IR76" i="123"/>
  <c r="IW76" i="123"/>
  <c r="JC76" i="123"/>
  <c r="FL76" i="123"/>
  <c r="GG76" i="123"/>
  <c r="HC76" i="123"/>
  <c r="HX76" i="123"/>
  <c r="IS76" i="123"/>
  <c r="FQ76" i="123"/>
  <c r="GM76" i="123"/>
  <c r="HH76" i="123"/>
  <c r="IC76" i="123"/>
  <c r="IY76" i="123"/>
  <c r="FA76" i="123"/>
  <c r="FW76" i="123"/>
  <c r="GR76" i="123"/>
  <c r="HM76" i="123"/>
  <c r="II76" i="123"/>
  <c r="FG76" i="123"/>
  <c r="GB76" i="123"/>
  <c r="GW76" i="123"/>
  <c r="HS76" i="123"/>
  <c r="IN76" i="123"/>
  <c r="EZ77" i="123"/>
  <c r="FD77" i="123"/>
  <c r="FH77" i="123"/>
  <c r="FL77" i="123"/>
  <c r="FP77" i="123"/>
  <c r="FT77" i="123"/>
  <c r="FX77" i="123"/>
  <c r="GB77" i="123"/>
  <c r="GF77" i="123"/>
  <c r="GJ77" i="123"/>
  <c r="GN77" i="123"/>
  <c r="GR77" i="123"/>
  <c r="GV77" i="123"/>
  <c r="GZ77" i="123"/>
  <c r="HD77" i="123"/>
  <c r="HH77" i="123"/>
  <c r="HL77" i="123"/>
  <c r="HP77" i="123"/>
  <c r="HT77" i="123"/>
  <c r="HX77" i="123"/>
  <c r="IB77" i="123"/>
  <c r="IF77" i="123"/>
  <c r="IJ77" i="123"/>
  <c r="IN77" i="123"/>
  <c r="IR77" i="123"/>
  <c r="IV77" i="123"/>
  <c r="IZ77" i="123"/>
  <c r="EY77" i="123"/>
  <c r="FE77" i="123"/>
  <c r="FJ77" i="123"/>
  <c r="FO77" i="123"/>
  <c r="FU77" i="123"/>
  <c r="FZ77" i="123"/>
  <c r="GE77" i="123"/>
  <c r="GK77" i="123"/>
  <c r="GP77" i="123"/>
  <c r="GU77" i="123"/>
  <c r="HA77" i="123"/>
  <c r="HF77" i="123"/>
  <c r="HK77" i="123"/>
  <c r="HQ77" i="123"/>
  <c r="HV77" i="123"/>
  <c r="IA77" i="123"/>
  <c r="IG77" i="123"/>
  <c r="IL77" i="123"/>
  <c r="IQ77" i="123"/>
  <c r="IW77" i="123"/>
  <c r="JB77" i="123"/>
  <c r="FA77" i="123"/>
  <c r="FF77" i="123"/>
  <c r="FK77" i="123"/>
  <c r="FQ77" i="123"/>
  <c r="FV77" i="123"/>
  <c r="GA77" i="123"/>
  <c r="GG77" i="123"/>
  <c r="GL77" i="123"/>
  <c r="GQ77" i="123"/>
  <c r="GW77" i="123"/>
  <c r="HB77" i="123"/>
  <c r="HG77" i="123"/>
  <c r="HM77" i="123"/>
  <c r="HR77" i="123"/>
  <c r="HW77" i="123"/>
  <c r="IC77" i="123"/>
  <c r="IH77" i="123"/>
  <c r="IM77" i="123"/>
  <c r="IS77" i="123"/>
  <c r="IX77" i="123"/>
  <c r="JC77" i="123"/>
  <c r="FB77" i="123"/>
  <c r="FG77" i="123"/>
  <c r="FM77" i="123"/>
  <c r="FR77" i="123"/>
  <c r="FW77" i="123"/>
  <c r="GC77" i="123"/>
  <c r="GH77" i="123"/>
  <c r="GM77" i="123"/>
  <c r="GS77" i="123"/>
  <c r="GX77" i="123"/>
  <c r="HC77" i="123"/>
  <c r="HI77" i="123"/>
  <c r="HN77" i="123"/>
  <c r="HS77" i="123"/>
  <c r="HY77" i="123"/>
  <c r="ID77" i="123"/>
  <c r="II77" i="123"/>
  <c r="IO77" i="123"/>
  <c r="IT77" i="123"/>
  <c r="IY77" i="123"/>
  <c r="FI77" i="123"/>
  <c r="GD77" i="123"/>
  <c r="GY77" i="123"/>
  <c r="HU77" i="123"/>
  <c r="IP77" i="123"/>
  <c r="FN77" i="123"/>
  <c r="GI77" i="123"/>
  <c r="HE77" i="123"/>
  <c r="HZ77" i="123"/>
  <c r="IU77" i="123"/>
  <c r="EX77" i="123"/>
  <c r="FS77" i="123"/>
  <c r="GO77" i="123"/>
  <c r="HJ77" i="123"/>
  <c r="IE77" i="123"/>
  <c r="JA77" i="123"/>
  <c r="FC77" i="123"/>
  <c r="FY77" i="123"/>
  <c r="GT77" i="123"/>
  <c r="HO77" i="123"/>
  <c r="IK77" i="123"/>
  <c r="EZ93" i="123"/>
  <c r="FD93" i="123"/>
  <c r="FH93" i="123"/>
  <c r="FL93" i="123"/>
  <c r="FP93" i="123"/>
  <c r="FT93" i="123"/>
  <c r="FX93" i="123"/>
  <c r="GB93" i="123"/>
  <c r="GF93" i="123"/>
  <c r="GJ93" i="123"/>
  <c r="GN93" i="123"/>
  <c r="GR93" i="123"/>
  <c r="GV93" i="123"/>
  <c r="GZ93" i="123"/>
  <c r="HD93" i="123"/>
  <c r="HH93" i="123"/>
  <c r="HL93" i="123"/>
  <c r="HP93" i="123"/>
  <c r="HT93" i="123"/>
  <c r="HX93" i="123"/>
  <c r="IB93" i="123"/>
  <c r="IF93" i="123"/>
  <c r="IJ93" i="123"/>
  <c r="IN93" i="123"/>
  <c r="IR93" i="123"/>
  <c r="IV93" i="123"/>
  <c r="IZ93" i="123"/>
  <c r="EY93" i="123"/>
  <c r="FE93" i="123"/>
  <c r="FJ93" i="123"/>
  <c r="FO93" i="123"/>
  <c r="FU93" i="123"/>
  <c r="FZ93" i="123"/>
  <c r="GE93" i="123"/>
  <c r="GK93" i="123"/>
  <c r="GP93" i="123"/>
  <c r="GU93" i="123"/>
  <c r="HA93" i="123"/>
  <c r="HF93" i="123"/>
  <c r="HK93" i="123"/>
  <c r="HQ93" i="123"/>
  <c r="HV93" i="123"/>
  <c r="IA93" i="123"/>
  <c r="IG93" i="123"/>
  <c r="IL93" i="123"/>
  <c r="IQ93" i="123"/>
  <c r="IW93" i="123"/>
  <c r="JB93" i="123"/>
  <c r="FA93" i="123"/>
  <c r="FF93" i="123"/>
  <c r="FK93" i="123"/>
  <c r="FQ93" i="123"/>
  <c r="FV93" i="123"/>
  <c r="GA93" i="123"/>
  <c r="GG93" i="123"/>
  <c r="GL93" i="123"/>
  <c r="GQ93" i="123"/>
  <c r="GW93" i="123"/>
  <c r="HB93" i="123"/>
  <c r="HG93" i="123"/>
  <c r="HM93" i="123"/>
  <c r="HR93" i="123"/>
  <c r="HW93" i="123"/>
  <c r="IC93" i="123"/>
  <c r="IH93" i="123"/>
  <c r="IM93" i="123"/>
  <c r="IS93" i="123"/>
  <c r="IX93" i="123"/>
  <c r="JC93" i="123"/>
  <c r="FB93" i="123"/>
  <c r="FG93" i="123"/>
  <c r="FM93" i="123"/>
  <c r="FR93" i="123"/>
  <c r="FW93" i="123"/>
  <c r="GC93" i="123"/>
  <c r="GH93" i="123"/>
  <c r="GM93" i="123"/>
  <c r="GS93" i="123"/>
  <c r="GX93" i="123"/>
  <c r="HC93" i="123"/>
  <c r="HI93" i="123"/>
  <c r="HN93" i="123"/>
  <c r="HS93" i="123"/>
  <c r="HY93" i="123"/>
  <c r="ID93" i="123"/>
  <c r="II93" i="123"/>
  <c r="IO93" i="123"/>
  <c r="IT93" i="123"/>
  <c r="IY93" i="123"/>
  <c r="EX93" i="123"/>
  <c r="FS93" i="123"/>
  <c r="GO93" i="123"/>
  <c r="HJ93" i="123"/>
  <c r="IE93" i="123"/>
  <c r="JA93" i="123"/>
  <c r="FC93" i="123"/>
  <c r="FY93" i="123"/>
  <c r="GT93" i="123"/>
  <c r="HO93" i="123"/>
  <c r="IK93" i="123"/>
  <c r="FI93" i="123"/>
  <c r="GD93" i="123"/>
  <c r="GY93" i="123"/>
  <c r="HU93" i="123"/>
  <c r="IP93" i="123"/>
  <c r="FN93" i="123"/>
  <c r="GI93" i="123"/>
  <c r="HE93" i="123"/>
  <c r="HZ93" i="123"/>
  <c r="IU93" i="123"/>
  <c r="EZ46" i="123"/>
  <c r="FD46" i="123"/>
  <c r="EY46" i="123"/>
  <c r="FE46" i="123"/>
  <c r="FI46" i="123"/>
  <c r="FM46" i="123"/>
  <c r="FQ46" i="123"/>
  <c r="FU46" i="123"/>
  <c r="FY46" i="123"/>
  <c r="GC46" i="123"/>
  <c r="GG46" i="123"/>
  <c r="GK46" i="123"/>
  <c r="GO46" i="123"/>
  <c r="GS46" i="123"/>
  <c r="GW46" i="123"/>
  <c r="HA46" i="123"/>
  <c r="HE46" i="123"/>
  <c r="HI46" i="123"/>
  <c r="HM46" i="123"/>
  <c r="HQ46" i="123"/>
  <c r="HU46" i="123"/>
  <c r="HY46" i="123"/>
  <c r="IC46" i="123"/>
  <c r="IG46" i="123"/>
  <c r="IK46" i="123"/>
  <c r="IO46" i="123"/>
  <c r="IS46" i="123"/>
  <c r="IW46" i="123"/>
  <c r="JA46" i="123"/>
  <c r="FC46" i="123"/>
  <c r="FJ46" i="123"/>
  <c r="FO46" i="123"/>
  <c r="FT46" i="123"/>
  <c r="FZ46" i="123"/>
  <c r="GE46" i="123"/>
  <c r="GJ46" i="123"/>
  <c r="GP46" i="123"/>
  <c r="GU46" i="123"/>
  <c r="GZ46" i="123"/>
  <c r="HF46" i="123"/>
  <c r="HK46" i="123"/>
  <c r="HP46" i="123"/>
  <c r="HV46" i="123"/>
  <c r="IA46" i="123"/>
  <c r="IF46" i="123"/>
  <c r="IL46" i="123"/>
  <c r="IQ46" i="123"/>
  <c r="IV46" i="123"/>
  <c r="JB46" i="123"/>
  <c r="FB46" i="123"/>
  <c r="FK46" i="123"/>
  <c r="FR46" i="123"/>
  <c r="FX46" i="123"/>
  <c r="GF46" i="123"/>
  <c r="GM46" i="123"/>
  <c r="GT46" i="123"/>
  <c r="HB46" i="123"/>
  <c r="HH46" i="123"/>
  <c r="HO46" i="123"/>
  <c r="HW46" i="123"/>
  <c r="ID46" i="123"/>
  <c r="IJ46" i="123"/>
  <c r="IR46" i="123"/>
  <c r="IY46" i="123"/>
  <c r="FA46" i="123"/>
  <c r="FL46" i="123"/>
  <c r="FV46" i="123"/>
  <c r="GD46" i="123"/>
  <c r="GN46" i="123"/>
  <c r="GX46" i="123"/>
  <c r="HG46" i="123"/>
  <c r="HR46" i="123"/>
  <c r="HZ46" i="123"/>
  <c r="II46" i="123"/>
  <c r="IT46" i="123"/>
  <c r="JC46" i="123"/>
  <c r="FF46" i="123"/>
  <c r="FN46" i="123"/>
  <c r="FW46" i="123"/>
  <c r="GH46" i="123"/>
  <c r="GQ46" i="123"/>
  <c r="GY46" i="123"/>
  <c r="HJ46" i="123"/>
  <c r="HS46" i="123"/>
  <c r="IB46" i="123"/>
  <c r="IM46" i="123"/>
  <c r="IU46" i="123"/>
  <c r="FG46" i="123"/>
  <c r="GA46" i="123"/>
  <c r="GR46" i="123"/>
  <c r="HL46" i="123"/>
  <c r="IE46" i="123"/>
  <c r="IX46" i="123"/>
  <c r="FH46" i="123"/>
  <c r="GB46" i="123"/>
  <c r="GV46" i="123"/>
  <c r="HN46" i="123"/>
  <c r="IH46" i="123"/>
  <c r="IZ46" i="123"/>
  <c r="FP46" i="123"/>
  <c r="GI46" i="123"/>
  <c r="HC46" i="123"/>
  <c r="HT46" i="123"/>
  <c r="IN46" i="123"/>
  <c r="EX46" i="123"/>
  <c r="FS46" i="123"/>
  <c r="GL46" i="123"/>
  <c r="HD46" i="123"/>
  <c r="HX46" i="123"/>
  <c r="IP46" i="123"/>
  <c r="EY56" i="123"/>
  <c r="FC56" i="123"/>
  <c r="FG56" i="123"/>
  <c r="FK56" i="123"/>
  <c r="FO56" i="123"/>
  <c r="FS56" i="123"/>
  <c r="FW56" i="123"/>
  <c r="GA56" i="123"/>
  <c r="GE56" i="123"/>
  <c r="GI56" i="123"/>
  <c r="GM56" i="123"/>
  <c r="GQ56" i="123"/>
  <c r="GU56" i="123"/>
  <c r="GY56" i="123"/>
  <c r="HC56" i="123"/>
  <c r="HG56" i="123"/>
  <c r="HK56" i="123"/>
  <c r="HO56" i="123"/>
  <c r="HS56" i="123"/>
  <c r="HW56" i="123"/>
  <c r="IA56" i="123"/>
  <c r="IE56" i="123"/>
  <c r="II56" i="123"/>
  <c r="IM56" i="123"/>
  <c r="IQ56" i="123"/>
  <c r="IU56" i="123"/>
  <c r="IY56" i="123"/>
  <c r="JC56" i="123"/>
  <c r="FB56" i="123"/>
  <c r="FH56" i="123"/>
  <c r="FM56" i="123"/>
  <c r="FR56" i="123"/>
  <c r="FX56" i="123"/>
  <c r="GC56" i="123"/>
  <c r="GH56" i="123"/>
  <c r="GN56" i="123"/>
  <c r="GS56" i="123"/>
  <c r="GX56" i="123"/>
  <c r="HD56" i="123"/>
  <c r="HI56" i="123"/>
  <c r="HN56" i="123"/>
  <c r="HT56" i="123"/>
  <c r="HY56" i="123"/>
  <c r="ID56" i="123"/>
  <c r="IJ56" i="123"/>
  <c r="IO56" i="123"/>
  <c r="IT56" i="123"/>
  <c r="IZ56" i="123"/>
  <c r="EX56" i="123"/>
  <c r="FE56" i="123"/>
  <c r="FL56" i="123"/>
  <c r="FT56" i="123"/>
  <c r="FZ56" i="123"/>
  <c r="GG56" i="123"/>
  <c r="GO56" i="123"/>
  <c r="GV56" i="123"/>
  <c r="HB56" i="123"/>
  <c r="HJ56" i="123"/>
  <c r="HQ56" i="123"/>
  <c r="HX56" i="123"/>
  <c r="IF56" i="123"/>
  <c r="IL56" i="123"/>
  <c r="IS56" i="123"/>
  <c r="JA56" i="123"/>
  <c r="EZ56" i="123"/>
  <c r="FF56" i="123"/>
  <c r="FN56" i="123"/>
  <c r="FU56" i="123"/>
  <c r="GB56" i="123"/>
  <c r="GJ56" i="123"/>
  <c r="GP56" i="123"/>
  <c r="GW56" i="123"/>
  <c r="HE56" i="123"/>
  <c r="HL56" i="123"/>
  <c r="HR56" i="123"/>
  <c r="HZ56" i="123"/>
  <c r="IG56" i="123"/>
  <c r="IN56" i="123"/>
  <c r="IV56" i="123"/>
  <c r="JB56" i="123"/>
  <c r="FI56" i="123"/>
  <c r="FV56" i="123"/>
  <c r="GK56" i="123"/>
  <c r="GZ56" i="123"/>
  <c r="HM56" i="123"/>
  <c r="IB56" i="123"/>
  <c r="IP56" i="123"/>
  <c r="FJ56" i="123"/>
  <c r="FY56" i="123"/>
  <c r="GL56" i="123"/>
  <c r="HA56" i="123"/>
  <c r="HP56" i="123"/>
  <c r="IC56" i="123"/>
  <c r="IR56" i="123"/>
  <c r="FA56" i="123"/>
  <c r="FP56" i="123"/>
  <c r="GD56" i="123"/>
  <c r="GR56" i="123"/>
  <c r="HF56" i="123"/>
  <c r="HU56" i="123"/>
  <c r="IH56" i="123"/>
  <c r="IW56" i="123"/>
  <c r="FD56" i="123"/>
  <c r="FQ56" i="123"/>
  <c r="GF56" i="123"/>
  <c r="GT56" i="123"/>
  <c r="HH56" i="123"/>
  <c r="HV56" i="123"/>
  <c r="IK56" i="123"/>
  <c r="IX56" i="123"/>
  <c r="EX59" i="123"/>
  <c r="FB59" i="123"/>
  <c r="FF59" i="123"/>
  <c r="FJ59" i="123"/>
  <c r="FN59" i="123"/>
  <c r="FR59" i="123"/>
  <c r="FV59" i="123"/>
  <c r="FZ59" i="123"/>
  <c r="GD59" i="123"/>
  <c r="GH59" i="123"/>
  <c r="GL59" i="123"/>
  <c r="GP59" i="123"/>
  <c r="GT59" i="123"/>
  <c r="GX59" i="123"/>
  <c r="HB59" i="123"/>
  <c r="HF59" i="123"/>
  <c r="HJ59" i="123"/>
  <c r="HN59" i="123"/>
  <c r="HR59" i="123"/>
  <c r="HV59" i="123"/>
  <c r="HZ59" i="123"/>
  <c r="ID59" i="123"/>
  <c r="IH59" i="123"/>
  <c r="IL59" i="123"/>
  <c r="IP59" i="123"/>
  <c r="IT59" i="123"/>
  <c r="IX59" i="123"/>
  <c r="JB59" i="123"/>
  <c r="FC59" i="123"/>
  <c r="FH59" i="123"/>
  <c r="FM59" i="123"/>
  <c r="FS59" i="123"/>
  <c r="FX59" i="123"/>
  <c r="GC59" i="123"/>
  <c r="GI59" i="123"/>
  <c r="GN59" i="123"/>
  <c r="GS59" i="123"/>
  <c r="GY59" i="123"/>
  <c r="HD59" i="123"/>
  <c r="HI59" i="123"/>
  <c r="HO59" i="123"/>
  <c r="HT59" i="123"/>
  <c r="HY59" i="123"/>
  <c r="IE59" i="123"/>
  <c r="IJ59" i="123"/>
  <c r="IO59" i="123"/>
  <c r="IU59" i="123"/>
  <c r="IZ59" i="123"/>
  <c r="EZ59" i="123"/>
  <c r="FG59" i="123"/>
  <c r="FO59" i="123"/>
  <c r="FU59" i="123"/>
  <c r="GB59" i="123"/>
  <c r="GJ59" i="123"/>
  <c r="GQ59" i="123"/>
  <c r="GW59" i="123"/>
  <c r="HE59" i="123"/>
  <c r="HL59" i="123"/>
  <c r="HS59" i="123"/>
  <c r="IA59" i="123"/>
  <c r="IG59" i="123"/>
  <c r="IN59" i="123"/>
  <c r="IV59" i="123"/>
  <c r="JC59" i="123"/>
  <c r="FA59" i="123"/>
  <c r="FI59" i="123"/>
  <c r="FP59" i="123"/>
  <c r="FW59" i="123"/>
  <c r="GE59" i="123"/>
  <c r="GK59" i="123"/>
  <c r="GR59" i="123"/>
  <c r="GZ59" i="123"/>
  <c r="HG59" i="123"/>
  <c r="HM59" i="123"/>
  <c r="HU59" i="123"/>
  <c r="IB59" i="123"/>
  <c r="II59" i="123"/>
  <c r="IQ59" i="123"/>
  <c r="IW59" i="123"/>
  <c r="FD59" i="123"/>
  <c r="FK59" i="123"/>
  <c r="FQ59" i="123"/>
  <c r="FY59" i="123"/>
  <c r="GF59" i="123"/>
  <c r="GM59" i="123"/>
  <c r="GU59" i="123"/>
  <c r="HA59" i="123"/>
  <c r="HH59" i="123"/>
  <c r="HP59" i="123"/>
  <c r="HW59" i="123"/>
  <c r="IC59" i="123"/>
  <c r="IK59" i="123"/>
  <c r="IR59" i="123"/>
  <c r="IY59" i="123"/>
  <c r="EY59" i="123"/>
  <c r="FE59" i="123"/>
  <c r="FL59" i="123"/>
  <c r="FT59" i="123"/>
  <c r="GA59" i="123"/>
  <c r="GG59" i="123"/>
  <c r="GO59" i="123"/>
  <c r="GV59" i="123"/>
  <c r="HC59" i="123"/>
  <c r="HK59" i="123"/>
  <c r="HQ59" i="123"/>
  <c r="HX59" i="123"/>
  <c r="IF59" i="123"/>
  <c r="IM59" i="123"/>
  <c r="IS59" i="123"/>
  <c r="JA59" i="123"/>
  <c r="EX92" i="123"/>
  <c r="FB92" i="123"/>
  <c r="FF92" i="123"/>
  <c r="FJ92" i="123"/>
  <c r="FN92" i="123"/>
  <c r="FR92" i="123"/>
  <c r="FV92" i="123"/>
  <c r="FZ92" i="123"/>
  <c r="GD92" i="123"/>
  <c r="GH92" i="123"/>
  <c r="GL92" i="123"/>
  <c r="GP92" i="123"/>
  <c r="GT92" i="123"/>
  <c r="GX92" i="123"/>
  <c r="HB92" i="123"/>
  <c r="HF92" i="123"/>
  <c r="HJ92" i="123"/>
  <c r="HN92" i="123"/>
  <c r="HR92" i="123"/>
  <c r="HV92" i="123"/>
  <c r="HZ92" i="123"/>
  <c r="ID92" i="123"/>
  <c r="IH92" i="123"/>
  <c r="IL92" i="123"/>
  <c r="IP92" i="123"/>
  <c r="IT92" i="123"/>
  <c r="IX92" i="123"/>
  <c r="JB92" i="123"/>
  <c r="FC92" i="123"/>
  <c r="FH92" i="123"/>
  <c r="FM92" i="123"/>
  <c r="FS92" i="123"/>
  <c r="FX92" i="123"/>
  <c r="GC92" i="123"/>
  <c r="GI92" i="123"/>
  <c r="GN92" i="123"/>
  <c r="GS92" i="123"/>
  <c r="GY92" i="123"/>
  <c r="HD92" i="123"/>
  <c r="HI92" i="123"/>
  <c r="HO92" i="123"/>
  <c r="HT92" i="123"/>
  <c r="HY92" i="123"/>
  <c r="IE92" i="123"/>
  <c r="IJ92" i="123"/>
  <c r="IO92" i="123"/>
  <c r="IU92" i="123"/>
  <c r="IZ92" i="123"/>
  <c r="EY92" i="123"/>
  <c r="FD92" i="123"/>
  <c r="FI92" i="123"/>
  <c r="FO92" i="123"/>
  <c r="FT92" i="123"/>
  <c r="FY92" i="123"/>
  <c r="GE92" i="123"/>
  <c r="GJ92" i="123"/>
  <c r="GO92" i="123"/>
  <c r="GU92" i="123"/>
  <c r="GZ92" i="123"/>
  <c r="HE92" i="123"/>
  <c r="HK92" i="123"/>
  <c r="HP92" i="123"/>
  <c r="HU92" i="123"/>
  <c r="IA92" i="123"/>
  <c r="IF92" i="123"/>
  <c r="IK92" i="123"/>
  <c r="IQ92" i="123"/>
  <c r="IV92" i="123"/>
  <c r="JA92" i="123"/>
  <c r="EZ92" i="123"/>
  <c r="FE92" i="123"/>
  <c r="FK92" i="123"/>
  <c r="FP92" i="123"/>
  <c r="FU92" i="123"/>
  <c r="GA92" i="123"/>
  <c r="GF92" i="123"/>
  <c r="GK92" i="123"/>
  <c r="GQ92" i="123"/>
  <c r="GV92" i="123"/>
  <c r="HA92" i="123"/>
  <c r="HG92" i="123"/>
  <c r="HL92" i="123"/>
  <c r="HQ92" i="123"/>
  <c r="HW92" i="123"/>
  <c r="IB92" i="123"/>
  <c r="IG92" i="123"/>
  <c r="IM92" i="123"/>
  <c r="IR92" i="123"/>
  <c r="IW92" i="123"/>
  <c r="JC92" i="123"/>
  <c r="FA92" i="123"/>
  <c r="FW92" i="123"/>
  <c r="GR92" i="123"/>
  <c r="HM92" i="123"/>
  <c r="II92" i="123"/>
  <c r="FG92" i="123"/>
  <c r="GB92" i="123"/>
  <c r="GW92" i="123"/>
  <c r="HS92" i="123"/>
  <c r="IN92" i="123"/>
  <c r="FL92" i="123"/>
  <c r="GG92" i="123"/>
  <c r="HC92" i="123"/>
  <c r="HX92" i="123"/>
  <c r="IS92" i="123"/>
  <c r="FQ92" i="123"/>
  <c r="GM92" i="123"/>
  <c r="HH92" i="123"/>
  <c r="IC92" i="123"/>
  <c r="IY92" i="123"/>
  <c r="EZ85" i="123"/>
  <c r="FD85" i="123"/>
  <c r="FH85" i="123"/>
  <c r="FL85" i="123"/>
  <c r="FP85" i="123"/>
  <c r="FT85" i="123"/>
  <c r="FX85" i="123"/>
  <c r="GB85" i="123"/>
  <c r="GF85" i="123"/>
  <c r="GJ85" i="123"/>
  <c r="GN85" i="123"/>
  <c r="GR85" i="123"/>
  <c r="GV85" i="123"/>
  <c r="GZ85" i="123"/>
  <c r="HD85" i="123"/>
  <c r="HH85" i="123"/>
  <c r="HL85" i="123"/>
  <c r="HP85" i="123"/>
  <c r="HT85" i="123"/>
  <c r="HX85" i="123"/>
  <c r="IB85" i="123"/>
  <c r="IF85" i="123"/>
  <c r="IJ85" i="123"/>
  <c r="IN85" i="123"/>
  <c r="IR85" i="123"/>
  <c r="IV85" i="123"/>
  <c r="IZ85" i="123"/>
  <c r="EY85" i="123"/>
  <c r="FE85" i="123"/>
  <c r="FJ85" i="123"/>
  <c r="FO85" i="123"/>
  <c r="FU85" i="123"/>
  <c r="FZ85" i="123"/>
  <c r="GE85" i="123"/>
  <c r="GK85" i="123"/>
  <c r="GP85" i="123"/>
  <c r="GU85" i="123"/>
  <c r="HA85" i="123"/>
  <c r="HF85" i="123"/>
  <c r="HK85" i="123"/>
  <c r="HQ85" i="123"/>
  <c r="HV85" i="123"/>
  <c r="IA85" i="123"/>
  <c r="IG85" i="123"/>
  <c r="IL85" i="123"/>
  <c r="IQ85" i="123"/>
  <c r="IW85" i="123"/>
  <c r="JB85" i="123"/>
  <c r="FA85" i="123"/>
  <c r="FF85" i="123"/>
  <c r="FK85" i="123"/>
  <c r="FQ85" i="123"/>
  <c r="FV85" i="123"/>
  <c r="GA85" i="123"/>
  <c r="GG85" i="123"/>
  <c r="GL85" i="123"/>
  <c r="GQ85" i="123"/>
  <c r="GW85" i="123"/>
  <c r="HB85" i="123"/>
  <c r="HG85" i="123"/>
  <c r="HM85" i="123"/>
  <c r="HR85" i="123"/>
  <c r="HW85" i="123"/>
  <c r="IC85" i="123"/>
  <c r="IH85" i="123"/>
  <c r="IM85" i="123"/>
  <c r="IS85" i="123"/>
  <c r="IX85" i="123"/>
  <c r="JC85" i="123"/>
  <c r="FB85" i="123"/>
  <c r="FG85" i="123"/>
  <c r="FM85" i="123"/>
  <c r="FR85" i="123"/>
  <c r="FW85" i="123"/>
  <c r="GC85" i="123"/>
  <c r="GH85" i="123"/>
  <c r="GM85" i="123"/>
  <c r="GS85" i="123"/>
  <c r="GX85" i="123"/>
  <c r="HC85" i="123"/>
  <c r="HI85" i="123"/>
  <c r="HN85" i="123"/>
  <c r="HS85" i="123"/>
  <c r="HY85" i="123"/>
  <c r="ID85" i="123"/>
  <c r="II85" i="123"/>
  <c r="IO85" i="123"/>
  <c r="IT85" i="123"/>
  <c r="IY85" i="123"/>
  <c r="FC85" i="123"/>
  <c r="FY85" i="123"/>
  <c r="GT85" i="123"/>
  <c r="HO85" i="123"/>
  <c r="IK85" i="123"/>
  <c r="FI85" i="123"/>
  <c r="GD85" i="123"/>
  <c r="GY85" i="123"/>
  <c r="HU85" i="123"/>
  <c r="IP85" i="123"/>
  <c r="FN85" i="123"/>
  <c r="GI85" i="123"/>
  <c r="HE85" i="123"/>
  <c r="HZ85" i="123"/>
  <c r="IU85" i="123"/>
  <c r="EX85" i="123"/>
  <c r="FS85" i="123"/>
  <c r="GO85" i="123"/>
  <c r="HJ85" i="123"/>
  <c r="IE85" i="123"/>
  <c r="JA85" i="123"/>
  <c r="EX73" i="123"/>
  <c r="FB73" i="123"/>
  <c r="FF73" i="123"/>
  <c r="FJ73" i="123"/>
  <c r="FN73" i="123"/>
  <c r="FR73" i="123"/>
  <c r="EY73" i="123"/>
  <c r="FD73" i="123"/>
  <c r="FI73" i="123"/>
  <c r="FO73" i="123"/>
  <c r="FT73" i="123"/>
  <c r="FX73" i="123"/>
  <c r="GB73" i="123"/>
  <c r="GF73" i="123"/>
  <c r="GJ73" i="123"/>
  <c r="GN73" i="123"/>
  <c r="GR73" i="123"/>
  <c r="GV73" i="123"/>
  <c r="GZ73" i="123"/>
  <c r="HD73" i="123"/>
  <c r="HH73" i="123"/>
  <c r="HL73" i="123"/>
  <c r="HP73" i="123"/>
  <c r="HT73" i="123"/>
  <c r="HX73" i="123"/>
  <c r="IB73" i="123"/>
  <c r="IF73" i="123"/>
  <c r="IJ73" i="123"/>
  <c r="IN73" i="123"/>
  <c r="IR73" i="123"/>
  <c r="IV73" i="123"/>
  <c r="IZ73" i="123"/>
  <c r="FC73" i="123"/>
  <c r="FK73" i="123"/>
  <c r="FQ73" i="123"/>
  <c r="FW73" i="123"/>
  <c r="GC73" i="123"/>
  <c r="GH73" i="123"/>
  <c r="GM73" i="123"/>
  <c r="GS73" i="123"/>
  <c r="GX73" i="123"/>
  <c r="HC73" i="123"/>
  <c r="HI73" i="123"/>
  <c r="HN73" i="123"/>
  <c r="HS73" i="123"/>
  <c r="HY73" i="123"/>
  <c r="ID73" i="123"/>
  <c r="II73" i="123"/>
  <c r="IO73" i="123"/>
  <c r="IT73" i="123"/>
  <c r="IY73" i="123"/>
  <c r="FE73" i="123"/>
  <c r="FL73" i="123"/>
  <c r="FS73" i="123"/>
  <c r="FY73" i="123"/>
  <c r="GD73" i="123"/>
  <c r="GI73" i="123"/>
  <c r="GO73" i="123"/>
  <c r="GT73" i="123"/>
  <c r="GY73" i="123"/>
  <c r="HE73" i="123"/>
  <c r="HJ73" i="123"/>
  <c r="HO73" i="123"/>
  <c r="HU73" i="123"/>
  <c r="HZ73" i="123"/>
  <c r="IE73" i="123"/>
  <c r="IK73" i="123"/>
  <c r="IP73" i="123"/>
  <c r="IU73" i="123"/>
  <c r="JA73" i="123"/>
  <c r="EZ73" i="123"/>
  <c r="FG73" i="123"/>
  <c r="FM73" i="123"/>
  <c r="FU73" i="123"/>
  <c r="FZ73" i="123"/>
  <c r="GE73" i="123"/>
  <c r="GK73" i="123"/>
  <c r="GP73" i="123"/>
  <c r="GU73" i="123"/>
  <c r="HA73" i="123"/>
  <c r="HF73" i="123"/>
  <c r="HK73" i="123"/>
  <c r="HQ73" i="123"/>
  <c r="HV73" i="123"/>
  <c r="IA73" i="123"/>
  <c r="IG73" i="123"/>
  <c r="IL73" i="123"/>
  <c r="IQ73" i="123"/>
  <c r="IW73" i="123"/>
  <c r="JB73" i="123"/>
  <c r="FV73" i="123"/>
  <c r="GQ73" i="123"/>
  <c r="HM73" i="123"/>
  <c r="IH73" i="123"/>
  <c r="JC73" i="123"/>
  <c r="FA73" i="123"/>
  <c r="GA73" i="123"/>
  <c r="GW73" i="123"/>
  <c r="HR73" i="123"/>
  <c r="IM73" i="123"/>
  <c r="FH73" i="123"/>
  <c r="GG73" i="123"/>
  <c r="HB73" i="123"/>
  <c r="HW73" i="123"/>
  <c r="IS73" i="123"/>
  <c r="FP73" i="123"/>
  <c r="GL73" i="123"/>
  <c r="HG73" i="123"/>
  <c r="IC73" i="123"/>
  <c r="IX73" i="123"/>
  <c r="FA55" i="123"/>
  <c r="FE55" i="123"/>
  <c r="FI55" i="123"/>
  <c r="FM55" i="123"/>
  <c r="FQ55" i="123"/>
  <c r="FU55" i="123"/>
  <c r="FY55" i="123"/>
  <c r="GC55" i="123"/>
  <c r="GG55" i="123"/>
  <c r="GK55" i="123"/>
  <c r="GO55" i="123"/>
  <c r="GS55" i="123"/>
  <c r="GW55" i="123"/>
  <c r="HA55" i="123"/>
  <c r="HE55" i="123"/>
  <c r="HI55" i="123"/>
  <c r="HM55" i="123"/>
  <c r="HQ55" i="123"/>
  <c r="HU55" i="123"/>
  <c r="HY55" i="123"/>
  <c r="IC55" i="123"/>
  <c r="IG55" i="123"/>
  <c r="IK55" i="123"/>
  <c r="IO55" i="123"/>
  <c r="IS55" i="123"/>
  <c r="IW55" i="123"/>
  <c r="JA55" i="123"/>
  <c r="EZ55" i="123"/>
  <c r="FF55" i="123"/>
  <c r="FK55" i="123"/>
  <c r="FP55" i="123"/>
  <c r="FV55" i="123"/>
  <c r="GA55" i="123"/>
  <c r="GF55" i="123"/>
  <c r="GL55" i="123"/>
  <c r="GQ55" i="123"/>
  <c r="GV55" i="123"/>
  <c r="HB55" i="123"/>
  <c r="HG55" i="123"/>
  <c r="HL55" i="123"/>
  <c r="HR55" i="123"/>
  <c r="HW55" i="123"/>
  <c r="IB55" i="123"/>
  <c r="IH55" i="123"/>
  <c r="IM55" i="123"/>
  <c r="IR55" i="123"/>
  <c r="IX55" i="123"/>
  <c r="JC55" i="123"/>
  <c r="FB55" i="123"/>
  <c r="FH55" i="123"/>
  <c r="FO55" i="123"/>
  <c r="FW55" i="123"/>
  <c r="GD55" i="123"/>
  <c r="GJ55" i="123"/>
  <c r="GR55" i="123"/>
  <c r="GY55" i="123"/>
  <c r="HF55" i="123"/>
  <c r="HN55" i="123"/>
  <c r="HT55" i="123"/>
  <c r="IA55" i="123"/>
  <c r="II55" i="123"/>
  <c r="IP55" i="123"/>
  <c r="IV55" i="123"/>
  <c r="FC55" i="123"/>
  <c r="FJ55" i="123"/>
  <c r="FR55" i="123"/>
  <c r="FX55" i="123"/>
  <c r="GE55" i="123"/>
  <c r="GM55" i="123"/>
  <c r="GT55" i="123"/>
  <c r="GZ55" i="123"/>
  <c r="HH55" i="123"/>
  <c r="HO55" i="123"/>
  <c r="HV55" i="123"/>
  <c r="ID55" i="123"/>
  <c r="IJ55" i="123"/>
  <c r="IQ55" i="123"/>
  <c r="IY55" i="123"/>
  <c r="FD55" i="123"/>
  <c r="FS55" i="123"/>
  <c r="GH55" i="123"/>
  <c r="GU55" i="123"/>
  <c r="HJ55" i="123"/>
  <c r="HX55" i="123"/>
  <c r="IL55" i="123"/>
  <c r="IZ55" i="123"/>
  <c r="FG55" i="123"/>
  <c r="FT55" i="123"/>
  <c r="GI55" i="123"/>
  <c r="GX55" i="123"/>
  <c r="HK55" i="123"/>
  <c r="HZ55" i="123"/>
  <c r="IN55" i="123"/>
  <c r="JB55" i="123"/>
  <c r="EX55" i="123"/>
  <c r="FL55" i="123"/>
  <c r="FZ55" i="123"/>
  <c r="GN55" i="123"/>
  <c r="HC55" i="123"/>
  <c r="HP55" i="123"/>
  <c r="IE55" i="123"/>
  <c r="IT55" i="123"/>
  <c r="EY55" i="123"/>
  <c r="FN55" i="123"/>
  <c r="GB55" i="123"/>
  <c r="GP55" i="123"/>
  <c r="HD55" i="123"/>
  <c r="HS55" i="123"/>
  <c r="IF55" i="123"/>
  <c r="IU55" i="123"/>
  <c r="FA57" i="123"/>
  <c r="FE57" i="123"/>
  <c r="FI57" i="123"/>
  <c r="FM57" i="123"/>
  <c r="FQ57" i="123"/>
  <c r="FU57" i="123"/>
  <c r="FY57" i="123"/>
  <c r="GC57" i="123"/>
  <c r="GG57" i="123"/>
  <c r="GK57" i="123"/>
  <c r="GO57" i="123"/>
  <c r="GS57" i="123"/>
  <c r="GW57" i="123"/>
  <c r="HA57" i="123"/>
  <c r="HE57" i="123"/>
  <c r="HI57" i="123"/>
  <c r="HM57" i="123"/>
  <c r="HQ57" i="123"/>
  <c r="HU57" i="123"/>
  <c r="EY57" i="123"/>
  <c r="FD57" i="123"/>
  <c r="FJ57" i="123"/>
  <c r="FO57" i="123"/>
  <c r="FT57" i="123"/>
  <c r="FZ57" i="123"/>
  <c r="GE57" i="123"/>
  <c r="GJ57" i="123"/>
  <c r="GP57" i="123"/>
  <c r="GU57" i="123"/>
  <c r="GZ57" i="123"/>
  <c r="HF57" i="123"/>
  <c r="HK57" i="123"/>
  <c r="HP57" i="123"/>
  <c r="HV57" i="123"/>
  <c r="HZ57" i="123"/>
  <c r="ID57" i="123"/>
  <c r="IH57" i="123"/>
  <c r="IL57" i="123"/>
  <c r="IP57" i="123"/>
  <c r="IT57" i="123"/>
  <c r="IX57" i="123"/>
  <c r="JB57" i="123"/>
  <c r="FB57" i="123"/>
  <c r="FH57" i="123"/>
  <c r="FP57" i="123"/>
  <c r="FW57" i="123"/>
  <c r="GD57" i="123"/>
  <c r="GL57" i="123"/>
  <c r="GR57" i="123"/>
  <c r="GY57" i="123"/>
  <c r="HG57" i="123"/>
  <c r="HN57" i="123"/>
  <c r="HT57" i="123"/>
  <c r="IA57" i="123"/>
  <c r="IF57" i="123"/>
  <c r="IK57" i="123"/>
  <c r="IQ57" i="123"/>
  <c r="IV57" i="123"/>
  <c r="JA57" i="123"/>
  <c r="FC57" i="123"/>
  <c r="FK57" i="123"/>
  <c r="FR57" i="123"/>
  <c r="FX57" i="123"/>
  <c r="GF57" i="123"/>
  <c r="GM57" i="123"/>
  <c r="GT57" i="123"/>
  <c r="HB57" i="123"/>
  <c r="HH57" i="123"/>
  <c r="HO57" i="123"/>
  <c r="HW57" i="123"/>
  <c r="IB57" i="123"/>
  <c r="IG57" i="123"/>
  <c r="IM57" i="123"/>
  <c r="IR57" i="123"/>
  <c r="IW57" i="123"/>
  <c r="JC57" i="123"/>
  <c r="EX57" i="123"/>
  <c r="FL57" i="123"/>
  <c r="GA57" i="123"/>
  <c r="GN57" i="123"/>
  <c r="HC57" i="123"/>
  <c r="HR57" i="123"/>
  <c r="IC57" i="123"/>
  <c r="IN57" i="123"/>
  <c r="IY57" i="123"/>
  <c r="EZ57" i="123"/>
  <c r="FN57" i="123"/>
  <c r="GB57" i="123"/>
  <c r="GQ57" i="123"/>
  <c r="HD57" i="123"/>
  <c r="HS57" i="123"/>
  <c r="IE57" i="123"/>
  <c r="IO57" i="123"/>
  <c r="IZ57" i="123"/>
  <c r="FF57" i="123"/>
  <c r="FS57" i="123"/>
  <c r="GH57" i="123"/>
  <c r="GV57" i="123"/>
  <c r="HJ57" i="123"/>
  <c r="HX57" i="123"/>
  <c r="II57" i="123"/>
  <c r="IS57" i="123"/>
  <c r="FG57" i="123"/>
  <c r="FV57" i="123"/>
  <c r="GI57" i="123"/>
  <c r="GX57" i="123"/>
  <c r="HL57" i="123"/>
  <c r="HY57" i="123"/>
  <c r="IJ57" i="123"/>
  <c r="IU57" i="123"/>
  <c r="EX61" i="123"/>
  <c r="FB61" i="123"/>
  <c r="FF61" i="123"/>
  <c r="FJ61" i="123"/>
  <c r="FN61" i="123"/>
  <c r="FR61" i="123"/>
  <c r="FV61" i="123"/>
  <c r="FZ61" i="123"/>
  <c r="GD61" i="123"/>
  <c r="GH61" i="123"/>
  <c r="GL61" i="123"/>
  <c r="GP61" i="123"/>
  <c r="GT61" i="123"/>
  <c r="GX61" i="123"/>
  <c r="HB61" i="123"/>
  <c r="HF61" i="123"/>
  <c r="HJ61" i="123"/>
  <c r="HN61" i="123"/>
  <c r="HR61" i="123"/>
  <c r="HV61" i="123"/>
  <c r="HZ61" i="123"/>
  <c r="ID61" i="123"/>
  <c r="IH61" i="123"/>
  <c r="IL61" i="123"/>
  <c r="IP61" i="123"/>
  <c r="IT61" i="123"/>
  <c r="IX61" i="123"/>
  <c r="JB61" i="123"/>
  <c r="FA61" i="123"/>
  <c r="FG61" i="123"/>
  <c r="FL61" i="123"/>
  <c r="FQ61" i="123"/>
  <c r="FW61" i="123"/>
  <c r="GB61" i="123"/>
  <c r="GG61" i="123"/>
  <c r="GM61" i="123"/>
  <c r="GR61" i="123"/>
  <c r="GW61" i="123"/>
  <c r="HC61" i="123"/>
  <c r="HH61" i="123"/>
  <c r="HM61" i="123"/>
  <c r="HS61" i="123"/>
  <c r="HX61" i="123"/>
  <c r="IC61" i="123"/>
  <c r="II61" i="123"/>
  <c r="IN61" i="123"/>
  <c r="IS61" i="123"/>
  <c r="IY61" i="123"/>
  <c r="EZ61" i="123"/>
  <c r="FH61" i="123"/>
  <c r="FO61" i="123"/>
  <c r="FU61" i="123"/>
  <c r="GC61" i="123"/>
  <c r="GJ61" i="123"/>
  <c r="GQ61" i="123"/>
  <c r="GY61" i="123"/>
  <c r="HE61" i="123"/>
  <c r="HL61" i="123"/>
  <c r="HT61" i="123"/>
  <c r="IA61" i="123"/>
  <c r="IG61" i="123"/>
  <c r="IO61" i="123"/>
  <c r="IV61" i="123"/>
  <c r="JC61" i="123"/>
  <c r="FC61" i="123"/>
  <c r="FI61" i="123"/>
  <c r="FP61" i="123"/>
  <c r="FX61" i="123"/>
  <c r="GE61" i="123"/>
  <c r="GK61" i="123"/>
  <c r="GS61" i="123"/>
  <c r="GZ61" i="123"/>
  <c r="HG61" i="123"/>
  <c r="HO61" i="123"/>
  <c r="HU61" i="123"/>
  <c r="IB61" i="123"/>
  <c r="IJ61" i="123"/>
  <c r="IQ61" i="123"/>
  <c r="IW61" i="123"/>
  <c r="FD61" i="123"/>
  <c r="FK61" i="123"/>
  <c r="FS61" i="123"/>
  <c r="FY61" i="123"/>
  <c r="GF61" i="123"/>
  <c r="GN61" i="123"/>
  <c r="GU61" i="123"/>
  <c r="HA61" i="123"/>
  <c r="HI61" i="123"/>
  <c r="HP61" i="123"/>
  <c r="HW61" i="123"/>
  <c r="IE61" i="123"/>
  <c r="IK61" i="123"/>
  <c r="IR61" i="123"/>
  <c r="IZ61" i="123"/>
  <c r="EY61" i="123"/>
  <c r="FE61" i="123"/>
  <c r="FM61" i="123"/>
  <c r="FT61" i="123"/>
  <c r="GA61" i="123"/>
  <c r="GI61" i="123"/>
  <c r="GO61" i="123"/>
  <c r="GV61" i="123"/>
  <c r="HD61" i="123"/>
  <c r="HK61" i="123"/>
  <c r="HQ61" i="123"/>
  <c r="HY61" i="123"/>
  <c r="IF61" i="123"/>
  <c r="IM61" i="123"/>
  <c r="IU61" i="123"/>
  <c r="JA61" i="123"/>
  <c r="EZ66" i="123"/>
  <c r="FD66" i="123"/>
  <c r="FH66" i="123"/>
  <c r="FL66" i="123"/>
  <c r="FP66" i="123"/>
  <c r="FT66" i="123"/>
  <c r="FX66" i="123"/>
  <c r="GB66" i="123"/>
  <c r="GF66" i="123"/>
  <c r="GJ66" i="123"/>
  <c r="GN66" i="123"/>
  <c r="GR66" i="123"/>
  <c r="GV66" i="123"/>
  <c r="GZ66" i="123"/>
  <c r="HD66" i="123"/>
  <c r="HH66" i="123"/>
  <c r="HL66" i="123"/>
  <c r="HP66" i="123"/>
  <c r="HT66" i="123"/>
  <c r="HX66" i="123"/>
  <c r="IB66" i="123"/>
  <c r="IF66" i="123"/>
  <c r="IJ66" i="123"/>
  <c r="IN66" i="123"/>
  <c r="IR66" i="123"/>
  <c r="IV66" i="123"/>
  <c r="IZ66" i="123"/>
  <c r="FA66" i="123"/>
  <c r="FF66" i="123"/>
  <c r="FK66" i="123"/>
  <c r="FQ66" i="123"/>
  <c r="FV66" i="123"/>
  <c r="GA66" i="123"/>
  <c r="GG66" i="123"/>
  <c r="GL66" i="123"/>
  <c r="GQ66" i="123"/>
  <c r="GW66" i="123"/>
  <c r="HB66" i="123"/>
  <c r="HG66" i="123"/>
  <c r="HM66" i="123"/>
  <c r="HR66" i="123"/>
  <c r="HW66" i="123"/>
  <c r="IC66" i="123"/>
  <c r="IH66" i="123"/>
  <c r="IM66" i="123"/>
  <c r="IS66" i="123"/>
  <c r="IX66" i="123"/>
  <c r="JC66" i="123"/>
  <c r="EX66" i="123"/>
  <c r="FE66" i="123"/>
  <c r="FM66" i="123"/>
  <c r="FS66" i="123"/>
  <c r="FZ66" i="123"/>
  <c r="GH66" i="123"/>
  <c r="GO66" i="123"/>
  <c r="GU66" i="123"/>
  <c r="HC66" i="123"/>
  <c r="HJ66" i="123"/>
  <c r="HQ66" i="123"/>
  <c r="HY66" i="123"/>
  <c r="IE66" i="123"/>
  <c r="IL66" i="123"/>
  <c r="IT66" i="123"/>
  <c r="JA66" i="123"/>
  <c r="EY66" i="123"/>
  <c r="FG66" i="123"/>
  <c r="FN66" i="123"/>
  <c r="FU66" i="123"/>
  <c r="GC66" i="123"/>
  <c r="GI66" i="123"/>
  <c r="GP66" i="123"/>
  <c r="GX66" i="123"/>
  <c r="HE66" i="123"/>
  <c r="HK66" i="123"/>
  <c r="HS66" i="123"/>
  <c r="HZ66" i="123"/>
  <c r="IG66" i="123"/>
  <c r="IO66" i="123"/>
  <c r="IU66" i="123"/>
  <c r="JB66" i="123"/>
  <c r="FB66" i="123"/>
  <c r="FI66" i="123"/>
  <c r="FO66" i="123"/>
  <c r="FW66" i="123"/>
  <c r="GD66" i="123"/>
  <c r="GK66" i="123"/>
  <c r="GS66" i="123"/>
  <c r="GY66" i="123"/>
  <c r="HF66" i="123"/>
  <c r="HN66" i="123"/>
  <c r="HU66" i="123"/>
  <c r="IA66" i="123"/>
  <c r="II66" i="123"/>
  <c r="IP66" i="123"/>
  <c r="IW66" i="123"/>
  <c r="FC66" i="123"/>
  <c r="FJ66" i="123"/>
  <c r="FR66" i="123"/>
  <c r="FY66" i="123"/>
  <c r="GE66" i="123"/>
  <c r="GM66" i="123"/>
  <c r="GT66" i="123"/>
  <c r="HA66" i="123"/>
  <c r="HI66" i="123"/>
  <c r="HO66" i="123"/>
  <c r="HV66" i="123"/>
  <c r="ID66" i="123"/>
  <c r="IK66" i="123"/>
  <c r="IQ66" i="123"/>
  <c r="IY66" i="123"/>
  <c r="EX86" i="123"/>
  <c r="FB86" i="123"/>
  <c r="FF86" i="123"/>
  <c r="FJ86" i="123"/>
  <c r="FN86" i="123"/>
  <c r="FR86" i="123"/>
  <c r="FV86" i="123"/>
  <c r="FZ86" i="123"/>
  <c r="GD86" i="123"/>
  <c r="GH86" i="123"/>
  <c r="GL86" i="123"/>
  <c r="GP86" i="123"/>
  <c r="GT86" i="123"/>
  <c r="GX86" i="123"/>
  <c r="HB86" i="123"/>
  <c r="HF86" i="123"/>
  <c r="HJ86" i="123"/>
  <c r="HN86" i="123"/>
  <c r="HR86" i="123"/>
  <c r="HV86" i="123"/>
  <c r="HZ86" i="123"/>
  <c r="ID86" i="123"/>
  <c r="IH86" i="123"/>
  <c r="IL86" i="123"/>
  <c r="IP86" i="123"/>
  <c r="IT86" i="123"/>
  <c r="IX86" i="123"/>
  <c r="JB86" i="123"/>
  <c r="FA86" i="123"/>
  <c r="FG86" i="123"/>
  <c r="FL86" i="123"/>
  <c r="FQ86" i="123"/>
  <c r="FW86" i="123"/>
  <c r="GB86" i="123"/>
  <c r="GG86" i="123"/>
  <c r="GM86" i="123"/>
  <c r="GR86" i="123"/>
  <c r="GW86" i="123"/>
  <c r="HC86" i="123"/>
  <c r="HH86" i="123"/>
  <c r="HM86" i="123"/>
  <c r="HS86" i="123"/>
  <c r="HX86" i="123"/>
  <c r="IC86" i="123"/>
  <c r="II86" i="123"/>
  <c r="IN86" i="123"/>
  <c r="IS86" i="123"/>
  <c r="IY86" i="123"/>
  <c r="FC86" i="123"/>
  <c r="FH86" i="123"/>
  <c r="FM86" i="123"/>
  <c r="FS86" i="123"/>
  <c r="FX86" i="123"/>
  <c r="GC86" i="123"/>
  <c r="GI86" i="123"/>
  <c r="GN86" i="123"/>
  <c r="GS86" i="123"/>
  <c r="GY86" i="123"/>
  <c r="HD86" i="123"/>
  <c r="HI86" i="123"/>
  <c r="HO86" i="123"/>
  <c r="HT86" i="123"/>
  <c r="HY86" i="123"/>
  <c r="IE86" i="123"/>
  <c r="IJ86" i="123"/>
  <c r="IO86" i="123"/>
  <c r="IU86" i="123"/>
  <c r="IZ86" i="123"/>
  <c r="EY86" i="123"/>
  <c r="FD86" i="123"/>
  <c r="FI86" i="123"/>
  <c r="FO86" i="123"/>
  <c r="FT86" i="123"/>
  <c r="FY86" i="123"/>
  <c r="GE86" i="123"/>
  <c r="GJ86" i="123"/>
  <c r="GO86" i="123"/>
  <c r="GU86" i="123"/>
  <c r="GZ86" i="123"/>
  <c r="HE86" i="123"/>
  <c r="HK86" i="123"/>
  <c r="HP86" i="123"/>
  <c r="HU86" i="123"/>
  <c r="IA86" i="123"/>
  <c r="IF86" i="123"/>
  <c r="IK86" i="123"/>
  <c r="IQ86" i="123"/>
  <c r="IV86" i="123"/>
  <c r="JA86" i="123"/>
  <c r="EZ86" i="123"/>
  <c r="FU86" i="123"/>
  <c r="GQ86" i="123"/>
  <c r="HL86" i="123"/>
  <c r="IG86" i="123"/>
  <c r="JC86" i="123"/>
  <c r="FE86" i="123"/>
  <c r="GA86" i="123"/>
  <c r="GV86" i="123"/>
  <c r="HQ86" i="123"/>
  <c r="IM86" i="123"/>
  <c r="FK86" i="123"/>
  <c r="GF86" i="123"/>
  <c r="HA86" i="123"/>
  <c r="HW86" i="123"/>
  <c r="IR86" i="123"/>
  <c r="FP86" i="123"/>
  <c r="GK86" i="123"/>
  <c r="HG86" i="123"/>
  <c r="IB86" i="123"/>
  <c r="IW86" i="123"/>
  <c r="EZ83" i="123"/>
  <c r="FD83" i="123"/>
  <c r="FH83" i="123"/>
  <c r="FL83" i="123"/>
  <c r="FP83" i="123"/>
  <c r="FT83" i="123"/>
  <c r="FX83" i="123"/>
  <c r="GB83" i="123"/>
  <c r="GF83" i="123"/>
  <c r="GJ83" i="123"/>
  <c r="GN83" i="123"/>
  <c r="GR83" i="123"/>
  <c r="GV83" i="123"/>
  <c r="GZ83" i="123"/>
  <c r="HD83" i="123"/>
  <c r="HH83" i="123"/>
  <c r="HL83" i="123"/>
  <c r="HP83" i="123"/>
  <c r="HT83" i="123"/>
  <c r="HX83" i="123"/>
  <c r="IB83" i="123"/>
  <c r="IF83" i="123"/>
  <c r="IJ83" i="123"/>
  <c r="IN83" i="123"/>
  <c r="IR83" i="123"/>
  <c r="IV83" i="123"/>
  <c r="IZ83" i="123"/>
  <c r="FA83" i="123"/>
  <c r="FF83" i="123"/>
  <c r="FK83" i="123"/>
  <c r="FQ83" i="123"/>
  <c r="FV83" i="123"/>
  <c r="GA83" i="123"/>
  <c r="GG83" i="123"/>
  <c r="GL83" i="123"/>
  <c r="GQ83" i="123"/>
  <c r="GW83" i="123"/>
  <c r="HB83" i="123"/>
  <c r="HG83" i="123"/>
  <c r="HM83" i="123"/>
  <c r="HR83" i="123"/>
  <c r="HW83" i="123"/>
  <c r="IC83" i="123"/>
  <c r="IH83" i="123"/>
  <c r="IM83" i="123"/>
  <c r="IS83" i="123"/>
  <c r="IX83" i="123"/>
  <c r="JC83" i="123"/>
  <c r="FB83" i="123"/>
  <c r="FG83" i="123"/>
  <c r="FM83" i="123"/>
  <c r="FR83" i="123"/>
  <c r="FW83" i="123"/>
  <c r="GC83" i="123"/>
  <c r="GH83" i="123"/>
  <c r="GM83" i="123"/>
  <c r="GS83" i="123"/>
  <c r="GX83" i="123"/>
  <c r="HC83" i="123"/>
  <c r="HI83" i="123"/>
  <c r="HN83" i="123"/>
  <c r="HS83" i="123"/>
  <c r="HY83" i="123"/>
  <c r="ID83" i="123"/>
  <c r="II83" i="123"/>
  <c r="IO83" i="123"/>
  <c r="IT83" i="123"/>
  <c r="IY83" i="123"/>
  <c r="EX83" i="123"/>
  <c r="FC83" i="123"/>
  <c r="FI83" i="123"/>
  <c r="FN83" i="123"/>
  <c r="FS83" i="123"/>
  <c r="FY83" i="123"/>
  <c r="GD83" i="123"/>
  <c r="GI83" i="123"/>
  <c r="GO83" i="123"/>
  <c r="GT83" i="123"/>
  <c r="GY83" i="123"/>
  <c r="HE83" i="123"/>
  <c r="HJ83" i="123"/>
  <c r="HO83" i="123"/>
  <c r="HU83" i="123"/>
  <c r="HZ83" i="123"/>
  <c r="IE83" i="123"/>
  <c r="IK83" i="123"/>
  <c r="IP83" i="123"/>
  <c r="IU83" i="123"/>
  <c r="JA83" i="123"/>
  <c r="FJ83" i="123"/>
  <c r="GE83" i="123"/>
  <c r="HA83" i="123"/>
  <c r="HV83" i="123"/>
  <c r="IQ83" i="123"/>
  <c r="FO83" i="123"/>
  <c r="GK83" i="123"/>
  <c r="HF83" i="123"/>
  <c r="IA83" i="123"/>
  <c r="IW83" i="123"/>
  <c r="EY83" i="123"/>
  <c r="FU83" i="123"/>
  <c r="GP83" i="123"/>
  <c r="HK83" i="123"/>
  <c r="IG83" i="123"/>
  <c r="JB83" i="123"/>
  <c r="FE83" i="123"/>
  <c r="FZ83" i="123"/>
  <c r="GU83" i="123"/>
  <c r="HQ83" i="123"/>
  <c r="IL83" i="123"/>
  <c r="EZ81" i="123"/>
  <c r="FD81" i="123"/>
  <c r="FH81" i="123"/>
  <c r="FL81" i="123"/>
  <c r="FP81" i="123"/>
  <c r="FT81" i="123"/>
  <c r="FX81" i="123"/>
  <c r="GB81" i="123"/>
  <c r="GF81" i="123"/>
  <c r="GJ81" i="123"/>
  <c r="GN81" i="123"/>
  <c r="GR81" i="123"/>
  <c r="GV81" i="123"/>
  <c r="GZ81" i="123"/>
  <c r="HD81" i="123"/>
  <c r="HH81" i="123"/>
  <c r="HL81" i="123"/>
  <c r="HP81" i="123"/>
  <c r="HT81" i="123"/>
  <c r="HX81" i="123"/>
  <c r="IB81" i="123"/>
  <c r="IF81" i="123"/>
  <c r="IJ81" i="123"/>
  <c r="IN81" i="123"/>
  <c r="IR81" i="123"/>
  <c r="IV81" i="123"/>
  <c r="IZ81" i="123"/>
  <c r="FB81" i="123"/>
  <c r="FG81" i="123"/>
  <c r="FM81" i="123"/>
  <c r="FR81" i="123"/>
  <c r="FW81" i="123"/>
  <c r="GC81" i="123"/>
  <c r="GH81" i="123"/>
  <c r="GM81" i="123"/>
  <c r="GS81" i="123"/>
  <c r="GX81" i="123"/>
  <c r="HC81" i="123"/>
  <c r="HI81" i="123"/>
  <c r="HN81" i="123"/>
  <c r="HS81" i="123"/>
  <c r="HY81" i="123"/>
  <c r="ID81" i="123"/>
  <c r="II81" i="123"/>
  <c r="IO81" i="123"/>
  <c r="IT81" i="123"/>
  <c r="IY81" i="123"/>
  <c r="EX81" i="123"/>
  <c r="FC81" i="123"/>
  <c r="FI81" i="123"/>
  <c r="FN81" i="123"/>
  <c r="FS81" i="123"/>
  <c r="FY81" i="123"/>
  <c r="GD81" i="123"/>
  <c r="GI81" i="123"/>
  <c r="GO81" i="123"/>
  <c r="GT81" i="123"/>
  <c r="GY81" i="123"/>
  <c r="HE81" i="123"/>
  <c r="HJ81" i="123"/>
  <c r="HO81" i="123"/>
  <c r="HU81" i="123"/>
  <c r="HZ81" i="123"/>
  <c r="IE81" i="123"/>
  <c r="IK81" i="123"/>
  <c r="IP81" i="123"/>
  <c r="IU81" i="123"/>
  <c r="JA81" i="123"/>
  <c r="EY81" i="123"/>
  <c r="FE81" i="123"/>
  <c r="FJ81" i="123"/>
  <c r="FO81" i="123"/>
  <c r="FU81" i="123"/>
  <c r="FZ81" i="123"/>
  <c r="GE81" i="123"/>
  <c r="GK81" i="123"/>
  <c r="GP81" i="123"/>
  <c r="GU81" i="123"/>
  <c r="HA81" i="123"/>
  <c r="HF81" i="123"/>
  <c r="HK81" i="123"/>
  <c r="HQ81" i="123"/>
  <c r="HV81" i="123"/>
  <c r="IA81" i="123"/>
  <c r="IG81" i="123"/>
  <c r="IL81" i="123"/>
  <c r="IQ81" i="123"/>
  <c r="IW81" i="123"/>
  <c r="JB81" i="123"/>
  <c r="FQ81" i="123"/>
  <c r="GL81" i="123"/>
  <c r="HG81" i="123"/>
  <c r="IC81" i="123"/>
  <c r="IX81" i="123"/>
  <c r="FA81" i="123"/>
  <c r="FV81" i="123"/>
  <c r="GQ81" i="123"/>
  <c r="HM81" i="123"/>
  <c r="IH81" i="123"/>
  <c r="JC81" i="123"/>
  <c r="FF81" i="123"/>
  <c r="GA81" i="123"/>
  <c r="GW81" i="123"/>
  <c r="HR81" i="123"/>
  <c r="IM81" i="123"/>
  <c r="FK81" i="123"/>
  <c r="GG81" i="123"/>
  <c r="HB81" i="123"/>
  <c r="HW81" i="123"/>
  <c r="IS81" i="123"/>
  <c r="FA48" i="123"/>
  <c r="FE48" i="123"/>
  <c r="FI48" i="123"/>
  <c r="FM48" i="123"/>
  <c r="FQ48" i="123"/>
  <c r="FU48" i="123"/>
  <c r="FY48" i="123"/>
  <c r="GC48" i="123"/>
  <c r="GG48" i="123"/>
  <c r="GK48" i="123"/>
  <c r="GO48" i="123"/>
  <c r="GS48" i="123"/>
  <c r="GW48" i="123"/>
  <c r="HA48" i="123"/>
  <c r="HE48" i="123"/>
  <c r="HI48" i="123"/>
  <c r="HM48" i="123"/>
  <c r="HQ48" i="123"/>
  <c r="HU48" i="123"/>
  <c r="HY48" i="123"/>
  <c r="IC48" i="123"/>
  <c r="IG48" i="123"/>
  <c r="IK48" i="123"/>
  <c r="IO48" i="123"/>
  <c r="IS48" i="123"/>
  <c r="IW48" i="123"/>
  <c r="JA48" i="123"/>
  <c r="EX48" i="123"/>
  <c r="FC48" i="123"/>
  <c r="FH48" i="123"/>
  <c r="FN48" i="123"/>
  <c r="FS48" i="123"/>
  <c r="FX48" i="123"/>
  <c r="GD48" i="123"/>
  <c r="GI48" i="123"/>
  <c r="GN48" i="123"/>
  <c r="GT48" i="123"/>
  <c r="GY48" i="123"/>
  <c r="HD48" i="123"/>
  <c r="HJ48" i="123"/>
  <c r="HO48" i="123"/>
  <c r="HT48" i="123"/>
  <c r="HZ48" i="123"/>
  <c r="IE48" i="123"/>
  <c r="IJ48" i="123"/>
  <c r="IP48" i="123"/>
  <c r="IU48" i="123"/>
  <c r="IZ48" i="123"/>
  <c r="FD48" i="123"/>
  <c r="FK48" i="123"/>
  <c r="FR48" i="123"/>
  <c r="FZ48" i="123"/>
  <c r="GF48" i="123"/>
  <c r="GM48" i="123"/>
  <c r="GU48" i="123"/>
  <c r="HB48" i="123"/>
  <c r="HH48" i="123"/>
  <c r="HP48" i="123"/>
  <c r="HW48" i="123"/>
  <c r="ID48" i="123"/>
  <c r="IL48" i="123"/>
  <c r="IR48" i="123"/>
  <c r="IY48" i="123"/>
  <c r="EZ48" i="123"/>
  <c r="FJ48" i="123"/>
  <c r="FT48" i="123"/>
  <c r="GB48" i="123"/>
  <c r="GL48" i="123"/>
  <c r="GV48" i="123"/>
  <c r="HF48" i="123"/>
  <c r="HN48" i="123"/>
  <c r="HX48" i="123"/>
  <c r="IH48" i="123"/>
  <c r="IQ48" i="123"/>
  <c r="JB48" i="123"/>
  <c r="FB48" i="123"/>
  <c r="FL48" i="123"/>
  <c r="FV48" i="123"/>
  <c r="GE48" i="123"/>
  <c r="GP48" i="123"/>
  <c r="GX48" i="123"/>
  <c r="HG48" i="123"/>
  <c r="HR48" i="123"/>
  <c r="IA48" i="123"/>
  <c r="II48" i="123"/>
  <c r="IT48" i="123"/>
  <c r="JC48" i="123"/>
  <c r="FO48" i="123"/>
  <c r="GH48" i="123"/>
  <c r="GZ48" i="123"/>
  <c r="HS48" i="123"/>
  <c r="IM48" i="123"/>
  <c r="EY48" i="123"/>
  <c r="FP48" i="123"/>
  <c r="GJ48" i="123"/>
  <c r="HC48" i="123"/>
  <c r="HV48" i="123"/>
  <c r="IN48" i="123"/>
  <c r="FF48" i="123"/>
  <c r="FW48" i="123"/>
  <c r="GQ48" i="123"/>
  <c r="HK48" i="123"/>
  <c r="IB48" i="123"/>
  <c r="IV48" i="123"/>
  <c r="FG48" i="123"/>
  <c r="GA48" i="123"/>
  <c r="GR48" i="123"/>
  <c r="HL48" i="123"/>
  <c r="IF48" i="123"/>
  <c r="IX48" i="123"/>
  <c r="EY49" i="123"/>
  <c r="FC49" i="123"/>
  <c r="FG49" i="123"/>
  <c r="FK49" i="123"/>
  <c r="FO49" i="123"/>
  <c r="FS49" i="123"/>
  <c r="FW49" i="123"/>
  <c r="GA49" i="123"/>
  <c r="GE49" i="123"/>
  <c r="GI49" i="123"/>
  <c r="GM49" i="123"/>
  <c r="GQ49" i="123"/>
  <c r="GU49" i="123"/>
  <c r="GY49" i="123"/>
  <c r="HC49" i="123"/>
  <c r="HG49" i="123"/>
  <c r="HK49" i="123"/>
  <c r="HO49" i="123"/>
  <c r="HS49" i="123"/>
  <c r="HW49" i="123"/>
  <c r="IA49" i="123"/>
  <c r="IE49" i="123"/>
  <c r="II49" i="123"/>
  <c r="IM49" i="123"/>
  <c r="IQ49" i="123"/>
  <c r="IU49" i="123"/>
  <c r="EZ49" i="123"/>
  <c r="FE49" i="123"/>
  <c r="FJ49" i="123"/>
  <c r="FP49" i="123"/>
  <c r="FU49" i="123"/>
  <c r="FZ49" i="123"/>
  <c r="GF49" i="123"/>
  <c r="GK49" i="123"/>
  <c r="GP49" i="123"/>
  <c r="GV49" i="123"/>
  <c r="HA49" i="123"/>
  <c r="HF49" i="123"/>
  <c r="HL49" i="123"/>
  <c r="HQ49" i="123"/>
  <c r="HV49" i="123"/>
  <c r="IB49" i="123"/>
  <c r="IG49" i="123"/>
  <c r="IL49" i="123"/>
  <c r="IR49" i="123"/>
  <c r="IW49" i="123"/>
  <c r="JA49" i="123"/>
  <c r="FA49" i="123"/>
  <c r="FH49" i="123"/>
  <c r="FN49" i="123"/>
  <c r="FV49" i="123"/>
  <c r="GC49" i="123"/>
  <c r="GJ49" i="123"/>
  <c r="GR49" i="123"/>
  <c r="GX49" i="123"/>
  <c r="HE49" i="123"/>
  <c r="HM49" i="123"/>
  <c r="HT49" i="123"/>
  <c r="HZ49" i="123"/>
  <c r="IH49" i="123"/>
  <c r="IO49" i="123"/>
  <c r="IV49" i="123"/>
  <c r="JB49" i="123"/>
  <c r="FD49" i="123"/>
  <c r="FM49" i="123"/>
  <c r="FX49" i="123"/>
  <c r="GG49" i="123"/>
  <c r="GO49" i="123"/>
  <c r="GZ49" i="123"/>
  <c r="HI49" i="123"/>
  <c r="HR49" i="123"/>
  <c r="IC49" i="123"/>
  <c r="IK49" i="123"/>
  <c r="IT49" i="123"/>
  <c r="JC49" i="123"/>
  <c r="FF49" i="123"/>
  <c r="FQ49" i="123"/>
  <c r="FY49" i="123"/>
  <c r="GH49" i="123"/>
  <c r="GS49" i="123"/>
  <c r="HB49" i="123"/>
  <c r="HJ49" i="123"/>
  <c r="HU49" i="123"/>
  <c r="ID49" i="123"/>
  <c r="IN49" i="123"/>
  <c r="IX49" i="123"/>
  <c r="EX49" i="123"/>
  <c r="FR49" i="123"/>
  <c r="GL49" i="123"/>
  <c r="HD49" i="123"/>
  <c r="HX49" i="123"/>
  <c r="IP49" i="123"/>
  <c r="FB49" i="123"/>
  <c r="FT49" i="123"/>
  <c r="GN49" i="123"/>
  <c r="HH49" i="123"/>
  <c r="HY49" i="123"/>
  <c r="IS49" i="123"/>
  <c r="FI49" i="123"/>
  <c r="GB49" i="123"/>
  <c r="GT49" i="123"/>
  <c r="HN49" i="123"/>
  <c r="IF49" i="123"/>
  <c r="IY49" i="123"/>
  <c r="FL49" i="123"/>
  <c r="GD49" i="123"/>
  <c r="GW49" i="123"/>
  <c r="HP49" i="123"/>
  <c r="IJ49" i="123"/>
  <c r="IZ49" i="123"/>
  <c r="EZ70" i="123"/>
  <c r="FD70" i="123"/>
  <c r="FH70" i="123"/>
  <c r="FL70" i="123"/>
  <c r="FP70" i="123"/>
  <c r="FT70" i="123"/>
  <c r="FX70" i="123"/>
  <c r="GB70" i="123"/>
  <c r="GF70" i="123"/>
  <c r="GJ70" i="123"/>
  <c r="GN70" i="123"/>
  <c r="GR70" i="123"/>
  <c r="GV70" i="123"/>
  <c r="GZ70" i="123"/>
  <c r="HD70" i="123"/>
  <c r="HH70" i="123"/>
  <c r="HL70" i="123"/>
  <c r="HP70" i="123"/>
  <c r="HT70" i="123"/>
  <c r="HX70" i="123"/>
  <c r="IB70" i="123"/>
  <c r="IF70" i="123"/>
  <c r="IJ70" i="123"/>
  <c r="IN70" i="123"/>
  <c r="IR70" i="123"/>
  <c r="IV70" i="123"/>
  <c r="IZ70" i="123"/>
  <c r="EX70" i="123"/>
  <c r="FC70" i="123"/>
  <c r="FI70" i="123"/>
  <c r="FN70" i="123"/>
  <c r="FS70" i="123"/>
  <c r="FY70" i="123"/>
  <c r="GD70" i="123"/>
  <c r="GI70" i="123"/>
  <c r="GO70" i="123"/>
  <c r="GT70" i="123"/>
  <c r="GY70" i="123"/>
  <c r="HE70" i="123"/>
  <c r="HJ70" i="123"/>
  <c r="HO70" i="123"/>
  <c r="HU70" i="123"/>
  <c r="HZ70" i="123"/>
  <c r="IE70" i="123"/>
  <c r="IK70" i="123"/>
  <c r="IP70" i="123"/>
  <c r="IU70" i="123"/>
  <c r="JA70" i="123"/>
  <c r="EY70" i="123"/>
  <c r="FF70" i="123"/>
  <c r="FM70" i="123"/>
  <c r="FU70" i="123"/>
  <c r="GA70" i="123"/>
  <c r="GH70" i="123"/>
  <c r="GP70" i="123"/>
  <c r="GW70" i="123"/>
  <c r="HC70" i="123"/>
  <c r="HK70" i="123"/>
  <c r="HR70" i="123"/>
  <c r="HY70" i="123"/>
  <c r="IG70" i="123"/>
  <c r="IM70" i="123"/>
  <c r="IT70" i="123"/>
  <c r="JB70" i="123"/>
  <c r="FA70" i="123"/>
  <c r="FG70" i="123"/>
  <c r="FO70" i="123"/>
  <c r="FV70" i="123"/>
  <c r="GC70" i="123"/>
  <c r="GK70" i="123"/>
  <c r="GQ70" i="123"/>
  <c r="GX70" i="123"/>
  <c r="HF70" i="123"/>
  <c r="HM70" i="123"/>
  <c r="HS70" i="123"/>
  <c r="IA70" i="123"/>
  <c r="IH70" i="123"/>
  <c r="IO70" i="123"/>
  <c r="IW70" i="123"/>
  <c r="JC70" i="123"/>
  <c r="FB70" i="123"/>
  <c r="FJ70" i="123"/>
  <c r="FQ70" i="123"/>
  <c r="FW70" i="123"/>
  <c r="GE70" i="123"/>
  <c r="GL70" i="123"/>
  <c r="GS70" i="123"/>
  <c r="HA70" i="123"/>
  <c r="HG70" i="123"/>
  <c r="HN70" i="123"/>
  <c r="HV70" i="123"/>
  <c r="IC70" i="123"/>
  <c r="II70" i="123"/>
  <c r="IQ70" i="123"/>
  <c r="IX70" i="123"/>
  <c r="FK70" i="123"/>
  <c r="GM70" i="123"/>
  <c r="HQ70" i="123"/>
  <c r="IS70" i="123"/>
  <c r="FR70" i="123"/>
  <c r="GU70" i="123"/>
  <c r="HW70" i="123"/>
  <c r="IY70" i="123"/>
  <c r="FZ70" i="123"/>
  <c r="HB70" i="123"/>
  <c r="ID70" i="123"/>
  <c r="FE70" i="123"/>
  <c r="GG70" i="123"/>
  <c r="HI70" i="123"/>
  <c r="IL70" i="123"/>
  <c r="EZ64" i="123"/>
  <c r="FD64" i="123"/>
  <c r="FH64" i="123"/>
  <c r="FL64" i="123"/>
  <c r="FP64" i="123"/>
  <c r="FT64" i="123"/>
  <c r="FX64" i="123"/>
  <c r="GB64" i="123"/>
  <c r="GF64" i="123"/>
  <c r="GJ64" i="123"/>
  <c r="GN64" i="123"/>
  <c r="GR64" i="123"/>
  <c r="GV64" i="123"/>
  <c r="GZ64" i="123"/>
  <c r="HD64" i="123"/>
  <c r="HH64" i="123"/>
  <c r="HL64" i="123"/>
  <c r="HP64" i="123"/>
  <c r="HT64" i="123"/>
  <c r="HX64" i="123"/>
  <c r="IB64" i="123"/>
  <c r="IF64" i="123"/>
  <c r="IJ64" i="123"/>
  <c r="IN64" i="123"/>
  <c r="IR64" i="123"/>
  <c r="IV64" i="123"/>
  <c r="IZ64" i="123"/>
  <c r="FB64" i="123"/>
  <c r="FG64" i="123"/>
  <c r="FM64" i="123"/>
  <c r="FR64" i="123"/>
  <c r="FW64" i="123"/>
  <c r="GC64" i="123"/>
  <c r="GH64" i="123"/>
  <c r="GM64" i="123"/>
  <c r="GS64" i="123"/>
  <c r="GX64" i="123"/>
  <c r="HC64" i="123"/>
  <c r="HI64" i="123"/>
  <c r="HN64" i="123"/>
  <c r="HS64" i="123"/>
  <c r="HY64" i="123"/>
  <c r="ID64" i="123"/>
  <c r="II64" i="123"/>
  <c r="IO64" i="123"/>
  <c r="IT64" i="123"/>
  <c r="IY64" i="123"/>
  <c r="EX64" i="123"/>
  <c r="FE64" i="123"/>
  <c r="FK64" i="123"/>
  <c r="FS64" i="123"/>
  <c r="FZ64" i="123"/>
  <c r="GG64" i="123"/>
  <c r="GO64" i="123"/>
  <c r="GU64" i="123"/>
  <c r="HB64" i="123"/>
  <c r="HJ64" i="123"/>
  <c r="HQ64" i="123"/>
  <c r="HW64" i="123"/>
  <c r="IE64" i="123"/>
  <c r="IL64" i="123"/>
  <c r="IS64" i="123"/>
  <c r="JA64" i="123"/>
  <c r="EY64" i="123"/>
  <c r="FF64" i="123"/>
  <c r="FN64" i="123"/>
  <c r="FU64" i="123"/>
  <c r="GA64" i="123"/>
  <c r="GI64" i="123"/>
  <c r="GP64" i="123"/>
  <c r="GW64" i="123"/>
  <c r="HE64" i="123"/>
  <c r="HK64" i="123"/>
  <c r="HR64" i="123"/>
  <c r="HZ64" i="123"/>
  <c r="IG64" i="123"/>
  <c r="IM64" i="123"/>
  <c r="IU64" i="123"/>
  <c r="JB64" i="123"/>
  <c r="FA64" i="123"/>
  <c r="FI64" i="123"/>
  <c r="FO64" i="123"/>
  <c r="FV64" i="123"/>
  <c r="GD64" i="123"/>
  <c r="GK64" i="123"/>
  <c r="GQ64" i="123"/>
  <c r="GY64" i="123"/>
  <c r="HF64" i="123"/>
  <c r="HM64" i="123"/>
  <c r="HU64" i="123"/>
  <c r="IA64" i="123"/>
  <c r="IH64" i="123"/>
  <c r="IP64" i="123"/>
  <c r="IW64" i="123"/>
  <c r="JC64" i="123"/>
  <c r="FC64" i="123"/>
  <c r="FJ64" i="123"/>
  <c r="FQ64" i="123"/>
  <c r="FY64" i="123"/>
  <c r="GE64" i="123"/>
  <c r="GL64" i="123"/>
  <c r="GT64" i="123"/>
  <c r="HA64" i="123"/>
  <c r="HG64" i="123"/>
  <c r="HO64" i="123"/>
  <c r="HV64" i="123"/>
  <c r="IC64" i="123"/>
  <c r="IK64" i="123"/>
  <c r="IQ64" i="123"/>
  <c r="IX64" i="123"/>
  <c r="EZ60" i="123"/>
  <c r="FD60" i="123"/>
  <c r="FH60" i="123"/>
  <c r="FL60" i="123"/>
  <c r="FP60" i="123"/>
  <c r="FT60" i="123"/>
  <c r="FX60" i="123"/>
  <c r="GB60" i="123"/>
  <c r="GF60" i="123"/>
  <c r="GJ60" i="123"/>
  <c r="GN60" i="123"/>
  <c r="GR60" i="123"/>
  <c r="GV60" i="123"/>
  <c r="GZ60" i="123"/>
  <c r="HD60" i="123"/>
  <c r="HH60" i="123"/>
  <c r="HL60" i="123"/>
  <c r="HP60" i="123"/>
  <c r="HT60" i="123"/>
  <c r="HX60" i="123"/>
  <c r="IB60" i="123"/>
  <c r="IF60" i="123"/>
  <c r="IJ60" i="123"/>
  <c r="IN60" i="123"/>
  <c r="IR60" i="123"/>
  <c r="IV60" i="123"/>
  <c r="IZ60" i="123"/>
  <c r="EY60" i="123"/>
  <c r="FE60" i="123"/>
  <c r="FJ60" i="123"/>
  <c r="FO60" i="123"/>
  <c r="FU60" i="123"/>
  <c r="FZ60" i="123"/>
  <c r="GE60" i="123"/>
  <c r="GK60" i="123"/>
  <c r="GP60" i="123"/>
  <c r="GU60" i="123"/>
  <c r="HA60" i="123"/>
  <c r="HF60" i="123"/>
  <c r="HK60" i="123"/>
  <c r="HQ60" i="123"/>
  <c r="HV60" i="123"/>
  <c r="IA60" i="123"/>
  <c r="IG60" i="123"/>
  <c r="IL60" i="123"/>
  <c r="IQ60" i="123"/>
  <c r="IW60" i="123"/>
  <c r="JB60" i="123"/>
  <c r="FC60" i="123"/>
  <c r="FK60" i="123"/>
  <c r="FR60" i="123"/>
  <c r="FY60" i="123"/>
  <c r="GG60" i="123"/>
  <c r="GM60" i="123"/>
  <c r="GT60" i="123"/>
  <c r="HB60" i="123"/>
  <c r="HI60" i="123"/>
  <c r="HO60" i="123"/>
  <c r="HW60" i="123"/>
  <c r="ID60" i="123"/>
  <c r="IK60" i="123"/>
  <c r="IS60" i="123"/>
  <c r="IY60" i="123"/>
  <c r="EX60" i="123"/>
  <c r="FF60" i="123"/>
  <c r="FM60" i="123"/>
  <c r="FS60" i="123"/>
  <c r="GA60" i="123"/>
  <c r="GH60" i="123"/>
  <c r="GO60" i="123"/>
  <c r="GW60" i="123"/>
  <c r="HC60" i="123"/>
  <c r="HJ60" i="123"/>
  <c r="HR60" i="123"/>
  <c r="HY60" i="123"/>
  <c r="IE60" i="123"/>
  <c r="IM60" i="123"/>
  <c r="IT60" i="123"/>
  <c r="JA60" i="123"/>
  <c r="FA60" i="123"/>
  <c r="FG60" i="123"/>
  <c r="FN60" i="123"/>
  <c r="FV60" i="123"/>
  <c r="GC60" i="123"/>
  <c r="GI60" i="123"/>
  <c r="GQ60" i="123"/>
  <c r="GX60" i="123"/>
  <c r="HE60" i="123"/>
  <c r="HM60" i="123"/>
  <c r="HS60" i="123"/>
  <c r="HZ60" i="123"/>
  <c r="IH60" i="123"/>
  <c r="IO60" i="123"/>
  <c r="IU60" i="123"/>
  <c r="JC60" i="123"/>
  <c r="FB60" i="123"/>
  <c r="FI60" i="123"/>
  <c r="FQ60" i="123"/>
  <c r="FW60" i="123"/>
  <c r="GD60" i="123"/>
  <c r="GL60" i="123"/>
  <c r="GS60" i="123"/>
  <c r="GY60" i="123"/>
  <c r="HG60" i="123"/>
  <c r="HN60" i="123"/>
  <c r="HU60" i="123"/>
  <c r="IC60" i="123"/>
  <c r="II60" i="123"/>
  <c r="IP60" i="123"/>
  <c r="IX60" i="123"/>
  <c r="EX71" i="123"/>
  <c r="FB71" i="123"/>
  <c r="FF71" i="123"/>
  <c r="FJ71" i="123"/>
  <c r="FN71" i="123"/>
  <c r="FR71" i="123"/>
  <c r="FV71" i="123"/>
  <c r="FZ71" i="123"/>
  <c r="GD71" i="123"/>
  <c r="GH71" i="123"/>
  <c r="GL71" i="123"/>
  <c r="GP71" i="123"/>
  <c r="GT71" i="123"/>
  <c r="GX71" i="123"/>
  <c r="HB71" i="123"/>
  <c r="HF71" i="123"/>
  <c r="HJ71" i="123"/>
  <c r="HN71" i="123"/>
  <c r="HR71" i="123"/>
  <c r="HV71" i="123"/>
  <c r="HZ71" i="123"/>
  <c r="ID71" i="123"/>
  <c r="IH71" i="123"/>
  <c r="IL71" i="123"/>
  <c r="IP71" i="123"/>
  <c r="IT71" i="123"/>
  <c r="IX71" i="123"/>
  <c r="JB71" i="123"/>
  <c r="EZ71" i="123"/>
  <c r="FE71" i="123"/>
  <c r="FK71" i="123"/>
  <c r="FP71" i="123"/>
  <c r="FU71" i="123"/>
  <c r="GA71" i="123"/>
  <c r="GF71" i="123"/>
  <c r="GK71" i="123"/>
  <c r="GQ71" i="123"/>
  <c r="GV71" i="123"/>
  <c r="HA71" i="123"/>
  <c r="HG71" i="123"/>
  <c r="HL71" i="123"/>
  <c r="HQ71" i="123"/>
  <c r="HW71" i="123"/>
  <c r="IB71" i="123"/>
  <c r="IG71" i="123"/>
  <c r="IM71" i="123"/>
  <c r="IR71" i="123"/>
  <c r="IW71" i="123"/>
  <c r="JC71" i="123"/>
  <c r="FC71" i="123"/>
  <c r="FI71" i="123"/>
  <c r="FQ71" i="123"/>
  <c r="FX71" i="123"/>
  <c r="GE71" i="123"/>
  <c r="GM71" i="123"/>
  <c r="GS71" i="123"/>
  <c r="GZ71" i="123"/>
  <c r="HH71" i="123"/>
  <c r="HO71" i="123"/>
  <c r="HU71" i="123"/>
  <c r="IC71" i="123"/>
  <c r="IJ71" i="123"/>
  <c r="IQ71" i="123"/>
  <c r="IY71" i="123"/>
  <c r="FD71" i="123"/>
  <c r="FL71" i="123"/>
  <c r="FS71" i="123"/>
  <c r="FY71" i="123"/>
  <c r="GG71" i="123"/>
  <c r="GN71" i="123"/>
  <c r="GU71" i="123"/>
  <c r="HC71" i="123"/>
  <c r="HI71" i="123"/>
  <c r="HP71" i="123"/>
  <c r="HX71" i="123"/>
  <c r="IE71" i="123"/>
  <c r="IK71" i="123"/>
  <c r="IS71" i="123"/>
  <c r="IZ71" i="123"/>
  <c r="EY71" i="123"/>
  <c r="FG71" i="123"/>
  <c r="FM71" i="123"/>
  <c r="FT71" i="123"/>
  <c r="GB71" i="123"/>
  <c r="GI71" i="123"/>
  <c r="GO71" i="123"/>
  <c r="GW71" i="123"/>
  <c r="HD71" i="123"/>
  <c r="HK71" i="123"/>
  <c r="HS71" i="123"/>
  <c r="HY71" i="123"/>
  <c r="IF71" i="123"/>
  <c r="IN71" i="123"/>
  <c r="IU71" i="123"/>
  <c r="JA71" i="123"/>
  <c r="FO71" i="123"/>
  <c r="GR71" i="123"/>
  <c r="HT71" i="123"/>
  <c r="IV71" i="123"/>
  <c r="FW71" i="123"/>
  <c r="GY71" i="123"/>
  <c r="IA71" i="123"/>
  <c r="FA71" i="123"/>
  <c r="GC71" i="123"/>
  <c r="HE71" i="123"/>
  <c r="II71" i="123"/>
  <c r="FH71" i="123"/>
  <c r="GJ71" i="123"/>
  <c r="HM71" i="123"/>
  <c r="IO71" i="123"/>
  <c r="EX84" i="123"/>
  <c r="FB84" i="123"/>
  <c r="FF84" i="123"/>
  <c r="FJ84" i="123"/>
  <c r="FN84" i="123"/>
  <c r="FR84" i="123"/>
  <c r="FV84" i="123"/>
  <c r="FZ84" i="123"/>
  <c r="GD84" i="123"/>
  <c r="GH84" i="123"/>
  <c r="GL84" i="123"/>
  <c r="GP84" i="123"/>
  <c r="GT84" i="123"/>
  <c r="GX84" i="123"/>
  <c r="HB84" i="123"/>
  <c r="HF84" i="123"/>
  <c r="HJ84" i="123"/>
  <c r="HN84" i="123"/>
  <c r="HR84" i="123"/>
  <c r="HV84" i="123"/>
  <c r="HZ84" i="123"/>
  <c r="ID84" i="123"/>
  <c r="IH84" i="123"/>
  <c r="IL84" i="123"/>
  <c r="IP84" i="123"/>
  <c r="IT84" i="123"/>
  <c r="IX84" i="123"/>
  <c r="JB84" i="123"/>
  <c r="FC84" i="123"/>
  <c r="FH84" i="123"/>
  <c r="FM84" i="123"/>
  <c r="FS84" i="123"/>
  <c r="FX84" i="123"/>
  <c r="GC84" i="123"/>
  <c r="GI84" i="123"/>
  <c r="GN84" i="123"/>
  <c r="GS84" i="123"/>
  <c r="GY84" i="123"/>
  <c r="HD84" i="123"/>
  <c r="HI84" i="123"/>
  <c r="HO84" i="123"/>
  <c r="HT84" i="123"/>
  <c r="HY84" i="123"/>
  <c r="IE84" i="123"/>
  <c r="IJ84" i="123"/>
  <c r="IO84" i="123"/>
  <c r="IU84" i="123"/>
  <c r="IZ84" i="123"/>
  <c r="EY84" i="123"/>
  <c r="FD84" i="123"/>
  <c r="FI84" i="123"/>
  <c r="FO84" i="123"/>
  <c r="FT84" i="123"/>
  <c r="FY84" i="123"/>
  <c r="GE84" i="123"/>
  <c r="GJ84" i="123"/>
  <c r="GO84" i="123"/>
  <c r="GU84" i="123"/>
  <c r="GZ84" i="123"/>
  <c r="HE84" i="123"/>
  <c r="HK84" i="123"/>
  <c r="HP84" i="123"/>
  <c r="HU84" i="123"/>
  <c r="IA84" i="123"/>
  <c r="IF84" i="123"/>
  <c r="IK84" i="123"/>
  <c r="IQ84" i="123"/>
  <c r="IV84" i="123"/>
  <c r="JA84" i="123"/>
  <c r="EZ84" i="123"/>
  <c r="FE84" i="123"/>
  <c r="FK84" i="123"/>
  <c r="FP84" i="123"/>
  <c r="FU84" i="123"/>
  <c r="GA84" i="123"/>
  <c r="GF84" i="123"/>
  <c r="GK84" i="123"/>
  <c r="GQ84" i="123"/>
  <c r="GV84" i="123"/>
  <c r="HA84" i="123"/>
  <c r="HG84" i="123"/>
  <c r="HL84" i="123"/>
  <c r="HQ84" i="123"/>
  <c r="HW84" i="123"/>
  <c r="IB84" i="123"/>
  <c r="IG84" i="123"/>
  <c r="IM84" i="123"/>
  <c r="IR84" i="123"/>
  <c r="IW84" i="123"/>
  <c r="JC84" i="123"/>
  <c r="FG84" i="123"/>
  <c r="GB84" i="123"/>
  <c r="GW84" i="123"/>
  <c r="HS84" i="123"/>
  <c r="IN84" i="123"/>
  <c r="FL84" i="123"/>
  <c r="GG84" i="123"/>
  <c r="HC84" i="123"/>
  <c r="HX84" i="123"/>
  <c r="IS84" i="123"/>
  <c r="FQ84" i="123"/>
  <c r="GM84" i="123"/>
  <c r="HH84" i="123"/>
  <c r="IC84" i="123"/>
  <c r="IY84" i="123"/>
  <c r="FA84" i="123"/>
  <c r="FW84" i="123"/>
  <c r="GR84" i="123"/>
  <c r="HM84" i="123"/>
  <c r="II84" i="123"/>
  <c r="EX82" i="123"/>
  <c r="FB82" i="123"/>
  <c r="FF82" i="123"/>
  <c r="FJ82" i="123"/>
  <c r="FN82" i="123"/>
  <c r="FR82" i="123"/>
  <c r="FV82" i="123"/>
  <c r="FZ82" i="123"/>
  <c r="GD82" i="123"/>
  <c r="GH82" i="123"/>
  <c r="GL82" i="123"/>
  <c r="GP82" i="123"/>
  <c r="GT82" i="123"/>
  <c r="GX82" i="123"/>
  <c r="HB82" i="123"/>
  <c r="HF82" i="123"/>
  <c r="HJ82" i="123"/>
  <c r="HN82" i="123"/>
  <c r="HR82" i="123"/>
  <c r="HV82" i="123"/>
  <c r="HZ82" i="123"/>
  <c r="ID82" i="123"/>
  <c r="IH82" i="123"/>
  <c r="IL82" i="123"/>
  <c r="IP82" i="123"/>
  <c r="IT82" i="123"/>
  <c r="IX82" i="123"/>
  <c r="JB82" i="123"/>
  <c r="EY82" i="123"/>
  <c r="FD82" i="123"/>
  <c r="FI82" i="123"/>
  <c r="FO82" i="123"/>
  <c r="FT82" i="123"/>
  <c r="FY82" i="123"/>
  <c r="GE82" i="123"/>
  <c r="GJ82" i="123"/>
  <c r="GO82" i="123"/>
  <c r="GU82" i="123"/>
  <c r="GZ82" i="123"/>
  <c r="HE82" i="123"/>
  <c r="HK82" i="123"/>
  <c r="HP82" i="123"/>
  <c r="HU82" i="123"/>
  <c r="IA82" i="123"/>
  <c r="IF82" i="123"/>
  <c r="IK82" i="123"/>
  <c r="IQ82" i="123"/>
  <c r="IV82" i="123"/>
  <c r="JA82" i="123"/>
  <c r="EZ82" i="123"/>
  <c r="FE82" i="123"/>
  <c r="FK82" i="123"/>
  <c r="FP82" i="123"/>
  <c r="FU82" i="123"/>
  <c r="GA82" i="123"/>
  <c r="GF82" i="123"/>
  <c r="GK82" i="123"/>
  <c r="GQ82" i="123"/>
  <c r="GV82" i="123"/>
  <c r="HA82" i="123"/>
  <c r="HG82" i="123"/>
  <c r="HL82" i="123"/>
  <c r="HQ82" i="123"/>
  <c r="HW82" i="123"/>
  <c r="IB82" i="123"/>
  <c r="IG82" i="123"/>
  <c r="IM82" i="123"/>
  <c r="IR82" i="123"/>
  <c r="IW82" i="123"/>
  <c r="JC82" i="123"/>
  <c r="FA82" i="123"/>
  <c r="FG82" i="123"/>
  <c r="FL82" i="123"/>
  <c r="FQ82" i="123"/>
  <c r="FW82" i="123"/>
  <c r="GB82" i="123"/>
  <c r="GG82" i="123"/>
  <c r="GM82" i="123"/>
  <c r="GR82" i="123"/>
  <c r="GW82" i="123"/>
  <c r="HC82" i="123"/>
  <c r="HH82" i="123"/>
  <c r="HM82" i="123"/>
  <c r="HS82" i="123"/>
  <c r="HX82" i="123"/>
  <c r="IC82" i="123"/>
  <c r="II82" i="123"/>
  <c r="IN82" i="123"/>
  <c r="IS82" i="123"/>
  <c r="IY82" i="123"/>
  <c r="FM82" i="123"/>
  <c r="GI82" i="123"/>
  <c r="HD82" i="123"/>
  <c r="HY82" i="123"/>
  <c r="IU82" i="123"/>
  <c r="FS82" i="123"/>
  <c r="GN82" i="123"/>
  <c r="HI82" i="123"/>
  <c r="IE82" i="123"/>
  <c r="IZ82" i="123"/>
  <c r="FC82" i="123"/>
  <c r="FX82" i="123"/>
  <c r="GS82" i="123"/>
  <c r="HO82" i="123"/>
  <c r="IJ82" i="123"/>
  <c r="FH82" i="123"/>
  <c r="GC82" i="123"/>
  <c r="GY82" i="123"/>
  <c r="HT82" i="123"/>
  <c r="IO82" i="123"/>
  <c r="EX90" i="123"/>
  <c r="FB90" i="123"/>
  <c r="FF90" i="123"/>
  <c r="FJ90" i="123"/>
  <c r="FN90" i="123"/>
  <c r="FR90" i="123"/>
  <c r="FV90" i="123"/>
  <c r="FZ90" i="123"/>
  <c r="GD90" i="123"/>
  <c r="GH90" i="123"/>
  <c r="GL90" i="123"/>
  <c r="GP90" i="123"/>
  <c r="GT90" i="123"/>
  <c r="GX90" i="123"/>
  <c r="HB90" i="123"/>
  <c r="HF90" i="123"/>
  <c r="HJ90" i="123"/>
  <c r="HN90" i="123"/>
  <c r="HR90" i="123"/>
  <c r="HV90" i="123"/>
  <c r="HZ90" i="123"/>
  <c r="ID90" i="123"/>
  <c r="IH90" i="123"/>
  <c r="IL90" i="123"/>
  <c r="IP90" i="123"/>
  <c r="IT90" i="123"/>
  <c r="IX90" i="123"/>
  <c r="JB90" i="123"/>
  <c r="EY90" i="123"/>
  <c r="FD90" i="123"/>
  <c r="FI90" i="123"/>
  <c r="FO90" i="123"/>
  <c r="FT90" i="123"/>
  <c r="FY90" i="123"/>
  <c r="GE90" i="123"/>
  <c r="GJ90" i="123"/>
  <c r="GO90" i="123"/>
  <c r="GU90" i="123"/>
  <c r="GZ90" i="123"/>
  <c r="HE90" i="123"/>
  <c r="HK90" i="123"/>
  <c r="HP90" i="123"/>
  <c r="HU90" i="123"/>
  <c r="IA90" i="123"/>
  <c r="IF90" i="123"/>
  <c r="IK90" i="123"/>
  <c r="IQ90" i="123"/>
  <c r="IV90" i="123"/>
  <c r="JA90" i="123"/>
  <c r="EZ90" i="123"/>
  <c r="FE90" i="123"/>
  <c r="FK90" i="123"/>
  <c r="FP90" i="123"/>
  <c r="FU90" i="123"/>
  <c r="GA90" i="123"/>
  <c r="GF90" i="123"/>
  <c r="GK90" i="123"/>
  <c r="GQ90" i="123"/>
  <c r="GV90" i="123"/>
  <c r="HA90" i="123"/>
  <c r="HG90" i="123"/>
  <c r="HL90" i="123"/>
  <c r="HQ90" i="123"/>
  <c r="HW90" i="123"/>
  <c r="IB90" i="123"/>
  <c r="IG90" i="123"/>
  <c r="IM90" i="123"/>
  <c r="IR90" i="123"/>
  <c r="IW90" i="123"/>
  <c r="JC90" i="123"/>
  <c r="FA90" i="123"/>
  <c r="FG90" i="123"/>
  <c r="FL90" i="123"/>
  <c r="FQ90" i="123"/>
  <c r="FW90" i="123"/>
  <c r="GB90" i="123"/>
  <c r="GG90" i="123"/>
  <c r="GM90" i="123"/>
  <c r="GR90" i="123"/>
  <c r="GW90" i="123"/>
  <c r="HC90" i="123"/>
  <c r="HH90" i="123"/>
  <c r="HM90" i="123"/>
  <c r="HS90" i="123"/>
  <c r="HX90" i="123"/>
  <c r="IC90" i="123"/>
  <c r="II90" i="123"/>
  <c r="IN90" i="123"/>
  <c r="IS90" i="123"/>
  <c r="IY90" i="123"/>
  <c r="FH90" i="123"/>
  <c r="GC90" i="123"/>
  <c r="GY90" i="123"/>
  <c r="HT90" i="123"/>
  <c r="IO90" i="123"/>
  <c r="FM90" i="123"/>
  <c r="GI90" i="123"/>
  <c r="HD90" i="123"/>
  <c r="HY90" i="123"/>
  <c r="IU90" i="123"/>
  <c r="FS90" i="123"/>
  <c r="GN90" i="123"/>
  <c r="HI90" i="123"/>
  <c r="IE90" i="123"/>
  <c r="IZ90" i="123"/>
  <c r="FC90" i="123"/>
  <c r="FX90" i="123"/>
  <c r="GS90" i="123"/>
  <c r="HO90" i="123"/>
  <c r="IJ90" i="123"/>
  <c r="EX69" i="123"/>
  <c r="FB69" i="123"/>
  <c r="FF69" i="123"/>
  <c r="FJ69" i="123"/>
  <c r="FN69" i="123"/>
  <c r="FR69" i="123"/>
  <c r="FV69" i="123"/>
  <c r="FZ69" i="123"/>
  <c r="GD69" i="123"/>
  <c r="GH69" i="123"/>
  <c r="GL69" i="123"/>
  <c r="GP69" i="123"/>
  <c r="GT69" i="123"/>
  <c r="GX69" i="123"/>
  <c r="HB69" i="123"/>
  <c r="HF69" i="123"/>
  <c r="HJ69" i="123"/>
  <c r="HN69" i="123"/>
  <c r="HR69" i="123"/>
  <c r="HV69" i="123"/>
  <c r="HZ69" i="123"/>
  <c r="ID69" i="123"/>
  <c r="IH69" i="123"/>
  <c r="IL69" i="123"/>
  <c r="IP69" i="123"/>
  <c r="IT69" i="123"/>
  <c r="IX69" i="123"/>
  <c r="JB69" i="123"/>
  <c r="FA69" i="123"/>
  <c r="FG69" i="123"/>
  <c r="FL69" i="123"/>
  <c r="FQ69" i="123"/>
  <c r="FW69" i="123"/>
  <c r="GB69" i="123"/>
  <c r="GG69" i="123"/>
  <c r="GM69" i="123"/>
  <c r="GR69" i="123"/>
  <c r="GW69" i="123"/>
  <c r="HC69" i="123"/>
  <c r="HH69" i="123"/>
  <c r="HM69" i="123"/>
  <c r="HS69" i="123"/>
  <c r="HX69" i="123"/>
  <c r="IC69" i="123"/>
  <c r="II69" i="123"/>
  <c r="IN69" i="123"/>
  <c r="IS69" i="123"/>
  <c r="IY69" i="123"/>
  <c r="FC69" i="123"/>
  <c r="FI69" i="123"/>
  <c r="FP69" i="123"/>
  <c r="FX69" i="123"/>
  <c r="GE69" i="123"/>
  <c r="GK69" i="123"/>
  <c r="GS69" i="123"/>
  <c r="GZ69" i="123"/>
  <c r="HG69" i="123"/>
  <c r="HO69" i="123"/>
  <c r="HU69" i="123"/>
  <c r="IB69" i="123"/>
  <c r="IJ69" i="123"/>
  <c r="IQ69" i="123"/>
  <c r="IW69" i="123"/>
  <c r="FD69" i="123"/>
  <c r="FK69" i="123"/>
  <c r="FS69" i="123"/>
  <c r="FY69" i="123"/>
  <c r="GF69" i="123"/>
  <c r="GN69" i="123"/>
  <c r="GU69" i="123"/>
  <c r="HA69" i="123"/>
  <c r="HI69" i="123"/>
  <c r="HP69" i="123"/>
  <c r="HW69" i="123"/>
  <c r="IE69" i="123"/>
  <c r="IK69" i="123"/>
  <c r="IR69" i="123"/>
  <c r="IZ69" i="123"/>
  <c r="EY69" i="123"/>
  <c r="FE69" i="123"/>
  <c r="FM69" i="123"/>
  <c r="FT69" i="123"/>
  <c r="GA69" i="123"/>
  <c r="GI69" i="123"/>
  <c r="GO69" i="123"/>
  <c r="GV69" i="123"/>
  <c r="HD69" i="123"/>
  <c r="HK69" i="123"/>
  <c r="HQ69" i="123"/>
  <c r="HY69" i="123"/>
  <c r="IF69" i="123"/>
  <c r="IM69" i="123"/>
  <c r="IU69" i="123"/>
  <c r="JA69" i="123"/>
  <c r="FH69" i="123"/>
  <c r="GJ69" i="123"/>
  <c r="HL69" i="123"/>
  <c r="IO69" i="123"/>
  <c r="FO69" i="123"/>
  <c r="GQ69" i="123"/>
  <c r="HT69" i="123"/>
  <c r="IV69" i="123"/>
  <c r="FU69" i="123"/>
  <c r="GY69" i="123"/>
  <c r="IA69" i="123"/>
  <c r="JC69" i="123"/>
  <c r="EZ69" i="123"/>
  <c r="GC69" i="123"/>
  <c r="HE69" i="123"/>
  <c r="IG69" i="123"/>
  <c r="EZ79" i="123"/>
  <c r="FD79" i="123"/>
  <c r="FH79" i="123"/>
  <c r="FL79" i="123"/>
  <c r="FP79" i="123"/>
  <c r="FT79" i="123"/>
  <c r="FX79" i="123"/>
  <c r="GB79" i="123"/>
  <c r="GF79" i="123"/>
  <c r="GJ79" i="123"/>
  <c r="GN79" i="123"/>
  <c r="GR79" i="123"/>
  <c r="GV79" i="123"/>
  <c r="GZ79" i="123"/>
  <c r="HD79" i="123"/>
  <c r="HH79" i="123"/>
  <c r="HL79" i="123"/>
  <c r="HP79" i="123"/>
  <c r="HT79" i="123"/>
  <c r="HX79" i="123"/>
  <c r="IB79" i="123"/>
  <c r="IF79" i="123"/>
  <c r="IJ79" i="123"/>
  <c r="IN79" i="123"/>
  <c r="IR79" i="123"/>
  <c r="IV79" i="123"/>
  <c r="IZ79" i="123"/>
  <c r="EX79" i="123"/>
  <c r="FC79" i="123"/>
  <c r="FI79" i="123"/>
  <c r="FN79" i="123"/>
  <c r="FS79" i="123"/>
  <c r="FY79" i="123"/>
  <c r="GD79" i="123"/>
  <c r="GI79" i="123"/>
  <c r="GO79" i="123"/>
  <c r="GT79" i="123"/>
  <c r="GY79" i="123"/>
  <c r="HE79" i="123"/>
  <c r="HJ79" i="123"/>
  <c r="HO79" i="123"/>
  <c r="HU79" i="123"/>
  <c r="HZ79" i="123"/>
  <c r="IE79" i="123"/>
  <c r="IK79" i="123"/>
  <c r="IP79" i="123"/>
  <c r="IU79" i="123"/>
  <c r="JA79" i="123"/>
  <c r="EY79" i="123"/>
  <c r="FE79" i="123"/>
  <c r="FJ79" i="123"/>
  <c r="FO79" i="123"/>
  <c r="FU79" i="123"/>
  <c r="FZ79" i="123"/>
  <c r="GE79" i="123"/>
  <c r="GK79" i="123"/>
  <c r="GP79" i="123"/>
  <c r="GU79" i="123"/>
  <c r="HA79" i="123"/>
  <c r="HF79" i="123"/>
  <c r="HK79" i="123"/>
  <c r="HQ79" i="123"/>
  <c r="HV79" i="123"/>
  <c r="IA79" i="123"/>
  <c r="IG79" i="123"/>
  <c r="IL79" i="123"/>
  <c r="IQ79" i="123"/>
  <c r="IW79" i="123"/>
  <c r="JB79" i="123"/>
  <c r="FA79" i="123"/>
  <c r="FF79" i="123"/>
  <c r="FK79" i="123"/>
  <c r="FQ79" i="123"/>
  <c r="FV79" i="123"/>
  <c r="GA79" i="123"/>
  <c r="GG79" i="123"/>
  <c r="GL79" i="123"/>
  <c r="GQ79" i="123"/>
  <c r="GW79" i="123"/>
  <c r="HB79" i="123"/>
  <c r="HG79" i="123"/>
  <c r="HM79" i="123"/>
  <c r="HR79" i="123"/>
  <c r="HW79" i="123"/>
  <c r="IC79" i="123"/>
  <c r="IH79" i="123"/>
  <c r="IM79" i="123"/>
  <c r="IS79" i="123"/>
  <c r="IX79" i="123"/>
  <c r="JC79" i="123"/>
  <c r="FB79" i="123"/>
  <c r="FW79" i="123"/>
  <c r="GS79" i="123"/>
  <c r="HN79" i="123"/>
  <c r="II79" i="123"/>
  <c r="FG79" i="123"/>
  <c r="GC79" i="123"/>
  <c r="GX79" i="123"/>
  <c r="HS79" i="123"/>
  <c r="IO79" i="123"/>
  <c r="FM79" i="123"/>
  <c r="GH79" i="123"/>
  <c r="HC79" i="123"/>
  <c r="HY79" i="123"/>
  <c r="IT79" i="123"/>
  <c r="FR79" i="123"/>
  <c r="GM79" i="123"/>
  <c r="HI79" i="123"/>
  <c r="ID79" i="123"/>
  <c r="IY79" i="123"/>
  <c r="EZ89" i="123"/>
  <c r="FD89" i="123"/>
  <c r="FH89" i="123"/>
  <c r="FL89" i="123"/>
  <c r="FP89" i="123"/>
  <c r="FT89" i="123"/>
  <c r="FX89" i="123"/>
  <c r="GB89" i="123"/>
  <c r="GF89" i="123"/>
  <c r="GJ89" i="123"/>
  <c r="GN89" i="123"/>
  <c r="GR89" i="123"/>
  <c r="GV89" i="123"/>
  <c r="GZ89" i="123"/>
  <c r="HD89" i="123"/>
  <c r="HH89" i="123"/>
  <c r="HL89" i="123"/>
  <c r="HP89" i="123"/>
  <c r="HT89" i="123"/>
  <c r="HX89" i="123"/>
  <c r="IB89" i="123"/>
  <c r="IF89" i="123"/>
  <c r="IJ89" i="123"/>
  <c r="IN89" i="123"/>
  <c r="IR89" i="123"/>
  <c r="IV89" i="123"/>
  <c r="IZ89" i="123"/>
  <c r="FB89" i="123"/>
  <c r="FG89" i="123"/>
  <c r="FM89" i="123"/>
  <c r="FR89" i="123"/>
  <c r="FW89" i="123"/>
  <c r="GC89" i="123"/>
  <c r="GH89" i="123"/>
  <c r="GM89" i="123"/>
  <c r="GS89" i="123"/>
  <c r="GX89" i="123"/>
  <c r="HC89" i="123"/>
  <c r="HI89" i="123"/>
  <c r="HN89" i="123"/>
  <c r="HS89" i="123"/>
  <c r="HY89" i="123"/>
  <c r="ID89" i="123"/>
  <c r="II89" i="123"/>
  <c r="IO89" i="123"/>
  <c r="IT89" i="123"/>
  <c r="IY89" i="123"/>
  <c r="EX89" i="123"/>
  <c r="FC89" i="123"/>
  <c r="FI89" i="123"/>
  <c r="FN89" i="123"/>
  <c r="FS89" i="123"/>
  <c r="FY89" i="123"/>
  <c r="GD89" i="123"/>
  <c r="GI89" i="123"/>
  <c r="GO89" i="123"/>
  <c r="GT89" i="123"/>
  <c r="GY89" i="123"/>
  <c r="HE89" i="123"/>
  <c r="HJ89" i="123"/>
  <c r="HO89" i="123"/>
  <c r="HU89" i="123"/>
  <c r="HZ89" i="123"/>
  <c r="IE89" i="123"/>
  <c r="IK89" i="123"/>
  <c r="IP89" i="123"/>
  <c r="IU89" i="123"/>
  <c r="JA89" i="123"/>
  <c r="EY89" i="123"/>
  <c r="FE89" i="123"/>
  <c r="FJ89" i="123"/>
  <c r="FO89" i="123"/>
  <c r="FU89" i="123"/>
  <c r="FZ89" i="123"/>
  <c r="GE89" i="123"/>
  <c r="GK89" i="123"/>
  <c r="GP89" i="123"/>
  <c r="GU89" i="123"/>
  <c r="HA89" i="123"/>
  <c r="HF89" i="123"/>
  <c r="HK89" i="123"/>
  <c r="HQ89" i="123"/>
  <c r="HV89" i="123"/>
  <c r="IA89" i="123"/>
  <c r="IG89" i="123"/>
  <c r="IL89" i="123"/>
  <c r="IQ89" i="123"/>
  <c r="IW89" i="123"/>
  <c r="JB89" i="123"/>
  <c r="FK89" i="123"/>
  <c r="GG89" i="123"/>
  <c r="HB89" i="123"/>
  <c r="HW89" i="123"/>
  <c r="IS89" i="123"/>
  <c r="FQ89" i="123"/>
  <c r="GL89" i="123"/>
  <c r="HG89" i="123"/>
  <c r="IC89" i="123"/>
  <c r="IX89" i="123"/>
  <c r="FA89" i="123"/>
  <c r="FV89" i="123"/>
  <c r="GQ89" i="123"/>
  <c r="HM89" i="123"/>
  <c r="IH89" i="123"/>
  <c r="JC89" i="123"/>
  <c r="FF89" i="123"/>
  <c r="GA89" i="123"/>
  <c r="GW89" i="123"/>
  <c r="HR89" i="123"/>
  <c r="IM89" i="123"/>
  <c r="EY47" i="123"/>
  <c r="FC47" i="123"/>
  <c r="FG47" i="123"/>
  <c r="FK47" i="123"/>
  <c r="FO47" i="123"/>
  <c r="FS47" i="123"/>
  <c r="FW47" i="123"/>
  <c r="GA47" i="123"/>
  <c r="GE47" i="123"/>
  <c r="GI47" i="123"/>
  <c r="GM47" i="123"/>
  <c r="GQ47" i="123"/>
  <c r="GU47" i="123"/>
  <c r="GY47" i="123"/>
  <c r="HC47" i="123"/>
  <c r="HG47" i="123"/>
  <c r="HK47" i="123"/>
  <c r="HO47" i="123"/>
  <c r="HS47" i="123"/>
  <c r="HW47" i="123"/>
  <c r="IA47" i="123"/>
  <c r="IE47" i="123"/>
  <c r="II47" i="123"/>
  <c r="IM47" i="123"/>
  <c r="IQ47" i="123"/>
  <c r="IU47" i="123"/>
  <c r="IY47" i="123"/>
  <c r="JC47" i="123"/>
  <c r="FA47" i="123"/>
  <c r="FF47" i="123"/>
  <c r="FL47" i="123"/>
  <c r="FQ47" i="123"/>
  <c r="FV47" i="123"/>
  <c r="GB47" i="123"/>
  <c r="GG47" i="123"/>
  <c r="GL47" i="123"/>
  <c r="GR47" i="123"/>
  <c r="GW47" i="123"/>
  <c r="HB47" i="123"/>
  <c r="HH47" i="123"/>
  <c r="HM47" i="123"/>
  <c r="HR47" i="123"/>
  <c r="HX47" i="123"/>
  <c r="IC47" i="123"/>
  <c r="IH47" i="123"/>
  <c r="IN47" i="123"/>
  <c r="IS47" i="123"/>
  <c r="IX47" i="123"/>
  <c r="EZ47" i="123"/>
  <c r="FH47" i="123"/>
  <c r="FN47" i="123"/>
  <c r="FU47" i="123"/>
  <c r="GC47" i="123"/>
  <c r="GJ47" i="123"/>
  <c r="GP47" i="123"/>
  <c r="GX47" i="123"/>
  <c r="HE47" i="123"/>
  <c r="HL47" i="123"/>
  <c r="HT47" i="123"/>
  <c r="HZ47" i="123"/>
  <c r="IG47" i="123"/>
  <c r="IO47" i="123"/>
  <c r="IV47" i="123"/>
  <c r="JB47" i="123"/>
  <c r="FE47" i="123"/>
  <c r="FP47" i="123"/>
  <c r="FY47" i="123"/>
  <c r="GH47" i="123"/>
  <c r="GS47" i="123"/>
  <c r="HA47" i="123"/>
  <c r="HJ47" i="123"/>
  <c r="HU47" i="123"/>
  <c r="ID47" i="123"/>
  <c r="IL47" i="123"/>
  <c r="IW47" i="123"/>
  <c r="EX47" i="123"/>
  <c r="FI47" i="123"/>
  <c r="FR47" i="123"/>
  <c r="FZ47" i="123"/>
  <c r="GK47" i="123"/>
  <c r="GT47" i="123"/>
  <c r="HD47" i="123"/>
  <c r="HN47" i="123"/>
  <c r="HV47" i="123"/>
  <c r="IF47" i="123"/>
  <c r="IP47" i="123"/>
  <c r="IZ47" i="123"/>
  <c r="FJ47" i="123"/>
  <c r="GD47" i="123"/>
  <c r="GV47" i="123"/>
  <c r="HP47" i="123"/>
  <c r="IJ47" i="123"/>
  <c r="JA47" i="123"/>
  <c r="FM47" i="123"/>
  <c r="GF47" i="123"/>
  <c r="GZ47" i="123"/>
  <c r="HQ47" i="123"/>
  <c r="IK47" i="123"/>
  <c r="FB47" i="123"/>
  <c r="FT47" i="123"/>
  <c r="GN47" i="123"/>
  <c r="HF47" i="123"/>
  <c r="HY47" i="123"/>
  <c r="IR47" i="123"/>
  <c r="FD47" i="123"/>
  <c r="FX47" i="123"/>
  <c r="GO47" i="123"/>
  <c r="HI47" i="123"/>
  <c r="IB47" i="123"/>
  <c r="IT47" i="123"/>
  <c r="FA53" i="123"/>
  <c r="FE53" i="123"/>
  <c r="FI53" i="123"/>
  <c r="FM53" i="123"/>
  <c r="FQ53" i="123"/>
  <c r="FU53" i="123"/>
  <c r="FY53" i="123"/>
  <c r="GC53" i="123"/>
  <c r="GG53" i="123"/>
  <c r="GK53" i="123"/>
  <c r="GO53" i="123"/>
  <c r="GS53" i="123"/>
  <c r="GW53" i="123"/>
  <c r="HA53" i="123"/>
  <c r="HE53" i="123"/>
  <c r="HI53" i="123"/>
  <c r="HM53" i="123"/>
  <c r="HQ53" i="123"/>
  <c r="HU53" i="123"/>
  <c r="HY53" i="123"/>
  <c r="IC53" i="123"/>
  <c r="IG53" i="123"/>
  <c r="IK53" i="123"/>
  <c r="IO53" i="123"/>
  <c r="IS53" i="123"/>
  <c r="IW53" i="123"/>
  <c r="JA53" i="123"/>
  <c r="FB53" i="123"/>
  <c r="FG53" i="123"/>
  <c r="FL53" i="123"/>
  <c r="FR53" i="123"/>
  <c r="FW53" i="123"/>
  <c r="GB53" i="123"/>
  <c r="GH53" i="123"/>
  <c r="GM53" i="123"/>
  <c r="GR53" i="123"/>
  <c r="GX53" i="123"/>
  <c r="HC53" i="123"/>
  <c r="HH53" i="123"/>
  <c r="HN53" i="123"/>
  <c r="HS53" i="123"/>
  <c r="HX53" i="123"/>
  <c r="ID53" i="123"/>
  <c r="II53" i="123"/>
  <c r="IN53" i="123"/>
  <c r="IT53" i="123"/>
  <c r="IY53" i="123"/>
  <c r="EZ53" i="123"/>
  <c r="FH53" i="123"/>
  <c r="FO53" i="123"/>
  <c r="FV53" i="123"/>
  <c r="GD53" i="123"/>
  <c r="GJ53" i="123"/>
  <c r="GQ53" i="123"/>
  <c r="GY53" i="123"/>
  <c r="HF53" i="123"/>
  <c r="HL53" i="123"/>
  <c r="HT53" i="123"/>
  <c r="IA53" i="123"/>
  <c r="IH53" i="123"/>
  <c r="IP53" i="123"/>
  <c r="IV53" i="123"/>
  <c r="JC53" i="123"/>
  <c r="FC53" i="123"/>
  <c r="FJ53" i="123"/>
  <c r="FP53" i="123"/>
  <c r="FX53" i="123"/>
  <c r="GE53" i="123"/>
  <c r="GL53" i="123"/>
  <c r="GT53" i="123"/>
  <c r="GZ53" i="123"/>
  <c r="HG53" i="123"/>
  <c r="HO53" i="123"/>
  <c r="HV53" i="123"/>
  <c r="IB53" i="123"/>
  <c r="IJ53" i="123"/>
  <c r="IQ53" i="123"/>
  <c r="IX53" i="123"/>
  <c r="EX53" i="123"/>
  <c r="FK53" i="123"/>
  <c r="FZ53" i="123"/>
  <c r="GN53" i="123"/>
  <c r="HB53" i="123"/>
  <c r="HP53" i="123"/>
  <c r="IE53" i="123"/>
  <c r="IR53" i="123"/>
  <c r="EY53" i="123"/>
  <c r="FN53" i="123"/>
  <c r="GA53" i="123"/>
  <c r="GP53" i="123"/>
  <c r="HD53" i="123"/>
  <c r="HR53" i="123"/>
  <c r="IF53" i="123"/>
  <c r="IU53" i="123"/>
  <c r="FD53" i="123"/>
  <c r="FS53" i="123"/>
  <c r="GF53" i="123"/>
  <c r="GU53" i="123"/>
  <c r="HJ53" i="123"/>
  <c r="HW53" i="123"/>
  <c r="IL53" i="123"/>
  <c r="IZ53" i="123"/>
  <c r="FF53" i="123"/>
  <c r="FT53" i="123"/>
  <c r="GI53" i="123"/>
  <c r="GV53" i="123"/>
  <c r="HK53" i="123"/>
  <c r="HZ53" i="123"/>
  <c r="IM53" i="123"/>
  <c r="JB53" i="123"/>
  <c r="EG64" i="123"/>
  <c r="EH64" i="123"/>
  <c r="EI64" i="123"/>
  <c r="EK64" i="123"/>
  <c r="EJ64" i="123"/>
  <c r="EO64" i="123"/>
  <c r="ES64" i="123"/>
  <c r="EW64" i="123"/>
  <c r="EL64" i="123"/>
  <c r="EP64" i="123"/>
  <c r="ET64" i="123"/>
  <c r="EQ64" i="123"/>
  <c r="EN64" i="123"/>
  <c r="ER64" i="123"/>
  <c r="EV64" i="123"/>
  <c r="EM64" i="123"/>
  <c r="EU64" i="123"/>
  <c r="EG71" i="123"/>
  <c r="EK71" i="123"/>
  <c r="EO71" i="123"/>
  <c r="ES71" i="123"/>
  <c r="EW71" i="123"/>
  <c r="EH71" i="123"/>
  <c r="EL71" i="123"/>
  <c r="EP71" i="123"/>
  <c r="ET71" i="123"/>
  <c r="EJ71" i="123"/>
  <c r="EN71" i="123"/>
  <c r="ER71" i="123"/>
  <c r="EV71" i="123"/>
  <c r="EI71" i="123"/>
  <c r="EM71" i="123"/>
  <c r="EQ71" i="123"/>
  <c r="EU71" i="123"/>
  <c r="EG82" i="123"/>
  <c r="EK82" i="123"/>
  <c r="EO82" i="123"/>
  <c r="ES82" i="123"/>
  <c r="EW82" i="123"/>
  <c r="EH82" i="123"/>
  <c r="EL82" i="123"/>
  <c r="EP82" i="123"/>
  <c r="ET82" i="123"/>
  <c r="EJ82" i="123"/>
  <c r="EN82" i="123"/>
  <c r="ER82" i="123"/>
  <c r="EV82" i="123"/>
  <c r="EI82" i="123"/>
  <c r="EM82" i="123"/>
  <c r="EQ82" i="123"/>
  <c r="EU82" i="123"/>
  <c r="EG69" i="123"/>
  <c r="EK69" i="123"/>
  <c r="EO69" i="123"/>
  <c r="ES69" i="123"/>
  <c r="EW69" i="123"/>
  <c r="EH69" i="123"/>
  <c r="EL69" i="123"/>
  <c r="EP69" i="123"/>
  <c r="ET69" i="123"/>
  <c r="EJ69" i="123"/>
  <c r="EN69" i="123"/>
  <c r="ER69" i="123"/>
  <c r="EV69" i="123"/>
  <c r="EI69" i="123"/>
  <c r="EQ69" i="123"/>
  <c r="EM69" i="123"/>
  <c r="EU69" i="123"/>
  <c r="EG53" i="123"/>
  <c r="EH53" i="123"/>
  <c r="EL53" i="123"/>
  <c r="EP53" i="123"/>
  <c r="ET53" i="123"/>
  <c r="EI53" i="123"/>
  <c r="EM53" i="123"/>
  <c r="EQ53" i="123"/>
  <c r="EU53" i="123"/>
  <c r="EK53" i="123"/>
  <c r="EO53" i="123"/>
  <c r="ES53" i="123"/>
  <c r="EW53" i="123"/>
  <c r="EJ53" i="123"/>
  <c r="EN53" i="123"/>
  <c r="ER53" i="123"/>
  <c r="EV53" i="123"/>
  <c r="EG67" i="123"/>
  <c r="EK67" i="123"/>
  <c r="EO67" i="123"/>
  <c r="ES67" i="123"/>
  <c r="EW67" i="123"/>
  <c r="EH67" i="123"/>
  <c r="EL67" i="123"/>
  <c r="EP67" i="123"/>
  <c r="ET67" i="123"/>
  <c r="EI67" i="123"/>
  <c r="EQ67" i="123"/>
  <c r="EJ67" i="123"/>
  <c r="EN67" i="123"/>
  <c r="ER67" i="123"/>
  <c r="EV67" i="123"/>
  <c r="EM67" i="123"/>
  <c r="EU67" i="123"/>
  <c r="EG76" i="123"/>
  <c r="EK76" i="123"/>
  <c r="EO76" i="123"/>
  <c r="ES76" i="123"/>
  <c r="EW76" i="123"/>
  <c r="EH76" i="123"/>
  <c r="EL76" i="123"/>
  <c r="EP76" i="123"/>
  <c r="ET76" i="123"/>
  <c r="EJ76" i="123"/>
  <c r="EN76" i="123"/>
  <c r="ER76" i="123"/>
  <c r="EV76" i="123"/>
  <c r="EI76" i="123"/>
  <c r="EM76" i="123"/>
  <c r="EU76" i="123"/>
  <c r="EQ76" i="123"/>
  <c r="EG77" i="123"/>
  <c r="EK77" i="123"/>
  <c r="EO77" i="123"/>
  <c r="ES77" i="123"/>
  <c r="EW77" i="123"/>
  <c r="EH77" i="123"/>
  <c r="EL77" i="123"/>
  <c r="EP77" i="123"/>
  <c r="ET77" i="123"/>
  <c r="EJ77" i="123"/>
  <c r="EN77" i="123"/>
  <c r="ER77" i="123"/>
  <c r="EV77" i="123"/>
  <c r="EI77" i="123"/>
  <c r="EM77" i="123"/>
  <c r="EQ77" i="123"/>
  <c r="EU77" i="123"/>
  <c r="EG57" i="123"/>
  <c r="EH57" i="123"/>
  <c r="EL57" i="123"/>
  <c r="EP57" i="123"/>
  <c r="ET57" i="123"/>
  <c r="EI57" i="123"/>
  <c r="EM57" i="123"/>
  <c r="EQ57" i="123"/>
  <c r="EU57" i="123"/>
  <c r="EK57" i="123"/>
  <c r="EO57" i="123"/>
  <c r="ES57" i="123"/>
  <c r="EW57" i="123"/>
  <c r="EJ57" i="123"/>
  <c r="EN57" i="123"/>
  <c r="ER57" i="123"/>
  <c r="EV57" i="123"/>
  <c r="EG61" i="123"/>
  <c r="EH61" i="123"/>
  <c r="EL61" i="123"/>
  <c r="EP61" i="123"/>
  <c r="ET61" i="123"/>
  <c r="EI61" i="123"/>
  <c r="EM61" i="123"/>
  <c r="EQ61" i="123"/>
  <c r="EU61" i="123"/>
  <c r="EK61" i="123"/>
  <c r="EO61" i="123"/>
  <c r="ES61" i="123"/>
  <c r="EW61" i="123"/>
  <c r="EJ61" i="123"/>
  <c r="EN61" i="123"/>
  <c r="ER61" i="123"/>
  <c r="EV61" i="123"/>
  <c r="EG72" i="123"/>
  <c r="EK72" i="123"/>
  <c r="EO72" i="123"/>
  <c r="ES72" i="123"/>
  <c r="EW72" i="123"/>
  <c r="EH72" i="123"/>
  <c r="EL72" i="123"/>
  <c r="EP72" i="123"/>
  <c r="ET72" i="123"/>
  <c r="EJ72" i="123"/>
  <c r="EN72" i="123"/>
  <c r="ER72" i="123"/>
  <c r="EV72" i="123"/>
  <c r="EI72" i="123"/>
  <c r="EM72" i="123"/>
  <c r="EU72" i="123"/>
  <c r="EQ72" i="123"/>
  <c r="EG66" i="123"/>
  <c r="EK66" i="123"/>
  <c r="EO66" i="123"/>
  <c r="ES66" i="123"/>
  <c r="EW66" i="123"/>
  <c r="EH66" i="123"/>
  <c r="EL66" i="123"/>
  <c r="EP66" i="123"/>
  <c r="ET66" i="123"/>
  <c r="EI66" i="123"/>
  <c r="EQ66" i="123"/>
  <c r="EJ66" i="123"/>
  <c r="EN66" i="123"/>
  <c r="ER66" i="123"/>
  <c r="EV66" i="123"/>
  <c r="EM66" i="123"/>
  <c r="EU66" i="123"/>
  <c r="EG63" i="123"/>
  <c r="EH63" i="123"/>
  <c r="EL63" i="123"/>
  <c r="EP63" i="123"/>
  <c r="ET63" i="123"/>
  <c r="EI63" i="123"/>
  <c r="EM63" i="123"/>
  <c r="EQ63" i="123"/>
  <c r="EU63" i="123"/>
  <c r="EK63" i="123"/>
  <c r="EO63" i="123"/>
  <c r="ES63" i="123"/>
  <c r="EW63" i="123"/>
  <c r="EJ63" i="123"/>
  <c r="EN63" i="123"/>
  <c r="ER63" i="123"/>
  <c r="EV63" i="123"/>
  <c r="EG86" i="123"/>
  <c r="EK86" i="123"/>
  <c r="EO86" i="123"/>
  <c r="ES86" i="123"/>
  <c r="EW86" i="123"/>
  <c r="EH86" i="123"/>
  <c r="EL86" i="123"/>
  <c r="EP86" i="123"/>
  <c r="ET86" i="123"/>
  <c r="EJ86" i="123"/>
  <c r="EN86" i="123"/>
  <c r="ER86" i="123"/>
  <c r="EV86" i="123"/>
  <c r="EI86" i="123"/>
  <c r="EQ86" i="123"/>
  <c r="EM86" i="123"/>
  <c r="EU86" i="123"/>
  <c r="EG74" i="123"/>
  <c r="EK74" i="123"/>
  <c r="EO74" i="123"/>
  <c r="ES74" i="123"/>
  <c r="EW74" i="123"/>
  <c r="EH74" i="123"/>
  <c r="EL74" i="123"/>
  <c r="EP74" i="123"/>
  <c r="ET74" i="123"/>
  <c r="EJ74" i="123"/>
  <c r="EN74" i="123"/>
  <c r="ER74" i="123"/>
  <c r="EV74" i="123"/>
  <c r="EI74" i="123"/>
  <c r="EM74" i="123"/>
  <c r="EU74" i="123"/>
  <c r="EQ74" i="123"/>
  <c r="EG83" i="123"/>
  <c r="EK83" i="123"/>
  <c r="EO83" i="123"/>
  <c r="ES83" i="123"/>
  <c r="EW83" i="123"/>
  <c r="EH83" i="123"/>
  <c r="EL83" i="123"/>
  <c r="EP83" i="123"/>
  <c r="ET83" i="123"/>
  <c r="EJ83" i="123"/>
  <c r="EN83" i="123"/>
  <c r="ER83" i="123"/>
  <c r="EV83" i="123"/>
  <c r="EI83" i="123"/>
  <c r="EM83" i="123"/>
  <c r="EU83" i="123"/>
  <c r="EQ83" i="123"/>
  <c r="EG87" i="123"/>
  <c r="EK87" i="123"/>
  <c r="EO87" i="123"/>
  <c r="ES87" i="123"/>
  <c r="EW87" i="123"/>
  <c r="EH87" i="123"/>
  <c r="EL87" i="123"/>
  <c r="EP87" i="123"/>
  <c r="ET87" i="123"/>
  <c r="EJ87" i="123"/>
  <c r="EN87" i="123"/>
  <c r="ER87" i="123"/>
  <c r="EV87" i="123"/>
  <c r="EI87" i="123"/>
  <c r="EM87" i="123"/>
  <c r="EQ87" i="123"/>
  <c r="EU87" i="123"/>
  <c r="EG81" i="123"/>
  <c r="EK81" i="123"/>
  <c r="EO81" i="123"/>
  <c r="ES81" i="123"/>
  <c r="EW81" i="123"/>
  <c r="EH81" i="123"/>
  <c r="EL81" i="123"/>
  <c r="EP81" i="123"/>
  <c r="ET81" i="123"/>
  <c r="EJ81" i="123"/>
  <c r="EN81" i="123"/>
  <c r="ER81" i="123"/>
  <c r="EV81" i="123"/>
  <c r="EI81" i="123"/>
  <c r="EM81" i="123"/>
  <c r="EU81" i="123"/>
  <c r="EQ81" i="123"/>
  <c r="EG52" i="123"/>
  <c r="EH52" i="123"/>
  <c r="EL52" i="123"/>
  <c r="EP52" i="123"/>
  <c r="ET52" i="123"/>
  <c r="EI52" i="123"/>
  <c r="EM52" i="123"/>
  <c r="EQ52" i="123"/>
  <c r="EU52" i="123"/>
  <c r="EK52" i="123"/>
  <c r="EO52" i="123"/>
  <c r="ES52" i="123"/>
  <c r="EW52" i="123"/>
  <c r="EJ52" i="123"/>
  <c r="EN52" i="123"/>
  <c r="EV52" i="123"/>
  <c r="ER52" i="123"/>
  <c r="EG48" i="123"/>
  <c r="EH48" i="123"/>
  <c r="EL48" i="123"/>
  <c r="EP48" i="123"/>
  <c r="ET48" i="123"/>
  <c r="EI48" i="123"/>
  <c r="EM48" i="123"/>
  <c r="EQ48" i="123"/>
  <c r="EU48" i="123"/>
  <c r="EK48" i="123"/>
  <c r="EO48" i="123"/>
  <c r="ES48" i="123"/>
  <c r="EW48" i="123"/>
  <c r="EJ48" i="123"/>
  <c r="EN48" i="123"/>
  <c r="EV48" i="123"/>
  <c r="ER48" i="123"/>
  <c r="EG49" i="123"/>
  <c r="EH49" i="123"/>
  <c r="EL49" i="123"/>
  <c r="EP49" i="123"/>
  <c r="ET49" i="123"/>
  <c r="EI49" i="123"/>
  <c r="EM49" i="123"/>
  <c r="EQ49" i="123"/>
  <c r="EU49" i="123"/>
  <c r="EK49" i="123"/>
  <c r="EO49" i="123"/>
  <c r="ES49" i="123"/>
  <c r="EW49" i="123"/>
  <c r="EJ49" i="123"/>
  <c r="EN49" i="123"/>
  <c r="ER49" i="123"/>
  <c r="EV49" i="123"/>
  <c r="EG84" i="123"/>
  <c r="EK84" i="123"/>
  <c r="EO84" i="123"/>
  <c r="ES84" i="123"/>
  <c r="EW84" i="123"/>
  <c r="EH84" i="123"/>
  <c r="EL84" i="123"/>
  <c r="EP84" i="123"/>
  <c r="ET84" i="123"/>
  <c r="EJ84" i="123"/>
  <c r="EN84" i="123"/>
  <c r="ER84" i="123"/>
  <c r="EV84" i="123"/>
  <c r="EI84" i="123"/>
  <c r="EM84" i="123"/>
  <c r="EQ84" i="123"/>
  <c r="EU84" i="123"/>
  <c r="EG90" i="123"/>
  <c r="EK90" i="123"/>
  <c r="EO90" i="123"/>
  <c r="ES90" i="123"/>
  <c r="EW90" i="123"/>
  <c r="EH90" i="123"/>
  <c r="EL90" i="123"/>
  <c r="EP90" i="123"/>
  <c r="ET90" i="123"/>
  <c r="EJ90" i="123"/>
  <c r="EN90" i="123"/>
  <c r="ER90" i="123"/>
  <c r="EV90" i="123"/>
  <c r="EI90" i="123"/>
  <c r="EM90" i="123"/>
  <c r="EU90" i="123"/>
  <c r="EQ90" i="123"/>
  <c r="EG89" i="123"/>
  <c r="EK89" i="123"/>
  <c r="EO89" i="123"/>
  <c r="ES89" i="123"/>
  <c r="EW89" i="123"/>
  <c r="EH89" i="123"/>
  <c r="EL89" i="123"/>
  <c r="EP89" i="123"/>
  <c r="ET89" i="123"/>
  <c r="EJ89" i="123"/>
  <c r="EN89" i="123"/>
  <c r="ER89" i="123"/>
  <c r="EV89" i="123"/>
  <c r="EI89" i="123"/>
  <c r="EM89" i="123"/>
  <c r="EQ89" i="123"/>
  <c r="EU89" i="123"/>
  <c r="EG62" i="123"/>
  <c r="EH62" i="123"/>
  <c r="EL62" i="123"/>
  <c r="EP62" i="123"/>
  <c r="ET62" i="123"/>
  <c r="EI62" i="123"/>
  <c r="EM62" i="123"/>
  <c r="EQ62" i="123"/>
  <c r="EU62" i="123"/>
  <c r="EK62" i="123"/>
  <c r="EO62" i="123"/>
  <c r="ES62" i="123"/>
  <c r="EW62" i="123"/>
  <c r="EJ62" i="123"/>
  <c r="EN62" i="123"/>
  <c r="EV62" i="123"/>
  <c r="ER62" i="123"/>
  <c r="EG78" i="123"/>
  <c r="EK78" i="123"/>
  <c r="EO78" i="123"/>
  <c r="ES78" i="123"/>
  <c r="EW78" i="123"/>
  <c r="EH78" i="123"/>
  <c r="EL78" i="123"/>
  <c r="EP78" i="123"/>
  <c r="ET78" i="123"/>
  <c r="EJ78" i="123"/>
  <c r="EN78" i="123"/>
  <c r="ER78" i="123"/>
  <c r="EV78" i="123"/>
  <c r="EI78" i="123"/>
  <c r="EM78" i="123"/>
  <c r="EU78" i="123"/>
  <c r="EQ78" i="123"/>
  <c r="EG91" i="123"/>
  <c r="EK91" i="123"/>
  <c r="EO91" i="123"/>
  <c r="ES91" i="123"/>
  <c r="EW91" i="123"/>
  <c r="EH91" i="123"/>
  <c r="EL91" i="123"/>
  <c r="EP91" i="123"/>
  <c r="ET91" i="123"/>
  <c r="EJ91" i="123"/>
  <c r="EN91" i="123"/>
  <c r="ER91" i="123"/>
  <c r="EV91" i="123"/>
  <c r="EI91" i="123"/>
  <c r="EM91" i="123"/>
  <c r="EQ91" i="123"/>
  <c r="EU91" i="123"/>
  <c r="EG93" i="123"/>
  <c r="EK93" i="123"/>
  <c r="EO93" i="123"/>
  <c r="ES93" i="123"/>
  <c r="EW93" i="123"/>
  <c r="EH93" i="123"/>
  <c r="EL93" i="123"/>
  <c r="EP93" i="123"/>
  <c r="ET93" i="123"/>
  <c r="EJ93" i="123"/>
  <c r="EN93" i="123"/>
  <c r="ER93" i="123"/>
  <c r="EV93" i="123"/>
  <c r="EI93" i="123"/>
  <c r="EQ93" i="123"/>
  <c r="EM93" i="123"/>
  <c r="EU93" i="123"/>
  <c r="EG51" i="123"/>
  <c r="EH51" i="123"/>
  <c r="EL51" i="123"/>
  <c r="EP51" i="123"/>
  <c r="ET51" i="123"/>
  <c r="EI51" i="123"/>
  <c r="EM51" i="123"/>
  <c r="EQ51" i="123"/>
  <c r="EU51" i="123"/>
  <c r="EK51" i="123"/>
  <c r="EO51" i="123"/>
  <c r="ES51" i="123"/>
  <c r="EW51" i="123"/>
  <c r="EJ51" i="123"/>
  <c r="EN51" i="123"/>
  <c r="ER51" i="123"/>
  <c r="EV51" i="123"/>
  <c r="EG46" i="123"/>
  <c r="EH46" i="123"/>
  <c r="EL46" i="123"/>
  <c r="EP46" i="123"/>
  <c r="ET46" i="123"/>
  <c r="EI46" i="123"/>
  <c r="EM46" i="123"/>
  <c r="EQ46" i="123"/>
  <c r="EU46" i="123"/>
  <c r="EK46" i="123"/>
  <c r="EO46" i="123"/>
  <c r="ES46" i="123"/>
  <c r="EW46" i="123"/>
  <c r="EJ46" i="123"/>
  <c r="EN46" i="123"/>
  <c r="EV46" i="123"/>
  <c r="ER46" i="123"/>
  <c r="EG70" i="123"/>
  <c r="EK70" i="123"/>
  <c r="EO70" i="123"/>
  <c r="ES70" i="123"/>
  <c r="EW70" i="123"/>
  <c r="EH70" i="123"/>
  <c r="EL70" i="123"/>
  <c r="EP70" i="123"/>
  <c r="ET70" i="123"/>
  <c r="EJ70" i="123"/>
  <c r="EN70" i="123"/>
  <c r="ER70" i="123"/>
  <c r="EV70" i="123"/>
  <c r="EI70" i="123"/>
  <c r="EM70" i="123"/>
  <c r="EQ70" i="123"/>
  <c r="EU70" i="123"/>
  <c r="EG60" i="123"/>
  <c r="EH60" i="123"/>
  <c r="EL60" i="123"/>
  <c r="EP60" i="123"/>
  <c r="ET60" i="123"/>
  <c r="EI60" i="123"/>
  <c r="EM60" i="123"/>
  <c r="EQ60" i="123"/>
  <c r="EU60" i="123"/>
  <c r="EK60" i="123"/>
  <c r="EO60" i="123"/>
  <c r="ES60" i="123"/>
  <c r="EW60" i="123"/>
  <c r="EJ60" i="123"/>
  <c r="EN60" i="123"/>
  <c r="EV60" i="123"/>
  <c r="ER60" i="123"/>
  <c r="EG79" i="123"/>
  <c r="EK79" i="123"/>
  <c r="EO79" i="123"/>
  <c r="ES79" i="123"/>
  <c r="EW79" i="123"/>
  <c r="EH79" i="123"/>
  <c r="EL79" i="123"/>
  <c r="EP79" i="123"/>
  <c r="ET79" i="123"/>
  <c r="EJ79" i="123"/>
  <c r="EN79" i="123"/>
  <c r="ER79" i="123"/>
  <c r="EV79" i="123"/>
  <c r="EI79" i="123"/>
  <c r="EQ79" i="123"/>
  <c r="EM79" i="123"/>
  <c r="EU79" i="123"/>
  <c r="EG47" i="123"/>
  <c r="EH47" i="123"/>
  <c r="EL47" i="123"/>
  <c r="EP47" i="123"/>
  <c r="ET47" i="123"/>
  <c r="EI47" i="123"/>
  <c r="EM47" i="123"/>
  <c r="EQ47" i="123"/>
  <c r="EU47" i="123"/>
  <c r="EK47" i="123"/>
  <c r="EO47" i="123"/>
  <c r="ES47" i="123"/>
  <c r="EW47" i="123"/>
  <c r="EJ47" i="123"/>
  <c r="EN47" i="123"/>
  <c r="ER47" i="123"/>
  <c r="EV47" i="123"/>
  <c r="EG68" i="123"/>
  <c r="EK68" i="123"/>
  <c r="EO68" i="123"/>
  <c r="ES68" i="123"/>
  <c r="EW68" i="123"/>
  <c r="EH68" i="123"/>
  <c r="EL68" i="123"/>
  <c r="EP68" i="123"/>
  <c r="ET68" i="123"/>
  <c r="EI68" i="123"/>
  <c r="EJ68" i="123"/>
  <c r="EN68" i="123"/>
  <c r="ER68" i="123"/>
  <c r="EV68" i="123"/>
  <c r="EM68" i="123"/>
  <c r="EU68" i="123"/>
  <c r="EQ68" i="123"/>
  <c r="EG88" i="123"/>
  <c r="EK88" i="123"/>
  <c r="EO88" i="123"/>
  <c r="ES88" i="123"/>
  <c r="EW88" i="123"/>
  <c r="EH88" i="123"/>
  <c r="EL88" i="123"/>
  <c r="EP88" i="123"/>
  <c r="ET88" i="123"/>
  <c r="EJ88" i="123"/>
  <c r="EN88" i="123"/>
  <c r="ER88" i="123"/>
  <c r="EV88" i="123"/>
  <c r="EI88" i="123"/>
  <c r="EM88" i="123"/>
  <c r="EU88" i="123"/>
  <c r="EQ88" i="123"/>
  <c r="EG95" i="123"/>
  <c r="EK95" i="123"/>
  <c r="EO95" i="123"/>
  <c r="ES95" i="123"/>
  <c r="EW95" i="123"/>
  <c r="EH95" i="123"/>
  <c r="EL95" i="123"/>
  <c r="EP95" i="123"/>
  <c r="ET95" i="123"/>
  <c r="EJ95" i="123"/>
  <c r="EN95" i="123"/>
  <c r="ER95" i="123"/>
  <c r="EV95" i="123"/>
  <c r="EI95" i="123"/>
  <c r="EM95" i="123"/>
  <c r="EU95" i="123"/>
  <c r="EQ95" i="123"/>
  <c r="EG58" i="123"/>
  <c r="EH58" i="123"/>
  <c r="EL58" i="123"/>
  <c r="EP58" i="123"/>
  <c r="ET58" i="123"/>
  <c r="EI58" i="123"/>
  <c r="EM58" i="123"/>
  <c r="EQ58" i="123"/>
  <c r="EU58" i="123"/>
  <c r="EK58" i="123"/>
  <c r="EO58" i="123"/>
  <c r="ES58" i="123"/>
  <c r="EW58" i="123"/>
  <c r="EJ58" i="123"/>
  <c r="EN58" i="123"/>
  <c r="EV58" i="123"/>
  <c r="ER58" i="123"/>
  <c r="EG56" i="123"/>
  <c r="EH56" i="123"/>
  <c r="EL56" i="123"/>
  <c r="EP56" i="123"/>
  <c r="ET56" i="123"/>
  <c r="EI56" i="123"/>
  <c r="EM56" i="123"/>
  <c r="EQ56" i="123"/>
  <c r="EU56" i="123"/>
  <c r="EK56" i="123"/>
  <c r="EO56" i="123"/>
  <c r="ES56" i="123"/>
  <c r="EW56" i="123"/>
  <c r="EJ56" i="123"/>
  <c r="EN56" i="123"/>
  <c r="EV56" i="123"/>
  <c r="ER56" i="123"/>
  <c r="EG65" i="123"/>
  <c r="EK65" i="123"/>
  <c r="EO65" i="123"/>
  <c r="ES65" i="123"/>
  <c r="EW65" i="123"/>
  <c r="EH65" i="123"/>
  <c r="EL65" i="123"/>
  <c r="EP65" i="123"/>
  <c r="ET65" i="123"/>
  <c r="EI65" i="123"/>
  <c r="EQ65" i="123"/>
  <c r="EJ65" i="123"/>
  <c r="EN65" i="123"/>
  <c r="ER65" i="123"/>
  <c r="EV65" i="123"/>
  <c r="EM65" i="123"/>
  <c r="EU65" i="123"/>
  <c r="EG59" i="123"/>
  <c r="EH59" i="123"/>
  <c r="EL59" i="123"/>
  <c r="EP59" i="123"/>
  <c r="ET59" i="123"/>
  <c r="EI59" i="123"/>
  <c r="EM59" i="123"/>
  <c r="EQ59" i="123"/>
  <c r="EU59" i="123"/>
  <c r="EK59" i="123"/>
  <c r="EO59" i="123"/>
  <c r="ES59" i="123"/>
  <c r="EW59" i="123"/>
  <c r="EJ59" i="123"/>
  <c r="EN59" i="123"/>
  <c r="ER59" i="123"/>
  <c r="EV59" i="123"/>
  <c r="EG80" i="123"/>
  <c r="EK80" i="123"/>
  <c r="EO80" i="123"/>
  <c r="ES80" i="123"/>
  <c r="EW80" i="123"/>
  <c r="EH80" i="123"/>
  <c r="EL80" i="123"/>
  <c r="EP80" i="123"/>
  <c r="ET80" i="123"/>
  <c r="EJ80" i="123"/>
  <c r="EN80" i="123"/>
  <c r="ER80" i="123"/>
  <c r="EV80" i="123"/>
  <c r="EI80" i="123"/>
  <c r="EM80" i="123"/>
  <c r="EQ80" i="123"/>
  <c r="EU80" i="123"/>
  <c r="EG92" i="123"/>
  <c r="EK92" i="123"/>
  <c r="EO92" i="123"/>
  <c r="ES92" i="123"/>
  <c r="EW92" i="123"/>
  <c r="EH92" i="123"/>
  <c r="EL92" i="123"/>
  <c r="EP92" i="123"/>
  <c r="ET92" i="123"/>
  <c r="EJ92" i="123"/>
  <c r="EN92" i="123"/>
  <c r="ER92" i="123"/>
  <c r="EV92" i="123"/>
  <c r="EI92" i="123"/>
  <c r="EM92" i="123"/>
  <c r="EU92" i="123"/>
  <c r="EQ92" i="123"/>
  <c r="EG94" i="123"/>
  <c r="EK94" i="123"/>
  <c r="EO94" i="123"/>
  <c r="ES94" i="123"/>
  <c r="EW94" i="123"/>
  <c r="EH94" i="123"/>
  <c r="EL94" i="123"/>
  <c r="EP94" i="123"/>
  <c r="ET94" i="123"/>
  <c r="EJ94" i="123"/>
  <c r="EN94" i="123"/>
  <c r="ER94" i="123"/>
  <c r="EV94" i="123"/>
  <c r="EI94" i="123"/>
  <c r="EM94" i="123"/>
  <c r="EQ94" i="123"/>
  <c r="EU94" i="123"/>
  <c r="EG85" i="123"/>
  <c r="EK85" i="123"/>
  <c r="EO85" i="123"/>
  <c r="ES85" i="123"/>
  <c r="EW85" i="123"/>
  <c r="EH85" i="123"/>
  <c r="EL85" i="123"/>
  <c r="EP85" i="123"/>
  <c r="ET85" i="123"/>
  <c r="EJ85" i="123"/>
  <c r="EN85" i="123"/>
  <c r="ER85" i="123"/>
  <c r="EV85" i="123"/>
  <c r="EI85" i="123"/>
  <c r="EM85" i="123"/>
  <c r="EU85" i="123"/>
  <c r="EQ85" i="123"/>
  <c r="EG73" i="123"/>
  <c r="EK73" i="123"/>
  <c r="EO73" i="123"/>
  <c r="ES73" i="123"/>
  <c r="EW73" i="123"/>
  <c r="EH73" i="123"/>
  <c r="EL73" i="123"/>
  <c r="EP73" i="123"/>
  <c r="ET73" i="123"/>
  <c r="EJ73" i="123"/>
  <c r="EN73" i="123"/>
  <c r="ER73" i="123"/>
  <c r="EV73" i="123"/>
  <c r="EI73" i="123"/>
  <c r="EM73" i="123"/>
  <c r="EQ73" i="123"/>
  <c r="EU73" i="123"/>
  <c r="EG75" i="123"/>
  <c r="EK75" i="123"/>
  <c r="EO75" i="123"/>
  <c r="ES75" i="123"/>
  <c r="EW75" i="123"/>
  <c r="EH75" i="123"/>
  <c r="EL75" i="123"/>
  <c r="EP75" i="123"/>
  <c r="ET75" i="123"/>
  <c r="EJ75" i="123"/>
  <c r="EN75" i="123"/>
  <c r="ER75" i="123"/>
  <c r="EV75" i="123"/>
  <c r="EI75" i="123"/>
  <c r="EM75" i="123"/>
  <c r="EQ75" i="123"/>
  <c r="EU75" i="123"/>
  <c r="EG55" i="123"/>
  <c r="EH55" i="123"/>
  <c r="EL55" i="123"/>
  <c r="EP55" i="123"/>
  <c r="ET55" i="123"/>
  <c r="EI55" i="123"/>
  <c r="EM55" i="123"/>
  <c r="EQ55" i="123"/>
  <c r="EU55" i="123"/>
  <c r="EK55" i="123"/>
  <c r="EO55" i="123"/>
  <c r="ES55" i="123"/>
  <c r="EW55" i="123"/>
  <c r="EJ55" i="123"/>
  <c r="EN55" i="123"/>
  <c r="ER55" i="123"/>
  <c r="EV55" i="123"/>
  <c r="EG54" i="123"/>
  <c r="EH54" i="123"/>
  <c r="EL54" i="123"/>
  <c r="EP54" i="123"/>
  <c r="ET54" i="123"/>
  <c r="EI54" i="123"/>
  <c r="EM54" i="123"/>
  <c r="EQ54" i="123"/>
  <c r="EU54" i="123"/>
  <c r="EK54" i="123"/>
  <c r="EO54" i="123"/>
  <c r="ES54" i="123"/>
  <c r="EW54" i="123"/>
  <c r="EJ54" i="123"/>
  <c r="EN54" i="123"/>
  <c r="EV54" i="123"/>
  <c r="ER54" i="123"/>
  <c r="GO27" i="1"/>
  <c r="IT32" i="1"/>
  <c r="II32" i="1"/>
  <c r="GW32" i="1"/>
  <c r="LP32" i="1"/>
  <c r="EI28" i="123"/>
  <c r="EI123" i="123" s="1"/>
  <c r="EM28" i="123"/>
  <c r="EM123" i="123" s="1"/>
  <c r="EL28" i="123"/>
  <c r="EL123" i="123" s="1"/>
  <c r="EJ28" i="123"/>
  <c r="EJ123" i="123" s="1"/>
  <c r="EK28" i="123"/>
  <c r="EK123" i="123" s="1"/>
  <c r="EH28" i="123"/>
  <c r="EH123" i="123" s="1"/>
  <c r="IT24" i="123"/>
  <c r="CA106" i="130"/>
  <c r="CD106" i="130"/>
  <c r="CH106" i="130"/>
  <c r="CC106" i="130"/>
  <c r="CE106" i="130"/>
  <c r="CF106" i="130"/>
  <c r="CB106" i="130"/>
  <c r="CG106" i="130"/>
  <c r="CA74" i="130"/>
  <c r="CD74" i="130"/>
  <c r="CH74" i="130"/>
  <c r="CE74" i="130"/>
  <c r="CF74" i="130"/>
  <c r="CG74" i="130"/>
  <c r="CB74" i="130"/>
  <c r="CC74" i="130"/>
  <c r="CA104" i="130"/>
  <c r="CB104" i="130"/>
  <c r="CF104" i="130"/>
  <c r="CG104" i="130"/>
  <c r="CC104" i="130"/>
  <c r="CH104" i="130"/>
  <c r="CD104" i="130"/>
  <c r="CE104" i="130"/>
  <c r="CA78" i="130"/>
  <c r="CD78" i="130"/>
  <c r="CH78" i="130"/>
  <c r="CE78" i="130"/>
  <c r="CB78" i="130"/>
  <c r="CC78" i="130"/>
  <c r="CF78" i="130"/>
  <c r="CG78" i="130"/>
  <c r="CA91" i="130"/>
  <c r="CE91" i="130"/>
  <c r="CB91" i="130"/>
  <c r="CG91" i="130"/>
  <c r="CC91" i="130"/>
  <c r="CH91" i="130"/>
  <c r="CD91" i="130"/>
  <c r="CF91" i="130"/>
  <c r="CA103" i="130"/>
  <c r="CE103" i="130"/>
  <c r="CC103" i="130"/>
  <c r="CH103" i="130"/>
  <c r="CD103" i="130"/>
  <c r="CF103" i="130"/>
  <c r="CB103" i="130"/>
  <c r="CG103" i="130"/>
  <c r="CA92" i="130"/>
  <c r="CB92" i="130"/>
  <c r="CF92" i="130"/>
  <c r="CE92" i="130"/>
  <c r="CG92" i="130"/>
  <c r="CC92" i="130"/>
  <c r="CH92" i="130"/>
  <c r="CD92" i="130"/>
  <c r="CA99" i="130"/>
  <c r="CE99" i="130"/>
  <c r="CD99" i="130"/>
  <c r="CF99" i="130"/>
  <c r="CB99" i="130"/>
  <c r="CG99" i="130"/>
  <c r="CC99" i="130"/>
  <c r="CH99" i="130"/>
  <c r="CA96" i="130"/>
  <c r="CB96" i="130"/>
  <c r="CF96" i="130"/>
  <c r="CD96" i="130"/>
  <c r="CE96" i="130"/>
  <c r="CG96" i="130"/>
  <c r="CC96" i="130"/>
  <c r="CH96" i="130"/>
  <c r="CA102" i="130"/>
  <c r="CD102" i="130"/>
  <c r="CH102" i="130"/>
  <c r="CE102" i="130"/>
  <c r="CF102" i="130"/>
  <c r="CB102" i="130"/>
  <c r="CG102" i="130"/>
  <c r="CC102" i="130"/>
  <c r="CA105" i="130"/>
  <c r="CC105" i="130"/>
  <c r="CG105" i="130"/>
  <c r="CE105" i="130"/>
  <c r="CF105" i="130"/>
  <c r="CB105" i="130"/>
  <c r="CH105" i="130"/>
  <c r="CD105" i="130"/>
  <c r="CA84" i="130"/>
  <c r="CB84" i="130"/>
  <c r="CF84" i="130"/>
  <c r="CC84" i="130"/>
  <c r="CG84" i="130"/>
  <c r="CH84" i="130"/>
  <c r="CD84" i="130"/>
  <c r="CE84" i="130"/>
  <c r="CA164" i="130"/>
  <c r="CD164" i="130"/>
  <c r="CH164" i="130"/>
  <c r="CE164" i="130"/>
  <c r="CF164" i="130"/>
  <c r="CB164" i="130"/>
  <c r="CC164" i="130"/>
  <c r="CG164" i="130"/>
  <c r="CA163" i="130"/>
  <c r="CC163" i="130"/>
  <c r="CG163" i="130"/>
  <c r="CD163" i="130"/>
  <c r="CH163" i="130"/>
  <c r="CE163" i="130"/>
  <c r="CF163" i="130"/>
  <c r="CB163" i="130"/>
  <c r="CA166" i="130"/>
  <c r="CB166" i="130"/>
  <c r="CF166" i="130"/>
  <c r="CC166" i="130"/>
  <c r="CG166" i="130"/>
  <c r="CH166" i="130"/>
  <c r="CD166" i="130"/>
  <c r="CE166" i="130"/>
  <c r="CA160" i="130"/>
  <c r="CD160" i="130"/>
  <c r="CH160" i="130"/>
  <c r="CF160" i="130"/>
  <c r="CE160" i="130"/>
  <c r="CB160" i="130"/>
  <c r="CC160" i="130"/>
  <c r="CG160" i="130"/>
  <c r="CF150" i="130"/>
  <c r="CD150" i="130"/>
  <c r="CG150" i="130"/>
  <c r="CH150" i="130"/>
  <c r="CE150" i="130"/>
  <c r="CA165" i="130"/>
  <c r="CE165" i="130"/>
  <c r="CB165" i="130"/>
  <c r="CF165" i="130"/>
  <c r="CG165" i="130"/>
  <c r="CH165" i="130"/>
  <c r="CD165" i="130"/>
  <c r="CC165" i="130"/>
  <c r="CG159" i="130"/>
  <c r="CE159" i="130"/>
  <c r="CD159" i="130"/>
  <c r="CH159" i="130"/>
  <c r="CF159" i="130"/>
  <c r="CB162" i="130"/>
  <c r="CF162" i="130"/>
  <c r="CG162" i="130"/>
  <c r="CD162" i="130"/>
  <c r="CE162" i="130"/>
  <c r="CH162" i="130"/>
  <c r="CB154" i="130"/>
  <c r="CF154" i="130"/>
  <c r="CH154" i="130"/>
  <c r="CG154" i="130"/>
  <c r="CD154" i="130"/>
  <c r="CE154" i="130"/>
  <c r="CE161" i="130"/>
  <c r="CG161" i="130"/>
  <c r="CB161" i="130"/>
  <c r="CF161" i="130"/>
  <c r="CH161" i="130"/>
  <c r="CD161" i="130"/>
  <c r="CA153" i="130"/>
  <c r="CE153" i="130"/>
  <c r="CG153" i="130"/>
  <c r="CB153" i="130"/>
  <c r="CF153" i="130"/>
  <c r="CC153" i="130"/>
  <c r="CD153" i="130"/>
  <c r="CH153" i="130"/>
  <c r="CE137" i="130"/>
  <c r="CC137" i="130"/>
  <c r="CF137" i="130"/>
  <c r="CG137" i="130"/>
  <c r="CD137" i="130"/>
  <c r="CH137" i="130"/>
  <c r="CG155" i="130"/>
  <c r="CD155" i="130"/>
  <c r="CH155" i="130"/>
  <c r="CE155" i="130"/>
  <c r="CB155" i="130"/>
  <c r="CF155" i="130"/>
  <c r="CA139" i="130"/>
  <c r="CC139" i="130"/>
  <c r="CG139" i="130"/>
  <c r="CD139" i="130"/>
  <c r="CH139" i="130"/>
  <c r="CE139" i="130"/>
  <c r="CB139" i="130"/>
  <c r="CF139" i="130"/>
  <c r="CB158" i="130"/>
  <c r="CF158" i="130"/>
  <c r="CD158" i="130"/>
  <c r="CG158" i="130"/>
  <c r="CH158" i="130"/>
  <c r="CE158" i="130"/>
  <c r="CA152" i="130"/>
  <c r="CD152" i="130"/>
  <c r="CH152" i="130"/>
  <c r="CF152" i="130"/>
  <c r="CE152" i="130"/>
  <c r="CB152" i="130"/>
  <c r="CG152" i="130"/>
  <c r="CC152" i="130"/>
  <c r="CH136" i="130"/>
  <c r="CF136" i="130"/>
  <c r="CG136" i="130"/>
  <c r="CC136" i="130"/>
  <c r="CF142" i="130"/>
  <c r="CD142" i="130"/>
  <c r="CG142" i="130"/>
  <c r="CH142" i="130"/>
  <c r="CB141" i="130"/>
  <c r="CF141" i="130"/>
  <c r="CG141" i="130"/>
  <c r="CH141" i="130"/>
  <c r="CA145" i="130"/>
  <c r="CE145" i="130"/>
  <c r="CG145" i="130"/>
  <c r="CB145" i="130"/>
  <c r="CF145" i="130"/>
  <c r="CC145" i="130"/>
  <c r="CH145" i="130"/>
  <c r="CD145" i="130"/>
  <c r="CA167" i="130"/>
  <c r="CC167" i="130"/>
  <c r="CG167" i="130"/>
  <c r="CD167" i="130"/>
  <c r="CH167" i="130"/>
  <c r="CF167" i="130"/>
  <c r="CB167" i="130"/>
  <c r="CE167" i="130"/>
  <c r="CG151" i="130"/>
  <c r="CE151" i="130"/>
  <c r="CD151" i="130"/>
  <c r="CH151" i="130"/>
  <c r="CF151" i="130"/>
  <c r="CA135" i="130"/>
  <c r="CC135" i="130"/>
  <c r="CG135" i="130"/>
  <c r="CE135" i="130"/>
  <c r="CD135" i="130"/>
  <c r="CH135" i="130"/>
  <c r="CB135" i="130"/>
  <c r="CF135" i="130"/>
  <c r="CD156" i="130"/>
  <c r="CH156" i="130"/>
  <c r="CB156" i="130"/>
  <c r="CE156" i="130"/>
  <c r="CF156" i="130"/>
  <c r="CG156" i="130"/>
  <c r="CH140" i="130"/>
  <c r="CF140" i="130"/>
  <c r="CG140" i="130"/>
  <c r="CB146" i="130"/>
  <c r="CF146" i="130"/>
  <c r="CH146" i="130"/>
  <c r="CG146" i="130"/>
  <c r="CD146" i="130"/>
  <c r="CE146" i="130"/>
  <c r="CA157" i="130"/>
  <c r="CE157" i="130"/>
  <c r="CC157" i="130"/>
  <c r="CB157" i="130"/>
  <c r="CF157" i="130"/>
  <c r="CG157" i="130"/>
  <c r="CD157" i="130"/>
  <c r="CH157" i="130"/>
  <c r="CG147" i="130"/>
  <c r="CH147" i="130"/>
  <c r="CE147" i="130"/>
  <c r="CB147" i="130"/>
  <c r="CF147" i="130"/>
  <c r="CD144" i="130"/>
  <c r="CH144" i="130"/>
  <c r="CF144" i="130"/>
  <c r="CE144" i="130"/>
  <c r="CB144" i="130"/>
  <c r="CG144" i="130"/>
  <c r="CF134" i="130"/>
  <c r="CH134" i="130"/>
  <c r="CC134" i="130"/>
  <c r="CG134" i="130"/>
  <c r="CE149" i="130"/>
  <c r="CF149" i="130"/>
  <c r="CG149" i="130"/>
  <c r="CH149" i="130"/>
  <c r="CD149" i="130"/>
  <c r="CG143" i="130"/>
  <c r="CE143" i="130"/>
  <c r="CD143" i="130"/>
  <c r="CH143" i="130"/>
  <c r="CF143" i="130"/>
  <c r="CB143" i="130"/>
  <c r="CD148" i="130"/>
  <c r="CH148" i="130"/>
  <c r="CE148" i="130"/>
  <c r="CF148" i="130"/>
  <c r="CG148" i="130"/>
  <c r="CB138" i="130"/>
  <c r="CF138" i="130"/>
  <c r="CD138" i="130"/>
  <c r="CH138" i="130"/>
  <c r="CC138" i="130"/>
  <c r="CG138" i="130"/>
  <c r="CU106" i="130"/>
  <c r="CJ106" i="130" s="1"/>
  <c r="CU104" i="130"/>
  <c r="CU78" i="130"/>
  <c r="CU91" i="130"/>
  <c r="CU92" i="130"/>
  <c r="CU99" i="130"/>
  <c r="CU96" i="130"/>
  <c r="CU102" i="130"/>
  <c r="CU105" i="130"/>
  <c r="CU84" i="130"/>
  <c r="EB19" i="123"/>
  <c r="EI24" i="123"/>
  <c r="EN124" i="123"/>
  <c r="EP124" i="123"/>
  <c r="KC32" i="1"/>
  <c r="LA32" i="1"/>
  <c r="IP32" i="1"/>
  <c r="JC32" i="1"/>
  <c r="HP32" i="1"/>
  <c r="JA32" i="1"/>
  <c r="IH32" i="1"/>
  <c r="KZ32" i="1"/>
  <c r="KS32" i="1"/>
  <c r="GV24" i="123"/>
  <c r="IP24" i="123"/>
  <c r="II24" i="123"/>
  <c r="IU24" i="123"/>
  <c r="LL32" i="1"/>
  <c r="FF24" i="123"/>
  <c r="LD32" i="1"/>
  <c r="JC24" i="123"/>
  <c r="EZ24" i="123"/>
  <c r="JB24" i="123"/>
  <c r="KP32" i="1"/>
  <c r="JP32" i="1"/>
  <c r="HD32" i="1"/>
  <c r="LI32" i="1"/>
  <c r="GY32" i="1"/>
  <c r="KN32" i="1"/>
  <c r="LM32" i="1"/>
  <c r="JR32" i="1"/>
  <c r="KK32" i="1"/>
  <c r="IE32" i="1"/>
  <c r="KY32" i="1"/>
  <c r="IU32" i="1"/>
  <c r="LE32" i="1"/>
  <c r="HE32" i="1"/>
  <c r="HR32" i="1"/>
  <c r="JB32" i="1"/>
  <c r="KW32" i="1"/>
  <c r="IA32" i="1"/>
  <c r="IC32" i="1"/>
  <c r="LF32" i="1"/>
  <c r="GX32" i="1"/>
  <c r="HQ32" i="1"/>
  <c r="JE32" i="1"/>
  <c r="HW32" i="1"/>
  <c r="KR32" i="1"/>
  <c r="LJ32" i="1"/>
  <c r="HL32" i="1"/>
  <c r="KV32" i="1"/>
  <c r="GU32" i="1"/>
  <c r="HM32" i="1"/>
  <c r="JK32" i="1"/>
  <c r="HK32" i="1"/>
  <c r="KI32" i="1"/>
  <c r="HV32" i="1"/>
  <c r="HY32" i="1"/>
  <c r="IL32" i="1"/>
  <c r="KE32" i="1"/>
  <c r="JM32" i="1"/>
  <c r="KA32" i="1"/>
  <c r="KJ32" i="1"/>
  <c r="KU32" i="1"/>
  <c r="IY32" i="1"/>
  <c r="HT32" i="1"/>
  <c r="HX32" i="1"/>
  <c r="HB32" i="1"/>
  <c r="HN32" i="1"/>
  <c r="JO32" i="1"/>
  <c r="LK32" i="1"/>
  <c r="HH32" i="1"/>
  <c r="LG32" i="1"/>
  <c r="JD32" i="1"/>
  <c r="HZ32" i="1"/>
  <c r="JG32" i="1"/>
  <c r="JS32" i="1"/>
  <c r="LO32" i="1"/>
  <c r="GU168" i="1"/>
  <c r="GZ32" i="1"/>
  <c r="LB32" i="1"/>
  <c r="HI32" i="1"/>
  <c r="KX32" i="1"/>
  <c r="IG32" i="1"/>
  <c r="IB24" i="123"/>
  <c r="KL32" i="1"/>
  <c r="HO32" i="1"/>
  <c r="HC32" i="1"/>
  <c r="LN32" i="1"/>
  <c r="KG32" i="1"/>
  <c r="KM32" i="1"/>
  <c r="KH32" i="1"/>
  <c r="GT32" i="1"/>
  <c r="IN32" i="1"/>
  <c r="JT32" i="1"/>
  <c r="IK32" i="1"/>
  <c r="IM32" i="1"/>
  <c r="HA32" i="1"/>
  <c r="JU32" i="1"/>
  <c r="HF32" i="1"/>
  <c r="JQ32" i="1"/>
  <c r="HS32" i="1"/>
  <c r="JJ32" i="1"/>
  <c r="IB32" i="1"/>
  <c r="JY32" i="1"/>
  <c r="KF32" i="1"/>
  <c r="HJ32" i="1"/>
  <c r="LH32" i="1"/>
  <c r="JF32" i="1"/>
  <c r="HG32" i="1"/>
  <c r="IV32" i="1"/>
  <c r="ID32" i="1"/>
  <c r="JX32" i="1"/>
  <c r="LC32" i="1"/>
  <c r="KT32" i="1"/>
  <c r="IO32" i="1"/>
  <c r="KO32" i="1"/>
  <c r="IR32" i="1"/>
  <c r="IJ32" i="1"/>
  <c r="JZ32" i="1"/>
  <c r="JI32" i="1"/>
  <c r="GV32" i="1"/>
  <c r="IW32" i="1"/>
  <c r="IZ32" i="1"/>
  <c r="KD32" i="1"/>
  <c r="IS32" i="1"/>
  <c r="GV168" i="1"/>
  <c r="GV18" i="1" s="1"/>
  <c r="CU103" i="130"/>
  <c r="EL24" i="123"/>
  <c r="EQ24" i="123"/>
  <c r="HU24" i="123"/>
  <c r="HF24" i="123"/>
  <c r="GQ24" i="123"/>
  <c r="IM24" i="123"/>
  <c r="FS24" i="123"/>
  <c r="IK24" i="123"/>
  <c r="ET24" i="123"/>
  <c r="IC24" i="123"/>
  <c r="FI24" i="123"/>
  <c r="EH24" i="123"/>
  <c r="GG24" i="123"/>
  <c r="HY24" i="123"/>
  <c r="IJ24" i="123"/>
  <c r="EX24" i="123"/>
  <c r="CU161" i="130"/>
  <c r="CU137" i="130"/>
  <c r="CU155" i="130"/>
  <c r="CU158" i="130"/>
  <c r="CU136" i="130"/>
  <c r="CU142" i="130"/>
  <c r="CU141" i="130"/>
  <c r="CU151" i="130"/>
  <c r="CU156" i="130"/>
  <c r="CU140" i="130"/>
  <c r="CU146" i="130"/>
  <c r="CU88" i="130"/>
  <c r="CU98" i="130"/>
  <c r="CU82" i="130"/>
  <c r="CU73" i="130"/>
  <c r="CU89" i="130"/>
  <c r="CU93" i="130"/>
  <c r="CU86" i="130"/>
  <c r="CU81" i="130"/>
  <c r="CU95" i="130"/>
  <c r="CU147" i="130"/>
  <c r="CU144" i="130"/>
  <c r="CU150" i="130"/>
  <c r="CU134" i="130"/>
  <c r="CU149" i="130"/>
  <c r="CU159" i="130"/>
  <c r="CU143" i="130"/>
  <c r="CU162" i="130"/>
  <c r="CU148" i="130"/>
  <c r="CU154" i="130"/>
  <c r="CU138" i="130"/>
  <c r="CU75" i="130"/>
  <c r="CU90" i="130"/>
  <c r="CU74" i="130"/>
  <c r="CU101" i="130"/>
  <c r="CU100" i="130"/>
  <c r="CU87" i="130"/>
  <c r="CU85" i="130"/>
  <c r="CU83" i="130"/>
  <c r="CU76" i="130"/>
  <c r="CU94" i="130"/>
  <c r="CU97" i="130"/>
  <c r="CU80" i="130"/>
  <c r="CU79" i="130"/>
  <c r="CU77" i="130"/>
  <c r="CU153" i="130"/>
  <c r="CU139" i="130"/>
  <c r="CU135" i="130"/>
  <c r="CU164" i="130"/>
  <c r="CU157" i="130"/>
  <c r="CU163" i="130"/>
  <c r="CU166" i="130"/>
  <c r="CU160" i="130"/>
  <c r="CU165" i="130"/>
  <c r="CU152" i="130"/>
  <c r="CU145" i="130"/>
  <c r="CU167" i="130"/>
  <c r="FD24" i="123"/>
  <c r="IG24" i="123"/>
  <c r="ID24" i="123"/>
  <c r="IF24" i="123"/>
  <c r="ER24" i="123"/>
  <c r="IX24" i="123"/>
  <c r="IN24" i="123"/>
  <c r="HO24" i="123"/>
  <c r="FG24" i="123"/>
  <c r="FZ24" i="123"/>
  <c r="FP24" i="123"/>
  <c r="GM24" i="123"/>
  <c r="FV24" i="123"/>
  <c r="HZ24" i="123"/>
  <c r="HC24" i="123"/>
  <c r="IA24" i="123"/>
  <c r="IS24" i="123"/>
  <c r="EO24" i="123"/>
  <c r="EJ24" i="123"/>
  <c r="IL24" i="123"/>
  <c r="FH24" i="123"/>
  <c r="HS24" i="123"/>
  <c r="HG24" i="123"/>
  <c r="GT24" i="123"/>
  <c r="FC24" i="123"/>
  <c r="FY24" i="123"/>
  <c r="EY24" i="123"/>
  <c r="GH24" i="123"/>
  <c r="FM24" i="123"/>
  <c r="HL24" i="123"/>
  <c r="GO24" i="123"/>
  <c r="EW24" i="123"/>
  <c r="GL24" i="123"/>
  <c r="GX24" i="123"/>
  <c r="FR24" i="123"/>
  <c r="EM24" i="123"/>
  <c r="IW24" i="123"/>
  <c r="GI24" i="123"/>
  <c r="IQ24" i="123"/>
  <c r="ES24" i="123"/>
  <c r="HX24" i="123"/>
  <c r="HV24" i="123"/>
  <c r="EV24" i="123"/>
  <c r="FQ24" i="123"/>
  <c r="EP24" i="123"/>
  <c r="GW24" i="123"/>
  <c r="HP24" i="123"/>
  <c r="HD24" i="123"/>
  <c r="FN24" i="123"/>
  <c r="HK24" i="123"/>
  <c r="EG24" i="123"/>
  <c r="GA24" i="123"/>
  <c r="HT24" i="123"/>
  <c r="HH24" i="123"/>
  <c r="HE24" i="123"/>
  <c r="GC24" i="123"/>
  <c r="EK24" i="123"/>
  <c r="IR24" i="123"/>
  <c r="FT24" i="123"/>
  <c r="HN24" i="123"/>
  <c r="GP24" i="123"/>
  <c r="FE24" i="123"/>
  <c r="HW24" i="123"/>
  <c r="GZ24" i="123"/>
  <c r="HM24" i="123"/>
  <c r="HB24" i="123"/>
  <c r="EU24" i="123"/>
  <c r="FX24" i="123"/>
  <c r="FW24" i="123"/>
  <c r="GF24" i="123"/>
  <c r="FK24" i="123"/>
  <c r="HR24" i="123"/>
  <c r="IZ24" i="123"/>
  <c r="GY24" i="123"/>
  <c r="GN24" i="123"/>
  <c r="IY24" i="123"/>
  <c r="IH24" i="123"/>
  <c r="GB24" i="123"/>
  <c r="HQ24" i="123"/>
  <c r="GS24" i="123"/>
  <c r="GK24" i="123"/>
  <c r="HJ24" i="123"/>
  <c r="GD24" i="123"/>
  <c r="FB24" i="123"/>
  <c r="HI24" i="123"/>
  <c r="IV24" i="123"/>
  <c r="HA24" i="123"/>
  <c r="FJ24" i="123"/>
  <c r="IO24" i="123"/>
  <c r="IE24" i="123"/>
  <c r="GE24" i="123"/>
  <c r="GU24" i="123"/>
  <c r="JA24" i="123"/>
  <c r="GR24" i="123"/>
  <c r="FA24" i="123"/>
  <c r="FU24" i="123"/>
  <c r="FL24" i="123"/>
  <c r="FO24" i="123"/>
  <c r="EN24" i="123"/>
  <c r="GJ24" i="123"/>
  <c r="FO137" i="1"/>
  <c r="FO125" i="1"/>
  <c r="FO113" i="1"/>
  <c r="FO133" i="1"/>
  <c r="FO121" i="1"/>
  <c r="FO117" i="1"/>
  <c r="FO105" i="1"/>
  <c r="FU105" i="1" s="1"/>
  <c r="GT105" i="1" s="1"/>
  <c r="FO139" i="1"/>
  <c r="FO135" i="1"/>
  <c r="FO131" i="1"/>
  <c r="FO127" i="1"/>
  <c r="FO123" i="1"/>
  <c r="FO119" i="1"/>
  <c r="FO115" i="1"/>
  <c r="FO111" i="1"/>
  <c r="FO107" i="1"/>
  <c r="FO103" i="1"/>
  <c r="FO99" i="1"/>
  <c r="FO95" i="1"/>
  <c r="FO91" i="1"/>
  <c r="FO129" i="1"/>
  <c r="FO109" i="1"/>
  <c r="FO101" i="1"/>
  <c r="FO93" i="1"/>
  <c r="FO136" i="1"/>
  <c r="FO132" i="1"/>
  <c r="FO128" i="1"/>
  <c r="FO124" i="1"/>
  <c r="FO120" i="1"/>
  <c r="FO116" i="1"/>
  <c r="FO112" i="1"/>
  <c r="FO108" i="1"/>
  <c r="FO104" i="1"/>
  <c r="FO100" i="1"/>
  <c r="FO96" i="1"/>
  <c r="FO92" i="1"/>
  <c r="FO138" i="1"/>
  <c r="FO134" i="1"/>
  <c r="FO130" i="1"/>
  <c r="FO126" i="1"/>
  <c r="FO122" i="1"/>
  <c r="FO118" i="1"/>
  <c r="FO114" i="1"/>
  <c r="FO110" i="1"/>
  <c r="FO106" i="1"/>
  <c r="FO102" i="1"/>
  <c r="FO98" i="1"/>
  <c r="FO94" i="1"/>
  <c r="FO97" i="1"/>
  <c r="GU18" i="1" l="1"/>
  <c r="GU105" i="1"/>
  <c r="GV105" i="1"/>
  <c r="GZ105" i="1"/>
  <c r="HD105" i="1"/>
  <c r="HH105" i="1"/>
  <c r="HL105" i="1"/>
  <c r="HP105" i="1"/>
  <c r="HT105" i="1"/>
  <c r="HX105" i="1"/>
  <c r="IB105" i="1"/>
  <c r="IF105" i="1"/>
  <c r="IJ105" i="1"/>
  <c r="GY105" i="1"/>
  <c r="HC105" i="1"/>
  <c r="HG105" i="1"/>
  <c r="HK105" i="1"/>
  <c r="HO105" i="1"/>
  <c r="HS105" i="1"/>
  <c r="HW105" i="1"/>
  <c r="HB105" i="1"/>
  <c r="HJ105" i="1"/>
  <c r="HR105" i="1"/>
  <c r="HZ105" i="1"/>
  <c r="IE105" i="1"/>
  <c r="HA105" i="1"/>
  <c r="HI105" i="1"/>
  <c r="HQ105" i="1"/>
  <c r="HY105" i="1"/>
  <c r="ID105" i="1"/>
  <c r="II105" i="1"/>
  <c r="HE105" i="1"/>
  <c r="HU105" i="1"/>
  <c r="IG105" i="1"/>
  <c r="GX105" i="1"/>
  <c r="HN105" i="1"/>
  <c r="IC105" i="1"/>
  <c r="HV105" i="1"/>
  <c r="GW105" i="1"/>
  <c r="IA105" i="1"/>
  <c r="HM105" i="1"/>
  <c r="HF105" i="1"/>
  <c r="IH105" i="1"/>
  <c r="GI28" i="123"/>
  <c r="GI123" i="123" s="1"/>
  <c r="GW36" i="1"/>
  <c r="GW167" i="1" s="1"/>
  <c r="GW17" i="1" s="1"/>
  <c r="HA36" i="1"/>
  <c r="HA167" i="1" s="1"/>
  <c r="HA17" i="1" s="1"/>
  <c r="HE36" i="1"/>
  <c r="HE167" i="1" s="1"/>
  <c r="HE17" i="1" s="1"/>
  <c r="HI36" i="1"/>
  <c r="HI167" i="1" s="1"/>
  <c r="HI17" i="1" s="1"/>
  <c r="HM36" i="1"/>
  <c r="HM167" i="1" s="1"/>
  <c r="HM17" i="1" s="1"/>
  <c r="HQ36" i="1"/>
  <c r="HQ167" i="1" s="1"/>
  <c r="HQ17" i="1" s="1"/>
  <c r="HU36" i="1"/>
  <c r="HU167" i="1" s="1"/>
  <c r="HU17" i="1" s="1"/>
  <c r="HY36" i="1"/>
  <c r="HY167" i="1" s="1"/>
  <c r="HY17" i="1" s="1"/>
  <c r="IC36" i="1"/>
  <c r="IC167" i="1" s="1"/>
  <c r="IC17" i="1" s="1"/>
  <c r="IG36" i="1"/>
  <c r="IG167" i="1" s="1"/>
  <c r="IG17" i="1" s="1"/>
  <c r="IK36" i="1"/>
  <c r="IK167" i="1" s="1"/>
  <c r="IK17" i="1" s="1"/>
  <c r="IO36" i="1"/>
  <c r="IO167" i="1" s="1"/>
  <c r="IO17" i="1" s="1"/>
  <c r="IS36" i="1"/>
  <c r="IS167" i="1" s="1"/>
  <c r="IS17" i="1" s="1"/>
  <c r="IW36" i="1"/>
  <c r="IW167" i="1" s="1"/>
  <c r="IW17" i="1" s="1"/>
  <c r="JA36" i="1"/>
  <c r="JA167" i="1" s="1"/>
  <c r="JA17" i="1" s="1"/>
  <c r="JE36" i="1"/>
  <c r="JE167" i="1" s="1"/>
  <c r="JE17" i="1" s="1"/>
  <c r="JI36" i="1"/>
  <c r="JI167" i="1" s="1"/>
  <c r="JI17" i="1" s="1"/>
  <c r="JM36" i="1"/>
  <c r="JM167" i="1" s="1"/>
  <c r="JM17" i="1" s="1"/>
  <c r="JQ36" i="1"/>
  <c r="JQ167" i="1" s="1"/>
  <c r="JQ17" i="1" s="1"/>
  <c r="JU36" i="1"/>
  <c r="JU167" i="1" s="1"/>
  <c r="JU17" i="1" s="1"/>
  <c r="JY36" i="1"/>
  <c r="JY167" i="1" s="1"/>
  <c r="JY17" i="1" s="1"/>
  <c r="KC36" i="1"/>
  <c r="KC167" i="1" s="1"/>
  <c r="KC17" i="1" s="1"/>
  <c r="KG36" i="1"/>
  <c r="KG167" i="1" s="1"/>
  <c r="KG17" i="1" s="1"/>
  <c r="KK36" i="1"/>
  <c r="KK167" i="1" s="1"/>
  <c r="KK17" i="1" s="1"/>
  <c r="KO36" i="1"/>
  <c r="KO167" i="1" s="1"/>
  <c r="KO17" i="1" s="1"/>
  <c r="KS36" i="1"/>
  <c r="KS167" i="1" s="1"/>
  <c r="KS17" i="1" s="1"/>
  <c r="KW36" i="1"/>
  <c r="KW167" i="1" s="1"/>
  <c r="KW17" i="1" s="1"/>
  <c r="LA36" i="1"/>
  <c r="LA167" i="1" s="1"/>
  <c r="LA17" i="1" s="1"/>
  <c r="LE36" i="1"/>
  <c r="LE167" i="1" s="1"/>
  <c r="LE17" i="1" s="1"/>
  <c r="LI36" i="1"/>
  <c r="LI167" i="1" s="1"/>
  <c r="LI17" i="1" s="1"/>
  <c r="LM36" i="1"/>
  <c r="LM167" i="1" s="1"/>
  <c r="LM17" i="1" s="1"/>
  <c r="GU36" i="1"/>
  <c r="GU167" i="1" s="1"/>
  <c r="GX36" i="1"/>
  <c r="GX167" i="1" s="1"/>
  <c r="GX17" i="1" s="1"/>
  <c r="HB36" i="1"/>
  <c r="HB167" i="1" s="1"/>
  <c r="HB17" i="1" s="1"/>
  <c r="HF36" i="1"/>
  <c r="HF167" i="1" s="1"/>
  <c r="HF17" i="1" s="1"/>
  <c r="HJ36" i="1"/>
  <c r="HJ167" i="1" s="1"/>
  <c r="HJ17" i="1" s="1"/>
  <c r="HN36" i="1"/>
  <c r="HN167" i="1" s="1"/>
  <c r="HN17" i="1" s="1"/>
  <c r="HR36" i="1"/>
  <c r="HR167" i="1" s="1"/>
  <c r="HR17" i="1" s="1"/>
  <c r="HV36" i="1"/>
  <c r="HV167" i="1" s="1"/>
  <c r="HV17" i="1" s="1"/>
  <c r="HZ36" i="1"/>
  <c r="HZ167" i="1" s="1"/>
  <c r="HZ17" i="1" s="1"/>
  <c r="ID36" i="1"/>
  <c r="ID167" i="1" s="1"/>
  <c r="ID17" i="1" s="1"/>
  <c r="IH36" i="1"/>
  <c r="IH167" i="1" s="1"/>
  <c r="IH17" i="1" s="1"/>
  <c r="IL36" i="1"/>
  <c r="IL167" i="1" s="1"/>
  <c r="IL17" i="1" s="1"/>
  <c r="IP36" i="1"/>
  <c r="IP167" i="1" s="1"/>
  <c r="IP17" i="1" s="1"/>
  <c r="IT36" i="1"/>
  <c r="IT167" i="1" s="1"/>
  <c r="IT17" i="1" s="1"/>
  <c r="IX36" i="1"/>
  <c r="IX167" i="1" s="1"/>
  <c r="IX17" i="1" s="1"/>
  <c r="JB36" i="1"/>
  <c r="JB167" i="1" s="1"/>
  <c r="JB17" i="1" s="1"/>
  <c r="JF36" i="1"/>
  <c r="JF167" i="1" s="1"/>
  <c r="JF17" i="1" s="1"/>
  <c r="JJ36" i="1"/>
  <c r="JJ167" i="1" s="1"/>
  <c r="JJ17" i="1" s="1"/>
  <c r="JN36" i="1"/>
  <c r="JN167" i="1" s="1"/>
  <c r="JN17" i="1" s="1"/>
  <c r="JR36" i="1"/>
  <c r="JR167" i="1" s="1"/>
  <c r="JR17" i="1" s="1"/>
  <c r="JV36" i="1"/>
  <c r="JV167" i="1" s="1"/>
  <c r="JV17" i="1" s="1"/>
  <c r="JZ36" i="1"/>
  <c r="JZ167" i="1" s="1"/>
  <c r="JZ17" i="1" s="1"/>
  <c r="GY36" i="1"/>
  <c r="GY167" i="1" s="1"/>
  <c r="GY17" i="1" s="1"/>
  <c r="HG36" i="1"/>
  <c r="HG167" i="1" s="1"/>
  <c r="HG17" i="1" s="1"/>
  <c r="HO36" i="1"/>
  <c r="HO167" i="1" s="1"/>
  <c r="HO17" i="1" s="1"/>
  <c r="HW36" i="1"/>
  <c r="HW167" i="1" s="1"/>
  <c r="HW17" i="1" s="1"/>
  <c r="IE36" i="1"/>
  <c r="IE167" i="1" s="1"/>
  <c r="IE17" i="1" s="1"/>
  <c r="IM36" i="1"/>
  <c r="IM167" i="1" s="1"/>
  <c r="IM17" i="1" s="1"/>
  <c r="IU36" i="1"/>
  <c r="IU167" i="1" s="1"/>
  <c r="IU17" i="1" s="1"/>
  <c r="JC36" i="1"/>
  <c r="JC167" i="1" s="1"/>
  <c r="JC17" i="1" s="1"/>
  <c r="JK36" i="1"/>
  <c r="JK167" i="1" s="1"/>
  <c r="JK17" i="1" s="1"/>
  <c r="JS36" i="1"/>
  <c r="JS167" i="1" s="1"/>
  <c r="JS17" i="1" s="1"/>
  <c r="KA36" i="1"/>
  <c r="KA167" i="1" s="1"/>
  <c r="KA17" i="1" s="1"/>
  <c r="KF36" i="1"/>
  <c r="KF167" i="1" s="1"/>
  <c r="KF17" i="1" s="1"/>
  <c r="KL36" i="1"/>
  <c r="KL167" i="1" s="1"/>
  <c r="KL17" i="1" s="1"/>
  <c r="KQ36" i="1"/>
  <c r="KQ167" i="1" s="1"/>
  <c r="KQ17" i="1" s="1"/>
  <c r="KV36" i="1"/>
  <c r="KV167" i="1" s="1"/>
  <c r="KV17" i="1" s="1"/>
  <c r="LB36" i="1"/>
  <c r="LB167" i="1" s="1"/>
  <c r="LB17" i="1" s="1"/>
  <c r="LG36" i="1"/>
  <c r="LG167" i="1" s="1"/>
  <c r="LG17" i="1" s="1"/>
  <c r="LL36" i="1"/>
  <c r="LL167" i="1" s="1"/>
  <c r="LL17" i="1" s="1"/>
  <c r="GZ36" i="1"/>
  <c r="GZ167" i="1" s="1"/>
  <c r="GZ17" i="1" s="1"/>
  <c r="HH36" i="1"/>
  <c r="HH167" i="1" s="1"/>
  <c r="HH17" i="1" s="1"/>
  <c r="HP36" i="1"/>
  <c r="HP167" i="1" s="1"/>
  <c r="HP17" i="1" s="1"/>
  <c r="HX36" i="1"/>
  <c r="HX167" i="1" s="1"/>
  <c r="HX17" i="1" s="1"/>
  <c r="IF36" i="1"/>
  <c r="IF167" i="1" s="1"/>
  <c r="IF17" i="1" s="1"/>
  <c r="IN36" i="1"/>
  <c r="IN167" i="1" s="1"/>
  <c r="IN17" i="1" s="1"/>
  <c r="IV36" i="1"/>
  <c r="IV167" i="1" s="1"/>
  <c r="IV17" i="1" s="1"/>
  <c r="JD36" i="1"/>
  <c r="JD167" i="1" s="1"/>
  <c r="JD17" i="1" s="1"/>
  <c r="JL36" i="1"/>
  <c r="JL167" i="1" s="1"/>
  <c r="JL17" i="1" s="1"/>
  <c r="JT36" i="1"/>
  <c r="JT167" i="1" s="1"/>
  <c r="JT17" i="1" s="1"/>
  <c r="KB36" i="1"/>
  <c r="KB167" i="1" s="1"/>
  <c r="KB17" i="1" s="1"/>
  <c r="KH36" i="1"/>
  <c r="KH167" i="1" s="1"/>
  <c r="KH17" i="1" s="1"/>
  <c r="KM36" i="1"/>
  <c r="KM167" i="1" s="1"/>
  <c r="KM17" i="1" s="1"/>
  <c r="KR36" i="1"/>
  <c r="KR167" i="1" s="1"/>
  <c r="KR17" i="1" s="1"/>
  <c r="KX36" i="1"/>
  <c r="KX167" i="1" s="1"/>
  <c r="KX17" i="1" s="1"/>
  <c r="LC36" i="1"/>
  <c r="LC167" i="1" s="1"/>
  <c r="LC17" i="1" s="1"/>
  <c r="LH36" i="1"/>
  <c r="LH167" i="1" s="1"/>
  <c r="LH17" i="1" s="1"/>
  <c r="LN36" i="1"/>
  <c r="LN167" i="1" s="1"/>
  <c r="LN17" i="1" s="1"/>
  <c r="HC36" i="1"/>
  <c r="HC167" i="1" s="1"/>
  <c r="HC17" i="1" s="1"/>
  <c r="HK36" i="1"/>
  <c r="HK167" i="1" s="1"/>
  <c r="HK17" i="1" s="1"/>
  <c r="HS36" i="1"/>
  <c r="HS167" i="1" s="1"/>
  <c r="HS17" i="1" s="1"/>
  <c r="IA36" i="1"/>
  <c r="IA167" i="1" s="1"/>
  <c r="IA17" i="1" s="1"/>
  <c r="II36" i="1"/>
  <c r="II167" i="1" s="1"/>
  <c r="II17" i="1" s="1"/>
  <c r="IQ36" i="1"/>
  <c r="IQ167" i="1" s="1"/>
  <c r="IQ17" i="1" s="1"/>
  <c r="IY36" i="1"/>
  <c r="IY167" i="1" s="1"/>
  <c r="IY17" i="1" s="1"/>
  <c r="JG36" i="1"/>
  <c r="JG167" i="1" s="1"/>
  <c r="JG17" i="1" s="1"/>
  <c r="JO36" i="1"/>
  <c r="JO167" i="1" s="1"/>
  <c r="JO17" i="1" s="1"/>
  <c r="JW36" i="1"/>
  <c r="JW167" i="1" s="1"/>
  <c r="JW17" i="1" s="1"/>
  <c r="KD36" i="1"/>
  <c r="KD167" i="1" s="1"/>
  <c r="KD17" i="1" s="1"/>
  <c r="KI36" i="1"/>
  <c r="KI167" i="1" s="1"/>
  <c r="KI17" i="1" s="1"/>
  <c r="KN36" i="1"/>
  <c r="KN167" i="1" s="1"/>
  <c r="KN17" i="1" s="1"/>
  <c r="KT36" i="1"/>
  <c r="KT167" i="1" s="1"/>
  <c r="KT17" i="1" s="1"/>
  <c r="KY36" i="1"/>
  <c r="KY167" i="1" s="1"/>
  <c r="KY17" i="1" s="1"/>
  <c r="LD36" i="1"/>
  <c r="LD167" i="1" s="1"/>
  <c r="LD17" i="1" s="1"/>
  <c r="LJ36" i="1"/>
  <c r="LJ167" i="1" s="1"/>
  <c r="LJ17" i="1" s="1"/>
  <c r="LO36" i="1"/>
  <c r="LO167" i="1" s="1"/>
  <c r="LO17" i="1" s="1"/>
  <c r="GV36" i="1"/>
  <c r="GV167" i="1" s="1"/>
  <c r="GV17" i="1" s="1"/>
  <c r="HD36" i="1"/>
  <c r="HL36" i="1"/>
  <c r="HL167" i="1" s="1"/>
  <c r="HL17" i="1" s="1"/>
  <c r="HT36" i="1"/>
  <c r="HT167" i="1" s="1"/>
  <c r="HT17" i="1" s="1"/>
  <c r="IB36" i="1"/>
  <c r="IB167" i="1" s="1"/>
  <c r="IB17" i="1" s="1"/>
  <c r="IJ36" i="1"/>
  <c r="IJ167" i="1" s="1"/>
  <c r="IJ17" i="1" s="1"/>
  <c r="IR36" i="1"/>
  <c r="IR167" i="1" s="1"/>
  <c r="IR17" i="1" s="1"/>
  <c r="IZ36" i="1"/>
  <c r="IZ167" i="1" s="1"/>
  <c r="IZ17" i="1" s="1"/>
  <c r="JH36" i="1"/>
  <c r="JH167" i="1" s="1"/>
  <c r="JH17" i="1" s="1"/>
  <c r="JP36" i="1"/>
  <c r="JP167" i="1" s="1"/>
  <c r="JP17" i="1" s="1"/>
  <c r="JX36" i="1"/>
  <c r="JX167" i="1" s="1"/>
  <c r="JX17" i="1" s="1"/>
  <c r="KE36" i="1"/>
  <c r="KE167" i="1" s="1"/>
  <c r="KE17" i="1" s="1"/>
  <c r="KJ36" i="1"/>
  <c r="KJ167" i="1" s="1"/>
  <c r="KJ17" i="1" s="1"/>
  <c r="KP36" i="1"/>
  <c r="KP167" i="1" s="1"/>
  <c r="KP17" i="1" s="1"/>
  <c r="KU36" i="1"/>
  <c r="KU167" i="1" s="1"/>
  <c r="KU17" i="1" s="1"/>
  <c r="KZ36" i="1"/>
  <c r="KZ167" i="1" s="1"/>
  <c r="KZ17" i="1" s="1"/>
  <c r="LF36" i="1"/>
  <c r="LF167" i="1" s="1"/>
  <c r="LF17" i="1" s="1"/>
  <c r="LK36" i="1"/>
  <c r="LK167" i="1" s="1"/>
  <c r="LK17" i="1" s="1"/>
  <c r="LP36" i="1"/>
  <c r="LP167" i="1" s="1"/>
  <c r="LP17" i="1" s="1"/>
  <c r="IV28" i="123"/>
  <c r="IV123" i="123" s="1"/>
  <c r="GC28" i="123"/>
  <c r="GC123" i="123" s="1"/>
  <c r="IC28" i="123"/>
  <c r="IC123" i="123" s="1"/>
  <c r="HD28" i="123"/>
  <c r="HD123" i="123" s="1"/>
  <c r="IP28" i="123"/>
  <c r="IP123" i="123" s="1"/>
  <c r="GD28" i="123"/>
  <c r="GD123" i="123" s="1"/>
  <c r="IN28" i="123"/>
  <c r="IN123" i="123" s="1"/>
  <c r="IE28" i="123"/>
  <c r="IE123" i="123" s="1"/>
  <c r="FS28" i="123"/>
  <c r="FS123" i="123" s="1"/>
  <c r="FI28" i="123"/>
  <c r="FI123" i="123" s="1"/>
  <c r="FQ28" i="123"/>
  <c r="FQ123" i="123" s="1"/>
  <c r="GF28" i="123"/>
  <c r="GF123" i="123" s="1"/>
  <c r="HZ28" i="123"/>
  <c r="HZ123" i="123" s="1"/>
  <c r="FN28" i="123"/>
  <c r="FN123" i="123" s="1"/>
  <c r="GV28" i="123"/>
  <c r="GV123" i="123" s="1"/>
  <c r="HO28" i="123"/>
  <c r="HO123" i="123" s="1"/>
  <c r="FC28" i="123"/>
  <c r="FC123" i="123" s="1"/>
  <c r="GK28" i="123"/>
  <c r="GK123" i="123" s="1"/>
  <c r="HU28" i="123"/>
  <c r="HU123" i="123" s="1"/>
  <c r="FH28" i="123"/>
  <c r="FH123" i="123" s="1"/>
  <c r="HJ28" i="123"/>
  <c r="HJ123" i="123" s="1"/>
  <c r="EX28" i="123"/>
  <c r="EX123" i="123" s="1"/>
  <c r="FD28" i="123"/>
  <c r="FD123" i="123" s="1"/>
  <c r="GY28" i="123"/>
  <c r="GY123" i="123" s="1"/>
  <c r="IO28" i="123"/>
  <c r="IO123" i="123" s="1"/>
  <c r="HA28" i="123"/>
  <c r="HA123" i="123" s="1"/>
  <c r="IF28" i="123"/>
  <c r="IF123" i="123" s="1"/>
  <c r="GT28" i="123"/>
  <c r="GT123" i="123" s="1"/>
  <c r="IU28" i="123"/>
  <c r="IU123" i="123" s="1"/>
  <c r="IK28" i="123"/>
  <c r="IK123" i="123" s="1"/>
  <c r="FU28" i="123"/>
  <c r="FU123" i="123" s="1"/>
  <c r="HY28" i="123"/>
  <c r="HY123" i="123" s="1"/>
  <c r="GO28" i="123"/>
  <c r="GO123" i="123" s="1"/>
  <c r="FE28" i="123"/>
  <c r="FE123" i="123" s="1"/>
  <c r="FA28" i="123"/>
  <c r="FA123" i="123" s="1"/>
  <c r="HX28" i="123"/>
  <c r="HX123" i="123" s="1"/>
  <c r="FX28" i="123"/>
  <c r="FX123" i="123" s="1"/>
  <c r="EZ28" i="123"/>
  <c r="EZ123" i="123" s="1"/>
  <c r="IL28" i="123"/>
  <c r="IL123" i="123" s="1"/>
  <c r="HF28" i="123"/>
  <c r="HF123" i="123" s="1"/>
  <c r="GP28" i="123"/>
  <c r="GP123" i="123" s="1"/>
  <c r="FJ28" i="123"/>
  <c r="FJ123" i="123" s="1"/>
  <c r="ET28" i="123"/>
  <c r="ET123" i="123" s="1"/>
  <c r="GN28" i="123"/>
  <c r="GN123" i="123" s="1"/>
  <c r="IQ28" i="123"/>
  <c r="IQ123" i="123" s="1"/>
  <c r="HK28" i="123"/>
  <c r="HK123" i="123" s="1"/>
  <c r="GU28" i="123"/>
  <c r="GU123" i="123" s="1"/>
  <c r="FO28" i="123"/>
  <c r="FO123" i="123" s="1"/>
  <c r="FY28" i="123"/>
  <c r="FY123" i="123" s="1"/>
  <c r="HQ28" i="123"/>
  <c r="HQ123" i="123" s="1"/>
  <c r="IW28" i="123"/>
  <c r="IW123" i="123" s="1"/>
  <c r="GS28" i="123"/>
  <c r="GS123" i="123" s="1"/>
  <c r="IS28" i="123"/>
  <c r="IS123" i="123" s="1"/>
  <c r="IR28" i="123"/>
  <c r="IR123" i="123" s="1"/>
  <c r="GG28" i="123"/>
  <c r="GG123" i="123" s="1"/>
  <c r="IJ28" i="123"/>
  <c r="IJ123" i="123" s="1"/>
  <c r="HL28" i="123"/>
  <c r="HL123" i="123" s="1"/>
  <c r="GJ28" i="123"/>
  <c r="GJ123" i="123" s="1"/>
  <c r="FL28" i="123"/>
  <c r="FL123" i="123" s="1"/>
  <c r="ER28" i="123"/>
  <c r="ER123" i="123" s="1"/>
  <c r="IT28" i="123"/>
  <c r="IT123" i="123" s="1"/>
  <c r="ID28" i="123"/>
  <c r="ID123" i="123" s="1"/>
  <c r="HN28" i="123"/>
  <c r="HN123" i="123" s="1"/>
  <c r="GX28" i="123"/>
  <c r="GX123" i="123" s="1"/>
  <c r="GH28" i="123"/>
  <c r="GH123" i="123" s="1"/>
  <c r="FR28" i="123"/>
  <c r="FR123" i="123" s="1"/>
  <c r="FB28" i="123"/>
  <c r="FB123" i="123" s="1"/>
  <c r="HH28" i="123"/>
  <c r="HH123" i="123" s="1"/>
  <c r="FP28" i="123"/>
  <c r="FP123" i="123" s="1"/>
  <c r="IY28" i="123"/>
  <c r="IY123" i="123" s="1"/>
  <c r="II28" i="123"/>
  <c r="II123" i="123" s="1"/>
  <c r="HS28" i="123"/>
  <c r="HS123" i="123" s="1"/>
  <c r="HC28" i="123"/>
  <c r="HC123" i="123" s="1"/>
  <c r="GM28" i="123"/>
  <c r="GM123" i="123" s="1"/>
  <c r="FW28" i="123"/>
  <c r="FW123" i="123" s="1"/>
  <c r="FG28" i="123"/>
  <c r="FG123" i="123" s="1"/>
  <c r="EQ28" i="123"/>
  <c r="EQ123" i="123" s="1"/>
  <c r="JA28" i="123"/>
  <c r="JA123" i="123" s="1"/>
  <c r="FM28" i="123"/>
  <c r="FM123" i="123" s="1"/>
  <c r="HM28" i="123"/>
  <c r="HM123" i="123" s="1"/>
  <c r="GZ28" i="123"/>
  <c r="GZ123" i="123" s="1"/>
  <c r="JB28" i="123"/>
  <c r="JB123" i="123" s="1"/>
  <c r="HV28" i="123"/>
  <c r="HV123" i="123" s="1"/>
  <c r="FZ28" i="123"/>
  <c r="FZ123" i="123" s="1"/>
  <c r="IB28" i="123"/>
  <c r="IB123" i="123" s="1"/>
  <c r="EN28" i="123"/>
  <c r="EN123" i="123" s="1"/>
  <c r="IA28" i="123"/>
  <c r="IA123" i="123" s="1"/>
  <c r="GE28" i="123"/>
  <c r="GE123" i="123" s="1"/>
  <c r="EY28" i="123"/>
  <c r="EY123" i="123" s="1"/>
  <c r="HE28" i="123"/>
  <c r="HE123" i="123" s="1"/>
  <c r="IG28" i="123"/>
  <c r="IG123" i="123" s="1"/>
  <c r="EO28" i="123"/>
  <c r="EO123" i="123" s="1"/>
  <c r="HI28" i="123"/>
  <c r="HI123" i="123" s="1"/>
  <c r="EW28" i="123"/>
  <c r="ES28" i="123"/>
  <c r="ES123" i="123" s="1"/>
  <c r="IZ28" i="123"/>
  <c r="IZ123" i="123" s="1"/>
  <c r="GW28" i="123"/>
  <c r="GW123" i="123" s="1"/>
  <c r="HT28" i="123"/>
  <c r="HT123" i="123" s="1"/>
  <c r="GR28" i="123"/>
  <c r="GR123" i="123" s="1"/>
  <c r="FT28" i="123"/>
  <c r="FT123" i="123" s="1"/>
  <c r="EV28" i="123"/>
  <c r="EV123" i="123" s="1"/>
  <c r="IX28" i="123"/>
  <c r="IX123" i="123" s="1"/>
  <c r="IH28" i="123"/>
  <c r="IH123" i="123" s="1"/>
  <c r="HR28" i="123"/>
  <c r="HR123" i="123" s="1"/>
  <c r="HB28" i="123"/>
  <c r="HB123" i="123" s="1"/>
  <c r="GL28" i="123"/>
  <c r="GL123" i="123" s="1"/>
  <c r="FV28" i="123"/>
  <c r="FV123" i="123" s="1"/>
  <c r="FF28" i="123"/>
  <c r="FF123" i="123" s="1"/>
  <c r="EP28" i="123"/>
  <c r="EP123" i="123" s="1"/>
  <c r="HP28" i="123"/>
  <c r="HP123" i="123" s="1"/>
  <c r="GB28" i="123"/>
  <c r="GB123" i="123" s="1"/>
  <c r="JC28" i="123"/>
  <c r="JC123" i="123" s="1"/>
  <c r="IM28" i="123"/>
  <c r="IM123" i="123" s="1"/>
  <c r="HW28" i="123"/>
  <c r="HW123" i="123" s="1"/>
  <c r="HG28" i="123"/>
  <c r="HG123" i="123" s="1"/>
  <c r="GQ28" i="123"/>
  <c r="GQ123" i="123" s="1"/>
  <c r="GA28" i="123"/>
  <c r="GA123" i="123" s="1"/>
  <c r="FK28" i="123"/>
  <c r="FK123" i="123" s="1"/>
  <c r="EU28" i="123"/>
  <c r="EU123" i="123" s="1"/>
  <c r="GO26" i="1"/>
  <c r="EB18" i="123"/>
  <c r="GW168" i="1"/>
  <c r="GW18" i="1" s="1"/>
  <c r="FL97" i="1"/>
  <c r="FL122" i="1"/>
  <c r="FL104" i="1"/>
  <c r="FL136" i="1"/>
  <c r="FL129" i="1"/>
  <c r="FL119" i="1"/>
  <c r="FL135" i="1"/>
  <c r="FL137" i="1"/>
  <c r="FL94" i="1"/>
  <c r="FL110" i="1"/>
  <c r="FL126" i="1"/>
  <c r="FL92" i="1"/>
  <c r="FL108" i="1"/>
  <c r="FL124" i="1"/>
  <c r="FL93" i="1"/>
  <c r="FL107" i="1"/>
  <c r="FL123" i="1"/>
  <c r="FL139" i="1"/>
  <c r="FL133" i="1"/>
  <c r="FL102" i="1"/>
  <c r="FL118" i="1"/>
  <c r="FL134" i="1"/>
  <c r="FL100" i="1"/>
  <c r="FL116" i="1"/>
  <c r="FL132" i="1"/>
  <c r="FL109" i="1"/>
  <c r="FL99" i="1"/>
  <c r="FL115" i="1"/>
  <c r="FL131" i="1"/>
  <c r="FL117" i="1"/>
  <c r="FL125" i="1"/>
  <c r="FL106" i="1"/>
  <c r="FL138" i="1"/>
  <c r="FL120" i="1"/>
  <c r="FL103" i="1"/>
  <c r="FL121" i="1"/>
  <c r="FL98" i="1"/>
  <c r="FL114" i="1"/>
  <c r="FL130" i="1"/>
  <c r="FL96" i="1"/>
  <c r="FL112" i="1"/>
  <c r="FL128" i="1"/>
  <c r="FL101" i="1"/>
  <c r="FL95" i="1"/>
  <c r="FL111" i="1"/>
  <c r="FL127" i="1"/>
  <c r="FL105" i="1"/>
  <c r="FL113" i="1"/>
  <c r="FL91" i="1"/>
  <c r="EG48" i="98"/>
  <c r="CF211" i="123" l="1"/>
  <c r="GU17" i="1"/>
  <c r="EW123" i="123"/>
  <c r="CG217" i="123" s="1"/>
  <c r="HD167" i="1"/>
  <c r="BZ216" i="1" s="1"/>
  <c r="CZ33" i="98"/>
  <c r="H6" i="115" s="1"/>
  <c r="DL29" i="98"/>
  <c r="I2" i="115" s="1"/>
  <c r="DF29" i="98"/>
  <c r="F2" i="115" s="1"/>
  <c r="DI29" i="98"/>
  <c r="G2" i="115" s="1"/>
  <c r="DS33" i="98"/>
  <c r="L6" i="115" s="1"/>
  <c r="DS32" i="98"/>
  <c r="L5" i="115" s="1"/>
  <c r="DS31" i="98"/>
  <c r="L4" i="115" s="1"/>
  <c r="DS29" i="98"/>
  <c r="L2" i="115" s="1"/>
  <c r="DW29" i="98"/>
  <c r="BT209" i="1" l="1"/>
  <c r="CA214" i="123"/>
  <c r="BS339" i="1"/>
  <c r="BY206" i="1"/>
  <c r="CA339" i="1"/>
  <c r="BU339" i="1"/>
  <c r="BU206" i="1"/>
  <c r="BW339" i="1"/>
  <c r="BZ206" i="1"/>
  <c r="BT206" i="1"/>
  <c r="BV206" i="1"/>
  <c r="CA206" i="1"/>
  <c r="BX206" i="1"/>
  <c r="BZ339" i="1"/>
  <c r="BT339" i="1"/>
  <c r="BY339" i="1"/>
  <c r="CB206" i="1"/>
  <c r="BS206" i="1"/>
  <c r="BV339" i="1"/>
  <c r="BX339" i="1"/>
  <c r="CB339" i="1"/>
  <c r="BW206" i="1"/>
  <c r="CD191" i="123"/>
  <c r="CE231" i="123"/>
  <c r="CB232" i="123"/>
  <c r="BX198" i="123"/>
  <c r="CB199" i="123"/>
  <c r="CD199" i="123"/>
  <c r="CA210" i="123"/>
  <c r="BY201" i="123"/>
  <c r="CB196" i="123"/>
  <c r="BX155" i="123"/>
  <c r="CC196" i="123"/>
  <c r="CF199" i="123"/>
  <c r="CB210" i="123"/>
  <c r="CE130" i="123"/>
  <c r="BY207" i="123"/>
  <c r="CD210" i="123"/>
  <c r="BZ213" i="123"/>
  <c r="CG231" i="123"/>
  <c r="CE193" i="123"/>
  <c r="CC226" i="123"/>
  <c r="BX201" i="123"/>
  <c r="CA201" i="123"/>
  <c r="CC232" i="123"/>
  <c r="CG213" i="123"/>
  <c r="CF210" i="123"/>
  <c r="CG191" i="123"/>
  <c r="CF195" i="123"/>
  <c r="BY135" i="123"/>
  <c r="BZ208" i="123"/>
  <c r="CE129" i="123"/>
  <c r="BY197" i="123"/>
  <c r="CD155" i="123"/>
  <c r="CG197" i="123"/>
  <c r="BX195" i="123"/>
  <c r="CD196" i="123"/>
  <c r="BY198" i="123"/>
  <c r="BZ190" i="123"/>
  <c r="CC192" i="123"/>
  <c r="BX210" i="123"/>
  <c r="BX231" i="123"/>
  <c r="BX204" i="123"/>
  <c r="CF183" i="123"/>
  <c r="BZ225" i="123"/>
  <c r="BX193" i="123"/>
  <c r="CE135" i="123"/>
  <c r="CE208" i="123"/>
  <c r="CA226" i="123"/>
  <c r="CA197" i="123"/>
  <c r="BZ135" i="123"/>
  <c r="CE197" i="123"/>
  <c r="CB193" i="123"/>
  <c r="CD195" i="123"/>
  <c r="CE196" i="123"/>
  <c r="CA190" i="123"/>
  <c r="CE192" i="123"/>
  <c r="CG210" i="123"/>
  <c r="BZ214" i="123"/>
  <c r="BY204" i="123"/>
  <c r="CE183" i="123"/>
  <c r="CA225" i="123"/>
  <c r="BZ193" i="123"/>
  <c r="BX135" i="123"/>
  <c r="BX208" i="123"/>
  <c r="CB226" i="123"/>
  <c r="CG192" i="123"/>
  <c r="CF129" i="123"/>
  <c r="CD192" i="123"/>
  <c r="BY191" i="123"/>
  <c r="CB195" i="123"/>
  <c r="BY195" i="123"/>
  <c r="CC204" i="123"/>
  <c r="BY231" i="123"/>
  <c r="BZ231" i="123"/>
  <c r="CB214" i="123"/>
  <c r="CA196" i="123"/>
  <c r="CF155" i="123"/>
  <c r="BX232" i="123"/>
  <c r="CD183" i="123"/>
  <c r="CC129" i="123"/>
  <c r="CA198" i="123"/>
  <c r="CF202" i="123"/>
  <c r="CD207" i="123"/>
  <c r="BY202" i="123"/>
  <c r="BY190" i="123"/>
  <c r="BY130" i="123"/>
  <c r="BX129" i="123"/>
  <c r="CC135" i="123"/>
  <c r="CA130" i="123"/>
  <c r="CF231" i="123"/>
  <c r="CD204" i="123"/>
  <c r="CG226" i="123"/>
  <c r="BY213" i="123"/>
  <c r="CC210" i="123"/>
  <c r="CG214" i="123"/>
  <c r="CE198" i="123"/>
  <c r="CC183" i="123"/>
  <c r="BZ232" i="123"/>
  <c r="BX191" i="123"/>
  <c r="BX130" i="123"/>
  <c r="CA232" i="123"/>
  <c r="CD225" i="123"/>
  <c r="CG190" i="123"/>
  <c r="BY225" i="123"/>
  <c r="CA192" i="123"/>
  <c r="CC175" i="123"/>
  <c r="CB191" i="123"/>
  <c r="CA191" i="123"/>
  <c r="CE195" i="123"/>
  <c r="BY210" i="123"/>
  <c r="BY211" i="123"/>
  <c r="BX214" i="123"/>
  <c r="CC198" i="123"/>
  <c r="CG175" i="123"/>
  <c r="CE232" i="123"/>
  <c r="CC191" i="123"/>
  <c r="BZ130" i="123"/>
  <c r="CG207" i="123"/>
  <c r="CA208" i="123"/>
  <c r="BY232" i="123"/>
  <c r="CG208" i="123"/>
  <c r="CF192" i="123"/>
  <c r="CB155" i="123"/>
  <c r="BZ183" i="123"/>
  <c r="CB183" i="123"/>
  <c r="CA183" i="123"/>
  <c r="CG211" i="123"/>
  <c r="CA231" i="123"/>
  <c r="CF214" i="123"/>
  <c r="BZ196" i="123"/>
  <c r="CB175" i="123"/>
  <c r="CG232" i="123"/>
  <c r="BX183" i="123"/>
  <c r="CD130" i="123"/>
  <c r="CG204" i="123"/>
  <c r="BY208" i="123"/>
  <c r="CB207" i="123"/>
  <c r="BX202" i="123"/>
  <c r="CD190" i="123"/>
  <c r="CF135" i="123"/>
  <c r="CA155" i="123"/>
  <c r="CE175" i="123"/>
  <c r="CG155" i="123"/>
  <c r="CB211" i="123"/>
  <c r="CA211" i="123"/>
  <c r="BY214" i="123"/>
  <c r="CF193" i="123"/>
  <c r="CF130" i="123"/>
  <c r="CB204" i="123"/>
  <c r="BX175" i="123"/>
  <c r="CE226" i="123"/>
  <c r="CC193" i="123"/>
  <c r="CC201" i="123"/>
  <c r="CF198" i="123"/>
  <c r="CG201" i="123"/>
  <c r="CD232" i="123"/>
  <c r="BX199" i="123"/>
  <c r="CD201" i="123"/>
  <c r="CC208" i="123"/>
  <c r="CB202" i="123"/>
  <c r="CE155" i="123"/>
  <c r="BX207" i="123"/>
  <c r="CD175" i="123"/>
  <c r="CB129" i="123"/>
  <c r="CB198" i="123"/>
  <c r="CG202" i="123"/>
  <c r="CF232" i="123"/>
  <c r="BZ202" i="123"/>
  <c r="CE190" i="123"/>
  <c r="BY129" i="123"/>
  <c r="CD226" i="123"/>
  <c r="CB130" i="123"/>
  <c r="BY226" i="123"/>
  <c r="CC231" i="123"/>
  <c r="CD231" i="123"/>
  <c r="CD214" i="123"/>
  <c r="CF196" i="123"/>
  <c r="CG135" i="123"/>
  <c r="BZ207" i="123"/>
  <c r="BY175" i="123"/>
  <c r="BZ129" i="123"/>
  <c r="CG195" i="123"/>
  <c r="CA202" i="123"/>
  <c r="CE207" i="123"/>
  <c r="BZ201" i="123"/>
  <c r="CF190" i="123"/>
  <c r="CD202" i="123"/>
  <c r="CC202" i="123"/>
  <c r="CD129" i="123"/>
  <c r="CG225" i="123"/>
  <c r="BZ211" i="123"/>
  <c r="CE211" i="123"/>
  <c r="CE214" i="123"/>
  <c r="BZ195" i="123"/>
  <c r="CA135" i="123"/>
  <c r="CA204" i="123"/>
  <c r="CA175" i="123"/>
  <c r="BZ226" i="123"/>
  <c r="CA195" i="123"/>
  <c r="CB201" i="123"/>
  <c r="CF204" i="123"/>
  <c r="CE201" i="123"/>
  <c r="CB190" i="123"/>
  <c r="CF201" i="123"/>
  <c r="CE202" i="123"/>
  <c r="CF225" i="123"/>
  <c r="CD208" i="123"/>
  <c r="CE210" i="123"/>
  <c r="CD211" i="123"/>
  <c r="CC207" i="123"/>
  <c r="CE191" i="123"/>
  <c r="BX226" i="123"/>
  <c r="CC195" i="123"/>
  <c r="CD135" i="123"/>
  <c r="CE225" i="123"/>
  <c r="CG129" i="123"/>
  <c r="BX197" i="123"/>
  <c r="CF175" i="123"/>
  <c r="CF197" i="123"/>
  <c r="CG196" i="123"/>
  <c r="BZ204" i="123"/>
  <c r="CE204" i="123"/>
  <c r="CB192" i="123"/>
  <c r="CD197" i="123"/>
  <c r="CG193" i="123"/>
  <c r="CG130" i="123"/>
  <c r="CG198" i="123"/>
  <c r="CC155" i="123"/>
  <c r="CB225" i="123"/>
  <c r="BY155" i="123"/>
  <c r="BY199" i="123"/>
  <c r="BZ191" i="123"/>
  <c r="CG199" i="123"/>
  <c r="CA207" i="123"/>
  <c r="BZ192" i="123"/>
  <c r="CC197" i="123"/>
  <c r="CE199" i="123"/>
  <c r="CC199" i="123"/>
  <c r="BZ210" i="123"/>
  <c r="CC211" i="123"/>
  <c r="CF207" i="123"/>
  <c r="CF191" i="123"/>
  <c r="CA129" i="123"/>
  <c r="BY196" i="123"/>
  <c r="BZ155" i="123"/>
  <c r="CC225" i="123"/>
  <c r="CC130" i="123"/>
  <c r="BZ199" i="123"/>
  <c r="BZ175" i="123"/>
  <c r="CA199" i="123"/>
  <c r="CD198" i="123"/>
  <c r="BX190" i="123"/>
  <c r="CC190" i="123"/>
  <c r="BZ197" i="123"/>
  <c r="CB197" i="123"/>
  <c r="CB231" i="123"/>
  <c r="CC214" i="123"/>
  <c r="BZ198" i="123"/>
  <c r="CG183" i="123"/>
  <c r="CB208" i="123"/>
  <c r="CD193" i="123"/>
  <c r="CB135" i="123"/>
  <c r="CF208" i="123"/>
  <c r="BX225" i="123"/>
  <c r="BX192" i="123"/>
  <c r="CF226" i="123"/>
  <c r="BY192" i="123"/>
  <c r="BY183" i="123"/>
  <c r="CA193" i="123"/>
  <c r="BY193" i="123"/>
  <c r="BX196" i="123"/>
  <c r="BX211" i="123"/>
  <c r="BS209" i="1"/>
  <c r="CA209" i="1"/>
  <c r="BV209" i="1"/>
  <c r="BZ209" i="1"/>
  <c r="BX209" i="1"/>
  <c r="BU209" i="1"/>
  <c r="CC213" i="123"/>
  <c r="CA213" i="123"/>
  <c r="CF213" i="123"/>
  <c r="BX213" i="123"/>
  <c r="CD213" i="123"/>
  <c r="CB213" i="123"/>
  <c r="CE213" i="123"/>
  <c r="CB209" i="1"/>
  <c r="BW209" i="1"/>
  <c r="BY209" i="1"/>
  <c r="BZ221" i="123"/>
  <c r="CD221" i="123"/>
  <c r="CG221" i="123"/>
  <c r="BX221" i="123"/>
  <c r="CB221" i="123"/>
  <c r="CA221" i="123"/>
  <c r="CC221" i="123"/>
  <c r="CE221" i="123"/>
  <c r="BY221" i="123"/>
  <c r="CF221" i="123"/>
  <c r="BY220" i="123"/>
  <c r="CF220" i="123"/>
  <c r="BY217" i="123"/>
  <c r="CD218" i="123"/>
  <c r="CB222" i="123"/>
  <c r="CG219" i="123"/>
  <c r="CB219" i="123"/>
  <c r="CE220" i="123"/>
  <c r="CD219" i="123"/>
  <c r="CE218" i="123"/>
  <c r="CF219" i="123"/>
  <c r="BZ218" i="123"/>
  <c r="CE222" i="123"/>
  <c r="BX218" i="123"/>
  <c r="BZ219" i="123"/>
  <c r="BZ222" i="123"/>
  <c r="CD220" i="123"/>
  <c r="CA218" i="123"/>
  <c r="BY219" i="123"/>
  <c r="BZ220" i="123"/>
  <c r="CF222" i="123"/>
  <c r="CC220" i="123"/>
  <c r="BX220" i="123"/>
  <c r="CC219" i="123"/>
  <c r="CG218" i="123"/>
  <c r="CA220" i="123"/>
  <c r="CG222" i="123"/>
  <c r="CA219" i="123"/>
  <c r="CF218" i="123"/>
  <c r="BY222" i="123"/>
  <c r="CB218" i="123"/>
  <c r="CA222" i="123"/>
  <c r="CC222" i="123"/>
  <c r="CG220" i="123"/>
  <c r="CD222" i="123"/>
  <c r="BX219" i="123"/>
  <c r="CB220" i="123"/>
  <c r="CC218" i="123"/>
  <c r="BX222" i="123"/>
  <c r="CE219" i="123"/>
  <c r="BY218" i="123"/>
  <c r="CA217" i="123"/>
  <c r="BX223" i="123"/>
  <c r="BZ217" i="123"/>
  <c r="CF217" i="123"/>
  <c r="CB223" i="123"/>
  <c r="BX217" i="123"/>
  <c r="CA223" i="123"/>
  <c r="CB217" i="123"/>
  <c r="CC223" i="123"/>
  <c r="CC217" i="123"/>
  <c r="BZ223" i="123"/>
  <c r="CG223" i="123"/>
  <c r="CF223" i="123"/>
  <c r="CD217" i="123"/>
  <c r="CD223" i="123"/>
  <c r="CE217" i="123"/>
  <c r="CE223" i="123"/>
  <c r="BY223" i="123"/>
  <c r="BX219" i="1"/>
  <c r="BU219" i="1"/>
  <c r="BT219" i="1"/>
  <c r="BW219" i="1"/>
  <c r="BS219" i="1"/>
  <c r="CB219" i="1"/>
  <c r="CA219" i="1"/>
  <c r="BV219" i="1"/>
  <c r="BZ219" i="1"/>
  <c r="BY219" i="1"/>
  <c r="BT217" i="1"/>
  <c r="BY217" i="1"/>
  <c r="BZ217" i="1"/>
  <c r="BU217" i="1"/>
  <c r="CB217" i="1"/>
  <c r="BV217" i="1"/>
  <c r="BS217" i="1"/>
  <c r="CA217" i="1"/>
  <c r="BW217" i="1"/>
  <c r="BX217" i="1"/>
  <c r="BS214" i="1"/>
  <c r="BX214" i="1"/>
  <c r="BW214" i="1"/>
  <c r="BV214" i="1"/>
  <c r="BY214" i="1"/>
  <c r="CA214" i="1"/>
  <c r="BZ214" i="1"/>
  <c r="BT214" i="1"/>
  <c r="BU214" i="1"/>
  <c r="CB214" i="1"/>
  <c r="BT210" i="1"/>
  <c r="BT212" i="1"/>
  <c r="CA212" i="1"/>
  <c r="BY212" i="1"/>
  <c r="BS212" i="1"/>
  <c r="BW212" i="1"/>
  <c r="BU212" i="1"/>
  <c r="CB212" i="1"/>
  <c r="BV212" i="1"/>
  <c r="BZ212" i="1"/>
  <c r="BX212" i="1"/>
  <c r="BT218" i="1"/>
  <c r="BZ210" i="1"/>
  <c r="BY216" i="1"/>
  <c r="BY210" i="1"/>
  <c r="BU210" i="1"/>
  <c r="BW216" i="1"/>
  <c r="BY218" i="1"/>
  <c r="BV210" i="1"/>
  <c r="CB210" i="1"/>
  <c r="BX210" i="1"/>
  <c r="BW218" i="1"/>
  <c r="BW210" i="1"/>
  <c r="BS210" i="1"/>
  <c r="CA210" i="1"/>
  <c r="BV218" i="1"/>
  <c r="CB218" i="1"/>
  <c r="BV216" i="1"/>
  <c r="BU216" i="1"/>
  <c r="CB216" i="1"/>
  <c r="BX218" i="1"/>
  <c r="BS216" i="1"/>
  <c r="BZ218" i="1"/>
  <c r="BT216" i="1"/>
  <c r="CA218" i="1"/>
  <c r="CA216" i="1"/>
  <c r="BS218" i="1"/>
  <c r="BU218" i="1"/>
  <c r="BX216" i="1"/>
  <c r="HD17" i="1"/>
  <c r="CB207" i="1"/>
  <c r="CA211" i="1"/>
  <c r="CA341" i="1"/>
  <c r="CB336" i="1"/>
  <c r="CA328" i="1"/>
  <c r="BZ333" i="1"/>
  <c r="BZ336" i="1"/>
  <c r="CB340" i="1"/>
  <c r="CB208" i="1"/>
  <c r="CB333" i="1"/>
  <c r="CA336" i="1"/>
  <c r="CA340" i="1"/>
  <c r="CB341" i="1"/>
  <c r="CB213" i="1"/>
  <c r="CA207" i="1"/>
  <c r="BZ208" i="1"/>
  <c r="BY215" i="1"/>
  <c r="BS211" i="1"/>
  <c r="BS336" i="1"/>
  <c r="BS205" i="1"/>
  <c r="BT340" i="1"/>
  <c r="BT208" i="1"/>
  <c r="BT205" i="1"/>
  <c r="BS207" i="1"/>
  <c r="BS215" i="1"/>
  <c r="BS333" i="1"/>
  <c r="BS341" i="1"/>
  <c r="BS213" i="1"/>
  <c r="BT211" i="1"/>
  <c r="BT213" i="1"/>
  <c r="BT207" i="1"/>
  <c r="BU213" i="1"/>
  <c r="BT333" i="1"/>
  <c r="BU336" i="1"/>
  <c r="BU207" i="1"/>
  <c r="BU211" i="1"/>
  <c r="BV333" i="1"/>
  <c r="BU215" i="1"/>
  <c r="BV341" i="1"/>
  <c r="BV213" i="1"/>
  <c r="BV211" i="1"/>
  <c r="BW333" i="1"/>
  <c r="BW213" i="1"/>
  <c r="BX336" i="1"/>
  <c r="BX328" i="1"/>
  <c r="BW215" i="1"/>
  <c r="BW336" i="1"/>
  <c r="BY213" i="1"/>
  <c r="BY211" i="1"/>
  <c r="BY207" i="1"/>
  <c r="BZ341" i="1"/>
  <c r="BZ215" i="1"/>
  <c r="BS328" i="1"/>
  <c r="BS208" i="1"/>
  <c r="BT328" i="1"/>
  <c r="BV208" i="1"/>
  <c r="BU333" i="1"/>
  <c r="BU341" i="1"/>
  <c r="BV340" i="1"/>
  <c r="BV215" i="1"/>
  <c r="BU340" i="1"/>
  <c r="BY336" i="1"/>
  <c r="BX208" i="1"/>
  <c r="BY208" i="1"/>
  <c r="BT336" i="1"/>
  <c r="BT341" i="1"/>
  <c r="BT215" i="1"/>
  <c r="BU205" i="1"/>
  <c r="BU208" i="1"/>
  <c r="BU328" i="1"/>
  <c r="BV336" i="1"/>
  <c r="BV205" i="1"/>
  <c r="BX215" i="1"/>
  <c r="BY205" i="1"/>
  <c r="BW341" i="1"/>
  <c r="BW207" i="1"/>
  <c r="BW208" i="1"/>
  <c r="BX213" i="1"/>
  <c r="BZ205" i="1"/>
  <c r="BY341" i="1"/>
  <c r="BS340" i="1"/>
  <c r="BV207" i="1"/>
  <c r="BV328" i="1"/>
  <c r="BX211" i="1"/>
  <c r="BW211" i="1"/>
  <c r="BW340" i="1"/>
  <c r="BY328" i="1"/>
  <c r="BW205" i="1"/>
  <c r="BX333" i="1"/>
  <c r="BX340" i="1"/>
  <c r="CB211" i="1"/>
  <c r="CA215" i="1"/>
  <c r="CB215" i="1"/>
  <c r="CA208" i="1"/>
  <c r="CB328" i="1"/>
  <c r="CA213" i="1"/>
  <c r="BZ211" i="1"/>
  <c r="BY333" i="1"/>
  <c r="BZ207" i="1"/>
  <c r="BW328" i="1"/>
  <c r="BZ213" i="1"/>
  <c r="BX207" i="1"/>
  <c r="CB205" i="1"/>
  <c r="CA205" i="1"/>
  <c r="CA333" i="1"/>
  <c r="BZ340" i="1"/>
  <c r="BZ328" i="1"/>
  <c r="BY340" i="1"/>
  <c r="BX205" i="1"/>
  <c r="BX341" i="1"/>
  <c r="CD212" i="123"/>
  <c r="CE212" i="123"/>
  <c r="BY215" i="123"/>
  <c r="BY212" i="123"/>
  <c r="BX212" i="123"/>
  <c r="BZ215" i="123"/>
  <c r="CF215" i="123"/>
  <c r="CB215" i="123"/>
  <c r="CC212" i="123"/>
  <c r="CG215" i="123"/>
  <c r="CD215" i="123"/>
  <c r="CB212" i="123"/>
  <c r="CA212" i="123"/>
  <c r="BZ212" i="123"/>
  <c r="CE215" i="123"/>
  <c r="CG212" i="123"/>
  <c r="CB164" i="123"/>
  <c r="CA215" i="123"/>
  <c r="BX215" i="123"/>
  <c r="CF212" i="123"/>
  <c r="CC215" i="123"/>
  <c r="BZ272" i="123"/>
  <c r="CE242" i="123"/>
  <c r="BX147" i="123"/>
  <c r="CG297" i="123"/>
  <c r="CE180" i="123"/>
  <c r="CG138" i="123"/>
  <c r="BZ237" i="123"/>
  <c r="CF177" i="123"/>
  <c r="CF140" i="123"/>
  <c r="BZ133" i="123"/>
  <c r="CB277" i="123"/>
  <c r="CB251" i="123"/>
  <c r="CA166" i="123"/>
  <c r="CD170" i="123"/>
  <c r="CC244" i="123"/>
  <c r="BX290" i="123"/>
  <c r="CB257" i="123"/>
  <c r="CE147" i="123"/>
  <c r="CA140" i="123"/>
  <c r="CF234" i="123"/>
  <c r="BX272" i="123"/>
  <c r="BY294" i="123"/>
  <c r="CE146" i="123"/>
  <c r="CD302" i="123"/>
  <c r="BZ137" i="123"/>
  <c r="BX131" i="123"/>
  <c r="BZ181" i="123"/>
  <c r="BZ164" i="123"/>
  <c r="BX148" i="123"/>
  <c r="BZ143" i="123"/>
  <c r="CA295" i="123"/>
  <c r="CF172" i="123"/>
  <c r="CA144" i="123"/>
  <c r="BZ284" i="123"/>
  <c r="BX153" i="123"/>
  <c r="CC265" i="123"/>
  <c r="CA141" i="123"/>
  <c r="CF160" i="123"/>
  <c r="CB252" i="123"/>
  <c r="CB149" i="123"/>
  <c r="BZ263" i="123"/>
  <c r="CF275" i="123"/>
  <c r="CA172" i="123"/>
  <c r="CE165" i="123"/>
  <c r="CG257" i="123"/>
  <c r="BZ278" i="123"/>
  <c r="CC243" i="123"/>
  <c r="CG285" i="123"/>
  <c r="BY274" i="123"/>
  <c r="CD273" i="123"/>
  <c r="CG200" i="123"/>
  <c r="CE300" i="123"/>
  <c r="CD136" i="123"/>
  <c r="BX159" i="123"/>
  <c r="BY174" i="123"/>
  <c r="CB168" i="123"/>
  <c r="CC267" i="123"/>
  <c r="CA263" i="123"/>
  <c r="CE163" i="123"/>
  <c r="BY142" i="123"/>
  <c r="BY245" i="123"/>
  <c r="CC266" i="123"/>
  <c r="BX273" i="123"/>
  <c r="BY139" i="123"/>
  <c r="CE216" i="123"/>
  <c r="BZ255" i="123"/>
  <c r="CB140" i="123"/>
  <c r="CF176" i="123"/>
  <c r="CF158" i="123"/>
  <c r="BY288" i="123"/>
  <c r="CD156" i="123"/>
  <c r="CE252" i="123"/>
  <c r="CB267" i="123"/>
  <c r="BZ303" i="123"/>
  <c r="CB224" i="123"/>
  <c r="BX280" i="123"/>
  <c r="CA187" i="123"/>
  <c r="BX255" i="123"/>
  <c r="BX145" i="123"/>
  <c r="BY180" i="123"/>
  <c r="CB254" i="123"/>
  <c r="CD154" i="123"/>
  <c r="CC170" i="123"/>
  <c r="BX160" i="123"/>
  <c r="CD150" i="123"/>
  <c r="CE144" i="123"/>
  <c r="BZ156" i="123"/>
  <c r="CA180" i="123"/>
  <c r="CA245" i="123"/>
  <c r="CA265" i="123"/>
  <c r="BX229" i="123"/>
  <c r="CC143" i="123"/>
  <c r="CG284" i="123"/>
  <c r="BY206" i="123"/>
  <c r="CC209" i="123"/>
  <c r="CD278" i="123"/>
  <c r="BY227" i="123"/>
  <c r="CC250" i="123"/>
  <c r="BX154" i="123"/>
  <c r="CF261" i="123"/>
  <c r="CA230" i="123"/>
  <c r="CE253" i="123"/>
  <c r="CF141" i="123"/>
  <c r="CA224" i="123"/>
  <c r="CA275" i="123"/>
  <c r="CD270" i="123"/>
  <c r="BZ247" i="123"/>
  <c r="CE301" i="123"/>
  <c r="CC270" i="123"/>
  <c r="CG228" i="123"/>
  <c r="CA133" i="123"/>
  <c r="BX171" i="123"/>
  <c r="CD294" i="123"/>
  <c r="BZ134" i="123"/>
  <c r="CE294" i="123"/>
  <c r="CG169" i="123"/>
  <c r="CG292" i="123"/>
  <c r="BZ149" i="123"/>
  <c r="CF230" i="123"/>
  <c r="CC151" i="123"/>
  <c r="CA177" i="123"/>
  <c r="CG233" i="123"/>
  <c r="CC136" i="123"/>
  <c r="CE154" i="123"/>
  <c r="CC180" i="123"/>
  <c r="CA164" i="123"/>
  <c r="CC252" i="123"/>
  <c r="CB138" i="123"/>
  <c r="BZ170" i="123"/>
  <c r="CE143" i="123"/>
  <c r="BX252" i="123"/>
  <c r="CG137" i="123"/>
  <c r="CA279" i="123"/>
  <c r="BY260" i="123"/>
  <c r="BZ136" i="123"/>
  <c r="BX156" i="123"/>
  <c r="CG163" i="123"/>
  <c r="CF295" i="123"/>
  <c r="CD216" i="123"/>
  <c r="CG141" i="123"/>
  <c r="BY167" i="123"/>
  <c r="CF294" i="123"/>
  <c r="CC297" i="123"/>
  <c r="BX162" i="123"/>
  <c r="BY293" i="123"/>
  <c r="CG236" i="123"/>
  <c r="BZ281" i="123"/>
  <c r="CB139" i="123"/>
  <c r="BZ297" i="123"/>
  <c r="BZ251" i="123"/>
  <c r="CE239" i="123"/>
  <c r="BZ132" i="123"/>
  <c r="CF274" i="123"/>
  <c r="CD252" i="123"/>
  <c r="CG148" i="123"/>
  <c r="CB173" i="123"/>
  <c r="BZ273" i="123"/>
  <c r="CA137" i="123"/>
  <c r="BY292" i="123"/>
  <c r="CD263" i="123"/>
  <c r="BX173" i="123"/>
  <c r="CE275" i="123"/>
  <c r="CB285" i="123"/>
  <c r="CC181" i="123"/>
  <c r="CG203" i="123"/>
  <c r="CB241" i="123"/>
  <c r="CE244" i="123"/>
  <c r="CE178" i="123"/>
  <c r="CE172" i="123"/>
  <c r="BY258" i="123"/>
  <c r="CG174" i="123"/>
  <c r="CD297" i="123"/>
  <c r="CB233" i="123"/>
  <c r="CD266" i="123"/>
  <c r="BY264" i="123"/>
  <c r="CA284" i="123"/>
  <c r="BY250" i="123"/>
  <c r="CB299" i="123"/>
  <c r="CD205" i="123"/>
  <c r="CG295" i="123"/>
  <c r="BZ276" i="123"/>
  <c r="BZ288" i="123"/>
  <c r="CC150" i="123"/>
  <c r="CE268" i="123"/>
  <c r="CA283" i="123"/>
  <c r="CD298" i="123"/>
  <c r="CE153" i="123"/>
  <c r="BZ180" i="123"/>
  <c r="BZ301" i="123"/>
  <c r="CE267" i="123"/>
  <c r="CB181" i="123"/>
  <c r="CB176" i="123"/>
  <c r="CE240" i="123"/>
  <c r="CE194" i="123"/>
  <c r="BY141" i="123"/>
  <c r="CD233" i="123"/>
  <c r="BY275" i="123"/>
  <c r="CG143" i="123"/>
  <c r="BX179" i="123"/>
  <c r="CD262" i="123"/>
  <c r="BX293" i="123"/>
  <c r="CF279" i="123"/>
  <c r="BY249" i="123"/>
  <c r="CG288" i="123"/>
  <c r="CG171" i="123"/>
  <c r="CD291" i="123"/>
  <c r="CB294" i="123"/>
  <c r="CB283" i="123"/>
  <c r="CG194" i="123"/>
  <c r="BZ250" i="123"/>
  <c r="CB209" i="123"/>
  <c r="BZ168" i="123"/>
  <c r="CF283" i="123"/>
  <c r="BX267" i="123"/>
  <c r="BZ291" i="123"/>
  <c r="BX286" i="123"/>
  <c r="CC230" i="123"/>
  <c r="CC178" i="123"/>
  <c r="BY272" i="123"/>
  <c r="CE186" i="123"/>
  <c r="CE145" i="123"/>
  <c r="BZ285" i="123"/>
  <c r="BZ275" i="123"/>
  <c r="CG177" i="123"/>
  <c r="BZ161" i="123"/>
  <c r="CA152" i="123"/>
  <c r="BX294" i="123"/>
  <c r="CB290" i="123"/>
  <c r="CE235" i="123"/>
  <c r="BX182" i="123"/>
  <c r="CD141" i="123"/>
  <c r="BX166" i="123"/>
  <c r="CC245" i="123"/>
  <c r="CF292" i="123"/>
  <c r="CB182" i="123"/>
  <c r="CD249" i="123"/>
  <c r="BY295" i="123"/>
  <c r="BX168" i="123"/>
  <c r="BY277" i="123"/>
  <c r="CE288" i="123"/>
  <c r="CB205" i="123"/>
  <c r="CG234" i="123"/>
  <c r="CF238" i="123"/>
  <c r="BX194" i="123"/>
  <c r="CD240" i="123"/>
  <c r="CE297" i="123"/>
  <c r="CF278" i="123"/>
  <c r="CC246" i="123"/>
  <c r="CC282" i="123"/>
  <c r="CC302" i="123"/>
  <c r="CG253" i="123"/>
  <c r="BX282" i="123"/>
  <c r="CC299" i="123"/>
  <c r="BX241" i="123"/>
  <c r="CC241" i="123"/>
  <c r="CA258" i="123"/>
  <c r="CF245" i="123"/>
  <c r="BX133" i="123"/>
  <c r="CD277" i="123"/>
  <c r="CC262" i="123"/>
  <c r="BY144" i="123"/>
  <c r="CB160" i="123"/>
  <c r="CC248" i="123"/>
  <c r="CA131" i="123"/>
  <c r="CD282" i="123"/>
  <c r="CF138" i="123"/>
  <c r="CA145" i="123"/>
  <c r="BY236" i="123"/>
  <c r="BX200" i="123"/>
  <c r="CG251" i="123"/>
  <c r="CA298" i="123"/>
  <c r="BY165" i="123"/>
  <c r="CD227" i="123"/>
  <c r="CF153" i="123"/>
  <c r="BZ293" i="123"/>
  <c r="CA178" i="123"/>
  <c r="CC184" i="123"/>
  <c r="CB244" i="123"/>
  <c r="CC295" i="123"/>
  <c r="BZ235" i="123"/>
  <c r="BY301" i="123"/>
  <c r="BX144" i="123"/>
  <c r="CC137" i="123"/>
  <c r="CB272" i="123"/>
  <c r="BZ167" i="123"/>
  <c r="CA243" i="123"/>
  <c r="CC285" i="123"/>
  <c r="CD137" i="123"/>
  <c r="CC172" i="123"/>
  <c r="BZ242" i="123"/>
  <c r="BX253" i="123"/>
  <c r="BX301" i="123"/>
  <c r="CD235" i="123"/>
  <c r="CG134" i="123"/>
  <c r="BZ141" i="123"/>
  <c r="BZ138" i="123"/>
  <c r="BY147" i="123"/>
  <c r="CA282" i="123"/>
  <c r="CE162" i="123"/>
  <c r="CE286" i="123"/>
  <c r="CD265" i="123"/>
  <c r="CA167" i="123"/>
  <c r="BY241" i="123"/>
  <c r="CE170" i="123"/>
  <c r="BX137" i="123"/>
  <c r="BY149" i="123"/>
  <c r="CF289" i="123"/>
  <c r="CD292" i="123"/>
  <c r="CC263" i="123"/>
  <c r="BX158" i="123"/>
  <c r="CG229" i="123"/>
  <c r="BX298" i="123"/>
  <c r="CD151" i="123"/>
  <c r="CA285" i="123"/>
  <c r="CG247" i="123"/>
  <c r="CB194" i="123"/>
  <c r="BX174" i="123"/>
  <c r="CF287" i="123"/>
  <c r="CE270" i="123"/>
  <c r="CA299" i="123"/>
  <c r="BY254" i="123"/>
  <c r="BY203" i="123"/>
  <c r="CB260" i="123"/>
  <c r="CC132" i="123"/>
  <c r="CE160" i="123"/>
  <c r="CF151" i="123"/>
  <c r="CD144" i="123"/>
  <c r="CE133" i="123"/>
  <c r="CF282" i="123"/>
  <c r="CC189" i="123"/>
  <c r="CC205" i="123"/>
  <c r="CE167" i="123"/>
  <c r="CG151" i="123"/>
  <c r="CE247" i="123"/>
  <c r="BZ157" i="123"/>
  <c r="CE255" i="123"/>
  <c r="CE134" i="123"/>
  <c r="BZ262" i="123"/>
  <c r="CE284" i="123"/>
  <c r="CG140" i="123"/>
  <c r="CB163" i="123"/>
  <c r="CC290" i="123"/>
  <c r="CC164" i="123"/>
  <c r="CF164" i="123"/>
  <c r="CA150" i="123"/>
  <c r="BZ148" i="123"/>
  <c r="BX216" i="123"/>
  <c r="BX203" i="123"/>
  <c r="CG240" i="123"/>
  <c r="CD300" i="123"/>
  <c r="CB279" i="123"/>
  <c r="CC284" i="123"/>
  <c r="BY166" i="123"/>
  <c r="BY189" i="123"/>
  <c r="CG206" i="123"/>
  <c r="CD271" i="123"/>
  <c r="CE237" i="123"/>
  <c r="CC278" i="123"/>
  <c r="CG184" i="123"/>
  <c r="CD180" i="123"/>
  <c r="CE187" i="123"/>
  <c r="CD177" i="123"/>
  <c r="CC182" i="123"/>
  <c r="CE200" i="123"/>
  <c r="CE139" i="123"/>
  <c r="CE279" i="123"/>
  <c r="BZ150" i="123"/>
  <c r="CF171" i="123"/>
  <c r="BX278" i="123"/>
  <c r="CA242" i="123"/>
  <c r="CF288" i="123"/>
  <c r="CA252" i="123"/>
  <c r="CC238" i="123"/>
  <c r="CG235" i="123"/>
  <c r="CA278" i="123"/>
  <c r="BX177" i="123"/>
  <c r="CD260" i="123"/>
  <c r="CG152" i="123"/>
  <c r="BX258" i="123"/>
  <c r="CC142" i="123"/>
  <c r="BZ304" i="123"/>
  <c r="CC300" i="123"/>
  <c r="CC141" i="123"/>
  <c r="BZ268" i="123"/>
  <c r="BY255" i="123"/>
  <c r="CD276" i="123"/>
  <c r="CC237" i="123"/>
  <c r="CF280" i="123"/>
  <c r="CF254" i="123"/>
  <c r="BY304" i="123"/>
  <c r="CF293" i="123"/>
  <c r="CC177" i="123"/>
  <c r="BX289" i="123"/>
  <c r="CD290" i="123"/>
  <c r="CA209" i="123"/>
  <c r="CA300" i="123"/>
  <c r="BX292" i="123"/>
  <c r="CA247" i="123"/>
  <c r="CG242" i="123"/>
  <c r="CG304" i="123"/>
  <c r="BY235" i="123"/>
  <c r="BZ178" i="123"/>
  <c r="CD228" i="123"/>
  <c r="CD269" i="123"/>
  <c r="CF251" i="123"/>
  <c r="CB270" i="123"/>
  <c r="CB237" i="123"/>
  <c r="CC283" i="123"/>
  <c r="CE272" i="123"/>
  <c r="CA248" i="123"/>
  <c r="CF156" i="123"/>
  <c r="BZ258" i="123"/>
  <c r="CB131" i="123"/>
  <c r="CA286" i="123"/>
  <c r="CF189" i="123"/>
  <c r="CF277" i="123"/>
  <c r="CA259" i="123"/>
  <c r="CD162" i="123"/>
  <c r="CF200" i="123"/>
  <c r="CA185" i="123"/>
  <c r="CD167" i="123"/>
  <c r="BX284" i="123"/>
  <c r="CG246" i="123"/>
  <c r="BZ274" i="123"/>
  <c r="CE233" i="123"/>
  <c r="CE177" i="123"/>
  <c r="CC296" i="123"/>
  <c r="CB154" i="123"/>
  <c r="CC147" i="123"/>
  <c r="BX151" i="123"/>
  <c r="CD246" i="123"/>
  <c r="CG162" i="123"/>
  <c r="CC157" i="123"/>
  <c r="BX259" i="123"/>
  <c r="CC176" i="123"/>
  <c r="CF216" i="123"/>
  <c r="CE164" i="123"/>
  <c r="CG259" i="123"/>
  <c r="CC228" i="123"/>
  <c r="CG267" i="123"/>
  <c r="BZ182" i="123"/>
  <c r="CA244" i="123"/>
  <c r="BY138" i="123"/>
  <c r="CE278" i="123"/>
  <c r="CA290" i="123"/>
  <c r="CA276" i="123"/>
  <c r="BX304" i="123"/>
  <c r="CB230" i="123"/>
  <c r="BY270" i="123"/>
  <c r="CG263" i="123"/>
  <c r="BX178" i="123"/>
  <c r="CA240" i="123"/>
  <c r="BZ188" i="123"/>
  <c r="BY170" i="123"/>
  <c r="CB178" i="123"/>
  <c r="CC188" i="123"/>
  <c r="CE265" i="123"/>
  <c r="CB302" i="123"/>
  <c r="CF291" i="123"/>
  <c r="CE262" i="123"/>
  <c r="BX250" i="123"/>
  <c r="CC304" i="123"/>
  <c r="CG258" i="123"/>
  <c r="CB253" i="123"/>
  <c r="CC203" i="123"/>
  <c r="CA147" i="123"/>
  <c r="CG189" i="123"/>
  <c r="CA162" i="123"/>
  <c r="CB203" i="123"/>
  <c r="CF166" i="123"/>
  <c r="CA149" i="123"/>
  <c r="BX139" i="123"/>
  <c r="BX245" i="123"/>
  <c r="CC280" i="123"/>
  <c r="BX140" i="123"/>
  <c r="CF269" i="123"/>
  <c r="BZ176" i="123"/>
  <c r="BZ165" i="123"/>
  <c r="CD176" i="123"/>
  <c r="CA234" i="123"/>
  <c r="CG170" i="123"/>
  <c r="CB245" i="123"/>
  <c r="BX257" i="123"/>
  <c r="CB284" i="123"/>
  <c r="CA229" i="123"/>
  <c r="BZ131" i="123"/>
  <c r="CF265" i="123"/>
  <c r="CE293" i="123"/>
  <c r="CB280" i="123"/>
  <c r="BZ145" i="123"/>
  <c r="CF303" i="123"/>
  <c r="CE289" i="123"/>
  <c r="CF285" i="123"/>
  <c r="CD203" i="123"/>
  <c r="BX268" i="123"/>
  <c r="CE206" i="123"/>
  <c r="BX247" i="123"/>
  <c r="CA260" i="123"/>
  <c r="CC227" i="123"/>
  <c r="BY243" i="123"/>
  <c r="CE148" i="123"/>
  <c r="CG224" i="123"/>
  <c r="CA274" i="123"/>
  <c r="BX142" i="123"/>
  <c r="BX242" i="123"/>
  <c r="CB301" i="123"/>
  <c r="CE285" i="123"/>
  <c r="CC274" i="123"/>
  <c r="BZ189" i="123"/>
  <c r="BY298" i="123"/>
  <c r="CD200" i="123"/>
  <c r="BY252" i="123"/>
  <c r="CE245" i="123"/>
  <c r="BX249" i="123"/>
  <c r="CF180" i="123"/>
  <c r="CC287" i="123"/>
  <c r="CB186" i="123"/>
  <c r="CA176" i="123"/>
  <c r="BX275" i="123"/>
  <c r="CE189" i="123"/>
  <c r="CG178" i="123"/>
  <c r="CB150" i="123"/>
  <c r="CD253" i="123"/>
  <c r="BY153" i="123"/>
  <c r="CE260" i="123"/>
  <c r="BX285" i="123"/>
  <c r="CG159" i="123"/>
  <c r="CG293" i="123"/>
  <c r="BX288" i="123"/>
  <c r="CC185" i="123"/>
  <c r="CD169" i="123"/>
  <c r="CE248" i="123"/>
  <c r="CD289" i="123"/>
  <c r="CB172" i="123"/>
  <c r="CG271" i="123"/>
  <c r="CB184" i="123"/>
  <c r="CA163" i="123"/>
  <c r="BZ147" i="123"/>
  <c r="CE254" i="123"/>
  <c r="BY160" i="123"/>
  <c r="CA297" i="123"/>
  <c r="CC186" i="123"/>
  <c r="BZ146" i="123"/>
  <c r="CC139" i="123"/>
  <c r="BZ243" i="123"/>
  <c r="CC146" i="123"/>
  <c r="CE249" i="123"/>
  <c r="CF304" i="123"/>
  <c r="CG272" i="123"/>
  <c r="CA287" i="123"/>
  <c r="BY302" i="123"/>
  <c r="BY251" i="123"/>
  <c r="BX266" i="123"/>
  <c r="CC152" i="123"/>
  <c r="CA148" i="123"/>
  <c r="CF235" i="123"/>
  <c r="BZ256" i="123"/>
  <c r="CA288" i="123"/>
  <c r="CC259" i="123"/>
  <c r="CE280" i="123"/>
  <c r="CD236" i="123"/>
  <c r="CE131" i="123"/>
  <c r="CD146" i="123"/>
  <c r="BZ151" i="123"/>
  <c r="CC131" i="123"/>
  <c r="CF298" i="123"/>
  <c r="BY145" i="123"/>
  <c r="CE161" i="123"/>
  <c r="CG283" i="123"/>
  <c r="BZ186" i="123"/>
  <c r="CE156" i="123"/>
  <c r="CE273" i="123"/>
  <c r="CF244" i="123"/>
  <c r="BY134" i="123"/>
  <c r="BX146" i="123"/>
  <c r="BX287" i="123"/>
  <c r="CF167" i="123"/>
  <c r="CB188" i="123"/>
  <c r="CD194" i="123"/>
  <c r="CF241" i="123"/>
  <c r="CC256" i="123"/>
  <c r="CA251" i="123"/>
  <c r="CE299" i="123"/>
  <c r="CB170" i="123"/>
  <c r="CE241" i="123"/>
  <c r="CC169" i="123"/>
  <c r="BY291" i="123"/>
  <c r="CF239" i="123"/>
  <c r="CC153" i="123"/>
  <c r="BX265" i="123"/>
  <c r="BX262" i="123"/>
  <c r="CE166" i="123"/>
  <c r="CA250" i="123"/>
  <c r="BX243" i="123"/>
  <c r="BZ246" i="123"/>
  <c r="BZ259" i="123"/>
  <c r="CB167" i="123"/>
  <c r="CC133" i="123"/>
  <c r="BY230" i="123"/>
  <c r="BZ209" i="123"/>
  <c r="BY256" i="123"/>
  <c r="CF209" i="123"/>
  <c r="CF159" i="123"/>
  <c r="CB171" i="123"/>
  <c r="CG180" i="123"/>
  <c r="CF134" i="123"/>
  <c r="BY265" i="123"/>
  <c r="CG248" i="123"/>
  <c r="CD296" i="123"/>
  <c r="CC279" i="123"/>
  <c r="CE282" i="123"/>
  <c r="CA142" i="123"/>
  <c r="CC187" i="123"/>
  <c r="CB248" i="123"/>
  <c r="BX233" i="123"/>
  <c r="CD134" i="123"/>
  <c r="CD131" i="123"/>
  <c r="CC154" i="123"/>
  <c r="BX274" i="123"/>
  <c r="BZ216" i="123"/>
  <c r="BY177" i="123"/>
  <c r="CG275" i="123"/>
  <c r="CC149" i="123"/>
  <c r="CC249" i="123"/>
  <c r="CF132" i="123"/>
  <c r="CG296" i="123"/>
  <c r="BZ292" i="123"/>
  <c r="BX224" i="123"/>
  <c r="CG290" i="123"/>
  <c r="BY276" i="123"/>
  <c r="CG250" i="123"/>
  <c r="CB255" i="123"/>
  <c r="BY266" i="123"/>
  <c r="BX238" i="123"/>
  <c r="CG255" i="123"/>
  <c r="CA151" i="123"/>
  <c r="CD229" i="123"/>
  <c r="CF276" i="123"/>
  <c r="CA146" i="123"/>
  <c r="CA246" i="123"/>
  <c r="CD304" i="123"/>
  <c r="CA291" i="123"/>
  <c r="CE138" i="123"/>
  <c r="BY246" i="123"/>
  <c r="BY269" i="123"/>
  <c r="CF259" i="123"/>
  <c r="BX150" i="123"/>
  <c r="CD274" i="123"/>
  <c r="CE274" i="123"/>
  <c r="BZ241" i="123"/>
  <c r="CC234" i="123"/>
  <c r="BX138" i="123"/>
  <c r="CC273" i="123"/>
  <c r="CB234" i="123"/>
  <c r="CF246" i="123"/>
  <c r="CF133" i="123"/>
  <c r="CD241" i="123"/>
  <c r="BX184" i="123"/>
  <c r="BX170" i="123"/>
  <c r="CF165" i="123"/>
  <c r="CG168" i="123"/>
  <c r="CD255" i="123"/>
  <c r="BZ253" i="123"/>
  <c r="CB180" i="123"/>
  <c r="BZ158" i="123"/>
  <c r="BX149" i="123"/>
  <c r="CA200" i="123"/>
  <c r="CA153" i="123"/>
  <c r="CC174" i="123"/>
  <c r="CF145" i="123"/>
  <c r="BZ234" i="123"/>
  <c r="CC239" i="123"/>
  <c r="CD295" i="123"/>
  <c r="CG266" i="123"/>
  <c r="CG186" i="123"/>
  <c r="CD164" i="123"/>
  <c r="BZ295" i="123"/>
  <c r="CF247" i="123"/>
  <c r="CB275" i="123"/>
  <c r="CA184" i="123"/>
  <c r="CF271" i="123"/>
  <c r="CD140" i="123"/>
  <c r="CG245" i="123"/>
  <c r="CA277" i="123"/>
  <c r="BY172" i="123"/>
  <c r="CA157" i="123"/>
  <c r="CF162" i="123"/>
  <c r="CA262" i="123"/>
  <c r="BX164" i="123"/>
  <c r="BY151" i="123"/>
  <c r="CE136" i="123"/>
  <c r="CF240" i="123"/>
  <c r="CE303" i="123"/>
  <c r="CF146" i="123"/>
  <c r="CE168" i="123"/>
  <c r="CD272" i="123"/>
  <c r="BY281" i="123"/>
  <c r="CF266" i="123"/>
  <c r="BZ286" i="123"/>
  <c r="BY161" i="123"/>
  <c r="BY240" i="123"/>
  <c r="BZ283" i="123"/>
  <c r="CD159" i="123"/>
  <c r="BY259" i="123"/>
  <c r="CE158" i="123"/>
  <c r="BY131" i="123"/>
  <c r="BZ300" i="123"/>
  <c r="CG241" i="123"/>
  <c r="CB242" i="123"/>
  <c r="BX251" i="123"/>
  <c r="BZ296" i="123"/>
  <c r="CF131" i="123"/>
  <c r="BZ270" i="123"/>
  <c r="CA227" i="123"/>
  <c r="CA302" i="123"/>
  <c r="CA235" i="123"/>
  <c r="CB296" i="123"/>
  <c r="CD251" i="123"/>
  <c r="CG249" i="123"/>
  <c r="BX260" i="123"/>
  <c r="CF170" i="123"/>
  <c r="CC298" i="123"/>
  <c r="BY267" i="123"/>
  <c r="BY182" i="123"/>
  <c r="CF185" i="123"/>
  <c r="BX237" i="123"/>
  <c r="BZ267" i="123"/>
  <c r="CC235" i="123"/>
  <c r="CB189" i="123"/>
  <c r="CA236" i="123"/>
  <c r="BY164" i="123"/>
  <c r="CG132" i="123"/>
  <c r="BZ264" i="123"/>
  <c r="CG289" i="123"/>
  <c r="CD279" i="123"/>
  <c r="BZ229" i="123"/>
  <c r="BY244" i="123"/>
  <c r="CB144" i="123"/>
  <c r="CB249" i="123"/>
  <c r="CA203" i="123"/>
  <c r="BY136" i="123"/>
  <c r="CG277" i="123"/>
  <c r="CD174" i="123"/>
  <c r="CG262" i="123"/>
  <c r="CG256" i="123"/>
  <c r="CC229" i="123"/>
  <c r="CF273" i="123"/>
  <c r="CG286" i="123"/>
  <c r="CE157" i="123"/>
  <c r="CD142" i="123"/>
  <c r="CF137" i="123"/>
  <c r="BY239" i="123"/>
  <c r="CC247" i="123"/>
  <c r="CF224" i="123"/>
  <c r="BX281" i="123"/>
  <c r="CD206" i="123"/>
  <c r="CA173" i="123"/>
  <c r="BX283" i="123"/>
  <c r="CE295" i="123"/>
  <c r="BY253" i="123"/>
  <c r="CC275" i="123"/>
  <c r="CF150" i="123"/>
  <c r="CD188" i="123"/>
  <c r="BY268" i="123"/>
  <c r="BX264" i="123"/>
  <c r="CF250" i="123"/>
  <c r="BY285" i="123"/>
  <c r="CE292" i="123"/>
  <c r="BZ173" i="123"/>
  <c r="BZ269" i="123"/>
  <c r="CE137" i="123"/>
  <c r="CG261" i="123"/>
  <c r="CG161" i="123"/>
  <c r="CG182" i="123"/>
  <c r="BX205" i="123"/>
  <c r="CB300" i="123"/>
  <c r="CF255" i="123"/>
  <c r="CA134" i="123"/>
  <c r="CE236" i="123"/>
  <c r="CB297" i="123"/>
  <c r="CG276" i="123"/>
  <c r="CA271" i="123"/>
  <c r="CA182" i="123"/>
  <c r="CA281" i="123"/>
  <c r="CF248" i="123"/>
  <c r="BZ139" i="123"/>
  <c r="CD224" i="123"/>
  <c r="CB246" i="123"/>
  <c r="CA179" i="123"/>
  <c r="BZ187" i="123"/>
  <c r="CF142" i="123"/>
  <c r="CB200" i="123"/>
  <c r="CG268" i="123"/>
  <c r="CB304" i="123"/>
  <c r="CC233" i="123"/>
  <c r="BX295" i="123"/>
  <c r="CA272" i="123"/>
  <c r="CC257" i="123"/>
  <c r="BY179" i="123"/>
  <c r="CC288" i="123"/>
  <c r="CF169" i="123"/>
  <c r="BX206" i="123"/>
  <c r="BX180" i="123"/>
  <c r="BX235" i="123"/>
  <c r="CD171" i="123"/>
  <c r="CE276" i="123"/>
  <c r="CE176" i="123"/>
  <c r="BZ277" i="123"/>
  <c r="CE182" i="123"/>
  <c r="CB142" i="123"/>
  <c r="CF301" i="123"/>
  <c r="CB256" i="123"/>
  <c r="CA264" i="123"/>
  <c r="CC251" i="123"/>
  <c r="CG298" i="123"/>
  <c r="CF143" i="123"/>
  <c r="CB165" i="123"/>
  <c r="BX176" i="123"/>
  <c r="CC253" i="123"/>
  <c r="CE132" i="123"/>
  <c r="BX276" i="123"/>
  <c r="CD230" i="123"/>
  <c r="BZ172" i="123"/>
  <c r="BX209" i="123"/>
  <c r="CE243" i="123"/>
  <c r="BX228" i="123"/>
  <c r="BY237" i="123"/>
  <c r="CD187" i="123"/>
  <c r="CD247" i="123"/>
  <c r="CF174" i="123"/>
  <c r="BY287" i="123"/>
  <c r="BZ200" i="123"/>
  <c r="CC160" i="123"/>
  <c r="CB269" i="123"/>
  <c r="BZ194" i="123"/>
  <c r="CG265" i="123"/>
  <c r="BY194" i="123"/>
  <c r="CF267" i="123"/>
  <c r="CD138" i="123"/>
  <c r="CF149" i="123"/>
  <c r="CG146" i="123"/>
  <c r="CD139" i="123"/>
  <c r="BX302" i="123"/>
  <c r="CD153" i="123"/>
  <c r="CA170" i="123"/>
  <c r="CE296" i="123"/>
  <c r="BZ236" i="123"/>
  <c r="CA186" i="123"/>
  <c r="CF286" i="123"/>
  <c r="CE250" i="123"/>
  <c r="BZ154" i="123"/>
  <c r="CG172" i="123"/>
  <c r="CB293" i="123"/>
  <c r="CC277" i="123"/>
  <c r="CG270" i="123"/>
  <c r="CF233" i="123"/>
  <c r="CC148" i="123"/>
  <c r="BY171" i="123"/>
  <c r="CF284" i="123"/>
  <c r="CC134" i="123"/>
  <c r="BX188" i="123"/>
  <c r="CB247" i="123"/>
  <c r="CD299" i="123"/>
  <c r="CA261" i="123"/>
  <c r="BY284" i="123"/>
  <c r="CA257" i="123"/>
  <c r="CE251" i="123"/>
  <c r="CC145" i="123"/>
  <c r="CF136" i="123"/>
  <c r="CG264" i="123"/>
  <c r="CD243" i="123"/>
  <c r="BY283" i="123"/>
  <c r="CG150" i="123"/>
  <c r="CC268" i="123"/>
  <c r="BZ185" i="123"/>
  <c r="BZ230" i="123"/>
  <c r="CC171" i="123"/>
  <c r="CD163" i="123"/>
  <c r="CD147" i="123"/>
  <c r="CG302" i="123"/>
  <c r="CD250" i="123"/>
  <c r="CB132" i="123"/>
  <c r="CB157" i="123"/>
  <c r="BY156" i="123"/>
  <c r="BY148" i="123"/>
  <c r="CF281" i="123"/>
  <c r="CG133" i="123"/>
  <c r="CE152" i="123"/>
  <c r="CG287" i="123"/>
  <c r="CF203" i="123"/>
  <c r="CE173" i="123"/>
  <c r="CB278" i="123"/>
  <c r="CG238" i="123"/>
  <c r="CB141" i="123"/>
  <c r="BY133" i="123"/>
  <c r="CD280" i="123"/>
  <c r="CC255" i="123"/>
  <c r="CE259" i="123"/>
  <c r="BZ265" i="123"/>
  <c r="BZ254" i="123"/>
  <c r="CD168" i="123"/>
  <c r="CC271" i="123"/>
  <c r="BZ203" i="123"/>
  <c r="CF299" i="123"/>
  <c r="CB238" i="123"/>
  <c r="CG188" i="123"/>
  <c r="CC301" i="123"/>
  <c r="BX141" i="123"/>
  <c r="BZ142" i="123"/>
  <c r="BZ248" i="123"/>
  <c r="CB206" i="123"/>
  <c r="CC200" i="123"/>
  <c r="CD275" i="123"/>
  <c r="CF253" i="123"/>
  <c r="BZ224" i="123"/>
  <c r="CD149" i="123"/>
  <c r="CE283" i="123"/>
  <c r="CA294" i="123"/>
  <c r="CF236" i="123"/>
  <c r="CB146" i="123"/>
  <c r="CF144" i="123"/>
  <c r="BY290" i="123"/>
  <c r="BZ233" i="123"/>
  <c r="CF181" i="123"/>
  <c r="BY132" i="123"/>
  <c r="CD158" i="123"/>
  <c r="BY185" i="123"/>
  <c r="CB281" i="123"/>
  <c r="BY238" i="123"/>
  <c r="CE227" i="123"/>
  <c r="BZ159" i="123"/>
  <c r="BY262" i="123"/>
  <c r="CE174" i="123"/>
  <c r="CB303" i="123"/>
  <c r="CF139" i="123"/>
  <c r="CA174" i="123"/>
  <c r="CE304" i="123"/>
  <c r="CF300" i="123"/>
  <c r="CB258" i="123"/>
  <c r="BY176" i="123"/>
  <c r="CC254" i="123"/>
  <c r="CD293" i="123"/>
  <c r="CD181" i="123"/>
  <c r="BX279" i="123"/>
  <c r="CE229" i="123"/>
  <c r="BY181" i="123"/>
  <c r="BY173" i="123"/>
  <c r="BY282" i="123"/>
  <c r="BZ160" i="123"/>
  <c r="CA270" i="123"/>
  <c r="BX157" i="123"/>
  <c r="CF186" i="123"/>
  <c r="CA156" i="123"/>
  <c r="CB298" i="123"/>
  <c r="BZ302" i="123"/>
  <c r="CE209" i="123"/>
  <c r="CA168" i="123"/>
  <c r="CB295" i="123"/>
  <c r="CA136" i="123"/>
  <c r="CB243" i="123"/>
  <c r="CG216" i="123"/>
  <c r="CB147" i="123"/>
  <c r="BY169" i="123"/>
  <c r="CD160" i="123"/>
  <c r="CA296" i="123"/>
  <c r="CB274" i="123"/>
  <c r="BY216" i="123"/>
  <c r="CG187" i="123"/>
  <c r="CE179" i="123"/>
  <c r="CE171" i="123"/>
  <c r="CF161" i="123"/>
  <c r="CC258" i="123"/>
  <c r="CD264" i="123"/>
  <c r="CD148" i="123"/>
  <c r="CD254" i="123"/>
  <c r="CB166" i="123"/>
  <c r="CG273" i="123"/>
  <c r="CA188" i="123"/>
  <c r="BZ205" i="123"/>
  <c r="BY150" i="123"/>
  <c r="BY299" i="123"/>
  <c r="CB236" i="123"/>
  <c r="CE224" i="123"/>
  <c r="CD268" i="123"/>
  <c r="BY297" i="123"/>
  <c r="CB216" i="123"/>
  <c r="CE257" i="123"/>
  <c r="CG239" i="123"/>
  <c r="CF152" i="123"/>
  <c r="CD301" i="123"/>
  <c r="BY224" i="123"/>
  <c r="BX291" i="123"/>
  <c r="CD261" i="123"/>
  <c r="CA255" i="123"/>
  <c r="BX172" i="123"/>
  <c r="CG274" i="123"/>
  <c r="CE228" i="123"/>
  <c r="CG294" i="123"/>
  <c r="CB177" i="123"/>
  <c r="BX230" i="123"/>
  <c r="CD161" i="123"/>
  <c r="CG164" i="123"/>
  <c r="CG147" i="123"/>
  <c r="CG185" i="123"/>
  <c r="BY263" i="123"/>
  <c r="BX300" i="123"/>
  <c r="CC206" i="123"/>
  <c r="CD288" i="123"/>
  <c r="CA256" i="123"/>
  <c r="CB240" i="123"/>
  <c r="CF168" i="123"/>
  <c r="CG278" i="123"/>
  <c r="BX143" i="123"/>
  <c r="CC166" i="123"/>
  <c r="CA303" i="123"/>
  <c r="BX185" i="123"/>
  <c r="BY163" i="123"/>
  <c r="CF268" i="123"/>
  <c r="CC167" i="123"/>
  <c r="CC269" i="123"/>
  <c r="BZ169" i="123"/>
  <c r="BX299" i="123"/>
  <c r="CC242" i="123"/>
  <c r="BY152" i="123"/>
  <c r="BY228" i="123"/>
  <c r="BX186" i="123"/>
  <c r="CF272" i="123"/>
  <c r="CD132" i="123"/>
  <c r="CB151" i="123"/>
  <c r="CA158" i="123"/>
  <c r="CC168" i="123"/>
  <c r="CA216" i="123"/>
  <c r="BZ206" i="123"/>
  <c r="CB153" i="123"/>
  <c r="CB159" i="123"/>
  <c r="BX181" i="123"/>
  <c r="CG209" i="123"/>
  <c r="CG179" i="123"/>
  <c r="BY300" i="123"/>
  <c r="CE281" i="123"/>
  <c r="BX270" i="123"/>
  <c r="CG227" i="123"/>
  <c r="CG303" i="123"/>
  <c r="BZ244" i="123"/>
  <c r="CF184" i="123"/>
  <c r="CG154" i="123"/>
  <c r="BZ162" i="123"/>
  <c r="CD287" i="123"/>
  <c r="CE298" i="123"/>
  <c r="BX169" i="123"/>
  <c r="CG157" i="123"/>
  <c r="BX132" i="123"/>
  <c r="BX240" i="123"/>
  <c r="BY273" i="123"/>
  <c r="CG280" i="123"/>
  <c r="CA132" i="123"/>
  <c r="CF173" i="123"/>
  <c r="CA154" i="123"/>
  <c r="CC260" i="123"/>
  <c r="CE234" i="123"/>
  <c r="CD285" i="123"/>
  <c r="BX277" i="123"/>
  <c r="BY209" i="123"/>
  <c r="BX187" i="123"/>
  <c r="CC159" i="123"/>
  <c r="CD258" i="123"/>
  <c r="CA269" i="123"/>
  <c r="BZ290" i="123"/>
  <c r="BY257" i="123"/>
  <c r="CF243" i="123"/>
  <c r="CC272" i="123"/>
  <c r="CB143" i="123"/>
  <c r="CB268" i="123"/>
  <c r="CG269" i="123"/>
  <c r="CD184" i="123"/>
  <c r="BY233" i="123"/>
  <c r="CC194" i="123"/>
  <c r="BY229" i="123"/>
  <c r="CC162" i="123"/>
  <c r="CB286" i="123"/>
  <c r="CB229" i="123"/>
  <c r="CA171" i="123"/>
  <c r="CF270" i="123"/>
  <c r="CE181" i="123"/>
  <c r="CE169" i="123"/>
  <c r="BY146" i="123"/>
  <c r="CA249" i="123"/>
  <c r="CD145" i="123"/>
  <c r="BX234" i="123"/>
  <c r="CA254" i="123"/>
  <c r="CE150" i="123"/>
  <c r="CC289" i="123"/>
  <c r="CD281" i="123"/>
  <c r="CE159" i="123"/>
  <c r="CG166" i="123"/>
  <c r="BX246" i="123"/>
  <c r="BZ287" i="123"/>
  <c r="BY168" i="123"/>
  <c r="CD267" i="123"/>
  <c r="CD173" i="123"/>
  <c r="BZ153" i="123"/>
  <c r="CG142" i="123"/>
  <c r="CB250" i="123"/>
  <c r="BY296" i="123"/>
  <c r="BZ266" i="123"/>
  <c r="CD157" i="123"/>
  <c r="BX134" i="123"/>
  <c r="CB134" i="123"/>
  <c r="CC240" i="123"/>
  <c r="CE140" i="123"/>
  <c r="CG243" i="123"/>
  <c r="CF302" i="123"/>
  <c r="CB264" i="123"/>
  <c r="CA273" i="123"/>
  <c r="CA289" i="123"/>
  <c r="CD185" i="123"/>
  <c r="CF228" i="123"/>
  <c r="CG131" i="123"/>
  <c r="BZ280" i="123"/>
  <c r="CB227" i="123"/>
  <c r="CF249" i="123"/>
  <c r="CG281" i="123"/>
  <c r="CB291" i="123"/>
  <c r="BY140" i="123"/>
  <c r="BX263" i="123"/>
  <c r="CD186" i="123"/>
  <c r="BZ140" i="123"/>
  <c r="CE142" i="123"/>
  <c r="CE302" i="123"/>
  <c r="CB292" i="123"/>
  <c r="CB162" i="123"/>
  <c r="CC179" i="123"/>
  <c r="CA292" i="123"/>
  <c r="CF227" i="123"/>
  <c r="CG167" i="123"/>
  <c r="CB282" i="123"/>
  <c r="BX256" i="123"/>
  <c r="CF147" i="123"/>
  <c r="CA304" i="123"/>
  <c r="CC144" i="123"/>
  <c r="BX239" i="123"/>
  <c r="CC264" i="123"/>
  <c r="BZ184" i="123"/>
  <c r="CB235" i="123"/>
  <c r="BX248" i="123"/>
  <c r="CF242" i="123"/>
  <c r="BX152" i="123"/>
  <c r="BX236" i="123"/>
  <c r="CG252" i="123"/>
  <c r="CA181" i="123"/>
  <c r="CG299" i="123"/>
  <c r="CD248" i="123"/>
  <c r="CG165" i="123"/>
  <c r="CB273" i="123"/>
  <c r="CG244" i="123"/>
  <c r="BY187" i="123"/>
  <c r="CC261" i="123"/>
  <c r="BZ260" i="123"/>
  <c r="CB263" i="123"/>
  <c r="CC224" i="123"/>
  <c r="CB228" i="123"/>
  <c r="CG301" i="123"/>
  <c r="BX165" i="123"/>
  <c r="CB271" i="123"/>
  <c r="BX244" i="123"/>
  <c r="CA266" i="123"/>
  <c r="CB287" i="123"/>
  <c r="CG144" i="123"/>
  <c r="BY188" i="123"/>
  <c r="BZ238" i="123"/>
  <c r="CA228" i="123"/>
  <c r="BZ298" i="123"/>
  <c r="CE291" i="123"/>
  <c r="CD242" i="123"/>
  <c r="BZ279" i="123"/>
  <c r="CD286" i="123"/>
  <c r="CG149" i="123"/>
  <c r="BY303" i="123"/>
  <c r="CF179" i="123"/>
  <c r="BY154" i="123"/>
  <c r="BZ240" i="123"/>
  <c r="CC158" i="123"/>
  <c r="CC156" i="123"/>
  <c r="CC236" i="123"/>
  <c r="CC294" i="123"/>
  <c r="BY279" i="123"/>
  <c r="CB158" i="123"/>
  <c r="CF154" i="123"/>
  <c r="CF148" i="123"/>
  <c r="CA233" i="123"/>
  <c r="CD244" i="123"/>
  <c r="CF263" i="123"/>
  <c r="CE230" i="123"/>
  <c r="CA241" i="123"/>
  <c r="BZ271" i="123"/>
  <c r="CD143" i="123"/>
  <c r="CE258" i="123"/>
  <c r="BY242" i="123"/>
  <c r="CF257" i="123"/>
  <c r="BZ261" i="123"/>
  <c r="BY234" i="123"/>
  <c r="CA237" i="123"/>
  <c r="CE184" i="123"/>
  <c r="CB185" i="123"/>
  <c r="CC286" i="123"/>
  <c r="BY137" i="123"/>
  <c r="CC161" i="123"/>
  <c r="CB148" i="123"/>
  <c r="BZ163" i="123"/>
  <c r="CB136" i="123"/>
  <c r="BX136" i="123"/>
  <c r="CF187" i="123"/>
  <c r="BX297" i="123"/>
  <c r="CD178" i="123"/>
  <c r="CE261" i="123"/>
  <c r="CF237" i="123"/>
  <c r="BY158" i="123"/>
  <c r="CG205" i="123"/>
  <c r="BZ294" i="123"/>
  <c r="BY278" i="123"/>
  <c r="CA301" i="123"/>
  <c r="CG237" i="123"/>
  <c r="CC165" i="123"/>
  <c r="BZ227" i="123"/>
  <c r="BY205" i="123"/>
  <c r="CF229" i="123"/>
  <c r="CG254" i="123"/>
  <c r="CF264" i="123"/>
  <c r="BY286" i="123"/>
  <c r="BZ166" i="123"/>
  <c r="CB152" i="123"/>
  <c r="CF296" i="123"/>
  <c r="CC303" i="123"/>
  <c r="CG176" i="123"/>
  <c r="CA138" i="123"/>
  <c r="CE264" i="123"/>
  <c r="CE185" i="123"/>
  <c r="BY289" i="123"/>
  <c r="BZ177" i="123"/>
  <c r="BZ245" i="123"/>
  <c r="CE287" i="123"/>
  <c r="CD283" i="123"/>
  <c r="CD209" i="123"/>
  <c r="CA169" i="123"/>
  <c r="BY157" i="123"/>
  <c r="CD165" i="123"/>
  <c r="CC292" i="123"/>
  <c r="CG282" i="123"/>
  <c r="CE188" i="123"/>
  <c r="CF157" i="123"/>
  <c r="CB179" i="123"/>
  <c r="CE205" i="123"/>
  <c r="CD303" i="123"/>
  <c r="CE266" i="123"/>
  <c r="CB174" i="123"/>
  <c r="BY248" i="123"/>
  <c r="CB187" i="123"/>
  <c r="CD238" i="123"/>
  <c r="CF260" i="123"/>
  <c r="BY247" i="123"/>
  <c r="CA293" i="123"/>
  <c r="BX303" i="123"/>
  <c r="CA205" i="123"/>
  <c r="CE151" i="123"/>
  <c r="CA268" i="123"/>
  <c r="BX163" i="123"/>
  <c r="CD133" i="123"/>
  <c r="BZ252" i="123"/>
  <c r="CB259" i="123"/>
  <c r="BY261" i="123"/>
  <c r="CG160" i="123"/>
  <c r="CF163" i="123"/>
  <c r="BZ289" i="123"/>
  <c r="CE149" i="123"/>
  <c r="CB265" i="123"/>
  <c r="CD256" i="123"/>
  <c r="CC216" i="123"/>
  <c r="BX254" i="123"/>
  <c r="CD182" i="123"/>
  <c r="CG300" i="123"/>
  <c r="CF262" i="123"/>
  <c r="CG291" i="123"/>
  <c r="CC173" i="123"/>
  <c r="CC276" i="123"/>
  <c r="CA194" i="123"/>
  <c r="BX269" i="123"/>
  <c r="CF206" i="123"/>
  <c r="CF205" i="123"/>
  <c r="CD189" i="123"/>
  <c r="CF258" i="123"/>
  <c r="CD234" i="123"/>
  <c r="BX161" i="123"/>
  <c r="CB137" i="123"/>
  <c r="BX227" i="123"/>
  <c r="CF194" i="123"/>
  <c r="CG145" i="123"/>
  <c r="CE256" i="123"/>
  <c r="CD245" i="123"/>
  <c r="BZ174" i="123"/>
  <c r="CA206" i="123"/>
  <c r="CC291" i="123"/>
  <c r="CC281" i="123"/>
  <c r="CA253" i="123"/>
  <c r="CA189" i="123"/>
  <c r="CD284" i="123"/>
  <c r="CE246" i="123"/>
  <c r="CA238" i="123"/>
  <c r="CC163" i="123"/>
  <c r="CB266" i="123"/>
  <c r="CF182" i="123"/>
  <c r="CD237" i="123"/>
  <c r="CD152" i="123"/>
  <c r="BY184" i="123"/>
  <c r="CA143" i="123"/>
  <c r="BY143" i="123"/>
  <c r="BY280" i="123"/>
  <c r="CF178" i="123"/>
  <c r="BZ257" i="123"/>
  <c r="BX296" i="123"/>
  <c r="BY186" i="123"/>
  <c r="BZ282" i="123"/>
  <c r="BZ239" i="123"/>
  <c r="BY200" i="123"/>
  <c r="CA160" i="123"/>
  <c r="CE271" i="123"/>
  <c r="CF297" i="123"/>
  <c r="CA139" i="123"/>
  <c r="CE277" i="123"/>
  <c r="CD166" i="123"/>
  <c r="CG153" i="123"/>
  <c r="CD257" i="123"/>
  <c r="CG158" i="123"/>
  <c r="CG260" i="123"/>
  <c r="CB156" i="123"/>
  <c r="CB289" i="123"/>
  <c r="CG156" i="123"/>
  <c r="CE263" i="123"/>
  <c r="CA161" i="123"/>
  <c r="CD259" i="123"/>
  <c r="CE238" i="123"/>
  <c r="CA239" i="123"/>
  <c r="CC138" i="123"/>
  <c r="CC140" i="123"/>
  <c r="CE141" i="123"/>
  <c r="BZ299" i="123"/>
  <c r="CA159" i="123"/>
  <c r="CB133" i="123"/>
  <c r="CB145" i="123"/>
  <c r="BX167" i="123"/>
  <c r="BY178" i="123"/>
  <c r="BY162" i="123"/>
  <c r="CG230" i="123"/>
  <c r="CF188" i="123"/>
  <c r="CB288" i="123"/>
  <c r="CF252" i="123"/>
  <c r="BZ144" i="123"/>
  <c r="CB261" i="123"/>
  <c r="CD239" i="123"/>
  <c r="BZ179" i="123"/>
  <c r="BX189" i="123"/>
  <c r="BZ249" i="123"/>
  <c r="CG139" i="123"/>
  <c r="CC293" i="123"/>
  <c r="BZ228" i="123"/>
  <c r="CG136" i="123"/>
  <c r="BX261" i="123"/>
  <c r="CA280" i="123"/>
  <c r="CB276" i="123"/>
  <c r="CF256" i="123"/>
  <c r="CE269" i="123"/>
  <c r="CG173" i="123"/>
  <c r="BX271" i="123"/>
  <c r="CB262" i="123"/>
  <c r="CB169" i="123"/>
  <c r="CE290" i="123"/>
  <c r="CB239" i="123"/>
  <c r="CF290" i="123"/>
  <c r="BY159" i="123"/>
  <c r="BZ171" i="123"/>
  <c r="CB161" i="123"/>
  <c r="BZ152" i="123"/>
  <c r="CE203" i="123"/>
  <c r="CD172" i="123"/>
  <c r="BY271" i="123"/>
  <c r="CG279" i="123"/>
  <c r="CG181" i="123"/>
  <c r="CA267" i="123"/>
  <c r="CA165" i="123"/>
  <c r="CD179" i="123"/>
  <c r="EX24" i="98"/>
  <c r="X201" i="123" l="1"/>
  <c r="X210" i="123"/>
  <c r="X155" i="123"/>
  <c r="X191" i="123"/>
  <c r="X207" i="123"/>
  <c r="X175" i="123"/>
  <c r="X135" i="123"/>
  <c r="X195" i="123"/>
  <c r="X211" i="123"/>
  <c r="X225" i="123"/>
  <c r="X190" i="123"/>
  <c r="X129" i="123"/>
  <c r="X183" i="123"/>
  <c r="X232" i="123"/>
  <c r="X204" i="123"/>
  <c r="X226" i="123"/>
  <c r="X214" i="123"/>
  <c r="X130" i="123"/>
  <c r="X231" i="123"/>
  <c r="X213" i="123"/>
  <c r="X221" i="123"/>
  <c r="X222" i="123"/>
  <c r="X218" i="123"/>
  <c r="X219" i="123"/>
  <c r="X220" i="123"/>
  <c r="X223" i="123"/>
  <c r="HJ28" i="93"/>
  <c r="DP214" i="123" l="1"/>
  <c r="DP211" i="123"/>
  <c r="DP231" i="123"/>
  <c r="DP213" i="123"/>
  <c r="DP223" i="123"/>
  <c r="DP222" i="123"/>
  <c r="DP221" i="123"/>
  <c r="DP220" i="123"/>
  <c r="DP219" i="123"/>
  <c r="DP218" i="123"/>
  <c r="JH56" i="93"/>
  <c r="LQ51" i="93" s="1"/>
  <c r="ED35" i="98" l="1"/>
  <c r="ED36" i="98"/>
  <c r="ED37" i="98"/>
  <c r="ED38" i="98"/>
  <c r="ED40" i="98"/>
  <c r="ED41" i="98"/>
  <c r="ED42" i="98"/>
  <c r="ED43" i="98"/>
  <c r="ED44" i="98"/>
  <c r="ED45" i="98"/>
  <c r="ED46" i="98"/>
  <c r="ED47" i="98"/>
  <c r="ED48" i="98"/>
  <c r="ED49" i="98"/>
  <c r="ED50" i="98"/>
  <c r="ED51" i="98"/>
  <c r="ED53" i="98"/>
  <c r="ED54" i="98"/>
  <c r="ED55" i="98"/>
  <c r="ED56" i="98"/>
  <c r="ED67" i="98"/>
  <c r="ED68" i="98"/>
  <c r="ED69" i="98"/>
  <c r="ED70" i="98"/>
  <c r="ED71" i="98"/>
  <c r="EG33" i="98"/>
  <c r="EG35" i="98"/>
  <c r="EG36" i="98"/>
  <c r="EG37" i="98"/>
  <c r="EG38" i="98"/>
  <c r="EG39" i="98"/>
  <c r="EG40" i="98"/>
  <c r="EG41" i="98"/>
  <c r="EG42" i="98"/>
  <c r="EG43" i="98"/>
  <c r="EG44" i="98"/>
  <c r="EG45" i="98"/>
  <c r="EG46" i="98"/>
  <c r="EG47" i="98"/>
  <c r="EG49" i="98"/>
  <c r="EG50" i="98"/>
  <c r="EG51" i="98"/>
  <c r="EG53" i="98"/>
  <c r="EG54" i="98"/>
  <c r="EG55" i="98"/>
  <c r="EG56" i="98"/>
  <c r="EG67" i="98"/>
  <c r="EG68" i="98"/>
  <c r="EG69" i="98"/>
  <c r="EG70" i="98"/>
  <c r="EG71" i="98"/>
  <c r="EG34" i="98"/>
  <c r="BN70" i="98" l="1"/>
  <c r="BO70" i="98"/>
  <c r="BN47" i="98"/>
  <c r="BO47" i="98"/>
  <c r="BN38" i="98"/>
  <c r="BO38" i="98"/>
  <c r="AT55" i="98"/>
  <c r="DP55" i="98" s="1"/>
  <c r="BN55" i="98"/>
  <c r="BO55" i="98"/>
  <c r="BN50" i="98"/>
  <c r="BO50" i="98"/>
  <c r="BN46" i="98"/>
  <c r="BO46" i="98"/>
  <c r="BN42" i="98"/>
  <c r="BO42" i="98"/>
  <c r="BN37" i="98"/>
  <c r="BO37" i="98"/>
  <c r="BN43" i="98"/>
  <c r="BO43" i="98"/>
  <c r="BN69" i="98"/>
  <c r="BO69" i="98"/>
  <c r="BN68" i="98"/>
  <c r="BO68" i="98"/>
  <c r="BN54" i="98"/>
  <c r="BO54" i="98"/>
  <c r="BN49" i="98"/>
  <c r="BO49" i="98"/>
  <c r="BN45" i="98"/>
  <c r="BO45" i="98"/>
  <c r="BN41" i="98"/>
  <c r="BO41" i="98"/>
  <c r="BN36" i="98"/>
  <c r="BO36" i="98"/>
  <c r="BN51" i="98"/>
  <c r="BO51" i="98"/>
  <c r="BN71" i="98"/>
  <c r="BO71" i="98"/>
  <c r="BN67" i="98"/>
  <c r="BO67" i="98"/>
  <c r="BN53" i="98"/>
  <c r="BO53" i="98"/>
  <c r="BN48" i="98"/>
  <c r="BO48" i="98"/>
  <c r="BN44" i="98"/>
  <c r="BO44" i="98"/>
  <c r="BN40" i="98"/>
  <c r="BO40" i="98"/>
  <c r="AT35" i="98"/>
  <c r="DP35" i="98" s="1"/>
  <c r="BN35" i="98"/>
  <c r="BO35" i="98"/>
  <c r="BO56" i="98"/>
  <c r="BN56" i="98"/>
  <c r="AT69" i="98"/>
  <c r="DP69" i="98" s="1"/>
  <c r="AT70" i="98"/>
  <c r="DP70" i="98" s="1"/>
  <c r="AT56" i="98"/>
  <c r="DP56" i="98" s="1"/>
  <c r="AT68" i="98"/>
  <c r="DP68" i="98" s="1"/>
  <c r="AT36" i="98"/>
  <c r="DP36" i="98" s="1"/>
  <c r="AT71" i="98"/>
  <c r="DP71" i="98" s="1"/>
  <c r="AT67" i="98"/>
  <c r="DP67" i="98" s="1"/>
  <c r="AP70" i="98"/>
  <c r="DD70" i="98" s="1"/>
  <c r="AS70" i="98"/>
  <c r="DM70" i="98" s="1"/>
  <c r="DL70" i="98" s="1"/>
  <c r="AO70" i="98"/>
  <c r="DA70" i="98" s="1"/>
  <c r="CZ70" i="98" s="1"/>
  <c r="AR70" i="98"/>
  <c r="DJ70" i="98" s="1"/>
  <c r="DI70" i="98" s="1"/>
  <c r="G43" i="115" s="1"/>
  <c r="AS56" i="98"/>
  <c r="AR56" i="98"/>
  <c r="AP56" i="98"/>
  <c r="DD56" i="98" s="1"/>
  <c r="AO56" i="98"/>
  <c r="DA56" i="98" s="1"/>
  <c r="CZ56" i="98" s="1"/>
  <c r="H29" i="115" s="1"/>
  <c r="AR51" i="98"/>
  <c r="DJ51" i="98" s="1"/>
  <c r="DI51" i="98" s="1"/>
  <c r="G24" i="115" s="1"/>
  <c r="AP51" i="98"/>
  <c r="DD51" i="98" s="1"/>
  <c r="AO51" i="98"/>
  <c r="DA51" i="98" s="1"/>
  <c r="CZ51" i="98" s="1"/>
  <c r="H24" i="115" s="1"/>
  <c r="AS51" i="98"/>
  <c r="DM51" i="98" s="1"/>
  <c r="DL51" i="98" s="1"/>
  <c r="I24" i="115" s="1"/>
  <c r="AR47" i="98"/>
  <c r="DJ47" i="98" s="1"/>
  <c r="DI47" i="98" s="1"/>
  <c r="G20" i="115" s="1"/>
  <c r="AP47" i="98"/>
  <c r="DD47" i="98" s="1"/>
  <c r="AO47" i="98"/>
  <c r="DA47" i="98" s="1"/>
  <c r="CZ47" i="98" s="1"/>
  <c r="H20" i="115" s="1"/>
  <c r="AS47" i="98"/>
  <c r="DM47" i="98" s="1"/>
  <c r="DL47" i="98" s="1"/>
  <c r="I20" i="115" s="1"/>
  <c r="AR43" i="98"/>
  <c r="DJ43" i="98" s="1"/>
  <c r="DI43" i="98" s="1"/>
  <c r="G16" i="115" s="1"/>
  <c r="AP43" i="98"/>
  <c r="DD43" i="98" s="1"/>
  <c r="AO43" i="98"/>
  <c r="DA43" i="98" s="1"/>
  <c r="CZ43" i="98" s="1"/>
  <c r="H16" i="115" s="1"/>
  <c r="AS43" i="98"/>
  <c r="DM43" i="98" s="1"/>
  <c r="DL43" i="98" s="1"/>
  <c r="I16" i="115" s="1"/>
  <c r="AP38" i="98"/>
  <c r="DD38" i="98" s="1"/>
  <c r="AO38" i="98"/>
  <c r="DA38" i="98" s="1"/>
  <c r="CZ38" i="98" s="1"/>
  <c r="H11" i="115" s="1"/>
  <c r="AS38" i="98"/>
  <c r="DM38" i="98" s="1"/>
  <c r="DL38" i="98" s="1"/>
  <c r="I11" i="115" s="1"/>
  <c r="AR38" i="98"/>
  <c r="DJ38" i="98" s="1"/>
  <c r="DI38" i="98" s="1"/>
  <c r="G11" i="115" s="1"/>
  <c r="AO69" i="98"/>
  <c r="DA69" i="98" s="1"/>
  <c r="CZ69" i="98" s="1"/>
  <c r="H42" i="115" s="1"/>
  <c r="AS69" i="98"/>
  <c r="DM69" i="98" s="1"/>
  <c r="DL69" i="98" s="1"/>
  <c r="AR69" i="98"/>
  <c r="DJ69" i="98" s="1"/>
  <c r="DI69" i="98" s="1"/>
  <c r="G42" i="115" s="1"/>
  <c r="AP69" i="98"/>
  <c r="DD69" i="98" s="1"/>
  <c r="AR55" i="98"/>
  <c r="DJ55" i="98" s="1"/>
  <c r="DI55" i="98" s="1"/>
  <c r="G28" i="115" s="1"/>
  <c r="AP55" i="98"/>
  <c r="DD55" i="98" s="1"/>
  <c r="AO55" i="98"/>
  <c r="DA55" i="98" s="1"/>
  <c r="CZ55" i="98" s="1"/>
  <c r="H28" i="115" s="1"/>
  <c r="AS55" i="98"/>
  <c r="DM55" i="98" s="1"/>
  <c r="DL55" i="98" s="1"/>
  <c r="I28" i="115" s="1"/>
  <c r="AP50" i="98"/>
  <c r="DD50" i="98" s="1"/>
  <c r="AO50" i="98"/>
  <c r="DA50" i="98" s="1"/>
  <c r="CZ50" i="98" s="1"/>
  <c r="H23" i="115" s="1"/>
  <c r="AS50" i="98"/>
  <c r="DM50" i="98" s="1"/>
  <c r="DL50" i="98" s="1"/>
  <c r="I23" i="115" s="1"/>
  <c r="AR50" i="98"/>
  <c r="DJ50" i="98" s="1"/>
  <c r="DI50" i="98" s="1"/>
  <c r="G23" i="115" s="1"/>
  <c r="AP46" i="98"/>
  <c r="DD46" i="98" s="1"/>
  <c r="AO46" i="98"/>
  <c r="DA46" i="98" s="1"/>
  <c r="CZ46" i="98" s="1"/>
  <c r="H19" i="115" s="1"/>
  <c r="AS46" i="98"/>
  <c r="DM46" i="98" s="1"/>
  <c r="DL46" i="98" s="1"/>
  <c r="I19" i="115" s="1"/>
  <c r="AR46" i="98"/>
  <c r="DJ46" i="98" s="1"/>
  <c r="DI46" i="98" s="1"/>
  <c r="G19" i="115" s="1"/>
  <c r="AP42" i="98"/>
  <c r="DD42" i="98" s="1"/>
  <c r="AO42" i="98"/>
  <c r="DA42" i="98" s="1"/>
  <c r="CZ42" i="98" s="1"/>
  <c r="H15" i="115" s="1"/>
  <c r="AS42" i="98"/>
  <c r="DM42" i="98" s="1"/>
  <c r="DL42" i="98" s="1"/>
  <c r="I15" i="115" s="1"/>
  <c r="AR42" i="98"/>
  <c r="DJ42" i="98" s="1"/>
  <c r="DI42" i="98" s="1"/>
  <c r="G15" i="115" s="1"/>
  <c r="AO37" i="98"/>
  <c r="DA37" i="98" s="1"/>
  <c r="CZ37" i="98" s="1"/>
  <c r="H10" i="115" s="1"/>
  <c r="AS37" i="98"/>
  <c r="DM37" i="98" s="1"/>
  <c r="DL37" i="98" s="1"/>
  <c r="I10" i="115" s="1"/>
  <c r="AR37" i="98"/>
  <c r="DJ37" i="98" s="1"/>
  <c r="DI37" i="98" s="1"/>
  <c r="G10" i="115" s="1"/>
  <c r="AP37" i="98"/>
  <c r="DD37" i="98" s="1"/>
  <c r="AS68" i="98"/>
  <c r="DM68" i="98" s="1"/>
  <c r="DL68" i="98" s="1"/>
  <c r="I41" i="115" s="1"/>
  <c r="AR68" i="98"/>
  <c r="DJ68" i="98" s="1"/>
  <c r="DI68" i="98" s="1"/>
  <c r="AP68" i="98"/>
  <c r="DD68" i="98" s="1"/>
  <c r="AO68" i="98"/>
  <c r="DA68" i="98" s="1"/>
  <c r="CZ68" i="98" s="1"/>
  <c r="H41" i="115" s="1"/>
  <c r="AP54" i="98"/>
  <c r="DD54" i="98" s="1"/>
  <c r="AO54" i="98"/>
  <c r="DA54" i="98" s="1"/>
  <c r="CZ54" i="98" s="1"/>
  <c r="H27" i="115" s="1"/>
  <c r="AS54" i="98"/>
  <c r="DM54" i="98" s="1"/>
  <c r="DL54" i="98" s="1"/>
  <c r="I27" i="115" s="1"/>
  <c r="AR54" i="98"/>
  <c r="DJ54" i="98" s="1"/>
  <c r="DI54" i="98" s="1"/>
  <c r="G27" i="115" s="1"/>
  <c r="AO49" i="98"/>
  <c r="DA49" i="98" s="1"/>
  <c r="CZ49" i="98" s="1"/>
  <c r="H22" i="115" s="1"/>
  <c r="AS49" i="98"/>
  <c r="DM49" i="98" s="1"/>
  <c r="DL49" i="98" s="1"/>
  <c r="I22" i="115" s="1"/>
  <c r="AR49" i="98"/>
  <c r="DJ49" i="98" s="1"/>
  <c r="DI49" i="98" s="1"/>
  <c r="G22" i="115" s="1"/>
  <c r="AP49" i="98"/>
  <c r="DD49" i="98" s="1"/>
  <c r="AO45" i="98"/>
  <c r="DA45" i="98" s="1"/>
  <c r="CZ45" i="98" s="1"/>
  <c r="H18" i="115" s="1"/>
  <c r="AS45" i="98"/>
  <c r="DM45" i="98" s="1"/>
  <c r="DL45" i="98" s="1"/>
  <c r="I18" i="115" s="1"/>
  <c r="AR45" i="98"/>
  <c r="DJ45" i="98" s="1"/>
  <c r="DI45" i="98" s="1"/>
  <c r="G18" i="115" s="1"/>
  <c r="AP45" i="98"/>
  <c r="DD45" i="98" s="1"/>
  <c r="AO41" i="98"/>
  <c r="DA41" i="98" s="1"/>
  <c r="CZ41" i="98" s="1"/>
  <c r="H14" i="115" s="1"/>
  <c r="AS41" i="98"/>
  <c r="DM41" i="98" s="1"/>
  <c r="DL41" i="98" s="1"/>
  <c r="I14" i="115" s="1"/>
  <c r="AR41" i="98"/>
  <c r="DJ41" i="98" s="1"/>
  <c r="DI41" i="98" s="1"/>
  <c r="G14" i="115" s="1"/>
  <c r="AP41" i="98"/>
  <c r="DD41" i="98" s="1"/>
  <c r="AS36" i="98"/>
  <c r="DM36" i="98" s="1"/>
  <c r="DL36" i="98" s="1"/>
  <c r="I9" i="115" s="1"/>
  <c r="AR36" i="98"/>
  <c r="DJ36" i="98" s="1"/>
  <c r="DI36" i="98" s="1"/>
  <c r="G9" i="115" s="1"/>
  <c r="AP36" i="98"/>
  <c r="DD36" i="98" s="1"/>
  <c r="AO36" i="98"/>
  <c r="DA36" i="98" s="1"/>
  <c r="CZ36" i="98" s="1"/>
  <c r="H9" i="115" s="1"/>
  <c r="AR71" i="98"/>
  <c r="DJ71" i="98" s="1"/>
  <c r="DI71" i="98" s="1"/>
  <c r="AP71" i="98"/>
  <c r="DD71" i="98" s="1"/>
  <c r="AO71" i="98"/>
  <c r="DA71" i="98" s="1"/>
  <c r="CZ71" i="98" s="1"/>
  <c r="AS71" i="98"/>
  <c r="DM71" i="98" s="1"/>
  <c r="DL71" i="98" s="1"/>
  <c r="AR67" i="98"/>
  <c r="DJ67" i="98" s="1"/>
  <c r="DI67" i="98" s="1"/>
  <c r="G40" i="115" s="1"/>
  <c r="AP67" i="98"/>
  <c r="DD67" i="98" s="1"/>
  <c r="AO67" i="98"/>
  <c r="DA67" i="98" s="1"/>
  <c r="CZ67" i="98" s="1"/>
  <c r="H40" i="115" s="1"/>
  <c r="AS67" i="98"/>
  <c r="DM67" i="98" s="1"/>
  <c r="DL67" i="98" s="1"/>
  <c r="I40" i="115" s="1"/>
  <c r="AO53" i="98"/>
  <c r="DA53" i="98" s="1"/>
  <c r="CZ53" i="98" s="1"/>
  <c r="H26" i="115" s="1"/>
  <c r="AS53" i="98"/>
  <c r="DM53" i="98" s="1"/>
  <c r="DL53" i="98" s="1"/>
  <c r="I26" i="115" s="1"/>
  <c r="AR53" i="98"/>
  <c r="DJ53" i="98" s="1"/>
  <c r="DI53" i="98" s="1"/>
  <c r="G26" i="115" s="1"/>
  <c r="AP53" i="98"/>
  <c r="DD53" i="98" s="1"/>
  <c r="AS48" i="98"/>
  <c r="DM48" i="98" s="1"/>
  <c r="DL48" i="98" s="1"/>
  <c r="I21" i="115" s="1"/>
  <c r="AR48" i="98"/>
  <c r="DJ48" i="98" s="1"/>
  <c r="DI48" i="98" s="1"/>
  <c r="G21" i="115" s="1"/>
  <c r="AP48" i="98"/>
  <c r="DD48" i="98" s="1"/>
  <c r="AO48" i="98"/>
  <c r="DA48" i="98" s="1"/>
  <c r="CZ48" i="98" s="1"/>
  <c r="H21" i="115" s="1"/>
  <c r="AS44" i="98"/>
  <c r="DM44" i="98" s="1"/>
  <c r="DL44" i="98" s="1"/>
  <c r="I17" i="115" s="1"/>
  <c r="AR44" i="98"/>
  <c r="DJ44" i="98" s="1"/>
  <c r="DI44" i="98" s="1"/>
  <c r="G17" i="115" s="1"/>
  <c r="AP44" i="98"/>
  <c r="DD44" i="98" s="1"/>
  <c r="AO44" i="98"/>
  <c r="DA44" i="98" s="1"/>
  <c r="CZ44" i="98" s="1"/>
  <c r="H17" i="115" s="1"/>
  <c r="AS40" i="98"/>
  <c r="DM40" i="98" s="1"/>
  <c r="DL40" i="98" s="1"/>
  <c r="I13" i="115" s="1"/>
  <c r="AR40" i="98"/>
  <c r="DJ40" i="98" s="1"/>
  <c r="DI40" i="98" s="1"/>
  <c r="G13" i="115" s="1"/>
  <c r="AP40" i="98"/>
  <c r="DD40" i="98" s="1"/>
  <c r="AO40" i="98"/>
  <c r="DA40" i="98" s="1"/>
  <c r="CZ40" i="98" s="1"/>
  <c r="H13" i="115" s="1"/>
  <c r="AR35" i="98"/>
  <c r="DJ35" i="98" s="1"/>
  <c r="DI35" i="98" s="1"/>
  <c r="G8" i="115" s="1"/>
  <c r="AP35" i="98"/>
  <c r="DD35" i="98" s="1"/>
  <c r="AO35" i="98"/>
  <c r="DA35" i="98" s="1"/>
  <c r="CZ35" i="98" s="1"/>
  <c r="H8" i="115" s="1"/>
  <c r="AS35" i="98"/>
  <c r="DM35" i="98" s="1"/>
  <c r="DL35" i="98" s="1"/>
  <c r="I8" i="115" s="1"/>
  <c r="BC68" i="98"/>
  <c r="BC54" i="98"/>
  <c r="BC45" i="98"/>
  <c r="BC36" i="98"/>
  <c r="BU36" i="98" s="1"/>
  <c r="BC71" i="98"/>
  <c r="BC53" i="98"/>
  <c r="BU53" i="98" s="1"/>
  <c r="BC44" i="98"/>
  <c r="BC35" i="98"/>
  <c r="BU35" i="98" s="1"/>
  <c r="BC70" i="98"/>
  <c r="BC56" i="98"/>
  <c r="BU56" i="98" s="1"/>
  <c r="BC51" i="98"/>
  <c r="BU51" i="98" s="1"/>
  <c r="BC47" i="98"/>
  <c r="BU47" i="98" s="1"/>
  <c r="BC43" i="98"/>
  <c r="BC38" i="98"/>
  <c r="BU38" i="98" s="1"/>
  <c r="BC49" i="98"/>
  <c r="BC41" i="98"/>
  <c r="BC67" i="98"/>
  <c r="BU67" i="98" s="1"/>
  <c r="BC48" i="98"/>
  <c r="BC40" i="98"/>
  <c r="BU40" i="98" s="1"/>
  <c r="BC69" i="98"/>
  <c r="BC55" i="98"/>
  <c r="BU55" i="98" s="1"/>
  <c r="BC50" i="98"/>
  <c r="BC46" i="98"/>
  <c r="BC42" i="98"/>
  <c r="BC37" i="98"/>
  <c r="BU37" i="98" s="1"/>
  <c r="AQ50" i="98"/>
  <c r="DG50" i="98" s="1"/>
  <c r="DF50" i="98" s="1"/>
  <c r="F23" i="115" s="1"/>
  <c r="AQ46" i="98"/>
  <c r="DG46" i="98" s="1"/>
  <c r="DF46" i="98" s="1"/>
  <c r="F19" i="115" s="1"/>
  <c r="AQ70" i="98"/>
  <c r="DG70" i="98" s="1"/>
  <c r="DF70" i="98" s="1"/>
  <c r="AQ56" i="98"/>
  <c r="AQ47" i="98"/>
  <c r="DG47" i="98" s="1"/>
  <c r="DF47" i="98" s="1"/>
  <c r="F20" i="115" s="1"/>
  <c r="AQ43" i="98"/>
  <c r="DG43" i="98" s="1"/>
  <c r="DF43" i="98" s="1"/>
  <c r="F16" i="115" s="1"/>
  <c r="AQ38" i="98"/>
  <c r="DG38" i="98" s="1"/>
  <c r="DF38" i="98" s="1"/>
  <c r="F11" i="115" s="1"/>
  <c r="AQ55" i="98"/>
  <c r="DG55" i="98" s="1"/>
  <c r="DF55" i="98" s="1"/>
  <c r="F28" i="115" s="1"/>
  <c r="AQ37" i="98"/>
  <c r="DG37" i="98" s="1"/>
  <c r="DF37" i="98" s="1"/>
  <c r="F10" i="115" s="1"/>
  <c r="AQ68" i="98"/>
  <c r="DG68" i="98" s="1"/>
  <c r="DF68" i="98" s="1"/>
  <c r="AQ54" i="98"/>
  <c r="DG54" i="98" s="1"/>
  <c r="DF54" i="98" s="1"/>
  <c r="F27" i="115" s="1"/>
  <c r="AQ49" i="98"/>
  <c r="DG49" i="98" s="1"/>
  <c r="DF49" i="98" s="1"/>
  <c r="F22" i="115" s="1"/>
  <c r="AQ45" i="98"/>
  <c r="DG45" i="98" s="1"/>
  <c r="DF45" i="98" s="1"/>
  <c r="F18" i="115" s="1"/>
  <c r="AQ41" i="98"/>
  <c r="DG41" i="98" s="1"/>
  <c r="DF41" i="98" s="1"/>
  <c r="F14" i="115" s="1"/>
  <c r="AQ36" i="98"/>
  <c r="DG36" i="98" s="1"/>
  <c r="DF36" i="98" s="1"/>
  <c r="F9" i="115" s="1"/>
  <c r="AQ69" i="98"/>
  <c r="DG69" i="98" s="1"/>
  <c r="DF69" i="98" s="1"/>
  <c r="F42" i="115" s="1"/>
  <c r="AQ42" i="98"/>
  <c r="DG42" i="98" s="1"/>
  <c r="DF42" i="98" s="1"/>
  <c r="F15" i="115" s="1"/>
  <c r="AQ71" i="98"/>
  <c r="DG71" i="98" s="1"/>
  <c r="DF71" i="98" s="1"/>
  <c r="AQ67" i="98"/>
  <c r="DG67" i="98" s="1"/>
  <c r="DF67" i="98" s="1"/>
  <c r="F40" i="115" s="1"/>
  <c r="AQ53" i="98"/>
  <c r="DG53" i="98" s="1"/>
  <c r="DF53" i="98" s="1"/>
  <c r="F26" i="115" s="1"/>
  <c r="AQ48" i="98"/>
  <c r="DG48" i="98" s="1"/>
  <c r="DF48" i="98" s="1"/>
  <c r="F21" i="115" s="1"/>
  <c r="AQ44" i="98"/>
  <c r="DG44" i="98" s="1"/>
  <c r="DF44" i="98" s="1"/>
  <c r="F17" i="115" s="1"/>
  <c r="AQ40" i="98"/>
  <c r="DG40" i="98" s="1"/>
  <c r="DF40" i="98" s="1"/>
  <c r="F13" i="115" s="1"/>
  <c r="AQ35" i="98"/>
  <c r="DG35" i="98" s="1"/>
  <c r="DF35" i="98" s="1"/>
  <c r="F8" i="115" s="1"/>
  <c r="AQ51" i="98"/>
  <c r="DG51" i="98" s="1"/>
  <c r="DF51" i="98" s="1"/>
  <c r="F24" i="115" s="1"/>
  <c r="C169" i="128"/>
  <c r="C174" i="128"/>
  <c r="C172" i="128"/>
  <c r="C161" i="128"/>
  <c r="C170" i="128"/>
  <c r="C165" i="128"/>
  <c r="C175" i="128"/>
  <c r="C178" i="128"/>
  <c r="C173" i="128"/>
  <c r="C176" i="128"/>
  <c r="C162" i="128"/>
  <c r="C163" i="128"/>
  <c r="C177" i="128"/>
  <c r="C167" i="128"/>
  <c r="C164" i="128"/>
  <c r="C160" i="128"/>
  <c r="C171" i="128"/>
  <c r="C166" i="128"/>
  <c r="C168" i="128"/>
  <c r="DA39" i="98"/>
  <c r="CZ39" i="98" s="1"/>
  <c r="H12" i="115" s="1"/>
  <c r="DD39" i="98"/>
  <c r="DJ39" i="98"/>
  <c r="DI39" i="98" s="1"/>
  <c r="G12" i="115" s="1"/>
  <c r="DM39" i="98"/>
  <c r="DL39" i="98" s="1"/>
  <c r="I12" i="115" s="1"/>
  <c r="BG48" i="98"/>
  <c r="DM34" i="98"/>
  <c r="DL34" i="98" s="1"/>
  <c r="I7" i="115" s="1"/>
  <c r="DP34" i="98"/>
  <c r="DJ34" i="98"/>
  <c r="DI34" i="98" s="1"/>
  <c r="G7" i="115" s="1"/>
  <c r="DD34" i="98"/>
  <c r="C41" i="128"/>
  <c r="BG68" i="98"/>
  <c r="BG54" i="98"/>
  <c r="BG49" i="98"/>
  <c r="BG45" i="98"/>
  <c r="BG41" i="98"/>
  <c r="BG37" i="98"/>
  <c r="BG71" i="98"/>
  <c r="BG67" i="98"/>
  <c r="BG53" i="98"/>
  <c r="BG44" i="98"/>
  <c r="BG40" i="98"/>
  <c r="BG36" i="98"/>
  <c r="BG47" i="98"/>
  <c r="BG43" i="98"/>
  <c r="BG39" i="98"/>
  <c r="BG35" i="98"/>
  <c r="BG33" i="98"/>
  <c r="C36" i="128"/>
  <c r="G48" i="128"/>
  <c r="C48" i="128" s="1"/>
  <c r="C39" i="128"/>
  <c r="C37" i="128"/>
  <c r="C35" i="128"/>
  <c r="C40" i="128"/>
  <c r="G49" i="128"/>
  <c r="C49" i="128" s="1"/>
  <c r="C43" i="128"/>
  <c r="G50" i="128"/>
  <c r="C50" i="128" s="1"/>
  <c r="G46" i="128"/>
  <c r="C46" i="128" s="1"/>
  <c r="C38" i="128"/>
  <c r="C34" i="128"/>
  <c r="C44" i="128"/>
  <c r="G51" i="128"/>
  <c r="C51" i="128" s="1"/>
  <c r="C42" i="128"/>
  <c r="G47" i="128"/>
  <c r="C47" i="128" s="1"/>
  <c r="C45" i="128"/>
  <c r="BG70" i="98"/>
  <c r="BG56" i="98"/>
  <c r="BG51" i="98"/>
  <c r="BG69" i="98"/>
  <c r="BG55" i="98"/>
  <c r="BG50" i="98"/>
  <c r="BG46" i="98"/>
  <c r="BG42" i="98"/>
  <c r="BG38" i="98"/>
  <c r="BG34" i="98"/>
  <c r="C20" i="128"/>
  <c r="C31" i="128"/>
  <c r="C26" i="128"/>
  <c r="C23" i="128"/>
  <c r="C21" i="128"/>
  <c r="C32" i="128"/>
  <c r="C22" i="128"/>
  <c r="C19" i="128"/>
  <c r="C24" i="128"/>
  <c r="DG39" i="98"/>
  <c r="DF39" i="98" s="1"/>
  <c r="F12" i="115" s="1"/>
  <c r="DG34" i="98"/>
  <c r="DF34" i="98" s="1"/>
  <c r="F7" i="115" s="1"/>
  <c r="DA34" i="98"/>
  <c r="CZ34" i="98" s="1"/>
  <c r="H7" i="115" s="1"/>
  <c r="C17" i="128"/>
  <c r="C33" i="128"/>
  <c r="C16" i="128"/>
  <c r="C18" i="128"/>
  <c r="C15" i="128"/>
  <c r="C14" i="128"/>
  <c r="G44" i="115" l="1"/>
  <c r="G45" i="115"/>
  <c r="F43" i="115"/>
  <c r="I44" i="115"/>
  <c r="I45" i="115"/>
  <c r="F44" i="115"/>
  <c r="F45" i="115"/>
  <c r="F41" i="115"/>
  <c r="H44" i="115"/>
  <c r="H45" i="115"/>
  <c r="H43" i="115"/>
  <c r="G41" i="115"/>
  <c r="I42" i="115"/>
  <c r="I43" i="115"/>
  <c r="BD56" i="98"/>
  <c r="BD50" i="98"/>
  <c r="BU50" i="98"/>
  <c r="BD48" i="98"/>
  <c r="BU48" i="98"/>
  <c r="BD70" i="98"/>
  <c r="BU70" i="98"/>
  <c r="BD71" i="98"/>
  <c r="BU71" i="98"/>
  <c r="BD46" i="98"/>
  <c r="BU46" i="98"/>
  <c r="BD41" i="98"/>
  <c r="BU41" i="98"/>
  <c r="BD43" i="98"/>
  <c r="BU43" i="98"/>
  <c r="BD45" i="98"/>
  <c r="BU45" i="98"/>
  <c r="BD49" i="98"/>
  <c r="BU49" i="98"/>
  <c r="BD54" i="98"/>
  <c r="BU54" i="98"/>
  <c r="BD36" i="98"/>
  <c r="BD42" i="98"/>
  <c r="BU42" i="98"/>
  <c r="BD69" i="98"/>
  <c r="BU69" i="98"/>
  <c r="BD44" i="98"/>
  <c r="BU44" i="98"/>
  <c r="BD68" i="98"/>
  <c r="BU68" i="98"/>
  <c r="BD37" i="98"/>
  <c r="BD53" i="98"/>
  <c r="BD51" i="98"/>
  <c r="BD38" i="98"/>
  <c r="BD55" i="98"/>
  <c r="BD40" i="98"/>
  <c r="BD47" i="98"/>
  <c r="BD67" i="98"/>
  <c r="BD35" i="98"/>
  <c r="DJ56" i="98"/>
  <c r="DI56" i="98" s="1"/>
  <c r="G29" i="115" s="1"/>
  <c r="DG56" i="98"/>
  <c r="DF56" i="98" s="1"/>
  <c r="F29" i="115" s="1"/>
  <c r="DM56" i="98"/>
  <c r="DL56" i="98" s="1"/>
  <c r="I29" i="115" s="1"/>
  <c r="C28" i="128"/>
  <c r="A28" i="128"/>
  <c r="B28" i="128"/>
  <c r="A22" i="128"/>
  <c r="B22" i="128"/>
  <c r="A26" i="128"/>
  <c r="B26" i="128"/>
  <c r="B51" i="128"/>
  <c r="A51" i="128"/>
  <c r="A46" i="128"/>
  <c r="B46" i="128"/>
  <c r="B40" i="128"/>
  <c r="A40" i="128"/>
  <c r="B48" i="128"/>
  <c r="A48" i="128"/>
  <c r="A18" i="128"/>
  <c r="B18" i="128"/>
  <c r="A32" i="128"/>
  <c r="B32" i="128"/>
  <c r="A31" i="128"/>
  <c r="B31" i="128"/>
  <c r="A45" i="128"/>
  <c r="B45" i="128"/>
  <c r="B44" i="128"/>
  <c r="A44" i="128"/>
  <c r="A50" i="128"/>
  <c r="B50" i="128"/>
  <c r="B35" i="128"/>
  <c r="A35" i="128"/>
  <c r="B36" i="128"/>
  <c r="A36" i="128"/>
  <c r="A16" i="128"/>
  <c r="B16" i="128"/>
  <c r="A33" i="128"/>
  <c r="B33" i="128"/>
  <c r="A24" i="128"/>
  <c r="B24" i="128"/>
  <c r="B21" i="128"/>
  <c r="A21" i="128"/>
  <c r="A20" i="128"/>
  <c r="B20" i="128"/>
  <c r="B47" i="128"/>
  <c r="A47" i="128"/>
  <c r="B34" i="128"/>
  <c r="A34" i="128"/>
  <c r="B43" i="128"/>
  <c r="A43" i="128"/>
  <c r="A37" i="128"/>
  <c r="B37" i="128"/>
  <c r="B14" i="128"/>
  <c r="A14" i="128"/>
  <c r="A15" i="128"/>
  <c r="B15" i="128"/>
  <c r="B17" i="128"/>
  <c r="A17" i="128"/>
  <c r="A19" i="128"/>
  <c r="B19" i="128"/>
  <c r="A23" i="128"/>
  <c r="B23" i="128"/>
  <c r="A42" i="128"/>
  <c r="B42" i="128"/>
  <c r="A38" i="128"/>
  <c r="B38" i="128"/>
  <c r="A49" i="128"/>
  <c r="B49" i="128"/>
  <c r="B39" i="128"/>
  <c r="A39" i="128"/>
  <c r="A41" i="128"/>
  <c r="B41" i="128"/>
  <c r="A167" i="128"/>
  <c r="B167" i="128"/>
  <c r="A175" i="128"/>
  <c r="B175" i="128"/>
  <c r="B177" i="128"/>
  <c r="A177" i="128"/>
  <c r="B165" i="128"/>
  <c r="A165" i="128"/>
  <c r="A172" i="128"/>
  <c r="B172" i="128"/>
  <c r="A164" i="128"/>
  <c r="B164" i="128"/>
  <c r="A170" i="128"/>
  <c r="B170" i="128"/>
  <c r="A178" i="128"/>
  <c r="B178" i="128"/>
  <c r="A168" i="128"/>
  <c r="B168" i="128"/>
  <c r="B173" i="128"/>
  <c r="A173" i="128"/>
  <c r="B161" i="128"/>
  <c r="A161" i="128"/>
  <c r="A163" i="128"/>
  <c r="B163" i="128"/>
  <c r="A176" i="128"/>
  <c r="B176" i="128"/>
  <c r="B169" i="128"/>
  <c r="A169" i="128"/>
  <c r="A171" i="128"/>
  <c r="B171" i="128"/>
  <c r="A162" i="128"/>
  <c r="B162" i="128"/>
  <c r="A166" i="128"/>
  <c r="B166" i="128"/>
  <c r="A174" i="128"/>
  <c r="B174" i="128"/>
  <c r="B160" i="128"/>
  <c r="A160" i="128"/>
  <c r="DC38" i="98"/>
  <c r="K11" i="115" s="1"/>
  <c r="DC55" i="98"/>
  <c r="K28" i="115" s="1"/>
  <c r="DC35" i="98"/>
  <c r="K8" i="115" s="1"/>
  <c r="DC34" i="98"/>
  <c r="K7" i="115" s="1"/>
  <c r="DC37" i="98"/>
  <c r="K10" i="115" s="1"/>
  <c r="DC54" i="98"/>
  <c r="K27" i="115" s="1"/>
  <c r="DC40" i="98"/>
  <c r="K13" i="115" s="1"/>
  <c r="DC48" i="98"/>
  <c r="K21" i="115" s="1"/>
  <c r="DC41" i="98"/>
  <c r="K14" i="115" s="1"/>
  <c r="DC49" i="98"/>
  <c r="K22" i="115" s="1"/>
  <c r="DC68" i="98"/>
  <c r="DC67" i="98"/>
  <c r="K40" i="115" s="1"/>
  <c r="DO34" i="98"/>
  <c r="J7" i="115" s="1"/>
  <c r="DO35" i="98"/>
  <c r="J8" i="115" s="1"/>
  <c r="DO68" i="98"/>
  <c r="DC46" i="98"/>
  <c r="K19" i="115" s="1"/>
  <c r="DC43" i="98"/>
  <c r="K16" i="115" s="1"/>
  <c r="DC51" i="98"/>
  <c r="K24" i="115" s="1"/>
  <c r="DC70" i="98"/>
  <c r="K43" i="115" s="1"/>
  <c r="DO67" i="98"/>
  <c r="J40" i="115" s="1"/>
  <c r="DO71" i="98"/>
  <c r="DC53" i="98"/>
  <c r="K26" i="115" s="1"/>
  <c r="DC44" i="98"/>
  <c r="K17" i="115" s="1"/>
  <c r="DC45" i="98"/>
  <c r="K18" i="115" s="1"/>
  <c r="DC36" i="98"/>
  <c r="K9" i="115" s="1"/>
  <c r="DC71" i="98"/>
  <c r="DC42" i="98"/>
  <c r="K15" i="115" s="1"/>
  <c r="DC50" i="98"/>
  <c r="K23" i="115" s="1"/>
  <c r="DC69" i="98"/>
  <c r="DC39" i="98"/>
  <c r="K12" i="115" s="1"/>
  <c r="DC47" i="98"/>
  <c r="K20" i="115" s="1"/>
  <c r="DC56" i="98"/>
  <c r="K29" i="115" s="1"/>
  <c r="DO55" i="98"/>
  <c r="J28" i="115" s="1"/>
  <c r="DO69" i="98"/>
  <c r="DO70" i="98"/>
  <c r="J43" i="115" s="1"/>
  <c r="DO56" i="98"/>
  <c r="J29" i="115" s="1"/>
  <c r="DO36" i="98"/>
  <c r="J9" i="115" s="1"/>
  <c r="K42" i="115" l="1"/>
  <c r="J44" i="115"/>
  <c r="J45" i="115"/>
  <c r="J41" i="115"/>
  <c r="K41" i="115"/>
  <c r="J42" i="115"/>
  <c r="K44" i="115"/>
  <c r="K45" i="115"/>
  <c r="BU27" i="98"/>
  <c r="ED116" i="98" s="1"/>
  <c r="EB40" i="98"/>
  <c r="EB41" i="98"/>
  <c r="EB37" i="98"/>
  <c r="EB38" i="98"/>
  <c r="EH124" i="123" l="1"/>
  <c r="EI124" i="123" l="1"/>
  <c r="EJ124" i="123" l="1"/>
  <c r="EK124" i="123" l="1"/>
  <c r="EL124" i="123" l="1"/>
  <c r="EM124" i="123" l="1"/>
  <c r="CP42" i="98"/>
  <c r="CP44" i="98"/>
  <c r="CP55" i="98"/>
  <c r="CP46" i="98"/>
  <c r="CP54" i="98"/>
  <c r="CP37" i="98"/>
  <c r="CP48" i="98"/>
  <c r="CP70" i="98"/>
  <c r="CO70" i="98" s="1"/>
  <c r="CP43" i="98"/>
  <c r="CP35" i="98"/>
  <c r="CP69" i="98"/>
  <c r="CP38" i="98"/>
  <c r="CP45" i="98"/>
  <c r="CP67" i="98"/>
  <c r="CO67" i="98" s="1"/>
  <c r="CP40" i="98"/>
  <c r="GG40" i="98" s="1"/>
  <c r="CP51" i="98"/>
  <c r="CP50" i="98"/>
  <c r="GG50" i="98" s="1"/>
  <c r="CP49" i="98"/>
  <c r="CP56" i="98"/>
  <c r="CP68" i="98"/>
  <c r="CO68" i="98" s="1"/>
  <c r="CP41" i="98"/>
  <c r="CP53" i="98"/>
  <c r="CP36" i="98"/>
  <c r="CP47" i="98"/>
  <c r="CP39" i="98"/>
  <c r="CP34" i="98"/>
  <c r="AI78" i="98"/>
  <c r="CP78" i="98"/>
  <c r="CO78" i="98" s="1"/>
  <c r="CP72" i="98"/>
  <c r="CO72" i="98" s="1"/>
  <c r="CP82" i="98"/>
  <c r="CO82" i="98" s="1"/>
  <c r="AI82" i="98"/>
  <c r="CP84" i="98"/>
  <c r="CO84" i="98" s="1"/>
  <c r="AI84" i="98"/>
  <c r="CP74" i="98"/>
  <c r="CO74" i="98" s="1"/>
  <c r="AI90" i="98"/>
  <c r="CP90" i="98"/>
  <c r="CO90" i="98" s="1"/>
  <c r="CP81" i="98"/>
  <c r="AI81" i="98"/>
  <c r="CP75" i="98"/>
  <c r="CO75" i="98" s="1"/>
  <c r="AI94" i="98"/>
  <c r="CP94" i="98"/>
  <c r="AI85" i="98"/>
  <c r="CP85" i="98"/>
  <c r="CP88" i="98"/>
  <c r="CO88" i="98" s="1"/>
  <c r="AI88" i="98"/>
  <c r="AI91" i="98"/>
  <c r="CP91" i="98"/>
  <c r="CO91" i="98" s="1"/>
  <c r="AI77" i="98"/>
  <c r="CP77" i="98"/>
  <c r="AI89" i="98"/>
  <c r="CP89" i="98"/>
  <c r="CP87" i="98"/>
  <c r="CO87" i="98" s="1"/>
  <c r="AI87" i="98"/>
  <c r="CP76" i="98"/>
  <c r="CO76" i="98" s="1"/>
  <c r="AI76" i="98"/>
  <c r="AI86" i="98"/>
  <c r="CP86" i="98"/>
  <c r="CO86" i="98" s="1"/>
  <c r="AI92" i="98"/>
  <c r="CP92" i="98"/>
  <c r="CO92" i="98" s="1"/>
  <c r="CP79" i="98"/>
  <c r="CO79" i="98" s="1"/>
  <c r="AI79" i="98"/>
  <c r="CP93" i="98"/>
  <c r="AI93" i="98"/>
  <c r="CP80" i="98"/>
  <c r="CO80" i="98" s="1"/>
  <c r="AI80" i="98"/>
  <c r="CP73" i="98"/>
  <c r="CP83" i="98"/>
  <c r="CO83" i="98" s="1"/>
  <c r="AI83" i="98"/>
  <c r="CP71" i="98"/>
  <c r="CO71" i="98" s="1"/>
  <c r="CO94" i="98" l="1"/>
  <c r="P68" i="115"/>
  <c r="P68" i="136"/>
  <c r="Q68" i="127"/>
  <c r="M68" i="127" s="1"/>
  <c r="I68" i="129"/>
  <c r="GG89" i="98"/>
  <c r="CW89" i="98" s="1"/>
  <c r="CO89" i="98"/>
  <c r="GG85" i="98"/>
  <c r="CW85" i="98" s="1"/>
  <c r="CO85" i="98"/>
  <c r="GG36" i="98"/>
  <c r="CO36" i="98"/>
  <c r="GG56" i="98"/>
  <c r="CO56" i="98"/>
  <c r="CO40" i="98"/>
  <c r="GG69" i="98"/>
  <c r="CU69" i="98" s="1"/>
  <c r="CO69" i="98"/>
  <c r="GG48" i="98"/>
  <c r="CO48" i="98"/>
  <c r="GG55" i="98"/>
  <c r="CO55" i="98"/>
  <c r="GG73" i="98"/>
  <c r="CW73" i="98" s="1"/>
  <c r="CO73" i="98"/>
  <c r="GG93" i="98"/>
  <c r="CU93" i="98" s="1"/>
  <c r="CO93" i="98"/>
  <c r="GG34" i="98"/>
  <c r="CO34" i="98"/>
  <c r="GG53" i="98"/>
  <c r="CO53" i="98"/>
  <c r="GG49" i="98"/>
  <c r="CO49" i="98"/>
  <c r="GG35" i="98"/>
  <c r="CO35" i="98"/>
  <c r="GG37" i="98"/>
  <c r="CO37" i="98"/>
  <c r="GG44" i="98"/>
  <c r="CO44" i="98"/>
  <c r="GG77" i="98"/>
  <c r="CU77" i="98" s="1"/>
  <c r="CO77" i="98"/>
  <c r="GG81" i="98"/>
  <c r="CU81" i="98" s="1"/>
  <c r="CO81" i="98"/>
  <c r="GG39" i="98"/>
  <c r="CO39" i="98"/>
  <c r="GG41" i="98"/>
  <c r="CO41" i="98"/>
  <c r="CO50" i="98"/>
  <c r="GG45" i="98"/>
  <c r="CO45" i="98"/>
  <c r="GG43" i="98"/>
  <c r="CO43" i="98"/>
  <c r="GG54" i="98"/>
  <c r="CO54" i="98"/>
  <c r="GG42" i="98"/>
  <c r="CO42" i="98"/>
  <c r="GG47" i="98"/>
  <c r="CO47" i="98"/>
  <c r="GG51" i="98"/>
  <c r="CO51" i="98"/>
  <c r="GG38" i="98"/>
  <c r="CO38" i="98"/>
  <c r="GG46" i="98"/>
  <c r="CO46" i="98"/>
  <c r="GG83" i="98"/>
  <c r="CW83" i="98" s="1"/>
  <c r="GG92" i="98"/>
  <c r="CW92" i="98" s="1"/>
  <c r="CU89" i="98"/>
  <c r="GG91" i="98"/>
  <c r="CW91" i="98" s="1"/>
  <c r="GG75" i="98"/>
  <c r="CW75" i="98" s="1"/>
  <c r="GG76" i="98"/>
  <c r="CW76" i="98" s="1"/>
  <c r="GG74" i="98"/>
  <c r="CW74" i="98" s="1"/>
  <c r="GG82" i="98"/>
  <c r="CW82" i="98" s="1"/>
  <c r="GG67" i="98"/>
  <c r="CW67" i="98" s="1"/>
  <c r="GG71" i="98"/>
  <c r="CW71" i="98" s="1"/>
  <c r="GG86" i="98"/>
  <c r="CW86" i="98" s="1"/>
  <c r="GG94" i="98"/>
  <c r="CW94" i="98" s="1"/>
  <c r="GG72" i="98"/>
  <c r="CW72" i="98" s="1"/>
  <c r="GG80" i="98"/>
  <c r="CW80" i="98" s="1"/>
  <c r="GG79" i="98"/>
  <c r="CW79" i="98" s="1"/>
  <c r="GG87" i="98"/>
  <c r="CW87" i="98" s="1"/>
  <c r="GG88" i="98"/>
  <c r="CW88" i="98" s="1"/>
  <c r="GG90" i="98"/>
  <c r="CW90" i="98" s="1"/>
  <c r="GG84" i="98"/>
  <c r="CW84" i="98" s="1"/>
  <c r="GG78" i="98"/>
  <c r="CW78" i="98" s="1"/>
  <c r="GG68" i="98"/>
  <c r="CW68" i="98" s="1"/>
  <c r="GG70" i="98"/>
  <c r="CW70" i="98" s="1"/>
  <c r="P58" i="115"/>
  <c r="E58" i="115" s="1"/>
  <c r="I58" i="129"/>
  <c r="Q58" i="127"/>
  <c r="C58" i="127" s="1"/>
  <c r="P58" i="136"/>
  <c r="E58" i="136" s="1"/>
  <c r="P9" i="115"/>
  <c r="E9" i="115" s="1"/>
  <c r="P9" i="136"/>
  <c r="Q9" i="127"/>
  <c r="C9" i="127" s="1"/>
  <c r="I9" i="129"/>
  <c r="P29" i="115"/>
  <c r="E29" i="115" s="1"/>
  <c r="P29" i="136"/>
  <c r="Q29" i="127"/>
  <c r="C29" i="127" s="1"/>
  <c r="I29" i="129"/>
  <c r="P28" i="115"/>
  <c r="E28" i="115" s="1"/>
  <c r="Q28" i="127"/>
  <c r="C28" i="127" s="1"/>
  <c r="I28" i="129"/>
  <c r="P28" i="136"/>
  <c r="P46" i="115"/>
  <c r="E46" i="115" s="1"/>
  <c r="Q46" i="127"/>
  <c r="C46" i="127" s="1"/>
  <c r="P46" i="136"/>
  <c r="E46" i="136" s="1"/>
  <c r="I46" i="129"/>
  <c r="P66" i="115"/>
  <c r="E66" i="115" s="1"/>
  <c r="Q66" i="127"/>
  <c r="C66" i="127" s="1"/>
  <c r="I66" i="129"/>
  <c r="P66" i="136"/>
  <c r="E66" i="136" s="1"/>
  <c r="P49" i="115"/>
  <c r="E49" i="115" s="1"/>
  <c r="I49" i="129"/>
  <c r="P49" i="136"/>
  <c r="E49" i="136" s="1"/>
  <c r="Q49" i="127"/>
  <c r="C49" i="127" s="1"/>
  <c r="P47" i="115"/>
  <c r="E47" i="115" s="1"/>
  <c r="P47" i="136"/>
  <c r="E47" i="136" s="1"/>
  <c r="Q47" i="127"/>
  <c r="C47" i="127" s="1"/>
  <c r="I47" i="129"/>
  <c r="P55" i="115"/>
  <c r="E55" i="115" s="1"/>
  <c r="I55" i="129"/>
  <c r="Q55" i="127"/>
  <c r="C55" i="127" s="1"/>
  <c r="P55" i="136"/>
  <c r="E55" i="136" s="1"/>
  <c r="P7" i="115"/>
  <c r="E7" i="115" s="1"/>
  <c r="P7" i="136"/>
  <c r="I7" i="129"/>
  <c r="Q7" i="127"/>
  <c r="C7" i="127" s="1"/>
  <c r="P26" i="115"/>
  <c r="E26" i="115" s="1"/>
  <c r="I26" i="129"/>
  <c r="P26" i="136"/>
  <c r="Q26" i="127"/>
  <c r="C26" i="127" s="1"/>
  <c r="P22" i="115"/>
  <c r="E22" i="115" s="1"/>
  <c r="P22" i="136"/>
  <c r="Q22" i="127"/>
  <c r="C22" i="127" s="1"/>
  <c r="I22" i="129"/>
  <c r="P40" i="115"/>
  <c r="E40" i="115" s="1"/>
  <c r="Q40" i="127"/>
  <c r="C40" i="127" s="1"/>
  <c r="I40" i="129"/>
  <c r="P40" i="136"/>
  <c r="E40" i="136" s="1"/>
  <c r="P8" i="115"/>
  <c r="E8" i="115" s="1"/>
  <c r="Q8" i="127"/>
  <c r="C8" i="127" s="1"/>
  <c r="I8" i="129"/>
  <c r="P8" i="136"/>
  <c r="P10" i="115"/>
  <c r="E10" i="115" s="1"/>
  <c r="I10" i="129"/>
  <c r="P10" i="136"/>
  <c r="Q10" i="127"/>
  <c r="C10" i="127" s="1"/>
  <c r="P17" i="115"/>
  <c r="E17" i="115" s="1"/>
  <c r="I17" i="129"/>
  <c r="P17" i="136"/>
  <c r="Q17" i="127"/>
  <c r="C17" i="127" s="1"/>
  <c r="P56" i="115"/>
  <c r="E56" i="115" s="1"/>
  <c r="Q56" i="127"/>
  <c r="C56" i="127" s="1"/>
  <c r="I56" i="129"/>
  <c r="P56" i="136"/>
  <c r="E56" i="136" s="1"/>
  <c r="P62" i="115"/>
  <c r="E62" i="115" s="1"/>
  <c r="I62" i="129"/>
  <c r="Q62" i="127"/>
  <c r="C62" i="127" s="1"/>
  <c r="P62" i="136"/>
  <c r="E62" i="136" s="1"/>
  <c r="P48" i="115"/>
  <c r="E48" i="115" s="1"/>
  <c r="P48" i="136"/>
  <c r="E48" i="136" s="1"/>
  <c r="Q48" i="127"/>
  <c r="C48" i="127" s="1"/>
  <c r="I48" i="129"/>
  <c r="P42" i="115"/>
  <c r="E42" i="115" s="1"/>
  <c r="I42" i="129"/>
  <c r="Q42" i="127"/>
  <c r="C42" i="127" s="1"/>
  <c r="P42" i="136"/>
  <c r="E42" i="136" s="1"/>
  <c r="P44" i="115"/>
  <c r="E44" i="115" s="1"/>
  <c r="Q44" i="127"/>
  <c r="C44" i="127" s="1"/>
  <c r="I44" i="129"/>
  <c r="P44" i="136"/>
  <c r="E44" i="136" s="1"/>
  <c r="P59" i="115"/>
  <c r="E59" i="115" s="1"/>
  <c r="I59" i="129"/>
  <c r="Q59" i="127"/>
  <c r="C59" i="127" s="1"/>
  <c r="P59" i="136"/>
  <c r="E59" i="136" s="1"/>
  <c r="P50" i="115"/>
  <c r="E50" i="115" s="1"/>
  <c r="I50" i="129"/>
  <c r="P50" i="136"/>
  <c r="E50" i="136" s="1"/>
  <c r="Q50" i="127"/>
  <c r="C50" i="127" s="1"/>
  <c r="P67" i="115"/>
  <c r="E67" i="115" s="1"/>
  <c r="Q67" i="127"/>
  <c r="C67" i="127" s="1"/>
  <c r="I67" i="129"/>
  <c r="P67" i="136"/>
  <c r="E67" i="136" s="1"/>
  <c r="P54" i="115"/>
  <c r="E54" i="115" s="1"/>
  <c r="Q54" i="127"/>
  <c r="C54" i="127" s="1"/>
  <c r="P54" i="136"/>
  <c r="E54" i="136" s="1"/>
  <c r="I54" i="129"/>
  <c r="P45" i="115"/>
  <c r="E45" i="115" s="1"/>
  <c r="P45" i="136"/>
  <c r="E45" i="136" s="1"/>
  <c r="I45" i="129"/>
  <c r="Q45" i="127"/>
  <c r="C45" i="127" s="1"/>
  <c r="P12" i="115"/>
  <c r="E12" i="115" s="1"/>
  <c r="Q12" i="127"/>
  <c r="C12" i="127" s="1"/>
  <c r="I12" i="129"/>
  <c r="P12" i="136"/>
  <c r="P14" i="115"/>
  <c r="E14" i="115" s="1"/>
  <c r="Q14" i="127"/>
  <c r="C14" i="127" s="1"/>
  <c r="I14" i="129"/>
  <c r="P14" i="136"/>
  <c r="P23" i="115"/>
  <c r="E23" i="115" s="1"/>
  <c r="I23" i="129"/>
  <c r="Q23" i="127"/>
  <c r="C23" i="127" s="1"/>
  <c r="P23" i="136"/>
  <c r="P18" i="115"/>
  <c r="E18" i="115" s="1"/>
  <c r="Q18" i="127"/>
  <c r="C18" i="127" s="1"/>
  <c r="I18" i="129"/>
  <c r="P18" i="136"/>
  <c r="P16" i="115"/>
  <c r="E16" i="115" s="1"/>
  <c r="I16" i="129"/>
  <c r="P16" i="136"/>
  <c r="Q16" i="127"/>
  <c r="C16" i="127" s="1"/>
  <c r="P27" i="115"/>
  <c r="E27" i="115" s="1"/>
  <c r="I27" i="129"/>
  <c r="Q27" i="127"/>
  <c r="C27" i="127" s="1"/>
  <c r="P27" i="136"/>
  <c r="P15" i="115"/>
  <c r="E15" i="115" s="1"/>
  <c r="P15" i="136"/>
  <c r="Q15" i="127"/>
  <c r="C15" i="127" s="1"/>
  <c r="I15" i="129"/>
  <c r="P65" i="115"/>
  <c r="E65" i="115" s="1"/>
  <c r="I65" i="129"/>
  <c r="Q65" i="127"/>
  <c r="C65" i="127" s="1"/>
  <c r="P65" i="136"/>
  <c r="E65" i="136" s="1"/>
  <c r="P64" i="115"/>
  <c r="E64" i="115" s="1"/>
  <c r="P64" i="136"/>
  <c r="E64" i="136" s="1"/>
  <c r="I64" i="129"/>
  <c r="Q64" i="127"/>
  <c r="C64" i="127" s="1"/>
  <c r="P13" i="115"/>
  <c r="E13" i="115" s="1"/>
  <c r="P13" i="136"/>
  <c r="I13" i="129"/>
  <c r="Q13" i="127"/>
  <c r="C13" i="127" s="1"/>
  <c r="P21" i="115"/>
  <c r="E21" i="115" s="1"/>
  <c r="Q21" i="127"/>
  <c r="C21" i="127" s="1"/>
  <c r="I21" i="129"/>
  <c r="P21" i="136"/>
  <c r="P53" i="115"/>
  <c r="E53" i="115" s="1"/>
  <c r="Q53" i="127"/>
  <c r="C53" i="127" s="1"/>
  <c r="I53" i="129"/>
  <c r="P53" i="136"/>
  <c r="E53" i="136" s="1"/>
  <c r="P52" i="115"/>
  <c r="E52" i="115" s="1"/>
  <c r="Q52" i="127"/>
  <c r="C52" i="127" s="1"/>
  <c r="I52" i="129"/>
  <c r="P52" i="136"/>
  <c r="E52" i="136" s="1"/>
  <c r="P60" i="115"/>
  <c r="E60" i="115" s="1"/>
  <c r="Q60" i="127"/>
  <c r="C60" i="127" s="1"/>
  <c r="I60" i="129"/>
  <c r="P60" i="136"/>
  <c r="E60" i="136" s="1"/>
  <c r="P61" i="115"/>
  <c r="E61" i="115" s="1"/>
  <c r="P61" i="136"/>
  <c r="E61" i="136" s="1"/>
  <c r="I61" i="129"/>
  <c r="Q61" i="127"/>
  <c r="C61" i="127" s="1"/>
  <c r="P63" i="115"/>
  <c r="E63" i="115" s="1"/>
  <c r="P63" i="136"/>
  <c r="E63" i="136" s="1"/>
  <c r="Q63" i="127"/>
  <c r="C63" i="127" s="1"/>
  <c r="I63" i="129"/>
  <c r="P57" i="115"/>
  <c r="E57" i="115" s="1"/>
  <c r="P57" i="136"/>
  <c r="E57" i="136" s="1"/>
  <c r="Q57" i="127"/>
  <c r="C57" i="127" s="1"/>
  <c r="I57" i="129"/>
  <c r="P51" i="115"/>
  <c r="E51" i="115" s="1"/>
  <c r="Q51" i="127"/>
  <c r="C51" i="127" s="1"/>
  <c r="P51" i="136"/>
  <c r="E51" i="136" s="1"/>
  <c r="I51" i="129"/>
  <c r="P20" i="115"/>
  <c r="E20" i="115" s="1"/>
  <c r="Q20" i="127"/>
  <c r="C20" i="127" s="1"/>
  <c r="I20" i="129"/>
  <c r="P20" i="136"/>
  <c r="P41" i="115"/>
  <c r="E41" i="115" s="1"/>
  <c r="Q41" i="127"/>
  <c r="C41" i="127" s="1"/>
  <c r="P41" i="136"/>
  <c r="E41" i="136" s="1"/>
  <c r="I41" i="129"/>
  <c r="P24" i="115"/>
  <c r="E24" i="115" s="1"/>
  <c r="Q24" i="127"/>
  <c r="C24" i="127" s="1"/>
  <c r="I24" i="129"/>
  <c r="P24" i="136"/>
  <c r="P11" i="115"/>
  <c r="E11" i="115" s="1"/>
  <c r="P11" i="136"/>
  <c r="Q11" i="127"/>
  <c r="C11" i="127" s="1"/>
  <c r="I11" i="129"/>
  <c r="P43" i="115"/>
  <c r="E43" i="115" s="1"/>
  <c r="P43" i="136"/>
  <c r="E43" i="136" s="1"/>
  <c r="Q43" i="127"/>
  <c r="C43" i="127" s="1"/>
  <c r="I43" i="129"/>
  <c r="P19" i="115"/>
  <c r="E19" i="115" s="1"/>
  <c r="Q19" i="127"/>
  <c r="C19" i="127" s="1"/>
  <c r="P19" i="136"/>
  <c r="I19" i="129"/>
  <c r="AU71" i="98"/>
  <c r="DT71" i="98" s="1"/>
  <c r="DS71" i="98" s="1"/>
  <c r="AU86" i="98"/>
  <c r="DT86" i="98" s="1"/>
  <c r="DS86" i="98" s="1"/>
  <c r="AU77" i="98"/>
  <c r="DT77" i="98" s="1"/>
  <c r="DS77" i="98" s="1"/>
  <c r="AU81" i="98"/>
  <c r="DT81" i="98" s="1"/>
  <c r="DS81" i="98" s="1"/>
  <c r="L54" i="115" s="1"/>
  <c r="AU83" i="98"/>
  <c r="DT83" i="98" s="1"/>
  <c r="DS83" i="98" s="1"/>
  <c r="AU92" i="98"/>
  <c r="DT92" i="98" s="1"/>
  <c r="DS92" i="98" s="1"/>
  <c r="AU89" i="98"/>
  <c r="DT89" i="98" s="1"/>
  <c r="DS89" i="98" s="1"/>
  <c r="AU91" i="98"/>
  <c r="DT91" i="98" s="1"/>
  <c r="DS91" i="98" s="1"/>
  <c r="L64" i="115" s="1"/>
  <c r="AU85" i="98"/>
  <c r="DT85" i="98" s="1"/>
  <c r="DS85" i="98" s="1"/>
  <c r="L58" i="115" s="1"/>
  <c r="AU75" i="98"/>
  <c r="DT75" i="98" s="1"/>
  <c r="DS75" i="98" s="1"/>
  <c r="AU36" i="98"/>
  <c r="DT36" i="98" s="1"/>
  <c r="DS36" i="98" s="1"/>
  <c r="L9" i="115" s="1"/>
  <c r="AU56" i="98"/>
  <c r="DT56" i="98" s="1"/>
  <c r="DS56" i="98" s="1"/>
  <c r="L29" i="115" s="1"/>
  <c r="AU40" i="98"/>
  <c r="DT40" i="98" s="1"/>
  <c r="DS40" i="98" s="1"/>
  <c r="L13" i="115" s="1"/>
  <c r="AU69" i="98"/>
  <c r="DT69" i="98" s="1"/>
  <c r="DS69" i="98" s="1"/>
  <c r="AU48" i="98"/>
  <c r="DT48" i="98" s="1"/>
  <c r="DS48" i="98" s="1"/>
  <c r="L21" i="115" s="1"/>
  <c r="AU55" i="98"/>
  <c r="DT55" i="98" s="1"/>
  <c r="DS55" i="98" s="1"/>
  <c r="L28" i="115" s="1"/>
  <c r="AU73" i="98"/>
  <c r="DT73" i="98" s="1"/>
  <c r="DS73" i="98" s="1"/>
  <c r="L46" i="115" s="1"/>
  <c r="AU93" i="98"/>
  <c r="DT93" i="98" s="1"/>
  <c r="DS93" i="98" s="1"/>
  <c r="L66" i="115" s="1"/>
  <c r="AU76" i="98"/>
  <c r="DT76" i="98" s="1"/>
  <c r="DS76" i="98" s="1"/>
  <c r="L49" i="115" s="1"/>
  <c r="AU74" i="98"/>
  <c r="DT74" i="98" s="1"/>
  <c r="DS74" i="98" s="1"/>
  <c r="AU82" i="98"/>
  <c r="DT82" i="98" s="1"/>
  <c r="DS82" i="98" s="1"/>
  <c r="L55" i="115" s="1"/>
  <c r="AU34" i="98"/>
  <c r="DT34" i="98" s="1"/>
  <c r="DS34" i="98" s="1"/>
  <c r="L7" i="115" s="1"/>
  <c r="AU53" i="98"/>
  <c r="DT53" i="98" s="1"/>
  <c r="DS53" i="98" s="1"/>
  <c r="L26" i="115" s="1"/>
  <c r="AU49" i="98"/>
  <c r="DT49" i="98" s="1"/>
  <c r="DS49" i="98" s="1"/>
  <c r="L22" i="115" s="1"/>
  <c r="AU67" i="98"/>
  <c r="DT67" i="98" s="1"/>
  <c r="DS67" i="98" s="1"/>
  <c r="L40" i="115" s="1"/>
  <c r="AU35" i="98"/>
  <c r="DT35" i="98" s="1"/>
  <c r="DS35" i="98" s="1"/>
  <c r="L8" i="115" s="1"/>
  <c r="AU37" i="98"/>
  <c r="DT37" i="98" s="1"/>
  <c r="DS37" i="98" s="1"/>
  <c r="L10" i="115" s="1"/>
  <c r="AU44" i="98"/>
  <c r="DT44" i="98" s="1"/>
  <c r="DS44" i="98" s="1"/>
  <c r="L17" i="115" s="1"/>
  <c r="AU94" i="98"/>
  <c r="DT94" i="98" s="1"/>
  <c r="DS94" i="98" s="1"/>
  <c r="AU72" i="98"/>
  <c r="DT72" i="98" s="1"/>
  <c r="DS72" i="98" s="1"/>
  <c r="AU39" i="98"/>
  <c r="DT39" i="98" s="1"/>
  <c r="DS39" i="98" s="1"/>
  <c r="L12" i="115" s="1"/>
  <c r="AU41" i="98"/>
  <c r="DT41" i="98" s="1"/>
  <c r="DS41" i="98" s="1"/>
  <c r="L14" i="115" s="1"/>
  <c r="AU50" i="98"/>
  <c r="DT50" i="98" s="1"/>
  <c r="DS50" i="98" s="1"/>
  <c r="L23" i="115" s="1"/>
  <c r="AU45" i="98"/>
  <c r="DT45" i="98" s="1"/>
  <c r="DS45" i="98" s="1"/>
  <c r="L18" i="115" s="1"/>
  <c r="AU43" i="98"/>
  <c r="DT43" i="98" s="1"/>
  <c r="DS43" i="98" s="1"/>
  <c r="L16" i="115" s="1"/>
  <c r="AU54" i="98"/>
  <c r="DT54" i="98" s="1"/>
  <c r="DS54" i="98" s="1"/>
  <c r="L27" i="115" s="1"/>
  <c r="AU42" i="98"/>
  <c r="DT42" i="98" s="1"/>
  <c r="DS42" i="98" s="1"/>
  <c r="L15" i="115" s="1"/>
  <c r="AU80" i="98"/>
  <c r="DT80" i="98" s="1"/>
  <c r="DS80" i="98" s="1"/>
  <c r="AU79" i="98"/>
  <c r="DT79" i="98" s="1"/>
  <c r="DS79" i="98" s="1"/>
  <c r="AU87" i="98"/>
  <c r="DT87" i="98" s="1"/>
  <c r="DS87" i="98" s="1"/>
  <c r="L60" i="115" s="1"/>
  <c r="AU88" i="98"/>
  <c r="DT88" i="98" s="1"/>
  <c r="DS88" i="98" s="1"/>
  <c r="L61" i="115" s="1"/>
  <c r="AU90" i="98"/>
  <c r="DT90" i="98" s="1"/>
  <c r="DS90" i="98" s="1"/>
  <c r="L63" i="115" s="1"/>
  <c r="AU84" i="98"/>
  <c r="DT84" i="98" s="1"/>
  <c r="DS84" i="98" s="1"/>
  <c r="AU78" i="98"/>
  <c r="DT78" i="98" s="1"/>
  <c r="DS78" i="98" s="1"/>
  <c r="L51" i="115" s="1"/>
  <c r="AU47" i="98"/>
  <c r="DT47" i="98" s="1"/>
  <c r="DS47" i="98" s="1"/>
  <c r="L20" i="115" s="1"/>
  <c r="AU68" i="98"/>
  <c r="DT68" i="98" s="1"/>
  <c r="DS68" i="98" s="1"/>
  <c r="AU51" i="98"/>
  <c r="DT51" i="98" s="1"/>
  <c r="DS51" i="98" s="1"/>
  <c r="L24" i="115" s="1"/>
  <c r="AU38" i="98"/>
  <c r="DT38" i="98" s="1"/>
  <c r="DS38" i="98" s="1"/>
  <c r="L11" i="115" s="1"/>
  <c r="AU70" i="98"/>
  <c r="DT70" i="98" s="1"/>
  <c r="DS70" i="98" s="1"/>
  <c r="L43" i="115" s="1"/>
  <c r="AU46" i="98"/>
  <c r="DT46" i="98" s="1"/>
  <c r="DS46" i="98" s="1"/>
  <c r="L19" i="115" s="1"/>
  <c r="G297" i="128"/>
  <c r="G316" i="128"/>
  <c r="B316" i="128" s="1"/>
  <c r="G314" i="128"/>
  <c r="G302" i="128"/>
  <c r="G306" i="128"/>
  <c r="G304" i="128"/>
  <c r="G303" i="128"/>
  <c r="G309" i="128"/>
  <c r="G308" i="128"/>
  <c r="G307" i="128"/>
  <c r="G295" i="128"/>
  <c r="CP27" i="98"/>
  <c r="G317" i="128"/>
  <c r="B317" i="128" s="1"/>
  <c r="G318" i="128"/>
  <c r="M30" i="127"/>
  <c r="G310" i="128"/>
  <c r="G305" i="128"/>
  <c r="G356" i="128"/>
  <c r="G311" i="128"/>
  <c r="G315" i="128"/>
  <c r="B315" i="128" s="1"/>
  <c r="G312" i="128"/>
  <c r="B312" i="128" s="1"/>
  <c r="G313" i="128"/>
  <c r="B313" i="128" s="1"/>
  <c r="G344" i="128"/>
  <c r="B344" i="128" s="1"/>
  <c r="G350" i="128"/>
  <c r="B350" i="128" s="1"/>
  <c r="G352" i="128"/>
  <c r="B352" i="128" s="1"/>
  <c r="G336" i="128"/>
  <c r="B336" i="128" s="1"/>
  <c r="G301" i="128"/>
  <c r="G330" i="128"/>
  <c r="G354" i="128"/>
  <c r="B354" i="128" s="1"/>
  <c r="G296" i="128"/>
  <c r="G332" i="128"/>
  <c r="B332" i="128" s="1"/>
  <c r="G347" i="128"/>
  <c r="B347" i="128" s="1"/>
  <c r="G338" i="128"/>
  <c r="B338" i="128" s="1"/>
  <c r="G355" i="128"/>
  <c r="G342" i="128"/>
  <c r="B342" i="128" s="1"/>
  <c r="G333" i="128"/>
  <c r="B333" i="128" s="1"/>
  <c r="G300" i="128"/>
  <c r="G353" i="128"/>
  <c r="B353" i="128" s="1"/>
  <c r="G346" i="128"/>
  <c r="B346" i="128" s="1"/>
  <c r="G334" i="128"/>
  <c r="B334" i="128" s="1"/>
  <c r="G337" i="128"/>
  <c r="B337" i="128" s="1"/>
  <c r="G335" i="128"/>
  <c r="B335" i="128" s="1"/>
  <c r="G343" i="128"/>
  <c r="B343" i="128" s="1"/>
  <c r="G328" i="128"/>
  <c r="B328" i="128" s="1"/>
  <c r="G298" i="128"/>
  <c r="G341" i="128"/>
  <c r="B341" i="128" s="1"/>
  <c r="G340" i="128"/>
  <c r="B340" i="128" s="1"/>
  <c r="G348" i="128"/>
  <c r="B348" i="128" s="1"/>
  <c r="G349" i="128"/>
  <c r="B349" i="128" s="1"/>
  <c r="G351" i="128"/>
  <c r="B351" i="128" s="1"/>
  <c r="G345" i="128"/>
  <c r="B345" i="128" s="1"/>
  <c r="G339" i="128"/>
  <c r="B339" i="128" s="1"/>
  <c r="G329" i="128"/>
  <c r="G299" i="128"/>
  <c r="G331" i="128"/>
  <c r="B331" i="128" s="1"/>
  <c r="CB71" i="98"/>
  <c r="CB74" i="98"/>
  <c r="CB34" i="98"/>
  <c r="CB47" i="98"/>
  <c r="CB68" i="98"/>
  <c r="CB49" i="98"/>
  <c r="CB51" i="98"/>
  <c r="CB38" i="98"/>
  <c r="CB70" i="98"/>
  <c r="CB37" i="98"/>
  <c r="CB44" i="98"/>
  <c r="CB77" i="98"/>
  <c r="CB81" i="98"/>
  <c r="CB72" i="98"/>
  <c r="CB83" i="98"/>
  <c r="CB75" i="98"/>
  <c r="CB73" i="98"/>
  <c r="CB76" i="98"/>
  <c r="CB82" i="98"/>
  <c r="CB53" i="98"/>
  <c r="CB67" i="98"/>
  <c r="CB35" i="98"/>
  <c r="CB46" i="98"/>
  <c r="CB94" i="98"/>
  <c r="CB80" i="98"/>
  <c r="CB79" i="98"/>
  <c r="CB78" i="98"/>
  <c r="CB39" i="98"/>
  <c r="CB36" i="98"/>
  <c r="CB41" i="98"/>
  <c r="CB56" i="98"/>
  <c r="CB50" i="98"/>
  <c r="CB40" i="98"/>
  <c r="CB45" i="98"/>
  <c r="CB69" i="98"/>
  <c r="CB43" i="98"/>
  <c r="CB48" i="98"/>
  <c r="CB54" i="98"/>
  <c r="CB55" i="98"/>
  <c r="CB42" i="98"/>
  <c r="CB88" i="98"/>
  <c r="CB84" i="98"/>
  <c r="CB92" i="98"/>
  <c r="CB89" i="98"/>
  <c r="CB91" i="98"/>
  <c r="CB85" i="98"/>
  <c r="CB93" i="98"/>
  <c r="CB86" i="98"/>
  <c r="CB87" i="98"/>
  <c r="CB90" i="98"/>
  <c r="BL26" i="98"/>
  <c r="AL87" i="98"/>
  <c r="FE87" i="98" s="1"/>
  <c r="AL88" i="98"/>
  <c r="FE88" i="98" s="1"/>
  <c r="AL84" i="98"/>
  <c r="FE84" i="98" s="1"/>
  <c r="AL80" i="98"/>
  <c r="FE80" i="98" s="1"/>
  <c r="AL86" i="98"/>
  <c r="FE86" i="98" s="1"/>
  <c r="AL94" i="98"/>
  <c r="FE94" i="98" s="1"/>
  <c r="AL78" i="98"/>
  <c r="FE78" i="98" s="1"/>
  <c r="AL77" i="98"/>
  <c r="FE77" i="98" s="1"/>
  <c r="AL81" i="98"/>
  <c r="FE81" i="98" s="1"/>
  <c r="AL79" i="98"/>
  <c r="FE79" i="98" s="1"/>
  <c r="AL90" i="98"/>
  <c r="FE90" i="98" s="1"/>
  <c r="AL83" i="98"/>
  <c r="FE83" i="98" s="1"/>
  <c r="AL93" i="98"/>
  <c r="FE93" i="98" s="1"/>
  <c r="AL92" i="98"/>
  <c r="FE92" i="98" s="1"/>
  <c r="AL76" i="98"/>
  <c r="FE76" i="98" s="1"/>
  <c r="AL89" i="98"/>
  <c r="FE89" i="98" s="1"/>
  <c r="AL91" i="98"/>
  <c r="FE91" i="98" s="1"/>
  <c r="AL85" i="98"/>
  <c r="FE85" i="98" s="1"/>
  <c r="AL82" i="98"/>
  <c r="FE82" i="98" s="1"/>
  <c r="BH77" i="98"/>
  <c r="BI77" i="98" s="1"/>
  <c r="BJ77" i="98" s="1"/>
  <c r="BH81" i="98"/>
  <c r="BI81" i="98" s="1"/>
  <c r="BJ81" i="98" s="1"/>
  <c r="BH72" i="98"/>
  <c r="BI72" i="98" s="1"/>
  <c r="BH79" i="98"/>
  <c r="BI79" i="98" s="1"/>
  <c r="BJ79" i="98" s="1"/>
  <c r="BH78" i="98"/>
  <c r="BI78" i="98" s="1"/>
  <c r="BJ78" i="98" s="1"/>
  <c r="BH39" i="98"/>
  <c r="BI39" i="98" s="1"/>
  <c r="BJ39" i="98" s="1"/>
  <c r="BH41" i="98"/>
  <c r="BI41" i="98" s="1"/>
  <c r="BJ41" i="98" s="1"/>
  <c r="BH50" i="98"/>
  <c r="BI50" i="98" s="1"/>
  <c r="BJ50" i="98" s="1"/>
  <c r="BH40" i="98"/>
  <c r="BI40" i="98" s="1"/>
  <c r="BJ40" i="98" s="1"/>
  <c r="BH45" i="98"/>
  <c r="BI45" i="98" s="1"/>
  <c r="BJ45" i="98" s="1"/>
  <c r="BH69" i="98"/>
  <c r="BI69" i="98" s="1"/>
  <c r="BH43" i="98"/>
  <c r="BI43" i="98" s="1"/>
  <c r="BJ43" i="98" s="1"/>
  <c r="BH48" i="98"/>
  <c r="BI48" i="98" s="1"/>
  <c r="BJ48" i="98" s="1"/>
  <c r="BH54" i="98"/>
  <c r="BI54" i="98" s="1"/>
  <c r="BH55" i="98"/>
  <c r="BI55" i="98" s="1"/>
  <c r="BJ55" i="98" s="1"/>
  <c r="BH42" i="98"/>
  <c r="BI42" i="98" s="1"/>
  <c r="BJ42" i="98" s="1"/>
  <c r="BH83" i="98"/>
  <c r="BI83" i="98" s="1"/>
  <c r="BJ83" i="98" s="1"/>
  <c r="BH75" i="98"/>
  <c r="BI75" i="98" s="1"/>
  <c r="BJ75" i="98" s="1"/>
  <c r="BH80" i="98"/>
  <c r="BI80" i="98" s="1"/>
  <c r="BJ80" i="98" s="1"/>
  <c r="BH36" i="98"/>
  <c r="BH71" i="98"/>
  <c r="BI71" i="98" s="1"/>
  <c r="BH73" i="98"/>
  <c r="BI73" i="98" s="1"/>
  <c r="BH76" i="98"/>
  <c r="BI76" i="98" s="1"/>
  <c r="BJ76" i="98" s="1"/>
  <c r="BH74" i="98"/>
  <c r="BI74" i="98" s="1"/>
  <c r="BH82" i="98"/>
  <c r="BI82" i="98" s="1"/>
  <c r="BJ82" i="98" s="1"/>
  <c r="BH47" i="98"/>
  <c r="BI47" i="98" s="1"/>
  <c r="BJ47" i="98" s="1"/>
  <c r="BH53" i="98"/>
  <c r="BI53" i="98" s="1"/>
  <c r="BJ53" i="98" s="1"/>
  <c r="BH68" i="98"/>
  <c r="BI68" i="98" s="1"/>
  <c r="BH49" i="98"/>
  <c r="BI49" i="98" s="1"/>
  <c r="BJ49" i="98" s="1"/>
  <c r="BH51" i="98"/>
  <c r="BI51" i="98" s="1"/>
  <c r="BJ51" i="98" s="1"/>
  <c r="BH67" i="98"/>
  <c r="BI67" i="98" s="1"/>
  <c r="BH38" i="98"/>
  <c r="BI38" i="98" s="1"/>
  <c r="BJ38" i="98" s="1"/>
  <c r="BH35" i="98"/>
  <c r="BI35" i="98" s="1"/>
  <c r="BJ35" i="98" s="1"/>
  <c r="BH70" i="98"/>
  <c r="BI70" i="98" s="1"/>
  <c r="BH37" i="98"/>
  <c r="BI37" i="98" s="1"/>
  <c r="BJ37" i="98" s="1"/>
  <c r="BH46" i="98"/>
  <c r="BI46" i="98" s="1"/>
  <c r="BJ46" i="98" s="1"/>
  <c r="BH44" i="98"/>
  <c r="BI44" i="98" s="1"/>
  <c r="BJ44" i="98" s="1"/>
  <c r="BH56" i="98"/>
  <c r="BI56" i="98" s="1"/>
  <c r="BH34" i="98"/>
  <c r="CR86" i="98"/>
  <c r="BH86" i="98"/>
  <c r="BI86" i="98" s="1"/>
  <c r="BJ86" i="98" s="1"/>
  <c r="CR94" i="98"/>
  <c r="BH94" i="98"/>
  <c r="BI94" i="98" s="1"/>
  <c r="BJ94" i="98" s="1"/>
  <c r="CR87" i="98"/>
  <c r="BH87" i="98"/>
  <c r="BI87" i="98" s="1"/>
  <c r="BJ87" i="98" s="1"/>
  <c r="CR88" i="98"/>
  <c r="BH88" i="98"/>
  <c r="BI88" i="98" s="1"/>
  <c r="BJ88" i="98" s="1"/>
  <c r="CR90" i="98"/>
  <c r="BH90" i="98"/>
  <c r="BI90" i="98" s="1"/>
  <c r="BJ90" i="98" s="1"/>
  <c r="CR84" i="98"/>
  <c r="BH84" i="98"/>
  <c r="BI84" i="98" s="1"/>
  <c r="BJ84" i="98" s="1"/>
  <c r="CR92" i="98"/>
  <c r="BH92" i="98"/>
  <c r="BI92" i="98" s="1"/>
  <c r="BJ92" i="98" s="1"/>
  <c r="CR89" i="98"/>
  <c r="BH89" i="98"/>
  <c r="BI89" i="98" s="1"/>
  <c r="BJ89" i="98" s="1"/>
  <c r="CR91" i="98"/>
  <c r="BH91" i="98"/>
  <c r="BI91" i="98" s="1"/>
  <c r="BJ91" i="98" s="1"/>
  <c r="CR85" i="98"/>
  <c r="BH85" i="98"/>
  <c r="BI85" i="98" s="1"/>
  <c r="BJ85" i="98" s="1"/>
  <c r="CR93" i="98"/>
  <c r="BH93" i="98"/>
  <c r="BI93" i="98" s="1"/>
  <c r="BJ93" i="98" s="1"/>
  <c r="CR77" i="98"/>
  <c r="CR81" i="98"/>
  <c r="CR72" i="98"/>
  <c r="CR79" i="98"/>
  <c r="CR56" i="98"/>
  <c r="CR40" i="98"/>
  <c r="CR48" i="98"/>
  <c r="CR55" i="98"/>
  <c r="CR83" i="98"/>
  <c r="CR75" i="98"/>
  <c r="CR80" i="98"/>
  <c r="CR78" i="98"/>
  <c r="CR36" i="98"/>
  <c r="CR41" i="98"/>
  <c r="CR50" i="98"/>
  <c r="CR45" i="98"/>
  <c r="CR69" i="98"/>
  <c r="CR43" i="98"/>
  <c r="CR54" i="98"/>
  <c r="CR42" i="98"/>
  <c r="CR71" i="98"/>
  <c r="CR73" i="98"/>
  <c r="CR76" i="98"/>
  <c r="CR74" i="98"/>
  <c r="CR82" i="98"/>
  <c r="CR34" i="98"/>
  <c r="CR47" i="98"/>
  <c r="CR53" i="98"/>
  <c r="CR68" i="98"/>
  <c r="CR49" i="98"/>
  <c r="CR51" i="98"/>
  <c r="CR67" i="98"/>
  <c r="CR38" i="98"/>
  <c r="CR35" i="98"/>
  <c r="CR70" i="98"/>
  <c r="CR37" i="98"/>
  <c r="CR46" i="98"/>
  <c r="CR44" i="98"/>
  <c r="CR39" i="98"/>
  <c r="M39" i="127"/>
  <c r="E25" i="115"/>
  <c r="M25" i="127"/>
  <c r="E39" i="115"/>
  <c r="L67" i="115" l="1"/>
  <c r="L68" i="115"/>
  <c r="L56" i="115"/>
  <c r="L44" i="115"/>
  <c r="C68" i="127"/>
  <c r="K68" i="127"/>
  <c r="T68" i="127" s="1"/>
  <c r="D68" i="127"/>
  <c r="L68" i="127"/>
  <c r="U68" i="127" s="1"/>
  <c r="H68" i="127"/>
  <c r="A68" i="127"/>
  <c r="B68" i="127" s="1"/>
  <c r="J68" i="127"/>
  <c r="I68" i="127"/>
  <c r="L47" i="115"/>
  <c r="E68" i="136"/>
  <c r="L68" i="136"/>
  <c r="I68" i="136"/>
  <c r="G68" i="136"/>
  <c r="A68" i="136"/>
  <c r="M68" i="136"/>
  <c r="U68" i="136" s="1"/>
  <c r="F68" i="136"/>
  <c r="K68" i="136"/>
  <c r="T68" i="136" s="1"/>
  <c r="D68" i="136"/>
  <c r="S68" i="136"/>
  <c r="C68" i="136" s="1"/>
  <c r="J68" i="136"/>
  <c r="R68" i="136"/>
  <c r="B68" i="136" s="1"/>
  <c r="H68" i="136"/>
  <c r="L57" i="115"/>
  <c r="L52" i="115"/>
  <c r="L62" i="115"/>
  <c r="L50" i="115"/>
  <c r="L41" i="115"/>
  <c r="L53" i="115"/>
  <c r="L45" i="115"/>
  <c r="L42" i="115"/>
  <c r="L48" i="115"/>
  <c r="L65" i="115"/>
  <c r="L59" i="115"/>
  <c r="B68" i="129"/>
  <c r="C68" i="129"/>
  <c r="M68" i="129"/>
  <c r="E68" i="129" s="1"/>
  <c r="L68" i="129"/>
  <c r="CU85" i="98"/>
  <c r="CU73" i="98"/>
  <c r="CW69" i="98"/>
  <c r="CW81" i="98"/>
  <c r="CW93" i="98"/>
  <c r="CW77" i="98"/>
  <c r="CU72" i="98"/>
  <c r="CU94" i="98"/>
  <c r="CU84" i="98"/>
  <c r="CU86" i="98"/>
  <c r="CU71" i="98"/>
  <c r="CU80" i="98"/>
  <c r="CU70" i="98"/>
  <c r="CU79" i="98"/>
  <c r="CU88" i="98"/>
  <c r="CU75" i="98"/>
  <c r="CU91" i="98"/>
  <c r="CU92" i="98"/>
  <c r="CU78" i="98"/>
  <c r="CU90" i="98"/>
  <c r="CU87" i="98"/>
  <c r="CU67" i="98"/>
  <c r="CU74" i="98"/>
  <c r="CU83" i="98"/>
  <c r="CU68" i="98"/>
  <c r="CU82" i="98"/>
  <c r="CU76" i="98"/>
  <c r="BJ26" i="98"/>
  <c r="BJ74" i="98"/>
  <c r="FA74" i="98"/>
  <c r="BJ73" i="98"/>
  <c r="FA73" i="98"/>
  <c r="BJ72" i="98"/>
  <c r="FA72" i="98"/>
  <c r="BJ71" i="98"/>
  <c r="FA71" i="98"/>
  <c r="BJ70" i="98"/>
  <c r="FA70" i="98"/>
  <c r="BJ69" i="98"/>
  <c r="FA69" i="98"/>
  <c r="BJ68" i="98"/>
  <c r="FA68" i="98"/>
  <c r="BJ67" i="98"/>
  <c r="FA67" i="98"/>
  <c r="BJ56" i="98"/>
  <c r="FA56" i="98"/>
  <c r="CW56" i="98" s="1"/>
  <c r="BI36" i="98"/>
  <c r="BJ36" i="98" s="1"/>
  <c r="R41" i="136"/>
  <c r="B41" i="136" s="1"/>
  <c r="S41" i="136"/>
  <c r="C41" i="136" s="1"/>
  <c r="R63" i="136"/>
  <c r="B63" i="136" s="1"/>
  <c r="S63" i="136"/>
  <c r="C63" i="136" s="1"/>
  <c r="R53" i="136"/>
  <c r="B53" i="136" s="1"/>
  <c r="S53" i="136"/>
  <c r="C53" i="136" s="1"/>
  <c r="S50" i="136"/>
  <c r="C50" i="136" s="1"/>
  <c r="R50" i="136"/>
  <c r="B50" i="136" s="1"/>
  <c r="S40" i="136"/>
  <c r="C40" i="136" s="1"/>
  <c r="R40" i="136"/>
  <c r="B40" i="136" s="1"/>
  <c r="R55" i="136"/>
  <c r="B55" i="136" s="1"/>
  <c r="S55" i="136"/>
  <c r="C55" i="136" s="1"/>
  <c r="S46" i="136"/>
  <c r="C46" i="136" s="1"/>
  <c r="R46" i="136"/>
  <c r="B46" i="136" s="1"/>
  <c r="S58" i="136"/>
  <c r="C58" i="136" s="1"/>
  <c r="R58" i="136"/>
  <c r="B58" i="136" s="1"/>
  <c r="S56" i="136"/>
  <c r="C56" i="136" s="1"/>
  <c r="R56" i="136"/>
  <c r="B56" i="136" s="1"/>
  <c r="S59" i="136"/>
  <c r="C59" i="136" s="1"/>
  <c r="R59" i="136"/>
  <c r="B59" i="136" s="1"/>
  <c r="R57" i="136"/>
  <c r="B57" i="136" s="1"/>
  <c r="S57" i="136"/>
  <c r="C57" i="136" s="1"/>
  <c r="S52" i="136"/>
  <c r="C52" i="136" s="1"/>
  <c r="R52" i="136"/>
  <c r="B52" i="136" s="1"/>
  <c r="S54" i="136"/>
  <c r="C54" i="136" s="1"/>
  <c r="R54" i="136"/>
  <c r="B54" i="136" s="1"/>
  <c r="S66" i="136"/>
  <c r="C66" i="136" s="1"/>
  <c r="R66" i="136"/>
  <c r="B66" i="136" s="1"/>
  <c r="S42" i="136"/>
  <c r="C42" i="136" s="1"/>
  <c r="R42" i="136"/>
  <c r="B42" i="136" s="1"/>
  <c r="S48" i="136"/>
  <c r="C48" i="136" s="1"/>
  <c r="R48" i="136"/>
  <c r="B48" i="136" s="1"/>
  <c r="R65" i="136"/>
  <c r="B65" i="136" s="1"/>
  <c r="S65" i="136"/>
  <c r="C65" i="136" s="1"/>
  <c r="S67" i="136"/>
  <c r="C67" i="136" s="1"/>
  <c r="R67" i="136"/>
  <c r="B67" i="136" s="1"/>
  <c r="R51" i="136"/>
  <c r="B51" i="136" s="1"/>
  <c r="S51" i="136"/>
  <c r="C51" i="136" s="1"/>
  <c r="S60" i="136"/>
  <c r="C60" i="136" s="1"/>
  <c r="R60" i="136"/>
  <c r="B60" i="136" s="1"/>
  <c r="R49" i="136"/>
  <c r="B49" i="136" s="1"/>
  <c r="S49" i="136"/>
  <c r="C49" i="136" s="1"/>
  <c r="S62" i="136"/>
  <c r="C62" i="136" s="1"/>
  <c r="R62" i="136"/>
  <c r="B62" i="136" s="1"/>
  <c r="R45" i="136"/>
  <c r="B45" i="136" s="1"/>
  <c r="S45" i="136"/>
  <c r="C45" i="136" s="1"/>
  <c r="R43" i="136"/>
  <c r="B43" i="136" s="1"/>
  <c r="S43" i="136"/>
  <c r="C43" i="136" s="1"/>
  <c r="S61" i="136"/>
  <c r="C61" i="136" s="1"/>
  <c r="R61" i="136"/>
  <c r="B61" i="136" s="1"/>
  <c r="R47" i="136"/>
  <c r="B47" i="136" s="1"/>
  <c r="S47" i="136"/>
  <c r="C47" i="136" s="1"/>
  <c r="S64" i="136"/>
  <c r="C64" i="136" s="1"/>
  <c r="R64" i="136"/>
  <c r="B64" i="136" s="1"/>
  <c r="S44" i="136"/>
  <c r="C44" i="136" s="1"/>
  <c r="R44" i="136"/>
  <c r="B44" i="136" s="1"/>
  <c r="L41" i="136"/>
  <c r="M41" i="136"/>
  <c r="U41" i="136" s="1"/>
  <c r="L53" i="136"/>
  <c r="M53" i="136"/>
  <c r="U53" i="136" s="1"/>
  <c r="L50" i="136"/>
  <c r="M50" i="136"/>
  <c r="U50" i="136" s="1"/>
  <c r="L46" i="136"/>
  <c r="M46" i="136"/>
  <c r="U46" i="136" s="1"/>
  <c r="L58" i="136"/>
  <c r="M58" i="136"/>
  <c r="U58" i="136" s="1"/>
  <c r="L52" i="136"/>
  <c r="M52" i="136"/>
  <c r="U52" i="136" s="1"/>
  <c r="L54" i="136"/>
  <c r="M54" i="136"/>
  <c r="U54" i="136" s="1"/>
  <c r="L48" i="136"/>
  <c r="M48" i="136"/>
  <c r="U48" i="136" s="1"/>
  <c r="L67" i="136"/>
  <c r="M67" i="136"/>
  <c r="U67" i="136" s="1"/>
  <c r="L51" i="136"/>
  <c r="M51" i="136"/>
  <c r="U51" i="136" s="1"/>
  <c r="L60" i="136"/>
  <c r="M60" i="136"/>
  <c r="U60" i="136" s="1"/>
  <c r="L49" i="136"/>
  <c r="M49" i="136"/>
  <c r="U49" i="136" s="1"/>
  <c r="L62" i="136"/>
  <c r="M62" i="136"/>
  <c r="U62" i="136" s="1"/>
  <c r="L45" i="136"/>
  <c r="M45" i="136"/>
  <c r="U45" i="136" s="1"/>
  <c r="L63" i="136"/>
  <c r="M63" i="136"/>
  <c r="U63" i="136" s="1"/>
  <c r="L40" i="136"/>
  <c r="M40" i="136"/>
  <c r="U40" i="136" s="1"/>
  <c r="L55" i="136"/>
  <c r="M55" i="136"/>
  <c r="U55" i="136" s="1"/>
  <c r="L56" i="136"/>
  <c r="M56" i="136"/>
  <c r="U56" i="136" s="1"/>
  <c r="L59" i="136"/>
  <c r="M59" i="136"/>
  <c r="U59" i="136" s="1"/>
  <c r="L57" i="136"/>
  <c r="M57" i="136"/>
  <c r="U57" i="136" s="1"/>
  <c r="L66" i="136"/>
  <c r="M66" i="136"/>
  <c r="U66" i="136" s="1"/>
  <c r="L42" i="136"/>
  <c r="M42" i="136"/>
  <c r="U42" i="136" s="1"/>
  <c r="L65" i="136"/>
  <c r="M65" i="136"/>
  <c r="U65" i="136" s="1"/>
  <c r="L43" i="136"/>
  <c r="M43" i="136"/>
  <c r="U43" i="136" s="1"/>
  <c r="L61" i="136"/>
  <c r="M61" i="136"/>
  <c r="U61" i="136" s="1"/>
  <c r="L47" i="136"/>
  <c r="M47" i="136"/>
  <c r="U47" i="136" s="1"/>
  <c r="L64" i="136"/>
  <c r="M64" i="136"/>
  <c r="U64" i="136" s="1"/>
  <c r="L44" i="136"/>
  <c r="M44" i="136"/>
  <c r="U44" i="136" s="1"/>
  <c r="F54" i="136"/>
  <c r="J54" i="136"/>
  <c r="G54" i="136"/>
  <c r="K54" i="136"/>
  <c r="T54" i="136" s="1"/>
  <c r="I54" i="136"/>
  <c r="H54" i="136"/>
  <c r="I66" i="136"/>
  <c r="F66" i="136"/>
  <c r="J66" i="136"/>
  <c r="H66" i="136"/>
  <c r="K66" i="136"/>
  <c r="T66" i="136" s="1"/>
  <c r="G66" i="136"/>
  <c r="G65" i="136"/>
  <c r="K65" i="136"/>
  <c r="T65" i="136" s="1"/>
  <c r="H65" i="136"/>
  <c r="F65" i="136"/>
  <c r="J65" i="136"/>
  <c r="I65" i="136"/>
  <c r="G67" i="136"/>
  <c r="K67" i="136"/>
  <c r="T67" i="136" s="1"/>
  <c r="H67" i="136"/>
  <c r="F67" i="136"/>
  <c r="J67" i="136"/>
  <c r="I67" i="136"/>
  <c r="H41" i="136"/>
  <c r="I41" i="136"/>
  <c r="G41" i="136"/>
  <c r="K41" i="136"/>
  <c r="T41" i="136" s="1"/>
  <c r="F41" i="136"/>
  <c r="J41" i="136"/>
  <c r="H63" i="136"/>
  <c r="I63" i="136"/>
  <c r="G63" i="136"/>
  <c r="K63" i="136"/>
  <c r="T63" i="136" s="1"/>
  <c r="J63" i="136"/>
  <c r="F63" i="136"/>
  <c r="H53" i="136"/>
  <c r="I53" i="136"/>
  <c r="G53" i="136"/>
  <c r="K53" i="136"/>
  <c r="T53" i="136" s="1"/>
  <c r="J53" i="136"/>
  <c r="F53" i="136"/>
  <c r="F50" i="136"/>
  <c r="J50" i="136"/>
  <c r="G50" i="136"/>
  <c r="K50" i="136"/>
  <c r="T50" i="136" s="1"/>
  <c r="I50" i="136"/>
  <c r="H50" i="136"/>
  <c r="F40" i="136"/>
  <c r="J40" i="136"/>
  <c r="G40" i="136"/>
  <c r="K40" i="136"/>
  <c r="T40" i="136" s="1"/>
  <c r="I40" i="136"/>
  <c r="H40" i="136"/>
  <c r="H55" i="136"/>
  <c r="I55" i="136"/>
  <c r="G55" i="136"/>
  <c r="K55" i="136"/>
  <c r="T55" i="136" s="1"/>
  <c r="J55" i="136"/>
  <c r="F55" i="136"/>
  <c r="F46" i="136"/>
  <c r="J46" i="136"/>
  <c r="G46" i="136"/>
  <c r="K46" i="136"/>
  <c r="T46" i="136" s="1"/>
  <c r="I46" i="136"/>
  <c r="H46" i="136"/>
  <c r="F58" i="136"/>
  <c r="J58" i="136"/>
  <c r="G58" i="136"/>
  <c r="K58" i="136"/>
  <c r="T58" i="136" s="1"/>
  <c r="I58" i="136"/>
  <c r="H58" i="136"/>
  <c r="F56" i="136"/>
  <c r="J56" i="136"/>
  <c r="G56" i="136"/>
  <c r="K56" i="136"/>
  <c r="T56" i="136" s="1"/>
  <c r="I56" i="136"/>
  <c r="H56" i="136"/>
  <c r="H59" i="136"/>
  <c r="I59" i="136"/>
  <c r="G59" i="136"/>
  <c r="K59" i="136"/>
  <c r="T59" i="136" s="1"/>
  <c r="F59" i="136"/>
  <c r="J59" i="136"/>
  <c r="H57" i="136"/>
  <c r="I57" i="136"/>
  <c r="G57" i="136"/>
  <c r="K57" i="136"/>
  <c r="T57" i="136" s="1"/>
  <c r="F57" i="136"/>
  <c r="J57" i="136"/>
  <c r="F52" i="136"/>
  <c r="J52" i="136"/>
  <c r="G52" i="136"/>
  <c r="K52" i="136"/>
  <c r="T52" i="136" s="1"/>
  <c r="I52" i="136"/>
  <c r="H52" i="136"/>
  <c r="F48" i="136"/>
  <c r="J48" i="136"/>
  <c r="G48" i="136"/>
  <c r="K48" i="136"/>
  <c r="T48" i="136" s="1"/>
  <c r="I48" i="136"/>
  <c r="H48" i="136"/>
  <c r="H51" i="136"/>
  <c r="I51" i="136"/>
  <c r="G51" i="136"/>
  <c r="K51" i="136"/>
  <c r="T51" i="136" s="1"/>
  <c r="F51" i="136"/>
  <c r="J51" i="136"/>
  <c r="F60" i="136"/>
  <c r="J60" i="136"/>
  <c r="G60" i="136"/>
  <c r="K60" i="136"/>
  <c r="T60" i="136" s="1"/>
  <c r="I60" i="136"/>
  <c r="H60" i="136"/>
  <c r="H49" i="136"/>
  <c r="I49" i="136"/>
  <c r="G49" i="136"/>
  <c r="K49" i="136"/>
  <c r="T49" i="136" s="1"/>
  <c r="F49" i="136"/>
  <c r="J49" i="136"/>
  <c r="F62" i="136"/>
  <c r="J62" i="136"/>
  <c r="G62" i="136"/>
  <c r="K62" i="136"/>
  <c r="T62" i="136" s="1"/>
  <c r="I62" i="136"/>
  <c r="H62" i="136"/>
  <c r="H45" i="136"/>
  <c r="I45" i="136"/>
  <c r="G45" i="136"/>
  <c r="K45" i="136"/>
  <c r="T45" i="136" s="1"/>
  <c r="J45" i="136"/>
  <c r="F45" i="136"/>
  <c r="F42" i="136"/>
  <c r="J42" i="136"/>
  <c r="G42" i="136"/>
  <c r="K42" i="136"/>
  <c r="T42" i="136" s="1"/>
  <c r="I42" i="136"/>
  <c r="H42" i="136"/>
  <c r="H43" i="136"/>
  <c r="I43" i="136"/>
  <c r="G43" i="136"/>
  <c r="K43" i="136"/>
  <c r="T43" i="136" s="1"/>
  <c r="F43" i="136"/>
  <c r="J43" i="136"/>
  <c r="H61" i="136"/>
  <c r="I61" i="136"/>
  <c r="G61" i="136"/>
  <c r="K61" i="136"/>
  <c r="T61" i="136" s="1"/>
  <c r="J61" i="136"/>
  <c r="F61" i="136"/>
  <c r="H47" i="136"/>
  <c r="I47" i="136"/>
  <c r="G47" i="136"/>
  <c r="K47" i="136"/>
  <c r="T47" i="136" s="1"/>
  <c r="J47" i="136"/>
  <c r="F47" i="136"/>
  <c r="F64" i="136"/>
  <c r="G64" i="136"/>
  <c r="I64" i="136"/>
  <c r="H64" i="136"/>
  <c r="J64" i="136"/>
  <c r="K64" i="136"/>
  <c r="T64" i="136" s="1"/>
  <c r="F44" i="136"/>
  <c r="J44" i="136"/>
  <c r="G44" i="136"/>
  <c r="K44" i="136"/>
  <c r="T44" i="136" s="1"/>
  <c r="I44" i="136"/>
  <c r="H44" i="136"/>
  <c r="A41" i="136"/>
  <c r="D41" i="136"/>
  <c r="A53" i="136"/>
  <c r="D53" i="136"/>
  <c r="A50" i="136"/>
  <c r="D50" i="136"/>
  <c r="A40" i="136"/>
  <c r="D40" i="136"/>
  <c r="A46" i="136"/>
  <c r="D46" i="136"/>
  <c r="A58" i="136"/>
  <c r="D58" i="136"/>
  <c r="A59" i="136"/>
  <c r="D59" i="136"/>
  <c r="A54" i="136"/>
  <c r="D54" i="136"/>
  <c r="A42" i="136"/>
  <c r="D42" i="136"/>
  <c r="A65" i="136"/>
  <c r="D65" i="136"/>
  <c r="A51" i="136"/>
  <c r="D51" i="136"/>
  <c r="A60" i="136"/>
  <c r="D60" i="136"/>
  <c r="A49" i="136"/>
  <c r="D49" i="136"/>
  <c r="A62" i="136"/>
  <c r="D62" i="136"/>
  <c r="A45" i="136"/>
  <c r="D45" i="136"/>
  <c r="A63" i="136"/>
  <c r="D63" i="136"/>
  <c r="A55" i="136"/>
  <c r="D55" i="136"/>
  <c r="A56" i="136"/>
  <c r="D56" i="136"/>
  <c r="A57" i="136"/>
  <c r="D57" i="136"/>
  <c r="A52" i="136"/>
  <c r="D52" i="136"/>
  <c r="A66" i="136"/>
  <c r="D66" i="136"/>
  <c r="A48" i="136"/>
  <c r="D48" i="136"/>
  <c r="A67" i="136"/>
  <c r="D67" i="136"/>
  <c r="A43" i="136"/>
  <c r="D43" i="136"/>
  <c r="A61" i="136"/>
  <c r="D61" i="136"/>
  <c r="A47" i="136"/>
  <c r="D47" i="136"/>
  <c r="A64" i="136"/>
  <c r="D64" i="136"/>
  <c r="A44" i="136"/>
  <c r="D44" i="136"/>
  <c r="L43" i="129"/>
  <c r="M43" i="129"/>
  <c r="E43" i="129" s="1"/>
  <c r="L61" i="129"/>
  <c r="M61" i="129"/>
  <c r="E61" i="129" s="1"/>
  <c r="L47" i="129"/>
  <c r="M47" i="129"/>
  <c r="E47" i="129" s="1"/>
  <c r="M64" i="129"/>
  <c r="E64" i="129" s="1"/>
  <c r="L64" i="129"/>
  <c r="M44" i="129"/>
  <c r="E44" i="129" s="1"/>
  <c r="L44" i="129"/>
  <c r="L41" i="129"/>
  <c r="M41" i="129"/>
  <c r="E41" i="129" s="1"/>
  <c r="L63" i="129"/>
  <c r="M63" i="129"/>
  <c r="E63" i="129" s="1"/>
  <c r="M50" i="129"/>
  <c r="E50" i="129" s="1"/>
  <c r="L50" i="129"/>
  <c r="M40" i="129"/>
  <c r="E40" i="129" s="1"/>
  <c r="L40" i="129"/>
  <c r="L55" i="129"/>
  <c r="M55" i="129"/>
  <c r="E55" i="129" s="1"/>
  <c r="M46" i="129"/>
  <c r="E46" i="129" s="1"/>
  <c r="L46" i="129"/>
  <c r="M58" i="129"/>
  <c r="E58" i="129" s="1"/>
  <c r="L58" i="129"/>
  <c r="L59" i="129"/>
  <c r="M59" i="129"/>
  <c r="E59" i="129" s="1"/>
  <c r="L51" i="129"/>
  <c r="M51" i="129"/>
  <c r="E51" i="129" s="1"/>
  <c r="M60" i="129"/>
  <c r="E60" i="129" s="1"/>
  <c r="L60" i="129"/>
  <c r="L49" i="129"/>
  <c r="M49" i="129"/>
  <c r="E49" i="129" s="1"/>
  <c r="M62" i="129"/>
  <c r="E62" i="129" s="1"/>
  <c r="L62" i="129"/>
  <c r="L45" i="129"/>
  <c r="M45" i="129"/>
  <c r="E45" i="129" s="1"/>
  <c r="L53" i="129"/>
  <c r="M53" i="129"/>
  <c r="E53" i="129" s="1"/>
  <c r="M56" i="129"/>
  <c r="E56" i="129" s="1"/>
  <c r="L56" i="129"/>
  <c r="L57" i="129"/>
  <c r="M57" i="129"/>
  <c r="E57" i="129" s="1"/>
  <c r="M52" i="129"/>
  <c r="E52" i="129" s="1"/>
  <c r="L52" i="129"/>
  <c r="M54" i="129"/>
  <c r="E54" i="129" s="1"/>
  <c r="L54" i="129"/>
  <c r="M66" i="129"/>
  <c r="E66" i="129" s="1"/>
  <c r="L66" i="129"/>
  <c r="M42" i="129"/>
  <c r="E42" i="129" s="1"/>
  <c r="L42" i="129"/>
  <c r="M48" i="129"/>
  <c r="E48" i="129" s="1"/>
  <c r="L48" i="129"/>
  <c r="M65" i="129"/>
  <c r="E65" i="129" s="1"/>
  <c r="L65" i="129"/>
  <c r="L67" i="129"/>
  <c r="M67" i="129"/>
  <c r="E67" i="129" s="1"/>
  <c r="B12" i="129"/>
  <c r="C12" i="129"/>
  <c r="B45" i="129"/>
  <c r="C45" i="129"/>
  <c r="B19" i="129"/>
  <c r="C19" i="129"/>
  <c r="B41" i="129"/>
  <c r="C41" i="129"/>
  <c r="B63" i="129"/>
  <c r="C63" i="129"/>
  <c r="B53" i="129"/>
  <c r="C53" i="129"/>
  <c r="B18" i="129"/>
  <c r="C18" i="129"/>
  <c r="B50" i="129"/>
  <c r="C50" i="129"/>
  <c r="B40" i="129"/>
  <c r="C40" i="129"/>
  <c r="B55" i="129"/>
  <c r="C55" i="129"/>
  <c r="B46" i="129"/>
  <c r="C46" i="129"/>
  <c r="B13" i="129"/>
  <c r="C13" i="129"/>
  <c r="B58" i="129"/>
  <c r="C58" i="129"/>
  <c r="B56" i="129"/>
  <c r="C56" i="129"/>
  <c r="B59" i="129"/>
  <c r="C59" i="129"/>
  <c r="B11" i="129"/>
  <c r="C11" i="129"/>
  <c r="B51" i="129"/>
  <c r="C51" i="129"/>
  <c r="B60" i="129"/>
  <c r="C60" i="129"/>
  <c r="B27" i="129"/>
  <c r="C27" i="129"/>
  <c r="B10" i="129"/>
  <c r="C10" i="129"/>
  <c r="B26" i="129"/>
  <c r="C26" i="129"/>
  <c r="B49" i="129"/>
  <c r="C49" i="129"/>
  <c r="B21" i="129"/>
  <c r="C21" i="129"/>
  <c r="B9" i="129"/>
  <c r="C9" i="129"/>
  <c r="B62" i="129"/>
  <c r="C62" i="129"/>
  <c r="B43" i="129"/>
  <c r="C43" i="129"/>
  <c r="B20" i="129"/>
  <c r="C20" i="129"/>
  <c r="B61" i="129"/>
  <c r="C61" i="129"/>
  <c r="B15" i="129"/>
  <c r="C15" i="129"/>
  <c r="B23" i="129"/>
  <c r="C23" i="129"/>
  <c r="B17" i="129"/>
  <c r="C17" i="129"/>
  <c r="B22" i="129"/>
  <c r="C22" i="129"/>
  <c r="B47" i="129"/>
  <c r="C47" i="129"/>
  <c r="B28" i="129"/>
  <c r="C28" i="129"/>
  <c r="B29" i="129"/>
  <c r="C29" i="129"/>
  <c r="B64" i="129"/>
  <c r="C64" i="129"/>
  <c r="B14" i="129"/>
  <c r="C14" i="129"/>
  <c r="B44" i="129"/>
  <c r="C44" i="129"/>
  <c r="B24" i="129"/>
  <c r="C24" i="129"/>
  <c r="B57" i="129"/>
  <c r="C57" i="129"/>
  <c r="B52" i="129"/>
  <c r="C52" i="129"/>
  <c r="B16" i="129"/>
  <c r="C16" i="129"/>
  <c r="B54" i="129"/>
  <c r="C54" i="129"/>
  <c r="B8" i="129"/>
  <c r="C8" i="129"/>
  <c r="B66" i="129"/>
  <c r="C66" i="129"/>
  <c r="B42" i="129"/>
  <c r="C42" i="129"/>
  <c r="B48" i="129"/>
  <c r="C48" i="129"/>
  <c r="B65" i="129"/>
  <c r="C65" i="129"/>
  <c r="B67" i="129"/>
  <c r="C67" i="129"/>
  <c r="B7" i="129"/>
  <c r="C7" i="129"/>
  <c r="K57" i="127"/>
  <c r="T57" i="127" s="1"/>
  <c r="L57" i="127"/>
  <c r="U57" i="127" s="1"/>
  <c r="K52" i="127"/>
  <c r="T52" i="127" s="1"/>
  <c r="L52" i="127"/>
  <c r="U52" i="127" s="1"/>
  <c r="K54" i="127"/>
  <c r="T54" i="127" s="1"/>
  <c r="L54" i="127"/>
  <c r="U54" i="127" s="1"/>
  <c r="K66" i="127"/>
  <c r="T66" i="127" s="1"/>
  <c r="L66" i="127"/>
  <c r="U66" i="127" s="1"/>
  <c r="K42" i="127"/>
  <c r="T42" i="127" s="1"/>
  <c r="L42" i="127"/>
  <c r="U42" i="127" s="1"/>
  <c r="K48" i="127"/>
  <c r="T48" i="127" s="1"/>
  <c r="L48" i="127"/>
  <c r="U48" i="127" s="1"/>
  <c r="L65" i="127"/>
  <c r="U65" i="127" s="1"/>
  <c r="K65" i="127"/>
  <c r="T65" i="127" s="1"/>
  <c r="K67" i="127"/>
  <c r="T67" i="127" s="1"/>
  <c r="L67" i="127"/>
  <c r="U67" i="127" s="1"/>
  <c r="K51" i="127"/>
  <c r="T51" i="127" s="1"/>
  <c r="L51" i="127"/>
  <c r="U51" i="127" s="1"/>
  <c r="K60" i="127"/>
  <c r="T60" i="127" s="1"/>
  <c r="L60" i="127"/>
  <c r="U60" i="127" s="1"/>
  <c r="K49" i="127"/>
  <c r="T49" i="127" s="1"/>
  <c r="L49" i="127"/>
  <c r="U49" i="127" s="1"/>
  <c r="K62" i="127"/>
  <c r="T62" i="127" s="1"/>
  <c r="L62" i="127"/>
  <c r="U62" i="127" s="1"/>
  <c r="K45" i="127"/>
  <c r="T45" i="127" s="1"/>
  <c r="L45" i="127"/>
  <c r="U45" i="127" s="1"/>
  <c r="K43" i="127"/>
  <c r="T43" i="127" s="1"/>
  <c r="L43" i="127"/>
  <c r="U43" i="127" s="1"/>
  <c r="L61" i="127"/>
  <c r="U61" i="127" s="1"/>
  <c r="K61" i="127"/>
  <c r="T61" i="127" s="1"/>
  <c r="K47" i="127"/>
  <c r="T47" i="127" s="1"/>
  <c r="L47" i="127"/>
  <c r="U47" i="127" s="1"/>
  <c r="K64" i="127"/>
  <c r="T64" i="127" s="1"/>
  <c r="L64" i="127"/>
  <c r="U64" i="127" s="1"/>
  <c r="K44" i="127"/>
  <c r="T44" i="127" s="1"/>
  <c r="L44" i="127"/>
  <c r="U44" i="127" s="1"/>
  <c r="K41" i="127"/>
  <c r="T41" i="127" s="1"/>
  <c r="L41" i="127"/>
  <c r="U41" i="127" s="1"/>
  <c r="K63" i="127"/>
  <c r="T63" i="127" s="1"/>
  <c r="L63" i="127"/>
  <c r="U63" i="127" s="1"/>
  <c r="K53" i="127"/>
  <c r="T53" i="127" s="1"/>
  <c r="L53" i="127"/>
  <c r="U53" i="127" s="1"/>
  <c r="K50" i="127"/>
  <c r="T50" i="127" s="1"/>
  <c r="L50" i="127"/>
  <c r="U50" i="127" s="1"/>
  <c r="K40" i="127"/>
  <c r="T40" i="127" s="1"/>
  <c r="L40" i="127"/>
  <c r="U40" i="127" s="1"/>
  <c r="K55" i="127"/>
  <c r="T55" i="127" s="1"/>
  <c r="L55" i="127"/>
  <c r="U55" i="127" s="1"/>
  <c r="K46" i="127"/>
  <c r="T46" i="127" s="1"/>
  <c r="L46" i="127"/>
  <c r="U46" i="127" s="1"/>
  <c r="K58" i="127"/>
  <c r="T58" i="127" s="1"/>
  <c r="L58" i="127"/>
  <c r="U58" i="127" s="1"/>
  <c r="K56" i="127"/>
  <c r="T56" i="127" s="1"/>
  <c r="L56" i="127"/>
  <c r="U56" i="127" s="1"/>
  <c r="K59" i="127"/>
  <c r="T59" i="127" s="1"/>
  <c r="L59" i="127"/>
  <c r="U59" i="127" s="1"/>
  <c r="D57" i="127"/>
  <c r="H57" i="127"/>
  <c r="I57" i="127"/>
  <c r="D52" i="127"/>
  <c r="H52" i="127"/>
  <c r="I52" i="127"/>
  <c r="D66" i="127"/>
  <c r="H66" i="127"/>
  <c r="I66" i="127"/>
  <c r="D42" i="127"/>
  <c r="H42" i="127"/>
  <c r="I42" i="127"/>
  <c r="D48" i="127"/>
  <c r="H48" i="127"/>
  <c r="I48" i="127"/>
  <c r="D11" i="127"/>
  <c r="D51" i="127"/>
  <c r="H51" i="127"/>
  <c r="I51" i="127"/>
  <c r="D60" i="127"/>
  <c r="H60" i="127"/>
  <c r="I60" i="127"/>
  <c r="D27" i="127"/>
  <c r="D12" i="127"/>
  <c r="D10" i="127"/>
  <c r="D26" i="127"/>
  <c r="D49" i="127"/>
  <c r="H49" i="127"/>
  <c r="I49" i="127"/>
  <c r="D21" i="127"/>
  <c r="D9" i="127"/>
  <c r="D62" i="127"/>
  <c r="H62" i="127"/>
  <c r="I62" i="127"/>
  <c r="D45" i="127"/>
  <c r="H45" i="127"/>
  <c r="I45" i="127"/>
  <c r="D24" i="127"/>
  <c r="D16" i="127"/>
  <c r="D54" i="127"/>
  <c r="H54" i="127"/>
  <c r="I54" i="127"/>
  <c r="D8" i="127"/>
  <c r="D43" i="127"/>
  <c r="H43" i="127"/>
  <c r="I43" i="127"/>
  <c r="D20" i="127"/>
  <c r="D61" i="127"/>
  <c r="I61" i="127"/>
  <c r="H61" i="127"/>
  <c r="D15" i="127"/>
  <c r="D23" i="127"/>
  <c r="D17" i="127"/>
  <c r="D22" i="127"/>
  <c r="D47" i="127"/>
  <c r="H47" i="127"/>
  <c r="I47" i="127"/>
  <c r="D28" i="127"/>
  <c r="D29" i="127"/>
  <c r="D64" i="127"/>
  <c r="H64" i="127"/>
  <c r="I64" i="127"/>
  <c r="D14" i="127"/>
  <c r="D44" i="127"/>
  <c r="H44" i="127"/>
  <c r="I44" i="127"/>
  <c r="D65" i="127"/>
  <c r="I65" i="127"/>
  <c r="H65" i="127"/>
  <c r="D67" i="127"/>
  <c r="I67" i="127"/>
  <c r="H67" i="127"/>
  <c r="D19" i="127"/>
  <c r="D41" i="127"/>
  <c r="H41" i="127"/>
  <c r="I41" i="127"/>
  <c r="D63" i="127"/>
  <c r="I63" i="127"/>
  <c r="H63" i="127"/>
  <c r="D53" i="127"/>
  <c r="H53" i="127"/>
  <c r="I53" i="127"/>
  <c r="D18" i="127"/>
  <c r="D50" i="127"/>
  <c r="H50" i="127"/>
  <c r="I50" i="127"/>
  <c r="D40" i="127"/>
  <c r="H40" i="127"/>
  <c r="I40" i="127"/>
  <c r="D55" i="127"/>
  <c r="H55" i="127"/>
  <c r="I55" i="127"/>
  <c r="D46" i="127"/>
  <c r="H46" i="127"/>
  <c r="I46" i="127"/>
  <c r="D13" i="127"/>
  <c r="D58" i="127"/>
  <c r="H58" i="127"/>
  <c r="I58" i="127"/>
  <c r="D56" i="127"/>
  <c r="H56" i="127"/>
  <c r="I56" i="127"/>
  <c r="D59" i="127"/>
  <c r="I59" i="127"/>
  <c r="H59" i="127"/>
  <c r="D7" i="127"/>
  <c r="A52" i="127"/>
  <c r="B52" i="127" s="1"/>
  <c r="A54" i="127"/>
  <c r="B54" i="127" s="1"/>
  <c r="A66" i="127"/>
  <c r="B66" i="127" s="1"/>
  <c r="A42" i="127"/>
  <c r="B42" i="127" s="1"/>
  <c r="A48" i="127"/>
  <c r="B48" i="127" s="1"/>
  <c r="A51" i="127"/>
  <c r="B51" i="127" s="1"/>
  <c r="A49" i="127"/>
  <c r="B49" i="127" s="1"/>
  <c r="A43" i="127"/>
  <c r="B43" i="127" s="1"/>
  <c r="A61" i="127"/>
  <c r="B61" i="127" s="1"/>
  <c r="A47" i="127"/>
  <c r="B47" i="127" s="1"/>
  <c r="A64" i="127"/>
  <c r="B64" i="127" s="1"/>
  <c r="A44" i="127"/>
  <c r="B44" i="127" s="1"/>
  <c r="A57" i="127"/>
  <c r="B57" i="127" s="1"/>
  <c r="A65" i="127"/>
  <c r="B65" i="127" s="1"/>
  <c r="A67" i="127"/>
  <c r="B67" i="127" s="1"/>
  <c r="A60" i="127"/>
  <c r="B60" i="127" s="1"/>
  <c r="A62" i="127"/>
  <c r="B62" i="127" s="1"/>
  <c r="A45" i="127"/>
  <c r="B45" i="127" s="1"/>
  <c r="A41" i="127"/>
  <c r="B41" i="127" s="1"/>
  <c r="A63" i="127"/>
  <c r="B63" i="127" s="1"/>
  <c r="A53" i="127"/>
  <c r="B53" i="127" s="1"/>
  <c r="A50" i="127"/>
  <c r="B50" i="127" s="1"/>
  <c r="A40" i="127"/>
  <c r="B40" i="127" s="1"/>
  <c r="A55" i="127"/>
  <c r="B55" i="127" s="1"/>
  <c r="A46" i="127"/>
  <c r="B46" i="127" s="1"/>
  <c r="A58" i="127"/>
  <c r="B58" i="127" s="1"/>
  <c r="A56" i="127"/>
  <c r="B56" i="127" s="1"/>
  <c r="A59" i="127"/>
  <c r="B59" i="127" s="1"/>
  <c r="A68" i="115"/>
  <c r="E68" i="115"/>
  <c r="E30" i="115"/>
  <c r="B56" i="115"/>
  <c r="A56" i="115"/>
  <c r="B63" i="115"/>
  <c r="A63" i="115"/>
  <c r="B64" i="115"/>
  <c r="A64" i="115"/>
  <c r="B49" i="115"/>
  <c r="A49" i="115"/>
  <c r="B54" i="115"/>
  <c r="A54" i="115"/>
  <c r="B57" i="115"/>
  <c r="A57" i="115"/>
  <c r="B39" i="115"/>
  <c r="A39" i="115"/>
  <c r="B42" i="115"/>
  <c r="A42" i="115"/>
  <c r="B20" i="115"/>
  <c r="B18" i="115"/>
  <c r="B8" i="115"/>
  <c r="B21" i="115"/>
  <c r="B15" i="115"/>
  <c r="B46" i="115"/>
  <c r="A46" i="115"/>
  <c r="B50" i="115"/>
  <c r="A50" i="115"/>
  <c r="B43" i="115"/>
  <c r="A43" i="115"/>
  <c r="B59" i="115"/>
  <c r="A59" i="115"/>
  <c r="B61" i="115"/>
  <c r="A61" i="115"/>
  <c r="B58" i="115"/>
  <c r="A58" i="115"/>
  <c r="B19" i="115"/>
  <c r="B22" i="115"/>
  <c r="B26" i="115"/>
  <c r="B40" i="115"/>
  <c r="A40" i="115"/>
  <c r="B14" i="115"/>
  <c r="B16" i="115"/>
  <c r="B9" i="115"/>
  <c r="B67" i="115"/>
  <c r="A67" i="115"/>
  <c r="B53" i="115"/>
  <c r="A53" i="115"/>
  <c r="B62" i="115"/>
  <c r="A62" i="115"/>
  <c r="B47" i="115"/>
  <c r="A47" i="115"/>
  <c r="B65" i="115"/>
  <c r="A65" i="115"/>
  <c r="B52" i="115"/>
  <c r="A52" i="115"/>
  <c r="B55" i="115"/>
  <c r="A55" i="115"/>
  <c r="B24" i="115"/>
  <c r="B10" i="115"/>
  <c r="B28" i="115"/>
  <c r="B13" i="115"/>
  <c r="B23" i="115"/>
  <c r="B44" i="115"/>
  <c r="A44" i="115"/>
  <c r="B60" i="115"/>
  <c r="A60" i="115"/>
  <c r="B48" i="115"/>
  <c r="A48" i="115"/>
  <c r="B66" i="115"/>
  <c r="A66" i="115"/>
  <c r="B45" i="115"/>
  <c r="A45" i="115"/>
  <c r="B51" i="115"/>
  <c r="A51" i="115"/>
  <c r="B11" i="115"/>
  <c r="B25" i="115"/>
  <c r="B41" i="115"/>
  <c r="A41" i="115"/>
  <c r="B17" i="115"/>
  <c r="B12" i="115"/>
  <c r="B27" i="115"/>
  <c r="B29" i="115"/>
  <c r="B68" i="115"/>
  <c r="B30" i="115"/>
  <c r="B7" i="115"/>
  <c r="M24" i="127"/>
  <c r="J24" i="127"/>
  <c r="M57" i="127"/>
  <c r="J57" i="127"/>
  <c r="M42" i="127"/>
  <c r="J42" i="127"/>
  <c r="M67" i="127"/>
  <c r="J67" i="127"/>
  <c r="M43" i="127"/>
  <c r="J43" i="127"/>
  <c r="M20" i="127"/>
  <c r="J20" i="127"/>
  <c r="M61" i="127"/>
  <c r="J61" i="127"/>
  <c r="M15" i="127"/>
  <c r="J15" i="127"/>
  <c r="M23" i="127"/>
  <c r="J23" i="127"/>
  <c r="M17" i="127"/>
  <c r="J17" i="127"/>
  <c r="M22" i="127"/>
  <c r="J22" i="127"/>
  <c r="M47" i="127"/>
  <c r="J47" i="127"/>
  <c r="M28" i="127"/>
  <c r="J28" i="127"/>
  <c r="M29" i="127"/>
  <c r="J29" i="127"/>
  <c r="M64" i="127"/>
  <c r="J64" i="127"/>
  <c r="M14" i="127"/>
  <c r="J14" i="127"/>
  <c r="M44" i="127"/>
  <c r="J44" i="127"/>
  <c r="M52" i="127"/>
  <c r="J52" i="127"/>
  <c r="M16" i="127"/>
  <c r="J16" i="127"/>
  <c r="M54" i="127"/>
  <c r="J54" i="127"/>
  <c r="M8" i="127"/>
  <c r="J8" i="127"/>
  <c r="M66" i="127"/>
  <c r="J66" i="127"/>
  <c r="M48" i="127"/>
  <c r="J48" i="127"/>
  <c r="M65" i="127"/>
  <c r="J65" i="127"/>
  <c r="M11" i="127"/>
  <c r="J11" i="127"/>
  <c r="M51" i="127"/>
  <c r="J51" i="127"/>
  <c r="M60" i="127"/>
  <c r="J60" i="127"/>
  <c r="M27" i="127"/>
  <c r="J27" i="127"/>
  <c r="M12" i="127"/>
  <c r="J12" i="127"/>
  <c r="M10" i="127"/>
  <c r="J10" i="127"/>
  <c r="M26" i="127"/>
  <c r="J26" i="127"/>
  <c r="M49" i="127"/>
  <c r="J49" i="127"/>
  <c r="M21" i="127"/>
  <c r="J21" i="127"/>
  <c r="M9" i="127"/>
  <c r="J9" i="127"/>
  <c r="M62" i="127"/>
  <c r="J62" i="127"/>
  <c r="M45" i="127"/>
  <c r="J45" i="127"/>
  <c r="M19" i="127"/>
  <c r="J19" i="127"/>
  <c r="M41" i="127"/>
  <c r="J41" i="127"/>
  <c r="M63" i="127"/>
  <c r="J63" i="127"/>
  <c r="M53" i="127"/>
  <c r="J53" i="127"/>
  <c r="M18" i="127"/>
  <c r="J18" i="127"/>
  <c r="M50" i="127"/>
  <c r="J50" i="127"/>
  <c r="M40" i="127"/>
  <c r="J40" i="127"/>
  <c r="M55" i="127"/>
  <c r="J55" i="127"/>
  <c r="M46" i="127"/>
  <c r="J46" i="127"/>
  <c r="M13" i="127"/>
  <c r="J13" i="127"/>
  <c r="M58" i="127"/>
  <c r="J58" i="127"/>
  <c r="M56" i="127"/>
  <c r="J56" i="127"/>
  <c r="M59" i="127"/>
  <c r="J59" i="127"/>
  <c r="M7" i="127"/>
  <c r="J7" i="127"/>
  <c r="B39" i="127"/>
  <c r="BJ54" i="98"/>
  <c r="FA54" i="98"/>
  <c r="CW54" i="98" s="1"/>
  <c r="BI34" i="98"/>
  <c r="BJ34" i="98" s="1"/>
  <c r="C68" i="115"/>
  <c r="B356" i="128"/>
  <c r="A356" i="128"/>
  <c r="C356" i="128"/>
  <c r="C30" i="115"/>
  <c r="B318" i="128"/>
  <c r="A318" i="128"/>
  <c r="C318" i="128"/>
  <c r="F68" i="127"/>
  <c r="G68" i="127"/>
  <c r="E68" i="127"/>
  <c r="E30" i="127"/>
  <c r="F30" i="127"/>
  <c r="G30" i="127"/>
  <c r="FA55" i="98"/>
  <c r="CW55" i="98" s="1"/>
  <c r="BL32" i="98"/>
  <c r="FA32" i="98" s="1"/>
  <c r="FA44" i="98"/>
  <c r="CW44" i="98" s="1"/>
  <c r="FA48" i="98"/>
  <c r="CW48" i="98" s="1"/>
  <c r="FA46" i="98"/>
  <c r="CW46" i="98" s="1"/>
  <c r="FA38" i="98"/>
  <c r="CW38" i="98" s="1"/>
  <c r="FA42" i="98"/>
  <c r="CW42" i="98" s="1"/>
  <c r="FA43" i="98"/>
  <c r="CW43" i="98" s="1"/>
  <c r="FA50" i="98"/>
  <c r="CW50" i="98" s="1"/>
  <c r="FA35" i="98"/>
  <c r="CW35" i="98" s="1"/>
  <c r="FA37" i="98"/>
  <c r="CW37" i="98" s="1"/>
  <c r="FA49" i="98"/>
  <c r="CW49" i="98" s="1"/>
  <c r="FA40" i="98"/>
  <c r="CW40" i="98" s="1"/>
  <c r="FA53" i="98"/>
  <c r="CW53" i="98" s="1"/>
  <c r="FA41" i="98"/>
  <c r="CW41" i="98" s="1"/>
  <c r="FA51" i="98"/>
  <c r="CW51" i="98" s="1"/>
  <c r="FA47" i="98"/>
  <c r="CW47" i="98" s="1"/>
  <c r="FA45" i="98"/>
  <c r="CW45" i="98" s="1"/>
  <c r="FA39" i="98"/>
  <c r="CW39" i="98" s="1"/>
  <c r="CB27" i="98"/>
  <c r="ED110" i="98" s="1"/>
  <c r="BL30" i="98"/>
  <c r="FA30" i="98" s="1"/>
  <c r="A17" i="98" s="1"/>
  <c r="BL29" i="98"/>
  <c r="BL33" i="98"/>
  <c r="BL31" i="98"/>
  <c r="FA31" i="98" s="1"/>
  <c r="A18" i="98" s="1"/>
  <c r="J18" i="98" s="1"/>
  <c r="J31" i="98" s="1"/>
  <c r="EO124" i="123"/>
  <c r="G67" i="127"/>
  <c r="E67" i="127"/>
  <c r="F67" i="127"/>
  <c r="B355" i="128"/>
  <c r="C355" i="128"/>
  <c r="A355" i="128"/>
  <c r="C67" i="115"/>
  <c r="C327" i="128"/>
  <c r="B327" i="128"/>
  <c r="C305" i="128"/>
  <c r="B305" i="128"/>
  <c r="C300" i="128"/>
  <c r="B300" i="128"/>
  <c r="C297" i="128"/>
  <c r="B297" i="128"/>
  <c r="C314" i="128"/>
  <c r="B314" i="128"/>
  <c r="C310" i="128"/>
  <c r="B310" i="128"/>
  <c r="C307" i="128"/>
  <c r="B307" i="128"/>
  <c r="C311" i="128"/>
  <c r="B311" i="128"/>
  <c r="C301" i="128"/>
  <c r="B301" i="128"/>
  <c r="C304" i="128"/>
  <c r="B304" i="128"/>
  <c r="C329" i="128"/>
  <c r="B329" i="128"/>
  <c r="C306" i="128"/>
  <c r="B306" i="128"/>
  <c r="C295" i="128"/>
  <c r="B295" i="128"/>
  <c r="C330" i="128"/>
  <c r="B330" i="128"/>
  <c r="C296" i="128"/>
  <c r="B296" i="128"/>
  <c r="C308" i="128"/>
  <c r="B308" i="128"/>
  <c r="C298" i="128"/>
  <c r="B298" i="128"/>
  <c r="C309" i="128"/>
  <c r="B309" i="128"/>
  <c r="C299" i="128"/>
  <c r="B299" i="128"/>
  <c r="C302" i="128"/>
  <c r="B302" i="128"/>
  <c r="C303" i="128"/>
  <c r="B303" i="128"/>
  <c r="A341" i="128"/>
  <c r="C341" i="128"/>
  <c r="A343" i="128"/>
  <c r="C343" i="128"/>
  <c r="A339" i="128"/>
  <c r="C339" i="128"/>
  <c r="A354" i="128"/>
  <c r="C354" i="128"/>
  <c r="A342" i="128"/>
  <c r="C342" i="128"/>
  <c r="A340" i="128"/>
  <c r="C340" i="128"/>
  <c r="A346" i="128"/>
  <c r="C346" i="128"/>
  <c r="A315" i="128"/>
  <c r="C315" i="128"/>
  <c r="A317" i="128"/>
  <c r="C317" i="128"/>
  <c r="A351" i="128"/>
  <c r="C351" i="128"/>
  <c r="A331" i="128"/>
  <c r="C331" i="128"/>
  <c r="A335" i="128"/>
  <c r="C335" i="128"/>
  <c r="A337" i="128"/>
  <c r="C337" i="128"/>
  <c r="A347" i="128"/>
  <c r="C347" i="128"/>
  <c r="A353" i="128"/>
  <c r="C353" i="128"/>
  <c r="A349" i="128"/>
  <c r="C349" i="128"/>
  <c r="A333" i="128"/>
  <c r="C333" i="128"/>
  <c r="A345" i="128"/>
  <c r="C345" i="128"/>
  <c r="A332" i="128"/>
  <c r="C332" i="128"/>
  <c r="A348" i="128"/>
  <c r="C348" i="128"/>
  <c r="A338" i="128"/>
  <c r="C338" i="128"/>
  <c r="A344" i="128"/>
  <c r="C344" i="128"/>
  <c r="A334" i="128"/>
  <c r="C334" i="128"/>
  <c r="A350" i="128"/>
  <c r="C350" i="128"/>
  <c r="A336" i="128"/>
  <c r="C336" i="128"/>
  <c r="A352" i="128"/>
  <c r="C352" i="128"/>
  <c r="A312" i="128"/>
  <c r="C312" i="128"/>
  <c r="A328" i="128"/>
  <c r="C328" i="128"/>
  <c r="A313" i="128"/>
  <c r="C313" i="128"/>
  <c r="A316" i="128"/>
  <c r="C316" i="128"/>
  <c r="C24" i="115"/>
  <c r="C10" i="115"/>
  <c r="C29" i="115"/>
  <c r="C39" i="115"/>
  <c r="C40" i="115"/>
  <c r="C15" i="115"/>
  <c r="C42" i="115"/>
  <c r="C20" i="115"/>
  <c r="C26" i="115"/>
  <c r="C17" i="115"/>
  <c r="C16" i="115"/>
  <c r="C28" i="115"/>
  <c r="C14" i="115"/>
  <c r="C12" i="115"/>
  <c r="C21" i="115"/>
  <c r="C23" i="115"/>
  <c r="C9" i="115"/>
  <c r="C11" i="115"/>
  <c r="C7" i="115"/>
  <c r="C19" i="115"/>
  <c r="C25" i="115"/>
  <c r="C22" i="115"/>
  <c r="C18" i="115"/>
  <c r="C8" i="115"/>
  <c r="C13" i="115"/>
  <c r="C56" i="115"/>
  <c r="C64" i="115"/>
  <c r="C58" i="115"/>
  <c r="C55" i="115"/>
  <c r="C44" i="115"/>
  <c r="C60" i="115"/>
  <c r="C62" i="115"/>
  <c r="C54" i="115"/>
  <c r="C52" i="115"/>
  <c r="C41" i="115"/>
  <c r="C46" i="115"/>
  <c r="C50" i="115"/>
  <c r="C48" i="115"/>
  <c r="C66" i="115"/>
  <c r="C27" i="115"/>
  <c r="C53" i="115"/>
  <c r="C63" i="115"/>
  <c r="C43" i="115"/>
  <c r="C47" i="115"/>
  <c r="C49" i="115"/>
  <c r="C59" i="115"/>
  <c r="C65" i="115"/>
  <c r="C61" i="115"/>
  <c r="C45" i="115"/>
  <c r="C57" i="115"/>
  <c r="C51" i="115"/>
  <c r="E39" i="129"/>
  <c r="F53" i="127"/>
  <c r="G53" i="127"/>
  <c r="F63" i="127"/>
  <c r="G63" i="127"/>
  <c r="F43" i="127"/>
  <c r="G43" i="127"/>
  <c r="F47" i="127"/>
  <c r="G47" i="127"/>
  <c r="F49" i="127"/>
  <c r="G49" i="127"/>
  <c r="F59" i="127"/>
  <c r="G59" i="127"/>
  <c r="F65" i="127"/>
  <c r="G65" i="127"/>
  <c r="F61" i="127"/>
  <c r="G61" i="127"/>
  <c r="F45" i="127"/>
  <c r="G45" i="127"/>
  <c r="F57" i="127"/>
  <c r="G57" i="127"/>
  <c r="F51" i="127"/>
  <c r="G51" i="127"/>
  <c r="F10" i="127"/>
  <c r="G10" i="127"/>
  <c r="F40" i="127"/>
  <c r="G40" i="127"/>
  <c r="F24" i="127"/>
  <c r="G24" i="127"/>
  <c r="F22" i="127"/>
  <c r="G22" i="127"/>
  <c r="F21" i="127"/>
  <c r="G21" i="127"/>
  <c r="F17" i="127"/>
  <c r="G17" i="127"/>
  <c r="F39" i="127"/>
  <c r="G39" i="127"/>
  <c r="F11" i="127"/>
  <c r="G11" i="127"/>
  <c r="F15" i="127"/>
  <c r="G15" i="127"/>
  <c r="F23" i="127"/>
  <c r="G23" i="127"/>
  <c r="F28" i="127"/>
  <c r="G28" i="127"/>
  <c r="F29" i="127"/>
  <c r="G29" i="127"/>
  <c r="F44" i="127"/>
  <c r="G44" i="127"/>
  <c r="F56" i="127"/>
  <c r="G56" i="127"/>
  <c r="F46" i="127"/>
  <c r="G46" i="127"/>
  <c r="F60" i="127"/>
  <c r="G60" i="127"/>
  <c r="F50" i="127"/>
  <c r="G50" i="127"/>
  <c r="F62" i="127"/>
  <c r="G62" i="127"/>
  <c r="F48" i="127"/>
  <c r="G48" i="127"/>
  <c r="F64" i="127"/>
  <c r="G64" i="127"/>
  <c r="F66" i="127"/>
  <c r="G66" i="127"/>
  <c r="F54" i="127"/>
  <c r="G54" i="127"/>
  <c r="F52" i="127"/>
  <c r="G52" i="127"/>
  <c r="F58" i="127"/>
  <c r="G58" i="127"/>
  <c r="F42" i="127"/>
  <c r="G42" i="127"/>
  <c r="F20" i="127"/>
  <c r="G20" i="127"/>
  <c r="F8" i="127"/>
  <c r="G8" i="127"/>
  <c r="F9" i="127"/>
  <c r="G9" i="127"/>
  <c r="F18" i="127"/>
  <c r="G18" i="127"/>
  <c r="F26" i="127"/>
  <c r="G26" i="127"/>
  <c r="F12" i="127"/>
  <c r="G12" i="127"/>
  <c r="F16" i="127"/>
  <c r="G16" i="127"/>
  <c r="F55" i="127"/>
  <c r="G55" i="127"/>
  <c r="F19" i="127"/>
  <c r="G19" i="127"/>
  <c r="F25" i="127"/>
  <c r="G25" i="127"/>
  <c r="F13" i="127"/>
  <c r="G13" i="127"/>
  <c r="F27" i="127"/>
  <c r="G27" i="127"/>
  <c r="F41" i="127"/>
  <c r="G41" i="127"/>
  <c r="F14" i="127"/>
  <c r="G14" i="127"/>
  <c r="F7" i="127"/>
  <c r="G7" i="127"/>
  <c r="E53" i="127"/>
  <c r="E63" i="127"/>
  <c r="E43" i="127"/>
  <c r="E59" i="127"/>
  <c r="E45" i="127"/>
  <c r="E57" i="127"/>
  <c r="E51" i="127"/>
  <c r="E10" i="127"/>
  <c r="E40" i="127"/>
  <c r="E22" i="127"/>
  <c r="E21" i="127"/>
  <c r="E17" i="127"/>
  <c r="E39" i="127"/>
  <c r="E11" i="127"/>
  <c r="E15" i="127"/>
  <c r="E23" i="127"/>
  <c r="E28" i="127"/>
  <c r="E29" i="127"/>
  <c r="E44" i="127"/>
  <c r="E56" i="127"/>
  <c r="E46" i="127"/>
  <c r="E60" i="127"/>
  <c r="E50" i="127"/>
  <c r="E62" i="127"/>
  <c r="E48" i="127"/>
  <c r="E64" i="127"/>
  <c r="E66" i="127"/>
  <c r="E54" i="127"/>
  <c r="E52" i="127"/>
  <c r="E58" i="127"/>
  <c r="E42" i="127"/>
  <c r="E20" i="127"/>
  <c r="E8" i="127"/>
  <c r="E9" i="127"/>
  <c r="E18" i="127"/>
  <c r="E26" i="127"/>
  <c r="E12" i="127"/>
  <c r="E16" i="127"/>
  <c r="E47" i="127"/>
  <c r="E49" i="127"/>
  <c r="E65" i="127"/>
  <c r="E61" i="127"/>
  <c r="E24" i="127"/>
  <c r="E55" i="127"/>
  <c r="E19" i="127"/>
  <c r="E25" i="127"/>
  <c r="E13" i="127"/>
  <c r="E27" i="127"/>
  <c r="E41" i="127"/>
  <c r="E14" i="127"/>
  <c r="E7" i="127"/>
  <c r="A298" i="128"/>
  <c r="A309" i="128"/>
  <c r="A299" i="128"/>
  <c r="A302" i="128"/>
  <c r="A303" i="128"/>
  <c r="A327" i="128"/>
  <c r="A305" i="128"/>
  <c r="A300" i="128"/>
  <c r="A304" i="128"/>
  <c r="A329" i="128"/>
  <c r="A306" i="128"/>
  <c r="A330" i="128"/>
  <c r="A296" i="128"/>
  <c r="A308" i="128"/>
  <c r="A297" i="128"/>
  <c r="A314" i="128"/>
  <c r="A310" i="128"/>
  <c r="A307" i="128"/>
  <c r="A311" i="128"/>
  <c r="A301" i="128"/>
  <c r="A295" i="128"/>
  <c r="CR27" i="98"/>
  <c r="A2" i="125"/>
  <c r="BF29" i="98"/>
  <c r="A19" i="98" l="1"/>
  <c r="G19" i="98" s="1"/>
  <c r="EH15" i="98"/>
  <c r="BF36" i="98"/>
  <c r="BF40" i="98"/>
  <c r="BF44" i="98"/>
  <c r="BF48" i="98"/>
  <c r="A21" i="136" s="1"/>
  <c r="BF52" i="98"/>
  <c r="A25" i="136" s="1"/>
  <c r="BF56" i="98"/>
  <c r="A29" i="115" s="1"/>
  <c r="BF60" i="98"/>
  <c r="A33" i="127" s="1"/>
  <c r="B33" i="127" s="1"/>
  <c r="BF64" i="98"/>
  <c r="BF68" i="98"/>
  <c r="BF72" i="98"/>
  <c r="BF76" i="98"/>
  <c r="BF80" i="98"/>
  <c r="BF84" i="98"/>
  <c r="BF88" i="98"/>
  <c r="BF92" i="98"/>
  <c r="BF39" i="98"/>
  <c r="A12" i="136" s="1"/>
  <c r="BF51" i="98"/>
  <c r="BF59" i="98"/>
  <c r="A32" i="127" s="1"/>
  <c r="B32" i="127" s="1"/>
  <c r="BF75" i="98"/>
  <c r="BF91" i="98"/>
  <c r="BF37" i="98"/>
  <c r="BF41" i="98"/>
  <c r="BF45" i="98"/>
  <c r="BF49" i="98"/>
  <c r="A22" i="136" s="1"/>
  <c r="BF53" i="98"/>
  <c r="BF57" i="98"/>
  <c r="BF61" i="98"/>
  <c r="BF65" i="98"/>
  <c r="BF69" i="98"/>
  <c r="BF73" i="98"/>
  <c r="BF77" i="98"/>
  <c r="BF81" i="98"/>
  <c r="BF85" i="98"/>
  <c r="BF89" i="98"/>
  <c r="BF93" i="98"/>
  <c r="BF43" i="98"/>
  <c r="A16" i="136" s="1"/>
  <c r="BF55" i="98"/>
  <c r="A28" i="115" s="1"/>
  <c r="BF63" i="98"/>
  <c r="BF71" i="98"/>
  <c r="BF83" i="98"/>
  <c r="BF87" i="98"/>
  <c r="BF34" i="98"/>
  <c r="BF38" i="98"/>
  <c r="BF42" i="98"/>
  <c r="A15" i="136" s="1"/>
  <c r="BF46" i="98"/>
  <c r="BF50" i="98"/>
  <c r="BF54" i="98"/>
  <c r="A27" i="136" s="1"/>
  <c r="BF58" i="98"/>
  <c r="A31" i="127" s="1"/>
  <c r="B31" i="127" s="1"/>
  <c r="BF62" i="98"/>
  <c r="BF66" i="98"/>
  <c r="BF70" i="98"/>
  <c r="BF74" i="98"/>
  <c r="BF78" i="98"/>
  <c r="BF82" i="98"/>
  <c r="BF86" i="98"/>
  <c r="BF90" i="98"/>
  <c r="BF94" i="98"/>
  <c r="BF35" i="98"/>
  <c r="A8" i="115" s="1"/>
  <c r="BF47" i="98"/>
  <c r="BF67" i="98"/>
  <c r="BF79" i="98"/>
  <c r="K17" i="98"/>
  <c r="K30" i="98" s="1"/>
  <c r="CA47" i="98"/>
  <c r="CA40" i="98"/>
  <c r="CA50" i="98"/>
  <c r="CA46" i="98"/>
  <c r="CA51" i="98"/>
  <c r="CA49" i="98"/>
  <c r="CA43" i="98"/>
  <c r="CA48" i="98"/>
  <c r="CA39" i="98"/>
  <c r="CA41" i="98"/>
  <c r="CA37" i="98"/>
  <c r="CA42" i="98"/>
  <c r="CA44" i="98"/>
  <c r="CA45" i="98"/>
  <c r="CA53" i="98"/>
  <c r="CA35" i="98"/>
  <c r="CA38" i="98"/>
  <c r="A32" i="136"/>
  <c r="CA55" i="98"/>
  <c r="CA74" i="98"/>
  <c r="Y74" i="98"/>
  <c r="X74" i="98"/>
  <c r="AH74" i="98"/>
  <c r="AK74" i="98" s="1"/>
  <c r="FD74" i="98" s="1"/>
  <c r="GE74" i="98"/>
  <c r="BV74" i="98"/>
  <c r="AC74" i="98"/>
  <c r="B74" i="98"/>
  <c r="I74" i="98"/>
  <c r="AB74" i="98"/>
  <c r="J74" i="98"/>
  <c r="E74" i="98"/>
  <c r="D74" i="98"/>
  <c r="C74" i="98"/>
  <c r="CA73" i="98"/>
  <c r="Y73" i="98"/>
  <c r="AH73" i="98"/>
  <c r="AK73" i="98" s="1"/>
  <c r="FD73" i="98" s="1"/>
  <c r="X73" i="98"/>
  <c r="BV73" i="98"/>
  <c r="GE73" i="98"/>
  <c r="E73" i="98"/>
  <c r="AC73" i="98"/>
  <c r="C73" i="98"/>
  <c r="I73" i="98"/>
  <c r="D73" i="98"/>
  <c r="AB73" i="98"/>
  <c r="B73" i="98"/>
  <c r="J73" i="98"/>
  <c r="CA72" i="98"/>
  <c r="GE72" i="98"/>
  <c r="AH72" i="98"/>
  <c r="AM72" i="98" s="1"/>
  <c r="X72" i="98"/>
  <c r="Y72" i="98"/>
  <c r="BV72" i="98"/>
  <c r="D72" i="98"/>
  <c r="E72" i="98"/>
  <c r="C72" i="98"/>
  <c r="AB72" i="98"/>
  <c r="B72" i="98"/>
  <c r="I72" i="98"/>
  <c r="J72" i="98"/>
  <c r="AC72" i="98"/>
  <c r="CA71" i="98"/>
  <c r="Y71" i="98"/>
  <c r="AH71" i="98"/>
  <c r="AK71" i="98" s="1"/>
  <c r="FD71" i="98" s="1"/>
  <c r="BV71" i="98"/>
  <c r="GE71" i="98"/>
  <c r="X71" i="98"/>
  <c r="AB71" i="98"/>
  <c r="D71" i="98"/>
  <c r="AC71" i="98"/>
  <c r="I71" i="98"/>
  <c r="C71" i="98"/>
  <c r="E71" i="98"/>
  <c r="B71" i="98"/>
  <c r="J71" i="98"/>
  <c r="CA70" i="98"/>
  <c r="X70" i="98"/>
  <c r="BV70" i="98"/>
  <c r="Y70" i="98"/>
  <c r="AH70" i="98"/>
  <c r="AK70" i="98" s="1"/>
  <c r="FD70" i="98" s="1"/>
  <c r="GE70" i="98"/>
  <c r="D70" i="98"/>
  <c r="B70" i="98"/>
  <c r="AC70" i="98"/>
  <c r="I70" i="98"/>
  <c r="C70" i="98"/>
  <c r="J70" i="98"/>
  <c r="AB70" i="98"/>
  <c r="E70" i="98"/>
  <c r="CA69" i="98"/>
  <c r="Y69" i="98"/>
  <c r="BV69" i="98"/>
  <c r="X69" i="98"/>
  <c r="GE69" i="98"/>
  <c r="AH69" i="98"/>
  <c r="AK69" i="98" s="1"/>
  <c r="FD69" i="98" s="1"/>
  <c r="I69" i="98"/>
  <c r="J69" i="98"/>
  <c r="B69" i="98"/>
  <c r="AC69" i="98"/>
  <c r="AB69" i="98"/>
  <c r="E69" i="98"/>
  <c r="D69" i="98"/>
  <c r="C69" i="98"/>
  <c r="CA68" i="98"/>
  <c r="X68" i="98"/>
  <c r="Y68" i="98"/>
  <c r="GE68" i="98"/>
  <c r="BV68" i="98"/>
  <c r="AH68" i="98"/>
  <c r="AK68" i="98" s="1"/>
  <c r="FD68" i="98" s="1"/>
  <c r="AB68" i="98"/>
  <c r="C68" i="98"/>
  <c r="E68" i="98"/>
  <c r="AC68" i="98"/>
  <c r="D68" i="98"/>
  <c r="B68" i="98"/>
  <c r="J68" i="98"/>
  <c r="I68" i="98"/>
  <c r="CA67" i="98"/>
  <c r="Y67" i="98"/>
  <c r="AH67" i="98"/>
  <c r="AK67" i="98" s="1"/>
  <c r="FD67" i="98" s="1"/>
  <c r="BV67" i="98"/>
  <c r="X67" i="98"/>
  <c r="GE67" i="98"/>
  <c r="E67" i="98"/>
  <c r="D67" i="98"/>
  <c r="AC67" i="98"/>
  <c r="J67" i="98"/>
  <c r="I67" i="98"/>
  <c r="B67" i="98"/>
  <c r="C67" i="98"/>
  <c r="AB67" i="98"/>
  <c r="CA56" i="98"/>
  <c r="Y56" i="98"/>
  <c r="I56" i="98"/>
  <c r="C56" i="98"/>
  <c r="E56" i="98"/>
  <c r="AC56" i="98"/>
  <c r="AB56" i="98"/>
  <c r="J56" i="98"/>
  <c r="D56" i="98"/>
  <c r="B56" i="98"/>
  <c r="FA36" i="98"/>
  <c r="CW36" i="98" s="1"/>
  <c r="CA54" i="98"/>
  <c r="ED115" i="98"/>
  <c r="ED135" i="98"/>
  <c r="Y55" i="98"/>
  <c r="A23" i="136"/>
  <c r="A8" i="136"/>
  <c r="A13" i="136"/>
  <c r="A18" i="136"/>
  <c r="A19" i="136"/>
  <c r="A26" i="136"/>
  <c r="A11" i="136"/>
  <c r="A7" i="136"/>
  <c r="A14" i="136"/>
  <c r="A17" i="136"/>
  <c r="A20" i="136"/>
  <c r="A9" i="136"/>
  <c r="A10" i="136"/>
  <c r="A24" i="136"/>
  <c r="AC45" i="98"/>
  <c r="AB45" i="98"/>
  <c r="AC44" i="98"/>
  <c r="AB44" i="98"/>
  <c r="AB47" i="98"/>
  <c r="AC47" i="98"/>
  <c r="AC54" i="98"/>
  <c r="AB43" i="98"/>
  <c r="AC43" i="98"/>
  <c r="AC46" i="98"/>
  <c r="AB46" i="98"/>
  <c r="AB42" i="98"/>
  <c r="AC42" i="98"/>
  <c r="AC48" i="98"/>
  <c r="AB48" i="98"/>
  <c r="AC55" i="98"/>
  <c r="AB55" i="98"/>
  <c r="A48" i="129"/>
  <c r="F48" i="129"/>
  <c r="A46" i="129"/>
  <c r="F46" i="129"/>
  <c r="A55" i="129"/>
  <c r="F55" i="129"/>
  <c r="A45" i="129"/>
  <c r="F45" i="129"/>
  <c r="A49" i="129"/>
  <c r="F49" i="129"/>
  <c r="A43" i="129"/>
  <c r="F43" i="129"/>
  <c r="A40" i="129"/>
  <c r="F40" i="129"/>
  <c r="A54" i="129"/>
  <c r="F54" i="129"/>
  <c r="A60" i="129"/>
  <c r="F60" i="129"/>
  <c r="A39" i="129"/>
  <c r="F39" i="129"/>
  <c r="A61" i="129"/>
  <c r="F61" i="129"/>
  <c r="A53" i="129"/>
  <c r="F53" i="129"/>
  <c r="A58" i="129"/>
  <c r="F58" i="129"/>
  <c r="A44" i="129"/>
  <c r="F44" i="129"/>
  <c r="A67" i="129"/>
  <c r="F67" i="129"/>
  <c r="A68" i="129"/>
  <c r="F68" i="129"/>
  <c r="A64" i="129"/>
  <c r="F64" i="129"/>
  <c r="A62" i="129"/>
  <c r="F62" i="129"/>
  <c r="A56" i="129"/>
  <c r="F56" i="129"/>
  <c r="A57" i="129"/>
  <c r="F57" i="129"/>
  <c r="A65" i="129"/>
  <c r="F65" i="129"/>
  <c r="A47" i="129"/>
  <c r="F47" i="129"/>
  <c r="A63" i="129"/>
  <c r="F63" i="129"/>
  <c r="A52" i="129"/>
  <c r="F52" i="129"/>
  <c r="A66" i="129"/>
  <c r="F66" i="129"/>
  <c r="A41" i="129"/>
  <c r="F41" i="129"/>
  <c r="A51" i="129"/>
  <c r="F51" i="129"/>
  <c r="A59" i="129"/>
  <c r="F59" i="129"/>
  <c r="A42" i="129"/>
  <c r="F42" i="129"/>
  <c r="A50" i="129"/>
  <c r="F50" i="129"/>
  <c r="FA34" i="98"/>
  <c r="BV62" i="98" s="1"/>
  <c r="DJ134" i="123"/>
  <c r="DJ239" i="123"/>
  <c r="D68" i="129"/>
  <c r="I43" i="98"/>
  <c r="J43" i="98"/>
  <c r="E43" i="98"/>
  <c r="C43" i="98"/>
  <c r="D43" i="98"/>
  <c r="B43" i="98"/>
  <c r="J46" i="98"/>
  <c r="D46" i="98"/>
  <c r="E46" i="98"/>
  <c r="I46" i="98"/>
  <c r="C46" i="98"/>
  <c r="B46" i="98"/>
  <c r="D45" i="98"/>
  <c r="C45" i="98"/>
  <c r="I45" i="98"/>
  <c r="J45" i="98"/>
  <c r="E45" i="98"/>
  <c r="B45" i="98"/>
  <c r="J53" i="98"/>
  <c r="E42" i="98"/>
  <c r="D42" i="98"/>
  <c r="I42" i="98"/>
  <c r="J42" i="98"/>
  <c r="C42" i="98"/>
  <c r="B42" i="98"/>
  <c r="E48" i="98"/>
  <c r="I48" i="98"/>
  <c r="B48" i="98"/>
  <c r="J48" i="98"/>
  <c r="C48" i="98"/>
  <c r="D48" i="98"/>
  <c r="B47" i="98"/>
  <c r="D47" i="98"/>
  <c r="I47" i="98"/>
  <c r="E47" i="98"/>
  <c r="C47" i="98"/>
  <c r="J47" i="98"/>
  <c r="I44" i="98"/>
  <c r="B44" i="98"/>
  <c r="E44" i="98"/>
  <c r="C44" i="98"/>
  <c r="D44" i="98"/>
  <c r="J44" i="98"/>
  <c r="GE50" i="98"/>
  <c r="GE47" i="98"/>
  <c r="BF30" i="98"/>
  <c r="GE48" i="98"/>
  <c r="GE51" i="98"/>
  <c r="GE53" i="98"/>
  <c r="GE49" i="98"/>
  <c r="GE43" i="98"/>
  <c r="GE42" i="98"/>
  <c r="GE38" i="98"/>
  <c r="GE56" i="98"/>
  <c r="GE41" i="98"/>
  <c r="GE35" i="98"/>
  <c r="GE44" i="98"/>
  <c r="GE31" i="98"/>
  <c r="GE39" i="98"/>
  <c r="GE45" i="98"/>
  <c r="GE54" i="98"/>
  <c r="GE46" i="98"/>
  <c r="GE40" i="98"/>
  <c r="GE55" i="98"/>
  <c r="GE37" i="98"/>
  <c r="ED107" i="98"/>
  <c r="ED108" i="98"/>
  <c r="D67" i="129"/>
  <c r="AK79" i="98"/>
  <c r="FD79" i="98" s="1"/>
  <c r="AM79" i="98"/>
  <c r="AK90" i="98"/>
  <c r="FD90" i="98" s="1"/>
  <c r="AM90" i="98"/>
  <c r="AK82" i="98"/>
  <c r="FD82" i="98" s="1"/>
  <c r="AM82" i="98"/>
  <c r="AK94" i="98"/>
  <c r="FD94" i="98" s="1"/>
  <c r="AM94" i="98"/>
  <c r="AK91" i="98"/>
  <c r="FD91" i="98" s="1"/>
  <c r="AM91" i="98"/>
  <c r="AK88" i="98"/>
  <c r="FD88" i="98" s="1"/>
  <c r="AM88" i="98"/>
  <c r="AK83" i="98"/>
  <c r="FD83" i="98" s="1"/>
  <c r="AM83" i="98"/>
  <c r="AK75" i="98"/>
  <c r="FD75" i="98" s="1"/>
  <c r="AM75" i="98"/>
  <c r="AK92" i="98"/>
  <c r="FD92" i="98" s="1"/>
  <c r="AM92" i="98"/>
  <c r="AK80" i="98"/>
  <c r="FD80" i="98" s="1"/>
  <c r="AM80" i="98"/>
  <c r="AK81" i="98"/>
  <c r="FD81" i="98" s="1"/>
  <c r="AM81" i="98"/>
  <c r="AK86" i="98"/>
  <c r="FD86" i="98" s="1"/>
  <c r="AM86" i="98"/>
  <c r="AK78" i="98"/>
  <c r="FD78" i="98" s="1"/>
  <c r="AM78" i="98"/>
  <c r="AK93" i="98"/>
  <c r="FD93" i="98" s="1"/>
  <c r="AM93" i="98"/>
  <c r="AK76" i="98"/>
  <c r="FD76" i="98" s="1"/>
  <c r="AM76" i="98"/>
  <c r="AK84" i="98"/>
  <c r="FD84" i="98" s="1"/>
  <c r="AM84" i="98"/>
  <c r="AK77" i="98"/>
  <c r="FD77" i="98" s="1"/>
  <c r="AM77" i="98"/>
  <c r="AK87" i="98"/>
  <c r="FD87" i="98" s="1"/>
  <c r="AM87" i="98"/>
  <c r="AK85" i="98"/>
  <c r="FD85" i="98" s="1"/>
  <c r="AM85" i="98"/>
  <c r="AK89" i="98"/>
  <c r="FD89" i="98" s="1"/>
  <c r="AM89" i="98"/>
  <c r="D65" i="129"/>
  <c r="D63" i="129"/>
  <c r="D60" i="129"/>
  <c r="D48" i="129"/>
  <c r="D46" i="129"/>
  <c r="D57" i="129"/>
  <c r="D47" i="129"/>
  <c r="D40" i="129"/>
  <c r="D54" i="129"/>
  <c r="D41" i="129"/>
  <c r="D39" i="129"/>
  <c r="D61" i="129"/>
  <c r="D53" i="129"/>
  <c r="D50" i="129"/>
  <c r="D64" i="129"/>
  <c r="D62" i="129"/>
  <c r="D56" i="129"/>
  <c r="D55" i="129"/>
  <c r="D45" i="129"/>
  <c r="D49" i="129"/>
  <c r="D43" i="129"/>
  <c r="D52" i="129"/>
  <c r="D66" i="129"/>
  <c r="D51" i="129"/>
  <c r="D59" i="129"/>
  <c r="D42" i="129"/>
  <c r="D58" i="129"/>
  <c r="D44" i="129"/>
  <c r="BF33" i="98"/>
  <c r="BF31" i="98"/>
  <c r="BF32" i="98"/>
  <c r="C2" i="128"/>
  <c r="A34" i="136" l="1"/>
  <c r="A35" i="115"/>
  <c r="A33" i="115"/>
  <c r="A32" i="115"/>
  <c r="A33" i="136"/>
  <c r="BV61" i="98"/>
  <c r="A30" i="127"/>
  <c r="B30" i="127" s="1"/>
  <c r="A30" i="136"/>
  <c r="A29" i="127"/>
  <c r="B29" i="127" s="1"/>
  <c r="A29" i="136"/>
  <c r="A31" i="136"/>
  <c r="A28" i="127"/>
  <c r="B28" i="127" s="1"/>
  <c r="A28" i="136"/>
  <c r="A31" i="115"/>
  <c r="A30" i="115"/>
  <c r="A8" i="127"/>
  <c r="B8" i="127" s="1"/>
  <c r="A15" i="115"/>
  <c r="A15" i="127"/>
  <c r="B15" i="127" s="1"/>
  <c r="A16" i="115"/>
  <c r="A16" i="127"/>
  <c r="B16" i="127" s="1"/>
  <c r="A22" i="115"/>
  <c r="A22" i="127"/>
  <c r="B22" i="127" s="1"/>
  <c r="A12" i="115"/>
  <c r="A12" i="127"/>
  <c r="B12" i="127" s="1"/>
  <c r="A21" i="115"/>
  <c r="A21" i="127"/>
  <c r="B21" i="127" s="1"/>
  <c r="A20" i="115"/>
  <c r="A20" i="127"/>
  <c r="B20" i="127" s="1"/>
  <c r="A27" i="115"/>
  <c r="A27" i="127"/>
  <c r="B27" i="127" s="1"/>
  <c r="A11" i="115"/>
  <c r="A11" i="127"/>
  <c r="B11" i="127" s="1"/>
  <c r="A34" i="115"/>
  <c r="A34" i="127"/>
  <c r="B34" i="127" s="1"/>
  <c r="A18" i="115"/>
  <c r="A18" i="127"/>
  <c r="B18" i="127" s="1"/>
  <c r="A17" i="115"/>
  <c r="A17" i="127"/>
  <c r="B17" i="127" s="1"/>
  <c r="A23" i="115"/>
  <c r="A23" i="127"/>
  <c r="B23" i="127" s="1"/>
  <c r="A7" i="115"/>
  <c r="A7" i="127"/>
  <c r="B7" i="127" s="1"/>
  <c r="A14" i="115"/>
  <c r="A14" i="127"/>
  <c r="B14" i="127" s="1"/>
  <c r="A13" i="115"/>
  <c r="A13" i="127"/>
  <c r="B13" i="127" s="1"/>
  <c r="A19" i="115"/>
  <c r="A19" i="127"/>
  <c r="B19" i="127" s="1"/>
  <c r="A26" i="115"/>
  <c r="A26" i="127"/>
  <c r="B26" i="127" s="1"/>
  <c r="A10" i="115"/>
  <c r="A10" i="127"/>
  <c r="B10" i="127" s="1"/>
  <c r="A24" i="115"/>
  <c r="A24" i="127"/>
  <c r="B24" i="127" s="1"/>
  <c r="A25" i="115"/>
  <c r="A25" i="127"/>
  <c r="B25" i="127" s="1"/>
  <c r="A9" i="115"/>
  <c r="A9" i="127"/>
  <c r="B9" i="127" s="1"/>
  <c r="BV56" i="98"/>
  <c r="CW34" i="98"/>
  <c r="BV55" i="98"/>
  <c r="CA36" i="98"/>
  <c r="BV58" i="98"/>
  <c r="CA34" i="98"/>
  <c r="BV60" i="98"/>
  <c r="BV57" i="98"/>
  <c r="BV59" i="98"/>
  <c r="AM71" i="98"/>
  <c r="AM70" i="98"/>
  <c r="AM73" i="98"/>
  <c r="AM68" i="98"/>
  <c r="AK72" i="98"/>
  <c r="FD72" i="98" s="1"/>
  <c r="AM74" i="98"/>
  <c r="AM69" i="98"/>
  <c r="AM67" i="98"/>
  <c r="GE36" i="98"/>
  <c r="BV54" i="98"/>
  <c r="BV38" i="98"/>
  <c r="BV34" i="98"/>
  <c r="DW14" i="98"/>
  <c r="ED112" i="98" s="1"/>
  <c r="BV42" i="98"/>
  <c r="BV35" i="98"/>
  <c r="BV50" i="98"/>
  <c r="BV39" i="98"/>
  <c r="BV36" i="98"/>
  <c r="BV45" i="98"/>
  <c r="BV44" i="98"/>
  <c r="BV37" i="98"/>
  <c r="BV48" i="98"/>
  <c r="BV53" i="98"/>
  <c r="GE34" i="98"/>
  <c r="BV40" i="98"/>
  <c r="BV46" i="98"/>
  <c r="BV43" i="98"/>
  <c r="BV41" i="98"/>
  <c r="BV51" i="98"/>
  <c r="BV49" i="98"/>
  <c r="BV47" i="98"/>
  <c r="BV52" i="98"/>
  <c r="EQ124" i="123"/>
  <c r="CA27" i="98" l="1"/>
  <c r="ED128" i="98" s="1"/>
  <c r="C12" i="1"/>
  <c r="C10" i="123"/>
  <c r="BV27" i="98"/>
  <c r="ED109" i="98" s="1"/>
  <c r="ER124" i="123"/>
  <c r="ES124" i="123" l="1"/>
  <c r="ET124" i="123" l="1"/>
  <c r="EU124" i="123" l="1"/>
  <c r="EO53" i="93" l="1"/>
  <c r="DE22" i="130"/>
  <c r="EI53" i="93"/>
  <c r="HH34" i="93"/>
  <c r="HG34" i="93"/>
  <c r="HJ34" i="93"/>
  <c r="M2" i="125"/>
  <c r="EI97" i="93" l="1"/>
  <c r="EU97" i="93" s="1"/>
  <c r="JX97" i="93" s="1"/>
  <c r="EI103" i="93"/>
  <c r="EU103" i="93" s="1"/>
  <c r="JX103" i="93" s="1"/>
  <c r="EI105" i="93"/>
  <c r="EU105" i="93" s="1"/>
  <c r="JX105" i="93" s="1"/>
  <c r="EI102" i="93"/>
  <c r="EU102" i="93" s="1"/>
  <c r="JX102" i="93" s="1"/>
  <c r="EI108" i="93"/>
  <c r="EU108" i="93" s="1"/>
  <c r="JX108" i="93" s="1"/>
  <c r="EI110" i="93"/>
  <c r="EU110" i="93" s="1"/>
  <c r="JX110" i="93" s="1"/>
  <c r="EI106" i="93"/>
  <c r="EU106" i="93" s="1"/>
  <c r="JX106" i="93" s="1"/>
  <c r="EI104" i="93"/>
  <c r="EU104" i="93" s="1"/>
  <c r="JX104" i="93" s="1"/>
  <c r="EI109" i="93"/>
  <c r="EU109" i="93" s="1"/>
  <c r="JX109" i="93" s="1"/>
  <c r="EI107" i="93"/>
  <c r="EU107" i="93" s="1"/>
  <c r="JX107" i="93" s="1"/>
  <c r="EW124" i="123"/>
  <c r="U68" i="97"/>
  <c r="EP97" i="93" l="1"/>
  <c r="EX97" i="93" s="1"/>
  <c r="ET97" i="93"/>
  <c r="JU97" i="93" s="1"/>
  <c r="HQ97" i="93"/>
  <c r="EJ97" i="93" s="1"/>
  <c r="HQ106" i="93"/>
  <c r="EJ106" i="93" s="1"/>
  <c r="ET106" i="93"/>
  <c r="JU106" i="93" s="1"/>
  <c r="EP106" i="93"/>
  <c r="EX106" i="93" s="1"/>
  <c r="HQ104" i="93"/>
  <c r="EJ104" i="93" s="1"/>
  <c r="ET104" i="93"/>
  <c r="JU104" i="93" s="1"/>
  <c r="EP104" i="93"/>
  <c r="EX104" i="93" s="1"/>
  <c r="HQ109" i="93"/>
  <c r="EJ109" i="93" s="1"/>
  <c r="ET109" i="93"/>
  <c r="JU109" i="93" s="1"/>
  <c r="EP109" i="93"/>
  <c r="EX109" i="93" s="1"/>
  <c r="HQ107" i="93"/>
  <c r="EJ107" i="93" s="1"/>
  <c r="ET107" i="93"/>
  <c r="JU107" i="93" s="1"/>
  <c r="EP107" i="93"/>
  <c r="EX107" i="93" s="1"/>
  <c r="HQ102" i="93"/>
  <c r="EJ102" i="93" s="1"/>
  <c r="ET102" i="93"/>
  <c r="JU102" i="93" s="1"/>
  <c r="EP102" i="93"/>
  <c r="EX102" i="93" s="1"/>
  <c r="HQ108" i="93"/>
  <c r="EJ108" i="93" s="1"/>
  <c r="ET108" i="93"/>
  <c r="JU108" i="93" s="1"/>
  <c r="EP108" i="93"/>
  <c r="EX108" i="93" s="1"/>
  <c r="HQ110" i="93"/>
  <c r="EJ110" i="93" s="1"/>
  <c r="ET110" i="93"/>
  <c r="JU110" i="93" s="1"/>
  <c r="EP110" i="93"/>
  <c r="EX110" i="93" s="1"/>
  <c r="HQ105" i="93"/>
  <c r="EJ105" i="93" s="1"/>
  <c r="ET105" i="93"/>
  <c r="JU105" i="93" s="1"/>
  <c r="EP105" i="93"/>
  <c r="EX105" i="93" s="1"/>
  <c r="HQ103" i="93"/>
  <c r="EJ103" i="93" s="1"/>
  <c r="ET103" i="93"/>
  <c r="JU103" i="93" s="1"/>
  <c r="EP103" i="93"/>
  <c r="EX103" i="93" s="1"/>
  <c r="EX124" i="123"/>
  <c r="I151" i="71"/>
  <c r="J151" i="71"/>
  <c r="EN97" i="93" l="1"/>
  <c r="HR97" i="93" s="1"/>
  <c r="IK97" i="93" s="1"/>
  <c r="EN102" i="93"/>
  <c r="HR102" i="93" s="1"/>
  <c r="EO102" i="93" s="1"/>
  <c r="EN106" i="93"/>
  <c r="HR106" i="93" s="1"/>
  <c r="IK106" i="93" s="1"/>
  <c r="EN108" i="93"/>
  <c r="HR108" i="93" s="1"/>
  <c r="EN104" i="93"/>
  <c r="HR104" i="93" s="1"/>
  <c r="EN103" i="93"/>
  <c r="HR103" i="93" s="1"/>
  <c r="IK103" i="93" s="1"/>
  <c r="EN110" i="93"/>
  <c r="HR110" i="93" s="1"/>
  <c r="EN109" i="93"/>
  <c r="HR109" i="93" s="1"/>
  <c r="EN105" i="93"/>
  <c r="HR105" i="93" s="1"/>
  <c r="EN107" i="93"/>
  <c r="HR107" i="93" s="1"/>
  <c r="EY124" i="123"/>
  <c r="K115" i="71"/>
  <c r="K160" i="71" s="1"/>
  <c r="J115" i="71"/>
  <c r="J160" i="71" s="1"/>
  <c r="I115" i="71"/>
  <c r="I160" i="71" s="1"/>
  <c r="EB102" i="93" l="1"/>
  <c r="HS102" i="93" s="1"/>
  <c r="EC102" i="93" s="1"/>
  <c r="IK102" i="93"/>
  <c r="EO106" i="93"/>
  <c r="EO97" i="93"/>
  <c r="IK108" i="93"/>
  <c r="EO108" i="93"/>
  <c r="EO105" i="93"/>
  <c r="IK105" i="93"/>
  <c r="EO109" i="93"/>
  <c r="IK109" i="93"/>
  <c r="EO104" i="93"/>
  <c r="IK104" i="93"/>
  <c r="IK110" i="93"/>
  <c r="EO110" i="93"/>
  <c r="IK107" i="93"/>
  <c r="EO107" i="93"/>
  <c r="EO103" i="93"/>
  <c r="EZ124" i="123"/>
  <c r="AN66" i="93"/>
  <c r="AN70" i="93"/>
  <c r="AN76" i="93"/>
  <c r="AN83" i="93"/>
  <c r="AN84" i="93"/>
  <c r="AN88" i="93"/>
  <c r="AN91" i="93"/>
  <c r="AN94" i="93"/>
  <c r="AN95" i="93"/>
  <c r="AN96" i="93"/>
  <c r="AN98" i="93"/>
  <c r="AN99" i="93"/>
  <c r="AN100" i="93"/>
  <c r="AN101" i="93"/>
  <c r="AN111" i="93"/>
  <c r="AN112" i="93"/>
  <c r="AN113" i="93"/>
  <c r="EB104" i="93" l="1"/>
  <c r="HS104" i="93" s="1"/>
  <c r="EC104" i="93" s="1"/>
  <c r="EB105" i="93"/>
  <c r="HS105" i="93" s="1"/>
  <c r="EC105" i="93" s="1"/>
  <c r="EB106" i="93"/>
  <c r="HS106" i="93" s="1"/>
  <c r="EC106" i="93" s="1"/>
  <c r="EB110" i="93"/>
  <c r="HS110" i="93" s="1"/>
  <c r="EC110" i="93" s="1"/>
  <c r="EB108" i="93"/>
  <c r="HS108" i="93" s="1"/>
  <c r="EC108" i="93" s="1"/>
  <c r="EB103" i="93"/>
  <c r="HS103" i="93" s="1"/>
  <c r="EC103" i="93" s="1"/>
  <c r="EB109" i="93"/>
  <c r="HS109" i="93" s="1"/>
  <c r="EC109" i="93" s="1"/>
  <c r="EB107" i="93"/>
  <c r="HS107" i="93" s="1"/>
  <c r="EC107" i="93" s="1"/>
  <c r="EB97" i="93"/>
  <c r="HS97" i="93" s="1"/>
  <c r="EC97" i="93" s="1"/>
  <c r="FA124" i="123"/>
  <c r="CJ51" i="93"/>
  <c r="F17" i="71"/>
  <c r="F18" i="71"/>
  <c r="M22" i="98" s="1"/>
  <c r="I69" i="71" l="1"/>
  <c r="J69" i="71"/>
  <c r="J75" i="71"/>
  <c r="K75" i="71" s="1"/>
  <c r="Z65" i="98"/>
  <c r="Z68" i="98"/>
  <c r="Z93" i="98"/>
  <c r="Z85" i="98"/>
  <c r="Z84" i="98"/>
  <c r="Z75" i="98"/>
  <c r="Z67" i="98"/>
  <c r="Z74" i="98"/>
  <c r="Z78" i="98"/>
  <c r="Z88" i="98"/>
  <c r="Z64" i="98"/>
  <c r="Z91" i="98"/>
  <c r="Z83" i="98"/>
  <c r="Z80" i="98"/>
  <c r="Z73" i="98"/>
  <c r="Z82" i="98"/>
  <c r="Z70" i="98"/>
  <c r="Z76" i="98"/>
  <c r="Z89" i="98"/>
  <c r="Z81" i="98"/>
  <c r="Z63" i="98"/>
  <c r="Z71" i="98"/>
  <c r="Z66" i="98"/>
  <c r="Z94" i="98"/>
  <c r="Z77" i="98"/>
  <c r="Z72" i="98"/>
  <c r="Z87" i="98"/>
  <c r="Z79" i="98"/>
  <c r="Z92" i="98"/>
  <c r="Z69" i="98"/>
  <c r="Z90" i="98"/>
  <c r="Z86" i="98"/>
  <c r="B22" i="98"/>
  <c r="BU51" i="93"/>
  <c r="CU99" i="93"/>
  <c r="HE99" i="93" s="1"/>
  <c r="DC99" i="93"/>
  <c r="LH99" i="93" s="1"/>
  <c r="DA99" i="93"/>
  <c r="LF99" i="93" s="1"/>
  <c r="DE99" i="93"/>
  <c r="LJ99" i="93" s="1"/>
  <c r="DB99" i="93"/>
  <c r="LG99" i="93" s="1"/>
  <c r="CZ99" i="93"/>
  <c r="LE99" i="93" s="1"/>
  <c r="CY99" i="93"/>
  <c r="LD99" i="93" s="1"/>
  <c r="CW99" i="93"/>
  <c r="DD99" i="93"/>
  <c r="LI99" i="93" s="1"/>
  <c r="DH99" i="93"/>
  <c r="LM99" i="93" s="1"/>
  <c r="DG99" i="93"/>
  <c r="LL99" i="93" s="1"/>
  <c r="DF99" i="93"/>
  <c r="LK99" i="93" s="1"/>
  <c r="FB124" i="123"/>
  <c r="M22" i="57"/>
  <c r="B22" i="57"/>
  <c r="K69" i="71" l="1"/>
  <c r="J163" i="71"/>
  <c r="IE99" i="93"/>
  <c r="AG28" i="57"/>
  <c r="BG28" i="57" s="1"/>
  <c r="AG32" i="57"/>
  <c r="BG32" i="57" s="1"/>
  <c r="AG36" i="57"/>
  <c r="BG36" i="57" s="1"/>
  <c r="AG27" i="57"/>
  <c r="BG27" i="57" s="1"/>
  <c r="AG29" i="57"/>
  <c r="BG29" i="57" s="1"/>
  <c r="AG33" i="57"/>
  <c r="BG33" i="57" s="1"/>
  <c r="AG37" i="57"/>
  <c r="BG37" i="57" s="1"/>
  <c r="AG30" i="57"/>
  <c r="BG30" i="57" s="1"/>
  <c r="AG34" i="57"/>
  <c r="BG34" i="57" s="1"/>
  <c r="AG38" i="57"/>
  <c r="BG38" i="57" s="1"/>
  <c r="AG31" i="57"/>
  <c r="BG31" i="57" s="1"/>
  <c r="AG35" i="57"/>
  <c r="BG35" i="57" s="1"/>
  <c r="AG39" i="57"/>
  <c r="BG39" i="57" s="1"/>
  <c r="BQ83" i="98"/>
  <c r="BQ40" i="98"/>
  <c r="BQ87" i="98"/>
  <c r="BQ34" i="98"/>
  <c r="BQ88" i="98"/>
  <c r="BQ60" i="98"/>
  <c r="BQ53" i="98"/>
  <c r="BQ73" i="98"/>
  <c r="BQ55" i="98"/>
  <c r="BQ37" i="98"/>
  <c r="BQ75" i="98"/>
  <c r="BQ90" i="98"/>
  <c r="BQ82" i="98"/>
  <c r="BQ62" i="98"/>
  <c r="BQ64" i="98"/>
  <c r="BQ85" i="98"/>
  <c r="BQ45" i="98"/>
  <c r="BQ35" i="98"/>
  <c r="BQ43" i="98"/>
  <c r="BQ39" i="98"/>
  <c r="BQ50" i="98"/>
  <c r="BQ70" i="98"/>
  <c r="BQ89" i="98"/>
  <c r="BQ76" i="98"/>
  <c r="BQ61" i="98"/>
  <c r="BQ71" i="98"/>
  <c r="BQ80" i="98"/>
  <c r="BQ65" i="98"/>
  <c r="BQ79" i="98"/>
  <c r="BQ63" i="98"/>
  <c r="BQ66" i="98"/>
  <c r="AH22" i="98"/>
  <c r="BQ41" i="98"/>
  <c r="BQ47" i="98"/>
  <c r="BQ38" i="98"/>
  <c r="BQ48" i="98"/>
  <c r="BQ51" i="98"/>
  <c r="BQ67" i="98"/>
  <c r="BQ74" i="98"/>
  <c r="BQ92" i="98"/>
  <c r="BQ77" i="98"/>
  <c r="BQ56" i="98"/>
  <c r="BQ58" i="98"/>
  <c r="BQ81" i="98"/>
  <c r="BQ68" i="98"/>
  <c r="BQ91" i="98"/>
  <c r="BQ94" i="98"/>
  <c r="BQ44" i="98"/>
  <c r="BQ49" i="98"/>
  <c r="BQ42" i="98"/>
  <c r="BQ36" i="98"/>
  <c r="BQ46" i="98"/>
  <c r="BQ52" i="98"/>
  <c r="BQ57" i="98"/>
  <c r="BQ59" i="98"/>
  <c r="BQ78" i="98"/>
  <c r="BQ93" i="98"/>
  <c r="BQ72" i="98"/>
  <c r="BQ86" i="98"/>
  <c r="BQ54" i="98"/>
  <c r="BQ84" i="98"/>
  <c r="BQ69" i="98"/>
  <c r="FC124" i="123"/>
  <c r="Z34" i="57"/>
  <c r="Z36" i="57"/>
  <c r="X39" i="57"/>
  <c r="Z32" i="57"/>
  <c r="X37" i="57"/>
  <c r="AC33" i="57"/>
  <c r="Y38" i="57"/>
  <c r="AC32" i="57"/>
  <c r="Y34" i="57"/>
  <c r="Z39" i="57"/>
  <c r="AA36" i="57"/>
  <c r="Y35" i="57"/>
  <c r="Z38" i="57"/>
  <c r="X34" i="57"/>
  <c r="AC38" i="57"/>
  <c r="AA38" i="57"/>
  <c r="AC36" i="57"/>
  <c r="X38" i="57"/>
  <c r="X33" i="57"/>
  <c r="AC39" i="57"/>
  <c r="AA34" i="57"/>
  <c r="Z37" i="57"/>
  <c r="AA39" i="57"/>
  <c r="X36" i="57"/>
  <c r="AA32" i="57"/>
  <c r="AA37" i="57"/>
  <c r="X35" i="57"/>
  <c r="AC35" i="57"/>
  <c r="AC34" i="57"/>
  <c r="Y39" i="57"/>
  <c r="Y32" i="57"/>
  <c r="AC37" i="57"/>
  <c r="AA33" i="57"/>
  <c r="Y37" i="57"/>
  <c r="Z33" i="57"/>
  <c r="AA35" i="57"/>
  <c r="Y33" i="57"/>
  <c r="AC31" i="57"/>
  <c r="Z35" i="57"/>
  <c r="Y36" i="57"/>
  <c r="X32" i="57"/>
  <c r="BJ37" i="57" l="1"/>
  <c r="BI37" i="57"/>
  <c r="AK37" i="57" s="1"/>
  <c r="BJ36" i="57"/>
  <c r="BI36" i="57"/>
  <c r="AK36" i="57" s="1"/>
  <c r="BJ38" i="57"/>
  <c r="BI38" i="57"/>
  <c r="AK38" i="57" s="1"/>
  <c r="BJ33" i="57"/>
  <c r="BI33" i="57"/>
  <c r="AK33" i="57" s="1"/>
  <c r="BJ32" i="57"/>
  <c r="BI32" i="57"/>
  <c r="AK32" i="57" s="1"/>
  <c r="BJ35" i="57"/>
  <c r="BI35" i="57"/>
  <c r="AK35" i="57" s="1"/>
  <c r="BJ30" i="57"/>
  <c r="BI30" i="57"/>
  <c r="AK30" i="57" s="1"/>
  <c r="BJ39" i="57"/>
  <c r="BI39" i="57"/>
  <c r="AK39" i="57" s="1"/>
  <c r="BJ34" i="57"/>
  <c r="BI34" i="57"/>
  <c r="AK34" i="57" s="1"/>
  <c r="BJ28" i="57"/>
  <c r="BI28" i="57"/>
  <c r="AK28" i="57" s="1"/>
  <c r="AJ27" i="57"/>
  <c r="AI27" i="57"/>
  <c r="AI31" i="57"/>
  <c r="AJ31" i="57"/>
  <c r="AJ37" i="57"/>
  <c r="AI37" i="57"/>
  <c r="AJ36" i="57"/>
  <c r="AI36" i="57"/>
  <c r="AI35" i="57"/>
  <c r="AJ35" i="57"/>
  <c r="AJ38" i="57"/>
  <c r="AI38" i="57"/>
  <c r="AJ33" i="57"/>
  <c r="AI33" i="57"/>
  <c r="AJ32" i="57"/>
  <c r="AI32" i="57"/>
  <c r="AJ30" i="57"/>
  <c r="AI30" i="57"/>
  <c r="AI39" i="57"/>
  <c r="AJ39" i="57"/>
  <c r="AJ34" i="57"/>
  <c r="AI34" i="57"/>
  <c r="AJ29" i="57"/>
  <c r="AI29" i="57"/>
  <c r="AJ28" i="57"/>
  <c r="AI28" i="57"/>
  <c r="FD124" i="123"/>
  <c r="DS140" i="123"/>
  <c r="DS141" i="123"/>
  <c r="DS142" i="123"/>
  <c r="DS143" i="123"/>
  <c r="DS144" i="123"/>
  <c r="DS145" i="123"/>
  <c r="DS146" i="123"/>
  <c r="DS147" i="123"/>
  <c r="DS148" i="123"/>
  <c r="DS149" i="123"/>
  <c r="DS150" i="123"/>
  <c r="DS151" i="123"/>
  <c r="DS170" i="123"/>
  <c r="DS171" i="123"/>
  <c r="DS172" i="123"/>
  <c r="DS173" i="123"/>
  <c r="DS174" i="123"/>
  <c r="DS175" i="123"/>
  <c r="DS176" i="123"/>
  <c r="DS177" i="123"/>
  <c r="DS178" i="123"/>
  <c r="DS179" i="123"/>
  <c r="DS180" i="123"/>
  <c r="DS181" i="123"/>
  <c r="DS182" i="123"/>
  <c r="DS183" i="123"/>
  <c r="DS184" i="123"/>
  <c r="DS185" i="123"/>
  <c r="DS186" i="123"/>
  <c r="DS187" i="123"/>
  <c r="DS188" i="123"/>
  <c r="DS189" i="123"/>
  <c r="DS190" i="123"/>
  <c r="DS191" i="123"/>
  <c r="DS192" i="123"/>
  <c r="DS193" i="123"/>
  <c r="DS194" i="123"/>
  <c r="DS195" i="123"/>
  <c r="DS196" i="123"/>
  <c r="DS197" i="123"/>
  <c r="DS198" i="123"/>
  <c r="DS199" i="123"/>
  <c r="DS200" i="123"/>
  <c r="DS201" i="123"/>
  <c r="DS202" i="123"/>
  <c r="DS203" i="123"/>
  <c r="DS204" i="123"/>
  <c r="DS205" i="123"/>
  <c r="DS206" i="123"/>
  <c r="DS207" i="123"/>
  <c r="DS208" i="123"/>
  <c r="DS209" i="123"/>
  <c r="DS225" i="123"/>
  <c r="DS226" i="123"/>
  <c r="DS228" i="123"/>
  <c r="DS229" i="123"/>
  <c r="DS230" i="123"/>
  <c r="DS232" i="123"/>
  <c r="DS233" i="123"/>
  <c r="DS234" i="123"/>
  <c r="DS235" i="123"/>
  <c r="DS236" i="123"/>
  <c r="DS237" i="123"/>
  <c r="DS238" i="123"/>
  <c r="DS239" i="123"/>
  <c r="DS240" i="123"/>
  <c r="DS241" i="123"/>
  <c r="DS242" i="123"/>
  <c r="DS243" i="123"/>
  <c r="DS244" i="123"/>
  <c r="DS245" i="123"/>
  <c r="DS246" i="123"/>
  <c r="DS247" i="123"/>
  <c r="DS248" i="123"/>
  <c r="DS249" i="123"/>
  <c r="DS250" i="123"/>
  <c r="DS251" i="123"/>
  <c r="DS252" i="123"/>
  <c r="DS253" i="123"/>
  <c r="DS254" i="123"/>
  <c r="DS255" i="123"/>
  <c r="DS256" i="123"/>
  <c r="DS257" i="123"/>
  <c r="DS258" i="123"/>
  <c r="DS259" i="123"/>
  <c r="DS260" i="123"/>
  <c r="DS261" i="123"/>
  <c r="DS262" i="123"/>
  <c r="DS263" i="123"/>
  <c r="DS264" i="123"/>
  <c r="DS265" i="123"/>
  <c r="DS266" i="123"/>
  <c r="DS267" i="123"/>
  <c r="DS268" i="123"/>
  <c r="DS269" i="123"/>
  <c r="DS270" i="123"/>
  <c r="DS271" i="123"/>
  <c r="DS272" i="123"/>
  <c r="DS273" i="123"/>
  <c r="DS274" i="123"/>
  <c r="DS275" i="123"/>
  <c r="DS276" i="123"/>
  <c r="DS277" i="123"/>
  <c r="DS278" i="123"/>
  <c r="DS279" i="123"/>
  <c r="DS280" i="123"/>
  <c r="DS281" i="123"/>
  <c r="DS282" i="123"/>
  <c r="DS283" i="123"/>
  <c r="DS284" i="123"/>
  <c r="DS285" i="123"/>
  <c r="DS286" i="123"/>
  <c r="DS287" i="123"/>
  <c r="DS288" i="123"/>
  <c r="DS289" i="123"/>
  <c r="DS290" i="123"/>
  <c r="DS291" i="123"/>
  <c r="DS292" i="123"/>
  <c r="DS293" i="123"/>
  <c r="DS294" i="123"/>
  <c r="DS295" i="123"/>
  <c r="DS296" i="123"/>
  <c r="DS297" i="123"/>
  <c r="DS298" i="123"/>
  <c r="DS299" i="123"/>
  <c r="DS300" i="123"/>
  <c r="DS301" i="123"/>
  <c r="DS302" i="123"/>
  <c r="DS303" i="123"/>
  <c r="DS304" i="123"/>
  <c r="DS129" i="123"/>
  <c r="DS130" i="123"/>
  <c r="DS131" i="123"/>
  <c r="DS132" i="123"/>
  <c r="DS133" i="123"/>
  <c r="DS134" i="123"/>
  <c r="DS135" i="123"/>
  <c r="DS136" i="123"/>
  <c r="DS137" i="123"/>
  <c r="DS138" i="123"/>
  <c r="DS139" i="123"/>
  <c r="FE124" i="123" l="1"/>
  <c r="R115" i="123"/>
  <c r="EH19" i="123"/>
  <c r="EI19" i="123" s="1"/>
  <c r="EJ19" i="123" s="1"/>
  <c r="EK19" i="123" s="1"/>
  <c r="EL19" i="123" s="1"/>
  <c r="EM19" i="123" s="1"/>
  <c r="EN19" i="123" s="1"/>
  <c r="EO19" i="123" s="1"/>
  <c r="EP19" i="123" s="1"/>
  <c r="EQ19" i="123" s="1"/>
  <c r="ER19" i="123" s="1"/>
  <c r="ES19" i="123" s="1"/>
  <c r="ET19" i="123" s="1"/>
  <c r="EU19" i="123" s="1"/>
  <c r="EV19" i="123" s="1"/>
  <c r="EW19" i="123" s="1"/>
  <c r="EX19" i="123" s="1"/>
  <c r="EY19" i="123" s="1"/>
  <c r="EZ19" i="123" s="1"/>
  <c r="FA19" i="123" s="1"/>
  <c r="FB19" i="123" s="1"/>
  <c r="FC19" i="123" s="1"/>
  <c r="FD19" i="123" s="1"/>
  <c r="FE19" i="123" s="1"/>
  <c r="FF19" i="123" s="1"/>
  <c r="FG19" i="123" s="1"/>
  <c r="FH19" i="123" s="1"/>
  <c r="FI19" i="123" s="1"/>
  <c r="FJ19" i="123" s="1"/>
  <c r="FK19" i="123" s="1"/>
  <c r="FL19" i="123" s="1"/>
  <c r="FM19" i="123" s="1"/>
  <c r="FN19" i="123" s="1"/>
  <c r="FO19" i="123" s="1"/>
  <c r="FP19" i="123" s="1"/>
  <c r="FQ19" i="123" s="1"/>
  <c r="FR19" i="123" s="1"/>
  <c r="FS19" i="123" s="1"/>
  <c r="FT19" i="123" s="1"/>
  <c r="FU19" i="123" s="1"/>
  <c r="FV19" i="123" s="1"/>
  <c r="FW19" i="123" s="1"/>
  <c r="FX19" i="123" s="1"/>
  <c r="FY19" i="123" s="1"/>
  <c r="FZ19" i="123" s="1"/>
  <c r="GA19" i="123" s="1"/>
  <c r="GB19" i="123" s="1"/>
  <c r="GC19" i="123" s="1"/>
  <c r="GD19" i="123" s="1"/>
  <c r="GE19" i="123" s="1"/>
  <c r="GF19" i="123" s="1"/>
  <c r="GG19" i="123" s="1"/>
  <c r="GH19" i="123" s="1"/>
  <c r="GI19" i="123" s="1"/>
  <c r="GJ19" i="123" s="1"/>
  <c r="GK19" i="123" s="1"/>
  <c r="GL19" i="123" s="1"/>
  <c r="GM19" i="123" s="1"/>
  <c r="GN19" i="123" s="1"/>
  <c r="GO19" i="123" s="1"/>
  <c r="GP19" i="123" s="1"/>
  <c r="GQ19" i="123" s="1"/>
  <c r="GR19" i="123" s="1"/>
  <c r="GS19" i="123" s="1"/>
  <c r="GT19" i="123" s="1"/>
  <c r="GU19" i="123" s="1"/>
  <c r="GV19" i="123" s="1"/>
  <c r="GW19" i="123" s="1"/>
  <c r="GX19" i="123" s="1"/>
  <c r="GY19" i="123" s="1"/>
  <c r="GZ19" i="123" s="1"/>
  <c r="HA19" i="123" s="1"/>
  <c r="HB19" i="123" s="1"/>
  <c r="HC19" i="123" s="1"/>
  <c r="HD19" i="123" s="1"/>
  <c r="HE19" i="123" s="1"/>
  <c r="HF19" i="123" s="1"/>
  <c r="HG19" i="123" s="1"/>
  <c r="HH19" i="123" s="1"/>
  <c r="HI19" i="123" s="1"/>
  <c r="HJ19" i="123" s="1"/>
  <c r="HK19" i="123" s="1"/>
  <c r="HL19" i="123" s="1"/>
  <c r="HM19" i="123" s="1"/>
  <c r="HN19" i="123" s="1"/>
  <c r="HO19" i="123" s="1"/>
  <c r="HP19" i="123" s="1"/>
  <c r="HQ19" i="123" s="1"/>
  <c r="HR19" i="123" s="1"/>
  <c r="HS19" i="123" s="1"/>
  <c r="HT19" i="123" s="1"/>
  <c r="HU19" i="123" s="1"/>
  <c r="HV19" i="123" s="1"/>
  <c r="HW19" i="123" s="1"/>
  <c r="HX19" i="123" s="1"/>
  <c r="HY19" i="123" s="1"/>
  <c r="HZ19" i="123" s="1"/>
  <c r="IA19" i="123" s="1"/>
  <c r="IB19" i="123" s="1"/>
  <c r="IC19" i="123" s="1"/>
  <c r="ID19" i="123" s="1"/>
  <c r="IE19" i="123" s="1"/>
  <c r="IF19" i="123" s="1"/>
  <c r="IG19" i="123" s="1"/>
  <c r="IH19" i="123" s="1"/>
  <c r="II19" i="123" s="1"/>
  <c r="IJ19" i="123" s="1"/>
  <c r="IK19" i="123" s="1"/>
  <c r="IL19" i="123" s="1"/>
  <c r="IM19" i="123" s="1"/>
  <c r="IN19" i="123" s="1"/>
  <c r="IO19" i="123" s="1"/>
  <c r="IP19" i="123" s="1"/>
  <c r="IQ19" i="123" s="1"/>
  <c r="IR19" i="123" s="1"/>
  <c r="IS19" i="123" s="1"/>
  <c r="IT19" i="123" s="1"/>
  <c r="IU19" i="123" s="1"/>
  <c r="IV19" i="123" s="1"/>
  <c r="IW19" i="123" s="1"/>
  <c r="IX19" i="123" s="1"/>
  <c r="IY19" i="123" s="1"/>
  <c r="IZ19" i="123" s="1"/>
  <c r="JA19" i="123" s="1"/>
  <c r="JB19" i="123" s="1"/>
  <c r="JC19" i="123" s="1"/>
  <c r="EG16" i="123"/>
  <c r="EG97" i="123" l="1"/>
  <c r="FF124" i="123"/>
  <c r="EH16" i="123"/>
  <c r="EI16" i="123" s="1"/>
  <c r="EJ16" i="123" s="1"/>
  <c r="EK16" i="123" s="1"/>
  <c r="EL16" i="123" s="1"/>
  <c r="EM16" i="123" s="1"/>
  <c r="EN16" i="123" s="1"/>
  <c r="EO16" i="123" s="1"/>
  <c r="EP16" i="123" s="1"/>
  <c r="EQ16" i="123" s="1"/>
  <c r="ER16" i="123" s="1"/>
  <c r="ES16" i="123" s="1"/>
  <c r="ET16" i="123" s="1"/>
  <c r="EU16" i="123" s="1"/>
  <c r="EV16" i="123" s="1"/>
  <c r="EW16" i="123" s="1"/>
  <c r="EX16" i="123" s="1"/>
  <c r="EY16" i="123" s="1"/>
  <c r="EZ16" i="123" s="1"/>
  <c r="FA16" i="123" s="1"/>
  <c r="FB16" i="123" s="1"/>
  <c r="FC16" i="123" s="1"/>
  <c r="FD16" i="123" s="1"/>
  <c r="FE16" i="123" s="1"/>
  <c r="FF16" i="123" s="1"/>
  <c r="FG16" i="123" s="1"/>
  <c r="FH16" i="123" s="1"/>
  <c r="FI16" i="123" s="1"/>
  <c r="FJ16" i="123" s="1"/>
  <c r="FK16" i="123" s="1"/>
  <c r="FL16" i="123" s="1"/>
  <c r="FM16" i="123" s="1"/>
  <c r="FN16" i="123" s="1"/>
  <c r="FO16" i="123" s="1"/>
  <c r="FP16" i="123" s="1"/>
  <c r="FQ16" i="123" s="1"/>
  <c r="FR16" i="123" s="1"/>
  <c r="FS16" i="123" s="1"/>
  <c r="FT16" i="123" s="1"/>
  <c r="FU16" i="123" s="1"/>
  <c r="FV16" i="123" s="1"/>
  <c r="FW16" i="123" s="1"/>
  <c r="FX16" i="123" s="1"/>
  <c r="FY16" i="123" s="1"/>
  <c r="FZ16" i="123" s="1"/>
  <c r="GA16" i="123" s="1"/>
  <c r="GB16" i="123" s="1"/>
  <c r="GC16" i="123" s="1"/>
  <c r="GD16" i="123" s="1"/>
  <c r="GE16" i="123" s="1"/>
  <c r="GF16" i="123" s="1"/>
  <c r="GG16" i="123" s="1"/>
  <c r="GH16" i="123" s="1"/>
  <c r="GI16" i="123" s="1"/>
  <c r="GJ16" i="123" s="1"/>
  <c r="GK16" i="123" s="1"/>
  <c r="GL16" i="123" s="1"/>
  <c r="GM16" i="123" s="1"/>
  <c r="GN16" i="123" s="1"/>
  <c r="GO16" i="123" s="1"/>
  <c r="GP16" i="123" s="1"/>
  <c r="GQ16" i="123" s="1"/>
  <c r="GR16" i="123" s="1"/>
  <c r="GS16" i="123" s="1"/>
  <c r="GT16" i="123" s="1"/>
  <c r="GU16" i="123" s="1"/>
  <c r="GV16" i="123" s="1"/>
  <c r="GW16" i="123" s="1"/>
  <c r="GX16" i="123" s="1"/>
  <c r="GY16" i="123" s="1"/>
  <c r="GZ16" i="123" s="1"/>
  <c r="HA16" i="123" s="1"/>
  <c r="HB16" i="123" s="1"/>
  <c r="HC16" i="123" s="1"/>
  <c r="HD16" i="123" s="1"/>
  <c r="HE16" i="123" s="1"/>
  <c r="HF16" i="123" s="1"/>
  <c r="HG16" i="123" s="1"/>
  <c r="HH16" i="123" s="1"/>
  <c r="HI16" i="123" s="1"/>
  <c r="HJ16" i="123" s="1"/>
  <c r="HK16" i="123" s="1"/>
  <c r="HL16" i="123" s="1"/>
  <c r="HM16" i="123" s="1"/>
  <c r="HN16" i="123" s="1"/>
  <c r="HO16" i="123" s="1"/>
  <c r="HP16" i="123" s="1"/>
  <c r="HQ16" i="123" s="1"/>
  <c r="HR16" i="123" s="1"/>
  <c r="HS16" i="123" s="1"/>
  <c r="HT16" i="123" s="1"/>
  <c r="HU16" i="123" s="1"/>
  <c r="HV16" i="123" s="1"/>
  <c r="HW16" i="123" s="1"/>
  <c r="HX16" i="123" s="1"/>
  <c r="HY16" i="123" s="1"/>
  <c r="HZ16" i="123" s="1"/>
  <c r="IA16" i="123" s="1"/>
  <c r="IB16" i="123" s="1"/>
  <c r="IC16" i="123" s="1"/>
  <c r="ID16" i="123" s="1"/>
  <c r="IE16" i="123" s="1"/>
  <c r="IF16" i="123" s="1"/>
  <c r="IG16" i="123" s="1"/>
  <c r="IH16" i="123" s="1"/>
  <c r="II16" i="123" s="1"/>
  <c r="IJ16" i="123" s="1"/>
  <c r="IK16" i="123" s="1"/>
  <c r="IL16" i="123" s="1"/>
  <c r="IM16" i="123" s="1"/>
  <c r="IN16" i="123" s="1"/>
  <c r="IO16" i="123" s="1"/>
  <c r="IP16" i="123" s="1"/>
  <c r="IQ16" i="123" s="1"/>
  <c r="IR16" i="123" s="1"/>
  <c r="IS16" i="123" s="1"/>
  <c r="IT16" i="123" s="1"/>
  <c r="IU16" i="123" s="1"/>
  <c r="IV16" i="123" s="1"/>
  <c r="IW16" i="123" s="1"/>
  <c r="IX16" i="123" s="1"/>
  <c r="IY16" i="123" s="1"/>
  <c r="IZ16" i="123" s="1"/>
  <c r="JA16" i="123" s="1"/>
  <c r="JB16" i="123" s="1"/>
  <c r="JC16" i="123" s="1"/>
  <c r="E126" i="123" l="1"/>
  <c r="FG124" i="123"/>
  <c r="FH124" i="123" l="1"/>
  <c r="FI124" i="123" l="1"/>
  <c r="GA176" i="1" a="1"/>
  <c r="GA176" i="1" s="1"/>
  <c r="FY176" i="1" s="1"/>
  <c r="GO176" i="1" s="1"/>
  <c r="GA177" i="1" a="1"/>
  <c r="GA177" i="1" s="1"/>
  <c r="FY177" i="1" s="1"/>
  <c r="GO177" i="1" s="1"/>
  <c r="GA178" i="1" a="1"/>
  <c r="GA178" i="1" s="1"/>
  <c r="FY178" i="1" s="1"/>
  <c r="GO178" i="1" s="1"/>
  <c r="GA179" i="1" a="1"/>
  <c r="GA179" i="1" s="1"/>
  <c r="FY179" i="1" s="1"/>
  <c r="GO179" i="1" s="1"/>
  <c r="GA180" i="1" a="1"/>
  <c r="GA180" i="1" s="1"/>
  <c r="FY180" i="1" s="1"/>
  <c r="GO180" i="1" s="1"/>
  <c r="GA181" i="1" a="1"/>
  <c r="GA181" i="1" s="1"/>
  <c r="FY181" i="1" s="1"/>
  <c r="GO181" i="1" s="1"/>
  <c r="GA182" i="1" a="1"/>
  <c r="GA182" i="1" s="1"/>
  <c r="FY182" i="1" s="1"/>
  <c r="GO182" i="1" s="1"/>
  <c r="GA183" i="1" a="1"/>
  <c r="GA183" i="1" s="1"/>
  <c r="FY183" i="1" s="1"/>
  <c r="GO183" i="1" s="1"/>
  <c r="GA184" i="1" a="1"/>
  <c r="GA184" i="1" s="1"/>
  <c r="FY184" i="1" s="1"/>
  <c r="GO184" i="1" s="1"/>
  <c r="GA185" i="1" a="1"/>
  <c r="GA185" i="1" s="1"/>
  <c r="FY185" i="1" s="1"/>
  <c r="GO185" i="1" s="1"/>
  <c r="GA186" i="1" a="1"/>
  <c r="GA186" i="1" s="1"/>
  <c r="FY186" i="1" s="1"/>
  <c r="GO186" i="1" s="1"/>
  <c r="GA187" i="1" a="1"/>
  <c r="GA187" i="1" s="1"/>
  <c r="FY187" i="1" s="1"/>
  <c r="GO187" i="1" s="1"/>
  <c r="GA188" i="1" a="1"/>
  <c r="GA188" i="1" s="1"/>
  <c r="FY188" i="1" s="1"/>
  <c r="GO188" i="1" s="1"/>
  <c r="GA189" i="1" a="1"/>
  <c r="GA189" i="1" s="1"/>
  <c r="FY189" i="1" s="1"/>
  <c r="GO189" i="1" s="1"/>
  <c r="GA190" i="1" a="1"/>
  <c r="GA190" i="1" s="1"/>
  <c r="FY190" i="1" s="1"/>
  <c r="GO190" i="1" s="1"/>
  <c r="GA191" i="1" a="1"/>
  <c r="GA191" i="1" s="1"/>
  <c r="FY191" i="1" s="1"/>
  <c r="GO191" i="1" s="1"/>
  <c r="GA192" i="1" a="1"/>
  <c r="GA192" i="1" s="1"/>
  <c r="FY192" i="1" s="1"/>
  <c r="GO192" i="1" s="1"/>
  <c r="GA193" i="1" a="1"/>
  <c r="GA193" i="1" s="1"/>
  <c r="FY193" i="1" s="1"/>
  <c r="GO193" i="1" s="1"/>
  <c r="GA194" i="1" a="1"/>
  <c r="GA194" i="1" s="1"/>
  <c r="FY194" i="1" s="1"/>
  <c r="GO194" i="1" s="1"/>
  <c r="GA195" i="1" a="1"/>
  <c r="GA195" i="1" s="1"/>
  <c r="FY195" i="1" s="1"/>
  <c r="GO195" i="1" s="1"/>
  <c r="GA196" i="1" a="1"/>
  <c r="GA196" i="1" s="1"/>
  <c r="FY196" i="1" s="1"/>
  <c r="GO196" i="1" s="1"/>
  <c r="GA197" i="1" a="1"/>
  <c r="GA197" i="1" s="1"/>
  <c r="FY197" i="1" s="1"/>
  <c r="GO197" i="1" s="1"/>
  <c r="GA198" i="1" a="1"/>
  <c r="GA198" i="1" s="1"/>
  <c r="FY198" i="1" s="1"/>
  <c r="GO198" i="1" s="1"/>
  <c r="GA199" i="1" a="1"/>
  <c r="GA199" i="1" s="1"/>
  <c r="FY199" i="1" s="1"/>
  <c r="GO199" i="1" s="1"/>
  <c r="GA200" i="1" a="1"/>
  <c r="GA200" i="1" s="1"/>
  <c r="FY200" i="1" s="1"/>
  <c r="GO200" i="1" s="1"/>
  <c r="GA201" i="1" a="1"/>
  <c r="GA201" i="1" s="1"/>
  <c r="FY201" i="1" s="1"/>
  <c r="GO201" i="1" s="1"/>
  <c r="GA202" i="1" a="1"/>
  <c r="GA202" i="1" s="1"/>
  <c r="FY202" i="1" s="1"/>
  <c r="GO202" i="1" s="1"/>
  <c r="GA203" i="1" a="1"/>
  <c r="GA203" i="1" s="1"/>
  <c r="FY203" i="1" s="1"/>
  <c r="GO203" i="1" s="1"/>
  <c r="GA204" i="1" a="1"/>
  <c r="GA204" i="1" s="1"/>
  <c r="FY204" i="1" s="1"/>
  <c r="GO204" i="1" s="1"/>
  <c r="GA220" i="1" a="1"/>
  <c r="GA220" i="1" s="1"/>
  <c r="FY220" i="1" s="1"/>
  <c r="GO220" i="1" s="1"/>
  <c r="GA221" i="1" a="1"/>
  <c r="GA221" i="1" s="1"/>
  <c r="FY221" i="1" s="1"/>
  <c r="GO221" i="1" s="1"/>
  <c r="GA222" i="1" a="1"/>
  <c r="GA222" i="1" s="1"/>
  <c r="FY222" i="1" s="1"/>
  <c r="GO222" i="1" s="1"/>
  <c r="GA223" i="1" a="1"/>
  <c r="GA223" i="1" s="1"/>
  <c r="FY223" i="1" s="1"/>
  <c r="GO223" i="1" s="1"/>
  <c r="GA224" i="1" a="1"/>
  <c r="GA224" i="1" s="1"/>
  <c r="FY224" i="1" s="1"/>
  <c r="GO224" i="1" s="1"/>
  <c r="GA225" i="1" a="1"/>
  <c r="GA225" i="1" s="1"/>
  <c r="FY225" i="1" s="1"/>
  <c r="GO225" i="1" s="1"/>
  <c r="GA226" i="1" a="1"/>
  <c r="GA226" i="1" s="1"/>
  <c r="FY226" i="1" s="1"/>
  <c r="GO226" i="1" s="1"/>
  <c r="GA227" i="1" a="1"/>
  <c r="GA227" i="1" s="1"/>
  <c r="FY227" i="1" s="1"/>
  <c r="GO227" i="1" s="1"/>
  <c r="GA228" i="1" a="1"/>
  <c r="GA228" i="1" s="1"/>
  <c r="FY228" i="1" s="1"/>
  <c r="GO228" i="1" s="1"/>
  <c r="GA229" i="1" a="1"/>
  <c r="GA229" i="1" s="1"/>
  <c r="FY229" i="1" s="1"/>
  <c r="GO229" i="1" s="1"/>
  <c r="GA230" i="1" a="1"/>
  <c r="GA230" i="1" s="1"/>
  <c r="FY230" i="1" s="1"/>
  <c r="GO230" i="1" s="1"/>
  <c r="GA231" i="1" a="1"/>
  <c r="GA231" i="1" s="1"/>
  <c r="FY231" i="1" s="1"/>
  <c r="GO231" i="1" s="1"/>
  <c r="GA232" i="1" a="1"/>
  <c r="GA232" i="1" s="1"/>
  <c r="FY232" i="1" s="1"/>
  <c r="GO232" i="1" s="1"/>
  <c r="GA233" i="1" a="1"/>
  <c r="GA233" i="1" s="1"/>
  <c r="FY233" i="1" s="1"/>
  <c r="GO233" i="1" s="1"/>
  <c r="GA234" i="1" a="1"/>
  <c r="GA234" i="1" s="1"/>
  <c r="FY234" i="1" s="1"/>
  <c r="GO234" i="1" s="1"/>
  <c r="GA235" i="1" a="1"/>
  <c r="GA235" i="1" s="1"/>
  <c r="FY235" i="1" s="1"/>
  <c r="GO235" i="1" s="1"/>
  <c r="GA236" i="1" a="1"/>
  <c r="GA236" i="1" s="1"/>
  <c r="FY236" i="1" s="1"/>
  <c r="GO236" i="1" s="1"/>
  <c r="GA237" i="1" a="1"/>
  <c r="GA237" i="1" s="1"/>
  <c r="FY237" i="1" s="1"/>
  <c r="GO237" i="1" s="1"/>
  <c r="GA238" i="1" a="1"/>
  <c r="GA238" i="1" s="1"/>
  <c r="FY238" i="1" s="1"/>
  <c r="GO238" i="1" s="1"/>
  <c r="GA239" i="1" a="1"/>
  <c r="GA239" i="1" s="1"/>
  <c r="FY239" i="1" s="1"/>
  <c r="GO239" i="1" s="1"/>
  <c r="GA240" i="1" a="1"/>
  <c r="GA240" i="1" s="1"/>
  <c r="FY240" i="1" s="1"/>
  <c r="GO240" i="1" s="1"/>
  <c r="GA241" i="1" a="1"/>
  <c r="GA241" i="1" s="1"/>
  <c r="FY241" i="1" s="1"/>
  <c r="GO241" i="1" s="1"/>
  <c r="GA242" i="1" a="1"/>
  <c r="GA242" i="1" s="1"/>
  <c r="FY242" i="1" s="1"/>
  <c r="GO242" i="1" s="1"/>
  <c r="GA243" i="1" a="1"/>
  <c r="GA243" i="1" s="1"/>
  <c r="FY243" i="1" s="1"/>
  <c r="GO243" i="1" s="1"/>
  <c r="GA244" i="1" a="1"/>
  <c r="GA244" i="1" s="1"/>
  <c r="FY244" i="1" s="1"/>
  <c r="GO244" i="1" s="1"/>
  <c r="GA245" i="1" a="1"/>
  <c r="GA245" i="1" s="1"/>
  <c r="FY245" i="1" s="1"/>
  <c r="GO245" i="1" s="1"/>
  <c r="GA246" i="1" a="1"/>
  <c r="GA246" i="1" s="1"/>
  <c r="FY246" i="1" s="1"/>
  <c r="GO246" i="1" s="1"/>
  <c r="GA247" i="1" a="1"/>
  <c r="GA247" i="1" s="1"/>
  <c r="FY247" i="1" s="1"/>
  <c r="GO247" i="1" s="1"/>
  <c r="GA248" i="1" a="1"/>
  <c r="GA248" i="1" s="1"/>
  <c r="FY248" i="1" s="1"/>
  <c r="GO248" i="1" s="1"/>
  <c r="GA249" i="1" a="1"/>
  <c r="GA249" i="1" s="1"/>
  <c r="FY249" i="1" s="1"/>
  <c r="GO249" i="1" s="1"/>
  <c r="GA250" i="1" a="1"/>
  <c r="GA250" i="1" s="1"/>
  <c r="FY250" i="1" s="1"/>
  <c r="GO250" i="1" s="1"/>
  <c r="GA251" i="1" a="1"/>
  <c r="GA251" i="1" s="1"/>
  <c r="FY251" i="1" s="1"/>
  <c r="GO251" i="1" s="1"/>
  <c r="GA252" i="1" a="1"/>
  <c r="GA252" i="1" s="1"/>
  <c r="FY252" i="1" s="1"/>
  <c r="GO252" i="1" s="1"/>
  <c r="GA253" i="1" a="1"/>
  <c r="GA253" i="1" s="1"/>
  <c r="FY253" i="1" s="1"/>
  <c r="GO253" i="1" s="1"/>
  <c r="GA254" i="1" a="1"/>
  <c r="GA254" i="1" s="1"/>
  <c r="FY254" i="1" s="1"/>
  <c r="GO254" i="1" s="1"/>
  <c r="GA255" i="1" a="1"/>
  <c r="GA255" i="1" s="1"/>
  <c r="FY255" i="1" s="1"/>
  <c r="GO255" i="1" s="1"/>
  <c r="GA256" i="1" a="1"/>
  <c r="GA256" i="1" s="1"/>
  <c r="FY256" i="1" s="1"/>
  <c r="GO256" i="1" s="1"/>
  <c r="GA257" i="1" a="1"/>
  <c r="GA257" i="1" s="1"/>
  <c r="FY257" i="1" s="1"/>
  <c r="GO257" i="1" s="1"/>
  <c r="GA258" i="1" a="1"/>
  <c r="GA258" i="1" s="1"/>
  <c r="FY258" i="1" s="1"/>
  <c r="GO258" i="1" s="1"/>
  <c r="GA259" i="1" a="1"/>
  <c r="GA259" i="1" s="1"/>
  <c r="FY259" i="1" s="1"/>
  <c r="GO259" i="1" s="1"/>
  <c r="GA260" i="1" a="1"/>
  <c r="GA260" i="1" s="1"/>
  <c r="FY260" i="1" s="1"/>
  <c r="GO260" i="1" s="1"/>
  <c r="GA261" i="1" a="1"/>
  <c r="GA261" i="1" s="1"/>
  <c r="FY261" i="1" s="1"/>
  <c r="GO261" i="1" s="1"/>
  <c r="GA262" i="1" a="1"/>
  <c r="GA262" i="1" s="1"/>
  <c r="FY262" i="1" s="1"/>
  <c r="GO262" i="1" s="1"/>
  <c r="GA263" i="1" a="1"/>
  <c r="GA263" i="1" s="1"/>
  <c r="FY263" i="1" s="1"/>
  <c r="GO263" i="1" s="1"/>
  <c r="GA264" i="1" a="1"/>
  <c r="GA264" i="1" s="1"/>
  <c r="FY264" i="1" s="1"/>
  <c r="GO264" i="1" s="1"/>
  <c r="GA265" i="1" a="1"/>
  <c r="GA265" i="1" s="1"/>
  <c r="FY265" i="1" s="1"/>
  <c r="GO265" i="1" s="1"/>
  <c r="GA266" i="1" a="1"/>
  <c r="GA266" i="1" s="1"/>
  <c r="FY266" i="1" s="1"/>
  <c r="GO266" i="1" s="1"/>
  <c r="GA267" i="1" a="1"/>
  <c r="GA267" i="1" s="1"/>
  <c r="FY267" i="1" s="1"/>
  <c r="GO267" i="1" s="1"/>
  <c r="GA268" i="1" a="1"/>
  <c r="GA268" i="1" s="1"/>
  <c r="FY268" i="1" s="1"/>
  <c r="GO268" i="1" s="1"/>
  <c r="GA269" i="1" a="1"/>
  <c r="GA269" i="1" s="1"/>
  <c r="FY269" i="1" s="1"/>
  <c r="GO269" i="1" s="1"/>
  <c r="GA270" i="1" a="1"/>
  <c r="GA270" i="1" s="1"/>
  <c r="FY270" i="1" s="1"/>
  <c r="GO270" i="1" s="1"/>
  <c r="GA271" i="1" a="1"/>
  <c r="GA271" i="1" s="1"/>
  <c r="FY271" i="1" s="1"/>
  <c r="GO271" i="1" s="1"/>
  <c r="GA272" i="1" a="1"/>
  <c r="GA272" i="1" s="1"/>
  <c r="FY272" i="1" s="1"/>
  <c r="GO272" i="1" s="1"/>
  <c r="GA273" i="1" a="1"/>
  <c r="GA273" i="1" s="1"/>
  <c r="FY273" i="1" s="1"/>
  <c r="GO273" i="1" s="1"/>
  <c r="GA274" i="1" a="1"/>
  <c r="GA274" i="1" s="1"/>
  <c r="FY274" i="1" s="1"/>
  <c r="GO274" i="1" s="1"/>
  <c r="GA275" i="1" a="1"/>
  <c r="GA275" i="1" s="1"/>
  <c r="FY275" i="1" s="1"/>
  <c r="GO275" i="1" s="1"/>
  <c r="GA276" i="1" a="1"/>
  <c r="GA276" i="1" s="1"/>
  <c r="FY276" i="1" s="1"/>
  <c r="GO276" i="1" s="1"/>
  <c r="GA277" i="1" a="1"/>
  <c r="GA277" i="1" s="1"/>
  <c r="FY277" i="1" s="1"/>
  <c r="GO277" i="1" s="1"/>
  <c r="GA278" i="1" a="1"/>
  <c r="GA278" i="1" s="1"/>
  <c r="FY278" i="1" s="1"/>
  <c r="GO278" i="1" s="1"/>
  <c r="GA279" i="1" a="1"/>
  <c r="GA279" i="1" s="1"/>
  <c r="FY279" i="1" s="1"/>
  <c r="GO279" i="1" s="1"/>
  <c r="GA280" i="1" a="1"/>
  <c r="GA280" i="1" s="1"/>
  <c r="FY280" i="1" s="1"/>
  <c r="GO280" i="1" s="1"/>
  <c r="GA281" i="1" a="1"/>
  <c r="GA281" i="1" s="1"/>
  <c r="FY281" i="1" s="1"/>
  <c r="GO281" i="1" s="1"/>
  <c r="GA282" i="1" a="1"/>
  <c r="GA282" i="1" s="1"/>
  <c r="FY282" i="1" s="1"/>
  <c r="GO282" i="1" s="1"/>
  <c r="GA283" i="1" a="1"/>
  <c r="GA283" i="1" s="1"/>
  <c r="FY283" i="1" s="1"/>
  <c r="GO283" i="1" s="1"/>
  <c r="GA284" i="1" a="1"/>
  <c r="GA284" i="1" s="1"/>
  <c r="FY284" i="1" s="1"/>
  <c r="GO284" i="1" s="1"/>
  <c r="GA285" i="1" a="1"/>
  <c r="GA285" i="1" s="1"/>
  <c r="FY285" i="1" s="1"/>
  <c r="GO285" i="1" s="1"/>
  <c r="GA286" i="1" a="1"/>
  <c r="GA286" i="1" s="1"/>
  <c r="FY286" i="1" s="1"/>
  <c r="GO286" i="1" s="1"/>
  <c r="GA287" i="1" a="1"/>
  <c r="GA287" i="1" s="1"/>
  <c r="FY287" i="1" s="1"/>
  <c r="GO287" i="1" s="1"/>
  <c r="GA288" i="1" a="1"/>
  <c r="GA288" i="1" s="1"/>
  <c r="FY288" i="1" s="1"/>
  <c r="GO288" i="1" s="1"/>
  <c r="GA289" i="1" a="1"/>
  <c r="GA289" i="1" s="1"/>
  <c r="FY289" i="1" s="1"/>
  <c r="GO289" i="1" s="1"/>
  <c r="GA290" i="1" a="1"/>
  <c r="GA290" i="1" s="1"/>
  <c r="FY290" i="1" s="1"/>
  <c r="GO290" i="1" s="1"/>
  <c r="GA291" i="1" a="1"/>
  <c r="GA291" i="1" s="1"/>
  <c r="FY291" i="1" s="1"/>
  <c r="GO291" i="1" s="1"/>
  <c r="GA292" i="1" a="1"/>
  <c r="GA292" i="1" s="1"/>
  <c r="FY292" i="1" s="1"/>
  <c r="GO292" i="1" s="1"/>
  <c r="GA293" i="1" a="1"/>
  <c r="GA293" i="1" s="1"/>
  <c r="FY293" i="1" s="1"/>
  <c r="GO293" i="1" s="1"/>
  <c r="GA294" i="1" a="1"/>
  <c r="GA294" i="1" s="1"/>
  <c r="FY294" i="1" s="1"/>
  <c r="GO294" i="1" s="1"/>
  <c r="GA295" i="1" a="1"/>
  <c r="GA295" i="1" s="1"/>
  <c r="FY295" i="1" s="1"/>
  <c r="GO295" i="1" s="1"/>
  <c r="GA296" i="1" a="1"/>
  <c r="GA296" i="1" s="1"/>
  <c r="FY296" i="1" s="1"/>
  <c r="GO296" i="1" s="1"/>
  <c r="GA297" i="1" a="1"/>
  <c r="GA297" i="1" s="1"/>
  <c r="FY297" i="1" s="1"/>
  <c r="GO297" i="1" s="1"/>
  <c r="GA298" i="1" a="1"/>
  <c r="GA298" i="1" s="1"/>
  <c r="FY298" i="1" s="1"/>
  <c r="GO298" i="1" s="1"/>
  <c r="GA299" i="1" a="1"/>
  <c r="GA299" i="1" s="1"/>
  <c r="FY299" i="1" s="1"/>
  <c r="GO299" i="1" s="1"/>
  <c r="GA300" i="1" a="1"/>
  <c r="GA300" i="1" s="1"/>
  <c r="FY300" i="1" s="1"/>
  <c r="GO300" i="1" s="1"/>
  <c r="GA301" i="1" a="1"/>
  <c r="GA301" i="1" s="1"/>
  <c r="FY301" i="1" s="1"/>
  <c r="GO301" i="1" s="1"/>
  <c r="GA302" i="1" a="1"/>
  <c r="GA302" i="1" s="1"/>
  <c r="FY302" i="1" s="1"/>
  <c r="GO302" i="1" s="1"/>
  <c r="GA303" i="1" a="1"/>
  <c r="GA303" i="1" s="1"/>
  <c r="FY303" i="1" s="1"/>
  <c r="GO303" i="1" s="1"/>
  <c r="GA304" i="1" a="1"/>
  <c r="GA304" i="1" s="1"/>
  <c r="FY304" i="1" s="1"/>
  <c r="GO304" i="1" s="1"/>
  <c r="GA305" i="1" a="1"/>
  <c r="GA305" i="1" s="1"/>
  <c r="FY305" i="1" s="1"/>
  <c r="GO305" i="1" s="1"/>
  <c r="GA306" i="1" a="1"/>
  <c r="GA306" i="1" s="1"/>
  <c r="FY306" i="1" s="1"/>
  <c r="GO306" i="1" s="1"/>
  <c r="GA307" i="1" a="1"/>
  <c r="GA307" i="1" s="1"/>
  <c r="FY307" i="1" s="1"/>
  <c r="GO307" i="1" s="1"/>
  <c r="GA308" i="1" a="1"/>
  <c r="GA308" i="1" s="1"/>
  <c r="FY308" i="1" s="1"/>
  <c r="GO308" i="1" s="1"/>
  <c r="GA309" i="1" a="1"/>
  <c r="GA309" i="1" s="1"/>
  <c r="FY309" i="1" s="1"/>
  <c r="GO309" i="1" s="1"/>
  <c r="GA310" i="1" a="1"/>
  <c r="GA310" i="1" s="1"/>
  <c r="FY310" i="1" s="1"/>
  <c r="GO310" i="1" s="1"/>
  <c r="GA311" i="1" a="1"/>
  <c r="GA311" i="1" s="1"/>
  <c r="FY311" i="1" s="1"/>
  <c r="GO311" i="1" s="1"/>
  <c r="GA312" i="1" a="1"/>
  <c r="GA312" i="1" s="1"/>
  <c r="FY312" i="1" s="1"/>
  <c r="GO312" i="1" s="1"/>
  <c r="GA313" i="1" a="1"/>
  <c r="GA313" i="1" s="1"/>
  <c r="FY313" i="1" s="1"/>
  <c r="GO313" i="1" s="1"/>
  <c r="GA314" i="1" a="1"/>
  <c r="GA314" i="1" s="1"/>
  <c r="FY314" i="1" s="1"/>
  <c r="GO314" i="1" s="1"/>
  <c r="GA315" i="1" a="1"/>
  <c r="GA315" i="1" s="1"/>
  <c r="FY315" i="1" s="1"/>
  <c r="GO315" i="1" s="1"/>
  <c r="GA316" i="1" a="1"/>
  <c r="GA316" i="1" s="1"/>
  <c r="FY316" i="1" s="1"/>
  <c r="GO316" i="1" s="1"/>
  <c r="GA317" i="1" a="1"/>
  <c r="GA317" i="1" s="1"/>
  <c r="FY317" i="1" s="1"/>
  <c r="GO317" i="1" s="1"/>
  <c r="GA318" i="1" a="1"/>
  <c r="GA318" i="1" s="1"/>
  <c r="FY318" i="1" s="1"/>
  <c r="GO318" i="1" s="1"/>
  <c r="GA319" i="1" a="1"/>
  <c r="GA319" i="1" s="1"/>
  <c r="FY319" i="1" s="1"/>
  <c r="GO319" i="1" s="1"/>
  <c r="GA320" i="1" a="1"/>
  <c r="GA320" i="1" s="1"/>
  <c r="FY320" i="1" s="1"/>
  <c r="GO320" i="1" s="1"/>
  <c r="GA321" i="1" a="1"/>
  <c r="GA321" i="1" s="1"/>
  <c r="FY321" i="1" s="1"/>
  <c r="GO321" i="1" s="1"/>
  <c r="GA322" i="1" a="1"/>
  <c r="GA322" i="1" s="1"/>
  <c r="FY322" i="1" s="1"/>
  <c r="GO322" i="1" s="1"/>
  <c r="GA323" i="1" a="1"/>
  <c r="GA323" i="1" s="1"/>
  <c r="FY323" i="1" s="1"/>
  <c r="GO323" i="1" s="1"/>
  <c r="GA324" i="1" a="1"/>
  <c r="GA324" i="1" s="1"/>
  <c r="FY324" i="1" s="1"/>
  <c r="GO324" i="1" s="1"/>
  <c r="GA325" i="1" a="1"/>
  <c r="GA325" i="1" s="1"/>
  <c r="FY325" i="1" s="1"/>
  <c r="GO325" i="1" s="1"/>
  <c r="GA326" i="1" a="1"/>
  <c r="GA326" i="1" s="1"/>
  <c r="FY326" i="1" s="1"/>
  <c r="GO326" i="1" s="1"/>
  <c r="GA327" i="1" a="1"/>
  <c r="GA327" i="1" s="1"/>
  <c r="FY327" i="1" s="1"/>
  <c r="GO327" i="1" s="1"/>
  <c r="GA329" i="1" a="1"/>
  <c r="GA329" i="1" s="1"/>
  <c r="FY329" i="1" s="1"/>
  <c r="GO329" i="1" s="1"/>
  <c r="GA330" i="1" a="1"/>
  <c r="GA330" i="1" s="1"/>
  <c r="FY330" i="1" s="1"/>
  <c r="GO330" i="1" s="1"/>
  <c r="GA331" i="1" a="1"/>
  <c r="GA331" i="1" s="1"/>
  <c r="FY331" i="1" s="1"/>
  <c r="GO331" i="1" s="1"/>
  <c r="GA332" i="1" a="1"/>
  <c r="GA332" i="1" s="1"/>
  <c r="FY332" i="1" s="1"/>
  <c r="GO332" i="1" s="1"/>
  <c r="GA334" i="1" a="1"/>
  <c r="GA334" i="1" s="1"/>
  <c r="FY334" i="1" s="1"/>
  <c r="GO334" i="1" s="1"/>
  <c r="GA335" i="1" a="1"/>
  <c r="GA335" i="1" s="1"/>
  <c r="FY335" i="1" s="1"/>
  <c r="GO335" i="1" s="1"/>
  <c r="GA337" i="1" a="1"/>
  <c r="GA337" i="1" s="1"/>
  <c r="FY337" i="1" s="1"/>
  <c r="GO337" i="1" s="1"/>
  <c r="GA338" i="1" a="1"/>
  <c r="GA338" i="1" s="1"/>
  <c r="FY338" i="1" s="1"/>
  <c r="GO338" i="1" s="1"/>
  <c r="GA342" i="1" a="1"/>
  <c r="GA342" i="1" s="1"/>
  <c r="FY342" i="1" s="1"/>
  <c r="GO342" i="1" s="1"/>
  <c r="GA343" i="1" a="1"/>
  <c r="GA343" i="1" s="1"/>
  <c r="FY343" i="1" s="1"/>
  <c r="GO343" i="1" s="1"/>
  <c r="GA344" i="1" a="1"/>
  <c r="GA344" i="1" s="1"/>
  <c r="FY344" i="1" s="1"/>
  <c r="GO344" i="1" s="1"/>
  <c r="GA345" i="1" a="1"/>
  <c r="GA345" i="1" s="1"/>
  <c r="FY345" i="1" s="1"/>
  <c r="GO345" i="1" s="1"/>
  <c r="GA346" i="1" a="1"/>
  <c r="GA346" i="1" s="1"/>
  <c r="FY346" i="1" s="1"/>
  <c r="GO346" i="1" s="1"/>
  <c r="GA347" i="1" a="1"/>
  <c r="GA347" i="1" s="1"/>
  <c r="FY347" i="1" s="1"/>
  <c r="GO347" i="1" s="1"/>
  <c r="GA348" i="1" a="1"/>
  <c r="GA348" i="1" s="1"/>
  <c r="FY348" i="1" s="1"/>
  <c r="GO348" i="1" s="1"/>
  <c r="GA349" i="1" a="1"/>
  <c r="GA349" i="1" s="1"/>
  <c r="FY349" i="1" s="1"/>
  <c r="GO349" i="1" s="1"/>
  <c r="GA350" i="1" a="1"/>
  <c r="GA350" i="1" s="1"/>
  <c r="FY350" i="1" s="1"/>
  <c r="GO350" i="1" s="1"/>
  <c r="GA351" i="1" a="1"/>
  <c r="GA351" i="1" s="1"/>
  <c r="FY351" i="1" s="1"/>
  <c r="GO351" i="1" s="1"/>
  <c r="GA352" i="1" a="1"/>
  <c r="GA352" i="1" s="1"/>
  <c r="FY352" i="1" s="1"/>
  <c r="GO352" i="1" s="1"/>
  <c r="GA353" i="1" a="1"/>
  <c r="GA353" i="1" s="1"/>
  <c r="FY353" i="1" s="1"/>
  <c r="GO353" i="1" s="1"/>
  <c r="GA354" i="1" a="1"/>
  <c r="GA354" i="1" s="1"/>
  <c r="FY354" i="1" s="1"/>
  <c r="GO354" i="1" s="1"/>
  <c r="GA355" i="1" a="1"/>
  <c r="GA355" i="1" s="1"/>
  <c r="FY355" i="1" s="1"/>
  <c r="GO355" i="1" s="1"/>
  <c r="GA356" i="1" a="1"/>
  <c r="GA356" i="1" s="1"/>
  <c r="FY356" i="1" s="1"/>
  <c r="GO356" i="1" s="1"/>
  <c r="GA357" i="1" a="1"/>
  <c r="GA357" i="1" s="1"/>
  <c r="FY357" i="1" s="1"/>
  <c r="GO357" i="1" s="1"/>
  <c r="GA358" i="1" a="1"/>
  <c r="GA358" i="1" s="1"/>
  <c r="FY358" i="1" s="1"/>
  <c r="GO358" i="1" s="1"/>
  <c r="GA359" i="1" a="1"/>
  <c r="GA359" i="1" s="1"/>
  <c r="FY359" i="1" s="1"/>
  <c r="GO359" i="1" s="1"/>
  <c r="GA360" i="1" a="1"/>
  <c r="GA360" i="1" s="1"/>
  <c r="FY360" i="1" s="1"/>
  <c r="GO360" i="1" s="1"/>
  <c r="GA361" i="1" a="1"/>
  <c r="GA361" i="1" s="1"/>
  <c r="FY361" i="1" s="1"/>
  <c r="GO361" i="1" s="1"/>
  <c r="GA362" i="1" a="1"/>
  <c r="GA362" i="1" s="1"/>
  <c r="FY362" i="1" s="1"/>
  <c r="GO362" i="1" s="1"/>
  <c r="GA363" i="1" a="1"/>
  <c r="GA363" i="1" s="1"/>
  <c r="FY363" i="1" s="1"/>
  <c r="GO363" i="1" s="1"/>
  <c r="GA364" i="1" a="1"/>
  <c r="GA364" i="1" s="1"/>
  <c r="FY364" i="1" s="1"/>
  <c r="GO364" i="1" s="1"/>
  <c r="GA173" i="1" a="1"/>
  <c r="GA173" i="1" s="1"/>
  <c r="FY173" i="1" s="1"/>
  <c r="GO173" i="1" s="1"/>
  <c r="GA174" i="1" a="1"/>
  <c r="GA174" i="1" s="1"/>
  <c r="FY174" i="1" s="1"/>
  <c r="GO174" i="1" s="1"/>
  <c r="GA175" i="1" a="1"/>
  <c r="GA175" i="1" s="1"/>
  <c r="FY175" i="1" s="1"/>
  <c r="GO175" i="1" s="1"/>
  <c r="FR174" i="1"/>
  <c r="FR175" i="1"/>
  <c r="FR176" i="1"/>
  <c r="FR177" i="1"/>
  <c r="FR178" i="1"/>
  <c r="FR179" i="1"/>
  <c r="FR180" i="1"/>
  <c r="FR181" i="1"/>
  <c r="FR182" i="1"/>
  <c r="FR183" i="1"/>
  <c r="FR184" i="1"/>
  <c r="FR185" i="1"/>
  <c r="FR186" i="1"/>
  <c r="FR187" i="1"/>
  <c r="FR188" i="1"/>
  <c r="FR189" i="1"/>
  <c r="FR190" i="1"/>
  <c r="FR191" i="1"/>
  <c r="FR192" i="1"/>
  <c r="FR193" i="1"/>
  <c r="FR194" i="1"/>
  <c r="FR195" i="1"/>
  <c r="FR196" i="1"/>
  <c r="FR197" i="1"/>
  <c r="FR198" i="1"/>
  <c r="FR199" i="1"/>
  <c r="FR200" i="1"/>
  <c r="FR201" i="1"/>
  <c r="FR202" i="1"/>
  <c r="FR203" i="1"/>
  <c r="FR204" i="1"/>
  <c r="FR220" i="1"/>
  <c r="FR221" i="1"/>
  <c r="FR222" i="1"/>
  <c r="FR223" i="1"/>
  <c r="FR224" i="1"/>
  <c r="FR225" i="1"/>
  <c r="FR226" i="1"/>
  <c r="FR227" i="1"/>
  <c r="FR228" i="1"/>
  <c r="FR229" i="1"/>
  <c r="FR230" i="1"/>
  <c r="FR231" i="1"/>
  <c r="FR232" i="1"/>
  <c r="FR233" i="1"/>
  <c r="FR234" i="1"/>
  <c r="FR235" i="1"/>
  <c r="FR236" i="1"/>
  <c r="FR237" i="1"/>
  <c r="FR238" i="1"/>
  <c r="FR239" i="1"/>
  <c r="FR240" i="1"/>
  <c r="FR241" i="1"/>
  <c r="FR242" i="1"/>
  <c r="FR243" i="1"/>
  <c r="FR244" i="1"/>
  <c r="FR245" i="1"/>
  <c r="FR246" i="1"/>
  <c r="FR247" i="1"/>
  <c r="FR248" i="1"/>
  <c r="FR249" i="1"/>
  <c r="FR250" i="1"/>
  <c r="FR251" i="1"/>
  <c r="FR252" i="1"/>
  <c r="FR253" i="1"/>
  <c r="FR254" i="1"/>
  <c r="FR255" i="1"/>
  <c r="FR256" i="1"/>
  <c r="FR257" i="1"/>
  <c r="FR258" i="1"/>
  <c r="FR259" i="1"/>
  <c r="FR260" i="1"/>
  <c r="FR261" i="1"/>
  <c r="FR262" i="1"/>
  <c r="FR263" i="1"/>
  <c r="FR264" i="1"/>
  <c r="FR265" i="1"/>
  <c r="FR266" i="1"/>
  <c r="FR267" i="1"/>
  <c r="FR268" i="1"/>
  <c r="FR269" i="1"/>
  <c r="FR270" i="1"/>
  <c r="FR271" i="1"/>
  <c r="FR272" i="1"/>
  <c r="FR273" i="1"/>
  <c r="FR274" i="1"/>
  <c r="FR275" i="1"/>
  <c r="FR276" i="1"/>
  <c r="FR277" i="1"/>
  <c r="FR278" i="1"/>
  <c r="FR279" i="1"/>
  <c r="FR280" i="1"/>
  <c r="FR281" i="1"/>
  <c r="FR282" i="1"/>
  <c r="FR283" i="1"/>
  <c r="FR284" i="1"/>
  <c r="FR285" i="1"/>
  <c r="FR286" i="1"/>
  <c r="FR287" i="1"/>
  <c r="FR288" i="1"/>
  <c r="FR289" i="1"/>
  <c r="FR290" i="1"/>
  <c r="FR291" i="1"/>
  <c r="FR292" i="1"/>
  <c r="FR293" i="1"/>
  <c r="FR294" i="1"/>
  <c r="FR295" i="1"/>
  <c r="FR296" i="1"/>
  <c r="FR297" i="1"/>
  <c r="FR298" i="1"/>
  <c r="FR299" i="1"/>
  <c r="FR300" i="1"/>
  <c r="FR301" i="1"/>
  <c r="FR302" i="1"/>
  <c r="FR303" i="1"/>
  <c r="FR304" i="1"/>
  <c r="FR305" i="1"/>
  <c r="FR306" i="1"/>
  <c r="FR307" i="1"/>
  <c r="FR308" i="1"/>
  <c r="FR309" i="1"/>
  <c r="FR310" i="1"/>
  <c r="FR311" i="1"/>
  <c r="FR312" i="1"/>
  <c r="FR313" i="1"/>
  <c r="FR314" i="1"/>
  <c r="FR315" i="1"/>
  <c r="FR316" i="1"/>
  <c r="FR317" i="1"/>
  <c r="FR318" i="1"/>
  <c r="FR319" i="1"/>
  <c r="FR320" i="1"/>
  <c r="FR321" i="1"/>
  <c r="FR322" i="1"/>
  <c r="FR323" i="1"/>
  <c r="FR324" i="1"/>
  <c r="FR325" i="1"/>
  <c r="FR326" i="1"/>
  <c r="FR327" i="1"/>
  <c r="FR329" i="1"/>
  <c r="FR330" i="1"/>
  <c r="FR331" i="1"/>
  <c r="FR332" i="1"/>
  <c r="FR334" i="1"/>
  <c r="FR335" i="1"/>
  <c r="FR337" i="1"/>
  <c r="FR338" i="1"/>
  <c r="FR342" i="1"/>
  <c r="FR343" i="1"/>
  <c r="FR344" i="1"/>
  <c r="FR345" i="1"/>
  <c r="FR346" i="1"/>
  <c r="FR347" i="1"/>
  <c r="FR348" i="1"/>
  <c r="FR349" i="1"/>
  <c r="FR350" i="1"/>
  <c r="FR351" i="1"/>
  <c r="FR352" i="1"/>
  <c r="FR353" i="1"/>
  <c r="FR354" i="1"/>
  <c r="FR355" i="1"/>
  <c r="FR356" i="1"/>
  <c r="FR357" i="1"/>
  <c r="FR358" i="1"/>
  <c r="FR359" i="1"/>
  <c r="FR360" i="1"/>
  <c r="FR361" i="1"/>
  <c r="FR362" i="1"/>
  <c r="FR363" i="1"/>
  <c r="FR364" i="1"/>
  <c r="FR173" i="1"/>
  <c r="FJ124" i="123" l="1"/>
  <c r="AI74" i="98"/>
  <c r="AI75" i="98"/>
  <c r="AI73" i="98"/>
  <c r="AI72" i="98"/>
  <c r="FK124" i="123" l="1"/>
  <c r="AL72" i="98"/>
  <c r="FE72" i="98" s="1"/>
  <c r="AL75" i="98"/>
  <c r="FE75" i="98" s="1"/>
  <c r="AL73" i="98"/>
  <c r="FE73" i="98" s="1"/>
  <c r="AL74" i="98"/>
  <c r="FE74" i="98" s="1"/>
  <c r="FL124" i="123" l="1"/>
  <c r="G106" i="71"/>
  <c r="FM124" i="123" l="1"/>
  <c r="FN124" i="123" l="1"/>
  <c r="FO124" i="123" l="1"/>
  <c r="FP124" i="123" l="1"/>
  <c r="JP104" i="93"/>
  <c r="JP108" i="93"/>
  <c r="JP110" i="93"/>
  <c r="JP105" i="93"/>
  <c r="JP109" i="93"/>
  <c r="JP103" i="93"/>
  <c r="JP107" i="93"/>
  <c r="JP102" i="93"/>
  <c r="JP106" i="93"/>
  <c r="GX168" i="1"/>
  <c r="J124" i="71"/>
  <c r="I124" i="71"/>
  <c r="K124" i="71"/>
  <c r="JP112" i="93"/>
  <c r="JP100" i="93"/>
  <c r="JP101" i="93"/>
  <c r="JP98" i="93"/>
  <c r="JP111" i="93"/>
  <c r="JP99" i="93"/>
  <c r="JP113" i="93"/>
  <c r="T68" i="97"/>
  <c r="GX18" i="1" l="1"/>
  <c r="FQ124" i="123"/>
  <c r="GY168" i="1"/>
  <c r="GY18" i="1" s="1"/>
  <c r="FR124" i="123" l="1"/>
  <c r="GZ168" i="1"/>
  <c r="GF98" i="93"/>
  <c r="IO98" i="93" s="1"/>
  <c r="ND98" i="93" s="1"/>
  <c r="HA98" i="93"/>
  <c r="HB98" i="93"/>
  <c r="IX98" i="93"/>
  <c r="IY98" i="93"/>
  <c r="GF99" i="93"/>
  <c r="IO99" i="93" s="1"/>
  <c r="ND99" i="93" s="1"/>
  <c r="HA99" i="93"/>
  <c r="HB99" i="93"/>
  <c r="IX99" i="93"/>
  <c r="IY99" i="93"/>
  <c r="GF100" i="93"/>
  <c r="IO100" i="93" s="1"/>
  <c r="ND100" i="93" s="1"/>
  <c r="HA100" i="93"/>
  <c r="HB100" i="93"/>
  <c r="IX100" i="93"/>
  <c r="IY100" i="93"/>
  <c r="GF101" i="93"/>
  <c r="IO101" i="93" s="1"/>
  <c r="ND101" i="93" s="1"/>
  <c r="HA101" i="93"/>
  <c r="HB101" i="93"/>
  <c r="IX101" i="93"/>
  <c r="IY101" i="93"/>
  <c r="GF111" i="93"/>
  <c r="IO111" i="93" s="1"/>
  <c r="ND111" i="93" s="1"/>
  <c r="HA111" i="93"/>
  <c r="HB111" i="93"/>
  <c r="IX111" i="93"/>
  <c r="IY111" i="93"/>
  <c r="IR3" i="93"/>
  <c r="IS3" i="93"/>
  <c r="GZ18" i="1" l="1"/>
  <c r="EI111" i="93"/>
  <c r="EU111" i="93" s="1"/>
  <c r="JX111" i="93" s="1"/>
  <c r="EI98" i="93"/>
  <c r="EU98" i="93" s="1"/>
  <c r="JX98" i="93" s="1"/>
  <c r="EI100" i="93"/>
  <c r="EU100" i="93" s="1"/>
  <c r="JX100" i="93" s="1"/>
  <c r="IR11" i="93"/>
  <c r="FD87" i="93" s="1"/>
  <c r="IR9" i="93"/>
  <c r="FD65" i="93" s="1"/>
  <c r="IR8" i="93"/>
  <c r="IR7" i="93"/>
  <c r="FD64" i="93" s="1"/>
  <c r="IR10" i="93"/>
  <c r="FD86" i="93" s="1"/>
  <c r="IS8" i="93"/>
  <c r="IS7" i="93"/>
  <c r="FE64" i="93" s="1"/>
  <c r="IS11" i="93"/>
  <c r="FE87" i="93" s="1"/>
  <c r="IS9" i="93"/>
  <c r="FE65" i="93" s="1"/>
  <c r="IS10" i="93"/>
  <c r="FE86" i="93" s="1"/>
  <c r="MZ111" i="93"/>
  <c r="MZ100" i="93"/>
  <c r="MZ98" i="93"/>
  <c r="MZ101" i="93"/>
  <c r="MZ99" i="93"/>
  <c r="JD101" i="93"/>
  <c r="KF101" i="93"/>
  <c r="KF99" i="93"/>
  <c r="JD99" i="93"/>
  <c r="KF100" i="93"/>
  <c r="JD100" i="93"/>
  <c r="KF98" i="93"/>
  <c r="JD98" i="93"/>
  <c r="KF111" i="93"/>
  <c r="JD111" i="93"/>
  <c r="FD68" i="93"/>
  <c r="FD78" i="93"/>
  <c r="FD111" i="93"/>
  <c r="FD76" i="93"/>
  <c r="FD94" i="93"/>
  <c r="FD93" i="93"/>
  <c r="FD113" i="93"/>
  <c r="FD80" i="93"/>
  <c r="FD102" i="93"/>
  <c r="FD67" i="93"/>
  <c r="FD110" i="93"/>
  <c r="FD71" i="93"/>
  <c r="FD84" i="93"/>
  <c r="FD77" i="93"/>
  <c r="FD92" i="93"/>
  <c r="FD101" i="93"/>
  <c r="FD103" i="93"/>
  <c r="FD83" i="93"/>
  <c r="FD70" i="93"/>
  <c r="FD100" i="93"/>
  <c r="FD108" i="93"/>
  <c r="FD109" i="93"/>
  <c r="FD96" i="93"/>
  <c r="FD91" i="93"/>
  <c r="FD97" i="93"/>
  <c r="FD106" i="93"/>
  <c r="FD73" i="93"/>
  <c r="FD99" i="93"/>
  <c r="FD95" i="93"/>
  <c r="FD75" i="93"/>
  <c r="FD104" i="93"/>
  <c r="FD66" i="93"/>
  <c r="FD105" i="93"/>
  <c r="FD98" i="93"/>
  <c r="FD107" i="93"/>
  <c r="FD112" i="93"/>
  <c r="FD72" i="93"/>
  <c r="FD81" i="93"/>
  <c r="FD88" i="93"/>
  <c r="FE78" i="93"/>
  <c r="FE68" i="93"/>
  <c r="FE85" i="93"/>
  <c r="FE95" i="93"/>
  <c r="FE75" i="93"/>
  <c r="FE103" i="93"/>
  <c r="FE104" i="93"/>
  <c r="FE83" i="93"/>
  <c r="FE70" i="93"/>
  <c r="FE105" i="93"/>
  <c r="FE109" i="93"/>
  <c r="FE106" i="93"/>
  <c r="FE100" i="93"/>
  <c r="FE89" i="93"/>
  <c r="FE98" i="93"/>
  <c r="FE91" i="93"/>
  <c r="FE76" i="93"/>
  <c r="FE71" i="93"/>
  <c r="FE93" i="93"/>
  <c r="FE113" i="93"/>
  <c r="FE82" i="93"/>
  <c r="FE80" i="93"/>
  <c r="FE97" i="93"/>
  <c r="FE67" i="93"/>
  <c r="FE73" i="93"/>
  <c r="FE84" i="93"/>
  <c r="FE92" i="93"/>
  <c r="FE101" i="93"/>
  <c r="FE108" i="93"/>
  <c r="FE111" i="93"/>
  <c r="FE94" i="93"/>
  <c r="FE107" i="93"/>
  <c r="FE112" i="93"/>
  <c r="FE72" i="93"/>
  <c r="FE102" i="93"/>
  <c r="FE81" i="93"/>
  <c r="FE90" i="93"/>
  <c r="FE88" i="93"/>
  <c r="FE110" i="93"/>
  <c r="FE99" i="93"/>
  <c r="FE66" i="93"/>
  <c r="FE96" i="93"/>
  <c r="GK101" i="93"/>
  <c r="GJ101" i="93"/>
  <c r="GK99" i="93"/>
  <c r="GJ99" i="93"/>
  <c r="GK98" i="93"/>
  <c r="GJ98" i="93"/>
  <c r="GK111" i="93"/>
  <c r="GJ111" i="93"/>
  <c r="GK100" i="93"/>
  <c r="GJ100" i="93"/>
  <c r="FS124" i="123"/>
  <c r="GV111" i="93"/>
  <c r="GV98" i="93"/>
  <c r="GV101" i="93"/>
  <c r="GV100" i="93"/>
  <c r="GV99" i="93"/>
  <c r="FE69" i="93" l="1"/>
  <c r="FD69" i="93"/>
  <c r="EI95" i="93"/>
  <c r="EU95" i="93" s="1"/>
  <c r="JX95" i="93" s="1"/>
  <c r="EI79" i="93"/>
  <c r="EI75" i="93"/>
  <c r="HQ75" i="93" s="1"/>
  <c r="EJ75" i="93" s="1"/>
  <c r="EN75" i="93" s="1"/>
  <c r="EI65" i="93"/>
  <c r="EU65" i="93" s="1"/>
  <c r="EI113" i="93"/>
  <c r="EU113" i="93" s="1"/>
  <c r="JX113" i="93" s="1"/>
  <c r="EI78" i="93"/>
  <c r="EI69" i="93"/>
  <c r="EU69" i="93" s="1"/>
  <c r="JX69" i="93" s="1"/>
  <c r="EI93" i="93"/>
  <c r="EI81" i="93"/>
  <c r="EI77" i="93"/>
  <c r="EI73" i="93"/>
  <c r="EU73" i="93" s="1"/>
  <c r="JX73" i="93" s="1"/>
  <c r="EI68" i="93"/>
  <c r="HQ68" i="93" s="1"/>
  <c r="EJ68" i="93" s="1"/>
  <c r="EI99" i="93"/>
  <c r="EU99" i="93" s="1"/>
  <c r="JX99" i="93" s="1"/>
  <c r="EI91" i="93"/>
  <c r="EU91" i="93" s="1"/>
  <c r="JX91" i="93" s="1"/>
  <c r="EI83" i="93"/>
  <c r="EI70" i="93"/>
  <c r="EU70" i="93" s="1"/>
  <c r="JX70" i="93" s="1"/>
  <c r="EI94" i="93"/>
  <c r="EU94" i="93" s="1"/>
  <c r="JX94" i="93" s="1"/>
  <c r="EI90" i="93"/>
  <c r="EU90" i="93" s="1"/>
  <c r="JX90" i="93" s="1"/>
  <c r="EI82" i="93"/>
  <c r="EI74" i="93"/>
  <c r="EI101" i="93"/>
  <c r="EU101" i="93" s="1"/>
  <c r="JX101" i="93" s="1"/>
  <c r="EI112" i="93"/>
  <c r="EU112" i="93" s="1"/>
  <c r="JX112" i="93" s="1"/>
  <c r="EI89" i="93"/>
  <c r="EU89" i="93" s="1"/>
  <c r="JX89" i="93" s="1"/>
  <c r="EI96" i="93"/>
  <c r="EU96" i="93" s="1"/>
  <c r="JX96" i="93" s="1"/>
  <c r="EI92" i="93"/>
  <c r="EI88" i="93"/>
  <c r="EU88" i="93" s="1"/>
  <c r="JX88" i="93" s="1"/>
  <c r="EI84" i="93"/>
  <c r="EI80" i="93"/>
  <c r="EI76" i="93"/>
  <c r="EI71" i="93"/>
  <c r="EU71" i="93" s="1"/>
  <c r="JX71" i="93" s="1"/>
  <c r="EI66" i="93"/>
  <c r="EU66" i="93" s="1"/>
  <c r="JX66" i="93" s="1"/>
  <c r="EI85" i="93"/>
  <c r="EU85" i="93" s="1"/>
  <c r="JX85" i="93" s="1"/>
  <c r="EI86" i="93"/>
  <c r="EI87" i="93"/>
  <c r="FE79" i="93"/>
  <c r="FE77" i="93"/>
  <c r="FD79" i="93"/>
  <c r="HQ100" i="93"/>
  <c r="EJ100" i="93" s="1"/>
  <c r="ET100" i="93"/>
  <c r="JU100" i="93" s="1"/>
  <c r="EP100" i="93"/>
  <c r="EX100" i="93" s="1"/>
  <c r="HQ111" i="93"/>
  <c r="EJ111" i="93" s="1"/>
  <c r="ET111" i="93"/>
  <c r="JU111" i="93" s="1"/>
  <c r="EP111" i="93"/>
  <c r="EX111" i="93" s="1"/>
  <c r="HQ98" i="93"/>
  <c r="EJ98" i="93" s="1"/>
  <c r="ET98" i="93"/>
  <c r="JU98" i="93" s="1"/>
  <c r="EP98" i="93"/>
  <c r="EX98" i="93" s="1"/>
  <c r="FT124" i="123"/>
  <c r="HA168" i="1"/>
  <c r="HA18" i="1" l="1"/>
  <c r="JX65" i="93"/>
  <c r="EU75" i="93"/>
  <c r="JX75" i="93" s="1"/>
  <c r="EN68" i="93"/>
  <c r="HR68" i="93" s="1"/>
  <c r="IK68" i="93" s="1"/>
  <c r="EU68" i="93"/>
  <c r="JX68" i="93" s="1"/>
  <c r="EI64" i="93"/>
  <c r="EI72" i="93"/>
  <c r="EI67" i="93"/>
  <c r="EU67" i="93" s="1"/>
  <c r="JX67" i="93" s="1"/>
  <c r="EN111" i="93"/>
  <c r="HR111" i="93" s="1"/>
  <c r="EN98" i="93"/>
  <c r="HR98" i="93" s="1"/>
  <c r="EN100" i="93"/>
  <c r="HR100" i="93" s="1"/>
  <c r="EU77" i="93"/>
  <c r="JX77" i="93" s="1"/>
  <c r="HQ77" i="93"/>
  <c r="EJ77" i="93" s="1"/>
  <c r="EU82" i="93"/>
  <c r="JX82" i="93" s="1"/>
  <c r="HQ82" i="93"/>
  <c r="EJ82" i="93" s="1"/>
  <c r="EU76" i="93"/>
  <c r="JX76" i="93" s="1"/>
  <c r="HQ76" i="93"/>
  <c r="EJ76" i="93" s="1"/>
  <c r="EU74" i="93"/>
  <c r="JX74" i="93" s="1"/>
  <c r="HQ74" i="93"/>
  <c r="EJ74" i="93" s="1"/>
  <c r="EU84" i="93"/>
  <c r="JX84" i="93" s="1"/>
  <c r="HQ84" i="93"/>
  <c r="EJ84" i="93" s="1"/>
  <c r="EU78" i="93"/>
  <c r="JX78" i="93" s="1"/>
  <c r="HQ78" i="93"/>
  <c r="EJ78" i="93" s="1"/>
  <c r="EU83" i="93"/>
  <c r="JX83" i="93" s="1"/>
  <c r="HQ83" i="93"/>
  <c r="EJ83" i="93" s="1"/>
  <c r="ET84" i="93"/>
  <c r="JU84" i="93" s="1"/>
  <c r="EP84" i="93"/>
  <c r="EX84" i="93" s="1"/>
  <c r="HQ89" i="93"/>
  <c r="EJ89" i="93" s="1"/>
  <c r="ET89" i="93"/>
  <c r="JU89" i="93" s="1"/>
  <c r="EP89" i="93"/>
  <c r="EX89" i="93" s="1"/>
  <c r="HQ113" i="93"/>
  <c r="EJ113" i="93" s="1"/>
  <c r="ET113" i="93"/>
  <c r="JU113" i="93" s="1"/>
  <c r="EP113" i="93"/>
  <c r="EX113" i="93" s="1"/>
  <c r="ET82" i="93"/>
  <c r="JU82" i="93" s="1"/>
  <c r="EP82" i="93"/>
  <c r="EX82" i="93" s="1"/>
  <c r="HQ91" i="93"/>
  <c r="EJ91" i="93" s="1"/>
  <c r="ET91" i="93"/>
  <c r="JU91" i="93" s="1"/>
  <c r="EP91" i="93"/>
  <c r="EX91" i="93" s="1"/>
  <c r="ET68" i="93"/>
  <c r="JU68" i="93" s="1"/>
  <c r="EP68" i="93"/>
  <c r="EX68" i="93" s="1"/>
  <c r="HQ101" i="93"/>
  <c r="EJ101" i="93" s="1"/>
  <c r="ET101" i="93"/>
  <c r="JU101" i="93" s="1"/>
  <c r="EP101" i="93"/>
  <c r="EX101" i="93" s="1"/>
  <c r="ET77" i="93"/>
  <c r="EP77" i="93"/>
  <c r="EX77" i="93" s="1"/>
  <c r="HQ66" i="93"/>
  <c r="EJ66" i="93" s="1"/>
  <c r="ET66" i="93"/>
  <c r="JU66" i="93" s="1"/>
  <c r="EP66" i="93"/>
  <c r="EX66" i="93" s="1"/>
  <c r="HQ90" i="93"/>
  <c r="EJ90" i="93" s="1"/>
  <c r="ET90" i="93"/>
  <c r="JU90" i="93" s="1"/>
  <c r="EP90" i="93"/>
  <c r="EX90" i="93" s="1"/>
  <c r="ET96" i="93"/>
  <c r="JU96" i="93" s="1"/>
  <c r="EP96" i="93"/>
  <c r="EX96" i="93" s="1"/>
  <c r="ET74" i="93"/>
  <c r="JU74" i="93" s="1"/>
  <c r="EP74" i="93"/>
  <c r="HQ69" i="93"/>
  <c r="EJ69" i="93" s="1"/>
  <c r="ET69" i="93"/>
  <c r="JU69" i="93" s="1"/>
  <c r="EP69" i="93"/>
  <c r="EX69" i="93" s="1"/>
  <c r="ET78" i="93"/>
  <c r="JU78" i="93" s="1"/>
  <c r="EP78" i="93"/>
  <c r="EX78" i="93" s="1"/>
  <c r="ET83" i="93"/>
  <c r="JU83" i="93" s="1"/>
  <c r="EP83" i="93"/>
  <c r="EX83" i="93" s="1"/>
  <c r="HQ99" i="93"/>
  <c r="EJ99" i="93" s="1"/>
  <c r="ET99" i="93"/>
  <c r="JU99" i="93" s="1"/>
  <c r="EP99" i="93"/>
  <c r="EX99" i="93" s="1"/>
  <c r="HQ88" i="93"/>
  <c r="EJ88" i="93" s="1"/>
  <c r="ET88" i="93"/>
  <c r="JU88" i="93" s="1"/>
  <c r="EP88" i="93"/>
  <c r="EX88" i="93" s="1"/>
  <c r="HQ73" i="93"/>
  <c r="EJ73" i="93" s="1"/>
  <c r="ET73" i="93"/>
  <c r="JU73" i="93" s="1"/>
  <c r="EP73" i="93"/>
  <c r="HQ112" i="93"/>
  <c r="EJ112" i="93" s="1"/>
  <c r="ET112" i="93"/>
  <c r="JU112" i="93" s="1"/>
  <c r="EP112" i="93"/>
  <c r="EX112" i="93" s="1"/>
  <c r="HQ95" i="93"/>
  <c r="EJ95" i="93" s="1"/>
  <c r="ET95" i="93"/>
  <c r="JU95" i="93" s="1"/>
  <c r="EP95" i="93"/>
  <c r="EX95" i="93" s="1"/>
  <c r="ET75" i="93"/>
  <c r="JU75" i="93" s="1"/>
  <c r="EP75" i="93"/>
  <c r="EX75" i="93" s="1"/>
  <c r="ET76" i="93"/>
  <c r="JU76" i="93" s="1"/>
  <c r="EP76" i="93"/>
  <c r="EX76" i="93" s="1"/>
  <c r="HQ65" i="93"/>
  <c r="EJ65" i="93" s="1"/>
  <c r="ET65" i="93"/>
  <c r="JU65" i="93" s="1"/>
  <c r="EP65" i="93"/>
  <c r="EX65" i="93" s="1"/>
  <c r="HQ85" i="93"/>
  <c r="EJ85" i="93" s="1"/>
  <c r="ET85" i="93"/>
  <c r="JU85" i="93" s="1"/>
  <c r="EP85" i="93"/>
  <c r="EX85" i="93" s="1"/>
  <c r="HQ70" i="93"/>
  <c r="EJ70" i="93" s="1"/>
  <c r="ET70" i="93"/>
  <c r="JU70" i="93" s="1"/>
  <c r="EP70" i="93"/>
  <c r="EX70" i="93" s="1"/>
  <c r="HQ94" i="93"/>
  <c r="EJ94" i="93" s="1"/>
  <c r="ET94" i="93"/>
  <c r="JU94" i="93" s="1"/>
  <c r="EP94" i="93"/>
  <c r="EX94" i="93" s="1"/>
  <c r="HQ71" i="93"/>
  <c r="EJ71" i="93" s="1"/>
  <c r="ET71" i="93"/>
  <c r="JU71" i="93" s="1"/>
  <c r="EP71" i="93"/>
  <c r="EX71" i="93" s="1"/>
  <c r="AI216" i="123" s="1"/>
  <c r="FU124" i="123"/>
  <c r="HR75" i="93"/>
  <c r="HB168" i="1"/>
  <c r="HB18" i="1" s="1"/>
  <c r="HC168" i="1"/>
  <c r="HC18" i="1" s="1"/>
  <c r="FM67" i="93"/>
  <c r="FM71" i="93"/>
  <c r="FM75" i="93"/>
  <c r="FM68" i="93"/>
  <c r="FM72" i="93"/>
  <c r="FM65" i="93"/>
  <c r="FM69" i="93"/>
  <c r="FM73" i="93"/>
  <c r="FM85" i="93"/>
  <c r="FM89" i="93"/>
  <c r="FM64" i="93"/>
  <c r="FM66" i="93"/>
  <c r="FM74" i="93"/>
  <c r="FM78" i="93"/>
  <c r="FM82" i="93"/>
  <c r="FM90" i="93"/>
  <c r="II13" i="93"/>
  <c r="EX73" i="93" l="1"/>
  <c r="AI215" i="123" s="1"/>
  <c r="EN85" i="93"/>
  <c r="HR85" i="93" s="1"/>
  <c r="EO85" i="93" s="1"/>
  <c r="EB85" i="93" s="1"/>
  <c r="EO68" i="93"/>
  <c r="EB68" i="93" s="1"/>
  <c r="EN66" i="93"/>
  <c r="HR66" i="93" s="1"/>
  <c r="EN73" i="93"/>
  <c r="HR73" i="93" s="1"/>
  <c r="EO73" i="93" s="1"/>
  <c r="EB73" i="93" s="1"/>
  <c r="EN90" i="93"/>
  <c r="HR90" i="93" s="1"/>
  <c r="IK90" i="93" s="1"/>
  <c r="EN101" i="93"/>
  <c r="HR101" i="93" s="1"/>
  <c r="IK101" i="93" s="1"/>
  <c r="EN74" i="93"/>
  <c r="HR74" i="93" s="1"/>
  <c r="IK74" i="93" s="1"/>
  <c r="EO98" i="93"/>
  <c r="EB98" i="93" s="1"/>
  <c r="IK98" i="93"/>
  <c r="EO100" i="93"/>
  <c r="EB100" i="93" s="1"/>
  <c r="IK100" i="93"/>
  <c r="EO111" i="93"/>
  <c r="EB111" i="93" s="1"/>
  <c r="IK111" i="93"/>
  <c r="EN71" i="93"/>
  <c r="HR71" i="93" s="1"/>
  <c r="EN88" i="93"/>
  <c r="HR88" i="93" s="1"/>
  <c r="EN83" i="93"/>
  <c r="HR83" i="93" s="1"/>
  <c r="EN84" i="93"/>
  <c r="HR84" i="93" s="1"/>
  <c r="EN76" i="93"/>
  <c r="HR76" i="93" s="1"/>
  <c r="EN77" i="93"/>
  <c r="HR77" i="93" s="1"/>
  <c r="EN70" i="93"/>
  <c r="HR70" i="93" s="1"/>
  <c r="IK70" i="93" s="1"/>
  <c r="EN112" i="93"/>
  <c r="HR112" i="93" s="1"/>
  <c r="EN69" i="93"/>
  <c r="HR69" i="93" s="1"/>
  <c r="EO69" i="93" s="1"/>
  <c r="EB69" i="93" s="1"/>
  <c r="EN91" i="93"/>
  <c r="HR91" i="93" s="1"/>
  <c r="EN89" i="93"/>
  <c r="HR89" i="93" s="1"/>
  <c r="IK89" i="93" s="1"/>
  <c r="EN65" i="93"/>
  <c r="HR65" i="93" s="1"/>
  <c r="EN94" i="93"/>
  <c r="HR94" i="93" s="1"/>
  <c r="EN95" i="93"/>
  <c r="HR95" i="93" s="1"/>
  <c r="EN99" i="93"/>
  <c r="HR99" i="93" s="1"/>
  <c r="EN113" i="93"/>
  <c r="HR113" i="93" s="1"/>
  <c r="EN78" i="93"/>
  <c r="HR78" i="93" s="1"/>
  <c r="EN82" i="93"/>
  <c r="HR82" i="93" s="1"/>
  <c r="IK75" i="93"/>
  <c r="EO75" i="93"/>
  <c r="EB75" i="93" s="1"/>
  <c r="JU77" i="93"/>
  <c r="HQ67" i="93"/>
  <c r="EJ67" i="93" s="1"/>
  <c r="ET67" i="93"/>
  <c r="JU67" i="93" s="1"/>
  <c r="EP67" i="93"/>
  <c r="EX67" i="93" s="1"/>
  <c r="FV124" i="123"/>
  <c r="FM97" i="93"/>
  <c r="FM86" i="93"/>
  <c r="FM81" i="93"/>
  <c r="FM92" i="93"/>
  <c r="EU92" i="93"/>
  <c r="JX92" i="93" s="1"/>
  <c r="FM80" i="93"/>
  <c r="FM87" i="93"/>
  <c r="FM79" i="93"/>
  <c r="FM93" i="93"/>
  <c r="EU93" i="93"/>
  <c r="JX93" i="93" s="1"/>
  <c r="EU72" i="93"/>
  <c r="JX72" i="93" s="1"/>
  <c r="FM98" i="93"/>
  <c r="FM77" i="93"/>
  <c r="FM113" i="93"/>
  <c r="FM88" i="93"/>
  <c r="FM95" i="93"/>
  <c r="FM106" i="93"/>
  <c r="FM109" i="93"/>
  <c r="FM94" i="93"/>
  <c r="FM91" i="93"/>
  <c r="FM103" i="93"/>
  <c r="FM100" i="93"/>
  <c r="FM84" i="93"/>
  <c r="FM105" i="93"/>
  <c r="FM101" i="93"/>
  <c r="FM96" i="93"/>
  <c r="FM112" i="93"/>
  <c r="FM110" i="93"/>
  <c r="FM111" i="93"/>
  <c r="FM70" i="93"/>
  <c r="FM76" i="93"/>
  <c r="FM99" i="93"/>
  <c r="FM83" i="93"/>
  <c r="FM108" i="93"/>
  <c r="FM104" i="93"/>
  <c r="FM102" i="93"/>
  <c r="FM107" i="93"/>
  <c r="HQ96" i="93"/>
  <c r="EJ96" i="93" s="1"/>
  <c r="HD168" i="1"/>
  <c r="HD18" i="1" s="1"/>
  <c r="IK85" i="93" l="1"/>
  <c r="IK73" i="93"/>
  <c r="EO101" i="93"/>
  <c r="EB101" i="93" s="1"/>
  <c r="EO74" i="93"/>
  <c r="EB74" i="93" s="1"/>
  <c r="EO90" i="93"/>
  <c r="EB90" i="93" s="1"/>
  <c r="EO83" i="93"/>
  <c r="EB83" i="93" s="1"/>
  <c r="IK83" i="93"/>
  <c r="IK76" i="93"/>
  <c r="EO76" i="93"/>
  <c r="EB76" i="93" s="1"/>
  <c r="EO94" i="93"/>
  <c r="EB94" i="93" s="1"/>
  <c r="IK94" i="93"/>
  <c r="EO71" i="93"/>
  <c r="EB71" i="93" s="1"/>
  <c r="IK71" i="93"/>
  <c r="EO89" i="93"/>
  <c r="EB89" i="93" s="1"/>
  <c r="EO84" i="93"/>
  <c r="EB84" i="93" s="1"/>
  <c r="IK84" i="93"/>
  <c r="IK78" i="93"/>
  <c r="EO78" i="93"/>
  <c r="EB78" i="93" s="1"/>
  <c r="EO112" i="93"/>
  <c r="EB112" i="93" s="1"/>
  <c r="IK112" i="93"/>
  <c r="IK99" i="93"/>
  <c r="EO99" i="93"/>
  <c r="EB99" i="93" s="1"/>
  <c r="EO113" i="93"/>
  <c r="EB113" i="93" s="1"/>
  <c r="IK113" i="93"/>
  <c r="IK91" i="93"/>
  <c r="EO91" i="93"/>
  <c r="EB91" i="93" s="1"/>
  <c r="EO88" i="93"/>
  <c r="EB88" i="93" s="1"/>
  <c r="IK88" i="93"/>
  <c r="EO65" i="93"/>
  <c r="EB65" i="93" s="1"/>
  <c r="IK65" i="93"/>
  <c r="IK82" i="93"/>
  <c r="EO82" i="93"/>
  <c r="IK95" i="93"/>
  <c r="EO95" i="93"/>
  <c r="EB95" i="93" s="1"/>
  <c r="EO77" i="93"/>
  <c r="EB77" i="93" s="1"/>
  <c r="IK77" i="93"/>
  <c r="IK69" i="93"/>
  <c r="EN96" i="93"/>
  <c r="HR96" i="93" s="1"/>
  <c r="EN67" i="93"/>
  <c r="HR67" i="93" s="1"/>
  <c r="IK67" i="93" s="1"/>
  <c r="EO70" i="93"/>
  <c r="EB70" i="93" s="1"/>
  <c r="IK66" i="93"/>
  <c r="EO66" i="93"/>
  <c r="EB66" i="93" s="1"/>
  <c r="EU79" i="93"/>
  <c r="JX79" i="93" s="1"/>
  <c r="HQ79" i="93"/>
  <c r="EJ79" i="93" s="1"/>
  <c r="EU80" i="93"/>
  <c r="JX80" i="93" s="1"/>
  <c r="HQ80" i="93"/>
  <c r="EJ80" i="93" s="1"/>
  <c r="EU81" i="93"/>
  <c r="JX81" i="93" s="1"/>
  <c r="HQ81" i="93"/>
  <c r="EJ81" i="93" s="1"/>
  <c r="EU87" i="93"/>
  <c r="JX87" i="93" s="1"/>
  <c r="EU86" i="93"/>
  <c r="JX86" i="93" s="1"/>
  <c r="HQ72" i="93"/>
  <c r="EJ72" i="93" s="1"/>
  <c r="ET72" i="93"/>
  <c r="JU72" i="93" s="1"/>
  <c r="EP72" i="93"/>
  <c r="EX72" i="93" s="1"/>
  <c r="AI217" i="123" s="1"/>
  <c r="ET93" i="93"/>
  <c r="JU93" i="93" s="1"/>
  <c r="EP93" i="93"/>
  <c r="EX93" i="93" s="1"/>
  <c r="EP87" i="93"/>
  <c r="EX87" i="93" s="1"/>
  <c r="ET87" i="93"/>
  <c r="JU87" i="93" s="1"/>
  <c r="ET92" i="93"/>
  <c r="JU92" i="93" s="1"/>
  <c r="EP92" i="93"/>
  <c r="EX92" i="93" s="1"/>
  <c r="EP86" i="93"/>
  <c r="EX86" i="93" s="1"/>
  <c r="ET86" i="93"/>
  <c r="JU86" i="93" s="1"/>
  <c r="EP79" i="93"/>
  <c r="EX79" i="93" s="1"/>
  <c r="ET79" i="93"/>
  <c r="JU79" i="93" s="1"/>
  <c r="EP80" i="93"/>
  <c r="EX80" i="93" s="1"/>
  <c r="ET80" i="93"/>
  <c r="JU80" i="93" s="1"/>
  <c r="ET81" i="93"/>
  <c r="JU81" i="93" s="1"/>
  <c r="EP81" i="93"/>
  <c r="EX81" i="93" s="1"/>
  <c r="FW124" i="123"/>
  <c r="EA183" i="123"/>
  <c r="EA195" i="123"/>
  <c r="EA175" i="123"/>
  <c r="EA155" i="123"/>
  <c r="EA204" i="123"/>
  <c r="EA130" i="123"/>
  <c r="EA129" i="123"/>
  <c r="HQ92" i="93"/>
  <c r="EJ92" i="93" s="1"/>
  <c r="HE168" i="1"/>
  <c r="HE18" i="1" s="1"/>
  <c r="HQ87" i="93"/>
  <c r="EJ87" i="93" s="1"/>
  <c r="HQ93" i="93"/>
  <c r="EJ93" i="93" s="1"/>
  <c r="HQ86" i="93"/>
  <c r="EJ86" i="93" s="1"/>
  <c r="EN86" i="93" s="1"/>
  <c r="EB82" i="93" l="1"/>
  <c r="HS82" i="93" s="1"/>
  <c r="EN87" i="93"/>
  <c r="HR87" i="93" s="1"/>
  <c r="EN81" i="93"/>
  <c r="HR81" i="93" s="1"/>
  <c r="EN79" i="93"/>
  <c r="HR79" i="93" s="1"/>
  <c r="EN80" i="93"/>
  <c r="HR80" i="93" s="1"/>
  <c r="IK96" i="93"/>
  <c r="EO96" i="93"/>
  <c r="EB96" i="93" s="1"/>
  <c r="EO67" i="93"/>
  <c r="EB67" i="93" s="1"/>
  <c r="EN93" i="93"/>
  <c r="HR93" i="93" s="1"/>
  <c r="EN92" i="93"/>
  <c r="HR92" i="93" s="1"/>
  <c r="EN72" i="93"/>
  <c r="HR72" i="93" s="1"/>
  <c r="HR86" i="93"/>
  <c r="FX124" i="123"/>
  <c r="GL97" i="93"/>
  <c r="ED97" i="93" s="1"/>
  <c r="GL72" i="93"/>
  <c r="GL71" i="93"/>
  <c r="GL87" i="93"/>
  <c r="GL80" i="93"/>
  <c r="GL86" i="93"/>
  <c r="HF168" i="1"/>
  <c r="HF18" i="1" s="1"/>
  <c r="IK72" i="93" l="1"/>
  <c r="EO72" i="93"/>
  <c r="EB72" i="93" s="1"/>
  <c r="EO92" i="93"/>
  <c r="IK92" i="93"/>
  <c r="EO93" i="93"/>
  <c r="IK93" i="93"/>
  <c r="IK86" i="93"/>
  <c r="EO86" i="93"/>
  <c r="EB86" i="93" s="1"/>
  <c r="EO80" i="93"/>
  <c r="EB80" i="93" s="1"/>
  <c r="IK80" i="93"/>
  <c r="IK79" i="93"/>
  <c r="EO79" i="93"/>
  <c r="EO81" i="93"/>
  <c r="EB81" i="93" s="1"/>
  <c r="IK81" i="93"/>
  <c r="IK87" i="93"/>
  <c r="EO87" i="93"/>
  <c r="EB87" i="93" s="1"/>
  <c r="IM97" i="93"/>
  <c r="FY124" i="123"/>
  <c r="GL77" i="93"/>
  <c r="GL98" i="93"/>
  <c r="GL92" i="93"/>
  <c r="GL104" i="93"/>
  <c r="ED104" i="93" s="1"/>
  <c r="GL64" i="93"/>
  <c r="GL70" i="93"/>
  <c r="GL101" i="93"/>
  <c r="GL102" i="93"/>
  <c r="ED102" i="93" s="1"/>
  <c r="GL94" i="93"/>
  <c r="GL83" i="93"/>
  <c r="GL99" i="93"/>
  <c r="GL96" i="93"/>
  <c r="GL106" i="93"/>
  <c r="ED106" i="93" s="1"/>
  <c r="GL85" i="93"/>
  <c r="GL93" i="93"/>
  <c r="GL103" i="93"/>
  <c r="ED103" i="93" s="1"/>
  <c r="GL75" i="93"/>
  <c r="GL76" i="93"/>
  <c r="GL110" i="93"/>
  <c r="ED110" i="93" s="1"/>
  <c r="GL112" i="93"/>
  <c r="GL100" i="93"/>
  <c r="GL90" i="93"/>
  <c r="GL68" i="93"/>
  <c r="GL113" i="93"/>
  <c r="GL105" i="93"/>
  <c r="ED105" i="93" s="1"/>
  <c r="GL81" i="93"/>
  <c r="GL111" i="93"/>
  <c r="GL84" i="93"/>
  <c r="GL91" i="93"/>
  <c r="GL79" i="93"/>
  <c r="GL82" i="93"/>
  <c r="GL65" i="93"/>
  <c r="GL95" i="93"/>
  <c r="GL89" i="93"/>
  <c r="GL109" i="93"/>
  <c r="ED109" i="93" s="1"/>
  <c r="GL66" i="93"/>
  <c r="GL74" i="93"/>
  <c r="GL107" i="93"/>
  <c r="ED107" i="93" s="1"/>
  <c r="GL73" i="93"/>
  <c r="GL69" i="93"/>
  <c r="GL108" i="93"/>
  <c r="ED108" i="93" s="1"/>
  <c r="GL78" i="93"/>
  <c r="GL88" i="93"/>
  <c r="GL67" i="93"/>
  <c r="EB79" i="93" l="1"/>
  <c r="HS79" i="93" s="1"/>
  <c r="EC79" i="93" s="1"/>
  <c r="ED79" i="93" s="1"/>
  <c r="EB92" i="93"/>
  <c r="HS92" i="93" s="1"/>
  <c r="EB93" i="93"/>
  <c r="HS93" i="93" s="1"/>
  <c r="KS97" i="93"/>
  <c r="KT97" i="93" s="1"/>
  <c r="KU97" i="93" s="1"/>
  <c r="KV97" i="93" s="1"/>
  <c r="KW97" i="93" s="1"/>
  <c r="KX97" i="93" s="1"/>
  <c r="KY97" i="93" s="1"/>
  <c r="KZ97" i="93" s="1"/>
  <c r="LA97" i="93" s="1"/>
  <c r="LB97" i="93" s="1"/>
  <c r="KS108" i="93"/>
  <c r="KT108" i="93" s="1"/>
  <c r="KU108" i="93" s="1"/>
  <c r="KV108" i="93" s="1"/>
  <c r="KW108" i="93" s="1"/>
  <c r="KX108" i="93" s="1"/>
  <c r="KY108" i="93" s="1"/>
  <c r="KZ108" i="93" s="1"/>
  <c r="LA108" i="93" s="1"/>
  <c r="LB108" i="93" s="1"/>
  <c r="IM105" i="93"/>
  <c r="NB105" i="93" s="1"/>
  <c r="KS106" i="93"/>
  <c r="KT106" i="93" s="1"/>
  <c r="KU106" i="93" s="1"/>
  <c r="KV106" i="93" s="1"/>
  <c r="KW106" i="93" s="1"/>
  <c r="KX106" i="93" s="1"/>
  <c r="KY106" i="93" s="1"/>
  <c r="KZ106" i="93" s="1"/>
  <c r="LA106" i="93" s="1"/>
  <c r="LB106" i="93" s="1"/>
  <c r="IM104" i="93"/>
  <c r="NB104" i="93" s="1"/>
  <c r="KS109" i="93"/>
  <c r="KT109" i="93" s="1"/>
  <c r="KU109" i="93" s="1"/>
  <c r="KV109" i="93" s="1"/>
  <c r="KW109" i="93" s="1"/>
  <c r="KX109" i="93" s="1"/>
  <c r="KY109" i="93" s="1"/>
  <c r="KZ109" i="93" s="1"/>
  <c r="LA109" i="93" s="1"/>
  <c r="LB109" i="93" s="1"/>
  <c r="KS110" i="93"/>
  <c r="KT110" i="93" s="1"/>
  <c r="KU110" i="93" s="1"/>
  <c r="KV110" i="93" s="1"/>
  <c r="KW110" i="93" s="1"/>
  <c r="KX110" i="93" s="1"/>
  <c r="KY110" i="93" s="1"/>
  <c r="KZ110" i="93" s="1"/>
  <c r="LA110" i="93" s="1"/>
  <c r="LB110" i="93" s="1"/>
  <c r="KS103" i="93"/>
  <c r="KT103" i="93" s="1"/>
  <c r="KU103" i="93" s="1"/>
  <c r="KV103" i="93" s="1"/>
  <c r="KW103" i="93" s="1"/>
  <c r="KX103" i="93" s="1"/>
  <c r="KY103" i="93" s="1"/>
  <c r="KZ103" i="93" s="1"/>
  <c r="LA103" i="93" s="1"/>
  <c r="LB103" i="93" s="1"/>
  <c r="IM102" i="93"/>
  <c r="NB102" i="93" s="1"/>
  <c r="KS107" i="93"/>
  <c r="KT107" i="93" s="1"/>
  <c r="KU107" i="93" s="1"/>
  <c r="KV107" i="93" s="1"/>
  <c r="KW107" i="93" s="1"/>
  <c r="KX107" i="93" s="1"/>
  <c r="KY107" i="93" s="1"/>
  <c r="KZ107" i="93" s="1"/>
  <c r="LA107" i="93" s="1"/>
  <c r="LB107" i="93" s="1"/>
  <c r="FZ124" i="123"/>
  <c r="HG168" i="1"/>
  <c r="HG18" i="1" s="1"/>
  <c r="HH168" i="1"/>
  <c r="HH18" i="1" s="1"/>
  <c r="FL204" i="1"/>
  <c r="AG204" i="1"/>
  <c r="AF204" i="1"/>
  <c r="AE204" i="1"/>
  <c r="FL199" i="1"/>
  <c r="AG199" i="1"/>
  <c r="AF199" i="1"/>
  <c r="AE199" i="1"/>
  <c r="FL191" i="1"/>
  <c r="AG191" i="1"/>
  <c r="AF191" i="1"/>
  <c r="AE191" i="1"/>
  <c r="FL192" i="1"/>
  <c r="AG192" i="1"/>
  <c r="AF192" i="1"/>
  <c r="AE192" i="1"/>
  <c r="CA192" i="1" l="1"/>
  <c r="BT192" i="1"/>
  <c r="BV192" i="1"/>
  <c r="BZ192" i="1"/>
  <c r="BY192" i="1"/>
  <c r="CB192" i="1"/>
  <c r="BS192" i="1"/>
  <c r="BU192" i="1"/>
  <c r="BW192" i="1"/>
  <c r="BX192" i="1"/>
  <c r="BZ191" i="1"/>
  <c r="BT191" i="1"/>
  <c r="CB191" i="1"/>
  <c r="BU191" i="1"/>
  <c r="BX191" i="1"/>
  <c r="BY191" i="1"/>
  <c r="BS191" i="1"/>
  <c r="BW191" i="1"/>
  <c r="CA191" i="1"/>
  <c r="BV191" i="1"/>
  <c r="BT199" i="1"/>
  <c r="BS199" i="1"/>
  <c r="BX199" i="1"/>
  <c r="BV199" i="1"/>
  <c r="BY199" i="1"/>
  <c r="BU199" i="1"/>
  <c r="CA199" i="1"/>
  <c r="CB199" i="1"/>
  <c r="BZ199" i="1"/>
  <c r="BW199" i="1"/>
  <c r="BT204" i="1"/>
  <c r="BU204" i="1"/>
  <c r="BW204" i="1"/>
  <c r="CB204" i="1"/>
  <c r="BZ204" i="1"/>
  <c r="BV204" i="1"/>
  <c r="BS204" i="1"/>
  <c r="BX204" i="1"/>
  <c r="BY204" i="1"/>
  <c r="CA204" i="1"/>
  <c r="CO192" i="1"/>
  <c r="CO191" i="1"/>
  <c r="CO199" i="1"/>
  <c r="CO204" i="1"/>
  <c r="CP204" i="1"/>
  <c r="CW204" i="1"/>
  <c r="CX204" i="1" s="1"/>
  <c r="CT204" i="1"/>
  <c r="CP191" i="1"/>
  <c r="CT191" i="1"/>
  <c r="CW191" i="1"/>
  <c r="CX191" i="1" s="1"/>
  <c r="CY191" i="1" s="1"/>
  <c r="CP192" i="1"/>
  <c r="CW192" i="1"/>
  <c r="CX192" i="1" s="1"/>
  <c r="CT192" i="1"/>
  <c r="CP199" i="1"/>
  <c r="CW199" i="1"/>
  <c r="CX199" i="1" s="1"/>
  <c r="CT199" i="1"/>
  <c r="IM79" i="93"/>
  <c r="KS79" i="93"/>
  <c r="KT79" i="93" s="1"/>
  <c r="KU79" i="93" s="1"/>
  <c r="KV79" i="93" s="1"/>
  <c r="KW79" i="93" s="1"/>
  <c r="KX79" i="93" s="1"/>
  <c r="KY79" i="93" s="1"/>
  <c r="KZ79" i="93" s="1"/>
  <c r="LA79" i="93" s="1"/>
  <c r="LB79" i="93" s="1"/>
  <c r="IM108" i="93"/>
  <c r="NB108" i="93" s="1"/>
  <c r="IM106" i="93"/>
  <c r="NB106" i="93" s="1"/>
  <c r="IM109" i="93"/>
  <c r="NB109" i="93" s="1"/>
  <c r="KS105" i="93"/>
  <c r="KT105" i="93" s="1"/>
  <c r="KU105" i="93" s="1"/>
  <c r="KV105" i="93" s="1"/>
  <c r="KW105" i="93" s="1"/>
  <c r="KX105" i="93" s="1"/>
  <c r="KY105" i="93" s="1"/>
  <c r="KZ105" i="93" s="1"/>
  <c r="LA105" i="93" s="1"/>
  <c r="LB105" i="93" s="1"/>
  <c r="IM103" i="93"/>
  <c r="NB103" i="93" s="1"/>
  <c r="KS104" i="93"/>
  <c r="KT104" i="93" s="1"/>
  <c r="KU104" i="93" s="1"/>
  <c r="KV104" i="93" s="1"/>
  <c r="KW104" i="93" s="1"/>
  <c r="KX104" i="93" s="1"/>
  <c r="KY104" i="93" s="1"/>
  <c r="KZ104" i="93" s="1"/>
  <c r="LA104" i="93" s="1"/>
  <c r="LB104" i="93" s="1"/>
  <c r="IM110" i="93"/>
  <c r="NB110" i="93" s="1"/>
  <c r="IM107" i="93"/>
  <c r="NB107" i="93" s="1"/>
  <c r="KS102" i="93"/>
  <c r="KT102" i="93" s="1"/>
  <c r="KU102" i="93" s="1"/>
  <c r="KV102" i="93" s="1"/>
  <c r="KW102" i="93" s="1"/>
  <c r="KX102" i="93" s="1"/>
  <c r="KY102" i="93" s="1"/>
  <c r="KZ102" i="93" s="1"/>
  <c r="LA102" i="93" s="1"/>
  <c r="LB102" i="93" s="1"/>
  <c r="GA124" i="123"/>
  <c r="CU191" i="1"/>
  <c r="CU192" i="1"/>
  <c r="CU204" i="1"/>
  <c r="CU199" i="1"/>
  <c r="HI168" i="1"/>
  <c r="HI18" i="1" s="1"/>
  <c r="CY192" i="1" l="1"/>
  <c r="CY204" i="1"/>
  <c r="CY199" i="1"/>
  <c r="GB124" i="123"/>
  <c r="HJ168" i="1"/>
  <c r="HJ18" i="1" s="1"/>
  <c r="GC124" i="123" l="1"/>
  <c r="HK168" i="1"/>
  <c r="HK18" i="1" s="1"/>
  <c r="Q84" i="97"/>
  <c r="IY8" i="93"/>
  <c r="IY4" i="93"/>
  <c r="GD124" i="123" l="1"/>
  <c r="HL168" i="1"/>
  <c r="HL18" i="1" s="1"/>
  <c r="CA21" i="57"/>
  <c r="CA20" i="57"/>
  <c r="K55" i="97"/>
  <c r="K110" i="97"/>
  <c r="K109" i="97"/>
  <c r="K108" i="97"/>
  <c r="Y55" i="97"/>
  <c r="Q55" i="97"/>
  <c r="Y110" i="97"/>
  <c r="Y109" i="97"/>
  <c r="Y108" i="97"/>
  <c r="Q109" i="97"/>
  <c r="Q110" i="97"/>
  <c r="Q108" i="97"/>
  <c r="GE124" i="123" l="1"/>
  <c r="HM168" i="1"/>
  <c r="HM18" i="1" s="1"/>
  <c r="GF124" i="123" l="1"/>
  <c r="HN168" i="1"/>
  <c r="HN18" i="1" s="1"/>
  <c r="GG124" i="123" l="1"/>
  <c r="HO168" i="1"/>
  <c r="HO18" i="1" s="1"/>
  <c r="GH124" i="123" l="1"/>
  <c r="HP168" i="1"/>
  <c r="HP18" i="1" s="1"/>
  <c r="DS97" i="93" l="1"/>
  <c r="GI124" i="123"/>
  <c r="DS109" i="93"/>
  <c r="HQ168" i="1"/>
  <c r="HQ18" i="1" s="1"/>
  <c r="EC92" i="93"/>
  <c r="ED92" i="93" s="1"/>
  <c r="EC93" i="93"/>
  <c r="ED93" i="93" s="1"/>
  <c r="HS81" i="93"/>
  <c r="EC82" i="93"/>
  <c r="ED82" i="93" s="1"/>
  <c r="HS80" i="93"/>
  <c r="EC81" i="93" l="1"/>
  <c r="ED81" i="93" s="1"/>
  <c r="EC80" i="93"/>
  <c r="ED80" i="93" s="1"/>
  <c r="IM82" i="93"/>
  <c r="IM93" i="93"/>
  <c r="IM92" i="93"/>
  <c r="KS93" i="93"/>
  <c r="KT93" i="93" s="1"/>
  <c r="KU93" i="93" s="1"/>
  <c r="KV93" i="93" s="1"/>
  <c r="KW93" i="93" s="1"/>
  <c r="KX93" i="93" s="1"/>
  <c r="KY93" i="93" s="1"/>
  <c r="KZ93" i="93" s="1"/>
  <c r="LA93" i="93" s="1"/>
  <c r="LB93" i="93" s="1"/>
  <c r="KS92" i="93"/>
  <c r="KT92" i="93" s="1"/>
  <c r="KU92" i="93" s="1"/>
  <c r="KV92" i="93" s="1"/>
  <c r="KW92" i="93" s="1"/>
  <c r="KX92" i="93" s="1"/>
  <c r="KY92" i="93" s="1"/>
  <c r="KZ92" i="93" s="1"/>
  <c r="LA92" i="93" s="1"/>
  <c r="LB92" i="93" s="1"/>
  <c r="KS82" i="93"/>
  <c r="KT82" i="93" s="1"/>
  <c r="KU82" i="93" s="1"/>
  <c r="KV82" i="93" s="1"/>
  <c r="KW82" i="93" s="1"/>
  <c r="KX82" i="93" s="1"/>
  <c r="KY82" i="93" s="1"/>
  <c r="KZ82" i="93" s="1"/>
  <c r="LA82" i="93" s="1"/>
  <c r="LB82" i="93" s="1"/>
  <c r="DS104" i="93"/>
  <c r="GJ124" i="123"/>
  <c r="HS75" i="93"/>
  <c r="HS74" i="93"/>
  <c r="HS111" i="93"/>
  <c r="HS69" i="93"/>
  <c r="HS76" i="93"/>
  <c r="HS101" i="93"/>
  <c r="HS86" i="93"/>
  <c r="HS99" i="93"/>
  <c r="HS89" i="93"/>
  <c r="HS65" i="93"/>
  <c r="HS68" i="93"/>
  <c r="HS66" i="93"/>
  <c r="HS83" i="93"/>
  <c r="HS112" i="93"/>
  <c r="HS70" i="93"/>
  <c r="HS73" i="93"/>
  <c r="HS72" i="93"/>
  <c r="HS94" i="93"/>
  <c r="HS95" i="93"/>
  <c r="HS88" i="93"/>
  <c r="HS78" i="93"/>
  <c r="HS67" i="93"/>
  <c r="HS113" i="93"/>
  <c r="HS87" i="93"/>
  <c r="HS77" i="93"/>
  <c r="HS98" i="93"/>
  <c r="HS91" i="93"/>
  <c r="HS90" i="93"/>
  <c r="HS96" i="93"/>
  <c r="HS71" i="93"/>
  <c r="HS85" i="93"/>
  <c r="HS100" i="93"/>
  <c r="HS84" i="93"/>
  <c r="IM81" i="93" l="1"/>
  <c r="KS80" i="93"/>
  <c r="KT80" i="93" s="1"/>
  <c r="KU80" i="93" s="1"/>
  <c r="KV80" i="93" s="1"/>
  <c r="KW80" i="93" s="1"/>
  <c r="KX80" i="93" s="1"/>
  <c r="KY80" i="93" s="1"/>
  <c r="KZ80" i="93" s="1"/>
  <c r="LA80" i="93" s="1"/>
  <c r="LB80" i="93" s="1"/>
  <c r="IM80" i="93"/>
  <c r="EC96" i="93"/>
  <c r="ED96" i="93" s="1"/>
  <c r="EC72" i="93"/>
  <c r="ED72" i="93" s="1"/>
  <c r="EC83" i="93"/>
  <c r="ED83" i="93" s="1"/>
  <c r="EC76" i="93"/>
  <c r="ED76" i="93" s="1"/>
  <c r="EC75" i="93"/>
  <c r="ED75" i="93" s="1"/>
  <c r="EC71" i="93"/>
  <c r="ED71" i="93" s="1"/>
  <c r="EC67" i="93"/>
  <c r="ED67" i="93" s="1"/>
  <c r="EC94" i="93"/>
  <c r="ED94" i="93" s="1"/>
  <c r="EC112" i="93"/>
  <c r="ED112" i="93" s="1"/>
  <c r="EC65" i="93"/>
  <c r="ED65" i="93" s="1"/>
  <c r="EC74" i="93"/>
  <c r="ED74" i="93" s="1"/>
  <c r="EC69" i="93"/>
  <c r="ED69" i="93" s="1"/>
  <c r="EC84" i="93"/>
  <c r="ED84" i="93" s="1"/>
  <c r="EC77" i="93"/>
  <c r="ED77" i="93" s="1"/>
  <c r="EC78" i="93"/>
  <c r="ED78" i="93" s="1"/>
  <c r="EC89" i="93"/>
  <c r="ED89" i="93" s="1"/>
  <c r="EC90" i="93"/>
  <c r="ED90" i="93" s="1"/>
  <c r="EC87" i="93"/>
  <c r="ED87" i="93" s="1"/>
  <c r="EC88" i="93"/>
  <c r="ED88" i="93" s="1"/>
  <c r="EC73" i="93"/>
  <c r="ED73" i="93" s="1"/>
  <c r="EC66" i="93"/>
  <c r="ED66" i="93" s="1"/>
  <c r="EC85" i="93"/>
  <c r="ED85" i="93" s="1"/>
  <c r="EC91" i="93"/>
  <c r="ED91" i="93" s="1"/>
  <c r="EC113" i="93"/>
  <c r="ED113" i="93" s="1"/>
  <c r="EC95" i="93"/>
  <c r="ED95" i="93" s="1"/>
  <c r="EC70" i="93"/>
  <c r="ED70" i="93" s="1"/>
  <c r="EC68" i="93"/>
  <c r="ED68" i="93" s="1"/>
  <c r="EC86" i="93"/>
  <c r="ED86" i="93" s="1"/>
  <c r="KS81" i="93"/>
  <c r="KT81" i="93" s="1"/>
  <c r="KU81" i="93" s="1"/>
  <c r="KV81" i="93" s="1"/>
  <c r="KW81" i="93" s="1"/>
  <c r="KX81" i="93" s="1"/>
  <c r="KY81" i="93" s="1"/>
  <c r="KZ81" i="93" s="1"/>
  <c r="LA81" i="93" s="1"/>
  <c r="LB81" i="93" s="1"/>
  <c r="DS110" i="93"/>
  <c r="DS106" i="93"/>
  <c r="DS105" i="93"/>
  <c r="DS108" i="93"/>
  <c r="DS107" i="93"/>
  <c r="DS103" i="93"/>
  <c r="GK124" i="123"/>
  <c r="DS102" i="93"/>
  <c r="HR168" i="1"/>
  <c r="HR18" i="1" s="1"/>
  <c r="HS168" i="1"/>
  <c r="HS18" i="1" s="1"/>
  <c r="EC99" i="93"/>
  <c r="ED99" i="93" s="1"/>
  <c r="EC111" i="93"/>
  <c r="ED111" i="93" s="1"/>
  <c r="EC100" i="93"/>
  <c r="ED100" i="93" s="1"/>
  <c r="EC98" i="93"/>
  <c r="ED98" i="93" s="1"/>
  <c r="EC101" i="93"/>
  <c r="ED101" i="93" s="1"/>
  <c r="IM68" i="93" l="1"/>
  <c r="KS78" i="93"/>
  <c r="KT78" i="93" s="1"/>
  <c r="KU78" i="93" s="1"/>
  <c r="KV78" i="93" s="1"/>
  <c r="KW78" i="93" s="1"/>
  <c r="KX78" i="93" s="1"/>
  <c r="KY78" i="93" s="1"/>
  <c r="KZ78" i="93" s="1"/>
  <c r="LA78" i="93" s="1"/>
  <c r="LB78" i="93" s="1"/>
  <c r="IM67" i="93"/>
  <c r="KS70" i="93"/>
  <c r="KS85" i="93"/>
  <c r="KT85" i="93" s="1"/>
  <c r="KU85" i="93" s="1"/>
  <c r="KV85" i="93" s="1"/>
  <c r="KW85" i="93" s="1"/>
  <c r="KX85" i="93" s="1"/>
  <c r="KY85" i="93" s="1"/>
  <c r="KZ85" i="93" s="1"/>
  <c r="LA85" i="93" s="1"/>
  <c r="LB85" i="93" s="1"/>
  <c r="KS87" i="93"/>
  <c r="KT87" i="93" s="1"/>
  <c r="KU87" i="93" s="1"/>
  <c r="KV87" i="93" s="1"/>
  <c r="KW87" i="93" s="1"/>
  <c r="KX87" i="93" s="1"/>
  <c r="KY87" i="93" s="1"/>
  <c r="KZ87" i="93" s="1"/>
  <c r="LA87" i="93" s="1"/>
  <c r="LB87" i="93" s="1"/>
  <c r="KS77" i="93"/>
  <c r="KT77" i="93" s="1"/>
  <c r="KU77" i="93" s="1"/>
  <c r="KV77" i="93" s="1"/>
  <c r="KW77" i="93" s="1"/>
  <c r="KX77" i="93" s="1"/>
  <c r="KY77" i="93" s="1"/>
  <c r="KZ77" i="93" s="1"/>
  <c r="LA77" i="93" s="1"/>
  <c r="LB77" i="93" s="1"/>
  <c r="KS71" i="93"/>
  <c r="BC216" i="123" s="1"/>
  <c r="IM72" i="93"/>
  <c r="KS88" i="93"/>
  <c r="KT88" i="93" s="1"/>
  <c r="KU88" i="93" s="1"/>
  <c r="KV88" i="93" s="1"/>
  <c r="KW88" i="93" s="1"/>
  <c r="KX88" i="93" s="1"/>
  <c r="KY88" i="93" s="1"/>
  <c r="KZ88" i="93" s="1"/>
  <c r="LA88" i="93" s="1"/>
  <c r="LB88" i="93" s="1"/>
  <c r="IM83" i="93"/>
  <c r="IM95" i="93"/>
  <c r="KS90" i="93"/>
  <c r="KT90" i="93" s="1"/>
  <c r="KU90" i="93" s="1"/>
  <c r="KV90" i="93" s="1"/>
  <c r="KW90" i="93" s="1"/>
  <c r="KX90" i="93" s="1"/>
  <c r="KY90" i="93" s="1"/>
  <c r="KZ90" i="93" s="1"/>
  <c r="LA90" i="93" s="1"/>
  <c r="LB90" i="93" s="1"/>
  <c r="IM84" i="93"/>
  <c r="IM112" i="93"/>
  <c r="IM75" i="93"/>
  <c r="KS96" i="93"/>
  <c r="KT96" i="93" s="1"/>
  <c r="KU96" i="93" s="1"/>
  <c r="KV96" i="93" s="1"/>
  <c r="KW96" i="93" s="1"/>
  <c r="KX96" i="93" s="1"/>
  <c r="KY96" i="93" s="1"/>
  <c r="KZ96" i="93" s="1"/>
  <c r="LA96" i="93" s="1"/>
  <c r="LB96" i="93" s="1"/>
  <c r="KS91" i="93"/>
  <c r="KT91" i="93" s="1"/>
  <c r="KU91" i="93" s="1"/>
  <c r="KV91" i="93" s="1"/>
  <c r="KW91" i="93" s="1"/>
  <c r="KX91" i="93" s="1"/>
  <c r="KY91" i="93" s="1"/>
  <c r="KZ91" i="93" s="1"/>
  <c r="LA91" i="93" s="1"/>
  <c r="LB91" i="93" s="1"/>
  <c r="KS74" i="93"/>
  <c r="KS86" i="93"/>
  <c r="KT86" i="93" s="1"/>
  <c r="KU86" i="93" s="1"/>
  <c r="KV86" i="93" s="1"/>
  <c r="KW86" i="93" s="1"/>
  <c r="KX86" i="93" s="1"/>
  <c r="KY86" i="93" s="1"/>
  <c r="KZ86" i="93" s="1"/>
  <c r="LA86" i="93" s="1"/>
  <c r="LB86" i="93" s="1"/>
  <c r="IM113" i="93"/>
  <c r="IM73" i="93"/>
  <c r="KS89" i="93"/>
  <c r="KT89" i="93" s="1"/>
  <c r="KU89" i="93" s="1"/>
  <c r="KV89" i="93" s="1"/>
  <c r="KW89" i="93" s="1"/>
  <c r="KX89" i="93" s="1"/>
  <c r="KY89" i="93" s="1"/>
  <c r="KZ89" i="93" s="1"/>
  <c r="LA89" i="93" s="1"/>
  <c r="LB89" i="93" s="1"/>
  <c r="KS69" i="93"/>
  <c r="IM94" i="93"/>
  <c r="KS76" i="93"/>
  <c r="KT76" i="93" s="1"/>
  <c r="KU76" i="93" s="1"/>
  <c r="KV76" i="93" s="1"/>
  <c r="KW76" i="93" s="1"/>
  <c r="KX76" i="93" s="1"/>
  <c r="KY76" i="93" s="1"/>
  <c r="KZ76" i="93" s="1"/>
  <c r="LA76" i="93" s="1"/>
  <c r="LB76" i="93" s="1"/>
  <c r="KS65" i="93"/>
  <c r="KS66" i="93"/>
  <c r="KS112" i="93"/>
  <c r="KT112" i="93" s="1"/>
  <c r="KU112" i="93" s="1"/>
  <c r="KV112" i="93" s="1"/>
  <c r="KW112" i="93" s="1"/>
  <c r="KX112" i="93" s="1"/>
  <c r="KY112" i="93" s="1"/>
  <c r="KZ112" i="93" s="1"/>
  <c r="LA112" i="93" s="1"/>
  <c r="LB112" i="93" s="1"/>
  <c r="IM96" i="93"/>
  <c r="KS83" i="93"/>
  <c r="KT83" i="93" s="1"/>
  <c r="KU83" i="93" s="1"/>
  <c r="KV83" i="93" s="1"/>
  <c r="KW83" i="93" s="1"/>
  <c r="KX83" i="93" s="1"/>
  <c r="KY83" i="93" s="1"/>
  <c r="KZ83" i="93" s="1"/>
  <c r="LA83" i="93" s="1"/>
  <c r="LB83" i="93" s="1"/>
  <c r="KS84" i="93"/>
  <c r="KT84" i="93" s="1"/>
  <c r="KU84" i="93" s="1"/>
  <c r="KV84" i="93" s="1"/>
  <c r="KW84" i="93" s="1"/>
  <c r="KX84" i="93" s="1"/>
  <c r="KY84" i="93" s="1"/>
  <c r="KZ84" i="93" s="1"/>
  <c r="LA84" i="93" s="1"/>
  <c r="LB84" i="93" s="1"/>
  <c r="KS95" i="93"/>
  <c r="KT95" i="93" s="1"/>
  <c r="KU95" i="93" s="1"/>
  <c r="KV95" i="93" s="1"/>
  <c r="KW95" i="93" s="1"/>
  <c r="KX95" i="93" s="1"/>
  <c r="KY95" i="93" s="1"/>
  <c r="KZ95" i="93" s="1"/>
  <c r="LA95" i="93" s="1"/>
  <c r="LB95" i="93" s="1"/>
  <c r="IM91" i="93"/>
  <c r="IM88" i="93"/>
  <c r="IM66" i="93"/>
  <c r="KS75" i="93"/>
  <c r="KT75" i="93" s="1"/>
  <c r="KU75" i="93" s="1"/>
  <c r="KV75" i="93" s="1"/>
  <c r="KW75" i="93" s="1"/>
  <c r="KX75" i="93" s="1"/>
  <c r="KY75" i="93" s="1"/>
  <c r="KZ75" i="93" s="1"/>
  <c r="LA75" i="93" s="1"/>
  <c r="LB75" i="93" s="1"/>
  <c r="IM78" i="93"/>
  <c r="IM90" i="93"/>
  <c r="KS68" i="93"/>
  <c r="IM77" i="93"/>
  <c r="KS113" i="93"/>
  <c r="KT113" i="93" s="1"/>
  <c r="KU113" i="93" s="1"/>
  <c r="KV113" i="93" s="1"/>
  <c r="KW113" i="93" s="1"/>
  <c r="KX113" i="93" s="1"/>
  <c r="KY113" i="93" s="1"/>
  <c r="KZ113" i="93" s="1"/>
  <c r="LA113" i="93" s="1"/>
  <c r="LB113" i="93" s="1"/>
  <c r="IM74" i="93"/>
  <c r="IM87" i="93"/>
  <c r="KS67" i="93"/>
  <c r="KS73" i="93"/>
  <c r="KT73" i="93" s="1"/>
  <c r="KU73" i="93" s="1"/>
  <c r="KV73" i="93" s="1"/>
  <c r="KW73" i="93" s="1"/>
  <c r="KX73" i="93" s="1"/>
  <c r="KY73" i="93" s="1"/>
  <c r="KZ73" i="93" s="1"/>
  <c r="LA73" i="93" s="1"/>
  <c r="LB73" i="93" s="1"/>
  <c r="KS94" i="93"/>
  <c r="KT94" i="93" s="1"/>
  <c r="KU94" i="93" s="1"/>
  <c r="KV94" i="93" s="1"/>
  <c r="KW94" i="93" s="1"/>
  <c r="KX94" i="93" s="1"/>
  <c r="KY94" i="93" s="1"/>
  <c r="KZ94" i="93" s="1"/>
  <c r="LA94" i="93" s="1"/>
  <c r="LB94" i="93" s="1"/>
  <c r="IM76" i="93"/>
  <c r="IM65" i="93"/>
  <c r="KA65" i="93" s="1"/>
  <c r="IM71" i="93"/>
  <c r="IM70" i="93"/>
  <c r="IM85" i="93"/>
  <c r="IM69" i="93"/>
  <c r="KS72" i="93"/>
  <c r="BC217" i="123" s="1"/>
  <c r="IM86" i="93"/>
  <c r="IM89" i="93"/>
  <c r="IM101" i="93"/>
  <c r="NB101" i="93" s="1"/>
  <c r="IM98" i="93"/>
  <c r="NB98" i="93" s="1"/>
  <c r="IM111" i="93"/>
  <c r="NB111" i="93" s="1"/>
  <c r="IM99" i="93"/>
  <c r="NB99" i="93" s="1"/>
  <c r="IM100" i="93"/>
  <c r="NB100" i="93" s="1"/>
  <c r="KS98" i="93"/>
  <c r="KT98" i="93" s="1"/>
  <c r="KU98" i="93" s="1"/>
  <c r="KV98" i="93" s="1"/>
  <c r="KW98" i="93" s="1"/>
  <c r="KX98" i="93" s="1"/>
  <c r="KY98" i="93" s="1"/>
  <c r="KZ98" i="93" s="1"/>
  <c r="LA98" i="93" s="1"/>
  <c r="LB98" i="93" s="1"/>
  <c r="KS100" i="93"/>
  <c r="KT100" i="93" s="1"/>
  <c r="KU100" i="93" s="1"/>
  <c r="KV100" i="93" s="1"/>
  <c r="KW100" i="93" s="1"/>
  <c r="KX100" i="93" s="1"/>
  <c r="KY100" i="93" s="1"/>
  <c r="KZ100" i="93" s="1"/>
  <c r="LA100" i="93" s="1"/>
  <c r="LB100" i="93" s="1"/>
  <c r="KS111" i="93"/>
  <c r="KT111" i="93" s="1"/>
  <c r="KU111" i="93" s="1"/>
  <c r="KV111" i="93" s="1"/>
  <c r="KW111" i="93" s="1"/>
  <c r="KX111" i="93" s="1"/>
  <c r="KY111" i="93" s="1"/>
  <c r="KZ111" i="93" s="1"/>
  <c r="LA111" i="93" s="1"/>
  <c r="LB111" i="93" s="1"/>
  <c r="KS101" i="93"/>
  <c r="KT101" i="93" s="1"/>
  <c r="KU101" i="93" s="1"/>
  <c r="KV101" i="93" s="1"/>
  <c r="KW101" i="93" s="1"/>
  <c r="KX101" i="93" s="1"/>
  <c r="KY101" i="93" s="1"/>
  <c r="KZ101" i="93" s="1"/>
  <c r="LA101" i="93" s="1"/>
  <c r="LB101" i="93" s="1"/>
  <c r="KS99" i="93"/>
  <c r="KT99" i="93" s="1"/>
  <c r="KU99" i="93" s="1"/>
  <c r="KV99" i="93" s="1"/>
  <c r="KW99" i="93" s="1"/>
  <c r="KX99" i="93" s="1"/>
  <c r="KY99" i="93" s="1"/>
  <c r="KZ99" i="93" s="1"/>
  <c r="LA99" i="93" s="1"/>
  <c r="LB99" i="93" s="1"/>
  <c r="BD229" i="123"/>
  <c r="BC229" i="123"/>
  <c r="GL124" i="123"/>
  <c r="HT168" i="1"/>
  <c r="HT18" i="1" s="1"/>
  <c r="KT70" i="93" l="1"/>
  <c r="DP45" i="1"/>
  <c r="DR45" i="1"/>
  <c r="KT72" i="93"/>
  <c r="DN45" i="1"/>
  <c r="KT68" i="93"/>
  <c r="KU68" i="93" s="1"/>
  <c r="KV68" i="93" s="1"/>
  <c r="KW68" i="93" s="1"/>
  <c r="KX68" i="93" s="1"/>
  <c r="KY68" i="93" s="1"/>
  <c r="KZ68" i="93" s="1"/>
  <c r="LA68" i="93" s="1"/>
  <c r="LB68" i="93" s="1"/>
  <c r="DL45" i="1"/>
  <c r="KT66" i="93"/>
  <c r="KU66" i="93" s="1"/>
  <c r="KV66" i="93" s="1"/>
  <c r="KW66" i="93" s="1"/>
  <c r="KX66" i="93" s="1"/>
  <c r="KY66" i="93" s="1"/>
  <c r="KZ66" i="93" s="1"/>
  <c r="LA66" i="93" s="1"/>
  <c r="LB66" i="93" s="1"/>
  <c r="DO45" i="1"/>
  <c r="KT69" i="93"/>
  <c r="KU69" i="93" s="1"/>
  <c r="KV69" i="93" s="1"/>
  <c r="KW69" i="93" s="1"/>
  <c r="KX69" i="93" s="1"/>
  <c r="KY69" i="93" s="1"/>
  <c r="KZ69" i="93" s="1"/>
  <c r="LA69" i="93" s="1"/>
  <c r="LB69" i="93" s="1"/>
  <c r="DQ45" i="1"/>
  <c r="KT71" i="93"/>
  <c r="DK45" i="1"/>
  <c r="KT65" i="93"/>
  <c r="BD227" i="123" s="1"/>
  <c r="DT45" i="1"/>
  <c r="KT74" i="93"/>
  <c r="KU74" i="93" s="1"/>
  <c r="KV74" i="93" s="1"/>
  <c r="KW74" i="93" s="1"/>
  <c r="KX74" i="93" s="1"/>
  <c r="KY74" i="93" s="1"/>
  <c r="KZ74" i="93" s="1"/>
  <c r="LA74" i="93" s="1"/>
  <c r="LB74" i="93" s="1"/>
  <c r="DM45" i="1"/>
  <c r="KT67" i="93"/>
  <c r="KU67" i="93" s="1"/>
  <c r="KV67" i="93" s="1"/>
  <c r="KW67" i="93" s="1"/>
  <c r="KX67" i="93" s="1"/>
  <c r="KY67" i="93" s="1"/>
  <c r="KZ67" i="93" s="1"/>
  <c r="LA67" i="93" s="1"/>
  <c r="LB67" i="93" s="1"/>
  <c r="BC215" i="123"/>
  <c r="DS45" i="1"/>
  <c r="BC227" i="123"/>
  <c r="BD230" i="123"/>
  <c r="BC230" i="123"/>
  <c r="BE229" i="123"/>
  <c r="GM124" i="123"/>
  <c r="BC203" i="123"/>
  <c r="BC195" i="123"/>
  <c r="HU168" i="1"/>
  <c r="HU18" i="1" s="1"/>
  <c r="KU70" i="93" l="1"/>
  <c r="DP46" i="1"/>
  <c r="KU71" i="93"/>
  <c r="BD216" i="123"/>
  <c r="KU72" i="93"/>
  <c r="BD217" i="123"/>
  <c r="DT47" i="1"/>
  <c r="DL46" i="1"/>
  <c r="DO47" i="1"/>
  <c r="DM46" i="1"/>
  <c r="KU65" i="93"/>
  <c r="DK46" i="1"/>
  <c r="DM47" i="1"/>
  <c r="DQ46" i="1"/>
  <c r="DT46" i="1"/>
  <c r="DM48" i="1"/>
  <c r="DL47" i="1"/>
  <c r="DO46" i="1"/>
  <c r="DO48" i="1"/>
  <c r="BD215" i="123"/>
  <c r="DS46" i="1"/>
  <c r="DN47" i="1"/>
  <c r="DN46" i="1"/>
  <c r="DR47" i="1"/>
  <c r="DR46" i="1"/>
  <c r="DT48" i="1"/>
  <c r="BF229" i="123"/>
  <c r="GN124" i="123"/>
  <c r="BD195" i="123"/>
  <c r="BD203" i="123"/>
  <c r="KV70" i="93" l="1"/>
  <c r="DP47" i="1"/>
  <c r="KV71" i="93"/>
  <c r="BE216" i="123"/>
  <c r="KV72" i="93"/>
  <c r="DR48" i="1" s="1"/>
  <c r="BE217" i="123"/>
  <c r="DQ47" i="1"/>
  <c r="KV65" i="93"/>
  <c r="DK47" i="1"/>
  <c r="DM49" i="1"/>
  <c r="DQ48" i="1"/>
  <c r="DL48" i="1"/>
  <c r="DO49" i="1"/>
  <c r="BF215" i="123"/>
  <c r="DS48" i="1"/>
  <c r="DN48" i="1"/>
  <c r="BE215" i="123"/>
  <c r="DS47" i="1"/>
  <c r="DT49" i="1"/>
  <c r="BF230" i="123"/>
  <c r="BE230" i="123"/>
  <c r="BE227" i="123"/>
  <c r="BG229" i="123"/>
  <c r="GO124" i="123"/>
  <c r="BE203" i="123"/>
  <c r="BE195" i="123"/>
  <c r="HV168" i="1"/>
  <c r="HV18" i="1" s="1"/>
  <c r="HW168" i="1"/>
  <c r="HW18" i="1" s="1"/>
  <c r="IY12" i="93"/>
  <c r="IY13" i="93"/>
  <c r="IY14" i="93"/>
  <c r="IY11" i="93"/>
  <c r="IY5" i="93"/>
  <c r="G7" i="97"/>
  <c r="G8" i="97" s="1"/>
  <c r="KW70" i="93" l="1"/>
  <c r="DP48" i="1"/>
  <c r="G24" i="98"/>
  <c r="KW72" i="93"/>
  <c r="BF217" i="123"/>
  <c r="KW71" i="93"/>
  <c r="DQ49" i="1" s="1"/>
  <c r="BF216" i="123"/>
  <c r="KW65" i="93"/>
  <c r="DK48" i="1"/>
  <c r="DM50" i="1"/>
  <c r="X98" i="97"/>
  <c r="CP32" i="98"/>
  <c r="EE11" i="123" s="1"/>
  <c r="DL49" i="1"/>
  <c r="DO50" i="1"/>
  <c r="DR49" i="1"/>
  <c r="DN49" i="1"/>
  <c r="BG215" i="123"/>
  <c r="DS49" i="1"/>
  <c r="EG12" i="98"/>
  <c r="EG11" i="98" s="1"/>
  <c r="AT54" i="98" s="1"/>
  <c r="DP54" i="98" s="1"/>
  <c r="DO54" i="98" s="1"/>
  <c r="J27" i="115" s="1"/>
  <c r="V2" i="136"/>
  <c r="DT50" i="1"/>
  <c r="DL50" i="1"/>
  <c r="DM51" i="1"/>
  <c r="HG57" i="93"/>
  <c r="HI11" i="93"/>
  <c r="DH29" i="1"/>
  <c r="AO127" i="123"/>
  <c r="K15" i="71"/>
  <c r="I13" i="71"/>
  <c r="W13" i="97"/>
  <c r="W16" i="97"/>
  <c r="W15" i="97"/>
  <c r="W14" i="97"/>
  <c r="BF227" i="123"/>
  <c r="BG227" i="123"/>
  <c r="BH229" i="123"/>
  <c r="BG230" i="123"/>
  <c r="T86" i="97"/>
  <c r="K13" i="71"/>
  <c r="R84" i="97"/>
  <c r="GP124" i="123"/>
  <c r="W86" i="97"/>
  <c r="Q51" i="93"/>
  <c r="BF195" i="123"/>
  <c r="BF203" i="123"/>
  <c r="HX168" i="1"/>
  <c r="HX18" i="1" s="1"/>
  <c r="S88" i="97"/>
  <c r="X90" i="97"/>
  <c r="X94" i="97"/>
  <c r="X88" i="97"/>
  <c r="IX4" i="93"/>
  <c r="S94" i="97"/>
  <c r="S92" i="97"/>
  <c r="X92" i="97"/>
  <c r="X96" i="97"/>
  <c r="S90" i="97"/>
  <c r="KX70" i="93" l="1"/>
  <c r="DP49" i="1"/>
  <c r="AO221" i="123"/>
  <c r="W221" i="123" s="1"/>
  <c r="AO213" i="123"/>
  <c r="W213" i="123" s="1"/>
  <c r="KX71" i="93"/>
  <c r="BG216" i="123"/>
  <c r="KX72" i="93"/>
  <c r="DR50" i="1" s="1"/>
  <c r="BG217" i="123"/>
  <c r="AO218" i="123"/>
  <c r="W218" i="123" s="1"/>
  <c r="AO219" i="123"/>
  <c r="W219" i="123" s="1"/>
  <c r="AO222" i="123"/>
  <c r="W222" i="123" s="1"/>
  <c r="G61" i="98" s="1"/>
  <c r="AO220" i="123"/>
  <c r="W220" i="123" s="1"/>
  <c r="AO223" i="123"/>
  <c r="W223" i="123" s="1"/>
  <c r="KX65" i="93"/>
  <c r="DK49" i="1"/>
  <c r="DO51" i="1"/>
  <c r="DN50" i="1"/>
  <c r="AO214" i="123"/>
  <c r="W214" i="123" s="1"/>
  <c r="BH215" i="123"/>
  <c r="DS50" i="1"/>
  <c r="AO212" i="123"/>
  <c r="AO210" i="123"/>
  <c r="W210" i="123" s="1"/>
  <c r="AO211" i="123"/>
  <c r="W211" i="123" s="1"/>
  <c r="G56" i="98" s="1"/>
  <c r="AO224" i="123"/>
  <c r="IX2" i="93"/>
  <c r="AT47" i="98"/>
  <c r="DP47" i="98" s="1"/>
  <c r="DO47" i="98" s="1"/>
  <c r="J20" i="115" s="1"/>
  <c r="AT42" i="98"/>
  <c r="DP42" i="98" s="1"/>
  <c r="DO42" i="98" s="1"/>
  <c r="J15" i="115" s="1"/>
  <c r="AT41" i="98"/>
  <c r="DP41" i="98" s="1"/>
  <c r="DO41" i="98" s="1"/>
  <c r="J14" i="115" s="1"/>
  <c r="AT40" i="98"/>
  <c r="DP40" i="98" s="1"/>
  <c r="DO40" i="98" s="1"/>
  <c r="J13" i="115" s="1"/>
  <c r="AT38" i="98"/>
  <c r="DP38" i="98" s="1"/>
  <c r="DO38" i="98" s="1"/>
  <c r="J11" i="115" s="1"/>
  <c r="AT53" i="98"/>
  <c r="DP53" i="98" s="1"/>
  <c r="DO53" i="98" s="1"/>
  <c r="J26" i="115" s="1"/>
  <c r="AT37" i="98"/>
  <c r="DP37" i="98" s="1"/>
  <c r="DO37" i="98" s="1"/>
  <c r="J10" i="115" s="1"/>
  <c r="AT29" i="98"/>
  <c r="DP29" i="98" s="1"/>
  <c r="DO29" i="98" s="1"/>
  <c r="J2" i="115" s="1"/>
  <c r="AT50" i="98"/>
  <c r="DP50" i="98" s="1"/>
  <c r="DO50" i="98" s="1"/>
  <c r="J23" i="115" s="1"/>
  <c r="AT49" i="98"/>
  <c r="DP49" i="98" s="1"/>
  <c r="DO49" i="98" s="1"/>
  <c r="J22" i="115" s="1"/>
  <c r="AT48" i="98"/>
  <c r="DP48" i="98" s="1"/>
  <c r="DO48" i="98" s="1"/>
  <c r="J21" i="115" s="1"/>
  <c r="AT43" i="98"/>
  <c r="DP43" i="98" s="1"/>
  <c r="DO43" i="98" s="1"/>
  <c r="J16" i="115" s="1"/>
  <c r="AT39" i="98"/>
  <c r="DP39" i="98" s="1"/>
  <c r="DO39" i="98" s="1"/>
  <c r="J12" i="115" s="1"/>
  <c r="AT51" i="98"/>
  <c r="DP51" i="98" s="1"/>
  <c r="DO51" i="98" s="1"/>
  <c r="J24" i="115" s="1"/>
  <c r="AT46" i="98"/>
  <c r="DP46" i="98" s="1"/>
  <c r="DO46" i="98" s="1"/>
  <c r="J19" i="115" s="1"/>
  <c r="AT45" i="98"/>
  <c r="DP45" i="98" s="1"/>
  <c r="DO45" i="98" s="1"/>
  <c r="J18" i="115" s="1"/>
  <c r="AT44" i="98"/>
  <c r="DP44" i="98" s="1"/>
  <c r="DO44" i="98" s="1"/>
  <c r="J17" i="115" s="1"/>
  <c r="DP29" i="1"/>
  <c r="ES29" i="1"/>
  <c r="DL51" i="1"/>
  <c r="DM52" i="1"/>
  <c r="DT51" i="1"/>
  <c r="AO231" i="123"/>
  <c r="AO189" i="123"/>
  <c r="AO193" i="123"/>
  <c r="AO197" i="123"/>
  <c r="AO201" i="123"/>
  <c r="W201" i="123" s="1"/>
  <c r="AO209" i="123"/>
  <c r="AO225" i="123"/>
  <c r="W225" i="123" s="1"/>
  <c r="AO238" i="123"/>
  <c r="AO242" i="123"/>
  <c r="AO246" i="123"/>
  <c r="AO250" i="123"/>
  <c r="AO254" i="123"/>
  <c r="AO258" i="123"/>
  <c r="AO262" i="123"/>
  <c r="AO266" i="123"/>
  <c r="AO270" i="123"/>
  <c r="AO274" i="123"/>
  <c r="AO278" i="123"/>
  <c r="AO282" i="123"/>
  <c r="AO286" i="123"/>
  <c r="AO290" i="123"/>
  <c r="AO294" i="123"/>
  <c r="AO298" i="123"/>
  <c r="AO302" i="123"/>
  <c r="AO130" i="123"/>
  <c r="W130" i="123" s="1"/>
  <c r="AO134" i="123"/>
  <c r="AO154" i="123"/>
  <c r="AO174" i="123"/>
  <c r="AO182" i="123"/>
  <c r="AO190" i="123"/>
  <c r="W190" i="123" s="1"/>
  <c r="AO194" i="123"/>
  <c r="AO198" i="123"/>
  <c r="AO192" i="123"/>
  <c r="AO200" i="123"/>
  <c r="AO206" i="123"/>
  <c r="AO240" i="123"/>
  <c r="AO245" i="123"/>
  <c r="AO251" i="123"/>
  <c r="AO256" i="123"/>
  <c r="AO261" i="123"/>
  <c r="AO267" i="123"/>
  <c r="AO272" i="123"/>
  <c r="AO277" i="123"/>
  <c r="AO283" i="123"/>
  <c r="AO288" i="123"/>
  <c r="AO293" i="123"/>
  <c r="AO299" i="123"/>
  <c r="AO304" i="123"/>
  <c r="AO289" i="123"/>
  <c r="AO300" i="123"/>
  <c r="AO196" i="123"/>
  <c r="AO208" i="123"/>
  <c r="AO232" i="123"/>
  <c r="W232" i="123" s="1"/>
  <c r="AO237" i="123"/>
  <c r="AO248" i="123"/>
  <c r="AO259" i="123"/>
  <c r="AO269" i="123"/>
  <c r="AO280" i="123"/>
  <c r="AO291" i="123"/>
  <c r="AO301" i="123"/>
  <c r="AO135" i="123"/>
  <c r="W135" i="123" s="1"/>
  <c r="AO183" i="123"/>
  <c r="W183" i="123" s="1"/>
  <c r="AO199" i="123"/>
  <c r="AO244" i="123"/>
  <c r="AO255" i="123"/>
  <c r="AO265" i="123"/>
  <c r="AO276" i="123"/>
  <c r="AO281" i="123"/>
  <c r="AO287" i="123"/>
  <c r="AO297" i="123"/>
  <c r="AO155" i="123"/>
  <c r="W155" i="123" s="1"/>
  <c r="AO195" i="123"/>
  <c r="W195" i="123" s="1"/>
  <c r="AO202" i="123"/>
  <c r="AO207" i="123"/>
  <c r="W207" i="123" s="1"/>
  <c r="AO236" i="123"/>
  <c r="AO241" i="123"/>
  <c r="AO247" i="123"/>
  <c r="AO252" i="123"/>
  <c r="AO257" i="123"/>
  <c r="AO263" i="123"/>
  <c r="AO268" i="123"/>
  <c r="AO273" i="123"/>
  <c r="AO279" i="123"/>
  <c r="AO284" i="123"/>
  <c r="AO295" i="123"/>
  <c r="AO129" i="123"/>
  <c r="AO203" i="123"/>
  <c r="AO226" i="123"/>
  <c r="W226" i="123" s="1"/>
  <c r="AO243" i="123"/>
  <c r="AO253" i="123"/>
  <c r="AO264" i="123"/>
  <c r="AO275" i="123"/>
  <c r="AO285" i="123"/>
  <c r="AO296" i="123"/>
  <c r="AO175" i="123"/>
  <c r="W175" i="123" s="1"/>
  <c r="AO191" i="123"/>
  <c r="W191" i="123" s="1"/>
  <c r="AO204" i="123"/>
  <c r="W204" i="123" s="1"/>
  <c r="AO239" i="123"/>
  <c r="AO249" i="123"/>
  <c r="AO260" i="123"/>
  <c r="AO271" i="123"/>
  <c r="AO292" i="123"/>
  <c r="AO303" i="123"/>
  <c r="JP62" i="93"/>
  <c r="JQ62" i="93"/>
  <c r="G42" i="98"/>
  <c r="G46" i="98"/>
  <c r="G66" i="98"/>
  <c r="G70" i="98"/>
  <c r="G74" i="98"/>
  <c r="G78" i="98"/>
  <c r="G82" i="98"/>
  <c r="G86" i="98"/>
  <c r="G90" i="98"/>
  <c r="G94" i="98"/>
  <c r="G43" i="98"/>
  <c r="G63" i="98"/>
  <c r="G71" i="98"/>
  <c r="G79" i="98"/>
  <c r="G87" i="98"/>
  <c r="G48" i="98"/>
  <c r="G64" i="98"/>
  <c r="G72" i="98"/>
  <c r="G80" i="98"/>
  <c r="G88" i="98"/>
  <c r="G92" i="98"/>
  <c r="G45" i="98"/>
  <c r="G57" i="98"/>
  <c r="G65" i="98"/>
  <c r="G69" i="98"/>
  <c r="G73" i="98"/>
  <c r="G77" i="98"/>
  <c r="G81" i="98"/>
  <c r="G85" i="98"/>
  <c r="G89" i="98"/>
  <c r="G93" i="98"/>
  <c r="G47" i="98"/>
  <c r="G67" i="98"/>
  <c r="G75" i="98"/>
  <c r="G83" i="98"/>
  <c r="G91" i="98"/>
  <c r="G44" i="98"/>
  <c r="G68" i="98"/>
  <c r="G76" i="98"/>
  <c r="G84" i="98"/>
  <c r="R24" i="98"/>
  <c r="FF50" i="93"/>
  <c r="BI229" i="123"/>
  <c r="BH230" i="123"/>
  <c r="BH227" i="123"/>
  <c r="JQ58" i="93"/>
  <c r="JQ4" i="93"/>
  <c r="JG62" i="93"/>
  <c r="JJ4" i="93"/>
  <c r="JL62" i="93" s="1"/>
  <c r="JF4" i="93"/>
  <c r="JK4" i="93"/>
  <c r="JL4" i="93"/>
  <c r="JN62" i="93"/>
  <c r="JN4" i="93"/>
  <c r="JP4" i="93"/>
  <c r="JG4" i="93"/>
  <c r="GQ124" i="123"/>
  <c r="BG203" i="123"/>
  <c r="BG195" i="123"/>
  <c r="C29" i="128"/>
  <c r="IR5" i="93"/>
  <c r="IR4" i="93"/>
  <c r="FD74" i="93" s="1"/>
  <c r="IR6" i="93"/>
  <c r="JH4" i="93"/>
  <c r="JF62" i="93"/>
  <c r="FJ52" i="93"/>
  <c r="JH62" i="93"/>
  <c r="KY70" i="93" l="1"/>
  <c r="DP50" i="1"/>
  <c r="FF74" i="93"/>
  <c r="KY72" i="93"/>
  <c r="DR51" i="1" s="1"/>
  <c r="BH217" i="123"/>
  <c r="KY71" i="93"/>
  <c r="BH216" i="123"/>
  <c r="DQ50" i="1"/>
  <c r="KY65" i="93"/>
  <c r="BI227" i="123" s="1"/>
  <c r="DK50" i="1"/>
  <c r="DO52" i="1"/>
  <c r="W129" i="123"/>
  <c r="FF88" i="93"/>
  <c r="FF96" i="93"/>
  <c r="FF113" i="93"/>
  <c r="FF98" i="93"/>
  <c r="JF98" i="93" s="1"/>
  <c r="FF83" i="93"/>
  <c r="FF78" i="93"/>
  <c r="FF97" i="93"/>
  <c r="JF97" i="93" s="1"/>
  <c r="FF102" i="93"/>
  <c r="JF102" i="93" s="1"/>
  <c r="FF112" i="93"/>
  <c r="FF100" i="93"/>
  <c r="JF100" i="93" s="1"/>
  <c r="FF76" i="93"/>
  <c r="FF107" i="93"/>
  <c r="JF107" i="93" s="1"/>
  <c r="FF70" i="93"/>
  <c r="FF111" i="93"/>
  <c r="JF111" i="93" s="1"/>
  <c r="FF75" i="93"/>
  <c r="FF77" i="93"/>
  <c r="FF72" i="93"/>
  <c r="FF108" i="93"/>
  <c r="JF108" i="93" s="1"/>
  <c r="FF94" i="93"/>
  <c r="FF66" i="93"/>
  <c r="FF101" i="93"/>
  <c r="JF101" i="93" s="1"/>
  <c r="FF86" i="93"/>
  <c r="FF104" i="93"/>
  <c r="JF104" i="93" s="1"/>
  <c r="FF92" i="93"/>
  <c r="FF64" i="93"/>
  <c r="FF106" i="93"/>
  <c r="JF106" i="93" s="1"/>
  <c r="FF67" i="93"/>
  <c r="FF105" i="93"/>
  <c r="JF105" i="93" s="1"/>
  <c r="FF103" i="93"/>
  <c r="JF103" i="93" s="1"/>
  <c r="FF68" i="93"/>
  <c r="FF99" i="93"/>
  <c r="JF99" i="93" s="1"/>
  <c r="FF71" i="93"/>
  <c r="FF87" i="93"/>
  <c r="FF73" i="93"/>
  <c r="FF110" i="93"/>
  <c r="JF110" i="93" s="1"/>
  <c r="FF81" i="93"/>
  <c r="FF109" i="93"/>
  <c r="JF109" i="93" s="1"/>
  <c r="FF93" i="93"/>
  <c r="FF95" i="93"/>
  <c r="FF84" i="93"/>
  <c r="FF65" i="93"/>
  <c r="FF91" i="93"/>
  <c r="FF80" i="93"/>
  <c r="FF79" i="93"/>
  <c r="FF69" i="93"/>
  <c r="DN51" i="1"/>
  <c r="BI215" i="123"/>
  <c r="DS51" i="1"/>
  <c r="FH65" i="93"/>
  <c r="JG65" i="93" s="1"/>
  <c r="FH69" i="93"/>
  <c r="JG69" i="93" s="1"/>
  <c r="FH73" i="93"/>
  <c r="JG73" i="93" s="1"/>
  <c r="FH77" i="93"/>
  <c r="JG77" i="93" s="1"/>
  <c r="FH81" i="93"/>
  <c r="JG81" i="93" s="1"/>
  <c r="FH85" i="93"/>
  <c r="JG85" i="93" s="1"/>
  <c r="FH89" i="93"/>
  <c r="JG89" i="93" s="1"/>
  <c r="FH93" i="93"/>
  <c r="JG93" i="93" s="1"/>
  <c r="FH97" i="93"/>
  <c r="JG97" i="93" s="1"/>
  <c r="FH101" i="93"/>
  <c r="JG101" i="93" s="1"/>
  <c r="FH105" i="93"/>
  <c r="JG105" i="93" s="1"/>
  <c r="FH109" i="93"/>
  <c r="JG109" i="93" s="1"/>
  <c r="FH113" i="93"/>
  <c r="JG113" i="93" s="1"/>
  <c r="FH71" i="93"/>
  <c r="JG71" i="93" s="1"/>
  <c r="FH79" i="93"/>
  <c r="JG79" i="93" s="1"/>
  <c r="FH87" i="93"/>
  <c r="JG87" i="93" s="1"/>
  <c r="FH95" i="93"/>
  <c r="JG95" i="93" s="1"/>
  <c r="FH103" i="93"/>
  <c r="JG103" i="93" s="1"/>
  <c r="FH111" i="93"/>
  <c r="JG111" i="93" s="1"/>
  <c r="FH72" i="93"/>
  <c r="JG72" i="93" s="1"/>
  <c r="FH84" i="93"/>
  <c r="JG84" i="93" s="1"/>
  <c r="FH92" i="93"/>
  <c r="JG92" i="93" s="1"/>
  <c r="FH96" i="93"/>
  <c r="JG96" i="93" s="1"/>
  <c r="FH104" i="93"/>
  <c r="JG104" i="93" s="1"/>
  <c r="FH112" i="93"/>
  <c r="JG112" i="93" s="1"/>
  <c r="FH66" i="93"/>
  <c r="JG66" i="93" s="1"/>
  <c r="FH70" i="93"/>
  <c r="JG70" i="93" s="1"/>
  <c r="FH74" i="93"/>
  <c r="JG74" i="93" s="1"/>
  <c r="FH78" i="93"/>
  <c r="JG78" i="93" s="1"/>
  <c r="FH82" i="93"/>
  <c r="JG82" i="93" s="1"/>
  <c r="FH86" i="93"/>
  <c r="JG86" i="93" s="1"/>
  <c r="FH90" i="93"/>
  <c r="JG90" i="93" s="1"/>
  <c r="FH94" i="93"/>
  <c r="JG94" i="93" s="1"/>
  <c r="FH98" i="93"/>
  <c r="JG98" i="93" s="1"/>
  <c r="FH102" i="93"/>
  <c r="JG102" i="93" s="1"/>
  <c r="FH106" i="93"/>
  <c r="JG106" i="93" s="1"/>
  <c r="FH110" i="93"/>
  <c r="JG110" i="93" s="1"/>
  <c r="FH64" i="93"/>
  <c r="JG64" i="93" s="1"/>
  <c r="FH67" i="93"/>
  <c r="JG67" i="93" s="1"/>
  <c r="FH75" i="93"/>
  <c r="JG75" i="93" s="1"/>
  <c r="FH83" i="93"/>
  <c r="JG83" i="93" s="1"/>
  <c r="FH91" i="93"/>
  <c r="JG91" i="93" s="1"/>
  <c r="FH99" i="93"/>
  <c r="JG99" i="93" s="1"/>
  <c r="FH107" i="93"/>
  <c r="JG107" i="93" s="1"/>
  <c r="FH68" i="93"/>
  <c r="JG68" i="93" s="1"/>
  <c r="FH76" i="93"/>
  <c r="JG76" i="93" s="1"/>
  <c r="FH80" i="93"/>
  <c r="JG80" i="93" s="1"/>
  <c r="FH88" i="93"/>
  <c r="JG88" i="93" s="1"/>
  <c r="FH100" i="93"/>
  <c r="JG100" i="93" s="1"/>
  <c r="FH108" i="93"/>
  <c r="JG108" i="93" s="1"/>
  <c r="FD82" i="93"/>
  <c r="FF82" i="93" s="1"/>
  <c r="FD85" i="93"/>
  <c r="FF85" i="93" s="1"/>
  <c r="FD90" i="93"/>
  <c r="FF90" i="93" s="1"/>
  <c r="FD89" i="93"/>
  <c r="FF89" i="93" s="1"/>
  <c r="GX99" i="93"/>
  <c r="GW68" i="93"/>
  <c r="GW84" i="93"/>
  <c r="GW100" i="93"/>
  <c r="GW66" i="93"/>
  <c r="GW87" i="93"/>
  <c r="GW109" i="93"/>
  <c r="GW78" i="93"/>
  <c r="GW99" i="93"/>
  <c r="GW74" i="93"/>
  <c r="GW95" i="93"/>
  <c r="GW65" i="93"/>
  <c r="GW86" i="93"/>
  <c r="GW107" i="93"/>
  <c r="GW72" i="93"/>
  <c r="GW88" i="93"/>
  <c r="GW104" i="93"/>
  <c r="GW71" i="93"/>
  <c r="GW93" i="93"/>
  <c r="GW64" i="93"/>
  <c r="GW83" i="93"/>
  <c r="GW105" i="93"/>
  <c r="GW79" i="93"/>
  <c r="GW70" i="93"/>
  <c r="GW113" i="93"/>
  <c r="GW76" i="93"/>
  <c r="GW92" i="93"/>
  <c r="GW108" i="93"/>
  <c r="GW77" i="93"/>
  <c r="GW98" i="93"/>
  <c r="GW67" i="93"/>
  <c r="GW89" i="93"/>
  <c r="GW110" i="93"/>
  <c r="GW85" i="93"/>
  <c r="GW106" i="93"/>
  <c r="GW75" i="93"/>
  <c r="GW97" i="93"/>
  <c r="GW80" i="93"/>
  <c r="GW96" i="93"/>
  <c r="GW112" i="93"/>
  <c r="GW82" i="93"/>
  <c r="GW103" i="93"/>
  <c r="GW73" i="93"/>
  <c r="GW94" i="93"/>
  <c r="GW69" i="93"/>
  <c r="GW90" i="93"/>
  <c r="GW111" i="93"/>
  <c r="GW81" i="93"/>
  <c r="GW102" i="93"/>
  <c r="GW101" i="93"/>
  <c r="GW91" i="93"/>
  <c r="DT52" i="1"/>
  <c r="DL52" i="1"/>
  <c r="DM53" i="1"/>
  <c r="DO53" i="1"/>
  <c r="BI230" i="123"/>
  <c r="BJ229" i="123"/>
  <c r="GE32" i="98"/>
  <c r="GR124" i="123"/>
  <c r="FH52" i="93"/>
  <c r="FG52" i="93"/>
  <c r="FE52" i="93"/>
  <c r="FD52" i="93"/>
  <c r="FG67" i="93"/>
  <c r="JH67" i="93" s="1"/>
  <c r="FG71" i="93"/>
  <c r="JH71" i="93" s="1"/>
  <c r="AO216" i="123" s="1"/>
  <c r="FG75" i="93"/>
  <c r="JH75" i="93" s="1"/>
  <c r="FG79" i="93"/>
  <c r="JH79" i="93" s="1"/>
  <c r="FG83" i="93"/>
  <c r="JH83" i="93" s="1"/>
  <c r="FG87" i="93"/>
  <c r="JH87" i="93" s="1"/>
  <c r="FG91" i="93"/>
  <c r="JH91" i="93" s="1"/>
  <c r="FG95" i="93"/>
  <c r="JH95" i="93" s="1"/>
  <c r="FG99" i="93"/>
  <c r="JH99" i="93" s="1"/>
  <c r="FG103" i="93"/>
  <c r="JH103" i="93" s="1"/>
  <c r="FG107" i="93"/>
  <c r="JH107" i="93" s="1"/>
  <c r="FG111" i="93"/>
  <c r="JH111" i="93" s="1"/>
  <c r="FG68" i="93"/>
  <c r="JH68" i="93" s="1"/>
  <c r="FG72" i="93"/>
  <c r="JH72" i="93" s="1"/>
  <c r="AO217" i="123" s="1"/>
  <c r="FG76" i="93"/>
  <c r="JH76" i="93" s="1"/>
  <c r="FG80" i="93"/>
  <c r="JH80" i="93" s="1"/>
  <c r="FG84" i="93"/>
  <c r="JH84" i="93" s="1"/>
  <c r="FG88" i="93"/>
  <c r="JH88" i="93" s="1"/>
  <c r="FG92" i="93"/>
  <c r="JH92" i="93" s="1"/>
  <c r="FG96" i="93"/>
  <c r="JH96" i="93" s="1"/>
  <c r="FG100" i="93"/>
  <c r="JH100" i="93" s="1"/>
  <c r="FG104" i="93"/>
  <c r="JH104" i="93" s="1"/>
  <c r="FG108" i="93"/>
  <c r="JH108" i="93" s="1"/>
  <c r="FG112" i="93"/>
  <c r="JH112" i="93" s="1"/>
  <c r="FG65" i="93"/>
  <c r="JH65" i="93" s="1"/>
  <c r="FG69" i="93"/>
  <c r="JH69" i="93" s="1"/>
  <c r="FG73" i="93"/>
  <c r="JH73" i="93" s="1"/>
  <c r="FG77" i="93"/>
  <c r="JH77" i="93" s="1"/>
  <c r="FG81" i="93"/>
  <c r="JH81" i="93" s="1"/>
  <c r="FG85" i="93"/>
  <c r="JH85" i="93" s="1"/>
  <c r="FG89" i="93"/>
  <c r="JH89" i="93" s="1"/>
  <c r="FG93" i="93"/>
  <c r="JH93" i="93" s="1"/>
  <c r="FG97" i="93"/>
  <c r="JH97" i="93" s="1"/>
  <c r="FG101" i="93"/>
  <c r="JH101" i="93" s="1"/>
  <c r="FG105" i="93"/>
  <c r="JH105" i="93" s="1"/>
  <c r="FG109" i="93"/>
  <c r="JH109" i="93" s="1"/>
  <c r="FG113" i="93"/>
  <c r="JH113" i="93" s="1"/>
  <c r="FG66" i="93"/>
  <c r="JH66" i="93" s="1"/>
  <c r="FG70" i="93"/>
  <c r="JH70" i="93" s="1"/>
  <c r="FG74" i="93"/>
  <c r="JH74" i="93" s="1"/>
  <c r="FG78" i="93"/>
  <c r="JH78" i="93" s="1"/>
  <c r="FG82" i="93"/>
  <c r="JH82" i="93" s="1"/>
  <c r="FG86" i="93"/>
  <c r="JH86" i="93" s="1"/>
  <c r="FG90" i="93"/>
  <c r="JH90" i="93" s="1"/>
  <c r="FG94" i="93"/>
  <c r="JH94" i="93" s="1"/>
  <c r="FG98" i="93"/>
  <c r="JH98" i="93" s="1"/>
  <c r="FG102" i="93"/>
  <c r="JH102" i="93" s="1"/>
  <c r="FG106" i="93"/>
  <c r="JH106" i="93" s="1"/>
  <c r="FG110" i="93"/>
  <c r="JH110" i="93" s="1"/>
  <c r="FG64" i="93"/>
  <c r="JH64" i="93" s="1"/>
  <c r="A29" i="128"/>
  <c r="B29" i="128"/>
  <c r="BH195" i="123"/>
  <c r="BH203" i="123"/>
  <c r="HY168" i="1"/>
  <c r="HY18" i="1" s="1"/>
  <c r="KZ70" i="93" l="1"/>
  <c r="DP51" i="1"/>
  <c r="KZ71" i="93"/>
  <c r="BI216" i="123"/>
  <c r="DQ51" i="1"/>
  <c r="KZ72" i="93"/>
  <c r="BI217" i="123"/>
  <c r="FJ108" i="93"/>
  <c r="FJ100" i="93"/>
  <c r="FJ109" i="93"/>
  <c r="FJ103" i="93"/>
  <c r="KZ65" i="93"/>
  <c r="BJ227" i="123" s="1"/>
  <c r="DK51" i="1"/>
  <c r="FJ101" i="93"/>
  <c r="FJ105" i="93"/>
  <c r="FJ107" i="93"/>
  <c r="FJ102" i="93"/>
  <c r="FJ110" i="93"/>
  <c r="FJ104" i="93"/>
  <c r="FJ97" i="93"/>
  <c r="FP98" i="93"/>
  <c r="FQ98" i="93" s="1"/>
  <c r="FJ98" i="93"/>
  <c r="FP99" i="93"/>
  <c r="FQ99" i="93" s="1"/>
  <c r="FJ99" i="93"/>
  <c r="FP111" i="93"/>
  <c r="FQ111" i="93" s="1"/>
  <c r="FJ111" i="93"/>
  <c r="FP106" i="93"/>
  <c r="FQ106" i="93" s="1"/>
  <c r="FJ106" i="93"/>
  <c r="DN52" i="1"/>
  <c r="DT29" i="1"/>
  <c r="DL29" i="1"/>
  <c r="DO29" i="1"/>
  <c r="DR29" i="1"/>
  <c r="DQ29" i="1"/>
  <c r="FP97" i="93"/>
  <c r="DK29" i="1"/>
  <c r="DN29" i="1"/>
  <c r="DM29" i="1"/>
  <c r="FP109" i="93"/>
  <c r="FQ109" i="93" s="1"/>
  <c r="DS29" i="1"/>
  <c r="AO215" i="123"/>
  <c r="BJ215" i="123"/>
  <c r="DS52" i="1"/>
  <c r="FP101" i="93"/>
  <c r="FQ101" i="93" s="1"/>
  <c r="FP103" i="93"/>
  <c r="FQ103" i="93" s="1"/>
  <c r="FP100" i="93"/>
  <c r="FQ100" i="93" s="1"/>
  <c r="FP104" i="93"/>
  <c r="FQ104" i="93" s="1"/>
  <c r="FP107" i="93"/>
  <c r="FQ107" i="93" s="1"/>
  <c r="FP102" i="93"/>
  <c r="FQ102" i="93" s="1"/>
  <c r="FP108" i="93"/>
  <c r="FQ108" i="93" s="1"/>
  <c r="FP110" i="93"/>
  <c r="FQ110" i="93" s="1"/>
  <c r="FP105" i="93"/>
  <c r="FQ105" i="93" s="1"/>
  <c r="DM54" i="1"/>
  <c r="DL53" i="1"/>
  <c r="DN53" i="1"/>
  <c r="DT53" i="1"/>
  <c r="DO54" i="1"/>
  <c r="AO131" i="123"/>
  <c r="AO166" i="123"/>
  <c r="AO146" i="123"/>
  <c r="AO235" i="123"/>
  <c r="AO178" i="123"/>
  <c r="AO156" i="123"/>
  <c r="AO179" i="123"/>
  <c r="AO136" i="123"/>
  <c r="AO186" i="123"/>
  <c r="AO145" i="123"/>
  <c r="AO234" i="123"/>
  <c r="AO165" i="123"/>
  <c r="AO177" i="123"/>
  <c r="AO185" i="123"/>
  <c r="AO205" i="123"/>
  <c r="AO171" i="123"/>
  <c r="AO151" i="123"/>
  <c r="AO230" i="123"/>
  <c r="AO159" i="123"/>
  <c r="AO139" i="123"/>
  <c r="AO153" i="123"/>
  <c r="AO173" i="123"/>
  <c r="AO161" i="123"/>
  <c r="AO141" i="123"/>
  <c r="AO144" i="123"/>
  <c r="AO229" i="123"/>
  <c r="AO164" i="123"/>
  <c r="AO143" i="123"/>
  <c r="AO228" i="123"/>
  <c r="AO163" i="123"/>
  <c r="AO147" i="123"/>
  <c r="AO167" i="123"/>
  <c r="AO157" i="123"/>
  <c r="AO180" i="123"/>
  <c r="AO187" i="123"/>
  <c r="AO137" i="123"/>
  <c r="AO149" i="123"/>
  <c r="AO169" i="123"/>
  <c r="AO142" i="123"/>
  <c r="AO162" i="123"/>
  <c r="AO188" i="123"/>
  <c r="AO176" i="123"/>
  <c r="AO233" i="123"/>
  <c r="AO184" i="123"/>
  <c r="AO227" i="123"/>
  <c r="AO132" i="123"/>
  <c r="AO133" i="123"/>
  <c r="AO148" i="123"/>
  <c r="AO168" i="123"/>
  <c r="AO150" i="123"/>
  <c r="AO170" i="123"/>
  <c r="AO158" i="123"/>
  <c r="AO181" i="123"/>
  <c r="AO138" i="123"/>
  <c r="AO172" i="123"/>
  <c r="AO152" i="123"/>
  <c r="AO160" i="123"/>
  <c r="AO140" i="123"/>
  <c r="BK229" i="123"/>
  <c r="BJ230" i="123"/>
  <c r="GS124" i="123"/>
  <c r="BI195" i="123"/>
  <c r="BI203" i="123"/>
  <c r="JK62" i="93"/>
  <c r="JJ62" i="93"/>
  <c r="HZ168" i="1"/>
  <c r="HZ18" i="1" s="1"/>
  <c r="IA168" i="1"/>
  <c r="IA18" i="1" s="1"/>
  <c r="EM27" i="98"/>
  <c r="I86" i="97"/>
  <c r="LA70" i="93" l="1"/>
  <c r="DP52" i="1"/>
  <c r="LA72" i="93"/>
  <c r="BJ217" i="123"/>
  <c r="DR52" i="1"/>
  <c r="LA71" i="93"/>
  <c r="BJ216" i="123"/>
  <c r="DQ52" i="1"/>
  <c r="LA65" i="93"/>
  <c r="BK227" i="123" s="1"/>
  <c r="DK52" i="1"/>
  <c r="BK215" i="123"/>
  <c r="DS53" i="1"/>
  <c r="DN54" i="1"/>
  <c r="DT54" i="1"/>
  <c r="DL54" i="1"/>
  <c r="BL229" i="123"/>
  <c r="BK230" i="123"/>
  <c r="GT124" i="123"/>
  <c r="BJ203" i="123"/>
  <c r="BJ195" i="123"/>
  <c r="IB168" i="1"/>
  <c r="IB18" i="1" s="1"/>
  <c r="U66" i="97"/>
  <c r="EL50" i="93" s="1"/>
  <c r="EL51" i="93" s="1"/>
  <c r="I70" i="97"/>
  <c r="ER49" i="93" s="1"/>
  <c r="I68" i="97"/>
  <c r="EQ49" i="93" s="1"/>
  <c r="LB70" i="93" l="1"/>
  <c r="DP54" i="1" s="1"/>
  <c r="DP53" i="1"/>
  <c r="LB71" i="93"/>
  <c r="BK216" i="123"/>
  <c r="DQ53" i="1"/>
  <c r="LB72" i="93"/>
  <c r="BK217" i="123"/>
  <c r="DR53" i="1"/>
  <c r="LB65" i="93"/>
  <c r="DK54" i="1" s="1"/>
  <c r="DK53" i="1"/>
  <c r="BL215" i="123"/>
  <c r="DS54" i="1"/>
  <c r="EL53" i="93"/>
  <c r="EK53" i="93"/>
  <c r="ER86" i="93"/>
  <c r="ER87" i="93"/>
  <c r="EQ87" i="93"/>
  <c r="EQ86" i="93"/>
  <c r="EQ82" i="93"/>
  <c r="EQ81" i="93"/>
  <c r="EQ79" i="93"/>
  <c r="EQ80" i="93"/>
  <c r="ER82" i="93"/>
  <c r="ER80" i="93"/>
  <c r="ER81" i="93"/>
  <c r="ER79" i="93"/>
  <c r="EQ97" i="93"/>
  <c r="EQ106" i="93"/>
  <c r="EQ104" i="93"/>
  <c r="EQ107" i="93"/>
  <c r="EQ102" i="93"/>
  <c r="EQ108" i="93"/>
  <c r="EQ110" i="93"/>
  <c r="EQ105" i="93"/>
  <c r="EQ109" i="93"/>
  <c r="EQ103" i="93"/>
  <c r="EQ98" i="93"/>
  <c r="EQ100" i="93"/>
  <c r="EQ111" i="93"/>
  <c r="EQ96" i="93"/>
  <c r="EQ99" i="93"/>
  <c r="EQ95" i="93"/>
  <c r="EQ91" i="93"/>
  <c r="EQ66" i="93"/>
  <c r="EQ88" i="93"/>
  <c r="EQ85" i="93"/>
  <c r="EQ84" i="93"/>
  <c r="EQ89" i="93"/>
  <c r="EQ77" i="93"/>
  <c r="EQ69" i="93"/>
  <c r="EQ83" i="93"/>
  <c r="EQ75" i="93"/>
  <c r="EQ65" i="93"/>
  <c r="EQ70" i="93"/>
  <c r="EQ94" i="93"/>
  <c r="EQ71" i="93"/>
  <c r="EQ68" i="93"/>
  <c r="EQ101" i="93"/>
  <c r="EQ112" i="93"/>
  <c r="EQ113" i="93"/>
  <c r="EQ90" i="93"/>
  <c r="EQ74" i="93"/>
  <c r="EX74" i="93" s="1"/>
  <c r="EQ78" i="93"/>
  <c r="EQ73" i="93"/>
  <c r="EQ76" i="93"/>
  <c r="EQ67" i="93"/>
  <c r="EQ93" i="93"/>
  <c r="EQ92" i="93"/>
  <c r="EQ72" i="93"/>
  <c r="ER97" i="93"/>
  <c r="ER103" i="93"/>
  <c r="ER106" i="93"/>
  <c r="ER107" i="93"/>
  <c r="ER102" i="93"/>
  <c r="ER109" i="93"/>
  <c r="ER104" i="93"/>
  <c r="ER108" i="93"/>
  <c r="ER105" i="93"/>
  <c r="ER110" i="93"/>
  <c r="ER100" i="93"/>
  <c r="ER111" i="93"/>
  <c r="ER98" i="93"/>
  <c r="ER113" i="93"/>
  <c r="ER66" i="93"/>
  <c r="ER90" i="93"/>
  <c r="ER74" i="93"/>
  <c r="ER78" i="93"/>
  <c r="ER88" i="93"/>
  <c r="ER73" i="93"/>
  <c r="ER76" i="93"/>
  <c r="ER85" i="93"/>
  <c r="ER89" i="93"/>
  <c r="ER77" i="93"/>
  <c r="ER83" i="93"/>
  <c r="ER75" i="93"/>
  <c r="ER70" i="93"/>
  <c r="ER94" i="93"/>
  <c r="ER71" i="93"/>
  <c r="ER91" i="93"/>
  <c r="ER68" i="93"/>
  <c r="ER96" i="93"/>
  <c r="ER84" i="93"/>
  <c r="ER69" i="93"/>
  <c r="ER99" i="93"/>
  <c r="ER95" i="93"/>
  <c r="ER65" i="93"/>
  <c r="ER101" i="93"/>
  <c r="ER112" i="93"/>
  <c r="ER67" i="93"/>
  <c r="ER92" i="93"/>
  <c r="ER93" i="93"/>
  <c r="ER72" i="93"/>
  <c r="DL23" i="1"/>
  <c r="BL230" i="123"/>
  <c r="EX52" i="93"/>
  <c r="GU124" i="123"/>
  <c r="I72" i="97"/>
  <c r="ES49" i="93" s="1"/>
  <c r="BK203" i="123"/>
  <c r="BK195" i="123"/>
  <c r="BL195" i="123"/>
  <c r="BL203" i="123"/>
  <c r="IC168" i="1"/>
  <c r="IC18" i="1" s="1"/>
  <c r="HB30" i="93"/>
  <c r="G102" i="71"/>
  <c r="G100" i="71"/>
  <c r="HB28" i="93"/>
  <c r="BL217" i="123" l="1"/>
  <c r="DR54" i="1"/>
  <c r="BL216" i="123"/>
  <c r="DQ54" i="1"/>
  <c r="EL69" i="93"/>
  <c r="EL73" i="93"/>
  <c r="EL77" i="93"/>
  <c r="EL81" i="93"/>
  <c r="EL85" i="93"/>
  <c r="EL89" i="93"/>
  <c r="EL93" i="93"/>
  <c r="EL97" i="93"/>
  <c r="EL101" i="93"/>
  <c r="EL105" i="93"/>
  <c r="EL109" i="93"/>
  <c r="EL71" i="93"/>
  <c r="EL91" i="93"/>
  <c r="EL103" i="93"/>
  <c r="EL65" i="93"/>
  <c r="EL66" i="93"/>
  <c r="EL70" i="93"/>
  <c r="EL74" i="93"/>
  <c r="EL78" i="93"/>
  <c r="EL82" i="93"/>
  <c r="EL86" i="93"/>
  <c r="EL90" i="93"/>
  <c r="EL94" i="93"/>
  <c r="EL98" i="93"/>
  <c r="EL102" i="93"/>
  <c r="EL106" i="93"/>
  <c r="EL110" i="93"/>
  <c r="EL67" i="93"/>
  <c r="EL79" i="93"/>
  <c r="EL87" i="93"/>
  <c r="EL99" i="93"/>
  <c r="EL111" i="93"/>
  <c r="EL68" i="93"/>
  <c r="EL72" i="93"/>
  <c r="EL76" i="93"/>
  <c r="EL80" i="93"/>
  <c r="EL84" i="93"/>
  <c r="EL88" i="93"/>
  <c r="EL92" i="93"/>
  <c r="EL96" i="93"/>
  <c r="EL100" i="93"/>
  <c r="EL104" i="93"/>
  <c r="EL108" i="93"/>
  <c r="EL112" i="93"/>
  <c r="EL113" i="93"/>
  <c r="EL75" i="93"/>
  <c r="EL83" i="93"/>
  <c r="EL95" i="93"/>
  <c r="EL107" i="93"/>
  <c r="BL227" i="123"/>
  <c r="ES86" i="93"/>
  <c r="ES87" i="93"/>
  <c r="ES82" i="93"/>
  <c r="ES80" i="93"/>
  <c r="ES81" i="93"/>
  <c r="ES79" i="93"/>
  <c r="ES97" i="93"/>
  <c r="ES107" i="93"/>
  <c r="ES108" i="93"/>
  <c r="ES105" i="93"/>
  <c r="ES106" i="93"/>
  <c r="ES109" i="93"/>
  <c r="ES102" i="93"/>
  <c r="ES110" i="93"/>
  <c r="ES103" i="93"/>
  <c r="ES104" i="93"/>
  <c r="ES100" i="93"/>
  <c r="ES98" i="93"/>
  <c r="ES111" i="93"/>
  <c r="ES91" i="93"/>
  <c r="ES68" i="93"/>
  <c r="ES101" i="93"/>
  <c r="ES96" i="93"/>
  <c r="ES89" i="93"/>
  <c r="ES77" i="93"/>
  <c r="ES69" i="93"/>
  <c r="ES99" i="93"/>
  <c r="ES95" i="93"/>
  <c r="ES75" i="93"/>
  <c r="ES70" i="93"/>
  <c r="ES113" i="93"/>
  <c r="ES66" i="93"/>
  <c r="ES90" i="93"/>
  <c r="ES74" i="93"/>
  <c r="ES78" i="93"/>
  <c r="ES88" i="93"/>
  <c r="ES73" i="93"/>
  <c r="ES112" i="93"/>
  <c r="ES76" i="93"/>
  <c r="ES85" i="93"/>
  <c r="ES84" i="93"/>
  <c r="ES83" i="93"/>
  <c r="ES65" i="93"/>
  <c r="ES94" i="93"/>
  <c r="ES71" i="93"/>
  <c r="ES67" i="93"/>
  <c r="ES92" i="93"/>
  <c r="ES93" i="93"/>
  <c r="ES72" i="93"/>
  <c r="HH57" i="93"/>
  <c r="AI229" i="123"/>
  <c r="AI144" i="123"/>
  <c r="AI164" i="123"/>
  <c r="AI143" i="123"/>
  <c r="AI228" i="123"/>
  <c r="AI163" i="123"/>
  <c r="IQ79" i="93"/>
  <c r="EZ79" i="93" s="1"/>
  <c r="AI145" i="123"/>
  <c r="AI234" i="123"/>
  <c r="AI165" i="123"/>
  <c r="IQ81" i="93"/>
  <c r="EZ81" i="93" s="1"/>
  <c r="AI184" i="123"/>
  <c r="AI233" i="123"/>
  <c r="AI227" i="123"/>
  <c r="DK23" i="1"/>
  <c r="AI132" i="123"/>
  <c r="AI176" i="123"/>
  <c r="DR23" i="1"/>
  <c r="AI157" i="123"/>
  <c r="AI180" i="123"/>
  <c r="AI187" i="123"/>
  <c r="AI137" i="123"/>
  <c r="DQ23" i="1"/>
  <c r="AI186" i="123"/>
  <c r="AI156" i="123"/>
  <c r="AI136" i="123"/>
  <c r="AI179" i="123"/>
  <c r="AI171" i="123"/>
  <c r="AI151" i="123"/>
  <c r="AI230" i="123"/>
  <c r="AI167" i="123"/>
  <c r="AI147" i="123"/>
  <c r="AI148" i="123"/>
  <c r="AI168" i="123"/>
  <c r="DN23" i="1"/>
  <c r="AI133" i="123"/>
  <c r="DM23" i="1"/>
  <c r="AI205" i="123"/>
  <c r="AI185" i="123"/>
  <c r="AI177" i="123"/>
  <c r="AI141" i="123"/>
  <c r="AI161" i="123"/>
  <c r="AI149" i="123"/>
  <c r="AI169" i="123"/>
  <c r="DT23" i="1"/>
  <c r="AI159" i="123"/>
  <c r="AI139" i="123"/>
  <c r="AI162" i="123"/>
  <c r="AI142" i="123"/>
  <c r="AI188" i="123"/>
  <c r="DS23" i="1"/>
  <c r="AI181" i="123"/>
  <c r="AI158" i="123"/>
  <c r="AI138" i="123"/>
  <c r="AI172" i="123"/>
  <c r="AI152" i="123"/>
  <c r="AI235" i="123"/>
  <c r="AI166" i="123"/>
  <c r="AI146" i="123"/>
  <c r="AI160" i="123"/>
  <c r="AI140" i="123"/>
  <c r="AI170" i="123"/>
  <c r="AI150" i="123"/>
  <c r="DO23" i="1"/>
  <c r="AI178" i="123"/>
  <c r="AI173" i="123"/>
  <c r="AI153" i="123"/>
  <c r="DS99" i="93"/>
  <c r="IQ104" i="93"/>
  <c r="EZ104" i="93" s="1"/>
  <c r="IQ86" i="93"/>
  <c r="EZ86" i="93" s="1"/>
  <c r="IQ87" i="93"/>
  <c r="EZ87" i="93" s="1"/>
  <c r="GV124" i="123"/>
  <c r="JF89" i="93"/>
  <c r="JF90" i="93"/>
  <c r="JF87" i="93"/>
  <c r="JF69" i="93"/>
  <c r="JF86" i="93"/>
  <c r="IQ95" i="93"/>
  <c r="EZ95" i="93" s="1"/>
  <c r="IQ103" i="93"/>
  <c r="EZ103" i="93" s="1"/>
  <c r="IQ102" i="93"/>
  <c r="EZ102" i="93" s="1"/>
  <c r="IQ107" i="93"/>
  <c r="EZ107" i="93" s="1"/>
  <c r="IQ105" i="93"/>
  <c r="EZ105" i="93" s="1"/>
  <c r="IQ85" i="93"/>
  <c r="EZ85" i="93" s="1"/>
  <c r="IQ65" i="93"/>
  <c r="IQ112" i="93"/>
  <c r="EZ112" i="93" s="1"/>
  <c r="IQ96" i="93"/>
  <c r="EZ96" i="93" s="1"/>
  <c r="IQ98" i="93"/>
  <c r="EZ98" i="93" s="1"/>
  <c r="IQ89" i="93"/>
  <c r="EZ89" i="93" s="1"/>
  <c r="IQ99" i="93"/>
  <c r="EZ99" i="93" s="1"/>
  <c r="IQ66" i="93"/>
  <c r="EZ66" i="93" s="1"/>
  <c r="IQ101" i="93"/>
  <c r="EZ101" i="93" s="1"/>
  <c r="IQ78" i="93"/>
  <c r="EZ78" i="93" s="1"/>
  <c r="IQ94" i="93"/>
  <c r="EZ94" i="93" s="1"/>
  <c r="IQ108" i="93"/>
  <c r="EZ108" i="93" s="1"/>
  <c r="IQ90" i="93"/>
  <c r="EZ90" i="93" s="1"/>
  <c r="IQ68" i="93"/>
  <c r="IQ67" i="93"/>
  <c r="IQ83" i="93"/>
  <c r="EZ83" i="93" s="1"/>
  <c r="IQ97" i="93"/>
  <c r="EZ97" i="93" s="1"/>
  <c r="IQ73" i="93"/>
  <c r="EZ73" i="93" s="1"/>
  <c r="IQ82" i="93"/>
  <c r="EZ82" i="93" s="1"/>
  <c r="IQ84" i="93"/>
  <c r="EZ84" i="93" s="1"/>
  <c r="IQ93" i="93"/>
  <c r="EZ93" i="93" s="1"/>
  <c r="IQ111" i="93"/>
  <c r="EZ111" i="93" s="1"/>
  <c r="IQ110" i="93"/>
  <c r="EZ110" i="93" s="1"/>
  <c r="IQ106" i="93"/>
  <c r="EZ106" i="93" s="1"/>
  <c r="IQ88" i="93"/>
  <c r="EZ88" i="93" s="1"/>
  <c r="IQ109" i="93"/>
  <c r="EZ109" i="93" s="1"/>
  <c r="IQ91" i="93"/>
  <c r="EZ91" i="93" s="1"/>
  <c r="IQ69" i="93"/>
  <c r="EZ69" i="93" s="1"/>
  <c r="IQ70" i="93"/>
  <c r="EZ70" i="93" s="1"/>
  <c r="IQ100" i="93"/>
  <c r="EZ100" i="93" s="1"/>
  <c r="IQ77" i="93"/>
  <c r="EZ77" i="93" s="1"/>
  <c r="IQ92" i="93"/>
  <c r="EZ92" i="93" s="1"/>
  <c r="C30" i="128"/>
  <c r="DX33" i="98"/>
  <c r="JF67" i="93"/>
  <c r="JF68" i="93"/>
  <c r="JF66" i="93"/>
  <c r="R159" i="1"/>
  <c r="EZ67" i="93" l="1"/>
  <c r="IR67" i="93" s="1"/>
  <c r="DM22" i="1" s="1"/>
  <c r="EZ68" i="93"/>
  <c r="IR68" i="93" s="1"/>
  <c r="DN22" i="1" s="1"/>
  <c r="FP89" i="93"/>
  <c r="FJ89" i="93"/>
  <c r="FP69" i="93"/>
  <c r="FJ69" i="93"/>
  <c r="FP87" i="93"/>
  <c r="FJ87" i="93"/>
  <c r="FP67" i="93"/>
  <c r="FJ67" i="93"/>
  <c r="FP86" i="93"/>
  <c r="FJ86" i="93"/>
  <c r="FP68" i="93"/>
  <c r="FJ68" i="93"/>
  <c r="FP90" i="93"/>
  <c r="FJ90" i="93"/>
  <c r="EZ65" i="93"/>
  <c r="IR65" i="93" s="1"/>
  <c r="DK22" i="1" s="1"/>
  <c r="FP66" i="93"/>
  <c r="FJ66" i="93"/>
  <c r="HU65" i="93"/>
  <c r="DK30" i="1" s="1"/>
  <c r="HU69" i="93"/>
  <c r="HU77" i="93"/>
  <c r="HU81" i="93"/>
  <c r="AP165" i="123" s="1"/>
  <c r="HU89" i="93"/>
  <c r="HU97" i="93"/>
  <c r="HU105" i="93"/>
  <c r="HU113" i="93"/>
  <c r="HU70" i="93"/>
  <c r="HU82" i="93"/>
  <c r="AP235" i="123" s="1"/>
  <c r="HU90" i="93"/>
  <c r="AP230" i="123" s="1"/>
  <c r="HU94" i="93"/>
  <c r="HU102" i="93"/>
  <c r="HU106" i="93"/>
  <c r="HU110" i="93"/>
  <c r="HU80" i="93"/>
  <c r="AP144" i="123" s="1"/>
  <c r="HU88" i="93"/>
  <c r="HU92" i="93"/>
  <c r="AP152" i="123" s="1"/>
  <c r="HU100" i="93"/>
  <c r="HU71" i="93"/>
  <c r="HU75" i="93"/>
  <c r="HU79" i="93"/>
  <c r="AP163" i="123" s="1"/>
  <c r="HU91" i="93"/>
  <c r="HU99" i="93"/>
  <c r="EM99" i="93" s="1"/>
  <c r="HU107" i="93"/>
  <c r="HU96" i="93"/>
  <c r="HU112" i="93"/>
  <c r="HU108" i="93"/>
  <c r="HU104" i="93"/>
  <c r="HU98" i="93"/>
  <c r="HU111" i="93"/>
  <c r="HU95" i="93"/>
  <c r="HU74" i="93"/>
  <c r="DT30" i="1" s="1"/>
  <c r="HU84" i="93"/>
  <c r="HU76" i="93"/>
  <c r="HU83" i="93"/>
  <c r="HU101" i="93"/>
  <c r="HU73" i="93"/>
  <c r="HU72" i="93"/>
  <c r="HU67" i="93"/>
  <c r="DM30" i="1" s="1"/>
  <c r="HU87" i="93"/>
  <c r="AP149" i="123" s="1"/>
  <c r="HU86" i="93"/>
  <c r="AP148" i="123" s="1"/>
  <c r="GC99" i="93"/>
  <c r="GC111" i="93"/>
  <c r="FT67" i="93"/>
  <c r="DM56" i="1" s="1"/>
  <c r="FU67" i="93"/>
  <c r="DM57" i="1" s="1"/>
  <c r="FV67" i="93"/>
  <c r="DM58" i="1" s="1"/>
  <c r="FW67" i="93"/>
  <c r="DM59" i="1" s="1"/>
  <c r="FX67" i="93"/>
  <c r="DM60" i="1" s="1"/>
  <c r="FY67" i="93"/>
  <c r="DM61" i="1" s="1"/>
  <c r="FZ67" i="93"/>
  <c r="DM62" i="1" s="1"/>
  <c r="GA67" i="93"/>
  <c r="DM63" i="1" s="1"/>
  <c r="GB67" i="93"/>
  <c r="DM64" i="1" s="1"/>
  <c r="GC67" i="93"/>
  <c r="DM65" i="1" s="1"/>
  <c r="FT70" i="93"/>
  <c r="DP56" i="1" s="1"/>
  <c r="FU70" i="93"/>
  <c r="DP57" i="1" s="1"/>
  <c r="FV70" i="93"/>
  <c r="DP58" i="1" s="1"/>
  <c r="FW70" i="93"/>
  <c r="DP59" i="1" s="1"/>
  <c r="FX70" i="93"/>
  <c r="DP60" i="1" s="1"/>
  <c r="FY70" i="93"/>
  <c r="DP61" i="1" s="1"/>
  <c r="FZ70" i="93"/>
  <c r="DP62" i="1" s="1"/>
  <c r="GA70" i="93"/>
  <c r="DP63" i="1" s="1"/>
  <c r="GB70" i="93"/>
  <c r="DP64" i="1" s="1"/>
  <c r="GC70" i="93"/>
  <c r="DP65" i="1" s="1"/>
  <c r="FT88" i="93"/>
  <c r="FU88" i="93"/>
  <c r="FV88" i="93"/>
  <c r="FW88" i="93"/>
  <c r="FX88" i="93"/>
  <c r="FY88" i="93"/>
  <c r="FZ88" i="93"/>
  <c r="GA88" i="93"/>
  <c r="GB88" i="93"/>
  <c r="GC88" i="93"/>
  <c r="FT93" i="93"/>
  <c r="FU93" i="93"/>
  <c r="FV93" i="93"/>
  <c r="FW93" i="93"/>
  <c r="FX93" i="93"/>
  <c r="FY93" i="93"/>
  <c r="FZ93" i="93"/>
  <c r="GA93" i="93"/>
  <c r="GB93" i="93"/>
  <c r="GC93" i="93"/>
  <c r="FT97" i="93"/>
  <c r="FU97" i="93"/>
  <c r="FV97" i="93"/>
  <c r="FW97" i="93"/>
  <c r="FX97" i="93"/>
  <c r="FY97" i="93"/>
  <c r="FZ97" i="93"/>
  <c r="GA97" i="93"/>
  <c r="GB97" i="93"/>
  <c r="GC97" i="93"/>
  <c r="FT90" i="93"/>
  <c r="FU90" i="93"/>
  <c r="FV90" i="93"/>
  <c r="FW90" i="93"/>
  <c r="FX90" i="93"/>
  <c r="FY90" i="93"/>
  <c r="FZ90" i="93"/>
  <c r="GA90" i="93"/>
  <c r="GB90" i="93"/>
  <c r="GC90" i="93"/>
  <c r="FT101" i="93"/>
  <c r="FU101" i="93"/>
  <c r="FV101" i="93"/>
  <c r="FW101" i="93"/>
  <c r="FX101" i="93"/>
  <c r="FY101" i="93"/>
  <c r="FZ101" i="93"/>
  <c r="GA101" i="93"/>
  <c r="GB101" i="93"/>
  <c r="FT98" i="93"/>
  <c r="FU98" i="93"/>
  <c r="FV98" i="93"/>
  <c r="FW98" i="93"/>
  <c r="FX98" i="93"/>
  <c r="FY98" i="93"/>
  <c r="FZ98" i="93"/>
  <c r="GA98" i="93"/>
  <c r="GB98" i="93"/>
  <c r="FT85" i="93"/>
  <c r="FU85" i="93"/>
  <c r="FV85" i="93"/>
  <c r="FW85" i="93"/>
  <c r="FX85" i="93"/>
  <c r="FY85" i="93"/>
  <c r="FZ85" i="93"/>
  <c r="GA85" i="93"/>
  <c r="GB85" i="93"/>
  <c r="GC85" i="93"/>
  <c r="FT103" i="93"/>
  <c r="FU103" i="93"/>
  <c r="FV103" i="93"/>
  <c r="FW103" i="93"/>
  <c r="FX103" i="93"/>
  <c r="FY103" i="93"/>
  <c r="FZ103" i="93"/>
  <c r="GA103" i="93"/>
  <c r="GB103" i="93"/>
  <c r="GC103" i="93"/>
  <c r="FT87" i="93"/>
  <c r="FU87" i="93"/>
  <c r="FV87" i="93"/>
  <c r="FW87" i="93"/>
  <c r="FX87" i="93"/>
  <c r="FY87" i="93"/>
  <c r="FZ87" i="93"/>
  <c r="GA87" i="93"/>
  <c r="GB87" i="93"/>
  <c r="GC87" i="93"/>
  <c r="FT104" i="93"/>
  <c r="FU104" i="93"/>
  <c r="FV104" i="93"/>
  <c r="FW104" i="93"/>
  <c r="FX104" i="93"/>
  <c r="FY104" i="93"/>
  <c r="FZ104" i="93"/>
  <c r="GA104" i="93"/>
  <c r="GB104" i="93"/>
  <c r="GC104" i="93"/>
  <c r="FT92" i="93"/>
  <c r="FU92" i="93"/>
  <c r="FV92" i="93"/>
  <c r="FW92" i="93"/>
  <c r="FX92" i="93"/>
  <c r="FY92" i="93"/>
  <c r="FZ92" i="93"/>
  <c r="GA92" i="93"/>
  <c r="GB92" i="93"/>
  <c r="GC92" i="93"/>
  <c r="FT69" i="93"/>
  <c r="DO56" i="1" s="1"/>
  <c r="FU69" i="93"/>
  <c r="DO57" i="1" s="1"/>
  <c r="FV69" i="93"/>
  <c r="DO58" i="1" s="1"/>
  <c r="FW69" i="93"/>
  <c r="DO59" i="1" s="1"/>
  <c r="FX69" i="93"/>
  <c r="DO60" i="1" s="1"/>
  <c r="FY69" i="93"/>
  <c r="DO61" i="1" s="1"/>
  <c r="FZ69" i="93"/>
  <c r="DO62" i="1" s="1"/>
  <c r="GA69" i="93"/>
  <c r="DO63" i="1" s="1"/>
  <c r="GB69" i="93"/>
  <c r="DO64" i="1" s="1"/>
  <c r="GC69" i="93"/>
  <c r="DO65" i="1" s="1"/>
  <c r="FT106" i="93"/>
  <c r="FU106" i="93"/>
  <c r="FV106" i="93"/>
  <c r="FW106" i="93"/>
  <c r="FX106" i="93"/>
  <c r="FY106" i="93"/>
  <c r="FZ106" i="93"/>
  <c r="GA106" i="93"/>
  <c r="GB106" i="93"/>
  <c r="GC106" i="93"/>
  <c r="FT84" i="93"/>
  <c r="FU84" i="93"/>
  <c r="FV84" i="93"/>
  <c r="FW84" i="93"/>
  <c r="FX84" i="93"/>
  <c r="FY84" i="93"/>
  <c r="FZ84" i="93"/>
  <c r="GA84" i="93"/>
  <c r="GB84" i="93"/>
  <c r="GC84" i="93"/>
  <c r="FT83" i="93"/>
  <c r="FU83" i="93"/>
  <c r="FV83" i="93"/>
  <c r="FW83" i="93"/>
  <c r="FX83" i="93"/>
  <c r="FY83" i="93"/>
  <c r="FZ83" i="93"/>
  <c r="GA83" i="93"/>
  <c r="GB83" i="93"/>
  <c r="GC83" i="93"/>
  <c r="FT108" i="93"/>
  <c r="FU108" i="93"/>
  <c r="FV108" i="93"/>
  <c r="FW108" i="93"/>
  <c r="FX108" i="93"/>
  <c r="FY108" i="93"/>
  <c r="FZ108" i="93"/>
  <c r="GA108" i="93"/>
  <c r="GB108" i="93"/>
  <c r="GC108" i="93"/>
  <c r="FT66" i="93"/>
  <c r="DL56" i="1" s="1"/>
  <c r="FU66" i="93"/>
  <c r="DL57" i="1" s="1"/>
  <c r="FV66" i="93"/>
  <c r="DL58" i="1" s="1"/>
  <c r="FW66" i="93"/>
  <c r="DL59" i="1" s="1"/>
  <c r="FX66" i="93"/>
  <c r="DL60" i="1" s="1"/>
  <c r="FY66" i="93"/>
  <c r="DL61" i="1" s="1"/>
  <c r="FZ66" i="93"/>
  <c r="DL62" i="1" s="1"/>
  <c r="GA66" i="93"/>
  <c r="DL63" i="1" s="1"/>
  <c r="GB66" i="93"/>
  <c r="DL64" i="1" s="1"/>
  <c r="GC66" i="93"/>
  <c r="DL65" i="1" s="1"/>
  <c r="FT96" i="93"/>
  <c r="FU96" i="93"/>
  <c r="FV96" i="93"/>
  <c r="FW96" i="93"/>
  <c r="FX96" i="93"/>
  <c r="FY96" i="93"/>
  <c r="FZ96" i="93"/>
  <c r="GA96" i="93"/>
  <c r="GB96" i="93"/>
  <c r="GC96" i="93"/>
  <c r="FT105" i="93"/>
  <c r="FU105" i="93"/>
  <c r="FV105" i="93"/>
  <c r="FW105" i="93"/>
  <c r="FX105" i="93"/>
  <c r="FY105" i="93"/>
  <c r="FZ105" i="93"/>
  <c r="GA105" i="93"/>
  <c r="GB105" i="93"/>
  <c r="GC105" i="93"/>
  <c r="FT95" i="93"/>
  <c r="FU95" i="93"/>
  <c r="FV95" i="93"/>
  <c r="FW95" i="93"/>
  <c r="FX95" i="93"/>
  <c r="FY95" i="93"/>
  <c r="FZ95" i="93"/>
  <c r="GA95" i="93"/>
  <c r="GB95" i="93"/>
  <c r="GC95" i="93"/>
  <c r="FT86" i="93"/>
  <c r="FU86" i="93"/>
  <c r="FV86" i="93"/>
  <c r="FW86" i="93"/>
  <c r="FX86" i="93"/>
  <c r="FY86" i="93"/>
  <c r="FZ86" i="93"/>
  <c r="GA86" i="93"/>
  <c r="GB86" i="93"/>
  <c r="GC86" i="93"/>
  <c r="FT81" i="93"/>
  <c r="FU81" i="93"/>
  <c r="FV81" i="93"/>
  <c r="FW81" i="93"/>
  <c r="FX81" i="93"/>
  <c r="FY81" i="93"/>
  <c r="FZ81" i="93"/>
  <c r="GA81" i="93"/>
  <c r="GB81" i="93"/>
  <c r="GC81" i="93"/>
  <c r="FT79" i="93"/>
  <c r="FU79" i="93"/>
  <c r="FV79" i="93"/>
  <c r="FW79" i="93"/>
  <c r="FX79" i="93"/>
  <c r="FY79" i="93"/>
  <c r="FZ79" i="93"/>
  <c r="GA79" i="93"/>
  <c r="GB79" i="93"/>
  <c r="GC79" i="93"/>
  <c r="GC98" i="93"/>
  <c r="FT77" i="93"/>
  <c r="FU77" i="93"/>
  <c r="FV77" i="93"/>
  <c r="FW77" i="93"/>
  <c r="FX77" i="93"/>
  <c r="FY77" i="93"/>
  <c r="FZ77" i="93"/>
  <c r="GA77" i="93"/>
  <c r="GB77" i="93"/>
  <c r="GC77" i="93"/>
  <c r="FT91" i="93"/>
  <c r="FU91" i="93"/>
  <c r="FV91" i="93"/>
  <c r="FW91" i="93"/>
  <c r="FX91" i="93"/>
  <c r="FY91" i="93"/>
  <c r="FZ91" i="93"/>
  <c r="GA91" i="93"/>
  <c r="GB91" i="93"/>
  <c r="GC91" i="93"/>
  <c r="FT110" i="93"/>
  <c r="FU110" i="93"/>
  <c r="FV110" i="93"/>
  <c r="FW110" i="93"/>
  <c r="FX110" i="93"/>
  <c r="FY110" i="93"/>
  <c r="FZ110" i="93"/>
  <c r="GA110" i="93"/>
  <c r="GB110" i="93"/>
  <c r="GC110" i="93"/>
  <c r="FT82" i="93"/>
  <c r="FU82" i="93"/>
  <c r="FV82" i="93"/>
  <c r="FW82" i="93"/>
  <c r="FX82" i="93"/>
  <c r="FY82" i="93"/>
  <c r="FZ82" i="93"/>
  <c r="GA82" i="93"/>
  <c r="GB82" i="93"/>
  <c r="GC82" i="93"/>
  <c r="FT94" i="93"/>
  <c r="FU94" i="93"/>
  <c r="FV94" i="93"/>
  <c r="FW94" i="93"/>
  <c r="FX94" i="93"/>
  <c r="FY94" i="93"/>
  <c r="FZ94" i="93"/>
  <c r="GA94" i="93"/>
  <c r="GB94" i="93"/>
  <c r="GC94" i="93"/>
  <c r="FT99" i="93"/>
  <c r="FU99" i="93"/>
  <c r="FV99" i="93"/>
  <c r="FW99" i="93"/>
  <c r="FX99" i="93"/>
  <c r="FY99" i="93"/>
  <c r="FZ99" i="93"/>
  <c r="GA99" i="93"/>
  <c r="GB99" i="93"/>
  <c r="FT112" i="93"/>
  <c r="FU112" i="93"/>
  <c r="FV112" i="93"/>
  <c r="FW112" i="93"/>
  <c r="FX112" i="93"/>
  <c r="FY112" i="93"/>
  <c r="FZ112" i="93"/>
  <c r="GA112" i="93"/>
  <c r="GB112" i="93"/>
  <c r="GC112" i="93"/>
  <c r="FT107" i="93"/>
  <c r="FU107" i="93"/>
  <c r="FV107" i="93"/>
  <c r="FW107" i="93"/>
  <c r="FX107" i="93"/>
  <c r="FY107" i="93"/>
  <c r="FZ107" i="93"/>
  <c r="GA107" i="93"/>
  <c r="GB107" i="93"/>
  <c r="GC107" i="93"/>
  <c r="FT100" i="93"/>
  <c r="FU100" i="93"/>
  <c r="FV100" i="93"/>
  <c r="FW100" i="93"/>
  <c r="FX100" i="93"/>
  <c r="FY100" i="93"/>
  <c r="FZ100" i="93"/>
  <c r="GA100" i="93"/>
  <c r="GB100" i="93"/>
  <c r="FT109" i="93"/>
  <c r="FU109" i="93"/>
  <c r="FV109" i="93"/>
  <c r="FW109" i="93"/>
  <c r="FX109" i="93"/>
  <c r="FY109" i="93"/>
  <c r="FZ109" i="93"/>
  <c r="GA109" i="93"/>
  <c r="GB109" i="93"/>
  <c r="GC109" i="93"/>
  <c r="FT111" i="93"/>
  <c r="FU111" i="93"/>
  <c r="FV111" i="93"/>
  <c r="FW111" i="93"/>
  <c r="FX111" i="93"/>
  <c r="FY111" i="93"/>
  <c r="FZ111" i="93"/>
  <c r="GA111" i="93"/>
  <c r="GB111" i="93"/>
  <c r="FT73" i="93"/>
  <c r="FU73" i="93"/>
  <c r="FV73" i="93"/>
  <c r="FW73" i="93"/>
  <c r="FX73" i="93"/>
  <c r="FY73" i="93"/>
  <c r="FZ73" i="93"/>
  <c r="GA73" i="93"/>
  <c r="GB73" i="93"/>
  <c r="GC73" i="93"/>
  <c r="FT68" i="93"/>
  <c r="DN56" i="1" s="1"/>
  <c r="FU68" i="93"/>
  <c r="DN57" i="1" s="1"/>
  <c r="FV68" i="93"/>
  <c r="DN58" i="1" s="1"/>
  <c r="FW68" i="93"/>
  <c r="DN59" i="1" s="1"/>
  <c r="FX68" i="93"/>
  <c r="DN60" i="1" s="1"/>
  <c r="FY68" i="93"/>
  <c r="DN61" i="1" s="1"/>
  <c r="FZ68" i="93"/>
  <c r="DN62" i="1" s="1"/>
  <c r="GA68" i="93"/>
  <c r="DN63" i="1" s="1"/>
  <c r="GB68" i="93"/>
  <c r="DN64" i="1" s="1"/>
  <c r="GC68" i="93"/>
  <c r="DN65" i="1" s="1"/>
  <c r="FT78" i="93"/>
  <c r="FU78" i="93"/>
  <c r="FV78" i="93"/>
  <c r="FW78" i="93"/>
  <c r="FX78" i="93"/>
  <c r="FY78" i="93"/>
  <c r="FZ78" i="93"/>
  <c r="GA78" i="93"/>
  <c r="GB78" i="93"/>
  <c r="GC78" i="93"/>
  <c r="FT89" i="93"/>
  <c r="FU89" i="93"/>
  <c r="FV89" i="93"/>
  <c r="FW89" i="93"/>
  <c r="FX89" i="93"/>
  <c r="FY89" i="93"/>
  <c r="FZ89" i="93"/>
  <c r="GA89" i="93"/>
  <c r="GB89" i="93"/>
  <c r="GC89" i="93"/>
  <c r="FT65" i="93"/>
  <c r="DK56" i="1" s="1"/>
  <c r="FU65" i="93"/>
  <c r="DK57" i="1" s="1"/>
  <c r="FV65" i="93"/>
  <c r="DK58" i="1" s="1"/>
  <c r="FW65" i="93"/>
  <c r="DK59" i="1" s="1"/>
  <c r="FX65" i="93"/>
  <c r="DK60" i="1" s="1"/>
  <c r="FY65" i="93"/>
  <c r="DK61" i="1" s="1"/>
  <c r="FZ65" i="93"/>
  <c r="DK62" i="1" s="1"/>
  <c r="GA65" i="93"/>
  <c r="DK63" i="1" s="1"/>
  <c r="GB65" i="93"/>
  <c r="DK64" i="1" s="1"/>
  <c r="GC65" i="93"/>
  <c r="DK65" i="1" s="1"/>
  <c r="FT102" i="93"/>
  <c r="FU102" i="93"/>
  <c r="FV102" i="93"/>
  <c r="FW102" i="93"/>
  <c r="FX102" i="93"/>
  <c r="FY102" i="93"/>
  <c r="FZ102" i="93"/>
  <c r="GA102" i="93"/>
  <c r="GB102" i="93"/>
  <c r="GC102" i="93"/>
  <c r="GC100" i="93"/>
  <c r="GC101" i="93"/>
  <c r="HU103" i="93"/>
  <c r="HU93" i="93"/>
  <c r="AP173" i="123" s="1"/>
  <c r="HU66" i="93"/>
  <c r="DL30" i="1" s="1"/>
  <c r="HU78" i="93"/>
  <c r="HU109" i="93"/>
  <c r="HU68" i="93"/>
  <c r="DN30" i="1" s="1"/>
  <c r="HU85" i="93"/>
  <c r="DS111" i="93"/>
  <c r="EH97" i="123"/>
  <c r="GW124" i="123"/>
  <c r="JF84" i="93"/>
  <c r="JF70" i="93"/>
  <c r="JF112" i="93"/>
  <c r="JF94" i="93"/>
  <c r="JF85" i="93"/>
  <c r="JF81" i="93"/>
  <c r="JF78" i="93"/>
  <c r="JF96" i="93"/>
  <c r="JF95" i="93"/>
  <c r="JF88" i="93"/>
  <c r="JF65" i="93"/>
  <c r="JF83" i="93"/>
  <c r="JF93" i="93"/>
  <c r="JF77" i="93"/>
  <c r="JF76" i="93"/>
  <c r="JF82" i="93"/>
  <c r="JF73" i="93"/>
  <c r="JF113" i="93"/>
  <c r="JF79" i="93"/>
  <c r="JF92" i="93"/>
  <c r="JF91" i="93"/>
  <c r="IQ113" i="93"/>
  <c r="EZ113" i="93" s="1"/>
  <c r="IQ76" i="93"/>
  <c r="EZ76" i="93" s="1"/>
  <c r="B30" i="128"/>
  <c r="A30" i="128"/>
  <c r="HJ62" i="93"/>
  <c r="HJ57" i="93"/>
  <c r="HJ42" i="93"/>
  <c r="ID168" i="1"/>
  <c r="ID18" i="1" s="1"/>
  <c r="IE168" i="1"/>
  <c r="IE18" i="1" s="1"/>
  <c r="EG122" i="123"/>
  <c r="EG125" i="123" s="1"/>
  <c r="EH122" i="123"/>
  <c r="EH125" i="123" s="1"/>
  <c r="IQ72" i="93"/>
  <c r="EZ72" i="93" s="1"/>
  <c r="JF72" i="93"/>
  <c r="GT24" i="1"/>
  <c r="GU27" i="1"/>
  <c r="GV27" i="1" s="1"/>
  <c r="GW27" i="1" s="1"/>
  <c r="GX27" i="1" s="1"/>
  <c r="GY27" i="1" s="1"/>
  <c r="GZ27" i="1" s="1"/>
  <c r="HA27" i="1" s="1"/>
  <c r="HB27" i="1" s="1"/>
  <c r="HC27" i="1" s="1"/>
  <c r="HD27" i="1" s="1"/>
  <c r="HE27" i="1" s="1"/>
  <c r="HF27" i="1" s="1"/>
  <c r="HG27" i="1" s="1"/>
  <c r="HH27" i="1" s="1"/>
  <c r="HI27" i="1" s="1"/>
  <c r="HJ27" i="1" s="1"/>
  <c r="HK27" i="1" s="1"/>
  <c r="HL27" i="1" s="1"/>
  <c r="HM27" i="1" s="1"/>
  <c r="HN27" i="1" s="1"/>
  <c r="HO27" i="1" s="1"/>
  <c r="HP27" i="1" s="1"/>
  <c r="HQ27" i="1" s="1"/>
  <c r="HR27" i="1" s="1"/>
  <c r="HS27" i="1" s="1"/>
  <c r="HT27" i="1" s="1"/>
  <c r="HU27" i="1" s="1"/>
  <c r="HV27" i="1" s="1"/>
  <c r="HW27" i="1" s="1"/>
  <c r="HX27" i="1" s="1"/>
  <c r="HY27" i="1" s="1"/>
  <c r="HZ27" i="1" s="1"/>
  <c r="IA27" i="1" s="1"/>
  <c r="IB27" i="1" s="1"/>
  <c r="IC27" i="1" s="1"/>
  <c r="ID27" i="1" s="1"/>
  <c r="IE27" i="1" s="1"/>
  <c r="IF27" i="1" s="1"/>
  <c r="IG27" i="1" s="1"/>
  <c r="IH27" i="1" s="1"/>
  <c r="II27" i="1" s="1"/>
  <c r="IJ27" i="1" s="1"/>
  <c r="IK27" i="1" s="1"/>
  <c r="IL27" i="1" s="1"/>
  <c r="IM27" i="1" s="1"/>
  <c r="IN27" i="1" s="1"/>
  <c r="IO27" i="1" s="1"/>
  <c r="IP27" i="1" s="1"/>
  <c r="IQ27" i="1" s="1"/>
  <c r="IR27" i="1" s="1"/>
  <c r="IS27" i="1" s="1"/>
  <c r="IT27" i="1" s="1"/>
  <c r="IU27" i="1" s="1"/>
  <c r="IV27" i="1" s="1"/>
  <c r="IW27" i="1" s="1"/>
  <c r="IX27" i="1" s="1"/>
  <c r="IY27" i="1" s="1"/>
  <c r="IZ27" i="1" s="1"/>
  <c r="JA27" i="1" s="1"/>
  <c r="JB27" i="1" s="1"/>
  <c r="JC27" i="1" s="1"/>
  <c r="JD27" i="1" s="1"/>
  <c r="JE27" i="1" s="1"/>
  <c r="JF27" i="1" s="1"/>
  <c r="JG27" i="1" s="1"/>
  <c r="JH27" i="1" s="1"/>
  <c r="JI27" i="1" s="1"/>
  <c r="JJ27" i="1" s="1"/>
  <c r="JK27" i="1" s="1"/>
  <c r="JL27" i="1" s="1"/>
  <c r="JM27" i="1" s="1"/>
  <c r="JN27" i="1" s="1"/>
  <c r="JO27" i="1" s="1"/>
  <c r="JP27" i="1" s="1"/>
  <c r="JQ27" i="1" s="1"/>
  <c r="JR27" i="1" s="1"/>
  <c r="JS27" i="1" s="1"/>
  <c r="JT27" i="1" s="1"/>
  <c r="JU27" i="1" s="1"/>
  <c r="JV27" i="1" s="1"/>
  <c r="JW27" i="1" s="1"/>
  <c r="JX27" i="1" s="1"/>
  <c r="JY27" i="1" s="1"/>
  <c r="JZ27" i="1" s="1"/>
  <c r="KA27" i="1" s="1"/>
  <c r="KB27" i="1" s="1"/>
  <c r="KC27" i="1" s="1"/>
  <c r="KD27" i="1" s="1"/>
  <c r="KE27" i="1" s="1"/>
  <c r="KF27" i="1" s="1"/>
  <c r="KG27" i="1" s="1"/>
  <c r="KH27" i="1" s="1"/>
  <c r="KI27" i="1" s="1"/>
  <c r="KJ27" i="1" s="1"/>
  <c r="KK27" i="1" s="1"/>
  <c r="KL27" i="1" s="1"/>
  <c r="KM27" i="1" s="1"/>
  <c r="KN27" i="1" s="1"/>
  <c r="KO27" i="1" s="1"/>
  <c r="KP27" i="1" s="1"/>
  <c r="KQ27" i="1" s="1"/>
  <c r="KR27" i="1" s="1"/>
  <c r="KS27" i="1" s="1"/>
  <c r="KT27" i="1" s="1"/>
  <c r="KU27" i="1" s="1"/>
  <c r="KV27" i="1" s="1"/>
  <c r="KW27" i="1" s="1"/>
  <c r="KX27" i="1" s="1"/>
  <c r="KY27" i="1" s="1"/>
  <c r="KZ27" i="1" s="1"/>
  <c r="LA27" i="1" s="1"/>
  <c r="LB27" i="1" s="1"/>
  <c r="LC27" i="1" s="1"/>
  <c r="LD27" i="1" s="1"/>
  <c r="LE27" i="1" s="1"/>
  <c r="LF27" i="1" s="1"/>
  <c r="LG27" i="1" s="1"/>
  <c r="LH27" i="1" s="1"/>
  <c r="LI27" i="1" s="1"/>
  <c r="LJ27" i="1" s="1"/>
  <c r="LK27" i="1" s="1"/>
  <c r="LL27" i="1" s="1"/>
  <c r="LM27" i="1" s="1"/>
  <c r="LN27" i="1" s="1"/>
  <c r="LO27" i="1" s="1"/>
  <c r="LP27" i="1" s="1"/>
  <c r="DQ30" i="1" l="1"/>
  <c r="AP216" i="123"/>
  <c r="DR30" i="1"/>
  <c r="AP217" i="123"/>
  <c r="V217" i="123" s="1"/>
  <c r="FP113" i="93"/>
  <c r="FJ113" i="93"/>
  <c r="FP77" i="93"/>
  <c r="FJ77" i="93"/>
  <c r="FP88" i="93"/>
  <c r="FJ88" i="93"/>
  <c r="FP81" i="93"/>
  <c r="FJ81" i="93"/>
  <c r="FP70" i="93"/>
  <c r="FJ70" i="93"/>
  <c r="FP76" i="93"/>
  <c r="FJ76" i="93"/>
  <c r="FP112" i="93"/>
  <c r="FJ112" i="93"/>
  <c r="FP91" i="93"/>
  <c r="FJ91" i="93"/>
  <c r="FP73" i="93"/>
  <c r="FJ73" i="93"/>
  <c r="FP93" i="93"/>
  <c r="FJ93" i="93"/>
  <c r="FP95" i="93"/>
  <c r="FJ95" i="93"/>
  <c r="FP85" i="93"/>
  <c r="FJ85" i="93"/>
  <c r="FP84" i="93"/>
  <c r="FJ84" i="93"/>
  <c r="FP79" i="93"/>
  <c r="FJ79" i="93"/>
  <c r="FP78" i="93"/>
  <c r="FJ78" i="93"/>
  <c r="FP72" i="93"/>
  <c r="FJ72" i="93"/>
  <c r="FP92" i="93"/>
  <c r="FJ92" i="93"/>
  <c r="FP82" i="93"/>
  <c r="FJ82" i="93"/>
  <c r="FP83" i="93"/>
  <c r="FJ83" i="93"/>
  <c r="FP96" i="93"/>
  <c r="FJ96" i="93"/>
  <c r="FP94" i="93"/>
  <c r="FJ94" i="93"/>
  <c r="FP65" i="93"/>
  <c r="FJ65" i="93"/>
  <c r="BS215" i="123"/>
  <c r="DS62" i="1"/>
  <c r="BO215" i="123"/>
  <c r="DS58" i="1"/>
  <c r="BV215" i="123"/>
  <c r="DS65" i="1"/>
  <c r="BR215" i="123"/>
  <c r="DS61" i="1"/>
  <c r="BN215" i="123"/>
  <c r="DS57" i="1"/>
  <c r="BU215" i="123"/>
  <c r="DS64" i="1"/>
  <c r="BQ215" i="123"/>
  <c r="DS60" i="1"/>
  <c r="BM215" i="123"/>
  <c r="DS56" i="1"/>
  <c r="BT215" i="123"/>
  <c r="DS63" i="1"/>
  <c r="BP215" i="123"/>
  <c r="DS59" i="1"/>
  <c r="DS30" i="1"/>
  <c r="AP215" i="123"/>
  <c r="AP168" i="123"/>
  <c r="AP143" i="123"/>
  <c r="AP164" i="123"/>
  <c r="AP169" i="123"/>
  <c r="AP229" i="123"/>
  <c r="AP145" i="123"/>
  <c r="AP234" i="123"/>
  <c r="AP228" i="123"/>
  <c r="EH14" i="123"/>
  <c r="AP178" i="123"/>
  <c r="DO30" i="1"/>
  <c r="FT72" i="93"/>
  <c r="FU72" i="93"/>
  <c r="FV72" i="93"/>
  <c r="FW72" i="93"/>
  <c r="FX72" i="93"/>
  <c r="FY72" i="93"/>
  <c r="FZ72" i="93"/>
  <c r="GA72" i="93"/>
  <c r="GB72" i="93"/>
  <c r="GC72" i="93"/>
  <c r="FT113" i="93"/>
  <c r="FU113" i="93"/>
  <c r="FV113" i="93"/>
  <c r="FW113" i="93"/>
  <c r="FX113" i="93"/>
  <c r="FY113" i="93"/>
  <c r="FZ113" i="93"/>
  <c r="GA113" i="93"/>
  <c r="GB113" i="93"/>
  <c r="GC113" i="93"/>
  <c r="FT76" i="93"/>
  <c r="FU76" i="93"/>
  <c r="FV76" i="93"/>
  <c r="FW76" i="93"/>
  <c r="FX76" i="93"/>
  <c r="FY76" i="93"/>
  <c r="FZ76" i="93"/>
  <c r="GA76" i="93"/>
  <c r="GB76" i="93"/>
  <c r="GC76" i="93"/>
  <c r="AP172" i="123"/>
  <c r="AP153" i="123"/>
  <c r="EI97" i="123"/>
  <c r="DR96" i="93"/>
  <c r="DR106" i="93"/>
  <c r="DR102" i="93"/>
  <c r="DR98" i="93"/>
  <c r="DR94" i="93"/>
  <c r="DR110" i="93"/>
  <c r="DR111" i="93"/>
  <c r="DR100" i="93"/>
  <c r="DR101" i="93"/>
  <c r="DR88" i="93"/>
  <c r="DR105" i="93"/>
  <c r="DR84" i="93"/>
  <c r="DR112" i="93"/>
  <c r="DR99" i="93"/>
  <c r="DR95" i="93"/>
  <c r="DR108" i="93"/>
  <c r="DR103" i="93"/>
  <c r="DR66" i="93"/>
  <c r="DR83" i="93"/>
  <c r="DR104" i="93"/>
  <c r="DR109" i="93"/>
  <c r="DR97" i="93"/>
  <c r="DR70" i="93"/>
  <c r="DR107" i="93"/>
  <c r="DR91" i="93"/>
  <c r="AP227" i="123"/>
  <c r="AP233" i="123"/>
  <c r="AP159" i="123"/>
  <c r="GU24" i="1"/>
  <c r="GV24" i="1" s="1"/>
  <c r="GW24" i="1" s="1"/>
  <c r="GX24" i="1" s="1"/>
  <c r="GY24" i="1" s="1"/>
  <c r="GZ24" i="1" s="1"/>
  <c r="HA24" i="1" s="1"/>
  <c r="HB24" i="1" s="1"/>
  <c r="HC24" i="1" s="1"/>
  <c r="HD24" i="1" s="1"/>
  <c r="HE24" i="1" s="1"/>
  <c r="HF24" i="1" s="1"/>
  <c r="HG24" i="1" s="1"/>
  <c r="HH24" i="1" s="1"/>
  <c r="HI24" i="1" s="1"/>
  <c r="HJ24" i="1" s="1"/>
  <c r="HK24" i="1" s="1"/>
  <c r="HL24" i="1" s="1"/>
  <c r="HM24" i="1" s="1"/>
  <c r="HN24" i="1" s="1"/>
  <c r="HO24" i="1" s="1"/>
  <c r="HP24" i="1" s="1"/>
  <c r="HQ24" i="1" s="1"/>
  <c r="HR24" i="1" s="1"/>
  <c r="HS24" i="1" s="1"/>
  <c r="HT24" i="1" s="1"/>
  <c r="HU24" i="1" s="1"/>
  <c r="HV24" i="1" s="1"/>
  <c r="HW24" i="1" s="1"/>
  <c r="HX24" i="1" s="1"/>
  <c r="HY24" i="1" s="1"/>
  <c r="HZ24" i="1" s="1"/>
  <c r="IA24" i="1" s="1"/>
  <c r="IB24" i="1" s="1"/>
  <c r="IC24" i="1" s="1"/>
  <c r="ID24" i="1" s="1"/>
  <c r="IE24" i="1" s="1"/>
  <c r="IF24" i="1" s="1"/>
  <c r="IG24" i="1" s="1"/>
  <c r="IH24" i="1" s="1"/>
  <c r="II24" i="1" s="1"/>
  <c r="IJ24" i="1" s="1"/>
  <c r="IK24" i="1" s="1"/>
  <c r="IL24" i="1" s="1"/>
  <c r="IM24" i="1" s="1"/>
  <c r="IN24" i="1" s="1"/>
  <c r="IO24" i="1" s="1"/>
  <c r="IP24" i="1" s="1"/>
  <c r="IQ24" i="1" s="1"/>
  <c r="IR24" i="1" s="1"/>
  <c r="IS24" i="1" s="1"/>
  <c r="IT24" i="1" s="1"/>
  <c r="IU24" i="1" s="1"/>
  <c r="IV24" i="1" s="1"/>
  <c r="IW24" i="1" s="1"/>
  <c r="IX24" i="1" s="1"/>
  <c r="IY24" i="1" s="1"/>
  <c r="IZ24" i="1" s="1"/>
  <c r="JA24" i="1" s="1"/>
  <c r="JB24" i="1" s="1"/>
  <c r="JC24" i="1" s="1"/>
  <c r="JD24" i="1" s="1"/>
  <c r="JE24" i="1" s="1"/>
  <c r="JF24" i="1" s="1"/>
  <c r="JG24" i="1" s="1"/>
  <c r="JH24" i="1" s="1"/>
  <c r="JI24" i="1" s="1"/>
  <c r="JJ24" i="1" s="1"/>
  <c r="JK24" i="1" s="1"/>
  <c r="JL24" i="1" s="1"/>
  <c r="JM24" i="1" s="1"/>
  <c r="JN24" i="1" s="1"/>
  <c r="JO24" i="1" s="1"/>
  <c r="JP24" i="1" s="1"/>
  <c r="JQ24" i="1" s="1"/>
  <c r="JR24" i="1" s="1"/>
  <c r="JS24" i="1" s="1"/>
  <c r="JT24" i="1" s="1"/>
  <c r="JU24" i="1" s="1"/>
  <c r="JV24" i="1" s="1"/>
  <c r="JW24" i="1" s="1"/>
  <c r="JX24" i="1" s="1"/>
  <c r="JY24" i="1" s="1"/>
  <c r="JZ24" i="1" s="1"/>
  <c r="KA24" i="1" s="1"/>
  <c r="KB24" i="1" s="1"/>
  <c r="KC24" i="1" s="1"/>
  <c r="KD24" i="1" s="1"/>
  <c r="KE24" i="1" s="1"/>
  <c r="KF24" i="1" s="1"/>
  <c r="KG24" i="1" s="1"/>
  <c r="KH24" i="1" s="1"/>
  <c r="KI24" i="1" s="1"/>
  <c r="KJ24" i="1" s="1"/>
  <c r="KK24" i="1" s="1"/>
  <c r="KL24" i="1" s="1"/>
  <c r="KM24" i="1" s="1"/>
  <c r="KN24" i="1" s="1"/>
  <c r="KO24" i="1" s="1"/>
  <c r="KP24" i="1" s="1"/>
  <c r="KQ24" i="1" s="1"/>
  <c r="KR24" i="1" s="1"/>
  <c r="KS24" i="1" s="1"/>
  <c r="KT24" i="1" s="1"/>
  <c r="KU24" i="1" s="1"/>
  <c r="KV24" i="1" s="1"/>
  <c r="KW24" i="1" s="1"/>
  <c r="KX24" i="1" s="1"/>
  <c r="KY24" i="1" s="1"/>
  <c r="KZ24" i="1" s="1"/>
  <c r="LA24" i="1" s="1"/>
  <c r="LB24" i="1" s="1"/>
  <c r="LC24" i="1" s="1"/>
  <c r="LD24" i="1" s="1"/>
  <c r="LE24" i="1" s="1"/>
  <c r="LF24" i="1" s="1"/>
  <c r="LG24" i="1" s="1"/>
  <c r="LH24" i="1" s="1"/>
  <c r="LI24" i="1" s="1"/>
  <c r="LJ24" i="1" s="1"/>
  <c r="LK24" i="1" s="1"/>
  <c r="LL24" i="1" s="1"/>
  <c r="LM24" i="1" s="1"/>
  <c r="LN24" i="1" s="1"/>
  <c r="LO24" i="1" s="1"/>
  <c r="LP24" i="1" s="1"/>
  <c r="AP180" i="123"/>
  <c r="AP157" i="123"/>
  <c r="AP187" i="123"/>
  <c r="AP137" i="123"/>
  <c r="AP150" i="123"/>
  <c r="AP170" i="123"/>
  <c r="AP171" i="123"/>
  <c r="AP151" i="123"/>
  <c r="AP146" i="123"/>
  <c r="AP166" i="123"/>
  <c r="AP160" i="123"/>
  <c r="AP140" i="123"/>
  <c r="AP158" i="123"/>
  <c r="AP181" i="123"/>
  <c r="BQ205" i="123"/>
  <c r="BQ185" i="123"/>
  <c r="BQ177" i="123"/>
  <c r="BM177" i="123"/>
  <c r="BM185" i="123"/>
  <c r="BM205" i="123"/>
  <c r="BN205" i="123"/>
  <c r="BN185" i="123"/>
  <c r="BN177" i="123"/>
  <c r="AP205" i="123"/>
  <c r="AP177" i="123"/>
  <c r="AP185" i="123"/>
  <c r="AP184" i="123"/>
  <c r="AP176" i="123"/>
  <c r="AP161" i="123"/>
  <c r="AP141" i="123"/>
  <c r="AP167" i="123"/>
  <c r="AP147" i="123"/>
  <c r="BP185" i="123"/>
  <c r="BP177" i="123"/>
  <c r="BP205" i="123"/>
  <c r="BR205" i="123"/>
  <c r="BR185" i="123"/>
  <c r="BR177" i="123"/>
  <c r="AP156" i="123"/>
  <c r="AP179" i="123"/>
  <c r="AP186" i="123"/>
  <c r="AP142" i="123"/>
  <c r="AP188" i="123"/>
  <c r="AP162" i="123"/>
  <c r="BT205" i="123"/>
  <c r="BT185" i="123"/>
  <c r="BT177" i="123"/>
  <c r="BO177" i="123"/>
  <c r="BO205" i="123"/>
  <c r="BO185" i="123"/>
  <c r="BS205" i="123"/>
  <c r="BS177" i="123"/>
  <c r="BS185" i="123"/>
  <c r="AP139" i="123"/>
  <c r="AP134" i="123"/>
  <c r="AP135" i="123"/>
  <c r="AP138" i="123"/>
  <c r="AP132" i="123"/>
  <c r="AP136" i="123"/>
  <c r="GX124" i="123"/>
  <c r="AP130" i="123"/>
  <c r="AP133" i="123"/>
  <c r="AP129" i="123"/>
  <c r="IF168" i="1"/>
  <c r="IF18" i="1" s="1"/>
  <c r="FG169" i="1"/>
  <c r="FG22" i="1" s="1"/>
  <c r="FG163" i="1"/>
  <c r="FM91" i="1" s="1"/>
  <c r="FC169" i="1"/>
  <c r="FC22" i="1" s="1"/>
  <c r="FC163" i="1"/>
  <c r="FM95" i="1" s="1"/>
  <c r="EY169" i="1"/>
  <c r="EY22" i="1" s="1"/>
  <c r="EY163" i="1"/>
  <c r="FM99" i="1" s="1"/>
  <c r="EU169" i="1"/>
  <c r="EU22" i="1" s="1"/>
  <c r="EU163" i="1"/>
  <c r="FM103" i="1" s="1"/>
  <c r="EQ169" i="1"/>
  <c r="EQ163" i="1"/>
  <c r="FM107" i="1" s="1"/>
  <c r="EM169" i="1"/>
  <c r="EM163" i="1"/>
  <c r="FM111" i="1" s="1"/>
  <c r="EI169" i="1"/>
  <c r="EI163" i="1"/>
  <c r="FM115" i="1" s="1"/>
  <c r="EE169" i="1"/>
  <c r="EE163" i="1"/>
  <c r="FM119" i="1" s="1"/>
  <c r="EA169" i="1"/>
  <c r="EA163" i="1"/>
  <c r="FM123" i="1" s="1"/>
  <c r="DW169" i="1"/>
  <c r="DW163" i="1"/>
  <c r="FM127" i="1" s="1"/>
  <c r="DS163" i="1"/>
  <c r="FM131" i="1" s="1"/>
  <c r="DO163" i="1"/>
  <c r="FM135" i="1" s="1"/>
  <c r="DK163" i="1"/>
  <c r="FM139" i="1" s="1"/>
  <c r="FF163" i="1"/>
  <c r="FF169" i="1"/>
  <c r="FF22" i="1" s="1"/>
  <c r="FB163" i="1"/>
  <c r="FB169" i="1"/>
  <c r="FB22" i="1" s="1"/>
  <c r="EX163" i="1"/>
  <c r="EX169" i="1"/>
  <c r="EX22" i="1" s="1"/>
  <c r="ET163" i="1"/>
  <c r="ET169" i="1"/>
  <c r="ET22" i="1" s="1"/>
  <c r="EP163" i="1"/>
  <c r="FM108" i="1" s="1"/>
  <c r="EP169" i="1"/>
  <c r="EL163" i="1"/>
  <c r="FM112" i="1" s="1"/>
  <c r="EL169" i="1"/>
  <c r="EH163" i="1"/>
  <c r="FM116" i="1" s="1"/>
  <c r="EH169" i="1"/>
  <c r="ED163" i="1"/>
  <c r="FM120" i="1" s="1"/>
  <c r="ED169" i="1"/>
  <c r="DZ163" i="1"/>
  <c r="FM124" i="1" s="1"/>
  <c r="DZ169" i="1"/>
  <c r="DV163" i="1"/>
  <c r="FM128" i="1" s="1"/>
  <c r="DV169" i="1"/>
  <c r="DR163" i="1"/>
  <c r="FM132" i="1" s="1"/>
  <c r="DN163" i="1"/>
  <c r="FM136" i="1" s="1"/>
  <c r="FE163" i="1"/>
  <c r="FE169" i="1"/>
  <c r="FE22" i="1" s="1"/>
  <c r="FA163" i="1"/>
  <c r="FA169" i="1"/>
  <c r="FA22" i="1" s="1"/>
  <c r="EW169" i="1"/>
  <c r="EW22" i="1" s="1"/>
  <c r="EW163" i="1"/>
  <c r="ES163" i="1"/>
  <c r="FM105" i="1" s="1"/>
  <c r="EO169" i="1"/>
  <c r="EO163" i="1"/>
  <c r="FM109" i="1" s="1"/>
  <c r="EK163" i="1"/>
  <c r="FM113" i="1" s="1"/>
  <c r="EK169" i="1"/>
  <c r="EG163" i="1"/>
  <c r="FM117" i="1" s="1"/>
  <c r="EG169" i="1"/>
  <c r="EC163" i="1"/>
  <c r="FM121" i="1" s="1"/>
  <c r="EC169" i="1"/>
  <c r="DY169" i="1"/>
  <c r="DY163" i="1"/>
  <c r="FM125" i="1" s="1"/>
  <c r="DU163" i="1"/>
  <c r="FM129" i="1" s="1"/>
  <c r="DU169" i="1"/>
  <c r="DQ163" i="1"/>
  <c r="FM133" i="1" s="1"/>
  <c r="DM163" i="1"/>
  <c r="FM137" i="1" s="1"/>
  <c r="FD169" i="1"/>
  <c r="FD22" i="1" s="1"/>
  <c r="FD163" i="1"/>
  <c r="FM94" i="1" s="1"/>
  <c r="EZ169" i="1"/>
  <c r="EZ22" i="1" s="1"/>
  <c r="EZ163" i="1"/>
  <c r="FM98" i="1" s="1"/>
  <c r="EV169" i="1"/>
  <c r="EV22" i="1" s="1"/>
  <c r="EV163" i="1"/>
  <c r="FM102" i="1" s="1"/>
  <c r="ER169" i="1"/>
  <c r="ER22" i="1" s="1"/>
  <c r="ER163" i="1"/>
  <c r="FM106" i="1" s="1"/>
  <c r="EN169" i="1"/>
  <c r="EN163" i="1"/>
  <c r="FM110" i="1" s="1"/>
  <c r="EJ169" i="1"/>
  <c r="EJ163" i="1"/>
  <c r="FM114" i="1" s="1"/>
  <c r="EF169" i="1"/>
  <c r="EF163" i="1"/>
  <c r="FM118" i="1" s="1"/>
  <c r="EB169" i="1"/>
  <c r="EB163" i="1"/>
  <c r="FM122" i="1" s="1"/>
  <c r="DX169" i="1"/>
  <c r="DX163" i="1"/>
  <c r="FM126" i="1" s="1"/>
  <c r="DT163" i="1"/>
  <c r="FM130" i="1" s="1"/>
  <c r="DP163" i="1"/>
  <c r="FM134" i="1" s="1"/>
  <c r="DL163" i="1"/>
  <c r="FM138" i="1" s="1"/>
  <c r="EI122" i="123"/>
  <c r="EI125" i="123" s="1"/>
  <c r="DR62" i="1" l="1"/>
  <c r="BS217" i="123"/>
  <c r="DR58" i="1"/>
  <c r="BO217" i="123"/>
  <c r="DR65" i="1"/>
  <c r="BV217" i="123"/>
  <c r="DR61" i="1"/>
  <c r="BR217" i="123"/>
  <c r="DR57" i="1"/>
  <c r="BN217" i="123"/>
  <c r="DR64" i="1"/>
  <c r="BU217" i="123"/>
  <c r="DR60" i="1"/>
  <c r="BQ217" i="123"/>
  <c r="DR56" i="1"/>
  <c r="BM217" i="123"/>
  <c r="DR63" i="1"/>
  <c r="BT217" i="123"/>
  <c r="DR59" i="1"/>
  <c r="BP217" i="123"/>
  <c r="DX56" i="1"/>
  <c r="DX60" i="1"/>
  <c r="DX62" i="1"/>
  <c r="DX47" i="1"/>
  <c r="DX57" i="1"/>
  <c r="DX58" i="1"/>
  <c r="DX63" i="1"/>
  <c r="DX48" i="1"/>
  <c r="DX65" i="1"/>
  <c r="DX50" i="1"/>
  <c r="DX54" i="1"/>
  <c r="DX61" i="1"/>
  <c r="DX45" i="1"/>
  <c r="DX51" i="1"/>
  <c r="DX59" i="1"/>
  <c r="DX53" i="1"/>
  <c r="DX46" i="1"/>
  <c r="DX64" i="1"/>
  <c r="DX49" i="1"/>
  <c r="DX52" i="1"/>
  <c r="EN56" i="1"/>
  <c r="EN60" i="1"/>
  <c r="EN62" i="1"/>
  <c r="EN47" i="1"/>
  <c r="EN57" i="1"/>
  <c r="EN58" i="1"/>
  <c r="EN63" i="1"/>
  <c r="EN48" i="1"/>
  <c r="EN65" i="1"/>
  <c r="EN50" i="1"/>
  <c r="EN54" i="1"/>
  <c r="EN61" i="1"/>
  <c r="EN45" i="1"/>
  <c r="EN51" i="1"/>
  <c r="EN53" i="1"/>
  <c r="EN59" i="1"/>
  <c r="EN46" i="1"/>
  <c r="EN64" i="1"/>
  <c r="EN49" i="1"/>
  <c r="EN52" i="1"/>
  <c r="EV56" i="1"/>
  <c r="EV78" i="1"/>
  <c r="EV82" i="1"/>
  <c r="EV86" i="1"/>
  <c r="EV60" i="1"/>
  <c r="EV79" i="1"/>
  <c r="EV83" i="1"/>
  <c r="EV87" i="1"/>
  <c r="EV57" i="1"/>
  <c r="EV81" i="1"/>
  <c r="EV62" i="1"/>
  <c r="EV47" i="1"/>
  <c r="EV80" i="1"/>
  <c r="EV58" i="1"/>
  <c r="EV63" i="1"/>
  <c r="EV48" i="1"/>
  <c r="EV65" i="1"/>
  <c r="EV50" i="1"/>
  <c r="EV54" i="1"/>
  <c r="EV24" i="1"/>
  <c r="EV84" i="1"/>
  <c r="EV85" i="1"/>
  <c r="EV59" i="1"/>
  <c r="EV45" i="1"/>
  <c r="EV51" i="1"/>
  <c r="EV61" i="1"/>
  <c r="EV64" i="1"/>
  <c r="EV49" i="1"/>
  <c r="EV53" i="1"/>
  <c r="EV46" i="1"/>
  <c r="EV52" i="1"/>
  <c r="FD56" i="1"/>
  <c r="FD78" i="1"/>
  <c r="FD82" i="1"/>
  <c r="FD86" i="1"/>
  <c r="FD60" i="1"/>
  <c r="FD79" i="1"/>
  <c r="FD83" i="1"/>
  <c r="FD87" i="1"/>
  <c r="FD57" i="1"/>
  <c r="FD85" i="1"/>
  <c r="FD62" i="1"/>
  <c r="FD47" i="1"/>
  <c r="FD84" i="1"/>
  <c r="FD58" i="1"/>
  <c r="FD63" i="1"/>
  <c r="FD48" i="1"/>
  <c r="FD65" i="1"/>
  <c r="FD50" i="1"/>
  <c r="FD54" i="1"/>
  <c r="FD24" i="1"/>
  <c r="FD61" i="1"/>
  <c r="FD81" i="1"/>
  <c r="FD45" i="1"/>
  <c r="FD51" i="1"/>
  <c r="FD80" i="1"/>
  <c r="FD53" i="1"/>
  <c r="FD46" i="1"/>
  <c r="FD59" i="1"/>
  <c r="FD64" i="1"/>
  <c r="FD49" i="1"/>
  <c r="FD52" i="1"/>
  <c r="DV56" i="1"/>
  <c r="DV58" i="1"/>
  <c r="DV57" i="1"/>
  <c r="DV59" i="1"/>
  <c r="DV64" i="1"/>
  <c r="DV45" i="1"/>
  <c r="DV49" i="1"/>
  <c r="DV60" i="1"/>
  <c r="DV61" i="1"/>
  <c r="DV65" i="1"/>
  <c r="DV46" i="1"/>
  <c r="DV50" i="1"/>
  <c r="DV52" i="1"/>
  <c r="DV63" i="1"/>
  <c r="DV62" i="1"/>
  <c r="DV47" i="1"/>
  <c r="DV53" i="1"/>
  <c r="DV48" i="1"/>
  <c r="DV51" i="1"/>
  <c r="DV54" i="1"/>
  <c r="EL56" i="1"/>
  <c r="EL58" i="1"/>
  <c r="EL57" i="1"/>
  <c r="EL59" i="1"/>
  <c r="EL64" i="1"/>
  <c r="EL45" i="1"/>
  <c r="EL49" i="1"/>
  <c r="EL60" i="1"/>
  <c r="EL61" i="1"/>
  <c r="EL65" i="1"/>
  <c r="EL46" i="1"/>
  <c r="EL52" i="1"/>
  <c r="EL63" i="1"/>
  <c r="EL62" i="1"/>
  <c r="EL47" i="1"/>
  <c r="EL53" i="1"/>
  <c r="EL48" i="1"/>
  <c r="EL50" i="1"/>
  <c r="EL51" i="1"/>
  <c r="EL54" i="1"/>
  <c r="ET56" i="1"/>
  <c r="ET79" i="1"/>
  <c r="ET83" i="1"/>
  <c r="ET87" i="1"/>
  <c r="ET58" i="1"/>
  <c r="ET80" i="1"/>
  <c r="ET84" i="1"/>
  <c r="ET59" i="1"/>
  <c r="ET78" i="1"/>
  <c r="ET86" i="1"/>
  <c r="ET57" i="1"/>
  <c r="ET64" i="1"/>
  <c r="ET45" i="1"/>
  <c r="ET49" i="1"/>
  <c r="ET85" i="1"/>
  <c r="ET60" i="1"/>
  <c r="ET61" i="1"/>
  <c r="ET65" i="1"/>
  <c r="ET46" i="1"/>
  <c r="ET81" i="1"/>
  <c r="ET52" i="1"/>
  <c r="ET62" i="1"/>
  <c r="ET47" i="1"/>
  <c r="ET53" i="1"/>
  <c r="ET63" i="1"/>
  <c r="ET82" i="1"/>
  <c r="ET50" i="1"/>
  <c r="ET24" i="1"/>
  <c r="ET51" i="1"/>
  <c r="ET48" i="1"/>
  <c r="ET54" i="1"/>
  <c r="FB56" i="1"/>
  <c r="FB79" i="1"/>
  <c r="FB83" i="1"/>
  <c r="FB87" i="1"/>
  <c r="FB58" i="1"/>
  <c r="FB80" i="1"/>
  <c r="FB84" i="1"/>
  <c r="FB59" i="1"/>
  <c r="FB82" i="1"/>
  <c r="FB57" i="1"/>
  <c r="FB64" i="1"/>
  <c r="FB45" i="1"/>
  <c r="FB49" i="1"/>
  <c r="FB81" i="1"/>
  <c r="FB60" i="1"/>
  <c r="FB61" i="1"/>
  <c r="FB65" i="1"/>
  <c r="FB46" i="1"/>
  <c r="FB52" i="1"/>
  <c r="FB63" i="1"/>
  <c r="FB86" i="1"/>
  <c r="FB62" i="1"/>
  <c r="FB47" i="1"/>
  <c r="FB53" i="1"/>
  <c r="FB85" i="1"/>
  <c r="FB78" i="1"/>
  <c r="FB48" i="1"/>
  <c r="FB50" i="1"/>
  <c r="FB24" i="1"/>
  <c r="FB51" i="1"/>
  <c r="FB54" i="1"/>
  <c r="DW57" i="1"/>
  <c r="DW56" i="1"/>
  <c r="DW58" i="1"/>
  <c r="DW63" i="1"/>
  <c r="DW48" i="1"/>
  <c r="DW59" i="1"/>
  <c r="DW64" i="1"/>
  <c r="DW45" i="1"/>
  <c r="DW49" i="1"/>
  <c r="DW51" i="1"/>
  <c r="DW62" i="1"/>
  <c r="DW61" i="1"/>
  <c r="DW46" i="1"/>
  <c r="DW52" i="1"/>
  <c r="DW54" i="1"/>
  <c r="DW47" i="1"/>
  <c r="DW65" i="1"/>
  <c r="DW50" i="1"/>
  <c r="DW60" i="1"/>
  <c r="DW53" i="1"/>
  <c r="EM57" i="1"/>
  <c r="EM56" i="1"/>
  <c r="EM58" i="1"/>
  <c r="EM63" i="1"/>
  <c r="EM48" i="1"/>
  <c r="EM59" i="1"/>
  <c r="EM64" i="1"/>
  <c r="EM45" i="1"/>
  <c r="EM49" i="1"/>
  <c r="EM51" i="1"/>
  <c r="EM62" i="1"/>
  <c r="EM61" i="1"/>
  <c r="EM46" i="1"/>
  <c r="EM52" i="1"/>
  <c r="EM60" i="1"/>
  <c r="EM54" i="1"/>
  <c r="EM47" i="1"/>
  <c r="EM65" i="1"/>
  <c r="EM50" i="1"/>
  <c r="EM53" i="1"/>
  <c r="FC79" i="1"/>
  <c r="FC81" i="1"/>
  <c r="FC83" i="1"/>
  <c r="FC85" i="1"/>
  <c r="FC87" i="1"/>
  <c r="FC78" i="1"/>
  <c r="FC80" i="1"/>
  <c r="FC82" i="1"/>
  <c r="FC84" i="1"/>
  <c r="FC86" i="1"/>
  <c r="FC57" i="1"/>
  <c r="FC56" i="1"/>
  <c r="FC58" i="1"/>
  <c r="FC63" i="1"/>
  <c r="FC48" i="1"/>
  <c r="FC59" i="1"/>
  <c r="FC64" i="1"/>
  <c r="FC45" i="1"/>
  <c r="FC49" i="1"/>
  <c r="FC51" i="1"/>
  <c r="FC62" i="1"/>
  <c r="FC61" i="1"/>
  <c r="FC46" i="1"/>
  <c r="FC52" i="1"/>
  <c r="FC54" i="1"/>
  <c r="FC60" i="1"/>
  <c r="FC47" i="1"/>
  <c r="FC65" i="1"/>
  <c r="FC50" i="1"/>
  <c r="FC24" i="1"/>
  <c r="FC53" i="1"/>
  <c r="EB56" i="1"/>
  <c r="EB57" i="1"/>
  <c r="EB60" i="1"/>
  <c r="EB59" i="1"/>
  <c r="EB62" i="1"/>
  <c r="EB47" i="1"/>
  <c r="EB63" i="1"/>
  <c r="EB48" i="1"/>
  <c r="EB58" i="1"/>
  <c r="EB61" i="1"/>
  <c r="EB46" i="1"/>
  <c r="EB50" i="1"/>
  <c r="EB54" i="1"/>
  <c r="EB64" i="1"/>
  <c r="EB49" i="1"/>
  <c r="EB51" i="1"/>
  <c r="EB52" i="1"/>
  <c r="EB45" i="1"/>
  <c r="EB53" i="1"/>
  <c r="EB65" i="1"/>
  <c r="ER56" i="1"/>
  <c r="ER80" i="1"/>
  <c r="ER84" i="1"/>
  <c r="ER60" i="1"/>
  <c r="ER81" i="1"/>
  <c r="ER85" i="1"/>
  <c r="ER57" i="1"/>
  <c r="ER83" i="1"/>
  <c r="ER59" i="1"/>
  <c r="ER62" i="1"/>
  <c r="ER47" i="1"/>
  <c r="ER82" i="1"/>
  <c r="ER63" i="1"/>
  <c r="ER48" i="1"/>
  <c r="ER86" i="1"/>
  <c r="ER58" i="1"/>
  <c r="ER61" i="1"/>
  <c r="ER46" i="1"/>
  <c r="ER50" i="1"/>
  <c r="ER54" i="1"/>
  <c r="ER24" i="1"/>
  <c r="ER79" i="1"/>
  <c r="ER64" i="1"/>
  <c r="ER49" i="1"/>
  <c r="ER51" i="1"/>
  <c r="ER78" i="1"/>
  <c r="ER87" i="1"/>
  <c r="ER52" i="1"/>
  <c r="ER45" i="1"/>
  <c r="ER53" i="1"/>
  <c r="ER65" i="1"/>
  <c r="EZ56" i="1"/>
  <c r="EZ80" i="1"/>
  <c r="EZ84" i="1"/>
  <c r="EZ60" i="1"/>
  <c r="EZ81" i="1"/>
  <c r="EZ85" i="1"/>
  <c r="EZ57" i="1"/>
  <c r="EZ79" i="1"/>
  <c r="EZ87" i="1"/>
  <c r="EZ59" i="1"/>
  <c r="EZ62" i="1"/>
  <c r="EZ47" i="1"/>
  <c r="EZ78" i="1"/>
  <c r="EZ86" i="1"/>
  <c r="EZ63" i="1"/>
  <c r="EZ48" i="1"/>
  <c r="EZ82" i="1"/>
  <c r="EZ61" i="1"/>
  <c r="EZ46" i="1"/>
  <c r="EZ50" i="1"/>
  <c r="EZ54" i="1"/>
  <c r="EZ24" i="1"/>
  <c r="EZ64" i="1"/>
  <c r="EZ49" i="1"/>
  <c r="EZ51" i="1"/>
  <c r="EZ58" i="1"/>
  <c r="EZ45" i="1"/>
  <c r="EZ83" i="1"/>
  <c r="EZ65" i="1"/>
  <c r="EZ52" i="1"/>
  <c r="EZ53" i="1"/>
  <c r="DY57" i="1"/>
  <c r="DY59" i="1"/>
  <c r="DY60" i="1"/>
  <c r="DY61" i="1"/>
  <c r="DY65" i="1"/>
  <c r="DY46" i="1"/>
  <c r="DY56" i="1"/>
  <c r="DY62" i="1"/>
  <c r="DY47" i="1"/>
  <c r="DY64" i="1"/>
  <c r="DY49" i="1"/>
  <c r="DY53" i="1"/>
  <c r="DY50" i="1"/>
  <c r="DY54" i="1"/>
  <c r="DY52" i="1"/>
  <c r="DY58" i="1"/>
  <c r="DY45" i="1"/>
  <c r="DY48" i="1"/>
  <c r="DY63" i="1"/>
  <c r="DY51" i="1"/>
  <c r="EO57" i="1"/>
  <c r="EO59" i="1"/>
  <c r="EO60" i="1"/>
  <c r="EO61" i="1"/>
  <c r="EO65" i="1"/>
  <c r="EO46" i="1"/>
  <c r="EO56" i="1"/>
  <c r="EO62" i="1"/>
  <c r="EO47" i="1"/>
  <c r="EO64" i="1"/>
  <c r="EO49" i="1"/>
  <c r="EO53" i="1"/>
  <c r="EO50" i="1"/>
  <c r="EO54" i="1"/>
  <c r="EO52" i="1"/>
  <c r="EO63" i="1"/>
  <c r="EO45" i="1"/>
  <c r="EO58" i="1"/>
  <c r="EO48" i="1"/>
  <c r="EO51" i="1"/>
  <c r="EF56" i="1"/>
  <c r="EF60" i="1"/>
  <c r="EF62" i="1"/>
  <c r="EF47" i="1"/>
  <c r="EF58" i="1"/>
  <c r="EF63" i="1"/>
  <c r="EF48" i="1"/>
  <c r="EF65" i="1"/>
  <c r="EF50" i="1"/>
  <c r="EF54" i="1"/>
  <c r="EF59" i="1"/>
  <c r="EF45" i="1"/>
  <c r="EF51" i="1"/>
  <c r="EF57" i="1"/>
  <c r="EF61" i="1"/>
  <c r="EF64" i="1"/>
  <c r="EF49" i="1"/>
  <c r="EF53" i="1"/>
  <c r="EF46" i="1"/>
  <c r="EF52" i="1"/>
  <c r="FE78" i="1"/>
  <c r="FE80" i="1"/>
  <c r="FE82" i="1"/>
  <c r="FE84" i="1"/>
  <c r="FE86" i="1"/>
  <c r="FE79" i="1"/>
  <c r="FE81" i="1"/>
  <c r="FE83" i="1"/>
  <c r="FE85" i="1"/>
  <c r="FE87" i="1"/>
  <c r="FE59" i="1"/>
  <c r="FE60" i="1"/>
  <c r="FE61" i="1"/>
  <c r="FE65" i="1"/>
  <c r="FE46" i="1"/>
  <c r="FE56" i="1"/>
  <c r="FE57" i="1"/>
  <c r="FE62" i="1"/>
  <c r="FE47" i="1"/>
  <c r="FE64" i="1"/>
  <c r="FE49" i="1"/>
  <c r="FE53" i="1"/>
  <c r="FE50" i="1"/>
  <c r="FE54" i="1"/>
  <c r="FE24" i="1"/>
  <c r="FE52" i="1"/>
  <c r="FE45" i="1"/>
  <c r="FE48" i="1"/>
  <c r="FE58" i="1"/>
  <c r="FE63" i="1"/>
  <c r="FE51" i="1"/>
  <c r="ED56" i="1"/>
  <c r="ED58" i="1"/>
  <c r="ED57" i="1"/>
  <c r="ED59" i="1"/>
  <c r="ED64" i="1"/>
  <c r="ED45" i="1"/>
  <c r="ED49" i="1"/>
  <c r="ED60" i="1"/>
  <c r="ED61" i="1"/>
  <c r="ED65" i="1"/>
  <c r="ED46" i="1"/>
  <c r="ED52" i="1"/>
  <c r="ED62" i="1"/>
  <c r="ED47" i="1"/>
  <c r="ED53" i="1"/>
  <c r="ED63" i="1"/>
  <c r="ED50" i="1"/>
  <c r="ED51" i="1"/>
  <c r="ED48" i="1"/>
  <c r="ED54" i="1"/>
  <c r="EE57" i="1"/>
  <c r="EE56" i="1"/>
  <c r="EE58" i="1"/>
  <c r="EE63" i="1"/>
  <c r="EE48" i="1"/>
  <c r="EE59" i="1"/>
  <c r="EE64" i="1"/>
  <c r="EE45" i="1"/>
  <c r="EE49" i="1"/>
  <c r="EE51" i="1"/>
  <c r="EE60" i="1"/>
  <c r="EE61" i="1"/>
  <c r="EE46" i="1"/>
  <c r="EE52" i="1"/>
  <c r="EE62" i="1"/>
  <c r="EE65" i="1"/>
  <c r="EE54" i="1"/>
  <c r="EE50" i="1"/>
  <c r="EE47" i="1"/>
  <c r="EE53" i="1"/>
  <c r="EU79" i="1"/>
  <c r="EU81" i="1"/>
  <c r="EU83" i="1"/>
  <c r="EU85" i="1"/>
  <c r="EU87" i="1"/>
  <c r="EU78" i="1"/>
  <c r="EU80" i="1"/>
  <c r="EU82" i="1"/>
  <c r="EU84" i="1"/>
  <c r="EU86" i="1"/>
  <c r="EU57" i="1"/>
  <c r="EU56" i="1"/>
  <c r="EU58" i="1"/>
  <c r="EU63" i="1"/>
  <c r="EU48" i="1"/>
  <c r="EU59" i="1"/>
  <c r="EU64" i="1"/>
  <c r="EU45" i="1"/>
  <c r="EU49" i="1"/>
  <c r="EU51" i="1"/>
  <c r="EU60" i="1"/>
  <c r="EU61" i="1"/>
  <c r="EU46" i="1"/>
  <c r="EU52" i="1"/>
  <c r="EU62" i="1"/>
  <c r="EU65" i="1"/>
  <c r="EU54" i="1"/>
  <c r="EU50" i="1"/>
  <c r="EU24" i="1"/>
  <c r="EU47" i="1"/>
  <c r="EU53" i="1"/>
  <c r="EG57" i="1"/>
  <c r="EG59" i="1"/>
  <c r="EG60" i="1"/>
  <c r="EG61" i="1"/>
  <c r="EG65" i="1"/>
  <c r="EG46" i="1"/>
  <c r="EG62" i="1"/>
  <c r="EG47" i="1"/>
  <c r="EG56" i="1"/>
  <c r="EG64" i="1"/>
  <c r="EG49" i="1"/>
  <c r="EG53" i="1"/>
  <c r="EG58" i="1"/>
  <c r="EG50" i="1"/>
  <c r="EG54" i="1"/>
  <c r="EG63" i="1"/>
  <c r="EG48" i="1"/>
  <c r="EG52" i="1"/>
  <c r="EG45" i="1"/>
  <c r="EG51" i="1"/>
  <c r="EW78" i="1"/>
  <c r="EW80" i="1"/>
  <c r="EW82" i="1"/>
  <c r="EW84" i="1"/>
  <c r="EW86" i="1"/>
  <c r="EW79" i="1"/>
  <c r="EW81" i="1"/>
  <c r="EW83" i="1"/>
  <c r="EW85" i="1"/>
  <c r="EW87" i="1"/>
  <c r="EW59" i="1"/>
  <c r="EW60" i="1"/>
  <c r="EW61" i="1"/>
  <c r="EW65" i="1"/>
  <c r="EW46" i="1"/>
  <c r="EW57" i="1"/>
  <c r="EW62" i="1"/>
  <c r="EW47" i="1"/>
  <c r="EW64" i="1"/>
  <c r="EW49" i="1"/>
  <c r="EW53" i="1"/>
  <c r="EW56" i="1"/>
  <c r="EW58" i="1"/>
  <c r="EW50" i="1"/>
  <c r="EW54" i="1"/>
  <c r="EW24" i="1"/>
  <c r="EW48" i="1"/>
  <c r="EW52" i="1"/>
  <c r="EW63" i="1"/>
  <c r="EW45" i="1"/>
  <c r="EW51" i="1"/>
  <c r="EJ56" i="1"/>
  <c r="EJ57" i="1"/>
  <c r="EJ60" i="1"/>
  <c r="EJ59" i="1"/>
  <c r="EJ62" i="1"/>
  <c r="EJ47" i="1"/>
  <c r="EJ63" i="1"/>
  <c r="EJ48" i="1"/>
  <c r="EJ61" i="1"/>
  <c r="EJ46" i="1"/>
  <c r="EJ50" i="1"/>
  <c r="EJ54" i="1"/>
  <c r="EJ58" i="1"/>
  <c r="EJ64" i="1"/>
  <c r="EJ49" i="1"/>
  <c r="EJ51" i="1"/>
  <c r="EJ45" i="1"/>
  <c r="EJ65" i="1"/>
  <c r="EJ52" i="1"/>
  <c r="EJ53" i="1"/>
  <c r="FA78" i="1"/>
  <c r="FA80" i="1"/>
  <c r="FA82" i="1"/>
  <c r="FA84" i="1"/>
  <c r="FA86" i="1"/>
  <c r="FA79" i="1"/>
  <c r="FA81" i="1"/>
  <c r="FA83" i="1"/>
  <c r="FA85" i="1"/>
  <c r="FA87" i="1"/>
  <c r="FA56" i="1"/>
  <c r="FA59" i="1"/>
  <c r="FA60" i="1"/>
  <c r="FA58" i="1"/>
  <c r="FA61" i="1"/>
  <c r="FA65" i="1"/>
  <c r="FA46" i="1"/>
  <c r="FA62" i="1"/>
  <c r="FA47" i="1"/>
  <c r="FA45" i="1"/>
  <c r="FA53" i="1"/>
  <c r="FA57" i="1"/>
  <c r="FA63" i="1"/>
  <c r="FA48" i="1"/>
  <c r="FA50" i="1"/>
  <c r="FA54" i="1"/>
  <c r="FA24" i="1"/>
  <c r="FA64" i="1"/>
  <c r="FA49" i="1"/>
  <c r="FA51" i="1"/>
  <c r="FA52" i="1"/>
  <c r="DZ45" i="1"/>
  <c r="DZ49" i="1"/>
  <c r="DZ46" i="1"/>
  <c r="DZ48" i="1"/>
  <c r="DZ52" i="1"/>
  <c r="DZ53" i="1"/>
  <c r="DZ51" i="1"/>
  <c r="DZ54" i="1"/>
  <c r="DZ47" i="1"/>
  <c r="DZ50" i="1"/>
  <c r="EH56" i="1"/>
  <c r="EH58" i="1"/>
  <c r="EH59" i="1"/>
  <c r="EH57" i="1"/>
  <c r="EH64" i="1"/>
  <c r="EH45" i="1"/>
  <c r="EH49" i="1"/>
  <c r="EH61" i="1"/>
  <c r="EH65" i="1"/>
  <c r="EH46" i="1"/>
  <c r="EH63" i="1"/>
  <c r="EH48" i="1"/>
  <c r="EH52" i="1"/>
  <c r="EH53" i="1"/>
  <c r="EH60" i="1"/>
  <c r="EH47" i="1"/>
  <c r="EH51" i="1"/>
  <c r="EH54" i="1"/>
  <c r="EH62" i="1"/>
  <c r="EH50" i="1"/>
  <c r="EP56" i="1"/>
  <c r="EP58" i="1"/>
  <c r="EP59" i="1"/>
  <c r="EP64" i="1"/>
  <c r="EP45" i="1"/>
  <c r="EP49" i="1"/>
  <c r="EP61" i="1"/>
  <c r="EP65" i="1"/>
  <c r="EP46" i="1"/>
  <c r="EP60" i="1"/>
  <c r="EP63" i="1"/>
  <c r="EP48" i="1"/>
  <c r="EP52" i="1"/>
  <c r="EP53" i="1"/>
  <c r="EP51" i="1"/>
  <c r="EP54" i="1"/>
  <c r="EP47" i="1"/>
  <c r="EP57" i="1"/>
  <c r="EP62" i="1"/>
  <c r="EP50" i="1"/>
  <c r="EX56" i="1"/>
  <c r="EX81" i="1"/>
  <c r="EX85" i="1"/>
  <c r="EX58" i="1"/>
  <c r="EX78" i="1"/>
  <c r="EX82" i="1"/>
  <c r="EX86" i="1"/>
  <c r="EX59" i="1"/>
  <c r="EX84" i="1"/>
  <c r="EX64" i="1"/>
  <c r="EX45" i="1"/>
  <c r="EX49" i="1"/>
  <c r="EX83" i="1"/>
  <c r="EX61" i="1"/>
  <c r="EX65" i="1"/>
  <c r="EX46" i="1"/>
  <c r="EX87" i="1"/>
  <c r="EX63" i="1"/>
  <c r="EX48" i="1"/>
  <c r="EX52" i="1"/>
  <c r="EX79" i="1"/>
  <c r="EX60" i="1"/>
  <c r="EX80" i="1"/>
  <c r="EX57" i="1"/>
  <c r="EX53" i="1"/>
  <c r="EX62" i="1"/>
  <c r="EX47" i="1"/>
  <c r="EX51" i="1"/>
  <c r="EX54" i="1"/>
  <c r="EX50" i="1"/>
  <c r="EX24" i="1"/>
  <c r="FF56" i="1"/>
  <c r="FF81" i="1"/>
  <c r="FF85" i="1"/>
  <c r="FF58" i="1"/>
  <c r="FF78" i="1"/>
  <c r="FF82" i="1"/>
  <c r="FF86" i="1"/>
  <c r="FF59" i="1"/>
  <c r="FF80" i="1"/>
  <c r="FF64" i="1"/>
  <c r="FF45" i="1"/>
  <c r="FF49" i="1"/>
  <c r="FF79" i="1"/>
  <c r="FF87" i="1"/>
  <c r="FF61" i="1"/>
  <c r="FF65" i="1"/>
  <c r="FF46" i="1"/>
  <c r="FF83" i="1"/>
  <c r="FF60" i="1"/>
  <c r="FF63" i="1"/>
  <c r="FF48" i="1"/>
  <c r="FF52" i="1"/>
  <c r="FF53" i="1"/>
  <c r="FF57" i="1"/>
  <c r="FF51" i="1"/>
  <c r="FF62" i="1"/>
  <c r="FF54" i="1"/>
  <c r="FF84" i="1"/>
  <c r="FF47" i="1"/>
  <c r="FF50" i="1"/>
  <c r="FF24" i="1"/>
  <c r="EA57" i="1"/>
  <c r="EA58" i="1"/>
  <c r="EA60" i="1"/>
  <c r="EA63" i="1"/>
  <c r="EA48" i="1"/>
  <c r="EA64" i="1"/>
  <c r="EA45" i="1"/>
  <c r="EA49" i="1"/>
  <c r="EA59" i="1"/>
  <c r="EA62" i="1"/>
  <c r="EA47" i="1"/>
  <c r="EA51" i="1"/>
  <c r="EA65" i="1"/>
  <c r="EA52" i="1"/>
  <c r="EA50" i="1"/>
  <c r="EA56" i="1"/>
  <c r="EA53" i="1"/>
  <c r="EA46" i="1"/>
  <c r="EA54" i="1"/>
  <c r="EA61" i="1"/>
  <c r="EI57" i="1"/>
  <c r="EI58" i="1"/>
  <c r="EI56" i="1"/>
  <c r="EI60" i="1"/>
  <c r="EI63" i="1"/>
  <c r="EI48" i="1"/>
  <c r="EI64" i="1"/>
  <c r="EI45" i="1"/>
  <c r="EI49" i="1"/>
  <c r="EI62" i="1"/>
  <c r="EI47" i="1"/>
  <c r="EI51" i="1"/>
  <c r="EI59" i="1"/>
  <c r="EI65" i="1"/>
  <c r="EI52" i="1"/>
  <c r="EI61" i="1"/>
  <c r="EI46" i="1"/>
  <c r="EI50" i="1"/>
  <c r="EI53" i="1"/>
  <c r="EI54" i="1"/>
  <c r="EQ57" i="1"/>
  <c r="EQ58" i="1"/>
  <c r="EQ60" i="1"/>
  <c r="EQ63" i="1"/>
  <c r="EQ48" i="1"/>
  <c r="EQ64" i="1"/>
  <c r="EQ45" i="1"/>
  <c r="EQ49" i="1"/>
  <c r="EQ59" i="1"/>
  <c r="EQ62" i="1"/>
  <c r="EQ47" i="1"/>
  <c r="EQ51" i="1"/>
  <c r="EQ56" i="1"/>
  <c r="EQ65" i="1"/>
  <c r="EQ52" i="1"/>
  <c r="EQ50" i="1"/>
  <c r="EQ61" i="1"/>
  <c r="EQ53" i="1"/>
  <c r="EQ46" i="1"/>
  <c r="EQ54" i="1"/>
  <c r="EY79" i="1"/>
  <c r="EY81" i="1"/>
  <c r="EY83" i="1"/>
  <c r="EY85" i="1"/>
  <c r="EY87" i="1"/>
  <c r="EY78" i="1"/>
  <c r="EY80" i="1"/>
  <c r="EY82" i="1"/>
  <c r="EY84" i="1"/>
  <c r="EY86" i="1"/>
  <c r="EY57" i="1"/>
  <c r="EY58" i="1"/>
  <c r="EY56" i="1"/>
  <c r="EY60" i="1"/>
  <c r="EY63" i="1"/>
  <c r="EY48" i="1"/>
  <c r="EY64" i="1"/>
  <c r="EY45" i="1"/>
  <c r="EY49" i="1"/>
  <c r="EY62" i="1"/>
  <c r="EY47" i="1"/>
  <c r="EY51" i="1"/>
  <c r="EY65" i="1"/>
  <c r="EY52" i="1"/>
  <c r="EY59" i="1"/>
  <c r="EY46" i="1"/>
  <c r="EY50" i="1"/>
  <c r="EY24" i="1"/>
  <c r="EY53" i="1"/>
  <c r="EY61" i="1"/>
  <c r="EY54" i="1"/>
  <c r="FG79" i="1"/>
  <c r="FG81" i="1"/>
  <c r="FG83" i="1"/>
  <c r="FG85" i="1"/>
  <c r="FG87" i="1"/>
  <c r="FG78" i="1"/>
  <c r="FG80" i="1"/>
  <c r="FG82" i="1"/>
  <c r="FG84" i="1"/>
  <c r="FG86" i="1"/>
  <c r="FG57" i="1"/>
  <c r="FG58" i="1"/>
  <c r="FG60" i="1"/>
  <c r="FG63" i="1"/>
  <c r="FG48" i="1"/>
  <c r="FG64" i="1"/>
  <c r="FG45" i="1"/>
  <c r="FG49" i="1"/>
  <c r="FG59" i="1"/>
  <c r="FG62" i="1"/>
  <c r="FG47" i="1"/>
  <c r="FG51" i="1"/>
  <c r="FG65" i="1"/>
  <c r="FG52" i="1"/>
  <c r="FG50" i="1"/>
  <c r="FG24" i="1"/>
  <c r="FG53" i="1"/>
  <c r="FG56" i="1"/>
  <c r="FG46" i="1"/>
  <c r="FG54" i="1"/>
  <c r="FG61" i="1"/>
  <c r="DU46" i="1"/>
  <c r="DU50" i="1"/>
  <c r="DU47" i="1"/>
  <c r="DU45" i="1"/>
  <c r="DU53" i="1"/>
  <c r="DU48" i="1"/>
  <c r="DU54" i="1"/>
  <c r="DU49" i="1"/>
  <c r="DU51" i="1"/>
  <c r="DU52" i="1"/>
  <c r="EC57" i="1"/>
  <c r="EC56" i="1"/>
  <c r="EC59" i="1"/>
  <c r="EC60" i="1"/>
  <c r="EC58" i="1"/>
  <c r="EC61" i="1"/>
  <c r="EC65" i="1"/>
  <c r="EC46" i="1"/>
  <c r="EC62" i="1"/>
  <c r="EC47" i="1"/>
  <c r="EC45" i="1"/>
  <c r="EC53" i="1"/>
  <c r="EC63" i="1"/>
  <c r="EC48" i="1"/>
  <c r="EC50" i="1"/>
  <c r="EC54" i="1"/>
  <c r="EC51" i="1"/>
  <c r="EC52" i="1"/>
  <c r="EC64" i="1"/>
  <c r="EC49" i="1"/>
  <c r="EK57" i="1"/>
  <c r="EK56" i="1"/>
  <c r="EK59" i="1"/>
  <c r="EK60" i="1"/>
  <c r="EK58" i="1"/>
  <c r="EK61" i="1"/>
  <c r="EK65" i="1"/>
  <c r="EK46" i="1"/>
  <c r="EK62" i="1"/>
  <c r="EK47" i="1"/>
  <c r="EK45" i="1"/>
  <c r="EK53" i="1"/>
  <c r="EK63" i="1"/>
  <c r="EK48" i="1"/>
  <c r="EK50" i="1"/>
  <c r="EK54" i="1"/>
  <c r="EK64" i="1"/>
  <c r="EK49" i="1"/>
  <c r="EK51" i="1"/>
  <c r="EK52" i="1"/>
  <c r="EI14" i="123"/>
  <c r="EG27" i="1"/>
  <c r="EG25" i="1"/>
  <c r="FP117" i="1" s="1"/>
  <c r="EG30" i="1"/>
  <c r="EG26" i="1"/>
  <c r="FN117" i="1" s="1"/>
  <c r="EG29" i="1"/>
  <c r="EW27" i="1"/>
  <c r="EW25" i="1"/>
  <c r="FP101" i="1" s="1"/>
  <c r="EW30" i="1"/>
  <c r="EW26" i="1"/>
  <c r="FN101" i="1" s="1"/>
  <c r="EW29" i="1"/>
  <c r="DU27" i="1"/>
  <c r="DU25" i="1"/>
  <c r="FP129" i="1" s="1"/>
  <c r="DU30" i="1"/>
  <c r="DU26" i="1"/>
  <c r="FN129" i="1" s="1"/>
  <c r="DU29" i="1"/>
  <c r="EC27" i="1"/>
  <c r="EC25" i="1"/>
  <c r="FP121" i="1" s="1"/>
  <c r="EC30" i="1"/>
  <c r="EC26" i="1"/>
  <c r="FN121" i="1" s="1"/>
  <c r="EC29" i="1"/>
  <c r="EK27" i="1"/>
  <c r="EK25" i="1"/>
  <c r="FP113" i="1" s="1"/>
  <c r="EK26" i="1"/>
  <c r="FN113" i="1" s="1"/>
  <c r="EK30" i="1"/>
  <c r="EK29" i="1"/>
  <c r="DX30" i="1"/>
  <c r="DX26" i="1"/>
  <c r="FN126" i="1" s="1"/>
  <c r="DX27" i="1"/>
  <c r="DX25" i="1"/>
  <c r="FP126" i="1" s="1"/>
  <c r="DX29" i="1"/>
  <c r="EF30" i="1"/>
  <c r="EF26" i="1"/>
  <c r="FN118" i="1" s="1"/>
  <c r="EF25" i="1"/>
  <c r="FP118" i="1" s="1"/>
  <c r="EF27" i="1"/>
  <c r="EF29" i="1"/>
  <c r="EN30" i="1"/>
  <c r="EN26" i="1"/>
  <c r="FN110" i="1" s="1"/>
  <c r="EN27" i="1"/>
  <c r="EN25" i="1"/>
  <c r="FP110" i="1" s="1"/>
  <c r="EN29" i="1"/>
  <c r="EV30" i="1"/>
  <c r="EV26" i="1"/>
  <c r="FN102" i="1" s="1"/>
  <c r="EV25" i="1"/>
  <c r="EV27" i="1"/>
  <c r="EV29" i="1"/>
  <c r="FD30" i="1"/>
  <c r="FD26" i="1"/>
  <c r="FD27" i="1"/>
  <c r="FD25" i="1"/>
  <c r="FD29" i="1"/>
  <c r="FE27" i="1"/>
  <c r="FE25" i="1"/>
  <c r="FE26" i="1"/>
  <c r="FE30" i="1"/>
  <c r="FE29" i="1"/>
  <c r="DV30" i="1"/>
  <c r="DV27" i="1"/>
  <c r="DV25" i="1"/>
  <c r="FP128" i="1" s="1"/>
  <c r="DV26" i="1"/>
  <c r="FN128" i="1" s="1"/>
  <c r="DV29" i="1"/>
  <c r="ED27" i="1"/>
  <c r="ED25" i="1"/>
  <c r="FP120" i="1" s="1"/>
  <c r="ED30" i="1"/>
  <c r="ED26" i="1"/>
  <c r="FN120" i="1" s="1"/>
  <c r="ED29" i="1"/>
  <c r="EL27" i="1"/>
  <c r="EL25" i="1"/>
  <c r="FP112" i="1" s="1"/>
  <c r="EL30" i="1"/>
  <c r="EL26" i="1"/>
  <c r="FN112" i="1" s="1"/>
  <c r="EL29" i="1"/>
  <c r="ET27" i="1"/>
  <c r="ET25" i="1"/>
  <c r="FP104" i="1" s="1"/>
  <c r="ET30" i="1"/>
  <c r="ET26" i="1"/>
  <c r="FN104" i="1" s="1"/>
  <c r="ET29" i="1"/>
  <c r="FB27" i="1"/>
  <c r="FB25" i="1"/>
  <c r="FB30" i="1"/>
  <c r="FB26" i="1"/>
  <c r="FN96" i="1" s="1"/>
  <c r="FB29" i="1"/>
  <c r="DW30" i="1"/>
  <c r="DW26" i="1"/>
  <c r="FN127" i="1" s="1"/>
  <c r="DW27" i="1"/>
  <c r="DW25" i="1"/>
  <c r="FP127" i="1" s="1"/>
  <c r="DW29" i="1"/>
  <c r="EE30" i="1"/>
  <c r="EE26" i="1"/>
  <c r="FN119" i="1" s="1"/>
  <c r="EE27" i="1"/>
  <c r="EE25" i="1"/>
  <c r="FP119" i="1" s="1"/>
  <c r="EE29" i="1"/>
  <c r="EM30" i="1"/>
  <c r="EM26" i="1"/>
  <c r="FN111" i="1" s="1"/>
  <c r="EM27" i="1"/>
  <c r="EM25" i="1"/>
  <c r="FP111" i="1" s="1"/>
  <c r="EM29" i="1"/>
  <c r="EU30" i="1"/>
  <c r="EU26" i="1"/>
  <c r="EU27" i="1"/>
  <c r="EU25" i="1"/>
  <c r="FP103" i="1" s="1"/>
  <c r="EU29" i="1"/>
  <c r="FC30" i="1"/>
  <c r="FC26" i="1"/>
  <c r="FC27" i="1"/>
  <c r="FC25" i="1"/>
  <c r="FP95" i="1" s="1"/>
  <c r="FC29" i="1"/>
  <c r="EB30" i="1"/>
  <c r="EB26" i="1"/>
  <c r="FN122" i="1" s="1"/>
  <c r="EB27" i="1"/>
  <c r="EB25" i="1"/>
  <c r="FP122" i="1" s="1"/>
  <c r="EB29" i="1"/>
  <c r="EJ30" i="1"/>
  <c r="EJ26" i="1"/>
  <c r="FN114" i="1" s="1"/>
  <c r="EJ27" i="1"/>
  <c r="EJ25" i="1"/>
  <c r="FP114" i="1" s="1"/>
  <c r="EJ29" i="1"/>
  <c r="ER30" i="1"/>
  <c r="ER26" i="1"/>
  <c r="FN106" i="1" s="1"/>
  <c r="ER27" i="1"/>
  <c r="ER25" i="1"/>
  <c r="FP106" i="1" s="1"/>
  <c r="ER29" i="1"/>
  <c r="EZ30" i="1"/>
  <c r="EZ26" i="1"/>
  <c r="FN98" i="1" s="1"/>
  <c r="EZ27" i="1"/>
  <c r="EZ25" i="1"/>
  <c r="EZ29" i="1"/>
  <c r="DY27" i="1"/>
  <c r="DY25" i="1"/>
  <c r="FP125" i="1" s="1"/>
  <c r="DY30" i="1"/>
  <c r="DY26" i="1"/>
  <c r="FN125" i="1" s="1"/>
  <c r="DY29" i="1"/>
  <c r="EO27" i="1"/>
  <c r="EO25" i="1"/>
  <c r="FP109" i="1" s="1"/>
  <c r="EO30" i="1"/>
  <c r="EO26" i="1"/>
  <c r="FN109" i="1" s="1"/>
  <c r="EO29" i="1"/>
  <c r="FA27" i="1"/>
  <c r="FA25" i="1"/>
  <c r="FP97" i="1" s="1"/>
  <c r="FA30" i="1"/>
  <c r="FA26" i="1"/>
  <c r="FA29" i="1"/>
  <c r="DZ30" i="1"/>
  <c r="DZ27" i="1"/>
  <c r="DZ25" i="1"/>
  <c r="FP124" i="1" s="1"/>
  <c r="DZ26" i="1"/>
  <c r="FN124" i="1" s="1"/>
  <c r="DZ29" i="1"/>
  <c r="EH27" i="1"/>
  <c r="EH25" i="1"/>
  <c r="FP116" i="1" s="1"/>
  <c r="EH26" i="1"/>
  <c r="FN116" i="1" s="1"/>
  <c r="EH30" i="1"/>
  <c r="EH29" i="1"/>
  <c r="EP27" i="1"/>
  <c r="EP25" i="1"/>
  <c r="FP108" i="1" s="1"/>
  <c r="EP30" i="1"/>
  <c r="EP26" i="1"/>
  <c r="FN108" i="1" s="1"/>
  <c r="EP29" i="1"/>
  <c r="EX27" i="1"/>
  <c r="EX25" i="1"/>
  <c r="EX26" i="1"/>
  <c r="EX30" i="1"/>
  <c r="EX29" i="1"/>
  <c r="FF27" i="1"/>
  <c r="FF25" i="1"/>
  <c r="FF30" i="1"/>
  <c r="FF26" i="1"/>
  <c r="FN92" i="1" s="1"/>
  <c r="FF29" i="1"/>
  <c r="EA30" i="1"/>
  <c r="EA26" i="1"/>
  <c r="FN123" i="1" s="1"/>
  <c r="EA27" i="1"/>
  <c r="EA25" i="1"/>
  <c r="FP123" i="1" s="1"/>
  <c r="EA29" i="1"/>
  <c r="EI30" i="1"/>
  <c r="EI26" i="1"/>
  <c r="FN115" i="1" s="1"/>
  <c r="EI25" i="1"/>
  <c r="FP115" i="1" s="1"/>
  <c r="EI27" i="1"/>
  <c r="EI29" i="1"/>
  <c r="EQ30" i="1"/>
  <c r="EQ26" i="1"/>
  <c r="FN107" i="1" s="1"/>
  <c r="EQ25" i="1"/>
  <c r="FP107" i="1" s="1"/>
  <c r="EQ27" i="1"/>
  <c r="EQ29" i="1"/>
  <c r="EY30" i="1"/>
  <c r="EY26" i="1"/>
  <c r="EY27" i="1"/>
  <c r="EY25" i="1"/>
  <c r="FP99" i="1" s="1"/>
  <c r="EY29" i="1"/>
  <c r="FG30" i="1"/>
  <c r="FG26" i="1"/>
  <c r="FG27" i="1"/>
  <c r="FG25" i="1"/>
  <c r="FG29" i="1"/>
  <c r="EJ97" i="123"/>
  <c r="EJ23" i="1"/>
  <c r="DY23" i="1"/>
  <c r="EA23" i="1"/>
  <c r="DU23" i="1"/>
  <c r="DX23" i="1"/>
  <c r="EF23" i="1"/>
  <c r="EL23" i="1"/>
  <c r="DW23" i="1"/>
  <c r="EE23" i="1"/>
  <c r="EM23" i="1"/>
  <c r="EG23" i="1"/>
  <c r="EB23" i="1"/>
  <c r="DZ23" i="1"/>
  <c r="EI23" i="1"/>
  <c r="EN23" i="1"/>
  <c r="EV23" i="1"/>
  <c r="FD23" i="1"/>
  <c r="FE23" i="1"/>
  <c r="DV23" i="1"/>
  <c r="ED23" i="1"/>
  <c r="ET23" i="1"/>
  <c r="FB23" i="1"/>
  <c r="EU23" i="1"/>
  <c r="FC23" i="1"/>
  <c r="EW23" i="1"/>
  <c r="DR113" i="93"/>
  <c r="ER23" i="1"/>
  <c r="EZ23" i="1"/>
  <c r="EO23" i="1"/>
  <c r="FA23" i="1"/>
  <c r="EH23" i="1"/>
  <c r="EP23" i="1"/>
  <c r="EX23" i="1"/>
  <c r="FF23" i="1"/>
  <c r="EQ23" i="1"/>
  <c r="EY23" i="1"/>
  <c r="FG23" i="1"/>
  <c r="EC23" i="1"/>
  <c r="EK23" i="1"/>
  <c r="DR76" i="93"/>
  <c r="EW6" i="1"/>
  <c r="EW4" i="1" s="1"/>
  <c r="EW76" i="1"/>
  <c r="CD103" i="93" s="1"/>
  <c r="EW71" i="1"/>
  <c r="BY103" i="93" s="1"/>
  <c r="EW68" i="1"/>
  <c r="BV103" i="93" s="1"/>
  <c r="EW15" i="1"/>
  <c r="BQ103" i="93" s="1"/>
  <c r="EW75" i="1"/>
  <c r="CC103" i="93" s="1"/>
  <c r="EW72" i="1"/>
  <c r="BZ103" i="93" s="1"/>
  <c r="EW67" i="1"/>
  <c r="BU103" i="93" s="1"/>
  <c r="EW42" i="1"/>
  <c r="EW37" i="1"/>
  <c r="EW34" i="1"/>
  <c r="EW41" i="1"/>
  <c r="EW36" i="1"/>
  <c r="EW73" i="1"/>
  <c r="CA103" i="93" s="1"/>
  <c r="EW38" i="1"/>
  <c r="EW69" i="1"/>
  <c r="BW103" i="93" s="1"/>
  <c r="EW39" i="1"/>
  <c r="EW70" i="1"/>
  <c r="BX103" i="93" s="1"/>
  <c r="EW35" i="1"/>
  <c r="EW43" i="1"/>
  <c r="EW40" i="1"/>
  <c r="EW74" i="1"/>
  <c r="CB103" i="93" s="1"/>
  <c r="EU15" i="1"/>
  <c r="BQ101" i="93" s="1"/>
  <c r="EU76" i="1"/>
  <c r="CD101" i="93" s="1"/>
  <c r="EU72" i="1"/>
  <c r="BZ101" i="93" s="1"/>
  <c r="EU69" i="1"/>
  <c r="BW101" i="93" s="1"/>
  <c r="EU73" i="1"/>
  <c r="CA101" i="93" s="1"/>
  <c r="EU68" i="1"/>
  <c r="BV101" i="93" s="1"/>
  <c r="EU6" i="1"/>
  <c r="EU4" i="1" s="1"/>
  <c r="EU74" i="1"/>
  <c r="CB101" i="93" s="1"/>
  <c r="EU71" i="1"/>
  <c r="BY101" i="93" s="1"/>
  <c r="EU43" i="1"/>
  <c r="EU38" i="1"/>
  <c r="EU35" i="1"/>
  <c r="EU42" i="1"/>
  <c r="EU40" i="1"/>
  <c r="EU34" i="1"/>
  <c r="EU75" i="1"/>
  <c r="CC101" i="93" s="1"/>
  <c r="EU37" i="1"/>
  <c r="EU41" i="1"/>
  <c r="EU39" i="1"/>
  <c r="EU67" i="1"/>
  <c r="BU101" i="93" s="1"/>
  <c r="EU36" i="1"/>
  <c r="EU70" i="1"/>
  <c r="BX101" i="93" s="1"/>
  <c r="FC15" i="1"/>
  <c r="BQ109" i="93" s="1"/>
  <c r="FC76" i="1"/>
  <c r="CD109" i="93" s="1"/>
  <c r="FC6" i="1"/>
  <c r="FC4" i="1" s="1"/>
  <c r="FC73" i="1"/>
  <c r="CA109" i="93" s="1"/>
  <c r="FC68" i="1"/>
  <c r="BV109" i="93" s="1"/>
  <c r="FC72" i="1"/>
  <c r="BZ109" i="93" s="1"/>
  <c r="FC69" i="1"/>
  <c r="BW109" i="93" s="1"/>
  <c r="FC70" i="1"/>
  <c r="BX109" i="93" s="1"/>
  <c r="FC67" i="1"/>
  <c r="BU109" i="93" s="1"/>
  <c r="FC43" i="1"/>
  <c r="FC39" i="1"/>
  <c r="FC34" i="1"/>
  <c r="FC74" i="1"/>
  <c r="CB109" i="93" s="1"/>
  <c r="FC71" i="1"/>
  <c r="BY109" i="93" s="1"/>
  <c r="FC75" i="1"/>
  <c r="CC109" i="93" s="1"/>
  <c r="FC42" i="1"/>
  <c r="FC36" i="1"/>
  <c r="FC41" i="1"/>
  <c r="FC38" i="1"/>
  <c r="FC35" i="1"/>
  <c r="FC40" i="1"/>
  <c r="FC37" i="1"/>
  <c r="EV75" i="1"/>
  <c r="CC102" i="93" s="1"/>
  <c r="DG102" i="93" s="1"/>
  <c r="LL102" i="93" s="1"/>
  <c r="EV73" i="1"/>
  <c r="CA102" i="93" s="1"/>
  <c r="EV71" i="1"/>
  <c r="BY102" i="93" s="1"/>
  <c r="EV69" i="1"/>
  <c r="BW102" i="93" s="1"/>
  <c r="EV67" i="1"/>
  <c r="BU102" i="93" s="1"/>
  <c r="EV74" i="1"/>
  <c r="CB102" i="93" s="1"/>
  <c r="EV43" i="1"/>
  <c r="EV41" i="1"/>
  <c r="EV39" i="1"/>
  <c r="EV37" i="1"/>
  <c r="EV35" i="1"/>
  <c r="EV6" i="1"/>
  <c r="EV4" i="1" s="1"/>
  <c r="EV70" i="1"/>
  <c r="BX102" i="93" s="1"/>
  <c r="DB102" i="93" s="1"/>
  <c r="LG102" i="93" s="1"/>
  <c r="EV42" i="1"/>
  <c r="EV68" i="1"/>
  <c r="BV102" i="93" s="1"/>
  <c r="EV40" i="1"/>
  <c r="EV72" i="1"/>
  <c r="BZ102" i="93" s="1"/>
  <c r="DD102" i="93" s="1"/>
  <c r="LI102" i="93" s="1"/>
  <c r="EV34" i="1"/>
  <c r="EV15" i="1"/>
  <c r="BQ102" i="93" s="1"/>
  <c r="EV36" i="1"/>
  <c r="EV76" i="1"/>
  <c r="CD102" i="93" s="1"/>
  <c r="EV38" i="1"/>
  <c r="FD75" i="1"/>
  <c r="CC110" i="93" s="1"/>
  <c r="FD73" i="1"/>
  <c r="CA110" i="93" s="1"/>
  <c r="FD71" i="1"/>
  <c r="BY110" i="93" s="1"/>
  <c r="FD69" i="1"/>
  <c r="BW110" i="93" s="1"/>
  <c r="FD67" i="1"/>
  <c r="BU110" i="93" s="1"/>
  <c r="FD70" i="1"/>
  <c r="BX110" i="93" s="1"/>
  <c r="FD43" i="1"/>
  <c r="FD41" i="1"/>
  <c r="FD39" i="1"/>
  <c r="FD37" i="1"/>
  <c r="FD35" i="1"/>
  <c r="FD15" i="1"/>
  <c r="BQ110" i="93" s="1"/>
  <c r="FD6" i="1"/>
  <c r="FD4" i="1" s="1"/>
  <c r="FD74" i="1"/>
  <c r="CB110" i="93" s="1"/>
  <c r="FD42" i="1"/>
  <c r="FD36" i="1"/>
  <c r="FD68" i="1"/>
  <c r="BV110" i="93" s="1"/>
  <c r="FD38" i="1"/>
  <c r="FD40" i="1"/>
  <c r="FD76" i="1"/>
  <c r="CD110" i="93" s="1"/>
  <c r="FD72" i="1"/>
  <c r="BZ110" i="93" s="1"/>
  <c r="FD34" i="1"/>
  <c r="FA6" i="1"/>
  <c r="FA4" i="1" s="1"/>
  <c r="FA15" i="1"/>
  <c r="BQ107" i="93" s="1"/>
  <c r="FA76" i="1"/>
  <c r="CD107" i="93" s="1"/>
  <c r="FA74" i="1"/>
  <c r="CB107" i="93" s="1"/>
  <c r="FA69" i="1"/>
  <c r="BW107" i="93" s="1"/>
  <c r="FA73" i="1"/>
  <c r="CA107" i="93" s="1"/>
  <c r="FA70" i="1"/>
  <c r="BX107" i="93" s="1"/>
  <c r="FA40" i="1"/>
  <c r="FA35" i="1"/>
  <c r="FA67" i="1"/>
  <c r="BU107" i="93" s="1"/>
  <c r="FA71" i="1"/>
  <c r="BY107" i="93" s="1"/>
  <c r="FA39" i="1"/>
  <c r="FA36" i="1"/>
  <c r="FA43" i="1"/>
  <c r="FA37" i="1"/>
  <c r="FA34" i="1"/>
  <c r="FA68" i="1"/>
  <c r="BV107" i="93" s="1"/>
  <c r="FA42" i="1"/>
  <c r="FA75" i="1"/>
  <c r="CC107" i="93" s="1"/>
  <c r="FA72" i="1"/>
  <c r="BZ107" i="93" s="1"/>
  <c r="FA38" i="1"/>
  <c r="FA41" i="1"/>
  <c r="ET15" i="1"/>
  <c r="BQ100" i="93" s="1"/>
  <c r="ET74" i="1"/>
  <c r="CB100" i="93" s="1"/>
  <c r="ET72" i="1"/>
  <c r="BZ100" i="93" s="1"/>
  <c r="ET70" i="1"/>
  <c r="BX100" i="93" s="1"/>
  <c r="ET68" i="1"/>
  <c r="BV100" i="93" s="1"/>
  <c r="ET6" i="1"/>
  <c r="ET4" i="1" s="1"/>
  <c r="ET76" i="1"/>
  <c r="CD100" i="93" s="1"/>
  <c r="ET75" i="1"/>
  <c r="CC100" i="93" s="1"/>
  <c r="ET67" i="1"/>
  <c r="BU100" i="93" s="1"/>
  <c r="ET42" i="1"/>
  <c r="ET40" i="1"/>
  <c r="ET38" i="1"/>
  <c r="ET36" i="1"/>
  <c r="ET34" i="1"/>
  <c r="ET71" i="1"/>
  <c r="BY100" i="93" s="1"/>
  <c r="ET43" i="1"/>
  <c r="ET41" i="1"/>
  <c r="ET35" i="1"/>
  <c r="ET69" i="1"/>
  <c r="BW100" i="93" s="1"/>
  <c r="ET37" i="1"/>
  <c r="ET73" i="1"/>
  <c r="CA100" i="93" s="1"/>
  <c r="ET39" i="1"/>
  <c r="FB76" i="1"/>
  <c r="CD108" i="93" s="1"/>
  <c r="FB74" i="1"/>
  <c r="CB108" i="93" s="1"/>
  <c r="FB72" i="1"/>
  <c r="BZ108" i="93" s="1"/>
  <c r="FB70" i="1"/>
  <c r="BX108" i="93" s="1"/>
  <c r="FB68" i="1"/>
  <c r="BV108" i="93" s="1"/>
  <c r="FB71" i="1"/>
  <c r="BY108" i="93" s="1"/>
  <c r="FB42" i="1"/>
  <c r="FB40" i="1"/>
  <c r="FB38" i="1"/>
  <c r="FB36" i="1"/>
  <c r="FB34" i="1"/>
  <c r="FB75" i="1"/>
  <c r="CC108" i="93" s="1"/>
  <c r="FB67" i="1"/>
  <c r="BU108" i="93" s="1"/>
  <c r="FB43" i="1"/>
  <c r="FB41" i="1"/>
  <c r="FB15" i="1"/>
  <c r="BQ108" i="93" s="1"/>
  <c r="FB73" i="1"/>
  <c r="CA108" i="93" s="1"/>
  <c r="FB37" i="1"/>
  <c r="FB39" i="1"/>
  <c r="FB6" i="1"/>
  <c r="FB4" i="1" s="1"/>
  <c r="FB35" i="1"/>
  <c r="FB69" i="1"/>
  <c r="BW108" i="93" s="1"/>
  <c r="EQ15" i="1"/>
  <c r="BQ97" i="93" s="1"/>
  <c r="EQ76" i="1"/>
  <c r="CD97" i="93" s="1"/>
  <c r="DH97" i="93" s="1"/>
  <c r="LM97" i="93" s="1"/>
  <c r="EQ74" i="1"/>
  <c r="CB97" i="93" s="1"/>
  <c r="EQ71" i="1"/>
  <c r="BY97" i="93" s="1"/>
  <c r="EQ75" i="1"/>
  <c r="CC97" i="93" s="1"/>
  <c r="EQ70" i="1"/>
  <c r="BX97" i="93" s="1"/>
  <c r="EQ73" i="1"/>
  <c r="CA97" i="93" s="1"/>
  <c r="EQ41" i="1"/>
  <c r="EQ40" i="1"/>
  <c r="EQ37" i="1"/>
  <c r="EQ67" i="1"/>
  <c r="EQ39" i="1"/>
  <c r="EQ34" i="1"/>
  <c r="EQ68" i="1"/>
  <c r="BV97" i="93" s="1"/>
  <c r="EQ36" i="1"/>
  <c r="EQ43" i="1"/>
  <c r="EQ6" i="1"/>
  <c r="EQ4" i="1" s="1"/>
  <c r="EQ72" i="1"/>
  <c r="BZ97" i="93" s="1"/>
  <c r="DD97" i="93" s="1"/>
  <c r="LI97" i="93" s="1"/>
  <c r="EQ42" i="1"/>
  <c r="EQ38" i="1"/>
  <c r="EQ35" i="1"/>
  <c r="EQ69" i="1"/>
  <c r="BW97" i="93" s="1"/>
  <c r="EY15" i="1"/>
  <c r="BQ105" i="93" s="1"/>
  <c r="EY76" i="1"/>
  <c r="CD105" i="93" s="1"/>
  <c r="EY75" i="1"/>
  <c r="CC105" i="93" s="1"/>
  <c r="EY70" i="1"/>
  <c r="BX105" i="93" s="1"/>
  <c r="EY67" i="1"/>
  <c r="BU105" i="93" s="1"/>
  <c r="EY74" i="1"/>
  <c r="CB105" i="93" s="1"/>
  <c r="EY71" i="1"/>
  <c r="BY105" i="93" s="1"/>
  <c r="EY72" i="1"/>
  <c r="BZ105" i="93" s="1"/>
  <c r="EY69" i="1"/>
  <c r="BW105" i="93" s="1"/>
  <c r="EY41" i="1"/>
  <c r="EY36" i="1"/>
  <c r="EY73" i="1"/>
  <c r="CA105" i="93" s="1"/>
  <c r="EY35" i="1"/>
  <c r="EY43" i="1"/>
  <c r="EY6" i="1"/>
  <c r="EY4" i="1" s="1"/>
  <c r="EY38" i="1"/>
  <c r="EY40" i="1"/>
  <c r="EY37" i="1"/>
  <c r="EY42" i="1"/>
  <c r="EY34" i="1"/>
  <c r="EY68" i="1"/>
  <c r="BV105" i="93" s="1"/>
  <c r="EY39" i="1"/>
  <c r="FG15" i="1"/>
  <c r="BQ113" i="93" s="1"/>
  <c r="FG76" i="1"/>
  <c r="CD113" i="93" s="1"/>
  <c r="FG6" i="1"/>
  <c r="FG4" i="1" s="1"/>
  <c r="FG74" i="1"/>
  <c r="CB113" i="93" s="1"/>
  <c r="FG71" i="1"/>
  <c r="BY113" i="93" s="1"/>
  <c r="FG75" i="1"/>
  <c r="CC113" i="93" s="1"/>
  <c r="FG70" i="1"/>
  <c r="BX113" i="93" s="1"/>
  <c r="FG67" i="1"/>
  <c r="BU113" i="93" s="1"/>
  <c r="FG68" i="1"/>
  <c r="BV113" i="93" s="1"/>
  <c r="FG41" i="1"/>
  <c r="FG40" i="1"/>
  <c r="FG37" i="1"/>
  <c r="FG72" i="1"/>
  <c r="BZ113" i="93" s="1"/>
  <c r="FG69" i="1"/>
  <c r="BW113" i="93" s="1"/>
  <c r="FG39" i="1"/>
  <c r="FG34" i="1"/>
  <c r="FG73" i="1"/>
  <c r="CA113" i="93" s="1"/>
  <c r="FG43" i="1"/>
  <c r="FG36" i="1"/>
  <c r="FG42" i="1"/>
  <c r="FG38" i="1"/>
  <c r="FG35" i="1"/>
  <c r="ER6" i="1"/>
  <c r="ER4" i="1" s="1"/>
  <c r="ER76" i="1"/>
  <c r="CD98" i="93" s="1"/>
  <c r="ER75" i="1"/>
  <c r="CC98" i="93" s="1"/>
  <c r="ER73" i="1"/>
  <c r="CA98" i="93" s="1"/>
  <c r="ER71" i="1"/>
  <c r="BY98" i="93" s="1"/>
  <c r="ER69" i="1"/>
  <c r="BW98" i="93" s="1"/>
  <c r="ER68" i="1"/>
  <c r="BV98" i="93" s="1"/>
  <c r="ER43" i="1"/>
  <c r="ER41" i="1"/>
  <c r="ER39" i="1"/>
  <c r="ER37" i="1"/>
  <c r="ER35" i="1"/>
  <c r="ER72" i="1"/>
  <c r="BZ98" i="93" s="1"/>
  <c r="ER67" i="1"/>
  <c r="BU98" i="93" s="1"/>
  <c r="ER42" i="1"/>
  <c r="ER70" i="1"/>
  <c r="BX98" i="93" s="1"/>
  <c r="ER34" i="1"/>
  <c r="ER38" i="1"/>
  <c r="ER15" i="1"/>
  <c r="BQ98" i="93" s="1"/>
  <c r="ER74" i="1"/>
  <c r="CB98" i="93" s="1"/>
  <c r="ER36" i="1"/>
  <c r="ER40" i="1"/>
  <c r="EZ15" i="1"/>
  <c r="BQ106" i="93" s="1"/>
  <c r="EZ75" i="1"/>
  <c r="CC106" i="93" s="1"/>
  <c r="EZ73" i="1"/>
  <c r="CA106" i="93" s="1"/>
  <c r="EZ71" i="1"/>
  <c r="BY106" i="93" s="1"/>
  <c r="EZ69" i="1"/>
  <c r="BW106" i="93" s="1"/>
  <c r="EZ67" i="1"/>
  <c r="BU106" i="93" s="1"/>
  <c r="EZ6" i="1"/>
  <c r="EZ4" i="1" s="1"/>
  <c r="EZ72" i="1"/>
  <c r="BZ106" i="93" s="1"/>
  <c r="EZ43" i="1"/>
  <c r="EZ41" i="1"/>
  <c r="EZ39" i="1"/>
  <c r="EZ37" i="1"/>
  <c r="EZ35" i="1"/>
  <c r="EZ68" i="1"/>
  <c r="BV106" i="93" s="1"/>
  <c r="EZ42" i="1"/>
  <c r="EZ38" i="1"/>
  <c r="EZ70" i="1"/>
  <c r="BX106" i="93" s="1"/>
  <c r="EZ76" i="1"/>
  <c r="CD106" i="93" s="1"/>
  <c r="EZ74" i="1"/>
  <c r="CB106" i="93" s="1"/>
  <c r="EZ40" i="1"/>
  <c r="EZ34" i="1"/>
  <c r="EZ36" i="1"/>
  <c r="FE6" i="1"/>
  <c r="FE4" i="1" s="1"/>
  <c r="FE15" i="1"/>
  <c r="BQ111" i="93" s="1"/>
  <c r="FE75" i="1"/>
  <c r="CC111" i="93" s="1"/>
  <c r="FE72" i="1"/>
  <c r="BZ111" i="93" s="1"/>
  <c r="FE67" i="1"/>
  <c r="BU111" i="93" s="1"/>
  <c r="FE76" i="1"/>
  <c r="CD111" i="93" s="1"/>
  <c r="FE71" i="1"/>
  <c r="BY111" i="93" s="1"/>
  <c r="FE68" i="1"/>
  <c r="BV111" i="93" s="1"/>
  <c r="FE74" i="1"/>
  <c r="CB111" i="93" s="1"/>
  <c r="FE42" i="1"/>
  <c r="FE38" i="1"/>
  <c r="FE40" i="1"/>
  <c r="FE37" i="1"/>
  <c r="FE34" i="1"/>
  <c r="FE41" i="1"/>
  <c r="FE35" i="1"/>
  <c r="FE69" i="1"/>
  <c r="BW111" i="93" s="1"/>
  <c r="FE70" i="1"/>
  <c r="BX111" i="93" s="1"/>
  <c r="FE43" i="1"/>
  <c r="FE39" i="1"/>
  <c r="FE36" i="1"/>
  <c r="FE73" i="1"/>
  <c r="CA111" i="93" s="1"/>
  <c r="EX6" i="1"/>
  <c r="EX4" i="1" s="1"/>
  <c r="EX74" i="1"/>
  <c r="CB104" i="93" s="1"/>
  <c r="EX72" i="1"/>
  <c r="BZ104" i="93" s="1"/>
  <c r="EX70" i="1"/>
  <c r="BX104" i="93" s="1"/>
  <c r="EX68" i="1"/>
  <c r="BV104" i="93" s="1"/>
  <c r="EX73" i="1"/>
  <c r="CA104" i="93" s="1"/>
  <c r="EX42" i="1"/>
  <c r="EX40" i="1"/>
  <c r="EX38" i="1"/>
  <c r="EX36" i="1"/>
  <c r="EX34" i="1"/>
  <c r="EX76" i="1"/>
  <c r="CD104" i="93" s="1"/>
  <c r="EX69" i="1"/>
  <c r="BW104" i="93" s="1"/>
  <c r="EX43" i="1"/>
  <c r="EX41" i="1"/>
  <c r="EX75" i="1"/>
  <c r="CC104" i="93" s="1"/>
  <c r="EX39" i="1"/>
  <c r="EX35" i="1"/>
  <c r="EX67" i="1"/>
  <c r="BU104" i="93" s="1"/>
  <c r="EX15" i="1"/>
  <c r="BQ104" i="93" s="1"/>
  <c r="EX71" i="1"/>
  <c r="BY104" i="93" s="1"/>
  <c r="EX37" i="1"/>
  <c r="FF74" i="1"/>
  <c r="CB112" i="93" s="1"/>
  <c r="FF72" i="1"/>
  <c r="BZ112" i="93" s="1"/>
  <c r="FF70" i="1"/>
  <c r="BX112" i="93" s="1"/>
  <c r="FF68" i="1"/>
  <c r="BV112" i="93" s="1"/>
  <c r="FF69" i="1"/>
  <c r="BW112" i="93" s="1"/>
  <c r="FF42" i="1"/>
  <c r="FF40" i="1"/>
  <c r="FF38" i="1"/>
  <c r="FF36" i="1"/>
  <c r="FF34" i="1"/>
  <c r="FF73" i="1"/>
  <c r="CA112" i="93" s="1"/>
  <c r="FF43" i="1"/>
  <c r="FF41" i="1"/>
  <c r="FF76" i="1"/>
  <c r="CD112" i="93" s="1"/>
  <c r="FF71" i="1"/>
  <c r="BY112" i="93" s="1"/>
  <c r="FF35" i="1"/>
  <c r="FF15" i="1"/>
  <c r="BQ112" i="93" s="1"/>
  <c r="FF37" i="1"/>
  <c r="FF75" i="1"/>
  <c r="CC112" i="93" s="1"/>
  <c r="FF39" i="1"/>
  <c r="FF6" i="1"/>
  <c r="FF4" i="1" s="1"/>
  <c r="FF67" i="1"/>
  <c r="BU112" i="93" s="1"/>
  <c r="EX16" i="1"/>
  <c r="EX159" i="1" s="1"/>
  <c r="FF16" i="1"/>
  <c r="FF159" i="1" s="1"/>
  <c r="EU16" i="1"/>
  <c r="EU159" i="1" s="1"/>
  <c r="FC16" i="1"/>
  <c r="FC159" i="1" s="1"/>
  <c r="EV16" i="1"/>
  <c r="EV159" i="1" s="1"/>
  <c r="FD16" i="1"/>
  <c r="FD159" i="1" s="1"/>
  <c r="FA16" i="1"/>
  <c r="FA159" i="1" s="1"/>
  <c r="ET16" i="1"/>
  <c r="ET159" i="1" s="1"/>
  <c r="FB16" i="1"/>
  <c r="FB159" i="1" s="1"/>
  <c r="ER16" i="1"/>
  <c r="ER159" i="1" s="1"/>
  <c r="EZ16" i="1"/>
  <c r="EZ159" i="1" s="1"/>
  <c r="FE16" i="1"/>
  <c r="FE159" i="1" s="1"/>
  <c r="EW16" i="1"/>
  <c r="EW159" i="1" s="1"/>
  <c r="EQ16" i="1"/>
  <c r="EQ159" i="1" s="1"/>
  <c r="EY16" i="1"/>
  <c r="EY159" i="1" s="1"/>
  <c r="FG16" i="1"/>
  <c r="FG159" i="1" s="1"/>
  <c r="BV185" i="123"/>
  <c r="BV205" i="123"/>
  <c r="BV177" i="123"/>
  <c r="BU205" i="123"/>
  <c r="BU185" i="123"/>
  <c r="BU177" i="123"/>
  <c r="GY124" i="123"/>
  <c r="EV7" i="1"/>
  <c r="FA7" i="1"/>
  <c r="FB7" i="1"/>
  <c r="EQ7" i="1"/>
  <c r="EY7" i="1"/>
  <c r="FG7" i="1"/>
  <c r="ER7" i="1"/>
  <c r="EZ7" i="1"/>
  <c r="FE7" i="1"/>
  <c r="EX7" i="1"/>
  <c r="FF7" i="1"/>
  <c r="FD7" i="1"/>
  <c r="ET7" i="1"/>
  <c r="EW7" i="1"/>
  <c r="EU7" i="1"/>
  <c r="FC7" i="1"/>
  <c r="DS101" i="93"/>
  <c r="DS100" i="93"/>
  <c r="DS98" i="93"/>
  <c r="FM101" i="1"/>
  <c r="FM93" i="1"/>
  <c r="FM100" i="1"/>
  <c r="FM92" i="1"/>
  <c r="FM97" i="1"/>
  <c r="FM104" i="1"/>
  <c r="FM96" i="1"/>
  <c r="GN134" i="1"/>
  <c r="GN126" i="1"/>
  <c r="GN118" i="1"/>
  <c r="GN110" i="1"/>
  <c r="GN102" i="1"/>
  <c r="GN94" i="1"/>
  <c r="GN125" i="1"/>
  <c r="GN109" i="1"/>
  <c r="GN101" i="1"/>
  <c r="GN135" i="1"/>
  <c r="GN127" i="1"/>
  <c r="GN119" i="1"/>
  <c r="GN111" i="1"/>
  <c r="GN103" i="1"/>
  <c r="GN95" i="1"/>
  <c r="GN129" i="1"/>
  <c r="GN121" i="1"/>
  <c r="GN113" i="1"/>
  <c r="GN105" i="1"/>
  <c r="GN97" i="1"/>
  <c r="GN136" i="1"/>
  <c r="GN128" i="1"/>
  <c r="GN120" i="1"/>
  <c r="GN112" i="1"/>
  <c r="GN104" i="1"/>
  <c r="GN96" i="1"/>
  <c r="GN138" i="1"/>
  <c r="GN130" i="1"/>
  <c r="GN122" i="1"/>
  <c r="GN114" i="1"/>
  <c r="GN106" i="1"/>
  <c r="GN98" i="1"/>
  <c r="GN137" i="1"/>
  <c r="GN139" i="1"/>
  <c r="GN131" i="1"/>
  <c r="GN123" i="1"/>
  <c r="GN115" i="1"/>
  <c r="GN107" i="1"/>
  <c r="GN99" i="1"/>
  <c r="GN91" i="1"/>
  <c r="GN133" i="1"/>
  <c r="GN117" i="1"/>
  <c r="GN93" i="1"/>
  <c r="GN132" i="1"/>
  <c r="GN124" i="1"/>
  <c r="GN116" i="1"/>
  <c r="GN108" i="1"/>
  <c r="GN100" i="1"/>
  <c r="GN92" i="1"/>
  <c r="AC99" i="93"/>
  <c r="AE99" i="93"/>
  <c r="AG99" i="93"/>
  <c r="AD99" i="93"/>
  <c r="AH99" i="93"/>
  <c r="AB99" i="93"/>
  <c r="AI99" i="93"/>
  <c r="AF99" i="93"/>
  <c r="AJ99" i="93"/>
  <c r="FP138" i="1"/>
  <c r="FN138" i="1"/>
  <c r="FP130" i="1"/>
  <c r="FN130" i="1"/>
  <c r="FN137" i="1"/>
  <c r="FP137" i="1"/>
  <c r="FP139" i="1"/>
  <c r="FN139" i="1"/>
  <c r="FP131" i="1"/>
  <c r="FN131" i="1"/>
  <c r="FN105" i="1"/>
  <c r="FP105" i="1"/>
  <c r="FN136" i="1"/>
  <c r="FP136" i="1"/>
  <c r="FN133" i="1"/>
  <c r="FP133" i="1"/>
  <c r="FN132" i="1"/>
  <c r="FP132" i="1"/>
  <c r="FN134" i="1"/>
  <c r="FP134" i="1"/>
  <c r="FP135" i="1"/>
  <c r="FN135" i="1"/>
  <c r="IG168" i="1"/>
  <c r="IG18" i="1" s="1"/>
  <c r="BU97" i="93" l="1"/>
  <c r="EK14" i="123"/>
  <c r="EJ14" i="123"/>
  <c r="CU109" i="93"/>
  <c r="HE109" i="93" s="1"/>
  <c r="CU112" i="93"/>
  <c r="HE112" i="93" s="1"/>
  <c r="CU113" i="93"/>
  <c r="HE113" i="93" s="1"/>
  <c r="CU98" i="93"/>
  <c r="HE98" i="93" s="1"/>
  <c r="CU105" i="93"/>
  <c r="HE105" i="93" s="1"/>
  <c r="CU100" i="93"/>
  <c r="HE100" i="93" s="1"/>
  <c r="CU111" i="93"/>
  <c r="HE111" i="93" s="1"/>
  <c r="CU102" i="93"/>
  <c r="HE102" i="93" s="1"/>
  <c r="CU103" i="93"/>
  <c r="HE103" i="93" s="1"/>
  <c r="CU110" i="93"/>
  <c r="HE110" i="93" s="1"/>
  <c r="CU101" i="93"/>
  <c r="HE101" i="93" s="1"/>
  <c r="CU104" i="93"/>
  <c r="HE104" i="93" s="1"/>
  <c r="CU97" i="93"/>
  <c r="HE97" i="93" s="1"/>
  <c r="CU108" i="93"/>
  <c r="HE108" i="93" s="1"/>
  <c r="BS105" i="93"/>
  <c r="CW105" i="93" s="1"/>
  <c r="BS101" i="93"/>
  <c r="CW101" i="93" s="1"/>
  <c r="BS112" i="93"/>
  <c r="CW112" i="93" s="1"/>
  <c r="CU106" i="93"/>
  <c r="HE106" i="93" s="1"/>
  <c r="BS98" i="93"/>
  <c r="CW98" i="93" s="1"/>
  <c r="BS108" i="93"/>
  <c r="CW108" i="93" s="1"/>
  <c r="BS107" i="93"/>
  <c r="CW107" i="93" s="1"/>
  <c r="BS102" i="93"/>
  <c r="CW102" i="93" s="1"/>
  <c r="BS113" i="93"/>
  <c r="CW113" i="93" s="1"/>
  <c r="BS111" i="93"/>
  <c r="CW111" i="93" s="1"/>
  <c r="BS100" i="93"/>
  <c r="CW100" i="93" s="1"/>
  <c r="BS109" i="93"/>
  <c r="CW109" i="93" s="1"/>
  <c r="CU107" i="93"/>
  <c r="HE107" i="93" s="1"/>
  <c r="BS97" i="93"/>
  <c r="CW97" i="93" s="1"/>
  <c r="BS103" i="93"/>
  <c r="CW103" i="93" s="1"/>
  <c r="BS106" i="93"/>
  <c r="CW106" i="93" s="1"/>
  <c r="BS110" i="93"/>
  <c r="CW110" i="93" s="1"/>
  <c r="BS104" i="93"/>
  <c r="CW104" i="93" s="1"/>
  <c r="CY98" i="93"/>
  <c r="LD98" i="93" s="1"/>
  <c r="CY111" i="93"/>
  <c r="LD111" i="93" s="1"/>
  <c r="DC97" i="93"/>
  <c r="LH97" i="93" s="1"/>
  <c r="CY107" i="93"/>
  <c r="LD107" i="93" s="1"/>
  <c r="CY113" i="93"/>
  <c r="LD113" i="93" s="1"/>
  <c r="CY97" i="93"/>
  <c r="LD97" i="93" s="1"/>
  <c r="DF97" i="93"/>
  <c r="LK97" i="93" s="1"/>
  <c r="CY106" i="93"/>
  <c r="LD106" i="93" s="1"/>
  <c r="DF104" i="93"/>
  <c r="LK104" i="93" s="1"/>
  <c r="DH103" i="93"/>
  <c r="LM103" i="93" s="1"/>
  <c r="DA102" i="93"/>
  <c r="LF102" i="93" s="1"/>
  <c r="CY110" i="93"/>
  <c r="LD110" i="93" s="1"/>
  <c r="CY104" i="93"/>
  <c r="LD104" i="93" s="1"/>
  <c r="DA97" i="93"/>
  <c r="LF97" i="93" s="1"/>
  <c r="CY101" i="93"/>
  <c r="LD101" i="93" s="1"/>
  <c r="DB103" i="93"/>
  <c r="LG103" i="93" s="1"/>
  <c r="CY102" i="93"/>
  <c r="LD102" i="93" s="1"/>
  <c r="CY105" i="93"/>
  <c r="LD105" i="93" s="1"/>
  <c r="DE97" i="93"/>
  <c r="LJ97" i="93" s="1"/>
  <c r="CY108" i="93"/>
  <c r="LD108" i="93" s="1"/>
  <c r="CY109" i="93"/>
  <c r="LD109" i="93" s="1"/>
  <c r="CY112" i="93"/>
  <c r="LD112" i="93" s="1"/>
  <c r="DB97" i="93"/>
  <c r="LG97" i="93" s="1"/>
  <c r="CY103" i="93"/>
  <c r="LD103" i="93" s="1"/>
  <c r="CZ102" i="93"/>
  <c r="LE102" i="93" s="1"/>
  <c r="DC102" i="93"/>
  <c r="LH102" i="93" s="1"/>
  <c r="CY100" i="93"/>
  <c r="LD100" i="93" s="1"/>
  <c r="DF102" i="93"/>
  <c r="LK102" i="93" s="1"/>
  <c r="DG104" i="93"/>
  <c r="LL104" i="93" s="1"/>
  <c r="DG97" i="93"/>
  <c r="LL97" i="93" s="1"/>
  <c r="CZ97" i="93"/>
  <c r="LE97" i="93" s="1"/>
  <c r="AD113" i="93"/>
  <c r="DB113" i="93"/>
  <c r="LG113" i="93" s="1"/>
  <c r="AG105" i="93"/>
  <c r="BK105" i="93" s="1"/>
  <c r="KN105" i="93" s="1"/>
  <c r="DE105" i="93"/>
  <c r="LJ105" i="93" s="1"/>
  <c r="AJ110" i="93"/>
  <c r="DH110" i="93"/>
  <c r="LM110" i="93" s="1"/>
  <c r="AC103" i="93"/>
  <c r="DA103" i="93"/>
  <c r="LF103" i="93" s="1"/>
  <c r="AJ102" i="93"/>
  <c r="DH102" i="93"/>
  <c r="LM102" i="93" s="1"/>
  <c r="AB112" i="93"/>
  <c r="CZ112" i="93"/>
  <c r="LE112" i="93" s="1"/>
  <c r="AH112" i="93"/>
  <c r="DF112" i="93"/>
  <c r="LK112" i="93" s="1"/>
  <c r="AD104" i="93"/>
  <c r="DB104" i="93"/>
  <c r="LG104" i="93" s="1"/>
  <c r="AD111" i="93"/>
  <c r="DB111" i="93"/>
  <c r="LG111" i="93" s="1"/>
  <c r="AC106" i="93"/>
  <c r="DA106" i="93"/>
  <c r="LF106" i="93" s="1"/>
  <c r="AD98" i="93"/>
  <c r="DB98" i="93"/>
  <c r="LG98" i="93" s="1"/>
  <c r="AG100" i="93"/>
  <c r="DE100" i="93"/>
  <c r="LJ100" i="93" s="1"/>
  <c r="AI107" i="93"/>
  <c r="BM107" i="93" s="1"/>
  <c r="KP107" i="93" s="1"/>
  <c r="DG107" i="93"/>
  <c r="LL107" i="93" s="1"/>
  <c r="AC113" i="93"/>
  <c r="DA113" i="93"/>
  <c r="LF113" i="93" s="1"/>
  <c r="AI113" i="93"/>
  <c r="DG113" i="93"/>
  <c r="LL113" i="93" s="1"/>
  <c r="AE113" i="93"/>
  <c r="DC113" i="93"/>
  <c r="LH113" i="93" s="1"/>
  <c r="AE105" i="93"/>
  <c r="DC105" i="93"/>
  <c r="LH105" i="93" s="1"/>
  <c r="AJ105" i="93"/>
  <c r="DH105" i="93"/>
  <c r="LM105" i="93" s="1"/>
  <c r="AI108" i="93"/>
  <c r="BM108" i="93" s="1"/>
  <c r="KP108" i="93" s="1"/>
  <c r="DG108" i="93"/>
  <c r="LL108" i="93" s="1"/>
  <c r="AD108" i="93"/>
  <c r="DB108" i="93"/>
  <c r="LG108" i="93" s="1"/>
  <c r="AB110" i="93"/>
  <c r="CZ110" i="93"/>
  <c r="LE110" i="93" s="1"/>
  <c r="AH110" i="93"/>
  <c r="BL110" i="93" s="1"/>
  <c r="KO110" i="93" s="1"/>
  <c r="DF110" i="93"/>
  <c r="LK110" i="93" s="1"/>
  <c r="AG110" i="93"/>
  <c r="BK110" i="93" s="1"/>
  <c r="KN110" i="93" s="1"/>
  <c r="DE110" i="93"/>
  <c r="LJ110" i="93" s="1"/>
  <c r="AF109" i="93"/>
  <c r="BJ109" i="93" s="1"/>
  <c r="KM109" i="93" s="1"/>
  <c r="DD109" i="93"/>
  <c r="LI109" i="93" s="1"/>
  <c r="AI109" i="93"/>
  <c r="BM109" i="93" s="1"/>
  <c r="KP109" i="93" s="1"/>
  <c r="DG109" i="93"/>
  <c r="LL109" i="93" s="1"/>
  <c r="AG101" i="93"/>
  <c r="DE101" i="93"/>
  <c r="LJ101" i="93" s="1"/>
  <c r="AF101" i="93"/>
  <c r="DD101" i="93"/>
  <c r="LI101" i="93" s="1"/>
  <c r="AI103" i="93"/>
  <c r="BM103" i="93" s="1"/>
  <c r="KP103" i="93" s="1"/>
  <c r="DG103" i="93"/>
  <c r="LL103" i="93" s="1"/>
  <c r="AG102" i="93"/>
  <c r="BK102" i="93" s="1"/>
  <c r="KN102" i="93" s="1"/>
  <c r="DE102" i="93"/>
  <c r="LJ102" i="93" s="1"/>
  <c r="AG112" i="93"/>
  <c r="DE112" i="93"/>
  <c r="LJ112" i="93" s="1"/>
  <c r="AD112" i="93"/>
  <c r="DB112" i="93"/>
  <c r="LG112" i="93" s="1"/>
  <c r="AB104" i="93"/>
  <c r="CZ104" i="93"/>
  <c r="LE104" i="93" s="1"/>
  <c r="AE104" i="93"/>
  <c r="DC104" i="93"/>
  <c r="LH104" i="93" s="1"/>
  <c r="AH111" i="93"/>
  <c r="DF111" i="93"/>
  <c r="LK111" i="93" s="1"/>
  <c r="AG111" i="93"/>
  <c r="DE111" i="93"/>
  <c r="LJ111" i="93" s="1"/>
  <c r="AD106" i="93"/>
  <c r="DB106" i="93"/>
  <c r="LG106" i="93" s="1"/>
  <c r="AB106" i="93"/>
  <c r="CZ106" i="93"/>
  <c r="LE106" i="93" s="1"/>
  <c r="AG106" i="93"/>
  <c r="BK106" i="93" s="1"/>
  <c r="KN106" i="93" s="1"/>
  <c r="DE106" i="93"/>
  <c r="LJ106" i="93" s="1"/>
  <c r="AH98" i="93"/>
  <c r="DF98" i="93"/>
  <c r="LK98" i="93" s="1"/>
  <c r="AJ98" i="93"/>
  <c r="DH98" i="93"/>
  <c r="LM98" i="93" s="1"/>
  <c r="AC100" i="93"/>
  <c r="DA100" i="93"/>
  <c r="LF100" i="93" s="1"/>
  <c r="AB100" i="93"/>
  <c r="CZ100" i="93"/>
  <c r="LE100" i="93" s="1"/>
  <c r="AH100" i="93"/>
  <c r="DF100" i="93"/>
  <c r="LK100" i="93" s="1"/>
  <c r="AF107" i="93"/>
  <c r="BJ107" i="93" s="1"/>
  <c r="KM107" i="93" s="1"/>
  <c r="DD107" i="93"/>
  <c r="LI107" i="93" s="1"/>
  <c r="AC107" i="93"/>
  <c r="DA107" i="93"/>
  <c r="LF107" i="93" s="1"/>
  <c r="AJ113" i="93"/>
  <c r="DH113" i="93"/>
  <c r="LM113" i="93" s="1"/>
  <c r="AD109" i="93"/>
  <c r="DB109" i="93"/>
  <c r="LG109" i="93" s="1"/>
  <c r="AG109" i="93"/>
  <c r="BK109" i="93" s="1"/>
  <c r="KN109" i="93" s="1"/>
  <c r="DE109" i="93"/>
  <c r="LJ109" i="93" s="1"/>
  <c r="AG113" i="93"/>
  <c r="DE113" i="93"/>
  <c r="LJ113" i="93" s="1"/>
  <c r="AH113" i="93"/>
  <c r="DF113" i="93"/>
  <c r="LK113" i="93" s="1"/>
  <c r="AF105" i="93"/>
  <c r="BJ105" i="93" s="1"/>
  <c r="KM105" i="93" s="1"/>
  <c r="DD105" i="93"/>
  <c r="LI105" i="93" s="1"/>
  <c r="AB105" i="93"/>
  <c r="CZ105" i="93"/>
  <c r="LE105" i="93" s="1"/>
  <c r="AB108" i="93"/>
  <c r="CZ108" i="93"/>
  <c r="LE108" i="93" s="1"/>
  <c r="AF108" i="93"/>
  <c r="BJ108" i="93" s="1"/>
  <c r="KM108" i="93" s="1"/>
  <c r="DD108" i="93"/>
  <c r="LI108" i="93" s="1"/>
  <c r="AC110" i="93"/>
  <c r="DA110" i="93"/>
  <c r="LF110" i="93" s="1"/>
  <c r="AD110" i="93"/>
  <c r="DB110" i="93"/>
  <c r="LG110" i="93" s="1"/>
  <c r="AI110" i="93"/>
  <c r="BM110" i="93" s="1"/>
  <c r="KP110" i="93" s="1"/>
  <c r="DG110" i="93"/>
  <c r="LL110" i="93" s="1"/>
  <c r="AE109" i="93"/>
  <c r="DC109" i="93"/>
  <c r="LH109" i="93" s="1"/>
  <c r="AB109" i="93"/>
  <c r="CZ109" i="93"/>
  <c r="LE109" i="93" s="1"/>
  <c r="AE101" i="93"/>
  <c r="DC101" i="93"/>
  <c r="LH101" i="93" s="1"/>
  <c r="AC101" i="93"/>
  <c r="DA101" i="93"/>
  <c r="LF101" i="93" s="1"/>
  <c r="AJ101" i="93"/>
  <c r="DH101" i="93"/>
  <c r="LM101" i="93" s="1"/>
  <c r="AF103" i="93"/>
  <c r="BJ103" i="93" s="1"/>
  <c r="KM103" i="93" s="1"/>
  <c r="DD103" i="93"/>
  <c r="LI103" i="93" s="1"/>
  <c r="AC112" i="93"/>
  <c r="DA112" i="93"/>
  <c r="LF112" i="93" s="1"/>
  <c r="AF112" i="93"/>
  <c r="DD112" i="93"/>
  <c r="LI112" i="93" s="1"/>
  <c r="AG104" i="93"/>
  <c r="BK104" i="93" s="1"/>
  <c r="KN104" i="93" s="1"/>
  <c r="DE104" i="93"/>
  <c r="LJ104" i="93" s="1"/>
  <c r="AJ104" i="93"/>
  <c r="DH104" i="93"/>
  <c r="LM104" i="93" s="1"/>
  <c r="AB111" i="93"/>
  <c r="CZ111" i="93"/>
  <c r="LE111" i="93" s="1"/>
  <c r="AC111" i="93"/>
  <c r="DA111" i="93"/>
  <c r="LF111" i="93" s="1"/>
  <c r="AF106" i="93"/>
  <c r="BJ106" i="93" s="1"/>
  <c r="KM106" i="93" s="1"/>
  <c r="DD106" i="93"/>
  <c r="LI106" i="93" s="1"/>
  <c r="AI106" i="93"/>
  <c r="BM106" i="93" s="1"/>
  <c r="KP106" i="93" s="1"/>
  <c r="DG106" i="93"/>
  <c r="LL106" i="93" s="1"/>
  <c r="AE98" i="93"/>
  <c r="DC98" i="93"/>
  <c r="LH98" i="93" s="1"/>
  <c r="AE100" i="93"/>
  <c r="DC100" i="93"/>
  <c r="LH100" i="93" s="1"/>
  <c r="AI100" i="93"/>
  <c r="DG100" i="93"/>
  <c r="LL100" i="93" s="1"/>
  <c r="AJ100" i="93"/>
  <c r="DH100" i="93"/>
  <c r="LM100" i="93" s="1"/>
  <c r="AB107" i="93"/>
  <c r="CZ107" i="93"/>
  <c r="LE107" i="93" s="1"/>
  <c r="AG107" i="93"/>
  <c r="BK107" i="93" s="1"/>
  <c r="KN107" i="93" s="1"/>
  <c r="DE107" i="93"/>
  <c r="LJ107" i="93" s="1"/>
  <c r="AH107" i="93"/>
  <c r="BL107" i="93" s="1"/>
  <c r="KO107" i="93" s="1"/>
  <c r="DF107" i="93"/>
  <c r="LK107" i="93" s="1"/>
  <c r="AD105" i="93"/>
  <c r="DB105" i="93"/>
  <c r="LG105" i="93" s="1"/>
  <c r="AC108" i="93"/>
  <c r="DA108" i="93"/>
  <c r="LF108" i="93" s="1"/>
  <c r="AH108" i="93"/>
  <c r="BL108" i="93" s="1"/>
  <c r="KO108" i="93" s="1"/>
  <c r="DF108" i="93"/>
  <c r="LK108" i="93" s="1"/>
  <c r="AH101" i="93"/>
  <c r="DF101" i="93"/>
  <c r="LK101" i="93" s="1"/>
  <c r="AD101" i="93"/>
  <c r="DB101" i="93"/>
  <c r="LG101" i="93" s="1"/>
  <c r="AG103" i="93"/>
  <c r="BK103" i="93" s="1"/>
  <c r="KN103" i="93" s="1"/>
  <c r="DE103" i="93"/>
  <c r="LJ103" i="93" s="1"/>
  <c r="AF111" i="93"/>
  <c r="DD111" i="93"/>
  <c r="LI111" i="93" s="1"/>
  <c r="AJ106" i="93"/>
  <c r="DH106" i="93"/>
  <c r="LM106" i="93" s="1"/>
  <c r="AB98" i="93"/>
  <c r="CZ98" i="93"/>
  <c r="LE98" i="93" s="1"/>
  <c r="AG98" i="93"/>
  <c r="DE98" i="93"/>
  <c r="LJ98" i="93" s="1"/>
  <c r="AD100" i="93"/>
  <c r="DB100" i="93"/>
  <c r="LG100" i="93" s="1"/>
  <c r="AD107" i="93"/>
  <c r="DB107" i="93"/>
  <c r="LG107" i="93" s="1"/>
  <c r="AF113" i="93"/>
  <c r="DD113" i="93"/>
  <c r="LI113" i="93" s="1"/>
  <c r="AB113" i="93"/>
  <c r="CZ113" i="93"/>
  <c r="LE113" i="93" s="1"/>
  <c r="AC105" i="93"/>
  <c r="DA105" i="93"/>
  <c r="LF105" i="93" s="1"/>
  <c r="AH105" i="93"/>
  <c r="BL105" i="93" s="1"/>
  <c r="KO105" i="93" s="1"/>
  <c r="DF105" i="93"/>
  <c r="LK105" i="93" s="1"/>
  <c r="AI105" i="93"/>
  <c r="BM105" i="93" s="1"/>
  <c r="KP105" i="93" s="1"/>
  <c r="DG105" i="93"/>
  <c r="LL105" i="93" s="1"/>
  <c r="AG108" i="93"/>
  <c r="BK108" i="93" s="1"/>
  <c r="KN108" i="93" s="1"/>
  <c r="DE108" i="93"/>
  <c r="LJ108" i="93" s="1"/>
  <c r="AE108" i="93"/>
  <c r="DC108" i="93"/>
  <c r="LH108" i="93" s="1"/>
  <c r="AJ108" i="93"/>
  <c r="DH108" i="93"/>
  <c r="LM108" i="93" s="1"/>
  <c r="AF110" i="93"/>
  <c r="BJ110" i="93" s="1"/>
  <c r="KM110" i="93" s="1"/>
  <c r="DD110" i="93"/>
  <c r="LI110" i="93" s="1"/>
  <c r="AE110" i="93"/>
  <c r="DC110" i="93"/>
  <c r="LH110" i="93" s="1"/>
  <c r="AH109" i="93"/>
  <c r="BL109" i="93" s="1"/>
  <c r="KO109" i="93" s="1"/>
  <c r="DF109" i="93"/>
  <c r="LK109" i="93" s="1"/>
  <c r="AC109" i="93"/>
  <c r="DA109" i="93"/>
  <c r="LF109" i="93" s="1"/>
  <c r="AJ109" i="93"/>
  <c r="DH109" i="93"/>
  <c r="LM109" i="93" s="1"/>
  <c r="AI101" i="93"/>
  <c r="DG101" i="93"/>
  <c r="LL101" i="93" s="1"/>
  <c r="AB101" i="93"/>
  <c r="CZ101" i="93"/>
  <c r="LE101" i="93" s="1"/>
  <c r="AB103" i="93"/>
  <c r="CZ103" i="93"/>
  <c r="LE103" i="93" s="1"/>
  <c r="AH103" i="93"/>
  <c r="BL103" i="93" s="1"/>
  <c r="KO103" i="93" s="1"/>
  <c r="DF103" i="93"/>
  <c r="LK103" i="93" s="1"/>
  <c r="AE103" i="93"/>
  <c r="DC103" i="93"/>
  <c r="LH103" i="93" s="1"/>
  <c r="AE112" i="93"/>
  <c r="DC112" i="93"/>
  <c r="LH112" i="93" s="1"/>
  <c r="AI112" i="93"/>
  <c r="DG112" i="93"/>
  <c r="LL112" i="93" s="1"/>
  <c r="AJ112" i="93"/>
  <c r="DH112" i="93"/>
  <c r="LM112" i="93" s="1"/>
  <c r="AC104" i="93"/>
  <c r="DA104" i="93"/>
  <c r="LF104" i="93" s="1"/>
  <c r="AF104" i="93"/>
  <c r="BJ104" i="93" s="1"/>
  <c r="KM104" i="93" s="1"/>
  <c r="DD104" i="93"/>
  <c r="LI104" i="93" s="1"/>
  <c r="AJ111" i="93"/>
  <c r="DH111" i="93"/>
  <c r="LM111" i="93" s="1"/>
  <c r="AE111" i="93"/>
  <c r="DC111" i="93"/>
  <c r="LH111" i="93" s="1"/>
  <c r="AI111" i="93"/>
  <c r="DG111" i="93"/>
  <c r="LL111" i="93" s="1"/>
  <c r="AH106" i="93"/>
  <c r="BL106" i="93" s="1"/>
  <c r="KO106" i="93" s="1"/>
  <c r="DF106" i="93"/>
  <c r="LK106" i="93" s="1"/>
  <c r="AE106" i="93"/>
  <c r="DC106" i="93"/>
  <c r="LH106" i="93" s="1"/>
  <c r="AF98" i="93"/>
  <c r="DD98" i="93"/>
  <c r="LI98" i="93" s="1"/>
  <c r="AC98" i="93"/>
  <c r="DA98" i="93"/>
  <c r="LF98" i="93" s="1"/>
  <c r="AI98" i="93"/>
  <c r="DG98" i="93"/>
  <c r="LL98" i="93" s="1"/>
  <c r="AF100" i="93"/>
  <c r="DD100" i="93"/>
  <c r="LI100" i="93" s="1"/>
  <c r="AE107" i="93"/>
  <c r="DC107" i="93"/>
  <c r="LH107" i="93" s="1"/>
  <c r="AJ107" i="93"/>
  <c r="DH107" i="93"/>
  <c r="LM107" i="93" s="1"/>
  <c r="AD103" i="93"/>
  <c r="AJ103" i="93"/>
  <c r="GZ124" i="123"/>
  <c r="EK97" i="123"/>
  <c r="FU106" i="1"/>
  <c r="GT106" i="1" s="1"/>
  <c r="FU102" i="1"/>
  <c r="GT102" i="1" s="1"/>
  <c r="FU101" i="1"/>
  <c r="GT101" i="1" s="1"/>
  <c r="FU104" i="1"/>
  <c r="GT104" i="1" s="1"/>
  <c r="FU94" i="1"/>
  <c r="GT94" i="1" s="1"/>
  <c r="FU92" i="1"/>
  <c r="GT92" i="1" s="1"/>
  <c r="FU93" i="1"/>
  <c r="GT93" i="1" s="1"/>
  <c r="FU98" i="1"/>
  <c r="GT98" i="1" s="1"/>
  <c r="FU97" i="1"/>
  <c r="GT97" i="1" s="1"/>
  <c r="FU100" i="1"/>
  <c r="GT100" i="1" s="1"/>
  <c r="FU99" i="1"/>
  <c r="GT99" i="1" s="1"/>
  <c r="FU96" i="1"/>
  <c r="GT96" i="1" s="1"/>
  <c r="FU95" i="1"/>
  <c r="GT95" i="1" s="1"/>
  <c r="FU103" i="1"/>
  <c r="GT103" i="1" s="1"/>
  <c r="FU91" i="1"/>
  <c r="GT91" i="1" s="1"/>
  <c r="FU107" i="1"/>
  <c r="GT107" i="1" s="1"/>
  <c r="AF102" i="93"/>
  <c r="BJ102" i="93" s="1"/>
  <c r="KM102" i="93" s="1"/>
  <c r="AE102" i="93"/>
  <c r="AH102" i="93"/>
  <c r="BL102" i="93" s="1"/>
  <c r="KO102" i="93" s="1"/>
  <c r="AB102" i="93"/>
  <c r="AC102" i="93"/>
  <c r="AD102" i="93"/>
  <c r="AI102" i="93"/>
  <c r="BM102" i="93" s="1"/>
  <c r="KP102" i="93" s="1"/>
  <c r="FN94" i="1"/>
  <c r="FP100" i="1"/>
  <c r="FP96" i="1"/>
  <c r="FN99" i="1"/>
  <c r="FP94" i="1"/>
  <c r="FP102" i="1"/>
  <c r="FN100" i="1"/>
  <c r="FN103" i="1"/>
  <c r="FN97" i="1"/>
  <c r="FP98" i="1"/>
  <c r="AI104" i="93"/>
  <c r="BM104" i="93" s="1"/>
  <c r="KP104" i="93" s="1"/>
  <c r="AH104" i="93"/>
  <c r="BL104" i="93" s="1"/>
  <c r="KO104" i="93" s="1"/>
  <c r="AA98" i="93"/>
  <c r="AA108" i="93"/>
  <c r="AA107" i="93"/>
  <c r="AA111" i="93"/>
  <c r="AA102" i="93"/>
  <c r="AA104" i="93"/>
  <c r="AA109" i="93"/>
  <c r="AA101" i="93"/>
  <c r="AA105" i="93"/>
  <c r="AA106" i="93"/>
  <c r="AA99" i="93"/>
  <c r="AA103" i="93"/>
  <c r="AA110" i="93"/>
  <c r="AA113" i="93"/>
  <c r="AA100" i="93"/>
  <c r="AA112" i="93"/>
  <c r="FN95" i="1"/>
  <c r="FP92" i="1"/>
  <c r="FP93" i="1"/>
  <c r="FN93" i="1"/>
  <c r="FN91" i="1"/>
  <c r="FP91" i="1"/>
  <c r="IH168" i="1"/>
  <c r="IH18" i="1" s="1"/>
  <c r="EJ122" i="123"/>
  <c r="EJ125" i="123" s="1"/>
  <c r="GU103" i="1" l="1"/>
  <c r="GV103" i="1"/>
  <c r="GU96" i="1"/>
  <c r="GV96" i="1"/>
  <c r="GU98" i="1"/>
  <c r="GV98" i="1"/>
  <c r="GU104" i="1"/>
  <c r="GV104" i="1"/>
  <c r="GU106" i="1"/>
  <c r="GV106" i="1"/>
  <c r="GU107" i="1"/>
  <c r="GV107" i="1"/>
  <c r="GU95" i="1"/>
  <c r="GV95" i="1"/>
  <c r="GU99" i="1"/>
  <c r="GV99" i="1"/>
  <c r="GU93" i="1"/>
  <c r="GV93" i="1"/>
  <c r="GU101" i="1"/>
  <c r="GV101" i="1"/>
  <c r="GU91" i="1"/>
  <c r="GV91" i="1"/>
  <c r="GU100" i="1"/>
  <c r="GV100" i="1"/>
  <c r="GU92" i="1"/>
  <c r="GV92" i="1"/>
  <c r="GU102" i="1"/>
  <c r="GV102" i="1"/>
  <c r="GU97" i="1"/>
  <c r="GV97" i="1"/>
  <c r="GU94" i="1"/>
  <c r="GV94" i="1"/>
  <c r="GZ107" i="1"/>
  <c r="HD107" i="1"/>
  <c r="HH107" i="1"/>
  <c r="HL107" i="1"/>
  <c r="HP107" i="1"/>
  <c r="HT107" i="1"/>
  <c r="HX107" i="1"/>
  <c r="IB107" i="1"/>
  <c r="IF107" i="1"/>
  <c r="IJ107" i="1"/>
  <c r="GY107" i="1"/>
  <c r="HE107" i="1"/>
  <c r="HJ107" i="1"/>
  <c r="HO107" i="1"/>
  <c r="HU107" i="1"/>
  <c r="HZ107" i="1"/>
  <c r="IE107" i="1"/>
  <c r="GX107" i="1"/>
  <c r="HC107" i="1"/>
  <c r="HI107" i="1"/>
  <c r="HN107" i="1"/>
  <c r="HS107" i="1"/>
  <c r="HY107" i="1"/>
  <c r="ID107" i="1"/>
  <c r="II107" i="1"/>
  <c r="HF107" i="1"/>
  <c r="HQ107" i="1"/>
  <c r="IA107" i="1"/>
  <c r="HB107" i="1"/>
  <c r="HM107" i="1"/>
  <c r="HW107" i="1"/>
  <c r="IH107" i="1"/>
  <c r="HA107" i="1"/>
  <c r="HV107" i="1"/>
  <c r="HG107" i="1"/>
  <c r="IC107" i="1"/>
  <c r="GW107" i="1"/>
  <c r="HR107" i="1"/>
  <c r="HK107" i="1"/>
  <c r="IG107" i="1"/>
  <c r="GY95" i="1"/>
  <c r="HC95" i="1"/>
  <c r="HG95" i="1"/>
  <c r="HK95" i="1"/>
  <c r="HO95" i="1"/>
  <c r="HS95" i="1"/>
  <c r="HW95" i="1"/>
  <c r="IA95" i="1"/>
  <c r="IE95" i="1"/>
  <c r="II95" i="1"/>
  <c r="GZ95" i="1"/>
  <c r="HD95" i="1"/>
  <c r="HH95" i="1"/>
  <c r="HL95" i="1"/>
  <c r="HP95" i="1"/>
  <c r="HT95" i="1"/>
  <c r="HX95" i="1"/>
  <c r="IB95" i="1"/>
  <c r="IF95" i="1"/>
  <c r="IJ95" i="1"/>
  <c r="HA95" i="1"/>
  <c r="HI95" i="1"/>
  <c r="HQ95" i="1"/>
  <c r="HY95" i="1"/>
  <c r="IG95" i="1"/>
  <c r="GX95" i="1"/>
  <c r="HF95" i="1"/>
  <c r="HN95" i="1"/>
  <c r="HV95" i="1"/>
  <c r="ID95" i="1"/>
  <c r="HE95" i="1"/>
  <c r="HU95" i="1"/>
  <c r="HB95" i="1"/>
  <c r="HR95" i="1"/>
  <c r="IH95" i="1"/>
  <c r="HM95" i="1"/>
  <c r="HJ95" i="1"/>
  <c r="GW95" i="1"/>
  <c r="HZ95" i="1"/>
  <c r="IC95" i="1"/>
  <c r="GZ99" i="1"/>
  <c r="HD99" i="1"/>
  <c r="HH99" i="1"/>
  <c r="HL99" i="1"/>
  <c r="HP99" i="1"/>
  <c r="GW99" i="1"/>
  <c r="HB99" i="1"/>
  <c r="HG99" i="1"/>
  <c r="HM99" i="1"/>
  <c r="HR99" i="1"/>
  <c r="HV99" i="1"/>
  <c r="HZ99" i="1"/>
  <c r="ID99" i="1"/>
  <c r="IH99" i="1"/>
  <c r="HA99" i="1"/>
  <c r="HI99" i="1"/>
  <c r="HO99" i="1"/>
  <c r="HU99" i="1"/>
  <c r="IA99" i="1"/>
  <c r="IF99" i="1"/>
  <c r="GY99" i="1"/>
  <c r="HF99" i="1"/>
  <c r="HN99" i="1"/>
  <c r="HT99" i="1"/>
  <c r="HY99" i="1"/>
  <c r="IE99" i="1"/>
  <c r="IJ99" i="1"/>
  <c r="HJ99" i="1"/>
  <c r="HW99" i="1"/>
  <c r="IG99" i="1"/>
  <c r="HE99" i="1"/>
  <c r="HS99" i="1"/>
  <c r="IC99" i="1"/>
  <c r="HK99" i="1"/>
  <c r="II99" i="1"/>
  <c r="HC99" i="1"/>
  <c r="IB99" i="1"/>
  <c r="GX99" i="1"/>
  <c r="HQ99" i="1"/>
  <c r="HX99" i="1"/>
  <c r="GY93" i="1"/>
  <c r="HC93" i="1"/>
  <c r="HG93" i="1"/>
  <c r="HK93" i="1"/>
  <c r="HO93" i="1"/>
  <c r="HS93" i="1"/>
  <c r="HW93" i="1"/>
  <c r="IA93" i="1"/>
  <c r="IE93" i="1"/>
  <c r="II93" i="1"/>
  <c r="GZ93" i="1"/>
  <c r="HD93" i="1"/>
  <c r="HH93" i="1"/>
  <c r="HL93" i="1"/>
  <c r="HP93" i="1"/>
  <c r="HT93" i="1"/>
  <c r="HX93" i="1"/>
  <c r="IB93" i="1"/>
  <c r="IF93" i="1"/>
  <c r="IJ93" i="1"/>
  <c r="HA93" i="1"/>
  <c r="HI93" i="1"/>
  <c r="HQ93" i="1"/>
  <c r="HY93" i="1"/>
  <c r="IG93" i="1"/>
  <c r="GX93" i="1"/>
  <c r="HF93" i="1"/>
  <c r="HN93" i="1"/>
  <c r="HV93" i="1"/>
  <c r="ID93" i="1"/>
  <c r="HE93" i="1"/>
  <c r="HU93" i="1"/>
  <c r="HB93" i="1"/>
  <c r="HR93" i="1"/>
  <c r="IH93" i="1"/>
  <c r="GW93" i="1"/>
  <c r="IC93" i="1"/>
  <c r="HZ93" i="1"/>
  <c r="HJ93" i="1"/>
  <c r="HM93" i="1"/>
  <c r="GX101" i="1"/>
  <c r="HB101" i="1"/>
  <c r="HF101" i="1"/>
  <c r="HJ101" i="1"/>
  <c r="HN101" i="1"/>
  <c r="HR101" i="1"/>
  <c r="HV101" i="1"/>
  <c r="HZ101" i="1"/>
  <c r="ID101" i="1"/>
  <c r="IH101" i="1"/>
  <c r="GZ101" i="1"/>
  <c r="HE101" i="1"/>
  <c r="HK101" i="1"/>
  <c r="HP101" i="1"/>
  <c r="HU101" i="1"/>
  <c r="IA101" i="1"/>
  <c r="IF101" i="1"/>
  <c r="GY101" i="1"/>
  <c r="HD101" i="1"/>
  <c r="HI101" i="1"/>
  <c r="HO101" i="1"/>
  <c r="HT101" i="1"/>
  <c r="HY101" i="1"/>
  <c r="IE101" i="1"/>
  <c r="IJ101" i="1"/>
  <c r="HG101" i="1"/>
  <c r="HQ101" i="1"/>
  <c r="IB101" i="1"/>
  <c r="HC101" i="1"/>
  <c r="HM101" i="1"/>
  <c r="HX101" i="1"/>
  <c r="II101" i="1"/>
  <c r="HL101" i="1"/>
  <c r="IG101" i="1"/>
  <c r="HH101" i="1"/>
  <c r="IC101" i="1"/>
  <c r="HA101" i="1"/>
  <c r="HS101" i="1"/>
  <c r="GW101" i="1"/>
  <c r="HW101" i="1"/>
  <c r="HF108" i="1"/>
  <c r="HJ108" i="1"/>
  <c r="HN108" i="1"/>
  <c r="HR108" i="1"/>
  <c r="HV108" i="1"/>
  <c r="HZ108" i="1"/>
  <c r="ID108" i="1"/>
  <c r="IH108" i="1"/>
  <c r="HK108" i="1"/>
  <c r="HP108" i="1"/>
  <c r="HU108" i="1"/>
  <c r="IA108" i="1"/>
  <c r="IF108" i="1"/>
  <c r="HI108" i="1"/>
  <c r="HO108" i="1"/>
  <c r="HT108" i="1"/>
  <c r="HY108" i="1"/>
  <c r="IE108" i="1"/>
  <c r="IJ108" i="1"/>
  <c r="HM108" i="1"/>
  <c r="HX108" i="1"/>
  <c r="II108" i="1"/>
  <c r="HL108" i="1"/>
  <c r="HW108" i="1"/>
  <c r="IG108" i="1"/>
  <c r="HQ108" i="1"/>
  <c r="HS108" i="1"/>
  <c r="HH108" i="1"/>
  <c r="IC108" i="1"/>
  <c r="HG108" i="1"/>
  <c r="IB108" i="1"/>
  <c r="GY91" i="1"/>
  <c r="HC91" i="1"/>
  <c r="HG91" i="1"/>
  <c r="HK91" i="1"/>
  <c r="HO91" i="1"/>
  <c r="HS91" i="1"/>
  <c r="HW91" i="1"/>
  <c r="IA91" i="1"/>
  <c r="IE91" i="1"/>
  <c r="II91" i="1"/>
  <c r="GZ91" i="1"/>
  <c r="HD91" i="1"/>
  <c r="HH91" i="1"/>
  <c r="HL91" i="1"/>
  <c r="HP91" i="1"/>
  <c r="HT91" i="1"/>
  <c r="HX91" i="1"/>
  <c r="IB91" i="1"/>
  <c r="IF91" i="1"/>
  <c r="IJ91" i="1"/>
  <c r="HA91" i="1"/>
  <c r="HI91" i="1"/>
  <c r="HQ91" i="1"/>
  <c r="HY91" i="1"/>
  <c r="IG91" i="1"/>
  <c r="GX91" i="1"/>
  <c r="HF91" i="1"/>
  <c r="HN91" i="1"/>
  <c r="HV91" i="1"/>
  <c r="ID91" i="1"/>
  <c r="HE91" i="1"/>
  <c r="HU91" i="1"/>
  <c r="HB91" i="1"/>
  <c r="HR91" i="1"/>
  <c r="IH91" i="1"/>
  <c r="HM91" i="1"/>
  <c r="HJ91" i="1"/>
  <c r="IC91" i="1"/>
  <c r="GW91" i="1"/>
  <c r="HZ91" i="1"/>
  <c r="HF134" i="1"/>
  <c r="HJ134" i="1"/>
  <c r="HN134" i="1"/>
  <c r="HR134" i="1"/>
  <c r="HV134" i="1"/>
  <c r="HZ134" i="1"/>
  <c r="ID134" i="1"/>
  <c r="IH134" i="1"/>
  <c r="HG134" i="1"/>
  <c r="HL134" i="1"/>
  <c r="HQ134" i="1"/>
  <c r="HW134" i="1"/>
  <c r="IB134" i="1"/>
  <c r="IG134" i="1"/>
  <c r="HH134" i="1"/>
  <c r="HM134" i="1"/>
  <c r="HS134" i="1"/>
  <c r="HO134" i="1"/>
  <c r="HX134" i="1"/>
  <c r="IE134" i="1"/>
  <c r="HY134" i="1"/>
  <c r="IF134" i="1"/>
  <c r="HT134" i="1"/>
  <c r="IA134" i="1"/>
  <c r="II134" i="1"/>
  <c r="HK134" i="1"/>
  <c r="HU134" i="1"/>
  <c r="IC134" i="1"/>
  <c r="IJ134" i="1"/>
  <c r="HP134" i="1"/>
  <c r="HI134" i="1"/>
  <c r="GZ100" i="1"/>
  <c r="HD100" i="1"/>
  <c r="HH100" i="1"/>
  <c r="HL100" i="1"/>
  <c r="HP100" i="1"/>
  <c r="HT100" i="1"/>
  <c r="HX100" i="1"/>
  <c r="IB100" i="1"/>
  <c r="IF100" i="1"/>
  <c r="IJ100" i="1"/>
  <c r="GY100" i="1"/>
  <c r="HE100" i="1"/>
  <c r="HJ100" i="1"/>
  <c r="HO100" i="1"/>
  <c r="HU100" i="1"/>
  <c r="HZ100" i="1"/>
  <c r="IE100" i="1"/>
  <c r="GX100" i="1"/>
  <c r="HC100" i="1"/>
  <c r="HI100" i="1"/>
  <c r="HN100" i="1"/>
  <c r="HS100" i="1"/>
  <c r="HY100" i="1"/>
  <c r="ID100" i="1"/>
  <c r="II100" i="1"/>
  <c r="GW100" i="1"/>
  <c r="HG100" i="1"/>
  <c r="HR100" i="1"/>
  <c r="IC100" i="1"/>
  <c r="HF100" i="1"/>
  <c r="HQ100" i="1"/>
  <c r="IA100" i="1"/>
  <c r="HB100" i="1"/>
  <c r="HW100" i="1"/>
  <c r="HA100" i="1"/>
  <c r="HV100" i="1"/>
  <c r="IH100" i="1"/>
  <c r="HK100" i="1"/>
  <c r="IG100" i="1"/>
  <c r="HM100" i="1"/>
  <c r="GW92" i="1"/>
  <c r="HA92" i="1"/>
  <c r="HE92" i="1"/>
  <c r="HI92" i="1"/>
  <c r="HM92" i="1"/>
  <c r="HQ92" i="1"/>
  <c r="HU92" i="1"/>
  <c r="HY92" i="1"/>
  <c r="IC92" i="1"/>
  <c r="IG92" i="1"/>
  <c r="GX92" i="1"/>
  <c r="HB92" i="1"/>
  <c r="HF92" i="1"/>
  <c r="HJ92" i="1"/>
  <c r="HN92" i="1"/>
  <c r="HR92" i="1"/>
  <c r="HV92" i="1"/>
  <c r="HZ92" i="1"/>
  <c r="ID92" i="1"/>
  <c r="IH92" i="1"/>
  <c r="GY92" i="1"/>
  <c r="HG92" i="1"/>
  <c r="HO92" i="1"/>
  <c r="HW92" i="1"/>
  <c r="IE92" i="1"/>
  <c r="HD92" i="1"/>
  <c r="HL92" i="1"/>
  <c r="HT92" i="1"/>
  <c r="IB92" i="1"/>
  <c r="IJ92" i="1"/>
  <c r="HH92" i="1"/>
  <c r="HX92" i="1"/>
  <c r="HC92" i="1"/>
  <c r="HS92" i="1"/>
  <c r="II92" i="1"/>
  <c r="IA92" i="1"/>
  <c r="HP92" i="1"/>
  <c r="HK92" i="1"/>
  <c r="GZ92" i="1"/>
  <c r="IF92" i="1"/>
  <c r="GZ102" i="1"/>
  <c r="HD102" i="1"/>
  <c r="HH102" i="1"/>
  <c r="HL102" i="1"/>
  <c r="HP102" i="1"/>
  <c r="HT102" i="1"/>
  <c r="HX102" i="1"/>
  <c r="GY102" i="1"/>
  <c r="HE102" i="1"/>
  <c r="HJ102" i="1"/>
  <c r="HO102" i="1"/>
  <c r="HU102" i="1"/>
  <c r="HZ102" i="1"/>
  <c r="ID102" i="1"/>
  <c r="IH102" i="1"/>
  <c r="GX102" i="1"/>
  <c r="HC102" i="1"/>
  <c r="HI102" i="1"/>
  <c r="HN102" i="1"/>
  <c r="HS102" i="1"/>
  <c r="HY102" i="1"/>
  <c r="IC102" i="1"/>
  <c r="IG102" i="1"/>
  <c r="HB102" i="1"/>
  <c r="HM102" i="1"/>
  <c r="HW102" i="1"/>
  <c r="IF102" i="1"/>
  <c r="HA102" i="1"/>
  <c r="HK102" i="1"/>
  <c r="HV102" i="1"/>
  <c r="IE102" i="1"/>
  <c r="HF102" i="1"/>
  <c r="IA102" i="1"/>
  <c r="GW102" i="1"/>
  <c r="HR102" i="1"/>
  <c r="IJ102" i="1"/>
  <c r="II102" i="1"/>
  <c r="HG102" i="1"/>
  <c r="IB102" i="1"/>
  <c r="HQ102" i="1"/>
  <c r="HI110" i="1"/>
  <c r="HM110" i="1"/>
  <c r="HQ110" i="1"/>
  <c r="HU110" i="1"/>
  <c r="HY110" i="1"/>
  <c r="IC110" i="1"/>
  <c r="IG110" i="1"/>
  <c r="HH110" i="1"/>
  <c r="HL110" i="1"/>
  <c r="HP110" i="1"/>
  <c r="HT110" i="1"/>
  <c r="HX110" i="1"/>
  <c r="IB110" i="1"/>
  <c r="IF110" i="1"/>
  <c r="IJ110" i="1"/>
  <c r="HG110" i="1"/>
  <c r="HO110" i="1"/>
  <c r="HW110" i="1"/>
  <c r="IE110" i="1"/>
  <c r="HF110" i="1"/>
  <c r="HN110" i="1"/>
  <c r="HV110" i="1"/>
  <c r="ID110" i="1"/>
  <c r="HR110" i="1"/>
  <c r="IH110" i="1"/>
  <c r="HS110" i="1"/>
  <c r="II110" i="1"/>
  <c r="HK110" i="1"/>
  <c r="IA110" i="1"/>
  <c r="HJ110" i="1"/>
  <c r="HZ110" i="1"/>
  <c r="HH121" i="1"/>
  <c r="HL121" i="1"/>
  <c r="HP121" i="1"/>
  <c r="HT121" i="1"/>
  <c r="HX121" i="1"/>
  <c r="IB121" i="1"/>
  <c r="IF121" i="1"/>
  <c r="IJ121" i="1"/>
  <c r="HG121" i="1"/>
  <c r="HK121" i="1"/>
  <c r="HO121" i="1"/>
  <c r="HS121" i="1"/>
  <c r="HW121" i="1"/>
  <c r="IA121" i="1"/>
  <c r="IE121" i="1"/>
  <c r="II121" i="1"/>
  <c r="HI121" i="1"/>
  <c r="HQ121" i="1"/>
  <c r="HY121" i="1"/>
  <c r="IG121" i="1"/>
  <c r="HJ121" i="1"/>
  <c r="HR121" i="1"/>
  <c r="HZ121" i="1"/>
  <c r="IH121" i="1"/>
  <c r="HF121" i="1"/>
  <c r="HN121" i="1"/>
  <c r="HV121" i="1"/>
  <c r="ID121" i="1"/>
  <c r="HU121" i="1"/>
  <c r="IC121" i="1"/>
  <c r="HM121" i="1"/>
  <c r="HI116" i="1"/>
  <c r="HM116" i="1"/>
  <c r="HQ116" i="1"/>
  <c r="HU116" i="1"/>
  <c r="HY116" i="1"/>
  <c r="IC116" i="1"/>
  <c r="IG116" i="1"/>
  <c r="HJ116" i="1"/>
  <c r="HO116" i="1"/>
  <c r="HT116" i="1"/>
  <c r="HZ116" i="1"/>
  <c r="IE116" i="1"/>
  <c r="IJ116" i="1"/>
  <c r="HH116" i="1"/>
  <c r="HN116" i="1"/>
  <c r="HS116" i="1"/>
  <c r="HX116" i="1"/>
  <c r="ID116" i="1"/>
  <c r="II116" i="1"/>
  <c r="HK116" i="1"/>
  <c r="HV116" i="1"/>
  <c r="IF116" i="1"/>
  <c r="HL116" i="1"/>
  <c r="HW116" i="1"/>
  <c r="IH116" i="1"/>
  <c r="HG116" i="1"/>
  <c r="HR116" i="1"/>
  <c r="IB116" i="1"/>
  <c r="IA116" i="1"/>
  <c r="HP116" i="1"/>
  <c r="HF116" i="1"/>
  <c r="HH109" i="1"/>
  <c r="HL109" i="1"/>
  <c r="HJ109" i="1"/>
  <c r="HO109" i="1"/>
  <c r="HS109" i="1"/>
  <c r="HW109" i="1"/>
  <c r="IA109" i="1"/>
  <c r="IE109" i="1"/>
  <c r="II109" i="1"/>
  <c r="HI109" i="1"/>
  <c r="HN109" i="1"/>
  <c r="HR109" i="1"/>
  <c r="HV109" i="1"/>
  <c r="HZ109" i="1"/>
  <c r="ID109" i="1"/>
  <c r="IH109" i="1"/>
  <c r="HK109" i="1"/>
  <c r="HT109" i="1"/>
  <c r="IB109" i="1"/>
  <c r="IJ109" i="1"/>
  <c r="HG109" i="1"/>
  <c r="HQ109" i="1"/>
  <c r="HY109" i="1"/>
  <c r="IG109" i="1"/>
  <c r="HM109" i="1"/>
  <c r="IC109" i="1"/>
  <c r="HP109" i="1"/>
  <c r="IF109" i="1"/>
  <c r="HF109" i="1"/>
  <c r="HX109" i="1"/>
  <c r="HU109" i="1"/>
  <c r="GZ97" i="1"/>
  <c r="HD97" i="1"/>
  <c r="HH97" i="1"/>
  <c r="HL97" i="1"/>
  <c r="HP97" i="1"/>
  <c r="HT97" i="1"/>
  <c r="HX97" i="1"/>
  <c r="IB97" i="1"/>
  <c r="IF97" i="1"/>
  <c r="IJ97" i="1"/>
  <c r="GW97" i="1"/>
  <c r="HB97" i="1"/>
  <c r="HG97" i="1"/>
  <c r="HM97" i="1"/>
  <c r="HR97" i="1"/>
  <c r="HW97" i="1"/>
  <c r="IC97" i="1"/>
  <c r="IH97" i="1"/>
  <c r="HA97" i="1"/>
  <c r="HF97" i="1"/>
  <c r="HK97" i="1"/>
  <c r="HQ97" i="1"/>
  <c r="HV97" i="1"/>
  <c r="IA97" i="1"/>
  <c r="IG97" i="1"/>
  <c r="GY97" i="1"/>
  <c r="HJ97" i="1"/>
  <c r="HU97" i="1"/>
  <c r="IE97" i="1"/>
  <c r="GX97" i="1"/>
  <c r="HI97" i="1"/>
  <c r="HS97" i="1"/>
  <c r="ID97" i="1"/>
  <c r="HN97" i="1"/>
  <c r="II97" i="1"/>
  <c r="HE97" i="1"/>
  <c r="HZ97" i="1"/>
  <c r="HO97" i="1"/>
  <c r="HC97" i="1"/>
  <c r="HY97" i="1"/>
  <c r="GW94" i="1"/>
  <c r="HA94" i="1"/>
  <c r="HE94" i="1"/>
  <c r="HI94" i="1"/>
  <c r="HM94" i="1"/>
  <c r="HQ94" i="1"/>
  <c r="HU94" i="1"/>
  <c r="HY94" i="1"/>
  <c r="IC94" i="1"/>
  <c r="IG94" i="1"/>
  <c r="GX94" i="1"/>
  <c r="HB94" i="1"/>
  <c r="HF94" i="1"/>
  <c r="HJ94" i="1"/>
  <c r="HN94" i="1"/>
  <c r="HR94" i="1"/>
  <c r="HV94" i="1"/>
  <c r="HZ94" i="1"/>
  <c r="ID94" i="1"/>
  <c r="IH94" i="1"/>
  <c r="GY94" i="1"/>
  <c r="HG94" i="1"/>
  <c r="HO94" i="1"/>
  <c r="HW94" i="1"/>
  <c r="IE94" i="1"/>
  <c r="HD94" i="1"/>
  <c r="HL94" i="1"/>
  <c r="HT94" i="1"/>
  <c r="IB94" i="1"/>
  <c r="IJ94" i="1"/>
  <c r="HH94" i="1"/>
  <c r="HX94" i="1"/>
  <c r="HC94" i="1"/>
  <c r="HS94" i="1"/>
  <c r="II94" i="1"/>
  <c r="HK94" i="1"/>
  <c r="GZ94" i="1"/>
  <c r="IF94" i="1"/>
  <c r="HP94" i="1"/>
  <c r="IA94" i="1"/>
  <c r="HF128" i="1"/>
  <c r="HJ128" i="1"/>
  <c r="HN128" i="1"/>
  <c r="HR128" i="1"/>
  <c r="HV128" i="1"/>
  <c r="HZ128" i="1"/>
  <c r="ID128" i="1"/>
  <c r="IH128" i="1"/>
  <c r="HG128" i="1"/>
  <c r="HL128" i="1"/>
  <c r="HQ128" i="1"/>
  <c r="HW128" i="1"/>
  <c r="IB128" i="1"/>
  <c r="IG128" i="1"/>
  <c r="HH128" i="1"/>
  <c r="HM128" i="1"/>
  <c r="HS128" i="1"/>
  <c r="HX128" i="1"/>
  <c r="IC128" i="1"/>
  <c r="II128" i="1"/>
  <c r="HK128" i="1"/>
  <c r="HP128" i="1"/>
  <c r="HU128" i="1"/>
  <c r="IA128" i="1"/>
  <c r="IF128" i="1"/>
  <c r="HY128" i="1"/>
  <c r="HI128" i="1"/>
  <c r="IE128" i="1"/>
  <c r="HO128" i="1"/>
  <c r="HT128" i="1"/>
  <c r="IJ128" i="1"/>
  <c r="HF120" i="1"/>
  <c r="HJ120" i="1"/>
  <c r="HN120" i="1"/>
  <c r="HR120" i="1"/>
  <c r="HV120" i="1"/>
  <c r="HZ120" i="1"/>
  <c r="ID120" i="1"/>
  <c r="IH120" i="1"/>
  <c r="HI120" i="1"/>
  <c r="HM120" i="1"/>
  <c r="HQ120" i="1"/>
  <c r="HU120" i="1"/>
  <c r="HY120" i="1"/>
  <c r="IC120" i="1"/>
  <c r="IG120" i="1"/>
  <c r="HG120" i="1"/>
  <c r="HO120" i="1"/>
  <c r="HW120" i="1"/>
  <c r="IE120" i="1"/>
  <c r="HH120" i="1"/>
  <c r="HP120" i="1"/>
  <c r="HX120" i="1"/>
  <c r="IF120" i="1"/>
  <c r="HL120" i="1"/>
  <c r="HT120" i="1"/>
  <c r="IB120" i="1"/>
  <c r="IJ120" i="1"/>
  <c r="HS120" i="1"/>
  <c r="IA120" i="1"/>
  <c r="HK120" i="1"/>
  <c r="II120" i="1"/>
  <c r="HG113" i="1"/>
  <c r="HK113" i="1"/>
  <c r="HO113" i="1"/>
  <c r="HS113" i="1"/>
  <c r="HW113" i="1"/>
  <c r="IA113" i="1"/>
  <c r="IE113" i="1"/>
  <c r="II113" i="1"/>
  <c r="HF113" i="1"/>
  <c r="HJ113" i="1"/>
  <c r="HN113" i="1"/>
  <c r="HR113" i="1"/>
  <c r="HV113" i="1"/>
  <c r="HZ113" i="1"/>
  <c r="ID113" i="1"/>
  <c r="IH113" i="1"/>
  <c r="HL113" i="1"/>
  <c r="HT113" i="1"/>
  <c r="IB113" i="1"/>
  <c r="IJ113" i="1"/>
  <c r="HI113" i="1"/>
  <c r="HQ113" i="1"/>
  <c r="HY113" i="1"/>
  <c r="IG113" i="1"/>
  <c r="HM113" i="1"/>
  <c r="IC113" i="1"/>
  <c r="HP113" i="1"/>
  <c r="IF113" i="1"/>
  <c r="HH113" i="1"/>
  <c r="HX113" i="1"/>
  <c r="HU113" i="1"/>
  <c r="GZ103" i="1"/>
  <c r="HD103" i="1"/>
  <c r="HH103" i="1"/>
  <c r="HL103" i="1"/>
  <c r="HP103" i="1"/>
  <c r="HT103" i="1"/>
  <c r="HX103" i="1"/>
  <c r="IB103" i="1"/>
  <c r="IF103" i="1"/>
  <c r="IJ103" i="1"/>
  <c r="GY103" i="1"/>
  <c r="HC103" i="1"/>
  <c r="HG103" i="1"/>
  <c r="HK103" i="1"/>
  <c r="HO103" i="1"/>
  <c r="HS103" i="1"/>
  <c r="HW103" i="1"/>
  <c r="IA103" i="1"/>
  <c r="IE103" i="1"/>
  <c r="II103" i="1"/>
  <c r="HB103" i="1"/>
  <c r="HJ103" i="1"/>
  <c r="HR103" i="1"/>
  <c r="HZ103" i="1"/>
  <c r="IH103" i="1"/>
  <c r="HA103" i="1"/>
  <c r="HI103" i="1"/>
  <c r="HQ103" i="1"/>
  <c r="HY103" i="1"/>
  <c r="IG103" i="1"/>
  <c r="HE103" i="1"/>
  <c r="HU103" i="1"/>
  <c r="GX103" i="1"/>
  <c r="HN103" i="1"/>
  <c r="ID103" i="1"/>
  <c r="HF103" i="1"/>
  <c r="HM103" i="1"/>
  <c r="GW103" i="1"/>
  <c r="IC103" i="1"/>
  <c r="HV103" i="1"/>
  <c r="GX96" i="1"/>
  <c r="HB96" i="1"/>
  <c r="HF96" i="1"/>
  <c r="HJ96" i="1"/>
  <c r="HN96" i="1"/>
  <c r="HR96" i="1"/>
  <c r="HV96" i="1"/>
  <c r="HZ96" i="1"/>
  <c r="ID96" i="1"/>
  <c r="IH96" i="1"/>
  <c r="GW96" i="1"/>
  <c r="HC96" i="1"/>
  <c r="HH96" i="1"/>
  <c r="HM96" i="1"/>
  <c r="HS96" i="1"/>
  <c r="HX96" i="1"/>
  <c r="IC96" i="1"/>
  <c r="II96" i="1"/>
  <c r="HA96" i="1"/>
  <c r="HG96" i="1"/>
  <c r="HL96" i="1"/>
  <c r="HQ96" i="1"/>
  <c r="HW96" i="1"/>
  <c r="IB96" i="1"/>
  <c r="IG96" i="1"/>
  <c r="HD96" i="1"/>
  <c r="HO96" i="1"/>
  <c r="HY96" i="1"/>
  <c r="IJ96" i="1"/>
  <c r="GZ96" i="1"/>
  <c r="HK96" i="1"/>
  <c r="HU96" i="1"/>
  <c r="IF96" i="1"/>
  <c r="HP96" i="1"/>
  <c r="HI96" i="1"/>
  <c r="IE96" i="1"/>
  <c r="IA96" i="1"/>
  <c r="HT96" i="1"/>
  <c r="GY96" i="1"/>
  <c r="HE96" i="1"/>
  <c r="GX98" i="1"/>
  <c r="HB98" i="1"/>
  <c r="HF98" i="1"/>
  <c r="HJ98" i="1"/>
  <c r="HN98" i="1"/>
  <c r="HR98" i="1"/>
  <c r="HV98" i="1"/>
  <c r="HZ98" i="1"/>
  <c r="ID98" i="1"/>
  <c r="IH98" i="1"/>
  <c r="GW98" i="1"/>
  <c r="HC98" i="1"/>
  <c r="HH98" i="1"/>
  <c r="HM98" i="1"/>
  <c r="HS98" i="1"/>
  <c r="HX98" i="1"/>
  <c r="IC98" i="1"/>
  <c r="II98" i="1"/>
  <c r="HA98" i="1"/>
  <c r="HG98" i="1"/>
  <c r="HL98" i="1"/>
  <c r="HQ98" i="1"/>
  <c r="HW98" i="1"/>
  <c r="IB98" i="1"/>
  <c r="GY98" i="1"/>
  <c r="HI98" i="1"/>
  <c r="HT98" i="1"/>
  <c r="IE98" i="1"/>
  <c r="HE98" i="1"/>
  <c r="HP98" i="1"/>
  <c r="IA98" i="1"/>
  <c r="IJ98" i="1"/>
  <c r="HD98" i="1"/>
  <c r="HY98" i="1"/>
  <c r="GZ98" i="1"/>
  <c r="HU98" i="1"/>
  <c r="HK98" i="1"/>
  <c r="IG98" i="1"/>
  <c r="HO98" i="1"/>
  <c r="IF98" i="1"/>
  <c r="GX104" i="1"/>
  <c r="HB104" i="1"/>
  <c r="HF104" i="1"/>
  <c r="HJ104" i="1"/>
  <c r="HN104" i="1"/>
  <c r="HR104" i="1"/>
  <c r="HV104" i="1"/>
  <c r="HZ104" i="1"/>
  <c r="ID104" i="1"/>
  <c r="IH104" i="1"/>
  <c r="GW104" i="1"/>
  <c r="HA104" i="1"/>
  <c r="HE104" i="1"/>
  <c r="HI104" i="1"/>
  <c r="HM104" i="1"/>
  <c r="HQ104" i="1"/>
  <c r="HU104" i="1"/>
  <c r="HY104" i="1"/>
  <c r="IC104" i="1"/>
  <c r="IG104" i="1"/>
  <c r="GZ104" i="1"/>
  <c r="HH104" i="1"/>
  <c r="HP104" i="1"/>
  <c r="HX104" i="1"/>
  <c r="IF104" i="1"/>
  <c r="GY104" i="1"/>
  <c r="HG104" i="1"/>
  <c r="HO104" i="1"/>
  <c r="HW104" i="1"/>
  <c r="IE104" i="1"/>
  <c r="HK104" i="1"/>
  <c r="IA104" i="1"/>
  <c r="HD104" i="1"/>
  <c r="HT104" i="1"/>
  <c r="IJ104" i="1"/>
  <c r="HS104" i="1"/>
  <c r="IB104" i="1"/>
  <c r="HL104" i="1"/>
  <c r="HC104" i="1"/>
  <c r="II104" i="1"/>
  <c r="GX106" i="1"/>
  <c r="HB106" i="1"/>
  <c r="HF106" i="1"/>
  <c r="HJ106" i="1"/>
  <c r="HN106" i="1"/>
  <c r="HR106" i="1"/>
  <c r="HV106" i="1"/>
  <c r="HZ106" i="1"/>
  <c r="ID106" i="1"/>
  <c r="IH106" i="1"/>
  <c r="GZ106" i="1"/>
  <c r="HE106" i="1"/>
  <c r="HK106" i="1"/>
  <c r="HP106" i="1"/>
  <c r="HU106" i="1"/>
  <c r="IA106" i="1"/>
  <c r="IF106" i="1"/>
  <c r="GY106" i="1"/>
  <c r="HD106" i="1"/>
  <c r="HI106" i="1"/>
  <c r="HO106" i="1"/>
  <c r="HT106" i="1"/>
  <c r="HY106" i="1"/>
  <c r="IE106" i="1"/>
  <c r="IJ106" i="1"/>
  <c r="GW106" i="1"/>
  <c r="HH106" i="1"/>
  <c r="HS106" i="1"/>
  <c r="IC106" i="1"/>
  <c r="HG106" i="1"/>
  <c r="HQ106" i="1"/>
  <c r="IB106" i="1"/>
  <c r="HM106" i="1"/>
  <c r="II106" i="1"/>
  <c r="HA106" i="1"/>
  <c r="HW106" i="1"/>
  <c r="HL106" i="1"/>
  <c r="IG106" i="1"/>
  <c r="HC106" i="1"/>
  <c r="HX106" i="1"/>
  <c r="IE103" i="93"/>
  <c r="GX103" i="93" s="1"/>
  <c r="IE111" i="93"/>
  <c r="GX111" i="93" s="1"/>
  <c r="IE102" i="93"/>
  <c r="GX102" i="93" s="1"/>
  <c r="IE98" i="93"/>
  <c r="GX98" i="93" s="1"/>
  <c r="IE104" i="93"/>
  <c r="GX104" i="93" s="1"/>
  <c r="IE97" i="93"/>
  <c r="GX97" i="93" s="1"/>
  <c r="IE109" i="93"/>
  <c r="GX109" i="93" s="1"/>
  <c r="IE107" i="93"/>
  <c r="GX107" i="93" s="1"/>
  <c r="IE112" i="93"/>
  <c r="GX112" i="93" s="1"/>
  <c r="IE110" i="93"/>
  <c r="GX110" i="93" s="1"/>
  <c r="IE113" i="93"/>
  <c r="GX113" i="93" s="1"/>
  <c r="IE101" i="93"/>
  <c r="GX101" i="93" s="1"/>
  <c r="IE105" i="93"/>
  <c r="GX105" i="93" s="1"/>
  <c r="IE106" i="93"/>
  <c r="GX106" i="93" s="1"/>
  <c r="IE100" i="93"/>
  <c r="GX100" i="93" s="1"/>
  <c r="IE108" i="93"/>
  <c r="GX108" i="93" s="1"/>
  <c r="EL14" i="123"/>
  <c r="EL97" i="123"/>
  <c r="EM102" i="93"/>
  <c r="EM100" i="93"/>
  <c r="EM105" i="93"/>
  <c r="EM112" i="93"/>
  <c r="EM106" i="93"/>
  <c r="EM97" i="93"/>
  <c r="EM111" i="93"/>
  <c r="EM108" i="93"/>
  <c r="EM107" i="93"/>
  <c r="EM104" i="93"/>
  <c r="EM103" i="93"/>
  <c r="EM113" i="93"/>
  <c r="EM109" i="93"/>
  <c r="EM101" i="93"/>
  <c r="EM110" i="93"/>
  <c r="EM98" i="93"/>
  <c r="HA124" i="123"/>
  <c r="DN104" i="93"/>
  <c r="DO110" i="93"/>
  <c r="DW110" i="93" s="1"/>
  <c r="DN110" i="93"/>
  <c r="DO99" i="93"/>
  <c r="DW99" i="93" s="1"/>
  <c r="DN99" i="93"/>
  <c r="DO101" i="93"/>
  <c r="DW101" i="93" s="1"/>
  <c r="DN101" i="93"/>
  <c r="DO107" i="93"/>
  <c r="DW107" i="93" s="1"/>
  <c r="DN107" i="93"/>
  <c r="DO106" i="93"/>
  <c r="DW106" i="93" s="1"/>
  <c r="DN106" i="93"/>
  <c r="DO111" i="93"/>
  <c r="DW111" i="93" s="1"/>
  <c r="DN111" i="93"/>
  <c r="DO98" i="93"/>
  <c r="DW98" i="93" s="1"/>
  <c r="DN98" i="93"/>
  <c r="DO105" i="93"/>
  <c r="DW105" i="93" s="1"/>
  <c r="DN105" i="93"/>
  <c r="DO100" i="93"/>
  <c r="DW100" i="93" s="1"/>
  <c r="DN100" i="93"/>
  <c r="DO103" i="93"/>
  <c r="DW103" i="93" s="1"/>
  <c r="DN103" i="93"/>
  <c r="DO109" i="93"/>
  <c r="DW109" i="93" s="1"/>
  <c r="DN109" i="93"/>
  <c r="DN102" i="93"/>
  <c r="DO108" i="93"/>
  <c r="DW108" i="93" s="1"/>
  <c r="DN108" i="93"/>
  <c r="DO102" i="93"/>
  <c r="DO104" i="93"/>
  <c r="BN109" i="93"/>
  <c r="KQ109" i="93" s="1"/>
  <c r="BN108" i="93"/>
  <c r="KQ108" i="93" s="1"/>
  <c r="BN105" i="93"/>
  <c r="KQ105" i="93" s="1"/>
  <c r="BN103" i="93"/>
  <c r="KQ103" i="93" s="1"/>
  <c r="BN107" i="93"/>
  <c r="KQ107" i="93" s="1"/>
  <c r="BN104" i="93"/>
  <c r="KQ104" i="93" s="1"/>
  <c r="BN102" i="93"/>
  <c r="KQ102" i="93" s="1"/>
  <c r="BN110" i="93"/>
  <c r="KQ110" i="93" s="1"/>
  <c r="BN106" i="93"/>
  <c r="KQ106" i="93" s="1"/>
  <c r="EK122" i="123"/>
  <c r="EK125" i="123" s="1"/>
  <c r="EL122" i="123"/>
  <c r="EL125" i="123" s="1"/>
  <c r="EM14" i="123" l="1"/>
  <c r="EM97" i="123"/>
  <c r="EN14" i="123"/>
  <c r="HB124" i="123"/>
  <c r="DW104" i="93"/>
  <c r="DW102" i="93"/>
  <c r="II168" i="1"/>
  <c r="II18" i="1" s="1"/>
  <c r="IJ168" i="1"/>
  <c r="IJ18" i="1" s="1"/>
  <c r="AE354" i="1"/>
  <c r="AF354" i="1"/>
  <c r="AG354" i="1"/>
  <c r="FL354" i="1"/>
  <c r="AE355" i="1"/>
  <c r="AF355" i="1"/>
  <c r="AG355" i="1"/>
  <c r="FL355" i="1"/>
  <c r="AE356" i="1"/>
  <c r="AF356" i="1"/>
  <c r="AG356" i="1"/>
  <c r="FL356" i="1"/>
  <c r="AE357" i="1"/>
  <c r="AF357" i="1"/>
  <c r="AG357" i="1"/>
  <c r="FL357" i="1"/>
  <c r="AE358" i="1"/>
  <c r="AF358" i="1"/>
  <c r="AG358" i="1"/>
  <c r="FL358" i="1"/>
  <c r="AE359" i="1"/>
  <c r="AF359" i="1"/>
  <c r="AG359" i="1"/>
  <c r="FL359" i="1"/>
  <c r="AE360" i="1"/>
  <c r="AF360" i="1"/>
  <c r="AG360" i="1"/>
  <c r="FL360" i="1"/>
  <c r="AE361" i="1"/>
  <c r="AF361" i="1"/>
  <c r="AG361" i="1"/>
  <c r="FL361" i="1"/>
  <c r="AE362" i="1"/>
  <c r="AF362" i="1"/>
  <c r="AG362" i="1"/>
  <c r="FL362" i="1"/>
  <c r="AE353" i="1"/>
  <c r="AF353" i="1"/>
  <c r="AG353" i="1"/>
  <c r="FL353" i="1"/>
  <c r="AE363" i="1"/>
  <c r="AF363" i="1"/>
  <c r="AG363" i="1"/>
  <c r="FL363" i="1"/>
  <c r="CB363" i="1" l="1"/>
  <c r="BX363" i="1"/>
  <c r="BS363" i="1"/>
  <c r="BT363" i="1"/>
  <c r="BU363" i="1"/>
  <c r="BV363" i="1"/>
  <c r="BW363" i="1"/>
  <c r="BZ363" i="1"/>
  <c r="CA363" i="1"/>
  <c r="BY363" i="1"/>
  <c r="CA353" i="1"/>
  <c r="BT353" i="1"/>
  <c r="BX353" i="1"/>
  <c r="BV353" i="1"/>
  <c r="BU353" i="1"/>
  <c r="BS353" i="1"/>
  <c r="BY353" i="1"/>
  <c r="BZ353" i="1"/>
  <c r="BW353" i="1"/>
  <c r="CB353" i="1"/>
  <c r="CA362" i="1"/>
  <c r="CB362" i="1"/>
  <c r="BZ362" i="1"/>
  <c r="BT362" i="1"/>
  <c r="BS362" i="1"/>
  <c r="BW362" i="1"/>
  <c r="BX362" i="1"/>
  <c r="BV362" i="1"/>
  <c r="BY362" i="1"/>
  <c r="BU362" i="1"/>
  <c r="CA361" i="1"/>
  <c r="BS361" i="1"/>
  <c r="BW361" i="1"/>
  <c r="BT361" i="1"/>
  <c r="BX361" i="1"/>
  <c r="BV361" i="1"/>
  <c r="BU361" i="1"/>
  <c r="BZ361" i="1"/>
  <c r="CB361" i="1"/>
  <c r="BY361" i="1"/>
  <c r="BV360" i="1"/>
  <c r="BX360" i="1"/>
  <c r="BS360" i="1"/>
  <c r="BT360" i="1"/>
  <c r="BW360" i="1"/>
  <c r="CA360" i="1"/>
  <c r="BU360" i="1"/>
  <c r="BZ360" i="1"/>
  <c r="BY360" i="1"/>
  <c r="CB360" i="1"/>
  <c r="BZ359" i="1"/>
  <c r="BW359" i="1"/>
  <c r="BT359" i="1"/>
  <c r="BV359" i="1"/>
  <c r="BX359" i="1"/>
  <c r="BS359" i="1"/>
  <c r="BY359" i="1"/>
  <c r="CA359" i="1"/>
  <c r="BU359" i="1"/>
  <c r="CB359" i="1"/>
  <c r="BT358" i="1"/>
  <c r="BS358" i="1"/>
  <c r="BY358" i="1"/>
  <c r="CA358" i="1"/>
  <c r="BW358" i="1"/>
  <c r="BU358" i="1"/>
  <c r="BZ358" i="1"/>
  <c r="BX358" i="1"/>
  <c r="BV358" i="1"/>
  <c r="CB358" i="1"/>
  <c r="CB357" i="1"/>
  <c r="BT357" i="1"/>
  <c r="CA357" i="1"/>
  <c r="BS357" i="1"/>
  <c r="BY357" i="1"/>
  <c r="BU357" i="1"/>
  <c r="BV357" i="1"/>
  <c r="BX357" i="1"/>
  <c r="BZ357" i="1"/>
  <c r="BW357" i="1"/>
  <c r="BU356" i="1"/>
  <c r="BY356" i="1"/>
  <c r="BT356" i="1"/>
  <c r="BS356" i="1"/>
  <c r="CA356" i="1"/>
  <c r="CB356" i="1"/>
  <c r="BV356" i="1"/>
  <c r="BZ356" i="1"/>
  <c r="BX356" i="1"/>
  <c r="BW356" i="1"/>
  <c r="BZ355" i="1"/>
  <c r="CB355" i="1"/>
  <c r="BS355" i="1"/>
  <c r="BU355" i="1"/>
  <c r="BT355" i="1"/>
  <c r="CA355" i="1"/>
  <c r="BW355" i="1"/>
  <c r="BY355" i="1"/>
  <c r="BX355" i="1"/>
  <c r="BV355" i="1"/>
  <c r="CB354" i="1"/>
  <c r="BS354" i="1"/>
  <c r="BU354" i="1"/>
  <c r="BZ354" i="1"/>
  <c r="BT354" i="1"/>
  <c r="BV354" i="1"/>
  <c r="BX354" i="1"/>
  <c r="BY354" i="1"/>
  <c r="CA354" i="1"/>
  <c r="BW354" i="1"/>
  <c r="CO363" i="1"/>
  <c r="CO353" i="1"/>
  <c r="CO362" i="1"/>
  <c r="CO361" i="1"/>
  <c r="CO360" i="1"/>
  <c r="CO359" i="1"/>
  <c r="CO358" i="1"/>
  <c r="CO357" i="1"/>
  <c r="CO356" i="1"/>
  <c r="CO355" i="1"/>
  <c r="CO354" i="1"/>
  <c r="CP363" i="1"/>
  <c r="CT363" i="1"/>
  <c r="CW363" i="1"/>
  <c r="CP353" i="1"/>
  <c r="CW353" i="1"/>
  <c r="CX353" i="1" s="1"/>
  <c r="CT353" i="1"/>
  <c r="CP362" i="1"/>
  <c r="CW362" i="1"/>
  <c r="CT362" i="1"/>
  <c r="CP361" i="1"/>
  <c r="CW361" i="1"/>
  <c r="CT361" i="1"/>
  <c r="CP360" i="1"/>
  <c r="CT360" i="1"/>
  <c r="CW360" i="1"/>
  <c r="CX360" i="1" s="1"/>
  <c r="CP359" i="1"/>
  <c r="CT359" i="1"/>
  <c r="CW359" i="1"/>
  <c r="CX359" i="1" s="1"/>
  <c r="CP358" i="1"/>
  <c r="CW358" i="1"/>
  <c r="CX358" i="1" s="1"/>
  <c r="CT358" i="1"/>
  <c r="CP357" i="1"/>
  <c r="CW357" i="1"/>
  <c r="CX357" i="1" s="1"/>
  <c r="CT357" i="1"/>
  <c r="CP356" i="1"/>
  <c r="CW356" i="1"/>
  <c r="CX356" i="1" s="1"/>
  <c r="CT356" i="1"/>
  <c r="CP355" i="1"/>
  <c r="CT355" i="1"/>
  <c r="CW355" i="1"/>
  <c r="CX355" i="1" s="1"/>
  <c r="CP354" i="1"/>
  <c r="CW354" i="1"/>
  <c r="CX354" i="1" s="1"/>
  <c r="CT354" i="1"/>
  <c r="CX362" i="1"/>
  <c r="CX361" i="1"/>
  <c r="CX363" i="1"/>
  <c r="EN97" i="123"/>
  <c r="HC124" i="123"/>
  <c r="CU363" i="1"/>
  <c r="CU360" i="1"/>
  <c r="CU356" i="1"/>
  <c r="CU361" i="1"/>
  <c r="CU357" i="1"/>
  <c r="CU358" i="1"/>
  <c r="CU354" i="1"/>
  <c r="CU362" i="1"/>
  <c r="CU353" i="1"/>
  <c r="CU359" i="1"/>
  <c r="CU355" i="1"/>
  <c r="EM122" i="123"/>
  <c r="EM125" i="123" s="1"/>
  <c r="EN122" i="123"/>
  <c r="EN125" i="123" s="1"/>
  <c r="CY360" i="1" l="1"/>
  <c r="CY361" i="1"/>
  <c r="CY353" i="1"/>
  <c r="CY355" i="1"/>
  <c r="CY359" i="1"/>
  <c r="CY362" i="1"/>
  <c r="CY363" i="1"/>
  <c r="CY354" i="1"/>
  <c r="CY358" i="1"/>
  <c r="CY356" i="1"/>
  <c r="CY357" i="1"/>
  <c r="EO97" i="123"/>
  <c r="EO14" i="123"/>
  <c r="HD124" i="123"/>
  <c r="IK168" i="1"/>
  <c r="IK18" i="1" s="1"/>
  <c r="IL168" i="1"/>
  <c r="IL18" i="1" s="1"/>
  <c r="ES122" i="123"/>
  <c r="ES125" i="123" s="1"/>
  <c r="GT166" i="1"/>
  <c r="GT169" i="1" s="1"/>
  <c r="FL177" i="1"/>
  <c r="AG177" i="1"/>
  <c r="AF177" i="1"/>
  <c r="AE177" i="1"/>
  <c r="BV177" i="1" l="1"/>
  <c r="BZ177" i="1"/>
  <c r="CA177" i="1"/>
  <c r="CB177" i="1"/>
  <c r="BT177" i="1"/>
  <c r="BU177" i="1"/>
  <c r="BS177" i="1"/>
  <c r="BY177" i="1"/>
  <c r="BW177" i="1"/>
  <c r="BX177" i="1"/>
  <c r="CO177" i="1"/>
  <c r="CP177" i="1"/>
  <c r="CW177" i="1"/>
  <c r="CX177" i="1" s="1"/>
  <c r="CT177" i="1"/>
  <c r="EP14" i="123"/>
  <c r="EP97" i="123"/>
  <c r="HE124" i="123"/>
  <c r="CU177" i="1"/>
  <c r="IM168" i="1"/>
  <c r="IM18" i="1" s="1"/>
  <c r="EO122" i="123"/>
  <c r="EO125" i="123" s="1"/>
  <c r="ET122" i="123"/>
  <c r="ET125" i="123" s="1"/>
  <c r="GU166" i="1"/>
  <c r="GU169" i="1" s="1"/>
  <c r="EQ97" i="123"/>
  <c r="CY177" i="1" l="1"/>
  <c r="HF124" i="123"/>
  <c r="EU122" i="123"/>
  <c r="EU125" i="123" s="1"/>
  <c r="EP122" i="123"/>
  <c r="EP125" i="123" s="1"/>
  <c r="GV166" i="1"/>
  <c r="GV169" i="1" s="1"/>
  <c r="ER97" i="123"/>
  <c r="ER14" i="123" l="1"/>
  <c r="EQ14" i="123"/>
  <c r="ES14" i="123"/>
  <c r="HG124" i="123"/>
  <c r="GW166" i="1"/>
  <c r="GW169" i="1" s="1"/>
  <c r="IN168" i="1"/>
  <c r="IN18" i="1" s="1"/>
  <c r="EQ122" i="123"/>
  <c r="EQ125" i="123" s="1"/>
  <c r="ER122" i="123"/>
  <c r="ER125" i="123" s="1"/>
  <c r="EV122" i="123"/>
  <c r="EV125" i="123" s="1"/>
  <c r="ES97" i="123"/>
  <c r="ET14" i="123" l="1"/>
  <c r="HH124" i="123"/>
  <c r="GX166" i="1"/>
  <c r="GX169" i="1" s="1"/>
  <c r="IO168" i="1"/>
  <c r="IO18" i="1" s="1"/>
  <c r="EW122" i="123"/>
  <c r="EW125" i="123" s="1"/>
  <c r="ET97" i="123"/>
  <c r="EU14" i="123"/>
  <c r="AE347" i="1"/>
  <c r="AF347" i="1"/>
  <c r="AG347" i="1"/>
  <c r="FL347" i="1"/>
  <c r="AE348" i="1"/>
  <c r="AF348" i="1"/>
  <c r="AG348" i="1"/>
  <c r="FL348" i="1"/>
  <c r="AE349" i="1"/>
  <c r="AF349" i="1"/>
  <c r="AG349" i="1"/>
  <c r="FL349" i="1"/>
  <c r="AE350" i="1"/>
  <c r="AF350" i="1"/>
  <c r="AG350" i="1"/>
  <c r="FL350" i="1"/>
  <c r="AE351" i="1"/>
  <c r="AF351" i="1"/>
  <c r="AG351" i="1"/>
  <c r="FL351" i="1"/>
  <c r="AE352" i="1"/>
  <c r="AF352" i="1"/>
  <c r="AG352" i="1"/>
  <c r="FL352" i="1"/>
  <c r="AE331" i="1"/>
  <c r="AF331" i="1"/>
  <c r="AG331" i="1"/>
  <c r="FL331" i="1"/>
  <c r="AE346" i="1"/>
  <c r="AF346" i="1"/>
  <c r="AG346" i="1"/>
  <c r="FL346" i="1"/>
  <c r="AE338" i="1"/>
  <c r="AF338" i="1"/>
  <c r="AG338" i="1"/>
  <c r="FL338" i="1"/>
  <c r="AE342" i="1"/>
  <c r="AF342" i="1"/>
  <c r="AG342" i="1"/>
  <c r="FL342" i="1"/>
  <c r="AE343" i="1"/>
  <c r="AF343" i="1"/>
  <c r="AG343" i="1"/>
  <c r="FL343" i="1"/>
  <c r="AE344" i="1"/>
  <c r="AF344" i="1"/>
  <c r="AG344" i="1"/>
  <c r="FL344" i="1"/>
  <c r="AE345" i="1"/>
  <c r="AF345" i="1"/>
  <c r="AG345" i="1"/>
  <c r="FL345" i="1"/>
  <c r="AE322" i="1"/>
  <c r="AF322" i="1"/>
  <c r="AG322" i="1"/>
  <c r="FL322" i="1"/>
  <c r="BS322" i="1" l="1"/>
  <c r="CB322" i="1"/>
  <c r="BZ322" i="1"/>
  <c r="BT322" i="1"/>
  <c r="BX322" i="1"/>
  <c r="CA322" i="1"/>
  <c r="BV322" i="1"/>
  <c r="BU322" i="1"/>
  <c r="BW322" i="1"/>
  <c r="BY322" i="1"/>
  <c r="BV345" i="1"/>
  <c r="BZ345" i="1"/>
  <c r="BU345" i="1"/>
  <c r="BY345" i="1"/>
  <c r="BT345" i="1"/>
  <c r="BW345" i="1"/>
  <c r="BS345" i="1"/>
  <c r="BX345" i="1"/>
  <c r="CB345" i="1"/>
  <c r="CA345" i="1"/>
  <c r="CB344" i="1"/>
  <c r="CA344" i="1"/>
  <c r="BS344" i="1"/>
  <c r="BV344" i="1"/>
  <c r="BT344" i="1"/>
  <c r="BU344" i="1"/>
  <c r="BW344" i="1"/>
  <c r="BX344" i="1"/>
  <c r="BZ344" i="1"/>
  <c r="BY344" i="1"/>
  <c r="BZ343" i="1"/>
  <c r="BT343" i="1"/>
  <c r="BW343" i="1"/>
  <c r="BS343" i="1"/>
  <c r="BX343" i="1"/>
  <c r="CA343" i="1"/>
  <c r="BU343" i="1"/>
  <c r="BV343" i="1"/>
  <c r="BY343" i="1"/>
  <c r="CB343" i="1"/>
  <c r="BS342" i="1"/>
  <c r="BU342" i="1"/>
  <c r="BZ342" i="1"/>
  <c r="CA342" i="1"/>
  <c r="BT342" i="1"/>
  <c r="BX342" i="1"/>
  <c r="CB342" i="1"/>
  <c r="BY342" i="1"/>
  <c r="BV342" i="1"/>
  <c r="BW342" i="1"/>
  <c r="CA338" i="1"/>
  <c r="BZ338" i="1"/>
  <c r="BS338" i="1"/>
  <c r="BY338" i="1"/>
  <c r="BW338" i="1"/>
  <c r="BV338" i="1"/>
  <c r="BX338" i="1"/>
  <c r="BT338" i="1"/>
  <c r="CB338" i="1"/>
  <c r="BU338" i="1"/>
  <c r="CA331" i="1"/>
  <c r="BY331" i="1"/>
  <c r="BS331" i="1"/>
  <c r="BU331" i="1"/>
  <c r="BW331" i="1"/>
  <c r="BX331" i="1"/>
  <c r="BT331" i="1"/>
  <c r="CB331" i="1"/>
  <c r="BZ331" i="1"/>
  <c r="BV331" i="1"/>
  <c r="CB352" i="1"/>
  <c r="BZ352" i="1"/>
  <c r="BV352" i="1"/>
  <c r="BW352" i="1"/>
  <c r="BX352" i="1"/>
  <c r="BU352" i="1"/>
  <c r="BY352" i="1"/>
  <c r="BT352" i="1"/>
  <c r="BS352" i="1"/>
  <c r="CA352" i="1"/>
  <c r="BV346" i="1"/>
  <c r="BU346" i="1"/>
  <c r="CA346" i="1"/>
  <c r="BX346" i="1"/>
  <c r="BW346" i="1"/>
  <c r="CB346" i="1"/>
  <c r="BS346" i="1"/>
  <c r="BT346" i="1"/>
  <c r="BY346" i="1"/>
  <c r="BZ346" i="1"/>
  <c r="CB351" i="1"/>
  <c r="BV351" i="1"/>
  <c r="BT351" i="1"/>
  <c r="BZ351" i="1"/>
  <c r="BY351" i="1"/>
  <c r="BS351" i="1"/>
  <c r="BX351" i="1"/>
  <c r="CA351" i="1"/>
  <c r="BU351" i="1"/>
  <c r="BW351" i="1"/>
  <c r="BT350" i="1"/>
  <c r="BY350" i="1"/>
  <c r="BZ350" i="1"/>
  <c r="BS350" i="1"/>
  <c r="BW350" i="1"/>
  <c r="CA350" i="1"/>
  <c r="CB350" i="1"/>
  <c r="BX350" i="1"/>
  <c r="BU350" i="1"/>
  <c r="BV350" i="1"/>
  <c r="BT349" i="1"/>
  <c r="BW349" i="1"/>
  <c r="BS349" i="1"/>
  <c r="BU349" i="1"/>
  <c r="BX349" i="1"/>
  <c r="CB349" i="1"/>
  <c r="BV349" i="1"/>
  <c r="BZ349" i="1"/>
  <c r="CA349" i="1"/>
  <c r="BY349" i="1"/>
  <c r="BU348" i="1"/>
  <c r="CA348" i="1"/>
  <c r="BT348" i="1"/>
  <c r="BW348" i="1"/>
  <c r="BZ348" i="1"/>
  <c r="BV348" i="1"/>
  <c r="BS348" i="1"/>
  <c r="CB348" i="1"/>
  <c r="BX348" i="1"/>
  <c r="BY348" i="1"/>
  <c r="BZ347" i="1"/>
  <c r="BU347" i="1"/>
  <c r="CB347" i="1"/>
  <c r="CA347" i="1"/>
  <c r="BX347" i="1"/>
  <c r="BT347" i="1"/>
  <c r="BS347" i="1"/>
  <c r="BV347" i="1"/>
  <c r="BW347" i="1"/>
  <c r="BY347" i="1"/>
  <c r="CO322" i="1"/>
  <c r="CO345" i="1"/>
  <c r="CO344" i="1"/>
  <c r="CO343" i="1"/>
  <c r="CO338" i="1"/>
  <c r="CO346" i="1"/>
  <c r="CO331" i="1"/>
  <c r="CO352" i="1"/>
  <c r="CO351" i="1"/>
  <c r="CO350" i="1"/>
  <c r="CO349" i="1"/>
  <c r="CO348" i="1"/>
  <c r="CO347" i="1"/>
  <c r="CO342" i="1"/>
  <c r="CP345" i="1"/>
  <c r="CW345" i="1"/>
  <c r="CX345" i="1" s="1"/>
  <c r="CT345" i="1"/>
  <c r="CP342" i="1"/>
  <c r="CW342" i="1"/>
  <c r="CX342" i="1" s="1"/>
  <c r="CT342" i="1"/>
  <c r="CP338" i="1"/>
  <c r="CW338" i="1"/>
  <c r="CX338" i="1" s="1"/>
  <c r="CT338" i="1"/>
  <c r="CP346" i="1"/>
  <c r="CW346" i="1"/>
  <c r="CT346" i="1"/>
  <c r="CP331" i="1"/>
  <c r="CW331" i="1"/>
  <c r="CX331" i="1" s="1"/>
  <c r="CT331" i="1"/>
  <c r="CP351" i="1"/>
  <c r="CT351" i="1"/>
  <c r="CW351" i="1"/>
  <c r="CX351" i="1" s="1"/>
  <c r="CP350" i="1"/>
  <c r="CW350" i="1"/>
  <c r="CX350" i="1" s="1"/>
  <c r="CT350" i="1"/>
  <c r="CP349" i="1"/>
  <c r="CT349" i="1"/>
  <c r="CW349" i="1"/>
  <c r="CX349" i="1" s="1"/>
  <c r="CP322" i="1"/>
  <c r="CW322" i="1"/>
  <c r="CX322" i="1" s="1"/>
  <c r="CT322" i="1"/>
  <c r="CP344" i="1"/>
  <c r="CT344" i="1"/>
  <c r="CW344" i="1"/>
  <c r="CX344" i="1" s="1"/>
  <c r="CP343" i="1"/>
  <c r="CT343" i="1"/>
  <c r="CW343" i="1"/>
  <c r="CX343" i="1" s="1"/>
  <c r="CY343" i="1" s="1"/>
  <c r="CP352" i="1"/>
  <c r="CW352" i="1"/>
  <c r="CT352" i="1"/>
  <c r="CP348" i="1"/>
  <c r="CW348" i="1"/>
  <c r="CX348" i="1" s="1"/>
  <c r="CT348" i="1"/>
  <c r="CP347" i="1"/>
  <c r="CT347" i="1"/>
  <c r="CW347" i="1"/>
  <c r="CX347" i="1" s="1"/>
  <c r="CX346" i="1"/>
  <c r="CX352" i="1"/>
  <c r="T342" i="1"/>
  <c r="U342" i="1"/>
  <c r="HI124" i="123"/>
  <c r="CU351" i="1"/>
  <c r="CU352" i="1"/>
  <c r="CU322" i="1"/>
  <c r="CU342" i="1"/>
  <c r="CU331" i="1"/>
  <c r="CU349" i="1"/>
  <c r="CU343" i="1"/>
  <c r="CU346" i="1"/>
  <c r="CU350" i="1"/>
  <c r="CU344" i="1"/>
  <c r="CU347" i="1"/>
  <c r="CU345" i="1"/>
  <c r="CU338" i="1"/>
  <c r="CU348" i="1"/>
  <c r="GY166" i="1"/>
  <c r="GY169" i="1" s="1"/>
  <c r="IQ168" i="1"/>
  <c r="IQ18" i="1" s="1"/>
  <c r="IP168" i="1"/>
  <c r="IP18" i="1" s="1"/>
  <c r="EX122" i="123"/>
  <c r="EX125" i="123" s="1"/>
  <c r="EY122" i="123"/>
  <c r="EY125" i="123" s="1"/>
  <c r="EU97" i="123"/>
  <c r="EV14" i="123"/>
  <c r="CY342" i="1" l="1"/>
  <c r="AA342" i="1"/>
  <c r="CY349" i="1"/>
  <c r="CY345" i="1"/>
  <c r="CY322" i="1"/>
  <c r="CY344" i="1"/>
  <c r="CY338" i="1"/>
  <c r="CY331" i="1"/>
  <c r="CY352" i="1"/>
  <c r="CY347" i="1"/>
  <c r="CY348" i="1"/>
  <c r="CY346" i="1"/>
  <c r="CY350" i="1"/>
  <c r="CY351" i="1"/>
  <c r="HJ124" i="123"/>
  <c r="GZ166" i="1"/>
  <c r="GZ169" i="1" s="1"/>
  <c r="IR168" i="1"/>
  <c r="IR18" i="1" s="1"/>
  <c r="EV97" i="123"/>
  <c r="EW14" i="123"/>
  <c r="HK124" i="123" l="1"/>
  <c r="HA166" i="1"/>
  <c r="HA169" i="1" s="1"/>
  <c r="EZ122" i="123"/>
  <c r="EZ125" i="123" s="1"/>
  <c r="FA122" i="123"/>
  <c r="FA125" i="123" s="1"/>
  <c r="EW97" i="123"/>
  <c r="EX14" i="123"/>
  <c r="HL124" i="123" l="1"/>
  <c r="HF166" i="1"/>
  <c r="HF169" i="1" s="1"/>
  <c r="HB166" i="1"/>
  <c r="HB169" i="1" s="1"/>
  <c r="IT168" i="1"/>
  <c r="IT18" i="1" s="1"/>
  <c r="IS168" i="1"/>
  <c r="FB122" i="123"/>
  <c r="FB125" i="123" s="1"/>
  <c r="EX97" i="123"/>
  <c r="EY14" i="123"/>
  <c r="B47" i="93"/>
  <c r="B48" i="93"/>
  <c r="B49" i="93"/>
  <c r="B50" i="93"/>
  <c r="B51" i="93"/>
  <c r="B52" i="93"/>
  <c r="B46" i="93"/>
  <c r="IS18" i="1" l="1"/>
  <c r="HM124" i="123"/>
  <c r="HC166" i="1"/>
  <c r="HC169" i="1" s="1"/>
  <c r="HG166" i="1"/>
  <c r="HG169" i="1" s="1"/>
  <c r="IU168" i="1"/>
  <c r="IU18" i="1" s="1"/>
  <c r="HH166" i="1"/>
  <c r="HH169" i="1" s="1"/>
  <c r="EY97" i="123"/>
  <c r="EZ14" i="123"/>
  <c r="HN124" i="123" l="1"/>
  <c r="HD166" i="1"/>
  <c r="HD169" i="1" s="1"/>
  <c r="IV168" i="1"/>
  <c r="FC122" i="123"/>
  <c r="FC125" i="123" s="1"/>
  <c r="FD122" i="123"/>
  <c r="FD125" i="123" s="1"/>
  <c r="HE166" i="1"/>
  <c r="HE169" i="1" s="1"/>
  <c r="EZ97" i="123"/>
  <c r="FA14" i="123"/>
  <c r="BC31" i="57"/>
  <c r="AX32" i="57"/>
  <c r="AY32" i="57"/>
  <c r="AZ32" i="57"/>
  <c r="BA32" i="57"/>
  <c r="BC32" i="57"/>
  <c r="AX33" i="57"/>
  <c r="AY33" i="57"/>
  <c r="AZ33" i="57"/>
  <c r="BA33" i="57"/>
  <c r="BC33" i="57"/>
  <c r="AX34" i="57"/>
  <c r="AY34" i="57"/>
  <c r="AZ34" i="57"/>
  <c r="BA34" i="57"/>
  <c r="BC34" i="57"/>
  <c r="AX35" i="57"/>
  <c r="AY35" i="57"/>
  <c r="AZ35" i="57"/>
  <c r="BA35" i="57"/>
  <c r="BC35" i="57"/>
  <c r="AX36" i="57"/>
  <c r="AY36" i="57"/>
  <c r="AZ36" i="57"/>
  <c r="BA36" i="57"/>
  <c r="BC36" i="57"/>
  <c r="AX37" i="57"/>
  <c r="AY37" i="57"/>
  <c r="AZ37" i="57"/>
  <c r="BA37" i="57"/>
  <c r="BC37" i="57"/>
  <c r="AX38" i="57"/>
  <c r="AY38" i="57"/>
  <c r="AZ38" i="57"/>
  <c r="BA38" i="57"/>
  <c r="BC38" i="57"/>
  <c r="AX39" i="57"/>
  <c r="AY39" i="57"/>
  <c r="AZ39" i="57"/>
  <c r="BA39" i="57"/>
  <c r="BC39" i="57"/>
  <c r="IV18" i="1" l="1"/>
  <c r="HO124" i="123"/>
  <c r="HI166" i="1"/>
  <c r="HI169" i="1" s="1"/>
  <c r="FA97" i="123"/>
  <c r="FB14" i="123"/>
  <c r="HP124" i="123" l="1"/>
  <c r="HJ166" i="1"/>
  <c r="HJ169" i="1" s="1"/>
  <c r="IX168" i="1"/>
  <c r="IX18" i="1" s="1"/>
  <c r="IW168" i="1"/>
  <c r="FE122" i="123"/>
  <c r="FE125" i="123" s="1"/>
  <c r="FF122" i="123"/>
  <c r="FF125" i="123" s="1"/>
  <c r="FB97" i="123"/>
  <c r="FC14" i="123"/>
  <c r="IW18" i="1" l="1"/>
  <c r="HQ124" i="123"/>
  <c r="HK166" i="1"/>
  <c r="HK169" i="1" s="1"/>
  <c r="HL166" i="1"/>
  <c r="HL169" i="1" s="1"/>
  <c r="IY168" i="1"/>
  <c r="IY18" i="1" s="1"/>
  <c r="FG122" i="123"/>
  <c r="FG125" i="123" s="1"/>
  <c r="FC97" i="123"/>
  <c r="FD14" i="123"/>
  <c r="HR124" i="123" l="1"/>
  <c r="IZ168" i="1"/>
  <c r="IZ18" i="1" s="1"/>
  <c r="FH122" i="123"/>
  <c r="FH125" i="123" s="1"/>
  <c r="FD97" i="123"/>
  <c r="FE14" i="123"/>
  <c r="HS124" i="123" l="1"/>
  <c r="JF64" i="93"/>
  <c r="HN166" i="1"/>
  <c r="HN169" i="1" s="1"/>
  <c r="HM166" i="1"/>
  <c r="HM169" i="1" s="1"/>
  <c r="JA168" i="1"/>
  <c r="JA18" i="1" s="1"/>
  <c r="FI122" i="123"/>
  <c r="FI125" i="123" s="1"/>
  <c r="FE97" i="123"/>
  <c r="FF14" i="123"/>
  <c r="FL305" i="1"/>
  <c r="AG305" i="1"/>
  <c r="AF305" i="1"/>
  <c r="AE305" i="1"/>
  <c r="FL196" i="1"/>
  <c r="AG196" i="1"/>
  <c r="AF196" i="1"/>
  <c r="AE196" i="1"/>
  <c r="CB196" i="1" l="1"/>
  <c r="BZ196" i="1"/>
  <c r="BV196" i="1"/>
  <c r="BT196" i="1"/>
  <c r="BW196" i="1"/>
  <c r="BX196" i="1"/>
  <c r="CA196" i="1"/>
  <c r="BY196" i="1"/>
  <c r="BS196" i="1"/>
  <c r="BU196" i="1"/>
  <c r="BS305" i="1"/>
  <c r="BT305" i="1"/>
  <c r="CA305" i="1"/>
  <c r="CB305" i="1"/>
  <c r="BV305" i="1"/>
  <c r="BU305" i="1"/>
  <c r="BY305" i="1"/>
  <c r="BX305" i="1"/>
  <c r="BW305" i="1"/>
  <c r="BZ305" i="1"/>
  <c r="CO196" i="1"/>
  <c r="CO305" i="1"/>
  <c r="CP196" i="1"/>
  <c r="CT196" i="1"/>
  <c r="CW196" i="1"/>
  <c r="CX196" i="1" s="1"/>
  <c r="CP305" i="1"/>
  <c r="CT305" i="1"/>
  <c r="CW305" i="1"/>
  <c r="CX305" i="1" s="1"/>
  <c r="FP64" i="93"/>
  <c r="HT124" i="123"/>
  <c r="CU305" i="1"/>
  <c r="CU196" i="1"/>
  <c r="JB168" i="1"/>
  <c r="JB18" i="1" s="1"/>
  <c r="FJ122" i="123"/>
  <c r="FJ125" i="123" s="1"/>
  <c r="FF97" i="123"/>
  <c r="FG14" i="123"/>
  <c r="CY196" i="1" l="1"/>
  <c r="CY305" i="1"/>
  <c r="HU124" i="123"/>
  <c r="HP166" i="1"/>
  <c r="HP169" i="1" s="1"/>
  <c r="HO166" i="1"/>
  <c r="HO169" i="1" s="1"/>
  <c r="JC168" i="1"/>
  <c r="JC18" i="1" s="1"/>
  <c r="FG97" i="123"/>
  <c r="FH14" i="123"/>
  <c r="HV124" i="123" l="1"/>
  <c r="JD168" i="1"/>
  <c r="JD18" i="1" s="1"/>
  <c r="FK122" i="123"/>
  <c r="FK125" i="123" s="1"/>
  <c r="FH97" i="123"/>
  <c r="FI14" i="123"/>
  <c r="HB65" i="93"/>
  <c r="HB66" i="93"/>
  <c r="HB67" i="93"/>
  <c r="HB68" i="93"/>
  <c r="HB69" i="93"/>
  <c r="HB70" i="93"/>
  <c r="HB71" i="93"/>
  <c r="HB72" i="93"/>
  <c r="HB73" i="93"/>
  <c r="HB74" i="93"/>
  <c r="HB75" i="93"/>
  <c r="HB76" i="93"/>
  <c r="HB77" i="93"/>
  <c r="HB78" i="93"/>
  <c r="HB79" i="93"/>
  <c r="HB80" i="93"/>
  <c r="HB81" i="93"/>
  <c r="HB82" i="93"/>
  <c r="HB83" i="93"/>
  <c r="HB84" i="93"/>
  <c r="HB85" i="93"/>
  <c r="HB86" i="93"/>
  <c r="HB87" i="93"/>
  <c r="HB88" i="93"/>
  <c r="HB89" i="93"/>
  <c r="HB90" i="93"/>
  <c r="HB91" i="93"/>
  <c r="HB92" i="93"/>
  <c r="HB93" i="93"/>
  <c r="HB94" i="93"/>
  <c r="HB95" i="93"/>
  <c r="HB96" i="93"/>
  <c r="HB112" i="93"/>
  <c r="HB113" i="93"/>
  <c r="HW124" i="123" l="1"/>
  <c r="HQ166" i="1"/>
  <c r="HQ169" i="1" s="1"/>
  <c r="JE168" i="1"/>
  <c r="JE18" i="1" s="1"/>
  <c r="FL122" i="123"/>
  <c r="FL125" i="123" s="1"/>
  <c r="FM122" i="123"/>
  <c r="FM125" i="123" s="1"/>
  <c r="FI97" i="123"/>
  <c r="FJ14" i="123"/>
  <c r="HX124" i="123" l="1"/>
  <c r="HR166" i="1"/>
  <c r="HR169" i="1" s="1"/>
  <c r="JF168" i="1"/>
  <c r="JF18" i="1" s="1"/>
  <c r="FN122" i="123"/>
  <c r="FN125" i="123" s="1"/>
  <c r="FJ97" i="123"/>
  <c r="FK14" i="123"/>
  <c r="HY124" i="123" l="1"/>
  <c r="HS166" i="1"/>
  <c r="HS169" i="1" s="1"/>
  <c r="HT166" i="1"/>
  <c r="HT169" i="1" s="1"/>
  <c r="FO122" i="123"/>
  <c r="FO125" i="123" s="1"/>
  <c r="FK97" i="123"/>
  <c r="FL14" i="123"/>
  <c r="HZ124" i="123" l="1"/>
  <c r="JH168" i="1"/>
  <c r="JH18" i="1" s="1"/>
  <c r="JG168" i="1"/>
  <c r="JG18" i="1" s="1"/>
  <c r="FP122" i="123"/>
  <c r="FP125" i="123" s="1"/>
  <c r="FL97" i="123"/>
  <c r="FM14" i="123"/>
  <c r="AE188" i="1"/>
  <c r="AF188" i="1"/>
  <c r="AG188" i="1"/>
  <c r="FL188" i="1"/>
  <c r="B53" i="93"/>
  <c r="B54" i="93"/>
  <c r="B55" i="93"/>
  <c r="BS188" i="1" l="1"/>
  <c r="BW188" i="1"/>
  <c r="CA188" i="1"/>
  <c r="BT188" i="1"/>
  <c r="BX188" i="1"/>
  <c r="CB188" i="1"/>
  <c r="BV188" i="1"/>
  <c r="BU188" i="1"/>
  <c r="BZ188" i="1"/>
  <c r="BY188" i="1"/>
  <c r="CO188" i="1"/>
  <c r="CP188" i="1"/>
  <c r="CW188" i="1"/>
  <c r="CX188" i="1" s="1"/>
  <c r="CT188" i="1"/>
  <c r="T188" i="1"/>
  <c r="U188" i="1"/>
  <c r="IA124" i="123"/>
  <c r="CU188" i="1"/>
  <c r="HU166" i="1"/>
  <c r="HU169" i="1" s="1"/>
  <c r="JI168" i="1"/>
  <c r="JI18" i="1" s="1"/>
  <c r="FQ122" i="123"/>
  <c r="FQ125" i="123" s="1"/>
  <c r="FQ188" i="1"/>
  <c r="FM97" i="123"/>
  <c r="FN14" i="123"/>
  <c r="HA69" i="93"/>
  <c r="AA188" i="1" l="1"/>
  <c r="CY188" i="1"/>
  <c r="IB124" i="123"/>
  <c r="HV166" i="1"/>
  <c r="HV169" i="1" s="1"/>
  <c r="HW166" i="1"/>
  <c r="HW169" i="1" s="1"/>
  <c r="JJ168" i="1"/>
  <c r="FR122" i="123"/>
  <c r="FR125" i="123" s="1"/>
  <c r="M55" i="93"/>
  <c r="L53" i="93"/>
  <c r="M54" i="93"/>
  <c r="L54" i="93"/>
  <c r="L55" i="93"/>
  <c r="M53" i="93"/>
  <c r="FN97" i="123"/>
  <c r="FO14" i="123"/>
  <c r="FN188" i="1"/>
  <c r="JJ18" i="1" l="1"/>
  <c r="EA14" i="123"/>
  <c r="EA13" i="123" s="1"/>
  <c r="EB14" i="123"/>
  <c r="EB13" i="123" s="1"/>
  <c r="AC26" i="98" s="1"/>
  <c r="IC124" i="123"/>
  <c r="HX166" i="1"/>
  <c r="HX169" i="1" s="1"/>
  <c r="JK168" i="1"/>
  <c r="FO97" i="123"/>
  <c r="AI71" i="98"/>
  <c r="AI67" i="98"/>
  <c r="AI68" i="98"/>
  <c r="AI69" i="98"/>
  <c r="AI70" i="98"/>
  <c r="JK18" i="1" l="1"/>
  <c r="DT5" i="123"/>
  <c r="DT4" i="123"/>
  <c r="AC33" i="98"/>
  <c r="AC29" i="98"/>
  <c r="AC30" i="98"/>
  <c r="AC31" i="98"/>
  <c r="AC32" i="98"/>
  <c r="AB26" i="98"/>
  <c r="ID124" i="123"/>
  <c r="AL71" i="98"/>
  <c r="FE71" i="98" s="1"/>
  <c r="AL68" i="98"/>
  <c r="FE68" i="98" s="1"/>
  <c r="AL69" i="98"/>
  <c r="FE69" i="98" s="1"/>
  <c r="AL70" i="98"/>
  <c r="FE70" i="98" s="1"/>
  <c r="AL67" i="98"/>
  <c r="FE67" i="98" s="1"/>
  <c r="JL168" i="1"/>
  <c r="FS122" i="123"/>
  <c r="FS125" i="123" s="1"/>
  <c r="FT122" i="123"/>
  <c r="FT125" i="123" s="1"/>
  <c r="FP97" i="123"/>
  <c r="IX65" i="93"/>
  <c r="IY65" i="93"/>
  <c r="IX66" i="93"/>
  <c r="IY66" i="93"/>
  <c r="IX67" i="93"/>
  <c r="IY67" i="93"/>
  <c r="IX68" i="93"/>
  <c r="IY68" i="93"/>
  <c r="IX69" i="93"/>
  <c r="IY69" i="93"/>
  <c r="IX70" i="93"/>
  <c r="IY70" i="93"/>
  <c r="IX71" i="93"/>
  <c r="IY71" i="93"/>
  <c r="IX72" i="93"/>
  <c r="IY72" i="93"/>
  <c r="IX73" i="93"/>
  <c r="IY73" i="93"/>
  <c r="IX74" i="93"/>
  <c r="IY74" i="93"/>
  <c r="IX75" i="93"/>
  <c r="IY75" i="93"/>
  <c r="IX76" i="93"/>
  <c r="IY76" i="93"/>
  <c r="IX77" i="93"/>
  <c r="IY77" i="93"/>
  <c r="IX78" i="93"/>
  <c r="IY78" i="93"/>
  <c r="IX79" i="93"/>
  <c r="IY79" i="93"/>
  <c r="IX80" i="93"/>
  <c r="IY80" i="93"/>
  <c r="IX81" i="93"/>
  <c r="IY81" i="93"/>
  <c r="IX82" i="93"/>
  <c r="IY82" i="93"/>
  <c r="IX83" i="93"/>
  <c r="IY83" i="93"/>
  <c r="IX84" i="93"/>
  <c r="IY84" i="93"/>
  <c r="IX85" i="93"/>
  <c r="IY85" i="93"/>
  <c r="IX86" i="93"/>
  <c r="IY86" i="93"/>
  <c r="IX87" i="93"/>
  <c r="IY87" i="93"/>
  <c r="IX88" i="93"/>
  <c r="IY88" i="93"/>
  <c r="IX89" i="93"/>
  <c r="IY89" i="93"/>
  <c r="IX90" i="93"/>
  <c r="IY90" i="93"/>
  <c r="IX91" i="93"/>
  <c r="IY91" i="93"/>
  <c r="IX92" i="93"/>
  <c r="IY92" i="93"/>
  <c r="IX93" i="93"/>
  <c r="IY93" i="93"/>
  <c r="IX94" i="93"/>
  <c r="IY94" i="93"/>
  <c r="IX95" i="93"/>
  <c r="IY95" i="93"/>
  <c r="IX96" i="93"/>
  <c r="IY96" i="93"/>
  <c r="IX112" i="93"/>
  <c r="IY112" i="93"/>
  <c r="IX113" i="93"/>
  <c r="IY113" i="93"/>
  <c r="IY64" i="93"/>
  <c r="IX64" i="93"/>
  <c r="JL18" i="1" l="1"/>
  <c r="KF113" i="93"/>
  <c r="JD113" i="93"/>
  <c r="KF96" i="93"/>
  <c r="JD96" i="93"/>
  <c r="KF94" i="93"/>
  <c r="JD94" i="93"/>
  <c r="KF92" i="93"/>
  <c r="JD92" i="93"/>
  <c r="KF90" i="93"/>
  <c r="JD90" i="93"/>
  <c r="KF88" i="93"/>
  <c r="JD88" i="93"/>
  <c r="KF86" i="93"/>
  <c r="JD86" i="93"/>
  <c r="KF84" i="93"/>
  <c r="JD84" i="93"/>
  <c r="KF82" i="93"/>
  <c r="JD82" i="93"/>
  <c r="KF80" i="93"/>
  <c r="JD80" i="93"/>
  <c r="KF78" i="93"/>
  <c r="JD78" i="93"/>
  <c r="KF76" i="93"/>
  <c r="JD76" i="93"/>
  <c r="KF74" i="93"/>
  <c r="JD74" i="93"/>
  <c r="KF72" i="93"/>
  <c r="JD72" i="93"/>
  <c r="KF70" i="93"/>
  <c r="JD70" i="93"/>
  <c r="KF68" i="93"/>
  <c r="JD68" i="93"/>
  <c r="KF66" i="93"/>
  <c r="JD66" i="93"/>
  <c r="KF64" i="93"/>
  <c r="JD64" i="93"/>
  <c r="KF112" i="93"/>
  <c r="JD112" i="93"/>
  <c r="KF95" i="93"/>
  <c r="JD95" i="93"/>
  <c r="JD93" i="93"/>
  <c r="KF93" i="93"/>
  <c r="KF91" i="93"/>
  <c r="JD91" i="93"/>
  <c r="KF89" i="93"/>
  <c r="JD89" i="93"/>
  <c r="KF87" i="93"/>
  <c r="JD87" i="93"/>
  <c r="JD85" i="93"/>
  <c r="KF85" i="93"/>
  <c r="JD83" i="93"/>
  <c r="KF83" i="93"/>
  <c r="KF81" i="93"/>
  <c r="JD81" i="93"/>
  <c r="KF79" i="93"/>
  <c r="JD79" i="93"/>
  <c r="KF77" i="93"/>
  <c r="JD77" i="93"/>
  <c r="JD75" i="93"/>
  <c r="KF75" i="93"/>
  <c r="JD73" i="93"/>
  <c r="KF73" i="93"/>
  <c r="KF71" i="93"/>
  <c r="JD71" i="93"/>
  <c r="JD69" i="93"/>
  <c r="KF69" i="93"/>
  <c r="KF67" i="93"/>
  <c r="JD67" i="93"/>
  <c r="KF65" i="93"/>
  <c r="JD65" i="93"/>
  <c r="IE124" i="123"/>
  <c r="HY166" i="1"/>
  <c r="HY169" i="1" s="1"/>
  <c r="JM168" i="1"/>
  <c r="FQ97" i="123"/>
  <c r="JM18" i="1" l="1"/>
  <c r="IF124" i="123"/>
  <c r="HZ166" i="1"/>
  <c r="HZ169" i="1" s="1"/>
  <c r="JN168" i="1"/>
  <c r="FU122" i="123"/>
  <c r="FU125" i="123" s="1"/>
  <c r="FR97" i="123"/>
  <c r="GF65" i="93"/>
  <c r="IO65" i="93" s="1"/>
  <c r="ND65" i="93" s="1"/>
  <c r="GF66" i="93"/>
  <c r="IO66" i="93" s="1"/>
  <c r="ND66" i="93" s="1"/>
  <c r="GF67" i="93"/>
  <c r="IO67" i="93" s="1"/>
  <c r="ND67" i="93" s="1"/>
  <c r="GF68" i="93"/>
  <c r="IO68" i="93" s="1"/>
  <c r="ND68" i="93" s="1"/>
  <c r="GF69" i="93"/>
  <c r="IO69" i="93" s="1"/>
  <c r="ND69" i="93" s="1"/>
  <c r="GF70" i="93"/>
  <c r="IO70" i="93" s="1"/>
  <c r="ND70" i="93" s="1"/>
  <c r="GF71" i="93"/>
  <c r="IO71" i="93" s="1"/>
  <c r="ND71" i="93" s="1"/>
  <c r="GF72" i="93"/>
  <c r="IO72" i="93" s="1"/>
  <c r="ND72" i="93" s="1"/>
  <c r="GF73" i="93"/>
  <c r="IO73" i="93" s="1"/>
  <c r="ND73" i="93" s="1"/>
  <c r="GF74" i="93"/>
  <c r="IO74" i="93" s="1"/>
  <c r="ND74" i="93" s="1"/>
  <c r="GF75" i="93"/>
  <c r="IO75" i="93" s="1"/>
  <c r="ND75" i="93" s="1"/>
  <c r="GF76" i="93"/>
  <c r="IO76" i="93" s="1"/>
  <c r="ND76" i="93" s="1"/>
  <c r="GF77" i="93"/>
  <c r="IO77" i="93" s="1"/>
  <c r="ND77" i="93" s="1"/>
  <c r="GF78" i="93"/>
  <c r="IO78" i="93" s="1"/>
  <c r="ND78" i="93" s="1"/>
  <c r="GF79" i="93"/>
  <c r="IO79" i="93" s="1"/>
  <c r="ND79" i="93" s="1"/>
  <c r="GF80" i="93"/>
  <c r="IO80" i="93" s="1"/>
  <c r="ND80" i="93" s="1"/>
  <c r="GF81" i="93"/>
  <c r="IO81" i="93" s="1"/>
  <c r="ND81" i="93" s="1"/>
  <c r="GF82" i="93"/>
  <c r="IO82" i="93" s="1"/>
  <c r="ND82" i="93" s="1"/>
  <c r="GF83" i="93"/>
  <c r="IO83" i="93" s="1"/>
  <c r="ND83" i="93" s="1"/>
  <c r="GF84" i="93"/>
  <c r="IO84" i="93" s="1"/>
  <c r="ND84" i="93" s="1"/>
  <c r="GF85" i="93"/>
  <c r="IO85" i="93" s="1"/>
  <c r="ND85" i="93" s="1"/>
  <c r="GF86" i="93"/>
  <c r="IO86" i="93" s="1"/>
  <c r="ND86" i="93" s="1"/>
  <c r="GF87" i="93"/>
  <c r="IO87" i="93" s="1"/>
  <c r="ND87" i="93" s="1"/>
  <c r="GF88" i="93"/>
  <c r="IO88" i="93" s="1"/>
  <c r="ND88" i="93" s="1"/>
  <c r="GF89" i="93"/>
  <c r="IO89" i="93" s="1"/>
  <c r="ND89" i="93" s="1"/>
  <c r="GF90" i="93"/>
  <c r="IO90" i="93" s="1"/>
  <c r="ND90" i="93" s="1"/>
  <c r="GF91" i="93"/>
  <c r="IO91" i="93" s="1"/>
  <c r="ND91" i="93" s="1"/>
  <c r="GF92" i="93"/>
  <c r="IO92" i="93" s="1"/>
  <c r="ND92" i="93" s="1"/>
  <c r="GF93" i="93"/>
  <c r="IO93" i="93" s="1"/>
  <c r="ND93" i="93" s="1"/>
  <c r="GF94" i="93"/>
  <c r="IO94" i="93" s="1"/>
  <c r="ND94" i="93" s="1"/>
  <c r="GF95" i="93"/>
  <c r="IO95" i="93" s="1"/>
  <c r="ND95" i="93" s="1"/>
  <c r="GF96" i="93"/>
  <c r="IO96" i="93" s="1"/>
  <c r="ND96" i="93" s="1"/>
  <c r="GF112" i="93"/>
  <c r="IO112" i="93" s="1"/>
  <c r="ND112" i="93" s="1"/>
  <c r="GF113" i="93"/>
  <c r="IO113" i="93" s="1"/>
  <c r="ND113" i="93" s="1"/>
  <c r="GF64" i="93"/>
  <c r="IO64" i="93" s="1"/>
  <c r="ND64" i="93" s="1"/>
  <c r="HA65" i="93"/>
  <c r="HA66" i="93"/>
  <c r="HA67" i="93"/>
  <c r="HA68" i="93"/>
  <c r="HA70" i="93"/>
  <c r="HA71" i="93"/>
  <c r="HA72" i="93"/>
  <c r="HA73" i="93"/>
  <c r="HA74" i="93"/>
  <c r="HA75" i="93"/>
  <c r="HA76" i="93"/>
  <c r="HA77" i="93"/>
  <c r="HA78" i="93"/>
  <c r="HA79" i="93"/>
  <c r="HA80" i="93"/>
  <c r="HA81" i="93"/>
  <c r="HA82" i="93"/>
  <c r="HA83" i="93"/>
  <c r="HA84" i="93"/>
  <c r="HA85" i="93"/>
  <c r="HA86" i="93"/>
  <c r="HA87" i="93"/>
  <c r="HA88" i="93"/>
  <c r="HA89" i="93"/>
  <c r="HA90" i="93"/>
  <c r="HA91" i="93"/>
  <c r="HA92" i="93"/>
  <c r="HA93" i="93"/>
  <c r="HA94" i="93"/>
  <c r="HA95" i="93"/>
  <c r="HA96" i="93"/>
  <c r="HA112" i="93"/>
  <c r="HA113" i="93"/>
  <c r="HB64" i="93"/>
  <c r="HA64" i="93"/>
  <c r="JN18" i="1" l="1"/>
  <c r="MZ112" i="93"/>
  <c r="NB112" i="93" s="1"/>
  <c r="FQ112" i="93" s="1"/>
  <c r="MZ113" i="93"/>
  <c r="NB113" i="93" s="1"/>
  <c r="FQ113" i="93" s="1"/>
  <c r="GK89" i="93"/>
  <c r="GJ89" i="93"/>
  <c r="GK77" i="93"/>
  <c r="GJ77" i="93"/>
  <c r="GK65" i="93"/>
  <c r="GJ65" i="93"/>
  <c r="GK113" i="93"/>
  <c r="GJ113" i="93"/>
  <c r="GK94" i="93"/>
  <c r="GJ94" i="93"/>
  <c r="GK90" i="93"/>
  <c r="GJ90" i="93"/>
  <c r="GK86" i="93"/>
  <c r="GJ86" i="93"/>
  <c r="GK82" i="93"/>
  <c r="GJ82" i="93"/>
  <c r="GK78" i="93"/>
  <c r="GJ78" i="93"/>
  <c r="GK74" i="93"/>
  <c r="GJ74" i="93"/>
  <c r="GK70" i="93"/>
  <c r="GJ70" i="93"/>
  <c r="GK66" i="93"/>
  <c r="GJ66" i="93"/>
  <c r="GK81" i="93"/>
  <c r="GJ81" i="93"/>
  <c r="GK69" i="93"/>
  <c r="GJ69" i="93"/>
  <c r="GK96" i="93"/>
  <c r="GJ96" i="93"/>
  <c r="GJ92" i="93"/>
  <c r="GK92" i="93"/>
  <c r="GK88" i="93"/>
  <c r="GJ88" i="93"/>
  <c r="GK84" i="93"/>
  <c r="GJ84" i="93"/>
  <c r="GJ80" i="93"/>
  <c r="GK80" i="93"/>
  <c r="GK76" i="93"/>
  <c r="GJ76" i="93"/>
  <c r="GK72" i="93"/>
  <c r="GJ72" i="93"/>
  <c r="GK68" i="93"/>
  <c r="GJ68" i="93"/>
  <c r="GK112" i="93"/>
  <c r="GJ112" i="93"/>
  <c r="GK85" i="93"/>
  <c r="GJ85" i="93"/>
  <c r="GK73" i="93"/>
  <c r="GJ73" i="93"/>
  <c r="GK64" i="93"/>
  <c r="GJ64" i="93"/>
  <c r="GK91" i="93"/>
  <c r="GJ91" i="93"/>
  <c r="GK87" i="93"/>
  <c r="GJ87" i="93"/>
  <c r="GK83" i="93"/>
  <c r="GJ83" i="93"/>
  <c r="GK79" i="93"/>
  <c r="GJ79" i="93"/>
  <c r="GK75" i="93"/>
  <c r="GJ75" i="93"/>
  <c r="GK71" i="93"/>
  <c r="GJ71" i="93"/>
  <c r="GK67" i="93"/>
  <c r="GJ67" i="93"/>
  <c r="GK95" i="93"/>
  <c r="GJ95" i="93"/>
  <c r="GK93" i="93"/>
  <c r="GJ93" i="93"/>
  <c r="IG124" i="123"/>
  <c r="GV89" i="93"/>
  <c r="GV85" i="93"/>
  <c r="GV77" i="93"/>
  <c r="GV69" i="93"/>
  <c r="GV65" i="93"/>
  <c r="GV96" i="93"/>
  <c r="GV92" i="93"/>
  <c r="GV88" i="93"/>
  <c r="GV84" i="93"/>
  <c r="GV80" i="93"/>
  <c r="GV76" i="93"/>
  <c r="GV72" i="93"/>
  <c r="GV68" i="93"/>
  <c r="GV112" i="93"/>
  <c r="GV81" i="93"/>
  <c r="GV64" i="93"/>
  <c r="GV95" i="93"/>
  <c r="GV91" i="93"/>
  <c r="GV87" i="93"/>
  <c r="GV83" i="93"/>
  <c r="GV79" i="93"/>
  <c r="GV75" i="93"/>
  <c r="GV71" i="93"/>
  <c r="GV67" i="93"/>
  <c r="GV93" i="93"/>
  <c r="GV73" i="93"/>
  <c r="GV113" i="93"/>
  <c r="GV94" i="93"/>
  <c r="GV90" i="93"/>
  <c r="GV86" i="93"/>
  <c r="GV82" i="93"/>
  <c r="GV78" i="93"/>
  <c r="GV74" i="93"/>
  <c r="GV70" i="93"/>
  <c r="GV66" i="93"/>
  <c r="IA166" i="1"/>
  <c r="IA169" i="1" s="1"/>
  <c r="JO168" i="1"/>
  <c r="FV122" i="123"/>
  <c r="FV125" i="123" s="1"/>
  <c r="FW122" i="123"/>
  <c r="FW125" i="123" s="1"/>
  <c r="FS97" i="123"/>
  <c r="JO18" i="1" l="1"/>
  <c r="GJ62" i="93"/>
  <c r="AA67" i="71" s="1"/>
  <c r="GK62" i="93"/>
  <c r="AA68" i="71" s="1"/>
  <c r="GV62" i="93"/>
  <c r="IH124" i="123"/>
  <c r="IB166" i="1"/>
  <c r="IB169" i="1" s="1"/>
  <c r="JP168" i="1"/>
  <c r="JP18" i="1" s="1"/>
  <c r="FX122" i="123"/>
  <c r="FX125" i="123" s="1"/>
  <c r="FT97" i="123"/>
  <c r="II124" i="123" l="1"/>
  <c r="IQ74" i="93"/>
  <c r="EZ74" i="93" s="1"/>
  <c r="IQ75" i="93"/>
  <c r="EZ75" i="93" s="1"/>
  <c r="IQ71" i="93"/>
  <c r="EZ71" i="93" s="1"/>
  <c r="IQ80" i="93"/>
  <c r="EZ80" i="93" s="1"/>
  <c r="ID166" i="1"/>
  <c r="ID169" i="1" s="1"/>
  <c r="IC166" i="1"/>
  <c r="IC169" i="1" s="1"/>
  <c r="JQ168" i="1"/>
  <c r="JQ18" i="1" s="1"/>
  <c r="FY122" i="123"/>
  <c r="FY125" i="123" s="1"/>
  <c r="FU97" i="123"/>
  <c r="FT75" i="93" l="1"/>
  <c r="DU56" i="1" s="1"/>
  <c r="FU75" i="93"/>
  <c r="DU57" i="1" s="1"/>
  <c r="FV75" i="93"/>
  <c r="DU58" i="1" s="1"/>
  <c r="FW75" i="93"/>
  <c r="DU59" i="1" s="1"/>
  <c r="FX75" i="93"/>
  <c r="DU60" i="1" s="1"/>
  <c r="FY75" i="93"/>
  <c r="DU61" i="1" s="1"/>
  <c r="FZ75" i="93"/>
  <c r="DU62" i="1" s="1"/>
  <c r="GA75" i="93"/>
  <c r="DU63" i="1" s="1"/>
  <c r="GB75" i="93"/>
  <c r="DU64" i="1" s="1"/>
  <c r="GC75" i="93"/>
  <c r="DU65" i="1" s="1"/>
  <c r="FT71" i="93"/>
  <c r="FU71" i="93"/>
  <c r="FV71" i="93"/>
  <c r="FW71" i="93"/>
  <c r="FX71" i="93"/>
  <c r="FY71" i="93"/>
  <c r="FZ71" i="93"/>
  <c r="GA71" i="93"/>
  <c r="GB71" i="93"/>
  <c r="GC71" i="93"/>
  <c r="FT80" i="93"/>
  <c r="DZ56" i="1" s="1"/>
  <c r="FU80" i="93"/>
  <c r="DZ57" i="1" s="1"/>
  <c r="FV80" i="93"/>
  <c r="DZ58" i="1" s="1"/>
  <c r="FW80" i="93"/>
  <c r="DZ59" i="1" s="1"/>
  <c r="FX80" i="93"/>
  <c r="DZ60" i="1" s="1"/>
  <c r="FY80" i="93"/>
  <c r="DZ61" i="1" s="1"/>
  <c r="FZ80" i="93"/>
  <c r="DZ62" i="1" s="1"/>
  <c r="GA80" i="93"/>
  <c r="DZ63" i="1" s="1"/>
  <c r="GB80" i="93"/>
  <c r="DZ64" i="1" s="1"/>
  <c r="GC80" i="93"/>
  <c r="DZ65" i="1" s="1"/>
  <c r="FT74" i="93"/>
  <c r="DT56" i="1" s="1"/>
  <c r="FU74" i="93"/>
  <c r="DT57" i="1" s="1"/>
  <c r="FV74" i="93"/>
  <c r="DT58" i="1" s="1"/>
  <c r="FW74" i="93"/>
  <c r="DT59" i="1" s="1"/>
  <c r="FX74" i="93"/>
  <c r="DT60" i="1" s="1"/>
  <c r="FY74" i="93"/>
  <c r="DT61" i="1" s="1"/>
  <c r="FZ74" i="93"/>
  <c r="DT62" i="1" s="1"/>
  <c r="GA74" i="93"/>
  <c r="DT63" i="1" s="1"/>
  <c r="GB74" i="93"/>
  <c r="DT64" i="1" s="1"/>
  <c r="GC74" i="93"/>
  <c r="DT65" i="1" s="1"/>
  <c r="IJ124" i="123"/>
  <c r="JF75" i="93"/>
  <c r="JF74" i="93"/>
  <c r="BD196" i="123"/>
  <c r="BC196" i="123"/>
  <c r="JF71" i="93"/>
  <c r="BC197" i="123"/>
  <c r="BC204" i="123"/>
  <c r="BD197" i="123"/>
  <c r="BD204" i="123"/>
  <c r="JR168" i="1"/>
  <c r="JR18" i="1" s="1"/>
  <c r="FZ122" i="123"/>
  <c r="FZ125" i="123" s="1"/>
  <c r="IF166" i="1"/>
  <c r="IF169" i="1" s="1"/>
  <c r="FV97" i="123"/>
  <c r="FL184" i="1"/>
  <c r="AG184" i="1"/>
  <c r="AF184" i="1"/>
  <c r="AE184" i="1"/>
  <c r="FL183" i="1"/>
  <c r="AG183" i="1"/>
  <c r="AF183" i="1"/>
  <c r="AE183" i="1"/>
  <c r="AE179" i="1"/>
  <c r="AF179" i="1"/>
  <c r="AG179" i="1"/>
  <c r="FL179" i="1"/>
  <c r="FL178" i="1"/>
  <c r="AG178" i="1"/>
  <c r="AF178" i="1"/>
  <c r="AE178" i="1"/>
  <c r="DQ65" i="1" l="1"/>
  <c r="BV216" i="123"/>
  <c r="DQ61" i="1"/>
  <c r="BR216" i="123"/>
  <c r="DQ57" i="1"/>
  <c r="BN216" i="123"/>
  <c r="DQ64" i="1"/>
  <c r="BU216" i="123"/>
  <c r="DQ60" i="1"/>
  <c r="BQ216" i="123"/>
  <c r="DQ56" i="1"/>
  <c r="BM216" i="123"/>
  <c r="DQ63" i="1"/>
  <c r="BT216" i="123"/>
  <c r="DQ59" i="1"/>
  <c r="BP216" i="123"/>
  <c r="DQ62" i="1"/>
  <c r="BS216" i="123"/>
  <c r="DQ58" i="1"/>
  <c r="BO216" i="123"/>
  <c r="BZ179" i="1"/>
  <c r="CA179" i="1"/>
  <c r="BX179" i="1"/>
  <c r="BU179" i="1"/>
  <c r="BS179" i="1"/>
  <c r="BW179" i="1"/>
  <c r="BT179" i="1"/>
  <c r="BV179" i="1"/>
  <c r="BY179" i="1"/>
  <c r="CB179" i="1"/>
  <c r="BU178" i="1"/>
  <c r="BY178" i="1"/>
  <c r="BV178" i="1"/>
  <c r="BZ178" i="1"/>
  <c r="BT178" i="1"/>
  <c r="CB178" i="1"/>
  <c r="CA178" i="1"/>
  <c r="BW178" i="1"/>
  <c r="BX178" i="1"/>
  <c r="BS178" i="1"/>
  <c r="CA183" i="1"/>
  <c r="CB183" i="1"/>
  <c r="BW183" i="1"/>
  <c r="BS183" i="1"/>
  <c r="BV183" i="1"/>
  <c r="BT183" i="1"/>
  <c r="BU183" i="1"/>
  <c r="BY183" i="1"/>
  <c r="BX183" i="1"/>
  <c r="BZ183" i="1"/>
  <c r="BS184" i="1"/>
  <c r="BW184" i="1"/>
  <c r="CA184" i="1"/>
  <c r="BT184" i="1"/>
  <c r="BX184" i="1"/>
  <c r="CB184" i="1"/>
  <c r="BZ184" i="1"/>
  <c r="BU184" i="1"/>
  <c r="BV184" i="1"/>
  <c r="BY184" i="1"/>
  <c r="FP74" i="93"/>
  <c r="FJ74" i="93"/>
  <c r="FP75" i="93"/>
  <c r="FJ75" i="93"/>
  <c r="FP71" i="93"/>
  <c r="FJ71" i="93"/>
  <c r="CO183" i="1"/>
  <c r="CO179" i="1"/>
  <c r="CO178" i="1"/>
  <c r="CO184" i="1"/>
  <c r="CP178" i="1"/>
  <c r="CT178" i="1"/>
  <c r="CW178" i="1"/>
  <c r="CX178" i="1" s="1"/>
  <c r="CP183" i="1"/>
  <c r="CW183" i="1"/>
  <c r="CX183" i="1" s="1"/>
  <c r="CT183" i="1"/>
  <c r="CP184" i="1"/>
  <c r="CW184" i="1"/>
  <c r="CX184" i="1" s="1"/>
  <c r="CY184" i="1" s="1"/>
  <c r="CT184" i="1"/>
  <c r="CP179" i="1"/>
  <c r="CW179" i="1"/>
  <c r="CX179" i="1" s="1"/>
  <c r="CT179" i="1"/>
  <c r="T178" i="1"/>
  <c r="U178" i="1"/>
  <c r="T184" i="1"/>
  <c r="U184" i="1"/>
  <c r="BC144" i="123"/>
  <c r="BC149" i="123"/>
  <c r="BC148" i="123"/>
  <c r="BC147" i="123"/>
  <c r="BC146" i="123"/>
  <c r="BN178" i="123"/>
  <c r="BC142" i="123"/>
  <c r="BC132" i="123"/>
  <c r="BM178" i="123"/>
  <c r="BC172" i="123"/>
  <c r="BC143" i="123"/>
  <c r="BM179" i="123"/>
  <c r="BM186" i="123"/>
  <c r="BM156" i="123"/>
  <c r="BC170" i="123"/>
  <c r="BC150" i="123"/>
  <c r="BC152" i="123"/>
  <c r="BC151" i="123"/>
  <c r="BC171" i="123"/>
  <c r="BN186" i="123"/>
  <c r="BN179" i="123"/>
  <c r="BN156" i="123"/>
  <c r="BM230" i="123"/>
  <c r="IK124" i="123"/>
  <c r="BM234" i="123"/>
  <c r="BM228" i="123"/>
  <c r="BM235" i="123"/>
  <c r="BC137" i="123"/>
  <c r="BM229" i="123"/>
  <c r="JF80" i="93"/>
  <c r="BM133" i="123"/>
  <c r="BC133" i="123"/>
  <c r="BM140" i="123"/>
  <c r="BC140" i="123"/>
  <c r="BC138" i="123"/>
  <c r="BC141" i="123"/>
  <c r="BM135" i="123"/>
  <c r="BC135" i="123"/>
  <c r="BC139" i="123"/>
  <c r="BC134" i="123"/>
  <c r="BC136" i="123"/>
  <c r="BC129" i="123"/>
  <c r="BC235" i="123"/>
  <c r="BC228" i="123"/>
  <c r="BC234" i="123"/>
  <c r="BC130" i="123"/>
  <c r="BC226" i="123"/>
  <c r="BC233" i="123"/>
  <c r="BC225" i="123"/>
  <c r="BC232" i="123"/>
  <c r="BC173" i="123"/>
  <c r="BC153" i="123"/>
  <c r="BC198" i="123"/>
  <c r="BC205" i="123"/>
  <c r="BC176" i="123"/>
  <c r="BC156" i="123"/>
  <c r="BC180" i="123"/>
  <c r="BC160" i="123"/>
  <c r="BC188" i="123"/>
  <c r="BC168" i="123"/>
  <c r="BC189" i="123"/>
  <c r="BC169" i="123"/>
  <c r="BC159" i="123"/>
  <c r="BC179" i="123"/>
  <c r="BC177" i="123"/>
  <c r="BC157" i="123"/>
  <c r="BC185" i="123"/>
  <c r="BC165" i="123"/>
  <c r="BC183" i="123"/>
  <c r="BC163" i="123"/>
  <c r="BC182" i="123"/>
  <c r="BC162" i="123"/>
  <c r="BC166" i="123"/>
  <c r="BC186" i="123"/>
  <c r="BC164" i="123"/>
  <c r="BC184" i="123"/>
  <c r="BC199" i="123"/>
  <c r="BC154" i="123"/>
  <c r="BC174" i="123"/>
  <c r="BC178" i="123"/>
  <c r="BC158" i="123"/>
  <c r="BC206" i="123"/>
  <c r="BC187" i="123"/>
  <c r="BC167" i="123"/>
  <c r="BC161" i="123"/>
  <c r="BC181" i="123"/>
  <c r="BC175" i="123"/>
  <c r="BC155" i="123"/>
  <c r="BC202" i="123"/>
  <c r="BC194" i="123"/>
  <c r="BC145" i="123"/>
  <c r="CU183" i="1"/>
  <c r="CU178" i="1"/>
  <c r="CU184" i="1"/>
  <c r="CU179" i="1"/>
  <c r="IE166" i="1"/>
  <c r="IE169" i="1" s="1"/>
  <c r="JS168" i="1"/>
  <c r="JS18" i="1" s="1"/>
  <c r="GA122" i="123"/>
  <c r="GA125" i="123" s="1"/>
  <c r="FX97" i="123"/>
  <c r="FQ178" i="1"/>
  <c r="FQ184" i="1"/>
  <c r="FW97" i="123"/>
  <c r="CY179" i="1" l="1"/>
  <c r="CY183" i="1"/>
  <c r="FP80" i="93"/>
  <c r="FJ80" i="93"/>
  <c r="CY178" i="1"/>
  <c r="AA178" i="1"/>
  <c r="AA184" i="1"/>
  <c r="BM227" i="123"/>
  <c r="BM233" i="123"/>
  <c r="BD149" i="123"/>
  <c r="BD148" i="123"/>
  <c r="BD144" i="123"/>
  <c r="BM169" i="123"/>
  <c r="BM149" i="123"/>
  <c r="BM144" i="123"/>
  <c r="BM164" i="123"/>
  <c r="BM148" i="123"/>
  <c r="BM168" i="123"/>
  <c r="BD142" i="123"/>
  <c r="BD147" i="123"/>
  <c r="BD132" i="123"/>
  <c r="BM160" i="123"/>
  <c r="BM132" i="123"/>
  <c r="BM161" i="123"/>
  <c r="BD146" i="123"/>
  <c r="BD143" i="123"/>
  <c r="BD151" i="123"/>
  <c r="BD171" i="123"/>
  <c r="BM166" i="123"/>
  <c r="BM146" i="123"/>
  <c r="BM181" i="123"/>
  <c r="BM158" i="123"/>
  <c r="BD150" i="123"/>
  <c r="BD170" i="123"/>
  <c r="BD152" i="123"/>
  <c r="BD172" i="123"/>
  <c r="BM188" i="123"/>
  <c r="BM142" i="123"/>
  <c r="BM162" i="123"/>
  <c r="BM173" i="123"/>
  <c r="BM153" i="123"/>
  <c r="BM170" i="123"/>
  <c r="BM150" i="123"/>
  <c r="BM143" i="123"/>
  <c r="BM163" i="123"/>
  <c r="BM176" i="123"/>
  <c r="BM184" i="123"/>
  <c r="BM172" i="123"/>
  <c r="BM152" i="123"/>
  <c r="BM147" i="123"/>
  <c r="BM167" i="123"/>
  <c r="BM151" i="123"/>
  <c r="BM171" i="123"/>
  <c r="BM138" i="123"/>
  <c r="BM165" i="123"/>
  <c r="BM145" i="123"/>
  <c r="BM180" i="123"/>
  <c r="BM187" i="123"/>
  <c r="BM157" i="123"/>
  <c r="BM134" i="123"/>
  <c r="BN228" i="123"/>
  <c r="BN234" i="123"/>
  <c r="BN235" i="123"/>
  <c r="BN230" i="123"/>
  <c r="BM130" i="123"/>
  <c r="IL124" i="123"/>
  <c r="BD137" i="123"/>
  <c r="BN229" i="123"/>
  <c r="BM136" i="123"/>
  <c r="BM141" i="123"/>
  <c r="BD134" i="123"/>
  <c r="BD141" i="123"/>
  <c r="BD138" i="123"/>
  <c r="BN133" i="123"/>
  <c r="BD133" i="123"/>
  <c r="BD140" i="123"/>
  <c r="BN135" i="123"/>
  <c r="BD135" i="123"/>
  <c r="BN136" i="123"/>
  <c r="BD136" i="123"/>
  <c r="BD139" i="123"/>
  <c r="BM137" i="123"/>
  <c r="BD129" i="123"/>
  <c r="BM129" i="123"/>
  <c r="BD234" i="123"/>
  <c r="BD228" i="123"/>
  <c r="BD235" i="123"/>
  <c r="BE196" i="123"/>
  <c r="BD130" i="123"/>
  <c r="BD226" i="123"/>
  <c r="BD233" i="123"/>
  <c r="BD225" i="123"/>
  <c r="BD232" i="123"/>
  <c r="BD155" i="123"/>
  <c r="BD175" i="123"/>
  <c r="BD167" i="123"/>
  <c r="BD187" i="123"/>
  <c r="BD156" i="123"/>
  <c r="BD176" i="123"/>
  <c r="BD159" i="123"/>
  <c r="BD179" i="123"/>
  <c r="BD186" i="123"/>
  <c r="BD166" i="123"/>
  <c r="BD163" i="123"/>
  <c r="BD183" i="123"/>
  <c r="BD202" i="123"/>
  <c r="BD194" i="123"/>
  <c r="BD145" i="123"/>
  <c r="BD161" i="123"/>
  <c r="BD181" i="123"/>
  <c r="BD205" i="123"/>
  <c r="BD153" i="123"/>
  <c r="BD198" i="123"/>
  <c r="BD173" i="123"/>
  <c r="BD168" i="123"/>
  <c r="BD188" i="123"/>
  <c r="BD165" i="123"/>
  <c r="BD185" i="123"/>
  <c r="BD162" i="123"/>
  <c r="BD182" i="123"/>
  <c r="BD206" i="123"/>
  <c r="BD158" i="123"/>
  <c r="BD178" i="123"/>
  <c r="BD164" i="123"/>
  <c r="BD184" i="123"/>
  <c r="BD157" i="123"/>
  <c r="BD177" i="123"/>
  <c r="BE204" i="123"/>
  <c r="BE197" i="123"/>
  <c r="BD154" i="123"/>
  <c r="BD199" i="123"/>
  <c r="BD174" i="123"/>
  <c r="BD160" i="123"/>
  <c r="BD180" i="123"/>
  <c r="BD169" i="123"/>
  <c r="BD189" i="123"/>
  <c r="IG166" i="1"/>
  <c r="IG169" i="1" s="1"/>
  <c r="JT168" i="1"/>
  <c r="FZ97" i="123"/>
  <c r="GB122" i="123"/>
  <c r="GB125" i="123" s="1"/>
  <c r="JT18" i="1" l="1"/>
  <c r="FY97" i="123"/>
  <c r="BN227" i="123"/>
  <c r="BN233" i="123"/>
  <c r="BE149" i="123"/>
  <c r="BE144" i="123"/>
  <c r="BE148" i="123"/>
  <c r="BN169" i="123"/>
  <c r="BN149" i="123"/>
  <c r="BN144" i="123"/>
  <c r="BN164" i="123"/>
  <c r="BN168" i="123"/>
  <c r="BN148" i="123"/>
  <c r="BN137" i="123"/>
  <c r="BE172" i="123"/>
  <c r="BN159" i="123"/>
  <c r="BE147" i="123"/>
  <c r="BE142" i="123"/>
  <c r="BO178" i="123"/>
  <c r="BE132" i="123"/>
  <c r="BE146" i="123"/>
  <c r="BE143" i="123"/>
  <c r="BN161" i="123"/>
  <c r="BN160" i="123"/>
  <c r="BN141" i="123"/>
  <c r="BN140" i="123"/>
  <c r="BN181" i="123"/>
  <c r="BN158" i="123"/>
  <c r="BE170" i="123"/>
  <c r="BE150" i="123"/>
  <c r="BM159" i="123"/>
  <c r="BM139" i="123"/>
  <c r="BN151" i="123"/>
  <c r="BN171" i="123"/>
  <c r="BO179" i="123"/>
  <c r="BO156" i="123"/>
  <c r="BO186" i="123"/>
  <c r="BN145" i="123"/>
  <c r="BN165" i="123"/>
  <c r="BN163" i="123"/>
  <c r="BN143" i="123"/>
  <c r="BE151" i="123"/>
  <c r="BE171" i="123"/>
  <c r="BN166" i="123"/>
  <c r="BN146" i="123"/>
  <c r="BE152" i="123"/>
  <c r="BN176" i="123"/>
  <c r="BN184" i="123"/>
  <c r="BN132" i="123"/>
  <c r="BN170" i="123"/>
  <c r="BN150" i="123"/>
  <c r="BN139" i="123"/>
  <c r="BN138" i="123"/>
  <c r="BN180" i="123"/>
  <c r="BN157" i="123"/>
  <c r="BN187" i="123"/>
  <c r="BN153" i="123"/>
  <c r="BN173" i="123"/>
  <c r="BN162" i="123"/>
  <c r="BN188" i="123"/>
  <c r="BN142" i="123"/>
  <c r="BN172" i="123"/>
  <c r="BN152" i="123"/>
  <c r="BN147" i="123"/>
  <c r="BN167" i="123"/>
  <c r="BN134" i="123"/>
  <c r="BN130" i="123"/>
  <c r="BO230" i="123"/>
  <c r="IM124" i="123"/>
  <c r="BO234" i="123"/>
  <c r="BE137" i="123"/>
  <c r="BO229" i="123"/>
  <c r="BO235" i="123"/>
  <c r="BO228" i="123"/>
  <c r="BO136" i="123"/>
  <c r="BE136" i="123"/>
  <c r="BO133" i="123"/>
  <c r="BE133" i="123"/>
  <c r="BE139" i="123"/>
  <c r="BE141" i="123"/>
  <c r="BE134" i="123"/>
  <c r="BE135" i="123"/>
  <c r="BE138" i="123"/>
  <c r="BE140" i="123"/>
  <c r="BE129" i="123"/>
  <c r="BN129" i="123"/>
  <c r="BE228" i="123"/>
  <c r="BE235" i="123"/>
  <c r="BF196" i="123"/>
  <c r="BE234" i="123"/>
  <c r="BE130" i="123"/>
  <c r="BE232" i="123"/>
  <c r="BE225" i="123"/>
  <c r="BE226" i="123"/>
  <c r="BE233" i="123"/>
  <c r="BE202" i="123"/>
  <c r="BE194" i="123"/>
  <c r="BE145" i="123"/>
  <c r="BE186" i="123"/>
  <c r="BE166" i="123"/>
  <c r="BE184" i="123"/>
  <c r="BE164" i="123"/>
  <c r="BE189" i="123"/>
  <c r="BE169" i="123"/>
  <c r="BE174" i="123"/>
  <c r="BE199" i="123"/>
  <c r="BE154" i="123"/>
  <c r="BE177" i="123"/>
  <c r="BE157" i="123"/>
  <c r="BE188" i="123"/>
  <c r="BE168" i="123"/>
  <c r="BE185" i="123"/>
  <c r="BE165" i="123"/>
  <c r="BE180" i="123"/>
  <c r="BE160" i="123"/>
  <c r="BF197" i="123"/>
  <c r="BF204" i="123"/>
  <c r="BE176" i="123"/>
  <c r="BE156" i="123"/>
  <c r="BE155" i="123"/>
  <c r="BE175" i="123"/>
  <c r="BE161" i="123"/>
  <c r="BE181" i="123"/>
  <c r="BE183" i="123"/>
  <c r="BE163" i="123"/>
  <c r="BE206" i="123"/>
  <c r="BE158" i="123"/>
  <c r="BE178" i="123"/>
  <c r="BE153" i="123"/>
  <c r="BE173" i="123"/>
  <c r="BE198" i="123"/>
  <c r="BE205" i="123"/>
  <c r="BE162" i="123"/>
  <c r="BE182" i="123"/>
  <c r="BE179" i="123"/>
  <c r="BE159" i="123"/>
  <c r="BE187" i="123"/>
  <c r="BE167" i="123"/>
  <c r="IH166" i="1"/>
  <c r="IH169" i="1" s="1"/>
  <c r="JU168" i="1"/>
  <c r="JU18" i="1" s="1"/>
  <c r="GA97" i="123"/>
  <c r="FN178" i="1"/>
  <c r="BO227" i="123" l="1"/>
  <c r="BO233" i="123"/>
  <c r="BF144" i="123"/>
  <c r="BF148" i="123"/>
  <c r="BF149" i="123"/>
  <c r="BO168" i="123"/>
  <c r="BO148" i="123"/>
  <c r="BO144" i="123"/>
  <c r="BO164" i="123"/>
  <c r="BO169" i="123"/>
  <c r="BO149" i="123"/>
  <c r="BF143" i="123"/>
  <c r="BF146" i="123"/>
  <c r="BF132" i="123"/>
  <c r="BF142" i="123"/>
  <c r="BF147" i="123"/>
  <c r="BO159" i="123"/>
  <c r="BO161" i="123"/>
  <c r="BO160" i="123"/>
  <c r="BF172" i="123"/>
  <c r="BP178" i="123"/>
  <c r="BF152" i="123"/>
  <c r="BO140" i="123"/>
  <c r="BO139" i="123"/>
  <c r="BO141" i="123"/>
  <c r="BO180" i="123"/>
  <c r="BO187" i="123"/>
  <c r="BO157" i="123"/>
  <c r="BO150" i="123"/>
  <c r="BO170" i="123"/>
  <c r="BO147" i="123"/>
  <c r="BO167" i="123"/>
  <c r="BO172" i="123"/>
  <c r="BO152" i="123"/>
  <c r="BF171" i="123"/>
  <c r="BF151" i="123"/>
  <c r="BF150" i="123"/>
  <c r="BF170" i="123"/>
  <c r="BO165" i="123"/>
  <c r="BO145" i="123"/>
  <c r="BO181" i="123"/>
  <c r="BO158" i="123"/>
  <c r="BP156" i="123"/>
  <c r="BP179" i="123"/>
  <c r="BP186" i="123"/>
  <c r="BO166" i="123"/>
  <c r="BO146" i="123"/>
  <c r="BO151" i="123"/>
  <c r="BO171" i="123"/>
  <c r="BO142" i="123"/>
  <c r="BO162" i="123"/>
  <c r="BO188" i="123"/>
  <c r="BO163" i="123"/>
  <c r="BO143" i="123"/>
  <c r="BO173" i="123"/>
  <c r="BO153" i="123"/>
  <c r="BO176" i="123"/>
  <c r="BO184" i="123"/>
  <c r="BO132" i="123"/>
  <c r="BP230" i="123"/>
  <c r="BO130" i="123"/>
  <c r="IN124" i="123"/>
  <c r="BF137" i="123"/>
  <c r="BP229" i="123"/>
  <c r="BP234" i="123"/>
  <c r="BP228" i="123"/>
  <c r="BP235" i="123"/>
  <c r="BO134" i="123"/>
  <c r="BO138" i="123"/>
  <c r="BO135" i="123"/>
  <c r="BF140" i="123"/>
  <c r="BP135" i="123"/>
  <c r="BF135" i="123"/>
  <c r="BF141" i="123"/>
  <c r="BP136" i="123"/>
  <c r="BF136" i="123"/>
  <c r="BF138" i="123"/>
  <c r="BP133" i="123"/>
  <c r="BF133" i="123"/>
  <c r="BF134" i="123"/>
  <c r="BF139" i="123"/>
  <c r="BO137" i="123"/>
  <c r="BF129" i="123"/>
  <c r="BO129" i="123"/>
  <c r="BF228" i="123"/>
  <c r="BF235" i="123"/>
  <c r="BF234" i="123"/>
  <c r="BG196" i="123"/>
  <c r="BF130" i="123"/>
  <c r="BF233" i="123"/>
  <c r="BF226" i="123"/>
  <c r="BF232" i="123"/>
  <c r="BF225" i="123"/>
  <c r="BF187" i="123"/>
  <c r="BF167" i="123"/>
  <c r="BF198" i="123"/>
  <c r="BF153" i="123"/>
  <c r="BF205" i="123"/>
  <c r="BF173" i="123"/>
  <c r="BF174" i="123"/>
  <c r="BF154" i="123"/>
  <c r="BF199" i="123"/>
  <c r="BF164" i="123"/>
  <c r="BF184" i="123"/>
  <c r="BF166" i="123"/>
  <c r="BF186" i="123"/>
  <c r="BF155" i="123"/>
  <c r="BF175" i="123"/>
  <c r="BG204" i="123"/>
  <c r="BG197" i="123"/>
  <c r="BF185" i="123"/>
  <c r="BF165" i="123"/>
  <c r="BF161" i="123"/>
  <c r="BF181" i="123"/>
  <c r="BF160" i="123"/>
  <c r="BF180" i="123"/>
  <c r="BF168" i="123"/>
  <c r="BF188" i="123"/>
  <c r="BF179" i="123"/>
  <c r="BF159" i="123"/>
  <c r="BF182" i="123"/>
  <c r="BF162" i="123"/>
  <c r="BF177" i="123"/>
  <c r="BF157" i="123"/>
  <c r="BF189" i="123"/>
  <c r="BF169" i="123"/>
  <c r="BF194" i="123"/>
  <c r="BF145" i="123"/>
  <c r="BF202" i="123"/>
  <c r="BF156" i="123"/>
  <c r="BF176" i="123"/>
  <c r="BF158" i="123"/>
  <c r="BF178" i="123"/>
  <c r="BF206" i="123"/>
  <c r="BF183" i="123"/>
  <c r="BF163" i="123"/>
  <c r="JV168" i="1"/>
  <c r="GB97" i="123"/>
  <c r="GC122" i="123"/>
  <c r="GC125" i="123" s="1"/>
  <c r="GD122" i="123"/>
  <c r="GD125" i="123" s="1"/>
  <c r="JV18" i="1" l="1"/>
  <c r="BP227" i="123"/>
  <c r="BP233" i="123"/>
  <c r="BG149" i="123"/>
  <c r="BG144" i="123"/>
  <c r="BG148" i="123"/>
  <c r="BP164" i="123"/>
  <c r="BP144" i="123"/>
  <c r="BP148" i="123"/>
  <c r="BP168" i="123"/>
  <c r="BP169" i="123"/>
  <c r="BP149" i="123"/>
  <c r="BG142" i="123"/>
  <c r="BG172" i="123"/>
  <c r="BP160" i="123"/>
  <c r="BP161" i="123"/>
  <c r="BG143" i="123"/>
  <c r="BP159" i="123"/>
  <c r="BG147" i="123"/>
  <c r="BG132" i="123"/>
  <c r="BG146" i="123"/>
  <c r="BQ178" i="123"/>
  <c r="BP165" i="123"/>
  <c r="BP145" i="123"/>
  <c r="BP158" i="123"/>
  <c r="BP181" i="123"/>
  <c r="BP188" i="123"/>
  <c r="BP142" i="123"/>
  <c r="BP162" i="123"/>
  <c r="BG152" i="123"/>
  <c r="BP180" i="123"/>
  <c r="BP157" i="123"/>
  <c r="BP187" i="123"/>
  <c r="BP147" i="123"/>
  <c r="BP167" i="123"/>
  <c r="BQ186" i="123"/>
  <c r="BQ156" i="123"/>
  <c r="BQ179" i="123"/>
  <c r="BP151" i="123"/>
  <c r="BP171" i="123"/>
  <c r="BG151" i="123"/>
  <c r="BG171" i="123"/>
  <c r="BP166" i="123"/>
  <c r="BP146" i="123"/>
  <c r="BP176" i="123"/>
  <c r="BP184" i="123"/>
  <c r="BP132" i="123"/>
  <c r="BP170" i="123"/>
  <c r="BP150" i="123"/>
  <c r="BG150" i="123"/>
  <c r="BG170" i="123"/>
  <c r="BP143" i="123"/>
  <c r="BP163" i="123"/>
  <c r="BP153" i="123"/>
  <c r="BP173" i="123"/>
  <c r="BP152" i="123"/>
  <c r="BP172" i="123"/>
  <c r="BQ230" i="123"/>
  <c r="BP130" i="123"/>
  <c r="IO124" i="123"/>
  <c r="BQ234" i="123"/>
  <c r="BG137" i="123"/>
  <c r="BQ229" i="123"/>
  <c r="BQ235" i="123"/>
  <c r="BQ228" i="123"/>
  <c r="BP141" i="123"/>
  <c r="BP134" i="123"/>
  <c r="BP140" i="123"/>
  <c r="BP138" i="123"/>
  <c r="BP139" i="123"/>
  <c r="BG139" i="123"/>
  <c r="BQ133" i="123"/>
  <c r="BG133" i="123"/>
  <c r="BG140" i="123"/>
  <c r="BQ136" i="123"/>
  <c r="BG136" i="123"/>
  <c r="BG134" i="123"/>
  <c r="BG138" i="123"/>
  <c r="BG141" i="123"/>
  <c r="BQ135" i="123"/>
  <c r="BG135" i="123"/>
  <c r="BP137" i="123"/>
  <c r="BG129" i="123"/>
  <c r="BP129" i="123"/>
  <c r="BG235" i="123"/>
  <c r="BG228" i="123"/>
  <c r="BG234" i="123"/>
  <c r="BH196" i="123"/>
  <c r="BG130" i="123"/>
  <c r="BG233" i="123"/>
  <c r="BG226" i="123"/>
  <c r="BG225" i="123"/>
  <c r="BG232" i="123"/>
  <c r="BG185" i="123"/>
  <c r="BG165" i="123"/>
  <c r="BG174" i="123"/>
  <c r="BG154" i="123"/>
  <c r="BG199" i="123"/>
  <c r="BG187" i="123"/>
  <c r="BG167" i="123"/>
  <c r="BG180" i="123"/>
  <c r="BG160" i="123"/>
  <c r="BG183" i="123"/>
  <c r="BG163" i="123"/>
  <c r="BG194" i="123"/>
  <c r="BG202" i="123"/>
  <c r="BG145" i="123"/>
  <c r="BG162" i="123"/>
  <c r="BG182" i="123"/>
  <c r="BG186" i="123"/>
  <c r="BG166" i="123"/>
  <c r="BG189" i="123"/>
  <c r="BG169" i="123"/>
  <c r="BH197" i="123"/>
  <c r="BH204" i="123"/>
  <c r="BG175" i="123"/>
  <c r="BG155" i="123"/>
  <c r="BG184" i="123"/>
  <c r="BG164" i="123"/>
  <c r="BG205" i="123"/>
  <c r="BG173" i="123"/>
  <c r="BG153" i="123"/>
  <c r="BG198" i="123"/>
  <c r="BG188" i="123"/>
  <c r="BG168" i="123"/>
  <c r="BG158" i="123"/>
  <c r="BG178" i="123"/>
  <c r="BG206" i="123"/>
  <c r="BG156" i="123"/>
  <c r="BG176" i="123"/>
  <c r="BG177" i="123"/>
  <c r="BG157" i="123"/>
  <c r="BG159" i="123"/>
  <c r="BG179" i="123"/>
  <c r="BG161" i="123"/>
  <c r="BG181" i="123"/>
  <c r="II166" i="1"/>
  <c r="II169" i="1" s="1"/>
  <c r="JW168" i="1"/>
  <c r="GC97" i="123"/>
  <c r="GE122" i="123"/>
  <c r="GE125" i="123" s="1"/>
  <c r="FL221" i="1"/>
  <c r="JW18" i="1" l="1"/>
  <c r="BQ227" i="123"/>
  <c r="BQ233" i="123"/>
  <c r="BH149" i="123"/>
  <c r="BH148" i="123"/>
  <c r="BH144" i="123"/>
  <c r="BQ168" i="123"/>
  <c r="BQ148" i="123"/>
  <c r="BQ164" i="123"/>
  <c r="BQ144" i="123"/>
  <c r="BQ169" i="123"/>
  <c r="BQ149" i="123"/>
  <c r="BH146" i="123"/>
  <c r="BH152" i="123"/>
  <c r="BH143" i="123"/>
  <c r="BH142" i="123"/>
  <c r="BQ160" i="123"/>
  <c r="BH132" i="123"/>
  <c r="BH147" i="123"/>
  <c r="BQ159" i="123"/>
  <c r="BQ161" i="123"/>
  <c r="BR178" i="123"/>
  <c r="BQ140" i="123"/>
  <c r="BH151" i="123"/>
  <c r="BH171" i="123"/>
  <c r="BQ180" i="123"/>
  <c r="BQ157" i="123"/>
  <c r="BQ187" i="123"/>
  <c r="BQ158" i="123"/>
  <c r="BQ181" i="123"/>
  <c r="BQ153" i="123"/>
  <c r="BQ173" i="123"/>
  <c r="BQ176" i="123"/>
  <c r="BQ184" i="123"/>
  <c r="BH150" i="123"/>
  <c r="BH170" i="123"/>
  <c r="BH172" i="123"/>
  <c r="BQ137" i="123"/>
  <c r="BQ166" i="123"/>
  <c r="BQ146" i="123"/>
  <c r="BQ165" i="123"/>
  <c r="BQ145" i="123"/>
  <c r="BQ188" i="123"/>
  <c r="BQ162" i="123"/>
  <c r="BQ142" i="123"/>
  <c r="BQ147" i="123"/>
  <c r="BQ167" i="123"/>
  <c r="BQ138" i="123"/>
  <c r="BQ163" i="123"/>
  <c r="BQ143" i="123"/>
  <c r="BQ172" i="123"/>
  <c r="BQ152" i="123"/>
  <c r="BR156" i="123"/>
  <c r="BR179" i="123"/>
  <c r="BR186" i="123"/>
  <c r="BQ150" i="123"/>
  <c r="BQ170" i="123"/>
  <c r="BQ132" i="123"/>
  <c r="BQ151" i="123"/>
  <c r="BQ171" i="123"/>
  <c r="BQ134" i="123"/>
  <c r="BR230" i="123"/>
  <c r="BQ130" i="123"/>
  <c r="IP124" i="123"/>
  <c r="BR235" i="123"/>
  <c r="BR234" i="123"/>
  <c r="BH137" i="123"/>
  <c r="BR229" i="123"/>
  <c r="BR228" i="123"/>
  <c r="BQ139" i="123"/>
  <c r="BQ141" i="123"/>
  <c r="BH141" i="123"/>
  <c r="BH135" i="123"/>
  <c r="BH139" i="123"/>
  <c r="BR134" i="123"/>
  <c r="BH134" i="123"/>
  <c r="BR133" i="123"/>
  <c r="BH133" i="123"/>
  <c r="BR136" i="123"/>
  <c r="BH136" i="123"/>
  <c r="BH140" i="123"/>
  <c r="BH138" i="123"/>
  <c r="BQ129" i="123"/>
  <c r="BH129" i="123"/>
  <c r="BH228" i="123"/>
  <c r="BI196" i="123"/>
  <c r="BH234" i="123"/>
  <c r="BH235" i="123"/>
  <c r="BH130" i="123"/>
  <c r="BH233" i="123"/>
  <c r="BH226" i="123"/>
  <c r="BH225" i="123"/>
  <c r="BH232" i="123"/>
  <c r="BH145" i="123"/>
  <c r="BH194" i="123"/>
  <c r="BH202" i="123"/>
  <c r="BH163" i="123"/>
  <c r="BH183" i="123"/>
  <c r="BH157" i="123"/>
  <c r="BH177" i="123"/>
  <c r="BH156" i="123"/>
  <c r="BH176" i="123"/>
  <c r="BH164" i="123"/>
  <c r="BH184" i="123"/>
  <c r="BH181" i="123"/>
  <c r="BH161" i="123"/>
  <c r="BH187" i="123"/>
  <c r="BH167" i="123"/>
  <c r="BI204" i="123"/>
  <c r="BI197" i="123"/>
  <c r="BH180" i="123"/>
  <c r="BH160" i="123"/>
  <c r="BH174" i="123"/>
  <c r="BH199" i="123"/>
  <c r="BH154" i="123"/>
  <c r="BH165" i="123"/>
  <c r="BH185" i="123"/>
  <c r="BH169" i="123"/>
  <c r="BH189" i="123"/>
  <c r="BH166" i="123"/>
  <c r="BH186" i="123"/>
  <c r="BH159" i="123"/>
  <c r="BH179" i="123"/>
  <c r="BH173" i="123"/>
  <c r="BH198" i="123"/>
  <c r="BH153" i="123"/>
  <c r="BH205" i="123"/>
  <c r="BH155" i="123"/>
  <c r="BH175" i="123"/>
  <c r="BH182" i="123"/>
  <c r="BH162" i="123"/>
  <c r="BH178" i="123"/>
  <c r="BH158" i="123"/>
  <c r="BH206" i="123"/>
  <c r="BH188" i="123"/>
  <c r="BH168" i="123"/>
  <c r="IK166" i="1"/>
  <c r="IK169" i="1" s="1"/>
  <c r="IJ166" i="1"/>
  <c r="IJ169" i="1" s="1"/>
  <c r="JX168" i="1"/>
  <c r="JX18" i="1" s="1"/>
  <c r="GD97" i="123"/>
  <c r="GF122" i="123"/>
  <c r="GF125" i="123" s="1"/>
  <c r="BR227" i="123" l="1"/>
  <c r="BR233" i="123"/>
  <c r="BI148" i="123"/>
  <c r="BI144" i="123"/>
  <c r="BR138" i="123"/>
  <c r="BI149" i="123"/>
  <c r="BR149" i="123"/>
  <c r="BR169" i="123"/>
  <c r="BR168" i="123"/>
  <c r="BR148" i="123"/>
  <c r="BR164" i="123"/>
  <c r="BR144" i="123"/>
  <c r="BI143" i="123"/>
  <c r="BI172" i="123"/>
  <c r="BI146" i="123"/>
  <c r="BR159" i="123"/>
  <c r="BI147" i="123"/>
  <c r="BI132" i="123"/>
  <c r="BI142" i="123"/>
  <c r="BR160" i="123"/>
  <c r="BS178" i="123"/>
  <c r="BR132" i="123"/>
  <c r="BR161" i="123"/>
  <c r="BR152" i="123"/>
  <c r="BR172" i="123"/>
  <c r="BI152" i="123"/>
  <c r="BR139" i="123"/>
  <c r="BR163" i="123"/>
  <c r="BR143" i="123"/>
  <c r="BR145" i="123"/>
  <c r="BR165" i="123"/>
  <c r="BR180" i="123"/>
  <c r="BR187" i="123"/>
  <c r="BR157" i="123"/>
  <c r="BS156" i="123"/>
  <c r="BS186" i="123"/>
  <c r="BS179" i="123"/>
  <c r="BR176" i="123"/>
  <c r="BR184" i="123"/>
  <c r="BR142" i="123"/>
  <c r="BR162" i="123"/>
  <c r="BR188" i="123"/>
  <c r="BR170" i="123"/>
  <c r="BR150" i="123"/>
  <c r="BR151" i="123"/>
  <c r="BR171" i="123"/>
  <c r="BI170" i="123"/>
  <c r="BI150" i="123"/>
  <c r="BR147" i="123"/>
  <c r="BR167" i="123"/>
  <c r="BR153" i="123"/>
  <c r="BR173" i="123"/>
  <c r="BI151" i="123"/>
  <c r="BI171" i="123"/>
  <c r="BR166" i="123"/>
  <c r="BR146" i="123"/>
  <c r="BR158" i="123"/>
  <c r="BR181" i="123"/>
  <c r="BS228" i="123"/>
  <c r="BS230" i="123"/>
  <c r="BR130" i="123"/>
  <c r="IQ124" i="123"/>
  <c r="BS234" i="123"/>
  <c r="BS235" i="123"/>
  <c r="BI137" i="123"/>
  <c r="BS229" i="123"/>
  <c r="BR141" i="123"/>
  <c r="BS133" i="123"/>
  <c r="BI133" i="123"/>
  <c r="BI134" i="123"/>
  <c r="BI141" i="123"/>
  <c r="BI140" i="123"/>
  <c r="BR135" i="123"/>
  <c r="BR140" i="123"/>
  <c r="BI139" i="123"/>
  <c r="BI138" i="123"/>
  <c r="BS136" i="123"/>
  <c r="BI136" i="123"/>
  <c r="BS135" i="123"/>
  <c r="BI135" i="123"/>
  <c r="BR137" i="123"/>
  <c r="BI129" i="123"/>
  <c r="BR129" i="123"/>
  <c r="BI228" i="123"/>
  <c r="BI235" i="123"/>
  <c r="BJ196" i="123"/>
  <c r="BI234" i="123"/>
  <c r="BI130" i="123"/>
  <c r="BI225" i="123"/>
  <c r="BI232" i="123"/>
  <c r="BI226" i="123"/>
  <c r="BI233" i="123"/>
  <c r="BI184" i="123"/>
  <c r="BI164" i="123"/>
  <c r="BI176" i="123"/>
  <c r="BI156" i="123"/>
  <c r="BI183" i="123"/>
  <c r="BI163" i="123"/>
  <c r="BI202" i="123"/>
  <c r="BI194" i="123"/>
  <c r="BI145" i="123"/>
  <c r="BI187" i="123"/>
  <c r="BI167" i="123"/>
  <c r="BI153" i="123"/>
  <c r="BI205" i="123"/>
  <c r="BI173" i="123"/>
  <c r="BI198" i="123"/>
  <c r="BI186" i="123"/>
  <c r="BI166" i="123"/>
  <c r="BI199" i="123"/>
  <c r="BI174" i="123"/>
  <c r="BI154" i="123"/>
  <c r="BI206" i="123"/>
  <c r="BI158" i="123"/>
  <c r="BI178" i="123"/>
  <c r="BI161" i="123"/>
  <c r="BI181" i="123"/>
  <c r="BI157" i="123"/>
  <c r="BI177" i="123"/>
  <c r="BJ204" i="123"/>
  <c r="BJ197" i="123"/>
  <c r="BI155" i="123"/>
  <c r="BI175" i="123"/>
  <c r="BI159" i="123"/>
  <c r="BI179" i="123"/>
  <c r="BI189" i="123"/>
  <c r="BI169" i="123"/>
  <c r="BI180" i="123"/>
  <c r="BI160" i="123"/>
  <c r="BI188" i="123"/>
  <c r="BI168" i="123"/>
  <c r="BI162" i="123"/>
  <c r="BI182" i="123"/>
  <c r="BI185" i="123"/>
  <c r="BI165" i="123"/>
  <c r="JY168" i="1"/>
  <c r="JY18" i="1" s="1"/>
  <c r="GE97" i="123"/>
  <c r="BS227" i="123" l="1"/>
  <c r="BS233" i="123"/>
  <c r="BJ144" i="123"/>
  <c r="BS140" i="123"/>
  <c r="BJ148" i="123"/>
  <c r="BJ149" i="123"/>
  <c r="BS164" i="123"/>
  <c r="BS144" i="123"/>
  <c r="BS168" i="123"/>
  <c r="BS148" i="123"/>
  <c r="BS169" i="123"/>
  <c r="BS149" i="123"/>
  <c r="BJ142" i="123"/>
  <c r="BJ143" i="123"/>
  <c r="BS159" i="123"/>
  <c r="BS161" i="123"/>
  <c r="BJ147" i="123"/>
  <c r="BJ146" i="123"/>
  <c r="BJ132" i="123"/>
  <c r="BJ152" i="123"/>
  <c r="BS160" i="123"/>
  <c r="BT178" i="123"/>
  <c r="BS181" i="123"/>
  <c r="BS158" i="123"/>
  <c r="BS166" i="123"/>
  <c r="BS146" i="123"/>
  <c r="BS171" i="123"/>
  <c r="BS151" i="123"/>
  <c r="BS143" i="123"/>
  <c r="BS163" i="123"/>
  <c r="BJ172" i="123"/>
  <c r="BS165" i="123"/>
  <c r="BS145" i="123"/>
  <c r="BS180" i="123"/>
  <c r="BS157" i="123"/>
  <c r="BS187" i="123"/>
  <c r="BS162" i="123"/>
  <c r="BS142" i="123"/>
  <c r="BS188" i="123"/>
  <c r="BT179" i="123"/>
  <c r="BT156" i="123"/>
  <c r="BT186" i="123"/>
  <c r="BJ171" i="123"/>
  <c r="BJ151" i="123"/>
  <c r="BS173" i="123"/>
  <c r="BS153" i="123"/>
  <c r="BS176" i="123"/>
  <c r="BS184" i="123"/>
  <c r="BJ150" i="123"/>
  <c r="BJ170" i="123"/>
  <c r="BS132" i="123"/>
  <c r="BS147" i="123"/>
  <c r="BS167" i="123"/>
  <c r="BS172" i="123"/>
  <c r="BS152" i="123"/>
  <c r="BS170" i="123"/>
  <c r="BS150" i="123"/>
  <c r="BS130" i="123"/>
  <c r="BT230" i="123"/>
  <c r="IR124" i="123"/>
  <c r="BT235" i="123"/>
  <c r="BJ137" i="123"/>
  <c r="BT229" i="123"/>
  <c r="BT228" i="123"/>
  <c r="BT234" i="123"/>
  <c r="BS141" i="123"/>
  <c r="BS138" i="123"/>
  <c r="BT133" i="123"/>
  <c r="BJ133" i="123"/>
  <c r="BS134" i="123"/>
  <c r="BS139" i="123"/>
  <c r="BJ139" i="123"/>
  <c r="BJ140" i="123"/>
  <c r="BJ141" i="123"/>
  <c r="BT135" i="123"/>
  <c r="BJ135" i="123"/>
  <c r="BT136" i="123"/>
  <c r="BJ136" i="123"/>
  <c r="BJ134" i="123"/>
  <c r="BJ138" i="123"/>
  <c r="BS137" i="123"/>
  <c r="BJ129" i="123"/>
  <c r="BS129" i="123"/>
  <c r="BL196" i="123"/>
  <c r="BJ228" i="123"/>
  <c r="BJ234" i="123"/>
  <c r="BK196" i="123"/>
  <c r="BJ235" i="123"/>
  <c r="BJ130" i="123"/>
  <c r="BJ225" i="123"/>
  <c r="BJ232" i="123"/>
  <c r="BJ226" i="123"/>
  <c r="BJ233" i="123"/>
  <c r="BJ158" i="123"/>
  <c r="BJ206" i="123"/>
  <c r="BJ178" i="123"/>
  <c r="BJ154" i="123"/>
  <c r="BJ199" i="123"/>
  <c r="BJ174" i="123"/>
  <c r="BJ187" i="123"/>
  <c r="BJ167" i="123"/>
  <c r="BJ183" i="123"/>
  <c r="BJ163" i="123"/>
  <c r="BJ162" i="123"/>
  <c r="BJ182" i="123"/>
  <c r="BJ160" i="123"/>
  <c r="BJ180" i="123"/>
  <c r="BJ179" i="123"/>
  <c r="BJ159" i="123"/>
  <c r="BJ175" i="123"/>
  <c r="BJ155" i="123"/>
  <c r="BK204" i="123"/>
  <c r="BK197" i="123"/>
  <c r="BJ181" i="123"/>
  <c r="BJ161" i="123"/>
  <c r="BL197" i="123"/>
  <c r="BL204" i="123"/>
  <c r="BJ153" i="123"/>
  <c r="BJ173" i="123"/>
  <c r="BJ205" i="123"/>
  <c r="BJ198" i="123"/>
  <c r="BJ194" i="123"/>
  <c r="BJ202" i="123"/>
  <c r="BJ145" i="123"/>
  <c r="BJ156" i="123"/>
  <c r="BJ176" i="123"/>
  <c r="BJ164" i="123"/>
  <c r="BJ184" i="123"/>
  <c r="BJ168" i="123"/>
  <c r="BJ188" i="123"/>
  <c r="BJ189" i="123"/>
  <c r="BJ169" i="123"/>
  <c r="BJ157" i="123"/>
  <c r="BJ177" i="123"/>
  <c r="BJ185" i="123"/>
  <c r="BJ165" i="123"/>
  <c r="BJ166" i="123"/>
  <c r="BJ186" i="123"/>
  <c r="IL166" i="1"/>
  <c r="IL169" i="1" s="1"/>
  <c r="IM166" i="1"/>
  <c r="IM169" i="1" s="1"/>
  <c r="JZ168" i="1"/>
  <c r="JZ18" i="1" s="1"/>
  <c r="GF97" i="123"/>
  <c r="GG122" i="123"/>
  <c r="GG125" i="123" s="1"/>
  <c r="BT227" i="123" l="1"/>
  <c r="BT233" i="123"/>
  <c r="BL149" i="123"/>
  <c r="BL148" i="123"/>
  <c r="BK149" i="123"/>
  <c r="BK148" i="123"/>
  <c r="BK144" i="123"/>
  <c r="BL144" i="123"/>
  <c r="BT169" i="123"/>
  <c r="BT149" i="123"/>
  <c r="BT144" i="123"/>
  <c r="BT164" i="123"/>
  <c r="BT168" i="123"/>
  <c r="BT148" i="123"/>
  <c r="BK143" i="123"/>
  <c r="BK146" i="123"/>
  <c r="BK147" i="123"/>
  <c r="BK142" i="123"/>
  <c r="BL147" i="123"/>
  <c r="BL143" i="123"/>
  <c r="BL142" i="123"/>
  <c r="BK152" i="123"/>
  <c r="BT159" i="123"/>
  <c r="BV178" i="123"/>
  <c r="BU178" i="123"/>
  <c r="BL146" i="123"/>
  <c r="BT161" i="123"/>
  <c r="BK132" i="123"/>
  <c r="BL152" i="123"/>
  <c r="BL132" i="123"/>
  <c r="BT160" i="123"/>
  <c r="BT139" i="123"/>
  <c r="BK150" i="123"/>
  <c r="BK170" i="123"/>
  <c r="BT147" i="123"/>
  <c r="BT167" i="123"/>
  <c r="BL170" i="123"/>
  <c r="BL150" i="123"/>
  <c r="BL172" i="123"/>
  <c r="BK172" i="123"/>
  <c r="BT166" i="123"/>
  <c r="BT146" i="123"/>
  <c r="BT173" i="123"/>
  <c r="BT153" i="123"/>
  <c r="BT151" i="123"/>
  <c r="BT171" i="123"/>
  <c r="BK171" i="123"/>
  <c r="BK151" i="123"/>
  <c r="BT143" i="123"/>
  <c r="BT163" i="123"/>
  <c r="BT180" i="123"/>
  <c r="BT157" i="123"/>
  <c r="BT187" i="123"/>
  <c r="BV186" i="123"/>
  <c r="BV156" i="123"/>
  <c r="BV179" i="123"/>
  <c r="BT176" i="123"/>
  <c r="BT184" i="123"/>
  <c r="BT132" i="123"/>
  <c r="BU156" i="123"/>
  <c r="BU179" i="123"/>
  <c r="BU186" i="123"/>
  <c r="BT181" i="123"/>
  <c r="BT158" i="123"/>
  <c r="BT170" i="123"/>
  <c r="BT150" i="123"/>
  <c r="BT165" i="123"/>
  <c r="BT145" i="123"/>
  <c r="BL151" i="123"/>
  <c r="BL171" i="123"/>
  <c r="BT188" i="123"/>
  <c r="BT162" i="123"/>
  <c r="BT142" i="123"/>
  <c r="BT172" i="123"/>
  <c r="BT152" i="123"/>
  <c r="BT134" i="123"/>
  <c r="BT130" i="123"/>
  <c r="BV228" i="123"/>
  <c r="BU230" i="123"/>
  <c r="BV234" i="123"/>
  <c r="BV230" i="123"/>
  <c r="BV235" i="123"/>
  <c r="IS124" i="123"/>
  <c r="BL137" i="123"/>
  <c r="BV229" i="123"/>
  <c r="BU228" i="123"/>
  <c r="BU235" i="123"/>
  <c r="BU234" i="123"/>
  <c r="BK137" i="123"/>
  <c r="BU229" i="123"/>
  <c r="BT140" i="123"/>
  <c r="BV135" i="123"/>
  <c r="BL135" i="123"/>
  <c r="BL141" i="123"/>
  <c r="BK138" i="123"/>
  <c r="BK139" i="123"/>
  <c r="BL136" i="123"/>
  <c r="BV133" i="123"/>
  <c r="BL133" i="123"/>
  <c r="BL139" i="123"/>
  <c r="BT138" i="123"/>
  <c r="BT141" i="123"/>
  <c r="BL134" i="123"/>
  <c r="BV140" i="123"/>
  <c r="BL140" i="123"/>
  <c r="BK136" i="123"/>
  <c r="BU133" i="123"/>
  <c r="BK133" i="123"/>
  <c r="BL138" i="123"/>
  <c r="BK134" i="123"/>
  <c r="BK140" i="123"/>
  <c r="BU135" i="123"/>
  <c r="BK135" i="123"/>
  <c r="BK141" i="123"/>
  <c r="BT137" i="123"/>
  <c r="DN113" i="93"/>
  <c r="DN112" i="93"/>
  <c r="BK129" i="123"/>
  <c r="BT129" i="123"/>
  <c r="BL129" i="123"/>
  <c r="BK235" i="123"/>
  <c r="BL234" i="123"/>
  <c r="BL228" i="123"/>
  <c r="BL235" i="123"/>
  <c r="BK234" i="123"/>
  <c r="BK228" i="123"/>
  <c r="BL130" i="123"/>
  <c r="BK130" i="123"/>
  <c r="BK232" i="123"/>
  <c r="BK225" i="123"/>
  <c r="BL232" i="123"/>
  <c r="BL225" i="123"/>
  <c r="BL233" i="123"/>
  <c r="BL226" i="123"/>
  <c r="BK233" i="123"/>
  <c r="BK226" i="123"/>
  <c r="BL179" i="123"/>
  <c r="BL159" i="123"/>
  <c r="BL182" i="123"/>
  <c r="BL162" i="123"/>
  <c r="BL158" i="123"/>
  <c r="BL178" i="123"/>
  <c r="BL206" i="123"/>
  <c r="BL156" i="123"/>
  <c r="BL176" i="123"/>
  <c r="BL153" i="123"/>
  <c r="BL173" i="123"/>
  <c r="BL198" i="123"/>
  <c r="BL205" i="123"/>
  <c r="BL185" i="123"/>
  <c r="BL165" i="123"/>
  <c r="BL164" i="123"/>
  <c r="BL184" i="123"/>
  <c r="BL186" i="123"/>
  <c r="BL166" i="123"/>
  <c r="BL163" i="123"/>
  <c r="BL183" i="123"/>
  <c r="BK181" i="123"/>
  <c r="BK161" i="123"/>
  <c r="BK175" i="123"/>
  <c r="BK155" i="123"/>
  <c r="BK180" i="123"/>
  <c r="BK160" i="123"/>
  <c r="BK187" i="123"/>
  <c r="BK167" i="123"/>
  <c r="BK199" i="123"/>
  <c r="BK154" i="123"/>
  <c r="BK174" i="123"/>
  <c r="BK188" i="123"/>
  <c r="BK168" i="123"/>
  <c r="BK194" i="123"/>
  <c r="BK202" i="123"/>
  <c r="BK145" i="123"/>
  <c r="BK177" i="123"/>
  <c r="BK157" i="123"/>
  <c r="BK189" i="123"/>
  <c r="BK169" i="123"/>
  <c r="BL155" i="123"/>
  <c r="BL175" i="123"/>
  <c r="BL187" i="123"/>
  <c r="BL167" i="123"/>
  <c r="BL174" i="123"/>
  <c r="BL154" i="123"/>
  <c r="BL199" i="123"/>
  <c r="BL145" i="123"/>
  <c r="BL202" i="123"/>
  <c r="BL194" i="123"/>
  <c r="BL177" i="123"/>
  <c r="BL157" i="123"/>
  <c r="BL169" i="123"/>
  <c r="BL189" i="123"/>
  <c r="BL161" i="123"/>
  <c r="BL181" i="123"/>
  <c r="BL180" i="123"/>
  <c r="BL160" i="123"/>
  <c r="BL168" i="123"/>
  <c r="BL188" i="123"/>
  <c r="BK179" i="123"/>
  <c r="BK159" i="123"/>
  <c r="BK162" i="123"/>
  <c r="BK182" i="123"/>
  <c r="BK183" i="123"/>
  <c r="BK163" i="123"/>
  <c r="BK158" i="123"/>
  <c r="BK178" i="123"/>
  <c r="BK206" i="123"/>
  <c r="BK156" i="123"/>
  <c r="BK176" i="123"/>
  <c r="BK205" i="123"/>
  <c r="BK198" i="123"/>
  <c r="BK173" i="123"/>
  <c r="BK153" i="123"/>
  <c r="BK185" i="123"/>
  <c r="BK165" i="123"/>
  <c r="BK184" i="123"/>
  <c r="BK164" i="123"/>
  <c r="BK186" i="123"/>
  <c r="BK166" i="123"/>
  <c r="DS83" i="93"/>
  <c r="DO113" i="93"/>
  <c r="DS113" i="93"/>
  <c r="DS76" i="93"/>
  <c r="DS91" i="93"/>
  <c r="DS84" i="93"/>
  <c r="DS96" i="93"/>
  <c r="DS70" i="93"/>
  <c r="DO112" i="93"/>
  <c r="DS112" i="93"/>
  <c r="DS94" i="93"/>
  <c r="DS88" i="93"/>
  <c r="KA168" i="1"/>
  <c r="KA18" i="1" s="1"/>
  <c r="GG97" i="123"/>
  <c r="GH122" i="123"/>
  <c r="GH125" i="123" s="1"/>
  <c r="BU227" i="123" l="1"/>
  <c r="BU233" i="123"/>
  <c r="BV227" i="123"/>
  <c r="BV233" i="123"/>
  <c r="BU164" i="123"/>
  <c r="BU144" i="123"/>
  <c r="BU149" i="123"/>
  <c r="BU169" i="123"/>
  <c r="BV169" i="123"/>
  <c r="BV149" i="123"/>
  <c r="BV164" i="123"/>
  <c r="BV144" i="123"/>
  <c r="BU168" i="123"/>
  <c r="BU148" i="123"/>
  <c r="BV168" i="123"/>
  <c r="BV148" i="123"/>
  <c r="BU159" i="123"/>
  <c r="BV137" i="123"/>
  <c r="BU161" i="123"/>
  <c r="BV160" i="123"/>
  <c r="BV159" i="123"/>
  <c r="BU160" i="123"/>
  <c r="BV138" i="123"/>
  <c r="BV161" i="123"/>
  <c r="BV141" i="123"/>
  <c r="BV139" i="123"/>
  <c r="BU145" i="123"/>
  <c r="BU165" i="123"/>
  <c r="BU143" i="123"/>
  <c r="BU163" i="123"/>
  <c r="BU153" i="123"/>
  <c r="BU173" i="123"/>
  <c r="BV166" i="123"/>
  <c r="BV146" i="123"/>
  <c r="BU147" i="123"/>
  <c r="BU167" i="123"/>
  <c r="BV151" i="123"/>
  <c r="BV171" i="123"/>
  <c r="BU176" i="123"/>
  <c r="BU184" i="123"/>
  <c r="BU132" i="123"/>
  <c r="BV170" i="123"/>
  <c r="BV150" i="123"/>
  <c r="BV163" i="123"/>
  <c r="BV143" i="123"/>
  <c r="BU166" i="123"/>
  <c r="BU146" i="123"/>
  <c r="BV172" i="123"/>
  <c r="BV152" i="123"/>
  <c r="BV187" i="123"/>
  <c r="BV157" i="123"/>
  <c r="BV180" i="123"/>
  <c r="BV176" i="123"/>
  <c r="BV184" i="123"/>
  <c r="BV132" i="123"/>
  <c r="BU170" i="123"/>
  <c r="BU150" i="123"/>
  <c r="BV173" i="123"/>
  <c r="BV153" i="123"/>
  <c r="BV165" i="123"/>
  <c r="BV145" i="123"/>
  <c r="BU181" i="123"/>
  <c r="BU158" i="123"/>
  <c r="BU162" i="123"/>
  <c r="BU142" i="123"/>
  <c r="BU188" i="123"/>
  <c r="BV167" i="123"/>
  <c r="BV147" i="123"/>
  <c r="BU180" i="123"/>
  <c r="BU187" i="123"/>
  <c r="BU157" i="123"/>
  <c r="BV181" i="123"/>
  <c r="BV158" i="123"/>
  <c r="BU172" i="123"/>
  <c r="BU152" i="123"/>
  <c r="BU151" i="123"/>
  <c r="BU171" i="123"/>
  <c r="BV188" i="123"/>
  <c r="BV142" i="123"/>
  <c r="BV162" i="123"/>
  <c r="BV134" i="123"/>
  <c r="BU134" i="123"/>
  <c r="BU130" i="123"/>
  <c r="BV130" i="123"/>
  <c r="IT124" i="123"/>
  <c r="BU138" i="123"/>
  <c r="BU136" i="123"/>
  <c r="BU140" i="123"/>
  <c r="BU141" i="123"/>
  <c r="BV136" i="123"/>
  <c r="BU139" i="123"/>
  <c r="BU137" i="123"/>
  <c r="BV129" i="123"/>
  <c r="BU129" i="123"/>
  <c r="DW113" i="93"/>
  <c r="DW112" i="93"/>
  <c r="IN166" i="1"/>
  <c r="IN169" i="1" s="1"/>
  <c r="IO166" i="1"/>
  <c r="IO169" i="1" s="1"/>
  <c r="KB168" i="1"/>
  <c r="KB18" i="1" s="1"/>
  <c r="GH97" i="123"/>
  <c r="GJ122" i="123"/>
  <c r="GJ125" i="123" s="1"/>
  <c r="GI122" i="123"/>
  <c r="GI125" i="123" s="1"/>
  <c r="AE239" i="1"/>
  <c r="AF239" i="1"/>
  <c r="AG239" i="1"/>
  <c r="FL239" i="1"/>
  <c r="AE240" i="1"/>
  <c r="AF240" i="1"/>
  <c r="AG240" i="1"/>
  <c r="FL240" i="1"/>
  <c r="AE241" i="1"/>
  <c r="AF241" i="1"/>
  <c r="AG241" i="1"/>
  <c r="FL241" i="1"/>
  <c r="AE242" i="1"/>
  <c r="AF242" i="1"/>
  <c r="AG242" i="1"/>
  <c r="FL242" i="1"/>
  <c r="AE243" i="1"/>
  <c r="AF243" i="1"/>
  <c r="AG243" i="1"/>
  <c r="FL243" i="1"/>
  <c r="AE244" i="1"/>
  <c r="AF244" i="1"/>
  <c r="AG244" i="1"/>
  <c r="FL244" i="1"/>
  <c r="AE245" i="1"/>
  <c r="AF245" i="1"/>
  <c r="AG245" i="1"/>
  <c r="FL245" i="1"/>
  <c r="AE246" i="1"/>
  <c r="AF246" i="1"/>
  <c r="AG246" i="1"/>
  <c r="FL246" i="1"/>
  <c r="AE247" i="1"/>
  <c r="AF247" i="1"/>
  <c r="AG247" i="1"/>
  <c r="FL247" i="1"/>
  <c r="AE248" i="1"/>
  <c r="AF248" i="1"/>
  <c r="AG248" i="1"/>
  <c r="FL248" i="1"/>
  <c r="AE249" i="1"/>
  <c r="AF249" i="1"/>
  <c r="AG249" i="1"/>
  <c r="FL249" i="1"/>
  <c r="AE250" i="1"/>
  <c r="AF250" i="1"/>
  <c r="AG250" i="1"/>
  <c r="FL250" i="1"/>
  <c r="AE251" i="1"/>
  <c r="AF251" i="1"/>
  <c r="AG251" i="1"/>
  <c r="FL251" i="1"/>
  <c r="AE252" i="1"/>
  <c r="AF252" i="1"/>
  <c r="AG252" i="1"/>
  <c r="FL252" i="1"/>
  <c r="AE253" i="1"/>
  <c r="AF253" i="1"/>
  <c r="AG253" i="1"/>
  <c r="FL253" i="1"/>
  <c r="AE254" i="1"/>
  <c r="AF254" i="1"/>
  <c r="AG254" i="1"/>
  <c r="FL254" i="1"/>
  <c r="AE255" i="1"/>
  <c r="AF255" i="1"/>
  <c r="AG255" i="1"/>
  <c r="FL255" i="1"/>
  <c r="AE256" i="1"/>
  <c r="AF256" i="1"/>
  <c r="AG256" i="1"/>
  <c r="FL256" i="1"/>
  <c r="AE257" i="1"/>
  <c r="AF257" i="1"/>
  <c r="AG257" i="1"/>
  <c r="FL257" i="1"/>
  <c r="AE258" i="1"/>
  <c r="AF258" i="1"/>
  <c r="AG258" i="1"/>
  <c r="FL258" i="1"/>
  <c r="AE259" i="1"/>
  <c r="AF259" i="1"/>
  <c r="AG259" i="1"/>
  <c r="FL259" i="1"/>
  <c r="AE260" i="1"/>
  <c r="AF260" i="1"/>
  <c r="AG260" i="1"/>
  <c r="FL260" i="1"/>
  <c r="AE261" i="1"/>
  <c r="AF261" i="1"/>
  <c r="AG261" i="1"/>
  <c r="FL261" i="1"/>
  <c r="AE262" i="1"/>
  <c r="AF262" i="1"/>
  <c r="AG262" i="1"/>
  <c r="FL262" i="1"/>
  <c r="AE263" i="1"/>
  <c r="AF263" i="1"/>
  <c r="AG263" i="1"/>
  <c r="FL263" i="1"/>
  <c r="AE264" i="1"/>
  <c r="AF264" i="1"/>
  <c r="AG264" i="1"/>
  <c r="FL264" i="1"/>
  <c r="AE265" i="1"/>
  <c r="AF265" i="1"/>
  <c r="AG265" i="1"/>
  <c r="FL265" i="1"/>
  <c r="AE266" i="1"/>
  <c r="AF266" i="1"/>
  <c r="AG266" i="1"/>
  <c r="FL266" i="1"/>
  <c r="AE267" i="1"/>
  <c r="AF267" i="1"/>
  <c r="AG267" i="1"/>
  <c r="FL267" i="1"/>
  <c r="AE268" i="1"/>
  <c r="AF268" i="1"/>
  <c r="AG268" i="1"/>
  <c r="FL268" i="1"/>
  <c r="AE269" i="1"/>
  <c r="AF269" i="1"/>
  <c r="AG269" i="1"/>
  <c r="FL269" i="1"/>
  <c r="AE270" i="1"/>
  <c r="AF270" i="1"/>
  <c r="AG270" i="1"/>
  <c r="FL270" i="1"/>
  <c r="AE271" i="1"/>
  <c r="AF271" i="1"/>
  <c r="AG271" i="1"/>
  <c r="FL271" i="1"/>
  <c r="AE272" i="1"/>
  <c r="AF272" i="1"/>
  <c r="AG272" i="1"/>
  <c r="FL272" i="1"/>
  <c r="AE273" i="1"/>
  <c r="AF273" i="1"/>
  <c r="AG273" i="1"/>
  <c r="FL273" i="1"/>
  <c r="AE274" i="1"/>
  <c r="AF274" i="1"/>
  <c r="AG274" i="1"/>
  <c r="FL274" i="1"/>
  <c r="AE275" i="1"/>
  <c r="AF275" i="1"/>
  <c r="AG275" i="1"/>
  <c r="FL275" i="1"/>
  <c r="AE276" i="1"/>
  <c r="AF276" i="1"/>
  <c r="AG276" i="1"/>
  <c r="FL276" i="1"/>
  <c r="AE277" i="1"/>
  <c r="AF277" i="1"/>
  <c r="AG277" i="1"/>
  <c r="FL277" i="1"/>
  <c r="AE278" i="1"/>
  <c r="AF278" i="1"/>
  <c r="AG278" i="1"/>
  <c r="FL278" i="1"/>
  <c r="AE279" i="1"/>
  <c r="AF279" i="1"/>
  <c r="AG279" i="1"/>
  <c r="FL279" i="1"/>
  <c r="AE280" i="1"/>
  <c r="AF280" i="1"/>
  <c r="AG280" i="1"/>
  <c r="FL280" i="1"/>
  <c r="AE281" i="1"/>
  <c r="AF281" i="1"/>
  <c r="AG281" i="1"/>
  <c r="FL281" i="1"/>
  <c r="AE282" i="1"/>
  <c r="AF282" i="1"/>
  <c r="AG282" i="1"/>
  <c r="FL282" i="1"/>
  <c r="AE283" i="1"/>
  <c r="AF283" i="1"/>
  <c r="AG283" i="1"/>
  <c r="FL283" i="1"/>
  <c r="AE284" i="1"/>
  <c r="AF284" i="1"/>
  <c r="AG284" i="1"/>
  <c r="FL284" i="1"/>
  <c r="AE285" i="1"/>
  <c r="AF285" i="1"/>
  <c r="AG285" i="1"/>
  <c r="FL285" i="1"/>
  <c r="AE286" i="1"/>
  <c r="AF286" i="1"/>
  <c r="AG286" i="1"/>
  <c r="FL286" i="1"/>
  <c r="AE287" i="1"/>
  <c r="AF287" i="1"/>
  <c r="AG287" i="1"/>
  <c r="FL287" i="1"/>
  <c r="AE288" i="1"/>
  <c r="AF288" i="1"/>
  <c r="AG288" i="1"/>
  <c r="FL288" i="1"/>
  <c r="AE289" i="1"/>
  <c r="AF289" i="1"/>
  <c r="AG289" i="1"/>
  <c r="FL289" i="1"/>
  <c r="AE290" i="1"/>
  <c r="AF290" i="1"/>
  <c r="AG290" i="1"/>
  <c r="FL290" i="1"/>
  <c r="AE291" i="1"/>
  <c r="AF291" i="1"/>
  <c r="AG291" i="1"/>
  <c r="FL291" i="1"/>
  <c r="AE292" i="1"/>
  <c r="AF292" i="1"/>
  <c r="AG292" i="1"/>
  <c r="FL292" i="1"/>
  <c r="AE293" i="1"/>
  <c r="AF293" i="1"/>
  <c r="AG293" i="1"/>
  <c r="FL293" i="1"/>
  <c r="AE294" i="1"/>
  <c r="AF294" i="1"/>
  <c r="AG294" i="1"/>
  <c r="FL294" i="1"/>
  <c r="AE295" i="1"/>
  <c r="AF295" i="1"/>
  <c r="AG295" i="1"/>
  <c r="FL295" i="1"/>
  <c r="AE296" i="1"/>
  <c r="AF296" i="1"/>
  <c r="AG296" i="1"/>
  <c r="FL296" i="1"/>
  <c r="AE297" i="1"/>
  <c r="AF297" i="1"/>
  <c r="AG297" i="1"/>
  <c r="FL297" i="1"/>
  <c r="AE298" i="1"/>
  <c r="AF298" i="1"/>
  <c r="AG298" i="1"/>
  <c r="FL298" i="1"/>
  <c r="BT298" i="1" l="1"/>
  <c r="CB298" i="1"/>
  <c r="BY298" i="1"/>
  <c r="BX298" i="1"/>
  <c r="BV298" i="1"/>
  <c r="BU298" i="1"/>
  <c r="BW298" i="1"/>
  <c r="BZ298" i="1"/>
  <c r="CA298" i="1"/>
  <c r="BS298" i="1"/>
  <c r="BS297" i="1"/>
  <c r="BT297" i="1"/>
  <c r="BU297" i="1"/>
  <c r="BY297" i="1"/>
  <c r="BW297" i="1"/>
  <c r="BX297" i="1"/>
  <c r="BV297" i="1"/>
  <c r="BZ297" i="1"/>
  <c r="CB297" i="1"/>
  <c r="CA297" i="1"/>
  <c r="BU296" i="1"/>
  <c r="BY296" i="1"/>
  <c r="CA296" i="1"/>
  <c r="CB296" i="1"/>
  <c r="BT296" i="1"/>
  <c r="BZ296" i="1"/>
  <c r="BV296" i="1"/>
  <c r="BW296" i="1"/>
  <c r="BS296" i="1"/>
  <c r="BX296" i="1"/>
  <c r="BS295" i="1"/>
  <c r="BW295" i="1"/>
  <c r="CA295" i="1"/>
  <c r="CB295" i="1"/>
  <c r="BX295" i="1"/>
  <c r="BT295" i="1"/>
  <c r="BY295" i="1"/>
  <c r="BU295" i="1"/>
  <c r="BZ295" i="1"/>
  <c r="BV295" i="1"/>
  <c r="BZ294" i="1"/>
  <c r="CA294" i="1"/>
  <c r="BS294" i="1"/>
  <c r="CB294" i="1"/>
  <c r="BT294" i="1"/>
  <c r="BU294" i="1"/>
  <c r="BV294" i="1"/>
  <c r="BW294" i="1"/>
  <c r="BY294" i="1"/>
  <c r="BX294" i="1"/>
  <c r="BT293" i="1"/>
  <c r="BZ293" i="1"/>
  <c r="CB293" i="1"/>
  <c r="BS293" i="1"/>
  <c r="BU293" i="1"/>
  <c r="BY293" i="1"/>
  <c r="CA293" i="1"/>
  <c r="BV293" i="1"/>
  <c r="BW293" i="1"/>
  <c r="BX293" i="1"/>
  <c r="BS292" i="1"/>
  <c r="BT292" i="1"/>
  <c r="BY292" i="1"/>
  <c r="BU292" i="1"/>
  <c r="BX292" i="1"/>
  <c r="BV292" i="1"/>
  <c r="CB292" i="1"/>
  <c r="BZ292" i="1"/>
  <c r="BW292" i="1"/>
  <c r="CA292" i="1"/>
  <c r="CA291" i="1"/>
  <c r="BU291" i="1"/>
  <c r="BS291" i="1"/>
  <c r="BV291" i="1"/>
  <c r="BT291" i="1"/>
  <c r="CB291" i="1"/>
  <c r="BW291" i="1"/>
  <c r="BZ291" i="1"/>
  <c r="BY291" i="1"/>
  <c r="BX291" i="1"/>
  <c r="CA290" i="1"/>
  <c r="BU290" i="1"/>
  <c r="BZ290" i="1"/>
  <c r="BS290" i="1"/>
  <c r="BX290" i="1"/>
  <c r="BV290" i="1"/>
  <c r="BW290" i="1"/>
  <c r="CB290" i="1"/>
  <c r="BT290" i="1"/>
  <c r="BY290" i="1"/>
  <c r="CB289" i="1"/>
  <c r="BT289" i="1"/>
  <c r="CA289" i="1"/>
  <c r="BY289" i="1"/>
  <c r="BS289" i="1"/>
  <c r="BU289" i="1"/>
  <c r="BW289" i="1"/>
  <c r="BX289" i="1"/>
  <c r="BV289" i="1"/>
  <c r="BZ289" i="1"/>
  <c r="BV288" i="1"/>
  <c r="BT288" i="1"/>
  <c r="BU288" i="1"/>
  <c r="BW288" i="1"/>
  <c r="CB288" i="1"/>
  <c r="BX288" i="1"/>
  <c r="BS288" i="1"/>
  <c r="BY288" i="1"/>
  <c r="CA288" i="1"/>
  <c r="BZ288" i="1"/>
  <c r="BU287" i="1"/>
  <c r="BY287" i="1"/>
  <c r="BZ287" i="1"/>
  <c r="CA287" i="1"/>
  <c r="BW287" i="1"/>
  <c r="BS287" i="1"/>
  <c r="BX287" i="1"/>
  <c r="BT287" i="1"/>
  <c r="BV287" i="1"/>
  <c r="CB287" i="1"/>
  <c r="BU286" i="1"/>
  <c r="BS286" i="1"/>
  <c r="BT286" i="1"/>
  <c r="BV286" i="1"/>
  <c r="BW286" i="1"/>
  <c r="CA286" i="1"/>
  <c r="BX286" i="1"/>
  <c r="CB286" i="1"/>
  <c r="BY286" i="1"/>
  <c r="BZ286" i="1"/>
  <c r="BT285" i="1"/>
  <c r="BS285" i="1"/>
  <c r="BV285" i="1"/>
  <c r="BU285" i="1"/>
  <c r="BZ285" i="1"/>
  <c r="BX285" i="1"/>
  <c r="CA285" i="1"/>
  <c r="BW285" i="1"/>
  <c r="CB285" i="1"/>
  <c r="BY285" i="1"/>
  <c r="BU284" i="1"/>
  <c r="CB284" i="1"/>
  <c r="BS284" i="1"/>
  <c r="CA284" i="1"/>
  <c r="BZ284" i="1"/>
  <c r="BY284" i="1"/>
  <c r="BV284" i="1"/>
  <c r="BT284" i="1"/>
  <c r="BW284" i="1"/>
  <c r="BX284" i="1"/>
  <c r="CA283" i="1"/>
  <c r="BY283" i="1"/>
  <c r="BW283" i="1"/>
  <c r="BU283" i="1"/>
  <c r="BT283" i="1"/>
  <c r="BX283" i="1"/>
  <c r="BZ283" i="1"/>
  <c r="BV283" i="1"/>
  <c r="BS283" i="1"/>
  <c r="CB283" i="1"/>
  <c r="BS282" i="1"/>
  <c r="BW282" i="1"/>
  <c r="CA282" i="1"/>
  <c r="BZ282" i="1"/>
  <c r="BV282" i="1"/>
  <c r="BX282" i="1"/>
  <c r="BT282" i="1"/>
  <c r="BY282" i="1"/>
  <c r="BU282" i="1"/>
  <c r="CB282" i="1"/>
  <c r="BS281" i="1"/>
  <c r="CA281" i="1"/>
  <c r="BU281" i="1"/>
  <c r="BW281" i="1"/>
  <c r="BX281" i="1"/>
  <c r="BV281" i="1"/>
  <c r="CB281" i="1"/>
  <c r="BY281" i="1"/>
  <c r="BZ281" i="1"/>
  <c r="BT281" i="1"/>
  <c r="BS280" i="1"/>
  <c r="BX280" i="1"/>
  <c r="BV280" i="1"/>
  <c r="BU280" i="1"/>
  <c r="BW280" i="1"/>
  <c r="BT280" i="1"/>
  <c r="BY280" i="1"/>
  <c r="BZ280" i="1"/>
  <c r="CA280" i="1"/>
  <c r="CB280" i="1"/>
  <c r="CA279" i="1"/>
  <c r="BZ279" i="1"/>
  <c r="BT279" i="1"/>
  <c r="BV279" i="1"/>
  <c r="BS279" i="1"/>
  <c r="BW279" i="1"/>
  <c r="BU279" i="1"/>
  <c r="BX279" i="1"/>
  <c r="BY279" i="1"/>
  <c r="CB279" i="1"/>
  <c r="BS278" i="1"/>
  <c r="BV278" i="1"/>
  <c r="BT278" i="1"/>
  <c r="BZ278" i="1"/>
  <c r="BW278" i="1"/>
  <c r="CB278" i="1"/>
  <c r="BX278" i="1"/>
  <c r="BU278" i="1"/>
  <c r="CA278" i="1"/>
  <c r="BY278" i="1"/>
  <c r="BS277" i="1"/>
  <c r="BV277" i="1"/>
  <c r="BX277" i="1"/>
  <c r="BT277" i="1"/>
  <c r="BZ277" i="1"/>
  <c r="BU277" i="1"/>
  <c r="BY277" i="1"/>
  <c r="BW277" i="1"/>
  <c r="CA277" i="1"/>
  <c r="CB277" i="1"/>
  <c r="BZ276" i="1"/>
  <c r="BS276" i="1"/>
  <c r="BU276" i="1"/>
  <c r="BX276" i="1"/>
  <c r="CA276" i="1"/>
  <c r="BV276" i="1"/>
  <c r="BW276" i="1"/>
  <c r="BY276" i="1"/>
  <c r="BT276" i="1"/>
  <c r="CB276" i="1"/>
  <c r="BT275" i="1"/>
  <c r="BS275" i="1"/>
  <c r="BW275" i="1"/>
  <c r="BX275" i="1"/>
  <c r="BZ275" i="1"/>
  <c r="BY275" i="1"/>
  <c r="CB275" i="1"/>
  <c r="BV275" i="1"/>
  <c r="BU275" i="1"/>
  <c r="CA275" i="1"/>
  <c r="CA274" i="1"/>
  <c r="BT274" i="1"/>
  <c r="BU274" i="1"/>
  <c r="BV274" i="1"/>
  <c r="BX274" i="1"/>
  <c r="BW274" i="1"/>
  <c r="BY274" i="1"/>
  <c r="BS274" i="1"/>
  <c r="CB274" i="1"/>
  <c r="BZ274" i="1"/>
  <c r="BT273" i="1"/>
  <c r="CA273" i="1"/>
  <c r="CB273" i="1"/>
  <c r="BW273" i="1"/>
  <c r="BS273" i="1"/>
  <c r="BZ273" i="1"/>
  <c r="BV273" i="1"/>
  <c r="BX273" i="1"/>
  <c r="BU273" i="1"/>
  <c r="BY273" i="1"/>
  <c r="BU272" i="1"/>
  <c r="BT272" i="1"/>
  <c r="BS272" i="1"/>
  <c r="BV272" i="1"/>
  <c r="BX272" i="1"/>
  <c r="BZ272" i="1"/>
  <c r="BW272" i="1"/>
  <c r="BY272" i="1"/>
  <c r="CB272" i="1"/>
  <c r="CA272" i="1"/>
  <c r="BU271" i="1"/>
  <c r="BY271" i="1"/>
  <c r="BS271" i="1"/>
  <c r="BT271" i="1"/>
  <c r="BV271" i="1"/>
  <c r="BW271" i="1"/>
  <c r="CB271" i="1"/>
  <c r="BX271" i="1"/>
  <c r="BZ271" i="1"/>
  <c r="CA271" i="1"/>
  <c r="BU270" i="1"/>
  <c r="BX270" i="1"/>
  <c r="BV270" i="1"/>
  <c r="CB270" i="1"/>
  <c r="BS270" i="1"/>
  <c r="BT270" i="1"/>
  <c r="BW270" i="1"/>
  <c r="BY270" i="1"/>
  <c r="CA270" i="1"/>
  <c r="BZ270" i="1"/>
  <c r="CA269" i="1"/>
  <c r="BT269" i="1"/>
  <c r="BZ269" i="1"/>
  <c r="BS269" i="1"/>
  <c r="BW269" i="1"/>
  <c r="BU269" i="1"/>
  <c r="BV269" i="1"/>
  <c r="BX269" i="1"/>
  <c r="CB269" i="1"/>
  <c r="BY269" i="1"/>
  <c r="BT268" i="1"/>
  <c r="BY268" i="1"/>
  <c r="BX268" i="1"/>
  <c r="BV268" i="1"/>
  <c r="CA268" i="1"/>
  <c r="CB268" i="1"/>
  <c r="BS268" i="1"/>
  <c r="BW268" i="1"/>
  <c r="BU268" i="1"/>
  <c r="BZ268" i="1"/>
  <c r="CA267" i="1"/>
  <c r="BS267" i="1"/>
  <c r="BZ267" i="1"/>
  <c r="BT267" i="1"/>
  <c r="BU267" i="1"/>
  <c r="BV267" i="1"/>
  <c r="BW267" i="1"/>
  <c r="CB267" i="1"/>
  <c r="BY267" i="1"/>
  <c r="BX267" i="1"/>
  <c r="BS266" i="1"/>
  <c r="BU266" i="1"/>
  <c r="BV266" i="1"/>
  <c r="BX266" i="1"/>
  <c r="BT266" i="1"/>
  <c r="BZ266" i="1"/>
  <c r="BW266" i="1"/>
  <c r="CB266" i="1"/>
  <c r="CA266" i="1"/>
  <c r="BY266" i="1"/>
  <c r="CA265" i="1"/>
  <c r="BT265" i="1"/>
  <c r="BX265" i="1"/>
  <c r="BW265" i="1"/>
  <c r="BZ265" i="1"/>
  <c r="BV265" i="1"/>
  <c r="CB265" i="1"/>
  <c r="BS265" i="1"/>
  <c r="BY265" i="1"/>
  <c r="BU265" i="1"/>
  <c r="BT264" i="1"/>
  <c r="BS264" i="1"/>
  <c r="BU264" i="1"/>
  <c r="BW264" i="1"/>
  <c r="BY264" i="1"/>
  <c r="BZ264" i="1"/>
  <c r="BX264" i="1"/>
  <c r="CB264" i="1"/>
  <c r="BV264" i="1"/>
  <c r="CA264" i="1"/>
  <c r="CB263" i="1"/>
  <c r="BT263" i="1"/>
  <c r="BX263" i="1"/>
  <c r="BU263" i="1"/>
  <c r="BY263" i="1"/>
  <c r="BS263" i="1"/>
  <c r="BW263" i="1"/>
  <c r="BZ263" i="1"/>
  <c r="CA263" i="1"/>
  <c r="BV263" i="1"/>
  <c r="BZ262" i="1"/>
  <c r="BS262" i="1"/>
  <c r="CB262" i="1"/>
  <c r="BU262" i="1"/>
  <c r="BT262" i="1"/>
  <c r="BW262" i="1"/>
  <c r="BX262" i="1"/>
  <c r="BV262" i="1"/>
  <c r="BY262" i="1"/>
  <c r="CA262" i="1"/>
  <c r="BS261" i="1"/>
  <c r="BU261" i="1"/>
  <c r="BT261" i="1"/>
  <c r="BY261" i="1"/>
  <c r="BX261" i="1"/>
  <c r="CA261" i="1"/>
  <c r="BV261" i="1"/>
  <c r="BW261" i="1"/>
  <c r="BZ261" i="1"/>
  <c r="CB261" i="1"/>
  <c r="BT260" i="1"/>
  <c r="CA260" i="1"/>
  <c r="BW260" i="1"/>
  <c r="BV260" i="1"/>
  <c r="BY260" i="1"/>
  <c r="BS260" i="1"/>
  <c r="CB260" i="1"/>
  <c r="BU260" i="1"/>
  <c r="BX260" i="1"/>
  <c r="BZ260" i="1"/>
  <c r="BS259" i="1"/>
  <c r="BW259" i="1"/>
  <c r="CA259" i="1"/>
  <c r="BU259" i="1"/>
  <c r="BZ259" i="1"/>
  <c r="BV259" i="1"/>
  <c r="CB259" i="1"/>
  <c r="BX259" i="1"/>
  <c r="BT259" i="1"/>
  <c r="BY259" i="1"/>
  <c r="CB258" i="1"/>
  <c r="BS258" i="1"/>
  <c r="BT258" i="1"/>
  <c r="BZ258" i="1"/>
  <c r="BX258" i="1"/>
  <c r="BY258" i="1"/>
  <c r="BV258" i="1"/>
  <c r="BU258" i="1"/>
  <c r="CA258" i="1"/>
  <c r="BW258" i="1"/>
  <c r="CA257" i="1"/>
  <c r="CB257" i="1"/>
  <c r="BT257" i="1"/>
  <c r="BU257" i="1"/>
  <c r="BW257" i="1"/>
  <c r="BV257" i="1"/>
  <c r="BZ257" i="1"/>
  <c r="BX257" i="1"/>
  <c r="BY257" i="1"/>
  <c r="BS257" i="1"/>
  <c r="CA256" i="1"/>
  <c r="BU256" i="1"/>
  <c r="BT256" i="1"/>
  <c r="BS256" i="1"/>
  <c r="BV256" i="1"/>
  <c r="BW256" i="1"/>
  <c r="BZ256" i="1"/>
  <c r="BY256" i="1"/>
  <c r="BX256" i="1"/>
  <c r="CB256" i="1"/>
  <c r="CB255" i="1"/>
  <c r="BS255" i="1"/>
  <c r="CA255" i="1"/>
  <c r="BT255" i="1"/>
  <c r="BV255" i="1"/>
  <c r="BX255" i="1"/>
  <c r="BU255" i="1"/>
  <c r="BW255" i="1"/>
  <c r="BY255" i="1"/>
  <c r="BZ255" i="1"/>
  <c r="BZ254" i="1"/>
  <c r="CA254" i="1"/>
  <c r="BS254" i="1"/>
  <c r="BU254" i="1"/>
  <c r="BT254" i="1"/>
  <c r="BW254" i="1"/>
  <c r="BX254" i="1"/>
  <c r="BY254" i="1"/>
  <c r="CB254" i="1"/>
  <c r="BV254" i="1"/>
  <c r="CB253" i="1"/>
  <c r="CA253" i="1"/>
  <c r="BZ253" i="1"/>
  <c r="BT253" i="1"/>
  <c r="BV253" i="1"/>
  <c r="BW253" i="1"/>
  <c r="BS253" i="1"/>
  <c r="BY253" i="1"/>
  <c r="BX253" i="1"/>
  <c r="BU253" i="1"/>
  <c r="BS252" i="1"/>
  <c r="BV252" i="1"/>
  <c r="CA252" i="1"/>
  <c r="CB252" i="1"/>
  <c r="BU252" i="1"/>
  <c r="BT252" i="1"/>
  <c r="BZ252" i="1"/>
  <c r="BW252" i="1"/>
  <c r="BY252" i="1"/>
  <c r="BX252" i="1"/>
  <c r="CB251" i="1"/>
  <c r="BS251" i="1"/>
  <c r="CA251" i="1"/>
  <c r="BU251" i="1"/>
  <c r="BX251" i="1"/>
  <c r="BW251" i="1"/>
  <c r="BZ251" i="1"/>
  <c r="BV251" i="1"/>
  <c r="BT251" i="1"/>
  <c r="BY251" i="1"/>
  <c r="BY250" i="1"/>
  <c r="CB250" i="1"/>
  <c r="BT250" i="1"/>
  <c r="CA250" i="1"/>
  <c r="BS250" i="1"/>
  <c r="BX250" i="1"/>
  <c r="BW250" i="1"/>
  <c r="BV250" i="1"/>
  <c r="BZ250" i="1"/>
  <c r="BU250" i="1"/>
  <c r="CB249" i="1"/>
  <c r="BS249" i="1"/>
  <c r="BW249" i="1"/>
  <c r="BT249" i="1"/>
  <c r="BY249" i="1"/>
  <c r="BZ249" i="1"/>
  <c r="BU249" i="1"/>
  <c r="CA249" i="1"/>
  <c r="BX249" i="1"/>
  <c r="BV249" i="1"/>
  <c r="BU248" i="1"/>
  <c r="BY248" i="1"/>
  <c r="CB248" i="1"/>
  <c r="BX248" i="1"/>
  <c r="BT248" i="1"/>
  <c r="BV248" i="1"/>
  <c r="CA248" i="1"/>
  <c r="BW248" i="1"/>
  <c r="BS248" i="1"/>
  <c r="BZ248" i="1"/>
  <c r="BZ247" i="1"/>
  <c r="BY247" i="1"/>
  <c r="BV247" i="1"/>
  <c r="BU247" i="1"/>
  <c r="BX247" i="1"/>
  <c r="BW247" i="1"/>
  <c r="CA247" i="1"/>
  <c r="BS247" i="1"/>
  <c r="CB247" i="1"/>
  <c r="BT247" i="1"/>
  <c r="BW246" i="1"/>
  <c r="CA246" i="1"/>
  <c r="CB246" i="1"/>
  <c r="BS246" i="1"/>
  <c r="BX246" i="1"/>
  <c r="BT246" i="1"/>
  <c r="BY246" i="1"/>
  <c r="BZ246" i="1"/>
  <c r="BV246" i="1"/>
  <c r="BU246" i="1"/>
  <c r="CB245" i="1"/>
  <c r="BY245" i="1"/>
  <c r="CA245" i="1"/>
  <c r="BS245" i="1"/>
  <c r="BT245" i="1"/>
  <c r="BW245" i="1"/>
  <c r="BU245" i="1"/>
  <c r="BV245" i="1"/>
  <c r="BZ245" i="1"/>
  <c r="BX245" i="1"/>
  <c r="CB244" i="1"/>
  <c r="CA244" i="1"/>
  <c r="BT244" i="1"/>
  <c r="BZ244" i="1"/>
  <c r="BW244" i="1"/>
  <c r="BX244" i="1"/>
  <c r="BS244" i="1"/>
  <c r="BU244" i="1"/>
  <c r="BV244" i="1"/>
  <c r="BY244" i="1"/>
  <c r="BS243" i="1"/>
  <c r="CB243" i="1"/>
  <c r="BX243" i="1"/>
  <c r="BU243" i="1"/>
  <c r="BT243" i="1"/>
  <c r="BV243" i="1"/>
  <c r="BW243" i="1"/>
  <c r="CA243" i="1"/>
  <c r="BZ243" i="1"/>
  <c r="BY243" i="1"/>
  <c r="BT242" i="1"/>
  <c r="BS242" i="1"/>
  <c r="CA242" i="1"/>
  <c r="BV242" i="1"/>
  <c r="BX242" i="1"/>
  <c r="BZ242" i="1"/>
  <c r="BU242" i="1"/>
  <c r="BY242" i="1"/>
  <c r="BW242" i="1"/>
  <c r="CB242" i="1"/>
  <c r="BS241" i="1"/>
  <c r="CA241" i="1"/>
  <c r="BZ241" i="1"/>
  <c r="BU241" i="1"/>
  <c r="BT241" i="1"/>
  <c r="BX241" i="1"/>
  <c r="BV241" i="1"/>
  <c r="BW241" i="1"/>
  <c r="CB241" i="1"/>
  <c r="BY241" i="1"/>
  <c r="BT240" i="1"/>
  <c r="CA240" i="1"/>
  <c r="BX240" i="1"/>
  <c r="BS240" i="1"/>
  <c r="BV240" i="1"/>
  <c r="BW240" i="1"/>
  <c r="BY240" i="1"/>
  <c r="BU240" i="1"/>
  <c r="BZ240" i="1"/>
  <c r="CB240" i="1"/>
  <c r="BV239" i="1"/>
  <c r="CA239" i="1"/>
  <c r="CB239" i="1"/>
  <c r="BT239" i="1"/>
  <c r="BZ239" i="1"/>
  <c r="BW239" i="1"/>
  <c r="BS239" i="1"/>
  <c r="BY239" i="1"/>
  <c r="BU239" i="1"/>
  <c r="BX239" i="1"/>
  <c r="CO298" i="1"/>
  <c r="CO297" i="1"/>
  <c r="CO294" i="1"/>
  <c r="CO293" i="1"/>
  <c r="CO292" i="1"/>
  <c r="CO291" i="1"/>
  <c r="CO290" i="1"/>
  <c r="CO289" i="1"/>
  <c r="CO288" i="1"/>
  <c r="CO286" i="1"/>
  <c r="CO285" i="1"/>
  <c r="CO284" i="1"/>
  <c r="CO283" i="1"/>
  <c r="CO281" i="1"/>
  <c r="CO280" i="1"/>
  <c r="CO279" i="1"/>
  <c r="CO278" i="1"/>
  <c r="CO277" i="1"/>
  <c r="CO276" i="1"/>
  <c r="CO275" i="1"/>
  <c r="CO274" i="1"/>
  <c r="CO273" i="1"/>
  <c r="CO272" i="1"/>
  <c r="CO270" i="1"/>
  <c r="CO269" i="1"/>
  <c r="CO268" i="1"/>
  <c r="CO267" i="1"/>
  <c r="CO266" i="1"/>
  <c r="CO265" i="1"/>
  <c r="CO264" i="1"/>
  <c r="CO263" i="1"/>
  <c r="CO262" i="1"/>
  <c r="CO261" i="1"/>
  <c r="CO260" i="1"/>
  <c r="CO258" i="1"/>
  <c r="CO257" i="1"/>
  <c r="CO256" i="1"/>
  <c r="CO255" i="1"/>
  <c r="CO254" i="1"/>
  <c r="CO253" i="1"/>
  <c r="CO252" i="1"/>
  <c r="CO251" i="1"/>
  <c r="CO250" i="1"/>
  <c r="CO249" i="1"/>
  <c r="CO247" i="1"/>
  <c r="CO246" i="1"/>
  <c r="CO245" i="1"/>
  <c r="CO244" i="1"/>
  <c r="CO243" i="1"/>
  <c r="CO242" i="1"/>
  <c r="CO241" i="1"/>
  <c r="CO240" i="1"/>
  <c r="CO239" i="1"/>
  <c r="CO296" i="1"/>
  <c r="CO282" i="1"/>
  <c r="CO271" i="1"/>
  <c r="CO287" i="1"/>
  <c r="CO248" i="1"/>
  <c r="CO295" i="1"/>
  <c r="CO259" i="1"/>
  <c r="CP298" i="1"/>
  <c r="CT298" i="1"/>
  <c r="CW298" i="1"/>
  <c r="CX298" i="1" s="1"/>
  <c r="CP297" i="1"/>
  <c r="CT297" i="1"/>
  <c r="CW297" i="1"/>
  <c r="CP296" i="1"/>
  <c r="CW296" i="1"/>
  <c r="CX296" i="1" s="1"/>
  <c r="CT296" i="1"/>
  <c r="CP295" i="1"/>
  <c r="CW295" i="1"/>
  <c r="CX295" i="1" s="1"/>
  <c r="CT295" i="1"/>
  <c r="CP294" i="1"/>
  <c r="CW294" i="1"/>
  <c r="CT294" i="1"/>
  <c r="CP293" i="1"/>
  <c r="CT293" i="1"/>
  <c r="CW293" i="1"/>
  <c r="CP292" i="1"/>
  <c r="CW292" i="1"/>
  <c r="CX292" i="1" s="1"/>
  <c r="CT292" i="1"/>
  <c r="CP291" i="1"/>
  <c r="CW291" i="1"/>
  <c r="CX291" i="1" s="1"/>
  <c r="CY291" i="1" s="1"/>
  <c r="CT291" i="1"/>
  <c r="CP290" i="1"/>
  <c r="CW290" i="1"/>
  <c r="CT290" i="1"/>
  <c r="CP289" i="1"/>
  <c r="CT289" i="1"/>
  <c r="CW289" i="1"/>
  <c r="CX289" i="1" s="1"/>
  <c r="CP288" i="1"/>
  <c r="CW288" i="1"/>
  <c r="CX288" i="1" s="1"/>
  <c r="CT288" i="1"/>
  <c r="CP287" i="1"/>
  <c r="CT287" i="1"/>
  <c r="CW287" i="1"/>
  <c r="CX287" i="1" s="1"/>
  <c r="CY287" i="1" s="1"/>
  <c r="CP286" i="1"/>
  <c r="CW286" i="1"/>
  <c r="CT286" i="1"/>
  <c r="CP285" i="1"/>
  <c r="CT285" i="1"/>
  <c r="CW285" i="1"/>
  <c r="CP284" i="1"/>
  <c r="CW284" i="1"/>
  <c r="CX284" i="1" s="1"/>
  <c r="CY284" i="1" s="1"/>
  <c r="CT284" i="1"/>
  <c r="CP283" i="1"/>
  <c r="CW283" i="1"/>
  <c r="CX283" i="1" s="1"/>
  <c r="CT283" i="1"/>
  <c r="CP282" i="1"/>
  <c r="CT282" i="1"/>
  <c r="CW282" i="1"/>
  <c r="CX282" i="1" s="1"/>
  <c r="CP281" i="1"/>
  <c r="CT281" i="1"/>
  <c r="CW281" i="1"/>
  <c r="CX281" i="1" s="1"/>
  <c r="CP280" i="1"/>
  <c r="CW280" i="1"/>
  <c r="CX280" i="1" s="1"/>
  <c r="CY280" i="1" s="1"/>
  <c r="CT280" i="1"/>
  <c r="CP279" i="1"/>
  <c r="CW279" i="1"/>
  <c r="CX279" i="1" s="1"/>
  <c r="CT279" i="1"/>
  <c r="CP278" i="1"/>
  <c r="CW278" i="1"/>
  <c r="CX278" i="1" s="1"/>
  <c r="CY278" i="1" s="1"/>
  <c r="CT278" i="1"/>
  <c r="CP277" i="1"/>
  <c r="CT277" i="1"/>
  <c r="CW277" i="1"/>
  <c r="CP276" i="1"/>
  <c r="CW276" i="1"/>
  <c r="CX276" i="1" s="1"/>
  <c r="CT276" i="1"/>
  <c r="CP275" i="1"/>
  <c r="CW275" i="1"/>
  <c r="CX275" i="1" s="1"/>
  <c r="CT275" i="1"/>
  <c r="CP274" i="1"/>
  <c r="CW274" i="1"/>
  <c r="CX274" i="1" s="1"/>
  <c r="CY274" i="1" s="1"/>
  <c r="CT274" i="1"/>
  <c r="CP273" i="1"/>
  <c r="CT273" i="1"/>
  <c r="CW273" i="1"/>
  <c r="CX273" i="1" s="1"/>
  <c r="CP272" i="1"/>
  <c r="CW272" i="1"/>
  <c r="CX272" i="1" s="1"/>
  <c r="CT272" i="1"/>
  <c r="CP271" i="1"/>
  <c r="CT271" i="1"/>
  <c r="CW271" i="1"/>
  <c r="CX271" i="1" s="1"/>
  <c r="CY271" i="1" s="1"/>
  <c r="CP270" i="1"/>
  <c r="CW270" i="1"/>
  <c r="CX270" i="1" s="1"/>
  <c r="CT270" i="1"/>
  <c r="CP269" i="1"/>
  <c r="CT269" i="1"/>
  <c r="CW269" i="1"/>
  <c r="CX269" i="1" s="1"/>
  <c r="CY269" i="1" s="1"/>
  <c r="CP268" i="1"/>
  <c r="CW268" i="1"/>
  <c r="CX268" i="1" s="1"/>
  <c r="CT268" i="1"/>
  <c r="CP267" i="1"/>
  <c r="CW267" i="1"/>
  <c r="CX267" i="1" s="1"/>
  <c r="CT267" i="1"/>
  <c r="CP266" i="1"/>
  <c r="CT266" i="1"/>
  <c r="CW266" i="1"/>
  <c r="CX266" i="1" s="1"/>
  <c r="CP265" i="1"/>
  <c r="CT265" i="1"/>
  <c r="CW265" i="1"/>
  <c r="CP264" i="1"/>
  <c r="CW264" i="1"/>
  <c r="CX264" i="1" s="1"/>
  <c r="CT264" i="1"/>
  <c r="CP263" i="1"/>
  <c r="CW263" i="1"/>
  <c r="CX263" i="1" s="1"/>
  <c r="CT263" i="1"/>
  <c r="CP262" i="1"/>
  <c r="CW262" i="1"/>
  <c r="CX262" i="1" s="1"/>
  <c r="CT262" i="1"/>
  <c r="CP261" i="1"/>
  <c r="CT261" i="1"/>
  <c r="CW261" i="1"/>
  <c r="CX261" i="1" s="1"/>
  <c r="CY261" i="1" s="1"/>
  <c r="CP260" i="1"/>
  <c r="CW260" i="1"/>
  <c r="CX260" i="1" s="1"/>
  <c r="CT260" i="1"/>
  <c r="CP259" i="1"/>
  <c r="CW259" i="1"/>
  <c r="CX259" i="1" s="1"/>
  <c r="CT259" i="1"/>
  <c r="CP258" i="1"/>
  <c r="CW258" i="1"/>
  <c r="CX258" i="1" s="1"/>
  <c r="CT258" i="1"/>
  <c r="CP257" i="1"/>
  <c r="CT257" i="1"/>
  <c r="CW257" i="1"/>
  <c r="CX257" i="1" s="1"/>
  <c r="CP256" i="1"/>
  <c r="CW256" i="1"/>
  <c r="CX256" i="1" s="1"/>
  <c r="CT256" i="1"/>
  <c r="CP255" i="1"/>
  <c r="CT255" i="1"/>
  <c r="CW255" i="1"/>
  <c r="CX255" i="1" s="1"/>
  <c r="CP254" i="1"/>
  <c r="CW254" i="1"/>
  <c r="CX254" i="1" s="1"/>
  <c r="CT254" i="1"/>
  <c r="CP253" i="1"/>
  <c r="CT253" i="1"/>
  <c r="CW253" i="1"/>
  <c r="CX253" i="1" s="1"/>
  <c r="CP252" i="1"/>
  <c r="CW252" i="1"/>
  <c r="CX252" i="1" s="1"/>
  <c r="CT252" i="1"/>
  <c r="CP251" i="1"/>
  <c r="CW251" i="1"/>
  <c r="CX251" i="1" s="1"/>
  <c r="CY251" i="1" s="1"/>
  <c r="CT251" i="1"/>
  <c r="CP250" i="1"/>
  <c r="CT250" i="1"/>
  <c r="CW250" i="1"/>
  <c r="CX250" i="1" s="1"/>
  <c r="CP249" i="1"/>
  <c r="CT249" i="1"/>
  <c r="CW249" i="1"/>
  <c r="CX249" i="1" s="1"/>
  <c r="CP248" i="1"/>
  <c r="CW248" i="1"/>
  <c r="CX248" i="1" s="1"/>
  <c r="CT248" i="1"/>
  <c r="CP247" i="1"/>
  <c r="CW247" i="1"/>
  <c r="CX247" i="1" s="1"/>
  <c r="CT247" i="1"/>
  <c r="CP246" i="1"/>
  <c r="CW246" i="1"/>
  <c r="CX246" i="1" s="1"/>
  <c r="CT246" i="1"/>
  <c r="CP245" i="1"/>
  <c r="CT245" i="1"/>
  <c r="CW245" i="1"/>
  <c r="CX245" i="1" s="1"/>
  <c r="CP244" i="1"/>
  <c r="CW244" i="1"/>
  <c r="CX244" i="1" s="1"/>
  <c r="CT244" i="1"/>
  <c r="CP243" i="1"/>
  <c r="CW243" i="1"/>
  <c r="CX243" i="1" s="1"/>
  <c r="CT243" i="1"/>
  <c r="CP242" i="1"/>
  <c r="CW242" i="1"/>
  <c r="CX242" i="1" s="1"/>
  <c r="CT242" i="1"/>
  <c r="CP241" i="1"/>
  <c r="CT241" i="1"/>
  <c r="CW241" i="1"/>
  <c r="CX241" i="1" s="1"/>
  <c r="CP240" i="1"/>
  <c r="CW240" i="1"/>
  <c r="CX240" i="1" s="1"/>
  <c r="CY240" i="1" s="1"/>
  <c r="CT240" i="1"/>
  <c r="CP239" i="1"/>
  <c r="CT239" i="1"/>
  <c r="CW239" i="1"/>
  <c r="CX239" i="1" s="1"/>
  <c r="CX297" i="1"/>
  <c r="CX294" i="1"/>
  <c r="CX293" i="1"/>
  <c r="CX290" i="1"/>
  <c r="CY290" i="1" s="1"/>
  <c r="CX286" i="1"/>
  <c r="CX285" i="1"/>
  <c r="CX277" i="1"/>
  <c r="CX265" i="1"/>
  <c r="CY265" i="1" s="1"/>
  <c r="T296" i="1"/>
  <c r="U296" i="1"/>
  <c r="T295" i="1"/>
  <c r="U295" i="1"/>
  <c r="T287" i="1"/>
  <c r="U287" i="1"/>
  <c r="T282" i="1"/>
  <c r="U282" i="1"/>
  <c r="T271" i="1"/>
  <c r="U271" i="1"/>
  <c r="T259" i="1"/>
  <c r="FN259" i="1" s="1"/>
  <c r="U259" i="1"/>
  <c r="T248" i="1"/>
  <c r="U248" i="1"/>
  <c r="IU124" i="123"/>
  <c r="CU297" i="1"/>
  <c r="CU293" i="1"/>
  <c r="CU289" i="1"/>
  <c r="CU285" i="1"/>
  <c r="CU277" i="1"/>
  <c r="CU273" i="1"/>
  <c r="CU261" i="1"/>
  <c r="CU253" i="1"/>
  <c r="CU298" i="1"/>
  <c r="CU294" i="1"/>
  <c r="CU290" i="1"/>
  <c r="CU286" i="1"/>
  <c r="CU282" i="1"/>
  <c r="CU278" i="1"/>
  <c r="CU274" i="1"/>
  <c r="CU270" i="1"/>
  <c r="CU266" i="1"/>
  <c r="CU262" i="1"/>
  <c r="CU258" i="1"/>
  <c r="CU254" i="1"/>
  <c r="CU250" i="1"/>
  <c r="CU246" i="1"/>
  <c r="CU242" i="1"/>
  <c r="CU249" i="1"/>
  <c r="CU245" i="1"/>
  <c r="CU241" i="1"/>
  <c r="CU296" i="1"/>
  <c r="CU292" i="1"/>
  <c r="CU288" i="1"/>
  <c r="CU284" i="1"/>
  <c r="CU280" i="1"/>
  <c r="CU276" i="1"/>
  <c r="CU272" i="1"/>
  <c r="CU268" i="1"/>
  <c r="CU264" i="1"/>
  <c r="CU260" i="1"/>
  <c r="CU256" i="1"/>
  <c r="CU252" i="1"/>
  <c r="CU248" i="1"/>
  <c r="CU244" i="1"/>
  <c r="CU240" i="1"/>
  <c r="CU281" i="1"/>
  <c r="CU269" i="1"/>
  <c r="CU265" i="1"/>
  <c r="CU257" i="1"/>
  <c r="CU295" i="1"/>
  <c r="CU291" i="1"/>
  <c r="CU287" i="1"/>
  <c r="CU283" i="1"/>
  <c r="CU279" i="1"/>
  <c r="CU275" i="1"/>
  <c r="CU271" i="1"/>
  <c r="CU267" i="1"/>
  <c r="CU263" i="1"/>
  <c r="CU259" i="1"/>
  <c r="CU255" i="1"/>
  <c r="CU251" i="1"/>
  <c r="CU247" i="1"/>
  <c r="CU243" i="1"/>
  <c r="CU239" i="1"/>
  <c r="KC168" i="1"/>
  <c r="KC18" i="1" s="1"/>
  <c r="GI97" i="123"/>
  <c r="GK122" i="123"/>
  <c r="GK125" i="123" s="1"/>
  <c r="FQ282" i="1"/>
  <c r="FQ296" i="1"/>
  <c r="FQ271" i="1"/>
  <c r="FQ259" i="1"/>
  <c r="FQ248" i="1"/>
  <c r="FQ295" i="1"/>
  <c r="FQ287" i="1"/>
  <c r="CY277" i="1" l="1"/>
  <c r="CY248" i="1"/>
  <c r="CY255" i="1"/>
  <c r="CY260" i="1"/>
  <c r="CY264" i="1"/>
  <c r="CY268" i="1"/>
  <c r="CY286" i="1"/>
  <c r="CY242" i="1"/>
  <c r="CY246" i="1"/>
  <c r="CY273" i="1"/>
  <c r="CY281" i="1"/>
  <c r="CY297" i="1"/>
  <c r="CY239" i="1"/>
  <c r="CY252" i="1"/>
  <c r="CY256" i="1"/>
  <c r="CY292" i="1"/>
  <c r="CY288" i="1"/>
  <c r="CY244" i="1"/>
  <c r="CY285" i="1"/>
  <c r="CY293" i="1"/>
  <c r="CY243" i="1"/>
  <c r="CY247" i="1"/>
  <c r="CY259" i="1"/>
  <c r="CY263" i="1"/>
  <c r="CY266" i="1"/>
  <c r="CY267" i="1"/>
  <c r="CY275" i="1"/>
  <c r="CY279" i="1"/>
  <c r="CY283" i="1"/>
  <c r="CY295" i="1"/>
  <c r="CY298" i="1"/>
  <c r="CY294" i="1"/>
  <c r="CY249" i="1"/>
  <c r="CY253" i="1"/>
  <c r="CY257" i="1"/>
  <c r="CY262" i="1"/>
  <c r="CY270" i="1"/>
  <c r="CY289" i="1"/>
  <c r="CY250" i="1"/>
  <c r="CY254" i="1"/>
  <c r="CY258" i="1"/>
  <c r="CY272" i="1"/>
  <c r="CY276" i="1"/>
  <c r="CY241" i="1"/>
  <c r="CY245" i="1"/>
  <c r="CY282" i="1"/>
  <c r="CY296" i="1"/>
  <c r="AA248" i="1"/>
  <c r="AA271" i="1"/>
  <c r="AA287" i="1"/>
  <c r="AA296" i="1"/>
  <c r="AA259" i="1"/>
  <c r="AA295" i="1"/>
  <c r="AA282" i="1"/>
  <c r="IV124" i="123"/>
  <c r="IP166" i="1"/>
  <c r="IP169" i="1" s="1"/>
  <c r="IQ166" i="1"/>
  <c r="IQ169" i="1" s="1"/>
  <c r="KD168" i="1"/>
  <c r="KD18" i="1" s="1"/>
  <c r="GJ97" i="123"/>
  <c r="GL122" i="123"/>
  <c r="GL125" i="123" s="1"/>
  <c r="FN295" i="1"/>
  <c r="FN287" i="1"/>
  <c r="FN248" i="1"/>
  <c r="IW124" i="123" l="1"/>
  <c r="GT141" i="1"/>
  <c r="KE168" i="1"/>
  <c r="GK97" i="123"/>
  <c r="GM122" i="123"/>
  <c r="GM125" i="123" s="1"/>
  <c r="IR166" i="1"/>
  <c r="IR169" i="1" s="1"/>
  <c r="FN271" i="1"/>
  <c r="FN282" i="1"/>
  <c r="FN296" i="1"/>
  <c r="KE18" i="1" l="1"/>
  <c r="IX124" i="123"/>
  <c r="KF168" i="1"/>
  <c r="GL97" i="123"/>
  <c r="FL364" i="1"/>
  <c r="FL337" i="1"/>
  <c r="FL335" i="1"/>
  <c r="FL334" i="1"/>
  <c r="FL332" i="1"/>
  <c r="FL330" i="1"/>
  <c r="FL329" i="1"/>
  <c r="FL327" i="1"/>
  <c r="FL326" i="1"/>
  <c r="FL325" i="1"/>
  <c r="FL324" i="1"/>
  <c r="FL323" i="1"/>
  <c r="FL321" i="1"/>
  <c r="FL320" i="1"/>
  <c r="FL319" i="1"/>
  <c r="FL318" i="1"/>
  <c r="FL317" i="1"/>
  <c r="FL316" i="1"/>
  <c r="FL315" i="1"/>
  <c r="FL314" i="1"/>
  <c r="FL313" i="1"/>
  <c r="FL312" i="1"/>
  <c r="FL311" i="1"/>
  <c r="FL310" i="1"/>
  <c r="FL309" i="1"/>
  <c r="FL308" i="1"/>
  <c r="FL307" i="1"/>
  <c r="FL306" i="1"/>
  <c r="FL304" i="1"/>
  <c r="FL303" i="1"/>
  <c r="FL302" i="1"/>
  <c r="FL301" i="1"/>
  <c r="FL300" i="1"/>
  <c r="FL299" i="1"/>
  <c r="FL238" i="1"/>
  <c r="FL237" i="1"/>
  <c r="FL236" i="1"/>
  <c r="FL235" i="1"/>
  <c r="FL234" i="1"/>
  <c r="FL233" i="1"/>
  <c r="FL232" i="1"/>
  <c r="FL231" i="1"/>
  <c r="FL230" i="1"/>
  <c r="FL229" i="1"/>
  <c r="FL228" i="1"/>
  <c r="FL227" i="1"/>
  <c r="FL226" i="1"/>
  <c r="FL225" i="1"/>
  <c r="FL224" i="1"/>
  <c r="FL223" i="1"/>
  <c r="FL222" i="1"/>
  <c r="FL220" i="1"/>
  <c r="FL203" i="1"/>
  <c r="FL202" i="1"/>
  <c r="FL201" i="1"/>
  <c r="FL200" i="1"/>
  <c r="FL198" i="1"/>
  <c r="FL197" i="1"/>
  <c r="FL195" i="1"/>
  <c r="FL194" i="1"/>
  <c r="FL193" i="1"/>
  <c r="FL190" i="1"/>
  <c r="FL189" i="1"/>
  <c r="FL187" i="1"/>
  <c r="FL186" i="1"/>
  <c r="FL185" i="1"/>
  <c r="FL182" i="1"/>
  <c r="FL181" i="1"/>
  <c r="FL180" i="1"/>
  <c r="FL176" i="1"/>
  <c r="FL175" i="1"/>
  <c r="FL174" i="1"/>
  <c r="FL173" i="1"/>
  <c r="KF18" i="1" l="1"/>
  <c r="IY124" i="123"/>
  <c r="IS166" i="1"/>
  <c r="IS169" i="1" s="1"/>
  <c r="KG168" i="1"/>
  <c r="GM97" i="123"/>
  <c r="GN122" i="123"/>
  <c r="GN125" i="123" s="1"/>
  <c r="AF174" i="1"/>
  <c r="AG174" i="1"/>
  <c r="AF175" i="1"/>
  <c r="AG175" i="1"/>
  <c r="AF176" i="1"/>
  <c r="AG176" i="1"/>
  <c r="AF180" i="1"/>
  <c r="AG180" i="1"/>
  <c r="AF181" i="1"/>
  <c r="AG181" i="1"/>
  <c r="AF182" i="1"/>
  <c r="AG182" i="1"/>
  <c r="AF185" i="1"/>
  <c r="AG185" i="1"/>
  <c r="AF186" i="1"/>
  <c r="AG186" i="1"/>
  <c r="AF187" i="1"/>
  <c r="AG187" i="1"/>
  <c r="AF189" i="1"/>
  <c r="AG189" i="1"/>
  <c r="AF190" i="1"/>
  <c r="AG190" i="1"/>
  <c r="AF193" i="1"/>
  <c r="AG193" i="1"/>
  <c r="AF194" i="1"/>
  <c r="AG194" i="1"/>
  <c r="AF195" i="1"/>
  <c r="AG195" i="1"/>
  <c r="AF197" i="1"/>
  <c r="AG197" i="1"/>
  <c r="AF198" i="1"/>
  <c r="AG198" i="1"/>
  <c r="AF200" i="1"/>
  <c r="AG200" i="1"/>
  <c r="AF201" i="1"/>
  <c r="AG201" i="1"/>
  <c r="AF202" i="1"/>
  <c r="AG202" i="1"/>
  <c r="AF203" i="1"/>
  <c r="AG203" i="1"/>
  <c r="AF220" i="1"/>
  <c r="AG220" i="1"/>
  <c r="AF221" i="1"/>
  <c r="AG221" i="1"/>
  <c r="AF222" i="1"/>
  <c r="AG222" i="1"/>
  <c r="AF223" i="1"/>
  <c r="AG223" i="1"/>
  <c r="AF224" i="1"/>
  <c r="AG224" i="1"/>
  <c r="AF225" i="1"/>
  <c r="AG225" i="1"/>
  <c r="AF226" i="1"/>
  <c r="AG226" i="1"/>
  <c r="AF227" i="1"/>
  <c r="AG227" i="1"/>
  <c r="AF228" i="1"/>
  <c r="AG228" i="1"/>
  <c r="AF229" i="1"/>
  <c r="AG229" i="1"/>
  <c r="AF230" i="1"/>
  <c r="AG230" i="1"/>
  <c r="AF231" i="1"/>
  <c r="AG231" i="1"/>
  <c r="AF232" i="1"/>
  <c r="AG232" i="1"/>
  <c r="AF233" i="1"/>
  <c r="AG233" i="1"/>
  <c r="AF234" i="1"/>
  <c r="AG234" i="1"/>
  <c r="AF235" i="1"/>
  <c r="AG235" i="1"/>
  <c r="AF236" i="1"/>
  <c r="AG236" i="1"/>
  <c r="AF237" i="1"/>
  <c r="AG237" i="1"/>
  <c r="AF238" i="1"/>
  <c r="AG238" i="1"/>
  <c r="AF299" i="1"/>
  <c r="AG299" i="1"/>
  <c r="AF300" i="1"/>
  <c r="AG300" i="1"/>
  <c r="AF301" i="1"/>
  <c r="AG301" i="1"/>
  <c r="AF302" i="1"/>
  <c r="AG302" i="1"/>
  <c r="AF303" i="1"/>
  <c r="AG303" i="1"/>
  <c r="AF304" i="1"/>
  <c r="AG304" i="1"/>
  <c r="AF306" i="1"/>
  <c r="AG306" i="1"/>
  <c r="AF307" i="1"/>
  <c r="AG307" i="1"/>
  <c r="AF308" i="1"/>
  <c r="AG308" i="1"/>
  <c r="AF309" i="1"/>
  <c r="AG309" i="1"/>
  <c r="AF310" i="1"/>
  <c r="AG310" i="1"/>
  <c r="AF311" i="1"/>
  <c r="AG311" i="1"/>
  <c r="AF312" i="1"/>
  <c r="AG312" i="1"/>
  <c r="AF313" i="1"/>
  <c r="AG313" i="1"/>
  <c r="AF314" i="1"/>
  <c r="AG314" i="1"/>
  <c r="AF315" i="1"/>
  <c r="AG315" i="1"/>
  <c r="AF316" i="1"/>
  <c r="AG316" i="1"/>
  <c r="AF317" i="1"/>
  <c r="AG317" i="1"/>
  <c r="AF318" i="1"/>
  <c r="AG318" i="1"/>
  <c r="AF319" i="1"/>
  <c r="AG319" i="1"/>
  <c r="AF320" i="1"/>
  <c r="AG320" i="1"/>
  <c r="AF321" i="1"/>
  <c r="AG321" i="1"/>
  <c r="AF323" i="1"/>
  <c r="AG323" i="1"/>
  <c r="AF324" i="1"/>
  <c r="AG324" i="1"/>
  <c r="AF325" i="1"/>
  <c r="AG325" i="1"/>
  <c r="AF326" i="1"/>
  <c r="AG326" i="1"/>
  <c r="AF327" i="1"/>
  <c r="AG327" i="1"/>
  <c r="AF329" i="1"/>
  <c r="AG329" i="1"/>
  <c r="AF330" i="1"/>
  <c r="AG330" i="1"/>
  <c r="AF332" i="1"/>
  <c r="AG332" i="1"/>
  <c r="AF334" i="1"/>
  <c r="AG334" i="1"/>
  <c r="AF335" i="1"/>
  <c r="AG335" i="1"/>
  <c r="AF337" i="1"/>
  <c r="AG337" i="1"/>
  <c r="AF364" i="1"/>
  <c r="AG364" i="1"/>
  <c r="AG173" i="1"/>
  <c r="AF173" i="1"/>
  <c r="KG18" i="1" l="1"/>
  <c r="R342" i="1"/>
  <c r="IZ124" i="123"/>
  <c r="IT166" i="1"/>
  <c r="IT169" i="1" s="1"/>
  <c r="KH168" i="1"/>
  <c r="GN97" i="123"/>
  <c r="GO122" i="123"/>
  <c r="GO125" i="123" s="1"/>
  <c r="KH18" i="1" l="1"/>
  <c r="JA124" i="123"/>
  <c r="DS95" i="93"/>
  <c r="IU166" i="1"/>
  <c r="IU169" i="1" s="1"/>
  <c r="KI168" i="1"/>
  <c r="KI18" i="1" s="1"/>
  <c r="GO97" i="123"/>
  <c r="GP122" i="123"/>
  <c r="GP125" i="123" s="1"/>
  <c r="GQ122" i="123"/>
  <c r="GQ125" i="123" s="1"/>
  <c r="JB124" i="123" l="1"/>
  <c r="IW166" i="1"/>
  <c r="IW169" i="1" s="1"/>
  <c r="IV166" i="1"/>
  <c r="IV169" i="1" s="1"/>
  <c r="KJ168" i="1"/>
  <c r="KJ18" i="1" s="1"/>
  <c r="GP97" i="123"/>
  <c r="JC124" i="123" l="1"/>
  <c r="IX166" i="1"/>
  <c r="IX169" i="1" s="1"/>
  <c r="KK168" i="1"/>
  <c r="KK18" i="1" s="1"/>
  <c r="GQ97" i="123"/>
  <c r="GR122" i="123"/>
  <c r="GR125" i="123" s="1"/>
  <c r="BA231" i="123" l="1"/>
  <c r="AS211" i="123"/>
  <c r="AW210" i="123"/>
  <c r="AS231" i="123"/>
  <c r="AX211" i="123"/>
  <c r="AX231" i="123"/>
  <c r="BA211" i="123"/>
  <c r="AY201" i="123"/>
  <c r="AZ231" i="123"/>
  <c r="AV211" i="123"/>
  <c r="AS210" i="123"/>
  <c r="AY231" i="123"/>
  <c r="AT211" i="123"/>
  <c r="BB210" i="123"/>
  <c r="AZ210" i="123"/>
  <c r="AV210" i="123"/>
  <c r="AV231" i="123"/>
  <c r="BA210" i="123"/>
  <c r="AT210" i="123"/>
  <c r="AZ202" i="123"/>
  <c r="AX210" i="123"/>
  <c r="BB211" i="123"/>
  <c r="AW211" i="123"/>
  <c r="AU211" i="123"/>
  <c r="BB231" i="123"/>
  <c r="AZ211" i="123"/>
  <c r="AT231" i="123"/>
  <c r="AY210" i="123"/>
  <c r="AZ135" i="123"/>
  <c r="BA193" i="123"/>
  <c r="AZ232" i="123"/>
  <c r="AY195" i="123"/>
  <c r="AY211" i="123"/>
  <c r="BA155" i="123"/>
  <c r="AU202" i="123"/>
  <c r="AY190" i="123"/>
  <c r="AS197" i="123"/>
  <c r="BB198" i="123"/>
  <c r="BA197" i="123"/>
  <c r="AZ197" i="123"/>
  <c r="AY207" i="123"/>
  <c r="AY232" i="123"/>
  <c r="AZ208" i="123"/>
  <c r="BA198" i="123"/>
  <c r="AX130" i="123"/>
  <c r="AS225" i="123"/>
  <c r="AS191" i="123"/>
  <c r="AX201" i="123"/>
  <c r="AT197" i="123"/>
  <c r="AT202" i="123"/>
  <c r="AU232" i="123"/>
  <c r="AS130" i="123"/>
  <c r="AX197" i="123"/>
  <c r="AW191" i="123"/>
  <c r="BB204" i="123"/>
  <c r="AU201" i="123"/>
  <c r="AU231" i="123"/>
  <c r="AS202" i="123"/>
  <c r="AZ225" i="123"/>
  <c r="AU210" i="123"/>
  <c r="AY135" i="123"/>
  <c r="AV232" i="123"/>
  <c r="AX214" i="123"/>
  <c r="AZ183" i="123"/>
  <c r="AS175" i="123"/>
  <c r="BB155" i="123"/>
  <c r="AU130" i="123"/>
  <c r="AW190" i="123"/>
  <c r="AY198" i="123"/>
  <c r="AS183" i="123"/>
  <c r="AV214" i="123"/>
  <c r="AY225" i="123"/>
  <c r="BA214" i="123"/>
  <c r="AS226" i="123"/>
  <c r="AV192" i="123"/>
  <c r="BA130" i="123"/>
  <c r="AT191" i="123"/>
  <c r="AT199" i="123"/>
  <c r="AU129" i="123"/>
  <c r="AX191" i="123"/>
  <c r="AU195" i="123"/>
  <c r="AS196" i="123"/>
  <c r="AT175" i="123"/>
  <c r="AS199" i="123"/>
  <c r="AX204" i="123"/>
  <c r="AW232" i="123"/>
  <c r="AW231" i="123"/>
  <c r="AT196" i="123"/>
  <c r="AU191" i="123"/>
  <c r="AW196" i="123"/>
  <c r="BB130" i="123"/>
  <c r="AU155" i="123"/>
  <c r="AU204" i="123"/>
  <c r="AV199" i="123"/>
  <c r="AT232" i="123"/>
  <c r="AV197" i="123"/>
  <c r="AS195" i="123"/>
  <c r="BB197" i="123"/>
  <c r="AS208" i="123"/>
  <c r="BB199" i="123"/>
  <c r="AW192" i="123"/>
  <c r="BA190" i="123"/>
  <c r="AU214" i="123"/>
  <c r="AU207" i="123"/>
  <c r="BA201" i="123"/>
  <c r="AZ129" i="123"/>
  <c r="AV191" i="123"/>
  <c r="AY129" i="123"/>
  <c r="AX198" i="123"/>
  <c r="BB135" i="123"/>
  <c r="BA175" i="123"/>
  <c r="AX129" i="123"/>
  <c r="BA199" i="123"/>
  <c r="AU198" i="123"/>
  <c r="AX192" i="123"/>
  <c r="BB214" i="123"/>
  <c r="BB192" i="123"/>
  <c r="AT226" i="123"/>
  <c r="AY193" i="123"/>
  <c r="AZ190" i="123"/>
  <c r="AW201" i="123"/>
  <c r="AS155" i="123"/>
  <c r="AX190" i="123"/>
  <c r="AS193" i="123"/>
  <c r="AV198" i="123"/>
  <c r="AY155" i="123"/>
  <c r="AY196" i="123"/>
  <c r="BB175" i="123"/>
  <c r="AV190" i="123"/>
  <c r="AW197" i="123"/>
  <c r="AU226" i="123"/>
  <c r="BA207" i="123"/>
  <c r="BA204" i="123"/>
  <c r="AT195" i="123"/>
  <c r="AX207" i="123"/>
  <c r="AT198" i="123"/>
  <c r="BB190" i="123"/>
  <c r="BB191" i="123"/>
  <c r="BA196" i="123"/>
  <c r="AV130" i="123"/>
  <c r="AV225" i="123"/>
  <c r="AZ193" i="123"/>
  <c r="AV193" i="123"/>
  <c r="AT183" i="123"/>
  <c r="AZ201" i="123"/>
  <c r="AW226" i="123"/>
  <c r="AV202" i="123"/>
  <c r="BB195" i="123"/>
  <c r="BB201" i="123"/>
  <c r="AY175" i="123"/>
  <c r="AZ196" i="123"/>
  <c r="AS190" i="123"/>
  <c r="AU183" i="123"/>
  <c r="AW208" i="123"/>
  <c r="AT155" i="123"/>
  <c r="AT204" i="123"/>
  <c r="AZ192" i="123"/>
  <c r="AU193" i="123"/>
  <c r="BB225" i="123"/>
  <c r="AZ130" i="123"/>
  <c r="BA191" i="123"/>
  <c r="BA135" i="123"/>
  <c r="BA232" i="123"/>
  <c r="AU175" i="123"/>
  <c r="AT130" i="123"/>
  <c r="BB202" i="123"/>
  <c r="BB226" i="123"/>
  <c r="AV204" i="123"/>
  <c r="AY204" i="123"/>
  <c r="BB129" i="123"/>
  <c r="AT201" i="123"/>
  <c r="AX135" i="123"/>
  <c r="AX195" i="123"/>
  <c r="AV183" i="123"/>
  <c r="AW214" i="123"/>
  <c r="AW130" i="123"/>
  <c r="AV195" i="123"/>
  <c r="AX196" i="123"/>
  <c r="BB207" i="123"/>
  <c r="AT207" i="123"/>
  <c r="AW175" i="123"/>
  <c r="AZ175" i="123"/>
  <c r="BB232" i="123"/>
  <c r="AT225" i="123"/>
  <c r="AX232" i="123"/>
  <c r="AV155" i="123"/>
  <c r="AY191" i="123"/>
  <c r="BA183" i="123"/>
  <c r="AW193" i="123"/>
  <c r="BB183" i="123"/>
  <c r="BB196" i="123"/>
  <c r="AX175" i="123"/>
  <c r="AZ198" i="123"/>
  <c r="AY226" i="123"/>
  <c r="AV196" i="123"/>
  <c r="AX208" i="123"/>
  <c r="AT214" i="123"/>
  <c r="AT129" i="123"/>
  <c r="AZ155" i="123"/>
  <c r="AZ207" i="123"/>
  <c r="AW183" i="123"/>
  <c r="AW225" i="123"/>
  <c r="AU225" i="123"/>
  <c r="AZ199" i="123"/>
  <c r="AT190" i="123"/>
  <c r="BA195" i="123"/>
  <c r="AU196" i="123"/>
  <c r="AW195" i="123"/>
  <c r="AZ195" i="123"/>
  <c r="AW198" i="123"/>
  <c r="AS198" i="123"/>
  <c r="AX225" i="123"/>
  <c r="AW202" i="123"/>
  <c r="AW129" i="123"/>
  <c r="AX199" i="123"/>
  <c r="AU192" i="123"/>
  <c r="BB193" i="123"/>
  <c r="AW207" i="123"/>
  <c r="AY214" i="123"/>
  <c r="AX226" i="123"/>
  <c r="AZ204" i="123"/>
  <c r="AV135" i="123"/>
  <c r="AT192" i="123"/>
  <c r="BB208" i="123"/>
  <c r="AY199" i="123"/>
  <c r="BA129" i="123"/>
  <c r="AV129" i="123"/>
  <c r="AU190" i="123"/>
  <c r="AW204" i="123"/>
  <c r="AU208" i="123"/>
  <c r="AS192" i="123"/>
  <c r="AU135" i="123"/>
  <c r="AY130" i="123"/>
  <c r="AY197" i="123"/>
  <c r="AZ226" i="123"/>
  <c r="BA226" i="123"/>
  <c r="AX202" i="123"/>
  <c r="AS204" i="123"/>
  <c r="AS214" i="123"/>
  <c r="AS129" i="123"/>
  <c r="AW155" i="123"/>
  <c r="AX193" i="123"/>
  <c r="AY192" i="123"/>
  <c r="AT135" i="123"/>
  <c r="BA225" i="123"/>
  <c r="AX155" i="123"/>
  <c r="AW135" i="123"/>
  <c r="AV201" i="123"/>
  <c r="AW199" i="123"/>
  <c r="AS232" i="123"/>
  <c r="AU199" i="123"/>
  <c r="AV226" i="123"/>
  <c r="AV175" i="123"/>
  <c r="AU197" i="123"/>
  <c r="AX183" i="123"/>
  <c r="AY183" i="123"/>
  <c r="AT208" i="123"/>
  <c r="AS135" i="123"/>
  <c r="BA192" i="123"/>
  <c r="BA202" i="123"/>
  <c r="AZ191" i="123"/>
  <c r="AY208" i="123"/>
  <c r="AV208" i="123"/>
  <c r="AS201" i="123"/>
  <c r="AY202" i="123"/>
  <c r="AT193" i="123"/>
  <c r="AV207" i="123"/>
  <c r="AS207" i="123"/>
  <c r="BA208" i="123"/>
  <c r="AZ214" i="123"/>
  <c r="BA213" i="123"/>
  <c r="AS213" i="123"/>
  <c r="BB213" i="123"/>
  <c r="AX213" i="123"/>
  <c r="AW213" i="123"/>
  <c r="AZ213" i="123"/>
  <c r="AV213" i="123"/>
  <c r="AY213" i="123"/>
  <c r="AU213" i="123"/>
  <c r="AT213" i="123"/>
  <c r="AU221" i="123"/>
  <c r="AT221" i="123"/>
  <c r="AZ221" i="123"/>
  <c r="AW221" i="123"/>
  <c r="AY221" i="123"/>
  <c r="BB221" i="123"/>
  <c r="BA221" i="123"/>
  <c r="AS221" i="123"/>
  <c r="AV221" i="123"/>
  <c r="AX221" i="123"/>
  <c r="AS219" i="123"/>
  <c r="AZ220" i="123"/>
  <c r="BA220" i="123"/>
  <c r="BB220" i="123"/>
  <c r="AV220" i="123"/>
  <c r="AZ219" i="123"/>
  <c r="AX220" i="123"/>
  <c r="BA219" i="123"/>
  <c r="AW220" i="123"/>
  <c r="AS220" i="123"/>
  <c r="AT220" i="123"/>
  <c r="AY219" i="123"/>
  <c r="AU220" i="123"/>
  <c r="AW222" i="123"/>
  <c r="AU222" i="123"/>
  <c r="BB222" i="123"/>
  <c r="AW219" i="123"/>
  <c r="AT219" i="123"/>
  <c r="AX222" i="123"/>
  <c r="AV219" i="123"/>
  <c r="AV222" i="123"/>
  <c r="AY218" i="123"/>
  <c r="BB218" i="123"/>
  <c r="AX219" i="123"/>
  <c r="BA222" i="123"/>
  <c r="AS222" i="123"/>
  <c r="AZ218" i="123"/>
  <c r="AU218" i="123"/>
  <c r="AX218" i="123"/>
  <c r="AY220" i="123"/>
  <c r="AW218" i="123"/>
  <c r="BB219" i="123"/>
  <c r="AV218" i="123"/>
  <c r="BA218" i="123"/>
  <c r="AT222" i="123"/>
  <c r="AU219" i="123"/>
  <c r="AT218" i="123"/>
  <c r="AS218" i="123"/>
  <c r="AZ222" i="123"/>
  <c r="AY222" i="123"/>
  <c r="AV217" i="123"/>
  <c r="AY217" i="123"/>
  <c r="AW217" i="123"/>
  <c r="AY223" i="123"/>
  <c r="AW223" i="123"/>
  <c r="AS217" i="123"/>
  <c r="BA217" i="123"/>
  <c r="BB217" i="123"/>
  <c r="BA223" i="123"/>
  <c r="BB223" i="123"/>
  <c r="AT223" i="123"/>
  <c r="AX217" i="123"/>
  <c r="AV223" i="123"/>
  <c r="AX223" i="123"/>
  <c r="AT217" i="123"/>
  <c r="AZ223" i="123"/>
  <c r="AZ217" i="123"/>
  <c r="AU223" i="123"/>
  <c r="AS223" i="123"/>
  <c r="AU217" i="123"/>
  <c r="AW212" i="123"/>
  <c r="AX212" i="123"/>
  <c r="BA215" i="123"/>
  <c r="AX215" i="123"/>
  <c r="AV212" i="123"/>
  <c r="BA212" i="123"/>
  <c r="BB212" i="123"/>
  <c r="BB215" i="123"/>
  <c r="AZ212" i="123"/>
  <c r="AY215" i="123"/>
  <c r="AY212" i="123"/>
  <c r="AZ215" i="123"/>
  <c r="AU215" i="123"/>
  <c r="AS215" i="123"/>
  <c r="AT212" i="123"/>
  <c r="AV215" i="123"/>
  <c r="AS212" i="123"/>
  <c r="AU212" i="123"/>
  <c r="AT215" i="123"/>
  <c r="AW215" i="123"/>
  <c r="AV246" i="123"/>
  <c r="AZ254" i="123"/>
  <c r="BB277" i="123"/>
  <c r="AV140" i="123"/>
  <c r="BB255" i="123"/>
  <c r="AZ163" i="123"/>
  <c r="AS163" i="123"/>
  <c r="AS164" i="123"/>
  <c r="AX261" i="123"/>
  <c r="AW141" i="123"/>
  <c r="AZ149" i="123"/>
  <c r="AS156" i="123"/>
  <c r="AW261" i="123"/>
  <c r="AX138" i="123"/>
  <c r="AW132" i="123"/>
  <c r="AV239" i="123"/>
  <c r="AV251" i="123"/>
  <c r="AS251" i="123"/>
  <c r="AV256" i="123"/>
  <c r="AU283" i="123"/>
  <c r="AU240" i="123"/>
  <c r="BB176" i="123"/>
  <c r="AS170" i="123"/>
  <c r="AZ177" i="123"/>
  <c r="AZ216" i="123"/>
  <c r="AS258" i="123"/>
  <c r="BA252" i="123"/>
  <c r="AT186" i="123"/>
  <c r="AX297" i="123"/>
  <c r="BB161" i="123"/>
  <c r="AT142" i="123"/>
  <c r="BA290" i="123"/>
  <c r="AZ141" i="123"/>
  <c r="AS271" i="123"/>
  <c r="AU276" i="123"/>
  <c r="AV181" i="123"/>
  <c r="AX141" i="123"/>
  <c r="AS284" i="123"/>
  <c r="AX247" i="123"/>
  <c r="AY272" i="123"/>
  <c r="AU186" i="123"/>
  <c r="AV258" i="123"/>
  <c r="AS180" i="123"/>
  <c r="AW262" i="123"/>
  <c r="AV270" i="123"/>
  <c r="BA140" i="123"/>
  <c r="BA292" i="123"/>
  <c r="AS142" i="123"/>
  <c r="AU178" i="123"/>
  <c r="AZ179" i="123"/>
  <c r="AY133" i="123"/>
  <c r="AS203" i="123"/>
  <c r="AT259" i="123"/>
  <c r="AX139" i="123"/>
  <c r="AU254" i="123"/>
  <c r="BB154" i="123"/>
  <c r="AZ200" i="123"/>
  <c r="AX300" i="123"/>
  <c r="BB177" i="123"/>
  <c r="AS188" i="123"/>
  <c r="AW258" i="123"/>
  <c r="AS227" i="123"/>
  <c r="AV182" i="123"/>
  <c r="AT162" i="123"/>
  <c r="BA184" i="123"/>
  <c r="BA276" i="123"/>
  <c r="AZ250" i="123"/>
  <c r="AU185" i="123"/>
  <c r="AT240" i="123"/>
  <c r="BB280" i="123"/>
  <c r="BB216" i="123"/>
  <c r="BB132" i="123"/>
  <c r="BA294" i="123"/>
  <c r="AX254" i="123"/>
  <c r="AW185" i="123"/>
  <c r="AS154" i="123"/>
  <c r="AZ240" i="123"/>
  <c r="AX137" i="123"/>
  <c r="AV139" i="123"/>
  <c r="AT170" i="123"/>
  <c r="BA178" i="123"/>
  <c r="AX164" i="123"/>
  <c r="AU246" i="123"/>
  <c r="AZ267" i="123"/>
  <c r="BA171" i="123"/>
  <c r="AV144" i="123"/>
  <c r="AS177" i="123"/>
  <c r="AU284" i="123"/>
  <c r="BA159" i="123"/>
  <c r="BB142" i="123"/>
  <c r="AS264" i="123"/>
  <c r="AY234" i="123"/>
  <c r="AW177" i="123"/>
  <c r="AT255" i="123"/>
  <c r="AT168" i="123"/>
  <c r="AZ158" i="123"/>
  <c r="BA163" i="123"/>
  <c r="BB287" i="123"/>
  <c r="AV266" i="123"/>
  <c r="AY167" i="123"/>
  <c r="AT233" i="123"/>
  <c r="AU264" i="123"/>
  <c r="AW206" i="123"/>
  <c r="AU291" i="123"/>
  <c r="BA293" i="123"/>
  <c r="AX161" i="123"/>
  <c r="AV209" i="123"/>
  <c r="BB140" i="123"/>
  <c r="BB186" i="123"/>
  <c r="AV142" i="123"/>
  <c r="AV138" i="123"/>
  <c r="AZ253" i="123"/>
  <c r="BB267" i="123"/>
  <c r="BA162" i="123"/>
  <c r="AS241" i="123"/>
  <c r="AV156" i="123"/>
  <c r="AX299" i="123"/>
  <c r="AZ144" i="123"/>
  <c r="BA176" i="123"/>
  <c r="AX145" i="123"/>
  <c r="AZ274" i="123"/>
  <c r="AZ264" i="123"/>
  <c r="BA224" i="123"/>
  <c r="AU230" i="123"/>
  <c r="AU229" i="123"/>
  <c r="BA297" i="123"/>
  <c r="AV249" i="123"/>
  <c r="BA148" i="123"/>
  <c r="AT181" i="123"/>
  <c r="BA174" i="123"/>
  <c r="AS248" i="123"/>
  <c r="BA279" i="123"/>
  <c r="AW246" i="123"/>
  <c r="BA181" i="123"/>
  <c r="AU267" i="123"/>
  <c r="BB228" i="123"/>
  <c r="AS174" i="123"/>
  <c r="AU194" i="123"/>
  <c r="BA230" i="123"/>
  <c r="AV260" i="123"/>
  <c r="AV297" i="123"/>
  <c r="AU289" i="123"/>
  <c r="BA245" i="123"/>
  <c r="AY156" i="123"/>
  <c r="AU150" i="123"/>
  <c r="BA167" i="123"/>
  <c r="AZ184" i="123"/>
  <c r="AU180" i="123"/>
  <c r="BA185" i="123"/>
  <c r="AX277" i="123"/>
  <c r="AX255" i="123"/>
  <c r="AS160" i="123"/>
  <c r="AU242" i="123"/>
  <c r="BB224" i="123"/>
  <c r="AX189" i="123"/>
  <c r="AX180" i="123"/>
  <c r="BB283" i="123"/>
  <c r="BB187" i="123"/>
  <c r="AW205" i="123"/>
  <c r="AX200" i="123"/>
  <c r="AY229" i="123"/>
  <c r="AW292" i="123"/>
  <c r="AW162" i="123"/>
  <c r="AV274" i="123"/>
  <c r="AX170" i="123"/>
  <c r="AW236" i="123"/>
  <c r="AX249" i="123"/>
  <c r="AT144" i="123"/>
  <c r="AZ303" i="123"/>
  <c r="BA160" i="123"/>
  <c r="BB264" i="123"/>
  <c r="AT294" i="123"/>
  <c r="AY289" i="123"/>
  <c r="AZ272" i="123"/>
  <c r="AS265" i="123"/>
  <c r="AZ154" i="123"/>
  <c r="BA304" i="123"/>
  <c r="AV153" i="123"/>
  <c r="BA188" i="123"/>
  <c r="AY284" i="123"/>
  <c r="BB144" i="123"/>
  <c r="AT237" i="123"/>
  <c r="AV154" i="123"/>
  <c r="AT172" i="123"/>
  <c r="AY277" i="123"/>
  <c r="AU287" i="123"/>
  <c r="AT249" i="123"/>
  <c r="AW300" i="123"/>
  <c r="AX237" i="123"/>
  <c r="AW156" i="123"/>
  <c r="AX134" i="123"/>
  <c r="BA285" i="123"/>
  <c r="BB181" i="123"/>
  <c r="AY251" i="123"/>
  <c r="BA138" i="123"/>
  <c r="BA264" i="123"/>
  <c r="AV257" i="123"/>
  <c r="AZ292" i="123"/>
  <c r="AZ188" i="123"/>
  <c r="AW203" i="123"/>
  <c r="AS288" i="123"/>
  <c r="AT246" i="123"/>
  <c r="AS300" i="123"/>
  <c r="AY249" i="123"/>
  <c r="AU176" i="123"/>
  <c r="AU227" i="123"/>
  <c r="AX260" i="123"/>
  <c r="AY158" i="123"/>
  <c r="AS153" i="123"/>
  <c r="AY153" i="123"/>
  <c r="AU279" i="123"/>
  <c r="AS182" i="123"/>
  <c r="AU241" i="123"/>
  <c r="AU166" i="123"/>
  <c r="AW154" i="123"/>
  <c r="AX296" i="123"/>
  <c r="BA291" i="123"/>
  <c r="AV133" i="123"/>
  <c r="AS280" i="123"/>
  <c r="AV164" i="123"/>
  <c r="BB163" i="123"/>
  <c r="AS146" i="123"/>
  <c r="BA206" i="123"/>
  <c r="AZ138" i="123"/>
  <c r="AT163" i="123"/>
  <c r="AV170" i="123"/>
  <c r="AZ150" i="123"/>
  <c r="AU277" i="123"/>
  <c r="AT169" i="123"/>
  <c r="AU162" i="123"/>
  <c r="AS141" i="123"/>
  <c r="AW180" i="123"/>
  <c r="AZ252" i="123"/>
  <c r="AY177" i="123"/>
  <c r="AZ176" i="123"/>
  <c r="AX241" i="123"/>
  <c r="AS132" i="123"/>
  <c r="AS230" i="123"/>
  <c r="AW142" i="123"/>
  <c r="AZ166" i="123"/>
  <c r="AW244" i="123"/>
  <c r="BA203" i="123"/>
  <c r="AY173" i="123"/>
  <c r="AX157" i="123"/>
  <c r="AU164" i="123"/>
  <c r="AY245" i="123"/>
  <c r="AV277" i="123"/>
  <c r="AV174" i="123"/>
  <c r="AT151" i="123"/>
  <c r="AY131" i="123"/>
  <c r="AT158" i="123"/>
  <c r="BB286" i="123"/>
  <c r="AS145" i="123"/>
  <c r="BB292" i="123"/>
  <c r="AS267" i="123"/>
  <c r="AS275" i="123"/>
  <c r="AS299" i="123"/>
  <c r="AZ295" i="123"/>
  <c r="AZ165" i="123"/>
  <c r="BA172" i="123"/>
  <c r="AT209" i="123"/>
  <c r="AY230" i="123"/>
  <c r="BA295" i="123"/>
  <c r="AW164" i="123"/>
  <c r="BA270" i="123"/>
  <c r="AX132" i="123"/>
  <c r="BA283" i="123"/>
  <c r="AW233" i="123"/>
  <c r="BA243" i="123"/>
  <c r="AZ134" i="123"/>
  <c r="BA249" i="123"/>
  <c r="AT273" i="123"/>
  <c r="AW294" i="123"/>
  <c r="AS304" i="123"/>
  <c r="AY138" i="123"/>
  <c r="AU179" i="123"/>
  <c r="AV279" i="123"/>
  <c r="AY134" i="123"/>
  <c r="AW179" i="123"/>
  <c r="AU158" i="123"/>
  <c r="BB137" i="123"/>
  <c r="AW240" i="123"/>
  <c r="AX136" i="123"/>
  <c r="AZ245" i="123"/>
  <c r="BB259" i="123"/>
  <c r="AY176" i="123"/>
  <c r="BB297" i="123"/>
  <c r="AY159" i="123"/>
  <c r="AX186" i="123"/>
  <c r="AU140" i="123"/>
  <c r="AZ139" i="123"/>
  <c r="BB254" i="123"/>
  <c r="AW189" i="123"/>
  <c r="BB227" i="123"/>
  <c r="AV187" i="123"/>
  <c r="AU205" i="123"/>
  <c r="AV149" i="123"/>
  <c r="AY132" i="123"/>
  <c r="BB143" i="123"/>
  <c r="AV245" i="123"/>
  <c r="AT152" i="123"/>
  <c r="AY146" i="123"/>
  <c r="BA260" i="123"/>
  <c r="BA301" i="123"/>
  <c r="BA182" i="123"/>
  <c r="AX244" i="123"/>
  <c r="AU245" i="123"/>
  <c r="BB272" i="123"/>
  <c r="AS181" i="123"/>
  <c r="BB236" i="123"/>
  <c r="AZ229" i="123"/>
  <c r="AZ262" i="123"/>
  <c r="AX298" i="123"/>
  <c r="AZ174" i="123"/>
  <c r="AX163" i="123"/>
  <c r="AW277" i="123"/>
  <c r="BB290" i="123"/>
  <c r="AV145" i="123"/>
  <c r="BB247" i="123"/>
  <c r="AT200" i="123"/>
  <c r="AY239" i="123"/>
  <c r="BB149" i="123"/>
  <c r="BA170" i="123"/>
  <c r="AT280" i="123"/>
  <c r="AX146" i="123"/>
  <c r="AX216" i="123"/>
  <c r="BB258" i="123"/>
  <c r="AV238" i="123"/>
  <c r="BB178" i="123"/>
  <c r="AX131" i="123"/>
  <c r="AY187" i="123"/>
  <c r="AY182" i="123"/>
  <c r="AZ235" i="123"/>
  <c r="AW293" i="123"/>
  <c r="BA262" i="123"/>
  <c r="AV291" i="123"/>
  <c r="AU138" i="123"/>
  <c r="BA187" i="123"/>
  <c r="AY137" i="123"/>
  <c r="AW176" i="123"/>
  <c r="AU269" i="123"/>
  <c r="AX173" i="123"/>
  <c r="AW148" i="123"/>
  <c r="BA132" i="123"/>
  <c r="AT185" i="123"/>
  <c r="AW302" i="123"/>
  <c r="AW267" i="123"/>
  <c r="AV278" i="123"/>
  <c r="AW266" i="123"/>
  <c r="BB268" i="123"/>
  <c r="AT184" i="123"/>
  <c r="AT242" i="123"/>
  <c r="BA194" i="123"/>
  <c r="AW252" i="123"/>
  <c r="AV205" i="123"/>
  <c r="AW173" i="123"/>
  <c r="AT301" i="123"/>
  <c r="BA144" i="123"/>
  <c r="AX176" i="123"/>
  <c r="AU172" i="123"/>
  <c r="AT272" i="123"/>
  <c r="AY148" i="123"/>
  <c r="AX267" i="123"/>
  <c r="AX280" i="123"/>
  <c r="AV162" i="123"/>
  <c r="AT234" i="123"/>
  <c r="BA257" i="123"/>
  <c r="AY243" i="123"/>
  <c r="AZ297" i="123"/>
  <c r="AZ249" i="123"/>
  <c r="BB174" i="123"/>
  <c r="AU160" i="123"/>
  <c r="AY248" i="123"/>
  <c r="AT160" i="123"/>
  <c r="AU137" i="123"/>
  <c r="AZ248" i="123"/>
  <c r="AZ256" i="123"/>
  <c r="AY258" i="123"/>
  <c r="AU288" i="123"/>
  <c r="AX269" i="123"/>
  <c r="AY143" i="123"/>
  <c r="AU224" i="123"/>
  <c r="AV242" i="123"/>
  <c r="BB164" i="123"/>
  <c r="AW248" i="123"/>
  <c r="AV236" i="123"/>
  <c r="AU131" i="123"/>
  <c r="AX188" i="123"/>
  <c r="AT176" i="123"/>
  <c r="AX227" i="123"/>
  <c r="BA269" i="123"/>
  <c r="BB167" i="123"/>
  <c r="AZ294" i="123"/>
  <c r="AT267" i="123"/>
  <c r="AZ157" i="123"/>
  <c r="BB300" i="123"/>
  <c r="AT270" i="123"/>
  <c r="AS294" i="123"/>
  <c r="AZ246" i="123"/>
  <c r="AY292" i="123"/>
  <c r="BB229" i="123"/>
  <c r="BA228" i="123"/>
  <c r="AV271" i="123"/>
  <c r="AZ153" i="123"/>
  <c r="BB234" i="123"/>
  <c r="AS255" i="123"/>
  <c r="AX292" i="123"/>
  <c r="AT179" i="123"/>
  <c r="BB169" i="123"/>
  <c r="AT150" i="123"/>
  <c r="AS168" i="123"/>
  <c r="AX285" i="123"/>
  <c r="AZ133" i="123"/>
  <c r="AV141" i="123"/>
  <c r="AZ161" i="123"/>
  <c r="AU263" i="123"/>
  <c r="AX239" i="123"/>
  <c r="BA238" i="123"/>
  <c r="BB205" i="123"/>
  <c r="AT266" i="123"/>
  <c r="BB256" i="123"/>
  <c r="AU235" i="123"/>
  <c r="AT245" i="123"/>
  <c r="BB257" i="123"/>
  <c r="AW170" i="123"/>
  <c r="AU260" i="123"/>
  <c r="AV157" i="123"/>
  <c r="AZ287" i="123"/>
  <c r="AU285" i="123"/>
  <c r="AT287" i="123"/>
  <c r="AU280" i="123"/>
  <c r="AZ205" i="123"/>
  <c r="BB165" i="123"/>
  <c r="AT140" i="123"/>
  <c r="AS269" i="123"/>
  <c r="AZ169" i="123"/>
  <c r="AY253" i="123"/>
  <c r="AU233" i="123"/>
  <c r="AW184" i="123"/>
  <c r="AY147" i="123"/>
  <c r="AW275" i="123"/>
  <c r="AX160" i="123"/>
  <c r="AS296" i="123"/>
  <c r="AZ257" i="123"/>
  <c r="AW172" i="123"/>
  <c r="AV143" i="123"/>
  <c r="AW259" i="123"/>
  <c r="AV268" i="123"/>
  <c r="AS237" i="123"/>
  <c r="BB246" i="123"/>
  <c r="AS249" i="123"/>
  <c r="BB145" i="123"/>
  <c r="BB139" i="123"/>
  <c r="AY293" i="123"/>
  <c r="AV252" i="123"/>
  <c r="AW296" i="123"/>
  <c r="AT139" i="123"/>
  <c r="AZ299" i="123"/>
  <c r="AZ131" i="123"/>
  <c r="AW171" i="123"/>
  <c r="AY162" i="123"/>
  <c r="AX263" i="123"/>
  <c r="BB160" i="123"/>
  <c r="AS246" i="123"/>
  <c r="AU182" i="123"/>
  <c r="AU244" i="123"/>
  <c r="AY268" i="123"/>
  <c r="AV233" i="123"/>
  <c r="AT282" i="123"/>
  <c r="AY228" i="123"/>
  <c r="AV254" i="123"/>
  <c r="AZ168" i="123"/>
  <c r="BA131" i="123"/>
  <c r="BA265" i="123"/>
  <c r="AS216" i="123"/>
  <c r="BA153" i="123"/>
  <c r="AZ180" i="123"/>
  <c r="AT131" i="123"/>
  <c r="AW200" i="123"/>
  <c r="AV259" i="123"/>
  <c r="AS259" i="123"/>
  <c r="AS186" i="123"/>
  <c r="AX185" i="123"/>
  <c r="AU154" i="123"/>
  <c r="AY142" i="123"/>
  <c r="AX236" i="123"/>
  <c r="AS234" i="123"/>
  <c r="AX158" i="123"/>
  <c r="BB233" i="123"/>
  <c r="AS303" i="123"/>
  <c r="AT206" i="123"/>
  <c r="BA272" i="123"/>
  <c r="AX165" i="123"/>
  <c r="BB262" i="123"/>
  <c r="BA268" i="123"/>
  <c r="AW133" i="123"/>
  <c r="BB263" i="123"/>
  <c r="AS209" i="123"/>
  <c r="AY273" i="123"/>
  <c r="AV227" i="123"/>
  <c r="BA143" i="123"/>
  <c r="BB299" i="123"/>
  <c r="AX303" i="123"/>
  <c r="AU143" i="123"/>
  <c r="AZ304" i="123"/>
  <c r="AW216" i="123"/>
  <c r="BB159" i="123"/>
  <c r="AU304" i="123"/>
  <c r="AX288" i="123"/>
  <c r="AU171" i="123"/>
  <c r="AY181" i="123"/>
  <c r="AT263" i="123"/>
  <c r="BB249" i="123"/>
  <c r="AT248" i="123"/>
  <c r="AT167" i="123"/>
  <c r="AV237" i="123"/>
  <c r="AT303" i="123"/>
  <c r="AS179" i="123"/>
  <c r="AX284" i="123"/>
  <c r="AT243" i="123"/>
  <c r="AX150" i="123"/>
  <c r="AY291" i="123"/>
  <c r="AZ238" i="123"/>
  <c r="AS151" i="123"/>
  <c r="AT271" i="123"/>
  <c r="AS150" i="123"/>
  <c r="AX230" i="123"/>
  <c r="AY151" i="123"/>
  <c r="AV178" i="123"/>
  <c r="AV290" i="123"/>
  <c r="AS185" i="123"/>
  <c r="AW139" i="123"/>
  <c r="AW234" i="123"/>
  <c r="BA200" i="123"/>
  <c r="AW167" i="123"/>
  <c r="AS137" i="123"/>
  <c r="AV180" i="123"/>
  <c r="AW228" i="123"/>
  <c r="AT138" i="123"/>
  <c r="AY288" i="123"/>
  <c r="AU256" i="123"/>
  <c r="AV185" i="123"/>
  <c r="AY209" i="123"/>
  <c r="AY300" i="123"/>
  <c r="AY180" i="123"/>
  <c r="AZ244" i="123"/>
  <c r="AZ266" i="123"/>
  <c r="AS131" i="123"/>
  <c r="AS291" i="123"/>
  <c r="BB166" i="123"/>
  <c r="AS273" i="123"/>
  <c r="AV230" i="123"/>
  <c r="AY263" i="123"/>
  <c r="AV194" i="123"/>
  <c r="BA186" i="123"/>
  <c r="AW187" i="123"/>
  <c r="AU132" i="123"/>
  <c r="AX147" i="123"/>
  <c r="AT164" i="123"/>
  <c r="AY281" i="123"/>
  <c r="AZ279" i="123"/>
  <c r="AS200" i="123"/>
  <c r="AZ275" i="123"/>
  <c r="AZ173" i="123"/>
  <c r="AT227" i="123"/>
  <c r="AS272" i="123"/>
  <c r="AX256" i="123"/>
  <c r="AU253" i="123"/>
  <c r="BB133" i="123"/>
  <c r="AX182" i="123"/>
  <c r="AV244" i="123"/>
  <c r="AV184" i="123"/>
  <c r="AS167" i="123"/>
  <c r="AU300" i="123"/>
  <c r="AS245" i="123"/>
  <c r="AS149" i="123"/>
  <c r="AS289" i="123"/>
  <c r="AT228" i="123"/>
  <c r="BB279" i="123"/>
  <c r="AV269" i="123"/>
  <c r="AY163" i="123"/>
  <c r="AT269" i="123"/>
  <c r="BA189" i="123"/>
  <c r="AZ269" i="123"/>
  <c r="AW285" i="123"/>
  <c r="AW301" i="123"/>
  <c r="AY238" i="123"/>
  <c r="AV146" i="123"/>
  <c r="AW270" i="123"/>
  <c r="BA300" i="123"/>
  <c r="BB134" i="123"/>
  <c r="AS261" i="123"/>
  <c r="AT304" i="123"/>
  <c r="AV243" i="123"/>
  <c r="BA236" i="123"/>
  <c r="AX228" i="123"/>
  <c r="AZ290" i="123"/>
  <c r="AX246" i="123"/>
  <c r="BB284" i="123"/>
  <c r="AX144" i="123"/>
  <c r="AS295" i="123"/>
  <c r="AY250" i="123"/>
  <c r="AS152" i="123"/>
  <c r="AZ182" i="123"/>
  <c r="AY179" i="123"/>
  <c r="AY297" i="123"/>
  <c r="AW291" i="123"/>
  <c r="AS184" i="123"/>
  <c r="AZ206" i="123"/>
  <c r="AT145" i="123"/>
  <c r="AY157" i="123"/>
  <c r="AV304" i="123"/>
  <c r="AT260" i="123"/>
  <c r="BB243" i="123"/>
  <c r="BB241" i="123"/>
  <c r="AZ251" i="123"/>
  <c r="AX233" i="123"/>
  <c r="AW290" i="123"/>
  <c r="AZ242" i="123"/>
  <c r="BA248" i="123"/>
  <c r="AZ289" i="123"/>
  <c r="AT298" i="123"/>
  <c r="AV235" i="123"/>
  <c r="BB248" i="123"/>
  <c r="AT149" i="123"/>
  <c r="AU299" i="123"/>
  <c r="AZ151" i="123"/>
  <c r="AY161" i="123"/>
  <c r="AT253" i="123"/>
  <c r="BB265" i="123"/>
  <c r="AS250" i="123"/>
  <c r="AW265" i="123"/>
  <c r="AY257" i="123"/>
  <c r="AY145" i="123"/>
  <c r="AT187" i="123"/>
  <c r="AU188" i="123"/>
  <c r="AS281" i="123"/>
  <c r="AZ301" i="123"/>
  <c r="AY285" i="123"/>
  <c r="AT182" i="123"/>
  <c r="AY164" i="123"/>
  <c r="AW227" i="123"/>
  <c r="AU270" i="123"/>
  <c r="BB152" i="123"/>
  <c r="AX177" i="123"/>
  <c r="AU170" i="123"/>
  <c r="AW288" i="123"/>
  <c r="AW186" i="123"/>
  <c r="AS158" i="123"/>
  <c r="AS169" i="123"/>
  <c r="BA275" i="123"/>
  <c r="AU234" i="123"/>
  <c r="AX294" i="123"/>
  <c r="AU302" i="123"/>
  <c r="BA229" i="123"/>
  <c r="AV284" i="123"/>
  <c r="AW295" i="123"/>
  <c r="AW272" i="123"/>
  <c r="AX282" i="123"/>
  <c r="AU278" i="123"/>
  <c r="AZ181" i="123"/>
  <c r="AU294" i="123"/>
  <c r="AS283" i="123"/>
  <c r="AV280" i="123"/>
  <c r="AS229" i="123"/>
  <c r="AW273" i="123"/>
  <c r="AS136" i="123"/>
  <c r="AS165" i="123"/>
  <c r="AT257" i="123"/>
  <c r="AX304" i="123"/>
  <c r="AS138" i="123"/>
  <c r="AS266" i="123"/>
  <c r="AY170" i="123"/>
  <c r="AZ228" i="123"/>
  <c r="AS239" i="123"/>
  <c r="BB230" i="123"/>
  <c r="AS274" i="123"/>
  <c r="AY294" i="123"/>
  <c r="BA205" i="123"/>
  <c r="AZ162" i="123"/>
  <c r="AY259" i="123"/>
  <c r="AT229" i="123"/>
  <c r="AX259" i="123"/>
  <c r="AT165" i="123"/>
  <c r="AX151" i="123"/>
  <c r="AY200" i="123"/>
  <c r="AW303" i="123"/>
  <c r="AV163" i="123"/>
  <c r="BA239" i="123"/>
  <c r="AZ234" i="123"/>
  <c r="AU301" i="123"/>
  <c r="AZ233" i="123"/>
  <c r="AZ241" i="123"/>
  <c r="AU159" i="123"/>
  <c r="AU247" i="123"/>
  <c r="AS244" i="123"/>
  <c r="BB172" i="123"/>
  <c r="AY304" i="123"/>
  <c r="AV177" i="123"/>
  <c r="AW157" i="123"/>
  <c r="BB281" i="123"/>
  <c r="AX252" i="123"/>
  <c r="AX265" i="123"/>
  <c r="AS253" i="123"/>
  <c r="AT134" i="123"/>
  <c r="AY186" i="123"/>
  <c r="AW153" i="123"/>
  <c r="AT252" i="123"/>
  <c r="AU161" i="123"/>
  <c r="AU139" i="123"/>
  <c r="AV276" i="123"/>
  <c r="AW276" i="123"/>
  <c r="AZ236" i="123"/>
  <c r="AV160" i="123"/>
  <c r="BA235" i="123"/>
  <c r="AW268" i="123"/>
  <c r="AV253" i="123"/>
  <c r="AT137" i="123"/>
  <c r="AX293" i="123"/>
  <c r="AZ146" i="123"/>
  <c r="AU237" i="123"/>
  <c r="AV134" i="123"/>
  <c r="BA254" i="123"/>
  <c r="AT132" i="123"/>
  <c r="AT173" i="123"/>
  <c r="AX156" i="123"/>
  <c r="AX257" i="123"/>
  <c r="AY242" i="123"/>
  <c r="AU298" i="123"/>
  <c r="BA141" i="123"/>
  <c r="AW147" i="123"/>
  <c r="AY149" i="123"/>
  <c r="AX224" i="123"/>
  <c r="BB288" i="123"/>
  <c r="BA216" i="123"/>
  <c r="AV200" i="123"/>
  <c r="AU168" i="123"/>
  <c r="BA209" i="123"/>
  <c r="AY154" i="123"/>
  <c r="AU243" i="123"/>
  <c r="AY140" i="123"/>
  <c r="AZ142" i="123"/>
  <c r="AW281" i="123"/>
  <c r="AV248" i="123"/>
  <c r="AW138" i="123"/>
  <c r="BB131" i="123"/>
  <c r="AX286" i="123"/>
  <c r="AT146" i="123"/>
  <c r="AY296" i="123"/>
  <c r="BB278" i="123"/>
  <c r="BB170" i="123"/>
  <c r="AY295" i="123"/>
  <c r="AW144" i="123"/>
  <c r="AS147" i="123"/>
  <c r="BA247" i="123"/>
  <c r="AW134" i="123"/>
  <c r="BA303" i="123"/>
  <c r="BB184" i="123"/>
  <c r="AU141" i="123"/>
  <c r="AU216" i="123"/>
  <c r="AT241" i="123"/>
  <c r="AU134" i="123"/>
  <c r="AT265" i="123"/>
  <c r="AU261" i="123"/>
  <c r="AU177" i="123"/>
  <c r="AW254" i="123"/>
  <c r="AV161" i="123"/>
  <c r="BA151" i="123"/>
  <c r="BB245" i="123"/>
  <c r="AS298" i="123"/>
  <c r="AY254" i="123"/>
  <c r="AS254" i="123"/>
  <c r="BB150" i="123"/>
  <c r="AX229" i="123"/>
  <c r="BA161" i="123"/>
  <c r="AX272" i="123"/>
  <c r="AZ167" i="123"/>
  <c r="AY203" i="123"/>
  <c r="AY247" i="123"/>
  <c r="AV147" i="123"/>
  <c r="AW151" i="123"/>
  <c r="AV293" i="123"/>
  <c r="AS171" i="123"/>
  <c r="BA240" i="123"/>
  <c r="AW174" i="123"/>
  <c r="AX268" i="123"/>
  <c r="AW163" i="123"/>
  <c r="BA149" i="123"/>
  <c r="AX240" i="123"/>
  <c r="AW146" i="123"/>
  <c r="AT277" i="123"/>
  <c r="BB304" i="123"/>
  <c r="AZ185" i="123"/>
  <c r="BB274" i="123"/>
  <c r="AZ283" i="123"/>
  <c r="AY262" i="123"/>
  <c r="AX266" i="123"/>
  <c r="AS287" i="123"/>
  <c r="AS282" i="123"/>
  <c r="BB282" i="123"/>
  <c r="AU151" i="123"/>
  <c r="AV152" i="123"/>
  <c r="BA261" i="123"/>
  <c r="AV281" i="123"/>
  <c r="AV241" i="123"/>
  <c r="AU144" i="123"/>
  <c r="BB260" i="123"/>
  <c r="BB200" i="123"/>
  <c r="AV224" i="123"/>
  <c r="AY274" i="123"/>
  <c r="AS260" i="123"/>
  <c r="AV179" i="123"/>
  <c r="AX275" i="123"/>
  <c r="AV288" i="123"/>
  <c r="BB244" i="123"/>
  <c r="AT205" i="123"/>
  <c r="AS252" i="123"/>
  <c r="AZ278" i="123"/>
  <c r="BB238" i="123"/>
  <c r="AW166" i="123"/>
  <c r="AV283" i="123"/>
  <c r="BA299" i="123"/>
  <c r="BB302" i="123"/>
  <c r="AW145" i="123"/>
  <c r="AW160" i="123"/>
  <c r="AZ271" i="123"/>
  <c r="AY240" i="123"/>
  <c r="AX206" i="123"/>
  <c r="BB294" i="123"/>
  <c r="AY256" i="123"/>
  <c r="BA177" i="123"/>
  <c r="AU142" i="123"/>
  <c r="AV151" i="123"/>
  <c r="BB203" i="123"/>
  <c r="BA267" i="123"/>
  <c r="AX235" i="123"/>
  <c r="AY244" i="123"/>
  <c r="BB153" i="123"/>
  <c r="BA241" i="123"/>
  <c r="AV234" i="123"/>
  <c r="AZ261" i="123"/>
  <c r="AZ160" i="123"/>
  <c r="AU184" i="123"/>
  <c r="AY282" i="123"/>
  <c r="AW188" i="123"/>
  <c r="AU209" i="123"/>
  <c r="AX302" i="123"/>
  <c r="AS256" i="123"/>
  <c r="BA277" i="123"/>
  <c r="AU153" i="123"/>
  <c r="AV186" i="123"/>
  <c r="AV289" i="123"/>
  <c r="AW278" i="123"/>
  <c r="BA168" i="123"/>
  <c r="BA242" i="123"/>
  <c r="AX270" i="123"/>
  <c r="AT216" i="123"/>
  <c r="AS189" i="123"/>
  <c r="AZ285" i="123"/>
  <c r="AZ178" i="123"/>
  <c r="AT141" i="123"/>
  <c r="AT166" i="123"/>
  <c r="AV282" i="123"/>
  <c r="AT143" i="123"/>
  <c r="BA234" i="123"/>
  <c r="AS162" i="123"/>
  <c r="AT261" i="123"/>
  <c r="AT159" i="123"/>
  <c r="AW239" i="123"/>
  <c r="AS285" i="123"/>
  <c r="BA152" i="123"/>
  <c r="AZ239" i="123"/>
  <c r="BA165" i="123"/>
  <c r="AX149" i="123"/>
  <c r="BA136" i="123"/>
  <c r="AS286" i="123"/>
  <c r="AS301" i="123"/>
  <c r="AX205" i="123"/>
  <c r="AU257" i="123"/>
  <c r="AZ194" i="123"/>
  <c r="AZ281" i="123"/>
  <c r="AY174" i="123"/>
  <c r="AT278" i="123"/>
  <c r="AX174" i="123"/>
  <c r="AX289" i="123"/>
  <c r="AS166" i="123"/>
  <c r="AY269" i="123"/>
  <c r="AU259" i="123"/>
  <c r="AX253" i="123"/>
  <c r="AT286" i="123"/>
  <c r="BA166" i="123"/>
  <c r="AS187" i="123"/>
  <c r="AU200" i="123"/>
  <c r="AX143" i="123"/>
  <c r="AY160" i="123"/>
  <c r="AX171" i="123"/>
  <c r="BA259" i="123"/>
  <c r="AZ280" i="123"/>
  <c r="AY227" i="123"/>
  <c r="BB269" i="123"/>
  <c r="BA164" i="123"/>
  <c r="AT153" i="123"/>
  <c r="AW264" i="123"/>
  <c r="BB235" i="123"/>
  <c r="AZ270" i="123"/>
  <c r="AT230" i="123"/>
  <c r="AT258" i="123"/>
  <c r="BA146" i="123"/>
  <c r="AT148" i="123"/>
  <c r="BA287" i="123"/>
  <c r="AV299" i="123"/>
  <c r="AV264" i="123"/>
  <c r="AW260" i="123"/>
  <c r="AU292" i="123"/>
  <c r="AW243" i="123"/>
  <c r="AX274" i="123"/>
  <c r="AU157" i="123"/>
  <c r="AX279" i="123"/>
  <c r="AW245" i="123"/>
  <c r="AW256" i="123"/>
  <c r="AU163" i="123"/>
  <c r="BB275" i="123"/>
  <c r="AY261" i="123"/>
  <c r="AT244" i="123"/>
  <c r="AY276" i="123"/>
  <c r="AV132" i="123"/>
  <c r="BB182" i="123"/>
  <c r="AV148" i="123"/>
  <c r="AV228" i="123"/>
  <c r="AZ156" i="123"/>
  <c r="AX258" i="123"/>
  <c r="AX264" i="123"/>
  <c r="AY275" i="123"/>
  <c r="AS148" i="123"/>
  <c r="AY189" i="123"/>
  <c r="AZ186" i="123"/>
  <c r="AY264" i="123"/>
  <c r="AV173" i="123"/>
  <c r="AW140" i="123"/>
  <c r="AS235" i="123"/>
  <c r="AW287" i="123"/>
  <c r="AW131" i="123"/>
  <c r="AS143" i="123"/>
  <c r="AV166" i="123"/>
  <c r="AY265" i="123"/>
  <c r="AY171" i="123"/>
  <c r="AX273" i="123"/>
  <c r="AW209" i="123"/>
  <c r="AX242" i="123"/>
  <c r="AW251" i="123"/>
  <c r="BA237" i="123"/>
  <c r="AX271" i="123"/>
  <c r="BA173" i="123"/>
  <c r="AZ159" i="123"/>
  <c r="BA134" i="123"/>
  <c r="AY237" i="123"/>
  <c r="AV136" i="123"/>
  <c r="AV168" i="123"/>
  <c r="AU273" i="123"/>
  <c r="AV273" i="123"/>
  <c r="AV267" i="123"/>
  <c r="AS194" i="123"/>
  <c r="BA271" i="123"/>
  <c r="BB276" i="123"/>
  <c r="AS233" i="123"/>
  <c r="BA244" i="123"/>
  <c r="AU271" i="123"/>
  <c r="AT299" i="123"/>
  <c r="AZ302" i="123"/>
  <c r="AW257" i="123"/>
  <c r="AW304" i="123"/>
  <c r="AZ243" i="123"/>
  <c r="AT276" i="123"/>
  <c r="BA258" i="123"/>
  <c r="AW229" i="123"/>
  <c r="BB173" i="123"/>
  <c r="AS176" i="123"/>
  <c r="AY236" i="123"/>
  <c r="BA250" i="123"/>
  <c r="AX179" i="123"/>
  <c r="BB206" i="123"/>
  <c r="BA296" i="123"/>
  <c r="AY185" i="123"/>
  <c r="AS279" i="123"/>
  <c r="BB273" i="123"/>
  <c r="AY172" i="123"/>
  <c r="AX159" i="123"/>
  <c r="AX234" i="123"/>
  <c r="AW247" i="123"/>
  <c r="AT256" i="123"/>
  <c r="AZ152" i="123"/>
  <c r="AV286" i="123"/>
  <c r="BB141" i="123"/>
  <c r="AU249" i="123"/>
  <c r="AU156" i="123"/>
  <c r="AV250" i="123"/>
  <c r="AZ291" i="123"/>
  <c r="BB237" i="123"/>
  <c r="AT174" i="123"/>
  <c r="AS238" i="123"/>
  <c r="AT203" i="123"/>
  <c r="AZ203" i="123"/>
  <c r="AX178" i="123"/>
  <c r="BB147" i="123"/>
  <c r="AX133" i="123"/>
  <c r="AT289" i="123"/>
  <c r="BB261" i="123"/>
  <c r="AV285" i="123"/>
  <c r="AV302" i="123"/>
  <c r="AT274" i="123"/>
  <c r="AV171" i="123"/>
  <c r="AW253" i="123"/>
  <c r="AU286" i="123"/>
  <c r="AT251" i="123"/>
  <c r="AW194" i="123"/>
  <c r="AX251" i="123"/>
  <c r="AT279" i="123"/>
  <c r="BB179" i="123"/>
  <c r="AY286" i="123"/>
  <c r="AU228" i="123"/>
  <c r="BA246" i="123"/>
  <c r="AT262" i="123"/>
  <c r="AY241" i="123"/>
  <c r="AX301" i="123"/>
  <c r="AZ140" i="123"/>
  <c r="AZ260" i="123"/>
  <c r="AX154" i="123"/>
  <c r="AZ143" i="123"/>
  <c r="AS276" i="123"/>
  <c r="AY188" i="123"/>
  <c r="AV150" i="123"/>
  <c r="AT236" i="123"/>
  <c r="BB298" i="123"/>
  <c r="AZ259" i="123"/>
  <c r="AU181" i="123"/>
  <c r="BB162" i="123"/>
  <c r="AV301" i="123"/>
  <c r="AV300" i="123"/>
  <c r="AT254" i="123"/>
  <c r="AS224" i="123"/>
  <c r="AU169" i="123"/>
  <c r="AZ189" i="123"/>
  <c r="AS297" i="123"/>
  <c r="AU133" i="123"/>
  <c r="AY298" i="123"/>
  <c r="AV159" i="123"/>
  <c r="AY141" i="123"/>
  <c r="AX166" i="123"/>
  <c r="AX148" i="123"/>
  <c r="AW286" i="123"/>
  <c r="AS173" i="123"/>
  <c r="AZ255" i="123"/>
  <c r="BB157" i="123"/>
  <c r="AW152" i="123"/>
  <c r="AV167" i="123"/>
  <c r="AS144" i="123"/>
  <c r="BA145" i="123"/>
  <c r="BB253" i="123"/>
  <c r="AT154" i="123"/>
  <c r="AS292" i="123"/>
  <c r="AU152" i="123"/>
  <c r="AV165" i="123"/>
  <c r="AV272" i="123"/>
  <c r="AT235" i="123"/>
  <c r="AU149" i="123"/>
  <c r="AZ132" i="123"/>
  <c r="BB158" i="123"/>
  <c r="AS161" i="123"/>
  <c r="AZ237" i="123"/>
  <c r="AX140" i="123"/>
  <c r="AT302" i="123"/>
  <c r="AW250" i="123"/>
  <c r="AY150" i="123"/>
  <c r="BA154" i="123"/>
  <c r="BA282" i="123"/>
  <c r="AT281" i="123"/>
  <c r="BB239" i="123"/>
  <c r="AT283" i="123"/>
  <c r="AV229" i="123"/>
  <c r="AU290" i="123"/>
  <c r="BA157" i="123"/>
  <c r="BA253" i="123"/>
  <c r="AX250" i="123"/>
  <c r="AS242" i="123"/>
  <c r="AY165" i="123"/>
  <c r="AW289" i="123"/>
  <c r="AV295" i="123"/>
  <c r="BA263" i="123"/>
  <c r="AV137" i="123"/>
  <c r="AZ172" i="123"/>
  <c r="BA278" i="123"/>
  <c r="AU173" i="123"/>
  <c r="AX169" i="123"/>
  <c r="AU282" i="123"/>
  <c r="AS172" i="123"/>
  <c r="BA139" i="123"/>
  <c r="AU189" i="123"/>
  <c r="AU255" i="123"/>
  <c r="AV294" i="123"/>
  <c r="BB303" i="123"/>
  <c r="AX181" i="123"/>
  <c r="AX291" i="123"/>
  <c r="AW280" i="123"/>
  <c r="AT178" i="123"/>
  <c r="AY178" i="123"/>
  <c r="AX276" i="123"/>
  <c r="AX162" i="123"/>
  <c r="AV292" i="123"/>
  <c r="BB148" i="123"/>
  <c r="AW284" i="123"/>
  <c r="AV169" i="123"/>
  <c r="AX262" i="123"/>
  <c r="AT189" i="123"/>
  <c r="AT238" i="123"/>
  <c r="AV176" i="123"/>
  <c r="AT290" i="123"/>
  <c r="AU303" i="123"/>
  <c r="AT288" i="123"/>
  <c r="AZ148" i="123"/>
  <c r="BB146" i="123"/>
  <c r="AV261" i="123"/>
  <c r="AV131" i="123"/>
  <c r="AS134" i="123"/>
  <c r="AZ258" i="123"/>
  <c r="AZ137" i="123"/>
  <c r="AX243" i="123"/>
  <c r="BB138" i="123"/>
  <c r="BA169" i="123"/>
  <c r="AZ170" i="123"/>
  <c r="AT177" i="123"/>
  <c r="AW241" i="123"/>
  <c r="BA179" i="123"/>
  <c r="AU148" i="123"/>
  <c r="BB271" i="123"/>
  <c r="BA142" i="123"/>
  <c r="AT297" i="123"/>
  <c r="AW237" i="123"/>
  <c r="BB151" i="123"/>
  <c r="AV240" i="123"/>
  <c r="AY270" i="123"/>
  <c r="AW158" i="123"/>
  <c r="BB156" i="123"/>
  <c r="BB242" i="123"/>
  <c r="AT180" i="123"/>
  <c r="BA256" i="123"/>
  <c r="AS277" i="123"/>
  <c r="AW181" i="123"/>
  <c r="AU268" i="123"/>
  <c r="AW136" i="123"/>
  <c r="AY166" i="123"/>
  <c r="AW168" i="123"/>
  <c r="AX168" i="123"/>
  <c r="AW235" i="123"/>
  <c r="AZ187" i="123"/>
  <c r="AT224" i="123"/>
  <c r="AT171" i="123"/>
  <c r="AS159" i="123"/>
  <c r="AW137" i="123"/>
  <c r="AY280" i="123"/>
  <c r="AU239" i="123"/>
  <c r="BB295" i="123"/>
  <c r="AT268" i="123"/>
  <c r="AT296" i="123"/>
  <c r="AV206" i="123"/>
  <c r="AZ277" i="123"/>
  <c r="AZ164" i="123"/>
  <c r="AZ224" i="123"/>
  <c r="BA298" i="123"/>
  <c r="AT194" i="123"/>
  <c r="BB136" i="123"/>
  <c r="AT292" i="123"/>
  <c r="AW150" i="123"/>
  <c r="AV172" i="123"/>
  <c r="BA137" i="123"/>
  <c r="AS133" i="123"/>
  <c r="AU136" i="123"/>
  <c r="AX203" i="123"/>
  <c r="AW271" i="123"/>
  <c r="BB171" i="123"/>
  <c r="BA158" i="123"/>
  <c r="AY224" i="123"/>
  <c r="BA251" i="123"/>
  <c r="AS139" i="123"/>
  <c r="AY290" i="123"/>
  <c r="AW165" i="123"/>
  <c r="BA180" i="123"/>
  <c r="AW149" i="123"/>
  <c r="AS236" i="123"/>
  <c r="AV188" i="123"/>
  <c r="AX152" i="123"/>
  <c r="AW283" i="123"/>
  <c r="AX295" i="123"/>
  <c r="AX142" i="123"/>
  <c r="AT293" i="123"/>
  <c r="AW161" i="123"/>
  <c r="AT300" i="123"/>
  <c r="BB194" i="123"/>
  <c r="AV203" i="123"/>
  <c r="AV255" i="123"/>
  <c r="AY144" i="123"/>
  <c r="AZ171" i="123"/>
  <c r="BA273" i="123"/>
  <c r="AV287" i="123"/>
  <c r="AZ298" i="123"/>
  <c r="AZ288" i="123"/>
  <c r="AU281" i="123"/>
  <c r="BA156" i="123"/>
  <c r="AY283" i="123"/>
  <c r="AY169" i="123"/>
  <c r="AX194" i="123"/>
  <c r="AU203" i="123"/>
  <c r="AT157" i="123"/>
  <c r="AZ136" i="123"/>
  <c r="AZ247" i="123"/>
  <c r="BB189" i="123"/>
  <c r="AW159" i="123"/>
  <c r="AY216" i="123"/>
  <c r="AV158" i="123"/>
  <c r="AU248" i="123"/>
  <c r="AW297" i="123"/>
  <c r="AZ145" i="123"/>
  <c r="AT247" i="123"/>
  <c r="AU250" i="123"/>
  <c r="AS205" i="123"/>
  <c r="AW224" i="123"/>
  <c r="AZ276" i="123"/>
  <c r="AV216" i="123"/>
  <c r="AW274" i="123"/>
  <c r="BA147" i="123"/>
  <c r="AS140" i="123"/>
  <c r="AV189" i="123"/>
  <c r="AX187" i="123"/>
  <c r="BB252" i="123"/>
  <c r="AZ147" i="123"/>
  <c r="AV275" i="123"/>
  <c r="BB185" i="123"/>
  <c r="BB209" i="123"/>
  <c r="AY233" i="123"/>
  <c r="AY206" i="123"/>
  <c r="AW298" i="123"/>
  <c r="AZ209" i="123"/>
  <c r="BA284" i="123"/>
  <c r="AW263" i="123"/>
  <c r="AS247" i="123"/>
  <c r="AW238" i="123"/>
  <c r="AW299" i="123"/>
  <c r="BA274" i="123"/>
  <c r="AS178" i="123"/>
  <c r="AW269" i="123"/>
  <c r="BA286" i="123"/>
  <c r="BA280" i="123"/>
  <c r="AY260" i="123"/>
  <c r="AU165" i="123"/>
  <c r="BA281" i="123"/>
  <c r="AW169" i="123"/>
  <c r="AT156" i="123"/>
  <c r="BB251" i="123"/>
  <c r="AS278" i="123"/>
  <c r="AT161" i="123"/>
  <c r="AX290" i="123"/>
  <c r="AZ282" i="123"/>
  <c r="AT136" i="123"/>
  <c r="AY246" i="123"/>
  <c r="AV262" i="123"/>
  <c r="AU296" i="123"/>
  <c r="AW279" i="123"/>
  <c r="AS243" i="123"/>
  <c r="AU187" i="123"/>
  <c r="AU293" i="123"/>
  <c r="BB293" i="123"/>
  <c r="AZ263" i="123"/>
  <c r="AT239" i="123"/>
  <c r="BA227" i="123"/>
  <c r="AZ284" i="123"/>
  <c r="AV247" i="123"/>
  <c r="AS228" i="123"/>
  <c r="AU266" i="123"/>
  <c r="AW282" i="123"/>
  <c r="BA289" i="123"/>
  <c r="AV265" i="123"/>
  <c r="BA133" i="123"/>
  <c r="AY299" i="123"/>
  <c r="AU265" i="123"/>
  <c r="AV296" i="123"/>
  <c r="AT295" i="123"/>
  <c r="AU251" i="123"/>
  <c r="AX245" i="123"/>
  <c r="AZ300" i="123"/>
  <c r="AZ227" i="123"/>
  <c r="AT264" i="123"/>
  <c r="AU145" i="123"/>
  <c r="AY303" i="123"/>
  <c r="AT133" i="123"/>
  <c r="BB266" i="123"/>
  <c r="AT147" i="123"/>
  <c r="AX238" i="123"/>
  <c r="AV263" i="123"/>
  <c r="AZ286" i="123"/>
  <c r="AU174" i="123"/>
  <c r="AU206" i="123"/>
  <c r="AU274" i="123"/>
  <c r="BB301" i="123"/>
  <c r="AY235" i="123"/>
  <c r="AS262" i="123"/>
  <c r="AW230" i="123"/>
  <c r="BB291" i="123"/>
  <c r="AY302" i="123"/>
  <c r="AY184" i="123"/>
  <c r="AX153" i="123"/>
  <c r="AX283" i="123"/>
  <c r="AX172" i="123"/>
  <c r="BB180" i="123"/>
  <c r="BA266" i="123"/>
  <c r="AY168" i="123"/>
  <c r="AU238" i="123"/>
  <c r="AW143" i="123"/>
  <c r="AY279" i="123"/>
  <c r="BA288" i="123"/>
  <c r="AY278" i="123"/>
  <c r="AS157" i="123"/>
  <c r="AU236" i="123"/>
  <c r="AY152" i="123"/>
  <c r="AY136" i="123"/>
  <c r="AT250" i="123"/>
  <c r="AY301" i="123"/>
  <c r="AW255" i="123"/>
  <c r="AY266" i="123"/>
  <c r="AX167" i="123"/>
  <c r="AY205" i="123"/>
  <c r="AZ230" i="123"/>
  <c r="AU147" i="123"/>
  <c r="AU146" i="123"/>
  <c r="BA150" i="123"/>
  <c r="AZ273" i="123"/>
  <c r="AW249" i="123"/>
  <c r="AZ296" i="123"/>
  <c r="AT291" i="123"/>
  <c r="AU272" i="123"/>
  <c r="AS270" i="123"/>
  <c r="AW178" i="123"/>
  <c r="AY252" i="123"/>
  <c r="AW242" i="123"/>
  <c r="AY267" i="123"/>
  <c r="AW182" i="123"/>
  <c r="AX184" i="123"/>
  <c r="AX248" i="123"/>
  <c r="AU167" i="123"/>
  <c r="BB240" i="123"/>
  <c r="BB270" i="123"/>
  <c r="AX278" i="123"/>
  <c r="AY255" i="123"/>
  <c r="BA255" i="123"/>
  <c r="AY271" i="123"/>
  <c r="AS268" i="123"/>
  <c r="AX281" i="123"/>
  <c r="AU252" i="123"/>
  <c r="BB250" i="123"/>
  <c r="AU258" i="123"/>
  <c r="AU297" i="123"/>
  <c r="BB168" i="123"/>
  <c r="AT285" i="123"/>
  <c r="AZ265" i="123"/>
  <c r="BB285" i="123"/>
  <c r="AZ293" i="123"/>
  <c r="AU275" i="123"/>
  <c r="AT275" i="123"/>
  <c r="AX209" i="123"/>
  <c r="AY287" i="123"/>
  <c r="AV298" i="123"/>
  <c r="AY139" i="123"/>
  <c r="AU262" i="123"/>
  <c r="AS293" i="123"/>
  <c r="AU295" i="123"/>
  <c r="AS206" i="123"/>
  <c r="BB296" i="123"/>
  <c r="BA233" i="123"/>
  <c r="AS263" i="123"/>
  <c r="BB188" i="123"/>
  <c r="AT284" i="123"/>
  <c r="AS240" i="123"/>
  <c r="BB289" i="123"/>
  <c r="AX287" i="123"/>
  <c r="AV303" i="123"/>
  <c r="AZ268" i="123"/>
  <c r="BA302" i="123"/>
  <c r="AS257" i="123"/>
  <c r="AS290" i="123"/>
  <c r="AT188" i="123"/>
  <c r="AY194" i="123"/>
  <c r="AS302" i="123"/>
  <c r="DS66" i="93"/>
  <c r="IY166" i="1"/>
  <c r="IY169" i="1" s="1"/>
  <c r="KL168" i="1"/>
  <c r="KL18" i="1" s="1"/>
  <c r="GR97" i="123"/>
  <c r="GS122" i="123"/>
  <c r="GS125" i="123" s="1"/>
  <c r="Z231" i="123" l="1"/>
  <c r="CX231" i="123" s="1"/>
  <c r="Y231" i="123"/>
  <c r="Z214" i="123"/>
  <c r="CX214" i="123" s="1"/>
  <c r="Y214" i="123"/>
  <c r="Y210" i="123"/>
  <c r="Z210" i="123"/>
  <c r="CX210" i="123" s="1"/>
  <c r="Z211" i="123"/>
  <c r="CX211" i="123" s="1"/>
  <c r="Y211" i="123"/>
  <c r="Z213" i="123"/>
  <c r="CX213" i="123" s="1"/>
  <c r="Y213" i="123"/>
  <c r="Y221" i="123"/>
  <c r="Z221" i="123"/>
  <c r="Y218" i="123"/>
  <c r="Z218" i="123"/>
  <c r="CX218" i="123" s="1"/>
  <c r="Z222" i="123"/>
  <c r="Y222" i="123"/>
  <c r="Y220" i="123"/>
  <c r="Z220" i="123"/>
  <c r="CX220" i="123" s="1"/>
  <c r="Y219" i="123"/>
  <c r="Z219" i="123"/>
  <c r="CX219" i="123" s="1"/>
  <c r="Z223" i="123"/>
  <c r="Y223" i="123"/>
  <c r="Z217" i="123"/>
  <c r="CX217" i="123" s="1"/>
  <c r="Y217" i="123"/>
  <c r="Z215" i="123"/>
  <c r="D60" i="98" s="1"/>
  <c r="Y215" i="123"/>
  <c r="E60" i="98" s="1"/>
  <c r="Z212" i="123"/>
  <c r="Y212" i="123"/>
  <c r="E55" i="98" s="1"/>
  <c r="Z224" i="123"/>
  <c r="CX224" i="123" s="1"/>
  <c r="Y224" i="123"/>
  <c r="Z216" i="123"/>
  <c r="Y216" i="123"/>
  <c r="E59" i="98" s="1"/>
  <c r="Z207" i="123"/>
  <c r="CX207" i="123" s="1"/>
  <c r="Z198" i="123"/>
  <c r="CX198" i="123" s="1"/>
  <c r="Z155" i="123"/>
  <c r="CX155" i="123" s="1"/>
  <c r="Y197" i="123"/>
  <c r="Y190" i="123"/>
  <c r="Y183" i="123"/>
  <c r="Y202" i="123"/>
  <c r="Y196" i="123"/>
  <c r="Y199" i="123"/>
  <c r="Y208" i="123"/>
  <c r="Z175" i="123"/>
  <c r="CX175" i="123" s="1"/>
  <c r="Y135" i="123"/>
  <c r="Z197" i="123"/>
  <c r="CX197" i="123" s="1"/>
  <c r="Z183" i="123"/>
  <c r="CX183" i="123" s="1"/>
  <c r="Z226" i="123"/>
  <c r="CX226" i="123" s="1"/>
  <c r="Z191" i="123"/>
  <c r="CX191" i="123" s="1"/>
  <c r="Z190" i="123"/>
  <c r="CX190" i="123" s="1"/>
  <c r="Z192" i="123"/>
  <c r="CX192" i="123" s="1"/>
  <c r="Z199" i="123"/>
  <c r="CX199" i="123" s="1"/>
  <c r="Z135" i="123"/>
  <c r="CX135" i="123" s="1"/>
  <c r="Z204" i="123"/>
  <c r="CX204" i="123" s="1"/>
  <c r="Y226" i="123"/>
  <c r="Y207" i="123"/>
  <c r="Z129" i="123"/>
  <c r="CX129" i="123" s="1"/>
  <c r="Y192" i="123"/>
  <c r="Y155" i="123"/>
  <c r="Y191" i="123"/>
  <c r="Z201" i="123"/>
  <c r="CX201" i="123" s="1"/>
  <c r="Y175" i="123"/>
  <c r="Y204" i="123"/>
  <c r="Z208" i="123"/>
  <c r="CX208" i="123" s="1"/>
  <c r="Y195" i="123"/>
  <c r="Y232" i="123"/>
  <c r="Z225" i="123"/>
  <c r="CX225" i="123" s="1"/>
  <c r="Y193" i="123"/>
  <c r="Z196" i="123"/>
  <c r="CX196" i="123" s="1"/>
  <c r="Z193" i="123"/>
  <c r="CX193" i="123" s="1"/>
  <c r="Y129" i="123"/>
  <c r="Z202" i="123"/>
  <c r="Y225" i="123"/>
  <c r="Z130" i="123"/>
  <c r="CX130" i="123" s="1"/>
  <c r="Y198" i="123"/>
  <c r="Z195" i="123"/>
  <c r="CX195" i="123" s="1"/>
  <c r="Y201" i="123"/>
  <c r="Z232" i="123"/>
  <c r="CX232" i="123" s="1"/>
  <c r="Y130" i="123"/>
  <c r="IZ166" i="1"/>
  <c r="IZ169" i="1" s="1"/>
  <c r="KM168" i="1"/>
  <c r="KM18" i="1" s="1"/>
  <c r="GS97" i="123"/>
  <c r="GT122" i="123"/>
  <c r="GT125" i="123" s="1"/>
  <c r="AL211" i="123" l="1"/>
  <c r="DZ211" i="123" s="1"/>
  <c r="AB211" i="123"/>
  <c r="AB214" i="123"/>
  <c r="DH214" i="123" s="1"/>
  <c r="DI214" i="123" s="1"/>
  <c r="AL214" i="123"/>
  <c r="DZ214" i="123" s="1"/>
  <c r="AB210" i="123"/>
  <c r="AL210" i="123"/>
  <c r="DZ210" i="123" s="1"/>
  <c r="DH210" i="123"/>
  <c r="DI210" i="123" s="1"/>
  <c r="AB231" i="123"/>
  <c r="S231" i="123" s="1"/>
  <c r="DQ231" i="123" s="1"/>
  <c r="AL231" i="123"/>
  <c r="DZ231" i="123" s="1"/>
  <c r="AL213" i="123"/>
  <c r="DZ213" i="123" s="1"/>
  <c r="AB213" i="123"/>
  <c r="E62" i="98"/>
  <c r="E61" i="98"/>
  <c r="E57" i="98"/>
  <c r="CX223" i="123"/>
  <c r="AL223" i="123" s="1"/>
  <c r="DZ223" i="123" s="1"/>
  <c r="D62" i="98"/>
  <c r="CX221" i="123"/>
  <c r="AL221" i="123" s="1"/>
  <c r="DZ221" i="123" s="1"/>
  <c r="D57" i="98"/>
  <c r="CX222" i="123"/>
  <c r="AB222" i="123" s="1"/>
  <c r="DH222" i="123" s="1"/>
  <c r="DI222" i="123" s="1"/>
  <c r="D61" i="98"/>
  <c r="AL220" i="123"/>
  <c r="DZ220" i="123" s="1"/>
  <c r="AB220" i="123"/>
  <c r="S220" i="123" s="1"/>
  <c r="DQ220" i="123" s="1"/>
  <c r="AL218" i="123"/>
  <c r="DZ218" i="123" s="1"/>
  <c r="AB218" i="123"/>
  <c r="J17" i="98" s="1"/>
  <c r="J30" i="98" s="1"/>
  <c r="AL219" i="123"/>
  <c r="DZ219" i="123" s="1"/>
  <c r="AB219" i="123"/>
  <c r="S219" i="123" s="1"/>
  <c r="DQ219" i="123" s="1"/>
  <c r="AL217" i="123"/>
  <c r="DZ217" i="123" s="1"/>
  <c r="AB217" i="123"/>
  <c r="I38" i="93"/>
  <c r="E58" i="98"/>
  <c r="CX216" i="123"/>
  <c r="AL216" i="123" s="1"/>
  <c r="DZ216" i="123" s="1"/>
  <c r="D59" i="98"/>
  <c r="CX212" i="123"/>
  <c r="D55" i="98"/>
  <c r="CX215" i="123"/>
  <c r="AL215" i="123" s="1"/>
  <c r="DZ215" i="123" s="1"/>
  <c r="D58" i="98"/>
  <c r="AL201" i="123"/>
  <c r="DZ201" i="123" s="1"/>
  <c r="AB201" i="123"/>
  <c r="DK201" i="123" s="1"/>
  <c r="D36" i="98"/>
  <c r="CX202" i="123"/>
  <c r="AL199" i="123"/>
  <c r="DZ199" i="123" s="1"/>
  <c r="AB199" i="123"/>
  <c r="I48" i="93" s="1"/>
  <c r="AL226" i="123"/>
  <c r="DZ226" i="123" s="1"/>
  <c r="AB226" i="123"/>
  <c r="DK226" i="123" s="1"/>
  <c r="AL155" i="123"/>
  <c r="DZ155" i="123" s="1"/>
  <c r="AB155" i="123"/>
  <c r="DK155" i="123" s="1"/>
  <c r="AL192" i="123"/>
  <c r="DZ192" i="123" s="1"/>
  <c r="AB192" i="123"/>
  <c r="AL183" i="123"/>
  <c r="DZ183" i="123" s="1"/>
  <c r="AB183" i="123"/>
  <c r="DK183" i="123" s="1"/>
  <c r="AL198" i="123"/>
  <c r="DZ198" i="123" s="1"/>
  <c r="AB198" i="123"/>
  <c r="AL232" i="123"/>
  <c r="DZ232" i="123" s="1"/>
  <c r="AB232" i="123"/>
  <c r="DK232" i="123" s="1"/>
  <c r="AL130" i="123"/>
  <c r="DZ130" i="123" s="1"/>
  <c r="AB130" i="123"/>
  <c r="DK130" i="123" s="1"/>
  <c r="AL193" i="123"/>
  <c r="DZ193" i="123" s="1"/>
  <c r="AB193" i="123"/>
  <c r="I49" i="93" s="1"/>
  <c r="AL204" i="123"/>
  <c r="DZ204" i="123" s="1"/>
  <c r="AB204" i="123"/>
  <c r="DK204" i="123" s="1"/>
  <c r="AL190" i="123"/>
  <c r="DZ190" i="123" s="1"/>
  <c r="AB190" i="123"/>
  <c r="DK190" i="123" s="1"/>
  <c r="AL197" i="123"/>
  <c r="DZ197" i="123" s="1"/>
  <c r="AB197" i="123"/>
  <c r="AL207" i="123"/>
  <c r="DZ207" i="123" s="1"/>
  <c r="AB207" i="123"/>
  <c r="DK207" i="123" s="1"/>
  <c r="AL195" i="123"/>
  <c r="DZ195" i="123" s="1"/>
  <c r="AB195" i="123"/>
  <c r="DK195" i="123" s="1"/>
  <c r="AL175" i="123"/>
  <c r="DZ175" i="123" s="1"/>
  <c r="AB175" i="123"/>
  <c r="DK175" i="123" s="1"/>
  <c r="AL196" i="123"/>
  <c r="DZ196" i="123" s="1"/>
  <c r="AB196" i="123"/>
  <c r="AL129" i="123"/>
  <c r="DZ129" i="123" s="1"/>
  <c r="AB129" i="123"/>
  <c r="AL135" i="123"/>
  <c r="DZ135" i="123" s="1"/>
  <c r="AB135" i="123"/>
  <c r="DK135" i="123" s="1"/>
  <c r="AL191" i="123"/>
  <c r="DZ191" i="123" s="1"/>
  <c r="AB191" i="123"/>
  <c r="DK191" i="123" s="1"/>
  <c r="AL208" i="123"/>
  <c r="DZ208" i="123" s="1"/>
  <c r="AB208" i="123"/>
  <c r="I52" i="93" s="1"/>
  <c r="AL225" i="123"/>
  <c r="DZ225" i="123" s="1"/>
  <c r="AB225" i="123"/>
  <c r="DK225" i="123" s="1"/>
  <c r="AB224" i="123"/>
  <c r="AL224" i="123"/>
  <c r="DZ224" i="123" s="1"/>
  <c r="E36" i="98"/>
  <c r="E34" i="98"/>
  <c r="D34" i="98"/>
  <c r="E35" i="98"/>
  <c r="D35" i="98"/>
  <c r="JA166" i="1"/>
  <c r="JA169" i="1" s="1"/>
  <c r="KN168" i="1"/>
  <c r="KN18" i="1" s="1"/>
  <c r="GT97" i="123"/>
  <c r="GU122" i="123"/>
  <c r="GU125" i="123" s="1"/>
  <c r="AB223" i="123" l="1"/>
  <c r="DH223" i="123" s="1"/>
  <c r="DI223" i="123" s="1"/>
  <c r="DH231" i="123"/>
  <c r="DI231" i="123" s="1"/>
  <c r="DK214" i="123"/>
  <c r="DL214" i="123"/>
  <c r="S214" i="123"/>
  <c r="DQ214" i="123" s="1"/>
  <c r="DL231" i="123"/>
  <c r="DK231" i="123"/>
  <c r="DL211" i="123"/>
  <c r="DK211" i="123"/>
  <c r="DH211" i="123"/>
  <c r="DI211" i="123" s="1"/>
  <c r="DL210" i="123"/>
  <c r="DK210" i="123"/>
  <c r="S211" i="123"/>
  <c r="DQ211" i="123" s="1"/>
  <c r="AL222" i="123"/>
  <c r="DZ222" i="123" s="1"/>
  <c r="I47" i="93"/>
  <c r="J54" i="98"/>
  <c r="DK213" i="123"/>
  <c r="DL213" i="123"/>
  <c r="DH213" i="123"/>
  <c r="DI213" i="123" s="1"/>
  <c r="S213" i="123"/>
  <c r="DQ213" i="123" s="1"/>
  <c r="DH220" i="123"/>
  <c r="DI220" i="123" s="1"/>
  <c r="DH219" i="123"/>
  <c r="DI219" i="123" s="1"/>
  <c r="DH218" i="123"/>
  <c r="DI218" i="123" s="1"/>
  <c r="AB221" i="123"/>
  <c r="DK221" i="123" s="1"/>
  <c r="S218" i="123"/>
  <c r="DQ218" i="123" s="1"/>
  <c r="I32" i="93"/>
  <c r="J61" i="98"/>
  <c r="DK219" i="123"/>
  <c r="DL219" i="123"/>
  <c r="DL218" i="123"/>
  <c r="DK218" i="123"/>
  <c r="DL222" i="123"/>
  <c r="DK222" i="123"/>
  <c r="DL220" i="123"/>
  <c r="DK220" i="123"/>
  <c r="S222" i="123"/>
  <c r="DQ222" i="123" s="1"/>
  <c r="DK217" i="123"/>
  <c r="DL217" i="123"/>
  <c r="DK223" i="123"/>
  <c r="S217" i="123"/>
  <c r="U212" i="123"/>
  <c r="AB215" i="123"/>
  <c r="AB216" i="123"/>
  <c r="J59" i="98" s="1"/>
  <c r="DK129" i="123"/>
  <c r="AA216" i="123"/>
  <c r="AL212" i="123"/>
  <c r="DZ212" i="123" s="1"/>
  <c r="AB212" i="123"/>
  <c r="I30" i="93" s="1"/>
  <c r="BW215" i="123"/>
  <c r="T215" i="123" s="1"/>
  <c r="B60" i="98" s="1"/>
  <c r="AA191" i="123"/>
  <c r="DH191" i="123" s="1"/>
  <c r="DI191" i="123" s="1"/>
  <c r="V191" i="123"/>
  <c r="AA135" i="123"/>
  <c r="DH135" i="123" s="1"/>
  <c r="DI135" i="123" s="1"/>
  <c r="V135" i="123"/>
  <c r="AA129" i="123"/>
  <c r="DH129" i="123" s="1"/>
  <c r="DI129" i="123" s="1"/>
  <c r="V129" i="123"/>
  <c r="AA196" i="123"/>
  <c r="T196" i="123"/>
  <c r="B54" i="98" s="1"/>
  <c r="U196" i="123"/>
  <c r="C54" i="98" s="1"/>
  <c r="X196" i="123"/>
  <c r="AA197" i="123"/>
  <c r="U197" i="123"/>
  <c r="T197" i="123"/>
  <c r="X197" i="123"/>
  <c r="AA190" i="123"/>
  <c r="DH190" i="123" s="1"/>
  <c r="DI190" i="123" s="1"/>
  <c r="V190" i="123"/>
  <c r="AA204" i="123"/>
  <c r="DH204" i="123" s="1"/>
  <c r="DI204" i="123" s="1"/>
  <c r="V204" i="123"/>
  <c r="J34" i="98"/>
  <c r="AA224" i="123"/>
  <c r="U224" i="123"/>
  <c r="T224" i="123"/>
  <c r="X224" i="123"/>
  <c r="AA225" i="123"/>
  <c r="DH225" i="123" s="1"/>
  <c r="DI225" i="123" s="1"/>
  <c r="V225" i="123"/>
  <c r="AA175" i="123"/>
  <c r="DH175" i="123" s="1"/>
  <c r="DI175" i="123" s="1"/>
  <c r="V175" i="123"/>
  <c r="AA193" i="123"/>
  <c r="H49" i="93" s="1"/>
  <c r="X193" i="123"/>
  <c r="U193" i="123"/>
  <c r="T193" i="123"/>
  <c r="AA130" i="123"/>
  <c r="DH130" i="123" s="1"/>
  <c r="DI130" i="123" s="1"/>
  <c r="V130" i="123"/>
  <c r="AA232" i="123"/>
  <c r="DP232" i="123" s="1"/>
  <c r="V232" i="123"/>
  <c r="S232" i="123" s="1"/>
  <c r="AA198" i="123"/>
  <c r="U198" i="123"/>
  <c r="T198" i="123"/>
  <c r="X198" i="123"/>
  <c r="AL202" i="123"/>
  <c r="DZ202" i="123" s="1"/>
  <c r="AB202" i="123"/>
  <c r="I46" i="93" s="1"/>
  <c r="AA201" i="123"/>
  <c r="DH201" i="123" s="1"/>
  <c r="DI201" i="123" s="1"/>
  <c r="V201" i="123"/>
  <c r="AA208" i="123"/>
  <c r="H52" i="93" s="1"/>
  <c r="U208" i="123"/>
  <c r="X208" i="123"/>
  <c r="R207" i="123"/>
  <c r="T208" i="123"/>
  <c r="J35" i="98"/>
  <c r="AA195" i="123"/>
  <c r="DH195" i="123" s="1"/>
  <c r="DI195" i="123" s="1"/>
  <c r="V195" i="123"/>
  <c r="AA183" i="123"/>
  <c r="DH183" i="123" s="1"/>
  <c r="DI183" i="123" s="1"/>
  <c r="V183" i="123"/>
  <c r="AA192" i="123"/>
  <c r="U192" i="123"/>
  <c r="X192" i="123"/>
  <c r="DH192" i="123" s="1"/>
  <c r="DI192" i="123" s="1"/>
  <c r="T192" i="123"/>
  <c r="R191" i="123" s="1"/>
  <c r="AA207" i="123"/>
  <c r="DH207" i="123" s="1"/>
  <c r="DI207" i="123" s="1"/>
  <c r="V207" i="123"/>
  <c r="AA155" i="123"/>
  <c r="DH155" i="123" s="1"/>
  <c r="DI155" i="123" s="1"/>
  <c r="V155" i="123"/>
  <c r="AA226" i="123"/>
  <c r="DH226" i="123" s="1"/>
  <c r="DI226" i="123" s="1"/>
  <c r="V226" i="123"/>
  <c r="AA199" i="123"/>
  <c r="H48" i="93" s="1"/>
  <c r="X199" i="123"/>
  <c r="DH199" i="123" s="1"/>
  <c r="DI199" i="123" s="1"/>
  <c r="T199" i="123"/>
  <c r="U199" i="123"/>
  <c r="JB166" i="1"/>
  <c r="JB169" i="1" s="1"/>
  <c r="KO168" i="1"/>
  <c r="KO18" i="1" s="1"/>
  <c r="GU97" i="123"/>
  <c r="GV122" i="123"/>
  <c r="GV125" i="123" s="1"/>
  <c r="DL223" i="123" l="1"/>
  <c r="S223" i="123"/>
  <c r="DQ223" i="123" s="1"/>
  <c r="DH193" i="123"/>
  <c r="DI193" i="123" s="1"/>
  <c r="DH232" i="123"/>
  <c r="DI232" i="123" s="1"/>
  <c r="H47" i="93"/>
  <c r="DH198" i="123"/>
  <c r="DI198" i="123" s="1"/>
  <c r="DH224" i="123"/>
  <c r="DI224" i="123" s="1"/>
  <c r="DH208" i="123"/>
  <c r="DI208" i="123" s="1"/>
  <c r="DQ232" i="123"/>
  <c r="DH197" i="123"/>
  <c r="DI197" i="123" s="1"/>
  <c r="DH196" i="123"/>
  <c r="DI196" i="123" s="1"/>
  <c r="DL221" i="123"/>
  <c r="DH221" i="123"/>
  <c r="DI221" i="123" s="1"/>
  <c r="J57" i="98"/>
  <c r="S221" i="123"/>
  <c r="DQ221" i="123" s="1"/>
  <c r="I41" i="93"/>
  <c r="J60" i="98"/>
  <c r="T212" i="123"/>
  <c r="V212" i="123" s="1"/>
  <c r="S212" i="123" s="1"/>
  <c r="J55" i="98"/>
  <c r="AA212" i="123"/>
  <c r="H30" i="93" s="1"/>
  <c r="X212" i="123"/>
  <c r="DH212" i="123" s="1"/>
  <c r="DI212" i="123" s="1"/>
  <c r="T216" i="123"/>
  <c r="U216" i="123"/>
  <c r="C59" i="98" s="1"/>
  <c r="AA215" i="123"/>
  <c r="U215" i="123"/>
  <c r="CB142" i="130"/>
  <c r="C55" i="98"/>
  <c r="V215" i="123"/>
  <c r="I60" i="98" s="1"/>
  <c r="DP196" i="123"/>
  <c r="DP198" i="123"/>
  <c r="DP199" i="123"/>
  <c r="DP192" i="123"/>
  <c r="W192" i="123"/>
  <c r="DP208" i="123"/>
  <c r="DP207" i="123" s="1"/>
  <c r="W208" i="123"/>
  <c r="DP193" i="123"/>
  <c r="W193" i="123"/>
  <c r="DP197" i="123"/>
  <c r="DK196" i="123"/>
  <c r="V196" i="123"/>
  <c r="R196" i="123"/>
  <c r="B35" i="98"/>
  <c r="EA196" i="123"/>
  <c r="C34" i="98"/>
  <c r="AB124" i="123"/>
  <c r="J36" i="98"/>
  <c r="DK197" i="123"/>
  <c r="V197" i="123"/>
  <c r="S197" i="123" s="1"/>
  <c r="R197" i="123"/>
  <c r="EA197" i="123"/>
  <c r="R195" i="123"/>
  <c r="V208" i="123"/>
  <c r="S208" i="123" s="1"/>
  <c r="S207" i="123" s="1"/>
  <c r="R208" i="123"/>
  <c r="DK208" i="123"/>
  <c r="EA208" i="123"/>
  <c r="DK198" i="123"/>
  <c r="R198" i="123"/>
  <c r="V198" i="123"/>
  <c r="S198" i="123" s="1"/>
  <c r="EA198" i="123"/>
  <c r="V193" i="123"/>
  <c r="S193" i="123" s="1"/>
  <c r="DK193" i="123"/>
  <c r="R193" i="123"/>
  <c r="EA193" i="123"/>
  <c r="DP224" i="123"/>
  <c r="W224" i="123"/>
  <c r="V199" i="123"/>
  <c r="S199" i="123" s="1"/>
  <c r="DK199" i="123"/>
  <c r="R199" i="123"/>
  <c r="EA199" i="123"/>
  <c r="V192" i="123"/>
  <c r="S192" i="123" s="1"/>
  <c r="DK192" i="123"/>
  <c r="R192" i="123"/>
  <c r="EA192" i="123"/>
  <c r="B34" i="98"/>
  <c r="AA202" i="123"/>
  <c r="U202" i="123"/>
  <c r="C36" i="98" s="1"/>
  <c r="T202" i="123"/>
  <c r="R201" i="123" s="1"/>
  <c r="X202" i="123"/>
  <c r="V224" i="123"/>
  <c r="S224" i="123" s="1"/>
  <c r="EA224" i="123"/>
  <c r="R224" i="123"/>
  <c r="DL224" i="123"/>
  <c r="DK224" i="123"/>
  <c r="C35" i="98"/>
  <c r="JC166" i="1"/>
  <c r="JC169" i="1" s="1"/>
  <c r="KP168" i="1"/>
  <c r="KP18" i="1" s="1"/>
  <c r="GV97" i="123"/>
  <c r="GW122" i="123"/>
  <c r="GW125" i="123" s="1"/>
  <c r="GX122" i="123"/>
  <c r="GX125" i="123" s="1"/>
  <c r="DH202" i="123" l="1"/>
  <c r="DI202" i="123" s="1"/>
  <c r="CC69" i="130"/>
  <c r="H46" i="93"/>
  <c r="S196" i="123"/>
  <c r="I54" i="98"/>
  <c r="B59" i="98"/>
  <c r="CB140" i="130"/>
  <c r="C60" i="98"/>
  <c r="W212" i="123"/>
  <c r="G55" i="98" s="1"/>
  <c r="DL212" i="123"/>
  <c r="B55" i="98"/>
  <c r="R212" i="123"/>
  <c r="EA212" i="123"/>
  <c r="DK212" i="123"/>
  <c r="S191" i="123"/>
  <c r="S215" i="123"/>
  <c r="S195" i="123"/>
  <c r="DP212" i="123"/>
  <c r="DQ212" i="123" s="1"/>
  <c r="DQ197" i="123"/>
  <c r="EA216" i="123"/>
  <c r="R210" i="123"/>
  <c r="DK216" i="123"/>
  <c r="V216" i="123"/>
  <c r="R216" i="123"/>
  <c r="DL216" i="123"/>
  <c r="DL215" i="123"/>
  <c r="G34" i="98"/>
  <c r="EA215" i="123"/>
  <c r="DK215" i="123"/>
  <c r="R215" i="123"/>
  <c r="S124" i="123"/>
  <c r="I55" i="98"/>
  <c r="DP195" i="123"/>
  <c r="DQ198" i="123"/>
  <c r="DQ193" i="123"/>
  <c r="DP191" i="123"/>
  <c r="DQ208" i="123"/>
  <c r="DQ207" i="123" s="1"/>
  <c r="DQ199" i="123"/>
  <c r="DQ224" i="123"/>
  <c r="DP202" i="123"/>
  <c r="I34" i="98"/>
  <c r="V202" i="123"/>
  <c r="S202" i="123" s="1"/>
  <c r="S201" i="123" s="1"/>
  <c r="DK202" i="123"/>
  <c r="R202" i="123"/>
  <c r="B36" i="98"/>
  <c r="EA202" i="123"/>
  <c r="I35" i="98"/>
  <c r="KQ168" i="1"/>
  <c r="KQ18" i="1" s="1"/>
  <c r="GW97" i="123"/>
  <c r="GY122" i="123"/>
  <c r="GY125" i="123" s="1"/>
  <c r="JD166" i="1"/>
  <c r="JD169" i="1" s="1"/>
  <c r="I59" i="98" l="1"/>
  <c r="S216" i="123"/>
  <c r="S210" i="123" s="1"/>
  <c r="DP201" i="123"/>
  <c r="DQ196" i="123"/>
  <c r="DQ195" i="123" s="1"/>
  <c r="I36" i="98"/>
  <c r="DQ192" i="123"/>
  <c r="DQ191" i="123" s="1"/>
  <c r="KR168" i="1"/>
  <c r="KR18" i="1" s="1"/>
  <c r="GX97" i="123"/>
  <c r="DQ202" i="123" l="1"/>
  <c r="DQ201" i="123" s="1"/>
  <c r="JF166" i="1"/>
  <c r="JF169" i="1" s="1"/>
  <c r="JE166" i="1"/>
  <c r="JE169" i="1" s="1"/>
  <c r="KS168" i="1"/>
  <c r="KS18" i="1" s="1"/>
  <c r="GY97" i="123"/>
  <c r="GZ122" i="123"/>
  <c r="GZ125" i="123" s="1"/>
  <c r="AE174" i="1"/>
  <c r="AE175" i="1"/>
  <c r="AE176" i="1"/>
  <c r="AE180" i="1"/>
  <c r="AE181" i="1"/>
  <c r="AE182" i="1"/>
  <c r="AE185" i="1"/>
  <c r="AE186" i="1"/>
  <c r="AE187" i="1"/>
  <c r="AE189" i="1"/>
  <c r="AE190" i="1"/>
  <c r="AE193" i="1"/>
  <c r="AE194" i="1"/>
  <c r="AE195" i="1"/>
  <c r="AE197" i="1"/>
  <c r="AE198" i="1"/>
  <c r="AE200" i="1"/>
  <c r="AE201" i="1"/>
  <c r="AE202" i="1"/>
  <c r="AE203" i="1"/>
  <c r="AE220" i="1"/>
  <c r="AE221" i="1"/>
  <c r="AE222" i="1"/>
  <c r="AE223" i="1"/>
  <c r="AE224" i="1"/>
  <c r="AE225" i="1"/>
  <c r="AE226" i="1"/>
  <c r="AE227" i="1"/>
  <c r="AE228" i="1"/>
  <c r="AE229" i="1"/>
  <c r="AE230" i="1"/>
  <c r="AE231" i="1"/>
  <c r="AE232" i="1"/>
  <c r="AE233" i="1"/>
  <c r="AE234" i="1"/>
  <c r="AE235" i="1"/>
  <c r="AE236" i="1"/>
  <c r="AE237" i="1"/>
  <c r="AE238" i="1"/>
  <c r="AE299" i="1"/>
  <c r="AE300" i="1"/>
  <c r="AE301" i="1"/>
  <c r="AE302" i="1"/>
  <c r="AE303" i="1"/>
  <c r="AE304" i="1"/>
  <c r="AE306" i="1"/>
  <c r="AE307" i="1"/>
  <c r="AE308" i="1"/>
  <c r="AE309" i="1"/>
  <c r="AE310" i="1"/>
  <c r="AE311" i="1"/>
  <c r="AE312" i="1"/>
  <c r="AE313" i="1"/>
  <c r="AE314" i="1"/>
  <c r="AE315" i="1"/>
  <c r="AE316" i="1"/>
  <c r="AE317" i="1"/>
  <c r="AE318" i="1"/>
  <c r="AE319" i="1"/>
  <c r="AE320" i="1"/>
  <c r="AE321" i="1"/>
  <c r="AE323" i="1"/>
  <c r="AE324" i="1"/>
  <c r="AE325" i="1"/>
  <c r="AE326" i="1"/>
  <c r="AE327" i="1"/>
  <c r="AE329" i="1"/>
  <c r="AE330" i="1"/>
  <c r="AE332" i="1"/>
  <c r="AE334" i="1"/>
  <c r="AE335" i="1"/>
  <c r="AE337" i="1"/>
  <c r="AE364" i="1"/>
  <c r="BS329" i="1" l="1"/>
  <c r="BW329" i="1"/>
  <c r="CA329" i="1"/>
  <c r="BY329" i="1"/>
  <c r="BZ329" i="1"/>
  <c r="BV329" i="1"/>
  <c r="CB329" i="1"/>
  <c r="BX329" i="1"/>
  <c r="BT329" i="1"/>
  <c r="BU329" i="1"/>
  <c r="CB319" i="1"/>
  <c r="BV319" i="1"/>
  <c r="BU319" i="1"/>
  <c r="BT319" i="1"/>
  <c r="CA319" i="1"/>
  <c r="BW319" i="1"/>
  <c r="BS319" i="1"/>
  <c r="BX319" i="1"/>
  <c r="BZ319" i="1"/>
  <c r="BY319" i="1"/>
  <c r="BY311" i="1"/>
  <c r="BT311" i="1"/>
  <c r="BU311" i="1"/>
  <c r="BS311" i="1"/>
  <c r="BV311" i="1"/>
  <c r="CA311" i="1"/>
  <c r="BZ311" i="1"/>
  <c r="CB311" i="1"/>
  <c r="BX311" i="1"/>
  <c r="BW311" i="1"/>
  <c r="BS238" i="1"/>
  <c r="BW238" i="1"/>
  <c r="CA238" i="1"/>
  <c r="CB238" i="1"/>
  <c r="BT238" i="1"/>
  <c r="BU238" i="1"/>
  <c r="BZ238" i="1"/>
  <c r="BV238" i="1"/>
  <c r="BX238" i="1"/>
  <c r="BY238" i="1"/>
  <c r="CA234" i="1"/>
  <c r="BX234" i="1"/>
  <c r="BT234" i="1"/>
  <c r="BZ234" i="1"/>
  <c r="BU234" i="1"/>
  <c r="BV234" i="1"/>
  <c r="CB234" i="1"/>
  <c r="BW234" i="1"/>
  <c r="BY234" i="1"/>
  <c r="BS234" i="1"/>
  <c r="BV226" i="1"/>
  <c r="BT226" i="1"/>
  <c r="BX226" i="1"/>
  <c r="BU226" i="1"/>
  <c r="BY226" i="1"/>
  <c r="CA226" i="1"/>
  <c r="BW226" i="1"/>
  <c r="CB226" i="1"/>
  <c r="BZ226" i="1"/>
  <c r="BS226" i="1"/>
  <c r="CA202" i="1"/>
  <c r="BU202" i="1"/>
  <c r="BT202" i="1"/>
  <c r="BV202" i="1"/>
  <c r="BX202" i="1"/>
  <c r="BS202" i="1"/>
  <c r="CB202" i="1"/>
  <c r="BZ202" i="1"/>
  <c r="BY202" i="1"/>
  <c r="BW202" i="1"/>
  <c r="CA190" i="1"/>
  <c r="BT190" i="1"/>
  <c r="BX190" i="1"/>
  <c r="BZ190" i="1"/>
  <c r="BV190" i="1"/>
  <c r="BW190" i="1"/>
  <c r="BY190" i="1"/>
  <c r="BS190" i="1"/>
  <c r="BU190" i="1"/>
  <c r="CB190" i="1"/>
  <c r="BY185" i="1"/>
  <c r="BT185" i="1"/>
  <c r="BU185" i="1"/>
  <c r="BZ185" i="1"/>
  <c r="CA185" i="1"/>
  <c r="BS185" i="1"/>
  <c r="BV185" i="1"/>
  <c r="BW185" i="1"/>
  <c r="BX185" i="1"/>
  <c r="CB185" i="1"/>
  <c r="BZ334" i="1"/>
  <c r="BT334" i="1"/>
  <c r="BU334" i="1"/>
  <c r="BY334" i="1"/>
  <c r="BV334" i="1"/>
  <c r="BX334" i="1"/>
  <c r="CB334" i="1"/>
  <c r="BS334" i="1"/>
  <c r="CA334" i="1"/>
  <c r="BW334" i="1"/>
  <c r="BZ327" i="1"/>
  <c r="BS327" i="1"/>
  <c r="BU327" i="1"/>
  <c r="CB327" i="1"/>
  <c r="BT327" i="1"/>
  <c r="BW327" i="1"/>
  <c r="BV327" i="1"/>
  <c r="CA327" i="1"/>
  <c r="BX327" i="1"/>
  <c r="BY327" i="1"/>
  <c r="BU323" i="1"/>
  <c r="BY323" i="1"/>
  <c r="CB323" i="1"/>
  <c r="BS323" i="1"/>
  <c r="BX323" i="1"/>
  <c r="BT323" i="1"/>
  <c r="BV323" i="1"/>
  <c r="CA323" i="1"/>
  <c r="BW323" i="1"/>
  <c r="BZ323" i="1"/>
  <c r="CB318" i="1"/>
  <c r="CA318" i="1"/>
  <c r="BS318" i="1"/>
  <c r="BV318" i="1"/>
  <c r="BW318" i="1"/>
  <c r="BZ318" i="1"/>
  <c r="BY318" i="1"/>
  <c r="BU318" i="1"/>
  <c r="BX318" i="1"/>
  <c r="BT318" i="1"/>
  <c r="BS314" i="1"/>
  <c r="BT314" i="1"/>
  <c r="CA314" i="1"/>
  <c r="BX314" i="1"/>
  <c r="BV314" i="1"/>
  <c r="BW314" i="1"/>
  <c r="BZ314" i="1"/>
  <c r="BU314" i="1"/>
  <c r="CB314" i="1"/>
  <c r="BY314" i="1"/>
  <c r="BZ310" i="1"/>
  <c r="BY310" i="1"/>
  <c r="BS310" i="1"/>
  <c r="BU310" i="1"/>
  <c r="BV310" i="1"/>
  <c r="BW310" i="1"/>
  <c r="BX310" i="1"/>
  <c r="CB310" i="1"/>
  <c r="BT310" i="1"/>
  <c r="CA310" i="1"/>
  <c r="BU301" i="1"/>
  <c r="CB301" i="1"/>
  <c r="BV301" i="1"/>
  <c r="BW301" i="1"/>
  <c r="BX301" i="1"/>
  <c r="BT301" i="1"/>
  <c r="BS301" i="1"/>
  <c r="BY301" i="1"/>
  <c r="BZ301" i="1"/>
  <c r="CA301" i="1"/>
  <c r="CB237" i="1"/>
  <c r="CA237" i="1"/>
  <c r="BY237" i="1"/>
  <c r="BU237" i="1"/>
  <c r="BS237" i="1"/>
  <c r="BW237" i="1"/>
  <c r="BX237" i="1"/>
  <c r="BV237" i="1"/>
  <c r="BZ237" i="1"/>
  <c r="BT237" i="1"/>
  <c r="BV233" i="1"/>
  <c r="BT233" i="1"/>
  <c r="BS233" i="1"/>
  <c r="BX233" i="1"/>
  <c r="CA233" i="1"/>
  <c r="CB233" i="1"/>
  <c r="BY233" i="1"/>
  <c r="BU233" i="1"/>
  <c r="BW233" i="1"/>
  <c r="BZ233" i="1"/>
  <c r="BT229" i="1"/>
  <c r="BU229" i="1"/>
  <c r="BY229" i="1"/>
  <c r="BV229" i="1"/>
  <c r="BX229" i="1"/>
  <c r="BW229" i="1"/>
  <c r="BS229" i="1"/>
  <c r="CA229" i="1"/>
  <c r="CB229" i="1"/>
  <c r="BZ229" i="1"/>
  <c r="CB225" i="1"/>
  <c r="BU225" i="1"/>
  <c r="BS225" i="1"/>
  <c r="BW225" i="1"/>
  <c r="BT225" i="1"/>
  <c r="BY225" i="1"/>
  <c r="BX225" i="1"/>
  <c r="BV225" i="1"/>
  <c r="BZ225" i="1"/>
  <c r="CA225" i="1"/>
  <c r="BT221" i="1"/>
  <c r="BU221" i="1"/>
  <c r="BY221" i="1"/>
  <c r="BZ221" i="1"/>
  <c r="CA221" i="1"/>
  <c r="BW221" i="1"/>
  <c r="BX221" i="1"/>
  <c r="BS221" i="1"/>
  <c r="BV221" i="1"/>
  <c r="CB221" i="1"/>
  <c r="BS201" i="1"/>
  <c r="BW201" i="1"/>
  <c r="CA201" i="1"/>
  <c r="BT201" i="1"/>
  <c r="BX201" i="1"/>
  <c r="CB201" i="1"/>
  <c r="BZ201" i="1"/>
  <c r="BU201" i="1"/>
  <c r="BV201" i="1"/>
  <c r="BY201" i="1"/>
  <c r="BU195" i="1"/>
  <c r="BS195" i="1"/>
  <c r="CB195" i="1"/>
  <c r="BZ195" i="1"/>
  <c r="BT195" i="1"/>
  <c r="BY195" i="1"/>
  <c r="CA195" i="1"/>
  <c r="BW195" i="1"/>
  <c r="BX195" i="1"/>
  <c r="BV195" i="1"/>
  <c r="BS189" i="1"/>
  <c r="BZ189" i="1"/>
  <c r="CA189" i="1"/>
  <c r="BV189" i="1"/>
  <c r="BX189" i="1"/>
  <c r="BT189" i="1"/>
  <c r="BY189" i="1"/>
  <c r="BU189" i="1"/>
  <c r="BW189" i="1"/>
  <c r="CB189" i="1"/>
  <c r="CB182" i="1"/>
  <c r="BT182" i="1"/>
  <c r="BW182" i="1"/>
  <c r="BV182" i="1"/>
  <c r="BX182" i="1"/>
  <c r="BS182" i="1"/>
  <c r="BY182" i="1"/>
  <c r="CA182" i="1"/>
  <c r="BU182" i="1"/>
  <c r="BZ182" i="1"/>
  <c r="BS175" i="1"/>
  <c r="BU175" i="1"/>
  <c r="BZ175" i="1"/>
  <c r="BY175" i="1"/>
  <c r="BX175" i="1"/>
  <c r="BT175" i="1"/>
  <c r="CB175" i="1"/>
  <c r="CA175" i="1"/>
  <c r="BV175" i="1"/>
  <c r="BW175" i="1"/>
  <c r="CA364" i="1"/>
  <c r="CB364" i="1"/>
  <c r="BZ364" i="1"/>
  <c r="BY364" i="1"/>
  <c r="BT364" i="1"/>
  <c r="BS364" i="1"/>
  <c r="BU364" i="1"/>
  <c r="BW364" i="1"/>
  <c r="BX364" i="1"/>
  <c r="BV364" i="1"/>
  <c r="BS332" i="1"/>
  <c r="BZ332" i="1"/>
  <c r="BX332" i="1"/>
  <c r="CB332" i="1"/>
  <c r="BW332" i="1"/>
  <c r="BY332" i="1"/>
  <c r="CA332" i="1"/>
  <c r="BT332" i="1"/>
  <c r="BV332" i="1"/>
  <c r="BU332" i="1"/>
  <c r="BS326" i="1"/>
  <c r="BZ326" i="1"/>
  <c r="CB326" i="1"/>
  <c r="BX326" i="1"/>
  <c r="CA326" i="1"/>
  <c r="BT326" i="1"/>
  <c r="BU326" i="1"/>
  <c r="BY326" i="1"/>
  <c r="BV326" i="1"/>
  <c r="BW326" i="1"/>
  <c r="CA321" i="1"/>
  <c r="BS321" i="1"/>
  <c r="BU321" i="1"/>
  <c r="BZ321" i="1"/>
  <c r="BX321" i="1"/>
  <c r="BV321" i="1"/>
  <c r="CB321" i="1"/>
  <c r="BT321" i="1"/>
  <c r="BW321" i="1"/>
  <c r="BY321" i="1"/>
  <c r="BW317" i="1"/>
  <c r="BY317" i="1"/>
  <c r="BT317" i="1"/>
  <c r="BS317" i="1"/>
  <c r="CA317" i="1"/>
  <c r="BV317" i="1"/>
  <c r="BU317" i="1"/>
  <c r="CB317" i="1"/>
  <c r="BZ317" i="1"/>
  <c r="BX317" i="1"/>
  <c r="CB313" i="1"/>
  <c r="CA313" i="1"/>
  <c r="BV313" i="1"/>
  <c r="BX313" i="1"/>
  <c r="BU313" i="1"/>
  <c r="BW313" i="1"/>
  <c r="BS313" i="1"/>
  <c r="BY313" i="1"/>
  <c r="BT313" i="1"/>
  <c r="BZ313" i="1"/>
  <c r="CB309" i="1"/>
  <c r="BT309" i="1"/>
  <c r="BU309" i="1"/>
  <c r="BX309" i="1"/>
  <c r="BV309" i="1"/>
  <c r="BW309" i="1"/>
  <c r="CA309" i="1"/>
  <c r="BZ309" i="1"/>
  <c r="BY309" i="1"/>
  <c r="BS309" i="1"/>
  <c r="BT304" i="1"/>
  <c r="BU304" i="1"/>
  <c r="BS304" i="1"/>
  <c r="BY304" i="1"/>
  <c r="CB304" i="1"/>
  <c r="BV304" i="1"/>
  <c r="BX304" i="1"/>
  <c r="BZ304" i="1"/>
  <c r="CA304" i="1"/>
  <c r="BW304" i="1"/>
  <c r="CA300" i="1"/>
  <c r="BZ300" i="1"/>
  <c r="CB300" i="1"/>
  <c r="BW300" i="1"/>
  <c r="BU300" i="1"/>
  <c r="BY300" i="1"/>
  <c r="BS300" i="1"/>
  <c r="BT300" i="1"/>
  <c r="BX300" i="1"/>
  <c r="BV300" i="1"/>
  <c r="BZ236" i="1"/>
  <c r="CA236" i="1"/>
  <c r="CB236" i="1"/>
  <c r="BS236" i="1"/>
  <c r="BV236" i="1"/>
  <c r="BX236" i="1"/>
  <c r="BW236" i="1"/>
  <c r="BT236" i="1"/>
  <c r="BY236" i="1"/>
  <c r="BU236" i="1"/>
  <c r="CB232" i="1"/>
  <c r="BU232" i="1"/>
  <c r="CA232" i="1"/>
  <c r="BT232" i="1"/>
  <c r="BV232" i="1"/>
  <c r="BX232" i="1"/>
  <c r="BW232" i="1"/>
  <c r="BY232" i="1"/>
  <c r="BZ232" i="1"/>
  <c r="BS232" i="1"/>
  <c r="BS228" i="1"/>
  <c r="BV228" i="1"/>
  <c r="BU228" i="1"/>
  <c r="BW228" i="1"/>
  <c r="BT228" i="1"/>
  <c r="BX228" i="1"/>
  <c r="BZ228" i="1"/>
  <c r="CA228" i="1"/>
  <c r="CB228" i="1"/>
  <c r="BY228" i="1"/>
  <c r="BS224" i="1"/>
  <c r="BU224" i="1"/>
  <c r="BT224" i="1"/>
  <c r="BV224" i="1"/>
  <c r="BX224" i="1"/>
  <c r="CA224" i="1"/>
  <c r="BZ224" i="1"/>
  <c r="BY224" i="1"/>
  <c r="CB224" i="1"/>
  <c r="BW224" i="1"/>
  <c r="BS220" i="1"/>
  <c r="CB220" i="1"/>
  <c r="BV220" i="1"/>
  <c r="BY220" i="1"/>
  <c r="BT220" i="1"/>
  <c r="BU220" i="1"/>
  <c r="CA220" i="1"/>
  <c r="BZ220" i="1"/>
  <c r="BX220" i="1"/>
  <c r="BW220" i="1"/>
  <c r="CB200" i="1"/>
  <c r="BS200" i="1"/>
  <c r="BU200" i="1"/>
  <c r="CA200" i="1"/>
  <c r="BV200" i="1"/>
  <c r="BT200" i="1"/>
  <c r="BZ200" i="1"/>
  <c r="BW200" i="1"/>
  <c r="BY200" i="1"/>
  <c r="BX200" i="1"/>
  <c r="BU194" i="1"/>
  <c r="BY194" i="1"/>
  <c r="BV194" i="1"/>
  <c r="BZ194" i="1"/>
  <c r="BT194" i="1"/>
  <c r="CB194" i="1"/>
  <c r="BS194" i="1"/>
  <c r="BX194" i="1"/>
  <c r="CA194" i="1"/>
  <c r="BW194" i="1"/>
  <c r="BU187" i="1"/>
  <c r="BY187" i="1"/>
  <c r="BV187" i="1"/>
  <c r="BZ187" i="1"/>
  <c r="BX187" i="1"/>
  <c r="BS187" i="1"/>
  <c r="CB187" i="1"/>
  <c r="BT187" i="1"/>
  <c r="BW187" i="1"/>
  <c r="CA187" i="1"/>
  <c r="BW181" i="1"/>
  <c r="BS181" i="1"/>
  <c r="CB181" i="1"/>
  <c r="BY181" i="1"/>
  <c r="BV181" i="1"/>
  <c r="BZ181" i="1"/>
  <c r="BU181" i="1"/>
  <c r="CA181" i="1"/>
  <c r="BT181" i="1"/>
  <c r="BX181" i="1"/>
  <c r="BS174" i="1"/>
  <c r="BW174" i="1"/>
  <c r="CA174" i="1"/>
  <c r="BT174" i="1"/>
  <c r="BX174" i="1"/>
  <c r="CB174" i="1"/>
  <c r="BV174" i="1"/>
  <c r="BZ174" i="1"/>
  <c r="BY174" i="1"/>
  <c r="BU174" i="1"/>
  <c r="CA337" i="1"/>
  <c r="BS337" i="1"/>
  <c r="BU337" i="1"/>
  <c r="BW337" i="1"/>
  <c r="BX337" i="1"/>
  <c r="BV337" i="1"/>
  <c r="BT337" i="1"/>
  <c r="CB337" i="1"/>
  <c r="BZ337" i="1"/>
  <c r="BY337" i="1"/>
  <c r="BU330" i="1"/>
  <c r="BY330" i="1"/>
  <c r="BX330" i="1"/>
  <c r="BT330" i="1"/>
  <c r="BZ330" i="1"/>
  <c r="CA330" i="1"/>
  <c r="BW330" i="1"/>
  <c r="CB330" i="1"/>
  <c r="BS330" i="1"/>
  <c r="BV330" i="1"/>
  <c r="BY325" i="1"/>
  <c r="BX325" i="1"/>
  <c r="CA325" i="1"/>
  <c r="BZ325" i="1"/>
  <c r="BS325" i="1"/>
  <c r="BT325" i="1"/>
  <c r="BV325" i="1"/>
  <c r="BU325" i="1"/>
  <c r="CB325" i="1"/>
  <c r="BW325" i="1"/>
  <c r="CB320" i="1"/>
  <c r="BS320" i="1"/>
  <c r="BT320" i="1"/>
  <c r="BW320" i="1"/>
  <c r="BV320" i="1"/>
  <c r="BU320" i="1"/>
  <c r="BY320" i="1"/>
  <c r="BX320" i="1"/>
  <c r="CA320" i="1"/>
  <c r="BZ320" i="1"/>
  <c r="BS316" i="1"/>
  <c r="CB316" i="1"/>
  <c r="BY316" i="1"/>
  <c r="BT316" i="1"/>
  <c r="CA316" i="1"/>
  <c r="BU316" i="1"/>
  <c r="BV316" i="1"/>
  <c r="BX316" i="1"/>
  <c r="BZ316" i="1"/>
  <c r="BW316" i="1"/>
  <c r="BV312" i="1"/>
  <c r="BY312" i="1"/>
  <c r="BT312" i="1"/>
  <c r="CA312" i="1"/>
  <c r="BU312" i="1"/>
  <c r="BS312" i="1"/>
  <c r="BX312" i="1"/>
  <c r="CB312" i="1"/>
  <c r="BW312" i="1"/>
  <c r="BZ312" i="1"/>
  <c r="CB308" i="1"/>
  <c r="CA308" i="1"/>
  <c r="BY308" i="1"/>
  <c r="BX308" i="1"/>
  <c r="BS308" i="1"/>
  <c r="BV308" i="1"/>
  <c r="BT308" i="1"/>
  <c r="BZ308" i="1"/>
  <c r="BU308" i="1"/>
  <c r="BW308" i="1"/>
  <c r="CA303" i="1"/>
  <c r="BU303" i="1"/>
  <c r="BT303" i="1"/>
  <c r="BS303" i="1"/>
  <c r="BZ303" i="1"/>
  <c r="BW303" i="1"/>
  <c r="BY303" i="1"/>
  <c r="BV303" i="1"/>
  <c r="BX303" i="1"/>
  <c r="CB303" i="1"/>
  <c r="BS299" i="1"/>
  <c r="BZ299" i="1"/>
  <c r="CB299" i="1"/>
  <c r="BY299" i="1"/>
  <c r="BU299" i="1"/>
  <c r="BT299" i="1"/>
  <c r="CA299" i="1"/>
  <c r="BX299" i="1"/>
  <c r="BV299" i="1"/>
  <c r="BW299" i="1"/>
  <c r="BT235" i="1"/>
  <c r="CB235" i="1"/>
  <c r="BV235" i="1"/>
  <c r="BY235" i="1"/>
  <c r="BS235" i="1"/>
  <c r="BU235" i="1"/>
  <c r="BW235" i="1"/>
  <c r="CA235" i="1"/>
  <c r="BZ235" i="1"/>
  <c r="BX235" i="1"/>
  <c r="BU231" i="1"/>
  <c r="BY231" i="1"/>
  <c r="BV231" i="1"/>
  <c r="CA231" i="1"/>
  <c r="BW231" i="1"/>
  <c r="BT231" i="1"/>
  <c r="BZ231" i="1"/>
  <c r="CB231" i="1"/>
  <c r="BS231" i="1"/>
  <c r="BX231" i="1"/>
  <c r="CA227" i="1"/>
  <c r="BU227" i="1"/>
  <c r="CB227" i="1"/>
  <c r="BS227" i="1"/>
  <c r="BW227" i="1"/>
  <c r="BV227" i="1"/>
  <c r="BZ227" i="1"/>
  <c r="BT227" i="1"/>
  <c r="BY227" i="1"/>
  <c r="BX227" i="1"/>
  <c r="CA223" i="1"/>
  <c r="CB223" i="1"/>
  <c r="BV223" i="1"/>
  <c r="BU223" i="1"/>
  <c r="BS223" i="1"/>
  <c r="BZ223" i="1"/>
  <c r="BT223" i="1"/>
  <c r="BW223" i="1"/>
  <c r="BY223" i="1"/>
  <c r="BX223" i="1"/>
  <c r="CA203" i="1"/>
  <c r="BT203" i="1"/>
  <c r="BZ203" i="1"/>
  <c r="BS203" i="1"/>
  <c r="BV203" i="1"/>
  <c r="BU203" i="1"/>
  <c r="BY203" i="1"/>
  <c r="BX203" i="1"/>
  <c r="CB203" i="1"/>
  <c r="BW203" i="1"/>
  <c r="BT198" i="1"/>
  <c r="CB198" i="1"/>
  <c r="CA198" i="1"/>
  <c r="BS198" i="1"/>
  <c r="BV198" i="1"/>
  <c r="BX198" i="1"/>
  <c r="BU198" i="1"/>
  <c r="BY198" i="1"/>
  <c r="BZ198" i="1"/>
  <c r="BW198" i="1"/>
  <c r="BX193" i="1"/>
  <c r="BU193" i="1"/>
  <c r="CB193" i="1"/>
  <c r="BS193" i="1"/>
  <c r="CA193" i="1"/>
  <c r="BV193" i="1"/>
  <c r="BW193" i="1"/>
  <c r="BZ193" i="1"/>
  <c r="BT193" i="1"/>
  <c r="BY193" i="1"/>
  <c r="CA186" i="1"/>
  <c r="BZ186" i="1"/>
  <c r="CB186" i="1"/>
  <c r="BT186" i="1"/>
  <c r="BU186" i="1"/>
  <c r="BS186" i="1"/>
  <c r="BY186" i="1"/>
  <c r="BW186" i="1"/>
  <c r="BX186" i="1"/>
  <c r="BV186" i="1"/>
  <c r="CB180" i="1"/>
  <c r="BS180" i="1"/>
  <c r="CA180" i="1"/>
  <c r="BV180" i="1"/>
  <c r="BY180" i="1"/>
  <c r="BW180" i="1"/>
  <c r="BX180" i="1"/>
  <c r="BT180" i="1"/>
  <c r="BU180" i="1"/>
  <c r="BZ180" i="1"/>
  <c r="CB324" i="1"/>
  <c r="BU324" i="1"/>
  <c r="BT324" i="1"/>
  <c r="BV324" i="1"/>
  <c r="BW324" i="1"/>
  <c r="BZ324" i="1"/>
  <c r="BX324" i="1"/>
  <c r="BS324" i="1"/>
  <c r="BY324" i="1"/>
  <c r="CA324" i="1"/>
  <c r="BS302" i="1"/>
  <c r="BW302" i="1"/>
  <c r="CA302" i="1"/>
  <c r="BT302" i="1"/>
  <c r="BU302" i="1"/>
  <c r="BZ302" i="1"/>
  <c r="BV302" i="1"/>
  <c r="CB302" i="1"/>
  <c r="BX302" i="1"/>
  <c r="BY302" i="1"/>
  <c r="BZ230" i="1"/>
  <c r="CB230" i="1"/>
  <c r="BY230" i="1"/>
  <c r="BS230" i="1"/>
  <c r="BW230" i="1"/>
  <c r="CA230" i="1"/>
  <c r="BU230" i="1"/>
  <c r="BV230" i="1"/>
  <c r="BT230" i="1"/>
  <c r="BX230" i="1"/>
  <c r="BY197" i="1"/>
  <c r="BU197" i="1"/>
  <c r="BT197" i="1"/>
  <c r="BW197" i="1"/>
  <c r="BS197" i="1"/>
  <c r="CA197" i="1"/>
  <c r="BV197" i="1"/>
  <c r="BX197" i="1"/>
  <c r="BZ197" i="1"/>
  <c r="CB197" i="1"/>
  <c r="BS176" i="1"/>
  <c r="BU176" i="1"/>
  <c r="BV176" i="1"/>
  <c r="BW176" i="1"/>
  <c r="BT176" i="1"/>
  <c r="BX176" i="1"/>
  <c r="BZ176" i="1"/>
  <c r="BY176" i="1"/>
  <c r="CA176" i="1"/>
  <c r="CB176" i="1"/>
  <c r="BS335" i="1"/>
  <c r="BW335" i="1"/>
  <c r="CA335" i="1"/>
  <c r="BZ335" i="1"/>
  <c r="CB335" i="1"/>
  <c r="BX335" i="1"/>
  <c r="BT335" i="1"/>
  <c r="BY335" i="1"/>
  <c r="BU335" i="1"/>
  <c r="BV335" i="1"/>
  <c r="CB315" i="1"/>
  <c r="BY315" i="1"/>
  <c r="BU315" i="1"/>
  <c r="BX315" i="1"/>
  <c r="CA315" i="1"/>
  <c r="BS315" i="1"/>
  <c r="BT315" i="1"/>
  <c r="BV315" i="1"/>
  <c r="BW315" i="1"/>
  <c r="BZ315" i="1"/>
  <c r="CB307" i="1"/>
  <c r="BT307" i="1"/>
  <c r="BS307" i="1"/>
  <c r="BU307" i="1"/>
  <c r="BZ307" i="1"/>
  <c r="BW307" i="1"/>
  <c r="BX307" i="1"/>
  <c r="CA307" i="1"/>
  <c r="BY307" i="1"/>
  <c r="BV307" i="1"/>
  <c r="BS222" i="1"/>
  <c r="BW222" i="1"/>
  <c r="CA222" i="1"/>
  <c r="BU222" i="1"/>
  <c r="BZ222" i="1"/>
  <c r="BX222" i="1"/>
  <c r="BT222" i="1"/>
  <c r="BY222" i="1"/>
  <c r="BV222" i="1"/>
  <c r="CB222" i="1"/>
  <c r="BS306" i="1"/>
  <c r="CA306" i="1"/>
  <c r="BV306" i="1"/>
  <c r="BZ306" i="1"/>
  <c r="BY306" i="1"/>
  <c r="BX306" i="1"/>
  <c r="BW306" i="1"/>
  <c r="BT306" i="1"/>
  <c r="CB306" i="1"/>
  <c r="BU306" i="1"/>
  <c r="CO306" i="1"/>
  <c r="CO233" i="1"/>
  <c r="CO229" i="1"/>
  <c r="CO182" i="1"/>
  <c r="CO364" i="1"/>
  <c r="CO332" i="1"/>
  <c r="CO326" i="1"/>
  <c r="CO321" i="1"/>
  <c r="CO317" i="1"/>
  <c r="CO313" i="1"/>
  <c r="CO309" i="1"/>
  <c r="CO304" i="1"/>
  <c r="CO300" i="1"/>
  <c r="CO236" i="1"/>
  <c r="CO232" i="1"/>
  <c r="CO228" i="1"/>
  <c r="CO224" i="1"/>
  <c r="CO220" i="1"/>
  <c r="CO200" i="1"/>
  <c r="CO181" i="1"/>
  <c r="CO334" i="1"/>
  <c r="CO318" i="1"/>
  <c r="CO310" i="1"/>
  <c r="CO237" i="1"/>
  <c r="CO225" i="1"/>
  <c r="CO189" i="1"/>
  <c r="CO325" i="1"/>
  <c r="CO320" i="1"/>
  <c r="CO316" i="1"/>
  <c r="CO312" i="1"/>
  <c r="CO308" i="1"/>
  <c r="CO303" i="1"/>
  <c r="CO299" i="1"/>
  <c r="CO235" i="1"/>
  <c r="CO227" i="1"/>
  <c r="CO223" i="1"/>
  <c r="CO203" i="1"/>
  <c r="CO198" i="1"/>
  <c r="CO193" i="1"/>
  <c r="CO186" i="1"/>
  <c r="CO180" i="1"/>
  <c r="CO327" i="1"/>
  <c r="CO314" i="1"/>
  <c r="CO301" i="1"/>
  <c r="CO195" i="1"/>
  <c r="CO175" i="1"/>
  <c r="CO337" i="1"/>
  <c r="CO324" i="1"/>
  <c r="CO319" i="1"/>
  <c r="CO315" i="1"/>
  <c r="CO311" i="1"/>
  <c r="CO307" i="1"/>
  <c r="CO234" i="1"/>
  <c r="CO230" i="1"/>
  <c r="CO226" i="1"/>
  <c r="CO202" i="1"/>
  <c r="CO197" i="1"/>
  <c r="CO190" i="1"/>
  <c r="CO185" i="1"/>
  <c r="CO176" i="1"/>
  <c r="CO335" i="1"/>
  <c r="CO238" i="1"/>
  <c r="CO323" i="1"/>
  <c r="CO221" i="1"/>
  <c r="CO329" i="1"/>
  <c r="CO302" i="1"/>
  <c r="CO201" i="1"/>
  <c r="CO194" i="1"/>
  <c r="CO187" i="1"/>
  <c r="CO174" i="1"/>
  <c r="CO330" i="1"/>
  <c r="CO231" i="1"/>
  <c r="CO222" i="1"/>
  <c r="CP324" i="1"/>
  <c r="CW324" i="1"/>
  <c r="CT324" i="1"/>
  <c r="CP307" i="1"/>
  <c r="CW307" i="1"/>
  <c r="CX307" i="1" s="1"/>
  <c r="CY307" i="1" s="1"/>
  <c r="CT307" i="1"/>
  <c r="CP334" i="1"/>
  <c r="CW334" i="1"/>
  <c r="CT334" i="1"/>
  <c r="CP327" i="1"/>
  <c r="CW327" i="1"/>
  <c r="CT327" i="1"/>
  <c r="CP323" i="1"/>
  <c r="CW323" i="1"/>
  <c r="CT323" i="1"/>
  <c r="CP318" i="1"/>
  <c r="CW318" i="1"/>
  <c r="CT318" i="1"/>
  <c r="CP314" i="1"/>
  <c r="CT314" i="1"/>
  <c r="CW314" i="1"/>
  <c r="CX314" i="1" s="1"/>
  <c r="CY314" i="1" s="1"/>
  <c r="CP310" i="1"/>
  <c r="CW310" i="1"/>
  <c r="CT310" i="1"/>
  <c r="CP306" i="1"/>
  <c r="CW306" i="1"/>
  <c r="CT306" i="1"/>
  <c r="CP301" i="1"/>
  <c r="CT301" i="1"/>
  <c r="CW301" i="1"/>
  <c r="CP237" i="1"/>
  <c r="CT237" i="1"/>
  <c r="CW237" i="1"/>
  <c r="CP233" i="1"/>
  <c r="CT233" i="1"/>
  <c r="CW233" i="1"/>
  <c r="CX233" i="1" s="1"/>
  <c r="CY233" i="1" s="1"/>
  <c r="CP229" i="1"/>
  <c r="CT229" i="1"/>
  <c r="CW229" i="1"/>
  <c r="CP225" i="1"/>
  <c r="CT225" i="1"/>
  <c r="CW225" i="1"/>
  <c r="CP221" i="1"/>
  <c r="CT221" i="1"/>
  <c r="CW221" i="1"/>
  <c r="CX221" i="1" s="1"/>
  <c r="CP201" i="1"/>
  <c r="CW201" i="1"/>
  <c r="CT201" i="1"/>
  <c r="CP195" i="1"/>
  <c r="CW195" i="1"/>
  <c r="CT195" i="1"/>
  <c r="CP189" i="1"/>
  <c r="CW189" i="1"/>
  <c r="CX189" i="1" s="1"/>
  <c r="CT189" i="1"/>
  <c r="CP182" i="1"/>
  <c r="CT182" i="1"/>
  <c r="CW182" i="1"/>
  <c r="CP175" i="1"/>
  <c r="CW175" i="1"/>
  <c r="CX175" i="1" s="1"/>
  <c r="CT175" i="1"/>
  <c r="CP329" i="1"/>
  <c r="CT329" i="1"/>
  <c r="CW329" i="1"/>
  <c r="CP311" i="1"/>
  <c r="CW311" i="1"/>
  <c r="CT311" i="1"/>
  <c r="CP238" i="1"/>
  <c r="CW238" i="1"/>
  <c r="CX238" i="1" s="1"/>
  <c r="CT238" i="1"/>
  <c r="CP230" i="1"/>
  <c r="CW230" i="1"/>
  <c r="CT230" i="1"/>
  <c r="CP226" i="1"/>
  <c r="CW226" i="1"/>
  <c r="CT226" i="1"/>
  <c r="CP197" i="1"/>
  <c r="CW197" i="1"/>
  <c r="CX197" i="1" s="1"/>
  <c r="CY197" i="1" s="1"/>
  <c r="CT197" i="1"/>
  <c r="CP185" i="1"/>
  <c r="CW185" i="1"/>
  <c r="CX185" i="1" s="1"/>
  <c r="CT185" i="1"/>
  <c r="CP364" i="1"/>
  <c r="CW364" i="1"/>
  <c r="CT364" i="1"/>
  <c r="CP326" i="1"/>
  <c r="CW326" i="1"/>
  <c r="CT326" i="1"/>
  <c r="CP313" i="1"/>
  <c r="CT313" i="1"/>
  <c r="CW313" i="1"/>
  <c r="CP304" i="1"/>
  <c r="CW304" i="1"/>
  <c r="CX304" i="1" s="1"/>
  <c r="CY304" i="1" s="1"/>
  <c r="CT304" i="1"/>
  <c r="CP236" i="1"/>
  <c r="CW236" i="1"/>
  <c r="CT236" i="1"/>
  <c r="CP224" i="1"/>
  <c r="CW224" i="1"/>
  <c r="CT224" i="1"/>
  <c r="CP194" i="1"/>
  <c r="CT194" i="1"/>
  <c r="CW194" i="1"/>
  <c r="CP174" i="1"/>
  <c r="CT174" i="1"/>
  <c r="CW174" i="1"/>
  <c r="CX174" i="1" s="1"/>
  <c r="CP335" i="1"/>
  <c r="CT335" i="1"/>
  <c r="CW335" i="1"/>
  <c r="CX335" i="1" s="1"/>
  <c r="CP319" i="1"/>
  <c r="CT319" i="1"/>
  <c r="CW319" i="1"/>
  <c r="CP315" i="1"/>
  <c r="CW315" i="1"/>
  <c r="CT315" i="1"/>
  <c r="CP302" i="1"/>
  <c r="CW302" i="1"/>
  <c r="CT302" i="1"/>
  <c r="CP234" i="1"/>
  <c r="CT234" i="1"/>
  <c r="CW234" i="1"/>
  <c r="CX234" i="1" s="1"/>
  <c r="CY234" i="1" s="1"/>
  <c r="CP222" i="1"/>
  <c r="CW222" i="1"/>
  <c r="CT222" i="1"/>
  <c r="CP202" i="1"/>
  <c r="CT202" i="1"/>
  <c r="CW202" i="1"/>
  <c r="CP190" i="1"/>
  <c r="CT190" i="1"/>
  <c r="CW190" i="1"/>
  <c r="CP176" i="1"/>
  <c r="CW176" i="1"/>
  <c r="CX176" i="1" s="1"/>
  <c r="CY176" i="1" s="1"/>
  <c r="CT176" i="1"/>
  <c r="CP332" i="1"/>
  <c r="CW332" i="1"/>
  <c r="CT332" i="1"/>
  <c r="CP321" i="1"/>
  <c r="CT321" i="1"/>
  <c r="CW321" i="1"/>
  <c r="CP317" i="1"/>
  <c r="CT317" i="1"/>
  <c r="CW317" i="1"/>
  <c r="CP309" i="1"/>
  <c r="CT309" i="1"/>
  <c r="CW309" i="1"/>
  <c r="CX309" i="1" s="1"/>
  <c r="CP300" i="1"/>
  <c r="CW300" i="1"/>
  <c r="CT300" i="1"/>
  <c r="CP232" i="1"/>
  <c r="CW232" i="1"/>
  <c r="CX232" i="1" s="1"/>
  <c r="CT232" i="1"/>
  <c r="CP228" i="1"/>
  <c r="CW228" i="1"/>
  <c r="CX228" i="1" s="1"/>
  <c r="CY228" i="1" s="1"/>
  <c r="CT228" i="1"/>
  <c r="CP220" i="1"/>
  <c r="CW220" i="1"/>
  <c r="CT220" i="1"/>
  <c r="CP200" i="1"/>
  <c r="CW200" i="1"/>
  <c r="CT200" i="1"/>
  <c r="CP187" i="1"/>
  <c r="CW187" i="1"/>
  <c r="CT187" i="1"/>
  <c r="CP181" i="1"/>
  <c r="CW181" i="1"/>
  <c r="CT181" i="1"/>
  <c r="CP337" i="1"/>
  <c r="CW337" i="1"/>
  <c r="CT337" i="1"/>
  <c r="CP330" i="1"/>
  <c r="CT330" i="1"/>
  <c r="CW330" i="1"/>
  <c r="CP325" i="1"/>
  <c r="CT325" i="1"/>
  <c r="CW325" i="1"/>
  <c r="CP320" i="1"/>
  <c r="CW320" i="1"/>
  <c r="CX320" i="1" s="1"/>
  <c r="CY320" i="1" s="1"/>
  <c r="CT320" i="1"/>
  <c r="CP316" i="1"/>
  <c r="CW316" i="1"/>
  <c r="CT316" i="1"/>
  <c r="CP312" i="1"/>
  <c r="CW312" i="1"/>
  <c r="CT312" i="1"/>
  <c r="CP308" i="1"/>
  <c r="CW308" i="1"/>
  <c r="CT308" i="1"/>
  <c r="CP303" i="1"/>
  <c r="CT303" i="1"/>
  <c r="CW303" i="1"/>
  <c r="CX303" i="1" s="1"/>
  <c r="CY303" i="1" s="1"/>
  <c r="CP299" i="1"/>
  <c r="CW299" i="1"/>
  <c r="CT299" i="1"/>
  <c r="CM69" i="130"/>
  <c r="CP235" i="1"/>
  <c r="CW235" i="1"/>
  <c r="CX235" i="1" s="1"/>
  <c r="CT235" i="1"/>
  <c r="CP231" i="1"/>
  <c r="CW231" i="1"/>
  <c r="CT231" i="1"/>
  <c r="CP227" i="1"/>
  <c r="CW227" i="1"/>
  <c r="CX227" i="1" s="1"/>
  <c r="CT227" i="1"/>
  <c r="CP223" i="1"/>
  <c r="CT223" i="1"/>
  <c r="CW223" i="1"/>
  <c r="CX223" i="1" s="1"/>
  <c r="CY223" i="1" s="1"/>
  <c r="CP203" i="1"/>
  <c r="CW203" i="1"/>
  <c r="CT203" i="1"/>
  <c r="CP198" i="1"/>
  <c r="CT198" i="1"/>
  <c r="CW198" i="1"/>
  <c r="CX198" i="1" s="1"/>
  <c r="CP193" i="1"/>
  <c r="CW193" i="1"/>
  <c r="CX193" i="1" s="1"/>
  <c r="CY193" i="1" s="1"/>
  <c r="CT193" i="1"/>
  <c r="CP186" i="1"/>
  <c r="CT186" i="1"/>
  <c r="CW186" i="1"/>
  <c r="CX186" i="1" s="1"/>
  <c r="CY186" i="1" s="1"/>
  <c r="CP180" i="1"/>
  <c r="CW180" i="1"/>
  <c r="CX180" i="1" s="1"/>
  <c r="CT180" i="1"/>
  <c r="CX327" i="1"/>
  <c r="CX310" i="1"/>
  <c r="CX237" i="1"/>
  <c r="CX195" i="1"/>
  <c r="CY195" i="1" s="1"/>
  <c r="CX337" i="1"/>
  <c r="CX330" i="1"/>
  <c r="CY330" i="1" s="1"/>
  <c r="CX325" i="1"/>
  <c r="CX316" i="1"/>
  <c r="CY316" i="1" s="1"/>
  <c r="CX312" i="1"/>
  <c r="CX308" i="1"/>
  <c r="CX299" i="1"/>
  <c r="CY299" i="1" s="1"/>
  <c r="CX231" i="1"/>
  <c r="CX203" i="1"/>
  <c r="CX334" i="1"/>
  <c r="CX318" i="1"/>
  <c r="CX306" i="1"/>
  <c r="CX229" i="1"/>
  <c r="CX182" i="1"/>
  <c r="CX329" i="1"/>
  <c r="CX324" i="1"/>
  <c r="CY324" i="1" s="1"/>
  <c r="CX319" i="1"/>
  <c r="CY319" i="1" s="1"/>
  <c r="CX315" i="1"/>
  <c r="CX311" i="1"/>
  <c r="CX302" i="1"/>
  <c r="CX230" i="1"/>
  <c r="CX226" i="1"/>
  <c r="CX222" i="1"/>
  <c r="CY222" i="1" s="1"/>
  <c r="CX202" i="1"/>
  <c r="CY202" i="1" s="1"/>
  <c r="CX190" i="1"/>
  <c r="CX323" i="1"/>
  <c r="CX301" i="1"/>
  <c r="CY301" i="1" s="1"/>
  <c r="CX225" i="1"/>
  <c r="CX201" i="1"/>
  <c r="CX364" i="1"/>
  <c r="CY364" i="1" s="1"/>
  <c r="CX332" i="1"/>
  <c r="CX326" i="1"/>
  <c r="CY326" i="1" s="1"/>
  <c r="CX321" i="1"/>
  <c r="CY321" i="1" s="1"/>
  <c r="CX317" i="1"/>
  <c r="CY317" i="1" s="1"/>
  <c r="CX313" i="1"/>
  <c r="CY313" i="1" s="1"/>
  <c r="CX300" i="1"/>
  <c r="CY300" i="1" s="1"/>
  <c r="CX236" i="1"/>
  <c r="CX224" i="1"/>
  <c r="CY224" i="1" s="1"/>
  <c r="CX220" i="1"/>
  <c r="CX200" i="1"/>
  <c r="CX194" i="1"/>
  <c r="CX187" i="1"/>
  <c r="CY187" i="1" s="1"/>
  <c r="CX181" i="1"/>
  <c r="T221" i="1"/>
  <c r="U221" i="1"/>
  <c r="T335" i="1"/>
  <c r="U335" i="1"/>
  <c r="T329" i="1"/>
  <c r="U329" i="1"/>
  <c r="T302" i="1"/>
  <c r="U302" i="1"/>
  <c r="T238" i="1"/>
  <c r="U238" i="1"/>
  <c r="T222" i="1"/>
  <c r="U222" i="1"/>
  <c r="T201" i="1"/>
  <c r="U201" i="1"/>
  <c r="T194" i="1"/>
  <c r="U194" i="1"/>
  <c r="T187" i="1"/>
  <c r="U187" i="1"/>
  <c r="T174" i="1"/>
  <c r="FN174" i="1" s="1"/>
  <c r="U174" i="1"/>
  <c r="T323" i="1"/>
  <c r="U323" i="1"/>
  <c r="T330" i="1"/>
  <c r="U330" i="1"/>
  <c r="T231" i="1"/>
  <c r="U231" i="1"/>
  <c r="CU364" i="1"/>
  <c r="CU326" i="1"/>
  <c r="CU313" i="1"/>
  <c r="CU236" i="1"/>
  <c r="CU220" i="1"/>
  <c r="CU187" i="1"/>
  <c r="CU334" i="1"/>
  <c r="CU327" i="1"/>
  <c r="CU323" i="1"/>
  <c r="CU318" i="1"/>
  <c r="CU314" i="1"/>
  <c r="CU310" i="1"/>
  <c r="CU306" i="1"/>
  <c r="CU301" i="1"/>
  <c r="CU237" i="1"/>
  <c r="CU233" i="1"/>
  <c r="CU229" i="1"/>
  <c r="CU225" i="1"/>
  <c r="CU221" i="1"/>
  <c r="CU201" i="1"/>
  <c r="CU195" i="1"/>
  <c r="CU189" i="1"/>
  <c r="CU182" i="1"/>
  <c r="CU175" i="1"/>
  <c r="CU332" i="1"/>
  <c r="CU317" i="1"/>
  <c r="CU304" i="1"/>
  <c r="CU232" i="1"/>
  <c r="CU228" i="1"/>
  <c r="CU194" i="1"/>
  <c r="CU181" i="1"/>
  <c r="CU330" i="1"/>
  <c r="CU325" i="1"/>
  <c r="CU320" i="1"/>
  <c r="CU316" i="1"/>
  <c r="CU312" i="1"/>
  <c r="CU308" i="1"/>
  <c r="CU303" i="1"/>
  <c r="CU299" i="1"/>
  <c r="CU235" i="1"/>
  <c r="CU231" i="1"/>
  <c r="CU227" i="1"/>
  <c r="CU223" i="1"/>
  <c r="CU203" i="1"/>
  <c r="CU198" i="1"/>
  <c r="CU193" i="1"/>
  <c r="CU186" i="1"/>
  <c r="CU180" i="1"/>
  <c r="CU337" i="1"/>
  <c r="CU321" i="1"/>
  <c r="CU309" i="1"/>
  <c r="CU300" i="1"/>
  <c r="CU224" i="1"/>
  <c r="CU200" i="1"/>
  <c r="CU174" i="1"/>
  <c r="CU335" i="1"/>
  <c r="CU324" i="1"/>
  <c r="CU319" i="1"/>
  <c r="CU315" i="1"/>
  <c r="CU311" i="1"/>
  <c r="CU307" i="1"/>
  <c r="CU302" i="1"/>
  <c r="CU238" i="1"/>
  <c r="CU234" i="1"/>
  <c r="CU230" i="1"/>
  <c r="CU226" i="1"/>
  <c r="CU222" i="1"/>
  <c r="CU202" i="1"/>
  <c r="CU197" i="1"/>
  <c r="CU190" i="1"/>
  <c r="CU185" i="1"/>
  <c r="CU176" i="1"/>
  <c r="CU329" i="1"/>
  <c r="JG166" i="1"/>
  <c r="JG169" i="1" s="1"/>
  <c r="KT168" i="1"/>
  <c r="KT18" i="1" s="1"/>
  <c r="GZ97" i="123"/>
  <c r="HA122" i="123"/>
  <c r="HA125" i="123" s="1"/>
  <c r="HB122" i="123"/>
  <c r="HB125" i="123" s="1"/>
  <c r="FQ238" i="1"/>
  <c r="FQ323" i="1"/>
  <c r="FQ330" i="1"/>
  <c r="FQ231" i="1"/>
  <c r="FQ222" i="1"/>
  <c r="FQ221" i="1"/>
  <c r="FQ201" i="1"/>
  <c r="FQ329" i="1"/>
  <c r="FQ302" i="1"/>
  <c r="FQ194" i="1"/>
  <c r="FQ187" i="1"/>
  <c r="FQ174" i="1"/>
  <c r="CY220" i="1" l="1"/>
  <c r="CY189" i="1"/>
  <c r="CY230" i="1"/>
  <c r="CY315" i="1"/>
  <c r="CY327" i="1"/>
  <c r="CY329" i="1"/>
  <c r="CY203" i="1"/>
  <c r="CY229" i="1"/>
  <c r="CY232" i="1"/>
  <c r="CY198" i="1"/>
  <c r="CY308" i="1"/>
  <c r="CY227" i="1"/>
  <c r="CY325" i="1"/>
  <c r="CY309" i="1"/>
  <c r="CY200" i="1"/>
  <c r="CY236" i="1"/>
  <c r="CY175" i="1"/>
  <c r="CY190" i="1"/>
  <c r="CY226" i="1"/>
  <c r="CY311" i="1"/>
  <c r="CY318" i="1"/>
  <c r="CY235" i="1"/>
  <c r="CY312" i="1"/>
  <c r="CY337" i="1"/>
  <c r="CY231" i="1"/>
  <c r="CY237" i="1"/>
  <c r="CY201" i="1"/>
  <c r="CY194" i="1"/>
  <c r="CY174" i="1"/>
  <c r="CY185" i="1"/>
  <c r="CY238" i="1"/>
  <c r="CY302" i="1"/>
  <c r="AA323" i="1"/>
  <c r="AA335" i="1"/>
  <c r="AA302" i="1"/>
  <c r="AA330" i="1"/>
  <c r="AA201" i="1"/>
  <c r="AA222" i="1"/>
  <c r="AA187" i="1"/>
  <c r="AA221" i="1"/>
  <c r="AA231" i="1"/>
  <c r="AA238" i="1"/>
  <c r="AA329" i="1"/>
  <c r="AA174" i="1"/>
  <c r="AA194" i="1"/>
  <c r="CY225" i="1"/>
  <c r="CY323" i="1"/>
  <c r="CY221" i="1"/>
  <c r="CY306" i="1"/>
  <c r="CY310" i="1"/>
  <c r="CN69" i="130"/>
  <c r="CK69" i="130"/>
  <c r="CY335" i="1"/>
  <c r="CY332" i="1"/>
  <c r="CY334" i="1"/>
  <c r="N31" i="57"/>
  <c r="Y31" i="57" s="1"/>
  <c r="AY31" i="57" s="1"/>
  <c r="M31" i="57"/>
  <c r="X31" i="57" s="1"/>
  <c r="AX31" i="57" s="1"/>
  <c r="CY181" i="1"/>
  <c r="CY180" i="1"/>
  <c r="CY182" i="1"/>
  <c r="KU168" i="1"/>
  <c r="KU18" i="1" s="1"/>
  <c r="HA97" i="123"/>
  <c r="FN330" i="1"/>
  <c r="FN231" i="1"/>
  <c r="FN222" i="1"/>
  <c r="FN221" i="1"/>
  <c r="FN201" i="1"/>
  <c r="JH166" i="1" l="1"/>
  <c r="JH169" i="1" s="1"/>
  <c r="JI166" i="1"/>
  <c r="JI169" i="1" s="1"/>
  <c r="KV168" i="1"/>
  <c r="KV18" i="1" s="1"/>
  <c r="HB97" i="123"/>
  <c r="HC122" i="123"/>
  <c r="HC125" i="123" s="1"/>
  <c r="HD122" i="123"/>
  <c r="HD125" i="123" s="1"/>
  <c r="FN187" i="1"/>
  <c r="FN194" i="1"/>
  <c r="FN302" i="1"/>
  <c r="FN323" i="1"/>
  <c r="FN329" i="1"/>
  <c r="FN238" i="1"/>
  <c r="KW168" i="1" l="1"/>
  <c r="KW18" i="1" s="1"/>
  <c r="HC97" i="123"/>
  <c r="JJ166" i="1" l="1"/>
  <c r="JJ169" i="1" s="1"/>
  <c r="KX168" i="1"/>
  <c r="HD97" i="123"/>
  <c r="HE122" i="123"/>
  <c r="HE125" i="123" s="1"/>
  <c r="KX18" i="1" l="1"/>
  <c r="JK166" i="1"/>
  <c r="JK169" i="1" s="1"/>
  <c r="KY168" i="1"/>
  <c r="HE97" i="123"/>
  <c r="HF122" i="123"/>
  <c r="HF125" i="123" s="1"/>
  <c r="HG122" i="123"/>
  <c r="HG125" i="123" s="1"/>
  <c r="KY18" i="1" l="1"/>
  <c r="JL166" i="1"/>
  <c r="JL169" i="1" s="1"/>
  <c r="KZ168" i="1"/>
  <c r="HF97" i="123"/>
  <c r="KZ18" i="1" l="1"/>
  <c r="JN166" i="1"/>
  <c r="JN169" i="1" s="1"/>
  <c r="JM166" i="1"/>
  <c r="JM169" i="1" s="1"/>
  <c r="LA168" i="1"/>
  <c r="LA18" i="1" s="1"/>
  <c r="HG97" i="123"/>
  <c r="HH122" i="123"/>
  <c r="HH125" i="123" s="1"/>
  <c r="HI122" i="123"/>
  <c r="HI125" i="123" s="1"/>
  <c r="JO166" i="1" l="1"/>
  <c r="JO169" i="1" s="1"/>
  <c r="LB168" i="1"/>
  <c r="LB18" i="1" s="1"/>
  <c r="HH97" i="123"/>
  <c r="LC168" i="1" l="1"/>
  <c r="LC18" i="1" s="1"/>
  <c r="HI97" i="123"/>
  <c r="HJ122" i="123"/>
  <c r="HJ125" i="123" s="1"/>
  <c r="JP166" i="1"/>
  <c r="JP169" i="1" s="1"/>
  <c r="LD168" i="1" l="1"/>
  <c r="LD18" i="1" s="1"/>
  <c r="HJ97" i="123"/>
  <c r="HK122" i="123"/>
  <c r="HK125" i="123" s="1"/>
  <c r="HL122" i="123"/>
  <c r="HL125" i="123" s="1"/>
  <c r="JQ166" i="1" l="1"/>
  <c r="JQ169" i="1" s="1"/>
  <c r="LE168" i="1"/>
  <c r="LE18" i="1" s="1"/>
  <c r="HK97" i="123"/>
  <c r="IL122" i="123"/>
  <c r="IL125" i="123" s="1"/>
  <c r="IY122" i="123"/>
  <c r="IY125" i="123" s="1"/>
  <c r="HY122" i="123"/>
  <c r="HY125" i="123" s="1"/>
  <c r="IM122" i="123"/>
  <c r="IM125" i="123" s="1"/>
  <c r="JR166" i="1" l="1"/>
  <c r="JR169" i="1" s="1"/>
  <c r="LF168" i="1"/>
  <c r="LF18" i="1" s="1"/>
  <c r="HL97" i="123"/>
  <c r="IZ122" i="123"/>
  <c r="IZ125" i="123" s="1"/>
  <c r="IQ122" i="123"/>
  <c r="IQ125" i="123" s="1"/>
  <c r="HU122" i="123"/>
  <c r="HU125" i="123" s="1"/>
  <c r="HZ122" i="123"/>
  <c r="HZ125" i="123" s="1"/>
  <c r="ID122" i="123"/>
  <c r="ID125" i="123" s="1"/>
  <c r="IU122" i="123"/>
  <c r="IU125" i="123" s="1"/>
  <c r="HM122" i="123"/>
  <c r="HM125" i="123" s="1"/>
  <c r="HQ122" i="123"/>
  <c r="HQ125" i="123" s="1"/>
  <c r="IH122" i="123"/>
  <c r="IH125" i="123" s="1"/>
  <c r="HV122" i="123"/>
  <c r="HV125" i="123" s="1"/>
  <c r="JS166" i="1" l="1"/>
  <c r="JS169" i="1" s="1"/>
  <c r="JT166" i="1"/>
  <c r="JT169" i="1" s="1"/>
  <c r="LG168" i="1"/>
  <c r="LG18" i="1" s="1"/>
  <c r="HM97" i="123"/>
  <c r="HN122" i="123"/>
  <c r="HN125" i="123" s="1"/>
  <c r="JA122" i="123"/>
  <c r="JA125" i="123" s="1"/>
  <c r="IR122" i="123"/>
  <c r="IR125" i="123" s="1"/>
  <c r="IV122" i="123"/>
  <c r="IV125" i="123" s="1"/>
  <c r="IA122" i="123"/>
  <c r="IA125" i="123" s="1"/>
  <c r="HR122" i="123"/>
  <c r="HR125" i="123" s="1"/>
  <c r="II122" i="123"/>
  <c r="II125" i="123" s="1"/>
  <c r="IN122" i="123"/>
  <c r="IN125" i="123" s="1"/>
  <c r="HO122" i="123"/>
  <c r="HO125" i="123" s="1"/>
  <c r="IE122" i="123"/>
  <c r="IE125" i="123" s="1"/>
  <c r="JA97" i="123"/>
  <c r="LH168" i="1" l="1"/>
  <c r="LH18" i="1" s="1"/>
  <c r="HN97" i="123"/>
  <c r="IO122" i="123"/>
  <c r="IO125" i="123" s="1"/>
  <c r="IS122" i="123"/>
  <c r="IS125" i="123" s="1"/>
  <c r="IJ122" i="123"/>
  <c r="IJ125" i="123" s="1"/>
  <c r="HS122" i="123"/>
  <c r="HS125" i="123" s="1"/>
  <c r="JB122" i="123"/>
  <c r="JB125" i="123" s="1"/>
  <c r="JC122" i="123"/>
  <c r="JC125" i="123" s="1"/>
  <c r="HW122" i="123"/>
  <c r="HW125" i="123" s="1"/>
  <c r="IB122" i="123"/>
  <c r="IB125" i="123" s="1"/>
  <c r="IF122" i="123"/>
  <c r="IF125" i="123" s="1"/>
  <c r="IW122" i="123"/>
  <c r="IW125" i="123" s="1"/>
  <c r="HX122" i="123"/>
  <c r="HX125" i="123" s="1"/>
  <c r="IT122" i="123"/>
  <c r="IT125" i="123" s="1"/>
  <c r="JB97" i="123"/>
  <c r="CR130" i="123" l="1"/>
  <c r="CS130" i="123" s="1"/>
  <c r="CR201" i="123"/>
  <c r="CS201" i="123" s="1"/>
  <c r="CR129" i="123"/>
  <c r="CR175" i="123"/>
  <c r="CS175" i="123" s="1"/>
  <c r="CR155" i="123"/>
  <c r="CS155" i="123" s="1"/>
  <c r="CR135" i="123"/>
  <c r="CS135" i="123" s="1"/>
  <c r="CR204" i="123"/>
  <c r="CS204" i="123" s="1"/>
  <c r="CR225" i="123"/>
  <c r="CS225" i="123" s="1"/>
  <c r="CR226" i="123"/>
  <c r="CS226" i="123" s="1"/>
  <c r="CR191" i="123"/>
  <c r="CS191" i="123" s="1"/>
  <c r="CR183" i="123"/>
  <c r="CS183" i="123" s="1"/>
  <c r="CR232" i="123"/>
  <c r="CS232" i="123" s="1"/>
  <c r="CR190" i="123"/>
  <c r="CS190" i="123" s="1"/>
  <c r="CR195" i="123"/>
  <c r="CS195" i="123" s="1"/>
  <c r="CR207" i="123"/>
  <c r="CS207" i="123" s="1"/>
  <c r="JU166" i="1"/>
  <c r="JU169" i="1" s="1"/>
  <c r="LI168" i="1"/>
  <c r="LI18" i="1" s="1"/>
  <c r="HO97" i="123"/>
  <c r="HP122" i="123"/>
  <c r="HP125" i="123" s="1"/>
  <c r="HT122" i="123"/>
  <c r="HT125" i="123" s="1"/>
  <c r="IP122" i="123"/>
  <c r="IP125" i="123" s="1"/>
  <c r="IK122" i="123"/>
  <c r="IK125" i="123" s="1"/>
  <c r="IG122" i="123"/>
  <c r="IG125" i="123" s="1"/>
  <c r="IX122" i="123"/>
  <c r="IX125" i="123" s="1"/>
  <c r="IC122" i="123"/>
  <c r="IC125" i="123" s="1"/>
  <c r="JC97" i="123"/>
  <c r="CS129" i="123" l="1"/>
  <c r="JV166" i="1"/>
  <c r="JV169" i="1" s="1"/>
  <c r="LJ168" i="1"/>
  <c r="LJ18" i="1" s="1"/>
  <c r="HP97" i="123"/>
  <c r="M52" i="93" l="1"/>
  <c r="HH52" i="93" s="1"/>
  <c r="L52" i="93"/>
  <c r="HG52" i="93" s="1"/>
  <c r="DL226" i="123"/>
  <c r="DL232" i="123"/>
  <c r="DL190" i="123"/>
  <c r="DL191" i="123"/>
  <c r="DL183" i="123"/>
  <c r="DL207" i="123"/>
  <c r="DL198" i="123"/>
  <c r="DL192" i="123"/>
  <c r="DL135" i="123"/>
  <c r="DL208" i="123"/>
  <c r="DL155" i="123"/>
  <c r="DL130" i="123"/>
  <c r="DL175" i="123"/>
  <c r="DL197" i="123"/>
  <c r="DL195" i="123"/>
  <c r="DL202" i="123"/>
  <c r="DL225" i="123"/>
  <c r="DL129" i="123"/>
  <c r="DL193" i="123"/>
  <c r="DL199" i="123"/>
  <c r="DL201" i="123"/>
  <c r="DL204" i="123"/>
  <c r="DL196" i="123"/>
  <c r="JW166" i="1"/>
  <c r="JW169" i="1" s="1"/>
  <c r="LK168" i="1"/>
  <c r="LK18" i="1" s="1"/>
  <c r="HQ97" i="123"/>
  <c r="LL166" i="1"/>
  <c r="LL169" i="1" s="1"/>
  <c r="HJ52" i="93" l="1"/>
  <c r="HK52" i="93" s="1"/>
  <c r="JX166" i="1"/>
  <c r="JX169" i="1" s="1"/>
  <c r="LL168" i="1"/>
  <c r="LL18" i="1" s="1"/>
  <c r="HR97" i="123"/>
  <c r="JZ166" i="1" l="1"/>
  <c r="JZ169" i="1" s="1"/>
  <c r="JY166" i="1"/>
  <c r="JY169" i="1" s="1"/>
  <c r="KL166" i="1"/>
  <c r="KL169" i="1" s="1"/>
  <c r="KY166" i="1"/>
  <c r="KY169" i="1" s="1"/>
  <c r="HS97" i="123"/>
  <c r="LM166" i="1"/>
  <c r="LM169" i="1" s="1"/>
  <c r="KQ166" i="1"/>
  <c r="KQ169" i="1" s="1"/>
  <c r="KD166" i="1"/>
  <c r="KD169" i="1" s="1"/>
  <c r="KZ166" i="1"/>
  <c r="KZ169" i="1" s="1"/>
  <c r="LA166" i="1" l="1"/>
  <c r="LA169" i="1" s="1"/>
  <c r="LD166" i="1"/>
  <c r="LD169" i="1" s="1"/>
  <c r="LH166" i="1"/>
  <c r="LH169" i="1" s="1"/>
  <c r="KU166" i="1"/>
  <c r="KU169" i="1" s="1"/>
  <c r="KH166" i="1"/>
  <c r="KH169" i="1" s="1"/>
  <c r="KM166" i="1"/>
  <c r="KM169" i="1" s="1"/>
  <c r="LM168" i="1"/>
  <c r="LM18" i="1" s="1"/>
  <c r="LN168" i="1"/>
  <c r="LN18" i="1" s="1"/>
  <c r="HT97" i="123"/>
  <c r="LN166" i="1"/>
  <c r="LN169" i="1" s="1"/>
  <c r="KE166" i="1"/>
  <c r="KE169" i="1" s="1"/>
  <c r="KN166" i="1"/>
  <c r="KN169" i="1" s="1"/>
  <c r="LO166" i="1"/>
  <c r="LO169" i="1" s="1"/>
  <c r="KR166" i="1" l="1"/>
  <c r="KR169" i="1" s="1"/>
  <c r="KV166" i="1"/>
  <c r="KV169" i="1" s="1"/>
  <c r="KI166" i="1"/>
  <c r="KI169" i="1" s="1"/>
  <c r="LI166" i="1"/>
  <c r="LI169" i="1" s="1"/>
  <c r="LE166" i="1"/>
  <c r="LE169" i="1" s="1"/>
  <c r="KA166" i="1"/>
  <c r="KA169" i="1" s="1"/>
  <c r="LO168" i="1"/>
  <c r="LO18" i="1" s="1"/>
  <c r="HU97" i="123"/>
  <c r="KB166" i="1"/>
  <c r="KB169" i="1" s="1"/>
  <c r="LP166" i="1"/>
  <c r="LP169" i="1" s="1"/>
  <c r="KW166" i="1" l="1"/>
  <c r="KW169" i="1" s="1"/>
  <c r="KS166" i="1"/>
  <c r="KS169" i="1" s="1"/>
  <c r="KJ166" i="1"/>
  <c r="KJ169" i="1" s="1"/>
  <c r="LJ166" i="1"/>
  <c r="LJ169" i="1" s="1"/>
  <c r="LF166" i="1"/>
  <c r="LF169" i="1" s="1"/>
  <c r="KO166" i="1"/>
  <c r="KO169" i="1" s="1"/>
  <c r="LB166" i="1"/>
  <c r="LB169" i="1" s="1"/>
  <c r="KF166" i="1"/>
  <c r="KF169" i="1" s="1"/>
  <c r="HV97" i="123"/>
  <c r="LG166" i="1" l="1"/>
  <c r="LG169" i="1" s="1"/>
  <c r="KC166" i="1"/>
  <c r="KC169" i="1" s="1"/>
  <c r="LK166" i="1"/>
  <c r="LK169" i="1" s="1"/>
  <c r="KK166" i="1"/>
  <c r="KK169" i="1" s="1"/>
  <c r="KP166" i="1"/>
  <c r="KP169" i="1" s="1"/>
  <c r="KX166" i="1"/>
  <c r="KX169" i="1" s="1"/>
  <c r="KT166" i="1"/>
  <c r="KT169" i="1" s="1"/>
  <c r="LC166" i="1"/>
  <c r="LC169" i="1" s="1"/>
  <c r="KG166" i="1"/>
  <c r="KG169" i="1" s="1"/>
  <c r="LP168" i="1"/>
  <c r="HW97" i="123"/>
  <c r="AP206" i="1" l="1"/>
  <c r="AU339" i="1"/>
  <c r="AT339" i="1"/>
  <c r="AR339" i="1"/>
  <c r="AU206" i="1"/>
  <c r="AO339" i="1"/>
  <c r="AR206" i="1"/>
  <c r="AT206" i="1"/>
  <c r="AV206" i="1"/>
  <c r="AP339" i="1"/>
  <c r="AS339" i="1"/>
  <c r="AV339" i="1"/>
  <c r="AW339" i="1"/>
  <c r="AS206" i="1"/>
  <c r="AW206" i="1"/>
  <c r="AQ206" i="1"/>
  <c r="AO206" i="1"/>
  <c r="AX206" i="1"/>
  <c r="AQ339" i="1"/>
  <c r="AX339" i="1"/>
  <c r="AW342" i="1"/>
  <c r="AU342" i="1"/>
  <c r="AR342" i="1"/>
  <c r="AS342" i="1"/>
  <c r="AP342" i="1"/>
  <c r="AO342" i="1"/>
  <c r="AQ342" i="1"/>
  <c r="AT342" i="1"/>
  <c r="AV342" i="1"/>
  <c r="AX342" i="1"/>
  <c r="AP188" i="1"/>
  <c r="AX188" i="1"/>
  <c r="AV188" i="1"/>
  <c r="AQ188" i="1"/>
  <c r="AS188" i="1"/>
  <c r="AU188" i="1"/>
  <c r="AW188" i="1"/>
  <c r="AR188" i="1"/>
  <c r="AO188" i="1"/>
  <c r="AT188" i="1"/>
  <c r="AO178" i="1"/>
  <c r="AP178" i="1"/>
  <c r="AP184" i="1"/>
  <c r="AW178" i="1"/>
  <c r="AW184" i="1"/>
  <c r="AV178" i="1"/>
  <c r="AQ184" i="1"/>
  <c r="AS184" i="1"/>
  <c r="AR178" i="1"/>
  <c r="AS178" i="1"/>
  <c r="AX178" i="1"/>
  <c r="AQ178" i="1"/>
  <c r="AX184" i="1"/>
  <c r="AR184" i="1"/>
  <c r="AT184" i="1"/>
  <c r="AT178" i="1"/>
  <c r="AV184" i="1"/>
  <c r="AO184" i="1"/>
  <c r="AU178" i="1"/>
  <c r="AU184" i="1"/>
  <c r="AU248" i="1"/>
  <c r="AS287" i="1"/>
  <c r="AT282" i="1"/>
  <c r="AO248" i="1"/>
  <c r="AW296" i="1"/>
  <c r="AU271" i="1"/>
  <c r="AP296" i="1"/>
  <c r="AP271" i="1"/>
  <c r="AS259" i="1"/>
  <c r="AS271" i="1"/>
  <c r="AV295" i="1"/>
  <c r="AX282" i="1"/>
  <c r="AX287" i="1"/>
  <c r="AT296" i="1"/>
  <c r="AV296" i="1"/>
  <c r="AW295" i="1"/>
  <c r="AT271" i="1"/>
  <c r="AR248" i="1"/>
  <c r="AT295" i="1"/>
  <c r="AT259" i="1"/>
  <c r="AS248" i="1"/>
  <c r="AV287" i="1"/>
  <c r="AQ287" i="1"/>
  <c r="AV282" i="1"/>
  <c r="AR259" i="1"/>
  <c r="AX271" i="1"/>
  <c r="AW287" i="1"/>
  <c r="AQ295" i="1"/>
  <c r="AQ271" i="1"/>
  <c r="AX296" i="1"/>
  <c r="AV259" i="1"/>
  <c r="AV271" i="1"/>
  <c r="AO271" i="1"/>
  <c r="AQ259" i="1"/>
  <c r="AS295" i="1"/>
  <c r="AQ282" i="1"/>
  <c r="AP259" i="1"/>
  <c r="AW248" i="1"/>
  <c r="AU296" i="1"/>
  <c r="AU295" i="1"/>
  <c r="AQ296" i="1"/>
  <c r="AW282" i="1"/>
  <c r="AP287" i="1"/>
  <c r="AR296" i="1"/>
  <c r="AS296" i="1"/>
  <c r="AR287" i="1"/>
  <c r="AP295" i="1"/>
  <c r="AW259" i="1"/>
  <c r="AX295" i="1"/>
  <c r="AR282" i="1"/>
  <c r="AW271" i="1"/>
  <c r="AU287" i="1"/>
  <c r="AR271" i="1"/>
  <c r="AP248" i="1"/>
  <c r="AO259" i="1"/>
  <c r="AP282" i="1"/>
  <c r="AU259" i="1"/>
  <c r="AO295" i="1"/>
  <c r="AO296" i="1"/>
  <c r="AT248" i="1"/>
  <c r="AX259" i="1"/>
  <c r="AX248" i="1"/>
  <c r="AR295" i="1"/>
  <c r="AQ248" i="1"/>
  <c r="AO287" i="1"/>
  <c r="AS282" i="1"/>
  <c r="AO282" i="1"/>
  <c r="AU282" i="1"/>
  <c r="AV248" i="1"/>
  <c r="AT287" i="1"/>
  <c r="AU330" i="1"/>
  <c r="AT194" i="1"/>
  <c r="AX335" i="1"/>
  <c r="AT323" i="1"/>
  <c r="AS194" i="1"/>
  <c r="AQ302" i="1"/>
  <c r="AV238" i="1"/>
  <c r="AP194" i="1"/>
  <c r="AX221" i="1"/>
  <c r="AR335" i="1"/>
  <c r="AO323" i="1"/>
  <c r="AQ238" i="1"/>
  <c r="AW201" i="1"/>
  <c r="AP222" i="1"/>
  <c r="AV174" i="1"/>
  <c r="AT221" i="1"/>
  <c r="AT329" i="1"/>
  <c r="AT222" i="1"/>
  <c r="AU238" i="1"/>
  <c r="AW221" i="1"/>
  <c r="AT302" i="1"/>
  <c r="AO174" i="1"/>
  <c r="AR238" i="1"/>
  <c r="AW335" i="1"/>
  <c r="AV221" i="1"/>
  <c r="AO194" i="1"/>
  <c r="AT238" i="1"/>
  <c r="AX238" i="1"/>
  <c r="AO231" i="1"/>
  <c r="AQ323" i="1"/>
  <c r="AU302" i="1"/>
  <c r="AX187" i="1"/>
  <c r="AS238" i="1"/>
  <c r="AW323" i="1"/>
  <c r="AX194" i="1"/>
  <c r="AV201" i="1"/>
  <c r="AW238" i="1"/>
  <c r="AP323" i="1"/>
  <c r="AW222" i="1"/>
  <c r="AX222" i="1"/>
  <c r="AR221" i="1"/>
  <c r="AO201" i="1"/>
  <c r="AP201" i="1"/>
  <c r="AS201" i="1"/>
  <c r="AR231" i="1"/>
  <c r="AS323" i="1"/>
  <c r="AU329" i="1"/>
  <c r="AS231" i="1"/>
  <c r="AX329" i="1"/>
  <c r="AP174" i="1"/>
  <c r="AR201" i="1"/>
  <c r="AO222" i="1"/>
  <c r="AO187" i="1"/>
  <c r="AT187" i="1"/>
  <c r="AR330" i="1"/>
  <c r="AQ221" i="1"/>
  <c r="AR222" i="1"/>
  <c r="AX174" i="1"/>
  <c r="AS174" i="1"/>
  <c r="AS335" i="1"/>
  <c r="AS302" i="1"/>
  <c r="AQ231" i="1"/>
  <c r="AP335" i="1"/>
  <c r="AW329" i="1"/>
  <c r="AU201" i="1"/>
  <c r="AU222" i="1"/>
  <c r="AU187" i="1"/>
  <c r="AO329" i="1"/>
  <c r="AO238" i="1"/>
  <c r="AO221" i="1"/>
  <c r="AP302" i="1"/>
  <c r="AQ330" i="1"/>
  <c r="AW194" i="1"/>
  <c r="AV329" i="1"/>
  <c r="AS330" i="1"/>
  <c r="AP329" i="1"/>
  <c r="AQ329" i="1"/>
  <c r="AV330" i="1"/>
  <c r="AQ201" i="1"/>
  <c r="AV335" i="1"/>
  <c r="AV231" i="1"/>
  <c r="AQ194" i="1"/>
  <c r="AW330" i="1"/>
  <c r="AW302" i="1"/>
  <c r="AX323" i="1"/>
  <c r="AV194" i="1"/>
  <c r="AR323" i="1"/>
  <c r="AT174" i="1"/>
  <c r="AR194" i="1"/>
  <c r="AQ335" i="1"/>
  <c r="AQ174" i="1"/>
  <c r="AV302" i="1"/>
  <c r="AR329" i="1"/>
  <c r="AU323" i="1"/>
  <c r="AU194" i="1"/>
  <c r="AS187" i="1"/>
  <c r="AQ187" i="1"/>
  <c r="AO335" i="1"/>
  <c r="AP187" i="1"/>
  <c r="AX330" i="1"/>
  <c r="AT335" i="1"/>
  <c r="AP231" i="1"/>
  <c r="AS222" i="1"/>
  <c r="AT231" i="1"/>
  <c r="AW174" i="1"/>
  <c r="AS329" i="1"/>
  <c r="AV323" i="1"/>
  <c r="AS221" i="1"/>
  <c r="AW231" i="1"/>
  <c r="AR302" i="1"/>
  <c r="AW187" i="1"/>
  <c r="AP221" i="1"/>
  <c r="AQ222" i="1"/>
  <c r="AU174" i="1"/>
  <c r="AT201" i="1"/>
  <c r="AR187" i="1"/>
  <c r="AU335" i="1"/>
  <c r="AU231" i="1"/>
  <c r="AV187" i="1"/>
  <c r="AU221" i="1"/>
  <c r="AT330" i="1"/>
  <c r="AX201" i="1"/>
  <c r="AX231" i="1"/>
  <c r="AV222" i="1"/>
  <c r="AP238" i="1"/>
  <c r="AP330" i="1"/>
  <c r="AR174" i="1"/>
  <c r="AO302" i="1"/>
  <c r="AO330" i="1"/>
  <c r="AX302" i="1"/>
  <c r="AQ209" i="1"/>
  <c r="AX209" i="1"/>
  <c r="AP209" i="1"/>
  <c r="AO209" i="1"/>
  <c r="AU209" i="1"/>
  <c r="AW209" i="1"/>
  <c r="AS209" i="1"/>
  <c r="AT209" i="1"/>
  <c r="AR209" i="1"/>
  <c r="AV209" i="1"/>
  <c r="AU219" i="1"/>
  <c r="AS219" i="1"/>
  <c r="AO219" i="1"/>
  <c r="AP219" i="1"/>
  <c r="AX219" i="1"/>
  <c r="AV219" i="1"/>
  <c r="AT219" i="1"/>
  <c r="AR219" i="1"/>
  <c r="AW219" i="1"/>
  <c r="AQ219" i="1"/>
  <c r="AW217" i="1"/>
  <c r="AV217" i="1"/>
  <c r="AX217" i="1"/>
  <c r="AU217" i="1"/>
  <c r="AT217" i="1"/>
  <c r="AQ217" i="1"/>
  <c r="AP217" i="1"/>
  <c r="AR217" i="1"/>
  <c r="AS217" i="1"/>
  <c r="AO217" i="1"/>
  <c r="AR214" i="1"/>
  <c r="AS214" i="1"/>
  <c r="AU214" i="1"/>
  <c r="AW214" i="1"/>
  <c r="AQ214" i="1"/>
  <c r="AV214" i="1"/>
  <c r="AT214" i="1"/>
  <c r="AX214" i="1"/>
  <c r="AP214" i="1"/>
  <c r="AO214" i="1"/>
  <c r="AS212" i="1"/>
  <c r="AO212" i="1"/>
  <c r="AR212" i="1"/>
  <c r="AW212" i="1"/>
  <c r="AU212" i="1"/>
  <c r="AX212" i="1"/>
  <c r="AQ212" i="1"/>
  <c r="AT212" i="1"/>
  <c r="AP212" i="1"/>
  <c r="AV212" i="1"/>
  <c r="AS210" i="1"/>
  <c r="AV210" i="1"/>
  <c r="AP210" i="1"/>
  <c r="AW210" i="1"/>
  <c r="AO210" i="1"/>
  <c r="AQ210" i="1"/>
  <c r="AR210" i="1"/>
  <c r="AX210" i="1"/>
  <c r="AU210" i="1"/>
  <c r="AT210" i="1"/>
  <c r="LP18" i="1"/>
  <c r="AO216" i="1"/>
  <c r="AW218" i="1"/>
  <c r="AW216" i="1"/>
  <c r="AX216" i="1"/>
  <c r="AT216" i="1"/>
  <c r="AR218" i="1"/>
  <c r="AV218" i="1"/>
  <c r="AQ218" i="1"/>
  <c r="AT218" i="1"/>
  <c r="AU218" i="1"/>
  <c r="AP218" i="1"/>
  <c r="AR216" i="1"/>
  <c r="AV216" i="1"/>
  <c r="AX218" i="1"/>
  <c r="AU216" i="1"/>
  <c r="AP216" i="1"/>
  <c r="AS216" i="1"/>
  <c r="AQ216" i="1"/>
  <c r="AS218" i="1"/>
  <c r="AO218" i="1"/>
  <c r="AS313" i="1"/>
  <c r="AU310" i="1"/>
  <c r="AP347" i="1"/>
  <c r="AO243" i="1"/>
  <c r="AX267" i="1"/>
  <c r="AX241" i="1"/>
  <c r="AV309" i="1"/>
  <c r="AU362" i="1"/>
  <c r="AV205" i="1"/>
  <c r="AU220" i="1"/>
  <c r="AU258" i="1"/>
  <c r="AW225" i="1"/>
  <c r="AS290" i="1"/>
  <c r="AP232" i="1"/>
  <c r="AQ294" i="1"/>
  <c r="AO177" i="1"/>
  <c r="AP182" i="1"/>
  <c r="AV249" i="1"/>
  <c r="AW356" i="1"/>
  <c r="AT298" i="1"/>
  <c r="AV288" i="1"/>
  <c r="AW314" i="1"/>
  <c r="AV345" i="1"/>
  <c r="AO301" i="1"/>
  <c r="AS361" i="1"/>
  <c r="AW325" i="1"/>
  <c r="AV220" i="1"/>
  <c r="AV326" i="1"/>
  <c r="AU263" i="1"/>
  <c r="AT205" i="1"/>
  <c r="AS232" i="1"/>
  <c r="AW345" i="1"/>
  <c r="AT315" i="1"/>
  <c r="AW315" i="1"/>
  <c r="AX185" i="1"/>
  <c r="AP223" i="1"/>
  <c r="AS320" i="1"/>
  <c r="AT319" i="1"/>
  <c r="AP350" i="1"/>
  <c r="AU340" i="1"/>
  <c r="AW202" i="1"/>
  <c r="AX314" i="1"/>
  <c r="AS288" i="1"/>
  <c r="AW292" i="1"/>
  <c r="AU352" i="1"/>
  <c r="AV211" i="1"/>
  <c r="AV311" i="1"/>
  <c r="AW285" i="1"/>
  <c r="AW245" i="1"/>
  <c r="AX177" i="1"/>
  <c r="AT284" i="1"/>
  <c r="AO245" i="1"/>
  <c r="AO317" i="1"/>
  <c r="AR320" i="1"/>
  <c r="AU270" i="1"/>
  <c r="AQ360" i="1"/>
  <c r="AW320" i="1"/>
  <c r="AO315" i="1"/>
  <c r="AR311" i="1"/>
  <c r="AP341" i="1"/>
  <c r="AS252" i="1"/>
  <c r="AT299" i="1"/>
  <c r="AP228" i="1"/>
  <c r="AR190" i="1"/>
  <c r="AP356" i="1"/>
  <c r="AX223" i="1"/>
  <c r="AU355" i="1"/>
  <c r="AT273" i="1"/>
  <c r="AW293" i="1"/>
  <c r="AQ273" i="1"/>
  <c r="AW298" i="1"/>
  <c r="AX298" i="1"/>
  <c r="AQ265" i="1"/>
  <c r="AS251" i="1"/>
  <c r="AP254" i="1"/>
  <c r="AR246" i="1"/>
  <c r="AR266" i="1"/>
  <c r="AS189" i="1"/>
  <c r="AO343" i="1"/>
  <c r="AV361" i="1"/>
  <c r="AS191" i="1"/>
  <c r="AO225" i="1"/>
  <c r="AQ306" i="1"/>
  <c r="AR325" i="1"/>
  <c r="AP244" i="1"/>
  <c r="AS285" i="1"/>
  <c r="AU202" i="1"/>
  <c r="AO352" i="1"/>
  <c r="AV354" i="1"/>
  <c r="AQ350" i="1"/>
  <c r="AX254" i="1"/>
  <c r="AT176" i="1"/>
  <c r="AR255" i="1"/>
  <c r="AP268" i="1"/>
  <c r="AV317" i="1"/>
  <c r="AO316" i="1"/>
  <c r="AR333" i="1"/>
  <c r="AP263" i="1"/>
  <c r="AX309" i="1"/>
  <c r="AW283" i="1"/>
  <c r="AU251" i="1"/>
  <c r="AW234" i="1"/>
  <c r="AR267" i="1"/>
  <c r="AV355" i="1"/>
  <c r="AW256" i="1"/>
  <c r="AQ337" i="1"/>
  <c r="AW263" i="1"/>
  <c r="AP266" i="1"/>
  <c r="AQ333" i="1"/>
  <c r="AT185" i="1"/>
  <c r="AT208" i="1"/>
  <c r="AW281" i="1"/>
  <c r="AV213" i="1"/>
  <c r="AV232" i="1"/>
  <c r="AU345" i="1"/>
  <c r="AT253" i="1"/>
  <c r="AW303" i="1"/>
  <c r="AX337" i="1"/>
  <c r="AW177" i="1"/>
  <c r="AS220" i="1"/>
  <c r="AT252" i="1"/>
  <c r="AQ200" i="1"/>
  <c r="AO350" i="1"/>
  <c r="AP198" i="1"/>
  <c r="AV270" i="1"/>
  <c r="AP234" i="1"/>
  <c r="AW324" i="1"/>
  <c r="AU314" i="1"/>
  <c r="AP246" i="1"/>
  <c r="AP262" i="1"/>
  <c r="AS244" i="1"/>
  <c r="AV350" i="1"/>
  <c r="AP292" i="1"/>
  <c r="AQ234" i="1"/>
  <c r="AP349" i="1"/>
  <c r="AW226" i="1"/>
  <c r="AU349" i="1"/>
  <c r="AT354" i="1"/>
  <c r="AW277" i="1"/>
  <c r="AT229" i="1"/>
  <c r="AX328" i="1"/>
  <c r="AV279" i="1"/>
  <c r="AR359" i="1"/>
  <c r="AR347" i="1"/>
  <c r="AP236" i="1"/>
  <c r="AP314" i="1"/>
  <c r="AQ247" i="1"/>
  <c r="AU195" i="1"/>
  <c r="AO240" i="1"/>
  <c r="AW232" i="1"/>
  <c r="AQ241" i="1"/>
  <c r="AO229" i="1"/>
  <c r="AT249" i="1"/>
  <c r="AR186" i="1"/>
  <c r="AP235" i="1"/>
  <c r="AR180" i="1"/>
  <c r="AW229" i="1"/>
  <c r="AO333" i="1"/>
  <c r="AW192" i="1"/>
  <c r="AP316" i="1"/>
  <c r="AS260" i="1"/>
  <c r="AS237" i="1"/>
  <c r="AR253" i="1"/>
  <c r="AO353" i="1"/>
  <c r="AR228" i="1"/>
  <c r="AW204" i="1"/>
  <c r="AO338" i="1"/>
  <c r="AQ175" i="1"/>
  <c r="AO254" i="1"/>
  <c r="AP199" i="1"/>
  <c r="AP275" i="1"/>
  <c r="AU285" i="1"/>
  <c r="AX297" i="1"/>
  <c r="AU338" i="1"/>
  <c r="AU309" i="1"/>
  <c r="AU225" i="1"/>
  <c r="AU182" i="1"/>
  <c r="AV197" i="1"/>
  <c r="AO277" i="1"/>
  <c r="AQ256" i="1"/>
  <c r="AO327" i="1"/>
  <c r="AV250" i="1"/>
  <c r="AO223" i="1"/>
  <c r="AQ303" i="1"/>
  <c r="AO252" i="1"/>
  <c r="AR332" i="1"/>
  <c r="AO285" i="1"/>
  <c r="AO321" i="1"/>
  <c r="AU312" i="1"/>
  <c r="AX286" i="1"/>
  <c r="AT303" i="1"/>
  <c r="AP176" i="1"/>
  <c r="AT262" i="1"/>
  <c r="AS324" i="1"/>
  <c r="AX321" i="1"/>
  <c r="AV189" i="1"/>
  <c r="AX359" i="1"/>
  <c r="AV262" i="1"/>
  <c r="AV247" i="1"/>
  <c r="AW341" i="1"/>
  <c r="AP351" i="1"/>
  <c r="AS304" i="1"/>
  <c r="AP280" i="1"/>
  <c r="AT289" i="1"/>
  <c r="AP319" i="1"/>
  <c r="AS356" i="1"/>
  <c r="AS242" i="1"/>
  <c r="AV199" i="1"/>
  <c r="AS273" i="1"/>
  <c r="AT242" i="1"/>
  <c r="AV359" i="1"/>
  <c r="AV242" i="1"/>
  <c r="AQ288" i="1"/>
  <c r="AR197" i="1"/>
  <c r="AR258" i="1"/>
  <c r="AR363" i="1"/>
  <c r="AR260" i="1"/>
  <c r="AO363" i="1"/>
  <c r="AR324" i="1"/>
  <c r="AO260" i="1"/>
  <c r="AU245" i="1"/>
  <c r="AR360" i="1"/>
  <c r="AO249" i="1"/>
  <c r="AP293" i="1"/>
  <c r="AX255" i="1"/>
  <c r="AO246" i="1"/>
  <c r="AO215" i="1"/>
  <c r="AX176" i="1"/>
  <c r="AV234" i="1"/>
  <c r="AS355" i="1"/>
  <c r="AP285" i="1"/>
  <c r="AS199" i="1"/>
  <c r="AS182" i="1"/>
  <c r="AS223" i="1"/>
  <c r="AS276" i="1"/>
  <c r="AV224" i="1"/>
  <c r="AP260" i="1"/>
  <c r="AV198" i="1"/>
  <c r="AR338" i="1"/>
  <c r="AO364" i="1"/>
  <c r="AU277" i="1"/>
  <c r="AW244" i="1"/>
  <c r="AO351" i="1"/>
  <c r="AQ205" i="1"/>
  <c r="AQ242" i="1"/>
  <c r="AP317" i="1"/>
  <c r="AU197" i="1"/>
  <c r="AV175" i="1"/>
  <c r="AP345" i="1"/>
  <c r="AR234" i="1"/>
  <c r="AQ249" i="1"/>
  <c r="AS227" i="1"/>
  <c r="AQ177" i="1"/>
  <c r="AX205" i="1"/>
  <c r="AT321" i="1"/>
  <c r="AR336" i="1"/>
  <c r="AO230" i="1"/>
  <c r="AQ318" i="1"/>
  <c r="AT276" i="1"/>
  <c r="AQ180" i="1"/>
  <c r="AQ223" i="1"/>
  <c r="AO200" i="1"/>
  <c r="AR263" i="1"/>
  <c r="AQ267" i="1"/>
  <c r="AP362" i="1"/>
  <c r="AT207" i="1"/>
  <c r="AX343" i="1"/>
  <c r="AV193" i="1"/>
  <c r="AS281" i="1"/>
  <c r="AT357" i="1"/>
  <c r="AW344" i="1"/>
  <c r="AW258" i="1"/>
  <c r="AU275" i="1"/>
  <c r="AQ324" i="1"/>
  <c r="AT225" i="1"/>
  <c r="AR247" i="1"/>
  <c r="AR232" i="1"/>
  <c r="AS272" i="1"/>
  <c r="AS239" i="1"/>
  <c r="AX181" i="1"/>
  <c r="AV344" i="1"/>
  <c r="AW361" i="1"/>
  <c r="AT181" i="1"/>
  <c r="AQ304" i="1"/>
  <c r="AP294" i="1"/>
  <c r="AQ317" i="1"/>
  <c r="AP208" i="1"/>
  <c r="AX183" i="1"/>
  <c r="AT279" i="1"/>
  <c r="AX186" i="1"/>
  <c r="AS347" i="1"/>
  <c r="AX227" i="1"/>
  <c r="AU215" i="1"/>
  <c r="AW190" i="1"/>
  <c r="AT256" i="1"/>
  <c r="AO290" i="1"/>
  <c r="AP177" i="1"/>
  <c r="AQ332" i="1"/>
  <c r="AW182" i="1"/>
  <c r="AW352" i="1"/>
  <c r="AW360" i="1"/>
  <c r="AW239" i="1"/>
  <c r="AU313" i="1"/>
  <c r="AT325" i="1"/>
  <c r="AW348" i="1"/>
  <c r="AQ269" i="1"/>
  <c r="AU199" i="1"/>
  <c r="AT333" i="1"/>
  <c r="AT190" i="1"/>
  <c r="AU305" i="1"/>
  <c r="AP267" i="1"/>
  <c r="AU299" i="1"/>
  <c r="AQ326" i="1"/>
  <c r="AV253" i="1"/>
  <c r="AU322" i="1"/>
  <c r="AQ312" i="1"/>
  <c r="AO297" i="1"/>
  <c r="AR351" i="1"/>
  <c r="AO233" i="1"/>
  <c r="AR322" i="1"/>
  <c r="AV327" i="1"/>
  <c r="AS195" i="1"/>
  <c r="AO175" i="1"/>
  <c r="AO336" i="1"/>
  <c r="AV244" i="1"/>
  <c r="AV277" i="1"/>
  <c r="AW253" i="1"/>
  <c r="AX243" i="1"/>
  <c r="AX182" i="1"/>
  <c r="AX215" i="1"/>
  <c r="AU343" i="1"/>
  <c r="AO257" i="1"/>
  <c r="AP364" i="1"/>
  <c r="AR227" i="1"/>
  <c r="AT362" i="1"/>
  <c r="AO309" i="1"/>
  <c r="AW186" i="1"/>
  <c r="AP251" i="1"/>
  <c r="AP264" i="1"/>
  <c r="AQ270" i="1"/>
  <c r="AS363" i="1"/>
  <c r="AU232" i="1"/>
  <c r="AP320" i="1"/>
  <c r="AQ354" i="1"/>
  <c r="AR211" i="1"/>
  <c r="AX236" i="1"/>
  <c r="AP290" i="1"/>
  <c r="AS297" i="1"/>
  <c r="AP334" i="1"/>
  <c r="AP289" i="1"/>
  <c r="AP305" i="1"/>
  <c r="AP273" i="1"/>
  <c r="AQ261" i="1"/>
  <c r="AR189" i="1"/>
  <c r="AW289" i="1"/>
  <c r="AR195" i="1"/>
  <c r="AO288" i="1"/>
  <c r="AS277" i="1"/>
  <c r="AX280" i="1"/>
  <c r="AT326" i="1"/>
  <c r="AW357" i="1"/>
  <c r="AX360" i="1"/>
  <c r="AW207" i="1"/>
  <c r="AT277" i="1"/>
  <c r="AV236" i="1"/>
  <c r="AS345" i="1"/>
  <c r="AO255" i="1"/>
  <c r="AP240" i="1"/>
  <c r="AX272" i="1"/>
  <c r="AW328" i="1"/>
  <c r="AV275" i="1"/>
  <c r="AV334" i="1"/>
  <c r="AV278" i="1"/>
  <c r="AU200" i="1"/>
  <c r="AR230" i="1"/>
  <c r="AS197" i="1"/>
  <c r="AT264" i="1"/>
  <c r="AV324" i="1"/>
  <c r="AU230" i="1"/>
  <c r="AT191" i="1"/>
  <c r="AW305" i="1"/>
  <c r="AO220" i="1"/>
  <c r="AW267" i="1"/>
  <c r="AP358" i="1"/>
  <c r="AS228" i="1"/>
  <c r="AR344" i="1"/>
  <c r="AP211" i="1"/>
  <c r="AR307" i="1"/>
  <c r="AQ196" i="1"/>
  <c r="AR200" i="1"/>
  <c r="AP322" i="1"/>
  <c r="AX199" i="1"/>
  <c r="AR280" i="1"/>
  <c r="AO251" i="1"/>
  <c r="AS316" i="1"/>
  <c r="AW264" i="1"/>
  <c r="AV290" i="1"/>
  <c r="AW278" i="1"/>
  <c r="AX250" i="1"/>
  <c r="AW180" i="1"/>
  <c r="AV203" i="1"/>
  <c r="AU253" i="1"/>
  <c r="AP283" i="1"/>
  <c r="AQ315" i="1"/>
  <c r="AS208" i="1"/>
  <c r="AQ182" i="1"/>
  <c r="AW240" i="1"/>
  <c r="AO262" i="1"/>
  <c r="AS203" i="1"/>
  <c r="AP204" i="1"/>
  <c r="AR345" i="1"/>
  <c r="AU321" i="1"/>
  <c r="AO281" i="1"/>
  <c r="AR292" i="1"/>
  <c r="AP239" i="1"/>
  <c r="AX211" i="1"/>
  <c r="AO362" i="1"/>
  <c r="AR328" i="1"/>
  <c r="AR303" i="1"/>
  <c r="AO239" i="1"/>
  <c r="AO235" i="1"/>
  <c r="AP363" i="1"/>
  <c r="AR358" i="1"/>
  <c r="AP243" i="1"/>
  <c r="AV340" i="1"/>
  <c r="AQ224" i="1"/>
  <c r="AO272" i="1"/>
  <c r="AU357" i="1"/>
  <c r="AR251" i="1"/>
  <c r="AP338" i="1"/>
  <c r="AR204" i="1"/>
  <c r="AR256" i="1"/>
  <c r="AV362" i="1"/>
  <c r="AU247" i="1"/>
  <c r="AT199" i="1"/>
  <c r="AT307" i="1"/>
  <c r="AX291" i="1"/>
  <c r="AV202" i="1"/>
  <c r="AR250" i="1"/>
  <c r="AT227" i="1"/>
  <c r="AO345" i="1"/>
  <c r="AQ311" i="1"/>
  <c r="AP252" i="1"/>
  <c r="AX179" i="1"/>
  <c r="AW185" i="1"/>
  <c r="AV286" i="1"/>
  <c r="AW297" i="1"/>
  <c r="AU240" i="1"/>
  <c r="AT278" i="1"/>
  <c r="AQ305" i="1"/>
  <c r="AP197" i="1"/>
  <c r="AR277" i="1"/>
  <c r="AU288" i="1"/>
  <c r="AO190" i="1"/>
  <c r="AS303" i="1"/>
  <c r="AX312" i="1"/>
  <c r="AX299" i="1"/>
  <c r="AT317" i="1"/>
  <c r="AW319" i="1"/>
  <c r="AU256" i="1"/>
  <c r="AV243" i="1"/>
  <c r="AQ251" i="1"/>
  <c r="AS357" i="1"/>
  <c r="AX325" i="1"/>
  <c r="AV190" i="1"/>
  <c r="AV306" i="1"/>
  <c r="AT186" i="1"/>
  <c r="AS325" i="1"/>
  <c r="AU186" i="1"/>
  <c r="AT183" i="1"/>
  <c r="AX346" i="1"/>
  <c r="AX196" i="1"/>
  <c r="AU234" i="1"/>
  <c r="AT275" i="1"/>
  <c r="AV338" i="1"/>
  <c r="AV235" i="1"/>
  <c r="AX274" i="1"/>
  <c r="AQ299" i="1"/>
  <c r="AS308" i="1"/>
  <c r="AS236" i="1"/>
  <c r="AR181" i="1"/>
  <c r="AR309" i="1"/>
  <c r="AQ237" i="1"/>
  <c r="AP269" i="1"/>
  <c r="AR191" i="1"/>
  <c r="AP241" i="1"/>
  <c r="AW189" i="1"/>
  <c r="AT310" i="1"/>
  <c r="AT288" i="1"/>
  <c r="AX249" i="1"/>
  <c r="AT267" i="1"/>
  <c r="AQ341" i="1"/>
  <c r="AQ235" i="1"/>
  <c r="AQ202" i="1"/>
  <c r="AQ262" i="1"/>
  <c r="AQ283" i="1"/>
  <c r="AR321" i="1"/>
  <c r="AO198" i="1"/>
  <c r="AR179" i="1"/>
  <c r="AO264" i="1"/>
  <c r="AS249" i="1"/>
  <c r="AP333" i="1"/>
  <c r="AS246" i="1"/>
  <c r="AS331" i="1"/>
  <c r="AT291" i="1"/>
  <c r="AW301" i="1"/>
  <c r="AV301" i="1"/>
  <c r="AT313" i="1"/>
  <c r="AQ198" i="1"/>
  <c r="AU356" i="1"/>
  <c r="AT314" i="1"/>
  <c r="AU353" i="1"/>
  <c r="AP344" i="1"/>
  <c r="AU179" i="1"/>
  <c r="AV252" i="1"/>
  <c r="AX347" i="1"/>
  <c r="AQ298" i="1"/>
  <c r="AO312" i="1"/>
  <c r="AR208" i="1"/>
  <c r="AO314" i="1"/>
  <c r="AO319" i="1"/>
  <c r="AQ290" i="1"/>
  <c r="AU350" i="1"/>
  <c r="AW355" i="1"/>
  <c r="AW224" i="1"/>
  <c r="AU333" i="1"/>
  <c r="AO182" i="1"/>
  <c r="AX289" i="1"/>
  <c r="AU239" i="1"/>
  <c r="AR235" i="1"/>
  <c r="AS327" i="1"/>
  <c r="AW326" i="1"/>
  <c r="AP203" i="1"/>
  <c r="AR279" i="1"/>
  <c r="AS215" i="1"/>
  <c r="AP193" i="1"/>
  <c r="AP297" i="1"/>
  <c r="AR175" i="1"/>
  <c r="AS207" i="1"/>
  <c r="AU284" i="1"/>
  <c r="AO181" i="1"/>
  <c r="AX189" i="1"/>
  <c r="AV258" i="1"/>
  <c r="AS292" i="1"/>
  <c r="AU317" i="1"/>
  <c r="AS261" i="1"/>
  <c r="AO276" i="1"/>
  <c r="AT297" i="1"/>
  <c r="AX180" i="1"/>
  <c r="AV305" i="1"/>
  <c r="AX307" i="1"/>
  <c r="AO349" i="1"/>
  <c r="AQ280" i="1"/>
  <c r="AW228" i="1"/>
  <c r="AX265" i="1"/>
  <c r="AX285" i="1"/>
  <c r="AU189" i="1"/>
  <c r="AU250" i="1"/>
  <c r="AV293" i="1"/>
  <c r="AP291" i="1"/>
  <c r="AP200" i="1"/>
  <c r="AR240" i="1"/>
  <c r="AS317" i="1"/>
  <c r="AW203" i="1"/>
  <c r="AU211" i="1"/>
  <c r="AT213" i="1"/>
  <c r="AX316" i="1"/>
  <c r="AX190" i="1"/>
  <c r="AW321" i="1"/>
  <c r="AU255" i="1"/>
  <c r="AS183" i="1"/>
  <c r="AV347" i="1"/>
  <c r="AT197" i="1"/>
  <c r="AX234" i="1"/>
  <c r="AX208" i="1"/>
  <c r="AR326" i="1"/>
  <c r="AS293" i="1"/>
  <c r="AP180" i="1"/>
  <c r="AP247" i="1"/>
  <c r="AR352" i="1"/>
  <c r="AT180" i="1"/>
  <c r="AO332" i="1"/>
  <c r="AV308" i="1"/>
  <c r="AR229" i="1"/>
  <c r="AO269" i="1"/>
  <c r="AT311" i="1"/>
  <c r="AP272" i="1"/>
  <c r="AO284" i="1"/>
  <c r="AR233" i="1"/>
  <c r="AV256" i="1"/>
  <c r="AW236" i="1"/>
  <c r="AR242" i="1"/>
  <c r="AT260" i="1"/>
  <c r="AT266" i="1"/>
  <c r="AU308" i="1"/>
  <c r="AV179" i="1"/>
  <c r="AX203" i="1"/>
  <c r="AQ245" i="1"/>
  <c r="AV315" i="1"/>
  <c r="AS268" i="1"/>
  <c r="AR254" i="1"/>
  <c r="AR308" i="1"/>
  <c r="AS190" i="1"/>
  <c r="AO331" i="1"/>
  <c r="AO355" i="1"/>
  <c r="AQ268" i="1"/>
  <c r="AP225" i="1"/>
  <c r="AW291" i="1"/>
  <c r="AR245" i="1"/>
  <c r="AU246" i="1"/>
  <c r="AT356" i="1"/>
  <c r="AO298" i="1"/>
  <c r="AO244" i="1"/>
  <c r="AP337" i="1"/>
  <c r="AU300" i="1"/>
  <c r="AR237" i="1"/>
  <c r="AX310" i="1"/>
  <c r="AR276" i="1"/>
  <c r="AU264" i="1"/>
  <c r="AO192" i="1"/>
  <c r="AO334" i="1"/>
  <c r="AR203" i="1"/>
  <c r="AW220" i="1"/>
  <c r="AV263" i="1"/>
  <c r="AW354" i="1"/>
  <c r="AV292" i="1"/>
  <c r="AS286" i="1"/>
  <c r="AS193" i="1"/>
  <c r="AU243" i="1"/>
  <c r="AO359" i="1"/>
  <c r="AR348" i="1"/>
  <c r="AP237" i="1"/>
  <c r="AU190" i="1"/>
  <c r="AW337" i="1"/>
  <c r="AX278" i="1"/>
  <c r="AU244" i="1"/>
  <c r="AV300" i="1"/>
  <c r="AW346" i="1"/>
  <c r="AU254" i="1"/>
  <c r="AU328" i="1"/>
  <c r="AW199" i="1"/>
  <c r="AV230" i="1"/>
  <c r="AX257" i="1"/>
  <c r="AW254" i="1"/>
  <c r="AR283" i="1"/>
  <c r="AP357" i="1"/>
  <c r="AQ316" i="1"/>
  <c r="AQ183" i="1"/>
  <c r="AO211" i="1"/>
  <c r="AT272" i="1"/>
  <c r="AO303" i="1"/>
  <c r="AV348" i="1"/>
  <c r="AS289" i="1"/>
  <c r="AS247" i="1"/>
  <c r="AW176" i="1"/>
  <c r="AW247" i="1"/>
  <c r="AS341" i="1"/>
  <c r="AO356" i="1"/>
  <c r="AR314" i="1"/>
  <c r="AO202" i="1"/>
  <c r="AP181" i="1"/>
  <c r="AR264" i="1"/>
  <c r="AT364" i="1"/>
  <c r="AT304" i="1"/>
  <c r="AV333" i="1"/>
  <c r="AX350" i="1"/>
  <c r="AR224" i="1"/>
  <c r="AT270" i="1"/>
  <c r="AR318" i="1"/>
  <c r="AX301" i="1"/>
  <c r="AW276" i="1"/>
  <c r="AT337" i="1"/>
  <c r="AR294" i="1"/>
  <c r="AQ254" i="1"/>
  <c r="AO234" i="1"/>
  <c r="AU192" i="1"/>
  <c r="AU347" i="1"/>
  <c r="AT348" i="1"/>
  <c r="AX345" i="1"/>
  <c r="AX333" i="1"/>
  <c r="AV180" i="1"/>
  <c r="AO307" i="1"/>
  <c r="AP192" i="1"/>
  <c r="AO291" i="1"/>
  <c r="AW246" i="1"/>
  <c r="AT203" i="1"/>
  <c r="AU291" i="1"/>
  <c r="AW274" i="1"/>
  <c r="AT338" i="1"/>
  <c r="AS226" i="1"/>
  <c r="AV255" i="1"/>
  <c r="AU224" i="1"/>
  <c r="AS177" i="1"/>
  <c r="AR202" i="1"/>
  <c r="AO224" i="1"/>
  <c r="AO358" i="1"/>
  <c r="AP186" i="1"/>
  <c r="AQ320" i="1"/>
  <c r="AS275" i="1"/>
  <c r="AX269" i="1"/>
  <c r="AW279" i="1"/>
  <c r="AW235" i="1"/>
  <c r="AU298" i="1"/>
  <c r="AU301" i="1"/>
  <c r="AX175" i="1"/>
  <c r="AQ328" i="1"/>
  <c r="AR337" i="1"/>
  <c r="AP229" i="1"/>
  <c r="AW288" i="1"/>
  <c r="AX237" i="1"/>
  <c r="AV192" i="1"/>
  <c r="AT322" i="1"/>
  <c r="AP255" i="1"/>
  <c r="AS350" i="1"/>
  <c r="AX313" i="1"/>
  <c r="AV182" i="1"/>
  <c r="AQ338" i="1"/>
  <c r="AQ199" i="1"/>
  <c r="AT360" i="1"/>
  <c r="AU260" i="1"/>
  <c r="AQ253" i="1"/>
  <c r="AP253" i="1"/>
  <c r="AO280" i="1"/>
  <c r="AX256" i="1"/>
  <c r="AQ331" i="1"/>
  <c r="AR213" i="1"/>
  <c r="AQ322" i="1"/>
  <c r="AQ260" i="1"/>
  <c r="AQ240" i="1"/>
  <c r="AT236" i="1"/>
  <c r="AV265" i="1"/>
  <c r="AR275" i="1"/>
  <c r="AU325" i="1"/>
  <c r="AS283" i="1"/>
  <c r="AP325" i="1"/>
  <c r="AS274" i="1"/>
  <c r="AO199" i="1"/>
  <c r="AO263" i="1"/>
  <c r="AS300" i="1"/>
  <c r="AT189" i="1"/>
  <c r="AP175" i="1"/>
  <c r="AO236" i="1"/>
  <c r="AS263" i="1"/>
  <c r="AQ227" i="1"/>
  <c r="AQ301" i="1"/>
  <c r="AO256" i="1"/>
  <c r="AX246" i="1"/>
  <c r="AW215" i="1"/>
  <c r="AV294" i="1"/>
  <c r="AX197" i="1"/>
  <c r="AV266" i="1"/>
  <c r="AU307" i="1"/>
  <c r="AX288" i="1"/>
  <c r="AR315" i="1"/>
  <c r="AR331" i="1"/>
  <c r="AP361" i="1"/>
  <c r="AU208" i="1"/>
  <c r="AS298" i="1"/>
  <c r="AR305" i="1"/>
  <c r="AR289" i="1"/>
  <c r="AO183" i="1"/>
  <c r="AP265" i="1"/>
  <c r="AQ361" i="1"/>
  <c r="AP306" i="1"/>
  <c r="AS314" i="1"/>
  <c r="AV269" i="1"/>
  <c r="AV196" i="1"/>
  <c r="AV289" i="1"/>
  <c r="AT244" i="1"/>
  <c r="AV332" i="1"/>
  <c r="AS185" i="1"/>
  <c r="AX275" i="1"/>
  <c r="AX239" i="1"/>
  <c r="AU344" i="1"/>
  <c r="AS301" i="1"/>
  <c r="AU358" i="1"/>
  <c r="AQ352" i="1"/>
  <c r="AQ192" i="1"/>
  <c r="AT182" i="1"/>
  <c r="AV299" i="1"/>
  <c r="AW200" i="1"/>
  <c r="AS235" i="1"/>
  <c r="AU205" i="1"/>
  <c r="AR270" i="1"/>
  <c r="AU297" i="1"/>
  <c r="AW350" i="1"/>
  <c r="AT239" i="1"/>
  <c r="AX304" i="1"/>
  <c r="AQ286" i="1"/>
  <c r="AU327" i="1"/>
  <c r="AS230" i="1"/>
  <c r="AW343" i="1"/>
  <c r="AR207" i="1"/>
  <c r="AQ359" i="1"/>
  <c r="AQ275" i="1"/>
  <c r="AW316" i="1"/>
  <c r="AO306" i="1"/>
  <c r="AQ297" i="1"/>
  <c r="AU272" i="1"/>
  <c r="AQ257" i="1"/>
  <c r="AO270" i="1"/>
  <c r="AP274" i="1"/>
  <c r="AQ349" i="1"/>
  <c r="AT246" i="1"/>
  <c r="AV341" i="1"/>
  <c r="AX192" i="1"/>
  <c r="AX348" i="1"/>
  <c r="AV349" i="1"/>
  <c r="AU229" i="1"/>
  <c r="AS344" i="1"/>
  <c r="AS180" i="1"/>
  <c r="AW270" i="1"/>
  <c r="AW322" i="1"/>
  <c r="AS229" i="1"/>
  <c r="AU257" i="1"/>
  <c r="AQ263" i="1"/>
  <c r="AO357" i="1"/>
  <c r="AV274" i="1"/>
  <c r="AR249" i="1"/>
  <c r="AS179" i="1"/>
  <c r="AU226" i="1"/>
  <c r="AP242" i="1"/>
  <c r="AV200" i="1"/>
  <c r="AX332" i="1"/>
  <c r="AP245" i="1"/>
  <c r="AV314" i="1"/>
  <c r="AP353" i="1"/>
  <c r="AQ313" i="1"/>
  <c r="AO208" i="1"/>
  <c r="AS234" i="1"/>
  <c r="AT220" i="1"/>
  <c r="AX268" i="1"/>
  <c r="AQ176" i="1"/>
  <c r="AQ179" i="1"/>
  <c r="AT308" i="1"/>
  <c r="AU207" i="1"/>
  <c r="AP307" i="1"/>
  <c r="AX349" i="1"/>
  <c r="AX277" i="1"/>
  <c r="AV322" i="1"/>
  <c r="AQ236" i="1"/>
  <c r="AQ204" i="1"/>
  <c r="AR239" i="1"/>
  <c r="AQ225" i="1"/>
  <c r="AO261" i="1"/>
  <c r="AW359" i="1"/>
  <c r="AQ215" i="1"/>
  <c r="AP257" i="1"/>
  <c r="AW191" i="1"/>
  <c r="AV321" i="1"/>
  <c r="AS343" i="1"/>
  <c r="AT257" i="1"/>
  <c r="AP352" i="1"/>
  <c r="AX264" i="1"/>
  <c r="AV245" i="1"/>
  <c r="AV233" i="1"/>
  <c r="AQ327" i="1"/>
  <c r="AP346" i="1"/>
  <c r="AU280" i="1"/>
  <c r="AQ233" i="1"/>
  <c r="AP313" i="1"/>
  <c r="AO294" i="1"/>
  <c r="AO226" i="1"/>
  <c r="AW312" i="1"/>
  <c r="AX202" i="1"/>
  <c r="AX358" i="1"/>
  <c r="AR262" i="1"/>
  <c r="AW364" i="1"/>
  <c r="AX279" i="1"/>
  <c r="AR343" i="1"/>
  <c r="AT200" i="1"/>
  <c r="AW331" i="1"/>
  <c r="AU364" i="1"/>
  <c r="AW332" i="1"/>
  <c r="AQ228" i="1"/>
  <c r="AT341" i="1"/>
  <c r="AU324" i="1"/>
  <c r="AP191" i="1"/>
  <c r="AQ246" i="1"/>
  <c r="AP308" i="1"/>
  <c r="AQ250" i="1"/>
  <c r="AR286" i="1"/>
  <c r="AS279" i="1"/>
  <c r="AO273" i="1"/>
  <c r="AO310" i="1"/>
  <c r="AT290" i="1"/>
  <c r="AV363" i="1"/>
  <c r="AT344" i="1"/>
  <c r="AP354" i="1"/>
  <c r="AW179" i="1"/>
  <c r="AV237" i="1"/>
  <c r="AQ211" i="1"/>
  <c r="AX292" i="1"/>
  <c r="AX253" i="1"/>
  <c r="AR182" i="1"/>
  <c r="AQ293" i="1"/>
  <c r="AV223" i="1"/>
  <c r="AR176" i="1"/>
  <c r="AX191" i="1"/>
  <c r="AQ319" i="1"/>
  <c r="AW299" i="1"/>
  <c r="AU268" i="1"/>
  <c r="AV284" i="1"/>
  <c r="AU233" i="1"/>
  <c r="AX258" i="1"/>
  <c r="AQ266" i="1"/>
  <c r="AW262" i="1"/>
  <c r="AX245" i="1"/>
  <c r="AS175" i="1"/>
  <c r="AU336" i="1"/>
  <c r="AW284" i="1"/>
  <c r="AO341" i="1"/>
  <c r="AT243" i="1"/>
  <c r="AT198" i="1"/>
  <c r="AW363" i="1"/>
  <c r="AP288" i="1"/>
  <c r="AP270" i="1"/>
  <c r="AT280" i="1"/>
  <c r="AX224" i="1"/>
  <c r="AP326" i="1"/>
  <c r="AS205" i="1"/>
  <c r="AQ289" i="1"/>
  <c r="AT318" i="1"/>
  <c r="AR304" i="1"/>
  <c r="AO180" i="1"/>
  <c r="AO213" i="1"/>
  <c r="AQ208" i="1"/>
  <c r="AP215" i="1"/>
  <c r="AQ203" i="1"/>
  <c r="AT309" i="1"/>
  <c r="AX306" i="1"/>
  <c r="AU316" i="1"/>
  <c r="AS256" i="1"/>
  <c r="AR252" i="1"/>
  <c r="AP213" i="1"/>
  <c r="AW237" i="1"/>
  <c r="AV320" i="1"/>
  <c r="AO267" i="1"/>
  <c r="AO227" i="1"/>
  <c r="AO179" i="1"/>
  <c r="AS309" i="1"/>
  <c r="AO176" i="1"/>
  <c r="AU193" i="1"/>
  <c r="AX356" i="1"/>
  <c r="AW317" i="1"/>
  <c r="AX230" i="1"/>
  <c r="AV357" i="1"/>
  <c r="AT301" i="1"/>
  <c r="AR183" i="1"/>
  <c r="AX355" i="1"/>
  <c r="AU320" i="1"/>
  <c r="AX352" i="1"/>
  <c r="AW280" i="1"/>
  <c r="AV264" i="1"/>
  <c r="AO193" i="1"/>
  <c r="AQ181" i="1"/>
  <c r="AO308" i="1"/>
  <c r="AP336" i="1"/>
  <c r="AW260" i="1"/>
  <c r="AR215" i="1"/>
  <c r="AU318" i="1"/>
  <c r="AT305" i="1"/>
  <c r="AS186" i="1"/>
  <c r="AX318" i="1"/>
  <c r="AU294" i="1"/>
  <c r="AO293" i="1"/>
  <c r="AT179" i="1"/>
  <c r="AP312" i="1"/>
  <c r="AS315" i="1"/>
  <c r="AW309" i="1"/>
  <c r="AT263" i="1"/>
  <c r="AR185" i="1"/>
  <c r="AQ347" i="1"/>
  <c r="AO360" i="1"/>
  <c r="AP207" i="1"/>
  <c r="AS299" i="1"/>
  <c r="AX331" i="1"/>
  <c r="AS362" i="1"/>
  <c r="AQ272" i="1"/>
  <c r="AU319" i="1"/>
  <c r="AP183" i="1"/>
  <c r="AR312" i="1"/>
  <c r="AS192" i="1"/>
  <c r="AR334" i="1"/>
  <c r="AW242" i="1"/>
  <c r="AS284" i="1"/>
  <c r="AR290" i="1"/>
  <c r="AX229" i="1"/>
  <c r="AT250" i="1"/>
  <c r="AQ229" i="1"/>
  <c r="AV331" i="1"/>
  <c r="AW241" i="1"/>
  <c r="AT328" i="1"/>
  <c r="AS269" i="1"/>
  <c r="AT353" i="1"/>
  <c r="AU235" i="1"/>
  <c r="AT352" i="1"/>
  <c r="AO253" i="1"/>
  <c r="AQ281" i="1"/>
  <c r="AV207" i="1"/>
  <c r="AW213" i="1"/>
  <c r="AU354" i="1"/>
  <c r="AT293" i="1"/>
  <c r="AT361" i="1"/>
  <c r="AV343" i="1"/>
  <c r="AR327" i="1"/>
  <c r="AQ340" i="1"/>
  <c r="AP185" i="1"/>
  <c r="AR346" i="1"/>
  <c r="AX276" i="1"/>
  <c r="AX262" i="1"/>
  <c r="AS255" i="1"/>
  <c r="AT177" i="1"/>
  <c r="AT306" i="1"/>
  <c r="AT223" i="1"/>
  <c r="AV227" i="1"/>
  <c r="AW338" i="1"/>
  <c r="AR299" i="1"/>
  <c r="AR281" i="1"/>
  <c r="AO325" i="1"/>
  <c r="AR257" i="1"/>
  <c r="AR192" i="1"/>
  <c r="AU360" i="1"/>
  <c r="AS225" i="1"/>
  <c r="AX334" i="1"/>
  <c r="AT204" i="1"/>
  <c r="AU265" i="1"/>
  <c r="AT327" i="1"/>
  <c r="AR225" i="1"/>
  <c r="AW261" i="1"/>
  <c r="AT343" i="1"/>
  <c r="AX207" i="1"/>
  <c r="AQ191" i="1"/>
  <c r="AX198" i="1"/>
  <c r="AP300" i="1"/>
  <c r="AQ189" i="1"/>
  <c r="AW249" i="1"/>
  <c r="AT233" i="1"/>
  <c r="AU283" i="1"/>
  <c r="AS264" i="1"/>
  <c r="AR298" i="1"/>
  <c r="AT258" i="1"/>
  <c r="AW334" i="1"/>
  <c r="AP190" i="1"/>
  <c r="AQ355" i="1"/>
  <c r="AP332" i="1"/>
  <c r="AU266" i="1"/>
  <c r="AS294" i="1"/>
  <c r="AO318" i="1"/>
  <c r="AS305" i="1"/>
  <c r="AP309" i="1"/>
  <c r="AX266" i="1"/>
  <c r="AR205" i="1"/>
  <c r="AT334" i="1"/>
  <c r="AO346" i="1"/>
  <c r="AT211" i="1"/>
  <c r="AP226" i="1"/>
  <c r="AQ197" i="1"/>
  <c r="AX320" i="1"/>
  <c r="AQ363" i="1"/>
  <c r="AR297" i="1"/>
  <c r="AP279" i="1"/>
  <c r="AP327" i="1"/>
  <c r="AO258" i="1"/>
  <c r="AR317" i="1"/>
  <c r="AQ232" i="1"/>
  <c r="AO337" i="1"/>
  <c r="AX195" i="1"/>
  <c r="AW268" i="1"/>
  <c r="AT224" i="1"/>
  <c r="AU191" i="1"/>
  <c r="AX305" i="1"/>
  <c r="AT324" i="1"/>
  <c r="AX308" i="1"/>
  <c r="AX336" i="1"/>
  <c r="AV254" i="1"/>
  <c r="AQ285" i="1"/>
  <c r="AP227" i="1"/>
  <c r="AR316" i="1"/>
  <c r="AS306" i="1"/>
  <c r="AO247" i="1"/>
  <c r="AS202" i="1"/>
  <c r="AV307" i="1"/>
  <c r="AR236" i="1"/>
  <c r="AQ274" i="1"/>
  <c r="AQ325" i="1"/>
  <c r="AX363" i="1"/>
  <c r="AW308" i="1"/>
  <c r="AT254" i="1"/>
  <c r="AX225" i="1"/>
  <c r="AT281" i="1"/>
  <c r="AS291" i="1"/>
  <c r="AW195" i="1"/>
  <c r="AW197" i="1"/>
  <c r="AQ292" i="1"/>
  <c r="AU361" i="1"/>
  <c r="AT230" i="1"/>
  <c r="AU346" i="1"/>
  <c r="AV325" i="1"/>
  <c r="AS280" i="1"/>
  <c r="AS319" i="1"/>
  <c r="AS204" i="1"/>
  <c r="AX293" i="1"/>
  <c r="AT349" i="1"/>
  <c r="AS334" i="1"/>
  <c r="AX315" i="1"/>
  <c r="AV267" i="1"/>
  <c r="AS328" i="1"/>
  <c r="AT351" i="1"/>
  <c r="AW227" i="1"/>
  <c r="AV228" i="1"/>
  <c r="AV297" i="1"/>
  <c r="AW250" i="1"/>
  <c r="AO311" i="1"/>
  <c r="AR278" i="1"/>
  <c r="AV316" i="1"/>
  <c r="AT312" i="1"/>
  <c r="AO340" i="1"/>
  <c r="AO300" i="1"/>
  <c r="AX213" i="1"/>
  <c r="AU331" i="1"/>
  <c r="AO207" i="1"/>
  <c r="AQ356" i="1"/>
  <c r="AV204" i="1"/>
  <c r="AU241" i="1"/>
  <c r="AW251" i="1"/>
  <c r="AU273" i="1"/>
  <c r="AQ353" i="1"/>
  <c r="AV280" i="1"/>
  <c r="AU177" i="1"/>
  <c r="AO250" i="1"/>
  <c r="AV176" i="1"/>
  <c r="AW223" i="1"/>
  <c r="AQ226" i="1"/>
  <c r="AU237" i="1"/>
  <c r="AW211" i="1"/>
  <c r="AR340" i="1"/>
  <c r="AR284" i="1"/>
  <c r="AU281" i="1"/>
  <c r="AU175" i="1"/>
  <c r="AS322" i="1"/>
  <c r="AW286" i="1"/>
  <c r="AO204" i="1"/>
  <c r="AV319" i="1"/>
  <c r="AW351" i="1"/>
  <c r="AR353" i="1"/>
  <c r="AP328" i="1"/>
  <c r="AS318" i="1"/>
  <c r="AP286" i="1"/>
  <c r="AX251" i="1"/>
  <c r="AR291" i="1"/>
  <c r="AX240" i="1"/>
  <c r="AW183" i="1"/>
  <c r="AP250" i="1"/>
  <c r="AU228" i="1"/>
  <c r="AT286" i="1"/>
  <c r="AW252" i="1"/>
  <c r="AR350" i="1"/>
  <c r="AO279" i="1"/>
  <c r="AU278" i="1"/>
  <c r="AR243" i="1"/>
  <c r="AP189" i="1"/>
  <c r="AS240" i="1"/>
  <c r="AU242" i="1"/>
  <c r="AQ252" i="1"/>
  <c r="AU304" i="1"/>
  <c r="AW340" i="1"/>
  <c r="AU261" i="1"/>
  <c r="AQ230" i="1"/>
  <c r="AS354" i="1"/>
  <c r="AQ255" i="1"/>
  <c r="AT285" i="1"/>
  <c r="AS340" i="1"/>
  <c r="AV337" i="1"/>
  <c r="AR313" i="1"/>
  <c r="AV260" i="1"/>
  <c r="AT228" i="1"/>
  <c r="AR177" i="1"/>
  <c r="AW290" i="1"/>
  <c r="AX252" i="1"/>
  <c r="AP299" i="1"/>
  <c r="AS250" i="1"/>
  <c r="AO289" i="1"/>
  <c r="AW307" i="1"/>
  <c r="AV303" i="1"/>
  <c r="AU274" i="1"/>
  <c r="AU183" i="1"/>
  <c r="AT232" i="1"/>
  <c r="AU198" i="1"/>
  <c r="AS213" i="1"/>
  <c r="AW311" i="1"/>
  <c r="AU279" i="1"/>
  <c r="AQ309" i="1"/>
  <c r="AT345" i="1"/>
  <c r="AV257" i="1"/>
  <c r="AO196" i="1"/>
  <c r="AR310" i="1"/>
  <c r="AQ364" i="1"/>
  <c r="AO328" i="1"/>
  <c r="AR274" i="1"/>
  <c r="AO265" i="1"/>
  <c r="AP303" i="1"/>
  <c r="AV225" i="1"/>
  <c r="AS364" i="1"/>
  <c r="AX300" i="1"/>
  <c r="AR226" i="1"/>
  <c r="AX353" i="1"/>
  <c r="AV283" i="1"/>
  <c r="AX351" i="1"/>
  <c r="AO195" i="1"/>
  <c r="AP281" i="1"/>
  <c r="AX326" i="1"/>
  <c r="AP343" i="1"/>
  <c r="AU249" i="1"/>
  <c r="AW272" i="1"/>
  <c r="AS333" i="1"/>
  <c r="AT226" i="1"/>
  <c r="AS307" i="1"/>
  <c r="AW318" i="1"/>
  <c r="AW306" i="1"/>
  <c r="AO320" i="1"/>
  <c r="AR285" i="1"/>
  <c r="AU203" i="1"/>
  <c r="AV346" i="1"/>
  <c r="AW255" i="1"/>
  <c r="AT192" i="1"/>
  <c r="AS265" i="1"/>
  <c r="AV356" i="1"/>
  <c r="AV268" i="1"/>
  <c r="AU332" i="1"/>
  <c r="AP298" i="1"/>
  <c r="AS360" i="1"/>
  <c r="AQ321" i="1"/>
  <c r="AO268" i="1"/>
  <c r="AW230" i="1"/>
  <c r="AT196" i="1"/>
  <c r="AV291" i="1"/>
  <c r="AS196" i="1"/>
  <c r="AV185" i="1"/>
  <c r="AX324" i="1"/>
  <c r="AX290" i="1"/>
  <c r="AR319" i="1"/>
  <c r="AS176" i="1"/>
  <c r="AR269" i="1"/>
  <c r="AU334" i="1"/>
  <c r="AP340" i="1"/>
  <c r="AQ193" i="1"/>
  <c r="AP331" i="1"/>
  <c r="AW205" i="1"/>
  <c r="AX354" i="1"/>
  <c r="AX228" i="1"/>
  <c r="AW313" i="1"/>
  <c r="AR220" i="1"/>
  <c r="AT265" i="1"/>
  <c r="AO313" i="1"/>
  <c r="AS348" i="1"/>
  <c r="AX361" i="1"/>
  <c r="AV312" i="1"/>
  <c r="AT347" i="1"/>
  <c r="AV298" i="1"/>
  <c r="AQ258" i="1"/>
  <c r="AX232" i="1"/>
  <c r="AW333" i="1"/>
  <c r="AX338" i="1"/>
  <c r="AT350" i="1"/>
  <c r="AP359" i="1"/>
  <c r="AO305" i="1"/>
  <c r="AS233" i="1"/>
  <c r="AW310" i="1"/>
  <c r="AR301" i="1"/>
  <c r="AO286" i="1"/>
  <c r="AR261" i="1"/>
  <c r="AU341" i="1"/>
  <c r="AO241" i="1"/>
  <c r="AQ276" i="1"/>
  <c r="AW265" i="1"/>
  <c r="AQ300" i="1"/>
  <c r="AU269" i="1"/>
  <c r="AO275" i="1"/>
  <c r="AP348" i="1"/>
  <c r="AO242" i="1"/>
  <c r="AP224" i="1"/>
  <c r="AQ277" i="1"/>
  <c r="AO232" i="1"/>
  <c r="AV352" i="1"/>
  <c r="AR241" i="1"/>
  <c r="AO354" i="1"/>
  <c r="AP220" i="1"/>
  <c r="AR193" i="1"/>
  <c r="AQ345" i="1"/>
  <c r="AP233" i="1"/>
  <c r="AW347" i="1"/>
  <c r="AO203" i="1"/>
  <c r="AS245" i="1"/>
  <c r="AR364" i="1"/>
  <c r="AT235" i="1"/>
  <c r="AS310" i="1"/>
  <c r="AR349" i="1"/>
  <c r="AU185" i="1"/>
  <c r="AX263" i="1"/>
  <c r="AW304" i="1"/>
  <c r="AT215" i="1"/>
  <c r="AT269" i="1"/>
  <c r="AS336" i="1"/>
  <c r="AR244" i="1"/>
  <c r="AW349" i="1"/>
  <c r="AP321" i="1"/>
  <c r="AQ220" i="1"/>
  <c r="AP311" i="1"/>
  <c r="AO344" i="1"/>
  <c r="AR293" i="1"/>
  <c r="AO274" i="1"/>
  <c r="AT261" i="1"/>
  <c r="AP324" i="1"/>
  <c r="AT316" i="1"/>
  <c r="AS241" i="1"/>
  <c r="AU252" i="1"/>
  <c r="AW193" i="1"/>
  <c r="AS278" i="1"/>
  <c r="AX233" i="1"/>
  <c r="AQ307" i="1"/>
  <c r="AQ343" i="1"/>
  <c r="AX242" i="1"/>
  <c r="AS338" i="1"/>
  <c r="AS224" i="1"/>
  <c r="AR288" i="1"/>
  <c r="AR196" i="1"/>
  <c r="AR199" i="1"/>
  <c r="AT336" i="1"/>
  <c r="AW273" i="1"/>
  <c r="AX319" i="1"/>
  <c r="AS311" i="1"/>
  <c r="AU227" i="1"/>
  <c r="AU176" i="1"/>
  <c r="AV276" i="1"/>
  <c r="AW196" i="1"/>
  <c r="AX261" i="1"/>
  <c r="AU363" i="1"/>
  <c r="AQ336" i="1"/>
  <c r="AR272" i="1"/>
  <c r="AP284" i="1"/>
  <c r="AP355" i="1"/>
  <c r="AO189" i="1"/>
  <c r="AP310" i="1"/>
  <c r="AO228" i="1"/>
  <c r="AT195" i="1"/>
  <c r="AQ278" i="1"/>
  <c r="AV241" i="1"/>
  <c r="AW336" i="1"/>
  <c r="AV272" i="1"/>
  <c r="AO347" i="1"/>
  <c r="AS262" i="1"/>
  <c r="AS243" i="1"/>
  <c r="AV358" i="1"/>
  <c r="AT268" i="1"/>
  <c r="AV181" i="1"/>
  <c r="AV177" i="1"/>
  <c r="AP277" i="1"/>
  <c r="AX204" i="1"/>
  <c r="AU236" i="1"/>
  <c r="AO283" i="1"/>
  <c r="AW269" i="1"/>
  <c r="AV336" i="1"/>
  <c r="AS258" i="1"/>
  <c r="AP196" i="1"/>
  <c r="AO186" i="1"/>
  <c r="AV310" i="1"/>
  <c r="AW208" i="1"/>
  <c r="AQ207" i="1"/>
  <c r="AT320" i="1"/>
  <c r="AS349" i="1"/>
  <c r="AV195" i="1"/>
  <c r="AT245" i="1"/>
  <c r="AS351" i="1"/>
  <c r="AO266" i="1"/>
  <c r="AQ239" i="1"/>
  <c r="AR273" i="1"/>
  <c r="AV328" i="1"/>
  <c r="AS211" i="1"/>
  <c r="AT359" i="1"/>
  <c r="AS270" i="1"/>
  <c r="AT294" i="1"/>
  <c r="AW257" i="1"/>
  <c r="AU337" i="1"/>
  <c r="AU204" i="1"/>
  <c r="AV191" i="1"/>
  <c r="AV304" i="1"/>
  <c r="AW198" i="1"/>
  <c r="AT251" i="1"/>
  <c r="AP360" i="1"/>
  <c r="AQ344" i="1"/>
  <c r="AS352" i="1"/>
  <c r="AQ348" i="1"/>
  <c r="AU276" i="1"/>
  <c r="AQ357" i="1"/>
  <c r="AR198" i="1"/>
  <c r="AX311" i="1"/>
  <c r="AQ190" i="1"/>
  <c r="AX357" i="1"/>
  <c r="AV183" i="1"/>
  <c r="AT283" i="1"/>
  <c r="AO324" i="1"/>
  <c r="AQ314" i="1"/>
  <c r="AQ279" i="1"/>
  <c r="AO348" i="1"/>
  <c r="AT292" i="1"/>
  <c r="AV351" i="1"/>
  <c r="AS359" i="1"/>
  <c r="AU348" i="1"/>
  <c r="AQ186" i="1"/>
  <c r="AW327" i="1"/>
  <c r="AT240" i="1"/>
  <c r="AU351" i="1"/>
  <c r="AO326" i="1"/>
  <c r="AU286" i="1"/>
  <c r="AX294" i="1"/>
  <c r="AQ264" i="1"/>
  <c r="AU292" i="1"/>
  <c r="AT193" i="1"/>
  <c r="AS326" i="1"/>
  <c r="AW300" i="1"/>
  <c r="AT175" i="1"/>
  <c r="AP301" i="1"/>
  <c r="AX260" i="1"/>
  <c r="AX284" i="1"/>
  <c r="AO361" i="1"/>
  <c r="AU262" i="1"/>
  <c r="AO278" i="1"/>
  <c r="AR300" i="1"/>
  <c r="AP202" i="1"/>
  <c r="AX364" i="1"/>
  <c r="AP278" i="1"/>
  <c r="AW358" i="1"/>
  <c r="AU315" i="1"/>
  <c r="AR341" i="1"/>
  <c r="AT332" i="1"/>
  <c r="AU213" i="1"/>
  <c r="AS253" i="1"/>
  <c r="AU306" i="1"/>
  <c r="AV229" i="1"/>
  <c r="AT363" i="1"/>
  <c r="AV186" i="1"/>
  <c r="AT346" i="1"/>
  <c r="AO237" i="1"/>
  <c r="AX281" i="1"/>
  <c r="AQ346" i="1"/>
  <c r="AT247" i="1"/>
  <c r="AT300" i="1"/>
  <c r="AX317" i="1"/>
  <c r="AP179" i="1"/>
  <c r="AS200" i="1"/>
  <c r="AV239" i="1"/>
  <c r="AU289" i="1"/>
  <c r="AX235" i="1"/>
  <c r="AS267" i="1"/>
  <c r="AR355" i="1"/>
  <c r="AX340" i="1"/>
  <c r="AU181" i="1"/>
  <c r="AS181" i="1"/>
  <c r="AX220" i="1"/>
  <c r="AU326" i="1"/>
  <c r="AP318" i="1"/>
  <c r="AX327" i="1"/>
  <c r="AX226" i="1"/>
  <c r="AR357" i="1"/>
  <c r="AX247" i="1"/>
  <c r="AV226" i="1"/>
  <c r="AW181" i="1"/>
  <c r="AV285" i="1"/>
  <c r="AS346" i="1"/>
  <c r="AS266" i="1"/>
  <c r="AQ243" i="1"/>
  <c r="AT241" i="1"/>
  <c r="AP315" i="1"/>
  <c r="AS254" i="1"/>
  <c r="AW353" i="1"/>
  <c r="AQ195" i="1"/>
  <c r="AT274" i="1"/>
  <c r="AQ310" i="1"/>
  <c r="AP304" i="1"/>
  <c r="AR356" i="1"/>
  <c r="AS257" i="1"/>
  <c r="AW175" i="1"/>
  <c r="AU311" i="1"/>
  <c r="AU303" i="1"/>
  <c r="AP258" i="1"/>
  <c r="AV208" i="1"/>
  <c r="AQ358" i="1"/>
  <c r="AR265" i="1"/>
  <c r="AV313" i="1"/>
  <c r="AO205" i="1"/>
  <c r="AR354" i="1"/>
  <c r="AT340" i="1"/>
  <c r="AV240" i="1"/>
  <c r="AX303" i="1"/>
  <c r="AO191" i="1"/>
  <c r="AV360" i="1"/>
  <c r="AX322" i="1"/>
  <c r="AX270" i="1"/>
  <c r="AT202" i="1"/>
  <c r="AO292" i="1"/>
  <c r="AV364" i="1"/>
  <c r="AU293" i="1"/>
  <c r="AV215" i="1"/>
  <c r="AQ185" i="1"/>
  <c r="AX193" i="1"/>
  <c r="AR306" i="1"/>
  <c r="AQ244" i="1"/>
  <c r="AP205" i="1"/>
  <c r="AS332" i="1"/>
  <c r="AS312" i="1"/>
  <c r="AX344" i="1"/>
  <c r="AX273" i="1"/>
  <c r="AQ308" i="1"/>
  <c r="AX341" i="1"/>
  <c r="AT237" i="1"/>
  <c r="AS198" i="1"/>
  <c r="AU196" i="1"/>
  <c r="AV261" i="1"/>
  <c r="AT355" i="1"/>
  <c r="AO185" i="1"/>
  <c r="AW243" i="1"/>
  <c r="AS321" i="1"/>
  <c r="AQ213" i="1"/>
  <c r="AT358" i="1"/>
  <c r="AQ291" i="1"/>
  <c r="AX362" i="1"/>
  <c r="AU267" i="1"/>
  <c r="AT331" i="1"/>
  <c r="AQ334" i="1"/>
  <c r="AW266" i="1"/>
  <c r="AO322" i="1"/>
  <c r="AT234" i="1"/>
  <c r="AW275" i="1"/>
  <c r="AQ284" i="1"/>
  <c r="AQ351" i="1"/>
  <c r="AO299" i="1"/>
  <c r="AP195" i="1"/>
  <c r="AO304" i="1"/>
  <c r="AR223" i="1"/>
  <c r="AW362" i="1"/>
  <c r="AP230" i="1"/>
  <c r="AX200" i="1"/>
  <c r="AU223" i="1"/>
  <c r="AW233" i="1"/>
  <c r="AV318" i="1"/>
  <c r="AP276" i="1"/>
  <c r="AR362" i="1"/>
  <c r="AP256" i="1"/>
  <c r="AR268" i="1"/>
  <c r="AU180" i="1"/>
  <c r="AP261" i="1"/>
  <c r="AQ362" i="1"/>
  <c r="AX244" i="1"/>
  <c r="AV273" i="1"/>
  <c r="AT255" i="1"/>
  <c r="AS353" i="1"/>
  <c r="AS337" i="1"/>
  <c r="AP249" i="1"/>
  <c r="AV246" i="1"/>
  <c r="AU359" i="1"/>
  <c r="AO197" i="1"/>
  <c r="AV353" i="1"/>
  <c r="AX283" i="1"/>
  <c r="AR361" i="1"/>
  <c r="AV281" i="1"/>
  <c r="AU290" i="1"/>
  <c r="AV251" i="1"/>
  <c r="AW294" i="1"/>
  <c r="AS358" i="1"/>
  <c r="LN12" i="1"/>
  <c r="LJ12" i="1"/>
  <c r="LF12" i="1"/>
  <c r="LB12" i="1"/>
  <c r="KX12" i="1"/>
  <c r="KT12" i="1"/>
  <c r="KP12" i="1"/>
  <c r="KL12" i="1"/>
  <c r="KH12" i="1"/>
  <c r="KD12" i="1"/>
  <c r="LM12" i="1"/>
  <c r="LI12" i="1"/>
  <c r="LE12" i="1"/>
  <c r="LA12" i="1"/>
  <c r="KW12" i="1"/>
  <c r="KS12" i="1"/>
  <c r="KO12" i="1"/>
  <c r="KK12" i="1"/>
  <c r="KG12" i="1"/>
  <c r="KC12" i="1"/>
  <c r="LL12" i="1"/>
  <c r="LH12" i="1"/>
  <c r="LD12" i="1"/>
  <c r="KZ12" i="1"/>
  <c r="KV12" i="1"/>
  <c r="KR12" i="1"/>
  <c r="KN12" i="1"/>
  <c r="KJ12" i="1"/>
  <c r="KF12" i="1"/>
  <c r="KB12" i="1"/>
  <c r="LP12" i="1"/>
  <c r="LO12" i="1"/>
  <c r="LK12" i="1"/>
  <c r="LG12" i="1"/>
  <c r="LC12" i="1"/>
  <c r="KY12" i="1"/>
  <c r="KU12" i="1"/>
  <c r="KQ12" i="1"/>
  <c r="KM12" i="1"/>
  <c r="KI12" i="1"/>
  <c r="KE12" i="1"/>
  <c r="KA12" i="1"/>
  <c r="GU141" i="1"/>
  <c r="HX97" i="123"/>
  <c r="FQ339" i="1" l="1"/>
  <c r="GV141" i="1"/>
  <c r="HY97" i="123"/>
  <c r="FZ171" i="1" a="1"/>
  <c r="FQ335" i="1"/>
  <c r="FQ342" i="1"/>
  <c r="IV12" i="1" l="1"/>
  <c r="FP339" i="1"/>
  <c r="FS339" i="1"/>
  <c r="HZ97" i="123"/>
  <c r="AA206" i="1" l="1"/>
  <c r="IW12" i="1"/>
  <c r="IM12" i="1"/>
  <c r="IA97" i="123"/>
  <c r="IX12" i="1" l="1"/>
  <c r="IN12" i="1"/>
  <c r="IB97" i="123"/>
  <c r="IY12" i="1" l="1"/>
  <c r="IO12" i="1"/>
  <c r="IC97" i="123"/>
  <c r="IZ12" i="1" l="1"/>
  <c r="IP12" i="1"/>
  <c r="ID97" i="123"/>
  <c r="JA12" i="1" l="1"/>
  <c r="IQ12" i="1"/>
  <c r="IE97" i="123"/>
  <c r="IR12" i="1" l="1"/>
  <c r="JB12" i="1"/>
  <c r="IF97" i="123"/>
  <c r="JC12" i="1" l="1"/>
  <c r="IS12" i="1"/>
  <c r="IG97" i="123"/>
  <c r="JD12" i="1" l="1"/>
  <c r="IT12" i="1"/>
  <c r="IH97" i="123"/>
  <c r="JE12" i="1" l="1"/>
  <c r="IU12" i="1"/>
  <c r="II97" i="123"/>
  <c r="JF12" i="1" l="1"/>
  <c r="IJ97" i="123"/>
  <c r="JG12" i="1" l="1"/>
  <c r="IK97" i="123"/>
  <c r="JH12" i="1" l="1"/>
  <c r="IL97" i="123"/>
  <c r="JI12" i="1" l="1"/>
  <c r="IM97" i="123"/>
  <c r="JJ12" i="1" l="1"/>
  <c r="IN97" i="123"/>
  <c r="JK12" i="1" l="1"/>
  <c r="IO97" i="123"/>
  <c r="JL12" i="1" l="1"/>
  <c r="IP97" i="123"/>
  <c r="JM12" i="1" l="1"/>
  <c r="IQ97" i="123"/>
  <c r="JN12" i="1" l="1"/>
  <c r="IR97" i="123"/>
  <c r="JO12" i="1" l="1"/>
  <c r="IS97" i="123"/>
  <c r="JP12" i="1" l="1"/>
  <c r="IT97" i="123"/>
  <c r="JQ12" i="1" l="1"/>
  <c r="IU97" i="123"/>
  <c r="JR12" i="1" l="1"/>
  <c r="IV97" i="123"/>
  <c r="JS12" i="1" l="1"/>
  <c r="IW97" i="123"/>
  <c r="JT12" i="1" l="1"/>
  <c r="IX97" i="123"/>
  <c r="JU12" i="1" l="1"/>
  <c r="IY97" i="123"/>
  <c r="EB34" i="123" l="1"/>
  <c r="KS13" i="93" s="1"/>
  <c r="EB33" i="123"/>
  <c r="LO14" i="93" s="1"/>
  <c r="JV12" i="1"/>
  <c r="DM119" i="123" a="1"/>
  <c r="DM119" i="123" s="1"/>
  <c r="DO119" i="123" a="1"/>
  <c r="DO119" i="123" s="1"/>
  <c r="IZ97" i="123"/>
  <c r="AR162" i="123" l="1"/>
  <c r="AR165" i="123"/>
  <c r="AR157" i="123"/>
  <c r="AR167" i="123"/>
  <c r="AR229" i="123"/>
  <c r="AR173" i="123"/>
  <c r="AR187" i="123"/>
  <c r="AR143" i="123"/>
  <c r="AR227" i="123"/>
  <c r="AR184" i="123"/>
  <c r="AR152" i="123"/>
  <c r="AR168" i="123"/>
  <c r="AR178" i="123"/>
  <c r="AR145" i="123"/>
  <c r="AR146" i="123"/>
  <c r="AR137" i="123"/>
  <c r="AR228" i="123"/>
  <c r="AR150" i="123"/>
  <c r="AR185" i="123"/>
  <c r="AR138" i="123"/>
  <c r="AR186" i="123"/>
  <c r="AR139" i="123"/>
  <c r="AR179" i="123"/>
  <c r="AR164" i="123"/>
  <c r="AR172" i="123"/>
  <c r="AR142" i="123"/>
  <c r="AR177" i="123"/>
  <c r="AR149" i="123"/>
  <c r="AR171" i="123"/>
  <c r="AR169" i="123"/>
  <c r="AR161" i="123"/>
  <c r="AR160" i="123"/>
  <c r="AR181" i="123"/>
  <c r="AR158" i="123"/>
  <c r="AR156" i="123"/>
  <c r="AR153" i="123"/>
  <c r="AR136" i="123"/>
  <c r="AR133" i="123"/>
  <c r="AR233" i="123"/>
  <c r="AR170" i="123"/>
  <c r="AR140" i="123"/>
  <c r="AR147" i="123"/>
  <c r="AR159" i="123"/>
  <c r="AR163" i="123"/>
  <c r="AR144" i="123"/>
  <c r="AR141" i="123"/>
  <c r="AR176" i="123"/>
  <c r="AR234" i="123"/>
  <c r="AR132" i="123"/>
  <c r="AR166" i="123"/>
  <c r="AR235" i="123"/>
  <c r="AR188" i="123"/>
  <c r="AR205" i="123"/>
  <c r="AR230" i="123"/>
  <c r="AR151" i="123"/>
  <c r="AR148" i="123"/>
  <c r="AR180" i="123"/>
  <c r="AR131" i="123"/>
  <c r="JW12" i="1"/>
  <c r="AB30" i="98" l="1"/>
  <c r="JX12" i="1"/>
  <c r="AB33" i="98" l="1"/>
  <c r="AB29" i="98"/>
  <c r="AB31" i="98"/>
  <c r="AB32" i="98"/>
  <c r="DT115" i="123"/>
  <c r="AC39" i="98"/>
  <c r="AC38" i="98"/>
  <c r="AC36" i="98"/>
  <c r="AC53" i="98"/>
  <c r="DM231" i="123" a="1"/>
  <c r="DM231" i="123" s="1"/>
  <c r="EB231" i="123" s="1"/>
  <c r="AB59" i="98" s="1"/>
  <c r="DM155" i="123" a="1"/>
  <c r="DM155" i="123" s="1"/>
  <c r="EB155" i="123" s="1"/>
  <c r="DM248" i="123" a="1"/>
  <c r="DM248" i="123" s="1"/>
  <c r="EB248" i="123" s="1"/>
  <c r="DM195" i="123" a="1"/>
  <c r="DM182" i="123" a="1"/>
  <c r="DM182" i="123" s="1"/>
  <c r="EB182" i="123" s="1"/>
  <c r="DM168" i="123" a="1"/>
  <c r="DM168" i="123" s="1"/>
  <c r="EB168" i="123" s="1"/>
  <c r="DM158" i="123" a="1"/>
  <c r="DM158" i="123" s="1"/>
  <c r="EB158" i="123" s="1"/>
  <c r="DM282" i="123" a="1"/>
  <c r="DM243" i="123" a="1"/>
  <c r="DM243" i="123" s="1"/>
  <c r="EB243" i="123" s="1"/>
  <c r="DM146" i="123" a="1"/>
  <c r="DM242" i="123" a="1"/>
  <c r="DM242" i="123" s="1"/>
  <c r="EB242" i="123" s="1"/>
  <c r="DM234" i="123" a="1"/>
  <c r="DM234" i="123" s="1"/>
  <c r="EB234" i="123" s="1"/>
  <c r="DM284" i="123" a="1"/>
  <c r="DM187" i="123" a="1"/>
  <c r="DM187" i="123" s="1"/>
  <c r="EB187" i="123" s="1"/>
  <c r="DM179" i="123" a="1"/>
  <c r="DM179" i="123" s="1"/>
  <c r="EB179" i="123" s="1"/>
  <c r="DM254" i="123" a="1"/>
  <c r="DM240" i="123" a="1"/>
  <c r="DM240" i="123" s="1"/>
  <c r="EB240" i="123" s="1"/>
  <c r="DM280" i="123" a="1"/>
  <c r="DM170" i="123" a="1"/>
  <c r="DM170" i="123" s="1"/>
  <c r="EB170" i="123" s="1"/>
  <c r="DM149" i="123" a="1"/>
  <c r="DM149" i="123" s="1"/>
  <c r="EB149" i="123" s="1"/>
  <c r="DM202" i="123" a="1"/>
  <c r="DM202" i="123" s="1"/>
  <c r="DM281" i="123" a="1"/>
  <c r="DM270" i="123" a="1"/>
  <c r="DM270" i="123" s="1"/>
  <c r="EB270" i="123" s="1"/>
  <c r="DM245" i="123" a="1"/>
  <c r="DM172" i="123" a="1"/>
  <c r="DM172" i="123" s="1"/>
  <c r="EB172" i="123" s="1"/>
  <c r="DM181" i="123" a="1"/>
  <c r="DM181" i="123" s="1"/>
  <c r="EB181" i="123" s="1"/>
  <c r="DM302" i="123" a="1"/>
  <c r="DM287" i="123" a="1"/>
  <c r="DM156" i="123" a="1"/>
  <c r="DM156" i="123" s="1"/>
  <c r="EB156" i="123" s="1"/>
  <c r="DM204" i="123" a="1"/>
  <c r="DM204" i="123" s="1"/>
  <c r="EB204" i="123" s="1"/>
  <c r="DM166" i="123" a="1"/>
  <c r="DM166" i="123" s="1"/>
  <c r="EB166" i="123" s="1"/>
  <c r="DM250" i="123" a="1"/>
  <c r="DM151" i="123" a="1"/>
  <c r="DM151" i="123" s="1"/>
  <c r="EB151" i="123" s="1"/>
  <c r="DM192" i="123" a="1"/>
  <c r="DM176" i="123" a="1"/>
  <c r="DM176" i="123" s="1"/>
  <c r="EB176" i="123" s="1"/>
  <c r="DM148" i="123" a="1"/>
  <c r="DM148" i="123" s="1"/>
  <c r="EB148" i="123" s="1"/>
  <c r="DM142" i="123" a="1"/>
  <c r="DM142" i="123" s="1"/>
  <c r="EB142" i="123" s="1"/>
  <c r="DM267" i="123" a="1"/>
  <c r="DM304" i="123" a="1"/>
  <c r="DM304" i="123" s="1"/>
  <c r="EB304" i="123" s="1"/>
  <c r="DM147" i="123" a="1"/>
  <c r="DM147" i="123" s="1"/>
  <c r="EB147" i="123" s="1"/>
  <c r="DM175" i="123" a="1"/>
  <c r="DM175" i="123" s="1"/>
  <c r="EB175" i="123" s="1"/>
  <c r="DM138" i="123" a="1"/>
  <c r="DM138" i="123" s="1"/>
  <c r="EB138" i="123" s="1"/>
  <c r="DM185" i="123" a="1"/>
  <c r="DM185" i="123" s="1"/>
  <c r="EB185" i="123" s="1"/>
  <c r="DM209" i="123" a="1"/>
  <c r="DM228" i="123" a="1"/>
  <c r="DM228" i="123" s="1"/>
  <c r="EB228" i="123" s="1"/>
  <c r="DM298" i="123" a="1"/>
  <c r="DM207" i="123" a="1"/>
  <c r="DM207" i="123" s="1"/>
  <c r="EB207" i="123" s="1"/>
  <c r="DM233" i="123" a="1"/>
  <c r="DM233" i="123" s="1"/>
  <c r="EB233" i="123" s="1"/>
  <c r="DM229" i="123" a="1"/>
  <c r="DM229" i="123" s="1"/>
  <c r="EB229" i="123" s="1"/>
  <c r="DM188" i="123" a="1"/>
  <c r="DM188" i="123" s="1"/>
  <c r="EB188" i="123" s="1"/>
  <c r="DM161" i="123" a="1"/>
  <c r="DM161" i="123" s="1"/>
  <c r="EB161" i="123" s="1"/>
  <c r="DM271" i="123" a="1"/>
  <c r="DM271" i="123" s="1"/>
  <c r="EB271" i="123" s="1"/>
  <c r="DM203" i="123" a="1"/>
  <c r="DM203" i="123" s="1"/>
  <c r="EB203" i="123" s="1"/>
  <c r="DM238" i="123" a="1"/>
  <c r="DM238" i="123" s="1"/>
  <c r="EB238" i="123" s="1"/>
  <c r="DM294" i="123" a="1"/>
  <c r="DM294" i="123" s="1"/>
  <c r="EB294" i="123" s="1"/>
  <c r="DM244" i="123" a="1"/>
  <c r="DM237" i="123" a="1"/>
  <c r="DM141" i="123" a="1"/>
  <c r="DM141" i="123" s="1"/>
  <c r="EB141" i="123" s="1"/>
  <c r="DM253" i="123" a="1"/>
  <c r="DM253" i="123" s="1"/>
  <c r="EB253" i="123" s="1"/>
  <c r="DM173" i="123" a="1"/>
  <c r="DM173" i="123" s="1"/>
  <c r="EB173" i="123" s="1"/>
  <c r="DM285" i="123" a="1"/>
  <c r="DM285" i="123" s="1"/>
  <c r="EB285" i="123" s="1"/>
  <c r="DM129" i="123" a="1"/>
  <c r="DM152" i="123" a="1"/>
  <c r="DM152" i="123" s="1"/>
  <c r="EB152" i="123" s="1"/>
  <c r="DM236" i="123" a="1"/>
  <c r="DM137" i="123" a="1"/>
  <c r="DM137" i="123" s="1"/>
  <c r="EB137" i="123" s="1"/>
  <c r="DM227" i="123" a="1"/>
  <c r="DM227" i="123" s="1"/>
  <c r="EB227" i="123" s="1"/>
  <c r="DM193" i="123" a="1"/>
  <c r="DM193" i="123" s="1"/>
  <c r="EB193" i="123" s="1"/>
  <c r="DM134" i="123" a="1"/>
  <c r="DM296" i="123" a="1"/>
  <c r="DM296" i="123" s="1"/>
  <c r="EB296" i="123" s="1"/>
  <c r="DM277" i="123" a="1"/>
  <c r="DM131" i="123" a="1"/>
  <c r="DM131" i="123" s="1"/>
  <c r="EB131" i="123" s="1"/>
  <c r="DM167" i="123" a="1"/>
  <c r="DM167" i="123" s="1"/>
  <c r="EB167" i="123" s="1"/>
  <c r="DM194" i="123" a="1"/>
  <c r="DM194" i="123" s="1"/>
  <c r="EB194" i="123" s="1"/>
  <c r="DM198" i="123" a="1"/>
  <c r="DM198" i="123" s="1"/>
  <c r="EB198" i="123" s="1"/>
  <c r="DM273" i="123" a="1"/>
  <c r="DM273" i="123" s="1"/>
  <c r="EB273" i="123" s="1"/>
  <c r="DM300" i="123" a="1"/>
  <c r="DM186" i="123" a="1"/>
  <c r="DM186" i="123" s="1"/>
  <c r="EB186" i="123" s="1"/>
  <c r="DM276" i="123" a="1"/>
  <c r="DM197" i="123" a="1"/>
  <c r="DM197" i="123" s="1"/>
  <c r="EB197" i="123" s="1"/>
  <c r="DM291" i="123" a="1"/>
  <c r="DM184" i="123" a="1"/>
  <c r="DM184" i="123" s="1"/>
  <c r="EB184" i="123" s="1"/>
  <c r="DM266" i="123" a="1"/>
  <c r="DM266" i="123" s="1"/>
  <c r="EB266" i="123" s="1"/>
  <c r="DM199" i="123" a="1"/>
  <c r="DM199" i="123" s="1"/>
  <c r="EB199" i="123" s="1"/>
  <c r="DM136" i="123" a="1"/>
  <c r="DM136" i="123" s="1"/>
  <c r="EB136" i="123" s="1"/>
  <c r="DM230" i="123" a="1"/>
  <c r="DM230" i="123" s="1"/>
  <c r="EB230" i="123" s="1"/>
  <c r="DM286" i="123" a="1"/>
  <c r="DM265" i="123" a="1"/>
  <c r="DM265" i="123" s="1"/>
  <c r="EB265" i="123" s="1"/>
  <c r="DM201" i="123" a="1"/>
  <c r="DM201" i="123" s="1"/>
  <c r="EB201" i="123" s="1"/>
  <c r="DM301" i="123" a="1"/>
  <c r="DM262" i="123" a="1"/>
  <c r="DM262" i="123" s="1"/>
  <c r="EB262" i="123" s="1"/>
  <c r="DM177" i="123" a="1"/>
  <c r="DM177" i="123" s="1"/>
  <c r="EB177" i="123" s="1"/>
  <c r="DM263" i="123" a="1"/>
  <c r="DM263" i="123" s="1"/>
  <c r="EB263" i="123" s="1"/>
  <c r="DM289" i="123" a="1"/>
  <c r="DM139" i="123" a="1"/>
  <c r="DM139" i="123" s="1"/>
  <c r="EB139" i="123" s="1"/>
  <c r="DM226" i="123" a="1"/>
  <c r="DM226" i="123" s="1"/>
  <c r="EB226" i="123" s="1"/>
  <c r="DM259" i="123" a="1"/>
  <c r="DM268" i="123" a="1"/>
  <c r="DM268" i="123" s="1"/>
  <c r="EB268" i="123" s="1"/>
  <c r="DM157" i="123" a="1"/>
  <c r="DM157" i="123" s="1"/>
  <c r="EB157" i="123" s="1"/>
  <c r="DM191" i="123" a="1"/>
  <c r="DM191" i="123" s="1"/>
  <c r="EB191" i="123" s="1"/>
  <c r="DM272" i="123" a="1"/>
  <c r="DM205" i="123" a="1"/>
  <c r="DM205" i="123" s="1"/>
  <c r="DM178" i="123" a="1"/>
  <c r="DM164" i="123" a="1"/>
  <c r="DM164" i="123" s="1"/>
  <c r="EB164" i="123" s="1"/>
  <c r="DM130" i="123" a="1"/>
  <c r="DM288" i="123" a="1"/>
  <c r="DM288" i="123" s="1"/>
  <c r="EB288" i="123" s="1"/>
  <c r="DM133" i="123" a="1"/>
  <c r="DM133" i="123" s="1"/>
  <c r="DM180" i="123" a="1"/>
  <c r="DM180" i="123" s="1"/>
  <c r="EB180" i="123" s="1"/>
  <c r="DM247" i="123" a="1"/>
  <c r="DM241" i="123" a="1"/>
  <c r="DM241" i="123" s="1"/>
  <c r="EB241" i="123" s="1"/>
  <c r="DM292" i="123" a="1"/>
  <c r="DM132" i="123" a="1"/>
  <c r="DM132" i="123" s="1"/>
  <c r="EB132" i="123" s="1"/>
  <c r="DM143" i="123" a="1"/>
  <c r="DM143" i="123" s="1"/>
  <c r="EB143" i="123" s="1"/>
  <c r="DM190" i="123" a="1"/>
  <c r="DM200" i="123" a="1"/>
  <c r="DM200" i="123" s="1"/>
  <c r="EB200" i="123" s="1"/>
  <c r="DM171" i="123" a="1"/>
  <c r="DM171" i="123" s="1"/>
  <c r="EB171" i="123" s="1"/>
  <c r="DM208" i="123" a="1"/>
  <c r="DM208" i="123" s="1"/>
  <c r="EB208" i="123" s="1"/>
  <c r="DM246" i="123" a="1"/>
  <c r="DM246" i="123" s="1"/>
  <c r="EB246" i="123" s="1"/>
  <c r="DM235" i="123" a="1"/>
  <c r="DM235" i="123" s="1"/>
  <c r="EB235" i="123" s="1"/>
  <c r="DM258" i="123" a="1"/>
  <c r="DM258" i="123" s="1"/>
  <c r="EB258" i="123" s="1"/>
  <c r="DM169" i="123" a="1"/>
  <c r="DM169" i="123" s="1"/>
  <c r="EB169" i="123" s="1"/>
  <c r="DM261" i="123" a="1"/>
  <c r="DM159" i="123" a="1"/>
  <c r="DM159" i="123" s="1"/>
  <c r="EB159" i="123" s="1"/>
  <c r="DM279" i="123" a="1"/>
  <c r="DM279" i="123" s="1"/>
  <c r="EB279" i="123" s="1"/>
  <c r="DM290" i="123" a="1"/>
  <c r="DM144" i="123" a="1"/>
  <c r="DM144" i="123" s="1"/>
  <c r="EB144" i="123" s="1"/>
  <c r="DM303" i="123" a="1"/>
  <c r="DM206" i="123" a="1"/>
  <c r="DM206" i="123" s="1"/>
  <c r="EB206" i="123" s="1"/>
  <c r="DM255" i="123" a="1"/>
  <c r="DM153" i="123" a="1"/>
  <c r="DM163" i="123" a="1"/>
  <c r="DM163" i="123" s="1"/>
  <c r="EB163" i="123" s="1"/>
  <c r="DM239" i="123" a="1"/>
  <c r="DM239" i="123" s="1"/>
  <c r="EB239" i="123" s="1"/>
  <c r="DM278" i="123" a="1"/>
  <c r="DM256" i="123" a="1"/>
  <c r="DM140" i="123" a="1"/>
  <c r="DM140" i="123" s="1"/>
  <c r="EB140" i="123" s="1"/>
  <c r="DM257" i="123" a="1"/>
  <c r="DM257" i="123" s="1"/>
  <c r="EB257" i="123" s="1"/>
  <c r="DM196" i="123" a="1"/>
  <c r="DM196" i="123" s="1"/>
  <c r="EB196" i="123" s="1"/>
  <c r="DM145" i="123" a="1"/>
  <c r="DM145" i="123" s="1"/>
  <c r="EB145" i="123" s="1"/>
  <c r="DM251" i="123" a="1"/>
  <c r="DM251" i="123" s="1"/>
  <c r="EB251" i="123" s="1"/>
  <c r="DM260" i="123" a="1"/>
  <c r="DM260" i="123" s="1"/>
  <c r="EB260" i="123" s="1"/>
  <c r="DM189" i="123" a="1"/>
  <c r="DM189" i="123" s="1"/>
  <c r="EB189" i="123" s="1"/>
  <c r="DM225" i="123" a="1"/>
  <c r="DM299" i="123" a="1"/>
  <c r="DM299" i="123" s="1"/>
  <c r="EB299" i="123" s="1"/>
  <c r="DM293" i="123" a="1"/>
  <c r="DM293" i="123" s="1"/>
  <c r="EB293" i="123" s="1"/>
  <c r="DM154" i="123" a="1"/>
  <c r="DM154" i="123" s="1"/>
  <c r="EB154" i="123" s="1"/>
  <c r="DM150" i="123" a="1"/>
  <c r="DM150" i="123" s="1"/>
  <c r="EB150" i="123" s="1"/>
  <c r="DM252" i="123" a="1"/>
  <c r="DM232" i="123" a="1"/>
  <c r="DM283" i="123" a="1"/>
  <c r="DM283" i="123" s="1"/>
  <c r="EB283" i="123" s="1"/>
  <c r="DM264" i="123" a="1"/>
  <c r="DM264" i="123" s="1"/>
  <c r="EB264" i="123" s="1"/>
  <c r="DM135" i="123" a="1"/>
  <c r="DM135" i="123" s="1"/>
  <c r="EB135" i="123" s="1"/>
  <c r="DM275" i="123" a="1"/>
  <c r="DM275" i="123" s="1"/>
  <c r="EB275" i="123" s="1"/>
  <c r="DM165" i="123" a="1"/>
  <c r="DM165" i="123" s="1"/>
  <c r="EB165" i="123" s="1"/>
  <c r="DM249" i="123" a="1"/>
  <c r="DM162" i="123" a="1"/>
  <c r="DM162" i="123" s="1"/>
  <c r="EB162" i="123" s="1"/>
  <c r="DM160" i="123" a="1"/>
  <c r="DM160" i="123" s="1"/>
  <c r="EB160" i="123" s="1"/>
  <c r="DM295" i="123" a="1"/>
  <c r="DM269" i="123" a="1"/>
  <c r="DM269" i="123" s="1"/>
  <c r="EB269" i="123" s="1"/>
  <c r="DM183" i="123" a="1"/>
  <c r="DM174" i="123" a="1"/>
  <c r="DM174" i="123" s="1"/>
  <c r="EB174" i="123" s="1"/>
  <c r="DM297" i="123" a="1"/>
  <c r="DM274" i="123" a="1"/>
  <c r="EC84" i="123"/>
  <c r="EC78" i="123"/>
  <c r="EC73" i="123"/>
  <c r="EC63" i="123"/>
  <c r="EC67" i="123"/>
  <c r="EC94" i="123"/>
  <c r="EC45" i="123"/>
  <c r="EC71" i="123"/>
  <c r="EC59" i="123"/>
  <c r="EC87" i="123"/>
  <c r="EC64" i="123"/>
  <c r="EC79" i="123"/>
  <c r="EC48" i="123"/>
  <c r="EC47" i="123"/>
  <c r="EC89" i="123"/>
  <c r="EC51" i="123"/>
  <c r="EC55" i="123"/>
  <c r="EC57" i="123"/>
  <c r="EC56" i="123"/>
  <c r="EC44" i="123"/>
  <c r="EC62" i="123"/>
  <c r="EC91" i="123"/>
  <c r="EC85" i="123"/>
  <c r="EC52" i="123"/>
  <c r="EC53" i="123"/>
  <c r="EC75" i="123"/>
  <c r="EC72" i="123"/>
  <c r="EC68" i="123"/>
  <c r="EC65" i="123"/>
  <c r="EC54" i="123"/>
  <c r="EC90" i="123"/>
  <c r="EC69" i="123"/>
  <c r="EC66" i="123"/>
  <c r="EC70" i="123"/>
  <c r="EC49" i="123"/>
  <c r="EC60" i="123"/>
  <c r="EC93" i="123"/>
  <c r="EC81" i="123"/>
  <c r="EC46" i="123"/>
  <c r="EC80" i="123"/>
  <c r="EC96" i="123"/>
  <c r="EC82" i="123"/>
  <c r="EC58" i="123"/>
  <c r="EC83" i="123"/>
  <c r="EC74" i="123"/>
  <c r="EC77" i="123"/>
  <c r="EC86" i="123"/>
  <c r="EC50" i="123"/>
  <c r="EC88" i="123"/>
  <c r="EC76" i="123"/>
  <c r="EC92" i="123"/>
  <c r="EC43" i="123"/>
  <c r="EC95" i="123"/>
  <c r="EC61" i="123"/>
  <c r="AQ206" i="123"/>
  <c r="AQ277" i="123"/>
  <c r="CR236" i="123"/>
  <c r="CS236" i="123" s="1"/>
  <c r="CR299" i="123"/>
  <c r="CS299" i="123" s="1"/>
  <c r="AQ238" i="123"/>
  <c r="AQ204" i="123"/>
  <c r="CR182" i="123"/>
  <c r="CS182" i="123" s="1"/>
  <c r="CR259" i="123"/>
  <c r="CS259" i="123" s="1"/>
  <c r="AQ291" i="123"/>
  <c r="AQ242" i="123"/>
  <c r="AQ247" i="123"/>
  <c r="AQ187" i="123"/>
  <c r="AQ234" i="123"/>
  <c r="AQ157" i="123"/>
  <c r="CR279" i="123"/>
  <c r="CS279" i="123" s="1"/>
  <c r="CR281" i="123"/>
  <c r="CS281" i="123" s="1"/>
  <c r="AR64" i="93"/>
  <c r="AQ188" i="123"/>
  <c r="AQ142" i="123"/>
  <c r="AQ258" i="123"/>
  <c r="CR284" i="123"/>
  <c r="CS284" i="123" s="1"/>
  <c r="AY64" i="93"/>
  <c r="AR69" i="93"/>
  <c r="AQ239" i="123"/>
  <c r="AQ190" i="123"/>
  <c r="AQ178" i="123"/>
  <c r="CR150" i="123"/>
  <c r="CS150" i="123" s="1"/>
  <c r="CR151" i="123"/>
  <c r="CS151" i="123" s="1"/>
  <c r="AR68" i="93"/>
  <c r="AQ288" i="123"/>
  <c r="DM146" i="123"/>
  <c r="EB146" i="123" s="1"/>
  <c r="CR206" i="123"/>
  <c r="CS206" i="123" s="1"/>
  <c r="AQ274" i="123"/>
  <c r="DM245" i="123"/>
  <c r="EB245" i="123" s="1"/>
  <c r="CR283" i="123"/>
  <c r="CS283" i="123" s="1"/>
  <c r="AX64" i="93"/>
  <c r="AQ244" i="123"/>
  <c r="AQ208" i="123"/>
  <c r="CR164" i="123"/>
  <c r="CS164" i="123" s="1"/>
  <c r="AQ294" i="123"/>
  <c r="AQ303" i="123"/>
  <c r="AY68" i="93"/>
  <c r="DM232" i="123"/>
  <c r="EB232" i="123" s="1"/>
  <c r="CR291" i="123"/>
  <c r="CS291" i="123" s="1"/>
  <c r="AQ296" i="123"/>
  <c r="CR186" i="123"/>
  <c r="CS186" i="123" s="1"/>
  <c r="DM256" i="123"/>
  <c r="EB256" i="123" s="1"/>
  <c r="AQ299" i="123"/>
  <c r="CR199" i="123"/>
  <c r="CS199" i="123" s="1"/>
  <c r="AQ230" i="123"/>
  <c r="AQ229" i="123"/>
  <c r="AQ285" i="123"/>
  <c r="AQ194" i="123"/>
  <c r="CR148" i="123"/>
  <c r="CS148" i="123" s="1"/>
  <c r="AQ304" i="123"/>
  <c r="AQ282" i="123"/>
  <c r="AQ266" i="123"/>
  <c r="CR258" i="123"/>
  <c r="CS258" i="123" s="1"/>
  <c r="CR178" i="123"/>
  <c r="CS178" i="123" s="1"/>
  <c r="DM290" i="123"/>
  <c r="EB290" i="123" s="1"/>
  <c r="AQ233" i="123"/>
  <c r="AQ143" i="123"/>
  <c r="AQ248" i="123"/>
  <c r="DM129" i="123"/>
  <c r="EB129" i="123" s="1"/>
  <c r="AQ278" i="123"/>
  <c r="CR198" i="123"/>
  <c r="CS198" i="123" s="1"/>
  <c r="AU64" i="93"/>
  <c r="CR245" i="123"/>
  <c r="CS245" i="123" s="1"/>
  <c r="AQ293" i="123"/>
  <c r="AQ152" i="123"/>
  <c r="AQ160" i="123"/>
  <c r="AQ292" i="123"/>
  <c r="AQ256" i="123"/>
  <c r="AQ174" i="123"/>
  <c r="AQ162" i="123"/>
  <c r="AQ158" i="123"/>
  <c r="AQ276" i="123"/>
  <c r="CR255" i="123"/>
  <c r="CS255" i="123" s="1"/>
  <c r="AQ235" i="123"/>
  <c r="CR161" i="123"/>
  <c r="CS161" i="123" s="1"/>
  <c r="CR157" i="123"/>
  <c r="CS157" i="123" s="1"/>
  <c r="AQ227" i="123"/>
  <c r="DM183" i="123"/>
  <c r="EB183" i="123" s="1"/>
  <c r="AQ267" i="123"/>
  <c r="AQ261" i="123"/>
  <c r="CR145" i="123"/>
  <c r="CS145" i="123" s="1"/>
  <c r="AQ148" i="123"/>
  <c r="AQ275" i="123"/>
  <c r="AQ281" i="123"/>
  <c r="CR295" i="123"/>
  <c r="CS295" i="123" s="1"/>
  <c r="AQ189" i="123"/>
  <c r="AQ179" i="123"/>
  <c r="AQ283" i="123"/>
  <c r="CR248" i="123"/>
  <c r="CS248" i="123" s="1"/>
  <c r="CR203" i="123"/>
  <c r="CS203" i="123" s="1"/>
  <c r="CR287" i="123"/>
  <c r="CS287" i="123" s="1"/>
  <c r="AQ198" i="123"/>
  <c r="AQ300" i="123"/>
  <c r="CR228" i="123"/>
  <c r="CS228" i="123" s="1"/>
  <c r="AQ172" i="123"/>
  <c r="AQ183" i="123"/>
  <c r="CR256" i="123"/>
  <c r="CS256" i="123" s="1"/>
  <c r="CR188" i="123"/>
  <c r="CS188" i="123" s="1"/>
  <c r="CR179" i="123"/>
  <c r="CS179" i="123" s="1"/>
  <c r="AQ197" i="123"/>
  <c r="AQ165" i="123"/>
  <c r="AQ145" i="123"/>
  <c r="CR172" i="123"/>
  <c r="CS172" i="123" s="1"/>
  <c r="AQ195" i="123"/>
  <c r="DM209" i="123"/>
  <c r="EB209" i="123" s="1"/>
  <c r="AQ201" i="123"/>
  <c r="DM282" i="123"/>
  <c r="EB282" i="123" s="1"/>
  <c r="AQ130" i="123"/>
  <c r="AT64" i="93"/>
  <c r="AQ263" i="123"/>
  <c r="CR246" i="123"/>
  <c r="CS246" i="123" s="1"/>
  <c r="CR169" i="123"/>
  <c r="CS169" i="123" s="1"/>
  <c r="AQ138" i="123"/>
  <c r="DM300" i="123"/>
  <c r="EB300" i="123" s="1"/>
  <c r="AQ151" i="123"/>
  <c r="AQ249" i="123"/>
  <c r="CR272" i="123"/>
  <c r="CS272" i="123" s="1"/>
  <c r="CR298" i="123"/>
  <c r="CS298" i="123" s="1"/>
  <c r="AT68" i="93"/>
  <c r="CR239" i="123"/>
  <c r="CS239" i="123" s="1"/>
  <c r="AV69" i="93"/>
  <c r="CR257" i="123"/>
  <c r="CS257" i="123" s="1"/>
  <c r="CR189" i="123"/>
  <c r="CS189" i="123" s="1"/>
  <c r="AX69" i="93"/>
  <c r="CR250" i="123"/>
  <c r="CS250" i="123" s="1"/>
  <c r="CR159" i="123"/>
  <c r="CS159" i="123" s="1"/>
  <c r="DM237" i="123"/>
  <c r="EB237" i="123" s="1"/>
  <c r="AR93" i="93"/>
  <c r="AQ175" i="123"/>
  <c r="AQ268" i="123"/>
  <c r="DM278" i="123"/>
  <c r="EB278" i="123" s="1"/>
  <c r="CR229" i="123"/>
  <c r="CS229" i="123" s="1"/>
  <c r="AQ226" i="123"/>
  <c r="AQ287" i="123"/>
  <c r="AQ270" i="123"/>
  <c r="CR262" i="123"/>
  <c r="CS262" i="123" s="1"/>
  <c r="CR297" i="123"/>
  <c r="CS297" i="123" s="1"/>
  <c r="AQ199" i="123"/>
  <c r="AQ271" i="123"/>
  <c r="CR292" i="123"/>
  <c r="CS292" i="123" s="1"/>
  <c r="AQ137" i="123"/>
  <c r="DM250" i="123"/>
  <c r="EB250" i="123" s="1"/>
  <c r="DM255" i="123"/>
  <c r="EB255" i="123" s="1"/>
  <c r="CR265" i="123"/>
  <c r="CS265" i="123" s="1"/>
  <c r="DM192" i="123"/>
  <c r="EB192" i="123" s="1"/>
  <c r="CR266" i="123"/>
  <c r="CS266" i="123" s="1"/>
  <c r="CR261" i="123"/>
  <c r="CS261" i="123" s="1"/>
  <c r="CR139" i="123"/>
  <c r="CS139" i="123" s="1"/>
  <c r="AQ250" i="123"/>
  <c r="DM284" i="123"/>
  <c r="EB284" i="123" s="1"/>
  <c r="AP64" i="93"/>
  <c r="CR131" i="123"/>
  <c r="CS131" i="123" s="1"/>
  <c r="DM244" i="123"/>
  <c r="EB244" i="123" s="1"/>
  <c r="AQ241" i="123"/>
  <c r="CR143" i="123"/>
  <c r="CS143" i="123" s="1"/>
  <c r="AQ146" i="123"/>
  <c r="CR173" i="123"/>
  <c r="CS173" i="123" s="1"/>
  <c r="CR244" i="123"/>
  <c r="CS244" i="123" s="1"/>
  <c r="CR276" i="123"/>
  <c r="CS276" i="123" s="1"/>
  <c r="AQ180" i="123"/>
  <c r="AQ251" i="123"/>
  <c r="AQ169" i="123"/>
  <c r="AQ265" i="123"/>
  <c r="CR187" i="123"/>
  <c r="CS187" i="123" s="1"/>
  <c r="DM267" i="123"/>
  <c r="EB267" i="123" s="1"/>
  <c r="AQ173" i="123"/>
  <c r="CR260" i="123"/>
  <c r="CS260" i="123" s="1"/>
  <c r="AQ170" i="123"/>
  <c r="AQ177" i="123"/>
  <c r="AQ154" i="123"/>
  <c r="CR162" i="123"/>
  <c r="CS162" i="123" s="1"/>
  <c r="AQ245" i="123"/>
  <c r="AQ286" i="123"/>
  <c r="AV68" i="93"/>
  <c r="CR268" i="123"/>
  <c r="CS268" i="123" s="1"/>
  <c r="CR140" i="123"/>
  <c r="CS140" i="123" s="1"/>
  <c r="CR153" i="123"/>
  <c r="CS153" i="123" s="1"/>
  <c r="CR270" i="123"/>
  <c r="CS270" i="123" s="1"/>
  <c r="AT69" i="93"/>
  <c r="AQ262" i="123"/>
  <c r="DM280" i="123"/>
  <c r="EB280" i="123" s="1"/>
  <c r="AQ129" i="123"/>
  <c r="DM225" i="123"/>
  <c r="EB225" i="123" s="1"/>
  <c r="CR158" i="123"/>
  <c r="CS158" i="123" s="1"/>
  <c r="DM249" i="123"/>
  <c r="EB249" i="123" s="1"/>
  <c r="CR249" i="123"/>
  <c r="CS249" i="123" s="1"/>
  <c r="AQ144" i="123"/>
  <c r="AQ207" i="123"/>
  <c r="CR144" i="123"/>
  <c r="CS144" i="123" s="1"/>
  <c r="DM295" i="123"/>
  <c r="EB295" i="123" s="1"/>
  <c r="DM254" i="123"/>
  <c r="EB254" i="123" s="1"/>
  <c r="DM247" i="123"/>
  <c r="EB247" i="123" s="1"/>
  <c r="CR304" i="123"/>
  <c r="CS304" i="123" s="1"/>
  <c r="DM301" i="123"/>
  <c r="EB301" i="123" s="1"/>
  <c r="CR242" i="123"/>
  <c r="CS242" i="123" s="1"/>
  <c r="AQ246" i="123"/>
  <c r="CR154" i="123"/>
  <c r="CS154" i="123" s="1"/>
  <c r="CR168" i="123"/>
  <c r="CS168" i="123" s="1"/>
  <c r="AQ273" i="123"/>
  <c r="AQ264" i="123"/>
  <c r="DM272" i="123"/>
  <c r="EB272" i="123" s="1"/>
  <c r="AQ257" i="123"/>
  <c r="DM153" i="123"/>
  <c r="EB153" i="123" s="1"/>
  <c r="AQ279" i="123"/>
  <c r="CR294" i="123"/>
  <c r="CS294" i="123" s="1"/>
  <c r="AW68" i="93"/>
  <c r="CR300" i="123"/>
  <c r="CS300" i="123" s="1"/>
  <c r="AR74" i="93"/>
  <c r="AQ135" i="123"/>
  <c r="AQ302" i="123"/>
  <c r="DM287" i="123"/>
  <c r="EB287" i="123" s="1"/>
  <c r="AU68" i="93"/>
  <c r="AQ254" i="123"/>
  <c r="AQ280" i="123"/>
  <c r="AQ260" i="123"/>
  <c r="AX68" i="93"/>
  <c r="AU69" i="93"/>
  <c r="AQ141" i="123"/>
  <c r="DM297" i="123"/>
  <c r="EB297" i="123" s="1"/>
  <c r="DM274" i="123"/>
  <c r="EB274" i="123" s="1"/>
  <c r="AT81" i="93"/>
  <c r="DM276" i="123"/>
  <c r="EB276" i="123" s="1"/>
  <c r="CR231" i="123"/>
  <c r="CS231" i="123" s="1"/>
  <c r="CR185" i="123"/>
  <c r="CS185" i="123" s="1"/>
  <c r="AQ168" i="123"/>
  <c r="CR197" i="123"/>
  <c r="CS197" i="123" s="1"/>
  <c r="AQ139" i="123"/>
  <c r="CR194" i="123"/>
  <c r="CS194" i="123" s="1"/>
  <c r="AQ163" i="123"/>
  <c r="AQ171" i="123"/>
  <c r="AQ290" i="123"/>
  <c r="AQ167" i="123"/>
  <c r="AQ147" i="123"/>
  <c r="AQ284" i="123"/>
  <c r="DM281" i="123"/>
  <c r="EB281" i="123" s="1"/>
  <c r="AQ133" i="123"/>
  <c r="AQ255" i="123"/>
  <c r="CR288" i="123"/>
  <c r="CS288" i="123" s="1"/>
  <c r="AQ272" i="123"/>
  <c r="AQ159" i="123"/>
  <c r="CR152" i="123"/>
  <c r="CS152" i="123" s="1"/>
  <c r="AQ140" i="123"/>
  <c r="AQ225" i="123"/>
  <c r="DM277" i="123"/>
  <c r="EB277" i="123" s="1"/>
  <c r="AQ153" i="123"/>
  <c r="AQ236" i="123"/>
  <c r="CR227" i="123"/>
  <c r="CS227" i="123" s="1"/>
  <c r="AQ192" i="123"/>
  <c r="AQ166" i="123"/>
  <c r="AQ203" i="123"/>
  <c r="AQ185" i="123"/>
  <c r="AY87" i="93"/>
  <c r="AQ68" i="93"/>
  <c r="AQ202" i="123"/>
  <c r="CR264" i="123"/>
  <c r="CS264" i="123" s="1"/>
  <c r="CR247" i="123"/>
  <c r="CS247" i="123" s="1"/>
  <c r="AQ298" i="123"/>
  <c r="DM302" i="123"/>
  <c r="EB302" i="123" s="1"/>
  <c r="AQ240" i="123"/>
  <c r="AQ191" i="123"/>
  <c r="AQ252" i="123"/>
  <c r="AQ136" i="123"/>
  <c r="CR241" i="123"/>
  <c r="CS241" i="123" s="1"/>
  <c r="AQ132" i="123"/>
  <c r="AQ200" i="123"/>
  <c r="AQ181" i="123"/>
  <c r="AQ69" i="93"/>
  <c r="CR192" i="123"/>
  <c r="CS192" i="123" s="1"/>
  <c r="AS69" i="93"/>
  <c r="AQ301" i="123"/>
  <c r="CR167" i="123"/>
  <c r="CS167" i="123" s="1"/>
  <c r="CR233" i="123"/>
  <c r="CS233" i="123" s="1"/>
  <c r="CR209" i="123"/>
  <c r="CS209" i="123" s="1"/>
  <c r="DM252" i="123"/>
  <c r="EB252" i="123" s="1"/>
  <c r="CR303" i="123"/>
  <c r="CS303" i="123" s="1"/>
  <c r="AS68" i="93"/>
  <c r="AQ156" i="123"/>
  <c r="CR202" i="123"/>
  <c r="CS202" i="123" s="1"/>
  <c r="AQ231" i="123"/>
  <c r="AV64" i="93"/>
  <c r="AQ184" i="123"/>
  <c r="AY69" i="93"/>
  <c r="AQ209" i="123"/>
  <c r="DM289" i="123"/>
  <c r="EB289" i="123" s="1"/>
  <c r="DM286" i="123"/>
  <c r="EB286" i="123" s="1"/>
  <c r="AQ253" i="123"/>
  <c r="CR163" i="123"/>
  <c r="CS163" i="123" s="1"/>
  <c r="AQ149" i="123"/>
  <c r="AS64" i="93"/>
  <c r="CR193" i="123"/>
  <c r="CS193" i="123" s="1"/>
  <c r="AQ155" i="123"/>
  <c r="AQ161" i="123"/>
  <c r="CR134" i="123"/>
  <c r="CS134" i="123" s="1"/>
  <c r="AQ228" i="123"/>
  <c r="DM236" i="123"/>
  <c r="EB236" i="123" s="1"/>
  <c r="AB54" i="98" s="1"/>
  <c r="CR137" i="123"/>
  <c r="CS137" i="123" s="1"/>
  <c r="CR165" i="123"/>
  <c r="CS165" i="123" s="1"/>
  <c r="CR208" i="123"/>
  <c r="CS208" i="123" s="1"/>
  <c r="CR302" i="123"/>
  <c r="CS302" i="123" s="1"/>
  <c r="CR280" i="123"/>
  <c r="CS280" i="123" s="1"/>
  <c r="CR275" i="123"/>
  <c r="CS275" i="123" s="1"/>
  <c r="CR174" i="123"/>
  <c r="CS174" i="123" s="1"/>
  <c r="CR278" i="123"/>
  <c r="CS278" i="123" s="1"/>
  <c r="CR252" i="123"/>
  <c r="CS252" i="123" s="1"/>
  <c r="CR254" i="123"/>
  <c r="CS254" i="123" s="1"/>
  <c r="CR290" i="123"/>
  <c r="CS290" i="123" s="1"/>
  <c r="CR138" i="123"/>
  <c r="CS138" i="123" s="1"/>
  <c r="CR253" i="123"/>
  <c r="CS253" i="123" s="1"/>
  <c r="CR277" i="123"/>
  <c r="CS277" i="123" s="1"/>
  <c r="CR286" i="123"/>
  <c r="CS286" i="123" s="1"/>
  <c r="CR240" i="123"/>
  <c r="CS240" i="123" s="1"/>
  <c r="CR200" i="123"/>
  <c r="CS200" i="123" s="1"/>
  <c r="AQ186" i="123"/>
  <c r="DM178" i="123"/>
  <c r="EB178" i="123" s="1"/>
  <c r="AQ64" i="93"/>
  <c r="DM298" i="123"/>
  <c r="EB298" i="123" s="1"/>
  <c r="AQ176" i="123"/>
  <c r="AQ269" i="123"/>
  <c r="CR171" i="123"/>
  <c r="CS171" i="123" s="1"/>
  <c r="CR166" i="123"/>
  <c r="CS166" i="123" s="1"/>
  <c r="AQ164" i="123"/>
  <c r="AQ134" i="123"/>
  <c r="CR282" i="123"/>
  <c r="CS282" i="123" s="1"/>
  <c r="AQ295" i="123"/>
  <c r="AQ259" i="123"/>
  <c r="AR75" i="93"/>
  <c r="CR177" i="123"/>
  <c r="CS177" i="123" s="1"/>
  <c r="CR141" i="123"/>
  <c r="CS141" i="123" s="1"/>
  <c r="CR133" i="123"/>
  <c r="CS133" i="123" s="1"/>
  <c r="CR263" i="123"/>
  <c r="CS263" i="123" s="1"/>
  <c r="CR301" i="123"/>
  <c r="CS301" i="123" s="1"/>
  <c r="DM291" i="123"/>
  <c r="EB291" i="123" s="1"/>
  <c r="CR296" i="123"/>
  <c r="CS296" i="123" s="1"/>
  <c r="DM190" i="123"/>
  <c r="EB190" i="123" s="1"/>
  <c r="CR181" i="123"/>
  <c r="CS181" i="123" s="1"/>
  <c r="CR234" i="123"/>
  <c r="CS234" i="123" s="1"/>
  <c r="CR132" i="123"/>
  <c r="CS132" i="123" s="1"/>
  <c r="CR184" i="123"/>
  <c r="CS184" i="123" s="1"/>
  <c r="CR149" i="123"/>
  <c r="CS149" i="123" s="1"/>
  <c r="DM130" i="123"/>
  <c r="EB130" i="123" s="1"/>
  <c r="DM292" i="123"/>
  <c r="EB292" i="123" s="1"/>
  <c r="CR146" i="123"/>
  <c r="CS146" i="123" s="1"/>
  <c r="AQ205" i="123"/>
  <c r="AQ232" i="123"/>
  <c r="AQ182" i="123"/>
  <c r="DM259" i="123"/>
  <c r="EB259" i="123" s="1"/>
  <c r="CR196" i="123"/>
  <c r="CS196" i="123" s="1"/>
  <c r="AQ131" i="123"/>
  <c r="AW67" i="93"/>
  <c r="CR271" i="123"/>
  <c r="CS271" i="123" s="1"/>
  <c r="AT77" i="93"/>
  <c r="CR230" i="123"/>
  <c r="CS230" i="123" s="1"/>
  <c r="AQ193" i="123"/>
  <c r="AQ196" i="123"/>
  <c r="CR156" i="123"/>
  <c r="CS156" i="123" s="1"/>
  <c r="CR285" i="123"/>
  <c r="CS285" i="123" s="1"/>
  <c r="AW69" i="93"/>
  <c r="CR142" i="123"/>
  <c r="CS142" i="123" s="1"/>
  <c r="CR147" i="123"/>
  <c r="CS147" i="123" s="1"/>
  <c r="CR273" i="123"/>
  <c r="CS273" i="123" s="1"/>
  <c r="CR269" i="123"/>
  <c r="CS269" i="123" s="1"/>
  <c r="CR274" i="123"/>
  <c r="CS274" i="123" s="1"/>
  <c r="CR136" i="123"/>
  <c r="CS136" i="123" s="1"/>
  <c r="CR160" i="123"/>
  <c r="CS160" i="123" s="1"/>
  <c r="CR293" i="123"/>
  <c r="CS293" i="123" s="1"/>
  <c r="CR237" i="123"/>
  <c r="CS237" i="123" s="1"/>
  <c r="CR180" i="123"/>
  <c r="CS180" i="123" s="1"/>
  <c r="CR170" i="123"/>
  <c r="CS170" i="123" s="1"/>
  <c r="AQ150" i="123"/>
  <c r="CR243" i="123"/>
  <c r="CS243" i="123" s="1"/>
  <c r="AQ289" i="123"/>
  <c r="DM303" i="123"/>
  <c r="EB303" i="123" s="1"/>
  <c r="CR289" i="123"/>
  <c r="CS289" i="123" s="1"/>
  <c r="AQ237" i="123"/>
  <c r="CR205" i="123"/>
  <c r="CS205" i="123" s="1"/>
  <c r="DM134" i="123"/>
  <c r="EB134" i="123" s="1"/>
  <c r="AQ297" i="123"/>
  <c r="AQ243" i="123"/>
  <c r="CR176" i="123"/>
  <c r="CS176" i="123" s="1"/>
  <c r="AW78" i="93"/>
  <c r="DM195" i="123"/>
  <c r="EB195" i="123" s="1"/>
  <c r="AS74" i="93"/>
  <c r="DM261" i="123"/>
  <c r="EB261" i="123" s="1"/>
  <c r="AW64" i="93"/>
  <c r="CR238" i="123"/>
  <c r="CS238" i="123" s="1"/>
  <c r="CR267" i="123"/>
  <c r="CS267" i="123" s="1"/>
  <c r="CR235" i="123"/>
  <c r="CS235" i="123" s="1"/>
  <c r="CR251" i="123"/>
  <c r="CS251" i="123" s="1"/>
  <c r="JY12" i="1"/>
  <c r="EB205" i="123" l="1"/>
  <c r="AB38" i="98" s="1"/>
  <c r="EB202" i="123"/>
  <c r="AB36" i="98" s="1"/>
  <c r="EB133" i="123"/>
  <c r="AB39" i="98" s="1"/>
  <c r="CB150" i="130"/>
  <c r="CB151" i="130"/>
  <c r="AQ127" i="123"/>
  <c r="AB34" i="98"/>
  <c r="AC37" i="98"/>
  <c r="AB50" i="98"/>
  <c r="AB41" i="98"/>
  <c r="AC40" i="98"/>
  <c r="AC35" i="98"/>
  <c r="AB35" i="98"/>
  <c r="AB40" i="98"/>
  <c r="AB37" i="98"/>
  <c r="AB49" i="98"/>
  <c r="AC50" i="98"/>
  <c r="AC49" i="98"/>
  <c r="AC41" i="98"/>
  <c r="AC34" i="98"/>
  <c r="AC51" i="98"/>
  <c r="AB53" i="98"/>
  <c r="AB51" i="98"/>
  <c r="AY89" i="93"/>
  <c r="AV79" i="93"/>
  <c r="AQ93" i="93"/>
  <c r="AW87" i="93"/>
  <c r="AV77" i="93"/>
  <c r="AX93" i="93"/>
  <c r="AR81" i="93"/>
  <c r="AU72" i="93"/>
  <c r="AS89" i="93"/>
  <c r="AT92" i="93"/>
  <c r="AW71" i="93"/>
  <c r="AV93" i="93"/>
  <c r="AY86" i="93"/>
  <c r="AS85" i="93"/>
  <c r="AQ86" i="93"/>
  <c r="AS67" i="93"/>
  <c r="AQ71" i="93"/>
  <c r="AQ87" i="93"/>
  <c r="AS81" i="93"/>
  <c r="AY85" i="93"/>
  <c r="AT79" i="93"/>
  <c r="AQ85" i="93"/>
  <c r="AV81" i="93"/>
  <c r="AQ79" i="93"/>
  <c r="AR82" i="93"/>
  <c r="AV82" i="93"/>
  <c r="C53" i="98"/>
  <c r="R232" i="123"/>
  <c r="B53" i="98"/>
  <c r="AU82" i="93"/>
  <c r="AX82" i="93"/>
  <c r="AR86" i="93"/>
  <c r="AU89" i="93"/>
  <c r="AU92" i="93"/>
  <c r="AS93" i="93"/>
  <c r="AX74" i="93"/>
  <c r="AQ92" i="93"/>
  <c r="AY73" i="93"/>
  <c r="AY82" i="93"/>
  <c r="AW86" i="93"/>
  <c r="AW81" i="93"/>
  <c r="AR72" i="93"/>
  <c r="AS86" i="93"/>
  <c r="AW92" i="93"/>
  <c r="AU85" i="93"/>
  <c r="AX78" i="93"/>
  <c r="AU90" i="93"/>
  <c r="AX89" i="93"/>
  <c r="AU81" i="93"/>
  <c r="AW93" i="93"/>
  <c r="AR78" i="93"/>
  <c r="AQ78" i="93"/>
  <c r="AW65" i="93"/>
  <c r="AV85" i="93"/>
  <c r="AV65" i="93"/>
  <c r="AS87" i="93"/>
  <c r="AV90" i="93"/>
  <c r="AR90" i="93"/>
  <c r="AW79" i="93"/>
  <c r="AU65" i="93"/>
  <c r="AX73" i="93"/>
  <c r="AQ80" i="93"/>
  <c r="AY78" i="93"/>
  <c r="AV78" i="93"/>
  <c r="AX86" i="93"/>
  <c r="AU74" i="93"/>
  <c r="AT71" i="93"/>
  <c r="AV87" i="93"/>
  <c r="AU79" i="93"/>
  <c r="AT78" i="93"/>
  <c r="AY93" i="93"/>
  <c r="AY81" i="93"/>
  <c r="AX67" i="93"/>
  <c r="AT67" i="93"/>
  <c r="AQ89" i="93"/>
  <c r="AQ81" i="93"/>
  <c r="Z258" i="123"/>
  <c r="CX258" i="123" s="1"/>
  <c r="Y258" i="123"/>
  <c r="Y147" i="123"/>
  <c r="Z147" i="123"/>
  <c r="CX147" i="123" s="1"/>
  <c r="AP85" i="93"/>
  <c r="Y283" i="123"/>
  <c r="Z283" i="123"/>
  <c r="CX283" i="123" s="1"/>
  <c r="AT93" i="93"/>
  <c r="Y272" i="123"/>
  <c r="Z272" i="123"/>
  <c r="CX272" i="123" s="1"/>
  <c r="Y251" i="123"/>
  <c r="Z251" i="123"/>
  <c r="CX251" i="123" s="1"/>
  <c r="Z268" i="123"/>
  <c r="CX268" i="123" s="1"/>
  <c r="Y268" i="123"/>
  <c r="AS65" i="93"/>
  <c r="Z302" i="123"/>
  <c r="CX302" i="123" s="1"/>
  <c r="Y302" i="123"/>
  <c r="AU87" i="93"/>
  <c r="Y261" i="123"/>
  <c r="Z261" i="123"/>
  <c r="CX261" i="123" s="1"/>
  <c r="Z298" i="123"/>
  <c r="CX298" i="123" s="1"/>
  <c r="Y298" i="123"/>
  <c r="Y163" i="123"/>
  <c r="Z163" i="123"/>
  <c r="CX163" i="123" s="1"/>
  <c r="AN65" i="93"/>
  <c r="AL65" i="93"/>
  <c r="Z260" i="123"/>
  <c r="CX260" i="123" s="1"/>
  <c r="Y260" i="123"/>
  <c r="Z158" i="123"/>
  <c r="CX158" i="123" s="1"/>
  <c r="Y158" i="123"/>
  <c r="AY79" i="93"/>
  <c r="AQ67" i="93"/>
  <c r="Y291" i="123"/>
  <c r="Z291" i="123"/>
  <c r="CX291" i="123" s="1"/>
  <c r="AL85" i="93"/>
  <c r="AN85" i="93"/>
  <c r="Y141" i="123"/>
  <c r="Z141" i="123"/>
  <c r="CX141" i="123" s="1"/>
  <c r="AP77" i="93"/>
  <c r="AS77" i="93"/>
  <c r="Y279" i="123"/>
  <c r="Z279" i="123"/>
  <c r="CX279" i="123" s="1"/>
  <c r="AX92" i="93"/>
  <c r="Z297" i="123"/>
  <c r="CX297" i="123" s="1"/>
  <c r="Y297" i="123"/>
  <c r="Z148" i="123"/>
  <c r="CX148" i="123" s="1"/>
  <c r="AP86" i="93"/>
  <c r="Y148" i="123"/>
  <c r="Y250" i="123"/>
  <c r="Z250" i="123"/>
  <c r="CX250" i="123" s="1"/>
  <c r="Y255" i="123"/>
  <c r="Z255" i="123"/>
  <c r="CX255" i="123" s="1"/>
  <c r="AW74" i="93"/>
  <c r="AU93" i="93"/>
  <c r="AL82" i="93"/>
  <c r="AN82" i="93"/>
  <c r="Z280" i="123"/>
  <c r="CX280" i="123" s="1"/>
  <c r="Y280" i="123"/>
  <c r="AV86" i="93"/>
  <c r="AN68" i="93"/>
  <c r="AL68" i="93"/>
  <c r="AU80" i="93"/>
  <c r="Z228" i="123"/>
  <c r="CX228" i="123" s="1"/>
  <c r="Y228" i="123"/>
  <c r="Z146" i="123"/>
  <c r="CX146" i="123" s="1"/>
  <c r="Y146" i="123"/>
  <c r="AP82" i="93"/>
  <c r="Z281" i="123"/>
  <c r="CX281" i="123" s="1"/>
  <c r="Y281" i="123"/>
  <c r="Z209" i="123"/>
  <c r="CX209" i="123" s="1"/>
  <c r="Y209" i="123"/>
  <c r="AV75" i="93"/>
  <c r="Z243" i="123"/>
  <c r="CX243" i="123" s="1"/>
  <c r="Y243" i="123"/>
  <c r="AR71" i="93"/>
  <c r="Z233" i="123"/>
  <c r="CX233" i="123" s="1"/>
  <c r="Y233" i="123"/>
  <c r="AQ77" i="93"/>
  <c r="Z179" i="123"/>
  <c r="CX179" i="123" s="1"/>
  <c r="Y179" i="123"/>
  <c r="Y290" i="123"/>
  <c r="Z290" i="123"/>
  <c r="CX290" i="123" s="1"/>
  <c r="Z294" i="123"/>
  <c r="CX294" i="123" s="1"/>
  <c r="Y294" i="123"/>
  <c r="Z229" i="123"/>
  <c r="CX229" i="123" s="1"/>
  <c r="Y229" i="123"/>
  <c r="AT80" i="93"/>
  <c r="Z189" i="123"/>
  <c r="CX189" i="123" s="1"/>
  <c r="Y189" i="123"/>
  <c r="AT73" i="93"/>
  <c r="AR92" i="93"/>
  <c r="AU86" i="93"/>
  <c r="AX75" i="93"/>
  <c r="Z156" i="123"/>
  <c r="CX156" i="123" s="1"/>
  <c r="Y156" i="123"/>
  <c r="AY92" i="93"/>
  <c r="Z142" i="123"/>
  <c r="CX142" i="123" s="1"/>
  <c r="AP78" i="93"/>
  <c r="Y142" i="123"/>
  <c r="Y263" i="123"/>
  <c r="Z263" i="123"/>
  <c r="CX263" i="123" s="1"/>
  <c r="AQ90" i="93"/>
  <c r="AR79" i="93"/>
  <c r="Y132" i="123"/>
  <c r="AP65" i="93"/>
  <c r="Z132" i="123"/>
  <c r="CX132" i="123" s="1"/>
  <c r="Z262" i="123"/>
  <c r="CX262" i="123" s="1"/>
  <c r="Y262" i="123"/>
  <c r="AP87" i="93"/>
  <c r="Z149" i="123"/>
  <c r="CX149" i="123" s="1"/>
  <c r="Y149" i="123"/>
  <c r="Y265" i="123"/>
  <c r="Z265" i="123"/>
  <c r="CX265" i="123" s="1"/>
  <c r="Z166" i="123"/>
  <c r="CX166" i="123" s="1"/>
  <c r="Y166" i="123"/>
  <c r="AS71" i="93"/>
  <c r="AX79" i="93"/>
  <c r="Z176" i="123"/>
  <c r="CX176" i="123" s="1"/>
  <c r="Y176" i="123"/>
  <c r="Z185" i="123"/>
  <c r="CX185" i="123" s="1"/>
  <c r="Y185" i="123"/>
  <c r="AU67" i="93"/>
  <c r="AX65" i="93"/>
  <c r="AX72" i="93"/>
  <c r="Y239" i="123"/>
  <c r="Z239" i="123"/>
  <c r="CX239" i="123" s="1"/>
  <c r="Z270" i="123"/>
  <c r="CX270" i="123" s="1"/>
  <c r="Y270" i="123"/>
  <c r="Y304" i="123"/>
  <c r="Z304" i="123"/>
  <c r="CX304" i="123" s="1"/>
  <c r="Y300" i="123"/>
  <c r="Z300" i="123"/>
  <c r="CX300" i="123" s="1"/>
  <c r="AS75" i="93"/>
  <c r="AV92" i="93"/>
  <c r="Z238" i="123"/>
  <c r="CX238" i="123" s="1"/>
  <c r="Y238" i="123"/>
  <c r="Y299" i="123"/>
  <c r="Z299" i="123"/>
  <c r="CX299" i="123" s="1"/>
  <c r="AS72" i="93"/>
  <c r="Y296" i="123"/>
  <c r="Z296" i="123"/>
  <c r="CX296" i="123" s="1"/>
  <c r="Z303" i="123"/>
  <c r="CX303" i="123" s="1"/>
  <c r="Y303" i="123"/>
  <c r="AU78" i="93"/>
  <c r="AL81" i="93"/>
  <c r="AN81" i="93"/>
  <c r="Y206" i="123"/>
  <c r="Z206" i="123"/>
  <c r="CX206" i="123" s="1"/>
  <c r="AV89" i="93"/>
  <c r="Z267" i="123"/>
  <c r="CX267" i="123" s="1"/>
  <c r="Y267" i="123"/>
  <c r="Z205" i="123"/>
  <c r="Y205" i="123"/>
  <c r="AT75" i="93"/>
  <c r="AN78" i="93"/>
  <c r="AL78" i="93"/>
  <c r="AT89" i="93"/>
  <c r="Z269" i="123"/>
  <c r="CX269" i="123" s="1"/>
  <c r="Y269" i="123"/>
  <c r="AY65" i="93"/>
  <c r="AU73" i="93"/>
  <c r="Y254" i="123"/>
  <c r="Z254" i="123"/>
  <c r="CX254" i="123" s="1"/>
  <c r="AY90" i="93"/>
  <c r="AP71" i="93"/>
  <c r="Y136" i="123"/>
  <c r="Z136" i="123"/>
  <c r="CX136" i="123" s="1"/>
  <c r="AY77" i="93"/>
  <c r="AT85" i="93"/>
  <c r="Z160" i="123"/>
  <c r="CX160" i="123" s="1"/>
  <c r="Y160" i="123"/>
  <c r="AQ65" i="93"/>
  <c r="AT86" i="93"/>
  <c r="AQ74" i="93"/>
  <c r="AY80" i="93"/>
  <c r="Y174" i="123"/>
  <c r="Z174" i="123"/>
  <c r="CX174" i="123" s="1"/>
  <c r="AW75" i="93"/>
  <c r="AR80" i="93"/>
  <c r="AW72" i="93"/>
  <c r="Z274" i="123"/>
  <c r="CX274" i="123" s="1"/>
  <c r="Y274" i="123"/>
  <c r="AS90" i="93"/>
  <c r="AS92" i="93"/>
  <c r="AV71" i="93"/>
  <c r="AX81" i="93"/>
  <c r="Y242" i="123"/>
  <c r="Z242" i="123"/>
  <c r="CX242" i="123" s="1"/>
  <c r="Y203" i="123"/>
  <c r="Z203" i="123"/>
  <c r="CX203" i="123" s="1"/>
  <c r="AQ82" i="93"/>
  <c r="Z284" i="123"/>
  <c r="CX284" i="123" s="1"/>
  <c r="Y284" i="123"/>
  <c r="AU71" i="93"/>
  <c r="AN80" i="93"/>
  <c r="AL80" i="93"/>
  <c r="Y252" i="123"/>
  <c r="Z252" i="123"/>
  <c r="CX252" i="123" s="1"/>
  <c r="Z266" i="123"/>
  <c r="CX266" i="123" s="1"/>
  <c r="Y266" i="123"/>
  <c r="AL73" i="93"/>
  <c r="AN73" i="93"/>
  <c r="Z288" i="123"/>
  <c r="CX288" i="123" s="1"/>
  <c r="Y288" i="123"/>
  <c r="Y271" i="123"/>
  <c r="Z271" i="123"/>
  <c r="CX271" i="123" s="1"/>
  <c r="AL90" i="93"/>
  <c r="AN90" i="93"/>
  <c r="Y248" i="123"/>
  <c r="Z248" i="123"/>
  <c r="CX248" i="123" s="1"/>
  <c r="Z169" i="123"/>
  <c r="CX169" i="123" s="1"/>
  <c r="Y169" i="123"/>
  <c r="Z167" i="123"/>
  <c r="CX167" i="123" s="1"/>
  <c r="Y167" i="123"/>
  <c r="Y154" i="123"/>
  <c r="Z154" i="123"/>
  <c r="CX154" i="123" s="1"/>
  <c r="AT82" i="93"/>
  <c r="Y188" i="123"/>
  <c r="Z188" i="123"/>
  <c r="CX188" i="123" s="1"/>
  <c r="AL93" i="93"/>
  <c r="AN93" i="93"/>
  <c r="AW80" i="93"/>
  <c r="Z275" i="123"/>
  <c r="CX275" i="123" s="1"/>
  <c r="Y275" i="123"/>
  <c r="AV80" i="93"/>
  <c r="AV73" i="93"/>
  <c r="AR77" i="93"/>
  <c r="Y151" i="123"/>
  <c r="Z151" i="123"/>
  <c r="CX151" i="123" s="1"/>
  <c r="AP90" i="93"/>
  <c r="Y264" i="123"/>
  <c r="Z264" i="123"/>
  <c r="CX264" i="123" s="1"/>
  <c r="Z278" i="123"/>
  <c r="CX278" i="123" s="1"/>
  <c r="Y278" i="123"/>
  <c r="Y301" i="123"/>
  <c r="Z301" i="123"/>
  <c r="CX301" i="123" s="1"/>
  <c r="Y168" i="123"/>
  <c r="Z168" i="123"/>
  <c r="CX168" i="123" s="1"/>
  <c r="Z171" i="123"/>
  <c r="CX171" i="123" s="1"/>
  <c r="Y171" i="123"/>
  <c r="Y194" i="123"/>
  <c r="Z194" i="123"/>
  <c r="CX194" i="123" s="1"/>
  <c r="Z277" i="123"/>
  <c r="CX277" i="123" s="1"/>
  <c r="Y277" i="123"/>
  <c r="Z143" i="123"/>
  <c r="CX143" i="123" s="1"/>
  <c r="AP79" i="93"/>
  <c r="Y143" i="123"/>
  <c r="AX90" i="93"/>
  <c r="Y286" i="123"/>
  <c r="Z286" i="123"/>
  <c r="CX286" i="123" s="1"/>
  <c r="Z178" i="123"/>
  <c r="CX178" i="123" s="1"/>
  <c r="AP69" i="93"/>
  <c r="Y178" i="123"/>
  <c r="Z227" i="123"/>
  <c r="CX227" i="123" s="1"/>
  <c r="Y227" i="123"/>
  <c r="AS80" i="93"/>
  <c r="Z293" i="123"/>
  <c r="CX293" i="123" s="1"/>
  <c r="Y293" i="123"/>
  <c r="Y161" i="123"/>
  <c r="Z161" i="123"/>
  <c r="CX161" i="123" s="1"/>
  <c r="AR85" i="93"/>
  <c r="AV67" i="93"/>
  <c r="AT72" i="93"/>
  <c r="AL92" i="93"/>
  <c r="AN92" i="93"/>
  <c r="AY71" i="93"/>
  <c r="Z134" i="123"/>
  <c r="CX134" i="123" s="1"/>
  <c r="Y134" i="123"/>
  <c r="AW85" i="93"/>
  <c r="Z144" i="123"/>
  <c r="CX144" i="123" s="1"/>
  <c r="Y144" i="123"/>
  <c r="AP80" i="93"/>
  <c r="Y182" i="123"/>
  <c r="Z182" i="123"/>
  <c r="CX182" i="123" s="1"/>
  <c r="AR87" i="93"/>
  <c r="Z256" i="123"/>
  <c r="CX256" i="123" s="1"/>
  <c r="Y256" i="123"/>
  <c r="Y181" i="123"/>
  <c r="Z181" i="123"/>
  <c r="CX181" i="123" s="1"/>
  <c r="AP74" i="93"/>
  <c r="Z139" i="123"/>
  <c r="CX139" i="123" s="1"/>
  <c r="Y139" i="123"/>
  <c r="Y170" i="123"/>
  <c r="Z170" i="123"/>
  <c r="CX170" i="123" s="1"/>
  <c r="Z276" i="123"/>
  <c r="CX276" i="123" s="1"/>
  <c r="Y276" i="123"/>
  <c r="Z157" i="123"/>
  <c r="CX157" i="123" s="1"/>
  <c r="Y157" i="123"/>
  <c r="AP93" i="93"/>
  <c r="Y153" i="123"/>
  <c r="Z153" i="123"/>
  <c r="CX153" i="123" s="1"/>
  <c r="AX77" i="93"/>
  <c r="Z184" i="123"/>
  <c r="CX184" i="123" s="1"/>
  <c r="Y184" i="123"/>
  <c r="AQ75" i="93"/>
  <c r="AT87" i="93"/>
  <c r="AU77" i="93"/>
  <c r="AY74" i="93"/>
  <c r="AV74" i="93"/>
  <c r="Y257" i="123"/>
  <c r="Z257" i="123"/>
  <c r="CX257" i="123" s="1"/>
  <c r="AR89" i="93"/>
  <c r="AN72" i="93"/>
  <c r="AL72" i="93"/>
  <c r="AQ72" i="93"/>
  <c r="Y138" i="123"/>
  <c r="Z138" i="123"/>
  <c r="CX138" i="123" s="1"/>
  <c r="AP73" i="93"/>
  <c r="AP92" i="93"/>
  <c r="Y152" i="123"/>
  <c r="Z152" i="123"/>
  <c r="CX152" i="123" s="1"/>
  <c r="AU75" i="93"/>
  <c r="Y234" i="123"/>
  <c r="Z234" i="123"/>
  <c r="CX234" i="123" s="1"/>
  <c r="AN89" i="93"/>
  <c r="AL89" i="93"/>
  <c r="Z145" i="123"/>
  <c r="CX145" i="123" s="1"/>
  <c r="Y145" i="123"/>
  <c r="AP81" i="93"/>
  <c r="Y177" i="123"/>
  <c r="Z177" i="123"/>
  <c r="CX177" i="123" s="1"/>
  <c r="AP67" i="93"/>
  <c r="Z162" i="123"/>
  <c r="CX162" i="123" s="1"/>
  <c r="Y162" i="123"/>
  <c r="AN64" i="93"/>
  <c r="AL64" i="93"/>
  <c r="AP75" i="93"/>
  <c r="Z140" i="123"/>
  <c r="CX140" i="123" s="1"/>
  <c r="Y140" i="123"/>
  <c r="AL87" i="93"/>
  <c r="AN87" i="93"/>
  <c r="Z244" i="123"/>
  <c r="CX244" i="123" s="1"/>
  <c r="Y244" i="123"/>
  <c r="AR65" i="93"/>
  <c r="Z164" i="123"/>
  <c r="CX164" i="123" s="1"/>
  <c r="Y164" i="123"/>
  <c r="AN74" i="93"/>
  <c r="AL74" i="93"/>
  <c r="Y249" i="123"/>
  <c r="Z249" i="123"/>
  <c r="CX249" i="123" s="1"/>
  <c r="Y246" i="123"/>
  <c r="Z246" i="123"/>
  <c r="CX246" i="123" s="1"/>
  <c r="AT90" i="93"/>
  <c r="Y236" i="123"/>
  <c r="Z236" i="123"/>
  <c r="AR67" i="93"/>
  <c r="Y240" i="123"/>
  <c r="Z240" i="123"/>
  <c r="CX240" i="123" s="1"/>
  <c r="Z241" i="123"/>
  <c r="CX241" i="123" s="1"/>
  <c r="Y241" i="123"/>
  <c r="Z289" i="123"/>
  <c r="CX289" i="123" s="1"/>
  <c r="Y289" i="123"/>
  <c r="Z237" i="123"/>
  <c r="CX237" i="123" s="1"/>
  <c r="Y237" i="123"/>
  <c r="AL86" i="93"/>
  <c r="AN86" i="93"/>
  <c r="AX85" i="93"/>
  <c r="AX71" i="93"/>
  <c r="Z285" i="123"/>
  <c r="CX285" i="123" s="1"/>
  <c r="Y285" i="123"/>
  <c r="Y137" i="123"/>
  <c r="Z137" i="123"/>
  <c r="CX137" i="123" s="1"/>
  <c r="AP72" i="93"/>
  <c r="AY72" i="93"/>
  <c r="Y273" i="123"/>
  <c r="Z273" i="123"/>
  <c r="CX273" i="123" s="1"/>
  <c r="AN77" i="93"/>
  <c r="AL77" i="93"/>
  <c r="AS82" i="93"/>
  <c r="AW89" i="93"/>
  <c r="AN69" i="93"/>
  <c r="AL69" i="93"/>
  <c r="AV72" i="93"/>
  <c r="AW90" i="93"/>
  <c r="Y259" i="123"/>
  <c r="Z259" i="123"/>
  <c r="CX259" i="123" s="1"/>
  <c r="Z235" i="123"/>
  <c r="CX235" i="123" s="1"/>
  <c r="Y235" i="123"/>
  <c r="AT65" i="93"/>
  <c r="AY67" i="93"/>
  <c r="AN75" i="93"/>
  <c r="AL75" i="93"/>
  <c r="AR73" i="93"/>
  <c r="Y159" i="123"/>
  <c r="Z159" i="123"/>
  <c r="CX159" i="123" s="1"/>
  <c r="Y165" i="123"/>
  <c r="Z165" i="123"/>
  <c r="CX165" i="123" s="1"/>
  <c r="AS78" i="93"/>
  <c r="Z180" i="123"/>
  <c r="CX180" i="123" s="1"/>
  <c r="Y180" i="123"/>
  <c r="Z187" i="123"/>
  <c r="CX187" i="123" s="1"/>
  <c r="Y187" i="123"/>
  <c r="Y247" i="123"/>
  <c r="Z247" i="123"/>
  <c r="CX247" i="123" s="1"/>
  <c r="Z173" i="123"/>
  <c r="CX173" i="123" s="1"/>
  <c r="Y173" i="123"/>
  <c r="Z172" i="123"/>
  <c r="CX172" i="123" s="1"/>
  <c r="Y172" i="123"/>
  <c r="AN67" i="93"/>
  <c r="AL67" i="93"/>
  <c r="Z200" i="123"/>
  <c r="CX200" i="123" s="1"/>
  <c r="Y200" i="123"/>
  <c r="AS79" i="93"/>
  <c r="Y287" i="123"/>
  <c r="Z287" i="123"/>
  <c r="CX287" i="123" s="1"/>
  <c r="Z186" i="123"/>
  <c r="CX186" i="123" s="1"/>
  <c r="Y186" i="123"/>
  <c r="AW77" i="93"/>
  <c r="AQ73" i="93"/>
  <c r="AL71" i="93"/>
  <c r="AN71" i="93"/>
  <c r="Z295" i="123"/>
  <c r="CX295" i="123" s="1"/>
  <c r="Y295" i="123"/>
  <c r="AN79" i="93"/>
  <c r="AL79" i="93"/>
  <c r="AW73" i="93"/>
  <c r="Y230" i="123"/>
  <c r="Z230" i="123"/>
  <c r="CX230" i="123" s="1"/>
  <c r="Z245" i="123"/>
  <c r="CX245" i="123" s="1"/>
  <c r="Y245" i="123"/>
  <c r="Y150" i="123"/>
  <c r="AP89" i="93"/>
  <c r="Z150" i="123"/>
  <c r="CX150" i="123" s="1"/>
  <c r="AS73" i="93"/>
  <c r="AP68" i="93"/>
  <c r="Y133" i="123"/>
  <c r="Z133" i="123"/>
  <c r="AW82" i="93"/>
  <c r="Z292" i="123"/>
  <c r="CX292" i="123" s="1"/>
  <c r="Y292" i="123"/>
  <c r="AY75" i="93"/>
  <c r="AX87" i="93"/>
  <c r="Y253" i="123"/>
  <c r="Z253" i="123"/>
  <c r="CX253" i="123" s="1"/>
  <c r="Z282" i="123"/>
  <c r="CX282" i="123" s="1"/>
  <c r="Y282" i="123"/>
  <c r="AX80" i="93"/>
  <c r="AT74" i="93"/>
  <c r="JZ12" i="1"/>
  <c r="JI141" i="1"/>
  <c r="AL253" i="123" l="1"/>
  <c r="DZ253" i="123" s="1"/>
  <c r="AB253" i="123"/>
  <c r="D39" i="98"/>
  <c r="CX133" i="123"/>
  <c r="AL172" i="123"/>
  <c r="DZ172" i="123" s="1"/>
  <c r="AB172" i="123"/>
  <c r="AL165" i="123"/>
  <c r="DZ165" i="123" s="1"/>
  <c r="AB165" i="123"/>
  <c r="AL137" i="123"/>
  <c r="DZ137" i="123" s="1"/>
  <c r="AB137" i="123"/>
  <c r="AL252" i="123"/>
  <c r="DZ252" i="123" s="1"/>
  <c r="AB252" i="123"/>
  <c r="AL242" i="123"/>
  <c r="DZ242" i="123" s="1"/>
  <c r="AB242" i="123"/>
  <c r="AL238" i="123"/>
  <c r="DZ238" i="123" s="1"/>
  <c r="AB238" i="123"/>
  <c r="AL239" i="123"/>
  <c r="DZ239" i="123" s="1"/>
  <c r="AB239" i="123"/>
  <c r="AL294" i="123"/>
  <c r="DZ294" i="123" s="1"/>
  <c r="AB294" i="123"/>
  <c r="AL146" i="123"/>
  <c r="DZ146" i="123" s="1"/>
  <c r="AB146" i="123"/>
  <c r="AL298" i="123"/>
  <c r="DZ298" i="123" s="1"/>
  <c r="AB298" i="123"/>
  <c r="AL268" i="123"/>
  <c r="DZ268" i="123" s="1"/>
  <c r="AB268" i="123"/>
  <c r="AL245" i="123"/>
  <c r="DZ245" i="123" s="1"/>
  <c r="AB245" i="123"/>
  <c r="AL200" i="123"/>
  <c r="DZ200" i="123" s="1"/>
  <c r="AB200" i="123"/>
  <c r="AL235" i="123"/>
  <c r="DZ235" i="123" s="1"/>
  <c r="AB235" i="123"/>
  <c r="AL273" i="123"/>
  <c r="DZ273" i="123" s="1"/>
  <c r="AB273" i="123"/>
  <c r="AL289" i="123"/>
  <c r="DZ289" i="123" s="1"/>
  <c r="AB289" i="123"/>
  <c r="AL249" i="123"/>
  <c r="DZ249" i="123" s="1"/>
  <c r="AB249" i="123"/>
  <c r="AL303" i="123"/>
  <c r="DZ303" i="123" s="1"/>
  <c r="AB303" i="123"/>
  <c r="AL141" i="123"/>
  <c r="DZ141" i="123" s="1"/>
  <c r="AB141" i="123"/>
  <c r="AL173" i="123"/>
  <c r="DZ173" i="123" s="1"/>
  <c r="AB173" i="123"/>
  <c r="AL180" i="123"/>
  <c r="DZ180" i="123" s="1"/>
  <c r="AB180" i="123"/>
  <c r="AL159" i="123"/>
  <c r="DZ159" i="123" s="1"/>
  <c r="AB159" i="123"/>
  <c r="AL259" i="123"/>
  <c r="DZ259" i="123" s="1"/>
  <c r="AB259" i="123"/>
  <c r="AL237" i="123"/>
  <c r="DZ237" i="123" s="1"/>
  <c r="AB237" i="123"/>
  <c r="AL286" i="123"/>
  <c r="DZ286" i="123" s="1"/>
  <c r="AB286" i="123"/>
  <c r="AL194" i="123"/>
  <c r="DZ194" i="123" s="1"/>
  <c r="AB194" i="123"/>
  <c r="D38" i="98"/>
  <c r="CX205" i="123"/>
  <c r="AL228" i="123"/>
  <c r="DZ228" i="123" s="1"/>
  <c r="AB228" i="123"/>
  <c r="AL250" i="123"/>
  <c r="DZ250" i="123" s="1"/>
  <c r="AB250" i="123"/>
  <c r="AL148" i="123"/>
  <c r="DZ148" i="123" s="1"/>
  <c r="AB148" i="123"/>
  <c r="AL282" i="123"/>
  <c r="DZ282" i="123" s="1"/>
  <c r="AB282" i="123"/>
  <c r="AL292" i="123"/>
  <c r="DZ292" i="123" s="1"/>
  <c r="AB292" i="123"/>
  <c r="AL150" i="123"/>
  <c r="DZ150" i="123" s="1"/>
  <c r="AB150" i="123"/>
  <c r="AL230" i="123"/>
  <c r="DZ230" i="123" s="1"/>
  <c r="AB230" i="123"/>
  <c r="AL295" i="123"/>
  <c r="DZ295" i="123" s="1"/>
  <c r="AB295" i="123"/>
  <c r="AL186" i="123"/>
  <c r="DZ186" i="123" s="1"/>
  <c r="AB186" i="123"/>
  <c r="AL287" i="123"/>
  <c r="DZ287" i="123" s="1"/>
  <c r="AB287" i="123"/>
  <c r="AL247" i="123"/>
  <c r="DZ247" i="123" s="1"/>
  <c r="AB247" i="123"/>
  <c r="AL187" i="123"/>
  <c r="DZ187" i="123" s="1"/>
  <c r="AB187" i="123"/>
  <c r="AL285" i="123"/>
  <c r="DZ285" i="123" s="1"/>
  <c r="AB285" i="123"/>
  <c r="AL241" i="123"/>
  <c r="DZ241" i="123" s="1"/>
  <c r="AB241" i="123"/>
  <c r="AL246" i="123"/>
  <c r="DZ246" i="123" s="1"/>
  <c r="AB246" i="123"/>
  <c r="AL140" i="123"/>
  <c r="DZ140" i="123" s="1"/>
  <c r="AB140" i="123"/>
  <c r="AL181" i="123"/>
  <c r="DZ181" i="123" s="1"/>
  <c r="AB181" i="123"/>
  <c r="AL168" i="123"/>
  <c r="DZ168" i="123" s="1"/>
  <c r="AB168" i="123"/>
  <c r="AL248" i="123"/>
  <c r="DZ248" i="123" s="1"/>
  <c r="AB248" i="123"/>
  <c r="AL174" i="123"/>
  <c r="DZ174" i="123" s="1"/>
  <c r="AB174" i="123"/>
  <c r="AL166" i="123"/>
  <c r="DZ166" i="123" s="1"/>
  <c r="AB166" i="123"/>
  <c r="AL149" i="123"/>
  <c r="DZ149" i="123" s="1"/>
  <c r="AB149" i="123"/>
  <c r="AL132" i="123"/>
  <c r="DZ132" i="123" s="1"/>
  <c r="AB132" i="123"/>
  <c r="AL147" i="123"/>
  <c r="DZ147" i="123" s="1"/>
  <c r="AB147" i="123"/>
  <c r="AL138" i="123"/>
  <c r="DZ138" i="123" s="1"/>
  <c r="AB138" i="123"/>
  <c r="AL257" i="123"/>
  <c r="DZ257" i="123" s="1"/>
  <c r="AB257" i="123"/>
  <c r="AL153" i="123"/>
  <c r="DZ153" i="123" s="1"/>
  <c r="AB153" i="123"/>
  <c r="AL157" i="123"/>
  <c r="DZ157" i="123" s="1"/>
  <c r="AB157" i="123"/>
  <c r="AL170" i="123"/>
  <c r="DZ170" i="123" s="1"/>
  <c r="AB170" i="123"/>
  <c r="AL139" i="123"/>
  <c r="DZ139" i="123" s="1"/>
  <c r="AB139" i="123"/>
  <c r="AL301" i="123"/>
  <c r="DZ301" i="123" s="1"/>
  <c r="AB301" i="123"/>
  <c r="AL278" i="123"/>
  <c r="DZ278" i="123" s="1"/>
  <c r="AB278" i="123"/>
  <c r="AL151" i="123"/>
  <c r="DZ151" i="123" s="1"/>
  <c r="AB151" i="123"/>
  <c r="AL154" i="123"/>
  <c r="DZ154" i="123" s="1"/>
  <c r="AB154" i="123"/>
  <c r="AL288" i="123"/>
  <c r="DZ288" i="123" s="1"/>
  <c r="AB288" i="123"/>
  <c r="AL284" i="123"/>
  <c r="DZ284" i="123" s="1"/>
  <c r="AB284" i="123"/>
  <c r="AL160" i="123"/>
  <c r="DZ160" i="123" s="1"/>
  <c r="AB160" i="123"/>
  <c r="AL269" i="123"/>
  <c r="DZ269" i="123" s="1"/>
  <c r="AB269" i="123"/>
  <c r="AL206" i="123"/>
  <c r="DZ206" i="123" s="1"/>
  <c r="AB206" i="123"/>
  <c r="AL296" i="123"/>
  <c r="DZ296" i="123" s="1"/>
  <c r="AB296" i="123"/>
  <c r="AL304" i="123"/>
  <c r="DZ304" i="123" s="1"/>
  <c r="AB304" i="123"/>
  <c r="AL229" i="123"/>
  <c r="DZ229" i="123" s="1"/>
  <c r="AB229" i="123"/>
  <c r="AL290" i="123"/>
  <c r="DZ290" i="123" s="1"/>
  <c r="AB290" i="123"/>
  <c r="AL255" i="123"/>
  <c r="DZ255" i="123" s="1"/>
  <c r="AB255" i="123"/>
  <c r="AL297" i="123"/>
  <c r="DZ297" i="123" s="1"/>
  <c r="AB297" i="123"/>
  <c r="AL240" i="123"/>
  <c r="DZ240" i="123" s="1"/>
  <c r="AB240" i="123"/>
  <c r="D54" i="98"/>
  <c r="CX236" i="123"/>
  <c r="AL164" i="123"/>
  <c r="DZ164" i="123" s="1"/>
  <c r="AB164" i="123"/>
  <c r="AL244" i="123"/>
  <c r="DZ244" i="123" s="1"/>
  <c r="AB244" i="123"/>
  <c r="AL177" i="123"/>
  <c r="DZ177" i="123" s="1"/>
  <c r="AB177" i="123"/>
  <c r="AL145" i="123"/>
  <c r="DZ145" i="123" s="1"/>
  <c r="AB145" i="123"/>
  <c r="AL234" i="123"/>
  <c r="DZ234" i="123" s="1"/>
  <c r="AB234" i="123"/>
  <c r="AL184" i="123"/>
  <c r="DZ184" i="123" s="1"/>
  <c r="AB184" i="123"/>
  <c r="AL256" i="123"/>
  <c r="DZ256" i="123" s="1"/>
  <c r="AB256" i="123"/>
  <c r="AL182" i="123"/>
  <c r="DZ182" i="123" s="1"/>
  <c r="AB182" i="123"/>
  <c r="AL144" i="123"/>
  <c r="DZ144" i="123" s="1"/>
  <c r="AB144" i="123"/>
  <c r="AL134" i="123"/>
  <c r="DZ134" i="123" s="1"/>
  <c r="AB134" i="123"/>
  <c r="AL161" i="123"/>
  <c r="DZ161" i="123" s="1"/>
  <c r="AB161" i="123"/>
  <c r="AL293" i="123"/>
  <c r="DZ293" i="123" s="1"/>
  <c r="AB293" i="123"/>
  <c r="AL227" i="123"/>
  <c r="DZ227" i="123" s="1"/>
  <c r="AB227" i="123"/>
  <c r="AL178" i="123"/>
  <c r="DZ178" i="123" s="1"/>
  <c r="AB178" i="123"/>
  <c r="AL277" i="123"/>
  <c r="DZ277" i="123" s="1"/>
  <c r="AB277" i="123"/>
  <c r="AL171" i="123"/>
  <c r="DZ171" i="123" s="1"/>
  <c r="AB171" i="123"/>
  <c r="AL264" i="123"/>
  <c r="DZ264" i="123" s="1"/>
  <c r="AB264" i="123"/>
  <c r="AL188" i="123"/>
  <c r="DZ188" i="123" s="1"/>
  <c r="AB188" i="123"/>
  <c r="AL169" i="123"/>
  <c r="DZ169" i="123" s="1"/>
  <c r="AB169" i="123"/>
  <c r="AL271" i="123"/>
  <c r="DZ271" i="123" s="1"/>
  <c r="AB271" i="123"/>
  <c r="AL274" i="123"/>
  <c r="DZ274" i="123" s="1"/>
  <c r="AB274" i="123"/>
  <c r="AL267" i="123"/>
  <c r="DZ267" i="123" s="1"/>
  <c r="AB267" i="123"/>
  <c r="AL300" i="123"/>
  <c r="DZ300" i="123" s="1"/>
  <c r="AB300" i="123"/>
  <c r="AL185" i="123"/>
  <c r="DZ185" i="123" s="1"/>
  <c r="AB185" i="123"/>
  <c r="AL262" i="123"/>
  <c r="DZ262" i="123" s="1"/>
  <c r="AB262" i="123"/>
  <c r="AL263" i="123"/>
  <c r="DZ263" i="123" s="1"/>
  <c r="AB263" i="123"/>
  <c r="AL142" i="123"/>
  <c r="DZ142" i="123" s="1"/>
  <c r="AB142" i="123"/>
  <c r="AL189" i="123"/>
  <c r="DZ189" i="123" s="1"/>
  <c r="AB189" i="123"/>
  <c r="AL233" i="123"/>
  <c r="DZ233" i="123" s="1"/>
  <c r="AB233" i="123"/>
  <c r="AL243" i="123"/>
  <c r="DZ243" i="123" s="1"/>
  <c r="AB243" i="123"/>
  <c r="AL209" i="123"/>
  <c r="DZ209" i="123" s="1"/>
  <c r="AB209" i="123"/>
  <c r="AL291" i="123"/>
  <c r="DZ291" i="123" s="1"/>
  <c r="AB291" i="123"/>
  <c r="AL260" i="123"/>
  <c r="DZ260" i="123" s="1"/>
  <c r="AB260" i="123"/>
  <c r="AL272" i="123"/>
  <c r="DZ272" i="123" s="1"/>
  <c r="AB272" i="123"/>
  <c r="AL258" i="123"/>
  <c r="DZ258" i="123" s="1"/>
  <c r="AB258" i="123"/>
  <c r="AL162" i="123"/>
  <c r="DZ162" i="123" s="1"/>
  <c r="AB162" i="123"/>
  <c r="AL152" i="123"/>
  <c r="DZ152" i="123" s="1"/>
  <c r="AB152" i="123"/>
  <c r="AL276" i="123"/>
  <c r="DZ276" i="123" s="1"/>
  <c r="AB276" i="123"/>
  <c r="AL143" i="123"/>
  <c r="DZ143" i="123" s="1"/>
  <c r="AB143" i="123"/>
  <c r="AL275" i="123"/>
  <c r="DZ275" i="123" s="1"/>
  <c r="AB275" i="123"/>
  <c r="AL167" i="123"/>
  <c r="DZ167" i="123" s="1"/>
  <c r="AB167" i="123"/>
  <c r="AL266" i="123"/>
  <c r="DZ266" i="123" s="1"/>
  <c r="AB266" i="123"/>
  <c r="AL203" i="123"/>
  <c r="DZ203" i="123" s="1"/>
  <c r="AB203" i="123"/>
  <c r="AL136" i="123"/>
  <c r="DZ136" i="123" s="1"/>
  <c r="AB136" i="123"/>
  <c r="AL254" i="123"/>
  <c r="DZ254" i="123" s="1"/>
  <c r="AB254" i="123"/>
  <c r="AL299" i="123"/>
  <c r="DZ299" i="123" s="1"/>
  <c r="AB299" i="123"/>
  <c r="AL270" i="123"/>
  <c r="DZ270" i="123" s="1"/>
  <c r="AB270" i="123"/>
  <c r="AL176" i="123"/>
  <c r="DZ176" i="123" s="1"/>
  <c r="AB176" i="123"/>
  <c r="AL265" i="123"/>
  <c r="DZ265" i="123" s="1"/>
  <c r="AB265" i="123"/>
  <c r="AL156" i="123"/>
  <c r="DZ156" i="123" s="1"/>
  <c r="AB156" i="123"/>
  <c r="AL179" i="123"/>
  <c r="DZ179" i="123" s="1"/>
  <c r="AB179" i="123"/>
  <c r="AL281" i="123"/>
  <c r="DZ281" i="123" s="1"/>
  <c r="AB281" i="123"/>
  <c r="AL280" i="123"/>
  <c r="DZ280" i="123" s="1"/>
  <c r="AB280" i="123"/>
  <c r="AL279" i="123"/>
  <c r="DZ279" i="123" s="1"/>
  <c r="AB279" i="123"/>
  <c r="AL158" i="123"/>
  <c r="DZ158" i="123" s="1"/>
  <c r="AB158" i="123"/>
  <c r="AL163" i="123"/>
  <c r="DZ163" i="123" s="1"/>
  <c r="AB163" i="123"/>
  <c r="AL261" i="123"/>
  <c r="DZ261" i="123" s="1"/>
  <c r="AB261" i="123"/>
  <c r="AL302" i="123"/>
  <c r="DZ302" i="123" s="1"/>
  <c r="AB302" i="123"/>
  <c r="AL251" i="123"/>
  <c r="DZ251" i="123" s="1"/>
  <c r="AB251" i="123"/>
  <c r="AL283" i="123"/>
  <c r="DZ283" i="123" s="1"/>
  <c r="AB283" i="123"/>
  <c r="I53" i="98"/>
  <c r="E54" i="98"/>
  <c r="E38" i="98"/>
  <c r="E39" i="98"/>
  <c r="D27" i="57"/>
  <c r="E28" i="57"/>
  <c r="D28" i="57"/>
  <c r="E27" i="57"/>
  <c r="E53" i="98"/>
  <c r="D53" i="98"/>
  <c r="AV62" i="93"/>
  <c r="DR72" i="93"/>
  <c r="DS72" i="93"/>
  <c r="E51" i="98"/>
  <c r="DS69" i="93"/>
  <c r="DR69" i="93"/>
  <c r="DS79" i="93"/>
  <c r="DR79" i="93"/>
  <c r="AW62" i="93"/>
  <c r="AX62" i="93"/>
  <c r="DR86" i="93"/>
  <c r="DS86" i="93"/>
  <c r="DR77" i="93"/>
  <c r="DS77" i="93"/>
  <c r="DR85" i="93"/>
  <c r="DS85" i="93"/>
  <c r="DS68" i="93"/>
  <c r="DR68" i="93"/>
  <c r="DR75" i="93"/>
  <c r="DS75" i="93"/>
  <c r="AL62" i="93"/>
  <c r="DR81" i="93"/>
  <c r="DS81" i="93"/>
  <c r="DR73" i="93"/>
  <c r="DS73" i="93"/>
  <c r="E50" i="98"/>
  <c r="D51" i="98"/>
  <c r="D40" i="98"/>
  <c r="AY62" i="93"/>
  <c r="DR74" i="93"/>
  <c r="DS74" i="93"/>
  <c r="DR92" i="93"/>
  <c r="DS92" i="93"/>
  <c r="D50" i="98"/>
  <c r="E40" i="98"/>
  <c r="AU62" i="93"/>
  <c r="E49" i="98"/>
  <c r="DR87" i="93"/>
  <c r="DS87" i="93"/>
  <c r="DR65" i="93"/>
  <c r="DS65" i="93"/>
  <c r="DR78" i="93"/>
  <c r="DS78" i="93"/>
  <c r="E41" i="98"/>
  <c r="DR89" i="93"/>
  <c r="DS89" i="93"/>
  <c r="AN62" i="93"/>
  <c r="DS67" i="93"/>
  <c r="DR67" i="93"/>
  <c r="DR93" i="93"/>
  <c r="DS93" i="93"/>
  <c r="DR80" i="93"/>
  <c r="DS80" i="93"/>
  <c r="DR90" i="93"/>
  <c r="DS90" i="93"/>
  <c r="DS71" i="93"/>
  <c r="DR71" i="93"/>
  <c r="D49" i="98"/>
  <c r="D41" i="98"/>
  <c r="DS82" i="93"/>
  <c r="DR82" i="93"/>
  <c r="JH141" i="1"/>
  <c r="I33" i="93" l="1"/>
  <c r="J62" i="98"/>
  <c r="J52" i="98"/>
  <c r="I39" i="93"/>
  <c r="J58" i="98"/>
  <c r="G28" i="57"/>
  <c r="J40" i="98"/>
  <c r="J41" i="98"/>
  <c r="AA265" i="123"/>
  <c r="U265" i="123"/>
  <c r="T265" i="123"/>
  <c r="X265" i="123"/>
  <c r="DH265" i="123" s="1"/>
  <c r="DI265" i="123" s="1"/>
  <c r="AA176" i="123"/>
  <c r="BW176" i="123"/>
  <c r="T176" i="123" s="1"/>
  <c r="U176" i="123"/>
  <c r="AA266" i="123"/>
  <c r="T266" i="123"/>
  <c r="U266" i="123"/>
  <c r="X266" i="123"/>
  <c r="AA189" i="123"/>
  <c r="U189" i="123"/>
  <c r="T189" i="123"/>
  <c r="X189" i="123"/>
  <c r="AA188" i="123"/>
  <c r="BW188" i="123"/>
  <c r="T188" i="123" s="1"/>
  <c r="U188" i="123"/>
  <c r="AA144" i="123"/>
  <c r="CG88" i="130"/>
  <c r="CF88" i="130"/>
  <c r="CE88" i="130"/>
  <c r="CH88" i="130"/>
  <c r="CD88" i="130"/>
  <c r="CG80" i="93"/>
  <c r="BW144" i="123"/>
  <c r="T144" i="123" s="1"/>
  <c r="CR80" i="93"/>
  <c r="CF80" i="93"/>
  <c r="CS80" i="93"/>
  <c r="CP80" i="93"/>
  <c r="CO80" i="93"/>
  <c r="U144" i="123"/>
  <c r="CK80" i="93"/>
  <c r="CH80" i="93"/>
  <c r="CQ80" i="93"/>
  <c r="CJ80" i="93"/>
  <c r="CL80" i="93"/>
  <c r="CN80" i="93"/>
  <c r="CM80" i="93"/>
  <c r="AA182" i="123"/>
  <c r="T182" i="123"/>
  <c r="U182" i="123"/>
  <c r="X182" i="123"/>
  <c r="AA256" i="123"/>
  <c r="T256" i="123"/>
  <c r="U256" i="123"/>
  <c r="X256" i="123"/>
  <c r="AA184" i="123"/>
  <c r="BW184" i="123"/>
  <c r="T184" i="123" s="1"/>
  <c r="U184" i="123"/>
  <c r="AA297" i="123"/>
  <c r="U297" i="123"/>
  <c r="T297" i="123"/>
  <c r="X297" i="123"/>
  <c r="AA296" i="123"/>
  <c r="T296" i="123"/>
  <c r="U296" i="123"/>
  <c r="X296" i="123"/>
  <c r="AA206" i="123"/>
  <c r="T206" i="123"/>
  <c r="U206" i="123"/>
  <c r="X206" i="123"/>
  <c r="AA138" i="123"/>
  <c r="CD81" i="130"/>
  <c r="CH81" i="130"/>
  <c r="CF81" i="130"/>
  <c r="CG81" i="130"/>
  <c r="CG73" i="93"/>
  <c r="BW138" i="123"/>
  <c r="T138" i="123" s="1"/>
  <c r="CL73" i="93"/>
  <c r="U138" i="123"/>
  <c r="CM73" i="93"/>
  <c r="CJ73" i="93"/>
  <c r="CR73" i="93"/>
  <c r="CO73" i="93"/>
  <c r="CH73" i="93"/>
  <c r="CP73" i="93"/>
  <c r="CS73" i="93"/>
  <c r="CF73" i="93"/>
  <c r="CQ73" i="93"/>
  <c r="CN73" i="93"/>
  <c r="CK73" i="93"/>
  <c r="AA140" i="123"/>
  <c r="CG83" i="130"/>
  <c r="CE83" i="130"/>
  <c r="CH83" i="130"/>
  <c r="CF83" i="130"/>
  <c r="CB83" i="130"/>
  <c r="CD83" i="130"/>
  <c r="CG75" i="93"/>
  <c r="BW140" i="123"/>
  <c r="T140" i="123" s="1"/>
  <c r="CL75" i="93"/>
  <c r="CP75" i="93"/>
  <c r="CO75" i="93"/>
  <c r="CJ75" i="93"/>
  <c r="CQ75" i="93"/>
  <c r="CN75" i="93"/>
  <c r="CM75" i="93"/>
  <c r="CK75" i="93"/>
  <c r="CS75" i="93"/>
  <c r="U140" i="123"/>
  <c r="CR75" i="93"/>
  <c r="CF75" i="93"/>
  <c r="CH75" i="93"/>
  <c r="AA246" i="123"/>
  <c r="T246" i="123"/>
  <c r="U246" i="123"/>
  <c r="X246" i="123"/>
  <c r="DH246" i="123" s="1"/>
  <c r="DI246" i="123" s="1"/>
  <c r="AA241" i="123"/>
  <c r="U241" i="123"/>
  <c r="T241" i="123"/>
  <c r="X241" i="123"/>
  <c r="DH241" i="123" s="1"/>
  <c r="DI241" i="123" s="1"/>
  <c r="AA285" i="123"/>
  <c r="U285" i="123"/>
  <c r="T285" i="123"/>
  <c r="X285" i="123"/>
  <c r="DH285" i="123" s="1"/>
  <c r="DI285" i="123" s="1"/>
  <c r="AA303" i="123"/>
  <c r="T303" i="123"/>
  <c r="U303" i="123"/>
  <c r="X303" i="123"/>
  <c r="DH303" i="123" s="1"/>
  <c r="DI303" i="123" s="1"/>
  <c r="AA245" i="123"/>
  <c r="U245" i="123"/>
  <c r="T245" i="123"/>
  <c r="X245" i="123"/>
  <c r="DH245" i="123" s="1"/>
  <c r="DI245" i="123" s="1"/>
  <c r="AA294" i="123"/>
  <c r="T294" i="123"/>
  <c r="U294" i="123"/>
  <c r="X294" i="123"/>
  <c r="DH294" i="123" s="1"/>
  <c r="DI294" i="123" s="1"/>
  <c r="AA283" i="123"/>
  <c r="T283" i="123"/>
  <c r="U283" i="123"/>
  <c r="X283" i="123"/>
  <c r="DH283" i="123" s="1"/>
  <c r="DI283" i="123" s="1"/>
  <c r="AA251" i="123"/>
  <c r="T251" i="123"/>
  <c r="U251" i="123"/>
  <c r="X251" i="123"/>
  <c r="DH251" i="123" s="1"/>
  <c r="DI251" i="123" s="1"/>
  <c r="AA302" i="123"/>
  <c r="T302" i="123"/>
  <c r="U302" i="123"/>
  <c r="X302" i="123"/>
  <c r="DH302" i="123" s="1"/>
  <c r="DI302" i="123" s="1"/>
  <c r="AA261" i="123"/>
  <c r="U261" i="123"/>
  <c r="T261" i="123"/>
  <c r="X261" i="123"/>
  <c r="DH261" i="123" s="1"/>
  <c r="DI261" i="123" s="1"/>
  <c r="AA163" i="123"/>
  <c r="BW163" i="123"/>
  <c r="T163" i="123" s="1"/>
  <c r="U163" i="123"/>
  <c r="AA158" i="123"/>
  <c r="BW158" i="123"/>
  <c r="T158" i="123" s="1"/>
  <c r="U158" i="123"/>
  <c r="AA279" i="123"/>
  <c r="T279" i="123"/>
  <c r="U279" i="123"/>
  <c r="X279" i="123"/>
  <c r="AA270" i="123"/>
  <c r="T270" i="123"/>
  <c r="U270" i="123"/>
  <c r="X270" i="123"/>
  <c r="AA299" i="123"/>
  <c r="T299" i="123"/>
  <c r="U299" i="123"/>
  <c r="X299" i="123"/>
  <c r="AA143" i="123"/>
  <c r="CD87" i="130"/>
  <c r="CF87" i="130"/>
  <c r="CH87" i="130"/>
  <c r="CE87" i="130"/>
  <c r="CG87" i="130"/>
  <c r="CG79" i="93"/>
  <c r="BW143" i="123"/>
  <c r="T143" i="123" s="1"/>
  <c r="CS79" i="93"/>
  <c r="CM79" i="93"/>
  <c r="CN79" i="93"/>
  <c r="CQ79" i="93"/>
  <c r="CO79" i="93"/>
  <c r="CF79" i="93"/>
  <c r="U143" i="123"/>
  <c r="CL79" i="93"/>
  <c r="CP79" i="93"/>
  <c r="CH79" i="93"/>
  <c r="CJ79" i="93"/>
  <c r="CR79" i="93"/>
  <c r="CK79" i="93"/>
  <c r="AA260" i="123"/>
  <c r="T260" i="123"/>
  <c r="U260" i="123"/>
  <c r="X260" i="123"/>
  <c r="AA291" i="123"/>
  <c r="T291" i="123"/>
  <c r="U291" i="123"/>
  <c r="X291" i="123"/>
  <c r="AA142" i="123"/>
  <c r="CB86" i="130"/>
  <c r="CE86" i="130"/>
  <c r="CF86" i="130"/>
  <c r="CH86" i="130"/>
  <c r="CG86" i="130"/>
  <c r="CG78" i="93"/>
  <c r="BW142" i="123"/>
  <c r="T142" i="123" s="1"/>
  <c r="CO78" i="93"/>
  <c r="CM78" i="93"/>
  <c r="U142" i="123"/>
  <c r="CF78" i="93"/>
  <c r="CJ78" i="93"/>
  <c r="CQ78" i="93"/>
  <c r="CK78" i="93"/>
  <c r="CS78" i="93"/>
  <c r="CR78" i="93"/>
  <c r="CH78" i="93"/>
  <c r="CP78" i="93"/>
  <c r="CL78" i="93"/>
  <c r="CN78" i="93"/>
  <c r="AA263" i="123"/>
  <c r="T263" i="123"/>
  <c r="U263" i="123"/>
  <c r="X263" i="123"/>
  <c r="DH263" i="123" s="1"/>
  <c r="DI263" i="123" s="1"/>
  <c r="AA262" i="123"/>
  <c r="T262" i="123"/>
  <c r="U262" i="123"/>
  <c r="X262" i="123"/>
  <c r="DH262" i="123" s="1"/>
  <c r="DI262" i="123" s="1"/>
  <c r="AA264" i="123"/>
  <c r="T264" i="123"/>
  <c r="U264" i="123"/>
  <c r="X264" i="123"/>
  <c r="DH264" i="123" s="1"/>
  <c r="DI264" i="123" s="1"/>
  <c r="G27" i="57"/>
  <c r="G25" i="57"/>
  <c r="J51" i="98"/>
  <c r="AA234" i="123"/>
  <c r="BW234" i="123"/>
  <c r="T234" i="123" s="1"/>
  <c r="U234" i="123"/>
  <c r="AA255" i="123"/>
  <c r="T255" i="123"/>
  <c r="U255" i="123"/>
  <c r="X255" i="123"/>
  <c r="AA269" i="123"/>
  <c r="U269" i="123"/>
  <c r="T269" i="123"/>
  <c r="X269" i="123"/>
  <c r="AA284" i="123"/>
  <c r="T284" i="123"/>
  <c r="U284" i="123"/>
  <c r="X284" i="123"/>
  <c r="AA288" i="123"/>
  <c r="T288" i="123"/>
  <c r="U288" i="123"/>
  <c r="X288" i="123"/>
  <c r="AA139" i="123"/>
  <c r="CF82" i="130"/>
  <c r="CE82" i="130"/>
  <c r="CD82" i="130"/>
  <c r="CG82" i="130"/>
  <c r="CH82" i="130"/>
  <c r="CB82" i="130"/>
  <c r="CG74" i="93"/>
  <c r="BW139" i="123"/>
  <c r="T139" i="123" s="1"/>
  <c r="CK74" i="93"/>
  <c r="CS74" i="93"/>
  <c r="CN74" i="93"/>
  <c r="CR74" i="93"/>
  <c r="CO74" i="93"/>
  <c r="CJ74" i="93"/>
  <c r="U139" i="123"/>
  <c r="CQ74" i="93"/>
  <c r="CM74" i="93"/>
  <c r="CF74" i="93"/>
  <c r="CL74" i="93"/>
  <c r="CP74" i="93"/>
  <c r="CH74" i="93"/>
  <c r="AA170" i="123"/>
  <c r="BW170" i="123"/>
  <c r="T170" i="123" s="1"/>
  <c r="U170" i="123"/>
  <c r="AA157" i="123"/>
  <c r="BW157" i="123"/>
  <c r="T157" i="123" s="1"/>
  <c r="U157" i="123"/>
  <c r="AA147" i="123"/>
  <c r="CG93" i="130"/>
  <c r="CB93" i="130"/>
  <c r="CD93" i="130"/>
  <c r="CH93" i="130"/>
  <c r="CE93" i="130"/>
  <c r="CF93" i="130"/>
  <c r="CG85" i="93"/>
  <c r="BW147" i="123"/>
  <c r="T147" i="123" s="1"/>
  <c r="CL85" i="93"/>
  <c r="CP85" i="93"/>
  <c r="CK85" i="93"/>
  <c r="CS85" i="93"/>
  <c r="U147" i="123"/>
  <c r="CR85" i="93"/>
  <c r="CO85" i="93"/>
  <c r="CH85" i="93"/>
  <c r="CN85" i="93"/>
  <c r="CJ85" i="93"/>
  <c r="CM85" i="93"/>
  <c r="CQ85" i="93"/>
  <c r="CF85" i="93"/>
  <c r="AA132" i="123"/>
  <c r="CG73" i="130"/>
  <c r="CH73" i="130"/>
  <c r="CF73" i="130"/>
  <c r="CC73" i="130"/>
  <c r="CG65" i="93"/>
  <c r="BW132" i="123"/>
  <c r="T132" i="123" s="1"/>
  <c r="B62" i="98" s="1"/>
  <c r="CM65" i="93"/>
  <c r="CH65" i="93"/>
  <c r="CQ65" i="93"/>
  <c r="CS65" i="93"/>
  <c r="CF65" i="93"/>
  <c r="CL65" i="93"/>
  <c r="CK65" i="93"/>
  <c r="U132" i="123"/>
  <c r="C62" i="98" s="1"/>
  <c r="CP65" i="93"/>
  <c r="CJ65" i="93"/>
  <c r="CO65" i="93"/>
  <c r="CN65" i="93"/>
  <c r="CR65" i="93"/>
  <c r="AA168" i="123"/>
  <c r="BW168" i="123"/>
  <c r="T168" i="123" s="1"/>
  <c r="U168" i="123"/>
  <c r="AA181" i="123"/>
  <c r="BW181" i="123"/>
  <c r="T181" i="123" s="1"/>
  <c r="U181" i="123"/>
  <c r="AA187" i="123"/>
  <c r="BW187" i="123"/>
  <c r="T187" i="123" s="1"/>
  <c r="U187" i="123"/>
  <c r="AA247" i="123"/>
  <c r="T247" i="123"/>
  <c r="U247" i="123"/>
  <c r="X247" i="123"/>
  <c r="AA287" i="123"/>
  <c r="T287" i="123"/>
  <c r="U287" i="123"/>
  <c r="X287" i="123"/>
  <c r="AA186" i="123"/>
  <c r="BW186" i="123"/>
  <c r="T186" i="123" s="1"/>
  <c r="U186" i="123"/>
  <c r="AA295" i="123"/>
  <c r="T295" i="123"/>
  <c r="U295" i="123"/>
  <c r="X295" i="123"/>
  <c r="DH295" i="123" s="1"/>
  <c r="DI295" i="123" s="1"/>
  <c r="AA230" i="123"/>
  <c r="BW230" i="123"/>
  <c r="T230" i="123" s="1"/>
  <c r="U230" i="123"/>
  <c r="AA237" i="123"/>
  <c r="U237" i="123"/>
  <c r="T237" i="123"/>
  <c r="X237" i="123"/>
  <c r="AA259" i="123"/>
  <c r="T259" i="123"/>
  <c r="U259" i="123"/>
  <c r="X259" i="123"/>
  <c r="AA159" i="123"/>
  <c r="BW159" i="123"/>
  <c r="T159" i="123" s="1"/>
  <c r="U159" i="123"/>
  <c r="AA180" i="123"/>
  <c r="BW180" i="123"/>
  <c r="T180" i="123" s="1"/>
  <c r="U180" i="123"/>
  <c r="AA173" i="123"/>
  <c r="BW173" i="123"/>
  <c r="T173" i="123" s="1"/>
  <c r="U173" i="123"/>
  <c r="AA249" i="123"/>
  <c r="U249" i="123"/>
  <c r="T249" i="123"/>
  <c r="X249" i="123"/>
  <c r="DH249" i="123" s="1"/>
  <c r="DI249" i="123" s="1"/>
  <c r="AA268" i="123"/>
  <c r="T268" i="123"/>
  <c r="U268" i="123"/>
  <c r="X268" i="123"/>
  <c r="DH268" i="123" s="1"/>
  <c r="DI268" i="123" s="1"/>
  <c r="AA239" i="123"/>
  <c r="T239" i="123"/>
  <c r="U239" i="123"/>
  <c r="X239" i="123"/>
  <c r="DH239" i="123" s="1"/>
  <c r="DI239" i="123" s="1"/>
  <c r="AA238" i="123"/>
  <c r="T238" i="123"/>
  <c r="U238" i="123"/>
  <c r="X238" i="123"/>
  <c r="DH238" i="123" s="1"/>
  <c r="DI238" i="123" s="1"/>
  <c r="AA242" i="123"/>
  <c r="T242" i="123"/>
  <c r="U242" i="123"/>
  <c r="X242" i="123"/>
  <c r="DH242" i="123" s="1"/>
  <c r="DI242" i="123" s="1"/>
  <c r="AA252" i="123"/>
  <c r="T252" i="123"/>
  <c r="U252" i="123"/>
  <c r="X252" i="123"/>
  <c r="DH252" i="123" s="1"/>
  <c r="DI252" i="123" s="1"/>
  <c r="AA137" i="123"/>
  <c r="CH80" i="130"/>
  <c r="CF80" i="130"/>
  <c r="CG80" i="130"/>
  <c r="CG72" i="93"/>
  <c r="BW137" i="123"/>
  <c r="T137" i="123" s="1"/>
  <c r="CJ72" i="93"/>
  <c r="CR72" i="93"/>
  <c r="CF72" i="93"/>
  <c r="CN72" i="93"/>
  <c r="CM72" i="93"/>
  <c r="CQ72" i="93"/>
  <c r="CO72" i="93"/>
  <c r="CS72" i="93"/>
  <c r="CH72" i="93"/>
  <c r="U137" i="123"/>
  <c r="CK72" i="93"/>
  <c r="CL72" i="93"/>
  <c r="CP72" i="93"/>
  <c r="AA165" i="123"/>
  <c r="BW165" i="123"/>
  <c r="T165" i="123" s="1"/>
  <c r="U165" i="123"/>
  <c r="J49" i="98"/>
  <c r="AA254" i="123"/>
  <c r="T254" i="123"/>
  <c r="U254" i="123"/>
  <c r="X254" i="123"/>
  <c r="AA203" i="123"/>
  <c r="U203" i="123"/>
  <c r="T203" i="123"/>
  <c r="X203" i="123"/>
  <c r="AA167" i="123"/>
  <c r="BW167" i="123"/>
  <c r="T167" i="123" s="1"/>
  <c r="U167" i="123"/>
  <c r="AA275" i="123"/>
  <c r="T275" i="123"/>
  <c r="U275" i="123"/>
  <c r="X275" i="123"/>
  <c r="AA276" i="123"/>
  <c r="T276" i="123"/>
  <c r="U276" i="123"/>
  <c r="X276" i="123"/>
  <c r="AA209" i="123"/>
  <c r="T209" i="123"/>
  <c r="U209" i="123"/>
  <c r="X209" i="123"/>
  <c r="AA243" i="123"/>
  <c r="T243" i="123"/>
  <c r="U243" i="123"/>
  <c r="X243" i="123"/>
  <c r="AA233" i="123"/>
  <c r="BW233" i="123"/>
  <c r="T233" i="123" s="1"/>
  <c r="U233" i="123"/>
  <c r="AA185" i="123"/>
  <c r="BW185" i="123"/>
  <c r="T185" i="123" s="1"/>
  <c r="U185" i="123"/>
  <c r="AA171" i="123"/>
  <c r="BW171" i="123"/>
  <c r="T171" i="123" s="1"/>
  <c r="U171" i="123"/>
  <c r="AA277" i="123"/>
  <c r="U277" i="123"/>
  <c r="T277" i="123"/>
  <c r="X277" i="123"/>
  <c r="J50" i="98"/>
  <c r="AA145" i="123"/>
  <c r="CE89" i="130"/>
  <c r="CD89" i="130"/>
  <c r="CF89" i="130"/>
  <c r="CG89" i="130"/>
  <c r="CH89" i="130"/>
  <c r="CG81" i="93"/>
  <c r="BW145" i="123"/>
  <c r="T145" i="123" s="1"/>
  <c r="CO81" i="93"/>
  <c r="U145" i="123"/>
  <c r="CS81" i="93"/>
  <c r="CN81" i="93"/>
  <c r="CL81" i="93"/>
  <c r="CF81" i="93"/>
  <c r="CQ81" i="93"/>
  <c r="CM81" i="93"/>
  <c r="CR81" i="93"/>
  <c r="CP81" i="93"/>
  <c r="CK81" i="93"/>
  <c r="CH81" i="93"/>
  <c r="CJ81" i="93"/>
  <c r="AL236" i="123"/>
  <c r="DZ236" i="123" s="1"/>
  <c r="AB236" i="123"/>
  <c r="AA240" i="123"/>
  <c r="T240" i="123"/>
  <c r="U240" i="123"/>
  <c r="X240" i="123"/>
  <c r="AA154" i="123"/>
  <c r="T154" i="123"/>
  <c r="U154" i="123"/>
  <c r="X154" i="123"/>
  <c r="AA153" i="123"/>
  <c r="CB101" i="130"/>
  <c r="CH101" i="130"/>
  <c r="CG101" i="130"/>
  <c r="CD101" i="130"/>
  <c r="CF101" i="130"/>
  <c r="CE101" i="130"/>
  <c r="CG93" i="93"/>
  <c r="BW153" i="123"/>
  <c r="T153" i="123" s="1"/>
  <c r="CQ93" i="93"/>
  <c r="CN93" i="93"/>
  <c r="CO93" i="93"/>
  <c r="CS93" i="93"/>
  <c r="CR93" i="93"/>
  <c r="U153" i="123"/>
  <c r="CL93" i="93"/>
  <c r="CM93" i="93"/>
  <c r="CK93" i="93"/>
  <c r="CH93" i="93"/>
  <c r="CJ93" i="93"/>
  <c r="CP93" i="93"/>
  <c r="CF93" i="93"/>
  <c r="AA149" i="123"/>
  <c r="CE95" i="130"/>
  <c r="CH95" i="130"/>
  <c r="CF95" i="130"/>
  <c r="CD95" i="130"/>
  <c r="CB95" i="130"/>
  <c r="CG95" i="130"/>
  <c r="CG87" i="93"/>
  <c r="BW149" i="123"/>
  <c r="T149" i="123" s="1"/>
  <c r="CN87" i="93"/>
  <c r="CS87" i="93"/>
  <c r="CO87" i="93"/>
  <c r="CK87" i="93"/>
  <c r="CF87" i="93"/>
  <c r="CQ87" i="93"/>
  <c r="CM87" i="93"/>
  <c r="CR87" i="93"/>
  <c r="U149" i="123"/>
  <c r="CP87" i="93"/>
  <c r="CJ87" i="93"/>
  <c r="CH87" i="93"/>
  <c r="CL87" i="93"/>
  <c r="AA166" i="123"/>
  <c r="BW166" i="123"/>
  <c r="T166" i="123" s="1"/>
  <c r="U166" i="123"/>
  <c r="AA150" i="123"/>
  <c r="CB97" i="130"/>
  <c r="CF97" i="130"/>
  <c r="CH97" i="130"/>
  <c r="CE97" i="130"/>
  <c r="CD97" i="130"/>
  <c r="CG97" i="130"/>
  <c r="CG89" i="93"/>
  <c r="BW150" i="123"/>
  <c r="T150" i="123" s="1"/>
  <c r="CP89" i="93"/>
  <c r="CL89" i="93"/>
  <c r="CQ89" i="93"/>
  <c r="CO89" i="93"/>
  <c r="CK89" i="93"/>
  <c r="CJ89" i="93"/>
  <c r="CS89" i="93"/>
  <c r="U150" i="123"/>
  <c r="CM89" i="93"/>
  <c r="CN89" i="93"/>
  <c r="CR89" i="93"/>
  <c r="CF89" i="93"/>
  <c r="CH89" i="93"/>
  <c r="AA292" i="123"/>
  <c r="T292" i="123"/>
  <c r="U292" i="123"/>
  <c r="X292" i="123"/>
  <c r="DH292" i="123" s="1"/>
  <c r="DI292" i="123" s="1"/>
  <c r="AA282" i="123"/>
  <c r="T282" i="123"/>
  <c r="U282" i="123"/>
  <c r="X282" i="123"/>
  <c r="DH282" i="123" s="1"/>
  <c r="DI282" i="123" s="1"/>
  <c r="CG75" i="130"/>
  <c r="AL205" i="123"/>
  <c r="DZ205" i="123" s="1"/>
  <c r="AB205" i="123"/>
  <c r="J38" i="98" s="1"/>
  <c r="AA194" i="123"/>
  <c r="T194" i="123"/>
  <c r="U194" i="123"/>
  <c r="X194" i="123"/>
  <c r="AA286" i="123"/>
  <c r="T286" i="123"/>
  <c r="U286" i="123"/>
  <c r="X286" i="123"/>
  <c r="AA141" i="123"/>
  <c r="CD85" i="130"/>
  <c r="CF85" i="130"/>
  <c r="CH85" i="130"/>
  <c r="CG85" i="130"/>
  <c r="CB85" i="130"/>
  <c r="CE85" i="130"/>
  <c r="CG77" i="93"/>
  <c r="BW141" i="123"/>
  <c r="T141" i="123" s="1"/>
  <c r="CR77" i="93"/>
  <c r="CJ77" i="93"/>
  <c r="CL77" i="93"/>
  <c r="CS77" i="93"/>
  <c r="CP77" i="93"/>
  <c r="CN77" i="93"/>
  <c r="CQ77" i="93"/>
  <c r="CK77" i="93"/>
  <c r="CM77" i="93"/>
  <c r="CF77" i="93"/>
  <c r="CO77" i="93"/>
  <c r="U141" i="123"/>
  <c r="CH77" i="93"/>
  <c r="AA289" i="123"/>
  <c r="U289" i="123"/>
  <c r="T289" i="123"/>
  <c r="X289" i="123"/>
  <c r="AA298" i="123"/>
  <c r="T298" i="123"/>
  <c r="U298" i="123"/>
  <c r="X298" i="123"/>
  <c r="AA172" i="123"/>
  <c r="BW172" i="123"/>
  <c r="T172" i="123" s="1"/>
  <c r="U172" i="123"/>
  <c r="AA253" i="123"/>
  <c r="U253" i="123"/>
  <c r="T253" i="123"/>
  <c r="X253" i="123"/>
  <c r="DH253" i="123" s="1"/>
  <c r="DI253" i="123" s="1"/>
  <c r="AA280" i="123"/>
  <c r="T280" i="123"/>
  <c r="U280" i="123"/>
  <c r="X280" i="123"/>
  <c r="DH280" i="123" s="1"/>
  <c r="DI280" i="123" s="1"/>
  <c r="AA281" i="123"/>
  <c r="U281" i="123"/>
  <c r="T281" i="123"/>
  <c r="X281" i="123"/>
  <c r="DH281" i="123" s="1"/>
  <c r="DI281" i="123" s="1"/>
  <c r="AA179" i="123"/>
  <c r="BW179" i="123"/>
  <c r="T179" i="123" s="1"/>
  <c r="U179" i="123"/>
  <c r="AA156" i="123"/>
  <c r="BW156" i="123"/>
  <c r="T156" i="123" s="1"/>
  <c r="U156" i="123"/>
  <c r="AA136" i="123"/>
  <c r="CH79" i="130"/>
  <c r="CG79" i="130"/>
  <c r="CF79" i="130"/>
  <c r="CG71" i="93"/>
  <c r="BW136" i="123"/>
  <c r="T136" i="123" s="1"/>
  <c r="CM71" i="93"/>
  <c r="CL71" i="93"/>
  <c r="CS71" i="93"/>
  <c r="CR71" i="93"/>
  <c r="CO71" i="93"/>
  <c r="CK71" i="93"/>
  <c r="CQ71" i="93"/>
  <c r="CN71" i="93"/>
  <c r="CJ71" i="93"/>
  <c r="CH71" i="93"/>
  <c r="CP71" i="93"/>
  <c r="CF71" i="93"/>
  <c r="U136" i="123"/>
  <c r="AA152" i="123"/>
  <c r="CB100" i="130"/>
  <c r="CE100" i="130"/>
  <c r="CF100" i="130"/>
  <c r="CG100" i="130"/>
  <c r="CD100" i="130"/>
  <c r="CH100" i="130"/>
  <c r="CG92" i="93"/>
  <c r="BW152" i="123"/>
  <c r="T152" i="123" s="1"/>
  <c r="CP92" i="93"/>
  <c r="CS92" i="93"/>
  <c r="CN92" i="93"/>
  <c r="CQ92" i="93"/>
  <c r="CM92" i="93"/>
  <c r="CH92" i="93"/>
  <c r="CR92" i="93"/>
  <c r="CF92" i="93"/>
  <c r="CL92" i="93"/>
  <c r="CJ92" i="93"/>
  <c r="U152" i="123"/>
  <c r="CO92" i="93"/>
  <c r="CK92" i="93"/>
  <c r="AA162" i="123"/>
  <c r="BW162" i="123"/>
  <c r="T162" i="123" s="1"/>
  <c r="U162" i="123"/>
  <c r="AA258" i="123"/>
  <c r="T258" i="123"/>
  <c r="U258" i="123"/>
  <c r="X258" i="123"/>
  <c r="AA272" i="123"/>
  <c r="T272" i="123"/>
  <c r="U272" i="123"/>
  <c r="X272" i="123"/>
  <c r="AA300" i="123"/>
  <c r="T300" i="123"/>
  <c r="U300" i="123"/>
  <c r="X300" i="123"/>
  <c r="AA267" i="123"/>
  <c r="T267" i="123"/>
  <c r="U267" i="123"/>
  <c r="X267" i="123"/>
  <c r="AA274" i="123"/>
  <c r="T274" i="123"/>
  <c r="U274" i="123"/>
  <c r="X274" i="123"/>
  <c r="AA271" i="123"/>
  <c r="T271" i="123"/>
  <c r="U271" i="123"/>
  <c r="X271" i="123"/>
  <c r="AA169" i="123"/>
  <c r="BW169" i="123"/>
  <c r="T169" i="123" s="1"/>
  <c r="U169" i="123"/>
  <c r="AA178" i="123"/>
  <c r="CH77" i="130"/>
  <c r="CC77" i="130"/>
  <c r="CB77" i="130"/>
  <c r="CG77" i="130"/>
  <c r="CF77" i="130"/>
  <c r="CD77" i="130"/>
  <c r="CG69" i="93"/>
  <c r="BW178" i="123"/>
  <c r="T178" i="123" s="1"/>
  <c r="CJ69" i="93"/>
  <c r="CP69" i="93"/>
  <c r="CN69" i="93"/>
  <c r="CO69" i="93"/>
  <c r="CM69" i="93"/>
  <c r="CK69" i="93"/>
  <c r="CS69" i="93"/>
  <c r="CL69" i="93"/>
  <c r="CQ69" i="93"/>
  <c r="CR69" i="93"/>
  <c r="CH69" i="93"/>
  <c r="CF69" i="93"/>
  <c r="U178" i="123"/>
  <c r="AA227" i="123"/>
  <c r="BW227" i="123"/>
  <c r="T227" i="123" s="1"/>
  <c r="U227" i="123"/>
  <c r="AA293" i="123"/>
  <c r="U293" i="123"/>
  <c r="T293" i="123"/>
  <c r="X293" i="123"/>
  <c r="AA161" i="123"/>
  <c r="BW161" i="123"/>
  <c r="T161" i="123" s="1"/>
  <c r="U161" i="123"/>
  <c r="AA134" i="123"/>
  <c r="T134" i="123"/>
  <c r="U134" i="123"/>
  <c r="X134" i="123"/>
  <c r="AA177" i="123"/>
  <c r="BW177" i="123"/>
  <c r="T177" i="123" s="1"/>
  <c r="U177" i="123"/>
  <c r="AA244" i="123"/>
  <c r="T244" i="123"/>
  <c r="U244" i="123"/>
  <c r="X244" i="123"/>
  <c r="DH244" i="123" s="1"/>
  <c r="DI244" i="123" s="1"/>
  <c r="AA164" i="123"/>
  <c r="BW164" i="123"/>
  <c r="T164" i="123" s="1"/>
  <c r="U164" i="123"/>
  <c r="AA290" i="123"/>
  <c r="T290" i="123"/>
  <c r="U290" i="123"/>
  <c r="X290" i="123"/>
  <c r="AA229" i="123"/>
  <c r="BW229" i="123"/>
  <c r="T229" i="123" s="1"/>
  <c r="U229" i="123"/>
  <c r="AA304" i="123"/>
  <c r="T304" i="123"/>
  <c r="U304" i="123"/>
  <c r="X304" i="123"/>
  <c r="DH304" i="123" s="1"/>
  <c r="DI304" i="123" s="1"/>
  <c r="AA160" i="123"/>
  <c r="BW160" i="123"/>
  <c r="T160" i="123" s="1"/>
  <c r="U160" i="123"/>
  <c r="AA151" i="123"/>
  <c r="CD98" i="130"/>
  <c r="CE98" i="130"/>
  <c r="CH98" i="130"/>
  <c r="CG98" i="130"/>
  <c r="CF98" i="130"/>
  <c r="CG90" i="93"/>
  <c r="BW151" i="123"/>
  <c r="T151" i="123" s="1"/>
  <c r="CN90" i="93"/>
  <c r="CH90" i="93"/>
  <c r="CM90" i="93"/>
  <c r="CR90" i="93"/>
  <c r="CP90" i="93"/>
  <c r="CK90" i="93"/>
  <c r="U151" i="123"/>
  <c r="CF90" i="93"/>
  <c r="CQ90" i="93"/>
  <c r="CJ90" i="93"/>
  <c r="CL90" i="93"/>
  <c r="CO90" i="93"/>
  <c r="CS90" i="93"/>
  <c r="AA278" i="123"/>
  <c r="T278" i="123"/>
  <c r="U278" i="123"/>
  <c r="X278" i="123"/>
  <c r="AA301" i="123"/>
  <c r="U301" i="123"/>
  <c r="T301" i="123"/>
  <c r="X301" i="123"/>
  <c r="AA257" i="123"/>
  <c r="U257" i="123"/>
  <c r="T257" i="123"/>
  <c r="X257" i="123"/>
  <c r="AA174" i="123"/>
  <c r="T174" i="123"/>
  <c r="U174" i="123"/>
  <c r="X174" i="123"/>
  <c r="AA248" i="123"/>
  <c r="T248" i="123"/>
  <c r="U248" i="123"/>
  <c r="X248" i="123"/>
  <c r="AA148" i="123"/>
  <c r="CG94" i="130"/>
  <c r="CD94" i="130"/>
  <c r="CE94" i="130"/>
  <c r="CH94" i="130"/>
  <c r="CF94" i="130"/>
  <c r="CB94" i="130"/>
  <c r="CG86" i="93"/>
  <c r="BW148" i="123"/>
  <c r="T148" i="123" s="1"/>
  <c r="CL86" i="93"/>
  <c r="CQ86" i="93"/>
  <c r="CN86" i="93"/>
  <c r="CO86" i="93"/>
  <c r="CK86" i="93"/>
  <c r="U148" i="123"/>
  <c r="CF86" i="93"/>
  <c r="CM86" i="93"/>
  <c r="CS86" i="93"/>
  <c r="CP86" i="93"/>
  <c r="CR86" i="93"/>
  <c r="CJ86" i="93"/>
  <c r="CH86" i="93"/>
  <c r="AA250" i="123"/>
  <c r="T250" i="123"/>
  <c r="U250" i="123"/>
  <c r="X250" i="123"/>
  <c r="DH250" i="123" s="1"/>
  <c r="DI250" i="123" s="1"/>
  <c r="AA228" i="123"/>
  <c r="BW228" i="123"/>
  <c r="T228" i="123" s="1"/>
  <c r="U228" i="123"/>
  <c r="AA273" i="123"/>
  <c r="U273" i="123"/>
  <c r="T273" i="123"/>
  <c r="X273" i="123"/>
  <c r="AA235" i="123"/>
  <c r="BW235" i="123"/>
  <c r="T235" i="123" s="1"/>
  <c r="U235" i="123"/>
  <c r="AA200" i="123"/>
  <c r="U200" i="123"/>
  <c r="T200" i="123"/>
  <c r="X200" i="123"/>
  <c r="AA146" i="123"/>
  <c r="CF90" i="130"/>
  <c r="CD90" i="130"/>
  <c r="CG90" i="130"/>
  <c r="CH90" i="130"/>
  <c r="CE90" i="130"/>
  <c r="CG82" i="93"/>
  <c r="BW146" i="123"/>
  <c r="T146" i="123" s="1"/>
  <c r="CK82" i="93"/>
  <c r="CH82" i="93"/>
  <c r="CR82" i="93"/>
  <c r="CN82" i="93"/>
  <c r="CO82" i="93"/>
  <c r="CL82" i="93"/>
  <c r="CF82" i="93"/>
  <c r="CP82" i="93"/>
  <c r="CJ82" i="93"/>
  <c r="CM82" i="93"/>
  <c r="CS82" i="93"/>
  <c r="CQ82" i="93"/>
  <c r="U146" i="123"/>
  <c r="AL133" i="123"/>
  <c r="DZ133" i="123" s="1"/>
  <c r="AB133" i="123"/>
  <c r="J39" i="98" s="1"/>
  <c r="JJ141" i="1"/>
  <c r="JG141" i="1"/>
  <c r="DH243" i="123" l="1"/>
  <c r="DI243" i="123" s="1"/>
  <c r="DH209" i="123"/>
  <c r="DI209" i="123" s="1"/>
  <c r="DH276" i="123"/>
  <c r="DI276" i="123" s="1"/>
  <c r="DH275" i="123"/>
  <c r="DI275" i="123" s="1"/>
  <c r="DH299" i="123"/>
  <c r="DI299" i="123" s="1"/>
  <c r="DH270" i="123"/>
  <c r="DI270" i="123" s="1"/>
  <c r="DH279" i="123"/>
  <c r="DI279" i="123" s="1"/>
  <c r="DH134" i="123"/>
  <c r="DI134" i="123" s="1"/>
  <c r="DH298" i="123"/>
  <c r="DI298" i="123" s="1"/>
  <c r="DH289" i="123"/>
  <c r="DI289" i="123" s="1"/>
  <c r="DH287" i="123"/>
  <c r="DI287" i="123" s="1"/>
  <c r="DH247" i="123"/>
  <c r="DI247" i="123" s="1"/>
  <c r="DH273" i="123"/>
  <c r="DI273" i="123" s="1"/>
  <c r="DH290" i="123"/>
  <c r="DI290" i="123" s="1"/>
  <c r="DH286" i="123"/>
  <c r="DI286" i="123" s="1"/>
  <c r="DH194" i="123"/>
  <c r="DI194" i="123" s="1"/>
  <c r="DH154" i="123"/>
  <c r="DI154" i="123" s="1"/>
  <c r="DH240" i="123"/>
  <c r="DI240" i="123" s="1"/>
  <c r="DH277" i="123"/>
  <c r="DI277" i="123" s="1"/>
  <c r="DH203" i="123"/>
  <c r="DI203" i="123" s="1"/>
  <c r="DH254" i="123"/>
  <c r="DI254" i="123" s="1"/>
  <c r="DH259" i="123"/>
  <c r="DI259" i="123" s="1"/>
  <c r="DH237" i="123"/>
  <c r="DI237" i="123" s="1"/>
  <c r="DH291" i="123"/>
  <c r="DI291" i="123" s="1"/>
  <c r="DH260" i="123"/>
  <c r="DI260" i="123" s="1"/>
  <c r="DH256" i="123"/>
  <c r="DI256" i="123" s="1"/>
  <c r="DH182" i="123"/>
  <c r="DI182" i="123" s="1"/>
  <c r="DH189" i="123"/>
  <c r="DI189" i="123" s="1"/>
  <c r="DH266" i="123"/>
  <c r="DI266" i="123" s="1"/>
  <c r="DH200" i="123"/>
  <c r="DI200" i="123" s="1"/>
  <c r="DH248" i="123"/>
  <c r="DI248" i="123" s="1"/>
  <c r="DH174" i="123"/>
  <c r="DI174" i="123" s="1"/>
  <c r="DH257" i="123"/>
  <c r="DI257" i="123" s="1"/>
  <c r="DH301" i="123"/>
  <c r="DI301" i="123" s="1"/>
  <c r="DH278" i="123"/>
  <c r="DI278" i="123" s="1"/>
  <c r="DH293" i="123"/>
  <c r="DI293" i="123" s="1"/>
  <c r="DH271" i="123"/>
  <c r="DI271" i="123" s="1"/>
  <c r="DH274" i="123"/>
  <c r="DI274" i="123" s="1"/>
  <c r="DH267" i="123"/>
  <c r="DI267" i="123" s="1"/>
  <c r="DH300" i="123"/>
  <c r="DI300" i="123" s="1"/>
  <c r="DH272" i="123"/>
  <c r="DI272" i="123" s="1"/>
  <c r="DH258" i="123"/>
  <c r="DI258" i="123" s="1"/>
  <c r="DH288" i="123"/>
  <c r="DI288" i="123" s="1"/>
  <c r="DH284" i="123"/>
  <c r="DI284" i="123" s="1"/>
  <c r="DH269" i="123"/>
  <c r="DI269" i="123" s="1"/>
  <c r="DH255" i="123"/>
  <c r="DI255" i="123" s="1"/>
  <c r="DH206" i="123"/>
  <c r="DI206" i="123" s="1"/>
  <c r="DH296" i="123"/>
  <c r="DI296" i="123" s="1"/>
  <c r="DH297" i="123"/>
  <c r="DI297" i="123" s="1"/>
  <c r="H39" i="93"/>
  <c r="H33" i="93"/>
  <c r="C52" i="98"/>
  <c r="C58" i="98"/>
  <c r="B52" i="98"/>
  <c r="B58" i="98"/>
  <c r="J38" i="93"/>
  <c r="DK141" i="123"/>
  <c r="DK132" i="123"/>
  <c r="CH75" i="130"/>
  <c r="DK144" i="123"/>
  <c r="CO67" i="93"/>
  <c r="R142" i="123"/>
  <c r="DK153" i="123"/>
  <c r="DK137" i="123"/>
  <c r="DK140" i="123"/>
  <c r="R183" i="123"/>
  <c r="R175" i="123"/>
  <c r="DK147" i="123"/>
  <c r="DK152" i="123"/>
  <c r="DP154" i="123"/>
  <c r="DK139" i="123"/>
  <c r="DP174" i="123"/>
  <c r="CK67" i="93"/>
  <c r="CB75" i="130"/>
  <c r="R155" i="123"/>
  <c r="CS67" i="93"/>
  <c r="DK143" i="123"/>
  <c r="DP206" i="123"/>
  <c r="DP182" i="123"/>
  <c r="DP189" i="123"/>
  <c r="DK177" i="123"/>
  <c r="DK150" i="123"/>
  <c r="DK148" i="123"/>
  <c r="DP194" i="123"/>
  <c r="DP190" i="123" s="1"/>
  <c r="DK200" i="123"/>
  <c r="V200" i="123"/>
  <c r="S200" i="123" s="1"/>
  <c r="R200" i="123"/>
  <c r="EA200" i="123"/>
  <c r="DL200" i="123"/>
  <c r="V290" i="123"/>
  <c r="S290" i="123" s="1"/>
  <c r="DK290" i="123"/>
  <c r="R290" i="123"/>
  <c r="EA290" i="123"/>
  <c r="DL290" i="123"/>
  <c r="R134" i="123"/>
  <c r="EA134" i="123"/>
  <c r="V134" i="123"/>
  <c r="S134" i="123" s="1"/>
  <c r="DL134" i="123"/>
  <c r="V227" i="123"/>
  <c r="S227" i="123" s="1"/>
  <c r="EA227" i="123"/>
  <c r="DK227" i="123"/>
  <c r="B51" i="98"/>
  <c r="R227" i="123"/>
  <c r="DL227" i="123"/>
  <c r="B25" i="57"/>
  <c r="B27" i="57"/>
  <c r="V162" i="123"/>
  <c r="S162" i="123" s="1"/>
  <c r="DK162" i="123"/>
  <c r="R162" i="123"/>
  <c r="DL162" i="123"/>
  <c r="EA162" i="123"/>
  <c r="DK136" i="123"/>
  <c r="C40" i="98"/>
  <c r="DP281" i="123"/>
  <c r="W281" i="123"/>
  <c r="V149" i="123"/>
  <c r="S149" i="123" s="1"/>
  <c r="CC156" i="130"/>
  <c r="CA156" i="130"/>
  <c r="EA149" i="123"/>
  <c r="DL149" i="123"/>
  <c r="R149" i="123"/>
  <c r="V243" i="123"/>
  <c r="S243" i="123" s="1"/>
  <c r="DK243" i="123"/>
  <c r="R243" i="123"/>
  <c r="EA243" i="123"/>
  <c r="DL243" i="123"/>
  <c r="DK276" i="123"/>
  <c r="V276" i="123"/>
  <c r="S276" i="123" s="1"/>
  <c r="R276" i="123"/>
  <c r="EA276" i="123"/>
  <c r="DL276" i="123"/>
  <c r="V259" i="123"/>
  <c r="S259" i="123" s="1"/>
  <c r="DK259" i="123"/>
  <c r="R259" i="123"/>
  <c r="EA259" i="123"/>
  <c r="DL259" i="123"/>
  <c r="DP287" i="123"/>
  <c r="W287" i="123"/>
  <c r="V158" i="123"/>
  <c r="S158" i="123" s="1"/>
  <c r="DK158" i="123"/>
  <c r="R158" i="123"/>
  <c r="DL158" i="123"/>
  <c r="EA158" i="123"/>
  <c r="V138" i="123"/>
  <c r="S138" i="123" s="1"/>
  <c r="CC142" i="130"/>
  <c r="CA142" i="130"/>
  <c r="R138" i="123"/>
  <c r="DL138" i="123"/>
  <c r="EA138" i="123"/>
  <c r="DP296" i="123"/>
  <c r="W296" i="123"/>
  <c r="DP297" i="123"/>
  <c r="W297" i="123"/>
  <c r="DP265" i="123"/>
  <c r="W265" i="123"/>
  <c r="DP250" i="123"/>
  <c r="W250" i="123"/>
  <c r="V248" i="123"/>
  <c r="S248" i="123" s="1"/>
  <c r="DK248" i="123"/>
  <c r="R248" i="123"/>
  <c r="EA248" i="123"/>
  <c r="DL248" i="123"/>
  <c r="V174" i="123"/>
  <c r="S174" i="123" s="1"/>
  <c r="DK174" i="123"/>
  <c r="R174" i="123"/>
  <c r="EA174" i="123"/>
  <c r="DL174" i="123"/>
  <c r="V278" i="123"/>
  <c r="S278" i="123" s="1"/>
  <c r="R278" i="123"/>
  <c r="DK278" i="123"/>
  <c r="EA278" i="123"/>
  <c r="DL278" i="123"/>
  <c r="DK151" i="123"/>
  <c r="V160" i="123"/>
  <c r="S160" i="123" s="1"/>
  <c r="DK160" i="123"/>
  <c r="DL160" i="123"/>
  <c r="EA160" i="123"/>
  <c r="R160" i="123"/>
  <c r="V304" i="123"/>
  <c r="S304" i="123" s="1"/>
  <c r="DK304" i="123"/>
  <c r="R304" i="123"/>
  <c r="EA304" i="123"/>
  <c r="DL304" i="123"/>
  <c r="DP244" i="123"/>
  <c r="W244" i="123"/>
  <c r="CF67" i="93"/>
  <c r="CR67" i="93"/>
  <c r="CQ67" i="93"/>
  <c r="CJ67" i="93"/>
  <c r="DP293" i="123"/>
  <c r="W293" i="123"/>
  <c r="R226" i="123"/>
  <c r="H25" i="57"/>
  <c r="V169" i="123"/>
  <c r="S169" i="123" s="1"/>
  <c r="EA169" i="123"/>
  <c r="DK169" i="123"/>
  <c r="DL169" i="123"/>
  <c r="R169" i="123"/>
  <c r="DK271" i="123"/>
  <c r="R271" i="123"/>
  <c r="V271" i="123"/>
  <c r="S271" i="123" s="1"/>
  <c r="EA271" i="123"/>
  <c r="DL271" i="123"/>
  <c r="V274" i="123"/>
  <c r="S274" i="123" s="1"/>
  <c r="DK274" i="123"/>
  <c r="R274" i="123"/>
  <c r="EA274" i="123"/>
  <c r="DL274" i="123"/>
  <c r="V267" i="123"/>
  <c r="S267" i="123" s="1"/>
  <c r="R267" i="123"/>
  <c r="DK267" i="123"/>
  <c r="EA267" i="123"/>
  <c r="DL267" i="123"/>
  <c r="V300" i="123"/>
  <c r="S300" i="123" s="1"/>
  <c r="R300" i="123"/>
  <c r="DK300" i="123"/>
  <c r="EA300" i="123"/>
  <c r="DL300" i="123"/>
  <c r="DK272" i="123"/>
  <c r="V272" i="123"/>
  <c r="S272" i="123" s="1"/>
  <c r="R272" i="123"/>
  <c r="EA272" i="123"/>
  <c r="DL272" i="123"/>
  <c r="V258" i="123"/>
  <c r="S258" i="123" s="1"/>
  <c r="DK258" i="123"/>
  <c r="R258" i="123"/>
  <c r="EA258" i="123"/>
  <c r="DL258" i="123"/>
  <c r="R135" i="123"/>
  <c r="DK281" i="123"/>
  <c r="V281" i="123"/>
  <c r="S281" i="123" s="1"/>
  <c r="R281" i="123"/>
  <c r="EA281" i="123"/>
  <c r="DL281" i="123"/>
  <c r="V253" i="123"/>
  <c r="S253" i="123" s="1"/>
  <c r="DK253" i="123"/>
  <c r="R253" i="123"/>
  <c r="EA253" i="123"/>
  <c r="DL253" i="123"/>
  <c r="DK172" i="123"/>
  <c r="EA172" i="123"/>
  <c r="R172" i="123"/>
  <c r="V172" i="123"/>
  <c r="S172" i="123" s="1"/>
  <c r="DL172" i="123"/>
  <c r="V298" i="123"/>
  <c r="S298" i="123" s="1"/>
  <c r="DK298" i="123"/>
  <c r="R298" i="123"/>
  <c r="EA298" i="123"/>
  <c r="DL298" i="123"/>
  <c r="DP286" i="123"/>
  <c r="W286" i="123"/>
  <c r="V166" i="123"/>
  <c r="S166" i="123" s="1"/>
  <c r="DK166" i="123"/>
  <c r="DL166" i="123"/>
  <c r="R166" i="123"/>
  <c r="EA166" i="123"/>
  <c r="DK154" i="123"/>
  <c r="V154" i="123"/>
  <c r="S154" i="123" s="1"/>
  <c r="R154" i="123"/>
  <c r="EA154" i="123"/>
  <c r="DL154" i="123"/>
  <c r="DK240" i="123"/>
  <c r="V240" i="123"/>
  <c r="S240" i="123" s="1"/>
  <c r="R240" i="123"/>
  <c r="EA240" i="123"/>
  <c r="DL240" i="123"/>
  <c r="AA236" i="123"/>
  <c r="T236" i="123"/>
  <c r="U236" i="123"/>
  <c r="DP277" i="123"/>
  <c r="W277" i="123"/>
  <c r="V185" i="123"/>
  <c r="S185" i="123" s="1"/>
  <c r="EA185" i="123"/>
  <c r="DL185" i="123"/>
  <c r="CD136" i="130"/>
  <c r="R185" i="123"/>
  <c r="DK185" i="123"/>
  <c r="DP203" i="123"/>
  <c r="DP254" i="123"/>
  <c r="W254" i="123"/>
  <c r="DP252" i="123"/>
  <c r="W252" i="123"/>
  <c r="DP242" i="123"/>
  <c r="W242" i="123"/>
  <c r="DP238" i="123"/>
  <c r="W238" i="123"/>
  <c r="DP239" i="123"/>
  <c r="W239" i="123"/>
  <c r="DP268" i="123"/>
  <c r="W268" i="123"/>
  <c r="DP249" i="123"/>
  <c r="W249" i="123"/>
  <c r="DK180" i="123"/>
  <c r="R180" i="123"/>
  <c r="V180" i="123"/>
  <c r="S180" i="123" s="1"/>
  <c r="CE141" i="130"/>
  <c r="DL180" i="123"/>
  <c r="EA180" i="123"/>
  <c r="DP295" i="123"/>
  <c r="W295" i="123"/>
  <c r="V187" i="123"/>
  <c r="S187" i="123" s="1"/>
  <c r="CD141" i="130"/>
  <c r="DL187" i="123"/>
  <c r="DK187" i="123"/>
  <c r="EA187" i="123"/>
  <c r="R187" i="123"/>
  <c r="DK288" i="123"/>
  <c r="V288" i="123"/>
  <c r="S288" i="123" s="1"/>
  <c r="R288" i="123"/>
  <c r="EA288" i="123"/>
  <c r="DL288" i="123"/>
  <c r="V284" i="123"/>
  <c r="S284" i="123" s="1"/>
  <c r="R284" i="123"/>
  <c r="DK284" i="123"/>
  <c r="EA284" i="123"/>
  <c r="DL284" i="123"/>
  <c r="V255" i="123"/>
  <c r="S255" i="123" s="1"/>
  <c r="DK255" i="123"/>
  <c r="R255" i="123"/>
  <c r="EA255" i="123"/>
  <c r="DL255" i="123"/>
  <c r="DP264" i="123"/>
  <c r="W264" i="123"/>
  <c r="DP262" i="123"/>
  <c r="W262" i="123"/>
  <c r="DP263" i="123"/>
  <c r="W263" i="123"/>
  <c r="V299" i="123"/>
  <c r="S299" i="123" s="1"/>
  <c r="R299" i="123"/>
  <c r="DK299" i="123"/>
  <c r="EA299" i="123"/>
  <c r="DL299" i="123"/>
  <c r="V270" i="123"/>
  <c r="S270" i="123" s="1"/>
  <c r="DK270" i="123"/>
  <c r="R270" i="123"/>
  <c r="EA270" i="123"/>
  <c r="DL270" i="123"/>
  <c r="DK279" i="123"/>
  <c r="V279" i="123"/>
  <c r="S279" i="123" s="1"/>
  <c r="R279" i="123"/>
  <c r="EA279" i="123"/>
  <c r="DL279" i="123"/>
  <c r="DP261" i="123"/>
  <c r="W261" i="123"/>
  <c r="DP302" i="123"/>
  <c r="W302" i="123"/>
  <c r="DP251" i="123"/>
  <c r="W251" i="123"/>
  <c r="DP283" i="123"/>
  <c r="W283" i="123"/>
  <c r="DP294" i="123"/>
  <c r="W294" i="123"/>
  <c r="DP245" i="123"/>
  <c r="W245" i="123"/>
  <c r="DP303" i="123"/>
  <c r="W303" i="123"/>
  <c r="DP285" i="123"/>
  <c r="W285" i="123"/>
  <c r="DP241" i="123"/>
  <c r="W241" i="123"/>
  <c r="DP246" i="123"/>
  <c r="W246" i="123"/>
  <c r="V297" i="123"/>
  <c r="S297" i="123" s="1"/>
  <c r="R297" i="123"/>
  <c r="DK297" i="123"/>
  <c r="EA297" i="123"/>
  <c r="DL297" i="123"/>
  <c r="C50" i="98"/>
  <c r="V144" i="123"/>
  <c r="S144" i="123" s="1"/>
  <c r="CC149" i="130"/>
  <c r="CA149" i="130"/>
  <c r="R144" i="123"/>
  <c r="DL144" i="123"/>
  <c r="EA144" i="123"/>
  <c r="V189" i="123"/>
  <c r="S189" i="123" s="1"/>
  <c r="DK189" i="123"/>
  <c r="R189" i="123"/>
  <c r="EA189" i="123"/>
  <c r="DL189" i="123"/>
  <c r="C49" i="98"/>
  <c r="DK265" i="123"/>
  <c r="V265" i="123"/>
  <c r="S265" i="123" s="1"/>
  <c r="R265" i="123"/>
  <c r="EA265" i="123"/>
  <c r="DL265" i="123"/>
  <c r="AA133" i="123"/>
  <c r="CC76" i="130"/>
  <c r="CE76" i="130"/>
  <c r="CG76" i="130"/>
  <c r="CD76" i="130"/>
  <c r="CH76" i="130"/>
  <c r="CF76" i="130"/>
  <c r="CG68" i="93"/>
  <c r="BW133" i="123"/>
  <c r="T133" i="123" s="1"/>
  <c r="CM68" i="93"/>
  <c r="CR68" i="93"/>
  <c r="CP68" i="93"/>
  <c r="CL68" i="93"/>
  <c r="CJ68" i="93"/>
  <c r="CS68" i="93"/>
  <c r="CK68" i="93"/>
  <c r="CN68" i="93"/>
  <c r="CO68" i="93"/>
  <c r="CQ68" i="93"/>
  <c r="CH68" i="93"/>
  <c r="U133" i="123"/>
  <c r="CF68" i="93"/>
  <c r="V257" i="123"/>
  <c r="S257" i="123" s="1"/>
  <c r="R257" i="123"/>
  <c r="DK257" i="123"/>
  <c r="EA257" i="123"/>
  <c r="DL257" i="123"/>
  <c r="DK301" i="123"/>
  <c r="R301" i="123"/>
  <c r="V301" i="123"/>
  <c r="S301" i="123" s="1"/>
  <c r="EA301" i="123"/>
  <c r="DL301" i="123"/>
  <c r="V229" i="123"/>
  <c r="S229" i="123" s="1"/>
  <c r="CB149" i="130"/>
  <c r="R229" i="123"/>
  <c r="DK229" i="123"/>
  <c r="EA229" i="123"/>
  <c r="DL229" i="123"/>
  <c r="V194" i="123"/>
  <c r="S194" i="123" s="1"/>
  <c r="S190" i="123" s="1"/>
  <c r="DK194" i="123"/>
  <c r="R194" i="123"/>
  <c r="EA194" i="123"/>
  <c r="DL194" i="123"/>
  <c r="AA205" i="123"/>
  <c r="BW205" i="123"/>
  <c r="T205" i="123" s="1"/>
  <c r="CA136" i="130" s="1"/>
  <c r="U205" i="123"/>
  <c r="C38" i="98" s="1"/>
  <c r="R204" i="123"/>
  <c r="V282" i="123"/>
  <c r="S282" i="123" s="1"/>
  <c r="DK282" i="123"/>
  <c r="R282" i="123"/>
  <c r="EA282" i="123"/>
  <c r="DL282" i="123"/>
  <c r="DK292" i="123"/>
  <c r="V292" i="123"/>
  <c r="S292" i="123" s="1"/>
  <c r="R292" i="123"/>
  <c r="EA292" i="123"/>
  <c r="DL292" i="123"/>
  <c r="V145" i="123"/>
  <c r="S145" i="123" s="1"/>
  <c r="CC150" i="130"/>
  <c r="CA150" i="130"/>
  <c r="DK145" i="123"/>
  <c r="EA145" i="123"/>
  <c r="DL145" i="123"/>
  <c r="V233" i="123"/>
  <c r="S233" i="123" s="1"/>
  <c r="DL233" i="123"/>
  <c r="B28" i="57"/>
  <c r="R233" i="123"/>
  <c r="DK233" i="123"/>
  <c r="EA233" i="123"/>
  <c r="V159" i="123"/>
  <c r="S159" i="123" s="1"/>
  <c r="EA159" i="123"/>
  <c r="R159" i="123"/>
  <c r="DK159" i="123"/>
  <c r="DL159" i="123"/>
  <c r="V181" i="123"/>
  <c r="S181" i="123" s="1"/>
  <c r="R181" i="123"/>
  <c r="DK181" i="123"/>
  <c r="CE142" i="130"/>
  <c r="EA181" i="123"/>
  <c r="DL181" i="123"/>
  <c r="V157" i="123"/>
  <c r="S157" i="123" s="1"/>
  <c r="EA157" i="123"/>
  <c r="DL157" i="123"/>
  <c r="DK157" i="123"/>
  <c r="R157" i="123"/>
  <c r="V234" i="123"/>
  <c r="S234" i="123" s="1"/>
  <c r="R234" i="123"/>
  <c r="DK234" i="123"/>
  <c r="EA234" i="123"/>
  <c r="DL234" i="123"/>
  <c r="V291" i="123"/>
  <c r="S291" i="123" s="1"/>
  <c r="DK291" i="123"/>
  <c r="R291" i="123"/>
  <c r="EA291" i="123"/>
  <c r="DL291" i="123"/>
  <c r="DK260" i="123"/>
  <c r="V260" i="123"/>
  <c r="S260" i="123" s="1"/>
  <c r="R260" i="123"/>
  <c r="EA260" i="123"/>
  <c r="DL260" i="123"/>
  <c r="DP256" i="123"/>
  <c r="W256" i="123"/>
  <c r="DP266" i="123"/>
  <c r="W266" i="123"/>
  <c r="DK146" i="123"/>
  <c r="DP273" i="123"/>
  <c r="W273" i="123"/>
  <c r="V148" i="123"/>
  <c r="S148" i="123" s="1"/>
  <c r="CC155" i="130"/>
  <c r="CA155" i="130"/>
  <c r="EA148" i="123"/>
  <c r="DL148" i="123"/>
  <c r="R148" i="123"/>
  <c r="DP290" i="123"/>
  <c r="W290" i="123"/>
  <c r="CH67" i="93"/>
  <c r="CN67" i="93"/>
  <c r="CM67" i="93"/>
  <c r="V177" i="123"/>
  <c r="S177" i="123" s="1"/>
  <c r="CE136" i="130"/>
  <c r="EA177" i="123"/>
  <c r="DL177" i="123"/>
  <c r="R177" i="123"/>
  <c r="CF75" i="130"/>
  <c r="DP134" i="123"/>
  <c r="V293" i="123"/>
  <c r="S293" i="123" s="1"/>
  <c r="R293" i="123"/>
  <c r="DK293" i="123"/>
  <c r="EA293" i="123"/>
  <c r="DL293" i="123"/>
  <c r="R225" i="123"/>
  <c r="R178" i="123"/>
  <c r="V136" i="123"/>
  <c r="S136" i="123" s="1"/>
  <c r="CC140" i="130"/>
  <c r="CA140" i="130"/>
  <c r="B40" i="98"/>
  <c r="EA136" i="123"/>
  <c r="R136" i="123"/>
  <c r="DL136" i="123"/>
  <c r="C41" i="98"/>
  <c r="V179" i="123"/>
  <c r="S179" i="123" s="1"/>
  <c r="DK179" i="123"/>
  <c r="CE140" i="130"/>
  <c r="DL179" i="123"/>
  <c r="EA179" i="123"/>
  <c r="R179" i="123"/>
  <c r="V280" i="123"/>
  <c r="S280" i="123" s="1"/>
  <c r="DK280" i="123"/>
  <c r="R280" i="123"/>
  <c r="EA280" i="123"/>
  <c r="DL280" i="123"/>
  <c r="R190" i="123"/>
  <c r="DP282" i="123"/>
  <c r="W282" i="123"/>
  <c r="DP292" i="123"/>
  <c r="W292" i="123"/>
  <c r="V153" i="123"/>
  <c r="S153" i="123" s="1"/>
  <c r="CC162" i="130"/>
  <c r="CA162" i="130"/>
  <c r="R153" i="123"/>
  <c r="DL153" i="123"/>
  <c r="EA153" i="123"/>
  <c r="R145" i="123"/>
  <c r="V277" i="123"/>
  <c r="S277" i="123" s="1"/>
  <c r="R277" i="123"/>
  <c r="DK277" i="123"/>
  <c r="EA277" i="123"/>
  <c r="DL277" i="123"/>
  <c r="V171" i="123"/>
  <c r="S171" i="123" s="1"/>
  <c r="DK171" i="123"/>
  <c r="R171" i="123"/>
  <c r="EA171" i="123"/>
  <c r="DL171" i="123"/>
  <c r="DP243" i="123"/>
  <c r="W243" i="123"/>
  <c r="DP209" i="123"/>
  <c r="W209" i="123"/>
  <c r="DP276" i="123"/>
  <c r="W276" i="123"/>
  <c r="DP275" i="123"/>
  <c r="W275" i="123"/>
  <c r="V203" i="123"/>
  <c r="S203" i="123" s="1"/>
  <c r="DK203" i="123"/>
  <c r="R203" i="123"/>
  <c r="EA203" i="123"/>
  <c r="DL203" i="123"/>
  <c r="V137" i="123"/>
  <c r="S137" i="123" s="1"/>
  <c r="CC141" i="130"/>
  <c r="CA141" i="130"/>
  <c r="DL137" i="123"/>
  <c r="R137" i="123"/>
  <c r="EA137" i="123"/>
  <c r="V249" i="123"/>
  <c r="S249" i="123" s="1"/>
  <c r="DK249" i="123"/>
  <c r="R249" i="123"/>
  <c r="EA249" i="123"/>
  <c r="DL249" i="123"/>
  <c r="V173" i="123"/>
  <c r="S173" i="123" s="1"/>
  <c r="EA173" i="123"/>
  <c r="R173" i="123"/>
  <c r="DK173" i="123"/>
  <c r="DL173" i="123"/>
  <c r="DP259" i="123"/>
  <c r="W259" i="123"/>
  <c r="DP237" i="123"/>
  <c r="W237" i="123"/>
  <c r="V186" i="123"/>
  <c r="S186" i="123" s="1"/>
  <c r="DK186" i="123"/>
  <c r="CD140" i="130"/>
  <c r="R186" i="123"/>
  <c r="EA186" i="123"/>
  <c r="DL186" i="123"/>
  <c r="DK287" i="123"/>
  <c r="R287" i="123"/>
  <c r="V287" i="123"/>
  <c r="S287" i="123" s="1"/>
  <c r="EA287" i="123"/>
  <c r="DL287" i="123"/>
  <c r="DK247" i="123"/>
  <c r="V247" i="123"/>
  <c r="S247" i="123" s="1"/>
  <c r="R247" i="123"/>
  <c r="EA247" i="123"/>
  <c r="DL247" i="123"/>
  <c r="V132" i="123"/>
  <c r="CB134" i="130"/>
  <c r="CA134" i="130"/>
  <c r="DL132" i="123"/>
  <c r="EA132" i="123"/>
  <c r="R132" i="123"/>
  <c r="V147" i="123"/>
  <c r="S147" i="123" s="1"/>
  <c r="CC154" i="130"/>
  <c r="CA154" i="130"/>
  <c r="R147" i="123"/>
  <c r="EA147" i="123"/>
  <c r="DL147" i="123"/>
  <c r="V139" i="123"/>
  <c r="S139" i="123" s="1"/>
  <c r="CC143" i="130"/>
  <c r="CA143" i="130"/>
  <c r="R139" i="123"/>
  <c r="EA139" i="123"/>
  <c r="DL139" i="123"/>
  <c r="V142" i="123"/>
  <c r="S142" i="123" s="1"/>
  <c r="CC147" i="130"/>
  <c r="CA147" i="130"/>
  <c r="EA142" i="123"/>
  <c r="DK142" i="123"/>
  <c r="DL142" i="123"/>
  <c r="DP291" i="123"/>
  <c r="W291" i="123"/>
  <c r="DP260" i="123"/>
  <c r="W260" i="123"/>
  <c r="V261" i="123"/>
  <c r="S261" i="123" s="1"/>
  <c r="DK261" i="123"/>
  <c r="R261" i="123"/>
  <c r="EA261" i="123"/>
  <c r="DL261" i="123"/>
  <c r="V245" i="123"/>
  <c r="S245" i="123" s="1"/>
  <c r="DK245" i="123"/>
  <c r="R245" i="123"/>
  <c r="EA245" i="123"/>
  <c r="DL245" i="123"/>
  <c r="V285" i="123"/>
  <c r="S285" i="123" s="1"/>
  <c r="DK285" i="123"/>
  <c r="R285" i="123"/>
  <c r="EA285" i="123"/>
  <c r="DL285" i="123"/>
  <c r="V241" i="123"/>
  <c r="S241" i="123" s="1"/>
  <c r="DK241" i="123"/>
  <c r="R241" i="123"/>
  <c r="EA241" i="123"/>
  <c r="DL241" i="123"/>
  <c r="V140" i="123"/>
  <c r="S140" i="123" s="1"/>
  <c r="CC144" i="130"/>
  <c r="CA144" i="130"/>
  <c r="R140" i="123"/>
  <c r="DL140" i="123"/>
  <c r="EA140" i="123"/>
  <c r="DK138" i="123"/>
  <c r="DK206" i="123"/>
  <c r="R206" i="123"/>
  <c r="V206" i="123"/>
  <c r="S206" i="123" s="1"/>
  <c r="EA206" i="123"/>
  <c r="DL206" i="123"/>
  <c r="V296" i="123"/>
  <c r="S296" i="123" s="1"/>
  <c r="DK296" i="123"/>
  <c r="R296" i="123"/>
  <c r="EA296" i="123"/>
  <c r="DL296" i="123"/>
  <c r="V184" i="123"/>
  <c r="S184" i="123" s="1"/>
  <c r="CD134" i="130"/>
  <c r="DK184" i="123"/>
  <c r="DL184" i="123"/>
  <c r="B50" i="98"/>
  <c r="R184" i="123"/>
  <c r="EA184" i="123"/>
  <c r="DK256" i="123"/>
  <c r="V256" i="123"/>
  <c r="S256" i="123" s="1"/>
  <c r="R256" i="123"/>
  <c r="EA256" i="123"/>
  <c r="DL256" i="123"/>
  <c r="V182" i="123"/>
  <c r="S182" i="123" s="1"/>
  <c r="R182" i="123"/>
  <c r="DK182" i="123"/>
  <c r="EA182" i="123"/>
  <c r="DL182" i="123"/>
  <c r="V188" i="123"/>
  <c r="S188" i="123" s="1"/>
  <c r="DL188" i="123"/>
  <c r="EA188" i="123"/>
  <c r="DK188" i="123"/>
  <c r="CD147" i="130"/>
  <c r="R188" i="123"/>
  <c r="V266" i="123"/>
  <c r="S266" i="123" s="1"/>
  <c r="DK266" i="123"/>
  <c r="R266" i="123"/>
  <c r="EA266" i="123"/>
  <c r="DL266" i="123"/>
  <c r="V176" i="123"/>
  <c r="S176" i="123" s="1"/>
  <c r="EA176" i="123"/>
  <c r="DK176" i="123"/>
  <c r="R176" i="123"/>
  <c r="B49" i="98"/>
  <c r="CE134" i="130"/>
  <c r="DL176" i="123"/>
  <c r="V235" i="123"/>
  <c r="S235" i="123" s="1"/>
  <c r="DK235" i="123"/>
  <c r="EA235" i="123"/>
  <c r="R235" i="123"/>
  <c r="DL235" i="123"/>
  <c r="V151" i="123"/>
  <c r="S151" i="123" s="1"/>
  <c r="CC159" i="130"/>
  <c r="CA159" i="130"/>
  <c r="DL151" i="123"/>
  <c r="R151" i="123"/>
  <c r="EA151" i="123"/>
  <c r="CC71" i="130"/>
  <c r="DP280" i="123"/>
  <c r="W280" i="123"/>
  <c r="DP253" i="123"/>
  <c r="W253" i="123"/>
  <c r="V289" i="123"/>
  <c r="S289" i="123" s="1"/>
  <c r="R289" i="123"/>
  <c r="DK289" i="123"/>
  <c r="EA289" i="123"/>
  <c r="DL289" i="123"/>
  <c r="V141" i="123"/>
  <c r="S141" i="123" s="1"/>
  <c r="CC146" i="130"/>
  <c r="CA146" i="130"/>
  <c r="R141" i="123"/>
  <c r="DL141" i="123"/>
  <c r="EA141" i="123"/>
  <c r="V209" i="123"/>
  <c r="S209" i="123" s="1"/>
  <c r="DK209" i="123"/>
  <c r="R209" i="123"/>
  <c r="EA209" i="123"/>
  <c r="DL209" i="123"/>
  <c r="DK275" i="123"/>
  <c r="R275" i="123"/>
  <c r="V275" i="123"/>
  <c r="S275" i="123" s="1"/>
  <c r="EA275" i="123"/>
  <c r="DL275" i="123"/>
  <c r="DP247" i="123"/>
  <c r="W247" i="123"/>
  <c r="V269" i="123"/>
  <c r="S269" i="123" s="1"/>
  <c r="DK269" i="123"/>
  <c r="R269" i="123"/>
  <c r="EA269" i="123"/>
  <c r="DL269" i="123"/>
  <c r="V146" i="123"/>
  <c r="S146" i="123" s="1"/>
  <c r="CC151" i="130"/>
  <c r="CA151" i="130"/>
  <c r="EA146" i="123"/>
  <c r="DL146" i="123"/>
  <c r="R146" i="123"/>
  <c r="DP200" i="123"/>
  <c r="W200" i="123"/>
  <c r="V273" i="123"/>
  <c r="S273" i="123" s="1"/>
  <c r="DK273" i="123"/>
  <c r="R273" i="123"/>
  <c r="EA273" i="123"/>
  <c r="DL273" i="123"/>
  <c r="DK228" i="123"/>
  <c r="CB148" i="130"/>
  <c r="R228" i="123"/>
  <c r="DL228" i="123"/>
  <c r="V228" i="123"/>
  <c r="S228" i="123" s="1"/>
  <c r="EA228" i="123"/>
  <c r="V250" i="123"/>
  <c r="S250" i="123" s="1"/>
  <c r="DK250" i="123"/>
  <c r="R250" i="123"/>
  <c r="EA250" i="123"/>
  <c r="DL250" i="123"/>
  <c r="DP248" i="123"/>
  <c r="W248" i="123"/>
  <c r="DP257" i="123"/>
  <c r="W257" i="123"/>
  <c r="DP301" i="123"/>
  <c r="W301" i="123"/>
  <c r="DP278" i="123"/>
  <c r="W278" i="123"/>
  <c r="DP304" i="123"/>
  <c r="W304" i="123"/>
  <c r="DK164" i="123"/>
  <c r="DL164" i="123"/>
  <c r="V164" i="123"/>
  <c r="S164" i="123" s="1"/>
  <c r="EA164" i="123"/>
  <c r="R164" i="123"/>
  <c r="DK244" i="123"/>
  <c r="V244" i="123"/>
  <c r="S244" i="123" s="1"/>
  <c r="R244" i="123"/>
  <c r="EA244" i="123"/>
  <c r="DL244" i="123"/>
  <c r="CL67" i="93"/>
  <c r="CP67" i="93"/>
  <c r="CG67" i="93"/>
  <c r="CC75" i="130"/>
  <c r="DK134" i="123"/>
  <c r="V161" i="123"/>
  <c r="S161" i="123" s="1"/>
  <c r="DL161" i="123"/>
  <c r="DK161" i="123"/>
  <c r="EA161" i="123"/>
  <c r="R161" i="123"/>
  <c r="C27" i="57"/>
  <c r="C51" i="98"/>
  <c r="C25" i="57"/>
  <c r="V178" i="123"/>
  <c r="S178" i="123" s="1"/>
  <c r="CE138" i="130"/>
  <c r="CA138" i="130"/>
  <c r="DK178" i="123"/>
  <c r="DL178" i="123"/>
  <c r="EA178" i="123"/>
  <c r="DP271" i="123"/>
  <c r="W271" i="123"/>
  <c r="DP274" i="123"/>
  <c r="W274" i="123"/>
  <c r="DP267" i="123"/>
  <c r="W267" i="123"/>
  <c r="DP300" i="123"/>
  <c r="W300" i="123"/>
  <c r="DP272" i="123"/>
  <c r="W272" i="123"/>
  <c r="DP258" i="123"/>
  <c r="W258" i="123"/>
  <c r="V152" i="123"/>
  <c r="S152" i="123" s="1"/>
  <c r="CC161" i="130"/>
  <c r="CA161" i="130"/>
  <c r="DL152" i="123"/>
  <c r="R152" i="123"/>
  <c r="EA152" i="123"/>
  <c r="V156" i="123"/>
  <c r="S156" i="123" s="1"/>
  <c r="B41" i="98"/>
  <c r="DK156" i="123"/>
  <c r="R156" i="123"/>
  <c r="EA156" i="123"/>
  <c r="DL156" i="123"/>
  <c r="DP298" i="123"/>
  <c r="W298" i="123"/>
  <c r="DP289" i="123"/>
  <c r="W289" i="123"/>
  <c r="V286" i="123"/>
  <c r="S286" i="123" s="1"/>
  <c r="DK286" i="123"/>
  <c r="R286" i="123"/>
  <c r="EA286" i="123"/>
  <c r="DL286" i="123"/>
  <c r="V150" i="123"/>
  <c r="S150" i="123" s="1"/>
  <c r="CC158" i="130"/>
  <c r="CA158" i="130"/>
  <c r="R150" i="123"/>
  <c r="DL150" i="123"/>
  <c r="EA150" i="123"/>
  <c r="DK149" i="123"/>
  <c r="DP240" i="123"/>
  <c r="W240" i="123"/>
  <c r="C28" i="57"/>
  <c r="EA167" i="123"/>
  <c r="DK167" i="123"/>
  <c r="R167" i="123"/>
  <c r="V167" i="123"/>
  <c r="S167" i="123" s="1"/>
  <c r="DL167" i="123"/>
  <c r="V254" i="123"/>
  <c r="S254" i="123" s="1"/>
  <c r="R254" i="123"/>
  <c r="DK254" i="123"/>
  <c r="EA254" i="123"/>
  <c r="DL254" i="123"/>
  <c r="V165" i="123"/>
  <c r="S165" i="123" s="1"/>
  <c r="DL165" i="123"/>
  <c r="EA165" i="123"/>
  <c r="R165" i="123"/>
  <c r="DK165" i="123"/>
  <c r="V252" i="123"/>
  <c r="S252" i="123" s="1"/>
  <c r="DK252" i="123"/>
  <c r="R252" i="123"/>
  <c r="EA252" i="123"/>
  <c r="DL252" i="123"/>
  <c r="DK242" i="123"/>
  <c r="V242" i="123"/>
  <c r="S242" i="123" s="1"/>
  <c r="R242" i="123"/>
  <c r="EA242" i="123"/>
  <c r="DL242" i="123"/>
  <c r="DK238" i="123"/>
  <c r="R238" i="123"/>
  <c r="V238" i="123"/>
  <c r="S238" i="123" s="1"/>
  <c r="EA238" i="123"/>
  <c r="DL238" i="123"/>
  <c r="V239" i="123"/>
  <c r="S239" i="123" s="1"/>
  <c r="R239" i="123"/>
  <c r="DK239" i="123"/>
  <c r="EA239" i="123"/>
  <c r="DL239" i="123"/>
  <c r="V268" i="123"/>
  <c r="S268" i="123" s="1"/>
  <c r="DK268" i="123"/>
  <c r="R268" i="123"/>
  <c r="EA268" i="123"/>
  <c r="DL268" i="123"/>
  <c r="DK237" i="123"/>
  <c r="R237" i="123"/>
  <c r="V237" i="123"/>
  <c r="S237" i="123" s="1"/>
  <c r="EA237" i="123"/>
  <c r="DL237" i="123"/>
  <c r="V230" i="123"/>
  <c r="S230" i="123" s="1"/>
  <c r="R230" i="123"/>
  <c r="DK230" i="123"/>
  <c r="EA230" i="123"/>
  <c r="DL230" i="123"/>
  <c r="CB159" i="130"/>
  <c r="DK295" i="123"/>
  <c r="V295" i="123"/>
  <c r="S295" i="123" s="1"/>
  <c r="R295" i="123"/>
  <c r="EA295" i="123"/>
  <c r="DL295" i="123"/>
  <c r="V168" i="123"/>
  <c r="S168" i="123" s="1"/>
  <c r="DL168" i="123"/>
  <c r="DK168" i="123"/>
  <c r="R168" i="123"/>
  <c r="EA168" i="123"/>
  <c r="V170" i="123"/>
  <c r="S170" i="123" s="1"/>
  <c r="DL170" i="123"/>
  <c r="DK170" i="123"/>
  <c r="R170" i="123"/>
  <c r="EA170" i="123"/>
  <c r="DP288" i="123"/>
  <c r="W288" i="123"/>
  <c r="DP284" i="123"/>
  <c r="W284" i="123"/>
  <c r="DP269" i="123"/>
  <c r="W269" i="123"/>
  <c r="DP255" i="123"/>
  <c r="W255" i="123"/>
  <c r="V264" i="123"/>
  <c r="S264" i="123" s="1"/>
  <c r="DK264" i="123"/>
  <c r="R264" i="123"/>
  <c r="EA264" i="123"/>
  <c r="DL264" i="123"/>
  <c r="V262" i="123"/>
  <c r="S262" i="123" s="1"/>
  <c r="R262" i="123"/>
  <c r="DK262" i="123"/>
  <c r="EA262" i="123"/>
  <c r="DL262" i="123"/>
  <c r="DK263" i="123"/>
  <c r="R263" i="123"/>
  <c r="V263" i="123"/>
  <c r="S263" i="123" s="1"/>
  <c r="EA263" i="123"/>
  <c r="DL263" i="123"/>
  <c r="V143" i="123"/>
  <c r="S143" i="123" s="1"/>
  <c r="CC148" i="130"/>
  <c r="CA148" i="130"/>
  <c r="R143" i="123"/>
  <c r="EA143" i="123"/>
  <c r="DL143" i="123"/>
  <c r="DP299" i="123"/>
  <c r="W299" i="123"/>
  <c r="DP270" i="123"/>
  <c r="W270" i="123"/>
  <c r="DP279" i="123"/>
  <c r="W279" i="123"/>
  <c r="V163" i="123"/>
  <c r="S163" i="123" s="1"/>
  <c r="DK163" i="123"/>
  <c r="EA163" i="123"/>
  <c r="DL163" i="123"/>
  <c r="R163" i="123"/>
  <c r="DK302" i="123"/>
  <c r="V302" i="123"/>
  <c r="S302" i="123" s="1"/>
  <c r="R302" i="123"/>
  <c r="EA302" i="123"/>
  <c r="DL302" i="123"/>
  <c r="V251" i="123"/>
  <c r="S251" i="123" s="1"/>
  <c r="DK251" i="123"/>
  <c r="R251" i="123"/>
  <c r="EA251" i="123"/>
  <c r="DL251" i="123"/>
  <c r="V283" i="123"/>
  <c r="S283" i="123" s="1"/>
  <c r="DK283" i="123"/>
  <c r="R283" i="123"/>
  <c r="EA283" i="123"/>
  <c r="DL283" i="123"/>
  <c r="V294" i="123"/>
  <c r="S294" i="123" s="1"/>
  <c r="R294" i="123"/>
  <c r="DK294" i="123"/>
  <c r="EA294" i="123"/>
  <c r="DL294" i="123"/>
  <c r="V303" i="123"/>
  <c r="S303" i="123" s="1"/>
  <c r="DK303" i="123"/>
  <c r="R303" i="123"/>
  <c r="EA303" i="123"/>
  <c r="DL303" i="123"/>
  <c r="V246" i="123"/>
  <c r="S246" i="123" s="1"/>
  <c r="DK246" i="123"/>
  <c r="R246" i="123"/>
  <c r="EA246" i="123"/>
  <c r="DL246" i="123"/>
  <c r="CD71" i="130"/>
  <c r="CE71" i="130"/>
  <c r="JK141" i="1"/>
  <c r="I58" i="98" l="1"/>
  <c r="I62" i="98"/>
  <c r="S132" i="123"/>
  <c r="I52" i="98"/>
  <c r="S183" i="123"/>
  <c r="S226" i="123"/>
  <c r="S135" i="123"/>
  <c r="S225" i="123"/>
  <c r="S155" i="123"/>
  <c r="S175" i="123"/>
  <c r="DQ239" i="123"/>
  <c r="DQ238" i="123"/>
  <c r="DQ275" i="123"/>
  <c r="DQ285" i="123"/>
  <c r="DQ302" i="123"/>
  <c r="DQ262" i="123"/>
  <c r="DQ246" i="123"/>
  <c r="DQ249" i="123"/>
  <c r="DQ242" i="123"/>
  <c r="DQ254" i="123"/>
  <c r="DQ209" i="123"/>
  <c r="DQ182" i="123"/>
  <c r="DQ245" i="123"/>
  <c r="DQ277" i="123"/>
  <c r="DQ293" i="123"/>
  <c r="DQ266" i="123"/>
  <c r="DQ273" i="123"/>
  <c r="DQ283" i="123"/>
  <c r="DQ250" i="123"/>
  <c r="DQ174" i="123"/>
  <c r="DQ189" i="123"/>
  <c r="DQ297" i="123"/>
  <c r="DQ206" i="123"/>
  <c r="DQ244" i="123"/>
  <c r="DQ154" i="123"/>
  <c r="DQ263" i="123"/>
  <c r="DQ237" i="123"/>
  <c r="DQ251" i="123"/>
  <c r="DQ303" i="123"/>
  <c r="DQ256" i="123"/>
  <c r="DQ194" i="123"/>
  <c r="DQ190" i="123" s="1"/>
  <c r="DQ296" i="123"/>
  <c r="DQ291" i="123"/>
  <c r="DQ240" i="123"/>
  <c r="DQ290" i="123"/>
  <c r="DQ292" i="123"/>
  <c r="I49" i="98"/>
  <c r="DQ300" i="123"/>
  <c r="DQ200" i="123"/>
  <c r="DQ294" i="123"/>
  <c r="DQ295" i="123"/>
  <c r="DQ286" i="123"/>
  <c r="I41" i="98"/>
  <c r="DQ268" i="123"/>
  <c r="DQ252" i="123"/>
  <c r="DQ241" i="123"/>
  <c r="DQ203" i="123"/>
  <c r="DQ260" i="123"/>
  <c r="V205" i="123"/>
  <c r="S205" i="123" s="1"/>
  <c r="S204" i="123" s="1"/>
  <c r="B38" i="98"/>
  <c r="EA205" i="123"/>
  <c r="DK205" i="123"/>
  <c r="CB136" i="130"/>
  <c r="R205" i="123"/>
  <c r="DL205" i="123"/>
  <c r="DQ301" i="123"/>
  <c r="DQ270" i="123"/>
  <c r="DQ284" i="123"/>
  <c r="DQ288" i="123"/>
  <c r="DQ258" i="123"/>
  <c r="DQ272" i="123"/>
  <c r="DQ274" i="123"/>
  <c r="DQ248" i="123"/>
  <c r="I50" i="98"/>
  <c r="DQ264" i="123"/>
  <c r="DQ269" i="123"/>
  <c r="DQ289" i="123"/>
  <c r="DQ247" i="123"/>
  <c r="DQ287" i="123"/>
  <c r="DQ280" i="123"/>
  <c r="DQ282" i="123"/>
  <c r="DK133" i="123"/>
  <c r="C39" i="98"/>
  <c r="V133" i="123"/>
  <c r="S133" i="123" s="1"/>
  <c r="CB137" i="130"/>
  <c r="B39" i="98"/>
  <c r="CA137" i="130"/>
  <c r="R133" i="123"/>
  <c r="EA133" i="123"/>
  <c r="DL133" i="123"/>
  <c r="DQ265" i="123"/>
  <c r="DQ299" i="123"/>
  <c r="V236" i="123"/>
  <c r="S236" i="123" s="1"/>
  <c r="R236" i="123"/>
  <c r="DK236" i="123"/>
  <c r="EA236" i="123"/>
  <c r="DL236" i="123"/>
  <c r="DQ253" i="123"/>
  <c r="DQ281" i="123"/>
  <c r="DQ243" i="123"/>
  <c r="I51" i="98"/>
  <c r="DQ279" i="123"/>
  <c r="DQ278" i="123"/>
  <c r="DQ261" i="123"/>
  <c r="I40" i="98"/>
  <c r="DQ257" i="123"/>
  <c r="DQ255" i="123"/>
  <c r="DQ298" i="123"/>
  <c r="DQ267" i="123"/>
  <c r="DQ271" i="123"/>
  <c r="DQ304" i="123"/>
  <c r="DQ259" i="123"/>
  <c r="DQ276" i="123"/>
  <c r="DQ134" i="123"/>
  <c r="JF141" i="1"/>
  <c r="I38" i="98" l="1"/>
  <c r="I39" i="98"/>
  <c r="JM141" i="1"/>
  <c r="JL141" i="1"/>
  <c r="JE141" i="1"/>
  <c r="JN141" i="1" l="1"/>
  <c r="JD141" i="1" l="1"/>
  <c r="JO141" i="1" l="1"/>
  <c r="JC141" i="1"/>
  <c r="JP141" i="1" l="1"/>
  <c r="FY171" i="1" l="1" a="1"/>
  <c r="GA171" i="1" a="1"/>
  <c r="JB141" i="1"/>
  <c r="FZ171" i="1" l="1"/>
  <c r="GA171" i="1"/>
  <c r="GO41" i="1"/>
  <c r="LO15" i="93" s="1"/>
  <c r="GO42" i="1"/>
  <c r="KS14" i="93" s="1"/>
  <c r="KS15" i="93" s="1"/>
  <c r="FY171" i="1"/>
  <c r="JQ141" i="1"/>
  <c r="KW18" i="93" l="1"/>
  <c r="LA18" i="93"/>
  <c r="KX18" i="93"/>
  <c r="LB18" i="93"/>
  <c r="KU18" i="93"/>
  <c r="KY18" i="93"/>
  <c r="KV18" i="93"/>
  <c r="KZ18" i="93"/>
  <c r="KT18" i="93"/>
  <c r="LO16" i="93"/>
  <c r="JA141" i="1"/>
  <c r="LP18" i="93" l="1"/>
  <c r="LT18" i="93"/>
  <c r="LX18" i="93"/>
  <c r="LQ18" i="93"/>
  <c r="LU18" i="93"/>
  <c r="LR18" i="93"/>
  <c r="LV18" i="93"/>
  <c r="LS18" i="93"/>
  <c r="LW18" i="93"/>
  <c r="JR141" i="1"/>
  <c r="IZ141" i="1" l="1"/>
  <c r="JT141" i="1" l="1"/>
  <c r="JS141" i="1"/>
  <c r="IY141" i="1"/>
  <c r="JU141" i="1" l="1"/>
  <c r="JV141" i="1"/>
  <c r="JW141" i="1" l="1"/>
  <c r="IX141" i="1"/>
  <c r="JX141" i="1" l="1"/>
  <c r="IW141" i="1"/>
  <c r="JY141" i="1" l="1"/>
  <c r="JZ141" i="1" l="1"/>
  <c r="IV141" i="1"/>
  <c r="KA141" i="1" l="1"/>
  <c r="IU141" i="1"/>
  <c r="KB141" i="1" l="1"/>
  <c r="IT141" i="1"/>
  <c r="KC141" i="1" l="1"/>
  <c r="KD141" i="1" l="1"/>
  <c r="IS141" i="1"/>
  <c r="KE141" i="1" l="1"/>
  <c r="IR141" i="1"/>
  <c r="KF141" i="1" l="1"/>
  <c r="KG141" i="1" l="1"/>
  <c r="IQ141" i="1"/>
  <c r="KH141" i="1" l="1"/>
  <c r="KI141" i="1" l="1"/>
  <c r="IP141" i="1"/>
  <c r="KJ141" i="1" l="1"/>
  <c r="KK141" i="1" l="1"/>
  <c r="IO141" i="1"/>
  <c r="KL141" i="1" l="1"/>
  <c r="IN141" i="1"/>
  <c r="KM141" i="1" l="1"/>
  <c r="IM141" i="1"/>
  <c r="KN141" i="1" l="1"/>
  <c r="KO141" i="1" l="1"/>
  <c r="KP141" i="1" l="1"/>
  <c r="KQ141" i="1" l="1"/>
  <c r="KR141" i="1" l="1"/>
  <c r="KS141" i="1" l="1"/>
  <c r="KT141" i="1" l="1"/>
  <c r="KU141" i="1" l="1"/>
  <c r="KV141" i="1" l="1"/>
  <c r="KW141" i="1"/>
  <c r="AE173" i="1" l="1"/>
  <c r="BX173" i="1" l="1"/>
  <c r="AR173" i="1"/>
  <c r="BW173" i="1"/>
  <c r="AU173" i="1"/>
  <c r="BV173" i="1"/>
  <c r="AT173" i="1"/>
  <c r="BY173" i="1"/>
  <c r="BU173" i="1"/>
  <c r="AW173" i="1"/>
  <c r="AS173" i="1"/>
  <c r="AO173" i="1"/>
  <c r="CB173" i="1"/>
  <c r="BT173" i="1"/>
  <c r="AV173" i="1"/>
  <c r="CA173" i="1"/>
  <c r="BS173" i="1"/>
  <c r="AQ173" i="1"/>
  <c r="BZ173" i="1"/>
  <c r="AX173" i="1"/>
  <c r="AP173" i="1"/>
  <c r="CO173" i="1"/>
  <c r="CP173" i="1"/>
  <c r="CT173" i="1"/>
  <c r="CW173" i="1"/>
  <c r="CX173" i="1" s="1"/>
  <c r="U173" i="1"/>
  <c r="T173" i="1"/>
  <c r="CU173" i="1"/>
  <c r="FQ173" i="1"/>
  <c r="KX141" i="1"/>
  <c r="EP7" i="1" l="1"/>
  <c r="FU108" i="1" s="1"/>
  <c r="EN7" i="1"/>
  <c r="FU110" i="1" s="1"/>
  <c r="EO7" i="1"/>
  <c r="FU109" i="1" s="1"/>
  <c r="EP16" i="1"/>
  <c r="EO16" i="1"/>
  <c r="EN16" i="1"/>
  <c r="CY173" i="1"/>
  <c r="CO71" i="130"/>
  <c r="CQ71" i="130"/>
  <c r="CP71" i="130"/>
  <c r="AF55" i="98"/>
  <c r="AI55" i="98" s="1"/>
  <c r="KY141" i="1"/>
  <c r="FN173" i="1"/>
  <c r="GT109" i="1" l="1"/>
  <c r="GU109" i="1"/>
  <c r="HC109" i="1"/>
  <c r="HA109" i="1"/>
  <c r="HB109" i="1"/>
  <c r="GV109" i="1"/>
  <c r="GZ109" i="1"/>
  <c r="HD109" i="1"/>
  <c r="HE109" i="1"/>
  <c r="GX109" i="1"/>
  <c r="GW109" i="1"/>
  <c r="GY109" i="1"/>
  <c r="GT110" i="1"/>
  <c r="HB110" i="1"/>
  <c r="GU110" i="1"/>
  <c r="GW110" i="1"/>
  <c r="GV110" i="1"/>
  <c r="HA110" i="1"/>
  <c r="GX110" i="1"/>
  <c r="HC110" i="1"/>
  <c r="HE110" i="1"/>
  <c r="GZ110" i="1"/>
  <c r="HD110" i="1"/>
  <c r="GY110" i="1"/>
  <c r="GT108" i="1"/>
  <c r="GV108" i="1"/>
  <c r="GX108" i="1"/>
  <c r="HB108" i="1"/>
  <c r="GY108" i="1"/>
  <c r="HC108" i="1"/>
  <c r="GZ108" i="1"/>
  <c r="HD108" i="1"/>
  <c r="GW108" i="1"/>
  <c r="HE108" i="1"/>
  <c r="GU108" i="1"/>
  <c r="HA108" i="1"/>
  <c r="EP159" i="1"/>
  <c r="BS96" i="93"/>
  <c r="CW96" i="93" s="1"/>
  <c r="IE96" i="93" s="1"/>
  <c r="GX96" i="93" s="1"/>
  <c r="EN69" i="1"/>
  <c r="BW94" i="93" s="1"/>
  <c r="DA94" i="93" s="1"/>
  <c r="LF94" i="93" s="1"/>
  <c r="EN36" i="1"/>
  <c r="AC94" i="93" s="1"/>
  <c r="EO73" i="1"/>
  <c r="CA95" i="93" s="1"/>
  <c r="DE95" i="93" s="1"/>
  <c r="LJ95" i="93" s="1"/>
  <c r="EP72" i="1"/>
  <c r="BZ96" i="93" s="1"/>
  <c r="DD96" i="93" s="1"/>
  <c r="LI96" i="93" s="1"/>
  <c r="EP73" i="1"/>
  <c r="CA96" i="93" s="1"/>
  <c r="DE96" i="93" s="1"/>
  <c r="LJ96" i="93" s="1"/>
  <c r="EN76" i="1"/>
  <c r="CD94" i="93" s="1"/>
  <c r="DH94" i="93" s="1"/>
  <c r="LM94" i="93" s="1"/>
  <c r="EN38" i="1"/>
  <c r="AE94" i="93" s="1"/>
  <c r="EO40" i="1"/>
  <c r="AG95" i="93" s="1"/>
  <c r="EP70" i="1"/>
  <c r="BX96" i="93" s="1"/>
  <c r="DB96" i="93" s="1"/>
  <c r="LG96" i="93" s="1"/>
  <c r="EP43" i="1"/>
  <c r="AJ96" i="93" s="1"/>
  <c r="EN70" i="1"/>
  <c r="BX94" i="93" s="1"/>
  <c r="DB94" i="93" s="1"/>
  <c r="LG94" i="93" s="1"/>
  <c r="EN6" i="1"/>
  <c r="EN4" i="1" s="1"/>
  <c r="EO6" i="1"/>
  <c r="EO4" i="1" s="1"/>
  <c r="EO67" i="1"/>
  <c r="BU95" i="93" s="1"/>
  <c r="CY95" i="93" s="1"/>
  <c r="LD95" i="93" s="1"/>
  <c r="EP68" i="1"/>
  <c r="BV96" i="93" s="1"/>
  <c r="CZ96" i="93" s="1"/>
  <c r="LE96" i="93" s="1"/>
  <c r="EP41" i="1"/>
  <c r="AH96" i="93" s="1"/>
  <c r="EN43" i="1"/>
  <c r="AJ94" i="93" s="1"/>
  <c r="EN40" i="1"/>
  <c r="AG94" i="93" s="1"/>
  <c r="EO75" i="1"/>
  <c r="CC95" i="93" s="1"/>
  <c r="DG95" i="93" s="1"/>
  <c r="LL95" i="93" s="1"/>
  <c r="EO70" i="1"/>
  <c r="BX95" i="93" s="1"/>
  <c r="DB95" i="93" s="1"/>
  <c r="LG95" i="93" s="1"/>
  <c r="EP69" i="1"/>
  <c r="BW96" i="93" s="1"/>
  <c r="DA96" i="93" s="1"/>
  <c r="LF96" i="93" s="1"/>
  <c r="EP35" i="1"/>
  <c r="AB96" i="93" s="1"/>
  <c r="EN41" i="1"/>
  <c r="AH94" i="93" s="1"/>
  <c r="EN68" i="1"/>
  <c r="BV94" i="93" s="1"/>
  <c r="CZ94" i="93" s="1"/>
  <c r="LE94" i="93" s="1"/>
  <c r="EO72" i="1"/>
  <c r="BZ95" i="93" s="1"/>
  <c r="DD95" i="93" s="1"/>
  <c r="LI95" i="93" s="1"/>
  <c r="EO41" i="1"/>
  <c r="AH95" i="93" s="1"/>
  <c r="EP67" i="1"/>
  <c r="BU96" i="93" s="1"/>
  <c r="CY96" i="93" s="1"/>
  <c r="LD96" i="93" s="1"/>
  <c r="EP37" i="1"/>
  <c r="AD96" i="93" s="1"/>
  <c r="EN39" i="1"/>
  <c r="AF94" i="93" s="1"/>
  <c r="EN34" i="1"/>
  <c r="AA94" i="93" s="1"/>
  <c r="EO15" i="1"/>
  <c r="BQ95" i="93" s="1"/>
  <c r="CU95" i="93" s="1"/>
  <c r="EO35" i="1"/>
  <c r="AB95" i="93" s="1"/>
  <c r="EP42" i="1"/>
  <c r="AI96" i="93" s="1"/>
  <c r="EP39" i="1"/>
  <c r="AF96" i="93" s="1"/>
  <c r="EN37" i="1"/>
  <c r="AD94" i="93" s="1"/>
  <c r="EO71" i="1"/>
  <c r="BY95" i="93" s="1"/>
  <c r="DC95" i="93" s="1"/>
  <c r="LH95" i="93" s="1"/>
  <c r="EO74" i="1"/>
  <c r="CB95" i="93" s="1"/>
  <c r="DF95" i="93" s="1"/>
  <c r="LK95" i="93" s="1"/>
  <c r="EP40" i="1"/>
  <c r="AG96" i="93" s="1"/>
  <c r="EP71" i="1"/>
  <c r="BY96" i="93" s="1"/>
  <c r="DC96" i="93" s="1"/>
  <c r="LH96" i="93" s="1"/>
  <c r="EN35" i="1"/>
  <c r="AB94" i="93" s="1"/>
  <c r="EO68" i="1"/>
  <c r="BV95" i="93" s="1"/>
  <c r="CZ95" i="93" s="1"/>
  <c r="LE95" i="93" s="1"/>
  <c r="EO37" i="1"/>
  <c r="AD95" i="93" s="1"/>
  <c r="EP38" i="1"/>
  <c r="AE96" i="93" s="1"/>
  <c r="EP75" i="1"/>
  <c r="CC96" i="93" s="1"/>
  <c r="DG96" i="93" s="1"/>
  <c r="LL96" i="93" s="1"/>
  <c r="EN15" i="1"/>
  <c r="BQ94" i="93" s="1"/>
  <c r="CU94" i="93" s="1"/>
  <c r="EN74" i="1"/>
  <c r="CB94" i="93" s="1"/>
  <c r="DF94" i="93" s="1"/>
  <c r="LK94" i="93" s="1"/>
  <c r="EO69" i="1"/>
  <c r="BW95" i="93" s="1"/>
  <c r="DA95" i="93" s="1"/>
  <c r="LF95" i="93" s="1"/>
  <c r="EO34" i="1"/>
  <c r="AA95" i="93" s="1"/>
  <c r="EP36" i="1"/>
  <c r="AC96" i="93" s="1"/>
  <c r="EN75" i="1"/>
  <c r="CC94" i="93" s="1"/>
  <c r="DG94" i="93" s="1"/>
  <c r="LL94" i="93" s="1"/>
  <c r="EN67" i="1"/>
  <c r="BU94" i="93" s="1"/>
  <c r="CY94" i="93" s="1"/>
  <c r="LD94" i="93" s="1"/>
  <c r="EO42" i="1"/>
  <c r="AI95" i="93" s="1"/>
  <c r="EO39" i="1"/>
  <c r="AF95" i="93" s="1"/>
  <c r="EP34" i="1"/>
  <c r="AA96" i="93" s="1"/>
  <c r="EP6" i="1"/>
  <c r="EP4" i="1" s="1"/>
  <c r="EN73" i="1"/>
  <c r="CA94" i="93" s="1"/>
  <c r="DE94" i="93" s="1"/>
  <c r="LJ94" i="93" s="1"/>
  <c r="EN42" i="1"/>
  <c r="AI94" i="93" s="1"/>
  <c r="EO38" i="1"/>
  <c r="AE95" i="93" s="1"/>
  <c r="EO36" i="1"/>
  <c r="AC95" i="93" s="1"/>
  <c r="EP15" i="1"/>
  <c r="BQ96" i="93" s="1"/>
  <c r="CU96" i="93" s="1"/>
  <c r="EP74" i="1"/>
  <c r="CB96" i="93" s="1"/>
  <c r="DF96" i="93" s="1"/>
  <c r="LK96" i="93" s="1"/>
  <c r="EN71" i="1"/>
  <c r="BY94" i="93" s="1"/>
  <c r="DC94" i="93" s="1"/>
  <c r="LH94" i="93" s="1"/>
  <c r="EN72" i="1"/>
  <c r="BZ94" i="93" s="1"/>
  <c r="DD94" i="93" s="1"/>
  <c r="LI94" i="93" s="1"/>
  <c r="EO76" i="1"/>
  <c r="CD95" i="93" s="1"/>
  <c r="DH95" i="93" s="1"/>
  <c r="LM95" i="93" s="1"/>
  <c r="EO43" i="1"/>
  <c r="AJ95" i="93" s="1"/>
  <c r="EP76" i="1"/>
  <c r="CD96" i="93" s="1"/>
  <c r="DH96" i="93" s="1"/>
  <c r="LM96" i="93" s="1"/>
  <c r="EN159" i="1"/>
  <c r="BS94" i="93"/>
  <c r="CW94" i="93" s="1"/>
  <c r="IE94" i="93" s="1"/>
  <c r="GX94" i="93" s="1"/>
  <c r="EO159" i="1"/>
  <c r="BS95" i="93"/>
  <c r="CW95" i="93" s="1"/>
  <c r="IE95" i="93" s="1"/>
  <c r="GX95" i="93" s="1"/>
  <c r="D32" i="93"/>
  <c r="L32" i="93" s="1"/>
  <c r="D33" i="93"/>
  <c r="I85" i="71"/>
  <c r="Q93" i="98"/>
  <c r="Q91" i="98"/>
  <c r="Q89" i="98"/>
  <c r="Q87" i="98"/>
  <c r="Q85" i="98"/>
  <c r="Q83" i="98"/>
  <c r="Q81" i="98"/>
  <c r="Q79" i="98"/>
  <c r="Q77" i="98"/>
  <c r="Q75" i="98"/>
  <c r="Q73" i="98"/>
  <c r="Q71" i="98"/>
  <c r="Q69" i="98"/>
  <c r="Q67" i="98"/>
  <c r="Q65" i="98"/>
  <c r="Q63" i="98"/>
  <c r="Q92" i="98"/>
  <c r="Q88" i="98"/>
  <c r="Q82" i="98"/>
  <c r="Q78" i="98"/>
  <c r="Q74" i="98"/>
  <c r="Q70" i="98"/>
  <c r="Q66" i="98"/>
  <c r="V93" i="98"/>
  <c r="V89" i="98"/>
  <c r="V87" i="98"/>
  <c r="V83" i="98"/>
  <c r="V79" i="98"/>
  <c r="V75" i="98"/>
  <c r="V73" i="98"/>
  <c r="V69" i="98"/>
  <c r="V65" i="98"/>
  <c r="V94" i="98"/>
  <c r="V92" i="98"/>
  <c r="V90" i="98"/>
  <c r="V88" i="98"/>
  <c r="V86" i="98"/>
  <c r="V84" i="98"/>
  <c r="V82" i="98"/>
  <c r="V80" i="98"/>
  <c r="V78" i="98"/>
  <c r="V76" i="98"/>
  <c r="V74" i="98"/>
  <c r="V72" i="98"/>
  <c r="V70" i="98"/>
  <c r="V68" i="98"/>
  <c r="V66" i="98"/>
  <c r="V64" i="98"/>
  <c r="V62" i="98"/>
  <c r="Q94" i="98"/>
  <c r="Q90" i="98"/>
  <c r="Q86" i="98"/>
  <c r="Q84" i="98"/>
  <c r="Q80" i="98"/>
  <c r="Q76" i="98"/>
  <c r="Q72" i="98"/>
  <c r="Q68" i="98"/>
  <c r="Q64" i="98"/>
  <c r="V91" i="98"/>
  <c r="V85" i="98"/>
  <c r="V81" i="98"/>
  <c r="V77" i="98"/>
  <c r="V71" i="98"/>
  <c r="V67" i="98"/>
  <c r="V63" i="98"/>
  <c r="AF63" i="98"/>
  <c r="AF62" i="98"/>
  <c r="AI62" i="98" s="1"/>
  <c r="AF74" i="98"/>
  <c r="AE62" i="98"/>
  <c r="AH62" i="98" s="1"/>
  <c r="AE57" i="98"/>
  <c r="AH57" i="98" s="1"/>
  <c r="AF54" i="98"/>
  <c r="AI54" i="98" s="1"/>
  <c r="AE73" i="98"/>
  <c r="AE86" i="98"/>
  <c r="AE68" i="98"/>
  <c r="AE83" i="98"/>
  <c r="AF73" i="98"/>
  <c r="AF80" i="98"/>
  <c r="AF69" i="98"/>
  <c r="AE87" i="98"/>
  <c r="AE75" i="98"/>
  <c r="AE89" i="98"/>
  <c r="AF64" i="98"/>
  <c r="AE84" i="98"/>
  <c r="AE79" i="98"/>
  <c r="AF78" i="98"/>
  <c r="AF90" i="98"/>
  <c r="AF66" i="98"/>
  <c r="AE91" i="98"/>
  <c r="AF70" i="98"/>
  <c r="AE74" i="98"/>
  <c r="AF77" i="98"/>
  <c r="AE93" i="98"/>
  <c r="AE77" i="98"/>
  <c r="AE61" i="98"/>
  <c r="AH61" i="98" s="1"/>
  <c r="AF84" i="98"/>
  <c r="AF68" i="98"/>
  <c r="AE94" i="98"/>
  <c r="AE66" i="98"/>
  <c r="AF81" i="98"/>
  <c r="AE88" i="98"/>
  <c r="AE72" i="98"/>
  <c r="AF79" i="98"/>
  <c r="AF91" i="98"/>
  <c r="AE71" i="98"/>
  <c r="AF58" i="98"/>
  <c r="AI58" i="98" s="1"/>
  <c r="AE67" i="98"/>
  <c r="AE90" i="98"/>
  <c r="AF93" i="98"/>
  <c r="AF65" i="98"/>
  <c r="AE85" i="98"/>
  <c r="AE69" i="98"/>
  <c r="AF92" i="98"/>
  <c r="AF76" i="98"/>
  <c r="AF60" i="98"/>
  <c r="AI60" i="98" s="1"/>
  <c r="AE78" i="98"/>
  <c r="AF61" i="98"/>
  <c r="AI61" i="98" s="1"/>
  <c r="AE80" i="98"/>
  <c r="AE64" i="98"/>
  <c r="AF87" i="98"/>
  <c r="AE63" i="98"/>
  <c r="AF82" i="98"/>
  <c r="AF94" i="98"/>
  <c r="AF86" i="98"/>
  <c r="AE82" i="98"/>
  <c r="AF85" i="98"/>
  <c r="AF57" i="98"/>
  <c r="AI57" i="98" s="1"/>
  <c r="AE81" i="98"/>
  <c r="AE65" i="98"/>
  <c r="AF88" i="98"/>
  <c r="AF72" i="98"/>
  <c r="AF56" i="98"/>
  <c r="AI56" i="98" s="1"/>
  <c r="AE70" i="98"/>
  <c r="AF89" i="98"/>
  <c r="AE92" i="98"/>
  <c r="AE76" i="98"/>
  <c r="AE60" i="98"/>
  <c r="AH60" i="98" s="1"/>
  <c r="AF83" i="98"/>
  <c r="AF59" i="98"/>
  <c r="AI59" i="98" s="1"/>
  <c r="AF75" i="98"/>
  <c r="AF71" i="98"/>
  <c r="AF67" i="98"/>
  <c r="AA173" i="1"/>
  <c r="GV22" i="1"/>
  <c r="GZ22" i="1"/>
  <c r="HD22" i="1"/>
  <c r="HH22" i="1"/>
  <c r="HL22" i="1"/>
  <c r="HP22" i="1"/>
  <c r="HT22" i="1"/>
  <c r="HX22" i="1"/>
  <c r="IB22" i="1"/>
  <c r="IF22" i="1"/>
  <c r="IJ22" i="1"/>
  <c r="IN22" i="1"/>
  <c r="IR22" i="1"/>
  <c r="IV22" i="1"/>
  <c r="IZ22" i="1"/>
  <c r="JD22" i="1"/>
  <c r="JH22" i="1"/>
  <c r="JL22" i="1"/>
  <c r="JP22" i="1"/>
  <c r="JT22" i="1"/>
  <c r="JX22" i="1"/>
  <c r="KB22" i="1"/>
  <c r="KF22" i="1"/>
  <c r="KJ22" i="1"/>
  <c r="KN22" i="1"/>
  <c r="KR22" i="1"/>
  <c r="KV22" i="1"/>
  <c r="KZ22" i="1"/>
  <c r="LD22" i="1"/>
  <c r="LH22" i="1"/>
  <c r="LL22" i="1"/>
  <c r="LP22" i="1"/>
  <c r="JY22" i="1"/>
  <c r="KG22" i="1"/>
  <c r="KO22" i="1"/>
  <c r="KW22" i="1"/>
  <c r="LE22" i="1"/>
  <c r="LM22" i="1"/>
  <c r="GU22" i="1"/>
  <c r="HK22" i="1"/>
  <c r="HS22" i="1"/>
  <c r="IA22" i="1"/>
  <c r="II22" i="1"/>
  <c r="IQ22" i="1"/>
  <c r="JC22" i="1"/>
  <c r="JO22" i="1"/>
  <c r="KA22" i="1"/>
  <c r="KM22" i="1"/>
  <c r="GW22" i="1"/>
  <c r="HA22" i="1"/>
  <c r="HE22" i="1"/>
  <c r="HI22" i="1"/>
  <c r="HM22" i="1"/>
  <c r="HQ22" i="1"/>
  <c r="HU22" i="1"/>
  <c r="HY22" i="1"/>
  <c r="IC22" i="1"/>
  <c r="IG22" i="1"/>
  <c r="IK22" i="1"/>
  <c r="IO22" i="1"/>
  <c r="IS22" i="1"/>
  <c r="IW22" i="1"/>
  <c r="JA22" i="1"/>
  <c r="JE22" i="1"/>
  <c r="JI22" i="1"/>
  <c r="JM22" i="1"/>
  <c r="JQ22" i="1"/>
  <c r="JU22" i="1"/>
  <c r="KC22" i="1"/>
  <c r="KK22" i="1"/>
  <c r="KS22" i="1"/>
  <c r="LA22" i="1"/>
  <c r="LI22" i="1"/>
  <c r="GT22" i="1"/>
  <c r="GY22" i="1"/>
  <c r="HC22" i="1"/>
  <c r="HG22" i="1"/>
  <c r="HO22" i="1"/>
  <c r="HW22" i="1"/>
  <c r="IE22" i="1"/>
  <c r="IM22" i="1"/>
  <c r="IU22" i="1"/>
  <c r="IY22" i="1"/>
  <c r="JK22" i="1"/>
  <c r="JW22" i="1"/>
  <c r="KI22" i="1"/>
  <c r="KQ22" i="1"/>
  <c r="KY22" i="1"/>
  <c r="GX22" i="1"/>
  <c r="HB22" i="1"/>
  <c r="HF22" i="1"/>
  <c r="HJ22" i="1"/>
  <c r="HN22" i="1"/>
  <c r="HR22" i="1"/>
  <c r="HV22" i="1"/>
  <c r="HZ22" i="1"/>
  <c r="ID22" i="1"/>
  <c r="IH22" i="1"/>
  <c r="IL22" i="1"/>
  <c r="IP22" i="1"/>
  <c r="IT22" i="1"/>
  <c r="IX22" i="1"/>
  <c r="JB22" i="1"/>
  <c r="JF22" i="1"/>
  <c r="JJ22" i="1"/>
  <c r="JN22" i="1"/>
  <c r="JR22" i="1"/>
  <c r="JV22" i="1"/>
  <c r="JZ22" i="1"/>
  <c r="KD22" i="1"/>
  <c r="KH22" i="1"/>
  <c r="KL22" i="1"/>
  <c r="KP22" i="1"/>
  <c r="KT22" i="1"/>
  <c r="KX22" i="1"/>
  <c r="LB22" i="1"/>
  <c r="LF22" i="1"/>
  <c r="LJ22" i="1"/>
  <c r="LN22" i="1"/>
  <c r="JG22" i="1"/>
  <c r="JS22" i="1"/>
  <c r="KE22" i="1"/>
  <c r="KU22" i="1"/>
  <c r="LC22" i="1"/>
  <c r="LG22" i="1"/>
  <c r="LO22" i="1"/>
  <c r="LK22" i="1"/>
  <c r="R67" i="98"/>
  <c r="R83" i="98"/>
  <c r="R80" i="98"/>
  <c r="R69" i="98"/>
  <c r="R70" i="98"/>
  <c r="R86" i="98"/>
  <c r="R76" i="98"/>
  <c r="R65" i="98"/>
  <c r="R77" i="98"/>
  <c r="R84" i="98"/>
  <c r="R75" i="98"/>
  <c r="R91" i="98"/>
  <c r="R64" i="98"/>
  <c r="R85" i="98"/>
  <c r="R78" i="98"/>
  <c r="R94" i="98"/>
  <c r="R92" i="98"/>
  <c r="R81" i="98"/>
  <c r="R87" i="98"/>
  <c r="R90" i="98"/>
  <c r="R63" i="98"/>
  <c r="R79" i="98"/>
  <c r="R72" i="98"/>
  <c r="R93" i="98"/>
  <c r="R66" i="98"/>
  <c r="R82" i="98"/>
  <c r="R68" i="98"/>
  <c r="R89" i="98"/>
  <c r="R71" i="98"/>
  <c r="R88" i="98"/>
  <c r="R74" i="98"/>
  <c r="R73" i="98"/>
  <c r="U67" i="98"/>
  <c r="FT67" i="98" s="1"/>
  <c r="U75" i="98"/>
  <c r="FT75" i="98" s="1"/>
  <c r="U83" i="98"/>
  <c r="FT83" i="98" s="1"/>
  <c r="U91" i="98"/>
  <c r="FT91" i="98" s="1"/>
  <c r="P64" i="98"/>
  <c r="FM64" i="98" s="1"/>
  <c r="P80" i="98"/>
  <c r="FM80" i="98" s="1"/>
  <c r="O71" i="98"/>
  <c r="FK71" i="98" s="1"/>
  <c r="O87" i="98"/>
  <c r="FK87" i="98" s="1"/>
  <c r="P69" i="98"/>
  <c r="FM69" i="98" s="1"/>
  <c r="P85" i="98"/>
  <c r="FM85" i="98" s="1"/>
  <c r="O76" i="98"/>
  <c r="FK76" i="98" s="1"/>
  <c r="O92" i="98"/>
  <c r="FK92" i="98" s="1"/>
  <c r="U68" i="98"/>
  <c r="FT68" i="98" s="1"/>
  <c r="P71" i="98"/>
  <c r="FM71" i="98" s="1"/>
  <c r="O66" i="98"/>
  <c r="FK66" i="98" s="1"/>
  <c r="T74" i="98"/>
  <c r="T90" i="98"/>
  <c r="N77" i="98"/>
  <c r="N93" i="98"/>
  <c r="U94" i="98"/>
  <c r="FT94" i="98" s="1"/>
  <c r="P74" i="98"/>
  <c r="FM74" i="98" s="1"/>
  <c r="O93" i="98"/>
  <c r="FK93" i="98" s="1"/>
  <c r="T75" i="98"/>
  <c r="N66" i="98"/>
  <c r="U74" i="98"/>
  <c r="FT74" i="98" s="1"/>
  <c r="N80" i="98"/>
  <c r="M70" i="98"/>
  <c r="FH70" i="98" s="1"/>
  <c r="M86" i="98"/>
  <c r="FH86" i="98" s="1"/>
  <c r="T76" i="98"/>
  <c r="M87" i="98"/>
  <c r="FH87" i="98" s="1"/>
  <c r="M64" i="98"/>
  <c r="FH64" i="98" s="1"/>
  <c r="U93" i="98"/>
  <c r="FT93" i="98" s="1"/>
  <c r="P84" i="98"/>
  <c r="FM84" i="98" s="1"/>
  <c r="O91" i="98"/>
  <c r="FK91" i="98" s="1"/>
  <c r="O64" i="98"/>
  <c r="FK64" i="98" s="1"/>
  <c r="U76" i="98"/>
  <c r="FT76" i="98" s="1"/>
  <c r="N65" i="98"/>
  <c r="U70" i="98"/>
  <c r="FT70" i="98" s="1"/>
  <c r="O69" i="98"/>
  <c r="FK69" i="98" s="1"/>
  <c r="U65" i="98"/>
  <c r="FT65" i="98" s="1"/>
  <c r="U73" i="98"/>
  <c r="FT73" i="98" s="1"/>
  <c r="U81" i="98"/>
  <c r="FT81" i="98" s="1"/>
  <c r="U89" i="98"/>
  <c r="FT89" i="98" s="1"/>
  <c r="P76" i="98"/>
  <c r="FM76" i="98" s="1"/>
  <c r="P92" i="98"/>
  <c r="FM92" i="98" s="1"/>
  <c r="O67" i="98"/>
  <c r="FK67" i="98" s="1"/>
  <c r="O83" i="98"/>
  <c r="FK83" i="98" s="1"/>
  <c r="P65" i="98"/>
  <c r="FM65" i="98" s="1"/>
  <c r="P81" i="98"/>
  <c r="FM81" i="98" s="1"/>
  <c r="O72" i="98"/>
  <c r="FK72" i="98" s="1"/>
  <c r="O88" i="98"/>
  <c r="FK88" i="98" s="1"/>
  <c r="P63" i="98"/>
  <c r="FM63" i="98" s="1"/>
  <c r="U92" i="98"/>
  <c r="FT92" i="98" s="1"/>
  <c r="O90" i="98"/>
  <c r="FK90" i="98" s="1"/>
  <c r="T70" i="98"/>
  <c r="T86" i="98"/>
  <c r="N73" i="98"/>
  <c r="N89" i="98"/>
  <c r="U86" i="98"/>
  <c r="FT86" i="98" s="1"/>
  <c r="P66" i="98"/>
  <c r="FM66" i="98" s="1"/>
  <c r="O85" i="98"/>
  <c r="FK85" i="98" s="1"/>
  <c r="T71" i="98"/>
  <c r="T87" i="98"/>
  <c r="N62" i="98"/>
  <c r="N78" i="98"/>
  <c r="N94" i="98"/>
  <c r="U64" i="98"/>
  <c r="FT64" i="98" s="1"/>
  <c r="P75" i="98"/>
  <c r="FM75" i="98" s="1"/>
  <c r="O94" i="98"/>
  <c r="FK94" i="98" s="1"/>
  <c r="U66" i="98"/>
  <c r="FT66" i="98" s="1"/>
  <c r="P70" i="98"/>
  <c r="FM70" i="98" s="1"/>
  <c r="O89" i="98"/>
  <c r="FK89" i="98" s="1"/>
  <c r="T69" i="98"/>
  <c r="T85" i="98"/>
  <c r="N76" i="98"/>
  <c r="N92" i="98"/>
  <c r="T84" i="98"/>
  <c r="M69" i="98"/>
  <c r="FH69" i="98" s="1"/>
  <c r="M85" i="98"/>
  <c r="FH85" i="98" s="1"/>
  <c r="M92" i="98"/>
  <c r="FH92" i="98" s="1"/>
  <c r="T72" i="98"/>
  <c r="N91" i="98"/>
  <c r="M66" i="98"/>
  <c r="FH66" i="98" s="1"/>
  <c r="M82" i="98"/>
  <c r="FH82" i="98" s="1"/>
  <c r="M80" i="98"/>
  <c r="FH80" i="98" s="1"/>
  <c r="N79" i="98"/>
  <c r="M67" i="98"/>
  <c r="FH67" i="98" s="1"/>
  <c r="M83" i="98"/>
  <c r="FH83" i="98" s="1"/>
  <c r="T80" i="98"/>
  <c r="M76" i="98"/>
  <c r="FH76" i="98" s="1"/>
  <c r="T91" i="98"/>
  <c r="N82" i="98"/>
  <c r="U72" i="98"/>
  <c r="FT72" i="98" s="1"/>
  <c r="P83" i="98"/>
  <c r="FM83" i="98" s="1"/>
  <c r="O70" i="98"/>
  <c r="FK70" i="98" s="1"/>
  <c r="P78" i="98"/>
  <c r="FM78" i="98" s="1"/>
  <c r="O65" i="98"/>
  <c r="FK65" i="98" s="1"/>
  <c r="T73" i="98"/>
  <c r="T89" i="98"/>
  <c r="N64" i="98"/>
  <c r="M73" i="98"/>
  <c r="FH73" i="98" s="1"/>
  <c r="M89" i="98"/>
  <c r="FH89" i="98" s="1"/>
  <c r="T88" i="98"/>
  <c r="M71" i="98"/>
  <c r="FH71" i="98" s="1"/>
  <c r="N67" i="98"/>
  <c r="U69" i="98"/>
  <c r="FT69" i="98" s="1"/>
  <c r="U77" i="98"/>
  <c r="FT77" i="98" s="1"/>
  <c r="U85" i="98"/>
  <c r="FT85" i="98" s="1"/>
  <c r="P68" i="98"/>
  <c r="FM68" i="98" s="1"/>
  <c r="O75" i="98"/>
  <c r="FK75" i="98" s="1"/>
  <c r="P73" i="98"/>
  <c r="FM73" i="98" s="1"/>
  <c r="P89" i="98"/>
  <c r="FM89" i="98" s="1"/>
  <c r="O80" i="98"/>
  <c r="FK80" i="98" s="1"/>
  <c r="P79" i="98"/>
  <c r="FM79" i="98" s="1"/>
  <c r="O74" i="98"/>
  <c r="FK74" i="98" s="1"/>
  <c r="T78" i="98"/>
  <c r="T94" i="98"/>
  <c r="N81" i="98"/>
  <c r="P82" i="98"/>
  <c r="FM82" i="98" s="1"/>
  <c r="U79" i="98"/>
  <c r="FT79" i="98" s="1"/>
  <c r="O63" i="98"/>
  <c r="FK63" i="98" s="1"/>
  <c r="O68" i="98"/>
  <c r="FK68" i="98" s="1"/>
  <c r="P87" i="98"/>
  <c r="FM87" i="98" s="1"/>
  <c r="N69" i="98"/>
  <c r="T79" i="98"/>
  <c r="N70" i="98"/>
  <c r="O78" i="98"/>
  <c r="FK78" i="98" s="1"/>
  <c r="U82" i="98"/>
  <c r="FT82" i="98" s="1"/>
  <c r="P86" i="98"/>
  <c r="FM86" i="98" s="1"/>
  <c r="T77" i="98"/>
  <c r="N68" i="98"/>
  <c r="M93" i="98"/>
  <c r="FH93" i="98" s="1"/>
  <c r="M74" i="98"/>
  <c r="FH74" i="98" s="1"/>
  <c r="M91" i="98"/>
  <c r="FH91" i="98" s="1"/>
  <c r="N83" i="98"/>
  <c r="U87" i="98"/>
  <c r="FT87" i="98" s="1"/>
  <c r="O79" i="98"/>
  <c r="FK79" i="98" s="1"/>
  <c r="O84" i="98"/>
  <c r="FK84" i="98" s="1"/>
  <c r="O82" i="98"/>
  <c r="FK82" i="98" s="1"/>
  <c r="N85" i="98"/>
  <c r="U90" i="98"/>
  <c r="FT90" i="98" s="1"/>
  <c r="N72" i="98"/>
  <c r="M88" i="98"/>
  <c r="FH88" i="98" s="1"/>
  <c r="U63" i="98"/>
  <c r="FT63" i="98" s="1"/>
  <c r="P72" i="98"/>
  <c r="FM72" i="98" s="1"/>
  <c r="P77" i="98"/>
  <c r="FM77" i="98" s="1"/>
  <c r="U84" i="98"/>
  <c r="FT84" i="98" s="1"/>
  <c r="T82" i="98"/>
  <c r="O77" i="98"/>
  <c r="FK77" i="98" s="1"/>
  <c r="T63" i="98"/>
  <c r="N86" i="98"/>
  <c r="U80" i="98"/>
  <c r="FT80" i="98" s="1"/>
  <c r="P91" i="98"/>
  <c r="FM91" i="98" s="1"/>
  <c r="O73" i="98"/>
  <c r="FK73" i="98" s="1"/>
  <c r="T93" i="98"/>
  <c r="N84" i="98"/>
  <c r="N71" i="98"/>
  <c r="M77" i="98"/>
  <c r="FH77" i="98" s="1"/>
  <c r="M90" i="98"/>
  <c r="FH90" i="98" s="1"/>
  <c r="T92" i="98"/>
  <c r="M75" i="98"/>
  <c r="FH75" i="98" s="1"/>
  <c r="M68" i="98"/>
  <c r="FH68" i="98" s="1"/>
  <c r="U71" i="98"/>
  <c r="FT71" i="98" s="1"/>
  <c r="P88" i="98"/>
  <c r="FM88" i="98" s="1"/>
  <c r="P93" i="98"/>
  <c r="FM93" i="98" s="1"/>
  <c r="U78" i="98"/>
  <c r="FT78" i="98" s="1"/>
  <c r="T67" i="98"/>
  <c r="N90" i="98"/>
  <c r="U88" i="98"/>
  <c r="FT88" i="98" s="1"/>
  <c r="O81" i="98"/>
  <c r="FK81" i="98" s="1"/>
  <c r="T65" i="98"/>
  <c r="N88" i="98"/>
  <c r="N87" i="98"/>
  <c r="M81" i="98"/>
  <c r="FH81" i="98" s="1"/>
  <c r="M62" i="98"/>
  <c r="FH62" i="98" s="1"/>
  <c r="I35" i="127" s="1"/>
  <c r="M94" i="98"/>
  <c r="FH94" i="98" s="1"/>
  <c r="N63" i="98"/>
  <c r="M79" i="98"/>
  <c r="FH79" i="98" s="1"/>
  <c r="T64" i="98"/>
  <c r="M72" i="98"/>
  <c r="FH72" i="98" s="1"/>
  <c r="T66" i="98"/>
  <c r="P90" i="98"/>
  <c r="FM90" i="98" s="1"/>
  <c r="T83" i="98"/>
  <c r="N74" i="98"/>
  <c r="P67" i="98"/>
  <c r="FM67" i="98" s="1"/>
  <c r="O86" i="98"/>
  <c r="FK86" i="98" s="1"/>
  <c r="P94" i="98"/>
  <c r="FM94" i="98" s="1"/>
  <c r="T81" i="98"/>
  <c r="T68" i="98"/>
  <c r="M65" i="98"/>
  <c r="FH65" i="98" s="1"/>
  <c r="N75" i="98"/>
  <c r="M78" i="98"/>
  <c r="FH78" i="98" s="1"/>
  <c r="M63" i="98"/>
  <c r="FH63" i="98" s="1"/>
  <c r="M84" i="98"/>
  <c r="FH84" i="98" s="1"/>
  <c r="KZ141" i="1"/>
  <c r="HE94" i="93" l="1"/>
  <c r="EM94" i="93"/>
  <c r="DO94" i="93"/>
  <c r="DW94" i="93" s="1"/>
  <c r="DN94" i="93"/>
  <c r="HE96" i="93"/>
  <c r="EM96" i="93"/>
  <c r="DO95" i="93"/>
  <c r="DW95" i="93" s="1"/>
  <c r="DN95" i="93"/>
  <c r="DN96" i="93"/>
  <c r="DO96" i="93"/>
  <c r="DW96" i="93" s="1"/>
  <c r="HE95" i="93"/>
  <c r="EM95" i="93"/>
  <c r="L33" i="93"/>
  <c r="LK11" i="1"/>
  <c r="LK13" i="1"/>
  <c r="KU11" i="1"/>
  <c r="KU13" i="1"/>
  <c r="LN11" i="1"/>
  <c r="LN13" i="1"/>
  <c r="KX11" i="1"/>
  <c r="KX13" i="1"/>
  <c r="KH11" i="1"/>
  <c r="KH13" i="1"/>
  <c r="JR11" i="1"/>
  <c r="JR13" i="1"/>
  <c r="JB11" i="1"/>
  <c r="JB13" i="1"/>
  <c r="IL11" i="1"/>
  <c r="IL13" i="1"/>
  <c r="KQ11" i="1"/>
  <c r="KQ13" i="1"/>
  <c r="IY11" i="1"/>
  <c r="IY13" i="1"/>
  <c r="KS11" i="1"/>
  <c r="KS13" i="1"/>
  <c r="JQ11" i="1"/>
  <c r="JQ13" i="1"/>
  <c r="JA11" i="1"/>
  <c r="JA13" i="1"/>
  <c r="IK11" i="1"/>
  <c r="IK13" i="1"/>
  <c r="KA11" i="1"/>
  <c r="KA13" i="1"/>
  <c r="KO11" i="1"/>
  <c r="KO13" i="1"/>
  <c r="LL11" i="1"/>
  <c r="LL13" i="1"/>
  <c r="KV11" i="1"/>
  <c r="KV13" i="1"/>
  <c r="KF11" i="1"/>
  <c r="KF13" i="1"/>
  <c r="JP11" i="1"/>
  <c r="JP13" i="1"/>
  <c r="IZ11" i="1"/>
  <c r="IZ13" i="1"/>
  <c r="LO11" i="1"/>
  <c r="LO13" i="1"/>
  <c r="KE11" i="1"/>
  <c r="KE13" i="1"/>
  <c r="LJ11" i="1"/>
  <c r="LJ13" i="1"/>
  <c r="KT11" i="1"/>
  <c r="KT13" i="1"/>
  <c r="KD11" i="1"/>
  <c r="KD13" i="1"/>
  <c r="JN11" i="1"/>
  <c r="JN13" i="1"/>
  <c r="IX11" i="1"/>
  <c r="IX13" i="1"/>
  <c r="KI11" i="1"/>
  <c r="KI13" i="1"/>
  <c r="IU11" i="1"/>
  <c r="IU13" i="1"/>
  <c r="KK11" i="1"/>
  <c r="KK13" i="1"/>
  <c r="JM11" i="1"/>
  <c r="JM13" i="1"/>
  <c r="IW11" i="1"/>
  <c r="IW13" i="1"/>
  <c r="JO11" i="1"/>
  <c r="JO13" i="1"/>
  <c r="LM11" i="1"/>
  <c r="LM13" i="1"/>
  <c r="KG11" i="1"/>
  <c r="KG13" i="1"/>
  <c r="LH11" i="1"/>
  <c r="LH13" i="1"/>
  <c r="KR11" i="1"/>
  <c r="KR13" i="1"/>
  <c r="KB11" i="1"/>
  <c r="KB13" i="1"/>
  <c r="JL11" i="1"/>
  <c r="JL13" i="1"/>
  <c r="IV11" i="1"/>
  <c r="IV13" i="1"/>
  <c r="LG11" i="1"/>
  <c r="LG13" i="1"/>
  <c r="JS11" i="1"/>
  <c r="JS13" i="1"/>
  <c r="LF11" i="1"/>
  <c r="LF13" i="1"/>
  <c r="KP11" i="1"/>
  <c r="KP13" i="1"/>
  <c r="JZ11" i="1"/>
  <c r="JZ13" i="1"/>
  <c r="JJ11" i="1"/>
  <c r="JJ13" i="1"/>
  <c r="IT11" i="1"/>
  <c r="IT13" i="1"/>
  <c r="JW11" i="1"/>
  <c r="JW13" i="1"/>
  <c r="IM11" i="1"/>
  <c r="IM13" i="1"/>
  <c r="LI11" i="1"/>
  <c r="LI13" i="1"/>
  <c r="KC11" i="1"/>
  <c r="KC13" i="1"/>
  <c r="JI11" i="1"/>
  <c r="JI13" i="1"/>
  <c r="IS11" i="1"/>
  <c r="IS13" i="1"/>
  <c r="JC11" i="1"/>
  <c r="JC13" i="1"/>
  <c r="LE11" i="1"/>
  <c r="LE13" i="1"/>
  <c r="JY11" i="1"/>
  <c r="JY13" i="1"/>
  <c r="LD11" i="1"/>
  <c r="LD13" i="1"/>
  <c r="KN11" i="1"/>
  <c r="KN13" i="1"/>
  <c r="JX11" i="1"/>
  <c r="JX13" i="1"/>
  <c r="JH11" i="1"/>
  <c r="JH13" i="1"/>
  <c r="IR11" i="1"/>
  <c r="IR13" i="1"/>
  <c r="LC11" i="1"/>
  <c r="LC13" i="1"/>
  <c r="JG11" i="1"/>
  <c r="JG13" i="1"/>
  <c r="LB11" i="1"/>
  <c r="LB13" i="1"/>
  <c r="KL11" i="1"/>
  <c r="KL13" i="1"/>
  <c r="JV11" i="1"/>
  <c r="JV13" i="1"/>
  <c r="JF11" i="1"/>
  <c r="JF13" i="1"/>
  <c r="IP11" i="1"/>
  <c r="IP13" i="1"/>
  <c r="KY11" i="1"/>
  <c r="KY13" i="1"/>
  <c r="JK11" i="1"/>
  <c r="JK13" i="1"/>
  <c r="LA11" i="1"/>
  <c r="LA13" i="1"/>
  <c r="JU11" i="1"/>
  <c r="JU13" i="1"/>
  <c r="JE11" i="1"/>
  <c r="JE13" i="1"/>
  <c r="IO11" i="1"/>
  <c r="IO13" i="1"/>
  <c r="KM11" i="1"/>
  <c r="KM13" i="1"/>
  <c r="IQ11" i="1"/>
  <c r="IQ13" i="1"/>
  <c r="KW11" i="1"/>
  <c r="KW13" i="1"/>
  <c r="LP11" i="1"/>
  <c r="LP13" i="1"/>
  <c r="KZ11" i="1"/>
  <c r="KZ13" i="1"/>
  <c r="KJ11" i="1"/>
  <c r="KJ13" i="1"/>
  <c r="JT11" i="1"/>
  <c r="JT13" i="1"/>
  <c r="JD11" i="1"/>
  <c r="JD13" i="1"/>
  <c r="IN11" i="1"/>
  <c r="IN13" i="1"/>
  <c r="G27" i="136"/>
  <c r="LC5" i="1"/>
  <c r="LC6" i="1" s="1"/>
  <c r="LC8" i="1"/>
  <c r="LC9" i="1" s="1"/>
  <c r="JG5" i="1"/>
  <c r="JG6" i="1" s="1"/>
  <c r="JG8" i="1"/>
  <c r="JG9" i="1" s="1"/>
  <c r="LB5" i="1"/>
  <c r="LB6" i="1" s="1"/>
  <c r="LB8" i="1"/>
  <c r="LB9" i="1" s="1"/>
  <c r="KL5" i="1"/>
  <c r="KL6" i="1" s="1"/>
  <c r="KL8" i="1"/>
  <c r="KL9" i="1" s="1"/>
  <c r="JV5" i="1"/>
  <c r="JV6" i="1" s="1"/>
  <c r="JV8" i="1"/>
  <c r="JV9" i="1" s="1"/>
  <c r="JF5" i="1"/>
  <c r="JF6" i="1" s="1"/>
  <c r="JF8" i="1"/>
  <c r="JF9" i="1" s="1"/>
  <c r="IP5" i="1"/>
  <c r="IP6" i="1" s="1"/>
  <c r="IP8" i="1"/>
  <c r="IP9" i="1" s="1"/>
  <c r="KY5" i="1"/>
  <c r="KY6" i="1" s="1"/>
  <c r="KY8" i="1"/>
  <c r="KY9" i="1" s="1"/>
  <c r="JK5" i="1"/>
  <c r="JK6" i="1" s="1"/>
  <c r="JK8" i="1"/>
  <c r="JK9" i="1" s="1"/>
  <c r="LA5" i="1"/>
  <c r="LA6" i="1" s="1"/>
  <c r="LA8" i="1"/>
  <c r="LA9" i="1" s="1"/>
  <c r="JU5" i="1"/>
  <c r="JU6" i="1" s="1"/>
  <c r="JU8" i="1"/>
  <c r="JU9" i="1" s="1"/>
  <c r="JE5" i="1"/>
  <c r="JE6" i="1" s="1"/>
  <c r="JE8" i="1"/>
  <c r="JE9" i="1" s="1"/>
  <c r="IO5" i="1"/>
  <c r="IO6" i="1" s="1"/>
  <c r="IO8" i="1"/>
  <c r="IO9" i="1" s="1"/>
  <c r="KM5" i="1"/>
  <c r="KM6" i="1" s="1"/>
  <c r="KM8" i="1"/>
  <c r="KM9" i="1" s="1"/>
  <c r="IQ5" i="1"/>
  <c r="IQ6" i="1" s="1"/>
  <c r="IQ8" i="1"/>
  <c r="IQ9" i="1" s="1"/>
  <c r="KW5" i="1"/>
  <c r="KW6" i="1" s="1"/>
  <c r="KW8" i="1"/>
  <c r="KW9" i="1" s="1"/>
  <c r="LP5" i="1"/>
  <c r="LP6" i="1" s="1"/>
  <c r="LP8" i="1"/>
  <c r="LP9" i="1" s="1"/>
  <c r="KZ5" i="1"/>
  <c r="KZ6" i="1" s="1"/>
  <c r="KZ8" i="1"/>
  <c r="KZ9" i="1" s="1"/>
  <c r="KJ5" i="1"/>
  <c r="KJ6" i="1" s="1"/>
  <c r="KJ8" i="1"/>
  <c r="KJ9" i="1" s="1"/>
  <c r="JT5" i="1"/>
  <c r="JT6" i="1" s="1"/>
  <c r="JT8" i="1"/>
  <c r="JT9" i="1" s="1"/>
  <c r="JD5" i="1"/>
  <c r="JD6" i="1" s="1"/>
  <c r="JD8" i="1"/>
  <c r="JD9" i="1" s="1"/>
  <c r="IN5" i="1"/>
  <c r="IN6" i="1" s="1"/>
  <c r="IN8" i="1"/>
  <c r="IN9" i="1" s="1"/>
  <c r="LK5" i="1"/>
  <c r="LK6" i="1" s="1"/>
  <c r="LK8" i="1"/>
  <c r="LK9" i="1" s="1"/>
  <c r="KU5" i="1"/>
  <c r="KU6" i="1" s="1"/>
  <c r="KU8" i="1"/>
  <c r="KU9" i="1" s="1"/>
  <c r="LN5" i="1"/>
  <c r="LN6" i="1" s="1"/>
  <c r="LN8" i="1"/>
  <c r="LN9" i="1" s="1"/>
  <c r="KX5" i="1"/>
  <c r="KX6" i="1" s="1"/>
  <c r="KX8" i="1"/>
  <c r="KX9" i="1" s="1"/>
  <c r="KH5" i="1"/>
  <c r="KH6" i="1" s="1"/>
  <c r="KH8" i="1"/>
  <c r="KH9" i="1" s="1"/>
  <c r="JR5" i="1"/>
  <c r="JR6" i="1" s="1"/>
  <c r="JR8" i="1"/>
  <c r="JR9" i="1" s="1"/>
  <c r="JB5" i="1"/>
  <c r="JB6" i="1" s="1"/>
  <c r="JB8" i="1"/>
  <c r="JB9" i="1" s="1"/>
  <c r="IL5" i="1"/>
  <c r="IL8" i="1"/>
  <c r="IL9" i="1" s="1"/>
  <c r="KQ5" i="1"/>
  <c r="KQ6" i="1" s="1"/>
  <c r="KQ8" i="1"/>
  <c r="KQ9" i="1" s="1"/>
  <c r="IY5" i="1"/>
  <c r="IY6" i="1" s="1"/>
  <c r="IY8" i="1"/>
  <c r="IY9" i="1" s="1"/>
  <c r="KS5" i="1"/>
  <c r="KS6" i="1" s="1"/>
  <c r="KS8" i="1"/>
  <c r="KS9" i="1" s="1"/>
  <c r="JQ5" i="1"/>
  <c r="JQ6" i="1" s="1"/>
  <c r="JQ8" i="1"/>
  <c r="JQ9" i="1" s="1"/>
  <c r="JA5" i="1"/>
  <c r="JA6" i="1" s="1"/>
  <c r="JA8" i="1"/>
  <c r="JA9" i="1" s="1"/>
  <c r="IK5" i="1"/>
  <c r="IK8" i="1"/>
  <c r="IK9" i="1" s="1"/>
  <c r="KA5" i="1"/>
  <c r="KA6" i="1" s="1"/>
  <c r="KA8" i="1"/>
  <c r="KA9" i="1" s="1"/>
  <c r="KO5" i="1"/>
  <c r="KO6" i="1" s="1"/>
  <c r="KO8" i="1"/>
  <c r="KO9" i="1" s="1"/>
  <c r="LL5" i="1"/>
  <c r="LL6" i="1" s="1"/>
  <c r="LL8" i="1"/>
  <c r="LL9" i="1" s="1"/>
  <c r="KV5" i="1"/>
  <c r="KV6" i="1" s="1"/>
  <c r="KV8" i="1"/>
  <c r="KV9" i="1" s="1"/>
  <c r="KF5" i="1"/>
  <c r="KF6" i="1" s="1"/>
  <c r="KF8" i="1"/>
  <c r="KF9" i="1" s="1"/>
  <c r="JP5" i="1"/>
  <c r="JP6" i="1" s="1"/>
  <c r="JP8" i="1"/>
  <c r="JP9" i="1" s="1"/>
  <c r="IZ5" i="1"/>
  <c r="IZ6" i="1" s="1"/>
  <c r="IZ8" i="1"/>
  <c r="IZ9" i="1" s="1"/>
  <c r="LO5" i="1"/>
  <c r="LO6" i="1" s="1"/>
  <c r="LO8" i="1"/>
  <c r="LO9" i="1" s="1"/>
  <c r="KE5" i="1"/>
  <c r="KE6" i="1" s="1"/>
  <c r="KE8" i="1"/>
  <c r="KE9" i="1" s="1"/>
  <c r="LJ5" i="1"/>
  <c r="LJ6" i="1" s="1"/>
  <c r="LJ8" i="1"/>
  <c r="LJ9" i="1" s="1"/>
  <c r="KT5" i="1"/>
  <c r="KT6" i="1" s="1"/>
  <c r="KT8" i="1"/>
  <c r="KT9" i="1" s="1"/>
  <c r="KD5" i="1"/>
  <c r="KD6" i="1" s="1"/>
  <c r="KD8" i="1"/>
  <c r="KD9" i="1" s="1"/>
  <c r="JN5" i="1"/>
  <c r="JN6" i="1" s="1"/>
  <c r="JN8" i="1"/>
  <c r="JN9" i="1" s="1"/>
  <c r="IX5" i="1"/>
  <c r="IX6" i="1" s="1"/>
  <c r="IX8" i="1"/>
  <c r="IX9" i="1" s="1"/>
  <c r="KI5" i="1"/>
  <c r="KI6" i="1" s="1"/>
  <c r="KI8" i="1"/>
  <c r="KI9" i="1" s="1"/>
  <c r="IU5" i="1"/>
  <c r="IU6" i="1" s="1"/>
  <c r="IU8" i="1"/>
  <c r="IU9" i="1" s="1"/>
  <c r="KK5" i="1"/>
  <c r="KK6" i="1" s="1"/>
  <c r="KK8" i="1"/>
  <c r="KK9" i="1" s="1"/>
  <c r="JM5" i="1"/>
  <c r="JM6" i="1" s="1"/>
  <c r="JM8" i="1"/>
  <c r="JM9" i="1" s="1"/>
  <c r="IW5" i="1"/>
  <c r="IW6" i="1" s="1"/>
  <c r="IW8" i="1"/>
  <c r="IW9" i="1" s="1"/>
  <c r="JO5" i="1"/>
  <c r="JO6" i="1" s="1"/>
  <c r="JO8" i="1"/>
  <c r="JO9" i="1" s="1"/>
  <c r="LM5" i="1"/>
  <c r="LM6" i="1" s="1"/>
  <c r="LM8" i="1"/>
  <c r="LM9" i="1" s="1"/>
  <c r="KG5" i="1"/>
  <c r="KG6" i="1" s="1"/>
  <c r="KG8" i="1"/>
  <c r="KG9" i="1" s="1"/>
  <c r="LH5" i="1"/>
  <c r="LH6" i="1" s="1"/>
  <c r="LH8" i="1"/>
  <c r="LH9" i="1" s="1"/>
  <c r="KR5" i="1"/>
  <c r="KR6" i="1" s="1"/>
  <c r="KR8" i="1"/>
  <c r="KR9" i="1" s="1"/>
  <c r="KB5" i="1"/>
  <c r="KB6" i="1" s="1"/>
  <c r="KB8" i="1"/>
  <c r="KB9" i="1" s="1"/>
  <c r="JL5" i="1"/>
  <c r="JL6" i="1" s="1"/>
  <c r="JL8" i="1"/>
  <c r="JL9" i="1" s="1"/>
  <c r="IV5" i="1"/>
  <c r="IV6" i="1" s="1"/>
  <c r="IV8" i="1"/>
  <c r="IV9" i="1" s="1"/>
  <c r="LG5" i="1"/>
  <c r="LG6" i="1" s="1"/>
  <c r="LG8" i="1"/>
  <c r="LG9" i="1" s="1"/>
  <c r="JS5" i="1"/>
  <c r="JS6" i="1" s="1"/>
  <c r="JS8" i="1"/>
  <c r="JS9" i="1" s="1"/>
  <c r="LF5" i="1"/>
  <c r="LF6" i="1" s="1"/>
  <c r="LF8" i="1"/>
  <c r="LF9" i="1" s="1"/>
  <c r="KP5" i="1"/>
  <c r="KP6" i="1" s="1"/>
  <c r="KP8" i="1"/>
  <c r="KP9" i="1" s="1"/>
  <c r="JZ5" i="1"/>
  <c r="JZ6" i="1" s="1"/>
  <c r="JZ8" i="1"/>
  <c r="JZ9" i="1" s="1"/>
  <c r="JJ5" i="1"/>
  <c r="JJ6" i="1" s="1"/>
  <c r="JJ8" i="1"/>
  <c r="JJ9" i="1" s="1"/>
  <c r="IT5" i="1"/>
  <c r="IT6" i="1" s="1"/>
  <c r="IT8" i="1"/>
  <c r="IT9" i="1" s="1"/>
  <c r="JW5" i="1"/>
  <c r="JW6" i="1" s="1"/>
  <c r="JW8" i="1"/>
  <c r="JW9" i="1" s="1"/>
  <c r="IM5" i="1"/>
  <c r="IM6" i="1" s="1"/>
  <c r="IM8" i="1"/>
  <c r="IM9" i="1" s="1"/>
  <c r="LI5" i="1"/>
  <c r="LI6" i="1" s="1"/>
  <c r="LI8" i="1"/>
  <c r="LI9" i="1" s="1"/>
  <c r="KC5" i="1"/>
  <c r="KC6" i="1" s="1"/>
  <c r="KC8" i="1"/>
  <c r="KC9" i="1" s="1"/>
  <c r="JI5" i="1"/>
  <c r="JI6" i="1" s="1"/>
  <c r="JI8" i="1"/>
  <c r="JI9" i="1" s="1"/>
  <c r="IS5" i="1"/>
  <c r="IS6" i="1" s="1"/>
  <c r="IS8" i="1"/>
  <c r="IS9" i="1" s="1"/>
  <c r="JC5" i="1"/>
  <c r="JC6" i="1" s="1"/>
  <c r="JC8" i="1"/>
  <c r="JC9" i="1" s="1"/>
  <c r="LE5" i="1"/>
  <c r="LE6" i="1" s="1"/>
  <c r="LE8" i="1"/>
  <c r="LE9" i="1" s="1"/>
  <c r="JY5" i="1"/>
  <c r="JY6" i="1" s="1"/>
  <c r="JY8" i="1"/>
  <c r="JY9" i="1" s="1"/>
  <c r="LD5" i="1"/>
  <c r="LD6" i="1" s="1"/>
  <c r="LD8" i="1"/>
  <c r="LD9" i="1" s="1"/>
  <c r="KN5" i="1"/>
  <c r="KN6" i="1" s="1"/>
  <c r="KN8" i="1"/>
  <c r="KN9" i="1" s="1"/>
  <c r="JX5" i="1"/>
  <c r="JX6" i="1" s="1"/>
  <c r="JX8" i="1"/>
  <c r="JX9" i="1" s="1"/>
  <c r="JH5" i="1"/>
  <c r="JH6" i="1" s="1"/>
  <c r="JH8" i="1"/>
  <c r="JH9" i="1" s="1"/>
  <c r="IR5" i="1"/>
  <c r="IR6" i="1" s="1"/>
  <c r="IR8" i="1"/>
  <c r="IR9" i="1" s="1"/>
  <c r="FG83" i="98"/>
  <c r="FG86" i="98"/>
  <c r="J162" i="71"/>
  <c r="FG90" i="98"/>
  <c r="FG70" i="98"/>
  <c r="FG64" i="98"/>
  <c r="FG82" i="98"/>
  <c r="FG81" i="98"/>
  <c r="FG67" i="98"/>
  <c r="FG87" i="98"/>
  <c r="FG85" i="98"/>
  <c r="FG73" i="98"/>
  <c r="FG74" i="98"/>
  <c r="FG91" i="98"/>
  <c r="FG69" i="98"/>
  <c r="FG63" i="98"/>
  <c r="FG72" i="98"/>
  <c r="FG92" i="98"/>
  <c r="FG78" i="98"/>
  <c r="FG75" i="98"/>
  <c r="FG79" i="98"/>
  <c r="FG71" i="98"/>
  <c r="FG68" i="98"/>
  <c r="FG76" i="98"/>
  <c r="FG62" i="98"/>
  <c r="H35" i="127" s="1"/>
  <c r="FG89" i="98"/>
  <c r="FG65" i="98"/>
  <c r="FG80" i="98"/>
  <c r="FG66" i="98"/>
  <c r="FG93" i="98"/>
  <c r="FG88" i="98"/>
  <c r="FG84" i="98"/>
  <c r="FG77" i="98"/>
  <c r="FG94" i="98"/>
  <c r="GN22" i="1"/>
  <c r="GN21" i="1" s="1"/>
  <c r="S5" i="1" s="1"/>
  <c r="GO22" i="1"/>
  <c r="GO21" i="1" s="1"/>
  <c r="AF26" i="98" s="1"/>
  <c r="FL88" i="98"/>
  <c r="FL80" i="98"/>
  <c r="FX81" i="98"/>
  <c r="FX67" i="98"/>
  <c r="FX93" i="98"/>
  <c r="FX63" i="98"/>
  <c r="FL87" i="98"/>
  <c r="FL86" i="98"/>
  <c r="FX72" i="98"/>
  <c r="FL65" i="98"/>
  <c r="FX73" i="98"/>
  <c r="FL76" i="98"/>
  <c r="FX70" i="98"/>
  <c r="FX66" i="98"/>
  <c r="FL92" i="98"/>
  <c r="FX69" i="98"/>
  <c r="FL81" i="98"/>
  <c r="FX71" i="98"/>
  <c r="FX86" i="98"/>
  <c r="FX75" i="98"/>
  <c r="FL69" i="98"/>
  <c r="FX68" i="98"/>
  <c r="FX91" i="98"/>
  <c r="FX77" i="98"/>
  <c r="FX89" i="98"/>
  <c r="FX83" i="98"/>
  <c r="FX85" i="98"/>
  <c r="FX82" i="98"/>
  <c r="FL63" i="98"/>
  <c r="FL66" i="98"/>
  <c r="FL82" i="98"/>
  <c r="FL79" i="98"/>
  <c r="FL74" i="98"/>
  <c r="FL71" i="98"/>
  <c r="FL85" i="98"/>
  <c r="FL84" i="98"/>
  <c r="FL75" i="98"/>
  <c r="FX64" i="98"/>
  <c r="FL89" i="98"/>
  <c r="FL94" i="98"/>
  <c r="FL83" i="98"/>
  <c r="FX88" i="98"/>
  <c r="FX79" i="98"/>
  <c r="FL77" i="98"/>
  <c r="FX92" i="98"/>
  <c r="FL93" i="98"/>
  <c r="FL68" i="98"/>
  <c r="FL78" i="98"/>
  <c r="FL72" i="98"/>
  <c r="FX65" i="98"/>
  <c r="FL91" i="98"/>
  <c r="FL67" i="98"/>
  <c r="FL64" i="98"/>
  <c r="FX87" i="98"/>
  <c r="FX94" i="98"/>
  <c r="FX76" i="98"/>
  <c r="FL73" i="98"/>
  <c r="FL70" i="98"/>
  <c r="FX84" i="98"/>
  <c r="FX74" i="98"/>
  <c r="FX80" i="98"/>
  <c r="FX90" i="98"/>
  <c r="FX78" i="98"/>
  <c r="FL90" i="98"/>
  <c r="LA141" i="1"/>
  <c r="S4" i="1" l="1"/>
  <c r="F27" i="136"/>
  <c r="FP76" i="98"/>
  <c r="FI71" i="98"/>
  <c r="FI65" i="98"/>
  <c r="FP72" i="98"/>
  <c r="FI82" i="98"/>
  <c r="FP87" i="98"/>
  <c r="FP83" i="98"/>
  <c r="FI84" i="98"/>
  <c r="FI86" i="98"/>
  <c r="FI90" i="98"/>
  <c r="FP69" i="98"/>
  <c r="FI78" i="98"/>
  <c r="FI73" i="98"/>
  <c r="AF29" i="98"/>
  <c r="AI26" i="98"/>
  <c r="AF31" i="98"/>
  <c r="AF30" i="98"/>
  <c r="AF32" i="98"/>
  <c r="AF33" i="98"/>
  <c r="AE26" i="98"/>
  <c r="BS88" i="98"/>
  <c r="I162" i="71"/>
  <c r="K162" i="71" s="1"/>
  <c r="FP70" i="98"/>
  <c r="FI70" i="98"/>
  <c r="FI83" i="98"/>
  <c r="FI87" i="98"/>
  <c r="BS81" i="98"/>
  <c r="BS67" i="98"/>
  <c r="FI77" i="98"/>
  <c r="FP77" i="98"/>
  <c r="FP73" i="98"/>
  <c r="FI64" i="98"/>
  <c r="FI69" i="98"/>
  <c r="FI91" i="98"/>
  <c r="FP66" i="98"/>
  <c r="FI66" i="98"/>
  <c r="FP74" i="98"/>
  <c r="FI72" i="98"/>
  <c r="FP80" i="98"/>
  <c r="FP82" i="98"/>
  <c r="FI85" i="98"/>
  <c r="FP67" i="98"/>
  <c r="FI62" i="98"/>
  <c r="FI80" i="98"/>
  <c r="FP91" i="98"/>
  <c r="FI81" i="98"/>
  <c r="FI88" i="98"/>
  <c r="FP88" i="98"/>
  <c r="FP85" i="98"/>
  <c r="FP65" i="98"/>
  <c r="FI67" i="98"/>
  <c r="BS72" i="98"/>
  <c r="BS85" i="98"/>
  <c r="FP75" i="98"/>
  <c r="BS69" i="98"/>
  <c r="BS83" i="98"/>
  <c r="BS71" i="98"/>
  <c r="FP71" i="98"/>
  <c r="FI74" i="98"/>
  <c r="BS91" i="98"/>
  <c r="BS66" i="98"/>
  <c r="BS70" i="98"/>
  <c r="FP92" i="98"/>
  <c r="FP84" i="98"/>
  <c r="BS73" i="98"/>
  <c r="FP64" i="98"/>
  <c r="FP86" i="98"/>
  <c r="FI76" i="98"/>
  <c r="BS82" i="98"/>
  <c r="FI94" i="98"/>
  <c r="FP94" i="98"/>
  <c r="FI92" i="98"/>
  <c r="BS77" i="98"/>
  <c r="BS93" i="98"/>
  <c r="FP90" i="98"/>
  <c r="FP89" i="98"/>
  <c r="FI89" i="98"/>
  <c r="FP68" i="98"/>
  <c r="FP81" i="98"/>
  <c r="FI93" i="98"/>
  <c r="FI68" i="98"/>
  <c r="BS68" i="98"/>
  <c r="FP63" i="98"/>
  <c r="BS89" i="98"/>
  <c r="FI75" i="98"/>
  <c r="BS75" i="98"/>
  <c r="BS86" i="98"/>
  <c r="FP93" i="98"/>
  <c r="FP78" i="98"/>
  <c r="BS64" i="98"/>
  <c r="BS87" i="98"/>
  <c r="BS90" i="98"/>
  <c r="BS84" i="98"/>
  <c r="BS63" i="98"/>
  <c r="FI63" i="98"/>
  <c r="BS92" i="98"/>
  <c r="BS74" i="98"/>
  <c r="BS65" i="98"/>
  <c r="BS80" i="98"/>
  <c r="BS78" i="98"/>
  <c r="BS94" i="98"/>
  <c r="BS76" i="98"/>
  <c r="BS79" i="98"/>
  <c r="FP79" i="98"/>
  <c r="FI79" i="98"/>
  <c r="LB141" i="1"/>
  <c r="AL61" i="98" l="1"/>
  <c r="FE61" i="98" s="1"/>
  <c r="AL62" i="98"/>
  <c r="FE62" i="98" s="1"/>
  <c r="M35" i="129" s="1"/>
  <c r="E35" i="129" s="1"/>
  <c r="S34" i="136"/>
  <c r="C34" i="136" s="1"/>
  <c r="M34" i="129"/>
  <c r="E34" i="129" s="1"/>
  <c r="AL60" i="98"/>
  <c r="FE60" i="98" s="1"/>
  <c r="AL58" i="98"/>
  <c r="FE58" i="98" s="1"/>
  <c r="AL59" i="98"/>
  <c r="FE59" i="98" s="1"/>
  <c r="AL54" i="98"/>
  <c r="FE54" i="98" s="1"/>
  <c r="AL55" i="98"/>
  <c r="FE55" i="98" s="1"/>
  <c r="AL57" i="98"/>
  <c r="FE57" i="98" s="1"/>
  <c r="AL56" i="98"/>
  <c r="FE56" i="98" s="1"/>
  <c r="M29" i="129" s="1"/>
  <c r="E29" i="129" s="1"/>
  <c r="AH26" i="98"/>
  <c r="AE31" i="98"/>
  <c r="AE29" i="98"/>
  <c r="AE30" i="98"/>
  <c r="AE32" i="98"/>
  <c r="AE33" i="98"/>
  <c r="LC141" i="1"/>
  <c r="S28" i="136" l="1"/>
  <c r="C28" i="136" s="1"/>
  <c r="M28" i="129"/>
  <c r="E28" i="129" s="1"/>
  <c r="S27" i="136"/>
  <c r="C27" i="136" s="1"/>
  <c r="M27" i="129"/>
  <c r="E27" i="129" s="1"/>
  <c r="S32" i="136"/>
  <c r="C32" i="136" s="1"/>
  <c r="M32" i="129"/>
  <c r="E32" i="129" s="1"/>
  <c r="S30" i="136"/>
  <c r="C30" i="136" s="1"/>
  <c r="M30" i="129"/>
  <c r="E30" i="129" s="1"/>
  <c r="S31" i="136"/>
  <c r="C31" i="136" s="1"/>
  <c r="M31" i="129"/>
  <c r="E31" i="129" s="1"/>
  <c r="S33" i="136"/>
  <c r="C33" i="136" s="1"/>
  <c r="M33" i="129"/>
  <c r="E33" i="129" s="1"/>
  <c r="S29" i="136"/>
  <c r="C29" i="136" s="1"/>
  <c r="LD141" i="1"/>
  <c r="LE141" i="1" l="1"/>
  <c r="LF141" i="1" l="1"/>
  <c r="LG141" i="1" l="1"/>
  <c r="LH141" i="1" l="1"/>
  <c r="LI141" i="1" l="1"/>
  <c r="LJ141" i="1" l="1"/>
  <c r="LK141" i="1" l="1"/>
  <c r="LL141" i="1" l="1"/>
  <c r="LM141" i="1" l="1"/>
  <c r="LN141" i="1" l="1"/>
  <c r="LO141" i="1" l="1"/>
  <c r="LP141" i="1" l="1"/>
  <c r="IK141" i="1" l="1"/>
  <c r="IL141" i="1"/>
  <c r="EU157" i="1" l="1"/>
  <c r="EY157" i="1"/>
  <c r="FC157" i="1"/>
  <c r="ER157" i="1"/>
  <c r="EV157" i="1"/>
  <c r="EZ157" i="1"/>
  <c r="FD157" i="1"/>
  <c r="EW157" i="1"/>
  <c r="FA157" i="1"/>
  <c r="FE157" i="1"/>
  <c r="FG157" i="1"/>
  <c r="FF157" i="1"/>
  <c r="ET157" i="1"/>
  <c r="EX157" i="1"/>
  <c r="FB157" i="1"/>
  <c r="FP174" i="1" l="1"/>
  <c r="FP295" i="1"/>
  <c r="FP259" i="1"/>
  <c r="FP173" i="1"/>
  <c r="FP342" i="1"/>
  <c r="FS342" i="1"/>
  <c r="FP188" i="1" l="1"/>
  <c r="FS188" i="1"/>
  <c r="FP184" i="1"/>
  <c r="FP178" i="1"/>
  <c r="FS178" i="1"/>
  <c r="FP221" i="1"/>
  <c r="FS221" i="1"/>
  <c r="W99" i="93" l="1"/>
  <c r="Y107" i="93"/>
  <c r="Y100" i="93"/>
  <c r="Y111" i="93"/>
  <c r="Y112" i="93"/>
  <c r="W95" i="93"/>
  <c r="Y98" i="93"/>
  <c r="W105" i="93"/>
  <c r="W113" i="93"/>
  <c r="Y113" i="93"/>
  <c r="Y99" i="93"/>
  <c r="W100" i="93"/>
  <c r="W108" i="93"/>
  <c r="Y95" i="93"/>
  <c r="W98" i="93"/>
  <c r="W106" i="93"/>
  <c r="Y105" i="93"/>
  <c r="Y108" i="93"/>
  <c r="W111" i="93"/>
  <c r="Y96" i="93"/>
  <c r="Y104" i="93"/>
  <c r="Y102" i="93"/>
  <c r="W110" i="93"/>
  <c r="Y103" i="93"/>
  <c r="W101" i="93"/>
  <c r="W109" i="93"/>
  <c r="Y106" i="93"/>
  <c r="W107" i="93"/>
  <c r="W96" i="93"/>
  <c r="W112" i="93"/>
  <c r="Y94" i="93"/>
  <c r="W94" i="93"/>
  <c r="Y110" i="93"/>
  <c r="W103" i="93"/>
  <c r="Y101" i="93"/>
  <c r="Y109" i="93"/>
  <c r="FS184" i="1"/>
  <c r="W102" i="93" l="1"/>
  <c r="W104" i="93"/>
  <c r="BG110" i="93"/>
  <c r="KJ110" i="93" s="1"/>
  <c r="BG107" i="93"/>
  <c r="KJ107" i="93" s="1"/>
  <c r="BG106" i="93"/>
  <c r="KJ106" i="93" s="1"/>
  <c r="BG104" i="93"/>
  <c r="KJ104" i="93" s="1"/>
  <c r="BG102" i="93"/>
  <c r="KJ102" i="93" s="1"/>
  <c r="BG105" i="93"/>
  <c r="KJ105" i="93" s="1"/>
  <c r="BG108" i="93"/>
  <c r="KJ108" i="93" s="1"/>
  <c r="BG103" i="93"/>
  <c r="KJ103" i="93" s="1"/>
  <c r="BG109" i="93"/>
  <c r="KJ109" i="93" s="1"/>
  <c r="BF104" i="93"/>
  <c r="KI104" i="93" s="1"/>
  <c r="BF102" i="93"/>
  <c r="KI102" i="93" s="1"/>
  <c r="BF109" i="93"/>
  <c r="KI109" i="93" s="1"/>
  <c r="BF108" i="93"/>
  <c r="KI108" i="93" s="1"/>
  <c r="BF106" i="93"/>
  <c r="KI106" i="93" s="1"/>
  <c r="BF105" i="93"/>
  <c r="KI105" i="93" s="1"/>
  <c r="BF110" i="93"/>
  <c r="KI110" i="93" s="1"/>
  <c r="BF103" i="93"/>
  <c r="KI103" i="93" s="1"/>
  <c r="BF107" i="93"/>
  <c r="KI107" i="93" s="1"/>
  <c r="BH105" i="93"/>
  <c r="KK105" i="93" s="1"/>
  <c r="BH107" i="93"/>
  <c r="KK107" i="93" s="1"/>
  <c r="BH103" i="93"/>
  <c r="KK103" i="93" s="1"/>
  <c r="BH110" i="93"/>
  <c r="KK110" i="93" s="1"/>
  <c r="BH109" i="93"/>
  <c r="KK109" i="93" s="1"/>
  <c r="BH108" i="93"/>
  <c r="KK108" i="93" s="1"/>
  <c r="BH104" i="93"/>
  <c r="KK104" i="93" s="1"/>
  <c r="BH102" i="93"/>
  <c r="KK102" i="93" s="1"/>
  <c r="BH106" i="93"/>
  <c r="KK106" i="93" s="1"/>
  <c r="BI110" i="93"/>
  <c r="KL110" i="93" s="1"/>
  <c r="BI108" i="93"/>
  <c r="KL108" i="93" s="1"/>
  <c r="BI106" i="93"/>
  <c r="KL106" i="93" s="1"/>
  <c r="BI105" i="93"/>
  <c r="KL105" i="93" s="1"/>
  <c r="BI107" i="93"/>
  <c r="KL107" i="93" s="1"/>
  <c r="BI104" i="93"/>
  <c r="KL104" i="93" s="1"/>
  <c r="BI109" i="93"/>
  <c r="KL109" i="93" s="1"/>
  <c r="BI102" i="93"/>
  <c r="KL102" i="93" s="1"/>
  <c r="BI103" i="93"/>
  <c r="KL103" i="93" s="1"/>
  <c r="FN184" i="1"/>
  <c r="FP329" i="1"/>
  <c r="FP296" i="1"/>
  <c r="FS259" i="1"/>
  <c r="FP282" i="1"/>
  <c r="FP238" i="1"/>
  <c r="FP323" i="1"/>
  <c r="FP194" i="1"/>
  <c r="FP287" i="1"/>
  <c r="FP271" i="1"/>
  <c r="FP335" i="1"/>
  <c r="FP330" i="1"/>
  <c r="FP201" i="1"/>
  <c r="FP302" i="1"/>
  <c r="FP248" i="1"/>
  <c r="FP231" i="1"/>
  <c r="FP222" i="1"/>
  <c r="FP187" i="1"/>
  <c r="AE97" i="93" l="1"/>
  <c r="BI97" i="93" s="1"/>
  <c r="KL97" i="93" s="1"/>
  <c r="AJ97" i="93"/>
  <c r="BN97" i="93" s="1"/>
  <c r="KQ97" i="93" s="1"/>
  <c r="AF97" i="93"/>
  <c r="BJ97" i="93" s="1"/>
  <c r="KM97" i="93" s="1"/>
  <c r="W97" i="93"/>
  <c r="AB97" i="93"/>
  <c r="BF97" i="93" s="1"/>
  <c r="KI97" i="93" s="1"/>
  <c r="AA97" i="93"/>
  <c r="AI97" i="93"/>
  <c r="BM97" i="93" s="1"/>
  <c r="KP97" i="93" s="1"/>
  <c r="AD97" i="93"/>
  <c r="BH97" i="93" s="1"/>
  <c r="KK97" i="93" s="1"/>
  <c r="AH97" i="93"/>
  <c r="BL97" i="93" s="1"/>
  <c r="KO97" i="93" s="1"/>
  <c r="AG97" i="93"/>
  <c r="BK97" i="93" s="1"/>
  <c r="KN97" i="93" s="1"/>
  <c r="AC97" i="93"/>
  <c r="BG97" i="93" s="1"/>
  <c r="KJ97" i="93" s="1"/>
  <c r="BA107" i="93"/>
  <c r="BA108" i="93"/>
  <c r="BC103" i="93"/>
  <c r="IF103" i="93" s="1"/>
  <c r="BC102" i="93"/>
  <c r="IF102" i="93" s="1"/>
  <c r="BA109" i="93"/>
  <c r="BA102" i="93"/>
  <c r="BA110" i="93"/>
  <c r="BC105" i="93"/>
  <c r="IF105" i="93" s="1"/>
  <c r="BC104" i="93"/>
  <c r="IF104" i="93" s="1"/>
  <c r="BA103" i="93"/>
  <c r="BA104" i="93"/>
  <c r="BC107" i="93"/>
  <c r="IF107" i="93" s="1"/>
  <c r="BC110" i="93"/>
  <c r="IF110" i="93" s="1"/>
  <c r="BC108" i="93"/>
  <c r="IF108" i="93" s="1"/>
  <c r="BA105" i="93"/>
  <c r="BA106" i="93"/>
  <c r="BC109" i="93"/>
  <c r="IF109" i="93" s="1"/>
  <c r="BC106" i="93"/>
  <c r="IF106" i="93" s="1"/>
  <c r="BE103" i="93"/>
  <c r="KH103" i="93" s="1"/>
  <c r="BE106" i="93"/>
  <c r="KH106" i="93" s="1"/>
  <c r="BE107" i="93"/>
  <c r="KH107" i="93" s="1"/>
  <c r="BE105" i="93"/>
  <c r="KH105" i="93" s="1"/>
  <c r="BE102" i="93"/>
  <c r="KH102" i="93" s="1"/>
  <c r="BE108" i="93"/>
  <c r="KH108" i="93" s="1"/>
  <c r="BE110" i="93"/>
  <c r="KH110" i="93" s="1"/>
  <c r="BE109" i="93"/>
  <c r="KH109" i="93" s="1"/>
  <c r="BE104" i="93"/>
  <c r="KH104" i="93" s="1"/>
  <c r="M51" i="93"/>
  <c r="HH51" i="93" s="1"/>
  <c r="L51" i="93"/>
  <c r="HG51" i="93" s="1"/>
  <c r="BA97" i="93" l="1"/>
  <c r="GG97" i="93" s="1"/>
  <c r="DN97" i="93"/>
  <c r="GH103" i="93"/>
  <c r="GH102" i="93"/>
  <c r="GH108" i="93"/>
  <c r="GH109" i="93"/>
  <c r="GH107" i="93"/>
  <c r="GH106" i="93"/>
  <c r="GH105" i="93"/>
  <c r="GH104" i="93"/>
  <c r="GH110" i="93"/>
  <c r="GG109" i="93"/>
  <c r="GG107" i="93"/>
  <c r="GG105" i="93"/>
  <c r="GG104" i="93"/>
  <c r="GG110" i="93"/>
  <c r="GG106" i="93"/>
  <c r="GG103" i="93"/>
  <c r="GG102" i="93"/>
  <c r="GG108" i="93"/>
  <c r="Y97" i="93"/>
  <c r="BC97" i="93" s="1"/>
  <c r="IF97" i="93" s="1"/>
  <c r="DO97" i="93"/>
  <c r="BE97" i="93"/>
  <c r="KH97" i="93" s="1"/>
  <c r="FL103" i="93"/>
  <c r="FL102" i="93"/>
  <c r="FL108" i="93"/>
  <c r="FL109" i="93"/>
  <c r="FL107" i="93"/>
  <c r="FL106" i="93"/>
  <c r="FL105" i="93"/>
  <c r="FL104" i="93"/>
  <c r="FL110" i="93"/>
  <c r="M50" i="93"/>
  <c r="HH50" i="93" s="1"/>
  <c r="L50" i="93"/>
  <c r="HG50" i="93" s="1"/>
  <c r="GH97" i="93" l="1"/>
  <c r="FL97" i="93"/>
  <c r="DW97" i="93"/>
  <c r="DV97" i="93"/>
  <c r="DV102" i="93"/>
  <c r="DV107" i="93"/>
  <c r="DV109" i="93"/>
  <c r="DV103" i="93"/>
  <c r="DV106" i="93"/>
  <c r="DV104" i="93"/>
  <c r="AP62" i="93"/>
  <c r="AT62" i="93"/>
  <c r="AQ62" i="93"/>
  <c r="AS62" i="93"/>
  <c r="AR62" i="93"/>
  <c r="HJ50" i="93"/>
  <c r="HK50" i="93" s="1"/>
  <c r="HJ51" i="93"/>
  <c r="HK51" i="93" s="1"/>
  <c r="HH106" i="93" l="1"/>
  <c r="HH107" i="93"/>
  <c r="HH104" i="93"/>
  <c r="HH97" i="93"/>
  <c r="HH103" i="93"/>
  <c r="HH102" i="93"/>
  <c r="HH109" i="93"/>
  <c r="DV105" i="93"/>
  <c r="DV110" i="93"/>
  <c r="DV108" i="93"/>
  <c r="HH105" i="93" l="1"/>
  <c r="HH110" i="93"/>
  <c r="HH108" i="93"/>
  <c r="BQ27" i="98" l="1"/>
  <c r="FS174" i="1" l="1"/>
  <c r="FS173" i="1"/>
  <c r="FS295" i="1"/>
  <c r="FS282" i="1" l="1"/>
  <c r="FS330" i="1"/>
  <c r="FS194" i="1"/>
  <c r="FS335" i="1"/>
  <c r="FS201" i="1"/>
  <c r="FS222" i="1"/>
  <c r="FS329" i="1"/>
  <c r="FS187" i="1"/>
  <c r="FS248" i="1"/>
  <c r="FS323" i="1"/>
  <c r="FS231" i="1"/>
  <c r="FS238" i="1"/>
  <c r="FS287" i="1"/>
  <c r="FS271" i="1"/>
  <c r="FS296" i="1"/>
  <c r="FS302" i="1"/>
  <c r="DJ163" i="1" l="1"/>
  <c r="FM140" i="1" s="1"/>
  <c r="GW141" i="1" l="1"/>
  <c r="GX141" i="1" l="1"/>
  <c r="GY141" i="1" l="1"/>
  <c r="GZ141" i="1" l="1"/>
  <c r="HA141" i="1" l="1"/>
  <c r="HB141" i="1" l="1"/>
  <c r="HC141" i="1" l="1"/>
  <c r="HD141" i="1" l="1"/>
  <c r="HE141" i="1" l="1"/>
  <c r="HF141" i="1" l="1"/>
  <c r="HG141" i="1" l="1"/>
  <c r="HH141" i="1" l="1"/>
  <c r="HI141" i="1" l="1"/>
  <c r="HJ141" i="1" l="1"/>
  <c r="HK141" i="1" l="1"/>
  <c r="HL141" i="1" l="1"/>
  <c r="HM141" i="1" l="1"/>
  <c r="HN141" i="1" l="1"/>
  <c r="HO141" i="1" l="1"/>
  <c r="HP141" i="1" l="1"/>
  <c r="HQ141" i="1" l="1"/>
  <c r="HR141" i="1" l="1"/>
  <c r="HS141" i="1" l="1"/>
  <c r="HT141" i="1" l="1"/>
  <c r="HU141" i="1" l="1"/>
  <c r="HV141" i="1" l="1"/>
  <c r="HW141" i="1" l="1"/>
  <c r="HX141" i="1" l="1"/>
  <c r="HY141" i="1" l="1"/>
  <c r="HZ141" i="1" l="1"/>
  <c r="IA141" i="1" l="1"/>
  <c r="IB141" i="1" l="1"/>
  <c r="IC141" i="1" l="1"/>
  <c r="ID141" i="1" l="1"/>
  <c r="IE141" i="1" l="1"/>
  <c r="IF141" i="1" l="1"/>
  <c r="IG141" i="1" l="1"/>
  <c r="IH141" i="1" l="1"/>
  <c r="II141" i="1" l="1"/>
  <c r="IJ141" i="1" l="1"/>
  <c r="DW33" i="98" l="1"/>
  <c r="DW47" i="98"/>
  <c r="DW49" i="98"/>
  <c r="DW44" i="98"/>
  <c r="DW71" i="98"/>
  <c r="DW45" i="98"/>
  <c r="DW42" i="98"/>
  <c r="DW46" i="98"/>
  <c r="DW41" i="98"/>
  <c r="DW40" i="98"/>
  <c r="DW67" i="98"/>
  <c r="DW38" i="98"/>
  <c r="DW35" i="98"/>
  <c r="DW51" i="98"/>
  <c r="DW68" i="98"/>
  <c r="DW50" i="98"/>
  <c r="DW31" i="98"/>
  <c r="DW48" i="98"/>
  <c r="DW54" i="98"/>
  <c r="D27" i="136" s="1"/>
  <c r="DW43" i="98"/>
  <c r="DW32" i="98"/>
  <c r="DW69" i="98"/>
  <c r="DW39" i="98"/>
  <c r="DW56" i="98"/>
  <c r="D29" i="136" s="1"/>
  <c r="DW37" i="98"/>
  <c r="DW36" i="98"/>
  <c r="DW53" i="98"/>
  <c r="DW34" i="98"/>
  <c r="DW55" i="98"/>
  <c r="D28" i="136" s="1"/>
  <c r="DW70" i="98"/>
  <c r="D9" i="136" l="1"/>
  <c r="D21" i="136"/>
  <c r="D7" i="136"/>
  <c r="D16" i="136"/>
  <c r="D23" i="136"/>
  <c r="D11" i="136"/>
  <c r="D19" i="136"/>
  <c r="D17" i="136"/>
  <c r="D26" i="136"/>
  <c r="D12" i="136"/>
  <c r="D15" i="136"/>
  <c r="D22" i="136"/>
  <c r="D18" i="136"/>
  <c r="D20" i="136"/>
  <c r="D24" i="136"/>
  <c r="D13" i="136"/>
  <c r="D10" i="136"/>
  <c r="D8" i="136"/>
  <c r="D14" i="136"/>
  <c r="DJ169" i="1"/>
  <c r="DJ26" i="1" l="1"/>
  <c r="DJ27" i="1"/>
  <c r="DJ25" i="1"/>
  <c r="FP140" i="1" s="1"/>
  <c r="DJ29" i="1"/>
  <c r="GN140" i="1"/>
  <c r="BL111" i="93"/>
  <c r="KO111" i="93" s="1"/>
  <c r="BM111" i="93"/>
  <c r="KP111" i="93" s="1"/>
  <c r="BJ111" i="93"/>
  <c r="KM111" i="93" s="1"/>
  <c r="BK111" i="93"/>
  <c r="KN111" i="93" s="1"/>
  <c r="BK96" i="93"/>
  <c r="KN96" i="93" s="1"/>
  <c r="BM96" i="93"/>
  <c r="KP96" i="93" s="1"/>
  <c r="BJ96" i="93"/>
  <c r="KM96" i="93" s="1"/>
  <c r="BL96" i="93"/>
  <c r="KO96" i="93" s="1"/>
  <c r="BJ113" i="93"/>
  <c r="KM113" i="93" s="1"/>
  <c r="BL113" i="93"/>
  <c r="KO113" i="93" s="1"/>
  <c r="BM113" i="93"/>
  <c r="KP113" i="93" s="1"/>
  <c r="BK113" i="93"/>
  <c r="KN113" i="93" s="1"/>
  <c r="BL95" i="93"/>
  <c r="KO95" i="93" s="1"/>
  <c r="BJ95" i="93"/>
  <c r="KM95" i="93" s="1"/>
  <c r="BM95" i="93"/>
  <c r="KP95" i="93" s="1"/>
  <c r="BK95" i="93"/>
  <c r="KN95" i="93" s="1"/>
  <c r="BK100" i="93"/>
  <c r="KN100" i="93" s="1"/>
  <c r="BM100" i="93"/>
  <c r="KP100" i="93" s="1"/>
  <c r="BL100" i="93"/>
  <c r="KO100" i="93" s="1"/>
  <c r="BJ100" i="93"/>
  <c r="KM100" i="93" s="1"/>
  <c r="BK112" i="93"/>
  <c r="KN112" i="93" s="1"/>
  <c r="BJ112" i="93"/>
  <c r="KM112" i="93" s="1"/>
  <c r="BL112" i="93"/>
  <c r="KO112" i="93" s="1"/>
  <c r="BM112" i="93"/>
  <c r="KP112" i="93" s="1"/>
  <c r="BL99" i="93"/>
  <c r="KO99" i="93" s="1"/>
  <c r="BJ99" i="93"/>
  <c r="KM99" i="93" s="1"/>
  <c r="BK99" i="93"/>
  <c r="KN99" i="93" s="1"/>
  <c r="BM99" i="93"/>
  <c r="KP99" i="93" s="1"/>
  <c r="BM98" i="93"/>
  <c r="KP98" i="93" s="1"/>
  <c r="BJ98" i="93"/>
  <c r="KM98" i="93" s="1"/>
  <c r="BK98" i="93"/>
  <c r="KN98" i="93" s="1"/>
  <c r="BL98" i="93"/>
  <c r="KO98" i="93" s="1"/>
  <c r="BM94" i="93"/>
  <c r="KP94" i="93" s="1"/>
  <c r="BL94" i="93"/>
  <c r="KO94" i="93" s="1"/>
  <c r="BJ94" i="93"/>
  <c r="KM94" i="93" s="1"/>
  <c r="BK94" i="93"/>
  <c r="KN94" i="93" s="1"/>
  <c r="BJ101" i="93"/>
  <c r="KM101" i="93" s="1"/>
  <c r="BK101" i="93"/>
  <c r="KN101" i="93" s="1"/>
  <c r="BL101" i="93"/>
  <c r="KO101" i="93" s="1"/>
  <c r="BM101" i="93"/>
  <c r="KP101" i="93" s="1"/>
  <c r="BI94" i="93"/>
  <c r="KL94" i="93" s="1"/>
  <c r="BF94" i="93"/>
  <c r="KI94" i="93" s="1"/>
  <c r="BH94" i="93"/>
  <c r="KK94" i="93" s="1"/>
  <c r="BG94" i="93"/>
  <c r="KJ94" i="93" s="1"/>
  <c r="BF98" i="93"/>
  <c r="KI98" i="93" s="1"/>
  <c r="BH98" i="93"/>
  <c r="KK98" i="93" s="1"/>
  <c r="BI98" i="93"/>
  <c r="KL98" i="93" s="1"/>
  <c r="BG98" i="93"/>
  <c r="KJ98" i="93" s="1"/>
  <c r="BF113" i="93"/>
  <c r="KI113" i="93" s="1"/>
  <c r="BI113" i="93"/>
  <c r="KL113" i="93" s="1"/>
  <c r="BH113" i="93"/>
  <c r="KK113" i="93" s="1"/>
  <c r="BI99" i="93"/>
  <c r="KL99" i="93" s="1"/>
  <c r="BG99" i="93"/>
  <c r="KJ99" i="93" s="1"/>
  <c r="BF99" i="93"/>
  <c r="KI99" i="93" s="1"/>
  <c r="BH99" i="93"/>
  <c r="KK99" i="93" s="1"/>
  <c r="BG111" i="93"/>
  <c r="KJ111" i="93" s="1"/>
  <c r="BH111" i="93"/>
  <c r="KK111" i="93" s="1"/>
  <c r="BI111" i="93"/>
  <c r="KL111" i="93" s="1"/>
  <c r="BF111" i="93"/>
  <c r="KI111" i="93" s="1"/>
  <c r="BG100" i="93"/>
  <c r="KJ100" i="93" s="1"/>
  <c r="BI100" i="93"/>
  <c r="KL100" i="93" s="1"/>
  <c r="BH100" i="93"/>
  <c r="KK100" i="93" s="1"/>
  <c r="BF100" i="93"/>
  <c r="KI100" i="93" s="1"/>
  <c r="BF96" i="93"/>
  <c r="KI96" i="93" s="1"/>
  <c r="BH96" i="93"/>
  <c r="KK96" i="93" s="1"/>
  <c r="BG96" i="93"/>
  <c r="KJ96" i="93" s="1"/>
  <c r="BI96" i="93"/>
  <c r="KL96" i="93" s="1"/>
  <c r="BI112" i="93"/>
  <c r="KL112" i="93" s="1"/>
  <c r="BG112" i="93"/>
  <c r="KJ112" i="93" s="1"/>
  <c r="BH112" i="93"/>
  <c r="KK112" i="93" s="1"/>
  <c r="BF112" i="93"/>
  <c r="KI112" i="93" s="1"/>
  <c r="BF95" i="93"/>
  <c r="KI95" i="93" s="1"/>
  <c r="BH95" i="93"/>
  <c r="KK95" i="93" s="1"/>
  <c r="BG95" i="93"/>
  <c r="KJ95" i="93" s="1"/>
  <c r="BI95" i="93"/>
  <c r="KL95" i="93" s="1"/>
  <c r="BG113" i="93"/>
  <c r="KJ113" i="93" s="1"/>
  <c r="BH101" i="93"/>
  <c r="KK101" i="93" s="1"/>
  <c r="BI101" i="93"/>
  <c r="KL101" i="93" s="1"/>
  <c r="BG101" i="93"/>
  <c r="KJ101" i="93" s="1"/>
  <c r="BF101" i="93"/>
  <c r="KI101" i="93" s="1"/>
  <c r="BC99" i="93" l="1"/>
  <c r="IF99" i="93" s="1"/>
  <c r="BC98" i="93"/>
  <c r="IF98" i="93" s="1"/>
  <c r="BA101" i="93"/>
  <c r="BA100" i="93"/>
  <c r="BA113" i="93"/>
  <c r="BA111" i="93"/>
  <c r="BC100" i="93"/>
  <c r="IF100" i="93" s="1"/>
  <c r="BC101" i="93"/>
  <c r="IF101" i="93" s="1"/>
  <c r="BC95" i="93"/>
  <c r="IF95" i="93" s="1"/>
  <c r="BC112" i="93"/>
  <c r="IF112" i="93" s="1"/>
  <c r="BC111" i="93"/>
  <c r="IF111" i="93" s="1"/>
  <c r="BA112" i="93"/>
  <c r="BC96" i="93"/>
  <c r="IF96" i="93" s="1"/>
  <c r="BA99" i="93"/>
  <c r="BC113" i="93"/>
  <c r="IF113" i="93" s="1"/>
  <c r="BC94" i="93"/>
  <c r="IF94" i="93" s="1"/>
  <c r="BN101" i="93"/>
  <c r="KQ101" i="93" s="1"/>
  <c r="BN94" i="93"/>
  <c r="KQ94" i="93" s="1"/>
  <c r="BN99" i="93"/>
  <c r="KQ99" i="93" s="1"/>
  <c r="BN113" i="93"/>
  <c r="KQ113" i="93" s="1"/>
  <c r="BN111" i="93"/>
  <c r="KQ111" i="93" s="1"/>
  <c r="BN112" i="93"/>
  <c r="KQ112" i="93" s="1"/>
  <c r="BN100" i="93"/>
  <c r="KQ100" i="93" s="1"/>
  <c r="BN95" i="93"/>
  <c r="KQ95" i="93" s="1"/>
  <c r="BN98" i="93"/>
  <c r="KQ98" i="93" s="1"/>
  <c r="BN96" i="93"/>
  <c r="KQ96" i="93" s="1"/>
  <c r="BA96" i="93"/>
  <c r="BA95" i="93"/>
  <c r="BA94" i="93"/>
  <c r="BA98" i="93"/>
  <c r="FN140" i="1"/>
  <c r="BE101" i="93"/>
  <c r="KH101" i="93" s="1"/>
  <c r="BE111" i="93"/>
  <c r="KH111" i="93" s="1"/>
  <c r="BE113" i="93"/>
  <c r="KH113" i="93" s="1"/>
  <c r="BE94" i="93"/>
  <c r="KH94" i="93" s="1"/>
  <c r="BE112" i="93"/>
  <c r="KH112" i="93" s="1"/>
  <c r="BE100" i="93"/>
  <c r="KH100" i="93" s="1"/>
  <c r="BE95" i="93"/>
  <c r="KH95" i="93" s="1"/>
  <c r="BE99" i="93"/>
  <c r="KH99" i="93" s="1"/>
  <c r="BE96" i="93"/>
  <c r="KH96" i="93" s="1"/>
  <c r="BE98" i="93"/>
  <c r="KH98" i="93" s="1"/>
  <c r="GH95" i="93" l="1"/>
  <c r="GH96" i="93"/>
  <c r="GH112" i="93"/>
  <c r="GH98" i="93"/>
  <c r="GH99" i="93"/>
  <c r="GH111" i="93"/>
  <c r="GH100" i="93"/>
  <c r="GH94" i="93"/>
  <c r="GH113" i="93"/>
  <c r="GH101" i="93"/>
  <c r="GG95" i="93"/>
  <c r="GG112" i="93"/>
  <c r="GG100" i="93"/>
  <c r="GG98" i="93"/>
  <c r="GG99" i="93"/>
  <c r="GG111" i="93"/>
  <c r="GG96" i="93"/>
  <c r="GG94" i="93"/>
  <c r="GG113" i="93"/>
  <c r="GG101" i="93"/>
  <c r="FL113" i="93"/>
  <c r="FL101" i="93"/>
  <c r="FL94" i="93"/>
  <c r="FL95" i="93"/>
  <c r="FL100" i="93"/>
  <c r="FL112" i="93"/>
  <c r="FL98" i="93"/>
  <c r="FL96" i="93"/>
  <c r="FL99" i="93"/>
  <c r="FL111" i="93"/>
  <c r="ES157" i="1" l="1"/>
  <c r="DV112" i="93"/>
  <c r="DV113" i="93"/>
  <c r="DV99" i="93"/>
  <c r="FN342" i="1"/>
  <c r="FN335" i="1"/>
  <c r="HH112" i="93" l="1"/>
  <c r="HH113" i="93"/>
  <c r="HH99" i="93"/>
  <c r="DV111" i="93"/>
  <c r="DV101" i="93"/>
  <c r="DV96" i="93"/>
  <c r="DV98" i="93"/>
  <c r="DV100" i="93"/>
  <c r="DV94" i="93"/>
  <c r="DV95" i="93"/>
  <c r="K27" i="136" l="1"/>
  <c r="T27" i="136" s="1"/>
  <c r="HH96" i="93"/>
  <c r="HH111" i="93"/>
  <c r="HH95" i="93"/>
  <c r="HH100" i="93"/>
  <c r="HH98" i="93"/>
  <c r="HH101" i="93"/>
  <c r="HH94" i="93"/>
  <c r="AJ134" i="123" l="1"/>
  <c r="AJ130" i="123" l="1"/>
  <c r="AJ129" i="123"/>
  <c r="IY19" i="93" l="1"/>
  <c r="W202" i="123" l="1"/>
  <c r="G36" i="98" s="1"/>
  <c r="W182" i="123" l="1"/>
  <c r="W194" i="123"/>
  <c r="W196" i="123" l="1"/>
  <c r="G54" i="98" s="1"/>
  <c r="W174" i="123"/>
  <c r="W203" i="123"/>
  <c r="W154" i="123"/>
  <c r="W199" i="123"/>
  <c r="W206" i="123"/>
  <c r="W197" i="123"/>
  <c r="W189" i="123"/>
  <c r="W134" i="123" l="1"/>
  <c r="W198" i="123"/>
  <c r="G35" i="98" s="1"/>
  <c r="BA121" i="97"/>
  <c r="BB121" i="97" l="1"/>
  <c r="BB122" i="97"/>
  <c r="BA122" i="97"/>
  <c r="AN121" i="97"/>
  <c r="AN122" i="97" l="1"/>
  <c r="BA120" i="97"/>
  <c r="BB120" i="97"/>
  <c r="AN120" i="97" l="1"/>
  <c r="DJ130" i="123" l="1"/>
  <c r="DJ129" i="123"/>
  <c r="GE30" i="98"/>
  <c r="AK57" i="98" l="1"/>
  <c r="FD57" i="98" s="1"/>
  <c r="AM57" i="98"/>
  <c r="AK60" i="98"/>
  <c r="FD60" i="98" s="1"/>
  <c r="AM60" i="98"/>
  <c r="AK62" i="98"/>
  <c r="FD62" i="98" s="1"/>
  <c r="L35" i="129" s="1"/>
  <c r="AM62" i="98"/>
  <c r="AK64" i="98"/>
  <c r="FD64" i="98" s="1"/>
  <c r="AM64" i="98"/>
  <c r="AK63" i="98"/>
  <c r="FD63" i="98" s="1"/>
  <c r="AM63" i="98"/>
  <c r="AK61" i="98"/>
  <c r="FD61" i="98" s="1"/>
  <c r="AM61" i="98"/>
  <c r="F35" i="129" l="1"/>
  <c r="D35" i="129"/>
  <c r="A35" i="129"/>
  <c r="R34" i="136"/>
  <c r="B34" i="136" s="1"/>
  <c r="L34" i="129"/>
  <c r="R33" i="136"/>
  <c r="L33" i="129"/>
  <c r="R30" i="136"/>
  <c r="L30" i="129"/>
  <c r="GP171" i="1"/>
  <c r="E170" i="1"/>
  <c r="A34" i="129" l="1"/>
  <c r="F34" i="129"/>
  <c r="D34" i="129"/>
  <c r="B30" i="136"/>
  <c r="B33" i="136"/>
  <c r="A30" i="129"/>
  <c r="D30" i="129"/>
  <c r="F30" i="129"/>
  <c r="F33" i="129"/>
  <c r="A33" i="129"/>
  <c r="D33" i="129"/>
  <c r="FQ192" i="1"/>
  <c r="FQ202" i="1"/>
  <c r="AN202" i="1" s="1"/>
  <c r="FZ190" i="1" a="1"/>
  <c r="FZ190" i="1" s="1"/>
  <c r="GN190" i="1" s="1"/>
  <c r="FQ306" i="1"/>
  <c r="FS306" i="1" s="1"/>
  <c r="FZ250" i="1" a="1"/>
  <c r="FZ250" i="1" s="1"/>
  <c r="GN250" i="1" s="1"/>
  <c r="FQ246" i="1"/>
  <c r="FQ291" i="1"/>
  <c r="FQ189" i="1"/>
  <c r="FS189" i="1" s="1"/>
  <c r="FQ193" i="1"/>
  <c r="FS193" i="1" s="1"/>
  <c r="FQ290" i="1"/>
  <c r="FP290" i="1" s="1"/>
  <c r="FQ225" i="1"/>
  <c r="FZ223" i="1" a="1"/>
  <c r="FZ223" i="1" s="1"/>
  <c r="GN223" i="1" s="1"/>
  <c r="FQ228" i="1"/>
  <c r="FS228" i="1" s="1"/>
  <c r="FQ199" i="1"/>
  <c r="AN199" i="1" s="1"/>
  <c r="FQ285" i="1"/>
  <c r="FP285" i="1" s="1"/>
  <c r="FQ273" i="1"/>
  <c r="FP273" i="1" s="1"/>
  <c r="FQ241" i="1"/>
  <c r="FP241" i="1" s="1"/>
  <c r="FQ307" i="1"/>
  <c r="FZ193" i="1" a="1"/>
  <c r="FZ193" i="1" s="1"/>
  <c r="GN193" i="1" s="1"/>
  <c r="FZ285" i="1" a="1"/>
  <c r="FZ285" i="1" s="1"/>
  <c r="GN285" i="1" s="1"/>
  <c r="FZ296" i="1" a="1"/>
  <c r="FZ296" i="1" s="1"/>
  <c r="GN296" i="1" s="1"/>
  <c r="FZ197" i="1" a="1"/>
  <c r="FZ197" i="1" s="1"/>
  <c r="GN197" i="1" s="1"/>
  <c r="FQ236" i="1"/>
  <c r="FS236" i="1" s="1"/>
  <c r="FQ359" i="1"/>
  <c r="FS359" i="1" s="1"/>
  <c r="FQ297" i="1"/>
  <c r="FQ364" i="1"/>
  <c r="FS364" i="1" s="1"/>
  <c r="FQ270" i="1"/>
  <c r="FS270" i="1" s="1"/>
  <c r="FQ195" i="1"/>
  <c r="FQ320" i="1"/>
  <c r="FQ361" i="1"/>
  <c r="FS361" i="1" s="1"/>
  <c r="FQ176" i="1"/>
  <c r="FP176" i="1" s="1"/>
  <c r="FQ286" i="1"/>
  <c r="FS286" i="1" s="1"/>
  <c r="FQ300" i="1"/>
  <c r="FS300" i="1" s="1"/>
  <c r="FZ306" i="1" a="1"/>
  <c r="FZ306" i="1" s="1"/>
  <c r="GN306" i="1" s="1"/>
  <c r="FQ254" i="1"/>
  <c r="FP254" i="1" s="1"/>
  <c r="FQ183" i="1"/>
  <c r="FP183" i="1" s="1"/>
  <c r="FZ348" i="1" a="1"/>
  <c r="FZ348" i="1" s="1"/>
  <c r="GN348" i="1" s="1"/>
  <c r="FZ351" i="1" a="1"/>
  <c r="FZ351" i="1" s="1"/>
  <c r="GN351" i="1" s="1"/>
  <c r="AE58" i="98" s="1"/>
  <c r="AH58" i="98" s="1"/>
  <c r="FQ358" i="1"/>
  <c r="FP358" i="1" s="1"/>
  <c r="FQ257" i="1"/>
  <c r="FP257" i="1" s="1"/>
  <c r="FQ267" i="1"/>
  <c r="FP267" i="1" s="1"/>
  <c r="FQ262" i="1"/>
  <c r="FP262" i="1" s="1"/>
  <c r="FQ310" i="1"/>
  <c r="FZ180" i="1" a="1"/>
  <c r="FZ180" i="1" s="1"/>
  <c r="GN180" i="1" s="1"/>
  <c r="FZ186" i="1" a="1"/>
  <c r="FZ186" i="1" s="1"/>
  <c r="GN186" i="1" s="1"/>
  <c r="FZ311" i="1" a="1"/>
  <c r="FZ311" i="1" s="1"/>
  <c r="GN311" i="1" s="1"/>
  <c r="FQ179" i="1"/>
  <c r="FP179" i="1" s="1"/>
  <c r="FQ347" i="1"/>
  <c r="FS347" i="1" s="1"/>
  <c r="FQ334" i="1"/>
  <c r="FS334" i="1" s="1"/>
  <c r="FQ351" i="1"/>
  <c r="FS351" i="1" s="1"/>
  <c r="FQ283" i="1"/>
  <c r="FQ327" i="1"/>
  <c r="FS327" i="1" s="1"/>
  <c r="FQ242" i="1"/>
  <c r="FZ253" i="1" a="1"/>
  <c r="FZ253" i="1" s="1"/>
  <c r="GN253" i="1" s="1"/>
  <c r="FQ220" i="1"/>
  <c r="FS220" i="1" s="1"/>
  <c r="FZ259" i="1" a="1"/>
  <c r="FZ259" i="1" s="1"/>
  <c r="GN259" i="1" s="1"/>
  <c r="FQ303" i="1"/>
  <c r="FS303" i="1" s="1"/>
  <c r="FQ266" i="1"/>
  <c r="FS266" i="1" s="1"/>
  <c r="FQ240" i="1"/>
  <c r="FP240" i="1" s="1"/>
  <c r="FQ235" i="1"/>
  <c r="FP235" i="1" s="1"/>
  <c r="FQ274" i="1"/>
  <c r="FQ363" i="1"/>
  <c r="FS363" i="1" s="1"/>
  <c r="FQ284" i="1"/>
  <c r="FZ196" i="1" a="1"/>
  <c r="FZ196" i="1" s="1"/>
  <c r="GN196" i="1" s="1"/>
  <c r="FZ175" i="1" a="1"/>
  <c r="FZ175" i="1" s="1"/>
  <c r="GN175" i="1" s="1"/>
  <c r="FZ270" i="1" a="1"/>
  <c r="FZ270" i="1" s="1"/>
  <c r="GN270" i="1" s="1"/>
  <c r="FZ235" i="1" a="1"/>
  <c r="FZ235" i="1" s="1"/>
  <c r="GN235" i="1" s="1"/>
  <c r="FZ334" i="1" a="1"/>
  <c r="FZ334" i="1" s="1"/>
  <c r="GN334" i="1" s="1"/>
  <c r="FZ224" i="1" a="1"/>
  <c r="FZ224" i="1" s="1"/>
  <c r="GN224" i="1" s="1"/>
  <c r="FZ361" i="1" a="1"/>
  <c r="FZ361" i="1" s="1"/>
  <c r="GN361" i="1" s="1"/>
  <c r="FZ309" i="1" a="1"/>
  <c r="FZ309" i="1" s="1"/>
  <c r="GN309" i="1" s="1"/>
  <c r="FZ241" i="1" a="1"/>
  <c r="FZ241" i="1" s="1"/>
  <c r="GN241" i="1" s="1"/>
  <c r="FZ312" i="1" a="1"/>
  <c r="FZ312" i="1" s="1"/>
  <c r="GN312" i="1" s="1"/>
  <c r="FZ284" i="1" a="1"/>
  <c r="FZ284" i="1" s="1"/>
  <c r="GN284" i="1" s="1"/>
  <c r="FZ189" i="1" a="1"/>
  <c r="FZ189" i="1" s="1"/>
  <c r="GN189" i="1" s="1"/>
  <c r="FZ177" i="1" a="1"/>
  <c r="FZ177" i="1" s="1"/>
  <c r="GN177" i="1" s="1"/>
  <c r="FZ326" i="1" a="1"/>
  <c r="FZ326" i="1" s="1"/>
  <c r="GN326" i="1" s="1"/>
  <c r="FQ198" i="1"/>
  <c r="AN198" i="1" s="1"/>
  <c r="FQ332" i="1"/>
  <c r="FP332" i="1" s="1"/>
  <c r="FQ309" i="1"/>
  <c r="FP309" i="1" s="1"/>
  <c r="FQ354" i="1"/>
  <c r="FP354" i="1" s="1"/>
  <c r="FQ352" i="1"/>
  <c r="FP352" i="1" s="1"/>
  <c r="FQ191" i="1"/>
  <c r="FQ204" i="1"/>
  <c r="FS204" i="1" s="1"/>
  <c r="FQ265" i="1"/>
  <c r="FS265" i="1" s="1"/>
  <c r="FQ319" i="1"/>
  <c r="FS319" i="1" s="1"/>
  <c r="FQ341" i="1"/>
  <c r="FP341" i="1" s="1"/>
  <c r="FQ272" i="1"/>
  <c r="FS272" i="1" s="1"/>
  <c r="FQ197" i="1"/>
  <c r="FQ258" i="1"/>
  <c r="FP258" i="1" s="1"/>
  <c r="FQ249" i="1"/>
  <c r="FS249" i="1" s="1"/>
  <c r="FQ264" i="1"/>
  <c r="FS264" i="1" s="1"/>
  <c r="FQ289" i="1"/>
  <c r="FS289" i="1" s="1"/>
  <c r="FQ263" i="1"/>
  <c r="FS263" i="1" s="1"/>
  <c r="FQ288" i="1"/>
  <c r="FP288" i="1" s="1"/>
  <c r="FQ314" i="1"/>
  <c r="FQ304" i="1"/>
  <c r="FS304" i="1" s="1"/>
  <c r="FQ244" i="1"/>
  <c r="FP244" i="1" s="1"/>
  <c r="FQ315" i="1"/>
  <c r="FQ281" i="1"/>
  <c r="FP281" i="1" s="1"/>
  <c r="FQ261" i="1"/>
  <c r="FP261" i="1" s="1"/>
  <c r="FQ253" i="1"/>
  <c r="FP253" i="1" s="1"/>
  <c r="FQ316" i="1"/>
  <c r="FQ251" i="1"/>
  <c r="FQ333" i="1"/>
  <c r="FS333" i="1" s="1"/>
  <c r="FQ224" i="1"/>
  <c r="FQ255" i="1"/>
  <c r="FS255" i="1" s="1"/>
  <c r="FZ300" i="1" a="1"/>
  <c r="FZ300" i="1" s="1"/>
  <c r="GN300" i="1" s="1"/>
  <c r="FZ248" i="1" a="1"/>
  <c r="FZ248" i="1" s="1"/>
  <c r="GN248" i="1" s="1"/>
  <c r="FQ294" i="1"/>
  <c r="FP294" i="1" s="1"/>
  <c r="FQ276" i="1"/>
  <c r="FS276" i="1" s="1"/>
  <c r="FQ182" i="1"/>
  <c r="FQ312" i="1"/>
  <c r="FP312" i="1" s="1"/>
  <c r="FQ301" i="1"/>
  <c r="FZ228" i="1" a="1"/>
  <c r="FZ228" i="1" s="1"/>
  <c r="GN228" i="1" s="1"/>
  <c r="FZ188" i="1" a="1"/>
  <c r="FZ188" i="1" s="1"/>
  <c r="GN188" i="1" s="1"/>
  <c r="FZ292" i="1" a="1"/>
  <c r="FZ292" i="1" s="1"/>
  <c r="GN292" i="1" s="1"/>
  <c r="FZ344" i="1" a="1"/>
  <c r="FZ344" i="1" s="1"/>
  <c r="GN344" i="1" s="1"/>
  <c r="FZ323" i="1" a="1"/>
  <c r="FZ323" i="1" s="1"/>
  <c r="GN323" i="1" s="1"/>
  <c r="FZ199" i="1" a="1"/>
  <c r="FZ199" i="1" s="1"/>
  <c r="GN199" i="1" s="1"/>
  <c r="FZ181" i="1" a="1"/>
  <c r="FZ181" i="1" s="1"/>
  <c r="GN181" i="1" s="1"/>
  <c r="FZ286" i="1" a="1"/>
  <c r="FZ286" i="1" s="1"/>
  <c r="GN286" i="1" s="1"/>
  <c r="FZ336" i="1" a="1"/>
  <c r="FZ336" i="1" s="1"/>
  <c r="GN336" i="1" s="1"/>
  <c r="FZ179" i="1" a="1"/>
  <c r="FZ179" i="1" s="1"/>
  <c r="GN179" i="1" s="1"/>
  <c r="FZ314" i="1" a="1"/>
  <c r="FZ314" i="1" s="1"/>
  <c r="GN314" i="1" s="1"/>
  <c r="FZ176" i="1" a="1"/>
  <c r="FZ176" i="1" s="1"/>
  <c r="GN176" i="1" s="1"/>
  <c r="FZ267" i="1" a="1"/>
  <c r="FZ267" i="1" s="1"/>
  <c r="GN267" i="1" s="1"/>
  <c r="FZ201" i="1" a="1"/>
  <c r="FZ201" i="1" s="1"/>
  <c r="GN201" i="1" s="1"/>
  <c r="FQ322" i="1"/>
  <c r="FQ356" i="1"/>
  <c r="FP356" i="1" s="1"/>
  <c r="FQ190" i="1"/>
  <c r="FS190" i="1" s="1"/>
  <c r="FQ338" i="1"/>
  <c r="FP338" i="1" s="1"/>
  <c r="FQ293" i="1"/>
  <c r="FS293" i="1" s="1"/>
  <c r="FQ256" i="1"/>
  <c r="FS256" i="1" s="1"/>
  <c r="FQ336" i="1"/>
  <c r="FQ247" i="1"/>
  <c r="FQ227" i="1"/>
  <c r="FS227" i="1" s="1"/>
  <c r="FQ275" i="1"/>
  <c r="FP275" i="1" s="1"/>
  <c r="FQ200" i="1"/>
  <c r="FP200" i="1" s="1"/>
  <c r="FQ234" i="1"/>
  <c r="FP234" i="1" s="1"/>
  <c r="FQ344" i="1"/>
  <c r="FP344" i="1" s="1"/>
  <c r="FQ268" i="1"/>
  <c r="FS268" i="1" s="1"/>
  <c r="FQ321" i="1"/>
  <c r="FQ292" i="1"/>
  <c r="FQ226" i="1"/>
  <c r="FQ186" i="1"/>
  <c r="FQ260" i="1"/>
  <c r="FS260" i="1" s="1"/>
  <c r="FQ355" i="1"/>
  <c r="FS355" i="1" s="1"/>
  <c r="FZ183" i="1" a="1"/>
  <c r="FZ183" i="1" s="1"/>
  <c r="GN183" i="1" s="1"/>
  <c r="FZ322" i="1" a="1"/>
  <c r="FZ322" i="1" s="1"/>
  <c r="GN322" i="1" s="1"/>
  <c r="FZ245" i="1" a="1"/>
  <c r="FZ245" i="1" s="1"/>
  <c r="GN245" i="1" s="1"/>
  <c r="FZ318" i="1" a="1"/>
  <c r="FZ318" i="1" s="1"/>
  <c r="GN318" i="1" s="1"/>
  <c r="FZ287" i="1" a="1"/>
  <c r="FZ287" i="1" s="1"/>
  <c r="GN287" i="1" s="1"/>
  <c r="FZ363" i="1" a="1"/>
  <c r="FZ363" i="1" s="1"/>
  <c r="GN363" i="1" s="1"/>
  <c r="FZ192" i="1" a="1"/>
  <c r="FZ192" i="1" s="1"/>
  <c r="GN192" i="1" s="1"/>
  <c r="FZ239" i="1" a="1"/>
  <c r="FZ239" i="1" s="1"/>
  <c r="GN239" i="1" s="1"/>
  <c r="FZ238" i="1" a="1"/>
  <c r="FZ238" i="1" s="1"/>
  <c r="GN238" i="1" s="1"/>
  <c r="FZ182" i="1" a="1"/>
  <c r="FZ182" i="1" s="1"/>
  <c r="GN182" i="1" s="1"/>
  <c r="FZ330" i="1" a="1"/>
  <c r="FZ330" i="1" s="1"/>
  <c r="GN330" i="1" s="1"/>
  <c r="FZ252" i="1" a="1"/>
  <c r="FZ252" i="1" s="1"/>
  <c r="GN252" i="1" s="1"/>
  <c r="FZ321" i="1" a="1"/>
  <c r="FZ321" i="1" s="1"/>
  <c r="GN321" i="1" s="1"/>
  <c r="FQ175" i="1"/>
  <c r="FQ196" i="1"/>
  <c r="FQ325" i="1"/>
  <c r="FP325" i="1" s="1"/>
  <c r="FQ243" i="1"/>
  <c r="FP243" i="1" s="1"/>
  <c r="FQ203" i="1"/>
  <c r="FS203" i="1" s="1"/>
  <c r="FQ313" i="1"/>
  <c r="FS313" i="1" s="1"/>
  <c r="FQ250" i="1"/>
  <c r="FQ348" i="1"/>
  <c r="FQ350" i="1"/>
  <c r="FQ318" i="1"/>
  <c r="FP318" i="1" s="1"/>
  <c r="FQ277" i="1"/>
  <c r="FP277" i="1" s="1"/>
  <c r="FQ230" i="1"/>
  <c r="FS230" i="1" s="1"/>
  <c r="FQ337" i="1"/>
  <c r="FQ326" i="1"/>
  <c r="FS326" i="1" s="1"/>
  <c r="FQ252" i="1"/>
  <c r="FP252" i="1" s="1"/>
  <c r="FQ308" i="1"/>
  <c r="FQ279" i="1"/>
  <c r="FP279" i="1" s="1"/>
  <c r="FQ343" i="1"/>
  <c r="FP343" i="1" s="1"/>
  <c r="FQ229" i="1"/>
  <c r="FQ245" i="1"/>
  <c r="FS245" i="1" s="1"/>
  <c r="FQ237" i="1"/>
  <c r="FQ331" i="1"/>
  <c r="FQ239" i="1"/>
  <c r="FS239" i="1" s="1"/>
  <c r="FQ180" i="1"/>
  <c r="FP180" i="1" s="1"/>
  <c r="FQ345" i="1"/>
  <c r="FP345" i="1" s="1"/>
  <c r="FQ340" i="1"/>
  <c r="FP340" i="1" s="1"/>
  <c r="FZ297" i="1" a="1"/>
  <c r="FZ297" i="1" s="1"/>
  <c r="GN297" i="1" s="1"/>
  <c r="FQ346" i="1"/>
  <c r="FQ357" i="1"/>
  <c r="FS357" i="1" s="1"/>
  <c r="FQ311" i="1"/>
  <c r="FQ280" i="1"/>
  <c r="FQ317" i="1"/>
  <c r="FQ278" i="1"/>
  <c r="FQ177" i="1"/>
  <c r="FP177" i="1" s="1"/>
  <c r="FZ204" i="1" a="1"/>
  <c r="FZ204" i="1" s="1"/>
  <c r="GN204" i="1" s="1"/>
  <c r="FQ299" i="1"/>
  <c r="FQ362" i="1"/>
  <c r="FP362" i="1" s="1"/>
  <c r="FZ352" i="1" a="1"/>
  <c r="FZ352" i="1" s="1"/>
  <c r="GN352" i="1" s="1"/>
  <c r="FZ226" i="1" a="1"/>
  <c r="FZ226" i="1" s="1"/>
  <c r="GN226" i="1" s="1"/>
  <c r="FZ225" i="1" a="1"/>
  <c r="FZ225" i="1" s="1"/>
  <c r="GN225" i="1" s="1"/>
  <c r="FZ264" i="1" a="1"/>
  <c r="FZ264" i="1" s="1"/>
  <c r="GN264" i="1" s="1"/>
  <c r="FZ260" i="1" a="1"/>
  <c r="FZ260" i="1" s="1"/>
  <c r="GN260" i="1" s="1"/>
  <c r="FZ327" i="1" a="1"/>
  <c r="FZ327" i="1" s="1"/>
  <c r="GN327" i="1" s="1"/>
  <c r="FQ269" i="1"/>
  <c r="FS269" i="1" s="1"/>
  <c r="FZ307" i="1" a="1"/>
  <c r="FZ307" i="1" s="1"/>
  <c r="GN307" i="1" s="1"/>
  <c r="FZ261" i="1" a="1"/>
  <c r="FZ261" i="1" s="1"/>
  <c r="GN261" i="1" s="1"/>
  <c r="FQ324" i="1"/>
  <c r="FP324" i="1" s="1"/>
  <c r="FZ282" i="1" a="1"/>
  <c r="FZ282" i="1" s="1"/>
  <c r="GN282" i="1" s="1"/>
  <c r="FZ191" i="1" a="1"/>
  <c r="FZ191" i="1" s="1"/>
  <c r="GN191" i="1" s="1"/>
  <c r="FZ332" i="1" a="1"/>
  <c r="FZ332" i="1" s="1"/>
  <c r="GN332" i="1" s="1"/>
  <c r="FZ231" i="1" a="1"/>
  <c r="FZ231" i="1" s="1"/>
  <c r="GN231" i="1" s="1"/>
  <c r="FZ343" i="1" a="1"/>
  <c r="FZ343" i="1" s="1"/>
  <c r="GN343" i="1" s="1"/>
  <c r="FZ232" i="1" a="1"/>
  <c r="FZ232" i="1" s="1"/>
  <c r="GN232" i="1" s="1"/>
  <c r="FZ364" i="1" a="1"/>
  <c r="FZ364" i="1" s="1"/>
  <c r="GN364" i="1" s="1"/>
  <c r="FZ185" i="1" a="1"/>
  <c r="FZ185" i="1" s="1"/>
  <c r="FZ257" i="1" a="1"/>
  <c r="FZ257" i="1" s="1"/>
  <c r="GN257" i="1" s="1"/>
  <c r="FZ222" i="1" a="1"/>
  <c r="FZ222" i="1" s="1"/>
  <c r="GN222" i="1" s="1"/>
  <c r="FZ335" i="1" a="1"/>
  <c r="FZ335" i="1" s="1"/>
  <c r="GN335" i="1" s="1"/>
  <c r="FZ274" i="1" a="1"/>
  <c r="FZ274" i="1" s="1"/>
  <c r="GN274" i="1" s="1"/>
  <c r="FZ294" i="1" a="1"/>
  <c r="FZ294" i="1" s="1"/>
  <c r="GN294" i="1" s="1"/>
  <c r="FZ278" i="1" a="1"/>
  <c r="FZ278" i="1" s="1"/>
  <c r="GN278" i="1" s="1"/>
  <c r="FZ360" i="1" a="1"/>
  <c r="FZ360" i="1" s="1"/>
  <c r="GN360" i="1" s="1"/>
  <c r="FZ283" i="1" a="1"/>
  <c r="FZ283" i="1" s="1"/>
  <c r="GN283" i="1" s="1"/>
  <c r="FZ244" i="1" a="1"/>
  <c r="FZ244" i="1" s="1"/>
  <c r="GN244" i="1" s="1"/>
  <c r="FZ242" i="1" a="1"/>
  <c r="FZ242" i="1" s="1"/>
  <c r="GN242" i="1" s="1"/>
  <c r="FZ262" i="1" a="1"/>
  <c r="FZ262" i="1" s="1"/>
  <c r="GN262" i="1" s="1"/>
  <c r="FZ243" i="1" a="1"/>
  <c r="FZ243" i="1" s="1"/>
  <c r="GN243" i="1" s="1"/>
  <c r="FZ269" i="1" a="1"/>
  <c r="FZ269" i="1" s="1"/>
  <c r="GN269" i="1" s="1"/>
  <c r="FZ319" i="1" a="1"/>
  <c r="FZ319" i="1" s="1"/>
  <c r="GN319" i="1" s="1"/>
  <c r="FZ271" i="1" a="1"/>
  <c r="FZ271" i="1" s="1"/>
  <c r="GN271" i="1" s="1"/>
  <c r="FZ349" i="1" a="1"/>
  <c r="FZ349" i="1" s="1"/>
  <c r="GN349" i="1" s="1"/>
  <c r="FZ346" i="1" a="1"/>
  <c r="FZ346" i="1" s="1"/>
  <c r="GN346" i="1" s="1"/>
  <c r="AE55" i="98" s="1"/>
  <c r="AH55" i="98" s="1"/>
  <c r="FZ280" i="1" a="1"/>
  <c r="FZ280" i="1" s="1"/>
  <c r="GN280" i="1" s="1"/>
  <c r="FZ227" i="1" a="1"/>
  <c r="FZ227" i="1" s="1"/>
  <c r="GN227" i="1" s="1"/>
  <c r="FZ281" i="1" a="1"/>
  <c r="FZ281" i="1" s="1"/>
  <c r="GN281" i="1" s="1"/>
  <c r="FZ324" i="1" a="1"/>
  <c r="FZ324" i="1" s="1"/>
  <c r="GN324" i="1" s="1"/>
  <c r="FQ305" i="1"/>
  <c r="FZ174" i="1" a="1"/>
  <c r="FZ174" i="1" s="1"/>
  <c r="GN174" i="1" s="1"/>
  <c r="FQ232" i="1"/>
  <c r="FS232" i="1" s="1"/>
  <c r="FQ233" i="1"/>
  <c r="FP233" i="1" s="1"/>
  <c r="FZ342" i="1" a="1"/>
  <c r="FZ342" i="1" s="1"/>
  <c r="GN342" i="1" s="1"/>
  <c r="FZ279" i="1" a="1"/>
  <c r="FZ279" i="1" s="1"/>
  <c r="GN279" i="1" s="1"/>
  <c r="FQ181" i="1"/>
  <c r="FZ202" i="1" a="1"/>
  <c r="FZ202" i="1" s="1"/>
  <c r="GN202" i="1" s="1"/>
  <c r="FZ240" i="1" a="1"/>
  <c r="FZ240" i="1" s="1"/>
  <c r="GN240" i="1" s="1"/>
  <c r="FZ258" i="1" a="1"/>
  <c r="FZ258" i="1" s="1"/>
  <c r="GN258" i="1" s="1"/>
  <c r="FZ331" i="1" a="1"/>
  <c r="FZ331" i="1" s="1"/>
  <c r="GN331" i="1" s="1"/>
  <c r="FZ310" i="1" a="1"/>
  <c r="FZ310" i="1" s="1"/>
  <c r="GN310" i="1" s="1"/>
  <c r="FZ289" i="1" a="1"/>
  <c r="FZ289" i="1" s="1"/>
  <c r="GN289" i="1" s="1"/>
  <c r="FZ303" i="1" a="1"/>
  <c r="FZ303" i="1" s="1"/>
  <c r="GN303" i="1" s="1"/>
  <c r="FZ317" i="1" a="1"/>
  <c r="FZ317" i="1" s="1"/>
  <c r="GN317" i="1" s="1"/>
  <c r="FZ275" i="1" a="1"/>
  <c r="FZ275" i="1" s="1"/>
  <c r="GN275" i="1" s="1"/>
  <c r="FZ200" i="1" a="1"/>
  <c r="FZ200" i="1" s="1"/>
  <c r="GN200" i="1" s="1"/>
  <c r="FZ272" i="1" a="1"/>
  <c r="FZ272" i="1" s="1"/>
  <c r="GN272" i="1" s="1"/>
  <c r="FZ362" i="1" a="1"/>
  <c r="FZ362" i="1" s="1"/>
  <c r="GN362" i="1" s="1"/>
  <c r="FZ220" i="1" a="1"/>
  <c r="FZ220" i="1" s="1"/>
  <c r="GN220" i="1" s="1"/>
  <c r="FZ233" i="1" a="1"/>
  <c r="FZ233" i="1" s="1"/>
  <c r="GN233" i="1" s="1"/>
  <c r="FZ265" i="1" a="1"/>
  <c r="FZ265" i="1" s="1"/>
  <c r="GN265" i="1" s="1"/>
  <c r="FZ333" i="1" a="1"/>
  <c r="FZ333" i="1" s="1"/>
  <c r="FQ298" i="1"/>
  <c r="FZ184" i="1" a="1"/>
  <c r="FZ184" i="1" s="1"/>
  <c r="GN184" i="1" s="1"/>
  <c r="FZ316" i="1" a="1"/>
  <c r="FZ316" i="1" s="1"/>
  <c r="GN316" i="1" s="1"/>
  <c r="FZ229" i="1" a="1"/>
  <c r="FZ229" i="1" s="1"/>
  <c r="GN229" i="1" s="1"/>
  <c r="AE54" i="98" s="1"/>
  <c r="AH54" i="98" s="1"/>
  <c r="FZ299" i="1" a="1"/>
  <c r="FZ299" i="1" s="1"/>
  <c r="GN299" i="1" s="1"/>
  <c r="FZ340" i="1" a="1"/>
  <c r="FZ340" i="1" s="1"/>
  <c r="GN340" i="1" s="1"/>
  <c r="FZ277" i="1" a="1"/>
  <c r="FZ277" i="1" s="1"/>
  <c r="GN277" i="1" s="1"/>
  <c r="FZ230" i="1" a="1"/>
  <c r="FZ230" i="1" s="1"/>
  <c r="GN230" i="1" s="1"/>
  <c r="FZ295" i="1" a="1"/>
  <c r="FZ295" i="1" s="1"/>
  <c r="GN295" i="1" s="1"/>
  <c r="FZ355" i="1" a="1"/>
  <c r="FZ355" i="1" s="1"/>
  <c r="GN355" i="1" s="1"/>
  <c r="FZ325" i="1" a="1"/>
  <c r="FZ325" i="1" s="1"/>
  <c r="GN325" i="1" s="1"/>
  <c r="FZ341" i="1" a="1"/>
  <c r="FZ341" i="1" s="1"/>
  <c r="GN341" i="1" s="1"/>
  <c r="FZ320" i="1" a="1"/>
  <c r="FZ320" i="1" s="1"/>
  <c r="GN320" i="1" s="1"/>
  <c r="FZ251" i="1" a="1"/>
  <c r="FZ251" i="1" s="1"/>
  <c r="GN251" i="1" s="1"/>
  <c r="FZ304" i="1" a="1"/>
  <c r="FZ304" i="1" s="1"/>
  <c r="GN304" i="1" s="1"/>
  <c r="FZ353" i="1" a="1"/>
  <c r="FZ353" i="1" s="1"/>
  <c r="GN353" i="1" s="1"/>
  <c r="FZ195" i="1" a="1"/>
  <c r="FZ195" i="1" s="1"/>
  <c r="GN195" i="1" s="1"/>
  <c r="FZ247" i="1" a="1"/>
  <c r="FZ247" i="1" s="1"/>
  <c r="GN247" i="1" s="1"/>
  <c r="FQ328" i="1"/>
  <c r="FP328" i="1" s="1"/>
  <c r="FQ223" i="1"/>
  <c r="FQ353" i="1"/>
  <c r="FP353" i="1" s="1"/>
  <c r="FZ338" i="1" a="1"/>
  <c r="FZ338" i="1" s="1"/>
  <c r="GN338" i="1" s="1"/>
  <c r="FZ329" i="1" a="1"/>
  <c r="FZ329" i="1" s="1"/>
  <c r="GN329" i="1" s="1"/>
  <c r="FQ349" i="1"/>
  <c r="FZ263" i="1" a="1"/>
  <c r="FZ263" i="1" s="1"/>
  <c r="GN263" i="1" s="1"/>
  <c r="FZ249" i="1" a="1"/>
  <c r="FZ249" i="1" s="1"/>
  <c r="GN249" i="1" s="1"/>
  <c r="FZ293" i="1" a="1"/>
  <c r="FZ293" i="1" s="1"/>
  <c r="GN293" i="1" s="1"/>
  <c r="FZ354" i="1" a="1"/>
  <c r="FZ354" i="1" s="1"/>
  <c r="GN354" i="1" s="1"/>
  <c r="FZ236" i="1" a="1"/>
  <c r="FZ236" i="1" s="1"/>
  <c r="GN236" i="1" s="1"/>
  <c r="FQ360" i="1"/>
  <c r="FZ237" i="1" a="1"/>
  <c r="FZ237" i="1" s="1"/>
  <c r="GN237" i="1" s="1"/>
  <c r="FZ198" i="1" a="1"/>
  <c r="FZ198" i="1" s="1"/>
  <c r="GN198" i="1" s="1"/>
  <c r="FZ254" i="1" a="1"/>
  <c r="FZ254" i="1" s="1"/>
  <c r="GN254" i="1" s="1"/>
  <c r="FZ173" i="1" a="1"/>
  <c r="FZ173" i="1" s="1"/>
  <c r="GN173" i="1" s="1"/>
  <c r="FZ339" i="1" a="1"/>
  <c r="FZ339" i="1" s="1"/>
  <c r="GN339" i="1" s="1"/>
  <c r="FZ234" i="1" a="1"/>
  <c r="FZ234" i="1" s="1"/>
  <c r="GN234" i="1" s="1"/>
  <c r="FZ298" i="1" a="1"/>
  <c r="FZ298" i="1" s="1"/>
  <c r="GN298" i="1" s="1"/>
  <c r="FZ359" i="1" a="1"/>
  <c r="FZ359" i="1" s="1"/>
  <c r="GN359" i="1" s="1"/>
  <c r="FZ256" i="1" a="1"/>
  <c r="FZ256" i="1" s="1"/>
  <c r="GN256" i="1" s="1"/>
  <c r="FZ350" i="1" a="1"/>
  <c r="FZ350" i="1" s="1"/>
  <c r="GN350" i="1" s="1"/>
  <c r="FZ345" i="1" a="1"/>
  <c r="FZ345" i="1" s="1"/>
  <c r="GN345" i="1" s="1"/>
  <c r="FZ301" i="1" a="1"/>
  <c r="FZ301" i="1" s="1"/>
  <c r="GN301" i="1" s="1"/>
  <c r="FZ194" i="1" a="1"/>
  <c r="FZ194" i="1" s="1"/>
  <c r="GN194" i="1" s="1"/>
  <c r="FZ337" i="1" a="1"/>
  <c r="FZ337" i="1" s="1"/>
  <c r="GN337" i="1" s="1"/>
  <c r="FQ185" i="1"/>
  <c r="FS185" i="1" s="1"/>
  <c r="FZ356" i="1" a="1"/>
  <c r="FZ356" i="1" s="1"/>
  <c r="GN356" i="1" s="1"/>
  <c r="FZ290" i="1" a="1"/>
  <c r="FZ290" i="1" s="1"/>
  <c r="GN290" i="1" s="1"/>
  <c r="FZ288" i="1" a="1"/>
  <c r="FZ288" i="1" s="1"/>
  <c r="GN288" i="1" s="1"/>
  <c r="FZ268" i="1" a="1"/>
  <c r="FZ268" i="1" s="1"/>
  <c r="GN268" i="1" s="1"/>
  <c r="FZ266" i="1" a="1"/>
  <c r="FZ266" i="1" s="1"/>
  <c r="GN266" i="1" s="1"/>
  <c r="FZ308" i="1" a="1"/>
  <c r="FZ308" i="1" s="1"/>
  <c r="GN308" i="1" s="1"/>
  <c r="FZ187" i="1" a="1"/>
  <c r="FZ187" i="1" s="1"/>
  <c r="GN187" i="1" s="1"/>
  <c r="FZ315" i="1" a="1"/>
  <c r="FZ315" i="1" s="1"/>
  <c r="GN315" i="1" s="1"/>
  <c r="FZ357" i="1" a="1"/>
  <c r="FZ357" i="1" s="1"/>
  <c r="GN357" i="1" s="1"/>
  <c r="FZ273" i="1" a="1"/>
  <c r="FZ273" i="1" s="1"/>
  <c r="GN273" i="1" s="1"/>
  <c r="FZ203" i="1" a="1"/>
  <c r="FZ203" i="1" s="1"/>
  <c r="GN203" i="1" s="1"/>
  <c r="FZ313" i="1" a="1"/>
  <c r="FZ313" i="1" s="1"/>
  <c r="GN313" i="1" s="1"/>
  <c r="FZ347" i="1" a="1"/>
  <c r="FZ347" i="1" s="1"/>
  <c r="GN347" i="1" s="1"/>
  <c r="AE56" i="98" s="1"/>
  <c r="AH56" i="98" s="1"/>
  <c r="FZ328" i="1" a="1"/>
  <c r="FZ328" i="1" s="1"/>
  <c r="GN328" i="1" s="1"/>
  <c r="FZ221" i="1" a="1"/>
  <c r="FZ221" i="1" s="1"/>
  <c r="GN221" i="1" s="1"/>
  <c r="FZ246" i="1" a="1"/>
  <c r="FZ246" i="1" s="1"/>
  <c r="GN246" i="1" s="1"/>
  <c r="FZ178" i="1" a="1"/>
  <c r="FZ178" i="1" s="1"/>
  <c r="GN178" i="1" s="1"/>
  <c r="FZ305" i="1" a="1"/>
  <c r="FZ305" i="1" s="1"/>
  <c r="GN305" i="1" s="1"/>
  <c r="FZ302" i="1" a="1"/>
  <c r="FZ302" i="1" s="1"/>
  <c r="GN302" i="1" s="1"/>
  <c r="FZ358" i="1" a="1"/>
  <c r="FZ358" i="1" s="1"/>
  <c r="GN358" i="1" s="1"/>
  <c r="FZ291" i="1" a="1"/>
  <c r="FZ291" i="1" s="1"/>
  <c r="GN291" i="1" s="1"/>
  <c r="FZ276" i="1" a="1"/>
  <c r="FZ276" i="1" s="1"/>
  <c r="GN276" i="1" s="1"/>
  <c r="FZ255" i="1" a="1"/>
  <c r="FZ255" i="1" s="1"/>
  <c r="GN255" i="1" s="1"/>
  <c r="AK56" i="98" l="1"/>
  <c r="FD56" i="98" s="1"/>
  <c r="AM56" i="98"/>
  <c r="AM58" i="98"/>
  <c r="AK58" i="98"/>
  <c r="FD58" i="98" s="1"/>
  <c r="AE59" i="98"/>
  <c r="AH59" i="98" s="1"/>
  <c r="AK59" i="98" s="1"/>
  <c r="FD59" i="98" s="1"/>
  <c r="GN333" i="1"/>
  <c r="AE52" i="98" s="1"/>
  <c r="GN185" i="1"/>
  <c r="AE36" i="98" s="1"/>
  <c r="FP197" i="1"/>
  <c r="AN197" i="1"/>
  <c r="AE51" i="98"/>
  <c r="FP195" i="1"/>
  <c r="AN195" i="1"/>
  <c r="FP196" i="1"/>
  <c r="AN196" i="1"/>
  <c r="AE38" i="98"/>
  <c r="AE39" i="98"/>
  <c r="AE50" i="98"/>
  <c r="AE34" i="98"/>
  <c r="AE43" i="98"/>
  <c r="AE41" i="98"/>
  <c r="AE47" i="98"/>
  <c r="AE46" i="98"/>
  <c r="AE48" i="98"/>
  <c r="AE42" i="98"/>
  <c r="AE35" i="98"/>
  <c r="AE40" i="98"/>
  <c r="AE45" i="98"/>
  <c r="AE49" i="98"/>
  <c r="AE44" i="98"/>
  <c r="AE37" i="98"/>
  <c r="AE53" i="98"/>
  <c r="KS19" i="93"/>
  <c r="AF36" i="98"/>
  <c r="AF52" i="98"/>
  <c r="LO19" i="93"/>
  <c r="FP202" i="1"/>
  <c r="FS348" i="1"/>
  <c r="FP192" i="1"/>
  <c r="FS320" i="1"/>
  <c r="FP193" i="1"/>
  <c r="FP327" i="1"/>
  <c r="FP274" i="1"/>
  <c r="FS192" i="1"/>
  <c r="FS297" i="1"/>
  <c r="FS242" i="1"/>
  <c r="FP300" i="1"/>
  <c r="FP265" i="1"/>
  <c r="FP227" i="1"/>
  <c r="FP289" i="1"/>
  <c r="FS322" i="1"/>
  <c r="FP228" i="1"/>
  <c r="FS186" i="1"/>
  <c r="FS257" i="1"/>
  <c r="FS235" i="1"/>
  <c r="FS281" i="1"/>
  <c r="FP331" i="1"/>
  <c r="FP306" i="1"/>
  <c r="FP175" i="1"/>
  <c r="GT7" i="1" s="1"/>
  <c r="FP266" i="1"/>
  <c r="FS298" i="1"/>
  <c r="FP246" i="1"/>
  <c r="FP224" i="1"/>
  <c r="FP185" i="1"/>
  <c r="FS290" i="1"/>
  <c r="FP198" i="1"/>
  <c r="FP299" i="1"/>
  <c r="FP268" i="1"/>
  <c r="FS246" i="1"/>
  <c r="FP199" i="1"/>
  <c r="FS244" i="1"/>
  <c r="FP350" i="1"/>
  <c r="FS233" i="1"/>
  <c r="FS262" i="1"/>
  <c r="FP263" i="1"/>
  <c r="FP357" i="1"/>
  <c r="FP310" i="1"/>
  <c r="FP283" i="1"/>
  <c r="FP191" i="1"/>
  <c r="FS336" i="1"/>
  <c r="FP291" i="1"/>
  <c r="FS179" i="1"/>
  <c r="FP270" i="1"/>
  <c r="FS223" i="1"/>
  <c r="FP292" i="1"/>
  <c r="FS309" i="1"/>
  <c r="FS277" i="1"/>
  <c r="FS273" i="1"/>
  <c r="FP276" i="1"/>
  <c r="FP225" i="1"/>
  <c r="FP255" i="1"/>
  <c r="FS288" i="1"/>
  <c r="FS358" i="1"/>
  <c r="FS291" i="1"/>
  <c r="FS285" i="1"/>
  <c r="FS284" i="1"/>
  <c r="FS240" i="1"/>
  <c r="FP272" i="1"/>
  <c r="FP247" i="1"/>
  <c r="FS182" i="1"/>
  <c r="FP237" i="1"/>
  <c r="FS279" i="1"/>
  <c r="FS183" i="1"/>
  <c r="FS200" i="1"/>
  <c r="FP236" i="1"/>
  <c r="FS225" i="1"/>
  <c r="FS332" i="1"/>
  <c r="FS292" i="1"/>
  <c r="FP250" i="1"/>
  <c r="FP251" i="1"/>
  <c r="FP204" i="1"/>
  <c r="FS338" i="1"/>
  <c r="FS176" i="1"/>
  <c r="FP347" i="1"/>
  <c r="FP264" i="1"/>
  <c r="FS318" i="1"/>
  <c r="FS234" i="1"/>
  <c r="FS341" i="1"/>
  <c r="FS310" i="1"/>
  <c r="FS254" i="1"/>
  <c r="FP286" i="1"/>
  <c r="FP220" i="1"/>
  <c r="FS251" i="1"/>
  <c r="FP189" i="1"/>
  <c r="FS340" i="1"/>
  <c r="FS305" i="1"/>
  <c r="FP182" i="1"/>
  <c r="FS316" i="1"/>
  <c r="FP359" i="1"/>
  <c r="FP326" i="1"/>
  <c r="FS331" i="1"/>
  <c r="FS250" i="1"/>
  <c r="FP311" i="1"/>
  <c r="FP355" i="1"/>
  <c r="FP314" i="1"/>
  <c r="FS343" i="1"/>
  <c r="FS252" i="1"/>
  <c r="FS325" i="1"/>
  <c r="FS177" i="1"/>
  <c r="FS311" i="1"/>
  <c r="FS247" i="1"/>
  <c r="FS314" i="1"/>
  <c r="FS328" i="1"/>
  <c r="FS261" i="1"/>
  <c r="FP322" i="1"/>
  <c r="FS241" i="1"/>
  <c r="FS312" i="1"/>
  <c r="FP280" i="1"/>
  <c r="FP334" i="1"/>
  <c r="FS344" i="1"/>
  <c r="FP304" i="1"/>
  <c r="FP226" i="1"/>
  <c r="FS274" i="1"/>
  <c r="FP242" i="1"/>
  <c r="FP303" i="1"/>
  <c r="FP297" i="1"/>
  <c r="FP320" i="1"/>
  <c r="FS267" i="1"/>
  <c r="FP360" i="1"/>
  <c r="FP333" i="1"/>
  <c r="FP293" i="1"/>
  <c r="FP349" i="1"/>
  <c r="FP229" i="1"/>
  <c r="FS226" i="1"/>
  <c r="FS354" i="1"/>
  <c r="FS308" i="1"/>
  <c r="FS229" i="1"/>
  <c r="FP230" i="1"/>
  <c r="FP307" i="1"/>
  <c r="FS294" i="1"/>
  <c r="FP319" i="1"/>
  <c r="FP337" i="1"/>
  <c r="FS224" i="1"/>
  <c r="FS307" i="1"/>
  <c r="FP186" i="1"/>
  <c r="FP298" i="1"/>
  <c r="FS275" i="1"/>
  <c r="FP364" i="1"/>
  <c r="FS352" i="1"/>
  <c r="FS337" i="1"/>
  <c r="FP256" i="1"/>
  <c r="FP351" i="1"/>
  <c r="FP361" i="1"/>
  <c r="FS180" i="1"/>
  <c r="FP317" i="1"/>
  <c r="FP346" i="1"/>
  <c r="FP245" i="1"/>
  <c r="FS350" i="1"/>
  <c r="FP203" i="1"/>
  <c r="FS175" i="1"/>
  <c r="FP301" i="1"/>
  <c r="FS253" i="1"/>
  <c r="FS356" i="1"/>
  <c r="FS258" i="1"/>
  <c r="FS353" i="1"/>
  <c r="FP269" i="1"/>
  <c r="FS299" i="1"/>
  <c r="FS317" i="1"/>
  <c r="FS346" i="1"/>
  <c r="FP363" i="1"/>
  <c r="FS301" i="1"/>
  <c r="FP260" i="1"/>
  <c r="FP313" i="1"/>
  <c r="FP305" i="1"/>
  <c r="FS237" i="1"/>
  <c r="FS360" i="1"/>
  <c r="FP336" i="1"/>
  <c r="FS321" i="1"/>
  <c r="FP316" i="1"/>
  <c r="FP190" i="1"/>
  <c r="FS362" i="1"/>
  <c r="FP278" i="1"/>
  <c r="FS315" i="1"/>
  <c r="FP321" i="1"/>
  <c r="FP249" i="1"/>
  <c r="FS278" i="1"/>
  <c r="FS345" i="1"/>
  <c r="FP284" i="1"/>
  <c r="FS283" i="1"/>
  <c r="FP315" i="1"/>
  <c r="FS191" i="1"/>
  <c r="FP223" i="1"/>
  <c r="FS181" i="1"/>
  <c r="FP232" i="1"/>
  <c r="FS280" i="1"/>
  <c r="FP308" i="1"/>
  <c r="FS349" i="1"/>
  <c r="FP181" i="1"/>
  <c r="FS324" i="1"/>
  <c r="FP239" i="1"/>
  <c r="FP348" i="1"/>
  <c r="FS243" i="1"/>
  <c r="FS202" i="1"/>
  <c r="FS198" i="1"/>
  <c r="FS199" i="1"/>
  <c r="EC16" i="1" l="1"/>
  <c r="EH7" i="1"/>
  <c r="DP7" i="1"/>
  <c r="DV16" i="1"/>
  <c r="DV7" i="1"/>
  <c r="ED16" i="1"/>
  <c r="EH16" i="1"/>
  <c r="EC7" i="1"/>
  <c r="EK16" i="1"/>
  <c r="EK7" i="1"/>
  <c r="ED7" i="1"/>
  <c r="DP16" i="1"/>
  <c r="DP71" i="1"/>
  <c r="BY70" i="93" s="1"/>
  <c r="DC70" i="93" s="1"/>
  <c r="LH70" i="93" s="1"/>
  <c r="ED67" i="1"/>
  <c r="BU84" i="93" s="1"/>
  <c r="CY84" i="93" s="1"/>
  <c r="LD84" i="93" s="1"/>
  <c r="ED6" i="1"/>
  <c r="EC6" i="1"/>
  <c r="EH73" i="1"/>
  <c r="CA88" i="93" s="1"/>
  <c r="DE88" i="93" s="1"/>
  <c r="LJ88" i="93" s="1"/>
  <c r="DV35" i="1"/>
  <c r="AB76" i="93" s="1"/>
  <c r="BF76" i="93" s="1"/>
  <c r="KI76" i="93" s="1"/>
  <c r="EC40" i="1"/>
  <c r="AG83" i="93" s="1"/>
  <c r="BK83" i="93" s="1"/>
  <c r="KN83" i="93" s="1"/>
  <c r="EH37" i="1"/>
  <c r="AD88" i="93" s="1"/>
  <c r="BH88" i="93" s="1"/>
  <c r="KK88" i="93" s="1"/>
  <c r="DV15" i="1"/>
  <c r="BQ76" i="93" s="1"/>
  <c r="CU76" i="93" s="1"/>
  <c r="DV72" i="1"/>
  <c r="BZ76" i="93" s="1"/>
  <c r="DD76" i="93" s="1"/>
  <c r="LI76" i="93" s="1"/>
  <c r="DP68" i="1"/>
  <c r="BV70" i="93" s="1"/>
  <c r="CZ70" i="93" s="1"/>
  <c r="LE70" i="93" s="1"/>
  <c r="ED35" i="1"/>
  <c r="AB84" i="93" s="1"/>
  <c r="BF84" i="93" s="1"/>
  <c r="KI84" i="93" s="1"/>
  <c r="EK74" i="1"/>
  <c r="CB91" i="93" s="1"/>
  <c r="DF91" i="93" s="1"/>
  <c r="LK91" i="93" s="1"/>
  <c r="EC42" i="1"/>
  <c r="AI83" i="93" s="1"/>
  <c r="BM83" i="93" s="1"/>
  <c r="KP83" i="93" s="1"/>
  <c r="EH75" i="1"/>
  <c r="CC88" i="93" s="1"/>
  <c r="DG88" i="93" s="1"/>
  <c r="LL88" i="93" s="1"/>
  <c r="ED34" i="1"/>
  <c r="AA84" i="93" s="1"/>
  <c r="DP35" i="1"/>
  <c r="AB70" i="93" s="1"/>
  <c r="BF70" i="93" s="1"/>
  <c r="KI70" i="93" s="1"/>
  <c r="ED72" i="1"/>
  <c r="BZ84" i="93" s="1"/>
  <c r="DD84" i="93" s="1"/>
  <c r="LI84" i="93" s="1"/>
  <c r="DV43" i="1"/>
  <c r="AJ76" i="93" s="1"/>
  <c r="BN76" i="93" s="1"/>
  <c r="KQ76" i="93" s="1"/>
  <c r="EC39" i="1"/>
  <c r="AF83" i="93" s="1"/>
  <c r="BJ83" i="93" s="1"/>
  <c r="KM83" i="93" s="1"/>
  <c r="EK15" i="1"/>
  <c r="BQ91" i="93" s="1"/>
  <c r="CU91" i="93" s="1"/>
  <c r="EC38" i="1"/>
  <c r="AE83" i="93" s="1"/>
  <c r="BI83" i="93" s="1"/>
  <c r="KL83" i="93" s="1"/>
  <c r="EK76" i="1"/>
  <c r="CD91" i="93" s="1"/>
  <c r="DH91" i="93" s="1"/>
  <c r="LM91" i="93" s="1"/>
  <c r="DV42" i="1"/>
  <c r="AI76" i="93" s="1"/>
  <c r="BM76" i="93" s="1"/>
  <c r="KP76" i="93" s="1"/>
  <c r="DP41" i="1"/>
  <c r="AH70" i="93" s="1"/>
  <c r="BL70" i="93" s="1"/>
  <c r="KO70" i="93" s="1"/>
  <c r="EK70" i="1"/>
  <c r="BX91" i="93" s="1"/>
  <c r="DB91" i="93" s="1"/>
  <c r="LG91" i="93" s="1"/>
  <c r="ED43" i="1"/>
  <c r="AJ84" i="93" s="1"/>
  <c r="BN84" i="93" s="1"/>
  <c r="KQ84" i="93" s="1"/>
  <c r="ED68" i="1"/>
  <c r="BV84" i="93" s="1"/>
  <c r="CZ84" i="93" s="1"/>
  <c r="LE84" i="93" s="1"/>
  <c r="EC34" i="1"/>
  <c r="AA83" i="93" s="1"/>
  <c r="EK43" i="1"/>
  <c r="AJ91" i="93" s="1"/>
  <c r="BN91" i="93" s="1"/>
  <c r="KQ91" i="93" s="1"/>
  <c r="DP74" i="1"/>
  <c r="CB70" i="93" s="1"/>
  <c r="DF70" i="93" s="1"/>
  <c r="LK70" i="93" s="1"/>
  <c r="EH70" i="1"/>
  <c r="BX88" i="93" s="1"/>
  <c r="DB88" i="93" s="1"/>
  <c r="LG88" i="93" s="1"/>
  <c r="DV6" i="1"/>
  <c r="DP36" i="1"/>
  <c r="AC70" i="93" s="1"/>
  <c r="BG70" i="93" s="1"/>
  <c r="KJ70" i="93" s="1"/>
  <c r="EK42" i="1"/>
  <c r="AI91" i="93" s="1"/>
  <c r="BM91" i="93" s="1"/>
  <c r="KP91" i="93" s="1"/>
  <c r="DV36" i="1"/>
  <c r="AC76" i="93" s="1"/>
  <c r="BG76" i="93" s="1"/>
  <c r="KJ76" i="93" s="1"/>
  <c r="EC69" i="1"/>
  <c r="BW83" i="93" s="1"/>
  <c r="DA83" i="93" s="1"/>
  <c r="LF83" i="93" s="1"/>
  <c r="EK67" i="1"/>
  <c r="BU91" i="93" s="1"/>
  <c r="CY91" i="93" s="1"/>
  <c r="LD91" i="93" s="1"/>
  <c r="ED69" i="1"/>
  <c r="BW84" i="93" s="1"/>
  <c r="DA84" i="93" s="1"/>
  <c r="LF84" i="93" s="1"/>
  <c r="DP69" i="1"/>
  <c r="BW70" i="93" s="1"/>
  <c r="DA70" i="93" s="1"/>
  <c r="LF70" i="93" s="1"/>
  <c r="EH74" i="1"/>
  <c r="CB88" i="93" s="1"/>
  <c r="DF88" i="93" s="1"/>
  <c r="LK88" i="93" s="1"/>
  <c r="DV71" i="1"/>
  <c r="BY76" i="93" s="1"/>
  <c r="DC76" i="93" s="1"/>
  <c r="LH76" i="93" s="1"/>
  <c r="DP34" i="1"/>
  <c r="AA70" i="93" s="1"/>
  <c r="EH39" i="1"/>
  <c r="AF88" i="93" s="1"/>
  <c r="BJ88" i="93" s="1"/>
  <c r="KM88" i="93" s="1"/>
  <c r="ED38" i="1"/>
  <c r="AE84" i="93" s="1"/>
  <c r="BI84" i="93" s="1"/>
  <c r="KL84" i="93" s="1"/>
  <c r="EC73" i="1"/>
  <c r="CA83" i="93" s="1"/>
  <c r="DE83" i="93" s="1"/>
  <c r="LJ83" i="93" s="1"/>
  <c r="EH67" i="1"/>
  <c r="BU88" i="93" s="1"/>
  <c r="CY88" i="93" s="1"/>
  <c r="LD88" i="93" s="1"/>
  <c r="ED76" i="1"/>
  <c r="CD84" i="93" s="1"/>
  <c r="DH84" i="93" s="1"/>
  <c r="LM84" i="93" s="1"/>
  <c r="EC35" i="1"/>
  <c r="AB83" i="93" s="1"/>
  <c r="BF83" i="93" s="1"/>
  <c r="KI83" i="93" s="1"/>
  <c r="EK41" i="1"/>
  <c r="AH91" i="93" s="1"/>
  <c r="BL91" i="93" s="1"/>
  <c r="KO91" i="93" s="1"/>
  <c r="DV74" i="1"/>
  <c r="CB76" i="93" s="1"/>
  <c r="DF76" i="93" s="1"/>
  <c r="LK76" i="93" s="1"/>
  <c r="EK35" i="1"/>
  <c r="AB91" i="93" s="1"/>
  <c r="BF91" i="93" s="1"/>
  <c r="KI91" i="93" s="1"/>
  <c r="DV70" i="1"/>
  <c r="BX76" i="93" s="1"/>
  <c r="DB76" i="93" s="1"/>
  <c r="LG76" i="93" s="1"/>
  <c r="DP40" i="1"/>
  <c r="AG70" i="93" s="1"/>
  <c r="BK70" i="93" s="1"/>
  <c r="KN70" i="93" s="1"/>
  <c r="EH43" i="1"/>
  <c r="AJ88" i="93" s="1"/>
  <c r="BN88" i="93" s="1"/>
  <c r="KQ88" i="93" s="1"/>
  <c r="DV37" i="1"/>
  <c r="AD76" i="93" s="1"/>
  <c r="BH76" i="93" s="1"/>
  <c r="KK76" i="93" s="1"/>
  <c r="ED39" i="1"/>
  <c r="AF84" i="93" s="1"/>
  <c r="BJ84" i="93" s="1"/>
  <c r="KM84" i="93" s="1"/>
  <c r="EC76" i="1"/>
  <c r="CD83" i="93" s="1"/>
  <c r="DH83" i="93" s="1"/>
  <c r="LM83" i="93" s="1"/>
  <c r="EH35" i="1"/>
  <c r="AB88" i="93" s="1"/>
  <c r="BF88" i="93" s="1"/>
  <c r="KI88" i="93" s="1"/>
  <c r="ED15" i="1"/>
  <c r="BQ84" i="93" s="1"/>
  <c r="CU84" i="93" s="1"/>
  <c r="DP15" i="1"/>
  <c r="BQ70" i="93" s="1"/>
  <c r="CU70" i="93" s="1"/>
  <c r="EH38" i="1"/>
  <c r="AE88" i="93" s="1"/>
  <c r="BI88" i="93" s="1"/>
  <c r="KL88" i="93" s="1"/>
  <c r="DV75" i="1"/>
  <c r="CC76" i="93" s="1"/>
  <c r="DG76" i="93" s="1"/>
  <c r="LL76" i="93" s="1"/>
  <c r="EC72" i="1"/>
  <c r="BZ83" i="93" s="1"/>
  <c r="DD83" i="93" s="1"/>
  <c r="LI83" i="93" s="1"/>
  <c r="EH6" i="1"/>
  <c r="DV41" i="1"/>
  <c r="AH76" i="93" s="1"/>
  <c r="BL76" i="93" s="1"/>
  <c r="KO76" i="93" s="1"/>
  <c r="ED42" i="1"/>
  <c r="AI84" i="93" s="1"/>
  <c r="BM84" i="93" s="1"/>
  <c r="KP84" i="93" s="1"/>
  <c r="EK69" i="1"/>
  <c r="BW91" i="93" s="1"/>
  <c r="DA91" i="93" s="1"/>
  <c r="LF91" i="93" s="1"/>
  <c r="DP39" i="1"/>
  <c r="AF70" i="93" s="1"/>
  <c r="BJ70" i="93" s="1"/>
  <c r="KM70" i="93" s="1"/>
  <c r="EK71" i="1"/>
  <c r="BY91" i="93" s="1"/>
  <c r="DC91" i="93" s="1"/>
  <c r="LH91" i="93" s="1"/>
  <c r="DV34" i="1"/>
  <c r="AA76" i="93" s="1"/>
  <c r="DP70" i="1"/>
  <c r="BX70" i="93" s="1"/>
  <c r="DB70" i="93" s="1"/>
  <c r="LG70" i="93" s="1"/>
  <c r="ED70" i="1"/>
  <c r="BX84" i="93" s="1"/>
  <c r="DB84" i="93" s="1"/>
  <c r="LG84" i="93" s="1"/>
  <c r="EC41" i="1"/>
  <c r="AH83" i="93" s="1"/>
  <c r="BL83" i="93" s="1"/>
  <c r="KO83" i="93" s="1"/>
  <c r="EH34" i="1"/>
  <c r="AA88" i="93" s="1"/>
  <c r="ED75" i="1"/>
  <c r="CC84" i="93" s="1"/>
  <c r="DG84" i="93" s="1"/>
  <c r="LL84" i="93" s="1"/>
  <c r="ED37" i="1"/>
  <c r="AD84" i="93" s="1"/>
  <c r="BH84" i="93" s="1"/>
  <c r="KK84" i="93" s="1"/>
  <c r="EC15" i="1"/>
  <c r="BQ83" i="93" s="1"/>
  <c r="CU83" i="93" s="1"/>
  <c r="EK72" i="1"/>
  <c r="BZ91" i="93" s="1"/>
  <c r="DD91" i="93" s="1"/>
  <c r="LI91" i="93" s="1"/>
  <c r="DV40" i="1"/>
  <c r="AG76" i="93" s="1"/>
  <c r="BK76" i="93" s="1"/>
  <c r="KN76" i="93" s="1"/>
  <c r="DP38" i="1"/>
  <c r="AE70" i="93" s="1"/>
  <c r="BI70" i="93" s="1"/>
  <c r="KL70" i="93" s="1"/>
  <c r="EK39" i="1"/>
  <c r="AF91" i="93" s="1"/>
  <c r="BJ91" i="93" s="1"/>
  <c r="KM91" i="93" s="1"/>
  <c r="ED74" i="1"/>
  <c r="CB84" i="93" s="1"/>
  <c r="DF84" i="93" s="1"/>
  <c r="LK84" i="93" s="1"/>
  <c r="ED41" i="1"/>
  <c r="AH84" i="93" s="1"/>
  <c r="BL84" i="93" s="1"/>
  <c r="KO84" i="93" s="1"/>
  <c r="DP73" i="1"/>
  <c r="CA70" i="93" s="1"/>
  <c r="DE70" i="93" s="1"/>
  <c r="LJ70" i="93" s="1"/>
  <c r="ED73" i="1"/>
  <c r="CA84" i="93" s="1"/>
  <c r="DE84" i="93" s="1"/>
  <c r="LJ84" i="93" s="1"/>
  <c r="EC36" i="1"/>
  <c r="AC83" i="93" s="1"/>
  <c r="BG83" i="93" s="1"/>
  <c r="KJ83" i="93" s="1"/>
  <c r="EK6" i="1"/>
  <c r="DP43" i="1"/>
  <c r="AJ70" i="93" s="1"/>
  <c r="BN70" i="93" s="1"/>
  <c r="KQ70" i="93" s="1"/>
  <c r="EH68" i="1"/>
  <c r="BV88" i="93" s="1"/>
  <c r="CZ88" i="93" s="1"/>
  <c r="LE88" i="93" s="1"/>
  <c r="DV69" i="1"/>
  <c r="BW76" i="93" s="1"/>
  <c r="DA76" i="93" s="1"/>
  <c r="LF76" i="93" s="1"/>
  <c r="EC70" i="1"/>
  <c r="BX83" i="93" s="1"/>
  <c r="DB83" i="93" s="1"/>
  <c r="LG83" i="93" s="1"/>
  <c r="EH42" i="1"/>
  <c r="AI88" i="93" s="1"/>
  <c r="BM88" i="93" s="1"/>
  <c r="KP88" i="93" s="1"/>
  <c r="ED71" i="1"/>
  <c r="BY84" i="93" s="1"/>
  <c r="DC84" i="93" s="1"/>
  <c r="LH84" i="93" s="1"/>
  <c r="EC75" i="1"/>
  <c r="CC83" i="93" s="1"/>
  <c r="DG83" i="93" s="1"/>
  <c r="LL83" i="93" s="1"/>
  <c r="EK40" i="1"/>
  <c r="AG91" i="93" s="1"/>
  <c r="BK91" i="93" s="1"/>
  <c r="KN91" i="93" s="1"/>
  <c r="DP42" i="1"/>
  <c r="AI70" i="93" s="1"/>
  <c r="BM70" i="93" s="1"/>
  <c r="KP70" i="93" s="1"/>
  <c r="EK75" i="1"/>
  <c r="CC91" i="93" s="1"/>
  <c r="DG91" i="93" s="1"/>
  <c r="LL91" i="93" s="1"/>
  <c r="EC71" i="1"/>
  <c r="BY83" i="93" s="1"/>
  <c r="DC83" i="93" s="1"/>
  <c r="LH83" i="93" s="1"/>
  <c r="EK37" i="1"/>
  <c r="AD91" i="93" s="1"/>
  <c r="BH91" i="93" s="1"/>
  <c r="KK91" i="93" s="1"/>
  <c r="DV67" i="1"/>
  <c r="BU76" i="93" s="1"/>
  <c r="CY76" i="93" s="1"/>
  <c r="LD76" i="93" s="1"/>
  <c r="DP76" i="1"/>
  <c r="CD70" i="93" s="1"/>
  <c r="DH70" i="93" s="1"/>
  <c r="LM70" i="93" s="1"/>
  <c r="EH71" i="1"/>
  <c r="BY88" i="93" s="1"/>
  <c r="DC88" i="93" s="1"/>
  <c r="LH88" i="93" s="1"/>
  <c r="ED36" i="1"/>
  <c r="AC84" i="93" s="1"/>
  <c r="BG84" i="93" s="1"/>
  <c r="KJ84" i="93" s="1"/>
  <c r="EC43" i="1"/>
  <c r="AJ83" i="93" s="1"/>
  <c r="BN83" i="93" s="1"/>
  <c r="KQ83" i="93" s="1"/>
  <c r="EH15" i="1"/>
  <c r="BQ88" i="93" s="1"/>
  <c r="CU88" i="93" s="1"/>
  <c r="EK68" i="1"/>
  <c r="BV91" i="93" s="1"/>
  <c r="CZ91" i="93" s="1"/>
  <c r="LE91" i="93" s="1"/>
  <c r="EC68" i="1"/>
  <c r="BV83" i="93" s="1"/>
  <c r="CZ83" i="93" s="1"/>
  <c r="LE83" i="93" s="1"/>
  <c r="EK38" i="1"/>
  <c r="AE91" i="93" s="1"/>
  <c r="BI91" i="93" s="1"/>
  <c r="KL91" i="93" s="1"/>
  <c r="EC67" i="1"/>
  <c r="BU83" i="93" s="1"/>
  <c r="CY83" i="93" s="1"/>
  <c r="LD83" i="93" s="1"/>
  <c r="EH76" i="1"/>
  <c r="CD88" i="93" s="1"/>
  <c r="DH88" i="93" s="1"/>
  <c r="LM88" i="93" s="1"/>
  <c r="DV68" i="1"/>
  <c r="BV76" i="93" s="1"/>
  <c r="CZ76" i="93" s="1"/>
  <c r="LE76" i="93" s="1"/>
  <c r="DP6" i="1"/>
  <c r="EH72" i="1"/>
  <c r="BZ88" i="93" s="1"/>
  <c r="DD88" i="93" s="1"/>
  <c r="LI88" i="93" s="1"/>
  <c r="DV39" i="1"/>
  <c r="AF76" i="93" s="1"/>
  <c r="BJ76" i="93" s="1"/>
  <c r="KM76" i="93" s="1"/>
  <c r="EK73" i="1"/>
  <c r="CA91" i="93" s="1"/>
  <c r="DE91" i="93" s="1"/>
  <c r="LJ91" i="93" s="1"/>
  <c r="DP37" i="1"/>
  <c r="AD70" i="93" s="1"/>
  <c r="BH70" i="93" s="1"/>
  <c r="KK70" i="93" s="1"/>
  <c r="EK36" i="1"/>
  <c r="AC91" i="93" s="1"/>
  <c r="BG91" i="93" s="1"/>
  <c r="KJ91" i="93" s="1"/>
  <c r="DP75" i="1"/>
  <c r="CC70" i="93" s="1"/>
  <c r="DG70" i="93" s="1"/>
  <c r="LL70" i="93" s="1"/>
  <c r="EH36" i="1"/>
  <c r="AC88" i="93" s="1"/>
  <c r="BG88" i="93" s="1"/>
  <c r="KJ88" i="93" s="1"/>
  <c r="EC37" i="1"/>
  <c r="AD83" i="93" s="1"/>
  <c r="BH83" i="93" s="1"/>
  <c r="KK83" i="93" s="1"/>
  <c r="EH69" i="1"/>
  <c r="BW88" i="93" s="1"/>
  <c r="DA88" i="93" s="1"/>
  <c r="LF88" i="93" s="1"/>
  <c r="DV73" i="1"/>
  <c r="CA76" i="93" s="1"/>
  <c r="DE76" i="93" s="1"/>
  <c r="LJ76" i="93" s="1"/>
  <c r="DP72" i="1"/>
  <c r="BZ70" i="93" s="1"/>
  <c r="DD70" i="93" s="1"/>
  <c r="LI70" i="93" s="1"/>
  <c r="EH41" i="1"/>
  <c r="AH88" i="93" s="1"/>
  <c r="BL88" i="93" s="1"/>
  <c r="KO88" i="93" s="1"/>
  <c r="ED40" i="1"/>
  <c r="AG84" i="93" s="1"/>
  <c r="BK84" i="93" s="1"/>
  <c r="KN84" i="93" s="1"/>
  <c r="EK34" i="1"/>
  <c r="AA91" i="93" s="1"/>
  <c r="DV38" i="1"/>
  <c r="AE76" i="93" s="1"/>
  <c r="BI76" i="93" s="1"/>
  <c r="KL76" i="93" s="1"/>
  <c r="EC74" i="1"/>
  <c r="CB83" i="93" s="1"/>
  <c r="DF83" i="93" s="1"/>
  <c r="LK83" i="93" s="1"/>
  <c r="EH40" i="1"/>
  <c r="AG88" i="93" s="1"/>
  <c r="BK88" i="93" s="1"/>
  <c r="KN88" i="93" s="1"/>
  <c r="DV76" i="1"/>
  <c r="CD76" i="93" s="1"/>
  <c r="DH76" i="93" s="1"/>
  <c r="LM76" i="93" s="1"/>
  <c r="DP67" i="1"/>
  <c r="BU70" i="93" s="1"/>
  <c r="CY70" i="93" s="1"/>
  <c r="LD70" i="93" s="1"/>
  <c r="R31" i="136"/>
  <c r="B31" i="136" s="1"/>
  <c r="L31" i="129"/>
  <c r="R29" i="136"/>
  <c r="B29" i="136" s="1"/>
  <c r="L29" i="129"/>
  <c r="AM59" i="98"/>
  <c r="R32" i="136"/>
  <c r="L32" i="129"/>
  <c r="AF37" i="98"/>
  <c r="AI37" i="98" s="1"/>
  <c r="AF46" i="98"/>
  <c r="AI46" i="98" s="1"/>
  <c r="AF50" i="98"/>
  <c r="AI50" i="98" s="1"/>
  <c r="AF48" i="98"/>
  <c r="AI48" i="98" s="1"/>
  <c r="AF43" i="98"/>
  <c r="AI43" i="98" s="1"/>
  <c r="AF45" i="98"/>
  <c r="AI45" i="98" s="1"/>
  <c r="AF38" i="98"/>
  <c r="AI38" i="98" s="1"/>
  <c r="AF47" i="98"/>
  <c r="AI47" i="98" s="1"/>
  <c r="AF39" i="98"/>
  <c r="AI39" i="98" s="1"/>
  <c r="AF34" i="98"/>
  <c r="AI34" i="98" s="1"/>
  <c r="AF42" i="98"/>
  <c r="AI42" i="98" s="1"/>
  <c r="AF41" i="98"/>
  <c r="AI41" i="98" s="1"/>
  <c r="AF35" i="98"/>
  <c r="AI35" i="98" s="1"/>
  <c r="AF49" i="98"/>
  <c r="AI49" i="98" s="1"/>
  <c r="AF40" i="98"/>
  <c r="AI40" i="98" s="1"/>
  <c r="AF44" i="98"/>
  <c r="AI44" i="98" s="1"/>
  <c r="AF51" i="98"/>
  <c r="AI51" i="98" s="1"/>
  <c r="AF53" i="98"/>
  <c r="AI53" i="98" s="1"/>
  <c r="LP20" i="93"/>
  <c r="LT20" i="93"/>
  <c r="LX20" i="93"/>
  <c r="LU20" i="93"/>
  <c r="LR20" i="93"/>
  <c r="LV20" i="93"/>
  <c r="LS20" i="93"/>
  <c r="LW20" i="93"/>
  <c r="LQ20" i="93"/>
  <c r="LO20" i="93"/>
  <c r="KV20" i="93"/>
  <c r="KZ20" i="93"/>
  <c r="KT20" i="93"/>
  <c r="KX20" i="93"/>
  <c r="LB20" i="93"/>
  <c r="KU20" i="93"/>
  <c r="KY20" i="93"/>
  <c r="KS20" i="93"/>
  <c r="KW20" i="93"/>
  <c r="LA20" i="93"/>
  <c r="AI36" i="98"/>
  <c r="AI52" i="98"/>
  <c r="EM6" i="1"/>
  <c r="DX6" i="1"/>
  <c r="EF6" i="1"/>
  <c r="DY6" i="1"/>
  <c r="DK6" i="1"/>
  <c r="DT6" i="1"/>
  <c r="EG6" i="1"/>
  <c r="EE6" i="1"/>
  <c r="EI6" i="1"/>
  <c r="DM6" i="1"/>
  <c r="DU6" i="1"/>
  <c r="DQ6" i="1"/>
  <c r="DW6" i="1"/>
  <c r="EL6" i="1"/>
  <c r="EA6" i="1"/>
  <c r="DL6" i="1"/>
  <c r="DZ6" i="1"/>
  <c r="DO6" i="1"/>
  <c r="DN6" i="1"/>
  <c r="DS6" i="1"/>
  <c r="EB6" i="1"/>
  <c r="EJ6" i="1"/>
  <c r="DR6" i="1"/>
  <c r="DU41" i="1"/>
  <c r="AH75" i="93" s="1"/>
  <c r="BL75" i="93" s="1"/>
  <c r="KO75" i="93" s="1"/>
  <c r="DM41" i="1"/>
  <c r="AH67" i="93" s="1"/>
  <c r="BL67" i="93" s="1"/>
  <c r="KO67" i="93" s="1"/>
  <c r="EM41" i="1"/>
  <c r="AH93" i="93" s="1"/>
  <c r="BL93" i="93" s="1"/>
  <c r="KO93" i="93" s="1"/>
  <c r="DW41" i="1"/>
  <c r="AH77" i="93" s="1"/>
  <c r="BL77" i="93" s="1"/>
  <c r="KO77" i="93" s="1"/>
  <c r="EI41" i="1"/>
  <c r="AH89" i="93" s="1"/>
  <c r="BL89" i="93" s="1"/>
  <c r="KO89" i="93" s="1"/>
  <c r="DX41" i="1"/>
  <c r="AH78" i="93" s="1"/>
  <c r="BL78" i="93" s="1"/>
  <c r="KO78" i="93" s="1"/>
  <c r="DZ36" i="1"/>
  <c r="AC80" i="93" s="1"/>
  <c r="BG80" i="93" s="1"/>
  <c r="KJ80" i="93" s="1"/>
  <c r="EL36" i="1"/>
  <c r="DO36" i="1"/>
  <c r="AC69" i="93" s="1"/>
  <c r="BG69" i="93" s="1"/>
  <c r="KJ69" i="93" s="1"/>
  <c r="EJ36" i="1"/>
  <c r="AC90" i="93" s="1"/>
  <c r="BG90" i="93" s="1"/>
  <c r="KJ90" i="93" s="1"/>
  <c r="DY36" i="1"/>
  <c r="AC79" i="93" s="1"/>
  <c r="BG79" i="93" s="1"/>
  <c r="KJ79" i="93" s="1"/>
  <c r="DL36" i="1"/>
  <c r="AC66" i="93" s="1"/>
  <c r="BG66" i="93" s="1"/>
  <c r="KJ66" i="93" s="1"/>
  <c r="DT34" i="1"/>
  <c r="AA74" i="93" s="1"/>
  <c r="DS34" i="1"/>
  <c r="AA73" i="93" s="1"/>
  <c r="DN34" i="1"/>
  <c r="AA68" i="93" s="1"/>
  <c r="DM34" i="1"/>
  <c r="AA67" i="93" s="1"/>
  <c r="EI34" i="1"/>
  <c r="AA89" i="93" s="1"/>
  <c r="DO35" i="1"/>
  <c r="AB69" i="93" s="1"/>
  <c r="BF69" i="93" s="1"/>
  <c r="KI69" i="93" s="1"/>
  <c r="EJ35" i="1"/>
  <c r="AB90" i="93" s="1"/>
  <c r="BF90" i="93" s="1"/>
  <c r="KI90" i="93" s="1"/>
  <c r="EA35" i="1"/>
  <c r="AB81" i="93" s="1"/>
  <c r="BF81" i="93" s="1"/>
  <c r="KI81" i="93" s="1"/>
  <c r="DU35" i="1"/>
  <c r="AB75" i="93" s="1"/>
  <c r="BF75" i="93" s="1"/>
  <c r="KI75" i="93" s="1"/>
  <c r="DS35" i="1"/>
  <c r="AB73" i="93" s="1"/>
  <c r="BF73" i="93" s="1"/>
  <c r="KI73" i="93" s="1"/>
  <c r="EL35" i="1"/>
  <c r="AB92" i="93" s="1"/>
  <c r="BF92" i="93" s="1"/>
  <c r="KI92" i="93" s="1"/>
  <c r="EA41" i="1"/>
  <c r="AH81" i="93" s="1"/>
  <c r="BL81" i="93" s="1"/>
  <c r="KO81" i="93" s="1"/>
  <c r="DZ41" i="1"/>
  <c r="AH80" i="93" s="1"/>
  <c r="BL80" i="93" s="1"/>
  <c r="KO80" i="93" s="1"/>
  <c r="EJ41" i="1"/>
  <c r="AH90" i="93" s="1"/>
  <c r="BL90" i="93" s="1"/>
  <c r="KO90" i="93" s="1"/>
  <c r="DN41" i="1"/>
  <c r="AH68" i="93" s="1"/>
  <c r="BL68" i="93" s="1"/>
  <c r="KO68" i="93" s="1"/>
  <c r="DT41" i="1"/>
  <c r="AH74" i="93" s="1"/>
  <c r="BL74" i="93" s="1"/>
  <c r="KO74" i="93" s="1"/>
  <c r="DK41" i="1"/>
  <c r="AH65" i="93" s="1"/>
  <c r="BL65" i="93" s="1"/>
  <c r="KO65" i="93" s="1"/>
  <c r="DK36" i="1"/>
  <c r="AC65" i="93" s="1"/>
  <c r="BG65" i="93" s="1"/>
  <c r="KJ65" i="93" s="1"/>
  <c r="EE36" i="1"/>
  <c r="AC85" i="93" s="1"/>
  <c r="BG85" i="93" s="1"/>
  <c r="KJ85" i="93" s="1"/>
  <c r="DM36" i="1"/>
  <c r="AC67" i="93" s="1"/>
  <c r="BG67" i="93" s="1"/>
  <c r="KJ67" i="93" s="1"/>
  <c r="DX36" i="1"/>
  <c r="AC78" i="93" s="1"/>
  <c r="BG78" i="93" s="1"/>
  <c r="KJ78" i="93" s="1"/>
  <c r="DQ36" i="1"/>
  <c r="AC71" i="93" s="1"/>
  <c r="BG71" i="93" s="1"/>
  <c r="KJ71" i="93" s="1"/>
  <c r="EA36" i="1"/>
  <c r="AC81" i="93" s="1"/>
  <c r="BG81" i="93" s="1"/>
  <c r="KJ81" i="93" s="1"/>
  <c r="EF34" i="1"/>
  <c r="AA86" i="93" s="1"/>
  <c r="EM34" i="1"/>
  <c r="AA93" i="93" s="1"/>
  <c r="EE34" i="1"/>
  <c r="AA85" i="93" s="1"/>
  <c r="DK34" i="1"/>
  <c r="AA65" i="93" s="1"/>
  <c r="DO34" i="1"/>
  <c r="AA69" i="93" s="1"/>
  <c r="EJ34" i="1"/>
  <c r="AA90" i="93" s="1"/>
  <c r="DN35" i="1"/>
  <c r="AB68" i="93" s="1"/>
  <c r="BF68" i="93" s="1"/>
  <c r="KI68" i="93" s="1"/>
  <c r="EE35" i="1"/>
  <c r="AB85" i="93" s="1"/>
  <c r="BF85" i="93" s="1"/>
  <c r="KI85" i="93" s="1"/>
  <c r="DT35" i="1"/>
  <c r="AB74" i="93" s="1"/>
  <c r="BF74" i="93" s="1"/>
  <c r="KI74" i="93" s="1"/>
  <c r="DX35" i="1"/>
  <c r="AB78" i="93" s="1"/>
  <c r="BF78" i="93" s="1"/>
  <c r="KI78" i="93" s="1"/>
  <c r="DQ35" i="1"/>
  <c r="DM35" i="1"/>
  <c r="AB67" i="93" s="1"/>
  <c r="BF67" i="93" s="1"/>
  <c r="KI67" i="93" s="1"/>
  <c r="DU40" i="1"/>
  <c r="AG75" i="93" s="1"/>
  <c r="BK75" i="93" s="1"/>
  <c r="KN75" i="93" s="1"/>
  <c r="EA40" i="1"/>
  <c r="AG81" i="93" s="1"/>
  <c r="BK81" i="93" s="1"/>
  <c r="KN81" i="93" s="1"/>
  <c r="DX40" i="1"/>
  <c r="AG78" i="93" s="1"/>
  <c r="BK78" i="93" s="1"/>
  <c r="KN78" i="93" s="1"/>
  <c r="EI40" i="1"/>
  <c r="AG89" i="93" s="1"/>
  <c r="BK89" i="93" s="1"/>
  <c r="KN89" i="93" s="1"/>
  <c r="EE40" i="1"/>
  <c r="AG85" i="93" s="1"/>
  <c r="BK85" i="93" s="1"/>
  <c r="KN85" i="93" s="1"/>
  <c r="EG38" i="1"/>
  <c r="AE87" i="93" s="1"/>
  <c r="BI87" i="93" s="1"/>
  <c r="KL87" i="93" s="1"/>
  <c r="EL38" i="1"/>
  <c r="AE92" i="93" s="1"/>
  <c r="BI92" i="93" s="1"/>
  <c r="KL92" i="93" s="1"/>
  <c r="DM38" i="1"/>
  <c r="AE67" i="93" s="1"/>
  <c r="BI67" i="93" s="1"/>
  <c r="KL67" i="93" s="1"/>
  <c r="DK38" i="1"/>
  <c r="AE65" i="93" s="1"/>
  <c r="BI65" i="93" s="1"/>
  <c r="KL65" i="93" s="1"/>
  <c r="EI38" i="1"/>
  <c r="AE89" i="93" s="1"/>
  <c r="BI89" i="93" s="1"/>
  <c r="KL89" i="93" s="1"/>
  <c r="DW38" i="1"/>
  <c r="AE77" i="93" s="1"/>
  <c r="BI77" i="93" s="1"/>
  <c r="KL77" i="93" s="1"/>
  <c r="EJ43" i="1"/>
  <c r="AJ90" i="93" s="1"/>
  <c r="BN90" i="93" s="1"/>
  <c r="KQ90" i="93" s="1"/>
  <c r="DS43" i="1"/>
  <c r="AJ73" i="93" s="1"/>
  <c r="BN73" i="93" s="1"/>
  <c r="KQ73" i="93" s="1"/>
  <c r="DZ43" i="1"/>
  <c r="AJ80" i="93" s="1"/>
  <c r="BN80" i="93" s="1"/>
  <c r="KQ80" i="93" s="1"/>
  <c r="DX43" i="1"/>
  <c r="AJ78" i="93" s="1"/>
  <c r="BN78" i="93" s="1"/>
  <c r="KQ78" i="93" s="1"/>
  <c r="EM43" i="1"/>
  <c r="AJ93" i="93" s="1"/>
  <c r="BN93" i="93" s="1"/>
  <c r="KQ93" i="93" s="1"/>
  <c r="EB41" i="1"/>
  <c r="AH82" i="93" s="1"/>
  <c r="BL82" i="93" s="1"/>
  <c r="KO82" i="93" s="1"/>
  <c r="EE41" i="1"/>
  <c r="AH85" i="93" s="1"/>
  <c r="BL85" i="93" s="1"/>
  <c r="KO85" i="93" s="1"/>
  <c r="EG41" i="1"/>
  <c r="AH87" i="93" s="1"/>
  <c r="BL87" i="93" s="1"/>
  <c r="KO87" i="93" s="1"/>
  <c r="DS41" i="1"/>
  <c r="AH73" i="93" s="1"/>
  <c r="BL73" i="93" s="1"/>
  <c r="KO73" i="93" s="1"/>
  <c r="DO41" i="1"/>
  <c r="AH69" i="93" s="1"/>
  <c r="BL69" i="93" s="1"/>
  <c r="KO69" i="93" s="1"/>
  <c r="EB36" i="1"/>
  <c r="AC82" i="93" s="1"/>
  <c r="BG82" i="93" s="1"/>
  <c r="KJ82" i="93" s="1"/>
  <c r="DN36" i="1"/>
  <c r="AC68" i="93" s="1"/>
  <c r="BG68" i="93" s="1"/>
  <c r="KJ68" i="93" s="1"/>
  <c r="DU36" i="1"/>
  <c r="AC75" i="93" s="1"/>
  <c r="BG75" i="93" s="1"/>
  <c r="KJ75" i="93" s="1"/>
  <c r="EF36" i="1"/>
  <c r="AC86" i="93" s="1"/>
  <c r="BG86" i="93" s="1"/>
  <c r="KJ86" i="93" s="1"/>
  <c r="EM36" i="1"/>
  <c r="AC93" i="93" s="1"/>
  <c r="BG93" i="93" s="1"/>
  <c r="KJ93" i="93" s="1"/>
  <c r="EI36" i="1"/>
  <c r="AC89" i="93" s="1"/>
  <c r="BG89" i="93" s="1"/>
  <c r="KJ89" i="93" s="1"/>
  <c r="EA34" i="1"/>
  <c r="AA81" i="93" s="1"/>
  <c r="DX34" i="1"/>
  <c r="AA78" i="93" s="1"/>
  <c r="DY34" i="1"/>
  <c r="AA79" i="93" s="1"/>
  <c r="DL34" i="1"/>
  <c r="AA66" i="93" s="1"/>
  <c r="DW34" i="1"/>
  <c r="AA77" i="93" s="1"/>
  <c r="DR34" i="1"/>
  <c r="AA72" i="93" s="1"/>
  <c r="EI35" i="1"/>
  <c r="AB89" i="93" s="1"/>
  <c r="BF89" i="93" s="1"/>
  <c r="KI89" i="93" s="1"/>
  <c r="EF35" i="1"/>
  <c r="AB86" i="93" s="1"/>
  <c r="BF86" i="93" s="1"/>
  <c r="KI86" i="93" s="1"/>
  <c r="DR35" i="1"/>
  <c r="AB72" i="93" s="1"/>
  <c r="BF72" i="93" s="1"/>
  <c r="KI72" i="93" s="1"/>
  <c r="DK35" i="1"/>
  <c r="AB65" i="93" s="1"/>
  <c r="BF65" i="93" s="1"/>
  <c r="KI65" i="93" s="1"/>
  <c r="DY35" i="1"/>
  <c r="AB79" i="93" s="1"/>
  <c r="BF79" i="93" s="1"/>
  <c r="KI79" i="93" s="1"/>
  <c r="DQ41" i="1"/>
  <c r="AH71" i="93" s="1"/>
  <c r="BL71" i="93" s="1"/>
  <c r="KO71" i="93" s="1"/>
  <c r="DL41" i="1"/>
  <c r="AH66" i="93" s="1"/>
  <c r="BL66" i="93" s="1"/>
  <c r="KO66" i="93" s="1"/>
  <c r="EG36" i="1"/>
  <c r="AC87" i="93" s="1"/>
  <c r="BG87" i="93" s="1"/>
  <c r="KJ87" i="93" s="1"/>
  <c r="DS36" i="1"/>
  <c r="AC73" i="93" s="1"/>
  <c r="BG73" i="93" s="1"/>
  <c r="KJ73" i="93" s="1"/>
  <c r="EL34" i="1"/>
  <c r="AA92" i="93" s="1"/>
  <c r="DL35" i="1"/>
  <c r="AB66" i="93" s="1"/>
  <c r="BF66" i="93" s="1"/>
  <c r="KI66" i="93" s="1"/>
  <c r="DQ40" i="1"/>
  <c r="AG71" i="93" s="1"/>
  <c r="BK71" i="93" s="1"/>
  <c r="KN71" i="93" s="1"/>
  <c r="DW40" i="1"/>
  <c r="AG77" i="93" s="1"/>
  <c r="BK77" i="93" s="1"/>
  <c r="KN77" i="93" s="1"/>
  <c r="EG40" i="1"/>
  <c r="AG87" i="93" s="1"/>
  <c r="BK87" i="93" s="1"/>
  <c r="KN87" i="93" s="1"/>
  <c r="DL40" i="1"/>
  <c r="AG66" i="93" s="1"/>
  <c r="BK66" i="93" s="1"/>
  <c r="KN66" i="93" s="1"/>
  <c r="DN40" i="1"/>
  <c r="AG68" i="93" s="1"/>
  <c r="BK68" i="93" s="1"/>
  <c r="KN68" i="93" s="1"/>
  <c r="DN38" i="1"/>
  <c r="AE68" i="93" s="1"/>
  <c r="BI68" i="93" s="1"/>
  <c r="KL68" i="93" s="1"/>
  <c r="DU38" i="1"/>
  <c r="AE75" i="93" s="1"/>
  <c r="BI75" i="93" s="1"/>
  <c r="KL75" i="93" s="1"/>
  <c r="DR38" i="1"/>
  <c r="AE72" i="93" s="1"/>
  <c r="BI72" i="93" s="1"/>
  <c r="KL72" i="93" s="1"/>
  <c r="DO38" i="1"/>
  <c r="AE69" i="93" s="1"/>
  <c r="BI69" i="93" s="1"/>
  <c r="KL69" i="93" s="1"/>
  <c r="DW43" i="1"/>
  <c r="AJ77" i="93" s="1"/>
  <c r="BN77" i="93" s="1"/>
  <c r="KQ77" i="93" s="1"/>
  <c r="DL43" i="1"/>
  <c r="AJ66" i="93" s="1"/>
  <c r="BN66" i="93" s="1"/>
  <c r="KQ66" i="93" s="1"/>
  <c r="DO43" i="1"/>
  <c r="AJ69" i="93" s="1"/>
  <c r="BN69" i="93" s="1"/>
  <c r="KQ69" i="93" s="1"/>
  <c r="DK43" i="1"/>
  <c r="AJ65" i="93" s="1"/>
  <c r="BN65" i="93" s="1"/>
  <c r="KQ65" i="93" s="1"/>
  <c r="DZ39" i="1"/>
  <c r="AF80" i="93" s="1"/>
  <c r="BJ80" i="93" s="1"/>
  <c r="KM80" i="93" s="1"/>
  <c r="EA39" i="1"/>
  <c r="AF81" i="93" s="1"/>
  <c r="BJ81" i="93" s="1"/>
  <c r="KM81" i="93" s="1"/>
  <c r="DM37" i="1"/>
  <c r="AD67" i="93" s="1"/>
  <c r="BH67" i="93" s="1"/>
  <c r="KK67" i="93" s="1"/>
  <c r="EJ42" i="1"/>
  <c r="AI90" i="93" s="1"/>
  <c r="BM90" i="93" s="1"/>
  <c r="KP90" i="93" s="1"/>
  <c r="EG42" i="1"/>
  <c r="AI87" i="93" s="1"/>
  <c r="BM87" i="93" s="1"/>
  <c r="KP87" i="93" s="1"/>
  <c r="DY41" i="1"/>
  <c r="AH79" i="93" s="1"/>
  <c r="BL79" i="93" s="1"/>
  <c r="KO79" i="93" s="1"/>
  <c r="EG34" i="1"/>
  <c r="AA87" i="93" s="1"/>
  <c r="EM35" i="1"/>
  <c r="AB93" i="93" s="1"/>
  <c r="BF93" i="93" s="1"/>
  <c r="KI93" i="93" s="1"/>
  <c r="DY40" i="1"/>
  <c r="AG79" i="93" s="1"/>
  <c r="BK79" i="93" s="1"/>
  <c r="KN79" i="93" s="1"/>
  <c r="DS38" i="1"/>
  <c r="AE73" i="93" s="1"/>
  <c r="BI73" i="93" s="1"/>
  <c r="KL73" i="93" s="1"/>
  <c r="EG43" i="1"/>
  <c r="AJ87" i="93" s="1"/>
  <c r="BN87" i="93" s="1"/>
  <c r="KQ87" i="93" s="1"/>
  <c r="EA43" i="1"/>
  <c r="AJ81" i="93" s="1"/>
  <c r="BN81" i="93" s="1"/>
  <c r="KQ81" i="93" s="1"/>
  <c r="DK39" i="1"/>
  <c r="AF65" i="93" s="1"/>
  <c r="BJ65" i="93" s="1"/>
  <c r="KM65" i="93" s="1"/>
  <c r="EG39" i="1"/>
  <c r="AF87" i="93" s="1"/>
  <c r="BJ87" i="93" s="1"/>
  <c r="KM87" i="93" s="1"/>
  <c r="DZ37" i="1"/>
  <c r="AD80" i="93" s="1"/>
  <c r="BH80" i="93" s="1"/>
  <c r="KK80" i="93" s="1"/>
  <c r="EI37" i="1"/>
  <c r="AD89" i="93" s="1"/>
  <c r="BH89" i="93" s="1"/>
  <c r="KK89" i="93" s="1"/>
  <c r="EM42" i="1"/>
  <c r="AI93" i="93" s="1"/>
  <c r="BM93" i="93" s="1"/>
  <c r="KP93" i="93" s="1"/>
  <c r="EL41" i="1"/>
  <c r="AH92" i="93" s="1"/>
  <c r="BL92" i="93" s="1"/>
  <c r="KO92" i="93" s="1"/>
  <c r="DW36" i="1"/>
  <c r="AC77" i="93" s="1"/>
  <c r="BG77" i="93" s="1"/>
  <c r="KJ77" i="93" s="1"/>
  <c r="DU34" i="1"/>
  <c r="AA75" i="93" s="1"/>
  <c r="EB34" i="1"/>
  <c r="AA82" i="93" s="1"/>
  <c r="DW35" i="1"/>
  <c r="AB77" i="93" s="1"/>
  <c r="BF77" i="93" s="1"/>
  <c r="KI77" i="93" s="1"/>
  <c r="DZ35" i="1"/>
  <c r="AB80" i="93" s="1"/>
  <c r="BF80" i="93" s="1"/>
  <c r="KI80" i="93" s="1"/>
  <c r="DR40" i="1"/>
  <c r="AG72" i="93" s="1"/>
  <c r="BK72" i="93" s="1"/>
  <c r="KN72" i="93" s="1"/>
  <c r="DT40" i="1"/>
  <c r="AG74" i="93" s="1"/>
  <c r="BK74" i="93" s="1"/>
  <c r="KN74" i="93" s="1"/>
  <c r="DK40" i="1"/>
  <c r="AG65" i="93" s="1"/>
  <c r="BK65" i="93" s="1"/>
  <c r="KN65" i="93" s="1"/>
  <c r="DZ40" i="1"/>
  <c r="AG80" i="93" s="1"/>
  <c r="BK80" i="93" s="1"/>
  <c r="KN80" i="93" s="1"/>
  <c r="EE38" i="1"/>
  <c r="AE85" i="93" s="1"/>
  <c r="BI85" i="93" s="1"/>
  <c r="KL85" i="93" s="1"/>
  <c r="EA38" i="1"/>
  <c r="AE81" i="93" s="1"/>
  <c r="BI81" i="93" s="1"/>
  <c r="KL81" i="93" s="1"/>
  <c r="DY38" i="1"/>
  <c r="AE79" i="93" s="1"/>
  <c r="BI79" i="93" s="1"/>
  <c r="KL79" i="93" s="1"/>
  <c r="EB38" i="1"/>
  <c r="AE82" i="93" s="1"/>
  <c r="BI82" i="93" s="1"/>
  <c r="KL82" i="93" s="1"/>
  <c r="EF38" i="1"/>
  <c r="AE86" i="93" s="1"/>
  <c r="BI86" i="93" s="1"/>
  <c r="KL86" i="93" s="1"/>
  <c r="DY43" i="1"/>
  <c r="AJ79" i="93" s="1"/>
  <c r="BN79" i="93" s="1"/>
  <c r="KQ79" i="93" s="1"/>
  <c r="DN43" i="1"/>
  <c r="AJ68" i="93" s="1"/>
  <c r="BN68" i="93" s="1"/>
  <c r="KQ68" i="93" s="1"/>
  <c r="DT43" i="1"/>
  <c r="AJ74" i="93" s="1"/>
  <c r="BN74" i="93" s="1"/>
  <c r="KQ74" i="93" s="1"/>
  <c r="DU43" i="1"/>
  <c r="AJ75" i="93" s="1"/>
  <c r="BN75" i="93" s="1"/>
  <c r="KQ75" i="93" s="1"/>
  <c r="DM43" i="1"/>
  <c r="AJ67" i="93" s="1"/>
  <c r="BN67" i="93" s="1"/>
  <c r="KQ67" i="93" s="1"/>
  <c r="EM39" i="1"/>
  <c r="AF93" i="93" s="1"/>
  <c r="BJ93" i="93" s="1"/>
  <c r="KM93" i="93" s="1"/>
  <c r="EI39" i="1"/>
  <c r="AF89" i="93" s="1"/>
  <c r="BJ89" i="93" s="1"/>
  <c r="KM89" i="93" s="1"/>
  <c r="DO39" i="1"/>
  <c r="AF69" i="93" s="1"/>
  <c r="BJ69" i="93" s="1"/>
  <c r="KM69" i="93" s="1"/>
  <c r="EL39" i="1"/>
  <c r="AF92" i="93" s="1"/>
  <c r="BJ92" i="93" s="1"/>
  <c r="KM92" i="93" s="1"/>
  <c r="EF39" i="1"/>
  <c r="AF86" i="93" s="1"/>
  <c r="BJ86" i="93" s="1"/>
  <c r="KM86" i="93" s="1"/>
  <c r="DT39" i="1"/>
  <c r="AF74" i="93" s="1"/>
  <c r="BJ74" i="93" s="1"/>
  <c r="KM74" i="93" s="1"/>
  <c r="EF37" i="1"/>
  <c r="AD86" i="93" s="1"/>
  <c r="BH86" i="93" s="1"/>
  <c r="KK86" i="93" s="1"/>
  <c r="DX37" i="1"/>
  <c r="AD78" i="93" s="1"/>
  <c r="BH78" i="93" s="1"/>
  <c r="KK78" i="93" s="1"/>
  <c r="DQ37" i="1"/>
  <c r="AD71" i="93" s="1"/>
  <c r="BH71" i="93" s="1"/>
  <c r="KK71" i="93" s="1"/>
  <c r="EA37" i="1"/>
  <c r="AD81" i="93" s="1"/>
  <c r="BH81" i="93" s="1"/>
  <c r="KK81" i="93" s="1"/>
  <c r="EL37" i="1"/>
  <c r="AD92" i="93" s="1"/>
  <c r="BH92" i="93" s="1"/>
  <c r="KK92" i="93" s="1"/>
  <c r="EJ37" i="1"/>
  <c r="AD90" i="93" s="1"/>
  <c r="BH90" i="93" s="1"/>
  <c r="KK90" i="93" s="1"/>
  <c r="EI42" i="1"/>
  <c r="AI89" i="93" s="1"/>
  <c r="BM89" i="93" s="1"/>
  <c r="KP89" i="93" s="1"/>
  <c r="DQ42" i="1"/>
  <c r="AI71" i="93" s="1"/>
  <c r="BM71" i="93" s="1"/>
  <c r="KP71" i="93" s="1"/>
  <c r="DZ42" i="1"/>
  <c r="AI80" i="93" s="1"/>
  <c r="BM80" i="93" s="1"/>
  <c r="KP80" i="93" s="1"/>
  <c r="DN42" i="1"/>
  <c r="AI68" i="93" s="1"/>
  <c r="BM68" i="93" s="1"/>
  <c r="KP68" i="93" s="1"/>
  <c r="EB42" i="1"/>
  <c r="AI82" i="93" s="1"/>
  <c r="BM82" i="93" s="1"/>
  <c r="KP82" i="93" s="1"/>
  <c r="EB39" i="1"/>
  <c r="AF82" i="93" s="1"/>
  <c r="BJ82" i="93" s="1"/>
  <c r="KM82" i="93" s="1"/>
  <c r="DS39" i="1"/>
  <c r="AF73" i="93" s="1"/>
  <c r="BJ73" i="93" s="1"/>
  <c r="KM73" i="93" s="1"/>
  <c r="DR39" i="1"/>
  <c r="AF72" i="93" s="1"/>
  <c r="BJ72" i="93" s="1"/>
  <c r="KM72" i="93" s="1"/>
  <c r="DL37" i="1"/>
  <c r="AD66" i="93" s="1"/>
  <c r="BH66" i="93" s="1"/>
  <c r="KK66" i="93" s="1"/>
  <c r="DO37" i="1"/>
  <c r="AD69" i="93" s="1"/>
  <c r="BH69" i="93" s="1"/>
  <c r="KK69" i="93" s="1"/>
  <c r="EB37" i="1"/>
  <c r="AD82" i="93" s="1"/>
  <c r="BH82" i="93" s="1"/>
  <c r="KK82" i="93" s="1"/>
  <c r="EF42" i="1"/>
  <c r="AI86" i="93" s="1"/>
  <c r="BM86" i="93" s="1"/>
  <c r="KP86" i="93" s="1"/>
  <c r="DL42" i="1"/>
  <c r="AI66" i="93" s="1"/>
  <c r="BM66" i="93" s="1"/>
  <c r="KP66" i="93" s="1"/>
  <c r="DM42" i="1"/>
  <c r="AI67" i="93" s="1"/>
  <c r="BM67" i="93" s="1"/>
  <c r="KP67" i="93" s="1"/>
  <c r="EL42" i="1"/>
  <c r="AI92" i="93" s="1"/>
  <c r="BM92" i="93" s="1"/>
  <c r="KP92" i="93" s="1"/>
  <c r="EE39" i="1"/>
  <c r="AF85" i="93" s="1"/>
  <c r="BJ85" i="93" s="1"/>
  <c r="KM85" i="93" s="1"/>
  <c r="DU37" i="1"/>
  <c r="AD75" i="93" s="1"/>
  <c r="BH75" i="93" s="1"/>
  <c r="KK75" i="93" s="1"/>
  <c r="DT37" i="1"/>
  <c r="AD74" i="93" s="1"/>
  <c r="BH74" i="93" s="1"/>
  <c r="KK74" i="93" s="1"/>
  <c r="EG37" i="1"/>
  <c r="AD87" i="93" s="1"/>
  <c r="BH87" i="93" s="1"/>
  <c r="KK87" i="93" s="1"/>
  <c r="DS37" i="1"/>
  <c r="AD73" i="93" s="1"/>
  <c r="BH73" i="93" s="1"/>
  <c r="KK73" i="93" s="1"/>
  <c r="DW42" i="1"/>
  <c r="AI77" i="93" s="1"/>
  <c r="BM77" i="93" s="1"/>
  <c r="KP77" i="93" s="1"/>
  <c r="DK42" i="1"/>
  <c r="AI65" i="93" s="1"/>
  <c r="BM65" i="93" s="1"/>
  <c r="KP65" i="93" s="1"/>
  <c r="DR41" i="1"/>
  <c r="AH72" i="93" s="1"/>
  <c r="BL72" i="93" s="1"/>
  <c r="KO72" i="93" s="1"/>
  <c r="DT36" i="1"/>
  <c r="AC74" i="93" s="1"/>
  <c r="BG74" i="93" s="1"/>
  <c r="KJ74" i="93" s="1"/>
  <c r="DQ34" i="1"/>
  <c r="AA71" i="93" s="1"/>
  <c r="EM40" i="1"/>
  <c r="AG93" i="93" s="1"/>
  <c r="BK93" i="93" s="1"/>
  <c r="KN93" i="93" s="1"/>
  <c r="DM40" i="1"/>
  <c r="AG67" i="93" s="1"/>
  <c r="BK67" i="93" s="1"/>
  <c r="KN67" i="93" s="1"/>
  <c r="DQ38" i="1"/>
  <c r="AE71" i="93" s="1"/>
  <c r="BI71" i="93" s="1"/>
  <c r="KL71" i="93" s="1"/>
  <c r="DZ38" i="1"/>
  <c r="AE80" i="93" s="1"/>
  <c r="BI80" i="93" s="1"/>
  <c r="KL80" i="93" s="1"/>
  <c r="DR43" i="1"/>
  <c r="AJ72" i="93" s="1"/>
  <c r="BN72" i="93" s="1"/>
  <c r="KQ72" i="93" s="1"/>
  <c r="EB43" i="1"/>
  <c r="AJ82" i="93" s="1"/>
  <c r="BN82" i="93" s="1"/>
  <c r="KQ82" i="93" s="1"/>
  <c r="DU39" i="1"/>
  <c r="AF75" i="93" s="1"/>
  <c r="BJ75" i="93" s="1"/>
  <c r="KM75" i="93" s="1"/>
  <c r="DL39" i="1"/>
  <c r="AF66" i="93" s="1"/>
  <c r="BJ66" i="93" s="1"/>
  <c r="KM66" i="93" s="1"/>
  <c r="EE37" i="1"/>
  <c r="AD85" i="93" s="1"/>
  <c r="BH85" i="93" s="1"/>
  <c r="KK85" i="93" s="1"/>
  <c r="EM37" i="1"/>
  <c r="AD93" i="93" s="1"/>
  <c r="BH93" i="93" s="1"/>
  <c r="KK93" i="93" s="1"/>
  <c r="DN37" i="1"/>
  <c r="AD68" i="93" s="1"/>
  <c r="BH68" i="93" s="1"/>
  <c r="KK68" i="93" s="1"/>
  <c r="DU42" i="1"/>
  <c r="AI75" i="93" s="1"/>
  <c r="BM75" i="93" s="1"/>
  <c r="KP75" i="93" s="1"/>
  <c r="DX42" i="1"/>
  <c r="AI78" i="93" s="1"/>
  <c r="BM78" i="93" s="1"/>
  <c r="KP78" i="93" s="1"/>
  <c r="DR42" i="1"/>
  <c r="AI72" i="93" s="1"/>
  <c r="BM72" i="93" s="1"/>
  <c r="KP72" i="93" s="1"/>
  <c r="EF41" i="1"/>
  <c r="AH86" i="93" s="1"/>
  <c r="BL86" i="93" s="1"/>
  <c r="KO86" i="93" s="1"/>
  <c r="DR36" i="1"/>
  <c r="AC72" i="93" s="1"/>
  <c r="BG72" i="93" s="1"/>
  <c r="KJ72" i="93" s="1"/>
  <c r="DZ34" i="1"/>
  <c r="AA80" i="93" s="1"/>
  <c r="EG35" i="1"/>
  <c r="AB87" i="93" s="1"/>
  <c r="BF87" i="93" s="1"/>
  <c r="KI87" i="93" s="1"/>
  <c r="EB35" i="1"/>
  <c r="AB82" i="93" s="1"/>
  <c r="BF82" i="93" s="1"/>
  <c r="KI82" i="93" s="1"/>
  <c r="DO40" i="1"/>
  <c r="AG69" i="93" s="1"/>
  <c r="BK69" i="93" s="1"/>
  <c r="KN69" i="93" s="1"/>
  <c r="EJ40" i="1"/>
  <c r="AG90" i="93" s="1"/>
  <c r="BK90" i="93" s="1"/>
  <c r="KN90" i="93" s="1"/>
  <c r="DS40" i="1"/>
  <c r="AG73" i="93" s="1"/>
  <c r="BK73" i="93" s="1"/>
  <c r="KN73" i="93" s="1"/>
  <c r="EF40" i="1"/>
  <c r="AG86" i="93" s="1"/>
  <c r="BK86" i="93" s="1"/>
  <c r="KN86" i="93" s="1"/>
  <c r="DX38" i="1"/>
  <c r="AE78" i="93" s="1"/>
  <c r="BI78" i="93" s="1"/>
  <c r="KL78" i="93" s="1"/>
  <c r="DT38" i="1"/>
  <c r="AE74" i="93" s="1"/>
  <c r="BI74" i="93" s="1"/>
  <c r="KL74" i="93" s="1"/>
  <c r="DL38" i="1"/>
  <c r="AE66" i="93" s="1"/>
  <c r="BI66" i="93" s="1"/>
  <c r="KL66" i="93" s="1"/>
  <c r="EJ38" i="1"/>
  <c r="AE90" i="93" s="1"/>
  <c r="BI90" i="93" s="1"/>
  <c r="KL90" i="93" s="1"/>
  <c r="EL43" i="1"/>
  <c r="AJ92" i="93" s="1"/>
  <c r="BN92" i="93" s="1"/>
  <c r="KQ92" i="93" s="1"/>
  <c r="EI43" i="1"/>
  <c r="AJ89" i="93" s="1"/>
  <c r="BN89" i="93" s="1"/>
  <c r="KQ89" i="93" s="1"/>
  <c r="DQ43" i="1"/>
  <c r="AJ71" i="93" s="1"/>
  <c r="BN71" i="93" s="1"/>
  <c r="KQ71" i="93" s="1"/>
  <c r="EE43" i="1"/>
  <c r="AJ85" i="93" s="1"/>
  <c r="BN85" i="93" s="1"/>
  <c r="KQ85" i="93" s="1"/>
  <c r="DX39" i="1"/>
  <c r="AF78" i="93" s="1"/>
  <c r="BJ78" i="93" s="1"/>
  <c r="KM78" i="93" s="1"/>
  <c r="DW39" i="1"/>
  <c r="AF77" i="93" s="1"/>
  <c r="BJ77" i="93" s="1"/>
  <c r="KM77" i="93" s="1"/>
  <c r="DN39" i="1"/>
  <c r="AF68" i="93" s="1"/>
  <c r="BJ68" i="93" s="1"/>
  <c r="KM68" i="93" s="1"/>
  <c r="DY37" i="1"/>
  <c r="AD79" i="93" s="1"/>
  <c r="BH79" i="93" s="1"/>
  <c r="KK79" i="93" s="1"/>
  <c r="DK37" i="1"/>
  <c r="AD65" i="93" s="1"/>
  <c r="BH65" i="93" s="1"/>
  <c r="KK65" i="93" s="1"/>
  <c r="DO42" i="1"/>
  <c r="AI69" i="93" s="1"/>
  <c r="BM69" i="93" s="1"/>
  <c r="KP69" i="93" s="1"/>
  <c r="EE42" i="1"/>
  <c r="AI85" i="93" s="1"/>
  <c r="BM85" i="93" s="1"/>
  <c r="KP85" i="93" s="1"/>
  <c r="DM39" i="1"/>
  <c r="AF67" i="93" s="1"/>
  <c r="BJ67" i="93" s="1"/>
  <c r="KM67" i="93" s="1"/>
  <c r="EJ39" i="1"/>
  <c r="AF90" i="93" s="1"/>
  <c r="BJ90" i="93" s="1"/>
  <c r="KM90" i="93" s="1"/>
  <c r="DW37" i="1"/>
  <c r="AD77" i="93" s="1"/>
  <c r="BH77" i="93" s="1"/>
  <c r="KK77" i="93" s="1"/>
  <c r="DY42" i="1"/>
  <c r="AI79" i="93" s="1"/>
  <c r="BM79" i="93" s="1"/>
  <c r="KP79" i="93" s="1"/>
  <c r="EA42" i="1"/>
  <c r="AI81" i="93" s="1"/>
  <c r="BM81" i="93" s="1"/>
  <c r="KP81" i="93" s="1"/>
  <c r="EB40" i="1"/>
  <c r="AG82" i="93" s="1"/>
  <c r="BK82" i="93" s="1"/>
  <c r="KN82" i="93" s="1"/>
  <c r="EL40" i="1"/>
  <c r="AG92" i="93" s="1"/>
  <c r="BK92" i="93" s="1"/>
  <c r="KN92" i="93" s="1"/>
  <c r="EM38" i="1"/>
  <c r="AE93" i="93" s="1"/>
  <c r="BI93" i="93" s="1"/>
  <c r="KL93" i="93" s="1"/>
  <c r="EF43" i="1"/>
  <c r="AJ86" i="93" s="1"/>
  <c r="BN86" i="93" s="1"/>
  <c r="KQ86" i="93" s="1"/>
  <c r="DQ39" i="1"/>
  <c r="AF71" i="93" s="1"/>
  <c r="BJ71" i="93" s="1"/>
  <c r="KM71" i="93" s="1"/>
  <c r="DY39" i="1"/>
  <c r="AF79" i="93" s="1"/>
  <c r="BJ79" i="93" s="1"/>
  <c r="KM79" i="93" s="1"/>
  <c r="DR37" i="1"/>
  <c r="AD72" i="93" s="1"/>
  <c r="BH72" i="93" s="1"/>
  <c r="KK72" i="93" s="1"/>
  <c r="DS42" i="1"/>
  <c r="AI73" i="93" s="1"/>
  <c r="BM73" i="93" s="1"/>
  <c r="KP73" i="93" s="1"/>
  <c r="DT42" i="1"/>
  <c r="AI74" i="93" s="1"/>
  <c r="BM74" i="93" s="1"/>
  <c r="KP74" i="93" s="1"/>
  <c r="DJ6" i="1"/>
  <c r="DJ36" i="1"/>
  <c r="AC64" i="93" s="1"/>
  <c r="BG64" i="93" s="1"/>
  <c r="DJ35" i="1"/>
  <c r="AB64" i="93" s="1"/>
  <c r="BF64" i="93" s="1"/>
  <c r="DJ41" i="1"/>
  <c r="AH64" i="93" s="1"/>
  <c r="BL64" i="93" s="1"/>
  <c r="DJ42" i="1"/>
  <c r="AI64" i="93" s="1"/>
  <c r="BM64" i="93" s="1"/>
  <c r="DJ34" i="1"/>
  <c r="AA64" i="93" s="1"/>
  <c r="DJ40" i="1"/>
  <c r="AG64" i="93" s="1"/>
  <c r="DJ37" i="1"/>
  <c r="AD64" i="93" s="1"/>
  <c r="BH64" i="93" s="1"/>
  <c r="DJ38" i="1"/>
  <c r="AE64" i="93" s="1"/>
  <c r="BI64" i="93" s="1"/>
  <c r="DJ43" i="1"/>
  <c r="AJ64" i="93" s="1"/>
  <c r="BN64" i="93" s="1"/>
  <c r="DJ39" i="1"/>
  <c r="AF64" i="93" s="1"/>
  <c r="BJ64" i="93" s="1"/>
  <c r="DY7" i="1"/>
  <c r="Y79" i="93" s="1"/>
  <c r="BC79" i="93" s="1"/>
  <c r="DL7" i="1"/>
  <c r="Y66" i="93" s="1"/>
  <c r="BC66" i="93" s="1"/>
  <c r="EE7" i="1"/>
  <c r="Y85" i="93" s="1"/>
  <c r="BC85" i="93" s="1"/>
  <c r="EM7" i="1"/>
  <c r="Y93" i="93" s="1"/>
  <c r="BC93" i="93" s="1"/>
  <c r="EJ7" i="1"/>
  <c r="FU114" i="1" s="1"/>
  <c r="GT114" i="1" s="1"/>
  <c r="EG7" i="1"/>
  <c r="Y87" i="93" s="1"/>
  <c r="BC87" i="93" s="1"/>
  <c r="EL7" i="1"/>
  <c r="FU112" i="1" s="1"/>
  <c r="GT112" i="1" s="1"/>
  <c r="DO7" i="1"/>
  <c r="Y69" i="93" s="1"/>
  <c r="BC69" i="93" s="1"/>
  <c r="DZ7" i="1"/>
  <c r="Y80" i="93" s="1"/>
  <c r="BC80" i="93" s="1"/>
  <c r="DX7" i="1"/>
  <c r="Y78" i="93" s="1"/>
  <c r="BC78" i="93" s="1"/>
  <c r="DW7" i="1"/>
  <c r="FU127" i="1" s="1"/>
  <c r="GT127" i="1" s="1"/>
  <c r="DM7" i="1"/>
  <c r="FU137" i="1" s="1"/>
  <c r="GT137" i="1" s="1"/>
  <c r="EI7" i="1"/>
  <c r="Y89" i="93" s="1"/>
  <c r="BC89" i="93" s="1"/>
  <c r="DQ7" i="1"/>
  <c r="Y71" i="93" s="1"/>
  <c r="BC71" i="93" s="1"/>
  <c r="DS7" i="1"/>
  <c r="Y73" i="93" s="1"/>
  <c r="BC73" i="93" s="1"/>
  <c r="EA7" i="1"/>
  <c r="Y81" i="93" s="1"/>
  <c r="BC81" i="93" s="1"/>
  <c r="DU7" i="1"/>
  <c r="FU129" i="1" s="1"/>
  <c r="GT129" i="1" s="1"/>
  <c r="EF7" i="1"/>
  <c r="Y86" i="93" s="1"/>
  <c r="BC86" i="93" s="1"/>
  <c r="DT7" i="1"/>
  <c r="Y74" i="93" s="1"/>
  <c r="BC74" i="93" s="1"/>
  <c r="DN7" i="1"/>
  <c r="FU136" i="1" s="1"/>
  <c r="DJ7" i="1"/>
  <c r="Y64" i="93" s="1"/>
  <c r="EB7" i="1"/>
  <c r="Y82" i="93" s="1"/>
  <c r="BC82" i="93" s="1"/>
  <c r="DR7" i="1"/>
  <c r="Y72" i="93" s="1"/>
  <c r="BC72" i="93" s="1"/>
  <c r="DK7" i="1"/>
  <c r="Y65" i="93" s="1"/>
  <c r="BC65" i="93" s="1"/>
  <c r="FS195" i="1"/>
  <c r="FS197" i="1"/>
  <c r="FS196" i="1"/>
  <c r="GT136" i="1" l="1"/>
  <c r="HE84" i="93"/>
  <c r="EM84" i="93"/>
  <c r="DP159" i="1"/>
  <c r="BS70" i="93"/>
  <c r="CW70" i="93" s="1"/>
  <c r="IE70" i="93" s="1"/>
  <c r="GX70" i="93" s="1"/>
  <c r="DN76" i="93"/>
  <c r="DV76" i="93" s="1"/>
  <c r="DO76" i="93"/>
  <c r="DW76" i="93" s="1"/>
  <c r="BE76" i="93"/>
  <c r="KH76" i="93" s="1"/>
  <c r="FU120" i="1"/>
  <c r="Y84" i="93"/>
  <c r="BC84" i="93" s="1"/>
  <c r="HE88" i="93"/>
  <c r="EM88" i="93"/>
  <c r="FU113" i="1"/>
  <c r="Y91" i="93"/>
  <c r="BC91" i="93" s="1"/>
  <c r="DV4" i="1"/>
  <c r="W76" i="93"/>
  <c r="BA76" i="93" s="1"/>
  <c r="HE91" i="93"/>
  <c r="EM91" i="93"/>
  <c r="HE76" i="93"/>
  <c r="EM76" i="93"/>
  <c r="EK159" i="1"/>
  <c r="BS91" i="93"/>
  <c r="CW91" i="93" s="1"/>
  <c r="IE91" i="93" s="1"/>
  <c r="GX91" i="93" s="1"/>
  <c r="FU121" i="1"/>
  <c r="Y83" i="93"/>
  <c r="BC83" i="93" s="1"/>
  <c r="DO91" i="93"/>
  <c r="DW91" i="93" s="1"/>
  <c r="DN91" i="93"/>
  <c r="DV91" i="93" s="1"/>
  <c r="BE91" i="93"/>
  <c r="KH91" i="93" s="1"/>
  <c r="DN70" i="93"/>
  <c r="DV70" i="93" s="1"/>
  <c r="DO70" i="93"/>
  <c r="DW70" i="93" s="1"/>
  <c r="BE70" i="93"/>
  <c r="KH70" i="93" s="1"/>
  <c r="EH159" i="1"/>
  <c r="BS88" i="93"/>
  <c r="CW88" i="93" s="1"/>
  <c r="IE88" i="93" s="1"/>
  <c r="GX88" i="93" s="1"/>
  <c r="HE83" i="93"/>
  <c r="EM83" i="93"/>
  <c r="ED159" i="1"/>
  <c r="BS84" i="93"/>
  <c r="CW84" i="93" s="1"/>
  <c r="IE84" i="93" s="1"/>
  <c r="GX84" i="93" s="1"/>
  <c r="DP4" i="1"/>
  <c r="W70" i="93"/>
  <c r="BA70" i="93" s="1"/>
  <c r="EH4" i="1"/>
  <c r="W88" i="93"/>
  <c r="BA88" i="93" s="1"/>
  <c r="DN83" i="93"/>
  <c r="DV83" i="93" s="1"/>
  <c r="DO83" i="93"/>
  <c r="DW83" i="93" s="1"/>
  <c r="BE83" i="93"/>
  <c r="KH83" i="93" s="1"/>
  <c r="FU128" i="1"/>
  <c r="Y76" i="93"/>
  <c r="BC76" i="93" s="1"/>
  <c r="EK4" i="1"/>
  <c r="W91" i="93"/>
  <c r="BA91" i="93" s="1"/>
  <c r="DO84" i="93"/>
  <c r="DW84" i="93" s="1"/>
  <c r="DN84" i="93"/>
  <c r="DV84" i="93" s="1"/>
  <c r="BE84" i="93"/>
  <c r="KH84" i="93" s="1"/>
  <c r="EC4" i="1"/>
  <c r="W83" i="93"/>
  <c r="BA83" i="93" s="1"/>
  <c r="DV159" i="1"/>
  <c r="BS76" i="93"/>
  <c r="CW76" i="93" s="1"/>
  <c r="IE76" i="93" s="1"/>
  <c r="GX76" i="93" s="1"/>
  <c r="DO88" i="93"/>
  <c r="DW88" i="93" s="1"/>
  <c r="DN88" i="93"/>
  <c r="DV88" i="93" s="1"/>
  <c r="BE88" i="93"/>
  <c r="KH88" i="93" s="1"/>
  <c r="ED4" i="1"/>
  <c r="W84" i="93"/>
  <c r="BA84" i="93" s="1"/>
  <c r="FU134" i="1"/>
  <c r="Y70" i="93"/>
  <c r="BC70" i="93" s="1"/>
  <c r="IF70" i="93" s="1"/>
  <c r="FU116" i="1"/>
  <c r="Y88" i="93"/>
  <c r="BC88" i="93" s="1"/>
  <c r="HE70" i="93"/>
  <c r="EM70" i="93"/>
  <c r="EC159" i="1"/>
  <c r="BS83" i="93"/>
  <c r="CW83" i="93" s="1"/>
  <c r="IE83" i="93" s="1"/>
  <c r="GX83" i="93" s="1"/>
  <c r="D29" i="129"/>
  <c r="F29" i="129"/>
  <c r="A29" i="129"/>
  <c r="D31" i="129"/>
  <c r="F31" i="129"/>
  <c r="A31" i="129"/>
  <c r="GU112" i="1"/>
  <c r="GV112" i="1"/>
  <c r="GU129" i="1"/>
  <c r="GV129" i="1"/>
  <c r="GU114" i="1"/>
  <c r="GV114" i="1"/>
  <c r="GU127" i="1"/>
  <c r="GV127" i="1"/>
  <c r="GU136" i="1"/>
  <c r="GV136" i="1"/>
  <c r="GU137" i="1"/>
  <c r="GV137" i="1"/>
  <c r="B32" i="136"/>
  <c r="A32" i="129"/>
  <c r="F32" i="129"/>
  <c r="D32" i="129"/>
  <c r="W73" i="93"/>
  <c r="DS4" i="1"/>
  <c r="W66" i="93"/>
  <c r="DL4" i="1"/>
  <c r="W71" i="93"/>
  <c r="DQ4" i="1"/>
  <c r="W85" i="93"/>
  <c r="EE4" i="1"/>
  <c r="W79" i="93"/>
  <c r="DY4" i="1"/>
  <c r="W72" i="93"/>
  <c r="DR4" i="1"/>
  <c r="W68" i="93"/>
  <c r="DN4" i="1"/>
  <c r="W81" i="93"/>
  <c r="EA4" i="1"/>
  <c r="W75" i="93"/>
  <c r="DU4" i="1"/>
  <c r="W87" i="93"/>
  <c r="EG4" i="1"/>
  <c r="W86" i="93"/>
  <c r="EF4" i="1"/>
  <c r="W64" i="93"/>
  <c r="DJ4" i="1"/>
  <c r="W90" i="93"/>
  <c r="EJ4" i="1"/>
  <c r="W69" i="93"/>
  <c r="DO4" i="1"/>
  <c r="W92" i="93"/>
  <c r="EL4" i="1"/>
  <c r="W67" i="93"/>
  <c r="DM4" i="1"/>
  <c r="W74" i="93"/>
  <c r="DT4" i="1"/>
  <c r="W78" i="93"/>
  <c r="DX4" i="1"/>
  <c r="W82" i="93"/>
  <c r="EB4" i="1"/>
  <c r="W80" i="93"/>
  <c r="DZ4" i="1"/>
  <c r="W77" i="93"/>
  <c r="DW4" i="1"/>
  <c r="W89" i="93"/>
  <c r="EI4" i="1"/>
  <c r="W65" i="93"/>
  <c r="DK4" i="1"/>
  <c r="W93" i="93"/>
  <c r="EM4" i="1"/>
  <c r="GX136" i="1"/>
  <c r="HB136" i="1"/>
  <c r="HF136" i="1"/>
  <c r="HJ136" i="1"/>
  <c r="HN136" i="1"/>
  <c r="HR136" i="1"/>
  <c r="HV136" i="1"/>
  <c r="HZ136" i="1"/>
  <c r="ID136" i="1"/>
  <c r="IH136" i="1"/>
  <c r="HA136" i="1"/>
  <c r="HG136" i="1"/>
  <c r="HL136" i="1"/>
  <c r="HQ136" i="1"/>
  <c r="HW136" i="1"/>
  <c r="IB136" i="1"/>
  <c r="IG136" i="1"/>
  <c r="GY136" i="1"/>
  <c r="HE136" i="1"/>
  <c r="HM136" i="1"/>
  <c r="HT136" i="1"/>
  <c r="IA136" i="1"/>
  <c r="II136" i="1"/>
  <c r="GZ136" i="1"/>
  <c r="HH136" i="1"/>
  <c r="HU136" i="1"/>
  <c r="IJ136" i="1"/>
  <c r="HC136" i="1"/>
  <c r="HP136" i="1"/>
  <c r="HX136" i="1"/>
  <c r="GW136" i="1"/>
  <c r="HD136" i="1"/>
  <c r="HK136" i="1"/>
  <c r="HS136" i="1"/>
  <c r="HY136" i="1"/>
  <c r="IF136" i="1"/>
  <c r="HO136" i="1"/>
  <c r="IC136" i="1"/>
  <c r="HI136" i="1"/>
  <c r="IE136" i="1"/>
  <c r="GZ137" i="1"/>
  <c r="HD137" i="1"/>
  <c r="HH137" i="1"/>
  <c r="HL137" i="1"/>
  <c r="HP137" i="1"/>
  <c r="HT137" i="1"/>
  <c r="HX137" i="1"/>
  <c r="IB137" i="1"/>
  <c r="IF137" i="1"/>
  <c r="IJ137" i="1"/>
  <c r="HA137" i="1"/>
  <c r="HF137" i="1"/>
  <c r="HK137" i="1"/>
  <c r="HQ137" i="1"/>
  <c r="HV137" i="1"/>
  <c r="IA137" i="1"/>
  <c r="IG137" i="1"/>
  <c r="GW137" i="1"/>
  <c r="HC137" i="1"/>
  <c r="HJ137" i="1"/>
  <c r="HR137" i="1"/>
  <c r="HY137" i="1"/>
  <c r="IE137" i="1"/>
  <c r="HE137" i="1"/>
  <c r="HM137" i="1"/>
  <c r="HZ137" i="1"/>
  <c r="IH137" i="1"/>
  <c r="GY137" i="1"/>
  <c r="HN137" i="1"/>
  <c r="HU137" i="1"/>
  <c r="II137" i="1"/>
  <c r="HB137" i="1"/>
  <c r="HI137" i="1"/>
  <c r="HO137" i="1"/>
  <c r="HW137" i="1"/>
  <c r="ID137" i="1"/>
  <c r="GX137" i="1"/>
  <c r="HS137" i="1"/>
  <c r="HG137" i="1"/>
  <c r="IC137" i="1"/>
  <c r="GW112" i="1"/>
  <c r="HA112" i="1"/>
  <c r="HE112" i="1"/>
  <c r="HI112" i="1"/>
  <c r="HM112" i="1"/>
  <c r="HQ112" i="1"/>
  <c r="HU112" i="1"/>
  <c r="HY112" i="1"/>
  <c r="IC112" i="1"/>
  <c r="IG112" i="1"/>
  <c r="GZ112" i="1"/>
  <c r="HD112" i="1"/>
  <c r="HH112" i="1"/>
  <c r="HL112" i="1"/>
  <c r="HP112" i="1"/>
  <c r="HT112" i="1"/>
  <c r="HX112" i="1"/>
  <c r="IB112" i="1"/>
  <c r="IF112" i="1"/>
  <c r="IJ112" i="1"/>
  <c r="GY112" i="1"/>
  <c r="HG112" i="1"/>
  <c r="HO112" i="1"/>
  <c r="HW112" i="1"/>
  <c r="IE112" i="1"/>
  <c r="GX112" i="1"/>
  <c r="HF112" i="1"/>
  <c r="HN112" i="1"/>
  <c r="HV112" i="1"/>
  <c r="ID112" i="1"/>
  <c r="HB112" i="1"/>
  <c r="HR112" i="1"/>
  <c r="IH112" i="1"/>
  <c r="HC112" i="1"/>
  <c r="HS112" i="1"/>
  <c r="II112" i="1"/>
  <c r="HK112" i="1"/>
  <c r="IA112" i="1"/>
  <c r="HJ112" i="1"/>
  <c r="HZ112" i="1"/>
  <c r="GZ127" i="1"/>
  <c r="HD127" i="1"/>
  <c r="HH127" i="1"/>
  <c r="HL127" i="1"/>
  <c r="HP127" i="1"/>
  <c r="HT127" i="1"/>
  <c r="HX127" i="1"/>
  <c r="IB127" i="1"/>
  <c r="IF127" i="1"/>
  <c r="IJ127" i="1"/>
  <c r="HA127" i="1"/>
  <c r="HF127" i="1"/>
  <c r="HK127" i="1"/>
  <c r="HQ127" i="1"/>
  <c r="HV127" i="1"/>
  <c r="IA127" i="1"/>
  <c r="IG127" i="1"/>
  <c r="GW127" i="1"/>
  <c r="HB127" i="1"/>
  <c r="HG127" i="1"/>
  <c r="HM127" i="1"/>
  <c r="HR127" i="1"/>
  <c r="HW127" i="1"/>
  <c r="IC127" i="1"/>
  <c r="IH127" i="1"/>
  <c r="GY127" i="1"/>
  <c r="HE127" i="1"/>
  <c r="HJ127" i="1"/>
  <c r="HO127" i="1"/>
  <c r="HU127" i="1"/>
  <c r="HZ127" i="1"/>
  <c r="IE127" i="1"/>
  <c r="HN127" i="1"/>
  <c r="II127" i="1"/>
  <c r="GX127" i="1"/>
  <c r="HS127" i="1"/>
  <c r="HC127" i="1"/>
  <c r="HY127" i="1"/>
  <c r="HI127" i="1"/>
  <c r="ID127" i="1"/>
  <c r="GZ129" i="1"/>
  <c r="HD129" i="1"/>
  <c r="HH129" i="1"/>
  <c r="HL129" i="1"/>
  <c r="HP129" i="1"/>
  <c r="HT129" i="1"/>
  <c r="HX129" i="1"/>
  <c r="IB129" i="1"/>
  <c r="IF129" i="1"/>
  <c r="IJ129" i="1"/>
  <c r="HA129" i="1"/>
  <c r="HF129" i="1"/>
  <c r="HK129" i="1"/>
  <c r="HQ129" i="1"/>
  <c r="HV129" i="1"/>
  <c r="IA129" i="1"/>
  <c r="IG129" i="1"/>
  <c r="GW129" i="1"/>
  <c r="HB129" i="1"/>
  <c r="HG129" i="1"/>
  <c r="HM129" i="1"/>
  <c r="HR129" i="1"/>
  <c r="HW129" i="1"/>
  <c r="IC129" i="1"/>
  <c r="IH129" i="1"/>
  <c r="HE129" i="1"/>
  <c r="HO129" i="1"/>
  <c r="HZ129" i="1"/>
  <c r="GX129" i="1"/>
  <c r="HI129" i="1"/>
  <c r="HS129" i="1"/>
  <c r="ID129" i="1"/>
  <c r="GY129" i="1"/>
  <c r="HJ129" i="1"/>
  <c r="IE129" i="1"/>
  <c r="HC129" i="1"/>
  <c r="HN129" i="1"/>
  <c r="HY129" i="1"/>
  <c r="II129" i="1"/>
  <c r="HU129" i="1"/>
  <c r="GW114" i="1"/>
  <c r="HA114" i="1"/>
  <c r="HE114" i="1"/>
  <c r="HI114" i="1"/>
  <c r="HM114" i="1"/>
  <c r="HQ114" i="1"/>
  <c r="HU114" i="1"/>
  <c r="HY114" i="1"/>
  <c r="IC114" i="1"/>
  <c r="IG114" i="1"/>
  <c r="GY114" i="1"/>
  <c r="HD114" i="1"/>
  <c r="HJ114" i="1"/>
  <c r="HO114" i="1"/>
  <c r="HT114" i="1"/>
  <c r="HZ114" i="1"/>
  <c r="IE114" i="1"/>
  <c r="IJ114" i="1"/>
  <c r="GX114" i="1"/>
  <c r="HC114" i="1"/>
  <c r="HH114" i="1"/>
  <c r="HN114" i="1"/>
  <c r="HS114" i="1"/>
  <c r="HX114" i="1"/>
  <c r="ID114" i="1"/>
  <c r="II114" i="1"/>
  <c r="GZ114" i="1"/>
  <c r="HK114" i="1"/>
  <c r="HV114" i="1"/>
  <c r="IF114" i="1"/>
  <c r="HB114" i="1"/>
  <c r="HL114" i="1"/>
  <c r="HW114" i="1"/>
  <c r="IH114" i="1"/>
  <c r="HG114" i="1"/>
  <c r="HR114" i="1"/>
  <c r="IB114" i="1"/>
  <c r="HF114" i="1"/>
  <c r="HP114" i="1"/>
  <c r="IA114" i="1"/>
  <c r="DC159" i="1"/>
  <c r="EE53" i="93"/>
  <c r="EE106" i="93" s="1"/>
  <c r="IK12" i="1"/>
  <c r="IL12" i="1"/>
  <c r="Y68" i="93"/>
  <c r="BC68" i="93" s="1"/>
  <c r="Y75" i="93"/>
  <c r="BC75" i="93" s="1"/>
  <c r="FU125" i="1"/>
  <c r="GT125" i="1" s="1"/>
  <c r="FU111" i="1"/>
  <c r="GT111" i="1" s="1"/>
  <c r="FU119" i="1"/>
  <c r="GT119" i="1" s="1"/>
  <c r="FU130" i="1"/>
  <c r="GT130" i="1" s="1"/>
  <c r="FU140" i="1"/>
  <c r="GT140" i="1" s="1"/>
  <c r="FU133" i="1"/>
  <c r="GT133" i="1" s="1"/>
  <c r="FU139" i="1"/>
  <c r="GT139" i="1" s="1"/>
  <c r="FU126" i="1"/>
  <c r="GT126" i="1" s="1"/>
  <c r="Y92" i="93"/>
  <c r="BC92" i="93" s="1"/>
  <c r="FU122" i="1"/>
  <c r="GT122" i="1" s="1"/>
  <c r="Y67" i="93"/>
  <c r="BC67" i="93" s="1"/>
  <c r="Y90" i="93"/>
  <c r="BC90" i="93" s="1"/>
  <c r="Y77" i="93"/>
  <c r="BC77" i="93" s="1"/>
  <c r="T6" i="1"/>
  <c r="FU131" i="1"/>
  <c r="GT131" i="1" s="1"/>
  <c r="FU138" i="1"/>
  <c r="GT138" i="1" s="1"/>
  <c r="FU117" i="1"/>
  <c r="GT117" i="1" s="1"/>
  <c r="FU135" i="1"/>
  <c r="GT135" i="1" s="1"/>
  <c r="FU118" i="1"/>
  <c r="GT118" i="1" s="1"/>
  <c r="FU115" i="1"/>
  <c r="GT115" i="1" s="1"/>
  <c r="FU123" i="1"/>
  <c r="GT123" i="1" s="1"/>
  <c r="FU132" i="1"/>
  <c r="GT132" i="1" s="1"/>
  <c r="AG62" i="93"/>
  <c r="BK64" i="93"/>
  <c r="BK62" i="93" s="1"/>
  <c r="KN60" i="93" s="1"/>
  <c r="T7" i="1"/>
  <c r="AH62" i="93"/>
  <c r="FU124" i="1"/>
  <c r="GT124" i="1" s="1"/>
  <c r="AI62" i="93"/>
  <c r="AC92" i="93"/>
  <c r="BG92" i="93" s="1"/>
  <c r="KJ92" i="93" s="1"/>
  <c r="AB71" i="93"/>
  <c r="BF71" i="93" s="1"/>
  <c r="KI71" i="93" s="1"/>
  <c r="AF62" i="93"/>
  <c r="AD62" i="93"/>
  <c r="AJ62" i="93"/>
  <c r="AE62" i="93"/>
  <c r="KK64" i="93"/>
  <c r="BH62" i="93"/>
  <c r="KK60" i="93" s="1"/>
  <c r="KM64" i="93"/>
  <c r="BJ62" i="93"/>
  <c r="KM60" i="93" s="1"/>
  <c r="DO89" i="93"/>
  <c r="DW89" i="93" s="1"/>
  <c r="BE89" i="93"/>
  <c r="KH89" i="93" s="1"/>
  <c r="DN89" i="93"/>
  <c r="DV89" i="93" s="1"/>
  <c r="BE72" i="93"/>
  <c r="KH72" i="93" s="1"/>
  <c r="DO72" i="93"/>
  <c r="DW72" i="93" s="1"/>
  <c r="DN72" i="93"/>
  <c r="DV72" i="93" s="1"/>
  <c r="KO64" i="93"/>
  <c r="BL62" i="93"/>
  <c r="KO60" i="93" s="1"/>
  <c r="BE66" i="93"/>
  <c r="KH66" i="93" s="1"/>
  <c r="DN66" i="93"/>
  <c r="DV66" i="93" s="1"/>
  <c r="D48" i="71" s="1"/>
  <c r="DO66" i="93"/>
  <c r="DW66" i="93" s="1"/>
  <c r="DN80" i="93"/>
  <c r="DV80" i="93" s="1"/>
  <c r="BE80" i="93"/>
  <c r="KH80" i="93" s="1"/>
  <c r="DO80" i="93"/>
  <c r="DW80" i="93" s="1"/>
  <c r="DN85" i="93"/>
  <c r="DV85" i="93" s="1"/>
  <c r="DO85" i="93"/>
  <c r="DW85" i="93" s="1"/>
  <c r="BE85" i="93"/>
  <c r="KH85" i="93" s="1"/>
  <c r="BE79" i="93"/>
  <c r="KH79" i="93" s="1"/>
  <c r="DO79" i="93"/>
  <c r="DW79" i="93" s="1"/>
  <c r="DN79" i="93"/>
  <c r="DV79" i="93" s="1"/>
  <c r="BE73" i="93"/>
  <c r="KH73" i="93" s="1"/>
  <c r="DO73" i="93"/>
  <c r="DW73" i="93" s="1"/>
  <c r="DN73" i="93"/>
  <c r="DV73" i="93" s="1"/>
  <c r="BN62" i="93"/>
  <c r="KQ60" i="93" s="1"/>
  <c r="KQ64" i="93"/>
  <c r="DO81" i="93"/>
  <c r="DW81" i="93" s="1"/>
  <c r="BE81" i="93"/>
  <c r="KH81" i="93" s="1"/>
  <c r="DN81" i="93"/>
  <c r="DV81" i="93" s="1"/>
  <c r="BE90" i="93"/>
  <c r="KH90" i="93" s="1"/>
  <c r="DO90" i="93"/>
  <c r="DW90" i="93" s="1"/>
  <c r="DN90" i="93"/>
  <c r="DV90" i="93" s="1"/>
  <c r="BE71" i="93"/>
  <c r="KH71" i="93" s="1"/>
  <c r="DO68" i="93"/>
  <c r="DW68" i="93" s="1"/>
  <c r="BE68" i="93"/>
  <c r="KH68" i="93" s="1"/>
  <c r="DN68" i="93"/>
  <c r="DV68" i="93" s="1"/>
  <c r="DO87" i="93"/>
  <c r="DW87" i="93" s="1"/>
  <c r="BE87" i="93"/>
  <c r="KH87" i="93" s="1"/>
  <c r="DN87" i="93"/>
  <c r="DV87" i="93" s="1"/>
  <c r="KJ64" i="93"/>
  <c r="BE78" i="93"/>
  <c r="KH78" i="93" s="1"/>
  <c r="DN78" i="93"/>
  <c r="DV78" i="93" s="1"/>
  <c r="DO78" i="93"/>
  <c r="DW78" i="93" s="1"/>
  <c r="KP64" i="93"/>
  <c r="BM62" i="93"/>
  <c r="KP60" i="93" s="1"/>
  <c r="DO93" i="93"/>
  <c r="DW93" i="93" s="1"/>
  <c r="DN93" i="93"/>
  <c r="DV93" i="93" s="1"/>
  <c r="BE93" i="93"/>
  <c r="KH93" i="93" s="1"/>
  <c r="BC64" i="93"/>
  <c r="DN82" i="93"/>
  <c r="DV82" i="93" s="1"/>
  <c r="BE82" i="93"/>
  <c r="KH82" i="93" s="1"/>
  <c r="DO82" i="93"/>
  <c r="DW82" i="93" s="1"/>
  <c r="DO69" i="93"/>
  <c r="DW69" i="93" s="1"/>
  <c r="BE69" i="93"/>
  <c r="KH69" i="93" s="1"/>
  <c r="DN69" i="93"/>
  <c r="DV69" i="93" s="1"/>
  <c r="DO65" i="93"/>
  <c r="DW65" i="93" s="1"/>
  <c r="BE65" i="93"/>
  <c r="KH65" i="93" s="1"/>
  <c r="DN65" i="93"/>
  <c r="DV65" i="93" s="1"/>
  <c r="DO77" i="93"/>
  <c r="DW77" i="93" s="1"/>
  <c r="DN77" i="93"/>
  <c r="DV77" i="93" s="1"/>
  <c r="BE77" i="93"/>
  <c r="KH77" i="93" s="1"/>
  <c r="BE92" i="93"/>
  <c r="KH92" i="93" s="1"/>
  <c r="DO75" i="93"/>
  <c r="DW75" i="93" s="1"/>
  <c r="BE75" i="93"/>
  <c r="KH75" i="93" s="1"/>
  <c r="DN75" i="93"/>
  <c r="DV75" i="93" s="1"/>
  <c r="KL64" i="93"/>
  <c r="BI62" i="93"/>
  <c r="KL60" i="93" s="1"/>
  <c r="DO67" i="93"/>
  <c r="DW67" i="93" s="1"/>
  <c r="DN67" i="93"/>
  <c r="DV67" i="93" s="1"/>
  <c r="BE67" i="93"/>
  <c r="KH67" i="93" s="1"/>
  <c r="BE74" i="93"/>
  <c r="KH74" i="93" s="1"/>
  <c r="DN74" i="93"/>
  <c r="DV74" i="93" s="1"/>
  <c r="DV50" i="93" s="1"/>
  <c r="DO74" i="93"/>
  <c r="DW74" i="93" s="1"/>
  <c r="DW50" i="93" s="1"/>
  <c r="DN86" i="93"/>
  <c r="DV86" i="93" s="1"/>
  <c r="BE86" i="93"/>
  <c r="KH86" i="93" s="1"/>
  <c r="DO86" i="93"/>
  <c r="DW86" i="93" s="1"/>
  <c r="AA62" i="93"/>
  <c r="BE64" i="93"/>
  <c r="KI64" i="93"/>
  <c r="GT121" i="1" l="1"/>
  <c r="GX121" i="1"/>
  <c r="HE121" i="1"/>
  <c r="GZ121" i="1"/>
  <c r="HD121" i="1"/>
  <c r="HB121" i="1"/>
  <c r="GU121" i="1"/>
  <c r="GY121" i="1"/>
  <c r="GV121" i="1"/>
  <c r="HC121" i="1"/>
  <c r="HA121" i="1"/>
  <c r="GW121" i="1"/>
  <c r="GT116" i="1"/>
  <c r="HB116" i="1"/>
  <c r="GW116" i="1"/>
  <c r="HA116" i="1"/>
  <c r="HE116" i="1"/>
  <c r="GY116" i="1"/>
  <c r="GX116" i="1"/>
  <c r="GZ116" i="1"/>
  <c r="HD116" i="1"/>
  <c r="HC116" i="1"/>
  <c r="GU116" i="1"/>
  <c r="GV116" i="1"/>
  <c r="GT113" i="1"/>
  <c r="GU113" i="1"/>
  <c r="GW113" i="1"/>
  <c r="HE113" i="1"/>
  <c r="GV113" i="1"/>
  <c r="GY113" i="1"/>
  <c r="HC113" i="1"/>
  <c r="HA113" i="1"/>
  <c r="GZ113" i="1"/>
  <c r="GX113" i="1"/>
  <c r="HB113" i="1"/>
  <c r="HD113" i="1"/>
  <c r="GT134" i="1"/>
  <c r="HD134" i="1"/>
  <c r="GY134" i="1"/>
  <c r="GU134" i="1"/>
  <c r="GX134" i="1"/>
  <c r="GV134" i="1"/>
  <c r="HB134" i="1"/>
  <c r="GW134" i="1"/>
  <c r="GZ134" i="1"/>
  <c r="HA134" i="1"/>
  <c r="HC134" i="1"/>
  <c r="HE134" i="1"/>
  <c r="GT128" i="1"/>
  <c r="GX128" i="1"/>
  <c r="HD128" i="1"/>
  <c r="HB128" i="1"/>
  <c r="GW128" i="1"/>
  <c r="GZ128" i="1"/>
  <c r="HA128" i="1"/>
  <c r="HC128" i="1"/>
  <c r="HE128" i="1"/>
  <c r="GU128" i="1"/>
  <c r="GV128" i="1"/>
  <c r="GY128" i="1"/>
  <c r="GT120" i="1"/>
  <c r="GU120" i="1"/>
  <c r="HD120" i="1"/>
  <c r="GV120" i="1"/>
  <c r="HC120" i="1"/>
  <c r="GX120" i="1"/>
  <c r="HB120" i="1"/>
  <c r="GZ120" i="1"/>
  <c r="GW120" i="1"/>
  <c r="HA120" i="1"/>
  <c r="HE120" i="1"/>
  <c r="GY120" i="1"/>
  <c r="HH84" i="93"/>
  <c r="IF88" i="93"/>
  <c r="HH88" i="93"/>
  <c r="HH76" i="93"/>
  <c r="IF83" i="93"/>
  <c r="GH84" i="93"/>
  <c r="GG84" i="93"/>
  <c r="FL84" i="93"/>
  <c r="GG91" i="93"/>
  <c r="GH91" i="93"/>
  <c r="FL91" i="93"/>
  <c r="IF84" i="93"/>
  <c r="IF76" i="93"/>
  <c r="HH83" i="93"/>
  <c r="GG83" i="93"/>
  <c r="FL83" i="93"/>
  <c r="GH83" i="93"/>
  <c r="GH88" i="93"/>
  <c r="FL88" i="93"/>
  <c r="GG88" i="93"/>
  <c r="HH70" i="93"/>
  <c r="FL76" i="93"/>
  <c r="GG76" i="93"/>
  <c r="GH76" i="93"/>
  <c r="GG70" i="93"/>
  <c r="FL70" i="93"/>
  <c r="GH70" i="93"/>
  <c r="HH91" i="93"/>
  <c r="IF91" i="93"/>
  <c r="GU123" i="1"/>
  <c r="GV123" i="1"/>
  <c r="GU117" i="1"/>
  <c r="GV117" i="1"/>
  <c r="GU140" i="1"/>
  <c r="GV140" i="1"/>
  <c r="GU125" i="1"/>
  <c r="GV125" i="1"/>
  <c r="GU115" i="1"/>
  <c r="GV115" i="1"/>
  <c r="GU138" i="1"/>
  <c r="GV138" i="1"/>
  <c r="GU126" i="1"/>
  <c r="GV126" i="1"/>
  <c r="GU130" i="1"/>
  <c r="GV130" i="1"/>
  <c r="GU124" i="1"/>
  <c r="GV124" i="1"/>
  <c r="GU118" i="1"/>
  <c r="GV118" i="1"/>
  <c r="GU131" i="1"/>
  <c r="GV131" i="1"/>
  <c r="GU139" i="1"/>
  <c r="GV139" i="1"/>
  <c r="GU119" i="1"/>
  <c r="GV119" i="1"/>
  <c r="GU132" i="1"/>
  <c r="GV132" i="1"/>
  <c r="GU135" i="1"/>
  <c r="GV135" i="1"/>
  <c r="GU122" i="1"/>
  <c r="GV122" i="1"/>
  <c r="GU133" i="1"/>
  <c r="GV133" i="1"/>
  <c r="GU111" i="1"/>
  <c r="GV111" i="1"/>
  <c r="DW47" i="93"/>
  <c r="DV46" i="93"/>
  <c r="DW46" i="93"/>
  <c r="DV47" i="93"/>
  <c r="W62" i="93"/>
  <c r="BA64" i="93"/>
  <c r="GG64" i="93" s="1"/>
  <c r="BA93" i="93"/>
  <c r="BA89" i="93"/>
  <c r="BA80" i="93"/>
  <c r="BA78" i="93"/>
  <c r="BA67" i="93"/>
  <c r="BA69" i="93"/>
  <c r="BA87" i="93"/>
  <c r="BA81" i="93"/>
  <c r="BA72" i="93"/>
  <c r="BA85" i="93"/>
  <c r="BA66" i="93"/>
  <c r="BA65" i="93"/>
  <c r="BA77" i="93"/>
  <c r="BA82" i="93"/>
  <c r="BA74" i="93"/>
  <c r="BA92" i="93"/>
  <c r="BA90" i="93"/>
  <c r="BA86" i="93"/>
  <c r="BA75" i="93"/>
  <c r="BA68" i="93"/>
  <c r="BA79" i="93"/>
  <c r="BA71" i="93"/>
  <c r="BA73" i="93"/>
  <c r="GZ123" i="1"/>
  <c r="HD123" i="1"/>
  <c r="HH123" i="1"/>
  <c r="HL123" i="1"/>
  <c r="HP123" i="1"/>
  <c r="HT123" i="1"/>
  <c r="HX123" i="1"/>
  <c r="IB123" i="1"/>
  <c r="IF123" i="1"/>
  <c r="IJ123" i="1"/>
  <c r="GY123" i="1"/>
  <c r="HC123" i="1"/>
  <c r="HG123" i="1"/>
  <c r="HK123" i="1"/>
  <c r="HO123" i="1"/>
  <c r="HS123" i="1"/>
  <c r="HW123" i="1"/>
  <c r="IA123" i="1"/>
  <c r="IE123" i="1"/>
  <c r="II123" i="1"/>
  <c r="HA123" i="1"/>
  <c r="HI123" i="1"/>
  <c r="HQ123" i="1"/>
  <c r="HY123" i="1"/>
  <c r="IG123" i="1"/>
  <c r="HB123" i="1"/>
  <c r="HJ123" i="1"/>
  <c r="HR123" i="1"/>
  <c r="HZ123" i="1"/>
  <c r="IH123" i="1"/>
  <c r="GX123" i="1"/>
  <c r="HF123" i="1"/>
  <c r="HN123" i="1"/>
  <c r="HV123" i="1"/>
  <c r="ID123" i="1"/>
  <c r="HE123" i="1"/>
  <c r="HM123" i="1"/>
  <c r="GW123" i="1"/>
  <c r="IC123" i="1"/>
  <c r="HU123" i="1"/>
  <c r="GY111" i="1"/>
  <c r="HC111" i="1"/>
  <c r="HG111" i="1"/>
  <c r="HK111" i="1"/>
  <c r="HO111" i="1"/>
  <c r="HS111" i="1"/>
  <c r="HW111" i="1"/>
  <c r="IA111" i="1"/>
  <c r="IE111" i="1"/>
  <c r="II111" i="1"/>
  <c r="GX111" i="1"/>
  <c r="HB111" i="1"/>
  <c r="HF111" i="1"/>
  <c r="HJ111" i="1"/>
  <c r="HN111" i="1"/>
  <c r="HR111" i="1"/>
  <c r="HV111" i="1"/>
  <c r="HZ111" i="1"/>
  <c r="ID111" i="1"/>
  <c r="IH111" i="1"/>
  <c r="HD111" i="1"/>
  <c r="HL111" i="1"/>
  <c r="HT111" i="1"/>
  <c r="IB111" i="1"/>
  <c r="IJ111" i="1"/>
  <c r="HA111" i="1"/>
  <c r="HI111" i="1"/>
  <c r="HQ111" i="1"/>
  <c r="HY111" i="1"/>
  <c r="IG111" i="1"/>
  <c r="GW111" i="1"/>
  <c r="HM111" i="1"/>
  <c r="IC111" i="1"/>
  <c r="GZ111" i="1"/>
  <c r="HP111" i="1"/>
  <c r="IF111" i="1"/>
  <c r="HH111" i="1"/>
  <c r="HX111" i="1"/>
  <c r="HE111" i="1"/>
  <c r="HU111" i="1"/>
  <c r="GY115" i="1"/>
  <c r="HC115" i="1"/>
  <c r="HG115" i="1"/>
  <c r="HK115" i="1"/>
  <c r="HO115" i="1"/>
  <c r="HS115" i="1"/>
  <c r="HW115" i="1"/>
  <c r="IA115" i="1"/>
  <c r="IE115" i="1"/>
  <c r="II115" i="1"/>
  <c r="GX115" i="1"/>
  <c r="HD115" i="1"/>
  <c r="HI115" i="1"/>
  <c r="HN115" i="1"/>
  <c r="HT115" i="1"/>
  <c r="HY115" i="1"/>
  <c r="ID115" i="1"/>
  <c r="IJ115" i="1"/>
  <c r="GW115" i="1"/>
  <c r="HB115" i="1"/>
  <c r="HH115" i="1"/>
  <c r="HM115" i="1"/>
  <c r="HR115" i="1"/>
  <c r="HX115" i="1"/>
  <c r="IC115" i="1"/>
  <c r="IH115" i="1"/>
  <c r="GZ115" i="1"/>
  <c r="HJ115" i="1"/>
  <c r="HU115" i="1"/>
  <c r="IF115" i="1"/>
  <c r="HA115" i="1"/>
  <c r="HL115" i="1"/>
  <c r="HV115" i="1"/>
  <c r="IG115" i="1"/>
  <c r="HF115" i="1"/>
  <c r="HQ115" i="1"/>
  <c r="IB115" i="1"/>
  <c r="HE115" i="1"/>
  <c r="HP115" i="1"/>
  <c r="HZ115" i="1"/>
  <c r="GX124" i="1"/>
  <c r="HB124" i="1"/>
  <c r="HF124" i="1"/>
  <c r="HJ124" i="1"/>
  <c r="HN124" i="1"/>
  <c r="HR124" i="1"/>
  <c r="HV124" i="1"/>
  <c r="HZ124" i="1"/>
  <c r="ID124" i="1"/>
  <c r="IH124" i="1"/>
  <c r="GW124" i="1"/>
  <c r="HA124" i="1"/>
  <c r="HE124" i="1"/>
  <c r="HI124" i="1"/>
  <c r="HM124" i="1"/>
  <c r="HQ124" i="1"/>
  <c r="HU124" i="1"/>
  <c r="HY124" i="1"/>
  <c r="IC124" i="1"/>
  <c r="IG124" i="1"/>
  <c r="GY124" i="1"/>
  <c r="HG124" i="1"/>
  <c r="HO124" i="1"/>
  <c r="HW124" i="1"/>
  <c r="IE124" i="1"/>
  <c r="GZ124" i="1"/>
  <c r="HH124" i="1"/>
  <c r="HP124" i="1"/>
  <c r="HX124" i="1"/>
  <c r="IF124" i="1"/>
  <c r="HD124" i="1"/>
  <c r="HL124" i="1"/>
  <c r="HT124" i="1"/>
  <c r="IB124" i="1"/>
  <c r="IJ124" i="1"/>
  <c r="HS124" i="1"/>
  <c r="IA124" i="1"/>
  <c r="HC124" i="1"/>
  <c r="HK124" i="1"/>
  <c r="II124" i="1"/>
  <c r="GW118" i="1"/>
  <c r="HA118" i="1"/>
  <c r="HE118" i="1"/>
  <c r="HI118" i="1"/>
  <c r="HM118" i="1"/>
  <c r="HQ118" i="1"/>
  <c r="HU118" i="1"/>
  <c r="HY118" i="1"/>
  <c r="IC118" i="1"/>
  <c r="IG118" i="1"/>
  <c r="GY118" i="1"/>
  <c r="HD118" i="1"/>
  <c r="HJ118" i="1"/>
  <c r="HO118" i="1"/>
  <c r="HT118" i="1"/>
  <c r="HZ118" i="1"/>
  <c r="IE118" i="1"/>
  <c r="IJ118" i="1"/>
  <c r="GX118" i="1"/>
  <c r="HC118" i="1"/>
  <c r="HH118" i="1"/>
  <c r="HN118" i="1"/>
  <c r="HS118" i="1"/>
  <c r="HX118" i="1"/>
  <c r="ID118" i="1"/>
  <c r="II118" i="1"/>
  <c r="GZ118" i="1"/>
  <c r="HK118" i="1"/>
  <c r="HV118" i="1"/>
  <c r="IF118" i="1"/>
  <c r="HB118" i="1"/>
  <c r="HL118" i="1"/>
  <c r="HW118" i="1"/>
  <c r="IH118" i="1"/>
  <c r="HG118" i="1"/>
  <c r="HR118" i="1"/>
  <c r="IB118" i="1"/>
  <c r="HF118" i="1"/>
  <c r="HP118" i="1"/>
  <c r="IA118" i="1"/>
  <c r="GX138" i="1"/>
  <c r="HB138" i="1"/>
  <c r="HF138" i="1"/>
  <c r="HJ138" i="1"/>
  <c r="HN138" i="1"/>
  <c r="HR138" i="1"/>
  <c r="HV138" i="1"/>
  <c r="HZ138" i="1"/>
  <c r="ID138" i="1"/>
  <c r="IH138" i="1"/>
  <c r="HA138" i="1"/>
  <c r="HG138" i="1"/>
  <c r="HL138" i="1"/>
  <c r="HQ138" i="1"/>
  <c r="HW138" i="1"/>
  <c r="IB138" i="1"/>
  <c r="IG138" i="1"/>
  <c r="HC138" i="1"/>
  <c r="HI138" i="1"/>
  <c r="HP138" i="1"/>
  <c r="HX138" i="1"/>
  <c r="IE138" i="1"/>
  <c r="GW138" i="1"/>
  <c r="HK138" i="1"/>
  <c r="HS138" i="1"/>
  <c r="IF138" i="1"/>
  <c r="GY138" i="1"/>
  <c r="HM138" i="1"/>
  <c r="HT138" i="1"/>
  <c r="II138" i="1"/>
  <c r="GZ138" i="1"/>
  <c r="HH138" i="1"/>
  <c r="HO138" i="1"/>
  <c r="HU138" i="1"/>
  <c r="IC138" i="1"/>
  <c r="IJ138" i="1"/>
  <c r="HD138" i="1"/>
  <c r="HY138" i="1"/>
  <c r="HE138" i="1"/>
  <c r="IA138" i="1"/>
  <c r="GZ133" i="1"/>
  <c r="HD133" i="1"/>
  <c r="HH133" i="1"/>
  <c r="HL133" i="1"/>
  <c r="HP133" i="1"/>
  <c r="HT133" i="1"/>
  <c r="HX133" i="1"/>
  <c r="IB133" i="1"/>
  <c r="IF133" i="1"/>
  <c r="IJ133" i="1"/>
  <c r="HA133" i="1"/>
  <c r="HF133" i="1"/>
  <c r="HK133" i="1"/>
  <c r="HQ133" i="1"/>
  <c r="HV133" i="1"/>
  <c r="IA133" i="1"/>
  <c r="IG133" i="1"/>
  <c r="GW133" i="1"/>
  <c r="HB133" i="1"/>
  <c r="HG133" i="1"/>
  <c r="HM133" i="1"/>
  <c r="HR133" i="1"/>
  <c r="HW133" i="1"/>
  <c r="IC133" i="1"/>
  <c r="IH133" i="1"/>
  <c r="HE133" i="1"/>
  <c r="HO133" i="1"/>
  <c r="HZ133" i="1"/>
  <c r="HI133" i="1"/>
  <c r="HS133" i="1"/>
  <c r="HJ133" i="1"/>
  <c r="HU133" i="1"/>
  <c r="HC133" i="1"/>
  <c r="HN133" i="1"/>
  <c r="HY133" i="1"/>
  <c r="II133" i="1"/>
  <c r="GX133" i="1"/>
  <c r="ID133" i="1"/>
  <c r="GY133" i="1"/>
  <c r="IE133" i="1"/>
  <c r="GX126" i="1"/>
  <c r="HB126" i="1"/>
  <c r="HF126" i="1"/>
  <c r="HJ126" i="1"/>
  <c r="HN126" i="1"/>
  <c r="HR126" i="1"/>
  <c r="HV126" i="1"/>
  <c r="HZ126" i="1"/>
  <c r="ID126" i="1"/>
  <c r="IH126" i="1"/>
  <c r="GW126" i="1"/>
  <c r="HA126" i="1"/>
  <c r="HE126" i="1"/>
  <c r="GY126" i="1"/>
  <c r="HG126" i="1"/>
  <c r="HL126" i="1"/>
  <c r="HQ126" i="1"/>
  <c r="HW126" i="1"/>
  <c r="IB126" i="1"/>
  <c r="IG126" i="1"/>
  <c r="GZ126" i="1"/>
  <c r="HH126" i="1"/>
  <c r="HM126" i="1"/>
  <c r="HS126" i="1"/>
  <c r="HX126" i="1"/>
  <c r="IC126" i="1"/>
  <c r="II126" i="1"/>
  <c r="HD126" i="1"/>
  <c r="HK126" i="1"/>
  <c r="HP126" i="1"/>
  <c r="HU126" i="1"/>
  <c r="IA126" i="1"/>
  <c r="IF126" i="1"/>
  <c r="HC126" i="1"/>
  <c r="HY126" i="1"/>
  <c r="HI126" i="1"/>
  <c r="IE126" i="1"/>
  <c r="HO126" i="1"/>
  <c r="HT126" i="1"/>
  <c r="IJ126" i="1"/>
  <c r="GX130" i="1"/>
  <c r="HB130" i="1"/>
  <c r="HF130" i="1"/>
  <c r="HJ130" i="1"/>
  <c r="HN130" i="1"/>
  <c r="HR130" i="1"/>
  <c r="HV130" i="1"/>
  <c r="HZ130" i="1"/>
  <c r="ID130" i="1"/>
  <c r="IH130" i="1"/>
  <c r="HA130" i="1"/>
  <c r="HG130" i="1"/>
  <c r="HL130" i="1"/>
  <c r="HQ130" i="1"/>
  <c r="HW130" i="1"/>
  <c r="IB130" i="1"/>
  <c r="IG130" i="1"/>
  <c r="GW130" i="1"/>
  <c r="HC130" i="1"/>
  <c r="HH130" i="1"/>
  <c r="HM130" i="1"/>
  <c r="HS130" i="1"/>
  <c r="HX130" i="1"/>
  <c r="IC130" i="1"/>
  <c r="II130" i="1"/>
  <c r="HD130" i="1"/>
  <c r="HO130" i="1"/>
  <c r="HY130" i="1"/>
  <c r="IJ130" i="1"/>
  <c r="HE130" i="1"/>
  <c r="HP130" i="1"/>
  <c r="IA130" i="1"/>
  <c r="HI130" i="1"/>
  <c r="HT130" i="1"/>
  <c r="GZ130" i="1"/>
  <c r="HK130" i="1"/>
  <c r="HU130" i="1"/>
  <c r="IF130" i="1"/>
  <c r="GY130" i="1"/>
  <c r="IE130" i="1"/>
  <c r="GX132" i="1"/>
  <c r="HB132" i="1"/>
  <c r="HF132" i="1"/>
  <c r="HJ132" i="1"/>
  <c r="HN132" i="1"/>
  <c r="HR132" i="1"/>
  <c r="HV132" i="1"/>
  <c r="HZ132" i="1"/>
  <c r="ID132" i="1"/>
  <c r="IH132" i="1"/>
  <c r="HA132" i="1"/>
  <c r="HG132" i="1"/>
  <c r="HL132" i="1"/>
  <c r="HQ132" i="1"/>
  <c r="HW132" i="1"/>
  <c r="IB132" i="1"/>
  <c r="IG132" i="1"/>
  <c r="GW132" i="1"/>
  <c r="HC132" i="1"/>
  <c r="HH132" i="1"/>
  <c r="HM132" i="1"/>
  <c r="HS132" i="1"/>
  <c r="HX132" i="1"/>
  <c r="IC132" i="1"/>
  <c r="II132" i="1"/>
  <c r="GY132" i="1"/>
  <c r="HI132" i="1"/>
  <c r="HT132" i="1"/>
  <c r="IE132" i="1"/>
  <c r="GZ132" i="1"/>
  <c r="HU132" i="1"/>
  <c r="HD132" i="1"/>
  <c r="HY132" i="1"/>
  <c r="IJ132" i="1"/>
  <c r="HE132" i="1"/>
  <c r="HP132" i="1"/>
  <c r="IA132" i="1"/>
  <c r="HK132" i="1"/>
  <c r="IF132" i="1"/>
  <c r="HO132" i="1"/>
  <c r="GX122" i="1"/>
  <c r="HB122" i="1"/>
  <c r="HF122" i="1"/>
  <c r="HJ122" i="1"/>
  <c r="HN122" i="1"/>
  <c r="HR122" i="1"/>
  <c r="HV122" i="1"/>
  <c r="HZ122" i="1"/>
  <c r="ID122" i="1"/>
  <c r="IH122" i="1"/>
  <c r="GW122" i="1"/>
  <c r="HA122" i="1"/>
  <c r="HE122" i="1"/>
  <c r="HI122" i="1"/>
  <c r="HM122" i="1"/>
  <c r="HQ122" i="1"/>
  <c r="HU122" i="1"/>
  <c r="HY122" i="1"/>
  <c r="IC122" i="1"/>
  <c r="IG122" i="1"/>
  <c r="GY122" i="1"/>
  <c r="HG122" i="1"/>
  <c r="HO122" i="1"/>
  <c r="HW122" i="1"/>
  <c r="IE122" i="1"/>
  <c r="GZ122" i="1"/>
  <c r="HH122" i="1"/>
  <c r="HP122" i="1"/>
  <c r="HX122" i="1"/>
  <c r="IF122" i="1"/>
  <c r="HD122" i="1"/>
  <c r="HL122" i="1"/>
  <c r="HT122" i="1"/>
  <c r="IB122" i="1"/>
  <c r="IJ122" i="1"/>
  <c r="HC122" i="1"/>
  <c r="II122" i="1"/>
  <c r="HK122" i="1"/>
  <c r="HS122" i="1"/>
  <c r="IA122" i="1"/>
  <c r="GX140" i="1"/>
  <c r="HB140" i="1"/>
  <c r="HF140" i="1"/>
  <c r="HJ140" i="1"/>
  <c r="HN140" i="1"/>
  <c r="HR140" i="1"/>
  <c r="HV140" i="1"/>
  <c r="HZ140" i="1"/>
  <c r="ID140" i="1"/>
  <c r="IH140" i="1"/>
  <c r="HA140" i="1"/>
  <c r="HG140" i="1"/>
  <c r="HL140" i="1"/>
  <c r="HQ140" i="1"/>
  <c r="HW140" i="1"/>
  <c r="IB140" i="1"/>
  <c r="IG140" i="1"/>
  <c r="GY140" i="1"/>
  <c r="HE140" i="1"/>
  <c r="HM140" i="1"/>
  <c r="HT140" i="1"/>
  <c r="IA140" i="1"/>
  <c r="II140" i="1"/>
  <c r="GZ140" i="1"/>
  <c r="HO140" i="1"/>
  <c r="HU140" i="1"/>
  <c r="IJ140" i="1"/>
  <c r="HC140" i="1"/>
  <c r="HP140" i="1"/>
  <c r="HX140" i="1"/>
  <c r="IE140" i="1"/>
  <c r="GW140" i="1"/>
  <c r="HD140" i="1"/>
  <c r="HK140" i="1"/>
  <c r="HS140" i="1"/>
  <c r="HY140" i="1"/>
  <c r="IF140" i="1"/>
  <c r="HH140" i="1"/>
  <c r="IC140" i="1"/>
  <c r="HI140" i="1"/>
  <c r="GZ125" i="1"/>
  <c r="HD125" i="1"/>
  <c r="HH125" i="1"/>
  <c r="HL125" i="1"/>
  <c r="HP125" i="1"/>
  <c r="HT125" i="1"/>
  <c r="HX125" i="1"/>
  <c r="IB125" i="1"/>
  <c r="IF125" i="1"/>
  <c r="IJ125" i="1"/>
  <c r="GY125" i="1"/>
  <c r="HC125" i="1"/>
  <c r="HG125" i="1"/>
  <c r="HK125" i="1"/>
  <c r="HO125" i="1"/>
  <c r="HS125" i="1"/>
  <c r="HW125" i="1"/>
  <c r="IA125" i="1"/>
  <c r="IE125" i="1"/>
  <c r="II125" i="1"/>
  <c r="HA125" i="1"/>
  <c r="HI125" i="1"/>
  <c r="HQ125" i="1"/>
  <c r="HY125" i="1"/>
  <c r="IG125" i="1"/>
  <c r="HB125" i="1"/>
  <c r="HJ125" i="1"/>
  <c r="HR125" i="1"/>
  <c r="HZ125" i="1"/>
  <c r="IH125" i="1"/>
  <c r="GX125" i="1"/>
  <c r="HF125" i="1"/>
  <c r="HN125" i="1"/>
  <c r="HV125" i="1"/>
  <c r="ID125" i="1"/>
  <c r="HU125" i="1"/>
  <c r="GW125" i="1"/>
  <c r="IC125" i="1"/>
  <c r="HM125" i="1"/>
  <c r="HE125" i="1"/>
  <c r="GZ135" i="1"/>
  <c r="HD135" i="1"/>
  <c r="HH135" i="1"/>
  <c r="HL135" i="1"/>
  <c r="HP135" i="1"/>
  <c r="HT135" i="1"/>
  <c r="HX135" i="1"/>
  <c r="IB135" i="1"/>
  <c r="IF135" i="1"/>
  <c r="IJ135" i="1"/>
  <c r="HA135" i="1"/>
  <c r="HF135" i="1"/>
  <c r="HK135" i="1"/>
  <c r="HQ135" i="1"/>
  <c r="HV135" i="1"/>
  <c r="IA135" i="1"/>
  <c r="IG135" i="1"/>
  <c r="GY135" i="1"/>
  <c r="HG135" i="1"/>
  <c r="HN135" i="1"/>
  <c r="HU135" i="1"/>
  <c r="IC135" i="1"/>
  <c r="II135" i="1"/>
  <c r="HI135" i="1"/>
  <c r="HO135" i="1"/>
  <c r="HW135" i="1"/>
  <c r="GW135" i="1"/>
  <c r="HJ135" i="1"/>
  <c r="HY135" i="1"/>
  <c r="IE135" i="1"/>
  <c r="GX135" i="1"/>
  <c r="HE135" i="1"/>
  <c r="HM135" i="1"/>
  <c r="HS135" i="1"/>
  <c r="HZ135" i="1"/>
  <c r="IH135" i="1"/>
  <c r="HB135" i="1"/>
  <c r="ID135" i="1"/>
  <c r="HC135" i="1"/>
  <c r="HR135" i="1"/>
  <c r="GY117" i="1"/>
  <c r="HC117" i="1"/>
  <c r="HG117" i="1"/>
  <c r="HK117" i="1"/>
  <c r="HO117" i="1"/>
  <c r="HS117" i="1"/>
  <c r="HW117" i="1"/>
  <c r="IA117" i="1"/>
  <c r="IE117" i="1"/>
  <c r="II117" i="1"/>
  <c r="GX117" i="1"/>
  <c r="HD117" i="1"/>
  <c r="HI117" i="1"/>
  <c r="HN117" i="1"/>
  <c r="HT117" i="1"/>
  <c r="HY117" i="1"/>
  <c r="ID117" i="1"/>
  <c r="IJ117" i="1"/>
  <c r="GW117" i="1"/>
  <c r="HB117" i="1"/>
  <c r="HH117" i="1"/>
  <c r="HM117" i="1"/>
  <c r="HR117" i="1"/>
  <c r="HX117" i="1"/>
  <c r="IC117" i="1"/>
  <c r="IH117" i="1"/>
  <c r="GZ117" i="1"/>
  <c r="HJ117" i="1"/>
  <c r="HU117" i="1"/>
  <c r="IF117" i="1"/>
  <c r="HA117" i="1"/>
  <c r="HL117" i="1"/>
  <c r="HV117" i="1"/>
  <c r="IG117" i="1"/>
  <c r="HF117" i="1"/>
  <c r="HQ117" i="1"/>
  <c r="IB117" i="1"/>
  <c r="HP117" i="1"/>
  <c r="HZ117" i="1"/>
  <c r="HE117" i="1"/>
  <c r="GZ131" i="1"/>
  <c r="HD131" i="1"/>
  <c r="HH131" i="1"/>
  <c r="HL131" i="1"/>
  <c r="HP131" i="1"/>
  <c r="HT131" i="1"/>
  <c r="HX131" i="1"/>
  <c r="IB131" i="1"/>
  <c r="IF131" i="1"/>
  <c r="IJ131" i="1"/>
  <c r="HA131" i="1"/>
  <c r="HF131" i="1"/>
  <c r="HK131" i="1"/>
  <c r="HQ131" i="1"/>
  <c r="HV131" i="1"/>
  <c r="IA131" i="1"/>
  <c r="IG131" i="1"/>
  <c r="GW131" i="1"/>
  <c r="HB131" i="1"/>
  <c r="HG131" i="1"/>
  <c r="HM131" i="1"/>
  <c r="HR131" i="1"/>
  <c r="HW131" i="1"/>
  <c r="IC131" i="1"/>
  <c r="IH131" i="1"/>
  <c r="GY131" i="1"/>
  <c r="HJ131" i="1"/>
  <c r="HU131" i="1"/>
  <c r="IE131" i="1"/>
  <c r="HC131" i="1"/>
  <c r="HN131" i="1"/>
  <c r="II131" i="1"/>
  <c r="HE131" i="1"/>
  <c r="HO131" i="1"/>
  <c r="GX131" i="1"/>
  <c r="HI131" i="1"/>
  <c r="HS131" i="1"/>
  <c r="ID131" i="1"/>
  <c r="HY131" i="1"/>
  <c r="HZ131" i="1"/>
  <c r="GZ139" i="1"/>
  <c r="HD139" i="1"/>
  <c r="HH139" i="1"/>
  <c r="HL139" i="1"/>
  <c r="HP139" i="1"/>
  <c r="HT139" i="1"/>
  <c r="HX139" i="1"/>
  <c r="IB139" i="1"/>
  <c r="IF139" i="1"/>
  <c r="IJ139" i="1"/>
  <c r="HA139" i="1"/>
  <c r="HF139" i="1"/>
  <c r="HK139" i="1"/>
  <c r="HQ139" i="1"/>
  <c r="HV139" i="1"/>
  <c r="IA139" i="1"/>
  <c r="IG139" i="1"/>
  <c r="GY139" i="1"/>
  <c r="HG139" i="1"/>
  <c r="HN139" i="1"/>
  <c r="HU139" i="1"/>
  <c r="IC139" i="1"/>
  <c r="II139" i="1"/>
  <c r="HI139" i="1"/>
  <c r="HO139" i="1"/>
  <c r="ID139" i="1"/>
  <c r="GW139" i="1"/>
  <c r="HJ139" i="1"/>
  <c r="HR139" i="1"/>
  <c r="IE139" i="1"/>
  <c r="GX139" i="1"/>
  <c r="HE139" i="1"/>
  <c r="HM139" i="1"/>
  <c r="HS139" i="1"/>
  <c r="HZ139" i="1"/>
  <c r="IH139" i="1"/>
  <c r="HB139" i="1"/>
  <c r="HW139" i="1"/>
  <c r="HC139" i="1"/>
  <c r="HY139" i="1"/>
  <c r="GY119" i="1"/>
  <c r="HC119" i="1"/>
  <c r="HG119" i="1"/>
  <c r="HK119" i="1"/>
  <c r="HO119" i="1"/>
  <c r="HS119" i="1"/>
  <c r="HW119" i="1"/>
  <c r="IA119" i="1"/>
  <c r="IE119" i="1"/>
  <c r="II119" i="1"/>
  <c r="GX119" i="1"/>
  <c r="HD119" i="1"/>
  <c r="HI119" i="1"/>
  <c r="HN119" i="1"/>
  <c r="HT119" i="1"/>
  <c r="HY119" i="1"/>
  <c r="ID119" i="1"/>
  <c r="IJ119" i="1"/>
  <c r="GW119" i="1"/>
  <c r="HB119" i="1"/>
  <c r="HH119" i="1"/>
  <c r="HM119" i="1"/>
  <c r="HR119" i="1"/>
  <c r="HX119" i="1"/>
  <c r="IC119" i="1"/>
  <c r="IH119" i="1"/>
  <c r="GZ119" i="1"/>
  <c r="HJ119" i="1"/>
  <c r="HU119" i="1"/>
  <c r="IF119" i="1"/>
  <c r="HA119" i="1"/>
  <c r="HL119" i="1"/>
  <c r="HV119" i="1"/>
  <c r="IG119" i="1"/>
  <c r="HF119" i="1"/>
  <c r="HQ119" i="1"/>
  <c r="IB119" i="1"/>
  <c r="HE119" i="1"/>
  <c r="HP119" i="1"/>
  <c r="HZ119" i="1"/>
  <c r="DW45" i="93"/>
  <c r="AT100" i="97"/>
  <c r="DV45" i="93"/>
  <c r="AU100" i="97"/>
  <c r="J60" i="71"/>
  <c r="EE88" i="93"/>
  <c r="EE83" i="93"/>
  <c r="EE104" i="93"/>
  <c r="EE91" i="93"/>
  <c r="EE84" i="93"/>
  <c r="EE107" i="93"/>
  <c r="EE74" i="93"/>
  <c r="EE89" i="93"/>
  <c r="EE97" i="93"/>
  <c r="EE65" i="93"/>
  <c r="EE112" i="93"/>
  <c r="EE82" i="93"/>
  <c r="EE100" i="93"/>
  <c r="EE90" i="93"/>
  <c r="EE87" i="93"/>
  <c r="EE113" i="93"/>
  <c r="EE85" i="93"/>
  <c r="EE69" i="93"/>
  <c r="EE86" i="93"/>
  <c r="EE71" i="93"/>
  <c r="EE92" i="93"/>
  <c r="EE105" i="93"/>
  <c r="EE102" i="93"/>
  <c r="EE108" i="93"/>
  <c r="EE98" i="93"/>
  <c r="EE101" i="93"/>
  <c r="EE67" i="93"/>
  <c r="EE76" i="93"/>
  <c r="EE73" i="93"/>
  <c r="EE96" i="93"/>
  <c r="EE77" i="93"/>
  <c r="EE78" i="93"/>
  <c r="EE81" i="93"/>
  <c r="EE93" i="93"/>
  <c r="EE103" i="93"/>
  <c r="EE110" i="93"/>
  <c r="EE109" i="93"/>
  <c r="EE99" i="93"/>
  <c r="EE111" i="93"/>
  <c r="EE75" i="93"/>
  <c r="EE70" i="93"/>
  <c r="EE66" i="93"/>
  <c r="EE94" i="93"/>
  <c r="EE68" i="93"/>
  <c r="EE95" i="93"/>
  <c r="EE72" i="93"/>
  <c r="EE80" i="93"/>
  <c r="EE79" i="93"/>
  <c r="AH38" i="98"/>
  <c r="AH44" i="98"/>
  <c r="AH40" i="98"/>
  <c r="AH46" i="98"/>
  <c r="AH53" i="98"/>
  <c r="AH43" i="98"/>
  <c r="IR106" i="93"/>
  <c r="N16" i="93"/>
  <c r="E48" i="71"/>
  <c r="N14" i="93"/>
  <c r="DN92" i="93"/>
  <c r="DV92" i="93" s="1"/>
  <c r="BF62" i="93"/>
  <c r="KI60" i="93" s="1"/>
  <c r="DO71" i="93"/>
  <c r="DW71" i="93" s="1"/>
  <c r="Y62" i="93"/>
  <c r="KN64" i="93"/>
  <c r="DO92" i="93"/>
  <c r="DW92" i="93" s="1"/>
  <c r="BG62" i="93"/>
  <c r="KJ60" i="93" s="1"/>
  <c r="DN71" i="93"/>
  <c r="DV71" i="93" s="1"/>
  <c r="AC62" i="93"/>
  <c r="AB62" i="93"/>
  <c r="D50" i="71"/>
  <c r="J59" i="71"/>
  <c r="D49" i="71"/>
  <c r="BE62" i="93"/>
  <c r="KH60" i="93" s="1"/>
  <c r="KH64" i="93"/>
  <c r="E50" i="71"/>
  <c r="E49" i="71"/>
  <c r="N15" i="93"/>
  <c r="BC62" i="93"/>
  <c r="GH64" i="93" l="1"/>
  <c r="FL64" i="93"/>
  <c r="BA62" i="93"/>
  <c r="FL71" i="93"/>
  <c r="GH71" i="93"/>
  <c r="GG71" i="93"/>
  <c r="GG68" i="93"/>
  <c r="FL68" i="93"/>
  <c r="GH68" i="93"/>
  <c r="GG86" i="93"/>
  <c r="FL86" i="93"/>
  <c r="GH86" i="93"/>
  <c r="FL92" i="93"/>
  <c r="GH92" i="93"/>
  <c r="GG92" i="93"/>
  <c r="GH82" i="93"/>
  <c r="GG82" i="93"/>
  <c r="FL82" i="93"/>
  <c r="GH65" i="93"/>
  <c r="GG65" i="93"/>
  <c r="FL65" i="93"/>
  <c r="FL85" i="93"/>
  <c r="GG85" i="93"/>
  <c r="GH85" i="93"/>
  <c r="GG81" i="93"/>
  <c r="FL81" i="93"/>
  <c r="GH81" i="93"/>
  <c r="FL69" i="93"/>
  <c r="GG69" i="93"/>
  <c r="GH69" i="93"/>
  <c r="FL78" i="93"/>
  <c r="GG78" i="93"/>
  <c r="GH78" i="93"/>
  <c r="FL89" i="93"/>
  <c r="GH89" i="93"/>
  <c r="GG89" i="93"/>
  <c r="GH73" i="93"/>
  <c r="FL73" i="93"/>
  <c r="GG73" i="93"/>
  <c r="GH79" i="93"/>
  <c r="FL79" i="93"/>
  <c r="GG79" i="93"/>
  <c r="FL75" i="93"/>
  <c r="GH75" i="93"/>
  <c r="GG75" i="93"/>
  <c r="GH90" i="93"/>
  <c r="FL90" i="93"/>
  <c r="GG90" i="93"/>
  <c r="FL74" i="93"/>
  <c r="GG74" i="93"/>
  <c r="GH74" i="93"/>
  <c r="GH77" i="93"/>
  <c r="FL77" i="93"/>
  <c r="GG77" i="93"/>
  <c r="FL66" i="93"/>
  <c r="GG66" i="93"/>
  <c r="GH66" i="93"/>
  <c r="GG72" i="93"/>
  <c r="FL72" i="93"/>
  <c r="GH72" i="93"/>
  <c r="GG87" i="93"/>
  <c r="FL87" i="93"/>
  <c r="GH87" i="93"/>
  <c r="GG67" i="93"/>
  <c r="GH67" i="93"/>
  <c r="FL67" i="93"/>
  <c r="FL80" i="93"/>
  <c r="GH80" i="93"/>
  <c r="GG80" i="93"/>
  <c r="GH93" i="93"/>
  <c r="GG93" i="93"/>
  <c r="FL93" i="93"/>
  <c r="AU101" i="97"/>
  <c r="AK101" i="97" s="1"/>
  <c r="AT101" i="97"/>
  <c r="AH39" i="98"/>
  <c r="AM39" i="98" s="1"/>
  <c r="AH41" i="98"/>
  <c r="AM41" i="98" s="1"/>
  <c r="AH48" i="98"/>
  <c r="AM48" i="98" s="1"/>
  <c r="AH34" i="98"/>
  <c r="AM34" i="98" s="1"/>
  <c r="AH36" i="98"/>
  <c r="AM36" i="98" s="1"/>
  <c r="AH51" i="98"/>
  <c r="AM51" i="98" s="1"/>
  <c r="AH35" i="98"/>
  <c r="AM35" i="98" s="1"/>
  <c r="AH50" i="98"/>
  <c r="AM50" i="98" s="1"/>
  <c r="AH52" i="98"/>
  <c r="AM52" i="98" s="1"/>
  <c r="AH49" i="98"/>
  <c r="AM49" i="98" s="1"/>
  <c r="AH45" i="98"/>
  <c r="AM45" i="98" s="1"/>
  <c r="AH37" i="98"/>
  <c r="AM37" i="98" s="1"/>
  <c r="AH47" i="98"/>
  <c r="AM47" i="98" s="1"/>
  <c r="AH42" i="98"/>
  <c r="AM42" i="98" s="1"/>
  <c r="IR80" i="93"/>
  <c r="DZ22" i="1" s="1"/>
  <c r="IR94" i="93"/>
  <c r="EN22" i="1" s="1"/>
  <c r="IR111" i="93"/>
  <c r="IR103" i="93"/>
  <c r="IR77" i="93"/>
  <c r="DW22" i="1" s="1"/>
  <c r="IR102" i="93"/>
  <c r="IR87" i="93"/>
  <c r="EG22" i="1" s="1"/>
  <c r="IR112" i="93"/>
  <c r="IR74" i="93"/>
  <c r="DT22" i="1" s="1"/>
  <c r="IR104" i="93"/>
  <c r="IR72" i="93"/>
  <c r="DR22" i="1" s="1"/>
  <c r="IR66" i="93"/>
  <c r="DL22" i="1" s="1"/>
  <c r="IR99" i="93"/>
  <c r="IR93" i="93"/>
  <c r="EM22" i="1" s="1"/>
  <c r="IR96" i="93"/>
  <c r="EP22" i="1" s="1"/>
  <c r="IR101" i="93"/>
  <c r="IR105" i="93"/>
  <c r="IR90" i="93"/>
  <c r="EJ22" i="1" s="1"/>
  <c r="DY65" i="93"/>
  <c r="IR107" i="93"/>
  <c r="IR83" i="93"/>
  <c r="EC22" i="1" s="1"/>
  <c r="IR95" i="93"/>
  <c r="EO22" i="1" s="1"/>
  <c r="IR70" i="93"/>
  <c r="DP22" i="1" s="1"/>
  <c r="IR109" i="93"/>
  <c r="IR81" i="93"/>
  <c r="EA22" i="1" s="1"/>
  <c r="IR73" i="93"/>
  <c r="DS22" i="1" s="1"/>
  <c r="IR98" i="93"/>
  <c r="IR92" i="93"/>
  <c r="EL22" i="1" s="1"/>
  <c r="IR85" i="93"/>
  <c r="EE22" i="1" s="1"/>
  <c r="IR100" i="93"/>
  <c r="IR97" i="93"/>
  <c r="EQ22" i="1" s="1"/>
  <c r="IR84" i="93"/>
  <c r="ED22" i="1" s="1"/>
  <c r="IR88" i="93"/>
  <c r="EH22" i="1" s="1"/>
  <c r="IR79" i="93"/>
  <c r="DY22" i="1" s="1"/>
  <c r="IR75" i="93"/>
  <c r="DU22" i="1" s="1"/>
  <c r="IR110" i="93"/>
  <c r="IR78" i="93"/>
  <c r="DX22" i="1" s="1"/>
  <c r="IR76" i="93"/>
  <c r="DV22" i="1" s="1"/>
  <c r="IR108" i="93"/>
  <c r="IR71" i="93"/>
  <c r="DQ22" i="1" s="1"/>
  <c r="IR113" i="93"/>
  <c r="IR82" i="93"/>
  <c r="EB22" i="1" s="1"/>
  <c r="IR89" i="93"/>
  <c r="EI22" i="1" s="1"/>
  <c r="IR91" i="93"/>
  <c r="EK22" i="1" s="1"/>
  <c r="IR69" i="93"/>
  <c r="DO22" i="1" s="1"/>
  <c r="IR86" i="93"/>
  <c r="EF22" i="1" s="1"/>
  <c r="DY106" i="93"/>
  <c r="AK54" i="98"/>
  <c r="FD54" i="98" s="1"/>
  <c r="AM54" i="98"/>
  <c r="F48" i="71"/>
  <c r="AK55" i="98"/>
  <c r="FD55" i="98" s="1"/>
  <c r="AM55" i="98"/>
  <c r="AM44" i="98"/>
  <c r="AM43" i="98"/>
  <c r="AM53" i="98"/>
  <c r="AM40" i="98"/>
  <c r="AM38" i="98"/>
  <c r="AM46" i="98"/>
  <c r="F50" i="71"/>
  <c r="F49" i="71"/>
  <c r="R28" i="136" l="1"/>
  <c r="L28" i="129"/>
  <c r="R27" i="136"/>
  <c r="L27" i="129"/>
  <c r="F27" i="129" s="1"/>
  <c r="GG62" i="93"/>
  <c r="AA65" i="71" s="1"/>
  <c r="GH62" i="93"/>
  <c r="AA63" i="71" s="1"/>
  <c r="DY69" i="93"/>
  <c r="FN69" i="93"/>
  <c r="JK69" i="93" s="1"/>
  <c r="DY113" i="93"/>
  <c r="FN113" i="93"/>
  <c r="JK113" i="93" s="1"/>
  <c r="DY78" i="93"/>
  <c r="FK78" i="93"/>
  <c r="DY79" i="93"/>
  <c r="FK79" i="93"/>
  <c r="DY100" i="93"/>
  <c r="FN100" i="93"/>
  <c r="DY73" i="93"/>
  <c r="JJ73" i="93"/>
  <c r="DY95" i="93"/>
  <c r="FK95" i="93"/>
  <c r="DY90" i="93"/>
  <c r="FK90" i="93"/>
  <c r="DY93" i="93"/>
  <c r="JJ93" i="93"/>
  <c r="DY104" i="93"/>
  <c r="FN104" i="93"/>
  <c r="DY102" i="93"/>
  <c r="FN102" i="93"/>
  <c r="DY111" i="93"/>
  <c r="FK111" i="93"/>
  <c r="DY91" i="93"/>
  <c r="FN91" i="93"/>
  <c r="FO91" i="93" s="1"/>
  <c r="DY71" i="93"/>
  <c r="JJ71" i="93"/>
  <c r="DY110" i="93"/>
  <c r="JJ110" i="93"/>
  <c r="DY88" i="93"/>
  <c r="FN88" i="93"/>
  <c r="FO88" i="93" s="1"/>
  <c r="DY85" i="93"/>
  <c r="J24" i="71" s="1"/>
  <c r="J127" i="71" s="1"/>
  <c r="JJ85" i="93"/>
  <c r="DY81" i="93"/>
  <c r="JJ81" i="93"/>
  <c r="DY83" i="93"/>
  <c r="JJ83" i="93"/>
  <c r="DY105" i="93"/>
  <c r="FN105" i="93"/>
  <c r="DY99" i="93"/>
  <c r="JJ99" i="93"/>
  <c r="DY74" i="93"/>
  <c r="JJ74" i="93"/>
  <c r="DY67" i="93"/>
  <c r="JJ67" i="93"/>
  <c r="DY94" i="93"/>
  <c r="FN94" i="93"/>
  <c r="FO94" i="93" s="1"/>
  <c r="DY101" i="93"/>
  <c r="JJ101" i="93"/>
  <c r="DY89" i="93"/>
  <c r="FK89" i="93"/>
  <c r="DY108" i="93"/>
  <c r="FN108" i="93"/>
  <c r="DY75" i="93"/>
  <c r="JJ75" i="93"/>
  <c r="DY84" i="93"/>
  <c r="FK84" i="93"/>
  <c r="DY92" i="93"/>
  <c r="FN92" i="93"/>
  <c r="JK92" i="93" s="1"/>
  <c r="DY109" i="93"/>
  <c r="JJ109" i="93"/>
  <c r="DY107" i="93"/>
  <c r="JJ107" i="93"/>
  <c r="DY66" i="93"/>
  <c r="JJ66" i="93"/>
  <c r="DY112" i="93"/>
  <c r="FN112" i="93"/>
  <c r="FO112" i="93" s="1"/>
  <c r="DY77" i="93"/>
  <c r="FK77" i="93"/>
  <c r="DY80" i="93"/>
  <c r="FN80" i="93"/>
  <c r="FO80" i="93" s="1"/>
  <c r="DY86" i="93"/>
  <c r="JJ86" i="93"/>
  <c r="DY82" i="93"/>
  <c r="FK82" i="93"/>
  <c r="DY76" i="93"/>
  <c r="JJ76" i="93"/>
  <c r="DY68" i="93"/>
  <c r="FK68" i="93"/>
  <c r="DY97" i="93"/>
  <c r="JJ97" i="93"/>
  <c r="DY98" i="93"/>
  <c r="FN98" i="93"/>
  <c r="DY70" i="93"/>
  <c r="JJ70" i="93"/>
  <c r="DY96" i="93"/>
  <c r="FN96" i="93"/>
  <c r="JK96" i="93" s="1"/>
  <c r="DY72" i="93"/>
  <c r="JJ72" i="93"/>
  <c r="DY87" i="93"/>
  <c r="FK87" i="93"/>
  <c r="DY103" i="93"/>
  <c r="FN103" i="93"/>
  <c r="JJ65" i="93"/>
  <c r="FN106" i="93"/>
  <c r="JJ106" i="93"/>
  <c r="FK106" i="93"/>
  <c r="B27" i="136" l="1"/>
  <c r="B28" i="136"/>
  <c r="A27" i="129"/>
  <c r="D27" i="129"/>
  <c r="F28" i="129"/>
  <c r="D28" i="129"/>
  <c r="A28" i="129"/>
  <c r="FN110" i="93"/>
  <c r="JK110" i="93" s="1"/>
  <c r="FN97" i="93"/>
  <c r="JK97" i="93" s="1"/>
  <c r="FN95" i="93"/>
  <c r="JK95" i="93" s="1"/>
  <c r="IW95" i="93" s="1"/>
  <c r="FK67" i="93"/>
  <c r="FN85" i="93"/>
  <c r="FO85" i="93" s="1"/>
  <c r="FK103" i="93"/>
  <c r="FN78" i="93"/>
  <c r="FO78" i="93" s="1"/>
  <c r="FK85" i="93"/>
  <c r="FK83" i="93"/>
  <c r="FN83" i="93"/>
  <c r="FO83" i="93" s="1"/>
  <c r="FK70" i="93"/>
  <c r="FK100" i="93"/>
  <c r="JJ78" i="93"/>
  <c r="FK66" i="93"/>
  <c r="JJ69" i="93"/>
  <c r="JJ95" i="93"/>
  <c r="FN111" i="93"/>
  <c r="JK111" i="93" s="1"/>
  <c r="FK97" i="93"/>
  <c r="FN70" i="93"/>
  <c r="FO70" i="93" s="1"/>
  <c r="J23" i="71"/>
  <c r="J126" i="71" s="1"/>
  <c r="JJ104" i="93"/>
  <c r="FN71" i="93"/>
  <c r="FO71" i="93" s="1"/>
  <c r="JK88" i="93"/>
  <c r="IW88" i="93" s="1"/>
  <c r="JK94" i="93"/>
  <c r="IW94" i="93" s="1"/>
  <c r="FK73" i="93"/>
  <c r="FN81" i="93"/>
  <c r="FO81" i="93" s="1"/>
  <c r="JJ90" i="93"/>
  <c r="JJ88" i="93"/>
  <c r="FK74" i="93"/>
  <c r="FK104" i="93"/>
  <c r="FN73" i="93"/>
  <c r="FO73" i="93" s="1"/>
  <c r="FK81" i="93"/>
  <c r="FK88" i="93"/>
  <c r="FK94" i="93"/>
  <c r="FK71" i="93"/>
  <c r="FN90" i="93"/>
  <c r="JK90" i="93" s="1"/>
  <c r="IW90" i="93" s="1"/>
  <c r="JJ94" i="93"/>
  <c r="FK80" i="93"/>
  <c r="JJ80" i="93"/>
  <c r="FK98" i="93"/>
  <c r="IW96" i="93"/>
  <c r="IW113" i="93"/>
  <c r="IW92" i="93"/>
  <c r="IW69" i="93"/>
  <c r="FN67" i="93"/>
  <c r="FO67" i="93" s="1"/>
  <c r="JJ103" i="93"/>
  <c r="JJ98" i="93"/>
  <c r="JJ92" i="93"/>
  <c r="FN76" i="93"/>
  <c r="JK76" i="93" s="1"/>
  <c r="FN72" i="93"/>
  <c r="JK72" i="93" s="1"/>
  <c r="FK101" i="93"/>
  <c r="FN89" i="93"/>
  <c r="FO89" i="93" s="1"/>
  <c r="FN74" i="93"/>
  <c r="JK74" i="93" s="1"/>
  <c r="FN101" i="93"/>
  <c r="JK101" i="93" s="1"/>
  <c r="FN77" i="93"/>
  <c r="FO77" i="93" s="1"/>
  <c r="JJ87" i="93"/>
  <c r="JJ89" i="93"/>
  <c r="FN82" i="93"/>
  <c r="FO82" i="93" s="1"/>
  <c r="FN79" i="93"/>
  <c r="JK79" i="93" s="1"/>
  <c r="FN87" i="93"/>
  <c r="FO87" i="93" s="1"/>
  <c r="JJ113" i="93"/>
  <c r="JJ111" i="93"/>
  <c r="FO96" i="93"/>
  <c r="JK112" i="93"/>
  <c r="JJ79" i="93"/>
  <c r="JJ112" i="93"/>
  <c r="JJ82" i="93"/>
  <c r="FK96" i="93"/>
  <c r="JJ96" i="93"/>
  <c r="FK75" i="93"/>
  <c r="FN75" i="93"/>
  <c r="JK75" i="93" s="1"/>
  <c r="FK112" i="93"/>
  <c r="FK69" i="93"/>
  <c r="JJ108" i="93"/>
  <c r="FK76" i="93"/>
  <c r="JJ100" i="93"/>
  <c r="FO92" i="93"/>
  <c r="FK91" i="93"/>
  <c r="FK92" i="93"/>
  <c r="FO113" i="93"/>
  <c r="FK110" i="93"/>
  <c r="FK113" i="93"/>
  <c r="FK109" i="93"/>
  <c r="FK72" i="93"/>
  <c r="FN109" i="93"/>
  <c r="JK109" i="93" s="1"/>
  <c r="FK65" i="93"/>
  <c r="FN65" i="93" s="1"/>
  <c r="JK65" i="93" s="1"/>
  <c r="IW65" i="93" s="1"/>
  <c r="FK93" i="93"/>
  <c r="FN86" i="93"/>
  <c r="JK86" i="93" s="1"/>
  <c r="FN93" i="93"/>
  <c r="JK93" i="93" s="1"/>
  <c r="FK86" i="93"/>
  <c r="FN68" i="93"/>
  <c r="JK68" i="93" s="1"/>
  <c r="IW68" i="93" s="1"/>
  <c r="JJ68" i="93"/>
  <c r="JK91" i="93"/>
  <c r="JK80" i="93"/>
  <c r="JJ102" i="93"/>
  <c r="FN107" i="93"/>
  <c r="JK107" i="93" s="1"/>
  <c r="FK105" i="93"/>
  <c r="FK102" i="93"/>
  <c r="JJ105" i="93"/>
  <c r="FK107" i="93"/>
  <c r="JJ84" i="93"/>
  <c r="FK108" i="93"/>
  <c r="JJ77" i="93"/>
  <c r="JJ91" i="93"/>
  <c r="FK99" i="93"/>
  <c r="FN99" i="93"/>
  <c r="FO99" i="93" s="1"/>
  <c r="FN84" i="93"/>
  <c r="JK84" i="93" s="1"/>
  <c r="AJ231" i="123"/>
  <c r="FO69" i="93"/>
  <c r="JK102" i="93"/>
  <c r="FO102" i="93"/>
  <c r="FO98" i="93"/>
  <c r="JK98" i="93"/>
  <c r="JK105" i="93"/>
  <c r="FO105" i="93"/>
  <c r="JK103" i="93"/>
  <c r="FO103" i="93"/>
  <c r="JK108" i="93"/>
  <c r="FO108" i="93"/>
  <c r="JK100" i="93"/>
  <c r="FO100" i="93"/>
  <c r="JK104" i="93"/>
  <c r="FO104" i="93"/>
  <c r="JK106" i="93"/>
  <c r="FO106" i="93"/>
  <c r="EP24" i="1" l="1"/>
  <c r="EP157" i="1" s="1"/>
  <c r="MZ96" i="93"/>
  <c r="NB96" i="93" s="1"/>
  <c r="FQ96" i="93" s="1"/>
  <c r="EO24" i="1"/>
  <c r="EO157" i="1" s="1"/>
  <c r="MZ95" i="93"/>
  <c r="NB95" i="93" s="1"/>
  <c r="FQ95" i="93" s="1"/>
  <c r="GI94" i="93"/>
  <c r="EN24" i="1"/>
  <c r="EN157" i="1" s="1"/>
  <c r="MZ94" i="93"/>
  <c r="NB94" i="93" s="1"/>
  <c r="FQ94" i="93" s="1"/>
  <c r="EH24" i="1"/>
  <c r="EH157" i="1" s="1"/>
  <c r="MZ88" i="93"/>
  <c r="NB88" i="93" s="1"/>
  <c r="FQ88" i="93" s="1"/>
  <c r="EJ24" i="1"/>
  <c r="EJ157" i="1" s="1"/>
  <c r="GI90" i="93"/>
  <c r="DN24" i="1"/>
  <c r="DN157" i="1" s="1"/>
  <c r="GI68" i="93"/>
  <c r="EL24" i="1"/>
  <c r="EL157" i="1" s="1"/>
  <c r="GI92" i="93"/>
  <c r="LO88" i="93"/>
  <c r="LP88" i="93" s="1"/>
  <c r="EH79" i="1" s="1"/>
  <c r="GI88" i="93"/>
  <c r="LO95" i="93"/>
  <c r="GI95" i="93"/>
  <c r="DO24" i="1"/>
  <c r="DO157" i="1" s="1"/>
  <c r="GI69" i="93"/>
  <c r="DK24" i="1"/>
  <c r="DK157" i="1" s="1"/>
  <c r="GI65" i="93"/>
  <c r="LO113" i="93"/>
  <c r="LZ113" i="93" s="1"/>
  <c r="MK113" i="93" s="1"/>
  <c r="GI113" i="93"/>
  <c r="LO96" i="93"/>
  <c r="GI96" i="93"/>
  <c r="FN66" i="93"/>
  <c r="JK66" i="93" s="1"/>
  <c r="IW66" i="93" s="1"/>
  <c r="GI66" i="93" s="1"/>
  <c r="FO65" i="93"/>
  <c r="FO97" i="93"/>
  <c r="FO110" i="93"/>
  <c r="FO95" i="93"/>
  <c r="JK85" i="93"/>
  <c r="IW85" i="93" s="1"/>
  <c r="JK78" i="93"/>
  <c r="IW78" i="93" s="1"/>
  <c r="JK83" i="93"/>
  <c r="IW83" i="93" s="1"/>
  <c r="FO111" i="93"/>
  <c r="JK70" i="93"/>
  <c r="IW70" i="93" s="1"/>
  <c r="JK71" i="93"/>
  <c r="IW71" i="93" s="1"/>
  <c r="AJ216" i="123" s="1"/>
  <c r="JK77" i="93"/>
  <c r="IW77" i="93" s="1"/>
  <c r="GI77" i="93" s="1"/>
  <c r="JK73" i="93"/>
  <c r="IW73" i="93" s="1"/>
  <c r="GI73" i="93" s="1"/>
  <c r="JK81" i="93"/>
  <c r="IW81" i="93" s="1"/>
  <c r="FO90" i="93"/>
  <c r="MZ69" i="93"/>
  <c r="NB69" i="93" s="1"/>
  <c r="FQ69" i="93" s="1"/>
  <c r="AJ172" i="123"/>
  <c r="AJ230" i="123"/>
  <c r="AJ227" i="123"/>
  <c r="AJ151" i="123"/>
  <c r="AJ171" i="123"/>
  <c r="AJ132" i="123"/>
  <c r="AJ233" i="123"/>
  <c r="AJ176" i="123"/>
  <c r="LO90" i="93"/>
  <c r="LZ90" i="93" s="1"/>
  <c r="MZ90" i="93"/>
  <c r="NB90" i="93" s="1"/>
  <c r="FQ90" i="93" s="1"/>
  <c r="AJ184" i="123"/>
  <c r="MZ65" i="93"/>
  <c r="NB65" i="93" s="1"/>
  <c r="FQ65" i="93" s="1"/>
  <c r="JK67" i="93"/>
  <c r="IW67" i="93" s="1"/>
  <c r="LO65" i="93"/>
  <c r="LZ65" i="93" s="1"/>
  <c r="AJ178" i="123"/>
  <c r="MZ92" i="93"/>
  <c r="NB92" i="93" s="1"/>
  <c r="FQ92" i="93" s="1"/>
  <c r="LO92" i="93"/>
  <c r="LZ92" i="93" s="1"/>
  <c r="LO94" i="93"/>
  <c r="AJ152" i="123"/>
  <c r="LO69" i="93"/>
  <c r="LZ69" i="93" s="1"/>
  <c r="IW106" i="93"/>
  <c r="IW103" i="93"/>
  <c r="IW110" i="93"/>
  <c r="IW105" i="93"/>
  <c r="IW84" i="93"/>
  <c r="IW107" i="93"/>
  <c r="IW86" i="93"/>
  <c r="GI86" i="93" s="1"/>
  <c r="IW101" i="93"/>
  <c r="IW72" i="93"/>
  <c r="IW100" i="93"/>
  <c r="IW98" i="93"/>
  <c r="IW102" i="93"/>
  <c r="IW74" i="93"/>
  <c r="GI74" i="93" s="1"/>
  <c r="IW76" i="93"/>
  <c r="IW104" i="93"/>
  <c r="IW97" i="93"/>
  <c r="IW111" i="93"/>
  <c r="IW80" i="93"/>
  <c r="GI80" i="93" s="1"/>
  <c r="IW112" i="93"/>
  <c r="IW108" i="93"/>
  <c r="IW91" i="93"/>
  <c r="IW93" i="93"/>
  <c r="GI93" i="93" s="1"/>
  <c r="IW109" i="93"/>
  <c r="IW75" i="93"/>
  <c r="GI75" i="93" s="1"/>
  <c r="IW79" i="93"/>
  <c r="GI79" i="93" s="1"/>
  <c r="FO79" i="93"/>
  <c r="FO76" i="93"/>
  <c r="FO72" i="93"/>
  <c r="FO101" i="93"/>
  <c r="FO74" i="93"/>
  <c r="JK87" i="93"/>
  <c r="JK89" i="93"/>
  <c r="JK82" i="93"/>
  <c r="FO75" i="93"/>
  <c r="FO86" i="93"/>
  <c r="FO109" i="93"/>
  <c r="FO93" i="93"/>
  <c r="JK99" i="93"/>
  <c r="FO68" i="93"/>
  <c r="FO107" i="93"/>
  <c r="FO84" i="93"/>
  <c r="EC24" i="1" l="1"/>
  <c r="EC157" i="1" s="1"/>
  <c r="MZ83" i="93"/>
  <c r="NB83" i="93" s="1"/>
  <c r="FQ83" i="93" s="1"/>
  <c r="LZ95" i="93"/>
  <c r="MK95" i="93" s="1"/>
  <c r="EO78" i="1"/>
  <c r="LZ88" i="93"/>
  <c r="MK88" i="93" s="1"/>
  <c r="EH78" i="1"/>
  <c r="DV24" i="1"/>
  <c r="DV157" i="1" s="1"/>
  <c r="MZ76" i="93"/>
  <c r="NB76" i="93" s="1"/>
  <c r="FQ76" i="93" s="1"/>
  <c r="ED24" i="1"/>
  <c r="ED157" i="1" s="1"/>
  <c r="MZ84" i="93"/>
  <c r="NB84" i="93" s="1"/>
  <c r="FQ84" i="93" s="1"/>
  <c r="LZ94" i="93"/>
  <c r="MK94" i="93" s="1"/>
  <c r="EN78" i="1"/>
  <c r="GI70" i="93"/>
  <c r="DP24" i="1"/>
  <c r="DP157" i="1" s="1"/>
  <c r="MZ70" i="93"/>
  <c r="NB70" i="93" s="1"/>
  <c r="FQ70" i="93" s="1"/>
  <c r="LZ96" i="93"/>
  <c r="MK96" i="93" s="1"/>
  <c r="EP78" i="1"/>
  <c r="MZ97" i="93"/>
  <c r="NB97" i="93" s="1"/>
  <c r="FQ97" i="93" s="1"/>
  <c r="EQ24" i="1"/>
  <c r="EQ157" i="1" s="1"/>
  <c r="EK24" i="1"/>
  <c r="EK157" i="1" s="1"/>
  <c r="MZ91" i="93"/>
  <c r="NB91" i="93" s="1"/>
  <c r="FQ91" i="93" s="1"/>
  <c r="LP96" i="93"/>
  <c r="LP95" i="93"/>
  <c r="LQ95" i="93" s="1"/>
  <c r="EO80" i="1" s="1"/>
  <c r="LP113" i="93"/>
  <c r="LQ113" i="93" s="1"/>
  <c r="GI72" i="93"/>
  <c r="AJ217" i="123"/>
  <c r="LO108" i="93"/>
  <c r="LZ108" i="93" s="1"/>
  <c r="MK108" i="93" s="1"/>
  <c r="GI108" i="93"/>
  <c r="LO97" i="93"/>
  <c r="GI97" i="93"/>
  <c r="LO84" i="93"/>
  <c r="GI84" i="93"/>
  <c r="LO106" i="93"/>
  <c r="LZ106" i="93" s="1"/>
  <c r="MK106" i="93" s="1"/>
  <c r="GI106" i="93"/>
  <c r="EA24" i="1"/>
  <c r="EA157" i="1" s="1"/>
  <c r="GI81" i="93"/>
  <c r="EE24" i="1"/>
  <c r="EE157" i="1" s="1"/>
  <c r="GI85" i="93"/>
  <c r="LO109" i="93"/>
  <c r="LZ109" i="93" s="1"/>
  <c r="MK109" i="93" s="1"/>
  <c r="GI109" i="93"/>
  <c r="LO112" i="93"/>
  <c r="LZ112" i="93" s="1"/>
  <c r="MK112" i="93" s="1"/>
  <c r="GI112" i="93"/>
  <c r="LO104" i="93"/>
  <c r="LZ104" i="93" s="1"/>
  <c r="MK104" i="93" s="1"/>
  <c r="GI104" i="93"/>
  <c r="LO102" i="93"/>
  <c r="LZ102" i="93" s="1"/>
  <c r="MK102" i="93" s="1"/>
  <c r="GI102" i="93"/>
  <c r="LO101" i="93"/>
  <c r="LZ101" i="93" s="1"/>
  <c r="MK101" i="93" s="1"/>
  <c r="GI101" i="93"/>
  <c r="LO105" i="93"/>
  <c r="LZ105" i="93" s="1"/>
  <c r="MK105" i="93" s="1"/>
  <c r="GI105" i="93"/>
  <c r="LO76" i="93"/>
  <c r="GI76" i="93"/>
  <c r="LO98" i="93"/>
  <c r="LZ98" i="93" s="1"/>
  <c r="MK98" i="93" s="1"/>
  <c r="GI98" i="93"/>
  <c r="LO110" i="93"/>
  <c r="LZ110" i="93" s="1"/>
  <c r="MK110" i="93" s="1"/>
  <c r="GI110" i="93"/>
  <c r="LO83" i="93"/>
  <c r="GI83" i="93"/>
  <c r="LO91" i="93"/>
  <c r="GI91" i="93"/>
  <c r="LO111" i="93"/>
  <c r="LZ111" i="93" s="1"/>
  <c r="MK111" i="93" s="1"/>
  <c r="GI111" i="93"/>
  <c r="LO100" i="93"/>
  <c r="LZ100" i="93" s="1"/>
  <c r="MK100" i="93" s="1"/>
  <c r="GI100" i="93"/>
  <c r="LO107" i="93"/>
  <c r="LZ107" i="93" s="1"/>
  <c r="MK107" i="93" s="1"/>
  <c r="GI107" i="93"/>
  <c r="LO103" i="93"/>
  <c r="LZ103" i="93" s="1"/>
  <c r="MK103" i="93" s="1"/>
  <c r="GI103" i="93"/>
  <c r="DM24" i="1"/>
  <c r="DM157" i="1" s="1"/>
  <c r="GI67" i="93"/>
  <c r="DQ24" i="1"/>
  <c r="DQ157" i="1" s="1"/>
  <c r="GI71" i="93"/>
  <c r="DX24" i="1"/>
  <c r="DX157" i="1" s="1"/>
  <c r="GI78" i="93"/>
  <c r="LQ88" i="93"/>
  <c r="EH80" i="1" s="1"/>
  <c r="MA88" i="93"/>
  <c r="ML88" i="93" s="1"/>
  <c r="DS24" i="1"/>
  <c r="DS157" i="1" s="1"/>
  <c r="AJ215" i="123"/>
  <c r="EM24" i="1"/>
  <c r="EM157" i="1" s="1"/>
  <c r="DZ24" i="1"/>
  <c r="DZ157" i="1" s="1"/>
  <c r="EF24" i="1"/>
  <c r="EF157" i="1" s="1"/>
  <c r="DK78" i="1"/>
  <c r="CH132" i="123"/>
  <c r="CH176" i="123"/>
  <c r="CH184" i="123"/>
  <c r="CH227" i="123"/>
  <c r="CH233" i="123"/>
  <c r="DW24" i="1"/>
  <c r="DW157" i="1" s="1"/>
  <c r="DT24" i="1"/>
  <c r="DT157" i="1" s="1"/>
  <c r="LP94" i="93"/>
  <c r="EN79" i="1" s="1"/>
  <c r="LO79" i="93"/>
  <c r="LZ79" i="93" s="1"/>
  <c r="DY24" i="1"/>
  <c r="DY157" i="1" s="1"/>
  <c r="DU24" i="1"/>
  <c r="DU157" i="1" s="1"/>
  <c r="LO72" i="93"/>
  <c r="LP72" i="93" s="1"/>
  <c r="DR24" i="1"/>
  <c r="DR157" i="1" s="1"/>
  <c r="EL78" i="1"/>
  <c r="CH152" i="123"/>
  <c r="CH172" i="123"/>
  <c r="EJ78" i="1"/>
  <c r="CH151" i="123"/>
  <c r="CH171" i="123"/>
  <c r="CH230" i="123"/>
  <c r="DO78" i="1"/>
  <c r="CH178" i="123"/>
  <c r="DL24" i="1"/>
  <c r="DL157" i="1" s="1"/>
  <c r="AJ236" i="123"/>
  <c r="LO66" i="93"/>
  <c r="LZ66" i="93" s="1"/>
  <c r="FO66" i="93"/>
  <c r="MZ66" i="93"/>
  <c r="NB66" i="93" s="1"/>
  <c r="FQ66" i="93" s="1"/>
  <c r="LO70" i="93"/>
  <c r="LP69" i="93"/>
  <c r="MA69" i="93" s="1"/>
  <c r="LP90" i="93"/>
  <c r="MA90" i="93" s="1"/>
  <c r="LP92" i="93"/>
  <c r="MA92" i="93" s="1"/>
  <c r="LP65" i="93"/>
  <c r="MA65" i="93" s="1"/>
  <c r="MZ77" i="93"/>
  <c r="NB77" i="93" s="1"/>
  <c r="FQ77" i="93" s="1"/>
  <c r="AJ138" i="123"/>
  <c r="LO77" i="93"/>
  <c r="LZ77" i="93" s="1"/>
  <c r="AJ139" i="123"/>
  <c r="MZ81" i="93"/>
  <c r="NB81" i="93" s="1"/>
  <c r="FQ81" i="93" s="1"/>
  <c r="AJ234" i="123"/>
  <c r="MZ67" i="93"/>
  <c r="NB67" i="93" s="1"/>
  <c r="FQ67" i="93" s="1"/>
  <c r="AJ205" i="123"/>
  <c r="AJ141" i="123"/>
  <c r="LO74" i="93"/>
  <c r="LZ74" i="93" s="1"/>
  <c r="AJ161" i="123"/>
  <c r="AJ159" i="123"/>
  <c r="MZ74" i="93"/>
  <c r="NB74" i="93" s="1"/>
  <c r="FQ74" i="93" s="1"/>
  <c r="AJ181" i="123"/>
  <c r="AJ145" i="123"/>
  <c r="LO73" i="93"/>
  <c r="AJ185" i="123"/>
  <c r="AJ165" i="123"/>
  <c r="AJ173" i="123"/>
  <c r="MZ85" i="93"/>
  <c r="NB85" i="93" s="1"/>
  <c r="FQ85" i="93" s="1"/>
  <c r="AJ133" i="123"/>
  <c r="MZ79" i="93"/>
  <c r="NB79" i="93" s="1"/>
  <c r="FQ79" i="93" s="1"/>
  <c r="AJ177" i="123"/>
  <c r="MZ73" i="93"/>
  <c r="NB73" i="93" s="1"/>
  <c r="FQ73" i="93" s="1"/>
  <c r="AJ158" i="123"/>
  <c r="AJ167" i="123"/>
  <c r="LO81" i="93"/>
  <c r="LZ81" i="93" s="1"/>
  <c r="LO67" i="93"/>
  <c r="LZ67" i="93" s="1"/>
  <c r="AJ164" i="123"/>
  <c r="AJ153" i="123"/>
  <c r="AJ157" i="123"/>
  <c r="AJ188" i="123"/>
  <c r="MZ72" i="93"/>
  <c r="NB72" i="93" s="1"/>
  <c r="FQ72" i="93" s="1"/>
  <c r="AJ147" i="123"/>
  <c r="LO80" i="93"/>
  <c r="LZ80" i="93" s="1"/>
  <c r="LO85" i="93"/>
  <c r="LZ85" i="93" s="1"/>
  <c r="AJ144" i="123"/>
  <c r="MZ68" i="93"/>
  <c r="NB68" i="93" s="1"/>
  <c r="FQ68" i="93" s="1"/>
  <c r="MZ80" i="93"/>
  <c r="NB80" i="93" s="1"/>
  <c r="FQ80" i="93" s="1"/>
  <c r="AJ180" i="123"/>
  <c r="AJ229" i="123"/>
  <c r="LO68" i="93"/>
  <c r="LZ68" i="93" s="1"/>
  <c r="AJ187" i="123"/>
  <c r="AJ137" i="123"/>
  <c r="AJ142" i="123"/>
  <c r="AJ179" i="123"/>
  <c r="AJ140" i="123"/>
  <c r="AJ163" i="123"/>
  <c r="MZ93" i="93"/>
  <c r="NB93" i="93" s="1"/>
  <c r="FQ93" i="93" s="1"/>
  <c r="LO93" i="93"/>
  <c r="LZ93" i="93" s="1"/>
  <c r="AJ228" i="123"/>
  <c r="AJ143" i="123"/>
  <c r="MZ71" i="93"/>
  <c r="NB71" i="93" s="1"/>
  <c r="FQ71" i="93" s="1"/>
  <c r="LO71" i="93"/>
  <c r="AJ168" i="123"/>
  <c r="AJ160" i="123"/>
  <c r="MZ75" i="93"/>
  <c r="NB75" i="93" s="1"/>
  <c r="FQ75" i="93" s="1"/>
  <c r="AJ148" i="123"/>
  <c r="AJ136" i="123"/>
  <c r="MZ78" i="93"/>
  <c r="NB78" i="93" s="1"/>
  <c r="FQ78" i="93" s="1"/>
  <c r="AJ186" i="123"/>
  <c r="LO86" i="93"/>
  <c r="LZ86" i="93" s="1"/>
  <c r="LO75" i="93"/>
  <c r="LZ75" i="93" s="1"/>
  <c r="AJ156" i="123"/>
  <c r="AJ162" i="123"/>
  <c r="LO78" i="93"/>
  <c r="LZ78" i="93" s="1"/>
  <c r="MZ86" i="93"/>
  <c r="NB86" i="93" s="1"/>
  <c r="FQ86" i="93" s="1"/>
  <c r="IW82" i="93"/>
  <c r="GI82" i="93" s="1"/>
  <c r="IW89" i="93"/>
  <c r="GI89" i="93" s="1"/>
  <c r="IW99" i="93"/>
  <c r="IW87" i="93"/>
  <c r="GI87" i="93" s="1"/>
  <c r="P24" i="98"/>
  <c r="LP100" i="93" l="1"/>
  <c r="MA100" i="93" s="1"/>
  <c r="ML100" i="93" s="1"/>
  <c r="LZ91" i="93"/>
  <c r="MK91" i="93" s="1"/>
  <c r="EK78" i="1"/>
  <c r="MA95" i="93"/>
  <c r="ML95" i="93" s="1"/>
  <c r="EO79" i="1"/>
  <c r="LQ96" i="93"/>
  <c r="EP80" i="1" s="1"/>
  <c r="EP79" i="1"/>
  <c r="LZ83" i="93"/>
  <c r="MK83" i="93" s="1"/>
  <c r="EC78" i="1"/>
  <c r="LZ84" i="93"/>
  <c r="MK84" i="93" s="1"/>
  <c r="ED78" i="1"/>
  <c r="LZ70" i="93"/>
  <c r="MK70" i="93" s="1"/>
  <c r="DP78" i="1"/>
  <c r="LZ97" i="93"/>
  <c r="MK97" i="93" s="1"/>
  <c r="EQ78" i="1"/>
  <c r="MA96" i="93"/>
  <c r="ML96" i="93" s="1"/>
  <c r="LZ76" i="93"/>
  <c r="MK76" i="93" s="1"/>
  <c r="DV78" i="1"/>
  <c r="LP109" i="93"/>
  <c r="LQ109" i="93" s="1"/>
  <c r="LP84" i="93"/>
  <c r="ED79" i="1" s="1"/>
  <c r="LP104" i="93"/>
  <c r="LQ104" i="93" s="1"/>
  <c r="LP108" i="93"/>
  <c r="MA108" i="93" s="1"/>
  <c r="ML108" i="93" s="1"/>
  <c r="LP76" i="93"/>
  <c r="LP101" i="93"/>
  <c r="LQ101" i="93" s="1"/>
  <c r="LP91" i="93"/>
  <c r="LP110" i="93"/>
  <c r="LQ110" i="93" s="1"/>
  <c r="MA113" i="93"/>
  <c r="ML113" i="93" s="1"/>
  <c r="LP106" i="93"/>
  <c r="LQ106" i="93" s="1"/>
  <c r="LP97" i="93"/>
  <c r="LP103" i="93"/>
  <c r="LQ103" i="93" s="1"/>
  <c r="LP83" i="93"/>
  <c r="LP102" i="93"/>
  <c r="LQ102" i="93" s="1"/>
  <c r="LP111" i="93"/>
  <c r="MA111" i="93" s="1"/>
  <c r="ML111" i="93" s="1"/>
  <c r="LP98" i="93"/>
  <c r="LQ98" i="93" s="1"/>
  <c r="LP79" i="93"/>
  <c r="MA79" i="93" s="1"/>
  <c r="LP105" i="93"/>
  <c r="LQ105" i="93" s="1"/>
  <c r="LP112" i="93"/>
  <c r="MA112" i="93" s="1"/>
  <c r="ML112" i="93" s="1"/>
  <c r="LP107" i="93"/>
  <c r="LQ107" i="93" s="1"/>
  <c r="LZ72" i="93"/>
  <c r="CH217" i="123"/>
  <c r="MA72" i="93"/>
  <c r="CI217" i="123"/>
  <c r="LZ71" i="93"/>
  <c r="CH216" i="123"/>
  <c r="LO99" i="93"/>
  <c r="LZ99" i="93" s="1"/>
  <c r="MK99" i="93" s="1"/>
  <c r="GI99" i="93"/>
  <c r="CH215" i="123"/>
  <c r="LZ73" i="93"/>
  <c r="LQ100" i="93"/>
  <c r="LQ94" i="93"/>
  <c r="EN80" i="1" s="1"/>
  <c r="MA94" i="93"/>
  <c r="ML94" i="93" s="1"/>
  <c r="LR88" i="93"/>
  <c r="EH81" i="1" s="1"/>
  <c r="MB88" i="93"/>
  <c r="MM88" i="93" s="1"/>
  <c r="LR96" i="93"/>
  <c r="EP81" i="1" s="1"/>
  <c r="LR95" i="93"/>
  <c r="EO81" i="1" s="1"/>
  <c r="MB95" i="93"/>
  <c r="MM95" i="93" s="1"/>
  <c r="LR113" i="93"/>
  <c r="MB113" i="93"/>
  <c r="MM113" i="93" s="1"/>
  <c r="DX78" i="1"/>
  <c r="CH142" i="123"/>
  <c r="CH162" i="123"/>
  <c r="CH188" i="123"/>
  <c r="DY78" i="1"/>
  <c r="CH143" i="123"/>
  <c r="CH163" i="123"/>
  <c r="CH228" i="123"/>
  <c r="EG24" i="1"/>
  <c r="EG157" i="1" s="1"/>
  <c r="EB24" i="1"/>
  <c r="EB157" i="1" s="1"/>
  <c r="EM78" i="1"/>
  <c r="CH153" i="123"/>
  <c r="CH173" i="123"/>
  <c r="EE78" i="1"/>
  <c r="CH147" i="123"/>
  <c r="CH167" i="123"/>
  <c r="DS78" i="1"/>
  <c r="CH138" i="123"/>
  <c r="CH181" i="123"/>
  <c r="CH158" i="123"/>
  <c r="LP74" i="93"/>
  <c r="MA74" i="93" s="1"/>
  <c r="DT78" i="1"/>
  <c r="CH139" i="123"/>
  <c r="CH159" i="123"/>
  <c r="EJ79" i="1"/>
  <c r="CI151" i="123"/>
  <c r="CI171" i="123"/>
  <c r="CI230" i="123"/>
  <c r="DQ78" i="1"/>
  <c r="CH136" i="123"/>
  <c r="CH179" i="123"/>
  <c r="CH156" i="123"/>
  <c r="CH186" i="123"/>
  <c r="CH133" i="123"/>
  <c r="DN78" i="1"/>
  <c r="DM78" i="1"/>
  <c r="CH177" i="123"/>
  <c r="CH185" i="123"/>
  <c r="CH205" i="123"/>
  <c r="DK79" i="1"/>
  <c r="CI132" i="123"/>
  <c r="CI176" i="123"/>
  <c r="CI227" i="123"/>
  <c r="CI233" i="123"/>
  <c r="CI184" i="123"/>
  <c r="DR79" i="1"/>
  <c r="CI137" i="123"/>
  <c r="CI157" i="123"/>
  <c r="CI180" i="123"/>
  <c r="CI187" i="123"/>
  <c r="LP70" i="93"/>
  <c r="DP79" i="1" s="1"/>
  <c r="DL78" i="1"/>
  <c r="DR78" i="1"/>
  <c r="CH137" i="123"/>
  <c r="CH157" i="123"/>
  <c r="CH187" i="123"/>
  <c r="CH180" i="123"/>
  <c r="EI24" i="1"/>
  <c r="EI157" i="1" s="1"/>
  <c r="EF78" i="1"/>
  <c r="CH148" i="123"/>
  <c r="CH168" i="123"/>
  <c r="DW78" i="1"/>
  <c r="CH141" i="123"/>
  <c r="CH161" i="123"/>
  <c r="CI163" i="123"/>
  <c r="DU78" i="1"/>
  <c r="CH140" i="123"/>
  <c r="CH160" i="123"/>
  <c r="CH144" i="123"/>
  <c r="DZ78" i="1"/>
  <c r="CH164" i="123"/>
  <c r="CH229" i="123"/>
  <c r="EA78" i="1"/>
  <c r="CH145" i="123"/>
  <c r="CH165" i="123"/>
  <c r="CH234" i="123"/>
  <c r="EL79" i="1"/>
  <c r="CI152" i="123"/>
  <c r="CI172" i="123"/>
  <c r="DO79" i="1"/>
  <c r="CI178" i="123"/>
  <c r="LP66" i="93"/>
  <c r="MA66" i="93" s="1"/>
  <c r="LP93" i="93"/>
  <c r="MA93" i="93" s="1"/>
  <c r="LP67" i="93"/>
  <c r="MA67" i="93" s="1"/>
  <c r="LQ92" i="93"/>
  <c r="MB92" i="93" s="1"/>
  <c r="LQ72" i="93"/>
  <c r="LP85" i="93"/>
  <c r="MA85" i="93" s="1"/>
  <c r="LP81" i="93"/>
  <c r="MA81" i="93" s="1"/>
  <c r="LP78" i="93"/>
  <c r="MA78" i="93" s="1"/>
  <c r="LP75" i="93"/>
  <c r="MA75" i="93" s="1"/>
  <c r="LP71" i="93"/>
  <c r="LP68" i="93"/>
  <c r="MA68" i="93" s="1"/>
  <c r="LQ65" i="93"/>
  <c r="MB65" i="93" s="1"/>
  <c r="LQ90" i="93"/>
  <c r="MB90" i="93" s="1"/>
  <c r="LQ69" i="93"/>
  <c r="MB69" i="93" s="1"/>
  <c r="LP86" i="93"/>
  <c r="MA86" i="93" s="1"/>
  <c r="LP80" i="93"/>
  <c r="MA80" i="93" s="1"/>
  <c r="LP73" i="93"/>
  <c r="LP77" i="93"/>
  <c r="MA77" i="93" s="1"/>
  <c r="AJ169" i="123"/>
  <c r="AJ166" i="123"/>
  <c r="AJ149" i="123"/>
  <c r="AJ235" i="123"/>
  <c r="AJ146" i="123"/>
  <c r="AJ170" i="123"/>
  <c r="MZ82" i="93"/>
  <c r="NB82" i="93" s="1"/>
  <c r="FQ82" i="93" s="1"/>
  <c r="MZ87" i="93"/>
  <c r="NB87" i="93" s="1"/>
  <c r="FQ87" i="93" s="1"/>
  <c r="LO82" i="93"/>
  <c r="LZ82" i="93" s="1"/>
  <c r="LO87" i="93"/>
  <c r="LZ87" i="93" s="1"/>
  <c r="LO89" i="93"/>
  <c r="LZ89" i="93" s="1"/>
  <c r="MZ89" i="93"/>
  <c r="NB89" i="93" s="1"/>
  <c r="FQ89" i="93" s="1"/>
  <c r="AJ150" i="123"/>
  <c r="MB96" i="93" l="1"/>
  <c r="MM96" i="93" s="1"/>
  <c r="LQ108" i="93"/>
  <c r="LR108" i="93" s="1"/>
  <c r="MA109" i="93"/>
  <c r="ML109" i="93" s="1"/>
  <c r="LQ83" i="93"/>
  <c r="EC80" i="1" s="1"/>
  <c r="EC79" i="1"/>
  <c r="MA97" i="93"/>
  <c r="ML97" i="93" s="1"/>
  <c r="EQ79" i="1"/>
  <c r="MA84" i="93"/>
  <c r="ML84" i="93" s="1"/>
  <c r="LQ84" i="93"/>
  <c r="ED80" i="1" s="1"/>
  <c r="MA91" i="93"/>
  <c r="ML91" i="93" s="1"/>
  <c r="EK79" i="1"/>
  <c r="MA110" i="93"/>
  <c r="ML110" i="93" s="1"/>
  <c r="MA104" i="93"/>
  <c r="ML104" i="93" s="1"/>
  <c r="MA76" i="93"/>
  <c r="ML76" i="93" s="1"/>
  <c r="DV79" i="1"/>
  <c r="LQ91" i="93"/>
  <c r="EK80" i="1" s="1"/>
  <c r="LQ76" i="93"/>
  <c r="DV80" i="1" s="1"/>
  <c r="MA103" i="93"/>
  <c r="ML103" i="93" s="1"/>
  <c r="MA107" i="93"/>
  <c r="ML107" i="93" s="1"/>
  <c r="MA83" i="93"/>
  <c r="ML83" i="93" s="1"/>
  <c r="MA102" i="93"/>
  <c r="ML102" i="93" s="1"/>
  <c r="MA106" i="93"/>
  <c r="ML106" i="93" s="1"/>
  <c r="MA101" i="93"/>
  <c r="ML101" i="93" s="1"/>
  <c r="LQ111" i="93"/>
  <c r="LR111" i="93" s="1"/>
  <c r="LP99" i="93"/>
  <c r="LQ99" i="93" s="1"/>
  <c r="LQ112" i="93"/>
  <c r="MB112" i="93" s="1"/>
  <c r="MM112" i="93" s="1"/>
  <c r="LQ97" i="93"/>
  <c r="MA105" i="93"/>
  <c r="ML105" i="93" s="1"/>
  <c r="MA98" i="93"/>
  <c r="ML98" i="93" s="1"/>
  <c r="LQ79" i="93"/>
  <c r="MB79" i="93" s="1"/>
  <c r="DY79" i="1"/>
  <c r="CI143" i="123"/>
  <c r="CI228" i="123"/>
  <c r="MB72" i="93"/>
  <c r="CJ217" i="123"/>
  <c r="MA71" i="93"/>
  <c r="CI216" i="123"/>
  <c r="CI215" i="123"/>
  <c r="MA73" i="93"/>
  <c r="LQ70" i="93"/>
  <c r="DP80" i="1" s="1"/>
  <c r="MA70" i="93"/>
  <c r="ML70" i="93" s="1"/>
  <c r="LS95" i="93"/>
  <c r="EO82" i="1" s="1"/>
  <c r="MC95" i="93"/>
  <c r="MN95" i="93" s="1"/>
  <c r="LR107" i="93"/>
  <c r="MB107" i="93"/>
  <c r="MM107" i="93" s="1"/>
  <c r="LR105" i="93"/>
  <c r="MB105" i="93"/>
  <c r="MM105" i="93" s="1"/>
  <c r="LR103" i="93"/>
  <c r="MB103" i="93"/>
  <c r="MM103" i="93" s="1"/>
  <c r="LR106" i="93"/>
  <c r="MB106" i="93"/>
  <c r="MM106" i="93" s="1"/>
  <c r="LS96" i="93"/>
  <c r="EP82" i="1" s="1"/>
  <c r="MC96" i="93"/>
  <c r="MN96" i="93" s="1"/>
  <c r="LR102" i="93"/>
  <c r="MB102" i="93"/>
  <c r="MM102" i="93" s="1"/>
  <c r="LR100" i="93"/>
  <c r="MB100" i="93"/>
  <c r="MM100" i="93" s="1"/>
  <c r="LR101" i="93"/>
  <c r="MB101" i="93"/>
  <c r="MM101" i="93" s="1"/>
  <c r="LS113" i="93"/>
  <c r="MC113" i="93"/>
  <c r="MN113" i="93" s="1"/>
  <c r="LR110" i="93"/>
  <c r="MB110" i="93"/>
  <c r="MM110" i="93" s="1"/>
  <c r="LR104" i="93"/>
  <c r="MB104" i="93"/>
  <c r="MM104" i="93" s="1"/>
  <c r="LS88" i="93"/>
  <c r="EH82" i="1" s="1"/>
  <c r="MC88" i="93"/>
  <c r="MN88" i="93" s="1"/>
  <c r="LR94" i="93"/>
  <c r="EN81" i="1" s="1"/>
  <c r="MB94" i="93"/>
  <c r="MM94" i="93" s="1"/>
  <c r="LR98" i="93"/>
  <c r="MB98" i="93"/>
  <c r="MM98" i="93" s="1"/>
  <c r="LR109" i="93"/>
  <c r="MB109" i="93"/>
  <c r="MM109" i="93" s="1"/>
  <c r="EG78" i="1"/>
  <c r="CH149" i="123"/>
  <c r="CH169" i="123"/>
  <c r="DW79" i="1"/>
  <c r="CI161" i="123"/>
  <c r="CI141" i="123"/>
  <c r="DO80" i="1"/>
  <c r="CJ178" i="123"/>
  <c r="DN79" i="1"/>
  <c r="CI133" i="123"/>
  <c r="EA79" i="1"/>
  <c r="CI145" i="123"/>
  <c r="CI165" i="123"/>
  <c r="CI234" i="123"/>
  <c r="DM79" i="1"/>
  <c r="CI177" i="123"/>
  <c r="CI205" i="123"/>
  <c r="CI185" i="123"/>
  <c r="LQ74" i="93"/>
  <c r="MB74" i="93" s="1"/>
  <c r="DT79" i="1"/>
  <c r="CI139" i="123"/>
  <c r="CI159" i="123"/>
  <c r="EI78" i="1"/>
  <c r="CH150" i="123"/>
  <c r="CH170" i="123"/>
  <c r="EB78" i="1"/>
  <c r="CH146" i="123"/>
  <c r="CH166" i="123"/>
  <c r="CH235" i="123"/>
  <c r="DS79" i="1"/>
  <c r="CI138" i="123"/>
  <c r="CI158" i="123"/>
  <c r="CI181" i="123"/>
  <c r="EJ80" i="1"/>
  <c r="CJ151" i="123"/>
  <c r="CJ171" i="123"/>
  <c r="CJ230" i="123"/>
  <c r="CI136" i="123"/>
  <c r="DQ79" i="1"/>
  <c r="CI186" i="123"/>
  <c r="CI179" i="123"/>
  <c r="CI156" i="123"/>
  <c r="EE79" i="1"/>
  <c r="CI147" i="123"/>
  <c r="CI167" i="123"/>
  <c r="EM79" i="1"/>
  <c r="CI153" i="123"/>
  <c r="CI173" i="123"/>
  <c r="DZ79" i="1"/>
  <c r="CI144" i="123"/>
  <c r="CI229" i="123"/>
  <c r="CI164" i="123"/>
  <c r="CJ143" i="123"/>
  <c r="CJ163" i="123"/>
  <c r="CJ228" i="123"/>
  <c r="DU79" i="1"/>
  <c r="CI140" i="123"/>
  <c r="CI160" i="123"/>
  <c r="DR80" i="1"/>
  <c r="CJ137" i="123"/>
  <c r="CJ180" i="123"/>
  <c r="CJ157" i="123"/>
  <c r="CJ187" i="123"/>
  <c r="LQ66" i="93"/>
  <c r="MB66" i="93" s="1"/>
  <c r="DL79" i="1"/>
  <c r="EF79" i="1"/>
  <c r="CI148" i="123"/>
  <c r="CI168" i="123"/>
  <c r="DK80" i="1"/>
  <c r="CJ132" i="123"/>
  <c r="CJ176" i="123"/>
  <c r="CJ184" i="123"/>
  <c r="CJ227" i="123"/>
  <c r="CJ233" i="123"/>
  <c r="DX79" i="1"/>
  <c r="CI142" i="123"/>
  <c r="CI162" i="123"/>
  <c r="CI188" i="123"/>
  <c r="EL80" i="1"/>
  <c r="CJ152" i="123"/>
  <c r="CJ172" i="123"/>
  <c r="LQ73" i="93"/>
  <c r="LQ86" i="93"/>
  <c r="MB86" i="93" s="1"/>
  <c r="LR69" i="93"/>
  <c r="MC69" i="93" s="1"/>
  <c r="LQ71" i="93"/>
  <c r="LQ78" i="93"/>
  <c r="MB78" i="93" s="1"/>
  <c r="LQ85" i="93"/>
  <c r="MB85" i="93" s="1"/>
  <c r="LQ67" i="93"/>
  <c r="MB67" i="93" s="1"/>
  <c r="LP89" i="93"/>
  <c r="MA89" i="93" s="1"/>
  <c r="LP87" i="93"/>
  <c r="MA87" i="93" s="1"/>
  <c r="LR90" i="93"/>
  <c r="MC90" i="93" s="1"/>
  <c r="LR65" i="93"/>
  <c r="MC65" i="93" s="1"/>
  <c r="LQ77" i="93"/>
  <c r="MB77" i="93" s="1"/>
  <c r="LQ80" i="93"/>
  <c r="MB80" i="93" s="1"/>
  <c r="LQ68" i="93"/>
  <c r="MB68" i="93" s="1"/>
  <c r="LQ75" i="93"/>
  <c r="MB75" i="93" s="1"/>
  <c r="LQ81" i="93"/>
  <c r="MB81" i="93" s="1"/>
  <c r="LQ93" i="93"/>
  <c r="MB93" i="93" s="1"/>
  <c r="LP82" i="93"/>
  <c r="MA82" i="93" s="1"/>
  <c r="LR72" i="93"/>
  <c r="LR92" i="93"/>
  <c r="MC92" i="93" s="1"/>
  <c r="M16" i="93"/>
  <c r="MZ55" i="93"/>
  <c r="M14" i="93"/>
  <c r="MZ54" i="93"/>
  <c r="MB83" i="93" l="1"/>
  <c r="MM83" i="93" s="1"/>
  <c r="MB76" i="93"/>
  <c r="MM76" i="93" s="1"/>
  <c r="MB108" i="93"/>
  <c r="MM108" i="93" s="1"/>
  <c r="LR83" i="93"/>
  <c r="EC81" i="1" s="1"/>
  <c r="MB91" i="93"/>
  <c r="MM91" i="93" s="1"/>
  <c r="LR91" i="93"/>
  <c r="EK81" i="1" s="1"/>
  <c r="DY80" i="1"/>
  <c r="MB97" i="93"/>
  <c r="MM97" i="93" s="1"/>
  <c r="EQ80" i="1"/>
  <c r="MB84" i="93"/>
  <c r="MM84" i="93" s="1"/>
  <c r="LR76" i="93"/>
  <c r="DV81" i="1" s="1"/>
  <c r="LR84" i="93"/>
  <c r="ED81" i="1" s="1"/>
  <c r="LR97" i="93"/>
  <c r="EQ81" i="1" s="1"/>
  <c r="LR112" i="93"/>
  <c r="LS112" i="93" s="1"/>
  <c r="MA99" i="93"/>
  <c r="ML99" i="93" s="1"/>
  <c r="MB111" i="93"/>
  <c r="MM111" i="93" s="1"/>
  <c r="LR79" i="93"/>
  <c r="MC79" i="93" s="1"/>
  <c r="MC72" i="93"/>
  <c r="CK217" i="123"/>
  <c r="MB71" i="93"/>
  <c r="CJ216" i="123"/>
  <c r="LS98" i="93"/>
  <c r="MC98" i="93"/>
  <c r="MN98" i="93" s="1"/>
  <c r="LS104" i="93"/>
  <c r="MC104" i="93"/>
  <c r="MN104" i="93" s="1"/>
  <c r="LS111" i="93"/>
  <c r="MC111" i="93"/>
  <c r="MN111" i="93" s="1"/>
  <c r="LT113" i="93"/>
  <c r="MD113" i="93"/>
  <c r="MO113" i="93" s="1"/>
  <c r="LS101" i="93"/>
  <c r="MC101" i="93"/>
  <c r="MN101" i="93" s="1"/>
  <c r="LS102" i="93"/>
  <c r="MC102" i="93"/>
  <c r="MN102" i="93" s="1"/>
  <c r="LS106" i="93"/>
  <c r="MC106" i="93"/>
  <c r="MN106" i="93" s="1"/>
  <c r="LS83" i="93"/>
  <c r="EC82" i="1" s="1"/>
  <c r="MC83" i="93"/>
  <c r="MN83" i="93" s="1"/>
  <c r="LR70" i="93"/>
  <c r="DP81" i="1" s="1"/>
  <c r="MB70" i="93"/>
  <c r="MM70" i="93" s="1"/>
  <c r="CJ215" i="123"/>
  <c r="MB73" i="93"/>
  <c r="LS109" i="93"/>
  <c r="MC109" i="93"/>
  <c r="MN109" i="93" s="1"/>
  <c r="LS94" i="93"/>
  <c r="EN82" i="1" s="1"/>
  <c r="MC94" i="93"/>
  <c r="MN94" i="93" s="1"/>
  <c r="LT88" i="93"/>
  <c r="EH83" i="1" s="1"/>
  <c r="MD88" i="93"/>
  <c r="MO88" i="93" s="1"/>
  <c r="LS110" i="93"/>
  <c r="MC110" i="93"/>
  <c r="MN110" i="93" s="1"/>
  <c r="LS108" i="93"/>
  <c r="MC108" i="93"/>
  <c r="MN108" i="93" s="1"/>
  <c r="LR99" i="93"/>
  <c r="MB99" i="93"/>
  <c r="MM99" i="93" s="1"/>
  <c r="LS100" i="93"/>
  <c r="MC100" i="93"/>
  <c r="MN100" i="93" s="1"/>
  <c r="LT96" i="93"/>
  <c r="EP83" i="1" s="1"/>
  <c r="MD96" i="93"/>
  <c r="MO96" i="93" s="1"/>
  <c r="LS103" i="93"/>
  <c r="MC103" i="93"/>
  <c r="MN103" i="93" s="1"/>
  <c r="LS105" i="93"/>
  <c r="MC105" i="93"/>
  <c r="MN105" i="93" s="1"/>
  <c r="LS107" i="93"/>
  <c r="MC107" i="93"/>
  <c r="MN107" i="93" s="1"/>
  <c r="LT95" i="93"/>
  <c r="EO83" i="1" s="1"/>
  <c r="MD95" i="93"/>
  <c r="MO95" i="93" s="1"/>
  <c r="DR81" i="1"/>
  <c r="CK137" i="123"/>
  <c r="CK157" i="123"/>
  <c r="CK180" i="123"/>
  <c r="CK187" i="123"/>
  <c r="DU80" i="1"/>
  <c r="CJ140" i="123"/>
  <c r="CJ160" i="123"/>
  <c r="DW80" i="1"/>
  <c r="CJ141" i="123"/>
  <c r="CJ161" i="123"/>
  <c r="EI79" i="1"/>
  <c r="CI150" i="123"/>
  <c r="CI170" i="123"/>
  <c r="DQ80" i="1"/>
  <c r="CJ136" i="123"/>
  <c r="CJ156" i="123"/>
  <c r="CJ186" i="123"/>
  <c r="CJ179" i="123"/>
  <c r="LR66" i="93"/>
  <c r="MC66" i="93" s="1"/>
  <c r="DL80" i="1"/>
  <c r="EB79" i="1"/>
  <c r="CI146" i="123"/>
  <c r="CI235" i="123"/>
  <c r="CI166" i="123"/>
  <c r="DN80" i="1"/>
  <c r="CJ133" i="123"/>
  <c r="DK81" i="1"/>
  <c r="CK132" i="123"/>
  <c r="CK176" i="123"/>
  <c r="CK227" i="123"/>
  <c r="CK233" i="123"/>
  <c r="CK184" i="123"/>
  <c r="DM80" i="1"/>
  <c r="CJ177" i="123"/>
  <c r="CJ185" i="123"/>
  <c r="CJ205" i="123"/>
  <c r="DO81" i="1"/>
  <c r="CK178" i="123"/>
  <c r="EM80" i="1"/>
  <c r="CJ153" i="123"/>
  <c r="CJ173" i="123"/>
  <c r="CK143" i="123"/>
  <c r="CK163" i="123"/>
  <c r="CK228" i="123"/>
  <c r="EJ81" i="1"/>
  <c r="CK171" i="123"/>
  <c r="CK151" i="123"/>
  <c r="CK230" i="123"/>
  <c r="EE80" i="1"/>
  <c r="CJ147" i="123"/>
  <c r="CJ167" i="123"/>
  <c r="EF80" i="1"/>
  <c r="CJ148" i="123"/>
  <c r="CJ168" i="123"/>
  <c r="LR74" i="93"/>
  <c r="MC74" i="93" s="1"/>
  <c r="CJ139" i="123"/>
  <c r="DT80" i="1"/>
  <c r="CJ159" i="123"/>
  <c r="EL81" i="1"/>
  <c r="CK152" i="123"/>
  <c r="CK172" i="123"/>
  <c r="EA80" i="1"/>
  <c r="CJ145" i="123"/>
  <c r="CJ165" i="123"/>
  <c r="CJ234" i="123"/>
  <c r="DZ80" i="1"/>
  <c r="CJ144" i="123"/>
  <c r="CJ164" i="123"/>
  <c r="CJ229" i="123"/>
  <c r="EG79" i="1"/>
  <c r="CI169" i="123"/>
  <c r="CI149" i="123"/>
  <c r="DX80" i="1"/>
  <c r="CJ142" i="123"/>
  <c r="CJ162" i="123"/>
  <c r="CJ188" i="123"/>
  <c r="DS80" i="1"/>
  <c r="CJ138" i="123"/>
  <c r="CJ158" i="123"/>
  <c r="CJ181" i="123"/>
  <c r="LR93" i="93"/>
  <c r="MC93" i="93" s="1"/>
  <c r="LR68" i="93"/>
  <c r="MC68" i="93" s="1"/>
  <c r="LR80" i="93"/>
  <c r="MC80" i="93" s="1"/>
  <c r="LR77" i="93"/>
  <c r="MC77" i="93" s="1"/>
  <c r="LS90" i="93"/>
  <c r="MD90" i="93" s="1"/>
  <c r="LR71" i="93"/>
  <c r="LS92" i="93"/>
  <c r="MD92" i="93" s="1"/>
  <c r="LS72" i="93"/>
  <c r="LR81" i="93"/>
  <c r="MC81" i="93" s="1"/>
  <c r="LR75" i="93"/>
  <c r="MC75" i="93" s="1"/>
  <c r="LS65" i="93"/>
  <c r="MD65" i="93" s="1"/>
  <c r="LQ87" i="93"/>
  <c r="MB87" i="93" s="1"/>
  <c r="LR67" i="93"/>
  <c r="MC67" i="93" s="1"/>
  <c r="LR85" i="93"/>
  <c r="MC85" i="93" s="1"/>
  <c r="LS69" i="93"/>
  <c r="MD69" i="93" s="1"/>
  <c r="LR86" i="93"/>
  <c r="MC86" i="93" s="1"/>
  <c r="LR78" i="93"/>
  <c r="MC78" i="93" s="1"/>
  <c r="LR73" i="93"/>
  <c r="LQ82" i="93"/>
  <c r="MB82" i="93" s="1"/>
  <c r="LQ89" i="93"/>
  <c r="MB89" i="93" s="1"/>
  <c r="O16" i="93"/>
  <c r="H16" i="93"/>
  <c r="I16" i="93" s="1"/>
  <c r="L16" i="93" s="1"/>
  <c r="O14" i="93"/>
  <c r="H14" i="93"/>
  <c r="I14" i="93" s="1"/>
  <c r="L14" i="93" s="1"/>
  <c r="MC76" i="93" l="1"/>
  <c r="MN76" i="93" s="1"/>
  <c r="MC91" i="93"/>
  <c r="MN91" i="93" s="1"/>
  <c r="LS91" i="93"/>
  <c r="EK82" i="1" s="1"/>
  <c r="LS84" i="93"/>
  <c r="ED82" i="1" s="1"/>
  <c r="MC112" i="93"/>
  <c r="MN112" i="93" s="1"/>
  <c r="LS97" i="93"/>
  <c r="EQ82" i="1" s="1"/>
  <c r="DY81" i="1"/>
  <c r="LS79" i="93"/>
  <c r="MD79" i="93" s="1"/>
  <c r="MC97" i="93"/>
  <c r="MN97" i="93" s="1"/>
  <c r="MC84" i="93"/>
  <c r="MN84" i="93" s="1"/>
  <c r="LS76" i="93"/>
  <c r="DV82" i="1" s="1"/>
  <c r="MD72" i="93"/>
  <c r="CL217" i="123"/>
  <c r="MC71" i="93"/>
  <c r="CK216" i="123"/>
  <c r="LT106" i="93"/>
  <c r="MD106" i="93"/>
  <c r="MO106" i="93" s="1"/>
  <c r="CK215" i="123"/>
  <c r="MC73" i="93"/>
  <c r="LT108" i="93"/>
  <c r="MD108" i="93"/>
  <c r="MO108" i="93" s="1"/>
  <c r="LU113" i="93"/>
  <c r="ME113" i="93"/>
  <c r="MP113" i="93" s="1"/>
  <c r="LT112" i="93"/>
  <c r="MD112" i="93"/>
  <c r="MO112" i="93" s="1"/>
  <c r="LT111" i="93"/>
  <c r="MD111" i="93"/>
  <c r="MO111" i="93" s="1"/>
  <c r="LT104" i="93"/>
  <c r="MD104" i="93"/>
  <c r="MO104" i="93" s="1"/>
  <c r="LT98" i="93"/>
  <c r="MD98" i="93"/>
  <c r="MO98" i="93" s="1"/>
  <c r="LT101" i="93"/>
  <c r="MD101" i="93"/>
  <c r="MO101" i="93" s="1"/>
  <c r="LU96" i="93"/>
  <c r="EP84" i="1" s="1"/>
  <c r="ME96" i="93"/>
  <c r="MP96" i="93" s="1"/>
  <c r="LT100" i="93"/>
  <c r="MD100" i="93"/>
  <c r="MO100" i="93" s="1"/>
  <c r="LU88" i="93"/>
  <c r="EH84" i="1" s="1"/>
  <c r="ME88" i="93"/>
  <c r="MP88" i="93" s="1"/>
  <c r="LT94" i="93"/>
  <c r="EN83" i="1" s="1"/>
  <c r="MD94" i="93"/>
  <c r="MO94" i="93" s="1"/>
  <c r="LT109" i="93"/>
  <c r="MD109" i="93"/>
  <c r="MO109" i="93" s="1"/>
  <c r="LS70" i="93"/>
  <c r="DP82" i="1" s="1"/>
  <c r="MC70" i="93"/>
  <c r="MN70" i="93" s="1"/>
  <c r="LT83" i="93"/>
  <c r="EC83" i="1" s="1"/>
  <c r="MD83" i="93"/>
  <c r="MO83" i="93" s="1"/>
  <c r="LT102" i="93"/>
  <c r="MD102" i="93"/>
  <c r="MO102" i="93" s="1"/>
  <c r="LU95" i="93"/>
  <c r="EO84" i="1" s="1"/>
  <c r="ME95" i="93"/>
  <c r="MP95" i="93" s="1"/>
  <c r="LT107" i="93"/>
  <c r="MD107" i="93"/>
  <c r="MO107" i="93" s="1"/>
  <c r="LT105" i="93"/>
  <c r="MD105" i="93"/>
  <c r="MO105" i="93" s="1"/>
  <c r="LT103" i="93"/>
  <c r="MD103" i="93"/>
  <c r="MO103" i="93" s="1"/>
  <c r="LS99" i="93"/>
  <c r="MC99" i="93"/>
  <c r="MN99" i="93" s="1"/>
  <c r="LT110" i="93"/>
  <c r="MD110" i="93"/>
  <c r="MO110" i="93" s="1"/>
  <c r="EF81" i="1"/>
  <c r="CK148" i="123"/>
  <c r="CK168" i="123"/>
  <c r="EG80" i="1"/>
  <c r="CJ149" i="123"/>
  <c r="CJ169" i="123"/>
  <c r="DR82" i="1"/>
  <c r="CL137" i="123"/>
  <c r="CL157" i="123"/>
  <c r="CL187" i="123"/>
  <c r="CL180" i="123"/>
  <c r="DW81" i="1"/>
  <c r="CK141" i="123"/>
  <c r="CK161" i="123"/>
  <c r="LS66" i="93"/>
  <c r="MD66" i="93" s="1"/>
  <c r="DL81" i="1"/>
  <c r="EE81" i="1"/>
  <c r="CK147" i="123"/>
  <c r="CK167" i="123"/>
  <c r="CL143" i="123"/>
  <c r="CL163" i="123"/>
  <c r="CL228" i="123"/>
  <c r="EB80" i="1"/>
  <c r="CJ146" i="123"/>
  <c r="CJ166" i="123"/>
  <c r="CJ235" i="123"/>
  <c r="DO82" i="1"/>
  <c r="CL178" i="123"/>
  <c r="DK82" i="1"/>
  <c r="CL132" i="123"/>
  <c r="CL176" i="123"/>
  <c r="CL184" i="123"/>
  <c r="CL227" i="123"/>
  <c r="CL233" i="123"/>
  <c r="EL82" i="1"/>
  <c r="CL152" i="123"/>
  <c r="CL172" i="123"/>
  <c r="DZ81" i="1"/>
  <c r="CK164" i="123"/>
  <c r="CK144" i="123"/>
  <c r="CK229" i="123"/>
  <c r="CK158" i="123"/>
  <c r="CK138" i="123"/>
  <c r="DS81" i="1"/>
  <c r="CK181" i="123"/>
  <c r="DU81" i="1"/>
  <c r="CK140" i="123"/>
  <c r="CK160" i="123"/>
  <c r="DQ81" i="1"/>
  <c r="CK156" i="123"/>
  <c r="CK136" i="123"/>
  <c r="CK179" i="123"/>
  <c r="CK186" i="123"/>
  <c r="DN81" i="1"/>
  <c r="CK133" i="123"/>
  <c r="LS74" i="93"/>
  <c r="MD74" i="93" s="1"/>
  <c r="DT81" i="1"/>
  <c r="CK139" i="123"/>
  <c r="CK159" i="123"/>
  <c r="EI80" i="1"/>
  <c r="CJ150" i="123"/>
  <c r="CJ170" i="123"/>
  <c r="DX81" i="1"/>
  <c r="CK142" i="123"/>
  <c r="CK162" i="123"/>
  <c r="CK188" i="123"/>
  <c r="DM81" i="1"/>
  <c r="CK185" i="123"/>
  <c r="CK205" i="123"/>
  <c r="CK177" i="123"/>
  <c r="CK145" i="123"/>
  <c r="EA81" i="1"/>
  <c r="CK165" i="123"/>
  <c r="CK234" i="123"/>
  <c r="EJ82" i="1"/>
  <c r="CL151" i="123"/>
  <c r="CL171" i="123"/>
  <c r="CL230" i="123"/>
  <c r="EM81" i="1"/>
  <c r="CK153" i="123"/>
  <c r="CK173" i="123"/>
  <c r="LS86" i="93"/>
  <c r="MD86" i="93" s="1"/>
  <c r="LS67" i="93"/>
  <c r="MD67" i="93" s="1"/>
  <c r="LR87" i="93"/>
  <c r="MC87" i="93" s="1"/>
  <c r="LS85" i="93"/>
  <c r="MD85" i="93" s="1"/>
  <c r="LS75" i="93"/>
  <c r="MD75" i="93" s="1"/>
  <c r="LT72" i="93"/>
  <c r="LT92" i="93"/>
  <c r="ME92" i="93" s="1"/>
  <c r="LS71" i="93"/>
  <c r="LS93" i="93"/>
  <c r="MD93" i="93" s="1"/>
  <c r="LR82" i="93"/>
  <c r="MC82" i="93" s="1"/>
  <c r="LS78" i="93"/>
  <c r="MD78" i="93" s="1"/>
  <c r="LT90" i="93"/>
  <c r="ME90" i="93" s="1"/>
  <c r="LS80" i="93"/>
  <c r="MD80" i="93" s="1"/>
  <c r="LR89" i="93"/>
  <c r="MC89" i="93" s="1"/>
  <c r="LS73" i="93"/>
  <c r="LT69" i="93"/>
  <c r="ME69" i="93" s="1"/>
  <c r="LT65" i="93"/>
  <c r="ME65" i="93" s="1"/>
  <c r="LS81" i="93"/>
  <c r="MD81" i="93" s="1"/>
  <c r="LS77" i="93"/>
  <c r="MD77" i="93" s="1"/>
  <c r="LS68" i="93"/>
  <c r="MD68" i="93" s="1"/>
  <c r="MD84" i="93" l="1"/>
  <c r="MO84" i="93" s="1"/>
  <c r="DY82" i="1"/>
  <c r="LT84" i="93"/>
  <c r="ED83" i="1" s="1"/>
  <c r="MD97" i="93"/>
  <c r="MO97" i="93" s="1"/>
  <c r="LT79" i="93"/>
  <c r="ME79" i="93" s="1"/>
  <c r="LT97" i="93"/>
  <c r="EQ83" i="1" s="1"/>
  <c r="MD91" i="93"/>
  <c r="MO91" i="93" s="1"/>
  <c r="LT91" i="93"/>
  <c r="EK83" i="1" s="1"/>
  <c r="MD76" i="93"/>
  <c r="MO76" i="93" s="1"/>
  <c r="LT76" i="93"/>
  <c r="DV83" i="1" s="1"/>
  <c r="ME72" i="93"/>
  <c r="CM217" i="123"/>
  <c r="MD71" i="93"/>
  <c r="CL216" i="123"/>
  <c r="LU110" i="93"/>
  <c r="ME110" i="93"/>
  <c r="MP110" i="93" s="1"/>
  <c r="LT99" i="93"/>
  <c r="MD99" i="93"/>
  <c r="MO99" i="93" s="1"/>
  <c r="LU103" i="93"/>
  <c r="ME103" i="93"/>
  <c r="MP103" i="93" s="1"/>
  <c r="LU107" i="93"/>
  <c r="ME107" i="93"/>
  <c r="MP107" i="93" s="1"/>
  <c r="LU102" i="93"/>
  <c r="ME102" i="93"/>
  <c r="MP102" i="93" s="1"/>
  <c r="LU109" i="93"/>
  <c r="ME109" i="93"/>
  <c r="MP109" i="93" s="1"/>
  <c r="CL215" i="123"/>
  <c r="MD73" i="93"/>
  <c r="LV88" i="93"/>
  <c r="EH85" i="1" s="1"/>
  <c r="MF88" i="93"/>
  <c r="MQ88" i="93" s="1"/>
  <c r="LV96" i="93"/>
  <c r="EP85" i="1" s="1"/>
  <c r="MF96" i="93"/>
  <c r="MQ96" i="93" s="1"/>
  <c r="LU98" i="93"/>
  <c r="ME98" i="93"/>
  <c r="MP98" i="93" s="1"/>
  <c r="LU111" i="93"/>
  <c r="ME111" i="93"/>
  <c r="MP111" i="93" s="1"/>
  <c r="LU105" i="93"/>
  <c r="ME105" i="93"/>
  <c r="MP105" i="93" s="1"/>
  <c r="LV95" i="93"/>
  <c r="EO85" i="1" s="1"/>
  <c r="MF95" i="93"/>
  <c r="MQ95" i="93" s="1"/>
  <c r="LU83" i="93"/>
  <c r="EC84" i="1" s="1"/>
  <c r="ME83" i="93"/>
  <c r="MP83" i="93" s="1"/>
  <c r="LT70" i="93"/>
  <c r="DP83" i="1" s="1"/>
  <c r="MD70" i="93"/>
  <c r="MO70" i="93" s="1"/>
  <c r="LU94" i="93"/>
  <c r="EN84" i="1" s="1"/>
  <c r="ME94" i="93"/>
  <c r="MP94" i="93" s="1"/>
  <c r="LU100" i="93"/>
  <c r="ME100" i="93"/>
  <c r="MP100" i="93" s="1"/>
  <c r="LU101" i="93"/>
  <c r="ME101" i="93"/>
  <c r="MP101" i="93" s="1"/>
  <c r="LU104" i="93"/>
  <c r="ME104" i="93"/>
  <c r="MP104" i="93" s="1"/>
  <c r="LU112" i="93"/>
  <c r="ME112" i="93"/>
  <c r="MP112" i="93" s="1"/>
  <c r="LV113" i="93"/>
  <c r="MF113" i="93"/>
  <c r="MQ113" i="93" s="1"/>
  <c r="LU108" i="93"/>
  <c r="ME108" i="93"/>
  <c r="MP108" i="93" s="1"/>
  <c r="LU106" i="93"/>
  <c r="ME106" i="93"/>
  <c r="MP106" i="93" s="1"/>
  <c r="DQ82" i="1"/>
  <c r="CL136" i="123"/>
  <c r="CL179" i="123"/>
  <c r="CL156" i="123"/>
  <c r="CL186" i="123"/>
  <c r="EA82" i="1"/>
  <c r="CL145" i="123"/>
  <c r="CL165" i="123"/>
  <c r="CL234" i="123"/>
  <c r="EB81" i="1"/>
  <c r="CK166" i="123"/>
  <c r="CK235" i="123"/>
  <c r="CK146" i="123"/>
  <c r="DR83" i="1"/>
  <c r="CM137" i="123"/>
  <c r="CM157" i="123"/>
  <c r="CM180" i="123"/>
  <c r="CM187" i="123"/>
  <c r="DM82" i="1"/>
  <c r="CL177" i="123"/>
  <c r="CL185" i="123"/>
  <c r="CL205" i="123"/>
  <c r="LT66" i="93"/>
  <c r="ME66" i="93" s="1"/>
  <c r="DL82" i="1"/>
  <c r="DN82" i="1"/>
  <c r="CL133" i="123"/>
  <c r="DW82" i="1"/>
  <c r="CL141" i="123"/>
  <c r="CL161" i="123"/>
  <c r="EI81" i="1"/>
  <c r="CK150" i="123"/>
  <c r="CK170" i="123"/>
  <c r="DK83" i="1"/>
  <c r="CM132" i="123"/>
  <c r="CM176" i="123"/>
  <c r="CM184" i="123"/>
  <c r="CM227" i="123"/>
  <c r="CM233" i="123"/>
  <c r="CL144" i="123"/>
  <c r="DZ82" i="1"/>
  <c r="CL164" i="123"/>
  <c r="CL229" i="123"/>
  <c r="EM82" i="1"/>
  <c r="CL153" i="123"/>
  <c r="CL173" i="123"/>
  <c r="DU82" i="1"/>
  <c r="CL140" i="123"/>
  <c r="CL160" i="123"/>
  <c r="EF82" i="1"/>
  <c r="CL148" i="123"/>
  <c r="CL168" i="123"/>
  <c r="LT74" i="93"/>
  <c r="ME74" i="93" s="1"/>
  <c r="DT82" i="1"/>
  <c r="CL139" i="123"/>
  <c r="CL159" i="123"/>
  <c r="EJ83" i="1"/>
  <c r="CM151" i="123"/>
  <c r="CM171" i="123"/>
  <c r="CM230" i="123"/>
  <c r="EE82" i="1"/>
  <c r="CL147" i="123"/>
  <c r="CL167" i="123"/>
  <c r="CM143" i="123"/>
  <c r="CM163" i="123"/>
  <c r="CM228" i="123"/>
  <c r="DO83" i="1"/>
  <c r="CM178" i="123"/>
  <c r="DS82" i="1"/>
  <c r="CL138" i="123"/>
  <c r="CL181" i="123"/>
  <c r="CL158" i="123"/>
  <c r="DX82" i="1"/>
  <c r="CL142" i="123"/>
  <c r="CL162" i="123"/>
  <c r="CL188" i="123"/>
  <c r="EL83" i="1"/>
  <c r="CM172" i="123"/>
  <c r="CM152" i="123"/>
  <c r="EG81" i="1"/>
  <c r="CK149" i="123"/>
  <c r="CK169" i="123"/>
  <c r="LT68" i="93"/>
  <c r="ME68" i="93" s="1"/>
  <c r="LT77" i="93"/>
  <c r="ME77" i="93" s="1"/>
  <c r="LS89" i="93"/>
  <c r="MD89" i="93" s="1"/>
  <c r="LT71" i="93"/>
  <c r="LU72" i="93"/>
  <c r="LT81" i="93"/>
  <c r="ME81" i="93" s="1"/>
  <c r="LU65" i="93"/>
  <c r="MF65" i="93" s="1"/>
  <c r="LU92" i="93"/>
  <c r="MF92" i="93" s="1"/>
  <c r="LU90" i="93"/>
  <c r="MF90" i="93" s="1"/>
  <c r="LS87" i="93"/>
  <c r="MD87" i="93" s="1"/>
  <c r="LU69" i="93"/>
  <c r="MF69" i="93" s="1"/>
  <c r="LT80" i="93"/>
  <c r="ME80" i="93" s="1"/>
  <c r="LT78" i="93"/>
  <c r="ME78" i="93" s="1"/>
  <c r="LT75" i="93"/>
  <c r="ME75" i="93" s="1"/>
  <c r="LT85" i="93"/>
  <c r="ME85" i="93" s="1"/>
  <c r="LT67" i="93"/>
  <c r="ME67" i="93" s="1"/>
  <c r="LT86" i="93"/>
  <c r="ME86" i="93" s="1"/>
  <c r="LT73" i="93"/>
  <c r="LS82" i="93"/>
  <c r="MD82" i="93" s="1"/>
  <c r="LT93" i="93"/>
  <c r="ME93" i="93" s="1"/>
  <c r="LU84" i="93" l="1"/>
  <c r="ED84" i="1" s="1"/>
  <c r="DY83" i="1"/>
  <c r="LU79" i="93"/>
  <c r="MF79" i="93" s="1"/>
  <c r="ME91" i="93"/>
  <c r="MP91" i="93" s="1"/>
  <c r="LU91" i="93"/>
  <c r="EK84" i="1" s="1"/>
  <c r="ME97" i="93"/>
  <c r="MP97" i="93" s="1"/>
  <c r="LU97" i="93"/>
  <c r="EQ84" i="1" s="1"/>
  <c r="ME84" i="93"/>
  <c r="MP84" i="93" s="1"/>
  <c r="LU76" i="93"/>
  <c r="DV84" i="1" s="1"/>
  <c r="ME76" i="93"/>
  <c r="MP76" i="93" s="1"/>
  <c r="MF72" i="93"/>
  <c r="CN217" i="123"/>
  <c r="ME71" i="93"/>
  <c r="CM216" i="123"/>
  <c r="CM215" i="123"/>
  <c r="ME73" i="93"/>
  <c r="LV106" i="93"/>
  <c r="MF106" i="93"/>
  <c r="MQ106" i="93" s="1"/>
  <c r="LV108" i="93"/>
  <c r="MF108" i="93"/>
  <c r="MQ108" i="93" s="1"/>
  <c r="LW113" i="93"/>
  <c r="MG113" i="93"/>
  <c r="MR113" i="93" s="1"/>
  <c r="LV112" i="93"/>
  <c r="MF112" i="93"/>
  <c r="MQ112" i="93" s="1"/>
  <c r="LV104" i="93"/>
  <c r="MF104" i="93"/>
  <c r="MQ104" i="93" s="1"/>
  <c r="LW95" i="93"/>
  <c r="EO86" i="1" s="1"/>
  <c r="MG95" i="93"/>
  <c r="MR95" i="93" s="1"/>
  <c r="LV105" i="93"/>
  <c r="MF105" i="93"/>
  <c r="MQ105" i="93" s="1"/>
  <c r="LW96" i="93"/>
  <c r="EP86" i="1" s="1"/>
  <c r="MG96" i="93"/>
  <c r="MR96" i="93" s="1"/>
  <c r="LV94" i="93"/>
  <c r="EN85" i="1" s="1"/>
  <c r="MF94" i="93"/>
  <c r="MQ94" i="93" s="1"/>
  <c r="LV83" i="93"/>
  <c r="EC85" i="1" s="1"/>
  <c r="MF83" i="93"/>
  <c r="MQ83" i="93" s="1"/>
  <c r="LW88" i="93"/>
  <c r="EH86" i="1" s="1"/>
  <c r="MG88" i="93"/>
  <c r="MR88" i="93" s="1"/>
  <c r="LV102" i="93"/>
  <c r="MF102" i="93"/>
  <c r="MQ102" i="93" s="1"/>
  <c r="LV107" i="93"/>
  <c r="MF107" i="93"/>
  <c r="MQ107" i="93" s="1"/>
  <c r="LV103" i="93"/>
  <c r="MF103" i="93"/>
  <c r="MQ103" i="93" s="1"/>
  <c r="LV110" i="93"/>
  <c r="MF110" i="93"/>
  <c r="MQ110" i="93" s="1"/>
  <c r="LV101" i="93"/>
  <c r="MF101" i="93"/>
  <c r="MQ101" i="93" s="1"/>
  <c r="LV100" i="93"/>
  <c r="MF100" i="93"/>
  <c r="MQ100" i="93" s="1"/>
  <c r="LV111" i="93"/>
  <c r="MF111" i="93"/>
  <c r="MQ111" i="93" s="1"/>
  <c r="LV98" i="93"/>
  <c r="MF98" i="93"/>
  <c r="MQ98" i="93" s="1"/>
  <c r="LU70" i="93"/>
  <c r="DP84" i="1" s="1"/>
  <c r="ME70" i="93"/>
  <c r="MP70" i="93" s="1"/>
  <c r="LV109" i="93"/>
  <c r="MF109" i="93"/>
  <c r="MQ109" i="93" s="1"/>
  <c r="LU99" i="93"/>
  <c r="ME99" i="93"/>
  <c r="MP99" i="93" s="1"/>
  <c r="DZ83" i="1"/>
  <c r="CM144" i="123"/>
  <c r="CM164" i="123"/>
  <c r="CM229" i="123"/>
  <c r="EL84" i="1"/>
  <c r="CN152" i="123"/>
  <c r="CN172" i="123"/>
  <c r="CM136" i="123"/>
  <c r="DQ83" i="1"/>
  <c r="CM156" i="123"/>
  <c r="CM179" i="123"/>
  <c r="CM186" i="123"/>
  <c r="DN83" i="1"/>
  <c r="CM133" i="123"/>
  <c r="LU74" i="93"/>
  <c r="MF74" i="93" s="1"/>
  <c r="DT83" i="1"/>
  <c r="CM159" i="123"/>
  <c r="CM139" i="123"/>
  <c r="EM83" i="1"/>
  <c r="CM153" i="123"/>
  <c r="CM173" i="123"/>
  <c r="DM83" i="1"/>
  <c r="CM177" i="123"/>
  <c r="CM205" i="123"/>
  <c r="CM185" i="123"/>
  <c r="EB82" i="1"/>
  <c r="CL146" i="123"/>
  <c r="CL166" i="123"/>
  <c r="CL235" i="123"/>
  <c r="EE83" i="1"/>
  <c r="CM167" i="123"/>
  <c r="CM147" i="123"/>
  <c r="DO84" i="1"/>
  <c r="CN178" i="123"/>
  <c r="DK84" i="1"/>
  <c r="CN132" i="123"/>
  <c r="CN176" i="123"/>
  <c r="CN184" i="123"/>
  <c r="CN227" i="123"/>
  <c r="CN233" i="123"/>
  <c r="CN143" i="123"/>
  <c r="CN163" i="123"/>
  <c r="CN228" i="123"/>
  <c r="LU66" i="93"/>
  <c r="MF66" i="93" s="1"/>
  <c r="DL83" i="1"/>
  <c r="DS83" i="1"/>
  <c r="CM138" i="123"/>
  <c r="CM158" i="123"/>
  <c r="CM181" i="123"/>
  <c r="CM140" i="123"/>
  <c r="DU83" i="1"/>
  <c r="CM160" i="123"/>
  <c r="EG82" i="1"/>
  <c r="CL149" i="123"/>
  <c r="CL169" i="123"/>
  <c r="EA83" i="1"/>
  <c r="CM145" i="123"/>
  <c r="CM165" i="123"/>
  <c r="CM234" i="123"/>
  <c r="EI82" i="1"/>
  <c r="CL150" i="123"/>
  <c r="CL170" i="123"/>
  <c r="EF83" i="1"/>
  <c r="CM148" i="123"/>
  <c r="CM168" i="123"/>
  <c r="DX83" i="1"/>
  <c r="CM142" i="123"/>
  <c r="CM188" i="123"/>
  <c r="CM162" i="123"/>
  <c r="EJ84" i="1"/>
  <c r="CN151" i="123"/>
  <c r="CN171" i="123"/>
  <c r="CN230" i="123"/>
  <c r="DR84" i="1"/>
  <c r="CN137" i="123"/>
  <c r="CN180" i="123"/>
  <c r="CN157" i="123"/>
  <c r="CN187" i="123"/>
  <c r="DW83" i="1"/>
  <c r="CM161" i="123"/>
  <c r="CM141" i="123"/>
  <c r="LT82" i="93"/>
  <c r="ME82" i="93" s="1"/>
  <c r="LU73" i="93"/>
  <c r="LU86" i="93"/>
  <c r="MF86" i="93" s="1"/>
  <c r="LU80" i="93"/>
  <c r="MF80" i="93" s="1"/>
  <c r="LV90" i="93"/>
  <c r="MG90" i="93" s="1"/>
  <c r="LT89" i="93"/>
  <c r="ME89" i="93" s="1"/>
  <c r="LU75" i="93"/>
  <c r="MF75" i="93" s="1"/>
  <c r="LV65" i="93"/>
  <c r="MG65" i="93" s="1"/>
  <c r="LU67" i="93"/>
  <c r="MF67" i="93" s="1"/>
  <c r="LV92" i="93"/>
  <c r="MG92" i="93" s="1"/>
  <c r="LU77" i="93"/>
  <c r="MF77" i="93" s="1"/>
  <c r="LU93" i="93"/>
  <c r="MF93" i="93" s="1"/>
  <c r="LU85" i="93"/>
  <c r="MF85" i="93" s="1"/>
  <c r="LU78" i="93"/>
  <c r="MF78" i="93" s="1"/>
  <c r="LV69" i="93"/>
  <c r="MG69" i="93" s="1"/>
  <c r="LT87" i="93"/>
  <c r="ME87" i="93" s="1"/>
  <c r="LU81" i="93"/>
  <c r="MF81" i="93" s="1"/>
  <c r="LV72" i="93"/>
  <c r="LU71" i="93"/>
  <c r="LU68" i="93"/>
  <c r="MF68" i="93" s="1"/>
  <c r="LV91" i="93" l="1"/>
  <c r="EK85" i="1" s="1"/>
  <c r="MF84" i="93"/>
  <c r="MQ84" i="93" s="1"/>
  <c r="LV84" i="93"/>
  <c r="ED85" i="1" s="1"/>
  <c r="MF91" i="93"/>
  <c r="MQ91" i="93" s="1"/>
  <c r="MF97" i="93"/>
  <c r="MQ97" i="93" s="1"/>
  <c r="DY84" i="1"/>
  <c r="LV79" i="93"/>
  <c r="MG79" i="93" s="1"/>
  <c r="MF76" i="93"/>
  <c r="MQ76" i="93" s="1"/>
  <c r="LV76" i="93"/>
  <c r="DV85" i="1" s="1"/>
  <c r="LV97" i="93"/>
  <c r="EQ85" i="1" s="1"/>
  <c r="MG72" i="93"/>
  <c r="CO217" i="123"/>
  <c r="MF71" i="93"/>
  <c r="CN216" i="123"/>
  <c r="LV99" i="93"/>
  <c r="MF99" i="93"/>
  <c r="MQ99" i="93" s="1"/>
  <c r="LW98" i="93"/>
  <c r="MG98" i="93"/>
  <c r="MR98" i="93" s="1"/>
  <c r="LW91" i="93"/>
  <c r="EK86" i="1" s="1"/>
  <c r="MG91" i="93"/>
  <c r="MR91" i="93" s="1"/>
  <c r="LW84" i="93"/>
  <c r="ED86" i="1" s="1"/>
  <c r="LW110" i="93"/>
  <c r="MG110" i="93"/>
  <c r="MR110" i="93" s="1"/>
  <c r="LW107" i="93"/>
  <c r="MG107" i="93"/>
  <c r="MR107" i="93" s="1"/>
  <c r="LW94" i="93"/>
  <c r="EN86" i="1" s="1"/>
  <c r="MG94" i="93"/>
  <c r="MR94" i="93" s="1"/>
  <c r="LW105" i="93"/>
  <c r="MG105" i="93"/>
  <c r="MR105" i="93" s="1"/>
  <c r="LW104" i="93"/>
  <c r="MG104" i="93"/>
  <c r="MR104" i="93" s="1"/>
  <c r="LX113" i="93"/>
  <c r="DQ113" i="93" s="1"/>
  <c r="MH113" i="93"/>
  <c r="MS113" i="93" s="1"/>
  <c r="CN215" i="123"/>
  <c r="MF73" i="93"/>
  <c r="LW109" i="93"/>
  <c r="MG109" i="93"/>
  <c r="MR109" i="93" s="1"/>
  <c r="LV70" i="93"/>
  <c r="DP85" i="1" s="1"/>
  <c r="MF70" i="93"/>
  <c r="MQ70" i="93" s="1"/>
  <c r="LW111" i="93"/>
  <c r="MG111" i="93"/>
  <c r="MR111" i="93" s="1"/>
  <c r="LW101" i="93"/>
  <c r="MG101" i="93"/>
  <c r="MR101" i="93" s="1"/>
  <c r="LW103" i="93"/>
  <c r="MG103" i="93"/>
  <c r="MR103" i="93" s="1"/>
  <c r="LX88" i="93"/>
  <c r="EH87" i="1" s="1"/>
  <c r="CJ96" i="130" s="1"/>
  <c r="MH88" i="93"/>
  <c r="MS88" i="93" s="1"/>
  <c r="LW83" i="93"/>
  <c r="EC86" i="1" s="1"/>
  <c r="MG83" i="93"/>
  <c r="MR83" i="93" s="1"/>
  <c r="LX96" i="93"/>
  <c r="MH96" i="93"/>
  <c r="MS96" i="93" s="1"/>
  <c r="LX95" i="93"/>
  <c r="MH95" i="93"/>
  <c r="MS95" i="93" s="1"/>
  <c r="LW112" i="93"/>
  <c r="MG112" i="93"/>
  <c r="MR112" i="93" s="1"/>
  <c r="LW108" i="93"/>
  <c r="MG108" i="93"/>
  <c r="MR108" i="93" s="1"/>
  <c r="LW106" i="93"/>
  <c r="MG106" i="93"/>
  <c r="MR106" i="93" s="1"/>
  <c r="LW100" i="93"/>
  <c r="MG100" i="93"/>
  <c r="MR100" i="93" s="1"/>
  <c r="LW102" i="93"/>
  <c r="MG102" i="93"/>
  <c r="MR102" i="93" s="1"/>
  <c r="DN84" i="1"/>
  <c r="CN133" i="123"/>
  <c r="CN142" i="123"/>
  <c r="CN162" i="123"/>
  <c r="DX84" i="1"/>
  <c r="CN188" i="123"/>
  <c r="EA84" i="1"/>
  <c r="CN145" i="123"/>
  <c r="CN165" i="123"/>
  <c r="CN234" i="123"/>
  <c r="EE84" i="1"/>
  <c r="CN147" i="123"/>
  <c r="CN167" i="123"/>
  <c r="DM84" i="1"/>
  <c r="CN177" i="123"/>
  <c r="CN185" i="123"/>
  <c r="CN205" i="123"/>
  <c r="CO143" i="123"/>
  <c r="CO163" i="123"/>
  <c r="CO228" i="123"/>
  <c r="DS84" i="1"/>
  <c r="CN138" i="123"/>
  <c r="CN158" i="123"/>
  <c r="CN181" i="123"/>
  <c r="EG83" i="1"/>
  <c r="CM169" i="123"/>
  <c r="CM149" i="123"/>
  <c r="EM84" i="1"/>
  <c r="CN153" i="123"/>
  <c r="CN173" i="123"/>
  <c r="DK85" i="1"/>
  <c r="CO176" i="123"/>
  <c r="CO132" i="123"/>
  <c r="CO184" i="123"/>
  <c r="CO227" i="123"/>
  <c r="CO233" i="123"/>
  <c r="EJ85" i="1"/>
  <c r="CO151" i="123"/>
  <c r="CO171" i="123"/>
  <c r="CO230" i="123"/>
  <c r="EB83" i="1"/>
  <c r="CM146" i="123"/>
  <c r="CM166" i="123"/>
  <c r="CM235" i="123"/>
  <c r="LV74" i="93"/>
  <c r="MG74" i="93" s="1"/>
  <c r="CN139" i="123"/>
  <c r="DT84" i="1"/>
  <c r="CN159" i="123"/>
  <c r="DQ84" i="1"/>
  <c r="CN136" i="123"/>
  <c r="CN156" i="123"/>
  <c r="CN186" i="123"/>
  <c r="CN179" i="123"/>
  <c r="DO85" i="1"/>
  <c r="CO178" i="123"/>
  <c r="DW84" i="1"/>
  <c r="CN141" i="123"/>
  <c r="CN161" i="123"/>
  <c r="DU84" i="1"/>
  <c r="CN140" i="123"/>
  <c r="CN160" i="123"/>
  <c r="DZ84" i="1"/>
  <c r="CN144" i="123"/>
  <c r="CN164" i="123"/>
  <c r="CN229" i="123"/>
  <c r="DR85" i="1"/>
  <c r="CO137" i="123"/>
  <c r="CO187" i="123"/>
  <c r="CO180" i="123"/>
  <c r="CO157" i="123"/>
  <c r="EL85" i="1"/>
  <c r="CO152" i="123"/>
  <c r="CO172" i="123"/>
  <c r="EI83" i="1"/>
  <c r="CM150" i="123"/>
  <c r="CM170" i="123"/>
  <c r="CN148" i="123"/>
  <c r="CN168" i="123"/>
  <c r="EF84" i="1"/>
  <c r="LV66" i="93"/>
  <c r="MG66" i="93" s="1"/>
  <c r="DL84" i="1"/>
  <c r="LW90" i="93"/>
  <c r="MH90" i="93" s="1"/>
  <c r="LV68" i="93"/>
  <c r="MG68" i="93" s="1"/>
  <c r="LW92" i="93"/>
  <c r="MH92" i="93" s="1"/>
  <c r="LV73" i="93"/>
  <c r="LV93" i="93"/>
  <c r="MG93" i="93" s="1"/>
  <c r="LW72" i="93"/>
  <c r="LU87" i="93"/>
  <c r="MF87" i="93" s="1"/>
  <c r="LW69" i="93"/>
  <c r="MH69" i="93" s="1"/>
  <c r="LV67" i="93"/>
  <c r="MG67" i="93" s="1"/>
  <c r="LV71" i="93"/>
  <c r="LV78" i="93"/>
  <c r="MG78" i="93" s="1"/>
  <c r="LW65" i="93"/>
  <c r="MH65" i="93" s="1"/>
  <c r="LU82" i="93"/>
  <c r="MF82" i="93" s="1"/>
  <c r="LV81" i="93"/>
  <c r="MG81" i="93" s="1"/>
  <c r="LV85" i="93"/>
  <c r="MG85" i="93" s="1"/>
  <c r="LV77" i="93"/>
  <c r="MG77" i="93" s="1"/>
  <c r="LV75" i="93"/>
  <c r="MG75" i="93" s="1"/>
  <c r="LU89" i="93"/>
  <c r="MF89" i="93" s="1"/>
  <c r="LV80" i="93"/>
  <c r="MG80" i="93" s="1"/>
  <c r="LV86" i="93"/>
  <c r="MG86" i="93" s="1"/>
  <c r="MG84" i="93" l="1"/>
  <c r="MR84" i="93" s="1"/>
  <c r="LW76" i="93"/>
  <c r="DV86" i="1" s="1"/>
  <c r="MG76" i="93"/>
  <c r="MR76" i="93" s="1"/>
  <c r="LW79" i="93"/>
  <c r="MH79" i="93" s="1"/>
  <c r="MG97" i="93"/>
  <c r="MR97" i="93" s="1"/>
  <c r="DY85" i="1"/>
  <c r="LW97" i="93"/>
  <c r="EQ86" i="1" s="1"/>
  <c r="DM95" i="93"/>
  <c r="EO87" i="1"/>
  <c r="CJ103" i="130" s="1"/>
  <c r="MI96" i="93"/>
  <c r="MT96" i="93" s="1"/>
  <c r="EP87" i="1"/>
  <c r="CJ104" i="130" s="1"/>
  <c r="MH72" i="93"/>
  <c r="CP217" i="123"/>
  <c r="MG71" i="93"/>
  <c r="CO216" i="123"/>
  <c r="DM96" i="93"/>
  <c r="DQ96" i="93"/>
  <c r="LX112" i="93"/>
  <c r="MI112" i="93" s="1"/>
  <c r="MT112" i="93" s="1"/>
  <c r="MH112" i="93"/>
  <c r="MS112" i="93" s="1"/>
  <c r="LW70" i="93"/>
  <c r="DP86" i="1" s="1"/>
  <c r="MG70" i="93"/>
  <c r="MR70" i="93" s="1"/>
  <c r="LX105" i="93"/>
  <c r="MH105" i="93"/>
  <c r="MS105" i="93" s="1"/>
  <c r="LX94" i="93"/>
  <c r="EN87" i="1" s="1"/>
  <c r="CJ102" i="130" s="1"/>
  <c r="MH94" i="93"/>
  <c r="MS94" i="93" s="1"/>
  <c r="LX107" i="93"/>
  <c r="DQ107" i="93" s="1"/>
  <c r="MH107" i="93"/>
  <c r="MS107" i="93" s="1"/>
  <c r="LX100" i="93"/>
  <c r="DM100" i="93" s="1"/>
  <c r="MH100" i="93"/>
  <c r="MS100" i="93" s="1"/>
  <c r="LX106" i="93"/>
  <c r="MI106" i="93" s="1"/>
  <c r="MT106" i="93" s="1"/>
  <c r="MH106" i="93"/>
  <c r="MS106" i="93" s="1"/>
  <c r="LX108" i="93"/>
  <c r="MI108" i="93" s="1"/>
  <c r="MT108" i="93" s="1"/>
  <c r="MH108" i="93"/>
  <c r="MS108" i="93" s="1"/>
  <c r="MI88" i="93"/>
  <c r="MT88" i="93" s="1"/>
  <c r="DQ88" i="93"/>
  <c r="LX103" i="93"/>
  <c r="MI103" i="93" s="1"/>
  <c r="MT103" i="93" s="1"/>
  <c r="MH103" i="93"/>
  <c r="MS103" i="93" s="1"/>
  <c r="LX104" i="93"/>
  <c r="MI104" i="93" s="1"/>
  <c r="MT104" i="93" s="1"/>
  <c r="MH104" i="93"/>
  <c r="MS104" i="93" s="1"/>
  <c r="LX84" i="93"/>
  <c r="ED87" i="1" s="1"/>
  <c r="CJ92" i="130" s="1"/>
  <c r="MH84" i="93"/>
  <c r="MS84" i="93" s="1"/>
  <c r="LX98" i="93"/>
  <c r="MH98" i="93"/>
  <c r="MS98" i="93" s="1"/>
  <c r="CO215" i="123"/>
  <c r="MG73" i="93"/>
  <c r="LX83" i="93"/>
  <c r="MH83" i="93"/>
  <c r="MS83" i="93" s="1"/>
  <c r="LX111" i="93"/>
  <c r="DM111" i="93" s="1"/>
  <c r="MH111" i="93"/>
  <c r="MS111" i="93" s="1"/>
  <c r="LX109" i="93"/>
  <c r="MH109" i="93"/>
  <c r="MS109" i="93" s="1"/>
  <c r="MI113" i="93"/>
  <c r="MT113" i="93" s="1"/>
  <c r="DM113" i="93"/>
  <c r="LX102" i="93"/>
  <c r="MH102" i="93"/>
  <c r="MS102" i="93" s="1"/>
  <c r="DQ108" i="93"/>
  <c r="MI95" i="93"/>
  <c r="MT95" i="93" s="1"/>
  <c r="DQ95" i="93"/>
  <c r="DM88" i="93"/>
  <c r="LX101" i="93"/>
  <c r="DQ101" i="93" s="1"/>
  <c r="MH101" i="93"/>
  <c r="MS101" i="93" s="1"/>
  <c r="LX110" i="93"/>
  <c r="MH110" i="93"/>
  <c r="MS110" i="93" s="1"/>
  <c r="LX91" i="93"/>
  <c r="MH91" i="93"/>
  <c r="MS91" i="93" s="1"/>
  <c r="LW99" i="93"/>
  <c r="MG99" i="93"/>
  <c r="MR99" i="93" s="1"/>
  <c r="EB84" i="1"/>
  <c r="CN146" i="123"/>
  <c r="CN166" i="123"/>
  <c r="CN235" i="123"/>
  <c r="DY86" i="1"/>
  <c r="CP143" i="123"/>
  <c r="CP163" i="123"/>
  <c r="CP228" i="123"/>
  <c r="DR86" i="1"/>
  <c r="CP137" i="123"/>
  <c r="CP157" i="123"/>
  <c r="CP187" i="123"/>
  <c r="CP180" i="123"/>
  <c r="DN85" i="1"/>
  <c r="CO133" i="123"/>
  <c r="DU85" i="1"/>
  <c r="CO140" i="123"/>
  <c r="CO160" i="123"/>
  <c r="EF85" i="1"/>
  <c r="CO148" i="123"/>
  <c r="CO168" i="123"/>
  <c r="CO141" i="123"/>
  <c r="DW85" i="1"/>
  <c r="CO161" i="123"/>
  <c r="CP132" i="123"/>
  <c r="DK86" i="1"/>
  <c r="CP176" i="123"/>
  <c r="CP184" i="123"/>
  <c r="CP227" i="123"/>
  <c r="CP233" i="123"/>
  <c r="DM85" i="1"/>
  <c r="CO205" i="123"/>
  <c r="CO185" i="123"/>
  <c r="CO177" i="123"/>
  <c r="EM85" i="1"/>
  <c r="CO153" i="123"/>
  <c r="CO173" i="123"/>
  <c r="CP151" i="123"/>
  <c r="CP171" i="123"/>
  <c r="EJ86" i="1"/>
  <c r="CP230" i="123"/>
  <c r="DZ85" i="1"/>
  <c r="CO164" i="123"/>
  <c r="CO144" i="123"/>
  <c r="CO229" i="123"/>
  <c r="EE85" i="1"/>
  <c r="CO147" i="123"/>
  <c r="CO167" i="123"/>
  <c r="DX85" i="1"/>
  <c r="CO162" i="123"/>
  <c r="CO142" i="123"/>
  <c r="CO188" i="123"/>
  <c r="DO86" i="1"/>
  <c r="CP178" i="123"/>
  <c r="DS85" i="1"/>
  <c r="CO138" i="123"/>
  <c r="CO158" i="123"/>
  <c r="CO181" i="123"/>
  <c r="LW74" i="93"/>
  <c r="MH74" i="93" s="1"/>
  <c r="DT85" i="1"/>
  <c r="CO139" i="123"/>
  <c r="CO159" i="123"/>
  <c r="EI84" i="1"/>
  <c r="CN150" i="123"/>
  <c r="CN170" i="123"/>
  <c r="EA85" i="1"/>
  <c r="CO145" i="123"/>
  <c r="CO234" i="123"/>
  <c r="CO165" i="123"/>
  <c r="CO156" i="123"/>
  <c r="CO136" i="123"/>
  <c r="CO186" i="123"/>
  <c r="CO179" i="123"/>
  <c r="DQ85" i="1"/>
  <c r="EG84" i="1"/>
  <c r="CN149" i="123"/>
  <c r="CN169" i="123"/>
  <c r="EL86" i="1"/>
  <c r="CP152" i="123"/>
  <c r="CP172" i="123"/>
  <c r="LW66" i="93"/>
  <c r="MH66" i="93" s="1"/>
  <c r="DL85" i="1"/>
  <c r="LW86" i="93"/>
  <c r="MH86" i="93" s="1"/>
  <c r="LV82" i="93"/>
  <c r="MG82" i="93" s="1"/>
  <c r="LW80" i="93"/>
  <c r="MH80" i="93" s="1"/>
  <c r="LW77" i="93"/>
  <c r="MH77" i="93" s="1"/>
  <c r="LW81" i="93"/>
  <c r="MH81" i="93" s="1"/>
  <c r="LX79" i="93"/>
  <c r="MI79" i="93" s="1"/>
  <c r="LV87" i="93"/>
  <c r="MG87" i="93" s="1"/>
  <c r="LX90" i="93"/>
  <c r="MI90" i="93" s="1"/>
  <c r="LV89" i="93"/>
  <c r="MG89" i="93" s="1"/>
  <c r="LW85" i="93"/>
  <c r="MH85" i="93" s="1"/>
  <c r="LX65" i="93"/>
  <c r="MI65" i="93" s="1"/>
  <c r="LW93" i="93"/>
  <c r="MH93" i="93" s="1"/>
  <c r="LW73" i="93"/>
  <c r="LX92" i="93"/>
  <c r="MI92" i="93" s="1"/>
  <c r="LW75" i="93"/>
  <c r="MH75" i="93" s="1"/>
  <c r="LW78" i="93"/>
  <c r="MH78" i="93" s="1"/>
  <c r="LW71" i="93"/>
  <c r="LW67" i="93"/>
  <c r="MH67" i="93" s="1"/>
  <c r="LX69" i="93"/>
  <c r="MI69" i="93" s="1"/>
  <c r="LX72" i="93"/>
  <c r="LW68" i="93"/>
  <c r="MH68" i="93" s="1"/>
  <c r="MH97" i="93" l="1"/>
  <c r="MS97" i="93" s="1"/>
  <c r="LX97" i="93"/>
  <c r="EQ87" i="1" s="1"/>
  <c r="CJ105" i="130" s="1"/>
  <c r="MH76" i="93"/>
  <c r="MS76" i="93" s="1"/>
  <c r="LX76" i="93"/>
  <c r="MI76" i="93" s="1"/>
  <c r="MT76" i="93" s="1"/>
  <c r="DQ83" i="93"/>
  <c r="EC87" i="1"/>
  <c r="CJ91" i="130" s="1"/>
  <c r="DV87" i="1"/>
  <c r="CJ84" i="130" s="1"/>
  <c r="DQ91" i="93"/>
  <c r="EK87" i="1"/>
  <c r="CJ99" i="130" s="1"/>
  <c r="MI72" i="93"/>
  <c r="CQ217" i="123"/>
  <c r="X217" i="123" s="1"/>
  <c r="DH217" i="123" s="1"/>
  <c r="DI217" i="123" s="1"/>
  <c r="MH71" i="93"/>
  <c r="CP216" i="123"/>
  <c r="DM103" i="93"/>
  <c r="DQ103" i="93"/>
  <c r="DM108" i="93"/>
  <c r="DQ112" i="93"/>
  <c r="DQ106" i="93"/>
  <c r="DM106" i="93"/>
  <c r="DM104" i="93"/>
  <c r="CP215" i="123"/>
  <c r="MH73" i="93"/>
  <c r="LX99" i="93"/>
  <c r="MI99" i="93" s="1"/>
  <c r="MT99" i="93" s="1"/>
  <c r="MH99" i="93"/>
  <c r="MS99" i="93" s="1"/>
  <c r="MI97" i="93"/>
  <c r="MT97" i="93" s="1"/>
  <c r="DQ97" i="93"/>
  <c r="MI98" i="93"/>
  <c r="MT98" i="93" s="1"/>
  <c r="DQ98" i="93"/>
  <c r="DM98" i="93"/>
  <c r="MI107" i="93"/>
  <c r="MT107" i="93" s="1"/>
  <c r="DM107" i="93"/>
  <c r="LX70" i="93"/>
  <c r="MH70" i="93"/>
  <c r="MS70" i="93" s="1"/>
  <c r="DQ110" i="93"/>
  <c r="MI110" i="93"/>
  <c r="MT110" i="93" s="1"/>
  <c r="DM110" i="93"/>
  <c r="MI105" i="93"/>
  <c r="MT105" i="93" s="1"/>
  <c r="DQ105" i="93"/>
  <c r="DM112" i="93"/>
  <c r="MI102" i="93"/>
  <c r="MT102" i="93" s="1"/>
  <c r="DM102" i="93"/>
  <c r="DQ102" i="93"/>
  <c r="MI111" i="93"/>
  <c r="MT111" i="93" s="1"/>
  <c r="DQ111" i="93"/>
  <c r="MI83" i="93"/>
  <c r="MT83" i="93" s="1"/>
  <c r="DM83" i="93"/>
  <c r="MI84" i="93"/>
  <c r="MT84" i="93" s="1"/>
  <c r="DQ84" i="93"/>
  <c r="DM84" i="93"/>
  <c r="MI100" i="93"/>
  <c r="MT100" i="93" s="1"/>
  <c r="DQ100" i="93"/>
  <c r="MI94" i="93"/>
  <c r="MT94" i="93" s="1"/>
  <c r="DQ94" i="93"/>
  <c r="DM94" i="93"/>
  <c r="MI91" i="93"/>
  <c r="MT91" i="93" s="1"/>
  <c r="DM91" i="93"/>
  <c r="MI101" i="93"/>
  <c r="MT101" i="93" s="1"/>
  <c r="DM101" i="93"/>
  <c r="MI109" i="93"/>
  <c r="MT109" i="93" s="1"/>
  <c r="DQ109" i="93"/>
  <c r="DM109" i="93"/>
  <c r="DQ104" i="93"/>
  <c r="DM105" i="93"/>
  <c r="EJ87" i="1"/>
  <c r="CQ151" i="123"/>
  <c r="X151" i="123" s="1"/>
  <c r="DH151" i="123" s="1"/>
  <c r="DI151" i="123" s="1"/>
  <c r="CQ171" i="123"/>
  <c r="X171" i="123" s="1"/>
  <c r="DH171" i="123" s="1"/>
  <c r="DI171" i="123" s="1"/>
  <c r="CQ230" i="123"/>
  <c r="X230" i="123" s="1"/>
  <c r="DH230" i="123" s="1"/>
  <c r="DI230" i="123" s="1"/>
  <c r="DQ90" i="93"/>
  <c r="DU86" i="1"/>
  <c r="CP140" i="123"/>
  <c r="CP160" i="123"/>
  <c r="EG85" i="1"/>
  <c r="CO149" i="123"/>
  <c r="CO169" i="123"/>
  <c r="DM86" i="1"/>
  <c r="CP177" i="123"/>
  <c r="CP185" i="123"/>
  <c r="CP205" i="123"/>
  <c r="EL87" i="1"/>
  <c r="CQ172" i="123"/>
  <c r="X172" i="123" s="1"/>
  <c r="DH172" i="123" s="1"/>
  <c r="DI172" i="123" s="1"/>
  <c r="CQ152" i="123"/>
  <c r="X152" i="123" s="1"/>
  <c r="DH152" i="123" s="1"/>
  <c r="DI152" i="123" s="1"/>
  <c r="DQ92" i="93"/>
  <c r="EE86" i="1"/>
  <c r="CP147" i="123"/>
  <c r="CP167" i="123"/>
  <c r="DY87" i="1"/>
  <c r="CQ143" i="123"/>
  <c r="X143" i="123" s="1"/>
  <c r="DH143" i="123" s="1"/>
  <c r="DI143" i="123" s="1"/>
  <c r="CQ163" i="123"/>
  <c r="X163" i="123" s="1"/>
  <c r="DH163" i="123" s="1"/>
  <c r="DI163" i="123" s="1"/>
  <c r="CQ228" i="123"/>
  <c r="X228" i="123" s="1"/>
  <c r="DH228" i="123" s="1"/>
  <c r="DI228" i="123" s="1"/>
  <c r="DQ79" i="93"/>
  <c r="EB85" i="1"/>
  <c r="CO146" i="123"/>
  <c r="CO166" i="123"/>
  <c r="CO235" i="123"/>
  <c r="CP142" i="123"/>
  <c r="CP162" i="123"/>
  <c r="DX86" i="1"/>
  <c r="CP188" i="123"/>
  <c r="DN86" i="1"/>
  <c r="CP133" i="123"/>
  <c r="DQ86" i="1"/>
  <c r="CP136" i="123"/>
  <c r="CP179" i="123"/>
  <c r="CP156" i="123"/>
  <c r="CP186" i="123"/>
  <c r="CP138" i="123"/>
  <c r="DS86" i="1"/>
  <c r="CP181" i="123"/>
  <c r="CP158" i="123"/>
  <c r="EI85" i="1"/>
  <c r="CO150" i="123"/>
  <c r="CO170" i="123"/>
  <c r="EA86" i="1"/>
  <c r="CP145" i="123"/>
  <c r="CP165" i="123"/>
  <c r="CP234" i="123"/>
  <c r="CP148" i="123"/>
  <c r="CP168" i="123"/>
  <c r="EF86" i="1"/>
  <c r="LX74" i="93"/>
  <c r="MI74" i="93" s="1"/>
  <c r="CP139" i="123"/>
  <c r="CP159" i="123"/>
  <c r="DT86" i="1"/>
  <c r="DR87" i="1"/>
  <c r="CQ157" i="123"/>
  <c r="X157" i="123" s="1"/>
  <c r="DH157" i="123" s="1"/>
  <c r="DI157" i="123" s="1"/>
  <c r="CQ137" i="123"/>
  <c r="X137" i="123" s="1"/>
  <c r="DH137" i="123" s="1"/>
  <c r="DI137" i="123" s="1"/>
  <c r="CQ180" i="123"/>
  <c r="X180" i="123" s="1"/>
  <c r="DH180" i="123" s="1"/>
  <c r="DI180" i="123" s="1"/>
  <c r="CQ187" i="123"/>
  <c r="X187" i="123" s="1"/>
  <c r="DH187" i="123" s="1"/>
  <c r="DI187" i="123" s="1"/>
  <c r="DQ72" i="93"/>
  <c r="DW86" i="1"/>
  <c r="CP141" i="123"/>
  <c r="CP161" i="123"/>
  <c r="EM86" i="1"/>
  <c r="CP153" i="123"/>
  <c r="CP173" i="123"/>
  <c r="DO87" i="1"/>
  <c r="CQ178" i="123"/>
  <c r="X178" i="123" s="1"/>
  <c r="DH178" i="123" s="1"/>
  <c r="DI178" i="123" s="1"/>
  <c r="DQ69" i="93"/>
  <c r="CQ132" i="123"/>
  <c r="X132" i="123" s="1"/>
  <c r="DH132" i="123" s="1"/>
  <c r="DI132" i="123" s="1"/>
  <c r="CQ176" i="123"/>
  <c r="X176" i="123" s="1"/>
  <c r="DH176" i="123" s="1"/>
  <c r="DI176" i="123" s="1"/>
  <c r="CQ227" i="123"/>
  <c r="X227" i="123" s="1"/>
  <c r="DH227" i="123" s="1"/>
  <c r="DI227" i="123" s="1"/>
  <c r="CQ233" i="123"/>
  <c r="X233" i="123" s="1"/>
  <c r="DH233" i="123" s="1"/>
  <c r="DI233" i="123" s="1"/>
  <c r="DK87" i="1"/>
  <c r="CQ184" i="123"/>
  <c r="X184" i="123" s="1"/>
  <c r="DH184" i="123" s="1"/>
  <c r="DI184" i="123" s="1"/>
  <c r="DQ65" i="93"/>
  <c r="CP144" i="123"/>
  <c r="DZ86" i="1"/>
  <c r="CP164" i="123"/>
  <c r="CP229" i="123"/>
  <c r="LX66" i="93"/>
  <c r="MI66" i="93" s="1"/>
  <c r="DL86" i="1"/>
  <c r="LX78" i="93"/>
  <c r="MI78" i="93" s="1"/>
  <c r="LX93" i="93"/>
  <c r="MI93" i="93" s="1"/>
  <c r="LX85" i="93"/>
  <c r="MI85" i="93" s="1"/>
  <c r="LX80" i="93"/>
  <c r="MI80" i="93" s="1"/>
  <c r="LX75" i="93"/>
  <c r="MI75" i="93" s="1"/>
  <c r="LX68" i="93"/>
  <c r="MI68" i="93" s="1"/>
  <c r="LX71" i="93"/>
  <c r="LW89" i="93"/>
  <c r="MH89" i="93" s="1"/>
  <c r="LW82" i="93"/>
  <c r="MH82" i="93" s="1"/>
  <c r="LX86" i="93"/>
  <c r="MI86" i="93" s="1"/>
  <c r="LX67" i="93"/>
  <c r="MI67" i="93" s="1"/>
  <c r="LX73" i="93"/>
  <c r="LW87" i="93"/>
  <c r="MH87" i="93" s="1"/>
  <c r="LX81" i="93"/>
  <c r="MI81" i="93" s="1"/>
  <c r="LX77" i="93"/>
  <c r="MI77" i="93" s="1"/>
  <c r="DQ76" i="93" l="1"/>
  <c r="DM97" i="93"/>
  <c r="DM76" i="93"/>
  <c r="DQ70" i="93"/>
  <c r="DP87" i="1"/>
  <c r="CJ78" i="130" s="1"/>
  <c r="DP217" i="123"/>
  <c r="DQ217" i="123" s="1"/>
  <c r="W217" i="123"/>
  <c r="CB80" i="130"/>
  <c r="MI71" i="93"/>
  <c r="CQ216" i="123"/>
  <c r="X216" i="123" s="1"/>
  <c r="DH216" i="123" s="1"/>
  <c r="DI216" i="123" s="1"/>
  <c r="DM99" i="93"/>
  <c r="DQ99" i="93"/>
  <c r="CQ215" i="123"/>
  <c r="X215" i="123" s="1"/>
  <c r="DH215" i="123" s="1"/>
  <c r="DI215" i="123" s="1"/>
  <c r="MI73" i="93"/>
  <c r="MI70" i="93"/>
  <c r="MT70" i="93" s="1"/>
  <c r="DM70" i="93"/>
  <c r="DP132" i="123"/>
  <c r="DQ132" i="123" s="1"/>
  <c r="DP143" i="123"/>
  <c r="DQ143" i="123" s="1"/>
  <c r="DP230" i="123"/>
  <c r="DQ230" i="123" s="1"/>
  <c r="DP171" i="123"/>
  <c r="DQ171" i="123" s="1"/>
  <c r="DP152" i="123"/>
  <c r="DQ152" i="123" s="1"/>
  <c r="DP227" i="123"/>
  <c r="DQ227" i="123" s="1"/>
  <c r="DP178" i="123"/>
  <c r="DQ178" i="123" s="1"/>
  <c r="DP157" i="123"/>
  <c r="DQ157" i="123" s="1"/>
  <c r="DP228" i="123"/>
  <c r="DQ228" i="123" s="1"/>
  <c r="DP151" i="123"/>
  <c r="DQ151" i="123" s="1"/>
  <c r="DP180" i="123"/>
  <c r="DQ180" i="123" s="1"/>
  <c r="DP233" i="123"/>
  <c r="DQ233" i="123" s="1"/>
  <c r="DP137" i="123"/>
  <c r="DQ137" i="123" s="1"/>
  <c r="DP184" i="123"/>
  <c r="DQ184" i="123" s="1"/>
  <c r="DP176" i="123"/>
  <c r="DQ176" i="123" s="1"/>
  <c r="DP187" i="123"/>
  <c r="DQ187" i="123" s="1"/>
  <c r="DP163" i="123"/>
  <c r="DQ163" i="123" s="1"/>
  <c r="DP172" i="123"/>
  <c r="DQ172" i="123" s="1"/>
  <c r="DQ87" i="1"/>
  <c r="CQ136" i="123"/>
  <c r="X136" i="123" s="1"/>
  <c r="DH136" i="123" s="1"/>
  <c r="DI136" i="123" s="1"/>
  <c r="CQ156" i="123"/>
  <c r="X156" i="123" s="1"/>
  <c r="DH156" i="123" s="1"/>
  <c r="DI156" i="123" s="1"/>
  <c r="CQ186" i="123"/>
  <c r="X186" i="123" s="1"/>
  <c r="DH186" i="123" s="1"/>
  <c r="DI186" i="123" s="1"/>
  <c r="CQ179" i="123"/>
  <c r="X179" i="123" s="1"/>
  <c r="DH179" i="123" s="1"/>
  <c r="DI179" i="123" s="1"/>
  <c r="DQ71" i="93"/>
  <c r="EE87" i="1"/>
  <c r="CQ167" i="123"/>
  <c r="X167" i="123" s="1"/>
  <c r="DH167" i="123" s="1"/>
  <c r="DI167" i="123" s="1"/>
  <c r="CQ147" i="123"/>
  <c r="X147" i="123" s="1"/>
  <c r="DH147" i="123" s="1"/>
  <c r="DI147" i="123" s="1"/>
  <c r="DQ85" i="93"/>
  <c r="DX87" i="1"/>
  <c r="CQ142" i="123"/>
  <c r="X142" i="123" s="1"/>
  <c r="DH142" i="123" s="1"/>
  <c r="DI142" i="123" s="1"/>
  <c r="CQ188" i="123"/>
  <c r="X188" i="123" s="1"/>
  <c r="DH188" i="123" s="1"/>
  <c r="DI188" i="123" s="1"/>
  <c r="CQ162" i="123"/>
  <c r="X162" i="123" s="1"/>
  <c r="DH162" i="123" s="1"/>
  <c r="DI162" i="123" s="1"/>
  <c r="DQ78" i="93"/>
  <c r="DL87" i="1"/>
  <c r="DQ66" i="93"/>
  <c r="DW87" i="1"/>
  <c r="CQ141" i="123"/>
  <c r="X141" i="123" s="1"/>
  <c r="DH141" i="123" s="1"/>
  <c r="DI141" i="123" s="1"/>
  <c r="CQ161" i="123"/>
  <c r="X161" i="123" s="1"/>
  <c r="DH161" i="123" s="1"/>
  <c r="DI161" i="123" s="1"/>
  <c r="DQ77" i="93"/>
  <c r="X236" i="123"/>
  <c r="DH236" i="123" s="1"/>
  <c r="DI236" i="123" s="1"/>
  <c r="CQ138" i="123"/>
  <c r="X138" i="123" s="1"/>
  <c r="DH138" i="123" s="1"/>
  <c r="DI138" i="123" s="1"/>
  <c r="DS87" i="1"/>
  <c r="CQ158" i="123"/>
  <c r="X158" i="123" s="1"/>
  <c r="DH158" i="123" s="1"/>
  <c r="DI158" i="123" s="1"/>
  <c r="CQ181" i="123"/>
  <c r="X181" i="123" s="1"/>
  <c r="DH181" i="123" s="1"/>
  <c r="DI181" i="123" s="1"/>
  <c r="DQ73" i="93"/>
  <c r="DN87" i="1"/>
  <c r="CQ133" i="123"/>
  <c r="X133" i="123" s="1"/>
  <c r="DH133" i="123" s="1"/>
  <c r="DI133" i="123" s="1"/>
  <c r="DQ68" i="93"/>
  <c r="EM87" i="1"/>
  <c r="CQ153" i="123"/>
  <c r="X153" i="123" s="1"/>
  <c r="DH153" i="123" s="1"/>
  <c r="DI153" i="123" s="1"/>
  <c r="CQ173" i="123"/>
  <c r="X173" i="123" s="1"/>
  <c r="DH173" i="123" s="1"/>
  <c r="DI173" i="123" s="1"/>
  <c r="DQ93" i="93"/>
  <c r="EA87" i="1"/>
  <c r="CQ165" i="123"/>
  <c r="X165" i="123" s="1"/>
  <c r="DH165" i="123" s="1"/>
  <c r="DI165" i="123" s="1"/>
  <c r="CQ145" i="123"/>
  <c r="X145" i="123" s="1"/>
  <c r="DH145" i="123" s="1"/>
  <c r="DI145" i="123" s="1"/>
  <c r="CQ234" i="123"/>
  <c r="X234" i="123" s="1"/>
  <c r="DH234" i="123" s="1"/>
  <c r="DI234" i="123" s="1"/>
  <c r="DQ81" i="93"/>
  <c r="DU87" i="1"/>
  <c r="CQ140" i="123"/>
  <c r="X140" i="123" s="1"/>
  <c r="DH140" i="123" s="1"/>
  <c r="DI140" i="123" s="1"/>
  <c r="CQ160" i="123"/>
  <c r="X160" i="123" s="1"/>
  <c r="DH160" i="123" s="1"/>
  <c r="DI160" i="123" s="1"/>
  <c r="DQ75" i="93"/>
  <c r="DM87" i="1"/>
  <c r="CQ177" i="123"/>
  <c r="X177" i="123" s="1"/>
  <c r="DH177" i="123" s="1"/>
  <c r="DI177" i="123" s="1"/>
  <c r="CQ185" i="123"/>
  <c r="X185" i="123" s="1"/>
  <c r="DH185" i="123" s="1"/>
  <c r="DI185" i="123" s="1"/>
  <c r="CQ205" i="123"/>
  <c r="X205" i="123" s="1"/>
  <c r="DH205" i="123" s="1"/>
  <c r="DI205" i="123" s="1"/>
  <c r="DQ67" i="93"/>
  <c r="EG86" i="1"/>
  <c r="CP149" i="123"/>
  <c r="CP169" i="123"/>
  <c r="EF87" i="1"/>
  <c r="CQ148" i="123"/>
  <c r="X148" i="123" s="1"/>
  <c r="DH148" i="123" s="1"/>
  <c r="DI148" i="123" s="1"/>
  <c r="CQ168" i="123"/>
  <c r="X168" i="123" s="1"/>
  <c r="DH168" i="123" s="1"/>
  <c r="DI168" i="123" s="1"/>
  <c r="DQ86" i="93"/>
  <c r="CP146" i="123"/>
  <c r="EB86" i="1"/>
  <c r="CP166" i="123"/>
  <c r="CP235" i="123"/>
  <c r="EI86" i="1"/>
  <c r="CP150" i="123"/>
  <c r="CP170" i="123"/>
  <c r="CQ144" i="123"/>
  <c r="X144" i="123" s="1"/>
  <c r="DH144" i="123" s="1"/>
  <c r="DI144" i="123" s="1"/>
  <c r="DZ87" i="1"/>
  <c r="CQ164" i="123"/>
  <c r="X164" i="123" s="1"/>
  <c r="DH164" i="123" s="1"/>
  <c r="DI164" i="123" s="1"/>
  <c r="CQ229" i="123"/>
  <c r="X229" i="123" s="1"/>
  <c r="DH229" i="123" s="1"/>
  <c r="DI229" i="123" s="1"/>
  <c r="DQ80" i="93"/>
  <c r="DT87" i="1"/>
  <c r="CQ159" i="123"/>
  <c r="X159" i="123" s="1"/>
  <c r="DH159" i="123" s="1"/>
  <c r="DI159" i="123" s="1"/>
  <c r="CQ139" i="123"/>
  <c r="X139" i="123" s="1"/>
  <c r="DH139" i="123" s="1"/>
  <c r="DI139" i="123" s="1"/>
  <c r="DQ74" i="93"/>
  <c r="LX87" i="93"/>
  <c r="MI87" i="93" s="1"/>
  <c r="LX89" i="93"/>
  <c r="MI89" i="93" s="1"/>
  <c r="LX82" i="93"/>
  <c r="MI82" i="93" s="1"/>
  <c r="W216" i="123" l="1"/>
  <c r="DP216" i="123"/>
  <c r="DQ216" i="123" s="1"/>
  <c r="CB79" i="130"/>
  <c r="H38" i="93"/>
  <c r="DP215" i="123"/>
  <c r="W215" i="123"/>
  <c r="CB81" i="130"/>
  <c r="DP173" i="123"/>
  <c r="DQ173" i="123" s="1"/>
  <c r="DP144" i="123"/>
  <c r="DQ144" i="123" s="1"/>
  <c r="DP205" i="123"/>
  <c r="DQ205" i="123" s="1"/>
  <c r="DP138" i="123"/>
  <c r="DQ138" i="123" s="1"/>
  <c r="DP158" i="123"/>
  <c r="DQ158" i="123" s="1"/>
  <c r="DP139" i="123"/>
  <c r="DQ139" i="123" s="1"/>
  <c r="DP229" i="123"/>
  <c r="DQ229" i="123" s="1"/>
  <c r="DP168" i="123"/>
  <c r="DQ168" i="123" s="1"/>
  <c r="DP185" i="123"/>
  <c r="DQ185" i="123" s="1"/>
  <c r="DP160" i="123"/>
  <c r="DQ160" i="123" s="1"/>
  <c r="DP234" i="123"/>
  <c r="DQ234" i="123" s="1"/>
  <c r="DP181" i="123"/>
  <c r="DQ181" i="123" s="1"/>
  <c r="DP236" i="123"/>
  <c r="DQ236" i="123" s="1"/>
  <c r="DP162" i="123"/>
  <c r="DQ162" i="123" s="1"/>
  <c r="DP136" i="123"/>
  <c r="DQ136" i="123" s="1"/>
  <c r="DP148" i="123"/>
  <c r="DQ148" i="123" s="1"/>
  <c r="DP165" i="123"/>
  <c r="DQ165" i="123" s="1"/>
  <c r="DP153" i="123"/>
  <c r="DQ153" i="123" s="1"/>
  <c r="DP161" i="123"/>
  <c r="DQ161" i="123" s="1"/>
  <c r="DP142" i="123"/>
  <c r="DQ142" i="123" s="1"/>
  <c r="DP167" i="123"/>
  <c r="DQ167" i="123" s="1"/>
  <c r="DP186" i="123"/>
  <c r="DQ186" i="123" s="1"/>
  <c r="DP141" i="123"/>
  <c r="DQ141" i="123" s="1"/>
  <c r="DP156" i="123"/>
  <c r="DQ156" i="123" s="1"/>
  <c r="DP140" i="123"/>
  <c r="DQ140" i="123" s="1"/>
  <c r="DP159" i="123"/>
  <c r="DQ159" i="123" s="1"/>
  <c r="DP164" i="123"/>
  <c r="DQ164" i="123" s="1"/>
  <c r="DP177" i="123"/>
  <c r="DP145" i="123"/>
  <c r="DQ145" i="123" s="1"/>
  <c r="DP133" i="123"/>
  <c r="DQ133" i="123" s="1"/>
  <c r="DP188" i="123"/>
  <c r="DQ188" i="123" s="1"/>
  <c r="DP147" i="123"/>
  <c r="DQ147" i="123" s="1"/>
  <c r="DP179" i="123"/>
  <c r="DQ179" i="123" s="1"/>
  <c r="W236" i="123"/>
  <c r="EB87" i="1"/>
  <c r="CQ146" i="123"/>
  <c r="X146" i="123" s="1"/>
  <c r="DH146" i="123" s="1"/>
  <c r="DI146" i="123" s="1"/>
  <c r="CQ166" i="123"/>
  <c r="X166" i="123" s="1"/>
  <c r="DH166" i="123" s="1"/>
  <c r="DI166" i="123" s="1"/>
  <c r="CQ235" i="123"/>
  <c r="X235" i="123" s="1"/>
  <c r="DH235" i="123" s="1"/>
  <c r="DI235" i="123" s="1"/>
  <c r="DQ82" i="93"/>
  <c r="EI87" i="1"/>
  <c r="CQ150" i="123"/>
  <c r="X150" i="123" s="1"/>
  <c r="DH150" i="123" s="1"/>
  <c r="DI150" i="123" s="1"/>
  <c r="CQ170" i="123"/>
  <c r="X170" i="123" s="1"/>
  <c r="DH170" i="123" s="1"/>
  <c r="DI170" i="123" s="1"/>
  <c r="DQ89" i="93"/>
  <c r="EG87" i="1"/>
  <c r="CQ149" i="123"/>
  <c r="X149" i="123" s="1"/>
  <c r="DH149" i="123" s="1"/>
  <c r="DI149" i="123" s="1"/>
  <c r="CQ169" i="123"/>
  <c r="X169" i="123" s="1"/>
  <c r="DH169" i="123" s="1"/>
  <c r="DI169" i="123" s="1"/>
  <c r="DQ87" i="93"/>
  <c r="G60" i="98" l="1"/>
  <c r="DQ215" i="123"/>
  <c r="DP210" i="123"/>
  <c r="DP225" i="123"/>
  <c r="DQ225" i="123" s="1"/>
  <c r="DP204" i="123"/>
  <c r="DQ204" i="123" s="1"/>
  <c r="DP183" i="123"/>
  <c r="DQ183" i="123" s="1"/>
  <c r="DP226" i="123"/>
  <c r="DQ226" i="123" s="1"/>
  <c r="DP175" i="123"/>
  <c r="DQ177" i="123"/>
  <c r="DP169" i="123"/>
  <c r="DQ169" i="123" s="1"/>
  <c r="DP170" i="123"/>
  <c r="DQ170" i="123" s="1"/>
  <c r="DP235" i="123"/>
  <c r="DQ235" i="123" s="1"/>
  <c r="DP149" i="123"/>
  <c r="DQ149" i="123" s="1"/>
  <c r="DP150" i="123"/>
  <c r="DQ150" i="123" s="1"/>
  <c r="DP166" i="123"/>
  <c r="DQ166" i="123" s="1"/>
  <c r="DP146" i="123"/>
  <c r="DQ146" i="123" s="1"/>
  <c r="W169" i="123"/>
  <c r="W168" i="123"/>
  <c r="CA95" i="130"/>
  <c r="CC95" i="130"/>
  <c r="CA94" i="130"/>
  <c r="CC94" i="130"/>
  <c r="W149" i="123"/>
  <c r="W148" i="123"/>
  <c r="DQ210" i="123" l="1"/>
  <c r="DQ175" i="123"/>
  <c r="DP135" i="123"/>
  <c r="DQ135" i="123" s="1"/>
  <c r="DP155" i="123"/>
  <c r="DQ155" i="123" s="1"/>
  <c r="DZ103" i="93"/>
  <c r="DZ106" i="93"/>
  <c r="DZ102" i="93"/>
  <c r="DZ111" i="93"/>
  <c r="DZ110" i="93"/>
  <c r="DU110" i="93"/>
  <c r="HG110" i="93" s="1"/>
  <c r="DZ100" i="93"/>
  <c r="DZ108" i="93"/>
  <c r="DZ113" i="93"/>
  <c r="DZ105" i="93"/>
  <c r="DZ107" i="93"/>
  <c r="DZ99" i="93"/>
  <c r="DZ104" i="93"/>
  <c r="DZ112" i="93"/>
  <c r="DU103" i="93" l="1"/>
  <c r="HG103" i="93" s="1"/>
  <c r="DU111" i="93"/>
  <c r="HG111" i="93" s="1"/>
  <c r="DU106" i="93"/>
  <c r="HG106" i="93" s="1"/>
  <c r="HK106" i="93" s="1"/>
  <c r="DU100" i="93"/>
  <c r="HG100" i="93" s="1"/>
  <c r="DU105" i="93"/>
  <c r="HG105" i="93" s="1"/>
  <c r="HJ105" i="93" s="1"/>
  <c r="HL105" i="93" s="1"/>
  <c r="DZ101" i="93"/>
  <c r="DU102" i="93"/>
  <c r="DU99" i="93"/>
  <c r="HG99" i="93" s="1"/>
  <c r="FC110" i="93"/>
  <c r="DU101" i="93"/>
  <c r="HG101" i="93" s="1"/>
  <c r="DU107" i="93"/>
  <c r="HG107" i="93" s="1"/>
  <c r="DU113" i="93"/>
  <c r="HG113" i="93" s="1"/>
  <c r="DZ109" i="93"/>
  <c r="DU109" i="93"/>
  <c r="HG109" i="93" s="1"/>
  <c r="HK110" i="93"/>
  <c r="HJ110" i="93"/>
  <c r="HL110" i="93" s="1"/>
  <c r="DU108" i="93"/>
  <c r="HG108" i="93" s="1"/>
  <c r="FC103" i="93" l="1"/>
  <c r="HJ106" i="93"/>
  <c r="HL106" i="93" s="1"/>
  <c r="FC111" i="93"/>
  <c r="DZ94" i="93"/>
  <c r="FC106" i="93"/>
  <c r="FC100" i="93"/>
  <c r="HK105" i="93"/>
  <c r="FC107" i="93"/>
  <c r="DU112" i="93"/>
  <c r="HG112" i="93" s="1"/>
  <c r="FC105" i="93"/>
  <c r="FC99" i="93"/>
  <c r="FC102" i="93"/>
  <c r="HG102" i="93"/>
  <c r="HJ102" i="93" s="1"/>
  <c r="HL102" i="93" s="1"/>
  <c r="HK111" i="93"/>
  <c r="HJ111" i="93"/>
  <c r="HL111" i="93" s="1"/>
  <c r="DU104" i="93"/>
  <c r="HG104" i="93" s="1"/>
  <c r="DZ76" i="93"/>
  <c r="FC113" i="93"/>
  <c r="HJ113" i="93"/>
  <c r="HL113" i="93" s="1"/>
  <c r="HK113" i="93"/>
  <c r="HJ103" i="93"/>
  <c r="HL103" i="93" s="1"/>
  <c r="HK103" i="93"/>
  <c r="HK100" i="93"/>
  <c r="HJ100" i="93"/>
  <c r="HL100" i="93" s="1"/>
  <c r="FC109" i="93"/>
  <c r="FC101" i="93"/>
  <c r="HJ99" i="93"/>
  <c r="HL99" i="93" s="1"/>
  <c r="HK99" i="93"/>
  <c r="FC108" i="93"/>
  <c r="HK107" i="93"/>
  <c r="HJ107" i="93"/>
  <c r="HL107" i="93" s="1"/>
  <c r="CA82" i="130" l="1"/>
  <c r="CC82" i="130"/>
  <c r="DU76" i="93"/>
  <c r="HG76" i="93" s="1"/>
  <c r="DZ98" i="93"/>
  <c r="DZ83" i="93"/>
  <c r="DU94" i="93"/>
  <c r="HG94" i="93" s="1"/>
  <c r="HK94" i="93" s="1"/>
  <c r="FC112" i="93"/>
  <c r="DU88" i="93"/>
  <c r="HK102" i="93"/>
  <c r="DZ88" i="93"/>
  <c r="FC104" i="93"/>
  <c r="W159" i="123"/>
  <c r="W139" i="123"/>
  <c r="DZ84" i="93"/>
  <c r="DZ70" i="93"/>
  <c r="DZ95" i="93"/>
  <c r="DU95" i="93"/>
  <c r="HG95" i="93" s="1"/>
  <c r="DZ96" i="93"/>
  <c r="DZ97" i="93"/>
  <c r="HK112" i="93"/>
  <c r="HJ112" i="93"/>
  <c r="HL112" i="93" s="1"/>
  <c r="HK101" i="93"/>
  <c r="HJ101" i="93"/>
  <c r="HL101" i="93" s="1"/>
  <c r="HK104" i="93"/>
  <c r="HJ104" i="93"/>
  <c r="HL104" i="93" s="1"/>
  <c r="HJ108" i="93"/>
  <c r="HL108" i="93" s="1"/>
  <c r="HK108" i="93"/>
  <c r="HK109" i="93"/>
  <c r="HJ109" i="93"/>
  <c r="HL109" i="93" s="1"/>
  <c r="CE73" i="130" l="1"/>
  <c r="CB90" i="130"/>
  <c r="CB89" i="130"/>
  <c r="CD73" i="130"/>
  <c r="W231" i="123"/>
  <c r="G59" i="98" s="1"/>
  <c r="CB88" i="130"/>
  <c r="CE81" i="130"/>
  <c r="CD80" i="130"/>
  <c r="CD86" i="130"/>
  <c r="CD75" i="130"/>
  <c r="CE80" i="130"/>
  <c r="FR74" i="93"/>
  <c r="CA93" i="130"/>
  <c r="CC93" i="130"/>
  <c r="CA75" i="130"/>
  <c r="CE75" i="130"/>
  <c r="CA80" i="130"/>
  <c r="CC80" i="130"/>
  <c r="CA83" i="130"/>
  <c r="CC83" i="130"/>
  <c r="CA89" i="130"/>
  <c r="CC89" i="130"/>
  <c r="CA76" i="130"/>
  <c r="CB76" i="130"/>
  <c r="CA88" i="130"/>
  <c r="CC88" i="130"/>
  <c r="CA101" i="130"/>
  <c r="CC101" i="130"/>
  <c r="CA77" i="130"/>
  <c r="CE77" i="130"/>
  <c r="CA85" i="130"/>
  <c r="CC85" i="130"/>
  <c r="CA90" i="130"/>
  <c r="CC90" i="130"/>
  <c r="CA73" i="130"/>
  <c r="CB73" i="130"/>
  <c r="CA86" i="130"/>
  <c r="CC86" i="130"/>
  <c r="CA81" i="130"/>
  <c r="CC81" i="130"/>
  <c r="CA97" i="130"/>
  <c r="CC97" i="130"/>
  <c r="FC76" i="93"/>
  <c r="DU83" i="93"/>
  <c r="HG83" i="93" s="1"/>
  <c r="HK83" i="93" s="1"/>
  <c r="DU96" i="93"/>
  <c r="HG96" i="93" s="1"/>
  <c r="HJ94" i="93"/>
  <c r="HL94" i="93" s="1"/>
  <c r="FC94" i="93"/>
  <c r="DZ91" i="93"/>
  <c r="HG88" i="93"/>
  <c r="HJ88" i="93" s="1"/>
  <c r="HL88" i="93" s="1"/>
  <c r="FC88" i="93"/>
  <c r="W167" i="123"/>
  <c r="W229" i="123"/>
  <c r="W161" i="123"/>
  <c r="W165" i="123"/>
  <c r="W234" i="123"/>
  <c r="W153" i="123"/>
  <c r="FC95" i="93"/>
  <c r="W227" i="123"/>
  <c r="W142" i="123"/>
  <c r="W187" i="123"/>
  <c r="W164" i="123"/>
  <c r="W160" i="123"/>
  <c r="W157" i="123"/>
  <c r="W133" i="123"/>
  <c r="G39" i="98" s="1"/>
  <c r="W146" i="123"/>
  <c r="W144" i="123"/>
  <c r="W173" i="123"/>
  <c r="W233" i="123"/>
  <c r="W162" i="123"/>
  <c r="W185" i="123"/>
  <c r="W205" i="123"/>
  <c r="G38" i="98" s="1"/>
  <c r="W138" i="123"/>
  <c r="W158" i="123"/>
  <c r="W180" i="123"/>
  <c r="W150" i="123"/>
  <c r="W140" i="123"/>
  <c r="DU84" i="93"/>
  <c r="HG84" i="93" s="1"/>
  <c r="W184" i="123"/>
  <c r="W132" i="123"/>
  <c r="G62" i="98" s="1"/>
  <c r="W188" i="123"/>
  <c r="W177" i="123"/>
  <c r="W181" i="123"/>
  <c r="W170" i="123"/>
  <c r="DU70" i="93"/>
  <c r="HG70" i="93" s="1"/>
  <c r="W166" i="123"/>
  <c r="W235" i="123"/>
  <c r="W147" i="123"/>
  <c r="W178" i="123"/>
  <c r="DU97" i="93"/>
  <c r="HG97" i="93" s="1"/>
  <c r="W141" i="123"/>
  <c r="W145" i="123"/>
  <c r="DU98" i="93"/>
  <c r="HG98" i="93" s="1"/>
  <c r="W176" i="123"/>
  <c r="W137" i="123"/>
  <c r="HJ76" i="93"/>
  <c r="HL76" i="93" s="1"/>
  <c r="HK76" i="93"/>
  <c r="G52" i="98" l="1"/>
  <c r="G58" i="98"/>
  <c r="CD79" i="130"/>
  <c r="CE79" i="130"/>
  <c r="CB98" i="130"/>
  <c r="CB87" i="130"/>
  <c r="W171" i="123"/>
  <c r="CA87" i="130"/>
  <c r="CC87" i="130"/>
  <c r="CA100" i="130"/>
  <c r="CC100" i="130"/>
  <c r="CA98" i="130"/>
  <c r="CC98" i="130"/>
  <c r="CA79" i="130"/>
  <c r="CC79" i="130"/>
  <c r="W151" i="123"/>
  <c r="W230" i="123"/>
  <c r="FC96" i="93"/>
  <c r="HJ83" i="93"/>
  <c r="HL83" i="93" s="1"/>
  <c r="FC83" i="93"/>
  <c r="DU91" i="93"/>
  <c r="HG91" i="93" s="1"/>
  <c r="HK88" i="93"/>
  <c r="G53" i="98"/>
  <c r="FC70" i="93"/>
  <c r="W136" i="123"/>
  <c r="FC97" i="93"/>
  <c r="W156" i="123"/>
  <c r="HK95" i="93"/>
  <c r="HJ95" i="93"/>
  <c r="HL95" i="93" s="1"/>
  <c r="W152" i="123"/>
  <c r="W143" i="123"/>
  <c r="W163" i="123"/>
  <c r="W179" i="123"/>
  <c r="G49" i="98" s="1"/>
  <c r="W186" i="123"/>
  <c r="G50" i="98" s="1"/>
  <c r="HJ96" i="93"/>
  <c r="HL96" i="93" s="1"/>
  <c r="HK96" i="93"/>
  <c r="FC98" i="93"/>
  <c r="FC84" i="93"/>
  <c r="W172" i="123"/>
  <c r="W228" i="123"/>
  <c r="G14" i="98" l="1"/>
  <c r="H28" i="93" s="1"/>
  <c r="FB80" i="93"/>
  <c r="G51" i="98"/>
  <c r="FC91" i="93"/>
  <c r="G40" i="98"/>
  <c r="G41" i="98"/>
  <c r="HJ70" i="93"/>
  <c r="HL70" i="93" s="1"/>
  <c r="HJ84" i="93"/>
  <c r="HL84" i="93" s="1"/>
  <c r="HK84" i="93"/>
  <c r="HK98" i="93"/>
  <c r="HJ98" i="93"/>
  <c r="HL98" i="93" s="1"/>
  <c r="HJ97" i="93"/>
  <c r="HL97" i="93" s="1"/>
  <c r="HK97" i="93"/>
  <c r="HK91" i="93"/>
  <c r="HJ91" i="93"/>
  <c r="HL91" i="93" s="1"/>
  <c r="HK70" i="93" l="1"/>
  <c r="EU64" i="93"/>
  <c r="JX64" i="93" s="1"/>
  <c r="HQ64" i="93" l="1"/>
  <c r="EJ64" i="93" s="1"/>
  <c r="ER64" i="93"/>
  <c r="ES64" i="93"/>
  <c r="EQ64" i="93"/>
  <c r="ET64" i="93"/>
  <c r="JU64" i="93" s="1"/>
  <c r="EP64" i="93"/>
  <c r="EX64" i="93" s="1"/>
  <c r="EL64" i="93" l="1"/>
  <c r="HU64" i="93" s="1"/>
  <c r="IQ64" i="93"/>
  <c r="EN64" i="93"/>
  <c r="HR64" i="93" s="1"/>
  <c r="IK64" i="93" s="1"/>
  <c r="EO64" i="93" l="1"/>
  <c r="EB64" i="93" s="1"/>
  <c r="DJ23" i="1"/>
  <c r="AI131" i="123"/>
  <c r="EB62" i="93" l="1"/>
  <c r="HS64" i="93"/>
  <c r="IL6" i="1"/>
  <c r="IK6" i="1"/>
  <c r="EC64" i="93" l="1"/>
  <c r="ED64" i="93" s="1"/>
  <c r="AK36" i="98"/>
  <c r="FD36" i="98" s="1"/>
  <c r="AK35" i="98"/>
  <c r="FD35" i="98" s="1"/>
  <c r="AL43" i="98"/>
  <c r="FE43" i="98" s="1"/>
  <c r="AL35" i="98"/>
  <c r="FE35" i="98" s="1"/>
  <c r="AL41" i="98"/>
  <c r="FE41" i="98" s="1"/>
  <c r="AL42" i="98"/>
  <c r="FE42" i="98" s="1"/>
  <c r="AL45" i="98"/>
  <c r="FE45" i="98" s="1"/>
  <c r="AL39" i="98"/>
  <c r="FE39" i="98" s="1"/>
  <c r="AL53" i="98"/>
  <c r="FE53" i="98" s="1"/>
  <c r="AL48" i="98"/>
  <c r="FE48" i="98" s="1"/>
  <c r="AL47" i="98"/>
  <c r="FE47" i="98" s="1"/>
  <c r="AL36" i="98"/>
  <c r="FE36" i="98" s="1"/>
  <c r="AL51" i="98"/>
  <c r="FE51" i="98" s="1"/>
  <c r="AL40" i="98"/>
  <c r="FE40" i="98" s="1"/>
  <c r="AL50" i="98"/>
  <c r="FE50" i="98" s="1"/>
  <c r="AL46" i="98"/>
  <c r="FE46" i="98" s="1"/>
  <c r="AL44" i="98"/>
  <c r="FE44" i="98" s="1"/>
  <c r="AL52" i="98"/>
  <c r="FE52" i="98" s="1"/>
  <c r="AL49" i="98"/>
  <c r="FE49" i="98" s="1"/>
  <c r="AL38" i="98"/>
  <c r="FE38" i="98" s="1"/>
  <c r="AK38" i="98"/>
  <c r="FD38" i="98" s="1"/>
  <c r="AK50" i="98"/>
  <c r="FD50" i="98" s="1"/>
  <c r="AK48" i="98"/>
  <c r="FD48" i="98" s="1"/>
  <c r="AK53" i="98"/>
  <c r="FD53" i="98" s="1"/>
  <c r="AK51" i="98"/>
  <c r="FD51" i="98" s="1"/>
  <c r="AK49" i="98"/>
  <c r="FD49" i="98" s="1"/>
  <c r="AK43" i="98"/>
  <c r="FD43" i="98" s="1"/>
  <c r="AK52" i="98"/>
  <c r="FD52" i="98" s="1"/>
  <c r="AK44" i="98"/>
  <c r="FD44" i="98" s="1"/>
  <c r="AK39" i="98"/>
  <c r="FD39" i="98" s="1"/>
  <c r="AK45" i="98"/>
  <c r="FD45" i="98" s="1"/>
  <c r="AK42" i="98"/>
  <c r="FD42" i="98" s="1"/>
  <c r="AL37" i="98"/>
  <c r="FE37" i="98" s="1"/>
  <c r="AL34" i="98"/>
  <c r="FE34" i="98" s="1"/>
  <c r="AK46" i="98"/>
  <c r="FD46" i="98" s="1"/>
  <c r="AK47" i="98"/>
  <c r="FD47" i="98" s="1"/>
  <c r="AK40" i="98"/>
  <c r="FD40" i="98" s="1"/>
  <c r="AK41" i="98"/>
  <c r="FD41" i="98" s="1"/>
  <c r="AK34" i="98"/>
  <c r="FD34" i="98" s="1"/>
  <c r="AK37" i="98"/>
  <c r="FD37" i="98" s="1"/>
  <c r="AH30" i="98"/>
  <c r="AK30" i="98" s="1"/>
  <c r="FD30" i="98" s="1"/>
  <c r="FD27" i="98"/>
  <c r="AH29" i="98"/>
  <c r="AK29" i="98" s="1"/>
  <c r="AH32" i="98"/>
  <c r="AK32" i="98" s="1"/>
  <c r="FD32" i="98" s="1"/>
  <c r="AH31" i="98"/>
  <c r="AK31" i="98" s="1"/>
  <c r="FD31" i="98" s="1"/>
  <c r="N2" i="125"/>
  <c r="AH33" i="98"/>
  <c r="AK33" i="98" s="1"/>
  <c r="FD33" i="98" s="1"/>
  <c r="AK26" i="98"/>
  <c r="AI31" i="98"/>
  <c r="AL31" i="98" s="1"/>
  <c r="FE31" i="98" s="1"/>
  <c r="AI29" i="98"/>
  <c r="AL29" i="98" s="1"/>
  <c r="FE29" i="98" s="1"/>
  <c r="AI32" i="98"/>
  <c r="AL32" i="98" s="1"/>
  <c r="FE32" i="98" s="1"/>
  <c r="O2" i="125"/>
  <c r="FE27" i="98"/>
  <c r="AI33" i="98"/>
  <c r="AL33" i="98" s="1"/>
  <c r="FE33" i="98" s="1"/>
  <c r="AI30" i="98"/>
  <c r="AL30" i="98" s="1"/>
  <c r="FE30" i="98" s="1"/>
  <c r="AL26" i="98"/>
  <c r="FJ64" i="93" l="1"/>
  <c r="DJ30" i="1"/>
  <c r="AP131" i="123"/>
  <c r="IM64" i="93"/>
  <c r="JZ64" i="93" s="1"/>
  <c r="KA64" i="93" s="1"/>
  <c r="KS64" i="93"/>
  <c r="R10" i="136"/>
  <c r="L10" i="129"/>
  <c r="R20" i="136"/>
  <c r="L20" i="129"/>
  <c r="R15" i="136"/>
  <c r="L15" i="129"/>
  <c r="R25" i="136"/>
  <c r="L25" i="129"/>
  <c r="L26" i="129"/>
  <c r="R26" i="136"/>
  <c r="S11" i="136"/>
  <c r="C11" i="136" s="1"/>
  <c r="M11" i="129"/>
  <c r="E11" i="129" s="1"/>
  <c r="M19" i="129"/>
  <c r="E19" i="129" s="1"/>
  <c r="S19" i="136"/>
  <c r="C19" i="136" s="1"/>
  <c r="S9" i="136"/>
  <c r="C9" i="136" s="1"/>
  <c r="M9" i="129"/>
  <c r="E9" i="129" s="1"/>
  <c r="S12" i="136"/>
  <c r="C12" i="136" s="1"/>
  <c r="M12" i="129"/>
  <c r="E12" i="129" s="1"/>
  <c r="S8" i="136"/>
  <c r="C8" i="136" s="1"/>
  <c r="M8" i="129"/>
  <c r="E8" i="129" s="1"/>
  <c r="L7" i="129"/>
  <c r="R7" i="136"/>
  <c r="B7" i="136" s="1"/>
  <c r="R19" i="136"/>
  <c r="L19" i="129"/>
  <c r="R18" i="136"/>
  <c r="L18" i="129"/>
  <c r="L16" i="129"/>
  <c r="R16" i="136"/>
  <c r="R21" i="136"/>
  <c r="L21" i="129"/>
  <c r="S22" i="136"/>
  <c r="C22" i="136" s="1"/>
  <c r="M22" i="129"/>
  <c r="E22" i="129" s="1"/>
  <c r="S23" i="136"/>
  <c r="C23" i="136" s="1"/>
  <c r="M23" i="129"/>
  <c r="E23" i="129" s="1"/>
  <c r="S20" i="136"/>
  <c r="C20" i="136" s="1"/>
  <c r="M20" i="129"/>
  <c r="E20" i="129" s="1"/>
  <c r="S18" i="136"/>
  <c r="C18" i="136" s="1"/>
  <c r="M18" i="129"/>
  <c r="E18" i="129" s="1"/>
  <c r="S16" i="136"/>
  <c r="C16" i="136" s="1"/>
  <c r="M16" i="129"/>
  <c r="E16" i="129" s="1"/>
  <c r="R14" i="136"/>
  <c r="L14" i="129"/>
  <c r="S7" i="136"/>
  <c r="C7" i="136" s="1"/>
  <c r="M7" i="129"/>
  <c r="E7" i="129" s="1"/>
  <c r="L12" i="129"/>
  <c r="R12" i="136"/>
  <c r="R22" i="136"/>
  <c r="L22" i="129"/>
  <c r="R23" i="136"/>
  <c r="L23" i="129"/>
  <c r="S25" i="136"/>
  <c r="C25" i="136" s="1"/>
  <c r="M25" i="129"/>
  <c r="E25" i="129" s="1"/>
  <c r="S13" i="136"/>
  <c r="C13" i="136" s="1"/>
  <c r="M13" i="129"/>
  <c r="E13" i="129" s="1"/>
  <c r="S21" i="136"/>
  <c r="C21" i="136" s="1"/>
  <c r="M21" i="129"/>
  <c r="E21" i="129" s="1"/>
  <c r="S15" i="136"/>
  <c r="C15" i="136" s="1"/>
  <c r="M15" i="129"/>
  <c r="E15" i="129" s="1"/>
  <c r="L8" i="129"/>
  <c r="R8" i="136"/>
  <c r="L13" i="129"/>
  <c r="R13" i="136"/>
  <c r="M10" i="129"/>
  <c r="E10" i="129" s="1"/>
  <c r="S10" i="136"/>
  <c r="C10" i="136" s="1"/>
  <c r="L17" i="129"/>
  <c r="R17" i="136"/>
  <c r="R24" i="136"/>
  <c r="L24" i="129"/>
  <c r="R11" i="136"/>
  <c r="L11" i="129"/>
  <c r="S17" i="136"/>
  <c r="C17" i="136" s="1"/>
  <c r="M17" i="129"/>
  <c r="E17" i="129" s="1"/>
  <c r="M24" i="129"/>
  <c r="E24" i="129" s="1"/>
  <c r="S24" i="136"/>
  <c r="C24" i="136" s="1"/>
  <c r="S26" i="136"/>
  <c r="C26" i="136" s="1"/>
  <c r="M26" i="129"/>
  <c r="E26" i="129" s="1"/>
  <c r="S14" i="136"/>
  <c r="C14" i="136" s="1"/>
  <c r="M14" i="129"/>
  <c r="E14" i="129" s="1"/>
  <c r="L9" i="129"/>
  <c r="R9" i="136"/>
  <c r="V206" i="1" l="1"/>
  <c r="V339" i="1"/>
  <c r="V342" i="1"/>
  <c r="V188" i="1"/>
  <c r="V178" i="1"/>
  <c r="V184" i="1"/>
  <c r="V287" i="1"/>
  <c r="V248" i="1"/>
  <c r="V282" i="1"/>
  <c r="V296" i="1"/>
  <c r="V271" i="1"/>
  <c r="V295" i="1"/>
  <c r="V259" i="1"/>
  <c r="V201" i="1"/>
  <c r="V329" i="1"/>
  <c r="V222" i="1"/>
  <c r="V323" i="1"/>
  <c r="V302" i="1"/>
  <c r="V194" i="1"/>
  <c r="V330" i="1"/>
  <c r="V174" i="1"/>
  <c r="V238" i="1"/>
  <c r="V231" i="1"/>
  <c r="V221" i="1"/>
  <c r="V187" i="1"/>
  <c r="V335" i="1"/>
  <c r="V173" i="1"/>
  <c r="EZ64" i="93"/>
  <c r="V219" i="1"/>
  <c r="T62" i="98" s="1"/>
  <c r="V209" i="1"/>
  <c r="V214" i="1"/>
  <c r="V217" i="1"/>
  <c r="V210" i="1"/>
  <c r="V212" i="1"/>
  <c r="V218" i="1"/>
  <c r="V216" i="1"/>
  <c r="B17" i="136"/>
  <c r="B13" i="136"/>
  <c r="B12" i="136"/>
  <c r="B26" i="136"/>
  <c r="B15" i="136"/>
  <c r="B10" i="136"/>
  <c r="B23" i="136"/>
  <c r="B14" i="136"/>
  <c r="B21" i="136"/>
  <c r="B18" i="136"/>
  <c r="B9" i="136"/>
  <c r="B8" i="136"/>
  <c r="B16" i="136"/>
  <c r="B11" i="136"/>
  <c r="B24" i="136"/>
  <c r="B22" i="136"/>
  <c r="B19" i="136"/>
  <c r="B25" i="136"/>
  <c r="B20" i="136"/>
  <c r="DJ45" i="1"/>
  <c r="KT64" i="93"/>
  <c r="KU64" i="93" s="1"/>
  <c r="KV64" i="93" s="1"/>
  <c r="KW64" i="93" s="1"/>
  <c r="KX64" i="93" s="1"/>
  <c r="KY64" i="93" s="1"/>
  <c r="KZ64" i="93" s="1"/>
  <c r="LA64" i="93" s="1"/>
  <c r="LB64" i="93" s="1"/>
  <c r="A17" i="129"/>
  <c r="F17" i="129"/>
  <c r="A23" i="129"/>
  <c r="F23" i="129"/>
  <c r="A19" i="129"/>
  <c r="F19" i="129"/>
  <c r="A20" i="129"/>
  <c r="F20" i="129"/>
  <c r="A11" i="129"/>
  <c r="F11" i="129"/>
  <c r="A8" i="129"/>
  <c r="F8" i="129"/>
  <c r="A9" i="129"/>
  <c r="F9" i="129"/>
  <c r="A22" i="129"/>
  <c r="F22" i="129"/>
  <c r="A21" i="129"/>
  <c r="F21" i="129"/>
  <c r="A26" i="129"/>
  <c r="F26" i="129"/>
  <c r="A12" i="129"/>
  <c r="F12" i="129"/>
  <c r="A25" i="129"/>
  <c r="F25" i="129"/>
  <c r="A10" i="129"/>
  <c r="F10" i="129"/>
  <c r="A16" i="129"/>
  <c r="F16" i="129"/>
  <c r="A13" i="129"/>
  <c r="F13" i="129"/>
  <c r="A24" i="129"/>
  <c r="F24" i="129"/>
  <c r="A14" i="129"/>
  <c r="F14" i="129"/>
  <c r="A18" i="129"/>
  <c r="F18" i="129"/>
  <c r="A15" i="129"/>
  <c r="F15" i="129"/>
  <c r="A7" i="129"/>
  <c r="F7" i="129"/>
  <c r="D8" i="129"/>
  <c r="D9" i="129"/>
  <c r="D26" i="129"/>
  <c r="D12" i="129"/>
  <c r="D14" i="129"/>
  <c r="D17" i="129"/>
  <c r="D20" i="129"/>
  <c r="D15" i="129"/>
  <c r="D25" i="129"/>
  <c r="D19" i="129"/>
  <c r="D23" i="129"/>
  <c r="D16" i="129"/>
  <c r="D18" i="129"/>
  <c r="D22" i="129"/>
  <c r="D21" i="129"/>
  <c r="D24" i="129"/>
  <c r="D7" i="129"/>
  <c r="D13" i="129"/>
  <c r="D10" i="129"/>
  <c r="D11" i="129"/>
  <c r="FD29" i="98"/>
  <c r="BC131" i="123"/>
  <c r="FT64" i="93"/>
  <c r="DJ56" i="1" s="1"/>
  <c r="AY206" i="1" l="1"/>
  <c r="AY339" i="1"/>
  <c r="AY188" i="1"/>
  <c r="AY184" i="1"/>
  <c r="AY178" i="1"/>
  <c r="AY295" i="1"/>
  <c r="AY287" i="1"/>
  <c r="AY282" i="1"/>
  <c r="AY259" i="1"/>
  <c r="AY248" i="1"/>
  <c r="AY271" i="1"/>
  <c r="AY296" i="1"/>
  <c r="AY330" i="1"/>
  <c r="AY174" i="1"/>
  <c r="AY323" i="1"/>
  <c r="AY194" i="1"/>
  <c r="AY329" i="1"/>
  <c r="AY222" i="1"/>
  <c r="AY201" i="1"/>
  <c r="AY238" i="1"/>
  <c r="AY221" i="1"/>
  <c r="AY187" i="1"/>
  <c r="AY231" i="1"/>
  <c r="AY302" i="1"/>
  <c r="AY173" i="1"/>
  <c r="AY342" i="1"/>
  <c r="AY335" i="1"/>
  <c r="BI206" i="1"/>
  <c r="BI339" i="1"/>
  <c r="BI342" i="1"/>
  <c r="BI188" i="1"/>
  <c r="BI178" i="1"/>
  <c r="BI184" i="1"/>
  <c r="BI248" i="1"/>
  <c r="BI295" i="1"/>
  <c r="BI287" i="1"/>
  <c r="BI271" i="1"/>
  <c r="BI296" i="1"/>
  <c r="BI259" i="1"/>
  <c r="BI282" i="1"/>
  <c r="BI323" i="1"/>
  <c r="BI194" i="1"/>
  <c r="BI302" i="1"/>
  <c r="BI221" i="1"/>
  <c r="BI329" i="1"/>
  <c r="BI201" i="1"/>
  <c r="BI238" i="1"/>
  <c r="BI231" i="1"/>
  <c r="BI335" i="1"/>
  <c r="BI330" i="1"/>
  <c r="BI187" i="1"/>
  <c r="BI222" i="1"/>
  <c r="BI174" i="1"/>
  <c r="BI173" i="1"/>
  <c r="BI219" i="1"/>
  <c r="BI209" i="1"/>
  <c r="AY219" i="1"/>
  <c r="AY209" i="1"/>
  <c r="BI214" i="1"/>
  <c r="BI217" i="1"/>
  <c r="AY214" i="1"/>
  <c r="AY217" i="1"/>
  <c r="BI210" i="1"/>
  <c r="BI212" i="1"/>
  <c r="AY210" i="1"/>
  <c r="AY212" i="1"/>
  <c r="BI218" i="1"/>
  <c r="BI216" i="1"/>
  <c r="AY215" i="1"/>
  <c r="AY218" i="1"/>
  <c r="AY216" i="1"/>
  <c r="AY273" i="1"/>
  <c r="AY207" i="1"/>
  <c r="AY208" i="1"/>
  <c r="DJ46" i="1"/>
  <c r="AY205" i="1"/>
  <c r="AY211" i="1"/>
  <c r="AY213" i="1"/>
  <c r="BI215" i="1"/>
  <c r="BI213" i="1"/>
  <c r="BI211" i="1"/>
  <c r="BI207" i="1"/>
  <c r="BI208" i="1"/>
  <c r="BI205" i="1"/>
  <c r="DJ47" i="1"/>
  <c r="BD131" i="123"/>
  <c r="AY185" i="1"/>
  <c r="AY244" i="1"/>
  <c r="AY352" i="1"/>
  <c r="AY307" i="1"/>
  <c r="AY299" i="1"/>
  <c r="AY237" i="1"/>
  <c r="AY311" i="1"/>
  <c r="AY269" i="1"/>
  <c r="AY334" i="1"/>
  <c r="AY250" i="1"/>
  <c r="IR64" i="93"/>
  <c r="AY197" i="1"/>
  <c r="AY254" i="1"/>
  <c r="AY260" i="1"/>
  <c r="AY186" i="1"/>
  <c r="AY363" i="1"/>
  <c r="AY321" i="1"/>
  <c r="AY190" i="1"/>
  <c r="AY234" i="1"/>
  <c r="AY242" i="1"/>
  <c r="AY280" i="1"/>
  <c r="AY203" i="1"/>
  <c r="AY227" i="1"/>
  <c r="AY255" i="1"/>
  <c r="AY290" i="1"/>
  <c r="AY264" i="1"/>
  <c r="AY261" i="1"/>
  <c r="AY308" i="1"/>
  <c r="AY267" i="1"/>
  <c r="AY320" i="1"/>
  <c r="AY235" i="1"/>
  <c r="AY346" i="1"/>
  <c r="AY240" i="1"/>
  <c r="AY191" i="1"/>
  <c r="AY312" i="1"/>
  <c r="AY246" i="1"/>
  <c r="AY279" i="1"/>
  <c r="AY317" i="1"/>
  <c r="AY340" i="1"/>
  <c r="AY256" i="1"/>
  <c r="BI344" i="1"/>
  <c r="BI267" i="1"/>
  <c r="BI308" i="1"/>
  <c r="BI258" i="1"/>
  <c r="BI325" i="1"/>
  <c r="BI239" i="1"/>
  <c r="BI318" i="1"/>
  <c r="BI353" i="1"/>
  <c r="BI331" i="1"/>
  <c r="BI351" i="1"/>
  <c r="BI235" i="1"/>
  <c r="BI341" i="1"/>
  <c r="BI251" i="1"/>
  <c r="BI364" i="1"/>
  <c r="BI199" i="1"/>
  <c r="BI179" i="1"/>
  <c r="BI229" i="1"/>
  <c r="BI362" i="1"/>
  <c r="BI189" i="1"/>
  <c r="BI195" i="1"/>
  <c r="BI293" i="1"/>
  <c r="BI250" i="1"/>
  <c r="BI260" i="1"/>
  <c r="BI317" i="1"/>
  <c r="BI333" i="1"/>
  <c r="BI343" i="1"/>
  <c r="BI261" i="1"/>
  <c r="BI228" i="1"/>
  <c r="BI276" i="1"/>
  <c r="BI263" i="1"/>
  <c r="BI223" i="1"/>
  <c r="BI190" i="1"/>
  <c r="BI243" i="1"/>
  <c r="BI349" i="1"/>
  <c r="BI298" i="1"/>
  <c r="BI301" i="1"/>
  <c r="BI266" i="1"/>
  <c r="BI277" i="1"/>
  <c r="BI275" i="1"/>
  <c r="BI307" i="1"/>
  <c r="BI338" i="1"/>
  <c r="BI315" i="1"/>
  <c r="BI183" i="1"/>
  <c r="BI181" i="1"/>
  <c r="BI234" i="1"/>
  <c r="BI347" i="1"/>
  <c r="BI252" i="1"/>
  <c r="BI306" i="1"/>
  <c r="BI313" i="1"/>
  <c r="BI182" i="1"/>
  <c r="BI314" i="1"/>
  <c r="BI186" i="1"/>
  <c r="BI253" i="1"/>
  <c r="BI322" i="1"/>
  <c r="BI220" i="1"/>
  <c r="BI236" i="1"/>
  <c r="BI350" i="1"/>
  <c r="BI273" i="1"/>
  <c r="BI345" i="1"/>
  <c r="BI358" i="1"/>
  <c r="BI241" i="1"/>
  <c r="BI192" i="1"/>
  <c r="BI256" i="1"/>
  <c r="BI230" i="1"/>
  <c r="BI281" i="1"/>
  <c r="BI320" i="1"/>
  <c r="BI262" i="1"/>
  <c r="BI327" i="1"/>
  <c r="BI294" i="1"/>
  <c r="BI286" i="1"/>
  <c r="BI340" i="1"/>
  <c r="BI288" i="1"/>
  <c r="BI352" i="1"/>
  <c r="BI265" i="1"/>
  <c r="BI299" i="1"/>
  <c r="BI292" i="1"/>
  <c r="BI363" i="1"/>
  <c r="BI193" i="1"/>
  <c r="BI316" i="1"/>
  <c r="BI202" i="1"/>
  <c r="BI324" i="1"/>
  <c r="BI180" i="1"/>
  <c r="BI348" i="1"/>
  <c r="BI200" i="1"/>
  <c r="BI280" i="1"/>
  <c r="BI283" i="1"/>
  <c r="BI176" i="1"/>
  <c r="BI249" i="1"/>
  <c r="BI175" i="1"/>
  <c r="BI357" i="1"/>
  <c r="BI360" i="1"/>
  <c r="BI198" i="1"/>
  <c r="BI191" i="1"/>
  <c r="BI356" i="1"/>
  <c r="BI361" i="1"/>
  <c r="BI289" i="1"/>
  <c r="BI337" i="1"/>
  <c r="BI305" i="1"/>
  <c r="BI284" i="1"/>
  <c r="BI332" i="1"/>
  <c r="BI274" i="1"/>
  <c r="BI247" i="1"/>
  <c r="BI185" i="1"/>
  <c r="BI177" i="1"/>
  <c r="BI346" i="1"/>
  <c r="BI309" i="1"/>
  <c r="BI242" i="1"/>
  <c r="BI268" i="1"/>
  <c r="BI196" i="1"/>
  <c r="BI226" i="1"/>
  <c r="BI227" i="1"/>
  <c r="BI336" i="1"/>
  <c r="BI304" i="1"/>
  <c r="BI279" i="1"/>
  <c r="BI254" i="1"/>
  <c r="BI232" i="1"/>
  <c r="BI354" i="1"/>
  <c r="BI240" i="1"/>
  <c r="BI312" i="1"/>
  <c r="BI264" i="1"/>
  <c r="BI311" i="1"/>
  <c r="BI319" i="1"/>
  <c r="BI321" i="1"/>
  <c r="BI328" i="1"/>
  <c r="BI291" i="1"/>
  <c r="BI297" i="1"/>
  <c r="BI303" i="1"/>
  <c r="BI334" i="1"/>
  <c r="BI237" i="1"/>
  <c r="BI310" i="1"/>
  <c r="BI326" i="1"/>
  <c r="BI225" i="1"/>
  <c r="BI224" i="1"/>
  <c r="BI246" i="1"/>
  <c r="BI269" i="1"/>
  <c r="BI233" i="1"/>
  <c r="BI285" i="1"/>
  <c r="BI197" i="1"/>
  <c r="BI204" i="1"/>
  <c r="BI257" i="1"/>
  <c r="BI355" i="1"/>
  <c r="BI300" i="1"/>
  <c r="BI272" i="1"/>
  <c r="BI245" i="1"/>
  <c r="BI290" i="1"/>
  <c r="BI203" i="1"/>
  <c r="BI255" i="1"/>
  <c r="BI278" i="1"/>
  <c r="BI359" i="1"/>
  <c r="BI270" i="1"/>
  <c r="BI244" i="1"/>
  <c r="FU64" i="93"/>
  <c r="DJ57" i="1" s="1"/>
  <c r="AY181" i="1"/>
  <c r="AY202" i="1"/>
  <c r="AY306" i="1"/>
  <c r="AY263" i="1"/>
  <c r="AY301" i="1"/>
  <c r="AY232" i="1"/>
  <c r="AY278" i="1"/>
  <c r="AY220" i="1"/>
  <c r="AY176" i="1"/>
  <c r="AY243" i="1"/>
  <c r="AY318" i="1"/>
  <c r="AY359" i="1"/>
  <c r="AY348" i="1"/>
  <c r="AY305" i="1"/>
  <c r="AY315" i="1"/>
  <c r="AY310" i="1"/>
  <c r="AY182" i="1"/>
  <c r="AY338" i="1"/>
  <c r="AY224" i="1"/>
  <c r="AY341" i="1"/>
  <c r="AY252" i="1"/>
  <c r="AY347" i="1"/>
  <c r="AY258" i="1"/>
  <c r="AY241" i="1"/>
  <c r="AY284" i="1"/>
  <c r="AY200" i="1"/>
  <c r="AY294" i="1"/>
  <c r="AY349" i="1"/>
  <c r="AY226" i="1"/>
  <c r="AY313" i="1"/>
  <c r="AY228" i="1"/>
  <c r="AY274" i="1"/>
  <c r="AY362" i="1"/>
  <c r="AY281" i="1"/>
  <c r="AY316" i="1"/>
  <c r="AY189" i="1"/>
  <c r="AY292" i="1"/>
  <c r="AY350" i="1"/>
  <c r="AY309" i="1"/>
  <c r="AY314" i="1"/>
  <c r="AY198" i="1"/>
  <c r="AY286" i="1"/>
  <c r="AY285" i="1"/>
  <c r="AY300" i="1"/>
  <c r="AY225" i="1"/>
  <c r="AY303" i="1"/>
  <c r="AY180" i="1"/>
  <c r="AY236" i="1"/>
  <c r="AY298" i="1"/>
  <c r="AY297" i="1"/>
  <c r="AY357" i="1"/>
  <c r="AY204" i="1"/>
  <c r="AY268" i="1"/>
  <c r="AY293" i="1"/>
  <c r="AY364" i="1"/>
  <c r="AY356" i="1"/>
  <c r="AY326" i="1"/>
  <c r="AY270" i="1"/>
  <c r="AY336" i="1"/>
  <c r="AY333" i="1"/>
  <c r="AY196" i="1"/>
  <c r="AY223" i="1"/>
  <c r="AY289" i="1"/>
  <c r="AY179" i="1"/>
  <c r="AY262" i="1"/>
  <c r="AY192" i="1"/>
  <c r="AY183" i="1"/>
  <c r="AY288" i="1"/>
  <c r="AY230" i="1"/>
  <c r="AY247" i="1"/>
  <c r="AY354" i="1"/>
  <c r="AY324" i="1"/>
  <c r="AY195" i="1"/>
  <c r="AY265" i="1"/>
  <c r="BM131" i="123"/>
  <c r="AY331" i="1"/>
  <c r="AY291" i="1"/>
  <c r="AY328" i="1"/>
  <c r="AY353" i="1"/>
  <c r="AY239" i="1"/>
  <c r="AY229" i="1"/>
  <c r="AY233" i="1"/>
  <c r="AY332" i="1"/>
  <c r="AY355" i="1"/>
  <c r="AY337" i="1"/>
  <c r="AY327" i="1"/>
  <c r="AY245" i="1"/>
  <c r="AY272" i="1"/>
  <c r="AY358" i="1"/>
  <c r="AY276" i="1"/>
  <c r="AY345" i="1"/>
  <c r="AY319" i="1"/>
  <c r="AY325" i="1"/>
  <c r="AY177" i="1"/>
  <c r="AY344" i="1"/>
  <c r="AY277" i="1"/>
  <c r="AY193" i="1"/>
  <c r="AY343" i="1"/>
  <c r="AY304" i="1"/>
  <c r="AY249" i="1"/>
  <c r="AY351" i="1"/>
  <c r="AY275" i="1"/>
  <c r="AY257" i="1"/>
  <c r="AY360" i="1"/>
  <c r="AY322" i="1"/>
  <c r="AY283" i="1"/>
  <c r="AY175" i="1"/>
  <c r="AY266" i="1"/>
  <c r="AY253" i="1"/>
  <c r="AY251" i="1"/>
  <c r="AY199" i="1"/>
  <c r="AY361" i="1"/>
  <c r="AZ206" i="1" l="1"/>
  <c r="AZ339" i="1"/>
  <c r="AZ188" i="1"/>
  <c r="AZ184" i="1"/>
  <c r="AZ178" i="1"/>
  <c r="AZ248" i="1"/>
  <c r="AZ271" i="1"/>
  <c r="AZ296" i="1"/>
  <c r="AZ295" i="1"/>
  <c r="AZ282" i="1"/>
  <c r="AZ287" i="1"/>
  <c r="AZ259" i="1"/>
  <c r="AZ187" i="1"/>
  <c r="AZ238" i="1"/>
  <c r="AZ302" i="1"/>
  <c r="AZ330" i="1"/>
  <c r="AZ231" i="1"/>
  <c r="AZ174" i="1"/>
  <c r="AZ194" i="1"/>
  <c r="AZ329" i="1"/>
  <c r="AZ221" i="1"/>
  <c r="AZ323" i="1"/>
  <c r="AZ222" i="1"/>
  <c r="AZ201" i="1"/>
  <c r="AZ173" i="1"/>
  <c r="AZ342" i="1"/>
  <c r="AZ335" i="1"/>
  <c r="BJ206" i="1"/>
  <c r="BJ339" i="1"/>
  <c r="BJ342" i="1"/>
  <c r="BJ188" i="1"/>
  <c r="BJ184" i="1"/>
  <c r="BJ178" i="1"/>
  <c r="BJ282" i="1"/>
  <c r="BJ271" i="1"/>
  <c r="BJ295" i="1"/>
  <c r="BJ287" i="1"/>
  <c r="BJ248" i="1"/>
  <c r="BJ296" i="1"/>
  <c r="BJ259" i="1"/>
  <c r="BJ231" i="1"/>
  <c r="BJ222" i="1"/>
  <c r="BJ323" i="1"/>
  <c r="BJ174" i="1"/>
  <c r="BJ330" i="1"/>
  <c r="BJ238" i="1"/>
  <c r="BJ302" i="1"/>
  <c r="BJ187" i="1"/>
  <c r="BJ221" i="1"/>
  <c r="BJ329" i="1"/>
  <c r="BJ201" i="1"/>
  <c r="BJ194" i="1"/>
  <c r="BJ335" i="1"/>
  <c r="BJ173" i="1"/>
  <c r="BA206" i="1"/>
  <c r="BA339" i="1"/>
  <c r="BA188" i="1"/>
  <c r="BA178" i="1"/>
  <c r="BA184" i="1"/>
  <c r="BA259" i="1"/>
  <c r="BA271" i="1"/>
  <c r="BA248" i="1"/>
  <c r="BA287" i="1"/>
  <c r="BA296" i="1"/>
  <c r="BA295" i="1"/>
  <c r="BA282" i="1"/>
  <c r="BA201" i="1"/>
  <c r="BA222" i="1"/>
  <c r="BA231" i="1"/>
  <c r="BA221" i="1"/>
  <c r="BA187" i="1"/>
  <c r="BA238" i="1"/>
  <c r="BA329" i="1"/>
  <c r="BA174" i="1"/>
  <c r="BA194" i="1"/>
  <c r="BA302" i="1"/>
  <c r="BA330" i="1"/>
  <c r="BA323" i="1"/>
  <c r="BA173" i="1"/>
  <c r="BA335" i="1"/>
  <c r="BA342" i="1"/>
  <c r="BA219" i="1"/>
  <c r="BA209" i="1"/>
  <c r="AZ219" i="1"/>
  <c r="AZ209" i="1"/>
  <c r="BJ219" i="1"/>
  <c r="BJ209" i="1"/>
  <c r="BJ214" i="1"/>
  <c r="BJ217" i="1"/>
  <c r="BA214" i="1"/>
  <c r="BA217" i="1"/>
  <c r="AZ214" i="1"/>
  <c r="AZ217" i="1"/>
  <c r="BJ210" i="1"/>
  <c r="BJ212" i="1"/>
  <c r="BA210" i="1"/>
  <c r="BA212" i="1"/>
  <c r="AZ210" i="1"/>
  <c r="AZ212" i="1"/>
  <c r="AZ211" i="1"/>
  <c r="AZ216" i="1"/>
  <c r="AZ218" i="1"/>
  <c r="BJ216" i="1"/>
  <c r="BJ218" i="1"/>
  <c r="BA216" i="1"/>
  <c r="BA218" i="1"/>
  <c r="AZ215" i="1"/>
  <c r="AZ213" i="1"/>
  <c r="DJ22" i="1"/>
  <c r="BJ215" i="1"/>
  <c r="BJ211" i="1"/>
  <c r="BJ213" i="1"/>
  <c r="BA215" i="1"/>
  <c r="BA211" i="1"/>
  <c r="BA213" i="1"/>
  <c r="AZ270" i="1"/>
  <c r="AZ207" i="1"/>
  <c r="AZ208" i="1"/>
  <c r="AZ205" i="1"/>
  <c r="BJ208" i="1"/>
  <c r="BJ207" i="1"/>
  <c r="BJ205" i="1"/>
  <c r="JJ64" i="93"/>
  <c r="EE64" i="93"/>
  <c r="AZ223" i="1"/>
  <c r="AZ298" i="1"/>
  <c r="AZ267" i="1"/>
  <c r="AZ301" i="1"/>
  <c r="AZ321" i="1"/>
  <c r="FV64" i="93"/>
  <c r="DJ58" i="1" s="1"/>
  <c r="AZ340" i="1"/>
  <c r="AZ333" i="1"/>
  <c r="AZ251" i="1"/>
  <c r="AZ236" i="1"/>
  <c r="AZ352" i="1"/>
  <c r="AZ200" i="1"/>
  <c r="AZ258" i="1"/>
  <c r="AZ220" i="1"/>
  <c r="AZ225" i="1"/>
  <c r="AZ312" i="1"/>
  <c r="AZ319" i="1"/>
  <c r="AZ193" i="1"/>
  <c r="AZ293" i="1"/>
  <c r="AZ179" i="1"/>
  <c r="AZ349" i="1"/>
  <c r="AZ177" i="1"/>
  <c r="AZ305" i="1"/>
  <c r="AZ273" i="1"/>
  <c r="AZ181" i="1"/>
  <c r="AZ235" i="1"/>
  <c r="AZ284" i="1"/>
  <c r="AZ272" i="1"/>
  <c r="AZ324" i="1"/>
  <c r="AZ280" i="1"/>
  <c r="AZ241" i="1"/>
  <c r="AZ281" i="1"/>
  <c r="AZ318" i="1"/>
  <c r="AZ234" i="1"/>
  <c r="AZ240" i="1"/>
  <c r="AZ263" i="1"/>
  <c r="AZ316" i="1"/>
  <c r="AZ227" i="1"/>
  <c r="AZ348" i="1"/>
  <c r="AZ277" i="1"/>
  <c r="AZ249" i="1"/>
  <c r="AZ317" i="1"/>
  <c r="AZ322" i="1"/>
  <c r="AZ303" i="1"/>
  <c r="AZ359" i="1"/>
  <c r="AZ195" i="1"/>
  <c r="AZ257" i="1"/>
  <c r="AZ357" i="1"/>
  <c r="AZ361" i="1"/>
  <c r="AZ229" i="1"/>
  <c r="AZ356" i="1"/>
  <c r="AZ311" i="1"/>
  <c r="AZ328" i="1"/>
  <c r="AZ320" i="1"/>
  <c r="AZ247" i="1"/>
  <c r="AZ262" i="1"/>
  <c r="AZ250" i="1"/>
  <c r="AZ237" i="1"/>
  <c r="AZ315" i="1"/>
  <c r="AZ196" i="1"/>
  <c r="AZ325" i="1"/>
  <c r="AZ351" i="1"/>
  <c r="AZ289" i="1"/>
  <c r="AZ192" i="1"/>
  <c r="AZ279" i="1"/>
  <c r="AZ308" i="1"/>
  <c r="AZ226" i="1"/>
  <c r="AZ294" i="1"/>
  <c r="AZ292" i="1"/>
  <c r="AZ338" i="1"/>
  <c r="AZ252" i="1"/>
  <c r="AZ228" i="1"/>
  <c r="AZ255" i="1"/>
  <c r="AZ327" i="1"/>
  <c r="AZ276" i="1"/>
  <c r="AZ190" i="1"/>
  <c r="AZ233" i="1"/>
  <c r="AZ285" i="1"/>
  <c r="AZ345" i="1"/>
  <c r="AZ261" i="1"/>
  <c r="AZ175" i="1"/>
  <c r="AZ239" i="1"/>
  <c r="AZ191" i="1"/>
  <c r="AZ290" i="1"/>
  <c r="AZ182" i="1"/>
  <c r="AZ358" i="1"/>
  <c r="AZ337" i="1"/>
  <c r="AZ260" i="1"/>
  <c r="AZ199" i="1"/>
  <c r="AZ297" i="1"/>
  <c r="AZ362" i="1"/>
  <c r="AZ283" i="1"/>
  <c r="AZ350" i="1"/>
  <c r="AZ198" i="1"/>
  <c r="AZ363" i="1"/>
  <c r="AZ266" i="1"/>
  <c r="AZ186" i="1"/>
  <c r="AZ314" i="1"/>
  <c r="AZ202" i="1"/>
  <c r="AZ243" i="1"/>
  <c r="AZ344" i="1"/>
  <c r="AZ336" i="1"/>
  <c r="AZ269" i="1"/>
  <c r="AZ354" i="1"/>
  <c r="AZ264" i="1"/>
  <c r="AZ278" i="1"/>
  <c r="AZ364" i="1"/>
  <c r="AZ197" i="1"/>
  <c r="AZ360" i="1"/>
  <c r="AZ300" i="1"/>
  <c r="AZ355" i="1"/>
  <c r="AZ310" i="1"/>
  <c r="AZ232" i="1"/>
  <c r="AZ180" i="1"/>
  <c r="AZ343" i="1"/>
  <c r="AZ313" i="1"/>
  <c r="AZ334" i="1"/>
  <c r="AZ299" i="1"/>
  <c r="AZ286" i="1"/>
  <c r="AZ176" i="1"/>
  <c r="AZ304" i="1"/>
  <c r="AZ256" i="1"/>
  <c r="AZ245" i="1"/>
  <c r="AZ185" i="1"/>
  <c r="AZ268" i="1"/>
  <c r="AZ230" i="1"/>
  <c r="AZ224" i="1"/>
  <c r="AZ346" i="1"/>
  <c r="AZ275" i="1"/>
  <c r="AZ265" i="1"/>
  <c r="AZ307" i="1"/>
  <c r="AZ244" i="1"/>
  <c r="AZ254" i="1"/>
  <c r="AZ326" i="1"/>
  <c r="AZ189" i="1"/>
  <c r="AZ253" i="1"/>
  <c r="AZ347" i="1"/>
  <c r="AZ332" i="1"/>
  <c r="AZ288" i="1"/>
  <c r="AZ306" i="1"/>
  <c r="AZ246" i="1"/>
  <c r="AZ353" i="1"/>
  <c r="AZ242" i="1"/>
  <c r="AZ331" i="1"/>
  <c r="AZ309" i="1"/>
  <c r="AZ291" i="1"/>
  <c r="AZ341" i="1"/>
  <c r="AZ204" i="1"/>
  <c r="AZ274" i="1"/>
  <c r="AZ183" i="1"/>
  <c r="AZ203" i="1"/>
  <c r="BE131" i="123"/>
  <c r="BN131" i="123"/>
  <c r="AD206" i="1" l="1"/>
  <c r="AD339" i="1"/>
  <c r="AD342" i="1"/>
  <c r="AD188" i="1"/>
  <c r="AD184" i="1"/>
  <c r="AD178" i="1"/>
  <c r="AD248" i="1"/>
  <c r="AD287" i="1"/>
  <c r="AD295" i="1"/>
  <c r="AD282" i="1"/>
  <c r="AD296" i="1"/>
  <c r="AD271" i="1"/>
  <c r="AD259" i="1"/>
  <c r="AD302" i="1"/>
  <c r="AD222" i="1"/>
  <c r="AD174" i="1"/>
  <c r="AD323" i="1"/>
  <c r="AD187" i="1"/>
  <c r="AD238" i="1"/>
  <c r="AD194" i="1"/>
  <c r="AD231" i="1"/>
  <c r="AD335" i="1"/>
  <c r="AD330" i="1"/>
  <c r="AD201" i="1"/>
  <c r="AD221" i="1"/>
  <c r="AD329" i="1"/>
  <c r="AD173" i="1"/>
  <c r="BK206" i="1"/>
  <c r="BK339" i="1"/>
  <c r="BK342" i="1"/>
  <c r="BK188" i="1"/>
  <c r="BK178" i="1"/>
  <c r="BK184" i="1"/>
  <c r="BK287" i="1"/>
  <c r="BK296" i="1"/>
  <c r="BK248" i="1"/>
  <c r="BK282" i="1"/>
  <c r="BK271" i="1"/>
  <c r="BK259" i="1"/>
  <c r="BK295" i="1"/>
  <c r="BK222" i="1"/>
  <c r="BK201" i="1"/>
  <c r="BK335" i="1"/>
  <c r="BK194" i="1"/>
  <c r="BK221" i="1"/>
  <c r="BK174" i="1"/>
  <c r="BK231" i="1"/>
  <c r="BK323" i="1"/>
  <c r="BK238" i="1"/>
  <c r="BK302" i="1"/>
  <c r="BK187" i="1"/>
  <c r="BK330" i="1"/>
  <c r="BK329" i="1"/>
  <c r="BK173" i="1"/>
  <c r="AD219" i="1"/>
  <c r="AD209" i="1"/>
  <c r="BK219" i="1"/>
  <c r="BK209" i="1"/>
  <c r="BK214" i="1"/>
  <c r="BK217" i="1"/>
  <c r="AD214" i="1"/>
  <c r="AD217" i="1"/>
  <c r="AD210" i="1"/>
  <c r="AD212" i="1"/>
  <c r="BK210" i="1"/>
  <c r="BK212" i="1"/>
  <c r="AD216" i="1"/>
  <c r="AD218" i="1"/>
  <c r="BK218" i="1"/>
  <c r="BK216" i="1"/>
  <c r="AD189" i="1"/>
  <c r="AD225" i="1"/>
  <c r="AD241" i="1"/>
  <c r="AD257" i="1"/>
  <c r="AD273" i="1"/>
  <c r="AD289" i="1"/>
  <c r="AD305" i="1"/>
  <c r="AD321" i="1"/>
  <c r="AD347" i="1"/>
  <c r="AD363" i="1"/>
  <c r="AD242" i="1"/>
  <c r="AD192" i="1"/>
  <c r="AD220" i="1"/>
  <c r="AD236" i="1"/>
  <c r="AD256" i="1"/>
  <c r="AD272" i="1"/>
  <c r="AD288" i="1"/>
  <c r="AD308" i="1"/>
  <c r="AD324" i="1"/>
  <c r="AD338" i="1"/>
  <c r="AD358" i="1"/>
  <c r="AD226" i="1"/>
  <c r="AD183" i="1"/>
  <c r="AD239" i="1"/>
  <c r="AD278" i="1"/>
  <c r="AD307" i="1"/>
  <c r="AD353" i="1"/>
  <c r="AD243" i="1"/>
  <c r="AD310" i="1"/>
  <c r="AD336" i="1"/>
  <c r="AD364" i="1"/>
  <c r="AD290" i="1"/>
  <c r="AD357" i="1"/>
  <c r="AD267" i="1"/>
  <c r="AD298" i="1"/>
  <c r="AD258" i="1"/>
  <c r="AD343" i="1"/>
  <c r="AD208" i="1"/>
  <c r="AD268" i="1"/>
  <c r="AD334" i="1"/>
  <c r="AD254" i="1"/>
  <c r="AD345" i="1"/>
  <c r="AD266" i="1"/>
  <c r="AD223" i="1"/>
  <c r="AD322" i="1"/>
  <c r="AD319" i="1"/>
  <c r="AD177" i="1"/>
  <c r="AD193" i="1"/>
  <c r="AD229" i="1"/>
  <c r="AD245" i="1"/>
  <c r="AD261" i="1"/>
  <c r="AD277" i="1"/>
  <c r="AD293" i="1"/>
  <c r="AD309" i="1"/>
  <c r="AD325" i="1"/>
  <c r="AD351" i="1"/>
  <c r="AD186" i="1"/>
  <c r="AD250" i="1"/>
  <c r="AD200" i="1"/>
  <c r="AD224" i="1"/>
  <c r="AD240" i="1"/>
  <c r="AD260" i="1"/>
  <c r="AD276" i="1"/>
  <c r="AD292" i="1"/>
  <c r="AD312" i="1"/>
  <c r="AD328" i="1"/>
  <c r="AD346" i="1"/>
  <c r="AD362" i="1"/>
  <c r="AD234" i="1"/>
  <c r="AD191" i="1"/>
  <c r="AD251" i="1"/>
  <c r="AD286" i="1"/>
  <c r="AD315" i="1"/>
  <c r="AD361" i="1"/>
  <c r="AD255" i="1"/>
  <c r="AD318" i="1"/>
  <c r="AD341" i="1"/>
  <c r="AD235" i="1"/>
  <c r="AD311" i="1"/>
  <c r="AD179" i="1"/>
  <c r="AD275" i="1"/>
  <c r="AD306" i="1"/>
  <c r="AD344" i="1"/>
  <c r="AD274" i="1"/>
  <c r="AD349" i="1"/>
  <c r="AD283" i="1"/>
  <c r="AD352" i="1"/>
  <c r="AD303" i="1"/>
  <c r="AD185" i="1"/>
  <c r="AD237" i="1"/>
  <c r="AD253" i="1"/>
  <c r="AD285" i="1"/>
  <c r="AD317" i="1"/>
  <c r="AD359" i="1"/>
  <c r="AD180" i="1"/>
  <c r="AD252" i="1"/>
  <c r="AD284" i="1"/>
  <c r="AD320" i="1"/>
  <c r="AD190" i="1"/>
  <c r="AD227" i="1"/>
  <c r="AD299" i="1"/>
  <c r="AD279" i="1"/>
  <c r="AD356" i="1"/>
  <c r="AD181" i="1"/>
  <c r="AD205" i="1"/>
  <c r="AD233" i="1"/>
  <c r="AD249" i="1"/>
  <c r="AD265" i="1"/>
  <c r="AD281" i="1"/>
  <c r="AD297" i="1"/>
  <c r="AD313" i="1"/>
  <c r="AD333" i="1"/>
  <c r="AD355" i="1"/>
  <c r="AD213" i="1"/>
  <c r="AD176" i="1"/>
  <c r="AD204" i="1"/>
  <c r="AD228" i="1"/>
  <c r="AD244" i="1"/>
  <c r="AD264" i="1"/>
  <c r="AD280" i="1"/>
  <c r="AD300" i="1"/>
  <c r="AD316" i="1"/>
  <c r="AD332" i="1"/>
  <c r="AD350" i="1"/>
  <c r="AD182" i="1"/>
  <c r="AD246" i="1"/>
  <c r="AD215" i="1"/>
  <c r="AD262" i="1"/>
  <c r="AD294" i="1"/>
  <c r="AD340" i="1"/>
  <c r="AD175" i="1"/>
  <c r="AD263" i="1"/>
  <c r="AD326" i="1"/>
  <c r="AD348" i="1"/>
  <c r="AD247" i="1"/>
  <c r="AD327" i="1"/>
  <c r="AD207" i="1"/>
  <c r="AD314" i="1"/>
  <c r="AD211" i="1"/>
  <c r="AD269" i="1"/>
  <c r="AD301" i="1"/>
  <c r="AD230" i="1"/>
  <c r="AD232" i="1"/>
  <c r="AD304" i="1"/>
  <c r="AD354" i="1"/>
  <c r="AD270" i="1"/>
  <c r="AD203" i="1"/>
  <c r="AD331" i="1"/>
  <c r="AD337" i="1"/>
  <c r="AD291" i="1"/>
  <c r="AD360" i="1"/>
  <c r="AD199" i="1"/>
  <c r="AD202" i="1"/>
  <c r="AD198" i="1"/>
  <c r="AD195" i="1"/>
  <c r="AD196" i="1"/>
  <c r="AD197" i="1"/>
  <c r="BF131" i="123"/>
  <c r="DJ48" i="1"/>
  <c r="BK215" i="1"/>
  <c r="BK211" i="1"/>
  <c r="BK213" i="1"/>
  <c r="BK207" i="1"/>
  <c r="BK208" i="1"/>
  <c r="BK205" i="1"/>
  <c r="BA255" i="1"/>
  <c r="BA207" i="1"/>
  <c r="BA208" i="1"/>
  <c r="BA205" i="1"/>
  <c r="FK64" i="93"/>
  <c r="FK62" i="93" s="1"/>
  <c r="FN64" i="93"/>
  <c r="JK64" i="93" s="1"/>
  <c r="DJ49" i="1"/>
  <c r="FW64" i="93"/>
  <c r="DJ59" i="1" s="1"/>
  <c r="BO131" i="123"/>
  <c r="BA274" i="1"/>
  <c r="BA303" i="1"/>
  <c r="BA362" i="1"/>
  <c r="BA245" i="1"/>
  <c r="BA251" i="1"/>
  <c r="BA183" i="1"/>
  <c r="BA310" i="1"/>
  <c r="BA181" i="1"/>
  <c r="BA250" i="1"/>
  <c r="BA328" i="1"/>
  <c r="BA199" i="1"/>
  <c r="BA239" i="1"/>
  <c r="BA290" i="1"/>
  <c r="BA334" i="1"/>
  <c r="BA315" i="1"/>
  <c r="BA177" i="1"/>
  <c r="BA256" i="1"/>
  <c r="BA273" i="1"/>
  <c r="BA242" i="1"/>
  <c r="BA355" i="1"/>
  <c r="BA336" i="1"/>
  <c r="BA197" i="1"/>
  <c r="BA189" i="1"/>
  <c r="BA351" i="1"/>
  <c r="BA227" i="1"/>
  <c r="BA363" i="1"/>
  <c r="BA297" i="1"/>
  <c r="BA246" i="1"/>
  <c r="BA182" i="1"/>
  <c r="BA293" i="1"/>
  <c r="BA233" i="1"/>
  <c r="BA291" i="1"/>
  <c r="BA322" i="1"/>
  <c r="BA318" i="1"/>
  <c r="BA262" i="1"/>
  <c r="BA350" i="1"/>
  <c r="BA195" i="1"/>
  <c r="BA308" i="1"/>
  <c r="BA263" i="1"/>
  <c r="BA327" i="1"/>
  <c r="BA294" i="1"/>
  <c r="BA253" i="1"/>
  <c r="BA236" i="1"/>
  <c r="BA360" i="1"/>
  <c r="BA252" i="1"/>
  <c r="BA281" i="1"/>
  <c r="BA337" i="1"/>
  <c r="BA283" i="1"/>
  <c r="BA280" i="1"/>
  <c r="BA257" i="1"/>
  <c r="BA235" i="1"/>
  <c r="BA260" i="1"/>
  <c r="BA232" i="1"/>
  <c r="BA325" i="1"/>
  <c r="BA175" i="1"/>
  <c r="BA289" i="1"/>
  <c r="BA249" i="1"/>
  <c r="BA204" i="1"/>
  <c r="BA284" i="1"/>
  <c r="BA228" i="1"/>
  <c r="BA269" i="1"/>
  <c r="BA203" i="1"/>
  <c r="BA237" i="1"/>
  <c r="BA229" i="1"/>
  <c r="BA192" i="1"/>
  <c r="BA306" i="1"/>
  <c r="BA345" i="1"/>
  <c r="BA267" i="1"/>
  <c r="BA264" i="1"/>
  <c r="BA348" i="1"/>
  <c r="BA270" i="1"/>
  <c r="BA275" i="1"/>
  <c r="BA266" i="1"/>
  <c r="BA278" i="1"/>
  <c r="BA314" i="1"/>
  <c r="BA193" i="1"/>
  <c r="BA340" i="1"/>
  <c r="BA298" i="1"/>
  <c r="BA286" i="1"/>
  <c r="BA185" i="1"/>
  <c r="BA285" i="1"/>
  <c r="BA305" i="1"/>
  <c r="BA304" i="1"/>
  <c r="BA347" i="1"/>
  <c r="BA321" i="1"/>
  <c r="BA357" i="1"/>
  <c r="BA317" i="1"/>
  <c r="BA354" i="1"/>
  <c r="BA319" i="1"/>
  <c r="BA313" i="1"/>
  <c r="BA234" i="1"/>
  <c r="BA191" i="1"/>
  <c r="BA225" i="1"/>
  <c r="BA186" i="1"/>
  <c r="BA292" i="1"/>
  <c r="BA276" i="1"/>
  <c r="BA198" i="1"/>
  <c r="BA301" i="1"/>
  <c r="BA333" i="1"/>
  <c r="BA316" i="1"/>
  <c r="BA202" i="1"/>
  <c r="BA243" i="1"/>
  <c r="BA341" i="1"/>
  <c r="BA353" i="1"/>
  <c r="BA241" i="1"/>
  <c r="BA277" i="1"/>
  <c r="BA346" i="1"/>
  <c r="BA224" i="1"/>
  <c r="BA261" i="1"/>
  <c r="BA320" i="1"/>
  <c r="BA326" i="1"/>
  <c r="BA240" i="1"/>
  <c r="BA223" i="1"/>
  <c r="BA352" i="1"/>
  <c r="BA265" i="1"/>
  <c r="BA220" i="1"/>
  <c r="BA364" i="1"/>
  <c r="BA338" i="1"/>
  <c r="BA324" i="1"/>
  <c r="BA230" i="1"/>
  <c r="BA288" i="1"/>
  <c r="BA247" i="1"/>
  <c r="BA332" i="1"/>
  <c r="BA359" i="1"/>
  <c r="BA180" i="1"/>
  <c r="BA179" i="1"/>
  <c r="BA196" i="1"/>
  <c r="BA279" i="1"/>
  <c r="BA200" i="1"/>
  <c r="BA244" i="1"/>
  <c r="BA272" i="1"/>
  <c r="BA343" i="1"/>
  <c r="BA331" i="1"/>
  <c r="BA258" i="1"/>
  <c r="BA312" i="1"/>
  <c r="BA349" i="1"/>
  <c r="BA176" i="1"/>
  <c r="BA190" i="1"/>
  <c r="BA226" i="1"/>
  <c r="BA254" i="1"/>
  <c r="BA299" i="1"/>
  <c r="BA358" i="1"/>
  <c r="BA268" i="1"/>
  <c r="BA311" i="1"/>
  <c r="BA307" i="1"/>
  <c r="BA356" i="1"/>
  <c r="BA309" i="1"/>
  <c r="BA344" i="1"/>
  <c r="BA361" i="1"/>
  <c r="BA300" i="1"/>
  <c r="BJ306" i="1"/>
  <c r="BJ245" i="1"/>
  <c r="BJ253" i="1"/>
  <c r="BJ273" i="1"/>
  <c r="BJ318" i="1"/>
  <c r="BJ180" i="1"/>
  <c r="BJ293" i="1"/>
  <c r="BJ196" i="1"/>
  <c r="BJ321" i="1"/>
  <c r="BJ181" i="1"/>
  <c r="BJ257" i="1"/>
  <c r="BJ346" i="1"/>
  <c r="BJ262" i="1"/>
  <c r="BJ230" i="1"/>
  <c r="BJ277" i="1"/>
  <c r="BJ361" i="1"/>
  <c r="BJ255" i="1"/>
  <c r="BJ278" i="1"/>
  <c r="BJ239" i="1"/>
  <c r="BJ228" i="1"/>
  <c r="BJ252" i="1"/>
  <c r="BJ352" i="1"/>
  <c r="BJ332" i="1"/>
  <c r="BJ286" i="1"/>
  <c r="BJ317" i="1"/>
  <c r="BJ244" i="1"/>
  <c r="BJ308" i="1"/>
  <c r="BJ200" i="1"/>
  <c r="BJ345" i="1"/>
  <c r="BJ229" i="1"/>
  <c r="BJ226" i="1"/>
  <c r="BJ289" i="1"/>
  <c r="BJ189" i="1"/>
  <c r="BJ247" i="1"/>
  <c r="BJ224" i="1"/>
  <c r="BJ304" i="1"/>
  <c r="BJ340" i="1"/>
  <c r="BJ344" i="1"/>
  <c r="BJ291" i="1"/>
  <c r="BJ272" i="1"/>
  <c r="BJ269" i="1"/>
  <c r="BJ309" i="1"/>
  <c r="BJ256" i="1"/>
  <c r="BJ290" i="1"/>
  <c r="BJ358" i="1"/>
  <c r="BJ225" i="1"/>
  <c r="BJ294" i="1"/>
  <c r="BJ320" i="1"/>
  <c r="BJ274" i="1"/>
  <c r="BJ202" i="1"/>
  <c r="BJ303" i="1"/>
  <c r="BJ311" i="1"/>
  <c r="BJ283" i="1"/>
  <c r="BJ281" i="1"/>
  <c r="BJ316" i="1"/>
  <c r="BJ337" i="1"/>
  <c r="BJ299" i="1"/>
  <c r="BJ315" i="1"/>
  <c r="BJ261" i="1"/>
  <c r="BJ351" i="1"/>
  <c r="BJ254" i="1"/>
  <c r="BJ249" i="1"/>
  <c r="BJ227" i="1"/>
  <c r="BJ334" i="1"/>
  <c r="BJ235" i="1"/>
  <c r="BJ191" i="1"/>
  <c r="BJ264" i="1"/>
  <c r="BJ190" i="1"/>
  <c r="BJ265" i="1"/>
  <c r="BJ301" i="1"/>
  <c r="BJ220" i="1"/>
  <c r="BJ236" i="1"/>
  <c r="BJ223" i="1"/>
  <c r="BJ350" i="1"/>
  <c r="BJ268" i="1"/>
  <c r="BJ267" i="1"/>
  <c r="BJ364" i="1"/>
  <c r="BJ177" i="1"/>
  <c r="BJ341" i="1"/>
  <c r="BJ357" i="1"/>
  <c r="BJ312" i="1"/>
  <c r="BJ336" i="1"/>
  <c r="BJ326" i="1"/>
  <c r="BJ175" i="1"/>
  <c r="BJ203" i="1"/>
  <c r="BJ292" i="1"/>
  <c r="BJ300" i="1"/>
  <c r="BJ266" i="1"/>
  <c r="BJ314" i="1"/>
  <c r="BJ348" i="1"/>
  <c r="BJ310" i="1"/>
  <c r="BJ275" i="1"/>
  <c r="BJ198" i="1"/>
  <c r="BJ319" i="1"/>
  <c r="BJ270" i="1"/>
  <c r="BJ195" i="1"/>
  <c r="BJ232" i="1"/>
  <c r="BJ186" i="1"/>
  <c r="BJ263" i="1"/>
  <c r="BJ360" i="1"/>
  <c r="BJ250" i="1"/>
  <c r="BJ297" i="1"/>
  <c r="BJ324" i="1"/>
  <c r="BJ356" i="1"/>
  <c r="BJ333" i="1"/>
  <c r="BJ349" i="1"/>
  <c r="BJ298" i="1"/>
  <c r="BJ359" i="1"/>
  <c r="BJ362" i="1"/>
  <c r="BJ353" i="1"/>
  <c r="BJ285" i="1"/>
  <c r="BJ280" i="1"/>
  <c r="BJ204" i="1"/>
  <c r="BJ322" i="1"/>
  <c r="BJ241" i="1"/>
  <c r="BJ331" i="1"/>
  <c r="BJ199" i="1"/>
  <c r="BJ305" i="1"/>
  <c r="BJ183" i="1"/>
  <c r="BJ355" i="1"/>
  <c r="BJ234" i="1"/>
  <c r="BJ354" i="1"/>
  <c r="BJ182" i="1"/>
  <c r="BJ288" i="1"/>
  <c r="BJ328" i="1"/>
  <c r="BJ325" i="1"/>
  <c r="BJ179" i="1"/>
  <c r="BJ233" i="1"/>
  <c r="BJ363" i="1"/>
  <c r="BJ243" i="1"/>
  <c r="BJ242" i="1"/>
  <c r="BJ192" i="1"/>
  <c r="BJ307" i="1"/>
  <c r="BJ197" i="1"/>
  <c r="BJ176" i="1"/>
  <c r="BJ193" i="1"/>
  <c r="BJ276" i="1"/>
  <c r="BJ240" i="1"/>
  <c r="BJ237" i="1"/>
  <c r="BJ185" i="1"/>
  <c r="BJ260" i="1"/>
  <c r="BJ313" i="1"/>
  <c r="BJ246" i="1"/>
  <c r="BJ258" i="1"/>
  <c r="BJ343" i="1"/>
  <c r="BJ284" i="1"/>
  <c r="BJ347" i="1"/>
  <c r="BJ338" i="1"/>
  <c r="BJ251" i="1"/>
  <c r="BJ279" i="1"/>
  <c r="BJ327" i="1"/>
  <c r="BK266" i="1"/>
  <c r="BK300" i="1"/>
  <c r="BK341" i="1"/>
  <c r="BK198" i="1"/>
  <c r="BK324" i="1"/>
  <c r="BK247" i="1"/>
  <c r="BK316" i="1"/>
  <c r="BK349" i="1"/>
  <c r="BK355" i="1"/>
  <c r="BK277" i="1"/>
  <c r="BK345" i="1"/>
  <c r="BK279" i="1"/>
  <c r="BK191" i="1"/>
  <c r="BK253" i="1"/>
  <c r="BK364" i="1"/>
  <c r="BK359" i="1"/>
  <c r="BK319" i="1"/>
  <c r="BK228" i="1"/>
  <c r="BK346" i="1"/>
  <c r="BK185" i="1"/>
  <c r="BK250" i="1"/>
  <c r="BK267" i="1"/>
  <c r="BK175" i="1"/>
  <c r="BK356" i="1"/>
  <c r="BK273" i="1"/>
  <c r="BK298" i="1"/>
  <c r="BK236" i="1"/>
  <c r="BK195" i="1"/>
  <c r="BK192" i="1"/>
  <c r="BK309" i="1"/>
  <c r="BK229" i="1"/>
  <c r="BK193" i="1"/>
  <c r="BK227" i="1"/>
  <c r="BK297" i="1"/>
  <c r="BK272" i="1"/>
  <c r="BK220" i="1"/>
  <c r="BK301" i="1"/>
  <c r="BK293" i="1"/>
  <c r="BK239" i="1"/>
  <c r="BK197" i="1"/>
  <c r="BK357" i="1"/>
  <c r="BK241" i="1"/>
  <c r="BK305" i="1"/>
  <c r="BK226" i="1"/>
  <c r="BK331" i="1"/>
  <c r="BK290" i="1"/>
  <c r="BK264" i="1"/>
  <c r="BK262" i="1"/>
  <c r="BK255" i="1"/>
  <c r="BK291" i="1"/>
  <c r="BK254" i="1"/>
  <c r="BK261" i="1"/>
  <c r="BK358" i="1"/>
  <c r="BK314" i="1"/>
  <c r="BK317" i="1"/>
  <c r="BK243" i="1"/>
  <c r="BK352" i="1"/>
  <c r="BK361" i="1"/>
  <c r="BK256" i="1"/>
  <c r="BK286" i="1"/>
  <c r="BK270" i="1"/>
  <c r="BK318" i="1"/>
  <c r="BK289" i="1"/>
  <c r="BK337" i="1"/>
  <c r="BK310" i="1"/>
  <c r="BK328" i="1"/>
  <c r="BK292" i="1"/>
  <c r="BK196" i="1"/>
  <c r="BK351" i="1"/>
  <c r="BK258" i="1"/>
  <c r="BK232" i="1"/>
  <c r="BK189" i="1"/>
  <c r="BK275" i="1"/>
  <c r="BK183" i="1"/>
  <c r="BK235" i="1"/>
  <c r="BK257" i="1"/>
  <c r="BK299" i="1"/>
  <c r="BK362" i="1"/>
  <c r="BK285" i="1"/>
  <c r="BK200" i="1"/>
  <c r="BK225" i="1"/>
  <c r="BK312" i="1"/>
  <c r="BK190" i="1"/>
  <c r="BK186" i="1"/>
  <c r="BK315" i="1"/>
  <c r="BK334" i="1"/>
  <c r="BK283" i="1"/>
  <c r="BK343" i="1"/>
  <c r="BK306" i="1"/>
  <c r="BK181" i="1"/>
  <c r="BK313" i="1"/>
  <c r="BK353" i="1"/>
  <c r="BK244" i="1"/>
  <c r="BK199" i="1"/>
  <c r="BK294" i="1"/>
  <c r="BK246" i="1"/>
  <c r="BK325" i="1"/>
  <c r="BK223" i="1"/>
  <c r="BK281" i="1"/>
  <c r="BK321" i="1"/>
  <c r="BK260" i="1"/>
  <c r="BK332" i="1"/>
  <c r="BK245" i="1"/>
  <c r="BK237" i="1"/>
  <c r="BK304" i="1"/>
  <c r="BK303" i="1"/>
  <c r="BK268" i="1"/>
  <c r="BK363" i="1"/>
  <c r="BK280" i="1"/>
  <c r="BK278" i="1"/>
  <c r="BK333" i="1"/>
  <c r="BK350" i="1"/>
  <c r="BK203" i="1"/>
  <c r="BK249" i="1"/>
  <c r="BK340" i="1"/>
  <c r="BK354" i="1"/>
  <c r="BK180" i="1"/>
  <c r="BK252" i="1"/>
  <c r="BK204" i="1"/>
  <c r="BK251" i="1"/>
  <c r="BK233" i="1"/>
  <c r="BK269" i="1"/>
  <c r="BK240" i="1"/>
  <c r="BK234" i="1"/>
  <c r="BK263" i="1"/>
  <c r="BK320" i="1"/>
  <c r="BK202" i="1"/>
  <c r="BK177" i="1"/>
  <c r="BK348" i="1"/>
  <c r="BK176" i="1"/>
  <c r="BK182" i="1"/>
  <c r="BK265" i="1"/>
  <c r="BK308" i="1"/>
  <c r="BK347" i="1"/>
  <c r="BK322" i="1"/>
  <c r="BK311" i="1"/>
  <c r="BK274" i="1"/>
  <c r="BK327" i="1"/>
  <c r="BK307" i="1"/>
  <c r="BK336" i="1"/>
  <c r="BK230" i="1"/>
  <c r="BK179" i="1"/>
  <c r="BK242" i="1"/>
  <c r="BK284" i="1"/>
  <c r="BK224" i="1"/>
  <c r="BK276" i="1"/>
  <c r="BK360" i="1"/>
  <c r="BK326" i="1"/>
  <c r="BK338" i="1"/>
  <c r="BK344" i="1"/>
  <c r="BK288" i="1"/>
  <c r="GV8" i="1" l="1"/>
  <c r="GV9" i="1" s="1"/>
  <c r="GT8" i="1"/>
  <c r="GT9" i="1" s="1"/>
  <c r="BC206" i="1"/>
  <c r="BC339" i="1"/>
  <c r="BC188" i="1"/>
  <c r="BC184" i="1"/>
  <c r="BC178" i="1"/>
  <c r="BC282" i="1"/>
  <c r="BC295" i="1"/>
  <c r="BC287" i="1"/>
  <c r="BC259" i="1"/>
  <c r="BC248" i="1"/>
  <c r="BC271" i="1"/>
  <c r="BC296" i="1"/>
  <c r="BC238" i="1"/>
  <c r="BC174" i="1"/>
  <c r="BC222" i="1"/>
  <c r="BC330" i="1"/>
  <c r="BC302" i="1"/>
  <c r="BC323" i="1"/>
  <c r="BC194" i="1"/>
  <c r="BC329" i="1"/>
  <c r="BC201" i="1"/>
  <c r="BC221" i="1"/>
  <c r="BC187" i="1"/>
  <c r="BC231" i="1"/>
  <c r="BC173" i="1"/>
  <c r="BC342" i="1"/>
  <c r="BC335" i="1"/>
  <c r="BB206" i="1"/>
  <c r="BB339" i="1"/>
  <c r="BB188" i="1"/>
  <c r="BB178" i="1"/>
  <c r="BB184" i="1"/>
  <c r="BB282" i="1"/>
  <c r="BB259" i="1"/>
  <c r="BB248" i="1"/>
  <c r="BB271" i="1"/>
  <c r="BB296" i="1"/>
  <c r="BB287" i="1"/>
  <c r="BB295" i="1"/>
  <c r="BB330" i="1"/>
  <c r="BB323" i="1"/>
  <c r="BB194" i="1"/>
  <c r="BB222" i="1"/>
  <c r="BB201" i="1"/>
  <c r="BB329" i="1"/>
  <c r="BB187" i="1"/>
  <c r="BB238" i="1"/>
  <c r="BB221" i="1"/>
  <c r="BB174" i="1"/>
  <c r="BB231" i="1"/>
  <c r="BB302" i="1"/>
  <c r="BB173" i="1"/>
  <c r="BB342" i="1"/>
  <c r="BB335" i="1"/>
  <c r="BL206" i="1"/>
  <c r="BL339" i="1"/>
  <c r="BL342" i="1"/>
  <c r="BL188" i="1"/>
  <c r="BL178" i="1"/>
  <c r="BL184" i="1"/>
  <c r="BL259" i="1"/>
  <c r="BL271" i="1"/>
  <c r="BL287" i="1"/>
  <c r="BL282" i="1"/>
  <c r="BL248" i="1"/>
  <c r="BL296" i="1"/>
  <c r="BL295" i="1"/>
  <c r="BL330" i="1"/>
  <c r="BL323" i="1"/>
  <c r="BL187" i="1"/>
  <c r="BL329" i="1"/>
  <c r="BL194" i="1"/>
  <c r="BL174" i="1"/>
  <c r="BL201" i="1"/>
  <c r="BL335" i="1"/>
  <c r="BL222" i="1"/>
  <c r="BL238" i="1"/>
  <c r="BL221" i="1"/>
  <c r="BL231" i="1"/>
  <c r="BL302" i="1"/>
  <c r="BL173" i="1"/>
  <c r="BB219" i="1"/>
  <c r="BB209" i="1"/>
  <c r="BL219" i="1"/>
  <c r="BL209" i="1"/>
  <c r="BC219" i="1"/>
  <c r="BC209" i="1"/>
  <c r="BL214" i="1"/>
  <c r="BL217" i="1"/>
  <c r="BB214" i="1"/>
  <c r="BB217" i="1"/>
  <c r="BC214" i="1"/>
  <c r="BC217" i="1"/>
  <c r="BC210" i="1"/>
  <c r="BC212" i="1"/>
  <c r="BL210" i="1"/>
  <c r="BL212" i="1"/>
  <c r="BB210" i="1"/>
  <c r="BB212" i="1"/>
  <c r="BC218" i="1"/>
  <c r="BC216" i="1"/>
  <c r="BB218" i="1"/>
  <c r="BB216" i="1"/>
  <c r="BL218" i="1"/>
  <c r="BL216" i="1"/>
  <c r="GU8" i="1"/>
  <c r="GU9" i="1" s="1"/>
  <c r="HO8" i="1"/>
  <c r="HO9" i="1" s="1"/>
  <c r="GY8" i="1"/>
  <c r="GY9" i="1" s="1"/>
  <c r="HT8" i="1"/>
  <c r="HT9" i="1" s="1"/>
  <c r="HR8" i="1"/>
  <c r="HR9" i="1" s="1"/>
  <c r="IJ8" i="1"/>
  <c r="IJ9" i="1" s="1"/>
  <c r="II8" i="1"/>
  <c r="II9" i="1" s="1"/>
  <c r="HQ8" i="1"/>
  <c r="HQ9" i="1" s="1"/>
  <c r="IF8" i="1"/>
  <c r="IF9" i="1" s="1"/>
  <c r="HP8" i="1"/>
  <c r="HP9" i="1" s="1"/>
  <c r="HG8" i="1"/>
  <c r="HG9" i="1" s="1"/>
  <c r="HH8" i="1"/>
  <c r="HH9" i="1" s="1"/>
  <c r="HW8" i="1"/>
  <c r="HW9" i="1" s="1"/>
  <c r="GW8" i="1"/>
  <c r="GW9" i="1" s="1"/>
  <c r="IC8" i="1"/>
  <c r="IC9" i="1" s="1"/>
  <c r="HM8" i="1"/>
  <c r="HM9" i="1" s="1"/>
  <c r="HJ8" i="1"/>
  <c r="HJ9" i="1" s="1"/>
  <c r="HC8" i="1"/>
  <c r="HC9" i="1" s="1"/>
  <c r="HI8" i="1"/>
  <c r="HI9" i="1" s="1"/>
  <c r="IA8" i="1"/>
  <c r="IA9" i="1" s="1"/>
  <c r="HX8" i="1"/>
  <c r="HX9" i="1" s="1"/>
  <c r="HE8" i="1"/>
  <c r="HE9" i="1" s="1"/>
  <c r="HK8" i="1"/>
  <c r="HK9" i="1" s="1"/>
  <c r="ID8" i="1"/>
  <c r="ID9" i="1" s="1"/>
  <c r="AD169" i="1"/>
  <c r="HN8" i="1"/>
  <c r="HN9" i="1" s="1"/>
  <c r="GZ8" i="1"/>
  <c r="GZ9" i="1" s="1"/>
  <c r="HL8" i="1"/>
  <c r="HL9" i="1" s="1"/>
  <c r="HY8" i="1"/>
  <c r="HY9" i="1" s="1"/>
  <c r="HF8" i="1"/>
  <c r="HF9" i="1" s="1"/>
  <c r="IE8" i="1"/>
  <c r="IE9" i="1" s="1"/>
  <c r="HD8" i="1"/>
  <c r="HD9" i="1" s="1"/>
  <c r="HU8" i="1"/>
  <c r="HU9" i="1" s="1"/>
  <c r="HS8" i="1"/>
  <c r="HS9" i="1" s="1"/>
  <c r="HB8" i="1"/>
  <c r="HB9" i="1" s="1"/>
  <c r="IH8" i="1"/>
  <c r="IH9" i="1" s="1"/>
  <c r="IG8" i="1"/>
  <c r="IG9" i="1" s="1"/>
  <c r="HA8" i="1"/>
  <c r="HA9" i="1" s="1"/>
  <c r="GX8" i="1"/>
  <c r="GX9" i="1" s="1"/>
  <c r="IB8" i="1"/>
  <c r="IB9" i="1" s="1"/>
  <c r="HZ8" i="1"/>
  <c r="HZ9" i="1" s="1"/>
  <c r="HV8" i="1"/>
  <c r="HV9" i="1" s="1"/>
  <c r="BL215" i="1"/>
  <c r="BL213" i="1"/>
  <c r="BL211" i="1"/>
  <c r="BC215" i="1"/>
  <c r="BC213" i="1"/>
  <c r="BC211" i="1"/>
  <c r="BB215" i="1"/>
  <c r="BB211" i="1"/>
  <c r="BB213" i="1"/>
  <c r="BB337" i="1"/>
  <c r="BB207" i="1"/>
  <c r="BB208" i="1"/>
  <c r="BB205" i="1"/>
  <c r="BL208" i="1"/>
  <c r="BL207" i="1"/>
  <c r="BL205" i="1"/>
  <c r="BB336" i="1"/>
  <c r="BB182" i="1"/>
  <c r="BB313" i="1"/>
  <c r="BB304" i="1"/>
  <c r="BB280" i="1"/>
  <c r="BB198" i="1"/>
  <c r="BB254" i="1"/>
  <c r="BB226" i="1"/>
  <c r="BB274" i="1"/>
  <c r="BB297" i="1"/>
  <c r="FO64" i="93"/>
  <c r="FO62" i="93" s="1"/>
  <c r="DJ50" i="1"/>
  <c r="IW64" i="93"/>
  <c r="BB314" i="1"/>
  <c r="BB354" i="1"/>
  <c r="BB294" i="1"/>
  <c r="BB239" i="1"/>
  <c r="BB267" i="1"/>
  <c r="BB360" i="1"/>
  <c r="BB261" i="1"/>
  <c r="BB251" i="1"/>
  <c r="BB328" i="1"/>
  <c r="BB324" i="1"/>
  <c r="BB183" i="1"/>
  <c r="BB225" i="1"/>
  <c r="BB331" i="1"/>
  <c r="BB364" i="1"/>
  <c r="BB234" i="1"/>
  <c r="BB197" i="1"/>
  <c r="BB311" i="1"/>
  <c r="BB361" i="1"/>
  <c r="BB310" i="1"/>
  <c r="BB355" i="1"/>
  <c r="BB279" i="1"/>
  <c r="BB265" i="1"/>
  <c r="BB290" i="1"/>
  <c r="BB362" i="1"/>
  <c r="BB321" i="1"/>
  <c r="BB351" i="1"/>
  <c r="BB357" i="1"/>
  <c r="BB315" i="1"/>
  <c r="BB307" i="1"/>
  <c r="BB293" i="1"/>
  <c r="BB237" i="1"/>
  <c r="BB276" i="1"/>
  <c r="BB272" i="1"/>
  <c r="BB232" i="1"/>
  <c r="BB256" i="1"/>
  <c r="BB317" i="1"/>
  <c r="BB345" i="1"/>
  <c r="BB289" i="1"/>
  <c r="BB258" i="1"/>
  <c r="BB220" i="1"/>
  <c r="BB192" i="1"/>
  <c r="BB285" i="1"/>
  <c r="BB326" i="1"/>
  <c r="BB340" i="1"/>
  <c r="BB281" i="1"/>
  <c r="BB262" i="1"/>
  <c r="BB235" i="1"/>
  <c r="BB300" i="1"/>
  <c r="BB334" i="1"/>
  <c r="BB356" i="1"/>
  <c r="BB242" i="1"/>
  <c r="BB322" i="1"/>
  <c r="BB269" i="1"/>
  <c r="BB241" i="1"/>
  <c r="BB283" i="1"/>
  <c r="BB196" i="1"/>
  <c r="BB185" i="1"/>
  <c r="BB306" i="1"/>
  <c r="BB278" i="1"/>
  <c r="BB363" i="1"/>
  <c r="BB333" i="1"/>
  <c r="BB312" i="1"/>
  <c r="BB252" i="1"/>
  <c r="BB189" i="1"/>
  <c r="BB203" i="1"/>
  <c r="BB245" i="1"/>
  <c r="BB204" i="1"/>
  <c r="BB177" i="1"/>
  <c r="BB247" i="1"/>
  <c r="BB179" i="1"/>
  <c r="BB344" i="1"/>
  <c r="BB316" i="1"/>
  <c r="BB319" i="1"/>
  <c r="BB291" i="1"/>
  <c r="BB224" i="1"/>
  <c r="BB275" i="1"/>
  <c r="BB349" i="1"/>
  <c r="BB264" i="1"/>
  <c r="BB260" i="1"/>
  <c r="BB244" i="1"/>
  <c r="BB350" i="1"/>
  <c r="BB358" i="1"/>
  <c r="BB308" i="1"/>
  <c r="BB299" i="1"/>
  <c r="BB228" i="1"/>
  <c r="BB347" i="1"/>
  <c r="BB348" i="1"/>
  <c r="BB195" i="1"/>
  <c r="BB273" i="1"/>
  <c r="BB341" i="1"/>
  <c r="BB268" i="1"/>
  <c r="BB233" i="1"/>
  <c r="BB288" i="1"/>
  <c r="BB181" i="1"/>
  <c r="BB292" i="1"/>
  <c r="BB176" i="1"/>
  <c r="BB346" i="1"/>
  <c r="BB230" i="1"/>
  <c r="BB343" i="1"/>
  <c r="BB250" i="1"/>
  <c r="BB263" i="1"/>
  <c r="BB193" i="1"/>
  <c r="BB266" i="1"/>
  <c r="BB243" i="1"/>
  <c r="BB327" i="1"/>
  <c r="BB180" i="1"/>
  <c r="BB246" i="1"/>
  <c r="BB249" i="1"/>
  <c r="BB175" i="1"/>
  <c r="BB353" i="1"/>
  <c r="BB257" i="1"/>
  <c r="BB325" i="1"/>
  <c r="BB301" i="1"/>
  <c r="BB236" i="1"/>
  <c r="BB305" i="1"/>
  <c r="BB270" i="1"/>
  <c r="BB303" i="1"/>
  <c r="BB255" i="1"/>
  <c r="BB286" i="1"/>
  <c r="BB200" i="1"/>
  <c r="BB229" i="1"/>
  <c r="BB227" i="1"/>
  <c r="BB277" i="1"/>
  <c r="BB359" i="1"/>
  <c r="BB186" i="1"/>
  <c r="BB320" i="1"/>
  <c r="BB223" i="1"/>
  <c r="BB309" i="1"/>
  <c r="BB253" i="1"/>
  <c r="BB284" i="1"/>
  <c r="BB190" i="1"/>
  <c r="BB352" i="1"/>
  <c r="BB199" i="1"/>
  <c r="BB240" i="1"/>
  <c r="BB318" i="1"/>
  <c r="BB191" i="1"/>
  <c r="BB332" i="1"/>
  <c r="BB202" i="1"/>
  <c r="BB298" i="1"/>
  <c r="BB338" i="1"/>
  <c r="BP131" i="123"/>
  <c r="FX64" i="93"/>
  <c r="DJ60" i="1" s="1"/>
  <c r="BG131" i="123"/>
  <c r="BL364" i="1"/>
  <c r="BL349" i="1"/>
  <c r="BL262" i="1"/>
  <c r="BL242" i="1"/>
  <c r="BL269" i="1"/>
  <c r="BL237" i="1"/>
  <c r="BL305" i="1"/>
  <c r="BL357" i="1"/>
  <c r="BL224" i="1"/>
  <c r="BL307" i="1"/>
  <c r="BL301" i="1"/>
  <c r="BL203" i="1"/>
  <c r="BL272" i="1"/>
  <c r="BL181" i="1"/>
  <c r="BL191" i="1"/>
  <c r="BL362" i="1"/>
  <c r="BL244" i="1"/>
  <c r="BL348" i="1"/>
  <c r="BL253" i="1"/>
  <c r="BL196" i="1"/>
  <c r="BL175" i="1"/>
  <c r="BL352" i="1"/>
  <c r="BL311" i="1"/>
  <c r="BL314" i="1"/>
  <c r="BL317" i="1"/>
  <c r="BL298" i="1"/>
  <c r="BL337" i="1"/>
  <c r="BL243" i="1"/>
  <c r="BL315" i="1"/>
  <c r="BL327" i="1"/>
  <c r="BL190" i="1"/>
  <c r="BL176" i="1"/>
  <c r="BL245" i="1"/>
  <c r="BL310" i="1"/>
  <c r="BL220" i="1"/>
  <c r="BL227" i="1"/>
  <c r="BL278" i="1"/>
  <c r="BL177" i="1"/>
  <c r="BL283" i="1"/>
  <c r="BL284" i="1"/>
  <c r="BL322" i="1"/>
  <c r="BL235" i="1"/>
  <c r="BL270" i="1"/>
  <c r="BL344" i="1"/>
  <c r="BL200" i="1"/>
  <c r="BL328" i="1"/>
  <c r="BL326" i="1"/>
  <c r="BL354" i="1"/>
  <c r="BL273" i="1"/>
  <c r="BL290" i="1"/>
  <c r="BL185" i="1"/>
  <c r="BL321" i="1"/>
  <c r="BL332" i="1"/>
  <c r="BL226" i="1"/>
  <c r="BL297" i="1"/>
  <c r="BL225" i="1"/>
  <c r="BL198" i="1"/>
  <c r="BL341" i="1"/>
  <c r="BL359" i="1"/>
  <c r="BL280" i="1"/>
  <c r="BL233" i="1"/>
  <c r="BL320" i="1"/>
  <c r="BL325" i="1"/>
  <c r="BL309" i="1"/>
  <c r="BL300" i="1"/>
  <c r="BL347" i="1"/>
  <c r="BL252" i="1"/>
  <c r="BL265" i="1"/>
  <c r="BL277" i="1"/>
  <c r="BL303" i="1"/>
  <c r="BL340" i="1"/>
  <c r="BL179" i="1"/>
  <c r="BL254" i="1"/>
  <c r="BL239" i="1"/>
  <c r="BL312" i="1"/>
  <c r="BL363" i="1"/>
  <c r="BL261" i="1"/>
  <c r="BL229" i="1"/>
  <c r="BL189" i="1"/>
  <c r="BL251" i="1"/>
  <c r="BL331" i="1"/>
  <c r="BL186" i="1"/>
  <c r="BL246" i="1"/>
  <c r="BL223" i="1"/>
  <c r="BL308" i="1"/>
  <c r="BL180" i="1"/>
  <c r="BL204" i="1"/>
  <c r="BL266" i="1"/>
  <c r="BL232" i="1"/>
  <c r="BL361" i="1"/>
  <c r="BL285" i="1"/>
  <c r="BL336" i="1"/>
  <c r="BL240" i="1"/>
  <c r="BL182" i="1"/>
  <c r="BL256" i="1"/>
  <c r="BL275" i="1"/>
  <c r="BL192" i="1"/>
  <c r="BL313" i="1"/>
  <c r="BL360" i="1"/>
  <c r="BL241" i="1"/>
  <c r="BL286" i="1"/>
  <c r="BL228" i="1"/>
  <c r="BL274" i="1"/>
  <c r="BL202" i="1"/>
  <c r="BL306" i="1"/>
  <c r="BL355" i="1"/>
  <c r="BL333" i="1"/>
  <c r="BL257" i="1"/>
  <c r="BL316" i="1"/>
  <c r="BL350" i="1"/>
  <c r="BL183" i="1"/>
  <c r="BL293" i="1"/>
  <c r="BL288" i="1"/>
  <c r="BL319" i="1"/>
  <c r="BL292" i="1"/>
  <c r="BL195" i="1"/>
  <c r="BL343" i="1"/>
  <c r="BL268" i="1"/>
  <c r="BL249" i="1"/>
  <c r="BL279" i="1"/>
  <c r="BL299" i="1"/>
  <c r="BL346" i="1"/>
  <c r="BL358" i="1"/>
  <c r="BL250" i="1"/>
  <c r="BL276" i="1"/>
  <c r="BL255" i="1"/>
  <c r="BL258" i="1"/>
  <c r="BL230" i="1"/>
  <c r="BL197" i="1"/>
  <c r="BL247" i="1"/>
  <c r="BL263" i="1"/>
  <c r="BL318" i="1"/>
  <c r="BL193" i="1"/>
  <c r="BL281" i="1"/>
  <c r="BL304" i="1"/>
  <c r="BL324" i="1"/>
  <c r="BL199" i="1"/>
  <c r="BL356" i="1"/>
  <c r="BL338" i="1"/>
  <c r="BL267" i="1"/>
  <c r="BL345" i="1"/>
  <c r="BL294" i="1"/>
  <c r="BL291" i="1"/>
  <c r="BL236" i="1"/>
  <c r="BL289" i="1"/>
  <c r="BL351" i="1"/>
  <c r="BL334" i="1"/>
  <c r="BL260" i="1"/>
  <c r="BL264" i="1"/>
  <c r="BL353" i="1"/>
  <c r="BL234" i="1"/>
  <c r="BD206" i="1" l="1"/>
  <c r="BD339" i="1"/>
  <c r="BD188" i="1"/>
  <c r="BD184" i="1"/>
  <c r="BD178" i="1"/>
  <c r="BD271" i="1"/>
  <c r="BD248" i="1"/>
  <c r="BD296" i="1"/>
  <c r="BD295" i="1"/>
  <c r="BD282" i="1"/>
  <c r="BD259" i="1"/>
  <c r="BD287" i="1"/>
  <c r="BD221" i="1"/>
  <c r="BD231" i="1"/>
  <c r="BD187" i="1"/>
  <c r="BD238" i="1"/>
  <c r="BD201" i="1"/>
  <c r="BD302" i="1"/>
  <c r="BD174" i="1"/>
  <c r="BD194" i="1"/>
  <c r="BD330" i="1"/>
  <c r="BD323" i="1"/>
  <c r="BD329" i="1"/>
  <c r="BD222" i="1"/>
  <c r="BD173" i="1"/>
  <c r="BD342" i="1"/>
  <c r="BD335" i="1"/>
  <c r="BM206" i="1"/>
  <c r="BM339" i="1"/>
  <c r="BM342" i="1"/>
  <c r="BM188" i="1"/>
  <c r="BM178" i="1"/>
  <c r="BM184" i="1"/>
  <c r="BM296" i="1"/>
  <c r="BM295" i="1"/>
  <c r="BM282" i="1"/>
  <c r="BM259" i="1"/>
  <c r="BM248" i="1"/>
  <c r="BM287" i="1"/>
  <c r="BM271" i="1"/>
  <c r="BM238" i="1"/>
  <c r="BM302" i="1"/>
  <c r="BM194" i="1"/>
  <c r="BM329" i="1"/>
  <c r="BM323" i="1"/>
  <c r="BM201" i="1"/>
  <c r="BM187" i="1"/>
  <c r="BM330" i="1"/>
  <c r="BM335" i="1"/>
  <c r="BM222" i="1"/>
  <c r="BM174" i="1"/>
  <c r="BM231" i="1"/>
  <c r="BM221" i="1"/>
  <c r="BM173" i="1"/>
  <c r="BD219" i="1"/>
  <c r="BD209" i="1"/>
  <c r="BM219" i="1"/>
  <c r="BM209" i="1"/>
  <c r="BM214" i="1"/>
  <c r="BM217" i="1"/>
  <c r="BD214" i="1"/>
  <c r="BD217" i="1"/>
  <c r="BM210" i="1"/>
  <c r="BM212" i="1"/>
  <c r="BD210" i="1"/>
  <c r="BD212" i="1"/>
  <c r="BM218" i="1"/>
  <c r="BM216" i="1"/>
  <c r="BD218" i="1"/>
  <c r="BD216" i="1"/>
  <c r="GO3" i="1"/>
  <c r="DJ24" i="1"/>
  <c r="AC206" i="1" s="1"/>
  <c r="GI64" i="93"/>
  <c r="BM215" i="1"/>
  <c r="BM211" i="1"/>
  <c r="BM213" i="1"/>
  <c r="BD215" i="1"/>
  <c r="BD211" i="1"/>
  <c r="BD213" i="1"/>
  <c r="BD207" i="1"/>
  <c r="BD208" i="1"/>
  <c r="BD205" i="1"/>
  <c r="BC244" i="1"/>
  <c r="BC207" i="1"/>
  <c r="BC208" i="1"/>
  <c r="BC205" i="1"/>
  <c r="BM207" i="1"/>
  <c r="BM208" i="1"/>
  <c r="BM205" i="1"/>
  <c r="FY64" i="93"/>
  <c r="DJ61" i="1" s="1"/>
  <c r="BH131" i="123"/>
  <c r="LO64" i="93"/>
  <c r="LZ64" i="93" s="1"/>
  <c r="MZ64" i="93"/>
  <c r="NB64" i="93" s="1"/>
  <c r="AJ131" i="123"/>
  <c r="BC272" i="1"/>
  <c r="BC337" i="1"/>
  <c r="BC198" i="1"/>
  <c r="BC240" i="1"/>
  <c r="BC333" i="1"/>
  <c r="BC353" i="1"/>
  <c r="BC350" i="1"/>
  <c r="BC315" i="1"/>
  <c r="BC202" i="1"/>
  <c r="BC334" i="1"/>
  <c r="BC239" i="1"/>
  <c r="BC241" i="1"/>
  <c r="BC313" i="1"/>
  <c r="BC327" i="1"/>
  <c r="BC280" i="1"/>
  <c r="BC336" i="1"/>
  <c r="BC176" i="1"/>
  <c r="BC224" i="1"/>
  <c r="BC235" i="1"/>
  <c r="BC357" i="1"/>
  <c r="BC321" i="1"/>
  <c r="BC279" i="1"/>
  <c r="BC360" i="1"/>
  <c r="BC310" i="1"/>
  <c r="BC195" i="1"/>
  <c r="BC204" i="1"/>
  <c r="BC226" i="1"/>
  <c r="BC338" i="1"/>
  <c r="BC361" i="1"/>
  <c r="BC358" i="1"/>
  <c r="BC253" i="1"/>
  <c r="BC344" i="1"/>
  <c r="BC326" i="1"/>
  <c r="BC245" i="1"/>
  <c r="BC225" i="1"/>
  <c r="BC190" i="1"/>
  <c r="BC288" i="1"/>
  <c r="BC185" i="1"/>
  <c r="BC354" i="1"/>
  <c r="BC200" i="1"/>
  <c r="BC232" i="1"/>
  <c r="BC177" i="1"/>
  <c r="BC236" i="1"/>
  <c r="BC278" i="1"/>
  <c r="BC254" i="1"/>
  <c r="BC179" i="1"/>
  <c r="BC291" i="1"/>
  <c r="BC183" i="1"/>
  <c r="BC292" i="1"/>
  <c r="BC270" i="1"/>
  <c r="BC303" i="1"/>
  <c r="BC249" i="1"/>
  <c r="BC182" i="1"/>
  <c r="BC355" i="1"/>
  <c r="BC299" i="1"/>
  <c r="BC352" i="1"/>
  <c r="BC256" i="1"/>
  <c r="BC273" i="1"/>
  <c r="BC304" i="1"/>
  <c r="BC345" i="1"/>
  <c r="BC356" i="1"/>
  <c r="BC290" i="1"/>
  <c r="BC247" i="1"/>
  <c r="BC316" i="1"/>
  <c r="BC285" i="1"/>
  <c r="BC359" i="1"/>
  <c r="BC269" i="1"/>
  <c r="BC301" i="1"/>
  <c r="BC186" i="1"/>
  <c r="BC265" i="1"/>
  <c r="BC307" i="1"/>
  <c r="BC312" i="1"/>
  <c r="BC283" i="1"/>
  <c r="BC193" i="1"/>
  <c r="BC277" i="1"/>
  <c r="BC228" i="1"/>
  <c r="BC332" i="1"/>
  <c r="BC294" i="1"/>
  <c r="BC362" i="1"/>
  <c r="BC314" i="1"/>
  <c r="BC325" i="1"/>
  <c r="BC268" i="1"/>
  <c r="BC227" i="1"/>
  <c r="BC250" i="1"/>
  <c r="BC363" i="1"/>
  <c r="BC255" i="1"/>
  <c r="BC203" i="1"/>
  <c r="BC309" i="1"/>
  <c r="BC297" i="1"/>
  <c r="BC347" i="1"/>
  <c r="BC293" i="1"/>
  <c r="BC191" i="1"/>
  <c r="BC311" i="1"/>
  <c r="BC181" i="1"/>
  <c r="BC346" i="1"/>
  <c r="BC300" i="1"/>
  <c r="BC230" i="1"/>
  <c r="BC175" i="1"/>
  <c r="BC281" i="1"/>
  <c r="BC180" i="1"/>
  <c r="BC341" i="1"/>
  <c r="BC289" i="1"/>
  <c r="BC274" i="1"/>
  <c r="BC197" i="1"/>
  <c r="BC223" i="1"/>
  <c r="BC276" i="1"/>
  <c r="BC243" i="1"/>
  <c r="BC286" i="1"/>
  <c r="BC192" i="1"/>
  <c r="BC261" i="1"/>
  <c r="BC284" i="1"/>
  <c r="BC257" i="1"/>
  <c r="BC324" i="1"/>
  <c r="BC298" i="1"/>
  <c r="BC260" i="1"/>
  <c r="BC199" i="1"/>
  <c r="BC267" i="1"/>
  <c r="BC351" i="1"/>
  <c r="BC246" i="1"/>
  <c r="BC234" i="1"/>
  <c r="BC328" i="1"/>
  <c r="BC251" i="1"/>
  <c r="BC237" i="1"/>
  <c r="BC349" i="1"/>
  <c r="BC343" i="1"/>
  <c r="BC318" i="1"/>
  <c r="BC331" i="1"/>
  <c r="BC306" i="1"/>
  <c r="BC308" i="1"/>
  <c r="BC196" i="1"/>
  <c r="BC220" i="1"/>
  <c r="BC262" i="1"/>
  <c r="BC229" i="1"/>
  <c r="BC266" i="1"/>
  <c r="BC258" i="1"/>
  <c r="BC319" i="1"/>
  <c r="BC320" i="1"/>
  <c r="BC242" i="1"/>
  <c r="BC264" i="1"/>
  <c r="BC189" i="1"/>
  <c r="BC348" i="1"/>
  <c r="BC305" i="1"/>
  <c r="BC340" i="1"/>
  <c r="BC317" i="1"/>
  <c r="BC233" i="1"/>
  <c r="BC364" i="1"/>
  <c r="BC263" i="1"/>
  <c r="BC322" i="1"/>
  <c r="BC275" i="1"/>
  <c r="BC252" i="1"/>
  <c r="BQ131" i="123"/>
  <c r="BM298" i="1"/>
  <c r="BM355" i="1"/>
  <c r="BM273" i="1"/>
  <c r="BM233" i="1"/>
  <c r="BM247" i="1"/>
  <c r="BM346" i="1"/>
  <c r="BM225" i="1"/>
  <c r="BM266" i="1"/>
  <c r="BM314" i="1"/>
  <c r="BM277" i="1"/>
  <c r="BM264" i="1"/>
  <c r="BM361" i="1"/>
  <c r="BM313" i="1"/>
  <c r="BM360" i="1"/>
  <c r="BM290" i="1"/>
  <c r="BM235" i="1"/>
  <c r="BM341" i="1"/>
  <c r="BM183" i="1"/>
  <c r="BM321" i="1"/>
  <c r="BM245" i="1"/>
  <c r="BM328" i="1"/>
  <c r="BM336" i="1"/>
  <c r="BM272" i="1"/>
  <c r="BM191" i="1"/>
  <c r="BM288" i="1"/>
  <c r="BM317" i="1"/>
  <c r="BM229" i="1"/>
  <c r="BM286" i="1"/>
  <c r="BM244" i="1"/>
  <c r="BM320" i="1"/>
  <c r="BM281" i="1"/>
  <c r="BM331" i="1"/>
  <c r="BM185" i="1"/>
  <c r="BM182" i="1"/>
  <c r="BM319" i="1"/>
  <c r="BM262" i="1"/>
  <c r="BM309" i="1"/>
  <c r="BM270" i="1"/>
  <c r="BM240" i="1"/>
  <c r="BM316" i="1"/>
  <c r="BM304" i="1"/>
  <c r="BM289" i="1"/>
  <c r="BM279" i="1"/>
  <c r="BM324" i="1"/>
  <c r="BM176" i="1"/>
  <c r="BM200" i="1"/>
  <c r="BM315" i="1"/>
  <c r="BM345" i="1"/>
  <c r="BM203" i="1"/>
  <c r="BM326" i="1"/>
  <c r="BM337" i="1"/>
  <c r="BM202" i="1"/>
  <c r="BM197" i="1"/>
  <c r="BM312" i="1"/>
  <c r="BM358" i="1"/>
  <c r="BM338" i="1"/>
  <c r="BM252" i="1"/>
  <c r="BM310" i="1"/>
  <c r="BM256" i="1"/>
  <c r="BM274" i="1"/>
  <c r="BM192" i="1"/>
  <c r="BM242" i="1"/>
  <c r="BM353" i="1"/>
  <c r="BM291" i="1"/>
  <c r="BM308" i="1"/>
  <c r="BM186" i="1"/>
  <c r="BM250" i="1"/>
  <c r="BM364" i="1"/>
  <c r="BM265" i="1"/>
  <c r="BM285" i="1"/>
  <c r="BM322" i="1"/>
  <c r="BM292" i="1"/>
  <c r="BM280" i="1"/>
  <c r="BM269" i="1"/>
  <c r="BM243" i="1"/>
  <c r="BM263" i="1"/>
  <c r="BM193" i="1"/>
  <c r="BM255" i="1"/>
  <c r="BM307" i="1"/>
  <c r="BM196" i="1"/>
  <c r="BM300" i="1"/>
  <c r="BM318" i="1"/>
  <c r="BM354" i="1"/>
  <c r="BM251" i="1"/>
  <c r="BM306" i="1"/>
  <c r="BM349" i="1"/>
  <c r="BM356" i="1"/>
  <c r="BM177" i="1"/>
  <c r="BM179" i="1"/>
  <c r="BM283" i="1"/>
  <c r="BM363" i="1"/>
  <c r="BM223" i="1"/>
  <c r="BM220" i="1"/>
  <c r="BM228" i="1"/>
  <c r="BM236" i="1"/>
  <c r="BM327" i="1"/>
  <c r="BM334" i="1"/>
  <c r="BM232" i="1"/>
  <c r="BM275" i="1"/>
  <c r="BM333" i="1"/>
  <c r="BM234" i="1"/>
  <c r="BM260" i="1"/>
  <c r="BM350" i="1"/>
  <c r="BM239" i="1"/>
  <c r="BM311" i="1"/>
  <c r="BM227" i="1"/>
  <c r="BM325" i="1"/>
  <c r="BM237" i="1"/>
  <c r="BM195" i="1"/>
  <c r="BM175" i="1"/>
  <c r="BM347" i="1"/>
  <c r="BM362" i="1"/>
  <c r="BM254" i="1"/>
  <c r="BM357" i="1"/>
  <c r="BM261" i="1"/>
  <c r="BM267" i="1"/>
  <c r="BM199" i="1"/>
  <c r="BM246" i="1"/>
  <c r="BM278" i="1"/>
  <c r="BM344" i="1"/>
  <c r="BM241" i="1"/>
  <c r="BM257" i="1"/>
  <c r="BM198" i="1"/>
  <c r="BM301" i="1"/>
  <c r="BM297" i="1"/>
  <c r="BM340" i="1"/>
  <c r="BM204" i="1"/>
  <c r="BM190" i="1"/>
  <c r="BM348" i="1"/>
  <c r="BM180" i="1"/>
  <c r="BM276" i="1"/>
  <c r="BM189" i="1"/>
  <c r="BM299" i="1"/>
  <c r="BM351" i="1"/>
  <c r="BM343" i="1"/>
  <c r="BM305" i="1"/>
  <c r="BM181" i="1"/>
  <c r="BM303" i="1"/>
  <c r="BM226" i="1"/>
  <c r="BM230" i="1"/>
  <c r="BM293" i="1"/>
  <c r="BM359" i="1"/>
  <c r="BM284" i="1"/>
  <c r="BM249" i="1"/>
  <c r="BM224" i="1"/>
  <c r="BM258" i="1"/>
  <c r="BM268" i="1"/>
  <c r="BM332" i="1"/>
  <c r="BM294" i="1"/>
  <c r="BM352" i="1"/>
  <c r="BM253" i="1"/>
  <c r="BD243" i="1"/>
  <c r="BD300" i="1"/>
  <c r="BD320" i="1"/>
  <c r="BD260" i="1"/>
  <c r="BD331" i="1"/>
  <c r="BD200" i="1"/>
  <c r="BD175" i="1"/>
  <c r="BD197" i="1"/>
  <c r="BD347" i="1"/>
  <c r="BD352" i="1"/>
  <c r="BD186" i="1"/>
  <c r="BD278" i="1"/>
  <c r="BD343" i="1"/>
  <c r="BD227" i="1"/>
  <c r="BD332" i="1"/>
  <c r="BD306" i="1"/>
  <c r="BD285" i="1"/>
  <c r="BD288" i="1"/>
  <c r="BD313" i="1"/>
  <c r="BD267" i="1"/>
  <c r="BD353" i="1"/>
  <c r="BD244" i="1"/>
  <c r="BD359" i="1"/>
  <c r="BD316" i="1"/>
  <c r="BD239" i="1"/>
  <c r="BD344" i="1"/>
  <c r="BD250" i="1"/>
  <c r="BD242" i="1"/>
  <c r="BD258" i="1"/>
  <c r="BD236" i="1"/>
  <c r="BD291" i="1"/>
  <c r="BD270" i="1"/>
  <c r="BD249" i="1"/>
  <c r="BD292" i="1"/>
  <c r="BD191" i="1"/>
  <c r="BD232" i="1"/>
  <c r="BD337" i="1"/>
  <c r="BD311" i="1"/>
  <c r="BD303" i="1"/>
  <c r="BD324" i="1"/>
  <c r="BD281" i="1"/>
  <c r="BD357" i="1"/>
  <c r="BD328" i="1"/>
  <c r="BD181" i="1"/>
  <c r="BD327" i="1"/>
  <c r="BD176" i="1"/>
  <c r="BD290" i="1"/>
  <c r="BD319" i="1"/>
  <c r="BD235" i="1"/>
  <c r="BD325" i="1"/>
  <c r="BD203" i="1"/>
  <c r="BD299" i="1"/>
  <c r="BD183" i="1"/>
  <c r="BD297" i="1"/>
  <c r="BD317" i="1"/>
  <c r="BD336" i="1"/>
  <c r="BD355" i="1"/>
  <c r="BD345" i="1"/>
  <c r="BD272" i="1"/>
  <c r="BD189" i="1"/>
  <c r="BD350" i="1"/>
  <c r="BD220" i="1"/>
  <c r="BD358" i="1"/>
  <c r="BD223" i="1"/>
  <c r="BD240" i="1"/>
  <c r="BD363" i="1"/>
  <c r="BD340" i="1"/>
  <c r="BD364" i="1"/>
  <c r="BD268" i="1"/>
  <c r="BD312" i="1"/>
  <c r="BD279" i="1"/>
  <c r="BD234" i="1"/>
  <c r="BD247" i="1"/>
  <c r="BD321" i="1"/>
  <c r="BD315" i="1"/>
  <c r="BD341" i="1"/>
  <c r="BD263" i="1"/>
  <c r="BD289" i="1"/>
  <c r="BD349" i="1"/>
  <c r="BD274" i="1"/>
  <c r="BD190" i="1"/>
  <c r="BD193" i="1"/>
  <c r="BD195" i="1"/>
  <c r="BD269" i="1"/>
  <c r="BD307" i="1"/>
  <c r="BD256" i="1"/>
  <c r="BD225" i="1"/>
  <c r="BD230" i="1"/>
  <c r="BD228" i="1"/>
  <c r="BD284" i="1"/>
  <c r="BD264" i="1"/>
  <c r="BD266" i="1"/>
  <c r="BD333" i="1"/>
  <c r="BD229" i="1"/>
  <c r="BD280" i="1"/>
  <c r="BD356" i="1"/>
  <c r="BD318" i="1"/>
  <c r="BD224" i="1"/>
  <c r="BD261" i="1"/>
  <c r="BD199" i="1"/>
  <c r="BD276" i="1"/>
  <c r="BD360" i="1"/>
  <c r="BD304" i="1"/>
  <c r="BD252" i="1"/>
  <c r="BD262" i="1"/>
  <c r="BD310" i="1"/>
  <c r="BD241" i="1"/>
  <c r="BD182" i="1"/>
  <c r="BD314" i="1"/>
  <c r="BD265" i="1"/>
  <c r="BD202" i="1"/>
  <c r="BD237" i="1"/>
  <c r="BD361" i="1"/>
  <c r="BD275" i="1"/>
  <c r="BD322" i="1"/>
  <c r="BD198" i="1"/>
  <c r="BD351" i="1"/>
  <c r="BD246" i="1"/>
  <c r="BD180" i="1"/>
  <c r="BD298" i="1"/>
  <c r="BD348" i="1"/>
  <c r="BD309" i="1"/>
  <c r="BD308" i="1"/>
  <c r="BD253" i="1"/>
  <c r="BD196" i="1"/>
  <c r="BD305" i="1"/>
  <c r="BD185" i="1"/>
  <c r="BD346" i="1"/>
  <c r="BD286" i="1"/>
  <c r="BD233" i="1"/>
  <c r="BD245" i="1"/>
  <c r="BD251" i="1"/>
  <c r="BD294" i="1"/>
  <c r="BD179" i="1"/>
  <c r="BD204" i="1"/>
  <c r="BD334" i="1"/>
  <c r="BD254" i="1"/>
  <c r="BD301" i="1"/>
  <c r="BD326" i="1"/>
  <c r="BD192" i="1"/>
  <c r="BD273" i="1"/>
  <c r="BD354" i="1"/>
  <c r="BD255" i="1"/>
  <c r="BD177" i="1"/>
  <c r="BD338" i="1"/>
  <c r="BD283" i="1"/>
  <c r="BD362" i="1"/>
  <c r="BD293" i="1"/>
  <c r="BD277" i="1"/>
  <c r="BD257" i="1"/>
  <c r="BD226" i="1"/>
  <c r="BN206" i="1" l="1"/>
  <c r="BN339" i="1"/>
  <c r="BN342" i="1"/>
  <c r="BN188" i="1"/>
  <c r="BN184" i="1"/>
  <c r="BN178" i="1"/>
  <c r="BN259" i="1"/>
  <c r="BN282" i="1"/>
  <c r="BN271" i="1"/>
  <c r="BN296" i="1"/>
  <c r="BN295" i="1"/>
  <c r="BN287" i="1"/>
  <c r="BN248" i="1"/>
  <c r="BN231" i="1"/>
  <c r="BN222" i="1"/>
  <c r="BN323" i="1"/>
  <c r="BN174" i="1"/>
  <c r="BN330" i="1"/>
  <c r="BN238" i="1"/>
  <c r="BN221" i="1"/>
  <c r="BN302" i="1"/>
  <c r="BN187" i="1"/>
  <c r="BN329" i="1"/>
  <c r="BN201" i="1"/>
  <c r="BN194" i="1"/>
  <c r="BN335" i="1"/>
  <c r="BN173" i="1"/>
  <c r="AC339" i="1"/>
  <c r="AC342" i="1"/>
  <c r="AC188" i="1"/>
  <c r="AC178" i="1"/>
  <c r="AC184" i="1"/>
  <c r="AC287" i="1"/>
  <c r="AC248" i="1"/>
  <c r="AC282" i="1"/>
  <c r="AC296" i="1"/>
  <c r="AC271" i="1"/>
  <c r="AC295" i="1"/>
  <c r="AC259" i="1"/>
  <c r="AC174" i="1"/>
  <c r="AC329" i="1"/>
  <c r="AC323" i="1"/>
  <c r="AC231" i="1"/>
  <c r="AC187" i="1"/>
  <c r="AC222" i="1"/>
  <c r="AC330" i="1"/>
  <c r="AC302" i="1"/>
  <c r="AC221" i="1"/>
  <c r="AC194" i="1"/>
  <c r="AC201" i="1"/>
  <c r="AC238" i="1"/>
  <c r="AC335" i="1"/>
  <c r="AC173" i="1"/>
  <c r="BN219" i="1"/>
  <c r="BN209" i="1"/>
  <c r="AC219" i="1"/>
  <c r="AC209" i="1"/>
  <c r="BN214" i="1"/>
  <c r="BN217" i="1"/>
  <c r="AC214" i="1"/>
  <c r="AC217" i="1"/>
  <c r="BN210" i="1"/>
  <c r="BN212" i="1"/>
  <c r="AC210" i="1"/>
  <c r="AC212" i="1"/>
  <c r="BN218" i="1"/>
  <c r="BN216" i="1"/>
  <c r="AC215" i="1"/>
  <c r="AC216" i="1"/>
  <c r="AC218" i="1"/>
  <c r="AC242" i="1"/>
  <c r="AC196" i="1"/>
  <c r="AC290" i="1"/>
  <c r="AC257" i="1"/>
  <c r="AC332" i="1"/>
  <c r="AC227" i="1"/>
  <c r="AC199" i="1"/>
  <c r="AC239" i="1"/>
  <c r="AC183" i="1"/>
  <c r="AC236" i="1"/>
  <c r="AC258" i="1"/>
  <c r="AC304" i="1"/>
  <c r="AC233" i="1"/>
  <c r="AC305" i="1"/>
  <c r="AC349" i="1"/>
  <c r="AC281" i="1"/>
  <c r="AC256" i="1"/>
  <c r="AC354" i="1"/>
  <c r="AC299" i="1"/>
  <c r="AC228" i="1"/>
  <c r="AC289" i="1"/>
  <c r="AC270" i="1"/>
  <c r="AC234" i="1"/>
  <c r="AC274" i="1"/>
  <c r="AC181" i="1"/>
  <c r="AC310" i="1"/>
  <c r="AC334" i="1"/>
  <c r="AC272" i="1"/>
  <c r="AC292" i="1"/>
  <c r="AC309" i="1"/>
  <c r="AC319" i="1"/>
  <c r="AC341" i="1"/>
  <c r="AC303" i="1"/>
  <c r="AC237" i="1"/>
  <c r="AC338" i="1"/>
  <c r="AC346" i="1"/>
  <c r="AC246" i="1"/>
  <c r="AC301" i="1"/>
  <c r="AC360" i="1"/>
  <c r="AC358" i="1"/>
  <c r="AC261" i="1"/>
  <c r="AC293" i="1"/>
  <c r="AC307" i="1"/>
  <c r="AC313" i="1"/>
  <c r="AC266" i="1"/>
  <c r="AC361" i="1"/>
  <c r="AC333" i="1"/>
  <c r="AC277" i="1"/>
  <c r="AC344" i="1"/>
  <c r="AC298" i="1"/>
  <c r="AC325" i="1"/>
  <c r="AC278" i="1"/>
  <c r="AC284" i="1"/>
  <c r="AC182" i="1"/>
  <c r="AC283" i="1"/>
  <c r="AC265" i="1"/>
  <c r="AC316" i="1"/>
  <c r="AC220" i="1"/>
  <c r="AC179" i="1"/>
  <c r="AC275" i="1"/>
  <c r="AC243" i="1"/>
  <c r="AC253" i="1"/>
  <c r="AC291" i="1"/>
  <c r="AC198" i="1"/>
  <c r="AC262" i="1"/>
  <c r="AC322" i="1"/>
  <c r="AC252" i="1"/>
  <c r="AC306" i="1"/>
  <c r="AC224" i="1"/>
  <c r="AC356" i="1"/>
  <c r="AC175" i="1"/>
  <c r="AC308" i="1"/>
  <c r="AC363" i="1"/>
  <c r="AC280" i="1"/>
  <c r="AC226" i="1"/>
  <c r="AC328" i="1"/>
  <c r="AC250" i="1"/>
  <c r="AC357" i="1"/>
  <c r="AC186" i="1"/>
  <c r="AC300" i="1"/>
  <c r="AC315" i="1"/>
  <c r="AC288" i="1"/>
  <c r="AC355" i="1"/>
  <c r="AC353" i="1"/>
  <c r="AC276" i="1"/>
  <c r="AC267" i="1"/>
  <c r="AC245" i="1"/>
  <c r="AC312" i="1"/>
  <c r="AC192" i="1"/>
  <c r="AC254" i="1"/>
  <c r="AC285" i="1"/>
  <c r="AC340" i="1"/>
  <c r="AC327" i="1"/>
  <c r="AC364" i="1"/>
  <c r="AC177" i="1"/>
  <c r="AC331" i="1"/>
  <c r="AC203" i="1"/>
  <c r="AC269" i="1"/>
  <c r="AC273" i="1"/>
  <c r="AC251" i="1"/>
  <c r="AC336" i="1"/>
  <c r="AC193" i="1"/>
  <c r="AC247" i="1"/>
  <c r="AC348" i="1"/>
  <c r="AC232" i="1"/>
  <c r="AC255" i="1"/>
  <c r="AC244" i="1"/>
  <c r="AC191" i="1"/>
  <c r="AC264" i="1"/>
  <c r="AC195" i="1"/>
  <c r="AC268" i="1"/>
  <c r="AC240" i="1"/>
  <c r="AC176" i="1"/>
  <c r="AC249" i="1"/>
  <c r="AC351" i="1"/>
  <c r="AC225" i="1"/>
  <c r="AC343" i="1"/>
  <c r="AC318" i="1"/>
  <c r="AC185" i="1"/>
  <c r="AC337" i="1"/>
  <c r="AC362" i="1"/>
  <c r="AC326" i="1"/>
  <c r="AC241" i="1"/>
  <c r="AC311" i="1"/>
  <c r="AC350" i="1"/>
  <c r="AC205" i="1"/>
  <c r="AC208" i="1"/>
  <c r="AC211" i="1"/>
  <c r="AC207" i="1"/>
  <c r="AC213" i="1"/>
  <c r="BI131" i="123"/>
  <c r="DJ51" i="1"/>
  <c r="BN215" i="1"/>
  <c r="BN213" i="1"/>
  <c r="BN211" i="1"/>
  <c r="DJ78" i="1"/>
  <c r="CC206" i="1" s="1"/>
  <c r="CH131" i="123"/>
  <c r="BR131" i="123"/>
  <c r="BN207" i="1"/>
  <c r="BN208" i="1"/>
  <c r="BN205" i="1"/>
  <c r="FQ64" i="93"/>
  <c r="FQ62" i="93" s="1"/>
  <c r="FZ64" i="93"/>
  <c r="DJ62" i="1" s="1"/>
  <c r="LP64" i="93"/>
  <c r="MA64" i="93" s="1"/>
  <c r="AC320" i="1"/>
  <c r="AC197" i="1"/>
  <c r="AC352" i="1"/>
  <c r="AC359" i="1"/>
  <c r="AC294" i="1"/>
  <c r="AC190" i="1"/>
  <c r="AC202" i="1"/>
  <c r="AC235" i="1"/>
  <c r="AC286" i="1"/>
  <c r="AC204" i="1"/>
  <c r="AC230" i="1"/>
  <c r="AC347" i="1"/>
  <c r="AC180" i="1"/>
  <c r="DJ157" i="1"/>
  <c r="AC317" i="1"/>
  <c r="AC200" i="1"/>
  <c r="AC324" i="1"/>
  <c r="AC263" i="1"/>
  <c r="AC279" i="1"/>
  <c r="AC189" i="1"/>
  <c r="AC223" i="1"/>
  <c r="AC314" i="1"/>
  <c r="AC297" i="1"/>
  <c r="AC345" i="1"/>
  <c r="AC260" i="1"/>
  <c r="AC321" i="1"/>
  <c r="AC229" i="1"/>
  <c r="BN274" i="1"/>
  <c r="BN358" i="1"/>
  <c r="BN230" i="1"/>
  <c r="BN254" i="1"/>
  <c r="BN239" i="1"/>
  <c r="BN264" i="1"/>
  <c r="BN334" i="1"/>
  <c r="BN179" i="1"/>
  <c r="BN224" i="1"/>
  <c r="BN190" i="1"/>
  <c r="BN228" i="1"/>
  <c r="BN250" i="1"/>
  <c r="BN189" i="1"/>
  <c r="BN290" i="1"/>
  <c r="BN355" i="1"/>
  <c r="BN343" i="1"/>
  <c r="BN243" i="1"/>
  <c r="BN276" i="1"/>
  <c r="BN272" i="1"/>
  <c r="BN285" i="1"/>
  <c r="BN260" i="1"/>
  <c r="BN183" i="1"/>
  <c r="BN354" i="1"/>
  <c r="BN325" i="1"/>
  <c r="BN240" i="1"/>
  <c r="BN303" i="1"/>
  <c r="BN310" i="1"/>
  <c r="BN246" i="1"/>
  <c r="BN232" i="1"/>
  <c r="BN197" i="1"/>
  <c r="BN348" i="1"/>
  <c r="BN357" i="1"/>
  <c r="BN180" i="1"/>
  <c r="BN269" i="1"/>
  <c r="BN253" i="1"/>
  <c r="BN270" i="1"/>
  <c r="BN293" i="1"/>
  <c r="BN361" i="1"/>
  <c r="BN200" i="1"/>
  <c r="BN318" i="1"/>
  <c r="BN195" i="1"/>
  <c r="BN244" i="1"/>
  <c r="BN252" i="1"/>
  <c r="BN324" i="1"/>
  <c r="BN332" i="1"/>
  <c r="BN292" i="1"/>
  <c r="BN301" i="1"/>
  <c r="BN347" i="1"/>
  <c r="BN306" i="1"/>
  <c r="BN279" i="1"/>
  <c r="BN267" i="1"/>
  <c r="BN182" i="1"/>
  <c r="BN351" i="1"/>
  <c r="BN251" i="1"/>
  <c r="BN317" i="1"/>
  <c r="BN322" i="1"/>
  <c r="BN191" i="1"/>
  <c r="BN326" i="1"/>
  <c r="BN283" i="1"/>
  <c r="BN340" i="1"/>
  <c r="BN337" i="1"/>
  <c r="BN234" i="1"/>
  <c r="BN245" i="1"/>
  <c r="BN247" i="1"/>
  <c r="BN249" i="1"/>
  <c r="BN223" i="1"/>
  <c r="BN319" i="1"/>
  <c r="BN263" i="1"/>
  <c r="BN258" i="1"/>
  <c r="BN288" i="1"/>
  <c r="BN356" i="1"/>
  <c r="BN273" i="1"/>
  <c r="BN233" i="1"/>
  <c r="BN275" i="1"/>
  <c r="BN336" i="1"/>
  <c r="BN304" i="1"/>
  <c r="BN176" i="1"/>
  <c r="BN266" i="1"/>
  <c r="BN220" i="1"/>
  <c r="BN262" i="1"/>
  <c r="BN312" i="1"/>
  <c r="BN331" i="1"/>
  <c r="BN362" i="1"/>
  <c r="BN186" i="1"/>
  <c r="BN185" i="1"/>
  <c r="BN226" i="1"/>
  <c r="BN198" i="1"/>
  <c r="BN321" i="1"/>
  <c r="BN297" i="1"/>
  <c r="BN341" i="1"/>
  <c r="BN281" i="1"/>
  <c r="BN202" i="1"/>
  <c r="BN255" i="1"/>
  <c r="BN199" i="1"/>
  <c r="BN359" i="1"/>
  <c r="BN241" i="1"/>
  <c r="BN346" i="1"/>
  <c r="BN298" i="1"/>
  <c r="BN294" i="1"/>
  <c r="BN235" i="1"/>
  <c r="BN203" i="1"/>
  <c r="BN316" i="1"/>
  <c r="BN229" i="1"/>
  <c r="BN265" i="1"/>
  <c r="BN257" i="1"/>
  <c r="BN308" i="1"/>
  <c r="BN313" i="1"/>
  <c r="BN344" i="1"/>
  <c r="BN333" i="1"/>
  <c r="BN328" i="1"/>
  <c r="BN315" i="1"/>
  <c r="BN277" i="1"/>
  <c r="BN349" i="1"/>
  <c r="BN196" i="1"/>
  <c r="BN338" i="1"/>
  <c r="BN280" i="1"/>
  <c r="BN175" i="1"/>
  <c r="BN327" i="1"/>
  <c r="BN311" i="1"/>
  <c r="BN350" i="1"/>
  <c r="BN177" i="1"/>
  <c r="BN352" i="1"/>
  <c r="BN284" i="1"/>
  <c r="BN193" i="1"/>
  <c r="BN261" i="1"/>
  <c r="BN364" i="1"/>
  <c r="BN320" i="1"/>
  <c r="BN289" i="1"/>
  <c r="BN256" i="1"/>
  <c r="BN305" i="1"/>
  <c r="BN360" i="1"/>
  <c r="BN204" i="1"/>
  <c r="BN242" i="1"/>
  <c r="BN286" i="1"/>
  <c r="BN278" i="1"/>
  <c r="BN299" i="1"/>
  <c r="BN300" i="1"/>
  <c r="BN307" i="1"/>
  <c r="BN268" i="1"/>
  <c r="BN353" i="1"/>
  <c r="BN236" i="1"/>
  <c r="BN227" i="1"/>
  <c r="BN192" i="1"/>
  <c r="BN181" i="1"/>
  <c r="BN345" i="1"/>
  <c r="BN314" i="1"/>
  <c r="BN363" i="1"/>
  <c r="BN309" i="1"/>
  <c r="BN291" i="1"/>
  <c r="BN225" i="1"/>
  <c r="BN237" i="1"/>
  <c r="GT5" i="1" l="1"/>
  <c r="GT6" i="1" s="1"/>
  <c r="BE206" i="1"/>
  <c r="BE339" i="1"/>
  <c r="BE188" i="1"/>
  <c r="BE184" i="1"/>
  <c r="BE178" i="1"/>
  <c r="BE259" i="1"/>
  <c r="BE287" i="1"/>
  <c r="BE271" i="1"/>
  <c r="BE248" i="1"/>
  <c r="BE282" i="1"/>
  <c r="BE296" i="1"/>
  <c r="BE295" i="1"/>
  <c r="BE323" i="1"/>
  <c r="BE329" i="1"/>
  <c r="BE201" i="1"/>
  <c r="BE221" i="1"/>
  <c r="BE222" i="1"/>
  <c r="BE194" i="1"/>
  <c r="BE174" i="1"/>
  <c r="BE231" i="1"/>
  <c r="BE187" i="1"/>
  <c r="BE238" i="1"/>
  <c r="BE302" i="1"/>
  <c r="BE330" i="1"/>
  <c r="BE173" i="1"/>
  <c r="BE335" i="1"/>
  <c r="BE342" i="1"/>
  <c r="BO206" i="1"/>
  <c r="BO339" i="1"/>
  <c r="BO342" i="1"/>
  <c r="BO188" i="1"/>
  <c r="BO178" i="1"/>
  <c r="BO184" i="1"/>
  <c r="BO287" i="1"/>
  <c r="BO282" i="1"/>
  <c r="BO259" i="1"/>
  <c r="BO296" i="1"/>
  <c r="BO248" i="1"/>
  <c r="BO295" i="1"/>
  <c r="BO271" i="1"/>
  <c r="BO329" i="1"/>
  <c r="BO187" i="1"/>
  <c r="BO174" i="1"/>
  <c r="BO330" i="1"/>
  <c r="BO335" i="1"/>
  <c r="BO238" i="1"/>
  <c r="BO194" i="1"/>
  <c r="BO302" i="1"/>
  <c r="BO222" i="1"/>
  <c r="BO221" i="1"/>
  <c r="BO201" i="1"/>
  <c r="BO231" i="1"/>
  <c r="BO323" i="1"/>
  <c r="BO173" i="1"/>
  <c r="CC188" i="1"/>
  <c r="CC178" i="1"/>
  <c r="CC184" i="1"/>
  <c r="CC259" i="1"/>
  <c r="CC287" i="1"/>
  <c r="CC248" i="1"/>
  <c r="CC295" i="1"/>
  <c r="CC296" i="1"/>
  <c r="CC271" i="1"/>
  <c r="CC282" i="1"/>
  <c r="CC238" i="1"/>
  <c r="CC323" i="1"/>
  <c r="CC201" i="1"/>
  <c r="CC330" i="1"/>
  <c r="CC221" i="1"/>
  <c r="CC194" i="1"/>
  <c r="CC231" i="1"/>
  <c r="CC302" i="1"/>
  <c r="CC329" i="1"/>
  <c r="CC222" i="1"/>
  <c r="CC187" i="1"/>
  <c r="CC174" i="1"/>
  <c r="CC173" i="1"/>
  <c r="CC342" i="1"/>
  <c r="CC339" i="1"/>
  <c r="CC335" i="1"/>
  <c r="BO219" i="1"/>
  <c r="BO209" i="1"/>
  <c r="BE219" i="1"/>
  <c r="BE209" i="1"/>
  <c r="CC219" i="1"/>
  <c r="CC209" i="1"/>
  <c r="BE214" i="1"/>
  <c r="BE217" i="1"/>
  <c r="BO214" i="1"/>
  <c r="BO217" i="1"/>
  <c r="CC214" i="1"/>
  <c r="CC217" i="1"/>
  <c r="BO210" i="1"/>
  <c r="BO212" i="1"/>
  <c r="BE210" i="1"/>
  <c r="BE212" i="1"/>
  <c r="CC210" i="1"/>
  <c r="CC212" i="1"/>
  <c r="BO218" i="1"/>
  <c r="BO216" i="1"/>
  <c r="BE208" i="1"/>
  <c r="BE216" i="1"/>
  <c r="BE218" i="1"/>
  <c r="CC283" i="1"/>
  <c r="CC216" i="1"/>
  <c r="CC218" i="1"/>
  <c r="EG11" i="123"/>
  <c r="EI11" i="123"/>
  <c r="EH11" i="123"/>
  <c r="BE353" i="1"/>
  <c r="BE307" i="1"/>
  <c r="BE290" i="1"/>
  <c r="BE291" i="1"/>
  <c r="BE181" i="1"/>
  <c r="BE223" i="1"/>
  <c r="BE311" i="1"/>
  <c r="BE322" i="1"/>
  <c r="BE320" i="1"/>
  <c r="BE317" i="1"/>
  <c r="BE233" i="1"/>
  <c r="BE360" i="1"/>
  <c r="BE299" i="1"/>
  <c r="BE193" i="1"/>
  <c r="BE306" i="1"/>
  <c r="BE348" i="1"/>
  <c r="BE175" i="1"/>
  <c r="BE199" i="1"/>
  <c r="BE228" i="1"/>
  <c r="BE315" i="1"/>
  <c r="BE253" i="1"/>
  <c r="BE185" i="1"/>
  <c r="BE305" i="1"/>
  <c r="BE303" i="1"/>
  <c r="BE341" i="1"/>
  <c r="BE244" i="1"/>
  <c r="BE350" i="1"/>
  <c r="BE232" i="1"/>
  <c r="BE269" i="1"/>
  <c r="BE198" i="1"/>
  <c r="BE182" i="1"/>
  <c r="BE300" i="1"/>
  <c r="BE361" i="1"/>
  <c r="BE343" i="1"/>
  <c r="BE301" i="1"/>
  <c r="BE242" i="1"/>
  <c r="BE265" i="1"/>
  <c r="BE283" i="1"/>
  <c r="CC349" i="1"/>
  <c r="CC267" i="1"/>
  <c r="CC304" i="1"/>
  <c r="CC249" i="1"/>
  <c r="CC322" i="1"/>
  <c r="CC175" i="1"/>
  <c r="CC345" i="1"/>
  <c r="CC257" i="1"/>
  <c r="CC332" i="1"/>
  <c r="CC273" i="1"/>
  <c r="CC341" i="1"/>
  <c r="CC195" i="1"/>
  <c r="CC343" i="1"/>
  <c r="CC307" i="1"/>
  <c r="CC265" i="1"/>
  <c r="CC324" i="1"/>
  <c r="CC258" i="1"/>
  <c r="CC310" i="1"/>
  <c r="CC293" i="1"/>
  <c r="CC250" i="1"/>
  <c r="CC225" i="1"/>
  <c r="CC352" i="1"/>
  <c r="CC320" i="1"/>
  <c r="CC340" i="1"/>
  <c r="CC233" i="1"/>
  <c r="CC193" i="1"/>
  <c r="CC356" i="1"/>
  <c r="CC284" i="1"/>
  <c r="CC186" i="1"/>
  <c r="CC331" i="1"/>
  <c r="CC298" i="1"/>
  <c r="CC179" i="1"/>
  <c r="CC290" i="1"/>
  <c r="CC344" i="1"/>
  <c r="CC262" i="1"/>
  <c r="CC276" i="1"/>
  <c r="CC361" i="1"/>
  <c r="CC242" i="1"/>
  <c r="CC224" i="1"/>
  <c r="CC359" i="1"/>
  <c r="CC362" i="1"/>
  <c r="CC297" i="1"/>
  <c r="CC189" i="1"/>
  <c r="CC192" i="1"/>
  <c r="CC182" i="1"/>
  <c r="CC204" i="1"/>
  <c r="CC239" i="1"/>
  <c r="CC306" i="1"/>
  <c r="CC181" i="1"/>
  <c r="CC328" i="1"/>
  <c r="CC269" i="1"/>
  <c r="CC198" i="1"/>
  <c r="CC275" i="1"/>
  <c r="CC360" i="1"/>
  <c r="CC292" i="1"/>
  <c r="CC317" i="1"/>
  <c r="CC254" i="1"/>
  <c r="CC357" i="1"/>
  <c r="CC353" i="1"/>
  <c r="CC277" i="1"/>
  <c r="CC351" i="1"/>
  <c r="CC347" i="1"/>
  <c r="CC311" i="1"/>
  <c r="CC286" i="1"/>
  <c r="CC363" i="1"/>
  <c r="CC180" i="1"/>
  <c r="CC220" i="1"/>
  <c r="CC261" i="1"/>
  <c r="CC191" i="1"/>
  <c r="CC303" i="1"/>
  <c r="CC309" i="1"/>
  <c r="CC338" i="1"/>
  <c r="CC177" i="1"/>
  <c r="CC197" i="1"/>
  <c r="CC319" i="1"/>
  <c r="CC327" i="1"/>
  <c r="CC232" i="1"/>
  <c r="CC316" i="1"/>
  <c r="CC196" i="1"/>
  <c r="CC234" i="1"/>
  <c r="CC299" i="1"/>
  <c r="CC315" i="1"/>
  <c r="CC243" i="1"/>
  <c r="CC190" i="1"/>
  <c r="CC291" i="1"/>
  <c r="CC355" i="1"/>
  <c r="CC364" i="1"/>
  <c r="CC300" i="1"/>
  <c r="CC236" i="1"/>
  <c r="CC285" i="1"/>
  <c r="CC318" i="1"/>
  <c r="CC200" i="1"/>
  <c r="CC237" i="1"/>
  <c r="CC228" i="1"/>
  <c r="CC270" i="1"/>
  <c r="CC230" i="1"/>
  <c r="CC314" i="1"/>
  <c r="CC203" i="1"/>
  <c r="CC241" i="1"/>
  <c r="CC223" i="1"/>
  <c r="CC202" i="1"/>
  <c r="CC247" i="1"/>
  <c r="CC255" i="1"/>
  <c r="CC333" i="1"/>
  <c r="CC326" i="1"/>
  <c r="CC280" i="1"/>
  <c r="CC288" i="1"/>
  <c r="CC183" i="1"/>
  <c r="CC229" i="1"/>
  <c r="CC252" i="1"/>
  <c r="CC358" i="1"/>
  <c r="CC268" i="1"/>
  <c r="CC278" i="1"/>
  <c r="CC272" i="1"/>
  <c r="CC334" i="1"/>
  <c r="CC348" i="1"/>
  <c r="CC245" i="1"/>
  <c r="CC346" i="1"/>
  <c r="CC226" i="1"/>
  <c r="CC313" i="1"/>
  <c r="CC263" i="1"/>
  <c r="CC185" i="1"/>
  <c r="CC294" i="1"/>
  <c r="CC305" i="1"/>
  <c r="CC240" i="1"/>
  <c r="CC256" i="1"/>
  <c r="CC244" i="1"/>
  <c r="CC308" i="1"/>
  <c r="CC199" i="1"/>
  <c r="CC253" i="1"/>
  <c r="CC246" i="1"/>
  <c r="CC251" i="1"/>
  <c r="CC301" i="1"/>
  <c r="CC350" i="1"/>
  <c r="CC235" i="1"/>
  <c r="CC264" i="1"/>
  <c r="CC176" i="1"/>
  <c r="CC336" i="1"/>
  <c r="CC227" i="1"/>
  <c r="CC289" i="1"/>
  <c r="CC279" i="1"/>
  <c r="CC337" i="1"/>
  <c r="CC354" i="1"/>
  <c r="CC281" i="1"/>
  <c r="CC325" i="1"/>
  <c r="CC274" i="1"/>
  <c r="CC260" i="1"/>
  <c r="CC266" i="1"/>
  <c r="CC312" i="1"/>
  <c r="CC321" i="1"/>
  <c r="BO215" i="1"/>
  <c r="BO213" i="1"/>
  <c r="BO211" i="1"/>
  <c r="BE215" i="1"/>
  <c r="BE211" i="1"/>
  <c r="BE213" i="1"/>
  <c r="DJ53" i="1"/>
  <c r="DJ52" i="1"/>
  <c r="CC213" i="1"/>
  <c r="CC215" i="1"/>
  <c r="CC207" i="1"/>
  <c r="CC211" i="1"/>
  <c r="CC205" i="1"/>
  <c r="CC208" i="1"/>
  <c r="DJ79" i="1"/>
  <c r="CI131" i="123"/>
  <c r="EK11" i="123" s="1"/>
  <c r="BE316" i="1"/>
  <c r="BE325" i="1"/>
  <c r="BE331" i="1"/>
  <c r="BE190" i="1"/>
  <c r="BE289" i="1"/>
  <c r="BE338" i="1"/>
  <c r="BE256" i="1"/>
  <c r="BE274" i="1"/>
  <c r="BE327" i="1"/>
  <c r="BE354" i="1"/>
  <c r="BE276" i="1"/>
  <c r="BE264" i="1"/>
  <c r="BE227" i="1"/>
  <c r="BE346" i="1"/>
  <c r="BE352" i="1"/>
  <c r="BE247" i="1"/>
  <c r="BE277" i="1"/>
  <c r="BE246" i="1"/>
  <c r="BE263" i="1"/>
  <c r="BE286" i="1"/>
  <c r="BE230" i="1"/>
  <c r="BE310" i="1"/>
  <c r="BE347" i="1"/>
  <c r="BE344" i="1"/>
  <c r="BE312" i="1"/>
  <c r="BE297" i="1"/>
  <c r="BE319" i="1"/>
  <c r="BE314" i="1"/>
  <c r="BE308" i="1"/>
  <c r="BE189" i="1"/>
  <c r="BE333" i="1"/>
  <c r="BE358" i="1"/>
  <c r="BE226" i="1"/>
  <c r="BE229" i="1"/>
  <c r="BE255" i="1"/>
  <c r="BE241" i="1"/>
  <c r="BE309" i="1"/>
  <c r="BE240" i="1"/>
  <c r="BE196" i="1"/>
  <c r="BE220" i="1"/>
  <c r="BE336" i="1"/>
  <c r="BE270" i="1"/>
  <c r="BE200" i="1"/>
  <c r="BE357" i="1"/>
  <c r="BE245" i="1"/>
  <c r="BE304" i="1"/>
  <c r="BE275" i="1"/>
  <c r="BE355" i="1"/>
  <c r="BE202" i="1"/>
  <c r="BE280" i="1"/>
  <c r="BE273" i="1"/>
  <c r="BE288" i="1"/>
  <c r="BE179" i="1"/>
  <c r="BE250" i="1"/>
  <c r="BE186" i="1"/>
  <c r="BE267" i="1"/>
  <c r="BE324" i="1"/>
  <c r="BE356" i="1"/>
  <c r="BE332" i="1"/>
  <c r="BE261" i="1"/>
  <c r="BE236" i="1"/>
  <c r="BE293" i="1"/>
  <c r="BE177" i="1"/>
  <c r="BE243" i="1"/>
  <c r="BE251" i="1"/>
  <c r="BE363" i="1"/>
  <c r="BE249" i="1"/>
  <c r="BE235" i="1"/>
  <c r="BE334" i="1"/>
  <c r="BE326" i="1"/>
  <c r="BE292" i="1"/>
  <c r="BE272" i="1"/>
  <c r="BE262" i="1"/>
  <c r="BE258" i="1"/>
  <c r="BE345" i="1"/>
  <c r="BE285" i="1"/>
  <c r="BE234" i="1"/>
  <c r="BE328" i="1"/>
  <c r="BE279" i="1"/>
  <c r="BE252" i="1"/>
  <c r="BE260" i="1"/>
  <c r="BE268" i="1"/>
  <c r="BE281" i="1"/>
  <c r="BE195" i="1"/>
  <c r="BE359" i="1"/>
  <c r="BE224" i="1"/>
  <c r="BE362" i="1"/>
  <c r="BE237" i="1"/>
  <c r="BE203" i="1"/>
  <c r="BE294" i="1"/>
  <c r="BE337" i="1"/>
  <c r="BE340" i="1"/>
  <c r="BE313" i="1"/>
  <c r="BE191" i="1"/>
  <c r="BE192" i="1"/>
  <c r="BE278" i="1"/>
  <c r="BE239" i="1"/>
  <c r="BE298" i="1"/>
  <c r="BE180" i="1"/>
  <c r="BE254" i="1"/>
  <c r="BE204" i="1"/>
  <c r="BE349" i="1"/>
  <c r="BE197" i="1"/>
  <c r="BE321" i="1"/>
  <c r="BE183" i="1"/>
  <c r="BE351" i="1"/>
  <c r="BE318" i="1"/>
  <c r="BE364" i="1"/>
  <c r="BE266" i="1"/>
  <c r="BE257" i="1"/>
  <c r="BE176" i="1"/>
  <c r="BE225" i="1"/>
  <c r="BE284" i="1"/>
  <c r="BE205" i="1"/>
  <c r="BE207" i="1"/>
  <c r="BO208" i="1"/>
  <c r="BO207" i="1"/>
  <c r="BO205" i="1"/>
  <c r="NB60" i="93"/>
  <c r="NB6" i="93"/>
  <c r="NB5" i="93" s="1"/>
  <c r="BJ131" i="123"/>
  <c r="BS131" i="123"/>
  <c r="GA64" i="93"/>
  <c r="DJ63" i="1" s="1"/>
  <c r="LQ64" i="93"/>
  <c r="MB64" i="93" s="1"/>
  <c r="GV5" i="1"/>
  <c r="GV6" i="1" s="1"/>
  <c r="BO297" i="1"/>
  <c r="BO233" i="1"/>
  <c r="BO263" i="1"/>
  <c r="BO189" i="1"/>
  <c r="BO279" i="1"/>
  <c r="BO304" i="1"/>
  <c r="BO230" i="1"/>
  <c r="BO343" i="1"/>
  <c r="BO197" i="1"/>
  <c r="BO286" i="1"/>
  <c r="BO358" i="1"/>
  <c r="BO254" i="1"/>
  <c r="BO284" i="1"/>
  <c r="BO270" i="1"/>
  <c r="BO269" i="1"/>
  <c r="BO298" i="1"/>
  <c r="BO319" i="1"/>
  <c r="BO262" i="1"/>
  <c r="BO341" i="1"/>
  <c r="BO301" i="1"/>
  <c r="BO239" i="1"/>
  <c r="BO268" i="1"/>
  <c r="BO316" i="1"/>
  <c r="BO332" i="1"/>
  <c r="BO331" i="1"/>
  <c r="BO355" i="1"/>
  <c r="BO288" i="1"/>
  <c r="BO318" i="1"/>
  <c r="BO347" i="1"/>
  <c r="BO360" i="1"/>
  <c r="BO186" i="1"/>
  <c r="BO283" i="1"/>
  <c r="BO274" i="1"/>
  <c r="BO245" i="1"/>
  <c r="BO204" i="1"/>
  <c r="BO289" i="1"/>
  <c r="BO237" i="1"/>
  <c r="BO325" i="1"/>
  <c r="BO246" i="1"/>
  <c r="BO244" i="1"/>
  <c r="BO192" i="1"/>
  <c r="BO313" i="1"/>
  <c r="BO303" i="1"/>
  <c r="BO183" i="1"/>
  <c r="BO258" i="1"/>
  <c r="BO340" i="1"/>
  <c r="BO309" i="1"/>
  <c r="BO310" i="1"/>
  <c r="BO177" i="1"/>
  <c r="BO196" i="1"/>
  <c r="BO308" i="1"/>
  <c r="BO175" i="1"/>
  <c r="BO179" i="1"/>
  <c r="BO242" i="1"/>
  <c r="BO312" i="1"/>
  <c r="BO322" i="1"/>
  <c r="BO354" i="1"/>
  <c r="BO257" i="1"/>
  <c r="BO236" i="1"/>
  <c r="BO278" i="1"/>
  <c r="BO277" i="1"/>
  <c r="BO357" i="1"/>
  <c r="BO190" i="1"/>
  <c r="BO280" i="1"/>
  <c r="BO327" i="1"/>
  <c r="BO290" i="1"/>
  <c r="BO338" i="1"/>
  <c r="BO359" i="1"/>
  <c r="BO275" i="1"/>
  <c r="BO307" i="1"/>
  <c r="BO350" i="1"/>
  <c r="BO250" i="1"/>
  <c r="BO356" i="1"/>
  <c r="BO315" i="1"/>
  <c r="BO176" i="1"/>
  <c r="BO321" i="1"/>
  <c r="BO353" i="1"/>
  <c r="BO223" i="1"/>
  <c r="BO273" i="1"/>
  <c r="BO241" i="1"/>
  <c r="BO240" i="1"/>
  <c r="BO182" i="1"/>
  <c r="BO306" i="1"/>
  <c r="BO260" i="1"/>
  <c r="BO251" i="1"/>
  <c r="BO247" i="1"/>
  <c r="BO264" i="1"/>
  <c r="BO226" i="1"/>
  <c r="BO276" i="1"/>
  <c r="BO191" i="1"/>
  <c r="BO234" i="1"/>
  <c r="BO228" i="1"/>
  <c r="BO266" i="1"/>
  <c r="BO200" i="1"/>
  <c r="BO285" i="1"/>
  <c r="BO300" i="1"/>
  <c r="BO227" i="1"/>
  <c r="BO305" i="1"/>
  <c r="BO292" i="1"/>
  <c r="BO256" i="1"/>
  <c r="BO299" i="1"/>
  <c r="BO352" i="1"/>
  <c r="BO243" i="1"/>
  <c r="BO328" i="1"/>
  <c r="BO195" i="1"/>
  <c r="BO334" i="1"/>
  <c r="BO326" i="1"/>
  <c r="BO225" i="1"/>
  <c r="BO345" i="1"/>
  <c r="BO320" i="1"/>
  <c r="BO235" i="1"/>
  <c r="BO314" i="1"/>
  <c r="BO351" i="1"/>
  <c r="BO317" i="1"/>
  <c r="BO362" i="1"/>
  <c r="BO261" i="1"/>
  <c r="BO291" i="1"/>
  <c r="BO364" i="1"/>
  <c r="BO361" i="1"/>
  <c r="BO337" i="1"/>
  <c r="BO346" i="1"/>
  <c r="BO229" i="1"/>
  <c r="BO333" i="1"/>
  <c r="BO224" i="1"/>
  <c r="BO324" i="1"/>
  <c r="BO349" i="1"/>
  <c r="BO202" i="1"/>
  <c r="BO348" i="1"/>
  <c r="BO281" i="1"/>
  <c r="BO311" i="1"/>
  <c r="BO252" i="1"/>
  <c r="BO232" i="1"/>
  <c r="BO199" i="1"/>
  <c r="BO272" i="1"/>
  <c r="BO267" i="1"/>
  <c r="BO198" i="1"/>
  <c r="BO344" i="1"/>
  <c r="BO253" i="1"/>
  <c r="BO265" i="1"/>
  <c r="BO363" i="1"/>
  <c r="BO180" i="1"/>
  <c r="BO181" i="1"/>
  <c r="BO293" i="1"/>
  <c r="BO336" i="1"/>
  <c r="BO193" i="1"/>
  <c r="BO220" i="1"/>
  <c r="BO294" i="1"/>
  <c r="BO203" i="1"/>
  <c r="BO255" i="1"/>
  <c r="BO249" i="1"/>
  <c r="BO185" i="1"/>
  <c r="BF206" i="1" l="1"/>
  <c r="BF339" i="1"/>
  <c r="BF188" i="1"/>
  <c r="BF184" i="1"/>
  <c r="BF178" i="1"/>
  <c r="BF282" i="1"/>
  <c r="BF287" i="1"/>
  <c r="BF259" i="1"/>
  <c r="BF248" i="1"/>
  <c r="BF271" i="1"/>
  <c r="BF296" i="1"/>
  <c r="BF295" i="1"/>
  <c r="BF330" i="1"/>
  <c r="BF329" i="1"/>
  <c r="BF323" i="1"/>
  <c r="BF194" i="1"/>
  <c r="BF302" i="1"/>
  <c r="BF222" i="1"/>
  <c r="BF201" i="1"/>
  <c r="BF174" i="1"/>
  <c r="BF187" i="1"/>
  <c r="BF238" i="1"/>
  <c r="BF221" i="1"/>
  <c r="BF231" i="1"/>
  <c r="BF173" i="1"/>
  <c r="BF342" i="1"/>
  <c r="BF335" i="1"/>
  <c r="BP206" i="1"/>
  <c r="BP339" i="1"/>
  <c r="BP342" i="1"/>
  <c r="BP188" i="1"/>
  <c r="BP178" i="1"/>
  <c r="BP184" i="1"/>
  <c r="BP271" i="1"/>
  <c r="BP259" i="1"/>
  <c r="BP287" i="1"/>
  <c r="BP282" i="1"/>
  <c r="BP248" i="1"/>
  <c r="BP296" i="1"/>
  <c r="BP295" i="1"/>
  <c r="BP335" i="1"/>
  <c r="BP330" i="1"/>
  <c r="BP201" i="1"/>
  <c r="BP323" i="1"/>
  <c r="BP187" i="1"/>
  <c r="BP194" i="1"/>
  <c r="BP174" i="1"/>
  <c r="BP222" i="1"/>
  <c r="BP238" i="1"/>
  <c r="BP231" i="1"/>
  <c r="BP221" i="1"/>
  <c r="BP302" i="1"/>
  <c r="BP329" i="1"/>
  <c r="BP173" i="1"/>
  <c r="BG206" i="1"/>
  <c r="BG339" i="1"/>
  <c r="BG188" i="1"/>
  <c r="BG178" i="1"/>
  <c r="BG184" i="1"/>
  <c r="BG287" i="1"/>
  <c r="BG295" i="1"/>
  <c r="BG248" i="1"/>
  <c r="BG259" i="1"/>
  <c r="BG282" i="1"/>
  <c r="BG271" i="1"/>
  <c r="BG296" i="1"/>
  <c r="BG231" i="1"/>
  <c r="BG330" i="1"/>
  <c r="BG221" i="1"/>
  <c r="BG323" i="1"/>
  <c r="BG194" i="1"/>
  <c r="BG302" i="1"/>
  <c r="BG187" i="1"/>
  <c r="BG174" i="1"/>
  <c r="BG329" i="1"/>
  <c r="BG222" i="1"/>
  <c r="BG201" i="1"/>
  <c r="BG238" i="1"/>
  <c r="BG173" i="1"/>
  <c r="BG335" i="1"/>
  <c r="BG342" i="1"/>
  <c r="CD188" i="1"/>
  <c r="CD178" i="1"/>
  <c r="CD184" i="1"/>
  <c r="CD248" i="1"/>
  <c r="CD295" i="1"/>
  <c r="CD287" i="1"/>
  <c r="CD282" i="1"/>
  <c r="CD271" i="1"/>
  <c r="CD259" i="1"/>
  <c r="CD296" i="1"/>
  <c r="CD221" i="1"/>
  <c r="CD201" i="1"/>
  <c r="CD194" i="1"/>
  <c r="CD231" i="1"/>
  <c r="CD329" i="1"/>
  <c r="CD238" i="1"/>
  <c r="CD323" i="1"/>
  <c r="CD330" i="1"/>
  <c r="CD222" i="1"/>
  <c r="CD187" i="1"/>
  <c r="CD174" i="1"/>
  <c r="CD302" i="1"/>
  <c r="CD173" i="1"/>
  <c r="CD339" i="1"/>
  <c r="CD335" i="1"/>
  <c r="CD342" i="1"/>
  <c r="EJ11" i="123"/>
  <c r="EL11" i="123"/>
  <c r="EM11" i="123"/>
  <c r="BP219" i="1"/>
  <c r="BP209" i="1"/>
  <c r="BG219" i="1"/>
  <c r="BG209" i="1"/>
  <c r="BF219" i="1"/>
  <c r="BF209" i="1"/>
  <c r="CD219" i="1"/>
  <c r="CD209" i="1"/>
  <c r="BG214" i="1"/>
  <c r="BG217" i="1"/>
  <c r="BP214" i="1"/>
  <c r="BP217" i="1"/>
  <c r="BF214" i="1"/>
  <c r="BF217" i="1"/>
  <c r="CD214" i="1"/>
  <c r="CD217" i="1"/>
  <c r="BF210" i="1"/>
  <c r="BF212" i="1"/>
  <c r="BP210" i="1"/>
  <c r="BP212" i="1"/>
  <c r="BG210" i="1"/>
  <c r="BG212" i="1"/>
  <c r="CD210" i="1"/>
  <c r="CD212" i="1"/>
  <c r="BP216" i="1"/>
  <c r="BP218" i="1"/>
  <c r="BG218" i="1"/>
  <c r="BG216" i="1"/>
  <c r="BF216" i="1"/>
  <c r="BF218" i="1"/>
  <c r="CD215" i="1"/>
  <c r="CD216" i="1"/>
  <c r="CD218" i="1"/>
  <c r="EP11" i="123"/>
  <c r="EQ11" i="123"/>
  <c r="EU11" i="123"/>
  <c r="EN11" i="123"/>
  <c r="EO11" i="123"/>
  <c r="ER11" i="123"/>
  <c r="ES11" i="123"/>
  <c r="ET11" i="123"/>
  <c r="DJ54" i="1"/>
  <c r="BK131" i="123"/>
  <c r="GB64" i="93"/>
  <c r="DJ64" i="1" s="1"/>
  <c r="BF215" i="1"/>
  <c r="BF213" i="1"/>
  <c r="BF211" i="1"/>
  <c r="BG215" i="1"/>
  <c r="BG213" i="1"/>
  <c r="BG211" i="1"/>
  <c r="BP215" i="1"/>
  <c r="BP213" i="1"/>
  <c r="BP211" i="1"/>
  <c r="CD211" i="1"/>
  <c r="CD213" i="1"/>
  <c r="CJ131" i="123"/>
  <c r="EX11" i="123" s="1"/>
  <c r="DJ80" i="1"/>
  <c r="BP208" i="1"/>
  <c r="BP207" i="1"/>
  <c r="BP205" i="1"/>
  <c r="BG207" i="1"/>
  <c r="BG208" i="1"/>
  <c r="BG205" i="1"/>
  <c r="BF232" i="1"/>
  <c r="BF207" i="1"/>
  <c r="BF208" i="1"/>
  <c r="BF205" i="1"/>
  <c r="CD205" i="1"/>
  <c r="CD206" i="1"/>
  <c r="CD208" i="1"/>
  <c r="CD207" i="1"/>
  <c r="NB56" i="93"/>
  <c r="NG54" i="93"/>
  <c r="NB54" i="93"/>
  <c r="BT131" i="123"/>
  <c r="BF224" i="1"/>
  <c r="BF272" i="1"/>
  <c r="BF258" i="1"/>
  <c r="BF253" i="1"/>
  <c r="BF354" i="1"/>
  <c r="BF237" i="1"/>
  <c r="BF260" i="1"/>
  <c r="BF361" i="1"/>
  <c r="BF349" i="1"/>
  <c r="BF252" i="1"/>
  <c r="BF362" i="1"/>
  <c r="BF264" i="1"/>
  <c r="BF263" i="1"/>
  <c r="BF239" i="1"/>
  <c r="BF267" i="1"/>
  <c r="BF310" i="1"/>
  <c r="BF256" i="1"/>
  <c r="BF177" i="1"/>
  <c r="BF242" i="1"/>
  <c r="BF318" i="1"/>
  <c r="BF288" i="1"/>
  <c r="BF300" i="1"/>
  <c r="BF247" i="1"/>
  <c r="BF243" i="1"/>
  <c r="BF314" i="1"/>
  <c r="BF350" i="1"/>
  <c r="BF359" i="1"/>
  <c r="BF191" i="1"/>
  <c r="BF346" i="1"/>
  <c r="BF190" i="1"/>
  <c r="BF197" i="1"/>
  <c r="BF348" i="1"/>
  <c r="BF186" i="1"/>
  <c r="BF331" i="1"/>
  <c r="BF227" i="1"/>
  <c r="BF356" i="1"/>
  <c r="BF327" i="1"/>
  <c r="BF223" i="1"/>
  <c r="BF189" i="1"/>
  <c r="BF364" i="1"/>
  <c r="BF343" i="1"/>
  <c r="BF198" i="1"/>
  <c r="BF345" i="1"/>
  <c r="BF307" i="1"/>
  <c r="BF355" i="1"/>
  <c r="BF241" i="1"/>
  <c r="BF181" i="1"/>
  <c r="BF225" i="1"/>
  <c r="BF344" i="1"/>
  <c r="BF298" i="1"/>
  <c r="BF274" i="1"/>
  <c r="BF305" i="1"/>
  <c r="BF353" i="1"/>
  <c r="BF193" i="1"/>
  <c r="BF297" i="1"/>
  <c r="BF352" i="1"/>
  <c r="BF294" i="1"/>
  <c r="BF278" i="1"/>
  <c r="BF279" i="1"/>
  <c r="BF203" i="1"/>
  <c r="BF261" i="1"/>
  <c r="BF336" i="1"/>
  <c r="BF303" i="1"/>
  <c r="BF332" i="1"/>
  <c r="BF357" i="1"/>
  <c r="BF262" i="1"/>
  <c r="BF254" i="1"/>
  <c r="BF229" i="1"/>
  <c r="BF265" i="1"/>
  <c r="BF276" i="1"/>
  <c r="BF311" i="1"/>
  <c r="BF220" i="1"/>
  <c r="BF325" i="1"/>
  <c r="BF321" i="1"/>
  <c r="BF200" i="1"/>
  <c r="BF315" i="1"/>
  <c r="BF291" i="1"/>
  <c r="BF230" i="1"/>
  <c r="BF337" i="1"/>
  <c r="BF228" i="1"/>
  <c r="BF199" i="1"/>
  <c r="BF290" i="1"/>
  <c r="BF275" i="1"/>
  <c r="BF360" i="1"/>
  <c r="BF324" i="1"/>
  <c r="BF250" i="1"/>
  <c r="BF301" i="1"/>
  <c r="BF251" i="1"/>
  <c r="BF363" i="1"/>
  <c r="BF182" i="1"/>
  <c r="BF286" i="1"/>
  <c r="BF309" i="1"/>
  <c r="BF293" i="1"/>
  <c r="BF338" i="1"/>
  <c r="BF192" i="1"/>
  <c r="BF196" i="1"/>
  <c r="BF317" i="1"/>
  <c r="BF292" i="1"/>
  <c r="BF175" i="1"/>
  <c r="BF244" i="1"/>
  <c r="BF304" i="1"/>
  <c r="BF316" i="1"/>
  <c r="BF233" i="1"/>
  <c r="BF312" i="1"/>
  <c r="BF234" i="1"/>
  <c r="BF285" i="1"/>
  <c r="BF280" i="1"/>
  <c r="BF334" i="1"/>
  <c r="BF202" i="1"/>
  <c r="BF347" i="1"/>
  <c r="BF289" i="1"/>
  <c r="BF246" i="1"/>
  <c r="BF340" i="1"/>
  <c r="BF266" i="1"/>
  <c r="BF270" i="1"/>
  <c r="BF249" i="1"/>
  <c r="BF358" i="1"/>
  <c r="BF351" i="1"/>
  <c r="BF268" i="1"/>
  <c r="BF180" i="1"/>
  <c r="BF183" i="1"/>
  <c r="BF284" i="1"/>
  <c r="BF226" i="1"/>
  <c r="BF341" i="1"/>
  <c r="BF273" i="1"/>
  <c r="BF235" i="1"/>
  <c r="BF179" i="1"/>
  <c r="BF281" i="1"/>
  <c r="BF245" i="1"/>
  <c r="BF283" i="1"/>
  <c r="BF195" i="1"/>
  <c r="BF185" i="1"/>
  <c r="BF236" i="1"/>
  <c r="BF255" i="1"/>
  <c r="BF333" i="1"/>
  <c r="BF240" i="1"/>
  <c r="BF320" i="1"/>
  <c r="BF328" i="1"/>
  <c r="BF313" i="1"/>
  <c r="BF204" i="1"/>
  <c r="BF306" i="1"/>
  <c r="BF319" i="1"/>
  <c r="BF326" i="1"/>
  <c r="BF299" i="1"/>
  <c r="BF308" i="1"/>
  <c r="BF269" i="1"/>
  <c r="BF257" i="1"/>
  <c r="BF322" i="1"/>
  <c r="BF176" i="1"/>
  <c r="BF277" i="1"/>
  <c r="CD189" i="1"/>
  <c r="CD181" i="1"/>
  <c r="CD344" i="1"/>
  <c r="CD256" i="1"/>
  <c r="CD340" i="1"/>
  <c r="CD351" i="1"/>
  <c r="CD307" i="1"/>
  <c r="CD241" i="1"/>
  <c r="CD224" i="1"/>
  <c r="CD273" i="1"/>
  <c r="CD318" i="1"/>
  <c r="CD354" i="1"/>
  <c r="CD180" i="1"/>
  <c r="CD301" i="1"/>
  <c r="CD190" i="1"/>
  <c r="CD278" i="1"/>
  <c r="CD364" i="1"/>
  <c r="CD348" i="1"/>
  <c r="CD269" i="1"/>
  <c r="CD346" i="1"/>
  <c r="CD341" i="1"/>
  <c r="CD308" i="1"/>
  <c r="CD359" i="1"/>
  <c r="CD357" i="1"/>
  <c r="CD258" i="1"/>
  <c r="CD327" i="1"/>
  <c r="CD176" i="1"/>
  <c r="CD306" i="1"/>
  <c r="CD276" i="1"/>
  <c r="CD345" i="1"/>
  <c r="CD352" i="1"/>
  <c r="CD264" i="1"/>
  <c r="CD292" i="1"/>
  <c r="CD356" i="1"/>
  <c r="CD299" i="1"/>
  <c r="CD333" i="1"/>
  <c r="CD229" i="1"/>
  <c r="CD198" i="1"/>
  <c r="CD290" i="1"/>
  <c r="CD328" i="1"/>
  <c r="CD227" i="1"/>
  <c r="CD196" i="1"/>
  <c r="CD274" i="1"/>
  <c r="CD249" i="1"/>
  <c r="CD314" i="1"/>
  <c r="CD239" i="1"/>
  <c r="CD361" i="1"/>
  <c r="CD338" i="1"/>
  <c r="CD246" i="1"/>
  <c r="CD197" i="1"/>
  <c r="CD300" i="1"/>
  <c r="CD353" i="1"/>
  <c r="CD185" i="1"/>
  <c r="CD237" i="1"/>
  <c r="CD225" i="1"/>
  <c r="CD284" i="1"/>
  <c r="CD317" i="1"/>
  <c r="CD193" i="1"/>
  <c r="CD232" i="1"/>
  <c r="CD245" i="1"/>
  <c r="CD293" i="1"/>
  <c r="CD322" i="1"/>
  <c r="CD310" i="1"/>
  <c r="CD234" i="1"/>
  <c r="CD253" i="1"/>
  <c r="CD279" i="1"/>
  <c r="CD319" i="1"/>
  <c r="CD309" i="1"/>
  <c r="CD266" i="1"/>
  <c r="CD331" i="1"/>
  <c r="CD304" i="1"/>
  <c r="CD313" i="1"/>
  <c r="CD254" i="1"/>
  <c r="CD286" i="1"/>
  <c r="CD280" i="1"/>
  <c r="CD251" i="1"/>
  <c r="CD305" i="1"/>
  <c r="CD257" i="1"/>
  <c r="CD191" i="1"/>
  <c r="CD362" i="1"/>
  <c r="CD285" i="1"/>
  <c r="CD243" i="1"/>
  <c r="CD277" i="1"/>
  <c r="CD179" i="1"/>
  <c r="CD294" i="1"/>
  <c r="CD240" i="1"/>
  <c r="CD247" i="1"/>
  <c r="CD325" i="1"/>
  <c r="CD261" i="1"/>
  <c r="CD363" i="1"/>
  <c r="CD199" i="1"/>
  <c r="CD283" i="1"/>
  <c r="CD360" i="1"/>
  <c r="CD298" i="1"/>
  <c r="CD311" i="1"/>
  <c r="CD297" i="1"/>
  <c r="CD177" i="1"/>
  <c r="CD252" i="1"/>
  <c r="CD347" i="1"/>
  <c r="CD192" i="1"/>
  <c r="CD220" i="1"/>
  <c r="CD204" i="1"/>
  <c r="CD272" i="1"/>
  <c r="CD250" i="1"/>
  <c r="CD291" i="1"/>
  <c r="CD358" i="1"/>
  <c r="CD263" i="1"/>
  <c r="CD303" i="1"/>
  <c r="CD262" i="1"/>
  <c r="CD281" i="1"/>
  <c r="CD275" i="1"/>
  <c r="CD226" i="1"/>
  <c r="CD202" i="1"/>
  <c r="CD236" i="1"/>
  <c r="CD270" i="1"/>
  <c r="CD350" i="1"/>
  <c r="CD235" i="1"/>
  <c r="CD334" i="1"/>
  <c r="CD195" i="1"/>
  <c r="CD230" i="1"/>
  <c r="CD336" i="1"/>
  <c r="CD228" i="1"/>
  <c r="CD268" i="1"/>
  <c r="CD265" i="1"/>
  <c r="CD242" i="1"/>
  <c r="CD349" i="1"/>
  <c r="CD175" i="1"/>
  <c r="CD355" i="1"/>
  <c r="CD324" i="1"/>
  <c r="CD255" i="1"/>
  <c r="CD320" i="1"/>
  <c r="CD183" i="1"/>
  <c r="CD343" i="1"/>
  <c r="CD203" i="1"/>
  <c r="CD182" i="1"/>
  <c r="CD288" i="1"/>
  <c r="CD289" i="1"/>
  <c r="CD321" i="1"/>
  <c r="CD244" i="1"/>
  <c r="CD332" i="1"/>
  <c r="CD200" i="1"/>
  <c r="CD223" i="1"/>
  <c r="CD233" i="1"/>
  <c r="CD315" i="1"/>
  <c r="CD260" i="1"/>
  <c r="CD312" i="1"/>
  <c r="CD337" i="1"/>
  <c r="CD267" i="1"/>
  <c r="CD316" i="1"/>
  <c r="CD186" i="1"/>
  <c r="CD326" i="1"/>
  <c r="LR64" i="93"/>
  <c r="MC64" i="93" s="1"/>
  <c r="DS64" i="93"/>
  <c r="DS62" i="93" s="1"/>
  <c r="BP354" i="1"/>
  <c r="BP344" i="1"/>
  <c r="BP321" i="1"/>
  <c r="BP285" i="1"/>
  <c r="BP338" i="1"/>
  <c r="BP270" i="1"/>
  <c r="BP242" i="1"/>
  <c r="BP297" i="1"/>
  <c r="BP363" i="1"/>
  <c r="BP267" i="1"/>
  <c r="BP250" i="1"/>
  <c r="BP235" i="1"/>
  <c r="BP263" i="1"/>
  <c r="BP360" i="1"/>
  <c r="BP352" i="1"/>
  <c r="BP191" i="1"/>
  <c r="BP357" i="1"/>
  <c r="BP288" i="1"/>
  <c r="BP319" i="1"/>
  <c r="BP253" i="1"/>
  <c r="BP229" i="1"/>
  <c r="BP232" i="1"/>
  <c r="BP336" i="1"/>
  <c r="BP230" i="1"/>
  <c r="BP355" i="1"/>
  <c r="BP361" i="1"/>
  <c r="BP223" i="1"/>
  <c r="BP269" i="1"/>
  <c r="BP237" i="1"/>
  <c r="BP247" i="1"/>
  <c r="BP337" i="1"/>
  <c r="BP182" i="1"/>
  <c r="BP306" i="1"/>
  <c r="BP175" i="1"/>
  <c r="BP293" i="1"/>
  <c r="BP320" i="1"/>
  <c r="BP257" i="1"/>
  <c r="BP196" i="1"/>
  <c r="BP195" i="1"/>
  <c r="BP176" i="1"/>
  <c r="BP241" i="1"/>
  <c r="BP328" i="1"/>
  <c r="BP258" i="1"/>
  <c r="BP199" i="1"/>
  <c r="BP244" i="1"/>
  <c r="BP362" i="1"/>
  <c r="BP333" i="1"/>
  <c r="BP347" i="1"/>
  <c r="BP228" i="1"/>
  <c r="BP356" i="1"/>
  <c r="BP198" i="1"/>
  <c r="BP345" i="1"/>
  <c r="BP278" i="1"/>
  <c r="BP332" i="1"/>
  <c r="BP311" i="1"/>
  <c r="BP340" i="1"/>
  <c r="BP279" i="1"/>
  <c r="BP220" i="1"/>
  <c r="BP254" i="1"/>
  <c r="BP234" i="1"/>
  <c r="BP309" i="1"/>
  <c r="BP305" i="1"/>
  <c r="BP185" i="1"/>
  <c r="BP303" i="1"/>
  <c r="BP290" i="1"/>
  <c r="BP252" i="1"/>
  <c r="BP277" i="1"/>
  <c r="BP233" i="1"/>
  <c r="BP294" i="1"/>
  <c r="BP331" i="1"/>
  <c r="BP251" i="1"/>
  <c r="BP317" i="1"/>
  <c r="BP349" i="1"/>
  <c r="BP322" i="1"/>
  <c r="BP179" i="1"/>
  <c r="BP334" i="1"/>
  <c r="BP226" i="1"/>
  <c r="BP177" i="1"/>
  <c r="BP193" i="1"/>
  <c r="BP281" i="1"/>
  <c r="BP260" i="1"/>
  <c r="BP325" i="1"/>
  <c r="BP292" i="1"/>
  <c r="BP239" i="1"/>
  <c r="BP326" i="1"/>
  <c r="BP273" i="1"/>
  <c r="BP310" i="1"/>
  <c r="BP249" i="1"/>
  <c r="BP308" i="1"/>
  <c r="BP262" i="1"/>
  <c r="BP283" i="1"/>
  <c r="BP313" i="1"/>
  <c r="BP304" i="1"/>
  <c r="BP186" i="1"/>
  <c r="BP359" i="1"/>
  <c r="BP180" i="1"/>
  <c r="BP236" i="1"/>
  <c r="BP348" i="1"/>
  <c r="BP272" i="1"/>
  <c r="BP327" i="1"/>
  <c r="BP314" i="1"/>
  <c r="BP225" i="1"/>
  <c r="BP346" i="1"/>
  <c r="BP255" i="1"/>
  <c r="BP204" i="1"/>
  <c r="BP203" i="1"/>
  <c r="BP343" i="1"/>
  <c r="BP202" i="1"/>
  <c r="BP256" i="1"/>
  <c r="BP298" i="1"/>
  <c r="BP301" i="1"/>
  <c r="BP315" i="1"/>
  <c r="BP183" i="1"/>
  <c r="BP192" i="1"/>
  <c r="BP275" i="1"/>
  <c r="BP353" i="1"/>
  <c r="BP350" i="1"/>
  <c r="BP341" i="1"/>
  <c r="BP245" i="1"/>
  <c r="BP243" i="1"/>
  <c r="BP227" i="1"/>
  <c r="BP261" i="1"/>
  <c r="BP291" i="1"/>
  <c r="BP264" i="1"/>
  <c r="BP268" i="1"/>
  <c r="BP224" i="1"/>
  <c r="BP246" i="1"/>
  <c r="BP274" i="1"/>
  <c r="BP289" i="1"/>
  <c r="BP358" i="1"/>
  <c r="BP284" i="1"/>
  <c r="BP200" i="1"/>
  <c r="BP312" i="1"/>
  <c r="BP266" i="1"/>
  <c r="BP240" i="1"/>
  <c r="BP190" i="1"/>
  <c r="BP351" i="1"/>
  <c r="BP181" i="1"/>
  <c r="BP276" i="1"/>
  <c r="BP280" i="1"/>
  <c r="BP286" i="1"/>
  <c r="BP316" i="1"/>
  <c r="BP197" i="1"/>
  <c r="BP189" i="1"/>
  <c r="BP265" i="1"/>
  <c r="BP318" i="1"/>
  <c r="BP299" i="1"/>
  <c r="BP307" i="1"/>
  <c r="BP324" i="1"/>
  <c r="BP364" i="1"/>
  <c r="BP300" i="1"/>
  <c r="BG203" i="1"/>
  <c r="BG301" i="1"/>
  <c r="BG220" i="1"/>
  <c r="BG280" i="1"/>
  <c r="BG243" i="1"/>
  <c r="BG204" i="1"/>
  <c r="BG337" i="1"/>
  <c r="BG345" i="1"/>
  <c r="BG186" i="1"/>
  <c r="BG363" i="1"/>
  <c r="BG274" i="1"/>
  <c r="BG180" i="1"/>
  <c r="BG326" i="1"/>
  <c r="BG313" i="1"/>
  <c r="BG245" i="1"/>
  <c r="BG198" i="1"/>
  <c r="BG240" i="1"/>
  <c r="BG362" i="1"/>
  <c r="BG353" i="1"/>
  <c r="BG267" i="1"/>
  <c r="BG246" i="1"/>
  <c r="BG277" i="1"/>
  <c r="BG291" i="1"/>
  <c r="BG237" i="1"/>
  <c r="BG334" i="1"/>
  <c r="BG322" i="1"/>
  <c r="BG279" i="1"/>
  <c r="BG250" i="1"/>
  <c r="BG266" i="1"/>
  <c r="BG258" i="1"/>
  <c r="BG182" i="1"/>
  <c r="BG317" i="1"/>
  <c r="BG286" i="1"/>
  <c r="BG195" i="1"/>
  <c r="BG268" i="1"/>
  <c r="BG225" i="1"/>
  <c r="BG294" i="1"/>
  <c r="BG344" i="1"/>
  <c r="BG177" i="1"/>
  <c r="BG224" i="1"/>
  <c r="BG307" i="1"/>
  <c r="BG315" i="1"/>
  <c r="BG181" i="1"/>
  <c r="BG241" i="1"/>
  <c r="BG292" i="1"/>
  <c r="BG350" i="1"/>
  <c r="BG312" i="1"/>
  <c r="BG306" i="1"/>
  <c r="BG336" i="1"/>
  <c r="BG361" i="1"/>
  <c r="BG234" i="1"/>
  <c r="BG310" i="1"/>
  <c r="BG202" i="1"/>
  <c r="BG332" i="1"/>
  <c r="BG253" i="1"/>
  <c r="BG190" i="1"/>
  <c r="BG333" i="1"/>
  <c r="BG189" i="1"/>
  <c r="BG290" i="1"/>
  <c r="BG299" i="1"/>
  <c r="BG309" i="1"/>
  <c r="BG228" i="1"/>
  <c r="BG226" i="1"/>
  <c r="BG269" i="1"/>
  <c r="BG281" i="1"/>
  <c r="BG176" i="1"/>
  <c r="BG247" i="1"/>
  <c r="BG356" i="1"/>
  <c r="BG227" i="1"/>
  <c r="BG328" i="1"/>
  <c r="BG338" i="1"/>
  <c r="BG358" i="1"/>
  <c r="BG360" i="1"/>
  <c r="BG232" i="1"/>
  <c r="BG331" i="1"/>
  <c r="BG254" i="1"/>
  <c r="BG272" i="1"/>
  <c r="BG236" i="1"/>
  <c r="BG348" i="1"/>
  <c r="BG357" i="1"/>
  <c r="BG289" i="1"/>
  <c r="BG283" i="1"/>
  <c r="BG275" i="1"/>
  <c r="BG242" i="1"/>
  <c r="BG298" i="1"/>
  <c r="BG251" i="1"/>
  <c r="BG175" i="1"/>
  <c r="BG297" i="1"/>
  <c r="BG288" i="1"/>
  <c r="BG252" i="1"/>
  <c r="BG273" i="1"/>
  <c r="BG285" i="1"/>
  <c r="BG233" i="1"/>
  <c r="BG304" i="1"/>
  <c r="BG343" i="1"/>
  <c r="BG270" i="1"/>
  <c r="BG316" i="1"/>
  <c r="BG321" i="1"/>
  <c r="BG311" i="1"/>
  <c r="BG200" i="1"/>
  <c r="BG244" i="1"/>
  <c r="BG320" i="1"/>
  <c r="BG364" i="1"/>
  <c r="BG193" i="1"/>
  <c r="BG325" i="1"/>
  <c r="BG341" i="1"/>
  <c r="BG346" i="1"/>
  <c r="BG340" i="1"/>
  <c r="BG355" i="1"/>
  <c r="BG196" i="1"/>
  <c r="BG230" i="1"/>
  <c r="BG249" i="1"/>
  <c r="BG359" i="1"/>
  <c r="BG300" i="1"/>
  <c r="BG191" i="1"/>
  <c r="BG305" i="1"/>
  <c r="BG354" i="1"/>
  <c r="BG235" i="1"/>
  <c r="BG260" i="1"/>
  <c r="BG185" i="1"/>
  <c r="BG324" i="1"/>
  <c r="BG263" i="1"/>
  <c r="BG293" i="1"/>
  <c r="BG318" i="1"/>
  <c r="BG303" i="1"/>
  <c r="BG308" i="1"/>
  <c r="BG257" i="1"/>
  <c r="BG347" i="1"/>
  <c r="BG256" i="1"/>
  <c r="BG223" i="1"/>
  <c r="BG276" i="1"/>
  <c r="BG314" i="1"/>
  <c r="BG261" i="1"/>
  <c r="BG265" i="1"/>
  <c r="BG351" i="1"/>
  <c r="BG349" i="1"/>
  <c r="BG255" i="1"/>
  <c r="BG278" i="1"/>
  <c r="BG264" i="1"/>
  <c r="BG319" i="1"/>
  <c r="BG199" i="1"/>
  <c r="BG183" i="1"/>
  <c r="BG197" i="1"/>
  <c r="BG284" i="1"/>
  <c r="BG179" i="1"/>
  <c r="BG229" i="1"/>
  <c r="BG352" i="1"/>
  <c r="BG327" i="1"/>
  <c r="BG262" i="1"/>
  <c r="BG192" i="1"/>
  <c r="BG239" i="1"/>
  <c r="GC64" i="93"/>
  <c r="DJ65" i="1" s="1"/>
  <c r="BR206" i="1" l="1"/>
  <c r="BR339" i="1"/>
  <c r="BR342" i="1"/>
  <c r="BR188" i="1"/>
  <c r="BR184" i="1"/>
  <c r="BR178" i="1"/>
  <c r="BR296" i="1"/>
  <c r="BR259" i="1"/>
  <c r="BR282" i="1"/>
  <c r="BR271" i="1"/>
  <c r="BR248" i="1"/>
  <c r="BR295" i="1"/>
  <c r="BR287" i="1"/>
  <c r="BR221" i="1"/>
  <c r="BR335" i="1"/>
  <c r="BR231" i="1"/>
  <c r="BR222" i="1"/>
  <c r="BR323" i="1"/>
  <c r="BR174" i="1"/>
  <c r="BR330" i="1"/>
  <c r="BR238" i="1"/>
  <c r="BR302" i="1"/>
  <c r="BR187" i="1"/>
  <c r="BR329" i="1"/>
  <c r="BR201" i="1"/>
  <c r="BR194" i="1"/>
  <c r="BR173" i="1"/>
  <c r="BQ206" i="1"/>
  <c r="BQ339" i="1"/>
  <c r="BQ342" i="1"/>
  <c r="BQ188" i="1"/>
  <c r="BQ184" i="1"/>
  <c r="BQ178" i="1"/>
  <c r="BQ282" i="1"/>
  <c r="BQ271" i="1"/>
  <c r="BQ248" i="1"/>
  <c r="BQ287" i="1"/>
  <c r="BQ295" i="1"/>
  <c r="BQ259" i="1"/>
  <c r="BQ296" i="1"/>
  <c r="BQ231" i="1"/>
  <c r="BQ222" i="1"/>
  <c r="BQ238" i="1"/>
  <c r="BQ187" i="1"/>
  <c r="BQ221" i="1"/>
  <c r="BQ302" i="1"/>
  <c r="BQ174" i="1"/>
  <c r="BQ329" i="1"/>
  <c r="BQ201" i="1"/>
  <c r="BQ330" i="1"/>
  <c r="BQ194" i="1"/>
  <c r="BQ335" i="1"/>
  <c r="BQ323" i="1"/>
  <c r="BQ173" i="1"/>
  <c r="BH206" i="1"/>
  <c r="Z206" i="1" s="1"/>
  <c r="BH339" i="1"/>
  <c r="Z339" i="1" s="1"/>
  <c r="BH188" i="1"/>
  <c r="Z188" i="1" s="1"/>
  <c r="BH184" i="1"/>
  <c r="Z184" i="1" s="1"/>
  <c r="BH178" i="1"/>
  <c r="Z178" i="1" s="1"/>
  <c r="CQ178" i="1" s="1"/>
  <c r="AB178" i="1" s="1"/>
  <c r="BH271" i="1"/>
  <c r="Z271" i="1" s="1"/>
  <c r="BH259" i="1"/>
  <c r="Z259" i="1" s="1"/>
  <c r="BH248" i="1"/>
  <c r="Z248" i="1" s="1"/>
  <c r="BH296" i="1"/>
  <c r="Z296" i="1" s="1"/>
  <c r="BH295" i="1"/>
  <c r="Z295" i="1" s="1"/>
  <c r="BH282" i="1"/>
  <c r="Z282" i="1" s="1"/>
  <c r="BH287" i="1"/>
  <c r="Z287" i="1" s="1"/>
  <c r="BH174" i="1"/>
  <c r="Z174" i="1" s="1"/>
  <c r="BH222" i="1"/>
  <c r="Z222" i="1" s="1"/>
  <c r="BH221" i="1"/>
  <c r="Z221" i="1" s="1"/>
  <c r="BH231" i="1"/>
  <c r="Z231" i="1" s="1"/>
  <c r="BH201" i="1"/>
  <c r="Z201" i="1" s="1"/>
  <c r="BH187" i="1"/>
  <c r="Z187" i="1" s="1"/>
  <c r="BH238" i="1"/>
  <c r="Z238" i="1" s="1"/>
  <c r="BH323" i="1"/>
  <c r="Z323" i="1" s="1"/>
  <c r="BH302" i="1"/>
  <c r="Z302" i="1" s="1"/>
  <c r="BH330" i="1"/>
  <c r="Z330" i="1" s="1"/>
  <c r="BH329" i="1"/>
  <c r="Z329" i="1" s="1"/>
  <c r="BH194" i="1"/>
  <c r="Z194" i="1" s="1"/>
  <c r="BH173" i="1"/>
  <c r="Z173" i="1" s="1"/>
  <c r="BH342" i="1"/>
  <c r="Z342" i="1" s="1"/>
  <c r="BH335" i="1"/>
  <c r="Z335" i="1" s="1"/>
  <c r="CE188" i="1"/>
  <c r="CE184" i="1"/>
  <c r="CE178" i="1"/>
  <c r="CE248" i="1"/>
  <c r="CE287" i="1"/>
  <c r="CE259" i="1"/>
  <c r="CE296" i="1"/>
  <c r="CE295" i="1"/>
  <c r="CE271" i="1"/>
  <c r="CE282" i="1"/>
  <c r="CE221" i="1"/>
  <c r="CE323" i="1"/>
  <c r="CE194" i="1"/>
  <c r="CE174" i="1"/>
  <c r="CE231" i="1"/>
  <c r="CE302" i="1"/>
  <c r="CE222" i="1"/>
  <c r="CE187" i="1"/>
  <c r="CE201" i="1"/>
  <c r="CE238" i="1"/>
  <c r="CE330" i="1"/>
  <c r="CE329" i="1"/>
  <c r="CE173" i="1"/>
  <c r="CE335" i="1"/>
  <c r="CE342" i="1"/>
  <c r="CE339" i="1"/>
  <c r="EY11" i="123"/>
  <c r="EW11" i="123"/>
  <c r="EV11" i="123"/>
  <c r="BQ219" i="1"/>
  <c r="BQ209" i="1"/>
  <c r="BH219" i="1"/>
  <c r="Z219" i="1" s="1"/>
  <c r="CQ219" i="1" s="1"/>
  <c r="BH209" i="1"/>
  <c r="Z209" i="1" s="1"/>
  <c r="FU209" i="1"/>
  <c r="BR209" i="1"/>
  <c r="CE219" i="1"/>
  <c r="CE209" i="1"/>
  <c r="O62" i="98"/>
  <c r="FK62" i="98" s="1"/>
  <c r="FU219" i="1"/>
  <c r="X62" i="98" s="1"/>
  <c r="Z62" i="98" s="1"/>
  <c r="BR219" i="1"/>
  <c r="BQ214" i="1"/>
  <c r="BQ217" i="1"/>
  <c r="BH214" i="1"/>
  <c r="Z214" i="1" s="1"/>
  <c r="CQ214" i="1" s="1"/>
  <c r="BH217" i="1"/>
  <c r="Z217" i="1" s="1"/>
  <c r="FU217" i="1"/>
  <c r="BR217" i="1"/>
  <c r="CE214" i="1"/>
  <c r="CE217" i="1"/>
  <c r="FU214" i="1"/>
  <c r="BR214" i="1"/>
  <c r="BQ210" i="1"/>
  <c r="BQ212" i="1"/>
  <c r="BH210" i="1"/>
  <c r="Z210" i="1" s="1"/>
  <c r="CQ210" i="1" s="1"/>
  <c r="BH212" i="1"/>
  <c r="Z212" i="1" s="1"/>
  <c r="FU212" i="1"/>
  <c r="BR212" i="1"/>
  <c r="CE210" i="1"/>
  <c r="CE212" i="1"/>
  <c r="FU210" i="1"/>
  <c r="BR210" i="1"/>
  <c r="BQ213" i="1"/>
  <c r="BQ216" i="1"/>
  <c r="BQ218" i="1"/>
  <c r="BH215" i="1"/>
  <c r="Z215" i="1" s="1"/>
  <c r="CQ215" i="1" s="1"/>
  <c r="BH216" i="1"/>
  <c r="Z216" i="1" s="1"/>
  <c r="BH218" i="1"/>
  <c r="Z218" i="1" s="1"/>
  <c r="O61" i="98" s="1"/>
  <c r="FK61" i="98" s="1"/>
  <c r="FU216" i="1"/>
  <c r="FU218" i="1"/>
  <c r="X61" i="98" s="1"/>
  <c r="Z61" i="98" s="1"/>
  <c r="E34" i="136" s="1"/>
  <c r="BR218" i="1"/>
  <c r="BR216" i="1"/>
  <c r="CE215" i="1"/>
  <c r="CE216" i="1"/>
  <c r="CE218" i="1"/>
  <c r="FD11" i="123"/>
  <c r="FF11" i="123"/>
  <c r="FG11" i="123"/>
  <c r="FB11" i="123"/>
  <c r="FA11" i="123"/>
  <c r="FE11" i="123"/>
  <c r="EZ11" i="123"/>
  <c r="FC11" i="123"/>
  <c r="BL131" i="123"/>
  <c r="HO7" i="123" s="1"/>
  <c r="DO64" i="93"/>
  <c r="DW64" i="93" s="1"/>
  <c r="AT113" i="97" s="1"/>
  <c r="BH213" i="1"/>
  <c r="Z213" i="1" s="1"/>
  <c r="BU131" i="123"/>
  <c r="BQ208" i="1"/>
  <c r="BH211" i="1"/>
  <c r="Z211" i="1" s="1"/>
  <c r="BQ205" i="1"/>
  <c r="BQ207" i="1"/>
  <c r="Z131" i="123"/>
  <c r="CX131" i="123" s="1"/>
  <c r="BQ211" i="1"/>
  <c r="BQ215" i="1"/>
  <c r="FU215" i="1"/>
  <c r="BR213" i="1"/>
  <c r="BR211" i="1"/>
  <c r="BR215" i="1"/>
  <c r="FU213" i="1"/>
  <c r="FU211" i="1"/>
  <c r="CE211" i="1"/>
  <c r="CE213" i="1"/>
  <c r="CK131" i="123"/>
  <c r="FH11" i="123" s="1"/>
  <c r="DJ81" i="1"/>
  <c r="D25" i="57"/>
  <c r="BH207" i="1"/>
  <c r="Z207" i="1" s="1"/>
  <c r="BH208" i="1"/>
  <c r="Z208" i="1" s="1"/>
  <c r="BH205" i="1"/>
  <c r="Z205" i="1" s="1"/>
  <c r="FU205" i="1"/>
  <c r="FU206" i="1"/>
  <c r="FU207" i="1"/>
  <c r="FU208" i="1"/>
  <c r="BR207" i="1"/>
  <c r="BR208" i="1"/>
  <c r="BR205" i="1"/>
  <c r="CE205" i="1"/>
  <c r="CE206" i="1"/>
  <c r="CE208" i="1"/>
  <c r="CE207" i="1"/>
  <c r="CE341" i="1"/>
  <c r="CE307" i="1"/>
  <c r="CE229" i="1"/>
  <c r="CE176" i="1"/>
  <c r="CE309" i="1"/>
  <c r="CE239" i="1"/>
  <c r="CE185" i="1"/>
  <c r="CE351" i="1"/>
  <c r="CE273" i="1"/>
  <c r="CE242" i="1"/>
  <c r="CE281" i="1"/>
  <c r="CE346" i="1"/>
  <c r="CE247" i="1"/>
  <c r="CE261" i="1"/>
  <c r="CE263" i="1"/>
  <c r="CE245" i="1"/>
  <c r="CE326" i="1"/>
  <c r="CE322" i="1"/>
  <c r="CE182" i="1"/>
  <c r="CE272" i="1"/>
  <c r="CE276" i="1"/>
  <c r="CE303" i="1"/>
  <c r="CE348" i="1"/>
  <c r="CE258" i="1"/>
  <c r="CE246" i="1"/>
  <c r="CE357" i="1"/>
  <c r="CE294" i="1"/>
  <c r="CE338" i="1"/>
  <c r="CE328" i="1"/>
  <c r="CE345" i="1"/>
  <c r="CE199" i="1"/>
  <c r="CE262" i="1"/>
  <c r="CE260" i="1"/>
  <c r="CE250" i="1"/>
  <c r="CE243" i="1"/>
  <c r="CE337" i="1"/>
  <c r="CE360" i="1"/>
  <c r="CE291" i="1"/>
  <c r="CE299" i="1"/>
  <c r="CE349" i="1"/>
  <c r="CE254" i="1"/>
  <c r="CE324" i="1"/>
  <c r="CE363" i="1"/>
  <c r="CE283" i="1"/>
  <c r="CE186" i="1"/>
  <c r="CE240" i="1"/>
  <c r="CE241" i="1"/>
  <c r="CE319" i="1"/>
  <c r="CE340" i="1"/>
  <c r="CE361" i="1"/>
  <c r="CE286" i="1"/>
  <c r="CE204" i="1"/>
  <c r="CE364" i="1"/>
  <c r="CE325" i="1"/>
  <c r="CE200" i="1"/>
  <c r="CE193" i="1"/>
  <c r="CE189" i="1"/>
  <c r="CE300" i="1"/>
  <c r="CE321" i="1"/>
  <c r="CE249" i="1"/>
  <c r="CE356" i="1"/>
  <c r="CE265" i="1"/>
  <c r="CE195" i="1"/>
  <c r="CE251" i="1"/>
  <c r="CE269" i="1"/>
  <c r="CE320" i="1"/>
  <c r="CE358" i="1"/>
  <c r="CE233" i="1"/>
  <c r="CE228" i="1"/>
  <c r="CE198" i="1"/>
  <c r="CE343" i="1"/>
  <c r="CE331" i="1"/>
  <c r="CE350" i="1"/>
  <c r="CE293" i="1"/>
  <c r="CE252" i="1"/>
  <c r="CE275" i="1"/>
  <c r="CE352" i="1"/>
  <c r="CE232" i="1"/>
  <c r="CE274" i="1"/>
  <c r="CE192" i="1"/>
  <c r="CE312" i="1"/>
  <c r="CE334" i="1"/>
  <c r="CE318" i="1"/>
  <c r="CE190" i="1"/>
  <c r="CE236" i="1"/>
  <c r="CE317" i="1"/>
  <c r="CE314" i="1"/>
  <c r="CE347" i="1"/>
  <c r="CE202" i="1"/>
  <c r="CE225" i="1"/>
  <c r="CE223" i="1"/>
  <c r="CE305" i="1"/>
  <c r="CE311" i="1"/>
  <c r="CE278" i="1"/>
  <c r="CE266" i="1"/>
  <c r="CE180" i="1"/>
  <c r="CE297" i="1"/>
  <c r="CE226" i="1"/>
  <c r="CE353" i="1"/>
  <c r="CE183" i="1"/>
  <c r="CE290" i="1"/>
  <c r="CE279" i="1"/>
  <c r="CE256" i="1"/>
  <c r="CE224" i="1"/>
  <c r="CE234" i="1"/>
  <c r="CE316" i="1"/>
  <c r="CE230" i="1"/>
  <c r="CE237" i="1"/>
  <c r="CE277" i="1"/>
  <c r="CE255" i="1"/>
  <c r="CE298" i="1"/>
  <c r="CE203" i="1"/>
  <c r="CE235" i="1"/>
  <c r="CE308" i="1"/>
  <c r="CE244" i="1"/>
  <c r="CE306" i="1"/>
  <c r="CE270" i="1"/>
  <c r="CE177" i="1"/>
  <c r="CE179" i="1"/>
  <c r="CE288" i="1"/>
  <c r="CE333" i="1"/>
  <c r="CE332" i="1"/>
  <c r="CE359" i="1"/>
  <c r="CE344" i="1"/>
  <c r="CE227" i="1"/>
  <c r="CE355" i="1"/>
  <c r="CE220" i="1"/>
  <c r="CE175" i="1"/>
  <c r="CE292" i="1"/>
  <c r="CE268" i="1"/>
  <c r="CE267" i="1"/>
  <c r="CE264" i="1"/>
  <c r="CE253" i="1"/>
  <c r="CE310" i="1"/>
  <c r="CE284" i="1"/>
  <c r="CE315" i="1"/>
  <c r="CE280" i="1"/>
  <c r="CE304" i="1"/>
  <c r="CE181" i="1"/>
  <c r="CE354" i="1"/>
  <c r="CE362" i="1"/>
  <c r="CE301" i="1"/>
  <c r="CE196" i="1"/>
  <c r="CE197" i="1"/>
  <c r="CE327" i="1"/>
  <c r="CE257" i="1"/>
  <c r="CE285" i="1"/>
  <c r="CE191" i="1"/>
  <c r="CE313" i="1"/>
  <c r="CE336" i="1"/>
  <c r="CE289" i="1"/>
  <c r="LS64" i="93"/>
  <c r="MD64" i="93" s="1"/>
  <c r="FU177" i="1"/>
  <c r="FW177" i="1" s="1"/>
  <c r="FU181" i="1"/>
  <c r="FW181" i="1" s="1"/>
  <c r="FU185" i="1"/>
  <c r="X36" i="98" s="1"/>
  <c r="FU189" i="1"/>
  <c r="FU174" i="1"/>
  <c r="FU179" i="1"/>
  <c r="FU184" i="1"/>
  <c r="FW184" i="1" s="1"/>
  <c r="FU190" i="1"/>
  <c r="FW190" i="1" s="1"/>
  <c r="FU194" i="1"/>
  <c r="FU198" i="1"/>
  <c r="FW198" i="1" s="1"/>
  <c r="FU202" i="1"/>
  <c r="FW202" i="1" s="1"/>
  <c r="FU221" i="1"/>
  <c r="FU225" i="1"/>
  <c r="FW225" i="1" s="1"/>
  <c r="FU229" i="1"/>
  <c r="FU233" i="1"/>
  <c r="FW233" i="1" s="1"/>
  <c r="FU237" i="1"/>
  <c r="FW237" i="1" s="1"/>
  <c r="FU241" i="1"/>
  <c r="FW241" i="1" s="1"/>
  <c r="FU245" i="1"/>
  <c r="FW245" i="1" s="1"/>
  <c r="FU249" i="1"/>
  <c r="FU253" i="1"/>
  <c r="FW253" i="1" s="1"/>
  <c r="FU257" i="1"/>
  <c r="FW257" i="1" s="1"/>
  <c r="FU261" i="1"/>
  <c r="FW261" i="1" s="1"/>
  <c r="FU265" i="1"/>
  <c r="FW265" i="1" s="1"/>
  <c r="FU269" i="1"/>
  <c r="FW269" i="1" s="1"/>
  <c r="FU273" i="1"/>
  <c r="FW273" i="1" s="1"/>
  <c r="FU277" i="1"/>
  <c r="FW277" i="1" s="1"/>
  <c r="FU281" i="1"/>
  <c r="FW281" i="1" s="1"/>
  <c r="FU285" i="1"/>
  <c r="FW285" i="1" s="1"/>
  <c r="FU289" i="1"/>
  <c r="FU293" i="1"/>
  <c r="FW293" i="1" s="1"/>
  <c r="FU297" i="1"/>
  <c r="FU301" i="1"/>
  <c r="FW301" i="1" s="1"/>
  <c r="FU305" i="1"/>
  <c r="FW305" i="1" s="1"/>
  <c r="FU309" i="1"/>
  <c r="FW309" i="1" s="1"/>
  <c r="FU313" i="1"/>
  <c r="FW313" i="1" s="1"/>
  <c r="FU317" i="1"/>
  <c r="FW317" i="1" s="1"/>
  <c r="FU321" i="1"/>
  <c r="FW321" i="1" s="1"/>
  <c r="FU325" i="1"/>
  <c r="FW325" i="1" s="1"/>
  <c r="FU329" i="1"/>
  <c r="FW329" i="1" s="1"/>
  <c r="FU333" i="1"/>
  <c r="FU335" i="1"/>
  <c r="FW335" i="1" s="1"/>
  <c r="FU339" i="1"/>
  <c r="FW339" i="1" s="1"/>
  <c r="FU343" i="1"/>
  <c r="FW343" i="1" s="1"/>
  <c r="FU347" i="1"/>
  <c r="FU351" i="1"/>
  <c r="FU355" i="1"/>
  <c r="FU359" i="1"/>
  <c r="FU363" i="1"/>
  <c r="FU175" i="1"/>
  <c r="FU180" i="1"/>
  <c r="FW180" i="1" s="1"/>
  <c r="FU186" i="1"/>
  <c r="FW186" i="1" s="1"/>
  <c r="FU191" i="1"/>
  <c r="FW191" i="1" s="1"/>
  <c r="FU195" i="1"/>
  <c r="FU199" i="1"/>
  <c r="FW199" i="1" s="1"/>
  <c r="FU203" i="1"/>
  <c r="FU178" i="1"/>
  <c r="FW178" i="1" s="1"/>
  <c r="FU188" i="1"/>
  <c r="FW188" i="1" s="1"/>
  <c r="FU197" i="1"/>
  <c r="FW197" i="1" s="1"/>
  <c r="FU220" i="1"/>
  <c r="FU226" i="1"/>
  <c r="FW226" i="1" s="1"/>
  <c r="FU231" i="1"/>
  <c r="FW231" i="1" s="1"/>
  <c r="FU236" i="1"/>
  <c r="FW236" i="1" s="1"/>
  <c r="FU242" i="1"/>
  <c r="FW242" i="1" s="1"/>
  <c r="FU247" i="1"/>
  <c r="FW247" i="1" s="1"/>
  <c r="FU252" i="1"/>
  <c r="FW252" i="1" s="1"/>
  <c r="FU258" i="1"/>
  <c r="FW258" i="1" s="1"/>
  <c r="FU263" i="1"/>
  <c r="FW263" i="1" s="1"/>
  <c r="FU268" i="1"/>
  <c r="FW268" i="1" s="1"/>
  <c r="FU274" i="1"/>
  <c r="FW274" i="1" s="1"/>
  <c r="FU279" i="1"/>
  <c r="FW279" i="1" s="1"/>
  <c r="FU284" i="1"/>
  <c r="FW284" i="1" s="1"/>
  <c r="FU290" i="1"/>
  <c r="FW290" i="1" s="1"/>
  <c r="FU295" i="1"/>
  <c r="FW295" i="1" s="1"/>
  <c r="FU300" i="1"/>
  <c r="FW300" i="1" s="1"/>
  <c r="FU306" i="1"/>
  <c r="FW306" i="1" s="1"/>
  <c r="FU311" i="1"/>
  <c r="FW311" i="1" s="1"/>
  <c r="FU316" i="1"/>
  <c r="FW316" i="1" s="1"/>
  <c r="FU322" i="1"/>
  <c r="FW322" i="1" s="1"/>
  <c r="FU327" i="1"/>
  <c r="FW327" i="1" s="1"/>
  <c r="FU332" i="1"/>
  <c r="FW332" i="1" s="1"/>
  <c r="FU336" i="1"/>
  <c r="FU341" i="1"/>
  <c r="FW341" i="1" s="1"/>
  <c r="FU346" i="1"/>
  <c r="FU352" i="1"/>
  <c r="FU357" i="1"/>
  <c r="FU362" i="1"/>
  <c r="FU182" i="1"/>
  <c r="FW182" i="1" s="1"/>
  <c r="FU192" i="1"/>
  <c r="FW192" i="1" s="1"/>
  <c r="FU200" i="1"/>
  <c r="FU222" i="1"/>
  <c r="FU227" i="1"/>
  <c r="FW227" i="1" s="1"/>
  <c r="FU232" i="1"/>
  <c r="FU238" i="1"/>
  <c r="FW238" i="1" s="1"/>
  <c r="FU243" i="1"/>
  <c r="FW243" i="1" s="1"/>
  <c r="FU248" i="1"/>
  <c r="FW248" i="1" s="1"/>
  <c r="FU254" i="1"/>
  <c r="FW254" i="1" s="1"/>
  <c r="FU259" i="1"/>
  <c r="FW259" i="1" s="1"/>
  <c r="FU264" i="1"/>
  <c r="FW264" i="1" s="1"/>
  <c r="FU270" i="1"/>
  <c r="FW270" i="1" s="1"/>
  <c r="FU275" i="1"/>
  <c r="FW275" i="1" s="1"/>
  <c r="FU280" i="1"/>
  <c r="FW280" i="1" s="1"/>
  <c r="FU286" i="1"/>
  <c r="FW286" i="1" s="1"/>
  <c r="FU291" i="1"/>
  <c r="FW291" i="1" s="1"/>
  <c r="FU296" i="1"/>
  <c r="FW296" i="1" s="1"/>
  <c r="FU302" i="1"/>
  <c r="FW302" i="1" s="1"/>
  <c r="FU307" i="1"/>
  <c r="FW307" i="1" s="1"/>
  <c r="FU312" i="1"/>
  <c r="FW312" i="1" s="1"/>
  <c r="FU318" i="1"/>
  <c r="FW318" i="1" s="1"/>
  <c r="FU323" i="1"/>
  <c r="FW323" i="1" s="1"/>
  <c r="FU328" i="1"/>
  <c r="FW328" i="1" s="1"/>
  <c r="FU337" i="1"/>
  <c r="FW337" i="1" s="1"/>
  <c r="FU342" i="1"/>
  <c r="FW342" i="1" s="1"/>
  <c r="FU348" i="1"/>
  <c r="FU353" i="1"/>
  <c r="FU358" i="1"/>
  <c r="FU364" i="1"/>
  <c r="FU176" i="1"/>
  <c r="FW176" i="1" s="1"/>
  <c r="FU196" i="1"/>
  <c r="FW196" i="1" s="1"/>
  <c r="FU224" i="1"/>
  <c r="FW224" i="1" s="1"/>
  <c r="FU235" i="1"/>
  <c r="FW235" i="1" s="1"/>
  <c r="FU246" i="1"/>
  <c r="FW246" i="1" s="1"/>
  <c r="FU256" i="1"/>
  <c r="FW256" i="1" s="1"/>
  <c r="FU267" i="1"/>
  <c r="FW267" i="1" s="1"/>
  <c r="FU278" i="1"/>
  <c r="FW278" i="1" s="1"/>
  <c r="FU288" i="1"/>
  <c r="FW288" i="1" s="1"/>
  <c r="FU299" i="1"/>
  <c r="FW299" i="1" s="1"/>
  <c r="FU310" i="1"/>
  <c r="FW310" i="1" s="1"/>
  <c r="FU320" i="1"/>
  <c r="FW320" i="1" s="1"/>
  <c r="FU331" i="1"/>
  <c r="FU340" i="1"/>
  <c r="FU350" i="1"/>
  <c r="FU361" i="1"/>
  <c r="FU204" i="1"/>
  <c r="FU240" i="1"/>
  <c r="FW240" i="1" s="1"/>
  <c r="FU251" i="1"/>
  <c r="FW251" i="1" s="1"/>
  <c r="FU272" i="1"/>
  <c r="FU294" i="1"/>
  <c r="FW294" i="1" s="1"/>
  <c r="FU315" i="1"/>
  <c r="FW315" i="1" s="1"/>
  <c r="FU334" i="1"/>
  <c r="FW334" i="1" s="1"/>
  <c r="FU356" i="1"/>
  <c r="FU183" i="1"/>
  <c r="FW183" i="1" s="1"/>
  <c r="FU201" i="1"/>
  <c r="FU228" i="1"/>
  <c r="FW228" i="1" s="1"/>
  <c r="FU239" i="1"/>
  <c r="FU250" i="1"/>
  <c r="FW250" i="1" s="1"/>
  <c r="FU260" i="1"/>
  <c r="FU271" i="1"/>
  <c r="FW271" i="1" s="1"/>
  <c r="FU282" i="1"/>
  <c r="FW282" i="1" s="1"/>
  <c r="FU292" i="1"/>
  <c r="FW292" i="1" s="1"/>
  <c r="FU303" i="1"/>
  <c r="FU314" i="1"/>
  <c r="FW314" i="1" s="1"/>
  <c r="FU324" i="1"/>
  <c r="FU344" i="1"/>
  <c r="FW344" i="1" s="1"/>
  <c r="FU354" i="1"/>
  <c r="FU173" i="1"/>
  <c r="FU187" i="1"/>
  <c r="FW187" i="1" s="1"/>
  <c r="FU230" i="1"/>
  <c r="FW230" i="1" s="1"/>
  <c r="FU262" i="1"/>
  <c r="FW262" i="1" s="1"/>
  <c r="FU283" i="1"/>
  <c r="FW283" i="1" s="1"/>
  <c r="FU304" i="1"/>
  <c r="FW304" i="1" s="1"/>
  <c r="FU326" i="1"/>
  <c r="FW326" i="1" s="1"/>
  <c r="FU345" i="1"/>
  <c r="FU193" i="1"/>
  <c r="FW193" i="1" s="1"/>
  <c r="FU223" i="1"/>
  <c r="FU234" i="1"/>
  <c r="FW234" i="1" s="1"/>
  <c r="FU244" i="1"/>
  <c r="FW244" i="1" s="1"/>
  <c r="FU255" i="1"/>
  <c r="FW255" i="1" s="1"/>
  <c r="FU266" i="1"/>
  <c r="FW266" i="1" s="1"/>
  <c r="FU276" i="1"/>
  <c r="FW276" i="1" s="1"/>
  <c r="FU287" i="1"/>
  <c r="FW287" i="1" s="1"/>
  <c r="FU298" i="1"/>
  <c r="FW298" i="1" s="1"/>
  <c r="FU308" i="1"/>
  <c r="FW308" i="1" s="1"/>
  <c r="FU319" i="1"/>
  <c r="FW319" i="1" s="1"/>
  <c r="FU330" i="1"/>
  <c r="FW330" i="1" s="1"/>
  <c r="FU338" i="1"/>
  <c r="FW338" i="1" s="1"/>
  <c r="FU349" i="1"/>
  <c r="FU360" i="1"/>
  <c r="BH357" i="1"/>
  <c r="Z357" i="1" s="1"/>
  <c r="BH278" i="1"/>
  <c r="Z278" i="1" s="1"/>
  <c r="BH308" i="1"/>
  <c r="Z308" i="1" s="1"/>
  <c r="BH281" i="1"/>
  <c r="Z281" i="1" s="1"/>
  <c r="BH202" i="1"/>
  <c r="Z202" i="1" s="1"/>
  <c r="CQ202" i="1" s="1"/>
  <c r="BH301" i="1"/>
  <c r="Z301" i="1" s="1"/>
  <c r="BH325" i="1"/>
  <c r="Z325" i="1" s="1"/>
  <c r="BH258" i="1"/>
  <c r="Z258" i="1" s="1"/>
  <c r="BH314" i="1"/>
  <c r="Z314" i="1" s="1"/>
  <c r="BH283" i="1"/>
  <c r="Z283" i="1" s="1"/>
  <c r="CQ283" i="1" s="1"/>
  <c r="BH361" i="1"/>
  <c r="Z361" i="1" s="1"/>
  <c r="BH320" i="1"/>
  <c r="Z320" i="1" s="1"/>
  <c r="BH195" i="1"/>
  <c r="Z195" i="1" s="1"/>
  <c r="CQ195" i="1" s="1"/>
  <c r="BH265" i="1"/>
  <c r="Z265" i="1" s="1"/>
  <c r="BH290" i="1"/>
  <c r="Z290" i="1" s="1"/>
  <c r="BH345" i="1"/>
  <c r="Z345" i="1" s="1"/>
  <c r="BH189" i="1"/>
  <c r="Z189" i="1" s="1"/>
  <c r="CQ189" i="1" s="1"/>
  <c r="BH348" i="1"/>
  <c r="Z348" i="1" s="1"/>
  <c r="BH245" i="1"/>
  <c r="Z245" i="1" s="1"/>
  <c r="BH253" i="1"/>
  <c r="Z253" i="1" s="1"/>
  <c r="BH289" i="1"/>
  <c r="Z289" i="1" s="1"/>
  <c r="BH223" i="1"/>
  <c r="Z223" i="1" s="1"/>
  <c r="CQ223" i="1" s="1"/>
  <c r="BH319" i="1"/>
  <c r="Z319" i="1" s="1"/>
  <c r="BH249" i="1"/>
  <c r="Z249" i="1" s="1"/>
  <c r="CQ249" i="1" s="1"/>
  <c r="BH197" i="1"/>
  <c r="Z197" i="1" s="1"/>
  <c r="BH267" i="1"/>
  <c r="Z267" i="1" s="1"/>
  <c r="BH317" i="1"/>
  <c r="Z317" i="1" s="1"/>
  <c r="BH176" i="1"/>
  <c r="Z176" i="1" s="1"/>
  <c r="BH220" i="1"/>
  <c r="Z220" i="1" s="1"/>
  <c r="BH298" i="1"/>
  <c r="Z298" i="1" s="1"/>
  <c r="BH309" i="1"/>
  <c r="Z309" i="1" s="1"/>
  <c r="BH288" i="1"/>
  <c r="Z288" i="1" s="1"/>
  <c r="CQ288" i="1" s="1"/>
  <c r="BH182" i="1"/>
  <c r="Z182" i="1" s="1"/>
  <c r="BH352" i="1"/>
  <c r="Z352" i="1" s="1"/>
  <c r="BH343" i="1"/>
  <c r="Z343" i="1" s="1"/>
  <c r="CQ343" i="1" s="1"/>
  <c r="BH192" i="1"/>
  <c r="Z192" i="1" s="1"/>
  <c r="BH193" i="1"/>
  <c r="Z193" i="1" s="1"/>
  <c r="BH322" i="1"/>
  <c r="Z322" i="1" s="1"/>
  <c r="BH355" i="1"/>
  <c r="Z355" i="1" s="1"/>
  <c r="BH336" i="1"/>
  <c r="Z336" i="1" s="1"/>
  <c r="CQ336" i="1" s="1"/>
  <c r="BH225" i="1"/>
  <c r="Z225" i="1" s="1"/>
  <c r="BH360" i="1"/>
  <c r="Z360" i="1" s="1"/>
  <c r="BH313" i="1"/>
  <c r="Z313" i="1" s="1"/>
  <c r="BH175" i="1"/>
  <c r="Z175" i="1" s="1"/>
  <c r="BH272" i="1"/>
  <c r="Z272" i="1" s="1"/>
  <c r="CQ272" i="1" s="1"/>
  <c r="BH293" i="1"/>
  <c r="Z293" i="1" s="1"/>
  <c r="BH251" i="1"/>
  <c r="Z251" i="1" s="1"/>
  <c r="BH233" i="1"/>
  <c r="Z233" i="1" s="1"/>
  <c r="BH300" i="1"/>
  <c r="Z300" i="1" s="1"/>
  <c r="BH242" i="1"/>
  <c r="Z242" i="1" s="1"/>
  <c r="BH234" i="1"/>
  <c r="Z234" i="1" s="1"/>
  <c r="BH268" i="1"/>
  <c r="Z268" i="1" s="1"/>
  <c r="BH181" i="1"/>
  <c r="Z181" i="1" s="1"/>
  <c r="BH312" i="1"/>
  <c r="Z312" i="1" s="1"/>
  <c r="BH359" i="1"/>
  <c r="Z359" i="1" s="1"/>
  <c r="BH200" i="1"/>
  <c r="Z200" i="1" s="1"/>
  <c r="BH196" i="1"/>
  <c r="Z196" i="1" s="1"/>
  <c r="BH337" i="1"/>
  <c r="Z337" i="1" s="1"/>
  <c r="CQ337" i="1" s="1"/>
  <c r="BH228" i="1"/>
  <c r="Z228" i="1" s="1"/>
  <c r="BH331" i="1"/>
  <c r="Z331" i="1" s="1"/>
  <c r="CQ331" i="1" s="1"/>
  <c r="BH256" i="1"/>
  <c r="Z256" i="1" s="1"/>
  <c r="BH279" i="1"/>
  <c r="Z279" i="1" s="1"/>
  <c r="BH305" i="1"/>
  <c r="Z305" i="1" s="1"/>
  <c r="BH333" i="1"/>
  <c r="Z333" i="1" s="1"/>
  <c r="CQ333" i="1" s="1"/>
  <c r="BH285" i="1"/>
  <c r="Z285" i="1" s="1"/>
  <c r="BH240" i="1"/>
  <c r="Z240" i="1" s="1"/>
  <c r="BH363" i="1"/>
  <c r="Z363" i="1" s="1"/>
  <c r="BH263" i="1"/>
  <c r="Z263" i="1" s="1"/>
  <c r="BH185" i="1"/>
  <c r="Z185" i="1" s="1"/>
  <c r="CQ185" i="1" s="1"/>
  <c r="BH311" i="1"/>
  <c r="Z311" i="1" s="1"/>
  <c r="BH332" i="1"/>
  <c r="Z332" i="1" s="1"/>
  <c r="BH179" i="1"/>
  <c r="Z179" i="1" s="1"/>
  <c r="CQ179" i="1" s="1"/>
  <c r="BH203" i="1"/>
  <c r="Z203" i="1" s="1"/>
  <c r="BH254" i="1"/>
  <c r="Z254" i="1" s="1"/>
  <c r="BH229" i="1"/>
  <c r="Z229" i="1" s="1"/>
  <c r="O54" i="98" s="1"/>
  <c r="FK54" i="98" s="1"/>
  <c r="BH235" i="1"/>
  <c r="Z235" i="1" s="1"/>
  <c r="BH274" i="1"/>
  <c r="Z274" i="1" s="1"/>
  <c r="BH177" i="1"/>
  <c r="Z177" i="1" s="1"/>
  <c r="BH190" i="1"/>
  <c r="Z190" i="1" s="1"/>
  <c r="BH304" i="1"/>
  <c r="Z304" i="1" s="1"/>
  <c r="BH315" i="1"/>
  <c r="Z315" i="1" s="1"/>
  <c r="BH186" i="1"/>
  <c r="Z186" i="1" s="1"/>
  <c r="BH257" i="1"/>
  <c r="Z257" i="1" s="1"/>
  <c r="BH277" i="1"/>
  <c r="Z277" i="1" s="1"/>
  <c r="BH280" i="1"/>
  <c r="Z280" i="1" s="1"/>
  <c r="BH183" i="1"/>
  <c r="Z183" i="1" s="1"/>
  <c r="BH318" i="1"/>
  <c r="Z318" i="1" s="1"/>
  <c r="BH276" i="1"/>
  <c r="Z276" i="1" s="1"/>
  <c r="BH356" i="1"/>
  <c r="Z356" i="1" s="1"/>
  <c r="BH230" i="1"/>
  <c r="Z230" i="1" s="1"/>
  <c r="BH180" i="1"/>
  <c r="Z180" i="1" s="1"/>
  <c r="BH260" i="1"/>
  <c r="Z260" i="1" s="1"/>
  <c r="CQ260" i="1" s="1"/>
  <c r="BH224" i="1"/>
  <c r="Z224" i="1" s="1"/>
  <c r="BH350" i="1"/>
  <c r="Z350" i="1" s="1"/>
  <c r="BH275" i="1"/>
  <c r="Z275" i="1" s="1"/>
  <c r="BH351" i="1"/>
  <c r="Z351" i="1" s="1"/>
  <c r="BH341" i="1"/>
  <c r="Z341" i="1" s="1"/>
  <c r="BH261" i="1"/>
  <c r="Z261" i="1" s="1"/>
  <c r="BH297" i="1"/>
  <c r="Z297" i="1" s="1"/>
  <c r="CQ297" i="1" s="1"/>
  <c r="BH226" i="1"/>
  <c r="Z226" i="1" s="1"/>
  <c r="BH324" i="1"/>
  <c r="Z324" i="1" s="1"/>
  <c r="CQ324" i="1" s="1"/>
  <c r="BH306" i="1"/>
  <c r="Z306" i="1" s="1"/>
  <c r="BH328" i="1"/>
  <c r="Z328" i="1" s="1"/>
  <c r="BH241" i="1"/>
  <c r="Z241" i="1" s="1"/>
  <c r="BH364" i="1"/>
  <c r="Z364" i="1" s="1"/>
  <c r="BH353" i="1"/>
  <c r="Z353" i="1" s="1"/>
  <c r="BH264" i="1"/>
  <c r="Z264" i="1" s="1"/>
  <c r="BH291" i="1"/>
  <c r="Z291" i="1" s="1"/>
  <c r="BH326" i="1"/>
  <c r="Z326" i="1" s="1"/>
  <c r="BH346" i="1"/>
  <c r="Z346" i="1" s="1"/>
  <c r="BH270" i="1"/>
  <c r="Z270" i="1" s="1"/>
  <c r="BH303" i="1"/>
  <c r="Z303" i="1" s="1"/>
  <c r="CQ303" i="1" s="1"/>
  <c r="BH284" i="1"/>
  <c r="Z284" i="1" s="1"/>
  <c r="BH307" i="1"/>
  <c r="Z307" i="1" s="1"/>
  <c r="BH247" i="1"/>
  <c r="Z247" i="1" s="1"/>
  <c r="BH299" i="1"/>
  <c r="Z299" i="1" s="1"/>
  <c r="BH237" i="1"/>
  <c r="Z237" i="1" s="1"/>
  <c r="BH294" i="1"/>
  <c r="Z294" i="1" s="1"/>
  <c r="BH362" i="1"/>
  <c r="Z362" i="1" s="1"/>
  <c r="BH286" i="1"/>
  <c r="Z286" i="1" s="1"/>
  <c r="BH273" i="1"/>
  <c r="Z273" i="1" s="1"/>
  <c r="BH191" i="1"/>
  <c r="Z191" i="1" s="1"/>
  <c r="BH239" i="1"/>
  <c r="Z239" i="1" s="1"/>
  <c r="CQ239" i="1" s="1"/>
  <c r="BH269" i="1"/>
  <c r="Z269" i="1" s="1"/>
  <c r="BH244" i="1"/>
  <c r="Z244" i="1" s="1"/>
  <c r="BH266" i="1"/>
  <c r="Z266" i="1" s="1"/>
  <c r="BH243" i="1"/>
  <c r="Z243" i="1" s="1"/>
  <c r="BH310" i="1"/>
  <c r="Z310" i="1" s="1"/>
  <c r="BH349" i="1"/>
  <c r="Z349" i="1" s="1"/>
  <c r="BH250" i="1"/>
  <c r="Z250" i="1" s="1"/>
  <c r="BH246" i="1"/>
  <c r="Z246" i="1" s="1"/>
  <c r="BH252" i="1"/>
  <c r="Z252" i="1" s="1"/>
  <c r="BH198" i="1"/>
  <c r="Z198" i="1" s="1"/>
  <c r="BH347" i="1"/>
  <c r="Z347" i="1" s="1"/>
  <c r="BH255" i="1"/>
  <c r="Z255" i="1" s="1"/>
  <c r="BH232" i="1"/>
  <c r="Z232" i="1" s="1"/>
  <c r="CQ232" i="1" s="1"/>
  <c r="BH340" i="1"/>
  <c r="Z340" i="1" s="1"/>
  <c r="CQ340" i="1" s="1"/>
  <c r="BH334" i="1"/>
  <c r="Z334" i="1" s="1"/>
  <c r="BH292" i="1"/>
  <c r="Z292" i="1" s="1"/>
  <c r="BH199" i="1"/>
  <c r="Z199" i="1" s="1"/>
  <c r="BH204" i="1"/>
  <c r="Z204" i="1" s="1"/>
  <c r="BH358" i="1"/>
  <c r="Z358" i="1" s="1"/>
  <c r="BH321" i="1"/>
  <c r="Z321" i="1" s="1"/>
  <c r="BH354" i="1"/>
  <c r="Z354" i="1" s="1"/>
  <c r="BH262" i="1"/>
  <c r="Z262" i="1" s="1"/>
  <c r="BH344" i="1"/>
  <c r="Z344" i="1" s="1"/>
  <c r="BH227" i="1"/>
  <c r="Z227" i="1" s="1"/>
  <c r="BH316" i="1"/>
  <c r="Z316" i="1" s="1"/>
  <c r="BH327" i="1"/>
  <c r="Z327" i="1" s="1"/>
  <c r="BH236" i="1"/>
  <c r="Z236" i="1" s="1"/>
  <c r="BH338" i="1"/>
  <c r="Z338" i="1" s="1"/>
  <c r="BQ278" i="1"/>
  <c r="BQ281" i="1"/>
  <c r="BQ279" i="1"/>
  <c r="BQ243" i="1"/>
  <c r="BQ322" i="1"/>
  <c r="BQ266" i="1"/>
  <c r="BQ349" i="1"/>
  <c r="BQ267" i="1"/>
  <c r="BQ338" i="1"/>
  <c r="BQ334" i="1"/>
  <c r="BQ240" i="1"/>
  <c r="BQ256" i="1"/>
  <c r="BQ318" i="1"/>
  <c r="BQ350" i="1"/>
  <c r="BQ225" i="1"/>
  <c r="BQ359" i="1"/>
  <c r="BQ247" i="1"/>
  <c r="BQ299" i="1"/>
  <c r="BQ183" i="1"/>
  <c r="BQ293" i="1"/>
  <c r="BQ360" i="1"/>
  <c r="BQ314" i="1"/>
  <c r="BQ348" i="1"/>
  <c r="BQ277" i="1"/>
  <c r="BQ361" i="1"/>
  <c r="BQ310" i="1"/>
  <c r="BQ179" i="1"/>
  <c r="BQ260" i="1"/>
  <c r="BQ251" i="1"/>
  <c r="BQ234" i="1"/>
  <c r="BQ229" i="1"/>
  <c r="BQ226" i="1"/>
  <c r="BQ358" i="1"/>
  <c r="BQ357" i="1"/>
  <c r="BQ288" i="1"/>
  <c r="BQ328" i="1"/>
  <c r="BQ269" i="1"/>
  <c r="BQ316" i="1"/>
  <c r="BQ176" i="1"/>
  <c r="BQ252" i="1"/>
  <c r="BQ270" i="1"/>
  <c r="BQ241" i="1"/>
  <c r="BQ253" i="1"/>
  <c r="BQ300" i="1"/>
  <c r="BQ232" i="1"/>
  <c r="BQ189" i="1"/>
  <c r="BQ337" i="1"/>
  <c r="BQ332" i="1"/>
  <c r="BQ309" i="1"/>
  <c r="BQ284" i="1"/>
  <c r="BQ275" i="1"/>
  <c r="BQ356" i="1"/>
  <c r="BQ306" i="1"/>
  <c r="BQ175" i="1"/>
  <c r="BQ280" i="1"/>
  <c r="BQ346" i="1"/>
  <c r="BQ331" i="1"/>
  <c r="BQ301" i="1"/>
  <c r="BQ324" i="1"/>
  <c r="BQ311" i="1"/>
  <c r="BQ283" i="1"/>
  <c r="BQ319" i="1"/>
  <c r="BQ200" i="1"/>
  <c r="BQ364" i="1"/>
  <c r="BQ199" i="1"/>
  <c r="BQ308" i="1"/>
  <c r="BQ297" i="1"/>
  <c r="BQ294" i="1"/>
  <c r="BQ354" i="1"/>
  <c r="BQ343" i="1"/>
  <c r="BQ305" i="1"/>
  <c r="BQ333" i="1"/>
  <c r="BQ262" i="1"/>
  <c r="BQ276" i="1"/>
  <c r="BQ239" i="1"/>
  <c r="BQ245" i="1"/>
  <c r="BQ312" i="1"/>
  <c r="BQ182" i="1"/>
  <c r="BQ261" i="1"/>
  <c r="BQ351" i="1"/>
  <c r="BQ228" i="1"/>
  <c r="BQ289" i="1"/>
  <c r="BQ204" i="1"/>
  <c r="BQ224" i="1"/>
  <c r="BQ202" i="1"/>
  <c r="BQ220" i="1"/>
  <c r="BQ227" i="1"/>
  <c r="BQ344" i="1"/>
  <c r="BQ257" i="1"/>
  <c r="BQ303" i="1"/>
  <c r="BQ290" i="1"/>
  <c r="BQ192" i="1"/>
  <c r="BQ336" i="1"/>
  <c r="BQ196" i="1"/>
  <c r="BQ203" i="1"/>
  <c r="BQ180" i="1"/>
  <c r="BQ345" i="1"/>
  <c r="BQ291" i="1"/>
  <c r="BQ181" i="1"/>
  <c r="BQ195" i="1"/>
  <c r="BQ249" i="1"/>
  <c r="BQ320" i="1"/>
  <c r="BQ246" i="1"/>
  <c r="BQ244" i="1"/>
  <c r="BQ362" i="1"/>
  <c r="BQ185" i="1"/>
  <c r="BQ347" i="1"/>
  <c r="BQ285" i="1"/>
  <c r="BQ263" i="1"/>
  <c r="BQ353" i="1"/>
  <c r="BQ304" i="1"/>
  <c r="BQ298" i="1"/>
  <c r="BQ223" i="1"/>
  <c r="BQ193" i="1"/>
  <c r="BQ326" i="1"/>
  <c r="BQ274" i="1"/>
  <c r="BQ341" i="1"/>
  <c r="BQ198" i="1"/>
  <c r="BQ272" i="1"/>
  <c r="BQ315" i="1"/>
  <c r="BQ237" i="1"/>
  <c r="BQ268" i="1"/>
  <c r="BQ186" i="1"/>
  <c r="BQ242" i="1"/>
  <c r="BQ313" i="1"/>
  <c r="BQ321" i="1"/>
  <c r="BQ177" i="1"/>
  <c r="BQ255" i="1"/>
  <c r="BQ355" i="1"/>
  <c r="BQ254" i="1"/>
  <c r="BQ292" i="1"/>
  <c r="BQ273" i="1"/>
  <c r="BQ352" i="1"/>
  <c r="BQ264" i="1"/>
  <c r="BQ265" i="1"/>
  <c r="BQ363" i="1"/>
  <c r="BQ190" i="1"/>
  <c r="BQ327" i="1"/>
  <c r="BQ233" i="1"/>
  <c r="BQ307" i="1"/>
  <c r="BQ286" i="1"/>
  <c r="BQ191" i="1"/>
  <c r="BQ197" i="1"/>
  <c r="BQ340" i="1"/>
  <c r="BQ235" i="1"/>
  <c r="BQ236" i="1"/>
  <c r="BQ230" i="1"/>
  <c r="BQ317" i="1"/>
  <c r="BQ325" i="1"/>
  <c r="BQ258" i="1"/>
  <c r="BQ250" i="1"/>
  <c r="BV131" i="123"/>
  <c r="DN64" i="93"/>
  <c r="DR64" i="93"/>
  <c r="DR62" i="93" s="1"/>
  <c r="DY64" i="93"/>
  <c r="HN7" i="123" l="1"/>
  <c r="HK7" i="123"/>
  <c r="HI7" i="123"/>
  <c r="HD7" i="123"/>
  <c r="Y209" i="1"/>
  <c r="Y295" i="1"/>
  <c r="Y217" i="1"/>
  <c r="HM7" i="123"/>
  <c r="HG7" i="123"/>
  <c r="HL7" i="123"/>
  <c r="HJ7" i="123"/>
  <c r="HH7" i="123"/>
  <c r="HF7" i="123"/>
  <c r="HE7" i="123"/>
  <c r="Y271" i="1"/>
  <c r="CQ201" i="1"/>
  <c r="AB201" i="1" s="1"/>
  <c r="FT201" i="1" s="1"/>
  <c r="FT178" i="1"/>
  <c r="GB178" i="1"/>
  <c r="AM178" i="1"/>
  <c r="Y187" i="1"/>
  <c r="Y248" i="1"/>
  <c r="Y329" i="1"/>
  <c r="CQ231" i="1"/>
  <c r="AB231" i="1" s="1"/>
  <c r="FT231" i="1" s="1"/>
  <c r="CQ184" i="1"/>
  <c r="AB184" i="1" s="1"/>
  <c r="FT184" i="1" s="1"/>
  <c r="Y302" i="1"/>
  <c r="CQ335" i="1"/>
  <c r="AB335" i="1" s="1"/>
  <c r="FT335" i="1" s="1"/>
  <c r="CQ221" i="1"/>
  <c r="AB221" i="1" s="1"/>
  <c r="FT221" i="1" s="1"/>
  <c r="CQ188" i="1"/>
  <c r="AB188" i="1" s="1"/>
  <c r="FT188" i="1" s="1"/>
  <c r="Y238" i="1"/>
  <c r="Y282" i="1"/>
  <c r="CQ187" i="1"/>
  <c r="AB187" i="1" s="1"/>
  <c r="FT187" i="1" s="1"/>
  <c r="CQ342" i="1"/>
  <c r="AB342" i="1" s="1"/>
  <c r="CQ222" i="1"/>
  <c r="AB222" i="1" s="1"/>
  <c r="FT222" i="1" s="1"/>
  <c r="CQ339" i="1"/>
  <c r="AB339" i="1" s="1"/>
  <c r="FT339" i="1" s="1"/>
  <c r="Y330" i="1"/>
  <c r="Y259" i="1"/>
  <c r="CQ271" i="1"/>
  <c r="AB271" i="1" s="1"/>
  <c r="FT271" i="1" s="1"/>
  <c r="EG7" i="123"/>
  <c r="EI7" i="123"/>
  <c r="EH7" i="123"/>
  <c r="EQ7" i="123"/>
  <c r="EJ7" i="123"/>
  <c r="EM7" i="123"/>
  <c r="ER7" i="123"/>
  <c r="EP7" i="123"/>
  <c r="EL7" i="123"/>
  <c r="EO7" i="123"/>
  <c r="EN7" i="123"/>
  <c r="ES7" i="123"/>
  <c r="ET7" i="123"/>
  <c r="EK7" i="123"/>
  <c r="EU7" i="123"/>
  <c r="EW7" i="123"/>
  <c r="EZ7" i="123"/>
  <c r="FC7" i="123"/>
  <c r="FA7" i="123"/>
  <c r="EY7" i="123"/>
  <c r="FB7" i="123"/>
  <c r="EX7" i="123"/>
  <c r="FE7" i="123"/>
  <c r="FD7" i="123"/>
  <c r="FF7" i="123"/>
  <c r="FG7" i="123"/>
  <c r="EV7" i="123"/>
  <c r="FO7" i="123"/>
  <c r="FL7" i="123"/>
  <c r="FS7" i="123"/>
  <c r="FM7" i="123"/>
  <c r="FP7" i="123"/>
  <c r="FR7" i="123"/>
  <c r="FJ7" i="123"/>
  <c r="FI7" i="123"/>
  <c r="FQ7" i="123"/>
  <c r="FN7" i="123"/>
  <c r="FK7" i="123"/>
  <c r="FH7" i="123"/>
  <c r="FW7" i="123"/>
  <c r="FY7" i="123"/>
  <c r="FZ7" i="123"/>
  <c r="FT7" i="123"/>
  <c r="GD7" i="123"/>
  <c r="FV7" i="123"/>
  <c r="GA7" i="123"/>
  <c r="FX7" i="123"/>
  <c r="FU7" i="123"/>
  <c r="GE7" i="123"/>
  <c r="GB7" i="123"/>
  <c r="GC7" i="123"/>
  <c r="GN7" i="123"/>
  <c r="GH7" i="123"/>
  <c r="GG7" i="123"/>
  <c r="GL7" i="123"/>
  <c r="GI7" i="123"/>
  <c r="GF7" i="123"/>
  <c r="GK7" i="123"/>
  <c r="GP7" i="123"/>
  <c r="GO7" i="123"/>
  <c r="GQ7" i="123"/>
  <c r="GM7" i="123"/>
  <c r="GJ7" i="123"/>
  <c r="GS7" i="123"/>
  <c r="GR7" i="123"/>
  <c r="GW7" i="123"/>
  <c r="GX7" i="123"/>
  <c r="GZ7" i="123"/>
  <c r="HA7" i="123"/>
  <c r="HB7" i="123"/>
  <c r="GU7" i="123"/>
  <c r="GV7" i="123"/>
  <c r="GY7" i="123"/>
  <c r="GT7" i="123"/>
  <c r="HC7" i="123"/>
  <c r="Y216" i="1"/>
  <c r="CQ173" i="1"/>
  <c r="AB173" i="1" s="1"/>
  <c r="CQ174" i="1"/>
  <c r="AB174" i="1" s="1"/>
  <c r="FT174" i="1" s="1"/>
  <c r="CQ206" i="1"/>
  <c r="AB206" i="1" s="1"/>
  <c r="FT206" i="1" s="1"/>
  <c r="Y174" i="1"/>
  <c r="Y296" i="1"/>
  <c r="CQ194" i="1"/>
  <c r="AB194" i="1" s="1"/>
  <c r="FT194" i="1" s="1"/>
  <c r="CQ287" i="1"/>
  <c r="AB287" i="1" s="1"/>
  <c r="Y323" i="1"/>
  <c r="Y178" i="1"/>
  <c r="CQ329" i="1"/>
  <c r="AB329" i="1" s="1"/>
  <c r="FT329" i="1" s="1"/>
  <c r="CQ282" i="1"/>
  <c r="AB282" i="1" s="1"/>
  <c r="FT282" i="1" s="1"/>
  <c r="Y222" i="1"/>
  <c r="Y184" i="1"/>
  <c r="CQ330" i="1"/>
  <c r="AB330" i="1" s="1"/>
  <c r="FT330" i="1" s="1"/>
  <c r="CQ295" i="1"/>
  <c r="AB295" i="1" s="1"/>
  <c r="Y231" i="1"/>
  <c r="Y188" i="1"/>
  <c r="CQ302" i="1"/>
  <c r="AB302" i="1" s="1"/>
  <c r="FT302" i="1" s="1"/>
  <c r="CQ296" i="1"/>
  <c r="AB296" i="1" s="1"/>
  <c r="FT296" i="1" s="1"/>
  <c r="Y173" i="1"/>
  <c r="Y335" i="1"/>
  <c r="Y342" i="1"/>
  <c r="CQ323" i="1"/>
  <c r="AB323" i="1" s="1"/>
  <c r="FT323" i="1" s="1"/>
  <c r="CQ248" i="1"/>
  <c r="AB248" i="1" s="1"/>
  <c r="FT248" i="1" s="1"/>
  <c r="Y194" i="1"/>
  <c r="Y221" i="1"/>
  <c r="Y339" i="1"/>
  <c r="CQ238" i="1"/>
  <c r="AB238" i="1" s="1"/>
  <c r="FT238" i="1" s="1"/>
  <c r="CQ259" i="1"/>
  <c r="AB259" i="1" s="1"/>
  <c r="FT259" i="1" s="1"/>
  <c r="Y201" i="1"/>
  <c r="Y287" i="1"/>
  <c r="Y206" i="1"/>
  <c r="CF188" i="1"/>
  <c r="CF184" i="1"/>
  <c r="CF178" i="1"/>
  <c r="CF259" i="1"/>
  <c r="CF271" i="1"/>
  <c r="CF296" i="1"/>
  <c r="CF282" i="1"/>
  <c r="CF295" i="1"/>
  <c r="CF248" i="1"/>
  <c r="CF287" i="1"/>
  <c r="CF174" i="1"/>
  <c r="CF302" i="1"/>
  <c r="CF222" i="1"/>
  <c r="CF201" i="1"/>
  <c r="CF323" i="1"/>
  <c r="CF187" i="1"/>
  <c r="CF330" i="1"/>
  <c r="CF238" i="1"/>
  <c r="CF221" i="1"/>
  <c r="CF329" i="1"/>
  <c r="CF194" i="1"/>
  <c r="CF231" i="1"/>
  <c r="CF173" i="1"/>
  <c r="CF342" i="1"/>
  <c r="CF335" i="1"/>
  <c r="CF339" i="1"/>
  <c r="Y219" i="1"/>
  <c r="FI11" i="123"/>
  <c r="FK11" i="123"/>
  <c r="FJ11" i="123"/>
  <c r="X57" i="98"/>
  <c r="Z57" i="98" s="1"/>
  <c r="E30" i="136" s="1"/>
  <c r="Y214" i="1"/>
  <c r="Y213" i="1"/>
  <c r="H25" i="93"/>
  <c r="CQ209" i="1"/>
  <c r="AB209" i="1" s="1"/>
  <c r="FT209" i="1" s="1"/>
  <c r="CF219" i="1"/>
  <c r="CF209" i="1"/>
  <c r="P62" i="98"/>
  <c r="FM62" i="98" s="1"/>
  <c r="AB219" i="1"/>
  <c r="E33" i="93" s="1"/>
  <c r="CQ217" i="1"/>
  <c r="O57" i="98"/>
  <c r="FK57" i="98" s="1"/>
  <c r="FW229" i="1"/>
  <c r="Y54" i="98" s="1"/>
  <c r="X54" i="98"/>
  <c r="Y210" i="1"/>
  <c r="CF214" i="1"/>
  <c r="CF217" i="1"/>
  <c r="Y212" i="1"/>
  <c r="AB214" i="1"/>
  <c r="CQ212" i="1"/>
  <c r="CF210" i="1"/>
  <c r="CF212" i="1"/>
  <c r="AB210" i="1"/>
  <c r="CQ218" i="1"/>
  <c r="Y218" i="1"/>
  <c r="P61" i="98" s="1"/>
  <c r="FM61" i="98" s="1"/>
  <c r="FL61" i="98" s="1"/>
  <c r="CQ216" i="1"/>
  <c r="CF215" i="1"/>
  <c r="CF218" i="1"/>
  <c r="CF216" i="1"/>
  <c r="FO11" i="123"/>
  <c r="FS11" i="123"/>
  <c r="FR11" i="123"/>
  <c r="FP11" i="123"/>
  <c r="FM11" i="123"/>
  <c r="FN11" i="123"/>
  <c r="FL11" i="123"/>
  <c r="FQ11" i="123"/>
  <c r="X60" i="98"/>
  <c r="Z60" i="98" s="1"/>
  <c r="E33" i="136" s="1"/>
  <c r="X56" i="98"/>
  <c r="Z56" i="98" s="1"/>
  <c r="E29" i="136" s="1"/>
  <c r="O56" i="98"/>
  <c r="FK56" i="98" s="1"/>
  <c r="X55" i="98"/>
  <c r="Z55" i="98" s="1"/>
  <c r="E28" i="136" s="1"/>
  <c r="O55" i="98"/>
  <c r="FK55" i="98" s="1"/>
  <c r="CQ213" i="1"/>
  <c r="HQ7" i="123"/>
  <c r="DO62" i="93"/>
  <c r="HV7" i="123"/>
  <c r="HZ7" i="123"/>
  <c r="HR7" i="123"/>
  <c r="HX7" i="123"/>
  <c r="HP7" i="123"/>
  <c r="HU7" i="123"/>
  <c r="HW7" i="123"/>
  <c r="IA7" i="123"/>
  <c r="HS7" i="123"/>
  <c r="HY7" i="123"/>
  <c r="HT7" i="123"/>
  <c r="Y205" i="1"/>
  <c r="Y208" i="1"/>
  <c r="Y131" i="123"/>
  <c r="E37" i="98" s="1"/>
  <c r="IC7" i="123"/>
  <c r="ID7" i="123"/>
  <c r="IF7" i="123"/>
  <c r="IQ7" i="123"/>
  <c r="IU7" i="123"/>
  <c r="IY7" i="123"/>
  <c r="JC7" i="123"/>
  <c r="IG7" i="123"/>
  <c r="IH7" i="123"/>
  <c r="IJ7" i="123"/>
  <c r="IE7" i="123"/>
  <c r="IR7" i="123"/>
  <c r="IV7" i="123"/>
  <c r="IZ7" i="123"/>
  <c r="IK7" i="123"/>
  <c r="IM7" i="123"/>
  <c r="IL7" i="123"/>
  <c r="II7" i="123"/>
  <c r="IO7" i="123"/>
  <c r="IS7" i="123"/>
  <c r="IW7" i="123"/>
  <c r="JA7" i="123"/>
  <c r="IN7" i="123"/>
  <c r="IB7" i="123"/>
  <c r="IP7" i="123"/>
  <c r="IT7" i="123"/>
  <c r="IX7" i="123"/>
  <c r="JB7" i="123"/>
  <c r="Y207" i="1"/>
  <c r="Y211" i="1"/>
  <c r="D37" i="98"/>
  <c r="O59" i="98"/>
  <c r="FK59" i="98" s="1"/>
  <c r="Y215" i="1"/>
  <c r="AB215" i="1"/>
  <c r="O60" i="98"/>
  <c r="FK60" i="98" s="1"/>
  <c r="CQ211" i="1"/>
  <c r="CQ175" i="1"/>
  <c r="CF211" i="1"/>
  <c r="CF213" i="1"/>
  <c r="Y59" i="98"/>
  <c r="X59" i="98"/>
  <c r="O58" i="98"/>
  <c r="FK58" i="98" s="1"/>
  <c r="Y58" i="98"/>
  <c r="X58" i="98"/>
  <c r="DJ82" i="1"/>
  <c r="CL131" i="123"/>
  <c r="FT11" i="123" s="1"/>
  <c r="AL131" i="123"/>
  <c r="DZ131" i="123" s="1"/>
  <c r="AB131" i="123"/>
  <c r="I45" i="93" s="1"/>
  <c r="CQ316" i="1"/>
  <c r="CQ354" i="1"/>
  <c r="CQ199" i="1"/>
  <c r="AB232" i="1"/>
  <c r="CQ349" i="1"/>
  <c r="CQ244" i="1"/>
  <c r="CQ273" i="1"/>
  <c r="CQ237" i="1"/>
  <c r="CQ284" i="1"/>
  <c r="CQ326" i="1"/>
  <c r="CQ364" i="1"/>
  <c r="AB324" i="1"/>
  <c r="CQ341" i="1"/>
  <c r="CQ224" i="1"/>
  <c r="CQ356" i="1"/>
  <c r="CQ280" i="1"/>
  <c r="CQ315" i="1"/>
  <c r="CQ274" i="1"/>
  <c r="CQ203" i="1"/>
  <c r="AB185" i="1"/>
  <c r="E46" i="93" s="1"/>
  <c r="CQ285" i="1"/>
  <c r="CQ256" i="1"/>
  <c r="CQ196" i="1"/>
  <c r="CQ312" i="1"/>
  <c r="CQ242" i="1"/>
  <c r="CQ293" i="1"/>
  <c r="CQ360" i="1"/>
  <c r="CQ322" i="1"/>
  <c r="CQ352" i="1"/>
  <c r="CQ298" i="1"/>
  <c r="CQ267" i="1"/>
  <c r="AB223" i="1"/>
  <c r="CQ348" i="1"/>
  <c r="CQ265" i="1"/>
  <c r="AB283" i="1"/>
  <c r="CQ301" i="1"/>
  <c r="CQ278" i="1"/>
  <c r="CQ338" i="1"/>
  <c r="CQ227" i="1"/>
  <c r="CQ321" i="1"/>
  <c r="CQ292" i="1"/>
  <c r="CQ255" i="1"/>
  <c r="CQ252" i="1"/>
  <c r="CQ310" i="1"/>
  <c r="CQ269" i="1"/>
  <c r="CQ286" i="1"/>
  <c r="CQ299" i="1"/>
  <c r="AB303" i="1"/>
  <c r="CQ291" i="1"/>
  <c r="CQ241" i="1"/>
  <c r="CQ226" i="1"/>
  <c r="CQ351" i="1"/>
  <c r="AB260" i="1"/>
  <c r="CQ276" i="1"/>
  <c r="CQ277" i="1"/>
  <c r="CQ304" i="1"/>
  <c r="CQ235" i="1"/>
  <c r="AB179" i="1"/>
  <c r="CQ263" i="1"/>
  <c r="AB333" i="1"/>
  <c r="AB331" i="1"/>
  <c r="CQ181" i="1"/>
  <c r="CQ300" i="1"/>
  <c r="AB272" i="1"/>
  <c r="CQ225" i="1"/>
  <c r="CQ193" i="1"/>
  <c r="CQ182" i="1"/>
  <c r="CQ220" i="1"/>
  <c r="CQ197" i="1"/>
  <c r="CQ289" i="1"/>
  <c r="AB189" i="1"/>
  <c r="AB195" i="1"/>
  <c r="CQ314" i="1"/>
  <c r="AB202" i="1"/>
  <c r="CQ357" i="1"/>
  <c r="CQ205" i="1"/>
  <c r="CQ236" i="1"/>
  <c r="CQ344" i="1"/>
  <c r="CQ358" i="1"/>
  <c r="CQ334" i="1"/>
  <c r="CQ347" i="1"/>
  <c r="CQ246" i="1"/>
  <c r="CQ243" i="1"/>
  <c r="AB239" i="1"/>
  <c r="CQ362" i="1"/>
  <c r="CQ247" i="1"/>
  <c r="CQ270" i="1"/>
  <c r="CQ264" i="1"/>
  <c r="CQ328" i="1"/>
  <c r="AB297" i="1"/>
  <c r="CQ275" i="1"/>
  <c r="CQ180" i="1"/>
  <c r="CQ318" i="1"/>
  <c r="CQ257" i="1"/>
  <c r="CQ190" i="1"/>
  <c r="CQ229" i="1"/>
  <c r="CQ332" i="1"/>
  <c r="CQ363" i="1"/>
  <c r="CQ305" i="1"/>
  <c r="CQ228" i="1"/>
  <c r="CQ200" i="1"/>
  <c r="CQ268" i="1"/>
  <c r="CQ233" i="1"/>
  <c r="AB336" i="1"/>
  <c r="CQ192" i="1"/>
  <c r="AB288" i="1"/>
  <c r="CQ176" i="1"/>
  <c r="AB249" i="1"/>
  <c r="CQ253" i="1"/>
  <c r="CQ345" i="1"/>
  <c r="CQ320" i="1"/>
  <c r="CQ258" i="1"/>
  <c r="CQ281" i="1"/>
  <c r="CQ208" i="1"/>
  <c r="CQ327" i="1"/>
  <c r="CQ262" i="1"/>
  <c r="CQ204" i="1"/>
  <c r="AB340" i="1"/>
  <c r="R29" i="57" s="1"/>
  <c r="AC29" i="57" s="1"/>
  <c r="BC29" i="57" s="1"/>
  <c r="CQ198" i="1"/>
  <c r="CQ250" i="1"/>
  <c r="CQ266" i="1"/>
  <c r="CQ191" i="1"/>
  <c r="CQ294" i="1"/>
  <c r="CQ307" i="1"/>
  <c r="CQ346" i="1"/>
  <c r="CQ353" i="1"/>
  <c r="CQ306" i="1"/>
  <c r="CQ261" i="1"/>
  <c r="CQ350" i="1"/>
  <c r="CQ230" i="1"/>
  <c r="CQ183" i="1"/>
  <c r="CQ186" i="1"/>
  <c r="CQ177" i="1"/>
  <c r="CQ254" i="1"/>
  <c r="CQ311" i="1"/>
  <c r="CQ240" i="1"/>
  <c r="CQ279" i="1"/>
  <c r="AB337" i="1"/>
  <c r="CQ359" i="1"/>
  <c r="CQ234" i="1"/>
  <c r="CQ251" i="1"/>
  <c r="CQ313" i="1"/>
  <c r="CQ355" i="1"/>
  <c r="AB343" i="1"/>
  <c r="CQ309" i="1"/>
  <c r="CQ317" i="1"/>
  <c r="CQ319" i="1"/>
  <c r="CQ245" i="1"/>
  <c r="CQ290" i="1"/>
  <c r="CQ361" i="1"/>
  <c r="CQ325" i="1"/>
  <c r="CQ308" i="1"/>
  <c r="CQ207" i="1"/>
  <c r="CF205" i="1"/>
  <c r="CF206" i="1"/>
  <c r="CF207" i="1"/>
  <c r="CF208" i="1"/>
  <c r="AT116" i="97"/>
  <c r="AT114" i="97"/>
  <c r="AT115" i="97"/>
  <c r="AT117" i="97"/>
  <c r="AT107" i="97"/>
  <c r="AT106" i="97"/>
  <c r="DW43" i="93"/>
  <c r="AT110" i="97"/>
  <c r="AT109" i="97"/>
  <c r="AT108" i="97"/>
  <c r="E25" i="57"/>
  <c r="LT64" i="93"/>
  <c r="ME64" i="93" s="1"/>
  <c r="CF277" i="1"/>
  <c r="CF185" i="1"/>
  <c r="CF229" i="1"/>
  <c r="CF272" i="1"/>
  <c r="CF351" i="1"/>
  <c r="CF304" i="1"/>
  <c r="CF325" i="1"/>
  <c r="CF340" i="1"/>
  <c r="CF261" i="1"/>
  <c r="CF298" i="1"/>
  <c r="CF204" i="1"/>
  <c r="CF239" i="1"/>
  <c r="CF346" i="1"/>
  <c r="CF241" i="1"/>
  <c r="CF270" i="1"/>
  <c r="CF203" i="1"/>
  <c r="CF331" i="1"/>
  <c r="CF253" i="1"/>
  <c r="CF191" i="1"/>
  <c r="CF224" i="1"/>
  <c r="CF343" i="1"/>
  <c r="CF314" i="1"/>
  <c r="CF234" i="1"/>
  <c r="CF345" i="1"/>
  <c r="CF281" i="1"/>
  <c r="CF264" i="1"/>
  <c r="CF311" i="1"/>
  <c r="CF263" i="1"/>
  <c r="CF316" i="1"/>
  <c r="CF180" i="1"/>
  <c r="CF266" i="1"/>
  <c r="CF284" i="1"/>
  <c r="CF290" i="1"/>
  <c r="CF275" i="1"/>
  <c r="CF362" i="1"/>
  <c r="CF265" i="1"/>
  <c r="CF285" i="1"/>
  <c r="CF235" i="1"/>
  <c r="CF250" i="1"/>
  <c r="CF257" i="1"/>
  <c r="CF197" i="1"/>
  <c r="CF190" i="1"/>
  <c r="CF183" i="1"/>
  <c r="CF357" i="1"/>
  <c r="CF361" i="1"/>
  <c r="CF307" i="1"/>
  <c r="CF255" i="1"/>
  <c r="CF233" i="1"/>
  <c r="CF274" i="1"/>
  <c r="CF267" i="1"/>
  <c r="CF360" i="1"/>
  <c r="CF327" i="1"/>
  <c r="CF242" i="1"/>
  <c r="CF189" i="1"/>
  <c r="CF186" i="1"/>
  <c r="CF196" i="1"/>
  <c r="CF348" i="1"/>
  <c r="CF291" i="1"/>
  <c r="CF288" i="1"/>
  <c r="CF283" i="1"/>
  <c r="CF301" i="1"/>
  <c r="CF179" i="1"/>
  <c r="CF297" i="1"/>
  <c r="CF269" i="1"/>
  <c r="CF252" i="1"/>
  <c r="CF182" i="1"/>
  <c r="CF225" i="1"/>
  <c r="CF328" i="1"/>
  <c r="CF286" i="1"/>
  <c r="CF359" i="1"/>
  <c r="CF268" i="1"/>
  <c r="CF294" i="1"/>
  <c r="CF334" i="1"/>
  <c r="CF322" i="1"/>
  <c r="CF332" i="1"/>
  <c r="CF293" i="1"/>
  <c r="CF310" i="1"/>
  <c r="CF321" i="1"/>
  <c r="CF258" i="1"/>
  <c r="CF230" i="1"/>
  <c r="CF192" i="1"/>
  <c r="CF276" i="1"/>
  <c r="CF353" i="1"/>
  <c r="CF344" i="1"/>
  <c r="CF324" i="1"/>
  <c r="CF227" i="1"/>
  <c r="CF254" i="1"/>
  <c r="CF193" i="1"/>
  <c r="CF256" i="1"/>
  <c r="CF177" i="1"/>
  <c r="CF199" i="1"/>
  <c r="CF338" i="1"/>
  <c r="CF341" i="1"/>
  <c r="CF313" i="1"/>
  <c r="CF320" i="1"/>
  <c r="CF245" i="1"/>
  <c r="CF237" i="1"/>
  <c r="CF262" i="1"/>
  <c r="CF299" i="1"/>
  <c r="CF333" i="1"/>
  <c r="CF223" i="1"/>
  <c r="CF317" i="1"/>
  <c r="CF303" i="1"/>
  <c r="CF246" i="1"/>
  <c r="CF312" i="1"/>
  <c r="CF292" i="1"/>
  <c r="CF244" i="1"/>
  <c r="CF220" i="1"/>
  <c r="CF364" i="1"/>
  <c r="CF354" i="1"/>
  <c r="CF319" i="1"/>
  <c r="CF315" i="1"/>
  <c r="CF243" i="1"/>
  <c r="CF306" i="1"/>
  <c r="CF198" i="1"/>
  <c r="CF195" i="1"/>
  <c r="CF289" i="1"/>
  <c r="CF273" i="1"/>
  <c r="CF309" i="1"/>
  <c r="CF202" i="1"/>
  <c r="CF249" i="1"/>
  <c r="CF347" i="1"/>
  <c r="CF300" i="1"/>
  <c r="CF278" i="1"/>
  <c r="CF280" i="1"/>
  <c r="CF175" i="1"/>
  <c r="CF358" i="1"/>
  <c r="CF279" i="1"/>
  <c r="CF318" i="1"/>
  <c r="CF363" i="1"/>
  <c r="CF326" i="1"/>
  <c r="CF356" i="1"/>
  <c r="CF336" i="1"/>
  <c r="CF305" i="1"/>
  <c r="CF236" i="1"/>
  <c r="CF251" i="1"/>
  <c r="CF226" i="1"/>
  <c r="CF352" i="1"/>
  <c r="CF337" i="1"/>
  <c r="CF176" i="1"/>
  <c r="CF228" i="1"/>
  <c r="CF350" i="1"/>
  <c r="CF260" i="1"/>
  <c r="CF232" i="1"/>
  <c r="CF355" i="1"/>
  <c r="CF240" i="1"/>
  <c r="CF181" i="1"/>
  <c r="CF308" i="1"/>
  <c r="CF349" i="1"/>
  <c r="CF247" i="1"/>
  <c r="CF200" i="1"/>
  <c r="FW195" i="1"/>
  <c r="Y38" i="98" s="1"/>
  <c r="X38" i="98"/>
  <c r="FW232" i="1"/>
  <c r="Y41" i="98" s="1"/>
  <c r="X41" i="98"/>
  <c r="FW239" i="1"/>
  <c r="Y42" i="98" s="1"/>
  <c r="X42" i="98"/>
  <c r="FW260" i="1"/>
  <c r="Y44" i="98" s="1"/>
  <c r="X44" i="98"/>
  <c r="FW249" i="1"/>
  <c r="Y43" i="98" s="1"/>
  <c r="X43" i="98"/>
  <c r="FW272" i="1"/>
  <c r="Y45" i="98" s="1"/>
  <c r="X45" i="98"/>
  <c r="FW223" i="1"/>
  <c r="X40" i="98"/>
  <c r="FW189" i="1"/>
  <c r="Y37" i="98" s="1"/>
  <c r="X37" i="98"/>
  <c r="FW179" i="1"/>
  <c r="Y35" i="98" s="1"/>
  <c r="X35" i="98"/>
  <c r="FW175" i="1"/>
  <c r="Y34" i="98" s="1"/>
  <c r="X34" i="98"/>
  <c r="Y40" i="98"/>
  <c r="X52" i="98"/>
  <c r="FW333" i="1"/>
  <c r="Y52" i="98" s="1"/>
  <c r="X49" i="98"/>
  <c r="FW303" i="1"/>
  <c r="Y49" i="98" s="1"/>
  <c r="X46" i="98"/>
  <c r="FW340" i="1"/>
  <c r="Y46" i="98" s="1"/>
  <c r="X48" i="98"/>
  <c r="FW297" i="1"/>
  <c r="Y48" i="98" s="1"/>
  <c r="X51" i="98"/>
  <c r="FW331" i="1"/>
  <c r="Y51" i="98" s="1"/>
  <c r="X50" i="98"/>
  <c r="FW324" i="1"/>
  <c r="Y50" i="98" s="1"/>
  <c r="X53" i="98"/>
  <c r="FW336" i="1"/>
  <c r="Y53" i="98" s="1"/>
  <c r="X47" i="98"/>
  <c r="FW289" i="1"/>
  <c r="Y47" i="98" s="1"/>
  <c r="X39" i="98"/>
  <c r="FW203" i="1"/>
  <c r="Y39" i="98" s="1"/>
  <c r="FW185" i="1"/>
  <c r="Y36" i="98" s="1"/>
  <c r="Z36" i="98" s="1"/>
  <c r="E9" i="136" s="1"/>
  <c r="FU171" i="1"/>
  <c r="O28" i="57"/>
  <c r="Z28" i="57" s="1"/>
  <c r="AZ28" i="57" s="1"/>
  <c r="O27" i="57"/>
  <c r="Z27" i="57" s="1"/>
  <c r="AZ27" i="57" s="1"/>
  <c r="O29" i="57"/>
  <c r="Z29" i="57" s="1"/>
  <c r="AZ29" i="57" s="1"/>
  <c r="O31" i="57"/>
  <c r="Z31" i="57" s="1"/>
  <c r="AZ31" i="57" s="1"/>
  <c r="O30" i="57"/>
  <c r="Z30" i="57" s="1"/>
  <c r="AZ30" i="57" s="1"/>
  <c r="O53" i="98"/>
  <c r="FK53" i="98" s="1"/>
  <c r="N13" i="93"/>
  <c r="O42" i="98"/>
  <c r="FK42" i="98" s="1"/>
  <c r="O48" i="98"/>
  <c r="FK48" i="98" s="1"/>
  <c r="O34" i="98"/>
  <c r="FK34" i="98" s="1"/>
  <c r="O47" i="98"/>
  <c r="FK47" i="98" s="1"/>
  <c r="O43" i="98"/>
  <c r="FK43" i="98" s="1"/>
  <c r="DW62" i="93"/>
  <c r="DW51" i="93" s="1"/>
  <c r="AT99" i="97"/>
  <c r="J22" i="71"/>
  <c r="J128" i="71" s="1"/>
  <c r="DY62" i="93"/>
  <c r="BR312" i="1"/>
  <c r="Y312" i="1" s="1"/>
  <c r="BR347" i="1"/>
  <c r="Y347" i="1" s="1"/>
  <c r="BR254" i="1"/>
  <c r="Y254" i="1" s="1"/>
  <c r="BR290" i="1"/>
  <c r="Y290" i="1" s="1"/>
  <c r="BR272" i="1"/>
  <c r="Y272" i="1" s="1"/>
  <c r="BR294" i="1"/>
  <c r="Y294" i="1" s="1"/>
  <c r="BR180" i="1"/>
  <c r="Y180" i="1" s="1"/>
  <c r="BR251" i="1"/>
  <c r="Y251" i="1" s="1"/>
  <c r="BR318" i="1"/>
  <c r="Y318" i="1" s="1"/>
  <c r="BR276" i="1"/>
  <c r="Y276" i="1" s="1"/>
  <c r="BR245" i="1"/>
  <c r="Y245" i="1" s="1"/>
  <c r="BR348" i="1"/>
  <c r="Y348" i="1" s="1"/>
  <c r="BR199" i="1"/>
  <c r="Y199" i="1" s="1"/>
  <c r="BR321" i="1"/>
  <c r="Y321" i="1" s="1"/>
  <c r="BR327" i="1"/>
  <c r="Y327" i="1" s="1"/>
  <c r="BR192" i="1"/>
  <c r="Y192" i="1" s="1"/>
  <c r="BR193" i="1"/>
  <c r="Y193" i="1" s="1"/>
  <c r="BR320" i="1"/>
  <c r="Y320" i="1" s="1"/>
  <c r="BR354" i="1"/>
  <c r="Y354" i="1" s="1"/>
  <c r="BR337" i="1"/>
  <c r="Y337" i="1" s="1"/>
  <c r="BR286" i="1"/>
  <c r="Y286" i="1" s="1"/>
  <c r="BR198" i="1"/>
  <c r="Y198" i="1" s="1"/>
  <c r="BR197" i="1"/>
  <c r="Y197" i="1" s="1"/>
  <c r="BR240" i="1"/>
  <c r="Y240" i="1" s="1"/>
  <c r="BR239" i="1"/>
  <c r="Y239" i="1" s="1"/>
  <c r="BR241" i="1"/>
  <c r="Y241" i="1" s="1"/>
  <c r="BR341" i="1"/>
  <c r="Y341" i="1" s="1"/>
  <c r="BR246" i="1"/>
  <c r="Y246" i="1" s="1"/>
  <c r="BR281" i="1"/>
  <c r="Y281" i="1" s="1"/>
  <c r="BR190" i="1"/>
  <c r="Y190" i="1" s="1"/>
  <c r="BR307" i="1"/>
  <c r="Y307" i="1" s="1"/>
  <c r="BR181" i="1"/>
  <c r="Y181" i="1" s="1"/>
  <c r="BR242" i="1"/>
  <c r="Y242" i="1" s="1"/>
  <c r="BR204" i="1"/>
  <c r="Y204" i="1" s="1"/>
  <c r="BR269" i="1"/>
  <c r="Y269" i="1" s="1"/>
  <c r="BR247" i="1"/>
  <c r="Y247" i="1" s="1"/>
  <c r="BR350" i="1"/>
  <c r="Y350" i="1" s="1"/>
  <c r="BR227" i="1"/>
  <c r="Y227" i="1" s="1"/>
  <c r="BR279" i="1"/>
  <c r="Y279" i="1" s="1"/>
  <c r="BR267" i="1"/>
  <c r="Y267" i="1" s="1"/>
  <c r="BR363" i="1"/>
  <c r="Y363" i="1" s="1"/>
  <c r="BR226" i="1"/>
  <c r="Y226" i="1" s="1"/>
  <c r="BR362" i="1"/>
  <c r="Y362" i="1" s="1"/>
  <c r="BR185" i="1"/>
  <c r="Y185" i="1" s="1"/>
  <c r="BR343" i="1"/>
  <c r="Y343" i="1" s="1"/>
  <c r="BR265" i="1"/>
  <c r="Y265" i="1" s="1"/>
  <c r="BR331" i="1"/>
  <c r="Y331" i="1" s="1"/>
  <c r="BR306" i="1"/>
  <c r="Y306" i="1" s="1"/>
  <c r="BR186" i="1"/>
  <c r="Y186" i="1" s="1"/>
  <c r="BR277" i="1"/>
  <c r="Y277" i="1" s="1"/>
  <c r="BR333" i="1"/>
  <c r="Y333" i="1" s="1"/>
  <c r="BR183" i="1"/>
  <c r="Y183" i="1" s="1"/>
  <c r="BR232" i="1"/>
  <c r="Y232" i="1" s="1"/>
  <c r="BR317" i="1"/>
  <c r="Y317" i="1" s="1"/>
  <c r="BR175" i="1"/>
  <c r="Y175" i="1" s="1"/>
  <c r="BR237" i="1"/>
  <c r="Y237" i="1" s="1"/>
  <c r="BR203" i="1"/>
  <c r="Y203" i="1" s="1"/>
  <c r="BR275" i="1"/>
  <c r="Y275" i="1" s="1"/>
  <c r="BR328" i="1"/>
  <c r="Y328" i="1" s="1"/>
  <c r="BR280" i="1"/>
  <c r="Y280" i="1" s="1"/>
  <c r="BR309" i="1"/>
  <c r="Y309" i="1" s="1"/>
  <c r="BR255" i="1"/>
  <c r="Y255" i="1" s="1"/>
  <c r="BR319" i="1"/>
  <c r="Y319" i="1" s="1"/>
  <c r="BR182" i="1"/>
  <c r="Y182" i="1" s="1"/>
  <c r="BR316" i="1"/>
  <c r="Y316" i="1" s="1"/>
  <c r="BR229" i="1"/>
  <c r="Y229" i="1" s="1"/>
  <c r="P54" i="98" s="1"/>
  <c r="FM54" i="98" s="1"/>
  <c r="FL54" i="98" s="1"/>
  <c r="BR313" i="1"/>
  <c r="Y313" i="1" s="1"/>
  <c r="BR359" i="1"/>
  <c r="Y359" i="1" s="1"/>
  <c r="BR352" i="1"/>
  <c r="Y352" i="1" s="1"/>
  <c r="BR300" i="1"/>
  <c r="Y300" i="1" s="1"/>
  <c r="BR338" i="1"/>
  <c r="Y338" i="1" s="1"/>
  <c r="BR340" i="1"/>
  <c r="Y340" i="1" s="1"/>
  <c r="BR283" i="1"/>
  <c r="Y283" i="1" s="1"/>
  <c r="BR268" i="1"/>
  <c r="Y268" i="1" s="1"/>
  <c r="BR308" i="1"/>
  <c r="Y308" i="1" s="1"/>
  <c r="BR262" i="1"/>
  <c r="Y262" i="1" s="1"/>
  <c r="BR324" i="1"/>
  <c r="Y324" i="1" s="1"/>
  <c r="BR310" i="1"/>
  <c r="Y310" i="1" s="1"/>
  <c r="BR315" i="1"/>
  <c r="Y315" i="1" s="1"/>
  <c r="BR288" i="1"/>
  <c r="Y288" i="1" s="1"/>
  <c r="BR349" i="1"/>
  <c r="Y349" i="1" s="1"/>
  <c r="P57" i="98" s="1"/>
  <c r="FM57" i="98" s="1"/>
  <c r="BR261" i="1"/>
  <c r="Y261" i="1" s="1"/>
  <c r="BR332" i="1"/>
  <c r="Y332" i="1" s="1"/>
  <c r="BR361" i="1"/>
  <c r="Y361" i="1" s="1"/>
  <c r="BR235" i="1"/>
  <c r="Y235" i="1" s="1"/>
  <c r="BR244" i="1"/>
  <c r="Y244" i="1" s="1"/>
  <c r="BR285" i="1"/>
  <c r="Y285" i="1" s="1"/>
  <c r="BR284" i="1"/>
  <c r="Y284" i="1" s="1"/>
  <c r="BR322" i="1"/>
  <c r="Y322" i="1" s="1"/>
  <c r="BR297" i="1"/>
  <c r="Y297" i="1" s="1"/>
  <c r="BR263" i="1"/>
  <c r="Y263" i="1" s="1"/>
  <c r="BR304" i="1"/>
  <c r="Y304" i="1" s="1"/>
  <c r="BR200" i="1"/>
  <c r="Y200" i="1" s="1"/>
  <c r="BR346" i="1"/>
  <c r="Y346" i="1" s="1"/>
  <c r="BR364" i="1"/>
  <c r="Y364" i="1" s="1"/>
  <c r="BR243" i="1"/>
  <c r="Y243" i="1" s="1"/>
  <c r="BR202" i="1"/>
  <c r="Y202" i="1" s="1"/>
  <c r="BR291" i="1"/>
  <c r="Y291" i="1" s="1"/>
  <c r="BR228" i="1"/>
  <c r="Y228" i="1" s="1"/>
  <c r="BR191" i="1"/>
  <c r="Y191" i="1" s="1"/>
  <c r="BR233" i="1"/>
  <c r="Y233" i="1" s="1"/>
  <c r="BR334" i="1"/>
  <c r="Y334" i="1" s="1"/>
  <c r="BR301" i="1"/>
  <c r="Y301" i="1" s="1"/>
  <c r="BR351" i="1"/>
  <c r="Y351" i="1" s="1"/>
  <c r="BR252" i="1"/>
  <c r="Y252" i="1" s="1"/>
  <c r="BR314" i="1"/>
  <c r="Y314" i="1" s="1"/>
  <c r="BR225" i="1"/>
  <c r="Y225" i="1" s="1"/>
  <c r="BR249" i="1"/>
  <c r="Y249" i="1" s="1"/>
  <c r="BR189" i="1"/>
  <c r="Y189" i="1" s="1"/>
  <c r="BR224" i="1"/>
  <c r="Y224" i="1" s="1"/>
  <c r="BR336" i="1"/>
  <c r="Y336" i="1" s="1"/>
  <c r="BR353" i="1"/>
  <c r="Y353" i="1" s="1"/>
  <c r="BR264" i="1"/>
  <c r="Y264" i="1" s="1"/>
  <c r="P58" i="98"/>
  <c r="FM58" i="98" s="1"/>
  <c r="BR195" i="1"/>
  <c r="Y195" i="1" s="1"/>
  <c r="BR220" i="1"/>
  <c r="Y220" i="1" s="1"/>
  <c r="BR355" i="1"/>
  <c r="Y355" i="1" s="1"/>
  <c r="BR223" i="1"/>
  <c r="Y223" i="1" s="1"/>
  <c r="BR311" i="1"/>
  <c r="Y311" i="1" s="1"/>
  <c r="BR344" i="1"/>
  <c r="Y344" i="1" s="1"/>
  <c r="BR289" i="1"/>
  <c r="Y289" i="1" s="1"/>
  <c r="BR177" i="1"/>
  <c r="Y177" i="1" s="1"/>
  <c r="BR325" i="1"/>
  <c r="Y325" i="1" s="1"/>
  <c r="BR260" i="1"/>
  <c r="Y260" i="1" s="1"/>
  <c r="BR345" i="1"/>
  <c r="Y345" i="1" s="1"/>
  <c r="BR360" i="1"/>
  <c r="Y360" i="1" s="1"/>
  <c r="BR278" i="1"/>
  <c r="Y278" i="1" s="1"/>
  <c r="BR292" i="1"/>
  <c r="Y292" i="1" s="1"/>
  <c r="BR305" i="1"/>
  <c r="Y305" i="1" s="1"/>
  <c r="BR176" i="1"/>
  <c r="Y176" i="1" s="1"/>
  <c r="BR250" i="1"/>
  <c r="Y250" i="1" s="1"/>
  <c r="BR356" i="1"/>
  <c r="Y356" i="1" s="1"/>
  <c r="BR258" i="1"/>
  <c r="Y258" i="1" s="1"/>
  <c r="BR270" i="1"/>
  <c r="Y270" i="1" s="1"/>
  <c r="BR298" i="1"/>
  <c r="Y298" i="1" s="1"/>
  <c r="BR196" i="1"/>
  <c r="Y196" i="1" s="1"/>
  <c r="BR326" i="1"/>
  <c r="Y326" i="1" s="1"/>
  <c r="BR257" i="1"/>
  <c r="Y257" i="1" s="1"/>
  <c r="BR299" i="1"/>
  <c r="Y299" i="1" s="1"/>
  <c r="BR357" i="1"/>
  <c r="Y357" i="1" s="1"/>
  <c r="BR293" i="1"/>
  <c r="Y293" i="1" s="1"/>
  <c r="BR358" i="1"/>
  <c r="Y358" i="1" s="1"/>
  <c r="BR179" i="1"/>
  <c r="Y179" i="1" s="1"/>
  <c r="BR236" i="1"/>
  <c r="Y236" i="1" s="1"/>
  <c r="BR274" i="1"/>
  <c r="Y274" i="1" s="1"/>
  <c r="BR230" i="1"/>
  <c r="Y230" i="1" s="1"/>
  <c r="BR273" i="1"/>
  <c r="Y273" i="1" s="1"/>
  <c r="BR256" i="1"/>
  <c r="Y256" i="1" s="1"/>
  <c r="BR253" i="1"/>
  <c r="Y253" i="1" s="1"/>
  <c r="BR266" i="1"/>
  <c r="Y266" i="1" s="1"/>
  <c r="BR234" i="1"/>
  <c r="Y234" i="1" s="1"/>
  <c r="BR303" i="1"/>
  <c r="Y303" i="1" s="1"/>
  <c r="O41" i="98"/>
  <c r="FK41" i="98" s="1"/>
  <c r="O50" i="98"/>
  <c r="FK50" i="98" s="1"/>
  <c r="O36" i="98"/>
  <c r="FK36" i="98" s="1"/>
  <c r="O40" i="98"/>
  <c r="FK40" i="98" s="1"/>
  <c r="O46" i="98"/>
  <c r="FK46" i="98" s="1"/>
  <c r="DN62" i="93"/>
  <c r="DV64" i="93"/>
  <c r="AU113" i="97" s="1"/>
  <c r="O49" i="98"/>
  <c r="FK49" i="98" s="1"/>
  <c r="O44" i="98"/>
  <c r="FK44" i="98" s="1"/>
  <c r="O35" i="98"/>
  <c r="FK35" i="98" s="1"/>
  <c r="O52" i="98"/>
  <c r="FK52" i="98" s="1"/>
  <c r="O51" i="98"/>
  <c r="FK51" i="98" s="1"/>
  <c r="O25" i="57"/>
  <c r="Z25" i="57" s="1"/>
  <c r="AZ25" i="57" s="1"/>
  <c r="O45" i="98"/>
  <c r="FK45" i="98" s="1"/>
  <c r="O37" i="98"/>
  <c r="O38" i="98"/>
  <c r="FK38" i="98" s="1"/>
  <c r="O39" i="98"/>
  <c r="FK39" i="98" s="1"/>
  <c r="FT173" i="1" l="1"/>
  <c r="AM295" i="1"/>
  <c r="GB295" i="1"/>
  <c r="AM323" i="1"/>
  <c r="GB323" i="1"/>
  <c r="AM184" i="1"/>
  <c r="GB184" i="1"/>
  <c r="S342" i="1"/>
  <c r="AM330" i="1"/>
  <c r="GB330" i="1"/>
  <c r="AM194" i="1"/>
  <c r="GB194" i="1"/>
  <c r="AM187" i="1"/>
  <c r="GB187" i="1"/>
  <c r="AM342" i="1"/>
  <c r="GB342" i="1"/>
  <c r="AM231" i="1"/>
  <c r="GB231" i="1"/>
  <c r="AM259" i="1"/>
  <c r="GB259" i="1"/>
  <c r="AM271" i="1"/>
  <c r="GB271" i="1"/>
  <c r="AM238" i="1"/>
  <c r="GB238" i="1"/>
  <c r="AM296" i="1"/>
  <c r="GB296" i="1"/>
  <c r="AM282" i="1"/>
  <c r="GB282" i="1"/>
  <c r="GB206" i="1"/>
  <c r="AM206" i="1"/>
  <c r="AM188" i="1"/>
  <c r="GB188" i="1"/>
  <c r="AM287" i="1"/>
  <c r="GB287" i="1"/>
  <c r="AM302" i="1"/>
  <c r="GB302" i="1"/>
  <c r="AM329" i="1"/>
  <c r="GB329" i="1"/>
  <c r="AM174" i="1"/>
  <c r="GB174" i="1"/>
  <c r="AM339" i="1"/>
  <c r="GB339" i="1"/>
  <c r="AM221" i="1"/>
  <c r="GB221" i="1"/>
  <c r="AM173" i="1"/>
  <c r="GB173" i="1"/>
  <c r="AM222" i="1"/>
  <c r="GB222" i="1"/>
  <c r="AM335" i="1"/>
  <c r="GB335" i="1"/>
  <c r="AM248" i="1"/>
  <c r="GB248" i="1"/>
  <c r="FT295" i="1"/>
  <c r="FT287" i="1"/>
  <c r="FT342" i="1"/>
  <c r="AM201" i="1"/>
  <c r="GB201" i="1"/>
  <c r="CG188" i="1"/>
  <c r="CG178" i="1"/>
  <c r="CG184" i="1"/>
  <c r="CG296" i="1"/>
  <c r="CG271" i="1"/>
  <c r="CG259" i="1"/>
  <c r="CG282" i="1"/>
  <c r="CG248" i="1"/>
  <c r="CG295" i="1"/>
  <c r="CG287" i="1"/>
  <c r="CG323" i="1"/>
  <c r="CG187" i="1"/>
  <c r="CG330" i="1"/>
  <c r="CG231" i="1"/>
  <c r="CG329" i="1"/>
  <c r="CG201" i="1"/>
  <c r="CG174" i="1"/>
  <c r="CG238" i="1"/>
  <c r="CG222" i="1"/>
  <c r="CG194" i="1"/>
  <c r="CG221" i="1"/>
  <c r="CG302" i="1"/>
  <c r="CG173" i="1"/>
  <c r="CG335" i="1"/>
  <c r="CG339" i="1"/>
  <c r="CG342" i="1"/>
  <c r="FW11" i="123"/>
  <c r="FU11" i="123"/>
  <c r="FV11" i="123"/>
  <c r="U52" i="98"/>
  <c r="FT52" i="98" s="1"/>
  <c r="D25" i="93"/>
  <c r="I87" i="71"/>
  <c r="K87" i="71" s="1"/>
  <c r="S209" i="1"/>
  <c r="GB209" i="1"/>
  <c r="AM209" i="1"/>
  <c r="CG219" i="1"/>
  <c r="CG209" i="1"/>
  <c r="M33" i="93"/>
  <c r="GB219" i="1"/>
  <c r="AM219" i="1"/>
  <c r="U62" i="98"/>
  <c r="FT62" i="98" s="1"/>
  <c r="FX62" i="98" s="1"/>
  <c r="J85" i="71"/>
  <c r="K85" i="71" s="1"/>
  <c r="FT219" i="1"/>
  <c r="S219" i="1"/>
  <c r="FL62" i="98"/>
  <c r="FP62" i="98"/>
  <c r="FL57" i="98"/>
  <c r="Z54" i="98"/>
  <c r="E27" i="136" s="1"/>
  <c r="AB217" i="1"/>
  <c r="CG214" i="1"/>
  <c r="CG217" i="1"/>
  <c r="AM214" i="1"/>
  <c r="GB214" i="1"/>
  <c r="FT214" i="1"/>
  <c r="S214" i="1"/>
  <c r="AB212" i="1"/>
  <c r="CG210" i="1"/>
  <c r="CG212" i="1"/>
  <c r="GB210" i="1"/>
  <c r="AM210" i="1"/>
  <c r="FT210" i="1"/>
  <c r="S210" i="1"/>
  <c r="AB218" i="1"/>
  <c r="E32" i="93" s="1"/>
  <c r="M32" i="93" s="1"/>
  <c r="AB216" i="1"/>
  <c r="CG215" i="1"/>
  <c r="CG216" i="1"/>
  <c r="CG218" i="1"/>
  <c r="GC11" i="123"/>
  <c r="FX11" i="123"/>
  <c r="GA11" i="123"/>
  <c r="GE11" i="123"/>
  <c r="GB11" i="123"/>
  <c r="GD11" i="123"/>
  <c r="FY11" i="123"/>
  <c r="FZ11" i="123"/>
  <c r="P60" i="98"/>
  <c r="FM60" i="98" s="1"/>
  <c r="FL60" i="98" s="1"/>
  <c r="E38" i="93"/>
  <c r="M38" i="93" s="1"/>
  <c r="J164" i="71" s="1"/>
  <c r="P56" i="98"/>
  <c r="FM56" i="98" s="1"/>
  <c r="FL56" i="98" s="1"/>
  <c r="Z35" i="98"/>
  <c r="E8" i="136" s="1"/>
  <c r="AB213" i="1"/>
  <c r="T213" i="1"/>
  <c r="P55" i="98"/>
  <c r="FM55" i="98" s="1"/>
  <c r="FL55" i="98" s="1"/>
  <c r="J70" i="71"/>
  <c r="I43" i="93"/>
  <c r="EB3" i="123"/>
  <c r="EU8" i="123"/>
  <c r="EV8" i="123"/>
  <c r="FK37" i="98"/>
  <c r="P59" i="98"/>
  <c r="FM59" i="98" s="1"/>
  <c r="FL59" i="98" s="1"/>
  <c r="EH9" i="123"/>
  <c r="EX9" i="123"/>
  <c r="FN9" i="123"/>
  <c r="GD9" i="123"/>
  <c r="GT9" i="123"/>
  <c r="HJ9" i="123"/>
  <c r="HZ9" i="123"/>
  <c r="IP9" i="123"/>
  <c r="FI9" i="123"/>
  <c r="HQ9" i="123"/>
  <c r="EM9" i="123"/>
  <c r="FC9" i="123"/>
  <c r="FS9" i="123"/>
  <c r="GI9" i="123"/>
  <c r="GY9" i="123"/>
  <c r="HO9" i="123"/>
  <c r="IE9" i="123"/>
  <c r="IU9" i="123"/>
  <c r="FQ9" i="123"/>
  <c r="HU9" i="123"/>
  <c r="ER9" i="123"/>
  <c r="FH9" i="123"/>
  <c r="FX9" i="123"/>
  <c r="GN9" i="123"/>
  <c r="HD9" i="123"/>
  <c r="HT9" i="123"/>
  <c r="IJ9" i="123"/>
  <c r="IZ9" i="123"/>
  <c r="GK9" i="123"/>
  <c r="JA9" i="123"/>
  <c r="EW9" i="123"/>
  <c r="HM9" i="123"/>
  <c r="FJ9" i="123"/>
  <c r="IL9" i="123"/>
  <c r="EI9" i="123"/>
  <c r="HK9" i="123"/>
  <c r="FA9" i="123"/>
  <c r="FT9" i="123"/>
  <c r="IF9" i="123"/>
  <c r="GS9" i="123"/>
  <c r="EL9" i="123"/>
  <c r="FB9" i="123"/>
  <c r="FR9" i="123"/>
  <c r="GH9" i="123"/>
  <c r="GX9" i="123"/>
  <c r="HN9" i="123"/>
  <c r="ID9" i="123"/>
  <c r="IT9" i="123"/>
  <c r="FY9" i="123"/>
  <c r="IG9" i="123"/>
  <c r="EQ9" i="123"/>
  <c r="FG9" i="123"/>
  <c r="FW9" i="123"/>
  <c r="GM9" i="123"/>
  <c r="HC9" i="123"/>
  <c r="HS9" i="123"/>
  <c r="II9" i="123"/>
  <c r="IY9" i="123"/>
  <c r="GC9" i="123"/>
  <c r="IS9" i="123"/>
  <c r="EV9" i="123"/>
  <c r="FL9" i="123"/>
  <c r="GB9" i="123"/>
  <c r="GR9" i="123"/>
  <c r="HH9" i="123"/>
  <c r="HX9" i="123"/>
  <c r="IN9" i="123"/>
  <c r="EG9" i="123"/>
  <c r="HE9" i="123"/>
  <c r="EK9" i="123"/>
  <c r="FM9" i="123"/>
  <c r="HY9" i="123"/>
  <c r="FZ9" i="123"/>
  <c r="HV9" i="123"/>
  <c r="EY9" i="123"/>
  <c r="GU9" i="123"/>
  <c r="HI9" i="123"/>
  <c r="GJ9" i="123"/>
  <c r="IV9" i="123"/>
  <c r="ES9" i="123"/>
  <c r="EP9" i="123"/>
  <c r="FF9" i="123"/>
  <c r="FV9" i="123"/>
  <c r="GL9" i="123"/>
  <c r="HB9" i="123"/>
  <c r="HR9" i="123"/>
  <c r="IH9" i="123"/>
  <c r="IX9" i="123"/>
  <c r="GO9" i="123"/>
  <c r="IW9" i="123"/>
  <c r="EU9" i="123"/>
  <c r="FK9" i="123"/>
  <c r="GA9" i="123"/>
  <c r="GQ9" i="123"/>
  <c r="HG9" i="123"/>
  <c r="HW9" i="123"/>
  <c r="IM9" i="123"/>
  <c r="JC9" i="123"/>
  <c r="GW9" i="123"/>
  <c r="EJ9" i="123"/>
  <c r="EZ9" i="123"/>
  <c r="FP9" i="123"/>
  <c r="GF9" i="123"/>
  <c r="GV9" i="123"/>
  <c r="HL9" i="123"/>
  <c r="IB9" i="123"/>
  <c r="IR9" i="123"/>
  <c r="FE9" i="123"/>
  <c r="IC9" i="123"/>
  <c r="EO9" i="123"/>
  <c r="GG9" i="123"/>
  <c r="IO9" i="123"/>
  <c r="ET9" i="123"/>
  <c r="HF9" i="123"/>
  <c r="HA9" i="123"/>
  <c r="GE9" i="123"/>
  <c r="IQ9" i="123"/>
  <c r="FD9" i="123"/>
  <c r="GZ9" i="123"/>
  <c r="FU9" i="123"/>
  <c r="GP9" i="123"/>
  <c r="JB9" i="123"/>
  <c r="FO9" i="123"/>
  <c r="IA9" i="123"/>
  <c r="EN9" i="123"/>
  <c r="HP9" i="123"/>
  <c r="IK9" i="123"/>
  <c r="EG5" i="123"/>
  <c r="EJ5" i="123"/>
  <c r="FT5" i="123"/>
  <c r="FN5" i="123"/>
  <c r="FS5" i="123"/>
  <c r="FD5" i="123"/>
  <c r="FI5" i="123"/>
  <c r="FG5" i="123"/>
  <c r="FB5" i="123"/>
  <c r="FY5" i="123"/>
  <c r="FK5" i="123"/>
  <c r="EP5" i="123"/>
  <c r="EH5" i="123"/>
  <c r="EK5" i="123"/>
  <c r="FZ5" i="123"/>
  <c r="FH5" i="123"/>
  <c r="FW5" i="123"/>
  <c r="FQ5" i="123"/>
  <c r="GA5" i="123"/>
  <c r="EV5" i="123"/>
  <c r="FC5" i="123"/>
  <c r="ER5" i="123"/>
  <c r="EZ5" i="123"/>
  <c r="GB5" i="123"/>
  <c r="FE5" i="123"/>
  <c r="EL5" i="123"/>
  <c r="EI5" i="123"/>
  <c r="FL5" i="123"/>
  <c r="EU5" i="123"/>
  <c r="FJ5" i="123"/>
  <c r="FP5" i="123"/>
  <c r="FF5" i="123"/>
  <c r="FA5" i="123"/>
  <c r="EN5" i="123"/>
  <c r="EX5" i="123"/>
  <c r="ES5" i="123"/>
  <c r="FU5" i="123"/>
  <c r="EQ5" i="123"/>
  <c r="EW5" i="123"/>
  <c r="GC5" i="123"/>
  <c r="EM5" i="123"/>
  <c r="FV5" i="123"/>
  <c r="ET5" i="123"/>
  <c r="EY5" i="123"/>
  <c r="FO5" i="123"/>
  <c r="FX5" i="123"/>
  <c r="EO5" i="123"/>
  <c r="GD5" i="123"/>
  <c r="GE5" i="123"/>
  <c r="FM5" i="123"/>
  <c r="FR5" i="123"/>
  <c r="EG8" i="123"/>
  <c r="EM8" i="123"/>
  <c r="EK8" i="123"/>
  <c r="ER8" i="123"/>
  <c r="EH8" i="123"/>
  <c r="EO8" i="123"/>
  <c r="EL8" i="123"/>
  <c r="ET8" i="123"/>
  <c r="ES8" i="123"/>
  <c r="EI8" i="123"/>
  <c r="EQ8" i="123"/>
  <c r="EN8" i="123"/>
  <c r="EP8" i="123"/>
  <c r="EJ8" i="123"/>
  <c r="Z123" i="123"/>
  <c r="Z126" i="123" s="1"/>
  <c r="Z120" i="123"/>
  <c r="Z119" i="123" s="1"/>
  <c r="Y120" i="123"/>
  <c r="Y119" i="123" s="1"/>
  <c r="AB175" i="1"/>
  <c r="U213" i="1"/>
  <c r="AB211" i="1"/>
  <c r="AA215" i="1"/>
  <c r="U215" i="1"/>
  <c r="T215" i="1"/>
  <c r="V215" i="1"/>
  <c r="S215" i="1" s="1"/>
  <c r="U53" i="98"/>
  <c r="FT53" i="98" s="1"/>
  <c r="K64" i="98"/>
  <c r="K52" i="98"/>
  <c r="K34" i="98"/>
  <c r="K74" i="98"/>
  <c r="K92" i="98"/>
  <c r="K77" i="98"/>
  <c r="K55" i="98"/>
  <c r="K48" i="98"/>
  <c r="K81" i="98"/>
  <c r="K59" i="98"/>
  <c r="K84" i="98"/>
  <c r="K47" i="98"/>
  <c r="K58" i="98"/>
  <c r="K72" i="98"/>
  <c r="K51" i="98"/>
  <c r="K67" i="98"/>
  <c r="K93" i="98"/>
  <c r="K69" i="98"/>
  <c r="K68" i="98"/>
  <c r="K44" i="98"/>
  <c r="K90" i="98"/>
  <c r="K38" i="98"/>
  <c r="K71" i="98"/>
  <c r="K80" i="98"/>
  <c r="K46" i="98"/>
  <c r="K91" i="98"/>
  <c r="K79" i="98"/>
  <c r="K83" i="98"/>
  <c r="K57" i="98"/>
  <c r="K40" i="98"/>
  <c r="K73" i="98"/>
  <c r="K75" i="98"/>
  <c r="K63" i="98"/>
  <c r="K53" i="98"/>
  <c r="K76" i="98"/>
  <c r="K61" i="98"/>
  <c r="K39" i="98"/>
  <c r="K50" i="98"/>
  <c r="K65" i="98"/>
  <c r="K43" i="98"/>
  <c r="K36" i="98"/>
  <c r="K94" i="98"/>
  <c r="K41" i="98"/>
  <c r="K86" i="98"/>
  <c r="K42" i="98"/>
  <c r="K89" i="98"/>
  <c r="K49" i="98"/>
  <c r="K54" i="98"/>
  <c r="K66" i="98"/>
  <c r="K60" i="98"/>
  <c r="K45" i="98"/>
  <c r="K70" i="98"/>
  <c r="K87" i="98"/>
  <c r="K82" i="98"/>
  <c r="K62" i="98"/>
  <c r="K85" i="98"/>
  <c r="K56" i="98"/>
  <c r="K88" i="98"/>
  <c r="K35" i="98"/>
  <c r="K78" i="98"/>
  <c r="FL58" i="98"/>
  <c r="CG211" i="1"/>
  <c r="CG213" i="1"/>
  <c r="Z58" i="98"/>
  <c r="E31" i="136" s="1"/>
  <c r="Z59" i="98"/>
  <c r="E32" i="136" s="1"/>
  <c r="DJ83" i="1"/>
  <c r="CM131" i="123"/>
  <c r="GI11" i="123" s="1"/>
  <c r="AA131" i="123"/>
  <c r="H45" i="93" s="1"/>
  <c r="F86" i="98"/>
  <c r="F81" i="98"/>
  <c r="F66" i="98"/>
  <c r="F87" i="98"/>
  <c r="F92" i="98"/>
  <c r="F90" i="98"/>
  <c r="F67" i="98"/>
  <c r="F72" i="98"/>
  <c r="F64" i="98"/>
  <c r="F69" i="98"/>
  <c r="F75" i="98"/>
  <c r="F77" i="98"/>
  <c r="F88" i="98"/>
  <c r="F85" i="98"/>
  <c r="F94" i="98"/>
  <c r="F63" i="98"/>
  <c r="F65" i="98"/>
  <c r="F71" i="98"/>
  <c r="F76" i="98"/>
  <c r="F82" i="98"/>
  <c r="F89" i="98"/>
  <c r="F58" i="98"/>
  <c r="F79" i="98"/>
  <c r="F84" i="98"/>
  <c r="AA124" i="123"/>
  <c r="F91" i="98"/>
  <c r="F80" i="98"/>
  <c r="F70" i="98"/>
  <c r="F93" i="98"/>
  <c r="F62" i="98"/>
  <c r="F56" i="98"/>
  <c r="F73" i="98"/>
  <c r="F57" i="98"/>
  <c r="F59" i="98"/>
  <c r="F68" i="98"/>
  <c r="F60" i="98"/>
  <c r="F78" i="98"/>
  <c r="F61" i="98"/>
  <c r="F83" i="98"/>
  <c r="F74" i="98"/>
  <c r="F52" i="98"/>
  <c r="CG72" i="130"/>
  <c r="CC72" i="130"/>
  <c r="CH72" i="130"/>
  <c r="CD72" i="130"/>
  <c r="CF72" i="130"/>
  <c r="CE72" i="130"/>
  <c r="F38" i="98"/>
  <c r="F55" i="98"/>
  <c r="F48" i="98"/>
  <c r="F44" i="98"/>
  <c r="F47" i="98"/>
  <c r="F45" i="98"/>
  <c r="F43" i="98"/>
  <c r="F42" i="98"/>
  <c r="F46" i="98"/>
  <c r="CG64" i="93"/>
  <c r="CG62" i="93" s="1"/>
  <c r="F34" i="98"/>
  <c r="F31" i="57"/>
  <c r="H34" i="57"/>
  <c r="H31" i="57"/>
  <c r="F37" i="57"/>
  <c r="F34" i="57"/>
  <c r="H29" i="57"/>
  <c r="F35" i="57"/>
  <c r="H38" i="57"/>
  <c r="H35" i="57"/>
  <c r="H32" i="57"/>
  <c r="F38" i="57"/>
  <c r="H33" i="57"/>
  <c r="F39" i="57"/>
  <c r="F32" i="57"/>
  <c r="H39" i="57"/>
  <c r="H36" i="57"/>
  <c r="H28" i="57"/>
  <c r="H37" i="57"/>
  <c r="H30" i="57"/>
  <c r="F36" i="57"/>
  <c r="F33" i="57"/>
  <c r="F29" i="57"/>
  <c r="I29" i="57" s="1"/>
  <c r="J29" i="57" s="1"/>
  <c r="H27" i="57"/>
  <c r="BW131" i="123"/>
  <c r="T131" i="123" s="1"/>
  <c r="CN64" i="93"/>
  <c r="CN62" i="93" s="1"/>
  <c r="CP64" i="93"/>
  <c r="CP62" i="93" s="1"/>
  <c r="CJ64" i="93"/>
  <c r="CK64" i="93"/>
  <c r="CK62" i="93" s="1"/>
  <c r="CM64" i="93"/>
  <c r="CM62" i="93" s="1"/>
  <c r="CR64" i="93"/>
  <c r="CR62" i="93" s="1"/>
  <c r="CO64" i="93"/>
  <c r="CO62" i="93" s="1"/>
  <c r="CS64" i="93"/>
  <c r="CS62" i="93" s="1"/>
  <c r="CQ64" i="93"/>
  <c r="CQ62" i="93" s="1"/>
  <c r="CL64" i="93"/>
  <c r="CL62" i="93" s="1"/>
  <c r="EG10" i="123"/>
  <c r="ES10" i="123"/>
  <c r="FI10" i="123"/>
  <c r="FZ10" i="123"/>
  <c r="GO10" i="123"/>
  <c r="HE10" i="123"/>
  <c r="HR10" i="123"/>
  <c r="IH10" i="123"/>
  <c r="IX10" i="123"/>
  <c r="EP10" i="123"/>
  <c r="FF10" i="123"/>
  <c r="FV10" i="123"/>
  <c r="GL10" i="123"/>
  <c r="HB10" i="123"/>
  <c r="HO10" i="123"/>
  <c r="IE10" i="123"/>
  <c r="IU10" i="123"/>
  <c r="EQ10" i="123"/>
  <c r="FW10" i="123"/>
  <c r="HC10" i="123"/>
  <c r="IF10" i="123"/>
  <c r="EZ10" i="123"/>
  <c r="HD10" i="123"/>
  <c r="JB10" i="123"/>
  <c r="FP10" i="123"/>
  <c r="HQ10" i="123"/>
  <c r="GZ10" i="123"/>
  <c r="EM10" i="123"/>
  <c r="FS10" i="123"/>
  <c r="GY10" i="123"/>
  <c r="IB10" i="123"/>
  <c r="EV10" i="123"/>
  <c r="GJ10" i="123"/>
  <c r="R130" i="123"/>
  <c r="CH64" i="93"/>
  <c r="CH62" i="93" s="1"/>
  <c r="EW10" i="123"/>
  <c r="FM10" i="123"/>
  <c r="GC10" i="123"/>
  <c r="GS10" i="123"/>
  <c r="HI10" i="123"/>
  <c r="HV10" i="123"/>
  <c r="IL10" i="123"/>
  <c r="ET10" i="123"/>
  <c r="FE10" i="123"/>
  <c r="GK10" i="123"/>
  <c r="JC10" i="123"/>
  <c r="IT10" i="123"/>
  <c r="EX10" i="123"/>
  <c r="FR10" i="123"/>
  <c r="GP10" i="123"/>
  <c r="HJ10" i="123"/>
  <c r="IA10" i="123"/>
  <c r="IY10" i="123"/>
  <c r="FG10" i="123"/>
  <c r="GU10" i="123"/>
  <c r="IN10" i="123"/>
  <c r="FX10" i="123"/>
  <c r="FD10" i="123"/>
  <c r="GF10" i="123"/>
  <c r="IW10" i="123"/>
  <c r="U131" i="123"/>
  <c r="GA10" i="123"/>
  <c r="HN10" i="123"/>
  <c r="GR10" i="123"/>
  <c r="EK10" i="123"/>
  <c r="FQ10" i="123"/>
  <c r="GW10" i="123"/>
  <c r="HZ10" i="123"/>
  <c r="FB10" i="123"/>
  <c r="FY10" i="123"/>
  <c r="GT10" i="123"/>
  <c r="HM10" i="123"/>
  <c r="II10" i="123"/>
  <c r="IZ10" i="123"/>
  <c r="FO10" i="123"/>
  <c r="HK10" i="123"/>
  <c r="IV10" i="123"/>
  <c r="GN10" i="123"/>
  <c r="IK10" i="123"/>
  <c r="GV10" i="123"/>
  <c r="EN10" i="123"/>
  <c r="EU10" i="123"/>
  <c r="GI10" i="123"/>
  <c r="HT10" i="123"/>
  <c r="FL10" i="123"/>
  <c r="HU10" i="123"/>
  <c r="EO10" i="123"/>
  <c r="FU10" i="123"/>
  <c r="HA10" i="123"/>
  <c r="ID10" i="123"/>
  <c r="EH10" i="123"/>
  <c r="FJ10" i="123"/>
  <c r="GD10" i="123"/>
  <c r="GX10" i="123"/>
  <c r="HS10" i="123"/>
  <c r="IM10" i="123"/>
  <c r="EI10" i="123"/>
  <c r="GE10" i="123"/>
  <c r="HP10" i="123"/>
  <c r="EJ10" i="123"/>
  <c r="HY10" i="123"/>
  <c r="CF64" i="93"/>
  <c r="CF62" i="93" s="1"/>
  <c r="HL10" i="123"/>
  <c r="HH10" i="123"/>
  <c r="FC10" i="123"/>
  <c r="GQ10" i="123"/>
  <c r="IJ10" i="123"/>
  <c r="FT10" i="123"/>
  <c r="IS10" i="123"/>
  <c r="FA10" i="123"/>
  <c r="GG10" i="123"/>
  <c r="JA10" i="123"/>
  <c r="IP10" i="123"/>
  <c r="EL10" i="123"/>
  <c r="FN10" i="123"/>
  <c r="GH10" i="123"/>
  <c r="HF10" i="123"/>
  <c r="HW10" i="123"/>
  <c r="IQ10" i="123"/>
  <c r="EY10" i="123"/>
  <c r="GM10" i="123"/>
  <c r="HX10" i="123"/>
  <c r="FH10" i="123"/>
  <c r="IO10" i="123"/>
  <c r="ER10" i="123"/>
  <c r="IG10" i="123"/>
  <c r="IC10" i="123"/>
  <c r="FK10" i="123"/>
  <c r="HG10" i="123"/>
  <c r="IR10" i="123"/>
  <c r="GB10" i="123"/>
  <c r="F36" i="98"/>
  <c r="F35" i="98"/>
  <c r="F54" i="98"/>
  <c r="F39" i="98"/>
  <c r="F28" i="57"/>
  <c r="F53" i="98"/>
  <c r="F51" i="98"/>
  <c r="F41" i="98"/>
  <c r="F30" i="57"/>
  <c r="F50" i="98"/>
  <c r="F40" i="98"/>
  <c r="F49" i="98"/>
  <c r="F27" i="57"/>
  <c r="V123" i="123"/>
  <c r="G13" i="98" s="1"/>
  <c r="T123" i="123"/>
  <c r="AA123" i="123"/>
  <c r="U123" i="123"/>
  <c r="Y123" i="123"/>
  <c r="AB123" i="123"/>
  <c r="AB125" i="123" s="1"/>
  <c r="X123" i="123"/>
  <c r="W123" i="123"/>
  <c r="J37" i="98"/>
  <c r="AB308" i="1"/>
  <c r="AB361" i="1"/>
  <c r="AB245" i="1"/>
  <c r="AB317" i="1"/>
  <c r="AB279" i="1"/>
  <c r="AB311" i="1"/>
  <c r="AB177" i="1"/>
  <c r="AB183" i="1"/>
  <c r="AB350" i="1"/>
  <c r="AB306" i="1"/>
  <c r="AB346" i="1"/>
  <c r="AB294" i="1"/>
  <c r="AB266" i="1"/>
  <c r="AB198" i="1"/>
  <c r="AA340" i="1"/>
  <c r="T340" i="1"/>
  <c r="R339" i="1" s="1"/>
  <c r="U340" i="1"/>
  <c r="V340" i="1"/>
  <c r="S340" i="1" s="1"/>
  <c r="S339" i="1" s="1"/>
  <c r="AB258" i="1"/>
  <c r="AB345" i="1"/>
  <c r="AB192" i="1"/>
  <c r="AA336" i="1"/>
  <c r="T336" i="1"/>
  <c r="U336" i="1"/>
  <c r="V336" i="1"/>
  <c r="S336" i="1" s="1"/>
  <c r="AB233" i="1"/>
  <c r="AB200" i="1"/>
  <c r="AB305" i="1"/>
  <c r="AB332" i="1"/>
  <c r="U51" i="98" s="1"/>
  <c r="FT51" i="98" s="1"/>
  <c r="AB190" i="1"/>
  <c r="AB318" i="1"/>
  <c r="AB275" i="1"/>
  <c r="AA297" i="1"/>
  <c r="U297" i="1"/>
  <c r="T297" i="1"/>
  <c r="V297" i="1"/>
  <c r="S297" i="1" s="1"/>
  <c r="AB246" i="1"/>
  <c r="AB334" i="1"/>
  <c r="AB344" i="1"/>
  <c r="R30" i="57" s="1"/>
  <c r="AC30" i="57" s="1"/>
  <c r="BC30" i="57" s="1"/>
  <c r="AB205" i="1"/>
  <c r="AB181" i="1"/>
  <c r="AB226" i="1"/>
  <c r="AB291" i="1"/>
  <c r="AA303" i="1"/>
  <c r="T303" i="1"/>
  <c r="U303" i="1"/>
  <c r="V303" i="1"/>
  <c r="S303" i="1" s="1"/>
  <c r="AB301" i="1"/>
  <c r="AA283" i="1"/>
  <c r="T283" i="1"/>
  <c r="U283" i="1"/>
  <c r="V283" i="1"/>
  <c r="S283" i="1" s="1"/>
  <c r="AB267" i="1"/>
  <c r="AB352" i="1"/>
  <c r="AB360" i="1"/>
  <c r="AB242" i="1"/>
  <c r="AB196" i="1"/>
  <c r="AB285" i="1"/>
  <c r="AA185" i="1"/>
  <c r="D46" i="93" s="1"/>
  <c r="T185" i="1"/>
  <c r="U185" i="1"/>
  <c r="N36" i="98" s="1"/>
  <c r="V185" i="1"/>
  <c r="AB326" i="1"/>
  <c r="AB237" i="1"/>
  <c r="AB244" i="1"/>
  <c r="AB354" i="1"/>
  <c r="AB207" i="1"/>
  <c r="AB313" i="1"/>
  <c r="AB234" i="1"/>
  <c r="AB204" i="1"/>
  <c r="AB327" i="1"/>
  <c r="AB328" i="1"/>
  <c r="AB270" i="1"/>
  <c r="AB362" i="1"/>
  <c r="AA239" i="1"/>
  <c r="T239" i="1"/>
  <c r="U239" i="1"/>
  <c r="V239" i="1"/>
  <c r="S239" i="1" s="1"/>
  <c r="AB197" i="1"/>
  <c r="AB182" i="1"/>
  <c r="AB225" i="1"/>
  <c r="AA272" i="1"/>
  <c r="T272" i="1"/>
  <c r="U272" i="1"/>
  <c r="V272" i="1"/>
  <c r="S272" i="1" s="1"/>
  <c r="AA333" i="1"/>
  <c r="U333" i="1"/>
  <c r="T333" i="1"/>
  <c r="V333" i="1"/>
  <c r="AB304" i="1"/>
  <c r="AB276" i="1"/>
  <c r="AA260" i="1"/>
  <c r="U260" i="1"/>
  <c r="T260" i="1"/>
  <c r="V260" i="1"/>
  <c r="S260" i="1" s="1"/>
  <c r="AB299" i="1"/>
  <c r="AB269" i="1"/>
  <c r="AB252" i="1"/>
  <c r="AB292" i="1"/>
  <c r="AB227" i="1"/>
  <c r="AB265" i="1"/>
  <c r="AB203" i="1"/>
  <c r="AB315" i="1"/>
  <c r="AB356" i="1"/>
  <c r="AB341" i="1"/>
  <c r="AA324" i="1"/>
  <c r="U324" i="1"/>
  <c r="T324" i="1"/>
  <c r="V324" i="1"/>
  <c r="S324" i="1" s="1"/>
  <c r="AA232" i="1"/>
  <c r="T232" i="1"/>
  <c r="U232" i="1"/>
  <c r="V232" i="1"/>
  <c r="S232" i="1" s="1"/>
  <c r="AB325" i="1"/>
  <c r="AB290" i="1"/>
  <c r="AB319" i="1"/>
  <c r="AB309" i="1"/>
  <c r="AA343" i="1"/>
  <c r="T343" i="1"/>
  <c r="U343" i="1"/>
  <c r="V343" i="1"/>
  <c r="S343" i="1" s="1"/>
  <c r="AB240" i="1"/>
  <c r="AB254" i="1"/>
  <c r="AB186" i="1"/>
  <c r="AB230" i="1"/>
  <c r="AB261" i="1"/>
  <c r="AB353" i="1"/>
  <c r="AB307" i="1"/>
  <c r="AB191" i="1"/>
  <c r="AB250" i="1"/>
  <c r="AB281" i="1"/>
  <c r="AB320" i="1"/>
  <c r="AB253" i="1"/>
  <c r="AA249" i="1"/>
  <c r="T249" i="1"/>
  <c r="U249" i="1"/>
  <c r="V249" i="1"/>
  <c r="S249" i="1" s="1"/>
  <c r="AB268" i="1"/>
  <c r="AB228" i="1"/>
  <c r="AB363" i="1"/>
  <c r="AB229" i="1"/>
  <c r="U54" i="98" s="1"/>
  <c r="FT54" i="98" s="1"/>
  <c r="FX54" i="98" s="1"/>
  <c r="K27" i="127" s="1"/>
  <c r="T27" i="127" s="1"/>
  <c r="AB257" i="1"/>
  <c r="AB180" i="1"/>
  <c r="AB243" i="1"/>
  <c r="AB347" i="1"/>
  <c r="AB358" i="1"/>
  <c r="AB236" i="1"/>
  <c r="AB357" i="1"/>
  <c r="AA202" i="1"/>
  <c r="U202" i="1"/>
  <c r="T202" i="1"/>
  <c r="V202" i="1"/>
  <c r="S202" i="1" s="1"/>
  <c r="AA189" i="1"/>
  <c r="U189" i="1"/>
  <c r="T189" i="1"/>
  <c r="V189" i="1"/>
  <c r="S189" i="1" s="1"/>
  <c r="AB300" i="1"/>
  <c r="U59" i="98"/>
  <c r="FT59" i="98" s="1"/>
  <c r="AA331" i="1"/>
  <c r="U331" i="1"/>
  <c r="T331" i="1"/>
  <c r="V331" i="1"/>
  <c r="S331" i="1" s="1"/>
  <c r="AB263" i="1"/>
  <c r="AA179" i="1"/>
  <c r="T179" i="1"/>
  <c r="U179" i="1"/>
  <c r="V179" i="1"/>
  <c r="S179" i="1" s="1"/>
  <c r="AB351" i="1"/>
  <c r="AB241" i="1"/>
  <c r="AB278" i="1"/>
  <c r="AB298" i="1"/>
  <c r="AB322" i="1"/>
  <c r="AB293" i="1"/>
  <c r="AB312" i="1"/>
  <c r="AB256" i="1"/>
  <c r="AB364" i="1"/>
  <c r="AB284" i="1"/>
  <c r="AB273" i="1"/>
  <c r="AB349" i="1"/>
  <c r="U17" i="98" s="1"/>
  <c r="U30" i="98" s="1"/>
  <c r="AB199" i="1"/>
  <c r="AB316" i="1"/>
  <c r="AB355" i="1"/>
  <c r="AB251" i="1"/>
  <c r="AB359" i="1"/>
  <c r="AA337" i="1"/>
  <c r="U337" i="1"/>
  <c r="T337" i="1"/>
  <c r="V337" i="1"/>
  <c r="S337" i="1" s="1"/>
  <c r="AB262" i="1"/>
  <c r="AB208" i="1"/>
  <c r="AB176" i="1"/>
  <c r="AA288" i="1"/>
  <c r="T288" i="1"/>
  <c r="U288" i="1"/>
  <c r="V288" i="1"/>
  <c r="S288" i="1" s="1"/>
  <c r="R28" i="57"/>
  <c r="AC28" i="57" s="1"/>
  <c r="BC28" i="57" s="1"/>
  <c r="AB264" i="1"/>
  <c r="AB247" i="1"/>
  <c r="AB314" i="1"/>
  <c r="AA195" i="1"/>
  <c r="U195" i="1"/>
  <c r="T195" i="1"/>
  <c r="V195" i="1"/>
  <c r="S195" i="1" s="1"/>
  <c r="AB289" i="1"/>
  <c r="AB220" i="1"/>
  <c r="AB193" i="1"/>
  <c r="AB235" i="1"/>
  <c r="AB277" i="1"/>
  <c r="AB286" i="1"/>
  <c r="AB310" i="1"/>
  <c r="AB255" i="1"/>
  <c r="AB321" i="1"/>
  <c r="AB338" i="1"/>
  <c r="AB348" i="1"/>
  <c r="U18" i="98" s="1"/>
  <c r="U31" i="98" s="1"/>
  <c r="FT31" i="98" s="1"/>
  <c r="FX31" i="98" s="1"/>
  <c r="AA223" i="1"/>
  <c r="U223" i="1"/>
  <c r="T223" i="1"/>
  <c r="V223" i="1"/>
  <c r="S223" i="1" s="1"/>
  <c r="M46" i="93"/>
  <c r="HH46" i="93" s="1"/>
  <c r="U36" i="98"/>
  <c r="AB168" i="1"/>
  <c r="AB274" i="1"/>
  <c r="AB280" i="1"/>
  <c r="AB224" i="1"/>
  <c r="CG205" i="1"/>
  <c r="CG207" i="1"/>
  <c r="CG206" i="1"/>
  <c r="CG208" i="1"/>
  <c r="AU106" i="97"/>
  <c r="AU116" i="97"/>
  <c r="AU117" i="97"/>
  <c r="AU115" i="97"/>
  <c r="AU114" i="97"/>
  <c r="AU107" i="97"/>
  <c r="AU109" i="97"/>
  <c r="AU110" i="97"/>
  <c r="AU108" i="97"/>
  <c r="P39" i="98"/>
  <c r="P36" i="98"/>
  <c r="FM36" i="98" s="1"/>
  <c r="P52" i="98"/>
  <c r="CG358" i="1"/>
  <c r="CG309" i="1"/>
  <c r="CG220" i="1"/>
  <c r="CG269" i="1"/>
  <c r="CG363" i="1"/>
  <c r="CG179" i="1"/>
  <c r="CG223" i="1"/>
  <c r="CG198" i="1"/>
  <c r="CG352" i="1"/>
  <c r="CG195" i="1"/>
  <c r="CG332" i="1"/>
  <c r="CG317" i="1"/>
  <c r="CG331" i="1"/>
  <c r="CG325" i="1"/>
  <c r="CG326" i="1"/>
  <c r="CG328" i="1"/>
  <c r="CG175" i="1"/>
  <c r="CG350" i="1"/>
  <c r="CG234" i="1"/>
  <c r="CG280" i="1"/>
  <c r="CG228" i="1"/>
  <c r="CG200" i="1"/>
  <c r="CG246" i="1"/>
  <c r="CG254" i="1"/>
  <c r="CG310" i="1"/>
  <c r="CG273" i="1"/>
  <c r="CG334" i="1"/>
  <c r="CG349" i="1"/>
  <c r="CG185" i="1"/>
  <c r="CG285" i="1"/>
  <c r="CG346" i="1"/>
  <c r="CG305" i="1"/>
  <c r="CG276" i="1"/>
  <c r="CG313" i="1"/>
  <c r="CG274" i="1"/>
  <c r="CG193" i="1"/>
  <c r="CG262" i="1"/>
  <c r="CG294" i="1"/>
  <c r="CG314" i="1"/>
  <c r="CG267" i="1"/>
  <c r="CG357" i="1"/>
  <c r="CG239" i="1"/>
  <c r="CG202" i="1"/>
  <c r="CG341" i="1"/>
  <c r="CG264" i="1"/>
  <c r="CG300" i="1"/>
  <c r="CG337" i="1"/>
  <c r="CG336" i="1"/>
  <c r="CG281" i="1"/>
  <c r="CG288" i="1"/>
  <c r="CG297" i="1"/>
  <c r="CG319" i="1"/>
  <c r="CG183" i="1"/>
  <c r="CG293" i="1"/>
  <c r="CG304" i="1"/>
  <c r="CG191" i="1"/>
  <c r="CG327" i="1"/>
  <c r="CG256" i="1"/>
  <c r="CG230" i="1"/>
  <c r="CG225" i="1"/>
  <c r="CG292" i="1"/>
  <c r="CG311" i="1"/>
  <c r="CG322" i="1"/>
  <c r="CG290" i="1"/>
  <c r="CG324" i="1"/>
  <c r="CG359" i="1"/>
  <c r="CG240" i="1"/>
  <c r="CG286" i="1"/>
  <c r="CG235" i="1"/>
  <c r="CG303" i="1"/>
  <c r="CG250" i="1"/>
  <c r="CG266" i="1"/>
  <c r="CG244" i="1"/>
  <c r="CG364" i="1"/>
  <c r="CG229" i="1"/>
  <c r="CG321" i="1"/>
  <c r="CG354" i="1"/>
  <c r="CG268" i="1"/>
  <c r="CG343" i="1"/>
  <c r="CG348" i="1"/>
  <c r="CG186" i="1"/>
  <c r="CG279" i="1"/>
  <c r="CG333" i="1"/>
  <c r="CG252" i="1"/>
  <c r="CG260" i="1"/>
  <c r="CG270" i="1"/>
  <c r="CG289" i="1"/>
  <c r="CG272" i="1"/>
  <c r="CG242" i="1"/>
  <c r="CG255" i="1"/>
  <c r="CG227" i="1"/>
  <c r="CG263" i="1"/>
  <c r="CG356" i="1"/>
  <c r="CG307" i="1"/>
  <c r="CG190" i="1"/>
  <c r="CG284" i="1"/>
  <c r="CG204" i="1"/>
  <c r="CG278" i="1"/>
  <c r="CG338" i="1"/>
  <c r="CG180" i="1"/>
  <c r="CG224" i="1"/>
  <c r="CG236" i="1"/>
  <c r="CG316" i="1"/>
  <c r="CG351" i="1"/>
  <c r="CG249" i="1"/>
  <c r="CG203" i="1"/>
  <c r="CG299" i="1"/>
  <c r="CG181" i="1"/>
  <c r="CG261" i="1"/>
  <c r="CG265" i="1"/>
  <c r="CG177" i="1"/>
  <c r="CG344" i="1"/>
  <c r="CG257" i="1"/>
  <c r="CG298" i="1"/>
  <c r="CG253" i="1"/>
  <c r="CG360" i="1"/>
  <c r="CG291" i="1"/>
  <c r="CG197" i="1"/>
  <c r="CG189" i="1"/>
  <c r="CG318" i="1"/>
  <c r="CG182" i="1"/>
  <c r="CG308" i="1"/>
  <c r="CG243" i="1"/>
  <c r="CG301" i="1"/>
  <c r="CG241" i="1"/>
  <c r="CG192" i="1"/>
  <c r="CG277" i="1"/>
  <c r="CG347" i="1"/>
  <c r="CG361" i="1"/>
  <c r="CG232" i="1"/>
  <c r="CG340" i="1"/>
  <c r="CG362" i="1"/>
  <c r="CG283" i="1"/>
  <c r="CG315" i="1"/>
  <c r="CG345" i="1"/>
  <c r="CG245" i="1"/>
  <c r="CG353" i="1"/>
  <c r="CG355" i="1"/>
  <c r="CG251" i="1"/>
  <c r="CG320" i="1"/>
  <c r="CG258" i="1"/>
  <c r="CG312" i="1"/>
  <c r="CG199" i="1"/>
  <c r="CG275" i="1"/>
  <c r="CG176" i="1"/>
  <c r="CG196" i="1"/>
  <c r="CG226" i="1"/>
  <c r="CG306" i="1"/>
  <c r="CG233" i="1"/>
  <c r="CG247" i="1"/>
  <c r="CG237" i="1"/>
  <c r="LU64" i="93"/>
  <c r="MF64" i="93" s="1"/>
  <c r="Z43" i="98"/>
  <c r="E16" i="136" s="1"/>
  <c r="Z42" i="98"/>
  <c r="E15" i="136" s="1"/>
  <c r="Z38" i="98"/>
  <c r="E11" i="136" s="1"/>
  <c r="Z41" i="98"/>
  <c r="E14" i="136" s="1"/>
  <c r="X30" i="98"/>
  <c r="Z45" i="98"/>
  <c r="E18" i="136" s="1"/>
  <c r="Z44" i="98"/>
  <c r="E17" i="136" s="1"/>
  <c r="P31" i="57"/>
  <c r="AA31" i="57" s="1"/>
  <c r="BA31" i="57" s="1"/>
  <c r="FW171" i="1"/>
  <c r="FV171" i="1" s="1"/>
  <c r="Z49" i="98"/>
  <c r="E22" i="136" s="1"/>
  <c r="Z40" i="98"/>
  <c r="E13" i="136" s="1"/>
  <c r="Z47" i="98"/>
  <c r="E20" i="136" s="1"/>
  <c r="Z50" i="98"/>
  <c r="E23" i="136" s="1"/>
  <c r="Z48" i="98"/>
  <c r="E21" i="136" s="1"/>
  <c r="Z46" i="98"/>
  <c r="E19" i="136" s="1"/>
  <c r="Z53" i="98"/>
  <c r="E26" i="136" s="1"/>
  <c r="Z52" i="98"/>
  <c r="E25" i="136" s="1"/>
  <c r="X29" i="98"/>
  <c r="Z51" i="98"/>
  <c r="E24" i="136" s="1"/>
  <c r="Z39" i="98"/>
  <c r="E12" i="136" s="1"/>
  <c r="Y30" i="98"/>
  <c r="Z34" i="98"/>
  <c r="E7" i="136" s="1"/>
  <c r="Y29" i="98"/>
  <c r="Z37" i="98"/>
  <c r="E10" i="136" s="1"/>
  <c r="I22" i="132"/>
  <c r="I18" i="132"/>
  <c r="P29" i="57"/>
  <c r="AA29" i="57" s="1"/>
  <c r="BA29" i="57" s="1"/>
  <c r="P30" i="57"/>
  <c r="AA30" i="57" s="1"/>
  <c r="BA30" i="57" s="1"/>
  <c r="P53" i="98"/>
  <c r="P28" i="57"/>
  <c r="AA28" i="57" s="1"/>
  <c r="BA28" i="57" s="1"/>
  <c r="P27" i="57"/>
  <c r="AA27" i="57" s="1"/>
  <c r="BA27" i="57" s="1"/>
  <c r="P35" i="98"/>
  <c r="P49" i="98"/>
  <c r="P44" i="98"/>
  <c r="P40" i="98"/>
  <c r="FM40" i="98" s="1"/>
  <c r="P48" i="98"/>
  <c r="FM48" i="98" s="1"/>
  <c r="J30" i="71"/>
  <c r="E47" i="71"/>
  <c r="P37" i="98"/>
  <c r="FM37" i="98" s="1"/>
  <c r="P50" i="98"/>
  <c r="FM50" i="98" s="1"/>
  <c r="P46" i="98"/>
  <c r="FM46" i="98" s="1"/>
  <c r="P41" i="98"/>
  <c r="FM41" i="98" s="1"/>
  <c r="AU99" i="97"/>
  <c r="DV62" i="93"/>
  <c r="DV51" i="93" s="1"/>
  <c r="P43" i="98"/>
  <c r="FM43" i="98" s="1"/>
  <c r="P47" i="98"/>
  <c r="FM47" i="98" s="1"/>
  <c r="P42" i="98"/>
  <c r="FM42" i="98" s="1"/>
  <c r="P45" i="98"/>
  <c r="FM45" i="98" s="1"/>
  <c r="P38" i="98"/>
  <c r="FM38" i="98" s="1"/>
  <c r="P34" i="98"/>
  <c r="FM34" i="98" s="1"/>
  <c r="P25" i="57"/>
  <c r="AA25" i="57" s="1"/>
  <c r="BA25" i="57" s="1"/>
  <c r="P51" i="98"/>
  <c r="FM51" i="98" s="1"/>
  <c r="GT10" i="1" l="1"/>
  <c r="CH188" i="1"/>
  <c r="CH178" i="1"/>
  <c r="CH184" i="1"/>
  <c r="CH248" i="1"/>
  <c r="CH295" i="1"/>
  <c r="CH287" i="1"/>
  <c r="CH282" i="1"/>
  <c r="CH296" i="1"/>
  <c r="CH271" i="1"/>
  <c r="CH259" i="1"/>
  <c r="CH174" i="1"/>
  <c r="CH222" i="1"/>
  <c r="CH221" i="1"/>
  <c r="CH201" i="1"/>
  <c r="CH194" i="1"/>
  <c r="CH231" i="1"/>
  <c r="CH329" i="1"/>
  <c r="CH238" i="1"/>
  <c r="CH323" i="1"/>
  <c r="CH187" i="1"/>
  <c r="CH330" i="1"/>
  <c r="CH302" i="1"/>
  <c r="CH173" i="1"/>
  <c r="CH342" i="1"/>
  <c r="CH335" i="1"/>
  <c r="CH339" i="1"/>
  <c r="BS62" i="98"/>
  <c r="K35" i="127"/>
  <c r="T35" i="127" s="1"/>
  <c r="GF5" i="123"/>
  <c r="GH11" i="123"/>
  <c r="GF11" i="123"/>
  <c r="GH5" i="123"/>
  <c r="GG5" i="123"/>
  <c r="GI5" i="123"/>
  <c r="GG11" i="123"/>
  <c r="W126" i="123"/>
  <c r="DP123" i="123"/>
  <c r="N52" i="98"/>
  <c r="V52" i="98"/>
  <c r="FV52" i="98" s="1"/>
  <c r="FU52" i="98" s="1"/>
  <c r="E47" i="93"/>
  <c r="M47" i="93" s="1"/>
  <c r="HH47" i="93" s="1"/>
  <c r="CH219" i="1"/>
  <c r="CH209" i="1"/>
  <c r="E48" i="93"/>
  <c r="M48" i="93" s="1"/>
  <c r="HH48" i="93" s="1"/>
  <c r="E45" i="93"/>
  <c r="E49" i="93"/>
  <c r="M49" i="93" s="1"/>
  <c r="HH49" i="93" s="1"/>
  <c r="I32" i="57"/>
  <c r="J32" i="57" s="1"/>
  <c r="E30" i="93"/>
  <c r="M30" i="93" s="1"/>
  <c r="HH40" i="93" s="1"/>
  <c r="AM217" i="1"/>
  <c r="GB217" i="1"/>
  <c r="FT217" i="1"/>
  <c r="S217" i="1"/>
  <c r="CH214" i="1"/>
  <c r="CH217" i="1"/>
  <c r="AM212" i="1"/>
  <c r="GB212" i="1"/>
  <c r="FT212" i="1"/>
  <c r="S212" i="1"/>
  <c r="CH210" i="1"/>
  <c r="CH212" i="1"/>
  <c r="AM218" i="1"/>
  <c r="GB218" i="1"/>
  <c r="FT218" i="1"/>
  <c r="AM216" i="1"/>
  <c r="GB216" i="1"/>
  <c r="S216" i="1"/>
  <c r="FT216" i="1"/>
  <c r="S218" i="1"/>
  <c r="CH215" i="1"/>
  <c r="CH216" i="1"/>
  <c r="CH218" i="1"/>
  <c r="GL11" i="123"/>
  <c r="GP11" i="123"/>
  <c r="GN11" i="123"/>
  <c r="GK11" i="123"/>
  <c r="GO11" i="123"/>
  <c r="GQ11" i="123"/>
  <c r="GM11" i="123"/>
  <c r="GJ11" i="123"/>
  <c r="U61" i="98"/>
  <c r="FT61" i="98" s="1"/>
  <c r="FX61" i="98" s="1"/>
  <c r="AA213" i="1"/>
  <c r="GB213" i="1" s="1"/>
  <c r="V213" i="1"/>
  <c r="GU5" i="1"/>
  <c r="GU6" i="1" s="1"/>
  <c r="GU10" i="1"/>
  <c r="GV10" i="1"/>
  <c r="U58" i="98"/>
  <c r="FT58" i="98" s="1"/>
  <c r="FX58" i="98" s="1"/>
  <c r="K31" i="136" s="1"/>
  <c r="T31" i="136" s="1"/>
  <c r="GA31" i="98"/>
  <c r="CP31" i="98"/>
  <c r="J76" i="71"/>
  <c r="K76" i="71" s="1"/>
  <c r="I36" i="57"/>
  <c r="J36" i="57" s="1"/>
  <c r="V53" i="98"/>
  <c r="FV53" i="98" s="1"/>
  <c r="FU53" i="98" s="1"/>
  <c r="S335" i="1"/>
  <c r="U57" i="98"/>
  <c r="FT57" i="98" s="1"/>
  <c r="FX57" i="98" s="1"/>
  <c r="U55" i="98"/>
  <c r="FT55" i="98" s="1"/>
  <c r="FX55" i="98" s="1"/>
  <c r="K28" i="136" s="1"/>
  <c r="T28" i="136" s="1"/>
  <c r="L46" i="93"/>
  <c r="HG46" i="93" s="1"/>
  <c r="HJ46" i="93" s="1"/>
  <c r="HK46" i="93" s="1"/>
  <c r="V36" i="98"/>
  <c r="T52" i="98"/>
  <c r="S333" i="1"/>
  <c r="U56" i="98"/>
  <c r="FT56" i="98" s="1"/>
  <c r="FX56" i="98" s="1"/>
  <c r="K29" i="127" s="1"/>
  <c r="T29" i="127" s="1"/>
  <c r="J78" i="71"/>
  <c r="S213" i="1"/>
  <c r="T36" i="98"/>
  <c r="S185" i="1"/>
  <c r="S184" i="1" s="1"/>
  <c r="J73" i="71"/>
  <c r="GJ5" i="123"/>
  <c r="U60" i="98"/>
  <c r="FT60" i="98" s="1"/>
  <c r="FX60" i="98" s="1"/>
  <c r="K33" i="136" s="1"/>
  <c r="T33" i="136" s="1"/>
  <c r="E41" i="93"/>
  <c r="M41" i="93" s="1"/>
  <c r="HH38" i="93" s="1"/>
  <c r="HJ38" i="93" s="1"/>
  <c r="E39" i="93"/>
  <c r="M39" i="93" s="1"/>
  <c r="V175" i="1"/>
  <c r="K29" i="136"/>
  <c r="T29" i="136" s="1"/>
  <c r="GN5" i="123"/>
  <c r="GO5" i="123"/>
  <c r="GM5" i="123"/>
  <c r="GK5" i="123"/>
  <c r="GL5" i="123"/>
  <c r="GQ5" i="123"/>
  <c r="GP5" i="123"/>
  <c r="EU6" i="123"/>
  <c r="EV6" i="123"/>
  <c r="AC169" i="1"/>
  <c r="T175" i="1"/>
  <c r="U175" i="1"/>
  <c r="AA175" i="1"/>
  <c r="HL10" i="1"/>
  <c r="IB10" i="1"/>
  <c r="HA10" i="1"/>
  <c r="HQ10" i="1"/>
  <c r="IG10" i="1"/>
  <c r="IA10" i="1"/>
  <c r="HN10" i="1"/>
  <c r="HZ10" i="1"/>
  <c r="HR10" i="1"/>
  <c r="HO10" i="1"/>
  <c r="HH10" i="1"/>
  <c r="HM10" i="1"/>
  <c r="HJ10" i="1"/>
  <c r="GZ10" i="1"/>
  <c r="HP10" i="1"/>
  <c r="IF10" i="1"/>
  <c r="HE10" i="1"/>
  <c r="HU10" i="1"/>
  <c r="HC10" i="1"/>
  <c r="II10" i="1"/>
  <c r="HV10" i="1"/>
  <c r="GY10" i="1"/>
  <c r="IH10" i="1"/>
  <c r="HX10" i="1"/>
  <c r="HS10" i="1"/>
  <c r="HF10" i="1"/>
  <c r="HW10" i="1"/>
  <c r="HD10" i="1"/>
  <c r="HT10" i="1"/>
  <c r="IJ10" i="1"/>
  <c r="HI10" i="1"/>
  <c r="HY10" i="1"/>
  <c r="HK10" i="1"/>
  <c r="GX10" i="1"/>
  <c r="ID10" i="1"/>
  <c r="IE10" i="1"/>
  <c r="HG10" i="1"/>
  <c r="GW10" i="1"/>
  <c r="IC10" i="1"/>
  <c r="HB10" i="1"/>
  <c r="FX59" i="98"/>
  <c r="H43" i="93"/>
  <c r="EG6" i="123"/>
  <c r="EK6" i="123"/>
  <c r="ER6" i="123"/>
  <c r="EQ6" i="123"/>
  <c r="EN6" i="123"/>
  <c r="EH6" i="123"/>
  <c r="EM6" i="123"/>
  <c r="ET6" i="123"/>
  <c r="ES6" i="123"/>
  <c r="EI6" i="123"/>
  <c r="EJ6" i="123"/>
  <c r="EP6" i="123"/>
  <c r="EO6" i="123"/>
  <c r="EL6" i="123"/>
  <c r="Z167" i="1"/>
  <c r="Z170" i="1" s="1"/>
  <c r="Z164" i="1"/>
  <c r="Z163" i="1" s="1"/>
  <c r="AT103" i="97" s="1"/>
  <c r="T120" i="123"/>
  <c r="T119" i="123" s="1"/>
  <c r="Y164" i="1"/>
  <c r="Y163" i="1" s="1"/>
  <c r="T211" i="1"/>
  <c r="AA211" i="1"/>
  <c r="U211" i="1"/>
  <c r="V211" i="1"/>
  <c r="S211" i="1" s="1"/>
  <c r="R213" i="1"/>
  <c r="AM213" i="1"/>
  <c r="FT213" i="1"/>
  <c r="FN213" i="1"/>
  <c r="AM215" i="1"/>
  <c r="FN215" i="1"/>
  <c r="FT215" i="1"/>
  <c r="GB215" i="1"/>
  <c r="R215" i="1"/>
  <c r="R335" i="1"/>
  <c r="N53" i="98"/>
  <c r="M53" i="98"/>
  <c r="FH53" i="98" s="1"/>
  <c r="T53" i="98"/>
  <c r="Y126" i="123"/>
  <c r="FV64" i="98"/>
  <c r="FU64" i="98" s="1"/>
  <c r="FV63" i="98"/>
  <c r="FU63" i="98" s="1"/>
  <c r="FV93" i="98"/>
  <c r="FU93" i="98" s="1"/>
  <c r="FV92" i="98"/>
  <c r="FU92" i="98" s="1"/>
  <c r="FV91" i="98"/>
  <c r="FU91" i="98" s="1"/>
  <c r="FV94" i="98"/>
  <c r="FU94" i="98" s="1"/>
  <c r="FV89" i="98"/>
  <c r="FU89" i="98" s="1"/>
  <c r="FV88" i="98"/>
  <c r="FU88" i="98" s="1"/>
  <c r="FV87" i="98"/>
  <c r="FU87" i="98" s="1"/>
  <c r="FV90" i="98"/>
  <c r="FU90" i="98" s="1"/>
  <c r="FV85" i="98"/>
  <c r="FU85" i="98" s="1"/>
  <c r="FV84" i="98"/>
  <c r="FU84" i="98" s="1"/>
  <c r="FV83" i="98"/>
  <c r="FU83" i="98" s="1"/>
  <c r="FV86" i="98"/>
  <c r="FU86" i="98" s="1"/>
  <c r="FV81" i="98"/>
  <c r="FU81" i="98" s="1"/>
  <c r="FV82" i="98"/>
  <c r="FU82" i="98" s="1"/>
  <c r="FV77" i="98"/>
  <c r="FU77" i="98" s="1"/>
  <c r="FV76" i="98"/>
  <c r="FU76" i="98" s="1"/>
  <c r="FV75" i="98"/>
  <c r="FU75" i="98" s="1"/>
  <c r="FV78" i="98"/>
  <c r="FU78" i="98" s="1"/>
  <c r="FV73" i="98"/>
  <c r="FU73" i="98" s="1"/>
  <c r="FV72" i="98"/>
  <c r="FU72" i="98" s="1"/>
  <c r="FV71" i="98"/>
  <c r="FU71" i="98" s="1"/>
  <c r="FV74" i="98"/>
  <c r="FU74" i="98" s="1"/>
  <c r="FV69" i="98"/>
  <c r="FU69" i="98" s="1"/>
  <c r="FV68" i="98"/>
  <c r="FU68" i="98" s="1"/>
  <c r="FV67" i="98"/>
  <c r="FU67" i="98" s="1"/>
  <c r="FV70" i="98"/>
  <c r="FU70" i="98" s="1"/>
  <c r="FV65" i="98"/>
  <c r="FU65" i="98" s="1"/>
  <c r="N38" i="115" s="1"/>
  <c r="U126" i="123"/>
  <c r="FV80" i="98"/>
  <c r="FU80" i="98" s="1"/>
  <c r="FV79" i="98"/>
  <c r="FU79" i="98" s="1"/>
  <c r="N52" i="115" s="1"/>
  <c r="FV62" i="98"/>
  <c r="FU62" i="98" s="1"/>
  <c r="DP124" i="123"/>
  <c r="DQ124" i="123" s="1"/>
  <c r="AA125" i="123"/>
  <c r="R123" i="123"/>
  <c r="T126" i="123"/>
  <c r="C11" i="123" s="1"/>
  <c r="K37" i="98"/>
  <c r="AG17" i="57"/>
  <c r="I28" i="57"/>
  <c r="J28" i="57" s="1"/>
  <c r="CH211" i="1"/>
  <c r="CH213" i="1"/>
  <c r="CN131" i="123"/>
  <c r="GS11" i="123" s="1"/>
  <c r="DJ84" i="1"/>
  <c r="CJ62" i="93"/>
  <c r="I27" i="57"/>
  <c r="J27" i="57" s="1"/>
  <c r="I30" i="57"/>
  <c r="J30" i="57" s="1"/>
  <c r="R129" i="123"/>
  <c r="I31" i="57"/>
  <c r="J31" i="57" s="1"/>
  <c r="S123" i="123"/>
  <c r="I33" i="57"/>
  <c r="J33" i="57" s="1"/>
  <c r="I39" i="57"/>
  <c r="J39" i="57" s="1"/>
  <c r="EA131" i="123"/>
  <c r="C37" i="98"/>
  <c r="C27" i="98" s="1"/>
  <c r="EB2" i="123"/>
  <c r="CB133" i="130"/>
  <c r="B37" i="98"/>
  <c r="CA133" i="130"/>
  <c r="DK131" i="123"/>
  <c r="DK119" i="123" s="1"/>
  <c r="DL131" i="123"/>
  <c r="R131" i="123"/>
  <c r="V131" i="123"/>
  <c r="S131" i="123" s="1"/>
  <c r="S130" i="123" s="1"/>
  <c r="I34" i="57"/>
  <c r="J34" i="57" s="1"/>
  <c r="I38" i="57"/>
  <c r="J38" i="57" s="1"/>
  <c r="I35" i="57"/>
  <c r="J35" i="57" s="1"/>
  <c r="I37" i="57"/>
  <c r="J37" i="57" s="1"/>
  <c r="CA69" i="130"/>
  <c r="CB71" i="130"/>
  <c r="U50" i="98"/>
  <c r="FT50" i="98" s="1"/>
  <c r="FX50" i="98" s="1"/>
  <c r="U48" i="98"/>
  <c r="FT48" i="98" s="1"/>
  <c r="FX48" i="98" s="1"/>
  <c r="U46" i="98"/>
  <c r="FT46" i="98" s="1"/>
  <c r="FX46" i="98" s="1"/>
  <c r="U39" i="98"/>
  <c r="FT39" i="98" s="1"/>
  <c r="U37" i="98"/>
  <c r="FT37" i="98" s="1"/>
  <c r="FX37" i="98" s="1"/>
  <c r="U38" i="98"/>
  <c r="FT38" i="98" s="1"/>
  <c r="FX38" i="98" s="1"/>
  <c r="U40" i="98"/>
  <c r="FT40" i="98" s="1"/>
  <c r="FX40" i="98" s="1"/>
  <c r="U41" i="98"/>
  <c r="FT41" i="98" s="1"/>
  <c r="FX41" i="98" s="1"/>
  <c r="U49" i="98"/>
  <c r="FT49" i="98" s="1"/>
  <c r="U47" i="98"/>
  <c r="FT47" i="98" s="1"/>
  <c r="FX47" i="98" s="1"/>
  <c r="R27" i="57"/>
  <c r="AC27" i="57" s="1"/>
  <c r="BC27" i="57" s="1"/>
  <c r="FT30" i="98"/>
  <c r="FX30" i="98" s="1"/>
  <c r="U42" i="98"/>
  <c r="FT42" i="98" s="1"/>
  <c r="FX42" i="98" s="1"/>
  <c r="R25" i="57"/>
  <c r="AC25" i="57" s="1"/>
  <c r="BC25" i="57" s="1"/>
  <c r="HC5" i="1"/>
  <c r="HC6" i="1" s="1"/>
  <c r="BR137" i="130"/>
  <c r="BR76" i="130" s="1"/>
  <c r="AA280" i="1"/>
  <c r="T280" i="1"/>
  <c r="U280" i="1"/>
  <c r="V280" i="1"/>
  <c r="S280" i="1" s="1"/>
  <c r="S168" i="1"/>
  <c r="J64" i="71" s="1"/>
  <c r="J131" i="71" s="1"/>
  <c r="BE100" i="97"/>
  <c r="GY5" i="1"/>
  <c r="GY6" i="1" s="1"/>
  <c r="HY5" i="1"/>
  <c r="HY6" i="1" s="1"/>
  <c r="HT5" i="1"/>
  <c r="HT6" i="1" s="1"/>
  <c r="HK5" i="1"/>
  <c r="HK6" i="1" s="1"/>
  <c r="HU5" i="1"/>
  <c r="HU6" i="1" s="1"/>
  <c r="DQ16" i="1"/>
  <c r="DO71" i="1"/>
  <c r="BY69" i="93" s="1"/>
  <c r="DC69" i="93" s="1"/>
  <c r="LH69" i="93" s="1"/>
  <c r="MO69" i="93" s="1"/>
  <c r="EB70" i="1"/>
  <c r="BX82" i="93" s="1"/>
  <c r="DB82" i="93" s="1"/>
  <c r="LG82" i="93" s="1"/>
  <c r="MN82" i="93" s="1"/>
  <c r="DW76" i="1"/>
  <c r="CD77" i="93" s="1"/>
  <c r="DH77" i="93" s="1"/>
  <c r="LM77" i="93" s="1"/>
  <c r="MT77" i="93" s="1"/>
  <c r="DO68" i="1"/>
  <c r="BV69" i="93" s="1"/>
  <c r="CZ69" i="93" s="1"/>
  <c r="LE69" i="93" s="1"/>
  <c r="ML69" i="93" s="1"/>
  <c r="DL73" i="1"/>
  <c r="CA66" i="93" s="1"/>
  <c r="DE66" i="93" s="1"/>
  <c r="LJ66" i="93" s="1"/>
  <c r="MQ66" i="93" s="1"/>
  <c r="DU72" i="1"/>
  <c r="BZ75" i="93" s="1"/>
  <c r="DD75" i="93" s="1"/>
  <c r="LI75" i="93" s="1"/>
  <c r="MP75" i="93" s="1"/>
  <c r="EA74" i="1"/>
  <c r="CB81" i="93" s="1"/>
  <c r="DF81" i="93" s="1"/>
  <c r="LK81" i="93" s="1"/>
  <c r="MR81" i="93" s="1"/>
  <c r="DZ15" i="1"/>
  <c r="BQ80" i="93" s="1"/>
  <c r="CU80" i="93" s="1"/>
  <c r="AG134" i="130"/>
  <c r="T135" i="130"/>
  <c r="T74" i="130" s="1"/>
  <c r="D166" i="130"/>
  <c r="D105" i="130" s="1"/>
  <c r="BJ161" i="130"/>
  <c r="BJ100" i="130" s="1"/>
  <c r="EM16" i="1"/>
  <c r="DQ71" i="1"/>
  <c r="BY71" i="93" s="1"/>
  <c r="DC71" i="93" s="1"/>
  <c r="LH71" i="93" s="1"/>
  <c r="MO71" i="93" s="1"/>
  <c r="DN69" i="1"/>
  <c r="BW68" i="93" s="1"/>
  <c r="DA68" i="93" s="1"/>
  <c r="LF68" i="93" s="1"/>
  <c r="MM68" i="93" s="1"/>
  <c r="DS71" i="1"/>
  <c r="BY73" i="93" s="1"/>
  <c r="DC73" i="93" s="1"/>
  <c r="LH73" i="93" s="1"/>
  <c r="MO73" i="93" s="1"/>
  <c r="EE75" i="1"/>
  <c r="CC85" i="93" s="1"/>
  <c r="DG85" i="93" s="1"/>
  <c r="LL85" i="93" s="1"/>
  <c r="MS85" i="93" s="1"/>
  <c r="DW68" i="1"/>
  <c r="BV77" i="93" s="1"/>
  <c r="CZ77" i="93" s="1"/>
  <c r="LE77" i="93" s="1"/>
  <c r="ML77" i="93" s="1"/>
  <c r="DT76" i="1"/>
  <c r="CD74" i="93" s="1"/>
  <c r="DH74" i="93" s="1"/>
  <c r="LM74" i="93" s="1"/>
  <c r="MT74" i="93" s="1"/>
  <c r="EI73" i="1"/>
  <c r="CA89" i="93" s="1"/>
  <c r="DE89" i="93" s="1"/>
  <c r="LJ89" i="93" s="1"/>
  <c r="MQ89" i="93" s="1"/>
  <c r="DW73" i="1"/>
  <c r="CA77" i="93" s="1"/>
  <c r="DE77" i="93" s="1"/>
  <c r="LJ77" i="93" s="1"/>
  <c r="MQ77" i="93" s="1"/>
  <c r="X158" i="130"/>
  <c r="X97" i="130" s="1"/>
  <c r="AE134" i="130"/>
  <c r="AE73" i="130" s="1"/>
  <c r="V135" i="130"/>
  <c r="V74" i="130" s="1"/>
  <c r="O145" i="130"/>
  <c r="O84" i="130" s="1"/>
  <c r="EI71" i="1"/>
  <c r="BY89" i="93" s="1"/>
  <c r="DC89" i="93" s="1"/>
  <c r="LH89" i="93" s="1"/>
  <c r="MO89" i="93" s="1"/>
  <c r="DS67" i="1"/>
  <c r="DS69" i="1"/>
  <c r="BW73" i="93" s="1"/>
  <c r="DA73" i="93" s="1"/>
  <c r="LF73" i="93" s="1"/>
  <c r="MM73" i="93" s="1"/>
  <c r="DT72" i="1"/>
  <c r="BZ74" i="93" s="1"/>
  <c r="DD74" i="93" s="1"/>
  <c r="LI74" i="93" s="1"/>
  <c r="MP74" i="93" s="1"/>
  <c r="EI74" i="1"/>
  <c r="CB89" i="93" s="1"/>
  <c r="DF89" i="93" s="1"/>
  <c r="LK89" i="93" s="1"/>
  <c r="MR89" i="93" s="1"/>
  <c r="EG72" i="1"/>
  <c r="BZ87" i="93" s="1"/>
  <c r="DD87" i="93" s="1"/>
  <c r="LI87" i="93" s="1"/>
  <c r="MP87" i="93" s="1"/>
  <c r="H134" i="130"/>
  <c r="H73" i="130" s="1"/>
  <c r="AI145" i="130"/>
  <c r="AI84" i="130" s="1"/>
  <c r="EG16" i="1"/>
  <c r="DT70" i="1"/>
  <c r="BX74" i="93" s="1"/>
  <c r="DB74" i="93" s="1"/>
  <c r="LG74" i="93" s="1"/>
  <c r="MN74" i="93" s="1"/>
  <c r="DM71" i="1"/>
  <c r="BY67" i="93" s="1"/>
  <c r="DC67" i="93" s="1"/>
  <c r="LH67" i="93" s="1"/>
  <c r="MO67" i="93" s="1"/>
  <c r="DM70" i="1"/>
  <c r="BX67" i="93" s="1"/>
  <c r="DB67" i="93" s="1"/>
  <c r="LG67" i="93" s="1"/>
  <c r="MN67" i="93" s="1"/>
  <c r="EF15" i="1"/>
  <c r="BQ86" i="93" s="1"/>
  <c r="CU86" i="93" s="1"/>
  <c r="AB162" i="130"/>
  <c r="AB101" i="130" s="1"/>
  <c r="BS161" i="130"/>
  <c r="BS100" i="130" s="1"/>
  <c r="AD134" i="130"/>
  <c r="AD73" i="130" s="1"/>
  <c r="Y166" i="130"/>
  <c r="Y105" i="130" s="1"/>
  <c r="AY158" i="130"/>
  <c r="AY97" i="130" s="1"/>
  <c r="AJ162" i="130"/>
  <c r="AJ101" i="130" s="1"/>
  <c r="L161" i="130"/>
  <c r="L100" i="130" s="1"/>
  <c r="AB134" i="130"/>
  <c r="AB73" i="130" s="1"/>
  <c r="P145" i="130"/>
  <c r="P84" i="130" s="1"/>
  <c r="BS149" i="130"/>
  <c r="BS88" i="130" s="1"/>
  <c r="I160" i="130"/>
  <c r="I99" i="130" s="1"/>
  <c r="AN140" i="130"/>
  <c r="AN79" i="130" s="1"/>
  <c r="AA314" i="1"/>
  <c r="T314" i="1"/>
  <c r="U314" i="1"/>
  <c r="V314" i="1"/>
  <c r="S314" i="1" s="1"/>
  <c r="HQ5" i="1"/>
  <c r="HQ6" i="1" s="1"/>
  <c r="HD5" i="1"/>
  <c r="HD6" i="1" s="1"/>
  <c r="HG5" i="1"/>
  <c r="HG6" i="1" s="1"/>
  <c r="HV5" i="1"/>
  <c r="HV6" i="1" s="1"/>
  <c r="HF5" i="1"/>
  <c r="HF6" i="1" s="1"/>
  <c r="EJ16" i="1"/>
  <c r="DJ72" i="1"/>
  <c r="BZ64" i="93" s="1"/>
  <c r="DO76" i="1"/>
  <c r="CD69" i="93" s="1"/>
  <c r="DH69" i="93" s="1"/>
  <c r="LM69" i="93" s="1"/>
  <c r="MT69" i="93" s="1"/>
  <c r="DU71" i="1"/>
  <c r="BY75" i="93" s="1"/>
  <c r="DC75" i="93" s="1"/>
  <c r="LH75" i="93" s="1"/>
  <c r="MO75" i="93" s="1"/>
  <c r="DN73" i="1"/>
  <c r="CA68" i="93" s="1"/>
  <c r="DE68" i="93" s="1"/>
  <c r="LJ68" i="93" s="1"/>
  <c r="MQ68" i="93" s="1"/>
  <c r="EM67" i="1"/>
  <c r="EI70" i="1"/>
  <c r="BX89" i="93" s="1"/>
  <c r="DB89" i="93" s="1"/>
  <c r="LG89" i="93" s="1"/>
  <c r="MN89" i="93" s="1"/>
  <c r="EE73" i="1"/>
  <c r="CA85" i="93" s="1"/>
  <c r="DE85" i="93" s="1"/>
  <c r="LJ85" i="93" s="1"/>
  <c r="MQ85" i="93" s="1"/>
  <c r="DU73" i="1"/>
  <c r="CA75" i="93" s="1"/>
  <c r="DE75" i="93" s="1"/>
  <c r="LJ75" i="93" s="1"/>
  <c r="MQ75" i="93" s="1"/>
  <c r="AV151" i="130"/>
  <c r="AV90" i="130" s="1"/>
  <c r="K162" i="130"/>
  <c r="K101" i="130" s="1"/>
  <c r="AO135" i="130"/>
  <c r="AO74" i="130" s="1"/>
  <c r="AD145" i="130"/>
  <c r="AD84" i="130" s="1"/>
  <c r="DW16" i="1"/>
  <c r="DY76" i="1"/>
  <c r="CD79" i="93" s="1"/>
  <c r="DH79" i="93" s="1"/>
  <c r="LM79" i="93" s="1"/>
  <c r="MT79" i="93" s="1"/>
  <c r="DS68" i="1"/>
  <c r="BV73" i="93" s="1"/>
  <c r="CZ73" i="93" s="1"/>
  <c r="LE73" i="93" s="1"/>
  <c r="ML73" i="93" s="1"/>
  <c r="EJ76" i="1"/>
  <c r="CD90" i="93" s="1"/>
  <c r="DH90" i="93" s="1"/>
  <c r="LM90" i="93" s="1"/>
  <c r="MT90" i="93" s="1"/>
  <c r="DS70" i="1"/>
  <c r="BX73" i="93" s="1"/>
  <c r="DB73" i="93" s="1"/>
  <c r="LG73" i="93" s="1"/>
  <c r="MN73" i="93" s="1"/>
  <c r="DK72" i="1"/>
  <c r="BZ65" i="93" s="1"/>
  <c r="DD65" i="93" s="1"/>
  <c r="LI65" i="93" s="1"/>
  <c r="MP65" i="93" s="1"/>
  <c r="EE68" i="1"/>
  <c r="BV85" i="93" s="1"/>
  <c r="CZ85" i="93" s="1"/>
  <c r="LE85" i="93" s="1"/>
  <c r="ML85" i="93" s="1"/>
  <c r="EG67" i="1"/>
  <c r="DS15" i="1"/>
  <c r="BQ73" i="93" s="1"/>
  <c r="CU73" i="93" s="1"/>
  <c r="BQ151" i="130"/>
  <c r="BQ90" i="130" s="1"/>
  <c r="BA162" i="130"/>
  <c r="J166" i="130"/>
  <c r="J105" i="130" s="1"/>
  <c r="BA161" i="130"/>
  <c r="EA16" i="1"/>
  <c r="DM69" i="1"/>
  <c r="BW67" i="93" s="1"/>
  <c r="DA67" i="93" s="1"/>
  <c r="LF67" i="93" s="1"/>
  <c r="MM67" i="93" s="1"/>
  <c r="EA69" i="1"/>
  <c r="BW81" i="93" s="1"/>
  <c r="DA81" i="93" s="1"/>
  <c r="LF81" i="93" s="1"/>
  <c r="MM81" i="93" s="1"/>
  <c r="EI69" i="1"/>
  <c r="BW89" i="93" s="1"/>
  <c r="DA89" i="93" s="1"/>
  <c r="LF89" i="93" s="1"/>
  <c r="MM89" i="93" s="1"/>
  <c r="EG70" i="1"/>
  <c r="BX87" i="93" s="1"/>
  <c r="DB87" i="93" s="1"/>
  <c r="LG87" i="93" s="1"/>
  <c r="MN87" i="93" s="1"/>
  <c r="EM76" i="1"/>
  <c r="CD93" i="93" s="1"/>
  <c r="DH93" i="93" s="1"/>
  <c r="LM93" i="93" s="1"/>
  <c r="MT93" i="93" s="1"/>
  <c r="DQ15" i="1"/>
  <c r="BQ71" i="93" s="1"/>
  <c r="CU71" i="93" s="1"/>
  <c r="AK162" i="130"/>
  <c r="AK101" i="130" s="1"/>
  <c r="U161" i="130"/>
  <c r="U100" i="130" s="1"/>
  <c r="DJ69" i="1"/>
  <c r="BW64" i="93" s="1"/>
  <c r="DZ75" i="1"/>
  <c r="CC80" i="93" s="1"/>
  <c r="DG80" i="93" s="1"/>
  <c r="LL80" i="93" s="1"/>
  <c r="MS80" i="93" s="1"/>
  <c r="DQ70" i="1"/>
  <c r="BX71" i="93" s="1"/>
  <c r="DB71" i="93" s="1"/>
  <c r="LG71" i="93" s="1"/>
  <c r="MN71" i="93" s="1"/>
  <c r="DN67" i="1"/>
  <c r="C151" i="130"/>
  <c r="BE135" i="130"/>
  <c r="BE74" i="130" s="1"/>
  <c r="BG158" i="130"/>
  <c r="BG97" i="130" s="1"/>
  <c r="K134" i="130"/>
  <c r="K73" i="130" s="1"/>
  <c r="BF145" i="130"/>
  <c r="BF84" i="130" s="1"/>
  <c r="AA151" i="130"/>
  <c r="AA90" i="130" s="1"/>
  <c r="BM135" i="130"/>
  <c r="BM74" i="130" s="1"/>
  <c r="AV136" i="130"/>
  <c r="AV75" i="130" s="1"/>
  <c r="BE162" i="130"/>
  <c r="BE101" i="130" s="1"/>
  <c r="BI161" i="130"/>
  <c r="BI100" i="130" s="1"/>
  <c r="AP148" i="130"/>
  <c r="AP87" i="130" s="1"/>
  <c r="AM167" i="130"/>
  <c r="AM106" i="130" s="1"/>
  <c r="AA348" i="1"/>
  <c r="T348" i="1"/>
  <c r="U348" i="1"/>
  <c r="V348" i="1"/>
  <c r="S348" i="1" s="1"/>
  <c r="AA338" i="1"/>
  <c r="T338" i="1"/>
  <c r="U338" i="1"/>
  <c r="V338" i="1"/>
  <c r="S338" i="1" s="1"/>
  <c r="AA286" i="1"/>
  <c r="U286" i="1"/>
  <c r="T286" i="1"/>
  <c r="V286" i="1"/>
  <c r="S286" i="1" s="1"/>
  <c r="AA277" i="1"/>
  <c r="T277" i="1"/>
  <c r="U277" i="1"/>
  <c r="V277" i="1"/>
  <c r="S277" i="1" s="1"/>
  <c r="AA289" i="1"/>
  <c r="T289" i="1"/>
  <c r="U289" i="1"/>
  <c r="V289" i="1"/>
  <c r="S289" i="1" s="1"/>
  <c r="IC5" i="1"/>
  <c r="IC6" i="1" s="1"/>
  <c r="HB5" i="1"/>
  <c r="HB6" i="1" s="1"/>
  <c r="HM5" i="1"/>
  <c r="HM6" i="1" s="1"/>
  <c r="GW5" i="1"/>
  <c r="GW6" i="1" s="1"/>
  <c r="DN16" i="1"/>
  <c r="DJ73" i="1"/>
  <c r="CA64" i="93" s="1"/>
  <c r="DU70" i="1"/>
  <c r="BX75" i="93" s="1"/>
  <c r="DB75" i="93" s="1"/>
  <c r="LG75" i="93" s="1"/>
  <c r="MN75" i="93" s="1"/>
  <c r="DL69" i="1"/>
  <c r="BW66" i="93" s="1"/>
  <c r="DA66" i="93" s="1"/>
  <c r="LF66" i="93" s="1"/>
  <c r="MM66" i="93" s="1"/>
  <c r="DW71" i="1"/>
  <c r="BY77" i="93" s="1"/>
  <c r="DC77" i="93" s="1"/>
  <c r="LH77" i="93" s="1"/>
  <c r="MO77" i="93" s="1"/>
  <c r="DO67" i="1"/>
  <c r="EM70" i="1"/>
  <c r="BX93" i="93" s="1"/>
  <c r="DB93" i="93" s="1"/>
  <c r="LG93" i="93" s="1"/>
  <c r="MN93" i="93" s="1"/>
  <c r="EL68" i="1"/>
  <c r="BV92" i="93" s="1"/>
  <c r="CZ92" i="93" s="1"/>
  <c r="LE92" i="93" s="1"/>
  <c r="ML92" i="93" s="1"/>
  <c r="DK15" i="1"/>
  <c r="BQ65" i="93" s="1"/>
  <c r="CU65" i="93" s="1"/>
  <c r="W151" i="130"/>
  <c r="AI162" i="130"/>
  <c r="AI101" i="130" s="1"/>
  <c r="AX166" i="130"/>
  <c r="AX105" i="130" s="1"/>
  <c r="AG145" i="130"/>
  <c r="EI16" i="1"/>
  <c r="DY70" i="1"/>
  <c r="BX79" i="93" s="1"/>
  <c r="DB79" i="93" s="1"/>
  <c r="LG79" i="93" s="1"/>
  <c r="MN79" i="93" s="1"/>
  <c r="DK69" i="1"/>
  <c r="BW65" i="93" s="1"/>
  <c r="DA65" i="93" s="1"/>
  <c r="LF65" i="93" s="1"/>
  <c r="MM65" i="93" s="1"/>
  <c r="DN70" i="1"/>
  <c r="BX68" i="93" s="1"/>
  <c r="DB68" i="93" s="1"/>
  <c r="LG68" i="93" s="1"/>
  <c r="MN68" i="93" s="1"/>
  <c r="DU68" i="1"/>
  <c r="BV75" i="93" s="1"/>
  <c r="CZ75" i="93" s="1"/>
  <c r="LE75" i="93" s="1"/>
  <c r="ML75" i="93" s="1"/>
  <c r="DS74" i="1"/>
  <c r="CB73" i="93" s="1"/>
  <c r="DF73" i="93" s="1"/>
  <c r="LK73" i="93" s="1"/>
  <c r="MR73" i="93" s="1"/>
  <c r="DQ67" i="1"/>
  <c r="EI72" i="1"/>
  <c r="BZ89" i="93" s="1"/>
  <c r="DD89" i="93" s="1"/>
  <c r="LI89" i="93" s="1"/>
  <c r="MP89" i="93" s="1"/>
  <c r="EG15" i="1"/>
  <c r="BQ87" i="93" s="1"/>
  <c r="CU87" i="93" s="1"/>
  <c r="E151" i="130"/>
  <c r="E90" i="130" s="1"/>
  <c r="BH162" i="130"/>
  <c r="BH101" i="130" s="1"/>
  <c r="AS166" i="130"/>
  <c r="AS105" i="130" s="1"/>
  <c r="BH161" i="130"/>
  <c r="BH100" i="130" s="1"/>
  <c r="EL16" i="1"/>
  <c r="DJ75" i="1"/>
  <c r="CC64" i="93" s="1"/>
  <c r="DW75" i="1"/>
  <c r="CC77" i="93" s="1"/>
  <c r="DG77" i="93" s="1"/>
  <c r="LL77" i="93" s="1"/>
  <c r="MS77" i="93" s="1"/>
  <c r="EG75" i="1"/>
  <c r="CC87" i="93" s="1"/>
  <c r="DG87" i="93" s="1"/>
  <c r="LL87" i="93" s="1"/>
  <c r="MS87" i="93" s="1"/>
  <c r="DL71" i="1"/>
  <c r="BY66" i="93" s="1"/>
  <c r="DC66" i="93" s="1"/>
  <c r="LH66" i="93" s="1"/>
  <c r="MO66" i="93" s="1"/>
  <c r="DZ76" i="1"/>
  <c r="CD80" i="93" s="1"/>
  <c r="DH80" i="93" s="1"/>
  <c r="LM80" i="93" s="1"/>
  <c r="MT80" i="93" s="1"/>
  <c r="DT67" i="1"/>
  <c r="EI15" i="1"/>
  <c r="BQ89" i="93" s="1"/>
  <c r="CU89" i="93" s="1"/>
  <c r="BR135" i="130"/>
  <c r="BR74" i="130" s="1"/>
  <c r="DR68" i="1"/>
  <c r="BV72" i="93" s="1"/>
  <c r="CZ72" i="93" s="1"/>
  <c r="LE72" i="93" s="1"/>
  <c r="ML72" i="93" s="1"/>
  <c r="DO69" i="1"/>
  <c r="BW69" i="93" s="1"/>
  <c r="DA69" i="93" s="1"/>
  <c r="LF69" i="93" s="1"/>
  <c r="MM69" i="93" s="1"/>
  <c r="DY67" i="1"/>
  <c r="DK73" i="1"/>
  <c r="CA65" i="93" s="1"/>
  <c r="DE65" i="93" s="1"/>
  <c r="LJ65" i="93" s="1"/>
  <c r="MQ65" i="93" s="1"/>
  <c r="AT134" i="130"/>
  <c r="AT73" i="130" s="1"/>
  <c r="M166" i="130"/>
  <c r="BO158" i="130"/>
  <c r="BO97" i="130" s="1"/>
  <c r="AN162" i="130"/>
  <c r="AN101" i="130" s="1"/>
  <c r="T161" i="130"/>
  <c r="T100" i="130" s="1"/>
  <c r="AX134" i="130"/>
  <c r="AX73" i="130" s="1"/>
  <c r="U166" i="130"/>
  <c r="U105" i="130" s="1"/>
  <c r="AR158" i="130"/>
  <c r="AR97" i="130" s="1"/>
  <c r="S135" i="130"/>
  <c r="S74" i="130" s="1"/>
  <c r="R136" i="130"/>
  <c r="R75" i="130" s="1"/>
  <c r="W148" i="130"/>
  <c r="AA274" i="1"/>
  <c r="T274" i="1"/>
  <c r="U274" i="1"/>
  <c r="V274" i="1"/>
  <c r="S274" i="1" s="1"/>
  <c r="AA310" i="1"/>
  <c r="T310" i="1"/>
  <c r="U310" i="1"/>
  <c r="V310" i="1"/>
  <c r="S310" i="1" s="1"/>
  <c r="AA220" i="1"/>
  <c r="U220" i="1"/>
  <c r="T220" i="1"/>
  <c r="V220" i="1"/>
  <c r="S220" i="1" s="1"/>
  <c r="DW72" i="1"/>
  <c r="BZ77" i="93" s="1"/>
  <c r="DD77" i="93" s="1"/>
  <c r="LI77" i="93" s="1"/>
  <c r="MP77" i="93" s="1"/>
  <c r="DL72" i="1"/>
  <c r="BZ66" i="93" s="1"/>
  <c r="DD66" i="93" s="1"/>
  <c r="LI66" i="93" s="1"/>
  <c r="MP66" i="93" s="1"/>
  <c r="DK71" i="1"/>
  <c r="BY65" i="93" s="1"/>
  <c r="DC65" i="93" s="1"/>
  <c r="LH65" i="93" s="1"/>
  <c r="MO65" i="93" s="1"/>
  <c r="DQ68" i="1"/>
  <c r="BV71" i="93" s="1"/>
  <c r="CZ71" i="93" s="1"/>
  <c r="LE71" i="93" s="1"/>
  <c r="ML71" i="93" s="1"/>
  <c r="EE71" i="1"/>
  <c r="BY85" i="93" s="1"/>
  <c r="DC85" i="93" s="1"/>
  <c r="LH85" i="93" s="1"/>
  <c r="MO85" i="93" s="1"/>
  <c r="DY69" i="1"/>
  <c r="BW79" i="93" s="1"/>
  <c r="DA79" i="93" s="1"/>
  <c r="LF79" i="93" s="1"/>
  <c r="MM79" i="93" s="1"/>
  <c r="EF72" i="1"/>
  <c r="BZ86" i="93" s="1"/>
  <c r="DD86" i="93" s="1"/>
  <c r="LI86" i="93" s="1"/>
  <c r="MP86" i="93" s="1"/>
  <c r="EA70" i="1"/>
  <c r="BX81" i="93" s="1"/>
  <c r="DB81" i="93" s="1"/>
  <c r="LG81" i="93" s="1"/>
  <c r="MN81" i="93" s="1"/>
  <c r="EB71" i="1"/>
  <c r="BY82" i="93" s="1"/>
  <c r="DC82" i="93" s="1"/>
  <c r="LH82" i="93" s="1"/>
  <c r="MO82" i="93" s="1"/>
  <c r="DJ71" i="1"/>
  <c r="BY64" i="93" s="1"/>
  <c r="DO16" i="1"/>
  <c r="AB161" i="130"/>
  <c r="AB100" i="130" s="1"/>
  <c r="BJ145" i="130"/>
  <c r="BJ84" i="130" s="1"/>
  <c r="AC166" i="130"/>
  <c r="AC105" i="130" s="1"/>
  <c r="AR162" i="130"/>
  <c r="AR101" i="130" s="1"/>
  <c r="BJ134" i="130"/>
  <c r="BJ73" i="130" s="1"/>
  <c r="L151" i="130"/>
  <c r="L90" i="130" s="1"/>
  <c r="DN68" i="1"/>
  <c r="BV68" i="93" s="1"/>
  <c r="CZ68" i="93" s="1"/>
  <c r="LE68" i="93" s="1"/>
  <c r="ML68" i="93" s="1"/>
  <c r="DL70" i="1"/>
  <c r="BX66" i="93" s="1"/>
  <c r="DB66" i="93" s="1"/>
  <c r="LG66" i="93" s="1"/>
  <c r="MN66" i="93" s="1"/>
  <c r="EL67" i="1"/>
  <c r="DO72" i="1"/>
  <c r="BZ69" i="93" s="1"/>
  <c r="DD69" i="93" s="1"/>
  <c r="LI69" i="93" s="1"/>
  <c r="MP69" i="93" s="1"/>
  <c r="N162" i="130"/>
  <c r="N101" i="130" s="1"/>
  <c r="AV134" i="130"/>
  <c r="AV73" i="130" s="1"/>
  <c r="Z151" i="130"/>
  <c r="Z90" i="130" s="1"/>
  <c r="BL158" i="130"/>
  <c r="BL97" i="130" s="1"/>
  <c r="BM158" i="130"/>
  <c r="BM97" i="130" s="1"/>
  <c r="J161" i="130"/>
  <c r="J100" i="130" s="1"/>
  <c r="BT161" i="130"/>
  <c r="BT100" i="130" s="1"/>
  <c r="AJ145" i="130"/>
  <c r="AJ84" i="130" s="1"/>
  <c r="AY166" i="130"/>
  <c r="AY105" i="130" s="1"/>
  <c r="AQ135" i="130"/>
  <c r="V162" i="130"/>
  <c r="V101" i="130" s="1"/>
  <c r="AZ134" i="130"/>
  <c r="AZ73" i="130" s="1"/>
  <c r="AD151" i="130"/>
  <c r="AD90" i="130" s="1"/>
  <c r="BP158" i="130"/>
  <c r="BP97" i="130" s="1"/>
  <c r="H158" i="130"/>
  <c r="H97" i="130" s="1"/>
  <c r="BE136" i="130"/>
  <c r="BE75" i="130" s="1"/>
  <c r="BF147" i="130"/>
  <c r="BF86" i="130" s="1"/>
  <c r="X136" i="130"/>
  <c r="X75" i="130" s="1"/>
  <c r="DZ69" i="1"/>
  <c r="BW80" i="93" s="1"/>
  <c r="DA80" i="93" s="1"/>
  <c r="LF80" i="93" s="1"/>
  <c r="MM80" i="93" s="1"/>
  <c r="DT69" i="1"/>
  <c r="BW74" i="93" s="1"/>
  <c r="DA74" i="93" s="1"/>
  <c r="LF74" i="93" s="1"/>
  <c r="MM74" i="93" s="1"/>
  <c r="EA75" i="1"/>
  <c r="CC81" i="93" s="1"/>
  <c r="DG81" i="93" s="1"/>
  <c r="LL81" i="93" s="1"/>
  <c r="MS81" i="93" s="1"/>
  <c r="DN75" i="1"/>
  <c r="CC68" i="93" s="1"/>
  <c r="DG68" i="93" s="1"/>
  <c r="LL68" i="93" s="1"/>
  <c r="MS68" i="93" s="1"/>
  <c r="DS16" i="1"/>
  <c r="HI5" i="1"/>
  <c r="HI6" i="1" s="1"/>
  <c r="II5" i="1"/>
  <c r="II6" i="1" s="1"/>
  <c r="IA5" i="1"/>
  <c r="IA6" i="1" s="1"/>
  <c r="HJ5" i="1"/>
  <c r="HJ6" i="1" s="1"/>
  <c r="HH5" i="1"/>
  <c r="HH6" i="1" s="1"/>
  <c r="IE5" i="1"/>
  <c r="IE6" i="1" s="1"/>
  <c r="HE5" i="1"/>
  <c r="HE6" i="1" s="1"/>
  <c r="HX5" i="1"/>
  <c r="HX6" i="1" s="1"/>
  <c r="HA5" i="1"/>
  <c r="HA6" i="1" s="1"/>
  <c r="HS5" i="1"/>
  <c r="HS6" i="1" s="1"/>
  <c r="F135" i="130"/>
  <c r="F74" i="130" s="1"/>
  <c r="O134" i="130"/>
  <c r="O73" i="130" s="1"/>
  <c r="EJ15" i="1"/>
  <c r="BQ90" i="93" s="1"/>
  <c r="CU90" i="93" s="1"/>
  <c r="EM72" i="1"/>
  <c r="BZ93" i="93" s="1"/>
  <c r="DD93" i="93" s="1"/>
  <c r="LI93" i="93" s="1"/>
  <c r="MP93" i="93" s="1"/>
  <c r="DY72" i="1"/>
  <c r="BZ79" i="93" s="1"/>
  <c r="DD79" i="93" s="1"/>
  <c r="LI79" i="93" s="1"/>
  <c r="MP79" i="93" s="1"/>
  <c r="DS73" i="1"/>
  <c r="CA73" i="93" s="1"/>
  <c r="DE73" i="93" s="1"/>
  <c r="LJ73" i="93" s="1"/>
  <c r="MQ73" i="93" s="1"/>
  <c r="DK70" i="1"/>
  <c r="BX65" i="93" s="1"/>
  <c r="DB65" i="93" s="1"/>
  <c r="LG65" i="93" s="1"/>
  <c r="MN65" i="93" s="1"/>
  <c r="HZ5" i="1"/>
  <c r="HZ6" i="1" s="1"/>
  <c r="IH5" i="1"/>
  <c r="IH6" i="1" s="1"/>
  <c r="HN5" i="1"/>
  <c r="HN6" i="1" s="1"/>
  <c r="GX5" i="1"/>
  <c r="GX6" i="1" s="1"/>
  <c r="IB5" i="1"/>
  <c r="IB6" i="1" s="1"/>
  <c r="DQ74" i="1"/>
  <c r="CB71" i="93" s="1"/>
  <c r="DF71" i="93" s="1"/>
  <c r="LK71" i="93" s="1"/>
  <c r="MR71" i="93" s="1"/>
  <c r="EL71" i="1"/>
  <c r="BY92" i="93" s="1"/>
  <c r="DC92" i="93" s="1"/>
  <c r="LH92" i="93" s="1"/>
  <c r="MO92" i="93" s="1"/>
  <c r="DU75" i="1"/>
  <c r="CC75" i="93" s="1"/>
  <c r="DG75" i="93" s="1"/>
  <c r="LL75" i="93" s="1"/>
  <c r="MS75" i="93" s="1"/>
  <c r="EL70" i="1"/>
  <c r="BX92" i="93" s="1"/>
  <c r="DB92" i="93" s="1"/>
  <c r="LG92" i="93" s="1"/>
  <c r="MN92" i="93" s="1"/>
  <c r="DM73" i="1"/>
  <c r="CA67" i="93" s="1"/>
  <c r="DE67" i="93" s="1"/>
  <c r="LJ67" i="93" s="1"/>
  <c r="MQ67" i="93" s="1"/>
  <c r="DX67" i="1"/>
  <c r="DX72" i="1"/>
  <c r="BZ78" i="93" s="1"/>
  <c r="DD78" i="93" s="1"/>
  <c r="LI78" i="93" s="1"/>
  <c r="MP78" i="93" s="1"/>
  <c r="DO15" i="1"/>
  <c r="BQ69" i="93" s="1"/>
  <c r="CU69" i="93" s="1"/>
  <c r="Z134" i="130"/>
  <c r="Z73" i="130" s="1"/>
  <c r="L162" i="130"/>
  <c r="L101" i="130" s="1"/>
  <c r="BP166" i="130"/>
  <c r="BP105" i="130" s="1"/>
  <c r="BC161" i="130"/>
  <c r="BC100" i="130" s="1"/>
  <c r="EB73" i="1"/>
  <c r="CA82" i="93" s="1"/>
  <c r="DE82" i="93" s="1"/>
  <c r="LJ82" i="93" s="1"/>
  <c r="MQ82" i="93" s="1"/>
  <c r="EJ73" i="1"/>
  <c r="CA90" i="93" s="1"/>
  <c r="DE90" i="93" s="1"/>
  <c r="LJ90" i="93" s="1"/>
  <c r="MQ90" i="93" s="1"/>
  <c r="EL69" i="1"/>
  <c r="BW92" i="93" s="1"/>
  <c r="DA92" i="93" s="1"/>
  <c r="LF92" i="93" s="1"/>
  <c r="MM92" i="93" s="1"/>
  <c r="EG69" i="1"/>
  <c r="BW87" i="93" s="1"/>
  <c r="DA87" i="93" s="1"/>
  <c r="LF87" i="93" s="1"/>
  <c r="MM87" i="93" s="1"/>
  <c r="DM68" i="1"/>
  <c r="BV67" i="93" s="1"/>
  <c r="CZ67" i="93" s="1"/>
  <c r="LE67" i="93" s="1"/>
  <c r="ML67" i="93" s="1"/>
  <c r="DM75" i="1"/>
  <c r="CC67" i="93" s="1"/>
  <c r="DG67" i="93" s="1"/>
  <c r="LL67" i="93" s="1"/>
  <c r="MS67" i="93" s="1"/>
  <c r="DR74" i="1"/>
  <c r="CB72" i="93" s="1"/>
  <c r="DF72" i="93" s="1"/>
  <c r="LK72" i="93" s="1"/>
  <c r="MR72" i="93" s="1"/>
  <c r="EM73" i="1"/>
  <c r="CA93" i="93" s="1"/>
  <c r="DE93" i="93" s="1"/>
  <c r="LJ93" i="93" s="1"/>
  <c r="MQ93" i="93" s="1"/>
  <c r="EE15" i="1"/>
  <c r="BQ85" i="93" s="1"/>
  <c r="CU85" i="93" s="1"/>
  <c r="X134" i="130"/>
  <c r="X73" i="130" s="1"/>
  <c r="O135" i="130"/>
  <c r="O74" i="130" s="1"/>
  <c r="BO145" i="130"/>
  <c r="BO84" i="130" s="1"/>
  <c r="EE16" i="1"/>
  <c r="DJ70" i="1"/>
  <c r="BX64" i="93" s="1"/>
  <c r="DW70" i="1"/>
  <c r="BX77" i="93" s="1"/>
  <c r="DB77" i="93" s="1"/>
  <c r="LG77" i="93" s="1"/>
  <c r="MN77" i="93" s="1"/>
  <c r="DX71" i="1"/>
  <c r="BY78" i="93" s="1"/>
  <c r="DC78" i="93" s="1"/>
  <c r="LH78" i="93" s="1"/>
  <c r="MO78" i="93" s="1"/>
  <c r="DZ70" i="1"/>
  <c r="BX80" i="93" s="1"/>
  <c r="DB80" i="93" s="1"/>
  <c r="LG80" i="93" s="1"/>
  <c r="MN80" i="93" s="1"/>
  <c r="DL68" i="1"/>
  <c r="BV66" i="93" s="1"/>
  <c r="CZ66" i="93" s="1"/>
  <c r="LE66" i="93" s="1"/>
  <c r="ML66" i="93" s="1"/>
  <c r="DR73" i="1"/>
  <c r="CA72" i="93" s="1"/>
  <c r="DE72" i="93" s="1"/>
  <c r="LJ72" i="93" s="1"/>
  <c r="MQ72" i="93" s="1"/>
  <c r="BA151" i="130"/>
  <c r="AT166" i="130"/>
  <c r="AT105" i="130" s="1"/>
  <c r="EL76" i="1"/>
  <c r="CD92" i="93" s="1"/>
  <c r="DH92" i="93" s="1"/>
  <c r="LM92" i="93" s="1"/>
  <c r="MT92" i="93" s="1"/>
  <c r="DO70" i="1"/>
  <c r="BX69" i="93" s="1"/>
  <c r="DB69" i="93" s="1"/>
  <c r="LG69" i="93" s="1"/>
  <c r="MN69" i="93" s="1"/>
  <c r="DX73" i="1"/>
  <c r="CA78" i="93" s="1"/>
  <c r="DE78" i="93" s="1"/>
  <c r="LJ78" i="93" s="1"/>
  <c r="MQ78" i="93" s="1"/>
  <c r="EE72" i="1"/>
  <c r="BZ85" i="93" s="1"/>
  <c r="DD85" i="93" s="1"/>
  <c r="LI85" i="93" s="1"/>
  <c r="MP85" i="93" s="1"/>
  <c r="CJ134" i="130"/>
  <c r="AT145" i="130"/>
  <c r="AT84" i="130" s="1"/>
  <c r="AQ151" i="130"/>
  <c r="BQ135" i="130"/>
  <c r="BQ74" i="130" s="1"/>
  <c r="BH136" i="130"/>
  <c r="BH75" i="130" s="1"/>
  <c r="G134" i="130"/>
  <c r="G73" i="130" s="1"/>
  <c r="BB145" i="130"/>
  <c r="BB84" i="130" s="1"/>
  <c r="F151" i="130"/>
  <c r="F90" i="130" s="1"/>
  <c r="Z166" i="130"/>
  <c r="Z105" i="130" s="1"/>
  <c r="AZ147" i="130"/>
  <c r="AZ86" i="130" s="1"/>
  <c r="AZ164" i="130"/>
  <c r="AZ103" i="130" s="1"/>
  <c r="N142" i="130"/>
  <c r="N81" i="130" s="1"/>
  <c r="AA224" i="1"/>
  <c r="U224" i="1"/>
  <c r="T224" i="1"/>
  <c r="V224" i="1"/>
  <c r="S224" i="1" s="1"/>
  <c r="AA255" i="1"/>
  <c r="T255" i="1"/>
  <c r="U255" i="1"/>
  <c r="V255" i="1"/>
  <c r="S255" i="1" s="1"/>
  <c r="AA193" i="1"/>
  <c r="U193" i="1"/>
  <c r="T193" i="1"/>
  <c r="V193" i="1"/>
  <c r="S193" i="1" s="1"/>
  <c r="Q38" i="57"/>
  <c r="S36" i="57"/>
  <c r="AD36" i="57" s="1"/>
  <c r="BD36" i="57" s="1"/>
  <c r="Q36" i="57"/>
  <c r="S29" i="57"/>
  <c r="AD29" i="57" s="1"/>
  <c r="BD29" i="57" s="1"/>
  <c r="S31" i="57"/>
  <c r="AD31" i="57" s="1"/>
  <c r="BD31" i="57" s="1"/>
  <c r="S39" i="57"/>
  <c r="AD39" i="57" s="1"/>
  <c r="BD39" i="57" s="1"/>
  <c r="BK133" i="130"/>
  <c r="BK72" i="130" s="1"/>
  <c r="BL133" i="130"/>
  <c r="BL72" i="130" s="1"/>
  <c r="I133" i="130"/>
  <c r="I72" i="130" s="1"/>
  <c r="L133" i="130"/>
  <c r="P133" i="130"/>
  <c r="P72" i="130" s="1"/>
  <c r="BP156" i="130"/>
  <c r="BP95" i="130" s="1"/>
  <c r="AV152" i="130"/>
  <c r="AV91" i="130" s="1"/>
  <c r="W163" i="130"/>
  <c r="BK139" i="130"/>
  <c r="BK78" i="130" s="1"/>
  <c r="U156" i="130"/>
  <c r="U95" i="130" s="1"/>
  <c r="AS152" i="130"/>
  <c r="AS91" i="130" s="1"/>
  <c r="AN163" i="130"/>
  <c r="AN102" i="130" s="1"/>
  <c r="BH139" i="130"/>
  <c r="BH78" i="130" s="1"/>
  <c r="AZ138" i="130"/>
  <c r="AZ77" i="130" s="1"/>
  <c r="BH156" i="130"/>
  <c r="BH95" i="130" s="1"/>
  <c r="AN152" i="130"/>
  <c r="AN91" i="130" s="1"/>
  <c r="O163" i="130"/>
  <c r="O102" i="130" s="1"/>
  <c r="BC139" i="130"/>
  <c r="BC78" i="130" s="1"/>
  <c r="M163" i="130"/>
  <c r="AV138" i="130"/>
  <c r="AV77" i="130" s="1"/>
  <c r="AL143" i="130"/>
  <c r="AL82" i="130" s="1"/>
  <c r="BM133" i="130"/>
  <c r="BM72" i="130" s="1"/>
  <c r="BQ133" i="130"/>
  <c r="BQ72" i="130" s="1"/>
  <c r="CJ133" i="130"/>
  <c r="C133" i="130"/>
  <c r="K133" i="130"/>
  <c r="AS156" i="130"/>
  <c r="AS95" i="130" s="1"/>
  <c r="BL152" i="130"/>
  <c r="BL91" i="130" s="1"/>
  <c r="AM163" i="130"/>
  <c r="AM102" i="130" s="1"/>
  <c r="H139" i="130"/>
  <c r="H78" i="130" s="1"/>
  <c r="BB156" i="130"/>
  <c r="BB95" i="130" s="1"/>
  <c r="Z152" i="130"/>
  <c r="Z91" i="130" s="1"/>
  <c r="BT163" i="130"/>
  <c r="BT102" i="130" s="1"/>
  <c r="E139" i="130"/>
  <c r="E78" i="130" s="1"/>
  <c r="I138" i="130"/>
  <c r="I77" i="130" s="1"/>
  <c r="M156" i="130"/>
  <c r="BD152" i="130"/>
  <c r="BD91" i="130" s="1"/>
  <c r="AE163" i="130"/>
  <c r="AE102" i="130" s="1"/>
  <c r="BS139" i="130"/>
  <c r="BS78" i="130" s="1"/>
  <c r="BH163" i="130"/>
  <c r="BH102" i="130" s="1"/>
  <c r="M138" i="130"/>
  <c r="BB143" i="130"/>
  <c r="BB82" i="130" s="1"/>
  <c r="T150" i="130"/>
  <c r="T89" i="130" s="1"/>
  <c r="U133" i="130"/>
  <c r="V133" i="130"/>
  <c r="M133" i="130"/>
  <c r="N133" i="130"/>
  <c r="N72" i="130" s="1"/>
  <c r="Q156" i="130"/>
  <c r="Q95" i="130" s="1"/>
  <c r="P152" i="130"/>
  <c r="P91" i="130" s="1"/>
  <c r="BJ163" i="130"/>
  <c r="BJ102" i="130" s="1"/>
  <c r="AE139" i="130"/>
  <c r="AE78" i="130" s="1"/>
  <c r="AH156" i="130"/>
  <c r="AH95" i="130" s="1"/>
  <c r="Y152" i="130"/>
  <c r="Y91" i="130" s="1"/>
  <c r="BG163" i="130"/>
  <c r="BG102" i="130" s="1"/>
  <c r="AB139" i="130"/>
  <c r="AB78" i="130" s="1"/>
  <c r="T138" i="130"/>
  <c r="T77" i="130" s="1"/>
  <c r="AZ156" i="130"/>
  <c r="AZ95" i="130" s="1"/>
  <c r="H152" i="130"/>
  <c r="H91" i="130" s="1"/>
  <c r="BB163" i="130"/>
  <c r="BB102" i="130" s="1"/>
  <c r="W139" i="130"/>
  <c r="C163" i="130"/>
  <c r="H138" i="130"/>
  <c r="H77" i="130" s="1"/>
  <c r="F143" i="130"/>
  <c r="F82" i="130" s="1"/>
  <c r="AQ150" i="130"/>
  <c r="Q33" i="57"/>
  <c r="S32" i="57"/>
  <c r="AD32" i="57" s="1"/>
  <c r="BD32" i="57" s="1"/>
  <c r="S38" i="57"/>
  <c r="AD38" i="57" s="1"/>
  <c r="BD38" i="57" s="1"/>
  <c r="Q39" i="57"/>
  <c r="BD133" i="130"/>
  <c r="BD72" i="130" s="1"/>
  <c r="BE133" i="130"/>
  <c r="BE72" i="130" s="1"/>
  <c r="BA133" i="130"/>
  <c r="BB133" i="130"/>
  <c r="BB72" i="130" s="1"/>
  <c r="G133" i="130"/>
  <c r="G72" i="130" s="1"/>
  <c r="E156" i="130"/>
  <c r="E95" i="130" s="1"/>
  <c r="AC152" i="130"/>
  <c r="AC91" i="130" s="1"/>
  <c r="AF163" i="130"/>
  <c r="AF102" i="130" s="1"/>
  <c r="W156" i="130"/>
  <c r="BS156" i="130"/>
  <c r="BS95" i="130" s="1"/>
  <c r="AT152" i="130"/>
  <c r="AT91" i="130" s="1"/>
  <c r="Q163" i="130"/>
  <c r="Q102" i="130" s="1"/>
  <c r="AD139" i="130"/>
  <c r="AD78" i="130" s="1"/>
  <c r="BI138" i="130"/>
  <c r="BI77" i="130" s="1"/>
  <c r="BM156" i="130"/>
  <c r="BM95" i="130" s="1"/>
  <c r="BM152" i="130"/>
  <c r="BM91" i="130" s="1"/>
  <c r="P163" i="130"/>
  <c r="P102" i="130" s="1"/>
  <c r="CJ156" i="130"/>
  <c r="BD139" i="130"/>
  <c r="BD78" i="130" s="1"/>
  <c r="AP138" i="130"/>
  <c r="AP77" i="130" s="1"/>
  <c r="BG143" i="130"/>
  <c r="BG82" i="130" s="1"/>
  <c r="AQ133" i="130"/>
  <c r="AR133" i="130"/>
  <c r="AR72" i="130" s="1"/>
  <c r="BC133" i="130"/>
  <c r="BC72" i="130" s="1"/>
  <c r="BG133" i="130"/>
  <c r="BG72" i="130" s="1"/>
  <c r="T133" i="130"/>
  <c r="V156" i="130"/>
  <c r="V95" i="130" s="1"/>
  <c r="R152" i="130"/>
  <c r="R91" i="130" s="1"/>
  <c r="BL163" i="130"/>
  <c r="BL102" i="130" s="1"/>
  <c r="AM156" i="130"/>
  <c r="AM95" i="130" s="1"/>
  <c r="K152" i="130"/>
  <c r="K91" i="130" s="1"/>
  <c r="V152" i="130"/>
  <c r="V91" i="130" s="1"/>
  <c r="AW163" i="130"/>
  <c r="AW102" i="130" s="1"/>
  <c r="BJ139" i="130"/>
  <c r="BJ78" i="130" s="1"/>
  <c r="AH138" i="130"/>
  <c r="AH77" i="130" s="1"/>
  <c r="AK156" i="130"/>
  <c r="AK95" i="130" s="1"/>
  <c r="BI152" i="130"/>
  <c r="BI91" i="130" s="1"/>
  <c r="AV163" i="130"/>
  <c r="AV102" i="130" s="1"/>
  <c r="H156" i="130"/>
  <c r="H95" i="130" s="1"/>
  <c r="M139" i="130"/>
  <c r="BR138" i="130"/>
  <c r="BR77" i="130" s="1"/>
  <c r="W143" i="130"/>
  <c r="BO133" i="130"/>
  <c r="BO72" i="130" s="1"/>
  <c r="BS133" i="130"/>
  <c r="BP133" i="130"/>
  <c r="BP72" i="130" s="1"/>
  <c r="BT133" i="130"/>
  <c r="J133" i="130"/>
  <c r="Z156" i="130"/>
  <c r="Z95" i="130" s="1"/>
  <c r="Q152" i="130"/>
  <c r="Q91" i="130" s="1"/>
  <c r="BC163" i="130"/>
  <c r="BC102" i="130" s="1"/>
  <c r="X139" i="130"/>
  <c r="X78" i="130" s="1"/>
  <c r="AT156" i="130"/>
  <c r="AT95" i="130" s="1"/>
  <c r="BF152" i="130"/>
  <c r="BF91" i="130" s="1"/>
  <c r="AZ163" i="130"/>
  <c r="AZ102" i="130" s="1"/>
  <c r="AK139" i="130"/>
  <c r="AK78" i="130" s="1"/>
  <c r="Y138" i="130"/>
  <c r="Y77" i="130" s="1"/>
  <c r="J156" i="130"/>
  <c r="J95" i="130" s="1"/>
  <c r="BT152" i="130"/>
  <c r="BT91" i="130" s="1"/>
  <c r="AU163" i="130"/>
  <c r="AU102" i="130" s="1"/>
  <c r="P139" i="130"/>
  <c r="P78" i="130" s="1"/>
  <c r="AQ139" i="130"/>
  <c r="AG138" i="130"/>
  <c r="BR143" i="130"/>
  <c r="BR82" i="130" s="1"/>
  <c r="AJ150" i="130"/>
  <c r="AJ89" i="130" s="1"/>
  <c r="S28" i="57"/>
  <c r="AD28" i="57" s="1"/>
  <c r="BD28" i="57" s="1"/>
  <c r="S33" i="57"/>
  <c r="AD33" i="57" s="1"/>
  <c r="BD33" i="57" s="1"/>
  <c r="Q35" i="57"/>
  <c r="S37" i="57"/>
  <c r="AD37" i="57" s="1"/>
  <c r="BD37" i="57" s="1"/>
  <c r="S35" i="57"/>
  <c r="AD35" i="57" s="1"/>
  <c r="BD35" i="57" s="1"/>
  <c r="AA168" i="1"/>
  <c r="CZ168" i="1" s="1"/>
  <c r="AL133" i="130"/>
  <c r="AL72" i="130" s="1"/>
  <c r="AI133" i="130"/>
  <c r="AI72" i="130" s="1"/>
  <c r="AW133" i="130"/>
  <c r="AW72" i="130" s="1"/>
  <c r="AU133" i="130"/>
  <c r="AU72" i="130" s="1"/>
  <c r="S156" i="130"/>
  <c r="S95" i="130" s="1"/>
  <c r="N156" i="130"/>
  <c r="N95" i="130" s="1"/>
  <c r="N152" i="130"/>
  <c r="N91" i="130" s="1"/>
  <c r="I163" i="130"/>
  <c r="I102" i="130" s="1"/>
  <c r="AF156" i="130"/>
  <c r="AF95" i="130" s="1"/>
  <c r="BG152" i="130"/>
  <c r="BG91" i="130" s="1"/>
  <c r="AH163" i="130"/>
  <c r="AH102" i="130" s="1"/>
  <c r="C139" i="130"/>
  <c r="J139" i="130"/>
  <c r="J78" i="130" s="1"/>
  <c r="K156" i="130"/>
  <c r="K95" i="130" s="1"/>
  <c r="AL156" i="130"/>
  <c r="AL95" i="130" s="1"/>
  <c r="BA152" i="130"/>
  <c r="BA163" i="130"/>
  <c r="AD156" i="130"/>
  <c r="AD95" i="130" s="1"/>
  <c r="BR139" i="130"/>
  <c r="BR78" i="130" s="1"/>
  <c r="BK138" i="130"/>
  <c r="BK77" i="130" s="1"/>
  <c r="AF143" i="130"/>
  <c r="AF82" i="130" s="1"/>
  <c r="AO133" i="130"/>
  <c r="AP133" i="130"/>
  <c r="AG133" i="130"/>
  <c r="AH133" i="130"/>
  <c r="AH72" i="130" s="1"/>
  <c r="AI156" i="130"/>
  <c r="AI95" i="130" s="1"/>
  <c r="G152" i="130"/>
  <c r="G91" i="130" s="1"/>
  <c r="BR152" i="130"/>
  <c r="BR91" i="130" s="1"/>
  <c r="AO163" i="130"/>
  <c r="AO102" i="130" s="1"/>
  <c r="AV156" i="130"/>
  <c r="AV95" i="130" s="1"/>
  <c r="D152" i="130"/>
  <c r="D91" i="130" s="1"/>
  <c r="AX163" i="130"/>
  <c r="AX102" i="130" s="1"/>
  <c r="S139" i="130"/>
  <c r="S78" i="130" s="1"/>
  <c r="R139" i="130"/>
  <c r="R78" i="130" s="1"/>
  <c r="AA156" i="130"/>
  <c r="AA95" i="130" s="1"/>
  <c r="CJ152" i="130"/>
  <c r="AD152" i="130"/>
  <c r="AD91" i="130" s="1"/>
  <c r="Y163" i="130"/>
  <c r="Y102" i="130" s="1"/>
  <c r="AI152" i="130"/>
  <c r="AI91" i="130" s="1"/>
  <c r="I139" i="130"/>
  <c r="I78" i="130" s="1"/>
  <c r="BB138" i="130"/>
  <c r="BB77" i="130" s="1"/>
  <c r="AZ143" i="130"/>
  <c r="AZ82" i="130" s="1"/>
  <c r="AT133" i="130"/>
  <c r="AT72" i="130" s="1"/>
  <c r="AX133" i="130"/>
  <c r="BI133" i="130"/>
  <c r="BJ133" i="130"/>
  <c r="F133" i="130"/>
  <c r="F72" i="130" s="1"/>
  <c r="BJ156" i="130"/>
  <c r="BJ95" i="130" s="1"/>
  <c r="AX152" i="130"/>
  <c r="AX91" i="130" s="1"/>
  <c r="AJ163" i="130"/>
  <c r="AJ102" i="130" s="1"/>
  <c r="BC156" i="130"/>
  <c r="BC95" i="130" s="1"/>
  <c r="AA152" i="130"/>
  <c r="AA91" i="130" s="1"/>
  <c r="CJ163" i="130"/>
  <c r="AB163" i="130"/>
  <c r="AB102" i="130" s="1"/>
  <c r="AW139" i="130"/>
  <c r="AW78" i="130" s="1"/>
  <c r="BJ138" i="130"/>
  <c r="BJ77" i="130" s="1"/>
  <c r="BN156" i="130"/>
  <c r="BN95" i="130" s="1"/>
  <c r="AH152" i="130"/>
  <c r="AH91" i="130" s="1"/>
  <c r="D163" i="130"/>
  <c r="D102" i="130" s="1"/>
  <c r="AO156" i="130"/>
  <c r="AO95" i="130" s="1"/>
  <c r="BA139" i="130"/>
  <c r="Z138" i="130"/>
  <c r="Z77" i="130" s="1"/>
  <c r="BC143" i="130"/>
  <c r="BC82" i="130" s="1"/>
  <c r="BF133" i="130"/>
  <c r="BF72" i="130" s="1"/>
  <c r="BH133" i="130"/>
  <c r="BN133" i="130"/>
  <c r="BN72" i="130" s="1"/>
  <c r="S34" i="57"/>
  <c r="AD34" i="57" s="1"/>
  <c r="BD34" i="57" s="1"/>
  <c r="Q37" i="57"/>
  <c r="Q32" i="57"/>
  <c r="Q34" i="57"/>
  <c r="AC133" i="130"/>
  <c r="AC72" i="130" s="1"/>
  <c r="Z133" i="130"/>
  <c r="Z72" i="130" s="1"/>
  <c r="AB133" i="130"/>
  <c r="AB72" i="130" s="1"/>
  <c r="Y133" i="130"/>
  <c r="Y72" i="130" s="1"/>
  <c r="AB156" i="130"/>
  <c r="AB95" i="130" s="1"/>
  <c r="BC152" i="130"/>
  <c r="BC91" i="130" s="1"/>
  <c r="AD163" i="130"/>
  <c r="AD102" i="130" s="1"/>
  <c r="CJ139" i="130"/>
  <c r="BT156" i="130"/>
  <c r="BT95" i="130" s="1"/>
  <c r="AZ152" i="130"/>
  <c r="AZ91" i="130" s="1"/>
  <c r="AA163" i="130"/>
  <c r="AA102" i="130" s="1"/>
  <c r="BO139" i="130"/>
  <c r="BO78" i="130" s="1"/>
  <c r="AM138" i="130"/>
  <c r="AM77" i="130" s="1"/>
  <c r="T156" i="130"/>
  <c r="T95" i="130" s="1"/>
  <c r="AU152" i="130"/>
  <c r="AU91" i="130" s="1"/>
  <c r="V163" i="130"/>
  <c r="V102" i="130" s="1"/>
  <c r="AK163" i="130"/>
  <c r="AK102" i="130" s="1"/>
  <c r="E152" i="130"/>
  <c r="E91" i="130" s="1"/>
  <c r="O138" i="130"/>
  <c r="O77" i="130" s="1"/>
  <c r="AO143" i="130"/>
  <c r="AO82" i="130" s="1"/>
  <c r="K150" i="130"/>
  <c r="K89" i="130" s="1"/>
  <c r="R133" i="130"/>
  <c r="R72" i="130" s="1"/>
  <c r="O133" i="130"/>
  <c r="O72" i="130" s="1"/>
  <c r="AE133" i="130"/>
  <c r="AF133" i="130"/>
  <c r="AR156" i="130"/>
  <c r="AR95" i="130" s="1"/>
  <c r="BS152" i="130"/>
  <c r="BS91" i="130" s="1"/>
  <c r="AT163" i="130"/>
  <c r="AT102" i="130" s="1"/>
  <c r="O139" i="130"/>
  <c r="O78" i="130" s="1"/>
  <c r="BF156" i="130"/>
  <c r="BF95" i="130" s="1"/>
  <c r="BP152" i="130"/>
  <c r="BP91" i="130" s="1"/>
  <c r="AQ163" i="130"/>
  <c r="L139" i="130"/>
  <c r="L78" i="130" s="1"/>
  <c r="D138" i="130"/>
  <c r="D77" i="130" s="1"/>
  <c r="AJ156" i="130"/>
  <c r="AJ95" i="130" s="1"/>
  <c r="BK152" i="130"/>
  <c r="BK91" i="130" s="1"/>
  <c r="AL163" i="130"/>
  <c r="AL102" i="130" s="1"/>
  <c r="G139" i="130"/>
  <c r="G78" i="130" s="1"/>
  <c r="J163" i="130"/>
  <c r="J102" i="130" s="1"/>
  <c r="AI138" i="130"/>
  <c r="AI77" i="130" s="1"/>
  <c r="BE143" i="130"/>
  <c r="BE82" i="130" s="1"/>
  <c r="AA150" i="130"/>
  <c r="AA89" i="130" s="1"/>
  <c r="W133" i="130"/>
  <c r="X133" i="130"/>
  <c r="X72" i="130" s="1"/>
  <c r="AN133" i="130"/>
  <c r="AK133" i="130"/>
  <c r="AK72" i="130" s="1"/>
  <c r="AY156" i="130"/>
  <c r="AY95" i="130" s="1"/>
  <c r="W152" i="130"/>
  <c r="AL152" i="130"/>
  <c r="AL91" i="130" s="1"/>
  <c r="L163" i="130"/>
  <c r="L102" i="130" s="1"/>
  <c r="Y156" i="130"/>
  <c r="Y95" i="130" s="1"/>
  <c r="T152" i="130"/>
  <c r="T91" i="130" s="1"/>
  <c r="BN163" i="130"/>
  <c r="BN102" i="130" s="1"/>
  <c r="AI139" i="130"/>
  <c r="AI78" i="130" s="1"/>
  <c r="G138" i="130"/>
  <c r="G77" i="130" s="1"/>
  <c r="AQ156" i="130"/>
  <c r="O152" i="130"/>
  <c r="O91" i="130" s="1"/>
  <c r="BB152" i="130"/>
  <c r="BB91" i="130" s="1"/>
  <c r="BE163" i="130"/>
  <c r="BE102" i="130" s="1"/>
  <c r="AB152" i="130"/>
  <c r="AB91" i="130" s="1"/>
  <c r="BN139" i="130"/>
  <c r="BN78" i="130" s="1"/>
  <c r="I143" i="130"/>
  <c r="I82" i="130" s="1"/>
  <c r="AJ143" i="130"/>
  <c r="AJ82" i="130" s="1"/>
  <c r="AY133" i="130"/>
  <c r="AS133" i="130"/>
  <c r="AS72" i="130" s="1"/>
  <c r="D133" i="130"/>
  <c r="D72" i="130" s="1"/>
  <c r="AM133" i="130"/>
  <c r="AM72" i="130" s="1"/>
  <c r="AJ133" i="130"/>
  <c r="AJ72" i="130" s="1"/>
  <c r="L156" i="130"/>
  <c r="L95" i="130" s="1"/>
  <c r="AM152" i="130"/>
  <c r="AM91" i="130" s="1"/>
  <c r="N163" i="130"/>
  <c r="N102" i="130" s="1"/>
  <c r="E163" i="130"/>
  <c r="E102" i="130" s="1"/>
  <c r="BD156" i="130"/>
  <c r="BD95" i="130" s="1"/>
  <c r="AJ152" i="130"/>
  <c r="AJ91" i="130" s="1"/>
  <c r="K163" i="130"/>
  <c r="K102" i="130" s="1"/>
  <c r="AY139" i="130"/>
  <c r="AY78" i="130" s="1"/>
  <c r="W138" i="130"/>
  <c r="D156" i="130"/>
  <c r="D95" i="130" s="1"/>
  <c r="AE152" i="130"/>
  <c r="AE91" i="130" s="1"/>
  <c r="F163" i="130"/>
  <c r="F102" i="130" s="1"/>
  <c r="AR163" i="130"/>
  <c r="AR102" i="130" s="1"/>
  <c r="AO152" i="130"/>
  <c r="AO91" i="130" s="1"/>
  <c r="Z139" i="130"/>
  <c r="Z78" i="130" s="1"/>
  <c r="Y143" i="130"/>
  <c r="Y82" i="130" s="1"/>
  <c r="AN143" i="130"/>
  <c r="AN82" i="130" s="1"/>
  <c r="AG150" i="130"/>
  <c r="AN156" i="130"/>
  <c r="AN95" i="130" s="1"/>
  <c r="AC139" i="130"/>
  <c r="AC78" i="130" s="1"/>
  <c r="BF138" i="130"/>
  <c r="BF77" i="130" s="1"/>
  <c r="AM143" i="130"/>
  <c r="AM82" i="130" s="1"/>
  <c r="AK150" i="130"/>
  <c r="AK89" i="130" s="1"/>
  <c r="BL146" i="130"/>
  <c r="BL85" i="130" s="1"/>
  <c r="AJ141" i="130"/>
  <c r="AJ80" i="130" s="1"/>
  <c r="N155" i="130"/>
  <c r="N94" i="130" s="1"/>
  <c r="BB165" i="130"/>
  <c r="BB104" i="130" s="1"/>
  <c r="R156" i="130"/>
  <c r="R95" i="130" s="1"/>
  <c r="N139" i="130"/>
  <c r="N78" i="130" s="1"/>
  <c r="BP138" i="130"/>
  <c r="BP77" i="130" s="1"/>
  <c r="L143" i="130"/>
  <c r="L82" i="130" s="1"/>
  <c r="BM150" i="130"/>
  <c r="BM89" i="130" s="1"/>
  <c r="Y146" i="130"/>
  <c r="Y85" i="130" s="1"/>
  <c r="H150" i="130"/>
  <c r="H89" i="130" s="1"/>
  <c r="AF141" i="130"/>
  <c r="AF80" i="130" s="1"/>
  <c r="BC155" i="130"/>
  <c r="BC94" i="130" s="1"/>
  <c r="U165" i="130"/>
  <c r="U104" i="130" s="1"/>
  <c r="AZ150" i="130"/>
  <c r="AZ89" i="130" s="1"/>
  <c r="X146" i="130"/>
  <c r="X85" i="130" s="1"/>
  <c r="AI163" i="130"/>
  <c r="AI102" i="130" s="1"/>
  <c r="P138" i="130"/>
  <c r="P77" i="130" s="1"/>
  <c r="N143" i="130"/>
  <c r="N82" i="130" s="1"/>
  <c r="AY150" i="130"/>
  <c r="AY89" i="130" s="1"/>
  <c r="W146" i="130"/>
  <c r="BB146" i="130"/>
  <c r="BB85" i="130" s="1"/>
  <c r="BB141" i="130"/>
  <c r="BB80" i="130" s="1"/>
  <c r="BL155" i="130"/>
  <c r="BL94" i="130" s="1"/>
  <c r="I165" i="130"/>
  <c r="I104" i="130" s="1"/>
  <c r="T163" i="130"/>
  <c r="T102" i="130" s="1"/>
  <c r="AR138" i="130"/>
  <c r="AR77" i="130" s="1"/>
  <c r="AH143" i="130"/>
  <c r="AH82" i="130" s="1"/>
  <c r="BS150" i="130"/>
  <c r="BS89" i="130" s="1"/>
  <c r="AQ146" i="130"/>
  <c r="AX138" i="130"/>
  <c r="AX77" i="130" s="1"/>
  <c r="AT146" i="130"/>
  <c r="AT85" i="130" s="1"/>
  <c r="M155" i="130"/>
  <c r="C165" i="130"/>
  <c r="W157" i="130"/>
  <c r="AL150" i="130"/>
  <c r="AL89" i="130" s="1"/>
  <c r="BM146" i="130"/>
  <c r="BM85" i="130" s="1"/>
  <c r="AV139" i="130"/>
  <c r="AV78" i="130" s="1"/>
  <c r="BQ138" i="130"/>
  <c r="BQ77" i="130" s="1"/>
  <c r="AQ143" i="130"/>
  <c r="BH150" i="130"/>
  <c r="BH89" i="130" s="1"/>
  <c r="AF146" i="130"/>
  <c r="AF85" i="130" s="1"/>
  <c r="D141" i="130"/>
  <c r="D80" i="130" s="1"/>
  <c r="AW155" i="130"/>
  <c r="AW94" i="130" s="1"/>
  <c r="V165" i="130"/>
  <c r="AU156" i="130"/>
  <c r="AU95" i="130" s="1"/>
  <c r="BT139" i="130"/>
  <c r="BT78" i="130" s="1"/>
  <c r="BN138" i="130"/>
  <c r="BN77" i="130" s="1"/>
  <c r="O143" i="130"/>
  <c r="O82" i="130" s="1"/>
  <c r="M150" i="130"/>
  <c r="AZ146" i="130"/>
  <c r="AZ85" i="130" s="1"/>
  <c r="AV143" i="130"/>
  <c r="AV82" i="130" s="1"/>
  <c r="BK141" i="130"/>
  <c r="BK80" i="130" s="1"/>
  <c r="BB155" i="130"/>
  <c r="BB94" i="130" s="1"/>
  <c r="BP165" i="130"/>
  <c r="BP104" i="130" s="1"/>
  <c r="BH157" i="130"/>
  <c r="BH96" i="130" s="1"/>
  <c r="U150" i="130"/>
  <c r="U89" i="130" s="1"/>
  <c r="BD146" i="130"/>
  <c r="BD85" i="130" s="1"/>
  <c r="AG163" i="130"/>
  <c r="BH138" i="130"/>
  <c r="BH77" i="130" s="1"/>
  <c r="AT143" i="130"/>
  <c r="AT82" i="130" s="1"/>
  <c r="L150" i="130"/>
  <c r="L89" i="130" s="1"/>
  <c r="BC146" i="130"/>
  <c r="BC85" i="130" s="1"/>
  <c r="AA141" i="130"/>
  <c r="AA80" i="130" s="1"/>
  <c r="CJ155" i="130"/>
  <c r="L155" i="130"/>
  <c r="L94" i="130" s="1"/>
  <c r="AK165" i="130"/>
  <c r="AK104" i="130" s="1"/>
  <c r="AA139" i="130"/>
  <c r="AA78" i="130" s="1"/>
  <c r="AC138" i="130"/>
  <c r="AC77" i="130" s="1"/>
  <c r="BN143" i="130"/>
  <c r="BN82" i="130" s="1"/>
  <c r="AF150" i="130"/>
  <c r="AF89" i="130" s="1"/>
  <c r="D146" i="130"/>
  <c r="D85" i="130" s="1"/>
  <c r="AS143" i="130"/>
  <c r="AS82" i="130" s="1"/>
  <c r="CJ141" i="130"/>
  <c r="BE155" i="130"/>
  <c r="BE94" i="130" s="1"/>
  <c r="AQ165" i="130"/>
  <c r="BC157" i="130"/>
  <c r="BC96" i="130" s="1"/>
  <c r="BL156" i="130"/>
  <c r="BL95" i="130" s="1"/>
  <c r="AT138" i="130"/>
  <c r="AT77" i="130" s="1"/>
  <c r="BN146" i="130"/>
  <c r="BN85" i="130" s="1"/>
  <c r="Y155" i="130"/>
  <c r="Y94" i="130" s="1"/>
  <c r="K165" i="130"/>
  <c r="K104" i="130" s="1"/>
  <c r="AE157" i="130"/>
  <c r="AE96" i="130" s="1"/>
  <c r="F153" i="130"/>
  <c r="F92" i="130" s="1"/>
  <c r="AQ154" i="130"/>
  <c r="M152" i="130"/>
  <c r="BF150" i="130"/>
  <c r="BF89" i="130" s="1"/>
  <c r="AO141" i="130"/>
  <c r="AO80" i="130" s="1"/>
  <c r="BD155" i="130"/>
  <c r="BD94" i="130" s="1"/>
  <c r="AW165" i="130"/>
  <c r="AW104" i="130" s="1"/>
  <c r="BQ157" i="130"/>
  <c r="BQ96" i="130" s="1"/>
  <c r="AY155" i="130"/>
  <c r="AY94" i="130" s="1"/>
  <c r="BC153" i="130"/>
  <c r="BC92" i="130" s="1"/>
  <c r="AW154" i="130"/>
  <c r="AW93" i="130" s="1"/>
  <c r="Y159" i="130"/>
  <c r="Y98" i="130" s="1"/>
  <c r="AG144" i="130"/>
  <c r="I150" i="130"/>
  <c r="I89" i="130" s="1"/>
  <c r="BA157" i="130"/>
  <c r="H154" i="130"/>
  <c r="H93" i="130" s="1"/>
  <c r="M143" i="130"/>
  <c r="AX146" i="130"/>
  <c r="AX85" i="130" s="1"/>
  <c r="AS155" i="130"/>
  <c r="AS94" i="130" s="1"/>
  <c r="AI165" i="130"/>
  <c r="AI104" i="130" s="1"/>
  <c r="AU157" i="130"/>
  <c r="AU96" i="130" s="1"/>
  <c r="V153" i="130"/>
  <c r="V92" i="130" s="1"/>
  <c r="BG154" i="130"/>
  <c r="BG93" i="130" s="1"/>
  <c r="X163" i="130"/>
  <c r="X102" i="130" s="1"/>
  <c r="AI146" i="130"/>
  <c r="AI85" i="130" s="1"/>
  <c r="R141" i="130"/>
  <c r="R80" i="130" s="1"/>
  <c r="BG155" i="130"/>
  <c r="BG94" i="130" s="1"/>
  <c r="J157" i="130"/>
  <c r="J96" i="130" s="1"/>
  <c r="BT157" i="130"/>
  <c r="BT96" i="130" s="1"/>
  <c r="AR155" i="130"/>
  <c r="AR94" i="130" s="1"/>
  <c r="AB153" i="130"/>
  <c r="AB92" i="130" s="1"/>
  <c r="BF154" i="130"/>
  <c r="BF93" i="130" s="1"/>
  <c r="BE159" i="130"/>
  <c r="BE98" i="130" s="1"/>
  <c r="BM144" i="130"/>
  <c r="BM83" i="130" s="1"/>
  <c r="E146" i="130"/>
  <c r="E85" i="130" s="1"/>
  <c r="U153" i="130"/>
  <c r="U92" i="130" s="1"/>
  <c r="CJ153" i="130"/>
  <c r="AU150" i="130"/>
  <c r="AU89" i="130" s="1"/>
  <c r="X141" i="130"/>
  <c r="X80" i="130" s="1"/>
  <c r="AE155" i="130"/>
  <c r="AE94" i="130" s="1"/>
  <c r="BE165" i="130"/>
  <c r="BE104" i="130" s="1"/>
  <c r="BL157" i="130"/>
  <c r="BL96" i="130" s="1"/>
  <c r="BG153" i="130"/>
  <c r="BG92" i="130" s="1"/>
  <c r="BP154" i="130"/>
  <c r="BP93" i="130" s="1"/>
  <c r="BM138" i="130"/>
  <c r="BM77" i="130" s="1"/>
  <c r="AD146" i="130"/>
  <c r="AD85" i="130" s="1"/>
  <c r="I155" i="130"/>
  <c r="I94" i="130" s="1"/>
  <c r="BN165" i="130"/>
  <c r="BN104" i="130" s="1"/>
  <c r="S157" i="130"/>
  <c r="S96" i="130" s="1"/>
  <c r="V138" i="130"/>
  <c r="V77" i="130" s="1"/>
  <c r="AA157" i="130"/>
  <c r="AA96" i="130" s="1"/>
  <c r="AE154" i="130"/>
  <c r="AE93" i="130" s="1"/>
  <c r="BN159" i="130"/>
  <c r="BN98" i="130" s="1"/>
  <c r="AI144" i="130"/>
  <c r="AI83" i="130" s="1"/>
  <c r="I140" i="130"/>
  <c r="I79" i="130" s="1"/>
  <c r="AO155" i="130"/>
  <c r="AO94" i="130" s="1"/>
  <c r="S153" i="130"/>
  <c r="S92" i="130" s="1"/>
  <c r="V154" i="130"/>
  <c r="V93" i="130" s="1"/>
  <c r="C143" i="130"/>
  <c r="AE141" i="130"/>
  <c r="AE80" i="130" s="1"/>
  <c r="V155" i="130"/>
  <c r="V94" i="130" s="1"/>
  <c r="D165" i="130"/>
  <c r="D104" i="130" s="1"/>
  <c r="L157" i="130"/>
  <c r="L96" i="130" s="1"/>
  <c r="BB153" i="130"/>
  <c r="BB92" i="130" s="1"/>
  <c r="T154" i="130"/>
  <c r="T93" i="130" s="1"/>
  <c r="AL139" i="130"/>
  <c r="AL78" i="130" s="1"/>
  <c r="AO146" i="130"/>
  <c r="AO85" i="130" s="1"/>
  <c r="BQ141" i="130"/>
  <c r="BQ80" i="130" s="1"/>
  <c r="CJ165" i="130"/>
  <c r="AP157" i="130"/>
  <c r="AP96" i="130" s="1"/>
  <c r="M153" i="130"/>
  <c r="AJ165" i="130"/>
  <c r="AJ104" i="130" s="1"/>
  <c r="AN153" i="130"/>
  <c r="AN92" i="130" s="1"/>
  <c r="R159" i="130"/>
  <c r="R98" i="130" s="1"/>
  <c r="AK159" i="130"/>
  <c r="AK98" i="130" s="1"/>
  <c r="AP144" i="130"/>
  <c r="AP83" i="130" s="1"/>
  <c r="BO141" i="130"/>
  <c r="BO80" i="130" s="1"/>
  <c r="R153" i="130"/>
  <c r="R92" i="130" s="1"/>
  <c r="BT154" i="130"/>
  <c r="BT93" i="130" s="1"/>
  <c r="AP154" i="130"/>
  <c r="AP93" i="130" s="1"/>
  <c r="BH159" i="130"/>
  <c r="BH98" i="130" s="1"/>
  <c r="BR144" i="130"/>
  <c r="BR83" i="130" s="1"/>
  <c r="BJ141" i="130"/>
  <c r="BJ80" i="130" s="1"/>
  <c r="BN153" i="130"/>
  <c r="BN92" i="130" s="1"/>
  <c r="AO154" i="130"/>
  <c r="AO93" i="130" s="1"/>
  <c r="T159" i="130"/>
  <c r="T98" i="130" s="1"/>
  <c r="U144" i="130"/>
  <c r="U83" i="130" s="1"/>
  <c r="BJ140" i="130"/>
  <c r="BJ79" i="130" s="1"/>
  <c r="AC165" i="130"/>
  <c r="AC104" i="130" s="1"/>
  <c r="P153" i="130"/>
  <c r="P92" i="130" s="1"/>
  <c r="AD159" i="130"/>
  <c r="AD98" i="130" s="1"/>
  <c r="CJ144" i="130"/>
  <c r="AT144" i="130"/>
  <c r="AT83" i="130" s="1"/>
  <c r="K140" i="130"/>
  <c r="K79" i="130" s="1"/>
  <c r="BE142" i="130"/>
  <c r="BE81" i="130" s="1"/>
  <c r="S137" i="130"/>
  <c r="S76" i="130" s="1"/>
  <c r="BG167" i="130"/>
  <c r="BG106" i="130" s="1"/>
  <c r="AC160" i="130"/>
  <c r="AC99" i="130" s="1"/>
  <c r="BT164" i="130"/>
  <c r="BT103" i="130" s="1"/>
  <c r="AQ148" i="130"/>
  <c r="Q149" i="130"/>
  <c r="Q88" i="130" s="1"/>
  <c r="AM149" i="130"/>
  <c r="AM88" i="130" s="1"/>
  <c r="BD147" i="130"/>
  <c r="BD86" i="130" s="1"/>
  <c r="P142" i="130"/>
  <c r="P81" i="130" s="1"/>
  <c r="Q137" i="130"/>
  <c r="Q76" i="130" s="1"/>
  <c r="AR137" i="130"/>
  <c r="AR76" i="130" s="1"/>
  <c r="BE167" i="130"/>
  <c r="BE106" i="130" s="1"/>
  <c r="C160" i="130"/>
  <c r="BB164" i="130"/>
  <c r="BB103" i="130" s="1"/>
  <c r="AC148" i="130"/>
  <c r="AC87" i="130" s="1"/>
  <c r="BQ149" i="130"/>
  <c r="BQ88" i="130" s="1"/>
  <c r="AL147" i="130"/>
  <c r="AL86" i="130" s="1"/>
  <c r="D136" i="130"/>
  <c r="D75" i="130" s="1"/>
  <c r="AI140" i="130"/>
  <c r="AI79" i="130" s="1"/>
  <c r="AS142" i="130"/>
  <c r="AS81" i="130" s="1"/>
  <c r="AQ137" i="130"/>
  <c r="X167" i="130"/>
  <c r="X106" i="130" s="1"/>
  <c r="BA160" i="130"/>
  <c r="Y164" i="130"/>
  <c r="Y103" i="130" s="1"/>
  <c r="BO148" i="130"/>
  <c r="BO87" i="130" s="1"/>
  <c r="AO149" i="130"/>
  <c r="AO88" i="130" s="1"/>
  <c r="M147" i="130"/>
  <c r="P159" i="130"/>
  <c r="P98" i="130" s="1"/>
  <c r="AV144" i="130"/>
  <c r="AV83" i="130" s="1"/>
  <c r="BI143" i="130"/>
  <c r="BI82" i="130" s="1"/>
  <c r="BG157" i="130"/>
  <c r="BG96" i="130" s="1"/>
  <c r="AM154" i="130"/>
  <c r="AM93" i="130" s="1"/>
  <c r="C159" i="130"/>
  <c r="AQ144" i="130"/>
  <c r="Q140" i="130"/>
  <c r="Q79" i="130" s="1"/>
  <c r="AP141" i="130"/>
  <c r="AP80" i="130" s="1"/>
  <c r="AX153" i="130"/>
  <c r="AX92" i="130" s="1"/>
  <c r="BI154" i="130"/>
  <c r="BI93" i="130" s="1"/>
  <c r="BL159" i="130"/>
  <c r="BL98" i="130" s="1"/>
  <c r="BT144" i="130"/>
  <c r="BT83" i="130" s="1"/>
  <c r="BI140" i="130"/>
  <c r="BI79" i="130" s="1"/>
  <c r="AU142" i="130"/>
  <c r="AU81" i="130" s="1"/>
  <c r="AS137" i="130"/>
  <c r="AS76" i="130" s="1"/>
  <c r="R167" i="130"/>
  <c r="R106" i="130" s="1"/>
  <c r="AS167" i="130"/>
  <c r="AS106" i="130" s="1"/>
  <c r="BG160" i="130"/>
  <c r="BG99" i="130" s="1"/>
  <c r="K164" i="130"/>
  <c r="K103" i="130" s="1"/>
  <c r="Q148" i="130"/>
  <c r="Q87" i="130" s="1"/>
  <c r="AX149" i="130"/>
  <c r="AX88" i="130" s="1"/>
  <c r="BN147" i="130"/>
  <c r="BN86" i="130" s="1"/>
  <c r="AA140" i="130"/>
  <c r="AA79" i="130" s="1"/>
  <c r="BM142" i="130"/>
  <c r="BM81" i="130" s="1"/>
  <c r="W137" i="130"/>
  <c r="BK167" i="130"/>
  <c r="BK106" i="130" s="1"/>
  <c r="AG160" i="130"/>
  <c r="E164" i="130"/>
  <c r="E103" i="130" s="1"/>
  <c r="AU148" i="130"/>
  <c r="AU87" i="130" s="1"/>
  <c r="U149" i="130"/>
  <c r="U88" i="130" s="1"/>
  <c r="BT149" i="130"/>
  <c r="BT88" i="130" s="1"/>
  <c r="BT147" i="130"/>
  <c r="BT86" i="130" s="1"/>
  <c r="BB140" i="130"/>
  <c r="BB79" i="130" s="1"/>
  <c r="BS142" i="130"/>
  <c r="BS81" i="130" s="1"/>
  <c r="BQ137" i="130"/>
  <c r="BQ76" i="130" s="1"/>
  <c r="AP167" i="130"/>
  <c r="AP106" i="130" s="1"/>
  <c r="L160" i="130"/>
  <c r="L99" i="130" s="1"/>
  <c r="W160" i="130"/>
  <c r="BG164" i="130"/>
  <c r="BG103" i="130" s="1"/>
  <c r="BM148" i="130"/>
  <c r="BM87" i="130" s="1"/>
  <c r="P149" i="130"/>
  <c r="P88" i="130" s="1"/>
  <c r="AV159" i="130"/>
  <c r="AV98" i="130" s="1"/>
  <c r="BL144" i="130"/>
  <c r="BL83" i="130" s="1"/>
  <c r="AE150" i="130"/>
  <c r="AE89" i="130" s="1"/>
  <c r="AV157" i="130"/>
  <c r="AV96" i="130" s="1"/>
  <c r="BK154" i="130"/>
  <c r="BK93" i="130" s="1"/>
  <c r="S159" i="130"/>
  <c r="S98" i="130" s="1"/>
  <c r="BG144" i="130"/>
  <c r="BG83" i="130" s="1"/>
  <c r="AG140" i="130"/>
  <c r="N141" i="130"/>
  <c r="N80" i="130" s="1"/>
  <c r="C153" i="130"/>
  <c r="BE154" i="130"/>
  <c r="BE93" i="130" s="1"/>
  <c r="AJ159" i="130"/>
  <c r="AJ98" i="130" s="1"/>
  <c r="AC144" i="130"/>
  <c r="AC83" i="130" s="1"/>
  <c r="AP140" i="130"/>
  <c r="AP79" i="130" s="1"/>
  <c r="BK142" i="130"/>
  <c r="BK81" i="130" s="1"/>
  <c r="BI137" i="130"/>
  <c r="BI76" i="130" s="1"/>
  <c r="AH167" i="130"/>
  <c r="AH106" i="130" s="1"/>
  <c r="D160" i="130"/>
  <c r="D99" i="130" s="1"/>
  <c r="AL160" i="130"/>
  <c r="AL99" i="130" s="1"/>
  <c r="AQ164" i="130"/>
  <c r="AW148" i="130"/>
  <c r="AW87" i="130" s="1"/>
  <c r="BN149" i="130"/>
  <c r="BN88" i="130" s="1"/>
  <c r="S147" i="130"/>
  <c r="S86" i="130" s="1"/>
  <c r="S140" i="130"/>
  <c r="S79" i="130" s="1"/>
  <c r="AK142" i="130"/>
  <c r="AK81" i="130" s="1"/>
  <c r="AM137" i="130"/>
  <c r="AM76" i="130" s="1"/>
  <c r="P167" i="130"/>
  <c r="P106" i="130" s="1"/>
  <c r="AW160" i="130"/>
  <c r="AW99" i="130" s="1"/>
  <c r="U164" i="130"/>
  <c r="U103" i="130" s="1"/>
  <c r="BK148" i="130"/>
  <c r="BK87" i="130" s="1"/>
  <c r="AK149" i="130"/>
  <c r="AK88" i="130" s="1"/>
  <c r="I147" i="130"/>
  <c r="I86" i="130" s="1"/>
  <c r="BL147" i="130"/>
  <c r="BL86" i="130" s="1"/>
  <c r="G140" i="130"/>
  <c r="G79" i="130" s="1"/>
  <c r="W142" i="130"/>
  <c r="R137" i="130"/>
  <c r="R76" i="130" s="1"/>
  <c r="BF167" i="130"/>
  <c r="BF106" i="130" s="1"/>
  <c r="AB160" i="130"/>
  <c r="AB99" i="130" s="1"/>
  <c r="CJ164" i="130"/>
  <c r="AT164" i="130"/>
  <c r="AT103" i="130" s="1"/>
  <c r="BJ148" i="130"/>
  <c r="BJ87" i="130" s="1"/>
  <c r="BG149" i="130"/>
  <c r="BG88" i="130" s="1"/>
  <c r="AU159" i="130"/>
  <c r="AU98" i="130" s="1"/>
  <c r="P144" i="130"/>
  <c r="P83" i="130" s="1"/>
  <c r="Z163" i="130"/>
  <c r="Z102" i="130" s="1"/>
  <c r="CJ157" i="130"/>
  <c r="CJ154" i="130"/>
  <c r="AP159" i="130"/>
  <c r="AP98" i="130" s="1"/>
  <c r="K144" i="130"/>
  <c r="K83" i="130" s="1"/>
  <c r="AD144" i="130"/>
  <c r="AD83" i="130" s="1"/>
  <c r="W141" i="130"/>
  <c r="BQ153" i="130"/>
  <c r="BQ92" i="130" s="1"/>
  <c r="BH154" i="130"/>
  <c r="BH93" i="130" s="1"/>
  <c r="BS159" i="130"/>
  <c r="BS98" i="130" s="1"/>
  <c r="AN144" i="130"/>
  <c r="AN83" i="130" s="1"/>
  <c r="R140" i="130"/>
  <c r="R79" i="130" s="1"/>
  <c r="K142" i="130"/>
  <c r="K81" i="130" s="1"/>
  <c r="M137" i="130"/>
  <c r="L137" i="130"/>
  <c r="L76" i="130" s="1"/>
  <c r="AA133" i="130"/>
  <c r="AA72" i="130" s="1"/>
  <c r="S133" i="130"/>
  <c r="S72" i="130" s="1"/>
  <c r="Q133" i="130"/>
  <c r="Q72" i="130" s="1"/>
  <c r="AW156" i="130"/>
  <c r="AW95" i="130" s="1"/>
  <c r="AF152" i="130"/>
  <c r="AF91" i="130" s="1"/>
  <c r="G163" i="130"/>
  <c r="G102" i="130" s="1"/>
  <c r="AU139" i="130"/>
  <c r="AU78" i="130" s="1"/>
  <c r="BI156" i="130"/>
  <c r="BI95" i="130" s="1"/>
  <c r="BE152" i="130"/>
  <c r="BE91" i="130" s="1"/>
  <c r="H163" i="130"/>
  <c r="H102" i="130" s="1"/>
  <c r="AR139" i="130"/>
  <c r="AR78" i="130" s="1"/>
  <c r="AJ138" i="130"/>
  <c r="AJ77" i="130" s="1"/>
  <c r="AG156" i="130"/>
  <c r="X152" i="130"/>
  <c r="X91" i="130" s="1"/>
  <c r="BR163" i="130"/>
  <c r="BR102" i="130" s="1"/>
  <c r="AM139" i="130"/>
  <c r="AM78" i="130" s="1"/>
  <c r="BO163" i="130"/>
  <c r="BO102" i="130" s="1"/>
  <c r="AB138" i="130"/>
  <c r="AB77" i="130" s="1"/>
  <c r="V143" i="130"/>
  <c r="V82" i="130" s="1"/>
  <c r="BG150" i="130"/>
  <c r="BG89" i="130" s="1"/>
  <c r="O146" i="130"/>
  <c r="O85" i="130" s="1"/>
  <c r="BO152" i="130"/>
  <c r="BO91" i="130" s="1"/>
  <c r="BE139" i="130"/>
  <c r="BE78" i="130" s="1"/>
  <c r="CJ143" i="130"/>
  <c r="BD143" i="130"/>
  <c r="BD82" i="130" s="1"/>
  <c r="Q150" i="130"/>
  <c r="Q89" i="130" s="1"/>
  <c r="AS146" i="130"/>
  <c r="AS85" i="130" s="1"/>
  <c r="BE141" i="130"/>
  <c r="BE80" i="130" s="1"/>
  <c r="O155" i="130"/>
  <c r="O94" i="130" s="1"/>
  <c r="AU165" i="130"/>
  <c r="AU104" i="130" s="1"/>
  <c r="I152" i="130"/>
  <c r="I91" i="130" s="1"/>
  <c r="BF139" i="130"/>
  <c r="BF78" i="130" s="1"/>
  <c r="U143" i="130"/>
  <c r="U82" i="130" s="1"/>
  <c r="H143" i="130"/>
  <c r="H82" i="130" s="1"/>
  <c r="BE150" i="130"/>
  <c r="BE89" i="130" s="1"/>
  <c r="BQ163" i="130"/>
  <c r="BQ102" i="130" s="1"/>
  <c r="AY146" i="130"/>
  <c r="AY85" i="130" s="1"/>
  <c r="AH141" i="130"/>
  <c r="AH80" i="130" s="1"/>
  <c r="AB155" i="130"/>
  <c r="AB94" i="130" s="1"/>
  <c r="N157" i="130"/>
  <c r="N96" i="130" s="1"/>
  <c r="F150" i="130"/>
  <c r="F89" i="130" s="1"/>
  <c r="AG146" i="130"/>
  <c r="D139" i="130"/>
  <c r="D78" i="130" s="1"/>
  <c r="AO138" i="130"/>
  <c r="AO77" i="130" s="1"/>
  <c r="K143" i="130"/>
  <c r="K82" i="130" s="1"/>
  <c r="AR150" i="130"/>
  <c r="AR89" i="130" s="1"/>
  <c r="P146" i="130"/>
  <c r="P85" i="130" s="1"/>
  <c r="BG141" i="130"/>
  <c r="BG80" i="130" s="1"/>
  <c r="AG155" i="130"/>
  <c r="F165" i="130"/>
  <c r="F104" i="130" s="1"/>
  <c r="BD165" i="130"/>
  <c r="BD104" i="130" s="1"/>
  <c r="AZ139" i="130"/>
  <c r="AZ78" i="130" s="1"/>
  <c r="R138" i="130"/>
  <c r="R77" i="130" s="1"/>
  <c r="AY143" i="130"/>
  <c r="AY82" i="130" s="1"/>
  <c r="BL150" i="130"/>
  <c r="BL89" i="130" s="1"/>
  <c r="AJ146" i="130"/>
  <c r="AJ85" i="130" s="1"/>
  <c r="BO143" i="130"/>
  <c r="BO82" i="130" s="1"/>
  <c r="AM141" i="130"/>
  <c r="AM80" i="130" s="1"/>
  <c r="AH155" i="130"/>
  <c r="AH94" i="130" s="1"/>
  <c r="AB165" i="130"/>
  <c r="AB104" i="130" s="1"/>
  <c r="AB157" i="130"/>
  <c r="AB96" i="130" s="1"/>
  <c r="AH150" i="130"/>
  <c r="AH89" i="130" s="1"/>
  <c r="BA156" i="130"/>
  <c r="AT139" i="130"/>
  <c r="AT78" i="130" s="1"/>
  <c r="BS138" i="130"/>
  <c r="BS77" i="130" s="1"/>
  <c r="BH143" i="130"/>
  <c r="BH82" i="130" s="1"/>
  <c r="V150" i="130"/>
  <c r="V89" i="130" s="1"/>
  <c r="AW146" i="130"/>
  <c r="AW85" i="130" s="1"/>
  <c r="BP141" i="130"/>
  <c r="BP80" i="130" s="1"/>
  <c r="AT155" i="130"/>
  <c r="AT94" i="130" s="1"/>
  <c r="O165" i="130"/>
  <c r="O104" i="130" s="1"/>
  <c r="S152" i="130"/>
  <c r="S91" i="130" s="1"/>
  <c r="BM139" i="130"/>
  <c r="BM78" i="130" s="1"/>
  <c r="AL138" i="130"/>
  <c r="AL77" i="130" s="1"/>
  <c r="T143" i="130"/>
  <c r="T82" i="130" s="1"/>
  <c r="BJ150" i="130"/>
  <c r="BJ89" i="130" s="1"/>
  <c r="BR156" i="130"/>
  <c r="BR95" i="130" s="1"/>
  <c r="AT150" i="130"/>
  <c r="AT89" i="130" s="1"/>
  <c r="I141" i="130"/>
  <c r="I80" i="130" s="1"/>
  <c r="X155" i="130"/>
  <c r="X94" i="130" s="1"/>
  <c r="BT165" i="130"/>
  <c r="BT104" i="130" s="1"/>
  <c r="AS157" i="130"/>
  <c r="AS96" i="130" s="1"/>
  <c r="BR150" i="130"/>
  <c r="BR89" i="130" s="1"/>
  <c r="AE156" i="130"/>
  <c r="AE95" i="130" s="1"/>
  <c r="BP139" i="130"/>
  <c r="BP78" i="130" s="1"/>
  <c r="BE138" i="130"/>
  <c r="BE77" i="130" s="1"/>
  <c r="G143" i="130"/>
  <c r="G82" i="130" s="1"/>
  <c r="E150" i="130"/>
  <c r="E89" i="130" s="1"/>
  <c r="AV146" i="130"/>
  <c r="AV85" i="130" s="1"/>
  <c r="T141" i="130"/>
  <c r="T80" i="130" s="1"/>
  <c r="BM155" i="130"/>
  <c r="BM94" i="130" s="1"/>
  <c r="AL165" i="130"/>
  <c r="AL104" i="130" s="1"/>
  <c r="I156" i="130"/>
  <c r="I95" i="130" s="1"/>
  <c r="AS139" i="130"/>
  <c r="AS78" i="130" s="1"/>
  <c r="BO138" i="130"/>
  <c r="BO77" i="130" s="1"/>
  <c r="AU143" i="130"/>
  <c r="AU82" i="130" s="1"/>
  <c r="AS150" i="130"/>
  <c r="AS89" i="130" s="1"/>
  <c r="BP146" i="130"/>
  <c r="BP85" i="130" s="1"/>
  <c r="O150" i="130"/>
  <c r="O89" i="130" s="1"/>
  <c r="L141" i="130"/>
  <c r="L80" i="130" s="1"/>
  <c r="G155" i="130"/>
  <c r="G94" i="130" s="1"/>
  <c r="Y165" i="130"/>
  <c r="Y104" i="130" s="1"/>
  <c r="AF157" i="130"/>
  <c r="AF96" i="130" s="1"/>
  <c r="Y157" i="130"/>
  <c r="Y96" i="130" s="1"/>
  <c r="BK143" i="130"/>
  <c r="BK82" i="130" s="1"/>
  <c r="AY141" i="130"/>
  <c r="AY80" i="130" s="1"/>
  <c r="AP155" i="130"/>
  <c r="AP94" i="130" s="1"/>
  <c r="AZ165" i="130"/>
  <c r="AZ104" i="130" s="1"/>
  <c r="AR157" i="130"/>
  <c r="AR96" i="130" s="1"/>
  <c r="BR153" i="130"/>
  <c r="BR92" i="130" s="1"/>
  <c r="AJ154" i="130"/>
  <c r="AJ93" i="130" s="1"/>
  <c r="CJ138" i="130"/>
  <c r="AC146" i="130"/>
  <c r="AC85" i="130" s="1"/>
  <c r="V141" i="130"/>
  <c r="V80" i="130" s="1"/>
  <c r="Z165" i="130"/>
  <c r="Z104" i="130" s="1"/>
  <c r="BF157" i="130"/>
  <c r="BF96" i="130" s="1"/>
  <c r="X156" i="130"/>
  <c r="X95" i="130" s="1"/>
  <c r="H165" i="130"/>
  <c r="H104" i="130" s="1"/>
  <c r="AV153" i="130"/>
  <c r="AV92" i="130" s="1"/>
  <c r="AH159" i="130"/>
  <c r="AH98" i="130" s="1"/>
  <c r="C144" i="130"/>
  <c r="R144" i="130"/>
  <c r="R83" i="130" s="1"/>
  <c r="Q141" i="130"/>
  <c r="Q80" i="130" s="1"/>
  <c r="AP153" i="130"/>
  <c r="AP92" i="130" s="1"/>
  <c r="Q157" i="130"/>
  <c r="Q96" i="130" s="1"/>
  <c r="BP143" i="130"/>
  <c r="BP82" i="130" s="1"/>
  <c r="BS141" i="130"/>
  <c r="BS80" i="130" s="1"/>
  <c r="BN155" i="130"/>
  <c r="BN94" i="130" s="1"/>
  <c r="AV165" i="130"/>
  <c r="AV104" i="130" s="1"/>
  <c r="H157" i="130"/>
  <c r="H96" i="130" s="1"/>
  <c r="AA153" i="130"/>
  <c r="AA92" i="130" s="1"/>
  <c r="AZ154" i="130"/>
  <c r="AZ93" i="130" s="1"/>
  <c r="AF138" i="130"/>
  <c r="AF77" i="130" s="1"/>
  <c r="BQ146" i="130"/>
  <c r="BQ85" i="130" s="1"/>
  <c r="F141" i="130"/>
  <c r="F80" i="130" s="1"/>
  <c r="AT165" i="130"/>
  <c r="AT104" i="130" s="1"/>
  <c r="C157" i="130"/>
  <c r="U139" i="130"/>
  <c r="U78" i="130" s="1"/>
  <c r="AH157" i="130"/>
  <c r="AH96" i="130" s="1"/>
  <c r="G154" i="130"/>
  <c r="G93" i="130" s="1"/>
  <c r="AX159" i="130"/>
  <c r="AX98" i="130" s="1"/>
  <c r="S144" i="130"/>
  <c r="S83" i="130" s="1"/>
  <c r="BN144" i="130"/>
  <c r="BN83" i="130" s="1"/>
  <c r="AS141" i="130"/>
  <c r="AS80" i="130" s="1"/>
  <c r="BJ153" i="130"/>
  <c r="BJ92" i="130" s="1"/>
  <c r="S163" i="130"/>
  <c r="S102" i="130" s="1"/>
  <c r="S146" i="130"/>
  <c r="S85" i="130" s="1"/>
  <c r="J141" i="130"/>
  <c r="J80" i="130" s="1"/>
  <c r="AA155" i="130"/>
  <c r="AA94" i="130" s="1"/>
  <c r="F157" i="130"/>
  <c r="F96" i="130" s="1"/>
  <c r="BD157" i="130"/>
  <c r="BD96" i="130" s="1"/>
  <c r="O153" i="130"/>
  <c r="O92" i="130" s="1"/>
  <c r="N154" i="130"/>
  <c r="N93" i="130" s="1"/>
  <c r="AI143" i="130"/>
  <c r="AI82" i="130" s="1"/>
  <c r="AI141" i="130"/>
  <c r="AI80" i="130" s="1"/>
  <c r="Z155" i="130"/>
  <c r="Z94" i="130" s="1"/>
  <c r="T165" i="130"/>
  <c r="T104" i="130" s="1"/>
  <c r="T157" i="130"/>
  <c r="T96" i="130" s="1"/>
  <c r="BJ146" i="130"/>
  <c r="BJ85" i="130" s="1"/>
  <c r="AS153" i="130"/>
  <c r="AS92" i="130" s="1"/>
  <c r="AR154" i="130"/>
  <c r="AR93" i="130" s="1"/>
  <c r="BG159" i="130"/>
  <c r="BG98" i="130" s="1"/>
  <c r="AB144" i="130"/>
  <c r="AB83" i="130" s="1"/>
  <c r="F140" i="130"/>
  <c r="F79" i="130" s="1"/>
  <c r="AA165" i="130"/>
  <c r="AA104" i="130" s="1"/>
  <c r="AE153" i="130"/>
  <c r="AE92" i="130" s="1"/>
  <c r="AW153" i="130"/>
  <c r="AW92" i="130" s="1"/>
  <c r="AN150" i="130"/>
  <c r="AN89" i="130" s="1"/>
  <c r="AR141" i="130"/>
  <c r="AR80" i="130" s="1"/>
  <c r="BS155" i="130"/>
  <c r="BS94" i="130" s="1"/>
  <c r="AS165" i="130"/>
  <c r="AS104" i="130" s="1"/>
  <c r="BE157" i="130"/>
  <c r="BE96" i="130" s="1"/>
  <c r="AM153" i="130"/>
  <c r="AM92" i="130" s="1"/>
  <c r="U154" i="130"/>
  <c r="U93" i="130" s="1"/>
  <c r="BA138" i="130"/>
  <c r="F146" i="130"/>
  <c r="F85" i="130" s="1"/>
  <c r="AC155" i="130"/>
  <c r="AC94" i="130" s="1"/>
  <c r="S165" i="130"/>
  <c r="S104" i="130" s="1"/>
  <c r="AI157" i="130"/>
  <c r="AI96" i="130" s="1"/>
  <c r="AE143" i="130"/>
  <c r="AE82" i="130" s="1"/>
  <c r="AJ157" i="130"/>
  <c r="AJ96" i="130" s="1"/>
  <c r="AY154" i="130"/>
  <c r="AY93" i="130" s="1"/>
  <c r="K159" i="130"/>
  <c r="K98" i="130" s="1"/>
  <c r="AY144" i="130"/>
  <c r="AY83" i="130" s="1"/>
  <c r="Y140" i="130"/>
  <c r="Y79" i="130" s="1"/>
  <c r="BF155" i="130"/>
  <c r="BF94" i="130" s="1"/>
  <c r="BO153" i="130"/>
  <c r="BO92" i="130" s="1"/>
  <c r="BJ154" i="130"/>
  <c r="BJ93" i="130" s="1"/>
  <c r="BR159" i="130"/>
  <c r="BR98" i="130" s="1"/>
  <c r="AM144" i="130"/>
  <c r="AM83" i="130" s="1"/>
  <c r="M140" i="130"/>
  <c r="AH165" i="130"/>
  <c r="AH104" i="130" s="1"/>
  <c r="AZ153" i="130"/>
  <c r="AZ92" i="130" s="1"/>
  <c r="AX154" i="130"/>
  <c r="AX93" i="130" s="1"/>
  <c r="L159" i="130"/>
  <c r="L98" i="130" s="1"/>
  <c r="V144" i="130"/>
  <c r="V83" i="130" s="1"/>
  <c r="X150" i="130"/>
  <c r="X89" i="130" s="1"/>
  <c r="AO157" i="130"/>
  <c r="AO96" i="130" s="1"/>
  <c r="BO154" i="130"/>
  <c r="BO93" i="130" s="1"/>
  <c r="W159" i="130"/>
  <c r="BK144" i="130"/>
  <c r="BK83" i="130" s="1"/>
  <c r="AK140" i="130"/>
  <c r="AK79" i="130" s="1"/>
  <c r="L140" i="130"/>
  <c r="L79" i="130" s="1"/>
  <c r="BB142" i="130"/>
  <c r="BB81" i="130" s="1"/>
  <c r="AJ137" i="130"/>
  <c r="AJ76" i="130" s="1"/>
  <c r="BM167" i="130"/>
  <c r="BM106" i="130" s="1"/>
  <c r="AX160" i="130"/>
  <c r="AX99" i="130" s="1"/>
  <c r="BM164" i="130"/>
  <c r="BM103" i="130" s="1"/>
  <c r="AJ148" i="130"/>
  <c r="AJ87" i="130" s="1"/>
  <c r="AB149" i="130"/>
  <c r="AB88" i="130" s="1"/>
  <c r="BA147" i="130"/>
  <c r="BR140" i="130"/>
  <c r="BR79" i="130" s="1"/>
  <c r="R142" i="130"/>
  <c r="R81" i="130" s="1"/>
  <c r="N137" i="130"/>
  <c r="N76" i="130" s="1"/>
  <c r="BB167" i="130"/>
  <c r="BB106" i="130" s="1"/>
  <c r="X160" i="130"/>
  <c r="X99" i="130" s="1"/>
  <c r="BS160" i="130"/>
  <c r="BS99" i="130" s="1"/>
  <c r="AD164" i="130"/>
  <c r="AD103" i="130" s="1"/>
  <c r="AT148" i="130"/>
  <c r="AT87" i="130" s="1"/>
  <c r="AY149" i="130"/>
  <c r="AY88" i="130" s="1"/>
  <c r="BG147" i="130"/>
  <c r="BG86" i="130" s="1"/>
  <c r="BP136" i="130"/>
  <c r="BP75" i="130" s="1"/>
  <c r="Q142" i="130"/>
  <c r="Q81" i="130" s="1"/>
  <c r="AP142" i="130"/>
  <c r="AP81" i="130" s="1"/>
  <c r="BD137" i="130"/>
  <c r="BD76" i="130" s="1"/>
  <c r="M167" i="130"/>
  <c r="BB160" i="130"/>
  <c r="BB99" i="130" s="1"/>
  <c r="AP164" i="130"/>
  <c r="AP103" i="130" s="1"/>
  <c r="BH148" i="130"/>
  <c r="BH87" i="130" s="1"/>
  <c r="AN149" i="130"/>
  <c r="AN88" i="130" s="1"/>
  <c r="AK154" i="130"/>
  <c r="AK93" i="130" s="1"/>
  <c r="BI159" i="130"/>
  <c r="BI98" i="130" s="1"/>
  <c r="I144" i="130"/>
  <c r="I83" i="130" s="1"/>
  <c r="C141" i="130"/>
  <c r="BI153" i="130"/>
  <c r="BI92" i="130" s="1"/>
  <c r="BD154" i="130"/>
  <c r="BD93" i="130" s="1"/>
  <c r="BO159" i="130"/>
  <c r="BO98" i="130" s="1"/>
  <c r="AJ144" i="130"/>
  <c r="AJ83" i="130" s="1"/>
  <c r="N140" i="130"/>
  <c r="N79" i="130" s="1"/>
  <c r="BH155" i="130"/>
  <c r="BH94" i="130" s="1"/>
  <c r="T153" i="130"/>
  <c r="T92" i="130" s="1"/>
  <c r="R154" i="130"/>
  <c r="R93" i="130" s="1"/>
  <c r="AW159" i="130"/>
  <c r="AW98" i="130" s="1"/>
  <c r="BE144" i="130"/>
  <c r="BE83" i="130" s="1"/>
  <c r="BC140" i="130"/>
  <c r="BC79" i="130" s="1"/>
  <c r="AV142" i="130"/>
  <c r="AV81" i="130" s="1"/>
  <c r="AP137" i="130"/>
  <c r="AP76" i="130" s="1"/>
  <c r="K167" i="130"/>
  <c r="K106" i="130" s="1"/>
  <c r="AZ160" i="130"/>
  <c r="AZ99" i="130" s="1"/>
  <c r="X164" i="130"/>
  <c r="X103" i="130" s="1"/>
  <c r="BS164" i="130"/>
  <c r="BS103" i="130" s="1"/>
  <c r="BB148" i="130"/>
  <c r="BB87" i="130" s="1"/>
  <c r="BH149" i="130"/>
  <c r="BH88" i="130" s="1"/>
  <c r="AU147" i="130"/>
  <c r="AU86" i="130" s="1"/>
  <c r="T140" i="130"/>
  <c r="T79" i="130" s="1"/>
  <c r="BR142" i="130"/>
  <c r="BR81" i="130" s="1"/>
  <c r="AZ137" i="130"/>
  <c r="AZ76" i="130" s="1"/>
  <c r="D167" i="130"/>
  <c r="D106" i="130" s="1"/>
  <c r="BF160" i="130"/>
  <c r="BF99" i="130" s="1"/>
  <c r="BQ164" i="130"/>
  <c r="BQ103" i="130" s="1"/>
  <c r="AN148" i="130"/>
  <c r="AN87" i="130" s="1"/>
  <c r="AH149" i="130"/>
  <c r="AH88" i="130" s="1"/>
  <c r="BE147" i="130"/>
  <c r="BE86" i="130" s="1"/>
  <c r="AA136" i="130"/>
  <c r="AA75" i="130" s="1"/>
  <c r="AF140" i="130"/>
  <c r="AF79" i="130" s="1"/>
  <c r="BT142" i="130"/>
  <c r="BT81" i="130" s="1"/>
  <c r="BN137" i="130"/>
  <c r="BN76" i="130" s="1"/>
  <c r="AI167" i="130"/>
  <c r="AI106" i="130" s="1"/>
  <c r="E160" i="130"/>
  <c r="E99" i="130" s="1"/>
  <c r="AV164" i="130"/>
  <c r="AV103" i="130" s="1"/>
  <c r="S148" i="130"/>
  <c r="S87" i="130" s="1"/>
  <c r="J148" i="130"/>
  <c r="J87" i="130" s="1"/>
  <c r="I154" i="130"/>
  <c r="I93" i="130" s="1"/>
  <c r="AG159" i="130"/>
  <c r="AO144" i="130"/>
  <c r="AO83" i="130" s="1"/>
  <c r="P141" i="130"/>
  <c r="P80" i="130" s="1"/>
  <c r="Z153" i="130"/>
  <c r="Z92" i="130" s="1"/>
  <c r="E154" i="130"/>
  <c r="E93" i="130" s="1"/>
  <c r="X159" i="130"/>
  <c r="X98" i="130" s="1"/>
  <c r="AZ144" i="130"/>
  <c r="AZ83" i="130" s="1"/>
  <c r="AD140" i="130"/>
  <c r="AD79" i="130" s="1"/>
  <c r="BF165" i="130"/>
  <c r="BF104" i="130" s="1"/>
  <c r="BH153" i="130"/>
  <c r="BH92" i="130" s="1"/>
  <c r="Z154" i="130"/>
  <c r="Z93" i="130" s="1"/>
  <c r="AB159" i="130"/>
  <c r="AB98" i="130" s="1"/>
  <c r="AL144" i="130"/>
  <c r="AL83" i="130" s="1"/>
  <c r="P140" i="130"/>
  <c r="P79" i="130" s="1"/>
  <c r="BL142" i="130"/>
  <c r="BL81" i="130" s="1"/>
  <c r="BF137" i="130"/>
  <c r="BF76" i="130" s="1"/>
  <c r="AA167" i="130"/>
  <c r="AA106" i="130" s="1"/>
  <c r="BP160" i="130"/>
  <c r="BP99" i="130" s="1"/>
  <c r="AN164" i="130"/>
  <c r="AN103" i="130" s="1"/>
  <c r="K148" i="130"/>
  <c r="K87" i="130" s="1"/>
  <c r="AL148" i="130"/>
  <c r="AL87" i="130" s="1"/>
  <c r="AU149" i="130"/>
  <c r="AU88" i="130" s="1"/>
  <c r="D147" i="130"/>
  <c r="D86" i="130" s="1"/>
  <c r="M142" i="130"/>
  <c r="BJ142" i="130"/>
  <c r="BJ81" i="130" s="1"/>
  <c r="AN137" i="130"/>
  <c r="AN76" i="130" s="1"/>
  <c r="BH167" i="130"/>
  <c r="BH106" i="130" s="1"/>
  <c r="AT160" i="130"/>
  <c r="AT99" i="130" s="1"/>
  <c r="AH164" i="130"/>
  <c r="AH103" i="130" s="1"/>
  <c r="BD148" i="130"/>
  <c r="BD87" i="130" s="1"/>
  <c r="AI149" i="130"/>
  <c r="AI88" i="130" s="1"/>
  <c r="F147" i="130"/>
  <c r="F86" i="130" s="1"/>
  <c r="AQ136" i="130"/>
  <c r="BL140" i="130"/>
  <c r="BL79" i="130" s="1"/>
  <c r="AO142" i="130"/>
  <c r="AO81" i="130" s="1"/>
  <c r="K137" i="130"/>
  <c r="K76" i="130" s="1"/>
  <c r="AY167" i="130"/>
  <c r="AY106" i="130" s="1"/>
  <c r="U160" i="130"/>
  <c r="U99" i="130" s="1"/>
  <c r="BL164" i="130"/>
  <c r="BL103" i="130" s="1"/>
  <c r="AI148" i="130"/>
  <c r="AI87" i="130" s="1"/>
  <c r="I149" i="130"/>
  <c r="I88" i="130" s="1"/>
  <c r="AV149" i="130"/>
  <c r="AV88" i="130" s="1"/>
  <c r="D159" i="130"/>
  <c r="D98" i="130" s="1"/>
  <c r="M144" i="130"/>
  <c r="C146" i="130"/>
  <c r="AN157" i="130"/>
  <c r="AN96" i="130" s="1"/>
  <c r="L154" i="130"/>
  <c r="L93" i="130" s="1"/>
  <c r="AI159" i="130"/>
  <c r="AI98" i="130" s="1"/>
  <c r="D144" i="130"/>
  <c r="D83" i="130" s="1"/>
  <c r="AW140" i="130"/>
  <c r="AW79" i="130" s="1"/>
  <c r="R155" i="130"/>
  <c r="R94" i="130" s="1"/>
  <c r="AQ153" i="130"/>
  <c r="AL154" i="130"/>
  <c r="AL93" i="130" s="1"/>
  <c r="AC159" i="130"/>
  <c r="AC98" i="130" s="1"/>
  <c r="BI144" i="130"/>
  <c r="BI83" i="130" s="1"/>
  <c r="BN140" i="130"/>
  <c r="BN79" i="130" s="1"/>
  <c r="L142" i="130"/>
  <c r="L81" i="130" s="1"/>
  <c r="J137" i="130"/>
  <c r="J76" i="130" s="1"/>
  <c r="AX167" i="130"/>
  <c r="AX106" i="130" s="1"/>
  <c r="T160" i="130"/>
  <c r="T99" i="130" s="1"/>
  <c r="BC160" i="130"/>
  <c r="BC99" i="130" s="1"/>
  <c r="H133" i="130"/>
  <c r="H72" i="130" s="1"/>
  <c r="BR133" i="130"/>
  <c r="E133" i="130"/>
  <c r="E72" i="130" s="1"/>
  <c r="BE156" i="130"/>
  <c r="BE95" i="130" s="1"/>
  <c r="AW152" i="130"/>
  <c r="AW91" i="130" s="1"/>
  <c r="BS163" i="130"/>
  <c r="BS102" i="130" s="1"/>
  <c r="G156" i="130"/>
  <c r="G95" i="130" s="1"/>
  <c r="BO156" i="130"/>
  <c r="BO95" i="130" s="1"/>
  <c r="AK152" i="130"/>
  <c r="AK91" i="130" s="1"/>
  <c r="AS163" i="130"/>
  <c r="AS102" i="130" s="1"/>
  <c r="BQ139" i="130"/>
  <c r="BQ78" i="130" s="1"/>
  <c r="AD138" i="130"/>
  <c r="AD77" i="130" s="1"/>
  <c r="AP156" i="130"/>
  <c r="AP95" i="130" s="1"/>
  <c r="AG152" i="130"/>
  <c r="BK163" i="130"/>
  <c r="BK102" i="130" s="1"/>
  <c r="AF139" i="130"/>
  <c r="AF78" i="130" s="1"/>
  <c r="AJ139" i="130"/>
  <c r="AJ78" i="130" s="1"/>
  <c r="BC138" i="130"/>
  <c r="BC77" i="130" s="1"/>
  <c r="AA143" i="130"/>
  <c r="AA82" i="130" s="1"/>
  <c r="D150" i="130"/>
  <c r="D89" i="130" s="1"/>
  <c r="H146" i="130"/>
  <c r="H85" i="130" s="1"/>
  <c r="AP163" i="130"/>
  <c r="AP102" i="130" s="1"/>
  <c r="AU138" i="130"/>
  <c r="AU77" i="130" s="1"/>
  <c r="BM143" i="130"/>
  <c r="BM82" i="130" s="1"/>
  <c r="AI150" i="130"/>
  <c r="AI89" i="130" s="1"/>
  <c r="G146" i="130"/>
  <c r="G85" i="130" s="1"/>
  <c r="BR146" i="130"/>
  <c r="BR85" i="130" s="1"/>
  <c r="AC141" i="130"/>
  <c r="AC80" i="130" s="1"/>
  <c r="AF155" i="130"/>
  <c r="AF94" i="130" s="1"/>
  <c r="P165" i="130"/>
  <c r="P104" i="130" s="1"/>
  <c r="AY163" i="130"/>
  <c r="AY102" i="130" s="1"/>
  <c r="X138" i="130"/>
  <c r="X77" i="130" s="1"/>
  <c r="R143" i="130"/>
  <c r="R82" i="130" s="1"/>
  <c r="BC150" i="130"/>
  <c r="BC89" i="130" s="1"/>
  <c r="AA146" i="130"/>
  <c r="AA85" i="130" s="1"/>
  <c r="BD138" i="130"/>
  <c r="BD77" i="130" s="1"/>
  <c r="Z146" i="130"/>
  <c r="Z85" i="130" s="1"/>
  <c r="BR141" i="130"/>
  <c r="BR80" i="130" s="1"/>
  <c r="AX165" i="130"/>
  <c r="AX104" i="130" s="1"/>
  <c r="G157" i="130"/>
  <c r="G96" i="130" s="1"/>
  <c r="Z150" i="130"/>
  <c r="Z89" i="130" s="1"/>
  <c r="AC156" i="130"/>
  <c r="AC95" i="130" s="1"/>
  <c r="F139" i="130"/>
  <c r="F78" i="130" s="1"/>
  <c r="BG138" i="130"/>
  <c r="BG77" i="130" s="1"/>
  <c r="BS143" i="130"/>
  <c r="BS82" i="130" s="1"/>
  <c r="BQ150" i="130"/>
  <c r="BQ89" i="130" s="1"/>
  <c r="Q146" i="130"/>
  <c r="Q85" i="130" s="1"/>
  <c r="AZ141" i="130"/>
  <c r="AZ80" i="130" s="1"/>
  <c r="AD155" i="130"/>
  <c r="AD94" i="130" s="1"/>
  <c r="BR165" i="130"/>
  <c r="BR104" i="130" s="1"/>
  <c r="F156" i="130"/>
  <c r="F95" i="130" s="1"/>
  <c r="BB139" i="130"/>
  <c r="BB78" i="130" s="1"/>
  <c r="AK138" i="130"/>
  <c r="AK77" i="130" s="1"/>
  <c r="P143" i="130"/>
  <c r="P82" i="130" s="1"/>
  <c r="AD150" i="130"/>
  <c r="AD89" i="130" s="1"/>
  <c r="O156" i="130"/>
  <c r="O95" i="130" s="1"/>
  <c r="BT150" i="130"/>
  <c r="BT89" i="130" s="1"/>
  <c r="BD141" i="130"/>
  <c r="BD80" i="130" s="1"/>
  <c r="AI155" i="130"/>
  <c r="AI94" i="130" s="1"/>
  <c r="BI165" i="130"/>
  <c r="BI104" i="130" s="1"/>
  <c r="M157" i="130"/>
  <c r="AU146" i="130"/>
  <c r="AU85" i="130" s="1"/>
  <c r="J152" i="130"/>
  <c r="J91" i="130" s="1"/>
  <c r="C138" i="130"/>
  <c r="AG143" i="130"/>
  <c r="C150" i="130"/>
  <c r="AP150" i="130"/>
  <c r="AP89" i="130" s="1"/>
  <c r="N146" i="130"/>
  <c r="N85" i="130" s="1"/>
  <c r="BF141" i="130"/>
  <c r="BF80" i="130" s="1"/>
  <c r="C155" i="130"/>
  <c r="L165" i="130"/>
  <c r="L104" i="130" s="1"/>
  <c r="BJ152" i="130"/>
  <c r="BJ91" i="130" s="1"/>
  <c r="AE138" i="130"/>
  <c r="AE77" i="130" s="1"/>
  <c r="BA143" i="130"/>
  <c r="W150" i="130"/>
  <c r="AX150" i="130"/>
  <c r="AX89" i="130" s="1"/>
  <c r="Q139" i="130"/>
  <c r="Q78" i="130" s="1"/>
  <c r="BE146" i="130"/>
  <c r="BE85" i="130" s="1"/>
  <c r="M141" i="130"/>
  <c r="J165" i="130"/>
  <c r="J104" i="130" s="1"/>
  <c r="AT157" i="130"/>
  <c r="AT96" i="130" s="1"/>
  <c r="Q153" i="130"/>
  <c r="Q92" i="130" s="1"/>
  <c r="CJ146" i="130"/>
  <c r="C152" i="130"/>
  <c r="AG139" i="130"/>
  <c r="BT138" i="130"/>
  <c r="BT77" i="130" s="1"/>
  <c r="BL143" i="130"/>
  <c r="BL82" i="130" s="1"/>
  <c r="BB150" i="130"/>
  <c r="BB89" i="130" s="1"/>
  <c r="M146" i="130"/>
  <c r="Y141" i="130"/>
  <c r="Y80" i="130" s="1"/>
  <c r="BJ155" i="130"/>
  <c r="BJ94" i="130" s="1"/>
  <c r="AE165" i="130"/>
  <c r="AE104" i="130" s="1"/>
  <c r="L152" i="130"/>
  <c r="L91" i="130" s="1"/>
  <c r="AH139" i="130"/>
  <c r="AH78" i="130" s="1"/>
  <c r="E143" i="130"/>
  <c r="E82" i="130" s="1"/>
  <c r="D143" i="130"/>
  <c r="D82" i="130" s="1"/>
  <c r="Y150" i="130"/>
  <c r="Y89" i="130" s="1"/>
  <c r="BQ152" i="130"/>
  <c r="BQ91" i="130" s="1"/>
  <c r="BN150" i="130"/>
  <c r="BN89" i="130" s="1"/>
  <c r="AW141" i="130"/>
  <c r="AW80" i="130" s="1"/>
  <c r="BT155" i="130"/>
  <c r="BT94" i="130" s="1"/>
  <c r="BM165" i="130"/>
  <c r="BM104" i="130" s="1"/>
  <c r="P157" i="130"/>
  <c r="P96" i="130" s="1"/>
  <c r="BM153" i="130"/>
  <c r="BM92" i="130" s="1"/>
  <c r="BI150" i="130"/>
  <c r="BI89" i="130" s="1"/>
  <c r="BL141" i="130"/>
  <c r="BL80" i="130" s="1"/>
  <c r="H155" i="130"/>
  <c r="H94" i="130" s="1"/>
  <c r="X165" i="130"/>
  <c r="X104" i="130" s="1"/>
  <c r="AC157" i="130"/>
  <c r="AC96" i="130" s="1"/>
  <c r="L153" i="130"/>
  <c r="L92" i="130" s="1"/>
  <c r="BA154" i="130"/>
  <c r="AC143" i="130"/>
  <c r="AC82" i="130" s="1"/>
  <c r="V146" i="130"/>
  <c r="V85" i="130" s="1"/>
  <c r="BA155" i="130"/>
  <c r="AM165" i="130"/>
  <c r="AM104" i="130" s="1"/>
  <c r="AY157" i="130"/>
  <c r="AC150" i="130"/>
  <c r="AC89" i="130" s="1"/>
  <c r="U157" i="130"/>
  <c r="U96" i="130" s="1"/>
  <c r="BS154" i="130"/>
  <c r="BS93" i="130" s="1"/>
  <c r="AA159" i="130"/>
  <c r="AA98" i="130" s="1"/>
  <c r="BO144" i="130"/>
  <c r="BO83" i="130" s="1"/>
  <c r="AO140" i="130"/>
  <c r="AO79" i="130" s="1"/>
  <c r="AN155" i="130"/>
  <c r="AN94" i="130" s="1"/>
  <c r="BS153" i="130"/>
  <c r="BS92" i="130" s="1"/>
  <c r="AR152" i="130"/>
  <c r="AR91" i="130" s="1"/>
  <c r="AO150" i="130"/>
  <c r="AO89" i="130" s="1"/>
  <c r="AG141" i="130"/>
  <c r="AV155" i="130"/>
  <c r="AV94" i="130" s="1"/>
  <c r="AG165" i="130"/>
  <c r="BI157" i="130"/>
  <c r="BI96" i="130" s="1"/>
  <c r="AR153" i="130"/>
  <c r="AR92" i="130" s="1"/>
  <c r="Y154" i="130"/>
  <c r="Y93" i="130" s="1"/>
  <c r="Z143" i="130"/>
  <c r="Z82" i="130" s="1"/>
  <c r="O141" i="130"/>
  <c r="O80" i="130" s="1"/>
  <c r="F155" i="130"/>
  <c r="F94" i="130" s="1"/>
  <c r="BG165" i="130"/>
  <c r="BG104" i="130" s="1"/>
  <c r="BO157" i="130"/>
  <c r="BO96" i="130" s="1"/>
  <c r="BH146" i="130"/>
  <c r="BH85" i="130" s="1"/>
  <c r="E153" i="130"/>
  <c r="E92" i="130" s="1"/>
  <c r="X154" i="130"/>
  <c r="X93" i="130" s="1"/>
  <c r="AQ159" i="130"/>
  <c r="L144" i="130"/>
  <c r="L83" i="130" s="1"/>
  <c r="BE140" i="130"/>
  <c r="BE79" i="130" s="1"/>
  <c r="N165" i="130"/>
  <c r="N104" i="130" s="1"/>
  <c r="AJ153" i="130"/>
  <c r="AJ92" i="130" s="1"/>
  <c r="L138" i="130"/>
  <c r="L77" i="130" s="1"/>
  <c r="BI146" i="130"/>
  <c r="BI85" i="130" s="1"/>
  <c r="AL141" i="130"/>
  <c r="AL80" i="130" s="1"/>
  <c r="AP165" i="130"/>
  <c r="AP104" i="130" s="1"/>
  <c r="BR157" i="130"/>
  <c r="BR96" i="130" s="1"/>
  <c r="AO153" i="130"/>
  <c r="AO92" i="130" s="1"/>
  <c r="K154" i="130"/>
  <c r="K93" i="130" s="1"/>
  <c r="J154" i="130"/>
  <c r="J93" i="130" s="1"/>
  <c r="BD150" i="130"/>
  <c r="BD89" i="130" s="1"/>
  <c r="AV141" i="130"/>
  <c r="AV80" i="130" s="1"/>
  <c r="S155" i="130"/>
  <c r="S94" i="130" s="1"/>
  <c r="BA165" i="130"/>
  <c r="E157" i="130"/>
  <c r="E96" i="130" s="1"/>
  <c r="U155" i="130"/>
  <c r="U94" i="130" s="1"/>
  <c r="K153" i="130"/>
  <c r="K92" i="130" s="1"/>
  <c r="F154" i="130"/>
  <c r="F93" i="130" s="1"/>
  <c r="AZ159" i="130"/>
  <c r="AZ98" i="130" s="1"/>
  <c r="AK144" i="130"/>
  <c r="AK83" i="130" s="1"/>
  <c r="BL138" i="130"/>
  <c r="BL77" i="130" s="1"/>
  <c r="AQ157" i="130"/>
  <c r="AI154" i="130"/>
  <c r="AI93" i="130" s="1"/>
  <c r="BG139" i="130"/>
  <c r="BG78" i="130" s="1"/>
  <c r="L146" i="130"/>
  <c r="L85" i="130" s="1"/>
  <c r="AX141" i="130"/>
  <c r="AX80" i="130" s="1"/>
  <c r="AZ155" i="130"/>
  <c r="AZ94" i="130" s="1"/>
  <c r="V157" i="130"/>
  <c r="V96" i="130" s="1"/>
  <c r="AW157" i="130"/>
  <c r="AW96" i="130" s="1"/>
  <c r="H153" i="130"/>
  <c r="H92" i="130" s="1"/>
  <c r="AT154" i="130"/>
  <c r="AT93" i="130" s="1"/>
  <c r="AR143" i="130"/>
  <c r="AR82" i="130" s="1"/>
  <c r="BC141" i="130"/>
  <c r="BC80" i="130" s="1"/>
  <c r="AX155" i="130"/>
  <c r="AX94" i="130" s="1"/>
  <c r="BH165" i="130"/>
  <c r="BH104" i="130" s="1"/>
  <c r="AZ157" i="130"/>
  <c r="AZ96" i="130" s="1"/>
  <c r="AU141" i="130"/>
  <c r="AU80" i="130" s="1"/>
  <c r="J153" i="130"/>
  <c r="J92" i="130" s="1"/>
  <c r="BL154" i="130"/>
  <c r="BL93" i="130" s="1"/>
  <c r="H159" i="130"/>
  <c r="H98" i="130" s="1"/>
  <c r="AR144" i="130"/>
  <c r="AR83" i="130" s="1"/>
  <c r="V140" i="130"/>
  <c r="V79" i="130" s="1"/>
  <c r="AF165" i="130"/>
  <c r="AF104" i="130" s="1"/>
  <c r="BT153" i="130"/>
  <c r="BT92" i="130" s="1"/>
  <c r="V159" i="130"/>
  <c r="V98" i="130" s="1"/>
  <c r="BK159" i="130"/>
  <c r="BK98" i="130" s="1"/>
  <c r="AF144" i="130"/>
  <c r="AF83" i="130" s="1"/>
  <c r="AQ138" i="130"/>
  <c r="BN157" i="130"/>
  <c r="BN96" i="130" s="1"/>
  <c r="S154" i="130"/>
  <c r="S93" i="130" s="1"/>
  <c r="BF159" i="130"/>
  <c r="BF98" i="130" s="1"/>
  <c r="AA144" i="130"/>
  <c r="AA83" i="130" s="1"/>
  <c r="CJ140" i="130"/>
  <c r="AN141" i="130"/>
  <c r="AN80" i="130" s="1"/>
  <c r="AD153" i="130"/>
  <c r="AD92" i="130" s="1"/>
  <c r="M154" i="130"/>
  <c r="AF159" i="130"/>
  <c r="AF98" i="130" s="1"/>
  <c r="BD144" i="130"/>
  <c r="BD83" i="130" s="1"/>
  <c r="AH140" i="130"/>
  <c r="AH79" i="130" s="1"/>
  <c r="AE142" i="130"/>
  <c r="AE81" i="130" s="1"/>
  <c r="AC137" i="130"/>
  <c r="AC76" i="130" s="1"/>
  <c r="CJ167" i="130"/>
  <c r="AZ167" i="130"/>
  <c r="AZ106" i="130" s="1"/>
  <c r="AA160" i="130"/>
  <c r="AA99" i="130" s="1"/>
  <c r="AE164" i="130"/>
  <c r="AE103" i="130" s="1"/>
  <c r="BA148" i="130"/>
  <c r="AD149" i="130"/>
  <c r="AD88" i="130" s="1"/>
  <c r="AX147" i="130"/>
  <c r="AX86" i="130" s="1"/>
  <c r="BD140" i="130"/>
  <c r="BD79" i="130" s="1"/>
  <c r="AG142" i="130"/>
  <c r="G137" i="130"/>
  <c r="G76" i="130" s="1"/>
  <c r="AU167" i="130"/>
  <c r="AU106" i="130" s="1"/>
  <c r="Q160" i="130"/>
  <c r="Q99" i="130" s="1"/>
  <c r="BH164" i="130"/>
  <c r="BH103" i="130" s="1"/>
  <c r="AE148" i="130"/>
  <c r="AE87" i="130" s="1"/>
  <c r="E149" i="130"/>
  <c r="E88" i="130" s="1"/>
  <c r="BL149" i="130"/>
  <c r="BL88" i="130" s="1"/>
  <c r="H147" i="130"/>
  <c r="H86" i="130" s="1"/>
  <c r="Z140" i="130"/>
  <c r="Z79" i="130" s="1"/>
  <c r="BC142" i="130"/>
  <c r="BC81" i="130" s="1"/>
  <c r="BA137" i="130"/>
  <c r="Z167" i="130"/>
  <c r="Z106" i="130" s="1"/>
  <c r="BQ167" i="130"/>
  <c r="BQ106" i="130" s="1"/>
  <c r="F160" i="130"/>
  <c r="F99" i="130" s="1"/>
  <c r="AA164" i="130"/>
  <c r="AA103" i="130" s="1"/>
  <c r="AG148" i="130"/>
  <c r="BF149" i="130"/>
  <c r="BF88" i="130" s="1"/>
  <c r="F159" i="130"/>
  <c r="F98" i="130" s="1"/>
  <c r="BA159" i="130"/>
  <c r="BF144" i="130"/>
  <c r="BF83" i="130" s="1"/>
  <c r="BI155" i="130"/>
  <c r="BI94" i="130" s="1"/>
  <c r="AI153" i="130"/>
  <c r="AI92" i="130" s="1"/>
  <c r="AD154" i="130"/>
  <c r="AD93" i="130" s="1"/>
  <c r="M159" i="130"/>
  <c r="BA144" i="130"/>
  <c r="BI163" i="130"/>
  <c r="BI102" i="130" s="1"/>
  <c r="R157" i="130"/>
  <c r="R96" i="130" s="1"/>
  <c r="C154" i="130"/>
  <c r="AT159" i="130"/>
  <c r="AT98" i="130" s="1"/>
  <c r="O144" i="130"/>
  <c r="O83" i="130" s="1"/>
  <c r="BJ144" i="130"/>
  <c r="BJ83" i="130" s="1"/>
  <c r="C140" i="130"/>
  <c r="AC142" i="130"/>
  <c r="AC81" i="130" s="1"/>
  <c r="AI137" i="130"/>
  <c r="AI76" i="130" s="1"/>
  <c r="H167" i="130"/>
  <c r="H106" i="130" s="1"/>
  <c r="AS160" i="130"/>
  <c r="AS99" i="130" s="1"/>
  <c r="Q164" i="130"/>
  <c r="Q103" i="130" s="1"/>
  <c r="BG148" i="130"/>
  <c r="BG87" i="130" s="1"/>
  <c r="AG149" i="130"/>
  <c r="E147" i="130"/>
  <c r="E86" i="130" s="1"/>
  <c r="AF147" i="130"/>
  <c r="AF86" i="130" s="1"/>
  <c r="AI142" i="130"/>
  <c r="AI81" i="130" s="1"/>
  <c r="AG137" i="130"/>
  <c r="F167" i="130"/>
  <c r="F106" i="130" s="1"/>
  <c r="BP167" i="130"/>
  <c r="BP106" i="130" s="1"/>
  <c r="AI160" i="130"/>
  <c r="AI99" i="130" s="1"/>
  <c r="AU164" i="130"/>
  <c r="AU103" i="130" s="1"/>
  <c r="BI148" i="130"/>
  <c r="BI87" i="130" s="1"/>
  <c r="AJ149" i="130"/>
  <c r="AJ88" i="130" s="1"/>
  <c r="BB147" i="130"/>
  <c r="BB86" i="130" s="1"/>
  <c r="T136" i="130"/>
  <c r="T75" i="130" s="1"/>
  <c r="BH140" i="130"/>
  <c r="BH79" i="130" s="1"/>
  <c r="O142" i="130"/>
  <c r="O81" i="130" s="1"/>
  <c r="BG137" i="130"/>
  <c r="BG76" i="130" s="1"/>
  <c r="BD167" i="130"/>
  <c r="BD106" i="130" s="1"/>
  <c r="BQ160" i="130"/>
  <c r="BQ99" i="130" s="1"/>
  <c r="AO164" i="130"/>
  <c r="AO103" i="130" s="1"/>
  <c r="L148" i="130"/>
  <c r="L87" i="130" s="1"/>
  <c r="G149" i="130"/>
  <c r="G88" i="130" s="1"/>
  <c r="AL159" i="130"/>
  <c r="AL98" i="130" s="1"/>
  <c r="G144" i="130"/>
  <c r="G83" i="130" s="1"/>
  <c r="AX144" i="130"/>
  <c r="AX83" i="130" s="1"/>
  <c r="W155" i="130"/>
  <c r="G153" i="130"/>
  <c r="G92" i="130" s="1"/>
  <c r="BR154" i="130"/>
  <c r="BR93" i="130" s="1"/>
  <c r="I159" i="130"/>
  <c r="I98" i="130" s="1"/>
  <c r="Q144" i="130"/>
  <c r="Q83" i="130" s="1"/>
  <c r="Q138" i="130"/>
  <c r="Q77" i="130" s="1"/>
  <c r="K157" i="130"/>
  <c r="K96" i="130" s="1"/>
  <c r="W154" i="130"/>
  <c r="BJ159" i="130"/>
  <c r="BJ98" i="130" s="1"/>
  <c r="AE144" i="130"/>
  <c r="AE83" i="130" s="1"/>
  <c r="E140" i="130"/>
  <c r="E79" i="130" s="1"/>
  <c r="BO140" i="130"/>
  <c r="BO79" i="130" s="1"/>
  <c r="BI142" i="130"/>
  <c r="BI81" i="130" s="1"/>
  <c r="AY137" i="130"/>
  <c r="AY76" i="130" s="1"/>
  <c r="AN167" i="130"/>
  <c r="AN106" i="130" s="1"/>
  <c r="BI160" i="130"/>
  <c r="BI99" i="130" s="1"/>
  <c r="AG164" i="130"/>
  <c r="D148" i="130"/>
  <c r="D87" i="130" s="1"/>
  <c r="J149" i="130"/>
  <c r="J88" i="130" s="1"/>
  <c r="U147" i="130"/>
  <c r="U86" i="130" s="1"/>
  <c r="J140" i="130"/>
  <c r="J79" i="130" s="1"/>
  <c r="AY142" i="130"/>
  <c r="AY81" i="130" s="1"/>
  <c r="AW137" i="130"/>
  <c r="AW76" i="130" s="1"/>
  <c r="V167" i="130"/>
  <c r="V106" i="130" s="1"/>
  <c r="BA167" i="130"/>
  <c r="BO160" i="130"/>
  <c r="BO99" i="130" s="1"/>
  <c r="S164" i="130"/>
  <c r="S103" i="130" s="1"/>
  <c r="Y148" i="130"/>
  <c r="Y87" i="130" s="1"/>
  <c r="BB149" i="130"/>
  <c r="BB88" i="130" s="1"/>
  <c r="BR147" i="130"/>
  <c r="BR86" i="130" s="1"/>
  <c r="AJ136" i="130"/>
  <c r="AJ75" i="130" s="1"/>
  <c r="AR140" i="130"/>
  <c r="AR79" i="130" s="1"/>
  <c r="T142" i="130"/>
  <c r="T81" i="130" s="1"/>
  <c r="D137" i="130"/>
  <c r="D76" i="130" s="1"/>
  <c r="AG167" i="130"/>
  <c r="AH160" i="130"/>
  <c r="AH99" i="130" s="1"/>
  <c r="BE164" i="130"/>
  <c r="BE103" i="130" s="1"/>
  <c r="AB148" i="130"/>
  <c r="AB87" i="130" s="1"/>
  <c r="R149" i="130"/>
  <c r="R88" i="130" s="1"/>
  <c r="BM154" i="130"/>
  <c r="BM93" i="130" s="1"/>
  <c r="BM159" i="130"/>
  <c r="BM98" i="130" s="1"/>
  <c r="F144" i="130"/>
  <c r="F83" i="130" s="1"/>
  <c r="BM141" i="130"/>
  <c r="BM80" i="130" s="1"/>
  <c r="AT153" i="130"/>
  <c r="AT92" i="130" s="1"/>
  <c r="AS154" i="130"/>
  <c r="AS93" i="130" s="1"/>
  <c r="BD159" i="130"/>
  <c r="BD98" i="130" s="1"/>
  <c r="BP144" i="130"/>
  <c r="BP83" i="130" s="1"/>
  <c r="AT140" i="130"/>
  <c r="AT79" i="130" s="1"/>
  <c r="BS165" i="130"/>
  <c r="BS104" i="130" s="1"/>
  <c r="BK153" i="130"/>
  <c r="BK92" i="130" s="1"/>
  <c r="N159" i="130"/>
  <c r="N98" i="130" s="1"/>
  <c r="U159" i="130"/>
  <c r="U98" i="130" s="1"/>
  <c r="Z144" i="130"/>
  <c r="Z83" i="130" s="1"/>
  <c r="AV140" i="130"/>
  <c r="AV79" i="130" s="1"/>
  <c r="X142" i="130"/>
  <c r="X81" i="130" s="1"/>
  <c r="C137" i="130"/>
  <c r="AQ167" i="130"/>
  <c r="M160" i="130"/>
  <c r="BD164" i="130"/>
  <c r="BD103" i="130" s="1"/>
  <c r="AA148" i="130"/>
  <c r="AA87" i="130" s="1"/>
  <c r="CJ149" i="130"/>
  <c r="Z149" i="130"/>
  <c r="Z88" i="130" s="1"/>
  <c r="BP147" i="130"/>
  <c r="BP86" i="130" s="1"/>
  <c r="F142" i="130"/>
  <c r="F81" i="130" s="1"/>
  <c r="CJ137" i="130"/>
  <c r="AD133" i="130"/>
  <c r="AV133" i="130"/>
  <c r="AV72" i="130" s="1"/>
  <c r="AZ133" i="130"/>
  <c r="C156" i="130"/>
  <c r="BG156" i="130"/>
  <c r="BG95" i="130" s="1"/>
  <c r="U152" i="130"/>
  <c r="U91" i="130" s="1"/>
  <c r="AC163" i="130"/>
  <c r="AC102" i="130" s="1"/>
  <c r="P156" i="130"/>
  <c r="P95" i="130" s="1"/>
  <c r="AQ152" i="130"/>
  <c r="R163" i="130"/>
  <c r="R102" i="130" s="1"/>
  <c r="U163" i="130"/>
  <c r="U102" i="130" s="1"/>
  <c r="AO139" i="130"/>
  <c r="AO78" i="130" s="1"/>
  <c r="AS138" i="130"/>
  <c r="AS77" i="130" s="1"/>
  <c r="BK156" i="130"/>
  <c r="BK95" i="130" s="1"/>
  <c r="BN152" i="130"/>
  <c r="BN91" i="130" s="1"/>
  <c r="BP163" i="130"/>
  <c r="BP102" i="130" s="1"/>
  <c r="AX156" i="130"/>
  <c r="AX95" i="130" s="1"/>
  <c r="V139" i="130"/>
  <c r="V78" i="130" s="1"/>
  <c r="F138" i="130"/>
  <c r="F77" i="130" s="1"/>
  <c r="AB143" i="130"/>
  <c r="AB82" i="130" s="1"/>
  <c r="BA150" i="130"/>
  <c r="BT146" i="130"/>
  <c r="BT85" i="130" s="1"/>
  <c r="K139" i="130"/>
  <c r="K78" i="130" s="1"/>
  <c r="U138" i="130"/>
  <c r="U77" i="130" s="1"/>
  <c r="BJ143" i="130"/>
  <c r="BJ82" i="130" s="1"/>
  <c r="AB150" i="130"/>
  <c r="AB89" i="130" s="1"/>
  <c r="BS146" i="130"/>
  <c r="BS85" i="130" s="1"/>
  <c r="AQ141" i="130"/>
  <c r="Q155" i="130"/>
  <c r="Q94" i="130" s="1"/>
  <c r="BP155" i="130"/>
  <c r="BP94" i="130" s="1"/>
  <c r="BQ165" i="130"/>
  <c r="BQ104" i="130" s="1"/>
  <c r="T139" i="130"/>
  <c r="T78" i="130" s="1"/>
  <c r="AW138" i="130"/>
  <c r="AW77" i="130" s="1"/>
  <c r="S143" i="130"/>
  <c r="S82" i="130" s="1"/>
  <c r="AV150" i="130"/>
  <c r="AV89" i="130" s="1"/>
  <c r="T146" i="130"/>
  <c r="T85" i="130" s="1"/>
  <c r="AP143" i="130"/>
  <c r="AP82" i="130" s="1"/>
  <c r="S141" i="130"/>
  <c r="S80" i="130" s="1"/>
  <c r="J155" i="130"/>
  <c r="J94" i="130" s="1"/>
  <c r="BO165" i="130"/>
  <c r="BO104" i="130" s="1"/>
  <c r="BS157" i="130"/>
  <c r="BS96" i="130" s="1"/>
  <c r="AE146" i="130"/>
  <c r="AE85" i="130" s="1"/>
  <c r="BH152" i="130"/>
  <c r="BH91" i="130" s="1"/>
  <c r="AX139" i="130"/>
  <c r="AX78" i="130" s="1"/>
  <c r="Q143" i="130"/>
  <c r="Q82" i="130" s="1"/>
  <c r="BT143" i="130"/>
  <c r="BT82" i="130" s="1"/>
  <c r="AW150" i="130"/>
  <c r="AW89" i="130" s="1"/>
  <c r="J146" i="130"/>
  <c r="J85" i="130" s="1"/>
  <c r="Z141" i="130"/>
  <c r="Z80" i="130" s="1"/>
  <c r="AU155" i="130"/>
  <c r="AU94" i="130" s="1"/>
  <c r="BK165" i="130"/>
  <c r="BK104" i="130" s="1"/>
  <c r="AP152" i="130"/>
  <c r="AP91" i="130" s="1"/>
  <c r="K138" i="130"/>
  <c r="K77" i="130" s="1"/>
  <c r="AK143" i="130"/>
  <c r="AK82" i="130" s="1"/>
  <c r="G150" i="130"/>
  <c r="G89" i="130" s="1"/>
  <c r="R150" i="130"/>
  <c r="R89" i="130" s="1"/>
  <c r="BL139" i="130"/>
  <c r="BL78" i="130" s="1"/>
  <c r="AR146" i="130"/>
  <c r="AR85" i="130" s="1"/>
  <c r="E141" i="130"/>
  <c r="E80" i="130" s="1"/>
  <c r="AJ155" i="130"/>
  <c r="AJ94" i="130" s="1"/>
  <c r="AD157" i="130"/>
  <c r="AD96" i="130" s="1"/>
  <c r="BP150" i="130"/>
  <c r="BP89" i="130" s="1"/>
  <c r="AN146" i="130"/>
  <c r="AN85" i="130" s="1"/>
  <c r="BD163" i="130"/>
  <c r="BD102" i="130" s="1"/>
  <c r="AN138" i="130"/>
  <c r="AN77" i="130" s="1"/>
  <c r="AD143" i="130"/>
  <c r="AD82" i="130" s="1"/>
  <c r="BO150" i="130"/>
  <c r="BO89" i="130" s="1"/>
  <c r="AM146" i="130"/>
  <c r="AM85" i="130" s="1"/>
  <c r="K141" i="130"/>
  <c r="K80" i="130" s="1"/>
  <c r="AT141" i="130"/>
  <c r="AT80" i="130" s="1"/>
  <c r="AQ155" i="130"/>
  <c r="E165" i="130"/>
  <c r="E104" i="130" s="1"/>
  <c r="BM163" i="130"/>
  <c r="BM102" i="130" s="1"/>
  <c r="E138" i="130"/>
  <c r="E77" i="130" s="1"/>
  <c r="AX143" i="130"/>
  <c r="AX82" i="130" s="1"/>
  <c r="P150" i="130"/>
  <c r="P89" i="130" s="1"/>
  <c r="BG146" i="130"/>
  <c r="BG85" i="130" s="1"/>
  <c r="J138" i="130"/>
  <c r="J77" i="130" s="1"/>
  <c r="AL146" i="130"/>
  <c r="AL85" i="130" s="1"/>
  <c r="AK155" i="130"/>
  <c r="AK94" i="130" s="1"/>
  <c r="W165" i="130"/>
  <c r="AM157" i="130"/>
  <c r="AM96" i="130" s="1"/>
  <c r="N153" i="130"/>
  <c r="N92" i="130" s="1"/>
  <c r="BK146" i="130"/>
  <c r="BK85" i="130" s="1"/>
  <c r="F152" i="130"/>
  <c r="F91" i="130" s="1"/>
  <c r="AA138" i="130"/>
  <c r="AA77" i="130" s="1"/>
  <c r="AW143" i="130"/>
  <c r="AW82" i="130" s="1"/>
  <c r="S150" i="130"/>
  <c r="S89" i="130" s="1"/>
  <c r="J150" i="130"/>
  <c r="J89" i="130" s="1"/>
  <c r="AH146" i="130"/>
  <c r="AH85" i="130" s="1"/>
  <c r="AK141" i="130"/>
  <c r="AK80" i="130" s="1"/>
  <c r="BO155" i="130"/>
  <c r="BO94" i="130" s="1"/>
  <c r="AR165" i="130"/>
  <c r="AR104" i="130" s="1"/>
  <c r="BF163" i="130"/>
  <c r="BF102" i="130" s="1"/>
  <c r="AY138" i="130"/>
  <c r="AY77" i="130" s="1"/>
  <c r="BQ143" i="130"/>
  <c r="BQ82" i="130" s="1"/>
  <c r="AM150" i="130"/>
  <c r="AM89" i="130" s="1"/>
  <c r="K146" i="130"/>
  <c r="K85" i="130" s="1"/>
  <c r="S138" i="130"/>
  <c r="S77" i="130" s="1"/>
  <c r="AK146" i="130"/>
  <c r="AK85" i="130" s="1"/>
  <c r="AD141" i="130"/>
  <c r="AD80" i="130" s="1"/>
  <c r="AD165" i="130"/>
  <c r="AD104" i="130" s="1"/>
  <c r="BJ157" i="130"/>
  <c r="BJ96" i="130" s="1"/>
  <c r="AG153" i="130"/>
  <c r="BI139" i="130"/>
  <c r="BI78" i="130" s="1"/>
  <c r="I146" i="130"/>
  <c r="I85" i="130" s="1"/>
  <c r="BA141" i="130"/>
  <c r="T155" i="130"/>
  <c r="T94" i="130" s="1"/>
  <c r="AL157" i="130"/>
  <c r="AL96" i="130" s="1"/>
  <c r="I153" i="130"/>
  <c r="I92" i="130" s="1"/>
  <c r="BL153" i="130"/>
  <c r="BL92" i="130" s="1"/>
  <c r="Q154" i="130"/>
  <c r="Q93" i="130" s="1"/>
  <c r="CJ150" i="130"/>
  <c r="H141" i="130"/>
  <c r="H80" i="130" s="1"/>
  <c r="BR155" i="130"/>
  <c r="BR94" i="130" s="1"/>
  <c r="BL165" i="130"/>
  <c r="BL104" i="130" s="1"/>
  <c r="X157" i="130"/>
  <c r="X96" i="130" s="1"/>
  <c r="BH141" i="130"/>
  <c r="BH80" i="130" s="1"/>
  <c r="AH153" i="130"/>
  <c r="AH92" i="130" s="1"/>
  <c r="AC154" i="130"/>
  <c r="AC93" i="130" s="1"/>
  <c r="AN159" i="130"/>
  <c r="AN98" i="130" s="1"/>
  <c r="BH144" i="130"/>
  <c r="BH83" i="130" s="1"/>
  <c r="AY152" i="130"/>
  <c r="AY91" i="130" s="1"/>
  <c r="Q165" i="130"/>
  <c r="Q104" i="130" s="1"/>
  <c r="BD153" i="130"/>
  <c r="BD92" i="130" s="1"/>
  <c r="AP139" i="130"/>
  <c r="AP78" i="130" s="1"/>
  <c r="U146" i="130"/>
  <c r="U85" i="130" s="1"/>
  <c r="BI141" i="130"/>
  <c r="BI80" i="130" s="1"/>
  <c r="R165" i="130"/>
  <c r="R104" i="130" s="1"/>
  <c r="BB157" i="130"/>
  <c r="BB96" i="130" s="1"/>
  <c r="Y153" i="130"/>
  <c r="Y92" i="130" s="1"/>
  <c r="AF153" i="130"/>
  <c r="AF92" i="130" s="1"/>
  <c r="AH154" i="130"/>
  <c r="AH93" i="130" s="1"/>
  <c r="BK150" i="130"/>
  <c r="BK89" i="130" s="1"/>
  <c r="AB141" i="130"/>
  <c r="AB80" i="130" s="1"/>
  <c r="AM155" i="130"/>
  <c r="AM94" i="130" s="1"/>
  <c r="M165" i="130"/>
  <c r="I157" i="130"/>
  <c r="I96" i="130" s="1"/>
  <c r="U141" i="130"/>
  <c r="U80" i="130" s="1"/>
  <c r="BF153" i="130"/>
  <c r="BF92" i="130" s="1"/>
  <c r="BQ154" i="130"/>
  <c r="BQ93" i="130" s="1"/>
  <c r="BT159" i="130"/>
  <c r="BT98" i="130" s="1"/>
  <c r="E144" i="130"/>
  <c r="E83" i="130" s="1"/>
  <c r="Y139" i="130"/>
  <c r="Y78" i="130" s="1"/>
  <c r="AX157" i="130"/>
  <c r="AX96" i="130" s="1"/>
  <c r="O154" i="130"/>
  <c r="O93" i="130" s="1"/>
  <c r="J143" i="130"/>
  <c r="J82" i="130" s="1"/>
  <c r="G141" i="130"/>
  <c r="G80" i="130" s="1"/>
  <c r="BQ155" i="130"/>
  <c r="BQ94" i="130" s="1"/>
  <c r="BC165" i="130"/>
  <c r="BC104" i="130" s="1"/>
  <c r="BK157" i="130"/>
  <c r="BK96" i="130" s="1"/>
  <c r="AL153" i="130"/>
  <c r="AL92" i="130" s="1"/>
  <c r="D154" i="130"/>
  <c r="D93" i="130" s="1"/>
  <c r="AN139" i="130"/>
  <c r="AN78" i="130" s="1"/>
  <c r="AB146" i="130"/>
  <c r="AB85" i="130" s="1"/>
  <c r="BN141" i="130"/>
  <c r="BN80" i="130" s="1"/>
  <c r="D155" i="130"/>
  <c r="D94" i="130" s="1"/>
  <c r="Z157" i="130"/>
  <c r="Z96" i="130" s="1"/>
  <c r="BM157" i="130"/>
  <c r="BM96" i="130" s="1"/>
  <c r="G165" i="130"/>
  <c r="G104" i="130" s="1"/>
  <c r="BP153" i="130"/>
  <c r="BP92" i="130" s="1"/>
  <c r="CJ159" i="130"/>
  <c r="AR159" i="130"/>
  <c r="AR98" i="130" s="1"/>
  <c r="BB144" i="130"/>
  <c r="BB83" i="130" s="1"/>
  <c r="R146" i="130"/>
  <c r="R85" i="130" s="1"/>
  <c r="BA153" i="130"/>
  <c r="AV154" i="130"/>
  <c r="AV93" i="130" s="1"/>
  <c r="N138" i="130"/>
  <c r="N77" i="130" s="1"/>
  <c r="BF146" i="130"/>
  <c r="BF85" i="130" s="1"/>
  <c r="E155" i="130"/>
  <c r="E94" i="130" s="1"/>
  <c r="BJ165" i="130"/>
  <c r="BJ104" i="130" s="1"/>
  <c r="O157" i="130"/>
  <c r="O96" i="130" s="1"/>
  <c r="BE153" i="130"/>
  <c r="BE92" i="130" s="1"/>
  <c r="AA154" i="130"/>
  <c r="AA93" i="130" s="1"/>
  <c r="BQ156" i="130"/>
  <c r="BQ95" i="130" s="1"/>
  <c r="N150" i="130"/>
  <c r="N89" i="130" s="1"/>
  <c r="BT141" i="130"/>
  <c r="BT80" i="130" s="1"/>
  <c r="P155" i="130"/>
  <c r="P94" i="130" s="1"/>
  <c r="AN165" i="130"/>
  <c r="AN104" i="130" s="1"/>
  <c r="AK157" i="130"/>
  <c r="AK96" i="130" s="1"/>
  <c r="AL155" i="130"/>
  <c r="AL94" i="130" s="1"/>
  <c r="AY153" i="130"/>
  <c r="AY92" i="130" s="1"/>
  <c r="BB154" i="130"/>
  <c r="BB93" i="130" s="1"/>
  <c r="AS159" i="130"/>
  <c r="AS98" i="130" s="1"/>
  <c r="BQ144" i="130"/>
  <c r="BQ83" i="130" s="1"/>
  <c r="X143" i="130"/>
  <c r="X82" i="130" s="1"/>
  <c r="BP157" i="130"/>
  <c r="BP96" i="130" s="1"/>
  <c r="BC154" i="130"/>
  <c r="BC93" i="130" s="1"/>
  <c r="AB154" i="130"/>
  <c r="AB93" i="130" s="1"/>
  <c r="BP159" i="130"/>
  <c r="BP98" i="130" s="1"/>
  <c r="AS144" i="130"/>
  <c r="AS83" i="130" s="1"/>
  <c r="BA146" i="130"/>
  <c r="AC153" i="130"/>
  <c r="AC92" i="130" s="1"/>
  <c r="AF154" i="130"/>
  <c r="AF93" i="130" s="1"/>
  <c r="AY159" i="130"/>
  <c r="AY98" i="130" s="1"/>
  <c r="T144" i="130"/>
  <c r="T83" i="130" s="1"/>
  <c r="BM140" i="130"/>
  <c r="BM79" i="130" s="1"/>
  <c r="BK155" i="130"/>
  <c r="BK94" i="130" s="1"/>
  <c r="W153" i="130"/>
  <c r="AG154" i="130"/>
  <c r="Q159" i="130"/>
  <c r="Q98" i="130" s="1"/>
  <c r="Y144" i="130"/>
  <c r="Y83" i="130" s="1"/>
  <c r="W140" i="130"/>
  <c r="AF142" i="130"/>
  <c r="AF81" i="130" s="1"/>
  <c r="Z137" i="130"/>
  <c r="Z76" i="130" s="1"/>
  <c r="BN167" i="130"/>
  <c r="BN106" i="130" s="1"/>
  <c r="AJ160" i="130"/>
  <c r="AJ99" i="130" s="1"/>
  <c r="H164" i="130"/>
  <c r="H103" i="130" s="1"/>
  <c r="G164" i="130"/>
  <c r="G103" i="130" s="1"/>
  <c r="AH148" i="130"/>
  <c r="AH87" i="130" s="1"/>
  <c r="S149" i="130"/>
  <c r="S88" i="130" s="1"/>
  <c r="O147" i="130"/>
  <c r="O86" i="130" s="1"/>
  <c r="BP140" i="130"/>
  <c r="BP79" i="130" s="1"/>
  <c r="BN142" i="130"/>
  <c r="BN81" i="130" s="1"/>
  <c r="BS137" i="130"/>
  <c r="BS76" i="130" s="1"/>
  <c r="Q167" i="130"/>
  <c r="Q106" i="130" s="1"/>
  <c r="Z160" i="130"/>
  <c r="Z99" i="130" s="1"/>
  <c r="BA164" i="130"/>
  <c r="X148" i="130"/>
  <c r="X87" i="130" s="1"/>
  <c r="K149" i="130"/>
  <c r="K88" i="130" s="1"/>
  <c r="AO147" i="130"/>
  <c r="AO86" i="130" s="1"/>
  <c r="K136" i="130"/>
  <c r="K75" i="130" s="1"/>
  <c r="BS140" i="130"/>
  <c r="BS79" i="130" s="1"/>
  <c r="BD142" i="130"/>
  <c r="BD81" i="130" s="1"/>
  <c r="AX137" i="130"/>
  <c r="AX76" i="130" s="1"/>
  <c r="S167" i="130"/>
  <c r="S106" i="130" s="1"/>
  <c r="BH160" i="130"/>
  <c r="BH99" i="130" s="1"/>
  <c r="AF164" i="130"/>
  <c r="AF103" i="130" s="1"/>
  <c r="C148" i="130"/>
  <c r="BF148" i="130"/>
  <c r="BF87" i="130" s="1"/>
  <c r="X149" i="130"/>
  <c r="X88" i="130" s="1"/>
  <c r="O159" i="130"/>
  <c r="O98" i="130" s="1"/>
  <c r="BC144" i="130"/>
  <c r="BC83" i="130" s="1"/>
  <c r="AC140" i="130"/>
  <c r="AC79" i="130" s="1"/>
  <c r="AY165" i="130"/>
  <c r="AY104" i="130" s="1"/>
  <c r="AU153" i="130"/>
  <c r="AU92" i="130" s="1"/>
  <c r="J159" i="130"/>
  <c r="J98" i="130" s="1"/>
  <c r="E159" i="130"/>
  <c r="E98" i="130" s="1"/>
  <c r="J144" i="130"/>
  <c r="J83" i="130" s="1"/>
  <c r="BO146" i="130"/>
  <c r="BO85" i="130" s="1"/>
  <c r="AG157" i="130"/>
  <c r="P154" i="130"/>
  <c r="P93" i="130" s="1"/>
  <c r="AM159" i="130"/>
  <c r="AM98" i="130" s="1"/>
  <c r="H144" i="130"/>
  <c r="H83" i="130" s="1"/>
  <c r="BA140" i="130"/>
  <c r="I142" i="130"/>
  <c r="I81" i="130" s="1"/>
  <c r="AD142" i="130"/>
  <c r="AD81" i="130" s="1"/>
  <c r="X137" i="130"/>
  <c r="X76" i="130" s="1"/>
  <c r="AR167" i="130"/>
  <c r="AR106" i="130" s="1"/>
  <c r="AD160" i="130"/>
  <c r="AD99" i="130" s="1"/>
  <c r="Z164" i="130"/>
  <c r="Z103" i="130" s="1"/>
  <c r="AZ148" i="130"/>
  <c r="AZ87" i="130" s="1"/>
  <c r="AA149" i="130"/>
  <c r="AA88" i="130" s="1"/>
  <c r="BQ147" i="130"/>
  <c r="BQ86" i="130" s="1"/>
  <c r="AE140" i="130"/>
  <c r="AE79" i="130" s="1"/>
  <c r="AJ142" i="130"/>
  <c r="AJ81" i="130" s="1"/>
  <c r="AD137" i="130"/>
  <c r="AD76" i="130" s="1"/>
  <c r="BR167" i="130"/>
  <c r="BR106" i="130" s="1"/>
  <c r="AN160" i="130"/>
  <c r="AN99" i="130" s="1"/>
  <c r="L164" i="130"/>
  <c r="L103" i="130" s="1"/>
  <c r="W164" i="130"/>
  <c r="AX148" i="130"/>
  <c r="AX87" i="130" s="1"/>
  <c r="AF149" i="130"/>
  <c r="AF88" i="130" s="1"/>
  <c r="W147" i="130"/>
  <c r="M136" i="130"/>
  <c r="J142" i="130"/>
  <c r="J81" i="130" s="1"/>
  <c r="E137" i="130"/>
  <c r="E76" i="130" s="1"/>
  <c r="AF137" i="130"/>
  <c r="AF76" i="130" s="1"/>
  <c r="I167" i="130"/>
  <c r="I106" i="130" s="1"/>
  <c r="AE160" i="130"/>
  <c r="AE99" i="130" s="1"/>
  <c r="F164" i="130"/>
  <c r="F103" i="130" s="1"/>
  <c r="E148" i="130"/>
  <c r="E87" i="130" s="1"/>
  <c r="BE149" i="130"/>
  <c r="BE88" i="130" s="1"/>
  <c r="AE159" i="130"/>
  <c r="AE98" i="130" s="1"/>
  <c r="BS144" i="130"/>
  <c r="BS83" i="130" s="1"/>
  <c r="AS140" i="130"/>
  <c r="AS79" i="130" s="1"/>
  <c r="AO165" i="130"/>
  <c r="AO104" i="130" s="1"/>
  <c r="X153" i="130"/>
  <c r="X92" i="130" s="1"/>
  <c r="Z159" i="130"/>
  <c r="Z98" i="130" s="1"/>
  <c r="BQ159" i="130"/>
  <c r="BQ98" i="130" s="1"/>
  <c r="N144" i="130"/>
  <c r="N83" i="130" s="1"/>
  <c r="AP146" i="130"/>
  <c r="AP85" i="130" s="1"/>
  <c r="AK153" i="130"/>
  <c r="AK92" i="130" s="1"/>
  <c r="AN154" i="130"/>
  <c r="AN93" i="130" s="1"/>
  <c r="BC159" i="130"/>
  <c r="BC98" i="130" s="1"/>
  <c r="X144" i="130"/>
  <c r="X83" i="130" s="1"/>
  <c r="BQ140" i="130"/>
  <c r="BQ79" i="130" s="1"/>
  <c r="Y142" i="130"/>
  <c r="Y81" i="130" s="1"/>
  <c r="AT142" i="130"/>
  <c r="AT81" i="130" s="1"/>
  <c r="AB137" i="130"/>
  <c r="AB76" i="130" s="1"/>
  <c r="AK167" i="130"/>
  <c r="AK106" i="130" s="1"/>
  <c r="G160" i="130"/>
  <c r="G99" i="130" s="1"/>
  <c r="BF164" i="130"/>
  <c r="BF103" i="130" s="1"/>
  <c r="BP148" i="130"/>
  <c r="BP87" i="130" s="1"/>
  <c r="AW149" i="130"/>
  <c r="AW88" i="130" s="1"/>
  <c r="R147" i="130"/>
  <c r="R86" i="130" s="1"/>
  <c r="BK140" i="130"/>
  <c r="BK79" i="130" s="1"/>
  <c r="AZ142" i="130"/>
  <c r="AZ81" i="130" s="1"/>
  <c r="AT137" i="130"/>
  <c r="AT76" i="130" s="1"/>
  <c r="O167" i="130"/>
  <c r="O106" i="130" s="1"/>
  <c r="BD160" i="130"/>
  <c r="BD99" i="130" s="1"/>
  <c r="AB164" i="130"/>
  <c r="AB103" i="130" s="1"/>
  <c r="CJ148" i="130"/>
  <c r="Z148" i="130"/>
  <c r="Z87" i="130" s="1"/>
  <c r="BP149" i="130"/>
  <c r="BP88" i="130" s="1"/>
  <c r="BC147" i="130"/>
  <c r="BC86" i="130" s="1"/>
  <c r="AC136" i="130"/>
  <c r="AC75" i="130" s="1"/>
  <c r="V142" i="130"/>
  <c r="V81" i="130" s="1"/>
  <c r="U137" i="130"/>
  <c r="U76" i="130" s="1"/>
  <c r="P137" i="130"/>
  <c r="P76" i="130" s="1"/>
  <c r="L167" i="130"/>
  <c r="L106" i="130" s="1"/>
  <c r="K160" i="130"/>
  <c r="K99" i="130" s="1"/>
  <c r="BR164" i="130"/>
  <c r="BR103" i="130" s="1"/>
  <c r="AK148" i="130"/>
  <c r="AK87" i="130" s="1"/>
  <c r="L149" i="130"/>
  <c r="L88" i="130" s="1"/>
  <c r="BB159" i="130"/>
  <c r="BB98" i="130" s="1"/>
  <c r="W144" i="130"/>
  <c r="AH144" i="130"/>
  <c r="AH83" i="130" s="1"/>
  <c r="K155" i="130"/>
  <c r="K94" i="130" s="1"/>
  <c r="D153" i="130"/>
  <c r="D92" i="130" s="1"/>
  <c r="BN154" i="130"/>
  <c r="BN93" i="130" s="1"/>
  <c r="AO159" i="130"/>
  <c r="AO98" i="130" s="1"/>
  <c r="AW144" i="130"/>
  <c r="AW83" i="130" s="1"/>
  <c r="BF143" i="130"/>
  <c r="BF82" i="130" s="1"/>
  <c r="D157" i="130"/>
  <c r="D96" i="130" s="1"/>
  <c r="AU154" i="130"/>
  <c r="AU93" i="130" s="1"/>
  <c r="G159" i="130"/>
  <c r="G98" i="130" s="1"/>
  <c r="AU144" i="130"/>
  <c r="AU83" i="130" s="1"/>
  <c r="U140" i="130"/>
  <c r="U79" i="130" s="1"/>
  <c r="AJ140" i="130"/>
  <c r="AJ79" i="130" s="1"/>
  <c r="AX142" i="130"/>
  <c r="AX81" i="130" s="1"/>
  <c r="BO137" i="130"/>
  <c r="BO76" i="130" s="1"/>
  <c r="BT167" i="130"/>
  <c r="BT106" i="130" s="1"/>
  <c r="R160" i="130"/>
  <c r="R99" i="130" s="1"/>
  <c r="AW164" i="130"/>
  <c r="AW103" i="130" s="1"/>
  <c r="T148" i="130"/>
  <c r="T87" i="130" s="1"/>
  <c r="C149" i="130"/>
  <c r="AA264" i="1"/>
  <c r="T264" i="1"/>
  <c r="U264" i="1"/>
  <c r="V264" i="1"/>
  <c r="S264" i="1" s="1"/>
  <c r="IG5" i="1"/>
  <c r="IG6" i="1" s="1"/>
  <c r="HL5" i="1"/>
  <c r="HL6" i="1" s="1"/>
  <c r="HR5" i="1"/>
  <c r="HR6" i="1" s="1"/>
  <c r="ID5" i="1"/>
  <c r="ID6" i="1" s="1"/>
  <c r="IF5" i="1"/>
  <c r="IF6" i="1" s="1"/>
  <c r="HP5" i="1"/>
  <c r="HP6" i="1" s="1"/>
  <c r="HO5" i="1"/>
  <c r="HO6" i="1" s="1"/>
  <c r="GZ5" i="1"/>
  <c r="GZ6" i="1" s="1"/>
  <c r="IJ5" i="1"/>
  <c r="IJ6" i="1" s="1"/>
  <c r="HW5" i="1"/>
  <c r="HW6" i="1" s="1"/>
  <c r="DM16" i="1"/>
  <c r="EB16" i="1"/>
  <c r="DW69" i="1"/>
  <c r="BW77" i="93" s="1"/>
  <c r="DA77" i="93" s="1"/>
  <c r="LF77" i="93" s="1"/>
  <c r="MM77" i="93" s="1"/>
  <c r="DT71" i="1"/>
  <c r="BY74" i="93" s="1"/>
  <c r="DC74" i="93" s="1"/>
  <c r="LH74" i="93" s="1"/>
  <c r="MO74" i="93" s="1"/>
  <c r="DN72" i="1"/>
  <c r="BZ68" i="93" s="1"/>
  <c r="DD68" i="93" s="1"/>
  <c r="LI68" i="93" s="1"/>
  <c r="MP68" i="93" s="1"/>
  <c r="EM69" i="1"/>
  <c r="BW93" i="93" s="1"/>
  <c r="DA93" i="93" s="1"/>
  <c r="LF93" i="93" s="1"/>
  <c r="MM93" i="93" s="1"/>
  <c r="DR71" i="1"/>
  <c r="BY72" i="93" s="1"/>
  <c r="DC72" i="93" s="1"/>
  <c r="LH72" i="93" s="1"/>
  <c r="MO72" i="93" s="1"/>
  <c r="EJ70" i="1"/>
  <c r="BX90" i="93" s="1"/>
  <c r="DB90" i="93" s="1"/>
  <c r="LG90" i="93" s="1"/>
  <c r="MN90" i="93" s="1"/>
  <c r="EF75" i="1"/>
  <c r="CC86" i="93" s="1"/>
  <c r="DG86" i="93" s="1"/>
  <c r="LL86" i="93" s="1"/>
  <c r="MS86" i="93" s="1"/>
  <c r="EL74" i="1"/>
  <c r="CB92" i="93" s="1"/>
  <c r="DF92" i="93" s="1"/>
  <c r="LK92" i="93" s="1"/>
  <c r="MR92" i="93" s="1"/>
  <c r="DZ72" i="1"/>
  <c r="BZ80" i="93" s="1"/>
  <c r="DD80" i="93" s="1"/>
  <c r="LI80" i="93" s="1"/>
  <c r="MP80" i="93" s="1"/>
  <c r="DK75" i="1"/>
  <c r="CC65" i="93" s="1"/>
  <c r="DG65" i="93" s="1"/>
  <c r="LL65" i="93" s="1"/>
  <c r="MS65" i="93" s="1"/>
  <c r="EB68" i="1"/>
  <c r="BV82" i="93" s="1"/>
  <c r="CZ82" i="93" s="1"/>
  <c r="LE82" i="93" s="1"/>
  <c r="ML82" i="93" s="1"/>
  <c r="DU74" i="1"/>
  <c r="CB75" i="93" s="1"/>
  <c r="DF75" i="93" s="1"/>
  <c r="LK75" i="93" s="1"/>
  <c r="MR75" i="93" s="1"/>
  <c r="EF67" i="1"/>
  <c r="DO74" i="1"/>
  <c r="CB69" i="93" s="1"/>
  <c r="DF69" i="93" s="1"/>
  <c r="LK69" i="93" s="1"/>
  <c r="MR69" i="93" s="1"/>
  <c r="EM15" i="1"/>
  <c r="BQ93" i="93" s="1"/>
  <c r="CU93" i="93" s="1"/>
  <c r="EB15" i="1"/>
  <c r="BQ82" i="93" s="1"/>
  <c r="CU82" i="93" s="1"/>
  <c r="R151" i="130"/>
  <c r="R90" i="130" s="1"/>
  <c r="AN134" i="130"/>
  <c r="AN73" i="130" s="1"/>
  <c r="BQ162" i="130"/>
  <c r="BQ101" i="130" s="1"/>
  <c r="AE135" i="130"/>
  <c r="AE74" i="130" s="1"/>
  <c r="C166" i="130"/>
  <c r="BL145" i="130"/>
  <c r="BL84" i="130" s="1"/>
  <c r="X161" i="130"/>
  <c r="X100" i="130" s="1"/>
  <c r="DJ67" i="1"/>
  <c r="BU64" i="93" s="1"/>
  <c r="DL75" i="1"/>
  <c r="CC66" i="93" s="1"/>
  <c r="DG66" i="93" s="1"/>
  <c r="LL66" i="93" s="1"/>
  <c r="MS66" i="93" s="1"/>
  <c r="DK68" i="1"/>
  <c r="BV65" i="93" s="1"/>
  <c r="CZ65" i="93" s="1"/>
  <c r="LE65" i="93" s="1"/>
  <c r="ML65" i="93" s="1"/>
  <c r="EL75" i="1"/>
  <c r="CC92" i="93" s="1"/>
  <c r="DG92" i="93" s="1"/>
  <c r="LL92" i="93" s="1"/>
  <c r="MS92" i="93" s="1"/>
  <c r="DX69" i="1"/>
  <c r="BW78" i="93" s="1"/>
  <c r="DA78" i="93" s="1"/>
  <c r="LF78" i="93" s="1"/>
  <c r="MM78" i="93" s="1"/>
  <c r="EG71" i="1"/>
  <c r="BY87" i="93" s="1"/>
  <c r="DC87" i="93" s="1"/>
  <c r="LH87" i="93" s="1"/>
  <c r="MO87" i="93" s="1"/>
  <c r="EJ72" i="1"/>
  <c r="BZ90" i="93" s="1"/>
  <c r="DD90" i="93" s="1"/>
  <c r="LI90" i="93" s="1"/>
  <c r="MP90" i="93" s="1"/>
  <c r="DL76" i="1"/>
  <c r="CD66" i="93" s="1"/>
  <c r="DH66" i="93" s="1"/>
  <c r="LM66" i="93" s="1"/>
  <c r="MT66" i="93" s="1"/>
  <c r="DN74" i="1"/>
  <c r="CB68" i="93" s="1"/>
  <c r="DF68" i="93" s="1"/>
  <c r="LK68" i="93" s="1"/>
  <c r="MR68" i="93" s="1"/>
  <c r="EB67" i="1"/>
  <c r="DO73" i="1"/>
  <c r="CA69" i="93" s="1"/>
  <c r="DE69" i="93" s="1"/>
  <c r="LJ69" i="93" s="1"/>
  <c r="MQ69" i="93" s="1"/>
  <c r="DS76" i="1"/>
  <c r="CD73" i="93" s="1"/>
  <c r="DH73" i="93" s="1"/>
  <c r="LM73" i="93" s="1"/>
  <c r="MT73" i="93" s="1"/>
  <c r="DU67" i="1"/>
  <c r="EL73" i="1"/>
  <c r="CA92" i="93" s="1"/>
  <c r="DE92" i="93" s="1"/>
  <c r="LJ92" i="93" s="1"/>
  <c r="MQ92" i="93" s="1"/>
  <c r="DS72" i="1"/>
  <c r="BZ73" i="93" s="1"/>
  <c r="DD73" i="93" s="1"/>
  <c r="LI73" i="93" s="1"/>
  <c r="MP73" i="93" s="1"/>
  <c r="EL15" i="1"/>
  <c r="BQ92" i="93" s="1"/>
  <c r="CU92" i="93" s="1"/>
  <c r="EA15" i="1"/>
  <c r="BQ81" i="93" s="1"/>
  <c r="CU81" i="93" s="1"/>
  <c r="P151" i="130"/>
  <c r="P90" i="130" s="1"/>
  <c r="AL134" i="130"/>
  <c r="AL73" i="130" s="1"/>
  <c r="R162" i="130"/>
  <c r="R101" i="130" s="1"/>
  <c r="BH135" i="130"/>
  <c r="BH74" i="130" s="1"/>
  <c r="Y135" i="130"/>
  <c r="Y74" i="130" s="1"/>
  <c r="AZ166" i="130"/>
  <c r="AZ105" i="130" s="1"/>
  <c r="N145" i="130"/>
  <c r="N84" i="130" s="1"/>
  <c r="AM161" i="130"/>
  <c r="AM100" i="130" s="1"/>
  <c r="EF16" i="1"/>
  <c r="DZ16" i="1"/>
  <c r="DJ16" i="1"/>
  <c r="DJ76" i="1"/>
  <c r="CD64" i="93" s="1"/>
  <c r="EB76" i="1"/>
  <c r="CD82" i="93" s="1"/>
  <c r="DH82" i="93" s="1"/>
  <c r="LM82" i="93" s="1"/>
  <c r="MT82" i="93" s="1"/>
  <c r="DN76" i="1"/>
  <c r="CD68" i="93" s="1"/>
  <c r="DH68" i="93" s="1"/>
  <c r="LM68" i="93" s="1"/>
  <c r="MT68" i="93" s="1"/>
  <c r="DW74" i="1"/>
  <c r="CB77" i="93" s="1"/>
  <c r="DF77" i="93" s="1"/>
  <c r="LK77" i="93" s="1"/>
  <c r="MR77" i="93" s="1"/>
  <c r="DM76" i="1"/>
  <c r="CD67" i="93" s="1"/>
  <c r="DH67" i="93" s="1"/>
  <c r="LM67" i="93" s="1"/>
  <c r="MT67" i="93" s="1"/>
  <c r="DY71" i="1"/>
  <c r="BY79" i="93" s="1"/>
  <c r="DC79" i="93" s="1"/>
  <c r="LH79" i="93" s="1"/>
  <c r="MO79" i="93" s="1"/>
  <c r="EB75" i="1"/>
  <c r="CC82" i="93" s="1"/>
  <c r="DG82" i="93" s="1"/>
  <c r="LL82" i="93" s="1"/>
  <c r="MS82" i="93" s="1"/>
  <c r="DQ69" i="1"/>
  <c r="BW71" i="93" s="1"/>
  <c r="DA71" i="93" s="1"/>
  <c r="LF71" i="93" s="1"/>
  <c r="MM71" i="93" s="1"/>
  <c r="EA71" i="1"/>
  <c r="BY81" i="93" s="1"/>
  <c r="DC81" i="93" s="1"/>
  <c r="LH81" i="93" s="1"/>
  <c r="MO81" i="93" s="1"/>
  <c r="DZ67" i="1"/>
  <c r="DR72" i="1"/>
  <c r="BZ72" i="93" s="1"/>
  <c r="DD72" i="93" s="1"/>
  <c r="LI72" i="93" s="1"/>
  <c r="MP72" i="93" s="1"/>
  <c r="DT75" i="1"/>
  <c r="CC74" i="93" s="1"/>
  <c r="DG74" i="93" s="1"/>
  <c r="LL74" i="93" s="1"/>
  <c r="MS74" i="93" s="1"/>
  <c r="EA68" i="1"/>
  <c r="BV81" i="93" s="1"/>
  <c r="CZ81" i="93" s="1"/>
  <c r="LE81" i="93" s="1"/>
  <c r="ML81" i="93" s="1"/>
  <c r="EL72" i="1"/>
  <c r="BZ92" i="93" s="1"/>
  <c r="DD92" i="93" s="1"/>
  <c r="LI92" i="93" s="1"/>
  <c r="MP92" i="93" s="1"/>
  <c r="DT68" i="1"/>
  <c r="BV74" i="93" s="1"/>
  <c r="CZ74" i="93" s="1"/>
  <c r="LE74" i="93" s="1"/>
  <c r="ML74" i="93" s="1"/>
  <c r="DL74" i="1"/>
  <c r="CB66" i="93" s="1"/>
  <c r="DF66" i="93" s="1"/>
  <c r="LK66" i="93" s="1"/>
  <c r="MR66" i="93" s="1"/>
  <c r="DT15" i="1"/>
  <c r="BQ74" i="93" s="1"/>
  <c r="CU74" i="93" s="1"/>
  <c r="AI151" i="130"/>
  <c r="AI90" i="130" s="1"/>
  <c r="BM134" i="130"/>
  <c r="BM73" i="130" s="1"/>
  <c r="AU162" i="130"/>
  <c r="AU101" i="130" s="1"/>
  <c r="AR135" i="130"/>
  <c r="AR74" i="130" s="1"/>
  <c r="I135" i="130"/>
  <c r="I74" i="130" s="1"/>
  <c r="AJ166" i="130"/>
  <c r="AJ105" i="130" s="1"/>
  <c r="BM145" i="130"/>
  <c r="BM84" i="130" s="1"/>
  <c r="W161" i="130"/>
  <c r="DK16" i="1"/>
  <c r="DY16" i="1"/>
  <c r="DJ74" i="1"/>
  <c r="CB64" i="93" s="1"/>
  <c r="DR69" i="1"/>
  <c r="BW72" i="93" s="1"/>
  <c r="DA72" i="93" s="1"/>
  <c r="LF72" i="93" s="1"/>
  <c r="MM72" i="93" s="1"/>
  <c r="EE67" i="1"/>
  <c r="EF69" i="1"/>
  <c r="BW86" i="93" s="1"/>
  <c r="DA86" i="93" s="1"/>
  <c r="LF86" i="93" s="1"/>
  <c r="MM86" i="93" s="1"/>
  <c r="EM71" i="1"/>
  <c r="BY93" i="93" s="1"/>
  <c r="DC93" i="93" s="1"/>
  <c r="LH93" i="93" s="1"/>
  <c r="MO93" i="93" s="1"/>
  <c r="DS75" i="1"/>
  <c r="CC73" i="93" s="1"/>
  <c r="DG73" i="93" s="1"/>
  <c r="LL73" i="93" s="1"/>
  <c r="MS73" i="93" s="1"/>
  <c r="DM74" i="1"/>
  <c r="CB67" i="93" s="1"/>
  <c r="DF67" i="93" s="1"/>
  <c r="LK67" i="93" s="1"/>
  <c r="MR67" i="93" s="1"/>
  <c r="EI75" i="1"/>
  <c r="CC89" i="93" s="1"/>
  <c r="DG89" i="93" s="1"/>
  <c r="LL89" i="93" s="1"/>
  <c r="MS89" i="93" s="1"/>
  <c r="EJ68" i="1"/>
  <c r="BV90" i="93" s="1"/>
  <c r="CZ90" i="93" s="1"/>
  <c r="LE90" i="93" s="1"/>
  <c r="ML90" i="93" s="1"/>
  <c r="DX74" i="1"/>
  <c r="CB78" i="93" s="1"/>
  <c r="DF78" i="93" s="1"/>
  <c r="LK78" i="93" s="1"/>
  <c r="MR78" i="93" s="1"/>
  <c r="DO75" i="1"/>
  <c r="CC69" i="93" s="1"/>
  <c r="DG69" i="93" s="1"/>
  <c r="LL69" i="93" s="1"/>
  <c r="MS69" i="93" s="1"/>
  <c r="EM68" i="1"/>
  <c r="BV93" i="93" s="1"/>
  <c r="CZ93" i="93" s="1"/>
  <c r="LE93" i="93" s="1"/>
  <c r="ML93" i="93" s="1"/>
  <c r="EB74" i="1"/>
  <c r="CB82" i="93" s="1"/>
  <c r="DF82" i="93" s="1"/>
  <c r="LK82" i="93" s="1"/>
  <c r="MR82" i="93" s="1"/>
  <c r="DM67" i="1"/>
  <c r="EF74" i="1"/>
  <c r="CB86" i="93" s="1"/>
  <c r="DF86" i="93" s="1"/>
  <c r="LK86" i="93" s="1"/>
  <c r="MR86" i="93" s="1"/>
  <c r="DX15" i="1"/>
  <c r="BQ78" i="93" s="1"/>
  <c r="CU78" i="93" s="1"/>
  <c r="AH151" i="130"/>
  <c r="AH90" i="130" s="1"/>
  <c r="BD134" i="130"/>
  <c r="BD73" i="130" s="1"/>
  <c r="AD162" i="130"/>
  <c r="AD101" i="130" s="1"/>
  <c r="AU135" i="130"/>
  <c r="AU74" i="130" s="1"/>
  <c r="BO166" i="130"/>
  <c r="BO105" i="130" s="1"/>
  <c r="AZ145" i="130"/>
  <c r="AZ84" i="130" s="1"/>
  <c r="Q161" i="130"/>
  <c r="Q100" i="130" s="1"/>
  <c r="Z136" i="130"/>
  <c r="Z75" i="130" s="1"/>
  <c r="AN158" i="130"/>
  <c r="AN97" i="130" s="1"/>
  <c r="M158" i="130"/>
  <c r="AT151" i="130"/>
  <c r="AT90" i="130" s="1"/>
  <c r="BP134" i="130"/>
  <c r="BP73" i="130" s="1"/>
  <c r="BB162" i="130"/>
  <c r="BB101" i="130" s="1"/>
  <c r="BG135" i="130"/>
  <c r="BG74" i="130" s="1"/>
  <c r="W166" i="130"/>
  <c r="AN145" i="130"/>
  <c r="AN84" i="130" s="1"/>
  <c r="BM161" i="130"/>
  <c r="BM100" i="130" s="1"/>
  <c r="Z161" i="130"/>
  <c r="Z100" i="130" s="1"/>
  <c r="BB158" i="130"/>
  <c r="BB97" i="130" s="1"/>
  <c r="I158" i="130"/>
  <c r="I97" i="130" s="1"/>
  <c r="AP151" i="130"/>
  <c r="AP90" i="130" s="1"/>
  <c r="BL134" i="130"/>
  <c r="BL73" i="130" s="1"/>
  <c r="AT162" i="130"/>
  <c r="AT101" i="130" s="1"/>
  <c r="BC135" i="130"/>
  <c r="BC74" i="130" s="1"/>
  <c r="O166" i="130"/>
  <c r="O105" i="130" s="1"/>
  <c r="H145" i="130"/>
  <c r="H84" i="130" s="1"/>
  <c r="AW161" i="130"/>
  <c r="AW100" i="130" s="1"/>
  <c r="V161" i="130"/>
  <c r="V100" i="130" s="1"/>
  <c r="BJ158" i="130"/>
  <c r="BJ97" i="130" s="1"/>
  <c r="X151" i="130"/>
  <c r="X90" i="130" s="1"/>
  <c r="BB134" i="130"/>
  <c r="BB73" i="130" s="1"/>
  <c r="AH162" i="130"/>
  <c r="AH101" i="130" s="1"/>
  <c r="CJ162" i="130"/>
  <c r="AC135" i="130"/>
  <c r="AC74" i="130" s="1"/>
  <c r="BD166" i="130"/>
  <c r="BD105" i="130" s="1"/>
  <c r="R145" i="130"/>
  <c r="R84" i="130" s="1"/>
  <c r="AQ161" i="130"/>
  <c r="AY136" i="130"/>
  <c r="AY75" i="130" s="1"/>
  <c r="AD147" i="130"/>
  <c r="AD86" i="130" s="1"/>
  <c r="BI149" i="130"/>
  <c r="BI88" i="130" s="1"/>
  <c r="M148" i="130"/>
  <c r="V164" i="130"/>
  <c r="V103" i="130" s="1"/>
  <c r="AU160" i="130"/>
  <c r="AU99" i="130" s="1"/>
  <c r="Y167" i="130"/>
  <c r="Y106" i="130" s="1"/>
  <c r="BL137" i="130"/>
  <c r="BL76" i="130" s="1"/>
  <c r="I137" i="130"/>
  <c r="I76" i="130" s="1"/>
  <c r="C142" i="130"/>
  <c r="AP136" i="130"/>
  <c r="AP75" i="130" s="1"/>
  <c r="AB147" i="130"/>
  <c r="AB86" i="130" s="1"/>
  <c r="BK149" i="130"/>
  <c r="BK88" i="130" s="1"/>
  <c r="BS158" i="130"/>
  <c r="BS97" i="130" s="1"/>
  <c r="C158" i="130"/>
  <c r="BT151" i="130"/>
  <c r="BT90" i="130" s="1"/>
  <c r="N134" i="130"/>
  <c r="N73" i="130" s="1"/>
  <c r="BG162" i="130"/>
  <c r="BG101" i="130" s="1"/>
  <c r="X162" i="130"/>
  <c r="X101" i="130" s="1"/>
  <c r="BA135" i="130"/>
  <c r="I166" i="130"/>
  <c r="I105" i="130" s="1"/>
  <c r="AP145" i="130"/>
  <c r="AP84" i="130" s="1"/>
  <c r="BO161" i="130"/>
  <c r="BO100" i="130" s="1"/>
  <c r="AB136" i="130"/>
  <c r="AB75" i="130" s="1"/>
  <c r="BF158" i="130"/>
  <c r="BF97" i="130" s="1"/>
  <c r="BL151" i="130"/>
  <c r="BL90" i="130" s="1"/>
  <c r="BF134" i="130"/>
  <c r="BF73" i="130" s="1"/>
  <c r="AQ162" i="130"/>
  <c r="T162" i="130"/>
  <c r="T101" i="130" s="1"/>
  <c r="AW135" i="130"/>
  <c r="AW74" i="130" s="1"/>
  <c r="E166" i="130"/>
  <c r="E105" i="130" s="1"/>
  <c r="AL145" i="130"/>
  <c r="AL84" i="130" s="1"/>
  <c r="BK161" i="130"/>
  <c r="BK100" i="130" s="1"/>
  <c r="P136" i="130"/>
  <c r="P75" i="130" s="1"/>
  <c r="AB158" i="130"/>
  <c r="AB97" i="130" s="1"/>
  <c r="BE151" i="130"/>
  <c r="BE90" i="130" s="1"/>
  <c r="L134" i="130"/>
  <c r="L73" i="130" s="1"/>
  <c r="AO162" i="130"/>
  <c r="AO101" i="130" s="1"/>
  <c r="C135" i="130"/>
  <c r="BB166" i="130"/>
  <c r="BB105" i="130" s="1"/>
  <c r="AQ145" i="130"/>
  <c r="AC161" i="130"/>
  <c r="AC100" i="130" s="1"/>
  <c r="AH136" i="130"/>
  <c r="AH75" i="130" s="1"/>
  <c r="BS147" i="130"/>
  <c r="BS86" i="130" s="1"/>
  <c r="AL149" i="130"/>
  <c r="AL88" i="130" s="1"/>
  <c r="F148" i="130"/>
  <c r="F87" i="130" s="1"/>
  <c r="G148" i="130"/>
  <c r="G87" i="130" s="1"/>
  <c r="AJ164" i="130"/>
  <c r="AJ103" i="130" s="1"/>
  <c r="BL160" i="130"/>
  <c r="BL99" i="130" s="1"/>
  <c r="W167" i="130"/>
  <c r="BB137" i="130"/>
  <c r="BB76" i="130" s="1"/>
  <c r="BH142" i="130"/>
  <c r="BH81" i="130" s="1"/>
  <c r="H140" i="130"/>
  <c r="H79" i="130" s="1"/>
  <c r="H136" i="130"/>
  <c r="H75" i="130" s="1"/>
  <c r="AP147" i="130"/>
  <c r="AP86" i="130" s="1"/>
  <c r="Y136" i="130"/>
  <c r="Y75" i="130" s="1"/>
  <c r="BP151" i="130"/>
  <c r="BP90" i="130" s="1"/>
  <c r="AZ158" i="130"/>
  <c r="AZ97" i="130" s="1"/>
  <c r="N151" i="130"/>
  <c r="N90" i="130" s="1"/>
  <c r="AJ134" i="130"/>
  <c r="AJ73" i="130" s="1"/>
  <c r="BM162" i="130"/>
  <c r="BM101" i="130" s="1"/>
  <c r="AA135" i="130"/>
  <c r="AA74" i="130" s="1"/>
  <c r="BF166" i="130"/>
  <c r="BF105" i="130" s="1"/>
  <c r="AV145" i="130"/>
  <c r="AV84" i="130" s="1"/>
  <c r="H161" i="130"/>
  <c r="H100" i="130" s="1"/>
  <c r="V136" i="130"/>
  <c r="V75" i="130" s="1"/>
  <c r="Q158" i="130"/>
  <c r="Q97" i="130" s="1"/>
  <c r="AV158" i="130"/>
  <c r="AV97" i="130" s="1"/>
  <c r="J151" i="130"/>
  <c r="J90" i="130" s="1"/>
  <c r="AF134" i="130"/>
  <c r="AF73" i="130" s="1"/>
  <c r="BI162" i="130"/>
  <c r="BI101" i="130" s="1"/>
  <c r="W135" i="130"/>
  <c r="AP166" i="130"/>
  <c r="AP105" i="130" s="1"/>
  <c r="AF145" i="130"/>
  <c r="AF84" i="130" s="1"/>
  <c r="BQ161" i="130"/>
  <c r="BQ100" i="130" s="1"/>
  <c r="AX136" i="130"/>
  <c r="AX75" i="130" s="1"/>
  <c r="BQ158" i="130"/>
  <c r="BQ97" i="130" s="1"/>
  <c r="BK151" i="130"/>
  <c r="BK90" i="130" s="1"/>
  <c r="BA134" i="130"/>
  <c r="W162" i="130"/>
  <c r="AN135" i="130"/>
  <c r="AN74" i="130" s="1"/>
  <c r="BG166" i="130"/>
  <c r="BG105" i="130" s="1"/>
  <c r="X166" i="130"/>
  <c r="X105" i="130" s="1"/>
  <c r="BA145" i="130"/>
  <c r="K161" i="130"/>
  <c r="K100" i="130" s="1"/>
  <c r="AI136" i="130"/>
  <c r="AI75" i="130" s="1"/>
  <c r="BM147" i="130"/>
  <c r="BM86" i="130" s="1"/>
  <c r="T149" i="130"/>
  <c r="T88" i="130" s="1"/>
  <c r="AV148" i="130"/>
  <c r="AV87" i="130" s="1"/>
  <c r="R164" i="130"/>
  <c r="R103" i="130" s="1"/>
  <c r="N160" i="130"/>
  <c r="N99" i="130" s="1"/>
  <c r="AB167" i="130"/>
  <c r="AB106" i="130" s="1"/>
  <c r="H137" i="130"/>
  <c r="H76" i="130" s="1"/>
  <c r="BF142" i="130"/>
  <c r="BF81" i="130" s="1"/>
  <c r="E142" i="130"/>
  <c r="E81" i="130" s="1"/>
  <c r="AW136" i="130"/>
  <c r="AW75" i="130" s="1"/>
  <c r="AJ147" i="130"/>
  <c r="AJ86" i="130" s="1"/>
  <c r="AP149" i="130"/>
  <c r="AP88" i="130" s="1"/>
  <c r="R158" i="130"/>
  <c r="R97" i="130" s="1"/>
  <c r="AE158" i="130"/>
  <c r="AE97" i="130" s="1"/>
  <c r="AJ151" i="130"/>
  <c r="AJ90" i="130" s="1"/>
  <c r="CJ151" i="130"/>
  <c r="AA134" i="130"/>
  <c r="AA73" i="130" s="1"/>
  <c r="BD162" i="130"/>
  <c r="BD101" i="130" s="1"/>
  <c r="R135" i="130"/>
  <c r="R74" i="130" s="1"/>
  <c r="AO166" i="130"/>
  <c r="AO105" i="130" s="1"/>
  <c r="G145" i="130"/>
  <c r="G84" i="130" s="1"/>
  <c r="AZ161" i="130"/>
  <c r="AZ100" i="130" s="1"/>
  <c r="U136" i="130"/>
  <c r="U75" i="130" s="1"/>
  <c r="W158" i="130"/>
  <c r="AZ151" i="130"/>
  <c r="AZ90" i="130" s="1"/>
  <c r="BN134" i="130"/>
  <c r="BN73" i="130" s="1"/>
  <c r="W134" i="130"/>
  <c r="AZ162" i="130"/>
  <c r="AZ101" i="130" s="1"/>
  <c r="N135" i="130"/>
  <c r="N74" i="130" s="1"/>
  <c r="AK166" i="130"/>
  <c r="AK105" i="130" s="1"/>
  <c r="BR145" i="130"/>
  <c r="BR84" i="130" s="1"/>
  <c r="AR161" i="130"/>
  <c r="AR100" i="130" s="1"/>
  <c r="I136" i="130"/>
  <c r="I75" i="130" s="1"/>
  <c r="BH158" i="130"/>
  <c r="BH97" i="130" s="1"/>
  <c r="V151" i="130"/>
  <c r="V90" i="130" s="1"/>
  <c r="AR134" i="130"/>
  <c r="AR73" i="130" s="1"/>
  <c r="F162" i="130"/>
  <c r="F101" i="130" s="1"/>
  <c r="AI135" i="130"/>
  <c r="AI74" i="130" s="1"/>
  <c r="S166" i="130"/>
  <c r="S105" i="130" s="1"/>
  <c r="D145" i="130"/>
  <c r="D84" i="130" s="1"/>
  <c r="AN161" i="130"/>
  <c r="AN100" i="130" s="1"/>
  <c r="CJ161" i="130"/>
  <c r="AN147" i="130"/>
  <c r="AN86" i="130" s="1"/>
  <c r="D149" i="130"/>
  <c r="D88" i="130" s="1"/>
  <c r="M149" i="130"/>
  <c r="AM148" i="130"/>
  <c r="AM87" i="130" s="1"/>
  <c r="BP164" i="130"/>
  <c r="BP103" i="130" s="1"/>
  <c r="Y160" i="130"/>
  <c r="Y99" i="130" s="1"/>
  <c r="BC167" i="130"/>
  <c r="BC106" i="130" s="1"/>
  <c r="O137" i="130"/>
  <c r="O76" i="130" s="1"/>
  <c r="AW142" i="130"/>
  <c r="AW81" i="130" s="1"/>
  <c r="BT140" i="130"/>
  <c r="BT79" i="130" s="1"/>
  <c r="AN136" i="130"/>
  <c r="AN75" i="130" s="1"/>
  <c r="C147" i="130"/>
  <c r="Y149" i="130"/>
  <c r="Y88" i="130" s="1"/>
  <c r="AY148" i="130"/>
  <c r="AY87" i="130" s="1"/>
  <c r="I164" i="130"/>
  <c r="I103" i="130" s="1"/>
  <c r="AK160" i="130"/>
  <c r="AK99" i="130" s="1"/>
  <c r="BO167" i="130"/>
  <c r="BO106" i="130" s="1"/>
  <c r="AA137" i="130"/>
  <c r="AA76" i="130" s="1"/>
  <c r="G142" i="130"/>
  <c r="G81" i="130" s="1"/>
  <c r="AQ140" i="130"/>
  <c r="BG136" i="130"/>
  <c r="BG75" i="130" s="1"/>
  <c r="V147" i="130"/>
  <c r="V86" i="130" s="1"/>
  <c r="BA149" i="130"/>
  <c r="BT148" i="130"/>
  <c r="BT87" i="130" s="1"/>
  <c r="BN164" i="130"/>
  <c r="BN103" i="130" s="1"/>
  <c r="O160" i="130"/>
  <c r="O99" i="130" s="1"/>
  <c r="BI167" i="130"/>
  <c r="BI106" i="130" s="1"/>
  <c r="BH137" i="130"/>
  <c r="BH76" i="130" s="1"/>
  <c r="BQ142" i="130"/>
  <c r="BQ81" i="130" s="1"/>
  <c r="X140" i="130"/>
  <c r="X79" i="130" s="1"/>
  <c r="AK147" i="130"/>
  <c r="AK86" i="130" s="1"/>
  <c r="U148" i="130"/>
  <c r="U87" i="130" s="1"/>
  <c r="AO167" i="130"/>
  <c r="AO106" i="130" s="1"/>
  <c r="AM223" i="1"/>
  <c r="R223" i="1"/>
  <c r="GB223" i="1"/>
  <c r="FN223" i="1"/>
  <c r="FT223" i="1"/>
  <c r="AA321" i="1"/>
  <c r="U321" i="1"/>
  <c r="T321" i="1"/>
  <c r="V321" i="1"/>
  <c r="S321" i="1" s="1"/>
  <c r="AA235" i="1"/>
  <c r="T235" i="1"/>
  <c r="U235" i="1"/>
  <c r="V235" i="1"/>
  <c r="S235" i="1" s="1"/>
  <c r="AM195" i="1"/>
  <c r="GB195" i="1"/>
  <c r="R195" i="1"/>
  <c r="FN195" i="1"/>
  <c r="FT195" i="1"/>
  <c r="AA247" i="1"/>
  <c r="T247" i="1"/>
  <c r="U247" i="1"/>
  <c r="V247" i="1"/>
  <c r="S247" i="1" s="1"/>
  <c r="EJ71" i="1"/>
  <c r="BY90" i="93" s="1"/>
  <c r="DC90" i="93" s="1"/>
  <c r="LH90" i="93" s="1"/>
  <c r="MO90" i="93" s="1"/>
  <c r="DR67" i="1"/>
  <c r="DK76" i="1"/>
  <c r="CD65" i="93" s="1"/>
  <c r="DH65" i="93" s="1"/>
  <c r="LM65" i="93" s="1"/>
  <c r="MT65" i="93" s="1"/>
  <c r="DY68" i="1"/>
  <c r="BV79" i="93" s="1"/>
  <c r="CZ79" i="93" s="1"/>
  <c r="LE79" i="93" s="1"/>
  <c r="ML79" i="93" s="1"/>
  <c r="DZ74" i="1"/>
  <c r="CB80" i="93" s="1"/>
  <c r="DF80" i="93" s="1"/>
  <c r="LK80" i="93" s="1"/>
  <c r="MR80" i="93" s="1"/>
  <c r="EA76" i="1"/>
  <c r="CD81" i="93" s="1"/>
  <c r="DH81" i="93" s="1"/>
  <c r="LM81" i="93" s="1"/>
  <c r="MT81" i="93" s="1"/>
  <c r="DL67" i="1"/>
  <c r="EE74" i="1"/>
  <c r="CB85" i="93" s="1"/>
  <c r="DF85" i="93" s="1"/>
  <c r="LK85" i="93" s="1"/>
  <c r="MR85" i="93" s="1"/>
  <c r="DW67" i="1"/>
  <c r="DZ73" i="1"/>
  <c r="CA80" i="93" s="1"/>
  <c r="DE80" i="93" s="1"/>
  <c r="LJ80" i="93" s="1"/>
  <c r="MQ80" i="93" s="1"/>
  <c r="DR15" i="1"/>
  <c r="BQ72" i="93" s="1"/>
  <c r="CU72" i="93" s="1"/>
  <c r="DN15" i="1"/>
  <c r="BQ68" i="93" s="1"/>
  <c r="CU68" i="93" s="1"/>
  <c r="U151" i="130"/>
  <c r="U90" i="130" s="1"/>
  <c r="AU134" i="130"/>
  <c r="AU73" i="130" s="1"/>
  <c r="E162" i="130"/>
  <c r="E101" i="130" s="1"/>
  <c r="AL135" i="130"/>
  <c r="AL74" i="130" s="1"/>
  <c r="BI166" i="130"/>
  <c r="BI105" i="130" s="1"/>
  <c r="AU145" i="130"/>
  <c r="AU84" i="130" s="1"/>
  <c r="AV161" i="130"/>
  <c r="AV100" i="130" s="1"/>
  <c r="DR16" i="1"/>
  <c r="DL16" i="1"/>
  <c r="DU16" i="1"/>
  <c r="DU69" i="1"/>
  <c r="BW75" i="93" s="1"/>
  <c r="DA75" i="93" s="1"/>
  <c r="LF75" i="93" s="1"/>
  <c r="MM75" i="93" s="1"/>
  <c r="DX75" i="1"/>
  <c r="CC78" i="93" s="1"/>
  <c r="DG78" i="93" s="1"/>
  <c r="LL78" i="93" s="1"/>
  <c r="MS78" i="93" s="1"/>
  <c r="DT74" i="1"/>
  <c r="CB74" i="93" s="1"/>
  <c r="DF74" i="93" s="1"/>
  <c r="LK74" i="93" s="1"/>
  <c r="MR74" i="93" s="1"/>
  <c r="DU76" i="1"/>
  <c r="CD75" i="93" s="1"/>
  <c r="DH75" i="93" s="1"/>
  <c r="LM75" i="93" s="1"/>
  <c r="MT75" i="93" s="1"/>
  <c r="DZ71" i="1"/>
  <c r="BY80" i="93" s="1"/>
  <c r="DC80" i="93" s="1"/>
  <c r="LH80" i="93" s="1"/>
  <c r="MO80" i="93" s="1"/>
  <c r="EM75" i="1"/>
  <c r="CC93" i="93" s="1"/>
  <c r="DG93" i="93" s="1"/>
  <c r="LL93" i="93" s="1"/>
  <c r="MS93" i="93" s="1"/>
  <c r="EE76" i="1"/>
  <c r="CD85" i="93" s="1"/>
  <c r="DH85" i="93" s="1"/>
  <c r="LM85" i="93" s="1"/>
  <c r="MT85" i="93" s="1"/>
  <c r="DQ76" i="1"/>
  <c r="CD71" i="93" s="1"/>
  <c r="DH71" i="93" s="1"/>
  <c r="LM71" i="93" s="1"/>
  <c r="MT71" i="93" s="1"/>
  <c r="DY73" i="1"/>
  <c r="CA79" i="93" s="1"/>
  <c r="DE79" i="93" s="1"/>
  <c r="LJ79" i="93" s="1"/>
  <c r="MQ79" i="93" s="1"/>
  <c r="EA72" i="1"/>
  <c r="BZ81" i="93" s="1"/>
  <c r="DD81" i="93" s="1"/>
  <c r="LI81" i="93" s="1"/>
  <c r="MP81" i="93" s="1"/>
  <c r="EG73" i="1"/>
  <c r="CA87" i="93" s="1"/>
  <c r="DE87" i="93" s="1"/>
  <c r="LJ87" i="93" s="1"/>
  <c r="MQ87" i="93" s="1"/>
  <c r="EE70" i="1"/>
  <c r="BX85" i="93" s="1"/>
  <c r="DB85" i="93" s="1"/>
  <c r="LG85" i="93" s="1"/>
  <c r="MN85" i="93" s="1"/>
  <c r="EB72" i="1"/>
  <c r="BZ82" i="93" s="1"/>
  <c r="DD82" i="93" s="1"/>
  <c r="LI82" i="93" s="1"/>
  <c r="MP82" i="93" s="1"/>
  <c r="EF68" i="1"/>
  <c r="BV86" i="93" s="1"/>
  <c r="CZ86" i="93" s="1"/>
  <c r="LE86" i="93" s="1"/>
  <c r="ML86" i="93" s="1"/>
  <c r="EJ74" i="1"/>
  <c r="CB90" i="93" s="1"/>
  <c r="DF90" i="93" s="1"/>
  <c r="LK90" i="93" s="1"/>
  <c r="MR90" i="93" s="1"/>
  <c r="DM15" i="1"/>
  <c r="BQ67" i="93" s="1"/>
  <c r="CU67" i="93" s="1"/>
  <c r="DW15" i="1"/>
  <c r="BQ77" i="93" s="1"/>
  <c r="CU77" i="93" s="1"/>
  <c r="BN151" i="130"/>
  <c r="BN90" i="130" s="1"/>
  <c r="Q134" i="130"/>
  <c r="Q73" i="130" s="1"/>
  <c r="AP162" i="130"/>
  <c r="AP101" i="130" s="1"/>
  <c r="AF135" i="130"/>
  <c r="AF74" i="130" s="1"/>
  <c r="BK166" i="130"/>
  <c r="BK105" i="130" s="1"/>
  <c r="BD145" i="130"/>
  <c r="BD84" i="130" s="1"/>
  <c r="Q145" i="130"/>
  <c r="Q84" i="130" s="1"/>
  <c r="AT161" i="130"/>
  <c r="AT100" i="130" s="1"/>
  <c r="DX16" i="1"/>
  <c r="DJ15" i="1"/>
  <c r="BQ64" i="93" s="1"/>
  <c r="EJ69" i="1"/>
  <c r="BW90" i="93" s="1"/>
  <c r="DA90" i="93" s="1"/>
  <c r="LF90" i="93" s="1"/>
  <c r="MM90" i="93" s="1"/>
  <c r="DR70" i="1"/>
  <c r="BX72" i="93" s="1"/>
  <c r="DB72" i="93" s="1"/>
  <c r="LG72" i="93" s="1"/>
  <c r="MN72" i="93" s="1"/>
  <c r="DQ73" i="1"/>
  <c r="CA71" i="93" s="1"/>
  <c r="DE71" i="93" s="1"/>
  <c r="LJ71" i="93" s="1"/>
  <c r="MQ71" i="93" s="1"/>
  <c r="EI67" i="1"/>
  <c r="EB69" i="1"/>
  <c r="BW82" i="93" s="1"/>
  <c r="DA82" i="93" s="1"/>
  <c r="LF82" i="93" s="1"/>
  <c r="MM82" i="93" s="1"/>
  <c r="DR76" i="1"/>
  <c r="CD72" i="93" s="1"/>
  <c r="DH72" i="93" s="1"/>
  <c r="LM72" i="93" s="1"/>
  <c r="MT72" i="93" s="1"/>
  <c r="DR75" i="1"/>
  <c r="CC72" i="93" s="1"/>
  <c r="DG72" i="93" s="1"/>
  <c r="LL72" i="93" s="1"/>
  <c r="MS72" i="93" s="1"/>
  <c r="EJ75" i="1"/>
  <c r="CC90" i="93" s="1"/>
  <c r="DG90" i="93" s="1"/>
  <c r="LL90" i="93" s="1"/>
  <c r="MS90" i="93" s="1"/>
  <c r="DX68" i="1"/>
  <c r="BV78" i="93" s="1"/>
  <c r="CZ78" i="93" s="1"/>
  <c r="LE78" i="93" s="1"/>
  <c r="ML78" i="93" s="1"/>
  <c r="DQ72" i="1"/>
  <c r="BZ71" i="93" s="1"/>
  <c r="DD71" i="93" s="1"/>
  <c r="LI71" i="93" s="1"/>
  <c r="MP71" i="93" s="1"/>
  <c r="EG76" i="1"/>
  <c r="CD87" i="93" s="1"/>
  <c r="DH87" i="93" s="1"/>
  <c r="LM87" i="93" s="1"/>
  <c r="MT87" i="93" s="1"/>
  <c r="EG68" i="1"/>
  <c r="BV87" i="93" s="1"/>
  <c r="CZ87" i="93" s="1"/>
  <c r="LE87" i="93" s="1"/>
  <c r="ML87" i="93" s="1"/>
  <c r="EG74" i="1"/>
  <c r="CB87" i="93" s="1"/>
  <c r="DF87" i="93" s="1"/>
  <c r="LK87" i="93" s="1"/>
  <c r="MR87" i="93" s="1"/>
  <c r="EA67" i="1"/>
  <c r="DT73" i="1"/>
  <c r="CA74" i="93" s="1"/>
  <c r="DE74" i="93" s="1"/>
  <c r="LJ74" i="93" s="1"/>
  <c r="MQ74" i="93" s="1"/>
  <c r="DY15" i="1"/>
  <c r="BQ79" i="93" s="1"/>
  <c r="CU79" i="93" s="1"/>
  <c r="AX151" i="130"/>
  <c r="AX90" i="130" s="1"/>
  <c r="BT134" i="130"/>
  <c r="BT73" i="130" s="1"/>
  <c r="BJ162" i="130"/>
  <c r="BJ101" i="130" s="1"/>
  <c r="BK135" i="130"/>
  <c r="BK74" i="130" s="1"/>
  <c r="AE166" i="130"/>
  <c r="AE105" i="130" s="1"/>
  <c r="BT145" i="130"/>
  <c r="BT84" i="130" s="1"/>
  <c r="CJ145" i="130"/>
  <c r="N161" i="130"/>
  <c r="N100" i="130" s="1"/>
  <c r="DT16" i="1"/>
  <c r="DJ68" i="1"/>
  <c r="BV64" i="93" s="1"/>
  <c r="EF70" i="1"/>
  <c r="BX86" i="93" s="1"/>
  <c r="DB86" i="93" s="1"/>
  <c r="LG86" i="93" s="1"/>
  <c r="MN86" i="93" s="1"/>
  <c r="DY75" i="1"/>
  <c r="CC79" i="93" s="1"/>
  <c r="DG79" i="93" s="1"/>
  <c r="LL79" i="93" s="1"/>
  <c r="MS79" i="93" s="1"/>
  <c r="EF71" i="1"/>
  <c r="BY86" i="93" s="1"/>
  <c r="DC86" i="93" s="1"/>
  <c r="LH86" i="93" s="1"/>
  <c r="MO86" i="93" s="1"/>
  <c r="DN71" i="1"/>
  <c r="BY68" i="93" s="1"/>
  <c r="DC68" i="93" s="1"/>
  <c r="LH68" i="93" s="1"/>
  <c r="MO68" i="93" s="1"/>
  <c r="EE69" i="1"/>
  <c r="BW85" i="93" s="1"/>
  <c r="DA85" i="93" s="1"/>
  <c r="LF85" i="93" s="1"/>
  <c r="MM85" i="93" s="1"/>
  <c r="DX76" i="1"/>
  <c r="CD78" i="93" s="1"/>
  <c r="DH78" i="93" s="1"/>
  <c r="LM78" i="93" s="1"/>
  <c r="MT78" i="93" s="1"/>
  <c r="EA73" i="1"/>
  <c r="CA81" i="93" s="1"/>
  <c r="DE81" i="93" s="1"/>
  <c r="LJ81" i="93" s="1"/>
  <c r="MQ81" i="93" s="1"/>
  <c r="EI76" i="1"/>
  <c r="CD89" i="93" s="1"/>
  <c r="DH89" i="93" s="1"/>
  <c r="LM89" i="93" s="1"/>
  <c r="MT89" i="93" s="1"/>
  <c r="EJ67" i="1"/>
  <c r="EM74" i="1"/>
  <c r="CB93" i="93" s="1"/>
  <c r="DF93" i="93" s="1"/>
  <c r="LK93" i="93" s="1"/>
  <c r="MR93" i="93" s="1"/>
  <c r="EF76" i="1"/>
  <c r="CD86" i="93" s="1"/>
  <c r="DH86" i="93" s="1"/>
  <c r="LM86" i="93" s="1"/>
  <c r="MT86" i="93" s="1"/>
  <c r="EI68" i="1"/>
  <c r="BV89" i="93" s="1"/>
  <c r="CZ89" i="93" s="1"/>
  <c r="LE89" i="93" s="1"/>
  <c r="ML89" i="93" s="1"/>
  <c r="DK74" i="1"/>
  <c r="CB65" i="93" s="1"/>
  <c r="DF65" i="93" s="1"/>
  <c r="LK65" i="93" s="1"/>
  <c r="MR65" i="93" s="1"/>
  <c r="DK67" i="1"/>
  <c r="EF73" i="1"/>
  <c r="CA86" i="93" s="1"/>
  <c r="DE86" i="93" s="1"/>
  <c r="LJ86" i="93" s="1"/>
  <c r="MQ86" i="93" s="1"/>
  <c r="DU15" i="1"/>
  <c r="BQ75" i="93" s="1"/>
  <c r="CU75" i="93" s="1"/>
  <c r="AK151" i="130"/>
  <c r="AK90" i="130" s="1"/>
  <c r="BK134" i="130"/>
  <c r="BK73" i="130" s="1"/>
  <c r="U162" i="130"/>
  <c r="U101" i="130" s="1"/>
  <c r="BB135" i="130"/>
  <c r="BB74" i="130" s="1"/>
  <c r="N166" i="130"/>
  <c r="N105" i="130" s="1"/>
  <c r="C145" i="130"/>
  <c r="AO161" i="130"/>
  <c r="AO100" i="130" s="1"/>
  <c r="AF136" i="130"/>
  <c r="AF75" i="130" s="1"/>
  <c r="AQ158" i="130"/>
  <c r="T158" i="130"/>
  <c r="T97" i="130" s="1"/>
  <c r="AW151" i="130"/>
  <c r="AW90" i="130" s="1"/>
  <c r="D134" i="130"/>
  <c r="D73" i="130" s="1"/>
  <c r="AG162" i="130"/>
  <c r="BN135" i="130"/>
  <c r="BN74" i="130" s="1"/>
  <c r="AL166" i="130"/>
  <c r="AL105" i="130" s="1"/>
  <c r="AA145" i="130"/>
  <c r="AA84" i="130" s="1"/>
  <c r="M161" i="130"/>
  <c r="AD136" i="130"/>
  <c r="AD75" i="130" s="1"/>
  <c r="AA158" i="130"/>
  <c r="AA97" i="130" s="1"/>
  <c r="P158" i="130"/>
  <c r="P97" i="130" s="1"/>
  <c r="AS151" i="130"/>
  <c r="AS90" i="130" s="1"/>
  <c r="BS134" i="130"/>
  <c r="BS73" i="130" s="1"/>
  <c r="AC162" i="130"/>
  <c r="AC101" i="130" s="1"/>
  <c r="BJ135" i="130"/>
  <c r="BJ74" i="130" s="1"/>
  <c r="AD166" i="130"/>
  <c r="AD105" i="130" s="1"/>
  <c r="S145" i="130"/>
  <c r="S84" i="130" s="1"/>
  <c r="E161" i="130"/>
  <c r="E100" i="130" s="1"/>
  <c r="N136" i="130"/>
  <c r="N75" i="130" s="1"/>
  <c r="AK158" i="130"/>
  <c r="AK97" i="130" s="1"/>
  <c r="BR151" i="130"/>
  <c r="BR90" i="130" s="1"/>
  <c r="U134" i="130"/>
  <c r="U73" i="130" s="1"/>
  <c r="BF162" i="130"/>
  <c r="BF101" i="130" s="1"/>
  <c r="AV135" i="130"/>
  <c r="AV74" i="130" s="1"/>
  <c r="BS166" i="130"/>
  <c r="BS105" i="130" s="1"/>
  <c r="BH145" i="130"/>
  <c r="BH84" i="130" s="1"/>
  <c r="U145" i="130"/>
  <c r="U84" i="130" s="1"/>
  <c r="AX161" i="130"/>
  <c r="AX100" i="130" s="1"/>
  <c r="C136" i="130"/>
  <c r="AG147" i="130"/>
  <c r="O149" i="130"/>
  <c r="O88" i="130" s="1"/>
  <c r="P148" i="130"/>
  <c r="P87" i="130" s="1"/>
  <c r="AS164" i="130"/>
  <c r="AS103" i="130" s="1"/>
  <c r="J160" i="130"/>
  <c r="J99" i="130" s="1"/>
  <c r="BL167" i="130"/>
  <c r="BL106" i="130" s="1"/>
  <c r="BK137" i="130"/>
  <c r="BK76" i="130" s="1"/>
  <c r="AH142" i="130"/>
  <c r="AH81" i="130" s="1"/>
  <c r="D140" i="130"/>
  <c r="D79" i="130" s="1"/>
  <c r="Q136" i="130"/>
  <c r="Q75" i="130" s="1"/>
  <c r="AE147" i="130"/>
  <c r="AE86" i="130" s="1"/>
  <c r="BB136" i="130"/>
  <c r="BB75" i="130" s="1"/>
  <c r="AW158" i="130"/>
  <c r="AW97" i="130" s="1"/>
  <c r="BI158" i="130"/>
  <c r="BI97" i="130" s="1"/>
  <c r="AU151" i="130"/>
  <c r="AU90" i="130" s="1"/>
  <c r="AS134" i="130"/>
  <c r="AS73" i="130" s="1"/>
  <c r="G162" i="130"/>
  <c r="G101" i="130" s="1"/>
  <c r="BP135" i="130"/>
  <c r="BP74" i="130" s="1"/>
  <c r="AA166" i="130"/>
  <c r="AA105" i="130" s="1"/>
  <c r="P166" i="130"/>
  <c r="P105" i="130" s="1"/>
  <c r="AS145" i="130"/>
  <c r="AS84" i="130" s="1"/>
  <c r="C161" i="130"/>
  <c r="BN158" i="130"/>
  <c r="BN97" i="130" s="1"/>
  <c r="BE158" i="130"/>
  <c r="BE97" i="130" s="1"/>
  <c r="AM151" i="130"/>
  <c r="AM90" i="130" s="1"/>
  <c r="AO134" i="130"/>
  <c r="AO73" i="130" s="1"/>
  <c r="BO162" i="130"/>
  <c r="BO101" i="130" s="1"/>
  <c r="AZ135" i="130"/>
  <c r="AZ74" i="130" s="1"/>
  <c r="K166" i="130"/>
  <c r="K105" i="130" s="1"/>
  <c r="L166" i="130"/>
  <c r="L105" i="130" s="1"/>
  <c r="AO145" i="130"/>
  <c r="AO84" i="130" s="1"/>
  <c r="BR161" i="130"/>
  <c r="BR100" i="130" s="1"/>
  <c r="O158" i="130"/>
  <c r="O97" i="130" s="1"/>
  <c r="T151" i="130"/>
  <c r="T90" i="130" s="1"/>
  <c r="AH134" i="130"/>
  <c r="AH73" i="130" s="1"/>
  <c r="S134" i="130"/>
  <c r="S73" i="130" s="1"/>
  <c r="AV162" i="130"/>
  <c r="AV101" i="130" s="1"/>
  <c r="J135" i="130"/>
  <c r="J74" i="130" s="1"/>
  <c r="AG166" i="130"/>
  <c r="BN145" i="130"/>
  <c r="BN84" i="130" s="1"/>
  <c r="AJ161" i="130"/>
  <c r="AJ100" i="130" s="1"/>
  <c r="E136" i="130"/>
  <c r="E75" i="130" s="1"/>
  <c r="K147" i="130"/>
  <c r="K86" i="130" s="1"/>
  <c r="BJ149" i="130"/>
  <c r="BJ88" i="130" s="1"/>
  <c r="AO148" i="130"/>
  <c r="AO87" i="130" s="1"/>
  <c r="AI164" i="130"/>
  <c r="AI103" i="130" s="1"/>
  <c r="V160" i="130"/>
  <c r="V99" i="130" s="1"/>
  <c r="CJ160" i="130"/>
  <c r="AD167" i="130"/>
  <c r="AD106" i="130" s="1"/>
  <c r="BE137" i="130"/>
  <c r="BE76" i="130" s="1"/>
  <c r="BG142" i="130"/>
  <c r="BG81" i="130" s="1"/>
  <c r="AL140" i="130"/>
  <c r="AL79" i="130" s="1"/>
  <c r="O136" i="130"/>
  <c r="O75" i="130" s="1"/>
  <c r="AS147" i="130"/>
  <c r="AS86" i="130" s="1"/>
  <c r="AM136" i="130"/>
  <c r="AM75" i="130" s="1"/>
  <c r="BK158" i="130"/>
  <c r="BK97" i="130" s="1"/>
  <c r="D151" i="130"/>
  <c r="D90" i="130" s="1"/>
  <c r="Q151" i="130"/>
  <c r="Q90" i="130" s="1"/>
  <c r="AQ134" i="130"/>
  <c r="BT162" i="130"/>
  <c r="BT101" i="130" s="1"/>
  <c r="AH135" i="130"/>
  <c r="AH74" i="130" s="1"/>
  <c r="BE166" i="130"/>
  <c r="BE105" i="130" s="1"/>
  <c r="AM145" i="130"/>
  <c r="AM84" i="130" s="1"/>
  <c r="AF161" i="130"/>
  <c r="AF100" i="130" s="1"/>
  <c r="BA136" i="130"/>
  <c r="BC158" i="130"/>
  <c r="BC97" i="130" s="1"/>
  <c r="BH151" i="130"/>
  <c r="BH90" i="130" s="1"/>
  <c r="M151" i="130"/>
  <c r="AM134" i="130"/>
  <c r="AM73" i="130" s="1"/>
  <c r="BP162" i="130"/>
  <c r="BP101" i="130" s="1"/>
  <c r="AD135" i="130"/>
  <c r="AD74" i="130" s="1"/>
  <c r="BA166" i="130"/>
  <c r="AE145" i="130"/>
  <c r="AE84" i="130" s="1"/>
  <c r="P161" i="130"/>
  <c r="P100" i="130" s="1"/>
  <c r="AO136" i="130"/>
  <c r="AO75" i="130" s="1"/>
  <c r="E158" i="130"/>
  <c r="E97" i="130" s="1"/>
  <c r="AL151" i="130"/>
  <c r="AL90" i="130" s="1"/>
  <c r="BH134" i="130"/>
  <c r="BH73" i="130" s="1"/>
  <c r="AL162" i="130"/>
  <c r="AL101" i="130" s="1"/>
  <c r="AY135" i="130"/>
  <c r="AY74" i="130" s="1"/>
  <c r="G166" i="130"/>
  <c r="G105" i="130" s="1"/>
  <c r="BP145" i="130"/>
  <c r="BP84" i="130" s="1"/>
  <c r="AG161" i="130"/>
  <c r="R161" i="130"/>
  <c r="R100" i="130" s="1"/>
  <c r="BH147" i="130"/>
  <c r="BH86" i="130" s="1"/>
  <c r="CJ147" i="130"/>
  <c r="AC149" i="130"/>
  <c r="AC88" i="130" s="1"/>
  <c r="BC148" i="130"/>
  <c r="BC87" i="130" s="1"/>
  <c r="M164" i="130"/>
  <c r="AO160" i="130"/>
  <c r="AO99" i="130" s="1"/>
  <c r="BS167" i="130"/>
  <c r="BS106" i="130" s="1"/>
  <c r="AE137" i="130"/>
  <c r="AE76" i="130" s="1"/>
  <c r="S142" i="130"/>
  <c r="S81" i="130" s="1"/>
  <c r="BG140" i="130"/>
  <c r="BG79" i="130" s="1"/>
  <c r="BD136" i="130"/>
  <c r="BD75" i="130" s="1"/>
  <c r="AI147" i="130"/>
  <c r="AI86" i="130" s="1"/>
  <c r="AD161" i="130"/>
  <c r="AD100" i="130" s="1"/>
  <c r="Z158" i="130"/>
  <c r="Z97" i="130" s="1"/>
  <c r="AT158" i="130"/>
  <c r="AT97" i="130" s="1"/>
  <c r="H151" i="130"/>
  <c r="H90" i="130" s="1"/>
  <c r="V134" i="130"/>
  <c r="V73" i="130" s="1"/>
  <c r="BS162" i="130"/>
  <c r="BS101" i="130" s="1"/>
  <c r="AB135" i="130"/>
  <c r="AB74" i="130" s="1"/>
  <c r="U135" i="130"/>
  <c r="U74" i="130" s="1"/>
  <c r="AV166" i="130"/>
  <c r="AV105" i="130" s="1"/>
  <c r="J145" i="130"/>
  <c r="J84" i="130" s="1"/>
  <c r="AI161" i="130"/>
  <c r="AI100" i="130" s="1"/>
  <c r="W136" i="130"/>
  <c r="AL158" i="130"/>
  <c r="AL97" i="130" s="1"/>
  <c r="BO151" i="130"/>
  <c r="BO90" i="130" s="1"/>
  <c r="F134" i="130"/>
  <c r="F73" i="130" s="1"/>
  <c r="BK162" i="130"/>
  <c r="BK101" i="130" s="1"/>
  <c r="BD135" i="130"/>
  <c r="BD74" i="130" s="1"/>
  <c r="Q135" i="130"/>
  <c r="Q74" i="130" s="1"/>
  <c r="AR166" i="130"/>
  <c r="AR105" i="130" s="1"/>
  <c r="F145" i="130"/>
  <c r="F84" i="130" s="1"/>
  <c r="AE161" i="130"/>
  <c r="AE100" i="130" s="1"/>
  <c r="G136" i="130"/>
  <c r="G75" i="130" s="1"/>
  <c r="AR151" i="130"/>
  <c r="AR90" i="130" s="1"/>
  <c r="Y151" i="130"/>
  <c r="Y90" i="130" s="1"/>
  <c r="AY134" i="130"/>
  <c r="AY73" i="130" s="1"/>
  <c r="I162" i="130"/>
  <c r="I101" i="130" s="1"/>
  <c r="AP135" i="130"/>
  <c r="AP74" i="130" s="1"/>
  <c r="BM166" i="130"/>
  <c r="BM105" i="130" s="1"/>
  <c r="BC145" i="130"/>
  <c r="BC84" i="130" s="1"/>
  <c r="BL161" i="130"/>
  <c r="BL100" i="130" s="1"/>
  <c r="BI136" i="130"/>
  <c r="BI75" i="130" s="1"/>
  <c r="G147" i="130"/>
  <c r="G86" i="130" s="1"/>
  <c r="BO149" i="130"/>
  <c r="BO88" i="130" s="1"/>
  <c r="R148" i="130"/>
  <c r="R87" i="130" s="1"/>
  <c r="BJ164" i="130"/>
  <c r="BJ103" i="130" s="1"/>
  <c r="D164" i="130"/>
  <c r="D103" i="130" s="1"/>
  <c r="AF160" i="130"/>
  <c r="AF99" i="130" s="1"/>
  <c r="BJ167" i="130"/>
  <c r="BJ106" i="130" s="1"/>
  <c r="V137" i="130"/>
  <c r="V76" i="130" s="1"/>
  <c r="AB142" i="130"/>
  <c r="AB81" i="130" s="1"/>
  <c r="O140" i="130"/>
  <c r="O79" i="130" s="1"/>
  <c r="AU136" i="130"/>
  <c r="AU75" i="130" s="1"/>
  <c r="J147" i="130"/>
  <c r="J86" i="130" s="1"/>
  <c r="BN148" i="130"/>
  <c r="BN87" i="130" s="1"/>
  <c r="AM164" i="130"/>
  <c r="AM103" i="130" s="1"/>
  <c r="P164" i="130"/>
  <c r="P103" i="130" s="1"/>
  <c r="AR160" i="130"/>
  <c r="AR99" i="130" s="1"/>
  <c r="C167" i="130"/>
  <c r="AH137" i="130"/>
  <c r="AH76" i="130" s="1"/>
  <c r="AN142" i="130"/>
  <c r="AN81" i="130" s="1"/>
  <c r="AM140" i="130"/>
  <c r="AM79" i="130" s="1"/>
  <c r="P147" i="130"/>
  <c r="P86" i="130" s="1"/>
  <c r="Y147" i="130"/>
  <c r="Y86" i="130" s="1"/>
  <c r="N149" i="130"/>
  <c r="N88" i="130" s="1"/>
  <c r="H148" i="130"/>
  <c r="H87" i="130" s="1"/>
  <c r="AK164" i="130"/>
  <c r="AK103" i="130" s="1"/>
  <c r="BM160" i="130"/>
  <c r="BM99" i="130" s="1"/>
  <c r="AV167" i="130"/>
  <c r="AV106" i="130" s="1"/>
  <c r="BC137" i="130"/>
  <c r="BC76" i="130" s="1"/>
  <c r="BP142" i="130"/>
  <c r="BP81" i="130" s="1"/>
  <c r="AX140" i="130"/>
  <c r="AX79" i="130" s="1"/>
  <c r="AQ149" i="130"/>
  <c r="N164" i="130"/>
  <c r="N103" i="130" s="1"/>
  <c r="AM135" i="130"/>
  <c r="AM74" i="130" s="1"/>
  <c r="AI166" i="130"/>
  <c r="AI105" i="130" s="1"/>
  <c r="T145" i="130"/>
  <c r="T84" i="130" s="1"/>
  <c r="BD161" i="130"/>
  <c r="BD100" i="130" s="1"/>
  <c r="F161" i="130"/>
  <c r="F100" i="130" s="1"/>
  <c r="AD158" i="130"/>
  <c r="AD97" i="130" s="1"/>
  <c r="AY151" i="130"/>
  <c r="AY90" i="130" s="1"/>
  <c r="BQ134" i="130"/>
  <c r="BQ73" i="130" s="1"/>
  <c r="BC162" i="130"/>
  <c r="BC101" i="130" s="1"/>
  <c r="X135" i="130"/>
  <c r="X74" i="130" s="1"/>
  <c r="M135" i="130"/>
  <c r="AN166" i="130"/>
  <c r="AN105" i="130" s="1"/>
  <c r="BQ145" i="130"/>
  <c r="BQ84" i="130" s="1"/>
  <c r="AA161" i="130"/>
  <c r="AA100" i="130" s="1"/>
  <c r="AV147" i="130"/>
  <c r="AV86" i="130" s="1"/>
  <c r="N147" i="130"/>
  <c r="N86" i="130" s="1"/>
  <c r="AS149" i="130"/>
  <c r="AS88" i="130" s="1"/>
  <c r="BL148" i="130"/>
  <c r="BL87" i="130" s="1"/>
  <c r="AX164" i="130"/>
  <c r="AX103" i="130" s="1"/>
  <c r="BR160" i="130"/>
  <c r="BR99" i="130" s="1"/>
  <c r="U167" i="130"/>
  <c r="U106" i="130" s="1"/>
  <c r="BT137" i="130"/>
  <c r="BT76" i="130" s="1"/>
  <c r="H142" i="130"/>
  <c r="H81" i="130" s="1"/>
  <c r="U142" i="130"/>
  <c r="U81" i="130" s="1"/>
  <c r="BM136" i="130"/>
  <c r="BM75" i="130" s="1"/>
  <c r="X147" i="130"/>
  <c r="X86" i="130" s="1"/>
  <c r="AR149" i="130"/>
  <c r="AR88" i="130" s="1"/>
  <c r="G158" i="130"/>
  <c r="G97" i="130" s="1"/>
  <c r="J158" i="130"/>
  <c r="J97" i="130" s="1"/>
  <c r="AN151" i="130"/>
  <c r="AN90" i="130" s="1"/>
  <c r="J134" i="130"/>
  <c r="J73" i="130" s="1"/>
  <c r="BN162" i="130"/>
  <c r="BN101" i="130" s="1"/>
  <c r="H162" i="130"/>
  <c r="H101" i="130" s="1"/>
  <c r="AK135" i="130"/>
  <c r="AK74" i="130" s="1"/>
  <c r="BL166" i="130"/>
  <c r="BL105" i="130" s="1"/>
  <c r="Z145" i="130"/>
  <c r="Z84" i="130" s="1"/>
  <c r="AY161" i="130"/>
  <c r="AY100" i="130" s="1"/>
  <c r="BO136" i="130"/>
  <c r="BO75" i="130" s="1"/>
  <c r="BR158" i="130"/>
  <c r="BR97" i="130" s="1"/>
  <c r="AF151" i="130"/>
  <c r="AF90" i="130" s="1"/>
  <c r="BR134" i="130"/>
  <c r="BR73" i="130" s="1"/>
  <c r="AX162" i="130"/>
  <c r="AX101" i="130" s="1"/>
  <c r="D162" i="130"/>
  <c r="D101" i="130" s="1"/>
  <c r="AG135" i="130"/>
  <c r="BH166" i="130"/>
  <c r="BH105" i="130" s="1"/>
  <c r="V145" i="130"/>
  <c r="V84" i="130" s="1"/>
  <c r="AU161" i="130"/>
  <c r="AU100" i="130" s="1"/>
  <c r="BC136" i="130"/>
  <c r="BC75" i="130" s="1"/>
  <c r="L158" i="130"/>
  <c r="L97" i="130" s="1"/>
  <c r="AO151" i="130"/>
  <c r="AO90" i="130" s="1"/>
  <c r="BO134" i="130"/>
  <c r="BO73" i="130" s="1"/>
  <c r="Y162" i="130"/>
  <c r="Y101" i="130" s="1"/>
  <c r="BF135" i="130"/>
  <c r="BF74" i="130" s="1"/>
  <c r="V166" i="130"/>
  <c r="V105" i="130" s="1"/>
  <c r="K145" i="130"/>
  <c r="K84" i="130" s="1"/>
  <c r="BE161" i="130"/>
  <c r="BE100" i="130" s="1"/>
  <c r="BF136" i="130"/>
  <c r="BF75" i="130" s="1"/>
  <c r="AM147" i="130"/>
  <c r="AM86" i="130" s="1"/>
  <c r="AZ149" i="130"/>
  <c r="AZ88" i="130" s="1"/>
  <c r="V148" i="130"/>
  <c r="V87" i="130" s="1"/>
  <c r="BC164" i="130"/>
  <c r="BC103" i="130" s="1"/>
  <c r="T164" i="130"/>
  <c r="T103" i="130" s="1"/>
  <c r="AV160" i="130"/>
  <c r="AV99" i="130" s="1"/>
  <c r="G167" i="130"/>
  <c r="G106" i="130" s="1"/>
  <c r="AL137" i="130"/>
  <c r="AL76" i="130" s="1"/>
  <c r="AR142" i="130"/>
  <c r="AR81" i="130" s="1"/>
  <c r="AU140" i="130"/>
  <c r="AU79" i="130" s="1"/>
  <c r="BK136" i="130"/>
  <c r="BK75" i="130" s="1"/>
  <c r="Z147" i="130"/>
  <c r="Z86" i="130" s="1"/>
  <c r="BJ136" i="130"/>
  <c r="BJ75" i="130" s="1"/>
  <c r="BT158" i="130"/>
  <c r="BT97" i="130" s="1"/>
  <c r="AC158" i="130"/>
  <c r="AC97" i="130" s="1"/>
  <c r="BJ151" i="130"/>
  <c r="BJ90" i="130" s="1"/>
  <c r="M134" i="130"/>
  <c r="Z162" i="130"/>
  <c r="Z101" i="130" s="1"/>
  <c r="P135" i="130"/>
  <c r="P74" i="130" s="1"/>
  <c r="BC166" i="130"/>
  <c r="BC105" i="130" s="1"/>
  <c r="X145" i="130"/>
  <c r="X84" i="130" s="1"/>
  <c r="M145" i="130"/>
  <c r="AP161" i="130"/>
  <c r="AP100" i="130" s="1"/>
  <c r="S158" i="130"/>
  <c r="S97" i="130" s="1"/>
  <c r="Y158" i="130"/>
  <c r="Y97" i="130" s="1"/>
  <c r="BF151" i="130"/>
  <c r="BF90" i="130" s="1"/>
  <c r="I134" i="130"/>
  <c r="I73" i="130" s="1"/>
  <c r="J162" i="130"/>
  <c r="J101" i="130" s="1"/>
  <c r="BS135" i="130"/>
  <c r="BS74" i="130" s="1"/>
  <c r="AU166" i="130"/>
  <c r="AU105" i="130" s="1"/>
  <c r="AR145" i="130"/>
  <c r="AR84" i="130" s="1"/>
  <c r="I145" i="130"/>
  <c r="I84" i="130" s="1"/>
  <c r="AL161" i="130"/>
  <c r="AL100" i="130" s="1"/>
  <c r="AP158" i="130"/>
  <c r="AP97" i="130" s="1"/>
  <c r="BD151" i="130"/>
  <c r="BD90" i="130" s="1"/>
  <c r="AP134" i="130"/>
  <c r="AP73" i="130" s="1"/>
  <c r="AA162" i="130"/>
  <c r="AA101" i="130" s="1"/>
  <c r="P162" i="130"/>
  <c r="P101" i="130" s="1"/>
  <c r="AS135" i="130"/>
  <c r="AS74" i="130" s="1"/>
  <c r="BT166" i="130"/>
  <c r="BT105" i="130" s="1"/>
  <c r="AH145" i="130"/>
  <c r="AH84" i="130" s="1"/>
  <c r="BG161" i="130"/>
  <c r="BG100" i="130" s="1"/>
  <c r="L136" i="130"/>
  <c r="L75" i="130" s="1"/>
  <c r="AT147" i="130"/>
  <c r="AT86" i="130" s="1"/>
  <c r="V149" i="130"/>
  <c r="V88" i="130" s="1"/>
  <c r="AS148" i="130"/>
  <c r="AS87" i="130" s="1"/>
  <c r="O164" i="130"/>
  <c r="O103" i="130" s="1"/>
  <c r="S160" i="130"/>
  <c r="S99" i="130" s="1"/>
  <c r="AJ167" i="130"/>
  <c r="AJ106" i="130" s="1"/>
  <c r="AV137" i="130"/>
  <c r="AV76" i="130" s="1"/>
  <c r="Y137" i="130"/>
  <c r="Y76" i="130" s="1"/>
  <c r="AA142" i="130"/>
  <c r="AA81" i="130" s="1"/>
  <c r="AT136" i="130"/>
  <c r="AT75" i="130" s="1"/>
  <c r="L147" i="130"/>
  <c r="L86" i="130" s="1"/>
  <c r="BD149" i="130"/>
  <c r="BD88" i="130" s="1"/>
  <c r="BQ148" i="130"/>
  <c r="BQ87" i="130" s="1"/>
  <c r="BK164" i="130"/>
  <c r="BK103" i="130" s="1"/>
  <c r="AQ160" i="130"/>
  <c r="E167" i="130"/>
  <c r="E106" i="130" s="1"/>
  <c r="J167" i="130"/>
  <c r="J106" i="130" s="1"/>
  <c r="AK137" i="130"/>
  <c r="AK76" i="130" s="1"/>
  <c r="AM142" i="130"/>
  <c r="AM81" i="130" s="1"/>
  <c r="AS136" i="130"/>
  <c r="AS75" i="130" s="1"/>
  <c r="T147" i="130"/>
  <c r="T86" i="130" s="1"/>
  <c r="BC149" i="130"/>
  <c r="BC88" i="130" s="1"/>
  <c r="BR148" i="130"/>
  <c r="BR87" i="130" s="1"/>
  <c r="O148" i="130"/>
  <c r="O87" i="130" s="1"/>
  <c r="AR164" i="130"/>
  <c r="AR103" i="130" s="1"/>
  <c r="BT160" i="130"/>
  <c r="BT99" i="130" s="1"/>
  <c r="AE167" i="130"/>
  <c r="AE106" i="130" s="1"/>
  <c r="BJ137" i="130"/>
  <c r="BJ76" i="130" s="1"/>
  <c r="BO142" i="130"/>
  <c r="BO81" i="130" s="1"/>
  <c r="AY147" i="130"/>
  <c r="AY86" i="130" s="1"/>
  <c r="BM149" i="130"/>
  <c r="BM88" i="130" s="1"/>
  <c r="AL164" i="130"/>
  <c r="AL103" i="130" s="1"/>
  <c r="DQ75" i="1"/>
  <c r="CC71" i="93" s="1"/>
  <c r="DG71" i="93" s="1"/>
  <c r="LL71" i="93" s="1"/>
  <c r="MS71" i="93" s="1"/>
  <c r="DX70" i="1"/>
  <c r="BX78" i="93" s="1"/>
  <c r="DB78" i="93" s="1"/>
  <c r="LG78" i="93" s="1"/>
  <c r="MN78" i="93" s="1"/>
  <c r="DM72" i="1"/>
  <c r="BZ67" i="93" s="1"/>
  <c r="DD67" i="93" s="1"/>
  <c r="LI67" i="93" s="1"/>
  <c r="MP67" i="93" s="1"/>
  <c r="DZ68" i="1"/>
  <c r="BV80" i="93" s="1"/>
  <c r="CZ80" i="93" s="1"/>
  <c r="LE80" i="93" s="1"/>
  <c r="ML80" i="93" s="1"/>
  <c r="DY74" i="1"/>
  <c r="CB79" i="93" s="1"/>
  <c r="DF79" i="93" s="1"/>
  <c r="LK79" i="93" s="1"/>
  <c r="MR79" i="93" s="1"/>
  <c r="DL15" i="1"/>
  <c r="BQ66" i="93" s="1"/>
  <c r="CU66" i="93" s="1"/>
  <c r="BC151" i="130"/>
  <c r="BC90" i="130" s="1"/>
  <c r="AW134" i="130"/>
  <c r="AW73" i="130" s="1"/>
  <c r="O162" i="130"/>
  <c r="O101" i="130" s="1"/>
  <c r="H135" i="130"/>
  <c r="H74" i="130" s="1"/>
  <c r="AQ166" i="130"/>
  <c r="T166" i="130"/>
  <c r="T105" i="130" s="1"/>
  <c r="AW145" i="130"/>
  <c r="AW84" i="130" s="1"/>
  <c r="G161" i="130"/>
  <c r="G100" i="130" s="1"/>
  <c r="V158" i="130"/>
  <c r="V97" i="130" s="1"/>
  <c r="N158" i="130"/>
  <c r="N97" i="130" s="1"/>
  <c r="S151" i="130"/>
  <c r="S90" i="130" s="1"/>
  <c r="BI134" i="130"/>
  <c r="BI73" i="130" s="1"/>
  <c r="AM162" i="130"/>
  <c r="AM101" i="130" s="1"/>
  <c r="L135" i="130"/>
  <c r="L74" i="130" s="1"/>
  <c r="E135" i="130"/>
  <c r="E74" i="130" s="1"/>
  <c r="AF166" i="130"/>
  <c r="AF105" i="130" s="1"/>
  <c r="BI145" i="130"/>
  <c r="BI84" i="130" s="1"/>
  <c r="S161" i="130"/>
  <c r="S100" i="130" s="1"/>
  <c r="AU158" i="130"/>
  <c r="AU97" i="130" s="1"/>
  <c r="F158" i="130"/>
  <c r="F97" i="130" s="1"/>
  <c r="BS151" i="130"/>
  <c r="BS90" i="130" s="1"/>
  <c r="BE134" i="130"/>
  <c r="BE73" i="130" s="1"/>
  <c r="AE162" i="130"/>
  <c r="AE101" i="130" s="1"/>
  <c r="BT135" i="130"/>
  <c r="BT74" i="130" s="1"/>
  <c r="CJ135" i="130"/>
  <c r="AB166" i="130"/>
  <c r="AB105" i="130" s="1"/>
  <c r="BE145" i="130"/>
  <c r="BE84" i="130" s="1"/>
  <c r="O161" i="130"/>
  <c r="O100" i="130" s="1"/>
  <c r="K158" i="130"/>
  <c r="K97" i="130" s="1"/>
  <c r="AB151" i="130"/>
  <c r="AB90" i="130" s="1"/>
  <c r="I151" i="130"/>
  <c r="I90" i="130" s="1"/>
  <c r="AI134" i="130"/>
  <c r="AI73" i="130" s="1"/>
  <c r="BL162" i="130"/>
  <c r="BL101" i="130" s="1"/>
  <c r="Z135" i="130"/>
  <c r="Z74" i="130" s="1"/>
  <c r="AW166" i="130"/>
  <c r="AW105" i="130" s="1"/>
  <c r="W145" i="130"/>
  <c r="BP161" i="130"/>
  <c r="BP100" i="130" s="1"/>
  <c r="AK136" i="130"/>
  <c r="AK75" i="130" s="1"/>
  <c r="AQ147" i="130"/>
  <c r="AE149" i="130"/>
  <c r="AE88" i="130" s="1"/>
  <c r="N148" i="130"/>
  <c r="N87" i="130" s="1"/>
  <c r="BO164" i="130"/>
  <c r="BO103" i="130" s="1"/>
  <c r="AM160" i="130"/>
  <c r="AM99" i="130" s="1"/>
  <c r="P160" i="130"/>
  <c r="P99" i="130" s="1"/>
  <c r="AT167" i="130"/>
  <c r="AT106" i="130" s="1"/>
  <c r="F137" i="130"/>
  <c r="F76" i="130" s="1"/>
  <c r="D142" i="130"/>
  <c r="D81" i="130" s="1"/>
  <c r="BF140" i="130"/>
  <c r="BF79" i="130" s="1"/>
  <c r="AE136" i="130"/>
  <c r="AE75" i="130" s="1"/>
  <c r="BI147" i="130"/>
  <c r="BI86" i="130" s="1"/>
  <c r="BS136" i="130"/>
  <c r="BS75" i="130" s="1"/>
  <c r="AX158" i="130"/>
  <c r="AX97" i="130" s="1"/>
  <c r="D158" i="130"/>
  <c r="D97" i="130" s="1"/>
  <c r="AG151" i="130"/>
  <c r="BG134" i="130"/>
  <c r="BG73" i="130" s="1"/>
  <c r="Q162" i="130"/>
  <c r="Q101" i="130" s="1"/>
  <c r="AX135" i="130"/>
  <c r="AX74" i="130" s="1"/>
  <c r="F166" i="130"/>
  <c r="F105" i="130" s="1"/>
  <c r="BS145" i="130"/>
  <c r="BS84" i="130" s="1"/>
  <c r="Y161" i="130"/>
  <c r="Y100" i="130" s="1"/>
  <c r="J136" i="130"/>
  <c r="J75" i="130" s="1"/>
  <c r="AH158" i="130"/>
  <c r="AH97" i="130" s="1"/>
  <c r="CJ158" i="130"/>
  <c r="AC151" i="130"/>
  <c r="AC90" i="130" s="1"/>
  <c r="BC134" i="130"/>
  <c r="BC73" i="130" s="1"/>
  <c r="M162" i="130"/>
  <c r="AT135" i="130"/>
  <c r="AT74" i="130" s="1"/>
  <c r="BQ166" i="130"/>
  <c r="BQ105" i="130" s="1"/>
  <c r="BK145" i="130"/>
  <c r="I161" i="130"/>
  <c r="I100" i="130" s="1"/>
  <c r="BQ136" i="130"/>
  <c r="BQ75" i="130" s="1"/>
  <c r="U158" i="130"/>
  <c r="U97" i="130" s="1"/>
  <c r="BB151" i="130"/>
  <c r="BB90" i="130" s="1"/>
  <c r="E134" i="130"/>
  <c r="E73" i="130" s="1"/>
  <c r="BR162" i="130"/>
  <c r="BR101" i="130" s="1"/>
  <c r="BO135" i="130"/>
  <c r="BO74" i="130" s="1"/>
  <c r="AM166" i="130"/>
  <c r="AM105" i="130" s="1"/>
  <c r="L145" i="130"/>
  <c r="L84" i="130" s="1"/>
  <c r="E145" i="130"/>
  <c r="E84" i="130" s="1"/>
  <c r="AH161" i="130"/>
  <c r="AH100" i="130" s="1"/>
  <c r="AR147" i="130"/>
  <c r="AR86" i="130" s="1"/>
  <c r="Q147" i="130"/>
  <c r="Q86" i="130" s="1"/>
  <c r="F149" i="130"/>
  <c r="F88" i="130" s="1"/>
  <c r="BS148" i="130"/>
  <c r="BS87" i="130" s="1"/>
  <c r="AC164" i="130"/>
  <c r="AC103" i="130" s="1"/>
  <c r="BE160" i="130"/>
  <c r="BE99" i="130" s="1"/>
  <c r="AF167" i="130"/>
  <c r="AF106" i="130" s="1"/>
  <c r="AU137" i="130"/>
  <c r="AU76" i="130" s="1"/>
  <c r="BA142" i="130"/>
  <c r="AY140" i="130"/>
  <c r="AY79" i="130" s="1"/>
  <c r="BT136" i="130"/>
  <c r="BT75" i="130" s="1"/>
  <c r="BO147" i="130"/>
  <c r="BO86" i="130" s="1"/>
  <c r="BR136" i="130"/>
  <c r="BR75" i="130" s="1"/>
  <c r="AG158" i="130"/>
  <c r="AS158" i="130"/>
  <c r="AS97" i="130" s="1"/>
  <c r="O151" i="130"/>
  <c r="O90" i="130" s="1"/>
  <c r="AC134" i="130"/>
  <c r="AC73" i="130" s="1"/>
  <c r="S162" i="130"/>
  <c r="S101" i="130" s="1"/>
  <c r="D135" i="130"/>
  <c r="D74" i="130" s="1"/>
  <c r="AH166" i="130"/>
  <c r="AH105" i="130" s="1"/>
  <c r="CJ166" i="130"/>
  <c r="AC145" i="130"/>
  <c r="AC84" i="130" s="1"/>
  <c r="BF161" i="130"/>
  <c r="BF100" i="130" s="1"/>
  <c r="AM158" i="130"/>
  <c r="AM97" i="130" s="1"/>
  <c r="AO158" i="130"/>
  <c r="AO97" i="130" s="1"/>
  <c r="G151" i="130"/>
  <c r="G90" i="130" s="1"/>
  <c r="Y134" i="130"/>
  <c r="Y73" i="130" s="1"/>
  <c r="C162" i="130"/>
  <c r="BL135" i="130"/>
  <c r="BL74" i="130" s="1"/>
  <c r="R166" i="130"/>
  <c r="R105" i="130" s="1"/>
  <c r="AB145" i="130"/>
  <c r="AB84" i="130" s="1"/>
  <c r="Y145" i="130"/>
  <c r="Y84" i="130" s="1"/>
  <c r="BB161" i="130"/>
  <c r="BB100" i="130" s="1"/>
  <c r="AI158" i="130"/>
  <c r="AI97" i="130" s="1"/>
  <c r="K151" i="130"/>
  <c r="K90" i="130" s="1"/>
  <c r="R134" i="130"/>
  <c r="R73" i="130" s="1"/>
  <c r="C134" i="130"/>
  <c r="AF162" i="130"/>
  <c r="AF101" i="130" s="1"/>
  <c r="BI135" i="130"/>
  <c r="BI74" i="130" s="1"/>
  <c r="Q166" i="130"/>
  <c r="Q105" i="130" s="1"/>
  <c r="AX145" i="130"/>
  <c r="AX84" i="130" s="1"/>
  <c r="D161" i="130"/>
  <c r="D100" i="130" s="1"/>
  <c r="AR136" i="130"/>
  <c r="AR75" i="130" s="1"/>
  <c r="BJ147" i="130"/>
  <c r="BJ86" i="130" s="1"/>
  <c r="AT149" i="130"/>
  <c r="AT88" i="130" s="1"/>
  <c r="I148" i="130"/>
  <c r="I87" i="130" s="1"/>
  <c r="C164" i="130"/>
  <c r="AY160" i="130"/>
  <c r="AY99" i="130" s="1"/>
  <c r="AC167" i="130"/>
  <c r="AC106" i="130" s="1"/>
  <c r="N167" i="130"/>
  <c r="N106" i="130" s="1"/>
  <c r="AO137" i="130"/>
  <c r="AO76" i="130" s="1"/>
  <c r="AQ142" i="130"/>
  <c r="F136" i="130"/>
  <c r="F75" i="130" s="1"/>
  <c r="CJ136" i="130"/>
  <c r="AC147" i="130"/>
  <c r="AC86" i="130" s="1"/>
  <c r="BL136" i="130"/>
  <c r="BL75" i="130" s="1"/>
  <c r="BG151" i="130"/>
  <c r="BG90" i="130" s="1"/>
  <c r="AJ158" i="130"/>
  <c r="AJ97" i="130" s="1"/>
  <c r="BM151" i="130"/>
  <c r="BM90" i="130" s="1"/>
  <c r="T134" i="130"/>
  <c r="T73" i="130" s="1"/>
  <c r="AW162" i="130"/>
  <c r="AW101" i="130" s="1"/>
  <c r="K135" i="130"/>
  <c r="K74" i="130" s="1"/>
  <c r="BR166" i="130"/>
  <c r="BR105" i="130" s="1"/>
  <c r="BG145" i="130"/>
  <c r="BG84" i="130" s="1"/>
  <c r="AS161" i="130"/>
  <c r="AS100" i="130" s="1"/>
  <c r="AL136" i="130"/>
  <c r="AL75" i="130" s="1"/>
  <c r="BD158" i="130"/>
  <c r="BD97" i="130" s="1"/>
  <c r="AF158" i="130"/>
  <c r="AF97" i="130" s="1"/>
  <c r="BI151" i="130"/>
  <c r="BI90" i="130" s="1"/>
  <c r="P134" i="130"/>
  <c r="P73" i="130" s="1"/>
  <c r="AS162" i="130"/>
  <c r="AS101" i="130" s="1"/>
  <c r="G135" i="130"/>
  <c r="G74" i="130" s="1"/>
  <c r="BJ166" i="130"/>
  <c r="BJ105" i="130" s="1"/>
  <c r="AY145" i="130"/>
  <c r="AY84" i="130" s="1"/>
  <c r="AK161" i="130"/>
  <c r="AK100" i="130" s="1"/>
  <c r="BN136" i="130"/>
  <c r="BN75" i="130" s="1"/>
  <c r="BA158" i="130"/>
  <c r="AE151" i="130"/>
  <c r="AE90" i="130" s="1"/>
  <c r="AK134" i="130"/>
  <c r="AK73" i="130" s="1"/>
  <c r="AY162" i="130"/>
  <c r="AY101" i="130" s="1"/>
  <c r="AJ135" i="130"/>
  <c r="AJ74" i="130" s="1"/>
  <c r="BN166" i="130"/>
  <c r="BN105" i="130" s="1"/>
  <c r="H166" i="130"/>
  <c r="H105" i="130" s="1"/>
  <c r="AK145" i="130"/>
  <c r="AK84" i="130" s="1"/>
  <c r="BN161" i="130"/>
  <c r="BN100" i="130" s="1"/>
  <c r="S136" i="130"/>
  <c r="S75" i="130" s="1"/>
  <c r="AW147" i="130"/>
  <c r="AW86" i="130" s="1"/>
  <c r="W149" i="130"/>
  <c r="AF148" i="130"/>
  <c r="AF87" i="130" s="1"/>
  <c r="BI164" i="130"/>
  <c r="BI103" i="130" s="1"/>
  <c r="AP160" i="130"/>
  <c r="AP99" i="130" s="1"/>
  <c r="AW167" i="130"/>
  <c r="AW106" i="130" s="1"/>
  <c r="T137" i="130"/>
  <c r="T76" i="130" s="1"/>
  <c r="AL142" i="130"/>
  <c r="AL81" i="130" s="1"/>
  <c r="AZ140" i="130"/>
  <c r="AZ79" i="130" s="1"/>
  <c r="AG136" i="130"/>
  <c r="BK147" i="130"/>
  <c r="BK86" i="130" s="1"/>
  <c r="H149" i="130"/>
  <c r="H88" i="130" s="1"/>
  <c r="AR148" i="130"/>
  <c r="AR87" i="130" s="1"/>
  <c r="J164" i="130"/>
  <c r="J103" i="130" s="1"/>
  <c r="BN160" i="130"/>
  <c r="BN99" i="130" s="1"/>
  <c r="T167" i="130"/>
  <c r="T106" i="130" s="1"/>
  <c r="BP137" i="130"/>
  <c r="BP76" i="130" s="1"/>
  <c r="Z142" i="130"/>
  <c r="Z81" i="130" s="1"/>
  <c r="CJ142" i="130"/>
  <c r="AZ136" i="130"/>
  <c r="AZ75" i="130" s="1"/>
  <c r="AA147" i="130"/>
  <c r="AA86" i="130" s="1"/>
  <c r="BR149" i="130"/>
  <c r="BR88" i="130" s="1"/>
  <c r="BE148" i="130"/>
  <c r="BE87" i="130" s="1"/>
  <c r="AY164" i="130"/>
  <c r="AY103" i="130" s="1"/>
  <c r="BJ160" i="130"/>
  <c r="BJ99" i="130" s="1"/>
  <c r="H160" i="130"/>
  <c r="H99" i="130" s="1"/>
  <c r="AL167" i="130"/>
  <c r="AL106" i="130" s="1"/>
  <c r="BM137" i="130"/>
  <c r="BM76" i="130" s="1"/>
  <c r="AB140" i="130"/>
  <c r="AB79" i="130" s="1"/>
  <c r="AH147" i="130"/>
  <c r="AH86" i="130" s="1"/>
  <c r="AD148" i="130"/>
  <c r="AD87" i="130" s="1"/>
  <c r="BK160" i="130"/>
  <c r="BK99" i="130" s="1"/>
  <c r="U45" i="98"/>
  <c r="FT45" i="98" s="1"/>
  <c r="FX45" i="98" s="1"/>
  <c r="U43" i="98"/>
  <c r="FT43" i="98" s="1"/>
  <c r="FX43" i="98" s="1"/>
  <c r="U44" i="98"/>
  <c r="FT44" i="98" s="1"/>
  <c r="AB167" i="1"/>
  <c r="AB169" i="1" s="1"/>
  <c r="BE102" i="97" s="1"/>
  <c r="AA208" i="1"/>
  <c r="U208" i="1"/>
  <c r="T208" i="1"/>
  <c r="V208" i="1"/>
  <c r="S208" i="1" s="1"/>
  <c r="AA355" i="1"/>
  <c r="T355" i="1"/>
  <c r="U355" i="1"/>
  <c r="V355" i="1"/>
  <c r="S355" i="1" s="1"/>
  <c r="AA349" i="1"/>
  <c r="V17" i="98" s="1"/>
  <c r="V30" i="98" s="1"/>
  <c r="T349" i="1"/>
  <c r="U349" i="1"/>
  <c r="V349" i="1"/>
  <c r="S349" i="1" s="1"/>
  <c r="AA256" i="1"/>
  <c r="T256" i="1"/>
  <c r="U256" i="1"/>
  <c r="V256" i="1"/>
  <c r="S256" i="1" s="1"/>
  <c r="AA298" i="1"/>
  <c r="T298" i="1"/>
  <c r="U298" i="1"/>
  <c r="V298" i="1"/>
  <c r="S298" i="1" s="1"/>
  <c r="AA278" i="1"/>
  <c r="U278" i="1"/>
  <c r="T278" i="1"/>
  <c r="V278" i="1"/>
  <c r="S278" i="1" s="1"/>
  <c r="F38" i="93"/>
  <c r="N38" i="93" s="1"/>
  <c r="H164" i="71" s="1"/>
  <c r="AA358" i="1"/>
  <c r="U358" i="1"/>
  <c r="N29" i="57" s="1"/>
  <c r="Y29" i="57" s="1"/>
  <c r="AY29" i="57" s="1"/>
  <c r="T358" i="1"/>
  <c r="V358" i="1"/>
  <c r="S358" i="1" s="1"/>
  <c r="AA257" i="1"/>
  <c r="U257" i="1"/>
  <c r="T257" i="1"/>
  <c r="V257" i="1"/>
  <c r="S257" i="1" s="1"/>
  <c r="AA268" i="1"/>
  <c r="U268" i="1"/>
  <c r="T268" i="1"/>
  <c r="V268" i="1"/>
  <c r="S268" i="1" s="1"/>
  <c r="AA320" i="1"/>
  <c r="T320" i="1"/>
  <c r="U320" i="1"/>
  <c r="V320" i="1"/>
  <c r="S320" i="1" s="1"/>
  <c r="AA307" i="1"/>
  <c r="U307" i="1"/>
  <c r="T307" i="1"/>
  <c r="V307" i="1"/>
  <c r="S307" i="1" s="1"/>
  <c r="AA186" i="1"/>
  <c r="T186" i="1"/>
  <c r="U186" i="1"/>
  <c r="V186" i="1"/>
  <c r="S186" i="1" s="1"/>
  <c r="AA319" i="1"/>
  <c r="T319" i="1"/>
  <c r="U319" i="1"/>
  <c r="V319" i="1"/>
  <c r="S319" i="1" s="1"/>
  <c r="AA315" i="1"/>
  <c r="U315" i="1"/>
  <c r="T315" i="1"/>
  <c r="V315" i="1"/>
  <c r="S315" i="1" s="1"/>
  <c r="AA292" i="1"/>
  <c r="T292" i="1"/>
  <c r="U292" i="1"/>
  <c r="V292" i="1"/>
  <c r="S292" i="1" s="1"/>
  <c r="R260" i="1"/>
  <c r="AM260" i="1"/>
  <c r="GB260" i="1"/>
  <c r="FN260" i="1"/>
  <c r="FT260" i="1"/>
  <c r="AA304" i="1"/>
  <c r="U304" i="1"/>
  <c r="T304" i="1"/>
  <c r="V304" i="1"/>
  <c r="S304" i="1" s="1"/>
  <c r="AM333" i="1"/>
  <c r="GB333" i="1"/>
  <c r="R333" i="1"/>
  <c r="M52" i="98"/>
  <c r="FH52" i="98" s="1"/>
  <c r="I25" i="127" s="1"/>
  <c r="FN333" i="1"/>
  <c r="FT333" i="1"/>
  <c r="AA182" i="1"/>
  <c r="T182" i="1"/>
  <c r="U182" i="1"/>
  <c r="V182" i="1"/>
  <c r="S182" i="1" s="1"/>
  <c r="AA270" i="1"/>
  <c r="T270" i="1"/>
  <c r="U270" i="1"/>
  <c r="V270" i="1"/>
  <c r="S270" i="1" s="1"/>
  <c r="AA313" i="1"/>
  <c r="U313" i="1"/>
  <c r="T313" i="1"/>
  <c r="V313" i="1"/>
  <c r="S313" i="1" s="1"/>
  <c r="U207" i="1"/>
  <c r="AA207" i="1"/>
  <c r="T207" i="1"/>
  <c r="V207" i="1"/>
  <c r="S207" i="1" s="1"/>
  <c r="AA237" i="1"/>
  <c r="T237" i="1"/>
  <c r="U237" i="1"/>
  <c r="V237" i="1"/>
  <c r="S237" i="1" s="1"/>
  <c r="AA196" i="1"/>
  <c r="U196" i="1"/>
  <c r="T196" i="1"/>
  <c r="V196" i="1"/>
  <c r="S196" i="1" s="1"/>
  <c r="AA267" i="1"/>
  <c r="T267" i="1"/>
  <c r="U267" i="1"/>
  <c r="V267" i="1"/>
  <c r="S267" i="1" s="1"/>
  <c r="AM283" i="1"/>
  <c r="R283" i="1"/>
  <c r="GB283" i="1"/>
  <c r="FN283" i="1"/>
  <c r="FT283" i="1"/>
  <c r="AA301" i="1"/>
  <c r="T301" i="1"/>
  <c r="U301" i="1"/>
  <c r="V301" i="1"/>
  <c r="S301" i="1" s="1"/>
  <c r="AM303" i="1"/>
  <c r="R303" i="1"/>
  <c r="GB303" i="1"/>
  <c r="FN303" i="1"/>
  <c r="FT303" i="1"/>
  <c r="AA291" i="1"/>
  <c r="T291" i="1"/>
  <c r="U291" i="1"/>
  <c r="V291" i="1"/>
  <c r="S291" i="1" s="1"/>
  <c r="AA246" i="1"/>
  <c r="T246" i="1"/>
  <c r="U246" i="1"/>
  <c r="V246" i="1"/>
  <c r="S246" i="1" s="1"/>
  <c r="AA190" i="1"/>
  <c r="T190" i="1"/>
  <c r="U190" i="1"/>
  <c r="V190" i="1"/>
  <c r="S190" i="1" s="1"/>
  <c r="AA233" i="1"/>
  <c r="U233" i="1"/>
  <c r="T233" i="1"/>
  <c r="V233" i="1"/>
  <c r="S233" i="1" s="1"/>
  <c r="N28" i="57"/>
  <c r="Y28" i="57" s="1"/>
  <c r="AY28" i="57" s="1"/>
  <c r="AA345" i="1"/>
  <c r="T345" i="1"/>
  <c r="U345" i="1"/>
  <c r="V345" i="1"/>
  <c r="S345" i="1" s="1"/>
  <c r="AA346" i="1"/>
  <c r="T346" i="1"/>
  <c r="M61" i="98" s="1"/>
  <c r="FH61" i="98" s="1"/>
  <c r="U346" i="1"/>
  <c r="N61" i="98" s="1"/>
  <c r="V346" i="1"/>
  <c r="AA177" i="1"/>
  <c r="T177" i="1"/>
  <c r="U177" i="1"/>
  <c r="V177" i="1"/>
  <c r="S177" i="1" s="1"/>
  <c r="AA245" i="1"/>
  <c r="U245" i="1"/>
  <c r="T245" i="1"/>
  <c r="V245" i="1"/>
  <c r="S245" i="1" s="1"/>
  <c r="R288" i="1"/>
  <c r="AM288" i="1"/>
  <c r="GB288" i="1"/>
  <c r="FN288" i="1"/>
  <c r="FT288" i="1"/>
  <c r="AA176" i="1"/>
  <c r="T176" i="1"/>
  <c r="U176" i="1"/>
  <c r="V176" i="1"/>
  <c r="S176" i="1" s="1"/>
  <c r="AM337" i="1"/>
  <c r="R337" i="1"/>
  <c r="GB337" i="1"/>
  <c r="FN337" i="1"/>
  <c r="FT337" i="1"/>
  <c r="AA251" i="1"/>
  <c r="U251" i="1"/>
  <c r="T251" i="1"/>
  <c r="V251" i="1"/>
  <c r="S251" i="1" s="1"/>
  <c r="AA199" i="1"/>
  <c r="T199" i="1"/>
  <c r="U199" i="1"/>
  <c r="V199" i="1"/>
  <c r="S199" i="1" s="1"/>
  <c r="AA364" i="1"/>
  <c r="T364" i="1"/>
  <c r="U364" i="1"/>
  <c r="V364" i="1"/>
  <c r="S364" i="1" s="1"/>
  <c r="AA322" i="1"/>
  <c r="T322" i="1"/>
  <c r="U322" i="1"/>
  <c r="V322" i="1"/>
  <c r="S322" i="1" s="1"/>
  <c r="AM202" i="1"/>
  <c r="R202" i="1"/>
  <c r="FN202" i="1"/>
  <c r="GB202" i="1"/>
  <c r="FT202" i="1"/>
  <c r="AA236" i="1"/>
  <c r="U236" i="1"/>
  <c r="T236" i="1"/>
  <c r="V236" i="1"/>
  <c r="S236" i="1" s="1"/>
  <c r="AA180" i="1"/>
  <c r="U180" i="1"/>
  <c r="T180" i="1"/>
  <c r="V180" i="1"/>
  <c r="S180" i="1" s="1"/>
  <c r="AA228" i="1"/>
  <c r="U228" i="1"/>
  <c r="T228" i="1"/>
  <c r="V228" i="1"/>
  <c r="S228" i="1" s="1"/>
  <c r="R249" i="1"/>
  <c r="AM249" i="1"/>
  <c r="GB249" i="1"/>
  <c r="FN249" i="1"/>
  <c r="FT249" i="1"/>
  <c r="AA253" i="1"/>
  <c r="T253" i="1"/>
  <c r="U253" i="1"/>
  <c r="V253" i="1"/>
  <c r="S253" i="1" s="1"/>
  <c r="AA191" i="1"/>
  <c r="T191" i="1"/>
  <c r="U191" i="1"/>
  <c r="V191" i="1"/>
  <c r="S191" i="1" s="1"/>
  <c r="AA230" i="1"/>
  <c r="T230" i="1"/>
  <c r="U230" i="1"/>
  <c r="V230" i="1"/>
  <c r="S230" i="1" s="1"/>
  <c r="R343" i="1"/>
  <c r="GB343" i="1"/>
  <c r="AM343" i="1"/>
  <c r="FN343" i="1"/>
  <c r="FT343" i="1"/>
  <c r="AA309" i="1"/>
  <c r="T309" i="1"/>
  <c r="U309" i="1"/>
  <c r="V309" i="1"/>
  <c r="S309" i="1" s="1"/>
  <c r="AM232" i="1"/>
  <c r="R232" i="1"/>
  <c r="GB232" i="1"/>
  <c r="FN232" i="1"/>
  <c r="FT232" i="1"/>
  <c r="AM324" i="1"/>
  <c r="R324" i="1"/>
  <c r="GB324" i="1"/>
  <c r="FN324" i="1"/>
  <c r="FT324" i="1"/>
  <c r="AA356" i="1"/>
  <c r="U356" i="1"/>
  <c r="T356" i="1"/>
  <c r="V356" i="1"/>
  <c r="S356" i="1" s="1"/>
  <c r="AA227" i="1"/>
  <c r="T227" i="1"/>
  <c r="U227" i="1"/>
  <c r="V227" i="1"/>
  <c r="S227" i="1" s="1"/>
  <c r="AA299" i="1"/>
  <c r="U299" i="1"/>
  <c r="T299" i="1"/>
  <c r="V299" i="1"/>
  <c r="S299" i="1" s="1"/>
  <c r="AA276" i="1"/>
  <c r="T276" i="1"/>
  <c r="U276" i="1"/>
  <c r="V276" i="1"/>
  <c r="S276" i="1" s="1"/>
  <c r="U35" i="98"/>
  <c r="FT35" i="98" s="1"/>
  <c r="AM272" i="1"/>
  <c r="R272" i="1"/>
  <c r="GB272" i="1"/>
  <c r="FN272" i="1"/>
  <c r="FT272" i="1"/>
  <c r="AA225" i="1"/>
  <c r="T225" i="1"/>
  <c r="U225" i="1"/>
  <c r="V225" i="1"/>
  <c r="S225" i="1" s="1"/>
  <c r="R239" i="1"/>
  <c r="AM239" i="1"/>
  <c r="GB239" i="1"/>
  <c r="FN239" i="1"/>
  <c r="FT239" i="1"/>
  <c r="AA362" i="1"/>
  <c r="T362" i="1"/>
  <c r="U362" i="1"/>
  <c r="V362" i="1"/>
  <c r="S362" i="1" s="1"/>
  <c r="AA234" i="1"/>
  <c r="U234" i="1"/>
  <c r="T234" i="1"/>
  <c r="V234" i="1"/>
  <c r="S234" i="1" s="1"/>
  <c r="AA354" i="1"/>
  <c r="U354" i="1"/>
  <c r="T354" i="1"/>
  <c r="V354" i="1"/>
  <c r="S354" i="1" s="1"/>
  <c r="AA244" i="1"/>
  <c r="T244" i="1"/>
  <c r="U244" i="1"/>
  <c r="V244" i="1"/>
  <c r="S244" i="1" s="1"/>
  <c r="R185" i="1"/>
  <c r="AM185" i="1"/>
  <c r="M36" i="98"/>
  <c r="FH36" i="98" s="1"/>
  <c r="I9" i="127" s="1"/>
  <c r="GB185" i="1"/>
  <c r="FN185" i="1"/>
  <c r="FT185" i="1"/>
  <c r="AA285" i="1"/>
  <c r="U285" i="1"/>
  <c r="T285" i="1"/>
  <c r="V285" i="1"/>
  <c r="S285" i="1" s="1"/>
  <c r="AA352" i="1"/>
  <c r="T352" i="1"/>
  <c r="U352" i="1"/>
  <c r="V352" i="1"/>
  <c r="S352" i="1" s="1"/>
  <c r="AA334" i="1"/>
  <c r="T334" i="1"/>
  <c r="U334" i="1"/>
  <c r="V334" i="1"/>
  <c r="S334" i="1" s="1"/>
  <c r="R297" i="1"/>
  <c r="AM297" i="1"/>
  <c r="GB297" i="1"/>
  <c r="FN297" i="1"/>
  <c r="FT297" i="1"/>
  <c r="AA318" i="1"/>
  <c r="T318" i="1"/>
  <c r="U318" i="1"/>
  <c r="V318" i="1"/>
  <c r="S318" i="1" s="1"/>
  <c r="AA200" i="1"/>
  <c r="U200" i="1"/>
  <c r="T200" i="1"/>
  <c r="V200" i="1"/>
  <c r="S200" i="1" s="1"/>
  <c r="AM336" i="1"/>
  <c r="R336" i="1"/>
  <c r="GB336" i="1"/>
  <c r="M28" i="57"/>
  <c r="X28" i="57" s="1"/>
  <c r="AX28" i="57" s="1"/>
  <c r="FN336" i="1"/>
  <c r="FT336" i="1"/>
  <c r="AA192" i="1"/>
  <c r="T192" i="1"/>
  <c r="U192" i="1"/>
  <c r="V192" i="1"/>
  <c r="S192" i="1" s="1"/>
  <c r="AA294" i="1"/>
  <c r="T294" i="1"/>
  <c r="U294" i="1"/>
  <c r="V294" i="1"/>
  <c r="S294" i="1" s="1"/>
  <c r="AA183" i="1"/>
  <c r="T183" i="1"/>
  <c r="U183" i="1"/>
  <c r="V183" i="1"/>
  <c r="S183" i="1" s="1"/>
  <c r="AA317" i="1"/>
  <c r="T317" i="1"/>
  <c r="U317" i="1"/>
  <c r="V317" i="1"/>
  <c r="S317" i="1" s="1"/>
  <c r="AA359" i="1"/>
  <c r="U359" i="1"/>
  <c r="T359" i="1"/>
  <c r="V359" i="1"/>
  <c r="S359" i="1" s="1"/>
  <c r="AA316" i="1"/>
  <c r="T316" i="1"/>
  <c r="U316" i="1"/>
  <c r="V316" i="1"/>
  <c r="S316" i="1" s="1"/>
  <c r="AA284" i="1"/>
  <c r="U284" i="1"/>
  <c r="T284" i="1"/>
  <c r="V284" i="1"/>
  <c r="S284" i="1" s="1"/>
  <c r="AA293" i="1"/>
  <c r="T293" i="1"/>
  <c r="U293" i="1"/>
  <c r="V293" i="1"/>
  <c r="S293" i="1" s="1"/>
  <c r="AA351" i="1"/>
  <c r="T351" i="1"/>
  <c r="M58" i="98" s="1"/>
  <c r="FH58" i="98" s="1"/>
  <c r="U351" i="1"/>
  <c r="V351" i="1"/>
  <c r="S351" i="1" s="1"/>
  <c r="AA357" i="1"/>
  <c r="T357" i="1"/>
  <c r="U357" i="1"/>
  <c r="V357" i="1"/>
  <c r="S357" i="1" s="1"/>
  <c r="AA243" i="1"/>
  <c r="U243" i="1"/>
  <c r="T243" i="1"/>
  <c r="V243" i="1"/>
  <c r="S243" i="1" s="1"/>
  <c r="AA363" i="1"/>
  <c r="U363" i="1"/>
  <c r="T363" i="1"/>
  <c r="V363" i="1"/>
  <c r="S363" i="1" s="1"/>
  <c r="U34" i="98"/>
  <c r="FT34" i="98" s="1"/>
  <c r="FX34" i="98" s="1"/>
  <c r="AA250" i="1"/>
  <c r="T250" i="1"/>
  <c r="U250" i="1"/>
  <c r="V250" i="1"/>
  <c r="S250" i="1" s="1"/>
  <c r="AA261" i="1"/>
  <c r="T261" i="1"/>
  <c r="U261" i="1"/>
  <c r="V261" i="1"/>
  <c r="S261" i="1" s="1"/>
  <c r="AA240" i="1"/>
  <c r="T240" i="1"/>
  <c r="U240" i="1"/>
  <c r="V240" i="1"/>
  <c r="S240" i="1" s="1"/>
  <c r="AA325" i="1"/>
  <c r="T325" i="1"/>
  <c r="U325" i="1"/>
  <c r="V325" i="1"/>
  <c r="S325" i="1" s="1"/>
  <c r="AA341" i="1"/>
  <c r="T341" i="1"/>
  <c r="U341" i="1"/>
  <c r="V341" i="1"/>
  <c r="S341" i="1" s="1"/>
  <c r="AA265" i="1"/>
  <c r="U265" i="1"/>
  <c r="T265" i="1"/>
  <c r="V265" i="1"/>
  <c r="S265" i="1" s="1"/>
  <c r="AA269" i="1"/>
  <c r="T269" i="1"/>
  <c r="U269" i="1"/>
  <c r="V269" i="1"/>
  <c r="S269" i="1" s="1"/>
  <c r="Y167" i="1"/>
  <c r="AA204" i="1"/>
  <c r="T204" i="1"/>
  <c r="U204" i="1"/>
  <c r="V204" i="1"/>
  <c r="S204" i="1" s="1"/>
  <c r="CL69" i="130"/>
  <c r="CJ69" i="130"/>
  <c r="AA360" i="1"/>
  <c r="U360" i="1"/>
  <c r="T360" i="1"/>
  <c r="V360" i="1"/>
  <c r="S360" i="1" s="1"/>
  <c r="AA344" i="1"/>
  <c r="S30" i="57" s="1"/>
  <c r="AD30" i="57" s="1"/>
  <c r="BD30" i="57" s="1"/>
  <c r="T344" i="1"/>
  <c r="M30" i="57" s="1"/>
  <c r="X30" i="57" s="1"/>
  <c r="AX30" i="57" s="1"/>
  <c r="U344" i="1"/>
  <c r="N30" i="57" s="1"/>
  <c r="Y30" i="57" s="1"/>
  <c r="AY30" i="57" s="1"/>
  <c r="V344" i="1"/>
  <c r="S344" i="1" s="1"/>
  <c r="AA275" i="1"/>
  <c r="T275" i="1"/>
  <c r="U275" i="1"/>
  <c r="V275" i="1"/>
  <c r="S275" i="1" s="1"/>
  <c r="AA305" i="1"/>
  <c r="U305" i="1"/>
  <c r="T305" i="1"/>
  <c r="V305" i="1"/>
  <c r="S305" i="1" s="1"/>
  <c r="AA266" i="1"/>
  <c r="U266" i="1"/>
  <c r="T266" i="1"/>
  <c r="V266" i="1"/>
  <c r="S266" i="1" s="1"/>
  <c r="AA350" i="1"/>
  <c r="U350" i="1"/>
  <c r="T350" i="1"/>
  <c r="V350" i="1"/>
  <c r="S350" i="1" s="1"/>
  <c r="AA279" i="1"/>
  <c r="T279" i="1"/>
  <c r="U279" i="1"/>
  <c r="V279" i="1"/>
  <c r="S279" i="1" s="1"/>
  <c r="AA308" i="1"/>
  <c r="U308" i="1"/>
  <c r="T308" i="1"/>
  <c r="V308" i="1"/>
  <c r="S308" i="1" s="1"/>
  <c r="AA262" i="1"/>
  <c r="U262" i="1"/>
  <c r="T262" i="1"/>
  <c r="V262" i="1"/>
  <c r="S262" i="1" s="1"/>
  <c r="AA273" i="1"/>
  <c r="T273" i="1"/>
  <c r="U273" i="1"/>
  <c r="V273" i="1"/>
  <c r="S273" i="1" s="1"/>
  <c r="AA312" i="1"/>
  <c r="T312" i="1"/>
  <c r="U312" i="1"/>
  <c r="V312" i="1"/>
  <c r="S312" i="1" s="1"/>
  <c r="AA241" i="1"/>
  <c r="U241" i="1"/>
  <c r="T241" i="1"/>
  <c r="V241" i="1"/>
  <c r="S241" i="1" s="1"/>
  <c r="AM179" i="1"/>
  <c r="R179" i="1"/>
  <c r="GB179" i="1"/>
  <c r="FN179" i="1"/>
  <c r="FT179" i="1"/>
  <c r="AA263" i="1"/>
  <c r="T263" i="1"/>
  <c r="U263" i="1"/>
  <c r="V263" i="1"/>
  <c r="S263" i="1" s="1"/>
  <c r="R331" i="1"/>
  <c r="AM331" i="1"/>
  <c r="GB331" i="1"/>
  <c r="FN331" i="1"/>
  <c r="FT331" i="1"/>
  <c r="AA300" i="1"/>
  <c r="T300" i="1"/>
  <c r="U300" i="1"/>
  <c r="V300" i="1"/>
  <c r="S300" i="1" s="1"/>
  <c r="R189" i="1"/>
  <c r="AM189" i="1"/>
  <c r="GB189" i="1"/>
  <c r="FN189" i="1"/>
  <c r="FT189" i="1"/>
  <c r="AA347" i="1"/>
  <c r="T347" i="1"/>
  <c r="U347" i="1"/>
  <c r="N57" i="98" s="1"/>
  <c r="V347" i="1"/>
  <c r="AA229" i="1"/>
  <c r="V54" i="98" s="1"/>
  <c r="FV54" i="98" s="1"/>
  <c r="FU54" i="98" s="1"/>
  <c r="U229" i="1"/>
  <c r="N54" i="98" s="1"/>
  <c r="T229" i="1"/>
  <c r="M54" i="98" s="1"/>
  <c r="FH54" i="98" s="1"/>
  <c r="I27" i="127" s="1"/>
  <c r="V229" i="1"/>
  <c r="AA281" i="1"/>
  <c r="T281" i="1"/>
  <c r="U281" i="1"/>
  <c r="V281" i="1"/>
  <c r="S281" i="1" s="1"/>
  <c r="AA353" i="1"/>
  <c r="T353" i="1"/>
  <c r="U353" i="1"/>
  <c r="V353" i="1"/>
  <c r="S353" i="1" s="1"/>
  <c r="AA254" i="1"/>
  <c r="T254" i="1"/>
  <c r="U254" i="1"/>
  <c r="V254" i="1"/>
  <c r="S254" i="1" s="1"/>
  <c r="AA290" i="1"/>
  <c r="T290" i="1"/>
  <c r="U290" i="1"/>
  <c r="V290" i="1"/>
  <c r="S290" i="1" s="1"/>
  <c r="AA203" i="1"/>
  <c r="U203" i="1"/>
  <c r="T203" i="1"/>
  <c r="V203" i="1"/>
  <c r="S203" i="1" s="1"/>
  <c r="AA252" i="1"/>
  <c r="T252" i="1"/>
  <c r="U252" i="1"/>
  <c r="V252" i="1"/>
  <c r="S252" i="1" s="1"/>
  <c r="AA197" i="1"/>
  <c r="T197" i="1"/>
  <c r="U197" i="1"/>
  <c r="V197" i="1"/>
  <c r="S197" i="1" s="1"/>
  <c r="AA328" i="1"/>
  <c r="T328" i="1"/>
  <c r="U328" i="1"/>
  <c r="V328" i="1"/>
  <c r="S328" i="1" s="1"/>
  <c r="AA327" i="1"/>
  <c r="U327" i="1"/>
  <c r="T327" i="1"/>
  <c r="V327" i="1"/>
  <c r="S327" i="1" s="1"/>
  <c r="AA326" i="1"/>
  <c r="T326" i="1"/>
  <c r="U326" i="1"/>
  <c r="V326" i="1"/>
  <c r="S326" i="1" s="1"/>
  <c r="R184" i="1"/>
  <c r="AA242" i="1"/>
  <c r="T242" i="1"/>
  <c r="U242" i="1"/>
  <c r="V242" i="1"/>
  <c r="S242" i="1" s="1"/>
  <c r="AA226" i="1"/>
  <c r="U226" i="1"/>
  <c r="T226" i="1"/>
  <c r="V226" i="1"/>
  <c r="S226" i="1" s="1"/>
  <c r="AA181" i="1"/>
  <c r="U181" i="1"/>
  <c r="T181" i="1"/>
  <c r="V181" i="1"/>
  <c r="T205" i="1"/>
  <c r="U205" i="1"/>
  <c r="AA205" i="1"/>
  <c r="V205" i="1"/>
  <c r="S205" i="1" s="1"/>
  <c r="AA332" i="1"/>
  <c r="V51" i="98" s="1"/>
  <c r="U332" i="1"/>
  <c r="T332" i="1"/>
  <c r="V332" i="1"/>
  <c r="S332" i="1" s="1"/>
  <c r="AA258" i="1"/>
  <c r="T258" i="1"/>
  <c r="U258" i="1"/>
  <c r="V258" i="1"/>
  <c r="S258" i="1" s="1"/>
  <c r="AM340" i="1"/>
  <c r="R340" i="1"/>
  <c r="GB340" i="1"/>
  <c r="M29" i="57"/>
  <c r="X29" i="57" s="1"/>
  <c r="AX29" i="57" s="1"/>
  <c r="FN340" i="1"/>
  <c r="FT340" i="1"/>
  <c r="AA198" i="1"/>
  <c r="U198" i="1"/>
  <c r="T198" i="1"/>
  <c r="V198" i="1"/>
  <c r="S198" i="1" s="1"/>
  <c r="AA306" i="1"/>
  <c r="U306" i="1"/>
  <c r="T306" i="1"/>
  <c r="V306" i="1"/>
  <c r="S306" i="1" s="1"/>
  <c r="AA311" i="1"/>
  <c r="U311" i="1"/>
  <c r="T311" i="1"/>
  <c r="V311" i="1"/>
  <c r="S311" i="1" s="1"/>
  <c r="AA361" i="1"/>
  <c r="T361" i="1"/>
  <c r="U361" i="1"/>
  <c r="V361" i="1"/>
  <c r="S361" i="1" s="1"/>
  <c r="CH205" i="1"/>
  <c r="CH206" i="1"/>
  <c r="CH207" i="1"/>
  <c r="CH208" i="1"/>
  <c r="FM44" i="98"/>
  <c r="FM49" i="98"/>
  <c r="FL49" i="98" s="1"/>
  <c r="FM53" i="98"/>
  <c r="FM52" i="98"/>
  <c r="FL52" i="98" s="1"/>
  <c r="FM39" i="98"/>
  <c r="FM35" i="98"/>
  <c r="FL35" i="98" s="1"/>
  <c r="FT36" i="98"/>
  <c r="FX36" i="98" s="1"/>
  <c r="K9" i="127" s="1"/>
  <c r="T9" i="127" s="1"/>
  <c r="FL36" i="98"/>
  <c r="CH299" i="1"/>
  <c r="CH229" i="1"/>
  <c r="CH355" i="1"/>
  <c r="CH237" i="1"/>
  <c r="CH175" i="1"/>
  <c r="CH362" i="1"/>
  <c r="CH278" i="1"/>
  <c r="CH247" i="1"/>
  <c r="CH363" i="1"/>
  <c r="CH234" i="1"/>
  <c r="CH232" i="1"/>
  <c r="CH227" i="1"/>
  <c r="CH285" i="1"/>
  <c r="CH318" i="1"/>
  <c r="CH343" i="1"/>
  <c r="CH186" i="1"/>
  <c r="CH300" i="1"/>
  <c r="CH263" i="1"/>
  <c r="CH324" i="1"/>
  <c r="CH204" i="1"/>
  <c r="CH258" i="1"/>
  <c r="CH327" i="1"/>
  <c r="CH182" i="1"/>
  <c r="CH338" i="1"/>
  <c r="CH200" i="1"/>
  <c r="CH291" i="1"/>
  <c r="CH279" i="1"/>
  <c r="CH361" i="1"/>
  <c r="CH311" i="1"/>
  <c r="CH253" i="1"/>
  <c r="CH360" i="1"/>
  <c r="CH179" i="1"/>
  <c r="CH305" i="1"/>
  <c r="CH325" i="1"/>
  <c r="CH176" i="1"/>
  <c r="CH289" i="1"/>
  <c r="CH256" i="1"/>
  <c r="CH283" i="1"/>
  <c r="CH317" i="1"/>
  <c r="CH298" i="1"/>
  <c r="CH334" i="1"/>
  <c r="CH226" i="1"/>
  <c r="CH297" i="1"/>
  <c r="CH351" i="1"/>
  <c r="CH230" i="1"/>
  <c r="CH353" i="1"/>
  <c r="CH274" i="1"/>
  <c r="CH332" i="1"/>
  <c r="CH284" i="1"/>
  <c r="CH190" i="1"/>
  <c r="CH183" i="1"/>
  <c r="CH356" i="1"/>
  <c r="CH309" i="1"/>
  <c r="CH251" i="1"/>
  <c r="CH319" i="1"/>
  <c r="CH265" i="1"/>
  <c r="CH357" i="1"/>
  <c r="CH268" i="1"/>
  <c r="CH236" i="1"/>
  <c r="CH242" i="1"/>
  <c r="CH281" i="1"/>
  <c r="CH235" i="1"/>
  <c r="CH177" i="1"/>
  <c r="CH198" i="1"/>
  <c r="CH354" i="1"/>
  <c r="CH225" i="1"/>
  <c r="CH202" i="1"/>
  <c r="CH314" i="1"/>
  <c r="CH270" i="1"/>
  <c r="CH358" i="1"/>
  <c r="CH341" i="1"/>
  <c r="CH266" i="1"/>
  <c r="CH333" i="1"/>
  <c r="CH275" i="1"/>
  <c r="CH320" i="1"/>
  <c r="CH228" i="1"/>
  <c r="CH252" i="1"/>
  <c r="CH250" i="1"/>
  <c r="CH257" i="1"/>
  <c r="CH345" i="1"/>
  <c r="CH260" i="1"/>
  <c r="CH241" i="1"/>
  <c r="CH272" i="1"/>
  <c r="CH233" i="1"/>
  <c r="CH180" i="1"/>
  <c r="CH243" i="1"/>
  <c r="CH349" i="1"/>
  <c r="CH359" i="1"/>
  <c r="CH286" i="1"/>
  <c r="CH224" i="1"/>
  <c r="CH364" i="1"/>
  <c r="CH193" i="1"/>
  <c r="CH352" i="1"/>
  <c r="CH192" i="1"/>
  <c r="CH288" i="1"/>
  <c r="CH348" i="1"/>
  <c r="CH328" i="1"/>
  <c r="CH255" i="1"/>
  <c r="CH307" i="1"/>
  <c r="CH308" i="1"/>
  <c r="CH245" i="1"/>
  <c r="CH350" i="1"/>
  <c r="CH346" i="1"/>
  <c r="CH292" i="1"/>
  <c r="CH303" i="1"/>
  <c r="CH199" i="1"/>
  <c r="CH326" i="1"/>
  <c r="CH197" i="1"/>
  <c r="CH337" i="1"/>
  <c r="CH344" i="1"/>
  <c r="CH262" i="1"/>
  <c r="CH293" i="1"/>
  <c r="CH331" i="1"/>
  <c r="CH249" i="1"/>
  <c r="CH189" i="1"/>
  <c r="CH321" i="1"/>
  <c r="CH246" i="1"/>
  <c r="CH336" i="1"/>
  <c r="CH185" i="1"/>
  <c r="CH196" i="1"/>
  <c r="CH312" i="1"/>
  <c r="CH254" i="1"/>
  <c r="CH269" i="1"/>
  <c r="CH316" i="1"/>
  <c r="CH340" i="1"/>
  <c r="CH264" i="1"/>
  <c r="CH301" i="1"/>
  <c r="CH195" i="1"/>
  <c r="CH280" i="1"/>
  <c r="CH240" i="1"/>
  <c r="CH203" i="1"/>
  <c r="CH322" i="1"/>
  <c r="CH220" i="1"/>
  <c r="CH347" i="1"/>
  <c r="CH239" i="1"/>
  <c r="CH310" i="1"/>
  <c r="CH261" i="1"/>
  <c r="CH181" i="1"/>
  <c r="CH313" i="1"/>
  <c r="CH290" i="1"/>
  <c r="CH244" i="1"/>
  <c r="CH277" i="1"/>
  <c r="CH306" i="1"/>
  <c r="CH304" i="1"/>
  <c r="CH315" i="1"/>
  <c r="CH294" i="1"/>
  <c r="CH273" i="1"/>
  <c r="CH191" i="1"/>
  <c r="CH223" i="1"/>
  <c r="CH267" i="1"/>
  <c r="CH276" i="1"/>
  <c r="LV64" i="93"/>
  <c r="MG64" i="93" s="1"/>
  <c r="Z30" i="98"/>
  <c r="Z29" i="98"/>
  <c r="Z33" i="98" s="1"/>
  <c r="FL51" i="98"/>
  <c r="FX51" i="98"/>
  <c r="FL42" i="98"/>
  <c r="FL47" i="98"/>
  <c r="K30" i="71"/>
  <c r="D47" i="71"/>
  <c r="F47" i="71" s="1"/>
  <c r="FL46" i="98"/>
  <c r="FL43" i="98"/>
  <c r="FL50" i="98"/>
  <c r="FL34" i="98"/>
  <c r="FL38" i="98"/>
  <c r="FL37" i="98"/>
  <c r="FL45" i="98"/>
  <c r="FL41" i="98"/>
  <c r="FL48" i="98"/>
  <c r="FL40" i="98"/>
  <c r="GV11" i="1" l="1"/>
  <c r="FN175" i="1"/>
  <c r="GT12" i="1"/>
  <c r="GT11" i="1"/>
  <c r="S181" i="1"/>
  <c r="K31" i="127"/>
  <c r="T31" i="127" s="1"/>
  <c r="CI188" i="1"/>
  <c r="CI178" i="1"/>
  <c r="CI184" i="1"/>
  <c r="CI295" i="1"/>
  <c r="CI282" i="1"/>
  <c r="CI248" i="1"/>
  <c r="CI287" i="1"/>
  <c r="CI271" i="1"/>
  <c r="CI296" i="1"/>
  <c r="CI259" i="1"/>
  <c r="CI201" i="1"/>
  <c r="CI194" i="1"/>
  <c r="CI231" i="1"/>
  <c r="CI329" i="1"/>
  <c r="CI238" i="1"/>
  <c r="CI174" i="1"/>
  <c r="CI302" i="1"/>
  <c r="CI221" i="1"/>
  <c r="CI187" i="1"/>
  <c r="CI222" i="1"/>
  <c r="CI323" i="1"/>
  <c r="CI330" i="1"/>
  <c r="CI173" i="1"/>
  <c r="CI335" i="1"/>
  <c r="CI342" i="1"/>
  <c r="CI339" i="1"/>
  <c r="GU5" i="123"/>
  <c r="GU11" i="123"/>
  <c r="GS5" i="123"/>
  <c r="GR11" i="123"/>
  <c r="GT5" i="123"/>
  <c r="GT11" i="123"/>
  <c r="GR5" i="123"/>
  <c r="D45" i="93"/>
  <c r="D47" i="93"/>
  <c r="L47" i="93" s="1"/>
  <c r="HG47" i="93" s="1"/>
  <c r="HJ47" i="93" s="1"/>
  <c r="HK47" i="93" s="1"/>
  <c r="CA71" i="130"/>
  <c r="CI219" i="1"/>
  <c r="CI209" i="1"/>
  <c r="D30" i="93"/>
  <c r="L30" i="93" s="1"/>
  <c r="D49" i="93"/>
  <c r="L49" i="93" s="1"/>
  <c r="HG49" i="93" s="1"/>
  <c r="HJ49" i="93" s="1"/>
  <c r="HK49" i="93" s="1"/>
  <c r="D48" i="93"/>
  <c r="L48" i="93" s="1"/>
  <c r="HG48" i="93" s="1"/>
  <c r="HJ48" i="93" s="1"/>
  <c r="HK48" i="93" s="1"/>
  <c r="BE104" i="97"/>
  <c r="AK104" i="97" s="1"/>
  <c r="BE103" i="97"/>
  <c r="J136" i="71"/>
  <c r="S229" i="1"/>
  <c r="S222" i="1" s="1"/>
  <c r="T54" i="98"/>
  <c r="FG54" i="98"/>
  <c r="H27" i="127" s="1"/>
  <c r="CI214" i="1"/>
  <c r="CI217" i="1"/>
  <c r="N56" i="115"/>
  <c r="N41" i="115"/>
  <c r="N45" i="115"/>
  <c r="N49" i="115"/>
  <c r="N59" i="115"/>
  <c r="N63" i="115"/>
  <c r="N36" i="115"/>
  <c r="N55" i="115"/>
  <c r="N53" i="115"/>
  <c r="N44" i="115"/>
  <c r="N48" i="115"/>
  <c r="N54" i="115"/>
  <c r="N58" i="115"/>
  <c r="N62" i="115"/>
  <c r="N66" i="115"/>
  <c r="N67" i="115"/>
  <c r="N68" i="115"/>
  <c r="N42" i="115"/>
  <c r="N46" i="115"/>
  <c r="N50" i="115"/>
  <c r="N60" i="115"/>
  <c r="N64" i="115"/>
  <c r="N37" i="115"/>
  <c r="N43" i="115"/>
  <c r="N47" i="115"/>
  <c r="N51" i="115"/>
  <c r="N57" i="115"/>
  <c r="N61" i="115"/>
  <c r="N65" i="115"/>
  <c r="CI210" i="1"/>
  <c r="CI212" i="1"/>
  <c r="CI215" i="1"/>
  <c r="CI216" i="1"/>
  <c r="CI218" i="1"/>
  <c r="FT175" i="1"/>
  <c r="K33" i="127"/>
  <c r="T33" i="127" s="1"/>
  <c r="K28" i="127"/>
  <c r="T28" i="127" s="1"/>
  <c r="K34" i="136"/>
  <c r="T34" i="136" s="1"/>
  <c r="K34" i="127"/>
  <c r="T34" i="127" s="1"/>
  <c r="G34" i="136"/>
  <c r="I34" i="127"/>
  <c r="K30" i="136"/>
  <c r="T30" i="136" s="1"/>
  <c r="K30" i="127"/>
  <c r="T30" i="127" s="1"/>
  <c r="GX11" i="123"/>
  <c r="HB11" i="123"/>
  <c r="HC11" i="123"/>
  <c r="GY11" i="123"/>
  <c r="GV11" i="123"/>
  <c r="GW11" i="123"/>
  <c r="GZ11" i="123"/>
  <c r="HA11" i="123"/>
  <c r="V60" i="98"/>
  <c r="FV60" i="98" s="1"/>
  <c r="FU60" i="98" s="1"/>
  <c r="N60" i="98"/>
  <c r="FG61" i="98"/>
  <c r="I83" i="71"/>
  <c r="K83" i="71" s="1"/>
  <c r="V61" i="98"/>
  <c r="FV61" i="98" s="1"/>
  <c r="FU61" i="98" s="1"/>
  <c r="N35" i="115" s="1"/>
  <c r="S346" i="1"/>
  <c r="T61" i="98"/>
  <c r="M57" i="98"/>
  <c r="FH57" i="98" s="1"/>
  <c r="J165" i="71"/>
  <c r="J135" i="71"/>
  <c r="K135" i="71" s="1"/>
  <c r="J166" i="71"/>
  <c r="K166" i="71" s="1"/>
  <c r="GV12" i="1"/>
  <c r="GU12" i="1"/>
  <c r="GV7" i="1"/>
  <c r="GU7" i="1"/>
  <c r="S175" i="1"/>
  <c r="S174" i="1" s="1"/>
  <c r="GU11" i="1"/>
  <c r="R19" i="98"/>
  <c r="GY7" i="1"/>
  <c r="HC7" i="1"/>
  <c r="HG7" i="1"/>
  <c r="HK7" i="1"/>
  <c r="HO7" i="1"/>
  <c r="HS7" i="1"/>
  <c r="HW7" i="1"/>
  <c r="IA7" i="1"/>
  <c r="IE7" i="1"/>
  <c r="II7" i="1"/>
  <c r="GZ7" i="1"/>
  <c r="HD7" i="1"/>
  <c r="HH7" i="1"/>
  <c r="HL7" i="1"/>
  <c r="HP7" i="1"/>
  <c r="HT7" i="1"/>
  <c r="HX7" i="1"/>
  <c r="IB7" i="1"/>
  <c r="IF7" i="1"/>
  <c r="IJ7" i="1"/>
  <c r="GW7" i="1"/>
  <c r="HA7" i="1"/>
  <c r="HE7" i="1"/>
  <c r="HI7" i="1"/>
  <c r="HM7" i="1"/>
  <c r="HQ7" i="1"/>
  <c r="HU7" i="1"/>
  <c r="HY7" i="1"/>
  <c r="IC7" i="1"/>
  <c r="IG7" i="1"/>
  <c r="GX7" i="1"/>
  <c r="HB7" i="1"/>
  <c r="HF7" i="1"/>
  <c r="HJ7" i="1"/>
  <c r="HN7" i="1"/>
  <c r="HR7" i="1"/>
  <c r="HV7" i="1"/>
  <c r="HZ7" i="1"/>
  <c r="ID7" i="1"/>
  <c r="IH7" i="1"/>
  <c r="V56" i="98"/>
  <c r="N56" i="98"/>
  <c r="M56" i="98"/>
  <c r="FH56" i="98" s="1"/>
  <c r="G29" i="136" s="1"/>
  <c r="V58" i="98"/>
  <c r="FV58" i="98" s="1"/>
  <c r="FU58" i="98" s="1"/>
  <c r="N58" i="98"/>
  <c r="FG58" i="98" s="1"/>
  <c r="M59" i="98"/>
  <c r="FH59" i="98" s="1"/>
  <c r="G32" i="136" s="1"/>
  <c r="N59" i="98"/>
  <c r="FV30" i="98"/>
  <c r="FU30" i="98" s="1"/>
  <c r="N3" i="115" s="1"/>
  <c r="CO31" i="98"/>
  <c r="GG31" i="98"/>
  <c r="CW31" i="98" s="1"/>
  <c r="V39" i="98"/>
  <c r="FV39" i="98" s="1"/>
  <c r="FU39" i="98" s="1"/>
  <c r="N12" i="115" s="1"/>
  <c r="V46" i="98"/>
  <c r="FV46" i="98" s="1"/>
  <c r="FU46" i="98" s="1"/>
  <c r="N19" i="115" s="1"/>
  <c r="N55" i="98"/>
  <c r="V49" i="98"/>
  <c r="FV49" i="98" s="1"/>
  <c r="FU49" i="98" s="1"/>
  <c r="N22" i="115" s="1"/>
  <c r="V45" i="98"/>
  <c r="FV45" i="98" s="1"/>
  <c r="FU45" i="98" s="1"/>
  <c r="N18" i="115" s="1"/>
  <c r="V50" i="98"/>
  <c r="FV50" i="98" s="1"/>
  <c r="FU50" i="98" s="1"/>
  <c r="N23" i="115" s="1"/>
  <c r="V42" i="98"/>
  <c r="FV42" i="98" s="1"/>
  <c r="FU42" i="98" s="1"/>
  <c r="N15" i="115" s="1"/>
  <c r="V44" i="98"/>
  <c r="FV44" i="98" s="1"/>
  <c r="FU44" i="98" s="1"/>
  <c r="N17" i="115" s="1"/>
  <c r="V43" i="98"/>
  <c r="FV43" i="98" s="1"/>
  <c r="FU43" i="98" s="1"/>
  <c r="N16" i="115" s="1"/>
  <c r="V40" i="98"/>
  <c r="FV40" i="98" s="1"/>
  <c r="FU40" i="98" s="1"/>
  <c r="N13" i="115" s="1"/>
  <c r="V41" i="98"/>
  <c r="FV41" i="98" s="1"/>
  <c r="FU41" i="98" s="1"/>
  <c r="N14" i="115" s="1"/>
  <c r="V47" i="98"/>
  <c r="FV47" i="98" s="1"/>
  <c r="FU47" i="98" s="1"/>
  <c r="N20" i="115" s="1"/>
  <c r="V37" i="98"/>
  <c r="FV37" i="98" s="1"/>
  <c r="FU37" i="98" s="1"/>
  <c r="N10" i="115" s="1"/>
  <c r="V48" i="98"/>
  <c r="FV48" i="98" s="1"/>
  <c r="FU48" i="98" s="1"/>
  <c r="N21" i="115" s="1"/>
  <c r="V38" i="98"/>
  <c r="FV38" i="98" s="1"/>
  <c r="FU38" i="98" s="1"/>
  <c r="N11" i="115" s="1"/>
  <c r="V57" i="98"/>
  <c r="FV57" i="98" s="1"/>
  <c r="FU57" i="98" s="1"/>
  <c r="N30" i="115" s="1"/>
  <c r="I81" i="71"/>
  <c r="K81" i="71" s="1"/>
  <c r="S347" i="1"/>
  <c r="T57" i="98"/>
  <c r="M55" i="98"/>
  <c r="FH55" i="98" s="1"/>
  <c r="G28" i="136" s="1"/>
  <c r="V35" i="98"/>
  <c r="FV35" i="98" s="1"/>
  <c r="FU35" i="98" s="1"/>
  <c r="S330" i="1"/>
  <c r="V55" i="98"/>
  <c r="FV55" i="98" s="1"/>
  <c r="FU55" i="98" s="1"/>
  <c r="N28" i="115" s="1"/>
  <c r="V34" i="98"/>
  <c r="FV34" i="98" s="1"/>
  <c r="FU34" i="98" s="1"/>
  <c r="V59" i="98"/>
  <c r="FV59" i="98" s="1"/>
  <c r="FU59" i="98" s="1"/>
  <c r="S194" i="1"/>
  <c r="S271" i="1"/>
  <c r="S323" i="1"/>
  <c r="S248" i="1"/>
  <c r="H70" i="71"/>
  <c r="S238" i="1"/>
  <c r="S201" i="1"/>
  <c r="S282" i="1"/>
  <c r="S178" i="1"/>
  <c r="S231" i="1"/>
  <c r="S187" i="1"/>
  <c r="S302" i="1"/>
  <c r="S287" i="1"/>
  <c r="S259" i="1"/>
  <c r="S295" i="1"/>
  <c r="S188" i="1"/>
  <c r="S296" i="1"/>
  <c r="S329" i="1"/>
  <c r="J71" i="71"/>
  <c r="I73" i="71"/>
  <c r="S206" i="1"/>
  <c r="I78" i="71"/>
  <c r="D39" i="93"/>
  <c r="L39" i="93" s="1"/>
  <c r="AM175" i="1"/>
  <c r="G26" i="136"/>
  <c r="I26" i="127"/>
  <c r="G31" i="136"/>
  <c r="I31" i="127"/>
  <c r="I29" i="127"/>
  <c r="K32" i="136"/>
  <c r="T32" i="136" s="1"/>
  <c r="K32" i="127"/>
  <c r="T32" i="127" s="1"/>
  <c r="I32" i="127"/>
  <c r="N34" i="98"/>
  <c r="R175" i="1"/>
  <c r="GB175" i="1"/>
  <c r="R174" i="1"/>
  <c r="HC5" i="123"/>
  <c r="GW5" i="123"/>
  <c r="HB5" i="123"/>
  <c r="GX5" i="123"/>
  <c r="GZ5" i="123"/>
  <c r="GY5" i="123"/>
  <c r="GV5" i="123"/>
  <c r="HA5" i="123"/>
  <c r="HV11" i="1"/>
  <c r="IA11" i="1"/>
  <c r="GW11" i="1"/>
  <c r="HP11" i="1"/>
  <c r="HM11" i="1"/>
  <c r="IH11" i="1"/>
  <c r="HL11" i="1"/>
  <c r="ID11" i="1"/>
  <c r="HZ11" i="1"/>
  <c r="HH11" i="1"/>
  <c r="HR11" i="1"/>
  <c r="HK11" i="1"/>
  <c r="HJ11" i="1"/>
  <c r="GZ11" i="1"/>
  <c r="HY11" i="1"/>
  <c r="HB11" i="1"/>
  <c r="II11" i="1"/>
  <c r="IJ11" i="1"/>
  <c r="IG11" i="1"/>
  <c r="IE11" i="1"/>
  <c r="HT11" i="1"/>
  <c r="HF11" i="1"/>
  <c r="HQ11" i="1"/>
  <c r="HW11" i="1"/>
  <c r="HU11" i="1"/>
  <c r="HI11" i="1"/>
  <c r="HS11" i="1"/>
  <c r="HE11" i="1"/>
  <c r="HA11" i="1"/>
  <c r="HO11" i="1"/>
  <c r="HD11" i="1"/>
  <c r="HN11" i="1"/>
  <c r="IF11" i="1"/>
  <c r="HG11" i="1"/>
  <c r="GX11" i="1"/>
  <c r="IB11" i="1"/>
  <c r="HC11" i="1"/>
  <c r="IC11" i="1"/>
  <c r="HX11" i="1"/>
  <c r="GY11" i="1"/>
  <c r="GO4" i="1"/>
  <c r="S126" i="123"/>
  <c r="T164" i="1"/>
  <c r="T163" i="1" s="1"/>
  <c r="V125" i="123"/>
  <c r="V120" i="123"/>
  <c r="V119" i="123" s="1"/>
  <c r="V164" i="1"/>
  <c r="V163" i="1" s="1"/>
  <c r="T60" i="98"/>
  <c r="FN211" i="1"/>
  <c r="FT211" i="1"/>
  <c r="GB211" i="1"/>
  <c r="M60" i="98"/>
  <c r="FH60" i="98" s="1"/>
  <c r="R211" i="1"/>
  <c r="AM211" i="1"/>
  <c r="FG53" i="98"/>
  <c r="FG36" i="98"/>
  <c r="G9" i="136"/>
  <c r="FG52" i="98"/>
  <c r="G25" i="136"/>
  <c r="N27" i="115"/>
  <c r="L27" i="136"/>
  <c r="Y170" i="1"/>
  <c r="S170" i="1" s="1"/>
  <c r="T58" i="98"/>
  <c r="CI211" i="1"/>
  <c r="CI213" i="1"/>
  <c r="T59" i="98"/>
  <c r="T55" i="98"/>
  <c r="T56" i="98"/>
  <c r="CO131" i="123"/>
  <c r="HE11" i="123" s="1"/>
  <c r="DJ85" i="1"/>
  <c r="R126" i="123"/>
  <c r="CM6" i="130" s="1"/>
  <c r="DQ123" i="123"/>
  <c r="I37" i="98"/>
  <c r="S129" i="123"/>
  <c r="FX39" i="98"/>
  <c r="CM71" i="130"/>
  <c r="R238" i="1"/>
  <c r="N41" i="98"/>
  <c r="M25" i="57"/>
  <c r="X25" i="57" s="1"/>
  <c r="AX25" i="57" s="1"/>
  <c r="T167" i="1"/>
  <c r="N27" i="57"/>
  <c r="Y27" i="57" s="1"/>
  <c r="AY27" i="57" s="1"/>
  <c r="N46" i="98"/>
  <c r="R173" i="1"/>
  <c r="N50" i="98"/>
  <c r="N48" i="98"/>
  <c r="N45" i="98"/>
  <c r="R271" i="1"/>
  <c r="N43" i="98"/>
  <c r="N39" i="98"/>
  <c r="AA167" i="1"/>
  <c r="AA169" i="1" s="1"/>
  <c r="BD102" i="97" s="1"/>
  <c r="U167" i="1"/>
  <c r="M35" i="98"/>
  <c r="FH35" i="98" s="1"/>
  <c r="R206" i="1"/>
  <c r="R295" i="1"/>
  <c r="M51" i="98"/>
  <c r="FH51" i="98" s="1"/>
  <c r="N42" i="98"/>
  <c r="M39" i="98"/>
  <c r="FH39" i="98" s="1"/>
  <c r="N47" i="98"/>
  <c r="R302" i="1"/>
  <c r="T48" i="98"/>
  <c r="T41" i="98"/>
  <c r="M37" i="98"/>
  <c r="FH37" i="98" s="1"/>
  <c r="CK71" i="130"/>
  <c r="V167" i="1"/>
  <c r="R13" i="98" s="1"/>
  <c r="M45" i="98"/>
  <c r="FH45" i="98" s="1"/>
  <c r="N44" i="98"/>
  <c r="N38" i="98"/>
  <c r="N49" i="98"/>
  <c r="CN71" i="130"/>
  <c r="S25" i="57"/>
  <c r="AD25" i="57" s="1"/>
  <c r="BD25" i="57" s="1"/>
  <c r="R259" i="1"/>
  <c r="T35" i="98"/>
  <c r="T46" i="98"/>
  <c r="M40" i="98"/>
  <c r="FH40" i="98" s="1"/>
  <c r="N37" i="98"/>
  <c r="M48" i="98"/>
  <c r="FH48" i="98" s="1"/>
  <c r="N40" i="98"/>
  <c r="FX44" i="98"/>
  <c r="CQ81" i="130"/>
  <c r="CQ85" i="130"/>
  <c r="CQ103" i="130"/>
  <c r="CL71" i="130"/>
  <c r="R284" i="1"/>
  <c r="AM284" i="1"/>
  <c r="GB284" i="1"/>
  <c r="FN284" i="1"/>
  <c r="FT284" i="1"/>
  <c r="T47" i="98"/>
  <c r="R205" i="1"/>
  <c r="FN205" i="1"/>
  <c r="GB205" i="1"/>
  <c r="AM205" i="1"/>
  <c r="FT205" i="1"/>
  <c r="AM361" i="1"/>
  <c r="R361" i="1"/>
  <c r="GB361" i="1"/>
  <c r="FN361" i="1"/>
  <c r="FT361" i="1"/>
  <c r="AM242" i="1"/>
  <c r="R242" i="1"/>
  <c r="GB242" i="1"/>
  <c r="FN242" i="1"/>
  <c r="FT242" i="1"/>
  <c r="AM327" i="1"/>
  <c r="R327" i="1"/>
  <c r="GB327" i="1"/>
  <c r="FN327" i="1"/>
  <c r="FT327" i="1"/>
  <c r="AM328" i="1"/>
  <c r="GB328" i="1"/>
  <c r="R328" i="1"/>
  <c r="FN328" i="1"/>
  <c r="FT328" i="1"/>
  <c r="T44" i="98"/>
  <c r="AM243" i="1"/>
  <c r="R243" i="1"/>
  <c r="GB243" i="1"/>
  <c r="FN243" i="1"/>
  <c r="FT243" i="1"/>
  <c r="AM318" i="1"/>
  <c r="R318" i="1"/>
  <c r="GB318" i="1"/>
  <c r="FN318" i="1"/>
  <c r="FT318" i="1"/>
  <c r="AM285" i="1"/>
  <c r="R285" i="1"/>
  <c r="GB285" i="1"/>
  <c r="FN285" i="1"/>
  <c r="FT285" i="1"/>
  <c r="AM227" i="1"/>
  <c r="R227" i="1"/>
  <c r="GB227" i="1"/>
  <c r="FN227" i="1"/>
  <c r="FT227" i="1"/>
  <c r="R309" i="1"/>
  <c r="AM309" i="1"/>
  <c r="GB309" i="1"/>
  <c r="FN309" i="1"/>
  <c r="FT309" i="1"/>
  <c r="AM176" i="1"/>
  <c r="R176" i="1"/>
  <c r="GB176" i="1"/>
  <c r="FN176" i="1"/>
  <c r="FT176" i="1"/>
  <c r="R233" i="1"/>
  <c r="AM233" i="1"/>
  <c r="GB233" i="1"/>
  <c r="FN233" i="1"/>
  <c r="FT233" i="1"/>
  <c r="R231" i="1"/>
  <c r="M46" i="98"/>
  <c r="FH46" i="98" s="1"/>
  <c r="GB196" i="1"/>
  <c r="FN196" i="1"/>
  <c r="AM196" i="1"/>
  <c r="R196" i="1"/>
  <c r="FT196" i="1"/>
  <c r="AM186" i="1"/>
  <c r="R186" i="1"/>
  <c r="GB186" i="1"/>
  <c r="FN186" i="1"/>
  <c r="FT186" i="1"/>
  <c r="AM320" i="1"/>
  <c r="R320" i="1"/>
  <c r="GB320" i="1"/>
  <c r="FN320" i="1"/>
  <c r="FT320" i="1"/>
  <c r="R268" i="1"/>
  <c r="AM268" i="1"/>
  <c r="GB268" i="1"/>
  <c r="FN268" i="1"/>
  <c r="FT268" i="1"/>
  <c r="R257" i="1"/>
  <c r="AM257" i="1"/>
  <c r="GB257" i="1"/>
  <c r="FN257" i="1"/>
  <c r="FT257" i="1"/>
  <c r="GB358" i="1"/>
  <c r="AM358" i="1"/>
  <c r="R358" i="1"/>
  <c r="FN358" i="1"/>
  <c r="FT358" i="1"/>
  <c r="T37" i="98"/>
  <c r="HK12" i="1"/>
  <c r="GZ12" i="1"/>
  <c r="HJ12" i="1"/>
  <c r="HN12" i="1"/>
  <c r="IE12" i="1"/>
  <c r="IF12" i="1"/>
  <c r="HA12" i="1"/>
  <c r="IG12" i="1"/>
  <c r="IB12" i="1"/>
  <c r="HU12" i="1"/>
  <c r="R188" i="1"/>
  <c r="CQ158" i="130"/>
  <c r="CP158" i="130"/>
  <c r="BA97" i="130"/>
  <c r="CP97" i="130" s="1"/>
  <c r="CK134" i="130"/>
  <c r="C73" i="130"/>
  <c r="CK73" i="130" s="1"/>
  <c r="CP142" i="130"/>
  <c r="CQ142" i="130"/>
  <c r="BA81" i="130"/>
  <c r="CP81" i="130" s="1"/>
  <c r="CO166" i="130"/>
  <c r="AQ105" i="130"/>
  <c r="CO105" i="130" s="1"/>
  <c r="CO160" i="130"/>
  <c r="AQ99" i="130"/>
  <c r="CO99" i="130" s="1"/>
  <c r="CL145" i="130"/>
  <c r="M84" i="130"/>
  <c r="CL84" i="130" s="1"/>
  <c r="CQ73" i="130"/>
  <c r="CL135" i="130"/>
  <c r="M74" i="130"/>
  <c r="CL74" i="130" s="1"/>
  <c r="CO149" i="130"/>
  <c r="AQ88" i="130"/>
  <c r="CO88" i="130" s="1"/>
  <c r="CQ90" i="130"/>
  <c r="CK161" i="130"/>
  <c r="C100" i="130"/>
  <c r="CK100" i="130" s="1"/>
  <c r="HE75" i="93"/>
  <c r="EM75" i="93"/>
  <c r="HH75" i="93" s="1"/>
  <c r="CZ64" i="93"/>
  <c r="BV62" i="93"/>
  <c r="DX159" i="1"/>
  <c r="BS78" i="93"/>
  <c r="CW78" i="93" s="1"/>
  <c r="HE67" i="93"/>
  <c r="EM67" i="93"/>
  <c r="BS75" i="93"/>
  <c r="CW75" i="93" s="1"/>
  <c r="DU159" i="1"/>
  <c r="HE68" i="93"/>
  <c r="EM68" i="93"/>
  <c r="R235" i="1"/>
  <c r="AM235" i="1"/>
  <c r="GB235" i="1"/>
  <c r="FN235" i="1"/>
  <c r="FT235" i="1"/>
  <c r="CM134" i="130"/>
  <c r="W73" i="130"/>
  <c r="CM73" i="130" s="1"/>
  <c r="CO145" i="130"/>
  <c r="AQ84" i="130"/>
  <c r="CO84" i="130" s="1"/>
  <c r="CL158" i="130"/>
  <c r="M97" i="130"/>
  <c r="CL97" i="130" s="1"/>
  <c r="BU67" i="93"/>
  <c r="DM67" i="93" s="1"/>
  <c r="CJ75" i="130"/>
  <c r="DK159" i="1"/>
  <c r="BS65" i="93"/>
  <c r="CW65" i="93" s="1"/>
  <c r="BU80" i="93"/>
  <c r="DM80" i="93" s="1"/>
  <c r="CJ88" i="130"/>
  <c r="DZ159" i="1"/>
  <c r="BS80" i="93"/>
  <c r="CW80" i="93" s="1"/>
  <c r="BU82" i="93"/>
  <c r="DM82" i="93" s="1"/>
  <c r="CJ90" i="130"/>
  <c r="AM264" i="1"/>
  <c r="R264" i="1"/>
  <c r="GB264" i="1"/>
  <c r="FN264" i="1"/>
  <c r="FT264" i="1"/>
  <c r="CM140" i="130"/>
  <c r="W79" i="130"/>
  <c r="CM79" i="130" s="1"/>
  <c r="CM153" i="130"/>
  <c r="W92" i="130"/>
  <c r="CM92" i="130" s="1"/>
  <c r="CP141" i="130"/>
  <c r="CQ141" i="130"/>
  <c r="BA80" i="130"/>
  <c r="CP80" i="130" s="1"/>
  <c r="CO155" i="130"/>
  <c r="AQ94" i="130"/>
  <c r="CO94" i="130" s="1"/>
  <c r="CQ89" i="130"/>
  <c r="CQ104" i="130"/>
  <c r="CK137" i="130"/>
  <c r="C76" i="130"/>
  <c r="CK76" i="130" s="1"/>
  <c r="CQ79" i="130"/>
  <c r="CM154" i="130"/>
  <c r="W93" i="130"/>
  <c r="CM93" i="130" s="1"/>
  <c r="CL154" i="130"/>
  <c r="M93" i="130"/>
  <c r="CL93" i="130" s="1"/>
  <c r="CO138" i="130"/>
  <c r="AQ77" i="130"/>
  <c r="CO77" i="130" s="1"/>
  <c r="CN141" i="130"/>
  <c r="AG80" i="130"/>
  <c r="CN80" i="130" s="1"/>
  <c r="CP154" i="130"/>
  <c r="CQ154" i="130"/>
  <c r="BA93" i="130"/>
  <c r="CP93" i="130" s="1"/>
  <c r="CL141" i="130"/>
  <c r="M80" i="130"/>
  <c r="CL80" i="130" s="1"/>
  <c r="CM150" i="130"/>
  <c r="W89" i="130"/>
  <c r="CM89" i="130" s="1"/>
  <c r="CQ102" i="130"/>
  <c r="CO153" i="130"/>
  <c r="AQ92" i="130"/>
  <c r="CO92" i="130" s="1"/>
  <c r="CL144" i="130"/>
  <c r="M83" i="130"/>
  <c r="CL83" i="130" s="1"/>
  <c r="CL142" i="130"/>
  <c r="M81" i="130"/>
  <c r="CL81" i="130" s="1"/>
  <c r="CK157" i="130"/>
  <c r="C96" i="130"/>
  <c r="CK96" i="130" s="1"/>
  <c r="CK144" i="130"/>
  <c r="C83" i="130"/>
  <c r="CK83" i="130" s="1"/>
  <c r="CQ82" i="130"/>
  <c r="CN155" i="130"/>
  <c r="AG94" i="130"/>
  <c r="CN94" i="130" s="1"/>
  <c r="CN156" i="130"/>
  <c r="AG95" i="130"/>
  <c r="CN95" i="130" s="1"/>
  <c r="CO164" i="130"/>
  <c r="AQ103" i="130"/>
  <c r="CO103" i="130" s="1"/>
  <c r="CN140" i="130"/>
  <c r="AG79" i="130"/>
  <c r="CN79" i="130" s="1"/>
  <c r="CM137" i="130"/>
  <c r="W76" i="130"/>
  <c r="CM76" i="130" s="1"/>
  <c r="CK159" i="130"/>
  <c r="C98" i="130"/>
  <c r="CK98" i="130" s="1"/>
  <c r="CQ87" i="130"/>
  <c r="CO137" i="130"/>
  <c r="AQ76" i="130"/>
  <c r="CO76" i="130" s="1"/>
  <c r="CK160" i="130"/>
  <c r="C99" i="130"/>
  <c r="CK99" i="130" s="1"/>
  <c r="CO148" i="130"/>
  <c r="AQ87" i="130"/>
  <c r="CO87" i="130" s="1"/>
  <c r="CN163" i="130"/>
  <c r="AG102" i="130"/>
  <c r="CN102" i="130" s="1"/>
  <c r="CM157" i="130"/>
  <c r="W96" i="130"/>
  <c r="CM96" i="130" s="1"/>
  <c r="CN150" i="130"/>
  <c r="AG89" i="130"/>
  <c r="CN89" i="130" s="1"/>
  <c r="BD100" i="97"/>
  <c r="CN138" i="130"/>
  <c r="AG77" i="130"/>
  <c r="CN77" i="130" s="1"/>
  <c r="CM143" i="130"/>
  <c r="W82" i="130"/>
  <c r="CM82" i="130" s="1"/>
  <c r="CO133" i="130"/>
  <c r="AQ72" i="130"/>
  <c r="CK163" i="130"/>
  <c r="CL138" i="130"/>
  <c r="M77" i="130"/>
  <c r="CL77" i="130" s="1"/>
  <c r="CK133" i="130"/>
  <c r="C72" i="130"/>
  <c r="T36" i="57"/>
  <c r="AB36" i="57"/>
  <c r="BB36" i="57" s="1"/>
  <c r="HE69" i="93"/>
  <c r="EM69" i="93"/>
  <c r="HH69" i="93" s="1"/>
  <c r="FA69" i="93" s="1"/>
  <c r="BU92" i="93"/>
  <c r="DM92" i="93" s="1"/>
  <c r="CJ100" i="130"/>
  <c r="BY62" i="93"/>
  <c r="DC64" i="93"/>
  <c r="T40" i="98"/>
  <c r="HE89" i="93"/>
  <c r="EM89" i="93"/>
  <c r="HH89" i="93" s="1"/>
  <c r="BU71" i="93"/>
  <c r="DM71" i="93" s="1"/>
  <c r="CJ79" i="130"/>
  <c r="CM151" i="130"/>
  <c r="W90" i="130"/>
  <c r="CM90" i="130" s="1"/>
  <c r="BU69" i="93"/>
  <c r="DM69" i="93" s="1"/>
  <c r="CJ77" i="130"/>
  <c r="DE64" i="93"/>
  <c r="CA62" i="93"/>
  <c r="CK151" i="130"/>
  <c r="C90" i="130"/>
  <c r="CK90" i="130" s="1"/>
  <c r="DA64" i="93"/>
  <c r="BW62" i="93"/>
  <c r="HE71" i="93"/>
  <c r="EM71" i="93"/>
  <c r="HH71" i="93" s="1"/>
  <c r="CQ162" i="130"/>
  <c r="CP162" i="130"/>
  <c r="BA101" i="130"/>
  <c r="CP101" i="130" s="1"/>
  <c r="BU93" i="93"/>
  <c r="DM93" i="93" s="1"/>
  <c r="CJ101" i="130"/>
  <c r="DD64" i="93"/>
  <c r="BZ62" i="93"/>
  <c r="T34" i="98"/>
  <c r="HE86" i="93"/>
  <c r="EM86" i="93"/>
  <c r="HH86" i="93" s="1"/>
  <c r="FA86" i="93" s="1"/>
  <c r="H59" i="71"/>
  <c r="BS87" i="93"/>
  <c r="CW87" i="93" s="1"/>
  <c r="EG159" i="1"/>
  <c r="BU73" i="93"/>
  <c r="DM73" i="93" s="1"/>
  <c r="CJ81" i="130"/>
  <c r="HE80" i="93"/>
  <c r="EM80" i="93"/>
  <c r="HH80" i="93" s="1"/>
  <c r="FA80" i="93" s="1"/>
  <c r="DQ159" i="1"/>
  <c r="BS71" i="93"/>
  <c r="CW71" i="93" s="1"/>
  <c r="R194" i="1"/>
  <c r="R203" i="1"/>
  <c r="AM203" i="1"/>
  <c r="GB203" i="1"/>
  <c r="FN203" i="1"/>
  <c r="FT203" i="1"/>
  <c r="R201" i="1"/>
  <c r="AM229" i="1"/>
  <c r="R229" i="1"/>
  <c r="GB229" i="1"/>
  <c r="FN229" i="1"/>
  <c r="FT229" i="1"/>
  <c r="R300" i="1"/>
  <c r="AM300" i="1"/>
  <c r="GB300" i="1"/>
  <c r="FN300" i="1"/>
  <c r="FT300" i="1"/>
  <c r="AM344" i="1"/>
  <c r="R344" i="1"/>
  <c r="GB344" i="1"/>
  <c r="FN344" i="1"/>
  <c r="FT344" i="1"/>
  <c r="R252" i="1"/>
  <c r="AM252" i="1"/>
  <c r="GB252" i="1"/>
  <c r="FN252" i="1"/>
  <c r="FT252" i="1"/>
  <c r="AM308" i="1"/>
  <c r="R308" i="1"/>
  <c r="GB308" i="1"/>
  <c r="FN308" i="1"/>
  <c r="FT308" i="1"/>
  <c r="GB350" i="1"/>
  <c r="R350" i="1"/>
  <c r="AM350" i="1"/>
  <c r="FN350" i="1"/>
  <c r="FT350" i="1"/>
  <c r="AM266" i="1"/>
  <c r="R266" i="1"/>
  <c r="GB266" i="1"/>
  <c r="FN266" i="1"/>
  <c r="FT266" i="1"/>
  <c r="AM305" i="1"/>
  <c r="R305" i="1"/>
  <c r="GB305" i="1"/>
  <c r="FN305" i="1"/>
  <c r="FT305" i="1"/>
  <c r="AM290" i="1"/>
  <c r="R290" i="1"/>
  <c r="GB290" i="1"/>
  <c r="FN290" i="1"/>
  <c r="FT290" i="1"/>
  <c r="AM254" i="1"/>
  <c r="R254" i="1"/>
  <c r="GB254" i="1"/>
  <c r="FN254" i="1"/>
  <c r="FT254" i="1"/>
  <c r="AM353" i="1"/>
  <c r="GB353" i="1"/>
  <c r="R353" i="1"/>
  <c r="FN353" i="1"/>
  <c r="FT353" i="1"/>
  <c r="R281" i="1"/>
  <c r="AM281" i="1"/>
  <c r="GB281" i="1"/>
  <c r="FN281" i="1"/>
  <c r="FT281" i="1"/>
  <c r="AM241" i="1"/>
  <c r="R241" i="1"/>
  <c r="GB241" i="1"/>
  <c r="FN241" i="1"/>
  <c r="FT241" i="1"/>
  <c r="AM279" i="1"/>
  <c r="R279" i="1"/>
  <c r="GB279" i="1"/>
  <c r="FN279" i="1"/>
  <c r="FT279" i="1"/>
  <c r="DH4" i="1"/>
  <c r="AA69" i="71" s="1"/>
  <c r="AM275" i="1"/>
  <c r="R275" i="1"/>
  <c r="GB275" i="1"/>
  <c r="FN275" i="1"/>
  <c r="FT275" i="1"/>
  <c r="AM204" i="1"/>
  <c r="R204" i="1"/>
  <c r="GB204" i="1"/>
  <c r="FN204" i="1"/>
  <c r="FT204" i="1"/>
  <c r="R363" i="1"/>
  <c r="AM363" i="1"/>
  <c r="GB363" i="1"/>
  <c r="FN363" i="1"/>
  <c r="FT363" i="1"/>
  <c r="N35" i="98"/>
  <c r="AM181" i="1"/>
  <c r="R181" i="1"/>
  <c r="GB181" i="1"/>
  <c r="FN181" i="1"/>
  <c r="FT181" i="1"/>
  <c r="AM226" i="1"/>
  <c r="R226" i="1"/>
  <c r="GB226" i="1"/>
  <c r="FN226" i="1"/>
  <c r="FT226" i="1"/>
  <c r="AM326" i="1"/>
  <c r="R326" i="1"/>
  <c r="GB326" i="1"/>
  <c r="FN326" i="1"/>
  <c r="FT326" i="1"/>
  <c r="AM197" i="1"/>
  <c r="FN197" i="1"/>
  <c r="R197" i="1"/>
  <c r="GB197" i="1"/>
  <c r="FT197" i="1"/>
  <c r="T50" i="98"/>
  <c r="T39" i="98"/>
  <c r="AM312" i="1"/>
  <c r="R312" i="1"/>
  <c r="GB312" i="1"/>
  <c r="FN312" i="1"/>
  <c r="FT312" i="1"/>
  <c r="AM273" i="1"/>
  <c r="R273" i="1"/>
  <c r="GB273" i="1"/>
  <c r="FN273" i="1"/>
  <c r="FT273" i="1"/>
  <c r="AM262" i="1"/>
  <c r="R262" i="1"/>
  <c r="GB262" i="1"/>
  <c r="FN262" i="1"/>
  <c r="FT262" i="1"/>
  <c r="R282" i="1"/>
  <c r="AM325" i="1"/>
  <c r="R325" i="1"/>
  <c r="GB325" i="1"/>
  <c r="FN325" i="1"/>
  <c r="FT325" i="1"/>
  <c r="AM240" i="1"/>
  <c r="R240" i="1"/>
  <c r="GB240" i="1"/>
  <c r="FN240" i="1"/>
  <c r="FT240" i="1"/>
  <c r="AM261" i="1"/>
  <c r="R261" i="1"/>
  <c r="GB261" i="1"/>
  <c r="FN261" i="1"/>
  <c r="FT261" i="1"/>
  <c r="R250" i="1"/>
  <c r="AM250" i="1"/>
  <c r="GB250" i="1"/>
  <c r="FN250" i="1"/>
  <c r="FT250" i="1"/>
  <c r="R248" i="1"/>
  <c r="GB357" i="1"/>
  <c r="AM357" i="1"/>
  <c r="R357" i="1"/>
  <c r="FN357" i="1"/>
  <c r="FT357" i="1"/>
  <c r="T49" i="98"/>
  <c r="GB352" i="1"/>
  <c r="AM352" i="1"/>
  <c r="R352" i="1"/>
  <c r="FN352" i="1"/>
  <c r="FT352" i="1"/>
  <c r="AM362" i="1"/>
  <c r="R362" i="1"/>
  <c r="GB362" i="1"/>
  <c r="FN362" i="1"/>
  <c r="FT362" i="1"/>
  <c r="M50" i="98"/>
  <c r="FH50" i="98" s="1"/>
  <c r="AM228" i="1"/>
  <c r="R228" i="1"/>
  <c r="GB228" i="1"/>
  <c r="FN228" i="1"/>
  <c r="FT228" i="1"/>
  <c r="R180" i="1"/>
  <c r="AM180" i="1"/>
  <c r="GB180" i="1"/>
  <c r="FN180" i="1"/>
  <c r="FT180" i="1"/>
  <c r="R178" i="1"/>
  <c r="R236" i="1"/>
  <c r="AM236" i="1"/>
  <c r="GB236" i="1"/>
  <c r="FN236" i="1"/>
  <c r="FT236" i="1"/>
  <c r="AM251" i="1"/>
  <c r="R251" i="1"/>
  <c r="GB251" i="1"/>
  <c r="FN251" i="1"/>
  <c r="FT251" i="1"/>
  <c r="AG18" i="57"/>
  <c r="AG16" i="57" s="1"/>
  <c r="M47" i="98"/>
  <c r="FH47" i="98" s="1"/>
  <c r="AM245" i="1"/>
  <c r="R245" i="1"/>
  <c r="GB245" i="1"/>
  <c r="FN245" i="1"/>
  <c r="FT245" i="1"/>
  <c r="AM190" i="1"/>
  <c r="R190" i="1"/>
  <c r="GB190" i="1"/>
  <c r="FN190" i="1"/>
  <c r="FT190" i="1"/>
  <c r="R246" i="1"/>
  <c r="AM246" i="1"/>
  <c r="GB246" i="1"/>
  <c r="FN246" i="1"/>
  <c r="FT246" i="1"/>
  <c r="R291" i="1"/>
  <c r="AM291" i="1"/>
  <c r="GB291" i="1"/>
  <c r="FN291" i="1"/>
  <c r="FT291" i="1"/>
  <c r="R267" i="1"/>
  <c r="AM267" i="1"/>
  <c r="GB267" i="1"/>
  <c r="FN267" i="1"/>
  <c r="FT267" i="1"/>
  <c r="AM237" i="1"/>
  <c r="R237" i="1"/>
  <c r="GB237" i="1"/>
  <c r="FN237" i="1"/>
  <c r="FT237" i="1"/>
  <c r="GB207" i="1"/>
  <c r="FN207" i="1"/>
  <c r="R207" i="1"/>
  <c r="AM207" i="1"/>
  <c r="FT207" i="1"/>
  <c r="AM313" i="1"/>
  <c r="R313" i="1"/>
  <c r="GB313" i="1"/>
  <c r="FN313" i="1"/>
  <c r="FT313" i="1"/>
  <c r="AM182" i="1"/>
  <c r="R182" i="1"/>
  <c r="GB182" i="1"/>
  <c r="FN182" i="1"/>
  <c r="FT182" i="1"/>
  <c r="M44" i="98"/>
  <c r="FH44" i="98" s="1"/>
  <c r="AM315" i="1"/>
  <c r="R315" i="1"/>
  <c r="GB315" i="1"/>
  <c r="FN315" i="1"/>
  <c r="FT315" i="1"/>
  <c r="N51" i="98"/>
  <c r="AM278" i="1"/>
  <c r="R278" i="1"/>
  <c r="GB278" i="1"/>
  <c r="FN278" i="1"/>
  <c r="FT278" i="1"/>
  <c r="FN208" i="1"/>
  <c r="R208" i="1"/>
  <c r="GB208" i="1"/>
  <c r="AM208" i="1"/>
  <c r="FT208" i="1"/>
  <c r="HW12" i="1"/>
  <c r="HG12" i="1"/>
  <c r="HX12" i="1"/>
  <c r="HS12" i="1"/>
  <c r="HF12" i="1"/>
  <c r="IH12" i="1"/>
  <c r="HI12" i="1"/>
  <c r="HY12" i="1"/>
  <c r="HM12" i="1"/>
  <c r="IC12" i="1"/>
  <c r="M34" i="98"/>
  <c r="FH34" i="98" s="1"/>
  <c r="I7" i="127" s="1"/>
  <c r="CN136" i="130"/>
  <c r="AG75" i="130"/>
  <c r="CN75" i="130" s="1"/>
  <c r="CM149" i="130"/>
  <c r="W88" i="130"/>
  <c r="CM88" i="130" s="1"/>
  <c r="CO142" i="130"/>
  <c r="AQ81" i="130"/>
  <c r="CO81" i="130" s="1"/>
  <c r="CK162" i="130"/>
  <c r="C101" i="130"/>
  <c r="CK101" i="130" s="1"/>
  <c r="CQ86" i="130"/>
  <c r="CQ74" i="130"/>
  <c r="CM145" i="130"/>
  <c r="W84" i="130"/>
  <c r="CM84" i="130" s="1"/>
  <c r="HE66" i="93"/>
  <c r="EM66" i="93"/>
  <c r="HH66" i="93" s="1"/>
  <c r="CL134" i="130"/>
  <c r="M73" i="130"/>
  <c r="CL73" i="130" s="1"/>
  <c r="CQ75" i="130"/>
  <c r="CQ88" i="130"/>
  <c r="CL164" i="130"/>
  <c r="M103" i="130"/>
  <c r="CL103" i="130" s="1"/>
  <c r="CP136" i="130"/>
  <c r="CQ136" i="130"/>
  <c r="BA75" i="130"/>
  <c r="CP75" i="130" s="1"/>
  <c r="CN147" i="130"/>
  <c r="AG86" i="130"/>
  <c r="CN86" i="130" s="1"/>
  <c r="DT159" i="1"/>
  <c r="BS74" i="93"/>
  <c r="CW74" i="93" s="1"/>
  <c r="BU81" i="93"/>
  <c r="DM81" i="93" s="1"/>
  <c r="CJ89" i="130"/>
  <c r="DL159" i="1"/>
  <c r="BS66" i="93"/>
  <c r="CW66" i="93" s="1"/>
  <c r="HE72" i="93"/>
  <c r="EM72" i="93"/>
  <c r="HH72" i="93" s="1"/>
  <c r="BU66" i="93"/>
  <c r="DM66" i="93" s="1"/>
  <c r="CJ74" i="130"/>
  <c r="CO140" i="130"/>
  <c r="AQ79" i="130"/>
  <c r="CO79" i="130" s="1"/>
  <c r="CK147" i="130"/>
  <c r="C86" i="130"/>
  <c r="CK86" i="130" s="1"/>
  <c r="CP145" i="130"/>
  <c r="CQ145" i="130"/>
  <c r="BA84" i="130"/>
  <c r="CP84" i="130" s="1"/>
  <c r="CM162" i="130"/>
  <c r="W101" i="130"/>
  <c r="CM101" i="130" s="1"/>
  <c r="CM135" i="130"/>
  <c r="W74" i="130"/>
  <c r="CM74" i="130" s="1"/>
  <c r="CO162" i="130"/>
  <c r="AQ101" i="130"/>
  <c r="CO101" i="130" s="1"/>
  <c r="CQ135" i="130"/>
  <c r="CP135" i="130"/>
  <c r="BA74" i="130"/>
  <c r="CP74" i="130" s="1"/>
  <c r="CL148" i="130"/>
  <c r="M87" i="130"/>
  <c r="CL87" i="130" s="1"/>
  <c r="CO161" i="130"/>
  <c r="AQ100" i="130"/>
  <c r="CO100" i="130" s="1"/>
  <c r="CQ105" i="130"/>
  <c r="DF64" i="93"/>
  <c r="CB62" i="93"/>
  <c r="CM161" i="130"/>
  <c r="W100" i="130"/>
  <c r="CM100" i="130" s="1"/>
  <c r="HE74" i="93"/>
  <c r="EM74" i="93"/>
  <c r="HH74" i="93" s="1"/>
  <c r="DH64" i="93"/>
  <c r="CD62" i="93"/>
  <c r="EF159" i="1"/>
  <c r="BS86" i="93"/>
  <c r="CW86" i="93" s="1"/>
  <c r="HE81" i="93"/>
  <c r="EM81" i="93"/>
  <c r="HH81" i="93" s="1"/>
  <c r="BU75" i="93"/>
  <c r="DM75" i="93" s="1"/>
  <c r="CJ83" i="130"/>
  <c r="CY64" i="93"/>
  <c r="CK166" i="130"/>
  <c r="C105" i="130"/>
  <c r="CK105" i="130" s="1"/>
  <c r="BU86" i="93"/>
  <c r="DM86" i="93" s="1"/>
  <c r="CJ94" i="130"/>
  <c r="CQ164" i="130"/>
  <c r="CP164" i="130"/>
  <c r="BA103" i="130"/>
  <c r="CP103" i="130" s="1"/>
  <c r="CQ153" i="130"/>
  <c r="CP153" i="130"/>
  <c r="BA92" i="130"/>
  <c r="CP92" i="130" s="1"/>
  <c r="CN167" i="130"/>
  <c r="AG106" i="130"/>
  <c r="CN106" i="130" s="1"/>
  <c r="CP144" i="130"/>
  <c r="CQ144" i="130"/>
  <c r="BA83" i="130"/>
  <c r="CP83" i="130" s="1"/>
  <c r="CQ155" i="130"/>
  <c r="CP155" i="130"/>
  <c r="BA94" i="130"/>
  <c r="CP94" i="130" s="1"/>
  <c r="CQ143" i="130"/>
  <c r="CP143" i="130"/>
  <c r="BA82" i="130"/>
  <c r="CP82" i="130" s="1"/>
  <c r="CK155" i="130"/>
  <c r="C94" i="130"/>
  <c r="CK94" i="130" s="1"/>
  <c r="CK150" i="130"/>
  <c r="C89" i="130"/>
  <c r="CK89" i="130" s="1"/>
  <c r="CN152" i="130"/>
  <c r="AG91" i="130"/>
  <c r="CN91" i="130" s="1"/>
  <c r="CM159" i="130"/>
  <c r="W98" i="130"/>
  <c r="CM98" i="130" s="1"/>
  <c r="CM141" i="130"/>
  <c r="W80" i="130"/>
  <c r="CM80" i="130" s="1"/>
  <c r="CM142" i="130"/>
  <c r="W81" i="130"/>
  <c r="CM81" i="130" s="1"/>
  <c r="CL153" i="130"/>
  <c r="M92" i="130"/>
  <c r="CL92" i="130" s="1"/>
  <c r="CK143" i="130"/>
  <c r="C82" i="130"/>
  <c r="CK82" i="130" s="1"/>
  <c r="CQ157" i="130"/>
  <c r="CP157" i="130"/>
  <c r="BA96" i="130"/>
  <c r="CP96" i="130" s="1"/>
  <c r="CL152" i="130"/>
  <c r="M91" i="130"/>
  <c r="CL91" i="130" s="1"/>
  <c r="CL150" i="130"/>
  <c r="M89" i="130"/>
  <c r="CL89" i="130" s="1"/>
  <c r="CK165" i="130"/>
  <c r="C104" i="130"/>
  <c r="CK104" i="130" s="1"/>
  <c r="CO146" i="130"/>
  <c r="AQ85" i="130"/>
  <c r="CO85" i="130" s="1"/>
  <c r="CM138" i="130"/>
  <c r="W77" i="130"/>
  <c r="CM77" i="130" s="1"/>
  <c r="CQ95" i="130"/>
  <c r="T37" i="57"/>
  <c r="AB37" i="57"/>
  <c r="BB37" i="57" s="1"/>
  <c r="S27" i="57"/>
  <c r="AD27" i="57" s="1"/>
  <c r="BD27" i="57" s="1"/>
  <c r="L25" i="136"/>
  <c r="N25" i="115"/>
  <c r="CO139" i="130"/>
  <c r="AQ78" i="130"/>
  <c r="CO78" i="130" s="1"/>
  <c r="CM156" i="130"/>
  <c r="W95" i="130"/>
  <c r="CM95" i="130" s="1"/>
  <c r="CO150" i="130"/>
  <c r="AQ89" i="130"/>
  <c r="CO89" i="130" s="1"/>
  <c r="CM139" i="130"/>
  <c r="W78" i="130"/>
  <c r="CM78" i="130" s="1"/>
  <c r="CL156" i="130"/>
  <c r="M95" i="130"/>
  <c r="CL95" i="130" s="1"/>
  <c r="CM163" i="130"/>
  <c r="W102" i="130"/>
  <c r="CM102" i="130" s="1"/>
  <c r="R193" i="1"/>
  <c r="AM193" i="1"/>
  <c r="GB193" i="1"/>
  <c r="FN193" i="1"/>
  <c r="FT193" i="1"/>
  <c r="AM224" i="1"/>
  <c r="R224" i="1"/>
  <c r="GB224" i="1"/>
  <c r="FN224" i="1"/>
  <c r="FT224" i="1"/>
  <c r="R221" i="1"/>
  <c r="CO151" i="130"/>
  <c r="AQ90" i="130"/>
  <c r="CO90" i="130" s="1"/>
  <c r="BX62" i="93"/>
  <c r="DB64" i="93"/>
  <c r="HE85" i="93"/>
  <c r="EM85" i="93"/>
  <c r="HH85" i="93" s="1"/>
  <c r="AQ100" i="97"/>
  <c r="AQ101" i="97" s="1"/>
  <c r="H60" i="71"/>
  <c r="T38" i="98"/>
  <c r="CO135" i="130"/>
  <c r="AQ74" i="130"/>
  <c r="CO74" i="130" s="1"/>
  <c r="AM310" i="1"/>
  <c r="R310" i="1"/>
  <c r="GB310" i="1"/>
  <c r="FN310" i="1"/>
  <c r="FT310" i="1"/>
  <c r="BU74" i="93"/>
  <c r="DM74" i="93" s="1"/>
  <c r="CJ82" i="130"/>
  <c r="CN145" i="130"/>
  <c r="AG84" i="130"/>
  <c r="CN84" i="130" s="1"/>
  <c r="HE65" i="93"/>
  <c r="EM65" i="93"/>
  <c r="HH65" i="93" s="1"/>
  <c r="FA65" i="93" s="1"/>
  <c r="DN159" i="1"/>
  <c r="BS68" i="93"/>
  <c r="CW68" i="93" s="1"/>
  <c r="AM286" i="1"/>
  <c r="R286" i="1"/>
  <c r="GB286" i="1"/>
  <c r="FN286" i="1"/>
  <c r="FT286" i="1"/>
  <c r="BU68" i="93"/>
  <c r="DM68" i="93" s="1"/>
  <c r="CJ76" i="130"/>
  <c r="EJ159" i="1"/>
  <c r="BS90" i="93"/>
  <c r="CW90" i="93" s="1"/>
  <c r="R222" i="1"/>
  <c r="AK102" i="97"/>
  <c r="AK100" i="97"/>
  <c r="AM280" i="1"/>
  <c r="R280" i="1"/>
  <c r="GB280" i="1"/>
  <c r="FN280" i="1"/>
  <c r="FT280" i="1"/>
  <c r="T42" i="98"/>
  <c r="AM265" i="1"/>
  <c r="R265" i="1"/>
  <c r="GB265" i="1"/>
  <c r="FN265" i="1"/>
  <c r="FT265" i="1"/>
  <c r="AM317" i="1"/>
  <c r="R317" i="1"/>
  <c r="GB317" i="1"/>
  <c r="FN317" i="1"/>
  <c r="FT317" i="1"/>
  <c r="AM183" i="1"/>
  <c r="R183" i="1"/>
  <c r="GB183" i="1"/>
  <c r="FN183" i="1"/>
  <c r="FT183" i="1"/>
  <c r="R294" i="1"/>
  <c r="AM294" i="1"/>
  <c r="GB294" i="1"/>
  <c r="FN294" i="1"/>
  <c r="FT294" i="1"/>
  <c r="AM192" i="1"/>
  <c r="R192" i="1"/>
  <c r="GB192" i="1"/>
  <c r="FN192" i="1"/>
  <c r="FT192" i="1"/>
  <c r="AM334" i="1"/>
  <c r="R334" i="1"/>
  <c r="GB334" i="1"/>
  <c r="FN334" i="1"/>
  <c r="FT334" i="1"/>
  <c r="R354" i="1"/>
  <c r="AM354" i="1"/>
  <c r="GB354" i="1"/>
  <c r="FN354" i="1"/>
  <c r="FT354" i="1"/>
  <c r="M42" i="98"/>
  <c r="FH42" i="98" s="1"/>
  <c r="AM230" i="1"/>
  <c r="R230" i="1"/>
  <c r="GB230" i="1"/>
  <c r="FN230" i="1"/>
  <c r="FT230" i="1"/>
  <c r="R191" i="1"/>
  <c r="GB191" i="1"/>
  <c r="AM191" i="1"/>
  <c r="FN191" i="1"/>
  <c r="FT191" i="1"/>
  <c r="AM253" i="1"/>
  <c r="R253" i="1"/>
  <c r="GB253" i="1"/>
  <c r="FN253" i="1"/>
  <c r="FT253" i="1"/>
  <c r="R187" i="1"/>
  <c r="AM322" i="1"/>
  <c r="R322" i="1"/>
  <c r="GB322" i="1"/>
  <c r="FN322" i="1"/>
  <c r="FT322" i="1"/>
  <c r="AM364" i="1"/>
  <c r="R364" i="1"/>
  <c r="GB364" i="1"/>
  <c r="FN364" i="1"/>
  <c r="FT364" i="1"/>
  <c r="AM199" i="1"/>
  <c r="FN199" i="1"/>
  <c r="GB199" i="1"/>
  <c r="R199" i="1"/>
  <c r="FT199" i="1"/>
  <c r="R177" i="1"/>
  <c r="AM177" i="1"/>
  <c r="GB177" i="1"/>
  <c r="FN177" i="1"/>
  <c r="FT177" i="1"/>
  <c r="AM346" i="1"/>
  <c r="GB346" i="1"/>
  <c r="R346" i="1"/>
  <c r="FN346" i="1"/>
  <c r="FT346" i="1"/>
  <c r="R345" i="1"/>
  <c r="GB345" i="1"/>
  <c r="AM345" i="1"/>
  <c r="FN345" i="1"/>
  <c r="FT345" i="1"/>
  <c r="M49" i="98"/>
  <c r="FH49" i="98" s="1"/>
  <c r="AM292" i="1"/>
  <c r="R292" i="1"/>
  <c r="GB292" i="1"/>
  <c r="FN292" i="1"/>
  <c r="FT292" i="1"/>
  <c r="N25" i="57"/>
  <c r="Y25" i="57" s="1"/>
  <c r="AY25" i="57" s="1"/>
  <c r="R298" i="1"/>
  <c r="AM298" i="1"/>
  <c r="GB298" i="1"/>
  <c r="FN298" i="1"/>
  <c r="FT298" i="1"/>
  <c r="AM256" i="1"/>
  <c r="R256" i="1"/>
  <c r="GB256" i="1"/>
  <c r="FN256" i="1"/>
  <c r="FT256" i="1"/>
  <c r="GB349" i="1"/>
  <c r="R349" i="1"/>
  <c r="AM349" i="1"/>
  <c r="FN349" i="1"/>
  <c r="FT349" i="1"/>
  <c r="GB355" i="1"/>
  <c r="AM355" i="1"/>
  <c r="R355" i="1"/>
  <c r="FN355" i="1"/>
  <c r="FT355" i="1"/>
  <c r="HZ12" i="1"/>
  <c r="IJ12" i="1"/>
  <c r="HQ12" i="1"/>
  <c r="HE12" i="1"/>
  <c r="HP12" i="1"/>
  <c r="HB12" i="1"/>
  <c r="HC12" i="1"/>
  <c r="HO12" i="1"/>
  <c r="IA12" i="1"/>
  <c r="HL12" i="1"/>
  <c r="GY12" i="1"/>
  <c r="R323" i="1"/>
  <c r="R296" i="1"/>
  <c r="CK164" i="130"/>
  <c r="C103" i="130"/>
  <c r="CK103" i="130" s="1"/>
  <c r="CO147" i="130"/>
  <c r="AQ86" i="130"/>
  <c r="CO86" i="130" s="1"/>
  <c r="CK167" i="130"/>
  <c r="C106" i="130"/>
  <c r="CK106" i="130" s="1"/>
  <c r="CM136" i="130"/>
  <c r="W75" i="130"/>
  <c r="CM75" i="130" s="1"/>
  <c r="CP166" i="130"/>
  <c r="CQ166" i="130"/>
  <c r="BA105" i="130"/>
  <c r="CP105" i="130" s="1"/>
  <c r="CL151" i="130"/>
  <c r="M90" i="130"/>
  <c r="CL90" i="130" s="1"/>
  <c r="CK136" i="130"/>
  <c r="C75" i="130"/>
  <c r="CK75" i="130" s="1"/>
  <c r="CK145" i="130"/>
  <c r="C84" i="130"/>
  <c r="CK84" i="130" s="1"/>
  <c r="BU65" i="93"/>
  <c r="DM65" i="93" s="1"/>
  <c r="CJ73" i="130"/>
  <c r="DR159" i="1"/>
  <c r="BS72" i="93"/>
  <c r="CW72" i="93" s="1"/>
  <c r="BU72" i="93"/>
  <c r="DM72" i="93" s="1"/>
  <c r="CJ80" i="130"/>
  <c r="R247" i="1"/>
  <c r="AM247" i="1"/>
  <c r="GB247" i="1"/>
  <c r="FN247" i="1"/>
  <c r="FT247" i="1"/>
  <c r="M38" i="98"/>
  <c r="FH38" i="98" s="1"/>
  <c r="CP149" i="130"/>
  <c r="CQ149" i="130"/>
  <c r="BA88" i="130"/>
  <c r="CP88" i="130" s="1"/>
  <c r="CL149" i="130"/>
  <c r="M88" i="130"/>
  <c r="CL88" i="130" s="1"/>
  <c r="CP134" i="130"/>
  <c r="CQ134" i="130"/>
  <c r="BA73" i="130"/>
  <c r="CP73" i="130" s="1"/>
  <c r="CK135" i="130"/>
  <c r="C74" i="130"/>
  <c r="CK74" i="130" s="1"/>
  <c r="CQ100" i="130"/>
  <c r="CK158" i="130"/>
  <c r="C97" i="130"/>
  <c r="CK97" i="130" s="1"/>
  <c r="HE78" i="93"/>
  <c r="EM78" i="93"/>
  <c r="HH78" i="93" s="1"/>
  <c r="FA78" i="93" s="1"/>
  <c r="DY159" i="1"/>
  <c r="BS79" i="93"/>
  <c r="CW79" i="93" s="1"/>
  <c r="HE92" i="93"/>
  <c r="EM92" i="93"/>
  <c r="HH92" i="93" s="1"/>
  <c r="HE82" i="93"/>
  <c r="EM82" i="93"/>
  <c r="HH82" i="93" s="1"/>
  <c r="EB159" i="1"/>
  <c r="BS82" i="93"/>
  <c r="CW82" i="93" s="1"/>
  <c r="CK149" i="130"/>
  <c r="C88" i="130"/>
  <c r="CK88" i="130" s="1"/>
  <c r="CM144" i="130"/>
  <c r="W83" i="130"/>
  <c r="CM83" i="130" s="1"/>
  <c r="CL136" i="130"/>
  <c r="M75" i="130"/>
  <c r="CL75" i="130" s="1"/>
  <c r="CM164" i="130"/>
  <c r="W103" i="130"/>
  <c r="CM103" i="130" s="1"/>
  <c r="CQ140" i="130"/>
  <c r="CP140" i="130"/>
  <c r="BA79" i="130"/>
  <c r="CP79" i="130" s="1"/>
  <c r="CN157" i="130"/>
  <c r="AG96" i="130"/>
  <c r="CN96" i="130" s="1"/>
  <c r="CK148" i="130"/>
  <c r="C87" i="130"/>
  <c r="CK87" i="130" s="1"/>
  <c r="CL165" i="130"/>
  <c r="M104" i="130"/>
  <c r="CM165" i="130"/>
  <c r="W104" i="130"/>
  <c r="CM104" i="130" s="1"/>
  <c r="CP150" i="130"/>
  <c r="CQ150" i="130"/>
  <c r="BA89" i="130"/>
  <c r="CP89" i="130" s="1"/>
  <c r="CO152" i="130"/>
  <c r="AQ91" i="130"/>
  <c r="CO91" i="130" s="1"/>
  <c r="CL160" i="130"/>
  <c r="M99" i="130"/>
  <c r="CL99" i="130" s="1"/>
  <c r="CQ99" i="130"/>
  <c r="CK140" i="130"/>
  <c r="C79" i="130"/>
  <c r="CK79" i="130" s="1"/>
  <c r="CK154" i="130"/>
  <c r="C93" i="130"/>
  <c r="CK93" i="130" s="1"/>
  <c r="CL159" i="130"/>
  <c r="M98" i="130"/>
  <c r="CL98" i="130" s="1"/>
  <c r="CN148" i="130"/>
  <c r="AG87" i="130"/>
  <c r="CN87" i="130" s="1"/>
  <c r="CN142" i="130"/>
  <c r="AG81" i="130"/>
  <c r="CN81" i="130" s="1"/>
  <c r="CP148" i="130"/>
  <c r="CQ148" i="130"/>
  <c r="BA87" i="130"/>
  <c r="CP87" i="130" s="1"/>
  <c r="CQ98" i="130"/>
  <c r="CO157" i="130"/>
  <c r="AQ96" i="130"/>
  <c r="CQ165" i="130"/>
  <c r="CP165" i="130"/>
  <c r="BA104" i="130"/>
  <c r="CP104" i="130" s="1"/>
  <c r="CO159" i="130"/>
  <c r="AQ98" i="130"/>
  <c r="CO98" i="130" s="1"/>
  <c r="CQ96" i="130"/>
  <c r="CN165" i="130"/>
  <c r="AG104" i="130"/>
  <c r="CN104" i="130" s="1"/>
  <c r="CQ83" i="130"/>
  <c r="CQ94" i="130"/>
  <c r="CL146" i="130"/>
  <c r="M85" i="130"/>
  <c r="CL85" i="130" s="1"/>
  <c r="CN139" i="130"/>
  <c r="AG78" i="130"/>
  <c r="CN78" i="130" s="1"/>
  <c r="CN143" i="130"/>
  <c r="AG82" i="130"/>
  <c r="CN82" i="130" s="1"/>
  <c r="CL157" i="130"/>
  <c r="M96" i="130"/>
  <c r="CL96" i="130" s="1"/>
  <c r="CQ147" i="130"/>
  <c r="CP147" i="130"/>
  <c r="BA86" i="130"/>
  <c r="CP86" i="130" s="1"/>
  <c r="CQ93" i="130"/>
  <c r="CL140" i="130"/>
  <c r="M79" i="130"/>
  <c r="CL79" i="130" s="1"/>
  <c r="CQ92" i="130"/>
  <c r="CP138" i="130"/>
  <c r="CQ138" i="130"/>
  <c r="BA77" i="130"/>
  <c r="CP77" i="130" s="1"/>
  <c r="CQ77" i="130"/>
  <c r="CP156" i="130"/>
  <c r="CQ156" i="130"/>
  <c r="BA95" i="130"/>
  <c r="CP95" i="130" s="1"/>
  <c r="CL137" i="130"/>
  <c r="M76" i="130"/>
  <c r="CL76" i="130" s="1"/>
  <c r="CK153" i="130"/>
  <c r="C92" i="130"/>
  <c r="CK92" i="130" s="1"/>
  <c r="CN160" i="130"/>
  <c r="AG99" i="130"/>
  <c r="CN99" i="130" s="1"/>
  <c r="CL147" i="130"/>
  <c r="M86" i="130"/>
  <c r="CL86" i="130" s="1"/>
  <c r="CQ160" i="130"/>
  <c r="CP160" i="130"/>
  <c r="BA99" i="130"/>
  <c r="CP99" i="130" s="1"/>
  <c r="CO154" i="130"/>
  <c r="AQ93" i="130"/>
  <c r="CO93" i="130" s="1"/>
  <c r="CL155" i="130"/>
  <c r="M94" i="130"/>
  <c r="CL94" i="130" s="1"/>
  <c r="CM146" i="130"/>
  <c r="W85" i="130"/>
  <c r="CM85" i="130" s="1"/>
  <c r="CO156" i="130"/>
  <c r="AQ95" i="130"/>
  <c r="CO95" i="130" s="1"/>
  <c r="CM152" i="130"/>
  <c r="W91" i="130"/>
  <c r="CM91" i="130" s="1"/>
  <c r="CQ91" i="130"/>
  <c r="CO163" i="130"/>
  <c r="AQ102" i="130"/>
  <c r="CO102" i="130" s="1"/>
  <c r="CQ78" i="130"/>
  <c r="T32" i="57"/>
  <c r="AB32" i="57"/>
  <c r="BB32" i="57" s="1"/>
  <c r="CQ139" i="130"/>
  <c r="CP139" i="130"/>
  <c r="BA78" i="130"/>
  <c r="CP78" i="130" s="1"/>
  <c r="CQ163" i="130"/>
  <c r="CP163" i="130"/>
  <c r="BA102" i="130"/>
  <c r="CP102" i="130" s="1"/>
  <c r="CL139" i="130"/>
  <c r="M78" i="130"/>
  <c r="CL78" i="130" s="1"/>
  <c r="L26" i="136"/>
  <c r="N26" i="115"/>
  <c r="T33" i="57"/>
  <c r="AB33" i="57"/>
  <c r="BB33" i="57" s="1"/>
  <c r="CL163" i="130"/>
  <c r="M102" i="130"/>
  <c r="CL102" i="130" s="1"/>
  <c r="FV51" i="98"/>
  <c r="FU51" i="98" s="1"/>
  <c r="AM255" i="1"/>
  <c r="R255" i="1"/>
  <c r="GB255" i="1"/>
  <c r="FN255" i="1"/>
  <c r="FT255" i="1"/>
  <c r="EE159" i="1"/>
  <c r="BS85" i="93"/>
  <c r="CW85" i="93" s="1"/>
  <c r="BU78" i="93"/>
  <c r="DM78" i="93" s="1"/>
  <c r="CJ86" i="130"/>
  <c r="HE90" i="93"/>
  <c r="EM90" i="93"/>
  <c r="HH90" i="93" s="1"/>
  <c r="M45" i="93"/>
  <c r="E43" i="93"/>
  <c r="CM148" i="130"/>
  <c r="W87" i="130"/>
  <c r="CM87" i="130" s="1"/>
  <c r="CQ97" i="130"/>
  <c r="BU79" i="93"/>
  <c r="DM79" i="93" s="1"/>
  <c r="CJ87" i="130"/>
  <c r="DG64" i="93"/>
  <c r="CC62" i="93"/>
  <c r="HE87" i="93"/>
  <c r="EM87" i="93"/>
  <c r="EI159" i="1"/>
  <c r="BS89" i="93"/>
  <c r="CW89" i="93" s="1"/>
  <c r="AM289" i="1"/>
  <c r="R289" i="1"/>
  <c r="GB289" i="1"/>
  <c r="FN289" i="1"/>
  <c r="FT289" i="1"/>
  <c r="AM277" i="1"/>
  <c r="R277" i="1"/>
  <c r="GB277" i="1"/>
  <c r="FN277" i="1"/>
  <c r="FT277" i="1"/>
  <c r="AM338" i="1"/>
  <c r="R338" i="1"/>
  <c r="GB338" i="1"/>
  <c r="FN338" i="1"/>
  <c r="FT338" i="1"/>
  <c r="AM348" i="1"/>
  <c r="R348" i="1"/>
  <c r="GB348" i="1"/>
  <c r="FN348" i="1"/>
  <c r="FT348" i="1"/>
  <c r="CP161" i="130"/>
  <c r="CQ161" i="130"/>
  <c r="BA100" i="130"/>
  <c r="CP100" i="130" s="1"/>
  <c r="HE73" i="93"/>
  <c r="EM73" i="93"/>
  <c r="HH73" i="93" s="1"/>
  <c r="DW159" i="1"/>
  <c r="BS77" i="93"/>
  <c r="CW77" i="93" s="1"/>
  <c r="R314" i="1"/>
  <c r="AM314" i="1"/>
  <c r="GB314" i="1"/>
  <c r="FN314" i="1"/>
  <c r="FT314" i="1"/>
  <c r="EM159" i="1"/>
  <c r="BS93" i="93"/>
  <c r="CW93" i="93" s="1"/>
  <c r="R258" i="1"/>
  <c r="AM258" i="1"/>
  <c r="GB258" i="1"/>
  <c r="FN258" i="1"/>
  <c r="FT258" i="1"/>
  <c r="AM263" i="1"/>
  <c r="R263" i="1"/>
  <c r="GB263" i="1"/>
  <c r="FN263" i="1"/>
  <c r="FT263" i="1"/>
  <c r="AM311" i="1"/>
  <c r="R311" i="1"/>
  <c r="GB311" i="1"/>
  <c r="FN311" i="1"/>
  <c r="FT311" i="1"/>
  <c r="AM306" i="1"/>
  <c r="R306" i="1"/>
  <c r="GB306" i="1"/>
  <c r="FN306" i="1"/>
  <c r="FT306" i="1"/>
  <c r="R198" i="1"/>
  <c r="AM198" i="1"/>
  <c r="GB198" i="1"/>
  <c r="FN198" i="1"/>
  <c r="FT198" i="1"/>
  <c r="R332" i="1"/>
  <c r="AM332" i="1"/>
  <c r="GB332" i="1"/>
  <c r="FN332" i="1"/>
  <c r="FT332" i="1"/>
  <c r="R330" i="1"/>
  <c r="R329" i="1"/>
  <c r="GB347" i="1"/>
  <c r="AM347" i="1"/>
  <c r="R347" i="1"/>
  <c r="FN347" i="1"/>
  <c r="FT347" i="1"/>
  <c r="M27" i="57"/>
  <c r="X27" i="57" s="1"/>
  <c r="AX27" i="57" s="1"/>
  <c r="AM360" i="1"/>
  <c r="GB360" i="1"/>
  <c r="R360" i="1"/>
  <c r="FN360" i="1"/>
  <c r="FT360" i="1"/>
  <c r="DA69" i="130"/>
  <c r="DA49" i="130" s="1"/>
  <c r="T45" i="98"/>
  <c r="AM269" i="1"/>
  <c r="R269" i="1"/>
  <c r="GB269" i="1"/>
  <c r="FN269" i="1"/>
  <c r="FT269" i="1"/>
  <c r="GB341" i="1"/>
  <c r="AM341" i="1"/>
  <c r="R341" i="1"/>
  <c r="FN341" i="1"/>
  <c r="FT341" i="1"/>
  <c r="T43" i="98"/>
  <c r="R351" i="1"/>
  <c r="GB351" i="1"/>
  <c r="AM351" i="1"/>
  <c r="FN351" i="1"/>
  <c r="FT351" i="1"/>
  <c r="AM293" i="1"/>
  <c r="R293" i="1"/>
  <c r="GB293" i="1"/>
  <c r="FN293" i="1"/>
  <c r="FT293" i="1"/>
  <c r="AM316" i="1"/>
  <c r="R316" i="1"/>
  <c r="GB316" i="1"/>
  <c r="FN316" i="1"/>
  <c r="FT316" i="1"/>
  <c r="AM359" i="1"/>
  <c r="GB359" i="1"/>
  <c r="R359" i="1"/>
  <c r="FN359" i="1"/>
  <c r="FT359" i="1"/>
  <c r="R200" i="1"/>
  <c r="AM200" i="1"/>
  <c r="GB200" i="1"/>
  <c r="FN200" i="1"/>
  <c r="FT200" i="1"/>
  <c r="AM244" i="1"/>
  <c r="R244" i="1"/>
  <c r="GB244" i="1"/>
  <c r="FN244" i="1"/>
  <c r="FT244" i="1"/>
  <c r="AM234" i="1"/>
  <c r="R234" i="1"/>
  <c r="GB234" i="1"/>
  <c r="FN234" i="1"/>
  <c r="FT234" i="1"/>
  <c r="AM225" i="1"/>
  <c r="R225" i="1"/>
  <c r="GB225" i="1"/>
  <c r="FN225" i="1"/>
  <c r="FT225" i="1"/>
  <c r="R276" i="1"/>
  <c r="AM276" i="1"/>
  <c r="GB276" i="1"/>
  <c r="FN276" i="1"/>
  <c r="FT276" i="1"/>
  <c r="AM299" i="1"/>
  <c r="R299" i="1"/>
  <c r="GB299" i="1"/>
  <c r="FN299" i="1"/>
  <c r="FT299" i="1"/>
  <c r="R356" i="1"/>
  <c r="AM356" i="1"/>
  <c r="GB356" i="1"/>
  <c r="FN356" i="1"/>
  <c r="FT356" i="1"/>
  <c r="M41" i="98"/>
  <c r="FH41" i="98" s="1"/>
  <c r="M43" i="98"/>
  <c r="FH43" i="98" s="1"/>
  <c r="AM301" i="1"/>
  <c r="R301" i="1"/>
  <c r="GB301" i="1"/>
  <c r="FN301" i="1"/>
  <c r="FT301" i="1"/>
  <c r="AM270" i="1"/>
  <c r="R270" i="1"/>
  <c r="GB270" i="1"/>
  <c r="FN270" i="1"/>
  <c r="FT270" i="1"/>
  <c r="AM304" i="1"/>
  <c r="R304" i="1"/>
  <c r="GB304" i="1"/>
  <c r="FN304" i="1"/>
  <c r="FT304" i="1"/>
  <c r="AM319" i="1"/>
  <c r="R319" i="1"/>
  <c r="GB319" i="1"/>
  <c r="FN319" i="1"/>
  <c r="FT319" i="1"/>
  <c r="R307" i="1"/>
  <c r="AM307" i="1"/>
  <c r="GB307" i="1"/>
  <c r="FN307" i="1"/>
  <c r="FT307" i="1"/>
  <c r="T51" i="98"/>
  <c r="HD12" i="1"/>
  <c r="II12" i="1"/>
  <c r="HH12" i="1"/>
  <c r="HV12" i="1"/>
  <c r="ID12" i="1"/>
  <c r="HT12" i="1"/>
  <c r="GX12" i="1"/>
  <c r="HR12" i="1"/>
  <c r="GW12" i="1"/>
  <c r="CN158" i="130"/>
  <c r="AG97" i="130"/>
  <c r="CN97" i="130" s="1"/>
  <c r="CL162" i="130"/>
  <c r="M101" i="130"/>
  <c r="CL101" i="130" s="1"/>
  <c r="CN151" i="130"/>
  <c r="AG90" i="130"/>
  <c r="CN90" i="130" s="1"/>
  <c r="CN135" i="130"/>
  <c r="AG74" i="130"/>
  <c r="CN74" i="130" s="1"/>
  <c r="CN161" i="130"/>
  <c r="AG100" i="130"/>
  <c r="CN100" i="130" s="1"/>
  <c r="CO134" i="130"/>
  <c r="AQ73" i="130"/>
  <c r="CO73" i="130" s="1"/>
  <c r="CN166" i="130"/>
  <c r="AG105" i="130"/>
  <c r="CN105" i="130" s="1"/>
  <c r="CQ101" i="130"/>
  <c r="CL161" i="130"/>
  <c r="M100" i="130"/>
  <c r="CL100" i="130" s="1"/>
  <c r="CN162" i="130"/>
  <c r="AG101" i="130"/>
  <c r="CN101" i="130" s="1"/>
  <c r="CO158" i="130"/>
  <c r="AQ97" i="130"/>
  <c r="CO97" i="130" s="1"/>
  <c r="BU90" i="93"/>
  <c r="DM90" i="93" s="1"/>
  <c r="CJ98" i="130"/>
  <c r="HE79" i="93"/>
  <c r="EM79" i="93"/>
  <c r="HH79" i="93" s="1"/>
  <c r="FA79" i="93" s="1"/>
  <c r="BU89" i="93"/>
  <c r="DM89" i="93" s="1"/>
  <c r="CJ97" i="130"/>
  <c r="CU64" i="93"/>
  <c r="AQ113" i="97" s="1"/>
  <c r="AR113" i="97" s="1"/>
  <c r="BQ62" i="93"/>
  <c r="HE77" i="93"/>
  <c r="EM77" i="93"/>
  <c r="HH77" i="93" s="1"/>
  <c r="BU77" i="93"/>
  <c r="DM77" i="93" s="1"/>
  <c r="CJ85" i="130"/>
  <c r="AM321" i="1"/>
  <c r="R321" i="1"/>
  <c r="GB321" i="1"/>
  <c r="FN321" i="1"/>
  <c r="FT321" i="1"/>
  <c r="CM158" i="130"/>
  <c r="W97" i="130"/>
  <c r="CM97" i="130" s="1"/>
  <c r="CM167" i="130"/>
  <c r="W106" i="130"/>
  <c r="CM106" i="130" s="1"/>
  <c r="CK142" i="130"/>
  <c r="C81" i="130"/>
  <c r="CK81" i="130" s="1"/>
  <c r="CM166" i="130"/>
  <c r="W105" i="130"/>
  <c r="CM105" i="130" s="1"/>
  <c r="BU85" i="93"/>
  <c r="DM85" i="93" s="1"/>
  <c r="CJ93" i="130"/>
  <c r="DJ159" i="1"/>
  <c r="BS64" i="93"/>
  <c r="HE93" i="93"/>
  <c r="EM93" i="93"/>
  <c r="HH93" i="93" s="1"/>
  <c r="FA93" i="93" s="1"/>
  <c r="BS67" i="93"/>
  <c r="CW67" i="93" s="1"/>
  <c r="DM159" i="1"/>
  <c r="CQ76" i="130"/>
  <c r="CM147" i="130"/>
  <c r="W86" i="130"/>
  <c r="CM86" i="130" s="1"/>
  <c r="CN154" i="130"/>
  <c r="AG93" i="130"/>
  <c r="CN93" i="130" s="1"/>
  <c r="CP146" i="130"/>
  <c r="CQ146" i="130"/>
  <c r="BA85" i="130"/>
  <c r="CP85" i="130" s="1"/>
  <c r="CN153" i="130"/>
  <c r="AG92" i="130"/>
  <c r="CN92" i="130" s="1"/>
  <c r="CO141" i="130"/>
  <c r="AQ80" i="130"/>
  <c r="CO80" i="130" s="1"/>
  <c r="CK156" i="130"/>
  <c r="C95" i="130"/>
  <c r="CK95" i="130" s="1"/>
  <c r="CO167" i="130"/>
  <c r="AQ106" i="130"/>
  <c r="CO106" i="130" s="1"/>
  <c r="CP167" i="130"/>
  <c r="CQ167" i="130"/>
  <c r="BA106" i="130"/>
  <c r="CP106" i="130" s="1"/>
  <c r="CN164" i="130"/>
  <c r="AG103" i="130"/>
  <c r="CN103" i="130" s="1"/>
  <c r="CM155" i="130"/>
  <c r="W94" i="130"/>
  <c r="CM94" i="130" s="1"/>
  <c r="CN137" i="130"/>
  <c r="AG76" i="130"/>
  <c r="CN76" i="130" s="1"/>
  <c r="CN149" i="130"/>
  <c r="AG88" i="130"/>
  <c r="CN88" i="130" s="1"/>
  <c r="CQ159" i="130"/>
  <c r="CP159" i="130"/>
  <c r="BA98" i="130"/>
  <c r="CP98" i="130" s="1"/>
  <c r="CP137" i="130"/>
  <c r="CQ137" i="130"/>
  <c r="BA76" i="130"/>
  <c r="CP76" i="130" s="1"/>
  <c r="CK152" i="130"/>
  <c r="C91" i="130"/>
  <c r="CK91" i="130" s="1"/>
  <c r="CK138" i="130"/>
  <c r="C77" i="130"/>
  <c r="CK77" i="130" s="1"/>
  <c r="CK146" i="130"/>
  <c r="C85" i="130"/>
  <c r="CK85" i="130" s="1"/>
  <c r="CO136" i="130"/>
  <c r="AQ75" i="130"/>
  <c r="CO75" i="130" s="1"/>
  <c r="CN159" i="130"/>
  <c r="AG98" i="130"/>
  <c r="CN98" i="130" s="1"/>
  <c r="CK141" i="130"/>
  <c r="C80" i="130"/>
  <c r="CK80" i="130" s="1"/>
  <c r="CL167" i="130"/>
  <c r="M106" i="130"/>
  <c r="CL106" i="130" s="1"/>
  <c r="CN146" i="130"/>
  <c r="AG85" i="130"/>
  <c r="CN85" i="130" s="1"/>
  <c r="CM160" i="130"/>
  <c r="W99" i="130"/>
  <c r="CM99" i="130" s="1"/>
  <c r="CQ106" i="130"/>
  <c r="CO144" i="130"/>
  <c r="AQ83" i="130"/>
  <c r="CO83" i="130" s="1"/>
  <c r="CQ80" i="130"/>
  <c r="CL143" i="130"/>
  <c r="M82" i="130"/>
  <c r="CL82" i="130" s="1"/>
  <c r="CN144" i="130"/>
  <c r="AG83" i="130"/>
  <c r="CN83" i="130" s="1"/>
  <c r="CO165" i="130"/>
  <c r="AQ104" i="130"/>
  <c r="CO104" i="130" s="1"/>
  <c r="CO143" i="130"/>
  <c r="AQ82" i="130"/>
  <c r="CO82" i="130" s="1"/>
  <c r="CM133" i="130"/>
  <c r="W72" i="130"/>
  <c r="T34" i="57"/>
  <c r="AB34" i="57"/>
  <c r="BB34" i="57" s="1"/>
  <c r="CN133" i="130"/>
  <c r="AG72" i="130"/>
  <c r="CQ152" i="130"/>
  <c r="CP152" i="130"/>
  <c r="BA91" i="130"/>
  <c r="CP91" i="130" s="1"/>
  <c r="CK139" i="130"/>
  <c r="C78" i="130"/>
  <c r="CK78" i="130" s="1"/>
  <c r="T35" i="57"/>
  <c r="AB35" i="57"/>
  <c r="BB35" i="57" s="1"/>
  <c r="CQ133" i="130"/>
  <c r="CP133" i="130"/>
  <c r="BA72" i="130"/>
  <c r="T39" i="57"/>
  <c r="AB39" i="57"/>
  <c r="BB39" i="57" s="1"/>
  <c r="CL133" i="130"/>
  <c r="M72" i="130"/>
  <c r="T38" i="57"/>
  <c r="AB38" i="57"/>
  <c r="BB38" i="57" s="1"/>
  <c r="CP151" i="130"/>
  <c r="CQ151" i="130"/>
  <c r="BA90" i="130"/>
  <c r="CP90" i="130" s="1"/>
  <c r="DS159" i="1"/>
  <c r="BS73" i="93"/>
  <c r="CW73" i="93" s="1"/>
  <c r="DO159" i="1"/>
  <c r="BS69" i="93"/>
  <c r="CW69" i="93" s="1"/>
  <c r="AM220" i="1"/>
  <c r="R220" i="1"/>
  <c r="GB220" i="1"/>
  <c r="FN220" i="1"/>
  <c r="FT220" i="1"/>
  <c r="AM274" i="1"/>
  <c r="R274" i="1"/>
  <c r="GB274" i="1"/>
  <c r="FN274" i="1"/>
  <c r="FT274" i="1"/>
  <c r="CL166" i="130"/>
  <c r="M105" i="130"/>
  <c r="CL105" i="130" s="1"/>
  <c r="BS92" i="93"/>
  <c r="CW92" i="93" s="1"/>
  <c r="EL159" i="1"/>
  <c r="R287" i="1"/>
  <c r="BS81" i="93"/>
  <c r="CW81" i="93" s="1"/>
  <c r="EA159" i="1"/>
  <c r="BU87" i="93"/>
  <c r="DM87" i="93" s="1"/>
  <c r="CJ95" i="130"/>
  <c r="CN134" i="130"/>
  <c r="AG73" i="130"/>
  <c r="CN73" i="130" s="1"/>
  <c r="K9" i="136"/>
  <c r="T9" i="136" s="1"/>
  <c r="CI205" i="1"/>
  <c r="CI206" i="1"/>
  <c r="CI207" i="1"/>
  <c r="CI208" i="1"/>
  <c r="FL44" i="98"/>
  <c r="FL39" i="98"/>
  <c r="FX49" i="98"/>
  <c r="K22" i="127" s="1"/>
  <c r="T22" i="127" s="1"/>
  <c r="FX35" i="98"/>
  <c r="K8" i="127" s="1"/>
  <c r="T8" i="127" s="1"/>
  <c r="FX52" i="98"/>
  <c r="K25" i="127" s="1"/>
  <c r="T25" i="127" s="1"/>
  <c r="FL53" i="98"/>
  <c r="FX53" i="98"/>
  <c r="K26" i="136" s="1"/>
  <c r="T26" i="136" s="1"/>
  <c r="CI189" i="1"/>
  <c r="CI183" i="1"/>
  <c r="CI332" i="1"/>
  <c r="CI316" i="1"/>
  <c r="CI264" i="1"/>
  <c r="CI294" i="1"/>
  <c r="CI220" i="1"/>
  <c r="CI240" i="1"/>
  <c r="CI234" i="1"/>
  <c r="CI336" i="1"/>
  <c r="CI237" i="1"/>
  <c r="CI318" i="1"/>
  <c r="CI308" i="1"/>
  <c r="CI315" i="1"/>
  <c r="CI346" i="1"/>
  <c r="CI197" i="1"/>
  <c r="CI186" i="1"/>
  <c r="CI255" i="1"/>
  <c r="CI200" i="1"/>
  <c r="CI305" i="1"/>
  <c r="CI278" i="1"/>
  <c r="CI313" i="1"/>
  <c r="CI275" i="1"/>
  <c r="CI348" i="1"/>
  <c r="CI281" i="1"/>
  <c r="CI312" i="1"/>
  <c r="CI340" i="1"/>
  <c r="CI310" i="1"/>
  <c r="CI363" i="1"/>
  <c r="CI350" i="1"/>
  <c r="CI268" i="1"/>
  <c r="CI362" i="1"/>
  <c r="CI274" i="1"/>
  <c r="CI289" i="1"/>
  <c r="CI292" i="1"/>
  <c r="CI246" i="1"/>
  <c r="CI320" i="1"/>
  <c r="CI193" i="1"/>
  <c r="CI326" i="1"/>
  <c r="CI333" i="1"/>
  <c r="CI359" i="1"/>
  <c r="CI177" i="1"/>
  <c r="CI356" i="1"/>
  <c r="CI202" i="1"/>
  <c r="CI267" i="1"/>
  <c r="CI266" i="1"/>
  <c r="CI179" i="1"/>
  <c r="CI250" i="1"/>
  <c r="CI327" i="1"/>
  <c r="CI261" i="1"/>
  <c r="CI256" i="1"/>
  <c r="CI265" i="1"/>
  <c r="CI324" i="1"/>
  <c r="CI198" i="1"/>
  <c r="CI279" i="1"/>
  <c r="CI260" i="1"/>
  <c r="CI241" i="1"/>
  <c r="CI309" i="1"/>
  <c r="CI288" i="1"/>
  <c r="CI358" i="1"/>
  <c r="CI262" i="1"/>
  <c r="CI196" i="1"/>
  <c r="CI230" i="1"/>
  <c r="CI314" i="1"/>
  <c r="CI192" i="1"/>
  <c r="CI355" i="1"/>
  <c r="CI185" i="1"/>
  <c r="CI349" i="1"/>
  <c r="CI345" i="1"/>
  <c r="CI235" i="1"/>
  <c r="CI253" i="1"/>
  <c r="CI263" i="1"/>
  <c r="CI338" i="1"/>
  <c r="CI249" i="1"/>
  <c r="CI321" i="1"/>
  <c r="CI354" i="1"/>
  <c r="CI254" i="1"/>
  <c r="CI245" i="1"/>
  <c r="CI357" i="1"/>
  <c r="CI319" i="1"/>
  <c r="CI229" i="1"/>
  <c r="CI272" i="1"/>
  <c r="CI307" i="1"/>
  <c r="CI353" i="1"/>
  <c r="CI247" i="1"/>
  <c r="CI175" i="1"/>
  <c r="CI303" i="1"/>
  <c r="CI301" i="1"/>
  <c r="CI233" i="1"/>
  <c r="CI298" i="1"/>
  <c r="CI244" i="1"/>
  <c r="CI232" i="1"/>
  <c r="CI252" i="1"/>
  <c r="CI176" i="1"/>
  <c r="CI291" i="1"/>
  <c r="CI226" i="1"/>
  <c r="CI360" i="1"/>
  <c r="CI227" i="1"/>
  <c r="CI306" i="1"/>
  <c r="CI190" i="1"/>
  <c r="CI228" i="1"/>
  <c r="CI297" i="1"/>
  <c r="CI269" i="1"/>
  <c r="CI293" i="1"/>
  <c r="CI299" i="1"/>
  <c r="CI203" i="1"/>
  <c r="CI258" i="1"/>
  <c r="CI311" i="1"/>
  <c r="CI347" i="1"/>
  <c r="CI344" i="1"/>
  <c r="CI352" i="1"/>
  <c r="CI285" i="1"/>
  <c r="CI280" i="1"/>
  <c r="CI270" i="1"/>
  <c r="CI337" i="1"/>
  <c r="CI182" i="1"/>
  <c r="CI236" i="1"/>
  <c r="CI284" i="1"/>
  <c r="CI351" i="1"/>
  <c r="CI334" i="1"/>
  <c r="CI300" i="1"/>
  <c r="CI257" i="1"/>
  <c r="CI277" i="1"/>
  <c r="CI204" i="1"/>
  <c r="CI328" i="1"/>
  <c r="CI331" i="1"/>
  <c r="CI276" i="1"/>
  <c r="CI251" i="1"/>
  <c r="CI364" i="1"/>
  <c r="CI225" i="1"/>
  <c r="CI317" i="1"/>
  <c r="CI286" i="1"/>
  <c r="CI239" i="1"/>
  <c r="CI304" i="1"/>
  <c r="CI322" i="1"/>
  <c r="CI195" i="1"/>
  <c r="CI181" i="1"/>
  <c r="CI325" i="1"/>
  <c r="CI273" i="1"/>
  <c r="CI290" i="1"/>
  <c r="CI223" i="1"/>
  <c r="CI341" i="1"/>
  <c r="CI343" i="1"/>
  <c r="CI199" i="1"/>
  <c r="CI283" i="1"/>
  <c r="CI242" i="1"/>
  <c r="CI180" i="1"/>
  <c r="CI361" i="1"/>
  <c r="CI191" i="1"/>
  <c r="CI243" i="1"/>
  <c r="CI224" i="1"/>
  <c r="LW64" i="93"/>
  <c r="MH64" i="93" s="1"/>
  <c r="BH72" i="130"/>
  <c r="AN72" i="130"/>
  <c r="AD72" i="130"/>
  <c r="T72" i="130"/>
  <c r="AX72" i="130"/>
  <c r="J72" i="130"/>
  <c r="BR72" i="130"/>
  <c r="Z31" i="98"/>
  <c r="Z32" i="98"/>
  <c r="K21" i="127"/>
  <c r="T21" i="127" s="1"/>
  <c r="K21" i="136"/>
  <c r="T21" i="136" s="1"/>
  <c r="K20" i="127"/>
  <c r="T20" i="127" s="1"/>
  <c r="K20" i="136"/>
  <c r="T20" i="136" s="1"/>
  <c r="K24" i="127"/>
  <c r="T24" i="127" s="1"/>
  <c r="K24" i="136"/>
  <c r="T24" i="136" s="1"/>
  <c r="K18" i="127"/>
  <c r="T18" i="127" s="1"/>
  <c r="K18" i="136"/>
  <c r="T18" i="136" s="1"/>
  <c r="K10" i="127"/>
  <c r="T10" i="127" s="1"/>
  <c r="K10" i="136"/>
  <c r="T10" i="136" s="1"/>
  <c r="K23" i="136"/>
  <c r="T23" i="136" s="1"/>
  <c r="K23" i="127"/>
  <c r="T23" i="127" s="1"/>
  <c r="K19" i="127"/>
  <c r="T19" i="127" s="1"/>
  <c r="K19" i="136"/>
  <c r="T19" i="136" s="1"/>
  <c r="K15" i="127"/>
  <c r="T15" i="127" s="1"/>
  <c r="K15" i="136"/>
  <c r="T15" i="136" s="1"/>
  <c r="K13" i="136"/>
  <c r="T13" i="136" s="1"/>
  <c r="K13" i="127"/>
  <c r="T13" i="127" s="1"/>
  <c r="K11" i="127"/>
  <c r="T11" i="127" s="1"/>
  <c r="K11" i="136"/>
  <c r="T11" i="136" s="1"/>
  <c r="K14" i="127"/>
  <c r="T14" i="127" s="1"/>
  <c r="K14" i="136"/>
  <c r="T14" i="136" s="1"/>
  <c r="K7" i="136"/>
  <c r="T7" i="136" s="1"/>
  <c r="K7" i="127"/>
  <c r="T7" i="127" s="1"/>
  <c r="K16" i="136"/>
  <c r="T16" i="136" s="1"/>
  <c r="K16" i="127"/>
  <c r="T16" i="127" s="1"/>
  <c r="I28" i="127" l="1"/>
  <c r="CJ188" i="1"/>
  <c r="CJ184" i="1"/>
  <c r="CJ178" i="1"/>
  <c r="CJ248" i="1"/>
  <c r="CJ287" i="1"/>
  <c r="CJ259" i="1"/>
  <c r="CJ296" i="1"/>
  <c r="CJ271" i="1"/>
  <c r="CJ295" i="1"/>
  <c r="CJ282" i="1"/>
  <c r="CJ221" i="1"/>
  <c r="CJ194" i="1"/>
  <c r="CJ231" i="1"/>
  <c r="CJ187" i="1"/>
  <c r="CJ238" i="1"/>
  <c r="CJ174" i="1"/>
  <c r="CJ302" i="1"/>
  <c r="CJ222" i="1"/>
  <c r="CJ329" i="1"/>
  <c r="CJ323" i="1"/>
  <c r="CJ330" i="1"/>
  <c r="CJ201" i="1"/>
  <c r="CJ173" i="1"/>
  <c r="CJ335" i="1"/>
  <c r="CJ342" i="1"/>
  <c r="CJ339" i="1"/>
  <c r="HE5" i="123"/>
  <c r="HG5" i="123"/>
  <c r="HF5" i="123"/>
  <c r="HG11" i="123"/>
  <c r="HD5" i="123"/>
  <c r="HD11" i="123"/>
  <c r="HF11" i="123"/>
  <c r="AQ106" i="97"/>
  <c r="AR106" i="97" s="1"/>
  <c r="AQ107" i="97"/>
  <c r="AR107" i="97" s="1"/>
  <c r="AY107" i="97" s="1"/>
  <c r="S221" i="1"/>
  <c r="CJ219" i="1"/>
  <c r="CJ209" i="1"/>
  <c r="K71" i="71"/>
  <c r="I136" i="71"/>
  <c r="K136" i="71" s="1"/>
  <c r="K78" i="71"/>
  <c r="BD103" i="97"/>
  <c r="K73" i="71"/>
  <c r="FP54" i="98"/>
  <c r="H27" i="136" s="1"/>
  <c r="BS54" i="98"/>
  <c r="FI54" i="98"/>
  <c r="CJ214" i="1"/>
  <c r="CJ217" i="1"/>
  <c r="N33" i="115"/>
  <c r="N31" i="115"/>
  <c r="CJ210" i="1"/>
  <c r="CJ212" i="1"/>
  <c r="CJ215" i="1"/>
  <c r="CJ218" i="1"/>
  <c r="CJ216" i="1"/>
  <c r="L10" i="136"/>
  <c r="L21" i="136"/>
  <c r="L31" i="136"/>
  <c r="L33" i="136"/>
  <c r="L30" i="136"/>
  <c r="L28" i="136"/>
  <c r="K26" i="127"/>
  <c r="T26" i="127" s="1"/>
  <c r="G30" i="136"/>
  <c r="I30" i="127"/>
  <c r="F34" i="136"/>
  <c r="H34" i="127"/>
  <c r="N34" i="115"/>
  <c r="L34" i="136"/>
  <c r="HI11" i="123"/>
  <c r="HM11" i="123"/>
  <c r="HO11" i="123"/>
  <c r="HL11" i="123"/>
  <c r="HJ11" i="123"/>
  <c r="HN11" i="123"/>
  <c r="HK11" i="123"/>
  <c r="HH11" i="123"/>
  <c r="FG57" i="98"/>
  <c r="F30" i="136" s="1"/>
  <c r="BS61" i="98"/>
  <c r="FI61" i="98"/>
  <c r="FP61" i="98"/>
  <c r="H34" i="136" s="1"/>
  <c r="AJ102" i="97"/>
  <c r="AM102" i="97" s="1"/>
  <c r="CJ71" i="130"/>
  <c r="DA71" i="130" s="1"/>
  <c r="DA51" i="130" s="1"/>
  <c r="AQ116" i="97"/>
  <c r="AR116" i="97" s="1"/>
  <c r="AQ117" i="97"/>
  <c r="AR117" i="97" s="1"/>
  <c r="AQ115" i="97"/>
  <c r="AR115" i="97" s="1"/>
  <c r="AQ110" i="97"/>
  <c r="AR110" i="97" s="1"/>
  <c r="AQ114" i="97"/>
  <c r="AR114" i="97" s="1"/>
  <c r="AQ108" i="97"/>
  <c r="AR108" i="97" s="1"/>
  <c r="AQ109" i="97"/>
  <c r="AR109" i="97" s="1"/>
  <c r="FY30" i="98"/>
  <c r="GA30" i="98" s="1"/>
  <c r="FG56" i="98"/>
  <c r="H29" i="127" s="1"/>
  <c r="S173" i="1"/>
  <c r="I165" i="71"/>
  <c r="K165" i="71" s="1"/>
  <c r="FG55" i="98"/>
  <c r="H28" i="127" s="1"/>
  <c r="FG59" i="98"/>
  <c r="H32" i="127" s="1"/>
  <c r="G14" i="136"/>
  <c r="I14" i="127"/>
  <c r="K17" i="136"/>
  <c r="T17" i="136" s="1"/>
  <c r="K17" i="127"/>
  <c r="T17" i="127" s="1"/>
  <c r="G18" i="136"/>
  <c r="I18" i="127"/>
  <c r="G12" i="136"/>
  <c r="I12" i="127"/>
  <c r="G20" i="136"/>
  <c r="I20" i="127"/>
  <c r="G17" i="136"/>
  <c r="I17" i="127"/>
  <c r="G21" i="136"/>
  <c r="I21" i="127"/>
  <c r="G8" i="136"/>
  <c r="I8" i="127"/>
  <c r="F9" i="136"/>
  <c r="H9" i="127"/>
  <c r="G16" i="136"/>
  <c r="I16" i="127"/>
  <c r="G11" i="136"/>
  <c r="I11" i="127"/>
  <c r="G22" i="136"/>
  <c r="I22" i="127"/>
  <c r="G15" i="136"/>
  <c r="I15" i="127"/>
  <c r="G23" i="136"/>
  <c r="I23" i="127"/>
  <c r="G19" i="136"/>
  <c r="I19" i="127"/>
  <c r="G24" i="136"/>
  <c r="I24" i="127"/>
  <c r="K12" i="136"/>
  <c r="T12" i="136" s="1"/>
  <c r="K12" i="127"/>
  <c r="T12" i="127" s="1"/>
  <c r="FP53" i="98"/>
  <c r="H26" i="136" s="1"/>
  <c r="H26" i="127"/>
  <c r="G33" i="136"/>
  <c r="I33" i="127"/>
  <c r="F31" i="136"/>
  <c r="H31" i="127"/>
  <c r="G13" i="136"/>
  <c r="I13" i="127"/>
  <c r="G10" i="136"/>
  <c r="I10" i="127"/>
  <c r="FP52" i="98"/>
  <c r="H25" i="136" s="1"/>
  <c r="H25" i="127"/>
  <c r="FP58" i="98"/>
  <c r="H31" i="136" s="1"/>
  <c r="FI58" i="98"/>
  <c r="HM5" i="123"/>
  <c r="HL5" i="123"/>
  <c r="HO5" i="123"/>
  <c r="HJ5" i="123"/>
  <c r="HN5" i="123"/>
  <c r="HI5" i="123"/>
  <c r="HH5" i="123"/>
  <c r="HK5" i="123"/>
  <c r="BS58" i="98"/>
  <c r="L14" i="136"/>
  <c r="L16" i="136"/>
  <c r="L12" i="136"/>
  <c r="L23" i="136"/>
  <c r="L19" i="136"/>
  <c r="F26" i="136"/>
  <c r="S125" i="123"/>
  <c r="FP36" i="98"/>
  <c r="H9" i="136" s="1"/>
  <c r="S119" i="123"/>
  <c r="BS36" i="98"/>
  <c r="FI36" i="98"/>
  <c r="FG60" i="98"/>
  <c r="H33" i="127" s="1"/>
  <c r="FI53" i="98"/>
  <c r="L17" i="136"/>
  <c r="L13" i="136"/>
  <c r="L18" i="136"/>
  <c r="L15" i="136"/>
  <c r="L11" i="136"/>
  <c r="L20" i="136"/>
  <c r="FG34" i="98"/>
  <c r="G7" i="136"/>
  <c r="L22" i="136"/>
  <c r="FI52" i="98"/>
  <c r="F25" i="136"/>
  <c r="N32" i="115"/>
  <c r="L32" i="136"/>
  <c r="U170" i="1"/>
  <c r="S167" i="1"/>
  <c r="V169" i="1"/>
  <c r="T170" i="1"/>
  <c r="C14" i="1" s="1"/>
  <c r="R167" i="1"/>
  <c r="CJ211" i="1"/>
  <c r="CJ213" i="1"/>
  <c r="FG41" i="98"/>
  <c r="H14" i="127" s="1"/>
  <c r="DJ86" i="1"/>
  <c r="CP131" i="123"/>
  <c r="HP11" i="123" s="1"/>
  <c r="FG45" i="98"/>
  <c r="H18" i="127" s="1"/>
  <c r="FG38" i="98"/>
  <c r="H11" i="127" s="1"/>
  <c r="FG35" i="98"/>
  <c r="H8" i="127" s="1"/>
  <c r="FG46" i="98"/>
  <c r="H19" i="127" s="1"/>
  <c r="FG43" i="98"/>
  <c r="H16" i="127" s="1"/>
  <c r="FG44" i="98"/>
  <c r="H17" i="127" s="1"/>
  <c r="FG47" i="98"/>
  <c r="H20" i="127" s="1"/>
  <c r="FG50" i="98"/>
  <c r="H23" i="127" s="1"/>
  <c r="FG37" i="98"/>
  <c r="H10" i="127" s="1"/>
  <c r="FG42" i="98"/>
  <c r="H15" i="127" s="1"/>
  <c r="FG48" i="98"/>
  <c r="H21" i="127" s="1"/>
  <c r="FG39" i="98"/>
  <c r="H12" i="127" s="1"/>
  <c r="FG40" i="98"/>
  <c r="H13" i="127" s="1"/>
  <c r="FG49" i="98"/>
  <c r="H22" i="127" s="1"/>
  <c r="FG51" i="98"/>
  <c r="H24" i="127" s="1"/>
  <c r="FT171" i="1"/>
  <c r="AA70" i="71" s="1"/>
  <c r="AM163" i="1"/>
  <c r="G155" i="71"/>
  <c r="CY87" i="93"/>
  <c r="LD87" i="93" s="1"/>
  <c r="MK87" i="93" s="1"/>
  <c r="DU87" i="93"/>
  <c r="IE69" i="93"/>
  <c r="GX69" i="93" s="1"/>
  <c r="IF69" i="93"/>
  <c r="U34" i="57"/>
  <c r="AF34" i="57" s="1"/>
  <c r="AE34" i="57"/>
  <c r="IE67" i="93"/>
  <c r="GX67" i="93" s="1"/>
  <c r="IF67" i="93"/>
  <c r="HH87" i="93"/>
  <c r="LL64" i="93"/>
  <c r="MS64" i="93" s="1"/>
  <c r="DG62" i="93"/>
  <c r="LL60" i="93" s="1"/>
  <c r="IE85" i="93"/>
  <c r="GX85" i="93" s="1"/>
  <c r="IF85" i="93"/>
  <c r="U33" i="57"/>
  <c r="AF33" i="57" s="1"/>
  <c r="AE33" i="57"/>
  <c r="IE82" i="93"/>
  <c r="GX82" i="93" s="1"/>
  <c r="IF82" i="93"/>
  <c r="U39" i="57"/>
  <c r="AF39" i="57" s="1"/>
  <c r="AE39" i="57"/>
  <c r="CY77" i="93"/>
  <c r="LD77" i="93" s="1"/>
  <c r="MK77" i="93" s="1"/>
  <c r="DU77" i="93"/>
  <c r="HE64" i="93"/>
  <c r="HE60" i="93" s="1"/>
  <c r="CU62" i="93"/>
  <c r="AQ99" i="97"/>
  <c r="EM64" i="93"/>
  <c r="BF107" i="97" s="1"/>
  <c r="AK107" i="97" s="1"/>
  <c r="GO2" i="1"/>
  <c r="AX113" i="97"/>
  <c r="AY113" i="97"/>
  <c r="U32" i="57"/>
  <c r="AF32" i="57" s="1"/>
  <c r="AE32" i="57"/>
  <c r="CY72" i="93"/>
  <c r="LD72" i="93" s="1"/>
  <c r="MK72" i="93" s="1"/>
  <c r="DU72" i="93"/>
  <c r="IF90" i="93"/>
  <c r="IE90" i="93"/>
  <c r="GX90" i="93" s="1"/>
  <c r="CY74" i="93"/>
  <c r="LD74" i="93" s="1"/>
  <c r="MK74" i="93" s="1"/>
  <c r="DU74" i="93"/>
  <c r="CY75" i="93"/>
  <c r="LD75" i="93" s="1"/>
  <c r="MK75" i="93" s="1"/>
  <c r="DU75" i="93"/>
  <c r="DF62" i="93"/>
  <c r="LK60" i="93" s="1"/>
  <c r="LK64" i="93"/>
  <c r="MR64" i="93" s="1"/>
  <c r="IF66" i="93"/>
  <c r="IE66" i="93"/>
  <c r="GX66" i="93" s="1"/>
  <c r="CY81" i="93"/>
  <c r="LD81" i="93" s="1"/>
  <c r="MK81" i="93" s="1"/>
  <c r="DU81" i="93"/>
  <c r="L7" i="136"/>
  <c r="N7" i="115"/>
  <c r="CY73" i="93"/>
  <c r="LD73" i="93" s="1"/>
  <c r="MK73" i="93" s="1"/>
  <c r="DU73" i="93"/>
  <c r="DD62" i="93"/>
  <c r="LI60" i="93" s="1"/>
  <c r="LI64" i="93"/>
  <c r="MP64" i="93" s="1"/>
  <c r="CY69" i="93"/>
  <c r="LD69" i="93" s="1"/>
  <c r="MK69" i="93" s="1"/>
  <c r="DU69" i="93"/>
  <c r="CY71" i="93"/>
  <c r="LD71" i="93" s="1"/>
  <c r="MK71" i="93" s="1"/>
  <c r="DU71" i="93"/>
  <c r="DC62" i="93"/>
  <c r="LH60" i="93" s="1"/>
  <c r="LH64" i="93"/>
  <c r="MO64" i="93" s="1"/>
  <c r="U36" i="57"/>
  <c r="AF36" i="57" s="1"/>
  <c r="AE36" i="57"/>
  <c r="DA168" i="1"/>
  <c r="I64" i="71"/>
  <c r="CY82" i="93"/>
  <c r="LD82" i="93" s="1"/>
  <c r="MK82" i="93" s="1"/>
  <c r="DU82" i="93"/>
  <c r="CY80" i="93"/>
  <c r="LD80" i="93" s="1"/>
  <c r="MK80" i="93" s="1"/>
  <c r="DU80" i="93"/>
  <c r="CY67" i="93"/>
  <c r="LD67" i="93" s="1"/>
  <c r="MK67" i="93" s="1"/>
  <c r="DU67" i="93"/>
  <c r="IF75" i="93"/>
  <c r="IE75" i="93"/>
  <c r="GX75" i="93" s="1"/>
  <c r="IE78" i="93"/>
  <c r="GX78" i="93" s="1"/>
  <c r="IF78" i="93"/>
  <c r="N27" i="98"/>
  <c r="IE92" i="93"/>
  <c r="GX92" i="93" s="1"/>
  <c r="IF92" i="93"/>
  <c r="IF81" i="93"/>
  <c r="IE81" i="93"/>
  <c r="GX81" i="93" s="1"/>
  <c r="U35" i="57"/>
  <c r="AF35" i="57" s="1"/>
  <c r="AE35" i="57"/>
  <c r="CY85" i="93"/>
  <c r="LD85" i="93" s="1"/>
  <c r="MK85" i="93" s="1"/>
  <c r="DU85" i="93"/>
  <c r="L45" i="93"/>
  <c r="D43" i="93"/>
  <c r="IF89" i="93"/>
  <c r="IE89" i="93"/>
  <c r="GX89" i="93" s="1"/>
  <c r="CY79" i="93"/>
  <c r="LD79" i="93" s="1"/>
  <c r="MK79" i="93" s="1"/>
  <c r="DU79" i="93"/>
  <c r="CY65" i="93"/>
  <c r="LD65" i="93" s="1"/>
  <c r="MK65" i="93" s="1"/>
  <c r="DU65" i="93"/>
  <c r="IE68" i="93"/>
  <c r="GX68" i="93" s="1"/>
  <c r="IF68" i="93"/>
  <c r="BU62" i="93"/>
  <c r="CY66" i="93"/>
  <c r="LD66" i="93" s="1"/>
  <c r="MK66" i="93" s="1"/>
  <c r="DU66" i="93"/>
  <c r="IF74" i="93"/>
  <c r="IE74" i="93"/>
  <c r="GX74" i="93" s="1"/>
  <c r="LF64" i="93"/>
  <c r="MM64" i="93" s="1"/>
  <c r="DA62" i="93"/>
  <c r="LF60" i="93" s="1"/>
  <c r="IF80" i="93"/>
  <c r="IE80" i="93"/>
  <c r="GX80" i="93" s="1"/>
  <c r="IE65" i="93"/>
  <c r="GX65" i="93" s="1"/>
  <c r="IF65" i="93"/>
  <c r="HH68" i="93"/>
  <c r="HH67" i="93"/>
  <c r="FA67" i="93" s="1"/>
  <c r="L24" i="136"/>
  <c r="N24" i="115"/>
  <c r="IE73" i="93"/>
  <c r="GX73" i="93" s="1"/>
  <c r="IF73" i="93"/>
  <c r="U38" i="57"/>
  <c r="AF38" i="57" s="1"/>
  <c r="AE38" i="57"/>
  <c r="CW64" i="93"/>
  <c r="BS62" i="93"/>
  <c r="CY89" i="93"/>
  <c r="LD89" i="93" s="1"/>
  <c r="MK89" i="93" s="1"/>
  <c r="DU89" i="93"/>
  <c r="CY90" i="93"/>
  <c r="LD90" i="93" s="1"/>
  <c r="MK90" i="93" s="1"/>
  <c r="DU90" i="93"/>
  <c r="L8" i="136"/>
  <c r="N8" i="115"/>
  <c r="IF93" i="93"/>
  <c r="IE93" i="93"/>
  <c r="GX93" i="93" s="1"/>
  <c r="IF77" i="93"/>
  <c r="IE77" i="93"/>
  <c r="GX77" i="93" s="1"/>
  <c r="HH45" i="93"/>
  <c r="HH43" i="93" s="1"/>
  <c r="M43" i="93"/>
  <c r="CY78" i="93"/>
  <c r="LD78" i="93" s="1"/>
  <c r="MK78" i="93" s="1"/>
  <c r="DU78" i="93"/>
  <c r="IE79" i="93"/>
  <c r="GX79" i="93" s="1"/>
  <c r="IF79" i="93"/>
  <c r="IF72" i="93"/>
  <c r="IE72" i="93"/>
  <c r="GX72" i="93" s="1"/>
  <c r="G60" i="71"/>
  <c r="G127" i="71" s="1"/>
  <c r="J29" i="71"/>
  <c r="K29" i="71"/>
  <c r="H118" i="71"/>
  <c r="HO35" i="93" s="1"/>
  <c r="H127" i="71"/>
  <c r="LG64" i="93"/>
  <c r="MN64" i="93" s="1"/>
  <c r="DB62" i="93"/>
  <c r="LG60" i="93" s="1"/>
  <c r="CY86" i="93"/>
  <c r="LD86" i="93" s="1"/>
  <c r="MK86" i="93" s="1"/>
  <c r="DU86" i="93"/>
  <c r="LD64" i="93"/>
  <c r="MK64" i="93" s="1"/>
  <c r="LM64" i="93"/>
  <c r="DH62" i="93"/>
  <c r="LM60" i="93" s="1"/>
  <c r="IE87" i="93"/>
  <c r="GX87" i="93" s="1"/>
  <c r="IF87" i="93"/>
  <c r="CY93" i="93"/>
  <c r="LD93" i="93" s="1"/>
  <c r="MK93" i="93" s="1"/>
  <c r="DU93" i="93"/>
  <c r="LJ64" i="93"/>
  <c r="MQ64" i="93" s="1"/>
  <c r="DE62" i="93"/>
  <c r="LJ60" i="93" s="1"/>
  <c r="CY68" i="93"/>
  <c r="LD68" i="93" s="1"/>
  <c r="MK68" i="93" s="1"/>
  <c r="DU68" i="93"/>
  <c r="AR100" i="97"/>
  <c r="G156" i="71"/>
  <c r="U37" i="57"/>
  <c r="AF37" i="57" s="1"/>
  <c r="AE37" i="57"/>
  <c r="IF86" i="93"/>
  <c r="IE86" i="93"/>
  <c r="GX86" i="93" s="1"/>
  <c r="GI62" i="93"/>
  <c r="AA66" i="71" s="1"/>
  <c r="IE71" i="93"/>
  <c r="GX71" i="93" s="1"/>
  <c r="IF71" i="93"/>
  <c r="J28" i="71"/>
  <c r="G59" i="71"/>
  <c r="G126" i="71" s="1"/>
  <c r="K28" i="71"/>
  <c r="H126" i="71"/>
  <c r="CY92" i="93"/>
  <c r="LD92" i="93" s="1"/>
  <c r="MK92" i="93" s="1"/>
  <c r="DU92" i="93"/>
  <c r="LE64" i="93"/>
  <c r="ML64" i="93" s="1"/>
  <c r="CZ62" i="93"/>
  <c r="LE60" i="93" s="1"/>
  <c r="K8" i="136"/>
  <c r="T8" i="136" s="1"/>
  <c r="BS53" i="98"/>
  <c r="BS52" i="98"/>
  <c r="K25" i="136"/>
  <c r="T25" i="136" s="1"/>
  <c r="K22" i="136"/>
  <c r="T22" i="136" s="1"/>
  <c r="CJ205" i="1"/>
  <c r="CJ206" i="1"/>
  <c r="CJ207" i="1"/>
  <c r="CJ208" i="1"/>
  <c r="CJ301" i="1"/>
  <c r="CJ182" i="1"/>
  <c r="CJ251" i="1"/>
  <c r="CJ197" i="1"/>
  <c r="CJ240" i="1"/>
  <c r="CJ186" i="1"/>
  <c r="CJ204" i="1"/>
  <c r="CJ183" i="1"/>
  <c r="CJ278" i="1"/>
  <c r="CJ277" i="1"/>
  <c r="CJ274" i="1"/>
  <c r="CJ189" i="1"/>
  <c r="CJ284" i="1"/>
  <c r="CJ355" i="1"/>
  <c r="CJ341" i="1"/>
  <c r="CJ235" i="1"/>
  <c r="CJ253" i="1"/>
  <c r="CJ254" i="1"/>
  <c r="CJ333" i="1"/>
  <c r="CJ266" i="1"/>
  <c r="CJ348" i="1"/>
  <c r="CJ338" i="1"/>
  <c r="CJ245" i="1"/>
  <c r="CJ176" i="1"/>
  <c r="CJ202" i="1"/>
  <c r="CJ360" i="1"/>
  <c r="CJ331" i="1"/>
  <c r="CJ200" i="1"/>
  <c r="CJ306" i="1"/>
  <c r="CJ291" i="1"/>
  <c r="CJ286" i="1"/>
  <c r="CJ307" i="1"/>
  <c r="CJ350" i="1"/>
  <c r="CJ332" i="1"/>
  <c r="CJ269" i="1"/>
  <c r="CJ243" i="1"/>
  <c r="CJ308" i="1"/>
  <c r="CJ261" i="1"/>
  <c r="CJ349" i="1"/>
  <c r="CJ344" i="1"/>
  <c r="CJ292" i="1"/>
  <c r="CJ324" i="1"/>
  <c r="CJ326" i="1"/>
  <c r="CJ195" i="1"/>
  <c r="CJ281" i="1"/>
  <c r="CJ241" i="1"/>
  <c r="CJ317" i="1"/>
  <c r="CJ233" i="1"/>
  <c r="CJ190" i="1"/>
  <c r="CJ273" i="1"/>
  <c r="CJ359" i="1"/>
  <c r="CJ300" i="1"/>
  <c r="CJ275" i="1"/>
  <c r="CJ358" i="1"/>
  <c r="CJ334" i="1"/>
  <c r="CJ288" i="1"/>
  <c r="CJ198" i="1"/>
  <c r="CJ343" i="1"/>
  <c r="CJ264" i="1"/>
  <c r="CJ177" i="1"/>
  <c r="CJ283" i="1"/>
  <c r="CJ192" i="1"/>
  <c r="CJ319" i="1"/>
  <c r="CJ362" i="1"/>
  <c r="CJ260" i="1"/>
  <c r="CJ314" i="1"/>
  <c r="CJ244" i="1"/>
  <c r="CJ309" i="1"/>
  <c r="CJ294" i="1"/>
  <c r="CJ249" i="1"/>
  <c r="CJ226" i="1"/>
  <c r="CJ220" i="1"/>
  <c r="CJ262" i="1"/>
  <c r="CJ320" i="1"/>
  <c r="CJ247" i="1"/>
  <c r="CJ196" i="1"/>
  <c r="CJ345" i="1"/>
  <c r="CJ363" i="1"/>
  <c r="CJ346" i="1"/>
  <c r="CJ175" i="1"/>
  <c r="CJ268" i="1"/>
  <c r="CJ236" i="1"/>
  <c r="CJ276" i="1"/>
  <c r="CJ316" i="1"/>
  <c r="CJ224" i="1"/>
  <c r="CJ246" i="1"/>
  <c r="CJ223" i="1"/>
  <c r="CJ272" i="1"/>
  <c r="CJ328" i="1"/>
  <c r="CJ203" i="1"/>
  <c r="CJ336" i="1"/>
  <c r="CJ232" i="1"/>
  <c r="CJ179" i="1"/>
  <c r="CJ356" i="1"/>
  <c r="CJ285" i="1"/>
  <c r="CJ229" i="1"/>
  <c r="CJ258" i="1"/>
  <c r="CJ353" i="1"/>
  <c r="CJ354" i="1"/>
  <c r="CJ327" i="1"/>
  <c r="CJ255" i="1"/>
  <c r="CJ357" i="1"/>
  <c r="CJ250" i="1"/>
  <c r="CJ181" i="1"/>
  <c r="CJ239" i="1"/>
  <c r="CJ304" i="1"/>
  <c r="CJ280" i="1"/>
  <c r="CJ361" i="1"/>
  <c r="CJ321" i="1"/>
  <c r="CJ297" i="1"/>
  <c r="CJ263" i="1"/>
  <c r="CJ352" i="1"/>
  <c r="CJ191" i="1"/>
  <c r="CJ315" i="1"/>
  <c r="CJ265" i="1"/>
  <c r="CJ257" i="1"/>
  <c r="CJ237" i="1"/>
  <c r="CJ299" i="1"/>
  <c r="CJ313" i="1"/>
  <c r="CJ230" i="1"/>
  <c r="CJ364" i="1"/>
  <c r="CJ270" i="1"/>
  <c r="CJ351" i="1"/>
  <c r="CJ252" i="1"/>
  <c r="CJ267" i="1"/>
  <c r="CJ234" i="1"/>
  <c r="CJ303" i="1"/>
  <c r="CJ256" i="1"/>
  <c r="CJ228" i="1"/>
  <c r="CJ310" i="1"/>
  <c r="CJ180" i="1"/>
  <c r="CJ225" i="1"/>
  <c r="CJ290" i="1"/>
  <c r="CJ279" i="1"/>
  <c r="CJ322" i="1"/>
  <c r="CJ318" i="1"/>
  <c r="CJ337" i="1"/>
  <c r="CJ312" i="1"/>
  <c r="CJ293" i="1"/>
  <c r="CJ305" i="1"/>
  <c r="CJ185" i="1"/>
  <c r="CJ325" i="1"/>
  <c r="CJ340" i="1"/>
  <c r="CJ347" i="1"/>
  <c r="CJ199" i="1"/>
  <c r="CJ242" i="1"/>
  <c r="CJ227" i="1"/>
  <c r="CJ289" i="1"/>
  <c r="CJ193" i="1"/>
  <c r="CJ298" i="1"/>
  <c r="CJ311" i="1"/>
  <c r="LX64" i="93"/>
  <c r="BI72" i="130"/>
  <c r="AE72" i="130"/>
  <c r="U72" i="130"/>
  <c r="AO72" i="130"/>
  <c r="BS72" i="130"/>
  <c r="AY72" i="130"/>
  <c r="K72" i="130"/>
  <c r="CK188" i="1" l="1"/>
  <c r="CK184" i="1"/>
  <c r="CK178" i="1"/>
  <c r="CK296" i="1"/>
  <c r="CK271" i="1"/>
  <c r="CK282" i="1"/>
  <c r="CK248" i="1"/>
  <c r="CK295" i="1"/>
  <c r="CK287" i="1"/>
  <c r="CK259" i="1"/>
  <c r="CK174" i="1"/>
  <c r="CK302" i="1"/>
  <c r="CK222" i="1"/>
  <c r="CK221" i="1"/>
  <c r="CK194" i="1"/>
  <c r="CK231" i="1"/>
  <c r="CK323" i="1"/>
  <c r="CK187" i="1"/>
  <c r="CK330" i="1"/>
  <c r="CK329" i="1"/>
  <c r="CK201" i="1"/>
  <c r="CK238" i="1"/>
  <c r="CK173" i="1"/>
  <c r="CK335" i="1"/>
  <c r="CK342" i="1"/>
  <c r="CK339" i="1"/>
  <c r="HP5" i="123"/>
  <c r="AX107" i="97"/>
  <c r="HR5" i="123"/>
  <c r="HS5" i="123"/>
  <c r="HS11" i="123"/>
  <c r="HR11" i="123"/>
  <c r="HQ5" i="123"/>
  <c r="HQ11" i="123"/>
  <c r="BF106" i="97"/>
  <c r="AK106" i="97" s="1"/>
  <c r="BF113" i="97"/>
  <c r="AK113" i="97" s="1"/>
  <c r="CK219" i="1"/>
  <c r="CK209" i="1"/>
  <c r="CK214" i="1"/>
  <c r="CK217" i="1"/>
  <c r="CK210" i="1"/>
  <c r="CK212" i="1"/>
  <c r="CK215" i="1"/>
  <c r="CK216" i="1"/>
  <c r="CK218" i="1"/>
  <c r="F28" i="136"/>
  <c r="FI57" i="98"/>
  <c r="H30" i="127"/>
  <c r="FP57" i="98"/>
  <c r="H30" i="136" s="1"/>
  <c r="F29" i="136"/>
  <c r="BS57" i="98"/>
  <c r="HZ11" i="123"/>
  <c r="HY11" i="123"/>
  <c r="IA11" i="123"/>
  <c r="HV11" i="123"/>
  <c r="HU11" i="123"/>
  <c r="HW11" i="123"/>
  <c r="HX11" i="123"/>
  <c r="HT11" i="123"/>
  <c r="FP56" i="98"/>
  <c r="H29" i="136" s="1"/>
  <c r="FI56" i="98"/>
  <c r="BS56" i="98"/>
  <c r="J65" i="71"/>
  <c r="G154" i="71"/>
  <c r="J154" i="71" s="1"/>
  <c r="CP30" i="98"/>
  <c r="GG30" i="98" s="1"/>
  <c r="CW30" i="98" s="1"/>
  <c r="F32" i="136"/>
  <c r="BS59" i="98"/>
  <c r="FI59" i="98"/>
  <c r="FP59" i="98"/>
  <c r="H32" i="136" s="1"/>
  <c r="AX110" i="97"/>
  <c r="AY110" i="97"/>
  <c r="BF116" i="97"/>
  <c r="AK116" i="97" s="1"/>
  <c r="BF117" i="97"/>
  <c r="AK117" i="97" s="1"/>
  <c r="BF109" i="97"/>
  <c r="AK109" i="97" s="1"/>
  <c r="BF114" i="97"/>
  <c r="AK114" i="97" s="1"/>
  <c r="BF115" i="97"/>
  <c r="AK115" i="97" s="1"/>
  <c r="BF110" i="97"/>
  <c r="AK110" i="97" s="1"/>
  <c r="BF108" i="97"/>
  <c r="AK108" i="97" s="1"/>
  <c r="AX109" i="97"/>
  <c r="AY109" i="97"/>
  <c r="AX115" i="97"/>
  <c r="AY115" i="97"/>
  <c r="AX108" i="97"/>
  <c r="AY108" i="97"/>
  <c r="AX117" i="97"/>
  <c r="AY117" i="97"/>
  <c r="AX114" i="97"/>
  <c r="AY114" i="97"/>
  <c r="AX116" i="97"/>
  <c r="AY116" i="97"/>
  <c r="FI55" i="98"/>
  <c r="FP55" i="98"/>
  <c r="H28" i="136" s="1"/>
  <c r="BS55" i="98"/>
  <c r="EA3" i="123"/>
  <c r="IB3" i="123" s="1"/>
  <c r="I36" i="93"/>
  <c r="F7" i="136"/>
  <c r="H7" i="127"/>
  <c r="DZ92" i="93"/>
  <c r="DZ68" i="93"/>
  <c r="DZ90" i="93"/>
  <c r="DZ66" i="93"/>
  <c r="DZ80" i="93"/>
  <c r="DZ69" i="93"/>
  <c r="DZ73" i="93"/>
  <c r="DZ81" i="93"/>
  <c r="DZ74" i="93"/>
  <c r="DZ72" i="93"/>
  <c r="DZ86" i="93"/>
  <c r="DZ65" i="93"/>
  <c r="DZ85" i="93"/>
  <c r="I24" i="71" s="1"/>
  <c r="DZ93" i="93"/>
  <c r="DZ78" i="93"/>
  <c r="DZ89" i="93"/>
  <c r="DZ67" i="93"/>
  <c r="DZ82" i="93"/>
  <c r="DZ71" i="93"/>
  <c r="DZ75" i="93"/>
  <c r="DZ79" i="93"/>
  <c r="DZ77" i="93"/>
  <c r="DZ87" i="93"/>
  <c r="HY5" i="123"/>
  <c r="HZ5" i="123"/>
  <c r="HU5" i="123"/>
  <c r="IA5" i="123"/>
  <c r="HT5" i="123"/>
  <c r="HW5" i="123"/>
  <c r="HX5" i="123"/>
  <c r="HV5" i="123"/>
  <c r="R170" i="1"/>
  <c r="CN6" i="130" s="1"/>
  <c r="CO6" i="130" s="1"/>
  <c r="DQ64" i="93"/>
  <c r="DQ62" i="93" s="1"/>
  <c r="MI64" i="93"/>
  <c r="MT64" i="93" s="1"/>
  <c r="BS34" i="98"/>
  <c r="FP34" i="98"/>
  <c r="H7" i="136" s="1"/>
  <c r="FI34" i="98"/>
  <c r="F33" i="136"/>
  <c r="BS60" i="98"/>
  <c r="FI60" i="98"/>
  <c r="FP60" i="98"/>
  <c r="H33" i="136" s="1"/>
  <c r="FP39" i="98"/>
  <c r="H12" i="136" s="1"/>
  <c r="F12" i="136"/>
  <c r="FP50" i="98"/>
  <c r="H23" i="136" s="1"/>
  <c r="F23" i="136"/>
  <c r="BS46" i="98"/>
  <c r="F19" i="136"/>
  <c r="BS51" i="98"/>
  <c r="F24" i="136"/>
  <c r="BS48" i="98"/>
  <c r="F21" i="136"/>
  <c r="FI47" i="98"/>
  <c r="F20" i="136"/>
  <c r="FI35" i="98"/>
  <c r="F8" i="136"/>
  <c r="FP41" i="98"/>
  <c r="H14" i="136" s="1"/>
  <c r="F14" i="136"/>
  <c r="BS49" i="98"/>
  <c r="F22" i="136"/>
  <c r="FP42" i="98"/>
  <c r="H15" i="136" s="1"/>
  <c r="F15" i="136"/>
  <c r="FI44" i="98"/>
  <c r="F17" i="136"/>
  <c r="FI38" i="98"/>
  <c r="F11" i="136"/>
  <c r="BS40" i="98"/>
  <c r="F13" i="136"/>
  <c r="BS37" i="98"/>
  <c r="F10" i="136"/>
  <c r="FI43" i="98"/>
  <c r="F16" i="136"/>
  <c r="BS45" i="98"/>
  <c r="F18" i="136"/>
  <c r="S169" i="1"/>
  <c r="S117" i="123"/>
  <c r="FI41" i="98"/>
  <c r="BS41" i="98"/>
  <c r="CK211" i="1"/>
  <c r="CK213" i="1"/>
  <c r="DJ87" i="1"/>
  <c r="CQ131" i="123"/>
  <c r="IC11" i="123" s="1"/>
  <c r="DM64" i="93"/>
  <c r="FI45" i="98"/>
  <c r="FP45" i="98"/>
  <c r="H18" i="136" s="1"/>
  <c r="FP38" i="98"/>
  <c r="H11" i="136" s="1"/>
  <c r="BS35" i="98"/>
  <c r="BS44" i="98"/>
  <c r="BS38" i="98"/>
  <c r="ED132" i="98"/>
  <c r="FP44" i="98"/>
  <c r="H17" i="136" s="1"/>
  <c r="BS50" i="98"/>
  <c r="FI50" i="98"/>
  <c r="FP46" i="98"/>
  <c r="H19" i="136" s="1"/>
  <c r="FI46" i="98"/>
  <c r="FP40" i="98"/>
  <c r="H13" i="136" s="1"/>
  <c r="BS43" i="98"/>
  <c r="FI39" i="98"/>
  <c r="FI51" i="98"/>
  <c r="BS39" i="98"/>
  <c r="FI37" i="98"/>
  <c r="FP35" i="98"/>
  <c r="H8" i="136" s="1"/>
  <c r="FP43" i="98"/>
  <c r="H16" i="136" s="1"/>
  <c r="FP37" i="98"/>
  <c r="H10" i="136" s="1"/>
  <c r="FI42" i="98"/>
  <c r="BS47" i="98"/>
  <c r="BS42" i="98"/>
  <c r="FP47" i="98"/>
  <c r="H20" i="136" s="1"/>
  <c r="FI40" i="98"/>
  <c r="FP49" i="98"/>
  <c r="H22" i="136" s="1"/>
  <c r="FP48" i="98"/>
  <c r="H21" i="136" s="1"/>
  <c r="FI48" i="98"/>
  <c r="FP51" i="98"/>
  <c r="H24" i="136" s="1"/>
  <c r="FI49" i="98"/>
  <c r="HG92" i="93"/>
  <c r="FC92" i="93"/>
  <c r="HG68" i="93"/>
  <c r="FC68" i="93"/>
  <c r="HG89" i="93"/>
  <c r="FC89" i="93"/>
  <c r="HG79" i="93"/>
  <c r="FC79" i="93"/>
  <c r="HG67" i="93"/>
  <c r="FB67" i="93" s="1"/>
  <c r="FC67" i="93"/>
  <c r="HG82" i="93"/>
  <c r="FC82" i="93"/>
  <c r="FC71" i="93"/>
  <c r="HG71" i="93"/>
  <c r="FC75" i="93"/>
  <c r="HG75" i="93"/>
  <c r="HG93" i="93"/>
  <c r="FB93" i="93" s="1"/>
  <c r="FC93" i="93"/>
  <c r="DU47" i="93"/>
  <c r="HG86" i="93"/>
  <c r="FC86" i="93"/>
  <c r="I28" i="71"/>
  <c r="I59" i="71"/>
  <c r="HG66" i="93"/>
  <c r="FC66" i="93"/>
  <c r="HG45" i="93"/>
  <c r="L43" i="93"/>
  <c r="BF99" i="97"/>
  <c r="AK99" i="97" s="1"/>
  <c r="EM62" i="93"/>
  <c r="HH64" i="93"/>
  <c r="HG77" i="93"/>
  <c r="FC77" i="93"/>
  <c r="DU46" i="93"/>
  <c r="FC87" i="93"/>
  <c r="HG87" i="93"/>
  <c r="J156" i="71"/>
  <c r="AX106" i="97"/>
  <c r="AY106" i="97"/>
  <c r="FC78" i="93"/>
  <c r="HG78" i="93"/>
  <c r="I29" i="71"/>
  <c r="HG90" i="93"/>
  <c r="FC90" i="93"/>
  <c r="HG65" i="93"/>
  <c r="FB65" i="93" s="1"/>
  <c r="FC65" i="93"/>
  <c r="AV100" i="97"/>
  <c r="I60" i="71"/>
  <c r="FC85" i="93"/>
  <c r="DU45" i="93"/>
  <c r="HG85" i="93"/>
  <c r="HG80" i="93"/>
  <c r="FC80" i="93"/>
  <c r="I131" i="71"/>
  <c r="K64" i="71"/>
  <c r="HG69" i="93"/>
  <c r="FB69" i="93" s="1"/>
  <c r="FC69" i="93"/>
  <c r="HG73" i="93"/>
  <c r="FC73" i="93"/>
  <c r="HG81" i="93"/>
  <c r="FC81" i="93"/>
  <c r="DU50" i="93"/>
  <c r="MZ56" i="93" s="1"/>
  <c r="M15" i="93"/>
  <c r="HG74" i="93"/>
  <c r="FC74" i="93"/>
  <c r="HG72" i="93"/>
  <c r="FC72" i="93"/>
  <c r="G153" i="71"/>
  <c r="AR99" i="97"/>
  <c r="J155" i="71"/>
  <c r="AY100" i="97"/>
  <c r="AX100" i="97"/>
  <c r="CY62" i="93"/>
  <c r="LD60" i="93" s="1"/>
  <c r="IF64" i="93"/>
  <c r="IF60" i="93" s="1"/>
  <c r="IE64" i="93"/>
  <c r="CW62" i="93"/>
  <c r="AR101" i="97"/>
  <c r="CK205" i="1"/>
  <c r="CK206" i="1"/>
  <c r="CK207" i="1"/>
  <c r="CK208" i="1"/>
  <c r="CK237" i="1"/>
  <c r="CK239" i="1"/>
  <c r="CK343" i="1"/>
  <c r="CK307" i="1"/>
  <c r="CK256" i="1"/>
  <c r="CK242" i="1"/>
  <c r="CK232" i="1"/>
  <c r="CK304" i="1"/>
  <c r="CK284" i="1"/>
  <c r="CK264" i="1"/>
  <c r="CK192" i="1"/>
  <c r="CK200" i="1"/>
  <c r="CK336" i="1"/>
  <c r="CK364" i="1"/>
  <c r="CK197" i="1"/>
  <c r="CK225" i="1"/>
  <c r="CK279" i="1"/>
  <c r="CK298" i="1"/>
  <c r="CK254" i="1"/>
  <c r="CK257" i="1"/>
  <c r="CK255" i="1"/>
  <c r="CK291" i="1"/>
  <c r="CK198" i="1"/>
  <c r="CK297" i="1"/>
  <c r="CK301" i="1"/>
  <c r="CK300" i="1"/>
  <c r="CK241" i="1"/>
  <c r="CK267" i="1"/>
  <c r="CK243" i="1"/>
  <c r="CK263" i="1"/>
  <c r="CK273" i="1"/>
  <c r="CK234" i="1"/>
  <c r="CK347" i="1"/>
  <c r="CK276" i="1"/>
  <c r="CK179" i="1"/>
  <c r="CK280" i="1"/>
  <c r="CK240" i="1"/>
  <c r="CK363" i="1"/>
  <c r="CK334" i="1"/>
  <c r="CK227" i="1"/>
  <c r="CK176" i="1"/>
  <c r="CK319" i="1"/>
  <c r="CK266" i="1"/>
  <c r="CK180" i="1"/>
  <c r="CK328" i="1"/>
  <c r="CK283" i="1"/>
  <c r="CK315" i="1"/>
  <c r="CK352" i="1"/>
  <c r="CK251" i="1"/>
  <c r="CK359" i="1"/>
  <c r="CK288" i="1"/>
  <c r="CK195" i="1"/>
  <c r="CK196" i="1"/>
  <c r="CK293" i="1"/>
  <c r="CK228" i="1"/>
  <c r="CK356" i="1"/>
  <c r="CK294" i="1"/>
  <c r="CK247" i="1"/>
  <c r="CK285" i="1"/>
  <c r="CK360" i="1"/>
  <c r="CK331" i="1"/>
  <c r="CK268" i="1"/>
  <c r="CK204" i="1"/>
  <c r="CK320" i="1"/>
  <c r="CK310" i="1"/>
  <c r="CK326" i="1"/>
  <c r="CK361" i="1"/>
  <c r="CK199" i="1"/>
  <c r="CK344" i="1"/>
  <c r="CK348" i="1"/>
  <c r="CK281" i="1"/>
  <c r="CK354" i="1"/>
  <c r="CK182" i="1"/>
  <c r="CK278" i="1"/>
  <c r="CK270" i="1"/>
  <c r="CK235" i="1"/>
  <c r="CK318" i="1"/>
  <c r="CK346" i="1"/>
  <c r="CK327" i="1"/>
  <c r="CK193" i="1"/>
  <c r="CK186" i="1"/>
  <c r="CK202" i="1"/>
  <c r="CK351" i="1"/>
  <c r="CK258" i="1"/>
  <c r="CK185" i="1"/>
  <c r="CK277" i="1"/>
  <c r="CK260" i="1"/>
  <c r="CK340" i="1"/>
  <c r="CK246" i="1"/>
  <c r="CK233" i="1"/>
  <c r="CK292" i="1"/>
  <c r="CK324" i="1"/>
  <c r="CK250" i="1"/>
  <c r="CK341" i="1"/>
  <c r="CK317" i="1"/>
  <c r="CK230" i="1"/>
  <c r="CK299" i="1"/>
  <c r="CK316" i="1"/>
  <c r="CK223" i="1"/>
  <c r="CK236" i="1"/>
  <c r="CK362" i="1"/>
  <c r="CK306" i="1"/>
  <c r="CK345" i="1"/>
  <c r="CK358" i="1"/>
  <c r="CK177" i="1"/>
  <c r="CK303" i="1"/>
  <c r="CK338" i="1"/>
  <c r="CK189" i="1"/>
  <c r="CK305" i="1"/>
  <c r="CK274" i="1"/>
  <c r="CK229" i="1"/>
  <c r="CK308" i="1"/>
  <c r="CK355" i="1"/>
  <c r="CK224" i="1"/>
  <c r="CK245" i="1"/>
  <c r="CK311" i="1"/>
  <c r="CK265" i="1"/>
  <c r="CK290" i="1"/>
  <c r="CK261" i="1"/>
  <c r="CK353" i="1"/>
  <c r="CK314" i="1"/>
  <c r="CK321" i="1"/>
  <c r="CK183" i="1"/>
  <c r="CK272" i="1"/>
  <c r="CK244" i="1"/>
  <c r="CK309" i="1"/>
  <c r="CK350" i="1"/>
  <c r="CK203" i="1"/>
  <c r="CK349" i="1"/>
  <c r="CK252" i="1"/>
  <c r="CK226" i="1"/>
  <c r="CK275" i="1"/>
  <c r="CK325" i="1"/>
  <c r="CK337" i="1"/>
  <c r="CK322" i="1"/>
  <c r="CK269" i="1"/>
  <c r="CK333" i="1"/>
  <c r="CK190" i="1"/>
  <c r="CK312" i="1"/>
  <c r="CK249" i="1"/>
  <c r="CK181" i="1"/>
  <c r="CK191" i="1"/>
  <c r="CK286" i="1"/>
  <c r="CK262" i="1"/>
  <c r="CK175" i="1"/>
  <c r="CK357" i="1"/>
  <c r="CK313" i="1"/>
  <c r="CK332" i="1"/>
  <c r="CK220" i="1"/>
  <c r="CK253" i="1"/>
  <c r="CK289" i="1"/>
  <c r="AF72" i="130"/>
  <c r="CM72" i="130" s="1"/>
  <c r="L72" i="130"/>
  <c r="CK72" i="130" s="1"/>
  <c r="V72" i="130"/>
  <c r="CL72" i="130" s="1"/>
  <c r="BJ72" i="130"/>
  <c r="CP72" i="130" s="1"/>
  <c r="AZ72" i="130"/>
  <c r="CO72" i="130" s="1"/>
  <c r="DZ64" i="93"/>
  <c r="BT72" i="130"/>
  <c r="CQ72" i="130" s="1"/>
  <c r="AP72" i="130"/>
  <c r="CN72" i="130" s="1"/>
  <c r="Q31" i="57"/>
  <c r="T31" i="57" s="1"/>
  <c r="F25" i="57"/>
  <c r="CL188" i="1" l="1"/>
  <c r="X188" i="1" s="1"/>
  <c r="CL178" i="1"/>
  <c r="X178" i="1" s="1"/>
  <c r="CL184" i="1"/>
  <c r="X184" i="1" s="1"/>
  <c r="CL296" i="1"/>
  <c r="X296" i="1" s="1"/>
  <c r="CL271" i="1"/>
  <c r="X271" i="1" s="1"/>
  <c r="CL259" i="1"/>
  <c r="X259" i="1" s="1"/>
  <c r="CL282" i="1"/>
  <c r="X282" i="1" s="1"/>
  <c r="CL248" i="1"/>
  <c r="X248" i="1" s="1"/>
  <c r="CL295" i="1"/>
  <c r="X295" i="1" s="1"/>
  <c r="CL287" i="1"/>
  <c r="X287" i="1" s="1"/>
  <c r="CL323" i="1"/>
  <c r="X323" i="1" s="1"/>
  <c r="CL187" i="1"/>
  <c r="X187" i="1" s="1"/>
  <c r="CL174" i="1"/>
  <c r="X174" i="1" s="1"/>
  <c r="CL330" i="1"/>
  <c r="X330" i="1" s="1"/>
  <c r="CL302" i="1"/>
  <c r="X302" i="1" s="1"/>
  <c r="CL222" i="1"/>
  <c r="X222" i="1" s="1"/>
  <c r="CL194" i="1"/>
  <c r="X194" i="1" s="1"/>
  <c r="CL329" i="1"/>
  <c r="X329" i="1" s="1"/>
  <c r="CL221" i="1"/>
  <c r="X221" i="1" s="1"/>
  <c r="CL201" i="1"/>
  <c r="X201" i="1" s="1"/>
  <c r="CL231" i="1"/>
  <c r="X231" i="1" s="1"/>
  <c r="CL238" i="1"/>
  <c r="X238" i="1" s="1"/>
  <c r="CL173" i="1"/>
  <c r="X173" i="1" s="1"/>
  <c r="CL339" i="1"/>
  <c r="X339" i="1" s="1"/>
  <c r="CL342" i="1"/>
  <c r="X342" i="1" s="1"/>
  <c r="CL335" i="1"/>
  <c r="X335" i="1" s="1"/>
  <c r="ID5" i="123"/>
  <c r="IE5" i="123"/>
  <c r="IE11" i="123"/>
  <c r="IB11" i="123"/>
  <c r="IB5" i="123"/>
  <c r="IC5" i="123"/>
  <c r="ID11" i="123"/>
  <c r="HH60" i="93"/>
  <c r="FA64" i="93"/>
  <c r="FA62" i="93" s="1"/>
  <c r="CL219" i="1"/>
  <c r="X219" i="1" s="1"/>
  <c r="AJ219" i="1" s="1"/>
  <c r="AK219" i="1" s="1"/>
  <c r="CL209" i="1"/>
  <c r="X209" i="1" s="1"/>
  <c r="J63" i="71"/>
  <c r="CL214" i="1"/>
  <c r="X214" i="1" s="1"/>
  <c r="CL217" i="1"/>
  <c r="X217" i="1" s="1"/>
  <c r="AJ217" i="1" s="1"/>
  <c r="AK217" i="1" s="1"/>
  <c r="CL210" i="1"/>
  <c r="X210" i="1" s="1"/>
  <c r="CL212" i="1"/>
  <c r="X212" i="1" s="1"/>
  <c r="AJ212" i="1" s="1"/>
  <c r="AK212" i="1" s="1"/>
  <c r="CL216" i="1"/>
  <c r="X216" i="1" s="1"/>
  <c r="AJ216" i="1" s="1"/>
  <c r="AK216" i="1" s="1"/>
  <c r="CL218" i="1"/>
  <c r="X218" i="1" s="1"/>
  <c r="AJ218" i="1" s="1"/>
  <c r="AK218" i="1" s="1"/>
  <c r="K131" i="71"/>
  <c r="M131" i="71" s="1"/>
  <c r="Q3" i="127"/>
  <c r="K3" i="127" s="1"/>
  <c r="T3" i="127" s="1"/>
  <c r="I3" i="129"/>
  <c r="C3" i="129" s="1"/>
  <c r="P3" i="115"/>
  <c r="C3" i="115" s="1"/>
  <c r="U3" i="135"/>
  <c r="B3" i="135" s="1"/>
  <c r="P3" i="136"/>
  <c r="E3" i="136" s="1"/>
  <c r="IT11" i="123"/>
  <c r="IQ11" i="123"/>
  <c r="IU11" i="123"/>
  <c r="JC11" i="123"/>
  <c r="IZ11" i="123"/>
  <c r="IH11" i="123"/>
  <c r="II11" i="123"/>
  <c r="IL11" i="123"/>
  <c r="IN11" i="123"/>
  <c r="IR11" i="123"/>
  <c r="IO11" i="123"/>
  <c r="IX11" i="123"/>
  <c r="IW11" i="123"/>
  <c r="JB11" i="123"/>
  <c r="IS11" i="123"/>
  <c r="IP11" i="123"/>
  <c r="IJ11" i="123"/>
  <c r="JA11" i="123"/>
  <c r="IK11" i="123"/>
  <c r="IM11" i="123"/>
  <c r="IV11" i="123"/>
  <c r="IG11" i="123"/>
  <c r="IF11" i="123"/>
  <c r="IY11" i="123"/>
  <c r="CO30" i="98"/>
  <c r="H156" i="71"/>
  <c r="GB3" i="123"/>
  <c r="IK3" i="123"/>
  <c r="HX3" i="123"/>
  <c r="FQ3" i="123"/>
  <c r="IL3" i="123"/>
  <c r="IC3" i="123"/>
  <c r="FV3" i="123"/>
  <c r="FU3" i="123"/>
  <c r="IU3" i="123"/>
  <c r="GF3" i="123"/>
  <c r="GN3" i="123"/>
  <c r="HV3" i="123"/>
  <c r="GG3" i="123"/>
  <c r="HU3" i="123"/>
  <c r="GC3" i="123"/>
  <c r="IH3" i="123"/>
  <c r="IQ3" i="123"/>
  <c r="GJ3" i="123"/>
  <c r="FZ3" i="123"/>
  <c r="HF3" i="123"/>
  <c r="GS3" i="123"/>
  <c r="HE3" i="123"/>
  <c r="EH3" i="123"/>
  <c r="IF3" i="123"/>
  <c r="HT3" i="123"/>
  <c r="HS3" i="123"/>
  <c r="EQ3" i="123"/>
  <c r="GD3" i="123"/>
  <c r="FI3" i="123"/>
  <c r="HL3" i="123"/>
  <c r="FE3" i="123"/>
  <c r="IX3" i="123"/>
  <c r="HD3" i="123"/>
  <c r="EJ3" i="123"/>
  <c r="IT3" i="123"/>
  <c r="IP3" i="123"/>
  <c r="HG3" i="123"/>
  <c r="FJ3" i="123"/>
  <c r="FN3" i="123"/>
  <c r="FR3" i="123"/>
  <c r="EL3" i="123"/>
  <c r="GZ3" i="123"/>
  <c r="FG3" i="123"/>
  <c r="FK3" i="123"/>
  <c r="FO3" i="123"/>
  <c r="HR3" i="123"/>
  <c r="HB3" i="123"/>
  <c r="HW3" i="123"/>
  <c r="GH3" i="123"/>
  <c r="GL3" i="123"/>
  <c r="GP3" i="123"/>
  <c r="EK3" i="123"/>
  <c r="HH3" i="123"/>
  <c r="HQ3" i="123"/>
  <c r="HA3" i="123"/>
  <c r="JC3" i="123"/>
  <c r="GE3" i="123"/>
  <c r="GI3" i="123"/>
  <c r="GM3" i="123"/>
  <c r="EP3" i="123"/>
  <c r="IY3" i="123"/>
  <c r="IM3" i="123"/>
  <c r="II3" i="123"/>
  <c r="IJ3" i="123"/>
  <c r="GV3" i="123"/>
  <c r="JA3" i="123"/>
  <c r="IW3" i="123"/>
  <c r="IS3" i="123"/>
  <c r="GO3" i="123"/>
  <c r="ET3" i="123"/>
  <c r="EY3" i="123"/>
  <c r="FC3" i="123"/>
  <c r="GU3" i="123"/>
  <c r="IA3" i="123"/>
  <c r="GK3" i="123"/>
  <c r="EU3" i="123"/>
  <c r="EZ3" i="123"/>
  <c r="HN3" i="123"/>
  <c r="GX3" i="123"/>
  <c r="HK3" i="123"/>
  <c r="FS3" i="123"/>
  <c r="FW3" i="123"/>
  <c r="GA3" i="123"/>
  <c r="ER3" i="123"/>
  <c r="FY3" i="123"/>
  <c r="HM3" i="123"/>
  <c r="GW3" i="123"/>
  <c r="JB3" i="123"/>
  <c r="FP3" i="123"/>
  <c r="FT3" i="123"/>
  <c r="FX3" i="123"/>
  <c r="ES3" i="123"/>
  <c r="IZ3" i="123"/>
  <c r="HZ3" i="123"/>
  <c r="IG3" i="123"/>
  <c r="IO3" i="123"/>
  <c r="HO3" i="123"/>
  <c r="IV3" i="123"/>
  <c r="IR3" i="123"/>
  <c r="IE3" i="123"/>
  <c r="GQ3" i="123"/>
  <c r="FA3" i="123"/>
  <c r="FM3" i="123"/>
  <c r="EI3" i="123"/>
  <c r="HP3" i="123"/>
  <c r="HC3" i="123"/>
  <c r="GR3" i="123"/>
  <c r="EW3" i="123"/>
  <c r="EM3" i="123"/>
  <c r="HJ3" i="123"/>
  <c r="GT3" i="123"/>
  <c r="GY3" i="123"/>
  <c r="FD3" i="123"/>
  <c r="FH3" i="123"/>
  <c r="FL3" i="123"/>
  <c r="EO3" i="123"/>
  <c r="EN3" i="123"/>
  <c r="HI3" i="123"/>
  <c r="IN3" i="123"/>
  <c r="EV3" i="123"/>
  <c r="EX3" i="123"/>
  <c r="FB3" i="123"/>
  <c r="FF3" i="123"/>
  <c r="EG3" i="123"/>
  <c r="HY3" i="123"/>
  <c r="ID3" i="123"/>
  <c r="I23" i="71"/>
  <c r="I126" i="71" s="1"/>
  <c r="K126" i="71" s="1"/>
  <c r="X131" i="123"/>
  <c r="DH131" i="123" s="1"/>
  <c r="DI131" i="123" s="1"/>
  <c r="IG5" i="123"/>
  <c r="IT5" i="123"/>
  <c r="IO5" i="123"/>
  <c r="IH5" i="123"/>
  <c r="IF5" i="123"/>
  <c r="IP5" i="123"/>
  <c r="IW5" i="123"/>
  <c r="IU5" i="123"/>
  <c r="IX5" i="123"/>
  <c r="JB5" i="123"/>
  <c r="IS5" i="123"/>
  <c r="IL5" i="123"/>
  <c r="IY5" i="123"/>
  <c r="JA5" i="123"/>
  <c r="IR5" i="123"/>
  <c r="II5" i="123"/>
  <c r="IJ5" i="123"/>
  <c r="IK5" i="123"/>
  <c r="JC5" i="123"/>
  <c r="IZ5" i="123"/>
  <c r="IM5" i="123"/>
  <c r="IQ5" i="123"/>
  <c r="IN5" i="123"/>
  <c r="IV5" i="123"/>
  <c r="S163" i="1"/>
  <c r="AU103" i="97" s="1"/>
  <c r="CL213" i="1"/>
  <c r="X213" i="1" s="1"/>
  <c r="AJ213" i="1" s="1"/>
  <c r="AK213" i="1" s="1"/>
  <c r="CL215" i="1"/>
  <c r="X215" i="1" s="1"/>
  <c r="AJ215" i="1" s="1"/>
  <c r="AK215" i="1" s="1"/>
  <c r="CJ72" i="130"/>
  <c r="CL211" i="1"/>
  <c r="X211" i="1" s="1"/>
  <c r="AJ211" i="1" s="1"/>
  <c r="AK211" i="1" s="1"/>
  <c r="BS27" i="98"/>
  <c r="ED129" i="98" s="1"/>
  <c r="K19" i="71"/>
  <c r="H155" i="71"/>
  <c r="AR96" i="97"/>
  <c r="AR94" i="97" s="1"/>
  <c r="AY101" i="97"/>
  <c r="AX101" i="97"/>
  <c r="AX99" i="97"/>
  <c r="AY99" i="97"/>
  <c r="HJ65" i="93"/>
  <c r="HL65" i="93" s="1"/>
  <c r="FB78" i="93"/>
  <c r="HJ78" i="93"/>
  <c r="HL78" i="93" s="1"/>
  <c r="HG43" i="93"/>
  <c r="HJ45" i="93"/>
  <c r="O28" i="71"/>
  <c r="P28" i="71"/>
  <c r="M28" i="71"/>
  <c r="HJ75" i="93"/>
  <c r="HL75" i="93" s="1"/>
  <c r="HK75" i="93"/>
  <c r="GX64" i="93"/>
  <c r="J17" i="71"/>
  <c r="J129" i="71" s="1"/>
  <c r="IE60" i="93"/>
  <c r="H153" i="71"/>
  <c r="J153" i="71"/>
  <c r="HJ74" i="93"/>
  <c r="HL74" i="93" s="1"/>
  <c r="HJ81" i="93"/>
  <c r="HL81" i="93" s="1"/>
  <c r="HJ69" i="93"/>
  <c r="HL69" i="93" s="1"/>
  <c r="HJ80" i="93"/>
  <c r="HL80" i="93" s="1"/>
  <c r="I127" i="71"/>
  <c r="K127" i="71" s="1"/>
  <c r="K60" i="71"/>
  <c r="K18" i="71"/>
  <c r="HJ93" i="93"/>
  <c r="HL93" i="93" s="1"/>
  <c r="HJ82" i="93"/>
  <c r="HL82" i="93" s="1"/>
  <c r="FB79" i="93"/>
  <c r="HJ79" i="93"/>
  <c r="HL79" i="93" s="1"/>
  <c r="HJ68" i="93"/>
  <c r="HL68" i="93" s="1"/>
  <c r="O15" i="93"/>
  <c r="H15" i="93"/>
  <c r="I15" i="93" s="1"/>
  <c r="L15" i="93" s="1"/>
  <c r="HJ85" i="93"/>
  <c r="HL85" i="93" s="1"/>
  <c r="AV101" i="97"/>
  <c r="AO100" i="97"/>
  <c r="M156" i="71" s="1"/>
  <c r="AZ100" i="97"/>
  <c r="AJ100" i="97"/>
  <c r="AM100" i="97" s="1"/>
  <c r="I156" i="71"/>
  <c r="K156" i="71" s="1"/>
  <c r="BA100" i="97"/>
  <c r="BB100" i="97"/>
  <c r="O156" i="71" s="1"/>
  <c r="HJ90" i="93"/>
  <c r="HL90" i="93" s="1"/>
  <c r="HJ66" i="93"/>
  <c r="HL66" i="93" s="1"/>
  <c r="HJ86" i="93"/>
  <c r="HL86" i="93" s="1"/>
  <c r="FB86" i="93"/>
  <c r="HJ71" i="93"/>
  <c r="HL71" i="93" s="1"/>
  <c r="HJ72" i="93"/>
  <c r="HL72" i="93" s="1"/>
  <c r="HJ73" i="93"/>
  <c r="HL73" i="93" s="1"/>
  <c r="M29" i="71"/>
  <c r="P29" i="71"/>
  <c r="O29" i="71"/>
  <c r="HJ87" i="93"/>
  <c r="HL87" i="93" s="1"/>
  <c r="HJ77" i="93"/>
  <c r="HL77" i="93" s="1"/>
  <c r="K59" i="71"/>
  <c r="H154" i="71"/>
  <c r="HJ67" i="93"/>
  <c r="HL67" i="93" s="1"/>
  <c r="HJ89" i="93"/>
  <c r="HL89" i="93" s="1"/>
  <c r="HJ92" i="93"/>
  <c r="HL92" i="93" s="1"/>
  <c r="CL205" i="1"/>
  <c r="CL206" i="1"/>
  <c r="X206" i="1" s="1"/>
  <c r="AJ206" i="1" s="1"/>
  <c r="AK206" i="1" s="1"/>
  <c r="CL207" i="1"/>
  <c r="X207" i="1" s="1"/>
  <c r="AJ207" i="1" s="1"/>
  <c r="AK207" i="1" s="1"/>
  <c r="CL208" i="1"/>
  <c r="X208" i="1" s="1"/>
  <c r="AJ208" i="1" s="1"/>
  <c r="AK208" i="1" s="1"/>
  <c r="CL270" i="1"/>
  <c r="CL340" i="1"/>
  <c r="CL354" i="1"/>
  <c r="CL349" i="1"/>
  <c r="CL204" i="1"/>
  <c r="CL228" i="1"/>
  <c r="CL310" i="1"/>
  <c r="CL191" i="1"/>
  <c r="CL336" i="1"/>
  <c r="CL224" i="1"/>
  <c r="CL235" i="1"/>
  <c r="CL229" i="1"/>
  <c r="CL245" i="1"/>
  <c r="CL234" i="1"/>
  <c r="CL180" i="1"/>
  <c r="CL278" i="1"/>
  <c r="CL363" i="1"/>
  <c r="CL358" i="1"/>
  <c r="CL263" i="1"/>
  <c r="CL244" i="1"/>
  <c r="CL223" i="1"/>
  <c r="CL289" i="1"/>
  <c r="CL293" i="1"/>
  <c r="CL308" i="1"/>
  <c r="CL247" i="1"/>
  <c r="CL299" i="1"/>
  <c r="CL275" i="1"/>
  <c r="CL319" i="1"/>
  <c r="CL243" i="1"/>
  <c r="CL325" i="1"/>
  <c r="CL190" i="1"/>
  <c r="CL351" i="1"/>
  <c r="CL291" i="1"/>
  <c r="CL202" i="1"/>
  <c r="CL288" i="1"/>
  <c r="CL315" i="1"/>
  <c r="CL176" i="1"/>
  <c r="CL265" i="1"/>
  <c r="CL246" i="1"/>
  <c r="CL364" i="1"/>
  <c r="CL237" i="1"/>
  <c r="CL290" i="1"/>
  <c r="CL301" i="1"/>
  <c r="CL305" i="1"/>
  <c r="CL318" i="1"/>
  <c r="CL338" i="1"/>
  <c r="CL251" i="1"/>
  <c r="CL337" i="1"/>
  <c r="CL279" i="1"/>
  <c r="CL186" i="1"/>
  <c r="CL253" i="1"/>
  <c r="CL236" i="1"/>
  <c r="CL277" i="1"/>
  <c r="CL225" i="1"/>
  <c r="CL333" i="1"/>
  <c r="CL256" i="1"/>
  <c r="CL345" i="1"/>
  <c r="CL203" i="1"/>
  <c r="CL326" i="1"/>
  <c r="CL359" i="1"/>
  <c r="CL242" i="1"/>
  <c r="CL334" i="1"/>
  <c r="CL182" i="1"/>
  <c r="CL297" i="1"/>
  <c r="CL240" i="1"/>
  <c r="CL286" i="1"/>
  <c r="CL197" i="1"/>
  <c r="CL232" i="1"/>
  <c r="CL195" i="1"/>
  <c r="CL258" i="1"/>
  <c r="CL241" i="1"/>
  <c r="CL183" i="1"/>
  <c r="CL177" i="1"/>
  <c r="CL357" i="1"/>
  <c r="CL199" i="1"/>
  <c r="CL332" i="1"/>
  <c r="CL317" i="1"/>
  <c r="CL261" i="1"/>
  <c r="CL280" i="1"/>
  <c r="CL350" i="1"/>
  <c r="CL331" i="1"/>
  <c r="CL327" i="1"/>
  <c r="CL262" i="1"/>
  <c r="CL352" i="1"/>
  <c r="CL189" i="1"/>
  <c r="CL304" i="1"/>
  <c r="CL272" i="1"/>
  <c r="CL193" i="1"/>
  <c r="CL361" i="1"/>
  <c r="CL314" i="1"/>
  <c r="CL303" i="1"/>
  <c r="CL267" i="1"/>
  <c r="CL313" i="1"/>
  <c r="CL298" i="1"/>
  <c r="CL322" i="1"/>
  <c r="CL285" i="1"/>
  <c r="CL294" i="1"/>
  <c r="CL257" i="1"/>
  <c r="CL309" i="1"/>
  <c r="CL276" i="1"/>
  <c r="CL200" i="1"/>
  <c r="CL198" i="1"/>
  <c r="CL185" i="1"/>
  <c r="CL312" i="1"/>
  <c r="CL269" i="1"/>
  <c r="CL316" i="1"/>
  <c r="CL233" i="1"/>
  <c r="CL355" i="1"/>
  <c r="CL321" i="1"/>
  <c r="CL273" i="1"/>
  <c r="CL362" i="1"/>
  <c r="CL175" i="1"/>
  <c r="CL353" i="1"/>
  <c r="CL179" i="1"/>
  <c r="CL250" i="1"/>
  <c r="CL360" i="1"/>
  <c r="CL341" i="1"/>
  <c r="CL249" i="1"/>
  <c r="CL356" i="1"/>
  <c r="CL292" i="1"/>
  <c r="CL264" i="1"/>
  <c r="CL344" i="1"/>
  <c r="CL324" i="1"/>
  <c r="CL227" i="1"/>
  <c r="CL239" i="1"/>
  <c r="CL181" i="1"/>
  <c r="CL346" i="1"/>
  <c r="CL192" i="1"/>
  <c r="CL252" i="1"/>
  <c r="CL274" i="1"/>
  <c r="CL283" i="1"/>
  <c r="CL320" i="1"/>
  <c r="CL347" i="1"/>
  <c r="CL254" i="1"/>
  <c r="CL266" i="1"/>
  <c r="CL230" i="1"/>
  <c r="CL348" i="1"/>
  <c r="CL226" i="1"/>
  <c r="CL281" i="1"/>
  <c r="CL255" i="1"/>
  <c r="CL260" i="1"/>
  <c r="CL306" i="1"/>
  <c r="CL343" i="1"/>
  <c r="CL268" i="1"/>
  <c r="CL300" i="1"/>
  <c r="CL196" i="1"/>
  <c r="CL311" i="1"/>
  <c r="CL328" i="1"/>
  <c r="CL284" i="1"/>
  <c r="CL220" i="1"/>
  <c r="CL307" i="1"/>
  <c r="DM62" i="93"/>
  <c r="DU64" i="93"/>
  <c r="AV113" i="97" s="1"/>
  <c r="AZ113" i="97" s="1"/>
  <c r="DZ62" i="93"/>
  <c r="I22" i="71"/>
  <c r="AB31" i="57"/>
  <c r="BB31" i="57" s="1"/>
  <c r="BJ31" i="57"/>
  <c r="BI31" i="57"/>
  <c r="AK31" i="57" s="1"/>
  <c r="U31" i="57"/>
  <c r="AF31" i="57" s="1"/>
  <c r="AE31" i="57"/>
  <c r="I25" i="57"/>
  <c r="HK66" i="93" l="1"/>
  <c r="AJ339" i="1"/>
  <c r="AK339" i="1" s="1"/>
  <c r="W339" i="1"/>
  <c r="AJ201" i="1"/>
  <c r="AK201" i="1" s="1"/>
  <c r="W201" i="1"/>
  <c r="AJ222" i="1"/>
  <c r="AK222" i="1" s="1"/>
  <c r="W222" i="1"/>
  <c r="AJ187" i="1"/>
  <c r="AK187" i="1" s="1"/>
  <c r="W187" i="1"/>
  <c r="AJ248" i="1"/>
  <c r="AK248" i="1" s="1"/>
  <c r="W248" i="1"/>
  <c r="AJ296" i="1"/>
  <c r="AK296" i="1" s="1"/>
  <c r="W296" i="1"/>
  <c r="AJ173" i="1"/>
  <c r="AK173" i="1" s="1"/>
  <c r="W173" i="1"/>
  <c r="AJ221" i="1"/>
  <c r="AK221" i="1" s="1"/>
  <c r="W221" i="1"/>
  <c r="AJ302" i="1"/>
  <c r="AK302" i="1" s="1"/>
  <c r="W302" i="1"/>
  <c r="AJ323" i="1"/>
  <c r="AK323" i="1" s="1"/>
  <c r="W323" i="1"/>
  <c r="AJ282" i="1"/>
  <c r="AK282" i="1" s="1"/>
  <c r="W282" i="1"/>
  <c r="AJ184" i="1"/>
  <c r="AK184" i="1" s="1"/>
  <c r="W184" i="1"/>
  <c r="AJ335" i="1"/>
  <c r="AK335" i="1" s="1"/>
  <c r="W335" i="1"/>
  <c r="AJ238" i="1"/>
  <c r="AK238" i="1" s="1"/>
  <c r="W238" i="1"/>
  <c r="AJ329" i="1"/>
  <c r="AK329" i="1" s="1"/>
  <c r="W329" i="1"/>
  <c r="AJ330" i="1"/>
  <c r="AK330" i="1" s="1"/>
  <c r="W330" i="1"/>
  <c r="AJ287" i="1"/>
  <c r="AK287" i="1" s="1"/>
  <c r="W287" i="1"/>
  <c r="AJ259" i="1"/>
  <c r="AK259" i="1" s="1"/>
  <c r="W259" i="1"/>
  <c r="AJ178" i="1"/>
  <c r="AK178" i="1" s="1"/>
  <c r="W178" i="1"/>
  <c r="AJ342" i="1"/>
  <c r="AK342" i="1" s="1"/>
  <c r="CZ342" i="1"/>
  <c r="DA342" i="1" s="1"/>
  <c r="W342" i="1"/>
  <c r="AJ231" i="1"/>
  <c r="AK231" i="1" s="1"/>
  <c r="W231" i="1"/>
  <c r="AJ194" i="1"/>
  <c r="AK194" i="1" s="1"/>
  <c r="W194" i="1"/>
  <c r="AJ174" i="1"/>
  <c r="AK174" i="1" s="1"/>
  <c r="W174" i="1"/>
  <c r="AJ295" i="1"/>
  <c r="AK295" i="1" s="1"/>
  <c r="W295" i="1"/>
  <c r="AJ271" i="1"/>
  <c r="AK271" i="1" s="1"/>
  <c r="W271" i="1"/>
  <c r="AJ188" i="1"/>
  <c r="AK188" i="1" s="1"/>
  <c r="W188" i="1"/>
  <c r="BB113" i="97"/>
  <c r="BA113" i="97"/>
  <c r="AJ113" i="97"/>
  <c r="AM113" i="97" s="1"/>
  <c r="AN113" i="97" s="1"/>
  <c r="W219" i="1"/>
  <c r="R62" i="98" s="1"/>
  <c r="Q62" i="98"/>
  <c r="CZ219" i="1"/>
  <c r="DA219" i="1" s="1"/>
  <c r="AJ209" i="1"/>
  <c r="AK209" i="1" s="1"/>
  <c r="W209" i="1"/>
  <c r="CZ209" i="1"/>
  <c r="DA209" i="1" s="1"/>
  <c r="W214" i="1"/>
  <c r="AJ214" i="1"/>
  <c r="AK214" i="1" s="1"/>
  <c r="CZ210" i="1"/>
  <c r="DA210" i="1" s="1"/>
  <c r="AJ210" i="1"/>
  <c r="AK210" i="1" s="1"/>
  <c r="A3" i="127"/>
  <c r="B3" i="127" s="1"/>
  <c r="CZ214" i="1"/>
  <c r="DA214" i="1" s="1"/>
  <c r="W217" i="1"/>
  <c r="CZ217" i="1"/>
  <c r="DA217" i="1" s="1"/>
  <c r="W210" i="1"/>
  <c r="W212" i="1"/>
  <c r="CZ212" i="1"/>
  <c r="DA212" i="1" s="1"/>
  <c r="W218" i="1"/>
  <c r="CZ218" i="1"/>
  <c r="DA218" i="1" s="1"/>
  <c r="W216" i="1"/>
  <c r="CZ216" i="1"/>
  <c r="DA216" i="1" s="1"/>
  <c r="M3" i="127"/>
  <c r="B3" i="129"/>
  <c r="F3" i="129"/>
  <c r="L3" i="129"/>
  <c r="D3" i="129" s="1"/>
  <c r="M3" i="129"/>
  <c r="E3" i="129" s="1"/>
  <c r="A3" i="129"/>
  <c r="B3" i="115"/>
  <c r="E3" i="115"/>
  <c r="A3" i="115"/>
  <c r="C3" i="127"/>
  <c r="D3" i="127"/>
  <c r="J3" i="127"/>
  <c r="L3" i="127"/>
  <c r="U3" i="127" s="1"/>
  <c r="M3" i="136"/>
  <c r="U3" i="136" s="1"/>
  <c r="K3" i="136"/>
  <c r="T3" i="136" s="1"/>
  <c r="A3" i="136"/>
  <c r="F3" i="135"/>
  <c r="M3" i="135"/>
  <c r="R3" i="136"/>
  <c r="B3" i="136" s="1"/>
  <c r="L3" i="136"/>
  <c r="S3" i="136"/>
  <c r="C3" i="136" s="1"/>
  <c r="D3" i="136"/>
  <c r="X3" i="135"/>
  <c r="E3" i="135" s="1"/>
  <c r="Q3" i="135"/>
  <c r="Z3" i="135" s="1"/>
  <c r="L3" i="135"/>
  <c r="Y3" i="135" s="1"/>
  <c r="C3" i="135"/>
  <c r="W3" i="135"/>
  <c r="D3" i="135" s="1"/>
  <c r="A3" i="135"/>
  <c r="DP131" i="123"/>
  <c r="DP130" i="123" s="1"/>
  <c r="J67" i="71"/>
  <c r="J134" i="71" s="1"/>
  <c r="X126" i="123"/>
  <c r="I128" i="71"/>
  <c r="K128" i="71" s="1"/>
  <c r="X120" i="123"/>
  <c r="X119" i="123" s="1"/>
  <c r="GN3" i="1"/>
  <c r="HX3" i="1" s="1"/>
  <c r="HX156" i="1" s="1"/>
  <c r="E36" i="93"/>
  <c r="M36" i="93" s="1"/>
  <c r="HH39" i="93" s="1"/>
  <c r="HG19" i="93" s="1"/>
  <c r="S161" i="1"/>
  <c r="FX13" i="98" s="1"/>
  <c r="HK86" i="93"/>
  <c r="HK82" i="93"/>
  <c r="CZ213" i="1"/>
  <c r="DA213" i="1" s="1"/>
  <c r="W213" i="1"/>
  <c r="W215" i="1"/>
  <c r="CZ215" i="1"/>
  <c r="DA215" i="1" s="1"/>
  <c r="W211" i="1"/>
  <c r="CZ211" i="1"/>
  <c r="DA211" i="1" s="1"/>
  <c r="AN100" i="97"/>
  <c r="HK80" i="93"/>
  <c r="HK78" i="93"/>
  <c r="HK73" i="93"/>
  <c r="HK89" i="93"/>
  <c r="HK90" i="93"/>
  <c r="HK93" i="93"/>
  <c r="HK81" i="93"/>
  <c r="HK77" i="93"/>
  <c r="HK68" i="93"/>
  <c r="HK87" i="93"/>
  <c r="HK72" i="93"/>
  <c r="HK71" i="93"/>
  <c r="I155" i="71"/>
  <c r="K155" i="71" s="1"/>
  <c r="AZ101" i="97"/>
  <c r="BB101" i="97"/>
  <c r="O155" i="71" s="1"/>
  <c r="BA101" i="97"/>
  <c r="AJ101" i="97"/>
  <c r="AM101" i="97" s="1"/>
  <c r="HK79" i="93"/>
  <c r="HK69" i="93"/>
  <c r="HK74" i="93"/>
  <c r="HK45" i="93"/>
  <c r="HJ43" i="93"/>
  <c r="HK92" i="93"/>
  <c r="HK67" i="93"/>
  <c r="HK85" i="93"/>
  <c r="HK65" i="93"/>
  <c r="X220" i="1"/>
  <c r="AJ220" i="1" s="1"/>
  <c r="AK220" i="1" s="1"/>
  <c r="X196" i="1"/>
  <c r="AJ196" i="1" s="1"/>
  <c r="AK196" i="1" s="1"/>
  <c r="X306" i="1"/>
  <c r="AJ306" i="1" s="1"/>
  <c r="AK306" i="1" s="1"/>
  <c r="X226" i="1"/>
  <c r="AJ226" i="1" s="1"/>
  <c r="AK226" i="1" s="1"/>
  <c r="X254" i="1"/>
  <c r="AJ254" i="1" s="1"/>
  <c r="AK254" i="1" s="1"/>
  <c r="X274" i="1"/>
  <c r="AJ274" i="1" s="1"/>
  <c r="AK274" i="1" s="1"/>
  <c r="X181" i="1"/>
  <c r="AJ181" i="1" s="1"/>
  <c r="AK181" i="1" s="1"/>
  <c r="X344" i="1"/>
  <c r="AJ344" i="1" s="1"/>
  <c r="AK344" i="1" s="1"/>
  <c r="X249" i="1"/>
  <c r="AJ249" i="1" s="1"/>
  <c r="AK249" i="1" s="1"/>
  <c r="X179" i="1"/>
  <c r="AJ179" i="1" s="1"/>
  <c r="AK179" i="1" s="1"/>
  <c r="X273" i="1"/>
  <c r="AJ273" i="1" s="1"/>
  <c r="AK273" i="1" s="1"/>
  <c r="X316" i="1"/>
  <c r="AJ316" i="1" s="1"/>
  <c r="AK316" i="1" s="1"/>
  <c r="X309" i="1"/>
  <c r="AJ309" i="1" s="1"/>
  <c r="AK309" i="1" s="1"/>
  <c r="X285" i="1"/>
  <c r="AJ285" i="1" s="1"/>
  <c r="AK285" i="1" s="1"/>
  <c r="X267" i="1"/>
  <c r="AJ267" i="1" s="1"/>
  <c r="AK267" i="1" s="1"/>
  <c r="X193" i="1"/>
  <c r="AJ193" i="1" s="1"/>
  <c r="AK193" i="1" s="1"/>
  <c r="X352" i="1"/>
  <c r="AJ352" i="1" s="1"/>
  <c r="AK352" i="1" s="1"/>
  <c r="X350" i="1"/>
  <c r="AJ350" i="1" s="1"/>
  <c r="AK350" i="1" s="1"/>
  <c r="X332" i="1"/>
  <c r="AJ332" i="1" s="1"/>
  <c r="AK332" i="1" s="1"/>
  <c r="X183" i="1"/>
  <c r="AJ183" i="1" s="1"/>
  <c r="AK183" i="1" s="1"/>
  <c r="X232" i="1"/>
  <c r="AJ232" i="1" s="1"/>
  <c r="AK232" i="1" s="1"/>
  <c r="X297" i="1"/>
  <c r="AJ297" i="1" s="1"/>
  <c r="AK297" i="1" s="1"/>
  <c r="X359" i="1"/>
  <c r="AJ359" i="1" s="1"/>
  <c r="AK359" i="1" s="1"/>
  <c r="X256" i="1"/>
  <c r="AJ256" i="1" s="1"/>
  <c r="AK256" i="1" s="1"/>
  <c r="X236" i="1"/>
  <c r="AJ236" i="1" s="1"/>
  <c r="AK236" i="1" s="1"/>
  <c r="X337" i="1"/>
  <c r="AJ337" i="1" s="1"/>
  <c r="AK337" i="1" s="1"/>
  <c r="X305" i="1"/>
  <c r="AJ305" i="1" s="1"/>
  <c r="AK305" i="1" s="1"/>
  <c r="X364" i="1"/>
  <c r="AJ364" i="1" s="1"/>
  <c r="AK364" i="1" s="1"/>
  <c r="X315" i="1"/>
  <c r="AJ315" i="1" s="1"/>
  <c r="AK315" i="1" s="1"/>
  <c r="X351" i="1"/>
  <c r="AJ351" i="1" s="1"/>
  <c r="AK351" i="1" s="1"/>
  <c r="X319" i="1"/>
  <c r="AJ319" i="1" s="1"/>
  <c r="AK319" i="1" s="1"/>
  <c r="X308" i="1"/>
  <c r="AJ308" i="1" s="1"/>
  <c r="AK308" i="1" s="1"/>
  <c r="X244" i="1"/>
  <c r="AJ244" i="1" s="1"/>
  <c r="AK244" i="1" s="1"/>
  <c r="X278" i="1"/>
  <c r="AJ278" i="1" s="1"/>
  <c r="AK278" i="1" s="1"/>
  <c r="X229" i="1"/>
  <c r="AJ229" i="1" s="1"/>
  <c r="AK229" i="1" s="1"/>
  <c r="X191" i="1"/>
  <c r="AJ191" i="1" s="1"/>
  <c r="AK191" i="1" s="1"/>
  <c r="X349" i="1"/>
  <c r="AJ349" i="1" s="1"/>
  <c r="AK349" i="1" s="1"/>
  <c r="X284" i="1"/>
  <c r="AJ284" i="1" s="1"/>
  <c r="AK284" i="1" s="1"/>
  <c r="X300" i="1"/>
  <c r="AJ300" i="1" s="1"/>
  <c r="AK300" i="1" s="1"/>
  <c r="X260" i="1"/>
  <c r="AJ260" i="1" s="1"/>
  <c r="AK260" i="1" s="1"/>
  <c r="X348" i="1"/>
  <c r="AJ348" i="1" s="1"/>
  <c r="AK348" i="1" s="1"/>
  <c r="X347" i="1"/>
  <c r="AJ347" i="1" s="1"/>
  <c r="AK347" i="1" s="1"/>
  <c r="X252" i="1"/>
  <c r="AJ252" i="1" s="1"/>
  <c r="AK252" i="1" s="1"/>
  <c r="X239" i="1"/>
  <c r="AJ239" i="1" s="1"/>
  <c r="AK239" i="1" s="1"/>
  <c r="X264" i="1"/>
  <c r="AJ264" i="1" s="1"/>
  <c r="AK264" i="1" s="1"/>
  <c r="X341" i="1"/>
  <c r="AJ341" i="1" s="1"/>
  <c r="AK341" i="1" s="1"/>
  <c r="X353" i="1"/>
  <c r="AJ353" i="1" s="1"/>
  <c r="AK353" i="1" s="1"/>
  <c r="X321" i="1"/>
  <c r="AJ321" i="1" s="1"/>
  <c r="AK321" i="1" s="1"/>
  <c r="X269" i="1"/>
  <c r="AJ269" i="1" s="1"/>
  <c r="AK269" i="1" s="1"/>
  <c r="X198" i="1"/>
  <c r="AJ198" i="1" s="1"/>
  <c r="AK198" i="1" s="1"/>
  <c r="X257" i="1"/>
  <c r="AJ257" i="1" s="1"/>
  <c r="AK257" i="1" s="1"/>
  <c r="X322" i="1"/>
  <c r="AJ322" i="1" s="1"/>
  <c r="AK322" i="1" s="1"/>
  <c r="X303" i="1"/>
  <c r="AJ303" i="1" s="1"/>
  <c r="AK303" i="1" s="1"/>
  <c r="X272" i="1"/>
  <c r="AJ272" i="1" s="1"/>
  <c r="AK272" i="1" s="1"/>
  <c r="X262" i="1"/>
  <c r="AJ262" i="1" s="1"/>
  <c r="AK262" i="1" s="1"/>
  <c r="X280" i="1"/>
  <c r="AJ280" i="1" s="1"/>
  <c r="AK280" i="1" s="1"/>
  <c r="X199" i="1"/>
  <c r="AJ199" i="1" s="1"/>
  <c r="AK199" i="1" s="1"/>
  <c r="X241" i="1"/>
  <c r="AJ241" i="1" s="1"/>
  <c r="AK241" i="1" s="1"/>
  <c r="X197" i="1"/>
  <c r="AJ197" i="1" s="1"/>
  <c r="AK197" i="1" s="1"/>
  <c r="X182" i="1"/>
  <c r="AJ182" i="1" s="1"/>
  <c r="AK182" i="1" s="1"/>
  <c r="X326" i="1"/>
  <c r="AJ326" i="1" s="1"/>
  <c r="AK326" i="1" s="1"/>
  <c r="X333" i="1"/>
  <c r="AJ333" i="1" s="1"/>
  <c r="AK333" i="1" s="1"/>
  <c r="X253" i="1"/>
  <c r="AJ253" i="1" s="1"/>
  <c r="AK253" i="1" s="1"/>
  <c r="X251" i="1"/>
  <c r="AJ251" i="1" s="1"/>
  <c r="AK251" i="1" s="1"/>
  <c r="X301" i="1"/>
  <c r="AJ301" i="1" s="1"/>
  <c r="AK301" i="1" s="1"/>
  <c r="X246" i="1"/>
  <c r="AJ246" i="1" s="1"/>
  <c r="AK246" i="1" s="1"/>
  <c r="X288" i="1"/>
  <c r="AJ288" i="1" s="1"/>
  <c r="AK288" i="1" s="1"/>
  <c r="X190" i="1"/>
  <c r="AJ190" i="1" s="1"/>
  <c r="AK190" i="1" s="1"/>
  <c r="X275" i="1"/>
  <c r="AJ275" i="1" s="1"/>
  <c r="AK275" i="1" s="1"/>
  <c r="X293" i="1"/>
  <c r="AJ293" i="1" s="1"/>
  <c r="AK293" i="1" s="1"/>
  <c r="X263" i="1"/>
  <c r="AJ263" i="1" s="1"/>
  <c r="AK263" i="1" s="1"/>
  <c r="X180" i="1"/>
  <c r="AJ180" i="1" s="1"/>
  <c r="AK180" i="1" s="1"/>
  <c r="X235" i="1"/>
  <c r="AJ235" i="1" s="1"/>
  <c r="AK235" i="1" s="1"/>
  <c r="X310" i="1"/>
  <c r="AJ310" i="1" s="1"/>
  <c r="AK310" i="1" s="1"/>
  <c r="X354" i="1"/>
  <c r="AJ354" i="1" s="1"/>
  <c r="AK354" i="1" s="1"/>
  <c r="X328" i="1"/>
  <c r="AJ328" i="1" s="1"/>
  <c r="AK328" i="1" s="1"/>
  <c r="X268" i="1"/>
  <c r="AJ268" i="1" s="1"/>
  <c r="AK268" i="1" s="1"/>
  <c r="X255" i="1"/>
  <c r="AJ255" i="1" s="1"/>
  <c r="AK255" i="1" s="1"/>
  <c r="X230" i="1"/>
  <c r="AJ230" i="1" s="1"/>
  <c r="AK230" i="1" s="1"/>
  <c r="X320" i="1"/>
  <c r="AJ320" i="1" s="1"/>
  <c r="AK320" i="1" s="1"/>
  <c r="X192" i="1"/>
  <c r="AJ192" i="1" s="1"/>
  <c r="AK192" i="1" s="1"/>
  <c r="X227" i="1"/>
  <c r="AJ227" i="1" s="1"/>
  <c r="AK227" i="1" s="1"/>
  <c r="X292" i="1"/>
  <c r="AJ292" i="1" s="1"/>
  <c r="AK292" i="1" s="1"/>
  <c r="X360" i="1"/>
  <c r="AJ360" i="1" s="1"/>
  <c r="AK360" i="1" s="1"/>
  <c r="X175" i="1"/>
  <c r="AJ175" i="1" s="1"/>
  <c r="AK175" i="1" s="1"/>
  <c r="X355" i="1"/>
  <c r="AJ355" i="1" s="1"/>
  <c r="AK355" i="1" s="1"/>
  <c r="X312" i="1"/>
  <c r="AJ312" i="1" s="1"/>
  <c r="AK312" i="1" s="1"/>
  <c r="X200" i="1"/>
  <c r="AJ200" i="1" s="1"/>
  <c r="AK200" i="1" s="1"/>
  <c r="X294" i="1"/>
  <c r="AJ294" i="1" s="1"/>
  <c r="AK294" i="1" s="1"/>
  <c r="X298" i="1"/>
  <c r="AJ298" i="1" s="1"/>
  <c r="AK298" i="1" s="1"/>
  <c r="X314" i="1"/>
  <c r="AJ314" i="1" s="1"/>
  <c r="AK314" i="1" s="1"/>
  <c r="X304" i="1"/>
  <c r="AJ304" i="1" s="1"/>
  <c r="AK304" i="1" s="1"/>
  <c r="X327" i="1"/>
  <c r="AJ327" i="1" s="1"/>
  <c r="AK327" i="1" s="1"/>
  <c r="X261" i="1"/>
  <c r="AJ261" i="1" s="1"/>
  <c r="AK261" i="1" s="1"/>
  <c r="X357" i="1"/>
  <c r="AJ357" i="1" s="1"/>
  <c r="AK357" i="1" s="1"/>
  <c r="X258" i="1"/>
  <c r="AJ258" i="1" s="1"/>
  <c r="AK258" i="1" s="1"/>
  <c r="X286" i="1"/>
  <c r="AJ286" i="1" s="1"/>
  <c r="AK286" i="1" s="1"/>
  <c r="X334" i="1"/>
  <c r="AJ334" i="1" s="1"/>
  <c r="AK334" i="1" s="1"/>
  <c r="X203" i="1"/>
  <c r="AJ203" i="1" s="1"/>
  <c r="AK203" i="1" s="1"/>
  <c r="X225" i="1"/>
  <c r="AJ225" i="1" s="1"/>
  <c r="AK225" i="1" s="1"/>
  <c r="X186" i="1"/>
  <c r="AJ186" i="1" s="1"/>
  <c r="AK186" i="1" s="1"/>
  <c r="X338" i="1"/>
  <c r="AJ338" i="1" s="1"/>
  <c r="AK338" i="1" s="1"/>
  <c r="X290" i="1"/>
  <c r="AJ290" i="1" s="1"/>
  <c r="AK290" i="1" s="1"/>
  <c r="X265" i="1"/>
  <c r="AJ265" i="1" s="1"/>
  <c r="AK265" i="1" s="1"/>
  <c r="X202" i="1"/>
  <c r="AJ202" i="1" s="1"/>
  <c r="AK202" i="1" s="1"/>
  <c r="X325" i="1"/>
  <c r="AJ325" i="1" s="1"/>
  <c r="AK325" i="1" s="1"/>
  <c r="X299" i="1"/>
  <c r="AJ299" i="1" s="1"/>
  <c r="AK299" i="1" s="1"/>
  <c r="X289" i="1"/>
  <c r="AJ289" i="1" s="1"/>
  <c r="AK289" i="1" s="1"/>
  <c r="X358" i="1"/>
  <c r="AJ358" i="1" s="1"/>
  <c r="AK358" i="1" s="1"/>
  <c r="X234" i="1"/>
  <c r="AJ234" i="1" s="1"/>
  <c r="AK234" i="1" s="1"/>
  <c r="X224" i="1"/>
  <c r="AJ224" i="1" s="1"/>
  <c r="AK224" i="1" s="1"/>
  <c r="X228" i="1"/>
  <c r="AJ228" i="1" s="1"/>
  <c r="AK228" i="1" s="1"/>
  <c r="X340" i="1"/>
  <c r="AJ340" i="1" s="1"/>
  <c r="AK340" i="1" s="1"/>
  <c r="X307" i="1"/>
  <c r="AJ307" i="1" s="1"/>
  <c r="AK307" i="1" s="1"/>
  <c r="X311" i="1"/>
  <c r="AJ311" i="1" s="1"/>
  <c r="AK311" i="1" s="1"/>
  <c r="X343" i="1"/>
  <c r="AJ343" i="1" s="1"/>
  <c r="AK343" i="1" s="1"/>
  <c r="X281" i="1"/>
  <c r="AJ281" i="1" s="1"/>
  <c r="AK281" i="1" s="1"/>
  <c r="X266" i="1"/>
  <c r="AJ266" i="1" s="1"/>
  <c r="AK266" i="1" s="1"/>
  <c r="X283" i="1"/>
  <c r="AJ283" i="1" s="1"/>
  <c r="AK283" i="1" s="1"/>
  <c r="X346" i="1"/>
  <c r="AJ346" i="1" s="1"/>
  <c r="AK346" i="1" s="1"/>
  <c r="X324" i="1"/>
  <c r="AJ324" i="1" s="1"/>
  <c r="AK324" i="1" s="1"/>
  <c r="X356" i="1"/>
  <c r="AJ356" i="1" s="1"/>
  <c r="AK356" i="1" s="1"/>
  <c r="X250" i="1"/>
  <c r="AJ250" i="1" s="1"/>
  <c r="AK250" i="1" s="1"/>
  <c r="X362" i="1"/>
  <c r="AJ362" i="1" s="1"/>
  <c r="AK362" i="1" s="1"/>
  <c r="X233" i="1"/>
  <c r="AJ233" i="1" s="1"/>
  <c r="AK233" i="1" s="1"/>
  <c r="X185" i="1"/>
  <c r="AJ185" i="1" s="1"/>
  <c r="AK185" i="1" s="1"/>
  <c r="X276" i="1"/>
  <c r="AJ276" i="1" s="1"/>
  <c r="AK276" i="1" s="1"/>
  <c r="X313" i="1"/>
  <c r="AJ313" i="1" s="1"/>
  <c r="AK313" i="1" s="1"/>
  <c r="X361" i="1"/>
  <c r="AJ361" i="1" s="1"/>
  <c r="AK361" i="1" s="1"/>
  <c r="X189" i="1"/>
  <c r="AJ189" i="1" s="1"/>
  <c r="AK189" i="1" s="1"/>
  <c r="X331" i="1"/>
  <c r="AJ331" i="1" s="1"/>
  <c r="AK331" i="1" s="1"/>
  <c r="X317" i="1"/>
  <c r="AJ317" i="1" s="1"/>
  <c r="AK317" i="1" s="1"/>
  <c r="X177" i="1"/>
  <c r="AJ177" i="1" s="1"/>
  <c r="AK177" i="1" s="1"/>
  <c r="X195" i="1"/>
  <c r="AJ195" i="1" s="1"/>
  <c r="AK195" i="1" s="1"/>
  <c r="X240" i="1"/>
  <c r="AJ240" i="1" s="1"/>
  <c r="AK240" i="1" s="1"/>
  <c r="X242" i="1"/>
  <c r="AJ242" i="1" s="1"/>
  <c r="AK242" i="1" s="1"/>
  <c r="X345" i="1"/>
  <c r="AJ345" i="1" s="1"/>
  <c r="AK345" i="1" s="1"/>
  <c r="X277" i="1"/>
  <c r="AJ277" i="1" s="1"/>
  <c r="AK277" i="1" s="1"/>
  <c r="X279" i="1"/>
  <c r="AJ279" i="1" s="1"/>
  <c r="AK279" i="1" s="1"/>
  <c r="X318" i="1"/>
  <c r="AJ318" i="1" s="1"/>
  <c r="AK318" i="1" s="1"/>
  <c r="X237" i="1"/>
  <c r="AJ237" i="1" s="1"/>
  <c r="AK237" i="1" s="1"/>
  <c r="X176" i="1"/>
  <c r="AJ176" i="1" s="1"/>
  <c r="AK176" i="1" s="1"/>
  <c r="X291" i="1"/>
  <c r="AJ291" i="1" s="1"/>
  <c r="AK291" i="1" s="1"/>
  <c r="X243" i="1"/>
  <c r="AJ243" i="1" s="1"/>
  <c r="AK243" i="1" s="1"/>
  <c r="X247" i="1"/>
  <c r="AJ247" i="1" s="1"/>
  <c r="AK247" i="1" s="1"/>
  <c r="X223" i="1"/>
  <c r="AJ223" i="1" s="1"/>
  <c r="AK223" i="1" s="1"/>
  <c r="X363" i="1"/>
  <c r="AJ363" i="1" s="1"/>
  <c r="AK363" i="1" s="1"/>
  <c r="X245" i="1"/>
  <c r="AJ245" i="1" s="1"/>
  <c r="AK245" i="1" s="1"/>
  <c r="X336" i="1"/>
  <c r="AJ336" i="1" s="1"/>
  <c r="AK336" i="1" s="1"/>
  <c r="X204" i="1"/>
  <c r="AJ204" i="1" s="1"/>
  <c r="AK204" i="1" s="1"/>
  <c r="X270" i="1"/>
  <c r="AJ270" i="1" s="1"/>
  <c r="AK270" i="1" s="1"/>
  <c r="X205" i="1"/>
  <c r="AJ205" i="1" s="1"/>
  <c r="AK205" i="1" s="1"/>
  <c r="CZ208" i="1"/>
  <c r="DA208" i="1" s="1"/>
  <c r="CZ207" i="1"/>
  <c r="W208" i="1"/>
  <c r="W207" i="1"/>
  <c r="R56" i="98" s="1"/>
  <c r="W206" i="1"/>
  <c r="AV116" i="97"/>
  <c r="AV114" i="97"/>
  <c r="AV117" i="97"/>
  <c r="AV115" i="97"/>
  <c r="AV107" i="97"/>
  <c r="AV106" i="97"/>
  <c r="AV109" i="97"/>
  <c r="AV110" i="97"/>
  <c r="AV108" i="97"/>
  <c r="AF17" i="57"/>
  <c r="CB72" i="130"/>
  <c r="CA72" i="130"/>
  <c r="W131" i="123"/>
  <c r="W122" i="123" s="1"/>
  <c r="F37" i="98"/>
  <c r="EB4" i="123"/>
  <c r="DU62" i="93"/>
  <c r="HG64" i="93"/>
  <c r="M13" i="93"/>
  <c r="AV99" i="97"/>
  <c r="I153" i="71" s="1"/>
  <c r="K153" i="71" s="1"/>
  <c r="FC64" i="93"/>
  <c r="J25" i="57"/>
  <c r="AO113" i="97" l="1"/>
  <c r="FB64" i="93"/>
  <c r="FB62" i="93" s="1"/>
  <c r="I17" i="71"/>
  <c r="I129" i="71" s="1"/>
  <c r="K129" i="71" s="1"/>
  <c r="Q54" i="98"/>
  <c r="DQ131" i="123"/>
  <c r="DQ130" i="123" s="1"/>
  <c r="DP129" i="123"/>
  <c r="Q53" i="98"/>
  <c r="Q36" i="98"/>
  <c r="Q52" i="98"/>
  <c r="Q60" i="98"/>
  <c r="Q55" i="98"/>
  <c r="Q61" i="98"/>
  <c r="Q51" i="98"/>
  <c r="D38" i="93"/>
  <c r="L38" i="93" s="1"/>
  <c r="I164" i="71" s="1"/>
  <c r="K164" i="71" s="1"/>
  <c r="Q57" i="98"/>
  <c r="Q56" i="98"/>
  <c r="Q44" i="98"/>
  <c r="Q45" i="98"/>
  <c r="Q48" i="98"/>
  <c r="Q42" i="98"/>
  <c r="Q50" i="98"/>
  <c r="Q39" i="98"/>
  <c r="Q34" i="98"/>
  <c r="Q49" i="98"/>
  <c r="Q41" i="98"/>
  <c r="Q35" i="98"/>
  <c r="Q58" i="98"/>
  <c r="Q59" i="98"/>
  <c r="Q43" i="98"/>
  <c r="Q40" i="98"/>
  <c r="Q38" i="98"/>
  <c r="Q37" i="98"/>
  <c r="Q46" i="98"/>
  <c r="Q47" i="98"/>
  <c r="I70" i="71"/>
  <c r="IH3" i="1"/>
  <c r="IH156" i="1" s="1"/>
  <c r="KI3" i="1"/>
  <c r="KI156" i="1" s="1"/>
  <c r="JC3" i="1"/>
  <c r="JC156" i="1" s="1"/>
  <c r="IY3" i="1"/>
  <c r="IY156" i="1" s="1"/>
  <c r="LF3" i="1"/>
  <c r="LF156" i="1" s="1"/>
  <c r="HP3" i="1"/>
  <c r="HP156" i="1" s="1"/>
  <c r="LO3" i="1"/>
  <c r="LO156" i="1" s="1"/>
  <c r="IL3" i="1"/>
  <c r="IL156" i="1" s="1"/>
  <c r="GW3" i="1"/>
  <c r="GW156" i="1" s="1"/>
  <c r="LB3" i="1"/>
  <c r="LB156" i="1" s="1"/>
  <c r="ID3" i="1"/>
  <c r="ID156" i="1" s="1"/>
  <c r="JX3" i="1"/>
  <c r="JX156" i="1" s="1"/>
  <c r="HC3" i="1"/>
  <c r="HC156" i="1" s="1"/>
  <c r="GT3" i="1"/>
  <c r="GT156" i="1" s="1"/>
  <c r="GX3" i="1"/>
  <c r="GX156" i="1" s="1"/>
  <c r="KG3" i="1"/>
  <c r="KG156" i="1" s="1"/>
  <c r="KH3" i="1"/>
  <c r="KH156" i="1" s="1"/>
  <c r="KM3" i="1"/>
  <c r="KM156" i="1" s="1"/>
  <c r="JO3" i="1"/>
  <c r="JO156" i="1" s="1"/>
  <c r="JY3" i="1"/>
  <c r="JY156" i="1" s="1"/>
  <c r="JZ3" i="1"/>
  <c r="JZ156" i="1" s="1"/>
  <c r="HB3" i="1"/>
  <c r="HB156" i="1" s="1"/>
  <c r="HU3" i="1"/>
  <c r="HU156" i="1" s="1"/>
  <c r="LL3" i="1"/>
  <c r="LL156" i="1" s="1"/>
  <c r="LH3" i="1"/>
  <c r="LH156" i="1" s="1"/>
  <c r="JF3" i="1"/>
  <c r="JF156" i="1" s="1"/>
  <c r="IF3" i="1"/>
  <c r="IF156" i="1" s="1"/>
  <c r="JP3" i="1"/>
  <c r="JP156" i="1" s="1"/>
  <c r="IE3" i="1"/>
  <c r="IE156" i="1" s="1"/>
  <c r="HF3" i="1"/>
  <c r="HF156" i="1" s="1"/>
  <c r="HD3" i="1"/>
  <c r="HD156" i="1" s="1"/>
  <c r="LD3" i="1"/>
  <c r="LD156" i="1" s="1"/>
  <c r="KL3" i="1"/>
  <c r="KL156" i="1" s="1"/>
  <c r="KT3" i="1"/>
  <c r="KT156" i="1" s="1"/>
  <c r="KZ3" i="1"/>
  <c r="KZ156" i="1" s="1"/>
  <c r="KR3" i="1"/>
  <c r="KR156" i="1" s="1"/>
  <c r="KV3" i="1"/>
  <c r="KV156" i="1" s="1"/>
  <c r="LC3" i="1"/>
  <c r="LC156" i="1" s="1"/>
  <c r="LM3" i="1"/>
  <c r="LM156" i="1" s="1"/>
  <c r="KS3" i="1"/>
  <c r="KS156" i="1" s="1"/>
  <c r="KN3" i="1"/>
  <c r="KN156" i="1" s="1"/>
  <c r="JS3" i="1"/>
  <c r="JS156" i="1" s="1"/>
  <c r="IQ3" i="1"/>
  <c r="IQ156" i="1" s="1"/>
  <c r="IU3" i="1"/>
  <c r="IU156" i="1" s="1"/>
  <c r="JV3" i="1"/>
  <c r="JV156" i="1" s="1"/>
  <c r="IT3" i="1"/>
  <c r="IT156" i="1" s="1"/>
  <c r="IX3" i="1"/>
  <c r="IX156" i="1" s="1"/>
  <c r="JL3" i="1"/>
  <c r="JL156" i="1" s="1"/>
  <c r="IZ3" i="1"/>
  <c r="IZ156" i="1" s="1"/>
  <c r="JE3" i="1"/>
  <c r="JE156" i="1" s="1"/>
  <c r="JB3" i="1"/>
  <c r="JB156" i="1" s="1"/>
  <c r="KC3" i="1"/>
  <c r="KC156" i="1" s="1"/>
  <c r="IV3" i="1"/>
  <c r="IV156" i="1" s="1"/>
  <c r="JD3" i="1"/>
  <c r="JD156" i="1" s="1"/>
  <c r="HT3" i="1"/>
  <c r="HT156" i="1" s="1"/>
  <c r="IA3" i="1"/>
  <c r="IA156" i="1" s="1"/>
  <c r="HA3" i="1"/>
  <c r="HA156" i="1" s="1"/>
  <c r="HV3" i="1"/>
  <c r="HV156" i="1" s="1"/>
  <c r="HL3" i="1"/>
  <c r="HL156" i="1" s="1"/>
  <c r="GV3" i="1"/>
  <c r="GV156" i="1" s="1"/>
  <c r="HR3" i="1"/>
  <c r="HR156" i="1" s="1"/>
  <c r="HW3" i="1"/>
  <c r="HW156" i="1" s="1"/>
  <c r="GU3" i="1"/>
  <c r="GU156" i="1" s="1"/>
  <c r="KP3" i="1"/>
  <c r="KP156" i="1" s="1"/>
  <c r="KW3" i="1"/>
  <c r="KW156" i="1" s="1"/>
  <c r="KJ3" i="1"/>
  <c r="KJ156" i="1" s="1"/>
  <c r="LA3" i="1"/>
  <c r="LA156" i="1" s="1"/>
  <c r="LJ3" i="1"/>
  <c r="LJ156" i="1" s="1"/>
  <c r="KU3" i="1"/>
  <c r="KU156" i="1" s="1"/>
  <c r="LN3" i="1"/>
  <c r="LN156" i="1" s="1"/>
  <c r="KE3" i="1"/>
  <c r="KE156" i="1" s="1"/>
  <c r="KY3" i="1"/>
  <c r="KY156" i="1" s="1"/>
  <c r="KX3" i="1"/>
  <c r="KX156" i="1" s="1"/>
  <c r="JH3" i="1"/>
  <c r="JH156" i="1" s="1"/>
  <c r="KB3" i="1"/>
  <c r="KB156" i="1" s="1"/>
  <c r="IO3" i="1"/>
  <c r="IO156" i="1" s="1"/>
  <c r="IN3" i="1"/>
  <c r="IN156" i="1" s="1"/>
  <c r="JG3" i="1"/>
  <c r="JG156" i="1" s="1"/>
  <c r="JK3" i="1"/>
  <c r="JK156" i="1" s="1"/>
  <c r="IM3" i="1"/>
  <c r="IM156" i="1" s="1"/>
  <c r="JJ3" i="1"/>
  <c r="JJ156" i="1" s="1"/>
  <c r="JN3" i="1"/>
  <c r="JN156" i="1" s="1"/>
  <c r="IK3" i="1"/>
  <c r="IK156" i="1" s="1"/>
  <c r="JU3" i="1"/>
  <c r="JU156" i="1" s="1"/>
  <c r="JA3" i="1"/>
  <c r="JA156" i="1" s="1"/>
  <c r="JI3" i="1"/>
  <c r="JI156" i="1" s="1"/>
  <c r="IC3" i="1"/>
  <c r="IC156" i="1" s="1"/>
  <c r="HZ3" i="1"/>
  <c r="HZ156" i="1" s="1"/>
  <c r="HQ3" i="1"/>
  <c r="HQ156" i="1" s="1"/>
  <c r="HN3" i="1"/>
  <c r="HN156" i="1" s="1"/>
  <c r="GZ3" i="1"/>
  <c r="GZ156" i="1" s="1"/>
  <c r="HK3" i="1"/>
  <c r="HK156" i="1" s="1"/>
  <c r="HJ3" i="1"/>
  <c r="HJ156" i="1" s="1"/>
  <c r="HI3" i="1"/>
  <c r="HI156" i="1" s="1"/>
  <c r="HH3" i="1"/>
  <c r="HH156" i="1" s="1"/>
  <c r="KD3" i="1"/>
  <c r="KD156" i="1" s="1"/>
  <c r="LE3" i="1"/>
  <c r="LE156" i="1" s="1"/>
  <c r="KQ3" i="1"/>
  <c r="KQ156" i="1" s="1"/>
  <c r="LG3" i="1"/>
  <c r="LG156" i="1" s="1"/>
  <c r="LP3" i="1"/>
  <c r="LP156" i="1" s="1"/>
  <c r="KF3" i="1"/>
  <c r="KF156" i="1" s="1"/>
  <c r="LK3" i="1"/>
  <c r="LK156" i="1" s="1"/>
  <c r="LI3" i="1"/>
  <c r="LI156" i="1" s="1"/>
  <c r="KO3" i="1"/>
  <c r="KO156" i="1" s="1"/>
  <c r="KK3" i="1"/>
  <c r="KK156" i="1" s="1"/>
  <c r="II3" i="1"/>
  <c r="II156" i="1" s="1"/>
  <c r="IG3" i="1"/>
  <c r="IG156" i="1" s="1"/>
  <c r="IW3" i="1"/>
  <c r="IW156" i="1" s="1"/>
  <c r="IS3" i="1"/>
  <c r="IS156" i="1" s="1"/>
  <c r="IJ3" i="1"/>
  <c r="IJ156" i="1" s="1"/>
  <c r="IR3" i="1"/>
  <c r="IR156" i="1" s="1"/>
  <c r="JT3" i="1"/>
  <c r="JT156" i="1" s="1"/>
  <c r="JW3" i="1"/>
  <c r="JW156" i="1" s="1"/>
  <c r="KA3" i="1"/>
  <c r="KA156" i="1" s="1"/>
  <c r="IP3" i="1"/>
  <c r="IP156" i="1" s="1"/>
  <c r="JM3" i="1"/>
  <c r="JM156" i="1" s="1"/>
  <c r="JQ3" i="1"/>
  <c r="JQ156" i="1" s="1"/>
  <c r="JR3" i="1"/>
  <c r="JR156" i="1" s="1"/>
  <c r="HS3" i="1"/>
  <c r="HS156" i="1" s="1"/>
  <c r="HO3" i="1"/>
  <c r="HO156" i="1" s="1"/>
  <c r="HG3" i="1"/>
  <c r="HG156" i="1" s="1"/>
  <c r="HM3" i="1"/>
  <c r="HM156" i="1" s="1"/>
  <c r="GY3" i="1"/>
  <c r="GY156" i="1" s="1"/>
  <c r="HE3" i="1"/>
  <c r="HE156" i="1" s="1"/>
  <c r="IB3" i="1"/>
  <c r="IB156" i="1" s="1"/>
  <c r="HY3" i="1"/>
  <c r="HY156" i="1" s="1"/>
  <c r="FX11" i="98"/>
  <c r="CZ204" i="1"/>
  <c r="DA204" i="1" s="1"/>
  <c r="CZ176" i="1"/>
  <c r="DA176" i="1" s="1"/>
  <c r="CZ195" i="1"/>
  <c r="DA195" i="1" s="1"/>
  <c r="CZ250" i="1"/>
  <c r="DA250" i="1" s="1"/>
  <c r="CZ283" i="1"/>
  <c r="DA283" i="1" s="1"/>
  <c r="CZ311" i="1"/>
  <c r="DA311" i="1" s="1"/>
  <c r="CZ224" i="1"/>
  <c r="DA224" i="1" s="1"/>
  <c r="CZ299" i="1"/>
  <c r="DA299" i="1" s="1"/>
  <c r="CZ290" i="1"/>
  <c r="DA290" i="1" s="1"/>
  <c r="CZ203" i="1"/>
  <c r="DA203" i="1" s="1"/>
  <c r="CZ357" i="1"/>
  <c r="DA357" i="1" s="1"/>
  <c r="CZ314" i="1"/>
  <c r="DA314" i="1" s="1"/>
  <c r="CZ312" i="1"/>
  <c r="DA312" i="1" s="1"/>
  <c r="CZ292" i="1"/>
  <c r="DA292" i="1" s="1"/>
  <c r="CZ230" i="1"/>
  <c r="DA230" i="1" s="1"/>
  <c r="CZ354" i="1"/>
  <c r="DA354" i="1" s="1"/>
  <c r="CZ263" i="1"/>
  <c r="DA263" i="1" s="1"/>
  <c r="CZ288" i="1"/>
  <c r="DA288" i="1" s="1"/>
  <c r="CZ253" i="1"/>
  <c r="DA253" i="1" s="1"/>
  <c r="CZ197" i="1"/>
  <c r="DA197" i="1" s="1"/>
  <c r="CZ262" i="1"/>
  <c r="DA262" i="1" s="1"/>
  <c r="CZ257" i="1"/>
  <c r="DA257" i="1" s="1"/>
  <c r="CZ353" i="1"/>
  <c r="DA353" i="1" s="1"/>
  <c r="CZ252" i="1"/>
  <c r="DA252" i="1" s="1"/>
  <c r="CZ300" i="1"/>
  <c r="DA300" i="1" s="1"/>
  <c r="CZ229" i="1"/>
  <c r="DA229" i="1" s="1"/>
  <c r="CZ319" i="1"/>
  <c r="DA319" i="1" s="1"/>
  <c r="CZ305" i="1"/>
  <c r="DA305" i="1" s="1"/>
  <c r="CZ359" i="1"/>
  <c r="DA359" i="1" s="1"/>
  <c r="CZ332" i="1"/>
  <c r="DA332" i="1" s="1"/>
  <c r="CZ267" i="1"/>
  <c r="DA267" i="1" s="1"/>
  <c r="CZ316" i="1"/>
  <c r="DA316" i="1" s="1"/>
  <c r="CZ344" i="1"/>
  <c r="DA344" i="1" s="1"/>
  <c r="CZ226" i="1"/>
  <c r="DA226" i="1" s="1"/>
  <c r="CZ336" i="1"/>
  <c r="DA336" i="1" s="1"/>
  <c r="CZ247" i="1"/>
  <c r="DA247" i="1" s="1"/>
  <c r="CZ237" i="1"/>
  <c r="DA237" i="1" s="1"/>
  <c r="CZ345" i="1"/>
  <c r="DA345" i="1" s="1"/>
  <c r="CZ177" i="1"/>
  <c r="DA177" i="1" s="1"/>
  <c r="CZ361" i="1"/>
  <c r="DA361" i="1" s="1"/>
  <c r="CZ185" i="1"/>
  <c r="DA185" i="1" s="1"/>
  <c r="CZ356" i="1"/>
  <c r="DA356" i="1" s="1"/>
  <c r="CZ266" i="1"/>
  <c r="DA266" i="1" s="1"/>
  <c r="CZ307" i="1"/>
  <c r="DA307" i="1" s="1"/>
  <c r="CZ234" i="1"/>
  <c r="DA234" i="1" s="1"/>
  <c r="CZ325" i="1"/>
  <c r="DA325" i="1" s="1"/>
  <c r="CZ338" i="1"/>
  <c r="DA338" i="1" s="1"/>
  <c r="CZ334" i="1"/>
  <c r="DA334" i="1" s="1"/>
  <c r="CZ261" i="1"/>
  <c r="DA261" i="1" s="1"/>
  <c r="CZ298" i="1"/>
  <c r="DA298" i="1" s="1"/>
  <c r="CZ355" i="1"/>
  <c r="DA355" i="1" s="1"/>
  <c r="CZ227" i="1"/>
  <c r="DA227" i="1" s="1"/>
  <c r="CZ255" i="1"/>
  <c r="DA255" i="1" s="1"/>
  <c r="CZ310" i="1"/>
  <c r="DA310" i="1" s="1"/>
  <c r="CZ293" i="1"/>
  <c r="DA293" i="1" s="1"/>
  <c r="CZ246" i="1"/>
  <c r="DA246" i="1" s="1"/>
  <c r="CZ333" i="1"/>
  <c r="DA333" i="1" s="1"/>
  <c r="CZ241" i="1"/>
  <c r="DA241" i="1" s="1"/>
  <c r="CZ272" i="1"/>
  <c r="DA272" i="1" s="1"/>
  <c r="CZ198" i="1"/>
  <c r="DA198" i="1" s="1"/>
  <c r="CZ341" i="1"/>
  <c r="DA341" i="1" s="1"/>
  <c r="CZ347" i="1"/>
  <c r="DA347" i="1" s="1"/>
  <c r="CZ284" i="1"/>
  <c r="DA284" i="1" s="1"/>
  <c r="CZ278" i="1"/>
  <c r="DA278" i="1" s="1"/>
  <c r="CZ351" i="1"/>
  <c r="DA351" i="1" s="1"/>
  <c r="CZ337" i="1"/>
  <c r="DA337" i="1" s="1"/>
  <c r="CZ297" i="1"/>
  <c r="DA297" i="1" s="1"/>
  <c r="CZ350" i="1"/>
  <c r="DA350" i="1" s="1"/>
  <c r="CZ285" i="1"/>
  <c r="DA285" i="1" s="1"/>
  <c r="CZ273" i="1"/>
  <c r="DA273" i="1" s="1"/>
  <c r="CZ306" i="1"/>
  <c r="DA306" i="1" s="1"/>
  <c r="CZ223" i="1"/>
  <c r="DA223" i="1" s="1"/>
  <c r="CZ277" i="1"/>
  <c r="DA277" i="1" s="1"/>
  <c r="CZ276" i="1"/>
  <c r="DA276" i="1" s="1"/>
  <c r="CZ205" i="1"/>
  <c r="DA205" i="1" s="1"/>
  <c r="CZ245" i="1"/>
  <c r="DA245" i="1" s="1"/>
  <c r="CZ243" i="1"/>
  <c r="DA243" i="1" s="1"/>
  <c r="CZ318" i="1"/>
  <c r="DA318" i="1" s="1"/>
  <c r="CZ242" i="1"/>
  <c r="DA242" i="1" s="1"/>
  <c r="CZ317" i="1"/>
  <c r="DA317" i="1" s="1"/>
  <c r="CZ313" i="1"/>
  <c r="DA313" i="1" s="1"/>
  <c r="CZ233" i="1"/>
  <c r="DA233" i="1" s="1"/>
  <c r="CZ324" i="1"/>
  <c r="DA324" i="1" s="1"/>
  <c r="CZ281" i="1"/>
  <c r="DA281" i="1" s="1"/>
  <c r="CZ340" i="1"/>
  <c r="CZ339" i="1" s="1"/>
  <c r="CZ358" i="1"/>
  <c r="DA358" i="1" s="1"/>
  <c r="CZ202" i="1"/>
  <c r="DA202" i="1" s="1"/>
  <c r="CZ186" i="1"/>
  <c r="DA186" i="1" s="1"/>
  <c r="CZ286" i="1"/>
  <c r="DA286" i="1" s="1"/>
  <c r="CZ327" i="1"/>
  <c r="DA327" i="1" s="1"/>
  <c r="CZ294" i="1"/>
  <c r="DA294" i="1" s="1"/>
  <c r="CZ192" i="1"/>
  <c r="DA192" i="1" s="1"/>
  <c r="CZ268" i="1"/>
  <c r="DA268" i="1" s="1"/>
  <c r="CZ235" i="1"/>
  <c r="DA235" i="1" s="1"/>
  <c r="CZ275" i="1"/>
  <c r="DA275" i="1" s="1"/>
  <c r="CZ301" i="1"/>
  <c r="DA301" i="1" s="1"/>
  <c r="CZ326" i="1"/>
  <c r="DA326" i="1" s="1"/>
  <c r="CZ199" i="1"/>
  <c r="DA199" i="1" s="1"/>
  <c r="CZ303" i="1"/>
  <c r="DA303" i="1" s="1"/>
  <c r="CZ269" i="1"/>
  <c r="DA269" i="1" s="1"/>
  <c r="CZ264" i="1"/>
  <c r="DA264" i="1" s="1"/>
  <c r="CZ348" i="1"/>
  <c r="DA348" i="1" s="1"/>
  <c r="CZ349" i="1"/>
  <c r="DA349" i="1" s="1"/>
  <c r="CZ244" i="1"/>
  <c r="DA244" i="1" s="1"/>
  <c r="CZ315" i="1"/>
  <c r="DA315" i="1" s="1"/>
  <c r="CZ236" i="1"/>
  <c r="DA236" i="1" s="1"/>
  <c r="CZ232" i="1"/>
  <c r="DA232" i="1" s="1"/>
  <c r="CZ352" i="1"/>
  <c r="DA352" i="1" s="1"/>
  <c r="CZ309" i="1"/>
  <c r="DA309" i="1" s="1"/>
  <c r="CZ179" i="1"/>
  <c r="DA179" i="1" s="1"/>
  <c r="CZ274" i="1"/>
  <c r="DA274" i="1" s="1"/>
  <c r="CZ196" i="1"/>
  <c r="DA196" i="1" s="1"/>
  <c r="CZ270" i="1"/>
  <c r="DA270" i="1" s="1"/>
  <c r="CZ363" i="1"/>
  <c r="DA363" i="1" s="1"/>
  <c r="CZ291" i="1"/>
  <c r="DA291" i="1" s="1"/>
  <c r="CZ279" i="1"/>
  <c r="DA279" i="1" s="1"/>
  <c r="CZ240" i="1"/>
  <c r="DA240" i="1" s="1"/>
  <c r="CZ331" i="1"/>
  <c r="DA331" i="1" s="1"/>
  <c r="CZ362" i="1"/>
  <c r="DA362" i="1" s="1"/>
  <c r="CZ346" i="1"/>
  <c r="DA346" i="1" s="1"/>
  <c r="CZ343" i="1"/>
  <c r="DA343" i="1" s="1"/>
  <c r="CZ228" i="1"/>
  <c r="DA228" i="1" s="1"/>
  <c r="CZ289" i="1"/>
  <c r="DA289" i="1" s="1"/>
  <c r="CZ265" i="1"/>
  <c r="DA265" i="1" s="1"/>
  <c r="CZ225" i="1"/>
  <c r="DA225" i="1" s="1"/>
  <c r="CZ258" i="1"/>
  <c r="DA258" i="1" s="1"/>
  <c r="CZ304" i="1"/>
  <c r="DA304" i="1" s="1"/>
  <c r="CZ200" i="1"/>
  <c r="DA200" i="1" s="1"/>
  <c r="CZ360" i="1"/>
  <c r="DA360" i="1" s="1"/>
  <c r="CZ320" i="1"/>
  <c r="DA320" i="1" s="1"/>
  <c r="CZ328" i="1"/>
  <c r="DA328" i="1" s="1"/>
  <c r="CZ180" i="1"/>
  <c r="DA180" i="1" s="1"/>
  <c r="CZ190" i="1"/>
  <c r="DA190" i="1" s="1"/>
  <c r="CZ251" i="1"/>
  <c r="DA251" i="1" s="1"/>
  <c r="CZ182" i="1"/>
  <c r="DA182" i="1" s="1"/>
  <c r="CZ280" i="1"/>
  <c r="DA280" i="1" s="1"/>
  <c r="CZ322" i="1"/>
  <c r="DA322" i="1" s="1"/>
  <c r="CZ321" i="1"/>
  <c r="DA321" i="1" s="1"/>
  <c r="CZ239" i="1"/>
  <c r="DA239" i="1" s="1"/>
  <c r="CZ260" i="1"/>
  <c r="DA260" i="1" s="1"/>
  <c r="CZ191" i="1"/>
  <c r="DA191" i="1" s="1"/>
  <c r="CZ308" i="1"/>
  <c r="DA308" i="1" s="1"/>
  <c r="CZ364" i="1"/>
  <c r="DA364" i="1" s="1"/>
  <c r="CZ256" i="1"/>
  <c r="DA256" i="1" s="1"/>
  <c r="CZ183" i="1"/>
  <c r="DA183" i="1" s="1"/>
  <c r="CZ193" i="1"/>
  <c r="DA193" i="1" s="1"/>
  <c r="CZ249" i="1"/>
  <c r="DA249" i="1" s="1"/>
  <c r="CZ254" i="1"/>
  <c r="DA254" i="1" s="1"/>
  <c r="CZ220" i="1"/>
  <c r="DA220" i="1" s="1"/>
  <c r="W120" i="123"/>
  <c r="W119" i="123" s="1"/>
  <c r="X164" i="1"/>
  <c r="X163" i="1" s="1"/>
  <c r="W315" i="1"/>
  <c r="G37" i="98"/>
  <c r="CZ175" i="1"/>
  <c r="DA175" i="1" s="1"/>
  <c r="DP126" i="123"/>
  <c r="R58" i="98"/>
  <c r="W291" i="1"/>
  <c r="W320" i="1"/>
  <c r="W274" i="1"/>
  <c r="W349" i="1"/>
  <c r="W352" i="1"/>
  <c r="W309" i="1"/>
  <c r="W183" i="1"/>
  <c r="W240" i="1"/>
  <c r="W190" i="1"/>
  <c r="W254" i="1"/>
  <c r="W322" i="1"/>
  <c r="W270" i="1"/>
  <c r="W258" i="1"/>
  <c r="W265" i="1"/>
  <c r="AO101" i="97"/>
  <c r="M155" i="71" s="1"/>
  <c r="AN101" i="97"/>
  <c r="CZ189" i="1"/>
  <c r="X167" i="1"/>
  <c r="W179" i="1"/>
  <c r="W286" i="1"/>
  <c r="W245" i="1"/>
  <c r="W313" i="1"/>
  <c r="W175" i="1"/>
  <c r="W236" i="1"/>
  <c r="W196" i="1"/>
  <c r="W242" i="1"/>
  <c r="W275" i="1"/>
  <c r="W300" i="1"/>
  <c r="W195" i="1"/>
  <c r="W359" i="1"/>
  <c r="W226" i="1"/>
  <c r="W354" i="1"/>
  <c r="W357" i="1"/>
  <c r="W324" i="1"/>
  <c r="Q29" i="57"/>
  <c r="T29" i="57" s="1"/>
  <c r="W326" i="1"/>
  <c r="W264" i="1"/>
  <c r="W327" i="1"/>
  <c r="W268" i="1"/>
  <c r="W318" i="1"/>
  <c r="W317" i="1"/>
  <c r="W281" i="1"/>
  <c r="W358" i="1"/>
  <c r="W235" i="1"/>
  <c r="W199" i="1"/>
  <c r="W348" i="1"/>
  <c r="W186" i="1"/>
  <c r="W294" i="1"/>
  <c r="W244" i="1"/>
  <c r="W232" i="1"/>
  <c r="W243" i="1"/>
  <c r="W233" i="1"/>
  <c r="W340" i="1"/>
  <c r="W301" i="1"/>
  <c r="W269" i="1"/>
  <c r="W202" i="1"/>
  <c r="W192" i="1"/>
  <c r="W303" i="1"/>
  <c r="R59" i="98"/>
  <c r="W346" i="1"/>
  <c r="R60" i="98" s="1"/>
  <c r="W304" i="1"/>
  <c r="W328" i="1"/>
  <c r="W228" i="1"/>
  <c r="W251" i="1"/>
  <c r="W321" i="1"/>
  <c r="W308" i="1"/>
  <c r="W256" i="1"/>
  <c r="W193" i="1"/>
  <c r="W249" i="1"/>
  <c r="W363" i="1"/>
  <c r="W279" i="1"/>
  <c r="W200" i="1"/>
  <c r="W289" i="1"/>
  <c r="W225" i="1"/>
  <c r="W182" i="1"/>
  <c r="W239" i="1"/>
  <c r="W191" i="1"/>
  <c r="W364" i="1"/>
  <c r="W220" i="1"/>
  <c r="W331" i="1"/>
  <c r="W362" i="1"/>
  <c r="W343" i="1"/>
  <c r="W360" i="1"/>
  <c r="W180" i="1"/>
  <c r="W280" i="1"/>
  <c r="W260" i="1"/>
  <c r="W205" i="1"/>
  <c r="W344" i="1"/>
  <c r="W311" i="1"/>
  <c r="W353" i="1"/>
  <c r="W319" i="1"/>
  <c r="W276" i="1"/>
  <c r="W305" i="1"/>
  <c r="W229" i="1"/>
  <c r="W288" i="1"/>
  <c r="W312" i="1"/>
  <c r="W181" i="1"/>
  <c r="W306" i="1"/>
  <c r="W334" i="1"/>
  <c r="W278" i="1"/>
  <c r="W351" i="1"/>
  <c r="W337" i="1"/>
  <c r="W297" i="1"/>
  <c r="W272" i="1"/>
  <c r="W338" i="1"/>
  <c r="W310" i="1"/>
  <c r="W247" i="1"/>
  <c r="W325" i="1"/>
  <c r="W345" i="1"/>
  <c r="W177" i="1"/>
  <c r="W361" i="1"/>
  <c r="W185" i="1"/>
  <c r="R36" i="98" s="1"/>
  <c r="W227" i="1"/>
  <c r="W241" i="1"/>
  <c r="W237" i="1"/>
  <c r="W266" i="1"/>
  <c r="W307" i="1"/>
  <c r="W298" i="1"/>
  <c r="W246" i="1"/>
  <c r="W341" i="1"/>
  <c r="W204" i="1"/>
  <c r="W250" i="1"/>
  <c r="W224" i="1"/>
  <c r="W197" i="1"/>
  <c r="W230" i="1"/>
  <c r="W332" i="1"/>
  <c r="W267" i="1"/>
  <c r="W316" i="1"/>
  <c r="Q28" i="57"/>
  <c r="AB28" i="57" s="1"/>
  <c r="BB28" i="57" s="1"/>
  <c r="W223" i="1"/>
  <c r="Q27" i="57"/>
  <c r="T27" i="57" s="1"/>
  <c r="W356" i="1"/>
  <c r="W261" i="1"/>
  <c r="W355" i="1"/>
  <c r="W255" i="1"/>
  <c r="W293" i="1"/>
  <c r="W198" i="1"/>
  <c r="W252" i="1"/>
  <c r="W234" i="1"/>
  <c r="W314" i="1"/>
  <c r="W263" i="1"/>
  <c r="W257" i="1"/>
  <c r="W284" i="1"/>
  <c r="Q25" i="57"/>
  <c r="AB25" i="57" s="1"/>
  <c r="BB25" i="57" s="1"/>
  <c r="W350" i="1"/>
  <c r="W285" i="1"/>
  <c r="W273" i="1"/>
  <c r="W336" i="1"/>
  <c r="W176" i="1"/>
  <c r="W277" i="1"/>
  <c r="W189" i="1"/>
  <c r="W283" i="1"/>
  <c r="Q30" i="57"/>
  <c r="AB30" i="57" s="1"/>
  <c r="BB30" i="57" s="1"/>
  <c r="W299" i="1"/>
  <c r="W253" i="1"/>
  <c r="W290" i="1"/>
  <c r="W292" i="1"/>
  <c r="W333" i="1"/>
  <c r="W262" i="1"/>
  <c r="W347" i="1"/>
  <c r="R57" i="98" s="1"/>
  <c r="AF18" i="57"/>
  <c r="AF16" i="57" s="1"/>
  <c r="BI18" i="57" s="1"/>
  <c r="BJ18" i="57" s="1"/>
  <c r="W203" i="1"/>
  <c r="DA207" i="1"/>
  <c r="CZ206" i="1"/>
  <c r="I154" i="71"/>
  <c r="K154" i="71" s="1"/>
  <c r="O154" i="71"/>
  <c r="I30" i="71"/>
  <c r="DU51" i="93"/>
  <c r="MZ57" i="93" s="1"/>
  <c r="AJ106" i="97"/>
  <c r="AZ115" i="97"/>
  <c r="BA115" i="97"/>
  <c r="BB115" i="97"/>
  <c r="AJ115" i="97"/>
  <c r="AM115" i="97" s="1"/>
  <c r="BA107" i="97"/>
  <c r="AJ107" i="97"/>
  <c r="AM107" i="97" s="1"/>
  <c r="BB107" i="97"/>
  <c r="AZ107" i="97"/>
  <c r="BA117" i="97"/>
  <c r="AJ117" i="97"/>
  <c r="AM117" i="97" s="1"/>
  <c r="BB117" i="97"/>
  <c r="AZ117" i="97"/>
  <c r="AZ114" i="97"/>
  <c r="BA114" i="97"/>
  <c r="BB114" i="97"/>
  <c r="AJ114" i="97"/>
  <c r="AM114" i="97" s="1"/>
  <c r="BB116" i="97"/>
  <c r="AJ116" i="97"/>
  <c r="AM116" i="97" s="1"/>
  <c r="BA116" i="97"/>
  <c r="AZ116" i="97"/>
  <c r="BA106" i="97"/>
  <c r="BB106" i="97"/>
  <c r="AZ106" i="97"/>
  <c r="AZ110" i="97"/>
  <c r="AJ110" i="97"/>
  <c r="AM110" i="97" s="1"/>
  <c r="BA110" i="97"/>
  <c r="BB110" i="97"/>
  <c r="AJ108" i="97"/>
  <c r="AM108" i="97" s="1"/>
  <c r="BA108" i="97"/>
  <c r="BB108" i="97"/>
  <c r="AZ108" i="97"/>
  <c r="BB109" i="97"/>
  <c r="BA109" i="97"/>
  <c r="AZ109" i="97"/>
  <c r="AJ109" i="97"/>
  <c r="AM109" i="97" s="1"/>
  <c r="O13" i="93"/>
  <c r="H13" i="93"/>
  <c r="I13" i="93" s="1"/>
  <c r="L13" i="93" s="1"/>
  <c r="K17" i="71"/>
  <c r="FC62" i="93"/>
  <c r="HG60" i="93"/>
  <c r="HJ64" i="93"/>
  <c r="HL64" i="93" s="1"/>
  <c r="AJ99" i="97"/>
  <c r="BB99" i="97"/>
  <c r="O153" i="71" s="1"/>
  <c r="AZ99" i="97"/>
  <c r="BA99" i="97"/>
  <c r="CO13" i="130"/>
  <c r="GT13" i="1" l="1"/>
  <c r="GV13" i="1"/>
  <c r="DA206" i="1"/>
  <c r="W166" i="1"/>
  <c r="R14" i="98"/>
  <c r="R54" i="98"/>
  <c r="R52" i="98"/>
  <c r="K70" i="71"/>
  <c r="R53" i="98"/>
  <c r="G27" i="98"/>
  <c r="G32" i="98"/>
  <c r="R55" i="98"/>
  <c r="R61" i="98"/>
  <c r="R51" i="98"/>
  <c r="GU13" i="1"/>
  <c r="GY13" i="1"/>
  <c r="HO13" i="1"/>
  <c r="IE13" i="1"/>
  <c r="HR13" i="1"/>
  <c r="HH13" i="1"/>
  <c r="HX13" i="1"/>
  <c r="HZ13" i="1"/>
  <c r="HI13" i="1"/>
  <c r="HY13" i="1"/>
  <c r="HW13" i="1"/>
  <c r="HP13" i="1"/>
  <c r="HQ13" i="1"/>
  <c r="HC13" i="1"/>
  <c r="HS13" i="1"/>
  <c r="II13" i="1"/>
  <c r="IH13" i="1"/>
  <c r="HL13" i="1"/>
  <c r="IB13" i="1"/>
  <c r="GW13" i="1"/>
  <c r="HM13" i="1"/>
  <c r="IC13" i="1"/>
  <c r="HN13" i="1"/>
  <c r="HG13" i="1"/>
  <c r="GX13" i="1"/>
  <c r="HA13" i="1"/>
  <c r="HV13" i="1"/>
  <c r="HK13" i="1"/>
  <c r="IA13" i="1"/>
  <c r="HF13" i="1"/>
  <c r="HD13" i="1"/>
  <c r="HT13" i="1"/>
  <c r="IJ13" i="1"/>
  <c r="HE13" i="1"/>
  <c r="HU13" i="1"/>
  <c r="HB13" i="1"/>
  <c r="ID13" i="1"/>
  <c r="HJ13" i="1"/>
  <c r="GZ13" i="1"/>
  <c r="IF13" i="1"/>
  <c r="IG13" i="1"/>
  <c r="AA122" i="123"/>
  <c r="DQ122" i="123" s="1"/>
  <c r="DP122" i="123"/>
  <c r="CA70" i="130" s="1"/>
  <c r="GP156" i="1"/>
  <c r="HJ60" i="93"/>
  <c r="HL60" i="93" s="1"/>
  <c r="R41" i="98"/>
  <c r="R40" i="98"/>
  <c r="R35" i="98"/>
  <c r="R46" i="98"/>
  <c r="R42" i="98"/>
  <c r="CZ184" i="1"/>
  <c r="CZ282" i="1"/>
  <c r="DA282" i="1" s="1"/>
  <c r="CZ335" i="1"/>
  <c r="DA335" i="1" s="1"/>
  <c r="CZ248" i="1"/>
  <c r="DA248" i="1" s="1"/>
  <c r="CZ296" i="1"/>
  <c r="DA296" i="1" s="1"/>
  <c r="CZ323" i="1"/>
  <c r="DA323" i="1" s="1"/>
  <c r="CZ178" i="1"/>
  <c r="DA178" i="1" s="1"/>
  <c r="DA340" i="1"/>
  <c r="DA339" i="1" s="1"/>
  <c r="CZ194" i="1"/>
  <c r="DA194" i="1" s="1"/>
  <c r="CZ201" i="1"/>
  <c r="DA201" i="1" s="1"/>
  <c r="CZ271" i="1"/>
  <c r="DA271" i="1" s="1"/>
  <c r="CZ221" i="1"/>
  <c r="DA221" i="1" s="1"/>
  <c r="CZ231" i="1"/>
  <c r="DA231" i="1" s="1"/>
  <c r="CZ302" i="1"/>
  <c r="DA302" i="1" s="1"/>
  <c r="CZ295" i="1"/>
  <c r="DA295" i="1" s="1"/>
  <c r="CZ174" i="1"/>
  <c r="DA174" i="1" s="1"/>
  <c r="CZ238" i="1"/>
  <c r="DA238" i="1" s="1"/>
  <c r="CZ287" i="1"/>
  <c r="DA287" i="1" s="1"/>
  <c r="CZ259" i="1"/>
  <c r="DA259" i="1" s="1"/>
  <c r="CZ222" i="1"/>
  <c r="DA222" i="1" s="1"/>
  <c r="CZ188" i="1"/>
  <c r="R48" i="98"/>
  <c r="R49" i="98"/>
  <c r="R38" i="98"/>
  <c r="W164" i="1"/>
  <c r="W163" i="1" s="1"/>
  <c r="DP119" i="123"/>
  <c r="CA68" i="130" s="1"/>
  <c r="R39" i="98"/>
  <c r="R44" i="98"/>
  <c r="R47" i="98"/>
  <c r="R50" i="98"/>
  <c r="R34" i="98"/>
  <c r="R43" i="98"/>
  <c r="R37" i="98"/>
  <c r="R45" i="98"/>
  <c r="DP125" i="123"/>
  <c r="X170" i="1"/>
  <c r="CZ329" i="1"/>
  <c r="CZ330" i="1"/>
  <c r="DA330" i="1" s="1"/>
  <c r="DQ126" i="123"/>
  <c r="CZ187" i="1"/>
  <c r="DA189" i="1"/>
  <c r="W167" i="1"/>
  <c r="AB27" i="57"/>
  <c r="BB27" i="57" s="1"/>
  <c r="BJ27" i="57" s="1"/>
  <c r="T30" i="57"/>
  <c r="U30" i="57" s="1"/>
  <c r="AF30" i="57" s="1"/>
  <c r="AB29" i="57"/>
  <c r="BB29" i="57" s="1"/>
  <c r="BI29" i="57" s="1"/>
  <c r="AK29" i="57" s="1"/>
  <c r="T28" i="57"/>
  <c r="AE28" i="57" s="1"/>
  <c r="T25" i="57"/>
  <c r="U25" i="57" s="1"/>
  <c r="AF25" i="57" s="1"/>
  <c r="DQ129" i="123"/>
  <c r="AM99" i="97"/>
  <c r="AN99" i="97" s="1"/>
  <c r="AM106" i="97"/>
  <c r="M154" i="71" s="1"/>
  <c r="AN114" i="97"/>
  <c r="AO114" i="97"/>
  <c r="AN115" i="97"/>
  <c r="AO115" i="97"/>
  <c r="AO116" i="97"/>
  <c r="AN116" i="97"/>
  <c r="AO117" i="97"/>
  <c r="AN117" i="97"/>
  <c r="AO107" i="97"/>
  <c r="AN107" i="97"/>
  <c r="AN109" i="97"/>
  <c r="AO109" i="97"/>
  <c r="AO110" i="97"/>
  <c r="AN110" i="97"/>
  <c r="AO108" i="97"/>
  <c r="AN108" i="97"/>
  <c r="FR87" i="93"/>
  <c r="FR86" i="93"/>
  <c r="HK64" i="93"/>
  <c r="CM12" i="130"/>
  <c r="H93" i="98"/>
  <c r="H35" i="98"/>
  <c r="H69" i="98"/>
  <c r="H84" i="98"/>
  <c r="H91" i="98"/>
  <c r="H34" i="98"/>
  <c r="H83" i="98"/>
  <c r="H39" i="98"/>
  <c r="H40" i="98"/>
  <c r="H71" i="98"/>
  <c r="H89" i="98"/>
  <c r="H44" i="98"/>
  <c r="H57" i="98"/>
  <c r="H42" i="98"/>
  <c r="H70" i="98"/>
  <c r="H81" i="98"/>
  <c r="H61" i="98"/>
  <c r="H75" i="98"/>
  <c r="H73" i="98"/>
  <c r="H60" i="98"/>
  <c r="H36" i="98"/>
  <c r="H52" i="98"/>
  <c r="H59" i="98"/>
  <c r="H80" i="98"/>
  <c r="H45" i="98"/>
  <c r="H79" i="98"/>
  <c r="H56" i="98"/>
  <c r="H68" i="98"/>
  <c r="H88" i="98"/>
  <c r="H67" i="98"/>
  <c r="H58" i="98"/>
  <c r="H76" i="98"/>
  <c r="H55" i="98"/>
  <c r="H51" i="98"/>
  <c r="H94" i="98"/>
  <c r="H74" i="98"/>
  <c r="H47" i="98"/>
  <c r="H65" i="98"/>
  <c r="H54" i="98"/>
  <c r="H50" i="98"/>
  <c r="H64" i="98"/>
  <c r="H66" i="98"/>
  <c r="H53" i="98"/>
  <c r="H90" i="98"/>
  <c r="H78" i="98"/>
  <c r="H41" i="98"/>
  <c r="H86" i="98"/>
  <c r="H49" i="98"/>
  <c r="H87" i="98"/>
  <c r="H38" i="98"/>
  <c r="H62" i="98"/>
  <c r="H85" i="98"/>
  <c r="H72" i="98"/>
  <c r="H48" i="98"/>
  <c r="H82" i="98"/>
  <c r="H43" i="98"/>
  <c r="H92" i="98"/>
  <c r="H77" i="98"/>
  <c r="H46" i="98"/>
  <c r="H63" i="98"/>
  <c r="FR67" i="93"/>
  <c r="FR91" i="93"/>
  <c r="FR72" i="93"/>
  <c r="FR96" i="93"/>
  <c r="V104" i="130" s="1"/>
  <c r="CL104" i="130" s="1"/>
  <c r="FR111" i="93"/>
  <c r="FR95" i="93"/>
  <c r="FR69" i="93"/>
  <c r="FR94" i="93"/>
  <c r="C102" i="130" s="1"/>
  <c r="CK102" i="130" s="1"/>
  <c r="FR98" i="93"/>
  <c r="FR85" i="93"/>
  <c r="FR108" i="93"/>
  <c r="FR110" i="93"/>
  <c r="FR104" i="93"/>
  <c r="FR106" i="93"/>
  <c r="FR70" i="93"/>
  <c r="FR73" i="93"/>
  <c r="FR101" i="93"/>
  <c r="FR105" i="93"/>
  <c r="FR75" i="93"/>
  <c r="FR113" i="93"/>
  <c r="FR83" i="93"/>
  <c r="FR97" i="93"/>
  <c r="FR112" i="93"/>
  <c r="FR65" i="93"/>
  <c r="FR77" i="93"/>
  <c r="FR92" i="93"/>
  <c r="FR81" i="93"/>
  <c r="FR84" i="93"/>
  <c r="FR88" i="93"/>
  <c r="AY96" i="130" s="1"/>
  <c r="CO96" i="130" s="1"/>
  <c r="FR64" i="93"/>
  <c r="FR76" i="93"/>
  <c r="BK84" i="130" s="1"/>
  <c r="CQ84" i="130" s="1"/>
  <c r="FR78" i="93"/>
  <c r="FR100" i="93"/>
  <c r="FR66" i="93"/>
  <c r="FR90" i="93"/>
  <c r="FR103" i="93"/>
  <c r="FR102" i="93"/>
  <c r="FR79" i="93"/>
  <c r="FR68" i="93"/>
  <c r="FR71" i="93"/>
  <c r="FR107" i="93"/>
  <c r="FR80" i="93"/>
  <c r="FR109" i="93"/>
  <c r="FR99" i="93"/>
  <c r="FR82" i="93"/>
  <c r="FR93" i="93"/>
  <c r="FR89" i="93"/>
  <c r="U27" i="57"/>
  <c r="AF27" i="57" s="1"/>
  <c r="AE27" i="57"/>
  <c r="CN12" i="130"/>
  <c r="AE29" i="57"/>
  <c r="U29" i="57"/>
  <c r="AF29" i="57" s="1"/>
  <c r="H37" i="98"/>
  <c r="DA184" i="1" l="1"/>
  <c r="CZ181" i="1"/>
  <c r="CZ173" i="1"/>
  <c r="DA173" i="1" s="1"/>
  <c r="DA188" i="1"/>
  <c r="D28" i="93"/>
  <c r="L28" i="93" s="1"/>
  <c r="HG40" i="93" s="1"/>
  <c r="HJ40" i="93" s="1"/>
  <c r="CZ167" i="1"/>
  <c r="I72" i="71"/>
  <c r="DQ125" i="123"/>
  <c r="W170" i="1"/>
  <c r="R32" i="98"/>
  <c r="HK60" i="93"/>
  <c r="CZ163" i="1"/>
  <c r="CJ68" i="130" s="1"/>
  <c r="DA329" i="1"/>
  <c r="EA4" i="123"/>
  <c r="H36" i="93"/>
  <c r="AA166" i="1"/>
  <c r="R27" i="98"/>
  <c r="CZ170" i="1"/>
  <c r="DA170" i="1" s="1"/>
  <c r="S47" i="98"/>
  <c r="FO47" i="98" s="1"/>
  <c r="FN47" i="98" s="1"/>
  <c r="DA187" i="1"/>
  <c r="AE30" i="57"/>
  <c r="AE25" i="57"/>
  <c r="BJ29" i="57"/>
  <c r="BI27" i="57"/>
  <c r="AK27" i="57" s="1"/>
  <c r="AK25" i="57" s="1"/>
  <c r="BJ25" i="57" s="1"/>
  <c r="BJ15" i="57" s="1"/>
  <c r="U28" i="57"/>
  <c r="AF28" i="57" s="1"/>
  <c r="H27" i="93"/>
  <c r="AO99" i="97"/>
  <c r="M153" i="71" s="1"/>
  <c r="CO12" i="130"/>
  <c r="AN106" i="97"/>
  <c r="AO106" i="97"/>
  <c r="H27" i="98"/>
  <c r="DH87" i="130"/>
  <c r="DF97" i="130"/>
  <c r="DF90" i="130"/>
  <c r="DD77" i="130"/>
  <c r="DI94" i="130"/>
  <c r="DI86" i="130"/>
  <c r="DF106" i="130"/>
  <c r="DH81" i="130"/>
  <c r="DI74" i="130"/>
  <c r="DD89" i="130"/>
  <c r="DD102" i="130"/>
  <c r="DF75" i="130"/>
  <c r="DF102" i="130"/>
  <c r="DG105" i="130"/>
  <c r="DC89" i="130"/>
  <c r="DG97" i="130"/>
  <c r="DF87" i="130"/>
  <c r="DI89" i="130"/>
  <c r="DA90" i="130"/>
  <c r="DG93" i="130"/>
  <c r="DA91" i="130"/>
  <c r="DD105" i="130"/>
  <c r="DC88" i="130"/>
  <c r="DI95" i="130"/>
  <c r="DH89" i="130"/>
  <c r="DI96" i="130"/>
  <c r="DG88" i="130"/>
  <c r="DC73" i="130"/>
  <c r="DD97" i="130"/>
  <c r="DD90" i="130"/>
  <c r="DG81" i="130"/>
  <c r="DA93" i="130"/>
  <c r="DA99" i="130"/>
  <c r="DI102" i="130"/>
  <c r="DI98" i="130"/>
  <c r="DC83" i="130"/>
  <c r="DG96" i="130"/>
  <c r="DG100" i="130"/>
  <c r="DH80" i="130"/>
  <c r="DC86" i="130"/>
  <c r="DC76" i="130"/>
  <c r="DG98" i="130"/>
  <c r="DA78" i="130"/>
  <c r="DH90" i="130"/>
  <c r="DF98" i="130"/>
  <c r="DF99" i="130"/>
  <c r="DH76" i="130"/>
  <c r="DA80" i="130"/>
  <c r="DD93" i="130"/>
  <c r="DI73" i="130"/>
  <c r="DH104" i="130"/>
  <c r="DG86" i="130"/>
  <c r="DF101" i="130"/>
  <c r="DC102" i="130"/>
  <c r="DG104" i="130"/>
  <c r="DI90" i="130"/>
  <c r="DI97" i="130"/>
  <c r="DE86" i="130"/>
  <c r="DD82" i="130"/>
  <c r="DA96" i="130"/>
  <c r="DC98" i="130"/>
  <c r="DD84" i="130"/>
  <c r="DH96" i="130"/>
  <c r="DI103" i="130"/>
  <c r="DD106" i="130"/>
  <c r="DE96" i="130"/>
  <c r="DH77" i="130"/>
  <c r="DG103" i="130"/>
  <c r="DE76" i="130"/>
  <c r="DA104" i="130"/>
  <c r="DF86" i="130"/>
  <c r="DF96" i="130"/>
  <c r="DF80" i="130"/>
  <c r="DD92" i="130"/>
  <c r="DE78" i="130"/>
  <c r="DG72" i="130"/>
  <c r="DC82" i="130"/>
  <c r="DG92" i="130"/>
  <c r="DI93" i="130"/>
  <c r="DG80" i="130"/>
  <c r="DD81" i="130"/>
  <c r="DF95" i="130"/>
  <c r="DI87" i="130"/>
  <c r="DH102" i="130"/>
  <c r="DA103" i="130"/>
  <c r="DF91" i="130"/>
  <c r="DE94" i="130"/>
  <c r="DD96" i="130"/>
  <c r="DE72" i="130"/>
  <c r="DF93" i="130"/>
  <c r="DH82" i="130"/>
  <c r="DF77" i="130"/>
  <c r="DA105" i="130"/>
  <c r="DE73" i="130"/>
  <c r="DE83" i="130"/>
  <c r="DC90" i="130"/>
  <c r="DD75" i="130"/>
  <c r="DG74" i="130"/>
  <c r="DC93" i="130"/>
  <c r="DA95" i="130"/>
  <c r="DG75" i="130"/>
  <c r="DH88" i="130"/>
  <c r="DG84" i="130"/>
  <c r="DE90" i="130"/>
  <c r="DH95" i="130"/>
  <c r="DI85" i="130"/>
  <c r="DG85" i="130"/>
  <c r="DD72" i="130"/>
  <c r="DG99" i="130"/>
  <c r="DA76" i="130"/>
  <c r="DC104" i="130"/>
  <c r="DA102" i="130"/>
  <c r="DH92" i="130"/>
  <c r="DG73" i="130"/>
  <c r="DC105" i="130"/>
  <c r="DD80" i="130"/>
  <c r="DI76" i="130"/>
  <c r="DF76" i="130"/>
  <c r="DG83" i="130"/>
  <c r="DA106" i="130"/>
  <c r="DD73" i="130"/>
  <c r="DD79" i="130"/>
  <c r="DE100" i="130"/>
  <c r="DI104" i="130"/>
  <c r="DH97" i="130"/>
  <c r="DC96" i="130"/>
  <c r="DI101" i="130"/>
  <c r="DG90" i="130"/>
  <c r="DG102" i="130"/>
  <c r="DE88" i="130"/>
  <c r="DG87" i="130"/>
  <c r="DC99" i="130"/>
  <c r="DD78" i="130"/>
  <c r="DH99" i="130"/>
  <c r="DE81" i="130"/>
  <c r="DD101" i="130"/>
  <c r="DC103" i="130"/>
  <c r="DE75" i="130"/>
  <c r="DD99" i="130"/>
  <c r="DI92" i="130"/>
  <c r="DF105" i="130"/>
  <c r="DE106" i="130"/>
  <c r="DI72" i="130"/>
  <c r="DA87" i="130"/>
  <c r="DI106" i="130"/>
  <c r="DI88" i="130"/>
  <c r="DI80" i="130"/>
  <c r="DE104" i="130"/>
  <c r="DH86" i="130"/>
  <c r="DG106" i="130"/>
  <c r="DC106" i="130"/>
  <c r="DE89" i="130"/>
  <c r="DF82" i="130"/>
  <c r="DD87" i="130"/>
  <c r="DI79" i="130"/>
  <c r="DF85" i="130"/>
  <c r="DI100" i="130"/>
  <c r="DA101" i="130"/>
  <c r="DC79" i="130"/>
  <c r="DA85" i="130"/>
  <c r="DC92" i="130"/>
  <c r="DH106" i="130"/>
  <c r="DH98" i="130"/>
  <c r="DA88" i="130"/>
  <c r="DA84" i="130"/>
  <c r="DH101" i="130"/>
  <c r="DC101" i="130"/>
  <c r="DE93" i="130"/>
  <c r="DI84" i="130"/>
  <c r="DG82" i="130"/>
  <c r="DH83" i="130"/>
  <c r="DE102" i="130"/>
  <c r="DA86" i="130"/>
  <c r="DA98" i="130"/>
  <c r="DE95" i="130"/>
  <c r="DC100" i="130"/>
  <c r="DF94" i="130"/>
  <c r="DE74" i="130"/>
  <c r="DA82" i="130"/>
  <c r="DA94" i="130"/>
  <c r="DC81" i="130"/>
  <c r="DE82" i="130"/>
  <c r="DA74" i="130"/>
  <c r="DE80" i="130"/>
  <c r="DA75" i="130"/>
  <c r="DH94" i="130"/>
  <c r="DI78" i="130"/>
  <c r="DH100" i="130"/>
  <c r="DI77" i="130"/>
  <c r="DE103" i="130"/>
  <c r="DH74" i="130"/>
  <c r="DD98" i="130"/>
  <c r="DD83" i="130"/>
  <c r="DG76" i="130"/>
  <c r="DH103" i="130"/>
  <c r="DD76" i="130"/>
  <c r="DI81" i="130"/>
  <c r="DF89" i="130"/>
  <c r="DF88" i="130"/>
  <c r="DH91" i="130"/>
  <c r="DF103" i="130"/>
  <c r="DC97" i="130"/>
  <c r="DI75" i="130"/>
  <c r="DG94" i="130"/>
  <c r="DE99" i="130"/>
  <c r="DE92" i="130"/>
  <c r="DE97" i="130"/>
  <c r="DF72" i="130"/>
  <c r="DD74" i="130"/>
  <c r="DG79" i="130"/>
  <c r="DI91" i="130"/>
  <c r="DF92" i="130"/>
  <c r="DC72" i="130"/>
  <c r="DD85" i="130"/>
  <c r="DA79" i="130"/>
  <c r="DD100" i="130"/>
  <c r="DC74" i="130"/>
  <c r="DA77" i="130"/>
  <c r="DE91" i="130"/>
  <c r="DI83" i="130"/>
  <c r="DE85" i="130"/>
  <c r="DF84" i="130"/>
  <c r="DH105" i="130"/>
  <c r="DC75" i="130"/>
  <c r="DD95" i="130"/>
  <c r="DG95" i="130"/>
  <c r="DF81" i="130"/>
  <c r="DA83" i="130"/>
  <c r="DE84" i="130"/>
  <c r="DD91" i="130"/>
  <c r="DG89" i="130"/>
  <c r="DE77" i="130"/>
  <c r="DE101" i="130"/>
  <c r="DF74" i="130"/>
  <c r="DH93" i="130"/>
  <c r="DC78" i="130"/>
  <c r="DC85" i="130"/>
  <c r="DD104" i="130"/>
  <c r="DG77" i="130"/>
  <c r="DG101" i="130"/>
  <c r="DA97" i="130"/>
  <c r="DC87" i="130"/>
  <c r="DH73" i="130"/>
  <c r="DD88" i="130"/>
  <c r="DD94" i="130"/>
  <c r="DC94" i="130"/>
  <c r="DI82" i="130"/>
  <c r="DD86" i="130"/>
  <c r="DF78" i="130"/>
  <c r="DH78" i="130"/>
  <c r="DE105" i="130"/>
  <c r="DA81" i="130"/>
  <c r="DC91" i="130"/>
  <c r="DC77" i="130"/>
  <c r="DA89" i="130"/>
  <c r="DC84" i="130"/>
  <c r="DE87" i="130"/>
  <c r="DF73" i="130"/>
  <c r="DD103" i="130"/>
  <c r="DI105" i="130"/>
  <c r="DE98" i="130"/>
  <c r="DH75" i="130"/>
  <c r="DC95" i="130"/>
  <c r="DF83" i="130"/>
  <c r="DC80" i="130"/>
  <c r="DF104" i="130"/>
  <c r="DA92" i="130"/>
  <c r="DA73" i="130"/>
  <c r="DF100" i="130"/>
  <c r="DI99" i="130"/>
  <c r="DF79" i="130"/>
  <c r="DG78" i="130"/>
  <c r="DE79" i="130"/>
  <c r="DH72" i="130"/>
  <c r="DH84" i="130"/>
  <c r="DG91" i="130"/>
  <c r="DH79" i="130"/>
  <c r="DH85" i="130"/>
  <c r="DA100" i="130"/>
  <c r="DA72" i="130"/>
  <c r="DA181" i="1" l="1"/>
  <c r="DA167" i="1"/>
  <c r="AV103" i="97"/>
  <c r="AJ103" i="97" s="1"/>
  <c r="I67" i="71"/>
  <c r="I134" i="71" s="1"/>
  <c r="K134" i="71" s="1"/>
  <c r="GN4" i="1"/>
  <c r="JV4" i="1" s="1"/>
  <c r="JV159" i="1" s="1"/>
  <c r="JV161" i="1" s="1"/>
  <c r="D36" i="93"/>
  <c r="L36" i="93" s="1"/>
  <c r="HG39" i="93" s="1"/>
  <c r="HG18" i="93" s="1"/>
  <c r="CZ166" i="1"/>
  <c r="CJ70" i="130" s="1"/>
  <c r="IF4" i="123"/>
  <c r="IF115" i="123" s="1"/>
  <c r="IQ4" i="123"/>
  <c r="IQ115" i="123" s="1"/>
  <c r="ID4" i="123"/>
  <c r="ID115" i="123" s="1"/>
  <c r="IY4" i="123"/>
  <c r="IY115" i="123" s="1"/>
  <c r="IN4" i="123"/>
  <c r="IN115" i="123" s="1"/>
  <c r="IT4" i="123"/>
  <c r="IT115" i="123" s="1"/>
  <c r="EJ4" i="123"/>
  <c r="EJ115" i="123" s="1"/>
  <c r="EN4" i="123"/>
  <c r="EN115" i="123" s="1"/>
  <c r="HH4" i="123"/>
  <c r="HH115" i="123" s="1"/>
  <c r="EP4" i="123"/>
  <c r="EP115" i="123" s="1"/>
  <c r="GG4" i="123"/>
  <c r="GG115" i="123" s="1"/>
  <c r="FN4" i="123"/>
  <c r="FN115" i="123" s="1"/>
  <c r="FH4" i="123"/>
  <c r="FH115" i="123" s="1"/>
  <c r="GR4" i="123"/>
  <c r="GR115" i="123" s="1"/>
  <c r="HZ4" i="123"/>
  <c r="HZ115" i="123" s="1"/>
  <c r="GI4" i="123"/>
  <c r="GI115" i="123" s="1"/>
  <c r="FA4" i="123"/>
  <c r="FA115" i="123" s="1"/>
  <c r="FS4" i="123"/>
  <c r="FS115" i="123" s="1"/>
  <c r="EY4" i="123"/>
  <c r="EY115" i="123" s="1"/>
  <c r="HM4" i="123"/>
  <c r="HM115" i="123" s="1"/>
  <c r="HG4" i="123"/>
  <c r="HG115" i="123" s="1"/>
  <c r="FD4" i="123"/>
  <c r="FD115" i="123" s="1"/>
  <c r="GM4" i="123"/>
  <c r="GM115" i="123" s="1"/>
  <c r="GL4" i="123"/>
  <c r="GL115" i="123" s="1"/>
  <c r="GD4" i="123"/>
  <c r="GD115" i="123" s="1"/>
  <c r="GU4" i="123"/>
  <c r="GU115" i="123" s="1"/>
  <c r="FV4" i="123"/>
  <c r="FV115" i="123" s="1"/>
  <c r="FP4" i="123"/>
  <c r="FP115" i="123" s="1"/>
  <c r="HS4" i="123"/>
  <c r="HS115" i="123" s="1"/>
  <c r="HQ4" i="123"/>
  <c r="HQ115" i="123" s="1"/>
  <c r="IE4" i="123"/>
  <c r="IE115" i="123" s="1"/>
  <c r="IH4" i="123"/>
  <c r="IH115" i="123" s="1"/>
  <c r="IR4" i="123"/>
  <c r="IR115" i="123" s="1"/>
  <c r="IM4" i="123"/>
  <c r="IM115" i="123" s="1"/>
  <c r="IL4" i="123"/>
  <c r="IL115" i="123" s="1"/>
  <c r="IO4" i="123"/>
  <c r="IO115" i="123" s="1"/>
  <c r="II4" i="123"/>
  <c r="II115" i="123" s="1"/>
  <c r="EG4" i="123"/>
  <c r="EG115" i="123" s="1"/>
  <c r="EI4" i="123"/>
  <c r="EI115" i="123" s="1"/>
  <c r="EO4" i="123"/>
  <c r="EO115" i="123" s="1"/>
  <c r="GP4" i="123"/>
  <c r="GP115" i="123" s="1"/>
  <c r="GH4" i="123"/>
  <c r="GH115" i="123" s="1"/>
  <c r="FT4" i="123"/>
  <c r="FT115" i="123" s="1"/>
  <c r="HO4" i="123"/>
  <c r="HO115" i="123" s="1"/>
  <c r="FF4" i="123"/>
  <c r="FF115" i="123" s="1"/>
  <c r="GQ4" i="123"/>
  <c r="GQ115" i="123" s="1"/>
  <c r="FZ4" i="123"/>
  <c r="FZ115" i="123" s="1"/>
  <c r="FQ4" i="123"/>
  <c r="FQ115" i="123" s="1"/>
  <c r="HD4" i="123"/>
  <c r="HD115" i="123" s="1"/>
  <c r="ER4" i="123"/>
  <c r="ER115" i="123" s="1"/>
  <c r="FO4" i="123"/>
  <c r="FO115" i="123" s="1"/>
  <c r="GO4" i="123"/>
  <c r="GO115" i="123" s="1"/>
  <c r="GZ4" i="123"/>
  <c r="GZ115" i="123" s="1"/>
  <c r="HI4" i="123"/>
  <c r="HI115" i="123" s="1"/>
  <c r="FY4" i="123"/>
  <c r="FY115" i="123" s="1"/>
  <c r="FG4" i="123"/>
  <c r="FG115" i="123" s="1"/>
  <c r="FE4" i="123"/>
  <c r="FE115" i="123" s="1"/>
  <c r="FM4" i="123"/>
  <c r="FM115" i="123" s="1"/>
  <c r="EQ4" i="123"/>
  <c r="EQ115" i="123" s="1"/>
  <c r="HW4" i="123"/>
  <c r="HW115" i="123" s="1"/>
  <c r="HV4" i="123"/>
  <c r="HV115" i="123" s="1"/>
  <c r="IA4" i="123"/>
  <c r="IA115" i="123" s="1"/>
  <c r="IP4" i="123"/>
  <c r="IP115" i="123" s="1"/>
  <c r="JC4" i="123"/>
  <c r="JC115" i="123" s="1"/>
  <c r="IU4" i="123"/>
  <c r="IU115" i="123" s="1"/>
  <c r="IB4" i="123"/>
  <c r="IB115" i="123" s="1"/>
  <c r="IC4" i="123"/>
  <c r="IC115" i="123" s="1"/>
  <c r="IS4" i="123"/>
  <c r="IS115" i="123" s="1"/>
  <c r="IG4" i="123"/>
  <c r="IG115" i="123" s="1"/>
  <c r="EL4" i="123"/>
  <c r="EL115" i="123" s="1"/>
  <c r="EK4" i="123"/>
  <c r="EK115" i="123" s="1"/>
  <c r="HL4" i="123"/>
  <c r="HL115" i="123" s="1"/>
  <c r="GA4" i="123"/>
  <c r="GA115" i="123" s="1"/>
  <c r="ES4" i="123"/>
  <c r="ES115" i="123" s="1"/>
  <c r="FB4" i="123"/>
  <c r="FB115" i="123" s="1"/>
  <c r="GX4" i="123"/>
  <c r="GX115" i="123" s="1"/>
  <c r="GS4" i="123"/>
  <c r="GS115" i="123" s="1"/>
  <c r="FW4" i="123"/>
  <c r="FW115" i="123" s="1"/>
  <c r="HN4" i="123"/>
  <c r="HN115" i="123" s="1"/>
  <c r="EW4" i="123"/>
  <c r="EW115" i="123" s="1"/>
  <c r="GN4" i="123"/>
  <c r="GN115" i="123" s="1"/>
  <c r="HJ4" i="123"/>
  <c r="HJ115" i="123" s="1"/>
  <c r="GK4" i="123"/>
  <c r="GK115" i="123" s="1"/>
  <c r="EV4" i="123"/>
  <c r="EV115" i="123" s="1"/>
  <c r="GF4" i="123"/>
  <c r="GF115" i="123" s="1"/>
  <c r="FR4" i="123"/>
  <c r="FR115" i="123" s="1"/>
  <c r="FL4" i="123"/>
  <c r="FL115" i="123" s="1"/>
  <c r="HA4" i="123"/>
  <c r="HA115" i="123" s="1"/>
  <c r="EU4" i="123"/>
  <c r="EU115" i="123" s="1"/>
  <c r="GW4" i="123"/>
  <c r="GW115" i="123" s="1"/>
  <c r="FU4" i="123"/>
  <c r="FU115" i="123" s="1"/>
  <c r="HX4" i="123"/>
  <c r="HX115" i="123" s="1"/>
  <c r="HY4" i="123"/>
  <c r="HY115" i="123" s="1"/>
  <c r="HT4" i="123"/>
  <c r="HT115" i="123" s="1"/>
  <c r="JA4" i="123"/>
  <c r="JA115" i="123" s="1"/>
  <c r="IK4" i="123"/>
  <c r="IK115" i="123" s="1"/>
  <c r="IW4" i="123"/>
  <c r="IW115" i="123" s="1"/>
  <c r="JB4" i="123"/>
  <c r="JB115" i="123" s="1"/>
  <c r="IX4" i="123"/>
  <c r="IX115" i="123" s="1"/>
  <c r="IZ4" i="123"/>
  <c r="IZ115" i="123" s="1"/>
  <c r="IV4" i="123"/>
  <c r="IV115" i="123" s="1"/>
  <c r="EH4" i="123"/>
  <c r="EH115" i="123" s="1"/>
  <c r="EM4" i="123"/>
  <c r="EM115" i="123" s="1"/>
  <c r="EZ4" i="123"/>
  <c r="EZ115" i="123" s="1"/>
  <c r="FI4" i="123"/>
  <c r="FI115" i="123" s="1"/>
  <c r="HC4" i="123"/>
  <c r="HC115" i="123" s="1"/>
  <c r="HF4" i="123"/>
  <c r="HF115" i="123" s="1"/>
  <c r="GC4" i="123"/>
  <c r="GC115" i="123" s="1"/>
  <c r="ET4" i="123"/>
  <c r="ET115" i="123" s="1"/>
  <c r="FC4" i="123"/>
  <c r="FC115" i="123" s="1"/>
  <c r="HB4" i="123"/>
  <c r="HB115" i="123" s="1"/>
  <c r="GV4" i="123"/>
  <c r="GV115" i="123" s="1"/>
  <c r="GB4" i="123"/>
  <c r="GB115" i="123" s="1"/>
  <c r="FX4" i="123"/>
  <c r="FX115" i="123" s="1"/>
  <c r="FJ4" i="123"/>
  <c r="FJ115" i="123" s="1"/>
  <c r="GT4" i="123"/>
  <c r="GT115" i="123" s="1"/>
  <c r="FK4" i="123"/>
  <c r="FK115" i="123" s="1"/>
  <c r="HK4" i="123"/>
  <c r="HK115" i="123" s="1"/>
  <c r="EX4" i="123"/>
  <c r="EX115" i="123" s="1"/>
  <c r="GJ4" i="123"/>
  <c r="GJ115" i="123" s="1"/>
  <c r="GE4" i="123"/>
  <c r="GE115" i="123" s="1"/>
  <c r="HE4" i="123"/>
  <c r="HE115" i="123" s="1"/>
  <c r="GY4" i="123"/>
  <c r="GY115" i="123" s="1"/>
  <c r="HP4" i="123"/>
  <c r="HP115" i="123" s="1"/>
  <c r="HU4" i="123"/>
  <c r="HU115" i="123" s="1"/>
  <c r="HR4" i="123"/>
  <c r="HR115" i="123" s="1"/>
  <c r="IJ4" i="123"/>
  <c r="IJ115" i="123" s="1"/>
  <c r="CZ169" i="1"/>
  <c r="I63" i="71" s="1"/>
  <c r="DP117" i="123"/>
  <c r="S115" i="123" s="1"/>
  <c r="S48" i="98"/>
  <c r="FO48" i="98" s="1"/>
  <c r="FY48" i="98" s="1"/>
  <c r="S53" i="98"/>
  <c r="FO53" i="98" s="1"/>
  <c r="FR53" i="98" s="1"/>
  <c r="J26" i="136" s="1"/>
  <c r="S73" i="98"/>
  <c r="FO73" i="98" s="1"/>
  <c r="FY73" i="98" s="1"/>
  <c r="BR73" i="98" s="1"/>
  <c r="S87" i="98"/>
  <c r="FO87" i="98" s="1"/>
  <c r="FQ87" i="98" s="1"/>
  <c r="S66" i="98"/>
  <c r="S79" i="98"/>
  <c r="FO79" i="98" s="1"/>
  <c r="FR79" i="98" s="1"/>
  <c r="S41" i="98"/>
  <c r="FO41" i="98" s="1"/>
  <c r="FN41" i="98" s="1"/>
  <c r="S58" i="98"/>
  <c r="FO58" i="98" s="1"/>
  <c r="FQ58" i="98" s="1"/>
  <c r="S75" i="98"/>
  <c r="FO75" i="98" s="1"/>
  <c r="FQ75" i="98" s="1"/>
  <c r="S90" i="98"/>
  <c r="FO90" i="98" s="1"/>
  <c r="FN90" i="98" s="1"/>
  <c r="S61" i="98"/>
  <c r="FO61" i="98" s="1"/>
  <c r="FN61" i="98" s="1"/>
  <c r="S94" i="98"/>
  <c r="FO94" i="98" s="1"/>
  <c r="FR94" i="98" s="1"/>
  <c r="S76" i="98"/>
  <c r="FO76" i="98" s="1"/>
  <c r="FY76" i="98" s="1"/>
  <c r="BR76" i="98" s="1"/>
  <c r="S50" i="98"/>
  <c r="FO50" i="98" s="1"/>
  <c r="FN50" i="98" s="1"/>
  <c r="S37" i="98"/>
  <c r="FO37" i="98" s="1"/>
  <c r="FN37" i="98" s="1"/>
  <c r="S44" i="98"/>
  <c r="FO44" i="98" s="1"/>
  <c r="FN44" i="98" s="1"/>
  <c r="S88" i="98"/>
  <c r="FO88" i="98" s="1"/>
  <c r="FN88" i="98" s="1"/>
  <c r="S51" i="98"/>
  <c r="FO51" i="98" s="1"/>
  <c r="FQ51" i="98" s="1"/>
  <c r="M24" i="115" s="1"/>
  <c r="S74" i="98"/>
  <c r="FO74" i="98" s="1"/>
  <c r="FY74" i="98" s="1"/>
  <c r="BR74" i="98" s="1"/>
  <c r="U48" i="135" s="1"/>
  <c r="S65" i="98"/>
  <c r="FO65" i="98" s="1"/>
  <c r="FN65" i="98" s="1"/>
  <c r="S69" i="98"/>
  <c r="FO69" i="98" s="1"/>
  <c r="FR69" i="98" s="1"/>
  <c r="S63" i="98"/>
  <c r="FO63" i="98" s="1"/>
  <c r="FY63" i="98" s="1"/>
  <c r="GA63" i="98" s="1"/>
  <c r="S60" i="98"/>
  <c r="FO60" i="98" s="1"/>
  <c r="FR60" i="98" s="1"/>
  <c r="J33" i="136" s="1"/>
  <c r="S45" i="98"/>
  <c r="FO45" i="98" s="1"/>
  <c r="FQ45" i="98" s="1"/>
  <c r="S85" i="98"/>
  <c r="FO85" i="98" s="1"/>
  <c r="FR85" i="98" s="1"/>
  <c r="S92" i="98"/>
  <c r="FO92" i="98" s="1"/>
  <c r="FR92" i="98" s="1"/>
  <c r="S82" i="98"/>
  <c r="FO82" i="98" s="1"/>
  <c r="FQ82" i="98" s="1"/>
  <c r="S84" i="98"/>
  <c r="FO84" i="98" s="1"/>
  <c r="FQ84" i="98" s="1"/>
  <c r="S46" i="98"/>
  <c r="FO46" i="98" s="1"/>
  <c r="FQ46" i="98" s="1"/>
  <c r="S62" i="98"/>
  <c r="FO62" i="98" s="1"/>
  <c r="FR62" i="98" s="1"/>
  <c r="S77" i="98"/>
  <c r="FO77" i="98" s="1"/>
  <c r="FR77" i="98" s="1"/>
  <c r="S55" i="98"/>
  <c r="FO55" i="98" s="1"/>
  <c r="FN55" i="98" s="1"/>
  <c r="S56" i="98"/>
  <c r="S93" i="98"/>
  <c r="FO93" i="98" s="1"/>
  <c r="FQ93" i="98" s="1"/>
  <c r="S71" i="98"/>
  <c r="FO71" i="98" s="1"/>
  <c r="FQ71" i="98" s="1"/>
  <c r="S91" i="98"/>
  <c r="FO91" i="98" s="1"/>
  <c r="FY91" i="98" s="1"/>
  <c r="BR91" i="98" s="1"/>
  <c r="S42" i="98"/>
  <c r="FO42" i="98" s="1"/>
  <c r="FR42" i="98" s="1"/>
  <c r="J15" i="136" s="1"/>
  <c r="S67" i="98"/>
  <c r="FO67" i="98" s="1"/>
  <c r="FY67" i="98" s="1"/>
  <c r="S34" i="98"/>
  <c r="FO34" i="98" s="1"/>
  <c r="FN34" i="98" s="1"/>
  <c r="S35" i="98"/>
  <c r="FO35" i="98" s="1"/>
  <c r="FN35" i="98" s="1"/>
  <c r="S72" i="98"/>
  <c r="FO72" i="98" s="1"/>
  <c r="FN72" i="98" s="1"/>
  <c r="S49" i="98"/>
  <c r="FO49" i="98" s="1"/>
  <c r="FR49" i="98" s="1"/>
  <c r="J22" i="136" s="1"/>
  <c r="S81" i="98"/>
  <c r="FO81" i="98" s="1"/>
  <c r="FY81" i="98" s="1"/>
  <c r="GA81" i="98" s="1"/>
  <c r="GB81" i="98" s="1"/>
  <c r="S59" i="98"/>
  <c r="FO59" i="98" s="1"/>
  <c r="FQ59" i="98" s="1"/>
  <c r="S43" i="98"/>
  <c r="FO43" i="98" s="1"/>
  <c r="FN43" i="98" s="1"/>
  <c r="S36" i="98"/>
  <c r="S52" i="98"/>
  <c r="FO52" i="98" s="1"/>
  <c r="FN52" i="98" s="1"/>
  <c r="S86" i="98"/>
  <c r="FO86" i="98" s="1"/>
  <c r="FR86" i="98" s="1"/>
  <c r="S70" i="98"/>
  <c r="FO70" i="98" s="1"/>
  <c r="FN70" i="98" s="1"/>
  <c r="S39" i="98"/>
  <c r="FO39" i="98" s="1"/>
  <c r="FN39" i="98" s="1"/>
  <c r="S38" i="98"/>
  <c r="FO38" i="98" s="1"/>
  <c r="FY38" i="98" s="1"/>
  <c r="S64" i="98"/>
  <c r="FO64" i="98" s="1"/>
  <c r="FY64" i="98" s="1"/>
  <c r="GA64" i="98" s="1"/>
  <c r="S80" i="98"/>
  <c r="FO80" i="98" s="1"/>
  <c r="FR80" i="98" s="1"/>
  <c r="S68" i="98"/>
  <c r="FO68" i="98" s="1"/>
  <c r="FQ68" i="98" s="1"/>
  <c r="S78" i="98"/>
  <c r="FO78" i="98" s="1"/>
  <c r="FR78" i="98" s="1"/>
  <c r="S89" i="98"/>
  <c r="FO89" i="98" s="1"/>
  <c r="FR89" i="98" s="1"/>
  <c r="S40" i="98"/>
  <c r="FO40" i="98" s="1"/>
  <c r="FR40" i="98" s="1"/>
  <c r="J13" i="136" s="1"/>
  <c r="S83" i="98"/>
  <c r="FO83" i="98" s="1"/>
  <c r="FR83" i="98" s="1"/>
  <c r="S57" i="98"/>
  <c r="FO57" i="98" s="1"/>
  <c r="FN57" i="98" s="1"/>
  <c r="S54" i="98"/>
  <c r="FO54" i="98" s="1"/>
  <c r="FN54" i="98" s="1"/>
  <c r="FV31" i="98"/>
  <c r="BI25" i="57"/>
  <c r="BI15" i="57" s="1"/>
  <c r="FR47" i="98"/>
  <c r="J20" i="136" s="1"/>
  <c r="FY47" i="98"/>
  <c r="FQ47" i="98"/>
  <c r="I20" i="136" s="1"/>
  <c r="CA55" i="130"/>
  <c r="CA118" i="130"/>
  <c r="CA117" i="130"/>
  <c r="CA115" i="130"/>
  <c r="CA52" i="130"/>
  <c r="CA54" i="130"/>
  <c r="CA53" i="130"/>
  <c r="CA116" i="130"/>
  <c r="CH54" i="130"/>
  <c r="CH53" i="130"/>
  <c r="CH55" i="130"/>
  <c r="CH57" i="130"/>
  <c r="CH61" i="130"/>
  <c r="CH52" i="130"/>
  <c r="CH59" i="130"/>
  <c r="CH56" i="130"/>
  <c r="CH60" i="130"/>
  <c r="CH58" i="130"/>
  <c r="CB59" i="130"/>
  <c r="CB60" i="130"/>
  <c r="CB55" i="130"/>
  <c r="CB61" i="130"/>
  <c r="CB58" i="130"/>
  <c r="CB53" i="130"/>
  <c r="CB57" i="130"/>
  <c r="CB54" i="130"/>
  <c r="CB56" i="130"/>
  <c r="CB52" i="130"/>
  <c r="CC55" i="130"/>
  <c r="CC52" i="130"/>
  <c r="CC54" i="130"/>
  <c r="CC61" i="130"/>
  <c r="CC56" i="130"/>
  <c r="CC58" i="130"/>
  <c r="CC57" i="130"/>
  <c r="CC53" i="130"/>
  <c r="CC59" i="130"/>
  <c r="CC60" i="130"/>
  <c r="CE53" i="130"/>
  <c r="CE57" i="130"/>
  <c r="CE56" i="130"/>
  <c r="CE59" i="130"/>
  <c r="CE60" i="130"/>
  <c r="CE61" i="130"/>
  <c r="CE55" i="130"/>
  <c r="CE54" i="130"/>
  <c r="CE58" i="130"/>
  <c r="CE52" i="130"/>
  <c r="CD59" i="130"/>
  <c r="CD61" i="130"/>
  <c r="CD55" i="130"/>
  <c r="CD54" i="130"/>
  <c r="CD60" i="130"/>
  <c r="CD58" i="130"/>
  <c r="CD53" i="130"/>
  <c r="CD52" i="130"/>
  <c r="CD57" i="130"/>
  <c r="CD56" i="130"/>
  <c r="CF58" i="130"/>
  <c r="CF52" i="130"/>
  <c r="CF57" i="130"/>
  <c r="CF56" i="130"/>
  <c r="CF60" i="130"/>
  <c r="CF53" i="130"/>
  <c r="CF54" i="130"/>
  <c r="CF59" i="130"/>
  <c r="CF61" i="130"/>
  <c r="CF55" i="130"/>
  <c r="CG55" i="130"/>
  <c r="CG52" i="130"/>
  <c r="CG56" i="130"/>
  <c r="CG60" i="130"/>
  <c r="CG53" i="130"/>
  <c r="CG58" i="130"/>
  <c r="CG54" i="130"/>
  <c r="CG59" i="130"/>
  <c r="CG61" i="130"/>
  <c r="CG57" i="130"/>
  <c r="I80" i="71" l="1"/>
  <c r="AV94" i="97"/>
  <c r="AV96" i="97"/>
  <c r="JY4" i="1"/>
  <c r="JY159" i="1" s="1"/>
  <c r="JY161" i="1" s="1"/>
  <c r="IG4" i="1"/>
  <c r="IG159" i="1" s="1"/>
  <c r="IG161" i="1" s="1"/>
  <c r="KG4" i="1"/>
  <c r="KG159" i="1" s="1"/>
  <c r="KG161" i="1" s="1"/>
  <c r="LK4" i="1"/>
  <c r="LK159" i="1" s="1"/>
  <c r="LK161" i="1" s="1"/>
  <c r="LJ4" i="1"/>
  <c r="LJ159" i="1" s="1"/>
  <c r="LJ161" i="1" s="1"/>
  <c r="IQ4" i="1"/>
  <c r="IQ159" i="1" s="1"/>
  <c r="IQ161" i="1" s="1"/>
  <c r="HA4" i="1"/>
  <c r="HA159" i="1" s="1"/>
  <c r="HA161" i="1" s="1"/>
  <c r="IK4" i="1"/>
  <c r="IK159" i="1" s="1"/>
  <c r="IK161" i="1" s="1"/>
  <c r="JM4" i="1"/>
  <c r="JM159" i="1" s="1"/>
  <c r="JM161" i="1" s="1"/>
  <c r="HI4" i="1"/>
  <c r="HI159" i="1" s="1"/>
  <c r="HI161" i="1" s="1"/>
  <c r="JH4" i="1"/>
  <c r="JH159" i="1" s="1"/>
  <c r="JH161" i="1" s="1"/>
  <c r="LP4" i="1"/>
  <c r="LP159" i="1" s="1"/>
  <c r="LP161" i="1" s="1"/>
  <c r="LA4" i="1"/>
  <c r="LA159" i="1" s="1"/>
  <c r="LA161" i="1" s="1"/>
  <c r="JU4" i="1"/>
  <c r="JU159" i="1" s="1"/>
  <c r="JU161" i="1" s="1"/>
  <c r="HW4" i="1"/>
  <c r="HW159" i="1" s="1"/>
  <c r="HW161" i="1" s="1"/>
  <c r="IX4" i="1"/>
  <c r="IX159" i="1" s="1"/>
  <c r="IX161" i="1" s="1"/>
  <c r="LE4" i="1"/>
  <c r="LE159" i="1" s="1"/>
  <c r="LE161" i="1" s="1"/>
  <c r="LC4" i="1"/>
  <c r="LC159" i="1" s="1"/>
  <c r="LC161" i="1" s="1"/>
  <c r="JQ4" i="1"/>
  <c r="JQ159" i="1" s="1"/>
  <c r="JQ161" i="1" s="1"/>
  <c r="JR4" i="1"/>
  <c r="JR159" i="1" s="1"/>
  <c r="JR161" i="1" s="1"/>
  <c r="LM4" i="1"/>
  <c r="LM159" i="1" s="1"/>
  <c r="LM161" i="1" s="1"/>
  <c r="HJ4" i="1"/>
  <c r="HJ159" i="1" s="1"/>
  <c r="HJ161" i="1" s="1"/>
  <c r="KB4" i="1"/>
  <c r="KB159" i="1" s="1"/>
  <c r="KB161" i="1" s="1"/>
  <c r="HQ4" i="1"/>
  <c r="HQ159" i="1" s="1"/>
  <c r="HQ161" i="1" s="1"/>
  <c r="IM4" i="1"/>
  <c r="IM159" i="1" s="1"/>
  <c r="IM161" i="1" s="1"/>
  <c r="HD4" i="1"/>
  <c r="HD159" i="1" s="1"/>
  <c r="HD161" i="1" s="1"/>
  <c r="HC4" i="1"/>
  <c r="HC159" i="1" s="1"/>
  <c r="HC161" i="1" s="1"/>
  <c r="HE4" i="1"/>
  <c r="HE159" i="1" s="1"/>
  <c r="HE161" i="1" s="1"/>
  <c r="IL4" i="1"/>
  <c r="IL159" i="1" s="1"/>
  <c r="IL161" i="1" s="1"/>
  <c r="GZ4" i="1"/>
  <c r="GZ159" i="1" s="1"/>
  <c r="GZ161" i="1" s="1"/>
  <c r="LG4" i="1"/>
  <c r="LG159" i="1" s="1"/>
  <c r="LG161" i="1" s="1"/>
  <c r="IT4" i="1"/>
  <c r="IT159" i="1" s="1"/>
  <c r="IT161" i="1" s="1"/>
  <c r="KH4" i="1"/>
  <c r="KH159" i="1" s="1"/>
  <c r="KH161" i="1" s="1"/>
  <c r="KR4" i="1"/>
  <c r="KR159" i="1" s="1"/>
  <c r="KR161" i="1" s="1"/>
  <c r="LI4" i="1"/>
  <c r="LI159" i="1" s="1"/>
  <c r="LI161" i="1" s="1"/>
  <c r="IR4" i="1"/>
  <c r="IR159" i="1" s="1"/>
  <c r="IR161" i="1" s="1"/>
  <c r="ID4" i="1"/>
  <c r="ID159" i="1" s="1"/>
  <c r="ID161" i="1" s="1"/>
  <c r="HX4" i="1"/>
  <c r="HX159" i="1" s="1"/>
  <c r="HX161" i="1" s="1"/>
  <c r="JK4" i="1"/>
  <c r="JK159" i="1" s="1"/>
  <c r="JK161" i="1" s="1"/>
  <c r="KC4" i="1"/>
  <c r="KC159" i="1" s="1"/>
  <c r="KC161" i="1" s="1"/>
  <c r="IY4" i="1"/>
  <c r="IY159" i="1" s="1"/>
  <c r="IY161" i="1" s="1"/>
  <c r="JZ4" i="1"/>
  <c r="JZ159" i="1" s="1"/>
  <c r="JZ161" i="1" s="1"/>
  <c r="JC4" i="1"/>
  <c r="JC159" i="1" s="1"/>
  <c r="JC161" i="1" s="1"/>
  <c r="GT4" i="1"/>
  <c r="GT159" i="1" s="1"/>
  <c r="GT161" i="1" s="1"/>
  <c r="IA4" i="1"/>
  <c r="IA159" i="1" s="1"/>
  <c r="IA161" i="1" s="1"/>
  <c r="HF4" i="1"/>
  <c r="HF159" i="1" s="1"/>
  <c r="HF161" i="1" s="1"/>
  <c r="IO4" i="1"/>
  <c r="IO159" i="1" s="1"/>
  <c r="IO161" i="1" s="1"/>
  <c r="KD4" i="1"/>
  <c r="KD159" i="1" s="1"/>
  <c r="KD161" i="1" s="1"/>
  <c r="JX4" i="1"/>
  <c r="JX159" i="1" s="1"/>
  <c r="JX161" i="1" s="1"/>
  <c r="LB4" i="1"/>
  <c r="LB159" i="1" s="1"/>
  <c r="LB161" i="1" s="1"/>
  <c r="KA4" i="1"/>
  <c r="KA159" i="1" s="1"/>
  <c r="KA161" i="1" s="1"/>
  <c r="JW4" i="1"/>
  <c r="JW159" i="1" s="1"/>
  <c r="JW161" i="1" s="1"/>
  <c r="KI4" i="1"/>
  <c r="KI159" i="1" s="1"/>
  <c r="KI161" i="1" s="1"/>
  <c r="II4" i="1"/>
  <c r="II159" i="1" s="1"/>
  <c r="II161" i="1" s="1"/>
  <c r="HY4" i="1"/>
  <c r="HY159" i="1" s="1"/>
  <c r="HY161" i="1" s="1"/>
  <c r="JI4" i="1"/>
  <c r="JI159" i="1" s="1"/>
  <c r="JI161" i="1" s="1"/>
  <c r="GW4" i="1"/>
  <c r="GW159" i="1" s="1"/>
  <c r="GW161" i="1" s="1"/>
  <c r="KL4" i="1"/>
  <c r="KL159" i="1" s="1"/>
  <c r="KL161" i="1" s="1"/>
  <c r="IF4" i="1"/>
  <c r="IF159" i="1" s="1"/>
  <c r="IF161" i="1" s="1"/>
  <c r="IH4" i="1"/>
  <c r="IH159" i="1" s="1"/>
  <c r="IH161" i="1" s="1"/>
  <c r="IJ4" i="1"/>
  <c r="IJ159" i="1" s="1"/>
  <c r="IJ161" i="1" s="1"/>
  <c r="JJ4" i="1"/>
  <c r="JJ159" i="1" s="1"/>
  <c r="JJ161" i="1" s="1"/>
  <c r="JD4" i="1"/>
  <c r="JD159" i="1" s="1"/>
  <c r="JD161" i="1" s="1"/>
  <c r="JG4" i="1"/>
  <c r="JG159" i="1" s="1"/>
  <c r="JG161" i="1" s="1"/>
  <c r="KE4" i="1"/>
  <c r="KE159" i="1" s="1"/>
  <c r="KE161" i="1" s="1"/>
  <c r="LN4" i="1"/>
  <c r="LN159" i="1" s="1"/>
  <c r="LN161" i="1" s="1"/>
  <c r="KY4" i="1"/>
  <c r="KY159" i="1" s="1"/>
  <c r="KY161" i="1" s="1"/>
  <c r="GV4" i="1"/>
  <c r="GV159" i="1" s="1"/>
  <c r="GV161" i="1" s="1"/>
  <c r="HN4" i="1"/>
  <c r="HN159" i="1" s="1"/>
  <c r="HN161" i="1" s="1"/>
  <c r="HV4" i="1"/>
  <c r="HV159" i="1" s="1"/>
  <c r="HV161" i="1" s="1"/>
  <c r="KX4" i="1"/>
  <c r="KX159" i="1" s="1"/>
  <c r="KX161" i="1" s="1"/>
  <c r="JF4" i="1"/>
  <c r="JF159" i="1" s="1"/>
  <c r="JF161" i="1" s="1"/>
  <c r="JN4" i="1"/>
  <c r="JN159" i="1" s="1"/>
  <c r="JN161" i="1" s="1"/>
  <c r="JB4" i="1"/>
  <c r="JB159" i="1" s="1"/>
  <c r="JB161" i="1" s="1"/>
  <c r="JE4" i="1"/>
  <c r="JE159" i="1" s="1"/>
  <c r="JE161" i="1" s="1"/>
  <c r="GU4" i="1"/>
  <c r="GU159" i="1" s="1"/>
  <c r="GU161" i="1" s="1"/>
  <c r="IC4" i="1"/>
  <c r="IC159" i="1" s="1"/>
  <c r="IC161" i="1" s="1"/>
  <c r="HO4" i="1"/>
  <c r="HO159" i="1" s="1"/>
  <c r="HO161" i="1" s="1"/>
  <c r="KQ4" i="1"/>
  <c r="KQ159" i="1" s="1"/>
  <c r="KQ161" i="1" s="1"/>
  <c r="JL4" i="1"/>
  <c r="JL159" i="1" s="1"/>
  <c r="JL161" i="1" s="1"/>
  <c r="KM4" i="1"/>
  <c r="KM159" i="1" s="1"/>
  <c r="KM161" i="1" s="1"/>
  <c r="IP4" i="1"/>
  <c r="IP159" i="1" s="1"/>
  <c r="IP161" i="1" s="1"/>
  <c r="LF4" i="1"/>
  <c r="LF159" i="1" s="1"/>
  <c r="LF161" i="1" s="1"/>
  <c r="KF4" i="1"/>
  <c r="KF159" i="1" s="1"/>
  <c r="KF161" i="1" s="1"/>
  <c r="KN4" i="1"/>
  <c r="KN159" i="1" s="1"/>
  <c r="KN161" i="1" s="1"/>
  <c r="GX4" i="1"/>
  <c r="GX159" i="1" s="1"/>
  <c r="GX161" i="1" s="1"/>
  <c r="JO4" i="1"/>
  <c r="JO159" i="1" s="1"/>
  <c r="JO161" i="1" s="1"/>
  <c r="JS4" i="1"/>
  <c r="JS159" i="1" s="1"/>
  <c r="JS161" i="1" s="1"/>
  <c r="GY4" i="1"/>
  <c r="GY159" i="1" s="1"/>
  <c r="GY161" i="1" s="1"/>
  <c r="IS4" i="1"/>
  <c r="IS159" i="1" s="1"/>
  <c r="IS161" i="1" s="1"/>
  <c r="KK4" i="1"/>
  <c r="KK159" i="1" s="1"/>
  <c r="KK161" i="1" s="1"/>
  <c r="IE4" i="1"/>
  <c r="IE159" i="1" s="1"/>
  <c r="IE161" i="1" s="1"/>
  <c r="LL4" i="1"/>
  <c r="LL159" i="1" s="1"/>
  <c r="LL161" i="1" s="1"/>
  <c r="KV4" i="1"/>
  <c r="KV159" i="1" s="1"/>
  <c r="KV161" i="1" s="1"/>
  <c r="KZ4" i="1"/>
  <c r="KZ159" i="1" s="1"/>
  <c r="KZ161" i="1" s="1"/>
  <c r="IV4" i="1"/>
  <c r="IV159" i="1" s="1"/>
  <c r="IV161" i="1" s="1"/>
  <c r="IZ4" i="1"/>
  <c r="IZ159" i="1" s="1"/>
  <c r="IZ161" i="1" s="1"/>
  <c r="KU4" i="1"/>
  <c r="KU159" i="1" s="1"/>
  <c r="KU161" i="1" s="1"/>
  <c r="HK4" i="1"/>
  <c r="HK159" i="1" s="1"/>
  <c r="HK161" i="1" s="1"/>
  <c r="IB4" i="1"/>
  <c r="IB159" i="1" s="1"/>
  <c r="IB161" i="1" s="1"/>
  <c r="HP4" i="1"/>
  <c r="HP159" i="1" s="1"/>
  <c r="HP161" i="1" s="1"/>
  <c r="LO4" i="1"/>
  <c r="LO159" i="1" s="1"/>
  <c r="LO161" i="1" s="1"/>
  <c r="IN4" i="1"/>
  <c r="IN159" i="1" s="1"/>
  <c r="IN161" i="1" s="1"/>
  <c r="KP4" i="1"/>
  <c r="KP159" i="1" s="1"/>
  <c r="KP161" i="1" s="1"/>
  <c r="KT4" i="1"/>
  <c r="KT159" i="1" s="1"/>
  <c r="KT161" i="1" s="1"/>
  <c r="KS4" i="1"/>
  <c r="KS159" i="1" s="1"/>
  <c r="KS161" i="1" s="1"/>
  <c r="HR4" i="1"/>
  <c r="HR159" i="1" s="1"/>
  <c r="HR161" i="1" s="1"/>
  <c r="HM4" i="1"/>
  <c r="HM159" i="1" s="1"/>
  <c r="HM161" i="1" s="1"/>
  <c r="HH4" i="1"/>
  <c r="HH159" i="1" s="1"/>
  <c r="HH161" i="1" s="1"/>
  <c r="JA4" i="1"/>
  <c r="JA159" i="1" s="1"/>
  <c r="JA161" i="1" s="1"/>
  <c r="IU4" i="1"/>
  <c r="IU159" i="1" s="1"/>
  <c r="IU161" i="1" s="1"/>
  <c r="KJ4" i="1"/>
  <c r="KJ159" i="1" s="1"/>
  <c r="KJ161" i="1" s="1"/>
  <c r="IW4" i="1"/>
  <c r="IW159" i="1" s="1"/>
  <c r="IW161" i="1" s="1"/>
  <c r="LH4" i="1"/>
  <c r="LH159" i="1" s="1"/>
  <c r="LH161" i="1" s="1"/>
  <c r="KO4" i="1"/>
  <c r="KO159" i="1" s="1"/>
  <c r="KO161" i="1" s="1"/>
  <c r="HS4" i="1"/>
  <c r="HS159" i="1" s="1"/>
  <c r="HS161" i="1" s="1"/>
  <c r="LD4" i="1"/>
  <c r="LD159" i="1" s="1"/>
  <c r="LD161" i="1" s="1"/>
  <c r="JT4" i="1"/>
  <c r="JT159" i="1" s="1"/>
  <c r="JT161" i="1" s="1"/>
  <c r="HZ4" i="1"/>
  <c r="HZ159" i="1" s="1"/>
  <c r="HZ161" i="1" s="1"/>
  <c r="HU4" i="1"/>
  <c r="HU159" i="1" s="1"/>
  <c r="HU161" i="1" s="1"/>
  <c r="JP4" i="1"/>
  <c r="JP159" i="1" s="1"/>
  <c r="JP161" i="1" s="1"/>
  <c r="KW4" i="1"/>
  <c r="KW159" i="1" s="1"/>
  <c r="KW161" i="1" s="1"/>
  <c r="HT4" i="1"/>
  <c r="HT159" i="1" s="1"/>
  <c r="HT161" i="1" s="1"/>
  <c r="HL4" i="1"/>
  <c r="HL159" i="1" s="1"/>
  <c r="HL161" i="1" s="1"/>
  <c r="HG4" i="1"/>
  <c r="HG159" i="1" s="1"/>
  <c r="HG161" i="1" s="1"/>
  <c r="HB4" i="1"/>
  <c r="HB159" i="1" s="1"/>
  <c r="HB161" i="1" s="1"/>
  <c r="D27" i="93"/>
  <c r="L27" i="93" s="1"/>
  <c r="BD104" i="97" s="1"/>
  <c r="HJ39" i="93"/>
  <c r="M20" i="136"/>
  <c r="U20" i="136" s="1"/>
  <c r="L20" i="127"/>
  <c r="U20" i="127" s="1"/>
  <c r="M21" i="136"/>
  <c r="U21" i="136" s="1"/>
  <c r="L21" i="127"/>
  <c r="U21" i="127" s="1"/>
  <c r="M11" i="136"/>
  <c r="U11" i="136" s="1"/>
  <c r="L11" i="127"/>
  <c r="U11" i="127" s="1"/>
  <c r="CZ161" i="1"/>
  <c r="S159" i="1" s="1"/>
  <c r="FQ88" i="98"/>
  <c r="M61" i="115" s="1"/>
  <c r="FN76" i="98"/>
  <c r="DA70" i="130"/>
  <c r="DA50" i="130" s="1"/>
  <c r="M32" i="115"/>
  <c r="I32" i="136"/>
  <c r="I31" i="136"/>
  <c r="DA169" i="1"/>
  <c r="FN46" i="98"/>
  <c r="FR88" i="98"/>
  <c r="BR48" i="98"/>
  <c r="U22" i="135" s="1"/>
  <c r="L22" i="135" s="1"/>
  <c r="Y22" i="135" s="1"/>
  <c r="FY88" i="98"/>
  <c r="GA88" i="98" s="1"/>
  <c r="GC88" i="98" s="1"/>
  <c r="FR75" i="98"/>
  <c r="FN69" i="98"/>
  <c r="FO66" i="98"/>
  <c r="FN66" i="98" s="1"/>
  <c r="FV66" i="98"/>
  <c r="FU66" i="98" s="1"/>
  <c r="FO56" i="98"/>
  <c r="FQ56" i="98" s="1"/>
  <c r="FV56" i="98"/>
  <c r="FU56" i="98" s="1"/>
  <c r="FY40" i="98"/>
  <c r="M13" i="136" s="1"/>
  <c r="U13" i="136" s="1"/>
  <c r="FN80" i="98"/>
  <c r="FR43" i="98"/>
  <c r="J16" i="136" s="1"/>
  <c r="FY72" i="98"/>
  <c r="GA72" i="98" s="1"/>
  <c r="GB72" i="98" s="1"/>
  <c r="FY42" i="98"/>
  <c r="FY85" i="98"/>
  <c r="BR85" i="98" s="1"/>
  <c r="GA48" i="98"/>
  <c r="GC48" i="98" s="1"/>
  <c r="FN40" i="98"/>
  <c r="FN75" i="98"/>
  <c r="FR46" i="98"/>
  <c r="J19" i="136" s="1"/>
  <c r="FQ42" i="98"/>
  <c r="I15" i="136" s="1"/>
  <c r="FQ70" i="98"/>
  <c r="FY70" i="98"/>
  <c r="BR70" i="98" s="1"/>
  <c r="FQ48" i="98"/>
  <c r="I21" i="136" s="1"/>
  <c r="FR48" i="98"/>
  <c r="J21" i="136" s="1"/>
  <c r="FQ72" i="98"/>
  <c r="M45" i="115" s="1"/>
  <c r="FQ76" i="98"/>
  <c r="M49" i="115" s="1"/>
  <c r="FQ40" i="98"/>
  <c r="M13" i="115" s="1"/>
  <c r="FY75" i="98"/>
  <c r="BR75" i="98" s="1"/>
  <c r="U49" i="135" s="1"/>
  <c r="FY46" i="98"/>
  <c r="FQ80" i="98"/>
  <c r="FN48" i="98"/>
  <c r="FQ43" i="98"/>
  <c r="I16" i="136" s="1"/>
  <c r="FR72" i="98"/>
  <c r="FN85" i="98"/>
  <c r="FR76" i="98"/>
  <c r="FN42" i="98"/>
  <c r="FY80" i="98"/>
  <c r="GA80" i="98" s="1"/>
  <c r="GC80" i="98" s="1"/>
  <c r="FY43" i="98"/>
  <c r="M16" i="136" s="1"/>
  <c r="U16" i="136" s="1"/>
  <c r="FY69" i="98"/>
  <c r="GA69" i="98" s="1"/>
  <c r="GB69" i="98" s="1"/>
  <c r="FQ69" i="98"/>
  <c r="M42" i="115" s="1"/>
  <c r="FR70" i="98"/>
  <c r="FQ85" i="98"/>
  <c r="M58" i="115" s="1"/>
  <c r="FV36" i="98"/>
  <c r="FO36" i="98"/>
  <c r="FY86" i="98"/>
  <c r="GA86" i="98" s="1"/>
  <c r="FR39" i="98"/>
  <c r="J12" i="136" s="1"/>
  <c r="FQ62" i="98"/>
  <c r="FQ49" i="98"/>
  <c r="M22" i="115" s="1"/>
  <c r="FY78" i="98"/>
  <c r="GA78" i="98" s="1"/>
  <c r="GB78" i="98" s="1"/>
  <c r="FR71" i="98"/>
  <c r="GA73" i="98"/>
  <c r="GC73" i="98" s="1"/>
  <c r="FN64" i="98"/>
  <c r="FR67" i="98"/>
  <c r="FN63" i="98"/>
  <c r="FQ92" i="98"/>
  <c r="FY51" i="98"/>
  <c r="FR90" i="98"/>
  <c r="FN92" i="98"/>
  <c r="BR63" i="98"/>
  <c r="FR93" i="98"/>
  <c r="FY93" i="98"/>
  <c r="BR93" i="98" s="1"/>
  <c r="FN53" i="98"/>
  <c r="FQ53" i="98"/>
  <c r="M26" i="115" s="1"/>
  <c r="GA74" i="98"/>
  <c r="GC74" i="98" s="1"/>
  <c r="FR61" i="98"/>
  <c r="J34" i="136" s="1"/>
  <c r="FY34" i="98"/>
  <c r="FR37" i="98"/>
  <c r="J10" i="136" s="1"/>
  <c r="FN82" i="98"/>
  <c r="FN81" i="98"/>
  <c r="FN71" i="98"/>
  <c r="FY57" i="98"/>
  <c r="L30" i="127" s="1"/>
  <c r="U30" i="127" s="1"/>
  <c r="BR64" i="98"/>
  <c r="FR87" i="98"/>
  <c r="FN59" i="98"/>
  <c r="FY68" i="98"/>
  <c r="GA68" i="98" s="1"/>
  <c r="GC68" i="98" s="1"/>
  <c r="FY45" i="98"/>
  <c r="FR44" i="98"/>
  <c r="J17" i="136" s="1"/>
  <c r="FY54" i="98"/>
  <c r="L27" i="127" s="1"/>
  <c r="U27" i="127" s="1"/>
  <c r="FY84" i="98"/>
  <c r="BR84" i="98" s="1"/>
  <c r="U58" i="135" s="1"/>
  <c r="FR64" i="98"/>
  <c r="FN58" i="98"/>
  <c r="FN79" i="98"/>
  <c r="FQ67" i="98"/>
  <c r="FY62" i="98"/>
  <c r="FY83" i="98"/>
  <c r="BR83" i="98" s="1"/>
  <c r="FQ39" i="98"/>
  <c r="M12" i="115" s="1"/>
  <c r="FY92" i="98"/>
  <c r="GA92" i="98" s="1"/>
  <c r="FY49" i="98"/>
  <c r="FY90" i="98"/>
  <c r="BR90" i="98" s="1"/>
  <c r="FN68" i="98"/>
  <c r="FR68" i="98"/>
  <c r="FR50" i="98"/>
  <c r="J23" i="136" s="1"/>
  <c r="FR51" i="98"/>
  <c r="J24" i="136" s="1"/>
  <c r="FY79" i="98"/>
  <c r="GA79" i="98" s="1"/>
  <c r="FN67" i="98"/>
  <c r="FN62" i="98"/>
  <c r="FQ50" i="98"/>
  <c r="I23" i="136" s="1"/>
  <c r="FY39" i="98"/>
  <c r="FN49" i="98"/>
  <c r="FQ83" i="98"/>
  <c r="M56" i="115" s="1"/>
  <c r="FY53" i="98"/>
  <c r="FY50" i="98"/>
  <c r="FN51" i="98"/>
  <c r="FN93" i="98"/>
  <c r="FQ79" i="98"/>
  <c r="FN83" i="98"/>
  <c r="FQ90" i="98"/>
  <c r="FR63" i="98"/>
  <c r="FQ63" i="98"/>
  <c r="M36" i="115" s="1"/>
  <c r="FN45" i="98"/>
  <c r="FQ94" i="98"/>
  <c r="FR54" i="98"/>
  <c r="J27" i="136" s="1"/>
  <c r="FR59" i="98"/>
  <c r="J32" i="136" s="1"/>
  <c r="FN86" i="98"/>
  <c r="FR84" i="98"/>
  <c r="FY35" i="98"/>
  <c r="FQ65" i="98"/>
  <c r="FR35" i="98"/>
  <c r="J8" i="136" s="1"/>
  <c r="FY44" i="98"/>
  <c r="FN89" i="98"/>
  <c r="FQ55" i="98"/>
  <c r="FR91" i="98"/>
  <c r="FR58" i="98"/>
  <c r="J31" i="136" s="1"/>
  <c r="GA91" i="98"/>
  <c r="GC91" i="98" s="1"/>
  <c r="FR45" i="98"/>
  <c r="J18" i="136" s="1"/>
  <c r="FY94" i="98"/>
  <c r="BR94" i="98" s="1"/>
  <c r="FQ54" i="98"/>
  <c r="FY59" i="98"/>
  <c r="L32" i="127" s="1"/>
  <c r="U32" i="127" s="1"/>
  <c r="FN87" i="98"/>
  <c r="FN84" i="98"/>
  <c r="FR55" i="98"/>
  <c r="J28" i="136" s="1"/>
  <c r="FN91" i="98"/>
  <c r="FY65" i="98"/>
  <c r="BR65" i="98" s="1"/>
  <c r="U39" i="135" s="1"/>
  <c r="W39" i="135" s="1"/>
  <c r="FQ44" i="98"/>
  <c r="M17" i="115" s="1"/>
  <c r="FQ89" i="98"/>
  <c r="M62" i="115" s="1"/>
  <c r="FY89" i="98"/>
  <c r="GA89" i="98" s="1"/>
  <c r="GC89" i="98" s="1"/>
  <c r="FY58" i="98"/>
  <c r="L31" i="127" s="1"/>
  <c r="U31" i="127" s="1"/>
  <c r="FY55" i="98"/>
  <c r="L28" i="127" s="1"/>
  <c r="U28" i="127" s="1"/>
  <c r="FY87" i="98"/>
  <c r="BR87" i="98" s="1"/>
  <c r="FN94" i="98"/>
  <c r="FR65" i="98"/>
  <c r="FQ86" i="98"/>
  <c r="M59" i="115" s="1"/>
  <c r="FQ64" i="98"/>
  <c r="M37" i="115" s="1"/>
  <c r="FQ35" i="98"/>
  <c r="I8" i="136" s="1"/>
  <c r="FQ91" i="98"/>
  <c r="M64" i="115" s="1"/>
  <c r="FQ37" i="98"/>
  <c r="M10" i="115" s="1"/>
  <c r="FQ57" i="98"/>
  <c r="M31" i="115" s="1"/>
  <c r="FY61" i="98"/>
  <c r="L34" i="127" s="1"/>
  <c r="U34" i="127" s="1"/>
  <c r="GC81" i="98"/>
  <c r="BR38" i="98"/>
  <c r="U12" i="135" s="1"/>
  <c r="M12" i="135" s="1"/>
  <c r="FY82" i="98"/>
  <c r="GA82" i="98" s="1"/>
  <c r="FY52" i="98"/>
  <c r="FY41" i="98"/>
  <c r="FQ81" i="98"/>
  <c r="M54" i="115" s="1"/>
  <c r="FR74" i="98"/>
  <c r="FN74" i="98"/>
  <c r="FQ60" i="98"/>
  <c r="FR41" i="98"/>
  <c r="J14" i="136" s="1"/>
  <c r="FR38" i="98"/>
  <c r="J11" i="136" s="1"/>
  <c r="FR52" i="98"/>
  <c r="J25" i="136" s="1"/>
  <c r="FY71" i="98"/>
  <c r="BR71" i="98" s="1"/>
  <c r="U45" i="135" s="1"/>
  <c r="X45" i="135" s="1"/>
  <c r="FQ52" i="98"/>
  <c r="I25" i="136" s="1"/>
  <c r="FY37" i="98"/>
  <c r="FR57" i="98"/>
  <c r="J30" i="136" s="1"/>
  <c r="FQ61" i="98"/>
  <c r="FN78" i="98"/>
  <c r="BR81" i="98"/>
  <c r="FQ73" i="98"/>
  <c r="M46" i="115" s="1"/>
  <c r="FR82" i="98"/>
  <c r="FR81" i="98"/>
  <c r="FQ74" i="98"/>
  <c r="M47" i="115" s="1"/>
  <c r="FY60" i="98"/>
  <c r="L33" i="127" s="1"/>
  <c r="U33" i="127" s="1"/>
  <c r="FQ38" i="98"/>
  <c r="I11" i="136" s="1"/>
  <c r="FR34" i="98"/>
  <c r="J7" i="136" s="1"/>
  <c r="FQ78" i="98"/>
  <c r="GA38" i="98"/>
  <c r="GC38" i="98" s="1"/>
  <c r="FN73" i="98"/>
  <c r="FQ41" i="98"/>
  <c r="M14" i="115" s="1"/>
  <c r="FR73" i="98"/>
  <c r="FN60" i="98"/>
  <c r="FN38" i="98"/>
  <c r="FQ34" i="98"/>
  <c r="I7" i="136" s="1"/>
  <c r="S27" i="98"/>
  <c r="AP111" i="123"/>
  <c r="I24" i="136"/>
  <c r="BE94" i="97"/>
  <c r="BE96" i="97"/>
  <c r="GA76" i="98"/>
  <c r="GB76" i="98" s="1"/>
  <c r="FN77" i="98"/>
  <c r="FY77" i="98"/>
  <c r="GA77" i="98" s="1"/>
  <c r="GC77" i="98" s="1"/>
  <c r="M20" i="115"/>
  <c r="GA47" i="98"/>
  <c r="GB47" i="98" s="1"/>
  <c r="FQ77" i="98"/>
  <c r="M50" i="115" s="1"/>
  <c r="BR47" i="98"/>
  <c r="U21" i="135" s="1"/>
  <c r="W21" i="135" s="1"/>
  <c r="I19" i="136"/>
  <c r="M19" i="115"/>
  <c r="BR67" i="98"/>
  <c r="GA67" i="98"/>
  <c r="I18" i="136"/>
  <c r="M18" i="115"/>
  <c r="L48" i="135"/>
  <c r="Y48" i="135" s="1"/>
  <c r="C48" i="135"/>
  <c r="A48" i="135"/>
  <c r="M48" i="135"/>
  <c r="E48" i="135"/>
  <c r="X48" i="135"/>
  <c r="P48" i="135"/>
  <c r="F48" i="135"/>
  <c r="B48" i="135"/>
  <c r="W48" i="135"/>
  <c r="Q48" i="135"/>
  <c r="Z48" i="135" s="1"/>
  <c r="K48" i="135"/>
  <c r="D48" i="135"/>
  <c r="GC63" i="98"/>
  <c r="GB63" i="98"/>
  <c r="GC64" i="98"/>
  <c r="GB64" i="98"/>
  <c r="BR62" i="98" l="1"/>
  <c r="L35" i="127"/>
  <c r="U35" i="127" s="1"/>
  <c r="I133" i="71"/>
  <c r="K133" i="71" s="1"/>
  <c r="K80" i="71"/>
  <c r="U38" i="135"/>
  <c r="L38" i="135" s="1"/>
  <c r="Y38" i="135" s="1"/>
  <c r="M38" i="115"/>
  <c r="M52" i="115"/>
  <c r="M43" i="115"/>
  <c r="M44" i="115"/>
  <c r="M48" i="115"/>
  <c r="M60" i="115"/>
  <c r="U50" i="135"/>
  <c r="M51" i="115"/>
  <c r="M67" i="115"/>
  <c r="M68" i="115"/>
  <c r="M63" i="115"/>
  <c r="U37" i="135"/>
  <c r="M37" i="135" s="1"/>
  <c r="M65" i="115"/>
  <c r="M35" i="115"/>
  <c r="U59" i="135"/>
  <c r="F59" i="135" s="1"/>
  <c r="N39" i="115"/>
  <c r="N40" i="115"/>
  <c r="M57" i="115"/>
  <c r="M66" i="115"/>
  <c r="U68" i="135"/>
  <c r="W68" i="135" s="1"/>
  <c r="U69" i="135"/>
  <c r="M53" i="115"/>
  <c r="M55" i="115"/>
  <c r="U65" i="135"/>
  <c r="M41" i="115"/>
  <c r="M34" i="115"/>
  <c r="I34" i="136"/>
  <c r="GA61" i="98"/>
  <c r="GB61" i="98" s="1"/>
  <c r="M34" i="136"/>
  <c r="U34" i="136" s="1"/>
  <c r="AJ104" i="97"/>
  <c r="I26" i="136"/>
  <c r="I14" i="136"/>
  <c r="I10" i="136"/>
  <c r="GP161" i="1"/>
  <c r="GA50" i="98"/>
  <c r="GC50" i="98" s="1"/>
  <c r="L23" i="127"/>
  <c r="U23" i="127" s="1"/>
  <c r="M12" i="136"/>
  <c r="U12" i="136" s="1"/>
  <c r="L12" i="127"/>
  <c r="U12" i="127" s="1"/>
  <c r="GA34" i="98"/>
  <c r="GC34" i="98" s="1"/>
  <c r="L7" i="127"/>
  <c r="U7" i="127" s="1"/>
  <c r="GA43" i="98"/>
  <c r="GB43" i="98" s="1"/>
  <c r="L16" i="127"/>
  <c r="U16" i="127" s="1"/>
  <c r="M15" i="136"/>
  <c r="U15" i="136" s="1"/>
  <c r="L15" i="127"/>
  <c r="U15" i="127" s="1"/>
  <c r="BR40" i="98"/>
  <c r="U14" i="135" s="1"/>
  <c r="F14" i="135" s="1"/>
  <c r="L13" i="127"/>
  <c r="U13" i="127" s="1"/>
  <c r="BR41" i="98"/>
  <c r="U15" i="135" s="1"/>
  <c r="Q15" i="135" s="1"/>
  <c r="Z15" i="135" s="1"/>
  <c r="L14" i="127"/>
  <c r="U14" i="127" s="1"/>
  <c r="M26" i="136"/>
  <c r="U26" i="136" s="1"/>
  <c r="L26" i="127"/>
  <c r="U26" i="127" s="1"/>
  <c r="GA46" i="98"/>
  <c r="GB46" i="98" s="1"/>
  <c r="L19" i="127"/>
  <c r="U19" i="127" s="1"/>
  <c r="M25" i="136"/>
  <c r="U25" i="136" s="1"/>
  <c r="L25" i="127"/>
  <c r="U25" i="127" s="1"/>
  <c r="BR35" i="98"/>
  <c r="U9" i="135" s="1"/>
  <c r="Q9" i="135" s="1"/>
  <c r="Z9" i="135" s="1"/>
  <c r="L8" i="127"/>
  <c r="U8" i="127" s="1"/>
  <c r="M22" i="136"/>
  <c r="U22" i="136" s="1"/>
  <c r="L22" i="127"/>
  <c r="U22" i="127" s="1"/>
  <c r="M18" i="136"/>
  <c r="U18" i="136" s="1"/>
  <c r="L18" i="127"/>
  <c r="U18" i="127" s="1"/>
  <c r="GA51" i="98"/>
  <c r="GC51" i="98" s="1"/>
  <c r="L24" i="127"/>
  <c r="U24" i="127" s="1"/>
  <c r="GA37" i="98"/>
  <c r="GB37" i="98" s="1"/>
  <c r="L10" i="127"/>
  <c r="U10" i="127" s="1"/>
  <c r="M17" i="136"/>
  <c r="U17" i="136" s="1"/>
  <c r="L17" i="127"/>
  <c r="U17" i="127" s="1"/>
  <c r="I12" i="136"/>
  <c r="I17" i="136"/>
  <c r="M7" i="136"/>
  <c r="U7" i="136" s="1"/>
  <c r="M23" i="136"/>
  <c r="U23" i="136" s="1"/>
  <c r="M8" i="136"/>
  <c r="U8" i="136" s="1"/>
  <c r="I22" i="136"/>
  <c r="M24" i="136"/>
  <c r="U24" i="136" s="1"/>
  <c r="I13" i="136"/>
  <c r="CO32" i="98"/>
  <c r="FY13" i="98"/>
  <c r="FY11" i="98" s="1"/>
  <c r="M10" i="136"/>
  <c r="U10" i="136" s="1"/>
  <c r="M19" i="136"/>
  <c r="U19" i="136" s="1"/>
  <c r="M14" i="136"/>
  <c r="U14" i="136" s="1"/>
  <c r="BR55" i="98"/>
  <c r="U29" i="135" s="1"/>
  <c r="X29" i="135" s="1"/>
  <c r="M28" i="136"/>
  <c r="U28" i="136" s="1"/>
  <c r="GA54" i="98"/>
  <c r="GC54" i="98" s="1"/>
  <c r="M27" i="136"/>
  <c r="U27" i="136" s="1"/>
  <c r="M33" i="115"/>
  <c r="I33" i="136"/>
  <c r="BR58" i="98"/>
  <c r="M31" i="136"/>
  <c r="U31" i="136" s="1"/>
  <c r="M28" i="115"/>
  <c r="I28" i="136"/>
  <c r="N29" i="115"/>
  <c r="L29" i="136"/>
  <c r="BR60" i="98"/>
  <c r="U34" i="135" s="1"/>
  <c r="W34" i="135" s="1"/>
  <c r="M33" i="136"/>
  <c r="U33" i="136" s="1"/>
  <c r="BR59" i="98"/>
  <c r="U33" i="135" s="1"/>
  <c r="Q33" i="135" s="1"/>
  <c r="Z33" i="135" s="1"/>
  <c r="M32" i="136"/>
  <c r="U32" i="136" s="1"/>
  <c r="M29" i="115"/>
  <c r="I29" i="136"/>
  <c r="M30" i="115"/>
  <c r="I30" i="136"/>
  <c r="M27" i="115"/>
  <c r="I27" i="136"/>
  <c r="GA57" i="98"/>
  <c r="GB57" i="98" s="1"/>
  <c r="M30" i="136"/>
  <c r="U30" i="136" s="1"/>
  <c r="Q22" i="135"/>
  <c r="Z22" i="135" s="1"/>
  <c r="C22" i="135"/>
  <c r="M22" i="135"/>
  <c r="K22" i="135"/>
  <c r="P22" i="135"/>
  <c r="BR88" i="98"/>
  <c r="U62" i="135" s="1"/>
  <c r="W62" i="135" s="1"/>
  <c r="FR66" i="98"/>
  <c r="A22" i="135"/>
  <c r="W22" i="135"/>
  <c r="D22" i="135" s="1"/>
  <c r="X22" i="135"/>
  <c r="E22" i="135" s="1"/>
  <c r="FQ66" i="98"/>
  <c r="M39" i="115" s="1"/>
  <c r="B22" i="135"/>
  <c r="F22" i="135"/>
  <c r="GB88" i="98"/>
  <c r="FY66" i="98"/>
  <c r="BR66" i="98" s="1"/>
  <c r="U40" i="135" s="1"/>
  <c r="M40" i="135" s="1"/>
  <c r="BR86" i="98"/>
  <c r="U60" i="135" s="1"/>
  <c r="A60" i="135" s="1"/>
  <c r="GA59" i="98"/>
  <c r="GB59" i="98" s="1"/>
  <c r="M16" i="115"/>
  <c r="GA62" i="98"/>
  <c r="GB62" i="98" s="1"/>
  <c r="FN56" i="98"/>
  <c r="GA75" i="98"/>
  <c r="GC75" i="98" s="1"/>
  <c r="GA85" i="98"/>
  <c r="GC85" i="98" s="1"/>
  <c r="GB80" i="98"/>
  <c r="BR80" i="98"/>
  <c r="U55" i="135" s="1"/>
  <c r="GA40" i="98"/>
  <c r="GB40" i="98" s="1"/>
  <c r="BR42" i="98"/>
  <c r="U16" i="135" s="1"/>
  <c r="P16" i="135" s="1"/>
  <c r="GA42" i="98"/>
  <c r="GC42" i="98" s="1"/>
  <c r="M15" i="115"/>
  <c r="FR56" i="98"/>
  <c r="J29" i="136" s="1"/>
  <c r="GB48" i="98"/>
  <c r="FY56" i="98"/>
  <c r="BR43" i="98"/>
  <c r="U17" i="135" s="1"/>
  <c r="M21" i="115"/>
  <c r="GC72" i="98"/>
  <c r="GC69" i="98"/>
  <c r="BR69" i="98"/>
  <c r="U44" i="135" s="1"/>
  <c r="BR72" i="98"/>
  <c r="BR46" i="98"/>
  <c r="U20" i="135" s="1"/>
  <c r="W20" i="135" s="1"/>
  <c r="D20" i="135" s="1"/>
  <c r="GA70" i="98"/>
  <c r="GB70" i="98" s="1"/>
  <c r="FU36" i="98"/>
  <c r="FY36" i="98"/>
  <c r="FR36" i="98"/>
  <c r="J9" i="136" s="1"/>
  <c r="FN36" i="98"/>
  <c r="FQ36" i="98"/>
  <c r="GB74" i="98"/>
  <c r="BR57" i="98"/>
  <c r="U31" i="135" s="1"/>
  <c r="Q31" i="135" s="1"/>
  <c r="Z31" i="135" s="1"/>
  <c r="BR45" i="98"/>
  <c r="U19" i="135" s="1"/>
  <c r="K19" i="135" s="1"/>
  <c r="BR39" i="98"/>
  <c r="U13" i="135" s="1"/>
  <c r="M13" i="135" s="1"/>
  <c r="GB73" i="98"/>
  <c r="BR78" i="98"/>
  <c r="GC78" i="98"/>
  <c r="GA93" i="98"/>
  <c r="GB93" i="98" s="1"/>
  <c r="M25" i="115"/>
  <c r="P39" i="135"/>
  <c r="L39" i="135"/>
  <c r="Y39" i="135" s="1"/>
  <c r="GA71" i="98"/>
  <c r="GB71" i="98" s="1"/>
  <c r="GA58" i="98"/>
  <c r="GC58" i="98" s="1"/>
  <c r="C12" i="135"/>
  <c r="BR44" i="98"/>
  <c r="U18" i="135" s="1"/>
  <c r="Q18" i="135" s="1"/>
  <c r="Z18" i="135" s="1"/>
  <c r="GA87" i="98"/>
  <c r="GC87" i="98" s="1"/>
  <c r="BR82" i="98"/>
  <c r="U56" i="135" s="1"/>
  <c r="M56" i="135" s="1"/>
  <c r="BR49" i="98"/>
  <c r="U23" i="135" s="1"/>
  <c r="X23" i="135" s="1"/>
  <c r="E23" i="135" s="1"/>
  <c r="BR37" i="98"/>
  <c r="U11" i="135" s="1"/>
  <c r="F11" i="135" s="1"/>
  <c r="GA44" i="98"/>
  <c r="GB44" i="98" s="1"/>
  <c r="GA45" i="98"/>
  <c r="GB45" i="98" s="1"/>
  <c r="GA94" i="98"/>
  <c r="GC94" i="98" s="1"/>
  <c r="GA49" i="98"/>
  <c r="GB49" i="98" s="1"/>
  <c r="BR51" i="98"/>
  <c r="U25" i="135" s="1"/>
  <c r="Q25" i="135" s="1"/>
  <c r="Z25" i="135" s="1"/>
  <c r="M23" i="115"/>
  <c r="BR53" i="98"/>
  <c r="U27" i="135" s="1"/>
  <c r="C27" i="135" s="1"/>
  <c r="GA41" i="98"/>
  <c r="GC41" i="98" s="1"/>
  <c r="BR54" i="98"/>
  <c r="U28" i="135" s="1"/>
  <c r="F28" i="135" s="1"/>
  <c r="BR34" i="98"/>
  <c r="U8" i="135" s="1"/>
  <c r="X8" i="135" s="1"/>
  <c r="GA65" i="98"/>
  <c r="GC65" i="98" s="1"/>
  <c r="M11" i="115"/>
  <c r="M45" i="135"/>
  <c r="GA53" i="98"/>
  <c r="GB53" i="98" s="1"/>
  <c r="B39" i="135"/>
  <c r="K45" i="135"/>
  <c r="K39" i="135"/>
  <c r="F39" i="135"/>
  <c r="A45" i="135"/>
  <c r="M39" i="135"/>
  <c r="B45" i="135"/>
  <c r="W45" i="135"/>
  <c r="A12" i="135"/>
  <c r="C39" i="135"/>
  <c r="X39" i="135"/>
  <c r="D39" i="135"/>
  <c r="F45" i="135"/>
  <c r="D45" i="135"/>
  <c r="Q45" i="135"/>
  <c r="Z45" i="135" s="1"/>
  <c r="L12" i="135"/>
  <c r="Y12" i="135" s="1"/>
  <c r="Q39" i="135"/>
  <c r="Z39" i="135" s="1"/>
  <c r="E39" i="135"/>
  <c r="A39" i="135"/>
  <c r="E45" i="135"/>
  <c r="L45" i="135"/>
  <c r="Y45" i="135" s="1"/>
  <c r="C45" i="135"/>
  <c r="P45" i="135"/>
  <c r="BR79" i="98"/>
  <c r="U53" i="135" s="1"/>
  <c r="P53" i="135" s="1"/>
  <c r="W12" i="135"/>
  <c r="D12" i="135" s="1"/>
  <c r="X12" i="135"/>
  <c r="E12" i="135" s="1"/>
  <c r="F12" i="135"/>
  <c r="BR68" i="98"/>
  <c r="U42" i="135" s="1"/>
  <c r="P42" i="135" s="1"/>
  <c r="K12" i="135"/>
  <c r="P12" i="135"/>
  <c r="BR92" i="98"/>
  <c r="U66" i="135" s="1"/>
  <c r="K66" i="135" s="1"/>
  <c r="GA84" i="98"/>
  <c r="GC84" i="98" s="1"/>
  <c r="M7" i="115"/>
  <c r="BR50" i="98"/>
  <c r="U24" i="135" s="1"/>
  <c r="W24" i="135" s="1"/>
  <c r="D24" i="135" s="1"/>
  <c r="Q12" i="135"/>
  <c r="Z12" i="135" s="1"/>
  <c r="B12" i="135"/>
  <c r="GA39" i="98"/>
  <c r="GC39" i="98" s="1"/>
  <c r="GB68" i="98"/>
  <c r="GA55" i="98"/>
  <c r="GB55" i="98" s="1"/>
  <c r="GA83" i="98"/>
  <c r="GC83" i="98" s="1"/>
  <c r="GA90" i="98"/>
  <c r="GB90" i="98" s="1"/>
  <c r="M8" i="115"/>
  <c r="GB91" i="98"/>
  <c r="GA52" i="98"/>
  <c r="GB52" i="98" s="1"/>
  <c r="GA35" i="98"/>
  <c r="GC35" i="98" s="1"/>
  <c r="GA60" i="98"/>
  <c r="GC60" i="98" s="1"/>
  <c r="GB89" i="98"/>
  <c r="BR61" i="98"/>
  <c r="U35" i="135" s="1"/>
  <c r="Q35" i="135" s="1"/>
  <c r="Z35" i="135" s="1"/>
  <c r="BR89" i="98"/>
  <c r="U63" i="135" s="1"/>
  <c r="X63" i="135" s="1"/>
  <c r="GB38" i="98"/>
  <c r="BR52" i="98"/>
  <c r="U26" i="135" s="1"/>
  <c r="K26" i="135" s="1"/>
  <c r="G292" i="128"/>
  <c r="A292" i="128" s="1"/>
  <c r="GC47" i="98"/>
  <c r="GC76" i="98"/>
  <c r="GB77" i="98"/>
  <c r="BR77" i="98"/>
  <c r="U51" i="135" s="1"/>
  <c r="Q51" i="135" s="1"/>
  <c r="Z51" i="135" s="1"/>
  <c r="P21" i="135"/>
  <c r="L21" i="135"/>
  <c r="Y21" i="135" s="1"/>
  <c r="K21" i="135"/>
  <c r="D21" i="135"/>
  <c r="X21" i="135"/>
  <c r="E21" i="135" s="1"/>
  <c r="B21" i="135"/>
  <c r="Q21" i="135"/>
  <c r="Z21" i="135" s="1"/>
  <c r="M21" i="135"/>
  <c r="A21" i="135"/>
  <c r="C21" i="135"/>
  <c r="F21" i="135"/>
  <c r="W58" i="135"/>
  <c r="F58" i="135"/>
  <c r="C58" i="135"/>
  <c r="K58" i="135"/>
  <c r="A58" i="135"/>
  <c r="M58" i="135"/>
  <c r="X58" i="135"/>
  <c r="Q58" i="135"/>
  <c r="Z58" i="135" s="1"/>
  <c r="E58" i="135"/>
  <c r="B58" i="135"/>
  <c r="P58" i="135"/>
  <c r="L58" i="135"/>
  <c r="Y58" i="135" s="1"/>
  <c r="D58" i="135"/>
  <c r="GB92" i="98"/>
  <c r="GC92" i="98"/>
  <c r="GB86" i="98"/>
  <c r="GC86" i="98"/>
  <c r="GC82" i="98"/>
  <c r="GB82" i="98"/>
  <c r="GC67" i="98"/>
  <c r="GB67" i="98"/>
  <c r="W49" i="135"/>
  <c r="M49" i="135"/>
  <c r="E49" i="135"/>
  <c r="P49" i="135"/>
  <c r="K49" i="135"/>
  <c r="B49" i="135"/>
  <c r="X49" i="135"/>
  <c r="F49" i="135"/>
  <c r="Q49" i="135"/>
  <c r="Z49" i="135" s="1"/>
  <c r="L49" i="135"/>
  <c r="Y49" i="135" s="1"/>
  <c r="C49" i="135"/>
  <c r="D49" i="135"/>
  <c r="A49" i="135"/>
  <c r="GC79" i="98"/>
  <c r="GB79" i="98"/>
  <c r="Q4" i="127"/>
  <c r="K4" i="127" s="1"/>
  <c r="T4" i="127" s="1"/>
  <c r="G291" i="128"/>
  <c r="I4" i="129"/>
  <c r="U4" i="135"/>
  <c r="P4" i="115"/>
  <c r="P4" i="136"/>
  <c r="K4" i="136" s="1"/>
  <c r="T4" i="136" s="1"/>
  <c r="A68" i="135" l="1"/>
  <c r="P38" i="135"/>
  <c r="K37" i="135"/>
  <c r="B37" i="135"/>
  <c r="L37" i="135"/>
  <c r="Y37" i="135" s="1"/>
  <c r="B38" i="135"/>
  <c r="E38" i="135"/>
  <c r="Q68" i="135"/>
  <c r="Z68" i="135" s="1"/>
  <c r="C37" i="135"/>
  <c r="A38" i="135"/>
  <c r="X37" i="135"/>
  <c r="P37" i="135"/>
  <c r="X38" i="135"/>
  <c r="M38" i="135"/>
  <c r="K68" i="135"/>
  <c r="M68" i="135"/>
  <c r="D38" i="135"/>
  <c r="W38" i="135"/>
  <c r="Q38" i="135"/>
  <c r="Z38" i="135" s="1"/>
  <c r="D37" i="135"/>
  <c r="E37" i="135"/>
  <c r="F37" i="135"/>
  <c r="C38" i="135"/>
  <c r="B68" i="135"/>
  <c r="L68" i="135"/>
  <c r="Y68" i="135" s="1"/>
  <c r="A37" i="135"/>
  <c r="K38" i="135"/>
  <c r="W37" i="135"/>
  <c r="F38" i="135"/>
  <c r="Q37" i="135"/>
  <c r="Z37" i="135" s="1"/>
  <c r="E68" i="135"/>
  <c r="C68" i="135"/>
  <c r="P68" i="135"/>
  <c r="X68" i="135"/>
  <c r="D68" i="135"/>
  <c r="F68" i="135"/>
  <c r="B59" i="135"/>
  <c r="Q59" i="135"/>
  <c r="Z59" i="135" s="1"/>
  <c r="E59" i="135"/>
  <c r="D59" i="135"/>
  <c r="P59" i="135"/>
  <c r="A59" i="135"/>
  <c r="C59" i="135"/>
  <c r="M59" i="135"/>
  <c r="L59" i="135"/>
  <c r="Y59" i="135" s="1"/>
  <c r="K59" i="135"/>
  <c r="X59" i="135"/>
  <c r="W59" i="135"/>
  <c r="W55" i="135"/>
  <c r="P55" i="135"/>
  <c r="Q55" i="135"/>
  <c r="Z55" i="135" s="1"/>
  <c r="A55" i="135"/>
  <c r="E55" i="135"/>
  <c r="B55" i="135"/>
  <c r="M55" i="135"/>
  <c r="F55" i="135"/>
  <c r="D55" i="135"/>
  <c r="L55" i="135"/>
  <c r="Y55" i="135" s="1"/>
  <c r="K55" i="135"/>
  <c r="X55" i="135"/>
  <c r="C55" i="135"/>
  <c r="E44" i="135"/>
  <c r="K44" i="135"/>
  <c r="Q44" i="135"/>
  <c r="Z44" i="135" s="1"/>
  <c r="A44" i="135"/>
  <c r="F44" i="135"/>
  <c r="B44" i="135"/>
  <c r="W44" i="135"/>
  <c r="P44" i="135"/>
  <c r="M44" i="135"/>
  <c r="L44" i="135"/>
  <c r="Y44" i="135" s="1"/>
  <c r="D44" i="135"/>
  <c r="C44" i="135"/>
  <c r="X44" i="135"/>
  <c r="U32" i="135"/>
  <c r="X32" i="135" s="1"/>
  <c r="U41" i="135"/>
  <c r="U57" i="135"/>
  <c r="M40" i="115"/>
  <c r="U61" i="135"/>
  <c r="W50" i="135"/>
  <c r="C50" i="135"/>
  <c r="M50" i="135"/>
  <c r="K50" i="135"/>
  <c r="E50" i="135"/>
  <c r="L50" i="135"/>
  <c r="Y50" i="135" s="1"/>
  <c r="B50" i="135"/>
  <c r="F50" i="135"/>
  <c r="Q50" i="135"/>
  <c r="Z50" i="135" s="1"/>
  <c r="A50" i="135"/>
  <c r="P50" i="135"/>
  <c r="D50" i="135"/>
  <c r="X50" i="135"/>
  <c r="U64" i="135"/>
  <c r="U46" i="135"/>
  <c r="C46" i="135" s="1"/>
  <c r="U47" i="135"/>
  <c r="U52" i="135"/>
  <c r="C52" i="135" s="1"/>
  <c r="U43" i="135"/>
  <c r="P43" i="135" s="1"/>
  <c r="U54" i="135"/>
  <c r="K54" i="135" s="1"/>
  <c r="W65" i="135"/>
  <c r="X65" i="135"/>
  <c r="C65" i="135"/>
  <c r="P65" i="135"/>
  <c r="Q65" i="135"/>
  <c r="Z65" i="135" s="1"/>
  <c r="M65" i="135"/>
  <c r="D65" i="135"/>
  <c r="F65" i="135"/>
  <c r="B65" i="135"/>
  <c r="E65" i="135"/>
  <c r="L65" i="135"/>
  <c r="Y65" i="135" s="1"/>
  <c r="A65" i="135"/>
  <c r="K65" i="135"/>
  <c r="P69" i="135"/>
  <c r="L69" i="135"/>
  <c r="Y69" i="135" s="1"/>
  <c r="B69" i="135"/>
  <c r="Q69" i="135"/>
  <c r="Z69" i="135" s="1"/>
  <c r="C69" i="135"/>
  <c r="A69" i="135"/>
  <c r="D69" i="135"/>
  <c r="W69" i="135"/>
  <c r="F69" i="135"/>
  <c r="M69" i="135"/>
  <c r="X69" i="135"/>
  <c r="K69" i="135"/>
  <c r="E69" i="135"/>
  <c r="U36" i="135"/>
  <c r="U67" i="135"/>
  <c r="GC61" i="98"/>
  <c r="E4" i="136"/>
  <c r="AM104" i="97"/>
  <c r="AJ96" i="97"/>
  <c r="AJ94" i="97"/>
  <c r="FY10" i="98" s="1"/>
  <c r="BD94" i="97"/>
  <c r="BD96" i="97"/>
  <c r="GB34" i="98"/>
  <c r="GC37" i="98"/>
  <c r="GC46" i="98"/>
  <c r="GB50" i="98"/>
  <c r="M15" i="135"/>
  <c r="X9" i="135"/>
  <c r="E9" i="135" s="1"/>
  <c r="P15" i="135"/>
  <c r="W15" i="135"/>
  <c r="D15" i="135" s="1"/>
  <c r="C9" i="135"/>
  <c r="B15" i="135"/>
  <c r="W9" i="135"/>
  <c r="D9" i="135" s="1"/>
  <c r="A14" i="135"/>
  <c r="C14" i="135"/>
  <c r="M14" i="135"/>
  <c r="K14" i="135"/>
  <c r="L14" i="135"/>
  <c r="Y14" i="135" s="1"/>
  <c r="GC43" i="98"/>
  <c r="GB51" i="98"/>
  <c r="F15" i="135"/>
  <c r="A15" i="135"/>
  <c r="X15" i="135"/>
  <c r="E15" i="135" s="1"/>
  <c r="K9" i="135"/>
  <c r="P9" i="135"/>
  <c r="C15" i="135"/>
  <c r="M9" i="135"/>
  <c r="B9" i="135"/>
  <c r="F9" i="135"/>
  <c r="K15" i="135"/>
  <c r="L15" i="135"/>
  <c r="Y15" i="135" s="1"/>
  <c r="L9" i="135"/>
  <c r="Y9" i="135" s="1"/>
  <c r="A9" i="135"/>
  <c r="P14" i="135"/>
  <c r="W14" i="135"/>
  <c r="D14" i="135" s="1"/>
  <c r="X14" i="135"/>
  <c r="E14" i="135" s="1"/>
  <c r="Q14" i="135"/>
  <c r="Z14" i="135" s="1"/>
  <c r="B14" i="135"/>
  <c r="M29" i="136"/>
  <c r="U29" i="136" s="1"/>
  <c r="L29" i="127"/>
  <c r="U29" i="127" s="1"/>
  <c r="M9" i="136"/>
  <c r="U9" i="136" s="1"/>
  <c r="L9" i="127"/>
  <c r="U9" i="127" s="1"/>
  <c r="GG32" i="98"/>
  <c r="CW32" i="98" s="1"/>
  <c r="I5" i="129"/>
  <c r="A5" i="129" s="1"/>
  <c r="P5" i="115"/>
  <c r="A5" i="115" s="1"/>
  <c r="GB54" i="98"/>
  <c r="U5" i="135"/>
  <c r="M5" i="135" s="1"/>
  <c r="GC57" i="98"/>
  <c r="P5" i="136"/>
  <c r="Q5" i="127"/>
  <c r="J5" i="127" s="1"/>
  <c r="G293" i="128"/>
  <c r="A293" i="128" s="1"/>
  <c r="F33" i="135"/>
  <c r="L33" i="135"/>
  <c r="Y33" i="135" s="1"/>
  <c r="M33" i="135"/>
  <c r="B33" i="135"/>
  <c r="W33" i="135"/>
  <c r="D33" i="135" s="1"/>
  <c r="A34" i="135"/>
  <c r="M29" i="135"/>
  <c r="K34" i="135"/>
  <c r="E29" i="135"/>
  <c r="F29" i="135"/>
  <c r="P29" i="135"/>
  <c r="B34" i="135"/>
  <c r="L34" i="135"/>
  <c r="Y34" i="135" s="1"/>
  <c r="L29" i="135"/>
  <c r="Y29" i="135" s="1"/>
  <c r="K29" i="135"/>
  <c r="A29" i="135"/>
  <c r="C29" i="135"/>
  <c r="F34" i="135"/>
  <c r="Q34" i="135"/>
  <c r="Z34" i="135" s="1"/>
  <c r="D34" i="135"/>
  <c r="C34" i="135"/>
  <c r="B29" i="135"/>
  <c r="W29" i="135"/>
  <c r="D29" i="135" s="1"/>
  <c r="P34" i="135"/>
  <c r="X34" i="135"/>
  <c r="E34" i="135" s="1"/>
  <c r="M34" i="135"/>
  <c r="Q29" i="135"/>
  <c r="Z29" i="135" s="1"/>
  <c r="K33" i="135"/>
  <c r="C33" i="135"/>
  <c r="GC40" i="98"/>
  <c r="A33" i="135"/>
  <c r="X33" i="135"/>
  <c r="E33" i="135" s="1"/>
  <c r="P33" i="135"/>
  <c r="N9" i="115"/>
  <c r="L9" i="136"/>
  <c r="L40" i="135"/>
  <c r="Y40" i="135" s="1"/>
  <c r="K62" i="135"/>
  <c r="X62" i="135"/>
  <c r="L62" i="135"/>
  <c r="Y62" i="135" s="1"/>
  <c r="X25" i="135"/>
  <c r="E25" i="135" s="1"/>
  <c r="W40" i="135"/>
  <c r="D40" i="135"/>
  <c r="GB85" i="98"/>
  <c r="F40" i="135"/>
  <c r="P62" i="135"/>
  <c r="M62" i="135"/>
  <c r="F62" i="135"/>
  <c r="C62" i="135"/>
  <c r="B62" i="135"/>
  <c r="Q62" i="135"/>
  <c r="Z62" i="135" s="1"/>
  <c r="A62" i="135"/>
  <c r="E62" i="135"/>
  <c r="D62" i="135"/>
  <c r="GB75" i="98"/>
  <c r="X60" i="135"/>
  <c r="E60" i="135"/>
  <c r="M60" i="135"/>
  <c r="B60" i="135"/>
  <c r="F60" i="135"/>
  <c r="K60" i="135"/>
  <c r="C60" i="135"/>
  <c r="Q60" i="135"/>
  <c r="Z60" i="135" s="1"/>
  <c r="L60" i="135"/>
  <c r="Y60" i="135" s="1"/>
  <c r="W60" i="135"/>
  <c r="D60" i="135"/>
  <c r="P60" i="135"/>
  <c r="X16" i="135"/>
  <c r="E16" i="135" s="1"/>
  <c r="L16" i="135"/>
  <c r="Y16" i="135" s="1"/>
  <c r="Q16" i="135"/>
  <c r="Z16" i="135" s="1"/>
  <c r="C16" i="135"/>
  <c r="B16" i="135"/>
  <c r="F16" i="135"/>
  <c r="K40" i="135"/>
  <c r="C40" i="135"/>
  <c r="E40" i="135"/>
  <c r="GA66" i="98"/>
  <c r="GC66" i="98" s="1"/>
  <c r="A40" i="135"/>
  <c r="Q40" i="135"/>
  <c r="Z40" i="135" s="1"/>
  <c r="X40" i="135"/>
  <c r="P40" i="135"/>
  <c r="B40" i="135"/>
  <c r="GB87" i="98"/>
  <c r="A16" i="135"/>
  <c r="M16" i="135"/>
  <c r="GC59" i="98"/>
  <c r="GB39" i="98"/>
  <c r="GB84" i="98"/>
  <c r="W16" i="135"/>
  <c r="D16" i="135" s="1"/>
  <c r="K16" i="135"/>
  <c r="GC62" i="98"/>
  <c r="GB42" i="98"/>
  <c r="C31" i="135"/>
  <c r="B20" i="135"/>
  <c r="P17" i="135"/>
  <c r="W17" i="135"/>
  <c r="D17" i="135" s="1"/>
  <c r="M17" i="135"/>
  <c r="Q17" i="135"/>
  <c r="Z17" i="135" s="1"/>
  <c r="X17" i="135"/>
  <c r="E17" i="135" s="1"/>
  <c r="F17" i="135"/>
  <c r="B17" i="135"/>
  <c r="A17" i="135"/>
  <c r="C17" i="135"/>
  <c r="L17" i="135"/>
  <c r="Y17" i="135" s="1"/>
  <c r="K17" i="135"/>
  <c r="P20" i="135"/>
  <c r="L20" i="135"/>
  <c r="Y20" i="135" s="1"/>
  <c r="BR56" i="98"/>
  <c r="U30" i="135" s="1"/>
  <c r="GA56" i="98"/>
  <c r="X20" i="135"/>
  <c r="E20" i="135" s="1"/>
  <c r="Q20" i="135"/>
  <c r="Z20" i="135" s="1"/>
  <c r="K20" i="135"/>
  <c r="M20" i="135"/>
  <c r="C20" i="135"/>
  <c r="A20" i="135"/>
  <c r="F20" i="135"/>
  <c r="GC70" i="98"/>
  <c r="B13" i="135"/>
  <c r="GC44" i="98"/>
  <c r="D31" i="135"/>
  <c r="C13" i="135"/>
  <c r="GB58" i="98"/>
  <c r="Q13" i="135"/>
  <c r="Z13" i="135" s="1"/>
  <c r="K13" i="135"/>
  <c r="A13" i="135"/>
  <c r="BR36" i="98"/>
  <c r="U10" i="135" s="1"/>
  <c r="GA36" i="98"/>
  <c r="I9" i="136"/>
  <c r="M9" i="115"/>
  <c r="A19" i="135"/>
  <c r="Q19" i="135"/>
  <c r="Z19" i="135" s="1"/>
  <c r="P19" i="135"/>
  <c r="K31" i="135"/>
  <c r="W31" i="135"/>
  <c r="L31" i="135"/>
  <c r="Y31" i="135" s="1"/>
  <c r="B31" i="135"/>
  <c r="P31" i="135"/>
  <c r="W19" i="135"/>
  <c r="D19" i="135" s="1"/>
  <c r="X19" i="135"/>
  <c r="E19" i="135" s="1"/>
  <c r="X31" i="135"/>
  <c r="M31" i="135"/>
  <c r="A31" i="135"/>
  <c r="B19" i="135"/>
  <c r="C19" i="135"/>
  <c r="GB83" i="98"/>
  <c r="GB65" i="98"/>
  <c r="M19" i="135"/>
  <c r="E31" i="135"/>
  <c r="F31" i="135"/>
  <c r="F19" i="135"/>
  <c r="L19" i="135"/>
  <c r="Y19" i="135" s="1"/>
  <c r="W13" i="135"/>
  <c r="D13" i="135" s="1"/>
  <c r="L13" i="135"/>
  <c r="Y13" i="135" s="1"/>
  <c r="X13" i="135"/>
  <c r="E13" i="135" s="1"/>
  <c r="GC53" i="98"/>
  <c r="GC93" i="98"/>
  <c r="F13" i="135"/>
  <c r="P13" i="135"/>
  <c r="GC55" i="98"/>
  <c r="GC90" i="98"/>
  <c r="GB35" i="98"/>
  <c r="GC45" i="98"/>
  <c r="GB94" i="98"/>
  <c r="GC71" i="98"/>
  <c r="P23" i="135"/>
  <c r="C28" i="135"/>
  <c r="L56" i="135"/>
  <c r="Y56" i="135" s="1"/>
  <c r="M27" i="135"/>
  <c r="L11" i="135"/>
  <c r="Y11" i="135" s="1"/>
  <c r="A8" i="135"/>
  <c r="Q24" i="135"/>
  <c r="Z24" i="135" s="1"/>
  <c r="C11" i="135"/>
  <c r="M18" i="135"/>
  <c r="E56" i="135"/>
  <c r="A25" i="135"/>
  <c r="K56" i="135"/>
  <c r="E28" i="135"/>
  <c r="X56" i="135"/>
  <c r="A28" i="135"/>
  <c r="M25" i="135"/>
  <c r="B11" i="135"/>
  <c r="W11" i="135"/>
  <c r="D11" i="135" s="1"/>
  <c r="C53" i="135"/>
  <c r="L27" i="135"/>
  <c r="Y27" i="135" s="1"/>
  <c r="M11" i="135"/>
  <c r="P27" i="135"/>
  <c r="X27" i="135"/>
  <c r="K11" i="135"/>
  <c r="Q8" i="135"/>
  <c r="Z8" i="135" s="1"/>
  <c r="A23" i="135"/>
  <c r="C18" i="135"/>
  <c r="M8" i="135"/>
  <c r="K23" i="135"/>
  <c r="F56" i="135"/>
  <c r="W56" i="135"/>
  <c r="P56" i="135"/>
  <c r="D28" i="135"/>
  <c r="P28" i="135"/>
  <c r="M28" i="135"/>
  <c r="C25" i="135"/>
  <c r="B25" i="135"/>
  <c r="W25" i="135"/>
  <c r="D25" i="135" s="1"/>
  <c r="K35" i="135"/>
  <c r="B56" i="135"/>
  <c r="D56" i="135"/>
  <c r="Q56" i="135"/>
  <c r="Z56" i="135" s="1"/>
  <c r="L28" i="135"/>
  <c r="Y28" i="135" s="1"/>
  <c r="W28" i="135"/>
  <c r="K28" i="135"/>
  <c r="X28" i="135"/>
  <c r="L25" i="135"/>
  <c r="Y25" i="135" s="1"/>
  <c r="P25" i="135"/>
  <c r="A56" i="135"/>
  <c r="C56" i="135"/>
  <c r="B28" i="135"/>
  <c r="Q28" i="135"/>
  <c r="Z28" i="135" s="1"/>
  <c r="F25" i="135"/>
  <c r="K25" i="135"/>
  <c r="Q27" i="135"/>
  <c r="Z27" i="135" s="1"/>
  <c r="E42" i="135"/>
  <c r="M63" i="135"/>
  <c r="F24" i="135"/>
  <c r="P11" i="135"/>
  <c r="K53" i="135"/>
  <c r="K27" i="135"/>
  <c r="F27" i="135"/>
  <c r="E27" i="135"/>
  <c r="L42" i="135"/>
  <c r="Y42" i="135" s="1"/>
  <c r="M42" i="135"/>
  <c r="A63" i="135"/>
  <c r="W63" i="135"/>
  <c r="W27" i="135"/>
  <c r="D27" i="135" s="1"/>
  <c r="X11" i="135"/>
  <c r="E11" i="135" s="1"/>
  <c r="A11" i="135"/>
  <c r="Q11" i="135"/>
  <c r="Z11" i="135" s="1"/>
  <c r="W53" i="135"/>
  <c r="A27" i="135"/>
  <c r="B27" i="135"/>
  <c r="W42" i="135"/>
  <c r="P63" i="135"/>
  <c r="E8" i="135"/>
  <c r="C8" i="135"/>
  <c r="L23" i="135"/>
  <c r="Y23" i="135" s="1"/>
  <c r="Q23" i="135"/>
  <c r="Z23" i="135" s="1"/>
  <c r="W18" i="135"/>
  <c r="D18" i="135" s="1"/>
  <c r="F18" i="135"/>
  <c r="K18" i="135"/>
  <c r="L8" i="135"/>
  <c r="Y8" i="135" s="1"/>
  <c r="F8" i="135"/>
  <c r="W8" i="135"/>
  <c r="D8" i="135" s="1"/>
  <c r="M23" i="135"/>
  <c r="C23" i="135"/>
  <c r="F23" i="135"/>
  <c r="P18" i="135"/>
  <c r="A18" i="135"/>
  <c r="X18" i="135"/>
  <c r="E18" i="135" s="1"/>
  <c r="P8" i="135"/>
  <c r="K8" i="135"/>
  <c r="B8" i="135"/>
  <c r="W23" i="135"/>
  <c r="D23" i="135" s="1"/>
  <c r="B23" i="135"/>
  <c r="L18" i="135"/>
  <c r="Y18" i="135" s="1"/>
  <c r="B18" i="135"/>
  <c r="GC49" i="98"/>
  <c r="A66" i="135"/>
  <c r="GB41" i="98"/>
  <c r="GC52" i="98"/>
  <c r="E35" i="135"/>
  <c r="B26" i="135"/>
  <c r="L35" i="135"/>
  <c r="Y35" i="135" s="1"/>
  <c r="X66" i="135"/>
  <c r="L66" i="135"/>
  <c r="Y66" i="135" s="1"/>
  <c r="F66" i="135"/>
  <c r="M66" i="135"/>
  <c r="W66" i="135"/>
  <c r="Q66" i="135"/>
  <c r="Z66" i="135" s="1"/>
  <c r="B66" i="135"/>
  <c r="P66" i="135"/>
  <c r="C66" i="135"/>
  <c r="E66" i="135"/>
  <c r="D66" i="135"/>
  <c r="M35" i="135"/>
  <c r="P35" i="135"/>
  <c r="B35" i="135"/>
  <c r="C35" i="135"/>
  <c r="W35" i="135"/>
  <c r="F35" i="135"/>
  <c r="X35" i="135"/>
  <c r="F26" i="135"/>
  <c r="D35" i="135"/>
  <c r="A35" i="135"/>
  <c r="A53" i="135"/>
  <c r="D53" i="135"/>
  <c r="Q53" i="135"/>
  <c r="Z53" i="135" s="1"/>
  <c r="L53" i="135"/>
  <c r="Y53" i="135" s="1"/>
  <c r="X42" i="135"/>
  <c r="K42" i="135"/>
  <c r="F42" i="135"/>
  <c r="L63" i="135"/>
  <c r="Y63" i="135" s="1"/>
  <c r="F63" i="135"/>
  <c r="D63" i="135"/>
  <c r="P24" i="135"/>
  <c r="B24" i="135"/>
  <c r="X24" i="135"/>
  <c r="E24" i="135" s="1"/>
  <c r="E53" i="135"/>
  <c r="X53" i="135"/>
  <c r="F53" i="135"/>
  <c r="Q42" i="135"/>
  <c r="Z42" i="135" s="1"/>
  <c r="A42" i="135"/>
  <c r="E63" i="135"/>
  <c r="B63" i="135"/>
  <c r="A24" i="135"/>
  <c r="L24" i="135"/>
  <c r="Y24" i="135" s="1"/>
  <c r="B53" i="135"/>
  <c r="M53" i="135"/>
  <c r="D42" i="135"/>
  <c r="C42" i="135"/>
  <c r="B42" i="135"/>
  <c r="C63" i="135"/>
  <c r="Q63" i="135"/>
  <c r="Z63" i="135" s="1"/>
  <c r="K63" i="135"/>
  <c r="M24" i="135"/>
  <c r="C24" i="135"/>
  <c r="K24" i="135"/>
  <c r="GB60" i="98"/>
  <c r="W26" i="135"/>
  <c r="D26" i="135" s="1"/>
  <c r="C26" i="135"/>
  <c r="L26" i="135"/>
  <c r="Y26" i="135" s="1"/>
  <c r="A26" i="135"/>
  <c r="Q26" i="135"/>
  <c r="Z26" i="135" s="1"/>
  <c r="X26" i="135"/>
  <c r="E26" i="135" s="1"/>
  <c r="P26" i="135"/>
  <c r="M26" i="135"/>
  <c r="B292" i="128"/>
  <c r="C292" i="128"/>
  <c r="B51" i="135"/>
  <c r="X51" i="135"/>
  <c r="L51" i="135"/>
  <c r="Y51" i="135" s="1"/>
  <c r="W51" i="135"/>
  <c r="K51" i="135"/>
  <c r="C51" i="135"/>
  <c r="E51" i="135"/>
  <c r="P51" i="135"/>
  <c r="D51" i="135"/>
  <c r="A51" i="135"/>
  <c r="F51" i="135"/>
  <c r="M51" i="135"/>
  <c r="L4" i="135"/>
  <c r="Y4" i="135" s="1"/>
  <c r="B4" i="135"/>
  <c r="Q4" i="135"/>
  <c r="Z4" i="135" s="1"/>
  <c r="W4" i="135"/>
  <c r="D4" i="135" s="1"/>
  <c r="M4" i="135"/>
  <c r="C4" i="135"/>
  <c r="F4" i="135"/>
  <c r="A4" i="135"/>
  <c r="X4" i="135"/>
  <c r="E4" i="135" s="1"/>
  <c r="A4" i="129"/>
  <c r="B4" i="129"/>
  <c r="L4" i="129"/>
  <c r="D4" i="129" s="1"/>
  <c r="F4" i="129"/>
  <c r="C4" i="129"/>
  <c r="M4" i="129"/>
  <c r="E4" i="129" s="1"/>
  <c r="L4" i="136"/>
  <c r="D4" i="136"/>
  <c r="U4" i="136"/>
  <c r="S4" i="136"/>
  <c r="C4" i="136" s="1"/>
  <c r="A4" i="136"/>
  <c r="R4" i="136"/>
  <c r="B4" i="136" s="1"/>
  <c r="C291" i="128"/>
  <c r="A291" i="128"/>
  <c r="B291" i="128"/>
  <c r="A4" i="115"/>
  <c r="E4" i="115"/>
  <c r="B4" i="115"/>
  <c r="C4" i="115"/>
  <c r="C4" i="127"/>
  <c r="A4" i="127"/>
  <c r="B4" i="127" s="1"/>
  <c r="D4" i="127"/>
  <c r="J4" i="127"/>
  <c r="M4" i="127"/>
  <c r="DE156" i="130"/>
  <c r="DA134" i="130"/>
  <c r="DA163" i="130"/>
  <c r="DA155" i="130"/>
  <c r="DA137" i="130"/>
  <c r="DA151" i="130"/>
  <c r="DI152" i="130"/>
  <c r="DA166" i="130"/>
  <c r="DA157" i="130"/>
  <c r="DD153" i="130"/>
  <c r="DA145" i="130"/>
  <c r="DA136" i="130"/>
  <c r="DA160" i="130"/>
  <c r="DD148" i="130"/>
  <c r="DA156" i="130"/>
  <c r="DA153" i="130"/>
  <c r="DA143" i="130"/>
  <c r="DA159" i="130"/>
  <c r="DA164" i="130"/>
  <c r="DA147" i="130"/>
  <c r="DA167" i="130"/>
  <c r="DA149" i="130"/>
  <c r="DA135" i="130"/>
  <c r="DA165" i="130"/>
  <c r="DA142" i="130"/>
  <c r="DD134" i="130"/>
  <c r="DA158" i="130"/>
  <c r="DA138" i="130"/>
  <c r="DA162" i="130"/>
  <c r="DA148" i="130"/>
  <c r="DA152" i="130"/>
  <c r="DA150" i="130"/>
  <c r="DA154" i="130"/>
  <c r="DG145" i="130"/>
  <c r="DC151" i="130"/>
  <c r="DE166" i="130"/>
  <c r="DF155" i="130"/>
  <c r="DF134" i="130"/>
  <c r="DA141" i="130"/>
  <c r="DA144" i="130"/>
  <c r="DD145" i="130"/>
  <c r="DE143" i="130"/>
  <c r="DG152" i="130"/>
  <c r="DH165" i="130"/>
  <c r="DH149" i="130"/>
  <c r="DC157" i="130"/>
  <c r="DA161" i="130"/>
  <c r="CN52" i="130"/>
  <c r="DF52" i="130" s="1"/>
  <c r="CM53" i="130"/>
  <c r="DE53" i="130" s="1"/>
  <c r="CM55" i="130"/>
  <c r="DE55" i="130" s="1"/>
  <c r="CP53" i="130"/>
  <c r="DH53" i="130" s="1"/>
  <c r="DC156" i="130"/>
  <c r="CL52" i="130"/>
  <c r="DD52" i="130" s="1"/>
  <c r="CC118" i="130"/>
  <c r="DF71" i="130"/>
  <c r="DF51" i="130" s="1"/>
  <c r="DF69" i="130"/>
  <c r="DF49" i="130" s="1"/>
  <c r="DH69" i="130"/>
  <c r="DH49" i="130" s="1"/>
  <c r="CP58" i="130"/>
  <c r="DH58" i="130" s="1"/>
  <c r="CL53" i="130"/>
  <c r="DD53" i="130" s="1"/>
  <c r="CQ57" i="130"/>
  <c r="DI57" i="130" s="1"/>
  <c r="CL59" i="130"/>
  <c r="DD59" i="130" s="1"/>
  <c r="DD71" i="130"/>
  <c r="DD51" i="130" s="1"/>
  <c r="DD69" i="130"/>
  <c r="DD49" i="130" s="1"/>
  <c r="DI69" i="130"/>
  <c r="DI49" i="130" s="1"/>
  <c r="CO54" i="130"/>
  <c r="DG54" i="130" s="1"/>
  <c r="CK61" i="130"/>
  <c r="DC61" i="130" s="1"/>
  <c r="CP60" i="130"/>
  <c r="DH60" i="130" s="1"/>
  <c r="CP54" i="130"/>
  <c r="DH54" i="130" s="1"/>
  <c r="CK54" i="130"/>
  <c r="DC54" i="130" s="1"/>
  <c r="DC69" i="130"/>
  <c r="DC49" i="130" s="1"/>
  <c r="CP57" i="130"/>
  <c r="DH57" i="130" s="1"/>
  <c r="CO52" i="130"/>
  <c r="DG52" i="130" s="1"/>
  <c r="CO61" i="130"/>
  <c r="DG61" i="130" s="1"/>
  <c r="CQ52" i="130"/>
  <c r="DI52" i="130" s="1"/>
  <c r="DE69" i="130"/>
  <c r="DE49" i="130" s="1"/>
  <c r="CN59" i="130"/>
  <c r="DF59" i="130" s="1"/>
  <c r="CM61" i="130"/>
  <c r="DE61" i="130" s="1"/>
  <c r="CJ61" i="130"/>
  <c r="DA61" i="130" s="1"/>
  <c r="F52" i="135" l="1"/>
  <c r="K46" i="135"/>
  <c r="K43" i="135"/>
  <c r="K32" i="135"/>
  <c r="L52" i="135"/>
  <c r="Y52" i="135" s="1"/>
  <c r="A52" i="135"/>
  <c r="E52" i="135"/>
  <c r="M52" i="135"/>
  <c r="X52" i="135"/>
  <c r="W52" i="135"/>
  <c r="P52" i="135"/>
  <c r="B52" i="135"/>
  <c r="Q52" i="135"/>
  <c r="Z52" i="135" s="1"/>
  <c r="K52" i="135"/>
  <c r="D52" i="135"/>
  <c r="B43" i="135"/>
  <c r="L43" i="135"/>
  <c r="Y43" i="135" s="1"/>
  <c r="Q43" i="135"/>
  <c r="Z43" i="135" s="1"/>
  <c r="D43" i="135"/>
  <c r="C43" i="135"/>
  <c r="E43" i="135"/>
  <c r="F43" i="135"/>
  <c r="X43" i="135"/>
  <c r="A43" i="135"/>
  <c r="M43" i="135"/>
  <c r="W43" i="135"/>
  <c r="D54" i="135"/>
  <c r="F32" i="135"/>
  <c r="D46" i="135"/>
  <c r="B46" i="135"/>
  <c r="X54" i="135"/>
  <c r="A46" i="135"/>
  <c r="L46" i="135"/>
  <c r="Y46" i="135" s="1"/>
  <c r="Q46" i="135"/>
  <c r="Z46" i="135" s="1"/>
  <c r="P54" i="135"/>
  <c r="E54" i="135"/>
  <c r="Q54" i="135"/>
  <c r="Z54" i="135" s="1"/>
  <c r="F54" i="135"/>
  <c r="W54" i="135"/>
  <c r="X46" i="135"/>
  <c r="M46" i="135"/>
  <c r="F46" i="135"/>
  <c r="A54" i="135"/>
  <c r="B54" i="135"/>
  <c r="M54" i="135"/>
  <c r="P46" i="135"/>
  <c r="E46" i="135"/>
  <c r="W46" i="135"/>
  <c r="L54" i="135"/>
  <c r="Y54" i="135" s="1"/>
  <c r="C54" i="135"/>
  <c r="A32" i="135"/>
  <c r="P32" i="135"/>
  <c r="W32" i="135"/>
  <c r="D32" i="135" s="1"/>
  <c r="C32" i="135"/>
  <c r="L32" i="135"/>
  <c r="Y32" i="135" s="1"/>
  <c r="Q32" i="135"/>
  <c r="Z32" i="135" s="1"/>
  <c r="M5" i="129"/>
  <c r="E5" i="129" s="1"/>
  <c r="M32" i="135"/>
  <c r="E32" i="135"/>
  <c r="B32" i="135"/>
  <c r="M41" i="135"/>
  <c r="D41" i="135"/>
  <c r="A41" i="135"/>
  <c r="B41" i="135"/>
  <c r="X41" i="135"/>
  <c r="W41" i="135"/>
  <c r="Q41" i="135"/>
  <c r="Z41" i="135" s="1"/>
  <c r="L41" i="135"/>
  <c r="Y41" i="135" s="1"/>
  <c r="E41" i="135"/>
  <c r="F41" i="135"/>
  <c r="P41" i="135"/>
  <c r="K41" i="135"/>
  <c r="C41" i="135"/>
  <c r="X47" i="135"/>
  <c r="W47" i="135"/>
  <c r="E47" i="135"/>
  <c r="A47" i="135"/>
  <c r="Q47" i="135"/>
  <c r="Z47" i="135" s="1"/>
  <c r="F47" i="135"/>
  <c r="D47" i="135"/>
  <c r="K47" i="135"/>
  <c r="B47" i="135"/>
  <c r="L47" i="135"/>
  <c r="Y47" i="135" s="1"/>
  <c r="C47" i="135"/>
  <c r="M47" i="135"/>
  <c r="P47" i="135"/>
  <c r="K61" i="135"/>
  <c r="B61" i="135"/>
  <c r="D61" i="135"/>
  <c r="W61" i="135"/>
  <c r="Q61" i="135"/>
  <c r="Z61" i="135" s="1"/>
  <c r="F61" i="135"/>
  <c r="M61" i="135"/>
  <c r="A61" i="135"/>
  <c r="C61" i="135"/>
  <c r="X61" i="135"/>
  <c r="L61" i="135"/>
  <c r="Y61" i="135" s="1"/>
  <c r="E61" i="135"/>
  <c r="P61" i="135"/>
  <c r="C67" i="135"/>
  <c r="W67" i="135"/>
  <c r="D67" i="135"/>
  <c r="B67" i="135"/>
  <c r="L67" i="135"/>
  <c r="Y67" i="135" s="1"/>
  <c r="P67" i="135"/>
  <c r="E67" i="135"/>
  <c r="M67" i="135"/>
  <c r="A67" i="135"/>
  <c r="F67" i="135"/>
  <c r="K67" i="135"/>
  <c r="Q67" i="135"/>
  <c r="Z67" i="135" s="1"/>
  <c r="X67" i="135"/>
  <c r="A36" i="135"/>
  <c r="F36" i="135"/>
  <c r="D36" i="135"/>
  <c r="Q36" i="135"/>
  <c r="Z36" i="135" s="1"/>
  <c r="E36" i="135"/>
  <c r="W36" i="135"/>
  <c r="L36" i="135"/>
  <c r="Y36" i="135" s="1"/>
  <c r="B36" i="135"/>
  <c r="C36" i="135"/>
  <c r="K36" i="135"/>
  <c r="P36" i="135"/>
  <c r="M36" i="135"/>
  <c r="X36" i="135"/>
  <c r="C64" i="135"/>
  <c r="D64" i="135"/>
  <c r="Q64" i="135"/>
  <c r="Z64" i="135" s="1"/>
  <c r="E64" i="135"/>
  <c r="A64" i="135"/>
  <c r="M64" i="135"/>
  <c r="F64" i="135"/>
  <c r="W64" i="135"/>
  <c r="L64" i="135"/>
  <c r="Y64" i="135" s="1"/>
  <c r="K64" i="135"/>
  <c r="B64" i="135"/>
  <c r="P64" i="135"/>
  <c r="X64" i="135"/>
  <c r="X57" i="135"/>
  <c r="A57" i="135"/>
  <c r="E57" i="135"/>
  <c r="B57" i="135"/>
  <c r="M57" i="135"/>
  <c r="L57" i="135"/>
  <c r="Y57" i="135" s="1"/>
  <c r="D57" i="135"/>
  <c r="P57" i="135"/>
  <c r="C57" i="135"/>
  <c r="F57" i="135"/>
  <c r="K57" i="135"/>
  <c r="Q57" i="135"/>
  <c r="Z57" i="135" s="1"/>
  <c r="W57" i="135"/>
  <c r="E5" i="136"/>
  <c r="F5" i="129"/>
  <c r="B5" i="115"/>
  <c r="C293" i="128"/>
  <c r="C5" i="129"/>
  <c r="L5" i="129"/>
  <c r="D5" i="129" s="1"/>
  <c r="B5" i="129"/>
  <c r="E5" i="115"/>
  <c r="C5" i="115"/>
  <c r="C5" i="135"/>
  <c r="L5" i="136"/>
  <c r="S5" i="136"/>
  <c r="C5" i="136" s="1"/>
  <c r="M5" i="136"/>
  <c r="U5" i="136" s="1"/>
  <c r="D5" i="136"/>
  <c r="A5" i="136"/>
  <c r="R5" i="136"/>
  <c r="B5" i="136" s="1"/>
  <c r="B5" i="135"/>
  <c r="F5" i="135"/>
  <c r="Q5" i="135"/>
  <c r="Z5" i="135" s="1"/>
  <c r="X5" i="135"/>
  <c r="E5" i="135" s="1"/>
  <c r="W5" i="135"/>
  <c r="A5" i="135"/>
  <c r="L5" i="135"/>
  <c r="Y5" i="135" s="1"/>
  <c r="D5" i="135"/>
  <c r="M5" i="127"/>
  <c r="A5" i="127"/>
  <c r="B5" i="127" s="1"/>
  <c r="L5" i="127"/>
  <c r="U5" i="127" s="1"/>
  <c r="D5" i="127"/>
  <c r="C5" i="127"/>
  <c r="B293" i="128"/>
  <c r="GB66" i="98"/>
  <c r="GC56" i="98"/>
  <c r="GB56" i="98"/>
  <c r="W30" i="135"/>
  <c r="D30" i="135" s="1"/>
  <c r="K30" i="135"/>
  <c r="M30" i="135"/>
  <c r="Q30" i="135"/>
  <c r="Z30" i="135" s="1"/>
  <c r="F30" i="135"/>
  <c r="X30" i="135"/>
  <c r="E30" i="135" s="1"/>
  <c r="B30" i="135"/>
  <c r="P30" i="135"/>
  <c r="A30" i="135"/>
  <c r="C30" i="135"/>
  <c r="L30" i="135"/>
  <c r="Y30" i="135" s="1"/>
  <c r="GC36" i="98"/>
  <c r="GB36" i="98"/>
  <c r="Q10" i="135"/>
  <c r="Z10" i="135" s="1"/>
  <c r="L10" i="135"/>
  <c r="Y10" i="135" s="1"/>
  <c r="B10" i="135"/>
  <c r="C10" i="135"/>
  <c r="W10" i="135"/>
  <c r="D10" i="135" s="1"/>
  <c r="K10" i="135"/>
  <c r="P10" i="135"/>
  <c r="F10" i="135"/>
  <c r="X10" i="135"/>
  <c r="E10" i="135" s="1"/>
  <c r="A10" i="135"/>
  <c r="M10" i="135"/>
  <c r="DG151" i="130"/>
  <c r="DE147" i="130"/>
  <c r="DF158" i="130"/>
  <c r="DF141" i="130"/>
  <c r="DC135" i="130"/>
  <c r="DF156" i="130"/>
  <c r="DC163" i="130"/>
  <c r="DI167" i="130"/>
  <c r="DF148" i="130"/>
  <c r="DD167" i="130"/>
  <c r="DG143" i="130"/>
  <c r="DF147" i="130"/>
  <c r="DI148" i="130"/>
  <c r="DH158" i="130"/>
  <c r="DH159" i="130"/>
  <c r="DC147" i="130"/>
  <c r="DI159" i="130"/>
  <c r="DC166" i="130"/>
  <c r="DF138" i="130"/>
  <c r="DH163" i="130"/>
  <c r="DH144" i="130"/>
  <c r="DI142" i="130"/>
  <c r="DC154" i="130"/>
  <c r="DH167" i="130"/>
  <c r="DF142" i="130"/>
  <c r="DD160" i="130"/>
  <c r="DD157" i="130"/>
  <c r="DC145" i="130"/>
  <c r="DC149" i="130"/>
  <c r="DG141" i="130"/>
  <c r="DG164" i="130"/>
  <c r="DI144" i="130"/>
  <c r="DF145" i="130"/>
  <c r="DI150" i="130"/>
  <c r="DD165" i="130"/>
  <c r="DH137" i="130"/>
  <c r="DH145" i="130"/>
  <c r="DG135" i="130"/>
  <c r="DC162" i="130"/>
  <c r="DF136" i="130"/>
  <c r="DF159" i="130"/>
  <c r="DI136" i="130"/>
  <c r="DH166" i="130"/>
  <c r="DD159" i="130"/>
  <c r="DF160" i="130"/>
  <c r="DH160" i="130"/>
  <c r="DG167" i="130"/>
  <c r="DF154" i="130"/>
  <c r="DE164" i="130"/>
  <c r="DH164" i="130"/>
  <c r="CD118" i="130"/>
  <c r="DD154" i="130"/>
  <c r="DH157" i="130"/>
  <c r="DE167" i="130"/>
  <c r="DG134" i="130"/>
  <c r="DE158" i="130"/>
  <c r="DG142" i="130"/>
  <c r="DD151" i="130"/>
  <c r="DD155" i="130"/>
  <c r="DE135" i="130"/>
  <c r="DF137" i="130"/>
  <c r="DC153" i="130"/>
  <c r="DC165" i="130"/>
  <c r="DD142" i="130"/>
  <c r="DF151" i="130"/>
  <c r="DG158" i="130"/>
  <c r="DE157" i="130"/>
  <c r="DH162" i="130"/>
  <c r="CE117" i="130"/>
  <c r="DI135" i="130"/>
  <c r="DE154" i="130"/>
  <c r="DF153" i="130"/>
  <c r="DC167" i="130"/>
  <c r="DI157" i="130"/>
  <c r="DE141" i="130"/>
  <c r="DD152" i="130"/>
  <c r="CF118" i="130"/>
  <c r="DI134" i="130"/>
  <c r="DC143" i="130"/>
  <c r="DD137" i="130"/>
  <c r="DE136" i="130"/>
  <c r="DE145" i="130"/>
  <c r="DF157" i="130"/>
  <c r="DD163" i="130"/>
  <c r="DE134" i="130"/>
  <c r="DC141" i="130"/>
  <c r="DH134" i="130"/>
  <c r="DG160" i="130"/>
  <c r="DI155" i="130"/>
  <c r="DG159" i="130"/>
  <c r="DG138" i="130"/>
  <c r="DI164" i="130"/>
  <c r="DI138" i="130"/>
  <c r="CG118" i="130"/>
  <c r="DE137" i="130"/>
  <c r="DG147" i="130"/>
  <c r="DD138" i="130"/>
  <c r="DF150" i="130"/>
  <c r="DF135" i="130"/>
  <c r="CB118" i="130"/>
  <c r="DI153" i="130"/>
  <c r="DH155" i="130"/>
  <c r="CL118" i="130"/>
  <c r="DD118" i="130" s="1"/>
  <c r="DC134" i="130"/>
  <c r="DH140" i="130"/>
  <c r="DG163" i="130"/>
  <c r="DI143" i="130"/>
  <c r="CG117" i="130"/>
  <c r="DG137" i="130"/>
  <c r="DC148" i="130"/>
  <c r="DC137" i="130"/>
  <c r="DE160" i="130"/>
  <c r="DI146" i="130"/>
  <c r="CF115" i="130"/>
  <c r="DH152" i="130"/>
  <c r="DC142" i="130"/>
  <c r="DD164" i="130"/>
  <c r="DI149" i="130"/>
  <c r="DC136" i="130"/>
  <c r="DE142" i="130"/>
  <c r="DF152" i="130"/>
  <c r="DG148" i="130"/>
  <c r="DH141" i="130"/>
  <c r="DH143" i="130"/>
  <c r="DE159" i="130"/>
  <c r="DG136" i="130"/>
  <c r="CJ120" i="130"/>
  <c r="DA120" i="130" s="1"/>
  <c r="DE163" i="130"/>
  <c r="DG155" i="130"/>
  <c r="DE165" i="130"/>
  <c r="DD162" i="130"/>
  <c r="DE140" i="130"/>
  <c r="DG157" i="130"/>
  <c r="DE161" i="130"/>
  <c r="DI161" i="130"/>
  <c r="DC146" i="130"/>
  <c r="DH156" i="130"/>
  <c r="DD149" i="130"/>
  <c r="DC144" i="130"/>
  <c r="DD141" i="130"/>
  <c r="DG165" i="130"/>
  <c r="DC150" i="130"/>
  <c r="DE152" i="130"/>
  <c r="DE162" i="130"/>
  <c r="DI158" i="130"/>
  <c r="DI137" i="130"/>
  <c r="DI145" i="130"/>
  <c r="DH153" i="130"/>
  <c r="DH161" i="130"/>
  <c r="CK117" i="130"/>
  <c r="CJ115" i="130"/>
  <c r="DA115" i="130" s="1"/>
  <c r="CJ117" i="130"/>
  <c r="DA117" i="130" s="1"/>
  <c r="DG144" i="130"/>
  <c r="DF146" i="130"/>
  <c r="DH146" i="130"/>
  <c r="CM115" i="130"/>
  <c r="DH138" i="130"/>
  <c r="CJ121" i="130"/>
  <c r="DA121" i="130" s="1"/>
  <c r="DC164" i="130"/>
  <c r="DD156" i="130"/>
  <c r="CP120" i="130"/>
  <c r="DG149" i="130"/>
  <c r="DI156" i="130"/>
  <c r="DI160" i="130"/>
  <c r="DH135" i="130"/>
  <c r="CM118" i="130"/>
  <c r="DD161" i="130"/>
  <c r="CC117" i="130"/>
  <c r="CG115" i="130"/>
  <c r="DG140" i="130"/>
  <c r="CL116" i="130"/>
  <c r="DD136" i="130"/>
  <c r="CQ118" i="130"/>
  <c r="DF166" i="130"/>
  <c r="CJ59" i="130"/>
  <c r="DA59" i="130" s="1"/>
  <c r="DF133" i="130"/>
  <c r="CK119" i="130"/>
  <c r="DD140" i="130"/>
  <c r="DC140" i="130"/>
  <c r="DG161" i="130"/>
  <c r="DD144" i="130"/>
  <c r="CE118" i="130"/>
  <c r="DC160" i="130"/>
  <c r="CD116" i="130"/>
  <c r="DI151" i="130"/>
  <c r="DC159" i="130"/>
  <c r="DF164" i="130"/>
  <c r="DI141" i="130"/>
  <c r="CC116" i="130"/>
  <c r="CB116" i="130"/>
  <c r="DE155" i="130"/>
  <c r="CD115" i="130"/>
  <c r="DI147" i="130"/>
  <c r="DF167" i="130"/>
  <c r="DI166" i="130"/>
  <c r="DD158" i="130"/>
  <c r="DF144" i="130"/>
  <c r="DH151" i="130"/>
  <c r="CF117" i="130"/>
  <c r="DE150" i="130"/>
  <c r="DE148" i="130"/>
  <c r="CG122" i="130"/>
  <c r="DG71" i="130"/>
  <c r="DG51" i="130" s="1"/>
  <c r="CL54" i="130"/>
  <c r="DD54" i="130" s="1"/>
  <c r="CQ54" i="130"/>
  <c r="DI54" i="130" s="1"/>
  <c r="CP118" i="130"/>
  <c r="CJ56" i="130"/>
  <c r="DA56" i="130" s="1"/>
  <c r="CO57" i="130"/>
  <c r="DG57" i="130" s="1"/>
  <c r="CJ118" i="130"/>
  <c r="DA118" i="130" s="1"/>
  <c r="CJ55" i="130"/>
  <c r="DA55" i="130" s="1"/>
  <c r="CN55" i="130"/>
  <c r="DF55" i="130" s="1"/>
  <c r="CJ53" i="130"/>
  <c r="DA53" i="130" s="1"/>
  <c r="CQ117" i="130"/>
  <c r="DG150" i="130"/>
  <c r="DC161" i="130"/>
  <c r="CK118" i="130"/>
  <c r="DF149" i="130"/>
  <c r="CN117" i="130"/>
  <c r="CC123" i="130"/>
  <c r="CC124" i="130"/>
  <c r="CE116" i="130"/>
  <c r="DF143" i="130"/>
  <c r="DC138" i="130"/>
  <c r="CB115" i="130"/>
  <c r="DG154" i="130"/>
  <c r="CK52" i="130"/>
  <c r="DC52" i="130" s="1"/>
  <c r="DI71" i="130"/>
  <c r="DI51" i="130" s="1"/>
  <c r="CK55" i="130"/>
  <c r="DC55" i="130" s="1"/>
  <c r="DD133" i="130"/>
  <c r="CL115" i="130"/>
  <c r="CE115" i="130"/>
  <c r="CO116" i="130"/>
  <c r="DG156" i="130"/>
  <c r="DG133" i="130"/>
  <c r="CO115" i="130"/>
  <c r="DH136" i="130"/>
  <c r="CP115" i="130"/>
  <c r="CO118" i="130"/>
  <c r="DG162" i="130"/>
  <c r="CM60" i="130"/>
  <c r="DE60" i="130" s="1"/>
  <c r="CN56" i="130"/>
  <c r="DF56" i="130" s="1"/>
  <c r="CN61" i="130"/>
  <c r="DF61" i="130" s="1"/>
  <c r="CN57" i="130"/>
  <c r="DF57" i="130" s="1"/>
  <c r="CN54" i="130"/>
  <c r="DF54" i="130" s="1"/>
  <c r="CM123" i="130"/>
  <c r="CM124" i="130"/>
  <c r="CM122" i="130"/>
  <c r="CM119" i="130"/>
  <c r="CM121" i="130"/>
  <c r="DE139" i="130"/>
  <c r="CM120" i="130"/>
  <c r="DD147" i="130"/>
  <c r="CL117" i="130"/>
  <c r="CE122" i="130"/>
  <c r="CE119" i="130"/>
  <c r="CE121" i="130"/>
  <c r="CE123" i="130"/>
  <c r="CE120" i="130"/>
  <c r="CD121" i="130"/>
  <c r="DE153" i="130"/>
  <c r="CD120" i="130"/>
  <c r="CC115" i="130"/>
  <c r="DE149" i="130"/>
  <c r="CD117" i="130"/>
  <c r="CB117" i="130"/>
  <c r="DI162" i="130"/>
  <c r="CH118" i="130"/>
  <c r="DE71" i="130"/>
  <c r="DE51" i="130" s="1"/>
  <c r="CK56" i="130"/>
  <c r="DC56" i="130" s="1"/>
  <c r="CN58" i="130"/>
  <c r="DF58" i="130" s="1"/>
  <c r="CJ57" i="130"/>
  <c r="DA57" i="130" s="1"/>
  <c r="CL55" i="130"/>
  <c r="DD55" i="130" s="1"/>
  <c r="CJ60" i="130"/>
  <c r="DA60" i="130" s="1"/>
  <c r="CP56" i="130"/>
  <c r="DH56" i="130" s="1"/>
  <c r="CP59" i="130"/>
  <c r="DH59" i="130" s="1"/>
  <c r="CP61" i="130"/>
  <c r="DH61" i="130" s="1"/>
  <c r="CK60" i="130"/>
  <c r="DC60" i="130" s="1"/>
  <c r="CK57" i="130"/>
  <c r="DC57" i="130" s="1"/>
  <c r="CM59" i="130"/>
  <c r="DE59" i="130" s="1"/>
  <c r="CM58" i="130"/>
  <c r="DE58" i="130" s="1"/>
  <c r="CJ58" i="130"/>
  <c r="DA58" i="130" s="1"/>
  <c r="DC158" i="130"/>
  <c r="DI163" i="130"/>
  <c r="CQ123" i="130"/>
  <c r="DD150" i="130"/>
  <c r="CN53" i="130"/>
  <c r="DF53" i="130" s="1"/>
  <c r="CO55" i="130"/>
  <c r="DG55" i="130" s="1"/>
  <c r="CK122" i="130"/>
  <c r="DD139" i="130"/>
  <c r="CL120" i="130"/>
  <c r="CL119" i="130"/>
  <c r="CL121" i="130"/>
  <c r="CL123" i="130"/>
  <c r="CL124" i="130"/>
  <c r="CL122" i="130"/>
  <c r="CQ116" i="130"/>
  <c r="DF140" i="130"/>
  <c r="CN116" i="130"/>
  <c r="CC120" i="130"/>
  <c r="DD166" i="130"/>
  <c r="CL58" i="130"/>
  <c r="DD58" i="130" s="1"/>
  <c r="CL60" i="130"/>
  <c r="DD60" i="130" s="1"/>
  <c r="CL57" i="130"/>
  <c r="DD57" i="130" s="1"/>
  <c r="CL61" i="130"/>
  <c r="DD61" i="130" s="1"/>
  <c r="CL56" i="130"/>
  <c r="DD56" i="130" s="1"/>
  <c r="CM56" i="130"/>
  <c r="DE56" i="130" s="1"/>
  <c r="CN60" i="130"/>
  <c r="DF60" i="130" s="1"/>
  <c r="CM57" i="130"/>
  <c r="DE57" i="130" s="1"/>
  <c r="CO56" i="130"/>
  <c r="DG56" i="130" s="1"/>
  <c r="CO59" i="130"/>
  <c r="DG59" i="130" s="1"/>
  <c r="CO60" i="130"/>
  <c r="DG60" i="130" s="1"/>
  <c r="CO58" i="130"/>
  <c r="DG58" i="130" s="1"/>
  <c r="CH115" i="130"/>
  <c r="CK53" i="130"/>
  <c r="DC53" i="130" s="1"/>
  <c r="CK58" i="130"/>
  <c r="DC58" i="130" s="1"/>
  <c r="DG69" i="130"/>
  <c r="DG49" i="130" s="1"/>
  <c r="CK59" i="130"/>
  <c r="DC59" i="130" s="1"/>
  <c r="CJ52" i="130"/>
  <c r="DA52" i="130" s="1"/>
  <c r="CO53" i="130"/>
  <c r="DG53" i="130" s="1"/>
  <c r="CQ53" i="130"/>
  <c r="DI53" i="130" s="1"/>
  <c r="CJ54" i="130"/>
  <c r="DA54" i="130" s="1"/>
  <c r="DG146" i="130"/>
  <c r="CO117" i="130"/>
  <c r="CK120" i="130"/>
  <c r="CK124" i="130"/>
  <c r="CP52" i="130"/>
  <c r="DH52" i="130" s="1"/>
  <c r="CQ122" i="130"/>
  <c r="DH150" i="130"/>
  <c r="CP117" i="130"/>
  <c r="CO121" i="130"/>
  <c r="DG139" i="130"/>
  <c r="CO122" i="130"/>
  <c r="CO124" i="130"/>
  <c r="CO119" i="130"/>
  <c r="CB119" i="130"/>
  <c r="CB120" i="130"/>
  <c r="CB121" i="130"/>
  <c r="CB123" i="130"/>
  <c r="CB122" i="130"/>
  <c r="DA140" i="130"/>
  <c r="CJ116" i="130"/>
  <c r="DA116" i="130" s="1"/>
  <c r="CH120" i="130"/>
  <c r="CH121" i="130"/>
  <c r="CH122" i="130"/>
  <c r="CH123" i="130"/>
  <c r="CH124" i="130"/>
  <c r="CQ60" i="130"/>
  <c r="DI60" i="130" s="1"/>
  <c r="CQ61" i="130"/>
  <c r="DI61" i="130" s="1"/>
  <c r="DC133" i="130"/>
  <c r="CK115" i="130"/>
  <c r="CM52" i="130"/>
  <c r="DE52" i="130" s="1"/>
  <c r="CM54" i="130"/>
  <c r="DE54" i="130" s="1"/>
  <c r="CQ59" i="130"/>
  <c r="DI59" i="130" s="1"/>
  <c r="CP55" i="130"/>
  <c r="DH55" i="130" s="1"/>
  <c r="CQ55" i="130"/>
  <c r="DI55" i="130" s="1"/>
  <c r="DH139" i="130"/>
  <c r="CP119" i="130"/>
  <c r="CP122" i="130"/>
  <c r="CP124" i="130"/>
  <c r="CP121" i="130"/>
  <c r="CP123" i="130"/>
  <c r="CN123" i="130"/>
  <c r="CN121" i="130"/>
  <c r="CN124" i="130"/>
  <c r="CN120" i="130"/>
  <c r="DF139" i="130"/>
  <c r="CN122" i="130"/>
  <c r="CN119" i="130"/>
  <c r="CM116" i="130"/>
  <c r="DD143" i="130"/>
  <c r="CN118" i="130"/>
  <c r="DF161" i="130"/>
  <c r="DE146" i="130"/>
  <c r="CM117" i="130"/>
  <c r="CO120" i="130"/>
  <c r="CB124" i="130"/>
  <c r="CH119" i="130"/>
  <c r="CE124" i="130"/>
  <c r="CQ56" i="130"/>
  <c r="DI56" i="130" s="1"/>
  <c r="CQ58" i="130"/>
  <c r="DI58" i="130" s="1"/>
  <c r="CQ119" i="130"/>
  <c r="CQ121" i="130"/>
  <c r="CQ124" i="130"/>
  <c r="CQ120" i="130"/>
  <c r="CQ115" i="130"/>
  <c r="DI133" i="130"/>
  <c r="CO123" i="130"/>
  <c r="CK116" i="130"/>
  <c r="CP116" i="130"/>
  <c r="DC152" i="130"/>
  <c r="CK123" i="130"/>
  <c r="DI139" i="130"/>
  <c r="DD135" i="130"/>
  <c r="CF120" i="130"/>
  <c r="CF121" i="130"/>
  <c r="CF123" i="130"/>
  <c r="CN115" i="130"/>
  <c r="CK121" i="130"/>
  <c r="DH142" i="130"/>
  <c r="DC139" i="130"/>
  <c r="DC155" i="130"/>
  <c r="CC122" i="130"/>
  <c r="DH154" i="130"/>
  <c r="DI154" i="130"/>
  <c r="DF165" i="130"/>
  <c r="DH133" i="130"/>
  <c r="DE133" i="130"/>
  <c r="DA133" i="130"/>
  <c r="DH71" i="130"/>
  <c r="DH51" i="130" s="1"/>
  <c r="DA146" i="130"/>
  <c r="CJ119" i="130"/>
  <c r="DA119" i="130" s="1"/>
  <c r="CJ123" i="130"/>
  <c r="DA123" i="130" s="1"/>
  <c r="CJ122" i="130"/>
  <c r="DA122" i="130" s="1"/>
  <c r="DA139" i="130"/>
  <c r="CF116" i="130"/>
  <c r="DD146" i="130"/>
  <c r="CJ124" i="130"/>
  <c r="DA124" i="130" s="1"/>
  <c r="DI140" i="130"/>
  <c r="CH116" i="130"/>
  <c r="CH117" i="130"/>
  <c r="DG166" i="130"/>
  <c r="CG116" i="130"/>
  <c r="CF119" i="130"/>
  <c r="CD122" i="130"/>
  <c r="CD124" i="130"/>
  <c r="DI165" i="130"/>
  <c r="CG123" i="130"/>
  <c r="CG124" i="130"/>
  <c r="CG119" i="130"/>
  <c r="DH148" i="130"/>
  <c r="DE138" i="130"/>
  <c r="DF162" i="130"/>
  <c r="CC121" i="130"/>
  <c r="CC119" i="130"/>
  <c r="DF163" i="130"/>
  <c r="CD123" i="130"/>
  <c r="CF124" i="130"/>
  <c r="CF122" i="130"/>
  <c r="DE144" i="130"/>
  <c r="CG121" i="130"/>
  <c r="DE151" i="130"/>
  <c r="DH147" i="130"/>
  <c r="CD119" i="130"/>
  <c r="CG120" i="130"/>
  <c r="DG153" i="130"/>
  <c r="DE118" i="130" l="1"/>
  <c r="DI117" i="130"/>
  <c r="DH118" i="130"/>
  <c r="DI119" i="130"/>
  <c r="DG118" i="130"/>
  <c r="DF117" i="130"/>
  <c r="DC116" i="130"/>
  <c r="DF118" i="130"/>
  <c r="DH122" i="130"/>
  <c r="DH117" i="130"/>
  <c r="DC118" i="130"/>
  <c r="DE115" i="130"/>
  <c r="DG117" i="130"/>
  <c r="DI118" i="130"/>
  <c r="DF121" i="130"/>
  <c r="DE116" i="130"/>
  <c r="DH120" i="130"/>
  <c r="DD117" i="130"/>
  <c r="DD123" i="130"/>
  <c r="DD116" i="130"/>
  <c r="DI121" i="130"/>
  <c r="DC117" i="130"/>
  <c r="DC121" i="130"/>
  <c r="DF119" i="130"/>
  <c r="DF124" i="130"/>
  <c r="DI122" i="130"/>
  <c r="DF116" i="130"/>
  <c r="DD120" i="130"/>
  <c r="DG123" i="130"/>
  <c r="DF120" i="130"/>
  <c r="DC119" i="130"/>
  <c r="DC120" i="130"/>
  <c r="DC71" i="130"/>
  <c r="DC51" i="130" s="1"/>
  <c r="DF122" i="130"/>
  <c r="DI123" i="130"/>
  <c r="DE124" i="130"/>
  <c r="DC123" i="130"/>
  <c r="DD124" i="130"/>
  <c r="DG121" i="130"/>
  <c r="DG124" i="130"/>
  <c r="DE121" i="130"/>
  <c r="DE123" i="130"/>
  <c r="DG115" i="130"/>
  <c r="DG116" i="130"/>
  <c r="DH124" i="130"/>
  <c r="DG119" i="130"/>
  <c r="DG120" i="130"/>
  <c r="DH116" i="130"/>
  <c r="DI120" i="130"/>
  <c r="DE117" i="130"/>
  <c r="DF123" i="130"/>
  <c r="DH123" i="130"/>
  <c r="DH119" i="130"/>
  <c r="DG122" i="130"/>
  <c r="DC124" i="130"/>
  <c r="DI116" i="130"/>
  <c r="DD121" i="130"/>
  <c r="DE119" i="130"/>
  <c r="DH115" i="130"/>
  <c r="DD115" i="130"/>
  <c r="DF115" i="130"/>
  <c r="DI115" i="130"/>
  <c r="DI124" i="130"/>
  <c r="DH121" i="130"/>
  <c r="DC115" i="130"/>
  <c r="DD122" i="130"/>
  <c r="DD119" i="130"/>
  <c r="DC122" i="130"/>
  <c r="DE120" i="130"/>
  <c r="DE122" i="130"/>
  <c r="FA29" i="98" l="1"/>
  <c r="DJ218" i="123" l="1"/>
  <c r="DJ220" i="123"/>
  <c r="A16" i="98"/>
  <c r="I16" i="98" s="1"/>
  <c r="AL216" i="1"/>
  <c r="GE29" i="98"/>
  <c r="O16" i="98" l="1"/>
  <c r="O29" i="98" s="1"/>
  <c r="B16" i="98"/>
  <c r="B29" i="98" s="1"/>
  <c r="T16" i="98"/>
  <c r="T29" i="98" s="1"/>
  <c r="P16" i="98"/>
  <c r="P29" i="98" s="1"/>
  <c r="R16" i="98"/>
  <c r="V32" i="98" s="1"/>
  <c r="D16" i="98"/>
  <c r="D29" i="98" s="1"/>
  <c r="E16" i="98"/>
  <c r="E29" i="98" s="1"/>
  <c r="Q16" i="98"/>
  <c r="Q29" i="98" s="1"/>
  <c r="M16" i="98"/>
  <c r="M29" i="98" s="1"/>
  <c r="G16" i="98"/>
  <c r="K32" i="98" s="1"/>
  <c r="F16" i="98"/>
  <c r="F29" i="98" s="1"/>
  <c r="I29" i="98"/>
  <c r="I33" i="98"/>
  <c r="G29" i="98" l="1"/>
  <c r="R29" i="98"/>
  <c r="V27" i="98"/>
  <c r="T33" i="98"/>
  <c r="T27" i="98" s="1"/>
  <c r="FT29" i="98"/>
  <c r="I58" i="71"/>
  <c r="I61" i="71"/>
  <c r="H61" i="71"/>
  <c r="H58" i="71"/>
  <c r="I35" i="71" s="1"/>
  <c r="J58" i="71"/>
  <c r="J125" i="71" s="1"/>
  <c r="J61" i="71"/>
  <c r="J89" i="71" s="1"/>
  <c r="FV32" i="98" l="1"/>
  <c r="FY32" i="98" s="1"/>
  <c r="GA32" i="98" s="1"/>
  <c r="K27" i="98"/>
  <c r="I89" i="71"/>
  <c r="R61" i="71"/>
  <c r="G61" i="71"/>
  <c r="G89" i="71" s="1"/>
  <c r="K163" i="71"/>
  <c r="G58" i="71"/>
  <c r="G125" i="71" s="1"/>
  <c r="G137" i="71" s="1"/>
  <c r="H125" i="71"/>
  <c r="K61" i="71"/>
  <c r="K58" i="71"/>
  <c r="I125" i="71"/>
  <c r="FV27" i="98" l="1"/>
  <c r="G116" i="71"/>
  <c r="K125" i="71"/>
  <c r="M125" i="71" l="1"/>
  <c r="M127" i="71"/>
  <c r="M126" i="71"/>
  <c r="DJ236" i="123"/>
  <c r="AL205" i="1"/>
  <c r="DI119" i="123" l="1"/>
  <c r="AK163" i="1"/>
  <c r="ED133" i="98" l="1"/>
  <c r="ED127" i="98" l="1"/>
  <c r="CO7" i="130" l="1"/>
  <c r="E27" i="98"/>
  <c r="R119" i="123" l="1"/>
  <c r="EA2" i="123" l="1"/>
  <c r="J36" i="93"/>
  <c r="R117" i="123"/>
  <c r="ER2" i="123"/>
  <c r="ER109" i="123" s="1"/>
  <c r="HH2" i="123"/>
  <c r="HH109" i="123" s="1"/>
  <c r="EW2" i="123"/>
  <c r="EW109" i="123" s="1"/>
  <c r="HJ2" i="123"/>
  <c r="HJ109" i="123" s="1"/>
  <c r="EU2" i="123"/>
  <c r="EU109" i="123" s="1"/>
  <c r="FI2" i="123"/>
  <c r="FI109" i="123" s="1"/>
  <c r="EX2" i="123"/>
  <c r="EX109" i="123" s="1"/>
  <c r="IR2" i="123"/>
  <c r="IR109" i="123" s="1"/>
  <c r="GU2" i="123"/>
  <c r="GU109" i="123" s="1"/>
  <c r="FY2" i="123"/>
  <c r="FY109" i="123" s="1"/>
  <c r="GC2" i="123"/>
  <c r="GC109" i="123" s="1"/>
  <c r="FX2" i="123"/>
  <c r="FX109" i="123" s="1"/>
  <c r="GG2" i="123"/>
  <c r="GG109" i="123" s="1"/>
  <c r="IL2" i="123"/>
  <c r="IL109" i="123" s="1"/>
  <c r="HN2" i="123"/>
  <c r="HN109" i="123" s="1"/>
  <c r="HP2" i="123"/>
  <c r="HP109" i="123" s="1"/>
  <c r="FQ2" i="123"/>
  <c r="FQ109" i="123" s="1"/>
  <c r="FH2" i="123"/>
  <c r="FH109" i="123" s="1"/>
  <c r="GW2" i="123"/>
  <c r="GW109" i="123" s="1"/>
  <c r="FA2" i="123"/>
  <c r="FA109" i="123" s="1"/>
  <c r="EN2" i="123"/>
  <c r="EN109" i="123" s="1"/>
  <c r="FT2" i="123"/>
  <c r="FT109" i="123" s="1"/>
  <c r="IO2" i="123"/>
  <c r="IO109" i="123" s="1"/>
  <c r="HK2" i="123"/>
  <c r="HK109" i="123" s="1"/>
  <c r="ES2" i="123"/>
  <c r="ES109" i="123" s="1"/>
  <c r="FN2" i="123"/>
  <c r="FN109" i="123" s="1"/>
  <c r="HF2" i="123"/>
  <c r="HF109" i="123" s="1"/>
  <c r="IC2" i="123"/>
  <c r="IC109" i="123" s="1"/>
  <c r="EY2" i="123"/>
  <c r="EY109" i="123" s="1"/>
  <c r="JB2" i="123"/>
  <c r="JB109" i="123" s="1"/>
  <c r="IA2" i="123"/>
  <c r="IA109" i="123" s="1"/>
  <c r="EZ2" i="123"/>
  <c r="EZ109" i="123" s="1"/>
  <c r="GF2" i="123"/>
  <c r="GF109" i="123" s="1"/>
  <c r="HT2" i="123"/>
  <c r="HT109" i="123" s="1"/>
  <c r="IB2" i="123"/>
  <c r="IB109" i="123" s="1"/>
  <c r="GD2" i="123"/>
  <c r="GD109" i="123" s="1"/>
  <c r="GO2" i="123"/>
  <c r="GO109" i="123" s="1"/>
  <c r="GN2" i="123"/>
  <c r="GN109" i="123" s="1"/>
  <c r="HE2" i="123"/>
  <c r="HE109" i="123" s="1"/>
  <c r="GK2" i="123"/>
  <c r="GK109" i="123" s="1"/>
  <c r="EJ2" i="123"/>
  <c r="EJ109" i="123" s="1"/>
  <c r="FR2" i="123"/>
  <c r="FR109" i="123" s="1"/>
  <c r="ID2" i="123"/>
  <c r="ID109" i="123" s="1"/>
  <c r="IE2" i="123"/>
  <c r="IE109" i="123" s="1"/>
  <c r="GS2" i="123"/>
  <c r="GS109" i="123" s="1"/>
  <c r="GY2" i="123"/>
  <c r="GY109" i="123" s="1"/>
  <c r="JA2" i="123"/>
  <c r="JA109" i="123" s="1"/>
  <c r="HA2" i="123"/>
  <c r="HA109" i="123" s="1"/>
  <c r="IQ2" i="123"/>
  <c r="IQ109" i="123" s="1"/>
  <c r="FO2" i="123"/>
  <c r="FO109" i="123" s="1"/>
  <c r="IK2" i="123"/>
  <c r="IK109" i="123" s="1"/>
  <c r="HM2" i="123"/>
  <c r="HM109" i="123" s="1"/>
  <c r="GQ2" i="123"/>
  <c r="GQ109" i="123" s="1"/>
  <c r="IZ2" i="123"/>
  <c r="IZ109" i="123" s="1"/>
  <c r="FV2" i="123"/>
  <c r="FV109" i="123" s="1"/>
  <c r="EQ2" i="123"/>
  <c r="EQ109" i="123" s="1"/>
  <c r="IM2" i="123"/>
  <c r="IM109" i="123" s="1"/>
  <c r="FB2" i="123"/>
  <c r="FB109" i="123" s="1"/>
  <c r="FC2" i="123"/>
  <c r="FC109" i="123" s="1"/>
  <c r="EM2" i="123"/>
  <c r="EM109" i="123" s="1"/>
  <c r="FZ2" i="123"/>
  <c r="FZ109" i="123" s="1"/>
  <c r="HB2" i="123"/>
  <c r="HB109" i="123" s="1"/>
  <c r="HV2" i="123"/>
  <c r="HV109" i="123" s="1"/>
  <c r="IW2" i="123"/>
  <c r="IW109" i="123" s="1"/>
  <c r="EV2" i="123"/>
  <c r="EV109" i="123" s="1"/>
  <c r="IS2" i="123"/>
  <c r="IS109" i="123" s="1"/>
  <c r="FW2" i="123"/>
  <c r="FW109" i="123" s="1"/>
  <c r="EL2" i="123"/>
  <c r="EL109" i="123" s="1"/>
  <c r="HG2" i="123"/>
  <c r="HG109" i="123" s="1"/>
  <c r="HL2" i="123"/>
  <c r="HL109" i="123" s="1"/>
  <c r="FF2" i="123"/>
  <c r="FF109" i="123" s="1"/>
  <c r="GT2" i="123"/>
  <c r="GT109" i="123" s="1"/>
  <c r="GB2" i="123"/>
  <c r="GB109" i="123" s="1"/>
  <c r="HC2" i="123"/>
  <c r="HC109" i="123" s="1"/>
  <c r="IJ2" i="123"/>
  <c r="IJ109" i="123" s="1"/>
  <c r="GL2" i="123"/>
  <c r="GL109" i="123" s="1"/>
  <c r="HI2" i="123"/>
  <c r="HI109" i="123" s="1"/>
  <c r="GP2" i="123"/>
  <c r="GP109" i="123" s="1"/>
  <c r="GA2" i="123"/>
  <c r="GA109" i="123" s="1"/>
  <c r="HX2" i="123"/>
  <c r="HX109" i="123" s="1"/>
  <c r="IG2" i="123"/>
  <c r="IG109" i="123" s="1"/>
  <c r="IH2" i="123"/>
  <c r="IH109" i="123" s="1"/>
  <c r="EH2" i="123"/>
  <c r="EH109" i="123" s="1"/>
  <c r="GJ2" i="123"/>
  <c r="GJ109" i="123" s="1"/>
  <c r="IU2" i="123"/>
  <c r="IU109" i="123" s="1"/>
  <c r="FU2" i="123"/>
  <c r="FU109" i="123" s="1"/>
  <c r="IF2" i="123"/>
  <c r="IF109" i="123" s="1"/>
  <c r="CM5" i="130"/>
  <c r="GR2" i="123"/>
  <c r="GR109" i="123" s="1"/>
  <c r="IP2" i="123"/>
  <c r="IP109" i="123" s="1"/>
  <c r="HR2" i="123"/>
  <c r="HR109" i="123" s="1"/>
  <c r="IV2" i="123"/>
  <c r="IV109" i="123" s="1"/>
  <c r="IY2" i="123"/>
  <c r="IY109" i="123" s="1"/>
  <c r="CA132" i="130"/>
  <c r="CH132" i="130" s="1"/>
  <c r="GV2" i="123"/>
  <c r="GV109" i="123" s="1"/>
  <c r="II2" i="123"/>
  <c r="II109" i="123" s="1"/>
  <c r="HO2" i="123"/>
  <c r="HO109" i="123" s="1"/>
  <c r="FD2" i="123"/>
  <c r="FD109" i="123" s="1"/>
  <c r="HS2" i="123"/>
  <c r="HS109" i="123" s="1"/>
  <c r="FP2" i="123"/>
  <c r="FP109" i="123" s="1"/>
  <c r="HU2" i="123"/>
  <c r="HU109" i="123" s="1"/>
  <c r="GZ2" i="123"/>
  <c r="GZ109" i="123" s="1"/>
  <c r="HQ2" i="123"/>
  <c r="HQ109" i="123" s="1"/>
  <c r="FL2" i="123"/>
  <c r="FL109" i="123" s="1"/>
  <c r="FG2" i="123"/>
  <c r="FG109" i="123" s="1"/>
  <c r="FK2" i="123"/>
  <c r="FK109" i="123" s="1"/>
  <c r="GI2" i="123"/>
  <c r="GI109" i="123" s="1"/>
  <c r="IN2" i="123"/>
  <c r="IN109" i="123" s="1"/>
  <c r="HW2" i="123"/>
  <c r="HW109" i="123" s="1"/>
  <c r="FM2" i="123"/>
  <c r="FM109" i="123" s="1"/>
  <c r="EI2" i="123"/>
  <c r="EI109" i="123" s="1"/>
  <c r="IT2" i="123"/>
  <c r="IT109" i="123" s="1"/>
  <c r="FJ2" i="123"/>
  <c r="FJ109" i="123" s="1"/>
  <c r="GX2" i="123"/>
  <c r="GX109" i="123" s="1"/>
  <c r="EO2" i="123"/>
  <c r="EO109" i="123" s="1"/>
  <c r="ET2" i="123"/>
  <c r="ET109" i="123" s="1"/>
  <c r="HZ2" i="123"/>
  <c r="HZ109" i="123" s="1"/>
  <c r="GE2" i="123"/>
  <c r="GE109" i="123" s="1"/>
  <c r="JC2" i="123"/>
  <c r="JC109" i="123" s="1"/>
  <c r="EG2" i="123"/>
  <c r="EG109" i="123" s="1"/>
  <c r="AE3" i="71" s="1"/>
  <c r="EP2" i="123"/>
  <c r="EP109" i="123" s="1"/>
  <c r="FS2" i="123"/>
  <c r="FS109" i="123" s="1"/>
  <c r="IX2" i="123"/>
  <c r="IX109" i="123" s="1"/>
  <c r="HD2" i="123"/>
  <c r="HD109" i="123" s="1"/>
  <c r="GH2" i="123"/>
  <c r="GH109" i="123" s="1"/>
  <c r="GM2" i="123"/>
  <c r="GM109" i="123" s="1"/>
  <c r="EK2" i="123"/>
  <c r="EK109" i="123" s="1"/>
  <c r="FE2" i="123"/>
  <c r="FE109" i="123" s="1"/>
  <c r="HY2" i="123"/>
  <c r="HY109" i="123" s="1"/>
  <c r="B27" i="98"/>
  <c r="CB132" i="130" l="1"/>
  <c r="CB114" i="130" s="1"/>
  <c r="JC106" i="123"/>
  <c r="FA3" i="71"/>
  <c r="HQ106" i="123"/>
  <c r="DO3" i="71"/>
  <c r="HR106" i="123"/>
  <c r="DP3" i="71"/>
  <c r="FF106" i="123"/>
  <c r="BD3" i="71"/>
  <c r="FC106" i="123"/>
  <c r="BA3" i="71"/>
  <c r="JA106" i="123"/>
  <c r="EY3" i="71"/>
  <c r="HE106" i="123"/>
  <c r="DC3" i="71"/>
  <c r="IO106" i="123"/>
  <c r="EM3" i="71"/>
  <c r="EX106" i="123"/>
  <c r="AV3" i="71"/>
  <c r="IP106" i="123"/>
  <c r="EN3" i="71"/>
  <c r="FU106" i="123"/>
  <c r="BS3" i="71"/>
  <c r="IH106" i="123"/>
  <c r="EF3" i="71"/>
  <c r="GP106" i="123"/>
  <c r="CN3" i="71"/>
  <c r="HC106" i="123"/>
  <c r="DA3" i="71"/>
  <c r="HL106" i="123"/>
  <c r="DJ3" i="71"/>
  <c r="IS106" i="123"/>
  <c r="EQ3" i="71"/>
  <c r="HB106" i="123"/>
  <c r="CZ3" i="71"/>
  <c r="FB106" i="123"/>
  <c r="AZ3" i="71"/>
  <c r="IZ106" i="123"/>
  <c r="EX3" i="71"/>
  <c r="FO106" i="123"/>
  <c r="BM3" i="71"/>
  <c r="GY106" i="123"/>
  <c r="CW3" i="71"/>
  <c r="FR106" i="123"/>
  <c r="BP3" i="71"/>
  <c r="GN106" i="123"/>
  <c r="CL3" i="71"/>
  <c r="HT106" i="123"/>
  <c r="DR3" i="71"/>
  <c r="JB106" i="123"/>
  <c r="EZ3" i="71"/>
  <c r="FN106" i="123"/>
  <c r="BL3" i="71"/>
  <c r="FT106" i="123"/>
  <c r="BR3" i="71"/>
  <c r="FH106" i="123"/>
  <c r="BF3" i="71"/>
  <c r="IL106" i="123"/>
  <c r="EJ3" i="71"/>
  <c r="FY106" i="123"/>
  <c r="BW3" i="71"/>
  <c r="FI106" i="123"/>
  <c r="BG3" i="71"/>
  <c r="HH106" i="123"/>
  <c r="DF3" i="71"/>
  <c r="EK106" i="123"/>
  <c r="AI3" i="71"/>
  <c r="EO106" i="123"/>
  <c r="AM3" i="71"/>
  <c r="GI106" i="123"/>
  <c r="CG3" i="71"/>
  <c r="GV106" i="123"/>
  <c r="CT3" i="71"/>
  <c r="EH106" i="123"/>
  <c r="AF3" i="71"/>
  <c r="IJ106" i="123"/>
  <c r="EH3" i="71"/>
  <c r="HV106" i="123"/>
  <c r="DT3" i="71"/>
  <c r="IK106" i="123"/>
  <c r="EI3" i="71"/>
  <c r="ID106" i="123"/>
  <c r="EB3" i="71"/>
  <c r="IA106" i="123"/>
  <c r="DY3" i="71"/>
  <c r="HF106" i="123"/>
  <c r="DD3" i="71"/>
  <c r="GW106" i="123"/>
  <c r="CU3" i="71"/>
  <c r="HN106" i="123"/>
  <c r="DL3" i="71"/>
  <c r="GC106" i="123"/>
  <c r="CA3" i="71"/>
  <c r="EW106" i="123"/>
  <c r="AU3" i="71"/>
  <c r="GM106" i="123"/>
  <c r="CK3" i="71"/>
  <c r="GE106" i="123"/>
  <c r="CC3" i="71"/>
  <c r="FM106" i="123"/>
  <c r="BK3" i="71"/>
  <c r="GZ106" i="123"/>
  <c r="CX3" i="71"/>
  <c r="FD106" i="123"/>
  <c r="BB3" i="71"/>
  <c r="HY106" i="123"/>
  <c r="DW3" i="71"/>
  <c r="GH106" i="123"/>
  <c r="CF3" i="71"/>
  <c r="EP106" i="123"/>
  <c r="AN3" i="71"/>
  <c r="HZ106" i="123"/>
  <c r="DX3" i="71"/>
  <c r="FJ106" i="123"/>
  <c r="BH3" i="71"/>
  <c r="HW106" i="123"/>
  <c r="DU3" i="71"/>
  <c r="FG106" i="123"/>
  <c r="BE3" i="71"/>
  <c r="HU106" i="123"/>
  <c r="DS3" i="71"/>
  <c r="HO106" i="123"/>
  <c r="DM3" i="71"/>
  <c r="IY106" i="123"/>
  <c r="EW3" i="71"/>
  <c r="GR106" i="123"/>
  <c r="CP3" i="71"/>
  <c r="IU106" i="123"/>
  <c r="ES3" i="71"/>
  <c r="IG106" i="123"/>
  <c r="EE3" i="71"/>
  <c r="HI106" i="123"/>
  <c r="DG3" i="71"/>
  <c r="GB106" i="123"/>
  <c r="BZ3" i="71"/>
  <c r="HG106" i="123"/>
  <c r="DE3" i="71"/>
  <c r="EV106" i="123"/>
  <c r="AT3" i="71"/>
  <c r="FZ106" i="123"/>
  <c r="BX3" i="71"/>
  <c r="IM106" i="123"/>
  <c r="EK3" i="71"/>
  <c r="GQ106" i="123"/>
  <c r="CO3" i="71"/>
  <c r="IQ106" i="123"/>
  <c r="EO3" i="71"/>
  <c r="GS106" i="123"/>
  <c r="CQ3" i="71"/>
  <c r="EJ106" i="123"/>
  <c r="AH3" i="71"/>
  <c r="GO106" i="123"/>
  <c r="CM3" i="71"/>
  <c r="GF106" i="123"/>
  <c r="CD3" i="71"/>
  <c r="EY106" i="123"/>
  <c r="AW3" i="71"/>
  <c r="ES106" i="123"/>
  <c r="AQ3" i="71"/>
  <c r="EN106" i="123"/>
  <c r="AL3" i="71"/>
  <c r="FQ106" i="123"/>
  <c r="BO3" i="71"/>
  <c r="GG106" i="123"/>
  <c r="CE3" i="71"/>
  <c r="GU106" i="123"/>
  <c r="CS3" i="71"/>
  <c r="EU106" i="123"/>
  <c r="AS3" i="71"/>
  <c r="ER106" i="123"/>
  <c r="AP3" i="71"/>
  <c r="IX106" i="123"/>
  <c r="EV3" i="71"/>
  <c r="EI106" i="123"/>
  <c r="AG3" i="71"/>
  <c r="HS106" i="123"/>
  <c r="DQ3" i="71"/>
  <c r="IF106" i="123"/>
  <c r="ED3" i="71"/>
  <c r="GA106" i="123"/>
  <c r="BY3" i="71"/>
  <c r="FW106" i="123"/>
  <c r="BU3" i="71"/>
  <c r="FV106" i="123"/>
  <c r="BT3" i="71"/>
  <c r="IB106" i="123"/>
  <c r="DZ3" i="71"/>
  <c r="FS106" i="123"/>
  <c r="BQ3" i="71"/>
  <c r="GX106" i="123"/>
  <c r="CV3" i="71"/>
  <c r="FK106" i="123"/>
  <c r="BI3" i="71"/>
  <c r="FE106" i="123"/>
  <c r="BC3" i="71"/>
  <c r="HD106" i="123"/>
  <c r="DB3" i="71"/>
  <c r="ET106" i="123"/>
  <c r="AR3" i="71"/>
  <c r="IT106" i="123"/>
  <c r="ER3" i="71"/>
  <c r="IN106" i="123"/>
  <c r="EL3" i="71"/>
  <c r="FL106" i="123"/>
  <c r="BJ3" i="71"/>
  <c r="FP106" i="123"/>
  <c r="BN3" i="71"/>
  <c r="II106" i="123"/>
  <c r="EG3" i="71"/>
  <c r="IV106" i="123"/>
  <c r="ET3" i="71"/>
  <c r="GJ106" i="123"/>
  <c r="CH3" i="71"/>
  <c r="HX106" i="123"/>
  <c r="DV3" i="71"/>
  <c r="GL106" i="123"/>
  <c r="CJ3" i="71"/>
  <c r="GT106" i="123"/>
  <c r="CR3" i="71"/>
  <c r="EL106" i="123"/>
  <c r="AJ3" i="71"/>
  <c r="IW106" i="123"/>
  <c r="EU3" i="71"/>
  <c r="EM106" i="123"/>
  <c r="AK3" i="71"/>
  <c r="EQ106" i="123"/>
  <c r="AO3" i="71"/>
  <c r="HM106" i="123"/>
  <c r="DK3" i="71"/>
  <c r="HA106" i="123"/>
  <c r="CY3" i="71"/>
  <c r="IE106" i="123"/>
  <c r="EC3" i="71"/>
  <c r="GK106" i="123"/>
  <c r="CI3" i="71"/>
  <c r="GD106" i="123"/>
  <c r="CB3" i="71"/>
  <c r="EZ106" i="123"/>
  <c r="AX3" i="71"/>
  <c r="IC106" i="123"/>
  <c r="EA3" i="71"/>
  <c r="HK106" i="123"/>
  <c r="DI3" i="71"/>
  <c r="FA106" i="123"/>
  <c r="AY3" i="71"/>
  <c r="HP106" i="123"/>
  <c r="DN3" i="71"/>
  <c r="FX106" i="123"/>
  <c r="BV3" i="71"/>
  <c r="IR106" i="123"/>
  <c r="EP3" i="71"/>
  <c r="HJ106" i="123"/>
  <c r="DH3" i="71"/>
  <c r="EG106" i="123"/>
  <c r="EC109" i="123"/>
  <c r="CA131" i="130"/>
  <c r="CA114" i="130"/>
  <c r="CA113" i="130" s="1"/>
  <c r="CD132" i="130"/>
  <c r="CD114" i="130" s="1"/>
  <c r="CG132" i="130"/>
  <c r="CG114" i="130" s="1"/>
  <c r="CC132" i="130"/>
  <c r="CC114" i="130" s="1"/>
  <c r="CF132" i="130"/>
  <c r="CF131" i="130" s="1"/>
  <c r="CE132" i="130"/>
  <c r="CE114" i="130" s="1"/>
  <c r="CH131" i="130"/>
  <c r="CH114" i="130"/>
  <c r="CB131" i="130" l="1"/>
  <c r="EE31" i="123"/>
  <c r="EG98" i="123" s="1"/>
  <c r="CD131" i="130"/>
  <c r="CG131" i="130"/>
  <c r="CE131" i="130"/>
  <c r="CC131" i="130"/>
  <c r="CF114" i="130"/>
  <c r="CF113" i="130" s="1"/>
  <c r="CC113" i="130"/>
  <c r="CD113" i="130"/>
  <c r="CH113" i="130"/>
  <c r="CB113" i="130"/>
  <c r="CE113" i="130"/>
  <c r="CG113" i="130"/>
  <c r="DA163" i="1"/>
  <c r="CN11" i="130"/>
  <c r="DA161" i="1"/>
  <c r="I161" i="71"/>
  <c r="I167" i="71" s="1"/>
  <c r="CN68" i="130"/>
  <c r="CN67" i="130" s="1"/>
  <c r="HQ98" i="123" l="1"/>
  <c r="IO98" i="123"/>
  <c r="HW98" i="123"/>
  <c r="FS98" i="123"/>
  <c r="FA98" i="123"/>
  <c r="ER98" i="123"/>
  <c r="EV98" i="123"/>
  <c r="FQ98" i="123"/>
  <c r="IG98" i="123"/>
  <c r="EY98" i="123"/>
  <c r="HS98" i="123"/>
  <c r="GB98" i="123"/>
  <c r="GR98" i="123"/>
  <c r="EJ98" i="123"/>
  <c r="EK98" i="123"/>
  <c r="FL98" i="123"/>
  <c r="FW98" i="123"/>
  <c r="ID98" i="123"/>
  <c r="II98" i="123"/>
  <c r="EL98" i="123"/>
  <c r="IV98" i="123"/>
  <c r="IW98" i="123"/>
  <c r="EM98" i="123"/>
  <c r="HU98" i="123"/>
  <c r="IB98" i="123"/>
  <c r="ET98" i="123"/>
  <c r="IL98" i="123"/>
  <c r="GJ98" i="123"/>
  <c r="FB98" i="123"/>
  <c r="GL98" i="123"/>
  <c r="JA98" i="123"/>
  <c r="IK98" i="123"/>
  <c r="IC98" i="123"/>
  <c r="GK98" i="123"/>
  <c r="IM98" i="123"/>
  <c r="HT98" i="123"/>
  <c r="JC98" i="123"/>
  <c r="HF98" i="123"/>
  <c r="IF98" i="123"/>
  <c r="FE98" i="123"/>
  <c r="FY98" i="123"/>
  <c r="GV98" i="123"/>
  <c r="HK98" i="123"/>
  <c r="FR98" i="123"/>
  <c r="IU98" i="123"/>
  <c r="IA98" i="123"/>
  <c r="GQ98" i="123"/>
  <c r="GI98" i="123"/>
  <c r="GX98" i="123"/>
  <c r="HH98" i="123"/>
  <c r="GP98" i="123"/>
  <c r="EU98" i="123"/>
  <c r="FV98" i="123"/>
  <c r="FZ98" i="123"/>
  <c r="HG98" i="123"/>
  <c r="GE98" i="123"/>
  <c r="EW98" i="123"/>
  <c r="IH98" i="123"/>
  <c r="IZ98" i="123"/>
  <c r="EN98" i="123"/>
  <c r="HO98" i="123"/>
  <c r="EZ98" i="123"/>
  <c r="IT98" i="123"/>
  <c r="GG98" i="123"/>
  <c r="HX98" i="123"/>
  <c r="GN98" i="123"/>
  <c r="GT98" i="123"/>
  <c r="HJ98" i="123"/>
  <c r="GU98" i="123"/>
  <c r="GC98" i="123"/>
  <c r="HM98" i="123"/>
  <c r="ES98" i="123"/>
  <c r="IR98" i="123"/>
  <c r="EO98" i="123"/>
  <c r="EX98" i="123"/>
  <c r="EH98" i="123"/>
  <c r="EQ98" i="123"/>
  <c r="IJ98" i="123"/>
  <c r="GY98" i="123"/>
  <c r="FC98" i="123"/>
  <c r="HD98" i="123"/>
  <c r="HI98" i="123"/>
  <c r="HV98" i="123"/>
  <c r="IQ98" i="123"/>
  <c r="GH98" i="123"/>
  <c r="FM98" i="123"/>
  <c r="HR98" i="123"/>
  <c r="FN98" i="123"/>
  <c r="FX98" i="123"/>
  <c r="GF98" i="123"/>
  <c r="FI98" i="123"/>
  <c r="IN98" i="123"/>
  <c r="IY98" i="123"/>
  <c r="FK98" i="123"/>
  <c r="GD98" i="123"/>
  <c r="FP98" i="123"/>
  <c r="IS98" i="123"/>
  <c r="HZ98" i="123"/>
  <c r="IP98" i="123"/>
  <c r="HP98" i="123"/>
  <c r="IX98" i="123"/>
  <c r="GM98" i="123"/>
  <c r="EI98" i="123"/>
  <c r="HY98" i="123"/>
  <c r="GA98" i="123"/>
  <c r="FT98" i="123"/>
  <c r="FF98" i="123"/>
  <c r="HN98" i="123"/>
  <c r="HA98" i="123"/>
  <c r="FJ98" i="123"/>
  <c r="FH98" i="123"/>
  <c r="HE98" i="123"/>
  <c r="GS98" i="123"/>
  <c r="EP98" i="123"/>
  <c r="IE98" i="123"/>
  <c r="FU98" i="123"/>
  <c r="HB98" i="123"/>
  <c r="FD98" i="123"/>
  <c r="GO98" i="123"/>
  <c r="GW98" i="123"/>
  <c r="HL98" i="123"/>
  <c r="HC98" i="123"/>
  <c r="GZ98" i="123"/>
  <c r="FG98" i="123"/>
  <c r="FO98" i="123"/>
  <c r="JB98" i="123"/>
  <c r="HI13" i="93"/>
  <c r="O27" i="98"/>
  <c r="CZ157" i="1"/>
  <c r="DA157" i="1"/>
  <c r="CQ68" i="130"/>
  <c r="CQ67" i="130" s="1"/>
  <c r="CO68" i="130"/>
  <c r="CO67" i="130" s="1"/>
  <c r="CK68" i="130"/>
  <c r="Q27" i="98"/>
  <c r="CP68" i="130"/>
  <c r="CP67" i="130" s="1"/>
  <c r="P27" i="98"/>
  <c r="FM29" i="98"/>
  <c r="AB163" i="1"/>
  <c r="R163" i="1"/>
  <c r="AQ103" i="97" s="1"/>
  <c r="AQ96" i="97" s="1"/>
  <c r="CJ67" i="130"/>
  <c r="CL68" i="130"/>
  <c r="CM68" i="130"/>
  <c r="GP159" i="1"/>
  <c r="F36" i="93" l="1"/>
  <c r="N36" i="93" s="1"/>
  <c r="HE39" i="93" s="1"/>
  <c r="HE35" i="93" s="1"/>
  <c r="H67" i="71"/>
  <c r="H89" i="71" s="1"/>
  <c r="R161" i="1"/>
  <c r="S157" i="1" s="1"/>
  <c r="GN2" i="1"/>
  <c r="CK67" i="130"/>
  <c r="CL67" i="130"/>
  <c r="U27" i="98"/>
  <c r="AZ96" i="97"/>
  <c r="AQ94" i="97"/>
  <c r="AZ94" i="97" s="1"/>
  <c r="T119" i="71"/>
  <c r="CM67" i="130"/>
  <c r="DC20" i="130"/>
  <c r="CH48" i="130"/>
  <c r="CH47" i="130" s="1"/>
  <c r="CA48" i="130"/>
  <c r="CA47" i="130" s="1"/>
  <c r="CN48" i="130"/>
  <c r="CN47" i="130" s="1"/>
  <c r="CD48" i="130"/>
  <c r="CD47" i="130" s="1"/>
  <c r="CQ48" i="130"/>
  <c r="CQ47" i="130" s="1"/>
  <c r="CM48" i="130"/>
  <c r="CM47" i="130" s="1"/>
  <c r="CK48" i="130"/>
  <c r="CK47" i="130" s="1"/>
  <c r="CE48" i="130"/>
  <c r="CE47" i="130" s="1"/>
  <c r="CJ48" i="130"/>
  <c r="CJ47" i="130" s="1"/>
  <c r="CB48" i="130"/>
  <c r="CB47" i="130" s="1"/>
  <c r="CO48" i="130"/>
  <c r="CO47" i="130" s="1"/>
  <c r="CG48" i="130"/>
  <c r="CG47" i="130" s="1"/>
  <c r="CP48" i="130"/>
  <c r="CP47" i="130" s="1"/>
  <c r="CF48" i="130"/>
  <c r="CF47" i="130" s="1"/>
  <c r="CL48" i="130"/>
  <c r="CL47" i="130" s="1"/>
  <c r="CC48" i="130"/>
  <c r="CC47" i="130" s="1"/>
  <c r="FM27" i="98"/>
  <c r="FX29" i="98"/>
  <c r="CN5" i="130"/>
  <c r="CO5" i="130" s="1"/>
  <c r="CJ132" i="130"/>
  <c r="AU94" i="97"/>
  <c r="AU96" i="97"/>
  <c r="H134" i="71" l="1"/>
  <c r="GT2" i="1"/>
  <c r="GT154" i="1" s="1"/>
  <c r="KA2" i="1"/>
  <c r="KA154" i="1" s="1"/>
  <c r="KR2" i="1"/>
  <c r="KR154" i="1" s="1"/>
  <c r="KD2" i="1"/>
  <c r="KD154" i="1" s="1"/>
  <c r="KU2" i="1"/>
  <c r="KU154" i="1" s="1"/>
  <c r="LL2" i="1"/>
  <c r="LL154" i="1" s="1"/>
  <c r="KX2" i="1"/>
  <c r="KX154" i="1" s="1"/>
  <c r="LO2" i="1"/>
  <c r="LO154" i="1" s="1"/>
  <c r="KS2" i="1"/>
  <c r="KS154" i="1" s="1"/>
  <c r="KM2" i="1"/>
  <c r="KM154" i="1" s="1"/>
  <c r="LD2" i="1"/>
  <c r="LD154" i="1" s="1"/>
  <c r="KP2" i="1"/>
  <c r="KP154" i="1" s="1"/>
  <c r="KQ2" i="1"/>
  <c r="KQ154" i="1" s="1"/>
  <c r="LH2" i="1"/>
  <c r="LH154" i="1" s="1"/>
  <c r="KT2" i="1"/>
  <c r="KT154" i="1" s="1"/>
  <c r="LK2" i="1"/>
  <c r="LK154" i="1" s="1"/>
  <c r="KO2" i="1"/>
  <c r="KO154" i="1" s="1"/>
  <c r="LN2" i="1"/>
  <c r="LN154" i="1" s="1"/>
  <c r="KJ2" i="1"/>
  <c r="KJ154" i="1" s="1"/>
  <c r="LI2" i="1"/>
  <c r="LI154" i="1" s="1"/>
  <c r="LC2" i="1"/>
  <c r="LC154" i="1" s="1"/>
  <c r="KG2" i="1"/>
  <c r="KG154" i="1" s="1"/>
  <c r="LF2" i="1"/>
  <c r="LF154" i="1" s="1"/>
  <c r="LG2" i="1"/>
  <c r="LG154" i="1" s="1"/>
  <c r="KK2" i="1"/>
  <c r="KK154" i="1" s="1"/>
  <c r="LJ2" i="1"/>
  <c r="LJ154" i="1" s="1"/>
  <c r="KF2" i="1"/>
  <c r="KF154" i="1" s="1"/>
  <c r="LE2" i="1"/>
  <c r="LE154" i="1" s="1"/>
  <c r="KI2" i="1"/>
  <c r="KI154" i="1" s="1"/>
  <c r="KZ2" i="1"/>
  <c r="KZ154" i="1" s="1"/>
  <c r="KL2" i="1"/>
  <c r="KL154" i="1" s="1"/>
  <c r="LP2" i="1"/>
  <c r="LP154" i="1" s="1"/>
  <c r="KW2" i="1"/>
  <c r="KW154" i="1" s="1"/>
  <c r="KB2" i="1"/>
  <c r="KB154" i="1" s="1"/>
  <c r="LA2" i="1"/>
  <c r="LA154" i="1" s="1"/>
  <c r="KE2" i="1"/>
  <c r="KE154" i="1" s="1"/>
  <c r="KV2" i="1"/>
  <c r="KV154" i="1" s="1"/>
  <c r="KH2" i="1"/>
  <c r="KH154" i="1" s="1"/>
  <c r="KY2" i="1"/>
  <c r="KY154" i="1" s="1"/>
  <c r="KC2" i="1"/>
  <c r="KC154" i="1" s="1"/>
  <c r="LB2" i="1"/>
  <c r="LB154" i="1" s="1"/>
  <c r="KN2" i="1"/>
  <c r="KN154" i="1" s="1"/>
  <c r="LM2" i="1"/>
  <c r="LM154" i="1" s="1"/>
  <c r="IV2" i="1"/>
  <c r="IV154" i="1" s="1"/>
  <c r="IW2" i="1"/>
  <c r="IW154" i="1" s="1"/>
  <c r="IM2" i="1"/>
  <c r="IM154" i="1" s="1"/>
  <c r="IN2" i="1"/>
  <c r="IN154" i="1" s="1"/>
  <c r="IX2" i="1"/>
  <c r="IX154" i="1" s="1"/>
  <c r="IO2" i="1"/>
  <c r="IO154" i="1" s="1"/>
  <c r="IY2" i="1"/>
  <c r="IY154" i="1" s="1"/>
  <c r="IZ2" i="1"/>
  <c r="IZ154" i="1" s="1"/>
  <c r="IP2" i="1"/>
  <c r="IP154" i="1" s="1"/>
  <c r="IQ2" i="1"/>
  <c r="IQ154" i="1" s="1"/>
  <c r="JA2" i="1"/>
  <c r="JA154" i="1" s="1"/>
  <c r="JB2" i="1"/>
  <c r="JB154" i="1" s="1"/>
  <c r="IR2" i="1"/>
  <c r="IR154" i="1" s="1"/>
  <c r="IS2" i="1"/>
  <c r="IS154" i="1" s="1"/>
  <c r="JC2" i="1"/>
  <c r="JC154" i="1" s="1"/>
  <c r="IT2" i="1"/>
  <c r="IT154" i="1" s="1"/>
  <c r="JD2" i="1"/>
  <c r="JD154" i="1" s="1"/>
  <c r="IU2" i="1"/>
  <c r="IU154" i="1" s="1"/>
  <c r="JE2" i="1"/>
  <c r="JE154" i="1" s="1"/>
  <c r="JF2" i="1"/>
  <c r="JF154" i="1" s="1"/>
  <c r="JG2" i="1"/>
  <c r="JG154" i="1" s="1"/>
  <c r="JH2" i="1"/>
  <c r="JH154" i="1" s="1"/>
  <c r="JI2" i="1"/>
  <c r="JI154" i="1" s="1"/>
  <c r="JJ2" i="1"/>
  <c r="JJ154" i="1" s="1"/>
  <c r="JK2" i="1"/>
  <c r="JK154" i="1" s="1"/>
  <c r="JL2" i="1"/>
  <c r="JL154" i="1" s="1"/>
  <c r="JM2" i="1"/>
  <c r="JM154" i="1" s="1"/>
  <c r="JN2" i="1"/>
  <c r="JN154" i="1" s="1"/>
  <c r="JO2" i="1"/>
  <c r="JO154" i="1" s="1"/>
  <c r="JP2" i="1"/>
  <c r="JP154" i="1" s="1"/>
  <c r="JQ2" i="1"/>
  <c r="JQ154" i="1" s="1"/>
  <c r="JR2" i="1"/>
  <c r="JR154" i="1" s="1"/>
  <c r="JS2" i="1"/>
  <c r="JS154" i="1" s="1"/>
  <c r="JT2" i="1"/>
  <c r="JT154" i="1" s="1"/>
  <c r="JU2" i="1"/>
  <c r="JU154" i="1" s="1"/>
  <c r="JV2" i="1"/>
  <c r="JV154" i="1" s="1"/>
  <c r="JW2" i="1"/>
  <c r="JW154" i="1" s="1"/>
  <c r="JX2" i="1"/>
  <c r="JX154" i="1" s="1"/>
  <c r="JY2" i="1"/>
  <c r="JY154" i="1" s="1"/>
  <c r="JZ2" i="1"/>
  <c r="JZ154" i="1" s="1"/>
  <c r="GU2" i="1"/>
  <c r="GU154" i="1" s="1"/>
  <c r="IL2" i="1"/>
  <c r="IL154" i="1" s="1"/>
  <c r="IK2" i="1"/>
  <c r="IK154" i="1" s="1"/>
  <c r="GV2" i="1"/>
  <c r="GV154" i="1" s="1"/>
  <c r="HO2" i="1"/>
  <c r="HO154" i="1" s="1"/>
  <c r="HG2" i="1"/>
  <c r="HG154" i="1" s="1"/>
  <c r="HD2" i="1"/>
  <c r="HD154" i="1" s="1"/>
  <c r="HC2" i="1"/>
  <c r="HC154" i="1" s="1"/>
  <c r="HW2" i="1"/>
  <c r="HW154" i="1" s="1"/>
  <c r="HH2" i="1"/>
  <c r="HH154" i="1" s="1"/>
  <c r="HY2" i="1"/>
  <c r="HY154" i="1" s="1"/>
  <c r="GZ2" i="1"/>
  <c r="GZ154" i="1" s="1"/>
  <c r="HZ2" i="1"/>
  <c r="HZ154" i="1" s="1"/>
  <c r="IE2" i="1"/>
  <c r="IE154" i="1" s="1"/>
  <c r="HE2" i="1"/>
  <c r="HE154" i="1" s="1"/>
  <c r="IG2" i="1"/>
  <c r="IG154" i="1" s="1"/>
  <c r="II2" i="1"/>
  <c r="II154" i="1" s="1"/>
  <c r="HR2" i="1"/>
  <c r="HR154" i="1" s="1"/>
  <c r="HQ2" i="1"/>
  <c r="HQ154" i="1" s="1"/>
  <c r="HA2" i="1"/>
  <c r="HA154" i="1" s="1"/>
  <c r="HL2" i="1"/>
  <c r="HL154" i="1" s="1"/>
  <c r="HS2" i="1"/>
  <c r="HS154" i="1" s="1"/>
  <c r="HI2" i="1"/>
  <c r="HI154" i="1" s="1"/>
  <c r="HK2" i="1"/>
  <c r="HK154" i="1" s="1"/>
  <c r="IC2" i="1"/>
  <c r="IC154" i="1" s="1"/>
  <c r="HN2" i="1"/>
  <c r="HN154" i="1" s="1"/>
  <c r="GW2" i="1"/>
  <c r="GW154" i="1" s="1"/>
  <c r="HV2" i="1"/>
  <c r="HV154" i="1" s="1"/>
  <c r="HM2" i="1"/>
  <c r="HM154" i="1" s="1"/>
  <c r="HJ2" i="1"/>
  <c r="HJ154" i="1" s="1"/>
  <c r="HT2" i="1"/>
  <c r="HT154" i="1" s="1"/>
  <c r="HB2" i="1"/>
  <c r="HB154" i="1" s="1"/>
  <c r="HU2" i="1"/>
  <c r="HU154" i="1" s="1"/>
  <c r="IA2" i="1"/>
  <c r="IA154" i="1" s="1"/>
  <c r="HX2" i="1"/>
  <c r="HX154" i="1" s="1"/>
  <c r="IH2" i="1"/>
  <c r="IH154" i="1" s="1"/>
  <c r="ID2" i="1"/>
  <c r="ID154" i="1" s="1"/>
  <c r="GY2" i="1"/>
  <c r="GY154" i="1" s="1"/>
  <c r="HF2" i="1"/>
  <c r="HF154" i="1" s="1"/>
  <c r="GX2" i="1"/>
  <c r="GX154" i="1" s="1"/>
  <c r="IJ2" i="1"/>
  <c r="IJ154" i="1" s="1"/>
  <c r="IF2" i="1"/>
  <c r="IF154" i="1" s="1"/>
  <c r="HP2" i="1"/>
  <c r="HP154" i="1" s="1"/>
  <c r="IB2" i="1"/>
  <c r="IB154" i="1" s="1"/>
  <c r="M27" i="98"/>
  <c r="FH29" i="98"/>
  <c r="F59" i="71"/>
  <c r="H161" i="71"/>
  <c r="H167" i="71" s="1"/>
  <c r="F58" i="71"/>
  <c r="AY96" i="97"/>
  <c r="BB96" i="97"/>
  <c r="BB94" i="97"/>
  <c r="AY94" i="97"/>
  <c r="CJ131" i="130"/>
  <c r="DA132" i="130"/>
  <c r="DA131" i="130" s="1"/>
  <c r="CK132" i="130"/>
  <c r="CQ132" i="130"/>
  <c r="CJ114" i="130"/>
  <c r="CM132" i="130"/>
  <c r="CO132" i="130"/>
  <c r="CN132" i="130"/>
  <c r="CP132" i="130"/>
  <c r="CL132" i="130"/>
  <c r="AE6" i="71" l="1"/>
  <c r="AE9" i="71" s="1"/>
  <c r="GT150" i="1"/>
  <c r="BU6" i="71"/>
  <c r="BU9" i="71" s="1"/>
  <c r="IJ150" i="1"/>
  <c r="BO6" i="71"/>
  <c r="BO9" i="71" s="1"/>
  <c r="ID150" i="1"/>
  <c r="BF6" i="71"/>
  <c r="BF9" i="71" s="1"/>
  <c r="HU150" i="1"/>
  <c r="AX6" i="71"/>
  <c r="AX9" i="71" s="1"/>
  <c r="HM150" i="1"/>
  <c r="BN6" i="71"/>
  <c r="BN9" i="71" s="1"/>
  <c r="IC150" i="1"/>
  <c r="AW6" i="71"/>
  <c r="AW9" i="71" s="1"/>
  <c r="HL150" i="1"/>
  <c r="BT6" i="71"/>
  <c r="BT9" i="71" s="1"/>
  <c r="II150" i="1"/>
  <c r="BK6" i="71"/>
  <c r="BK9" i="71" s="1"/>
  <c r="HZ150" i="1"/>
  <c r="BH6" i="71"/>
  <c r="BH9" i="71" s="1"/>
  <c r="HW150" i="1"/>
  <c r="AZ6" i="71"/>
  <c r="AZ9" i="71" s="1"/>
  <c r="HO150" i="1"/>
  <c r="AF6" i="71"/>
  <c r="AF9" i="71" s="1"/>
  <c r="GU150" i="1"/>
  <c r="DH6" i="71"/>
  <c r="JW150" i="1"/>
  <c r="DD6" i="71"/>
  <c r="JS150" i="1"/>
  <c r="CZ6" i="71"/>
  <c r="JO150" i="1"/>
  <c r="CV6" i="71"/>
  <c r="JK150" i="1"/>
  <c r="CR6" i="71"/>
  <c r="JG150" i="1"/>
  <c r="CO6" i="71"/>
  <c r="JD150" i="1"/>
  <c r="CC6" i="71"/>
  <c r="IR150" i="1"/>
  <c r="CA6" i="71"/>
  <c r="IP150" i="1"/>
  <c r="CI6" i="71"/>
  <c r="IX150" i="1"/>
  <c r="CG6" i="71"/>
  <c r="IV150" i="1"/>
  <c r="DN6" i="71"/>
  <c r="KC150" i="1"/>
  <c r="DP6" i="71"/>
  <c r="KE150" i="1"/>
  <c r="FA6" i="71"/>
  <c r="LP150" i="1"/>
  <c r="EP6" i="71"/>
  <c r="LE150" i="1"/>
  <c r="ER6" i="71"/>
  <c r="LG150" i="1"/>
  <c r="ET6" i="71"/>
  <c r="LI150" i="1"/>
  <c r="EV6" i="71"/>
  <c r="LK150" i="1"/>
  <c r="EA6" i="71"/>
  <c r="KP150" i="1"/>
  <c r="EZ6" i="71"/>
  <c r="LO150" i="1"/>
  <c r="DO6" i="71"/>
  <c r="KD150" i="1"/>
  <c r="BM6" i="71"/>
  <c r="BM9" i="71" s="1"/>
  <c r="IB150" i="1"/>
  <c r="AI6" i="71"/>
  <c r="AI9" i="71" s="1"/>
  <c r="GX150" i="1"/>
  <c r="BS6" i="71"/>
  <c r="BS9" i="71" s="1"/>
  <c r="IH150" i="1"/>
  <c r="AM6" i="71"/>
  <c r="AM9" i="71" s="1"/>
  <c r="HB150" i="1"/>
  <c r="BG6" i="71"/>
  <c r="BG9" i="71" s="1"/>
  <c r="HV150" i="1"/>
  <c r="AV6" i="71"/>
  <c r="AV9" i="71" s="1"/>
  <c r="HK150" i="1"/>
  <c r="AL6" i="71"/>
  <c r="AL9" i="71" s="1"/>
  <c r="HA150" i="1"/>
  <c r="BR6" i="71"/>
  <c r="BR9" i="71" s="1"/>
  <c r="IG150" i="1"/>
  <c r="AK6" i="71"/>
  <c r="AK9" i="71" s="1"/>
  <c r="GZ150" i="1"/>
  <c r="AN6" i="71"/>
  <c r="AN9" i="71" s="1"/>
  <c r="HC150" i="1"/>
  <c r="AG6" i="71"/>
  <c r="AG9" i="71" s="1"/>
  <c r="GV150" i="1"/>
  <c r="DK6" i="71"/>
  <c r="JZ150" i="1"/>
  <c r="DG6" i="71"/>
  <c r="JV150" i="1"/>
  <c r="DC6" i="71"/>
  <c r="JR150" i="1"/>
  <c r="CY6" i="71"/>
  <c r="JN150" i="1"/>
  <c r="CU6" i="71"/>
  <c r="JJ150" i="1"/>
  <c r="CQ6" i="71"/>
  <c r="JF150" i="1"/>
  <c r="CE6" i="71"/>
  <c r="IT150" i="1"/>
  <c r="CM6" i="71"/>
  <c r="JB150" i="1"/>
  <c r="CK6" i="71"/>
  <c r="IZ150" i="1"/>
  <c r="BY6" i="71"/>
  <c r="IN150" i="1"/>
  <c r="EX6" i="71"/>
  <c r="LM150" i="1"/>
  <c r="EJ6" i="71"/>
  <c r="KY150" i="1"/>
  <c r="EL6" i="71"/>
  <c r="LA150" i="1"/>
  <c r="DW6" i="71"/>
  <c r="KL150" i="1"/>
  <c r="DQ6" i="71"/>
  <c r="KF150" i="1"/>
  <c r="EQ6" i="71"/>
  <c r="LF150" i="1"/>
  <c r="DU6" i="71"/>
  <c r="KJ150" i="1"/>
  <c r="EE6" i="71"/>
  <c r="KT150" i="1"/>
  <c r="EO6" i="71"/>
  <c r="LD150" i="1"/>
  <c r="EI6" i="71"/>
  <c r="KX150" i="1"/>
  <c r="EC6" i="71"/>
  <c r="KR150" i="1"/>
  <c r="BA6" i="71"/>
  <c r="BA9" i="71" s="1"/>
  <c r="HP150" i="1"/>
  <c r="AQ6" i="71"/>
  <c r="AQ9" i="71" s="1"/>
  <c r="HF150" i="1"/>
  <c r="BI6" i="71"/>
  <c r="BI9" i="71" s="1"/>
  <c r="HX150" i="1"/>
  <c r="BE6" i="71"/>
  <c r="BE9" i="71" s="1"/>
  <c r="HT150" i="1"/>
  <c r="AH6" i="71"/>
  <c r="AH9" i="71" s="1"/>
  <c r="GW150" i="1"/>
  <c r="AT6" i="71"/>
  <c r="AT9" i="71" s="1"/>
  <c r="HI150" i="1"/>
  <c r="BB6" i="71"/>
  <c r="BB9" i="71" s="1"/>
  <c r="HQ150" i="1"/>
  <c r="AP6" i="71"/>
  <c r="AP9" i="71" s="1"/>
  <c r="HE150" i="1"/>
  <c r="BJ6" i="71"/>
  <c r="BJ9" i="71" s="1"/>
  <c r="HY150" i="1"/>
  <c r="AO6" i="71"/>
  <c r="AO9" i="71" s="1"/>
  <c r="HD150" i="1"/>
  <c r="BV6" i="71"/>
  <c r="IK150" i="1"/>
  <c r="DJ6" i="71"/>
  <c r="JY150" i="1"/>
  <c r="DF6" i="71"/>
  <c r="JU150" i="1"/>
  <c r="DB6" i="71"/>
  <c r="JQ150" i="1"/>
  <c r="CX6" i="71"/>
  <c r="JM150" i="1"/>
  <c r="CT6" i="71"/>
  <c r="JI150" i="1"/>
  <c r="CP6" i="71"/>
  <c r="JE150" i="1"/>
  <c r="CN6" i="71"/>
  <c r="JC150" i="1"/>
  <c r="CL6" i="71"/>
  <c r="JA150" i="1"/>
  <c r="CJ6" i="71"/>
  <c r="IY150" i="1"/>
  <c r="BX6" i="71"/>
  <c r="IM150" i="1"/>
  <c r="DY6" i="71"/>
  <c r="KN150" i="1"/>
  <c r="DS6" i="71"/>
  <c r="KH150" i="1"/>
  <c r="DM6" i="71"/>
  <c r="KB150" i="1"/>
  <c r="EK6" i="71"/>
  <c r="KZ150" i="1"/>
  <c r="EU6" i="71"/>
  <c r="LJ150" i="1"/>
  <c r="DR6" i="71"/>
  <c r="KG150" i="1"/>
  <c r="EY6" i="71"/>
  <c r="LN150" i="1"/>
  <c r="ES6" i="71"/>
  <c r="LH150" i="1"/>
  <c r="DX6" i="71"/>
  <c r="KM150" i="1"/>
  <c r="EW6" i="71"/>
  <c r="LL150" i="1"/>
  <c r="DL6" i="71"/>
  <c r="KA150" i="1"/>
  <c r="BQ6" i="71"/>
  <c r="BQ9" i="71" s="1"/>
  <c r="IF150" i="1"/>
  <c r="AJ6" i="71"/>
  <c r="AJ9" i="71" s="1"/>
  <c r="GY150" i="1"/>
  <c r="BL6" i="71"/>
  <c r="BL9" i="71" s="1"/>
  <c r="IA150" i="1"/>
  <c r="AU6" i="71"/>
  <c r="AU9" i="71" s="1"/>
  <c r="HJ150" i="1"/>
  <c r="AY6" i="71"/>
  <c r="AY9" i="71" s="1"/>
  <c r="HN150" i="1"/>
  <c r="BD6" i="71"/>
  <c r="BD9" i="71" s="1"/>
  <c r="HS150" i="1"/>
  <c r="BC6" i="71"/>
  <c r="BC9" i="71" s="1"/>
  <c r="HR150" i="1"/>
  <c r="BP6" i="71"/>
  <c r="BP9" i="71" s="1"/>
  <c r="IE150" i="1"/>
  <c r="AS6" i="71"/>
  <c r="AS9" i="71" s="1"/>
  <c r="HH150" i="1"/>
  <c r="AR6" i="71"/>
  <c r="AR9" i="71" s="1"/>
  <c r="HG150" i="1"/>
  <c r="BW6" i="71"/>
  <c r="IL150" i="1"/>
  <c r="DI6" i="71"/>
  <c r="JX150" i="1"/>
  <c r="DE6" i="71"/>
  <c r="JT150" i="1"/>
  <c r="DA6" i="71"/>
  <c r="JP150" i="1"/>
  <c r="CW6" i="71"/>
  <c r="JL150" i="1"/>
  <c r="CS6" i="71"/>
  <c r="JH150" i="1"/>
  <c r="CF6" i="71"/>
  <c r="IU150" i="1"/>
  <c r="CD6" i="71"/>
  <c r="IS150" i="1"/>
  <c r="CB6" i="71"/>
  <c r="IQ150" i="1"/>
  <c r="BZ6" i="71"/>
  <c r="IO150" i="1"/>
  <c r="CH6" i="71"/>
  <c r="IW150" i="1"/>
  <c r="EM6" i="71"/>
  <c r="LB150" i="1"/>
  <c r="EG6" i="71"/>
  <c r="KV150" i="1"/>
  <c r="EH6" i="71"/>
  <c r="KW150" i="1"/>
  <c r="DT6" i="71"/>
  <c r="KI150" i="1"/>
  <c r="DV6" i="71"/>
  <c r="KK150" i="1"/>
  <c r="EN6" i="71"/>
  <c r="LC150" i="1"/>
  <c r="DZ6" i="71"/>
  <c r="KO150" i="1"/>
  <c r="EB6" i="71"/>
  <c r="KQ150" i="1"/>
  <c r="ED6" i="71"/>
  <c r="KS150" i="1"/>
  <c r="EF6" i="71"/>
  <c r="KU150" i="1"/>
  <c r="GP154" i="1"/>
  <c r="I27" i="71"/>
  <c r="J27" i="71"/>
  <c r="K27" i="71"/>
  <c r="DH132" i="130"/>
  <c r="DH131" i="130" s="1"/>
  <c r="CP131" i="130"/>
  <c r="CP114" i="130"/>
  <c r="CL131" i="130"/>
  <c r="DD132" i="130"/>
  <c r="DD131" i="130" s="1"/>
  <c r="CL114" i="130"/>
  <c r="CM131" i="130"/>
  <c r="DE132" i="130"/>
  <c r="DE131" i="130" s="1"/>
  <c r="CM114" i="130"/>
  <c r="J35" i="71"/>
  <c r="F61" i="71"/>
  <c r="H116" i="71" s="1"/>
  <c r="FH27" i="98"/>
  <c r="FG29" i="98"/>
  <c r="DA114" i="130"/>
  <c r="CJ113" i="130"/>
  <c r="DA113" i="130" s="1"/>
  <c r="CN131" i="130"/>
  <c r="CN114" i="130"/>
  <c r="DF132" i="130"/>
  <c r="DF131" i="130" s="1"/>
  <c r="CQ131" i="130"/>
  <c r="DI132" i="130"/>
  <c r="DI131" i="130" s="1"/>
  <c r="CQ114" i="130"/>
  <c r="H137" i="71"/>
  <c r="H168" i="71" s="1"/>
  <c r="CO131" i="130"/>
  <c r="DG132" i="130"/>
  <c r="DG131" i="130" s="1"/>
  <c r="CO114" i="130"/>
  <c r="DC132" i="130"/>
  <c r="DC131" i="130" s="1"/>
  <c r="CK131" i="130"/>
  <c r="CK114" i="130"/>
  <c r="GR39" i="1" l="1"/>
  <c r="HR142" i="1" s="1"/>
  <c r="O27" i="71"/>
  <c r="M27" i="71"/>
  <c r="P27" i="71"/>
  <c r="DC114" i="130"/>
  <c r="CK113" i="130"/>
  <c r="DC113" i="130" s="1"/>
  <c r="DI114" i="130"/>
  <c r="CQ113" i="130"/>
  <c r="DI113" i="130" s="1"/>
  <c r="DF114" i="130"/>
  <c r="CN113" i="130"/>
  <c r="DF113" i="130" s="1"/>
  <c r="FI29" i="98"/>
  <c r="FG27" i="98"/>
  <c r="FP29" i="98"/>
  <c r="DD114" i="130"/>
  <c r="CL113" i="130"/>
  <c r="DD113" i="130" s="1"/>
  <c r="DH114" i="130"/>
  <c r="CP113" i="130"/>
  <c r="DH113" i="130" s="1"/>
  <c r="DE114" i="130"/>
  <c r="CM113" i="130"/>
  <c r="DE113" i="130" s="1"/>
  <c r="DG114" i="130"/>
  <c r="CO113" i="130"/>
  <c r="DG113" i="130" s="1"/>
  <c r="HZ142" i="1" l="1"/>
  <c r="KT142" i="1"/>
  <c r="IH142" i="1"/>
  <c r="JC142" i="1"/>
  <c r="KQ142" i="1"/>
  <c r="GV142" i="1"/>
  <c r="LO142" i="1"/>
  <c r="LF142" i="1"/>
  <c r="IB142" i="1"/>
  <c r="IK142" i="1"/>
  <c r="JA142" i="1"/>
  <c r="KU142" i="1"/>
  <c r="IE142" i="1"/>
  <c r="IA142" i="1"/>
  <c r="KE142" i="1"/>
  <c r="LE142" i="1"/>
  <c r="HJ142" i="1"/>
  <c r="JL142" i="1"/>
  <c r="HO142" i="1"/>
  <c r="HM142" i="1"/>
  <c r="IN142" i="1"/>
  <c r="KG142" i="1"/>
  <c r="JJ142" i="1"/>
  <c r="HU142" i="1"/>
  <c r="IJ142" i="1"/>
  <c r="JK142" i="1"/>
  <c r="GT142" i="1"/>
  <c r="KM142" i="1"/>
  <c r="II142" i="1"/>
  <c r="HS142" i="1"/>
  <c r="JY142" i="1"/>
  <c r="KL142" i="1"/>
  <c r="HY142" i="1"/>
  <c r="IU142" i="1"/>
  <c r="JE142" i="1"/>
  <c r="IY142" i="1"/>
  <c r="HV142" i="1"/>
  <c r="KZ142" i="1"/>
  <c r="JR142" i="1"/>
  <c r="KF142" i="1"/>
  <c r="IR142" i="1"/>
  <c r="JX142" i="1"/>
  <c r="KO142" i="1"/>
  <c r="HK142" i="1"/>
  <c r="GZ142" i="1"/>
  <c r="IZ142" i="1"/>
  <c r="JF142" i="1"/>
  <c r="HH142" i="1"/>
  <c r="JM142" i="1"/>
  <c r="LB142" i="1"/>
  <c r="IP142" i="1"/>
  <c r="HG142" i="1"/>
  <c r="HC142" i="1"/>
  <c r="IF142" i="1"/>
  <c r="HA142" i="1"/>
  <c r="HN142" i="1"/>
  <c r="LL142" i="1"/>
  <c r="HX142" i="1"/>
  <c r="JP142" i="1"/>
  <c r="JN142" i="1"/>
  <c r="LJ142" i="1"/>
  <c r="KY142" i="1"/>
  <c r="IV142" i="1"/>
  <c r="JD142" i="1"/>
  <c r="KX142" i="1"/>
  <c r="KD142" i="1"/>
  <c r="HE142" i="1"/>
  <c r="LI142" i="1"/>
  <c r="GU142" i="1"/>
  <c r="LH142" i="1"/>
  <c r="HW142" i="1"/>
  <c r="KC142" i="1"/>
  <c r="KS142" i="1"/>
  <c r="LC142" i="1"/>
  <c r="HP142" i="1"/>
  <c r="HT142" i="1"/>
  <c r="LM142" i="1"/>
  <c r="KB142" i="1"/>
  <c r="JQ142" i="1"/>
  <c r="JS142" i="1"/>
  <c r="JW142" i="1"/>
  <c r="HI142" i="1"/>
  <c r="ID142" i="1"/>
  <c r="JO142" i="1"/>
  <c r="KA142" i="1"/>
  <c r="IC142" i="1"/>
  <c r="JH142" i="1"/>
  <c r="GW142" i="1"/>
  <c r="IQ142" i="1"/>
  <c r="JZ142" i="1"/>
  <c r="LA142" i="1"/>
  <c r="LD142" i="1"/>
  <c r="HL142" i="1"/>
  <c r="HD142" i="1"/>
  <c r="GX142" i="1"/>
  <c r="KW142" i="1"/>
  <c r="IM142" i="1"/>
  <c r="GY142" i="1"/>
  <c r="KJ142" i="1"/>
  <c r="IG142" i="1"/>
  <c r="KK142" i="1"/>
  <c r="HQ142" i="1"/>
  <c r="KN142" i="1"/>
  <c r="HF142" i="1"/>
  <c r="JG142" i="1"/>
  <c r="JU142" i="1"/>
  <c r="JI142" i="1"/>
  <c r="KI142" i="1"/>
  <c r="LK142" i="1"/>
  <c r="KR142" i="1"/>
  <c r="KV142" i="1"/>
  <c r="HB142" i="1"/>
  <c r="IX142" i="1"/>
  <c r="JB142" i="1"/>
  <c r="IT142" i="1"/>
  <c r="LN142" i="1"/>
  <c r="IW142" i="1"/>
  <c r="IO142" i="1"/>
  <c r="LP142" i="1"/>
  <c r="JT142" i="1"/>
  <c r="JV142" i="1"/>
  <c r="IS142" i="1"/>
  <c r="LG142" i="1"/>
  <c r="KP142" i="1"/>
  <c r="KH142" i="1"/>
  <c r="IL142" i="1"/>
  <c r="FI27" i="98"/>
  <c r="FP27" i="98"/>
  <c r="I130" i="71" l="1"/>
  <c r="I116" i="71"/>
  <c r="FY14" i="98" s="1"/>
  <c r="HG35" i="93" l="1"/>
  <c r="I137" i="71"/>
  <c r="FY15" i="98" s="1"/>
  <c r="J36" i="71"/>
  <c r="I36" i="71"/>
  <c r="I168" i="71" l="1"/>
  <c r="DQ119" i="123"/>
  <c r="IQ111" i="123"/>
  <c r="GO111" i="123"/>
  <c r="EH111" i="123"/>
  <c r="HB111" i="123"/>
  <c r="HE111" i="123"/>
  <c r="IH111" i="123"/>
  <c r="FF111" i="123"/>
  <c r="JB111" i="123"/>
  <c r="IY111" i="123"/>
  <c r="GY111" i="123"/>
  <c r="HA111" i="123"/>
  <c r="FZ111" i="123"/>
  <c r="FL111" i="123"/>
  <c r="HN111" i="123"/>
  <c r="HD111" i="123"/>
  <c r="FR111" i="123"/>
  <c r="GJ111" i="123"/>
  <c r="GF111" i="123"/>
  <c r="FI111" i="123"/>
  <c r="GE111" i="123"/>
  <c r="GX111" i="123"/>
  <c r="FE111" i="123"/>
  <c r="EQ111" i="123"/>
  <c r="IE111" i="123"/>
  <c r="GQ111" i="123"/>
  <c r="HP111" i="123"/>
  <c r="HV111" i="123"/>
  <c r="FT111" i="123"/>
  <c r="HZ111" i="123"/>
  <c r="GV111" i="123"/>
  <c r="FG111" i="123"/>
  <c r="IO111" i="123"/>
  <c r="GR111" i="123"/>
  <c r="EJ111" i="123"/>
  <c r="ER111" i="123"/>
  <c r="HR111" i="123"/>
  <c r="IB111" i="123"/>
  <c r="GM111" i="123"/>
  <c r="IN111" i="123"/>
  <c r="FU111" i="123"/>
  <c r="GG111" i="123"/>
  <c r="EK111" i="123"/>
  <c r="IF111" i="123"/>
  <c r="FQ111" i="123"/>
  <c r="FX111" i="123"/>
  <c r="GK111" i="123"/>
  <c r="II111" i="123"/>
  <c r="GL111" i="123"/>
  <c r="EL111" i="123"/>
  <c r="GB111" i="123"/>
  <c r="IL111" i="123"/>
  <c r="HF111" i="123"/>
  <c r="GS111" i="123"/>
  <c r="IU111" i="123"/>
  <c r="EP111" i="123"/>
  <c r="JC111" i="123"/>
  <c r="HU111" i="123"/>
  <c r="FP111" i="123"/>
  <c r="IA111" i="123"/>
  <c r="HW111" i="123"/>
  <c r="EU111" i="123"/>
  <c r="IG111" i="123"/>
  <c r="GI111" i="123"/>
  <c r="EX111" i="123"/>
  <c r="IZ111" i="123"/>
  <c r="IS111" i="123"/>
  <c r="GZ111" i="123"/>
  <c r="FV111" i="123"/>
  <c r="JA111" i="123"/>
  <c r="ES111" i="123"/>
  <c r="IP111" i="123"/>
  <c r="GU111" i="123"/>
  <c r="IM111" i="123"/>
  <c r="HJ111" i="123"/>
  <c r="HG111" i="123"/>
  <c r="EI111" i="123"/>
  <c r="ET111" i="123"/>
  <c r="HL111" i="123"/>
  <c r="FS111" i="123"/>
  <c r="GT111" i="123"/>
  <c r="EZ111" i="123"/>
  <c r="GN111" i="123"/>
  <c r="EM111" i="123"/>
  <c r="EW111" i="123"/>
  <c r="FJ111" i="123"/>
  <c r="ID111" i="123"/>
  <c r="IT111" i="123"/>
  <c r="FH111" i="123"/>
  <c r="FD111" i="123"/>
  <c r="EN111" i="123"/>
  <c r="FN111" i="123"/>
  <c r="EV111" i="123"/>
  <c r="HK111" i="123"/>
  <c r="IK111" i="123"/>
  <c r="HX111" i="123"/>
  <c r="IC111" i="123"/>
  <c r="EO111" i="123"/>
  <c r="FA111" i="123"/>
  <c r="FW111" i="123"/>
  <c r="GP111" i="123"/>
  <c r="HQ111" i="123"/>
  <c r="HC111" i="123"/>
  <c r="HM111" i="123"/>
  <c r="HH111" i="123"/>
  <c r="GD111" i="123"/>
  <c r="EY111" i="123"/>
  <c r="IR111" i="123"/>
  <c r="HO111" i="123"/>
  <c r="IX111" i="123"/>
  <c r="GA111" i="123"/>
  <c r="GC111" i="123"/>
  <c r="FB111" i="123"/>
  <c r="FK111" i="123"/>
  <c r="IV111" i="123"/>
  <c r="IJ111" i="123"/>
  <c r="GH111" i="123"/>
  <c r="FC111" i="123"/>
  <c r="GW111" i="123"/>
  <c r="FM111" i="123"/>
  <c r="IW111" i="123"/>
  <c r="FO111" i="123"/>
  <c r="HI111" i="123"/>
  <c r="HS111" i="123"/>
  <c r="HT111" i="123"/>
  <c r="FY111" i="123"/>
  <c r="HY111" i="123"/>
  <c r="HI12" i="93"/>
  <c r="DQ117" i="123"/>
  <c r="DP113" i="123" s="1"/>
  <c r="EG111" i="123"/>
  <c r="AT96" i="97"/>
  <c r="CM11" i="130"/>
  <c r="CO11" i="130" s="1"/>
  <c r="F27" i="98"/>
  <c r="AA64" i="71" l="1"/>
  <c r="AA60" i="71" s="1"/>
  <c r="S96" i="71" s="1"/>
  <c r="EG117" i="123"/>
  <c r="HY117" i="123"/>
  <c r="HI117" i="123"/>
  <c r="GW117" i="123"/>
  <c r="IV117" i="123"/>
  <c r="GA117" i="123"/>
  <c r="EY117" i="123"/>
  <c r="HC117" i="123"/>
  <c r="FA117" i="123"/>
  <c r="IK117" i="123"/>
  <c r="EN117" i="123"/>
  <c r="ID117" i="123"/>
  <c r="GN117" i="123"/>
  <c r="HL117" i="123"/>
  <c r="HJ117" i="123"/>
  <c r="ES117" i="123"/>
  <c r="IS117" i="123"/>
  <c r="IG117" i="123"/>
  <c r="FP117" i="123"/>
  <c r="IU117" i="123"/>
  <c r="GB117" i="123"/>
  <c r="GK117" i="123"/>
  <c r="EK117" i="123"/>
  <c r="GM117" i="123"/>
  <c r="EJ117" i="123"/>
  <c r="GV117" i="123"/>
  <c r="HP117" i="123"/>
  <c r="FE117" i="123"/>
  <c r="GF117" i="123"/>
  <c r="HN117" i="123"/>
  <c r="GY117" i="123"/>
  <c r="IH117" i="123"/>
  <c r="GO117" i="123"/>
  <c r="FO117" i="123"/>
  <c r="FC117" i="123"/>
  <c r="FK117" i="123"/>
  <c r="IX117" i="123"/>
  <c r="GD117" i="123"/>
  <c r="HQ117" i="123"/>
  <c r="EO117" i="123"/>
  <c r="HK117" i="123"/>
  <c r="FD117" i="123"/>
  <c r="FJ117" i="123"/>
  <c r="EZ117" i="123"/>
  <c r="ET117" i="123"/>
  <c r="IM117" i="123"/>
  <c r="JA117" i="123"/>
  <c r="IZ117" i="123"/>
  <c r="EU117" i="123"/>
  <c r="HU117" i="123"/>
  <c r="GS117" i="123"/>
  <c r="EL117" i="123"/>
  <c r="FX117" i="123"/>
  <c r="GG117" i="123"/>
  <c r="IB117" i="123"/>
  <c r="GR117" i="123"/>
  <c r="HZ117" i="123"/>
  <c r="GQ117" i="123"/>
  <c r="GX117" i="123"/>
  <c r="GJ117" i="123"/>
  <c r="FL117" i="123"/>
  <c r="IY117" i="123"/>
  <c r="HE117" i="123"/>
  <c r="IQ117" i="123"/>
  <c r="IW117" i="123"/>
  <c r="GH117" i="123"/>
  <c r="FB117" i="123"/>
  <c r="HO117" i="123"/>
  <c r="HH117" i="123"/>
  <c r="GP117" i="123"/>
  <c r="IC117" i="123"/>
  <c r="EV117" i="123"/>
  <c r="FH117" i="123"/>
  <c r="EW117" i="123"/>
  <c r="GT117" i="123"/>
  <c r="EI117" i="123"/>
  <c r="GU117" i="123"/>
  <c r="FV117" i="123"/>
  <c r="EX117" i="123"/>
  <c r="HW117" i="123"/>
  <c r="JC117" i="123"/>
  <c r="HF117" i="123"/>
  <c r="GL117" i="123"/>
  <c r="FQ117" i="123"/>
  <c r="FU117" i="123"/>
  <c r="HR117" i="123"/>
  <c r="IO117" i="123"/>
  <c r="FT117" i="123"/>
  <c r="IE117" i="123"/>
  <c r="GE117" i="123"/>
  <c r="FR117" i="123"/>
  <c r="FZ117" i="123"/>
  <c r="JB117" i="123"/>
  <c r="HB117" i="123"/>
  <c r="FY117" i="123"/>
  <c r="HT117" i="123"/>
  <c r="HS117" i="123"/>
  <c r="FM117" i="123"/>
  <c r="IJ117" i="123"/>
  <c r="GC117" i="123"/>
  <c r="IR117" i="123"/>
  <c r="HM117" i="123"/>
  <c r="FW117" i="123"/>
  <c r="HX117" i="123"/>
  <c r="FN117" i="123"/>
  <c r="IT117" i="123"/>
  <c r="EM117" i="123"/>
  <c r="FS117" i="123"/>
  <c r="HG117" i="123"/>
  <c r="IP117" i="123"/>
  <c r="GZ117" i="123"/>
  <c r="GI117" i="123"/>
  <c r="IA117" i="123"/>
  <c r="EP117" i="123"/>
  <c r="IL117" i="123"/>
  <c r="II117" i="123"/>
  <c r="IF117" i="123"/>
  <c r="IN117" i="123"/>
  <c r="ER117" i="123"/>
  <c r="FG117" i="123"/>
  <c r="HV117" i="123"/>
  <c r="EQ117" i="123"/>
  <c r="FI117" i="123"/>
  <c r="HD117" i="123"/>
  <c r="HA117" i="123"/>
  <c r="FF117" i="123"/>
  <c r="EH117" i="123"/>
  <c r="EC111" i="123"/>
  <c r="FX12" i="98" s="1"/>
  <c r="EC115" i="123"/>
  <c r="FY12" i="98" s="1"/>
  <c r="K65" i="71"/>
  <c r="J132" i="71"/>
  <c r="K132" i="71" s="1"/>
  <c r="FO29" i="98"/>
  <c r="K67" i="71"/>
  <c r="J161" i="71"/>
  <c r="J167" i="71" s="1"/>
  <c r="K167" i="71" s="1"/>
  <c r="I27" i="98"/>
  <c r="AB119" i="123"/>
  <c r="CA67" i="130"/>
  <c r="CC68" i="130"/>
  <c r="DA68" i="130"/>
  <c r="CF68" i="130"/>
  <c r="CG68" i="130"/>
  <c r="CB68" i="130"/>
  <c r="CE68" i="130"/>
  <c r="CH68" i="130"/>
  <c r="CD68" i="130"/>
  <c r="AX96" i="97"/>
  <c r="BA96" i="97"/>
  <c r="AT94" i="97"/>
  <c r="DQ113" i="123"/>
  <c r="S113" i="123"/>
  <c r="D27" i="98"/>
  <c r="FK29" i="98"/>
  <c r="EC117" i="123" l="1"/>
  <c r="K161" i="71"/>
  <c r="CD67" i="130"/>
  <c r="DE68" i="130"/>
  <c r="FL29" i="98"/>
  <c r="FL27" i="98" s="1"/>
  <c r="FK27" i="98"/>
  <c r="AX94" i="97"/>
  <c r="BA94" i="97"/>
  <c r="CH67" i="130"/>
  <c r="DI68" i="130"/>
  <c r="CF67" i="130"/>
  <c r="DG68" i="130"/>
  <c r="J27" i="98"/>
  <c r="FT33" i="98"/>
  <c r="K63" i="71"/>
  <c r="K89" i="71" s="1"/>
  <c r="J130" i="71"/>
  <c r="K130" i="71" s="1"/>
  <c r="CG67" i="130"/>
  <c r="DH68" i="130"/>
  <c r="CE67" i="130"/>
  <c r="DF68" i="130"/>
  <c r="DA67" i="130"/>
  <c r="FY9" i="98" s="1"/>
  <c r="DA48" i="130"/>
  <c r="DC68" i="130"/>
  <c r="CB67" i="130"/>
  <c r="CC67" i="130"/>
  <c r="DD68" i="130"/>
  <c r="FR29" i="98"/>
  <c r="FO27" i="98"/>
  <c r="FN29" i="98"/>
  <c r="FQ29" i="98"/>
  <c r="M2" i="115" s="1"/>
  <c r="FY29" i="98"/>
  <c r="DF67" i="130" l="1"/>
  <c r="DF48" i="130"/>
  <c r="J137" i="71"/>
  <c r="FX15" i="98" s="1"/>
  <c r="DG67" i="130"/>
  <c r="DG48" i="130"/>
  <c r="BF96" i="97"/>
  <c r="BF94" i="97"/>
  <c r="AK103" i="97"/>
  <c r="DC67" i="130"/>
  <c r="DC48" i="130"/>
  <c r="J116" i="71"/>
  <c r="FX14" i="98" s="1"/>
  <c r="I37" i="71"/>
  <c r="FR27" i="98"/>
  <c r="FQ27" i="98"/>
  <c r="FN27" i="98"/>
  <c r="DD67" i="130"/>
  <c r="DD48" i="130"/>
  <c r="DA47" i="130"/>
  <c r="DH67" i="130"/>
  <c r="DH48" i="130"/>
  <c r="DI67" i="130"/>
  <c r="DI48" i="130"/>
  <c r="DE67" i="130"/>
  <c r="DE48" i="130"/>
  <c r="FY27" i="98"/>
  <c r="FY16" i="98" s="1"/>
  <c r="GA29" i="98"/>
  <c r="CP29" i="98"/>
  <c r="CO29" i="98" s="1"/>
  <c r="FT27" i="98"/>
  <c r="FX33" i="98"/>
  <c r="CP33" i="98"/>
  <c r="J168" i="71" l="1"/>
  <c r="K137" i="71"/>
  <c r="HH35" i="93"/>
  <c r="HJ35" i="93" s="1"/>
  <c r="GG33" i="98"/>
  <c r="CO33" i="98"/>
  <c r="CO27" i="98" s="1"/>
  <c r="ED120" i="98" s="1"/>
  <c r="GG29" i="98"/>
  <c r="CW29" i="98" s="1"/>
  <c r="G290" i="128"/>
  <c r="A290" i="128" s="1"/>
  <c r="DC47" i="130"/>
  <c r="P6" i="115"/>
  <c r="G294" i="128"/>
  <c r="U7" i="135"/>
  <c r="I6" i="129"/>
  <c r="P6" i="136"/>
  <c r="Q6" i="127"/>
  <c r="BH33" i="98"/>
  <c r="GC29" i="98"/>
  <c r="DI47" i="130"/>
  <c r="J37" i="71"/>
  <c r="I38" i="71"/>
  <c r="DG47" i="130"/>
  <c r="GA33" i="98"/>
  <c r="GA27" i="98" s="1"/>
  <c r="FX27" i="98"/>
  <c r="CZ5" i="130"/>
  <c r="DI27" i="130" s="1"/>
  <c r="J38" i="71"/>
  <c r="K116" i="71"/>
  <c r="AK94" i="97"/>
  <c r="FX10" i="98" s="1"/>
  <c r="AK96" i="97"/>
  <c r="AM103" i="97"/>
  <c r="DF47" i="130"/>
  <c r="P2" i="136"/>
  <c r="U2" i="135"/>
  <c r="P2" i="115"/>
  <c r="Q2" i="127"/>
  <c r="I2" i="129"/>
  <c r="DE47" i="130"/>
  <c r="DH47" i="130"/>
  <c r="DD47" i="130"/>
  <c r="M130" i="71"/>
  <c r="E2" i="136" l="1"/>
  <c r="E6" i="136"/>
  <c r="FX16" i="98"/>
  <c r="ED111" i="98" s="1"/>
  <c r="C290" i="128"/>
  <c r="B290" i="128"/>
  <c r="O117" i="71"/>
  <c r="K168" i="71"/>
  <c r="DH26" i="130"/>
  <c r="I39" i="71"/>
  <c r="I40" i="71"/>
  <c r="K119" i="71"/>
  <c r="L6" i="136"/>
  <c r="S6" i="136"/>
  <c r="C6" i="136" s="1"/>
  <c r="K6" i="136"/>
  <c r="T6" i="136" s="1"/>
  <c r="D6" i="136"/>
  <c r="A6" i="136"/>
  <c r="R6" i="136"/>
  <c r="B6" i="136" s="1"/>
  <c r="C2" i="135"/>
  <c r="Q2" i="135"/>
  <c r="Z2" i="135" s="1"/>
  <c r="B2" i="135"/>
  <c r="F2" i="135"/>
  <c r="X2" i="135"/>
  <c r="E2" i="135" s="1"/>
  <c r="W2" i="135"/>
  <c r="D2" i="135" s="1"/>
  <c r="L2" i="135"/>
  <c r="Y2" i="135" s="1"/>
  <c r="A2" i="135"/>
  <c r="P2" i="135"/>
  <c r="M2" i="135"/>
  <c r="K2" i="135"/>
  <c r="DF26" i="130"/>
  <c r="DA26" i="130"/>
  <c r="F6" i="129"/>
  <c r="A6" i="129"/>
  <c r="C6" i="129"/>
  <c r="L6" i="129"/>
  <c r="D6" i="129" s="1"/>
  <c r="B6" i="129"/>
  <c r="M6" i="129"/>
  <c r="E6" i="129" s="1"/>
  <c r="C2" i="115"/>
  <c r="A2" i="115"/>
  <c r="E2" i="115"/>
  <c r="B2" i="115"/>
  <c r="GC27" i="98"/>
  <c r="GB27" i="98"/>
  <c r="A6" i="115"/>
  <c r="C6" i="115"/>
  <c r="B6" i="115"/>
  <c r="E6" i="115"/>
  <c r="DH27" i="130"/>
  <c r="DD26" i="130"/>
  <c r="DE26" i="130"/>
  <c r="A2" i="129"/>
  <c r="M2" i="129"/>
  <c r="E2" i="129" s="1"/>
  <c r="B2" i="129"/>
  <c r="C2" i="129"/>
  <c r="F2" i="129"/>
  <c r="L2" i="129"/>
  <c r="D2" i="129" s="1"/>
  <c r="DF27" i="130"/>
  <c r="O116" i="71"/>
  <c r="HK35" i="93" s="1"/>
  <c r="M116" i="71"/>
  <c r="DG26" i="130"/>
  <c r="BI33" i="98"/>
  <c r="FA33" i="98" s="1"/>
  <c r="W7" i="135"/>
  <c r="D7" i="135" s="1"/>
  <c r="M7" i="135"/>
  <c r="A7" i="135"/>
  <c r="X7" i="135"/>
  <c r="E7" i="135" s="1"/>
  <c r="C7" i="135"/>
  <c r="B7" i="135"/>
  <c r="Q7" i="135"/>
  <c r="Z7" i="135" s="1"/>
  <c r="F7" i="135"/>
  <c r="L7" i="135"/>
  <c r="Y7" i="135" s="1"/>
  <c r="DC26" i="130"/>
  <c r="DG40" i="130"/>
  <c r="DC32" i="130"/>
  <c r="DI37" i="130"/>
  <c r="DF37" i="130"/>
  <c r="DA29" i="130"/>
  <c r="DC38" i="130"/>
  <c r="DC40" i="130"/>
  <c r="DF38" i="130"/>
  <c r="DI35" i="130"/>
  <c r="DD31" i="130"/>
  <c r="DA36" i="130"/>
  <c r="DD35" i="130"/>
  <c r="DD36" i="130"/>
  <c r="DF40" i="130"/>
  <c r="DE36" i="130"/>
  <c r="DG41" i="130"/>
  <c r="DG34" i="130"/>
  <c r="DC36" i="130"/>
  <c r="DA32" i="130"/>
  <c r="DG30" i="130"/>
  <c r="DE33" i="130"/>
  <c r="DH28" i="130"/>
  <c r="DF30" i="130"/>
  <c r="DH35" i="130"/>
  <c r="DE41" i="130"/>
  <c r="DA30" i="130"/>
  <c r="DE40" i="130"/>
  <c r="DF34" i="130"/>
  <c r="DG32" i="130"/>
  <c r="DD34" i="130"/>
  <c r="DA31" i="130"/>
  <c r="DF35" i="130"/>
  <c r="DI30" i="130"/>
  <c r="DF39" i="130"/>
  <c r="DF31" i="130"/>
  <c r="DD32" i="130"/>
  <c r="DH34" i="130"/>
  <c r="DF33" i="130"/>
  <c r="DF28" i="130"/>
  <c r="DH38" i="130"/>
  <c r="DF36" i="130"/>
  <c r="DD28" i="130"/>
  <c r="DE37" i="130"/>
  <c r="DA39" i="130"/>
  <c r="DC31" i="130"/>
  <c r="DG37" i="130"/>
  <c r="DE31" i="130"/>
  <c r="DC35" i="130"/>
  <c r="DI41" i="130"/>
  <c r="DF41" i="130"/>
  <c r="DD33" i="130"/>
  <c r="DG35" i="130"/>
  <c r="DE39" i="130"/>
  <c r="DE30" i="130"/>
  <c r="DD41" i="130"/>
  <c r="DA28" i="130"/>
  <c r="DG31" i="130"/>
  <c r="DA38" i="130"/>
  <c r="DI33" i="130"/>
  <c r="DA33" i="130"/>
  <c r="DC33" i="130"/>
  <c r="DF32" i="130"/>
  <c r="DI36" i="130"/>
  <c r="DE34" i="130"/>
  <c r="DC28" i="130"/>
  <c r="DA41" i="130"/>
  <c r="DI28" i="130"/>
  <c r="DG36" i="130"/>
  <c r="DG28" i="130"/>
  <c r="DC30" i="130"/>
  <c r="DE28" i="130"/>
  <c r="DG39" i="130"/>
  <c r="DC34" i="130"/>
  <c r="DH36" i="130"/>
  <c r="DD38" i="130"/>
  <c r="DH30" i="130"/>
  <c r="DD37" i="130"/>
  <c r="DC39" i="130"/>
  <c r="DH33" i="130"/>
  <c r="DI39" i="130"/>
  <c r="DG33" i="130"/>
  <c r="DA40" i="130"/>
  <c r="DI38" i="130"/>
  <c r="DC41" i="130"/>
  <c r="DA34" i="130"/>
  <c r="DE35" i="130"/>
  <c r="DC37" i="130"/>
  <c r="DH31" i="130"/>
  <c r="DH32" i="130"/>
  <c r="DI32" i="130"/>
  <c r="DI40" i="130"/>
  <c r="DD40" i="130"/>
  <c r="DD30" i="130"/>
  <c r="DD39" i="130"/>
  <c r="DA37" i="130"/>
  <c r="DA35" i="130"/>
  <c r="DG38" i="130"/>
  <c r="DH41" i="130"/>
  <c r="DI34" i="130"/>
  <c r="DI31" i="130"/>
  <c r="DH37" i="130"/>
  <c r="DH39" i="130"/>
  <c r="DE32" i="130"/>
  <c r="DE38" i="130"/>
  <c r="DH40" i="130"/>
  <c r="DA27" i="130"/>
  <c r="DD27" i="130"/>
  <c r="DE27" i="130"/>
  <c r="L2" i="127"/>
  <c r="U2" i="127" s="1"/>
  <c r="U1" i="127" s="1"/>
  <c r="FY8" i="98" s="1"/>
  <c r="J2" i="127"/>
  <c r="K2" i="127"/>
  <c r="T2" i="127" s="1"/>
  <c r="D2" i="127"/>
  <c r="H2" i="127"/>
  <c r="C2" i="127"/>
  <c r="M2" i="127"/>
  <c r="I2" i="127"/>
  <c r="A2" i="127"/>
  <c r="B2" i="127" s="1"/>
  <c r="M2" i="136"/>
  <c r="U2" i="136" s="1"/>
  <c r="U1" i="136" s="1"/>
  <c r="FY6" i="98" s="1"/>
  <c r="K2" i="136"/>
  <c r="T2" i="136" s="1"/>
  <c r="J2" i="136"/>
  <c r="D2" i="136"/>
  <c r="R2" i="136"/>
  <c r="B2" i="136" s="1"/>
  <c r="I2" i="136"/>
  <c r="A2" i="136"/>
  <c r="F2" i="136"/>
  <c r="S2" i="136"/>
  <c r="C2" i="136" s="1"/>
  <c r="G2" i="136"/>
  <c r="H2" i="136"/>
  <c r="L2" i="136"/>
  <c r="AM96" i="97"/>
  <c r="AM94" i="97"/>
  <c r="J39" i="71"/>
  <c r="J40" i="71"/>
  <c r="DG27" i="130"/>
  <c r="DI26" i="130"/>
  <c r="J6" i="127"/>
  <c r="C6" i="127"/>
  <c r="M6" i="127"/>
  <c r="K6" i="127"/>
  <c r="T6" i="127" s="1"/>
  <c r="D6" i="127"/>
  <c r="A6" i="127"/>
  <c r="B6" i="127" s="1"/>
  <c r="C294" i="128"/>
  <c r="A294" i="128"/>
  <c r="B294" i="128"/>
  <c r="DC27" i="130"/>
  <c r="O119" i="71" l="1"/>
  <c r="M119" i="71"/>
  <c r="AL209" i="1"/>
  <c r="DJ213" i="123"/>
  <c r="DJ221" i="123"/>
  <c r="DJ223" i="123"/>
  <c r="DJ219" i="123"/>
  <c r="DJ222" i="123"/>
  <c r="DJ217" i="123"/>
  <c r="AL218" i="1"/>
  <c r="AL219" i="1"/>
  <c r="AL214" i="1"/>
  <c r="AL217" i="1"/>
  <c r="AL212" i="1"/>
  <c r="AL349" i="1"/>
  <c r="AL210" i="1"/>
  <c r="T1" i="136"/>
  <c r="FX6" i="98" s="1"/>
  <c r="Y1" i="135"/>
  <c r="FX7" i="98" s="1"/>
  <c r="Z1" i="135"/>
  <c r="FY7" i="98" s="1"/>
  <c r="T1" i="127"/>
  <c r="FX8" i="98" s="1"/>
  <c r="AL351" i="1"/>
  <c r="AL352" i="1"/>
  <c r="AL347" i="1"/>
  <c r="AL350" i="1"/>
  <c r="CW33" i="98"/>
  <c r="CU62" i="98" s="1"/>
  <c r="AL346" i="1"/>
  <c r="ED106" i="98"/>
  <c r="EN23" i="98" s="1"/>
  <c r="FU20" i="98" s="1"/>
  <c r="DJ214" i="123"/>
  <c r="AL215" i="1"/>
  <c r="DJ212" i="123"/>
  <c r="DJ215" i="123"/>
  <c r="AL213" i="1"/>
  <c r="AL211" i="1"/>
  <c r="DJ216" i="123"/>
  <c r="DJ211" i="123"/>
  <c r="AL208" i="1"/>
  <c r="DJ231" i="123"/>
  <c r="AL207" i="1"/>
  <c r="AO94" i="97"/>
  <c r="AN94" i="97"/>
  <c r="AO96" i="97"/>
  <c r="AN96" i="97"/>
  <c r="G177" i="71"/>
  <c r="HL35" i="93"/>
  <c r="J14" i="1"/>
  <c r="C46" i="1"/>
  <c r="J11" i="123"/>
  <c r="C21" i="123"/>
  <c r="AL298" i="1"/>
  <c r="AL249" i="1"/>
  <c r="AL197" i="1"/>
  <c r="DJ171" i="123"/>
  <c r="AL192" i="1"/>
  <c r="AL190" i="1"/>
  <c r="AL336" i="1"/>
  <c r="AL224" i="1"/>
  <c r="AL333" i="1"/>
  <c r="AL189" i="1"/>
  <c r="DJ137" i="123"/>
  <c r="AL195" i="1"/>
  <c r="AL254" i="1"/>
  <c r="DJ170" i="123"/>
  <c r="AL202" i="1"/>
  <c r="AL308" i="1"/>
  <c r="AL280" i="1"/>
  <c r="AL191" i="1"/>
  <c r="AL250" i="1"/>
  <c r="DJ143" i="123"/>
  <c r="AL309" i="1"/>
  <c r="DJ181" i="123"/>
  <c r="AL283" i="1"/>
  <c r="AL246" i="1"/>
  <c r="AL262" i="1"/>
  <c r="AL240" i="1"/>
  <c r="AL277" i="1"/>
  <c r="DJ164" i="123"/>
  <c r="AL332" i="1"/>
  <c r="DJ162" i="123"/>
  <c r="AL253" i="1"/>
  <c r="AL245" i="1"/>
  <c r="DJ150" i="123"/>
  <c r="AL264" i="1"/>
  <c r="AL269" i="1"/>
  <c r="DJ139" i="123"/>
  <c r="DJ196" i="123"/>
  <c r="AL320" i="1"/>
  <c r="AL227" i="1"/>
  <c r="AL290" i="1"/>
  <c r="DJ198" i="123"/>
  <c r="DJ158" i="123"/>
  <c r="DJ140" i="123"/>
  <c r="AL251" i="1"/>
  <c r="AL325" i="1"/>
  <c r="AL226" i="1"/>
  <c r="DJ132" i="123"/>
  <c r="DJ187" i="123"/>
  <c r="DJ229" i="123"/>
  <c r="AL242" i="1"/>
  <c r="DJ230" i="123"/>
  <c r="DJ233" i="123"/>
  <c r="AL241" i="1"/>
  <c r="AL285" i="1"/>
  <c r="DJ235" i="123"/>
  <c r="AL228" i="1"/>
  <c r="AL292" i="1"/>
  <c r="AL234" i="1"/>
  <c r="AL326" i="1"/>
  <c r="DJ184" i="123"/>
  <c r="AL223" i="1"/>
  <c r="DJ180" i="123"/>
  <c r="AL244" i="1"/>
  <c r="AL260" i="1"/>
  <c r="AL311" i="1"/>
  <c r="AL313" i="1"/>
  <c r="AL255" i="1"/>
  <c r="AL182" i="1"/>
  <c r="DJ148" i="123"/>
  <c r="AL267" i="1"/>
  <c r="DJ176" i="123"/>
  <c r="AL235" i="1"/>
  <c r="AL316" i="1"/>
  <c r="AL243" i="1"/>
  <c r="AL337" i="1"/>
  <c r="AL272" i="1"/>
  <c r="DJ172" i="123"/>
  <c r="AL203" i="1"/>
  <c r="DJ145" i="123"/>
  <c r="DJ159" i="123"/>
  <c r="AL256" i="1"/>
  <c r="AL257" i="1"/>
  <c r="AL176" i="1"/>
  <c r="DJ161" i="123"/>
  <c r="AL181" i="1"/>
  <c r="AL319" i="1"/>
  <c r="DJ208" i="123"/>
  <c r="AL299" i="1"/>
  <c r="AL275" i="1"/>
  <c r="DJ178" i="123"/>
  <c r="DJ168" i="123"/>
  <c r="DJ131" i="123"/>
  <c r="AL291" i="1"/>
  <c r="DJ152" i="123"/>
  <c r="AL276" i="1"/>
  <c r="AL252" i="1"/>
  <c r="AL273" i="1"/>
  <c r="AL310" i="1"/>
  <c r="DJ234" i="123"/>
  <c r="DJ163" i="123"/>
  <c r="DJ186" i="123"/>
  <c r="AL331" i="1"/>
  <c r="AL307" i="1"/>
  <c r="DJ227" i="123"/>
  <c r="DJ160" i="123"/>
  <c r="DJ133" i="123"/>
  <c r="AL304" i="1"/>
  <c r="AL324" i="1"/>
  <c r="DJ192" i="123"/>
  <c r="AL289" i="1"/>
  <c r="DJ179" i="123"/>
  <c r="DJ156" i="123"/>
  <c r="AL266" i="1"/>
  <c r="AL314" i="1"/>
  <c r="DJ138" i="123"/>
  <c r="AL300" i="1"/>
  <c r="AL239" i="1"/>
  <c r="AL268" i="1"/>
  <c r="AL196" i="1"/>
  <c r="AL236" i="1"/>
  <c r="AL293" i="1"/>
  <c r="DJ193" i="123"/>
  <c r="AL185" i="1"/>
  <c r="AL180" i="1"/>
  <c r="AL233" i="1"/>
  <c r="AL232" i="1"/>
  <c r="DJ173" i="123"/>
  <c r="DJ146" i="123"/>
  <c r="DJ199" i="123"/>
  <c r="DJ136" i="123"/>
  <c r="DJ228" i="123"/>
  <c r="AL317" i="1"/>
  <c r="DJ157" i="123"/>
  <c r="AL179" i="1"/>
  <c r="DJ153" i="123"/>
  <c r="AL315" i="1"/>
  <c r="DJ165" i="123"/>
  <c r="AL198" i="1"/>
  <c r="AL204" i="1"/>
  <c r="AL199" i="1"/>
  <c r="AL278" i="1"/>
  <c r="AL229" i="1"/>
  <c r="DJ142" i="123"/>
  <c r="DJ188" i="123"/>
  <c r="GE33" i="98"/>
  <c r="AL288" i="1"/>
  <c r="DJ166" i="123"/>
  <c r="AL305" i="1"/>
  <c r="AL312" i="1"/>
  <c r="DJ169" i="123"/>
  <c r="DJ149" i="123"/>
  <c r="DJ197" i="123"/>
  <c r="AL297" i="1"/>
  <c r="AL274" i="1"/>
  <c r="AL303" i="1"/>
  <c r="DJ177" i="123"/>
  <c r="DJ141" i="123"/>
  <c r="AL175" i="1"/>
  <c r="AL225" i="1"/>
  <c r="AL265" i="1"/>
  <c r="DJ144" i="123"/>
  <c r="DJ151" i="123"/>
  <c r="DJ202" i="123"/>
  <c r="AL261" i="1"/>
  <c r="DJ205" i="123"/>
  <c r="AL306" i="1"/>
  <c r="AL279" i="1"/>
  <c r="AL284" i="1"/>
  <c r="DJ185" i="123"/>
  <c r="AL318" i="1"/>
  <c r="AL263" i="1"/>
  <c r="DJ147" i="123"/>
  <c r="AL321" i="1"/>
  <c r="AL340" i="1"/>
  <c r="DJ167" i="123"/>
  <c r="CU37" i="98" l="1"/>
  <c r="CU29" i="98"/>
  <c r="CU61" i="98"/>
  <c r="CU34" i="98"/>
  <c r="CU40" i="98"/>
  <c r="CU50" i="98"/>
  <c r="CU39" i="98"/>
  <c r="CU36" i="98"/>
  <c r="CU33" i="98"/>
  <c r="CU54" i="98"/>
  <c r="CU42" i="98"/>
  <c r="CU35" i="98"/>
  <c r="CU30" i="98"/>
  <c r="CU41" i="98"/>
  <c r="CU46" i="98"/>
  <c r="CU57" i="98"/>
  <c r="CU60" i="98"/>
  <c r="CU32" i="98"/>
  <c r="CU45" i="98"/>
  <c r="CU48" i="98"/>
  <c r="CU49" i="98"/>
  <c r="CU38" i="98"/>
  <c r="CU31" i="98"/>
  <c r="CU51" i="98"/>
  <c r="CU56" i="98"/>
  <c r="CU59" i="98"/>
  <c r="CU55" i="98"/>
  <c r="CU44" i="98"/>
  <c r="CU43" i="98"/>
  <c r="CU53" i="98"/>
  <c r="CU58" i="98"/>
  <c r="CU47" i="98"/>
  <c r="CU52" i="98"/>
  <c r="EN22" i="98"/>
  <c r="DJ119" i="123"/>
  <c r="AL163" i="1"/>
  <c r="F177" i="71"/>
  <c r="H177" i="71"/>
  <c r="CV56" i="98" l="1"/>
  <c r="GI56" i="98" s="1"/>
  <c r="CV55" i="98"/>
  <c r="GI55" i="98" s="1"/>
  <c r="CV31" i="98"/>
  <c r="GI31" i="98" s="1"/>
  <c r="CV33" i="98"/>
  <c r="GI33" i="98" s="1"/>
  <c r="CV74" i="98"/>
  <c r="GI74" i="98" s="1"/>
  <c r="CV34" i="98"/>
  <c r="GY34" i="98" s="1"/>
  <c r="CV73" i="98"/>
  <c r="GI73" i="98" s="1"/>
  <c r="CV85" i="98"/>
  <c r="GI85" i="98" s="1"/>
  <c r="CV88" i="98"/>
  <c r="GI88" i="98" s="1"/>
  <c r="CV32" i="98"/>
  <c r="GT32" i="98" s="1"/>
  <c r="CV91" i="98"/>
  <c r="GI91" i="98" s="1"/>
  <c r="CV30" i="98"/>
  <c r="GI30" i="98" s="1"/>
  <c r="CV61" i="98"/>
  <c r="GI61" i="98" s="1"/>
  <c r="CV67" i="98"/>
  <c r="GY67" i="98" s="1"/>
  <c r="CV94" i="98"/>
  <c r="GI94" i="98" s="1"/>
  <c r="CV90" i="98"/>
  <c r="GI90" i="98" s="1"/>
  <c r="CV82" i="98"/>
  <c r="GI82" i="98" s="1"/>
  <c r="CV60" i="98"/>
  <c r="GR60" i="98" s="1"/>
  <c r="CV62" i="98"/>
  <c r="GI62" i="98" s="1"/>
  <c r="CV42" i="98"/>
  <c r="GI42" i="98" s="1"/>
  <c r="CV92" i="98"/>
  <c r="GI92" i="98" s="1"/>
  <c r="CV86" i="98"/>
  <c r="GO86" i="98" s="1"/>
  <c r="CV53" i="98"/>
  <c r="GI53" i="98" s="1"/>
  <c r="CV49" i="98"/>
  <c r="GI49" i="98" s="1"/>
  <c r="CV89" i="98"/>
  <c r="GI89" i="98" s="1"/>
  <c r="CV52" i="98"/>
  <c r="GK52" i="98" s="1"/>
  <c r="CV70" i="98"/>
  <c r="GI70" i="98" s="1"/>
  <c r="CV41" i="98"/>
  <c r="GI41" i="98" s="1"/>
  <c r="CV79" i="98"/>
  <c r="GI79" i="98" s="1"/>
  <c r="CV40" i="98"/>
  <c r="GO40" i="98" s="1"/>
  <c r="CV36" i="98"/>
  <c r="GI36" i="98" s="1"/>
  <c r="CV37" i="98"/>
  <c r="GI37" i="98" s="1"/>
  <c r="CV35" i="98"/>
  <c r="GI35" i="98" s="1"/>
  <c r="CV59" i="98"/>
  <c r="GL59" i="98" s="1"/>
  <c r="CV80" i="98"/>
  <c r="GI80" i="98" s="1"/>
  <c r="CV71" i="98"/>
  <c r="GI71" i="98" s="1"/>
  <c r="CV29" i="98"/>
  <c r="GI29" i="98" s="1"/>
  <c r="CV44" i="98"/>
  <c r="GR44" i="98" s="1"/>
  <c r="CV81" i="98"/>
  <c r="GI81" i="98" s="1"/>
  <c r="CV87" i="98"/>
  <c r="GI87" i="98" s="1"/>
  <c r="CV46" i="98"/>
  <c r="GI46" i="98" s="1"/>
  <c r="CV69" i="98"/>
  <c r="GV69" i="98" s="1"/>
  <c r="CV43" i="98"/>
  <c r="GI43" i="98" s="1"/>
  <c r="CV48" i="98"/>
  <c r="GI48" i="98" s="1"/>
  <c r="CV93" i="98"/>
  <c r="GI93" i="98" s="1"/>
  <c r="CV57" i="98"/>
  <c r="GS57" i="98" s="1"/>
  <c r="CV45" i="98"/>
  <c r="GI45" i="98" s="1"/>
  <c r="CV38" i="98"/>
  <c r="GI38" i="98" s="1"/>
  <c r="CV78" i="98"/>
  <c r="GI78" i="98" s="1"/>
  <c r="CV65" i="98"/>
  <c r="GQ65" i="98" s="1"/>
  <c r="CV51" i="98"/>
  <c r="GI51" i="98" s="1"/>
  <c r="CV39" i="98"/>
  <c r="GI39" i="98" s="1"/>
  <c r="CV50" i="98"/>
  <c r="GI50" i="98" s="1"/>
  <c r="CV58" i="98"/>
  <c r="GV58" i="98" s="1"/>
  <c r="CV68" i="98"/>
  <c r="GI68" i="98" s="1"/>
  <c r="CV66" i="98"/>
  <c r="GI66" i="98" s="1"/>
  <c r="CV84" i="98"/>
  <c r="GI84" i="98" s="1"/>
  <c r="CV77" i="98"/>
  <c r="GW77" i="98" s="1"/>
  <c r="CV75" i="98"/>
  <c r="GI75" i="98" s="1"/>
  <c r="CV72" i="98"/>
  <c r="GI72" i="98" s="1"/>
  <c r="CV83" i="98"/>
  <c r="GI83" i="98" s="1"/>
  <c r="CV63" i="98"/>
  <c r="GL63" i="98" s="1"/>
  <c r="CV64" i="98"/>
  <c r="GI64" i="98" s="1"/>
  <c r="CV54" i="98"/>
  <c r="GI54" i="98" s="1"/>
  <c r="CV76" i="98"/>
  <c r="GI76" i="98" s="1"/>
  <c r="CV47" i="98"/>
  <c r="GW47" i="98" s="1"/>
  <c r="GR56" i="98" l="1"/>
  <c r="GT56" i="98"/>
  <c r="GP56" i="98"/>
  <c r="GY56" i="98"/>
  <c r="GQ56" i="98"/>
  <c r="GO56" i="98"/>
  <c r="GW56" i="98"/>
  <c r="GK56" i="98"/>
  <c r="GL56" i="98"/>
  <c r="GQ81" i="98"/>
  <c r="GM56" i="98"/>
  <c r="GN56" i="98"/>
  <c r="GV56" i="98"/>
  <c r="GS56" i="98"/>
  <c r="GN55" i="98"/>
  <c r="GO55" i="98"/>
  <c r="GK55" i="98"/>
  <c r="GS55" i="98"/>
  <c r="GW55" i="98"/>
  <c r="GM55" i="98"/>
  <c r="GQ55" i="98"/>
  <c r="GV55" i="98"/>
  <c r="GY55" i="98"/>
  <c r="GL55" i="98"/>
  <c r="GT55" i="98"/>
  <c r="GP55" i="98"/>
  <c r="GR55" i="98"/>
  <c r="GR31" i="98"/>
  <c r="GO94" i="98"/>
  <c r="GK73" i="98"/>
  <c r="GL80" i="98"/>
  <c r="GT89" i="98"/>
  <c r="GW74" i="98"/>
  <c r="GL64" i="98"/>
  <c r="GT91" i="98"/>
  <c r="GT73" i="98"/>
  <c r="GY73" i="98"/>
  <c r="GV31" i="98"/>
  <c r="GP31" i="98"/>
  <c r="GN94" i="98"/>
  <c r="GQ91" i="98"/>
  <c r="GT51" i="98"/>
  <c r="GR73" i="98"/>
  <c r="GL31" i="98"/>
  <c r="GW31" i="98"/>
  <c r="GS36" i="98"/>
  <c r="GK31" i="98"/>
  <c r="GN31" i="98"/>
  <c r="GR94" i="98"/>
  <c r="GK91" i="98"/>
  <c r="GR45" i="98"/>
  <c r="GS88" i="98"/>
  <c r="GN73" i="98"/>
  <c r="GO61" i="98"/>
  <c r="GN62" i="98"/>
  <c r="GO31" i="98"/>
  <c r="GM31" i="98"/>
  <c r="GQ31" i="98"/>
  <c r="GV94" i="98"/>
  <c r="GQ94" i="98"/>
  <c r="GM91" i="98"/>
  <c r="GL91" i="98"/>
  <c r="GS70" i="98"/>
  <c r="GK43" i="98"/>
  <c r="GO81" i="98"/>
  <c r="GP73" i="98"/>
  <c r="GQ73" i="98"/>
  <c r="GT53" i="98"/>
  <c r="GT64" i="98"/>
  <c r="GT31" i="98"/>
  <c r="GS31" i="98"/>
  <c r="GY31" i="98"/>
  <c r="GL94" i="98"/>
  <c r="GK94" i="98"/>
  <c r="GO91" i="98"/>
  <c r="GW91" i="98"/>
  <c r="GQ80" i="98"/>
  <c r="GM36" i="98"/>
  <c r="GS68" i="98"/>
  <c r="GN92" i="98"/>
  <c r="GV82" i="98"/>
  <c r="GM88" i="98"/>
  <c r="GM90" i="98"/>
  <c r="GW33" i="98"/>
  <c r="GK71" i="98"/>
  <c r="GR85" i="98"/>
  <c r="GM54" i="98"/>
  <c r="GY33" i="98"/>
  <c r="GR33" i="98"/>
  <c r="GV33" i="98"/>
  <c r="GW85" i="98"/>
  <c r="GT85" i="98"/>
  <c r="GR49" i="98"/>
  <c r="GV30" i="98"/>
  <c r="GK42" i="98"/>
  <c r="GK33" i="98"/>
  <c r="GN33" i="98"/>
  <c r="GQ33" i="98"/>
  <c r="GL85" i="98"/>
  <c r="GM72" i="98"/>
  <c r="GO39" i="98"/>
  <c r="GK41" i="98"/>
  <c r="GT33" i="98"/>
  <c r="GL33" i="98"/>
  <c r="GS85" i="98"/>
  <c r="GP85" i="98"/>
  <c r="GK87" i="98"/>
  <c r="GS61" i="98"/>
  <c r="GQ74" i="98"/>
  <c r="GO46" i="98"/>
  <c r="GQ82" i="98"/>
  <c r="GT88" i="98"/>
  <c r="GQ32" i="98"/>
  <c r="GS67" i="98"/>
  <c r="GT92" i="98"/>
  <c r="GP29" i="98"/>
  <c r="GS79" i="98"/>
  <c r="GL78" i="98"/>
  <c r="GO76" i="98"/>
  <c r="GR93" i="98"/>
  <c r="GL66" i="98"/>
  <c r="GM35" i="98"/>
  <c r="GQ38" i="98"/>
  <c r="GV86" i="98"/>
  <c r="GS63" i="98"/>
  <c r="GM34" i="98"/>
  <c r="GR34" i="98"/>
  <c r="GP32" i="98"/>
  <c r="GK60" i="98"/>
  <c r="GM63" i="98"/>
  <c r="GM77" i="98"/>
  <c r="GK34" i="98"/>
  <c r="GK32" i="98"/>
  <c r="GP47" i="98"/>
  <c r="GL69" i="98"/>
  <c r="GO34" i="98"/>
  <c r="GW34" i="98"/>
  <c r="GQ86" i="98"/>
  <c r="GR47" i="98"/>
  <c r="GL67" i="98"/>
  <c r="GT57" i="98"/>
  <c r="GL34" i="98"/>
  <c r="GO32" i="98"/>
  <c r="GM32" i="98"/>
  <c r="GP86" i="98"/>
  <c r="GY60" i="98"/>
  <c r="GP60" i="98"/>
  <c r="GL47" i="98"/>
  <c r="GY47" i="98"/>
  <c r="GR63" i="98"/>
  <c r="GR67" i="98"/>
  <c r="GK57" i="98"/>
  <c r="GN69" i="98"/>
  <c r="GT77" i="98"/>
  <c r="GP58" i="98"/>
  <c r="GR40" i="98"/>
  <c r="GM52" i="98"/>
  <c r="GR32" i="98"/>
  <c r="GN86" i="98"/>
  <c r="GQ60" i="98"/>
  <c r="GS60" i="98"/>
  <c r="GS47" i="98"/>
  <c r="GN63" i="98"/>
  <c r="GW63" i="98"/>
  <c r="GO67" i="98"/>
  <c r="GK67" i="98"/>
  <c r="GQ57" i="98"/>
  <c r="GY69" i="98"/>
  <c r="GQ58" i="98"/>
  <c r="GS52" i="98"/>
  <c r="GT44" i="98"/>
  <c r="GR86" i="98"/>
  <c r="GV60" i="98"/>
  <c r="GQ63" i="98"/>
  <c r="GV67" i="98"/>
  <c r="GP57" i="98"/>
  <c r="GL82" i="98"/>
  <c r="GY61" i="98"/>
  <c r="GK92" i="98"/>
  <c r="GW76" i="98"/>
  <c r="GV83" i="98"/>
  <c r="GM74" i="98"/>
  <c r="GY74" i="98"/>
  <c r="GR29" i="98"/>
  <c r="GY93" i="98"/>
  <c r="GQ46" i="98"/>
  <c r="GP84" i="98"/>
  <c r="GW79" i="98"/>
  <c r="GK82" i="98"/>
  <c r="GP88" i="98"/>
  <c r="GV61" i="98"/>
  <c r="GL61" i="98"/>
  <c r="GN89" i="98"/>
  <c r="GL92" i="98"/>
  <c r="GY76" i="98"/>
  <c r="GM83" i="98"/>
  <c r="GO74" i="98"/>
  <c r="GK74" i="98"/>
  <c r="GM29" i="98"/>
  <c r="GK93" i="98"/>
  <c r="GW46" i="98"/>
  <c r="GR50" i="98"/>
  <c r="GT35" i="98"/>
  <c r="GO79" i="98"/>
  <c r="GN76" i="98"/>
  <c r="GR83" i="98"/>
  <c r="GT74" i="98"/>
  <c r="GY29" i="98"/>
  <c r="GS84" i="98"/>
  <c r="GY35" i="98"/>
  <c r="GL79" i="98"/>
  <c r="GL75" i="98"/>
  <c r="GN84" i="98"/>
  <c r="GS50" i="98"/>
  <c r="GR78" i="98"/>
  <c r="GV84" i="98"/>
  <c r="GN50" i="98"/>
  <c r="GV78" i="98"/>
  <c r="GM78" i="98"/>
  <c r="GI47" i="98"/>
  <c r="GQ47" i="98"/>
  <c r="GM47" i="98"/>
  <c r="GV47" i="98"/>
  <c r="GO47" i="98"/>
  <c r="GN47" i="98"/>
  <c r="GT47" i="98"/>
  <c r="GK47" i="98"/>
  <c r="GI63" i="98"/>
  <c r="GK63" i="98"/>
  <c r="GT63" i="98"/>
  <c r="GV63" i="98"/>
  <c r="GO63" i="98"/>
  <c r="GY63" i="98"/>
  <c r="GP63" i="98"/>
  <c r="GI77" i="98"/>
  <c r="GQ77" i="98"/>
  <c r="GR77" i="98"/>
  <c r="GO77" i="98"/>
  <c r="GK77" i="98"/>
  <c r="GN77" i="98"/>
  <c r="GL77" i="98"/>
  <c r="GY77" i="98"/>
  <c r="GI58" i="98"/>
  <c r="GO58" i="98"/>
  <c r="GK58" i="98"/>
  <c r="GY58" i="98"/>
  <c r="GL58" i="98"/>
  <c r="GT58" i="98"/>
  <c r="GS58" i="98"/>
  <c r="GI65" i="98"/>
  <c r="GM65" i="98"/>
  <c r="GV65" i="98"/>
  <c r="GT65" i="98"/>
  <c r="GR65" i="98"/>
  <c r="GO65" i="98"/>
  <c r="GS65" i="98"/>
  <c r="GW65" i="98"/>
  <c r="GL65" i="98"/>
  <c r="GK65" i="98"/>
  <c r="GN65" i="98"/>
  <c r="GI57" i="98"/>
  <c r="GL57" i="98"/>
  <c r="GV57" i="98"/>
  <c r="GW57" i="98"/>
  <c r="GM57" i="98"/>
  <c r="GR57" i="98"/>
  <c r="GY57" i="98"/>
  <c r="GO57" i="98"/>
  <c r="GI69" i="98"/>
  <c r="GP69" i="98"/>
  <c r="GS69" i="98"/>
  <c r="GR69" i="98"/>
  <c r="GK69" i="98"/>
  <c r="GT69" i="98"/>
  <c r="GO69" i="98"/>
  <c r="GW69" i="98"/>
  <c r="GI44" i="98"/>
  <c r="GN44" i="98"/>
  <c r="GY44" i="98"/>
  <c r="GK44" i="98"/>
  <c r="GS44" i="98"/>
  <c r="GV44" i="98"/>
  <c r="GO44" i="98"/>
  <c r="GW44" i="98"/>
  <c r="GL44" i="98"/>
  <c r="GM44" i="98"/>
  <c r="GI59" i="98"/>
  <c r="GW59" i="98"/>
  <c r="GS59" i="98"/>
  <c r="GT59" i="98"/>
  <c r="GR59" i="98"/>
  <c r="GV59" i="98"/>
  <c r="GK59" i="98"/>
  <c r="GQ59" i="98"/>
  <c r="GO59" i="98"/>
  <c r="GN59" i="98"/>
  <c r="GM59" i="98"/>
  <c r="GI40" i="98"/>
  <c r="GY40" i="98"/>
  <c r="GK40" i="98"/>
  <c r="GW40" i="98"/>
  <c r="GL40" i="98"/>
  <c r="GV40" i="98"/>
  <c r="GP40" i="98"/>
  <c r="GM40" i="98"/>
  <c r="GI52" i="98"/>
  <c r="GO52" i="98"/>
  <c r="GQ52" i="98"/>
  <c r="GT52" i="98"/>
  <c r="GP52" i="98"/>
  <c r="GR52" i="98"/>
  <c r="GW52" i="98"/>
  <c r="GY52" i="98"/>
  <c r="GI86" i="98"/>
  <c r="GK86" i="98"/>
  <c r="GS86" i="98"/>
  <c r="GM86" i="98"/>
  <c r="GY86" i="98"/>
  <c r="GT86" i="98"/>
  <c r="GW86" i="98"/>
  <c r="GL86" i="98"/>
  <c r="GI60" i="98"/>
  <c r="GN60" i="98"/>
  <c r="GW60" i="98"/>
  <c r="GO60" i="98"/>
  <c r="GL60" i="98"/>
  <c r="GT60" i="98"/>
  <c r="GM60" i="98"/>
  <c r="GI67" i="98"/>
  <c r="GQ67" i="98"/>
  <c r="GW67" i="98"/>
  <c r="GM67" i="98"/>
  <c r="GP67" i="98"/>
  <c r="GN67" i="98"/>
  <c r="GT67" i="98"/>
  <c r="GI32" i="98"/>
  <c r="GN32" i="98"/>
  <c r="GS32" i="98"/>
  <c r="GV32" i="98"/>
  <c r="GL32" i="98"/>
  <c r="GW32" i="98"/>
  <c r="GY32" i="98"/>
  <c r="GI34" i="98"/>
  <c r="GS34" i="98"/>
  <c r="GQ34" i="98"/>
  <c r="GN34" i="98"/>
  <c r="GT34" i="98"/>
  <c r="GP34" i="98"/>
  <c r="GV34" i="98"/>
  <c r="GS77" i="98"/>
  <c r="GV77" i="98"/>
  <c r="GM58" i="98"/>
  <c r="GR58" i="98"/>
  <c r="GT40" i="98"/>
  <c r="GS40" i="98"/>
  <c r="GV52" i="98"/>
  <c r="GN52" i="98"/>
  <c r="GQ44" i="98"/>
  <c r="GP65" i="98"/>
  <c r="GY59" i="98"/>
  <c r="GN57" i="98"/>
  <c r="GM69" i="98"/>
  <c r="GQ69" i="98"/>
  <c r="GP77" i="98"/>
  <c r="GW58" i="98"/>
  <c r="GN58" i="98"/>
  <c r="GN40" i="98"/>
  <c r="GQ40" i="98"/>
  <c r="GL52" i="98"/>
  <c r="GP44" i="98"/>
  <c r="GY65" i="98"/>
  <c r="GP59" i="98"/>
  <c r="GS82" i="98"/>
  <c r="GT82" i="98"/>
  <c r="GN88" i="98"/>
  <c r="GL88" i="98"/>
  <c r="GT61" i="98"/>
  <c r="GV89" i="98"/>
  <c r="GR89" i="98"/>
  <c r="GW92" i="98"/>
  <c r="GS92" i="98"/>
  <c r="GS76" i="98"/>
  <c r="GT83" i="98"/>
  <c r="GP83" i="98"/>
  <c r="GR74" i="98"/>
  <c r="GS74" i="98"/>
  <c r="GV74" i="98"/>
  <c r="GK29" i="98"/>
  <c r="GL93" i="98"/>
  <c r="GK46" i="98"/>
  <c r="GW84" i="98"/>
  <c r="GP50" i="98"/>
  <c r="GL50" i="98"/>
  <c r="GR35" i="98"/>
  <c r="GV35" i="98"/>
  <c r="GN79" i="98"/>
  <c r="GS78" i="98"/>
  <c r="GK89" i="98"/>
  <c r="GW89" i="98"/>
  <c r="GM92" i="98"/>
  <c r="GM76" i="98"/>
  <c r="GP76" i="98"/>
  <c r="GS83" i="98"/>
  <c r="GK83" i="98"/>
  <c r="GL74" i="98"/>
  <c r="GP74" i="98"/>
  <c r="GN74" i="98"/>
  <c r="GS29" i="98"/>
  <c r="GL29" i="98"/>
  <c r="GQ93" i="98"/>
  <c r="GO93" i="98"/>
  <c r="GN46" i="98"/>
  <c r="GT46" i="98"/>
  <c r="GL84" i="98"/>
  <c r="GM50" i="98"/>
  <c r="GL35" i="98"/>
  <c r="GK35" i="98"/>
  <c r="GY79" i="98"/>
  <c r="GT79" i="98"/>
  <c r="GY78" i="98"/>
  <c r="GY85" i="98"/>
  <c r="GM85" i="98"/>
  <c r="GN85" i="98"/>
  <c r="GL49" i="98"/>
  <c r="GQ42" i="98"/>
  <c r="GQ72" i="98"/>
  <c r="GT30" i="98"/>
  <c r="GS71" i="98"/>
  <c r="GY48" i="98"/>
  <c r="GQ87" i="98"/>
  <c r="GR39" i="98"/>
  <c r="GQ37" i="98"/>
  <c r="GO41" i="98"/>
  <c r="GR38" i="98"/>
  <c r="GT42" i="98"/>
  <c r="GV54" i="98"/>
  <c r="GS90" i="98"/>
  <c r="GK30" i="98"/>
  <c r="GM48" i="98"/>
  <c r="GO66" i="98"/>
  <c r="GN39" i="98"/>
  <c r="GW37" i="98"/>
  <c r="GR41" i="98"/>
  <c r="GY38" i="98"/>
  <c r="GS33" i="98"/>
  <c r="GO33" i="98"/>
  <c r="GP33" i="98"/>
  <c r="GM33" i="98"/>
  <c r="GV85" i="98"/>
  <c r="GQ85" i="98"/>
  <c r="GK85" i="98"/>
  <c r="GO85" i="98"/>
  <c r="GK49" i="98"/>
  <c r="GO42" i="98"/>
  <c r="GK54" i="98"/>
  <c r="GL72" i="98"/>
  <c r="GW90" i="98"/>
  <c r="GY30" i="98"/>
  <c r="GQ71" i="98"/>
  <c r="GO48" i="98"/>
  <c r="GR87" i="98"/>
  <c r="GM66" i="98"/>
  <c r="GL37" i="98"/>
  <c r="GS41" i="98"/>
  <c r="GO38" i="98"/>
  <c r="GW82" i="98"/>
  <c r="GR82" i="98"/>
  <c r="GM82" i="98"/>
  <c r="GK88" i="98"/>
  <c r="GW88" i="98"/>
  <c r="GO88" i="98"/>
  <c r="GV88" i="98"/>
  <c r="GO73" i="98"/>
  <c r="GS73" i="98"/>
  <c r="GM73" i="98"/>
  <c r="GN61" i="98"/>
  <c r="GW61" i="98"/>
  <c r="GR61" i="98"/>
  <c r="GQ89" i="98"/>
  <c r="GM89" i="98"/>
  <c r="GS89" i="98"/>
  <c r="GY89" i="98"/>
  <c r="GO53" i="98"/>
  <c r="GY92" i="98"/>
  <c r="GQ92" i="98"/>
  <c r="GR92" i="98"/>
  <c r="GR62" i="98"/>
  <c r="GT76" i="98"/>
  <c r="GR76" i="98"/>
  <c r="GK76" i="98"/>
  <c r="GY64" i="98"/>
  <c r="GQ83" i="98"/>
  <c r="GN83" i="98"/>
  <c r="GL83" i="98"/>
  <c r="GW94" i="98"/>
  <c r="GS94" i="98"/>
  <c r="GY94" i="98"/>
  <c r="GR91" i="98"/>
  <c r="GN91" i="98"/>
  <c r="GV91" i="98"/>
  <c r="GO70" i="98"/>
  <c r="GT29" i="98"/>
  <c r="GN29" i="98"/>
  <c r="GW29" i="98"/>
  <c r="GW80" i="98"/>
  <c r="GN45" i="98"/>
  <c r="GM93" i="98"/>
  <c r="GV93" i="98"/>
  <c r="GT93" i="98"/>
  <c r="GO43" i="98"/>
  <c r="GV46" i="98"/>
  <c r="GP46" i="98"/>
  <c r="GM46" i="98"/>
  <c r="GM75" i="98"/>
  <c r="GK84" i="98"/>
  <c r="GO84" i="98"/>
  <c r="GT84" i="98"/>
  <c r="GR68" i="98"/>
  <c r="GY50" i="98"/>
  <c r="GW50" i="98"/>
  <c r="GT50" i="98"/>
  <c r="GR51" i="98"/>
  <c r="GQ35" i="98"/>
  <c r="GS35" i="98"/>
  <c r="GP35" i="98"/>
  <c r="GR79" i="98"/>
  <c r="GP79" i="98"/>
  <c r="GV79" i="98"/>
  <c r="GT81" i="98"/>
  <c r="GQ78" i="98"/>
  <c r="GN78" i="98"/>
  <c r="GW78" i="98"/>
  <c r="GP78" i="98"/>
  <c r="GP82" i="98"/>
  <c r="GN82" i="98"/>
  <c r="GO82" i="98"/>
  <c r="GY82" i="98"/>
  <c r="GQ88" i="98"/>
  <c r="GY88" i="98"/>
  <c r="GR88" i="98"/>
  <c r="GL73" i="98"/>
  <c r="GW73" i="98"/>
  <c r="GV73" i="98"/>
  <c r="GM61" i="98"/>
  <c r="GK61" i="98"/>
  <c r="GQ61" i="98"/>
  <c r="GP61" i="98"/>
  <c r="GO89" i="98"/>
  <c r="GL89" i="98"/>
  <c r="GP89" i="98"/>
  <c r="GR53" i="98"/>
  <c r="GP92" i="98"/>
  <c r="GO92" i="98"/>
  <c r="GV92" i="98"/>
  <c r="GL62" i="98"/>
  <c r="GV76" i="98"/>
  <c r="GQ76" i="98"/>
  <c r="GL76" i="98"/>
  <c r="GY83" i="98"/>
  <c r="GO83" i="98"/>
  <c r="GW83" i="98"/>
  <c r="GM94" i="98"/>
  <c r="GT94" i="98"/>
  <c r="GP94" i="98"/>
  <c r="GP91" i="98"/>
  <c r="GS91" i="98"/>
  <c r="GY91" i="98"/>
  <c r="GN70" i="98"/>
  <c r="GQ29" i="98"/>
  <c r="GV29" i="98"/>
  <c r="GO29" i="98"/>
  <c r="GW45" i="98"/>
  <c r="GN93" i="98"/>
  <c r="GP93" i="98"/>
  <c r="GW93" i="98"/>
  <c r="GS93" i="98"/>
  <c r="GP43" i="98"/>
  <c r="GS46" i="98"/>
  <c r="GL46" i="98"/>
  <c r="GY46" i="98"/>
  <c r="GR46" i="98"/>
  <c r="GR75" i="98"/>
  <c r="GQ84" i="98"/>
  <c r="GR84" i="98"/>
  <c r="GM84" i="98"/>
  <c r="GY84" i="98"/>
  <c r="GN68" i="98"/>
  <c r="GK50" i="98"/>
  <c r="GO50" i="98"/>
  <c r="GV50" i="98"/>
  <c r="GQ50" i="98"/>
  <c r="GS51" i="98"/>
  <c r="GO35" i="98"/>
  <c r="GW35" i="98"/>
  <c r="GN35" i="98"/>
  <c r="GW36" i="98"/>
  <c r="GM79" i="98"/>
  <c r="GQ79" i="98"/>
  <c r="GK79" i="98"/>
  <c r="GO78" i="98"/>
  <c r="GK78" i="98"/>
  <c r="GT78" i="98"/>
  <c r="GM49" i="98"/>
  <c r="GS49" i="98"/>
  <c r="GT49" i="98"/>
  <c r="GW49" i="98"/>
  <c r="GN49" i="98"/>
  <c r="GO49" i="98"/>
  <c r="GV42" i="98"/>
  <c r="GN42" i="98"/>
  <c r="GL42" i="98"/>
  <c r="GS54" i="98"/>
  <c r="GY54" i="98"/>
  <c r="GL54" i="98"/>
  <c r="GO54" i="98"/>
  <c r="GR72" i="98"/>
  <c r="GN72" i="98"/>
  <c r="GW72" i="98"/>
  <c r="GR90" i="98"/>
  <c r="GP90" i="98"/>
  <c r="GL90" i="98"/>
  <c r="GR30" i="98"/>
  <c r="GO30" i="98"/>
  <c r="GW30" i="98"/>
  <c r="GW71" i="98"/>
  <c r="GO71" i="98"/>
  <c r="GY71" i="98"/>
  <c r="GW48" i="98"/>
  <c r="GV48" i="98"/>
  <c r="GQ48" i="98"/>
  <c r="GT48" i="98"/>
  <c r="GW87" i="98"/>
  <c r="GP87" i="98"/>
  <c r="GY87" i="98"/>
  <c r="GY66" i="98"/>
  <c r="GV66" i="98"/>
  <c r="GT66" i="98"/>
  <c r="GQ66" i="98"/>
  <c r="GV39" i="98"/>
  <c r="GS39" i="98"/>
  <c r="GP39" i="98"/>
  <c r="GN37" i="98"/>
  <c r="GK37" i="98"/>
  <c r="GR37" i="98"/>
  <c r="GT41" i="98"/>
  <c r="GW41" i="98"/>
  <c r="GV41" i="98"/>
  <c r="GN38" i="98"/>
  <c r="GV38" i="98"/>
  <c r="GS38" i="98"/>
  <c r="GY49" i="98"/>
  <c r="GP49" i="98"/>
  <c r="GV49" i="98"/>
  <c r="GQ49" i="98"/>
  <c r="GW42" i="98"/>
  <c r="GP42" i="98"/>
  <c r="GM42" i="98"/>
  <c r="GT54" i="98"/>
  <c r="GQ54" i="98"/>
  <c r="GP54" i="98"/>
  <c r="GP72" i="98"/>
  <c r="GY72" i="98"/>
  <c r="GS72" i="98"/>
  <c r="GO72" i="98"/>
  <c r="GV90" i="98"/>
  <c r="GN90" i="98"/>
  <c r="GO90" i="98"/>
  <c r="GP30" i="98"/>
  <c r="GL30" i="98"/>
  <c r="GQ30" i="98"/>
  <c r="GL71" i="98"/>
  <c r="GN71" i="98"/>
  <c r="GT71" i="98"/>
  <c r="GS48" i="98"/>
  <c r="GL48" i="98"/>
  <c r="GR48" i="98"/>
  <c r="GM87" i="98"/>
  <c r="GL87" i="98"/>
  <c r="GN87" i="98"/>
  <c r="GT87" i="98"/>
  <c r="GN66" i="98"/>
  <c r="GW66" i="98"/>
  <c r="GR66" i="98"/>
  <c r="GL39" i="98"/>
  <c r="GK39" i="98"/>
  <c r="GQ39" i="98"/>
  <c r="GM39" i="98"/>
  <c r="GV37" i="98"/>
  <c r="GS37" i="98"/>
  <c r="GM37" i="98"/>
  <c r="GM41" i="98"/>
  <c r="GY41" i="98"/>
  <c r="GL41" i="98"/>
  <c r="GL38" i="98"/>
  <c r="GP38" i="98"/>
  <c r="GK38" i="98"/>
  <c r="GS42" i="98"/>
  <c r="GR42" i="98"/>
  <c r="GY42" i="98"/>
  <c r="GR54" i="98"/>
  <c r="GW54" i="98"/>
  <c r="GN54" i="98"/>
  <c r="GK72" i="98"/>
  <c r="GV72" i="98"/>
  <c r="GT72" i="98"/>
  <c r="GQ90" i="98"/>
  <c r="GT90" i="98"/>
  <c r="GY90" i="98"/>
  <c r="GK90" i="98"/>
  <c r="GM30" i="98"/>
  <c r="GS30" i="98"/>
  <c r="GN30" i="98"/>
  <c r="GR71" i="98"/>
  <c r="GM71" i="98"/>
  <c r="GP71" i="98"/>
  <c r="GV71" i="98"/>
  <c r="GK48" i="98"/>
  <c r="GN48" i="98"/>
  <c r="GP48" i="98"/>
  <c r="GO87" i="98"/>
  <c r="GS87" i="98"/>
  <c r="GV87" i="98"/>
  <c r="GS66" i="98"/>
  <c r="GP66" i="98"/>
  <c r="GK66" i="98"/>
  <c r="GW39" i="98"/>
  <c r="GT39" i="98"/>
  <c r="GY39" i="98"/>
  <c r="GY37" i="98"/>
  <c r="GP37" i="98"/>
  <c r="GT37" i="98"/>
  <c r="GO37" i="98"/>
  <c r="GQ41" i="98"/>
  <c r="GN41" i="98"/>
  <c r="GP41" i="98"/>
  <c r="GW38" i="98"/>
  <c r="GM38" i="98"/>
  <c r="GT38" i="98"/>
  <c r="GV53" i="98"/>
  <c r="GP53" i="98"/>
  <c r="GK53" i="98"/>
  <c r="GY53" i="98"/>
  <c r="GQ62" i="98"/>
  <c r="GV62" i="98"/>
  <c r="GW62" i="98"/>
  <c r="GR64" i="98"/>
  <c r="GK64" i="98"/>
  <c r="GM64" i="98"/>
  <c r="GL70" i="98"/>
  <c r="GM70" i="98"/>
  <c r="GQ70" i="98"/>
  <c r="GS80" i="98"/>
  <c r="GO80" i="98"/>
  <c r="GT80" i="98"/>
  <c r="GM45" i="98"/>
  <c r="GV45" i="98"/>
  <c r="GS45" i="98"/>
  <c r="GL43" i="98"/>
  <c r="GQ43" i="98"/>
  <c r="GW43" i="98"/>
  <c r="GT75" i="98"/>
  <c r="GQ75" i="98"/>
  <c r="GO75" i="98"/>
  <c r="GK68" i="98"/>
  <c r="GP68" i="98"/>
  <c r="GY68" i="98"/>
  <c r="GK51" i="98"/>
  <c r="GY51" i="98"/>
  <c r="GN51" i="98"/>
  <c r="GT36" i="98"/>
  <c r="GY36" i="98"/>
  <c r="GL36" i="98"/>
  <c r="GK81" i="98"/>
  <c r="GV81" i="98"/>
  <c r="GS81" i="98"/>
  <c r="GM53" i="98"/>
  <c r="GW53" i="98"/>
  <c r="GN53" i="98"/>
  <c r="GY62" i="98"/>
  <c r="GS62" i="98"/>
  <c r="GK62" i="98"/>
  <c r="GP62" i="98"/>
  <c r="GS64" i="98"/>
  <c r="GV64" i="98"/>
  <c r="GW64" i="98"/>
  <c r="GT70" i="98"/>
  <c r="GR70" i="98"/>
  <c r="GW70" i="98"/>
  <c r="GR80" i="98"/>
  <c r="GN80" i="98"/>
  <c r="GY80" i="98"/>
  <c r="GP80" i="98"/>
  <c r="GO45" i="98"/>
  <c r="GP45" i="98"/>
  <c r="GK45" i="98"/>
  <c r="GN43" i="98"/>
  <c r="GS43" i="98"/>
  <c r="GV43" i="98"/>
  <c r="GP75" i="98"/>
  <c r="GY75" i="98"/>
  <c r="GN75" i="98"/>
  <c r="GV68" i="98"/>
  <c r="GQ68" i="98"/>
  <c r="GO68" i="98"/>
  <c r="GM51" i="98"/>
  <c r="GO51" i="98"/>
  <c r="GL51" i="98"/>
  <c r="GK36" i="98"/>
  <c r="GO36" i="98"/>
  <c r="GP36" i="98"/>
  <c r="GQ36" i="98"/>
  <c r="GR81" i="98"/>
  <c r="GW81" i="98"/>
  <c r="GL81" i="98"/>
  <c r="GL53" i="98"/>
  <c r="GQ53" i="98"/>
  <c r="GS53" i="98"/>
  <c r="GT62" i="98"/>
  <c r="GO62" i="98"/>
  <c r="GM62" i="98"/>
  <c r="GO64" i="98"/>
  <c r="GP64" i="98"/>
  <c r="GN64" i="98"/>
  <c r="GQ64" i="98"/>
  <c r="GK70" i="98"/>
  <c r="GV70" i="98"/>
  <c r="GY70" i="98"/>
  <c r="GP70" i="98"/>
  <c r="GK80" i="98"/>
  <c r="GV80" i="98"/>
  <c r="GM80" i="98"/>
  <c r="GQ45" i="98"/>
  <c r="GL45" i="98"/>
  <c r="GT45" i="98"/>
  <c r="GY45" i="98"/>
  <c r="GY43" i="98"/>
  <c r="GR43" i="98"/>
  <c r="GM43" i="98"/>
  <c r="GT43" i="98"/>
  <c r="GV75" i="98"/>
  <c r="GS75" i="98"/>
  <c r="GK75" i="98"/>
  <c r="GW75" i="98"/>
  <c r="GW68" i="98"/>
  <c r="GL68" i="98"/>
  <c r="GM68" i="98"/>
  <c r="GT68" i="98"/>
  <c r="GW51" i="98"/>
  <c r="GP51" i="98"/>
  <c r="GV51" i="98"/>
  <c r="GQ51" i="98"/>
  <c r="GR36" i="98"/>
  <c r="GV36" i="98"/>
  <c r="GN36" i="98"/>
  <c r="GN81" i="98"/>
  <c r="GM81" i="98"/>
  <c r="GY81" i="98"/>
  <c r="GP81" i="9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Matthews, Nick J (SKM)</author>
  </authors>
  <commentList>
    <comment ref="S66" authorId="0" shapeId="0" xr:uid="{00000000-0006-0000-0600-000001000000}">
      <text>
        <r>
          <rPr>
            <b/>
            <sz val="9"/>
            <color indexed="81"/>
            <rFont val="Tahoma"/>
            <family val="2"/>
          </rPr>
          <t>PC Charges that accrue to the project itself (as a non-labor cost only item).  Varies by country and zero in US (where PC Charges accrue at the PU level, not at the project level).</t>
        </r>
      </text>
    </comment>
    <comment ref="H68" authorId="0" shapeId="0" xr:uid="{00000000-0006-0000-0600-000002000000}">
      <text>
        <r>
          <rPr>
            <sz val="9"/>
            <color indexed="81"/>
            <rFont val="Tahoma"/>
            <family val="2"/>
          </rPr>
          <t>Contract staff paid by an external agency generally have higher raw rates (because these already include some overhead) and lower (or zero) burden.</t>
        </r>
      </text>
    </comment>
    <comment ref="S68" authorId="0" shapeId="0" xr:uid="{00000000-0006-0000-0600-000003000000}">
      <text>
        <r>
          <rPr>
            <b/>
            <sz val="9"/>
            <color indexed="81"/>
            <rFont val="Tahoma"/>
            <family val="2"/>
          </rPr>
          <t>Jacobs internal pricing rate for India resources</t>
        </r>
      </text>
    </comment>
    <comment ref="H70" authorId="0" shapeId="0" xr:uid="{00000000-0006-0000-0600-000004000000}">
      <text>
        <r>
          <rPr>
            <sz val="9"/>
            <color indexed="81"/>
            <rFont val="Tahoma"/>
            <family val="2"/>
          </rPr>
          <t>Long term seconded to site (not applicable to regular staff making occasional site visits)</t>
        </r>
      </text>
    </comment>
    <comment ref="H72" authorId="0" shapeId="0" xr:uid="{00000000-0006-0000-0600-000005000000}">
      <text>
        <r>
          <rPr>
            <sz val="9"/>
            <color indexed="81"/>
            <rFont val="Tahoma"/>
            <family val="2"/>
          </rPr>
          <t>'Labor Benefits Only' have fewer benefits than regular staff and therefore lower burden.
Not applicable to all regions.</t>
        </r>
      </text>
    </comment>
    <comment ref="H74" authorId="0" shapeId="0" xr:uid="{00000000-0006-0000-0600-000006000000}">
      <text>
        <r>
          <rPr>
            <sz val="9"/>
            <color indexed="81"/>
            <rFont val="Tahoma"/>
            <family val="2"/>
          </rPr>
          <t>Generally lower burden rate applied to overtime payments.</t>
        </r>
      </text>
    </comment>
    <comment ref="H76" authorId="0" shapeId="0" xr:uid="{00000000-0006-0000-0600-000007000000}">
      <text>
        <r>
          <rPr>
            <sz val="9"/>
            <color indexed="81"/>
            <rFont val="Tahoma"/>
            <family val="2"/>
          </rPr>
          <t>Generally lower burden rate applied to the uplift portion only.</t>
        </r>
      </text>
    </comment>
    <comment ref="BA92" authorId="0" shapeId="0" xr:uid="{00000000-0006-0000-0600-000008000000}">
      <text>
        <r>
          <rPr>
            <b/>
            <sz val="9"/>
            <color indexed="81"/>
            <rFont val="Tahoma"/>
            <family val="2"/>
          </rPr>
          <t>Multiplier = Revenue / Raw Cost</t>
        </r>
      </text>
    </comment>
    <comment ref="BB92" authorId="0" shapeId="0" xr:uid="{00000000-0006-0000-0600-000009000000}">
      <text>
        <r>
          <rPr>
            <b/>
            <sz val="9"/>
            <color indexed="81"/>
            <rFont val="Tahoma"/>
            <family val="2"/>
          </rPr>
          <t>Direct Labor Yield = Revenue / Burdened Cost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Matthews, Nick J (SKM)</author>
  </authors>
  <commentList>
    <comment ref="HE34" authorId="0" shapeId="0" xr:uid="{00000000-0006-0000-0700-000001000000}">
      <text>
        <r>
          <rPr>
            <sz val="9"/>
            <color indexed="81"/>
            <rFont val="Tahoma"/>
            <family val="2"/>
          </rPr>
          <t>Excludes GID and Non-Jacobs (3rd party) hours</t>
        </r>
      </text>
    </comment>
    <comment ref="HW61" authorId="0" shapeId="0" xr:uid="{00000000-0006-0000-0700-000002000000}">
      <text>
        <r>
          <rPr>
            <b/>
            <sz val="9"/>
            <color indexed="81"/>
            <rFont val="Tahoma"/>
            <family val="2"/>
          </rPr>
          <t xml:space="preserve">Project Team Group:
</t>
        </r>
        <r>
          <rPr>
            <sz val="9"/>
            <color indexed="81"/>
            <rFont val="Tahoma"/>
            <family val="2"/>
          </rPr>
          <t>This user-defined field is used in conjunction with tab "3c Plan Analysis" for analysing the breakdown of the Project Plan</t>
        </r>
      </text>
    </comment>
    <comment ref="HZ61" authorId="0" shapeId="0" xr:uid="{00000000-0006-0000-0700-000003000000}">
      <text>
        <r>
          <rPr>
            <b/>
            <sz val="9"/>
            <color indexed="81"/>
            <rFont val="Tahoma"/>
            <family val="2"/>
          </rPr>
          <t xml:space="preserve">Role:
</t>
        </r>
        <r>
          <rPr>
            <sz val="9"/>
            <color indexed="81"/>
            <rFont val="Tahoma"/>
            <family val="2"/>
          </rPr>
          <t>This field is carried across to the Project Plan tabs</t>
        </r>
      </text>
    </comment>
    <comment ref="IA62" authorId="0" shapeId="0" xr:uid="{00000000-0006-0000-0700-000005000000}">
      <text>
        <r>
          <rPr>
            <b/>
            <sz val="9"/>
            <color indexed="81"/>
            <rFont val="Tahoma"/>
            <family val="2"/>
          </rPr>
          <t xml:space="preserve">This is the key entry field on the Staff Plan tab.  If you do not yet know the exact person, then enter some placeholder text.
</t>
        </r>
      </text>
    </comment>
    <comment ref="II62" authorId="0" shapeId="0" xr:uid="{00000000-0006-0000-0700-000006000000}">
      <text>
        <r>
          <rPr>
            <sz val="9"/>
            <color indexed="81"/>
            <rFont val="Tahoma"/>
            <family val="2"/>
          </rPr>
          <t>If you want to apply a Correction Factor to the Approx Rates (in order to remove the accurate rates from the tool), refer to the User Guide section 2.10</t>
        </r>
      </text>
    </comment>
    <comment ref="IK62" authorId="0" shapeId="0" xr:uid="{00000000-0006-0000-0700-000007000000}">
      <text>
        <r>
          <rPr>
            <sz val="9"/>
            <color indexed="81"/>
            <rFont val="Tahoma"/>
            <family val="2"/>
          </rPr>
          <t xml:space="preserve">Currency that a resource's raw rate is expressed in (determined by the allocated home PU for the resource).  If the raw rate for a foreign resource is already expressed in the project currency, then over-ride this field back to the project currency.
</t>
        </r>
      </text>
    </comment>
    <comment ref="IP62" authorId="0" shapeId="0" xr:uid="{00000000-0006-0000-0700-000008000000}">
      <text>
        <r>
          <rPr>
            <sz val="9"/>
            <color indexed="81"/>
            <rFont val="Tahoma"/>
            <family val="2"/>
          </rPr>
          <t>Overhead burdens are based on the person's staff type and their country of origin.  Lookup source data for the Host Country can be amended on the Setup tab.  To amend data for foreign staff, unhide the "Country Data"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Matthews, Nick</author>
    <author>Matthews, Nick J (SKM)</author>
  </authors>
  <commentList>
    <comment ref="P119" authorId="0" shapeId="0" xr:uid="{159401EA-B5E7-4D81-BA76-FAA1FF1AE70A}">
      <text>
        <r>
          <rPr>
            <sz val="9"/>
            <color indexed="81"/>
            <rFont val="Tahoma"/>
            <family val="2"/>
          </rPr>
          <t xml:space="preserve">This is the blanket amount based on the original scope (including fee if applicable).  Additional Labor Contingency can be specified as a line item.
</t>
        </r>
      </text>
    </comment>
    <comment ref="Q120" authorId="0" shapeId="0" xr:uid="{979D2BE6-4772-4845-877D-4D2A2725C774}">
      <text>
        <r>
          <rPr>
            <sz val="9"/>
            <color indexed="81"/>
            <rFont val="Tahoma"/>
            <family val="2"/>
          </rPr>
          <t>This is the blanket amount.  Additional Non-Labor Contingency can be specified as a line item.</t>
        </r>
      </text>
    </comment>
    <comment ref="Q121" authorId="0" shapeId="0" xr:uid="{B7F893E0-11DD-4262-818A-A42E807FE38E}">
      <text>
        <r>
          <rPr>
            <sz val="9"/>
            <color indexed="81"/>
            <rFont val="Tahoma"/>
            <family val="2"/>
          </rPr>
          <t>This is the blanket amount.  Additional Cost Reserve can be specified as a line item.</t>
        </r>
      </text>
    </comment>
    <comment ref="Q122" authorId="0" shapeId="0" xr:uid="{7258B005-9FF0-4ABC-B319-DF4937EA0E98}">
      <text>
        <r>
          <rPr>
            <sz val="9"/>
            <color indexed="81"/>
            <rFont val="Tahoma"/>
            <family val="2"/>
          </rPr>
          <t>This is the fee for the original scope.  Additional fee for contract changes must be specified as a new line item.  You can choose to roll this into the same or a different WBS code on the Control Accounts tab.</t>
        </r>
      </text>
    </comment>
    <comment ref="Q123" authorId="0" shapeId="0" xr:uid="{4FFBAD60-6BD8-4882-B200-433E7C1C50D0}">
      <text>
        <r>
          <rPr>
            <sz val="9"/>
            <color indexed="81"/>
            <rFont val="Tahoma"/>
            <family val="2"/>
          </rPr>
          <t>These are individual plan line items, specified in the main part of the plan template (below) and assigned to a WBS Code beginning with S, R, U, V, W or Z.</t>
        </r>
      </text>
    </comment>
    <comment ref="S125" authorId="0" shapeId="0" xr:uid="{50A09118-4AF9-45CA-8DBC-404553307712}">
      <text>
        <r>
          <rPr>
            <sz val="9"/>
            <color indexed="81"/>
            <rFont val="Tahoma"/>
            <family val="2"/>
          </rPr>
          <t xml:space="preserve">Includes Hourly Computer Charges
(if applicable)
</t>
        </r>
      </text>
    </comment>
    <comment ref="B126" authorId="1" shapeId="0" xr:uid="{00000000-0006-0000-0800-000004000000}">
      <text>
        <r>
          <rPr>
            <sz val="9"/>
            <color indexed="81"/>
            <rFont val="Tahoma"/>
            <family val="2"/>
          </rPr>
          <t>Used for last minute adjustments by senior management.</t>
        </r>
      </text>
    </comment>
    <comment ref="C126" authorId="1" shapeId="0" xr:uid="{00000000-0006-0000-0800-000005000000}">
      <text>
        <r>
          <rPr>
            <sz val="9"/>
            <color indexed="81"/>
            <rFont val="Tahoma"/>
            <family val="2"/>
          </rPr>
          <t>Project Phase or Section must first be defined on the 3c Plan Analysis tab.  This function is used for breaking down the bid in different ways - typically to fill in bid schedules required by the client.</t>
        </r>
      </text>
    </comment>
    <comment ref="F126" authorId="1" shapeId="0" xr:uid="{00000000-0006-0000-0800-000006000000}">
      <text>
        <r>
          <rPr>
            <sz val="9"/>
            <color indexed="81"/>
            <rFont val="Tahoma"/>
            <family val="2"/>
          </rPr>
          <t>For Bids, only the "Option" status is used.  The remaining change statuses are used during delivery</t>
        </r>
      </text>
    </comment>
    <comment ref="J126" authorId="1" shapeId="0" xr:uid="{00000000-0006-0000-0800-000007000000}">
      <text>
        <r>
          <rPr>
            <sz val="9"/>
            <color indexed="81"/>
            <rFont val="Tahoma"/>
            <family val="2"/>
          </rPr>
          <t>Yellow Cell warning means that the WBS Code does not exist on the Control Accounts tab</t>
        </r>
      </text>
    </comment>
    <comment ref="EG126" authorId="0" shapeId="0" xr:uid="{00000000-0006-0000-0800-000008000000}">
      <text>
        <r>
          <rPr>
            <sz val="9"/>
            <color indexed="81"/>
            <rFont val="Tahoma"/>
            <family val="2"/>
          </rPr>
          <t>For the weekly calendar this date should be the last day of the week (a Friday).
For the monthly calendar, this date should be the middle
 of the month</t>
        </r>
      </text>
    </comment>
    <comment ref="DV127" authorId="1" shapeId="0" xr:uid="{00000000-0006-0000-0800-000009000000}">
      <text>
        <r>
          <rPr>
            <sz val="9"/>
            <color indexed="81"/>
            <rFont val="Tahoma"/>
            <family val="2"/>
          </rPr>
          <t>Enter total cost.
This is then timephased against weeks (or months) using the entries in the calendar section.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Matthews, Nick</author>
    <author>Matthews, Nick J (SKM)</author>
  </authors>
  <commentList>
    <comment ref="P163" authorId="0" shapeId="0" xr:uid="{7CD64268-6302-4D7A-8816-F935FAFBFDE5}">
      <text>
        <r>
          <rPr>
            <sz val="9"/>
            <color indexed="81"/>
            <rFont val="Tahoma"/>
            <family val="2"/>
          </rPr>
          <t>This is the blanket amount based on the original scope (including fee if applicable).  Additional Labor Contingency can be specified as a line item.</t>
        </r>
      </text>
    </comment>
    <comment ref="Q164" authorId="0" shapeId="0" xr:uid="{A8DA8E9B-8036-45C0-9976-2D3D3A10F1DB}">
      <text>
        <r>
          <rPr>
            <sz val="9"/>
            <color indexed="81"/>
            <rFont val="Tahoma"/>
            <family val="2"/>
          </rPr>
          <t>This is the blanket amount.  Additional Non-Labor Contingency can be specified as a line item.</t>
        </r>
      </text>
    </comment>
    <comment ref="Q165" authorId="0" shapeId="0" xr:uid="{D43A83A3-73CF-4E64-8A12-73F9CC72E014}">
      <text>
        <r>
          <rPr>
            <sz val="9"/>
            <color indexed="81"/>
            <rFont val="Tahoma"/>
            <family val="2"/>
          </rPr>
          <t>This is the blanket amount.  Additional Cost Reserve can be specified as a line item.</t>
        </r>
      </text>
    </comment>
    <comment ref="Q166" authorId="0" shapeId="0" xr:uid="{61BA3249-0601-43F5-BD1D-CF9F3D8CF16D}">
      <text>
        <r>
          <rPr>
            <sz val="9"/>
            <color indexed="81"/>
            <rFont val="Tahoma"/>
            <family val="2"/>
          </rPr>
          <t>This is the fee for the original scope.  Additional fee for contract changes must be specified as a new line item.  You can choose to roll this into the same or a different WBS code on the Control Accounts tab.</t>
        </r>
      </text>
    </comment>
    <comment ref="Q167" authorId="0" shapeId="0" xr:uid="{CAB017F4-4434-4ABE-A44E-EAF042F7D0C0}">
      <text>
        <r>
          <rPr>
            <sz val="9"/>
            <color indexed="81"/>
            <rFont val="Tahoma"/>
            <family val="2"/>
          </rPr>
          <t>These are individual plan line items, specified in the main part of the plan template (below) and assigned to a WBS Code beginning with S, R, U, V, W or Z</t>
        </r>
      </text>
    </comment>
    <comment ref="S169" authorId="0" shapeId="0" xr:uid="{A3AE22FE-A241-4FA5-958C-DC33E016F51E}">
      <text>
        <r>
          <rPr>
            <sz val="9"/>
            <color indexed="81"/>
            <rFont val="Tahoma"/>
            <family val="2"/>
          </rPr>
          <t xml:space="preserve">Includes Hourly Computer Charges
(if applicable)
</t>
        </r>
      </text>
    </comment>
    <comment ref="B170" authorId="1" shapeId="0" xr:uid="{00000000-0006-0000-0900-000004000000}">
      <text>
        <r>
          <rPr>
            <sz val="9"/>
            <color indexed="81"/>
            <rFont val="Tahoma"/>
            <family val="2"/>
          </rPr>
          <t>Used for last minute adjustments by senior management.</t>
        </r>
      </text>
    </comment>
    <comment ref="C170" authorId="1" shapeId="0" xr:uid="{00000000-0006-0000-0900-000005000000}">
      <text>
        <r>
          <rPr>
            <sz val="9"/>
            <color indexed="81"/>
            <rFont val="Tahoma"/>
            <family val="2"/>
          </rPr>
          <t>Project Phase or Section must first be defined on the 3c Plan Analysis tab.  This function is used for breaking down the bid in different ways - typically to fill in bid schedules required by the client.</t>
        </r>
      </text>
    </comment>
    <comment ref="F170" authorId="1" shapeId="0" xr:uid="{00000000-0006-0000-0900-000006000000}">
      <text>
        <r>
          <rPr>
            <sz val="9"/>
            <color indexed="81"/>
            <rFont val="Tahoma"/>
            <family val="2"/>
          </rPr>
          <t>In the proposal phase, only the "Option" status is used.  The remaining change statuses are used during delivery</t>
        </r>
      </text>
    </comment>
    <comment ref="J170" authorId="1" shapeId="0" xr:uid="{00000000-0006-0000-0900-000007000000}">
      <text>
        <r>
          <rPr>
            <sz val="9"/>
            <color indexed="81"/>
            <rFont val="Tahoma"/>
            <family val="2"/>
          </rPr>
          <t>Yellow Cell warning means that the WBS Code does not exist on the Control Accounts tab.  Orange warning means that a wrong WBS type has be chosen (Labor/Non-Labor)</t>
        </r>
      </text>
    </comment>
    <comment ref="GT170" authorId="1" shapeId="0" xr:uid="{00000000-0006-0000-0900-000008000000}">
      <text>
        <r>
          <rPr>
            <sz val="9"/>
            <color indexed="81"/>
            <rFont val="Tahoma"/>
            <family val="2"/>
          </rPr>
          <t>For the weekly calendar this date should be the last day of the week (a Friday).
For the monthly calendar, this date should be the middle of the month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Matthews, Nick</author>
  </authors>
  <commentList>
    <comment ref="H116" authorId="0" shapeId="0" xr:uid="{00000000-0006-0000-0B00-000002000000}">
      <text>
        <r>
          <rPr>
            <sz val="9"/>
            <color indexed="81"/>
            <rFont val="Tahoma"/>
            <family val="2"/>
          </rPr>
          <t>Includes contingency hours</t>
        </r>
      </text>
    </comment>
    <comment ref="K151" authorId="0" shapeId="0" xr:uid="{00000000-0006-0000-0B00-000003000000}">
      <text>
        <r>
          <rPr>
            <sz val="9"/>
            <color indexed="81"/>
            <rFont val="Tahoma"/>
            <family val="2"/>
          </rPr>
          <t xml:space="preserve">For setting up GFS refer to the GFS Rates Setup Data form on the RHS of the Staff List tab
</t>
        </r>
      </text>
    </comment>
    <comment ref="M152" authorId="0" shapeId="0" xr:uid="{00000000-0006-0000-0B00-000004000000}">
      <text>
        <r>
          <rPr>
            <sz val="9"/>
            <color indexed="81"/>
            <rFont val="Tahoma"/>
            <family val="2"/>
          </rPr>
          <t>Pure labor margin excluding non-labor contributions</t>
        </r>
      </text>
    </comment>
    <comment ref="O152" authorId="0" shapeId="0" xr:uid="{00000000-0006-0000-0B00-000005000000}">
      <text>
        <r>
          <rPr>
            <sz val="9"/>
            <color indexed="81"/>
            <rFont val="Tahoma"/>
            <family val="2"/>
          </rPr>
          <t>Direct Labor Yield = Revenue / Burdened Cost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Matthews, Nick J (SKM)</author>
  </authors>
  <commentList>
    <comment ref="GC27" authorId="0" shapeId="0" xr:uid="{00000000-0006-0000-0C00-000001000000}">
      <text>
        <r>
          <rPr>
            <b/>
            <sz val="9"/>
            <color indexed="81"/>
            <rFont val="Tahoma"/>
            <family val="2"/>
          </rPr>
          <t xml:space="preserve">Note:
</t>
        </r>
        <r>
          <rPr>
            <sz val="9"/>
            <color indexed="81"/>
            <rFont val="Tahoma"/>
            <family val="2"/>
          </rPr>
          <t>This figure uses total project hours (including India, Non-Jacobs, etc), so it may differ from the signed-off amount.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Matthews, Nick</author>
  </authors>
  <commentList>
    <comment ref="BQ25" authorId="0" shapeId="0" xr:uid="{00000000-0006-0000-0D00-000001000000}">
      <text>
        <r>
          <rPr>
            <sz val="9"/>
            <color indexed="81"/>
            <rFont val="Tahoma"/>
            <family val="2"/>
          </rPr>
          <t>Can be any character string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Corrigan, Patrick</author>
  </authors>
  <commentList>
    <comment ref="B1" authorId="0" shapeId="0" xr:uid="{00000000-0006-0000-1600-000001000000}">
      <text>
        <r>
          <rPr>
            <b/>
            <sz val="9"/>
            <color indexed="81"/>
            <rFont val="Tahoma"/>
            <family val="2"/>
          </rPr>
          <t>Free text entry but must be unique within project root</t>
        </r>
      </text>
    </comment>
    <comment ref="C1" authorId="0" shapeId="0" xr:uid="{00000000-0006-0000-1600-000002000000}">
      <text>
        <r>
          <rPr>
            <b/>
            <sz val="9"/>
            <color indexed="81"/>
            <rFont val="Tahoma"/>
            <family val="2"/>
          </rPr>
          <t>Free text entry</t>
        </r>
      </text>
    </comment>
    <comment ref="D1" authorId="0" shapeId="0" xr:uid="{00000000-0006-0000-1600-000003000000}">
      <text>
        <r>
          <rPr>
            <b/>
            <sz val="9"/>
            <color indexed="81"/>
            <rFont val="Tahoma"/>
            <family val="2"/>
          </rPr>
          <t>Free text entry</t>
        </r>
      </text>
    </comment>
    <comment ref="E1" authorId="0" shapeId="0" xr:uid="{00000000-0006-0000-1600-000004000000}">
      <text>
        <r>
          <rPr>
            <b/>
            <sz val="9"/>
            <color indexed="81"/>
            <rFont val="Tahoma"/>
            <family val="2"/>
          </rPr>
          <t>Picklist.  Only acceptable values as of March 2018 are EXTERNAL or INTERNAL</t>
        </r>
      </text>
    </comment>
    <comment ref="F1" authorId="0" shapeId="0" xr:uid="{00000000-0006-0000-1600-000005000000}">
      <text>
        <r>
          <rPr>
            <b/>
            <sz val="9"/>
            <color indexed="81"/>
            <rFont val="Tahoma"/>
            <family val="2"/>
          </rPr>
          <t>Numeric entry only</t>
        </r>
      </text>
    </comment>
    <comment ref="G1" authorId="0" shapeId="0" xr:uid="{00000000-0006-0000-1600-000006000000}">
      <text>
        <r>
          <rPr>
            <b/>
            <sz val="9"/>
            <color indexed="81"/>
            <rFont val="Tahoma"/>
            <family val="2"/>
          </rPr>
          <t>Numeric entry only</t>
        </r>
      </text>
    </comment>
    <comment ref="H1" authorId="0" shapeId="0" xr:uid="{00000000-0006-0000-1600-000007000000}">
      <text>
        <r>
          <rPr>
            <b/>
            <sz val="9"/>
            <color indexed="81"/>
            <rFont val="Tahoma"/>
            <family val="2"/>
          </rPr>
          <t>Free text entry</t>
        </r>
      </text>
    </comment>
    <comment ref="I1" authorId="0" shapeId="0" xr:uid="{00000000-0006-0000-1600-000008000000}">
      <text>
        <r>
          <rPr>
            <b/>
            <sz val="9"/>
            <color indexed="81"/>
            <rFont val="Tahoma"/>
            <family val="2"/>
          </rPr>
          <t>Free text entry</t>
        </r>
      </text>
    </comment>
    <comment ref="J1" authorId="0" shapeId="0" xr:uid="{00000000-0006-0000-1600-000009000000}">
      <text>
        <r>
          <rPr>
            <b/>
            <sz val="9"/>
            <color indexed="81"/>
            <rFont val="Tahoma"/>
            <family val="2"/>
          </rPr>
          <t>Free text entry</t>
        </r>
      </text>
    </comment>
    <comment ref="K1" authorId="0" shapeId="0" xr:uid="{00000000-0006-0000-1600-00000A000000}">
      <text>
        <r>
          <rPr>
            <b/>
            <sz val="9"/>
            <color indexed="81"/>
            <rFont val="Tahoma"/>
            <family val="2"/>
          </rPr>
          <t>Free text entry</t>
        </r>
      </text>
    </comment>
    <comment ref="L1" authorId="0" shapeId="0" xr:uid="{00000000-0006-0000-1600-00000B000000}">
      <text>
        <r>
          <rPr>
            <b/>
            <sz val="9"/>
            <color indexed="81"/>
            <rFont val="Tahoma"/>
            <family val="2"/>
          </rPr>
          <t>Free text entry</t>
        </r>
      </text>
    </comment>
    <comment ref="M1" authorId="0" shapeId="0" xr:uid="{00000000-0006-0000-1600-00000C000000}">
      <text>
        <r>
          <rPr>
            <b/>
            <sz val="9"/>
            <color indexed="81"/>
            <rFont val="Tahoma"/>
            <family val="2"/>
          </rPr>
          <t>Free text entry</t>
        </r>
      </text>
    </comment>
    <comment ref="N1" authorId="0" shapeId="0" xr:uid="{00000000-0006-0000-1600-00000D000000}">
      <text>
        <r>
          <rPr>
            <b/>
            <sz val="9"/>
            <color indexed="81"/>
            <rFont val="Tahoma"/>
            <family val="2"/>
          </rPr>
          <t>Free text entry</t>
        </r>
      </text>
    </comment>
    <comment ref="O1" authorId="0" shapeId="0" xr:uid="{00000000-0006-0000-1600-00000E000000}">
      <text>
        <r>
          <rPr>
            <b/>
            <sz val="9"/>
            <color indexed="81"/>
            <rFont val="Tahoma"/>
            <family val="2"/>
          </rPr>
          <t>Date format 2018-1-31</t>
        </r>
      </text>
    </comment>
    <comment ref="P1" authorId="0" shapeId="0" xr:uid="{00000000-0006-0000-1600-00000F000000}">
      <text>
        <r>
          <rPr>
            <b/>
            <sz val="9"/>
            <color indexed="81"/>
            <rFont val="Tahoma"/>
            <family val="2"/>
          </rPr>
          <t>Date format 2018-1-31</t>
        </r>
      </text>
    </comment>
    <comment ref="Q1" authorId="0" shapeId="0" xr:uid="{00000000-0006-0000-1600-000010000000}">
      <text>
        <r>
          <rPr>
            <b/>
            <sz val="9"/>
            <color indexed="81"/>
            <rFont val="Tahoma"/>
            <family val="2"/>
          </rPr>
          <t>Date format 2018-1-31</t>
        </r>
      </text>
    </comment>
    <comment ref="R1" authorId="0" shapeId="0" xr:uid="{00000000-0006-0000-1600-000011000000}">
      <text>
        <r>
          <rPr>
            <b/>
            <sz val="9"/>
            <color indexed="81"/>
            <rFont val="Tahoma"/>
            <family val="2"/>
          </rPr>
          <t>Date format 2018-1-31</t>
        </r>
      </text>
    </comment>
    <comment ref="S1" authorId="0" shapeId="0" xr:uid="{00000000-0006-0000-1600-000012000000}">
      <text>
        <r>
          <rPr>
            <b/>
            <sz val="9"/>
            <color indexed="81"/>
            <rFont val="Tahoma"/>
            <family val="2"/>
          </rPr>
          <t>Date format 2018-1-31</t>
        </r>
      </text>
    </comment>
    <comment ref="T1" authorId="0" shapeId="0" xr:uid="{00000000-0006-0000-1600-000013000000}">
      <text>
        <r>
          <rPr>
            <b/>
            <sz val="9"/>
            <color indexed="81"/>
            <rFont val="Tahoma"/>
            <family val="2"/>
          </rPr>
          <t>Date format 2018-1-31</t>
        </r>
      </text>
    </comment>
    <comment ref="U1" authorId="0" shapeId="0" xr:uid="{00000000-0006-0000-1600-000014000000}">
      <text>
        <r>
          <rPr>
            <b/>
            <sz val="9"/>
            <color indexed="81"/>
            <rFont val="Tahoma"/>
            <family val="2"/>
          </rPr>
          <t>Date format 2018-1-31</t>
        </r>
      </text>
    </comment>
    <comment ref="V1" authorId="0" shapeId="0" xr:uid="{00000000-0006-0000-1600-000015000000}">
      <text>
        <r>
          <rPr>
            <b/>
            <sz val="9"/>
            <color indexed="81"/>
            <rFont val="Tahoma"/>
            <family val="2"/>
          </rPr>
          <t>Free text entry</t>
        </r>
      </text>
    </comment>
    <comment ref="W1" authorId="0" shapeId="0" xr:uid="{00000000-0006-0000-1600-000016000000}">
      <text>
        <r>
          <rPr>
            <b/>
            <sz val="9"/>
            <color indexed="81"/>
            <rFont val="Tahoma"/>
            <family val="2"/>
          </rPr>
          <t>Free text entry</t>
        </r>
      </text>
    </comment>
    <comment ref="X1" authorId="0" shapeId="0" xr:uid="{00000000-0006-0000-1600-000017000000}">
      <text>
        <r>
          <rPr>
            <b/>
            <sz val="9"/>
            <color indexed="81"/>
            <rFont val="Tahoma"/>
            <family val="2"/>
          </rPr>
          <t>Picklist.  See IPCS for acceptable values.</t>
        </r>
      </text>
    </comment>
    <comment ref="Y1" authorId="0" shapeId="0" xr:uid="{00000000-0006-0000-1600-000018000000}">
      <text>
        <r>
          <rPr>
            <b/>
            <sz val="9"/>
            <color indexed="81"/>
            <rFont val="Tahoma"/>
            <family val="2"/>
          </rPr>
          <t>Free text entry</t>
        </r>
      </text>
    </comment>
    <comment ref="Z1" authorId="0" shapeId="0" xr:uid="{00000000-0006-0000-1600-000019000000}">
      <text>
        <r>
          <rPr>
            <b/>
            <sz val="9"/>
            <color indexed="81"/>
            <rFont val="Tahoma"/>
            <family val="2"/>
          </rPr>
          <t>Picklist.  Only acceptabe values as of March 2018 are HIGH, MEDIUM, LOW</t>
        </r>
      </text>
    </comment>
    <comment ref="AA1" authorId="0" shapeId="0" xr:uid="{00000000-0006-0000-1600-00001A000000}">
      <text>
        <r>
          <rPr>
            <b/>
            <sz val="9"/>
            <color indexed="81"/>
            <rFont val="Tahoma"/>
            <family val="2"/>
          </rPr>
          <t>Picklist.  Only acceptable values as of March 2018 are ELECTIVE or REQUIRED</t>
        </r>
      </text>
    </comment>
    <comment ref="AB1" authorId="0" shapeId="0" xr:uid="{00000000-0006-0000-1600-00001B000000}">
      <text>
        <r>
          <rPr>
            <b/>
            <sz val="9"/>
            <color indexed="81"/>
            <rFont val="Tahoma"/>
            <family val="2"/>
          </rPr>
          <t>Picklist.  Only acceptable values as of March 2018 are HOME or FIELD</t>
        </r>
      </text>
    </comment>
    <comment ref="AC1" authorId="0" shapeId="0" xr:uid="{00000000-0006-0000-1600-00001C000000}">
      <text>
        <r>
          <rPr>
            <b/>
            <sz val="9"/>
            <color indexed="81"/>
            <rFont val="Tahoma"/>
            <family val="2"/>
          </rPr>
          <t>Picklist.  Only acceptabe values as of March 2018 are HIGH, MEDIUM, LOW</t>
        </r>
      </text>
    </comment>
    <comment ref="AD1" authorId="0" shapeId="0" xr:uid="{00000000-0006-0000-1600-00001D000000}">
      <text>
        <r>
          <rPr>
            <b/>
            <sz val="9"/>
            <color indexed="81"/>
            <rFont val="Tahoma"/>
            <family val="2"/>
          </rPr>
          <t>Picklist.  Only acceptable values as of March 2018 are Y or 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Corrigan, Patrick</author>
  </authors>
  <commentList>
    <comment ref="B1" authorId="0" shapeId="0" xr:uid="{00000000-0006-0000-1700-000001000000}">
      <text>
        <r>
          <rPr>
            <b/>
            <sz val="9"/>
            <color indexed="81"/>
            <rFont val="Tahoma"/>
            <family val="2"/>
          </rPr>
          <t>Free text entry but must be unique within project root</t>
        </r>
      </text>
    </comment>
    <comment ref="C1" authorId="0" shapeId="0" xr:uid="{00000000-0006-0000-1700-000002000000}">
      <text>
        <r>
          <rPr>
            <b/>
            <sz val="9"/>
            <color indexed="81"/>
            <rFont val="Tahoma"/>
            <family val="2"/>
          </rPr>
          <t>Fully qualified with the project and suffix i.e. 123456.78.A.P4.CE.001.</t>
        </r>
      </text>
    </comment>
    <comment ref="D1" authorId="0" shapeId="0" xr:uid="{00000000-0006-0000-1700-000003000000}">
      <text>
        <r>
          <rPr>
            <b/>
            <sz val="9"/>
            <color indexed="81"/>
            <rFont val="Tahoma"/>
            <family val="2"/>
          </rPr>
          <t>Date format 2018-1-10 for example</t>
        </r>
      </text>
    </comment>
    <comment ref="E1" authorId="0" shapeId="0" xr:uid="{00000000-0006-0000-1700-000004000000}">
      <text>
        <r>
          <rPr>
            <b/>
            <sz val="9"/>
            <color indexed="81"/>
            <rFont val="Tahoma"/>
            <family val="2"/>
          </rPr>
          <t>Date format 2018-1-10 for example</t>
        </r>
      </text>
    </comment>
    <comment ref="F1" authorId="0" shapeId="0" xr:uid="{00000000-0006-0000-1700-000005000000}">
      <text>
        <r>
          <rPr>
            <b/>
            <sz val="9"/>
            <color indexed="81"/>
            <rFont val="Tahoma"/>
            <family val="2"/>
          </rPr>
          <t>Picklist.  LIN, BEL, FRN, BCK, and MAN are the valid values as of March 2018.</t>
        </r>
      </text>
    </comment>
    <comment ref="G1" authorId="0" shapeId="0" xr:uid="{00000000-0006-0000-1700-000006000000}">
      <text>
        <r>
          <rPr>
            <b/>
            <sz val="9"/>
            <color indexed="81"/>
            <rFont val="Tahoma"/>
            <family val="2"/>
          </rPr>
          <t>Free text entry</t>
        </r>
      </text>
    </comment>
    <comment ref="H1" authorId="0" shapeId="0" xr:uid="{00000000-0006-0000-1700-000007000000}">
      <text>
        <r>
          <rPr>
            <b/>
            <sz val="9"/>
            <color indexed="81"/>
            <rFont val="Tahoma"/>
            <family val="2"/>
          </rPr>
          <t>Free text entry</t>
        </r>
      </text>
    </comment>
    <comment ref="I1" authorId="0" shapeId="0" xr:uid="{00000000-0006-0000-1700-000008000000}">
      <text>
        <r>
          <rPr>
            <b/>
            <sz val="9"/>
            <color indexed="81"/>
            <rFont val="Tahoma"/>
            <family val="2"/>
          </rPr>
          <t>Must be numeric</t>
        </r>
      </text>
    </comment>
    <comment ref="J1" authorId="0" shapeId="0" xr:uid="{00000000-0006-0000-1700-000009000000}">
      <text>
        <r>
          <rPr>
            <b/>
            <sz val="9"/>
            <color indexed="81"/>
            <rFont val="Tahoma"/>
            <family val="2"/>
          </rPr>
          <t>Picklist.  See IPCS for valid values.</t>
        </r>
      </text>
    </comment>
    <comment ref="K1" authorId="0" shapeId="0" xr:uid="{00000000-0006-0000-1700-00000A000000}">
      <text>
        <r>
          <rPr>
            <b/>
            <sz val="9"/>
            <color indexed="81"/>
            <rFont val="Tahoma"/>
            <family val="2"/>
          </rPr>
          <t>Must be numeric</t>
        </r>
      </text>
    </comment>
    <comment ref="L1" authorId="0" shapeId="0" xr:uid="{00000000-0006-0000-1700-00000B000000}">
      <text>
        <r>
          <rPr>
            <b/>
            <sz val="9"/>
            <color indexed="81"/>
            <rFont val="Tahoma"/>
            <family val="2"/>
          </rPr>
          <t>Must be numeric</t>
        </r>
      </text>
    </comment>
    <comment ref="M1" authorId="0" shapeId="0" xr:uid="{00000000-0006-0000-1700-00000C000000}">
      <text>
        <r>
          <rPr>
            <b/>
            <sz val="9"/>
            <color indexed="81"/>
            <rFont val="Tahoma"/>
            <family val="2"/>
          </rPr>
          <t>Picklist.  See IPCS for valid values.</t>
        </r>
      </text>
    </comment>
    <comment ref="N1" authorId="0" shapeId="0" xr:uid="{00000000-0006-0000-1700-00000D000000}">
      <text>
        <r>
          <rPr>
            <b/>
            <sz val="9"/>
            <color indexed="81"/>
            <rFont val="Tahoma"/>
            <family val="2"/>
          </rPr>
          <t>Date format 11/Jan/2017 for example</t>
        </r>
      </text>
    </comment>
    <comment ref="O1" authorId="0" shapeId="0" xr:uid="{00000000-0006-0000-1700-00000E000000}">
      <text>
        <r>
          <rPr>
            <b/>
            <sz val="9"/>
            <color indexed="81"/>
            <rFont val="Tahoma"/>
            <family val="2"/>
          </rPr>
          <t>Must be numeric</t>
        </r>
      </text>
    </comment>
    <comment ref="P1" authorId="0" shapeId="0" xr:uid="{00000000-0006-0000-1700-00000F000000}">
      <text>
        <r>
          <rPr>
            <b/>
            <sz val="9"/>
            <color indexed="81"/>
            <rFont val="Tahoma"/>
            <family val="2"/>
          </rPr>
          <t>Must be numeric</t>
        </r>
      </text>
    </comment>
    <comment ref="Q1" authorId="0" shapeId="0" xr:uid="{00000000-0006-0000-1700-000010000000}">
      <text>
        <r>
          <rPr>
            <b/>
            <sz val="9"/>
            <color indexed="81"/>
            <rFont val="Tahoma"/>
            <family val="2"/>
          </rPr>
          <t>Must be numeric</t>
        </r>
      </text>
    </comment>
    <comment ref="R1" authorId="0" shapeId="0" xr:uid="{00000000-0006-0000-1700-000011000000}">
      <text>
        <r>
          <rPr>
            <b/>
            <sz val="9"/>
            <color indexed="81"/>
            <rFont val="Tahoma"/>
            <family val="2"/>
          </rPr>
          <t>Free text entry</t>
        </r>
      </text>
    </comment>
  </commentList>
</comments>
</file>

<file path=xl/sharedStrings.xml><?xml version="1.0" encoding="utf-8"?>
<sst xmlns="http://schemas.openxmlformats.org/spreadsheetml/2006/main" count="9118" uniqueCount="4414">
  <si>
    <t>Comments</t>
  </si>
  <si>
    <t>Hours</t>
  </si>
  <si>
    <t>USD</t>
  </si>
  <si>
    <t>AUD</t>
  </si>
  <si>
    <t>Client:</t>
  </si>
  <si>
    <t xml:space="preserve"> </t>
  </si>
  <si>
    <t>Summary Level</t>
  </si>
  <si>
    <t>2.2.1</t>
  </si>
  <si>
    <t>2.2.2</t>
  </si>
  <si>
    <t>Name</t>
  </si>
  <si>
    <t>MYR</t>
  </si>
  <si>
    <t>NZD</t>
  </si>
  <si>
    <t>1.1.1</t>
  </si>
  <si>
    <t>Hours Multiplier</t>
  </si>
  <si>
    <t>Role</t>
  </si>
  <si>
    <t>PM</t>
  </si>
  <si>
    <t>Description</t>
  </si>
  <si>
    <t>Amount Requested</t>
  </si>
  <si>
    <t>Change Request Details</t>
  </si>
  <si>
    <t>Short Name</t>
  </si>
  <si>
    <t>Change Log</t>
  </si>
  <si>
    <t>Approval 
Status</t>
  </si>
  <si>
    <t>Date 
Approved</t>
  </si>
  <si>
    <t>Approved Amount</t>
  </si>
  <si>
    <t xml:space="preserve">Client:  </t>
  </si>
  <si>
    <t xml:space="preserve">Project:  </t>
  </si>
  <si>
    <t xml:space="preserve">Job No:  </t>
  </si>
  <si>
    <t>P</t>
  </si>
  <si>
    <t>Expense Multiplier</t>
  </si>
  <si>
    <t>Gross
Margin</t>
  </si>
  <si>
    <t>Gross Margin</t>
  </si>
  <si>
    <t>Revenue</t>
  </si>
  <si>
    <t>1.2.1</t>
  </si>
  <si>
    <t>1.2.2</t>
  </si>
  <si>
    <t>2.2.3</t>
  </si>
  <si>
    <t>2.3.1</t>
  </si>
  <si>
    <t>2.4.1</t>
  </si>
  <si>
    <t>2.6.1</t>
  </si>
  <si>
    <t>India</t>
  </si>
  <si>
    <t>Cost</t>
  </si>
  <si>
    <t>PHP</t>
  </si>
  <si>
    <t>Country</t>
  </si>
  <si>
    <t>CNY</t>
  </si>
  <si>
    <t>EUR</t>
  </si>
  <si>
    <t>GBP</t>
  </si>
  <si>
    <t>HKD</t>
  </si>
  <si>
    <t>Malaysia</t>
  </si>
  <si>
    <t>Philippines</t>
  </si>
  <si>
    <t>SGD</t>
  </si>
  <si>
    <t>Singapore</t>
  </si>
  <si>
    <t>THB</t>
  </si>
  <si>
    <t>Thailand</t>
  </si>
  <si>
    <t>B</t>
  </si>
  <si>
    <t>Indonesia</t>
  </si>
  <si>
    <t>Currency</t>
  </si>
  <si>
    <t>WBS Level 1 Code</t>
  </si>
  <si>
    <t>WBS Level 2 Code</t>
  </si>
  <si>
    <t>Hrs/Week</t>
  </si>
  <si>
    <t>Normal</t>
  </si>
  <si>
    <t>Stretched</t>
  </si>
  <si>
    <t>Mode</t>
  </si>
  <si>
    <t>1</t>
  </si>
  <si>
    <t>2</t>
  </si>
  <si>
    <t>2.3.2</t>
  </si>
  <si>
    <t>2.3.3</t>
  </si>
  <si>
    <t>2.4.2</t>
  </si>
  <si>
    <t>2.4.3</t>
  </si>
  <si>
    <t>3</t>
  </si>
  <si>
    <t>4.1.1</t>
  </si>
  <si>
    <t>4.2.1</t>
  </si>
  <si>
    <t>4.2.2</t>
  </si>
  <si>
    <t>4.2.3</t>
  </si>
  <si>
    <t>4.3.1</t>
  </si>
  <si>
    <t>4.3.2</t>
  </si>
  <si>
    <t>Remaining Weeks:</t>
  </si>
  <si>
    <t>Start Boundary:</t>
  </si>
  <si>
    <t>Sheet Type</t>
  </si>
  <si>
    <t>G</t>
  </si>
  <si>
    <t>PR</t>
  </si>
  <si>
    <t>Full time equivalents</t>
  </si>
  <si>
    <t>Sum Remaining Weeks</t>
  </si>
  <si>
    <t>Please Hide 
these Columns</t>
  </si>
  <si>
    <t>1/Sum Remaining Weeks</t>
  </si>
  <si>
    <t>Pre-Multiplier for Staffing Levels</t>
  </si>
  <si>
    <t>Orange flag for schedule missing</t>
  </si>
  <si>
    <t>Total Calendar Count:</t>
  </si>
  <si>
    <t>Total Weeks</t>
  </si>
  <si>
    <t>Unrealistic</t>
  </si>
  <si>
    <t>Deliv Based Hours</t>
  </si>
  <si>
    <t>1.2.3</t>
  </si>
  <si>
    <t>FS</t>
  </si>
  <si>
    <t>O</t>
  </si>
  <si>
    <t>Period end:</t>
  </si>
  <si>
    <t>Labor</t>
  </si>
  <si>
    <t>Lab Rev</t>
  </si>
  <si>
    <t>Exp Rev</t>
  </si>
  <si>
    <t>Exp Cost</t>
  </si>
  <si>
    <t>Project:</t>
  </si>
  <si>
    <t>Name &amp; Role</t>
  </si>
  <si>
    <t>Construction</t>
  </si>
  <si>
    <t>Path ID</t>
  </si>
  <si>
    <t>Original Path ID</t>
  </si>
  <si>
    <t>Jacobs Hours</t>
  </si>
  <si>
    <t>Jacobs Cost</t>
  </si>
  <si>
    <t>Client Hours</t>
  </si>
  <si>
    <t>Client Cost</t>
  </si>
  <si>
    <t>Data Source</t>
  </si>
  <si>
    <t>Row Number</t>
  </si>
  <si>
    <t>Lookup Color</t>
  </si>
  <si>
    <t>LBO</t>
  </si>
  <si>
    <t>Quantity (Blank=1)</t>
  </si>
  <si>
    <t>Y</t>
  </si>
  <si>
    <t>GP3</t>
  </si>
  <si>
    <t>GP2</t>
  </si>
  <si>
    <t>GP1</t>
  </si>
  <si>
    <t>Total:</t>
  </si>
  <si>
    <t>Billable Hours</t>
  </si>
  <si>
    <t>Non-Labor</t>
  </si>
  <si>
    <t xml:space="preserve">Availability 
 Factor   </t>
  </si>
  <si>
    <t>Total Revenue</t>
  </si>
  <si>
    <t>Hours Adjust Over-ride</t>
  </si>
  <si>
    <t>Lookup Index Number</t>
  </si>
  <si>
    <t>4</t>
  </si>
  <si>
    <t>Nick Matthews</t>
  </si>
  <si>
    <t>Hours Quantity Multiplier (Blank=1)</t>
  </si>
  <si>
    <t>Lab Burden</t>
  </si>
  <si>
    <t>Labor
Revenue</t>
  </si>
  <si>
    <t>Non-Labor
Revenue</t>
  </si>
  <si>
    <t>Original India Hours</t>
  </si>
  <si>
    <t>Current India Hours</t>
  </si>
  <si>
    <t>Total</t>
  </si>
  <si>
    <t>Bill Hrs</t>
  </si>
  <si>
    <t>NB Hours</t>
  </si>
  <si>
    <t>Billable</t>
  </si>
  <si>
    <t>Row name populated?</t>
  </si>
  <si>
    <t>Non-Bill Hours</t>
  </si>
  <si>
    <t>6</t>
  </si>
  <si>
    <t>Start Column</t>
  </si>
  <si>
    <t>Client Approval Details</t>
  </si>
  <si>
    <t>Non-Bill</t>
  </si>
  <si>
    <t>Burdened</t>
  </si>
  <si>
    <t>(i)</t>
  </si>
  <si>
    <t>(ii)</t>
  </si>
  <si>
    <t>(iii)</t>
  </si>
  <si>
    <t>(iv)</t>
  </si>
  <si>
    <t>(v)</t>
  </si>
  <si>
    <t>Type</t>
  </si>
  <si>
    <t>PC Alloc</t>
  </si>
  <si>
    <t>5.1.1</t>
  </si>
  <si>
    <t>5.1.2</t>
  </si>
  <si>
    <t>6.1.1</t>
  </si>
  <si>
    <t>6.2.1</t>
  </si>
  <si>
    <t>Cost Type</t>
  </si>
  <si>
    <t>General</t>
  </si>
  <si>
    <t>Margin</t>
  </si>
  <si>
    <t>Price</t>
  </si>
  <si>
    <t>PC</t>
  </si>
  <si>
    <t>Designated Project Executive</t>
  </si>
  <si>
    <t>3.1.1</t>
  </si>
  <si>
    <t>3.1.2</t>
  </si>
  <si>
    <t>3.1.3</t>
  </si>
  <si>
    <t>3.2.1</t>
  </si>
  <si>
    <t>3.2.2</t>
  </si>
  <si>
    <t>3.2.3</t>
  </si>
  <si>
    <t>3.2.4</t>
  </si>
  <si>
    <t>Be careful that the index numbers do not increase sequentially when filling cells.  They must be the identical same number for the 'SUMIF' function to work.</t>
  </si>
  <si>
    <t>Only assign hours against detailed scope description line items.  Hours allocated against heading rows will be ignored.</t>
  </si>
  <si>
    <t>The 'Hours Quantity Multiplier' column can be used when there are multiple instances of a line item (eg multiple meetings or drawings).  If this column is left blank, the tool assumes '1'</t>
  </si>
  <si>
    <t>Project Currency</t>
  </si>
  <si>
    <t xml:space="preserve">Client: </t>
  </si>
  <si>
    <t xml:space="preserve">Project: </t>
  </si>
  <si>
    <t xml:space="preserve">Performance Unit: </t>
  </si>
  <si>
    <t>5.1.3</t>
  </si>
  <si>
    <t>5.2.1</t>
  </si>
  <si>
    <t>5.2.2</t>
  </si>
  <si>
    <t>5.2.3</t>
  </si>
  <si>
    <t>Update the Change Log</t>
  </si>
  <si>
    <t>3.4.1</t>
  </si>
  <si>
    <t>3.5.1</t>
  </si>
  <si>
    <t>3.5.2</t>
  </si>
  <si>
    <t>3.6.1</t>
  </si>
  <si>
    <t>3.6.2</t>
  </si>
  <si>
    <t>The schedule provides a convenient way to do this and it provides a visual representation of a bar chart schedule to help you plan out the delivery of the project.</t>
  </si>
  <si>
    <t>3.7.1</t>
  </si>
  <si>
    <t>However, this is not a scheduling tool.  If you need a 'proper' scheduling tool (eg Primavera or MS Project) then get one and sychronise the schedule in this tool with it.</t>
  </si>
  <si>
    <t>3.8.1</t>
  </si>
  <si>
    <t>The process of building up an estimate is generally iterative.  Before you have finished, you will likely have to insert and delete rows to get it right.</t>
  </si>
  <si>
    <t>ID</t>
  </si>
  <si>
    <t>Cost Control Level ID</t>
  </si>
  <si>
    <t>Cost Object Status</t>
  </si>
  <si>
    <t>Project Start Date</t>
  </si>
  <si>
    <t>Project End Date</t>
  </si>
  <si>
    <t>Line of Business</t>
  </si>
  <si>
    <t>Contract Type</t>
  </si>
  <si>
    <t>Project Type</t>
  </si>
  <si>
    <t>Project Cost Lead</t>
  </si>
  <si>
    <t>Market</t>
  </si>
  <si>
    <t>Service Type</t>
  </si>
  <si>
    <t>Linear</t>
  </si>
  <si>
    <t>4.4.1</t>
  </si>
  <si>
    <t>4.4.2</t>
  </si>
  <si>
    <t>4.5.1</t>
  </si>
  <si>
    <t>4.5.2</t>
  </si>
  <si>
    <t>4.5.3</t>
  </si>
  <si>
    <t>4.5.4</t>
  </si>
  <si>
    <t>4.5.5</t>
  </si>
  <si>
    <t>4.6.1</t>
  </si>
  <si>
    <t>4.6.2</t>
  </si>
  <si>
    <t>4.6.3</t>
  </si>
  <si>
    <t>4.6.4</t>
  </si>
  <si>
    <t>4.6.5</t>
  </si>
  <si>
    <t>4.6.6</t>
  </si>
  <si>
    <t>4.6.7</t>
  </si>
  <si>
    <t>4.7.1</t>
  </si>
  <si>
    <t>4.7.2</t>
  </si>
  <si>
    <t>4.7.3</t>
  </si>
  <si>
    <t>4.8.1</t>
  </si>
  <si>
    <t>4.8.2</t>
  </si>
  <si>
    <t>4.8.3</t>
  </si>
  <si>
    <t>4.8.4</t>
  </si>
  <si>
    <t>5.2.4</t>
  </si>
  <si>
    <t>5.2.5</t>
  </si>
  <si>
    <t>5.2.6</t>
  </si>
  <si>
    <t>5.2.7</t>
  </si>
  <si>
    <t>5.2.8</t>
  </si>
  <si>
    <t>5.2.9</t>
  </si>
  <si>
    <t>5.2.10</t>
  </si>
  <si>
    <t>5.2.11</t>
  </si>
  <si>
    <t>5.2.12</t>
  </si>
  <si>
    <t>Raw
Cost</t>
  </si>
  <si>
    <t>P1</t>
  </si>
  <si>
    <t>P2</t>
  </si>
  <si>
    <t>General Expenses</t>
  </si>
  <si>
    <t>Phase</t>
  </si>
  <si>
    <t>Suffix</t>
  </si>
  <si>
    <t>Home Office Non-Labor</t>
  </si>
  <si>
    <t>Home Office Labor</t>
  </si>
  <si>
    <t>Level 2</t>
  </si>
  <si>
    <t>Level 3</t>
  </si>
  <si>
    <t>Level 4</t>
  </si>
  <si>
    <t>Level 5</t>
  </si>
  <si>
    <t>Level 6</t>
  </si>
  <si>
    <t>A</t>
  </si>
  <si>
    <t>C</t>
  </si>
  <si>
    <t>CS</t>
  </si>
  <si>
    <t>Field Staff Labor</t>
  </si>
  <si>
    <t>ELECTRICAL</t>
  </si>
  <si>
    <t>E</t>
  </si>
  <si>
    <t>Field Staff Non-Labor</t>
  </si>
  <si>
    <t>F</t>
  </si>
  <si>
    <t>EV</t>
  </si>
  <si>
    <t>Field Subcontracts</t>
  </si>
  <si>
    <t>H</t>
  </si>
  <si>
    <t>Construction Indirects/Equipment</t>
  </si>
  <si>
    <t>HV</t>
  </si>
  <si>
    <t>Material</t>
  </si>
  <si>
    <t>J</t>
  </si>
  <si>
    <t>IT</t>
  </si>
  <si>
    <t>K</t>
  </si>
  <si>
    <t xml:space="preserve">Freight </t>
  </si>
  <si>
    <t>MC</t>
  </si>
  <si>
    <t>MATERIAL CONTROL</t>
  </si>
  <si>
    <t>L</t>
  </si>
  <si>
    <t>Taxes</t>
  </si>
  <si>
    <t>ME</t>
  </si>
  <si>
    <t>Other</t>
  </si>
  <si>
    <t>PE</t>
  </si>
  <si>
    <t>Contingency</t>
  </si>
  <si>
    <t>PN</t>
  </si>
  <si>
    <t>R</t>
  </si>
  <si>
    <t>PROCESS</t>
  </si>
  <si>
    <t>X</t>
  </si>
  <si>
    <t>Currency Exchange fx</t>
  </si>
  <si>
    <t>AS</t>
  </si>
  <si>
    <t>Z</t>
  </si>
  <si>
    <t>Owner's Cost</t>
  </si>
  <si>
    <t>CE</t>
  </si>
  <si>
    <t>COST ENGR</t>
  </si>
  <si>
    <t>CN</t>
  </si>
  <si>
    <t>ES</t>
  </si>
  <si>
    <t>ESTIMATING</t>
  </si>
  <si>
    <t>EX</t>
  </si>
  <si>
    <t>EXPEDITING</t>
  </si>
  <si>
    <t>PA</t>
  </si>
  <si>
    <t>PS</t>
  </si>
  <si>
    <t>SA</t>
  </si>
  <si>
    <t>&lt;select&gt;</t>
  </si>
  <si>
    <t>Bell Curve</t>
  </si>
  <si>
    <t>Front Loaded</t>
  </si>
  <si>
    <t>Back Loaded</t>
  </si>
  <si>
    <t>Start</t>
  </si>
  <si>
    <t>Finish</t>
  </si>
  <si>
    <t>Finish Column</t>
  </si>
  <si>
    <t>Cost Codes (excl nul)</t>
  </si>
  <si>
    <t>Level 0</t>
  </si>
  <si>
    <t>Level 1</t>
  </si>
  <si>
    <t>Burden
(Fringe)</t>
  </si>
  <si>
    <t>GM %</t>
  </si>
  <si>
    <t>Project Name</t>
  </si>
  <si>
    <t>Client</t>
  </si>
  <si>
    <t>JobShopper</t>
  </si>
  <si>
    <t>Field</t>
  </si>
  <si>
    <t xml:space="preserve"> User input field</t>
  </si>
  <si>
    <t>Project Manager</t>
  </si>
  <si>
    <t>Date</t>
  </si>
  <si>
    <t>Open</t>
  </si>
  <si>
    <t>New Zealand</t>
  </si>
  <si>
    <t>Jobshopper Burden</t>
  </si>
  <si>
    <t>Hong Kong</t>
  </si>
  <si>
    <t>Management Reserve</t>
  </si>
  <si>
    <t>Work Package</t>
  </si>
  <si>
    <t>Lab Raw</t>
  </si>
  <si>
    <t>Rate / Hour</t>
  </si>
  <si>
    <t>1.  Single Multiplier on Raw</t>
  </si>
  <si>
    <t>Markup</t>
  </si>
  <si>
    <t>Manual</t>
  </si>
  <si>
    <t>%</t>
  </si>
  <si>
    <t>Method</t>
  </si>
  <si>
    <t>Select</t>
  </si>
  <si>
    <t>No Calculation Method Selected</t>
  </si>
  <si>
    <t>Multiplier</t>
  </si>
  <si>
    <t>O/H %</t>
  </si>
  <si>
    <t>Multiplier or O/H %</t>
  </si>
  <si>
    <t>% Fee</t>
  </si>
  <si>
    <t>Please select a method (yellow box above)</t>
  </si>
  <si>
    <t>Pricing Tool Setup</t>
  </si>
  <si>
    <t>(Bill)</t>
  </si>
  <si>
    <t>(Non-Bill)</t>
  </si>
  <si>
    <t>Sign-Off</t>
  </si>
  <si>
    <t>1 = Mult</t>
  </si>
  <si>
    <t>Expenses</t>
  </si>
  <si>
    <t>Setup tab</t>
  </si>
  <si>
    <t>Jobshopper</t>
  </si>
  <si>
    <t>GM/Hr</t>
  </si>
  <si>
    <t>1.3.1</t>
  </si>
  <si>
    <t>1.3.2</t>
  </si>
  <si>
    <t>1.3.3</t>
  </si>
  <si>
    <t>1.4.1</t>
  </si>
  <si>
    <t>1.4.2</t>
  </si>
  <si>
    <t>1.5.1</t>
  </si>
  <si>
    <t>1.5.2</t>
  </si>
  <si>
    <t>1.5.3</t>
  </si>
  <si>
    <t>1.6.1</t>
  </si>
  <si>
    <t>Cost Rates table</t>
  </si>
  <si>
    <t>2.3.4</t>
  </si>
  <si>
    <t>2.6.2</t>
  </si>
  <si>
    <t>How to make "Last Minute" Adjustments to the bid</t>
  </si>
  <si>
    <t>For scope reductions, DO NOT DELETE original rows.  Instead insert an identical new row and either make the hours negative or just put "-1" in the hours or non-labor multiplier column</t>
  </si>
  <si>
    <t>Italy</t>
  </si>
  <si>
    <t>Netherlands</t>
  </si>
  <si>
    <t>Switzerland</t>
  </si>
  <si>
    <t>Spain</t>
  </si>
  <si>
    <t>INR</t>
  </si>
  <si>
    <t>AED</t>
  </si>
  <si>
    <t>IDR</t>
  </si>
  <si>
    <t>CHF</t>
  </si>
  <si>
    <t>OMR</t>
  </si>
  <si>
    <t>Ireland</t>
  </si>
  <si>
    <t>PU Number</t>
  </si>
  <si>
    <t>Performance Unit</t>
  </si>
  <si>
    <t>Start here &gt;</t>
  </si>
  <si>
    <t>Pending</t>
  </si>
  <si>
    <t>Recognised Industry Expert</t>
  </si>
  <si>
    <t>Managing Consultant / Associate</t>
  </si>
  <si>
    <t>Senior Consultant</t>
  </si>
  <si>
    <t>Consultant</t>
  </si>
  <si>
    <t>Junior Consultant / Graduate</t>
  </si>
  <si>
    <t>Hourly Cost Rate</t>
  </si>
  <si>
    <t>Control Acct not found</t>
  </si>
  <si>
    <t>Orange Flag Contr Acct</t>
  </si>
  <si>
    <t>N</t>
  </si>
  <si>
    <t>CAD</t>
  </si>
  <si>
    <t>China</t>
  </si>
  <si>
    <t>Mexico</t>
  </si>
  <si>
    <t>Host PU</t>
  </si>
  <si>
    <t>Staff
Burden</t>
  </si>
  <si>
    <t>Field
Burden</t>
  </si>
  <si>
    <t>LBO
Burden</t>
  </si>
  <si>
    <t>Approx.
Rate</t>
  </si>
  <si>
    <t>Accurate
Rate</t>
  </si>
  <si>
    <t>PU / ORG</t>
  </si>
  <si>
    <t>Lookup JobShopper Burden</t>
  </si>
  <si>
    <t>Lookup Field Burden</t>
  </si>
  <si>
    <t>Lookup LBO Burden</t>
  </si>
  <si>
    <t>Lookup PU Currency</t>
  </si>
  <si>
    <t xml:space="preserve"> Over-type if this value is incorrect</t>
  </si>
  <si>
    <t>Host PU?</t>
  </si>
  <si>
    <t>Staff</t>
  </si>
  <si>
    <t>Cost Plus OH</t>
  </si>
  <si>
    <t>Non-Jacobs</t>
  </si>
  <si>
    <t>No of Integrated Delivery</t>
  </si>
  <si>
    <t>P3</t>
  </si>
  <si>
    <t>P4</t>
  </si>
  <si>
    <t>P5</t>
  </si>
  <si>
    <t>P6</t>
  </si>
  <si>
    <t>P7</t>
  </si>
  <si>
    <t>MXN</t>
  </si>
  <si>
    <t>Euro</t>
  </si>
  <si>
    <t>Mexican Peso</t>
  </si>
  <si>
    <t>Swiss Franc</t>
  </si>
  <si>
    <t>SAR</t>
  </si>
  <si>
    <t>CLP</t>
  </si>
  <si>
    <t>PEN</t>
  </si>
  <si>
    <t>ZAR</t>
  </si>
  <si>
    <t>QAR</t>
  </si>
  <si>
    <t>BHD</t>
  </si>
  <si>
    <t>KWD</t>
  </si>
  <si>
    <t>SEK</t>
  </si>
  <si>
    <t>US Dollar</t>
  </si>
  <si>
    <t>Canadian Dollar</t>
  </si>
  <si>
    <t>Australian Dollar</t>
  </si>
  <si>
    <t>New Zealand Dollar</t>
  </si>
  <si>
    <t>Singaporian Dollar</t>
  </si>
  <si>
    <t>Hong Kong Dollar</t>
  </si>
  <si>
    <t>Philippino Peso</t>
  </si>
  <si>
    <t>Thai Baht</t>
  </si>
  <si>
    <t>Omani Rial</t>
  </si>
  <si>
    <t>Emirati Dirham</t>
  </si>
  <si>
    <t>Malaysian Ringgit</t>
  </si>
  <si>
    <t>Chinese Yuan Renminbi</t>
  </si>
  <si>
    <t>Saudi Arabian Riyal</t>
  </si>
  <si>
    <t>Chilean Peso</t>
  </si>
  <si>
    <t>Peruvian Sol</t>
  </si>
  <si>
    <t>South African Rand</t>
  </si>
  <si>
    <t>Qatari Riyal</t>
  </si>
  <si>
    <t>Bahraini Dinar</t>
  </si>
  <si>
    <t>Kuwaiti Dinar</t>
  </si>
  <si>
    <t>Swedish Krona</t>
  </si>
  <si>
    <t>GB Pound</t>
  </si>
  <si>
    <t>Fieldwork Staff</t>
  </si>
  <si>
    <t>Fieldwork Supervisor</t>
  </si>
  <si>
    <t>Director</t>
  </si>
  <si>
    <t>Consultant Grades</t>
  </si>
  <si>
    <t>UK Consultant Grades, typically used for ??? Frameworks (need some words here)
You must manually enter the Bill Rates into this table (ensure that you use up to date rates).</t>
  </si>
  <si>
    <t>AUS Experience Categories (based on salary bands).  Typically, these rates would be scaled down (discounted) to "meet the market".
You must manually enter the Bill Rates into this table (ensure that you use up to date rates).</t>
  </si>
  <si>
    <t>*** Office Staff ***</t>
  </si>
  <si>
    <t>*** Field Staff ***</t>
  </si>
  <si>
    <t>Lookup category rate</t>
  </si>
  <si>
    <t>Scaling Factor</t>
  </si>
  <si>
    <t>Framework Rates</t>
  </si>
  <si>
    <t>Cost Cont'cy</t>
  </si>
  <si>
    <t>Description / comments</t>
  </si>
  <si>
    <t>Chile</t>
  </si>
  <si>
    <t>Peru</t>
  </si>
  <si>
    <t>South Africa</t>
  </si>
  <si>
    <t>Sweden</t>
  </si>
  <si>
    <t>Indian Rupee</t>
  </si>
  <si>
    <t>Indonesian Rupia</t>
  </si>
  <si>
    <t>Currency charged in</t>
  </si>
  <si>
    <t>Currency Code</t>
  </si>
  <si>
    <t>TOTAL</t>
  </si>
  <si>
    <t>Color</t>
  </si>
  <si>
    <t>Staffing Check</t>
  </si>
  <si>
    <r>
      <rPr>
        <b/>
        <sz val="10"/>
        <color theme="1"/>
        <rFont val="Arial"/>
        <family val="2"/>
      </rPr>
      <t>Adjust the Bill Rates</t>
    </r>
    <r>
      <rPr>
        <sz val="10"/>
        <color theme="1"/>
        <rFont val="Arial"/>
        <family val="2"/>
      </rPr>
      <t>:  This will obviously depend on the chosen Price Calculation Method.  Generally the quickest way, is to adjust the multiplier or the pricing factors on the Setup tab (section 3).</t>
    </r>
  </si>
  <si>
    <t>Marker:</t>
  </si>
  <si>
    <t>Normal Threshold &lt;</t>
  </si>
  <si>
    <t>Stretched Threshold &lt;</t>
  </si>
  <si>
    <t>FY Year end:</t>
  </si>
  <si>
    <t>T</t>
  </si>
  <si>
    <t>Range De-limiter</t>
  </si>
  <si>
    <t>Range De-Limiter</t>
  </si>
  <si>
    <t>Do NOT delete the Range de-limiter column</t>
  </si>
  <si>
    <t>2nd
Year</t>
  </si>
  <si>
    <t>3rd
Year</t>
  </si>
  <si>
    <t>4th
Year</t>
  </si>
  <si>
    <t>5th
Year</t>
  </si>
  <si>
    <t/>
  </si>
  <si>
    <t>Jacobs Staff</t>
  </si>
  <si>
    <t>Sub-Contracts</t>
  </si>
  <si>
    <t>Price Cont'cy</t>
  </si>
  <si>
    <t>Resource Index No.</t>
  </si>
  <si>
    <t>Switch</t>
  </si>
  <si>
    <t>Lookup Role</t>
  </si>
  <si>
    <t xml:space="preserve">Availability  % </t>
  </si>
  <si>
    <t>Selected Plan</t>
  </si>
  <si>
    <t>Staff Plan</t>
  </si>
  <si>
    <t>Switches</t>
  </si>
  <si>
    <t>Lump Sum</t>
  </si>
  <si>
    <t>Direct Cost</t>
  </si>
  <si>
    <t>Bill</t>
  </si>
  <si>
    <t>Staff Metrics</t>
  </si>
  <si>
    <t>Avg. Raw Rate</t>
  </si>
  <si>
    <t>Avg. Sell Rate</t>
  </si>
  <si>
    <t>Brazil</t>
  </si>
  <si>
    <t>Columbia</t>
  </si>
  <si>
    <t>BRL</t>
  </si>
  <si>
    <t>COP</t>
  </si>
  <si>
    <t>Germany</t>
  </si>
  <si>
    <t>Fee</t>
  </si>
  <si>
    <t>Host</t>
  </si>
  <si>
    <t>Bid Submission Date</t>
  </si>
  <si>
    <t>Details</t>
  </si>
  <si>
    <t>Ver.</t>
  </si>
  <si>
    <t>Lookup PC Charges</t>
  </si>
  <si>
    <t>Selection</t>
  </si>
  <si>
    <t>3a:  Staff Plan (only)</t>
  </si>
  <si>
    <t>3b:  Activity Plan (only)</t>
  </si>
  <si>
    <t>When to use the Staff Plan Template</t>
  </si>
  <si>
    <t>When to use the Activity Plan Template</t>
  </si>
  <si>
    <t>This then determines the project country, currency, burden/fringe and PC Alloc Rates, etc.</t>
  </si>
  <si>
    <t>Common bid approval methodology and metrics (eg Margin Profile, Staff Metrics, Risk &amp; Contingency, Gross Margin and Net Operating Margin)</t>
  </si>
  <si>
    <t>Defines a pool of resources which you then select from when building up either of the Project Plan tabs.</t>
  </si>
  <si>
    <r>
      <rPr>
        <b/>
        <sz val="10"/>
        <color theme="1"/>
        <rFont val="Arial"/>
        <family val="2"/>
      </rPr>
      <t>Burden:</t>
    </r>
    <r>
      <rPr>
        <sz val="10"/>
        <color theme="1"/>
        <rFont val="Arial"/>
        <family val="2"/>
      </rPr>
      <t xml:space="preserve">  Check each person's lookup Burden %.  If the lookup value is incorrect then overtype the burden % as appropriate.</t>
    </r>
  </si>
  <si>
    <t>Note:  If you overtype any cell, the text turns red as a reminder.  You can return to the lookup %'age by filling the formula from an adjacent cell.</t>
  </si>
  <si>
    <r>
      <rPr>
        <b/>
        <sz val="10"/>
        <color theme="1"/>
        <rFont val="Arial"/>
        <family val="2"/>
      </rPr>
      <t>Color:</t>
    </r>
    <r>
      <rPr>
        <sz val="10"/>
        <color theme="1"/>
        <rFont val="Arial"/>
        <family val="2"/>
      </rPr>
      <t xml:space="preserve">  (Optional)  You can color code resources into groups.  This is especially recommended when using the Activity Plan template (makes it easier to enter hours into the correct columns).</t>
    </r>
  </si>
  <si>
    <t>Regard these rates as "preliminary" to start with, because they will doubtless be revisited during the course of the bid preparation and approval.</t>
  </si>
  <si>
    <r>
      <rPr>
        <b/>
        <sz val="10"/>
        <color theme="1"/>
        <rFont val="Arial"/>
        <family val="2"/>
      </rPr>
      <t>Manual Over-ride:</t>
    </r>
    <r>
      <rPr>
        <sz val="10"/>
        <color theme="1"/>
        <rFont val="Arial"/>
        <family val="2"/>
      </rPr>
      <t xml:space="preserve">  All calculated rates can be directly over-rided using this column.  (eg senior people who may end up too expensive if using a simple multiplier)</t>
    </r>
  </si>
  <si>
    <t>2.5.1</t>
  </si>
  <si>
    <t>2.5.2</t>
  </si>
  <si>
    <t>2.5.3</t>
  </si>
  <si>
    <t>2.6.3</t>
  </si>
  <si>
    <t>2.6.4</t>
  </si>
  <si>
    <t>2.7.1</t>
  </si>
  <si>
    <t>Overtime</t>
  </si>
  <si>
    <t>2.7.2</t>
  </si>
  <si>
    <t>2.7.3</t>
  </si>
  <si>
    <t>- Again, refer to the Worked Example file to see how this is done.</t>
  </si>
  <si>
    <t>- Look at the Worked Example file to see how this is done.</t>
  </si>
  <si>
    <t>3.9.1</t>
  </si>
  <si>
    <t>Later, during project delivery, this same column is used for labling changes to the project budget.</t>
  </si>
  <si>
    <t>3.10</t>
  </si>
  <si>
    <t>3.10.1</t>
  </si>
  <si>
    <t>Used for quickly adjusting the hours allowed for a particular line-item.</t>
  </si>
  <si>
    <t>3.11</t>
  </si>
  <si>
    <t>3.11.1</t>
  </si>
  <si>
    <t>3.11.2</t>
  </si>
  <si>
    <r>
      <rPr>
        <b/>
        <sz val="10"/>
        <color theme="1"/>
        <rFont val="Arial"/>
        <family val="2"/>
      </rPr>
      <t>Quantity Multiplier</t>
    </r>
    <r>
      <rPr>
        <sz val="10"/>
        <color theme="1"/>
        <rFont val="Arial"/>
        <family val="2"/>
      </rPr>
      <t>:  Used when there is more than one of an item (blank defaults to 1, so leave blank if there is only 1)</t>
    </r>
  </si>
  <si>
    <t>Pricing Tool Homepage (JacobsConnect)</t>
  </si>
  <si>
    <t>Setup the Calendar (both templates)</t>
  </si>
  <si>
    <t>To extend the schedule (up to 5 years) refer to the User Guide tab, section 3.12</t>
  </si>
  <si>
    <t>3.13</t>
  </si>
  <si>
    <t>3.13.1</t>
  </si>
  <si>
    <t>3.13.2</t>
  </si>
  <si>
    <t>3.13.3</t>
  </si>
  <si>
    <t>3.14</t>
  </si>
  <si>
    <t>3.14.1</t>
  </si>
  <si>
    <t>3.14.2</t>
  </si>
  <si>
    <t>3.14.3</t>
  </si>
  <si>
    <t>Color Key</t>
  </si>
  <si>
    <t>3.15</t>
  </si>
  <si>
    <t>3.15.1</t>
  </si>
  <si>
    <t>3.15.2</t>
  </si>
  <si>
    <t>3.15.3</t>
  </si>
  <si>
    <t>3.15.4</t>
  </si>
  <si>
    <t>3.15.5</t>
  </si>
  <si>
    <t>3.16</t>
  </si>
  <si>
    <t>3.16.1</t>
  </si>
  <si>
    <t>3.16.2</t>
  </si>
  <si>
    <t>3.16.3</t>
  </si>
  <si>
    <t>3.16.4</t>
  </si>
  <si>
    <t>3.16.5</t>
  </si>
  <si>
    <t>Master Staff List</t>
  </si>
  <si>
    <t>3.16.6</t>
  </si>
  <si>
    <t>3.16.7</t>
  </si>
  <si>
    <t>Break down the project into detailed scope line items (at whatever level of detail is appropriate)</t>
  </si>
  <si>
    <t>Assign hours for each person against each detailed line item using a sparse matrix approach.</t>
  </si>
  <si>
    <t>3.17</t>
  </si>
  <si>
    <t>3.17.1</t>
  </si>
  <si>
    <t>3.17.2</t>
  </si>
  <si>
    <t>3.17.3</t>
  </si>
  <si>
    <t>3.17.4</t>
  </si>
  <si>
    <t>3.17.5</t>
  </si>
  <si>
    <t>3.18</t>
  </si>
  <si>
    <t>3.18.1</t>
  </si>
  <si>
    <t>3.18.2</t>
  </si>
  <si>
    <t>3.18.3</t>
  </si>
  <si>
    <t>3.18.4</t>
  </si>
  <si>
    <t>3.18.5</t>
  </si>
  <si>
    <t>3.18.6</t>
  </si>
  <si>
    <t>3.18.7</t>
  </si>
  <si>
    <t>Select "T" from the Mode Column to the left of the schedule.  Notice that the hours quantity multiplier is now grayed out (unavailable).</t>
  </si>
  <si>
    <t>Review your Resource Requirements and Validate the proposed Schedule using the Staff Check Table</t>
  </si>
  <si>
    <t>3.19</t>
  </si>
  <si>
    <t>3.19.1</t>
  </si>
  <si>
    <t>3.19.2</t>
  </si>
  <si>
    <t>3.19.3</t>
  </si>
  <si>
    <t>3.19.4</t>
  </si>
  <si>
    <t>3.19.5</t>
  </si>
  <si>
    <t>Project Root</t>
  </si>
  <si>
    <t>Project Template</t>
  </si>
  <si>
    <t>Cost Project</t>
  </si>
  <si>
    <t>Dashboard Project</t>
  </si>
  <si>
    <t>ScoreCard Project</t>
  </si>
  <si>
    <t>Project Control Manager</t>
  </si>
  <si>
    <t>Suspense (Y/N)</t>
  </si>
  <si>
    <t>Report Grouping ID</t>
  </si>
  <si>
    <t>Labor Flag ID</t>
  </si>
  <si>
    <t>Jacobs Labor Hours Forecast Method ID</t>
  </si>
  <si>
    <t>Jacobs Labor Rate Forecast Method ID</t>
  </si>
  <si>
    <t>Jacobs Non-Labor Forecast Method ID</t>
  </si>
  <si>
    <t>Client Labor Hours Forecast Method ID</t>
  </si>
  <si>
    <t>Client Labor Rate Forecast Method ID</t>
  </si>
  <si>
    <t>Client Non-Labor Forecast Method ID</t>
  </si>
  <si>
    <t>Progress Method ID</t>
  </si>
  <si>
    <t>3.17.6</t>
  </si>
  <si>
    <t>3.17.7</t>
  </si>
  <si>
    <t>6.3.1</t>
  </si>
  <si>
    <t>6.3.2</t>
  </si>
  <si>
    <t>6.3.3</t>
  </si>
  <si>
    <t>6.3.4</t>
  </si>
  <si>
    <t>Mongolia</t>
  </si>
  <si>
    <t>MNT</t>
  </si>
  <si>
    <t>Mongolian Tugrit</t>
  </si>
  <si>
    <t>4.7.4</t>
  </si>
  <si>
    <t>Grade/Category Description</t>
  </si>
  <si>
    <t>CONTINGENCY</t>
  </si>
  <si>
    <t>Impact on Margin</t>
  </si>
  <si>
    <t>4.9.1</t>
  </si>
  <si>
    <t>GM</t>
  </si>
  <si>
    <t>GM%</t>
  </si>
  <si>
    <t>Non-Labor
Cost</t>
  </si>
  <si>
    <t>Activity Plan</t>
  </si>
  <si>
    <t xml:space="preserve">Multi organisation (non-Jacobs personnel can be priced using an hourly rate alongside Jacobs resources) </t>
  </si>
  <si>
    <t>M</t>
  </si>
  <si>
    <t xml:space="preserve">Pricing Method: </t>
  </si>
  <si>
    <t>4.9.2</t>
  </si>
  <si>
    <t>4.9.3</t>
  </si>
  <si>
    <t>4.9.4</t>
  </si>
  <si>
    <t>Category Level</t>
  </si>
  <si>
    <t>Root</t>
  </si>
  <si>
    <t>Value ID</t>
  </si>
  <si>
    <t>Value Name</t>
  </si>
  <si>
    <t>No Raw Rate (at all)</t>
  </si>
  <si>
    <t>Bid Manager</t>
  </si>
  <si>
    <t>Code</t>
  </si>
  <si>
    <t>DSA</t>
  </si>
  <si>
    <t>DESIGN ALLOWANCE</t>
  </si>
  <si>
    <t>TPE</t>
  </si>
  <si>
    <t>ODC</t>
  </si>
  <si>
    <t>OTHER DIRECT COST</t>
  </si>
  <si>
    <t>GEN</t>
  </si>
  <si>
    <t>GENERAL EXPENSE</t>
  </si>
  <si>
    <t>CMP</t>
  </si>
  <si>
    <t>REP</t>
  </si>
  <si>
    <t>REPRODUCTION</t>
  </si>
  <si>
    <t>INS</t>
  </si>
  <si>
    <t>INSURANCE</t>
  </si>
  <si>
    <t>TRV</t>
  </si>
  <si>
    <t>TRAVEL</t>
  </si>
  <si>
    <t>Major (Project Phase)</t>
  </si>
  <si>
    <t>U</t>
  </si>
  <si>
    <t>V</t>
  </si>
  <si>
    <t>Fee / Incentives</t>
  </si>
  <si>
    <t>W</t>
  </si>
  <si>
    <t>Write Off / Write Up</t>
  </si>
  <si>
    <t>Suspense</t>
  </si>
  <si>
    <t>Consultants/3rd Party</t>
  </si>
  <si>
    <t>Material and Tagged Equipment</t>
  </si>
  <si>
    <t>Direct Field Labor</t>
  </si>
  <si>
    <t>Modules/Fabrication</t>
  </si>
  <si>
    <t>Minor (Expense Type / Discipline)</t>
  </si>
  <si>
    <t>Control Accounts tab is in use</t>
  </si>
  <si>
    <t>5.4.1</t>
  </si>
  <si>
    <t>8.1.1</t>
  </si>
  <si>
    <t>8.2.1</t>
  </si>
  <si>
    <t>8.2.2</t>
  </si>
  <si>
    <t>8.4.1</t>
  </si>
  <si>
    <t>8.5.1</t>
  </si>
  <si>
    <t>Bid Date:</t>
  </si>
  <si>
    <r>
      <rPr>
        <b/>
        <sz val="10"/>
        <color theme="1"/>
        <rFont val="Arial"/>
        <family val="2"/>
      </rPr>
      <t>Sell Rates</t>
    </r>
    <r>
      <rPr>
        <sz val="10"/>
        <color theme="1"/>
        <rFont val="Arial"/>
        <family val="2"/>
      </rPr>
      <t xml:space="preserve"> are calculated for each person depending on the calculation method chosen on the Setup tab and the factors used.</t>
    </r>
  </si>
  <si>
    <t>Hourly 
Sell Rate</t>
  </si>
  <si>
    <t>Issued By:</t>
  </si>
  <si>
    <t>Changes have been entered</t>
  </si>
  <si>
    <t>A single (whole-of-project) multiplier is applied to the Raw rates to produce Sell Rates.</t>
  </si>
  <si>
    <t>Lookup Native Currency X-rate</t>
  </si>
  <si>
    <t>You must select a price Calculation Method on the "Setup" tab</t>
  </si>
  <si>
    <t>Contr Accs (excl nul)</t>
  </si>
  <si>
    <t>Combined</t>
  </si>
  <si>
    <t>Lead Office</t>
  </si>
  <si>
    <t>1=Staff, 2=Activity, 3=Both</t>
  </si>
  <si>
    <t>Current Budget</t>
  </si>
  <si>
    <t>Current Forecast</t>
  </si>
  <si>
    <t>Distribution Curve</t>
  </si>
  <si>
    <t>Target Budget</t>
  </si>
  <si>
    <t>To Date PF</t>
  </si>
  <si>
    <t>Manual ETC PF</t>
  </si>
  <si>
    <t>Manual EAC Hours</t>
  </si>
  <si>
    <t>Manual ETC Hours</t>
  </si>
  <si>
    <t>JHM01</t>
  </si>
  <si>
    <t>JHM02</t>
  </si>
  <si>
    <t>JHM03</t>
  </si>
  <si>
    <t>JHM04</t>
  </si>
  <si>
    <t>JHM08</t>
  </si>
  <si>
    <t>JHM09</t>
  </si>
  <si>
    <t>JHM10</t>
  </si>
  <si>
    <t>JHM12</t>
  </si>
  <si>
    <t>JRM1</t>
  </si>
  <si>
    <t>JRM2</t>
  </si>
  <si>
    <t>JRM5</t>
  </si>
  <si>
    <t>JRM6</t>
  </si>
  <si>
    <t>JRM7</t>
  </si>
  <si>
    <t>Current Budget Rate</t>
  </si>
  <si>
    <t>Current Forecast Rate</t>
  </si>
  <si>
    <t>To Date Actual Rate</t>
  </si>
  <si>
    <t>Manual EAC Rate</t>
  </si>
  <si>
    <t>Manual ETC Rate</t>
  </si>
  <si>
    <t>CRM1</t>
  </si>
  <si>
    <t>CRM2</t>
  </si>
  <si>
    <t>CRM5</t>
  </si>
  <si>
    <t>CRM6</t>
  </si>
  <si>
    <t>CRM7</t>
  </si>
  <si>
    <t>CRM8</t>
  </si>
  <si>
    <t>CHM01</t>
  </si>
  <si>
    <t>CHM03</t>
  </si>
  <si>
    <t>Greater of EAC or Actual</t>
  </si>
  <si>
    <t>Jacobs Cost Hours</t>
  </si>
  <si>
    <t>Current Budget Hours</t>
  </si>
  <si>
    <t>Current Forecast Hours</t>
  </si>
  <si>
    <t>CHM02</t>
  </si>
  <si>
    <t>CHM05</t>
  </si>
  <si>
    <t>CHM06</t>
  </si>
  <si>
    <t>CHM07</t>
  </si>
  <si>
    <t>Jacobs Rate * Modifier</t>
  </si>
  <si>
    <t>BEL</t>
  </si>
  <si>
    <t>LIN</t>
  </si>
  <si>
    <t>FRN</t>
  </si>
  <si>
    <t>JCM1</t>
  </si>
  <si>
    <t>Current Budget - Jacobs</t>
  </si>
  <si>
    <t>Current Forecast - Jacobs</t>
  </si>
  <si>
    <t>Manual EAC - Jacobs</t>
  </si>
  <si>
    <t>Manual ETC - Jacobs</t>
  </si>
  <si>
    <t>JCM2</t>
  </si>
  <si>
    <t>JCM4</t>
  </si>
  <si>
    <t>JCM5</t>
  </si>
  <si>
    <t>Current Budget - Client</t>
  </si>
  <si>
    <t>Current Forecast - Client</t>
  </si>
  <si>
    <t>Manual ETC - Client</t>
  </si>
  <si>
    <t>Manual EAC - Client</t>
  </si>
  <si>
    <t>Jacobs Cost * Modifier</t>
  </si>
  <si>
    <t>CCM1</t>
  </si>
  <si>
    <t>CCM2</t>
  </si>
  <si>
    <t>CCM4</t>
  </si>
  <si>
    <t>CCM5</t>
  </si>
  <si>
    <t>CCM6</t>
  </si>
  <si>
    <t>MAN</t>
  </si>
  <si>
    <t>BCK</t>
  </si>
  <si>
    <t>MLS</t>
  </si>
  <si>
    <t>PCT</t>
  </si>
  <si>
    <t>PLN</t>
  </si>
  <si>
    <t>QTY</t>
  </si>
  <si>
    <t>Weighted Milestones</t>
  </si>
  <si>
    <t>Physical % Complete</t>
  </si>
  <si>
    <t>Earn as Planned</t>
  </si>
  <si>
    <t>Weighted Quantities</t>
  </si>
  <si>
    <t>Start Date</t>
  </si>
  <si>
    <t>End Date</t>
  </si>
  <si>
    <t>Row is populated</t>
  </si>
  <si>
    <t>Row</t>
  </si>
  <si>
    <t>Col Offset</t>
  </si>
  <si>
    <t>Insert additional resource columns in front of this Range De-limiter</t>
  </si>
  <si>
    <t>Calendar Column No.</t>
  </si>
  <si>
    <t>Insert additional rows in the table anywhere above this range delimiter</t>
  </si>
  <si>
    <t>To extend the schedule insert additional columns anywhere in the body of the table.</t>
  </si>
  <si>
    <r>
      <t xml:space="preserve">Backfill empty formulae by filling from an </t>
    </r>
    <r>
      <rPr>
        <u/>
        <sz val="10"/>
        <color theme="9" tint="-0.499984740745262"/>
        <rFont val="Arial"/>
        <family val="2"/>
      </rPr>
      <t>entire</t>
    </r>
    <r>
      <rPr>
        <sz val="10"/>
        <color theme="9" tint="-0.499984740745262"/>
        <rFont val="Arial"/>
        <family val="2"/>
      </rPr>
      <t xml:space="preserve"> adjacent populated column</t>
    </r>
  </si>
  <si>
    <t>Do NOT over-write the Range De-limiter</t>
  </si>
  <si>
    <r>
      <t xml:space="preserve">You can insert additional Staffing Check rows anywhere in the table below this Range De-limiter.  Backfill empty formulae by filling the </t>
    </r>
    <r>
      <rPr>
        <u/>
        <sz val="10"/>
        <color theme="9" tint="-0.499984740745262"/>
        <rFont val="Arial"/>
        <family val="2"/>
      </rPr>
      <t>entire</t>
    </r>
    <r>
      <rPr>
        <sz val="10"/>
        <color theme="9" tint="-0.499984740745262"/>
        <rFont val="Arial"/>
        <family val="2"/>
      </rPr>
      <t xml:space="preserve"> row from an adjacent populated row (select rows from LHS margin) .</t>
    </r>
  </si>
  <si>
    <r>
      <t>To insert a row or column, place the cursor in the left hand or top margin, right-click and choose "</t>
    </r>
    <r>
      <rPr>
        <u/>
        <sz val="10"/>
        <color theme="1"/>
        <rFont val="Arial"/>
        <family val="2"/>
      </rPr>
      <t>I</t>
    </r>
    <r>
      <rPr>
        <sz val="10"/>
        <color theme="1"/>
        <rFont val="Arial"/>
        <family val="2"/>
      </rPr>
      <t>nsert".</t>
    </r>
  </si>
  <si>
    <t>To insert a new row or column somewhere into a table, first look for the gray Range De-limiter at the edge of the table and then insert the new row (or column) anywhere in front of (or above) the Range De-limiter.  DO NOT over-write the Range De-limiter.</t>
  </si>
  <si>
    <t>The new row (or column) will be formatted the same as adjacent rows (or columns).  However, it will not contain the formulae that make the tool work.</t>
  </si>
  <si>
    <t>Empty formulae cells will appear bright red.  However there will almost certainly be additional formulae cells, somewhere in the row or column that are hidden, so you won't see a warning for these.</t>
  </si>
  <si>
    <t>Staffing Check Row</t>
  </si>
  <si>
    <t>Staff Details Row</t>
  </si>
  <si>
    <r>
      <t xml:space="preserve">   Insert additional Resource Check calculation rows anywhere below this Range De-Limiter and backfill the formulae from an adjacent row (select an </t>
    </r>
    <r>
      <rPr>
        <u/>
        <sz val="10"/>
        <color theme="9" tint="-0.499984740745262"/>
        <rFont val="Arial"/>
        <family val="2"/>
      </rPr>
      <t>entire</t>
    </r>
    <r>
      <rPr>
        <sz val="10"/>
        <color theme="9" tint="-0.499984740745262"/>
        <rFont val="Arial"/>
        <family val="2"/>
      </rPr>
      <t xml:space="preserve"> row from the left margin)</t>
    </r>
  </si>
  <si>
    <t>Resource Group</t>
  </si>
  <si>
    <t>Insert additional rows into the body of the table anywhere above this range delimiter</t>
  </si>
  <si>
    <t>Resource Groups Defined</t>
  </si>
  <si>
    <t>Elements Defined</t>
  </si>
  <si>
    <t>Lookup Bid Analysis Group</t>
  </si>
  <si>
    <t>Lookup OH Type</t>
  </si>
  <si>
    <t>Groups here, then</t>
  </si>
  <si>
    <t>Contingency Hours</t>
  </si>
  <si>
    <t>Express percentages as:</t>
  </si>
  <si>
    <t>Sub-heading IDs (Gray)</t>
  </si>
  <si>
    <t>B&amp;P Number</t>
  </si>
  <si>
    <t xml:space="preserve">Contract Type: </t>
  </si>
  <si>
    <t xml:space="preserve"> (Leave blank if funded by Ops)</t>
  </si>
  <si>
    <t>allocate them against</t>
  </si>
  <si>
    <t>individuals on the</t>
  </si>
  <si>
    <t>Major Heading IDs (Blue)</t>
  </si>
  <si>
    <t>Activity Plan Col</t>
  </si>
  <si>
    <t>This tab Row</t>
  </si>
  <si>
    <t>Weekly</t>
  </si>
  <si>
    <t>Monthly</t>
  </si>
  <si>
    <t>Activity Plan (column) Number</t>
  </si>
  <si>
    <t>Quarter end (Weekly):</t>
  </si>
  <si>
    <t>Quarter end (Monthly):</t>
  </si>
  <si>
    <t>6th
Year</t>
  </si>
  <si>
    <t>7th
Year</t>
  </si>
  <si>
    <t>8th
Year</t>
  </si>
  <si>
    <t>9th
Year</t>
  </si>
  <si>
    <t>10th
Plus</t>
  </si>
  <si>
    <t>P=Period, Q=Quarter, Y=FY End</t>
  </si>
  <si>
    <t>Calendar Type</t>
  </si>
  <si>
    <t>Heading Titles</t>
  </si>
  <si>
    <t>Hrs</t>
  </si>
  <si>
    <t>Assumptions and Remarks</t>
  </si>
  <si>
    <t>0.1.1</t>
  </si>
  <si>
    <t>0.1.2</t>
  </si>
  <si>
    <t>0.1.3</t>
  </si>
  <si>
    <t>If using this tool for the first time, download a 'Worked Example' file from the Homepage in order to better understand how it is setup.  It is quicker to learn by copying, than by reading through these instructions!</t>
  </si>
  <si>
    <t>0.1.4</t>
  </si>
  <si>
    <t>0.4.1</t>
  </si>
  <si>
    <t>Shut down the whole of Excel and then open just the Pricing Tool.  (ie do not have multiple instances of Excel open at the same time)</t>
  </si>
  <si>
    <t>0.4.2</t>
  </si>
  <si>
    <t>0.4.3</t>
  </si>
  <si>
    <t>0.4.4</t>
  </si>
  <si>
    <t>Copying and Pasting Data</t>
  </si>
  <si>
    <t>0.5.1</t>
  </si>
  <si>
    <t>This tool is being continuously updated.  Always download the latest version before starting a new project.</t>
  </si>
  <si>
    <t>As a last resort, set the calculation options to "Manual" (Formulas tab).  Every so often, force a recalculation by 'saving' your file.  Remember to reset back to "Automatic" when you've finished!</t>
  </si>
  <si>
    <t>Often you will want to copy and paste data from one part of the tool to another part - or from one copy/version of the tool to another copy/version</t>
  </si>
  <si>
    <t>Throughout the tool, the data is arranged in blocks.  When selecting data, be sure to select only data blocks, and not to accidently select formulae cells.</t>
  </si>
  <si>
    <t>0.5.2</t>
  </si>
  <si>
    <t>0.5.3</t>
  </si>
  <si>
    <t>Enter Project Name, Client, Bid Submission Date, etc.  This info flows through to other tabs.</t>
  </si>
  <si>
    <t>Note that these rates are used to calculate Jacobs' Direct Cost for the project.</t>
  </si>
  <si>
    <t>1.6.2</t>
  </si>
  <si>
    <t>IC Project</t>
  </si>
  <si>
    <t>FP</t>
  </si>
  <si>
    <t>IM</t>
  </si>
  <si>
    <t>LS</t>
  </si>
  <si>
    <t>TF</t>
  </si>
  <si>
    <t>S</t>
  </si>
  <si>
    <t>AR</t>
  </si>
  <si>
    <t>CM</t>
  </si>
  <si>
    <t>CO</t>
  </si>
  <si>
    <t>DC</t>
  </si>
  <si>
    <t>MA</t>
  </si>
  <si>
    <t>MD</t>
  </si>
  <si>
    <t>OE</t>
  </si>
  <si>
    <t>SC</t>
  </si>
  <si>
    <t>SE</t>
  </si>
  <si>
    <t>Pricing Method</t>
  </si>
  <si>
    <t>Lump Sum / Fixed Price (1)</t>
  </si>
  <si>
    <t>Time &amp; Materials (2)</t>
  </si>
  <si>
    <t>Staff Plan Revenue</t>
  </si>
  <si>
    <t>Activity Plan Revenue</t>
  </si>
  <si>
    <t>Business Unit</t>
  </si>
  <si>
    <t>Quarter end (weekly):</t>
  </si>
  <si>
    <t>Quarter end (monthly):</t>
  </si>
  <si>
    <t>Max People /Period</t>
  </si>
  <si>
    <t>Line Item Descriptions</t>
  </si>
  <si>
    <t>A&amp;T US</t>
  </si>
  <si>
    <t>When pasting data, always use "Paste-Values".  (If you don't do this, you could unwittingly copy conditional formatting as well, which may lead to unwanted effects)</t>
  </si>
  <si>
    <t>F/R</t>
  </si>
  <si>
    <t>IN</t>
  </si>
  <si>
    <t>&gt;</t>
  </si>
  <si>
    <t>Total 
St Plan</t>
  </si>
  <si>
    <t>Total 
Act Plan</t>
  </si>
  <si>
    <r>
      <t xml:space="preserve">Staff Plan Hours </t>
    </r>
    <r>
      <rPr>
        <sz val="12"/>
        <color theme="1"/>
        <rFont val="Arial"/>
        <family val="2"/>
      </rPr>
      <t>(Rollup by Resource Group)</t>
    </r>
  </si>
  <si>
    <r>
      <t xml:space="preserve">Activity Plan Hours </t>
    </r>
    <r>
      <rPr>
        <sz val="12"/>
        <color theme="1"/>
        <rFont val="Arial"/>
        <family val="2"/>
      </rPr>
      <t>(Rollup by Resource Group)</t>
    </r>
  </si>
  <si>
    <r>
      <t>Staff Plan Revenue</t>
    </r>
    <r>
      <rPr>
        <sz val="12"/>
        <color theme="1"/>
        <rFont val="Arial"/>
        <family val="2"/>
      </rPr>
      <t xml:space="preserve"> (Rollup by Resource Group)</t>
    </r>
  </si>
  <si>
    <r>
      <t xml:space="preserve">Activity Plan Revenue </t>
    </r>
    <r>
      <rPr>
        <sz val="12"/>
        <color theme="1"/>
        <rFont val="Arial"/>
        <family val="2"/>
      </rPr>
      <t>(Rollup by Resource Group)</t>
    </r>
  </si>
  <si>
    <t>Project Plan Analysis Tables</t>
  </si>
  <si>
    <t>Other Non-Labor</t>
  </si>
  <si>
    <t>0.2.1</t>
  </si>
  <si>
    <t>0.2.2</t>
  </si>
  <si>
    <t>0.4.5</t>
  </si>
  <si>
    <t>0.4.6</t>
  </si>
  <si>
    <t>0.4.7</t>
  </si>
  <si>
    <t>0.4.8</t>
  </si>
  <si>
    <t>0.4.9</t>
  </si>
  <si>
    <t>0.5.4</t>
  </si>
  <si>
    <t>0.6.1</t>
  </si>
  <si>
    <t>0.6.2</t>
  </si>
  <si>
    <t>0.6.3</t>
  </si>
  <si>
    <t>Link:  Pricing Tool Homepage (JacobsConnect)</t>
  </si>
  <si>
    <t>1.5.4</t>
  </si>
  <si>
    <t>1.5.5</t>
  </si>
  <si>
    <t>0.2.3</t>
  </si>
  <si>
    <r>
      <rPr>
        <b/>
        <sz val="10"/>
        <color theme="1"/>
        <rFont val="Arial"/>
        <family val="2"/>
      </rPr>
      <t>Role:</t>
    </r>
    <r>
      <rPr>
        <sz val="10"/>
        <color theme="1"/>
        <rFont val="Arial"/>
        <family val="2"/>
      </rPr>
      <t xml:space="preserve">  Enter roles (optional).  If the same person has two roles on the project (but the same Bill Rate), then just pick the primary role, don't enter them twice.</t>
    </r>
  </si>
  <si>
    <r>
      <t xml:space="preserve">Master Staff List table </t>
    </r>
    <r>
      <rPr>
        <sz val="10"/>
        <color theme="1"/>
        <rFont val="Arial"/>
        <family val="2"/>
      </rPr>
      <t>(Required input)</t>
    </r>
  </si>
  <si>
    <r>
      <rPr>
        <b/>
        <sz val="10"/>
        <color rgb="FFC00000"/>
        <rFont val="Arial"/>
        <family val="2"/>
      </rPr>
      <t xml:space="preserve">Approx Rate / Accurate Rate </t>
    </r>
    <r>
      <rPr>
        <sz val="10"/>
        <color rgb="FFC00000"/>
        <rFont val="Arial"/>
        <family val="2"/>
      </rPr>
      <t>(Required field):</t>
    </r>
    <r>
      <rPr>
        <sz val="10"/>
        <color theme="1"/>
        <rFont val="Arial"/>
        <family val="2"/>
      </rPr>
      <t xml:space="preserve">  Enter Raw Rates against every person.  If you don't know the exact rate (or the exact person), then use the "Approx" column.  Rates entered into the "Accurate" column will always supersede the Approx column.</t>
    </r>
  </si>
  <si>
    <t>Use this planning template for a time-based, reimbursible service (eg cost-plus).</t>
  </si>
  <si>
    <t>Typically, the 'tasks' within a Staff Plan model are relatively high-level, because within each task it is still necessary to then list out each team member's name.</t>
  </si>
  <si>
    <t>To set up a Major Heading (Blue):</t>
  </si>
  <si>
    <t>- Put the heading title text in the narrow column titled "Heading Titles"</t>
  </si>
  <si>
    <t>- Put an index number (can be alpha-numeric) in the column titled "Major Headung IDs"</t>
  </si>
  <si>
    <t>- Put the identical same index number into every row that you want to sum into the Major Heading (the tool uses SUMIF, so these index numbers must all be exactly the same).</t>
  </si>
  <si>
    <t>- If there is text in the "Heading Titles" column, the tool knows that it is a Major Heading when there is an index number placed in the Major Heading column, but the Sub-heading column is left blank.</t>
  </si>
  <si>
    <t>To set up a Sub-heading (Gray):</t>
  </si>
  <si>
    <t>- Again, put the heading title text in the narrow column titled "Heading Title"</t>
  </si>
  <si>
    <t>- Put an index number (can be alpha-numeric) in the column titled "Sub-heading IDs".  Again, this must be the identical same number in every row that feeds into the sub-heading sub-total.</t>
  </si>
  <si>
    <t>- In this case, if there is an index number in both the Major and Sub columns, then the tool knows that it must be a Sub-heading.</t>
  </si>
  <si>
    <t>Inserting and deleting rows</t>
  </si>
  <si>
    <t>Rows can be deleted from the Project Plan at any time.  However, do not delete the first row.</t>
  </si>
  <si>
    <t>3.4.2</t>
  </si>
  <si>
    <t>Timesheet WBS Codes (Control Accounts)</t>
  </si>
  <si>
    <t>1.6.3</t>
  </si>
  <si>
    <t>Select a Pricing Method.  Details for the chosen pricing method appear in the Descriptions box.</t>
  </si>
  <si>
    <t>Select payment terms for Jacobs' contract with the client.</t>
  </si>
  <si>
    <t>2.1.1</t>
  </si>
  <si>
    <t>2.1.2</t>
  </si>
  <si>
    <t>2.1.3</t>
  </si>
  <si>
    <r>
      <t xml:space="preserve">Pricing Method </t>
    </r>
    <r>
      <rPr>
        <sz val="10"/>
        <rFont val="Arial"/>
        <family val="2"/>
      </rPr>
      <t>(Required input)</t>
    </r>
  </si>
  <si>
    <r>
      <rPr>
        <b/>
        <sz val="10"/>
        <color rgb="FFC00000"/>
        <rFont val="Arial"/>
        <family val="2"/>
      </rPr>
      <t xml:space="preserve">Name </t>
    </r>
    <r>
      <rPr>
        <sz val="10"/>
        <color rgb="FFC00000"/>
        <rFont val="Arial"/>
        <family val="2"/>
      </rPr>
      <t>(Required input):</t>
    </r>
    <r>
      <rPr>
        <sz val="10"/>
        <color theme="1"/>
        <rFont val="Arial"/>
        <family val="2"/>
      </rPr>
      <t xml:space="preserve"> </t>
    </r>
    <r>
      <rPr>
        <sz val="10"/>
        <color rgb="FFC00000"/>
        <rFont val="Arial"/>
        <family val="2"/>
      </rPr>
      <t xml:space="preserve"> Enter people's names.  </t>
    </r>
    <r>
      <rPr>
        <sz val="10"/>
        <color theme="1"/>
        <rFont val="Arial"/>
        <family val="2"/>
      </rPr>
      <t>If you don't yet know the exact names (exact people), then enter the role or some other unique descriptor.   If the same person is being billed at two different rates (or both billable and non-billable), then model them as two different people</t>
    </r>
  </si>
  <si>
    <t>3.4.3</t>
  </si>
  <si>
    <t>3.4.4</t>
  </si>
  <si>
    <t>3.4.5</t>
  </si>
  <si>
    <t>3.8.2</t>
  </si>
  <si>
    <t>3.9</t>
  </si>
  <si>
    <t>3.10.2</t>
  </si>
  <si>
    <t>3.11.3</t>
  </si>
  <si>
    <t>3.11.4</t>
  </si>
  <si>
    <t>Weeks, Months, Period ends, Quarter ends and FY ends populate automatically.</t>
  </si>
  <si>
    <t xml:space="preserve">Detailed line items are typically arranged within a structure of headings and sub-headings.  Refer to 3.4 above </t>
  </si>
  <si>
    <t>3.14.4</t>
  </si>
  <si>
    <t>The prime purpose of the 'schedule' in this tool is to distribute work effort against the weeks/months in order to time-phase the estimate and calculate resource requirements / cash-flow.</t>
  </si>
  <si>
    <t>Only schedule scope line items (do not schedule headings and sub-headings - it has no effect).</t>
  </si>
  <si>
    <t xml:space="preserve">Time-based Mode 'works' by summing the numbers entered in the scheduled weeks/months for a particular line item and substituting the result in place of the hours quantity multiplier. </t>
  </si>
  <si>
    <t>This is an alternative way of modelling an estimate.  It is effectively the same as the Staff Plan method of entry but can be included directly into the Activity Plan.  In this mode the hours and the schedule turn "Blue" to indicate they are time based.</t>
  </si>
  <si>
    <t>Method 1:  One way to use this mode is to consider a line item to be an individual person (similar to the Staff Plan template).  Enter a "1" against that person in the sparse matrix section.  Then enter the number hours per week/month into each of the schedule boxes.</t>
  </si>
  <si>
    <t>Method 2:  Consider a line item to be a group of people.  Enter the hours per week/month for each person in the sparse matrix.  Then enter a "1" in each box in the calendar.</t>
  </si>
  <si>
    <t>To better understand how Time-based mode is used, refer to the worked examples.</t>
  </si>
  <si>
    <t>3.19.6</t>
  </si>
  <si>
    <t>Consolidated hours per person per week/month are calculated.  These are then color coded, depending upon how 'stretched' the resource is considered to be.</t>
  </si>
  <si>
    <r>
      <rPr>
        <b/>
        <sz val="10"/>
        <color theme="1"/>
        <rFont val="Arial"/>
        <family val="2"/>
      </rPr>
      <t>Availability:</t>
    </r>
    <r>
      <rPr>
        <sz val="10"/>
        <color theme="1"/>
        <rFont val="Arial"/>
        <family val="2"/>
      </rPr>
      <t xml:space="preserve">  If a particular person is not available for 100% of the time, then their availability % can be entered.  This has the effect of reducing the color code thresholds appropriately (it does not affect the calculated weekly/monthly hours).</t>
    </r>
  </si>
  <si>
    <t>The level that the Path ID structure goes down to is a fundamental decision that affects the structure of the Project Plan.  You should probably already have decided upon this.</t>
  </si>
  <si>
    <t>Minimum entry requirements (red text)</t>
  </si>
  <si>
    <t>Yellow input boxes will appear.  Enter your multiplying factors in these boxes.  These global settings will apply to all team members</t>
  </si>
  <si>
    <t>More than a 'pricing form', this tool includes an integrated Project Plan allowing one to build a bottom-up project plan in the tool itself (without needing additional feed-in spreadsheets) and for iterative modifications to then be made to any aspect of the final bid within the single tool.</t>
  </si>
  <si>
    <t>Color conventions:</t>
  </si>
  <si>
    <t>Individual line items in the Staff Plan Template represent people's names.  This creates a traditional Staff Plan (Resource Plan) model for the project with hours being entered per week/month against each person / task</t>
  </si>
  <si>
    <t>Timephasing for each activity / line item is then done using a separate integrated calendar.</t>
  </si>
  <si>
    <r>
      <t xml:space="preserve">Enter your content at the individual line item level.  </t>
    </r>
    <r>
      <rPr>
        <sz val="10"/>
        <color theme="1"/>
        <rFont val="Arial"/>
        <family val="2"/>
      </rPr>
      <t xml:space="preserve">(Do not enter content at a heading level - it will be ignored.) </t>
    </r>
  </si>
  <si>
    <t>Select weekly or monthly calendar intervals.</t>
  </si>
  <si>
    <t>(Required Field)</t>
  </si>
  <si>
    <r>
      <t xml:space="preserve">For every line item with content, place a "1" in each box in the schedule representing its duration.  </t>
    </r>
    <r>
      <rPr>
        <sz val="10"/>
        <rFont val="Arial"/>
        <family val="2"/>
      </rPr>
      <t>This has the effect of uniformly distributing work effort against these weeks/months.</t>
    </r>
  </si>
  <si>
    <t>It is primarily used to model the project management section of a project (because this is best modelled as time-based).</t>
  </si>
  <si>
    <t>'Normal' appears as light green and 'stretched' as dark green.  'Unrealistic' appears as orange (a warning).  The thresholds for each of these color changes can be adjusted in the yellow input cells.</t>
  </si>
  <si>
    <t>Pricing Tool</t>
  </si>
  <si>
    <t>ASG</t>
  </si>
  <si>
    <t>ASSIGNMENT &amp; PER DIEM</t>
  </si>
  <si>
    <t>DISTRIBUTED COMP COST</t>
  </si>
  <si>
    <t>SCS</t>
  </si>
  <si>
    <t>SPECIAL COMPUTER SYS</t>
  </si>
  <si>
    <t>3rd PARTY SERVICES</t>
  </si>
  <si>
    <t>Non Labor (General)</t>
  </si>
  <si>
    <t>JP</t>
  </si>
  <si>
    <t>JPRO</t>
  </si>
  <si>
    <t>ARCHITECTURAL</t>
  </si>
  <si>
    <t>CI</t>
  </si>
  <si>
    <t xml:space="preserve">CIVIL </t>
  </si>
  <si>
    <t>ST</t>
  </si>
  <si>
    <t>STRUCTURAL</t>
  </si>
  <si>
    <t>MECH EQUIP</t>
  </si>
  <si>
    <t>EQ</t>
  </si>
  <si>
    <t>HVAC</t>
  </si>
  <si>
    <t xml:space="preserve">PIPING </t>
  </si>
  <si>
    <t>PI</t>
  </si>
  <si>
    <t>PIPING MECH</t>
  </si>
  <si>
    <t>PL</t>
  </si>
  <si>
    <t>PLUMBING</t>
  </si>
  <si>
    <t>EL</t>
  </si>
  <si>
    <t>ENVIRONMENTAL</t>
  </si>
  <si>
    <t>FIRE PROTECTION</t>
  </si>
  <si>
    <t>AU</t>
  </si>
  <si>
    <t>AUTHORITY ENGR / PERMITTING</t>
  </si>
  <si>
    <t>PROCESS SAFETY</t>
  </si>
  <si>
    <t>PK</t>
  </si>
  <si>
    <t>PACKAGING</t>
  </si>
  <si>
    <t>PT</t>
  </si>
  <si>
    <t>SI</t>
  </si>
  <si>
    <t>BA</t>
  </si>
  <si>
    <t>BLDG AUTOMATION</t>
  </si>
  <si>
    <t>TELECOM DATA &amp; SECURITY</t>
  </si>
  <si>
    <t>EF</t>
  </si>
  <si>
    <t>ENERGY EFFICIENCY</t>
  </si>
  <si>
    <t>HE</t>
  </si>
  <si>
    <t>HYDRAULIC ENGR</t>
  </si>
  <si>
    <t>MM</t>
  </si>
  <si>
    <t>MINING ENGR</t>
  </si>
  <si>
    <t>GT</t>
  </si>
  <si>
    <t>GEOTECH ENGR</t>
  </si>
  <si>
    <t>AV</t>
  </si>
  <si>
    <t>AVIATION ENGR</t>
  </si>
  <si>
    <t>FC</t>
  </si>
  <si>
    <t>FACILITIES PLANNING</t>
  </si>
  <si>
    <t>COMMERCIAL INT DESIGN</t>
  </si>
  <si>
    <t>LA</t>
  </si>
  <si>
    <t>LANDSCAPE</t>
  </si>
  <si>
    <t>MARINE</t>
  </si>
  <si>
    <t>RA</t>
  </si>
  <si>
    <t>RAIL</t>
  </si>
  <si>
    <t>TE</t>
  </si>
  <si>
    <t>TRANSPORT ENGR / PLANNING</t>
  </si>
  <si>
    <t>OTHER ENGR</t>
  </si>
  <si>
    <t>PU</t>
  </si>
  <si>
    <t>PURCHASING</t>
  </si>
  <si>
    <t>LO</t>
  </si>
  <si>
    <t>SHIPPING &amp; LOGISTICS</t>
  </si>
  <si>
    <t>ET</t>
  </si>
  <si>
    <t xml:space="preserve">INSPECTION / TESTING </t>
  </si>
  <si>
    <t>OP</t>
  </si>
  <si>
    <t>OTHER PROCUREMENT</t>
  </si>
  <si>
    <t>02  Procurement</t>
  </si>
  <si>
    <t>OM</t>
  </si>
  <si>
    <t>PROJECT MGMT</t>
  </si>
  <si>
    <t>PROJECT ADMIN</t>
  </si>
  <si>
    <t>PROJECT ENGR MGMT</t>
  </si>
  <si>
    <t>PROJECT CONTROLS</t>
  </si>
  <si>
    <t>SCHED / PLANNING</t>
  </si>
  <si>
    <t>RM</t>
  </si>
  <si>
    <t>RISK MGMT</t>
  </si>
  <si>
    <t>INFORMATION MGMT</t>
  </si>
  <si>
    <t>QUALITY MGMT</t>
  </si>
  <si>
    <t>HSE MGMT</t>
  </si>
  <si>
    <t>INFORMATION TECH</t>
  </si>
  <si>
    <t>LE</t>
  </si>
  <si>
    <t>LEGAL</t>
  </si>
  <si>
    <t>BD</t>
  </si>
  <si>
    <t>BUSINESS DEV</t>
  </si>
  <si>
    <t>HR</t>
  </si>
  <si>
    <t>HUMAN RESOURCES</t>
  </si>
  <si>
    <t>OS</t>
  </si>
  <si>
    <t>OTHER SUPPORT</t>
  </si>
  <si>
    <t>CONSTR MGMT</t>
  </si>
  <si>
    <t>SU</t>
  </si>
  <si>
    <t>FA</t>
  </si>
  <si>
    <t>FIELD ADMIN</t>
  </si>
  <si>
    <t>SM</t>
  </si>
  <si>
    <t>SUBCONTRACT MGMT</t>
  </si>
  <si>
    <t>QS</t>
  </si>
  <si>
    <t>FE</t>
  </si>
  <si>
    <t>FIELD ENGR</t>
  </si>
  <si>
    <t>VQ</t>
  </si>
  <si>
    <t>VALIDATION REG &amp; QUALIF</t>
  </si>
  <si>
    <t>COMMISSIONING &amp; START-UP</t>
  </si>
  <si>
    <t>OC</t>
  </si>
  <si>
    <t>OTHER CONSTR</t>
  </si>
  <si>
    <t>Team Group</t>
  </si>
  <si>
    <t>Define Team</t>
  </si>
  <si>
    <t>Staff List tab</t>
  </si>
  <si>
    <t>Curve</t>
  </si>
  <si>
    <t>Hr/Wk</t>
  </si>
  <si>
    <t>9.1.2</t>
  </si>
  <si>
    <t>9.1.3</t>
  </si>
  <si>
    <t>9.2.1</t>
  </si>
  <si>
    <t>7.2.1</t>
  </si>
  <si>
    <t>7.2.2</t>
  </si>
  <si>
    <t>Insert new rows above this range de-limiter</t>
  </si>
  <si>
    <r>
      <rPr>
        <b/>
        <sz val="10"/>
        <color rgb="FF00338D"/>
        <rFont val="Arial"/>
        <family val="2"/>
      </rPr>
      <t>Jacobs</t>
    </r>
    <r>
      <rPr>
        <b/>
        <sz val="10"/>
        <color theme="1"/>
        <rFont val="Arial"/>
        <family val="2"/>
      </rPr>
      <t xml:space="preserve"> 
</t>
    </r>
    <r>
      <rPr>
        <sz val="8"/>
        <color theme="1"/>
        <rFont val="Arial"/>
        <family val="2"/>
      </rPr>
      <t>Forecast Method</t>
    </r>
    <r>
      <rPr>
        <b/>
        <sz val="10"/>
        <color theme="1"/>
        <rFont val="Arial"/>
        <family val="2"/>
      </rPr>
      <t xml:space="preserve">
Cost Rate</t>
    </r>
  </si>
  <si>
    <r>
      <rPr>
        <b/>
        <sz val="10"/>
        <color rgb="FF00338D"/>
        <rFont val="Arial"/>
        <family val="2"/>
      </rPr>
      <t>Jacobs</t>
    </r>
    <r>
      <rPr>
        <b/>
        <sz val="10"/>
        <color theme="1"/>
        <rFont val="Arial"/>
        <family val="2"/>
      </rPr>
      <t xml:space="preserve"> 
</t>
    </r>
    <r>
      <rPr>
        <sz val="8"/>
        <color theme="1"/>
        <rFont val="Arial"/>
        <family val="2"/>
      </rPr>
      <t>Forecast Method</t>
    </r>
    <r>
      <rPr>
        <b/>
        <sz val="10"/>
        <color theme="1"/>
        <rFont val="Arial"/>
        <family val="2"/>
      </rPr>
      <t xml:space="preserve">
Total Hours</t>
    </r>
  </si>
  <si>
    <r>
      <rPr>
        <b/>
        <sz val="10"/>
        <color rgb="FFFF0000"/>
        <rFont val="Arial"/>
        <family val="2"/>
      </rPr>
      <t>Client</t>
    </r>
    <r>
      <rPr>
        <b/>
        <sz val="10"/>
        <color theme="1"/>
        <rFont val="Arial"/>
        <family val="2"/>
      </rPr>
      <t xml:space="preserve"> 
</t>
    </r>
    <r>
      <rPr>
        <sz val="8"/>
        <color theme="1"/>
        <rFont val="Arial"/>
        <family val="2"/>
      </rPr>
      <t>Forecast Method</t>
    </r>
    <r>
      <rPr>
        <b/>
        <sz val="10"/>
        <color theme="1"/>
        <rFont val="Arial"/>
        <family val="2"/>
      </rPr>
      <t xml:space="preserve">
Bill Hours</t>
    </r>
  </si>
  <si>
    <r>
      <rPr>
        <b/>
        <sz val="10"/>
        <color rgb="FFFF0000"/>
        <rFont val="Arial"/>
        <family val="2"/>
      </rPr>
      <t>Client</t>
    </r>
    <r>
      <rPr>
        <b/>
        <sz val="10"/>
        <color theme="1"/>
        <rFont val="Arial"/>
        <family val="2"/>
      </rPr>
      <t xml:space="preserve"> 
</t>
    </r>
    <r>
      <rPr>
        <sz val="8"/>
        <color theme="1"/>
        <rFont val="Arial"/>
        <family val="2"/>
      </rPr>
      <t>Forecast Method</t>
    </r>
    <r>
      <rPr>
        <b/>
        <sz val="10"/>
        <color theme="1"/>
        <rFont val="Arial"/>
        <family val="2"/>
      </rPr>
      <t xml:space="preserve">
Revenue Rate</t>
    </r>
  </si>
  <si>
    <r>
      <rPr>
        <b/>
        <sz val="10"/>
        <color rgb="FFFF0000"/>
        <rFont val="Arial"/>
        <family val="2"/>
      </rPr>
      <t>Client</t>
    </r>
    <r>
      <rPr>
        <b/>
        <sz val="10"/>
        <color theme="1"/>
        <rFont val="Arial"/>
        <family val="2"/>
      </rPr>
      <t xml:space="preserve"> 
</t>
    </r>
    <r>
      <rPr>
        <sz val="8"/>
        <color theme="1"/>
        <rFont val="Arial"/>
        <family val="2"/>
      </rPr>
      <t>Forecast Method</t>
    </r>
    <r>
      <rPr>
        <b/>
        <sz val="10"/>
        <color theme="1"/>
        <rFont val="Arial"/>
        <family val="2"/>
      </rPr>
      <t xml:space="preserve">
Non-Labor Revenue</t>
    </r>
  </si>
  <si>
    <r>
      <rPr>
        <b/>
        <sz val="10"/>
        <color rgb="FF00338D"/>
        <rFont val="Arial"/>
        <family val="2"/>
      </rPr>
      <t>Jacobs</t>
    </r>
    <r>
      <rPr>
        <b/>
        <sz val="10"/>
        <color theme="1"/>
        <rFont val="Arial"/>
        <family val="2"/>
      </rPr>
      <t xml:space="preserve"> 
</t>
    </r>
    <r>
      <rPr>
        <sz val="8"/>
        <color theme="1"/>
        <rFont val="Arial"/>
        <family val="2"/>
      </rPr>
      <t>Forecast Method</t>
    </r>
    <r>
      <rPr>
        <b/>
        <sz val="10"/>
        <color theme="1"/>
        <rFont val="Arial"/>
        <family val="2"/>
      </rPr>
      <t xml:space="preserve">
Non-Labor Cost</t>
    </r>
  </si>
  <si>
    <r>
      <rPr>
        <b/>
        <sz val="10"/>
        <color rgb="FF00338D"/>
        <rFont val="Arial"/>
        <family val="2"/>
      </rPr>
      <t>Jacobs</t>
    </r>
    <r>
      <rPr>
        <b/>
        <sz val="10"/>
        <color theme="1"/>
        <rFont val="Arial"/>
        <family val="2"/>
      </rPr>
      <t xml:space="preserve"> 
</t>
    </r>
    <r>
      <rPr>
        <sz val="8"/>
        <color theme="1"/>
        <rFont val="Arial"/>
        <family val="2"/>
      </rPr>
      <t>Progressing Method</t>
    </r>
    <r>
      <rPr>
        <b/>
        <sz val="10"/>
        <color theme="1"/>
        <rFont val="Arial"/>
        <family val="2"/>
      </rPr>
      <t xml:space="preserve">
Earned Value Cost</t>
    </r>
  </si>
  <si>
    <t>Curve 
ID</t>
  </si>
  <si>
    <t>Suggested T-phase</t>
  </si>
  <si>
    <t>Suggested Settings</t>
  </si>
  <si>
    <t>Client Labor Rate Forecast Modifier</t>
  </si>
  <si>
    <t>Client Non-Labor Forecast Modifier</t>
  </si>
  <si>
    <t>Using the "Name" column, select peoples' names from the picklist.  This picklist draws from the list of staff names on the Staff List tab.</t>
  </si>
  <si>
    <t>Generally it is helpful to group resources in some way (eg by discipline) and then color code each group appropriately (allocate color codes on the Staff List tab).</t>
  </si>
  <si>
    <t>Adjust the Resource Mix:  Add cheaper local resources to the Staff List (Staff List tab) and allocate hours across to them on the Project Plan tabs</t>
  </si>
  <si>
    <t>Objective</t>
  </si>
  <si>
    <t>2.1.5</t>
  </si>
  <si>
    <t>2.1.6</t>
  </si>
  <si>
    <t>2.1.7</t>
  </si>
  <si>
    <t>2.1.8</t>
  </si>
  <si>
    <t>2.1.9</t>
  </si>
  <si>
    <r>
      <rPr>
        <sz val="8"/>
        <color theme="9" tint="-0.499984740745262"/>
        <rFont val="Wingdings"/>
        <charset val="2"/>
      </rPr>
      <t>l</t>
    </r>
    <r>
      <rPr>
        <sz val="8"/>
        <color theme="9" tint="-0.499984740745262"/>
        <rFont val="Arial"/>
        <family val="2"/>
      </rPr>
      <t xml:space="preserve">  </t>
    </r>
    <r>
      <rPr>
        <b/>
        <sz val="10"/>
        <color theme="9" tint="-0.499984740745262"/>
        <rFont val="Arial"/>
        <family val="2"/>
      </rPr>
      <t>Sanity Check Percentages</t>
    </r>
    <r>
      <rPr>
        <sz val="10"/>
        <color theme="9" tint="-0.499984740745262"/>
        <rFont val="Arial"/>
        <family val="2"/>
      </rPr>
      <t>:  Analysing the proportion of hours (and revenue) that have been allocated against different portions of the project.</t>
    </r>
  </si>
  <si>
    <t>3a Staff Plan Template</t>
  </si>
  <si>
    <t>3b Activity Plan Template</t>
  </si>
  <si>
    <t>Common setup features for both Plan Templates (a) and (b)</t>
  </si>
  <si>
    <t>Which Template to use?</t>
  </si>
  <si>
    <t>3.19.7</t>
  </si>
  <si>
    <r>
      <t xml:space="preserve">Finally, this table is a calculated </t>
    </r>
    <r>
      <rPr>
        <u/>
        <sz val="10"/>
        <color theme="1"/>
        <rFont val="Arial"/>
        <family val="2"/>
      </rPr>
      <t>result</t>
    </r>
    <r>
      <rPr>
        <sz val="10"/>
        <color theme="1"/>
        <rFont val="Arial"/>
        <family val="2"/>
      </rPr>
      <t xml:space="preserve"> of the Project Plan.  To reduce the hours for over-committed resources, the plan itself must be changed (not this check table!)</t>
    </r>
  </si>
  <si>
    <t>Unhide the tab "3c Plan Analysis"</t>
  </si>
  <si>
    <t>3.20</t>
  </si>
  <si>
    <t>3.20.1</t>
  </si>
  <si>
    <t>Use this info as a 'sanity check' for allocation of resources against different areas of the project.</t>
  </si>
  <si>
    <t>This info may also be helpful when completing the Client Pricing Template (depending on its precise requirements)</t>
  </si>
  <si>
    <t>3.20.2</t>
  </si>
  <si>
    <t>3.20.3</t>
  </si>
  <si>
    <t>3.20.4</t>
  </si>
  <si>
    <t>3.20.5</t>
  </si>
  <si>
    <t>3.20.6</t>
  </si>
  <si>
    <t>L4 Code</t>
  </si>
  <si>
    <t>3rd Party Services</t>
  </si>
  <si>
    <r>
      <t>Sell Rate</t>
    </r>
    <r>
      <rPr>
        <sz val="10"/>
        <color theme="1"/>
        <rFont val="Arial"/>
        <family val="2"/>
      </rPr>
      <t xml:space="preserve"> (Banded)</t>
    </r>
  </si>
  <si>
    <t>Orig Revenue (Unbanded)</t>
  </si>
  <si>
    <t>Orig Revenue (Banded)</t>
  </si>
  <si>
    <t>Band Applies for Calculation</t>
  </si>
  <si>
    <t>Band Applies for Display</t>
  </si>
  <si>
    <t>Display?</t>
  </si>
  <si>
    <t>Raw Rates Year 1</t>
  </si>
  <si>
    <t>Raw Rates Year 2</t>
  </si>
  <si>
    <t>Raw Rates Year 3</t>
  </si>
  <si>
    <t>Raw Rates Year 4</t>
  </si>
  <si>
    <t>Raw Rates Year 5</t>
  </si>
  <si>
    <t>Raw Rates Year 6</t>
  </si>
  <si>
    <t>Raw Rates Year 7</t>
  </si>
  <si>
    <t>Raw Rates Year 8</t>
  </si>
  <si>
    <t>Raw Rates Year 9</t>
  </si>
  <si>
    <t>Raw Rates Year 10 Plus</t>
  </si>
  <si>
    <t>Sell Rate Year 1</t>
  </si>
  <si>
    <t>Sell Rate Year 2</t>
  </si>
  <si>
    <t>Sell Rate Year 3</t>
  </si>
  <si>
    <t>Sell Rate Year 4</t>
  </si>
  <si>
    <t>Sell Rate Year 5</t>
  </si>
  <si>
    <t>Sell Rate Year 6</t>
  </si>
  <si>
    <t>Sell Rate Year 7</t>
  </si>
  <si>
    <t>Sell Rate Year 8</t>
  </si>
  <si>
    <t>Sell Rate Year 9</t>
  </si>
  <si>
    <t>Sell Rate Year 10  Plus</t>
  </si>
  <si>
    <t>Labor Rev Year 10 Plus</t>
  </si>
  <si>
    <t>Labor Revenue Year 1</t>
  </si>
  <si>
    <t>Labor Revenue Year 2</t>
  </si>
  <si>
    <t>Labor Revenue Year 3</t>
  </si>
  <si>
    <t>Labor Revenue Year 4</t>
  </si>
  <si>
    <t>Labor Revenue Year 5</t>
  </si>
  <si>
    <t>Labor Revenue Year 6</t>
  </si>
  <si>
    <t>Labor Revenue Year 7</t>
  </si>
  <si>
    <t>Labor Revenue Year 8</t>
  </si>
  <si>
    <t>Labor Revenue Year 9</t>
  </si>
  <si>
    <t>Total Labor</t>
  </si>
  <si>
    <t>Raw Rate Year 1</t>
  </si>
  <si>
    <t>Raw Rate Year 2</t>
  </si>
  <si>
    <t>Raw Rate Year 3</t>
  </si>
  <si>
    <t>Raw Rate Year 4</t>
  </si>
  <si>
    <t>Raw Rate Year 5</t>
  </si>
  <si>
    <t>Raw Rate Year 6</t>
  </si>
  <si>
    <t>Raw Rate Year 7</t>
  </si>
  <si>
    <t>Raw Rate Year 8</t>
  </si>
  <si>
    <t>Raw Rate Year 9</t>
  </si>
  <si>
    <t>Raw Rate Year 10  Plus</t>
  </si>
  <si>
    <t>Lookup Burden %</t>
  </si>
  <si>
    <t>Lookup Bill Rate (Year 1)</t>
  </si>
  <si>
    <t>Labor Raw CostYear 1</t>
  </si>
  <si>
    <t>Labor Raw CostYear 2</t>
  </si>
  <si>
    <t>Labor Raw CostYear 3</t>
  </si>
  <si>
    <t>Labor Raw CostYear 4</t>
  </si>
  <si>
    <t>Labor Raw CostYear 5</t>
  </si>
  <si>
    <t>Labor Raw CostYear 6</t>
  </si>
  <si>
    <t>Labor Raw CostYear 7</t>
  </si>
  <si>
    <t>Labor Raw CostYear 8</t>
  </si>
  <si>
    <t>Labor Raw CostYear 9</t>
  </si>
  <si>
    <t>Labor Raw CostYear 10</t>
  </si>
  <si>
    <t>Labor Burdened Year 1</t>
  </si>
  <si>
    <t>Labor Burdened Year 2</t>
  </si>
  <si>
    <t>Labor Burdened Year 3</t>
  </si>
  <si>
    <t>Labor Burdened Year 4</t>
  </si>
  <si>
    <t>Labor Burdened Year 5</t>
  </si>
  <si>
    <t>Labor Burdened Year 6</t>
  </si>
  <si>
    <t>Labor Burdened Year 7</t>
  </si>
  <si>
    <t>Labor Burdened Year 8</t>
  </si>
  <si>
    <t>Labor Burdened Year 9</t>
  </si>
  <si>
    <t>Labor Burdened Year 10</t>
  </si>
  <si>
    <t>Lookup Burden (1+%)</t>
  </si>
  <si>
    <t>Use this information for:</t>
  </si>
  <si>
    <r>
      <rPr>
        <sz val="8"/>
        <color theme="9" tint="-0.499984740745262"/>
        <rFont val="Wingdings"/>
        <charset val="2"/>
      </rPr>
      <t>l</t>
    </r>
    <r>
      <rPr>
        <sz val="10"/>
        <color theme="9" tint="-0.499984740745262"/>
        <rFont val="Arial"/>
        <family val="2"/>
      </rPr>
      <t xml:space="preserve">  </t>
    </r>
    <r>
      <rPr>
        <b/>
        <sz val="10"/>
        <color theme="9" tint="-0.499984740745262"/>
        <rFont val="Arial"/>
        <family val="2"/>
      </rPr>
      <t>Client Pricing Template</t>
    </r>
    <r>
      <rPr>
        <sz val="10"/>
        <color theme="9" tint="-0.499984740745262"/>
        <rFont val="Arial"/>
        <family val="2"/>
      </rPr>
      <t>:  Assistance in completing the client's tender documentation (RFP) pricing template (if applicable).  Note that these come in many different formats.</t>
    </r>
  </si>
  <si>
    <t>Percentage of Capital Cost</t>
  </si>
  <si>
    <t>Assign Groups</t>
  </si>
  <si>
    <t>Gross 
Margin</t>
  </si>
  <si>
    <t>DLY</t>
  </si>
  <si>
    <t>Burdened
Cost</t>
  </si>
  <si>
    <t>Level 7</t>
  </si>
  <si>
    <t>Level 8</t>
  </si>
  <si>
    <t>Levels 2-4</t>
  </si>
  <si>
    <t>Levels 0-1</t>
  </si>
  <si>
    <t>Over-rided Currency</t>
  </si>
  <si>
    <t>Native Currency X-rate (zeros replaced by Home))</t>
  </si>
  <si>
    <t>Labor?</t>
  </si>
  <si>
    <t>Insert new rows above this range de-limiter.  MAX ROWS = 120</t>
  </si>
  <si>
    <t>Insert new rows above this range de-limiter  MAX=120</t>
  </si>
  <si>
    <t>Insert new rows above this range de-limiter.  MAX ROWS = 120 Control Accounts</t>
  </si>
  <si>
    <t>Active?</t>
  </si>
  <si>
    <r>
      <t xml:space="preserve">Speed (Performance) Issues. </t>
    </r>
    <r>
      <rPr>
        <sz val="10"/>
        <color theme="1"/>
        <rFont val="Arial"/>
        <family val="2"/>
      </rPr>
      <t xml:space="preserve"> If you are having issues, the following will increase the calculation speed of Excel:</t>
    </r>
  </si>
  <si>
    <t xml:space="preserve">Run the tool direct from your computer's hard-drive.  (This action will make a big difference, because running off a server can slow the tool down considerably). </t>
  </si>
  <si>
    <t>The use of this table will depend upon which Pricing Method has been chosen:</t>
  </si>
  <si>
    <r>
      <rPr>
        <b/>
        <sz val="10"/>
        <color theme="1"/>
        <rFont val="Arial"/>
        <family val="2"/>
      </rPr>
      <t>Project-specific Banding</t>
    </r>
    <r>
      <rPr>
        <sz val="10"/>
        <color theme="1"/>
        <rFont val="Arial"/>
        <family val="2"/>
      </rPr>
      <t>: (Optional).   Allocate descriptions in the column provided.  The sell rate for descriptions that match will be weighted and averaged, such that the overall project price does not change.</t>
    </r>
  </si>
  <si>
    <t>2.7.4</t>
  </si>
  <si>
    <t xml:space="preserve"> User Input cell</t>
  </si>
  <si>
    <t xml:space="preserve"> Lookup Value (may be overtyped)</t>
  </si>
  <si>
    <t xml:space="preserve"> Lookup Value (has been overtyped)</t>
  </si>
  <si>
    <t xml:space="preserve"> Calculation Cell (not editable)</t>
  </si>
  <si>
    <t>Rate in
USD</t>
  </si>
  <si>
    <t xml:space="preserve">  Insert additional rows above</t>
  </si>
  <si>
    <r>
      <rPr>
        <b/>
        <sz val="10"/>
        <color theme="1"/>
        <rFont val="Arial"/>
        <family val="2"/>
      </rPr>
      <t>Native Currency:</t>
    </r>
    <r>
      <rPr>
        <sz val="10"/>
        <color theme="1"/>
        <rFont val="Arial"/>
        <family val="2"/>
      </rPr>
      <t xml:space="preserve">  Ditto.</t>
    </r>
  </si>
  <si>
    <r>
      <rPr>
        <b/>
        <sz val="10"/>
        <color theme="1"/>
        <rFont val="Arial"/>
        <family val="2"/>
      </rPr>
      <t>X-Rate to Project Currency</t>
    </r>
    <r>
      <rPr>
        <sz val="10"/>
        <color theme="1"/>
        <rFont val="Arial"/>
        <family val="2"/>
      </rPr>
      <t>:  Used to convert the person's raw cost rate into the project currency.  Based on the annually updated budget x-rates for each currency into USD - so LIKELY TO BE OUT OF DATE.</t>
    </r>
  </si>
  <si>
    <t>This lookup x-rate should generally be over-typed with a more accurate (up-to-date) figure.  If it is not over-typed, then it remains shaded yellow as a warning of suspect data.</t>
  </si>
  <si>
    <r>
      <t>Look for column headings in</t>
    </r>
    <r>
      <rPr>
        <b/>
        <sz val="10"/>
        <color rgb="FFC00000"/>
        <rFont val="Arial"/>
        <family val="2"/>
      </rPr>
      <t xml:space="preserve"> red text</t>
    </r>
    <r>
      <rPr>
        <sz val="10"/>
        <color theme="1"/>
        <rFont val="Arial"/>
        <family val="2"/>
      </rPr>
      <t>.  These are the required minimum inputs to make the tool work.</t>
    </r>
  </si>
  <si>
    <t>Additional rows:  You can insert additional rows into the staff list table at any time (refer "General" above for procedure on adding rows to this tool)</t>
  </si>
  <si>
    <t>Use this template for projects where we need to accurately define our scope of work (eg Lump Sum / Fixed Price).  It is also a more efficient template for large projects.</t>
  </si>
  <si>
    <t>Individual line items in the Activity Plan Template represent detailed tasks/activities (scope).  Hours per person are then allocated against these using a 'sparse matrix' arrangement.</t>
  </si>
  <si>
    <t>This arrangement allows the various activities to be listed out in the plan at whatever level of granular detail is deemed appropriate for the project</t>
  </si>
  <si>
    <t>3.4.6</t>
  </si>
  <si>
    <r>
      <rPr>
        <sz val="8"/>
        <color theme="0" tint="-0.34998626667073579"/>
        <rFont val="Arial"/>
        <family val="2"/>
      </rPr>
      <t>(Optional)</t>
    </r>
    <r>
      <rPr>
        <b/>
        <sz val="10"/>
        <color theme="0" tint="-0.34998626667073579"/>
        <rFont val="Arial"/>
        <family val="2"/>
      </rPr>
      <t xml:space="preserve">
Role</t>
    </r>
  </si>
  <si>
    <t>Color Band</t>
  </si>
  <si>
    <t>Changes</t>
  </si>
  <si>
    <t>Project Grouping</t>
  </si>
  <si>
    <t>PRODUCTION</t>
  </si>
  <si>
    <t>Insert additional rows in the table above this range delimiter</t>
  </si>
  <si>
    <t>All</t>
  </si>
  <si>
    <t>Others</t>
  </si>
  <si>
    <t>Project Phase Description</t>
  </si>
  <si>
    <t>OTHER DIRECT</t>
  </si>
  <si>
    <t>DISTRIBUTED COMPUTER COST</t>
  </si>
  <si>
    <t>WHA</t>
  </si>
  <si>
    <t>WH APPORTIONMENT</t>
  </si>
  <si>
    <t>MECH SERV</t>
  </si>
  <si>
    <t>INSTR &amp; CONTROL SYS</t>
  </si>
  <si>
    <t>PROJECT TECH (DTE/DTS/EDS/CAE)</t>
  </si>
  <si>
    <t>MACHINE DESIGN</t>
  </si>
  <si>
    <t>AUTOMATION / SYS INTEGRATION</t>
  </si>
  <si>
    <t>VD</t>
  </si>
  <si>
    <t>LT</t>
  </si>
  <si>
    <t>LAB/TECHNOLOGY/ACTIVITIES</t>
  </si>
  <si>
    <t>OPERATIONS MGMT</t>
  </si>
  <si>
    <t>DOCUMENT CONTROL</t>
  </si>
  <si>
    <t>QM</t>
  </si>
  <si>
    <t>CONSTR HO SUPPORT</t>
  </si>
  <si>
    <t>SURVEY / LASER / GEOMAT</t>
  </si>
  <si>
    <t>FACILITY SERV</t>
  </si>
  <si>
    <t>ACCOUNTING SERV</t>
  </si>
  <si>
    <t>SUPERINTENDENT</t>
  </si>
  <si>
    <t>QUANTITY SURVEYING</t>
  </si>
  <si>
    <t>QA</t>
  </si>
  <si>
    <t>QA/QC</t>
  </si>
  <si>
    <t>TECHNICAL FIELD SERVICES</t>
  </si>
  <si>
    <t>03  Construction</t>
  </si>
  <si>
    <t>04  Project Services</t>
  </si>
  <si>
    <t>Billable
Hours</t>
  </si>
  <si>
    <t>Total
Cost</t>
  </si>
  <si>
    <t>Total
Revenue</t>
  </si>
  <si>
    <t>Client
Cost</t>
  </si>
  <si>
    <t>Jacobs
Cost</t>
  </si>
  <si>
    <t>Filter: Original Budget</t>
  </si>
  <si>
    <t>Redistribute for Mgt Rsv</t>
  </si>
  <si>
    <t>Total
Hours</t>
  </si>
  <si>
    <t>Jacobs Rate</t>
  </si>
  <si>
    <t>Client Rate</t>
  </si>
  <si>
    <t>DO NOT PANIC!  This tool appears overwhelming at first, because it has the functionality to be used for many different types of project and also for very large bids.  Chances are, that you will be able to leave many of the fields blank.</t>
  </si>
  <si>
    <t>Step 1:  Setup the Pricing Tool</t>
  </si>
  <si>
    <t>Nominate a pool of resources to draw from when building up the Project Plan. Personal data for each person is entered here (name, role, home PU, raw rates, employment type, etc.)</t>
  </si>
  <si>
    <t>Staff Plan template and Activity Plan template</t>
  </si>
  <si>
    <t>Step 3:  Plan the Project</t>
  </si>
  <si>
    <t>Sign-off tab</t>
  </si>
  <si>
    <r>
      <rPr>
        <b/>
        <sz val="10"/>
        <color theme="1"/>
        <rFont val="Arial"/>
        <family val="2"/>
      </rPr>
      <t>Adjust the Hours</t>
    </r>
    <r>
      <rPr>
        <sz val="10"/>
        <color theme="1"/>
        <rFont val="Arial"/>
        <family val="2"/>
      </rPr>
      <t xml:space="preserve"> (for a particular line item of scope):  Use the "Hours Adjust Over-ride" (Column B) on the far left of the Project Plan templates.  This is an auditable method for making last minute adjustments.</t>
    </r>
  </si>
  <si>
    <t>Control Accounts tab</t>
  </si>
  <si>
    <t>Be sure to download an example file that has been configured to your country and project type.</t>
  </si>
  <si>
    <r>
      <t xml:space="preserve">These minimum required inputs are also highlighted in </t>
    </r>
    <r>
      <rPr>
        <sz val="10"/>
        <color rgb="FFC00000"/>
        <rFont val="Arial"/>
        <family val="2"/>
      </rPr>
      <t xml:space="preserve">red text in this User Guide </t>
    </r>
    <r>
      <rPr>
        <sz val="10"/>
        <rFont val="Arial"/>
        <family val="2"/>
      </rPr>
      <t>(see below)</t>
    </r>
  </si>
  <si>
    <t>Do not expand the rows/columns in the tool more than you need to (eg delete large numbers of uneccessary blank rows at the bottom of the project plan)</t>
  </si>
  <si>
    <t>3c Plan Analysis tab</t>
  </si>
  <si>
    <t>Ensure that all control accounts are complete and that a budget amount has been calculated against each.  Ensure that the total budget matches the Contract Price.</t>
  </si>
  <si>
    <t>Ensure that all Path IDs have populated correctly.</t>
  </si>
  <si>
    <t>Estimate contract changes/variations in the same way you built up the original estimate</t>
  </si>
  <si>
    <t>If you have spare empty rows at the foot of your Project Plan tab then use them - or else create new rows if you have to (refer general section 0.4 above)</t>
  </si>
  <si>
    <t>Estimate the new work in the same way you created the original estimate.  Use as many new line items as you need to describe the new scope</t>
  </si>
  <si>
    <t>8.4.2</t>
  </si>
  <si>
    <t>3b Activity Plan tab</t>
  </si>
  <si>
    <t>If this Plan template was used, ensure that the Calendar section (on the right hand side of the tab) has been populated.  If this is not done, timephase data will not be passed across to EcoSys.</t>
  </si>
  <si>
    <t>Unhiding Hidden tabs</t>
  </si>
  <si>
    <t>0.7.1</t>
  </si>
  <si>
    <t>Position the mouse cursor over any of the tab labels at the bottom of the Excel screen.</t>
  </si>
  <si>
    <t>0.7.2</t>
  </si>
  <si>
    <t>Right-click and select "Unhide …"</t>
  </si>
  <si>
    <t>Enter your chosen level in the yellow dropdown box at the top of the Control Accounts page.</t>
  </si>
  <si>
    <t>WBS Codes - Number of characters</t>
  </si>
  <si>
    <t>Map your GFS WBS Codes against the line items on your Project Plan</t>
  </si>
  <si>
    <t>5.5.1</t>
  </si>
  <si>
    <t>5.5.2</t>
  </si>
  <si>
    <t>5.6.1</t>
  </si>
  <si>
    <t>5.6.2</t>
  </si>
  <si>
    <t>When the Pricing Tool finds a WBS Code on the Project Plan that is not represented in the list on the Control Accounts tab, it shades it yellow as a warning.</t>
  </si>
  <si>
    <t>Similarly, when the Pricing Tool finds a WBS Code on the list on the Control Accounts tab that is not represented on the Project Plan, then it also shades it yellow as a warning.</t>
  </si>
  <si>
    <t>There is no point in mapping WBS Codes against headings (although it doesn't do any harm).</t>
  </si>
  <si>
    <t>Missing WBS Codes show up as bright orange (Warning: critical data missing).</t>
  </si>
  <si>
    <t>Do a FINAL CHECK, by ensuring that the project totals on the Control Accounts tab, add up to the same as the total on the Project Plan tab.</t>
  </si>
  <si>
    <t>Project Plan tabs</t>
  </si>
  <si>
    <t>There are a number of EcoSys control account settings (in the green cells) on the left hand side of the Control Accounts tab.</t>
  </si>
  <si>
    <t>These will be uploaded into EcoSys via the API and are a convenient way of making these settings in EcoSys.  However, these settings can equally be made (or changed) manually in EcoSys at any time.</t>
  </si>
  <si>
    <t>The Pricing Tool presents some "suggested settings" - but these can be over-typed if appropriate - or just left blank.</t>
  </si>
  <si>
    <t>For information on how these settings are used, refer to the EcoSys User Guide.</t>
  </si>
  <si>
    <r>
      <t xml:space="preserve">Control Accounts tab </t>
    </r>
    <r>
      <rPr>
        <sz val="12"/>
        <color rgb="FF00338D"/>
        <rFont val="Arial"/>
        <family val="2"/>
      </rPr>
      <t>(left hand side)</t>
    </r>
  </si>
  <si>
    <t>Suspense Account</t>
  </si>
  <si>
    <t>5.7.1</t>
  </si>
  <si>
    <t>5.7.2</t>
  </si>
  <si>
    <t>5.7.3</t>
  </si>
  <si>
    <t>5.7.4</t>
  </si>
  <si>
    <t>EcoSys requires a Suspense Account, in which it places any Actual Costs that are incorrectly coded (ie do not match any of the Path IDs setup in EcoSys).  This is similar to the standard WBS code "1" used by GFS.</t>
  </si>
  <si>
    <t>The Suspense account is created automatically by the API, so it does not appear on the Control Accounts tab.  However, it will appear in EcoSys.</t>
  </si>
  <si>
    <t>Found on the Setup tab</t>
  </si>
  <si>
    <t>Period of Performance (POP) Start Date</t>
  </si>
  <si>
    <t>6.4.1</t>
  </si>
  <si>
    <t>6.5.1</t>
  </si>
  <si>
    <t>6.6.1</t>
  </si>
  <si>
    <t>GM  Guaranteed Maximim</t>
  </si>
  <si>
    <t>FP   Fixed Price</t>
  </si>
  <si>
    <t>FR   Fixed Price with Reimbursables</t>
  </si>
  <si>
    <t>LS   Lump Sum</t>
  </si>
  <si>
    <t>LR   Lump Sum with Reimbursables</t>
  </si>
  <si>
    <t>TM   Time and Materials</t>
  </si>
  <si>
    <t>CA   Cost Plus an Award Fee</t>
  </si>
  <si>
    <t>CF   Cost Plus a Fixed Fee</t>
  </si>
  <si>
    <t>CN   Cost Plus No Fee</t>
  </si>
  <si>
    <t>NX    Not To Exceed Price</t>
  </si>
  <si>
    <t>FM   Cost Plus a Fixed Multiplier</t>
  </si>
  <si>
    <t>IF   Inter-company Fixed Price</t>
  </si>
  <si>
    <t>IM   Inter-company Time &amp; Materials</t>
  </si>
  <si>
    <t>IR   Inter-company Cost Reimbursable</t>
  </si>
  <si>
    <t>CP   Cost Plus a Percentage Fee</t>
  </si>
  <si>
    <t>Cost Reimbursable contract where we are paid up to a pre-agreed ceiling (Upper Limit, or Cap).</t>
  </si>
  <si>
    <t>Line Item Nos. (Optional)</t>
  </si>
  <si>
    <t>All labor hours are paid for at agreed rates and expenses are reimbursed at cost (or with an agreed mark-up).  T&amp;M contracts are not subject to a cap or upper limit - so they may not be very common in practice.</t>
  </si>
  <si>
    <t>Similar to Cost Plus a Fixed Fee, but also subject to a pre-agreed Upper Limit on the reimbursable component.</t>
  </si>
  <si>
    <t>Cost Reimbursable contract where we are paid actual costs times a fixed multiplier (to allow for overheads and profit).</t>
  </si>
  <si>
    <t>Similar to Fixed Price, but used for internally billing another Jacobs entity on non cross-charged projects.</t>
  </si>
  <si>
    <t>Similar to Time &amp; Materials, but used for internally billing another Jacobs entity on non cross-charged projects.</t>
  </si>
  <si>
    <t>Similar to Cost Plus, but used for internally billing another Jacobs entity on non cross-charged projects.</t>
  </si>
  <si>
    <r>
      <t>Project Plan tabs</t>
    </r>
    <r>
      <rPr>
        <sz val="12"/>
        <color rgb="FF00338D"/>
        <rFont val="Arial"/>
        <family val="2"/>
      </rPr>
      <t xml:space="preserve"> (Staff Plan / Activity Plan)</t>
    </r>
  </si>
  <si>
    <t>Hardcoded</t>
  </si>
  <si>
    <t>Change ID</t>
  </si>
  <si>
    <r>
      <t>Enter the 8-digit Project Number that has been setup in GFS</t>
    </r>
    <r>
      <rPr>
        <sz val="10"/>
        <color rgb="FFC00000"/>
        <rFont val="Arial"/>
        <family val="2"/>
      </rPr>
      <t xml:space="preserve"> (Required input)</t>
    </r>
  </si>
  <si>
    <t>5.5.3</t>
  </si>
  <si>
    <t>5.5.4</t>
  </si>
  <si>
    <t>5.5.5</t>
  </si>
  <si>
    <t>5.7.5</t>
  </si>
  <si>
    <t>5.7.6</t>
  </si>
  <si>
    <t>5.8.1</t>
  </si>
  <si>
    <t>5.8.2</t>
  </si>
  <si>
    <t>5.8.3</t>
  </si>
  <si>
    <t>5.8.4</t>
  </si>
  <si>
    <t>Minimum = Level 4.  Maximum = Level 8.  If you need to go below level 6, then unhide the relevant columns on the Control Accounts tab.</t>
  </si>
  <si>
    <t>Optional.  Used in conjunction with the 3c Plan Analysis tab (see below - you may need to unhide this tab).</t>
  </si>
  <si>
    <t>Typically, this would only be used by senior management when reviewing, or making last-minute adjustments to a bid.  It should not used when building up the Project Plan in the first place.</t>
  </si>
  <si>
    <t>Entering Non-Labor</t>
  </si>
  <si>
    <t>3.5</t>
  </si>
  <si>
    <t>3.5.3</t>
  </si>
  <si>
    <t>3.5.4</t>
  </si>
  <si>
    <t>3.5.5</t>
  </si>
  <si>
    <t>Entering Labor (Hours)</t>
  </si>
  <si>
    <t>Roles and color coding are looked up and auto-populate.</t>
  </si>
  <si>
    <t>Enter planned hours per week/month in the boxes on the calendar</t>
  </si>
  <si>
    <r>
      <rPr>
        <b/>
        <sz val="10"/>
        <color theme="1"/>
        <rFont val="Arial"/>
        <family val="2"/>
      </rPr>
      <t>Non-Labor Class:</t>
    </r>
    <r>
      <rPr>
        <sz val="10"/>
        <color theme="1"/>
        <rFont val="Arial"/>
        <family val="2"/>
      </rPr>
      <t xml:space="preserve">  Select from the pick-list.  The picklist consists of standard and user-defined items and is specified in the Detailed Margin Profile report on the LHS of the Staff Details tab.</t>
    </r>
  </si>
  <si>
    <r>
      <rPr>
        <b/>
        <sz val="10"/>
        <color rgb="FFC00000"/>
        <rFont val="Arial"/>
        <family val="2"/>
      </rPr>
      <t>Cost</t>
    </r>
    <r>
      <rPr>
        <sz val="10"/>
        <color rgb="FFC00000"/>
        <rFont val="Arial"/>
        <family val="2"/>
      </rPr>
      <t xml:space="preserve">:  Enter the total non-labor cost  </t>
    </r>
    <r>
      <rPr>
        <sz val="10"/>
        <color theme="1"/>
        <rFont val="Arial"/>
        <family val="2"/>
      </rPr>
      <t>(this is then timephased separately using the calendar)</t>
    </r>
  </si>
  <si>
    <t>Entering Labor - Step 1: Select staff from the Master Staff List</t>
  </si>
  <si>
    <t>Resource Number</t>
  </si>
  <si>
    <t>Using the Resource Number tags, cross-reference staff columns on the Activity Plan with staff rows from the Master Staff List (Staff List tab)</t>
  </si>
  <si>
    <t>You can insert additional resource columns (as required).  Every resource column must be cross-referenced with the Master Staff List using the Resource Number tags.</t>
  </si>
  <si>
    <t>People do not have to be in the same order as the Master Staff List, but do not include anyone more than once in the table</t>
  </si>
  <si>
    <t>Entering Labor - Step 2: Enter detailed scope line items and assign hours</t>
  </si>
  <si>
    <t>Entering Labor - Step 3: Timephase the scope line items</t>
  </si>
  <si>
    <t>If there are items which have not been scheduled in this way, then the Cash-flow and the Staff Check calculations will be incomplete.  The schedule will turn orange as a warning.</t>
  </si>
  <si>
    <t>Items don't have to be uniformly distributed.  If you had a 3 week activity with 1-1-2 in the three boxes, this would put 25% of the work effort in the first two weeks and 50% of the effort in the third week.</t>
  </si>
  <si>
    <t>Activity Plan Template - Time-based Mode (Optional)</t>
  </si>
  <si>
    <t>Review the Project Plan (proposed scope of work)</t>
  </si>
  <si>
    <t>Project Plan tab(s)</t>
  </si>
  <si>
    <t>Scan the line items on the appropriate Plan tab and the hours (and expenses) allowed for each.  Check that no single line item is too large as this leads to inaccuracies.</t>
  </si>
  <si>
    <t>To adjust the hours allowed for any particular line item, use the 'Hours Adjust Override' (Column B) on each Plan Template</t>
  </si>
  <si>
    <t>Review the Raw Cost Rates to ensure that accurate raw cost rates have by now been entered in the tool against every person</t>
  </si>
  <si>
    <t>Review the selected Pricing Method</t>
  </si>
  <si>
    <t>Ensure that the Pricing Method reflects the Contract Type</t>
  </si>
  <si>
    <t>Review the proposed project team and the projected GM/Hr for each person</t>
  </si>
  <si>
    <r>
      <t xml:space="preserve">Potential Gross Margin  </t>
    </r>
    <r>
      <rPr>
        <sz val="10"/>
        <color theme="1"/>
        <rFont val="Arial"/>
        <family val="2"/>
      </rPr>
      <t>(For discussion on how this is calculated see below)</t>
    </r>
  </si>
  <si>
    <r>
      <t xml:space="preserve">Review the </t>
    </r>
    <r>
      <rPr>
        <b/>
        <sz val="10"/>
        <color theme="1"/>
        <rFont val="Arial"/>
        <family val="2"/>
      </rPr>
      <t xml:space="preserve">Staffing Check </t>
    </r>
    <r>
      <rPr>
        <sz val="10"/>
        <color theme="1"/>
        <rFont val="Arial"/>
        <family val="2"/>
      </rPr>
      <t>table (top-right corner of each Plan tab).  Check that we have sufficient resources to deliver to the proposed schedule and that it all looks 'workable'.</t>
    </r>
  </si>
  <si>
    <t>Review the global Revenue Multipliers and/or Overhead Rates that have been used for pricing purposes (Note that individual overrides can be applied on the Staff List tab)</t>
  </si>
  <si>
    <r>
      <t xml:space="preserve">Net Operating Margin (NOM)  </t>
    </r>
    <r>
      <rPr>
        <sz val="10"/>
        <color theme="1"/>
        <rFont val="Arial"/>
        <family val="2"/>
      </rPr>
      <t>(For discussion on how this is calculated, see below)</t>
    </r>
  </si>
  <si>
    <t>Non-Labor: Cost plus % Markup (where specified)</t>
  </si>
  <si>
    <t xml:space="preserve">Labor: Calculated as the sum of the hours planned for each person times their Final Sell Rate (refer Staff List tab). </t>
  </si>
  <si>
    <t>The figure that is signed-off and that the PM is accountable to meet.</t>
  </si>
  <si>
    <t>Includes Contingency (Labor and Non-Labor)</t>
  </si>
  <si>
    <t>Includes Revenue Escalation (unless this has been specifically excluded, refer User Guide section 2.7)</t>
  </si>
  <si>
    <t>Potential Gross Margin</t>
  </si>
  <si>
    <t>The GM that we would make if the Contingency and/or Management Reserve are not spent</t>
  </si>
  <si>
    <t>For Reimbursable projects, unspent Management Reserve will restore the potential GM back to what we would have got if no Management Reserve had been taken.</t>
  </si>
  <si>
    <t>4.10.1</t>
  </si>
  <si>
    <t>4.10.2</t>
  </si>
  <si>
    <t>4.10.3</t>
  </si>
  <si>
    <t>4.10.4</t>
  </si>
  <si>
    <t>4.10.5</t>
  </si>
  <si>
    <t>4.10</t>
  </si>
  <si>
    <t>Team</t>
  </si>
  <si>
    <t>Project Teams</t>
  </si>
  <si>
    <t>1.4.3</t>
  </si>
  <si>
    <t>Single Multiplier on Raw</t>
  </si>
  <si>
    <t>3.4.7</t>
  </si>
  <si>
    <r>
      <rPr>
        <b/>
        <sz val="10"/>
        <color rgb="FFC00000"/>
        <rFont val="Arial"/>
        <family val="2"/>
      </rPr>
      <t xml:space="preserve">Resource Number </t>
    </r>
    <r>
      <rPr>
        <sz val="10"/>
        <color rgb="FFC00000"/>
        <rFont val="Arial"/>
        <family val="2"/>
      </rPr>
      <t>(Required input if using the 3a Activity Plan template)</t>
    </r>
    <r>
      <rPr>
        <b/>
        <sz val="10"/>
        <color theme="1"/>
        <rFont val="Arial"/>
        <family val="2"/>
      </rPr>
      <t xml:space="preserve"> </t>
    </r>
    <r>
      <rPr>
        <sz val="10"/>
        <color theme="1"/>
        <rFont val="Arial"/>
        <family val="2"/>
      </rPr>
      <t xml:space="preserve">These hardcoded 'numerical tags' are used for cross-referencing the rows in the Staff List with the resource columns in the 3a Activity Plan template.  Duplicates are not allowed.  (Not needed if using the Staff Plan template). </t>
    </r>
  </si>
  <si>
    <t>2.1.10</t>
  </si>
  <si>
    <t>Jacobs Only</t>
  </si>
  <si>
    <t>Excl. contingency</t>
  </si>
  <si>
    <t>Raw</t>
  </si>
  <si>
    <t>Cost Plus (Generic)</t>
  </si>
  <si>
    <t>Direct Entry Rates</t>
  </si>
  <si>
    <t>Direct Entry Rates (with Scaling Factor)</t>
  </si>
  <si>
    <t>A single multiplier is applied to all raw rates to create sell rates</t>
  </si>
  <si>
    <t>Simple to explain</t>
  </si>
  <si>
    <t>Can produce very high rates for Jobshoppers or staff with unusually high raw rates</t>
  </si>
  <si>
    <t>Different multipliers are applied, depending upon people's employment type</t>
  </si>
  <si>
    <t>Harder to explain</t>
  </si>
  <si>
    <t>Required method by some clients</t>
  </si>
  <si>
    <t>Fields for these different multipliers are present on the PAP Form</t>
  </si>
  <si>
    <r>
      <t xml:space="preserve">For pricing purposes "cost" means raw cost </t>
    </r>
    <r>
      <rPr>
        <i/>
        <sz val="10"/>
        <color theme="1"/>
        <rFont val="Arial"/>
        <family val="2"/>
      </rPr>
      <t>times</t>
    </r>
    <r>
      <rPr>
        <sz val="10"/>
        <color theme="1"/>
        <rFont val="Arial"/>
        <family val="2"/>
      </rPr>
      <t xml:space="preserve"> an OH%.  (This OH% is higher than the standard PU burdening rate because it includes regional and corporate overheads as well)</t>
    </r>
  </si>
  <si>
    <t>Fee is then priced using a percentage of the "cost".   The Fee is nominally our profit component.</t>
  </si>
  <si>
    <t>Not really a pricing method as such, but a means of directly entering Sell Rates against individual people's names.</t>
  </si>
  <si>
    <t>Similar to the above, but with a global Scaling Factor that allows you to quickly adjust the rates without having to re-type them all in again.</t>
  </si>
  <si>
    <t>Project-specific Rates Set (Banded Rates)</t>
  </si>
  <si>
    <t>Typically applicable to Consulting Services where sell rates are based on grades (or career levels) and then scaled to meet market conditions for a particular bid.</t>
  </si>
  <si>
    <t>There is no drop-down option for this pricing method.</t>
  </si>
  <si>
    <t>For Reimbursable projects with an upper limit (cap), the potential GM calculation assumes that the cap is not reached</t>
  </si>
  <si>
    <t>Change Number</t>
  </si>
  <si>
    <t>Burdened Cost</t>
  </si>
  <si>
    <t>L4 First Row</t>
  </si>
  <si>
    <t>Facilitates the automated upload of project setup data into IPCS (EcoSys).</t>
  </si>
  <si>
    <t xml:space="preserve">Check how many hours (and how much revenue) have been allocated against different portions of the project plan.  </t>
  </si>
  <si>
    <t>3.20.7</t>
  </si>
  <si>
    <t>USER GUIDE</t>
  </si>
  <si>
    <t>As-Sold Engineering Services Revenue:  Go to Sign-off tab &gt; Section 1. Final Bid (As Sold)</t>
  </si>
  <si>
    <t>As-Sold Engineering Services Hours:  Ditto</t>
  </si>
  <si>
    <t>As-Sold Gross Margin:  Ditto</t>
  </si>
  <si>
    <t>As-Sold Contingency (if required):  Go to Sign-off tab &gt; Contingency</t>
  </si>
  <si>
    <r>
      <t xml:space="preserve"> You can insert additional rows anywhere in the table above this Range De-limiter.  Backfill empty formulae by copying an </t>
    </r>
    <r>
      <rPr>
        <u/>
        <sz val="10"/>
        <color theme="9" tint="-0.499984740745262"/>
        <rFont val="Arial"/>
        <family val="2"/>
      </rPr>
      <t>entire</t>
    </r>
    <r>
      <rPr>
        <sz val="10"/>
        <color theme="9" tint="-0.499984740745262"/>
        <rFont val="Arial"/>
        <family val="2"/>
      </rPr>
      <t xml:space="preserve"> existing empty row and pasting onto the new row. Refer User Guide section 0.4</t>
    </r>
  </si>
  <si>
    <r>
      <t xml:space="preserve"> You can insert additional rows anywhere in the table above this Range De-limiter.  Backfill empty formulae by copying an </t>
    </r>
    <r>
      <rPr>
        <u/>
        <sz val="10"/>
        <color theme="9" tint="-0.499984740745262"/>
        <rFont val="Arial"/>
        <family val="2"/>
      </rPr>
      <t>entire</t>
    </r>
    <r>
      <rPr>
        <sz val="10"/>
        <color theme="9" tint="-0.499984740745262"/>
        <rFont val="Arial"/>
        <family val="2"/>
      </rPr>
      <t xml:space="preserve"> existing empty row and pasting onto the new row.  Refer User Guide section 0.4</t>
    </r>
  </si>
  <si>
    <t>Path ID Codes</t>
  </si>
  <si>
    <t>Levels 2-8</t>
  </si>
  <si>
    <t>None Populated</t>
  </si>
  <si>
    <t>Lowest</t>
  </si>
  <si>
    <r>
      <t xml:space="preserve">To backfill the new empty row (or column), you must first select an </t>
    </r>
    <r>
      <rPr>
        <u/>
        <sz val="10"/>
        <color theme="1"/>
        <rFont val="Arial"/>
        <family val="2"/>
      </rPr>
      <t>entire</t>
    </r>
    <r>
      <rPr>
        <sz val="10"/>
        <color theme="1"/>
        <rFont val="Arial"/>
        <family val="2"/>
      </rPr>
      <t xml:space="preserve"> (formula-filled) adjacent row (or column) and then use this to 'repair' the newly inserted one.</t>
    </r>
  </si>
  <si>
    <t>Copy an entire existing row (or column) by selecting in the left hand (or top) margin and then paste this entire row into the new empty row (or column).</t>
  </si>
  <si>
    <t>Alternatively, it may be quicker to simply select an adjacent row (or column) from the left hand (or top) gray margin.  Then using the "fill handle", simply fill down/across.</t>
  </si>
  <si>
    <t>Expanding the Tool (Inserting additional Rows and Columns)  YOU MUST READ THIS</t>
  </si>
  <si>
    <r>
      <t xml:space="preserve">Insert additional rows in the table anywhere above this range delimiter. </t>
    </r>
    <r>
      <rPr>
        <sz val="9"/>
        <color rgb="FFC00000"/>
        <rFont val="Arial"/>
        <family val="2"/>
      </rPr>
      <t xml:space="preserve"> Refer to User Guide section 0.4</t>
    </r>
  </si>
  <si>
    <t>ALL</t>
  </si>
  <si>
    <t>Resource Planning / Resource Levelling</t>
  </si>
  <si>
    <t>Both Plan Templates</t>
  </si>
  <si>
    <t>The Staff Check table has the same format for both Plan templates and is located at top-right of each Plan Template.  Make sure that you don't have split screen turned on, or you may not be able to see it.</t>
  </si>
  <si>
    <t>If there are not enough rows in the table, for the number of resources you have, then additional rows can be inserted</t>
  </si>
  <si>
    <t>A small amount of 'orange' surrounded by green may be considered to be OK.  A large block of 'orange' for a particular individual is definitely a problem.  It effectively means that your proposed delivery schedule is unrealistic!</t>
  </si>
  <si>
    <t>The Resource Planning / Levelling functionality in this tool makes use of the Staffing Check analysis</t>
  </si>
  <si>
    <t>Perform a "sanity check" of the Project Plan, by breaking down the overall price into a number of different elements.</t>
  </si>
  <si>
    <t>Define up to 7 "Elements" of the project.  These must be mapped to the line items in the Project Plan(s) and will depend upon how you have structured the Plan.  They could be Areas, Stages, Phases, Major Work Elements, etc.  The main point is that they are mapped to line items.</t>
  </si>
  <si>
    <t>The selected Project Plan is then analysed against these two criteria.</t>
  </si>
  <si>
    <t>You can choose whether, or not, to separate out contingency.  By default, contingency is also rolled into the overall figures.</t>
  </si>
  <si>
    <t>3.20.8</t>
  </si>
  <si>
    <t xml:space="preserve">Define a number of Team Groups and map these against individuals using the relevant column on the Master Staff List (Staff List tab).  These should ideally be the delivery teams within your overall project organisation structure. </t>
  </si>
  <si>
    <t>Revenue escalation is rolled into the figures in the analysis (it does not appear separately)</t>
  </si>
  <si>
    <t>Obtain data for filling in client pricing templates that are frequently attached to the client's Request for Bid documentation</t>
  </si>
  <si>
    <t>WBS Codes in GFS</t>
  </si>
  <si>
    <t>The project Start Date is found on the Control Accounts tab in the Timephase Original Budget table.  It may be prudent to make it a week earlier in GFS as 'buffer' in case the project starts early.</t>
  </si>
  <si>
    <t>6.4.2</t>
  </si>
  <si>
    <t>6.4.3</t>
  </si>
  <si>
    <t>6.4.4</t>
  </si>
  <si>
    <t>6.7.1</t>
  </si>
  <si>
    <t>6.7.2</t>
  </si>
  <si>
    <t>6.7.3</t>
  </si>
  <si>
    <t>For instructions on inserting rows refer to section 0.4 of this User Guide (above)</t>
  </si>
  <si>
    <t>Not strictly needed when first building up the Plan.  (This column is used later to map GFS Control Accounts to the different elements of the Plan</t>
  </si>
  <si>
    <t>However:  when building up the plan, you must be mindful of the likely WBS codes that you will be using.</t>
  </si>
  <si>
    <t>3.7.2</t>
  </si>
  <si>
    <t>3.13.4</t>
  </si>
  <si>
    <t>IMPORTANT:  If you have previously entered a non-labor item, then you will not be able to enter hours on the same line.  This is intentional, because EcoSys requires different WBS Codes to be used for Labor and Non-Labor</t>
  </si>
  <si>
    <t>3.14.5</t>
  </si>
  <si>
    <t>LookupStartDate</t>
  </si>
  <si>
    <t>LookupEndDate</t>
  </si>
  <si>
    <t>8.3.1</t>
  </si>
  <si>
    <t>8.3.2</t>
  </si>
  <si>
    <t>The various tables throughout this tool can be expanded, so that the tool is able to accommodate virtually any sized project (eg numbers of resources, calendar weeks/months).</t>
  </si>
  <si>
    <r>
      <rPr>
        <b/>
        <sz val="10"/>
        <color theme="1"/>
        <rFont val="Arial"/>
        <family val="2"/>
      </rPr>
      <t>Field:</t>
    </r>
    <r>
      <rPr>
        <sz val="10"/>
        <color theme="1"/>
        <rFont val="Arial"/>
        <family val="2"/>
      </rPr>
      <t xml:space="preserve">  Used for long term placements on site which justify changing a person's overhead (burden) rate.  Do not use this type for regular staff who make occasional site visits.</t>
    </r>
  </si>
  <si>
    <t>6.4.5</t>
  </si>
  <si>
    <t>Purpose of the Pricing Tool</t>
  </si>
  <si>
    <t>l</t>
  </si>
  <si>
    <t>Hours are then allocated against individual activities using a 'sparse matrix' arrangement.</t>
  </si>
  <si>
    <r>
      <t xml:space="preserve">Step 2:  Staff List </t>
    </r>
    <r>
      <rPr>
        <sz val="22"/>
        <color rgb="FF00338D"/>
        <rFont val="Arial"/>
        <family val="2"/>
      </rPr>
      <t>(Resource Pool)</t>
    </r>
  </si>
  <si>
    <r>
      <t xml:space="preserve">Further analysis </t>
    </r>
    <r>
      <rPr>
        <sz val="18"/>
        <color rgb="FF00338D"/>
        <rFont val="Arial"/>
        <family val="2"/>
      </rPr>
      <t>(and Client Pricing Templates)</t>
    </r>
  </si>
  <si>
    <t>Step 4:  Sign-Off</t>
  </si>
  <si>
    <t>Step 5: Configure your Control Accounts</t>
  </si>
  <si>
    <t>Step 6: Upload project setup data to GFS</t>
  </si>
  <si>
    <r>
      <t xml:space="preserve">Setup the Headings and Sub-headings </t>
    </r>
    <r>
      <rPr>
        <sz val="10"/>
        <color theme="1"/>
        <rFont val="Arial"/>
        <family val="2"/>
      </rPr>
      <t>for the planned line items (scope)</t>
    </r>
  </si>
  <si>
    <t>Bill
Rate</t>
  </si>
  <si>
    <t>Pro-Services (Staff)</t>
  </si>
  <si>
    <r>
      <rPr>
        <b/>
        <sz val="10"/>
        <rFont val="Arial"/>
        <family val="2"/>
      </rPr>
      <t>Revenue Rates</t>
    </r>
    <r>
      <rPr>
        <sz val="10"/>
        <rFont val="Arial"/>
        <family val="2"/>
      </rPr>
      <t>:  (Internal Accrual Rates).   These are the rates that revenue is deemed to accrue to the project for internal revenue recognition purposes.</t>
    </r>
  </si>
  <si>
    <r>
      <rPr>
        <b/>
        <sz val="10"/>
        <rFont val="Arial"/>
        <family val="2"/>
      </rPr>
      <t xml:space="preserve">Bill Rates:  </t>
    </r>
    <r>
      <rPr>
        <sz val="10"/>
        <rFont val="Arial"/>
        <family val="2"/>
      </rPr>
      <t>(Client Bill Rates).  These are used for invoicing the client.</t>
    </r>
  </si>
  <si>
    <t>When do the Revenue Rates and the Bill Rates differ?</t>
  </si>
  <si>
    <r>
      <rPr>
        <b/>
        <sz val="10"/>
        <rFont val="Arial"/>
        <family val="2"/>
      </rPr>
      <t>Management Reserve:</t>
    </r>
    <r>
      <rPr>
        <sz val="10"/>
        <rFont val="Arial"/>
        <family val="2"/>
      </rPr>
      <t xml:space="preserve">  Management Reserve is only applied to internally recognised revenue.  A certain amount is skimmed off the revenue rates and placed in a separate budget.  However, the amount that is charged to the client remains unchanged in order to create the 'reserve'.  In this case the Client Bill Rates will be slightly higher than the Internal Revenue Rates.</t>
    </r>
  </si>
  <si>
    <t>Adj Fee</t>
  </si>
  <si>
    <t>Base</t>
  </si>
  <si>
    <t>Fee&amp; M Res</t>
  </si>
  <si>
    <t>Price = Percentage of Capital Cost</t>
  </si>
  <si>
    <t>Set the Contract Type to "Fixed Price"</t>
  </si>
  <si>
    <t>Build up a Project Plan in the normal way by assigning people's names and hours against a scope of work.</t>
  </si>
  <si>
    <t>Set the Pricing Method to "Multiplier" and initially set all the multipliers at 1.0</t>
  </si>
  <si>
    <t>Add in a Contingency on the Sign-off tab (typically this type of arrangement is high risk)</t>
  </si>
  <si>
    <t>Review the resultant Gross Margin</t>
  </si>
  <si>
    <t>EcoSys Forecast Methods</t>
  </si>
  <si>
    <t>5.8.5</t>
  </si>
  <si>
    <t xml:space="preserve">Review the suggested EcoSys Forecast settings (in the green cells) and either accept them, amend them or delete them. </t>
  </si>
  <si>
    <t>Cost Reimbursable contract in which the fee component is a simple percentage of costs.  It is truly variable.</t>
  </si>
  <si>
    <t>Cost Reimbursable contract without a fee component</t>
  </si>
  <si>
    <t>Cost Reimbursable contract where the entire fee is at risk (subject to specific contractual terms)</t>
  </si>
  <si>
    <t>(vi)</t>
  </si>
  <si>
    <t>GID</t>
  </si>
  <si>
    <t>Cost Reimbursable contract in which the fee component is fixed.  It is generally invoiced separately and in some cases may even be subject to performance based KPIs.</t>
  </si>
  <si>
    <t>Majority Lump Sum (for labor), but a small (typically up to 15%) component is paid for on a reimbursable basis.  Different WBS Codes are setup to accommodate this.</t>
  </si>
  <si>
    <t>Majority Fixed Price (for labor), but a small (typically up to 15%) component is paid for on a reimbursable basis.  Different WBS Codes are setup to accommodate this.</t>
  </si>
  <si>
    <t>HK</t>
  </si>
  <si>
    <t>Scroll down the page to setup the 
Level 5 Picklist</t>
  </si>
  <si>
    <t>If using Path IDs lower than L6, then you will need to unhide the columns between the blue arrows above</t>
  </si>
  <si>
    <t>Path ID Level 1</t>
  </si>
  <si>
    <t>Path ID Level 2</t>
  </si>
  <si>
    <t>Path ID Level 3</t>
  </si>
  <si>
    <t>Path ID Level 4</t>
  </si>
  <si>
    <t>7</t>
  </si>
  <si>
    <t>8</t>
  </si>
  <si>
    <t>Earned Value Calculation</t>
  </si>
  <si>
    <t>Jacobs Cost Budget (Earned)</t>
  </si>
  <si>
    <t>BU Col</t>
  </si>
  <si>
    <t>BU Items</t>
  </si>
  <si>
    <t>PU Row</t>
  </si>
  <si>
    <t>PU Items</t>
  </si>
  <si>
    <t>Rates Calculation</t>
  </si>
  <si>
    <t>Max Row Populated</t>
  </si>
  <si>
    <r>
      <rPr>
        <sz val="8"/>
        <color theme="1"/>
        <rFont val="Arial"/>
        <family val="2"/>
      </rPr>
      <t>(Global Integrated Delivery)</t>
    </r>
    <r>
      <rPr>
        <sz val="10"/>
        <color theme="1"/>
        <rFont val="Arial"/>
        <family val="2"/>
      </rPr>
      <t xml:space="preserve"> GID</t>
    </r>
  </si>
  <si>
    <t>1.01</t>
  </si>
  <si>
    <t>1.00</t>
  </si>
  <si>
    <t>Final</t>
  </si>
  <si>
    <t>Non-entries replaced
with whole of project dates</t>
  </si>
  <si>
    <t>Hrs incl cont'cy</t>
  </si>
  <si>
    <t>Default</t>
  </si>
  <si>
    <t>Burd Cost</t>
  </si>
  <si>
    <t>Supports Global Integrated Delivery (India + Others) with built-in internal charge rates for India.</t>
  </si>
  <si>
    <t>Initial Issue.</t>
  </si>
  <si>
    <t>x-rate</t>
  </si>
  <si>
    <t>2.  Multipliers on Raw (varies with employment type)</t>
  </si>
  <si>
    <t>If all of your resources are from the Host PU, then this table can be left blank.</t>
  </si>
  <si>
    <t>Multipliers on Raw (varies with employment type)</t>
  </si>
  <si>
    <t>Cost Plus (Fee included in multiplier)</t>
  </si>
  <si>
    <t>Cost Plus (Fee is separated out)</t>
  </si>
  <si>
    <t>For this method, the fee element is not separated out from the overall budget and the "FEE/INCENTIVE" line item in the budget that is transferred into IPCS is not used.</t>
  </si>
  <si>
    <t>However, the Fee does still appear as a separate line item on the Sign-Off tab.</t>
  </si>
  <si>
    <t>The price calculation method is identical to method 3 Cost Plus (Fee included in multiplier).</t>
  </si>
  <si>
    <t>However, for this mechanism, the fee is invoiced separately from the labor hours.  It is excluded from the invoiced bill rates and is excluded from the labor taximeter.</t>
  </si>
  <si>
    <t>In the budget that is transferred into IPCS, the "FEE/INCENTIVE" line item will be populated.</t>
  </si>
  <si>
    <t>Similar to the separated out method, except that the fee component now includes an additional "add-on" amount per hour as well as the basic percentage.</t>
  </si>
  <si>
    <t>This "add-on" component reduces the spread of the sell rates (without it, senior people can become very expensive and junior people can appear to be too cheap)</t>
  </si>
  <si>
    <t>The Pricing Tool creates up to 6 additional "standard" control accounts (these are grayed out if they are not used)</t>
  </si>
  <si>
    <t>Ensure all yellow boxes are completed (including lead office).</t>
  </si>
  <si>
    <t>7.2.3</t>
  </si>
  <si>
    <t>7.2.4</t>
  </si>
  <si>
    <t>7.2.5</t>
  </si>
  <si>
    <r>
      <t xml:space="preserve"> Insert additional rows in the table anywhere above this range delimiter.  </t>
    </r>
    <r>
      <rPr>
        <sz val="10"/>
        <color rgb="FFC00000"/>
        <rFont val="Arial"/>
        <family val="2"/>
      </rPr>
      <t>Refer to User Guide section 0.4</t>
    </r>
  </si>
  <si>
    <t>Other Scenarios</t>
  </si>
  <si>
    <t>Mixed Lump Sum and T&amp;M (in the same Pricing Tool file)</t>
  </si>
  <si>
    <t>For example, the main design is fixed price, but there is an additional site supervision element on a reimbursable basis.</t>
  </si>
  <si>
    <t>For the Pricing Method, if an individual has different sell rates for each part, then model them as two different people (with slightly different names).  If you have to, then manually over-ride their sell rate for one part as required.</t>
  </si>
  <si>
    <t>For multiple suffixes in the same Pricing Tool file, adjust the dropdown in cell HK15 on the Control Accounts tab.</t>
  </si>
  <si>
    <t>To provide a label to the additional suffix(s), unhide the "EcoSys Data" tab.</t>
  </si>
  <si>
    <t>Finally, because multiple suffixes are not a typical situation, you should get a Super User to review what you have done before submitting the Pricing Tool file for upload to IPCS.</t>
  </si>
  <si>
    <t>1.02</t>
  </si>
  <si>
    <t>Employment Type dropdown fixed.</t>
  </si>
  <si>
    <t>L 4 Discipline Codes</t>
  </si>
  <si>
    <t>Standard (company-wide) Project Phase codes are looked up from the "EcoSys Data" tab</t>
  </si>
  <si>
    <t>L 2 Cost Types</t>
  </si>
  <si>
    <t>Standard (company-wide) Cost Type codes are looked up from the "EcoSys Data" tab</t>
  </si>
  <si>
    <t>1.03</t>
  </si>
  <si>
    <t>Test for Non-Jacobs resources fixed. 3rd Party L4 dropdown fixed.</t>
  </si>
  <si>
    <t>L4 No of Rows</t>
  </si>
  <si>
    <t>IPCS Upload Mailbox</t>
  </si>
  <si>
    <r>
      <t xml:space="preserve">Ensure that an 8 digit </t>
    </r>
    <r>
      <rPr>
        <b/>
        <sz val="10"/>
        <color theme="1"/>
        <rFont val="Arial"/>
        <family val="2"/>
      </rPr>
      <t xml:space="preserve">Project Number </t>
    </r>
    <r>
      <rPr>
        <sz val="10"/>
        <color theme="1"/>
        <rFont val="Arial"/>
        <family val="2"/>
      </rPr>
      <t>has been entered.</t>
    </r>
  </si>
  <si>
    <t>1.04</t>
  </si>
  <si>
    <t>1=Staff</t>
  </si>
  <si>
    <t>2=Jobshopper</t>
  </si>
  <si>
    <t>3=Field</t>
  </si>
  <si>
    <t>4=LBO</t>
  </si>
  <si>
    <t>Staff List Row</t>
  </si>
  <si>
    <t xml:space="preserve"> (Day/Month/Year)</t>
  </si>
  <si>
    <t>This is not a key mathematical setting in the Pricing Tool.  However, the distinction of whether the project is fixed price or reimbursable, does affect the calculation of potential GM on the Sign-off tab (ie. if contingency is not spent).</t>
  </si>
  <si>
    <t>This setting also influences the selection of the Pricing Method (Sell Rate Calculation Method), but there is no automated link.</t>
  </si>
  <si>
    <r>
      <t xml:space="preserve">This is the </t>
    </r>
    <r>
      <rPr>
        <u/>
        <sz val="10"/>
        <color theme="1"/>
        <rFont val="Arial"/>
        <family val="2"/>
      </rPr>
      <t>key setting</t>
    </r>
    <r>
      <rPr>
        <sz val="10"/>
        <color theme="1"/>
        <rFont val="Arial"/>
        <family val="2"/>
      </rPr>
      <t xml:space="preserve"> in the Pricing Tool.  It sets the arithmetic method used to calculate sell rates as well as the GFS setup and the distribution of budget items in IPCS.  This choice of Pricing Method flows throughout the tool.</t>
    </r>
  </si>
  <si>
    <t>`</t>
  </si>
  <si>
    <t>Allowances &amp; Overtime</t>
  </si>
  <si>
    <t>Allowances</t>
  </si>
  <si>
    <r>
      <rPr>
        <sz val="8"/>
        <color theme="1"/>
        <rFont val="Arial"/>
        <family val="2"/>
      </rPr>
      <t xml:space="preserve">(When priced by the hour) </t>
    </r>
    <r>
      <rPr>
        <sz val="10"/>
        <color theme="1"/>
        <rFont val="Arial"/>
        <family val="2"/>
      </rPr>
      <t>Non-Jacobs</t>
    </r>
  </si>
  <si>
    <t>Add'l Cost</t>
  </si>
  <si>
    <t>Add'l Price</t>
  </si>
  <si>
    <t>Add'l Cost/Price due to Allowances &amp; OT</t>
  </si>
  <si>
    <t>GM Amount</t>
  </si>
  <si>
    <t>Escalated Cost Rates (incl uplifts) - pass to Plan tabs</t>
  </si>
  <si>
    <t>Cost Rates Year 1</t>
  </si>
  <si>
    <t>Cost Rates Year 2</t>
  </si>
  <si>
    <t>Cost Rates Year 3</t>
  </si>
  <si>
    <t>Cost Rates Year 4</t>
  </si>
  <si>
    <t>Cost Rates Year 5</t>
  </si>
  <si>
    <t>Cost Rates Year 6</t>
  </si>
  <si>
    <t>Cost Rates Year 7</t>
  </si>
  <si>
    <t>Cost Rates Year 8</t>
  </si>
  <si>
    <t>Cost Rates Year 9</t>
  </si>
  <si>
    <t>Cost Rates Year 10 Plus</t>
  </si>
  <si>
    <t>Cost Rate Year 1</t>
  </si>
  <si>
    <t>Cost Rate Year 2</t>
  </si>
  <si>
    <t>Cost Rate Year 3</t>
  </si>
  <si>
    <t>Cost Rate Year 4</t>
  </si>
  <si>
    <t>Cost Rate Year 5</t>
  </si>
  <si>
    <t>Cost Rate Year 6</t>
  </si>
  <si>
    <t>Cost Rate Year 7</t>
  </si>
  <si>
    <t>Cost Rate Year 8</t>
  </si>
  <si>
    <t>Cost Rate Year 9</t>
  </si>
  <si>
    <t>Cost Rate Year 10  Plus</t>
  </si>
  <si>
    <t>Lookup PC Charges?</t>
  </si>
  <si>
    <t>Sell Rate Missing</t>
  </si>
  <si>
    <t>Budgeted Annual  Internal Conversion Rate to USD</t>
  </si>
  <si>
    <t>ERROR:
Missing Sell Rates on the Staff List tab</t>
  </si>
  <si>
    <t>Currency (ISO)</t>
  </si>
  <si>
    <t>PC Charges (Project Curr)</t>
  </si>
  <si>
    <t>Raw Curr</t>
  </si>
  <si>
    <t>PC Charge Hours Apply</t>
  </si>
  <si>
    <t>PC Cost</t>
  </si>
  <si>
    <t>PC Charge Rate</t>
  </si>
  <si>
    <t>PC Charge</t>
  </si>
  <si>
    <t>Cost Plus Fee</t>
  </si>
  <si>
    <t>PC Charges</t>
  </si>
  <si>
    <t>2.1.11</t>
  </si>
  <si>
    <t xml:space="preserve">Same person - different rates:   If the same person has two different cost rates on the same project (eg due to site allowances), you must model them as two separate people (eg 'J Smith' and 'J Smith Site'). </t>
  </si>
  <si>
    <t>(Bill &amp; Non Bill) Current Hours</t>
  </si>
  <si>
    <t>Professional services planning, estimating, budgeting and resource planning tool, providing a standard format for building up and analysing pro-services estimates.</t>
  </si>
  <si>
    <t>In contrast to inserting, deleting rows or columns is straight-forward.  Just make sure that you don't delete the first row or column in any table (because that is also a range marker).</t>
  </si>
  <si>
    <t>Esc Avg Raw Rate</t>
  </si>
  <si>
    <t>Cost Escalation</t>
  </si>
  <si>
    <t>Price Escalation</t>
  </si>
  <si>
    <r>
      <rPr>
        <sz val="8"/>
        <color theme="1"/>
        <rFont val="Arial"/>
        <family val="2"/>
      </rPr>
      <t xml:space="preserve">(Indexation) </t>
    </r>
    <r>
      <rPr>
        <sz val="10"/>
        <color theme="1"/>
        <rFont val="Arial"/>
        <family val="2"/>
      </rPr>
      <t>Escalation</t>
    </r>
  </si>
  <si>
    <t>8.3.3</t>
  </si>
  <si>
    <t>Labor
Raw</t>
  </si>
  <si>
    <t>Labor
Cost</t>
  </si>
  <si>
    <t>Non-Bill
Hours</t>
  </si>
  <si>
    <t>Group 1 Name</t>
  </si>
  <si>
    <t>Group 2 Name</t>
  </si>
  <si>
    <t>Group 3 Name</t>
  </si>
  <si>
    <t xml:space="preserve">   Activity Plan</t>
  </si>
  <si>
    <t>PC Rate (Project Curr)</t>
  </si>
  <si>
    <t>1.7.1</t>
  </si>
  <si>
    <t>This is an analysis table.  No input is required (unless you want to create groupings).</t>
  </si>
  <si>
    <t>PC Allocation</t>
  </si>
  <si>
    <t>Fringe</t>
  </si>
  <si>
    <t>Activity Plan Hours</t>
  </si>
  <si>
    <t>Staff Plan Hours</t>
  </si>
  <si>
    <t>Year</t>
  </si>
  <si>
    <t>API test changes implemented. Lead Office dropdown added. GID selection functionality revised.  Pricing Method definitions revised.  PU/Org Elements table revised.  Incentives/Bonus functionality fixed.  Staff Check availability now editable.  Multiplier on Sign-off tab now includes Escalation and Management Reserve.  Suggested IPCS forecast settings revised.  GID Procurement type added.  IPCS Path ID picklists moved to Control Accounts tab.  User Guide updated.</t>
  </si>
  <si>
    <t>Insert additional rows into the body of the table anywhere above this range delimiter and backfill with formulae from an existing row (use an entire row)</t>
  </si>
  <si>
    <r>
      <rPr>
        <b/>
        <sz val="10"/>
        <color theme="9" tint="-0.499984740745262"/>
        <rFont val="Arial"/>
        <family val="2"/>
      </rPr>
      <t>Project Teams</t>
    </r>
    <r>
      <rPr>
        <sz val="10"/>
        <color theme="9" tint="-0.499984740745262"/>
        <rFont val="Arial"/>
        <family val="2"/>
      </rPr>
      <t xml:space="preserve"> are also defined on this page - and are then allocated against each person's name on The Master Staff List (Staff List tab)</t>
    </r>
  </si>
  <si>
    <t>These tables allow you to "slice and dice" your Project Plan(s) by Individuals, by Project Teams and by Project Phase/Section</t>
  </si>
  <si>
    <r>
      <rPr>
        <b/>
        <sz val="10"/>
        <color theme="9" tint="-0.499984740745262"/>
        <rFont val="Arial"/>
        <family val="2"/>
      </rPr>
      <t>Project Phase/Sections</t>
    </r>
    <r>
      <rPr>
        <sz val="10"/>
        <color theme="9" tint="-0.499984740745262"/>
        <rFont val="Arial"/>
        <family val="2"/>
      </rPr>
      <t xml:space="preserve"> are defined here (in the yellow boxes below) and then allocated against every line item on the Project Plan(s) using column C. (Do not allocate against headings).</t>
    </r>
  </si>
  <si>
    <t>ALWAYS CROSS-CHECK THE TOTALS!  If the totals don't match the remainder of the tool, check that every line item on the plan has been allocated a Phase/Section</t>
  </si>
  <si>
    <t>Project
Phase or
Section</t>
  </si>
  <si>
    <r>
      <t>Project Phase/Section</t>
    </r>
    <r>
      <rPr>
        <sz val="11"/>
        <color theme="1"/>
        <rFont val="Arial"/>
        <family val="2"/>
      </rPr>
      <t xml:space="preserve">  </t>
    </r>
    <r>
      <rPr>
        <sz val="10"/>
        <color theme="1"/>
        <rFont val="Arial"/>
        <family val="2"/>
      </rPr>
      <t>(Up to 7 user defined elements, not expandable)</t>
    </r>
  </si>
  <si>
    <t>First define Phases (or Sections) here:</t>
  </si>
  <si>
    <t>Table 1:  Revenue Percentage by Phase/Section and by Team</t>
  </si>
  <si>
    <t>ERROR:  Sell Rates are Missing</t>
  </si>
  <si>
    <t>&lt;Description&gt;</t>
  </si>
  <si>
    <t>4.  On the Sell Rates Adjustment Table (Staff List tab), you then allocate a grade description against every person.  The sell rates are then looked up from this page.</t>
  </si>
  <si>
    <t>x Offset</t>
  </si>
  <si>
    <t>Drop</t>
  </si>
  <si>
    <t>2.  If you need to create a new project-specific set of rates just for your project, do not use this page.  Instead, use the Project-Specific Banding functionality on the Staff List tab (Individual Sell Rates Adjustment table).</t>
  </si>
  <si>
    <t>3.  To use; select a rate set table with the radio button.  Ensure that there are no blank rows and that sell rates are populated against every grade description.</t>
  </si>
  <si>
    <t>Pre-agreed banded sell rates according to people's "grade" (job description, category, role or seniority level).</t>
  </si>
  <si>
    <t>Often applicable to a Framework (or Panel), which is a collection of individual projects for the same client and under the same contract terms.</t>
  </si>
  <si>
    <t>L 3 Project Phases</t>
  </si>
  <si>
    <t>However, the Manual Over-ride will always over-ride everything.  Using this pricing method allows you to additionally select an alternative pricing method for comparative purposes.</t>
  </si>
  <si>
    <t>The appropriate sell rate is then looked up from this tab.</t>
  </si>
  <si>
    <t>(Includes blanks)</t>
  </si>
  <si>
    <t>01 Engineering &amp; Design</t>
  </si>
  <si>
    <t>Pro Services Non-Labor (PSNL)</t>
  </si>
  <si>
    <t>Best Case</t>
  </si>
  <si>
    <t>Worst Case</t>
  </si>
  <si>
    <t>Use this section to model items that influence our final margin, but do not directly change the bid price (or the planned cost).</t>
  </si>
  <si>
    <t>Estimated Revenue Impact (+/-)</t>
  </si>
  <si>
    <t>Foreign Exchange Rate movements also impact our final revenue, if we are not being paid in the project currency.</t>
  </si>
  <si>
    <t>Corresponding resultant GM/Hr is calculated for the Best and Worst Cases.  This data is for information only.</t>
  </si>
  <si>
    <t>4.10.6</t>
  </si>
  <si>
    <t>4.10.7</t>
  </si>
  <si>
    <t>General Information</t>
  </si>
  <si>
    <r>
      <t xml:space="preserve">PC Alloc:  </t>
    </r>
    <r>
      <rPr>
        <sz val="10"/>
        <color theme="1"/>
        <rFont val="Arial"/>
        <family val="2"/>
      </rPr>
      <t>Where PC charges accrue directly to a project (ie outside the US), they are added (as a cost only item) for every billable hour worked.  The general hourly rate used for this appears on the Setup tab, although foreign resources will incur their home country rate.</t>
    </r>
  </si>
  <si>
    <t>Two different Plan templates are included.  Both can model scope, resources, cash-flow and resourcing levels.  However, the Staff Plan is more suited to reimbursible work, whilst the Activity Plan template is more suited to Fixed Price work and to larger projects.</t>
  </si>
  <si>
    <t>All templates and tables are expandable to accommodate virtually any sized project (eg numbers of resources, calendar intervals, etc).  Calendar can be set to weekly or monthly.</t>
  </si>
  <si>
    <t>Occasionally, there is an individual for which the general settings do not apply.  In this case the individual settings can be overtyped in the Sell Rate Adjustment table on the Staff List tab.</t>
  </si>
  <si>
    <t xml:space="preserve">This method is intended for those parts of the business that have already classified their staff (by some means) and have also determined corresponding 'standard' sell rates in advance. </t>
  </si>
  <si>
    <t>Whenever the same 'role definition' is allocated to two (or more) people, their sell rates will be banded together.  A weighted average rate is calculated that does not change the overall project price.</t>
  </si>
  <si>
    <t>In this case, we start with the price (which is calculated by some other means) and we use the Pricing Tool to determine the cost - and hence the Gross Margin.</t>
  </si>
  <si>
    <t>See what the resultant "price" is (which will be equal to the raw cost at this stage because the multiplier is set at 1.0) and then back-calculate what the multiplier has to be to achieve the required price.</t>
  </si>
  <si>
    <t>For setting up in GFS/IPCS, there are no fixed rules, but in general if the reimbursable element is less than approx 15-20% of the total, then a separate WBS code is sufficient for the minor part.  However, if both parts are significant, then it is good practice to setup a separate suffix code (project number) for each part.</t>
  </si>
  <si>
    <t>OTHER</t>
  </si>
  <si>
    <t>3.   Refer to the User Guide, section 4.10</t>
  </si>
  <si>
    <t>Correction</t>
  </si>
  <si>
    <t>First, enter as many Accurate raw rates as you have available.</t>
  </si>
  <si>
    <t>Raw Rate Correction Factor (Disguising Accurate Raw Cost Rates)</t>
  </si>
  <si>
    <t>Next, enter an Approx raw rate against every person.  These are typically banded or rounded rates that disguise the accurate rates.  However, they must not be wildly different from the real rates.</t>
  </si>
  <si>
    <t>Box 1</t>
  </si>
  <si>
    <t>Box 2</t>
  </si>
  <si>
    <t>Box 3</t>
  </si>
  <si>
    <t>Box 4</t>
  </si>
  <si>
    <t>On occasions it is necessary to send a copy of the Pricing Tool to people who are not authorized to see accurate raw cost rates.  The tool provides a mechanism for doing this as follows:</t>
  </si>
  <si>
    <t>Correction Factor 
in Use</t>
  </si>
  <si>
    <t>Applying the correction factor to the approx raw rates, should restore the original (correct) Cost, Price and Gross Margin.  Note that small inaccuracies will occur, but these should be within tolerable limits.</t>
  </si>
  <si>
    <r>
      <rPr>
        <b/>
        <sz val="10"/>
        <color theme="1"/>
        <rFont val="Arial"/>
        <family val="2"/>
      </rPr>
      <t>Note:</t>
    </r>
    <r>
      <rPr>
        <sz val="10"/>
        <color theme="1"/>
        <rFont val="Arial"/>
        <family val="2"/>
      </rPr>
      <t xml:space="preserve">  If minor changes are made to the plan (ie relative proportions of hours per individual), then the correction factor should still hold.  However, if significant changes are made to the distribution of planned hours, then the correction factor will need to be recalculated.</t>
    </r>
  </si>
  <si>
    <t>Curr</t>
  </si>
  <si>
    <t>Next, copy the number from Box 1 and paste-value it into Box 2 (This is your labor cost).</t>
  </si>
  <si>
    <t>Then, copy the number from Box 3 and paste-value it into Box 4 (This is your correction factor)</t>
  </si>
  <si>
    <t>% Fee included in below rates</t>
  </si>
  <si>
    <t>Revenue Gain/Loss?</t>
  </si>
  <si>
    <t>Fee?</t>
  </si>
  <si>
    <t>switch</t>
  </si>
  <si>
    <t>5.  % Fee is optional.  If you enter a % Fee, this will appear separately on the Sign-Off tab and it will appear in the dedicated "Fee/Incentives/Liabilities" control account in the budget.</t>
  </si>
  <si>
    <t>Project Number</t>
  </si>
  <si>
    <t>Other Revenue Gains/Losses</t>
  </si>
  <si>
    <t>0.4.10</t>
  </si>
  <si>
    <r>
      <rPr>
        <b/>
        <sz val="10"/>
        <color theme="1"/>
        <rFont val="Arial"/>
        <family val="2"/>
      </rPr>
      <t>Warning:</t>
    </r>
    <r>
      <rPr>
        <sz val="10"/>
        <color theme="1"/>
        <rFont val="Arial"/>
        <family val="2"/>
      </rPr>
      <t xml:space="preserve">  "Insert Copied Cells".  Sometimes this Excel function causes the PT to crash (cause unknown).  It generally works better to insert new rows and then paste into them in two distinct steps.</t>
    </r>
  </si>
  <si>
    <t>Please select a Contract Type (yellow box above)</t>
  </si>
  <si>
    <t>Please select a Pricing Method (yellow box above)</t>
  </si>
  <si>
    <t>PC Charges / Hr</t>
  </si>
  <si>
    <t>(You need to be in the actual User Guide tab in the tool to do this) &gt;&gt;&gt;&gt;&gt;</t>
  </si>
  <si>
    <t>We are paid a fixed amount of money (typically in progressive installments) to perform an agreed and fixed scope of work (services).</t>
  </si>
  <si>
    <t>We are paid a fixed amount of money (technically, as a lump sum on completion) to perform a fixed scope of work (services).  Also, we may not need to provide a detailed price breakdown.  As a result, some Lump Sum contracts would be better described as Fixed Price.</t>
  </si>
  <si>
    <r>
      <rPr>
        <b/>
        <sz val="10"/>
        <color theme="1"/>
        <rFont val="Arial"/>
        <family val="2"/>
      </rPr>
      <t xml:space="preserve">Adding a new resource to the Staff List when using the Activity Plan template: </t>
    </r>
    <r>
      <rPr>
        <sz val="10"/>
        <color theme="1"/>
        <rFont val="Arial"/>
        <family val="2"/>
      </rPr>
      <t xml:space="preserve">
In this case, it is important to ensure that you also allocate a new (unique) Resource Number against the new person and also ensure that this new Resource Number carries across to one of the columns in the Activity Plan template which will allow the new person's details to be looked up. </t>
    </r>
  </si>
  <si>
    <t>Level 4 Description</t>
  </si>
  <si>
    <t>Percentage of Total Bid</t>
  </si>
  <si>
    <t>Staff Margin Report</t>
  </si>
  <si>
    <r>
      <t xml:space="preserve">Using the </t>
    </r>
    <r>
      <rPr>
        <b/>
        <sz val="10"/>
        <color theme="1"/>
        <rFont val="Arial"/>
        <family val="2"/>
      </rPr>
      <t>Staff Margin Report</t>
    </r>
    <r>
      <rPr>
        <sz val="10"/>
        <color theme="1"/>
        <rFont val="Arial"/>
        <family val="2"/>
      </rPr>
      <t xml:space="preserve"> (left side of Staff List tab) review the individual margin for each person.</t>
    </r>
  </si>
  <si>
    <t>Activity Plan Hours (Target)</t>
  </si>
  <si>
    <t>Unescalated</t>
  </si>
  <si>
    <t>Current Lab Rev (Non-Escalated):</t>
  </si>
  <si>
    <t>Current Non-Labor Revenue:</t>
  </si>
  <si>
    <t>Current Labor Rev (Escalated):</t>
  </si>
  <si>
    <r>
      <rPr>
        <sz val="8"/>
        <color theme="0" tint="-0.34998626667073579"/>
        <rFont val="Arial"/>
        <family val="2"/>
      </rPr>
      <t>(Optional)</t>
    </r>
    <r>
      <rPr>
        <b/>
        <sz val="10"/>
        <color theme="0" tint="-0.34998626667073579"/>
        <rFont val="Arial"/>
        <family val="2"/>
      </rPr>
      <t xml:space="preserve">
Project Team</t>
    </r>
  </si>
  <si>
    <t>Project Team</t>
  </si>
  <si>
    <t>Site allowances and overtime section re-designed.  PC Charges for foreign resources now applied at their native rates (except India which is zero).  Warning for missing sell rates.  Sell rate rounding removed.  Sign-off Form now shows Current Budget plus Original Budget plus Target Budget.  Changes tab now includes PAP update info and Expected Final Revenue.   Plan Analysis tab now fully working.  Revenue Distribution Table added to Setup tab.  Compass Setup tab added.  L3 Path ID definitions updated.  Graded Rates tab renamed and reformatted. Three wet signature boxes on Sign-Off tab.   PC Alloc included in individual GM/Hr calc on the Staff List Margin Profile.   Non-Labor Contingency now added as an amount (not a %).  Contingency Path IDs revised.  Internal GID rates updated for FY17/18.  Correction factor for approx raw rates added.  Calendar start date validation fixed.  Complete set of Lx Reference data for Levels 2-4 now pass to the API.  Double- escalation issue for cashflow calcs fixed.  User Guide updated.</t>
  </si>
  <si>
    <t>1.05</t>
  </si>
  <si>
    <t>Project includes GID (India)</t>
  </si>
  <si>
    <t>Control Acct not on Plan</t>
  </si>
  <si>
    <t>Project Name not entered</t>
  </si>
  <si>
    <t>Missing PathID Code</t>
  </si>
  <si>
    <t>3b Activity Plan</t>
  </si>
  <si>
    <t>Duplicate WBS Code</t>
  </si>
  <si>
    <r>
      <t xml:space="preserve">- </t>
    </r>
    <r>
      <rPr>
        <b/>
        <sz val="10"/>
        <color theme="1"/>
        <rFont val="Arial"/>
        <family val="2"/>
      </rPr>
      <t>Warning:</t>
    </r>
    <r>
      <rPr>
        <sz val="10"/>
        <color theme="1"/>
        <rFont val="Arial"/>
        <family val="2"/>
      </rPr>
      <t xml:space="preserve">  The physical index number within each section must be unique.  If a particular index number is repeated further down the page, then every line item with the same index number will be "sum-iffed" together, regardless of which section it is in.</t>
    </r>
  </si>
  <si>
    <t>- Again, do not accidently repeat index numbers.</t>
  </si>
  <si>
    <t>3.4.8</t>
  </si>
  <si>
    <r>
      <rPr>
        <b/>
        <sz val="10"/>
        <color theme="1"/>
        <rFont val="Arial"/>
        <family val="2"/>
      </rPr>
      <t>Line Item Numbers</t>
    </r>
    <r>
      <rPr>
        <sz val="10"/>
        <color theme="1"/>
        <rFont val="Arial"/>
        <family val="2"/>
      </rPr>
      <t xml:space="preserve"> (Optional):  Unique line item reference numbers may be included if helpful.</t>
    </r>
  </si>
  <si>
    <r>
      <rPr>
        <b/>
        <sz val="10"/>
        <color theme="1"/>
        <rFont val="Arial"/>
        <family val="2"/>
      </rPr>
      <t>Suggested Format</t>
    </r>
    <r>
      <rPr>
        <sz val="10"/>
        <color theme="1"/>
        <rFont val="Arial"/>
        <family val="2"/>
      </rPr>
      <t xml:space="preserve"> (Optional):
Major Headings: use 1, 2, 3, 4, 5, etc
Minor Headings: use 1.2, 1.2, 1.3, 2.1, 2.2, etc
Unique line items: use 1.1.1, 1.1.2, 1.2.1, 3.1.1, etc
Note that if the format x.y.z is used for the unique line items, then these can quickly and easily be filled downwards in excel.  Refer to the Worked Example for details.</t>
    </r>
  </si>
  <si>
    <t>Control Acct = Zero</t>
  </si>
  <si>
    <t>Next, physically delete the Accurate raw rates from the Staff List tab.  This will cause the Cost, Gross Margin (and usually the Price also) to change - because you are now forcing the tool to work with the approx rates instead.</t>
  </si>
  <si>
    <t xml:space="preserve">    Unhide further columns for levels 7 &amp; 8</t>
  </si>
  <si>
    <t>Single Suffix in PT file (Default Setting)</t>
  </si>
  <si>
    <t>1 Setup tab</t>
  </si>
  <si>
    <t>5 Control Accounts Tab</t>
  </si>
  <si>
    <t>IPCS Setup Errors</t>
  </si>
  <si>
    <t>Please do NOT add any further rows to this picklist (40 max)</t>
  </si>
  <si>
    <t>Scroll down the page to setup the
Level 6 upstream Picklist</t>
  </si>
  <si>
    <t>Scroll down the page to setup the
Level 7 upstream Picklist</t>
  </si>
  <si>
    <t>Standard (company-wide) Discipline and Expense Type codes are looked up from the "EcoSys Data" tab.  The selection available depends on the Cost Type.</t>
  </si>
  <si>
    <t>L5 overtyped?</t>
  </si>
  <si>
    <t>WBS Code</t>
  </si>
  <si>
    <t>Duplicate Lowest Code</t>
  </si>
  <si>
    <t>Unmatched Lowest</t>
  </si>
  <si>
    <t>Duplicate WBS Name CA</t>
  </si>
  <si>
    <t>Enter lowest level PathID</t>
  </si>
  <si>
    <t>The first 6 digits are the Root.  If the project is part of a client series (framework, panel or program), then the root relates to that client series.  If the project is a "one-off", then the root has no particular significance.</t>
  </si>
  <si>
    <t>The Pricing Tool does allow for multiple suffixes to be created and uploaded to EcoSys at the one time.  However, this would not be a normal situation - you will need to ask a SuperUser how to implement this feature.</t>
  </si>
  <si>
    <t>The final 2 digits are the Project Suffix.  These are the ID for the particular project.  If the project is a "one-off", then these final 2 digits will generally just be '00'.</t>
  </si>
  <si>
    <t>- IDs and ID Names must be taken from the standard Expense Type / Discipline Codes picklist.  You are limited to these company-wide standard codes.</t>
  </si>
  <si>
    <t>- Control Account Name.  By default, the level 4 description will be used.  However, if you prefer, you can edit the actual Control Account Name that gets setup in EcoSys by overtyping the green cells in the "WBS Name (Control Account Name)" column.</t>
  </si>
  <si>
    <t>Intermediate Level IDs and ID Names</t>
  </si>
  <si>
    <t>- Lowest Level IDs and ID Names are entered directly into the rightmost columns of the main table.  The whole table can be expanded to 120 rows max, giving you a max of 120 control accounts.</t>
  </si>
  <si>
    <t>- Lowest Level IDs and ID Names must be entered as "matched pairs".  They can repeat, but they should not repeat in different combinations.  The cells turn yellow as a warning if this occurs.</t>
  </si>
  <si>
    <t>- Intermediate level IDs and ID Names must be matched pairs and are defined in the picklist setup tables below the main table.  These setup tables are limited to 40 fields and cannot be expanded.</t>
  </si>
  <si>
    <t xml:space="preserve">Intermediate level names are then selected from within the main table using the dropdowns.  Do not attempt to overpaste these fields with other data in order to overcome the 40 max restriction, as this will cause an EcoSys upload error. </t>
  </si>
  <si>
    <r>
      <rPr>
        <b/>
        <sz val="10"/>
        <color theme="1"/>
        <rFont val="Arial"/>
        <family val="2"/>
      </rPr>
      <t>5 Level PathID</t>
    </r>
    <r>
      <rPr>
        <sz val="10"/>
        <color theme="1"/>
        <rFont val="Arial"/>
        <family val="2"/>
      </rPr>
      <t xml:space="preserve">
Level 5 is the lowest level (see rules above)</t>
    </r>
  </si>
  <si>
    <r>
      <rPr>
        <b/>
        <sz val="10"/>
        <color theme="1"/>
        <rFont val="Arial"/>
        <family val="2"/>
      </rPr>
      <t>6 Level PathID</t>
    </r>
    <r>
      <rPr>
        <sz val="10"/>
        <color theme="1"/>
        <rFont val="Arial"/>
        <family val="2"/>
      </rPr>
      <t xml:space="preserve">
Level 5 is an intermediate level (see rules above)
Level 6 is the lowest level (see rules above)</t>
    </r>
  </si>
  <si>
    <t>- Note that the codes that are available at Level 4 may depend upon your selection at Level 2</t>
  </si>
  <si>
    <r>
      <rPr>
        <b/>
        <sz val="10"/>
        <color theme="1"/>
        <rFont val="Arial"/>
        <family val="2"/>
      </rPr>
      <t>7 Level PathID</t>
    </r>
    <r>
      <rPr>
        <sz val="10"/>
        <color theme="1"/>
        <rFont val="Arial"/>
        <family val="2"/>
      </rPr>
      <t xml:space="preserve">
Levels 5 and 6 are intermediate levels (see rules above).  You will also need to unhide the level 6 columns.
Level 7 is the lowest level (see rules above)</t>
    </r>
  </si>
  <si>
    <r>
      <rPr>
        <b/>
        <sz val="10"/>
        <color theme="1"/>
        <rFont val="Arial"/>
        <family val="2"/>
      </rPr>
      <t>8 Level PathID</t>
    </r>
    <r>
      <rPr>
        <sz val="10"/>
        <color theme="1"/>
        <rFont val="Arial"/>
        <family val="2"/>
      </rPr>
      <t xml:space="preserve">
Levels 5, 6 and 7 are intermediate levels (see rules above).  You will also need to unhide the level 6 and 7 columns.
Level 8 is the lowest level (see rules above)</t>
    </r>
  </si>
  <si>
    <r>
      <rPr>
        <b/>
        <sz val="16"/>
        <color theme="0"/>
        <rFont val="Arial"/>
        <family val="2"/>
      </rPr>
      <t>IPCS Path IDs</t>
    </r>
    <r>
      <rPr>
        <b/>
        <sz val="14"/>
        <color theme="0"/>
        <rFont val="Arial"/>
        <family val="2"/>
      </rPr>
      <t xml:space="preserve"> </t>
    </r>
    <r>
      <rPr>
        <sz val="12"/>
        <color theme="0"/>
        <rFont val="Arial"/>
        <family val="2"/>
      </rPr>
      <t>(Refer User Guide, Section 5)</t>
    </r>
  </si>
  <si>
    <t>Level 4 PathID - Discipline Codes</t>
  </si>
  <si>
    <t>- Pick the "best fit" discipline.  This discipline describes the overall work element (not necessarily the individual resources contributing to that element).  Regard it as the collective (team) discipline for the portion of work involved.</t>
  </si>
  <si>
    <t>Lowest Level IDs and ID Names</t>
  </si>
  <si>
    <t>- In situations where Lowest Level IDs do repeat, it is important that the full WBS codes, thus created, do NOT repeat (ie they must still all be unique).</t>
  </si>
  <si>
    <t>4 LEVEL PATH ID STRUCTURE:
Select ID Names (discipline/expense) that best describe the overall work element itself for the chosen WBS. 
IPCS Control Account Names default to lowest level ID Name, but can be edited if required (in the green cells).
Overall WBS codes, thus created, must be unique and are asssigned against each line item on the relevant Plan tab.
Refer to User Guide section 5 for more details.</t>
  </si>
  <si>
    <t>5 LEVEL PATH ID STRUCTURE:
Standard Levels (2, 3 and 4):  Select best fit descriptions from the yellow dropdown cells (do not type in the white cells).
Lowest Level (5):  Enter ID/ID Names (as matched pairs) directly into the rightmost columns in the main table.
IPCS Control Account Names default to the lowest level ID Name, but can be edited if required (in the green cells).
Overall WBS codes, thus created, must be unique and are asssigned against each line item on the relevant Plan tab._x0000__x0000_
Refer to User Guide section 5 for more details</t>
  </si>
  <si>
    <t>6 LEVEL PATH ID STRUCTURE:
Standard Levels (2, 3 and 4):  Select best fit descriptions from the yellow dropdown cells (do not type in the white cells).
Intermediate Level (5):  Enter ID/ID Names in the picklist setup table below the main table (40 fields max).
Lowest Level (6):  Enter ID/ID Names (as matched pairs) directly into the rightmost columns in the main table.
IPCS Control Account Names default to the lowest level ID Name, but can be edited if required (in the green cells).
Refer to User Guide section 5 for more details</t>
  </si>
  <si>
    <t>7 LEVEL PATH ID STRUCTURE:
Standard Levels (2, 3 and 4):  Select best fit descriptions from the yellow dropdown cells (do not type in the white cells).
Intermediate Levels (5 and 6):  Enter ID/ID Names in the picklist setup tables below the main table (40 fields max).
Lowest Level (7):  Enter ID/ID Names (as matched pairs) directly into the rightmost columns in the main table.
IPCS Control Account Names default to the lowest level ID Name, but can be edited if required (in the green cells).
Refer to User Guide section 5 for more details</t>
  </si>
  <si>
    <t>8 LEVEL PATH ID STRUCTURE:
Standard Levels (2, 3 and 4):  Select best fit descriptions from the yellow dropdown cells (do not type in the white cells).
Intermediate Levels (5, 6 and 7):  Enter ID/ID Names in the picklist setup tables below the main table (40 fields max).
Lowest Level (8):  Enter ID/ID Names (as matched pairs) directly into the rightmost columns in the main table.
IPCS Control Account Names default to the lowest level ID Name, but can be edited if required (in the green cells).
Refer to User Guide section 5 for more details.</t>
  </si>
  <si>
    <r>
      <rPr>
        <b/>
        <sz val="10"/>
        <color rgb="FFC00000"/>
        <rFont val="Arial"/>
        <family val="2"/>
      </rPr>
      <t>Control Account Names</t>
    </r>
    <r>
      <rPr>
        <sz val="10"/>
        <color rgb="FFC00000"/>
        <rFont val="Arial"/>
        <family val="2"/>
      </rPr>
      <t>.  
By default, the lowest level ID Name will be used.  However, if this repeats, or you otherwise prefer, you can edit the actual Control Account Name that gets setup in EcoSys by overtyping the green cells in the "WBS Name (Control Account Name)" column.  Control Account Names should all be unique in IPCS.</t>
    </r>
  </si>
  <si>
    <t>WBS Items</t>
  </si>
  <si>
    <t>FY-18</t>
  </si>
  <si>
    <t xml:space="preserve">   If required insert additional Country/BU rows above this Range De-limiter.  Refer User Guide section 0.4</t>
  </si>
  <si>
    <t>Insert additional rows above</t>
  </si>
  <si>
    <t>Budgeted 
x-Rate
with USD</t>
  </si>
  <si>
    <r>
      <t xml:space="preserve">To add to this list </t>
    </r>
    <r>
      <rPr>
        <sz val="22"/>
        <color rgb="FF00338D"/>
        <rFont val="Arial"/>
        <family val="2"/>
      </rPr>
      <t>(Instructions)</t>
    </r>
  </si>
  <si>
    <t>Insert a new row in the body of the table, being careful to insert within the correct BU/Regional grouping (this is needed for the progressive lookup).</t>
  </si>
  <si>
    <t>Fill down the missing lookup formulae in the green cells (this populates the burden rates etc, based on the Country Data tab).</t>
  </si>
  <si>
    <t>Austria</t>
  </si>
  <si>
    <t>France</t>
  </si>
  <si>
    <t>These default exchange rates are used unless a more up-to-date figure is provided on the Staff List tab (Foreign Resources section).</t>
  </si>
  <si>
    <t>Output tables designed for automated budget upload into IPCS (EcoSys), via a separate API.</t>
  </si>
  <si>
    <t>Amount</t>
  </si>
  <si>
    <t>Last Revised</t>
  </si>
  <si>
    <t>Activity Plan tab</t>
  </si>
  <si>
    <t>Missing Sell Rate (one, or more, people on the "Staff List" tab)</t>
  </si>
  <si>
    <t>Missing Raw Rate (one, or more, people on the "Staff List" tab)</t>
  </si>
  <si>
    <t>Approx Rates Used</t>
  </si>
  <si>
    <t>Missing Raw Rates</t>
  </si>
  <si>
    <t>Missing Sell Rates</t>
  </si>
  <si>
    <t>Duplicate Names</t>
  </si>
  <si>
    <t>Duplicate Resource Numbers</t>
  </si>
  <si>
    <t>Duplicate Resource Numbers (Staff List)</t>
  </si>
  <si>
    <t>Duplicate Resource Numbers (Act Plan)</t>
  </si>
  <si>
    <t>Use of Approx Raw Rate</t>
  </si>
  <si>
    <t>Duplicate Resource Number</t>
  </si>
  <si>
    <t>(No exact duplicates)</t>
  </si>
  <si>
    <t>Complete all of the white/blue cells.  It is especially important to specify the Country/BU Grouping.</t>
  </si>
  <si>
    <t>Multi-Country  (burden rates and PC charges are applicable to people's home country)</t>
  </si>
  <si>
    <t>Multiple employment types (office staff, field, jobshopper, etc. appropriate to people's home country)</t>
  </si>
  <si>
    <t>WHH</t>
  </si>
  <si>
    <t>WHC</t>
  </si>
  <si>
    <t>This tab</t>
  </si>
  <si>
    <t>Information Items</t>
  </si>
  <si>
    <t>Use of Approximate Raw Rate(s) - for information only (may be intentional).</t>
  </si>
  <si>
    <t>CONSTRUCTION WH REIMBURSABLE</t>
  </si>
  <si>
    <t>HOME OFFICE WH REIMBURSABLE</t>
  </si>
  <si>
    <t>020228</t>
  </si>
  <si>
    <t>020225</t>
  </si>
  <si>
    <t>020226</t>
  </si>
  <si>
    <t>020227</t>
  </si>
  <si>
    <t>048077</t>
  </si>
  <si>
    <t>010117</t>
  </si>
  <si>
    <t>010119</t>
  </si>
  <si>
    <t>010116</t>
  </si>
  <si>
    <t>020151</t>
  </si>
  <si>
    <t>020153</t>
  </si>
  <si>
    <t>020161</t>
  </si>
  <si>
    <t>020150</t>
  </si>
  <si>
    <t>048106</t>
  </si>
  <si>
    <t>048111</t>
  </si>
  <si>
    <t>L4</t>
  </si>
  <si>
    <t>020220</t>
  </si>
  <si>
    <t>020251</t>
  </si>
  <si>
    <t>043000</t>
  </si>
  <si>
    <t>020165</t>
  </si>
  <si>
    <t>020159</t>
  </si>
  <si>
    <t>020164</t>
  </si>
  <si>
    <t>048072</t>
  </si>
  <si>
    <t>020139</t>
  </si>
  <si>
    <t>020231</t>
  </si>
  <si>
    <t>041001</t>
  </si>
  <si>
    <t>041003</t>
  </si>
  <si>
    <t>041031</t>
  </si>
  <si>
    <t>020280</t>
  </si>
  <si>
    <t>020275</t>
  </si>
  <si>
    <t>020276</t>
  </si>
  <si>
    <t>020279</t>
  </si>
  <si>
    <t>010115</t>
  </si>
  <si>
    <t>020114</t>
  </si>
  <si>
    <t>020118</t>
  </si>
  <si>
    <t>020119</t>
  </si>
  <si>
    <t>020120</t>
  </si>
  <si>
    <t>049007</t>
  </si>
  <si>
    <t>049099</t>
  </si>
  <si>
    <t>049100</t>
  </si>
  <si>
    <t>049101</t>
  </si>
  <si>
    <t>049102</t>
  </si>
  <si>
    <t>049103</t>
  </si>
  <si>
    <t>049104</t>
  </si>
  <si>
    <t>This revision mainly relates to the IPCS setup functionality and increased error trapping:  General Setup Error table added to the Sign-off tab.  IPCS Setup Error table added to Control Accounts tab.  Control Account names still default to lowest level ID Name, but now editable.  BIA PU List updated for FY18.  Fringe/Burden Rates updated for FY18.  GID rates updated for FY18.  Program/series/framework name added to setup tab.  Missing L4 Ref data (TE, VD) added to the API upload tab. Picklist tables for 'intermediate' PathID codes extended to 40 fields.  Contingency can now be added to Changes.  User Guide section 5 revised.</t>
  </si>
  <si>
    <r>
      <t xml:space="preserve">Information </t>
    </r>
    <r>
      <rPr>
        <sz val="10"/>
        <color theme="1"/>
        <rFont val="Arial"/>
        <family val="2"/>
      </rPr>
      <t>(non-fatal items)</t>
    </r>
  </si>
  <si>
    <t>Plan Tab (3a or 3b)</t>
  </si>
  <si>
    <t>Wrong Control Acct Type</t>
  </si>
  <si>
    <t>Wrong WBS Type has been entered on the Plan (ie Labor vs Non-Labor)</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</si>
  <si>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</si>
  <si>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</si>
  <si>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</si>
  <si>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</si>
  <si>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</si>
  <si>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</si>
  <si>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</si>
  <si>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</si>
  <si>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</si>
  <si>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</si>
  <si>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</si>
  <si>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</si>
  <si>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</si>
  <si>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</si>
  <si>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</si>
  <si>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</si>
  <si>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</si>
  <si>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</si>
  <si>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</si>
  <si>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</si>
  <si>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</si>
  <si>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</si>
  <si>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</si>
  <si>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</si>
  <si>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</si>
  <si>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</si>
  <si>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</si>
  <si>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</si>
  <si>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</si>
  <si>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</si>
  <si>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</si>
  <si>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</si>
  <si>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</si>
  <si>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</si>
  <si>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</si>
  <si>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</si>
  <si>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</si>
  <si>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</si>
  <si>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</si>
  <si>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</si>
  <si>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</si>
  <si>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</si>
  <si>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</si>
  <si>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</si>
  <si>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</si>
  <si>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</si>
  <si>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</si>
  <si>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</si>
  <si>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</si>
  <si>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</si>
  <si>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</si>
  <si>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</si>
  <si>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</si>
  <si>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</si>
  <si>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</si>
  <si>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</si>
  <si>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</si>
  <si>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</si>
  <si>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</si>
  <si>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</si>
  <si>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</si>
  <si>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</si>
  <si>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</si>
  <si>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</si>
  <si>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</si>
  <si>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</si>
  <si>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</si>
  <si>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</si>
  <si>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</si>
  <si>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</si>
  <si>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</si>
  <si>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</si>
  <si>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</si>
  <si>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</si>
  <si>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</si>
  <si>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</si>
  <si>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</si>
  <si>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</si>
  <si>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</si>
  <si>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</si>
  <si>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</si>
  <si>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</si>
  <si>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</si>
  <si>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</si>
  <si>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</si>
  <si>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</si>
  <si>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</si>
  <si>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</si>
  <si>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</si>
  <si>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</si>
  <si>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</si>
  <si>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</si>
  <si>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</si>
  <si>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</si>
  <si>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</si>
  <si>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</si>
  <si>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</si>
  <si>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</si>
  <si>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</si>
  <si>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</si>
  <si>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</si>
  <si>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</si>
  <si>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</si>
  <si>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</si>
  <si>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</si>
  <si>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</si>
  <si>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</si>
  <si>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</si>
  <si>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</si>
  <si>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</si>
  <si>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</si>
  <si>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</si>
  <si>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</si>
  <si>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</si>
  <si>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</si>
  <si>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</si>
  <si>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</si>
  <si>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</si>
  <si>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One, or more, WBS Codes exceed 15 characters (including dots)</t>
  </si>
  <si>
    <t>One, or more, Activity Plan items have not been timephased</t>
  </si>
  <si>
    <t>PathID Component Missing (somewhere in the string)</t>
  </si>
  <si>
    <t>Resource Numbers on the Staff List tab aren't all unique.</t>
  </si>
  <si>
    <t>Resource Numbers on the Activity Plan tab aren't all unique.</t>
  </si>
  <si>
    <t>Names on the Staff List tab aren't all unique (ensure no exact duplicates).</t>
  </si>
  <si>
    <t>Cost Year:</t>
  </si>
  <si>
    <t>Cost Weeknum</t>
  </si>
  <si>
    <t>Cost Month</t>
  </si>
  <si>
    <t>Cost Anniversary:</t>
  </si>
  <si>
    <t>Rev Anniversary:</t>
  </si>
  <si>
    <t>Rev Year:</t>
  </si>
  <si>
    <t>Rev Weeknum</t>
  </si>
  <si>
    <t>Rev Month</t>
  </si>
  <si>
    <t xml:space="preserve">Cost Hours Total </t>
  </si>
  <si>
    <t>Cost Hours Year 1</t>
  </si>
  <si>
    <t>Cost Hours Year 2</t>
  </si>
  <si>
    <t>Cost Hours Year 3</t>
  </si>
  <si>
    <t>Cost Hours Year 4</t>
  </si>
  <si>
    <t>Cost Hours Year 5</t>
  </si>
  <si>
    <t>Cost Hours Year 6</t>
  </si>
  <si>
    <t>Cost Hours Year 7</t>
  </si>
  <si>
    <t>Cost Hours Year 8</t>
  </si>
  <si>
    <t>Cost Hours Year 9</t>
  </si>
  <si>
    <t>Cost Hours Year 10 Plus</t>
  </si>
  <si>
    <t xml:space="preserve">Rev Hours Total </t>
  </si>
  <si>
    <t>Rev Hours Year 1</t>
  </si>
  <si>
    <t>Rev Hours Year 2</t>
  </si>
  <si>
    <t>Rev Hours Year 3</t>
  </si>
  <si>
    <t>Rev Hours Year 4</t>
  </si>
  <si>
    <t>Rev Hours Year 5</t>
  </si>
  <si>
    <t>Rev Hours Year 6</t>
  </si>
  <si>
    <t>Rev Hours Year 7</t>
  </si>
  <si>
    <t>Rev Hours Year 8</t>
  </si>
  <si>
    <t>Rev Hours Year 9</t>
  </si>
  <si>
    <t>Rev Hours Year 10 Plus</t>
  </si>
  <si>
    <t>1 / Sum Remaining Wks</t>
  </si>
  <si>
    <t>Proportion Cost Hours Year 1</t>
  </si>
  <si>
    <t>Proportion Cost Hours Year 2</t>
  </si>
  <si>
    <t>Proportion Cost Hours Year 3</t>
  </si>
  <si>
    <t>Proportion Cost Hours Year 4</t>
  </si>
  <si>
    <t>Proportion Cost Hours Year 5</t>
  </si>
  <si>
    <t>Proportion Cost Hours Year 6</t>
  </si>
  <si>
    <t>Proportion Cost Hours Year 7</t>
  </si>
  <si>
    <t>Proportion Cost Hours Year 8</t>
  </si>
  <si>
    <t>Proportion Cost Hours Year 9</t>
  </si>
  <si>
    <t>Proportion Cost Hrs Year 10 +</t>
  </si>
  <si>
    <t>Proportion Revenue Hrs Year 1</t>
  </si>
  <si>
    <t>Proportion Revenue Hrs Year 2</t>
  </si>
  <si>
    <t>Proportion Revenue Hrs Year 3</t>
  </si>
  <si>
    <t>Proportion Revenue Hrs Year 4</t>
  </si>
  <si>
    <t>Proportion Revenue Hrs Year 5</t>
  </si>
  <si>
    <t>Proportion Revenue Hrs Year 6</t>
  </si>
  <si>
    <t>Proportion Revenue Hrs Year 7</t>
  </si>
  <si>
    <t>Proportion Revenue Hrs Year 8</t>
  </si>
  <si>
    <t>Proportion Revenue Hrs Year 9</t>
  </si>
  <si>
    <t>Proportion Revenue Hrs Year 10</t>
  </si>
  <si>
    <t>Current Cost Hours</t>
  </si>
  <si>
    <t>Lookup Activity Plan - Cost Hours</t>
  </si>
  <si>
    <t>Lookup Staff Plan - Cost Hours</t>
  </si>
  <si>
    <t>Selected Plan(s) - Cost Hours</t>
  </si>
  <si>
    <t>Lookup Activity Plan - Revenue Hours</t>
  </si>
  <si>
    <t>Lookup Staff Plan - Revenue Hours</t>
  </si>
  <si>
    <t>Selected Plan(s) - Revenue Hours</t>
  </si>
  <si>
    <t>Target Revenue Hours</t>
  </si>
  <si>
    <t>Current Revenue Hours</t>
  </si>
  <si>
    <t>Revenue Anniversary:</t>
  </si>
  <si>
    <t>Revenue Year:</t>
  </si>
  <si>
    <t>1 or more WBS Codes have been entered</t>
  </si>
  <si>
    <t>Control Accounts are in use (Control Accounts tab)</t>
  </si>
  <si>
    <t>Weekly/Monthly Labour Rev (Escalated)</t>
  </si>
  <si>
    <t>Weekly/Monthly Non-Labour Revenue</t>
  </si>
  <si>
    <t>Weekly/Monthly Hours</t>
  </si>
  <si>
    <t>Bid Analysis</t>
  </si>
  <si>
    <t>9.1.4</t>
  </si>
  <si>
    <t>9.1.5</t>
  </si>
  <si>
    <t>9.3.1</t>
  </si>
  <si>
    <t>9.3.2</t>
  </si>
  <si>
    <t>9.4.1</t>
  </si>
  <si>
    <t>Update the Hours to Go</t>
  </si>
  <si>
    <t>Update the Non-Labor to Go</t>
  </si>
  <si>
    <t>The calendar automatically updates.  Boxes on the calendar that are colored gray are excluded from the ETC calculation.</t>
  </si>
  <si>
    <t>The weekly/monthly cashflow (above the calendar) automatically updates.</t>
  </si>
  <si>
    <t>The Staffing Check Table (also above the calendar) automatically updates.</t>
  </si>
  <si>
    <t>Review the Staffing Check Table (above the calendar) to ensure that none of the resources have become unrealistically over-committed for the remainder of the project.</t>
  </si>
  <si>
    <t>9.2.2</t>
  </si>
  <si>
    <t>Review the remaining timephasing on the schedule to ensure it is still realistic.</t>
  </si>
  <si>
    <t>Update the Hours to Go (Time-based Method - "T")</t>
  </si>
  <si>
    <t>Update the Hours to Go (Percent Complete Method - "P")</t>
  </si>
  <si>
    <t>This is a quick (approximate) method that only requires you to enter the percent complete for each line item.  It is suitable for larger projects provided that no single line item is too large.</t>
  </si>
  <si>
    <t>Enter a "P" in the Mode column to the left of the schedule.  The hours and the boxes on the schedule turn 'pink'.</t>
  </si>
  <si>
    <t>The "P" mode also works with non-labor (but the "T" mode doesn't).</t>
  </si>
  <si>
    <t>9.5.1</t>
  </si>
  <si>
    <t>Manually overtype the green boxes in the hours table (sparse matrix) section.  Hint: when they reduce to zero, enter a "0" in the box to remind you that there was originally something there.</t>
  </si>
  <si>
    <t>This method only applies if some of the hours were originally modelled using the Time-based entry method.  (This method requires a "T" to be selected in the Mode column to the left of the schedule. Refer section 3.18 in this User Guide)</t>
  </si>
  <si>
    <t>Enter the Anniversary Date (typically 1st Jan) and the yearly incremental index % for Raw Costs in the yellow input boxes at the top of the Raw Cost Rates table.  (These will then be compounded within the tool).</t>
  </si>
  <si>
    <t>By default, the Sell Rate Anniversary Date and yearly indices will be the same (green boxes at the top of the RHS table).  However, all of these can be overtyped with different values (including zero) if required.</t>
  </si>
  <si>
    <t>Raw Rates (and Sell Rates) for any particular individual and for any particular year can then be adjusted (or capped) by over-typing in the green boxes in the body of the tables.</t>
  </si>
  <si>
    <t>Lookup Office Staff</t>
  </si>
  <si>
    <t>Lookup Jobshopper</t>
  </si>
  <si>
    <t>Lookup Field</t>
  </si>
  <si>
    <t>Lookup LBO</t>
  </si>
  <si>
    <t>Internal 
Rev Rate</t>
  </si>
  <si>
    <t>Revenue Rates Year 1</t>
  </si>
  <si>
    <t>Revenue Rates Year 2</t>
  </si>
  <si>
    <t>Revenue Rates Year 3</t>
  </si>
  <si>
    <t>Revenue Rates Year 4</t>
  </si>
  <si>
    <t>Revenue Rates Year 5</t>
  </si>
  <si>
    <t>Revenue Rates Year 6</t>
  </si>
  <si>
    <t>Revenue Rates Year 7</t>
  </si>
  <si>
    <t>Revenue Rates Year 8</t>
  </si>
  <si>
    <t>Revenue Rates Year 9</t>
  </si>
  <si>
    <t xml:space="preserve">Revenue Rates Year 10 Plus </t>
  </si>
  <si>
    <t>7.  Direct Entry Rates</t>
  </si>
  <si>
    <t>8.  Direct Entry Rates with Scaling Factor</t>
  </si>
  <si>
    <t>Add-On / Margin</t>
  </si>
  <si>
    <r>
      <t xml:space="preserve">Project-Specific Banding (Optional)
</t>
    </r>
    <r>
      <rPr>
        <sz val="8"/>
        <color theme="0" tint="-0.34998626667073579"/>
        <rFont val="Arial"/>
        <family val="2"/>
      </rPr>
      <t>(Methods 1-6)</t>
    </r>
  </si>
  <si>
    <t>Manual 
Over-Ride</t>
  </si>
  <si>
    <t>Sell Rate = Burdened Cost Rate + Computer Charges (if applic.) + Nominated Gross Margin</t>
  </si>
  <si>
    <t xml:space="preserve">If required, GM/Hr can be varied for particular individuals using the Sell Rate Adjustment Table on the Staff List tab. </t>
  </si>
  <si>
    <t xml:space="preserve">Note that if escalation (indexation) has been applied, then the resultant GM/Hr will also be escalated slightly (refer Staff List Margin Profile report). </t>
  </si>
  <si>
    <r>
      <t xml:space="preserve">Pricing Methods  </t>
    </r>
    <r>
      <rPr>
        <sz val="12"/>
        <color rgb="FF00338D"/>
        <rFont val="Arial"/>
        <family val="2"/>
      </rPr>
      <t>(Use as appropriate to contract type)</t>
    </r>
  </si>
  <si>
    <t>3rd Party calc fixed on Sign-Off tab</t>
  </si>
  <si>
    <t>NB</t>
  </si>
  <si>
    <t>1  Sell Rates are calculated, based on the selected Pricing Method.</t>
  </si>
  <si>
    <t>1.8.1</t>
  </si>
  <si>
    <t>Multiple suffixes in PT file (Refer User Guide 5.3.12)</t>
  </si>
  <si>
    <r>
      <rPr>
        <b/>
        <sz val="10"/>
        <color theme="1"/>
        <rFont val="Arial"/>
        <family val="2"/>
      </rPr>
      <t>Multiple Suffixes (Level 1)</t>
    </r>
    <r>
      <rPr>
        <sz val="10"/>
        <color theme="1"/>
        <rFont val="Arial"/>
        <family val="2"/>
      </rPr>
      <t xml:space="preserve">
It is possible to have multiple suffixes in the same Pricing Tool.  Select "Multiple Suffixes" in the dropdown in the blue banner on the left of the Control Accounts tab.</t>
    </r>
  </si>
  <si>
    <t>Unhide the "EcoSys Data" tab and enter the suffix details in the Level 1 table on the left.  These suffixes can then be selected from the Control Accounts tab.</t>
  </si>
  <si>
    <t>In multi-suffix mode, the WBS codes include the level 1 suffix.</t>
  </si>
  <si>
    <t>From</t>
  </si>
  <si>
    <t>To</t>
  </si>
  <si>
    <t>Max Resource Histogram</t>
  </si>
  <si>
    <t>Start Column (Remaining)</t>
  </si>
  <si>
    <t>Finish Column (All)</t>
  </si>
  <si>
    <t>Finish Column (Remaining)</t>
  </si>
  <si>
    <t>Finish Remaining</t>
  </si>
  <si>
    <t>Markup % on Non-Labor</t>
  </si>
  <si>
    <t>Generally, you will be reducing the hours to go each month.  However, on occasion, the hours can actually increase (eg if the original estimate was badly underestimated).  Hopefully, this won't happen too often!</t>
  </si>
  <si>
    <t>Filter: Billable</t>
  </si>
  <si>
    <t>1.06</t>
  </si>
  <si>
    <t>(Billable) Current Hours</t>
  </si>
  <si>
    <t>8.2.3</t>
  </si>
  <si>
    <t>8.2.4</t>
  </si>
  <si>
    <t>8.2.5</t>
  </si>
  <si>
    <t>8.2.6</t>
  </si>
  <si>
    <t>8.3.1.1</t>
  </si>
  <si>
    <t>8.3.2.1</t>
  </si>
  <si>
    <t>8.3.2.2</t>
  </si>
  <si>
    <t>8.3.3.1</t>
  </si>
  <si>
    <t>8.3.3.2</t>
  </si>
  <si>
    <t>9.1.6</t>
  </si>
  <si>
    <t>9.1.7</t>
  </si>
  <si>
    <t>9.1.8</t>
  </si>
  <si>
    <t>9.1.9</t>
  </si>
  <si>
    <t>Changes exist (either plan)</t>
  </si>
  <si>
    <t>No. of items</t>
  </si>
  <si>
    <t>Setup Error Log (No items)</t>
  </si>
  <si>
    <t>Setup Error Log</t>
  </si>
  <si>
    <t>This sheet in use</t>
  </si>
  <si>
    <t>Either Plan (Default setting)</t>
  </si>
  <si>
    <t>Staff (All Types)</t>
  </si>
  <si>
    <t>PAP Pro Services</t>
  </si>
  <si>
    <t>Project No:</t>
  </si>
  <si>
    <t>PT Mode</t>
  </si>
  <si>
    <t>Margin Profile</t>
  </si>
  <si>
    <t>Timephase Curves</t>
  </si>
  <si>
    <t>Timephasing</t>
  </si>
  <si>
    <t>Cost Rate</t>
  </si>
  <si>
    <t>(2)</t>
  </si>
  <si>
    <t>(4)</t>
  </si>
  <si>
    <t>(5)</t>
  </si>
  <si>
    <t>(6)=4+5</t>
  </si>
  <si>
    <t>(9)=6/3</t>
  </si>
  <si>
    <t>(12)</t>
  </si>
  <si>
    <t>Pricing Tool Configuration</t>
  </si>
  <si>
    <t>Plan Template</t>
  </si>
  <si>
    <t xml:space="preserve"> Lookup data (may be over-typed if incorrect)</t>
  </si>
  <si>
    <t>Summary</t>
  </si>
  <si>
    <t>Total all Pending Changes</t>
  </si>
  <si>
    <t>Total all Approved Changes</t>
  </si>
  <si>
    <t>Total all Changes (Pending + Approved)</t>
  </si>
  <si>
    <t>Approved</t>
  </si>
  <si>
    <t>Filter: Approved</t>
  </si>
  <si>
    <t>Recognise Change No.</t>
  </si>
  <si>
    <t>Filter: Approved Change</t>
  </si>
  <si>
    <t>Filter: Pending Change</t>
  </si>
  <si>
    <t>Overall Plan Filter</t>
  </si>
  <si>
    <t>Filter: Original Scope</t>
  </si>
  <si>
    <t>Selected Change Numbers (see below)</t>
  </si>
  <si>
    <t>Project No.:</t>
  </si>
  <si>
    <t>WBS Name</t>
  </si>
  <si>
    <t>Totals</t>
  </si>
  <si>
    <t>Revenue Hours Year 1</t>
  </si>
  <si>
    <t>Revenue Hours Year 2</t>
  </si>
  <si>
    <t>Revenue Hours Year 3</t>
  </si>
  <si>
    <t>Revenue Hours Year 4</t>
  </si>
  <si>
    <t>Revenue Hours Year 5</t>
  </si>
  <si>
    <t>Revenue Hours Year 6</t>
  </si>
  <si>
    <t>Revenue Hours Year 7</t>
  </si>
  <si>
    <t>Revenue Hours Year 8</t>
  </si>
  <si>
    <t>Revenue Hours Year 9</t>
  </si>
  <si>
    <t>Revenue Hours Year 10 Plus</t>
  </si>
  <si>
    <t>Cost Hours</t>
  </si>
  <si>
    <t>(Bill &amp; Non Bill) Hours</t>
  </si>
  <si>
    <t>(Billable) Hours</t>
  </si>
  <si>
    <t>Revenue Hours</t>
  </si>
  <si>
    <t>Activity  Price (escalated)</t>
  </si>
  <si>
    <t>Activity  Cost (escalated)</t>
  </si>
  <si>
    <t>Activity  Raw (escalated)</t>
  </si>
  <si>
    <t>Staff  Price (escalated)</t>
  </si>
  <si>
    <t>Staff  Cost (escalated)</t>
  </si>
  <si>
    <t>Staff  Raw (escalated)</t>
  </si>
  <si>
    <t>Combined  Price (escalated)</t>
  </si>
  <si>
    <t>Combined  Cost (escalated)</t>
  </si>
  <si>
    <t>Combined  Raw (escalated)</t>
  </si>
  <si>
    <t>Annual Rates Changes - Country Data tab and Org Data Tab (Hidden)</t>
  </si>
  <si>
    <t>Burdens, PC Charges and FX exchange rates - Country Data tab</t>
  </si>
  <si>
    <t>Esc Avg Sell Rate</t>
  </si>
  <si>
    <t>Compass Labour</t>
  </si>
  <si>
    <t>Compass Site Labour</t>
  </si>
  <si>
    <t>Compass Jobshopper</t>
  </si>
  <si>
    <t>Compass GID</t>
  </si>
  <si>
    <t>Revenue
Modifier</t>
  </si>
  <si>
    <t xml:space="preserve"> (8 digit number - when setup in GFS)</t>
  </si>
  <si>
    <t>(11)=9x10</t>
  </si>
  <si>
    <t>(14)=12x13</t>
  </si>
  <si>
    <t>(15)=6+12</t>
  </si>
  <si>
    <t>(16)=8+14</t>
  </si>
  <si>
    <t>(17)=16-15</t>
  </si>
  <si>
    <t>(18)=17/16</t>
  </si>
  <si>
    <t>(19)=17/2</t>
  </si>
  <si>
    <t>(10)=8/6</t>
  </si>
  <si>
    <t>(13)=14/12</t>
  </si>
  <si>
    <t>Do not include blank rows between Control Accounts</t>
  </si>
  <si>
    <t>Mixed Labor / Non-Labor descriptions in the same code</t>
  </si>
  <si>
    <t>Lowest ID contains a "."</t>
  </si>
  <si>
    <t>Last Populated Row</t>
  </si>
  <si>
    <t>L2 Labor?</t>
  </si>
  <si>
    <t>L2/L4 L/N mismatch</t>
  </si>
  <si>
    <t>Separated Fee</t>
  </si>
  <si>
    <t>Current Year</t>
  </si>
  <si>
    <t>Offset</t>
  </si>
  <si>
    <t>WBS Dropdown</t>
  </si>
  <si>
    <t>WBS Range Offset</t>
  </si>
  <si>
    <t>WBS Range Items</t>
  </si>
  <si>
    <t>Using the Staff Plan in ETC mode</t>
  </si>
  <si>
    <t>8.2.1.1</t>
  </si>
  <si>
    <t>8.2.2.1</t>
  </si>
  <si>
    <t>8.2.2.2</t>
  </si>
  <si>
    <t>8.2.3.1</t>
  </si>
  <si>
    <t>8.2.3.2</t>
  </si>
  <si>
    <t>8.2.4.1</t>
  </si>
  <si>
    <t>8.2.5.1</t>
  </si>
  <si>
    <t>8.2.6.1</t>
  </si>
  <si>
    <t>Using the Activity Plan in ETC mode</t>
  </si>
  <si>
    <t>Step 8: Manual ETC mode</t>
  </si>
  <si>
    <t>8.3.2.3</t>
  </si>
  <si>
    <t>8.3.2.4</t>
  </si>
  <si>
    <t>8.3.4</t>
  </si>
  <si>
    <t>8.3.4.1</t>
  </si>
  <si>
    <t>8.3.4.2</t>
  </si>
  <si>
    <t>8.3.5</t>
  </si>
  <si>
    <t>8.3.5.1</t>
  </si>
  <si>
    <t>8.3.5.2</t>
  </si>
  <si>
    <t>8.3.6</t>
  </si>
  <si>
    <t>8.3.6.1</t>
  </si>
  <si>
    <t>8.3.7</t>
  </si>
  <si>
    <t>8.3.7.1</t>
  </si>
  <si>
    <t>8.3.8</t>
  </si>
  <si>
    <t>8.3.8.1</t>
  </si>
  <si>
    <t>Sign-Off tab in ETC mode (not used)</t>
  </si>
  <si>
    <t>Control Accounts tab in ETC mode</t>
  </si>
  <si>
    <t>Changes can be priced bottom-up, in exactly the same way as the original budget was priced.</t>
  </si>
  <si>
    <t>8.6.1</t>
  </si>
  <si>
    <t>It follows that any line item with a blank in the Change Status column is deemed to be part of the original scope of work.</t>
  </si>
  <si>
    <t>Using the Sign-Off tab for Changes</t>
  </si>
  <si>
    <t>Change Approvals</t>
  </si>
  <si>
    <t>Internal change approvals can be facilitated with the Sign-off tab.</t>
  </si>
  <si>
    <t>Change Status tags (Column F).</t>
  </si>
  <si>
    <t>Explanation:</t>
  </si>
  <si>
    <t>Change Log tab</t>
  </si>
  <si>
    <r>
      <rPr>
        <b/>
        <sz val="10"/>
        <color theme="1"/>
        <rFont val="Arial"/>
        <family val="2"/>
      </rPr>
      <t>New People</t>
    </r>
    <r>
      <rPr>
        <sz val="10"/>
        <color theme="1"/>
        <rFont val="Arial"/>
        <family val="2"/>
      </rPr>
      <t>:  It is common that team members change.  Add new team members to the Master Staff List and then allocate them to the new line items on the Project Plan.</t>
    </r>
  </si>
  <si>
    <t>Adding  additional contingency to particular changes</t>
  </si>
  <si>
    <t>9.3.3</t>
  </si>
  <si>
    <t>9.4.2</t>
  </si>
  <si>
    <t>9.6.1</t>
  </si>
  <si>
    <t>9.7.1</t>
  </si>
  <si>
    <t>9.7.2</t>
  </si>
  <si>
    <t>9.7.3</t>
  </si>
  <si>
    <t>Unhide the "Change Log" tab</t>
  </si>
  <si>
    <t>Enter the Change ID (Reference Number) in the Change ID input column.  This then looks up the relevant information from the Project Plan tabs.</t>
  </si>
  <si>
    <t>Non-unique WBS Codes (Not permissible)</t>
  </si>
  <si>
    <t>Non-unique WBS Descriptions (Permissible, but can cause confusion)</t>
  </si>
  <si>
    <t>One, or more, WBS Code has zero budget (Control Accounts)</t>
  </si>
  <si>
    <t>Start date for entire schedule has not been entered</t>
  </si>
  <si>
    <t>Lowest level ID Code/Names aren't all matched pairs</t>
  </si>
  <si>
    <t>Dup Lowest Code+Name</t>
  </si>
  <si>
    <t>Concat Lowest ID Code/Name</t>
  </si>
  <si>
    <r>
      <t xml:space="preserve">Sell Rate Settings
</t>
    </r>
    <r>
      <rPr>
        <sz val="8"/>
        <color theme="0" tint="-0.34998626667073579"/>
        <rFont val="Arial"/>
        <family val="2"/>
      </rPr>
      <t>(Methods 1-6)</t>
    </r>
  </si>
  <si>
    <t xml:space="preserve"> Over-type if this value is missing or incorrect</t>
  </si>
  <si>
    <t xml:space="preserve"> Burden applied to overtime portion</t>
  </si>
  <si>
    <t xml:space="preserve"> Burden applied to uplift portion</t>
  </si>
  <si>
    <t>Burden 
%'age</t>
  </si>
  <si>
    <t>Staff with Allowance</t>
  </si>
  <si>
    <t>PPOT Multiplier</t>
  </si>
  <si>
    <r>
      <t xml:space="preserve">  Insert additional rows in the table anywhere above this range delimiter. </t>
    </r>
    <r>
      <rPr>
        <sz val="9"/>
        <color rgb="FFC00000"/>
        <rFont val="Arial"/>
        <family val="2"/>
      </rPr>
      <t xml:space="preserve"> Refer to User Guide section 0.4</t>
    </r>
  </si>
  <si>
    <r>
      <rPr>
        <b/>
        <sz val="10"/>
        <color theme="0" tint="-0.249977111117893"/>
        <rFont val="Arial"/>
        <family val="2"/>
      </rPr>
      <t>Direct</t>
    </r>
    <r>
      <rPr>
        <sz val="8"/>
        <color theme="0" tint="-0.249977111117893"/>
        <rFont val="Arial"/>
        <family val="2"/>
      </rPr>
      <t xml:space="preserve">
(Methods 7,8)</t>
    </r>
  </si>
  <si>
    <t>Sell Rate Method:</t>
  </si>
  <si>
    <t>Staff (Normal)</t>
  </si>
  <si>
    <t>Staff Type</t>
  </si>
  <si>
    <t xml:space="preserve">  Always insert rows above this range de-limiter</t>
  </si>
  <si>
    <t>Allowances in Use</t>
  </si>
  <si>
    <t>PPOT in Use</t>
  </si>
  <si>
    <t>Burden on
Uplift part</t>
  </si>
  <si>
    <t>Lookup Normal Staff Burden</t>
  </si>
  <si>
    <t>Lookup Base Burden Factor</t>
  </si>
  <si>
    <t>Allowance</t>
  </si>
  <si>
    <t>SPOT</t>
  </si>
  <si>
    <t>PPOT</t>
  </si>
  <si>
    <t>Escalation Increase - Cost</t>
  </si>
  <si>
    <t>Escalation Increase - Price</t>
  </si>
  <si>
    <r>
      <t xml:space="preserve">1  </t>
    </r>
    <r>
      <rPr>
        <b/>
        <sz val="9"/>
        <color theme="9" tint="-0.499984740745262"/>
        <rFont val="Arial"/>
        <family val="2"/>
      </rPr>
      <t>Name</t>
    </r>
    <r>
      <rPr>
        <sz val="9"/>
        <color theme="9" tint="-0.499984740745262"/>
        <rFont val="Arial"/>
        <family val="2"/>
      </rPr>
      <t xml:space="preserve"> is a required field (If the exact person is not yet known, enter a placeholder description instead).</t>
    </r>
  </si>
  <si>
    <r>
      <t xml:space="preserve">2  </t>
    </r>
    <r>
      <rPr>
        <b/>
        <sz val="9"/>
        <color theme="9" tint="-0.499984740745262"/>
        <rFont val="Arial"/>
        <family val="2"/>
      </rPr>
      <t>PU/Org</t>
    </r>
    <r>
      <rPr>
        <sz val="9"/>
        <color theme="9" tint="-0.499984740745262"/>
        <rFont val="Arial"/>
        <family val="2"/>
      </rPr>
      <t xml:space="preserve"> is used to identify anyone who is NOT from the host PU.  This is particularly important for foreign resources (who will attract a </t>
    </r>
  </si>
  <si>
    <t>Staff List</t>
  </si>
  <si>
    <t>Input Cells</t>
  </si>
  <si>
    <t>Warning Cells</t>
  </si>
  <si>
    <t>Cell Color Coding</t>
  </si>
  <si>
    <t>Special Billing Rates</t>
  </si>
  <si>
    <t>Status</t>
  </si>
  <si>
    <t>Timephasing is incomplete for some activities 
(Look for orange warning cells on the schedule to the right)</t>
  </si>
  <si>
    <t xml:space="preserve"> Strong Warning (Data missing)</t>
  </si>
  <si>
    <t xml:space="preserve"> Soft Warning (Data suspect or approximate)</t>
  </si>
  <si>
    <t xml:space="preserve"> Cell formula is missing</t>
  </si>
  <si>
    <t>Lookup Fee %</t>
  </si>
  <si>
    <t>Fee %</t>
  </si>
  <si>
    <t>Filter: Revenue Only</t>
  </si>
  <si>
    <t>Current Revenue Year</t>
  </si>
  <si>
    <t>Current Cost Year</t>
  </si>
  <si>
    <t>Current Raw Rate</t>
  </si>
  <si>
    <t>Bill Rate Multiplier (Methods 1-4)</t>
  </si>
  <si>
    <t>-- LINEAR MULTIPLIER METHODS --</t>
  </si>
  <si>
    <t>-- OTHER METHODS (Non Linear) --</t>
  </si>
  <si>
    <t>Current Cost Index Year</t>
  </si>
  <si>
    <t>6.  Constant Gross Margin</t>
  </si>
  <si>
    <t>Method:</t>
  </si>
  <si>
    <t>3.  Cost Plus (Fee will be rolled into the taximeter)</t>
  </si>
  <si>
    <t>4.  Cost Plus (Fee is included here but will be excluded from the taximeter)</t>
  </si>
  <si>
    <t>Pricing Tool Mode:</t>
  </si>
  <si>
    <t>Risk</t>
  </si>
  <si>
    <t>8.1.2</t>
  </si>
  <si>
    <t>Method 4/5 Fee?</t>
  </si>
  <si>
    <t>Incentives &amp; Fee (Price method 4,5,8,9)</t>
  </si>
  <si>
    <t>Fee (amount)</t>
  </si>
  <si>
    <t>Fix Fee Switch</t>
  </si>
  <si>
    <t>Fee Switch</t>
  </si>
  <si>
    <t>3.  Cost Plus (Fee is rolled into the revenue multiplier)</t>
  </si>
  <si>
    <t>1.   Use for any contractual items that impact our final Revenue (and hence Gross Margin), but don't change the bid price.</t>
  </si>
  <si>
    <t>(eg: Bonuses, Rebates, FX Gains/Losses, etc.)</t>
  </si>
  <si>
    <t>Budget</t>
  </si>
  <si>
    <t>8.1.4</t>
  </si>
  <si>
    <t>8.1.5</t>
  </si>
  <si>
    <t>All of the ETC data flows through to the Sign-off tab.  Whilst, this analysis may on occasions be useful, the Sign-off tab is not really relevant in ETC mode.</t>
  </si>
  <si>
    <r>
      <rPr>
        <b/>
        <sz val="10"/>
        <color theme="1"/>
        <rFont val="Arial"/>
        <family val="2"/>
      </rPr>
      <t xml:space="preserve">Important: </t>
    </r>
    <r>
      <rPr>
        <sz val="10"/>
        <color theme="1"/>
        <rFont val="Arial"/>
        <family val="2"/>
      </rPr>
      <t xml:space="preserve"> You must tag EVERY new row with its change status (using the Change Status column (F) on each Plan tab) to distinguish it from original scope line items.</t>
    </r>
  </si>
  <si>
    <t>Also, tag every new line item with a Change Reference Number (multiple line items can have the same change number if required).</t>
  </si>
  <si>
    <t xml:space="preserve">Often, we will also create a new WBS / Path ID for changes that involve additional scope so that they can be tracked separately.  These should be added on to the Control Accounts tab as appropriate. </t>
  </si>
  <si>
    <r>
      <rPr>
        <b/>
        <sz val="10"/>
        <color theme="1"/>
        <rFont val="Arial"/>
        <family val="2"/>
      </rPr>
      <t>Blank</t>
    </r>
    <r>
      <rPr>
        <sz val="10"/>
        <color theme="1"/>
        <rFont val="Arial"/>
        <family val="2"/>
      </rPr>
      <t xml:space="preserve"> means "Original Scope".</t>
    </r>
  </si>
  <si>
    <t>There is a drop-down selector on the Sign-off tab to filter out exactly which change line items you want included within any particular Sign-off.</t>
  </si>
  <si>
    <t>Constant Gross Margin</t>
  </si>
  <si>
    <t xml:space="preserve"> 2.  Next, delete the Accurate Raw Rates (on the Staff List tab)</t>
  </si>
  <si>
    <r>
      <t xml:space="preserve"> 1.  Copy the number from the white box 1 and paste-</t>
    </r>
    <r>
      <rPr>
        <u/>
        <sz val="10"/>
        <color theme="9" tint="-0.499984740745262"/>
        <rFont val="Arial"/>
        <family val="2"/>
      </rPr>
      <t>value</t>
    </r>
    <r>
      <rPr>
        <sz val="10"/>
        <color theme="9" tint="-0.499984740745262"/>
        <rFont val="Arial"/>
        <family val="2"/>
      </rPr>
      <t xml:space="preserve"> (freeze) it into the yellow box 2</t>
    </r>
  </si>
  <si>
    <r>
      <t>3.  Finally, copy the number from the white box 3 and paste-</t>
    </r>
    <r>
      <rPr>
        <u/>
        <sz val="10"/>
        <color theme="9" tint="-0.499984740745262"/>
        <rFont val="Arial"/>
        <family val="2"/>
      </rPr>
      <t>value</t>
    </r>
    <r>
      <rPr>
        <sz val="10"/>
        <color theme="9" tint="-0.499984740745262"/>
        <rFont val="Arial"/>
        <family val="2"/>
      </rPr>
      <t xml:space="preserve"> (freeze) it into the yellow box 4</t>
    </r>
  </si>
  <si>
    <t>Filter: Exclude 3rd Party</t>
  </si>
  <si>
    <t>Exp Sched Orange Flag</t>
  </si>
  <si>
    <r>
      <t xml:space="preserve">Note that it is assumed that the "Budget" revenue event </t>
    </r>
    <r>
      <rPr>
        <u/>
        <sz val="8"/>
        <color theme="1"/>
        <rFont val="Arial"/>
        <family val="2"/>
      </rPr>
      <t>will</t>
    </r>
    <r>
      <rPr>
        <sz val="8"/>
        <color theme="1"/>
        <rFont val="Arial"/>
        <family val="2"/>
      </rPr>
      <t xml:space="preserve"> occur during execution.  It doesn't change the Bid Price, but it does get included in the sign-off calculation for GM/Hr for the project and it passes through to the budget in IPCS.  If you don't want this to happen, then leave the Budget field blank.</t>
    </r>
  </si>
  <si>
    <t>Change Selector (filter)</t>
  </si>
  <si>
    <t>9.  Category Rates</t>
  </si>
  <si>
    <t>10.  Category Rates with Scaling Factor</t>
  </si>
  <si>
    <t>Category Rates</t>
  </si>
  <si>
    <t>1.  These Category Sell Rate Tables are agreed in advance of the project.  They are used with Pricing Methods 8 and 9.</t>
  </si>
  <si>
    <r>
      <t xml:space="preserve">Category Rates
</t>
    </r>
    <r>
      <rPr>
        <sz val="8"/>
        <color theme="0" tint="-0.249977111117893"/>
        <rFont val="Arial"/>
        <family val="2"/>
      </rPr>
      <t>(Methods 9 &amp; 10)</t>
    </r>
  </si>
  <si>
    <r>
      <t xml:space="preserve">4.  Cost Plus (Fee is </t>
    </r>
    <r>
      <rPr>
        <u/>
        <sz val="8"/>
        <color theme="1"/>
        <rFont val="Arial"/>
        <family val="2"/>
      </rPr>
      <t>calculated separately</t>
    </r>
    <r>
      <rPr>
        <sz val="8"/>
        <color theme="1"/>
        <rFont val="Arial"/>
        <family val="2"/>
      </rPr>
      <t>)</t>
    </r>
  </si>
  <si>
    <t>Most common (default) option for Cost-Plus contracts.
The fee is calculated separately and is not built into the Sell Rates (or the revenue multiplier).  It is managed as a separate line item in the Revenue Budget that is passed into EcoSys.  This method must be used for "Cost Plus a Fixed Fee" Contracts.
The "cost" in Cost-Plus is calculated as Raw Labor x OH%.  (where OH% varies with employment type but is higher than the internal cost burdening factor because it includes more cost components).  The fee (nominal profit) is then added on, and is invoiced separately.</t>
  </si>
  <si>
    <t>5.  Cost-Plus (generic with add-on component)</t>
  </si>
  <si>
    <t>Separate Fee</t>
  </si>
  <si>
    <t>Amount in Project Currency</t>
  </si>
  <si>
    <t>Overwrite Office Staff</t>
  </si>
  <si>
    <t>Overwrite Jobshopper</t>
  </si>
  <si>
    <t>Overwrite Field</t>
  </si>
  <si>
    <t>Overwrite LBO</t>
  </si>
  <si>
    <t>Reassess the remaining Contingency in the "totals" section at the top of the Plan tab.  Generally, this will be specified as a fixed amount and may need to be over-typed with a new value.</t>
  </si>
  <si>
    <t>Manually update the blue boxes to reflect revised forecast hours and weeks/months to go.</t>
  </si>
  <si>
    <t>Update (overtype) the values in the pink boxes in the non-labor section to reflect the (revised) costs to go.</t>
  </si>
  <si>
    <t>Non-labor is timephased by putting "1"s in the boxes on the schedule.  If the amount you are forecasting is &gt;0 for a line item, but the schedule has "run out" - then the boxes on the schedule are colored bright orange (as a data-missing warning).  You need to update the schedule to timephase the remaining non-labor.</t>
  </si>
  <si>
    <t>Update the Retained Contingency</t>
  </si>
  <si>
    <t>Treated the same as contingency (refer above).</t>
  </si>
  <si>
    <t>Update the Remaining Fee (if applicable)</t>
  </si>
  <si>
    <t>8.2.7</t>
  </si>
  <si>
    <t>Forecasting Incentives, Liabilities and other "revenue only" items</t>
  </si>
  <si>
    <t>These are modelled as Non-Labor items and tagged as "RO" (Revenue Only) in the "NB" column in the left hand "Status" section.  They can be +'ve or -'ve.</t>
  </si>
  <si>
    <t>8.2.7.1</t>
  </si>
  <si>
    <t>For "RO" items, the WBS code is grayed out, because these items are automatically summed up into the "V" (Fee / Incentives / Liabilities) WBS/control account in IPCS.</t>
  </si>
  <si>
    <r>
      <rPr>
        <b/>
        <sz val="10"/>
        <rFont val="Arial"/>
        <family val="2"/>
      </rPr>
      <t>Forecasting Revenue-Only Items:  Incentives, Rebates, FX gains/losses, etc</t>
    </r>
    <r>
      <rPr>
        <sz val="10"/>
        <rFont val="Arial"/>
        <family val="2"/>
      </rPr>
      <t>.
For the proposal, these items are included in the Revenue Risk section of the Sign-Off tab.  They influence the predicted margin but do not affect the bid price.
In ETC mode, you have to decide whether (or when) to include these into your forecast.  To include them into your ETC forecast  (either +'ve or -'ve amounts), they must be added as a new (non-labor) line item on the Plan tab  and tagged with "RO" (Revenue Only) in the "NB" column in the Status section on the left.  No WBS code is required because "RO" items are automatically included within the Fee/Incentives/Liabilities (.V) control account.</t>
    </r>
  </si>
  <si>
    <t>The calendar automatically updates.  Boxes on the calendar that are colored gray are excluded from the timephasing calculation.</t>
  </si>
  <si>
    <t xml:space="preserve">Enter the percentage complete in the column adjacent to the Mode column.  The ETC is then calculated as the remaining percentage times the EAC / full amount. </t>
  </si>
  <si>
    <t>If you have a line item that still has hours/cost to go and the "1"s on the schedule have "run out", then the remaining boxes on the schedule are colored bright orange as a warning (data missing).  You must enter more "1"s into the remaining schedule or else the timephasing functionality in the PT cannot work.</t>
  </si>
  <si>
    <t>In "P" mode, you do not overtype (reduce) the hours in the hours table (sparse matrix), you leave them at the EAC / full amount. (However, you can always modify the EAC / full amount if you now believe that the budgeted amount was wrong in the first place)</t>
  </si>
  <si>
    <t>8.3.9</t>
  </si>
  <si>
    <t>8.3.9.1</t>
  </si>
  <si>
    <t>ALL CHANGES are made by inserting additional line items (typically, at the bottom of the original plan), populating them with the delta amounts and then tagging each line item with its Change Number and Change Status to distinguish them from the original scope of work.</t>
  </si>
  <si>
    <t>9.1.1</t>
  </si>
  <si>
    <t>The contingency input boxes in the totals section on each of the Plan tabs refers to original contingency for the project.  It is grayed out in Changes Mode.</t>
  </si>
  <si>
    <t>To add contingency for a particular change, it must be modelled as a separate line item and tagged with the same status and change number as the other line items forming the change.</t>
  </si>
  <si>
    <t>However, when assigning a WBS codes to this line item, you must pick a change code (e.g. a WBS code that starts with a "S").  This will ensure that it gets rolled up into the overall contingency control account for the project that passes through to IPCS.</t>
  </si>
  <si>
    <t>9.6.2</t>
  </si>
  <si>
    <t>If necessary, you can modify this form to suit client / contract requirements.</t>
  </si>
  <si>
    <t>Host Country</t>
  </si>
  <si>
    <r>
      <t xml:space="preserve">Project No. </t>
    </r>
    <r>
      <rPr>
        <sz val="8"/>
        <color theme="9" tint="-0.499984740745262"/>
        <rFont val="Arial"/>
        <family val="2"/>
      </rPr>
      <t>(Enter on Setup tab)</t>
    </r>
  </si>
  <si>
    <r>
      <rPr>
        <b/>
        <sz val="8"/>
        <color theme="9" tint="-0.499984740745262"/>
        <rFont val="Arial"/>
        <family val="2"/>
      </rPr>
      <t>Note:</t>
    </r>
    <r>
      <rPr>
        <sz val="8"/>
        <color theme="9" tint="-0.499984740745262"/>
        <rFont val="Arial"/>
        <family val="2"/>
      </rPr>
      <t xml:space="preserve">  This data is drawn from the "Country Data" tab (which can be unhidden and adjusted if necessary).  The cost factors for foreign staff will be automatically looked up from this tab, but can also be directly over-rided at an individual level using the appropriate green cells on the Staff List tab.</t>
    </r>
  </si>
  <si>
    <t>(1)=2+3</t>
  </si>
  <si>
    <t>(3)</t>
  </si>
  <si>
    <t>Enter the 'ETC From' Week/Month No.</t>
  </si>
  <si>
    <t>Enter the week/month number the ETC starts from in the yellow box to the right of the grand total box.</t>
  </si>
  <si>
    <t>Every update, "Save as" the PT to create a new file with the date of the ETC update in the filename.</t>
  </si>
  <si>
    <t>8.2.2.3</t>
  </si>
  <si>
    <t>8.2.2.4</t>
  </si>
  <si>
    <t>8.2.4.2</t>
  </si>
  <si>
    <t>8.2.8</t>
  </si>
  <si>
    <t>8.2.8.1</t>
  </si>
  <si>
    <t>8.2.8.2</t>
  </si>
  <si>
    <t>First, create a new PT file</t>
  </si>
  <si>
    <t>8.3.2.5</t>
  </si>
  <si>
    <t>8.3.3.3</t>
  </si>
  <si>
    <t>8.3.3.4</t>
  </si>
  <si>
    <t>8.3.5.3</t>
  </si>
  <si>
    <t>8.3.5.4</t>
  </si>
  <si>
    <t>8.3.6.2</t>
  </si>
  <si>
    <t>8.3.10</t>
  </si>
  <si>
    <t>8.3.10.1</t>
  </si>
  <si>
    <t>8.3.10.2</t>
  </si>
  <si>
    <t>Update the Hours to Go (Manual Over-type Method)</t>
  </si>
  <si>
    <t>This method is essentially very similar to updating the hours on the Staff Plan ETC.  If there have been changes, modify the blue boxes on the schedule to reflect the forecast hours to go.</t>
  </si>
  <si>
    <r>
      <rPr>
        <b/>
        <sz val="10"/>
        <rFont val="Arial"/>
        <family val="2"/>
      </rPr>
      <t>How?</t>
    </r>
    <r>
      <rPr>
        <sz val="10"/>
        <rFont val="Arial"/>
        <family val="2"/>
      </rPr>
      <t xml:space="preserve">  
</t>
    </r>
    <r>
      <rPr>
        <sz val="10"/>
        <color rgb="FFC00000"/>
        <rFont val="Arial"/>
        <family val="2"/>
      </rPr>
      <t>1. Change the mode on the Setup tab to "Mode 2: Calculate the ETC"</t>
    </r>
    <r>
      <rPr>
        <sz val="10"/>
        <rFont val="Arial"/>
        <family val="2"/>
      </rPr>
      <t xml:space="preserve">
2. Check that the 'ETC at time = zero' equals the Budget that has been loaded into IPCS.
3. Decide whether to forecast Contingency, Management Reserve and Separate Fee (if applicable) as a % or as a fixed amount.  Also decide how to forecast other revenue-only items (such as Incentive Payments) going forward (see below).</t>
    </r>
  </si>
  <si>
    <r>
      <rPr>
        <b/>
        <sz val="10"/>
        <rFont val="Arial"/>
        <family val="2"/>
      </rPr>
      <t>Labor Contingency - Decide on fixed vs %</t>
    </r>
    <r>
      <rPr>
        <sz val="10"/>
        <rFont val="Arial"/>
        <family val="2"/>
      </rPr>
      <t xml:space="preserve">.
Labor contingency will have been entered in the 'totals' section at the top of each plan tab.  For the proposal it is entered as a %.  In ETC mode you have the choice of continuing to use a percentage (in which case the remaining contingency will automatically reduce as the remaining scope of work reduces)  - </t>
    </r>
    <r>
      <rPr>
        <sz val="10"/>
        <color rgb="FFC00000"/>
        <rFont val="Arial"/>
        <family val="2"/>
      </rPr>
      <t>or you can fix the amount by overtyping the amounts in the green cells</t>
    </r>
    <r>
      <rPr>
        <sz val="10"/>
        <rFont val="Arial"/>
        <family val="2"/>
      </rPr>
      <t>.  Most people will choose to fix the amount, however once you have done this you cannot go back to the percentage method again (the percentage cell becomes grayed out) and you will need to manually re-assess the remaining contingency each time you do an ETC update.</t>
    </r>
  </si>
  <si>
    <r>
      <rPr>
        <b/>
        <sz val="10"/>
        <rFont val="Arial"/>
        <family val="2"/>
      </rPr>
      <t>Cost plus a Separate Fee - fixed or % depends on contract</t>
    </r>
    <r>
      <rPr>
        <sz val="10"/>
        <rFont val="Arial"/>
        <family val="2"/>
      </rPr>
      <t xml:space="preserve">.
This applies to contracts where the fee is excluded from the Sell Rates and the Revenue Multiplier (pricing methods 4 and 5).  It appears as a separate line item in the 'totals section' of each plan tab and is initially calculated as a % for the proposal.  </t>
    </r>
    <r>
      <rPr>
        <sz val="10"/>
        <color rgb="FFC00000"/>
        <rFont val="Arial"/>
        <family val="2"/>
      </rPr>
      <t>During execution, your choice of whether to leave it as a percentage, or convert to a fixed amount depends upon the type of contract.</t>
    </r>
  </si>
  <si>
    <t>IPCS Terminology &gt;&gt;</t>
  </si>
  <si>
    <t>(7)=8/4</t>
  </si>
  <si>
    <t>(8)</t>
  </si>
  <si>
    <t>To do this, additional line items are added to the bottom of the Plan tab and tagged as changes, to differentiate them from original scope items.</t>
  </si>
  <si>
    <t>If necessary, additional contingency can also be added as a separate line item included along with the change.</t>
  </si>
  <si>
    <t>In 'change mode', only user selected Change Numbers are passed through to the Sign-off and Control Accounts tabs.  Change mode is really just a filtered version of the original Proposal mode, except that updated rates are used (if updated rates have by now been entered in the tool).</t>
  </si>
  <si>
    <t>An API exists to automatically upload the project Budget, Path-IDs and Timephase data from the PT into IPCS.
(Note: there are a few picklist validated fields that must still be manually setup in IPCS)</t>
  </si>
  <si>
    <t>Data required by PAP / AutoPAP - and where to find it in the Pricing Tool.</t>
  </si>
  <si>
    <t>For most projects, the Revenue Rates and the Bill Rates will be the same.  No distinction is made between them.  Exceptions to this are:</t>
  </si>
  <si>
    <t>All of the project financial data needed by the PAP process is available from the Pricing Tool.</t>
  </si>
  <si>
    <t xml:space="preserve">Ensuring that the data in the PAP aligns with the data in the PT will ensure that all of the financial assumptions made at Proposal Sign-off stage get carried forward into both GFS and IPCS. </t>
  </si>
  <si>
    <t>WBS Codes (Control Accounts tab)</t>
  </si>
  <si>
    <r>
      <t>As-Sold Amounts  (</t>
    </r>
    <r>
      <rPr>
        <b/>
        <sz val="10"/>
        <color rgb="FF00338D"/>
        <rFont val="Arial"/>
        <family val="2"/>
      </rPr>
      <t>Refer "Sign-off" tab</t>
    </r>
    <r>
      <rPr>
        <b/>
        <sz val="10"/>
        <rFont val="Arial"/>
        <family val="2"/>
      </rPr>
      <t>)</t>
    </r>
  </si>
  <si>
    <t>First, configure an ETC Baseline (Time = zero)</t>
  </si>
  <si>
    <t>In regions outside of the US, a code for PC ALLOC is also required in GFS (Computer charges).  Do not let computer charges default to code "1", but ensure that they are directed to this dedicated control account to match the setup in IPCS.</t>
  </si>
  <si>
    <t>WBS Code "1":  It will still be necessary to setup a code "1" as a 'safety net' to catch any actuals that are not coded correctly.  This is not shown in the list of WBS codes in the Pricing Tool, but it will still be required in GFS. (In IPCS, the equiv to this code is the Suspense account).</t>
  </si>
  <si>
    <t>Revenue Multipliers (Taximeter) and Special Bill Rates (Staff List tab)</t>
  </si>
  <si>
    <r>
      <t xml:space="preserve">Go to the list of WBS Codes (and their descriptions) which is found in the blue "WBS Codes / GFS Control Accounts" table on the </t>
    </r>
    <r>
      <rPr>
        <b/>
        <sz val="10"/>
        <color rgb="FFC00000"/>
        <rFont val="Arial"/>
        <family val="2"/>
      </rPr>
      <t>Control Accounts tab</t>
    </r>
    <r>
      <rPr>
        <sz val="10"/>
        <color rgb="FFC00000"/>
        <rFont val="Arial"/>
        <family val="2"/>
      </rPr>
      <t xml:space="preserve">. </t>
    </r>
  </si>
  <si>
    <t>Revenue Multipliers (Taximeters)</t>
  </si>
  <si>
    <t>If a non-linear Pricing Method has been used, or if an individual has a bill rate over-ride on them, then Special Bill Rates will need to be setup.  In this case, use the data in the lower part of the table.</t>
  </si>
  <si>
    <t>In GFS it is necessary to setup both Internal Revenue Rates and Bill Rates for every project</t>
  </si>
  <si>
    <t>The difference between Internal Revenue Rates and Client Billing Rates</t>
  </si>
  <si>
    <t>6.8.1</t>
  </si>
  <si>
    <t>6.8.2</t>
  </si>
  <si>
    <t>6.8.3</t>
  </si>
  <si>
    <r>
      <rPr>
        <b/>
        <sz val="10"/>
        <rFont val="Arial"/>
        <family val="2"/>
      </rPr>
      <t>Fixed Price/Lump Sum projects</t>
    </r>
    <r>
      <rPr>
        <sz val="10"/>
        <rFont val="Arial"/>
        <family val="2"/>
      </rPr>
      <t>:  In this case, the precise Client Billing mechanism will depend upon the specific contract conditions (eg payment milestones).  In some cases, hourly bill rates are used until the upper limit is reached.  In other cases, hourly bill rates are not used at all for invoicing.  In still other cases, sell rates could be based on one of the non-linear pricing methods whereas internal accrual rates are based on a (linear) taximeter.</t>
    </r>
  </si>
  <si>
    <t>Create a hierarchy / list of WBS Codes (Control Accounts) and then map these to your Project Plan.  This produces your initial Budget for the project.</t>
  </si>
  <si>
    <t>Decide how you want to manage (and report on) the project financials going forward into execution.</t>
  </si>
  <si>
    <r>
      <t xml:space="preserve">After the Change has been signed-off, the tool is then switched back to ETC mode, so that original scope </t>
    </r>
    <r>
      <rPr>
        <i/>
        <u/>
        <sz val="10"/>
        <color theme="1"/>
        <rFont val="Arial"/>
        <family val="2"/>
      </rPr>
      <t>and</t>
    </r>
    <r>
      <rPr>
        <i/>
        <sz val="10"/>
        <color theme="1"/>
        <rFont val="Arial"/>
        <family val="2"/>
      </rPr>
      <t xml:space="preserve"> approved changes are then all included within the ETC totals (Note that Pending changes and Options are excluded from the ETC calculations).</t>
    </r>
  </si>
  <si>
    <t>Assess the project risk (the RAMP tool can help with this) and apply an appropriate contingency (and/or) management reserve to protect Jacob's business risk.</t>
  </si>
  <si>
    <t>Assess the key financial metrics for the bid.  If necessary, you can go back and make last minute adjustments to the Project Plan (refer 4.6 below).</t>
  </si>
  <si>
    <t>Choice of Plan Template</t>
  </si>
  <si>
    <t>Review the Sign-Off Metrics</t>
  </si>
  <si>
    <r>
      <t xml:space="preserve">Contingency   </t>
    </r>
    <r>
      <rPr>
        <sz val="10"/>
        <color theme="1"/>
        <rFont val="Arial"/>
        <family val="2"/>
      </rPr>
      <t>(This is entered directly on the Plan tabs)</t>
    </r>
  </si>
  <si>
    <t>Because the Project Plan(s) are integrated with the Staff List and the Sign-Off form, it is possible to make last minute adjustments to the proposed plan (scope of work).</t>
  </si>
  <si>
    <r>
      <t xml:space="preserve">However, the "Budget" (expected) amount </t>
    </r>
    <r>
      <rPr>
        <u/>
        <sz val="10"/>
        <color theme="1"/>
        <rFont val="Arial"/>
        <family val="2"/>
      </rPr>
      <t>passes through to the overall GM/Hr estimate</t>
    </r>
    <r>
      <rPr>
        <sz val="10"/>
        <color theme="1"/>
        <rFont val="Arial"/>
        <family val="2"/>
      </rPr>
      <t xml:space="preserve"> at the top of the Sign-off Form.  If you do not want to include this amount in the final sign-off GM/hr, then leave the middle box blank.  Also, if you are including a bonus in the budget box, it is important not to over-estimate it.</t>
    </r>
  </si>
  <si>
    <t>Be aware that the Budgeted Revenue Gain/Loss will form part of the project budget that is uploaded into EcoSys (it goes into the Fees/Incentives/Liabilities control account).</t>
  </si>
  <si>
    <t>Bonus, Incentive and  Pain/Gain Payments can be added here.  These are typically linked to performance KPIs.</t>
  </si>
  <si>
    <r>
      <rPr>
        <b/>
        <sz val="10"/>
        <color theme="1"/>
        <rFont val="Arial"/>
        <family val="2"/>
      </rPr>
      <t>Estimated Revenue Impact (+/-)</t>
    </r>
    <r>
      <rPr>
        <sz val="10"/>
        <color theme="1"/>
        <rFont val="Arial"/>
        <family val="2"/>
      </rPr>
      <t>:  Three estimates are required (Best Case, Budget and Worst Case).  Worst case may be negative.</t>
    </r>
  </si>
  <si>
    <r>
      <rPr>
        <b/>
        <sz val="10"/>
        <color theme="1"/>
        <rFont val="Arial"/>
        <family val="2"/>
      </rPr>
      <t>Adjust the Contingency</t>
    </r>
    <r>
      <rPr>
        <sz val="10"/>
        <color theme="1"/>
        <rFont val="Arial"/>
        <family val="2"/>
      </rPr>
      <t>:  This is done directly on the Plan tabs</t>
    </r>
  </si>
  <si>
    <t>Discussion</t>
  </si>
  <si>
    <t>This is where the main thinking takes place in the Pricing Tool.  You have a choice of two planning templates (depending on your preference), but the objective of both is the same:</t>
  </si>
  <si>
    <r>
      <rPr>
        <b/>
        <i/>
        <sz val="10"/>
        <color theme="1"/>
        <rFont val="Arial"/>
        <family val="2"/>
      </rPr>
      <t>Construct a bottom-up, resource and task based, timephased, project plan.</t>
    </r>
    <r>
      <rPr>
        <i/>
        <sz val="10"/>
        <color theme="1"/>
        <rFont val="Arial"/>
        <family val="2"/>
      </rPr>
      <t xml:space="preserve">  (Later, this can be used to check resource levels to ensure that the proposed schedule is realistic.)  </t>
    </r>
  </si>
  <si>
    <t>The level of detail that you get into (granularity), will depend upon your choice of plan template and the nature of the project (eg Fixed Price / Lump Sum bids require extra careful scope definition at bid stage).</t>
  </si>
  <si>
    <t>This tab is also used to fine-tune any of the cost or price settings by individual and to enter escalation (indexation) data.  It also contains a Staff Margin Report by each person on the project.</t>
  </si>
  <si>
    <t>Enter general setup information about the bid (project), host PU details, contract type, pricing method, project number, etc.</t>
  </si>
  <si>
    <t>Step 9: Adding and Approving Changes</t>
  </si>
  <si>
    <r>
      <rPr>
        <b/>
        <i/>
        <sz val="10"/>
        <color theme="1"/>
        <rFont val="Arial"/>
        <family val="2"/>
      </rPr>
      <t>Switch the tool over to Changes Mode</t>
    </r>
    <r>
      <rPr>
        <i/>
        <sz val="10"/>
        <color theme="1"/>
        <rFont val="Arial"/>
        <family val="2"/>
      </rPr>
      <t xml:space="preserve"> (Setup tab)</t>
    </r>
  </si>
  <si>
    <t>Calculates Gross Margin (GM) and other key project approval metrics</t>
  </si>
  <si>
    <t xml:space="preserve">Overtime, SPOT and PPOT </t>
  </si>
  <si>
    <t xml:space="preserve">Allowances </t>
  </si>
  <si>
    <t>Separate raw cost and price escalation (indexation) up to 10 years with independent anniversary dates for cost and revenue</t>
  </si>
  <si>
    <t>Global functionality.  Contains all Ops PUs for all Business Units complete with appropriate employment types, fringe/burdening rates, computer charges, internal Integrated Delivery rates, etc.</t>
  </si>
  <si>
    <t>Choice of 10 different pricing mechanisms (multiplier, cost-plus, category rates, etc)</t>
  </si>
  <si>
    <t>Suitable for multi-currency &amp; cross-charging projects</t>
  </si>
  <si>
    <t>Labor Contingency (entered as a %) adds hours, cost and revenue in proportion (to be GM-neutral).</t>
  </si>
  <si>
    <t>Revenue Multiplier on raw</t>
  </si>
  <si>
    <t>IPCS Revenue Modifier</t>
  </si>
  <si>
    <t>The fee is rolled into the hourly sell rates (and the revenue multiplier) and does not appear as a separate item within this tool.
Sometimes used for "Cost Plus a Percentage Fee" Contracts.</t>
  </si>
  <si>
    <t>Expense Type</t>
  </si>
  <si>
    <t>8 Digit Project Number not entered</t>
  </si>
  <si>
    <t>Where?</t>
  </si>
  <si>
    <t>To extend the range, insert columns within the main body of the calendar (and in front of the range de-limiter).   Refer to the "General" section 0.4 of this User Guide.</t>
  </si>
  <si>
    <t>The calendar has enough columns for 2 years in weekly mode and 10 years in monthly mode - but can be extended if required.</t>
  </si>
  <si>
    <t>Client Contract</t>
  </si>
  <si>
    <t>Client Contract type describes how we get paid and the risk transfer to Jacobs.  There is often a link between the Contract Type and the sell rate calculation method (ie the Pricing Method).</t>
  </si>
  <si>
    <t>Revenue Multiplier</t>
  </si>
  <si>
    <t>Esc Cost Rate</t>
  </si>
  <si>
    <t>Split</t>
  </si>
  <si>
    <t>*** Professional Band ***</t>
  </si>
  <si>
    <t>P6 - Expert</t>
  </si>
  <si>
    <t>P5 - Master</t>
  </si>
  <si>
    <t>P4 - Specialist</t>
  </si>
  <si>
    <t>P3 - Career</t>
  </si>
  <si>
    <t>P2 - Intermediate</t>
  </si>
  <si>
    <t>P1 - Entry</t>
  </si>
  <si>
    <t>Pi - Intern</t>
  </si>
  <si>
    <t>*** Technical Band ***</t>
  </si>
  <si>
    <t>T4 - Lead</t>
  </si>
  <si>
    <t>T3 - Senior</t>
  </si>
  <si>
    <t>T2 - Intermediate</t>
  </si>
  <si>
    <t>T1 - Entry</t>
  </si>
  <si>
    <t>*** Management Band ***</t>
  </si>
  <si>
    <t>M5 - Senior Group Manager</t>
  </si>
  <si>
    <t>M4 - Group Manager</t>
  </si>
  <si>
    <t>M3 - Senior Manager</t>
  </si>
  <si>
    <t>M2 - Manager</t>
  </si>
  <si>
    <t>M1 - Supervisor</t>
  </si>
  <si>
    <t>U5 - Supervisor</t>
  </si>
  <si>
    <t>U4 - Lead</t>
  </si>
  <si>
    <t>U3 - Senior</t>
  </si>
  <si>
    <t>U2 - Intermediate</t>
  </si>
  <si>
    <t>U1 - Entry</t>
  </si>
  <si>
    <t>*** Business Support Band ***</t>
  </si>
  <si>
    <t>Average Raw Rate</t>
  </si>
  <si>
    <t>Average Cost Rate</t>
  </si>
  <si>
    <t>Average Sell Rate</t>
  </si>
  <si>
    <t>Reimbursable</t>
  </si>
  <si>
    <t>Cont'cy not used</t>
  </si>
  <si>
    <t>Mgt Rsv not used</t>
  </si>
  <si>
    <t>Control Acct &lt;&gt; Zero</t>
  </si>
  <si>
    <t>Max Rev Year</t>
  </si>
  <si>
    <t>Max Cost Year</t>
  </si>
  <si>
    <t>Grey Out</t>
  </si>
  <si>
    <t>Year Number</t>
  </si>
  <si>
    <t>Plan Tab in use</t>
  </si>
  <si>
    <t>%'age 
Uplift</t>
  </si>
  <si>
    <t>Fixed 
Uplift / Hr</t>
  </si>
  <si>
    <t>Sign-Off Tab</t>
  </si>
  <si>
    <t>Control Accounts Tab</t>
  </si>
  <si>
    <t>Column No. Current Week/month</t>
  </si>
  <si>
    <t>Total Span</t>
  </si>
  <si>
    <t>Total Span:</t>
  </si>
  <si>
    <t>Selected Span:</t>
  </si>
  <si>
    <t>Schedule</t>
  </si>
  <si>
    <t>ETC Forecast</t>
  </si>
  <si>
    <t>Pricing Mode</t>
  </si>
  <si>
    <t>Changes Mode</t>
  </si>
  <si>
    <t>Raw Rate</t>
  </si>
  <si>
    <t>The blank Pricing Tool is initially populated in this mode, which continues through bid approval and includes transfer of budget data to IPCS (EcoSys).</t>
  </si>
  <si>
    <t xml:space="preserve">Plan Template in use: </t>
  </si>
  <si>
    <t>Prepared:</t>
  </si>
  <si>
    <t>Year 1
Sell Rate</t>
  </si>
  <si>
    <t>Year 1
Raw Rate</t>
  </si>
  <si>
    <t>1st
Year</t>
  </si>
  <si>
    <t>Key:</t>
  </si>
  <si>
    <t xml:space="preserve">Used for adjusting/over-riding the sell rate settings for particular individuals that don't fit the general settings.  </t>
  </si>
  <si>
    <t>Used when specifying Allowances or PPOT overtime.</t>
  </si>
  <si>
    <t>Used for Pricing Methods 7-10 (which are specified by individual) and for creating project-specific categories/bands.</t>
  </si>
  <si>
    <t>Enter either an Approx, or an Accurate Raw Cost Rate against every person.</t>
  </si>
  <si>
    <t>For the final bid, try to use Accurate Rates wherever possible.</t>
  </si>
  <si>
    <r>
      <t xml:space="preserve">For </t>
    </r>
    <r>
      <rPr>
        <b/>
        <sz val="9"/>
        <color theme="9" tint="-0.499984740745262"/>
        <rFont val="Arial"/>
        <family val="2"/>
      </rPr>
      <t>Foreign Resources</t>
    </r>
    <r>
      <rPr>
        <sz val="9"/>
        <color theme="9" tint="-0.499984740745262"/>
        <rFont val="Arial"/>
        <family val="2"/>
      </rPr>
      <t>, the raw rate currency can be adjusted if necessary</t>
    </r>
  </si>
  <si>
    <t xml:space="preserve">    different burdened rate) or if you need to analyse the bid by PU split.  If left blank, the Host PU is assumed.</t>
  </si>
  <si>
    <r>
      <t xml:space="preserve">4  The </t>
    </r>
    <r>
      <rPr>
        <b/>
        <sz val="9"/>
        <color theme="9" tint="-0.499984740745262"/>
        <rFont val="Arial"/>
        <family val="2"/>
      </rPr>
      <t>Resource Number</t>
    </r>
    <r>
      <rPr>
        <sz val="9"/>
        <color theme="9" tint="-0.499984740745262"/>
        <rFont val="Arial"/>
        <family val="2"/>
      </rPr>
      <t xml:space="preserve"> is used for specifying resources on the Activity Plan template (3b)</t>
    </r>
  </si>
  <si>
    <r>
      <t xml:space="preserve">5  Refer to the User Guide, Section 0.4 for the general procedure on inserting </t>
    </r>
    <r>
      <rPr>
        <b/>
        <sz val="9"/>
        <color theme="9" tint="-0.499984740745262"/>
        <rFont val="Arial"/>
        <family val="2"/>
      </rPr>
      <t>additional rows</t>
    </r>
    <r>
      <rPr>
        <sz val="9"/>
        <color theme="9" tint="-0.499984740745262"/>
        <rFont val="Arial"/>
        <family val="2"/>
      </rPr>
      <t xml:space="preserve"> into this tool.</t>
    </r>
  </si>
  <si>
    <r>
      <t xml:space="preserve">3  Tagging people into a </t>
    </r>
    <r>
      <rPr>
        <b/>
        <sz val="9"/>
        <color theme="9" tint="-0.499984740745262"/>
        <rFont val="Arial"/>
        <family val="2"/>
      </rPr>
      <t>Color Band</t>
    </r>
    <r>
      <rPr>
        <sz val="9"/>
        <color theme="9" tint="-0.499984740745262"/>
        <rFont val="Arial"/>
        <family val="2"/>
      </rPr>
      <t xml:space="preserve"> just makes it easier to set up the Project Plan template(s).  It has no mathematical function.</t>
    </r>
  </si>
  <si>
    <t>Year 1
Burd Rate</t>
  </si>
  <si>
    <t>Burdened Rate</t>
  </si>
  <si>
    <t>Min</t>
  </si>
  <si>
    <t>Max</t>
  </si>
  <si>
    <t>Current Span</t>
  </si>
  <si>
    <t>Unescalated Year 1 Sell Rate (for cash flow)</t>
  </si>
  <si>
    <t>Fee on Labor Contingency (Staff Plan)</t>
  </si>
  <si>
    <t>Fee on Labor Contingency (Activity Plan)</t>
  </si>
  <si>
    <t>Used for forecasting and then updating all rates for Year 2 onwards.  (Year 1 rates are specified in the Master Staff List table on the left of this sheet).</t>
  </si>
  <si>
    <r>
      <t xml:space="preserve">If non-regular staff, then enter the </t>
    </r>
    <r>
      <rPr>
        <b/>
        <sz val="9"/>
        <color theme="9" tint="-0.499984740745262"/>
        <rFont val="Arial"/>
        <family val="2"/>
      </rPr>
      <t>Staff Type</t>
    </r>
    <r>
      <rPr>
        <sz val="9"/>
        <color theme="9" tint="-0.499984740745262"/>
        <rFont val="Arial"/>
        <family val="2"/>
      </rPr>
      <t xml:space="preserve"> to change the burden factor (fringe)</t>
    </r>
  </si>
  <si>
    <t>In all cases, lookup Burden Factors (green boxes) can be over-typed if required</t>
  </si>
  <si>
    <t>Burden Factors are looked up from the (hidden) "Country Data" tab</t>
  </si>
  <si>
    <t>AU Reference Rates (2018)</t>
  </si>
  <si>
    <t>The Pricing Tool is re-used to generate a manual ETC (Estimate to Complete) using the same detailed Plan Template as was used for the proposal. Slightly different forecasting methods apply to each plan template.</t>
  </si>
  <si>
    <r>
      <rPr>
        <sz val="8"/>
        <color theme="1"/>
        <rFont val="Arial"/>
        <family val="2"/>
      </rPr>
      <t>(When priced by the hour)</t>
    </r>
    <r>
      <rPr>
        <sz val="10"/>
        <color theme="1"/>
        <rFont val="Arial"/>
        <family val="2"/>
      </rPr>
      <t xml:space="preserve"> Non-Jacobs</t>
    </r>
  </si>
  <si>
    <t>Quant
Mult</t>
  </si>
  <si>
    <t>Hours Quant Multiplier</t>
  </si>
  <si>
    <t>Pend w FC</t>
  </si>
  <si>
    <r>
      <rPr>
        <b/>
        <sz val="10"/>
        <color theme="1"/>
        <rFont val="Arial"/>
        <family val="2"/>
      </rPr>
      <t xml:space="preserve">Pending with Forecast.  </t>
    </r>
    <r>
      <rPr>
        <sz val="10"/>
        <color theme="1"/>
        <rFont val="Arial"/>
        <family val="2"/>
      </rPr>
      <t xml:space="preserve">These will still be filtered out in Pricing mode, but </t>
    </r>
    <r>
      <rPr>
        <u/>
        <sz val="10"/>
        <color theme="1"/>
        <rFont val="Arial"/>
        <family val="2"/>
      </rPr>
      <t>included</t>
    </r>
    <r>
      <rPr>
        <sz val="10"/>
        <color theme="1"/>
        <rFont val="Arial"/>
        <family val="2"/>
      </rPr>
      <t xml:space="preserve"> in ETC Forecast mode.  Used for items which are proceeding even though they are not officially approved yet and do not form part of the budget.</t>
    </r>
  </si>
  <si>
    <t>"Official" Change Status.  This is maintained in IPCS by posting changes in accordance with certain rules.  The 'Option', 'Pending', 'Pending with Forecast' and 'Approved' status designations in the Pricing Tool act as a selection aid for making calculations that feed into IPCS.</t>
  </si>
  <si>
    <r>
      <rPr>
        <b/>
        <sz val="10"/>
        <color theme="1"/>
        <rFont val="Arial"/>
        <family val="2"/>
      </rPr>
      <t>Pending Changes</t>
    </r>
    <r>
      <rPr>
        <sz val="10"/>
        <color theme="1"/>
        <rFont val="Arial"/>
        <family val="2"/>
      </rPr>
      <t xml:space="preserve"> will be filtered out in both Pricing and ETC Forecast modes.  In Change mode, you can decide whether, or not, you want them to pass through to the Sign-Off and Control accounts tabs, by choosing to select their Change Numbers.</t>
    </r>
  </si>
  <si>
    <r>
      <rPr>
        <b/>
        <sz val="10"/>
        <color theme="1"/>
        <rFont val="Arial"/>
        <family val="2"/>
      </rPr>
      <t>Approved Changes</t>
    </r>
    <r>
      <rPr>
        <sz val="10"/>
        <color theme="1"/>
        <rFont val="Arial"/>
        <family val="2"/>
      </rPr>
      <t xml:space="preserve"> will be included in both Pricing and ETC Forecast modes.  Again, in Change mode, you decide whether, or not, you want them to pass through to the Sign-Off and Control accounts tabs by choosing to select their Change Numbers.</t>
    </r>
  </si>
  <si>
    <t>Year 1 Burdened Cost Rate (incl Uplifts)</t>
  </si>
  <si>
    <t>Revenue Rates:</t>
  </si>
  <si>
    <t>Curve ID</t>
  </si>
  <si>
    <t>% Complete</t>
  </si>
  <si>
    <t>ETC Jacobs Hours</t>
  </si>
  <si>
    <t>ETC Client Hours</t>
  </si>
  <si>
    <t>ETC Jacobs Rate</t>
  </si>
  <si>
    <t>ETC Client Rate</t>
  </si>
  <si>
    <t>ETC Jacobs Cost</t>
  </si>
  <si>
    <t>Non-Labor Revenue Multiplier</t>
  </si>
  <si>
    <t>ETC Revenue</t>
  </si>
  <si>
    <r>
      <rPr>
        <b/>
        <sz val="8"/>
        <color theme="1"/>
        <rFont val="Arial"/>
        <family val="2"/>
      </rPr>
      <t>Major upgrade and reconfiguration</t>
    </r>
    <r>
      <rPr>
        <sz val="8"/>
        <color theme="1"/>
        <rFont val="Arial"/>
        <family val="2"/>
      </rPr>
      <t>:  PT can now be used during the execution phase (3 modes: Original estimate, Manual ETC and Adding/Approving Changes) - selected mode influences all tables and outputs throughout the tool - refer User Guide for details  |  Non-Bill now specified directly on the Plan tabs (and removed from the Staff List tab)  |  In ETC mode, RO (Revenue Only) status added for forecasting bonuses, etc.  |  Cost and revenue escalation now fully independent with separate anniversary dates.  |  Nominated Margin sell rate method added.  |  Multiple suffix functionality extended with up to 12 L1 suffixes now possible (Refer User Guide 5.3.12).  |  Weekly calendar changed from end of week to start of week.  |  Contingency, Mgt Rsv and Fee (if applicable) can be forecast as percentages or as fixed amounts directly on the plan tabs.  |  Contingency can now be added to Changes.  |  Overtime calculations simplified and integrated with employment type field.  |  NOM (net operating margin) estimate removed from Sign-off tab.  |  Compass tab revised.  |  IPCS Lead office list updated.  |  Additional error trapping added.  |  Hours quantity multiplier added to Staff Plan  |  Pending-with-Forecast change status added  |  IPCS ETC Lite Bulk Upload table added  |  User Guide extensively revised.</t>
    </r>
  </si>
  <si>
    <t>IPCS Control Account Settings</t>
  </si>
  <si>
    <t>Use Modifiers for forecasting Labor Revenue (suits Pricing Methods 1-4)</t>
  </si>
  <si>
    <t>Use ETC Rates for forecasting Labor Revenue (suits Pricing Methods 5-10)</t>
  </si>
  <si>
    <r>
      <t xml:space="preserve">Suggested Forecast Methods </t>
    </r>
    <r>
      <rPr>
        <sz val="16"/>
        <color theme="1"/>
        <rFont val="Arial"/>
        <family val="2"/>
      </rPr>
      <t xml:space="preserve">(Presets for Manual ETC Lite method) </t>
    </r>
  </si>
  <si>
    <t>Enter forecast cost index % rate</t>
  </si>
  <si>
    <t>Enter forecast revenue index % rate</t>
  </si>
  <si>
    <t>ê</t>
  </si>
  <si>
    <t>= Forecast (Formula)</t>
  </si>
  <si>
    <t>= Actual (Hard Coded)</t>
  </si>
  <si>
    <t>Current Revenue Index Year</t>
  </si>
  <si>
    <t>Column No. Current Week/Month</t>
  </si>
  <si>
    <t>Current Week:</t>
  </si>
  <si>
    <t xml:space="preserve"> Cost Indexation Date</t>
  </si>
  <si>
    <t xml:space="preserve"> Revenue Indexation Date (overtype to change)</t>
  </si>
  <si>
    <r>
      <rPr>
        <b/>
        <sz val="9"/>
        <color theme="9" tint="-0.499984740745262"/>
        <rFont val="Arial"/>
        <family val="2"/>
      </rPr>
      <t>Delivery Phase</t>
    </r>
    <r>
      <rPr>
        <sz val="9"/>
        <color theme="9" tint="-0.499984740745262"/>
        <rFont val="Arial"/>
        <family val="2"/>
      </rPr>
      <t>:  Progressively update both raw cost and sell rates (year 2 onwards) by overtyping the forecast rates with the actual rates when they become known.</t>
    </r>
  </si>
  <si>
    <r>
      <rPr>
        <b/>
        <sz val="9"/>
        <color theme="9" tint="-0.499984740745262"/>
        <rFont val="Arial"/>
        <family val="2"/>
      </rPr>
      <t>Proposal Phase</t>
    </r>
    <r>
      <rPr>
        <sz val="9"/>
        <color theme="9" tint="-0.499984740745262"/>
        <rFont val="Arial"/>
        <family val="2"/>
      </rPr>
      <t>:  Use this table to set the initial forecast indexation percentages.  (Note that separate indexation anniversary dates can be specified for cost and revenue.)</t>
    </r>
  </si>
  <si>
    <t>(See Staff List tab for margin on individual people)</t>
  </si>
  <si>
    <t>Rev Number</t>
  </si>
  <si>
    <t>Change Name</t>
  </si>
  <si>
    <t>Change Type</t>
  </si>
  <si>
    <t>OME Jacobs Cost</t>
  </si>
  <si>
    <t>OME Client Cost</t>
  </si>
  <si>
    <t>Change Contract Number</t>
  </si>
  <si>
    <t>Change Description</t>
  </si>
  <si>
    <t>Change Internal Remarks</t>
  </si>
  <si>
    <t>Change Originator</t>
  </si>
  <si>
    <t>Change Remarks</t>
  </si>
  <si>
    <t>External CCA Number</t>
  </si>
  <si>
    <t>Date Initiated</t>
  </si>
  <si>
    <t>Date Signed by Client</t>
  </si>
  <si>
    <t>Date Signed by PCM</t>
  </si>
  <si>
    <t>Date Signed by PM</t>
  </si>
  <si>
    <t>Date Submitted to Client</t>
  </si>
  <si>
    <t>Date Submitted to PCM</t>
  </si>
  <si>
    <t>Date Submitted to PM</t>
  </si>
  <si>
    <t>Pending Information From</t>
  </si>
  <si>
    <t>PM Responsible</t>
  </si>
  <si>
    <t>Reason for Change</t>
  </si>
  <si>
    <t>Vendor</t>
  </si>
  <si>
    <t>Change Order Priority</t>
  </si>
  <si>
    <t>Required vs. Elective</t>
  </si>
  <si>
    <t>Home vs. Field</t>
  </si>
  <si>
    <t>Schedule Impact Classification</t>
  </si>
  <si>
    <t>Change Impact Schedule</t>
  </si>
  <si>
    <t>INTERNAL</t>
  </si>
  <si>
    <t>Tag</t>
  </si>
  <si>
    <t>Jacobs Quantity</t>
  </si>
  <si>
    <t>UoM</t>
  </si>
  <si>
    <t>Client Quantity</t>
  </si>
  <si>
    <t>CLIENT SCOPE CHANGE REQUEST</t>
  </si>
  <si>
    <t>CONSTRUCTION CHANGE</t>
  </si>
  <si>
    <t>CONSTRUCTION ERROR</t>
  </si>
  <si>
    <t>DESIGN CHANGE</t>
  </si>
  <si>
    <t>DESIGN ERROR</t>
  </si>
  <si>
    <t>PROJECT DIRECTOR</t>
  </si>
  <si>
    <t>VENDOR CHANGE</t>
  </si>
  <si>
    <t>VENDOR ERROR</t>
  </si>
  <si>
    <t>Lookup StartDate</t>
  </si>
  <si>
    <t>Lookup EndDate</t>
  </si>
  <si>
    <t>Tab switch</t>
  </si>
  <si>
    <t>EXTERNAL</t>
  </si>
  <si>
    <t>Change Row</t>
  </si>
  <si>
    <t>4.  Ensure that this version of the Pricing Tool contains the full BUDGET AMOUNT for the selected change.</t>
  </si>
  <si>
    <t>5.  After running the API, you still need to go into IPCS to review and post the change.</t>
  </si>
  <si>
    <r>
      <t xml:space="preserve">1.  When in </t>
    </r>
    <r>
      <rPr>
        <b/>
        <sz val="10"/>
        <color theme="9" tint="-0.499984740745262"/>
        <rFont val="Arial"/>
        <family val="2"/>
      </rPr>
      <t>Change Mode</t>
    </r>
    <r>
      <rPr>
        <sz val="10"/>
        <color theme="9" tint="-0.499984740745262"/>
        <rFont val="Arial"/>
        <family val="2"/>
      </rPr>
      <t xml:space="preserve">, changes can be uploaded </t>
    </r>
    <r>
      <rPr>
        <b/>
        <sz val="10"/>
        <color theme="9" tint="-0.499984740745262"/>
        <rFont val="Arial"/>
        <family val="2"/>
      </rPr>
      <t>ONE AT A TIME</t>
    </r>
    <r>
      <rPr>
        <sz val="10"/>
        <color theme="9" tint="-0.499984740745262"/>
        <rFont val="Arial"/>
        <family val="2"/>
      </rPr>
      <t xml:space="preserve"> via the API.</t>
    </r>
  </si>
  <si>
    <t>Use Revenue Multiplier</t>
  </si>
  <si>
    <t>6.  If a change has already been uploaded, you cannot re-run the API again for the same change number.</t>
  </si>
  <si>
    <t>7.  Going forward, changes are maintained/managed directly in IPCS (not in the Pricing Tool).</t>
  </si>
  <si>
    <r>
      <t xml:space="preserve">2.  Select which change number to upload in cell </t>
    </r>
    <r>
      <rPr>
        <b/>
        <sz val="10"/>
        <color theme="9" tint="-0.499984740745262"/>
        <rFont val="Arial"/>
        <family val="2"/>
      </rPr>
      <t>S97</t>
    </r>
    <r>
      <rPr>
        <sz val="10"/>
        <color theme="9" tint="-0.499984740745262"/>
        <rFont val="Arial"/>
        <family val="2"/>
      </rPr>
      <t xml:space="preserve"> on the Sign-off tab.  Do not select more than one change number.</t>
    </r>
  </si>
  <si>
    <t>Client Change Log</t>
  </si>
  <si>
    <t>This Change Log template is for convenience only.  It may be modified by the user to suit client/contract requirements.  The main Jacobs Change Register is in IPCS.</t>
  </si>
  <si>
    <t>Approval 
Record on File</t>
  </si>
  <si>
    <t>Reason (Select best fit)</t>
  </si>
  <si>
    <t>Cost Filter</t>
  </si>
  <si>
    <t>Revenue Filter</t>
  </si>
  <si>
    <t>#</t>
  </si>
  <si>
    <t>Current Approved Revenue</t>
  </si>
  <si>
    <t>Revenue from Changes</t>
  </si>
  <si>
    <t>Most Likely</t>
  </si>
  <si>
    <t>Minimum</t>
  </si>
  <si>
    <r>
      <rPr>
        <b/>
        <sz val="10"/>
        <color theme="1"/>
        <rFont val="Arial"/>
        <family val="2"/>
      </rPr>
      <t>Other Revenue Gains/Losses</t>
    </r>
    <r>
      <rPr>
        <sz val="10"/>
        <color theme="1"/>
        <rFont val="Arial"/>
        <family val="2"/>
      </rPr>
      <t xml:space="preserve">
</t>
    </r>
    <r>
      <rPr>
        <sz val="8"/>
        <color theme="1"/>
        <rFont val="Arial"/>
        <family val="2"/>
      </rPr>
      <t>(Incentives, FX Gains/Losses, Rebates, etc)</t>
    </r>
  </si>
  <si>
    <t>Original Contract Sum</t>
  </si>
  <si>
    <t>Forecast Final Revenue</t>
  </si>
  <si>
    <t>Plan in use</t>
  </si>
  <si>
    <t>Original Budget Staff Plan</t>
  </si>
  <si>
    <t>Original Budget Combined Plans</t>
  </si>
  <si>
    <t>Original Budget Activity Plan</t>
  </si>
  <si>
    <t>Hours to Go</t>
  </si>
  <si>
    <t>Hours 
to Go</t>
  </si>
  <si>
    <t>Labor Revenue Forecasting:</t>
  </si>
  <si>
    <t>ç</t>
  </si>
  <si>
    <t>Step 7: Upload Original Budget to IPCS</t>
  </si>
  <si>
    <t>If the Manual ETC Lite forecasting method is being used in IPCS, then the Pricing Tool can be used to calculate the ETC amounts and to bulk upload the data into IPCS.</t>
  </si>
  <si>
    <t>Update (overtype) the values in the reddish boxes in the non-labor section to reflect the (revised) costs to go.</t>
  </si>
  <si>
    <t>Future Rates and Escalation Table (Staff List tab)</t>
  </si>
  <si>
    <t>Initial (Year 1) Raw Cost and Sell Rates are entered in the Master Staff List.  However, all rates for Year 2 onwards, are first forecast and then maintained in the Future Rates and Escalation table.</t>
  </si>
  <si>
    <t>If new people are added to the project in Year 2 (or more), then their rates are entered straight into the Future Rates table.</t>
  </si>
  <si>
    <t>8.6.2</t>
  </si>
  <si>
    <t>The calculated ETC output is summarised by WBS in the main table.  There are 3 methods for transferring this data into IPCS:</t>
  </si>
  <si>
    <t>8.6.3</t>
  </si>
  <si>
    <t>8.6.4</t>
  </si>
  <si>
    <t>Upload the Change data into IPCS (Control Accounts tab)</t>
  </si>
  <si>
    <t>Manual transfer</t>
  </si>
  <si>
    <t>Ensure that the PT is in Changes Mode and that only a single Change Number has been selected</t>
  </si>
  <si>
    <t>Enter the Change Header Details on the "Change Log" tab (you may have to unhide this)</t>
  </si>
  <si>
    <t>API (only accessible by IPCS super-users)</t>
  </si>
  <si>
    <t>Manually enter the data from the Control Accounts tab into IPCS.  If you have created new PathIDs, then you will have to set them up in IPCS also.</t>
  </si>
  <si>
    <t>9.6.3</t>
  </si>
  <si>
    <t>Run the API.</t>
  </si>
  <si>
    <t>9.6.4</t>
  </si>
  <si>
    <t>Note that the API will also set up any new PathIDs that have been created.</t>
  </si>
  <si>
    <t>Post the Changes in IPCS</t>
  </si>
  <si>
    <t>9.6.5</t>
  </si>
  <si>
    <t>IPCS Change Header Details</t>
  </si>
  <si>
    <t>3.  Ensure that the change header details in the below table are populated for the selected change number.</t>
  </si>
  <si>
    <t>Update the IPCS Change Headers table</t>
  </si>
  <si>
    <t>9.8.1</t>
  </si>
  <si>
    <t>This data is uploaded to IPCS when the API is run.</t>
  </si>
  <si>
    <t>9.9.1</t>
  </si>
  <si>
    <r>
      <t xml:space="preserve">Use this table to estimate the final payment to Jacobs for </t>
    </r>
    <r>
      <rPr>
        <b/>
        <sz val="10"/>
        <color theme="1"/>
        <rFont val="Arial"/>
        <family val="2"/>
      </rPr>
      <t>Lump Sum</t>
    </r>
    <r>
      <rPr>
        <sz val="10"/>
        <color theme="1"/>
        <rFont val="Arial"/>
        <family val="2"/>
      </rPr>
      <t xml:space="preserve"> contracts.</t>
    </r>
  </si>
  <si>
    <t>9.9.2</t>
  </si>
  <si>
    <t>9.9.3</t>
  </si>
  <si>
    <r>
      <t xml:space="preserve">2.  Used to estimate the total final revenue amount for </t>
    </r>
    <r>
      <rPr>
        <u/>
        <sz val="10"/>
        <color theme="9" tint="-0.499984740745262"/>
        <rFont val="Arial"/>
        <family val="2"/>
      </rPr>
      <t>Lump Sum</t>
    </r>
    <r>
      <rPr>
        <sz val="10"/>
        <color theme="9" tint="-0.499984740745262"/>
        <rFont val="Arial"/>
        <family val="2"/>
      </rPr>
      <t xml:space="preserve"> contracts</t>
    </r>
  </si>
  <si>
    <t>Estimated Final Received</t>
  </si>
  <si>
    <t>(1)</t>
  </si>
  <si>
    <t>(1)+(2)+(3)</t>
  </si>
  <si>
    <r>
      <t xml:space="preserve">3.  Please refer to User Guide section 9.9 </t>
    </r>
    <r>
      <rPr>
        <u/>
        <sz val="10"/>
        <color theme="9" tint="-0.499984740745262"/>
        <rFont val="Arial"/>
        <family val="2"/>
      </rPr>
      <t>before</t>
    </r>
    <r>
      <rPr>
        <sz val="10"/>
        <color theme="9" tint="-0.499984740745262"/>
        <rFont val="Arial"/>
        <family val="2"/>
      </rPr>
      <t xml:space="preserve"> using this table</t>
    </r>
  </si>
  <si>
    <t>Forecast Final Contract Value</t>
  </si>
  <si>
    <t>1.  Use this table only in conjunction with a separate (contract value) copy of the PT.</t>
  </si>
  <si>
    <r>
      <t xml:space="preserve">Final Contract Value </t>
    </r>
    <r>
      <rPr>
        <sz val="10"/>
        <color theme="1"/>
        <rFont val="Arial"/>
        <family val="2"/>
      </rPr>
      <t>(Detailed Scope Breakdown)</t>
    </r>
  </si>
  <si>
    <r>
      <t>The table only gives the right answer when you create a</t>
    </r>
    <r>
      <rPr>
        <b/>
        <sz val="10"/>
        <color theme="1"/>
        <rFont val="Arial"/>
        <family val="2"/>
      </rPr>
      <t xml:space="preserve"> </t>
    </r>
    <r>
      <rPr>
        <sz val="10"/>
        <color theme="1"/>
        <rFont val="Arial"/>
        <family val="2"/>
      </rPr>
      <t>separate</t>
    </r>
    <r>
      <rPr>
        <b/>
        <sz val="10"/>
        <color theme="1"/>
        <rFont val="Arial"/>
        <family val="2"/>
      </rPr>
      <t xml:space="preserve"> Contract Value copy</t>
    </r>
    <r>
      <rPr>
        <sz val="10"/>
        <color theme="1"/>
        <rFont val="Arial"/>
        <family val="2"/>
      </rPr>
      <t xml:space="preserve"> of the Pricing Tool in which you do not progressively reduce the scope to go.  The PT needs to contain the original full scope estimate for all line items.</t>
    </r>
  </si>
  <si>
    <t>The contract value copy of the PT provides a record of the Detailed Scope breakdown for the entire project.</t>
  </si>
  <si>
    <t>Show/Hide Contingency:</t>
  </si>
  <si>
    <t>Show Contingency</t>
  </si>
  <si>
    <t>Hide Contingency (Distribute)</t>
  </si>
  <si>
    <t>Activity</t>
  </si>
  <si>
    <t>Distribution Factor</t>
  </si>
  <si>
    <t>Contingency Revenue</t>
  </si>
  <si>
    <t>Total Hours (excluding Cont'cy)</t>
  </si>
  <si>
    <t>Total Labor Revenue (excluding Cont'cy)</t>
  </si>
  <si>
    <t>Table 3:  Revenue Budget by Phase/Section and by Person</t>
  </si>
  <si>
    <t>Table 2:  Revenue Budget by Phase/Section and by Team</t>
  </si>
  <si>
    <t>Table 4:  Hours Budget by Phase/Section and by Team</t>
  </si>
  <si>
    <t>Table 5:  Hours Budget by Phase/Section and by Person</t>
  </si>
  <si>
    <t xml:space="preserve">  Multi-function, planning, pricing and forecasting tool for professional services</t>
  </si>
  <si>
    <t>Pricing Tool Homepage on JacobsConnect</t>
  </si>
  <si>
    <t>Pricing Tool Homepage</t>
  </si>
  <si>
    <t>Introduction</t>
  </si>
  <si>
    <t>Process Steps (Detailed)</t>
  </si>
  <si>
    <t>Worked Example Files</t>
  </si>
  <si>
    <t>Copying Data between PT Files</t>
  </si>
  <si>
    <t>WX1  Proposal modelled with the Staff Plan</t>
  </si>
  <si>
    <t>WX2  Proposal modelled with the Activity Plan</t>
  </si>
  <si>
    <t>Step 3: Project Plan</t>
  </si>
  <si>
    <t>WX3  ETC Forecast using the Staff Plan</t>
  </si>
  <si>
    <t>WX4  ETC Forecast using the Activity Plan in mode 1</t>
  </si>
  <si>
    <t>Step 5: WBS Codes and Initial Budget</t>
  </si>
  <si>
    <t>WX5  ETC Forecast using the Activity Plan in mode 2</t>
  </si>
  <si>
    <t>WX6  Change mode example</t>
  </si>
  <si>
    <t>Step 8: Forecasting</t>
  </si>
  <si>
    <t>Step 9: Changes</t>
  </si>
  <si>
    <t>In-Tool User Guide</t>
  </si>
  <si>
    <t>Refer to the last tab in this file.  This guide is 'printable'.</t>
  </si>
  <si>
    <r>
      <t xml:space="preserve">Extensive </t>
    </r>
    <r>
      <rPr>
        <b/>
        <sz val="10"/>
        <color theme="1"/>
        <rFont val="Arial"/>
        <family val="2"/>
      </rPr>
      <t>User Guide</t>
    </r>
    <r>
      <rPr>
        <sz val="10"/>
        <color theme="1"/>
        <rFont val="Arial"/>
        <family val="2"/>
      </rPr>
      <t xml:space="preserve"> - refer final tab in this tool.</t>
    </r>
  </si>
  <si>
    <t>This is the home for all resources for the Pricing Tool (tool itself, tutorials, worked examples, etc)</t>
  </si>
  <si>
    <t>Latest Version</t>
  </si>
  <si>
    <r>
      <t>Self-paced Training Tutorials</t>
    </r>
    <r>
      <rPr>
        <sz val="14"/>
        <color rgb="FF00338D"/>
        <rFont val="Arial"/>
        <family val="2"/>
      </rPr>
      <t/>
    </r>
  </si>
  <si>
    <t>Self-paced Training Tutorials</t>
  </si>
  <si>
    <t>3a:  Staff Plan</t>
  </si>
  <si>
    <t>3b:  Activity Plan</t>
  </si>
  <si>
    <t>The contents of the Staff Plan will carry through to the Sign-Off tab, Control Accounts tab and the hidden IPCS upload tabs.</t>
  </si>
  <si>
    <t>The contents of the Activity Plan will carry through to the Sign-Off tab, Control Accounts tab and the hidden IPCS upload tabs.</t>
  </si>
  <si>
    <t>Cont'cy</t>
  </si>
  <si>
    <t>Functionality</t>
  </si>
  <si>
    <t>Step 1: Tool Setup</t>
  </si>
  <si>
    <t>Step 4: Proposal Review and Sign-Off</t>
  </si>
  <si>
    <t>Step 6: GFS Setup - Project Number and PAP</t>
  </si>
  <si>
    <t>Step 7: IPCS Setup - Upload Budget</t>
  </si>
  <si>
    <t>Project</t>
  </si>
  <si>
    <t>Express as a %</t>
  </si>
  <si>
    <r>
      <t>Individual Settings</t>
    </r>
    <r>
      <rPr>
        <b/>
        <sz val="16"/>
        <color theme="1"/>
        <rFont val="Arial"/>
        <family val="2"/>
      </rPr>
      <t/>
    </r>
  </si>
  <si>
    <t>Pricing Method:</t>
  </si>
  <si>
    <t>Step 2: Staff List</t>
  </si>
  <si>
    <t>Both Plans will be added together</t>
  </si>
  <si>
    <t>What is the Pricing Tool?</t>
  </si>
  <si>
    <t>2.00</t>
  </si>
  <si>
    <t>Downloads</t>
  </si>
  <si>
    <t>When using the tool for a new proposal, always ensure you are using the latest version.</t>
  </si>
  <si>
    <t>Note: in JacobsConnect, set filter to "Sort by Title"</t>
  </si>
  <si>
    <t>Steps (Workflow)</t>
  </si>
  <si>
    <t>Overall End-to-End Process</t>
  </si>
  <si>
    <t>Blank Start Date</t>
  </si>
  <si>
    <t>Blank Start date</t>
  </si>
  <si>
    <t>Tab Master Switch</t>
  </si>
  <si>
    <t>Rev Escalation Method</t>
  </si>
  <si>
    <t>Not Escalated (Fixed at Year 1 rates)</t>
  </si>
  <si>
    <t>Escalated independently from cost (see below)</t>
  </si>
  <si>
    <t>Levels 1-8</t>
  </si>
  <si>
    <t>2.01</t>
  </si>
  <si>
    <t>If over-riding everyone, use Pricing Method 7 instead</t>
  </si>
  <si>
    <t>2.   EG: Bonuses, Performance Incentives, FX gains/losses, Volume Discounts/Rebates, etc. (Do not include Fee here).</t>
  </si>
  <si>
    <r>
      <t xml:space="preserve">Revenue Risk Events </t>
    </r>
    <r>
      <rPr>
        <sz val="10"/>
        <color theme="9" tint="-0.499984740745262"/>
        <rFont val="Arial"/>
        <family val="2"/>
      </rPr>
      <t>= Incentives/Bonuses, FX gains/losses, Volume Discounts, etc.</t>
    </r>
  </si>
  <si>
    <t>You can only select one Change at a time for upload into IPCS</t>
  </si>
  <si>
    <r>
      <rPr>
        <sz val="8"/>
        <color theme="0" tint="-0.34998626667073579"/>
        <rFont val="Arial"/>
        <family val="2"/>
      </rPr>
      <t>(Optional)</t>
    </r>
    <r>
      <rPr>
        <b/>
        <sz val="10"/>
        <color theme="0" tint="-0.34998626667073579"/>
        <rFont val="Arial"/>
        <family val="2"/>
      </rPr>
      <t xml:space="preserve">
Employee No.</t>
    </r>
  </si>
  <si>
    <r>
      <rPr>
        <b/>
        <sz val="8"/>
        <color theme="1"/>
        <rFont val="Arial"/>
        <family val="2"/>
      </rPr>
      <t>Changes:</t>
    </r>
    <r>
      <rPr>
        <sz val="8"/>
        <color theme="1"/>
        <rFont val="Arial"/>
        <family val="2"/>
      </rPr>
      <t xml:space="preserve">  Employee Number field added to Staff List 
</t>
    </r>
    <r>
      <rPr>
        <b/>
        <sz val="8"/>
        <color theme="1"/>
        <rFont val="Arial"/>
        <family val="2"/>
      </rPr>
      <t>Fixes:</t>
    </r>
    <r>
      <rPr>
        <sz val="8"/>
        <color theme="1"/>
        <rFont val="Arial"/>
        <family val="2"/>
      </rPr>
      <t xml:space="preserve">  PC Charges not always going into IPCS budget now fixed  | Rev escalation clashing with manual over-ride fixed  |  PathIDs for API upload in multi-suffix mode fixed  |  Other Rev Gains/Losses error flag fixed  |  Timephasing of Changes using existing WBS codes fixed  |  NonBill items in Change Log fixed  |   Orig Contingency in Forecast Final Contract Value fixed  |  #REF! error fixed when deleting Control Accounts row 30  |  Fee only on Billable labor revenue  | </t>
    </r>
  </si>
  <si>
    <t>Orange Warning Direct Entry</t>
  </si>
  <si>
    <t>Escalated in accord with Raw Rates (default)</t>
  </si>
  <si>
    <t>A generic method which includes an additive component.  When used in combination with the Adjustment table on the Staff List tab, almost any pricing combination can be achieved.  This method assumes that the Fee will be billed separately and is not included in the revenue multiplier.
1  First a % markup (generally representing OH%) is applied
2  Then a fixed amount per hour is added (this can be zero)
3  Then a further % markup (representing Profit/Fee) is applied to the total.
If there are any individuals for which the project-wide factors do not apply, then the individual lookup values in the Individual Settings table (Staff Lists tab) can be over-typed.</t>
  </si>
  <si>
    <t>Nominate the required Gross Margin per Hour.
The same GM/Hr is applied equally to all staff, resulting in a flatter overall range of sell rates than by using a straight multiplier.  
1  Sell Rate  = Burdened Cost Rate + Computer Charges (if applic) + Nominated Gross Margin
2  If required, the margin for any particular individual can be varied using the Individual Settings Table</t>
  </si>
  <si>
    <t>Sets of Category Rates are developed, in advance, for specific clients, frameworks or projects.  These can be pre-loaded onto the "Category Rates Data" tab (which is initially hidden).
To use this pricing method:
1.  Unhide the 'Category Rates Data' tab, ensure that the relevant Rates Set is there and is up to date (over-type the rates if necessary).
2.  Select the relevant Rates Set using the radio button
3.  Allocate applicable Categories to individuals using the column "Category" in the Individual Settings table (Staff List tab)</t>
  </si>
  <si>
    <t>This method is very similar to Method 9, except that the Category rates tend to be generic (not client-specific) and are typically based on salary bands.
A percentage Scaling Factor is then used to adjust these standard rates to meet market conditions (and can be found above the Individual Settings Table on the Staff List tab).
This method is only relevant to parts of Jacobs that have pre-assigned their staff to salary-banded categories and also publish an annual reference sell rates table based on categories.</t>
  </si>
  <si>
    <t>Sell Rates table</t>
  </si>
  <si>
    <t>Individual Settings table</t>
  </si>
  <si>
    <t>Future Rates and Escalation table (Indexation)</t>
  </si>
  <si>
    <t>Category Rates (with Scaling Factor)</t>
  </si>
  <si>
    <r>
      <t xml:space="preserve">Proposal/Project Details </t>
    </r>
    <r>
      <rPr>
        <sz val="10"/>
        <rFont val="Arial"/>
        <family val="2"/>
      </rPr>
      <t>(Required input)</t>
    </r>
  </si>
  <si>
    <r>
      <t xml:space="preserve">Host Performance Unit </t>
    </r>
    <r>
      <rPr>
        <sz val="10"/>
        <rFont val="Arial"/>
        <family val="2"/>
      </rPr>
      <t>(Required input)</t>
    </r>
  </si>
  <si>
    <r>
      <t xml:space="preserve">Client Contract </t>
    </r>
    <r>
      <rPr>
        <sz val="10"/>
        <rFont val="Arial"/>
        <family val="2"/>
      </rPr>
      <t>(Required input)</t>
    </r>
  </si>
  <si>
    <t>Contributing PUs</t>
  </si>
  <si>
    <t>Note that an alternative way to achieve the same thing, would be to use the "Manual Over-ride" column in the "Sell Rates" table on the Staff List tab.</t>
  </si>
  <si>
    <t>Rates are entered in the "Direct Entry" column of the "Individual Settings Table" on the Staff List tab</t>
  </si>
  <si>
    <t>If using this pricing method, you will first need to unhide the "Category Rates Data" tab and select (or setup) an appropriate table ensuring that the sell rates are correct.</t>
  </si>
  <si>
    <t>You then simply allocate a grade against each team member (using the "Select Grade / Category" column in the "Individual Settings Table" on the Staff List tab</t>
  </si>
  <si>
    <t>Select Method 7 (Direct Entry Rates)</t>
  </si>
  <si>
    <r>
      <rPr>
        <b/>
        <sz val="10"/>
        <color theme="1"/>
        <rFont val="Arial"/>
        <family val="2"/>
      </rPr>
      <t>Either:</t>
    </r>
    <r>
      <rPr>
        <sz val="10"/>
        <color theme="1"/>
        <rFont val="Arial"/>
        <family val="2"/>
      </rPr>
      <t xml:space="preserve">  Construct your own formula directly in the entry column in the Individual Settings table</t>
    </r>
  </si>
  <si>
    <r>
      <rPr>
        <b/>
        <sz val="10"/>
        <color theme="1"/>
        <rFont val="Arial"/>
        <family val="2"/>
      </rPr>
      <t>Or:</t>
    </r>
    <r>
      <rPr>
        <sz val="10"/>
        <color theme="1"/>
        <rFont val="Arial"/>
        <family val="2"/>
      </rPr>
      <t xml:space="preserve">  Go to the spare Excel columns to the right side of the Staff List tab and construct whatever formula you need using Excel formulae.  Link the result to the Direct Entry input column.</t>
    </r>
  </si>
  <si>
    <t>Custom / User Defined Sell Rate Formula</t>
  </si>
  <si>
    <t>Total Row Number</t>
  </si>
  <si>
    <r>
      <t xml:space="preserve">Path ID
</t>
    </r>
    <r>
      <rPr>
        <sz val="8"/>
        <color rgb="FFC00000"/>
        <rFont val="Arial"/>
        <family val="2"/>
      </rPr>
      <t>(Sorted Alphabetically)</t>
    </r>
  </si>
  <si>
    <t>PC ALLOCATION</t>
  </si>
  <si>
    <t>Project Number is entered on the Setup tab.</t>
  </si>
  <si>
    <t>All (except GID and Non-Jacobs)</t>
  </si>
  <si>
    <t>2.02</t>
  </si>
  <si>
    <t>ETC 
Jacobs
Cost</t>
  </si>
  <si>
    <t>Combined Sort Order</t>
  </si>
  <si>
    <t>Combined Row No.</t>
  </si>
  <si>
    <t>P Mode</t>
  </si>
  <si>
    <t>Cost Weighting for %</t>
  </si>
  <si>
    <t>Spent Weeks</t>
  </si>
  <si>
    <t>% Complete x Weighting</t>
  </si>
  <si>
    <r>
      <rPr>
        <b/>
        <sz val="8"/>
        <color theme="1"/>
        <rFont val="Arial"/>
        <family val="2"/>
      </rPr>
      <t>Note:</t>
    </r>
    <r>
      <rPr>
        <sz val="8"/>
        <color theme="1"/>
        <rFont val="Arial"/>
        <family val="2"/>
      </rPr>
      <t xml:space="preserve">
The Schedule is used for time-phasing (spreading the hours over the allotted weeks/months).
In most cases it is sufficient to just put a "1" in each box on the schedule (in which case, the PT will uniformly distribute the hours against the allotted weeks/months).
The overall analysis of hours per person per week/month then appears in the Staffing Check table (see above).</t>
    </r>
  </si>
  <si>
    <r>
      <rPr>
        <sz val="12"/>
        <color theme="1"/>
        <rFont val="Arial"/>
        <family val="2"/>
      </rPr>
      <t xml:space="preserve">IPCS Manual ETC Lite &gt; Import tab &gt; </t>
    </r>
    <r>
      <rPr>
        <b/>
        <sz val="12"/>
        <color theme="1"/>
        <rFont val="Arial"/>
        <family val="2"/>
      </rPr>
      <t>Import Table</t>
    </r>
  </si>
  <si>
    <t>Note:  If you do exceed 120 user-defined control accounts, then you will need to unhide all the EcoSys data upload tabs and extend the table ranges downwards.</t>
  </si>
  <si>
    <t>Sign-Off tab</t>
  </si>
  <si>
    <t>You can't upload more than one Change at a time (using the API)</t>
  </si>
  <si>
    <t>Weighting</t>
  </si>
  <si>
    <t>Weighting x % Comp</t>
  </si>
  <si>
    <t>% Comp</t>
  </si>
  <si>
    <t>Relevant Plan tab</t>
  </si>
  <si>
    <t>Activity timephasing is incomplete (indicated by orange cells on the schedule)</t>
  </si>
  <si>
    <t>Incomplete timephasing</t>
  </si>
  <si>
    <t xml:space="preserve">   Multi-function, planning, pricing and forecasting tool for professional services</t>
  </si>
  <si>
    <t>Project-specific Sell Rates are directly entered against individual names.
Do this using the "Direct Entry" column in the Individual Settings Table on the Staff List tab.
Note this method is similar to using the 'Manual Over-ride" column in the Sell Rates table - and is actually a preferable method if everyone's rate is being over-rided.</t>
  </si>
  <si>
    <t>Method 8 is the same as method 7, except that it also features a percentage Scaling Factor (which appears at the top of the Individual Settings Table).</t>
  </si>
  <si>
    <r>
      <rPr>
        <b/>
        <sz val="10"/>
        <rFont val="Arial"/>
        <family val="2"/>
      </rPr>
      <t>Built-in Spreadsheet Procedure</t>
    </r>
    <r>
      <rPr>
        <sz val="10"/>
        <rFont val="Arial"/>
        <family val="2"/>
      </rPr>
      <t>.  This uses the same Import screen as the direct entry method, but the data is transferred via an import/export spreadsheet (Goto Sheet menu &gt; Export to Excel).  The Control Accounts do not need to be in the same alphabetical order to use this method.</t>
    </r>
  </si>
  <si>
    <r>
      <rPr>
        <b/>
        <sz val="10"/>
        <rFont val="Arial"/>
        <family val="2"/>
      </rPr>
      <t>API</t>
    </r>
    <r>
      <rPr>
        <sz val="10"/>
        <rFont val="Arial"/>
        <family val="2"/>
      </rPr>
      <t>.  The API effectively replicates the built-in spreadsheet procedure but is fully automated.  It is only accessible by super-users.</t>
    </r>
  </si>
  <si>
    <r>
      <rPr>
        <b/>
        <sz val="10"/>
        <rFont val="Arial"/>
        <family val="2"/>
      </rPr>
      <t xml:space="preserve">Direct Entry:  </t>
    </r>
    <r>
      <rPr>
        <sz val="10"/>
        <rFont val="Arial"/>
        <family val="2"/>
      </rPr>
      <t xml:space="preserve"> Copy the data directly from the "ETC Forecast - IPCS Import Table" (which is on the right hand side of the Control Accounts tab in the Pricing tool), to the Import Table (which is on the Import tab in the Manual ETC Lite menu item in IPCS.  Note that both screens are sorted alphabetically by PathID.  Select the white data cells.  Use Control+C to copy the data from the Pricing Tool.  Use Control+V to paste the data into IPCS. 
</t>
    </r>
  </si>
  <si>
    <t>3.16.8</t>
  </si>
  <si>
    <r>
      <rPr>
        <b/>
        <sz val="10"/>
        <color theme="1"/>
        <rFont val="Arial"/>
        <family val="2"/>
      </rPr>
      <t>Non-Bill Line Items</t>
    </r>
    <r>
      <rPr>
        <sz val="10"/>
        <color theme="1"/>
        <rFont val="Arial"/>
        <family val="2"/>
      </rPr>
      <t>:  A whole line item (either labor or non-labor) can be made non-billable by selecting "NB" in column G.</t>
    </r>
  </si>
  <si>
    <t>Additional Cost Rate due to Allowances &amp; OT (Escalated)</t>
  </si>
  <si>
    <t>Possible Price Rate due to Allowances &amp; OT (Escalated)</t>
  </si>
  <si>
    <t>Lookup OT</t>
  </si>
  <si>
    <t>Overwrite Allowances</t>
  </si>
  <si>
    <t>Overwrite OT</t>
  </si>
  <si>
    <t>In changes mode, you must also unhide the tab "Change Log"</t>
  </si>
  <si>
    <t>Extra Cost is Billable?</t>
  </si>
  <si>
    <t>Lookup Allowances Burden</t>
  </si>
  <si>
    <t>Lookup Overtime Burden</t>
  </si>
  <si>
    <t>Glossary of Terms</t>
  </si>
  <si>
    <t>2.03</t>
  </si>
  <si>
    <r>
      <rPr>
        <b/>
        <sz val="8"/>
        <color theme="1"/>
        <rFont val="Arial"/>
        <family val="2"/>
      </rPr>
      <t>Fixes:</t>
    </r>
    <r>
      <rPr>
        <sz val="8"/>
        <color theme="1"/>
        <rFont val="Arial"/>
        <family val="2"/>
      </rPr>
      <t xml:space="preserve">  B&amp;I BU Names reverted to previous </t>
    </r>
  </si>
  <si>
    <t>Employment Type</t>
  </si>
  <si>
    <t>Default Cost Settings</t>
  </si>
  <si>
    <t>Exceeds 25 Chars</t>
  </si>
  <si>
    <r>
      <t xml:space="preserve">WBS Codes
</t>
    </r>
    <r>
      <rPr>
        <sz val="10"/>
        <color theme="0"/>
        <rFont val="Arial"/>
        <family val="2"/>
      </rPr>
      <t>(also known as: 'Tasks', Charge Codes' and 'Control Accounts'</t>
    </r>
  </si>
  <si>
    <t>Control Acct Level 2 Type</t>
  </si>
  <si>
    <r>
      <t xml:space="preserve">(Charge Codes)
</t>
    </r>
    <r>
      <rPr>
        <b/>
        <sz val="9"/>
        <color theme="1"/>
        <rFont val="Arial"/>
        <family val="2"/>
      </rPr>
      <t>WBS Codes</t>
    </r>
  </si>
  <si>
    <r>
      <rPr>
        <sz val="8"/>
        <color theme="1"/>
        <rFont val="Arial"/>
        <family val="2"/>
      </rPr>
      <t>(Charge Codes)</t>
    </r>
    <r>
      <rPr>
        <b/>
        <sz val="9"/>
        <color theme="1"/>
        <rFont val="Arial"/>
        <family val="2"/>
      </rPr>
      <t xml:space="preserve">
WBS Codes</t>
    </r>
  </si>
  <si>
    <t>WBS Short Name</t>
  </si>
  <si>
    <r>
      <rPr>
        <b/>
        <sz val="8"/>
        <color theme="9" tint="-0.499984740745262"/>
        <rFont val="Arial"/>
        <family val="2"/>
      </rPr>
      <t xml:space="preserve">Notes:  </t>
    </r>
    <r>
      <rPr>
        <sz val="8"/>
        <color theme="9" tint="-0.499984740745262"/>
        <rFont val="Arial"/>
        <family val="2"/>
      </rPr>
      <t xml:space="preserve">
1.  The top three (green) codes are setup in IPCS, but not in GFS.
2.  If code cell font turns red, then the code exceeds 25 characters in length.
3.  If code cell turns yellow, then it is not represented on the Project Plan.
4.  If code cell turns orange, then warning of a duplicate code.
5.  WBS Short Names (in green cells) can be overtyped to avoid duplicates.</t>
    </r>
  </si>
  <si>
    <t>2.04</t>
  </si>
  <si>
    <t>Billing Multipliers</t>
  </si>
  <si>
    <t>Other Hourly Costs for Host Country/LOB</t>
  </si>
  <si>
    <t>Root Start Date</t>
  </si>
  <si>
    <t>Root End Date</t>
  </si>
  <si>
    <t>B&amp;I ASIA PACIFIC &amp; MIDDLE EAST</t>
  </si>
  <si>
    <t>IPCS Root Setup Data</t>
  </si>
  <si>
    <t>Root Name</t>
  </si>
  <si>
    <t>KEY SETTING:  The Pricing Method is the mathematical mechanism for calculating sell rates.  This key setting flows throughout the tool.</t>
  </si>
  <si>
    <t>Burden Rates for selected Host Country/LOB</t>
  </si>
  <si>
    <t>Staff Straight OT</t>
  </si>
  <si>
    <t>Staff Premium OT</t>
  </si>
  <si>
    <t>IWA India</t>
  </si>
  <si>
    <t>IWA Other</t>
  </si>
  <si>
    <t>5=Staff with allowance</t>
  </si>
  <si>
    <t>6=Staff with Straight OT</t>
  </si>
  <si>
    <t>7=Staff with Premium OT</t>
  </si>
  <si>
    <t>10=Non Jacobs</t>
  </si>
  <si>
    <t>Allowance/Uplift Switch</t>
  </si>
  <si>
    <t>6,7</t>
  </si>
  <si>
    <t xml:space="preserve">   If required insert additional rows above this Range De-limiter.  Refer User Guide section 0.4</t>
  </si>
  <si>
    <t>IWA (India only)</t>
  </si>
  <si>
    <t>IWA All</t>
  </si>
  <si>
    <r>
      <t>Internal Rev Rate</t>
    </r>
    <r>
      <rPr>
        <sz val="10"/>
        <color theme="9" tint="-0.499984740745262"/>
        <rFont val="Arial"/>
        <family val="2"/>
      </rPr>
      <t xml:space="preserve"> (Current)</t>
    </r>
  </si>
  <si>
    <t>Staff +GID Hours</t>
  </si>
  <si>
    <t>004515 - Bi Apme Asia Built Envr Gurgoan</t>
  </si>
  <si>
    <t>004516 - Bi Apme Asia Built Envr Kolkata</t>
  </si>
  <si>
    <t>004517 - Bi Apme Asia Built Envr Jacobs House</t>
  </si>
  <si>
    <t>004518 - Bi Apme Asia Built Envr Gigaplex</t>
  </si>
  <si>
    <t>004519 - Bi Apme Asia Built Envr Hyderabad</t>
  </si>
  <si>
    <t>004520 - Bi Apme Asia Transport Gurgoan</t>
  </si>
  <si>
    <t>004521 - Bi Apme Asia Transport Noida</t>
  </si>
  <si>
    <t>004522 - Bi Apme Asia Transport Kolkata</t>
  </si>
  <si>
    <t>004523 - Bi Apme Asia Transport Jacobs House</t>
  </si>
  <si>
    <t>004524 - Bi Apme Asia Transport Gigaplex</t>
  </si>
  <si>
    <t>004525 - Bi Apme Asia Transport Andhara Pradesh</t>
  </si>
  <si>
    <t>004526 - Bi Apme Asia Transport Hyderabad</t>
  </si>
  <si>
    <t>004527 - Bi Apme Asia Water &amp; Envr Gurgoan</t>
  </si>
  <si>
    <t>004528 - Bi Apme Asia Water &amp; Envr Noida</t>
  </si>
  <si>
    <t>004529 - Bi Apme Asia Water &amp; Envr Kolkata</t>
  </si>
  <si>
    <t>004530 - Bi Apme Asia Water &amp; Envr Jacobs House</t>
  </si>
  <si>
    <t>004531 - Bi Apme Asia Water &amp; Envr Pune</t>
  </si>
  <si>
    <t>004532 - Bi Apme Asia Water &amp; Envr Bangalore</t>
  </si>
  <si>
    <t>004533 - Bi Apme Asia Pmcm Maharashtra</t>
  </si>
  <si>
    <t>004534 - Bi Apme Asia Pmcm Andhara Pradesh</t>
  </si>
  <si>
    <t>004535 - Bi Apme Asia Pmcm West Bengal</t>
  </si>
  <si>
    <t>004536 - Bi Apme Asia Pmcm Gurgaon</t>
  </si>
  <si>
    <t>004537 - Bi Apme Asia Field Services - B&amp;I</t>
  </si>
  <si>
    <t>004515</t>
  </si>
  <si>
    <t>004516</t>
  </si>
  <si>
    <t>004517</t>
  </si>
  <si>
    <t>004518</t>
  </si>
  <si>
    <t>004519</t>
  </si>
  <si>
    <t>004520</t>
  </si>
  <si>
    <t>004521</t>
  </si>
  <si>
    <t>004522</t>
  </si>
  <si>
    <t>004523</t>
  </si>
  <si>
    <t>004524</t>
  </si>
  <si>
    <t>004525</t>
  </si>
  <si>
    <t>004526</t>
  </si>
  <si>
    <t>004527</t>
  </si>
  <si>
    <t>004528</t>
  </si>
  <si>
    <t>004529</t>
  </si>
  <si>
    <t>004530</t>
  </si>
  <si>
    <t>004531</t>
  </si>
  <si>
    <t>004532</t>
  </si>
  <si>
    <t>004533</t>
  </si>
  <si>
    <t>004534</t>
  </si>
  <si>
    <t>004535</t>
  </si>
  <si>
    <t>004536</t>
  </si>
  <si>
    <t>004537</t>
  </si>
  <si>
    <t>010026 - Bi Apme Asia Buildings Malaysia</t>
  </si>
  <si>
    <t>010029 - Bi Apme Asia Buildings Singapore</t>
  </si>
  <si>
    <t>027032 - Bi Apme Asia Power Indonesia</t>
  </si>
  <si>
    <t>027090 - Bi Apme Asia Power Malaysia</t>
  </si>
  <si>
    <t>027091 - Bi Apme Asia Transport Malaysia</t>
  </si>
  <si>
    <t>027092 - Bi Apme Asia Water Malaysia</t>
  </si>
  <si>
    <t>027093 - Bi Apme Asia Transport Singapore</t>
  </si>
  <si>
    <t>027094 - Bi Apme Asia Water Singapore</t>
  </si>
  <si>
    <t>027095 - Bi Apme Asia - South East Asia M&amp;A</t>
  </si>
  <si>
    <t>010026</t>
  </si>
  <si>
    <t>010029</t>
  </si>
  <si>
    <t>027032</t>
  </si>
  <si>
    <t>027090</t>
  </si>
  <si>
    <t>027091</t>
  </si>
  <si>
    <t>027092</t>
  </si>
  <si>
    <t>027093</t>
  </si>
  <si>
    <t>027094</t>
  </si>
  <si>
    <t>027095</t>
  </si>
  <si>
    <t>027035 - Bi Apme Asia Power Philippines</t>
  </si>
  <si>
    <t>027038 - Bi Apme Asia - East Asia M&amp;A</t>
  </si>
  <si>
    <t>035005 - Bi Apme Asia Buildings Hong Kong</t>
  </si>
  <si>
    <t>035014 - Bi Apme Asia Buildings Hong Kong Field Services</t>
  </si>
  <si>
    <t>027035</t>
  </si>
  <si>
    <t>027038</t>
  </si>
  <si>
    <t>035005</t>
  </si>
  <si>
    <t>035014</t>
  </si>
  <si>
    <t>027011 - Bi Apme Anz  New Zealand M&amp;A</t>
  </si>
  <si>
    <t>027023 - Bi Apme Anz  Power New Zealand</t>
  </si>
  <si>
    <t>027140 - Bi Apme Anz  Nz-Transport</t>
  </si>
  <si>
    <t>027141 - Bi Apme Anz  Nz-Built Environment</t>
  </si>
  <si>
    <t>027142 - Bi Apme Anz  Nz-Water Enviton &amp; Spatial</t>
  </si>
  <si>
    <t>027143 - Bi Apme Anz  Nz-Integrated Pro Svcs</t>
  </si>
  <si>
    <t>027011</t>
  </si>
  <si>
    <t>027023</t>
  </si>
  <si>
    <t>027140</t>
  </si>
  <si>
    <t>027141</t>
  </si>
  <si>
    <t>027142</t>
  </si>
  <si>
    <t>027143</t>
  </si>
  <si>
    <t>027012 - Bi Apme Anz  Eastern - M&amp;A</t>
  </si>
  <si>
    <t>027021 - Bi Apme Anz  Eastern-Energy &amp; Information</t>
  </si>
  <si>
    <t>027100 - Bi Apme Anz  Eastern-Transport</t>
  </si>
  <si>
    <t>027101 - Bi Apme Anz  Eastern-Built Environment</t>
  </si>
  <si>
    <t>027102 - Bi Apme Anz  Eastern-Water, Environ &amp; Spatial</t>
  </si>
  <si>
    <t>027103 - Bi Apme Anz  Eastern-Project Mgmt</t>
  </si>
  <si>
    <t>027104 - Bi Apme Anz  Eastern-Integrated Pro Svcs</t>
  </si>
  <si>
    <t>027012</t>
  </si>
  <si>
    <t>027021</t>
  </si>
  <si>
    <t>027100</t>
  </si>
  <si>
    <t>027101</t>
  </si>
  <si>
    <t>027102</t>
  </si>
  <si>
    <t>027103</t>
  </si>
  <si>
    <t>027104</t>
  </si>
  <si>
    <t>027013 - Bi Apme Anz  Northern  - M&amp;A</t>
  </si>
  <si>
    <t>027120 - Bi Apme Anz  Northern-Transport</t>
  </si>
  <si>
    <t>027121 - Bi Apme Anz  Northern-Built Environment</t>
  </si>
  <si>
    <t>027122 - Bi Apme Anz  Northern-Water, Environ &amp; Spatial</t>
  </si>
  <si>
    <t>027123 - Bi Apme Anz  Northern Qld (Cairns &amp; Townville Offices)</t>
  </si>
  <si>
    <t>027124 - Bi Apme Anz Northern-Integrated Pm &amp; Ips</t>
  </si>
  <si>
    <t>027013</t>
  </si>
  <si>
    <t>027120</t>
  </si>
  <si>
    <t>027121</t>
  </si>
  <si>
    <t>027122</t>
  </si>
  <si>
    <t>027123</t>
  </si>
  <si>
    <t>027124</t>
  </si>
  <si>
    <t>027014 - Bi Apme Anz  Southern - M&amp;A</t>
  </si>
  <si>
    <t>027110 - Bi Apme Anz  Southern-Transport</t>
  </si>
  <si>
    <t>027111 - Bi Apme Anz  Southern-Built Environment</t>
  </si>
  <si>
    <t>027112 - Bi Apme Anz  Southern-Water Environ &amp; Spatial</t>
  </si>
  <si>
    <t>027113 - Bi Apme Anz  Southern-Strategic Consulting</t>
  </si>
  <si>
    <t>027114 - Bi Apme Anz  Southern-Integrated Pro Svcs</t>
  </si>
  <si>
    <t>027014</t>
  </si>
  <si>
    <t>027110</t>
  </si>
  <si>
    <t>027111</t>
  </si>
  <si>
    <t>027112</t>
  </si>
  <si>
    <t>027113</t>
  </si>
  <si>
    <t>027114</t>
  </si>
  <si>
    <t>027015 - Bi Apme Anz  Central West - M&amp;A</t>
  </si>
  <si>
    <t>027026 - Bi Apme Anz  Au Western Power</t>
  </si>
  <si>
    <t>027130 - Bi Apme Anz  Central West-Infrastructure</t>
  </si>
  <si>
    <t>027131 - Bi Apme Anz  Central West-Water Environ &amp; Spatial</t>
  </si>
  <si>
    <t>027132 - Bi Apme Anz  Central West-Adelaide</t>
  </si>
  <si>
    <t>027133 - Bi Apme Anz  Central West Darwin</t>
  </si>
  <si>
    <t>027134 - Bi Apme Anz  Central West-Integrated Pro Svcs (Adelaide)</t>
  </si>
  <si>
    <t>027135 - Bi Apme Anz  Central West-Integrated Pro Svcs (Western)</t>
  </si>
  <si>
    <t>027136 - Bi Apme Anz  Central West-Integrated Pro Svcs (Darwin)</t>
  </si>
  <si>
    <t>027015</t>
  </si>
  <si>
    <t>027026</t>
  </si>
  <si>
    <t>027130</t>
  </si>
  <si>
    <t>027131</t>
  </si>
  <si>
    <t>027132</t>
  </si>
  <si>
    <t>027133</t>
  </si>
  <si>
    <t>027134</t>
  </si>
  <si>
    <t>027135</t>
  </si>
  <si>
    <t>027136</t>
  </si>
  <si>
    <t>033511 - Bi Apme Me Utilities - Water</t>
  </si>
  <si>
    <t>033512 - Bi Apme Me Utilities - Urban Development</t>
  </si>
  <si>
    <t>033513 - Bi Apme Me Utilities - Buildings</t>
  </si>
  <si>
    <t>033514 - Bi Apme Me Utilities - Maritime Facilities</t>
  </si>
  <si>
    <t>033511</t>
  </si>
  <si>
    <t>033512</t>
  </si>
  <si>
    <t>033513</t>
  </si>
  <si>
    <t>033514</t>
  </si>
  <si>
    <t>033702 - Bi Apme Me Transport - Rail</t>
  </si>
  <si>
    <t>033703 - Bi Apme Me Transport - Aviation</t>
  </si>
  <si>
    <t>033700</t>
  </si>
  <si>
    <t>033702</t>
  </si>
  <si>
    <t>033703</t>
  </si>
  <si>
    <t>BIAF - APME</t>
  </si>
  <si>
    <t>035000</t>
  </si>
  <si>
    <t>035016</t>
  </si>
  <si>
    <t>035017</t>
  </si>
  <si>
    <t>031300</t>
  </si>
  <si>
    <t>031304</t>
  </si>
  <si>
    <t>027061</t>
  </si>
  <si>
    <t>032706</t>
  </si>
  <si>
    <t>035102</t>
  </si>
  <si>
    <t>031500</t>
  </si>
  <si>
    <t>032702</t>
  </si>
  <si>
    <t>032718</t>
  </si>
  <si>
    <t>035018</t>
  </si>
  <si>
    <t>031200</t>
  </si>
  <si>
    <t>035020 - Digital Solutions</t>
  </si>
  <si>
    <t>035030 - Strategic Consulting</t>
  </si>
  <si>
    <t>004813</t>
  </si>
  <si>
    <t>020595</t>
  </si>
  <si>
    <t>031000</t>
  </si>
  <si>
    <t>031004</t>
  </si>
  <si>
    <t>035020</t>
  </si>
  <si>
    <t>035030</t>
  </si>
  <si>
    <t>032705</t>
  </si>
  <si>
    <t>035001</t>
  </si>
  <si>
    <t>AF Electronics</t>
  </si>
  <si>
    <t>011800</t>
  </si>
  <si>
    <t>011802</t>
  </si>
  <si>
    <t>011806</t>
  </si>
  <si>
    <t>AF Electronics OM</t>
  </si>
  <si>
    <t>011807</t>
  </si>
  <si>
    <t>011817</t>
  </si>
  <si>
    <t>011934</t>
  </si>
  <si>
    <t>001600</t>
  </si>
  <si>
    <t>002500</t>
  </si>
  <si>
    <t>007100</t>
  </si>
  <si>
    <t>AF Specialized Mfg</t>
  </si>
  <si>
    <t>AF Specialized Mfg OM</t>
  </si>
  <si>
    <t>011821</t>
  </si>
  <si>
    <t>012166</t>
  </si>
  <si>
    <t>Life Sciences Europe</t>
  </si>
  <si>
    <t>004805 - Italy Operations</t>
  </si>
  <si>
    <t>004805</t>
  </si>
  <si>
    <t>004891 - Italy Field Services</t>
  </si>
  <si>
    <t>004891</t>
  </si>
  <si>
    <t>006006 - Cqv - Uk</t>
  </si>
  <si>
    <t>006006</t>
  </si>
  <si>
    <t>007602 - Dublin</t>
  </si>
  <si>
    <t>007602</t>
  </si>
  <si>
    <t>007690 - Ireland Field Services</t>
  </si>
  <si>
    <t>007690</t>
  </si>
  <si>
    <t>007900 - Cork</t>
  </si>
  <si>
    <t>007900</t>
  </si>
  <si>
    <t>007906 - Cqv - Ireland</t>
  </si>
  <si>
    <t>007906</t>
  </si>
  <si>
    <t>020597 - Cqv - Mainland Europe</t>
  </si>
  <si>
    <t>020597</t>
  </si>
  <si>
    <t>020601 - Ls Sweden</t>
  </si>
  <si>
    <t>020601</t>
  </si>
  <si>
    <t>020598 - Ls Germany</t>
  </si>
  <si>
    <t>020598</t>
  </si>
  <si>
    <t>020600 - Ls Switzerland</t>
  </si>
  <si>
    <t>020600</t>
  </si>
  <si>
    <t>Life Sciences Americas</t>
  </si>
  <si>
    <t>006300 - Pharma/Bio-Philadelphia</t>
  </si>
  <si>
    <t>006300</t>
  </si>
  <si>
    <t>001700 - Raleigh</t>
  </si>
  <si>
    <t>001700</t>
  </si>
  <si>
    <t>002200 - Cincinnati</t>
  </si>
  <si>
    <t>002200</t>
  </si>
  <si>
    <t>010031 - Icv-Northern Region</t>
  </si>
  <si>
    <t>010031</t>
  </si>
  <si>
    <t>004404 - Ls/I - Gurgaon</t>
  </si>
  <si>
    <t>004404</t>
  </si>
  <si>
    <t>004415 - Ls/I - Jacobs House</t>
  </si>
  <si>
    <t>004415</t>
  </si>
  <si>
    <t>004417 - Ls/I - Gigaplex</t>
  </si>
  <si>
    <t>004417</t>
  </si>
  <si>
    <t>004538 - Field Services - Advanced Facilities</t>
  </si>
  <si>
    <t>004538</t>
  </si>
  <si>
    <t>010025 - Singapore Field Services</t>
  </si>
  <si>
    <t>010025</t>
  </si>
  <si>
    <t>010027 - Sg International Pr</t>
  </si>
  <si>
    <t>010027</t>
  </si>
  <si>
    <t>010028 - Singapore Life Sciences</t>
  </si>
  <si>
    <t>010028</t>
  </si>
  <si>
    <t>Life Sciences Asia/Pac</t>
  </si>
  <si>
    <t>011550 - Project Services - Db Delivery - Global - D/B</t>
  </si>
  <si>
    <t>011550</t>
  </si>
  <si>
    <t>011951 - Project Delivery - Db - Us North - Global - D/B</t>
  </si>
  <si>
    <t>011951</t>
  </si>
  <si>
    <t>011952 - Project Delivery - Db - Us South - Global - D/B</t>
  </si>
  <si>
    <t>011952</t>
  </si>
  <si>
    <t>011953 - Project Delivery - Db - Us West - Global - D/B</t>
  </si>
  <si>
    <t>011953</t>
  </si>
  <si>
    <t>012050 - Project Delivery - Design Build - Global - X</t>
  </si>
  <si>
    <t>012050</t>
  </si>
  <si>
    <t>012195 - Project Delivery - Db - Federal - Global - D/B</t>
  </si>
  <si>
    <t>012195</t>
  </si>
  <si>
    <t>011959 - Project Delivery - Om Svcs - Canada - Global - O/M</t>
  </si>
  <si>
    <t>011959</t>
  </si>
  <si>
    <t>011960 - Project Delivery - Om Svcs - Menai/Apac - Global - O/M</t>
  </si>
  <si>
    <t>011960</t>
  </si>
  <si>
    <t>011961 - Project Delivery - Om Svcs - Us North - Global - O/M</t>
  </si>
  <si>
    <t>011961</t>
  </si>
  <si>
    <t>011962 - Project Delivery - Om Svcs - Us South - Global - O/M</t>
  </si>
  <si>
    <t>011962</t>
  </si>
  <si>
    <t>011963 - Project Delivery - Om Svcs - Us West - Global - O/M</t>
  </si>
  <si>
    <t>011963</t>
  </si>
  <si>
    <t>012051 - Project Delivery - Om &amp; Facilities Mgmt - Global - X</t>
  </si>
  <si>
    <t>012051</t>
  </si>
  <si>
    <t>012181 - Project Delivery - Om Svcs - Af Manuf - Us - Global - O/M</t>
  </si>
  <si>
    <t>012181</t>
  </si>
  <si>
    <t>012196 - Project Delivery - Om Svcs - Federal - Global - O/M</t>
  </si>
  <si>
    <t>012196</t>
  </si>
  <si>
    <t>010217 - America Ccg D/B Mgf - Fed</t>
  </si>
  <si>
    <t>010217</t>
  </si>
  <si>
    <t>011392 - Intl - Govt Infra &amp; Nuclear Liab Mgmt - Usops - Consult</t>
  </si>
  <si>
    <t>011392</t>
  </si>
  <si>
    <t>011404 - Us Civil - Emerging Clients - Usops - Consult</t>
  </si>
  <si>
    <t>011404</t>
  </si>
  <si>
    <t>011419 - Us Dod - Other Dod - Usops - Consult</t>
  </si>
  <si>
    <t>011419</t>
  </si>
  <si>
    <t>011428 - Us Dod - Us Air Force - Usops - D/B</t>
  </si>
  <si>
    <t>011428</t>
  </si>
  <si>
    <t>011430 - Us Dod - Us Army - Apac - Consult</t>
  </si>
  <si>
    <t>011430</t>
  </si>
  <si>
    <t>011437 - Us Dod - Us Army - Usops - O/M</t>
  </si>
  <si>
    <t>011437</t>
  </si>
  <si>
    <t>011682 - Us Dod - Us Army/Drag - Menai - D/B</t>
  </si>
  <si>
    <t>011682</t>
  </si>
  <si>
    <t>011683 - Us Dod - Us Air Force/Afcap - Menai - Consult</t>
  </si>
  <si>
    <t>011683</t>
  </si>
  <si>
    <t>011684 - Us Dod - Us Army/Yuksel - Menai - D/B</t>
  </si>
  <si>
    <t>011684</t>
  </si>
  <si>
    <t>011685 - Us Dod - Us Dod - Us Navy/Metag - Menai - D/B</t>
  </si>
  <si>
    <t>011685</t>
  </si>
  <si>
    <t>011686 - Us Dod - Us Army/Korea - Apac - Consult</t>
  </si>
  <si>
    <t>011686</t>
  </si>
  <si>
    <t>011687 - Us Dod - Other Dod/Hdr - Usops - Consult</t>
  </si>
  <si>
    <t>011687</t>
  </si>
  <si>
    <t>011689 - Us Dod - Us Navy/Clnex - Usops - Consult</t>
  </si>
  <si>
    <t>011689</t>
  </si>
  <si>
    <t>011690 - Us Dod - Us Navy/Clnexe - Usops - Consult</t>
  </si>
  <si>
    <t>011690</t>
  </si>
  <si>
    <t>011724 - Us Dod - Us Navy/Gis - Usops - Consult</t>
  </si>
  <si>
    <t>011724</t>
  </si>
  <si>
    <t>011751 - Us Dod - Us Army/Cape - Usops - Consult Nl</t>
  </si>
  <si>
    <t>011751</t>
  </si>
  <si>
    <t>011822 - Americas - Federal Gov - Global - Consult</t>
  </si>
  <si>
    <t>011822</t>
  </si>
  <si>
    <t>011823 - Americas - Federal Gov - Global - D/B</t>
  </si>
  <si>
    <t>011823</t>
  </si>
  <si>
    <t>011824 - Americas - Federal Gov - Global - O/M</t>
  </si>
  <si>
    <t>011824</t>
  </si>
  <si>
    <t>011941 - Americas - Federal Gov - Global - X</t>
  </si>
  <si>
    <t>011941</t>
  </si>
  <si>
    <t>048071 - Federal Pc</t>
  </si>
  <si>
    <t>048071</t>
  </si>
  <si>
    <t>048073 - Federal Pmcm Pc</t>
  </si>
  <si>
    <t>048073</t>
  </si>
  <si>
    <t>048074 - Federal Pmcm</t>
  </si>
  <si>
    <t>048074</t>
  </si>
  <si>
    <t>048077 - Federal M&amp;A</t>
  </si>
  <si>
    <t>048081 - Federal Safety</t>
  </si>
  <si>
    <t>048081</t>
  </si>
  <si>
    <t>011829</t>
  </si>
  <si>
    <t>011830 - Canada - Operations - Canada - O/M</t>
  </si>
  <si>
    <t>011830</t>
  </si>
  <si>
    <t>011943 - Canada - Regional Mgmt - Global - X</t>
  </si>
  <si>
    <t>011943</t>
  </si>
  <si>
    <t>011849 - Us North - Operations - Midatlantic - O/M</t>
  </si>
  <si>
    <t>011849</t>
  </si>
  <si>
    <t>012169 - Us North - Operations - Midatlantic - D/B</t>
  </si>
  <si>
    <t>012169</t>
  </si>
  <si>
    <t>048111 - Bia-China</t>
  </si>
  <si>
    <t>011703 - Bpc Airport Partners</t>
  </si>
  <si>
    <t>011703</t>
  </si>
  <si>
    <t>011851 - Us North - Operations - Midwest - D/B</t>
  </si>
  <si>
    <t>011851</t>
  </si>
  <si>
    <t>011852 - Us North - Operations - Midwest - O/M</t>
  </si>
  <si>
    <t>011852</t>
  </si>
  <si>
    <t>020132</t>
  </si>
  <si>
    <t>020133</t>
  </si>
  <si>
    <t>020139 - Bia-Chicago</t>
  </si>
  <si>
    <t>020231 - Bia-St. Louis</t>
  </si>
  <si>
    <t>020282</t>
  </si>
  <si>
    <t>010117 - Bia Pmcm Northeast</t>
  </si>
  <si>
    <t>011854 - Us North - Operations - Northeast - O/M</t>
  </si>
  <si>
    <t>011854</t>
  </si>
  <si>
    <t>012155 - Us North - Operations - Northeast - D/B</t>
  </si>
  <si>
    <t>012155</t>
  </si>
  <si>
    <t>020150 - Bia-New Jersey</t>
  </si>
  <si>
    <t>020151 - Bia Northeast M&amp;A</t>
  </si>
  <si>
    <t>020153 - Bia-New England</t>
  </si>
  <si>
    <t>020161 - Bia- New York</t>
  </si>
  <si>
    <t>011856</t>
  </si>
  <si>
    <t>011857</t>
  </si>
  <si>
    <t>011858</t>
  </si>
  <si>
    <t>South Florida</t>
  </si>
  <si>
    <t>011864</t>
  </si>
  <si>
    <t>011866</t>
  </si>
  <si>
    <t>003748</t>
  </si>
  <si>
    <t>011860</t>
  </si>
  <si>
    <t>011861</t>
  </si>
  <si>
    <t>011862</t>
  </si>
  <si>
    <t>West California</t>
  </si>
  <si>
    <t>011869</t>
  </si>
  <si>
    <t>011870</t>
  </si>
  <si>
    <t>020119 - Bia-Northern Calif</t>
  </si>
  <si>
    <t>020120 - Bia-Southern Calif</t>
  </si>
  <si>
    <t>020200</t>
  </si>
  <si>
    <t>020279 - West Safety</t>
  </si>
  <si>
    <t>West M&amp;A</t>
  </si>
  <si>
    <t>South M&amp;A</t>
  </si>
  <si>
    <t>020101 - South Safety</t>
  </si>
  <si>
    <t>020101</t>
  </si>
  <si>
    <t>020105</t>
  </si>
  <si>
    <t>020111</t>
  </si>
  <si>
    <t>020116</t>
  </si>
  <si>
    <t>011555 - Project Services - Eng Design - Us North/Canada - Global - X</t>
  </si>
  <si>
    <t>011555</t>
  </si>
  <si>
    <t>011957 - Project Delivery - E&amp;D - Us North - Global - X</t>
  </si>
  <si>
    <t>011957</t>
  </si>
  <si>
    <t>011967 - Project Delivery - Proj Controls - Us North - Global - X</t>
  </si>
  <si>
    <t>011967</t>
  </si>
  <si>
    <t>011971 - Us North - Regional Mgmt - Global - X</t>
  </si>
  <si>
    <t>011971</t>
  </si>
  <si>
    <t>020223</t>
  </si>
  <si>
    <t>020228 - North Project Delivery</t>
  </si>
  <si>
    <t>North M&amp;A</t>
  </si>
  <si>
    <t>011871</t>
  </si>
  <si>
    <t>011872</t>
  </si>
  <si>
    <t>011873</t>
  </si>
  <si>
    <t>011874</t>
  </si>
  <si>
    <t>011875</t>
  </si>
  <si>
    <t>011876</t>
  </si>
  <si>
    <t>West Southwest</t>
  </si>
  <si>
    <t>West Northwest</t>
  </si>
  <si>
    <t>North Northeast</t>
  </si>
  <si>
    <t>North Midwest</t>
  </si>
  <si>
    <t>BIAF - Americas</t>
  </si>
  <si>
    <t>BIAF - Europe</t>
  </si>
  <si>
    <t>JACOBS.BIAF</t>
  </si>
  <si>
    <t>B&amp;I-AMERICAS</t>
  </si>
  <si>
    <t>IPCS Path ID Codes</t>
  </si>
  <si>
    <t>BIA-FEDERAL</t>
  </si>
  <si>
    <t>CH2M</t>
  </si>
  <si>
    <t>JACOBS.ATEN</t>
  </si>
  <si>
    <t>IPCS LOB Code</t>
  </si>
  <si>
    <t>IPCS Business Unit Name</t>
  </si>
  <si>
    <t>Business Units</t>
  </si>
  <si>
    <t>IPCS BU Code</t>
  </si>
  <si>
    <t>B&amp;I APAC/ME</t>
  </si>
  <si>
    <t>ATEN INTERNATIONAL</t>
  </si>
  <si>
    <t>ATEN INTL</t>
  </si>
  <si>
    <t>ATEN NANO</t>
  </si>
  <si>
    <t>ATEN NORTH AMERICAN NUCLEAR OPERATIONS</t>
  </si>
  <si>
    <t>AEROSPACE &amp; TECHNOLOGY US</t>
  </si>
  <si>
    <t>Region / Sub-region / Market</t>
  </si>
  <si>
    <t>BIAF Americas</t>
  </si>
  <si>
    <t>BIAF Europe</t>
  </si>
  <si>
    <t>BIAF Asia, Pacific &amp; Middle East</t>
  </si>
  <si>
    <r>
      <t xml:space="preserve">IPCS Lead Office </t>
    </r>
    <r>
      <rPr>
        <sz val="8"/>
        <color theme="9" tint="-0.499984740745262"/>
        <rFont val="Arial"/>
        <family val="2"/>
      </rPr>
      <t>(Manually select if not populated)</t>
    </r>
  </si>
  <si>
    <t>Add both plans together</t>
  </si>
  <si>
    <t>PRJ-A&amp;T US</t>
  </si>
  <si>
    <t>PRJ-ATEN NANO</t>
  </si>
  <si>
    <t>PRJ-ATEN INTL</t>
  </si>
  <si>
    <t>PRJ-B&amp;I APAC/ME</t>
  </si>
  <si>
    <t>PRJ-B&amp;I AM</t>
  </si>
  <si>
    <t>Program Group 1</t>
  </si>
  <si>
    <t>Program Group 2</t>
  </si>
  <si>
    <t>Exchange Rate Table ID</t>
  </si>
  <si>
    <t>BIA PMCM NORTHEAST</t>
  </si>
  <si>
    <t>BIA- NEW YORK</t>
  </si>
  <si>
    <t>BIA-CHICAGO</t>
  </si>
  <si>
    <t>BIA-NEW ENGLAND</t>
  </si>
  <si>
    <t>BIA-ST. LOUIS</t>
  </si>
  <si>
    <t>Manually enter PU below if not included in the above drop-down</t>
  </si>
  <si>
    <r>
      <rPr>
        <sz val="10"/>
        <color theme="1"/>
        <rFont val="Arial"/>
        <family val="2"/>
      </rPr>
      <t xml:space="preserve">1st: </t>
    </r>
    <r>
      <rPr>
        <b/>
        <sz val="10"/>
        <color theme="1"/>
        <rFont val="Arial"/>
        <family val="2"/>
      </rPr>
      <t>Business Unit</t>
    </r>
  </si>
  <si>
    <r>
      <rPr>
        <sz val="10"/>
        <color theme="1"/>
        <rFont val="Arial"/>
        <family val="2"/>
      </rPr>
      <t xml:space="preserve">2nd: </t>
    </r>
    <r>
      <rPr>
        <b/>
        <sz val="10"/>
        <color theme="1"/>
        <rFont val="Arial"/>
        <family val="2"/>
      </rPr>
      <t xml:space="preserve"> Region/ Sub-region / Market</t>
    </r>
  </si>
  <si>
    <r>
      <rPr>
        <sz val="10"/>
        <color theme="1"/>
        <rFont val="Arial"/>
        <family val="2"/>
      </rPr>
      <t xml:space="preserve">3rd: </t>
    </r>
    <r>
      <rPr>
        <b/>
        <sz val="10"/>
        <color theme="1"/>
        <rFont val="Arial"/>
        <family val="2"/>
      </rPr>
      <t xml:space="preserve"> Performance Unit</t>
    </r>
  </si>
  <si>
    <t>Home
Country/LOB</t>
  </si>
  <si>
    <t>Picklist comes from section 7 on the Setup tab.</t>
  </si>
  <si>
    <t>Default if left blank</t>
  </si>
  <si>
    <t>Lookup Lead Office Name</t>
  </si>
  <si>
    <t>Final Lead Office Code for IPCS</t>
  </si>
  <si>
    <t>Varied multipliers can be applied to different employment types (eg a lower multiplier can be used for Jobshoppers, who have a disproportionally higher raw rate).
Fields that are left blank will default to the staff multiplier.</t>
  </si>
  <si>
    <r>
      <rPr>
        <b/>
        <sz val="8"/>
        <color theme="1"/>
        <rFont val="Arial"/>
        <family val="2"/>
      </rPr>
      <t>Changes:</t>
    </r>
    <r>
      <rPr>
        <sz val="8"/>
        <color theme="1"/>
        <rFont val="Arial"/>
        <family val="2"/>
      </rPr>
      <t xml:space="preserve">  ETC Forecast IPCS Import table now sorted alphabetically (to match IPCS import screen)
</t>
    </r>
    <r>
      <rPr>
        <b/>
        <sz val="8"/>
        <color theme="1"/>
        <rFont val="Arial"/>
        <family val="2"/>
      </rPr>
      <t xml:space="preserve">Fixes: </t>
    </r>
    <r>
      <rPr>
        <sz val="8"/>
        <color theme="1"/>
        <rFont val="Arial"/>
        <family val="2"/>
      </rPr>
      <t xml:space="preserve"> Raw Cost adjustment factor calculation improved  |  PC Costs on Compass tab fixed  |  Allowances functionality improved  |  B&amp;I BU Names updated  |  ANZ burden rates reverted to FY17 rates</t>
    </r>
  </si>
  <si>
    <t>Use global taximeters.</t>
  </si>
  <si>
    <t>How to set up GFS</t>
  </si>
  <si>
    <t>Effective
Multiplier</t>
  </si>
  <si>
    <t>Taximeters</t>
  </si>
  <si>
    <t>Billing
Rate</t>
  </si>
  <si>
    <t>Non-Linear pricing method</t>
  </si>
  <si>
    <t>Effective Multiplier</t>
  </si>
  <si>
    <t>GFS Setup Method</t>
  </si>
  <si>
    <t>Exceptions exist</t>
  </si>
  <si>
    <t>Straight Taximeter</t>
  </si>
  <si>
    <t>Exception to Taximeter</t>
  </si>
  <si>
    <r>
      <t>Y1 Sell Rate</t>
    </r>
    <r>
      <rPr>
        <sz val="10"/>
        <color theme="1"/>
        <rFont val="Arial"/>
        <family val="2"/>
      </rPr>
      <t xml:space="preserve"> (Unbanded)</t>
    </r>
  </si>
  <si>
    <r>
      <rPr>
        <sz val="8"/>
        <color theme="1"/>
        <rFont val="Arial"/>
        <family val="2"/>
      </rPr>
      <t>(Optional)</t>
    </r>
    <r>
      <rPr>
        <b/>
        <sz val="11"/>
        <color theme="1"/>
        <rFont val="Arial"/>
        <family val="2"/>
      </rPr>
      <t xml:space="preserve">
Non-Host </t>
    </r>
    <r>
      <rPr>
        <b/>
        <sz val="10"/>
        <color theme="1"/>
        <rFont val="Arial"/>
        <family val="2"/>
      </rPr>
      <t xml:space="preserve">PU  </t>
    </r>
    <r>
      <rPr>
        <sz val="8"/>
        <color theme="1"/>
        <rFont val="Arial"/>
        <family val="2"/>
      </rPr>
      <t>(Assumes Host if left blank)</t>
    </r>
  </si>
  <si>
    <t>Total Project</t>
  </si>
  <si>
    <r>
      <t xml:space="preserve">Combine any of above into Groups </t>
    </r>
    <r>
      <rPr>
        <sz val="8"/>
        <color theme="1"/>
        <rFont val="Arial"/>
        <family val="2"/>
      </rPr>
      <t>(Check boxes on left)</t>
    </r>
  </si>
  <si>
    <t>Bill
Hours</t>
  </si>
  <si>
    <t>Use Special Billing Rates
(For Lump Sum, consider a 'safety net' average taximeter in addition)</t>
  </si>
  <si>
    <t>Linear Pricing Methods
These are methods where the sell rate is a constant multiplier on the raw rate.  Taximeter based revenue accrual works well in these cases because the Effective Multiplier is the same for everyone.</t>
  </si>
  <si>
    <t>Non-Linear Pricing Methods
The sell rate is not a constant multiplier on the raw rate.  Special Billing Rates are preferred because taximeter based revenue accrual will create a mis-match between the sell rate and the accrual rate.</t>
  </si>
  <si>
    <t>Over-ride messages</t>
  </si>
  <si>
    <t>2  If manually over-riding everyone, use Pricing Method 7 instead</t>
  </si>
  <si>
    <t>4  This table is for Year 1 Sell Rates only.  There is a separate table for future rates.</t>
  </si>
  <si>
    <t>3  You must specify a sell rate over-ride for GID India (to include the desired margin)</t>
  </si>
  <si>
    <t>Use global taximeters plus Special Billing Rate over-rides for the exceptions (shown in blue)</t>
  </si>
  <si>
    <t>Exchange Rate Tables</t>
  </si>
  <si>
    <t>IPCS Name</t>
  </si>
  <si>
    <t>Root One Line description</t>
  </si>
  <si>
    <t>Lead Office List</t>
  </si>
  <si>
    <t>Filter Change Mode</t>
  </si>
  <si>
    <t>Filter: Forecast Mode</t>
  </si>
  <si>
    <t>Filter: Pricing Mode</t>
  </si>
  <si>
    <t>Staff (incl OT &amp; Allow)</t>
  </si>
  <si>
    <r>
      <rPr>
        <sz val="8"/>
        <color theme="1"/>
        <rFont val="Arial"/>
        <family val="2"/>
      </rPr>
      <t>(Host PU)</t>
    </r>
    <r>
      <rPr>
        <sz val="10"/>
        <color theme="1"/>
        <rFont val="Arial"/>
        <family val="2"/>
      </rPr>
      <t xml:space="preserve"> Staff</t>
    </r>
  </si>
  <si>
    <r>
      <rPr>
        <sz val="8"/>
        <color theme="1"/>
        <rFont val="Arial"/>
        <family val="2"/>
      </rPr>
      <t>(Other PUs)</t>
    </r>
    <r>
      <rPr>
        <sz val="10"/>
        <color theme="1"/>
        <rFont val="Arial"/>
        <family val="2"/>
      </rPr>
      <t xml:space="preserve"> Staff</t>
    </r>
  </si>
  <si>
    <r>
      <rPr>
        <sz val="8"/>
        <color theme="1"/>
        <rFont val="Arial"/>
        <family val="2"/>
      </rPr>
      <t xml:space="preserve">(IWA/Workshare) </t>
    </r>
    <r>
      <rPr>
        <sz val="10"/>
        <color theme="1"/>
        <rFont val="Arial"/>
        <family val="2"/>
      </rPr>
      <t>GID</t>
    </r>
  </si>
  <si>
    <t>Note to Project Accountants</t>
  </si>
  <si>
    <r>
      <t>GID</t>
    </r>
    <r>
      <rPr>
        <sz val="8"/>
        <color theme="1"/>
        <rFont val="Arial"/>
        <family val="2"/>
      </rPr>
      <t xml:space="preserve"> </t>
    </r>
  </si>
  <si>
    <r>
      <t>Subconsultants</t>
    </r>
    <r>
      <rPr>
        <sz val="8"/>
        <color theme="1"/>
        <rFont val="Arial"/>
        <family val="2"/>
      </rPr>
      <t xml:space="preserve"> (priced by the hour and/or as an expense)</t>
    </r>
  </si>
  <si>
    <r>
      <t xml:space="preserve">Other PUs  </t>
    </r>
    <r>
      <rPr>
        <sz val="8"/>
        <color theme="1"/>
        <rFont val="Arial"/>
        <family val="2"/>
      </rPr>
      <t>(listed)</t>
    </r>
  </si>
  <si>
    <r>
      <t xml:space="preserve">Other PUs  </t>
    </r>
    <r>
      <rPr>
        <sz val="8"/>
        <color theme="1"/>
        <rFont val="Arial"/>
        <family val="2"/>
      </rPr>
      <t>(manual entry)</t>
    </r>
  </si>
  <si>
    <t>Hours %</t>
  </si>
  <si>
    <r>
      <t xml:space="preserve">These metrics are for analysis purposes.  Do not use this information for setting up GFS.  Instead, refer to the </t>
    </r>
    <r>
      <rPr>
        <b/>
        <sz val="10"/>
        <color theme="9" tint="-0.499984740745262"/>
        <rFont val="Arial"/>
        <family val="2"/>
      </rPr>
      <t>GFS Rates Setup Data</t>
    </r>
    <r>
      <rPr>
        <sz val="10"/>
        <color theme="9" tint="-0.499984740745262"/>
        <rFont val="Arial"/>
        <family val="2"/>
      </rPr>
      <t xml:space="preserve"> table (on the right side of the Staff List tab) which is specifically intended for use by PAs.</t>
    </r>
  </si>
  <si>
    <t>Exclude</t>
  </si>
  <si>
    <t>Filter: Not Exclude</t>
  </si>
  <si>
    <t>Average Multiplier</t>
  </si>
  <si>
    <t>Non-Labor
PC Charges</t>
  </si>
  <si>
    <t>TRAINING</t>
  </si>
  <si>
    <t>DEMO</t>
  </si>
  <si>
    <t>JOINT VENTURE</t>
  </si>
  <si>
    <t>Bill Hours</t>
  </si>
  <si>
    <t>Foreign Country Settings</t>
  </si>
  <si>
    <t>Lookup PU Country</t>
  </si>
  <si>
    <t>Over-write PU Country</t>
  </si>
  <si>
    <t>Note:</t>
  </si>
  <si>
    <t>Project Curr</t>
  </si>
  <si>
    <t>If the X-rate is shaded yellow, this means that it is a default approx rate only. It should be over-typed with an accurate up to date exchange rate if possible.</t>
  </si>
  <si>
    <r>
      <t xml:space="preserve">One-line description </t>
    </r>
    <r>
      <rPr>
        <sz val="8"/>
        <color theme="9" tint="-0.499984740745262"/>
        <rFont val="Arial"/>
        <family val="2"/>
      </rPr>
      <t>(passes into IPCS)</t>
    </r>
  </si>
  <si>
    <r>
      <t xml:space="preserve">Detailed description </t>
    </r>
    <r>
      <rPr>
        <sz val="8"/>
        <color theme="9" tint="-0.499984740745262"/>
        <rFont val="Arial"/>
        <family val="2"/>
      </rPr>
      <t>(optional)</t>
    </r>
  </si>
  <si>
    <t>Fees, etc</t>
  </si>
  <si>
    <t>Select LoB/BU, Region/Market and finally PU (in that order)</t>
  </si>
  <si>
    <t>If your PU does not appear in the picklist (contained on the "PU List" tab) then enter its name into the gray box. You have to then manually select the remaining green boxes.</t>
  </si>
  <si>
    <t>The Burden rates and other cost settings appropriate to the Country/BU are then auto-populated.  If incorrect, green boxes can be over-typed.</t>
  </si>
  <si>
    <r>
      <t xml:space="preserve">Also used to select the </t>
    </r>
    <r>
      <rPr>
        <b/>
        <i/>
        <sz val="10"/>
        <color theme="1"/>
        <rFont val="Arial"/>
        <family val="2"/>
      </rPr>
      <t>mode</t>
    </r>
    <r>
      <rPr>
        <i/>
        <sz val="10"/>
        <color theme="1"/>
        <rFont val="Arial"/>
        <family val="2"/>
      </rPr>
      <t xml:space="preserve"> for the Pricing Tool (Pricing, Manual ETC or Change Mode)</t>
    </r>
  </si>
  <si>
    <t>Foreign Resources table</t>
  </si>
  <si>
    <t>Contingency %</t>
  </si>
  <si>
    <t>Linear multiplier method in use</t>
  </si>
  <si>
    <t>Linear multiplier with over-rides</t>
  </si>
  <si>
    <t>Alternatively, anyone's final sell rate can just be manually over-rided in the dedicated column in the Sell Rates table on the Staff List tab.</t>
  </si>
  <si>
    <t>Using the 3-stage dropdowns, create a list of other PUs contributing to the project.  Manual entry is possible for PUs that are not on the list (including GID, etc)</t>
  </si>
  <si>
    <t>Allocating these PU/Orgs against individual resource names is then done on the Staff List tab.  Use the Non-Host PU Dropdown on the Staff List table.  (Blank assumes Host PU)</t>
  </si>
  <si>
    <t>Breakdown by PU Table</t>
  </si>
  <si>
    <t>At the beginning of a new Financial Year it is common for there to be changes to country-wide burden rates, PC charges, and published FX rates.  This data can be updated on the Country Data tab (which is normally a hidden tab).</t>
  </si>
  <si>
    <t>Quite often a secondary multiplier is used for Jobshoppers (but it is not so common for the other employment types)</t>
  </si>
  <si>
    <t>Similar concept to Method 9 (above), except that an overall Scaling Factor (typically referred to as a discount factor) is also applied to adjust all of the rates, either up or down.</t>
  </si>
  <si>
    <t>Similar concept to Method 9 (above), except that the sell rates (and the grade definitions) are created especially for a specific project.</t>
  </si>
  <si>
    <t>Instead, first use one of the methods 1-6.  Following this you can then band the rates (into whatever bands you want) using the "Project-specific Banding" feature in the "Individual Sell Rate Adjustments Table"</t>
  </si>
  <si>
    <r>
      <rPr>
        <b/>
        <sz val="10"/>
        <color theme="1"/>
        <rFont val="Arial"/>
        <family val="2"/>
      </rPr>
      <t>Project Team:</t>
    </r>
    <r>
      <rPr>
        <sz val="10"/>
        <color theme="1"/>
        <rFont val="Arial"/>
        <family val="2"/>
      </rPr>
      <t xml:space="preserve">  (Optional)  This is a user-definable sub-team within the overall Project Org Chart.  It is used in conjunction with the "3c Plan Analysis" tab (which you may need to unhide).</t>
    </r>
  </si>
  <si>
    <r>
      <rPr>
        <b/>
        <sz val="10"/>
        <color rgb="FFC00000"/>
        <rFont val="Arial"/>
        <family val="2"/>
      </rPr>
      <t>Non-Host PU</t>
    </r>
    <r>
      <rPr>
        <b/>
        <sz val="10"/>
        <color theme="1"/>
        <rFont val="Arial"/>
        <family val="2"/>
      </rPr>
      <t xml:space="preserve"> </t>
    </r>
    <r>
      <rPr>
        <sz val="10"/>
        <color theme="1"/>
        <rFont val="Arial"/>
        <family val="2"/>
      </rPr>
      <t xml:space="preserve">(Required input, but can be left blank for Host PU):  Assign the home PU/Org against every person who is not from the Host PU (if left blank assumes the Host PU). </t>
    </r>
  </si>
  <si>
    <t>(i)  Primarily used to allocate non-host PUs against staff for the Breakdown by PU table on the Setup tab</t>
  </si>
  <si>
    <t>(ii)  If a foreign PU is selected, then the Foreign Settings table (on the left) auto-populates.</t>
  </si>
  <si>
    <r>
      <rPr>
        <b/>
        <sz val="10"/>
        <color theme="1"/>
        <rFont val="Arial"/>
        <family val="2"/>
      </rPr>
      <t>Home Country:</t>
    </r>
    <r>
      <rPr>
        <sz val="10"/>
        <color theme="1"/>
        <rFont val="Arial"/>
        <family val="2"/>
      </rPr>
      <t xml:space="preserve"> Only displayed if the resource's native currency is different from the project currency.</t>
    </r>
  </si>
  <si>
    <r>
      <rPr>
        <b/>
        <sz val="10"/>
        <color theme="1"/>
        <rFont val="Arial"/>
        <family val="2"/>
      </rPr>
      <t>Currency:</t>
    </r>
    <r>
      <rPr>
        <sz val="10"/>
        <color theme="1"/>
        <rFont val="Arial"/>
        <family val="2"/>
      </rPr>
      <t xml:space="preserve">  The currency that the raw rate is expressed in.  This currency can be modified in the Foreign Settings table.</t>
    </r>
  </si>
  <si>
    <r>
      <rPr>
        <b/>
        <sz val="10"/>
        <color rgb="FFC00000"/>
        <rFont val="Arial"/>
        <family val="2"/>
      </rPr>
      <t xml:space="preserve">Staff Type </t>
    </r>
    <r>
      <rPr>
        <sz val="10"/>
        <color rgb="FFC00000"/>
        <rFont val="Arial"/>
        <family val="2"/>
      </rPr>
      <t>(Required Field)</t>
    </r>
    <r>
      <rPr>
        <sz val="10"/>
        <color theme="1"/>
        <rFont val="Arial"/>
        <family val="2"/>
      </rPr>
      <t>:  Assumes regular staff.  For anything else, you need to select the staff type.</t>
    </r>
  </si>
  <si>
    <r>
      <rPr>
        <b/>
        <sz val="10"/>
        <color theme="1"/>
        <rFont val="Arial"/>
        <family val="2"/>
      </rPr>
      <t>Blank</t>
    </r>
    <r>
      <rPr>
        <sz val="10"/>
        <color theme="1"/>
        <rFont val="Arial"/>
        <family val="2"/>
      </rPr>
      <t xml:space="preserve"> = Staff (normal)</t>
    </r>
  </si>
  <si>
    <r>
      <rPr>
        <b/>
        <sz val="10"/>
        <color theme="1"/>
        <rFont val="Arial"/>
        <family val="2"/>
      </rPr>
      <t>LBO:</t>
    </r>
    <r>
      <rPr>
        <sz val="10"/>
        <color theme="1"/>
        <rFont val="Arial"/>
        <family val="2"/>
      </rPr>
      <t xml:space="preserve">  'Labor Benefits Only' or 'Casual' receive fewer benefits than regular staff and have correspondingly lower overheads (burden).</t>
    </r>
  </si>
  <si>
    <r>
      <rPr>
        <b/>
        <sz val="10"/>
        <color theme="1"/>
        <rFont val="Arial"/>
        <family val="2"/>
      </rPr>
      <t>Staff with Allowance:</t>
    </r>
    <r>
      <rPr>
        <sz val="10"/>
        <color theme="1"/>
        <rFont val="Arial"/>
        <family val="2"/>
      </rPr>
      <t xml:space="preserve">  Used for site allowances, etc.  This setting activates the Site Allowances section of the Individual Settings table (on the right).  From here you can specify the allowance details.</t>
    </r>
  </si>
  <si>
    <r>
      <rPr>
        <b/>
        <sz val="10"/>
        <color theme="1"/>
        <rFont val="Arial"/>
        <family val="2"/>
      </rPr>
      <t>Staff Straight Overtime:</t>
    </r>
    <r>
      <rPr>
        <sz val="10"/>
        <color theme="1"/>
        <rFont val="Arial"/>
        <family val="2"/>
      </rPr>
      <t xml:space="preserve">  Used in conjunction with Staff (Normal), but just for the overtime component.  Straight Overtime has the same raw cost (no premium is paid), but it carries a lower burden than normal time, so it is actually cheaper than normal working hours.</t>
    </r>
  </si>
  <si>
    <r>
      <rPr>
        <b/>
        <sz val="10"/>
        <color theme="1"/>
        <rFont val="Arial"/>
        <family val="2"/>
      </rPr>
      <t>Jobshoppers:</t>
    </r>
    <r>
      <rPr>
        <sz val="10"/>
        <color theme="1"/>
        <rFont val="Arial"/>
        <family val="2"/>
      </rPr>
      <t xml:space="preserve">  Contract staff who are paid by an agency.  Jacobs pays the agency and their raw rates are relatively higher than regular staff because they already include agency fees and other statutory items.  It is common to use lower revenue multipliers for Jobshoppers.</t>
    </r>
  </si>
  <si>
    <r>
      <rPr>
        <b/>
        <sz val="10"/>
        <color theme="1"/>
        <rFont val="Arial"/>
        <family val="2"/>
      </rPr>
      <t>Staff Premium Overtime:</t>
    </r>
    <r>
      <rPr>
        <sz val="10"/>
        <color theme="1"/>
        <rFont val="Arial"/>
        <family val="2"/>
      </rPr>
      <t xml:space="preserve">  Again, used in conjunction with Staff (Normal), but just for the overtime component.  Premium Overtime has a higher raw cost (typically 'time and a half'), but it also carries a lower burden than normal time.  The PPOT raw multiplier defaults to 1.5, but this can be over-rided in the Individual Settings table.</t>
    </r>
  </si>
  <si>
    <r>
      <rPr>
        <b/>
        <sz val="10"/>
        <color theme="1"/>
        <rFont val="Arial"/>
        <family val="2"/>
      </rPr>
      <t>GID/IWA (India):</t>
    </r>
    <r>
      <rPr>
        <sz val="10"/>
        <color theme="1"/>
        <rFont val="Arial"/>
        <family val="2"/>
      </rPr>
      <t xml:space="preserve">  Indian resources on an International Workshare Agreement.  If selected, the standard flat cost rate for Indian resources will auto-populate for the project currency.  Zero burden is applied to IWA staff because their cost to the project already includes everything. </t>
    </r>
  </si>
  <si>
    <r>
      <rPr>
        <b/>
        <sz val="10"/>
        <color theme="1"/>
        <rFont val="Arial"/>
        <family val="2"/>
      </rPr>
      <t>GID/IWA (Other):</t>
    </r>
    <r>
      <rPr>
        <sz val="10"/>
        <color theme="1"/>
        <rFont val="Arial"/>
        <family val="2"/>
      </rPr>
      <t xml:space="preserve">  Other foreign resources on an International Workshare Agreement.  Again, zero burden is applied but their cost rate does not auto-populate. </t>
    </r>
  </si>
  <si>
    <r>
      <rPr>
        <b/>
        <sz val="10"/>
        <color theme="1"/>
        <rFont val="Arial"/>
        <family val="2"/>
      </rPr>
      <t>Non-Jacobs:</t>
    </r>
    <r>
      <rPr>
        <sz val="10"/>
        <color theme="1"/>
        <rFont val="Arial"/>
        <family val="2"/>
      </rPr>
      <t xml:space="preserve">  Used when pricing 3rd parties by the hour.  Zero burden is applied.  In the delivery phase, 3rd parties do not fill in timesheets and hit our books as an expense.  Ensure that a cost type 'C' WBS code is allocated against them in the budget in IPCS (which converts their cost into non-labor).</t>
    </r>
  </si>
  <si>
    <r>
      <rPr>
        <b/>
        <sz val="8"/>
        <color theme="1"/>
        <rFont val="Arial"/>
        <family val="2"/>
      </rPr>
      <t>Changes:</t>
    </r>
    <r>
      <rPr>
        <sz val="8"/>
        <color theme="1"/>
        <rFont val="Arial"/>
        <family val="2"/>
      </rPr>
      <t xml:space="preserve">  New BU structure implemented  |  Inbuilt PU List updated  |  Now able to manually enter PUs that aren't on the PU List  |  New IPCS IDs adopted  |  Weekly calendar changed back to Friday week ending  |  'Revenue Only' designation removed and replaced by allocating WBS codes 'V' and 'W' on the plan tabs |  If non-Jacobs are priced by the hour, they will be converted to non-labor in the budget if Level 2 code "C" is selected  |  GID hours no longer excluded from the sign-off metric  |  ANZ burden rates reverted to FY18 rates | GFS Rates Setup Data form revised (Staff List tab)  |  Breakdown by PU Table revised  |  User Guide updated
</t>
    </r>
    <r>
      <rPr>
        <b/>
        <sz val="8"/>
        <color theme="1"/>
        <rFont val="Arial"/>
        <family val="2"/>
      </rPr>
      <t xml:space="preserve">Fixes: </t>
    </r>
    <r>
      <rPr>
        <sz val="8"/>
        <color theme="1"/>
        <rFont val="Arial"/>
        <family val="2"/>
      </rPr>
      <t xml:space="preserve"> PC currency conversion fixed when pricing a job in a currency other than the host PU native currency  </t>
    </r>
  </si>
  <si>
    <t xml:space="preserve">Optional:  Used for 'fine-tuning' the Sell Rate settings for any particular individual. </t>
  </si>
  <si>
    <r>
      <rPr>
        <b/>
        <sz val="10"/>
        <color theme="1"/>
        <rFont val="Arial"/>
        <family val="2"/>
      </rPr>
      <t xml:space="preserve">Build-up Pricing Methods </t>
    </r>
    <r>
      <rPr>
        <sz val="10"/>
        <color theme="1"/>
        <rFont val="Arial"/>
        <family val="2"/>
      </rPr>
      <t xml:space="preserve">(Methods 1-6):  Modify any of the pricing factors in the green boxes by over-typing them (Note: these pricing factors are initially specified on the Setup tab) </t>
    </r>
  </si>
  <si>
    <r>
      <rPr>
        <b/>
        <sz val="10"/>
        <color theme="1"/>
        <rFont val="Arial"/>
        <family val="2"/>
      </rPr>
      <t xml:space="preserve">Direct Entry Methods </t>
    </r>
    <r>
      <rPr>
        <sz val="10"/>
        <color theme="1"/>
        <rFont val="Arial"/>
        <family val="2"/>
      </rPr>
      <t>(Methods 7 &amp; 8): Enter the applicable Sell Rate for each person into the yellow boxes.</t>
    </r>
  </si>
  <si>
    <r>
      <rPr>
        <b/>
        <sz val="10"/>
        <color theme="1"/>
        <rFont val="Arial"/>
        <family val="2"/>
      </rPr>
      <t xml:space="preserve">Category Rates Methods </t>
    </r>
    <r>
      <rPr>
        <sz val="10"/>
        <color theme="1"/>
        <rFont val="Arial"/>
        <family val="2"/>
      </rPr>
      <t>(Pre-determined Rate Sets) (Methods 9 &amp; 10):  Enter the lookup grade/category for each person in the yellow boxes.  Before using these methods you must unhide and update the "Category Rates Data" tab, which is the source data for these lookups.</t>
    </r>
  </si>
  <si>
    <t>Used to model annual pay-rises (costs) and contract bill rate increases (if allowed).  Cost and revenue rates can be escalated separately (including separate anniversary dates) if required.</t>
  </si>
  <si>
    <r>
      <rPr>
        <b/>
        <sz val="10"/>
        <color theme="1"/>
        <rFont val="Arial"/>
        <family val="2"/>
      </rPr>
      <t xml:space="preserve">Site Allowances and Overtime  </t>
    </r>
    <r>
      <rPr>
        <sz val="10"/>
        <color theme="1"/>
        <rFont val="Arial"/>
        <family val="2"/>
      </rPr>
      <t>This section of the table is activated when the appropriate Staff Type is selected.</t>
    </r>
  </si>
  <si>
    <t>2.3.5</t>
  </si>
  <si>
    <t>2.5.4</t>
  </si>
  <si>
    <t>2.5.5</t>
  </si>
  <si>
    <t>2.5.6</t>
  </si>
  <si>
    <t>2.5.7</t>
  </si>
  <si>
    <t>2.7</t>
  </si>
  <si>
    <t>2.7.5</t>
  </si>
  <si>
    <t>2.7.6</t>
  </si>
  <si>
    <t>2.7.7</t>
  </si>
  <si>
    <t>2.7.8</t>
  </si>
  <si>
    <t>Lead Office Name not defined</t>
  </si>
  <si>
    <t>It is helpful if this scope breakdown structure is generally aligned with the Control Account Structure (known as the WBS code), but it doesn't have to align exactly.</t>
  </si>
  <si>
    <t>The scope of work on the Plan templates can be broken down by two levels of headings and sub-headings.  This effectively creates a scope breakdown structure on the Plan Templates.</t>
  </si>
  <si>
    <r>
      <t xml:space="preserve">Select the Calendar Start Date.  For a weekly calendar this day must now be a </t>
    </r>
    <r>
      <rPr>
        <b/>
        <sz val="10"/>
        <color rgb="FFC00000"/>
        <rFont val="Arial"/>
        <family val="2"/>
      </rPr>
      <t>FRIDAY (last day of the week).</t>
    </r>
    <r>
      <rPr>
        <sz val="10"/>
        <color rgb="FFC00000"/>
        <rFont val="Arial"/>
        <family val="2"/>
      </rPr>
      <t xml:space="preserve">  For a monthly calendar, choose somewhere in the </t>
    </r>
    <r>
      <rPr>
        <b/>
        <sz val="10"/>
        <color rgb="FFC00000"/>
        <rFont val="Arial"/>
        <family val="2"/>
      </rPr>
      <t>middle of the month</t>
    </r>
    <r>
      <rPr>
        <sz val="10"/>
        <color rgb="FFC00000"/>
        <rFont val="Arial"/>
        <family val="2"/>
      </rPr>
      <t>.</t>
    </r>
  </si>
  <si>
    <t>"Exclude" column</t>
  </si>
  <si>
    <t>Used for excluding or "optioning out" a particular line item.  This still allows you to see the calculated amount, but excludes it from the bid price.</t>
  </si>
  <si>
    <t>"Phase or Section" column</t>
  </si>
  <si>
    <t>First enter the Total Cost in the 'Cost' column</t>
  </si>
  <si>
    <t>Then timephase this cost against weeks/months on the calendar.  Adding "1"s on the calendar will uniformly distribute the cost over the weeks/months selected.</t>
  </si>
  <si>
    <r>
      <rPr>
        <b/>
        <sz val="10"/>
        <color theme="1"/>
        <rFont val="Arial"/>
        <family val="2"/>
      </rPr>
      <t>"% Mark-up</t>
    </r>
    <r>
      <rPr>
        <sz val="10"/>
        <color theme="1"/>
        <rFont val="Arial"/>
        <family val="2"/>
      </rPr>
      <t xml:space="preserve">:  If a pricing mark-up applies then enter the percentage. </t>
    </r>
  </si>
  <si>
    <t>3.11.5</t>
  </si>
  <si>
    <r>
      <rPr>
        <b/>
        <sz val="10"/>
        <color theme="1"/>
        <rFont val="Arial"/>
        <family val="2"/>
      </rPr>
      <t>Markup:</t>
    </r>
    <r>
      <rPr>
        <sz val="10"/>
        <color theme="1"/>
        <rFont val="Arial"/>
        <family val="2"/>
      </rPr>
      <t xml:space="preserve"> Entering a Percentage in the "Markup %" column will apply that markup to the revenue calculation</t>
    </r>
  </si>
  <si>
    <r>
      <rPr>
        <b/>
        <sz val="10"/>
        <color theme="1"/>
        <rFont val="Arial"/>
        <family val="2"/>
      </rPr>
      <t>Non-Bill:</t>
    </r>
    <r>
      <rPr>
        <sz val="10"/>
        <color theme="1"/>
        <rFont val="Arial"/>
        <family val="2"/>
      </rPr>
      <t xml:space="preserve">  A whole line item (either Labor or Non-Labor) can be made non-billable by selecting "NB" in column G </t>
    </r>
  </si>
  <si>
    <t>3.11.6</t>
  </si>
  <si>
    <t>Ensure that the Sign-off is 'reading' from the correct Plan Template on the Setup tab.</t>
  </si>
  <si>
    <r>
      <t xml:space="preserve">Price  </t>
    </r>
    <r>
      <rPr>
        <sz val="10"/>
        <color theme="1"/>
        <rFont val="Arial"/>
        <family val="2"/>
      </rPr>
      <t>(For discussion on how this is calculated, see below)</t>
    </r>
  </si>
  <si>
    <r>
      <t xml:space="preserve">Gross Margin  </t>
    </r>
    <r>
      <rPr>
        <sz val="10"/>
        <color theme="1"/>
        <rFont val="Arial"/>
        <family val="2"/>
      </rPr>
      <t>(For discussion on how this is calculated, see below)</t>
    </r>
  </si>
  <si>
    <r>
      <rPr>
        <b/>
        <sz val="10"/>
        <color theme="1"/>
        <rFont val="Arial"/>
        <family val="2"/>
      </rPr>
      <t>Remove a line item of scope</t>
    </r>
    <r>
      <rPr>
        <sz val="10"/>
        <color theme="1"/>
        <rFont val="Arial"/>
        <family val="2"/>
      </rPr>
      <t>:  Use the "Exclude" dropdown in column F on the Project Plan templates</t>
    </r>
  </si>
  <si>
    <t>Increase the proportion of India/Workshare hours:  In the Staff List (Staff List tab), select "GID/IWA (India)" as the Staff Type and see the effect this has.</t>
  </si>
  <si>
    <t>The "Hours" in the GM/Hr metric do not include 'pass-through' resources (eg non-Jacobs personnel), because these would otherwise dilute the metric.</t>
  </si>
  <si>
    <t>Sign-off GM is reduced if a Management Reserve is specified.</t>
  </si>
  <si>
    <t>Includes budgeted amounts of Other Revenue Gains/Losses (if specified).  For this reason, ensure that any Target Bonus has been conservatively estimated.</t>
  </si>
  <si>
    <t>For Fixed Price projects, unspent Contingency will increase the Potential GM, by creating a write-up.  (However, for reimbursable projects unspent Contingency does not alter the GM)</t>
  </si>
  <si>
    <r>
      <t xml:space="preserve">Other Revenue Gains/Losses </t>
    </r>
    <r>
      <rPr>
        <sz val="10"/>
        <color theme="1"/>
        <rFont val="Arial"/>
        <family val="2"/>
      </rPr>
      <t>(Incentives, FX Gains/Losses, Rebates, etc)</t>
    </r>
  </si>
  <si>
    <r>
      <t>Enter the Path ID level for your WBS Codes (Control Accounts)</t>
    </r>
    <r>
      <rPr>
        <sz val="10"/>
        <color rgb="FFC00000"/>
        <rFont val="Arial"/>
        <family val="2"/>
      </rPr>
      <t xml:space="preserve"> Required input</t>
    </r>
  </si>
  <si>
    <t>On the Control Accounts tab, if the number of characters for the GFS WBS Code exceeds 25, then the font turns red as a warning.</t>
  </si>
  <si>
    <r>
      <t xml:space="preserve">Contingency:  </t>
    </r>
    <r>
      <rPr>
        <sz val="10"/>
        <color theme="1"/>
        <rFont val="Arial"/>
        <family val="2"/>
      </rPr>
      <t xml:space="preserve">Labor and Non-Labor contingency budget items appear here. </t>
    </r>
  </si>
  <si>
    <r>
      <t xml:space="preserve">Fee:  </t>
    </r>
    <r>
      <rPr>
        <sz val="10"/>
        <color theme="1"/>
        <rFont val="Arial"/>
        <family val="2"/>
      </rPr>
      <t xml:space="preserve">This is only populated if Pricing Method 4 (Cost Plus with separate fee) has been used. </t>
    </r>
  </si>
  <si>
    <t>Use the "WBS Codes" column (column "J" on each of the Project Plan templates) to map a WBS code against EVERY line item on your Project Plan that contains an item of scope (not headings).</t>
  </si>
  <si>
    <t xml:space="preserve">Incorrect Labor or non-labor WBS codes show up as bright orange </t>
  </si>
  <si>
    <t>5.7.7</t>
  </si>
  <si>
    <t>Only the 'Blue' codes are entered into GFS (The top 3 green Contingency and Mgt Rsv codes only go into EcoSys, because no 'actuals' will ever be collected against these codes)</t>
  </si>
  <si>
    <t>If the WBS Code font turns red, then this is a warning that it exceeds 25 characters in length.</t>
  </si>
  <si>
    <t>Go to the "GFS Rates Setup Data" table on the right side of the Staff List tab.  Revenue multipliers are shown at the top of this table.</t>
  </si>
  <si>
    <t>Uploading the data into IPCS is carried out by a nominated IPCS Super-User.</t>
  </si>
  <si>
    <t>Before sending the Pricing Tool to the appropriate super-user mailbox, first ensure that it has been fully completed and correctly configured.  In particular, the Error Log on the Control Accounts tab must not show any 'red' setup errors</t>
  </si>
  <si>
    <r>
      <rPr>
        <b/>
        <sz val="10"/>
        <color theme="1"/>
        <rFont val="Arial"/>
        <family val="2"/>
      </rPr>
      <t>Excluded</t>
    </r>
    <r>
      <rPr>
        <sz val="10"/>
        <color theme="1"/>
        <rFont val="Arial"/>
        <family val="2"/>
      </rPr>
      <t xml:space="preserve"> items are filtered out of all calculations (in all modes).</t>
    </r>
  </si>
  <si>
    <t>PC x-rate</t>
  </si>
  <si>
    <t>PC Curr</t>
  </si>
  <si>
    <t>Version Control Log</t>
  </si>
  <si>
    <t>BIAF - AF &amp; Federal</t>
  </si>
  <si>
    <t>BIAF - GES</t>
  </si>
  <si>
    <t>Canada</t>
  </si>
  <si>
    <t>Federal US DoD</t>
  </si>
  <si>
    <t>Private Env Solutions</t>
  </si>
  <si>
    <t>National Project Delivery</t>
  </si>
  <si>
    <t>Federal US Gov</t>
  </si>
  <si>
    <t>Government Env Solutions</t>
  </si>
  <si>
    <t>Solutions &amp; Technology</t>
  </si>
  <si>
    <t>Federal Other</t>
  </si>
  <si>
    <t>Nuclear &amp; Major Projects</t>
  </si>
  <si>
    <t>BIE Highways</t>
  </si>
  <si>
    <t>North D/B</t>
  </si>
  <si>
    <t>North Mid Atlantic</t>
  </si>
  <si>
    <t>BIE Strategic Consulting</t>
  </si>
  <si>
    <t>BIE Digital Solutions</t>
  </si>
  <si>
    <t>BIE Utilities</t>
  </si>
  <si>
    <t>North O/M</t>
  </si>
  <si>
    <t>BIE Global Design Centre</t>
  </si>
  <si>
    <t>North PM/CM</t>
  </si>
  <si>
    <t>BIE M&amp;A</t>
  </si>
  <si>
    <t>South South Central</t>
  </si>
  <si>
    <t>South South East</t>
  </si>
  <si>
    <t>South PM/CM</t>
  </si>
  <si>
    <t>West PM/CM</t>
  </si>
  <si>
    <r>
      <t xml:space="preserve">BIAF </t>
    </r>
    <r>
      <rPr>
        <b/>
        <sz val="14"/>
        <color theme="0"/>
        <rFont val="Arial"/>
        <family val="2"/>
      </rPr>
      <t>(Buildings, Infrastructure and Advanced facilities)</t>
    </r>
  </si>
  <si>
    <t>North Am Nuclear Ops</t>
  </si>
  <si>
    <t>Aerospace &amp; Technology US</t>
  </si>
  <si>
    <t>Aerospace &amp; Technology M&amp;A</t>
  </si>
  <si>
    <t>Region/Sub-Region List</t>
  </si>
  <si>
    <t>Regions/Subregions don't have to exactly match Oracle.  They are only used within the Pricing Tool to facilitate the staged lookup of Performance Units</t>
  </si>
  <si>
    <t>PU List</t>
  </si>
  <si>
    <t>Lead Office Name</t>
  </si>
  <si>
    <t>[New]</t>
  </si>
  <si>
    <t>BIA DC/VA/MD</t>
  </si>
  <si>
    <t>BIA PA/DE</t>
  </si>
  <si>
    <t>BIA-OH/MI</t>
  </si>
  <si>
    <t>BIA-WI/MN/IA</t>
  </si>
  <si>
    <t>CANADA - OPERATIONS - CANADA - CONSULT</t>
  </si>
  <si>
    <t>CANADA - OPERATIONS - CANADA - O/M</t>
  </si>
  <si>
    <t>CANADA - OPERATIONS - PROGRAM MANAGEMENT</t>
  </si>
  <si>
    <t>ELECTRONICS ASIA PACIFIC</t>
  </si>
  <si>
    <t>ELECTRONICS EUROPE</t>
  </si>
  <si>
    <t>ELECTRONICS US</t>
  </si>
  <si>
    <t>GES - GOVERNMENT ENVIRONMENTAL SOLUTIONS</t>
  </si>
  <si>
    <t>GES - NUCLEAR AND MAJOR PROJECTS - OTHER</t>
  </si>
  <si>
    <t>GES - PRIVATE ENVIRONMENTAL SOLUTIONS -</t>
  </si>
  <si>
    <t>S MFG EUROPE</t>
  </si>
  <si>
    <t>S MFG US</t>
  </si>
  <si>
    <t>S MFG US OM</t>
  </si>
  <si>
    <t>PU Settings</t>
  </si>
  <si>
    <t>Region / Sub Region</t>
  </si>
  <si>
    <t>PU #</t>
  </si>
  <si>
    <r>
      <t xml:space="preserve">Ledger or Entity
</t>
    </r>
    <r>
      <rPr>
        <sz val="8"/>
        <color theme="1"/>
        <rFont val="Arial"/>
        <family val="2"/>
      </rPr>
      <t>(Determines Fringe)</t>
    </r>
  </si>
  <si>
    <t>Staff Fringe</t>
  </si>
  <si>
    <t>Computer Charges</t>
  </si>
  <si>
    <t>Cur</t>
  </si>
  <si>
    <t>Comments / Notes</t>
  </si>
  <si>
    <t>011525</t>
  </si>
  <si>
    <t>US - BIAF</t>
  </si>
  <si>
    <t>011547 - Om Services - Global - O/M</t>
  </si>
  <si>
    <t>011547</t>
  </si>
  <si>
    <t>020563 - Americas S&amp;T</t>
  </si>
  <si>
    <t>020563</t>
  </si>
  <si>
    <t>020220 - Bia Midatlantic M&amp;A</t>
  </si>
  <si>
    <t>020251 - Bia Dc/Va/Md</t>
  </si>
  <si>
    <t>048106 - Bia Pa/De</t>
  </si>
  <si>
    <t>020225 - Bia North Project Controls</t>
  </si>
  <si>
    <t>020226 - Bia North Executive Pm</t>
  </si>
  <si>
    <t>020227 - Bia North Practice Leaders</t>
  </si>
  <si>
    <t>020132 - Bia-Wi/Mn/Ia</t>
  </si>
  <si>
    <t>020133 - Bia-Oh/Mi</t>
  </si>
  <si>
    <t>020282 - Bia-Midwest M&amp;A</t>
  </si>
  <si>
    <t>011857 - Florida &amp; Puerto Rico D/B</t>
  </si>
  <si>
    <t>011858 - Florida &amp; Puerto Rico O/M</t>
  </si>
  <si>
    <t>020260</t>
  </si>
  <si>
    <t>020105 - South Pmcm Project Controls</t>
  </si>
  <si>
    <t>020111 - South External Project Controls</t>
  </si>
  <si>
    <t>020116 - South Internal Project Controls</t>
  </si>
  <si>
    <t>043000 - South Regional Mgmt</t>
  </si>
  <si>
    <t>003748 - Strat Con Lf - Equador</t>
  </si>
  <si>
    <t>011864 - South Central D/B</t>
  </si>
  <si>
    <t>011866 - South Central O/M</t>
  </si>
  <si>
    <t>041001 - Dfw &amp; Ok</t>
  </si>
  <si>
    <t>041003 - Houston</t>
  </si>
  <si>
    <t>041031 - Central Texas</t>
  </si>
  <si>
    <t>048072 - South Central M&amp;A</t>
  </si>
  <si>
    <t>049099 - Strategic Consulting</t>
  </si>
  <si>
    <t>011861 - Southeast D/B</t>
  </si>
  <si>
    <t>011862 - Southeast O/M</t>
  </si>
  <si>
    <t>020261</t>
  </si>
  <si>
    <t>020262</t>
  </si>
  <si>
    <t>010116 - South B&amp;I Pmcm</t>
  </si>
  <si>
    <t>020159 - South Cei</t>
  </si>
  <si>
    <t>011874 - Southwest M&amp;A</t>
  </si>
  <si>
    <t>011875 - Southwest D/B</t>
  </si>
  <si>
    <t>011876 - Southwest O/M</t>
  </si>
  <si>
    <t>020118 - West Area</t>
  </si>
  <si>
    <t>049007 - East Area</t>
  </si>
  <si>
    <t>010115 - West Vertical Pmcm</t>
  </si>
  <si>
    <t>010120</t>
  </si>
  <si>
    <t>020275 - West External Project Controls</t>
  </si>
  <si>
    <t>020276 - West Internal Project Controls</t>
  </si>
  <si>
    <t>020280 - West Regional Mgmt</t>
  </si>
  <si>
    <t>011869 - California D/B</t>
  </si>
  <si>
    <t>011870 - California O/M</t>
  </si>
  <si>
    <t>020200 - California M&amp;A</t>
  </si>
  <si>
    <t>011872 - Northwest D/B</t>
  </si>
  <si>
    <t>011873 - Northwest O/M</t>
  </si>
  <si>
    <t>020266 - Northwest M&amp;A</t>
  </si>
  <si>
    <t>020266</t>
  </si>
  <si>
    <t>BIAF - AF &amp; Fed</t>
  </si>
  <si>
    <t>012007 - GES - PRIVATE ENVIRONMENTAL SOLUTIONS - CHEMICALS - ES</t>
  </si>
  <si>
    <t>012007</t>
  </si>
  <si>
    <t>012008 - GES - PRIVATE ENVIRONMENTAL SOLUTIONS - CHEMICALS - FS</t>
  </si>
  <si>
    <t>012008</t>
  </si>
  <si>
    <t>012009 - GES - PRIVATE ENVIRONMENTAL SOLUTIONS - MANUF &amp; RAIL - ES</t>
  </si>
  <si>
    <t>012009</t>
  </si>
  <si>
    <t>012010 - GES - PRIVATE ENVIRONMENTAL SOLUTIONS - MANUF &amp; RAIL - FS</t>
  </si>
  <si>
    <t>012010</t>
  </si>
  <si>
    <t>012012 - GES - PRIVATE ENVIRONMENTAL SOLUTIONS - OIL &amp; GAS - ES</t>
  </si>
  <si>
    <t>012012</t>
  </si>
  <si>
    <t>012013 - GES - PRIVATE ENVIRONMENTAL SOLUTIONS - OIL &amp; GAS - FS</t>
  </si>
  <si>
    <t>012013</t>
  </si>
  <si>
    <t>012088 - GES - PRIVATE ENVIRONMENTAL SOLUTIONS - MINING &amp; EMERGING SERVICES - FS</t>
  </si>
  <si>
    <t>012088</t>
  </si>
  <si>
    <t>012089 - GES - PRIVATE ENVIRONMENTAL SOLUTIONS - MINING &amp; EMERGING SERVICES - ES</t>
  </si>
  <si>
    <t>012089</t>
  </si>
  <si>
    <t>012014 - GES - PRIVATE ENVIRONMENTAL SOLUTIONS - POWER - ES</t>
  </si>
  <si>
    <t>012014</t>
  </si>
  <si>
    <t>012015 - GES - PRIVATE ENVIRONMENTAL SOLUTIONS - POWER - FS</t>
  </si>
  <si>
    <t>012015</t>
  </si>
  <si>
    <t>012024 - GES - PRIVATE ENVIRONMENTAL SOLUTIONS - MUNICIPAL - FS</t>
  </si>
  <si>
    <t>012024</t>
  </si>
  <si>
    <t>011988 - GES - GOVERNMENT ENVIRONMENTAL SOLUTIONS - AIR FORCE - ES</t>
  </si>
  <si>
    <t>011988</t>
  </si>
  <si>
    <t>011989 - GES - GOVERNMENT ENVIRONMENTAL SOLUTIONS - FEMA/DHS - ES</t>
  </si>
  <si>
    <t>011989</t>
  </si>
  <si>
    <t>011990 - GES - GOVERNMENT ENVIRONMENTAL SOLUTIONS - DTRA - ES</t>
  </si>
  <si>
    <t>011990</t>
  </si>
  <si>
    <t>011993 - GES - GOVERNMENT ENVIRONMENTAL SOLUTIONS - EPA - ES</t>
  </si>
  <si>
    <t>011993</t>
  </si>
  <si>
    <t>011994 - GES - GOVERNMENT ENVIRONMENTAL SOLUTIONS - NASA - ES</t>
  </si>
  <si>
    <t>011994</t>
  </si>
  <si>
    <t>011997 - GES - GOVERNMENT ENVIRONMENTAL SOLUTIONS - OTHER - FS</t>
  </si>
  <si>
    <t>011997</t>
  </si>
  <si>
    <t>012000 - GES - GOVERNMENT ENVIRONMENTAL SOLUTIONS - US ARMY - ES</t>
  </si>
  <si>
    <t>012000</t>
  </si>
  <si>
    <t>012001 - GES - GOVERNMENT ENVIRONMENTAL SOLUTIONS - US NAVY - ES</t>
  </si>
  <si>
    <t>012001</t>
  </si>
  <si>
    <t>012004 - GES - NUCLEAR AND MAJOR PROJECTS - AFFILIATE - ES</t>
  </si>
  <si>
    <t>012004</t>
  </si>
  <si>
    <t>012005 - GES - NUCLEAR AND MAJOR PROJECTS - OTHER - ES</t>
  </si>
  <si>
    <t>012005</t>
  </si>
  <si>
    <t>032710</t>
  </si>
  <si>
    <t>032705 - Environment, Maritime &amp; Resilience IRL</t>
  </si>
  <si>
    <t>035001 - Environment, Maritime &amp; Resilience UK</t>
  </si>
  <si>
    <t>011617 - A-One Eie</t>
  </si>
  <si>
    <t>011617</t>
  </si>
  <si>
    <t>011722 - Fairhurst</t>
  </si>
  <si>
    <t>011722</t>
  </si>
  <si>
    <t>031500 - Highways UK</t>
  </si>
  <si>
    <t>032702 - Highways IRL</t>
  </si>
  <si>
    <t>032718 - PMCM IRL</t>
  </si>
  <si>
    <t>035018 - PMCM UK</t>
  </si>
  <si>
    <t>031200 - Rail UK</t>
  </si>
  <si>
    <t>032701 - Rail IRL</t>
  </si>
  <si>
    <t>032701</t>
  </si>
  <si>
    <t>004813 - Leigh Fisher IT</t>
  </si>
  <si>
    <t>020595 - Leigh Fisher NL</t>
  </si>
  <si>
    <t>031000 - Leigh Fisher UK</t>
  </si>
  <si>
    <t>031004 - Leigh Fisher Switzerland</t>
  </si>
  <si>
    <t>032707 - Strategic Consulting IRL</t>
  </si>
  <si>
    <t>032707</t>
  </si>
  <si>
    <t>027061 - Utilities UK</t>
  </si>
  <si>
    <t>032706 - Utilities IRL</t>
  </si>
  <si>
    <t>035102 - Utilities UK</t>
  </si>
  <si>
    <t>032703 - Global Design Centre</t>
  </si>
  <si>
    <t>032703</t>
  </si>
  <si>
    <t>035000 - Executive Mgmt</t>
  </si>
  <si>
    <t>035016 - Project Services</t>
  </si>
  <si>
    <t>035017 - Health &amp; Safety UK</t>
  </si>
  <si>
    <t>035019 - MarComms</t>
  </si>
  <si>
    <t>035019</t>
  </si>
  <si>
    <t>Computer Charges revised for this PU</t>
  </si>
  <si>
    <t>027144 - Bi Apme Anz  Nz-Water</t>
  </si>
  <si>
    <t>Australia</t>
  </si>
  <si>
    <t>006007 - UK Field Services</t>
  </si>
  <si>
    <t>006007</t>
  </si>
  <si>
    <t>006008 - Stobbart Field Services</t>
  </si>
  <si>
    <t>006008</t>
  </si>
  <si>
    <t>006090</t>
  </si>
  <si>
    <t>011910 - EMEI</t>
  </si>
  <si>
    <t>011910</t>
  </si>
  <si>
    <t>035303 - ATN-I Management</t>
  </si>
  <si>
    <t>035303</t>
  </si>
  <si>
    <t>035311 - Defence Infrastructure Solutions</t>
  </si>
  <si>
    <t>035311</t>
  </si>
  <si>
    <t>035312</t>
  </si>
  <si>
    <t>035313 - Nuclear Power</t>
  </si>
  <si>
    <t>035313</t>
  </si>
  <si>
    <t>035314 - Government Solutions UK</t>
  </si>
  <si>
    <t>035314</t>
  </si>
  <si>
    <t>035315</t>
  </si>
  <si>
    <t>035316</t>
  </si>
  <si>
    <t>011911 - Defence Infrastructure Solutions</t>
  </si>
  <si>
    <t>011911</t>
  </si>
  <si>
    <t>020311 - APAC</t>
  </si>
  <si>
    <t>020311</t>
  </si>
  <si>
    <t>12086 - IND - SUPPORT &amp; ADVISORY</t>
  </si>
  <si>
    <t>012086</t>
  </si>
  <si>
    <t>12087 - IND - NUCLEAR POWER</t>
  </si>
  <si>
    <t>012087</t>
  </si>
  <si>
    <t>12093 - NANO NUCLEAR OTHER - ES</t>
  </si>
  <si>
    <t>012093</t>
  </si>
  <si>
    <t>020146 - TELECOM PRO SERVICES</t>
  </si>
  <si>
    <t>020146</t>
  </si>
  <si>
    <t>020147 - TELECOM FIELD SERVICES</t>
  </si>
  <si>
    <t>020147</t>
  </si>
  <si>
    <t>020149 - TELECOM M&amp;A</t>
  </si>
  <si>
    <t>020149</t>
  </si>
  <si>
    <t>PU Names</t>
  </si>
  <si>
    <t>Fringe/Burden Data</t>
  </si>
  <si>
    <t>Technically, PC charges are applied at the PU level, but they approximate to Ledgers and can be manually corrected on the PU List.</t>
  </si>
  <si>
    <t>Where cells are blank, the Staff Rate will be used by default.</t>
  </si>
  <si>
    <t>Fringe / Burden for each Staff Type</t>
  </si>
  <si>
    <t xml:space="preserve">  PC Alloc/Hr</t>
  </si>
  <si>
    <t>Legacy</t>
  </si>
  <si>
    <t>Ledger or Entity</t>
  </si>
  <si>
    <t>Allowances
Burden</t>
  </si>
  <si>
    <t>PPOT
Burden</t>
  </si>
  <si>
    <t>Stated Currency</t>
  </si>
  <si>
    <t>&lt;Does not hold people&gt;</t>
  </si>
  <si>
    <t>&lt;Multi-Entity PU&gt;</t>
  </si>
  <si>
    <t>Jacobs</t>
  </si>
  <si>
    <t>Ledger</t>
  </si>
  <si>
    <t>US</t>
  </si>
  <si>
    <t>BE</t>
  </si>
  <si>
    <t>Belgium</t>
  </si>
  <si>
    <t>BR</t>
  </si>
  <si>
    <t>CL</t>
  </si>
  <si>
    <t>CH</t>
  </si>
  <si>
    <t>FR</t>
  </si>
  <si>
    <t>DE</t>
  </si>
  <si>
    <t>GB</t>
  </si>
  <si>
    <t>OD</t>
  </si>
  <si>
    <t>IR</t>
  </si>
  <si>
    <t>MN</t>
  </si>
  <si>
    <t>MY</t>
  </si>
  <si>
    <t>MX</t>
  </si>
  <si>
    <t>NZ</t>
  </si>
  <si>
    <t>NE</t>
  </si>
  <si>
    <t>PH</t>
  </si>
  <si>
    <t>Saudi Arabia - US</t>
  </si>
  <si>
    <t>SG</t>
  </si>
  <si>
    <t>AE</t>
  </si>
  <si>
    <t>United Arab Emirates</t>
  </si>
  <si>
    <t>TH</t>
  </si>
  <si>
    <t>Entity</t>
  </si>
  <si>
    <t>CO-0719</t>
  </si>
  <si>
    <t>Australia - 50430</t>
  </si>
  <si>
    <t>CO-0640</t>
  </si>
  <si>
    <t>Canada - 10201</t>
  </si>
  <si>
    <t>CO-0642</t>
  </si>
  <si>
    <t>Canada - 10270</t>
  </si>
  <si>
    <t>CO-0645</t>
  </si>
  <si>
    <t>Canada - 10521</t>
  </si>
  <si>
    <t>CO-0727</t>
  </si>
  <si>
    <t>China (Shanghai) - 50005</t>
  </si>
  <si>
    <t>CO-0674</t>
  </si>
  <si>
    <t>France - 30471</t>
  </si>
  <si>
    <t>CO-0679</t>
  </si>
  <si>
    <t>Germany - 30462</t>
  </si>
  <si>
    <t>CO-0733</t>
  </si>
  <si>
    <t>Hong Kong - 50954</t>
  </si>
  <si>
    <t>CO-0723</t>
  </si>
  <si>
    <t>India - 50429</t>
  </si>
  <si>
    <t>CO-0725</t>
  </si>
  <si>
    <t>India - 50957</t>
  </si>
  <si>
    <t>CO-0675</t>
  </si>
  <si>
    <t>Ireland - 30859</t>
  </si>
  <si>
    <t>CO-0676</t>
  </si>
  <si>
    <t>Ireland - 30950</t>
  </si>
  <si>
    <t>CO-0678</t>
  </si>
  <si>
    <t>Italy - 30468</t>
  </si>
  <si>
    <t>CO-0734</t>
  </si>
  <si>
    <t>Japan - 50493</t>
  </si>
  <si>
    <t>JPY</t>
  </si>
  <si>
    <t>CO-0692</t>
  </si>
  <si>
    <t>Kazakhstan - 30042</t>
  </si>
  <si>
    <t>KZT</t>
  </si>
  <si>
    <t>CO-0669</t>
  </si>
  <si>
    <t>Korea - 30450</t>
  </si>
  <si>
    <t>KRW</t>
  </si>
  <si>
    <t>CO-0710</t>
  </si>
  <si>
    <t>Kuwait - 40880</t>
  </si>
  <si>
    <t>CO-0735</t>
  </si>
  <si>
    <t>Malaysia - 50441</t>
  </si>
  <si>
    <t>CO-0736</t>
  </si>
  <si>
    <t>Malaysia - 50960</t>
  </si>
  <si>
    <t>CO-0737</t>
  </si>
  <si>
    <t>Malaysia - 50961</t>
  </si>
  <si>
    <t>CO-0755</t>
  </si>
  <si>
    <t>Mexico - 20312</t>
  </si>
  <si>
    <t>CO-0738</t>
  </si>
  <si>
    <t>New Zealand - 50435</t>
  </si>
  <si>
    <t>CO-0711</t>
  </si>
  <si>
    <t>Oman - 40964</t>
  </si>
  <si>
    <t>CO-0639</t>
  </si>
  <si>
    <t>Panama - 20491</t>
  </si>
  <si>
    <t>PAB</t>
  </si>
  <si>
    <t>CO-0760</t>
  </si>
  <si>
    <t>Peru - 20488</t>
  </si>
  <si>
    <t>CO-0740</t>
  </si>
  <si>
    <t>Philippines - 50433</t>
  </si>
  <si>
    <t>CO-0741</t>
  </si>
  <si>
    <t>Philippines - 50886</t>
  </si>
  <si>
    <t>CO-0681</t>
  </si>
  <si>
    <t>Poland - 30459</t>
  </si>
  <si>
    <t>CO-0682</t>
  </si>
  <si>
    <t>Poland - 30465</t>
  </si>
  <si>
    <t>CO-0683</t>
  </si>
  <si>
    <t>Poland - 30888</t>
  </si>
  <si>
    <t>CO-0959</t>
  </si>
  <si>
    <t>Poland - 50403</t>
  </si>
  <si>
    <t>CO-0752</t>
  </si>
  <si>
    <t>Poland - 50445</t>
  </si>
  <si>
    <t>CO-0713</t>
  </si>
  <si>
    <t>Qatar - 40454</t>
  </si>
  <si>
    <t>CO-0712</t>
  </si>
  <si>
    <t>Qatar - 40889</t>
  </si>
  <si>
    <t>CO-0688</t>
  </si>
  <si>
    <t>Romania - 30967</t>
  </si>
  <si>
    <t>RON</t>
  </si>
  <si>
    <t>CO-0685</t>
  </si>
  <si>
    <t>Russia - 30287</t>
  </si>
  <si>
    <t>RUB</t>
  </si>
  <si>
    <t>CO-0703</t>
  </si>
  <si>
    <t>Saudi Arabia - 40469</t>
  </si>
  <si>
    <t>CO-0961</t>
  </si>
  <si>
    <t>Saudi Arabia - 40510</t>
  </si>
  <si>
    <t>CO-0742</t>
  </si>
  <si>
    <t>Singapore - 50448</t>
  </si>
  <si>
    <t>CO-0743</t>
  </si>
  <si>
    <t>Singapore - 50834</t>
  </si>
  <si>
    <t>CO-0763</t>
  </si>
  <si>
    <t>St. Lucia - 20892</t>
  </si>
  <si>
    <t>XCD</t>
  </si>
  <si>
    <t>CO-0684</t>
  </si>
  <si>
    <t>Sweden - 30458</t>
  </si>
  <si>
    <t>CO-0749</t>
  </si>
  <si>
    <t>Taiwan - 50858</t>
  </si>
  <si>
    <t>TWD</t>
  </si>
  <si>
    <t>CO-0744</t>
  </si>
  <si>
    <t>Thailand - 50314</t>
  </si>
  <si>
    <t>CO-0748</t>
  </si>
  <si>
    <t>Thailand - 50981</t>
  </si>
  <si>
    <t>CO-0693</t>
  </si>
  <si>
    <t>Trinidad and Tobago - 20891</t>
  </si>
  <si>
    <t>TTD</t>
  </si>
  <si>
    <t>CO-0695</t>
  </si>
  <si>
    <t>UAE - 40280</t>
  </si>
  <si>
    <t>CO-0696</t>
  </si>
  <si>
    <t>UAE - 40470</t>
  </si>
  <si>
    <t>CO-0698</t>
  </si>
  <si>
    <t>UAE - 40479</t>
  </si>
  <si>
    <t>CO-0700</t>
  </si>
  <si>
    <t>UAE - 40867</t>
  </si>
  <si>
    <t>CO-0701</t>
  </si>
  <si>
    <t>UAE - 40868</t>
  </si>
  <si>
    <t>CO-0702</t>
  </si>
  <si>
    <t>UAE - 40870</t>
  </si>
  <si>
    <t>CO-0648</t>
  </si>
  <si>
    <t>UK - 30460</t>
  </si>
  <si>
    <t>CO-0652</t>
  </si>
  <si>
    <t>UK - 30605</t>
  </si>
  <si>
    <t>CO-0656</t>
  </si>
  <si>
    <t>UK - 30913</t>
  </si>
  <si>
    <t>CO-0601</t>
  </si>
  <si>
    <t>USA - 10006</t>
  </si>
  <si>
    <t>CO-0602</t>
  </si>
  <si>
    <t>USA - 10007</t>
  </si>
  <si>
    <t>CO-0603</t>
  </si>
  <si>
    <t>USA - 10014</t>
  </si>
  <si>
    <t>CO-0605</t>
  </si>
  <si>
    <t>USA - 10253</t>
  </si>
  <si>
    <t>CO-0607</t>
  </si>
  <si>
    <t>USA - 10257</t>
  </si>
  <si>
    <t>CO-0612</t>
  </si>
  <si>
    <t>USA - 10349</t>
  </si>
  <si>
    <t>CO-0614</t>
  </si>
  <si>
    <t>USA - 10381</t>
  </si>
  <si>
    <t>CO-0615</t>
  </si>
  <si>
    <t>USA - 10386</t>
  </si>
  <si>
    <t>CO-0617</t>
  </si>
  <si>
    <t>USA - 10391</t>
  </si>
  <si>
    <t>CO-0618</t>
  </si>
  <si>
    <t>USA - 10400</t>
  </si>
  <si>
    <t>CO-0619</t>
  </si>
  <si>
    <t>USA - 10410</t>
  </si>
  <si>
    <t>CO-0621</t>
  </si>
  <si>
    <t>USA - 10520</t>
  </si>
  <si>
    <t>CO-0624</t>
  </si>
  <si>
    <t>USA - 10714</t>
  </si>
  <si>
    <t>*</t>
  </si>
  <si>
    <t>Oracle Ledgers and Entities</t>
  </si>
  <si>
    <t>Currency based data</t>
  </si>
  <si>
    <t>&lt;Multiple&gt;</t>
  </si>
  <si>
    <t>FY-19</t>
  </si>
  <si>
    <t>Great Britain Pound</t>
  </si>
  <si>
    <t>Japanese Yen</t>
  </si>
  <si>
    <t>Peruvian Nuevo Sol</t>
  </si>
  <si>
    <t>Polish Zloty</t>
  </si>
  <si>
    <t>Singapore Dollar</t>
  </si>
  <si>
    <t>New Taiwan Dollar</t>
  </si>
  <si>
    <t>ID Code</t>
  </si>
  <si>
    <t>PRJ-BIAF AF/FED SOL</t>
  </si>
  <si>
    <t>BIAF Advanced Facilities &amp; Federal Solutions</t>
  </si>
  <si>
    <t>BIAF - GLOBAL ENVIRONMENTAL SOLUTIONS</t>
  </si>
  <si>
    <t>PRJ-BIAF GES</t>
  </si>
  <si>
    <t>BIAF Global Environmental Solutions</t>
  </si>
  <si>
    <t>PRJ-BD EU/UK</t>
  </si>
  <si>
    <t>BD-EU/UK</t>
  </si>
  <si>
    <t>BIAF GES</t>
  </si>
  <si>
    <t>BIAF - ADVANCED FACILTIES &amp; FEDERAL SOLU</t>
  </si>
  <si>
    <t>PT Name</t>
  </si>
  <si>
    <t>PT Dropdown</t>
  </si>
  <si>
    <t>010119 - Bia Pmcm Mid-Atlantic</t>
  </si>
  <si>
    <t>020223 - North Pmcm Mid-West</t>
  </si>
  <si>
    <t>Used on the PU List?</t>
  </si>
  <si>
    <t>012011 - GES - PRIVATE ENVIRONMENTAL SOLUTIONS - MUNICIPAL - ES</t>
  </si>
  <si>
    <t>012011</t>
  </si>
  <si>
    <t>011688 - GES US CIVIL - DHS/PATAC - USOPS - CONSULT</t>
  </si>
  <si>
    <t>011688</t>
  </si>
  <si>
    <t>011691 - GES US DOD - US NAVY/KCH - USOPS - CONSULT</t>
  </si>
  <si>
    <t>011691</t>
  </si>
  <si>
    <t>020345 - GES FEDERAL OPS - JT</t>
  </si>
  <si>
    <t>020345</t>
  </si>
  <si>
    <t>012090 - GES - GOVERNMENT ENVIRONMENTAL SOLUTIONS - NSF-CFSS</t>
  </si>
  <si>
    <t>012090</t>
  </si>
  <si>
    <t>Halcrow (China) Ltd</t>
  </si>
  <si>
    <t>Ledger Code</t>
  </si>
  <si>
    <t>Entity Code</t>
  </si>
  <si>
    <t>CO-0303</t>
  </si>
  <si>
    <t>Entities roll up to Ledgers.  If they have been harmonized, then specify Ledgers  - otherwise you must specify individual Entities.</t>
  </si>
  <si>
    <t>Price:</t>
  </si>
  <si>
    <t>GM/Bill Hr</t>
  </si>
  <si>
    <t>GM/LR%</t>
  </si>
  <si>
    <t>3rd Party Services (C):</t>
  </si>
  <si>
    <t>Expenses (B):</t>
  </si>
  <si>
    <t>----</t>
  </si>
  <si>
    <t>Non Bill or Rev Only</t>
  </si>
  <si>
    <t>RO</t>
  </si>
  <si>
    <t>Cost Reserve</t>
  </si>
  <si>
    <t>010120 - West Horizontal Pmcm</t>
  </si>
  <si>
    <t>011871 - Northwest South</t>
  </si>
  <si>
    <t>020114 - Northwest North</t>
  </si>
  <si>
    <t>011856 - South FL, PR &amp; Gville Consulting</t>
  </si>
  <si>
    <t>020165 - North Florida Consulting</t>
  </si>
  <si>
    <t>020260 - Florida / PR M&amp;A</t>
  </si>
  <si>
    <t>049100 - StratCon Asset Management</t>
  </si>
  <si>
    <t>049101 - StratCon Energy Solutions</t>
  </si>
  <si>
    <t>049102 - StratCon Planning Services</t>
  </si>
  <si>
    <t>049103 - StratCon Business Finance</t>
  </si>
  <si>
    <t>049104 - StratCon Canada</t>
  </si>
  <si>
    <t>011860 - Southeast 8 Ops</t>
  </si>
  <si>
    <t>020164 - Georgia Ops</t>
  </si>
  <si>
    <t>020261 - SELA M&amp;A</t>
  </si>
  <si>
    <t>020262 – Latin America Ops</t>
  </si>
  <si>
    <t>B&amp;I APME New Zealand</t>
  </si>
  <si>
    <t>B&amp;I APME East Asia</t>
  </si>
  <si>
    <t>B&amp;I APME South East Asia</t>
  </si>
  <si>
    <t>B&amp;I APME India</t>
  </si>
  <si>
    <t>B&amp;I APME Eastern</t>
  </si>
  <si>
    <t>B&amp;I APME Northern</t>
  </si>
  <si>
    <t>B&amp;I APME Southern</t>
  </si>
  <si>
    <t>B&amp;I APME Central West</t>
  </si>
  <si>
    <r>
      <t xml:space="preserve">                Non listed PUs and Other Orgs</t>
    </r>
    <r>
      <rPr>
        <sz val="10"/>
        <color theme="9" tint="-0.499984740745262"/>
        <rFont val="Arial"/>
        <family val="2"/>
      </rPr>
      <t xml:space="preserve"> </t>
    </r>
    <r>
      <rPr>
        <sz val="8"/>
        <color theme="9" tint="-0.499984740745262"/>
        <rFont val="Arial"/>
        <family val="2"/>
      </rPr>
      <t>(Manually entered)</t>
    </r>
  </si>
  <si>
    <t>Plan Exchange Rates</t>
  </si>
  <si>
    <t>FY-2020</t>
  </si>
  <si>
    <t>ILS</t>
  </si>
  <si>
    <t>Israeli New Shekel</t>
  </si>
  <si>
    <t>South Korean Won</t>
  </si>
  <si>
    <t>Romanian Leu</t>
  </si>
  <si>
    <t>Potential is what we would get if the Cost Rsv is not spent</t>
  </si>
  <si>
    <t>No Cost Reserve specified</t>
  </si>
  <si>
    <t>Potential is what we would get if the Contingency/Cost Rsv are not spent</t>
  </si>
  <si>
    <t>No Contingency/Cost Rsv specified</t>
  </si>
  <si>
    <t>Year 1 Sell Rate</t>
  </si>
  <si>
    <t>Federal Project? (0 = Yes)</t>
  </si>
  <si>
    <t>Federal Project Filter (0=Yes)</t>
  </si>
  <si>
    <t>ATN - Int'l</t>
  </si>
  <si>
    <t>ATN International</t>
  </si>
  <si>
    <t>ATN - NANO</t>
  </si>
  <si>
    <t>ATN - A&amp;T</t>
  </si>
  <si>
    <r>
      <t xml:space="preserve">   ATN </t>
    </r>
    <r>
      <rPr>
        <b/>
        <sz val="14"/>
        <color theme="0"/>
        <rFont val="Arial"/>
        <family val="2"/>
      </rPr>
      <t>(Aerospace, Technology and Nuclear)</t>
    </r>
  </si>
  <si>
    <t>Blanket Labor Contingency:</t>
  </si>
  <si>
    <t>Blanket Cost Reserve:</t>
  </si>
  <si>
    <t>%:</t>
  </si>
  <si>
    <t>General Labor Contingency</t>
  </si>
  <si>
    <t>General Non-Labor Contingency</t>
  </si>
  <si>
    <t>General Cost Reserve</t>
  </si>
  <si>
    <t>General Fee (Price method 4,5,8,9)</t>
  </si>
  <si>
    <t>Write Up/Down</t>
  </si>
  <si>
    <t>ATN - A&amp;T US</t>
  </si>
  <si>
    <t>ATN North American Nuclear Ops</t>
  </si>
  <si>
    <t>ATN Aerospace &amp; Technology US</t>
  </si>
  <si>
    <t>Global (Base USD) Currency Exchange Rate Table</t>
  </si>
  <si>
    <t>COST RESERVE</t>
  </si>
  <si>
    <t>GENERAL LABOR CONTINGENCY</t>
  </si>
  <si>
    <t>GENERAL NON-LABOR CONTINGENCY</t>
  </si>
  <si>
    <t>FEE</t>
  </si>
  <si>
    <t>P1 - Feasibility</t>
  </si>
  <si>
    <t>P2 - Concept</t>
  </si>
  <si>
    <t>P3 - Preliminary Engineering</t>
  </si>
  <si>
    <t>P4 - Detail Design</t>
  </si>
  <si>
    <t>P5 - Construction</t>
  </si>
  <si>
    <t>P6 - Start-Up</t>
  </si>
  <si>
    <t>P7 - Closure</t>
  </si>
  <si>
    <t>PN - Phase Non Related</t>
  </si>
  <si>
    <t>CS - Consulting Services</t>
  </si>
  <si>
    <t>SC - Sustainable Capital</t>
  </si>
  <si>
    <t>SM - Supply Management</t>
  </si>
  <si>
    <t>==============</t>
  </si>
  <si>
    <t>Prof Svcs</t>
  </si>
  <si>
    <t>W - Write Up/Down</t>
  </si>
  <si>
    <t>R - Cost Reserve</t>
  </si>
  <si>
    <t>S - Contingency</t>
  </si>
  <si>
    <t>X - Currency Exchange Fx</t>
  </si>
  <si>
    <t>T - Taxes</t>
  </si>
  <si>
    <t>U - Other</t>
  </si>
  <si>
    <t>Z - Owner's Cost</t>
  </si>
  <si>
    <t>A - Home Office Labor</t>
  </si>
  <si>
    <t>B - Home Office Non-Labor</t>
  </si>
  <si>
    <t>C - Consultants / 3rd Party</t>
  </si>
  <si>
    <t>G - Field Staff Labor</t>
  </si>
  <si>
    <t>H - Field Staff Non-Labor</t>
  </si>
  <si>
    <t>J - Construction Indirects / Equipment</t>
  </si>
  <si>
    <t>K - Field Subcontracts</t>
  </si>
  <si>
    <t>L - Direct Field Labor</t>
  </si>
  <si>
    <t>M - Modules / Fabrication</t>
  </si>
  <si>
    <t>E - Material and Tagged Equipment</t>
  </si>
  <si>
    <t xml:space="preserve">F - Freight </t>
  </si>
  <si>
    <t>Range Offsets</t>
  </si>
  <si>
    <t>D</t>
  </si>
  <si>
    <t>Sell Rate</t>
  </si>
  <si>
    <t>B&amp;I APME Middle East</t>
  </si>
  <si>
    <t>B&amp;I APME Southeast Asia</t>
  </si>
  <si>
    <t>B&amp;I APME Middle East Utilities</t>
  </si>
  <si>
    <t>B&amp;I APME Middle East Transport</t>
  </si>
  <si>
    <t>LES Field Services</t>
  </si>
  <si>
    <t>CH2M Global Exchange Rate Table</t>
  </si>
  <si>
    <t>Current Budget Revenue Hours</t>
  </si>
  <si>
    <t>Selected Mode Revenue Hours</t>
  </si>
  <si>
    <t>Spread Gen Hrs</t>
  </si>
  <si>
    <t>Spread Gen Cost</t>
  </si>
  <si>
    <t>Spread Gen Revenue</t>
  </si>
  <si>
    <t>Change Mode? (0=Yes)</t>
  </si>
  <si>
    <t>Switch for General Items</t>
  </si>
  <si>
    <t>Timephased Values</t>
  </si>
  <si>
    <t>Weekly/Monthly Labour Cost (Escalated)</t>
  </si>
  <si>
    <t>Weekly/Monthly Non-Labour Cost</t>
  </si>
  <si>
    <t>Note: To be correct, the timephasing calculation requires all non-labor line items to be timephased (i.e. no orange warnings)</t>
  </si>
  <si>
    <t>Line Total</t>
  </si>
  <si>
    <t>Spread Gen Rev</t>
  </si>
  <si>
    <t>Current Hours:</t>
  </si>
  <si>
    <t>Current Lab Cost (Non-Escalated):</t>
  </si>
  <si>
    <t>Current Labor Cost (Escalated):</t>
  </si>
  <si>
    <t>Current Non-Labor Cost:</t>
  </si>
  <si>
    <t>Computer Charges:</t>
  </si>
  <si>
    <t>Change Mode (0=yes)</t>
  </si>
  <si>
    <t>Lab Cost</t>
  </si>
  <si>
    <t>Unescalated Year 1 Cost Rate (for cash flow)</t>
  </si>
  <si>
    <t>Lookup Periodic Revenue Escalation:</t>
  </si>
  <si>
    <t>Compounded Revenue Escalation:</t>
  </si>
  <si>
    <t>Weekly Revenue Escalation Adjustment:</t>
  </si>
  <si>
    <t>Weekly Cost Escalation Adjustment:</t>
  </si>
  <si>
    <t>Lookup Periodic Cost Escalation:</t>
  </si>
  <si>
    <t>Compounded Cost Escalation:</t>
  </si>
  <si>
    <t>Note: If there are orange warning cells on the schedule (an activity is unscheduled), then the timephase calculation will be incomplete.</t>
  </si>
  <si>
    <t>Staff Plan Calendar</t>
  </si>
  <si>
    <t>Activity Plan Calendar</t>
  </si>
  <si>
    <t>Staff Plan Periods</t>
  </si>
  <si>
    <t>Activity Plan Periods</t>
  </si>
  <si>
    <t>Plot Hours</t>
  </si>
  <si>
    <t>Plot Calendar</t>
  </si>
  <si>
    <t>Resourcing Histogram</t>
  </si>
  <si>
    <t>Show Hours</t>
  </si>
  <si>
    <t>Show Full-time Equivs.</t>
  </si>
  <si>
    <t>1.  The Pricing Tool must be in Forecast mode for this table to work.
2.  Go to IPCS: ETC Lite Forecasting &gt; Import tab.  Ensure that the rows in IPCS are alphabetically sorted and that the table in IPCS matches this table.
3.  To manually de-select rows from the list here, use the deselect column.  To deselect rows in IPCS itself, use one of the filter options. 
4.  Copy the data from below (in a single block selection) and paste the data directly into the IPCS screen (Control + V).  Save the data in IPCS and post the forecast.</t>
  </si>
  <si>
    <t>Sort Alphabetically</t>
  </si>
  <si>
    <t>WBS Code for sort</t>
  </si>
  <si>
    <t>ETC Forecast - IPCS Transfer Table</t>
  </si>
  <si>
    <t>De-select from Transfer Table?</t>
  </si>
  <si>
    <t>GID (Other)</t>
  </si>
  <si>
    <t>9=GID Other</t>
  </si>
  <si>
    <t>8=GID Ind/Pol/Php</t>
  </si>
  <si>
    <t>GID Workshare rate for currency</t>
  </si>
  <si>
    <t>L1=CH and L3&lt;&gt;PN</t>
  </si>
  <si>
    <t>L1=CH and Path ID&lt;&gt;6</t>
  </si>
  <si>
    <t>Lowest ID contains a "#"</t>
  </si>
  <si>
    <t>Lowest ID contains a ":"</t>
  </si>
  <si>
    <t>Lowest ID contains a "&amp;"</t>
  </si>
  <si>
    <t>Lowest ID contains a "!"</t>
  </si>
  <si>
    <t>User defined ID fields must not include any special characters (.#!:&amp;)</t>
  </si>
  <si>
    <t>L5 ID contains a "."</t>
  </si>
  <si>
    <t>L5 ID contains a "#"</t>
  </si>
  <si>
    <t>L5 ID contains a ":"</t>
  </si>
  <si>
    <t>L5 ID contains a "&amp;"</t>
  </si>
  <si>
    <t>L5 ID contains a "!"</t>
  </si>
  <si>
    <t>Change Mode + IPCS Change Header details missing for upload</t>
  </si>
  <si>
    <t>Burden on
PPOT part</t>
  </si>
  <si>
    <t>Resultant</t>
  </si>
  <si>
    <r>
      <rPr>
        <b/>
        <sz val="8"/>
        <color theme="0" tint="-0.249977111117893"/>
        <rFont val="Arial"/>
        <family val="2"/>
      </rPr>
      <t>Extra per Hour</t>
    </r>
    <r>
      <rPr>
        <sz val="8"/>
        <color theme="0" tint="-0.249977111117893"/>
        <rFont val="Arial"/>
        <family val="2"/>
      </rPr>
      <t xml:space="preserve">
Cost       Price</t>
    </r>
  </si>
  <si>
    <r>
      <t xml:space="preserve">Sell Rates </t>
    </r>
    <r>
      <rPr>
        <sz val="10"/>
        <color theme="1"/>
        <rFont val="Arial"/>
        <family val="2"/>
      </rPr>
      <t>(for each escalation period/year)</t>
    </r>
  </si>
  <si>
    <t>Total hours per Escalation Period/Year</t>
  </si>
  <si>
    <r>
      <t xml:space="preserve">Bill Hours </t>
    </r>
    <r>
      <rPr>
        <sz val="10"/>
        <color theme="1"/>
        <rFont val="Arial"/>
        <family val="2"/>
      </rPr>
      <t>(for each escalation period/year)</t>
    </r>
  </si>
  <si>
    <r>
      <t xml:space="preserve">Raw Rates </t>
    </r>
    <r>
      <rPr>
        <sz val="10"/>
        <color theme="1"/>
        <rFont val="Arial"/>
        <family val="2"/>
      </rPr>
      <t>(for each escalation period/year)</t>
    </r>
  </si>
  <si>
    <r>
      <t xml:space="preserve">Cost Hours </t>
    </r>
    <r>
      <rPr>
        <sz val="10"/>
        <color theme="1"/>
        <rFont val="Arial"/>
        <family val="2"/>
      </rPr>
      <t>(for each escalation period/year)</t>
    </r>
  </si>
  <si>
    <t>Escalation Periods/Years</t>
  </si>
  <si>
    <r>
      <t xml:space="preserve">GM/Hr </t>
    </r>
    <r>
      <rPr>
        <sz val="10"/>
        <color theme="1"/>
        <rFont val="Arial"/>
        <family val="2"/>
      </rPr>
      <t>(potential GM/Hr for each escalation period/year)</t>
    </r>
  </si>
  <si>
    <r>
      <t xml:space="preserve">Gross Margin </t>
    </r>
    <r>
      <rPr>
        <sz val="10"/>
        <color theme="1"/>
        <rFont val="Arial"/>
        <family val="2"/>
      </rPr>
      <t>(forecast per person per year)</t>
    </r>
  </si>
  <si>
    <t>For GID you must specify a price over-ride</t>
  </si>
  <si>
    <t>GID Standard Charges / Hr</t>
  </si>
  <si>
    <t>Country/Entity</t>
  </si>
  <si>
    <t>1.  The PU list is a hidden lookup tab in this tool.  It can be manually modified if required.
2.  If you can't find a particular PU, it isn't critical.  Enter the approximate name in the gray box (IPCS will later import the exact name from GFS).
3.  Any boxes that don't auto-populate must be completed manually.  All green boxes can be modified if required.
4.  Note that the the Country/Entity determines the default Burden/Fringe rates that are applied in section 4 below.</t>
  </si>
  <si>
    <t>2.05</t>
  </si>
  <si>
    <t>ID = 0</t>
  </si>
  <si>
    <t>ID contains "&amp;"</t>
  </si>
  <si>
    <t>ID contains "!"</t>
  </si>
  <si>
    <t>ID contains "."</t>
  </si>
  <si>
    <t>ID contains ":"</t>
  </si>
  <si>
    <t>ID contains "#"</t>
  </si>
  <si>
    <t>Change ID is a "0" or contains a special character</t>
  </si>
  <si>
    <t>Suffix="CH", but L3&lt;&gt;"PN" or Path ID level &lt;&gt;6</t>
  </si>
  <si>
    <t>L3 &lt;&gt;"PN"</t>
  </si>
  <si>
    <t>GID (Std Rate)</t>
  </si>
  <si>
    <t>011800 - Electronics Asia Pacific</t>
  </si>
  <si>
    <t>011802 - Electronics Europe</t>
  </si>
  <si>
    <t>011806 - Electronics US</t>
  </si>
  <si>
    <t>002500 - Electronics US</t>
  </si>
  <si>
    <t>011807 - Electronics US OM</t>
  </si>
  <si>
    <t>011817 - S MFG Europe</t>
  </si>
  <si>
    <t>011934 - S MFG US CM</t>
  </si>
  <si>
    <t>001600 - S MFG Greenville Engineering</t>
  </si>
  <si>
    <t>007100 - S MFG Green Bay Engineering</t>
  </si>
  <si>
    <t>011812 - S MFG Pittsburgh</t>
  </si>
  <si>
    <t>011812</t>
  </si>
  <si>
    <t>011813 - S MFG Cincinnati</t>
  </si>
  <si>
    <t>011813</t>
  </si>
  <si>
    <t>011821 - S MFG US OM</t>
  </si>
  <si>
    <t>012166 - S MFG US OM</t>
  </si>
  <si>
    <t>ATN NANO</t>
  </si>
  <si>
    <t>ATN A&amp;T</t>
  </si>
  <si>
    <t>Not reviewed</t>
  </si>
  <si>
    <t>BIA National Project Delivery</t>
  </si>
  <si>
    <t>BIA North D/B</t>
  </si>
  <si>
    <t>BIA North M&amp;A</t>
  </si>
  <si>
    <t>BIA South Florida</t>
  </si>
  <si>
    <t>BIA South M&amp;A</t>
  </si>
  <si>
    <t>BIA South South Central</t>
  </si>
  <si>
    <t>BIA South South East</t>
  </si>
  <si>
    <t>BIA South PM/CM</t>
  </si>
  <si>
    <t>BIA West Southwest</t>
  </si>
  <si>
    <t>BIA West PM/CM</t>
  </si>
  <si>
    <t>BIA West M&amp;A</t>
  </si>
  <si>
    <t>BIA West California</t>
  </si>
  <si>
    <t>BIA West Northwest</t>
  </si>
  <si>
    <t>BIAF Life Sciences Europe</t>
  </si>
  <si>
    <t>BIAF Life Sciences Americas</t>
  </si>
  <si>
    <t>BIAF Life Sciences Asia/Pac</t>
  </si>
  <si>
    <t>BIAF Solutions &amp; Technology</t>
  </si>
  <si>
    <r>
      <t xml:space="preserve">(Overtype if incorrect)  </t>
    </r>
    <r>
      <rPr>
        <b/>
        <sz val="8"/>
        <color theme="1"/>
        <rFont val="Arial"/>
        <family val="2"/>
      </rPr>
      <t>Revenue Escalation</t>
    </r>
    <r>
      <rPr>
        <sz val="8"/>
        <color theme="1"/>
        <rFont val="Arial"/>
        <family val="2"/>
      </rPr>
      <t xml:space="preserve"> Range Numbers:</t>
    </r>
  </si>
  <si>
    <r>
      <t xml:space="preserve">(Overtype if incorrect) </t>
    </r>
    <r>
      <rPr>
        <b/>
        <sz val="8"/>
        <color theme="1"/>
        <rFont val="Arial"/>
        <family val="2"/>
      </rPr>
      <t xml:space="preserve"> Cost Escalation</t>
    </r>
    <r>
      <rPr>
        <sz val="8"/>
        <color theme="1"/>
        <rFont val="Arial"/>
        <family val="2"/>
      </rPr>
      <t xml:space="preserve"> Range Numbers:</t>
    </r>
  </si>
  <si>
    <r>
      <t xml:space="preserve">(Overtype if incorrect)  </t>
    </r>
    <r>
      <rPr>
        <b/>
        <sz val="8"/>
        <color theme="1"/>
        <rFont val="Arial"/>
        <family val="2"/>
      </rPr>
      <t>Cost Escalation</t>
    </r>
    <r>
      <rPr>
        <sz val="8"/>
        <color theme="1"/>
        <rFont val="Arial"/>
        <family val="2"/>
      </rPr>
      <t xml:space="preserve"> Range Numbers:</t>
    </r>
  </si>
  <si>
    <t>Over-ride</t>
  </si>
  <si>
    <t>No Contingency (or Cost Reserve) Applied. (Information only).</t>
  </si>
  <si>
    <t>No Contingency/CR</t>
  </si>
  <si>
    <t>GID Std. Workshare Rates</t>
  </si>
  <si>
    <t>033700 - Bi Apme Me Transport - Highways &amp; Bridges</t>
  </si>
  <si>
    <t>1.  For Multi-Entity PUs, there may not be a single default Fringe/Burden rate for everyone in the PU - or a single currency.
2.  Please manually enter the project currency in the box on the left and the predominant default Staff Burden rate in section 4 below.
3.  You may then manually over-ride this rate for individual people on the Staff List tab if necessary.</t>
  </si>
  <si>
    <t>Note:  If you can't get the escalation year/period numbers to calculate correctly, they can be directly edited on the Plan tabs themselves.</t>
  </si>
  <si>
    <t>US - LSc</t>
  </si>
  <si>
    <t>Monthly Global Exchange Rate Table</t>
  </si>
  <si>
    <t>Note:  This is not the full list in IPCS</t>
  </si>
  <si>
    <t>Used?</t>
  </si>
  <si>
    <t>Relevant Plan Tab (Total)</t>
  </si>
  <si>
    <t>Relevant Plan Tab (Timephased)</t>
  </si>
  <si>
    <t>Line Item Cost Reserve</t>
  </si>
  <si>
    <t>Line Item Non-Lab Cont'cy</t>
  </si>
  <si>
    <t>True Price</t>
  </si>
  <si>
    <t>True Cost</t>
  </si>
  <si>
    <t>Staff Margin Report (True)</t>
  </si>
  <si>
    <t>IPCS Budget doesn't equal Plan Total. (Check for non-matching WBS codes)</t>
  </si>
  <si>
    <t>General Fee</t>
  </si>
  <si>
    <t>Changes filter</t>
  </si>
  <si>
    <t>Separate Fee (escalated)</t>
  </si>
  <si>
    <t>Separate Fee (escalated):</t>
  </si>
  <si>
    <r>
      <t xml:space="preserve">Gross Margin
</t>
    </r>
    <r>
      <rPr>
        <i/>
        <sz val="8"/>
        <color theme="1"/>
        <rFont val="Arial"/>
        <family val="2"/>
      </rPr>
      <t>(Non POC-adjusted)</t>
    </r>
  </si>
  <si>
    <r>
      <t xml:space="preserve">Revenue
</t>
    </r>
    <r>
      <rPr>
        <sz val="8"/>
        <color theme="1"/>
        <rFont val="Arial"/>
        <family val="2"/>
      </rPr>
      <t>(Non POC-adjusted)</t>
    </r>
  </si>
  <si>
    <t>V - Fee</t>
  </si>
  <si>
    <t>Line Item Fee</t>
  </si>
  <si>
    <t>Line Item Other</t>
  </si>
  <si>
    <t>Value of Change:</t>
  </si>
  <si>
    <t>ETC Revenue:</t>
  </si>
  <si>
    <t>General codes used as line items</t>
  </si>
  <si>
    <t>011525 - Canada - Operations - Metrolinx Program MGMT</t>
  </si>
  <si>
    <t>011829 - Canada - Operations - Consult - East</t>
  </si>
  <si>
    <t>011524 - Canada - Operations - Consult - West</t>
  </si>
  <si>
    <t>011524</t>
  </si>
  <si>
    <t>006090 - Field Construction UK</t>
  </si>
  <si>
    <t>035312 - NDA Estates / Nuclear Clean Up UK</t>
  </si>
  <si>
    <t>035315 - Defence Management</t>
  </si>
  <si>
    <t>035316 - Nuclear Management</t>
  </si>
  <si>
    <t>035317</t>
  </si>
  <si>
    <t>035317 - Wood Nuclear</t>
  </si>
  <si>
    <t>If you want to change the source values for these rates, unhide the "Fringe Data" tab.</t>
  </si>
  <si>
    <t>Additionally Specified Labor Contingency:</t>
  </si>
  <si>
    <t>Line Item  Labor Contingency</t>
  </si>
  <si>
    <t>Additionally Specified Non-Labor Contingency:</t>
  </si>
  <si>
    <t>Additionally Specified Cost Reserve:</t>
  </si>
  <si>
    <t>Blanket Non-Labor Contingency:</t>
  </si>
  <si>
    <t>Labor Revenue for GM/LR%</t>
  </si>
  <si>
    <t>Blanket Non-Labor Contingency</t>
  </si>
  <si>
    <t>Blanket Cost Reserve</t>
  </si>
  <si>
    <t>Total Contingency Provided</t>
  </si>
  <si>
    <t>GB - ATN</t>
  </si>
  <si>
    <t>GB - Field</t>
  </si>
  <si>
    <t>GB - BIAF</t>
  </si>
  <si>
    <t>Non-Labor Contingency</t>
  </si>
  <si>
    <t>Change control allows bottom-up pricing of changes and classification into Original, Pending, Pending-with-forecast and Client Approved status with integrated Change Log.</t>
  </si>
  <si>
    <t>Plan Analysis tab</t>
  </si>
  <si>
    <t>'Top 5' Standard Control Accounts</t>
  </si>
  <si>
    <r>
      <t xml:space="preserve">Cost Reserve:  </t>
    </r>
    <r>
      <rPr>
        <sz val="10"/>
        <color theme="1"/>
        <rFont val="Arial"/>
        <family val="2"/>
      </rPr>
      <t>Specified as a non-labor, non-bill item.</t>
    </r>
  </si>
  <si>
    <t>Update the Retained Cost Reserve</t>
  </si>
  <si>
    <t>1.  Changes mode is a filtered version of Pricing Mode
2.  Changes are added to the Plan tabs and tagged 
3.  Filtering is done by Change ID (column E on the Plan tabs)
4.  Select changes you want included on the Sign-Off tab
5.  You can only upload one change ID to IPCS at a time</t>
  </si>
  <si>
    <t>Note:  If you exceed 120 user-defined control accounts, then unhide all the IPCS Import upload tabs and extend each table range downwards.</t>
  </si>
  <si>
    <t>006045 - JT-UK</t>
  </si>
  <si>
    <t>020313 - JT-TECH</t>
  </si>
  <si>
    <t>020343 - JT-MANAGED PROJECT</t>
  </si>
  <si>
    <t>000148 - TELECOM MAJOR PROGRAMS</t>
  </si>
  <si>
    <t>020547 - JT -  JTNSG CANADA</t>
  </si>
  <si>
    <t>006045</t>
  </si>
  <si>
    <t>020313</t>
  </si>
  <si>
    <t>020343</t>
  </si>
  <si>
    <t>000148</t>
  </si>
  <si>
    <t>020547</t>
  </si>
  <si>
    <t>Resultant GM/BH</t>
  </si>
  <si>
    <t>GM/BH</t>
  </si>
  <si>
    <t>General Contingency &amp; Cost Reserve - (S &amp; R)</t>
  </si>
  <si>
    <t>Puerto Rico</t>
  </si>
  <si>
    <t>Additional signature boxes can be unhidden if required</t>
  </si>
  <si>
    <t>AutoPAP Setup Data</t>
  </si>
  <si>
    <t>BIE Aviation</t>
  </si>
  <si>
    <t>BIE Rail &amp; Geo</t>
  </si>
  <si>
    <t>BIE Cities &amp; Places</t>
  </si>
  <si>
    <t>BIE MPPG</t>
  </si>
  <si>
    <t>BIE Water &amp; Environment</t>
  </si>
  <si>
    <t>031300 - Cities &amp; Places UK</t>
  </si>
  <si>
    <t>031304 - Cities &amp; Places NL</t>
  </si>
  <si>
    <t>035201 - Aviation UK</t>
  </si>
  <si>
    <t>035201</t>
  </si>
  <si>
    <t>032710 - Aviation IRL</t>
  </si>
  <si>
    <t>1.  If you don't need to break down the total price/margin by contributing PU, then you can leave this whole section blank. 
2.  Use the top section for selecting contributing non-host PUs that are on the inbuilt PU List.
3.  Use the lower section for PUs or other Orgs that are not on the in-built list.  (Do not add GID PUs, they are nominated using the Staff Type tag).
4.  You will then need to allocate the PUs in this section against staff using the Non-Host PU column on the Staff List tab</t>
  </si>
  <si>
    <t>Raw Cost Correction Factor</t>
  </si>
  <si>
    <t>Corrects approx raw costs to maintain salary confidentiality
Refer section 2.7 (below)</t>
  </si>
  <si>
    <t>Contingency (S)</t>
  </si>
  <si>
    <t>Cost Reserve (R)</t>
  </si>
  <si>
    <t>Other Cost Types (W,U,Z)</t>
  </si>
  <si>
    <t>Sign-Off Tab (Totals)</t>
  </si>
  <si>
    <t>Sign-Off Tab (Margin Profile)</t>
  </si>
  <si>
    <t>Setup tab: Breakdown by PU</t>
  </si>
  <si>
    <t>Training</t>
  </si>
  <si>
    <t>IPCS Training</t>
  </si>
  <si>
    <t>Setup training projects in IPCS</t>
  </si>
  <si>
    <t>Zero switch for Change Mode</t>
  </si>
  <si>
    <t>Change Mode</t>
  </si>
  <si>
    <t>Hidden tab: ImportOriginalBudget</t>
  </si>
  <si>
    <t>Hidden tab: ImportChangeDetails</t>
  </si>
  <si>
    <t>Hidden tab: ImportForecast</t>
  </si>
  <si>
    <t>JACOBS.TR</t>
  </si>
  <si>
    <t>PRJ-TR</t>
  </si>
  <si>
    <t>Separated Fee (V)</t>
  </si>
  <si>
    <t xml:space="preserve">  Contracts with a Separated Fee:</t>
  </si>
  <si>
    <t>Separate WBS codes created for Fee on Changes</t>
  </si>
  <si>
    <t>Correct amount</t>
  </si>
  <si>
    <t>Should be zero difference</t>
  </si>
  <si>
    <t>Error Check Table</t>
  </si>
  <si>
    <t>Blanket Lab Contingency PC Charges</t>
  </si>
  <si>
    <t>Line Item Non-Labor Contingency</t>
  </si>
  <si>
    <t>Line Item Lab Contingency PC Charges</t>
  </si>
  <si>
    <t>Fee (V)</t>
  </si>
  <si>
    <t>Other (U)</t>
  </si>
  <si>
    <t>Write-up/Down (W)</t>
  </si>
  <si>
    <t>Owners Cost (Z)</t>
  </si>
  <si>
    <t>Revenue -Only Items</t>
  </si>
  <si>
    <t>Line item Fee</t>
  </si>
  <si>
    <t>Line Item Labor Contingency (all codes)</t>
  </si>
  <si>
    <t>Line Item Cost Reserve (All Codes)</t>
  </si>
  <si>
    <t>Other (U, W, Z)</t>
  </si>
  <si>
    <r>
      <t xml:space="preserve">Fee, Incentives &amp; Other (V,W,U &amp; Z) </t>
    </r>
    <r>
      <rPr>
        <sz val="8"/>
        <color theme="1"/>
        <rFont val="Arial"/>
        <family val="2"/>
      </rPr>
      <t>(assigned to Host PU)</t>
    </r>
  </si>
  <si>
    <t>Plan</t>
  </si>
  <si>
    <t>This table excludes S,R,U,V,W &amp; Z coded items, which appear elsewhere.</t>
  </si>
  <si>
    <t>Fee (V):</t>
  </si>
  <si>
    <t>Planned Line Items (S,R,U,V,W,Z):</t>
  </si>
  <si>
    <t>Filter: S,R,U,V,W,Z</t>
  </si>
  <si>
    <t xml:space="preserve">Filter: S,R,U,V,W,Z </t>
  </si>
  <si>
    <t>When Code is blank or B</t>
  </si>
  <si>
    <t>RO when Blank or B</t>
  </si>
  <si>
    <t>or</t>
  </si>
  <si>
    <t>L/N by physical entry</t>
  </si>
  <si>
    <t>Labor (A,G):</t>
  </si>
  <si>
    <t>Plan tab in use AND Changes have been entered (turn off ImportOriginalBudget)</t>
  </si>
  <si>
    <r>
      <rPr>
        <b/>
        <sz val="8"/>
        <color theme="1"/>
        <rFont val="Arial"/>
        <family val="2"/>
      </rPr>
      <t>Changes:</t>
    </r>
    <r>
      <rPr>
        <sz val="8"/>
        <color theme="1"/>
        <rFont val="Arial"/>
        <family val="2"/>
      </rPr>
      <t xml:space="preserve">  PU List updated  |  IPCS data updated  |  Staff Plan and Activity Plan now show Hrs, Cost, Revenue and Margin for all line items and for time-phasing  |  Management Reserve removed  |  Cost Reserve added  |  Contingency redesigned and made more flexible  |  Revenue-Only tag reinstated  |  More flexibility for adding individual S,R,U,V,W and Z line items  |  GM/LR% metric added  |  Resource Histogram added to Sign-Off tab  |  Manual de-select rows from IPCS Forecast upload table  |  Additional escalated rates tables for GM and GM/Hr per person per year  |  Additional auto error checking for IPCS uploads  |  Option to roll fee from changes into general WBS code or keep separate  |  Compass upload tab removed
</t>
    </r>
    <r>
      <rPr>
        <b/>
        <sz val="8"/>
        <color theme="1"/>
        <rFont val="Arial"/>
        <family val="2"/>
      </rPr>
      <t xml:space="preserve">Fixes:  </t>
    </r>
    <r>
      <rPr>
        <sz val="8"/>
        <color theme="1"/>
        <rFont val="Arial"/>
        <family val="2"/>
      </rPr>
      <t xml:space="preserve">Cost curve tables (certain scenarios)  |   Staff Margin Report in Change Mode  |  Allowances feature fixed  |  "Monthly Global Exchange Rate Table" now default for all projects  </t>
    </r>
  </si>
  <si>
    <t>Blanket Labor Contingency (incl Fee)</t>
  </si>
  <si>
    <t>Line Item Lab Contingency Fee (incl in below)</t>
  </si>
  <si>
    <t>Separate Fee (Orig scope only)</t>
  </si>
  <si>
    <t>Add Fee from additional Labor Contingency</t>
  </si>
  <si>
    <t>Prevent double-up Fee from ordinary scope Changes</t>
  </si>
  <si>
    <t xml:space="preserve">      Pricing Tool</t>
  </si>
  <si>
    <t>WORCESTERSHIRE COUNTY COUNCIL</t>
  </si>
  <si>
    <t>Associate/OM/Service Leader</t>
  </si>
  <si>
    <t>L1A - Associate/OM/Team Leader</t>
  </si>
  <si>
    <t>L1B - Associate/OM/Team Leader</t>
  </si>
  <si>
    <t>L1C - Associate/OM/Team Leader</t>
  </si>
  <si>
    <t>L1D - Associate/OM/Team Leader</t>
  </si>
  <si>
    <t>Principal Engineer/Technical Manager</t>
  </si>
  <si>
    <t>L2A - Principal Engineer/Tech Mgr</t>
  </si>
  <si>
    <t>L2B - Principal Engineer/Tech Mgr</t>
  </si>
  <si>
    <t>L2C - Principal Engineer/Tech Mgr</t>
  </si>
  <si>
    <t>L2D - Principal Engineer/Tech Mgr</t>
  </si>
  <si>
    <t>Engineer/Proj Mgr</t>
  </si>
  <si>
    <t>L3A - Engineer/Proj Mgr</t>
  </si>
  <si>
    <t>L3B - Engineer/Proj Mgr</t>
  </si>
  <si>
    <t>L3C - Engineer/Proj Mgr</t>
  </si>
  <si>
    <t>L3D - Engineer/Proj Mgr</t>
  </si>
  <si>
    <t>Assistant Engineer/ Exp Grad/Sen Tech</t>
  </si>
  <si>
    <t>L4A - Assistant Engineer/Exp Grad/Sen Tech</t>
  </si>
  <si>
    <t>L4B - Assistant Engineer/Exp Grad/Sen Tech</t>
  </si>
  <si>
    <t>L4C - Assistant Engineer/Exp Grad/Sen Tech</t>
  </si>
  <si>
    <t>L4D - Assistant Engineer/Exp Grad/Sen Tech</t>
  </si>
  <si>
    <t>Graduate/Technican/Project Admin</t>
  </si>
  <si>
    <t>L5A - Graduate/Technican/Project Admin</t>
  </si>
  <si>
    <t>L5B - Graduate/Technican/Project Admin</t>
  </si>
  <si>
    <t>L5C - Graduate/Technican/Project Admin</t>
  </si>
  <si>
    <t>L5 D- Graduate/Technican/Project Admin</t>
  </si>
  <si>
    <t>Junior Technician/Assistant Administrator</t>
  </si>
  <si>
    <t>L6A - Junior Technician/Assistant Adiministrator</t>
  </si>
  <si>
    <t>L6B - Junior Technican/Assistant Adiministrator</t>
  </si>
  <si>
    <t>L6C - Junior Technican/Assistant Adiministrator</t>
  </si>
  <si>
    <t>L6D - Junior Technican/Assistant Adiministrator</t>
  </si>
  <si>
    <t>Trainee/Apprentice</t>
  </si>
  <si>
    <t>L7A - Trainee/Apprentice</t>
  </si>
  <si>
    <t>L7B - Trainee/Apprentice</t>
  </si>
  <si>
    <t>L7C - Trainee/Apprentice</t>
  </si>
  <si>
    <t>L7D - Trainee/Apprentice</t>
  </si>
  <si>
    <t>WMHA Rates
As from 01/04/19</t>
  </si>
  <si>
    <t>Waite Andy</t>
  </si>
  <si>
    <t>Hutchinson Amanda</t>
  </si>
  <si>
    <t>L1A Operational Manager</t>
  </si>
  <si>
    <t>Spencer Peter</t>
  </si>
  <si>
    <t>L3B Senior Engineer</t>
  </si>
  <si>
    <t>GDC PC Support</t>
  </si>
  <si>
    <t>Mhatre, Rajesh Ramchandra</t>
  </si>
  <si>
    <t>Operational Management</t>
  </si>
  <si>
    <t>BRIDGES CAPITAL</t>
  </si>
  <si>
    <t>BRIDGES CORE SERVICE Y6</t>
  </si>
  <si>
    <t>DA</t>
  </si>
  <si>
    <t>DC HIGHWAYS</t>
  </si>
  <si>
    <t>DB</t>
  </si>
  <si>
    <t>DC LIGHTING</t>
  </si>
  <si>
    <t>DC STRUCTURES</t>
  </si>
  <si>
    <t>HA</t>
  </si>
  <si>
    <t>HIGHWAYS</t>
  </si>
  <si>
    <t>NA</t>
  </si>
  <si>
    <t>SECONDMENTS</t>
  </si>
  <si>
    <t>TA</t>
  </si>
  <si>
    <t>TRANSPORT PLANNING</t>
  </si>
  <si>
    <t>L1A Designated Project Executive</t>
  </si>
  <si>
    <t>L4A Senior Administrator</t>
  </si>
  <si>
    <t>Robinson Emma</t>
  </si>
  <si>
    <t>L1B Service Lead</t>
  </si>
  <si>
    <t>Milestone 6</t>
  </si>
  <si>
    <t>6.1</t>
  </si>
  <si>
    <t>WNEP Project Manager, 4 days per week, 6th January - 27th March (12 weeks)</t>
  </si>
  <si>
    <t>6.2</t>
  </si>
  <si>
    <t>Travel Expenses</t>
  </si>
  <si>
    <t>6.3</t>
  </si>
  <si>
    <t>6.4</t>
  </si>
  <si>
    <t>6.5</t>
  </si>
  <si>
    <t>Delivery management, co-ordination, liaison and support</t>
  </si>
  <si>
    <t>6.6</t>
  </si>
  <si>
    <t>Performance Management/Project Support/Administration</t>
  </si>
  <si>
    <t>6.7</t>
  </si>
  <si>
    <t>Milestone 7</t>
  </si>
  <si>
    <t>7.1</t>
  </si>
  <si>
    <t>WNEP Assistant Programme Manager, 5 days per week, 6th January - 27th March (12 weeks)</t>
  </si>
  <si>
    <t>7.2</t>
  </si>
  <si>
    <t>Car hire and per diem expenses</t>
  </si>
  <si>
    <t>7.3</t>
  </si>
  <si>
    <t>7.4</t>
  </si>
  <si>
    <t>7.5</t>
  </si>
  <si>
    <t>one trip to worceter per week - Steve @ 67.50 per trip</t>
  </si>
  <si>
    <t>one trip to worceter per week - Jenny @ 90 per trip</t>
  </si>
  <si>
    <t>Half hour per week (divided by 2 for the 2 milestones)</t>
  </si>
  <si>
    <t>*4 hours per month or 5% of the milestone (whichever is greatest)</t>
  </si>
  <si>
    <t>*2 hours per month or 3% of the milestone (whichever is greatest)</t>
  </si>
  <si>
    <t>Allows £120 car hire per week, allows £50 fuel per week, allows £30 per diem rate for each day working in Worcester (£120) per week. Total expenses approx £290 per week, for 12 weeks.</t>
  </si>
  <si>
    <t>1082 - WNEP Project Management support
CP00475</t>
  </si>
  <si>
    <t>Client PM's, Secondments &amp; Construction Support</t>
  </si>
  <si>
    <t>B2367205</t>
  </si>
  <si>
    <t>Vicky Thompson</t>
  </si>
  <si>
    <t>L2B Project Manager</t>
  </si>
  <si>
    <t>Thompson Vicky</t>
  </si>
  <si>
    <t>Tipton Catherine</t>
  </si>
  <si>
    <t>L3A Project Manager</t>
  </si>
  <si>
    <t>Phillips, Stephen</t>
  </si>
  <si>
    <t>Parsons, Jenny</t>
  </si>
  <si>
    <t>L3B Engineer</t>
  </si>
  <si>
    <t>Cooper, Lucy</t>
  </si>
  <si>
    <t>Assumes working in Worcester approx 4 days per week, working remotely 1 day per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</si>
</sst>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3" formatCode="_-* #,##0.00_-;\-* #,##0.00_-;_-* &quot;-&quot;??_-;_-@_-"/>
    <numFmt numFmtId="164" formatCode="&quot;$&quot;#,##0.00;[Red]\-&quot;$&quot;#,##0.00"/>
    <numFmt numFmtId="165" formatCode="_-&quot;$&quot;* #,##0.00_-;\-&quot;$&quot;* #,##0.00_-;_-&quot;$&quot;* &quot;-&quot;??_-;_-@_-"/>
    <numFmt numFmtId="166" formatCode="&quot;$&quot;#,##0.00_);[Red]\(&quot;$&quot;#,##0.00\)"/>
    <numFmt numFmtId="167" formatCode="_(&quot;$&quot;* #,##0.00_);_(&quot;$&quot;* \(#,##0.00\);_(&quot;$&quot;* &quot;-&quot;??_);_(@_)"/>
    <numFmt numFmtId="168" formatCode="_(* #,##0.00_);_(* \(#,##0.00\);_(* &quot;-&quot;??_);_(@_)"/>
    <numFmt numFmtId="169" formatCode="##0&quot; /Hr&quot;"/>
    <numFmt numFmtId="170" formatCode="#,##0;\-#,##0;;"/>
    <numFmt numFmtId="171" formatCode="General;;"/>
    <numFmt numFmtId="172" formatCode="###;;"/>
    <numFmt numFmtId="173" formatCode="0.0%"/>
    <numFmt numFmtId="174" formatCode="0.0"/>
    <numFmt numFmtId="175" formatCode="dd\-mmm\-yyyy"/>
    <numFmt numFmtId="176" formatCode="0.000"/>
    <numFmt numFmtId="177" formatCode="\+#,##0;\-#,##0"/>
    <numFmt numFmtId="178" formatCode="0.00;;"/>
    <numFmt numFmtId="179" formatCode="\ dd\ \ mmmm\ \ yyyy"/>
    <numFmt numFmtId="180" formatCode="#,##0;;"/>
    <numFmt numFmtId="181" formatCode="0;;"/>
    <numFmt numFmtId="182" formatCode="\+0%;\-0%"/>
    <numFmt numFmtId="183" formatCode="#&quot; Hrs&quot;;\-#&quot; Hrs&quot;;"/>
    <numFmt numFmtId="184" formatCode="dd\-mmm\-yy;;"/>
    <numFmt numFmtId="185" formatCode="dd\-mmm\-yyyy;;"/>
    <numFmt numFmtId="186" formatCode="[$-F800]dddd\,\ mmmm\ dd\,\ yyyy"/>
    <numFmt numFmtId="187" formatCode="#,##0.000"/>
    <numFmt numFmtId="188" formatCode="#,##0_ ;\-#,##0\ "/>
    <numFmt numFmtId="189" formatCode="00"/>
    <numFmt numFmtId="190" formatCode="000000"/>
    <numFmt numFmtId="191" formatCode="#,##0;\-#,##0;"/>
    <numFmt numFmtId="192" formatCode="#,##0.0"/>
    <numFmt numFmtId="193" formatCode="0.0000"/>
    <numFmt numFmtId="194" formatCode="#,##0.00000"/>
    <numFmt numFmtId="195" formatCode="##0;;"/>
    <numFmt numFmtId="196" formatCode="0.000;;"/>
    <numFmt numFmtId="197" formatCode="0.0%;;"/>
    <numFmt numFmtId="198" formatCode="\ dd\ \ mmmm\ \ yyyy;;"/>
    <numFmt numFmtId="199" formatCode="0%;;"/>
    <numFmt numFmtId="200" formatCode="0.0000;;"/>
    <numFmt numFmtId="201" formatCode="0.000000000"/>
  </numFmts>
  <fonts count="201"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sz val="11"/>
      <color theme="1"/>
      <name val="Calibri"/>
      <family val="2"/>
      <scheme val="minor"/>
    </font>
    <font>
      <sz val="8"/>
      <color theme="1"/>
      <name val="Arial"/>
      <family val="2"/>
    </font>
    <font>
      <sz val="9"/>
      <color theme="1"/>
      <name val="Arial Narrow"/>
      <family val="2"/>
    </font>
    <font>
      <sz val="9"/>
      <color theme="1"/>
      <name val="Arial"/>
      <family val="2"/>
    </font>
    <font>
      <sz val="8"/>
      <color theme="1"/>
      <name val="Arial Narrow"/>
      <family val="2"/>
    </font>
    <font>
      <b/>
      <sz val="9"/>
      <name val="Arial"/>
      <family val="2"/>
    </font>
    <font>
      <sz val="10"/>
      <name val="Arial"/>
      <family val="2"/>
    </font>
    <font>
      <sz val="10"/>
      <color theme="0" tint="-0.499984740745262"/>
      <name val="Arial"/>
      <family val="2"/>
    </font>
    <font>
      <sz val="10"/>
      <color rgb="FF0000CC"/>
      <name val="Arial"/>
      <family val="2"/>
    </font>
    <font>
      <sz val="10"/>
      <color theme="0"/>
      <name val="Arial"/>
      <family val="2"/>
    </font>
    <font>
      <b/>
      <sz val="12"/>
      <color theme="1"/>
      <name val="Arial"/>
      <family val="2"/>
    </font>
    <font>
      <sz val="8"/>
      <color rgb="FF0000FF"/>
      <name val="Arial"/>
      <family val="2"/>
    </font>
    <font>
      <sz val="10"/>
      <color rgb="FF0000FF"/>
      <name val="Arial"/>
      <family val="2"/>
    </font>
    <font>
      <b/>
      <sz val="18"/>
      <color theme="1"/>
      <name val="Arial"/>
      <family val="2"/>
    </font>
    <font>
      <sz val="9"/>
      <color rgb="FFC00000"/>
      <name val="Arial"/>
      <family val="2"/>
    </font>
    <font>
      <sz val="10"/>
      <color rgb="FFC00000"/>
      <name val="Arial"/>
      <family val="2"/>
    </font>
    <font>
      <sz val="8"/>
      <name val="Arial"/>
      <family val="2"/>
    </font>
    <font>
      <sz val="8"/>
      <color rgb="FFC00000"/>
      <name val="Arial"/>
      <family val="2"/>
    </font>
    <font>
      <sz val="9"/>
      <color rgb="FF0000CC"/>
      <name val="Arial"/>
      <family val="2"/>
    </font>
    <font>
      <sz val="8"/>
      <color theme="1" tint="0.34998626667073579"/>
      <name val="Arial"/>
      <family val="2"/>
    </font>
    <font>
      <sz val="6"/>
      <name val="Arial Narrow"/>
      <family val="2"/>
    </font>
    <font>
      <sz val="7"/>
      <color theme="0" tint="-0.499984740745262"/>
      <name val="Arial"/>
      <family val="2"/>
    </font>
    <font>
      <b/>
      <sz val="14"/>
      <color theme="1"/>
      <name val="Arial"/>
      <family val="2"/>
    </font>
    <font>
      <b/>
      <sz val="9"/>
      <color theme="1"/>
      <name val="Arial"/>
      <family val="2"/>
    </font>
    <font>
      <b/>
      <sz val="22"/>
      <color rgb="FF00338D"/>
      <name val="Arial"/>
      <family val="2"/>
    </font>
    <font>
      <sz val="11"/>
      <color theme="1"/>
      <name val="Arial"/>
      <family val="2"/>
    </font>
    <font>
      <b/>
      <sz val="8"/>
      <color theme="1"/>
      <name val="Arial"/>
      <family val="2"/>
    </font>
    <font>
      <b/>
      <sz val="11"/>
      <color theme="1"/>
      <name val="Arial"/>
      <family val="2"/>
    </font>
    <font>
      <i/>
      <sz val="10"/>
      <color theme="1"/>
      <name val="Arial"/>
      <family val="2"/>
    </font>
    <font>
      <b/>
      <i/>
      <sz val="10"/>
      <name val="Arial"/>
      <family val="2"/>
    </font>
    <font>
      <b/>
      <sz val="12"/>
      <color rgb="FF00338D"/>
      <name val="Arial"/>
      <family val="2"/>
    </font>
    <font>
      <sz val="8"/>
      <color rgb="FF0000CC"/>
      <name val="Arial"/>
      <family val="2"/>
    </font>
    <font>
      <sz val="10"/>
      <name val="MS Sans Serif"/>
      <family val="2"/>
    </font>
    <font>
      <b/>
      <sz val="14"/>
      <color rgb="FF00338D"/>
      <name val="Arial"/>
      <family val="2"/>
    </font>
    <font>
      <sz val="6"/>
      <color theme="1"/>
      <name val="Arial"/>
      <family val="2"/>
    </font>
    <font>
      <sz val="10"/>
      <color rgb="FF00B050"/>
      <name val="Arial"/>
      <family val="2"/>
    </font>
    <font>
      <sz val="10"/>
      <color theme="9" tint="-0.499984740745262"/>
      <name val="Arial"/>
      <family val="2"/>
    </font>
    <font>
      <sz val="9"/>
      <color theme="0"/>
      <name val="Arial"/>
      <family val="2"/>
    </font>
    <font>
      <sz val="8"/>
      <color rgb="FF00B050"/>
      <name val="Arial"/>
      <family val="2"/>
    </font>
    <font>
      <sz val="8"/>
      <color theme="0" tint="-0.499984740745262"/>
      <name val="Arial"/>
      <family val="2"/>
    </font>
    <font>
      <b/>
      <sz val="14"/>
      <color theme="0"/>
      <name val="Arial"/>
      <family val="2"/>
    </font>
    <font>
      <b/>
      <sz val="16"/>
      <color theme="1"/>
      <name val="Arial"/>
      <family val="2"/>
    </font>
    <font>
      <b/>
      <sz val="11"/>
      <color rgb="FF00338D"/>
      <name val="Arial"/>
      <family val="2"/>
    </font>
    <font>
      <sz val="7"/>
      <color theme="1"/>
      <name val="Arial"/>
      <family val="2"/>
    </font>
    <font>
      <sz val="8"/>
      <color theme="9" tint="-0.499984740745262"/>
      <name val="Arial"/>
      <family val="2"/>
    </font>
    <font>
      <sz val="12"/>
      <color theme="1"/>
      <name val="Arial"/>
      <family val="2"/>
    </font>
    <font>
      <b/>
      <sz val="20"/>
      <color theme="1"/>
      <name val="Arial"/>
      <family val="2"/>
    </font>
    <font>
      <sz val="6"/>
      <color theme="0" tint="-0.499984740745262"/>
      <name val="Arial"/>
      <family val="2"/>
    </font>
    <font>
      <sz val="8"/>
      <color rgb="FFFF0000"/>
      <name val="Arial"/>
      <family val="2"/>
    </font>
    <font>
      <sz val="10"/>
      <color rgb="FFFF0000"/>
      <name val="Arial"/>
      <family val="2"/>
    </font>
    <font>
      <b/>
      <sz val="12"/>
      <color theme="9" tint="-0.499984740745262"/>
      <name val="Arial"/>
      <family val="2"/>
    </font>
    <font>
      <sz val="24"/>
      <color rgb="FFFF0000"/>
      <name val="Arial"/>
      <family val="2"/>
    </font>
    <font>
      <sz val="5"/>
      <color rgb="FFFF0000"/>
      <name val="Arial"/>
      <family val="2"/>
    </font>
    <font>
      <b/>
      <sz val="20"/>
      <color theme="4" tint="-0.249977111117893"/>
      <name val="Arial"/>
      <family val="2"/>
    </font>
    <font>
      <b/>
      <sz val="8"/>
      <color theme="0" tint="-0.499984740745262"/>
      <name val="Arial"/>
      <family val="2"/>
    </font>
    <font>
      <b/>
      <sz val="28"/>
      <color rgb="FF00338D"/>
      <name val="Arial"/>
      <family val="2"/>
    </font>
    <font>
      <sz val="8"/>
      <color theme="0" tint="-4.9989318521683403E-2"/>
      <name val="Arial"/>
      <family val="2"/>
    </font>
    <font>
      <sz val="18"/>
      <color theme="9" tint="-0.499984740745262"/>
      <name val="Wingdings"/>
      <charset val="2"/>
    </font>
    <font>
      <sz val="16"/>
      <color theme="9" tint="-0.499984740745262"/>
      <name val="Wingdings"/>
      <charset val="2"/>
    </font>
    <font>
      <sz val="7"/>
      <color theme="0" tint="-4.9989318521683403E-2"/>
      <name val="Arial Narrow"/>
      <family val="2"/>
    </font>
    <font>
      <sz val="9"/>
      <color theme="9" tint="-0.499984740745262"/>
      <name val="Arial"/>
      <family val="2"/>
    </font>
    <font>
      <b/>
      <sz val="16"/>
      <color rgb="FF00338D"/>
      <name val="Arial"/>
      <family val="2"/>
    </font>
    <font>
      <sz val="10"/>
      <color theme="9" tint="-0.499984740745262"/>
      <name val="Wingdings"/>
      <charset val="2"/>
    </font>
    <font>
      <b/>
      <sz val="20"/>
      <color rgb="FF00338D"/>
      <name val="Arial"/>
      <family val="2"/>
    </font>
    <font>
      <b/>
      <sz val="26"/>
      <color rgb="FF00338D"/>
      <name val="Arial"/>
      <family val="2"/>
    </font>
    <font>
      <sz val="10"/>
      <color rgb="FF00338D"/>
      <name val="Arial"/>
      <family val="2"/>
    </font>
    <font>
      <b/>
      <sz val="24"/>
      <color rgb="FF00338D"/>
      <name val="Arial"/>
      <family val="2"/>
    </font>
    <font>
      <sz val="8"/>
      <color theme="0" tint="-0.499984740745262"/>
      <name val="Arial Narrow"/>
      <family val="2"/>
    </font>
    <font>
      <b/>
      <sz val="32"/>
      <color rgb="FF00338D"/>
      <name val="Arial"/>
      <family val="2"/>
    </font>
    <font>
      <u/>
      <sz val="10"/>
      <color theme="1"/>
      <name val="Arial"/>
      <family val="2"/>
    </font>
    <font>
      <b/>
      <sz val="10"/>
      <color rgb="FF00338D"/>
      <name val="Arial"/>
      <family val="2"/>
    </font>
    <font>
      <sz val="9"/>
      <color rgb="FFFF0000"/>
      <name val="Arial"/>
      <family val="2"/>
    </font>
    <font>
      <b/>
      <sz val="18"/>
      <color theme="0"/>
      <name val="Arial"/>
      <family val="2"/>
    </font>
    <font>
      <b/>
      <sz val="36"/>
      <color rgb="FF00338D"/>
      <name val="Arial"/>
      <family val="2"/>
    </font>
    <font>
      <sz val="8"/>
      <color rgb="FF000000"/>
      <name val="Arial"/>
      <family val="2"/>
    </font>
    <font>
      <b/>
      <sz val="10"/>
      <color theme="9" tint="-0.499984740745262"/>
      <name val="Arial"/>
      <family val="2"/>
    </font>
    <font>
      <i/>
      <sz val="10"/>
      <color theme="9" tint="-0.499984740745262"/>
      <name val="Arial"/>
      <family val="2"/>
    </font>
    <font>
      <b/>
      <sz val="10"/>
      <color theme="1" tint="0.34998626667073579"/>
      <name val="Arial"/>
      <family val="2"/>
    </font>
    <font>
      <b/>
      <sz val="24"/>
      <color theme="1"/>
      <name val="Arial"/>
      <family val="2"/>
    </font>
    <font>
      <sz val="9"/>
      <color theme="0" tint="-4.9989318521683403E-2"/>
      <name val="Arial"/>
      <family val="2"/>
    </font>
    <font>
      <sz val="11"/>
      <color theme="0"/>
      <name val="Arial"/>
      <family val="2"/>
    </font>
    <font>
      <b/>
      <sz val="11"/>
      <color theme="0" tint="-0.34998626667073579"/>
      <name val="Arial"/>
      <family val="2"/>
    </font>
    <font>
      <sz val="12"/>
      <color theme="0" tint="-0.499984740745262"/>
      <name val="Wingdings 3"/>
      <family val="1"/>
      <charset val="2"/>
    </font>
    <font>
      <sz val="8"/>
      <color indexed="63"/>
      <name val="Arial"/>
      <family val="2"/>
    </font>
    <font>
      <sz val="11"/>
      <color rgb="FFFF0000"/>
      <name val="Arial"/>
      <family val="2"/>
    </font>
    <font>
      <sz val="8"/>
      <color theme="0"/>
      <name val="Arial"/>
      <family val="2"/>
    </font>
    <font>
      <sz val="8"/>
      <color rgb="FF000000"/>
      <name val="Tahoma"/>
      <family val="2"/>
    </font>
    <font>
      <b/>
      <sz val="9"/>
      <color indexed="81"/>
      <name val="Tahoma"/>
      <family val="2"/>
    </font>
    <font>
      <sz val="10"/>
      <color rgb="FF7030A0"/>
      <name val="Arial"/>
      <family val="2"/>
    </font>
    <font>
      <sz val="8"/>
      <color rgb="FF7030A0"/>
      <name val="Arial"/>
      <family val="2"/>
    </font>
    <font>
      <sz val="14"/>
      <color rgb="FF00338D"/>
      <name val="Arial"/>
      <family val="2"/>
    </font>
    <font>
      <sz val="16"/>
      <color rgb="FF00338D"/>
      <name val="Arial"/>
      <family val="2"/>
    </font>
    <font>
      <u/>
      <sz val="10"/>
      <color theme="9" tint="-0.499984740745262"/>
      <name val="Arial"/>
      <family val="2"/>
    </font>
    <font>
      <b/>
      <sz val="10"/>
      <color rgb="FFFFF5B9"/>
      <name val="Arial"/>
      <family val="2"/>
    </font>
    <font>
      <b/>
      <sz val="12"/>
      <color theme="0"/>
      <name val="Arial"/>
      <family val="2"/>
    </font>
    <font>
      <u/>
      <sz val="11"/>
      <color theme="10"/>
      <name val="Calibri"/>
      <family val="2"/>
      <scheme val="minor"/>
    </font>
    <font>
      <sz val="9"/>
      <color indexed="81"/>
      <name val="Tahoma"/>
      <family val="2"/>
    </font>
    <font>
      <sz val="14"/>
      <color theme="0"/>
      <name val="Arial"/>
      <family val="2"/>
    </font>
    <font>
      <b/>
      <sz val="10"/>
      <color theme="0"/>
      <name val="Arial"/>
      <family val="2"/>
    </font>
    <font>
      <b/>
      <sz val="40"/>
      <color rgb="FF00338D"/>
      <name val="Arial"/>
      <family val="2"/>
    </font>
    <font>
      <b/>
      <sz val="16"/>
      <color theme="0"/>
      <name val="Arial"/>
      <family val="2"/>
    </font>
    <font>
      <sz val="9"/>
      <color theme="0" tint="-0.14999847407452621"/>
      <name val="Arial"/>
      <family val="2"/>
    </font>
    <font>
      <sz val="10"/>
      <color theme="0" tint="-0.14999847407452621"/>
      <name val="Arial"/>
      <family val="2"/>
    </font>
    <font>
      <sz val="8"/>
      <color theme="0" tint="-0.14999847407452621"/>
      <name val="Arial"/>
      <family val="2"/>
    </font>
    <font>
      <sz val="12"/>
      <color theme="0"/>
      <name val="Arial"/>
      <family val="2"/>
    </font>
    <font>
      <sz val="8"/>
      <color theme="0" tint="-0.34998626667073579"/>
      <name val="Arial"/>
      <family val="2"/>
    </font>
    <font>
      <sz val="8"/>
      <color rgb="FFE1E1E1"/>
      <name val="Arial"/>
      <family val="2"/>
    </font>
    <font>
      <sz val="8"/>
      <color theme="9" tint="-0.499984740745262"/>
      <name val="Wingdings"/>
      <charset val="2"/>
    </font>
    <font>
      <sz val="8"/>
      <color theme="1"/>
      <name val="Wingdings"/>
      <charset val="2"/>
    </font>
    <font>
      <sz val="5"/>
      <color theme="1"/>
      <name val="Arial"/>
      <family val="2"/>
    </font>
    <font>
      <b/>
      <sz val="11"/>
      <color rgb="FFC00000"/>
      <name val="Arial"/>
      <family val="2"/>
    </font>
    <font>
      <b/>
      <sz val="8"/>
      <color rgb="FFC00000"/>
      <name val="Arial"/>
      <family val="2"/>
    </font>
    <font>
      <b/>
      <sz val="10"/>
      <color rgb="FFC00000"/>
      <name val="Arial"/>
      <family val="2"/>
    </font>
    <font>
      <b/>
      <sz val="12"/>
      <color rgb="FFC00000"/>
      <name val="Arial"/>
      <family val="2"/>
    </font>
    <font>
      <b/>
      <sz val="10"/>
      <name val="Arial"/>
      <family val="2"/>
    </font>
    <font>
      <b/>
      <sz val="8"/>
      <color rgb="FF000000"/>
      <name val="Arial"/>
      <family val="2"/>
    </font>
    <font>
      <b/>
      <sz val="10"/>
      <color rgb="FFFF0000"/>
      <name val="Arial"/>
      <family val="2"/>
    </font>
    <font>
      <b/>
      <sz val="10"/>
      <color theme="0" tint="-0.34998626667073579"/>
      <name val="Arial"/>
      <family val="2"/>
    </font>
    <font>
      <sz val="8"/>
      <color theme="1"/>
      <name val="Calibri"/>
      <family val="2"/>
      <scheme val="minor"/>
    </font>
    <font>
      <b/>
      <sz val="9"/>
      <color theme="0" tint="-0.34998626667073579"/>
      <name val="Arial"/>
      <family val="2"/>
    </font>
    <font>
      <b/>
      <sz val="8"/>
      <color theme="9" tint="-0.499984740745262"/>
      <name val="Arial"/>
      <family val="2"/>
    </font>
    <font>
      <b/>
      <sz val="8"/>
      <color rgb="FF00338D"/>
      <name val="Arial"/>
      <family val="2"/>
    </font>
    <font>
      <b/>
      <sz val="8"/>
      <color rgb="FFFF0000"/>
      <name val="Arial"/>
      <family val="2"/>
    </font>
    <font>
      <sz val="18"/>
      <color theme="1"/>
      <name val="Arial"/>
      <family val="2"/>
    </font>
    <font>
      <b/>
      <sz val="22"/>
      <color rgb="FFFF3300"/>
      <name val="Arial"/>
      <family val="2"/>
    </font>
    <font>
      <sz val="12"/>
      <color rgb="FF00338D"/>
      <name val="Arial"/>
      <family val="2"/>
    </font>
    <font>
      <sz val="10"/>
      <color theme="0"/>
      <name val="MS Sans Serif"/>
      <family val="2"/>
    </font>
    <font>
      <sz val="6"/>
      <color rgb="FFC00000"/>
      <name val="Arial"/>
      <family val="2"/>
    </font>
    <font>
      <b/>
      <sz val="22"/>
      <color rgb="FF006600"/>
      <name val="Arial"/>
      <family val="2"/>
    </font>
    <font>
      <sz val="10"/>
      <color theme="1"/>
      <name val="Wingdings"/>
      <charset val="2"/>
    </font>
    <font>
      <sz val="22"/>
      <color rgb="FF00338D"/>
      <name val="Arial"/>
      <family val="2"/>
    </font>
    <font>
      <b/>
      <sz val="18"/>
      <color rgb="FF00338D"/>
      <name val="Arial"/>
      <family val="2"/>
    </font>
    <font>
      <sz val="18"/>
      <color rgb="FF00338D"/>
      <name val="Arial"/>
      <family val="2"/>
    </font>
    <font>
      <u/>
      <sz val="10"/>
      <color rgb="FFC00000"/>
      <name val="Arial"/>
      <family val="2"/>
    </font>
    <font>
      <sz val="8"/>
      <color rgb="FF00338D"/>
      <name val="Arial"/>
      <family val="2"/>
    </font>
    <font>
      <sz val="11"/>
      <color theme="9" tint="-0.499984740745262"/>
      <name val="Arial"/>
      <family val="2"/>
    </font>
    <font>
      <b/>
      <sz val="9"/>
      <color theme="9" tint="-0.499984740745262"/>
      <name val="Arial"/>
      <family val="2"/>
    </font>
    <font>
      <sz val="10"/>
      <color theme="0" tint="-0.249977111117893"/>
      <name val="Arial"/>
      <family val="2"/>
    </font>
    <font>
      <sz val="11"/>
      <color theme="0" tint="-0.249977111117893"/>
      <name val="Arial"/>
      <family val="2"/>
    </font>
    <font>
      <b/>
      <sz val="10"/>
      <color theme="0" tint="-0.249977111117893"/>
      <name val="Arial"/>
      <family val="2"/>
    </font>
    <font>
      <b/>
      <sz val="16"/>
      <color theme="0" tint="-0.249977111117893"/>
      <name val="Arial"/>
      <family val="2"/>
    </font>
    <font>
      <b/>
      <sz val="11"/>
      <color rgb="FFFF0000"/>
      <name val="Arial"/>
      <family val="2"/>
    </font>
    <font>
      <b/>
      <sz val="11"/>
      <color rgb="FFE1E1E1"/>
      <name val="Arial"/>
      <family val="2"/>
    </font>
    <font>
      <sz val="10"/>
      <color theme="0" tint="-0.34998626667073579"/>
      <name val="Arial"/>
      <family val="2"/>
    </font>
    <font>
      <sz val="7"/>
      <color theme="9" tint="-0.499984740745262"/>
      <name val="Arial"/>
      <family val="2"/>
    </font>
    <font>
      <sz val="11"/>
      <color rgb="FF00B050"/>
      <name val="Arial"/>
      <family val="2"/>
    </font>
    <font>
      <sz val="10"/>
      <name val="Arial Narrow"/>
      <family val="2"/>
    </font>
    <font>
      <sz val="9"/>
      <name val="Arial"/>
      <family val="2"/>
    </font>
    <font>
      <sz val="6"/>
      <name val="Arial"/>
      <family val="2"/>
    </font>
    <font>
      <sz val="11"/>
      <name val="Arial"/>
      <family val="2"/>
    </font>
    <font>
      <sz val="8"/>
      <name val="Arial Narrow"/>
      <family val="2"/>
    </font>
    <font>
      <sz val="8"/>
      <color theme="0" tint="-0.249977111117893"/>
      <name val="Arial"/>
      <family val="2"/>
    </font>
    <font>
      <sz val="8"/>
      <color theme="9" tint="-0.499984740745262"/>
      <name val="Arial Narrow"/>
      <family val="2"/>
    </font>
    <font>
      <sz val="10"/>
      <color theme="0" tint="-4.9989318521683403E-2"/>
      <name val="Arial"/>
      <family val="2"/>
    </font>
    <font>
      <b/>
      <sz val="10"/>
      <color rgb="FF00B050"/>
      <name val="Arial"/>
      <family val="2"/>
    </font>
    <font>
      <sz val="8"/>
      <color rgb="FF00B0F0"/>
      <name val="Arial"/>
      <family val="2"/>
    </font>
    <font>
      <sz val="6"/>
      <color rgb="FF00B050"/>
      <name val="Arial"/>
      <family val="2"/>
    </font>
    <font>
      <sz val="10"/>
      <color theme="4" tint="-0.249977111117893"/>
      <name val="Arial"/>
      <family val="2"/>
    </font>
    <font>
      <b/>
      <sz val="22"/>
      <color theme="1"/>
      <name val="Arial"/>
      <family val="2"/>
    </font>
    <font>
      <b/>
      <sz val="8"/>
      <color theme="0" tint="-0.249977111117893"/>
      <name val="Arial"/>
      <family val="2"/>
    </font>
    <font>
      <u/>
      <sz val="8"/>
      <color theme="1"/>
      <name val="Arial"/>
      <family val="2"/>
    </font>
    <font>
      <i/>
      <sz val="8"/>
      <color theme="1"/>
      <name val="Arial"/>
      <family val="2"/>
    </font>
    <font>
      <b/>
      <sz val="8"/>
      <color rgb="FF00B050"/>
      <name val="Arial"/>
      <family val="2"/>
    </font>
    <font>
      <sz val="6.5"/>
      <color theme="0" tint="-4.9989318521683403E-2"/>
      <name val="Arial"/>
      <family val="2"/>
    </font>
    <font>
      <b/>
      <sz val="11"/>
      <color theme="0"/>
      <name val="Arial"/>
      <family val="2"/>
    </font>
    <font>
      <i/>
      <u/>
      <sz val="10"/>
      <color theme="1"/>
      <name val="Arial"/>
      <family val="2"/>
    </font>
    <font>
      <b/>
      <i/>
      <sz val="10"/>
      <color theme="1"/>
      <name val="Arial"/>
      <family val="2"/>
    </font>
    <font>
      <b/>
      <sz val="8"/>
      <color theme="0" tint="-0.34998626667073579"/>
      <name val="Arial"/>
      <family val="2"/>
    </font>
    <font>
      <i/>
      <sz val="8"/>
      <color theme="6" tint="-0.499984740745262"/>
      <name val="Arial"/>
      <family val="2"/>
    </font>
    <font>
      <sz val="8"/>
      <color rgb="FFD2D2D2"/>
      <name val="Arial"/>
      <family val="2"/>
    </font>
    <font>
      <b/>
      <sz val="36"/>
      <color theme="1"/>
      <name val="Arial"/>
      <family val="2"/>
    </font>
    <font>
      <b/>
      <sz val="12"/>
      <color theme="0" tint="-0.14999847407452621"/>
      <name val="Arial"/>
      <family val="2"/>
    </font>
    <font>
      <b/>
      <sz val="9"/>
      <color rgb="FFC00000"/>
      <name val="Arial"/>
      <family val="2"/>
    </font>
    <font>
      <sz val="16"/>
      <color theme="1"/>
      <name val="Arial"/>
      <family val="2"/>
    </font>
    <font>
      <b/>
      <sz val="18"/>
      <color theme="0"/>
      <name val="Wingdings"/>
      <charset val="2"/>
    </font>
    <font>
      <sz val="7"/>
      <color theme="0"/>
      <name val="Arial"/>
      <family val="2"/>
    </font>
    <font>
      <u/>
      <sz val="10"/>
      <color theme="10"/>
      <name val="Arial"/>
      <family val="2"/>
    </font>
    <font>
      <b/>
      <sz val="10"/>
      <color rgb="FFE1E1E1"/>
      <name val="Arial"/>
      <family val="2"/>
    </font>
    <font>
      <sz val="9"/>
      <color theme="0" tint="-0.34998626667073579"/>
      <name val="Arial"/>
      <family val="2"/>
    </font>
    <font>
      <b/>
      <sz val="8"/>
      <color theme="0"/>
      <name val="Arial"/>
      <family val="2"/>
    </font>
    <font>
      <sz val="8"/>
      <color theme="6" tint="0.39997558519241921"/>
      <name val="Arial"/>
      <family val="2"/>
    </font>
    <font>
      <b/>
      <sz val="8"/>
      <color theme="0" tint="-4.9989318521683403E-2"/>
      <name val="Arial"/>
      <family val="2"/>
    </font>
    <font>
      <sz val="20"/>
      <color theme="1"/>
      <name val="Arial"/>
      <family val="2"/>
    </font>
    <font>
      <b/>
      <sz val="22"/>
      <name val="Arial"/>
      <family val="2"/>
    </font>
    <font>
      <b/>
      <sz val="22"/>
      <color theme="9" tint="-0.499984740745262"/>
      <name val="Arial"/>
      <family val="2"/>
    </font>
    <font>
      <i/>
      <sz val="9"/>
      <color theme="9" tint="-0.499984740745262"/>
      <name val="Arial"/>
      <family val="2"/>
    </font>
    <font>
      <sz val="11"/>
      <color theme="9" tint="0.39997558519241921"/>
      <name val="Arial"/>
      <family val="2"/>
    </font>
    <font>
      <sz val="10"/>
      <color rgb="FFFFFF00"/>
      <name val="Arial"/>
      <family val="2"/>
    </font>
    <font>
      <i/>
      <sz val="8"/>
      <color theme="9" tint="-0.499984740745262"/>
      <name val="Arial"/>
      <family val="2"/>
    </font>
    <font>
      <i/>
      <sz val="11"/>
      <color theme="9" tint="-0.499984740745262"/>
      <name val="Arial"/>
      <family val="2"/>
    </font>
    <font>
      <sz val="5"/>
      <color rgb="FF00B050"/>
      <name val="Arial"/>
      <family val="2"/>
    </font>
    <font>
      <b/>
      <sz val="40"/>
      <color theme="1"/>
      <name val="Arial"/>
      <family val="2"/>
    </font>
    <font>
      <b/>
      <sz val="26"/>
      <color theme="1"/>
      <name val="Arial"/>
      <family val="2"/>
    </font>
    <font>
      <b/>
      <sz val="8"/>
      <color rgb="FF0000FF"/>
      <name val="Arial"/>
      <family val="2"/>
    </font>
  </fonts>
  <fills count="74">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6" tint="0.39994506668294322"/>
        <bgColor indexed="64"/>
      </patternFill>
    </fill>
    <fill>
      <patternFill patternType="solid">
        <fgColor theme="4" tint="0.79998168889431442"/>
        <bgColor indexed="64"/>
      </patternFill>
    </fill>
    <fill>
      <patternFill patternType="solid">
        <fgColor rgb="FFFF6600"/>
        <bgColor indexed="64"/>
      </patternFill>
    </fill>
    <fill>
      <patternFill patternType="solid">
        <fgColor rgb="FFFF0000"/>
        <bgColor indexed="64"/>
      </patternFill>
    </fill>
    <fill>
      <patternFill patternType="solid">
        <fgColor rgb="FFFFC000"/>
        <bgColor indexed="64"/>
      </patternFill>
    </fill>
    <fill>
      <patternFill patternType="solid">
        <fgColor rgb="FFCBDD99"/>
        <bgColor indexed="64"/>
      </patternFill>
    </fill>
    <fill>
      <patternFill patternType="solid">
        <fgColor rgb="FFD9E1EE"/>
        <bgColor indexed="64"/>
      </patternFill>
    </fill>
    <fill>
      <patternFill patternType="solid">
        <fgColor rgb="FFE5C4CC"/>
        <bgColor indexed="64"/>
      </patternFill>
    </fill>
    <fill>
      <patternFill patternType="solid">
        <fgColor rgb="FFFFF5B9"/>
        <bgColor indexed="64"/>
      </patternFill>
    </fill>
    <fill>
      <patternFill patternType="solid">
        <fgColor theme="6" tint="0.39997558519241921"/>
        <bgColor indexed="64"/>
      </patternFill>
    </fill>
    <fill>
      <patternFill patternType="solid">
        <fgColor theme="1"/>
        <bgColor indexed="64"/>
      </patternFill>
    </fill>
    <fill>
      <patternFill patternType="solid">
        <fgColor indexed="12"/>
        <bgColor indexed="64"/>
      </patternFill>
    </fill>
    <fill>
      <patternFill patternType="solid">
        <fgColor indexed="11"/>
        <bgColor indexed="64"/>
      </patternFill>
    </fill>
    <fill>
      <patternFill patternType="solid">
        <fgColor indexed="52"/>
        <bgColor indexed="64"/>
      </patternFill>
    </fill>
    <fill>
      <patternFill patternType="solid">
        <fgColor indexed="10"/>
        <bgColor indexed="64"/>
      </patternFill>
    </fill>
    <fill>
      <patternFill patternType="solid">
        <fgColor indexed="13"/>
        <bgColor indexed="64"/>
      </patternFill>
    </fill>
    <fill>
      <patternFill patternType="solid">
        <fgColor rgb="FF99ADD1"/>
        <bgColor indexed="64"/>
      </patternFill>
    </fill>
    <fill>
      <patternFill patternType="solid">
        <fgColor rgb="FF00338D"/>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832F"/>
        <bgColor indexed="64"/>
      </patternFill>
    </fill>
    <fill>
      <patternFill patternType="solid">
        <fgColor rgb="FF8CAF47"/>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9" tint="0.59999389629810485"/>
        <bgColor indexed="64"/>
      </patternFill>
    </fill>
    <fill>
      <gradientFill degree="90">
        <stop position="0">
          <color theme="4" tint="-0.49803155613879818"/>
        </stop>
        <stop position="1">
          <color theme="4"/>
        </stop>
      </gradientFill>
    </fill>
    <fill>
      <gradientFill degree="90">
        <stop position="0">
          <color theme="8" tint="-0.49803155613879818"/>
        </stop>
        <stop position="1">
          <color theme="8" tint="-0.25098422193060094"/>
        </stop>
      </gradientFill>
    </fill>
    <fill>
      <patternFill patternType="solid">
        <fgColor rgb="FFE1E1E1"/>
        <bgColor indexed="64"/>
      </patternFill>
    </fill>
    <fill>
      <patternFill patternType="solid">
        <fgColor theme="7" tint="0.39997558519241921"/>
        <bgColor indexed="64"/>
      </patternFill>
    </fill>
    <fill>
      <patternFill patternType="solid">
        <fgColor theme="0" tint="-0.249977111117893"/>
        <bgColor indexed="64"/>
      </patternFill>
    </fill>
    <fill>
      <gradientFill degree="90">
        <stop position="0">
          <color rgb="FFFEFEFE"/>
        </stop>
        <stop position="1">
          <color rgb="FFF1F4F8"/>
        </stop>
      </gradientFill>
    </fill>
    <fill>
      <patternFill patternType="solid">
        <fgColor theme="9" tint="0.39997558519241921"/>
        <bgColor indexed="64"/>
      </patternFill>
    </fill>
    <fill>
      <patternFill patternType="solid">
        <fgColor theme="1" tint="0.24994659260841701"/>
        <bgColor indexed="64"/>
      </patternFill>
    </fill>
    <fill>
      <patternFill patternType="solid">
        <fgColor theme="6" tint="-0.249977111117893"/>
        <bgColor indexed="64"/>
      </patternFill>
    </fill>
    <fill>
      <patternFill patternType="solid">
        <fgColor theme="8" tint="-0.249977111117893"/>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rgb="FF003397"/>
        <bgColor indexed="64"/>
      </patternFill>
    </fill>
    <fill>
      <patternFill patternType="solid">
        <fgColor theme="8" tint="-0.499984740745262"/>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rgb="FFFCDDC4"/>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rgb="FFFFCCCC"/>
        <bgColor indexed="64"/>
      </patternFill>
    </fill>
    <fill>
      <patternFill patternType="solid">
        <fgColor rgb="FF97BC33"/>
        <bgColor indexed="64"/>
      </patternFill>
    </fill>
    <fill>
      <patternFill patternType="solid">
        <fgColor rgb="FFFFF9D5"/>
        <bgColor indexed="64"/>
      </patternFill>
    </fill>
    <fill>
      <patternFill patternType="solid">
        <fgColor rgb="FF006600"/>
        <bgColor indexed="64"/>
      </patternFill>
    </fill>
    <fill>
      <patternFill patternType="solid">
        <fgColor rgb="FFCAE8AA"/>
        <bgColor indexed="64"/>
      </patternFill>
    </fill>
    <fill>
      <patternFill patternType="solid">
        <fgColor theme="7" tint="0.59996337778862885"/>
        <bgColor indexed="64"/>
      </patternFill>
    </fill>
    <fill>
      <patternFill patternType="solid">
        <fgColor theme="9" tint="0.79998168889431442"/>
        <bgColor indexed="64"/>
      </patternFill>
    </fill>
    <fill>
      <patternFill patternType="solid">
        <fgColor rgb="FFFAFAFA"/>
        <bgColor indexed="64"/>
      </patternFill>
    </fill>
    <fill>
      <patternFill patternType="solid">
        <fgColor rgb="FFD2D2D2"/>
        <bgColor indexed="64"/>
      </patternFill>
    </fill>
    <fill>
      <patternFill patternType="solid">
        <fgColor rgb="FFA8B9D8"/>
        <bgColor indexed="64"/>
      </patternFill>
    </fill>
    <fill>
      <patternFill patternType="solid">
        <fgColor rgb="FFEFEBDE"/>
        <bgColor indexed="64"/>
      </patternFill>
    </fill>
    <fill>
      <patternFill patternType="solid">
        <fgColor rgb="FFDEFFDC"/>
        <bgColor indexed="64"/>
      </patternFill>
    </fill>
    <fill>
      <patternFill patternType="solid">
        <fgColor rgb="FF92D050"/>
        <bgColor indexed="64"/>
      </patternFill>
    </fill>
    <fill>
      <patternFill patternType="solid">
        <fgColor rgb="FFE9E9E9"/>
        <bgColor indexed="64"/>
      </patternFill>
    </fill>
    <fill>
      <patternFill patternType="solid">
        <fgColor rgb="FFE5E5E5"/>
        <bgColor indexed="64"/>
      </patternFill>
    </fill>
    <fill>
      <patternFill patternType="solid">
        <fgColor theme="2"/>
        <bgColor indexed="64"/>
      </patternFill>
    </fill>
    <fill>
      <patternFill patternType="solid">
        <fgColor theme="8" tint="0.59999389629810485"/>
        <bgColor indexed="64"/>
      </patternFill>
    </fill>
    <fill>
      <patternFill patternType="solid">
        <fgColor rgb="FF00B050"/>
        <bgColor indexed="64"/>
      </patternFill>
    </fill>
    <fill>
      <patternFill patternType="solid">
        <fgColor rgb="FFE6E6E6"/>
        <bgColor indexed="64"/>
      </patternFill>
    </fill>
    <fill>
      <patternFill patternType="solid">
        <fgColor rgb="FFFFC9C9"/>
        <bgColor indexed="64"/>
      </patternFill>
    </fill>
    <fill>
      <patternFill patternType="solid">
        <fgColor rgb="FFFFEB71"/>
        <bgColor indexed="64"/>
      </patternFill>
    </fill>
    <fill>
      <gradientFill degree="90">
        <stop position="0">
          <color theme="6" tint="-0.49803155613879818"/>
        </stop>
        <stop position="1">
          <color theme="6" tint="-0.25098422193060094"/>
        </stop>
      </gradientFill>
    </fill>
    <fill>
      <gradientFill degree="90">
        <stop position="0">
          <color theme="8" tint="-0.49803155613879818"/>
        </stop>
        <stop position="1">
          <color rgb="FF318499"/>
        </stop>
      </gradientFill>
    </fill>
    <fill>
      <patternFill patternType="solid">
        <fgColor rgb="FFFFFFCC"/>
        <bgColor indexed="64"/>
      </patternFill>
    </fill>
  </fills>
  <borders count="599">
    <border>
      <left/>
      <right/>
      <top/>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bottom/>
      <diagonal/>
    </border>
    <border>
      <left/>
      <right/>
      <top style="thin">
        <color theme="0" tint="-0.24994659260841701"/>
      </top>
      <bottom style="thin">
        <color theme="0" tint="-0.24994659260841701"/>
      </bottom>
      <diagonal/>
    </border>
    <border>
      <left style="thin">
        <color theme="0" tint="-0.14996795556505021"/>
      </left>
      <right style="thin">
        <color theme="0" tint="-0.14996795556505021"/>
      </right>
      <top style="thin">
        <color theme="0" tint="-0.24994659260841701"/>
      </top>
      <bottom style="thin">
        <color theme="0" tint="-0.24994659260841701"/>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499984740745262"/>
      </left>
      <right style="thin">
        <color theme="0" tint="-0.499984740745262"/>
      </right>
      <top style="thin">
        <color theme="0" tint="-0.34998626667073579"/>
      </top>
      <bottom style="thin">
        <color theme="0" tint="-0.34998626667073579"/>
      </bottom>
      <diagonal/>
    </border>
    <border>
      <left style="thin">
        <color indexed="64"/>
      </left>
      <right style="thin">
        <color indexed="64"/>
      </right>
      <top/>
      <bottom/>
      <diagonal/>
    </border>
    <border>
      <left style="thin">
        <color indexed="64"/>
      </left>
      <right style="thin">
        <color indexed="64"/>
      </right>
      <top style="thin">
        <color theme="0" tint="-0.34998626667073579"/>
      </top>
      <bottom style="thin">
        <color theme="0" tint="-0.34998626667073579"/>
      </bottom>
      <diagonal/>
    </border>
    <border>
      <left style="thin">
        <color theme="1"/>
      </left>
      <right style="thin">
        <color theme="1"/>
      </right>
      <top/>
      <bottom/>
      <diagonal/>
    </border>
    <border>
      <left style="thin">
        <color theme="0" tint="-0.499984740745262"/>
      </left>
      <right style="thin">
        <color indexed="64"/>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thin">
        <color theme="0" tint="-0.499984740745262"/>
      </bottom>
      <diagonal/>
    </border>
    <border>
      <left style="thin">
        <color indexed="64"/>
      </left>
      <right/>
      <top style="thin">
        <color theme="0" tint="-0.24994659260841701"/>
      </top>
      <bottom style="thin">
        <color theme="0" tint="-0.24994659260841701"/>
      </bottom>
      <diagonal/>
    </border>
    <border>
      <left style="thin">
        <color theme="0" tint="-0.14996795556505021"/>
      </left>
      <right style="thin">
        <color theme="0" tint="-0.14993743705557422"/>
      </right>
      <top style="thin">
        <color theme="0" tint="-0.24994659260841701"/>
      </top>
      <bottom style="thin">
        <color theme="0" tint="-0.24994659260841701"/>
      </bottom>
      <diagonal/>
    </border>
    <border>
      <left/>
      <right/>
      <top style="thin">
        <color theme="0" tint="-0.24994659260841701"/>
      </top>
      <bottom style="thin">
        <color indexed="64"/>
      </bottom>
      <diagonal/>
    </border>
    <border>
      <left/>
      <right style="thin">
        <color theme="0" tint="-0.499984740745262"/>
      </right>
      <top style="thin">
        <color theme="0" tint="-0.24994659260841701"/>
      </top>
      <bottom style="thin">
        <color theme="0" tint="-0.24994659260841701"/>
      </bottom>
      <diagonal/>
    </border>
    <border>
      <left/>
      <right/>
      <top/>
      <bottom style="thin">
        <color theme="1" tint="0.34998626667073579"/>
      </bottom>
      <diagonal/>
    </border>
    <border>
      <left style="thin">
        <color indexed="64"/>
      </left>
      <right style="thin">
        <color indexed="64"/>
      </right>
      <top/>
      <bottom style="medium">
        <color indexed="64"/>
      </bottom>
      <diagonal/>
    </border>
    <border>
      <left style="thin">
        <color theme="0" tint="-0.14993743705557422"/>
      </left>
      <right/>
      <top style="thin">
        <color theme="0" tint="-0.24994659260841701"/>
      </top>
      <bottom style="thin">
        <color theme="0" tint="-0.24994659260841701"/>
      </bottom>
      <diagonal/>
    </border>
    <border>
      <left/>
      <right style="medium">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indexed="64"/>
      </right>
      <top style="thin">
        <color theme="0" tint="-0.499984740745262"/>
      </top>
      <bottom style="thin">
        <color theme="0" tint="-0.499984740745262"/>
      </bottom>
      <diagonal/>
    </border>
    <border>
      <left/>
      <right/>
      <top style="thin">
        <color theme="0" tint="-0.499984740745262"/>
      </top>
      <bottom style="thin">
        <color indexed="64"/>
      </bottom>
      <diagonal/>
    </border>
    <border>
      <left/>
      <right/>
      <top/>
      <bottom style="medium">
        <color indexed="64"/>
      </bottom>
      <diagonal/>
    </border>
    <border>
      <left/>
      <right/>
      <top/>
      <bottom style="thin">
        <color theme="0" tint="-0.24994659260841701"/>
      </bottom>
      <diagonal/>
    </border>
    <border>
      <left style="thin">
        <color indexed="64"/>
      </left>
      <right/>
      <top style="thin">
        <color indexed="64"/>
      </top>
      <bottom style="thin">
        <color theme="0" tint="-0.34998626667073579"/>
      </bottom>
      <diagonal/>
    </border>
    <border>
      <left style="thin">
        <color indexed="64"/>
      </left>
      <right/>
      <top style="thin">
        <color theme="0" tint="-0.34998626667073579"/>
      </top>
      <bottom style="thin">
        <color theme="0"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theme="0" tint="-0.499984740745262"/>
      </right>
      <top style="thin">
        <color theme="0" tint="-0.34998626667073579"/>
      </top>
      <bottom style="thin">
        <color theme="0" tint="-0.34998626667073579"/>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theme="1" tint="0.24994659260841701"/>
      </bottom>
      <diagonal/>
    </border>
    <border>
      <left style="thin">
        <color indexed="64"/>
      </left>
      <right style="thin">
        <color indexed="64"/>
      </right>
      <top style="thin">
        <color theme="1" tint="0.24994659260841701"/>
      </top>
      <bottom style="thin">
        <color theme="1" tint="0.24994659260841701"/>
      </bottom>
      <diagonal/>
    </border>
    <border>
      <left style="thin">
        <color indexed="64"/>
      </left>
      <right/>
      <top/>
      <bottom style="thin">
        <color theme="0" tint="-0.24994659260841701"/>
      </bottom>
      <diagonal/>
    </border>
    <border>
      <left style="thin">
        <color theme="0" tint="-0.14996795556505021"/>
      </left>
      <right style="thin">
        <color theme="0" tint="-0.14993743705557422"/>
      </right>
      <top/>
      <bottom style="thin">
        <color theme="0" tint="-0.24994659260841701"/>
      </bottom>
      <diagonal/>
    </border>
    <border>
      <left style="thin">
        <color theme="0" tint="-0.14993743705557422"/>
      </left>
      <right/>
      <top/>
      <bottom style="thin">
        <color theme="0" tint="-0.24994659260841701"/>
      </bottom>
      <diagonal/>
    </border>
    <border>
      <left/>
      <right style="thin">
        <color theme="0" tint="-0.499984740745262"/>
      </right>
      <top/>
      <bottom style="thin">
        <color theme="0" tint="-0.24994659260841701"/>
      </bottom>
      <diagonal/>
    </border>
    <border>
      <left style="thin">
        <color indexed="64"/>
      </left>
      <right style="thin">
        <color indexed="64"/>
      </right>
      <top/>
      <bottom style="thin">
        <color theme="0" tint="-0.34998626667073579"/>
      </bottom>
      <diagonal/>
    </border>
    <border>
      <left style="thin">
        <color indexed="64"/>
      </left>
      <right/>
      <top style="thin">
        <color indexed="64"/>
      </top>
      <bottom style="thin">
        <color theme="0"/>
      </bottom>
      <diagonal/>
    </border>
    <border>
      <left/>
      <right/>
      <top style="thin">
        <color indexed="64"/>
      </top>
      <bottom style="thin">
        <color theme="0"/>
      </bottom>
      <diagonal/>
    </border>
    <border>
      <left/>
      <right style="thin">
        <color indexed="64"/>
      </right>
      <top style="thin">
        <color indexed="64"/>
      </top>
      <bottom style="thin">
        <color theme="0"/>
      </bottom>
      <diagonal/>
    </border>
    <border>
      <left style="thin">
        <color theme="0"/>
      </left>
      <right style="thin">
        <color theme="0"/>
      </right>
      <top style="thin">
        <color theme="0"/>
      </top>
      <bottom style="thin">
        <color indexed="64"/>
      </bottom>
      <diagonal/>
    </border>
    <border>
      <left style="thin">
        <color indexed="64"/>
      </left>
      <right/>
      <top style="thin">
        <color theme="0" tint="-0.499984740745262"/>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thin">
        <color theme="0" tint="-0.499984740745262"/>
      </top>
      <bottom style="thin">
        <color theme="0" tint="-0.499984740745262"/>
      </bottom>
      <diagonal/>
    </border>
    <border>
      <left/>
      <right style="medium">
        <color indexed="64"/>
      </right>
      <top style="medium">
        <color indexed="64"/>
      </top>
      <bottom style="medium">
        <color indexed="64"/>
      </bottom>
      <diagonal/>
    </border>
    <border>
      <left style="thin">
        <color indexed="64"/>
      </left>
      <right style="thin">
        <color theme="0" tint="-0.34998626667073579"/>
      </right>
      <top style="thin">
        <color theme="0" tint="-0.34998626667073579"/>
      </top>
      <bottom style="thin">
        <color indexed="64"/>
      </bottom>
      <diagonal/>
    </border>
    <border>
      <left style="thin">
        <color theme="0" tint="-0.34998626667073579"/>
      </left>
      <right style="thin">
        <color theme="0" tint="-0.34998626667073579"/>
      </right>
      <top style="thin">
        <color theme="0" tint="-0.34998626667073579"/>
      </top>
      <bottom style="thin">
        <color indexed="64"/>
      </bottom>
      <diagonal/>
    </border>
    <border>
      <left style="thin">
        <color theme="0" tint="-0.34998626667073579"/>
      </left>
      <right/>
      <top/>
      <bottom/>
      <diagonal/>
    </border>
    <border>
      <left/>
      <right/>
      <top style="thin">
        <color theme="1"/>
      </top>
      <bottom style="thin">
        <color theme="0" tint="-0.24994659260841701"/>
      </bottom>
      <diagonal/>
    </border>
    <border>
      <left/>
      <right/>
      <top style="thin">
        <color auto="1"/>
      </top>
      <bottom style="thin">
        <color theme="0" tint="-0.24994659260841701"/>
      </bottom>
      <diagonal/>
    </border>
    <border>
      <left style="thin">
        <color indexed="64"/>
      </left>
      <right/>
      <top style="thin">
        <color indexed="64"/>
      </top>
      <bottom style="thin">
        <color theme="0" tint="-0.24994659260841701"/>
      </bottom>
      <diagonal/>
    </border>
    <border>
      <left style="thin">
        <color theme="0" tint="-0.14996795556505021"/>
      </left>
      <right style="thin">
        <color theme="0" tint="-0.14996795556505021"/>
      </right>
      <top style="thin">
        <color theme="1"/>
      </top>
      <bottom style="thin">
        <color theme="0" tint="-0.24994659260841701"/>
      </bottom>
      <diagonal/>
    </border>
    <border>
      <left style="thin">
        <color theme="0" tint="-0.14996795556505021"/>
      </left>
      <right style="thin">
        <color theme="0" tint="-0.14996795556505021"/>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style="thin">
        <color theme="0" tint="-0.24994659260841701"/>
      </left>
      <right style="thin">
        <color theme="0" tint="-0.24994659260841701"/>
      </right>
      <top/>
      <bottom style="thin">
        <color auto="1"/>
      </bottom>
      <diagonal/>
    </border>
    <border>
      <left style="thin">
        <color theme="0" tint="-0.499984740745262"/>
      </left>
      <right style="thin">
        <color theme="0" tint="-0.499984740745262"/>
      </right>
      <top style="thin">
        <color theme="0" tint="-0.499984740745262"/>
      </top>
      <bottom style="thin">
        <color auto="1"/>
      </bottom>
      <diagonal/>
    </border>
    <border>
      <left style="thin">
        <color theme="0" tint="-0.24994659260841701"/>
      </left>
      <right style="thin">
        <color theme="0" tint="-0.24994659260841701"/>
      </right>
      <top/>
      <bottom/>
      <diagonal/>
    </border>
    <border>
      <left style="thin">
        <color indexed="64"/>
      </left>
      <right style="thin">
        <color theme="0" tint="-0.499984740745262"/>
      </right>
      <top style="thin">
        <color auto="1"/>
      </top>
      <bottom style="thin">
        <color theme="0" tint="-0.499984740745262"/>
      </bottom>
      <diagonal/>
    </border>
    <border>
      <left style="thin">
        <color theme="1" tint="0.499984740745262"/>
      </left>
      <right style="thin">
        <color indexed="64"/>
      </right>
      <top style="thin">
        <color theme="0" tint="-0.24994659260841701"/>
      </top>
      <bottom style="thin">
        <color theme="0" tint="-0.24994659260841701"/>
      </bottom>
      <diagonal/>
    </border>
    <border>
      <left style="thin">
        <color auto="1"/>
      </left>
      <right style="thin">
        <color theme="0" tint="-0.34998626667073579"/>
      </right>
      <top style="thin">
        <color auto="1"/>
      </top>
      <bottom style="thin">
        <color theme="0" tint="-0.34998626667073579"/>
      </bottom>
      <diagonal/>
    </border>
    <border>
      <left style="thin">
        <color theme="0" tint="-0.34998626667073579"/>
      </left>
      <right style="thin">
        <color theme="0" tint="-0.34998626667073579"/>
      </right>
      <top style="thin">
        <color auto="1"/>
      </top>
      <bottom style="thin">
        <color theme="0" tint="-0.34998626667073579"/>
      </bottom>
      <diagonal/>
    </border>
    <border>
      <left style="thin">
        <color auto="1"/>
      </left>
      <right style="thin">
        <color theme="0" tint="-0.34998626667073579"/>
      </right>
      <top style="thin">
        <color theme="0" tint="-0.34998626667073579"/>
      </top>
      <bottom style="thin">
        <color theme="0" tint="-0.34998626667073579"/>
      </bottom>
      <diagonal/>
    </border>
    <border>
      <left style="thin">
        <color theme="0" tint="-0.499984740745262"/>
      </left>
      <right style="thin">
        <color theme="0" tint="-0.499984740745262"/>
      </right>
      <top style="thin">
        <color auto="1"/>
      </top>
      <bottom style="thin">
        <color theme="0" tint="-0.499984740745262"/>
      </bottom>
      <diagonal/>
    </border>
    <border>
      <left style="thin">
        <color auto="1"/>
      </left>
      <right style="thin">
        <color theme="0" tint="-0.499984740745262"/>
      </right>
      <top style="thin">
        <color theme="0" tint="-0.499984740745262"/>
      </top>
      <bottom style="thin">
        <color auto="1"/>
      </bottom>
      <diagonal/>
    </border>
    <border>
      <left style="thin">
        <color indexed="64"/>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indexed="64"/>
      </left>
      <right/>
      <top/>
      <bottom style="thin">
        <color theme="0" tint="-0.499984740745262"/>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style="thin">
        <color indexed="64"/>
      </top>
      <bottom/>
      <diagonal/>
    </border>
    <border>
      <left style="thin">
        <color theme="0"/>
      </left>
      <right style="thin">
        <color theme="0"/>
      </right>
      <top style="thin">
        <color theme="0" tint="-0.499984740745262"/>
      </top>
      <bottom style="thin">
        <color theme="0" tint="-0.499984740745262"/>
      </bottom>
      <diagonal/>
    </border>
    <border>
      <left style="thin">
        <color theme="0"/>
      </left>
      <right style="thin">
        <color theme="0"/>
      </right>
      <top style="thin">
        <color theme="0" tint="-0.499984740745262"/>
      </top>
      <bottom/>
      <diagonal/>
    </border>
    <border>
      <left style="thin">
        <color theme="0"/>
      </left>
      <right/>
      <top style="thin">
        <color theme="0" tint="-0.499984740745262"/>
      </top>
      <bottom style="thin">
        <color theme="0" tint="-0.499984740745262"/>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right/>
      <top/>
      <bottom style="thin">
        <color theme="1"/>
      </bottom>
      <diagonal/>
    </border>
    <border>
      <left style="thin">
        <color theme="0" tint="-0.34998626667073579"/>
      </left>
      <right style="thin">
        <color theme="0" tint="-0.34998626667073579"/>
      </right>
      <top/>
      <bottom style="thin">
        <color indexed="64"/>
      </bottom>
      <diagonal/>
    </border>
    <border>
      <left style="thin">
        <color auto="1"/>
      </left>
      <right style="thin">
        <color theme="0" tint="-0.24994659260841701"/>
      </right>
      <top style="thin">
        <color auto="1"/>
      </top>
      <bottom style="thin">
        <color theme="0" tint="-0.24994659260841701"/>
      </bottom>
      <diagonal/>
    </border>
    <border>
      <left style="thin">
        <color theme="0" tint="-0.24994659260841701"/>
      </left>
      <right style="thin">
        <color theme="0" tint="-0.24994659260841701"/>
      </right>
      <top style="thin">
        <color auto="1"/>
      </top>
      <bottom style="thin">
        <color theme="0" tint="-0.24994659260841701"/>
      </bottom>
      <diagonal/>
    </border>
    <border>
      <left style="thin">
        <color auto="1"/>
      </left>
      <right style="thin">
        <color theme="0" tint="-0.24994659260841701"/>
      </right>
      <top style="thin">
        <color theme="0" tint="-0.24994659260841701"/>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34998626667073579"/>
      </left>
      <right style="thin">
        <color theme="0" tint="-0.34998626667073579"/>
      </right>
      <top style="thin">
        <color indexed="64"/>
      </top>
      <bottom style="thin">
        <color indexed="64"/>
      </bottom>
      <diagonal/>
    </border>
    <border>
      <left style="thin">
        <color theme="0" tint="-0.34998626667073579"/>
      </left>
      <right style="thin">
        <color theme="0" tint="-0.34998626667073579"/>
      </right>
      <top style="thin">
        <color indexed="64"/>
      </top>
      <bottom/>
      <diagonal/>
    </border>
    <border>
      <left/>
      <right style="thin">
        <color theme="0" tint="-0.499984740745262"/>
      </right>
      <top style="thin">
        <color theme="0" tint="-0.24994659260841701"/>
      </top>
      <bottom style="thin">
        <color indexed="64"/>
      </bottom>
      <diagonal/>
    </border>
    <border>
      <left style="thin">
        <color theme="1" tint="0.499984740745262"/>
      </left>
      <right style="thin">
        <color indexed="64"/>
      </right>
      <top/>
      <bottom style="thin">
        <color indexed="64"/>
      </bottom>
      <diagonal/>
    </border>
    <border>
      <left style="thin">
        <color theme="0" tint="-0.499984740745262"/>
      </left>
      <right style="thin">
        <color indexed="64"/>
      </right>
      <top style="thin">
        <color theme="0" tint="-0.24994659260841701"/>
      </top>
      <bottom style="thin">
        <color theme="0" tint="-0.24994659260841701"/>
      </bottom>
      <diagonal/>
    </border>
    <border>
      <left style="thin">
        <color theme="0" tint="-0.499984740745262"/>
      </left>
      <right style="thin">
        <color indexed="64"/>
      </right>
      <top style="thin">
        <color theme="0" tint="-0.24994659260841701"/>
      </top>
      <bottom style="thin">
        <color indexed="64"/>
      </bottom>
      <diagonal/>
    </border>
    <border>
      <left style="thin">
        <color theme="0" tint="-0.499984740745262"/>
      </left>
      <right style="thin">
        <color indexed="64"/>
      </right>
      <top style="thin">
        <color theme="1"/>
      </top>
      <bottom style="thin">
        <color theme="0" tint="-0.24994659260841701"/>
      </bottom>
      <diagonal/>
    </border>
    <border>
      <left/>
      <right/>
      <top style="thin">
        <color theme="1"/>
      </top>
      <bottom/>
      <diagonal/>
    </border>
    <border>
      <left/>
      <right/>
      <top style="thin">
        <color theme="0"/>
      </top>
      <bottom style="thin">
        <color theme="0"/>
      </bottom>
      <diagonal/>
    </border>
    <border>
      <left style="thin">
        <color theme="1" tint="0.499984740745262"/>
      </left>
      <right style="thin">
        <color indexed="64"/>
      </right>
      <top/>
      <bottom style="thin">
        <color theme="0" tint="-0.24994659260841701"/>
      </bottom>
      <diagonal/>
    </border>
    <border>
      <left style="thin">
        <color theme="1" tint="0.499984740745262"/>
      </left>
      <right/>
      <top/>
      <bottom style="thin">
        <color theme="0" tint="-0.24994659260841701"/>
      </bottom>
      <diagonal/>
    </border>
    <border>
      <left style="thin">
        <color theme="0"/>
      </left>
      <right style="thin">
        <color theme="0"/>
      </right>
      <top style="thin">
        <color theme="0"/>
      </top>
      <bottom style="thin">
        <color theme="0"/>
      </bottom>
      <diagonal/>
    </border>
    <border>
      <left style="thick">
        <color indexed="64"/>
      </left>
      <right style="thick">
        <color indexed="64"/>
      </right>
      <top style="thick">
        <color indexed="64"/>
      </top>
      <bottom style="thick">
        <color indexed="64"/>
      </bottom>
      <diagonal/>
    </border>
    <border>
      <left style="thick">
        <color indexed="64"/>
      </left>
      <right/>
      <top style="thick">
        <color indexed="64"/>
      </top>
      <bottom/>
      <diagonal/>
    </border>
    <border>
      <left style="thick">
        <color indexed="64"/>
      </left>
      <right/>
      <top/>
      <bottom style="thick">
        <color indexed="64"/>
      </bottom>
      <diagonal/>
    </border>
    <border>
      <left style="thin">
        <color indexed="64"/>
      </left>
      <right style="thin">
        <color theme="0" tint="-0.499984740745262"/>
      </right>
      <top style="thin">
        <color indexed="64"/>
      </top>
      <bottom style="thin">
        <color theme="0" tint="-0.34998626667073579"/>
      </bottom>
      <diagonal/>
    </border>
    <border>
      <left style="thin">
        <color theme="1"/>
      </left>
      <right/>
      <top style="thin">
        <color theme="0" tint="-0.34998626667073579"/>
      </top>
      <bottom style="thin">
        <color theme="0" tint="-0.34998626667073579"/>
      </bottom>
      <diagonal/>
    </border>
    <border>
      <left style="thin">
        <color indexed="64"/>
      </left>
      <right style="thin">
        <color indexed="64"/>
      </right>
      <top style="thin">
        <color theme="0" tint="-0.24994659260841701"/>
      </top>
      <bottom style="thin">
        <color theme="0" tint="-0.24994659260841701"/>
      </bottom>
      <diagonal/>
    </border>
    <border>
      <left style="thin">
        <color theme="1"/>
      </left>
      <right/>
      <top style="thin">
        <color indexed="64"/>
      </top>
      <bottom style="thin">
        <color theme="0" tint="-0.34998626667073579"/>
      </bottom>
      <diagonal/>
    </border>
    <border>
      <left style="thin">
        <color theme="0" tint="-0.24994659260841701"/>
      </left>
      <right style="thin">
        <color theme="0" tint="-0.24994659260841701"/>
      </right>
      <top style="thin">
        <color indexed="64"/>
      </top>
      <bottom style="thin">
        <color theme="0" tint="-0.34998626667073579"/>
      </bottom>
      <diagonal/>
    </border>
    <border>
      <left style="thin">
        <color theme="0" tint="-0.24994659260841701"/>
      </left>
      <right style="thin">
        <color theme="0" tint="-0.24994659260841701"/>
      </right>
      <top style="thin">
        <color theme="0" tint="-0.34998626667073579"/>
      </top>
      <bottom style="thin">
        <color theme="0" tint="-0.34998626667073579"/>
      </bottom>
      <diagonal/>
    </border>
    <border>
      <left style="thin">
        <color theme="0" tint="-0.24994659260841701"/>
      </left>
      <right style="thin">
        <color theme="0" tint="-0.24994659260841701"/>
      </right>
      <top style="thin">
        <color theme="0" tint="-0.34998626667073579"/>
      </top>
      <bottom style="thin">
        <color indexed="64"/>
      </bottom>
      <diagonal/>
    </border>
    <border>
      <left/>
      <right style="thin">
        <color theme="0" tint="-0.24994659260841701"/>
      </right>
      <top/>
      <bottom style="thin">
        <color auto="1"/>
      </bottom>
      <diagonal/>
    </border>
    <border>
      <left style="thin">
        <color auto="1"/>
      </left>
      <right style="thin">
        <color indexed="64"/>
      </right>
      <top style="thin">
        <color auto="1"/>
      </top>
      <bottom style="thin">
        <color theme="0" tint="-0.24994659260841701"/>
      </bottom>
      <diagonal/>
    </border>
    <border>
      <left style="thin">
        <color indexed="64"/>
      </left>
      <right style="thin">
        <color theme="0" tint="-0.24994659260841701"/>
      </right>
      <top style="thin">
        <color indexed="64"/>
      </top>
      <bottom style="thin">
        <color theme="0" tint="-0.34998626667073579"/>
      </bottom>
      <diagonal/>
    </border>
    <border>
      <left style="thin">
        <color indexed="64"/>
      </left>
      <right style="thin">
        <color theme="0" tint="-0.24994659260841701"/>
      </right>
      <top style="thin">
        <color theme="0" tint="-0.34998626667073579"/>
      </top>
      <bottom style="thin">
        <color theme="0" tint="-0.34998626667073579"/>
      </bottom>
      <diagonal/>
    </border>
    <border>
      <left style="thin">
        <color indexed="64"/>
      </left>
      <right style="thin">
        <color theme="0" tint="-0.24994659260841701"/>
      </right>
      <top style="thin">
        <color theme="0" tint="-0.34998626667073579"/>
      </top>
      <bottom style="thin">
        <color indexed="64"/>
      </bottom>
      <diagonal/>
    </border>
    <border>
      <left style="thin">
        <color theme="0" tint="-0.24994659260841701"/>
      </left>
      <right/>
      <top style="thin">
        <color indexed="64"/>
      </top>
      <bottom style="thin">
        <color theme="0" tint="-0.24994659260841701"/>
      </bottom>
      <diagonal/>
    </border>
    <border>
      <left/>
      <right style="thin">
        <color theme="0" tint="-0.34998626667073579"/>
      </right>
      <top/>
      <bottom/>
      <diagonal/>
    </border>
    <border>
      <left style="thin">
        <color theme="0"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top style="thin">
        <color theme="1" tint="0.34998626667073579"/>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
      <left/>
      <right/>
      <top style="thin">
        <color theme="1" tint="0.34998626667073579"/>
      </top>
      <bottom style="thin">
        <color theme="1" tint="0.34998626667073579"/>
      </bottom>
      <diagonal/>
    </border>
    <border>
      <left style="medium">
        <color indexed="64"/>
      </left>
      <right/>
      <top style="thin">
        <color theme="0" tint="-0.499984740745262"/>
      </top>
      <bottom style="medium">
        <color indexed="64"/>
      </bottom>
      <diagonal/>
    </border>
    <border>
      <left style="medium">
        <color indexed="64"/>
      </left>
      <right/>
      <top/>
      <bottom style="thin">
        <color theme="0" tint="-0.499984740745262"/>
      </bottom>
      <diagonal/>
    </border>
    <border>
      <left style="thin">
        <color theme="0" tint="-0.499984740745262"/>
      </left>
      <right style="thin">
        <color theme="0" tint="-0.499984740745262"/>
      </right>
      <top style="thin">
        <color theme="0" tint="-0.499984740745262"/>
      </top>
      <bottom style="medium">
        <color indexed="64"/>
      </bottom>
      <diagonal/>
    </border>
    <border>
      <left/>
      <right style="thin">
        <color theme="0" tint="-0.34998626667073579"/>
      </right>
      <top style="thin">
        <color theme="0" tint="-0.34998626667073579"/>
      </top>
      <bottom style="thin">
        <color theme="0" tint="-0.34998626667073579"/>
      </bottom>
      <diagonal/>
    </border>
    <border>
      <left style="thin">
        <color indexed="64"/>
      </left>
      <right style="double">
        <color indexed="64"/>
      </right>
      <top style="thin">
        <color auto="1"/>
      </top>
      <bottom style="thin">
        <color theme="0" tint="-0.34998626667073579"/>
      </bottom>
      <diagonal/>
    </border>
    <border>
      <left style="thin">
        <color theme="1"/>
      </left>
      <right style="thin">
        <color indexed="64"/>
      </right>
      <top style="thin">
        <color auto="1"/>
      </top>
      <bottom style="thin">
        <color theme="0" tint="-0.34998626667073579"/>
      </bottom>
      <diagonal/>
    </border>
    <border>
      <left style="thin">
        <color indexed="64"/>
      </left>
      <right style="double">
        <color indexed="64"/>
      </right>
      <top style="thin">
        <color theme="0" tint="-0.34998626667073579"/>
      </top>
      <bottom style="thin">
        <color theme="0" tint="-0.34998626667073579"/>
      </bottom>
      <diagonal/>
    </border>
    <border>
      <left style="thin">
        <color theme="1"/>
      </left>
      <right style="thin">
        <color indexed="64"/>
      </right>
      <top style="thin">
        <color theme="0" tint="-0.34998626667073579"/>
      </top>
      <bottom style="thin">
        <color theme="0" tint="-0.34998626667073579"/>
      </bottom>
      <diagonal/>
    </border>
    <border>
      <left style="thin">
        <color indexed="64"/>
      </left>
      <right style="double">
        <color indexed="64"/>
      </right>
      <top style="thin">
        <color theme="0" tint="-0.34998626667073579"/>
      </top>
      <bottom style="thin">
        <color indexed="64"/>
      </bottom>
      <diagonal/>
    </border>
    <border>
      <left style="thin">
        <color theme="1"/>
      </left>
      <right style="thin">
        <color indexed="64"/>
      </right>
      <top style="thin">
        <color theme="0" tint="-0.34998626667073579"/>
      </top>
      <bottom style="thin">
        <color indexed="64"/>
      </bottom>
      <diagonal/>
    </border>
    <border>
      <left style="thin">
        <color theme="1"/>
      </left>
      <right/>
      <top style="thin">
        <color theme="0" tint="-0.34998626667073579"/>
      </top>
      <bottom style="thin">
        <color indexed="64"/>
      </bottom>
      <diagonal/>
    </border>
    <border>
      <left style="thin">
        <color theme="1" tint="0.499984740745262"/>
      </left>
      <right style="thin">
        <color theme="1" tint="0.499984740745262"/>
      </right>
      <top style="thin">
        <color theme="3" tint="0.39994506668294322"/>
      </top>
      <bottom style="thin">
        <color theme="3" tint="0.39994506668294322"/>
      </bottom>
      <diagonal/>
    </border>
    <border>
      <left style="thin">
        <color indexed="64"/>
      </left>
      <right style="thin">
        <color indexed="64"/>
      </right>
      <top style="thin">
        <color indexed="64"/>
      </top>
      <bottom style="thin">
        <color indexed="64"/>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right style="thick">
        <color indexed="64"/>
      </right>
      <top/>
      <bottom style="thick">
        <color indexed="64"/>
      </bottom>
      <diagonal/>
    </border>
    <border>
      <left style="thin">
        <color theme="0" tint="-0.14996795556505021"/>
      </left>
      <right style="thin">
        <color theme="1" tint="0.34998626667073579"/>
      </right>
      <top style="thin">
        <color theme="1" tint="0.34998626667073579"/>
      </top>
      <bottom style="thin">
        <color theme="1" tint="0.34998626667073579"/>
      </bottom>
      <diagonal/>
    </border>
    <border>
      <left/>
      <right style="thin">
        <color theme="0" tint="-0.14996795556505021"/>
      </right>
      <top style="thin">
        <color theme="1" tint="0.34998626667073579"/>
      </top>
      <bottom style="thin">
        <color theme="1" tint="0.34998626667073579"/>
      </bottom>
      <diagonal/>
    </border>
    <border>
      <left style="medium">
        <color theme="1"/>
      </left>
      <right/>
      <top/>
      <bottom/>
      <diagonal/>
    </border>
    <border>
      <left style="medium">
        <color theme="1"/>
      </left>
      <right style="thin">
        <color indexed="64"/>
      </right>
      <top/>
      <bottom/>
      <diagonal/>
    </border>
    <border>
      <left style="thin">
        <color theme="1" tint="0.499984740745262"/>
      </left>
      <right style="thin">
        <color indexed="64"/>
      </right>
      <top style="thin">
        <color indexed="64"/>
      </top>
      <bottom/>
      <diagonal/>
    </border>
    <border>
      <left style="thin">
        <color theme="1" tint="0.499984740745262"/>
      </left>
      <right style="thin">
        <color indexed="64"/>
      </right>
      <top style="thin">
        <color theme="0" tint="-0.34998626667073579"/>
      </top>
      <bottom style="thin">
        <color theme="0" tint="-0.34998626667073579"/>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bottom/>
      <diagonal/>
    </border>
    <border>
      <left style="thin">
        <color indexed="64"/>
      </left>
      <right style="thin">
        <color theme="0" tint="-0.499984740745262"/>
      </right>
      <top/>
      <bottom style="thin">
        <color theme="0" tint="-0.499984740745262"/>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theme="1" tint="0.34998626667073579"/>
      </right>
      <top style="thin">
        <color theme="1" tint="0.34998626667073579"/>
      </top>
      <bottom style="thin">
        <color theme="1" tint="0.34998626667073579"/>
      </bottom>
      <diagonal/>
    </border>
    <border>
      <left style="thin">
        <color indexed="64"/>
      </left>
      <right style="thin">
        <color theme="1" tint="0.34998626667073579"/>
      </right>
      <top style="thin">
        <color theme="1" tint="0.34998626667073579"/>
      </top>
      <bottom style="thin">
        <color indexed="64"/>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theme="0" tint="-0.499984740745262"/>
      </right>
      <top/>
      <bottom/>
      <diagonal/>
    </border>
    <border>
      <left/>
      <right style="thin">
        <color theme="0" tint="-0.499984740745262"/>
      </right>
      <top/>
      <bottom style="thin">
        <color theme="0" tint="-0.499984740745262"/>
      </bottom>
      <diagonal/>
    </border>
    <border>
      <left style="thin">
        <color theme="1" tint="0.499984740745262"/>
      </left>
      <right/>
      <top/>
      <bottom/>
      <diagonal/>
    </border>
    <border>
      <left style="medium">
        <color indexed="64"/>
      </left>
      <right style="medium">
        <color indexed="64"/>
      </right>
      <top style="medium">
        <color indexed="64"/>
      </top>
      <bottom style="thin">
        <color theme="1" tint="0.34998626667073579"/>
      </bottom>
      <diagonal/>
    </border>
    <border>
      <left style="medium">
        <color indexed="64"/>
      </left>
      <right style="medium">
        <color indexed="64"/>
      </right>
      <top style="thin">
        <color theme="1" tint="0.34998626667073579"/>
      </top>
      <bottom style="thin">
        <color theme="1" tint="0.34998626667073579"/>
      </bottom>
      <diagonal/>
    </border>
    <border>
      <left style="medium">
        <color indexed="64"/>
      </left>
      <right style="medium">
        <color indexed="64"/>
      </right>
      <top style="thin">
        <color theme="1" tint="0.34998626667073579"/>
      </top>
      <bottom style="medium">
        <color indexed="64"/>
      </bottom>
      <diagonal/>
    </border>
    <border>
      <left style="thin">
        <color theme="1" tint="0.499984740745262"/>
      </left>
      <right style="thin">
        <color theme="1" tint="0.499984740745262"/>
      </right>
      <top/>
      <bottom style="thin">
        <color theme="3" tint="0.39994506668294322"/>
      </bottom>
      <diagonal/>
    </border>
    <border>
      <left style="thin">
        <color theme="1" tint="0.499984740745262"/>
      </left>
      <right style="thin">
        <color theme="1" tint="0.499984740745262"/>
      </right>
      <top style="thin">
        <color theme="3" tint="0.39994506668294322"/>
      </top>
      <bottom style="double">
        <color theme="1"/>
      </bottom>
      <diagonal/>
    </border>
    <border>
      <left style="double">
        <color indexed="64"/>
      </left>
      <right style="thin">
        <color indexed="64"/>
      </right>
      <top style="thin">
        <color indexed="64"/>
      </top>
      <bottom style="thin">
        <color indexed="64"/>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1"/>
      </left>
      <right style="thin">
        <color theme="0" tint="-0.34998626667073579"/>
      </right>
      <top style="thin">
        <color indexed="64"/>
      </top>
      <bottom style="thin">
        <color indexed="64"/>
      </bottom>
      <diagonal/>
    </border>
    <border>
      <left style="thin">
        <color theme="1"/>
      </left>
      <right style="thin">
        <color theme="0" tint="-0.34998626667073579"/>
      </right>
      <top style="thin">
        <color theme="1" tint="0.34998626667073579"/>
      </top>
      <bottom style="thin">
        <color theme="1" tint="0.34998626667073579"/>
      </bottom>
      <diagonal/>
    </border>
    <border>
      <left style="thin">
        <color indexed="64"/>
      </left>
      <right style="thin">
        <color rgb="FFC00000"/>
      </right>
      <top style="thin">
        <color rgb="FFC00000"/>
      </top>
      <bottom style="thin">
        <color rgb="FFC00000"/>
      </bottom>
      <diagonal/>
    </border>
    <border>
      <left style="thin">
        <color rgb="FFC00000"/>
      </left>
      <right style="thin">
        <color rgb="FFC00000"/>
      </right>
      <top style="thin">
        <color rgb="FFC00000"/>
      </top>
      <bottom style="thin">
        <color rgb="FFC00000"/>
      </bottom>
      <diagonal/>
    </border>
    <border>
      <left style="thin">
        <color rgb="FFC00000"/>
      </left>
      <right style="thin">
        <color rgb="FFC00000"/>
      </right>
      <top style="thin">
        <color rgb="FFC00000"/>
      </top>
      <bottom/>
      <diagonal/>
    </border>
    <border>
      <left style="thin">
        <color rgb="FFC00000"/>
      </left>
      <right style="thin">
        <color rgb="FFC00000"/>
      </right>
      <top/>
      <bottom/>
      <diagonal/>
    </border>
    <border>
      <left style="thin">
        <color indexed="64"/>
      </left>
      <right style="thin">
        <color rgb="FFC00000"/>
      </right>
      <top style="thin">
        <color rgb="FFC00000"/>
      </top>
      <bottom style="thin">
        <color indexed="64"/>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bottom style="thin">
        <color indexed="64"/>
      </bottom>
      <diagonal/>
    </border>
    <border>
      <left style="thin">
        <color theme="0" tint="-0.34998626667073579"/>
      </left>
      <right/>
      <top style="thin">
        <color auto="1"/>
      </top>
      <bottom style="thin">
        <color indexed="64"/>
      </bottom>
      <diagonal/>
    </border>
    <border>
      <left style="thin">
        <color theme="0" tint="-0.34998626667073579"/>
      </left>
      <right/>
      <top style="thin">
        <color theme="1" tint="0.34998626667073579"/>
      </top>
      <bottom style="thin">
        <color theme="1" tint="0.34998626667073579"/>
      </bottom>
      <diagonal/>
    </border>
    <border>
      <left/>
      <right style="thin">
        <color indexed="64"/>
      </right>
      <top style="thin">
        <color theme="1" tint="0.34998626667073579"/>
      </top>
      <bottom style="thin">
        <color theme="1" tint="0.34998626667073579"/>
      </bottom>
      <diagonal/>
    </border>
    <border>
      <left style="thin">
        <color theme="1" tint="0.34998626667073579"/>
      </left>
      <right/>
      <top style="thin">
        <color indexed="64"/>
      </top>
      <bottom style="thin">
        <color theme="1" tint="0.34998626667073579"/>
      </bottom>
      <diagonal/>
    </border>
    <border>
      <left style="thin">
        <color theme="1"/>
      </left>
      <right style="thin">
        <color theme="0" tint="-0.34998626667073579"/>
      </right>
      <top style="thin">
        <color indexed="64"/>
      </top>
      <bottom style="thin">
        <color theme="1" tint="0.34998626667073579"/>
      </bottom>
      <diagonal/>
    </border>
    <border>
      <left style="thin">
        <color theme="0" tint="-0.34998626667073579"/>
      </left>
      <right/>
      <top style="thin">
        <color indexed="64"/>
      </top>
      <bottom style="thin">
        <color theme="1" tint="0.34998626667073579"/>
      </bottom>
      <diagonal/>
    </border>
    <border>
      <left/>
      <right style="thin">
        <color indexed="64"/>
      </right>
      <top style="thin">
        <color indexed="64"/>
      </top>
      <bottom style="thin">
        <color theme="1" tint="0.34998626667073579"/>
      </bottom>
      <diagonal/>
    </border>
    <border>
      <left style="thin">
        <color theme="1" tint="0.34998626667073579"/>
      </left>
      <right/>
      <top style="thin">
        <color theme="1" tint="0.34998626667073579"/>
      </top>
      <bottom style="thin">
        <color indexed="64"/>
      </bottom>
      <diagonal/>
    </border>
    <border>
      <left style="thin">
        <color theme="1"/>
      </left>
      <right style="thin">
        <color theme="0" tint="-0.34998626667073579"/>
      </right>
      <top style="thin">
        <color theme="1" tint="0.34998626667073579"/>
      </top>
      <bottom style="thin">
        <color indexed="64"/>
      </bottom>
      <diagonal/>
    </border>
    <border>
      <left style="thin">
        <color theme="0" tint="-0.34998626667073579"/>
      </left>
      <right/>
      <top style="thin">
        <color theme="1" tint="0.34998626667073579"/>
      </top>
      <bottom style="thin">
        <color indexed="64"/>
      </bottom>
      <diagonal/>
    </border>
    <border>
      <left/>
      <right style="thin">
        <color indexed="64"/>
      </right>
      <top style="thin">
        <color theme="1" tint="0.34998626667073579"/>
      </top>
      <bottom style="thin">
        <color indexed="64"/>
      </bottom>
      <diagonal/>
    </border>
    <border>
      <left/>
      <right style="thin">
        <color theme="1" tint="0.34998626667073579"/>
      </right>
      <top style="thin">
        <color indexed="64"/>
      </top>
      <bottom style="thin">
        <color theme="1" tint="0.34998626667073579"/>
      </bottom>
      <diagonal/>
    </border>
    <border>
      <left/>
      <right style="thin">
        <color theme="1" tint="0.34998626667073579"/>
      </right>
      <top style="thin">
        <color theme="1" tint="0.34998626667073579"/>
      </top>
      <bottom style="thin">
        <color indexed="64"/>
      </bottom>
      <diagonal/>
    </border>
    <border>
      <left style="thick">
        <color indexed="64"/>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medium">
        <color indexed="64"/>
      </right>
      <top style="thin">
        <color theme="0" tint="-0.499984740745262"/>
      </top>
      <bottom style="thin">
        <color theme="0" tint="-0.499984740745262"/>
      </bottom>
      <diagonal/>
    </border>
    <border>
      <left/>
      <right style="medium">
        <color indexed="64"/>
      </right>
      <top style="thin">
        <color theme="0" tint="-0.499984740745262"/>
      </top>
      <bottom style="medium">
        <color indexed="64"/>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style="thin">
        <color theme="0" tint="-0.499984740745262"/>
      </left>
      <right/>
      <top style="thin">
        <color theme="0" tint="-0.499984740745262"/>
      </top>
      <bottom style="medium">
        <color indexed="64"/>
      </bottom>
      <diagonal/>
    </border>
    <border>
      <left style="medium">
        <color indexed="64"/>
      </left>
      <right/>
      <top style="medium">
        <color indexed="64"/>
      </top>
      <bottom style="double">
        <color indexed="64"/>
      </bottom>
      <diagonal/>
    </border>
    <border>
      <left style="thin">
        <color theme="0" tint="-0.499984740745262"/>
      </left>
      <right style="thin">
        <color theme="0" tint="-0.499984740745262"/>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right style="thin">
        <color indexed="64"/>
      </right>
      <top style="thin">
        <color theme="0" tint="-0.499984740745262"/>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theme="1" tint="0.34998626667073579"/>
      </left>
      <right style="thin">
        <color theme="1" tint="0.34998626667073579"/>
      </right>
      <top style="thin">
        <color theme="1" tint="0.34998626667073579"/>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style="thin">
        <color theme="0" tint="-0.499984740745262"/>
      </right>
      <top style="thin">
        <color theme="0" tint="-0.499984740745262"/>
      </top>
      <bottom style="thin">
        <color theme="0" tint="-0.499984740745262"/>
      </bottom>
      <diagonal/>
    </border>
    <border>
      <left style="thin">
        <color indexed="64"/>
      </left>
      <right style="thin">
        <color indexed="64"/>
      </right>
      <top style="medium">
        <color indexed="64"/>
      </top>
      <bottom style="thin">
        <color indexed="64"/>
      </bottom>
      <diagonal/>
    </border>
    <border>
      <left style="thin">
        <color theme="0" tint="-0.499984740745262"/>
      </left>
      <right/>
      <top style="medium">
        <color indexed="64"/>
      </top>
      <bottom style="double">
        <color indexed="64"/>
      </bottom>
      <diagonal/>
    </border>
    <border>
      <left style="thin">
        <color theme="0" tint="-0.499984740745262"/>
      </left>
      <right style="thin">
        <color indexed="64"/>
      </right>
      <top style="medium">
        <color indexed="64"/>
      </top>
      <bottom style="double">
        <color indexed="64"/>
      </bottom>
      <diagonal/>
    </border>
    <border>
      <left style="thin">
        <color indexed="64"/>
      </left>
      <right style="double">
        <color indexed="64"/>
      </right>
      <top style="thin">
        <color auto="1"/>
      </top>
      <bottom style="thin">
        <color auto="1"/>
      </bottom>
      <diagonal/>
    </border>
    <border>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thin">
        <color indexed="64"/>
      </left>
      <right style="double">
        <color indexed="64"/>
      </right>
      <top/>
      <bottom style="thin">
        <color indexed="64"/>
      </bottom>
      <diagonal/>
    </border>
    <border>
      <left style="thin">
        <color auto="1"/>
      </left>
      <right style="thin">
        <color theme="0" tint="-0.24994659260841701"/>
      </right>
      <top style="thin">
        <color theme="0" tint="-0.24994659260841701"/>
      </top>
      <bottom/>
      <diagonal/>
    </border>
    <border>
      <left style="thin">
        <color auto="1"/>
      </left>
      <right style="thin">
        <color theme="0" tint="-0.24994659260841701"/>
      </right>
      <top style="thin">
        <color theme="0" tint="-0.24994659260841701"/>
      </top>
      <bottom style="thin">
        <color theme="0" tint="-0.24994659260841701"/>
      </bottom>
      <diagonal/>
    </border>
    <border>
      <left style="thin">
        <color indexed="64"/>
      </left>
      <right style="thin">
        <color theme="1" tint="0.499984740745262"/>
      </right>
      <top style="thin">
        <color indexed="64"/>
      </top>
      <bottom style="thin">
        <color theme="1" tint="0.499984740745262"/>
      </bottom>
      <diagonal/>
    </border>
    <border>
      <left style="thin">
        <color theme="1" tint="0.499984740745262"/>
      </left>
      <right style="thin">
        <color theme="1" tint="0.499984740745262"/>
      </right>
      <top style="thin">
        <color indexed="64"/>
      </top>
      <bottom style="thin">
        <color theme="1" tint="0.499984740745262"/>
      </bottom>
      <diagonal/>
    </border>
    <border>
      <left style="thin">
        <color theme="1" tint="0.499984740745262"/>
      </left>
      <right style="thin">
        <color indexed="64"/>
      </right>
      <top style="thin">
        <color indexed="64"/>
      </top>
      <bottom style="thin">
        <color theme="1" tint="0.499984740745262"/>
      </bottom>
      <diagonal/>
    </border>
    <border>
      <left style="thin">
        <color indexed="64"/>
      </left>
      <right style="thin">
        <color theme="1" tint="0.499984740745262"/>
      </right>
      <top style="thin">
        <color theme="1" tint="0.499984740745262"/>
      </top>
      <bottom style="thin">
        <color theme="1" tint="0.499984740745262"/>
      </bottom>
      <diagonal/>
    </border>
    <border>
      <left style="thin">
        <color theme="1" tint="0.499984740745262"/>
      </left>
      <right style="thin">
        <color indexed="64"/>
      </right>
      <top style="thin">
        <color theme="1" tint="0.499984740745262"/>
      </top>
      <bottom style="thin">
        <color theme="1" tint="0.499984740745262"/>
      </bottom>
      <diagonal/>
    </border>
    <border>
      <left style="thin">
        <color indexed="64"/>
      </left>
      <right style="thin">
        <color theme="1" tint="0.499984740745262"/>
      </right>
      <top style="thin">
        <color theme="1" tint="0.499984740745262"/>
      </top>
      <bottom style="double">
        <color indexed="64"/>
      </bottom>
      <diagonal/>
    </border>
    <border>
      <left style="thin">
        <color theme="1" tint="0.499984740745262"/>
      </left>
      <right style="thin">
        <color theme="1" tint="0.499984740745262"/>
      </right>
      <top style="thin">
        <color theme="1" tint="0.499984740745262"/>
      </top>
      <bottom style="double">
        <color indexed="64"/>
      </bottom>
      <diagonal/>
    </border>
    <border>
      <left style="thin">
        <color theme="1" tint="0.499984740745262"/>
      </left>
      <right style="thin">
        <color indexed="64"/>
      </right>
      <top style="thin">
        <color theme="1" tint="0.499984740745262"/>
      </top>
      <bottom style="double">
        <color indexed="64"/>
      </bottom>
      <diagonal/>
    </border>
    <border>
      <left style="thin">
        <color auto="1"/>
      </left>
      <right style="thin">
        <color theme="0" tint="-0.24994659260841701"/>
      </right>
      <top/>
      <bottom style="thin">
        <color theme="0" tint="-0.24994659260841701"/>
      </bottom>
      <diagonal/>
    </border>
    <border>
      <left style="thin">
        <color indexed="64"/>
      </left>
      <right style="thin">
        <color indexed="64"/>
      </right>
      <top/>
      <bottom style="thin">
        <color theme="0" tint="-0.499984740745262"/>
      </bottom>
      <diagonal/>
    </border>
    <border>
      <left style="thin">
        <color theme="0" tint="-0.24994659260841701"/>
      </left>
      <right/>
      <top/>
      <bottom style="thin">
        <color auto="1"/>
      </bottom>
      <diagonal/>
    </border>
    <border>
      <left style="thin">
        <color theme="0" tint="-0.34998626667073579"/>
      </left>
      <right/>
      <top style="thin">
        <color indexed="64"/>
      </top>
      <bottom/>
      <diagonal/>
    </border>
    <border>
      <left style="thin">
        <color theme="0" tint="-0.34998626667073579"/>
      </left>
      <right/>
      <top/>
      <bottom style="thin">
        <color indexed="64"/>
      </bottom>
      <diagonal/>
    </border>
    <border>
      <left style="thin">
        <color theme="0" tint="-0.14996795556505021"/>
      </left>
      <right/>
      <top style="thin">
        <color theme="1"/>
      </top>
      <bottom style="thin">
        <color theme="0" tint="-0.24994659260841701"/>
      </bottom>
      <diagonal/>
    </border>
    <border>
      <left style="thin">
        <color theme="0" tint="-0.14996795556505021"/>
      </left>
      <right/>
      <top style="thin">
        <color theme="0" tint="-0.24994659260841701"/>
      </top>
      <bottom style="thin">
        <color theme="0" tint="-0.24994659260841701"/>
      </bottom>
      <diagonal/>
    </border>
    <border>
      <left style="thin">
        <color theme="0" tint="-0.14996795556505021"/>
      </left>
      <right/>
      <top style="thin">
        <color theme="0" tint="-0.24994659260841701"/>
      </top>
      <bottom style="thin">
        <color indexed="64"/>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auto="1"/>
      </top>
      <bottom style="thin">
        <color theme="0" tint="-0.499984740745262"/>
      </bottom>
      <diagonal/>
    </border>
    <border>
      <left/>
      <right style="thin">
        <color indexed="64"/>
      </right>
      <top/>
      <bottom style="thin">
        <color theme="0" tint="-0.499984740745262"/>
      </bottom>
      <diagonal/>
    </border>
    <border>
      <left/>
      <right style="thin">
        <color indexed="64"/>
      </right>
      <top style="thin">
        <color theme="0" tint="-0.499984740745262"/>
      </top>
      <bottom/>
      <diagonal/>
    </border>
    <border>
      <left style="thin">
        <color indexed="64"/>
      </left>
      <right style="double">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theme="0" tint="-0.499984740745262"/>
      </bottom>
      <diagonal/>
    </border>
    <border>
      <left style="thin">
        <color rgb="FFC00000"/>
      </left>
      <right/>
      <top style="thin">
        <color rgb="FFC00000"/>
      </top>
      <bottom/>
      <diagonal/>
    </border>
    <border>
      <left style="thin">
        <color rgb="FFC00000"/>
      </left>
      <right/>
      <top/>
      <bottom/>
      <diagonal/>
    </border>
    <border>
      <left style="thin">
        <color rgb="FFC00000"/>
      </left>
      <right/>
      <top/>
      <bottom style="thin">
        <color indexed="64"/>
      </bottom>
      <diagonal/>
    </border>
    <border>
      <left/>
      <right style="thin">
        <color rgb="FFC00000"/>
      </right>
      <top style="thin">
        <color rgb="FFC00000"/>
      </top>
      <bottom style="thin">
        <color rgb="FFC00000"/>
      </bottom>
      <diagonal/>
    </border>
    <border>
      <left style="medium">
        <color rgb="FFC00000"/>
      </left>
      <right style="medium">
        <color rgb="FFC00000"/>
      </right>
      <top style="medium">
        <color rgb="FFC00000"/>
      </top>
      <bottom style="medium">
        <color rgb="FFC00000"/>
      </bottom>
      <diagonal/>
    </border>
    <border>
      <left style="thin">
        <color rgb="FFC00000"/>
      </left>
      <right style="thin">
        <color rgb="FFC00000"/>
      </right>
      <top/>
      <bottom style="thin">
        <color rgb="FFC00000"/>
      </bottom>
      <diagonal/>
    </border>
    <border>
      <left style="thin">
        <color theme="0" tint="-0.499984740745262"/>
      </left>
      <right/>
      <top style="thin">
        <color auto="1"/>
      </top>
      <bottom style="thin">
        <color theme="0" tint="-0.499984740745262"/>
      </bottom>
      <diagonal/>
    </border>
    <border>
      <left style="thin">
        <color theme="0" tint="-0.499984740745262"/>
      </left>
      <right/>
      <top style="thin">
        <color theme="0" tint="-0.499984740745262"/>
      </top>
      <bottom style="thin">
        <color indexed="64"/>
      </bottom>
      <diagonal/>
    </border>
    <border>
      <left style="thin">
        <color theme="1" tint="0.34998626667073579"/>
      </left>
      <right style="thin">
        <color theme="1" tint="0.34998626667073579"/>
      </right>
      <top/>
      <bottom style="thin">
        <color theme="1" tint="0.34998626667073579"/>
      </bottom>
      <diagonal/>
    </border>
    <border>
      <left style="thin">
        <color theme="0" tint="-0.499984740745262"/>
      </left>
      <right/>
      <top/>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indexed="64"/>
      </left>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thin">
        <color theme="1" tint="0.499984740745262"/>
      </left>
      <right style="thin">
        <color theme="1" tint="0.499984740745262"/>
      </right>
      <top style="thin">
        <color theme="3" tint="0.3999450666829432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double">
        <color theme="1"/>
      </bottom>
      <diagonal/>
    </border>
    <border>
      <left style="thin">
        <color theme="0" tint="-0.499984740745262"/>
      </left>
      <right style="thin">
        <color auto="1"/>
      </right>
      <top style="thin">
        <color auto="1"/>
      </top>
      <bottom style="thin">
        <color theme="0" tint="-0.499984740745262"/>
      </bottom>
      <diagonal/>
    </border>
    <border>
      <left style="thin">
        <color theme="0" tint="-0.499984740745262"/>
      </left>
      <right style="thin">
        <color auto="1"/>
      </right>
      <top style="thin">
        <color theme="0" tint="-0.499984740745262"/>
      </top>
      <bottom style="thin">
        <color theme="0" tint="-0.499984740745262"/>
      </bottom>
      <diagonal/>
    </border>
    <border>
      <left/>
      <right/>
      <top/>
      <bottom style="thin">
        <color theme="1" tint="0.499984740745262"/>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double">
        <color indexed="64"/>
      </right>
      <top/>
      <bottom/>
      <diagonal/>
    </border>
    <border>
      <left style="thin">
        <color theme="1" tint="0.34998626667073579"/>
      </left>
      <right style="thin">
        <color theme="1" tint="0.34998626667073579"/>
      </right>
      <top/>
      <bottom/>
      <diagonal/>
    </border>
    <border>
      <left/>
      <right style="double">
        <color indexed="64"/>
      </right>
      <top/>
      <bottom style="thin">
        <color indexed="64"/>
      </bottom>
      <diagonal/>
    </border>
    <border>
      <left style="thin">
        <color theme="1" tint="0.34998626667073579"/>
      </left>
      <right style="thin">
        <color theme="1" tint="0.34998626667073579"/>
      </right>
      <top style="thin">
        <color theme="1" tint="0.34998626667073579"/>
      </top>
      <bottom style="thin">
        <color indexed="64"/>
      </bottom>
      <diagonal/>
    </border>
    <border>
      <left style="thin">
        <color indexed="64"/>
      </left>
      <right/>
      <top style="medium">
        <color indexed="64"/>
      </top>
      <bottom style="medium">
        <color indexed="64"/>
      </bottom>
      <diagonal/>
    </border>
    <border>
      <left style="thin">
        <color auto="1"/>
      </left>
      <right style="thin">
        <color theme="0" tint="-0.499984740745262"/>
      </right>
      <top style="thin">
        <color indexed="64"/>
      </top>
      <bottom style="thin">
        <color auto="1"/>
      </bottom>
      <diagonal/>
    </border>
    <border>
      <left style="thin">
        <color theme="0" tint="-0.499984740745262"/>
      </left>
      <right style="thin">
        <color theme="0" tint="-0.499984740745262"/>
      </right>
      <top style="thin">
        <color indexed="64"/>
      </top>
      <bottom style="thin">
        <color auto="1"/>
      </bottom>
      <diagonal/>
    </border>
    <border>
      <left style="thin">
        <color theme="1" tint="0.499984740745262"/>
      </left>
      <right style="thin">
        <color theme="1" tint="0.499984740745262"/>
      </right>
      <top style="thin">
        <color theme="1" tint="0.499984740745262"/>
      </top>
      <bottom style="double">
        <color theme="1" tint="0.499984740745262"/>
      </bottom>
      <diagonal/>
    </border>
    <border>
      <left style="thin">
        <color theme="0" tint="-0.499984740745262"/>
      </left>
      <right style="thin">
        <color indexed="64"/>
      </right>
      <top style="thin">
        <color indexed="64"/>
      </top>
      <bottom style="thin">
        <color indexed="64"/>
      </bottom>
      <diagonal/>
    </border>
    <border>
      <left style="thin">
        <color theme="1" tint="0.499984740745262"/>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0"/>
      </left>
      <right style="thin">
        <color theme="0"/>
      </right>
      <top style="thin">
        <color theme="0" tint="-0.499984740745262"/>
      </top>
      <bottom style="thin">
        <color theme="0"/>
      </bottom>
      <diagonal/>
    </border>
    <border>
      <left style="thin">
        <color theme="0"/>
      </left>
      <right style="thin">
        <color theme="0"/>
      </right>
      <top/>
      <bottom style="thin">
        <color theme="0"/>
      </bottom>
      <diagonal/>
    </border>
    <border>
      <left style="thin">
        <color theme="0"/>
      </left>
      <right/>
      <top style="thin">
        <color theme="0" tint="-0.499984740745262"/>
      </top>
      <bottom style="thin">
        <color theme="0"/>
      </bottom>
      <diagonal/>
    </border>
    <border>
      <left style="thin">
        <color theme="0" tint="-0.24994659260841701"/>
      </left>
      <right/>
      <top style="thin">
        <color indexed="64"/>
      </top>
      <bottom style="thin">
        <color theme="0" tint="-0.34998626667073579"/>
      </bottom>
      <diagonal/>
    </border>
    <border>
      <left style="thin">
        <color theme="0" tint="-0.24994659260841701"/>
      </left>
      <right/>
      <top style="thin">
        <color theme="0" tint="-0.34998626667073579"/>
      </top>
      <bottom style="thin">
        <color theme="0" tint="-0.34998626667073579"/>
      </bottom>
      <diagonal/>
    </border>
    <border>
      <left style="thin">
        <color theme="0" tint="-0.24994659260841701"/>
      </left>
      <right/>
      <top style="thin">
        <color theme="0" tint="-0.34998626667073579"/>
      </top>
      <bottom style="thin">
        <color indexed="64"/>
      </bottom>
      <diagonal/>
    </border>
    <border>
      <left style="thin">
        <color theme="0"/>
      </left>
      <right/>
      <top/>
      <bottom style="thin">
        <color theme="0"/>
      </bottom>
      <diagonal/>
    </border>
    <border>
      <left style="thin">
        <color theme="0"/>
      </left>
      <right style="thin">
        <color theme="0"/>
      </right>
      <top/>
      <bottom/>
      <diagonal/>
    </border>
    <border>
      <left style="thin">
        <color theme="0"/>
      </left>
      <right style="thin">
        <color theme="0"/>
      </right>
      <top/>
      <bottom style="thin">
        <color theme="0" tint="-0.499984740745262"/>
      </bottom>
      <diagonal/>
    </border>
    <border>
      <left style="thin">
        <color theme="0"/>
      </left>
      <right/>
      <top/>
      <bottom style="thin">
        <color theme="0" tint="-0.499984740745262"/>
      </bottom>
      <diagonal/>
    </border>
    <border>
      <left style="thin">
        <color theme="1"/>
      </left>
      <right style="thin">
        <color indexed="64"/>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right/>
      <top style="thin">
        <color theme="0" tint="-0.24994659260841701"/>
      </top>
      <bottom/>
      <diagonal/>
    </border>
    <border>
      <left style="thin">
        <color theme="1" tint="0.499984740745262"/>
      </left>
      <right style="thin">
        <color indexed="64"/>
      </right>
      <top/>
      <bottom/>
      <diagonal/>
    </border>
    <border>
      <left style="thin">
        <color indexed="64"/>
      </left>
      <right/>
      <top style="thin">
        <color theme="0" tint="-0.34998626667073579"/>
      </top>
      <bottom/>
      <diagonal/>
    </border>
    <border>
      <left style="thin">
        <color indexed="64"/>
      </left>
      <right style="thin">
        <color theme="0" tint="-0.499984740745262"/>
      </right>
      <top style="thin">
        <color theme="0" tint="-0.34998626667073579"/>
      </top>
      <bottom/>
      <diagonal/>
    </border>
    <border>
      <left style="thin">
        <color theme="0" tint="-0.499984740745262"/>
      </left>
      <right style="thin">
        <color indexed="64"/>
      </right>
      <top/>
      <bottom/>
      <diagonal/>
    </border>
    <border>
      <left style="thin">
        <color indexed="64"/>
      </left>
      <right/>
      <top style="thin">
        <color theme="0" tint="-0.24994659260841701"/>
      </top>
      <bottom/>
      <diagonal/>
    </border>
    <border>
      <left style="thin">
        <color theme="0" tint="-0.14996795556505021"/>
      </left>
      <right style="thin">
        <color theme="0" tint="-0.14993743705557422"/>
      </right>
      <top/>
      <bottom/>
      <diagonal/>
    </border>
    <border>
      <left style="thin">
        <color theme="0" tint="-0.14993743705557422"/>
      </left>
      <right/>
      <top style="thin">
        <color theme="0" tint="-0.24994659260841701"/>
      </top>
      <bottom/>
      <diagonal/>
    </border>
    <border>
      <left style="thin">
        <color theme="1" tint="0.34998626667073579"/>
      </left>
      <right style="thin">
        <color indexed="64"/>
      </right>
      <top style="thin">
        <color theme="1" tint="0.34998626667073579"/>
      </top>
      <bottom style="thin">
        <color theme="1" tint="0.34998626667073579"/>
      </bottom>
      <diagonal/>
    </border>
    <border>
      <left style="thin">
        <color theme="1" tint="0.34998626667073579"/>
      </left>
      <right style="thin">
        <color indexed="64"/>
      </right>
      <top style="thin">
        <color theme="1" tint="0.34998626667073579"/>
      </top>
      <bottom style="thin">
        <color indexed="64"/>
      </bottom>
      <diagonal/>
    </border>
    <border>
      <left style="thin">
        <color theme="1" tint="0.34998626667073579"/>
      </left>
      <right style="thin">
        <color indexed="64"/>
      </right>
      <top/>
      <bottom style="thin">
        <color theme="1" tint="0.34998626667073579"/>
      </bottom>
      <diagonal/>
    </border>
    <border>
      <left/>
      <right style="thin">
        <color theme="1" tint="0.34998626667073579"/>
      </right>
      <top/>
      <bottom style="thin">
        <color theme="1" tint="0.34998626667073579"/>
      </bottom>
      <diagonal/>
    </border>
    <border>
      <left/>
      <right style="thin">
        <color theme="1" tint="0.34998626667073579"/>
      </right>
      <top style="medium">
        <color indexed="64"/>
      </top>
      <bottom style="double">
        <color indexed="64"/>
      </bottom>
      <diagonal/>
    </border>
    <border>
      <left style="thin">
        <color theme="1" tint="0.34998626667073579"/>
      </left>
      <right style="thin">
        <color theme="1" tint="0.34998626667073579"/>
      </right>
      <top style="medium">
        <color indexed="64"/>
      </top>
      <bottom style="double">
        <color indexed="64"/>
      </bottom>
      <diagonal/>
    </border>
    <border>
      <left style="thin">
        <color theme="1" tint="0.34998626667073579"/>
      </left>
      <right style="thin">
        <color indexed="64"/>
      </right>
      <top style="medium">
        <color indexed="64"/>
      </top>
      <bottom style="double">
        <color indexed="64"/>
      </bottom>
      <diagonal/>
    </border>
    <border>
      <left style="thin">
        <color theme="1" tint="0.34998626667073579"/>
      </left>
      <right/>
      <top style="medium">
        <color indexed="64"/>
      </top>
      <bottom style="double">
        <color indexed="64"/>
      </bottom>
      <diagonal/>
    </border>
    <border>
      <left style="thin">
        <color theme="1" tint="0.34998626667073579"/>
      </left>
      <right/>
      <top/>
      <bottom style="thin">
        <color theme="1" tint="0.34998626667073579"/>
      </bottom>
      <diagonal/>
    </border>
    <border>
      <left style="thin">
        <color theme="0" tint="-0.14996795556505021"/>
      </left>
      <right style="thin">
        <color indexed="64"/>
      </right>
      <top style="thin">
        <color indexed="64"/>
      </top>
      <bottom style="thin">
        <color indexed="64"/>
      </bottom>
      <diagonal/>
    </border>
    <border>
      <left style="thin">
        <color theme="0" tint="-0.14996795556505021"/>
      </left>
      <right style="thin">
        <color indexed="64"/>
      </right>
      <top/>
      <bottom style="thin">
        <color theme="0" tint="-0.499984740745262"/>
      </bottom>
      <diagonal/>
    </border>
    <border>
      <left style="thin">
        <color theme="0" tint="-0.14996795556505021"/>
      </left>
      <right style="thin">
        <color indexed="64"/>
      </right>
      <top style="thin">
        <color theme="0" tint="-0.499984740745262"/>
      </top>
      <bottom style="thin">
        <color theme="0" tint="-0.499984740745262"/>
      </bottom>
      <diagonal/>
    </border>
    <border>
      <left style="thin">
        <color theme="0" tint="-0.14996795556505021"/>
      </left>
      <right style="thin">
        <color indexed="64"/>
      </right>
      <top style="thin">
        <color theme="0" tint="-0.499984740745262"/>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double">
        <color indexed="64"/>
      </bottom>
      <diagonal/>
    </border>
    <border>
      <left style="thin">
        <color indexed="64"/>
      </left>
      <right/>
      <top style="thin">
        <color theme="1" tint="0.34998626667073579"/>
      </top>
      <bottom style="thin">
        <color theme="1" tint="0.34998626667073579"/>
      </bottom>
      <diagonal/>
    </border>
    <border>
      <left/>
      <right style="double">
        <color indexed="64"/>
      </right>
      <top style="thin">
        <color theme="1" tint="0.34998626667073579"/>
      </top>
      <bottom style="thin">
        <color theme="1" tint="0.34998626667073579"/>
      </bottom>
      <diagonal/>
    </border>
    <border>
      <left style="double">
        <color indexed="64"/>
      </left>
      <right/>
      <top style="thin">
        <color indexed="64"/>
      </top>
      <bottom style="medium">
        <color indexed="64"/>
      </bottom>
      <diagonal/>
    </border>
    <border>
      <left style="double">
        <color indexed="64"/>
      </left>
      <right/>
      <top style="medium">
        <color indexed="64"/>
      </top>
      <bottom style="double">
        <color indexed="64"/>
      </bottom>
      <diagonal/>
    </border>
    <border>
      <left style="double">
        <color indexed="64"/>
      </left>
      <right/>
      <top style="thin">
        <color theme="1" tint="0.34998626667073579"/>
      </top>
      <bottom style="thin">
        <color theme="1" tint="0.34998626667073579"/>
      </bottom>
      <diagonal/>
    </border>
    <border>
      <left style="double">
        <color indexed="64"/>
      </left>
      <right/>
      <top/>
      <bottom style="thin">
        <color indexed="64"/>
      </bottom>
      <diagonal/>
    </border>
    <border diagonalUp="1">
      <left style="thin">
        <color indexed="64"/>
      </left>
      <right style="double">
        <color indexed="64"/>
      </right>
      <top style="thin">
        <color indexed="64"/>
      </top>
      <bottom style="medium">
        <color indexed="64"/>
      </bottom>
      <diagonal style="thin">
        <color indexed="64"/>
      </diagonal>
    </border>
    <border>
      <left style="thin">
        <color theme="1" tint="0.499984740745262"/>
      </left>
      <right/>
      <top style="thin">
        <color indexed="64"/>
      </top>
      <bottom style="thin">
        <color theme="1" tint="0.499984740745262"/>
      </bottom>
      <diagonal/>
    </border>
    <border>
      <left style="thin">
        <color theme="1" tint="0.499984740745262"/>
      </left>
      <right/>
      <top style="thin">
        <color theme="1" tint="0.499984740745262"/>
      </top>
      <bottom style="double">
        <color indexed="64"/>
      </bottom>
      <diagonal/>
    </border>
    <border>
      <left style="thin">
        <color theme="0" tint="-0.499984740745262"/>
      </left>
      <right style="thin">
        <color theme="0" tint="-0.499984740745262"/>
      </right>
      <top style="thin">
        <color theme="0" tint="-0.499984740745262"/>
      </top>
      <bottom style="double">
        <color indexed="64"/>
      </bottom>
      <diagonal/>
    </border>
    <border>
      <left style="thin">
        <color theme="0" tint="-0.24994659260841701"/>
      </left>
      <right style="thin">
        <color theme="0" tint="-0.24994659260841701"/>
      </right>
      <top style="thin">
        <color theme="1" tint="0.499984740745262"/>
      </top>
      <bottom style="thin">
        <color theme="1" tint="0.499984740745262"/>
      </bottom>
      <diagonal/>
    </border>
    <border>
      <left style="thin">
        <color indexed="64"/>
      </left>
      <right/>
      <top/>
      <bottom style="thin">
        <color theme="1" tint="0.499984740745262"/>
      </bottom>
      <diagonal/>
    </border>
    <border>
      <left style="thin">
        <color theme="0" tint="-0.24994659260841701"/>
      </left>
      <right/>
      <top style="thin">
        <color theme="1" tint="0.499984740745262"/>
      </top>
      <bottom style="thin">
        <color theme="1" tint="0.499984740745262"/>
      </bottom>
      <diagonal/>
    </border>
    <border>
      <left style="thin">
        <color theme="0" tint="-0.24994659260841701"/>
      </left>
      <right style="thin">
        <color theme="0" tint="-0.24994659260841701"/>
      </right>
      <top style="thin">
        <color theme="0" tint="-0.499984740745262"/>
      </top>
      <bottom style="thin">
        <color theme="0" tint="-0.499984740745262"/>
      </bottom>
      <diagonal/>
    </border>
    <border>
      <left style="thin">
        <color indexed="64"/>
      </left>
      <right style="thin">
        <color theme="0" tint="-0.24994659260841701"/>
      </right>
      <top style="thin">
        <color theme="0" tint="-0.499984740745262"/>
      </top>
      <bottom/>
      <diagonal/>
    </border>
    <border>
      <left style="thin">
        <color theme="0" tint="-0.24994659260841701"/>
      </left>
      <right/>
      <top style="thin">
        <color theme="0" tint="-0.499984740745262"/>
      </top>
      <bottom style="thin">
        <color theme="0" tint="-0.499984740745262"/>
      </bottom>
      <diagonal/>
    </border>
    <border>
      <left style="thin">
        <color theme="0" tint="-0.34998626667073579"/>
      </left>
      <right style="thin">
        <color theme="1" tint="0.34998626667073579"/>
      </right>
      <top style="thin">
        <color theme="1" tint="0.34998626667073579"/>
      </top>
      <bottom style="double">
        <color indexed="64"/>
      </bottom>
      <diagonal/>
    </border>
    <border>
      <left style="thin">
        <color theme="1" tint="0.34998626667073579"/>
      </left>
      <right/>
      <top style="thin">
        <color theme="1" tint="0.34998626667073579"/>
      </top>
      <bottom/>
      <diagonal/>
    </border>
    <border>
      <left style="thin">
        <color indexed="64"/>
      </left>
      <right style="double">
        <color indexed="64"/>
      </right>
      <top/>
      <bottom style="medium">
        <color indexed="64"/>
      </bottom>
      <diagonal/>
    </border>
    <border>
      <left/>
      <right style="thin">
        <color indexed="64"/>
      </right>
      <top/>
      <bottom style="medium">
        <color indexed="64"/>
      </bottom>
      <diagonal/>
    </border>
    <border>
      <left style="thin">
        <color indexed="64"/>
      </left>
      <right style="double">
        <color indexed="64"/>
      </right>
      <top/>
      <bottom style="double">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theme="0" tint="-0.34998626667073579"/>
      </left>
      <right style="thin">
        <color indexed="64"/>
      </right>
      <top style="thin">
        <color theme="0" tint="-0.499984740745262"/>
      </top>
      <bottom/>
      <diagonal/>
    </border>
    <border>
      <left style="thin">
        <color theme="0" tint="-0.34998626667073579"/>
      </left>
      <right style="thin">
        <color indexed="64"/>
      </right>
      <top/>
      <bottom/>
      <diagonal/>
    </border>
    <border>
      <left style="thin">
        <color theme="1" tint="0.499984740745262"/>
      </left>
      <right style="thin">
        <color theme="1" tint="0.499984740745262"/>
      </right>
      <top style="thin">
        <color theme="3" tint="0.39994506668294322"/>
      </top>
      <bottom style="medium">
        <color indexed="64"/>
      </bottom>
      <diagonal/>
    </border>
    <border>
      <left style="thin">
        <color theme="0"/>
      </left>
      <right/>
      <top/>
      <bottom/>
      <diagonal/>
    </border>
    <border>
      <left style="thin">
        <color theme="0"/>
      </left>
      <right/>
      <top style="thin">
        <color theme="0" tint="-0.499984740745262"/>
      </top>
      <bottom/>
      <diagonal/>
    </border>
    <border>
      <left style="double">
        <color indexed="64"/>
      </left>
      <right/>
      <top/>
      <bottom/>
      <diagonal/>
    </border>
    <border>
      <left/>
      <right style="double">
        <color indexed="64"/>
      </right>
      <top/>
      <bottom/>
      <diagonal/>
    </border>
    <border>
      <left/>
      <right style="thin">
        <color theme="1" tint="0.34998626667073579"/>
      </right>
      <top/>
      <bottom/>
      <diagonal/>
    </border>
    <border>
      <left style="thin">
        <color theme="1" tint="0.34998626667073579"/>
      </left>
      <right/>
      <top/>
      <bottom/>
      <diagonal/>
    </border>
    <border>
      <left style="thin">
        <color theme="1" tint="0.34998626667073579"/>
      </left>
      <right style="thin">
        <color theme="1" tint="0.34998626667073579"/>
      </right>
      <top style="medium">
        <color indexed="64"/>
      </top>
      <bottom style="thin">
        <color indexed="64"/>
      </bottom>
      <diagonal/>
    </border>
    <border>
      <left style="thin">
        <color theme="1" tint="0.34998626667073579"/>
      </left>
      <right/>
      <top style="medium">
        <color indexed="64"/>
      </top>
      <bottom style="thin">
        <color indexed="64"/>
      </bottom>
      <diagonal/>
    </border>
    <border>
      <left style="thin">
        <color theme="1" tint="0.34998626667073579"/>
      </left>
      <right style="thin">
        <color indexed="64"/>
      </right>
      <top style="medium">
        <color indexed="64"/>
      </top>
      <bottom style="thin">
        <color indexed="64"/>
      </bottom>
      <diagonal/>
    </border>
    <border>
      <left style="thin">
        <color theme="1" tint="0.34998626667073579"/>
      </left>
      <right style="thin">
        <color indexed="64"/>
      </right>
      <top/>
      <bottom/>
      <diagonal/>
    </border>
    <border>
      <left/>
      <right style="thin">
        <color theme="1" tint="0.34998626667073579"/>
      </right>
      <top style="thin">
        <color indexed="64"/>
      </top>
      <bottom style="medium">
        <color indexed="64"/>
      </bottom>
      <diagonal/>
    </border>
    <border>
      <left style="thin">
        <color theme="1" tint="0.34998626667073579"/>
      </left>
      <right style="thin">
        <color theme="1" tint="0.34998626667073579"/>
      </right>
      <top style="thin">
        <color indexed="64"/>
      </top>
      <bottom style="medium">
        <color indexed="64"/>
      </bottom>
      <diagonal/>
    </border>
    <border>
      <left style="thin">
        <color theme="1" tint="0.34998626667073579"/>
      </left>
      <right/>
      <top style="thin">
        <color indexed="64"/>
      </top>
      <bottom style="medium">
        <color indexed="64"/>
      </bottom>
      <diagonal/>
    </border>
    <border>
      <left style="thin">
        <color theme="1" tint="0.34998626667073579"/>
      </left>
      <right style="thin">
        <color indexed="64"/>
      </right>
      <top style="thin">
        <color indexed="64"/>
      </top>
      <bottom style="medium">
        <color indexed="64"/>
      </bottom>
      <diagonal/>
    </border>
    <border>
      <left style="thin">
        <color indexed="64"/>
      </left>
      <right style="double">
        <color indexed="64"/>
      </right>
      <top style="double">
        <color indexed="64"/>
      </top>
      <bottom style="thin">
        <color indexed="64"/>
      </bottom>
      <diagonal/>
    </border>
    <border>
      <left/>
      <right style="thin">
        <color theme="1" tint="0.34998626667073579"/>
      </right>
      <top/>
      <bottom style="thin">
        <color indexed="64"/>
      </bottom>
      <diagonal/>
    </border>
    <border>
      <left style="thin">
        <color theme="1" tint="0.34998626667073579"/>
      </left>
      <right style="thin">
        <color theme="1" tint="0.34998626667073579"/>
      </right>
      <top/>
      <bottom style="thin">
        <color indexed="64"/>
      </bottom>
      <diagonal/>
    </border>
    <border>
      <left style="thin">
        <color theme="1" tint="0.34998626667073579"/>
      </left>
      <right/>
      <top/>
      <bottom style="thin">
        <color indexed="64"/>
      </bottom>
      <diagonal/>
    </border>
    <border>
      <left style="thin">
        <color theme="1" tint="0.34998626667073579"/>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diagonal/>
    </border>
    <border>
      <left style="thin">
        <color theme="0" tint="-0.499984740745262"/>
      </left>
      <right style="thin">
        <color theme="0" tint="-0.499984740745262"/>
      </right>
      <top style="thin">
        <color theme="0" tint="-0.499984740745262"/>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theme="0" tint="-0.499984740745262"/>
      </left>
      <right/>
      <top style="thin">
        <color indexed="64"/>
      </top>
      <bottom style="thin">
        <color indexed="64"/>
      </bottom>
      <diagonal/>
    </border>
    <border>
      <left style="thin">
        <color theme="0" tint="-0.24994659260841701"/>
      </left>
      <right style="thin">
        <color indexed="64"/>
      </right>
      <top style="thin">
        <color theme="0" tint="-0.499984740745262"/>
      </top>
      <bottom style="thin">
        <color theme="0" tint="-0.499984740745262"/>
      </bottom>
      <diagonal/>
    </border>
    <border>
      <left style="thin">
        <color theme="0" tint="-0.24994659260841701"/>
      </left>
      <right style="thin">
        <color indexed="64"/>
      </right>
      <top/>
      <bottom style="thin">
        <color indexed="64"/>
      </bottom>
      <diagonal/>
    </border>
    <border>
      <left style="thin">
        <color theme="0" tint="-0.24994659260841701"/>
      </left>
      <right style="thin">
        <color indexed="64"/>
      </right>
      <top style="thin">
        <color theme="0" tint="-0.499984740745262"/>
      </top>
      <bottom style="thin">
        <color indexed="64"/>
      </bottom>
      <diagonal/>
    </border>
    <border diagonalUp="1" diagonalDown="1">
      <left style="thin">
        <color indexed="64"/>
      </left>
      <right style="thin">
        <color indexed="64"/>
      </right>
      <top style="thin">
        <color indexed="64"/>
      </top>
      <bottom style="thin">
        <color indexed="64"/>
      </bottom>
      <diagonal style="thin">
        <color theme="0" tint="-0.499984740745262"/>
      </diagonal>
    </border>
    <border diagonalUp="1" diagonalDown="1">
      <left style="thin">
        <color indexed="64"/>
      </left>
      <right style="thin">
        <color indexed="64"/>
      </right>
      <top style="thin">
        <color indexed="64"/>
      </top>
      <bottom style="double">
        <color indexed="64"/>
      </bottom>
      <diagonal style="thin">
        <color theme="0" tint="-0.499984740745262"/>
      </diagonal>
    </border>
    <border>
      <left style="thin">
        <color theme="1" tint="0.34998626667073579"/>
      </left>
      <right style="thin">
        <color theme="1" tint="0.34998626667073579"/>
      </right>
      <top style="thin">
        <color theme="1" tint="0.34998626667073579"/>
      </top>
      <bottom style="double">
        <color indexed="64"/>
      </bottom>
      <diagonal/>
    </border>
    <border>
      <left style="thin">
        <color indexed="64"/>
      </left>
      <right style="thin">
        <color theme="1" tint="0.34998626667073579"/>
      </right>
      <top style="thin">
        <color theme="1" tint="0.34998626667073579"/>
      </top>
      <bottom style="double">
        <color indexed="64"/>
      </bottom>
      <diagonal/>
    </border>
    <border>
      <left style="thin">
        <color theme="0" tint="-0.34998626667073579"/>
      </left>
      <right style="thin">
        <color auto="1"/>
      </right>
      <top style="thin">
        <color indexed="64"/>
      </top>
      <bottom style="thin">
        <color indexed="64"/>
      </bottom>
      <diagonal/>
    </border>
    <border>
      <left style="thin">
        <color indexed="64"/>
      </left>
      <right style="thin">
        <color theme="0" tint="-0.34998626667073579"/>
      </right>
      <top style="thin">
        <color indexed="64"/>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style="thin">
        <color theme="1" tint="0.34998626667073579"/>
      </right>
      <top/>
      <bottom style="thin">
        <color theme="1" tint="0.34998626667073579"/>
      </bottom>
      <diagonal/>
    </border>
    <border>
      <left style="thin">
        <color indexed="64"/>
      </left>
      <right style="thin">
        <color indexed="64"/>
      </right>
      <top style="thin">
        <color theme="0" tint="-0.499984740745262"/>
      </top>
      <bottom style="medium">
        <color indexed="64"/>
      </bottom>
      <diagonal/>
    </border>
    <border>
      <left/>
      <right style="thin">
        <color indexed="64"/>
      </right>
      <top style="thin">
        <color theme="0" tint="-0.499984740745262"/>
      </top>
      <bottom style="medium">
        <color indexed="64"/>
      </bottom>
      <diagonal/>
    </border>
    <border>
      <left/>
      <right style="thin">
        <color theme="1" tint="0.34998626667073579"/>
      </right>
      <top style="thin">
        <color theme="1" tint="0.34998626667073579"/>
      </top>
      <bottom style="double">
        <color indexed="64"/>
      </bottom>
      <diagonal/>
    </border>
    <border>
      <left style="thin">
        <color theme="0" tint="-0.34998626667073579"/>
      </left>
      <right style="thin">
        <color indexed="64"/>
      </right>
      <top style="thin">
        <color theme="0" tint="-0.499984740745262"/>
      </top>
      <bottom style="thin">
        <color theme="0" tint="-0.499984740745262"/>
      </bottom>
      <diagonal/>
    </border>
    <border>
      <left style="thin">
        <color theme="0" tint="-0.34998626667073579"/>
      </left>
      <right style="thin">
        <color indexed="64"/>
      </right>
      <top style="thin">
        <color theme="0" tint="-0.499984740745262"/>
      </top>
      <bottom style="thin">
        <color indexed="64"/>
      </bottom>
      <diagonal/>
    </border>
    <border>
      <left style="thin">
        <color theme="0" tint="-0.499984740745262"/>
      </left>
      <right style="medium">
        <color indexed="64"/>
      </right>
      <top style="thin">
        <color theme="0" tint="-0.499984740745262"/>
      </top>
      <bottom style="thin">
        <color theme="0" tint="-0.499984740745262"/>
      </bottom>
      <diagonal/>
    </border>
    <border>
      <left style="thin">
        <color theme="0" tint="-0.499984740745262"/>
      </left>
      <right style="medium">
        <color indexed="64"/>
      </right>
      <top style="thin">
        <color theme="0" tint="-0.499984740745262"/>
      </top>
      <bottom style="medium">
        <color indexed="64"/>
      </bottom>
      <diagonal/>
    </border>
    <border>
      <left style="thin">
        <color theme="0" tint="-0.499984740745262"/>
      </left>
      <right style="medium">
        <color indexed="64"/>
      </right>
      <top style="medium">
        <color indexed="64"/>
      </top>
      <bottom style="double">
        <color indexed="64"/>
      </bottom>
      <diagonal/>
    </border>
    <border>
      <left style="thin">
        <color theme="0" tint="-0.499984740745262"/>
      </left>
      <right style="medium">
        <color indexed="64"/>
      </right>
      <top/>
      <bottom style="thin">
        <color theme="0" tint="-0.499984740745262"/>
      </bottom>
      <diagonal/>
    </border>
    <border>
      <left style="thin">
        <color theme="1" tint="0.499984740745262"/>
      </left>
      <right style="thin">
        <color theme="1" tint="0.499984740745262"/>
      </right>
      <top style="double">
        <color theme="1"/>
      </top>
      <bottom style="thin">
        <color theme="1" tint="0.499984740745262"/>
      </bottom>
      <diagonal/>
    </border>
    <border>
      <left style="thin">
        <color theme="0"/>
      </left>
      <right style="thin">
        <color theme="0"/>
      </right>
      <top style="thin">
        <color auto="1"/>
      </top>
      <bottom style="thin">
        <color auto="1"/>
      </bottom>
      <diagonal/>
    </border>
    <border>
      <left style="thin">
        <color theme="0" tint="-0.499984740745262"/>
      </left>
      <right style="thin">
        <color theme="0" tint="-0.499984740745262"/>
      </right>
      <top style="thin">
        <color theme="1"/>
      </top>
      <bottom/>
      <diagonal/>
    </border>
    <border>
      <left style="thin">
        <color theme="0" tint="-0.499984740745262"/>
      </left>
      <right style="thin">
        <color indexed="64"/>
      </right>
      <top style="thin">
        <color theme="1"/>
      </top>
      <bottom/>
      <diagonal/>
    </border>
    <border>
      <left style="thin">
        <color theme="1" tint="0.499984740745262"/>
      </left>
      <right style="thin">
        <color indexed="64"/>
      </right>
      <top style="thin">
        <color theme="0" tint="-0.499984740745262"/>
      </top>
      <bottom style="thin">
        <color theme="0" tint="-0.499984740745262"/>
      </bottom>
      <diagonal/>
    </border>
    <border>
      <left/>
      <right style="thin">
        <color indexed="64"/>
      </right>
      <top style="thin">
        <color indexed="64"/>
      </top>
      <bottom style="thin">
        <color theme="0" tint="-0.34998626667073579"/>
      </bottom>
      <diagonal/>
    </border>
    <border>
      <left/>
      <right style="thin">
        <color indexed="64"/>
      </right>
      <top style="thin">
        <color theme="0" tint="-0.34998626667073579"/>
      </top>
      <bottom style="thin">
        <color theme="0" tint="-0.34998626667073579"/>
      </bottom>
      <diagonal/>
    </border>
    <border>
      <left/>
      <right style="thin">
        <color indexed="64"/>
      </right>
      <top style="thin">
        <color theme="0" tint="-0.34998626667073579"/>
      </top>
      <bottom style="thin">
        <color auto="1"/>
      </bottom>
      <diagonal/>
    </border>
    <border>
      <left style="thin">
        <color theme="0" tint="-0.14996795556505021"/>
      </left>
      <right/>
      <top style="thin">
        <color auto="1"/>
      </top>
      <bottom style="thin">
        <color theme="0" tint="-0.34998626667073579"/>
      </bottom>
      <diagonal/>
    </border>
    <border>
      <left/>
      <right/>
      <top style="thin">
        <color theme="0" tint="-0.34998626667073579"/>
      </top>
      <bottom style="thin">
        <color indexed="64"/>
      </bottom>
      <diagonal/>
    </border>
    <border>
      <left style="thin">
        <color rgb="FFC00000"/>
      </left>
      <right style="thin">
        <color rgb="FFC00000"/>
      </right>
      <top style="medium">
        <color rgb="FFC00000"/>
      </top>
      <bottom/>
      <diagonal/>
    </border>
    <border>
      <left/>
      <right style="thin">
        <color indexed="64"/>
      </right>
      <top style="thin">
        <color theme="0" tint="-0.34998626667073579"/>
      </top>
      <bottom/>
      <diagonal/>
    </border>
    <border diagonalUp="1" diagonalDown="1">
      <left style="thin">
        <color indexed="64"/>
      </left>
      <right style="thin">
        <color indexed="64"/>
      </right>
      <top/>
      <bottom style="double">
        <color indexed="64"/>
      </bottom>
      <diagonal style="thin">
        <color theme="0" tint="-0.499984740745262"/>
      </diagonal>
    </border>
    <border diagonalUp="1" diagonalDown="1">
      <left style="thin">
        <color indexed="64"/>
      </left>
      <right style="thin">
        <color indexed="64"/>
      </right>
      <top style="thin">
        <color indexed="64"/>
      </top>
      <bottom/>
      <diagonal style="thin">
        <color theme="0" tint="-0.499984740745262"/>
      </diagonal>
    </border>
    <border>
      <left style="thin">
        <color theme="1" tint="0.499984740745262"/>
      </left>
      <right style="thin">
        <color theme="1" tint="0.499984740745262"/>
      </right>
      <top style="thin">
        <color theme="3" tint="0.39994506668294322"/>
      </top>
      <bottom style="double">
        <color indexed="64"/>
      </bottom>
      <diagonal/>
    </border>
    <border>
      <left style="thin">
        <color theme="0" tint="-0.34998626667073579"/>
      </left>
      <right/>
      <top style="thin">
        <color theme="0" tint="-0.34998626667073579"/>
      </top>
      <bottom style="thin">
        <color theme="0" tint="-0.34998626667073579"/>
      </bottom>
      <diagonal/>
    </border>
    <border diagonalUp="1" diagonalDown="1">
      <left style="thin">
        <color indexed="64"/>
      </left>
      <right style="thin">
        <color indexed="64"/>
      </right>
      <top/>
      <bottom style="thin">
        <color indexed="64"/>
      </bottom>
      <diagonal style="thin">
        <color theme="0" tint="-0.499984740745262"/>
      </diagonal>
    </border>
    <border>
      <left style="thin">
        <color theme="1" tint="0.499984740745262"/>
      </left>
      <right/>
      <top style="thin">
        <color theme="1" tint="0.499984740745262"/>
      </top>
      <bottom style="double">
        <color theme="1"/>
      </bottom>
      <diagonal/>
    </border>
    <border>
      <left style="thin">
        <color theme="1"/>
      </left>
      <right style="thin">
        <color theme="1"/>
      </right>
      <top style="thin">
        <color theme="1"/>
      </top>
      <bottom style="double">
        <color theme="1"/>
      </bottom>
      <diagonal/>
    </border>
    <border>
      <left/>
      <right style="thin">
        <color theme="1" tint="0.499984740745262"/>
      </right>
      <top style="thin">
        <color theme="1" tint="0.499984740745262"/>
      </top>
      <bottom style="double">
        <color theme="1"/>
      </bottom>
      <diagonal/>
    </border>
    <border>
      <left style="thin">
        <color theme="0" tint="-0.499984740745262"/>
      </left>
      <right style="thin">
        <color theme="0" tint="-0.24994659260841701"/>
      </right>
      <top style="thin">
        <color theme="0" tint="-0.499984740745262"/>
      </top>
      <bottom style="thin">
        <color theme="0" tint="-0.499984740745262"/>
      </bottom>
      <diagonal/>
    </border>
    <border>
      <left style="thin">
        <color theme="3" tint="0.39994506668294322"/>
      </left>
      <right style="thin">
        <color theme="1" tint="0.499984740745262"/>
      </right>
      <top style="thin">
        <color theme="3" tint="0.39994506668294322"/>
      </top>
      <bottom style="thin">
        <color theme="3" tint="0.39994506668294322"/>
      </bottom>
      <diagonal/>
    </border>
    <border>
      <left style="thin">
        <color theme="0" tint="-0.499984740745262"/>
      </left>
      <right style="thin">
        <color indexed="64"/>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double">
        <color indexed="64"/>
      </right>
      <top style="thin">
        <color indexed="64"/>
      </top>
      <bottom/>
      <diagonal/>
    </border>
    <border>
      <left style="double">
        <color indexed="64"/>
      </left>
      <right/>
      <top style="thin">
        <color indexed="64"/>
      </top>
      <bottom style="thin">
        <color indexed="64"/>
      </bottom>
      <diagonal/>
    </border>
    <border>
      <left style="thin">
        <color theme="0" tint="-0.499984740745262"/>
      </left>
      <right style="thin">
        <color theme="0" tint="-0.24994659260841701"/>
      </right>
      <top/>
      <bottom style="thin">
        <color indexed="64"/>
      </bottom>
      <diagonal/>
    </border>
    <border>
      <left style="thin">
        <color theme="0" tint="-0.499984740745262"/>
      </left>
      <right style="thin">
        <color theme="0" tint="-0.24994659260841701"/>
      </right>
      <top/>
      <bottom/>
      <diagonal/>
    </border>
    <border>
      <left style="thin">
        <color theme="0" tint="-0.499984740745262"/>
      </left>
      <right style="thin">
        <color theme="0" tint="-0.24994659260841701"/>
      </right>
      <top style="thin">
        <color theme="0" tint="-0.499984740745262"/>
      </top>
      <bottom style="thin">
        <color indexed="64"/>
      </bottom>
      <diagonal/>
    </border>
    <border diagonalUp="1">
      <left style="thin">
        <color indexed="64"/>
      </left>
      <right/>
      <top style="thin">
        <color indexed="64"/>
      </top>
      <bottom style="thin">
        <color indexed="64"/>
      </bottom>
      <diagonal style="thin">
        <color indexed="64"/>
      </diagonal>
    </border>
    <border>
      <left style="thin">
        <color theme="0" tint="-0.14996795556505021"/>
      </left>
      <right style="thin">
        <color theme="0" tint="-0.14996795556505021"/>
      </right>
      <top/>
      <bottom style="thin">
        <color theme="0" tint="-0.24994659260841701"/>
      </bottom>
      <diagonal/>
    </border>
    <border>
      <left style="thin">
        <color theme="0" tint="-0.14996795556505021"/>
      </left>
      <right style="thin">
        <color indexed="64"/>
      </right>
      <top/>
      <bottom style="thin">
        <color theme="0" tint="-0.24994659260841701"/>
      </bottom>
      <diagonal/>
    </border>
    <border>
      <left style="thin">
        <color indexed="64"/>
      </left>
      <right style="thin">
        <color indexed="64"/>
      </right>
      <top style="thin">
        <color theme="0" tint="-0.499984740745262"/>
      </top>
      <bottom/>
      <diagonal/>
    </border>
    <border>
      <left style="thin">
        <color theme="0" tint="-0.499984740745262"/>
      </left>
      <right style="thin">
        <color theme="0" tint="-0.499984740745262"/>
      </right>
      <top style="thin">
        <color theme="1"/>
      </top>
      <bottom style="thin">
        <color theme="0" tint="-0.34998626667073579"/>
      </bottom>
      <diagonal/>
    </border>
    <border>
      <left style="thin">
        <color theme="0" tint="-0.499984740745262"/>
      </left>
      <right style="thin">
        <color theme="0" tint="-0.499984740745262"/>
      </right>
      <top style="thin">
        <color theme="0" tint="-0.34998626667073579"/>
      </top>
      <bottom style="thin">
        <color indexed="64"/>
      </bottom>
      <diagonal/>
    </border>
    <border>
      <left style="thin">
        <color theme="0" tint="-0.499984740745262"/>
      </left>
      <right style="thin">
        <color theme="0" tint="-0.499984740745262"/>
      </right>
      <top style="medium">
        <color indexed="64"/>
      </top>
      <bottom style="medium">
        <color indexed="64"/>
      </bottom>
      <diagonal/>
    </border>
    <border>
      <left style="thin">
        <color indexed="64"/>
      </left>
      <right/>
      <top style="medium">
        <color indexed="64"/>
      </top>
      <bottom style="thin">
        <color auto="1"/>
      </bottom>
      <diagonal/>
    </border>
    <border>
      <left/>
      <right style="medium">
        <color indexed="64"/>
      </right>
      <top style="medium">
        <color indexed="64"/>
      </top>
      <bottom style="double">
        <color indexed="64"/>
      </bottom>
      <diagonal/>
    </border>
    <border>
      <left style="thin">
        <color theme="0" tint="-0.499984740745262"/>
      </left>
      <right style="thin">
        <color theme="0" tint="-0.499984740745262"/>
      </right>
      <top style="double">
        <color indexed="64"/>
      </top>
      <bottom style="thin">
        <color theme="0" tint="-0.499984740745262"/>
      </bottom>
      <diagonal/>
    </border>
    <border>
      <left/>
      <right/>
      <top style="medium">
        <color indexed="64"/>
      </top>
      <bottom style="thin">
        <color indexed="64"/>
      </bottom>
      <diagonal/>
    </border>
    <border>
      <left style="thin">
        <color theme="1" tint="0.499984740745262"/>
      </left>
      <right style="thin">
        <color theme="1" tint="0.499984740745262"/>
      </right>
      <top style="thin">
        <color theme="3" tint="0.39994506668294322"/>
      </top>
      <bottom style="double">
        <color theme="1" tint="0.499984740745262"/>
      </bottom>
      <diagonal/>
    </border>
    <border>
      <left style="thin">
        <color theme="0" tint="-0.14996795556505021"/>
      </left>
      <right/>
      <top style="thin">
        <color theme="0" tint="-0.499984740745262"/>
      </top>
      <bottom/>
      <diagonal/>
    </border>
    <border>
      <left style="thin">
        <color theme="0" tint="-0.14996795556505021"/>
      </left>
      <right/>
      <top/>
      <bottom/>
      <diagonal/>
    </border>
    <border>
      <left style="thin">
        <color theme="0" tint="-0.14996795556505021"/>
      </left>
      <right/>
      <top/>
      <bottom style="thin">
        <color indexed="64"/>
      </bottom>
      <diagonal/>
    </border>
    <border>
      <left/>
      <right style="thin">
        <color theme="0" tint="-0.14996795556505021"/>
      </right>
      <top style="thin">
        <color theme="0" tint="-0.499984740745262"/>
      </top>
      <bottom/>
      <diagonal/>
    </border>
    <border>
      <left/>
      <right style="thin">
        <color theme="0" tint="-0.14996795556505021"/>
      </right>
      <top/>
      <bottom/>
      <diagonal/>
    </border>
    <border>
      <left/>
      <right style="thin">
        <color theme="0" tint="-0.14996795556505021"/>
      </right>
      <top/>
      <bottom style="thin">
        <color indexed="64"/>
      </bottom>
      <diagonal/>
    </border>
    <border>
      <left/>
      <right style="thin">
        <color theme="0" tint="-0.14993743705557422"/>
      </right>
      <top style="thin">
        <color theme="0" tint="-0.499984740745262"/>
      </top>
      <bottom/>
      <diagonal/>
    </border>
    <border>
      <left/>
      <right style="thin">
        <color theme="0" tint="-0.14993743705557422"/>
      </right>
      <top/>
      <bottom/>
      <diagonal/>
    </border>
    <border>
      <left style="thin">
        <color theme="0" tint="-0.499984740745262"/>
      </left>
      <right/>
      <top style="thin">
        <color theme="0" tint="-0.34998626667073579"/>
      </top>
      <bottom style="thin">
        <color theme="0" tint="-0.34998626667073579"/>
      </bottom>
      <diagonal/>
    </border>
    <border>
      <left style="thin">
        <color theme="0" tint="-0.499984740745262"/>
      </left>
      <right style="thin">
        <color indexed="64"/>
      </right>
      <top style="thin">
        <color indexed="64"/>
      </top>
      <bottom style="thin">
        <color theme="0" tint="-0.34998626667073579"/>
      </bottom>
      <diagonal/>
    </border>
    <border>
      <left style="thin">
        <color theme="0" tint="-0.499984740745262"/>
      </left>
      <right style="thin">
        <color indexed="64"/>
      </right>
      <top style="thin">
        <color theme="0" tint="-0.34998626667073579"/>
      </top>
      <bottom style="thin">
        <color indexed="64"/>
      </bottom>
      <diagonal/>
    </border>
    <border>
      <left style="thin">
        <color theme="0" tint="-0.499984740745262"/>
      </left>
      <right style="thin">
        <color indexed="64"/>
      </right>
      <top/>
      <bottom style="thin">
        <color theme="0" tint="-0.34998626667073579"/>
      </bottom>
      <diagonal/>
    </border>
    <border>
      <left/>
      <right style="thin">
        <color theme="0" tint="-0.14993743705557422"/>
      </right>
      <top/>
      <bottom style="thin">
        <color indexed="64"/>
      </bottom>
      <diagonal/>
    </border>
    <border>
      <left/>
      <right style="thin">
        <color theme="0" tint="-0.499984740745262"/>
      </right>
      <top style="thin">
        <color indexed="64"/>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right style="thin">
        <color indexed="64"/>
      </right>
      <top style="thin">
        <color indexed="64"/>
      </top>
      <bottom style="thin">
        <color theme="0" tint="-0.24994659260841701"/>
      </bottom>
      <diagonal/>
    </border>
    <border diagonalUp="1">
      <left style="medium">
        <color indexed="64"/>
      </left>
      <right style="medium">
        <color indexed="64"/>
      </right>
      <top style="medium">
        <color indexed="64"/>
      </top>
      <bottom style="medium">
        <color indexed="64"/>
      </bottom>
      <diagonal style="thin">
        <color theme="0" tint="-0.499984740745262"/>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style="thin">
        <color theme="1" tint="0.499984740745262"/>
      </top>
      <bottom style="thin">
        <color theme="1" tint="0.499984740745262"/>
      </bottom>
      <diagonal/>
    </border>
    <border>
      <left style="thin">
        <color indexed="64"/>
      </left>
      <right style="thin">
        <color indexed="64"/>
      </right>
      <top style="thin">
        <color theme="1" tint="0.499984740745262"/>
      </top>
      <bottom style="double">
        <color indexed="64"/>
      </bottom>
      <diagonal/>
    </border>
    <border>
      <left style="thin">
        <color indexed="64"/>
      </left>
      <right style="thin">
        <color theme="0" tint="-0.24994659260841701"/>
      </right>
      <top style="thin">
        <color theme="1" tint="0.499984740745262"/>
      </top>
      <bottom style="thin">
        <color theme="0" tint="-0.499984740745262"/>
      </bottom>
      <diagonal/>
    </border>
    <border>
      <left style="thin">
        <color indexed="64"/>
      </left>
      <right/>
      <top style="thin">
        <color theme="0" tint="-0.499984740745262"/>
      </top>
      <bottom style="medium">
        <color indexed="64"/>
      </bottom>
      <diagonal/>
    </border>
    <border>
      <left style="thin">
        <color theme="0" tint="-0.24994659260841701"/>
      </left>
      <right style="thin">
        <color theme="0" tint="-0.24994659260841701"/>
      </right>
      <top style="thin">
        <color theme="1" tint="0.499984740745262"/>
      </top>
      <bottom/>
      <diagonal/>
    </border>
    <border>
      <left style="thin">
        <color indexed="64"/>
      </left>
      <right/>
      <top/>
      <bottom style="medium">
        <color indexed="64"/>
      </bottom>
      <diagonal/>
    </border>
    <border>
      <left style="thin">
        <color theme="0" tint="-0.24994659260841701"/>
      </left>
      <right style="thin">
        <color theme="0" tint="-0.24994659260841701"/>
      </right>
      <top style="thin">
        <color theme="0" tint="-0.499984740745262"/>
      </top>
      <bottom/>
      <diagonal/>
    </border>
    <border>
      <left style="thin">
        <color indexed="64"/>
      </left>
      <right style="thin">
        <color theme="0" tint="-0.24994659260841701"/>
      </right>
      <top style="thin">
        <color theme="0" tint="-0.499984740745262"/>
      </top>
      <bottom style="thin">
        <color theme="0" tint="-0.499984740745262"/>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style="thin">
        <color theme="0" tint="-0.24994659260841701"/>
      </bottom>
      <diagonal/>
    </border>
    <border>
      <left/>
      <right style="thin">
        <color theme="1" tint="0.499984740745262"/>
      </right>
      <top style="thin">
        <color indexed="64"/>
      </top>
      <bottom style="thin">
        <color theme="1" tint="0.499984740745262"/>
      </bottom>
      <diagonal/>
    </border>
    <border>
      <left/>
      <right style="thin">
        <color theme="1" tint="0.499984740745262"/>
      </right>
      <top style="thin">
        <color theme="1" tint="0.499984740745262"/>
      </top>
      <bottom style="double">
        <color indexed="64"/>
      </bottom>
      <diagonal/>
    </border>
    <border>
      <left style="thin">
        <color indexed="64"/>
      </left>
      <right style="double">
        <color indexed="64"/>
      </right>
      <top style="thin">
        <color auto="1"/>
      </top>
      <bottom style="thin">
        <color theme="0" tint="-0.499984740745262"/>
      </bottom>
      <diagonal/>
    </border>
    <border>
      <left style="thin">
        <color indexed="64"/>
      </left>
      <right style="double">
        <color indexed="64"/>
      </right>
      <top style="thin">
        <color theme="0" tint="-0.499984740745262"/>
      </top>
      <bottom style="thin">
        <color theme="0" tint="-0.499984740745262"/>
      </bottom>
      <diagonal/>
    </border>
    <border>
      <left style="thin">
        <color indexed="64"/>
      </left>
      <right style="double">
        <color indexed="64"/>
      </right>
      <top style="thin">
        <color theme="0" tint="-0.499984740745262"/>
      </top>
      <bottom style="double">
        <color indexed="64"/>
      </bottom>
      <diagonal/>
    </border>
    <border>
      <left style="thin">
        <color indexed="64"/>
      </left>
      <right style="thin">
        <color indexed="64"/>
      </right>
      <top style="thin">
        <color theme="4" tint="0.39994506668294322"/>
      </top>
      <bottom style="thin">
        <color theme="4" tint="0.39994506668294322"/>
      </bottom>
      <diagonal/>
    </border>
    <border>
      <left style="thin">
        <color indexed="64"/>
      </left>
      <right style="thin">
        <color indexed="64"/>
      </right>
      <top style="thin">
        <color theme="4" tint="0.39994506668294322"/>
      </top>
      <bottom style="double">
        <color indexed="64"/>
      </bottom>
      <diagonal/>
    </border>
    <border>
      <left style="thin">
        <color indexed="64"/>
      </left>
      <right style="thin">
        <color indexed="64"/>
      </right>
      <top/>
      <bottom style="thin">
        <color theme="4" tint="0.39994506668294322"/>
      </bottom>
      <diagonal/>
    </border>
    <border>
      <left style="thin">
        <color indexed="64"/>
      </left>
      <right style="thin">
        <color theme="1" tint="0.499984740745262"/>
      </right>
      <top style="thin">
        <color theme="4" tint="0.39994506668294322"/>
      </top>
      <bottom style="thin">
        <color theme="4" tint="0.39994506668294322"/>
      </bottom>
      <diagonal/>
    </border>
    <border>
      <left style="thin">
        <color theme="1" tint="0.499984740745262"/>
      </left>
      <right style="thin">
        <color theme="1" tint="0.499984740745262"/>
      </right>
      <top style="thin">
        <color theme="4" tint="0.39994506668294322"/>
      </top>
      <bottom style="thin">
        <color theme="4" tint="0.39994506668294322"/>
      </bottom>
      <diagonal/>
    </border>
    <border>
      <left style="thin">
        <color indexed="64"/>
      </left>
      <right style="thin">
        <color theme="1" tint="0.499984740745262"/>
      </right>
      <top style="thin">
        <color theme="4" tint="0.39994506668294322"/>
      </top>
      <bottom style="double">
        <color indexed="64"/>
      </bottom>
      <diagonal/>
    </border>
    <border>
      <left style="thin">
        <color theme="1" tint="0.499984740745262"/>
      </left>
      <right style="thin">
        <color theme="1" tint="0.499984740745262"/>
      </right>
      <top style="thin">
        <color theme="4" tint="0.39994506668294322"/>
      </top>
      <bottom style="double">
        <color indexed="64"/>
      </bottom>
      <diagonal/>
    </border>
    <border>
      <left style="thin">
        <color theme="1" tint="0.499984740745262"/>
      </left>
      <right style="thin">
        <color indexed="64"/>
      </right>
      <top style="thin">
        <color theme="4" tint="0.39994506668294322"/>
      </top>
      <bottom style="double">
        <color indexed="64"/>
      </bottom>
      <diagonal/>
    </border>
    <border>
      <left style="thin">
        <color indexed="64"/>
      </left>
      <right style="thin">
        <color indexed="64"/>
      </right>
      <top style="thin">
        <color theme="1" tint="0.24994659260841701"/>
      </top>
      <bottom style="double">
        <color indexed="64"/>
      </bottom>
      <diagonal/>
    </border>
    <border>
      <left style="thin">
        <color indexed="64"/>
      </left>
      <right/>
      <top style="thin">
        <color indexed="64"/>
      </top>
      <bottom style="double">
        <color indexed="64"/>
      </bottom>
      <diagonal/>
    </border>
    <border>
      <left/>
      <right style="thin">
        <color theme="1" tint="0.34998626667073579"/>
      </right>
      <top style="thin">
        <color indexed="64"/>
      </top>
      <bottom style="double">
        <color indexed="64"/>
      </bottom>
      <diagonal/>
    </border>
    <border>
      <left style="thin">
        <color theme="1" tint="0.34998626667073579"/>
      </left>
      <right style="thin">
        <color theme="1" tint="0.34998626667073579"/>
      </right>
      <top style="thin">
        <color indexed="64"/>
      </top>
      <bottom style="double">
        <color indexed="64"/>
      </bottom>
      <diagonal/>
    </border>
    <border>
      <left style="thin">
        <color theme="1" tint="0.34998626667073579"/>
      </left>
      <right/>
      <top style="thin">
        <color indexed="64"/>
      </top>
      <bottom style="double">
        <color indexed="64"/>
      </bottom>
      <diagonal/>
    </border>
    <border>
      <left style="thin">
        <color theme="1" tint="0.34998626667073579"/>
      </left>
      <right style="thin">
        <color indexed="64"/>
      </right>
      <top style="thin">
        <color indexed="64"/>
      </top>
      <bottom style="double">
        <color indexed="64"/>
      </bottom>
      <diagonal/>
    </border>
    <border>
      <left style="thin">
        <color indexed="64"/>
      </left>
      <right/>
      <top/>
      <bottom style="double">
        <color indexed="64"/>
      </bottom>
      <diagonal/>
    </border>
    <border>
      <left/>
      <right style="thin">
        <color theme="1" tint="0.34998626667073579"/>
      </right>
      <top/>
      <bottom style="double">
        <color indexed="64"/>
      </bottom>
      <diagonal/>
    </border>
    <border>
      <left style="thin">
        <color theme="1" tint="0.34998626667073579"/>
      </left>
      <right style="thin">
        <color theme="1" tint="0.34998626667073579"/>
      </right>
      <top/>
      <bottom style="double">
        <color indexed="64"/>
      </bottom>
      <diagonal/>
    </border>
    <border>
      <left style="thin">
        <color theme="1" tint="0.34998626667073579"/>
      </left>
      <right/>
      <top/>
      <bottom style="double">
        <color indexed="64"/>
      </bottom>
      <diagonal/>
    </border>
    <border>
      <left style="thin">
        <color theme="1" tint="0.34998626667073579"/>
      </left>
      <right style="thin">
        <color indexed="64"/>
      </right>
      <top/>
      <bottom style="double">
        <color indexed="64"/>
      </bottom>
      <diagonal/>
    </border>
    <border>
      <left/>
      <right style="thin">
        <color theme="1" tint="0.34998626667073579"/>
      </right>
      <top style="medium">
        <color indexed="64"/>
      </top>
      <bottom style="medium">
        <color indexed="64"/>
      </bottom>
      <diagonal/>
    </border>
    <border>
      <left style="thin">
        <color theme="1" tint="0.34998626667073579"/>
      </left>
      <right style="thin">
        <color theme="1" tint="0.34998626667073579"/>
      </right>
      <top style="medium">
        <color indexed="64"/>
      </top>
      <bottom style="medium">
        <color indexed="64"/>
      </bottom>
      <diagonal/>
    </border>
    <border>
      <left style="thin">
        <color theme="1" tint="0.34998626667073579"/>
      </left>
      <right/>
      <top style="medium">
        <color indexed="64"/>
      </top>
      <bottom style="medium">
        <color indexed="64"/>
      </bottom>
      <diagonal/>
    </border>
    <border>
      <left style="thin">
        <color theme="1" tint="0.34998626667073579"/>
      </left>
      <right style="thin">
        <color indexed="64"/>
      </right>
      <top style="medium">
        <color indexed="64"/>
      </top>
      <bottom style="medium">
        <color indexed="64"/>
      </bottom>
      <diagonal/>
    </border>
    <border>
      <left style="medium">
        <color indexed="64"/>
      </left>
      <right/>
      <top/>
      <bottom style="double">
        <color indexed="64"/>
      </bottom>
      <diagonal/>
    </border>
    <border>
      <left/>
      <right style="medium">
        <color indexed="64"/>
      </right>
      <top/>
      <bottom style="double">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theme="1" tint="0.34998626667073579"/>
      </top>
      <bottom style="thin">
        <color theme="1" tint="0.34998626667073579"/>
      </bottom>
      <diagonal/>
    </border>
    <border>
      <left/>
      <right style="medium">
        <color indexed="64"/>
      </right>
      <top style="thin">
        <color theme="1" tint="0.34998626667073579"/>
      </top>
      <bottom style="thin">
        <color theme="1" tint="0.34998626667073579"/>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theme="1" tint="0.34998626667073579"/>
      </bottom>
      <diagonal/>
    </border>
    <border>
      <left/>
      <right style="medium">
        <color indexed="64"/>
      </right>
      <top style="thin">
        <color indexed="64"/>
      </top>
      <bottom style="thin">
        <color theme="1" tint="0.34998626667073579"/>
      </bottom>
      <diagonal/>
    </border>
    <border>
      <left style="thin">
        <color theme="0" tint="-0.499984740745262"/>
      </left>
      <right style="thin">
        <color theme="3" tint="0.39994506668294322"/>
      </right>
      <top/>
      <bottom/>
      <diagonal/>
    </border>
    <border>
      <left style="thin">
        <color theme="3" tint="0.39994506668294322"/>
      </left>
      <right style="thin">
        <color theme="0" tint="-0.499984740745262"/>
      </right>
      <top style="thin">
        <color theme="0" tint="-0.499984740745262"/>
      </top>
      <bottom/>
      <diagonal/>
    </border>
    <border>
      <left style="thin">
        <color theme="3" tint="0.39994506668294322"/>
      </left>
      <right style="thin">
        <color theme="0" tint="-0.499984740745262"/>
      </right>
      <top/>
      <bottom/>
      <diagonal/>
    </border>
    <border>
      <left style="thin">
        <color theme="3" tint="0.39994506668294322"/>
      </left>
      <right style="thin">
        <color theme="0" tint="-0.499984740745262"/>
      </right>
      <top/>
      <bottom style="thin">
        <color indexed="64"/>
      </bottom>
      <diagonal/>
    </border>
    <border>
      <left style="thin">
        <color theme="0" tint="-0.499984740745262"/>
      </left>
      <right style="thin">
        <color theme="3" tint="0.39994506668294322"/>
      </right>
      <top style="thin">
        <color theme="0" tint="-0.499984740745262"/>
      </top>
      <bottom/>
      <diagonal/>
    </border>
    <border>
      <left style="thin">
        <color theme="0" tint="-0.499984740745262"/>
      </left>
      <right style="thin">
        <color theme="3" tint="0.39994506668294322"/>
      </right>
      <top/>
      <bottom style="thin">
        <color indexed="64"/>
      </bottom>
      <diagonal/>
    </border>
    <border>
      <left style="thin">
        <color indexed="64"/>
      </left>
      <right style="thin">
        <color indexed="64"/>
      </right>
      <top style="thin">
        <color theme="0" tint="-0.499984740745262"/>
      </top>
      <bottom style="double">
        <color indexed="64"/>
      </bottom>
      <diagonal/>
    </border>
    <border>
      <left style="thin">
        <color indexed="64"/>
      </left>
      <right style="thin">
        <color indexed="64"/>
      </right>
      <top style="thin">
        <color indexed="64"/>
      </top>
      <bottom style="thin">
        <color theme="0" tint="-0.499984740745262"/>
      </bottom>
      <diagonal/>
    </border>
    <border>
      <left style="double">
        <color theme="0" tint="-0.24994659260841701"/>
      </left>
      <right style="double">
        <color theme="0" tint="-0.24994659260841701"/>
      </right>
      <top style="double">
        <color theme="0" tint="-0.24994659260841701"/>
      </top>
      <bottom style="double">
        <color theme="0" tint="-0.24994659260841701"/>
      </bottom>
      <diagonal/>
    </border>
    <border>
      <left/>
      <right style="medium">
        <color theme="1"/>
      </right>
      <top style="thin">
        <color theme="0" tint="-0.499984740745262"/>
      </top>
      <bottom style="thin">
        <color theme="0" tint="-0.499984740745262"/>
      </bottom>
      <diagonal/>
    </border>
    <border>
      <left style="medium">
        <color indexed="64"/>
      </left>
      <right style="thin">
        <color indexed="64"/>
      </right>
      <top style="thin">
        <color indexed="64"/>
      </top>
      <bottom/>
      <diagonal/>
    </border>
    <border>
      <left style="thin">
        <color indexed="64"/>
      </left>
      <right style="medium">
        <color indexed="64"/>
      </right>
      <top style="double">
        <color indexed="64"/>
      </top>
      <bottom style="thin">
        <color indexed="64"/>
      </bottom>
      <diagonal/>
    </border>
    <border>
      <left style="double">
        <color indexed="64"/>
      </left>
      <right/>
      <top style="double">
        <color indexed="64"/>
      </top>
      <bottom style="thin">
        <color indexed="64"/>
      </bottom>
      <diagonal/>
    </border>
    <border>
      <left/>
      <right style="double">
        <color indexed="64"/>
      </right>
      <top style="double">
        <color indexed="64"/>
      </top>
      <bottom style="thin">
        <color indexed="64"/>
      </bottom>
      <diagonal/>
    </border>
    <border>
      <left/>
      <right style="thin">
        <color theme="1" tint="0.34998626667073579"/>
      </right>
      <top style="double">
        <color indexed="64"/>
      </top>
      <bottom style="thin">
        <color indexed="64"/>
      </bottom>
      <diagonal/>
    </border>
    <border>
      <left style="thin">
        <color theme="1" tint="0.34998626667073579"/>
      </left>
      <right style="thin">
        <color theme="1" tint="0.34998626667073579"/>
      </right>
      <top style="double">
        <color indexed="64"/>
      </top>
      <bottom style="thin">
        <color indexed="64"/>
      </bottom>
      <diagonal/>
    </border>
    <border>
      <left style="thin">
        <color theme="1" tint="0.34998626667073579"/>
      </left>
      <right/>
      <top style="double">
        <color indexed="64"/>
      </top>
      <bottom style="thin">
        <color indexed="64"/>
      </bottom>
      <diagonal/>
    </border>
    <border>
      <left style="thin">
        <color theme="1" tint="0.34998626667073579"/>
      </left>
      <right style="thin">
        <color indexed="64"/>
      </right>
      <top style="double">
        <color indexed="64"/>
      </top>
      <bottom style="thin">
        <color indexed="64"/>
      </bottom>
      <diagonal/>
    </border>
    <border>
      <left/>
      <right style="double">
        <color indexed="64"/>
      </right>
      <top style="thin">
        <color indexed="64"/>
      </top>
      <bottom style="thin">
        <color indexed="64"/>
      </bottom>
      <diagonal/>
    </border>
    <border>
      <left/>
      <right style="thin">
        <color theme="1" tint="0.34998626667073579"/>
      </right>
      <top style="thin">
        <color indexed="64"/>
      </top>
      <bottom style="thin">
        <color indexed="64"/>
      </bottom>
      <diagonal/>
    </border>
    <border>
      <left style="thin">
        <color theme="1" tint="0.34998626667073579"/>
      </left>
      <right style="thin">
        <color theme="1" tint="0.34998626667073579"/>
      </right>
      <top style="thin">
        <color indexed="64"/>
      </top>
      <bottom style="thin">
        <color indexed="64"/>
      </bottom>
      <diagonal/>
    </border>
    <border>
      <left style="thin">
        <color theme="1" tint="0.34998626667073579"/>
      </left>
      <right/>
      <top style="thin">
        <color indexed="64"/>
      </top>
      <bottom style="thin">
        <color indexed="64"/>
      </bottom>
      <diagonal/>
    </border>
    <border>
      <left style="thin">
        <color theme="1" tint="0.34998626667073579"/>
      </left>
      <right style="thin">
        <color indexed="64"/>
      </right>
      <top style="thin">
        <color indexed="64"/>
      </top>
      <bottom style="thin">
        <color indexed="64"/>
      </bottom>
      <diagonal/>
    </border>
    <border>
      <left style="thick">
        <color indexed="64"/>
      </left>
      <right/>
      <top style="thick">
        <color indexed="64"/>
      </top>
      <bottom style="thick">
        <color indexed="64"/>
      </bottom>
      <diagonal/>
    </border>
    <border>
      <left style="medium">
        <color indexed="64"/>
      </left>
      <right/>
      <top style="double">
        <color indexed="64"/>
      </top>
      <bottom/>
      <diagonal/>
    </border>
    <border>
      <left/>
      <right/>
      <top style="double">
        <color indexed="64"/>
      </top>
      <bottom/>
      <diagonal/>
    </border>
    <border>
      <left style="thin">
        <color theme="0" tint="-0.499984740745262"/>
      </left>
      <right style="thin">
        <color theme="0" tint="-0.499984740745262"/>
      </right>
      <top style="double">
        <color indexed="64"/>
      </top>
      <bottom/>
      <diagonal/>
    </border>
    <border>
      <left style="thin">
        <color theme="0" tint="-0.499984740745262"/>
      </left>
      <right style="thin">
        <color indexed="64"/>
      </right>
      <top style="double">
        <color indexed="64"/>
      </top>
      <bottom/>
      <diagonal/>
    </border>
    <border>
      <left/>
      <right style="medium">
        <color indexed="64"/>
      </right>
      <top style="double">
        <color indexed="64"/>
      </top>
      <bottom/>
      <diagonal/>
    </border>
    <border>
      <left/>
      <right/>
      <top/>
      <bottom style="double">
        <color indexed="64"/>
      </bottom>
      <diagonal/>
    </border>
    <border>
      <left style="thin">
        <color theme="0" tint="-0.499984740745262"/>
      </left>
      <right style="thin">
        <color theme="0" tint="-0.499984740745262"/>
      </right>
      <top/>
      <bottom style="double">
        <color indexed="64"/>
      </bottom>
      <diagonal/>
    </border>
    <border>
      <left style="thin">
        <color theme="0" tint="-0.499984740745262"/>
      </left>
      <right style="thin">
        <color indexed="64"/>
      </right>
      <top/>
      <bottom style="double">
        <color indexed="64"/>
      </bottom>
      <diagonal/>
    </border>
    <border>
      <left style="thin">
        <color theme="0" tint="-0.499984740745262"/>
      </left>
      <right style="thin">
        <color indexed="64"/>
      </right>
      <top/>
      <bottom style="thin">
        <color theme="0" tint="-0.499984740745262"/>
      </bottom>
      <diagonal/>
    </border>
    <border>
      <left/>
      <right style="medium">
        <color indexed="64"/>
      </right>
      <top/>
      <bottom style="thin">
        <color theme="0" tint="-0.499984740745262"/>
      </bottom>
      <diagonal/>
    </border>
    <border>
      <left style="thin">
        <color theme="0" tint="-0.499984740745262"/>
      </left>
      <right style="medium">
        <color theme="1"/>
      </right>
      <top style="thin">
        <color theme="0" tint="-0.499984740745262"/>
      </top>
      <bottom style="thin">
        <color theme="0" tint="-0.499984740745262"/>
      </bottom>
      <diagonal/>
    </border>
    <border>
      <left/>
      <right style="thin">
        <color theme="0" tint="-0.499984740745262"/>
      </right>
      <top style="medium">
        <color indexed="64"/>
      </top>
      <bottom style="double">
        <color indexed="64"/>
      </bottom>
      <diagonal/>
    </border>
    <border>
      <left style="medium">
        <color indexed="64"/>
      </left>
      <right/>
      <top style="double">
        <color indexed="64"/>
      </top>
      <bottom style="double">
        <color indexed="64"/>
      </bottom>
      <diagonal/>
    </border>
    <border>
      <left style="thin">
        <color theme="0" tint="-0.499984740745262"/>
      </left>
      <right style="thin">
        <color theme="0" tint="-0.499984740745262"/>
      </right>
      <top style="double">
        <color indexed="64"/>
      </top>
      <bottom style="double">
        <color indexed="64"/>
      </bottom>
      <diagonal/>
    </border>
    <border>
      <left/>
      <right style="medium">
        <color indexed="64"/>
      </right>
      <top style="double">
        <color indexed="64"/>
      </top>
      <bottom style="double">
        <color indexed="64"/>
      </bottom>
      <diagonal/>
    </border>
    <border>
      <left style="thin">
        <color theme="0" tint="-0.499984740745262"/>
      </left>
      <right/>
      <top style="double">
        <color indexed="64"/>
      </top>
      <bottom style="double">
        <color indexed="64"/>
      </bottom>
      <diagonal/>
    </border>
    <border>
      <left style="thin">
        <color theme="0" tint="-0.499984740745262"/>
      </left>
      <right style="medium">
        <color indexed="64"/>
      </right>
      <top style="double">
        <color indexed="64"/>
      </top>
      <bottom style="double">
        <color indexed="64"/>
      </bottom>
      <diagonal/>
    </border>
    <border>
      <left style="thin">
        <color theme="0" tint="-0.499984740745262"/>
      </left>
      <right/>
      <top style="double">
        <color indexed="64"/>
      </top>
      <bottom/>
      <diagonal/>
    </border>
    <border>
      <left style="thin">
        <color theme="0" tint="-0.499984740745262"/>
      </left>
      <right/>
      <top/>
      <bottom style="double">
        <color indexed="64"/>
      </bottom>
      <diagonal/>
    </border>
    <border>
      <left style="thin">
        <color indexed="64"/>
      </left>
      <right style="medium">
        <color indexed="64"/>
      </right>
      <top style="double">
        <color indexed="64"/>
      </top>
      <bottom/>
      <diagonal/>
    </border>
    <border>
      <left style="thin">
        <color indexed="64"/>
      </left>
      <right style="medium">
        <color indexed="64"/>
      </right>
      <top/>
      <bottom/>
      <diagonal/>
    </border>
    <border>
      <left style="thin">
        <color indexed="64"/>
      </left>
      <right style="medium">
        <color indexed="64"/>
      </right>
      <top/>
      <bottom style="double">
        <color indexed="64"/>
      </bottom>
      <diagonal/>
    </border>
    <border>
      <left style="thin">
        <color indexed="64"/>
      </left>
      <right style="medium">
        <color indexed="64"/>
      </right>
      <top/>
      <bottom style="thin">
        <color theme="0" tint="-0.499984740745262"/>
      </bottom>
      <diagonal/>
    </border>
    <border>
      <left style="medium">
        <color indexed="64"/>
      </left>
      <right style="thin">
        <color indexed="64"/>
      </right>
      <top/>
      <bottom style="double">
        <color indexed="64"/>
      </bottom>
      <diagonal/>
    </border>
    <border>
      <left style="thin">
        <color indexed="64"/>
      </left>
      <right style="medium">
        <color indexed="64"/>
      </right>
      <top style="double">
        <color indexed="64"/>
      </top>
      <bottom style="thin">
        <color theme="0" tint="-0.499984740745262"/>
      </bottom>
      <diagonal/>
    </border>
    <border>
      <left style="thin">
        <color indexed="64"/>
      </left>
      <right style="medium">
        <color indexed="64"/>
      </right>
      <top style="thin">
        <color theme="0" tint="-0.499984740745262"/>
      </top>
      <bottom style="thin">
        <color theme="0" tint="-0.499984740745262"/>
      </bottom>
      <diagonal/>
    </border>
    <border>
      <left/>
      <right/>
      <top style="thin">
        <color rgb="FFC00000"/>
      </top>
      <bottom/>
      <diagonal/>
    </border>
    <border>
      <left style="thin">
        <color theme="0" tint="-0.499984740745262"/>
      </left>
      <right style="thin">
        <color theme="1"/>
      </right>
      <top style="thin">
        <color indexed="64"/>
      </top>
      <bottom style="thin">
        <color theme="0" tint="-0.24994659260841701"/>
      </bottom>
      <diagonal/>
    </border>
    <border>
      <left style="thin">
        <color theme="0" tint="-0.499984740745262"/>
      </left>
      <right style="thin">
        <color theme="1"/>
      </right>
      <top style="thin">
        <color theme="0" tint="-0.24994659260841701"/>
      </top>
      <bottom style="thin">
        <color theme="0" tint="-0.24994659260841701"/>
      </bottom>
      <diagonal/>
    </border>
    <border>
      <left style="thin">
        <color theme="0" tint="-0.499984740745262"/>
      </left>
      <right style="thin">
        <color theme="1"/>
      </right>
      <top style="thin">
        <color theme="0" tint="-0.24994659260841701"/>
      </top>
      <bottom style="thin">
        <color auto="1"/>
      </bottom>
      <diagonal/>
    </border>
    <border>
      <left style="thin">
        <color indexed="64"/>
      </left>
      <right style="thin">
        <color rgb="FFC00000"/>
      </right>
      <top style="thin">
        <color rgb="FFC00000"/>
      </top>
      <bottom/>
      <diagonal/>
    </border>
    <border>
      <left/>
      <right style="thin">
        <color indexed="64"/>
      </right>
      <top style="thin">
        <color theme="0" tint="-0.24994659260841701"/>
      </top>
      <bottom/>
      <diagonal/>
    </border>
    <border>
      <left style="thin">
        <color theme="1"/>
      </left>
      <right style="thin">
        <color theme="1"/>
      </right>
      <top/>
      <bottom style="thin">
        <color theme="1"/>
      </bottom>
      <diagonal/>
    </border>
    <border>
      <left style="thin">
        <color theme="1"/>
      </left>
      <right/>
      <top/>
      <bottom style="thin">
        <color theme="1"/>
      </bottom>
      <diagonal/>
    </border>
    <border>
      <left style="double">
        <color indexed="64"/>
      </left>
      <right style="thin">
        <color indexed="64"/>
      </right>
      <top/>
      <bottom style="thin">
        <color indexed="64"/>
      </bottom>
      <diagonal/>
    </border>
    <border>
      <left style="thin">
        <color theme="1"/>
      </left>
      <right style="thin">
        <color theme="1" tint="0.499984740745262"/>
      </right>
      <top style="thin">
        <color theme="1" tint="0.499984740745262"/>
      </top>
      <bottom style="double">
        <color theme="1"/>
      </bottom>
      <diagonal/>
    </border>
    <border>
      <left style="thin">
        <color indexed="64"/>
      </left>
      <right style="thin">
        <color rgb="FFC00000"/>
      </right>
      <top style="thin">
        <color rgb="FFC00000"/>
      </top>
      <bottom style="double">
        <color rgb="FFC00000"/>
      </bottom>
      <diagonal/>
    </border>
    <border>
      <left/>
      <right style="thin">
        <color rgb="FFC00000"/>
      </right>
      <top/>
      <bottom style="thin">
        <color rgb="FFC00000"/>
      </bottom>
      <diagonal/>
    </border>
    <border>
      <left style="thin">
        <color rgb="FFC00000"/>
      </left>
      <right style="thin">
        <color rgb="FFC00000"/>
      </right>
      <top style="thin">
        <color rgb="FFC00000"/>
      </top>
      <bottom style="double">
        <color rgb="FFC00000"/>
      </bottom>
      <diagonal/>
    </border>
    <border>
      <left style="thin">
        <color theme="0" tint="-0.499984740745262"/>
      </left>
      <right style="thin">
        <color theme="1"/>
      </right>
      <top style="thin">
        <color theme="1"/>
      </top>
      <bottom style="thin">
        <color theme="0" tint="-0.24994659260841701"/>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n">
        <color theme="0" tint="-0.34998626667073579"/>
      </left>
      <right style="thin">
        <color auto="1"/>
      </right>
      <top style="thin">
        <color indexed="64"/>
      </top>
      <bottom/>
      <diagonal/>
    </border>
    <border>
      <left style="thin">
        <color theme="0" tint="-0.34998626667073579"/>
      </left>
      <right style="thin">
        <color auto="1"/>
      </right>
      <top/>
      <bottom style="thin">
        <color indexed="64"/>
      </bottom>
      <diagonal/>
    </border>
    <border>
      <left style="thin">
        <color indexed="64"/>
      </left>
      <right style="thin">
        <color theme="0" tint="-0.24994659260841701"/>
      </right>
      <top style="thin">
        <color indexed="64"/>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indexed="64"/>
      </left>
      <right style="thin">
        <color theme="0" tint="-0.24994659260841701"/>
      </right>
      <top/>
      <bottom/>
      <diagonal/>
    </border>
    <border>
      <left style="thin">
        <color theme="0" tint="-0.24994659260841701"/>
      </left>
      <right style="thin">
        <color indexed="64"/>
      </right>
      <top/>
      <bottom/>
      <diagonal/>
    </border>
    <border>
      <left style="thin">
        <color indexed="64"/>
      </left>
      <right style="thin">
        <color theme="0" tint="-0.24994659260841701"/>
      </right>
      <top/>
      <bottom style="thin">
        <color indexed="64"/>
      </bottom>
      <diagonal/>
    </border>
    <border>
      <left style="thin">
        <color indexed="64"/>
      </left>
      <right style="thin">
        <color theme="0" tint="-0.34998626667073579"/>
      </right>
      <top style="thin">
        <color indexed="64"/>
      </top>
      <bottom/>
      <diagonal/>
    </border>
    <border>
      <left style="thin">
        <color indexed="64"/>
      </left>
      <right style="thin">
        <color theme="0" tint="-0.34998626667073579"/>
      </right>
      <top/>
      <bottom style="thin">
        <color indexed="64"/>
      </bottom>
      <diagonal/>
    </border>
    <border>
      <left style="thin">
        <color theme="0" tint="-0.24994659260841701"/>
      </left>
      <right style="thin">
        <color indexed="64"/>
      </right>
      <top style="thin">
        <color theme="0" tint="-0.499984740745262"/>
      </top>
      <bottom/>
      <diagonal/>
    </border>
    <border>
      <left style="thin">
        <color indexed="64"/>
      </left>
      <right style="thin">
        <color theme="0" tint="-0.24994659260841701"/>
      </right>
      <top style="thin">
        <color theme="0" tint="-0.499984740745262"/>
      </top>
      <bottom style="thin">
        <color indexed="64"/>
      </bottom>
      <diagonal/>
    </border>
    <border>
      <left style="thin">
        <color auto="1"/>
      </left>
      <right style="thin">
        <color theme="0" tint="-0.499984740745262"/>
      </right>
      <top/>
      <bottom style="thin">
        <color auto="1"/>
      </bottom>
      <diagonal/>
    </border>
    <border>
      <left style="thin">
        <color theme="0" tint="-0.499984740745262"/>
      </left>
      <right style="thin">
        <color theme="0" tint="-0.499984740745262"/>
      </right>
      <top/>
      <bottom style="thin">
        <color auto="1"/>
      </bottom>
      <diagonal/>
    </border>
    <border>
      <left style="thin">
        <color auto="1"/>
      </left>
      <right style="thin">
        <color theme="0" tint="-0.499984740745262"/>
      </right>
      <top style="thin">
        <color theme="0" tint="-0.499984740745262"/>
      </top>
      <bottom/>
      <diagonal/>
    </border>
    <border>
      <left style="double">
        <color indexed="64"/>
      </left>
      <right style="thin">
        <color indexed="64"/>
      </right>
      <top style="thin">
        <color indexed="64"/>
      </top>
      <bottom style="double">
        <color indexed="64"/>
      </bottom>
      <diagonal/>
    </border>
    <border>
      <left style="thin">
        <color indexed="64"/>
      </left>
      <right style="thin">
        <color theme="0" tint="-0.499984740745262"/>
      </right>
      <top style="thin">
        <color theme="0" tint="-0.499984740745262"/>
      </top>
      <bottom style="double">
        <color indexed="64"/>
      </bottom>
      <diagonal/>
    </border>
  </borders>
  <cellStyleXfs count="165">
    <xf numFmtId="0" fontId="0" fillId="0" borderId="0"/>
    <xf numFmtId="9" fontId="7" fillId="0" borderId="0" applyFont="0" applyFill="0" applyBorder="0" applyAlignment="0" applyProtection="0"/>
    <xf numFmtId="0" fontId="13" fillId="0" borderId="0"/>
    <xf numFmtId="9" fontId="13" fillId="0" borderId="0" applyFont="0" applyFill="0" applyBorder="0" applyAlignment="0" applyProtection="0"/>
    <xf numFmtId="0" fontId="7" fillId="0" borderId="0"/>
    <xf numFmtId="168" fontId="13" fillId="12" borderId="0" applyFont="0" applyBorder="0" applyAlignment="0" applyProtection="0"/>
    <xf numFmtId="167" fontId="13" fillId="6" borderId="0" applyFont="0" applyBorder="0" applyAlignment="0" applyProtection="0"/>
    <xf numFmtId="0" fontId="4" fillId="0" borderId="0"/>
    <xf numFmtId="0" fontId="4" fillId="0" borderId="0"/>
    <xf numFmtId="9" fontId="13" fillId="0" borderId="0" applyFont="0" applyFill="0" applyBorder="0" applyAlignment="0" applyProtection="0"/>
    <xf numFmtId="168" fontId="32" fillId="0" borderId="0" applyFont="0" applyFill="0" applyBorder="0" applyAlignment="0" applyProtection="0"/>
    <xf numFmtId="168" fontId="36" fillId="0" borderId="0" applyFont="0" applyFill="0" applyBorder="0" applyAlignment="0" applyProtection="0"/>
    <xf numFmtId="168" fontId="13" fillId="0" borderId="0" applyFont="0" applyFill="0" applyBorder="0" applyAlignment="0" applyProtection="0"/>
    <xf numFmtId="168" fontId="7" fillId="0" borderId="0" applyFont="0" applyFill="0" applyBorder="0" applyAlignment="0" applyProtection="0"/>
    <xf numFmtId="168" fontId="13" fillId="0" borderId="0" applyFont="0" applyFill="0" applyBorder="0" applyAlignment="0" applyProtection="0"/>
    <xf numFmtId="167" fontId="13" fillId="28" borderId="0" applyFont="0" applyBorder="0" applyAlignment="0" applyProtection="0"/>
    <xf numFmtId="0" fontId="7" fillId="0" borderId="0"/>
    <xf numFmtId="0" fontId="7" fillId="0" borderId="0"/>
    <xf numFmtId="0" fontId="7" fillId="0" borderId="0"/>
    <xf numFmtId="0" fontId="7" fillId="0" borderId="0"/>
    <xf numFmtId="3" fontId="13" fillId="0" borderId="0" applyNumberFormat="0" applyFont="0" applyBorder="0" applyAlignment="0" applyProtection="0"/>
    <xf numFmtId="0" fontId="13" fillId="0" borderId="0"/>
    <xf numFmtId="0" fontId="13" fillId="0" borderId="0"/>
    <xf numFmtId="0" fontId="13" fillId="0" borderId="0"/>
    <xf numFmtId="0" fontId="13" fillId="0" borderId="0">
      <alignment wrapText="1"/>
    </xf>
    <xf numFmtId="0" fontId="7" fillId="0" borderId="0"/>
    <xf numFmtId="0" fontId="13" fillId="0" borderId="0"/>
    <xf numFmtId="0" fontId="7" fillId="0" borderId="0"/>
    <xf numFmtId="0" fontId="7" fillId="0" borderId="0"/>
    <xf numFmtId="0" fontId="13" fillId="0" borderId="0"/>
    <xf numFmtId="0" fontId="7" fillId="0" borderId="0"/>
    <xf numFmtId="0" fontId="7" fillId="0" borderId="0"/>
    <xf numFmtId="0" fontId="7" fillId="0" borderId="0"/>
    <xf numFmtId="0" fontId="3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13" fillId="0" borderId="0" applyFont="0" applyFill="0" applyBorder="0" applyAlignment="0" applyProtection="0"/>
    <xf numFmtId="0" fontId="13" fillId="15" borderId="0" applyNumberFormat="0" applyFont="0" applyBorder="0" applyAlignment="0" applyProtection="0"/>
    <xf numFmtId="0" fontId="7" fillId="15" borderId="0" applyNumberFormat="0" applyFont="0" applyBorder="0" applyAlignment="0" applyProtection="0"/>
    <xf numFmtId="0" fontId="13"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13"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13" fillId="16" borderId="0" applyNumberFormat="0" applyFont="0" applyBorder="0" applyAlignment="0" applyProtection="0"/>
    <xf numFmtId="0" fontId="7" fillId="16" borderId="0" applyNumberFormat="0" applyFont="0" applyBorder="0" applyAlignment="0" applyProtection="0"/>
    <xf numFmtId="0" fontId="13"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13"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13" fillId="17" borderId="0" applyNumberFormat="0" applyFont="0" applyBorder="0" applyAlignment="0" applyProtection="0"/>
    <xf numFmtId="0" fontId="7" fillId="17" borderId="0" applyNumberFormat="0" applyFont="0" applyBorder="0" applyAlignment="0" applyProtection="0"/>
    <xf numFmtId="0" fontId="13"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13"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13" fillId="18" borderId="0" applyNumberFormat="0" applyFont="0" applyBorder="0" applyAlignment="0" applyProtection="0"/>
    <xf numFmtId="0" fontId="7" fillId="18" borderId="0" applyNumberFormat="0" applyFont="0" applyBorder="0" applyAlignment="0" applyProtection="0"/>
    <xf numFmtId="0" fontId="13"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13"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13" fillId="19" borderId="0" applyNumberFormat="0" applyFont="0" applyBorder="0" applyAlignment="0" applyProtection="0"/>
    <xf numFmtId="0" fontId="7" fillId="19" borderId="0" applyNumberFormat="0" applyFont="0" applyBorder="0" applyAlignment="0" applyProtection="0"/>
    <xf numFmtId="0" fontId="13"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13"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39" fillId="0" borderId="0"/>
    <xf numFmtId="40" fontId="133" fillId="7" borderId="0" applyBorder="0" applyAlignment="0" applyProtection="0"/>
    <xf numFmtId="9" fontId="39" fillId="0" borderId="0" applyFont="0" applyFill="0" applyBorder="0" applyAlignment="0" applyProtection="0"/>
    <xf numFmtId="166" fontId="39" fillId="4" borderId="0" applyFont="0" applyBorder="0" applyAlignment="0" applyProtection="0"/>
    <xf numFmtId="0" fontId="1" fillId="0" borderId="0"/>
    <xf numFmtId="0" fontId="1" fillId="0" borderId="0"/>
    <xf numFmtId="0" fontId="102" fillId="0" borderId="0" applyNumberFormat="0" applyFill="0" applyBorder="0" applyAlignment="0" applyProtection="0"/>
    <xf numFmtId="43" fontId="13" fillId="12" borderId="0" applyFont="0" applyBorder="0" applyAlignment="0" applyProtection="0"/>
    <xf numFmtId="165" fontId="13" fillId="6" borderId="0" applyFont="0" applyBorder="0" applyAlignment="0" applyProtection="0"/>
    <xf numFmtId="43" fontId="32" fillId="0" borderId="0" applyFont="0" applyFill="0" applyBorder="0" applyAlignment="0" applyProtection="0"/>
    <xf numFmtId="43" fontId="36"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165" fontId="13" fillId="28" borderId="0" applyFont="0" applyBorder="0" applyAlignment="0" applyProtection="0"/>
    <xf numFmtId="164" fontId="39" fillId="4" borderId="0" applyFont="0" applyBorder="0" applyAlignment="0" applyProtection="0"/>
  </cellStyleXfs>
  <cellXfs count="4175">
    <xf numFmtId="0" fontId="0" fillId="0" borderId="0" xfId="0"/>
    <xf numFmtId="0" fontId="5" fillId="0" borderId="0" xfId="0" applyFont="1"/>
    <xf numFmtId="0" fontId="5" fillId="0" borderId="0" xfId="0" applyFont="1" applyAlignment="1">
      <alignment vertical="center"/>
    </xf>
    <xf numFmtId="0" fontId="5" fillId="0" borderId="0" xfId="0" applyFont="1" applyAlignment="1">
      <alignment horizontal="center" vertical="center"/>
    </xf>
    <xf numFmtId="0" fontId="5" fillId="2" borderId="0" xfId="0" applyFont="1" applyFill="1"/>
    <xf numFmtId="0" fontId="5" fillId="2" borderId="0" xfId="0" applyFont="1" applyFill="1" applyBorder="1"/>
    <xf numFmtId="0" fontId="5" fillId="3" borderId="0" xfId="0" applyFont="1" applyFill="1"/>
    <xf numFmtId="0" fontId="5" fillId="3" borderId="0" xfId="0" applyFont="1" applyFill="1" applyAlignment="1">
      <alignment vertical="center"/>
    </xf>
    <xf numFmtId="0" fontId="5" fillId="3" borderId="0" xfId="0" applyFont="1" applyFill="1" applyAlignment="1">
      <alignment horizontal="center" vertical="center"/>
    </xf>
    <xf numFmtId="0" fontId="5" fillId="3" borderId="0" xfId="0" applyFont="1" applyFill="1" applyBorder="1"/>
    <xf numFmtId="0" fontId="5" fillId="3" borderId="0" xfId="0" applyFont="1" applyFill="1" applyBorder="1" applyAlignment="1">
      <alignment horizontal="center" vertical="center"/>
    </xf>
    <xf numFmtId="0" fontId="5" fillId="3" borderId="0" xfId="0" applyFont="1" applyFill="1" applyBorder="1" applyAlignment="1">
      <alignment vertical="center"/>
    </xf>
    <xf numFmtId="0" fontId="8" fillId="3" borderId="1" xfId="0" applyFont="1" applyFill="1" applyBorder="1" applyAlignment="1">
      <alignment horizontal="center" vertical="center"/>
    </xf>
    <xf numFmtId="0" fontId="4" fillId="0" borderId="0" xfId="0" applyFont="1" applyAlignment="1">
      <alignment horizontal="center"/>
    </xf>
    <xf numFmtId="0" fontId="5" fillId="14" borderId="0" xfId="0" applyFont="1" applyFill="1"/>
    <xf numFmtId="0" fontId="4" fillId="0" borderId="0" xfId="0" applyFont="1" applyAlignment="1">
      <alignment horizontal="center" vertical="center"/>
    </xf>
    <xf numFmtId="0" fontId="32" fillId="0" borderId="0" xfId="0" applyFont="1"/>
    <xf numFmtId="0" fontId="34" fillId="2" borderId="0" xfId="0" applyFont="1" applyFill="1" applyBorder="1"/>
    <xf numFmtId="0" fontId="32" fillId="0" borderId="0" xfId="0" applyFont="1" applyAlignment="1">
      <alignment vertical="center"/>
    </xf>
    <xf numFmtId="0" fontId="8" fillId="2" borderId="0" xfId="0" applyFont="1" applyFill="1" applyBorder="1" applyAlignment="1">
      <alignment horizontal="left" vertical="center"/>
    </xf>
    <xf numFmtId="0" fontId="4" fillId="0" borderId="0" xfId="0" applyFont="1"/>
    <xf numFmtId="0" fontId="4" fillId="0" borderId="0" xfId="0" applyFont="1" applyAlignment="1">
      <alignment vertical="center"/>
    </xf>
    <xf numFmtId="0" fontId="12" fillId="0" borderId="3" xfId="0" applyFont="1" applyBorder="1" applyAlignment="1">
      <alignment horizontal="center" vertical="center"/>
    </xf>
    <xf numFmtId="170" fontId="10" fillId="10" borderId="15" xfId="0" applyNumberFormat="1" applyFont="1" applyFill="1" applyBorder="1" applyAlignment="1">
      <alignment horizontal="right" vertical="center" indent="1"/>
    </xf>
    <xf numFmtId="3" fontId="21" fillId="14" borderId="0" xfId="0" applyNumberFormat="1" applyFont="1" applyFill="1" applyBorder="1" applyAlignment="1">
      <alignment horizontal="right" vertical="center" indent="1"/>
    </xf>
    <xf numFmtId="3" fontId="24" fillId="14" borderId="0" xfId="0" quotePrefix="1" applyNumberFormat="1" applyFont="1" applyFill="1" applyBorder="1" applyAlignment="1">
      <alignment horizontal="center" vertical="center"/>
    </xf>
    <xf numFmtId="0" fontId="8" fillId="2" borderId="0" xfId="0" applyFont="1" applyFill="1" applyBorder="1" applyAlignment="1">
      <alignment horizontal="right" vertical="center"/>
    </xf>
    <xf numFmtId="0" fontId="29" fillId="2" borderId="0" xfId="0" applyFont="1" applyFill="1" applyBorder="1" applyAlignment="1">
      <alignment vertical="center"/>
    </xf>
    <xf numFmtId="0" fontId="16" fillId="21" borderId="23" xfId="0" applyFont="1" applyFill="1" applyBorder="1" applyAlignment="1">
      <alignment horizontal="center" vertical="center" wrapText="1"/>
    </xf>
    <xf numFmtId="0" fontId="16" fillId="21" borderId="25" xfId="0" applyFont="1" applyFill="1" applyBorder="1" applyAlignment="1">
      <alignment horizontal="center" vertical="center" wrapText="1"/>
    </xf>
    <xf numFmtId="0" fontId="16" fillId="21" borderId="62" xfId="0" applyFont="1" applyFill="1" applyBorder="1" applyAlignment="1">
      <alignment horizontal="center" vertical="center" wrapText="1"/>
    </xf>
    <xf numFmtId="0" fontId="4" fillId="3" borderId="0" xfId="0" applyFont="1" applyFill="1" applyBorder="1"/>
    <xf numFmtId="0" fontId="6" fillId="3" borderId="0" xfId="0" applyFont="1" applyFill="1" applyBorder="1" applyAlignment="1">
      <alignment horizontal="right" vertical="center"/>
    </xf>
    <xf numFmtId="0" fontId="4" fillId="3" borderId="0" xfId="0" applyFont="1" applyFill="1" applyBorder="1" applyAlignment="1">
      <alignment vertical="center"/>
    </xf>
    <xf numFmtId="0" fontId="4" fillId="3" borderId="0" xfId="0" applyFont="1" applyFill="1" applyBorder="1" applyAlignment="1">
      <alignment vertical="top"/>
    </xf>
    <xf numFmtId="0" fontId="8" fillId="3" borderId="0" xfId="0" applyFont="1" applyFill="1" applyBorder="1" applyAlignment="1">
      <alignment textRotation="90"/>
    </xf>
    <xf numFmtId="0" fontId="8" fillId="3" borderId="11" xfId="0" applyFont="1" applyFill="1" applyBorder="1" applyAlignment="1">
      <alignment textRotation="90"/>
    </xf>
    <xf numFmtId="0" fontId="4" fillId="3" borderId="11" xfId="0" applyFont="1" applyFill="1" applyBorder="1" applyAlignment="1">
      <alignment wrapText="1"/>
    </xf>
    <xf numFmtId="0" fontId="4" fillId="3" borderId="0" xfId="0" applyFont="1" applyFill="1" applyBorder="1" applyAlignment="1">
      <alignment wrapText="1"/>
    </xf>
    <xf numFmtId="0" fontId="1" fillId="0" borderId="0" xfId="0" applyFont="1" applyAlignment="1">
      <alignment vertical="top"/>
    </xf>
    <xf numFmtId="0" fontId="8" fillId="0" borderId="1" xfId="0" applyFont="1" applyBorder="1" applyAlignment="1">
      <alignment horizontal="center" vertical="center"/>
    </xf>
    <xf numFmtId="0" fontId="8" fillId="3" borderId="0" xfId="0" applyFont="1" applyFill="1" applyBorder="1"/>
    <xf numFmtId="0" fontId="1" fillId="12" borderId="1" xfId="0" applyFont="1" applyFill="1" applyBorder="1" applyAlignment="1">
      <alignment horizontal="center" vertical="center"/>
    </xf>
    <xf numFmtId="0" fontId="1" fillId="2" borderId="0" xfId="0" applyFont="1" applyFill="1" applyBorder="1" applyAlignment="1">
      <alignment horizontal="right" vertical="center"/>
    </xf>
    <xf numFmtId="0" fontId="17" fillId="3" borderId="0" xfId="0" applyFont="1" applyFill="1" applyBorder="1" applyAlignment="1">
      <alignment vertical="center"/>
    </xf>
    <xf numFmtId="0" fontId="55" fillId="14" borderId="71" xfId="1" applyNumberFormat="1" applyFont="1" applyFill="1" applyBorder="1" applyAlignment="1">
      <alignment horizontal="center" vertical="center"/>
    </xf>
    <xf numFmtId="0" fontId="55" fillId="14" borderId="3" xfId="1" applyNumberFormat="1" applyFont="1" applyFill="1" applyBorder="1" applyAlignment="1">
      <alignment horizontal="center" vertical="center"/>
    </xf>
    <xf numFmtId="0" fontId="55" fillId="14" borderId="32" xfId="1" applyNumberFormat="1" applyFont="1" applyFill="1" applyBorder="1" applyAlignment="1">
      <alignment horizontal="center" vertical="center"/>
    </xf>
    <xf numFmtId="0" fontId="41" fillId="0" borderId="82" xfId="0" applyFont="1" applyFill="1" applyBorder="1" applyAlignment="1">
      <alignment horizontal="center" vertical="center"/>
    </xf>
    <xf numFmtId="0" fontId="41" fillId="0" borderId="83" xfId="0" applyFont="1" applyFill="1" applyBorder="1" applyAlignment="1">
      <alignment horizontal="center" vertical="center"/>
    </xf>
    <xf numFmtId="0" fontId="41" fillId="0" borderId="84" xfId="0" applyFont="1" applyFill="1" applyBorder="1" applyAlignment="1">
      <alignment horizontal="center" vertical="center"/>
    </xf>
    <xf numFmtId="0" fontId="41" fillId="0" borderId="14" xfId="0" applyFont="1" applyFill="1" applyBorder="1" applyAlignment="1">
      <alignment horizontal="center" vertical="center"/>
    </xf>
    <xf numFmtId="0" fontId="41" fillId="0" borderId="68" xfId="0" applyFont="1" applyFill="1" applyBorder="1" applyAlignment="1">
      <alignment horizontal="center" vertical="center"/>
    </xf>
    <xf numFmtId="0" fontId="41" fillId="0" borderId="69" xfId="0" applyFont="1" applyFill="1" applyBorder="1" applyAlignment="1">
      <alignment horizontal="center" vertical="center"/>
    </xf>
    <xf numFmtId="0" fontId="41" fillId="3" borderId="80" xfId="0" applyNumberFormat="1" applyFont="1" applyFill="1" applyBorder="1" applyAlignment="1">
      <alignment horizontal="center" vertical="center"/>
    </xf>
    <xf numFmtId="0" fontId="41" fillId="3" borderId="85" xfId="0" applyNumberFormat="1" applyFont="1" applyFill="1" applyBorder="1" applyAlignment="1">
      <alignment horizontal="center" vertical="center"/>
    </xf>
    <xf numFmtId="0" fontId="41" fillId="3" borderId="86" xfId="0" applyNumberFormat="1" applyFont="1" applyFill="1" applyBorder="1" applyAlignment="1">
      <alignment horizontal="center" vertical="center"/>
    </xf>
    <xf numFmtId="0" fontId="41" fillId="3" borderId="78" xfId="0" applyNumberFormat="1" applyFont="1" applyFill="1" applyBorder="1" applyAlignment="1">
      <alignment horizontal="center" vertical="center"/>
    </xf>
    <xf numFmtId="0" fontId="41" fillId="3" borderId="87" xfId="0" applyNumberFormat="1" applyFont="1" applyFill="1" applyBorder="1" applyAlignment="1">
      <alignment horizontal="center" vertical="center"/>
    </xf>
    <xf numFmtId="0" fontId="41" fillId="3" borderId="38" xfId="0" applyNumberFormat="1" applyFont="1" applyFill="1" applyBorder="1" applyAlignment="1">
      <alignment horizontal="center" vertical="center"/>
    </xf>
    <xf numFmtId="172" fontId="8" fillId="3" borderId="1" xfId="0" applyNumberFormat="1" applyFont="1" applyFill="1" applyBorder="1" applyAlignment="1">
      <alignment horizontal="center" vertical="center"/>
    </xf>
    <xf numFmtId="0" fontId="5" fillId="13" borderId="95" xfId="0" applyFont="1" applyFill="1" applyBorder="1"/>
    <xf numFmtId="0" fontId="5" fillId="24" borderId="95" xfId="0" applyFont="1" applyFill="1" applyBorder="1"/>
    <xf numFmtId="0" fontId="45" fillId="14" borderId="71" xfId="1" applyNumberFormat="1" applyFont="1" applyFill="1" applyBorder="1" applyAlignment="1">
      <alignment horizontal="center" vertical="center"/>
    </xf>
    <xf numFmtId="0" fontId="45" fillId="14" borderId="3" xfId="1" applyNumberFormat="1" applyFont="1" applyFill="1" applyBorder="1" applyAlignment="1">
      <alignment horizontal="center" vertical="center"/>
    </xf>
    <xf numFmtId="0" fontId="5" fillId="2" borderId="5" xfId="0" applyFont="1" applyFill="1" applyBorder="1" applyAlignment="1">
      <alignment vertical="center"/>
    </xf>
    <xf numFmtId="0" fontId="1" fillId="3" borderId="0" xfId="0" applyFont="1" applyFill="1" applyBorder="1" applyAlignment="1">
      <alignment vertical="center"/>
    </xf>
    <xf numFmtId="0" fontId="8" fillId="3" borderId="0" xfId="0" applyFont="1" applyFill="1" applyBorder="1" applyAlignment="1">
      <alignment horizontal="right" vertical="center"/>
    </xf>
    <xf numFmtId="0" fontId="6" fillId="3" borderId="0" xfId="0" applyFont="1" applyFill="1" applyBorder="1" applyAlignment="1">
      <alignment vertical="center"/>
    </xf>
    <xf numFmtId="0" fontId="8" fillId="3" borderId="0" xfId="0" applyFont="1" applyFill="1" applyBorder="1" applyAlignment="1"/>
    <xf numFmtId="0" fontId="8" fillId="3" borderId="0" xfId="0" applyFont="1" applyFill="1" applyBorder="1" applyAlignment="1">
      <alignment wrapText="1"/>
    </xf>
    <xf numFmtId="0" fontId="1" fillId="3" borderId="0" xfId="0" applyFont="1" applyFill="1"/>
    <xf numFmtId="3" fontId="21" fillId="14" borderId="0" xfId="0" quotePrefix="1" applyNumberFormat="1" applyFont="1" applyFill="1" applyBorder="1" applyAlignment="1">
      <alignment horizontal="right" vertical="center" indent="1"/>
    </xf>
    <xf numFmtId="0" fontId="55" fillId="14" borderId="109" xfId="1" applyNumberFormat="1" applyFont="1" applyFill="1" applyBorder="1" applyAlignment="1">
      <alignment horizontal="center" vertical="center"/>
    </xf>
    <xf numFmtId="0" fontId="55" fillId="14" borderId="44" xfId="1" applyNumberFormat="1" applyFont="1" applyFill="1" applyBorder="1" applyAlignment="1">
      <alignment horizontal="center" vertical="center"/>
    </xf>
    <xf numFmtId="0" fontId="55" fillId="14" borderId="110" xfId="1" applyNumberFormat="1" applyFont="1" applyFill="1" applyBorder="1" applyAlignment="1">
      <alignment horizontal="center" vertical="center"/>
    </xf>
    <xf numFmtId="0" fontId="8" fillId="3" borderId="1" xfId="0" quotePrefix="1" applyFont="1" applyFill="1" applyBorder="1" applyAlignment="1">
      <alignment horizontal="center" vertical="center"/>
    </xf>
    <xf numFmtId="0" fontId="60" fillId="3" borderId="0" xfId="0" applyFont="1" applyFill="1" applyBorder="1" applyAlignment="1"/>
    <xf numFmtId="170" fontId="10" fillId="10" borderId="15" xfId="0" quotePrefix="1" applyNumberFormat="1" applyFont="1" applyFill="1" applyBorder="1" applyAlignment="1">
      <alignment horizontal="right" vertical="center" indent="1"/>
    </xf>
    <xf numFmtId="0" fontId="8" fillId="0" borderId="0" xfId="0" applyFont="1" applyAlignment="1">
      <alignment horizontal="left" vertical="center"/>
    </xf>
    <xf numFmtId="0" fontId="1" fillId="3" borderId="0" xfId="0" applyFont="1" applyFill="1" applyBorder="1" applyAlignment="1">
      <alignment horizontal="center" vertical="top"/>
    </xf>
    <xf numFmtId="0" fontId="45" fillId="14" borderId="71" xfId="1" quotePrefix="1" applyNumberFormat="1" applyFont="1" applyFill="1" applyBorder="1" applyAlignment="1">
      <alignment horizontal="center" vertical="center"/>
    </xf>
    <xf numFmtId="0" fontId="8" fillId="3" borderId="0" xfId="0" applyFont="1" applyFill="1" applyBorder="1" applyAlignment="1">
      <alignment horizontal="left"/>
    </xf>
    <xf numFmtId="0" fontId="8" fillId="3" borderId="0" xfId="0" applyFont="1" applyFill="1" applyBorder="1" applyAlignment="1">
      <alignment horizontal="right"/>
    </xf>
    <xf numFmtId="0" fontId="5" fillId="3" borderId="0" xfId="0" applyFont="1" applyFill="1" applyAlignment="1">
      <alignment horizontal="left" vertical="center"/>
    </xf>
    <xf numFmtId="0" fontId="5" fillId="0" borderId="0" xfId="0" applyFont="1" applyAlignment="1">
      <alignment horizontal="left"/>
    </xf>
    <xf numFmtId="0" fontId="8" fillId="12" borderId="58" xfId="0" applyFont="1" applyFill="1" applyBorder="1" applyAlignment="1">
      <alignment horizontal="center" vertical="center"/>
    </xf>
    <xf numFmtId="49" fontId="8" fillId="12" borderId="54" xfId="0" applyNumberFormat="1" applyFont="1" applyFill="1" applyBorder="1" applyAlignment="1">
      <alignment horizontal="center" vertical="center"/>
    </xf>
    <xf numFmtId="49" fontId="8" fillId="12" borderId="55" xfId="0" applyNumberFormat="1" applyFont="1" applyFill="1" applyBorder="1" applyAlignment="1">
      <alignment horizontal="center" vertical="center"/>
    </xf>
    <xf numFmtId="49" fontId="6" fillId="12" borderId="56" xfId="0" applyNumberFormat="1" applyFont="1" applyFill="1" applyBorder="1" applyAlignment="1">
      <alignment vertical="center"/>
    </xf>
    <xf numFmtId="49" fontId="9" fillId="12" borderId="44" xfId="0" applyNumberFormat="1" applyFont="1" applyFill="1" applyBorder="1" applyAlignment="1">
      <alignment horizontal="left" vertical="center"/>
    </xf>
    <xf numFmtId="49" fontId="8" fillId="12" borderId="30" xfId="0" applyNumberFormat="1" applyFont="1" applyFill="1" applyBorder="1" applyAlignment="1">
      <alignment horizontal="center" vertical="center"/>
    </xf>
    <xf numFmtId="49" fontId="8" fillId="12" borderId="31" xfId="0" applyNumberFormat="1" applyFont="1" applyFill="1" applyBorder="1" applyAlignment="1">
      <alignment horizontal="center" vertical="center"/>
    </xf>
    <xf numFmtId="49" fontId="6" fillId="12" borderId="36" xfId="0" applyNumberFormat="1" applyFont="1" applyFill="1" applyBorder="1" applyAlignment="1">
      <alignment vertical="center"/>
    </xf>
    <xf numFmtId="49" fontId="9" fillId="12" borderId="3" xfId="0" applyNumberFormat="1" applyFont="1" applyFill="1" applyBorder="1" applyAlignment="1">
      <alignment horizontal="left" vertical="center"/>
    </xf>
    <xf numFmtId="49" fontId="9" fillId="12" borderId="33" xfId="0" applyNumberFormat="1" applyFont="1" applyFill="1" applyBorder="1" applyAlignment="1">
      <alignment vertical="center"/>
    </xf>
    <xf numFmtId="49" fontId="9" fillId="12" borderId="3" xfId="0" applyNumberFormat="1" applyFont="1" applyFill="1" applyBorder="1" applyAlignment="1">
      <alignment vertical="center"/>
    </xf>
    <xf numFmtId="49" fontId="9" fillId="12" borderId="33" xfId="0" applyNumberFormat="1" applyFont="1" applyFill="1" applyBorder="1" applyAlignment="1">
      <alignment horizontal="left" vertical="center"/>
    </xf>
    <xf numFmtId="0" fontId="53" fillId="3" borderId="0" xfId="0" applyFont="1" applyFill="1" applyAlignment="1">
      <alignment horizontal="left"/>
    </xf>
    <xf numFmtId="0" fontId="38" fillId="3" borderId="0" xfId="0" applyFont="1" applyFill="1" applyBorder="1" applyAlignment="1">
      <alignment horizontal="center" textRotation="90"/>
    </xf>
    <xf numFmtId="0" fontId="38" fillId="3" borderId="0" xfId="0" applyFont="1" applyFill="1" applyBorder="1" applyAlignment="1">
      <alignment horizontal="center" vertical="center" textRotation="90"/>
    </xf>
    <xf numFmtId="0" fontId="49" fillId="3" borderId="0" xfId="0" quotePrefix="1" applyFont="1" applyFill="1" applyBorder="1" applyAlignment="1">
      <alignment horizontal="left" vertical="center"/>
    </xf>
    <xf numFmtId="0" fontId="15" fillId="3" borderId="0" xfId="0" applyFont="1" applyFill="1" applyBorder="1" applyAlignment="1">
      <alignment vertical="center"/>
    </xf>
    <xf numFmtId="0" fontId="25" fillId="3" borderId="0" xfId="0" applyFont="1" applyFill="1" applyBorder="1" applyAlignment="1">
      <alignment vertical="center" wrapText="1"/>
    </xf>
    <xf numFmtId="0" fontId="15" fillId="3" borderId="0" xfId="0" applyFont="1" applyFill="1" applyBorder="1" applyAlignment="1">
      <alignment horizontal="center" vertical="center"/>
    </xf>
    <xf numFmtId="0" fontId="5" fillId="3" borderId="16" xfId="0" applyFont="1" applyFill="1" applyBorder="1" applyAlignment="1">
      <alignment vertical="center"/>
    </xf>
    <xf numFmtId="9" fontId="11" fillId="12" borderId="83" xfId="1" applyFont="1" applyFill="1" applyBorder="1" applyAlignment="1">
      <alignment horizontal="center" vertical="center"/>
    </xf>
    <xf numFmtId="9" fontId="11" fillId="12" borderId="14" xfId="1" applyFont="1" applyFill="1" applyBorder="1" applyAlignment="1">
      <alignment horizontal="center" vertical="center"/>
    </xf>
    <xf numFmtId="9" fontId="11" fillId="12" borderId="69" xfId="1" applyFont="1" applyFill="1" applyBorder="1" applyAlignment="1">
      <alignment horizontal="center" vertical="center"/>
    </xf>
    <xf numFmtId="0" fontId="10" fillId="3" borderId="0" xfId="0" applyFont="1" applyFill="1" applyBorder="1" applyAlignment="1">
      <alignment vertical="center" wrapText="1"/>
    </xf>
    <xf numFmtId="0" fontId="5" fillId="3" borderId="11" xfId="0" applyFont="1" applyFill="1" applyBorder="1"/>
    <xf numFmtId="0" fontId="10" fillId="3" borderId="18" xfId="0" applyFont="1" applyFill="1" applyBorder="1" applyAlignment="1">
      <alignment vertical="center" wrapText="1"/>
    </xf>
    <xf numFmtId="0" fontId="10" fillId="3" borderId="16" xfId="0" applyFont="1" applyFill="1" applyBorder="1" applyAlignment="1">
      <alignment vertical="center" wrapText="1"/>
    </xf>
    <xf numFmtId="0" fontId="5" fillId="3" borderId="0" xfId="0" applyFont="1" applyFill="1" applyBorder="1" applyAlignment="1">
      <alignment horizontal="right" vertical="center"/>
    </xf>
    <xf numFmtId="0" fontId="5" fillId="3" borderId="0" xfId="0" applyFont="1" applyFill="1" applyAlignment="1">
      <alignment horizontal="center" textRotation="90"/>
    </xf>
    <xf numFmtId="0" fontId="10" fillId="3" borderId="0" xfId="0" applyFont="1" applyFill="1" applyAlignment="1">
      <alignment vertical="center" wrapText="1"/>
    </xf>
    <xf numFmtId="169" fontId="4" fillId="3" borderId="0" xfId="0" applyNumberFormat="1" applyFont="1" applyFill="1" applyBorder="1" applyAlignment="1">
      <alignment horizontal="center" vertical="center"/>
    </xf>
    <xf numFmtId="0" fontId="5" fillId="3" borderId="0" xfId="0" applyFont="1" applyFill="1" applyAlignment="1">
      <alignment horizontal="center" wrapText="1"/>
    </xf>
    <xf numFmtId="0" fontId="28" fillId="3" borderId="0" xfId="0" applyFont="1" applyFill="1" applyBorder="1" applyAlignment="1">
      <alignment horizontal="center"/>
    </xf>
    <xf numFmtId="0" fontId="54" fillId="3" borderId="0" xfId="0" applyFont="1" applyFill="1" applyBorder="1" applyAlignment="1">
      <alignment horizontal="center" vertical="center"/>
    </xf>
    <xf numFmtId="0" fontId="8" fillId="3" borderId="0" xfId="0" applyFont="1" applyFill="1" applyAlignment="1">
      <alignment vertical="center"/>
    </xf>
    <xf numFmtId="0" fontId="10" fillId="3" borderId="0" xfId="0" applyFont="1" applyFill="1" applyAlignment="1">
      <alignment vertical="center"/>
    </xf>
    <xf numFmtId="3" fontId="5" fillId="3" borderId="0" xfId="0" applyNumberFormat="1" applyFont="1" applyFill="1" applyBorder="1" applyAlignment="1">
      <alignment horizontal="center" vertical="center"/>
    </xf>
    <xf numFmtId="0" fontId="5" fillId="3" borderId="73" xfId="0" applyFont="1" applyFill="1" applyBorder="1" applyAlignment="1">
      <alignment vertical="center"/>
    </xf>
    <xf numFmtId="0" fontId="5" fillId="3" borderId="72" xfId="0" applyFont="1" applyFill="1" applyBorder="1" applyAlignment="1">
      <alignment vertical="center"/>
    </xf>
    <xf numFmtId="0" fontId="9" fillId="3" borderId="71" xfId="0" applyFont="1" applyFill="1" applyBorder="1" applyAlignment="1">
      <alignment vertical="center"/>
    </xf>
    <xf numFmtId="0" fontId="5" fillId="3" borderId="30" xfId="0" applyFont="1" applyFill="1" applyBorder="1" applyAlignment="1">
      <alignment vertical="center"/>
    </xf>
    <xf numFmtId="0" fontId="5" fillId="3" borderId="3" xfId="0" applyFont="1" applyFill="1" applyBorder="1" applyAlignment="1">
      <alignment vertical="center"/>
    </xf>
    <xf numFmtId="0" fontId="9" fillId="3" borderId="3" xfId="0" applyFont="1" applyFill="1" applyBorder="1" applyAlignment="1">
      <alignment vertical="center"/>
    </xf>
    <xf numFmtId="0" fontId="5" fillId="3" borderId="76" xfId="0" applyFont="1" applyFill="1" applyBorder="1" applyAlignment="1">
      <alignment vertical="center"/>
    </xf>
    <xf numFmtId="0" fontId="5" fillId="3" borderId="32" xfId="0" applyFont="1" applyFill="1" applyBorder="1" applyAlignment="1">
      <alignment vertical="center"/>
    </xf>
    <xf numFmtId="0" fontId="9" fillId="3" borderId="32" xfId="0" applyFont="1" applyFill="1" applyBorder="1" applyAlignment="1">
      <alignment vertical="center"/>
    </xf>
    <xf numFmtId="0" fontId="0" fillId="3" borderId="0" xfId="0" applyFill="1"/>
    <xf numFmtId="0" fontId="8" fillId="3" borderId="0" xfId="0" applyFont="1" applyFill="1" applyAlignment="1">
      <alignment horizontal="center" textRotation="90"/>
    </xf>
    <xf numFmtId="0" fontId="6" fillId="3" borderId="0" xfId="0" applyFont="1" applyFill="1" applyAlignment="1"/>
    <xf numFmtId="0" fontId="8" fillId="3" borderId="0" xfId="0" applyFont="1" applyFill="1" applyAlignment="1">
      <alignment horizontal="right" vertical="center"/>
    </xf>
    <xf numFmtId="0" fontId="8" fillId="12" borderId="121" xfId="0" applyFont="1" applyFill="1" applyBorder="1" applyAlignment="1">
      <alignment horizontal="center" vertical="center"/>
    </xf>
    <xf numFmtId="0" fontId="8" fillId="12" borderId="122" xfId="0" applyFont="1" applyFill="1" applyBorder="1" applyAlignment="1">
      <alignment horizontal="center" vertical="center"/>
    </xf>
    <xf numFmtId="0" fontId="8" fillId="12" borderId="123" xfId="0" applyFont="1" applyFill="1" applyBorder="1" applyAlignment="1">
      <alignment horizontal="center" vertical="center"/>
    </xf>
    <xf numFmtId="0" fontId="12" fillId="12" borderId="125" xfId="0" applyFont="1" applyFill="1" applyBorder="1" applyAlignment="1">
      <alignment horizontal="center" vertical="center"/>
    </xf>
    <xf numFmtId="0" fontId="12" fillId="12" borderId="119" xfId="0" applyFont="1" applyFill="1" applyBorder="1" applyAlignment="1">
      <alignment horizontal="center" vertical="center"/>
    </xf>
    <xf numFmtId="0" fontId="12" fillId="12" borderId="12" xfId="0" applyFont="1" applyFill="1" applyBorder="1" applyAlignment="1">
      <alignment horizontal="center" vertical="center"/>
    </xf>
    <xf numFmtId="0" fontId="12" fillId="0" borderId="72" xfId="0" applyFont="1" applyBorder="1" applyAlignment="1">
      <alignment horizontal="center" vertical="center"/>
    </xf>
    <xf numFmtId="0" fontId="12" fillId="0" borderId="11" xfId="0" applyFont="1" applyBorder="1" applyAlignment="1">
      <alignment horizontal="center" vertical="center"/>
    </xf>
    <xf numFmtId="0" fontId="8" fillId="12" borderId="126" xfId="0" applyFont="1" applyFill="1" applyBorder="1" applyAlignment="1">
      <alignment horizontal="center" vertical="center"/>
    </xf>
    <xf numFmtId="0" fontId="8" fillId="12" borderId="127" xfId="0" applyFont="1" applyFill="1" applyBorder="1" applyAlignment="1">
      <alignment horizontal="center" vertical="center"/>
    </xf>
    <xf numFmtId="0" fontId="8" fillId="12" borderId="128" xfId="0" applyFont="1" applyFill="1" applyBorder="1" applyAlignment="1">
      <alignment horizontal="center" vertical="center"/>
    </xf>
    <xf numFmtId="0" fontId="41" fillId="0" borderId="99" xfId="0" applyFont="1" applyFill="1" applyBorder="1" applyAlignment="1">
      <alignment horizontal="center" vertical="center"/>
    </xf>
    <xf numFmtId="0" fontId="41" fillId="0" borderId="129" xfId="0" applyFont="1" applyFill="1" applyBorder="1" applyAlignment="1">
      <alignment horizontal="center" vertical="center"/>
    </xf>
    <xf numFmtId="0" fontId="41" fillId="0" borderId="100" xfId="0" applyFont="1" applyFill="1" applyBorder="1" applyAlignment="1">
      <alignment horizontal="center" vertical="center"/>
    </xf>
    <xf numFmtId="0" fontId="41" fillId="0" borderId="101" xfId="0" applyFont="1" applyFill="1" applyBorder="1" applyAlignment="1">
      <alignment horizontal="center" vertical="center"/>
    </xf>
    <xf numFmtId="171" fontId="66" fillId="3" borderId="54" xfId="0" quotePrefix="1" applyNumberFormat="1" applyFont="1" applyFill="1" applyBorder="1" applyAlignment="1">
      <alignment horizontal="center" vertical="center"/>
    </xf>
    <xf numFmtId="171" fontId="66" fillId="3" borderId="51" xfId="0" quotePrefix="1" applyNumberFormat="1" applyFont="1" applyFill="1" applyBorder="1" applyAlignment="1">
      <alignment horizontal="center" vertical="center"/>
    </xf>
    <xf numFmtId="171" fontId="66" fillId="3" borderId="90" xfId="0" quotePrefix="1" applyNumberFormat="1" applyFont="1" applyFill="1" applyBorder="1" applyAlignment="1">
      <alignment horizontal="center" vertical="center"/>
    </xf>
    <xf numFmtId="171" fontId="66" fillId="3" borderId="30" xfId="0" quotePrefix="1" applyNumberFormat="1" applyFont="1" applyFill="1" applyBorder="1" applyAlignment="1">
      <alignment horizontal="center" vertical="center"/>
    </xf>
    <xf numFmtId="171" fontId="66" fillId="3" borderId="0" xfId="0" quotePrefix="1" applyNumberFormat="1" applyFont="1" applyFill="1" applyAlignment="1">
      <alignment horizontal="center" vertical="center"/>
    </xf>
    <xf numFmtId="171" fontId="66" fillId="3" borderId="77" xfId="0" quotePrefix="1" applyNumberFormat="1" applyFont="1" applyFill="1" applyBorder="1" applyAlignment="1">
      <alignment horizontal="center" vertical="center"/>
    </xf>
    <xf numFmtId="0" fontId="54" fillId="3" borderId="0" xfId="0" applyFont="1" applyFill="1" applyAlignment="1">
      <alignment horizontal="center"/>
    </xf>
    <xf numFmtId="0" fontId="46" fillId="3" borderId="0" xfId="0" applyFont="1" applyFill="1" applyAlignment="1">
      <alignment horizontal="right"/>
    </xf>
    <xf numFmtId="0" fontId="1" fillId="3" borderId="6" xfId="0" applyFont="1" applyFill="1" applyBorder="1" applyAlignment="1">
      <alignment horizontal="center" vertical="top"/>
    </xf>
    <xf numFmtId="0" fontId="6" fillId="3" borderId="0" xfId="0" applyFont="1" applyFill="1" applyBorder="1" applyAlignment="1">
      <alignment horizontal="right" vertical="top"/>
    </xf>
    <xf numFmtId="0" fontId="10" fillId="3" borderId="5" xfId="0" applyFont="1" applyFill="1" applyBorder="1" applyAlignment="1">
      <alignment vertical="top" textRotation="90"/>
    </xf>
    <xf numFmtId="0" fontId="5" fillId="3" borderId="5" xfId="0" applyFont="1" applyFill="1" applyBorder="1"/>
    <xf numFmtId="0" fontId="8" fillId="3" borderId="0" xfId="0" applyFont="1" applyFill="1"/>
    <xf numFmtId="0" fontId="6" fillId="3" borderId="5" xfId="0" applyFont="1" applyFill="1" applyBorder="1" applyAlignment="1">
      <alignment vertical="center"/>
    </xf>
    <xf numFmtId="0" fontId="41" fillId="12" borderId="71" xfId="0" applyFont="1" applyFill="1" applyBorder="1" applyAlignment="1">
      <alignment horizontal="center" vertical="center"/>
    </xf>
    <xf numFmtId="0" fontId="41" fillId="12" borderId="74" xfId="0" applyFont="1" applyFill="1" applyBorder="1" applyAlignment="1">
      <alignment horizontal="center" vertical="center"/>
    </xf>
    <xf numFmtId="0" fontId="41" fillId="12" borderId="3" xfId="0" applyFont="1" applyFill="1" applyBorder="1" applyAlignment="1">
      <alignment horizontal="center" vertical="center"/>
    </xf>
    <xf numFmtId="0" fontId="41" fillId="12" borderId="4" xfId="0" applyFont="1" applyFill="1" applyBorder="1" applyAlignment="1">
      <alignment horizontal="center" vertical="center"/>
    </xf>
    <xf numFmtId="0" fontId="41" fillId="12" borderId="32" xfId="0" applyFont="1" applyFill="1" applyBorder="1" applyAlignment="1">
      <alignment horizontal="center" vertical="center"/>
    </xf>
    <xf numFmtId="0" fontId="41" fillId="12" borderId="75" xfId="0" applyFont="1" applyFill="1" applyBorder="1" applyAlignment="1">
      <alignment horizontal="center" vertical="center"/>
    </xf>
    <xf numFmtId="0" fontId="61" fillId="12" borderId="108" xfId="0" applyFont="1" applyFill="1" applyBorder="1" applyAlignment="1">
      <alignment horizontal="center" vertical="center"/>
    </xf>
    <xf numFmtId="0" fontId="61" fillId="12" borderId="106" xfId="0" applyFont="1" applyFill="1" applyBorder="1" applyAlignment="1">
      <alignment horizontal="center" vertical="center"/>
    </xf>
    <xf numFmtId="0" fontId="61" fillId="12" borderId="107" xfId="0" applyFont="1" applyFill="1" applyBorder="1" applyAlignment="1">
      <alignment horizontal="center" vertical="center"/>
    </xf>
    <xf numFmtId="9" fontId="26" fillId="3" borderId="112" xfId="1" applyFont="1" applyFill="1" applyBorder="1" applyAlignment="1">
      <alignment horizontal="center" vertical="center"/>
    </xf>
    <xf numFmtId="9" fontId="18" fillId="3" borderId="3" xfId="1" applyFont="1" applyFill="1" applyBorder="1" applyAlignment="1">
      <alignment horizontal="center" vertical="center"/>
    </xf>
    <xf numFmtId="9" fontId="18" fillId="3" borderId="11" xfId="1" applyFont="1" applyFill="1" applyBorder="1" applyAlignment="1">
      <alignment horizontal="center" vertical="center"/>
    </xf>
    <xf numFmtId="172" fontId="50" fillId="3" borderId="0" xfId="0" applyNumberFormat="1" applyFont="1" applyFill="1" applyAlignment="1">
      <alignment horizontal="center" vertical="center"/>
    </xf>
    <xf numFmtId="172" fontId="50" fillId="3" borderId="0" xfId="0" quotePrefix="1" applyNumberFormat="1" applyFont="1" applyFill="1" applyAlignment="1">
      <alignment horizontal="center" vertical="center"/>
    </xf>
    <xf numFmtId="0" fontId="1" fillId="3" borderId="0" xfId="0" applyFont="1" applyFill="1" applyAlignment="1">
      <alignment vertical="center" wrapText="1"/>
    </xf>
    <xf numFmtId="0" fontId="1" fillId="3" borderId="0" xfId="0" applyFont="1" applyFill="1" applyBorder="1" applyAlignment="1">
      <alignment wrapText="1"/>
    </xf>
    <xf numFmtId="0" fontId="46" fillId="3" borderId="0" xfId="0" applyFont="1" applyFill="1"/>
    <xf numFmtId="0" fontId="1" fillId="3" borderId="0" xfId="0" applyFont="1" applyFill="1" applyAlignment="1">
      <alignment horizontal="right" vertical="center"/>
    </xf>
    <xf numFmtId="0" fontId="8" fillId="3" borderId="0" xfId="0" applyFont="1" applyFill="1" applyBorder="1" applyAlignment="1">
      <alignment vertical="center" textRotation="90" wrapText="1"/>
    </xf>
    <xf numFmtId="0" fontId="1" fillId="3" borderId="0" xfId="0" applyFont="1" applyFill="1" applyAlignment="1">
      <alignment horizontal="right" vertical="top"/>
    </xf>
    <xf numFmtId="0" fontId="6" fillId="3" borderId="0" xfId="0" applyFont="1" applyFill="1" applyAlignment="1">
      <alignment wrapText="1"/>
    </xf>
    <xf numFmtId="0" fontId="5" fillId="3" borderId="23" xfId="0" applyFont="1" applyFill="1" applyBorder="1"/>
    <xf numFmtId="0" fontId="1" fillId="3" borderId="11" xfId="0" applyFont="1" applyFill="1" applyBorder="1" applyAlignment="1">
      <alignment horizontal="center" vertical="top"/>
    </xf>
    <xf numFmtId="0" fontId="6" fillId="3" borderId="11" xfId="0" applyFont="1" applyFill="1" applyBorder="1" applyAlignment="1">
      <alignment vertical="center"/>
    </xf>
    <xf numFmtId="0" fontId="1" fillId="3" borderId="25" xfId="0" applyFont="1" applyFill="1" applyBorder="1" applyAlignment="1">
      <alignment horizontal="right" vertical="center"/>
    </xf>
    <xf numFmtId="0" fontId="5" fillId="25" borderId="95" xfId="0" applyFont="1" applyFill="1" applyBorder="1"/>
    <xf numFmtId="0" fontId="8" fillId="3" borderId="0" xfId="0" applyFont="1" applyFill="1" applyBorder="1" applyAlignment="1">
      <alignment vertical="center" wrapText="1"/>
    </xf>
    <xf numFmtId="0" fontId="10" fillId="0" borderId="0" xfId="0" applyFont="1" applyAlignment="1">
      <alignment vertical="center"/>
    </xf>
    <xf numFmtId="0" fontId="8" fillId="12" borderId="95" xfId="0" applyFont="1" applyFill="1" applyBorder="1" applyAlignment="1">
      <alignment horizontal="center" vertical="center"/>
    </xf>
    <xf numFmtId="0" fontId="10" fillId="12" borderId="95" xfId="0" applyFont="1" applyFill="1" applyBorder="1" applyAlignment="1">
      <alignment vertical="center"/>
    </xf>
    <xf numFmtId="171" fontId="10" fillId="0" borderId="95" xfId="0" applyNumberFormat="1" applyFont="1" applyFill="1" applyBorder="1" applyAlignment="1">
      <alignment vertical="center"/>
    </xf>
    <xf numFmtId="0" fontId="1" fillId="0" borderId="0" xfId="0" applyFont="1" applyAlignment="1">
      <alignment horizontal="right" vertical="center"/>
    </xf>
    <xf numFmtId="0" fontId="32" fillId="0" borderId="0" xfId="0" applyFont="1" applyBorder="1"/>
    <xf numFmtId="0" fontId="32" fillId="26" borderId="0" xfId="0" applyFont="1" applyFill="1"/>
    <xf numFmtId="0" fontId="8" fillId="26" borderId="0" xfId="0" applyFont="1" applyFill="1" applyAlignment="1">
      <alignment vertical="center"/>
    </xf>
    <xf numFmtId="0" fontId="10" fillId="26" borderId="0" xfId="0" applyFont="1" applyFill="1" applyAlignment="1">
      <alignment vertical="center"/>
    </xf>
    <xf numFmtId="0" fontId="8" fillId="26" borderId="0" xfId="0" applyFont="1" applyFill="1" applyAlignment="1">
      <alignment horizontal="center" vertical="center"/>
    </xf>
    <xf numFmtId="0" fontId="32" fillId="26" borderId="0" xfId="0" applyFont="1" applyFill="1" applyBorder="1"/>
    <xf numFmtId="0" fontId="1" fillId="26" borderId="0" xfId="0" applyFont="1" applyFill="1" applyBorder="1" applyAlignment="1">
      <alignment horizontal="center" textRotation="90"/>
    </xf>
    <xf numFmtId="0" fontId="8" fillId="3" borderId="9" xfId="0" applyFont="1" applyFill="1" applyBorder="1" applyAlignment="1">
      <alignment vertical="center"/>
    </xf>
    <xf numFmtId="0" fontId="6" fillId="0" borderId="0" xfId="0" applyFont="1" applyAlignment="1">
      <alignment horizontal="left" vertical="top"/>
    </xf>
    <xf numFmtId="0" fontId="6" fillId="0" borderId="0" xfId="0" applyFont="1" applyAlignment="1">
      <alignment vertical="top"/>
    </xf>
    <xf numFmtId="0" fontId="1" fillId="0" borderId="0" xfId="0" applyFont="1" applyAlignment="1">
      <alignment horizontal="left" vertical="top"/>
    </xf>
    <xf numFmtId="0" fontId="17" fillId="0" borderId="0" xfId="0" applyFont="1" applyAlignment="1"/>
    <xf numFmtId="0" fontId="8" fillId="0" borderId="0" xfId="0" applyFont="1" applyBorder="1" applyAlignment="1">
      <alignment horizontal="left" vertical="center"/>
    </xf>
    <xf numFmtId="0" fontId="21" fillId="12" borderId="95" xfId="0" applyFont="1" applyFill="1" applyBorder="1" applyAlignment="1">
      <alignment horizontal="center" vertical="center"/>
    </xf>
    <xf numFmtId="0" fontId="8" fillId="26" borderId="0" xfId="0" applyFont="1" applyFill="1" applyAlignment="1">
      <alignment horizontal="center"/>
    </xf>
    <xf numFmtId="0" fontId="41" fillId="26" borderId="0" xfId="0" applyFont="1" applyFill="1" applyBorder="1" applyAlignment="1">
      <alignment horizontal="center" vertical="center"/>
    </xf>
    <xf numFmtId="3" fontId="41" fillId="26" borderId="1" xfId="0" applyNumberFormat="1" applyFont="1" applyFill="1" applyBorder="1" applyAlignment="1">
      <alignment horizontal="center" vertical="center"/>
    </xf>
    <xf numFmtId="0" fontId="8" fillId="26" borderId="0" xfId="0" applyFont="1" applyFill="1"/>
    <xf numFmtId="0" fontId="8" fillId="0" borderId="0" xfId="0" applyFont="1" applyBorder="1" applyAlignment="1">
      <alignment horizontal="center" wrapText="1"/>
    </xf>
    <xf numFmtId="0" fontId="8" fillId="26" borderId="0" xfId="0" applyFont="1" applyFill="1" applyAlignment="1">
      <alignment horizontal="right" vertical="center"/>
    </xf>
    <xf numFmtId="0" fontId="32" fillId="3" borderId="10" xfId="0" applyFont="1" applyFill="1" applyBorder="1"/>
    <xf numFmtId="0" fontId="21" fillId="3" borderId="37" xfId="0" applyFont="1" applyFill="1" applyBorder="1" applyAlignment="1">
      <alignment horizontal="center" vertical="center"/>
    </xf>
    <xf numFmtId="0" fontId="29" fillId="0" borderId="0" xfId="0" applyFont="1" applyAlignment="1">
      <alignment horizontal="center"/>
    </xf>
    <xf numFmtId="0" fontId="1" fillId="26" borderId="0" xfId="0" applyFont="1" applyFill="1" applyBorder="1" applyAlignment="1">
      <alignment horizontal="center" textRotation="90"/>
    </xf>
    <xf numFmtId="0" fontId="8" fillId="0" borderId="0" xfId="0" applyFont="1" applyBorder="1" applyAlignment="1">
      <alignment horizontal="center" wrapText="1"/>
    </xf>
    <xf numFmtId="0" fontId="1" fillId="26" borderId="0" xfId="0" applyFont="1" applyFill="1" applyBorder="1" applyAlignment="1">
      <alignment horizontal="center" textRotation="90"/>
    </xf>
    <xf numFmtId="0" fontId="32" fillId="0" borderId="0" xfId="0" applyFont="1" applyAlignment="1">
      <alignment horizontal="center"/>
    </xf>
    <xf numFmtId="0" fontId="56" fillId="14" borderId="0" xfId="0" applyFont="1" applyFill="1" applyAlignment="1">
      <alignment textRotation="90"/>
    </xf>
    <xf numFmtId="0" fontId="42" fillId="14" borderId="0" xfId="0" applyFont="1" applyFill="1" applyAlignment="1">
      <alignment textRotation="90"/>
    </xf>
    <xf numFmtId="0" fontId="56" fillId="14" borderId="0" xfId="0" applyFont="1" applyFill="1" applyAlignment="1">
      <alignment horizontal="center" textRotation="90"/>
    </xf>
    <xf numFmtId="0" fontId="42" fillId="14" borderId="0" xfId="0" applyFont="1" applyFill="1" applyAlignment="1">
      <alignment horizontal="center" textRotation="90"/>
    </xf>
    <xf numFmtId="0" fontId="59" fillId="14" borderId="0" xfId="0" applyFont="1" applyFill="1" applyAlignment="1">
      <alignment horizontal="center" vertical="center" textRotation="90"/>
    </xf>
    <xf numFmtId="1" fontId="59" fillId="14" borderId="0" xfId="0" applyNumberFormat="1" applyFont="1" applyFill="1" applyAlignment="1">
      <alignment horizontal="center" vertical="center"/>
    </xf>
    <xf numFmtId="0" fontId="1" fillId="14" borderId="0" xfId="0" applyFont="1" applyFill="1" applyBorder="1" applyAlignment="1">
      <alignment horizontal="center" vertical="top"/>
    </xf>
    <xf numFmtId="0" fontId="58" fillId="14" borderId="0" xfId="0" applyFont="1" applyFill="1" applyBorder="1" applyAlignment="1">
      <alignment vertical="center" wrapText="1"/>
    </xf>
    <xf numFmtId="0" fontId="58" fillId="14" borderId="11" xfId="0" applyFont="1" applyFill="1" applyBorder="1" applyAlignment="1">
      <alignment vertical="center" wrapText="1"/>
    </xf>
    <xf numFmtId="0" fontId="8" fillId="14" borderId="0" xfId="0" applyFont="1" applyFill="1" applyAlignment="1">
      <alignment vertical="center"/>
    </xf>
    <xf numFmtId="0" fontId="42" fillId="14" borderId="0" xfId="0" applyFont="1" applyFill="1" applyAlignment="1">
      <alignment horizontal="center" vertical="center"/>
    </xf>
    <xf numFmtId="0" fontId="1" fillId="26" borderId="0" xfId="0" applyFont="1" applyFill="1" applyBorder="1" applyAlignment="1">
      <alignment textRotation="90"/>
    </xf>
    <xf numFmtId="0" fontId="1" fillId="26" borderId="0" xfId="0" applyFont="1" applyFill="1" applyBorder="1" applyAlignment="1">
      <alignment vertical="center"/>
    </xf>
    <xf numFmtId="0" fontId="8" fillId="3" borderId="7" xfId="0" applyFont="1" applyFill="1" applyBorder="1" applyAlignment="1">
      <alignment horizontal="center" vertical="center"/>
    </xf>
    <xf numFmtId="0" fontId="8" fillId="3" borderId="27" xfId="0" applyFont="1" applyFill="1" applyBorder="1" applyAlignment="1">
      <alignment horizontal="center" vertical="center"/>
    </xf>
    <xf numFmtId="2" fontId="10" fillId="12" borderId="95" xfId="0" applyNumberFormat="1" applyFont="1" applyFill="1" applyBorder="1" applyAlignment="1">
      <alignment horizontal="center" vertical="center"/>
    </xf>
    <xf numFmtId="0" fontId="10" fillId="2" borderId="151" xfId="0" applyFont="1" applyFill="1" applyBorder="1" applyAlignment="1">
      <alignment vertical="center"/>
    </xf>
    <xf numFmtId="0" fontId="32" fillId="2" borderId="153" xfId="0" applyFont="1" applyFill="1" applyBorder="1"/>
    <xf numFmtId="0" fontId="32" fillId="2" borderId="115" xfId="0" applyFont="1" applyFill="1" applyBorder="1"/>
    <xf numFmtId="0" fontId="32" fillId="2" borderId="148" xfId="0" applyFont="1" applyFill="1" applyBorder="1"/>
    <xf numFmtId="0" fontId="32" fillId="2" borderId="149" xfId="0" applyFont="1" applyFill="1" applyBorder="1"/>
    <xf numFmtId="0" fontId="32" fillId="2" borderId="150" xfId="0" applyFont="1" applyFill="1" applyBorder="1"/>
    <xf numFmtId="0" fontId="32" fillId="2" borderId="0" xfId="0" applyFont="1" applyFill="1" applyBorder="1"/>
    <xf numFmtId="0" fontId="32" fillId="2" borderId="151" xfId="0" applyFont="1" applyFill="1" applyBorder="1"/>
    <xf numFmtId="0" fontId="32" fillId="2" borderId="0" xfId="0" applyFont="1" applyFill="1" applyBorder="1" applyAlignment="1">
      <alignment horizontal="left" indent="1"/>
    </xf>
    <xf numFmtId="0" fontId="1" fillId="2" borderId="0" xfId="0" applyFont="1" applyFill="1" applyBorder="1" applyAlignment="1">
      <alignment horizontal="left" vertical="center" indent="1"/>
    </xf>
    <xf numFmtId="0" fontId="34" fillId="2" borderId="0" xfId="0" applyFont="1" applyFill="1" applyBorder="1" applyAlignment="1">
      <alignment horizontal="center"/>
    </xf>
    <xf numFmtId="0" fontId="34" fillId="2" borderId="0" xfId="0" applyFont="1" applyFill="1" applyBorder="1" applyAlignment="1">
      <alignment horizontal="right" vertical="center" indent="1"/>
    </xf>
    <xf numFmtId="0" fontId="10" fillId="2" borderId="0" xfId="0" applyFont="1" applyFill="1" applyBorder="1" applyAlignment="1">
      <alignment vertical="center"/>
    </xf>
    <xf numFmtId="0" fontId="10" fillId="2" borderId="150" xfId="0" applyFont="1" applyFill="1" applyBorder="1" applyAlignment="1">
      <alignment vertical="center"/>
    </xf>
    <xf numFmtId="0" fontId="32" fillId="2" borderId="116" xfId="0" applyFont="1" applyFill="1" applyBorder="1"/>
    <xf numFmtId="0" fontId="32" fillId="2" borderId="152" xfId="0" applyFont="1" applyFill="1" applyBorder="1"/>
    <xf numFmtId="0" fontId="8" fillId="3" borderId="147" xfId="0" applyFont="1" applyFill="1" applyBorder="1" applyAlignment="1">
      <alignment vertical="center"/>
    </xf>
    <xf numFmtId="171" fontId="33" fillId="0" borderId="154" xfId="0" applyNumberFormat="1" applyFont="1" applyFill="1" applyBorder="1" applyAlignment="1">
      <alignment horizontal="center" vertical="center"/>
    </xf>
    <xf numFmtId="0" fontId="32" fillId="2" borderId="0" xfId="0" applyFont="1" applyFill="1"/>
    <xf numFmtId="9" fontId="8" fillId="2" borderId="0" xfId="1" applyFont="1" applyFill="1" applyBorder="1" applyAlignment="1">
      <alignment horizontal="center" vertical="center"/>
    </xf>
    <xf numFmtId="0" fontId="8" fillId="3" borderId="0" xfId="0" applyNumberFormat="1" applyFont="1" applyFill="1" applyBorder="1" applyAlignment="1">
      <alignment horizontal="center" vertical="center"/>
    </xf>
    <xf numFmtId="0" fontId="32" fillId="0" borderId="26" xfId="0" applyFont="1" applyBorder="1"/>
    <xf numFmtId="0" fontId="8" fillId="3" borderId="147" xfId="0" applyFont="1" applyFill="1" applyBorder="1" applyAlignment="1">
      <alignment horizontal="center" vertical="center"/>
    </xf>
    <xf numFmtId="0" fontId="8" fillId="26" borderId="0" xfId="0" quotePrefix="1" applyFont="1" applyFill="1" applyAlignment="1">
      <alignment horizontal="center" vertical="center"/>
    </xf>
    <xf numFmtId="0" fontId="8" fillId="26" borderId="147" xfId="0" applyFont="1" applyFill="1" applyBorder="1" applyAlignment="1">
      <alignment horizontal="center" vertical="center"/>
    </xf>
    <xf numFmtId="0" fontId="1" fillId="26" borderId="0" xfId="0" applyFont="1" applyFill="1" applyBorder="1" applyAlignment="1">
      <alignment horizontal="center" textRotation="90"/>
    </xf>
    <xf numFmtId="0" fontId="8" fillId="26" borderId="0" xfId="0" applyFont="1" applyFill="1" applyBorder="1" applyAlignment="1">
      <alignment vertical="center"/>
    </xf>
    <xf numFmtId="0" fontId="6" fillId="0" borderId="0" xfId="0" applyFont="1" applyAlignment="1">
      <alignment horizontal="center" wrapText="1"/>
    </xf>
    <xf numFmtId="0" fontId="8" fillId="3" borderId="0" xfId="0" applyFont="1" applyFill="1" applyAlignment="1">
      <alignment vertical="center" wrapText="1"/>
    </xf>
    <xf numFmtId="0" fontId="63" fillId="3" borderId="0" xfId="0" applyFont="1" applyFill="1" applyBorder="1" applyAlignment="1">
      <alignment vertical="center" wrapText="1"/>
    </xf>
    <xf numFmtId="0" fontId="0" fillId="0" borderId="0" xfId="0"/>
    <xf numFmtId="0" fontId="1" fillId="0" borderId="0" xfId="0" applyFont="1"/>
    <xf numFmtId="0" fontId="32" fillId="0" borderId="0" xfId="0" applyFont="1"/>
    <xf numFmtId="0" fontId="43" fillId="0" borderId="0" xfId="0" applyFont="1"/>
    <xf numFmtId="0" fontId="32" fillId="0" borderId="0" xfId="0" applyFont="1" applyFill="1"/>
    <xf numFmtId="0" fontId="32" fillId="27" borderId="0" xfId="0" applyFont="1" applyFill="1"/>
    <xf numFmtId="0" fontId="1" fillId="27" borderId="0" xfId="0" applyFont="1" applyFill="1"/>
    <xf numFmtId="0" fontId="32" fillId="0" borderId="0" xfId="0" applyFont="1" applyFill="1" applyBorder="1"/>
    <xf numFmtId="0" fontId="5" fillId="0" borderId="0" xfId="0" applyFont="1" applyFill="1" applyBorder="1"/>
    <xf numFmtId="0" fontId="8" fillId="3" borderId="156" xfId="0" applyFont="1" applyFill="1" applyBorder="1"/>
    <xf numFmtId="0" fontId="46" fillId="3" borderId="156" xfId="0" applyFont="1" applyFill="1" applyBorder="1" applyAlignment="1">
      <alignment horizontal="left" vertical="center" textRotation="90"/>
    </xf>
    <xf numFmtId="0" fontId="14" fillId="3" borderId="156" xfId="0" applyFont="1" applyFill="1" applyBorder="1" applyAlignment="1">
      <alignment horizontal="left"/>
    </xf>
    <xf numFmtId="0" fontId="5" fillId="3" borderId="156" xfId="0" applyFont="1" applyFill="1" applyBorder="1"/>
    <xf numFmtId="0" fontId="5" fillId="3" borderId="157" xfId="0" applyFont="1" applyFill="1" applyBorder="1" applyAlignment="1">
      <alignment vertical="center"/>
    </xf>
    <xf numFmtId="0" fontId="14" fillId="3" borderId="0" xfId="0" applyFont="1" applyFill="1" applyBorder="1" applyAlignment="1">
      <alignment horizontal="left" vertical="center"/>
    </xf>
    <xf numFmtId="0" fontId="5" fillId="27" borderId="0" xfId="0" applyFont="1" applyFill="1"/>
    <xf numFmtId="0" fontId="5" fillId="27" borderId="0" xfId="0" applyFont="1" applyFill="1" applyAlignment="1">
      <alignment horizontal="left"/>
    </xf>
    <xf numFmtId="0" fontId="5" fillId="27" borderId="0" xfId="0" applyFont="1" applyFill="1" applyAlignment="1">
      <alignment horizontal="center" vertical="center"/>
    </xf>
    <xf numFmtId="0" fontId="14" fillId="27" borderId="0" xfId="0" applyFont="1" applyFill="1"/>
    <xf numFmtId="0" fontId="1" fillId="27" borderId="0" xfId="0" applyFont="1" applyFill="1" applyAlignment="1">
      <alignment horizontal="right" vertical="center"/>
    </xf>
    <xf numFmtId="0" fontId="4" fillId="27" borderId="0" xfId="0" applyFont="1" applyFill="1"/>
    <xf numFmtId="3" fontId="23" fillId="27" borderId="0" xfId="0" applyNumberFormat="1" applyFont="1" applyFill="1" applyBorder="1" applyAlignment="1">
      <alignment horizontal="center" vertical="center"/>
    </xf>
    <xf numFmtId="0" fontId="10" fillId="27" borderId="0" xfId="0" applyFont="1" applyFill="1" applyAlignment="1"/>
    <xf numFmtId="0" fontId="27" fillId="27" borderId="0" xfId="0" quotePrefix="1" applyFont="1" applyFill="1" applyBorder="1" applyAlignment="1">
      <alignment horizontal="center" vertical="center"/>
    </xf>
    <xf numFmtId="0" fontId="41" fillId="27" borderId="0" xfId="0" applyFont="1" applyFill="1" applyAlignment="1">
      <alignment horizontal="left" vertical="center"/>
    </xf>
    <xf numFmtId="0" fontId="8" fillId="27" borderId="0" xfId="0" applyFont="1" applyFill="1" applyBorder="1" applyAlignment="1">
      <alignment horizontal="center" vertical="center"/>
    </xf>
    <xf numFmtId="3" fontId="23" fillId="3" borderId="1" xfId="0" applyNumberFormat="1" applyFont="1" applyFill="1" applyBorder="1" applyAlignment="1">
      <alignment horizontal="center" vertical="center"/>
    </xf>
    <xf numFmtId="0" fontId="46" fillId="3" borderId="0" xfId="0" applyFont="1" applyFill="1" applyBorder="1" applyAlignment="1">
      <alignment horizontal="left" vertical="center" textRotation="90"/>
    </xf>
    <xf numFmtId="0" fontId="14" fillId="3" borderId="0" xfId="0" applyFont="1" applyFill="1" applyBorder="1" applyAlignment="1">
      <alignment horizontal="left"/>
    </xf>
    <xf numFmtId="182" fontId="8" fillId="3" borderId="1" xfId="0" applyNumberFormat="1" applyFont="1" applyFill="1" applyBorder="1" applyAlignment="1">
      <alignment horizontal="center" vertical="center"/>
    </xf>
    <xf numFmtId="0" fontId="8" fillId="12" borderId="158" xfId="0" applyFont="1" applyFill="1" applyBorder="1" applyAlignment="1">
      <alignment horizontal="center" vertical="center"/>
    </xf>
    <xf numFmtId="0" fontId="8" fillId="12" borderId="159" xfId="0" applyFont="1" applyFill="1" applyBorder="1" applyAlignment="1">
      <alignment horizontal="center" vertical="center"/>
    </xf>
    <xf numFmtId="182" fontId="46" fillId="12" borderId="45" xfId="0" applyNumberFormat="1" applyFont="1" applyFill="1" applyBorder="1" applyAlignment="1">
      <alignment horizontal="center" vertical="center"/>
    </xf>
    <xf numFmtId="182" fontId="46" fillId="12" borderId="46" xfId="0" applyNumberFormat="1" applyFont="1" applyFill="1" applyBorder="1" applyAlignment="1">
      <alignment horizontal="center" vertical="center"/>
    </xf>
    <xf numFmtId="0" fontId="1" fillId="27" borderId="0" xfId="0" applyFont="1" applyFill="1" applyAlignment="1">
      <alignment horizontal="right"/>
    </xf>
    <xf numFmtId="0" fontId="8" fillId="27" borderId="0" xfId="0" applyFont="1" applyFill="1" applyBorder="1" applyAlignment="1">
      <alignment horizontal="right"/>
    </xf>
    <xf numFmtId="0" fontId="8" fillId="27" borderId="0" xfId="0" applyFont="1" applyFill="1" applyAlignment="1">
      <alignment vertical="center"/>
    </xf>
    <xf numFmtId="0" fontId="0" fillId="27" borderId="0" xfId="0" applyFill="1"/>
    <xf numFmtId="0" fontId="8" fillId="27" borderId="0" xfId="0" applyFont="1" applyFill="1" applyAlignment="1">
      <alignment horizontal="right" vertical="center"/>
    </xf>
    <xf numFmtId="0" fontId="5" fillId="27" borderId="0" xfId="0" applyFont="1" applyFill="1" applyBorder="1"/>
    <xf numFmtId="0" fontId="8" fillId="27" borderId="0" xfId="0" applyFont="1" applyFill="1" applyAlignment="1">
      <alignment horizontal="center"/>
    </xf>
    <xf numFmtId="0" fontId="1" fillId="26" borderId="0" xfId="0" applyFont="1" applyFill="1" applyBorder="1" applyAlignment="1">
      <alignment horizontal="center" textRotation="90"/>
    </xf>
    <xf numFmtId="0" fontId="27" fillId="3" borderId="1" xfId="0" quotePrefix="1" applyFont="1" applyFill="1" applyBorder="1" applyAlignment="1">
      <alignment horizontal="center" vertical="center"/>
    </xf>
    <xf numFmtId="0" fontId="74" fillId="27" borderId="0" xfId="0" quotePrefix="1" applyFont="1" applyFill="1" applyBorder="1" applyAlignment="1">
      <alignment horizontal="center" vertical="center"/>
    </xf>
    <xf numFmtId="3" fontId="8" fillId="3" borderId="147" xfId="0" applyNumberFormat="1" applyFont="1" applyFill="1" applyBorder="1" applyAlignment="1">
      <alignment horizontal="center" vertical="center"/>
    </xf>
    <xf numFmtId="0" fontId="1" fillId="27" borderId="0" xfId="0" applyFont="1" applyFill="1" applyAlignment="1">
      <alignment vertical="center"/>
    </xf>
    <xf numFmtId="3" fontId="5" fillId="0" borderId="147" xfId="0" applyNumberFormat="1" applyFont="1" applyFill="1" applyBorder="1" applyAlignment="1">
      <alignment horizontal="center" vertical="center"/>
    </xf>
    <xf numFmtId="0" fontId="8" fillId="26" borderId="0" xfId="0" applyFont="1" applyFill="1" applyBorder="1" applyAlignment="1">
      <alignment horizontal="left" vertical="center"/>
    </xf>
    <xf numFmtId="0" fontId="8" fillId="3" borderId="147" xfId="0" quotePrefix="1" applyFont="1" applyFill="1" applyBorder="1" applyAlignment="1">
      <alignment horizontal="center" vertical="center"/>
    </xf>
    <xf numFmtId="0" fontId="8" fillId="3" borderId="11" xfId="0" applyFont="1" applyFill="1" applyBorder="1" applyAlignment="1">
      <alignment horizontal="center" textRotation="90"/>
    </xf>
    <xf numFmtId="0" fontId="4" fillId="3" borderId="0" xfId="0" applyFont="1" applyFill="1" applyBorder="1" applyAlignment="1">
      <alignment horizontal="center" wrapText="1"/>
    </xf>
    <xf numFmtId="1" fontId="8" fillId="26" borderId="0" xfId="0" applyNumberFormat="1" applyFont="1" applyFill="1" applyAlignment="1">
      <alignment horizontal="center" vertical="center"/>
    </xf>
    <xf numFmtId="3" fontId="6" fillId="3" borderId="27" xfId="0" applyNumberFormat="1" applyFont="1" applyFill="1" applyBorder="1" applyAlignment="1">
      <alignment horizontal="right" vertical="center" indent="1"/>
    </xf>
    <xf numFmtId="3" fontId="6" fillId="3" borderId="65" xfId="0" applyNumberFormat="1" applyFont="1" applyFill="1" applyBorder="1" applyAlignment="1">
      <alignment horizontal="right" vertical="center" indent="1"/>
    </xf>
    <xf numFmtId="0" fontId="4" fillId="0" borderId="0" xfId="0" applyFont="1" applyFill="1" applyAlignment="1">
      <alignment vertical="center"/>
    </xf>
    <xf numFmtId="0" fontId="4" fillId="0" borderId="0" xfId="0" applyFont="1" applyFill="1"/>
    <xf numFmtId="0" fontId="4" fillId="0" borderId="0" xfId="0" applyFont="1" applyFill="1" applyAlignment="1">
      <alignment horizontal="center" vertical="center"/>
    </xf>
    <xf numFmtId="0" fontId="4" fillId="3" borderId="115" xfId="0" applyFont="1" applyFill="1" applyBorder="1"/>
    <xf numFmtId="0" fontId="4" fillId="3" borderId="149" xfId="0" applyFont="1" applyFill="1" applyBorder="1"/>
    <xf numFmtId="0" fontId="4" fillId="3" borderId="150" xfId="0" applyFont="1" applyFill="1" applyBorder="1"/>
    <xf numFmtId="0" fontId="4" fillId="3" borderId="151" xfId="0" applyFont="1" applyFill="1" applyBorder="1"/>
    <xf numFmtId="0" fontId="4" fillId="3" borderId="150" xfId="0" applyFont="1" applyFill="1" applyBorder="1" applyAlignment="1">
      <alignment vertical="center"/>
    </xf>
    <xf numFmtId="0" fontId="3" fillId="20" borderId="147" xfId="0" applyFont="1" applyFill="1" applyBorder="1" applyAlignment="1">
      <alignment horizontal="center" vertical="center" wrapText="1"/>
    </xf>
    <xf numFmtId="0" fontId="4" fillId="3" borderId="151" xfId="0" applyFont="1" applyFill="1" applyBorder="1" applyAlignment="1">
      <alignment vertical="center"/>
    </xf>
    <xf numFmtId="0" fontId="19" fillId="0" borderId="147" xfId="0" applyFont="1" applyBorder="1" applyAlignment="1">
      <alignment horizontal="left" vertical="center" wrapText="1" indent="1"/>
    </xf>
    <xf numFmtId="0" fontId="1" fillId="0" borderId="147" xfId="0" applyNumberFormat="1" applyFont="1" applyFill="1" applyBorder="1" applyAlignment="1">
      <alignment horizontal="center" vertical="center"/>
    </xf>
    <xf numFmtId="0" fontId="8" fillId="0" borderId="147" xfId="0" applyNumberFormat="1" applyFont="1" applyFill="1" applyBorder="1" applyAlignment="1">
      <alignment horizontal="left" vertical="center" wrapText="1" indent="1"/>
    </xf>
    <xf numFmtId="0" fontId="2" fillId="0" borderId="147" xfId="0" applyNumberFormat="1" applyFont="1" applyFill="1" applyBorder="1" applyAlignment="1">
      <alignment horizontal="center" vertical="center"/>
    </xf>
    <xf numFmtId="0" fontId="4" fillId="3" borderId="116" xfId="0" applyFont="1" applyFill="1" applyBorder="1" applyAlignment="1">
      <alignment vertical="center"/>
    </xf>
    <xf numFmtId="0" fontId="4" fillId="3" borderId="152" xfId="0" applyFont="1" applyFill="1" applyBorder="1" applyAlignment="1">
      <alignment horizontal="center" vertical="center"/>
    </xf>
    <xf numFmtId="0" fontId="4" fillId="3" borderId="152" xfId="0" applyFont="1" applyFill="1" applyBorder="1" applyAlignment="1">
      <alignment vertical="center"/>
    </xf>
    <xf numFmtId="0" fontId="4" fillId="3" borderId="153" xfId="0" applyFont="1" applyFill="1" applyBorder="1" applyAlignment="1">
      <alignment vertical="center"/>
    </xf>
    <xf numFmtId="0" fontId="1" fillId="0" borderId="147" xfId="0" applyFont="1" applyBorder="1" applyAlignment="1">
      <alignment horizontal="left" vertical="center" wrapText="1" indent="1"/>
    </xf>
    <xf numFmtId="170" fontId="1" fillId="0" borderId="147" xfId="0" applyNumberFormat="1" applyFont="1" applyFill="1" applyBorder="1" applyAlignment="1">
      <alignment horizontal="right" vertical="center" indent="1"/>
    </xf>
    <xf numFmtId="0" fontId="30" fillId="3" borderId="22" xfId="0" applyFont="1" applyFill="1" applyBorder="1" applyAlignment="1">
      <alignment vertical="center" wrapText="1"/>
    </xf>
    <xf numFmtId="0" fontId="30" fillId="3" borderId="8" xfId="0" applyFont="1" applyFill="1" applyBorder="1" applyAlignment="1">
      <alignment horizontal="center" vertical="center" wrapText="1"/>
    </xf>
    <xf numFmtId="0" fontId="30" fillId="3" borderId="24" xfId="0" applyFont="1" applyFill="1" applyBorder="1" applyAlignment="1">
      <alignment vertical="center" wrapText="1"/>
    </xf>
    <xf numFmtId="0" fontId="4" fillId="27" borderId="0" xfId="0" applyFont="1" applyFill="1" applyAlignment="1">
      <alignment vertical="center"/>
    </xf>
    <xf numFmtId="3" fontId="8" fillId="3" borderId="38" xfId="0" quotePrefix="1" applyNumberFormat="1" applyFont="1" applyFill="1" applyBorder="1" applyAlignment="1">
      <alignment horizontal="right" vertical="center"/>
    </xf>
    <xf numFmtId="3" fontId="8" fillId="3" borderId="147" xfId="0" quotePrefix="1" applyNumberFormat="1" applyFont="1" applyFill="1" applyBorder="1" applyAlignment="1">
      <alignment horizontal="right" vertical="center"/>
    </xf>
    <xf numFmtId="0" fontId="8" fillId="3" borderId="35" xfId="0" applyFont="1" applyFill="1" applyBorder="1" applyAlignment="1">
      <alignment horizontal="center" vertical="center"/>
    </xf>
    <xf numFmtId="0" fontId="8" fillId="3" borderId="21" xfId="0" applyFont="1" applyFill="1" applyBorder="1" applyAlignment="1">
      <alignment horizontal="center" vertical="center" wrapText="1"/>
    </xf>
    <xf numFmtId="0" fontId="75" fillId="3" borderId="0" xfId="0" applyFont="1" applyFill="1" applyBorder="1" applyAlignment="1">
      <alignment vertical="center"/>
    </xf>
    <xf numFmtId="0" fontId="4" fillId="3" borderId="148" xfId="0" applyFont="1" applyFill="1" applyBorder="1" applyAlignment="1">
      <alignment vertical="top" wrapText="1"/>
    </xf>
    <xf numFmtId="0" fontId="4" fillId="0" borderId="148" xfId="0" applyFont="1" applyBorder="1"/>
    <xf numFmtId="0" fontId="4" fillId="3" borderId="148" xfId="0" applyFont="1" applyFill="1" applyBorder="1" applyAlignment="1">
      <alignment vertical="top"/>
    </xf>
    <xf numFmtId="0" fontId="75" fillId="3" borderId="148" xfId="0" applyFont="1" applyFill="1" applyBorder="1" applyAlignment="1">
      <alignment vertical="center"/>
    </xf>
    <xf numFmtId="0" fontId="43" fillId="0" borderId="0" xfId="0" applyFont="1" applyAlignment="1">
      <alignment vertical="center"/>
    </xf>
    <xf numFmtId="0" fontId="1" fillId="0" borderId="0" xfId="0" applyFont="1" applyFill="1" applyBorder="1" applyAlignment="1">
      <alignment horizontal="left" vertical="center" indent="1"/>
    </xf>
    <xf numFmtId="0" fontId="1" fillId="26" borderId="0" xfId="0" applyFont="1" applyFill="1" applyBorder="1" applyAlignment="1">
      <alignment horizontal="center" textRotation="90"/>
    </xf>
    <xf numFmtId="0" fontId="34" fillId="2" borderId="0" xfId="0" applyFont="1" applyFill="1" applyBorder="1" applyAlignment="1">
      <alignment horizontal="center"/>
    </xf>
    <xf numFmtId="0" fontId="40" fillId="0" borderId="0" xfId="0" applyFont="1" applyAlignment="1">
      <alignment horizontal="left" vertical="top"/>
    </xf>
    <xf numFmtId="0" fontId="43" fillId="0" borderId="0" xfId="0" applyFont="1" applyAlignment="1">
      <alignment vertical="top"/>
    </xf>
    <xf numFmtId="0" fontId="8" fillId="3" borderId="0" xfId="0" applyFont="1" applyFill="1" applyBorder="1" applyAlignment="1">
      <alignment textRotation="90" wrapText="1"/>
    </xf>
    <xf numFmtId="0" fontId="1" fillId="3" borderId="0" xfId="0" applyFont="1" applyFill="1" applyBorder="1" applyAlignment="1">
      <alignment textRotation="90" wrapText="1"/>
    </xf>
    <xf numFmtId="0" fontId="1" fillId="3" borderId="11" xfId="0" applyFont="1" applyFill="1" applyBorder="1" applyAlignment="1">
      <alignment textRotation="90" wrapText="1"/>
    </xf>
    <xf numFmtId="0" fontId="1" fillId="0" borderId="0" xfId="0" applyFont="1" applyFill="1" applyBorder="1" applyAlignment="1">
      <alignment horizontal="right" vertical="center"/>
    </xf>
    <xf numFmtId="173" fontId="10" fillId="2" borderId="0" xfId="1" applyNumberFormat="1" applyFont="1" applyFill="1" applyBorder="1" applyAlignment="1">
      <alignment horizontal="center" vertical="center"/>
    </xf>
    <xf numFmtId="0" fontId="6" fillId="2" borderId="0" xfId="0" applyFont="1" applyFill="1" applyAlignment="1">
      <alignment horizontal="center"/>
    </xf>
    <xf numFmtId="0" fontId="8" fillId="2" borderId="0" xfId="0" applyFont="1" applyFill="1" applyBorder="1" applyAlignment="1">
      <alignment vertical="center"/>
    </xf>
    <xf numFmtId="0" fontId="8" fillId="2" borderId="0" xfId="0" applyFont="1" applyFill="1" applyBorder="1"/>
    <xf numFmtId="0" fontId="71" fillId="3" borderId="0" xfId="0" applyFont="1" applyFill="1" applyBorder="1" applyAlignment="1">
      <alignment vertical="center" wrapText="1"/>
    </xf>
    <xf numFmtId="3" fontId="8" fillId="26" borderId="0" xfId="0" applyNumberFormat="1" applyFont="1" applyFill="1" applyAlignment="1">
      <alignment horizontal="center" vertical="center"/>
    </xf>
    <xf numFmtId="0" fontId="8" fillId="3" borderId="0" xfId="0" applyFont="1" applyFill="1" applyBorder="1" applyAlignment="1">
      <alignment horizontal="left" vertical="center"/>
    </xf>
    <xf numFmtId="2" fontId="1" fillId="3" borderId="0" xfId="0" applyNumberFormat="1" applyFont="1" applyFill="1" applyBorder="1" applyAlignment="1">
      <alignment vertical="center"/>
    </xf>
    <xf numFmtId="0" fontId="6" fillId="14" borderId="28" xfId="0" applyFont="1" applyFill="1" applyBorder="1"/>
    <xf numFmtId="0" fontId="32" fillId="27" borderId="0" xfId="0" quotePrefix="1" applyFont="1" applyFill="1"/>
    <xf numFmtId="0" fontId="70" fillId="0" borderId="0" xfId="0" applyFont="1" applyBorder="1" applyAlignment="1"/>
    <xf numFmtId="3" fontId="33" fillId="2" borderId="0" xfId="0" applyNumberFormat="1" applyFont="1" applyFill="1" applyBorder="1" applyAlignment="1">
      <alignment horizontal="center"/>
    </xf>
    <xf numFmtId="0" fontId="72" fillId="0" borderId="0" xfId="0" applyFont="1" applyAlignment="1">
      <alignment vertical="top"/>
    </xf>
    <xf numFmtId="0" fontId="37" fillId="0" borderId="0" xfId="0" applyFont="1" applyAlignment="1">
      <alignment horizontal="left" vertical="top"/>
    </xf>
    <xf numFmtId="0" fontId="37" fillId="0" borderId="0" xfId="0" applyFont="1" applyAlignment="1">
      <alignment vertical="top"/>
    </xf>
    <xf numFmtId="0" fontId="8" fillId="12" borderId="147" xfId="0" applyFont="1" applyFill="1" applyBorder="1" applyAlignment="1">
      <alignment horizontal="center" vertical="center"/>
    </xf>
    <xf numFmtId="184" fontId="8" fillId="3" borderId="57" xfId="1" applyNumberFormat="1" applyFont="1" applyFill="1" applyBorder="1" applyAlignment="1">
      <alignment horizontal="center" vertical="center"/>
    </xf>
    <xf numFmtId="184" fontId="8" fillId="3" borderId="111" xfId="1" applyNumberFormat="1" applyFont="1" applyFill="1" applyBorder="1" applyAlignment="1">
      <alignment horizontal="center" vertical="center"/>
    </xf>
    <xf numFmtId="184" fontId="8" fillId="3" borderId="33" xfId="1" applyNumberFormat="1" applyFont="1" applyFill="1" applyBorder="1" applyAlignment="1">
      <alignment horizontal="center" vertical="center"/>
    </xf>
    <xf numFmtId="184" fontId="8" fillId="3" borderId="81" xfId="1" applyNumberFormat="1" applyFont="1" applyFill="1" applyBorder="1" applyAlignment="1">
      <alignment horizontal="center" vertical="center"/>
    </xf>
    <xf numFmtId="184" fontId="8" fillId="3" borderId="104" xfId="1" applyNumberFormat="1" applyFont="1" applyFill="1" applyBorder="1" applyAlignment="1">
      <alignment horizontal="center" vertical="center"/>
    </xf>
    <xf numFmtId="184" fontId="8" fillId="3" borderId="105" xfId="1" applyNumberFormat="1" applyFont="1" applyFill="1" applyBorder="1" applyAlignment="1">
      <alignment horizontal="center" vertical="center"/>
    </xf>
    <xf numFmtId="0" fontId="55" fillId="14" borderId="0" xfId="0" applyFont="1" applyFill="1" applyAlignment="1">
      <alignment horizontal="center" vertical="center"/>
    </xf>
    <xf numFmtId="3" fontId="1" fillId="11" borderId="27" xfId="0" applyNumberFormat="1" applyFont="1" applyFill="1" applyBorder="1" applyAlignment="1">
      <alignment horizontal="center" vertical="center"/>
    </xf>
    <xf numFmtId="3" fontId="1" fillId="9" borderId="27" xfId="0" applyNumberFormat="1" applyFont="1" applyFill="1" applyBorder="1" applyAlignment="1">
      <alignment horizontal="center" vertical="center"/>
    </xf>
    <xf numFmtId="3" fontId="1" fillId="10" borderId="27" xfId="0" applyNumberFormat="1" applyFont="1" applyFill="1" applyBorder="1" applyAlignment="1">
      <alignment horizontal="center" vertical="center"/>
    </xf>
    <xf numFmtId="0" fontId="32" fillId="32" borderId="0" xfId="0" applyFont="1" applyFill="1"/>
    <xf numFmtId="0" fontId="8" fillId="32" borderId="0" xfId="0" applyFont="1" applyFill="1" applyAlignment="1">
      <alignment horizontal="right" vertical="center"/>
    </xf>
    <xf numFmtId="0" fontId="32" fillId="9" borderId="147" xfId="0" applyFont="1" applyFill="1" applyBorder="1"/>
    <xf numFmtId="0" fontId="32" fillId="12" borderId="147" xfId="0" applyFont="1" applyFill="1" applyBorder="1"/>
    <xf numFmtId="0" fontId="31" fillId="0" borderId="11" xfId="0" applyFont="1" applyBorder="1"/>
    <xf numFmtId="0" fontId="32" fillId="0" borderId="11" xfId="0" applyFont="1" applyBorder="1"/>
    <xf numFmtId="0" fontId="1" fillId="0" borderId="11" xfId="0" applyFont="1" applyBorder="1" applyAlignment="1">
      <alignment vertical="center"/>
    </xf>
    <xf numFmtId="0" fontId="10" fillId="12" borderId="147" xfId="0" applyFont="1" applyFill="1" applyBorder="1" applyAlignment="1">
      <alignment horizontal="center" vertical="center"/>
    </xf>
    <xf numFmtId="0" fontId="29" fillId="2" borderId="0" xfId="0" applyFont="1" applyFill="1" applyBorder="1" applyAlignment="1">
      <alignment horizontal="right" vertical="center"/>
    </xf>
    <xf numFmtId="0" fontId="1" fillId="0" borderId="0" xfId="0" applyFont="1" applyFill="1" applyBorder="1" applyAlignment="1">
      <alignment vertical="center"/>
    </xf>
    <xf numFmtId="0" fontId="1" fillId="26" borderId="0" xfId="0" applyFont="1" applyFill="1" applyBorder="1" applyAlignment="1">
      <alignment horizontal="center" textRotation="90"/>
    </xf>
    <xf numFmtId="173" fontId="8" fillId="3" borderId="147" xfId="1" applyNumberFormat="1" applyFont="1" applyFill="1" applyBorder="1" applyAlignment="1">
      <alignment horizontal="center" vertical="center"/>
    </xf>
    <xf numFmtId="1" fontId="10" fillId="12" borderId="95" xfId="0" applyNumberFormat="1" applyFont="1" applyFill="1" applyBorder="1" applyAlignment="1">
      <alignment horizontal="center" vertical="center"/>
    </xf>
    <xf numFmtId="2" fontId="1" fillId="9" borderId="147" xfId="0" applyNumberFormat="1" applyFont="1" applyFill="1" applyBorder="1" applyAlignment="1">
      <alignment horizontal="center" vertical="center"/>
    </xf>
    <xf numFmtId="0" fontId="8" fillId="3" borderId="147" xfId="0" quotePrefix="1" applyFont="1" applyFill="1" applyBorder="1" applyAlignment="1">
      <alignment vertical="center"/>
    </xf>
    <xf numFmtId="171" fontId="8" fillId="3" borderId="95" xfId="0" applyNumberFormat="1" applyFont="1" applyFill="1" applyBorder="1" applyAlignment="1">
      <alignment vertical="center"/>
    </xf>
    <xf numFmtId="171" fontId="8" fillId="3" borderId="133" xfId="0" applyNumberFormat="1" applyFont="1" applyFill="1" applyBorder="1" applyAlignment="1">
      <alignment horizontal="left" vertical="center" indent="1"/>
    </xf>
    <xf numFmtId="0" fontId="1" fillId="26" borderId="0" xfId="0" applyFont="1" applyFill="1" applyBorder="1" applyAlignment="1">
      <alignment horizontal="center" textRotation="90"/>
    </xf>
    <xf numFmtId="0" fontId="8" fillId="3" borderId="147" xfId="0" applyFont="1" applyFill="1" applyBorder="1" applyAlignment="1">
      <alignment horizontal="left" vertical="center"/>
    </xf>
    <xf numFmtId="0" fontId="8" fillId="27" borderId="0" xfId="0" applyFont="1" applyFill="1"/>
    <xf numFmtId="0" fontId="31" fillId="0" borderId="0" xfId="0" applyFont="1" applyFill="1" applyBorder="1" applyAlignment="1"/>
    <xf numFmtId="3" fontId="1" fillId="0" borderId="147" xfId="0" quotePrefix="1" applyNumberFormat="1" applyFont="1" applyBorder="1" applyAlignment="1">
      <alignment horizontal="center" vertical="center"/>
    </xf>
    <xf numFmtId="3" fontId="10" fillId="3" borderId="95" xfId="1" applyNumberFormat="1" applyFont="1" applyFill="1" applyBorder="1" applyAlignment="1">
      <alignment horizontal="center" vertical="center"/>
    </xf>
    <xf numFmtId="0" fontId="20" fillId="2" borderId="0" xfId="0" applyFont="1" applyFill="1" applyBorder="1" applyAlignment="1">
      <alignment horizontal="right" vertical="center"/>
    </xf>
    <xf numFmtId="0" fontId="8" fillId="27" borderId="0" xfId="0" applyFont="1" applyFill="1" applyAlignment="1">
      <alignment horizontal="center" vertical="center"/>
    </xf>
    <xf numFmtId="0" fontId="83" fillId="0" borderId="0" xfId="0" applyFont="1" applyBorder="1" applyAlignment="1">
      <alignment vertical="top"/>
    </xf>
    <xf numFmtId="0" fontId="1" fillId="26" borderId="0" xfId="0" quotePrefix="1" applyFont="1" applyFill="1" applyBorder="1" applyAlignment="1">
      <alignment horizontal="right" textRotation="90"/>
    </xf>
    <xf numFmtId="0" fontId="1" fillId="26" borderId="0" xfId="0" quotePrefix="1" applyFont="1" applyFill="1" applyBorder="1" applyAlignment="1">
      <alignment horizontal="right" textRotation="90"/>
    </xf>
    <xf numFmtId="0" fontId="6" fillId="0" borderId="0" xfId="0" applyFont="1" applyBorder="1" applyAlignment="1">
      <alignment vertical="center"/>
    </xf>
    <xf numFmtId="0" fontId="1" fillId="26" borderId="0" xfId="0" quotePrefix="1" applyFont="1" applyFill="1" applyBorder="1" applyAlignment="1">
      <alignment textRotation="90"/>
    </xf>
    <xf numFmtId="174" fontId="8" fillId="26" borderId="0" xfId="0" applyNumberFormat="1" applyFont="1" applyFill="1" applyAlignment="1">
      <alignment horizontal="center" vertical="center"/>
    </xf>
    <xf numFmtId="10" fontId="44" fillId="3" borderId="113" xfId="0" applyNumberFormat="1" applyFont="1" applyFill="1" applyBorder="1" applyAlignment="1">
      <alignment horizontal="center" vertical="center"/>
    </xf>
    <xf numFmtId="9" fontId="8" fillId="26" borderId="0" xfId="0" applyNumberFormat="1" applyFont="1" applyFill="1" applyAlignment="1">
      <alignment horizontal="center" vertical="center"/>
    </xf>
    <xf numFmtId="0" fontId="77" fillId="0" borderId="0" xfId="0" applyFont="1" applyBorder="1" applyAlignment="1"/>
    <xf numFmtId="0" fontId="41" fillId="26" borderId="0" xfId="0" quotePrefix="1" applyFont="1" applyFill="1" applyBorder="1" applyAlignment="1">
      <alignment horizontal="center"/>
    </xf>
    <xf numFmtId="2" fontId="8" fillId="26" borderId="0" xfId="0" applyNumberFormat="1" applyFont="1" applyFill="1" applyAlignment="1">
      <alignment vertical="center"/>
    </xf>
    <xf numFmtId="2" fontId="44" fillId="0" borderId="95" xfId="0" applyNumberFormat="1" applyFont="1" applyFill="1" applyBorder="1" applyAlignment="1">
      <alignment horizontal="center" vertical="center"/>
    </xf>
    <xf numFmtId="0" fontId="23" fillId="0" borderId="0" xfId="0" applyFont="1" applyBorder="1" applyAlignment="1">
      <alignment vertical="center"/>
    </xf>
    <xf numFmtId="0" fontId="8" fillId="3" borderId="10" xfId="0" applyFont="1" applyFill="1" applyBorder="1" applyAlignment="1">
      <alignment vertical="center"/>
    </xf>
    <xf numFmtId="0" fontId="8" fillId="0" borderId="0" xfId="0" applyFont="1" applyAlignment="1">
      <alignment horizontal="center" vertical="center"/>
    </xf>
    <xf numFmtId="0" fontId="8" fillId="3" borderId="1" xfId="1" applyNumberFormat="1" applyFont="1" applyFill="1" applyBorder="1" applyAlignment="1">
      <alignment horizontal="center" vertical="center"/>
    </xf>
    <xf numFmtId="0" fontId="46" fillId="0" borderId="0" xfId="0" applyFont="1" applyAlignment="1">
      <alignment vertical="center"/>
    </xf>
    <xf numFmtId="2" fontId="8" fillId="3" borderId="147" xfId="0" quotePrefix="1" applyNumberFormat="1" applyFont="1" applyFill="1" applyBorder="1" applyAlignment="1">
      <alignment horizontal="center" vertical="center"/>
    </xf>
    <xf numFmtId="0" fontId="8" fillId="3" borderId="147" xfId="0" applyFont="1" applyFill="1" applyBorder="1" applyAlignment="1">
      <alignment horizontal="left" vertical="center" indent="1"/>
    </xf>
    <xf numFmtId="0" fontId="8" fillId="12" borderId="147" xfId="0" applyFont="1" applyFill="1" applyBorder="1" applyAlignment="1">
      <alignment horizontal="left" vertical="center" indent="1"/>
    </xf>
    <xf numFmtId="0" fontId="84" fillId="34" borderId="67" xfId="0" applyFont="1" applyFill="1" applyBorder="1" applyAlignment="1">
      <alignment horizontal="center" vertical="center"/>
    </xf>
    <xf numFmtId="0" fontId="84" fillId="34" borderId="163" xfId="0" applyFont="1" applyFill="1" applyBorder="1" applyAlignment="1">
      <alignment horizontal="center" vertical="center"/>
    </xf>
    <xf numFmtId="3" fontId="1" fillId="3" borderId="147" xfId="0" applyNumberFormat="1" applyFont="1" applyFill="1" applyBorder="1" applyAlignment="1">
      <alignment horizontal="center" vertical="center"/>
    </xf>
    <xf numFmtId="3" fontId="10" fillId="0" borderId="147" xfId="1" applyNumberFormat="1" applyFont="1" applyFill="1" applyBorder="1" applyAlignment="1">
      <alignment horizontal="center" vertical="center"/>
    </xf>
    <xf numFmtId="0" fontId="8" fillId="27" borderId="0" xfId="0" applyFont="1" applyFill="1" applyBorder="1" applyAlignment="1">
      <alignment horizontal="right" vertical="center"/>
    </xf>
    <xf numFmtId="0" fontId="41" fillId="3" borderId="162" xfId="0" applyNumberFormat="1" applyFont="1" applyFill="1" applyBorder="1" applyAlignment="1">
      <alignment horizontal="center" vertical="center"/>
    </xf>
    <xf numFmtId="0" fontId="41" fillId="3" borderId="88" xfId="0" applyNumberFormat="1" applyFont="1" applyFill="1" applyBorder="1" applyAlignment="1">
      <alignment horizontal="center" vertical="center"/>
    </xf>
    <xf numFmtId="0" fontId="8" fillId="26" borderId="0" xfId="0" applyFont="1" applyFill="1" applyAlignment="1">
      <alignment horizontal="left" vertical="center"/>
    </xf>
    <xf numFmtId="0" fontId="8" fillId="27" borderId="0" xfId="0" applyFont="1" applyFill="1" applyAlignment="1">
      <alignment horizontal="left" vertical="center"/>
    </xf>
    <xf numFmtId="0" fontId="32" fillId="22" borderId="0" xfId="0" applyFont="1" applyFill="1"/>
    <xf numFmtId="0" fontId="8" fillId="0" borderId="0" xfId="0" applyFont="1" applyAlignment="1">
      <alignment wrapText="1"/>
    </xf>
    <xf numFmtId="0" fontId="34" fillId="2" borderId="0" xfId="0" applyFont="1" applyFill="1" applyBorder="1" applyAlignment="1">
      <alignment horizontal="center"/>
    </xf>
    <xf numFmtId="0" fontId="1" fillId="3" borderId="0" xfId="0" applyFont="1" applyFill="1" applyBorder="1" applyAlignment="1">
      <alignment horizontal="center" vertical="center"/>
    </xf>
    <xf numFmtId="0" fontId="10" fillId="0" borderId="0" xfId="0" applyFont="1" applyFill="1" applyBorder="1" applyAlignment="1">
      <alignment horizontal="left" vertical="center" indent="1"/>
    </xf>
    <xf numFmtId="0" fontId="1" fillId="12" borderId="147" xfId="0" applyFont="1" applyFill="1" applyBorder="1" applyAlignment="1">
      <alignment horizontal="center" vertical="center"/>
    </xf>
    <xf numFmtId="0" fontId="89" fillId="35" borderId="84" xfId="0" applyFont="1" applyFill="1" applyBorder="1" applyAlignment="1">
      <alignment horizontal="center" vertical="top" shrinkToFit="1"/>
    </xf>
    <xf numFmtId="0" fontId="8" fillId="2" borderId="0" xfId="0" applyFont="1" applyFill="1" applyBorder="1" applyAlignment="1">
      <alignment horizontal="center"/>
    </xf>
    <xf numFmtId="9" fontId="8" fillId="0" borderId="185" xfId="1" applyFont="1" applyBorder="1" applyAlignment="1">
      <alignment vertical="center"/>
    </xf>
    <xf numFmtId="9" fontId="8" fillId="0" borderId="186" xfId="1" applyFont="1" applyBorder="1" applyAlignment="1">
      <alignment vertical="center"/>
    </xf>
    <xf numFmtId="3" fontId="56" fillId="14" borderId="187" xfId="0" applyNumberFormat="1" applyFont="1" applyFill="1" applyBorder="1" applyAlignment="1">
      <alignment horizontal="center" vertical="center" wrapText="1"/>
    </xf>
    <xf numFmtId="3" fontId="56" fillId="14" borderId="188" xfId="0" applyNumberFormat="1" applyFont="1" applyFill="1" applyBorder="1" applyAlignment="1">
      <alignment horizontal="center" vertical="center" wrapText="1"/>
    </xf>
    <xf numFmtId="3" fontId="22" fillId="14" borderId="188" xfId="0" applyNumberFormat="1" applyFont="1" applyFill="1" applyBorder="1" applyAlignment="1">
      <alignment horizontal="center" vertical="center" wrapText="1"/>
    </xf>
    <xf numFmtId="0" fontId="5" fillId="14" borderId="189" xfId="0" applyFont="1" applyFill="1" applyBorder="1"/>
    <xf numFmtId="3" fontId="24" fillId="14" borderId="190" xfId="0" quotePrefix="1" applyNumberFormat="1" applyFont="1" applyFill="1" applyBorder="1" applyAlignment="1">
      <alignment horizontal="center" textRotation="90" wrapText="1"/>
    </xf>
    <xf numFmtId="3" fontId="22" fillId="2" borderId="11" xfId="0" applyNumberFormat="1" applyFont="1" applyFill="1" applyBorder="1" applyAlignment="1">
      <alignment horizontal="center" vertical="center" wrapText="1"/>
    </xf>
    <xf numFmtId="0" fontId="5" fillId="2" borderId="11" xfId="0" applyFont="1" applyFill="1" applyBorder="1" applyAlignment="1">
      <alignment horizontal="center" vertical="center" wrapText="1"/>
    </xf>
    <xf numFmtId="0" fontId="22" fillId="2" borderId="11" xfId="0" applyFont="1" applyFill="1" applyBorder="1" applyAlignment="1">
      <alignment horizontal="center" vertical="center" wrapText="1"/>
    </xf>
    <xf numFmtId="3" fontId="24" fillId="14" borderId="193" xfId="0" applyNumberFormat="1" applyFont="1" applyFill="1" applyBorder="1" applyAlignment="1">
      <alignment horizontal="center" textRotation="90" wrapText="1"/>
    </xf>
    <xf numFmtId="0" fontId="8" fillId="2" borderId="0" xfId="0" applyFont="1" applyFill="1" applyBorder="1" applyAlignment="1">
      <alignment horizontal="center"/>
    </xf>
    <xf numFmtId="0" fontId="32" fillId="0" borderId="22" xfId="0" applyFont="1" applyBorder="1"/>
    <xf numFmtId="0" fontId="32" fillId="0" borderId="6" xfId="0" applyFont="1" applyBorder="1"/>
    <xf numFmtId="0" fontId="80" fillId="0" borderId="0" xfId="0" applyFont="1" applyBorder="1" applyAlignment="1">
      <alignment vertical="center"/>
    </xf>
    <xf numFmtId="0" fontId="1" fillId="0" borderId="0" xfId="0" applyFont="1" applyBorder="1" applyAlignment="1">
      <alignment vertical="center"/>
    </xf>
    <xf numFmtId="0" fontId="32" fillId="0" borderId="5" xfId="0" applyFont="1" applyBorder="1"/>
    <xf numFmtId="0" fontId="31" fillId="0" borderId="0" xfId="0" applyFont="1" applyBorder="1"/>
    <xf numFmtId="0" fontId="31" fillId="0" borderId="0" xfId="0" applyFont="1" applyBorder="1" applyAlignment="1">
      <alignment vertical="center"/>
    </xf>
    <xf numFmtId="0" fontId="1" fillId="0" borderId="0" xfId="0" applyFont="1" applyBorder="1" applyAlignment="1">
      <alignment horizontal="right" vertical="center"/>
    </xf>
    <xf numFmtId="0" fontId="32" fillId="0" borderId="0" xfId="0" applyFont="1" applyBorder="1" applyAlignment="1">
      <alignment horizontal="left" indent="1"/>
    </xf>
    <xf numFmtId="0" fontId="32" fillId="0" borderId="0" xfId="0" applyFont="1" applyFill="1" applyBorder="1" applyAlignment="1">
      <alignment horizontal="left" indent="1"/>
    </xf>
    <xf numFmtId="0" fontId="43" fillId="0" borderId="0" xfId="0" applyFont="1" applyBorder="1" applyAlignment="1">
      <alignment vertical="center"/>
    </xf>
    <xf numFmtId="0" fontId="8" fillId="0" borderId="0" xfId="0" applyFont="1" applyBorder="1" applyAlignment="1">
      <alignment vertical="center"/>
    </xf>
    <xf numFmtId="0" fontId="10" fillId="0" borderId="0" xfId="0" applyFont="1" applyBorder="1" applyAlignment="1">
      <alignment vertical="center"/>
    </xf>
    <xf numFmtId="0" fontId="8" fillId="0" borderId="0" xfId="0" applyFont="1" applyBorder="1" applyAlignment="1">
      <alignment horizontal="right" vertical="center"/>
    </xf>
    <xf numFmtId="0" fontId="32" fillId="0" borderId="0" xfId="0" applyFont="1" applyBorder="1" applyAlignment="1">
      <alignment vertical="center"/>
    </xf>
    <xf numFmtId="0" fontId="8" fillId="0" borderId="0" xfId="0" applyFont="1" applyBorder="1" applyAlignment="1">
      <alignment horizontal="center" vertical="center"/>
    </xf>
    <xf numFmtId="0" fontId="1" fillId="0" borderId="0" xfId="0" applyFont="1" applyBorder="1"/>
    <xf numFmtId="0" fontId="34" fillId="0" borderId="0" xfId="0" applyFont="1" applyBorder="1" applyAlignment="1">
      <alignment horizontal="left"/>
    </xf>
    <xf numFmtId="0" fontId="8" fillId="0" borderId="0" xfId="0" applyFont="1" applyBorder="1"/>
    <xf numFmtId="10" fontId="1" fillId="9" borderId="147" xfId="1" applyNumberFormat="1" applyFont="1" applyFill="1" applyBorder="1" applyAlignment="1">
      <alignment horizontal="center" vertical="center"/>
    </xf>
    <xf numFmtId="0" fontId="51" fillId="0" borderId="0" xfId="0" applyFont="1" applyBorder="1" applyAlignment="1">
      <alignment vertical="center"/>
    </xf>
    <xf numFmtId="0" fontId="32" fillId="0" borderId="0" xfId="0" applyFont="1" applyBorder="1" applyAlignment="1"/>
    <xf numFmtId="0" fontId="1" fillId="0" borderId="0" xfId="0" applyFont="1" applyBorder="1" applyAlignment="1">
      <alignment horizontal="center"/>
    </xf>
    <xf numFmtId="0" fontId="16" fillId="3" borderId="0" xfId="0" applyFont="1" applyFill="1" applyBorder="1" applyAlignment="1">
      <alignment horizontal="center" vertical="center"/>
    </xf>
    <xf numFmtId="0" fontId="87" fillId="3" borderId="0" xfId="0" applyFont="1" applyFill="1" applyBorder="1"/>
    <xf numFmtId="10" fontId="44" fillId="3" borderId="0" xfId="0" applyNumberFormat="1" applyFont="1" applyFill="1" applyBorder="1" applyAlignment="1">
      <alignment horizontal="center" vertical="center"/>
    </xf>
    <xf numFmtId="0" fontId="6" fillId="0" borderId="0" xfId="0" applyFont="1" applyBorder="1" applyAlignment="1">
      <alignment wrapText="1"/>
    </xf>
    <xf numFmtId="0" fontId="6" fillId="0" borderId="0" xfId="0" applyFont="1" applyBorder="1"/>
    <xf numFmtId="0" fontId="6" fillId="0" borderId="0" xfId="0" applyFont="1" applyBorder="1" applyAlignment="1">
      <alignment horizontal="left" indent="1"/>
    </xf>
    <xf numFmtId="0" fontId="33" fillId="12" borderId="147" xfId="0" applyFont="1" applyFill="1" applyBorder="1" applyAlignment="1">
      <alignment horizontal="center" vertical="center"/>
    </xf>
    <xf numFmtId="0" fontId="32" fillId="0" borderId="23" xfId="0" applyFont="1" applyBorder="1"/>
    <xf numFmtId="0" fontId="32" fillId="0" borderId="25" xfId="0" applyFont="1" applyBorder="1"/>
    <xf numFmtId="0" fontId="8" fillId="3" borderId="12" xfId="0" applyFont="1" applyFill="1" applyBorder="1" applyAlignment="1">
      <alignment horizontal="center" vertical="center"/>
    </xf>
    <xf numFmtId="9" fontId="8" fillId="0" borderId="198" xfId="1" applyFont="1" applyBorder="1" applyAlignment="1">
      <alignment vertical="center"/>
    </xf>
    <xf numFmtId="9" fontId="8" fillId="0" borderId="202" xfId="1" applyFont="1" applyBorder="1" applyAlignment="1">
      <alignment vertical="center"/>
    </xf>
    <xf numFmtId="171" fontId="1" fillId="2" borderId="0" xfId="0" applyNumberFormat="1" applyFont="1" applyFill="1" applyBorder="1" applyAlignment="1">
      <alignment horizontal="left" vertical="center" indent="1"/>
    </xf>
    <xf numFmtId="3" fontId="10" fillId="0" borderId="95" xfId="0" applyNumberFormat="1" applyFont="1" applyBorder="1" applyAlignment="1">
      <alignment horizontal="right" vertical="center" indent="1"/>
    </xf>
    <xf numFmtId="3" fontId="10" fillId="0" borderId="132" xfId="0" applyNumberFormat="1" applyFont="1" applyBorder="1" applyAlignment="1">
      <alignment horizontal="right" vertical="center" indent="1"/>
    </xf>
    <xf numFmtId="177" fontId="10" fillId="0" borderId="95" xfId="0" applyNumberFormat="1" applyFont="1" applyBorder="1" applyAlignment="1">
      <alignment horizontal="right" vertical="center" indent="1"/>
    </xf>
    <xf numFmtId="0" fontId="10" fillId="2" borderId="0" xfId="0" applyFont="1" applyFill="1" applyBorder="1" applyAlignment="1">
      <alignment horizontal="right" vertical="center" indent="1"/>
    </xf>
    <xf numFmtId="3" fontId="10" fillId="0" borderId="197" xfId="0" applyNumberFormat="1" applyFont="1" applyBorder="1" applyAlignment="1">
      <alignment horizontal="right" vertical="center" indent="1"/>
    </xf>
    <xf numFmtId="3" fontId="10" fillId="0" borderId="165" xfId="0" applyNumberFormat="1" applyFont="1" applyBorder="1" applyAlignment="1">
      <alignment horizontal="right" vertical="center" indent="1"/>
    </xf>
    <xf numFmtId="3" fontId="10" fillId="0" borderId="166" xfId="0" applyNumberFormat="1" applyFont="1" applyBorder="1" applyAlignment="1">
      <alignment horizontal="right" vertical="center" indent="1"/>
    </xf>
    <xf numFmtId="3" fontId="10" fillId="0" borderId="201" xfId="0" applyNumberFormat="1" applyFont="1" applyBorder="1" applyAlignment="1">
      <alignment horizontal="right" vertical="center" indent="1"/>
    </xf>
    <xf numFmtId="3" fontId="6" fillId="0" borderId="27" xfId="0" applyNumberFormat="1" applyFont="1" applyBorder="1" applyAlignment="1">
      <alignment horizontal="right" vertical="center" indent="1"/>
    </xf>
    <xf numFmtId="3" fontId="1" fillId="0" borderId="9" xfId="0" applyNumberFormat="1" applyFont="1" applyBorder="1" applyAlignment="1">
      <alignment horizontal="right" vertical="center" indent="1"/>
    </xf>
    <xf numFmtId="0" fontId="32" fillId="2" borderId="0" xfId="0" applyFont="1" applyFill="1" applyBorder="1" applyAlignment="1">
      <alignment horizontal="right" indent="1"/>
    </xf>
    <xf numFmtId="3" fontId="1" fillId="0" borderId="147" xfId="0" applyNumberFormat="1" applyFont="1" applyBorder="1" applyAlignment="1">
      <alignment horizontal="right" vertical="center" indent="1"/>
    </xf>
    <xf numFmtId="0" fontId="17" fillId="2" borderId="5" xfId="0" applyFont="1" applyFill="1" applyBorder="1" applyAlignment="1">
      <alignment horizontal="right" vertical="center"/>
    </xf>
    <xf numFmtId="9" fontId="1" fillId="0" borderId="0" xfId="1" applyFont="1" applyBorder="1" applyAlignment="1">
      <alignment horizontal="center" vertical="center"/>
    </xf>
    <xf numFmtId="0" fontId="31" fillId="0" borderId="0" xfId="0" applyFont="1" applyAlignment="1">
      <alignment horizontal="left" vertical="center"/>
    </xf>
    <xf numFmtId="3" fontId="24" fillId="14" borderId="188" xfId="0" applyNumberFormat="1" applyFont="1" applyFill="1" applyBorder="1" applyAlignment="1">
      <alignment horizontal="center" vertical="center"/>
    </xf>
    <xf numFmtId="0" fontId="91" fillId="0" borderId="0" xfId="0" applyFont="1"/>
    <xf numFmtId="0" fontId="8" fillId="12" borderId="95" xfId="0" applyFont="1" applyFill="1" applyBorder="1" applyAlignment="1">
      <alignment horizontal="left" vertical="center"/>
    </xf>
    <xf numFmtId="0" fontId="1" fillId="26" borderId="0" xfId="0" applyFont="1" applyFill="1" applyBorder="1" applyAlignment="1">
      <alignment horizontal="center" textRotation="90"/>
    </xf>
    <xf numFmtId="3" fontId="10" fillId="0" borderId="132" xfId="0" applyNumberFormat="1" applyFont="1" applyBorder="1" applyAlignment="1">
      <alignment horizontal="right" vertical="center" indent="1"/>
    </xf>
    <xf numFmtId="0" fontId="33" fillId="0" borderId="214" xfId="0" applyFont="1" applyFill="1" applyBorder="1" applyAlignment="1" applyProtection="1">
      <alignment horizontal="left" vertical="center" indent="1"/>
      <protection locked="0"/>
    </xf>
    <xf numFmtId="0" fontId="8" fillId="0" borderId="66" xfId="0" applyFont="1" applyFill="1" applyBorder="1" applyAlignment="1" applyProtection="1">
      <alignment horizontal="left" vertical="center" indent="1"/>
      <protection locked="0"/>
    </xf>
    <xf numFmtId="0" fontId="8" fillId="0" borderId="135" xfId="0" applyFont="1" applyFill="1" applyBorder="1" applyAlignment="1" applyProtection="1">
      <alignment horizontal="left" vertical="center" indent="1"/>
      <protection locked="0"/>
    </xf>
    <xf numFmtId="0" fontId="8" fillId="0" borderId="136" xfId="0" applyFont="1" applyFill="1" applyBorder="1" applyAlignment="1" applyProtection="1">
      <alignment horizontal="left" vertical="center" indent="1"/>
      <protection locked="0"/>
    </xf>
    <xf numFmtId="0" fontId="8" fillId="0" borderId="217" xfId="0" applyFont="1" applyBorder="1" applyAlignment="1">
      <alignment horizontal="center" vertical="center" wrapText="1"/>
    </xf>
    <xf numFmtId="0" fontId="8" fillId="0" borderId="218" xfId="0" applyFont="1" applyBorder="1" applyAlignment="1">
      <alignment horizontal="center" vertical="center" wrapText="1"/>
    </xf>
    <xf numFmtId="0" fontId="81" fillId="0" borderId="39" xfId="0" applyFont="1" applyFill="1" applyBorder="1" applyAlignment="1">
      <alignment horizontal="center" vertical="center" readingOrder="1"/>
    </xf>
    <xf numFmtId="0" fontId="81" fillId="0" borderId="41" xfId="0" applyFont="1" applyFill="1" applyBorder="1" applyAlignment="1">
      <alignment horizontal="left" vertical="center" readingOrder="1"/>
    </xf>
    <xf numFmtId="0" fontId="8" fillId="0" borderId="39" xfId="0" applyFont="1" applyFill="1" applyBorder="1" applyAlignment="1">
      <alignment horizontal="center" vertical="center" readingOrder="1"/>
    </xf>
    <xf numFmtId="0" fontId="43" fillId="0" borderId="0" xfId="0" applyFont="1" applyAlignment="1">
      <alignment horizontal="left" vertical="center"/>
    </xf>
    <xf numFmtId="0" fontId="81" fillId="0" borderId="63" xfId="0" applyFont="1" applyFill="1" applyBorder="1" applyAlignment="1">
      <alignment horizontal="center" vertical="center" readingOrder="1"/>
    </xf>
    <xf numFmtId="0" fontId="81" fillId="0" borderId="220" xfId="0" applyFont="1" applyFill="1" applyBorder="1" applyAlignment="1">
      <alignment horizontal="left" vertical="center" readingOrder="1"/>
    </xf>
    <xf numFmtId="0" fontId="8" fillId="3" borderId="12" xfId="0" applyFont="1" applyFill="1" applyBorder="1" applyAlignment="1">
      <alignment vertical="center"/>
    </xf>
    <xf numFmtId="0" fontId="8" fillId="0" borderId="147" xfId="0" applyFont="1" applyFill="1" applyBorder="1"/>
    <xf numFmtId="0" fontId="8" fillId="0" borderId="147" xfId="0" applyFont="1" applyFill="1" applyBorder="1" applyAlignment="1">
      <alignment horizontal="center" vertical="center"/>
    </xf>
    <xf numFmtId="0" fontId="1" fillId="26" borderId="0" xfId="0" applyFont="1" applyFill="1" applyBorder="1" applyAlignment="1"/>
    <xf numFmtId="0" fontId="8" fillId="3" borderId="221" xfId="0" applyFont="1" applyFill="1" applyBorder="1" applyAlignment="1">
      <alignment horizontal="left" vertical="center"/>
    </xf>
    <xf numFmtId="0" fontId="32" fillId="26" borderId="0" xfId="0" applyFont="1" applyFill="1" applyAlignment="1">
      <alignment horizontal="center"/>
    </xf>
    <xf numFmtId="0" fontId="8" fillId="0" borderId="0" xfId="0" applyFont="1" applyBorder="1" applyAlignment="1">
      <alignment vertical="center" wrapText="1"/>
    </xf>
    <xf numFmtId="0" fontId="34" fillId="0" borderId="0" xfId="0" applyFont="1" applyBorder="1" applyAlignment="1">
      <alignment horizontal="left" vertical="center"/>
    </xf>
    <xf numFmtId="10" fontId="10" fillId="9" borderId="95" xfId="1" applyNumberFormat="1" applyFont="1" applyFill="1" applyBorder="1" applyAlignment="1">
      <alignment horizontal="center" vertical="center"/>
    </xf>
    <xf numFmtId="0" fontId="32" fillId="12" borderId="95" xfId="0" applyFont="1" applyFill="1" applyBorder="1"/>
    <xf numFmtId="0" fontId="8" fillId="12" borderId="223" xfId="0" applyFont="1" applyFill="1" applyBorder="1" applyAlignment="1">
      <alignment horizontal="left" vertical="center"/>
    </xf>
    <xf numFmtId="0" fontId="8" fillId="12" borderId="223" xfId="0" applyFont="1" applyFill="1" applyBorder="1" applyAlignment="1">
      <alignment horizontal="center" vertical="center"/>
    </xf>
    <xf numFmtId="0" fontId="10" fillId="12" borderId="223" xfId="0" applyFont="1" applyFill="1" applyBorder="1" applyAlignment="1">
      <alignment vertical="center"/>
    </xf>
    <xf numFmtId="0" fontId="67" fillId="22" borderId="224" xfId="0" applyFont="1" applyFill="1" applyBorder="1" applyAlignment="1">
      <alignment vertical="center"/>
    </xf>
    <xf numFmtId="0" fontId="32" fillId="22" borderId="225" xfId="0" applyFont="1" applyFill="1" applyBorder="1"/>
    <xf numFmtId="0" fontId="64" fillId="22" borderId="225" xfId="0" applyFont="1" applyFill="1" applyBorder="1" applyAlignment="1">
      <alignment horizontal="left" vertical="top"/>
    </xf>
    <xf numFmtId="0" fontId="32" fillId="22" borderId="226" xfId="0" applyFont="1" applyFill="1" applyBorder="1"/>
    <xf numFmtId="10" fontId="8" fillId="3" borderId="1" xfId="1" applyNumberFormat="1" applyFont="1" applyFill="1" applyBorder="1" applyAlignment="1">
      <alignment horizontal="center" vertical="center"/>
    </xf>
    <xf numFmtId="0" fontId="1" fillId="0" borderId="0" xfId="0" applyFont="1" applyBorder="1" applyAlignment="1"/>
    <xf numFmtId="174" fontId="8" fillId="3" borderId="1" xfId="1" applyNumberFormat="1" applyFont="1" applyFill="1" applyBorder="1" applyAlignment="1">
      <alignment horizontal="center" vertical="center"/>
    </xf>
    <xf numFmtId="0" fontId="8" fillId="9" borderId="147" xfId="0" applyFont="1" applyFill="1" applyBorder="1" applyAlignment="1">
      <alignment horizontal="center" vertical="center"/>
    </xf>
    <xf numFmtId="0" fontId="67" fillId="22" borderId="226" xfId="0" applyFont="1" applyFill="1" applyBorder="1" applyAlignment="1">
      <alignment vertical="center"/>
    </xf>
    <xf numFmtId="0" fontId="67" fillId="22" borderId="225" xfId="0" applyFont="1" applyFill="1" applyBorder="1" applyAlignment="1">
      <alignment vertical="center"/>
    </xf>
    <xf numFmtId="0" fontId="8" fillId="0" borderId="88"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137" xfId="0" applyFont="1" applyFill="1" applyBorder="1" applyAlignment="1">
      <alignment horizontal="center" vertical="center"/>
    </xf>
    <xf numFmtId="0" fontId="43" fillId="0" borderId="0" xfId="0" applyFont="1" applyAlignment="1">
      <alignment horizontal="center" vertical="center"/>
    </xf>
    <xf numFmtId="0" fontId="1" fillId="0" borderId="0" xfId="0" applyFont="1" applyAlignment="1">
      <alignment horizontal="center"/>
    </xf>
    <xf numFmtId="0" fontId="6" fillId="0" borderId="0" xfId="0" applyFont="1" applyBorder="1" applyAlignment="1"/>
    <xf numFmtId="0" fontId="43" fillId="0" borderId="0" xfId="0" applyFont="1" applyAlignment="1">
      <alignment vertical="top" wrapText="1"/>
    </xf>
    <xf numFmtId="0" fontId="1" fillId="26" borderId="0" xfId="0" applyFont="1" applyFill="1" applyAlignment="1">
      <alignment vertical="center"/>
    </xf>
    <xf numFmtId="0" fontId="8" fillId="0" borderId="0" xfId="0" applyFont="1" applyBorder="1" applyAlignment="1">
      <alignment horizontal="left"/>
    </xf>
    <xf numFmtId="0" fontId="10" fillId="12" borderId="147" xfId="0" applyFont="1" applyFill="1" applyBorder="1" applyAlignment="1">
      <alignment horizontal="left" vertical="center"/>
    </xf>
    <xf numFmtId="0" fontId="30" fillId="12" borderId="147" xfId="0" applyFont="1" applyFill="1" applyBorder="1" applyAlignment="1">
      <alignment horizontal="left" vertical="center"/>
    </xf>
    <xf numFmtId="0" fontId="88" fillId="0" borderId="0" xfId="0" applyFont="1" applyBorder="1" applyAlignment="1"/>
    <xf numFmtId="0" fontId="8" fillId="0" borderId="0" xfId="0" applyFont="1"/>
    <xf numFmtId="178" fontId="44" fillId="0" borderId="95" xfId="0" applyNumberFormat="1" applyFont="1" applyFill="1" applyBorder="1" applyAlignment="1">
      <alignment horizontal="center" vertical="center"/>
    </xf>
    <xf numFmtId="9" fontId="8" fillId="3" borderId="147" xfId="1" applyFont="1" applyFill="1" applyBorder="1" applyAlignment="1">
      <alignment horizontal="center" vertical="center"/>
    </xf>
    <xf numFmtId="3" fontId="10" fillId="3" borderId="147" xfId="0" applyNumberFormat="1" applyFont="1" applyFill="1" applyBorder="1" applyAlignment="1">
      <alignment horizontal="center" vertical="center"/>
    </xf>
    <xf numFmtId="0" fontId="10" fillId="3" borderId="147" xfId="0" applyFont="1" applyFill="1" applyBorder="1" applyAlignment="1">
      <alignment horizontal="center" vertical="center"/>
    </xf>
    <xf numFmtId="0" fontId="56" fillId="0" borderId="0" xfId="0" applyFont="1" applyAlignment="1">
      <alignment vertical="center"/>
    </xf>
    <xf numFmtId="0" fontId="8" fillId="0" borderId="0" xfId="0" quotePrefix="1" applyFont="1" applyAlignment="1">
      <alignment vertical="center"/>
    </xf>
    <xf numFmtId="0" fontId="8" fillId="0" borderId="229" xfId="0" applyFont="1" applyBorder="1" applyAlignment="1">
      <alignment horizontal="center" vertical="center" wrapText="1"/>
    </xf>
    <xf numFmtId="0" fontId="8" fillId="0" borderId="230" xfId="0" applyFont="1" applyBorder="1" applyAlignment="1">
      <alignment horizontal="center" vertical="center" wrapText="1"/>
    </xf>
    <xf numFmtId="0" fontId="1" fillId="0" borderId="216" xfId="0" applyFont="1" applyBorder="1" applyAlignment="1">
      <alignment horizontal="left" vertical="center" indent="1"/>
    </xf>
    <xf numFmtId="0" fontId="51" fillId="0" borderId="0" xfId="0" applyFont="1" applyFill="1" applyBorder="1" applyAlignment="1">
      <alignment vertical="center"/>
    </xf>
    <xf numFmtId="0" fontId="17" fillId="2" borderId="0" xfId="0" applyFont="1" applyFill="1" applyBorder="1" applyAlignment="1">
      <alignment horizontal="center"/>
    </xf>
    <xf numFmtId="0" fontId="32" fillId="3" borderId="134" xfId="0" applyFont="1" applyFill="1" applyBorder="1"/>
    <xf numFmtId="0" fontId="8" fillId="3" borderId="133" xfId="0" applyFont="1" applyFill="1" applyBorder="1" applyAlignment="1">
      <alignment horizontal="right" vertical="center"/>
    </xf>
    <xf numFmtId="173" fontId="10" fillId="3" borderId="132" xfId="1" applyNumberFormat="1" applyFont="1" applyFill="1" applyBorder="1" applyAlignment="1">
      <alignment horizontal="left" vertical="center"/>
    </xf>
    <xf numFmtId="0" fontId="85" fillId="2" borderId="0" xfId="0" applyFont="1" applyFill="1" applyBorder="1" applyAlignment="1">
      <alignment horizontal="right" vertical="center"/>
    </xf>
    <xf numFmtId="0" fontId="8" fillId="26" borderId="0" xfId="0" applyFont="1" applyFill="1" applyBorder="1" applyAlignment="1">
      <alignment horizontal="center" vertical="center" wrapText="1"/>
    </xf>
    <xf numFmtId="171" fontId="8" fillId="3" borderId="147" xfId="0" applyNumberFormat="1" applyFont="1" applyFill="1" applyBorder="1" applyAlignment="1">
      <alignment vertical="center"/>
    </xf>
    <xf numFmtId="0" fontId="30" fillId="12" borderId="139" xfId="0" applyFont="1" applyFill="1" applyBorder="1" applyAlignment="1">
      <alignment horizontal="center" vertical="center"/>
    </xf>
    <xf numFmtId="0" fontId="30" fillId="12" borderId="141" xfId="0" applyFont="1" applyFill="1" applyBorder="1" applyAlignment="1">
      <alignment horizontal="center" vertical="center"/>
    </xf>
    <xf numFmtId="0" fontId="30" fillId="12" borderId="143" xfId="0" applyFont="1" applyFill="1" applyBorder="1" applyAlignment="1">
      <alignment horizontal="center" vertical="center"/>
    </xf>
    <xf numFmtId="0" fontId="57" fillId="0" borderId="0" xfId="0" applyFont="1" applyBorder="1" applyAlignment="1">
      <alignment horizontal="left" vertical="center"/>
    </xf>
    <xf numFmtId="0" fontId="1" fillId="26" borderId="0" xfId="0" applyFont="1" applyFill="1" applyBorder="1" applyAlignment="1">
      <alignment horizontal="center" textRotation="90"/>
    </xf>
    <xf numFmtId="0" fontId="57" fillId="0" borderId="0" xfId="0" applyFont="1" applyBorder="1" applyAlignment="1">
      <alignment horizontal="left" vertical="center"/>
    </xf>
    <xf numFmtId="0" fontId="41" fillId="0" borderId="235" xfId="0" applyFont="1" applyFill="1" applyBorder="1" applyAlignment="1">
      <alignment horizontal="center" vertical="center"/>
    </xf>
    <xf numFmtId="0" fontId="41" fillId="0" borderId="51" xfId="0" applyFont="1" applyFill="1" applyBorder="1" applyAlignment="1">
      <alignment horizontal="center" vertical="center"/>
    </xf>
    <xf numFmtId="0" fontId="41" fillId="0" borderId="236" xfId="0" applyFont="1" applyFill="1" applyBorder="1" applyAlignment="1">
      <alignment horizontal="center" vertical="center"/>
    </xf>
    <xf numFmtId="0" fontId="41" fillId="0" borderId="0" xfId="0" applyFont="1" applyBorder="1" applyAlignment="1">
      <alignment vertical="center"/>
    </xf>
    <xf numFmtId="0" fontId="41" fillId="0" borderId="245" xfId="0" applyFont="1" applyFill="1" applyBorder="1" applyAlignment="1">
      <alignment horizontal="center" vertical="center"/>
    </xf>
    <xf numFmtId="0" fontId="41" fillId="0" borderId="90" xfId="0" applyFont="1" applyFill="1" applyBorder="1" applyAlignment="1">
      <alignment horizontal="center" vertical="center"/>
    </xf>
    <xf numFmtId="0" fontId="5" fillId="14" borderId="190" xfId="0" applyFont="1" applyFill="1" applyBorder="1"/>
    <xf numFmtId="3" fontId="24" fillId="14" borderId="190" xfId="0" applyNumberFormat="1" applyFont="1" applyFill="1" applyBorder="1" applyAlignment="1">
      <alignment horizontal="center" vertical="center"/>
    </xf>
    <xf numFmtId="0" fontId="95" fillId="14" borderId="0" xfId="0" applyFont="1" applyFill="1" applyAlignment="1">
      <alignment horizontal="center" textRotation="90"/>
    </xf>
    <xf numFmtId="0" fontId="5" fillId="22" borderId="7" xfId="0" applyFont="1" applyFill="1" applyBorder="1"/>
    <xf numFmtId="0" fontId="5" fillId="22" borderId="16" xfId="0" applyFont="1" applyFill="1" applyBorder="1"/>
    <xf numFmtId="0" fontId="41" fillId="12" borderId="250" xfId="0" applyFont="1" applyFill="1" applyBorder="1" applyAlignment="1">
      <alignment horizontal="center" vertical="center"/>
    </xf>
    <xf numFmtId="0" fontId="41" fillId="12" borderId="251" xfId="0" applyFont="1" applyFill="1" applyBorder="1" applyAlignment="1">
      <alignment horizontal="center" vertical="center"/>
    </xf>
    <xf numFmtId="0" fontId="41" fillId="12" borderId="252" xfId="0" applyFont="1" applyFill="1" applyBorder="1" applyAlignment="1">
      <alignment horizontal="center" vertical="center"/>
    </xf>
    <xf numFmtId="0" fontId="5" fillId="22" borderId="7" xfId="0" applyFont="1" applyFill="1" applyBorder="1" applyAlignment="1">
      <alignment vertical="center"/>
    </xf>
    <xf numFmtId="0" fontId="5" fillId="22" borderId="16" xfId="0" applyFont="1" applyFill="1" applyBorder="1" applyAlignment="1">
      <alignment vertical="center"/>
    </xf>
    <xf numFmtId="0" fontId="5" fillId="22" borderId="12" xfId="0" applyFont="1" applyFill="1" applyBorder="1" applyAlignment="1">
      <alignment vertical="center"/>
    </xf>
    <xf numFmtId="0" fontId="5" fillId="22" borderId="12" xfId="0" applyFont="1" applyFill="1" applyBorder="1"/>
    <xf numFmtId="2" fontId="55" fillId="14" borderId="71" xfId="1" quotePrefix="1" applyNumberFormat="1" applyFont="1" applyFill="1" applyBorder="1" applyAlignment="1">
      <alignment horizontal="center" vertical="center"/>
    </xf>
    <xf numFmtId="2" fontId="55" fillId="14" borderId="3" xfId="1" applyNumberFormat="1" applyFont="1" applyFill="1" applyBorder="1" applyAlignment="1">
      <alignment horizontal="center" vertical="center"/>
    </xf>
    <xf numFmtId="2" fontId="55" fillId="14" borderId="32" xfId="1" applyNumberFormat="1" applyFont="1" applyFill="1" applyBorder="1" applyAlignment="1">
      <alignment horizontal="center" vertical="center"/>
    </xf>
    <xf numFmtId="0" fontId="70" fillId="3" borderId="0" xfId="0" applyFont="1" applyFill="1" applyBorder="1" applyAlignment="1">
      <alignment vertical="center" wrapText="1"/>
    </xf>
    <xf numFmtId="0" fontId="8" fillId="3" borderId="1" xfId="0" applyFont="1" applyFill="1" applyBorder="1" applyAlignment="1">
      <alignment vertical="center" wrapText="1"/>
    </xf>
    <xf numFmtId="0" fontId="8" fillId="3" borderId="12" xfId="0" applyFont="1" applyFill="1" applyBorder="1" applyAlignment="1">
      <alignment vertical="center" wrapText="1"/>
    </xf>
    <xf numFmtId="0" fontId="8" fillId="3" borderId="12" xfId="0" quotePrefix="1" applyFont="1" applyFill="1" applyBorder="1" applyAlignment="1">
      <alignment vertical="center" wrapText="1"/>
    </xf>
    <xf numFmtId="0" fontId="4" fillId="3" borderId="0" xfId="0" applyFont="1" applyFill="1" applyBorder="1" applyAlignment="1">
      <alignment vertical="center" wrapText="1"/>
    </xf>
    <xf numFmtId="0" fontId="1" fillId="3" borderId="0" xfId="0" quotePrefix="1" applyFont="1" applyFill="1"/>
    <xf numFmtId="0" fontId="40" fillId="3" borderId="0" xfId="0" applyFont="1" applyFill="1" applyAlignment="1">
      <alignment horizontal="left" vertical="center"/>
    </xf>
    <xf numFmtId="0" fontId="40" fillId="3" borderId="0" xfId="0" applyFont="1" applyFill="1" applyAlignment="1">
      <alignment horizontal="left" vertical="top"/>
    </xf>
    <xf numFmtId="3" fontId="10" fillId="3" borderId="10" xfId="0" applyNumberFormat="1" applyFont="1" applyFill="1" applyBorder="1" applyAlignment="1">
      <alignment horizontal="right" vertical="center" indent="1"/>
    </xf>
    <xf numFmtId="3" fontId="10" fillId="3" borderId="25" xfId="0" applyNumberFormat="1" applyFont="1" applyFill="1" applyBorder="1" applyAlignment="1">
      <alignment horizontal="right" vertical="center" indent="1"/>
    </xf>
    <xf numFmtId="3" fontId="10" fillId="3" borderId="147" xfId="0" applyNumberFormat="1" applyFont="1" applyFill="1" applyBorder="1" applyAlignment="1">
      <alignment horizontal="right" vertical="center" indent="1"/>
    </xf>
    <xf numFmtId="3" fontId="10" fillId="22" borderId="21" xfId="0" applyNumberFormat="1" applyFont="1" applyFill="1" applyBorder="1" applyAlignment="1">
      <alignment horizontal="right" vertical="center" indent="1"/>
    </xf>
    <xf numFmtId="3" fontId="10" fillId="3" borderId="12" xfId="0" applyNumberFormat="1" applyFont="1" applyFill="1" applyBorder="1" applyAlignment="1">
      <alignment horizontal="right" vertical="center" indent="1"/>
    </xf>
    <xf numFmtId="3" fontId="10" fillId="3" borderId="21" xfId="0" applyNumberFormat="1" applyFont="1" applyFill="1" applyBorder="1" applyAlignment="1">
      <alignment horizontal="right" vertical="center" indent="1"/>
    </xf>
    <xf numFmtId="3" fontId="10" fillId="3" borderId="231" xfId="0" applyNumberFormat="1" applyFont="1" applyFill="1" applyBorder="1" applyAlignment="1">
      <alignment horizontal="right" vertical="center" indent="1"/>
    </xf>
    <xf numFmtId="3" fontId="10" fillId="22" borderId="233" xfId="0" applyNumberFormat="1" applyFont="1" applyFill="1" applyBorder="1" applyAlignment="1">
      <alignment horizontal="right" vertical="center" indent="1"/>
    </xf>
    <xf numFmtId="3" fontId="10" fillId="3" borderId="234" xfId="0" applyNumberFormat="1" applyFont="1" applyFill="1" applyBorder="1" applyAlignment="1">
      <alignment horizontal="right" vertical="center" indent="1"/>
    </xf>
    <xf numFmtId="3" fontId="10" fillId="22" borderId="12" xfId="0" applyNumberFormat="1" applyFont="1" applyFill="1" applyBorder="1" applyAlignment="1">
      <alignment horizontal="right" vertical="center" indent="1"/>
    </xf>
    <xf numFmtId="3" fontId="10" fillId="22" borderId="234" xfId="0" applyNumberFormat="1" applyFont="1" applyFill="1" applyBorder="1" applyAlignment="1">
      <alignment horizontal="right" vertical="center" indent="1"/>
    </xf>
    <xf numFmtId="3" fontId="10" fillId="22" borderId="228" xfId="0" applyNumberFormat="1" applyFont="1" applyFill="1" applyBorder="1" applyAlignment="1">
      <alignment horizontal="right" vertical="center" indent="1"/>
    </xf>
    <xf numFmtId="3" fontId="10" fillId="22" borderId="259" xfId="0" applyNumberFormat="1" applyFont="1" applyFill="1" applyBorder="1" applyAlignment="1">
      <alignment horizontal="right" vertical="center" indent="1"/>
    </xf>
    <xf numFmtId="3" fontId="10" fillId="3" borderId="260" xfId="0" applyNumberFormat="1" applyFont="1" applyFill="1" applyBorder="1" applyAlignment="1">
      <alignment horizontal="right" vertical="center" indent="1"/>
    </xf>
    <xf numFmtId="3" fontId="10" fillId="3" borderId="228" xfId="0" applyNumberFormat="1" applyFont="1" applyFill="1" applyBorder="1" applyAlignment="1">
      <alignment horizontal="right" vertical="center" indent="1"/>
    </xf>
    <xf numFmtId="0" fontId="8" fillId="3" borderId="0" xfId="0" applyFont="1" applyFill="1" applyBorder="1" applyAlignment="1">
      <alignment horizontal="center" textRotation="90"/>
    </xf>
    <xf numFmtId="0" fontId="57" fillId="0" borderId="0" xfId="0" applyFont="1" applyBorder="1" applyAlignment="1">
      <alignment vertical="center"/>
    </xf>
    <xf numFmtId="0" fontId="43" fillId="0" borderId="0" xfId="0" applyFont="1" applyAlignment="1">
      <alignment horizontal="right" vertical="center" indent="1"/>
    </xf>
    <xf numFmtId="0" fontId="6" fillId="0" borderId="0" xfId="0" applyFont="1" applyAlignment="1"/>
    <xf numFmtId="0" fontId="29" fillId="0" borderId="0" xfId="0" applyFont="1" applyBorder="1" applyAlignment="1">
      <alignment horizontal="center"/>
    </xf>
    <xf numFmtId="0" fontId="5" fillId="34" borderId="7" xfId="0" applyFont="1" applyFill="1" applyBorder="1"/>
    <xf numFmtId="0" fontId="5" fillId="34" borderId="16" xfId="0" applyFont="1" applyFill="1" applyBorder="1"/>
    <xf numFmtId="0" fontId="10" fillId="34" borderId="12" xfId="0" applyFont="1" applyFill="1" applyBorder="1" applyAlignment="1">
      <alignment vertical="center" wrapText="1"/>
    </xf>
    <xf numFmtId="0" fontId="5" fillId="14" borderId="262" xfId="0" applyFont="1" applyFill="1" applyBorder="1"/>
    <xf numFmtId="0" fontId="5" fillId="14" borderId="263" xfId="0" applyFont="1" applyFill="1" applyBorder="1"/>
    <xf numFmtId="3" fontId="24" fillId="14" borderId="188" xfId="0" applyNumberFormat="1" applyFont="1" applyFill="1" applyBorder="1" applyAlignment="1">
      <alignment horizontal="center" vertical="center" wrapText="1"/>
    </xf>
    <xf numFmtId="0" fontId="41" fillId="3" borderId="87" xfId="0" quotePrefix="1" applyNumberFormat="1" applyFont="1" applyFill="1" applyBorder="1" applyAlignment="1">
      <alignment horizontal="center" vertical="center"/>
    </xf>
    <xf numFmtId="0" fontId="24" fillId="14" borderId="188" xfId="0" applyFont="1" applyFill="1" applyBorder="1" applyAlignment="1">
      <alignment horizontal="center" vertical="center"/>
    </xf>
    <xf numFmtId="171" fontId="66" fillId="34" borderId="8" xfId="0" quotePrefix="1" applyNumberFormat="1" applyFont="1" applyFill="1" applyBorder="1" applyAlignment="1">
      <alignment horizontal="center" vertical="center"/>
    </xf>
    <xf numFmtId="0" fontId="5" fillId="34" borderId="10" xfId="0" applyFont="1" applyFill="1" applyBorder="1"/>
    <xf numFmtId="0" fontId="43" fillId="3" borderId="11" xfId="0" applyFont="1" applyFill="1" applyBorder="1"/>
    <xf numFmtId="0" fontId="24" fillId="14" borderId="265" xfId="0" applyFont="1" applyFill="1" applyBorder="1" applyAlignment="1">
      <alignment horizontal="center" vertical="center"/>
    </xf>
    <xf numFmtId="0" fontId="24" fillId="14" borderId="189" xfId="0" applyFont="1" applyFill="1" applyBorder="1" applyAlignment="1">
      <alignment horizontal="center" vertical="center"/>
    </xf>
    <xf numFmtId="0" fontId="24" fillId="34" borderId="188" xfId="0" applyFont="1" applyFill="1" applyBorder="1" applyAlignment="1">
      <alignment horizontal="center" vertical="center"/>
    </xf>
    <xf numFmtId="0" fontId="24" fillId="37" borderId="266" xfId="0" applyFont="1" applyFill="1" applyBorder="1" applyAlignment="1">
      <alignment horizontal="center" vertical="center"/>
    </xf>
    <xf numFmtId="0" fontId="1" fillId="26" borderId="0" xfId="0" applyFont="1" applyFill="1" applyBorder="1" applyAlignment="1">
      <alignment horizontal="center" textRotation="90"/>
    </xf>
    <xf numFmtId="0" fontId="8" fillId="3" borderId="16" xfId="0" applyFont="1" applyFill="1" applyBorder="1" applyAlignment="1">
      <alignment horizontal="right" vertical="center" indent="1"/>
    </xf>
    <xf numFmtId="0" fontId="6" fillId="3" borderId="6" xfId="0" applyFont="1" applyFill="1" applyBorder="1" applyAlignment="1">
      <alignment horizontal="left" vertical="top" indent="1"/>
    </xf>
    <xf numFmtId="0" fontId="41" fillId="38" borderId="1" xfId="0" applyFont="1" applyFill="1" applyBorder="1" applyAlignment="1">
      <alignment horizontal="center" vertical="center"/>
    </xf>
    <xf numFmtId="0" fontId="32" fillId="26" borderId="0" xfId="0" applyFont="1" applyFill="1" applyAlignment="1"/>
    <xf numFmtId="0" fontId="1" fillId="26" borderId="0" xfId="0" applyFont="1" applyFill="1" applyBorder="1" applyAlignment="1">
      <alignment horizontal="center"/>
    </xf>
    <xf numFmtId="0" fontId="41" fillId="39" borderId="1" xfId="0" applyFont="1" applyFill="1" applyBorder="1" applyAlignment="1">
      <alignment horizontal="center" vertical="center"/>
    </xf>
    <xf numFmtId="0" fontId="41" fillId="40" borderId="1" xfId="0" applyFont="1" applyFill="1" applyBorder="1" applyAlignment="1">
      <alignment horizontal="center" vertical="center"/>
    </xf>
    <xf numFmtId="0" fontId="6" fillId="38" borderId="8" xfId="0" applyFont="1" applyFill="1" applyBorder="1" applyAlignment="1">
      <alignment vertical="center"/>
    </xf>
    <xf numFmtId="0" fontId="6" fillId="38" borderId="8" xfId="0" applyFont="1" applyFill="1" applyBorder="1" applyAlignment="1">
      <alignment horizontal="center" vertical="center"/>
    </xf>
    <xf numFmtId="0" fontId="6" fillId="38" borderId="10" xfId="0" applyFont="1" applyFill="1" applyBorder="1" applyAlignment="1">
      <alignment horizontal="center" vertical="center"/>
    </xf>
    <xf numFmtId="0" fontId="6" fillId="39" borderId="8" xfId="0" applyFont="1" applyFill="1" applyBorder="1" applyAlignment="1">
      <alignment vertical="center"/>
    </xf>
    <xf numFmtId="0" fontId="6" fillId="39" borderId="8" xfId="0" applyFont="1" applyFill="1" applyBorder="1" applyAlignment="1">
      <alignment horizontal="center" vertical="center"/>
    </xf>
    <xf numFmtId="0" fontId="6" fillId="39" borderId="10" xfId="0" applyFont="1" applyFill="1" applyBorder="1" applyAlignment="1">
      <alignment horizontal="center" vertical="center"/>
    </xf>
    <xf numFmtId="0" fontId="6" fillId="40" borderId="9" xfId="0" applyFont="1" applyFill="1" applyBorder="1" applyAlignment="1">
      <alignment vertical="center"/>
    </xf>
    <xf numFmtId="0" fontId="6" fillId="40" borderId="8" xfId="0" applyFont="1" applyFill="1" applyBorder="1" applyAlignment="1">
      <alignment vertical="center"/>
    </xf>
    <xf numFmtId="0" fontId="6" fillId="40" borderId="8" xfId="0" applyFont="1" applyFill="1" applyBorder="1" applyAlignment="1">
      <alignment horizontal="center" vertical="center"/>
    </xf>
    <xf numFmtId="0" fontId="6" fillId="40" borderId="10" xfId="0" applyFont="1" applyFill="1" applyBorder="1" applyAlignment="1">
      <alignment horizontal="center" vertical="center"/>
    </xf>
    <xf numFmtId="0" fontId="33" fillId="41" borderId="147" xfId="0" applyFont="1" applyFill="1" applyBorder="1" applyAlignment="1">
      <alignment horizontal="center" vertical="center"/>
    </xf>
    <xf numFmtId="0" fontId="33" fillId="13" borderId="147" xfId="0" applyFont="1" applyFill="1" applyBorder="1" applyAlignment="1">
      <alignment horizontal="center" vertical="center"/>
    </xf>
    <xf numFmtId="0" fontId="8" fillId="3" borderId="9" xfId="0" applyFont="1" applyFill="1" applyBorder="1" applyAlignment="1">
      <alignment horizontal="left" vertical="center"/>
    </xf>
    <xf numFmtId="0" fontId="8" fillId="3" borderId="8" xfId="0" applyFont="1" applyFill="1" applyBorder="1" applyAlignment="1">
      <alignment horizontal="left" vertical="center"/>
    </xf>
    <xf numFmtId="0" fontId="8" fillId="3" borderId="10" xfId="0" applyFont="1" applyFill="1" applyBorder="1" applyAlignment="1">
      <alignment horizontal="left" vertical="center"/>
    </xf>
    <xf numFmtId="0" fontId="8" fillId="3" borderId="23" xfId="0" applyFont="1" applyFill="1" applyBorder="1" applyAlignment="1">
      <alignment horizontal="left" vertical="center"/>
    </xf>
    <xf numFmtId="0" fontId="8" fillId="3" borderId="11" xfId="0" applyFont="1" applyFill="1" applyBorder="1" applyAlignment="1">
      <alignment horizontal="left" vertical="center"/>
    </xf>
    <xf numFmtId="0" fontId="8" fillId="3" borderId="25" xfId="0" applyFont="1" applyFill="1" applyBorder="1" applyAlignment="1">
      <alignment horizontal="left" vertical="center"/>
    </xf>
    <xf numFmtId="0" fontId="8" fillId="26" borderId="0" xfId="0" applyFont="1" applyFill="1" applyBorder="1" applyAlignment="1">
      <alignment wrapText="1"/>
    </xf>
    <xf numFmtId="0" fontId="1" fillId="38" borderId="10" xfId="0" applyFont="1" applyFill="1" applyBorder="1" applyAlignment="1">
      <alignment horizontal="center" textRotation="90"/>
    </xf>
    <xf numFmtId="0" fontId="1" fillId="39" borderId="10" xfId="0" applyFont="1" applyFill="1" applyBorder="1" applyAlignment="1">
      <alignment horizontal="center" textRotation="90"/>
    </xf>
    <xf numFmtId="0" fontId="1" fillId="40" borderId="10" xfId="0" applyFont="1" applyFill="1" applyBorder="1" applyAlignment="1">
      <alignment horizontal="center" textRotation="90"/>
    </xf>
    <xf numFmtId="0" fontId="1" fillId="26" borderId="0" xfId="0" applyFont="1" applyFill="1" applyBorder="1" applyAlignment="1">
      <alignment horizontal="center" textRotation="90"/>
    </xf>
    <xf numFmtId="0" fontId="1" fillId="3" borderId="147" xfId="1" applyNumberFormat="1" applyFont="1" applyFill="1" applyBorder="1" applyAlignment="1">
      <alignment horizontal="center" vertical="center"/>
    </xf>
    <xf numFmtId="0" fontId="43" fillId="26" borderId="0" xfId="0" applyFont="1" applyFill="1" applyBorder="1" applyAlignment="1">
      <alignment textRotation="90"/>
    </xf>
    <xf numFmtId="3" fontId="1" fillId="0" borderId="147" xfId="0" applyNumberFormat="1" applyFont="1" applyFill="1" applyBorder="1" applyAlignment="1">
      <alignment horizontal="center" vertical="center"/>
    </xf>
    <xf numFmtId="9" fontId="8" fillId="3" borderId="9" xfId="1" applyFont="1" applyFill="1" applyBorder="1" applyAlignment="1">
      <alignment horizontal="center" vertical="center"/>
    </xf>
    <xf numFmtId="187" fontId="1" fillId="3" borderId="12" xfId="0" quotePrefix="1" applyNumberFormat="1" applyFont="1" applyFill="1" applyBorder="1" applyAlignment="1">
      <alignment horizontal="center" vertical="center"/>
    </xf>
    <xf numFmtId="187" fontId="1" fillId="3" borderId="147" xfId="0" applyNumberFormat="1" applyFont="1" applyFill="1" applyBorder="1" applyAlignment="1">
      <alignment horizontal="center" vertical="center"/>
    </xf>
    <xf numFmtId="181" fontId="41" fillId="3" borderId="11" xfId="0" applyNumberFormat="1" applyFont="1" applyFill="1" applyBorder="1" applyAlignment="1">
      <alignment horizontal="center" vertical="center"/>
    </xf>
    <xf numFmtId="181" fontId="41" fillId="3" borderId="77" xfId="0" applyNumberFormat="1" applyFont="1" applyFill="1" applyBorder="1" applyAlignment="1">
      <alignment horizontal="center" vertical="center"/>
    </xf>
    <xf numFmtId="181" fontId="41" fillId="3" borderId="247" xfId="0" applyNumberFormat="1" applyFont="1" applyFill="1" applyBorder="1" applyAlignment="1">
      <alignment horizontal="center" vertical="center"/>
    </xf>
    <xf numFmtId="0" fontId="4" fillId="40" borderId="8" xfId="0" applyFont="1" applyFill="1" applyBorder="1"/>
    <xf numFmtId="0" fontId="29" fillId="40" borderId="8" xfId="0" applyFont="1" applyFill="1" applyBorder="1" applyAlignment="1">
      <alignment vertical="center"/>
    </xf>
    <xf numFmtId="0" fontId="4" fillId="40" borderId="10" xfId="0" applyFont="1" applyFill="1" applyBorder="1"/>
    <xf numFmtId="0" fontId="30" fillId="40" borderId="22" xfId="0" applyFont="1" applyFill="1" applyBorder="1" applyAlignment="1">
      <alignment vertical="center" wrapText="1"/>
    </xf>
    <xf numFmtId="0" fontId="30" fillId="40" borderId="8" xfId="0" applyFont="1" applyFill="1" applyBorder="1" applyAlignment="1">
      <alignment horizontal="center" vertical="center" wrapText="1"/>
    </xf>
    <xf numFmtId="0" fontId="30" fillId="40" borderId="24" xfId="0" applyFont="1" applyFill="1" applyBorder="1" applyAlignment="1">
      <alignment vertical="center" wrapText="1"/>
    </xf>
    <xf numFmtId="0" fontId="10" fillId="40" borderId="12" xfId="0" applyFont="1" applyFill="1" applyBorder="1" applyAlignment="1">
      <alignment horizontal="center" vertical="center"/>
    </xf>
    <xf numFmtId="0" fontId="10" fillId="40" borderId="147" xfId="0" applyFont="1" applyFill="1" applyBorder="1" applyAlignment="1">
      <alignment horizontal="center" vertical="center" wrapText="1"/>
    </xf>
    <xf numFmtId="0" fontId="4" fillId="39" borderId="8" xfId="0" applyFont="1" applyFill="1" applyBorder="1"/>
    <xf numFmtId="0" fontId="4" fillId="39" borderId="10" xfId="0" applyFont="1" applyFill="1" applyBorder="1"/>
    <xf numFmtId="0" fontId="30" fillId="39" borderId="22" xfId="0" applyFont="1" applyFill="1" applyBorder="1" applyAlignment="1">
      <alignment vertical="center" wrapText="1"/>
    </xf>
    <xf numFmtId="0" fontId="30" fillId="39" borderId="8" xfId="0" applyFont="1" applyFill="1" applyBorder="1" applyAlignment="1">
      <alignment horizontal="center" vertical="center" wrapText="1"/>
    </xf>
    <xf numFmtId="0" fontId="30" fillId="39" borderId="24" xfId="0" applyFont="1" applyFill="1" applyBorder="1" applyAlignment="1">
      <alignment vertical="center" wrapText="1"/>
    </xf>
    <xf numFmtId="0" fontId="10" fillId="39" borderId="12" xfId="0" applyFont="1" applyFill="1" applyBorder="1" applyAlignment="1">
      <alignment horizontal="center" vertical="center"/>
    </xf>
    <xf numFmtId="0" fontId="10" fillId="39" borderId="147" xfId="0" applyFont="1" applyFill="1" applyBorder="1" applyAlignment="1">
      <alignment horizontal="center" vertical="center" wrapText="1"/>
    </xf>
    <xf numFmtId="0" fontId="41" fillId="0" borderId="51" xfId="0" quotePrefix="1" applyFont="1" applyFill="1" applyBorder="1" applyAlignment="1">
      <alignment horizontal="center" vertical="center"/>
    </xf>
    <xf numFmtId="0" fontId="41" fillId="3" borderId="51" xfId="0" quotePrefix="1" applyFont="1" applyFill="1" applyBorder="1" applyAlignment="1">
      <alignment horizontal="center" vertical="center"/>
    </xf>
    <xf numFmtId="0" fontId="10" fillId="0" borderId="0" xfId="0" applyFont="1" applyFill="1" applyBorder="1" applyAlignment="1">
      <alignment horizontal="center" vertical="center"/>
    </xf>
    <xf numFmtId="0" fontId="41" fillId="42" borderId="98" xfId="0" applyFont="1" applyFill="1" applyBorder="1" applyAlignment="1">
      <alignment horizontal="center" vertical="center"/>
    </xf>
    <xf numFmtId="0" fontId="41" fillId="42" borderId="99" xfId="0" applyFont="1" applyFill="1" applyBorder="1" applyAlignment="1">
      <alignment horizontal="center" vertical="center"/>
    </xf>
    <xf numFmtId="0" fontId="8" fillId="12" borderId="12" xfId="0" applyFont="1" applyFill="1" applyBorder="1" applyAlignment="1">
      <alignment horizontal="left" vertical="center" indent="1"/>
    </xf>
    <xf numFmtId="3" fontId="10" fillId="0" borderId="277" xfId="0" applyNumberFormat="1" applyFont="1" applyBorder="1" applyAlignment="1">
      <alignment horizontal="center" vertical="center"/>
    </xf>
    <xf numFmtId="0" fontId="8" fillId="3" borderId="221" xfId="0" applyFont="1" applyFill="1" applyBorder="1" applyAlignment="1">
      <alignment horizontal="left" vertical="center" indent="1"/>
    </xf>
    <xf numFmtId="0" fontId="51" fillId="0" borderId="0" xfId="0" applyFont="1" applyAlignment="1">
      <alignment wrapText="1"/>
    </xf>
    <xf numFmtId="0" fontId="8" fillId="26" borderId="0" xfId="0" quotePrefix="1" applyFont="1" applyFill="1" applyBorder="1" applyAlignment="1">
      <alignment horizontal="center" vertical="center"/>
    </xf>
    <xf numFmtId="0" fontId="34" fillId="0" borderId="0" xfId="0" applyFont="1" applyBorder="1" applyAlignment="1">
      <alignment horizontal="left"/>
    </xf>
    <xf numFmtId="0" fontId="43" fillId="0" borderId="6" xfId="0" applyFont="1" applyFill="1" applyBorder="1" applyAlignment="1">
      <alignment vertical="center"/>
    </xf>
    <xf numFmtId="0" fontId="33" fillId="34" borderId="147" xfId="0" applyFont="1" applyFill="1" applyBorder="1" applyAlignment="1">
      <alignment horizontal="center" vertical="center"/>
    </xf>
    <xf numFmtId="0" fontId="6" fillId="34" borderId="147" xfId="0" applyFont="1" applyFill="1" applyBorder="1" applyAlignment="1">
      <alignment horizontal="center" vertical="center"/>
    </xf>
    <xf numFmtId="0" fontId="6" fillId="34" borderId="8" xfId="0" applyFont="1" applyFill="1" applyBorder="1"/>
    <xf numFmtId="0" fontId="1" fillId="34" borderId="8" xfId="0" applyFont="1" applyFill="1" applyBorder="1"/>
    <xf numFmtId="0" fontId="1" fillId="34" borderId="10" xfId="0" applyFont="1" applyFill="1" applyBorder="1"/>
    <xf numFmtId="0" fontId="16" fillId="43" borderId="9" xfId="0" applyFont="1" applyFill="1" applyBorder="1"/>
    <xf numFmtId="0" fontId="16" fillId="43" borderId="8" xfId="0" applyFont="1" applyFill="1" applyBorder="1"/>
    <xf numFmtId="0" fontId="101" fillId="43" borderId="8" xfId="0" applyFont="1" applyFill="1" applyBorder="1" applyAlignment="1">
      <alignment vertical="center"/>
    </xf>
    <xf numFmtId="0" fontId="16" fillId="43" borderId="10" xfId="0" applyFont="1" applyFill="1" applyBorder="1"/>
    <xf numFmtId="0" fontId="67" fillId="0" borderId="0" xfId="0" applyFont="1" applyAlignment="1">
      <alignment vertical="top" wrapText="1"/>
    </xf>
    <xf numFmtId="0" fontId="34" fillId="0" borderId="0" xfId="0" applyFont="1" applyBorder="1" applyAlignment="1"/>
    <xf numFmtId="0" fontId="1" fillId="26" borderId="0" xfId="0" applyFont="1" applyFill="1"/>
    <xf numFmtId="0" fontId="8" fillId="3" borderId="10" xfId="0" quotePrefix="1" applyFont="1" applyFill="1" applyBorder="1" applyAlignment="1">
      <alignment vertical="center"/>
    </xf>
    <xf numFmtId="0" fontId="51" fillId="0" borderId="0" xfId="0" applyFont="1" applyAlignment="1">
      <alignment vertical="center" wrapText="1"/>
    </xf>
    <xf numFmtId="2" fontId="16" fillId="3" borderId="113" xfId="0" applyNumberFormat="1" applyFont="1" applyFill="1" applyBorder="1" applyAlignment="1">
      <alignment horizontal="center" vertical="center"/>
    </xf>
    <xf numFmtId="0" fontId="51" fillId="2" borderId="0" xfId="0" applyFont="1" applyFill="1" applyBorder="1" applyAlignment="1">
      <alignment horizontal="right" vertical="center"/>
    </xf>
    <xf numFmtId="0" fontId="10" fillId="9" borderId="95" xfId="0" applyFont="1" applyFill="1" applyBorder="1" applyAlignment="1">
      <alignment horizontal="center" vertical="center"/>
    </xf>
    <xf numFmtId="0" fontId="1" fillId="0" borderId="0" xfId="0" quotePrefix="1" applyFont="1" applyAlignment="1">
      <alignment horizontal="left" vertical="top"/>
    </xf>
    <xf numFmtId="0" fontId="22" fillId="0" borderId="0" xfId="0" applyFont="1" applyAlignment="1">
      <alignment vertical="center"/>
    </xf>
    <xf numFmtId="0" fontId="56" fillId="0" borderId="0" xfId="0" applyFont="1" applyBorder="1" applyAlignment="1">
      <alignment vertical="center"/>
    </xf>
    <xf numFmtId="0" fontId="0" fillId="0" borderId="0" xfId="0"/>
    <xf numFmtId="0" fontId="1" fillId="0" borderId="0" xfId="0" applyFont="1"/>
    <xf numFmtId="0" fontId="1" fillId="0" borderId="0" xfId="0" applyFont="1" applyAlignment="1">
      <alignment vertical="center"/>
    </xf>
    <xf numFmtId="0" fontId="8" fillId="3" borderId="147" xfId="0" applyFont="1" applyFill="1" applyBorder="1" applyAlignment="1">
      <alignment horizontal="center" vertical="center"/>
    </xf>
    <xf numFmtId="0" fontId="32" fillId="0" borderId="0" xfId="0" applyFont="1"/>
    <xf numFmtId="0" fontId="32" fillId="0" borderId="0" xfId="0" applyFont="1" applyAlignment="1">
      <alignment vertical="center"/>
    </xf>
    <xf numFmtId="0" fontId="8" fillId="0" borderId="147" xfId="0" applyFont="1" applyBorder="1" applyAlignment="1">
      <alignment horizontal="center" vertical="center"/>
    </xf>
    <xf numFmtId="0" fontId="6" fillId="0" borderId="0" xfId="0" applyFont="1"/>
    <xf numFmtId="0" fontId="8" fillId="3" borderId="147" xfId="0" quotePrefix="1" applyFont="1" applyFill="1" applyBorder="1" applyAlignment="1">
      <alignment horizontal="center" vertical="center"/>
    </xf>
    <xf numFmtId="0" fontId="32" fillId="0" borderId="0" xfId="0" applyFont="1" applyBorder="1"/>
    <xf numFmtId="0" fontId="32" fillId="27" borderId="0" xfId="0" applyFont="1" applyFill="1"/>
    <xf numFmtId="0" fontId="43" fillId="0" borderId="0" xfId="0" applyFont="1" applyAlignment="1">
      <alignment vertical="center"/>
    </xf>
    <xf numFmtId="0" fontId="32" fillId="27" borderId="0" xfId="0" quotePrefix="1" applyFont="1" applyFill="1"/>
    <xf numFmtId="0" fontId="8" fillId="12" borderId="147" xfId="0" applyFont="1" applyFill="1" applyBorder="1" applyAlignment="1">
      <alignment horizontal="center" vertical="center"/>
    </xf>
    <xf numFmtId="185" fontId="8" fillId="3" borderId="147" xfId="0" applyNumberFormat="1" applyFont="1" applyFill="1" applyBorder="1" applyAlignment="1">
      <alignment horizontal="center" vertical="center"/>
    </xf>
    <xf numFmtId="0" fontId="0" fillId="32" borderId="0" xfId="0" applyFill="1"/>
    <xf numFmtId="175" fontId="8" fillId="3" borderId="147" xfId="0" applyNumberFormat="1" applyFont="1" applyFill="1" applyBorder="1" applyAlignment="1">
      <alignment horizontal="center" vertical="center"/>
    </xf>
    <xf numFmtId="0" fontId="32" fillId="0" borderId="0" xfId="0" applyFont="1" applyAlignment="1">
      <alignment horizontal="left"/>
    </xf>
    <xf numFmtId="0" fontId="0" fillId="0" borderId="0" xfId="0" applyAlignment="1">
      <alignment horizontal="left"/>
    </xf>
    <xf numFmtId="0" fontId="32" fillId="22" borderId="0" xfId="0" applyFont="1" applyFill="1"/>
    <xf numFmtId="0" fontId="32" fillId="0" borderId="6" xfId="0" applyFont="1" applyBorder="1"/>
    <xf numFmtId="0" fontId="32" fillId="0" borderId="5" xfId="0" applyFont="1" applyBorder="1"/>
    <xf numFmtId="0" fontId="1" fillId="0" borderId="0" xfId="0" applyFont="1" applyBorder="1" applyAlignment="1">
      <alignment horizontal="right" vertical="center"/>
    </xf>
    <xf numFmtId="0" fontId="43" fillId="0" borderId="0" xfId="0" applyFont="1" applyBorder="1" applyAlignment="1">
      <alignment vertical="center"/>
    </xf>
    <xf numFmtId="0" fontId="8" fillId="3" borderId="12" xfId="0" quotePrefix="1" applyFont="1" applyFill="1" applyBorder="1" applyAlignment="1">
      <alignment horizontal="center" vertical="center"/>
    </xf>
    <xf numFmtId="185" fontId="8" fillId="3" borderId="221" xfId="0" applyNumberFormat="1" applyFont="1" applyFill="1" applyBorder="1" applyAlignment="1">
      <alignment horizontal="center" vertical="center"/>
    </xf>
    <xf numFmtId="0" fontId="8" fillId="3" borderId="221" xfId="0" applyFont="1" applyFill="1" applyBorder="1" applyAlignment="1">
      <alignment horizontal="center" vertical="center"/>
    </xf>
    <xf numFmtId="0" fontId="22" fillId="0" borderId="0" xfId="0" applyFont="1"/>
    <xf numFmtId="0" fontId="32" fillId="27" borderId="0" xfId="0" applyFont="1" applyFill="1" applyBorder="1"/>
    <xf numFmtId="0" fontId="51" fillId="27" borderId="0" xfId="0" applyFont="1" applyFill="1" applyAlignment="1">
      <alignment horizontal="left" vertical="top"/>
    </xf>
    <xf numFmtId="175" fontId="8" fillId="3" borderId="12" xfId="0" applyNumberFormat="1" applyFont="1" applyFill="1" applyBorder="1" applyAlignment="1">
      <alignment horizontal="center" vertical="center"/>
    </xf>
    <xf numFmtId="0" fontId="8" fillId="3" borderId="147" xfId="0" applyNumberFormat="1" applyFont="1" applyFill="1" applyBorder="1" applyAlignment="1">
      <alignment horizontal="center" vertical="center"/>
    </xf>
    <xf numFmtId="3" fontId="1" fillId="3" borderId="9" xfId="0" applyNumberFormat="1" applyFont="1" applyFill="1" applyBorder="1" applyAlignment="1">
      <alignment horizontal="center" vertical="center"/>
    </xf>
    <xf numFmtId="3" fontId="1" fillId="3" borderId="147" xfId="0" quotePrefix="1" applyNumberFormat="1" applyFont="1" applyFill="1" applyBorder="1" applyAlignment="1">
      <alignment horizontal="center" vertical="center"/>
    </xf>
    <xf numFmtId="0" fontId="32" fillId="7" borderId="147" xfId="0" applyFont="1" applyFill="1" applyBorder="1"/>
    <xf numFmtId="0" fontId="32" fillId="6" borderId="147" xfId="0" applyFont="1" applyFill="1" applyBorder="1"/>
    <xf numFmtId="3" fontId="10" fillId="22" borderId="16" xfId="0" applyNumberFormat="1" applyFont="1" applyFill="1" applyBorder="1" applyAlignment="1">
      <alignment horizontal="right" vertical="center" indent="1"/>
    </xf>
    <xf numFmtId="3" fontId="10" fillId="3" borderId="16" xfId="0" applyNumberFormat="1" applyFont="1" applyFill="1" applyBorder="1" applyAlignment="1">
      <alignment horizontal="right" vertical="center" indent="1"/>
    </xf>
    <xf numFmtId="3" fontId="10" fillId="22" borderId="283" xfId="0" applyNumberFormat="1" applyFont="1" applyFill="1" applyBorder="1" applyAlignment="1">
      <alignment horizontal="right" vertical="center" indent="1"/>
    </xf>
    <xf numFmtId="3" fontId="10" fillId="22" borderId="147" xfId="0" applyNumberFormat="1" applyFont="1" applyFill="1" applyBorder="1" applyAlignment="1">
      <alignment horizontal="right" vertical="center" indent="1"/>
    </xf>
    <xf numFmtId="3" fontId="10" fillId="22" borderId="231" xfId="0" applyNumberFormat="1" applyFont="1" applyFill="1" applyBorder="1" applyAlignment="1">
      <alignment horizontal="right" vertical="center" indent="1"/>
    </xf>
    <xf numFmtId="0" fontId="6" fillId="27" borderId="0" xfId="0" applyFont="1" applyFill="1" applyBorder="1" applyAlignment="1">
      <alignment vertical="center"/>
    </xf>
    <xf numFmtId="4" fontId="10" fillId="3" borderId="147" xfId="0" applyNumberFormat="1" applyFont="1" applyFill="1" applyBorder="1" applyAlignment="1">
      <alignment horizontal="center" vertical="center"/>
    </xf>
    <xf numFmtId="10" fontId="10" fillId="3" borderId="147" xfId="1" applyNumberFormat="1" applyFont="1" applyFill="1" applyBorder="1" applyAlignment="1">
      <alignment horizontal="center" vertical="center"/>
    </xf>
    <xf numFmtId="0" fontId="6" fillId="0" borderId="0" xfId="0" quotePrefix="1" applyFont="1" applyAlignment="1">
      <alignment vertical="top"/>
    </xf>
    <xf numFmtId="0" fontId="34" fillId="2" borderId="0" xfId="0" applyFont="1" applyFill="1" applyBorder="1" applyAlignment="1">
      <alignment horizontal="center"/>
    </xf>
    <xf numFmtId="0" fontId="8" fillId="2" borderId="0" xfId="0" applyFont="1" applyFill="1" applyBorder="1" applyAlignment="1">
      <alignment horizontal="center"/>
    </xf>
    <xf numFmtId="0" fontId="8" fillId="2" borderId="0" xfId="0" applyFont="1" applyFill="1" applyAlignment="1">
      <alignment horizontal="center"/>
    </xf>
    <xf numFmtId="0" fontId="32" fillId="2" borderId="0" xfId="0" applyFont="1" applyFill="1" applyBorder="1" applyAlignment="1">
      <alignment horizontal="center"/>
    </xf>
    <xf numFmtId="0" fontId="1" fillId="3" borderId="147" xfId="0" applyFont="1" applyFill="1" applyBorder="1" applyAlignment="1">
      <alignment horizontal="center" vertical="center"/>
    </xf>
    <xf numFmtId="3" fontId="10" fillId="3" borderId="160" xfId="0" applyNumberFormat="1" applyFont="1" applyFill="1" applyBorder="1" applyAlignment="1">
      <alignment horizontal="right" vertical="center"/>
    </xf>
    <xf numFmtId="3" fontId="10" fillId="22" borderId="160" xfId="0" applyNumberFormat="1" applyFont="1" applyFill="1" applyBorder="1" applyAlignment="1">
      <alignment horizontal="right" vertical="center"/>
    </xf>
    <xf numFmtId="3" fontId="86" fillId="22" borderId="160" xfId="0" applyNumberFormat="1" applyFont="1" applyFill="1" applyBorder="1" applyAlignment="1">
      <alignment horizontal="right" vertical="center"/>
    </xf>
    <xf numFmtId="0" fontId="32" fillId="27" borderId="0" xfId="0" applyFont="1" applyFill="1" applyAlignment="1">
      <alignment horizontal="right" vertical="center"/>
    </xf>
    <xf numFmtId="0" fontId="32" fillId="45" borderId="8" xfId="0" applyFont="1" applyFill="1" applyBorder="1"/>
    <xf numFmtId="0" fontId="32" fillId="45" borderId="10" xfId="0" applyFont="1" applyFill="1" applyBorder="1"/>
    <xf numFmtId="0" fontId="20" fillId="45" borderId="8" xfId="0" applyFont="1" applyFill="1" applyBorder="1" applyAlignment="1">
      <alignment horizontal="center" vertical="center"/>
    </xf>
    <xf numFmtId="0" fontId="87" fillId="44" borderId="8" xfId="0" applyFont="1" applyFill="1" applyBorder="1"/>
    <xf numFmtId="0" fontId="79" fillId="44" borderId="8" xfId="0" applyFont="1" applyFill="1" applyBorder="1" applyAlignment="1">
      <alignment horizontal="center" vertical="center"/>
    </xf>
    <xf numFmtId="0" fontId="87" fillId="44" borderId="10" xfId="0" applyFont="1" applyFill="1" applyBorder="1"/>
    <xf numFmtId="3" fontId="10" fillId="3" borderId="277" xfId="0" applyNumberFormat="1" applyFont="1" applyFill="1" applyBorder="1" applyAlignment="1">
      <alignment horizontal="right" vertical="center"/>
    </xf>
    <xf numFmtId="3" fontId="10" fillId="22" borderId="290" xfId="0" applyNumberFormat="1" applyFont="1" applyFill="1" applyBorder="1" applyAlignment="1">
      <alignment horizontal="right" vertical="center"/>
    </xf>
    <xf numFmtId="2" fontId="10" fillId="3" borderId="12" xfId="0" applyNumberFormat="1" applyFont="1" applyFill="1" applyBorder="1" applyAlignment="1">
      <alignment horizontal="center" vertical="center"/>
    </xf>
    <xf numFmtId="0" fontId="1" fillId="26" borderId="0" xfId="0" applyFont="1" applyFill="1" applyBorder="1" applyAlignment="1">
      <alignment horizontal="center" textRotation="90"/>
    </xf>
    <xf numFmtId="3" fontId="8" fillId="0" borderId="147" xfId="0" applyNumberFormat="1" applyFont="1" applyBorder="1" applyAlignment="1">
      <alignment horizontal="center" vertical="center"/>
    </xf>
    <xf numFmtId="3" fontId="10" fillId="22" borderId="10" xfId="0" applyNumberFormat="1" applyFont="1" applyFill="1" applyBorder="1" applyAlignment="1">
      <alignment horizontal="right" vertical="center" indent="1"/>
    </xf>
    <xf numFmtId="0" fontId="1" fillId="27" borderId="0" xfId="0" applyFont="1" applyFill="1" applyAlignment="1">
      <alignment horizontal="center"/>
    </xf>
    <xf numFmtId="3" fontId="8" fillId="26" borderId="1" xfId="0" applyNumberFormat="1" applyFont="1" applyFill="1" applyBorder="1" applyAlignment="1">
      <alignment horizontal="center" vertical="center"/>
    </xf>
    <xf numFmtId="0" fontId="8" fillId="3" borderId="147" xfId="0" applyFont="1" applyFill="1" applyBorder="1" applyAlignment="1">
      <alignment horizontal="left" vertical="center" wrapText="1"/>
    </xf>
    <xf numFmtId="0" fontId="8" fillId="3" borderId="12" xfId="0" applyFont="1" applyFill="1" applyBorder="1" applyAlignment="1">
      <alignment horizontal="left" vertical="center" indent="1"/>
    </xf>
    <xf numFmtId="0" fontId="104" fillId="30" borderId="9" xfId="0" applyFont="1" applyFill="1" applyBorder="1" applyAlignment="1">
      <alignment vertical="center"/>
    </xf>
    <xf numFmtId="0" fontId="104" fillId="30" borderId="8" xfId="0" applyFont="1" applyFill="1" applyBorder="1" applyAlignment="1">
      <alignment vertical="center"/>
    </xf>
    <xf numFmtId="0" fontId="101" fillId="21" borderId="22" xfId="0" applyFont="1" applyFill="1" applyBorder="1" applyAlignment="1">
      <alignment vertical="center"/>
    </xf>
    <xf numFmtId="0" fontId="87" fillId="21" borderId="24" xfId="0" applyFont="1" applyFill="1" applyBorder="1"/>
    <xf numFmtId="0" fontId="105" fillId="21" borderId="6" xfId="0" applyFont="1" applyFill="1" applyBorder="1" applyAlignment="1">
      <alignment vertical="center"/>
    </xf>
    <xf numFmtId="0" fontId="87" fillId="21" borderId="5" xfId="0" applyFont="1" applyFill="1" applyBorder="1"/>
    <xf numFmtId="0" fontId="31" fillId="2" borderId="0" xfId="0" applyFont="1" applyFill="1" applyAlignment="1">
      <alignment horizontal="left" vertical="center"/>
    </xf>
    <xf numFmtId="0" fontId="68" fillId="2" borderId="0" xfId="0" applyFont="1" applyFill="1" applyAlignment="1">
      <alignment horizontal="center" vertical="center"/>
    </xf>
    <xf numFmtId="0" fontId="68" fillId="2" borderId="0" xfId="0" applyFont="1" applyFill="1" applyAlignment="1">
      <alignment horizontal="left" vertical="center"/>
    </xf>
    <xf numFmtId="175" fontId="8" fillId="0" borderId="147" xfId="0" applyNumberFormat="1" applyFont="1" applyBorder="1" applyAlignment="1">
      <alignment horizontal="center" vertical="center"/>
    </xf>
    <xf numFmtId="3" fontId="30" fillId="0" borderId="133" xfId="0" applyNumberFormat="1" applyFont="1" applyBorder="1" applyAlignment="1">
      <alignment horizontal="right" vertical="center" indent="1"/>
    </xf>
    <xf numFmtId="0" fontId="6" fillId="34" borderId="9" xfId="0" applyFont="1" applyFill="1" applyBorder="1" applyAlignment="1">
      <alignment horizontal="left" vertical="center" indent="1"/>
    </xf>
    <xf numFmtId="0" fontId="106" fillId="0" borderId="0" xfId="0" applyFont="1"/>
    <xf numFmtId="0" fontId="29" fillId="45" borderId="9" xfId="0" applyFont="1" applyFill="1" applyBorder="1" applyAlignment="1">
      <alignment horizontal="left" vertical="center"/>
    </xf>
    <xf numFmtId="0" fontId="20" fillId="45" borderId="10" xfId="0" applyFont="1" applyFill="1" applyBorder="1" applyAlignment="1">
      <alignment horizontal="left" vertical="center"/>
    </xf>
    <xf numFmtId="0" fontId="107" fillId="44" borderId="9" xfId="0" applyFont="1" applyFill="1" applyBorder="1" applyAlignment="1">
      <alignment horizontal="left" vertical="center"/>
    </xf>
    <xf numFmtId="0" fontId="79" fillId="44" borderId="10" xfId="0" applyFont="1" applyFill="1" applyBorder="1" applyAlignment="1">
      <alignment horizontal="left" vertical="center"/>
    </xf>
    <xf numFmtId="0" fontId="29" fillId="8" borderId="9" xfId="0" applyFont="1" applyFill="1" applyBorder="1" applyAlignment="1">
      <alignment horizontal="left" vertical="center"/>
    </xf>
    <xf numFmtId="0" fontId="20" fillId="8" borderId="10" xfId="0" applyFont="1" applyFill="1" applyBorder="1" applyAlignment="1">
      <alignment horizontal="left" vertical="center"/>
    </xf>
    <xf numFmtId="0" fontId="32" fillId="3" borderId="27" xfId="0" applyFont="1" applyFill="1" applyBorder="1" applyAlignment="1">
      <alignment horizontal="center" vertical="center"/>
    </xf>
    <xf numFmtId="0" fontId="22" fillId="0" borderId="0" xfId="0" applyFont="1" applyAlignment="1">
      <alignment horizontal="center" vertical="center"/>
    </xf>
    <xf numFmtId="0" fontId="8" fillId="0" borderId="221" xfId="0" applyFont="1" applyFill="1" applyBorder="1" applyAlignment="1">
      <alignment horizontal="left" vertical="center" indent="1"/>
    </xf>
    <xf numFmtId="0" fontId="6" fillId="33" borderId="163" xfId="0" applyFont="1" applyFill="1" applyBorder="1" applyAlignment="1">
      <alignment horizontal="center" vertical="center"/>
    </xf>
    <xf numFmtId="0" fontId="6" fillId="33" borderId="67" xfId="0" applyFont="1" applyFill="1" applyBorder="1" applyAlignment="1">
      <alignment horizontal="center" vertical="center"/>
    </xf>
    <xf numFmtId="0" fontId="6" fillId="33" borderId="27" xfId="0" applyFont="1" applyFill="1" applyBorder="1" applyAlignment="1">
      <alignment horizontal="center" vertical="center"/>
    </xf>
    <xf numFmtId="0" fontId="110" fillId="22" borderId="12" xfId="0" applyFont="1" applyFill="1" applyBorder="1" applyAlignment="1">
      <alignment horizontal="center" vertical="center"/>
    </xf>
    <xf numFmtId="0" fontId="110" fillId="22" borderId="12" xfId="0" applyFont="1" applyFill="1" applyBorder="1" applyAlignment="1">
      <alignment horizontal="left" vertical="center" indent="1"/>
    </xf>
    <xf numFmtId="0" fontId="110" fillId="22" borderId="147" xfId="0" applyFont="1" applyFill="1" applyBorder="1" applyAlignment="1">
      <alignment horizontal="center" vertical="center"/>
    </xf>
    <xf numFmtId="0" fontId="110" fillId="22" borderId="147" xfId="0" applyFont="1" applyFill="1" applyBorder="1" applyAlignment="1">
      <alignment horizontal="left" vertical="center" indent="1"/>
    </xf>
    <xf numFmtId="0" fontId="8" fillId="0" borderId="9" xfId="0" applyFont="1" applyFill="1" applyBorder="1" applyAlignment="1">
      <alignment horizontal="center" vertical="center"/>
    </xf>
    <xf numFmtId="0" fontId="8" fillId="0" borderId="291" xfId="0" applyFont="1" applyFill="1" applyBorder="1" applyAlignment="1">
      <alignment vertical="center"/>
    </xf>
    <xf numFmtId="0" fontId="8" fillId="22" borderId="147" xfId="0" quotePrefix="1" applyFont="1" applyFill="1" applyBorder="1" applyAlignment="1">
      <alignment horizontal="center" vertical="center"/>
    </xf>
    <xf numFmtId="0" fontId="8" fillId="22" borderId="221" xfId="0" quotePrefix="1" applyFont="1" applyFill="1" applyBorder="1" applyAlignment="1">
      <alignment horizontal="center" vertical="center"/>
    </xf>
    <xf numFmtId="49" fontId="90" fillId="26" borderId="147" xfId="0" applyNumberFormat="1" applyFont="1" applyFill="1" applyBorder="1" applyAlignment="1">
      <alignment horizontal="center" vertical="center" wrapText="1"/>
    </xf>
    <xf numFmtId="0" fontId="8" fillId="46" borderId="147" xfId="0" applyFont="1" applyFill="1" applyBorder="1" applyAlignment="1">
      <alignment horizontal="center" vertical="center"/>
    </xf>
    <xf numFmtId="0" fontId="8" fillId="5" borderId="147" xfId="0" applyFont="1" applyFill="1" applyBorder="1" applyAlignment="1">
      <alignment horizontal="center" vertical="center"/>
    </xf>
    <xf numFmtId="0" fontId="8" fillId="47" borderId="147" xfId="0" applyFont="1" applyFill="1" applyBorder="1" applyAlignment="1">
      <alignment horizontal="center" vertical="center"/>
    </xf>
    <xf numFmtId="0" fontId="107" fillId="30" borderId="8" xfId="0" applyFont="1" applyFill="1" applyBorder="1" applyAlignment="1">
      <alignment vertical="center"/>
    </xf>
    <xf numFmtId="0" fontId="8" fillId="0" borderId="147" xfId="0" applyFont="1" applyFill="1" applyBorder="1" applyAlignment="1">
      <alignment horizontal="left" vertical="center"/>
    </xf>
    <xf numFmtId="0" fontId="8" fillId="3" borderId="221" xfId="0" applyNumberFormat="1" applyFont="1" applyFill="1" applyBorder="1" applyAlignment="1">
      <alignment horizontal="center" vertical="center"/>
    </xf>
    <xf numFmtId="0" fontId="6" fillId="14" borderId="0" xfId="0" applyFont="1" applyFill="1" applyBorder="1" applyAlignment="1">
      <alignment vertical="top"/>
    </xf>
    <xf numFmtId="0" fontId="100" fillId="14" borderId="0" xfId="0" applyFont="1" applyFill="1" applyBorder="1" applyAlignment="1">
      <alignment horizontal="center" vertical="top" wrapText="1"/>
    </xf>
    <xf numFmtId="0" fontId="105" fillId="14" borderId="0" xfId="0" applyFont="1" applyFill="1" applyBorder="1" applyAlignment="1">
      <alignment horizontal="center" vertical="top"/>
    </xf>
    <xf numFmtId="0" fontId="16" fillId="14" borderId="0" xfId="0" applyFont="1" applyFill="1" applyBorder="1" applyAlignment="1">
      <alignment horizontal="center" vertical="top" textRotation="90"/>
    </xf>
    <xf numFmtId="0" fontId="8" fillId="12" borderId="297" xfId="0" applyFont="1" applyFill="1" applyBorder="1" applyAlignment="1">
      <alignment horizontal="center" vertical="center"/>
    </xf>
    <xf numFmtId="0" fontId="8" fillId="12" borderId="298" xfId="0" applyFont="1" applyFill="1" applyBorder="1" applyAlignment="1">
      <alignment horizontal="center" vertical="center"/>
    </xf>
    <xf numFmtId="0" fontId="8" fillId="12" borderId="299" xfId="0" applyFont="1" applyFill="1" applyBorder="1" applyAlignment="1">
      <alignment horizontal="center" vertical="center"/>
    </xf>
    <xf numFmtId="0" fontId="43" fillId="22" borderId="7" xfId="0" applyFont="1" applyFill="1" applyBorder="1" applyAlignment="1">
      <alignment vertical="center"/>
    </xf>
    <xf numFmtId="0" fontId="43" fillId="22" borderId="16" xfId="0" applyFont="1" applyFill="1" applyBorder="1" applyAlignment="1">
      <alignment vertical="center"/>
    </xf>
    <xf numFmtId="0" fontId="43" fillId="22" borderId="12" xfId="0" applyFont="1" applyFill="1" applyBorder="1" applyAlignment="1">
      <alignment vertical="center"/>
    </xf>
    <xf numFmtId="171" fontId="66" fillId="22" borderId="8" xfId="0" quotePrefix="1" applyNumberFormat="1" applyFont="1" applyFill="1" applyBorder="1" applyAlignment="1">
      <alignment horizontal="center" vertical="center"/>
    </xf>
    <xf numFmtId="171" fontId="66" fillId="22" borderId="10" xfId="0" quotePrefix="1" applyNumberFormat="1" applyFont="1" applyFill="1" applyBorder="1" applyAlignment="1">
      <alignment horizontal="center" vertical="center"/>
    </xf>
    <xf numFmtId="0" fontId="1" fillId="0" borderId="0" xfId="0" applyFont="1" applyFill="1" applyBorder="1" applyAlignment="1">
      <alignment wrapText="1"/>
    </xf>
    <xf numFmtId="0" fontId="0" fillId="0" borderId="0" xfId="0" applyFill="1" applyBorder="1"/>
    <xf numFmtId="0" fontId="46" fillId="0" borderId="0" xfId="0" applyFont="1" applyFill="1" applyBorder="1"/>
    <xf numFmtId="171" fontId="5" fillId="0" borderId="0" xfId="0" applyNumberFormat="1" applyFont="1" applyFill="1" applyBorder="1" applyAlignment="1">
      <alignment horizontal="left" vertical="center" indent="1"/>
    </xf>
    <xf numFmtId="171" fontId="5" fillId="0" borderId="0" xfId="0" applyNumberFormat="1" applyFont="1" applyFill="1" applyBorder="1" applyAlignment="1">
      <alignment horizontal="center" vertical="center"/>
    </xf>
    <xf numFmtId="0" fontId="44" fillId="0" borderId="0" xfId="0" applyNumberFormat="1" applyFont="1" applyFill="1" applyBorder="1" applyAlignment="1">
      <alignment horizontal="center"/>
    </xf>
    <xf numFmtId="0" fontId="44" fillId="0" borderId="0" xfId="0" applyNumberFormat="1" applyFont="1" applyFill="1" applyBorder="1" applyAlignment="1">
      <alignment horizontal="center" vertical="center"/>
    </xf>
    <xf numFmtId="0" fontId="16" fillId="0" borderId="0" xfId="0" applyNumberFormat="1" applyFont="1" applyFill="1" applyBorder="1" applyAlignment="1">
      <alignment horizontal="center" vertical="center"/>
    </xf>
    <xf numFmtId="3" fontId="16" fillId="0" borderId="0" xfId="0" applyNumberFormat="1" applyFont="1" applyFill="1" applyBorder="1" applyAlignment="1">
      <alignment vertical="center"/>
    </xf>
    <xf numFmtId="0" fontId="16" fillId="0" borderId="0" xfId="0" applyNumberFormat="1" applyFont="1" applyFill="1" applyBorder="1" applyAlignment="1">
      <alignment vertical="center"/>
    </xf>
    <xf numFmtId="0" fontId="44" fillId="0" borderId="0" xfId="0" applyNumberFormat="1" applyFont="1" applyFill="1" applyBorder="1" applyAlignment="1">
      <alignment vertical="center"/>
    </xf>
    <xf numFmtId="171" fontId="66" fillId="0" borderId="0" xfId="0" quotePrefix="1" applyNumberFormat="1" applyFont="1" applyFill="1" applyBorder="1" applyAlignment="1">
      <alignment horizontal="center" vertical="center"/>
    </xf>
    <xf numFmtId="0" fontId="1" fillId="26" borderId="0" xfId="0" applyFont="1" applyFill="1" applyBorder="1" applyAlignment="1">
      <alignment horizontal="center" textRotation="90"/>
    </xf>
    <xf numFmtId="0" fontId="8" fillId="26" borderId="0" xfId="0" applyFont="1" applyFill="1" applyBorder="1" applyAlignment="1">
      <alignment horizontal="center" textRotation="90"/>
    </xf>
    <xf numFmtId="0" fontId="41" fillId="3" borderId="147" xfId="0" applyFont="1" applyFill="1" applyBorder="1" applyAlignment="1">
      <alignment horizontal="center" vertical="center"/>
    </xf>
    <xf numFmtId="0" fontId="5" fillId="0" borderId="156" xfId="0" applyFont="1" applyFill="1" applyBorder="1" applyAlignment="1">
      <alignment vertical="center"/>
    </xf>
    <xf numFmtId="0" fontId="5" fillId="0" borderId="0" xfId="0" applyFont="1" applyBorder="1" applyAlignment="1">
      <alignment vertical="center"/>
    </xf>
    <xf numFmtId="0" fontId="5" fillId="22" borderId="8" xfId="0" applyFont="1" applyFill="1" applyBorder="1" applyAlignment="1">
      <alignment vertical="center"/>
    </xf>
    <xf numFmtId="0" fontId="5" fillId="22" borderId="10" xfId="0" applyFont="1" applyFill="1" applyBorder="1" applyAlignment="1">
      <alignment vertical="center"/>
    </xf>
    <xf numFmtId="182" fontId="46" fillId="12" borderId="308" xfId="0" applyNumberFormat="1" applyFont="1" applyFill="1" applyBorder="1" applyAlignment="1">
      <alignment horizontal="center" vertical="center"/>
    </xf>
    <xf numFmtId="0" fontId="8" fillId="12" borderId="307" xfId="0" applyFont="1" applyFill="1" applyBorder="1" applyAlignment="1">
      <alignment horizontal="center" vertical="center"/>
    </xf>
    <xf numFmtId="49" fontId="8" fillId="12" borderId="311" xfId="0" applyNumberFormat="1" applyFont="1" applyFill="1" applyBorder="1" applyAlignment="1">
      <alignment horizontal="center" vertical="center"/>
    </xf>
    <xf numFmtId="49" fontId="8" fillId="12" borderId="312" xfId="0" applyNumberFormat="1" applyFont="1" applyFill="1" applyBorder="1" applyAlignment="1">
      <alignment horizontal="center" vertical="center"/>
    </xf>
    <xf numFmtId="49" fontId="6" fillId="12" borderId="313" xfId="0" applyNumberFormat="1" applyFont="1" applyFill="1" applyBorder="1" applyAlignment="1">
      <alignment vertical="center"/>
    </xf>
    <xf numFmtId="49" fontId="9" fillId="12" borderId="306" xfId="0" applyNumberFormat="1" applyFont="1" applyFill="1" applyBorder="1" applyAlignment="1">
      <alignment horizontal="left" vertical="center"/>
    </xf>
    <xf numFmtId="170" fontId="10" fillId="10" borderId="2" xfId="0" applyNumberFormat="1" applyFont="1" applyFill="1" applyBorder="1" applyAlignment="1">
      <alignment horizontal="right" vertical="center" indent="1"/>
    </xf>
    <xf numFmtId="0" fontId="14" fillId="22" borderId="8" xfId="0" applyFont="1" applyFill="1" applyBorder="1" applyAlignment="1">
      <alignment horizontal="left" vertical="center"/>
    </xf>
    <xf numFmtId="0" fontId="5" fillId="22" borderId="8" xfId="0" applyFont="1" applyFill="1" applyBorder="1" applyAlignment="1">
      <alignment horizontal="center" vertical="center"/>
    </xf>
    <xf numFmtId="0" fontId="43" fillId="22" borderId="9" xfId="0" applyFont="1" applyFill="1" applyBorder="1" applyAlignment="1">
      <alignment vertical="center"/>
    </xf>
    <xf numFmtId="0" fontId="14" fillId="22" borderId="10" xfId="0" applyFont="1" applyFill="1" applyBorder="1" applyAlignment="1">
      <alignment horizontal="left" vertical="center"/>
    </xf>
    <xf numFmtId="0" fontId="43" fillId="22" borderId="8" xfId="0" applyFont="1" applyFill="1" applyBorder="1" applyAlignment="1">
      <alignment vertical="center"/>
    </xf>
    <xf numFmtId="0" fontId="8" fillId="3" borderId="0" xfId="0" applyFont="1" applyFill="1" applyBorder="1" applyAlignment="1">
      <alignment horizontal="center" vertical="top" wrapText="1"/>
    </xf>
    <xf numFmtId="0" fontId="8" fillId="22" borderId="8" xfId="0" applyFont="1" applyFill="1" applyBorder="1" applyAlignment="1">
      <alignment horizontal="right" vertical="center"/>
    </xf>
    <xf numFmtId="0" fontId="8" fillId="22" borderId="10" xfId="0" applyFont="1" applyFill="1" applyBorder="1" applyAlignment="1">
      <alignment horizontal="right" vertical="center"/>
    </xf>
    <xf numFmtId="0" fontId="51" fillId="22" borderId="9" xfId="0" applyFont="1" applyFill="1" applyBorder="1" applyAlignment="1">
      <alignment horizontal="left" vertical="center"/>
    </xf>
    <xf numFmtId="0" fontId="51" fillId="3" borderId="0" xfId="0" applyFont="1" applyFill="1" applyAlignment="1">
      <alignment vertical="top" wrapText="1"/>
    </xf>
    <xf numFmtId="0" fontId="8" fillId="3" borderId="10" xfId="0" applyFont="1" applyFill="1" applyBorder="1" applyAlignment="1">
      <alignment horizontal="center" vertical="center"/>
    </xf>
    <xf numFmtId="171" fontId="10" fillId="3" borderId="147" xfId="0" applyNumberFormat="1" applyFont="1" applyFill="1" applyBorder="1" applyAlignment="1">
      <alignment horizontal="left" vertical="center" indent="1"/>
    </xf>
    <xf numFmtId="0" fontId="32" fillId="0" borderId="147" xfId="0" applyFont="1" applyFill="1" applyBorder="1"/>
    <xf numFmtId="0" fontId="32" fillId="0" borderId="47" xfId="0" applyFont="1" applyFill="1" applyBorder="1"/>
    <xf numFmtId="0" fontId="32" fillId="0" borderId="48" xfId="0" applyFont="1" applyFill="1" applyBorder="1"/>
    <xf numFmtId="0" fontId="70" fillId="0" borderId="48" xfId="0" applyFont="1" applyFill="1" applyBorder="1"/>
    <xf numFmtId="0" fontId="32" fillId="0" borderId="167" xfId="0" applyFont="1" applyFill="1" applyBorder="1"/>
    <xf numFmtId="0" fontId="32" fillId="0" borderId="37" xfId="0" applyFont="1" applyBorder="1"/>
    <xf numFmtId="0" fontId="6" fillId="0" borderId="0" xfId="0" applyFont="1" applyFill="1" applyBorder="1" applyAlignment="1">
      <alignment horizontal="right" vertical="center"/>
    </xf>
    <xf numFmtId="0" fontId="32" fillId="0" borderId="168" xfId="0" applyFont="1" applyFill="1" applyBorder="1"/>
    <xf numFmtId="0" fontId="32" fillId="0" borderId="43" xfId="0" applyFont="1" applyFill="1" applyBorder="1"/>
    <xf numFmtId="0" fontId="32" fillId="0" borderId="169" xfId="0" applyFont="1" applyBorder="1"/>
    <xf numFmtId="3" fontId="41" fillId="40" borderId="1" xfId="0" applyNumberFormat="1" applyFont="1" applyFill="1" applyBorder="1" applyAlignment="1">
      <alignment horizontal="center" vertical="center"/>
    </xf>
    <xf numFmtId="3" fontId="41" fillId="38" borderId="1" xfId="0" applyNumberFormat="1" applyFont="1" applyFill="1" applyBorder="1" applyAlignment="1">
      <alignment horizontal="center" vertical="center"/>
    </xf>
    <xf numFmtId="3" fontId="41" fillId="39" borderId="1" xfId="0" applyNumberFormat="1" applyFont="1" applyFill="1" applyBorder="1" applyAlignment="1">
      <alignment horizontal="center" vertical="center"/>
    </xf>
    <xf numFmtId="0" fontId="32" fillId="0" borderId="0" xfId="0" applyFont="1" applyFill="1" applyBorder="1" applyAlignment="1">
      <alignment horizontal="right" indent="1"/>
    </xf>
    <xf numFmtId="0" fontId="43" fillId="0" borderId="0" xfId="0" applyFont="1" applyAlignment="1">
      <alignment horizontal="right" indent="1"/>
    </xf>
    <xf numFmtId="0" fontId="1" fillId="22" borderId="12" xfId="0" applyFont="1" applyFill="1" applyBorder="1" applyAlignment="1">
      <alignment horizontal="right"/>
    </xf>
    <xf numFmtId="0" fontId="8" fillId="22" borderId="7" xfId="0" applyFont="1" applyFill="1" applyBorder="1" applyAlignment="1">
      <alignment horizontal="right"/>
    </xf>
    <xf numFmtId="0" fontId="8" fillId="22" borderId="16" xfId="0" applyFont="1" applyFill="1" applyBorder="1" applyAlignment="1">
      <alignment horizontal="right"/>
    </xf>
    <xf numFmtId="0" fontId="8" fillId="22" borderId="12" xfId="0" applyFont="1" applyFill="1" applyBorder="1" applyAlignment="1">
      <alignment horizontal="right"/>
    </xf>
    <xf numFmtId="0" fontId="34" fillId="0" borderId="0" xfId="0" applyFont="1" applyAlignment="1">
      <alignment vertical="center"/>
    </xf>
    <xf numFmtId="0" fontId="32" fillId="22" borderId="8" xfId="0" applyFont="1" applyFill="1" applyBorder="1"/>
    <xf numFmtId="0" fontId="32" fillId="22" borderId="10" xfId="0" applyFont="1" applyFill="1" applyBorder="1"/>
    <xf numFmtId="0" fontId="8" fillId="0" borderId="147" xfId="0" applyFont="1" applyFill="1" applyBorder="1" applyAlignment="1">
      <alignment horizontal="left" vertical="center" indent="1"/>
    </xf>
    <xf numFmtId="0" fontId="8" fillId="0" borderId="12" xfId="0" applyFont="1" applyFill="1" applyBorder="1" applyAlignment="1">
      <alignment horizontal="left" vertical="center" indent="1"/>
    </xf>
    <xf numFmtId="0" fontId="51" fillId="22" borderId="9" xfId="0" applyFont="1" applyFill="1" applyBorder="1" applyAlignment="1">
      <alignment vertical="center"/>
    </xf>
    <xf numFmtId="0" fontId="51" fillId="22" borderId="8" xfId="0" applyFont="1" applyFill="1" applyBorder="1" applyAlignment="1">
      <alignment vertical="center"/>
    </xf>
    <xf numFmtId="0" fontId="43" fillId="0" borderId="0" xfId="0" applyFont="1" applyAlignment="1">
      <alignment horizontal="right" vertical="center"/>
    </xf>
    <xf numFmtId="0" fontId="6" fillId="12" borderId="147" xfId="0" applyFont="1" applyFill="1" applyBorder="1" applyAlignment="1">
      <alignment horizontal="center" vertical="center"/>
    </xf>
    <xf numFmtId="0" fontId="6" fillId="12" borderId="9" xfId="0" applyFont="1" applyFill="1" applyBorder="1" applyAlignment="1">
      <alignment horizontal="center" vertical="center"/>
    </xf>
    <xf numFmtId="0" fontId="51" fillId="0" borderId="0" xfId="0" applyFont="1" applyAlignment="1">
      <alignment horizontal="left" vertical="center"/>
    </xf>
    <xf numFmtId="3" fontId="8" fillId="0" borderId="270" xfId="0" applyNumberFormat="1" applyFont="1" applyBorder="1" applyAlignment="1">
      <alignment horizontal="center" vertical="center"/>
    </xf>
    <xf numFmtId="3" fontId="8" fillId="0" borderId="316" xfId="0" applyNumberFormat="1" applyFont="1" applyBorder="1" applyAlignment="1">
      <alignment horizontal="center" vertical="center"/>
    </xf>
    <xf numFmtId="3" fontId="8" fillId="0" borderId="133" xfId="0" applyNumberFormat="1" applyFont="1" applyBorder="1" applyAlignment="1">
      <alignment horizontal="center" vertical="center"/>
    </xf>
    <xf numFmtId="3" fontId="8" fillId="0" borderId="95" xfId="0" applyNumberFormat="1" applyFont="1" applyBorder="1" applyAlignment="1">
      <alignment horizontal="center" vertical="center"/>
    </xf>
    <xf numFmtId="3" fontId="8" fillId="0" borderId="314" xfId="0" applyNumberFormat="1" applyFont="1" applyBorder="1" applyAlignment="1">
      <alignment horizontal="center" vertical="center"/>
    </xf>
    <xf numFmtId="3" fontId="8" fillId="0" borderId="206" xfId="0" applyNumberFormat="1" applyFont="1" applyBorder="1" applyAlignment="1">
      <alignment horizontal="center" vertical="center"/>
    </xf>
    <xf numFmtId="3" fontId="8" fillId="0" borderId="286" xfId="0" applyNumberFormat="1" applyFont="1" applyBorder="1" applyAlignment="1">
      <alignment horizontal="center" vertical="center"/>
    </xf>
    <xf numFmtId="3" fontId="8" fillId="0" borderId="315" xfId="0" applyNumberFormat="1" applyFont="1" applyBorder="1" applyAlignment="1">
      <alignment horizontal="center" vertical="center"/>
    </xf>
    <xf numFmtId="3" fontId="8" fillId="0" borderId="132" xfId="0" applyNumberFormat="1" applyFont="1" applyBorder="1" applyAlignment="1">
      <alignment horizontal="center" vertical="center"/>
    </xf>
    <xf numFmtId="3" fontId="8" fillId="0" borderId="201" xfId="0" applyNumberFormat="1" applyFont="1" applyBorder="1" applyAlignment="1">
      <alignment horizontal="center" vertical="center"/>
    </xf>
    <xf numFmtId="0" fontId="56" fillId="27" borderId="0" xfId="0" applyFont="1" applyFill="1"/>
    <xf numFmtId="0" fontId="32" fillId="27" borderId="0" xfId="0" applyFont="1" applyFill="1" applyAlignment="1"/>
    <xf numFmtId="0" fontId="32" fillId="0" borderId="0" xfId="0" applyFont="1" applyAlignment="1"/>
    <xf numFmtId="0" fontId="43" fillId="0" borderId="0" xfId="0" applyFont="1" applyAlignment="1"/>
    <xf numFmtId="0" fontId="32" fillId="27" borderId="0" xfId="0" applyFont="1" applyFill="1" applyAlignment="1">
      <alignment vertical="center"/>
    </xf>
    <xf numFmtId="0" fontId="41" fillId="3" borderId="147" xfId="0" applyFont="1" applyFill="1" applyBorder="1" applyAlignment="1">
      <alignment vertical="center" wrapText="1"/>
    </xf>
    <xf numFmtId="189" fontId="33" fillId="0" borderId="9" xfId="0" applyNumberFormat="1" applyFont="1" applyFill="1" applyBorder="1" applyAlignment="1">
      <alignment horizontal="center" vertical="center"/>
    </xf>
    <xf numFmtId="189" fontId="110" fillId="22" borderId="89" xfId="0" applyNumberFormat="1" applyFont="1" applyFill="1" applyBorder="1" applyAlignment="1">
      <alignment horizontal="center" vertical="center" readingOrder="1"/>
    </xf>
    <xf numFmtId="189" fontId="110" fillId="22" borderId="39" xfId="0" applyNumberFormat="1" applyFont="1" applyFill="1" applyBorder="1" applyAlignment="1">
      <alignment horizontal="center" vertical="center" readingOrder="1"/>
    </xf>
    <xf numFmtId="189" fontId="110" fillId="22" borderId="63" xfId="0" applyNumberFormat="1" applyFont="1" applyFill="1" applyBorder="1" applyAlignment="1">
      <alignment horizontal="center" vertical="center" readingOrder="1"/>
    </xf>
    <xf numFmtId="0" fontId="8" fillId="0" borderId="323" xfId="0" applyFont="1" applyFill="1" applyBorder="1" applyAlignment="1">
      <alignment vertical="center"/>
    </xf>
    <xf numFmtId="0" fontId="110" fillId="22" borderId="324" xfId="0" applyFont="1" applyFill="1" applyBorder="1" applyAlignment="1">
      <alignment horizontal="left" vertical="center" readingOrder="1"/>
    </xf>
    <xf numFmtId="0" fontId="110" fillId="22" borderId="325" xfId="0" applyFont="1" applyFill="1" applyBorder="1" applyAlignment="1">
      <alignment horizontal="left" vertical="center" readingOrder="1"/>
    </xf>
    <xf numFmtId="0" fontId="110" fillId="22" borderId="326" xfId="0" applyFont="1" applyFill="1" applyBorder="1" applyAlignment="1">
      <alignment horizontal="left" vertical="center" readingOrder="1"/>
    </xf>
    <xf numFmtId="0" fontId="81" fillId="0" borderId="40" xfId="0" applyFont="1" applyFill="1" applyBorder="1" applyAlignment="1">
      <alignment horizontal="left" vertical="center" readingOrder="1"/>
    </xf>
    <xf numFmtId="0" fontId="8" fillId="0" borderId="40" xfId="0" applyFont="1" applyFill="1" applyBorder="1" applyAlignment="1">
      <alignment horizontal="left" vertical="center" readingOrder="1"/>
    </xf>
    <xf numFmtId="0" fontId="8" fillId="0" borderId="176" xfId="0" applyNumberFormat="1" applyFont="1" applyFill="1" applyBorder="1" applyAlignment="1">
      <alignment vertical="center"/>
    </xf>
    <xf numFmtId="189" fontId="8" fillId="0" borderId="147" xfId="0" applyNumberFormat="1" applyFont="1" applyFill="1" applyBorder="1" applyAlignment="1">
      <alignment horizontal="center" vertical="center" readingOrder="1"/>
    </xf>
    <xf numFmtId="3" fontId="16" fillId="3" borderId="113" xfId="0" applyNumberFormat="1" applyFont="1" applyFill="1" applyBorder="1" applyAlignment="1">
      <alignment horizontal="center" vertical="center"/>
    </xf>
    <xf numFmtId="0" fontId="1" fillId="0" borderId="43" xfId="0" applyFont="1" applyBorder="1"/>
    <xf numFmtId="0" fontId="8" fillId="0" borderId="43" xfId="0" applyFont="1" applyBorder="1" applyAlignment="1">
      <alignment horizontal="right" vertical="center"/>
    </xf>
    <xf numFmtId="2" fontId="8" fillId="3" borderId="147" xfId="1" applyNumberFormat="1" applyFont="1" applyFill="1" applyBorder="1" applyAlignment="1">
      <alignment horizontal="center" vertical="center"/>
    </xf>
    <xf numFmtId="3" fontId="10" fillId="0" borderId="132" xfId="0" applyNumberFormat="1" applyFont="1" applyBorder="1" applyAlignment="1">
      <alignment horizontal="right" vertical="center" indent="1"/>
    </xf>
    <xf numFmtId="0" fontId="8" fillId="0" borderId="23" xfId="0" applyFont="1" applyFill="1" applyBorder="1" applyAlignment="1">
      <alignment horizontal="left" vertical="center" indent="1"/>
    </xf>
    <xf numFmtId="0" fontId="64" fillId="22" borderId="226" xfId="0" applyFont="1" applyFill="1" applyBorder="1" applyAlignment="1">
      <alignment horizontal="left" vertical="top"/>
    </xf>
    <xf numFmtId="0" fontId="73" fillId="0" borderId="0" xfId="0" applyFont="1" applyAlignment="1">
      <alignment vertical="center"/>
    </xf>
    <xf numFmtId="173" fontId="1" fillId="0" borderId="0" xfId="1" applyNumberFormat="1" applyFont="1" applyBorder="1" applyAlignment="1">
      <alignment horizontal="left" vertical="center" indent="1"/>
    </xf>
    <xf numFmtId="0" fontId="33" fillId="12" borderId="23" xfId="0" applyFont="1" applyFill="1" applyBorder="1" applyAlignment="1">
      <alignment horizontal="left" vertical="center" indent="1"/>
    </xf>
    <xf numFmtId="0" fontId="33" fillId="12" borderId="9" xfId="0" applyFont="1" applyFill="1" applyBorder="1" applyAlignment="1">
      <alignment horizontal="left" vertical="center" indent="1"/>
    </xf>
    <xf numFmtId="0" fontId="33" fillId="12" borderId="22" xfId="0" applyFont="1" applyFill="1" applyBorder="1" applyAlignment="1">
      <alignment horizontal="left" vertical="center" indent="1"/>
    </xf>
    <xf numFmtId="0" fontId="8" fillId="0" borderId="9" xfId="0" applyFont="1" applyFill="1" applyBorder="1" applyAlignment="1">
      <alignment horizontal="left" vertical="center" indent="1"/>
    </xf>
    <xf numFmtId="171" fontId="33" fillId="0" borderId="6" xfId="0" applyNumberFormat="1" applyFont="1" applyFill="1" applyBorder="1" applyAlignment="1">
      <alignment horizontal="left" vertical="center" indent="1"/>
    </xf>
    <xf numFmtId="171" fontId="33" fillId="0" borderId="329" xfId="0" applyNumberFormat="1" applyFont="1" applyFill="1" applyBorder="1" applyAlignment="1">
      <alignment horizontal="left" vertical="center" indent="1"/>
    </xf>
    <xf numFmtId="171" fontId="1" fillId="27" borderId="232" xfId="0" applyNumberFormat="1" applyFont="1" applyFill="1" applyBorder="1" applyAlignment="1">
      <alignment horizontal="center" vertical="center"/>
    </xf>
    <xf numFmtId="171" fontId="1" fillId="27" borderId="21" xfId="0" applyNumberFormat="1" applyFont="1" applyFill="1" applyBorder="1" applyAlignment="1">
      <alignment horizontal="center" vertical="center"/>
    </xf>
    <xf numFmtId="0" fontId="8" fillId="0" borderId="219" xfId="0" applyFont="1" applyFill="1" applyBorder="1" applyAlignment="1">
      <alignment horizontal="left" vertical="center" indent="1"/>
    </xf>
    <xf numFmtId="0" fontId="33" fillId="0" borderId="335" xfId="0" applyFont="1" applyFill="1" applyBorder="1" applyAlignment="1">
      <alignment horizontal="left" vertical="center" indent="1"/>
    </xf>
    <xf numFmtId="3" fontId="10" fillId="3" borderId="12" xfId="0" applyNumberFormat="1" applyFont="1" applyFill="1" applyBorder="1" applyAlignment="1">
      <alignment horizontal="center" vertical="center"/>
    </xf>
    <xf numFmtId="0" fontId="5" fillId="27" borderId="0" xfId="0" applyFont="1" applyFill="1" applyBorder="1" applyAlignment="1">
      <alignment horizontal="center" vertical="center"/>
    </xf>
    <xf numFmtId="0" fontId="8" fillId="3" borderId="21" xfId="0" applyFont="1" applyFill="1" applyBorder="1" applyAlignment="1">
      <alignment horizontal="center" vertical="center"/>
    </xf>
    <xf numFmtId="0" fontId="97" fillId="3" borderId="0" xfId="0" applyFont="1" applyFill="1" applyAlignment="1">
      <alignment horizontal="left" vertical="top"/>
    </xf>
    <xf numFmtId="0" fontId="46" fillId="0" borderId="0" xfId="0" applyFont="1" applyAlignment="1">
      <alignment horizontal="left" vertical="center"/>
    </xf>
    <xf numFmtId="0" fontId="41" fillId="42" borderId="100" xfId="0" applyFont="1" applyFill="1" applyBorder="1" applyAlignment="1">
      <alignment horizontal="center" vertical="center"/>
    </xf>
    <xf numFmtId="0" fontId="41" fillId="42" borderId="235" xfId="0" applyFont="1" applyFill="1" applyBorder="1" applyAlignment="1">
      <alignment horizontal="center" vertical="center"/>
    </xf>
    <xf numFmtId="0" fontId="41" fillId="42" borderId="51" xfId="0" applyFont="1" applyFill="1" applyBorder="1" applyAlignment="1">
      <alignment horizontal="center" vertical="center"/>
    </xf>
    <xf numFmtId="0" fontId="10" fillId="0" borderId="340" xfId="0" applyFont="1" applyFill="1" applyBorder="1" applyAlignment="1">
      <alignment horizontal="center" vertical="center"/>
    </xf>
    <xf numFmtId="0" fontId="1" fillId="3" borderId="37" xfId="0" applyFont="1" applyFill="1" applyBorder="1" applyAlignment="1">
      <alignment textRotation="90"/>
    </xf>
    <xf numFmtId="0" fontId="43" fillId="22" borderId="12" xfId="0" applyFont="1" applyFill="1" applyBorder="1" applyAlignment="1">
      <alignment vertical="center" textRotation="90"/>
    </xf>
    <xf numFmtId="183" fontId="8" fillId="48" borderId="15" xfId="0" applyNumberFormat="1" applyFont="1" applyFill="1" applyBorder="1" applyAlignment="1">
      <alignment vertical="center"/>
    </xf>
    <xf numFmtId="183" fontId="8" fillId="48" borderId="2" xfId="0" applyNumberFormat="1" applyFont="1" applyFill="1" applyBorder="1" applyAlignment="1">
      <alignment vertical="center"/>
    </xf>
    <xf numFmtId="3" fontId="8" fillId="48" borderId="1" xfId="0" quotePrefix="1" applyNumberFormat="1" applyFont="1" applyFill="1" applyBorder="1" applyAlignment="1">
      <alignment horizontal="center" vertical="center" textRotation="90"/>
    </xf>
    <xf numFmtId="3" fontId="8" fillId="48" borderId="1" xfId="0" applyNumberFormat="1" applyFont="1" applyFill="1" applyBorder="1" applyAlignment="1">
      <alignment horizontal="center" vertical="center" textRotation="90"/>
    </xf>
    <xf numFmtId="3" fontId="8" fillId="48" borderId="9" xfId="0" applyNumberFormat="1" applyFont="1" applyFill="1" applyBorder="1" applyAlignment="1">
      <alignment horizontal="center" vertical="center" textRotation="90"/>
    </xf>
    <xf numFmtId="0" fontId="1" fillId="0" borderId="0" xfId="0" applyFont="1" applyAlignment="1">
      <alignment horizontal="left" vertical="center"/>
    </xf>
    <xf numFmtId="0" fontId="5" fillId="22" borderId="16" xfId="0" applyFont="1" applyFill="1" applyBorder="1" applyAlignment="1"/>
    <xf numFmtId="3" fontId="10" fillId="3" borderId="160" xfId="0" applyNumberFormat="1" applyFont="1" applyFill="1" applyBorder="1" applyAlignment="1">
      <alignment horizontal="center" vertical="center"/>
    </xf>
    <xf numFmtId="3" fontId="10" fillId="3" borderId="290" xfId="0" applyNumberFormat="1" applyFont="1" applyFill="1" applyBorder="1" applyAlignment="1">
      <alignment horizontal="center" vertical="center"/>
    </xf>
    <xf numFmtId="0" fontId="8" fillId="49" borderId="147" xfId="0" applyFont="1" applyFill="1" applyBorder="1" applyAlignment="1">
      <alignment horizontal="center" vertical="center"/>
    </xf>
    <xf numFmtId="3" fontId="8" fillId="0" borderId="147" xfId="0" applyNumberFormat="1" applyFont="1" applyFill="1" applyBorder="1" applyAlignment="1">
      <alignment horizontal="center" vertical="center"/>
    </xf>
    <xf numFmtId="0" fontId="8" fillId="0" borderId="12" xfId="0" applyFont="1" applyFill="1" applyBorder="1" applyAlignment="1">
      <alignment horizontal="center" vertical="center"/>
    </xf>
    <xf numFmtId="3" fontId="8" fillId="0" borderId="221" xfId="0" applyNumberFormat="1" applyFont="1" applyFill="1" applyBorder="1" applyAlignment="1">
      <alignment horizontal="center" vertical="center"/>
    </xf>
    <xf numFmtId="9" fontId="116" fillId="3" borderId="147" xfId="1" applyFont="1" applyFill="1" applyBorder="1" applyAlignment="1">
      <alignment horizontal="center" vertical="center"/>
    </xf>
    <xf numFmtId="9" fontId="116" fillId="3" borderId="288" xfId="1" applyFont="1" applyFill="1" applyBorder="1" applyAlignment="1">
      <alignment horizontal="center" vertical="center"/>
    </xf>
    <xf numFmtId="9" fontId="116" fillId="3" borderId="289" xfId="1" applyFont="1" applyFill="1" applyBorder="1" applyAlignment="1">
      <alignment horizontal="center" vertical="center"/>
    </xf>
    <xf numFmtId="2" fontId="55" fillId="14" borderId="71" xfId="1" applyNumberFormat="1" applyFont="1" applyFill="1" applyBorder="1" applyAlignment="1">
      <alignment horizontal="center" vertical="center"/>
    </xf>
    <xf numFmtId="0" fontId="8" fillId="27" borderId="0" xfId="0" applyFont="1" applyFill="1" applyAlignment="1">
      <alignment horizontal="center" textRotation="90" wrapText="1"/>
    </xf>
    <xf numFmtId="0" fontId="67" fillId="0" borderId="0" xfId="0" applyFont="1" applyBorder="1" applyAlignment="1">
      <alignment vertical="center" wrapText="1"/>
    </xf>
    <xf numFmtId="0" fontId="17" fillId="27" borderId="0" xfId="0" applyFont="1" applyFill="1"/>
    <xf numFmtId="0" fontId="10" fillId="12" borderId="132" xfId="0" applyFont="1" applyFill="1" applyBorder="1" applyAlignment="1">
      <alignment vertical="center"/>
    </xf>
    <xf numFmtId="0" fontId="10" fillId="12" borderId="346" xfId="0" applyFont="1" applyFill="1" applyBorder="1" applyAlignment="1">
      <alignment vertical="center"/>
    </xf>
    <xf numFmtId="0" fontId="8" fillId="3" borderId="37" xfId="0" applyFont="1" applyFill="1" applyBorder="1" applyAlignment="1">
      <alignment vertical="center" textRotation="90"/>
    </xf>
    <xf numFmtId="181" fontId="8" fillId="3" borderId="147" xfId="0" applyNumberFormat="1" applyFont="1" applyFill="1" applyBorder="1" applyAlignment="1">
      <alignment horizontal="center" vertical="center"/>
    </xf>
    <xf numFmtId="0" fontId="1" fillId="26" borderId="0" xfId="0" applyFont="1" applyFill="1" applyBorder="1" applyAlignment="1">
      <alignment horizontal="center" textRotation="90"/>
    </xf>
    <xf numFmtId="0" fontId="8" fillId="27" borderId="0" xfId="0" applyFont="1" applyFill="1" applyAlignment="1">
      <alignment horizontal="center" textRotation="90" wrapText="1"/>
    </xf>
    <xf numFmtId="0" fontId="92" fillId="0" borderId="0" xfId="0" applyFont="1" applyAlignment="1">
      <alignment vertical="center" wrapText="1"/>
    </xf>
    <xf numFmtId="3" fontId="50" fillId="0" borderId="231" xfId="0" quotePrefix="1" applyNumberFormat="1" applyFont="1" applyFill="1" applyBorder="1" applyAlignment="1">
      <alignment horizontal="center" vertical="center"/>
    </xf>
    <xf numFmtId="3" fontId="50" fillId="0" borderId="147" xfId="0" applyNumberFormat="1" applyFont="1" applyFill="1" applyBorder="1" applyAlignment="1">
      <alignment horizontal="center" vertical="center"/>
    </xf>
    <xf numFmtId="3" fontId="8" fillId="0" borderId="317" xfId="0" quotePrefix="1" applyNumberFormat="1" applyFont="1" applyBorder="1" applyAlignment="1">
      <alignment horizontal="center" vertical="center"/>
    </xf>
    <xf numFmtId="3" fontId="50" fillId="0" borderId="10" xfId="0" quotePrefix="1" applyNumberFormat="1" applyFont="1" applyFill="1" applyBorder="1" applyAlignment="1">
      <alignment horizontal="center" vertical="center"/>
    </xf>
    <xf numFmtId="3" fontId="50" fillId="0" borderId="234" xfId="0" quotePrefix="1" applyNumberFormat="1" applyFont="1" applyFill="1" applyBorder="1" applyAlignment="1">
      <alignment horizontal="center" vertical="center"/>
    </xf>
    <xf numFmtId="3" fontId="50" fillId="0" borderId="25" xfId="0" quotePrefix="1" applyNumberFormat="1" applyFont="1" applyFill="1" applyBorder="1" applyAlignment="1">
      <alignment horizontal="center" vertical="center"/>
    </xf>
    <xf numFmtId="3" fontId="50" fillId="0" borderId="12" xfId="0" applyNumberFormat="1" applyFont="1" applyFill="1" applyBorder="1" applyAlignment="1">
      <alignment horizontal="center" vertical="center"/>
    </xf>
    <xf numFmtId="3" fontId="50" fillId="0" borderId="347" xfId="0" quotePrefix="1" applyNumberFormat="1" applyFont="1" applyFill="1" applyBorder="1" applyAlignment="1">
      <alignment horizontal="center" vertical="center"/>
    </xf>
    <xf numFmtId="3" fontId="50" fillId="0" borderId="348" xfId="0" quotePrefix="1" applyNumberFormat="1" applyFont="1" applyFill="1" applyBorder="1" applyAlignment="1">
      <alignment horizontal="center" vertical="center"/>
    </xf>
    <xf numFmtId="3" fontId="50" fillId="0" borderId="35" xfId="0" applyNumberFormat="1" applyFont="1" applyFill="1" applyBorder="1" applyAlignment="1">
      <alignment horizontal="center" vertical="center"/>
    </xf>
    <xf numFmtId="3" fontId="50" fillId="0" borderId="349" xfId="0" quotePrefix="1" applyNumberFormat="1" applyFont="1" applyFill="1" applyBorder="1" applyAlignment="1">
      <alignment horizontal="center" vertical="center"/>
    </xf>
    <xf numFmtId="3" fontId="50" fillId="0" borderId="350" xfId="0" quotePrefix="1" applyNumberFormat="1" applyFont="1" applyFill="1" applyBorder="1" applyAlignment="1">
      <alignment horizontal="center" vertical="center"/>
    </xf>
    <xf numFmtId="3" fontId="50" fillId="0" borderId="351" xfId="0" applyNumberFormat="1" applyFont="1" applyFill="1" applyBorder="1" applyAlignment="1">
      <alignment horizontal="center" vertical="center"/>
    </xf>
    <xf numFmtId="0" fontId="8" fillId="27" borderId="21" xfId="0" applyFont="1" applyFill="1" applyBorder="1" applyAlignment="1">
      <alignment horizontal="center" vertical="center"/>
    </xf>
    <xf numFmtId="0" fontId="8" fillId="0" borderId="274" xfId="0" applyFont="1" applyFill="1" applyBorder="1" applyAlignment="1">
      <alignment horizontal="center" vertical="center"/>
    </xf>
    <xf numFmtId="0" fontId="8" fillId="27" borderId="275" xfId="0" applyFont="1" applyFill="1" applyBorder="1" applyAlignment="1">
      <alignment horizontal="center" vertical="center"/>
    </xf>
    <xf numFmtId="0" fontId="32" fillId="22" borderId="9" xfId="0" applyFont="1" applyFill="1" applyBorder="1"/>
    <xf numFmtId="0" fontId="90" fillId="12" borderId="147" xfId="0" applyNumberFormat="1" applyFont="1" applyFill="1" applyBorder="1" applyAlignment="1">
      <alignment horizontal="center" vertical="center" wrapText="1"/>
    </xf>
    <xf numFmtId="0" fontId="1" fillId="0" borderId="6" xfId="0" applyFont="1" applyBorder="1" applyAlignment="1">
      <alignment vertical="center"/>
    </xf>
    <xf numFmtId="0" fontId="37" fillId="22" borderId="22" xfId="0" applyFont="1" applyFill="1" applyBorder="1" applyAlignment="1">
      <alignment vertical="center"/>
    </xf>
    <xf numFmtId="0" fontId="34" fillId="22" borderId="89" xfId="0" applyFont="1" applyFill="1" applyBorder="1" applyAlignment="1">
      <alignment vertical="center"/>
    </xf>
    <xf numFmtId="0" fontId="1" fillId="22" borderId="26" xfId="0" applyFont="1" applyFill="1" applyBorder="1" applyAlignment="1">
      <alignment vertical="center"/>
    </xf>
    <xf numFmtId="0" fontId="34" fillId="22" borderId="29" xfId="0" applyFont="1" applyFill="1" applyBorder="1" applyAlignment="1">
      <alignment vertical="center"/>
    </xf>
    <xf numFmtId="0" fontId="8" fillId="0" borderId="352" xfId="0" applyFont="1" applyFill="1" applyBorder="1" applyAlignment="1">
      <alignment horizontal="center" vertical="center"/>
    </xf>
    <xf numFmtId="0" fontId="8" fillId="0" borderId="353" xfId="0" applyFont="1" applyFill="1" applyBorder="1" applyAlignment="1">
      <alignment horizontal="center" vertical="center"/>
    </xf>
    <xf numFmtId="0" fontId="51" fillId="3" borderId="0" xfId="0" applyFont="1" applyFill="1" applyAlignment="1">
      <alignment vertical="center"/>
    </xf>
    <xf numFmtId="0" fontId="32" fillId="22" borderId="0" xfId="0" quotePrefix="1" applyFont="1" applyFill="1"/>
    <xf numFmtId="0" fontId="8" fillId="0" borderId="274" xfId="0" applyFont="1" applyFill="1" applyBorder="1" applyAlignment="1">
      <alignment horizontal="center" vertical="center" wrapText="1"/>
    </xf>
    <xf numFmtId="0" fontId="56" fillId="3" borderId="0" xfId="0" applyFont="1" applyFill="1"/>
    <xf numFmtId="0" fontId="55" fillId="14" borderId="306" xfId="1" applyNumberFormat="1" applyFont="1" applyFill="1" applyBorder="1" applyAlignment="1">
      <alignment horizontal="center" vertical="center"/>
    </xf>
    <xf numFmtId="0" fontId="1" fillId="26" borderId="0" xfId="0" applyFont="1" applyFill="1" applyBorder="1" applyAlignment="1">
      <alignment horizontal="center" textRotation="90"/>
    </xf>
    <xf numFmtId="0" fontId="8" fillId="27" borderId="0" xfId="0" applyFont="1" applyFill="1" applyAlignment="1">
      <alignment horizontal="center" textRotation="90" wrapText="1"/>
    </xf>
    <xf numFmtId="0" fontId="8" fillId="27" borderId="0" xfId="0" applyFont="1" applyFill="1" applyAlignment="1">
      <alignment horizontal="center" textRotation="90" wrapText="1"/>
    </xf>
    <xf numFmtId="9" fontId="8" fillId="0" borderId="318" xfId="1" applyFont="1" applyBorder="1" applyAlignment="1">
      <alignment horizontal="center" vertical="center"/>
    </xf>
    <xf numFmtId="9" fontId="8" fillId="0" borderId="319" xfId="1" applyFont="1" applyBorder="1" applyAlignment="1">
      <alignment horizontal="center" vertical="center"/>
    </xf>
    <xf numFmtId="9" fontId="8" fillId="0" borderId="321" xfId="1" applyFont="1" applyBorder="1" applyAlignment="1">
      <alignment horizontal="center" vertical="center"/>
    </xf>
    <xf numFmtId="9" fontId="8" fillId="0" borderId="320" xfId="1" applyFont="1" applyBorder="1" applyAlignment="1">
      <alignment horizontal="center" vertical="center"/>
    </xf>
    <xf numFmtId="173" fontId="8" fillId="0" borderId="317" xfId="1" applyNumberFormat="1" applyFont="1" applyBorder="1" applyAlignment="1">
      <alignment horizontal="center" vertical="center"/>
    </xf>
    <xf numFmtId="173" fontId="8" fillId="0" borderId="270" xfId="1" applyNumberFormat="1" applyFont="1" applyBorder="1" applyAlignment="1">
      <alignment horizontal="center" vertical="center"/>
    </xf>
    <xf numFmtId="173" fontId="8" fillId="0" borderId="133" xfId="1" applyNumberFormat="1" applyFont="1" applyBorder="1" applyAlignment="1">
      <alignment horizontal="center" vertical="center"/>
    </xf>
    <xf numFmtId="173" fontId="8" fillId="0" borderId="95" xfId="1" applyNumberFormat="1" applyFont="1" applyBorder="1" applyAlignment="1">
      <alignment horizontal="center" vertical="center"/>
    </xf>
    <xf numFmtId="173" fontId="8" fillId="0" borderId="132" xfId="1" applyNumberFormat="1" applyFont="1" applyBorder="1" applyAlignment="1">
      <alignment horizontal="center" vertical="center"/>
    </xf>
    <xf numFmtId="173" fontId="8" fillId="0" borderId="314" xfId="1" applyNumberFormat="1" applyFont="1" applyBorder="1" applyAlignment="1">
      <alignment horizontal="center" vertical="center"/>
    </xf>
    <xf numFmtId="173" fontId="8" fillId="0" borderId="206" xfId="1" applyNumberFormat="1" applyFont="1" applyBorder="1" applyAlignment="1">
      <alignment horizontal="center" vertical="center"/>
    </xf>
    <xf numFmtId="173" fontId="8" fillId="0" borderId="286" xfId="1" applyNumberFormat="1" applyFont="1" applyBorder="1" applyAlignment="1">
      <alignment horizontal="center" vertical="center"/>
    </xf>
    <xf numFmtId="173" fontId="8" fillId="0" borderId="201" xfId="1" applyNumberFormat="1" applyFont="1" applyBorder="1" applyAlignment="1">
      <alignment horizontal="center" vertical="center"/>
    </xf>
    <xf numFmtId="173" fontId="8" fillId="0" borderId="315" xfId="1" applyNumberFormat="1" applyFont="1" applyBorder="1" applyAlignment="1">
      <alignment horizontal="center" vertical="center"/>
    </xf>
    <xf numFmtId="0" fontId="8" fillId="0" borderId="6" xfId="0" applyFont="1" applyFill="1" applyBorder="1" applyAlignment="1">
      <alignment horizontal="left" vertical="center" indent="1"/>
    </xf>
    <xf numFmtId="173" fontId="8" fillId="0" borderId="359" xfId="1" applyNumberFormat="1" applyFont="1" applyBorder="1" applyAlignment="1">
      <alignment horizontal="center" vertical="center"/>
    </xf>
    <xf numFmtId="173" fontId="8" fillId="0" borderId="284" xfId="1" applyNumberFormat="1" applyFont="1" applyBorder="1" applyAlignment="1">
      <alignment horizontal="center" vertical="center"/>
    </xf>
    <xf numFmtId="173" fontId="8" fillId="0" borderId="360" xfId="1" applyNumberFormat="1" applyFont="1" applyBorder="1" applyAlignment="1">
      <alignment horizontal="center" vertical="center"/>
    </xf>
    <xf numFmtId="173" fontId="8" fillId="0" borderId="364" xfId="1" applyNumberFormat="1" applyFont="1" applyBorder="1" applyAlignment="1">
      <alignment horizontal="center" vertical="center"/>
    </xf>
    <xf numFmtId="0" fontId="8" fillId="0" borderId="274" xfId="0" applyFont="1" applyFill="1" applyBorder="1" applyAlignment="1">
      <alignment horizontal="left" vertical="center" indent="1"/>
    </xf>
    <xf numFmtId="173" fontId="8" fillId="0" borderId="365" xfId="1" applyNumberFormat="1" applyFont="1" applyBorder="1" applyAlignment="1">
      <alignment horizontal="center" vertical="center"/>
    </xf>
    <xf numFmtId="173" fontId="8" fillId="0" borderId="366" xfId="1" applyNumberFormat="1" applyFont="1" applyBorder="1" applyAlignment="1">
      <alignment horizontal="center" vertical="center"/>
    </xf>
    <xf numFmtId="173" fontId="8" fillId="0" borderId="367" xfId="1" applyNumberFormat="1" applyFont="1" applyBorder="1" applyAlignment="1">
      <alignment horizontal="center" vertical="center"/>
    </xf>
    <xf numFmtId="173" fontId="8" fillId="0" borderId="368" xfId="1" applyNumberFormat="1" applyFont="1" applyBorder="1" applyAlignment="1">
      <alignment horizontal="center" vertical="center"/>
    </xf>
    <xf numFmtId="3" fontId="50" fillId="0" borderId="283" xfId="0" quotePrefix="1" applyNumberFormat="1" applyFont="1" applyFill="1" applyBorder="1" applyAlignment="1">
      <alignment horizontal="center" vertical="center"/>
    </xf>
    <xf numFmtId="3" fontId="50" fillId="0" borderId="5" xfId="0" quotePrefix="1" applyNumberFormat="1" applyFont="1" applyFill="1" applyBorder="1" applyAlignment="1">
      <alignment horizontal="center" vertical="center"/>
    </xf>
    <xf numFmtId="3" fontId="50" fillId="0" borderId="16" xfId="0" applyNumberFormat="1" applyFont="1" applyFill="1" applyBorder="1" applyAlignment="1">
      <alignment horizontal="center" vertical="center"/>
    </xf>
    <xf numFmtId="3" fontId="8" fillId="0" borderId="361" xfId="0" applyNumberFormat="1" applyFont="1" applyBorder="1" applyAlignment="1">
      <alignment horizontal="center" vertical="center"/>
    </xf>
    <xf numFmtId="3" fontId="8" fillId="0" borderId="362" xfId="0" applyNumberFormat="1" applyFont="1" applyBorder="1" applyAlignment="1">
      <alignment horizontal="center" vertical="center"/>
    </xf>
    <xf numFmtId="3" fontId="8" fillId="0" borderId="363" xfId="0" applyNumberFormat="1" applyFont="1" applyBorder="1" applyAlignment="1">
      <alignment horizontal="center" vertical="center"/>
    </xf>
    <xf numFmtId="3" fontId="50" fillId="0" borderId="369" xfId="0" quotePrefix="1" applyNumberFormat="1" applyFont="1" applyFill="1" applyBorder="1" applyAlignment="1">
      <alignment horizontal="center" vertical="center"/>
    </xf>
    <xf numFmtId="3" fontId="50" fillId="0" borderId="226" xfId="0" quotePrefix="1" applyNumberFormat="1" applyFont="1" applyFill="1" applyBorder="1" applyAlignment="1">
      <alignment horizontal="center" vertical="center"/>
    </xf>
    <xf numFmtId="3" fontId="50" fillId="0" borderId="222" xfId="0" applyNumberFormat="1" applyFont="1" applyFill="1" applyBorder="1" applyAlignment="1">
      <alignment horizontal="center" vertical="center"/>
    </xf>
    <xf numFmtId="3" fontId="50" fillId="0" borderId="259" xfId="0" quotePrefix="1" applyNumberFormat="1" applyFont="1" applyFill="1" applyBorder="1" applyAlignment="1">
      <alignment horizontal="center" vertical="center"/>
    </xf>
    <xf numFmtId="3" fontId="50" fillId="0" borderId="260" xfId="0" quotePrefix="1" applyNumberFormat="1" applyFont="1" applyFill="1" applyBorder="1" applyAlignment="1">
      <alignment horizontal="center" vertical="center"/>
    </xf>
    <xf numFmtId="3" fontId="50" fillId="0" borderId="228" xfId="0" applyNumberFormat="1" applyFont="1" applyFill="1" applyBorder="1" applyAlignment="1">
      <alignment horizontal="center" vertical="center"/>
    </xf>
    <xf numFmtId="3" fontId="50" fillId="22" borderId="283" xfId="0" quotePrefix="1" applyNumberFormat="1" applyFont="1" applyFill="1" applyBorder="1" applyAlignment="1">
      <alignment horizontal="center" vertical="center"/>
    </xf>
    <xf numFmtId="3" fontId="50" fillId="22" borderId="5" xfId="0" quotePrefix="1" applyNumberFormat="1" applyFont="1" applyFill="1" applyBorder="1" applyAlignment="1">
      <alignment horizontal="center" vertical="center"/>
    </xf>
    <xf numFmtId="3" fontId="50" fillId="22" borderId="16" xfId="0" applyNumberFormat="1" applyFont="1" applyFill="1" applyBorder="1" applyAlignment="1">
      <alignment horizontal="center" vertical="center"/>
    </xf>
    <xf numFmtId="3" fontId="50" fillId="22" borderId="347" xfId="0" quotePrefix="1" applyNumberFormat="1" applyFont="1" applyFill="1" applyBorder="1" applyAlignment="1">
      <alignment horizontal="center" vertical="center"/>
    </xf>
    <xf numFmtId="3" fontId="50" fillId="22" borderId="348" xfId="0" quotePrefix="1" applyNumberFormat="1" applyFont="1" applyFill="1" applyBorder="1" applyAlignment="1">
      <alignment horizontal="center" vertical="center"/>
    </xf>
    <xf numFmtId="3" fontId="50" fillId="22" borderId="35" xfId="0" applyNumberFormat="1" applyFont="1" applyFill="1" applyBorder="1" applyAlignment="1">
      <alignment horizontal="center" vertical="center"/>
    </xf>
    <xf numFmtId="0" fontId="33" fillId="0" borderId="0" xfId="0" applyFont="1" applyFill="1" applyBorder="1" applyAlignment="1">
      <alignment horizontal="left" vertical="center" indent="1"/>
    </xf>
    <xf numFmtId="3" fontId="32" fillId="0" borderId="0" xfId="0" applyNumberFormat="1" applyFont="1"/>
    <xf numFmtId="0" fontId="22" fillId="0" borderId="0" xfId="0" applyFont="1" applyAlignment="1">
      <alignment vertical="top"/>
    </xf>
    <xf numFmtId="0" fontId="22" fillId="0" borderId="0" xfId="0" applyFont="1" applyAlignment="1">
      <alignment horizontal="left" vertical="top"/>
    </xf>
    <xf numFmtId="0" fontId="21" fillId="3" borderId="0" xfId="0" applyFont="1" applyFill="1" applyAlignment="1">
      <alignment horizontal="left" indent="1"/>
    </xf>
    <xf numFmtId="179" fontId="24" fillId="12" borderId="27" xfId="0" applyNumberFormat="1" applyFont="1" applyFill="1" applyBorder="1" applyAlignment="1">
      <alignment horizontal="center" textRotation="90"/>
    </xf>
    <xf numFmtId="0" fontId="120" fillId="12" borderId="27" xfId="0" applyFont="1" applyFill="1" applyBorder="1" applyAlignment="1">
      <alignment horizontal="center" vertical="center" wrapText="1"/>
    </xf>
    <xf numFmtId="0" fontId="13" fillId="0" borderId="0" xfId="0" applyFont="1" applyAlignment="1">
      <alignment horizontal="left" vertical="top"/>
    </xf>
    <xf numFmtId="0" fontId="121" fillId="0" borderId="0" xfId="0" applyFont="1" applyAlignment="1">
      <alignment vertical="top"/>
    </xf>
    <xf numFmtId="0" fontId="13" fillId="0" borderId="0" xfId="0" applyFont="1" applyAlignment="1">
      <alignment vertical="top"/>
    </xf>
    <xf numFmtId="0" fontId="8" fillId="13" borderId="12" xfId="0" applyFont="1" applyFill="1" applyBorder="1" applyAlignment="1">
      <alignment horizontal="left" vertical="center" indent="1"/>
    </xf>
    <xf numFmtId="0" fontId="8" fillId="13" borderId="147" xfId="0" applyFont="1" applyFill="1" applyBorder="1" applyAlignment="1">
      <alignment horizontal="left" vertical="center" indent="1"/>
    </xf>
    <xf numFmtId="0" fontId="8" fillId="13" borderId="12" xfId="0" applyFont="1" applyFill="1" applyBorder="1" applyAlignment="1">
      <alignment horizontal="left" vertical="center"/>
    </xf>
    <xf numFmtId="0" fontId="33" fillId="29" borderId="39" xfId="0" applyFont="1" applyFill="1" applyBorder="1" applyAlignment="1">
      <alignment vertical="center"/>
    </xf>
    <xf numFmtId="0" fontId="33" fillId="29" borderId="6" xfId="0" applyFont="1" applyFill="1" applyBorder="1" applyAlignment="1">
      <alignment vertical="center"/>
    </xf>
    <xf numFmtId="0" fontId="32" fillId="29" borderId="5" xfId="0" applyFont="1" applyFill="1" applyBorder="1"/>
    <xf numFmtId="0" fontId="122" fillId="29" borderId="39" xfId="0" applyFont="1" applyFill="1" applyBorder="1" applyAlignment="1">
      <alignment horizontal="left" vertical="center" readingOrder="1"/>
    </xf>
    <xf numFmtId="0" fontId="8" fillId="0" borderId="63" xfId="0" applyFont="1" applyFill="1" applyBorder="1" applyAlignment="1">
      <alignment horizontal="center" vertical="center" readingOrder="1"/>
    </xf>
    <xf numFmtId="3" fontId="86" fillId="22" borderId="374" xfId="0" applyNumberFormat="1" applyFont="1" applyFill="1" applyBorder="1" applyAlignment="1">
      <alignment horizontal="right" vertical="center"/>
    </xf>
    <xf numFmtId="0" fontId="8" fillId="3" borderId="7" xfId="0" applyFont="1" applyFill="1" applyBorder="1" applyAlignment="1">
      <alignment horizontal="left" vertical="center" indent="1"/>
    </xf>
    <xf numFmtId="0" fontId="8" fillId="3" borderId="351" xfId="0" applyFont="1" applyFill="1" applyBorder="1" applyAlignment="1">
      <alignment horizontal="center" vertical="center"/>
    </xf>
    <xf numFmtId="0" fontId="8" fillId="0" borderId="221" xfId="0" applyFont="1" applyFill="1" applyBorder="1" applyAlignment="1">
      <alignment horizontal="center" vertical="center"/>
    </xf>
    <xf numFmtId="0" fontId="110" fillId="22" borderId="7" xfId="0" applyFont="1" applyFill="1" applyBorder="1" applyAlignment="1">
      <alignment horizontal="left" vertical="center" indent="1"/>
    </xf>
    <xf numFmtId="0" fontId="110" fillId="22" borderId="221" xfId="0" applyFont="1" applyFill="1" applyBorder="1" applyAlignment="1">
      <alignment horizontal="center" vertical="center"/>
    </xf>
    <xf numFmtId="0" fontId="110" fillId="22" borderId="221" xfId="0" applyFont="1" applyFill="1" applyBorder="1" applyAlignment="1">
      <alignment horizontal="left" vertical="center" indent="1"/>
    </xf>
    <xf numFmtId="0" fontId="0" fillId="32" borderId="0" xfId="0" applyFill="1" applyBorder="1"/>
    <xf numFmtId="0" fontId="8" fillId="12" borderId="7" xfId="0" applyFont="1" applyFill="1" applyBorder="1" applyAlignment="1">
      <alignment horizontal="left" vertical="center" indent="1"/>
    </xf>
    <xf numFmtId="0" fontId="8" fillId="3" borderId="16" xfId="0" applyFont="1" applyFill="1" applyBorder="1" applyAlignment="1">
      <alignment horizontal="center" vertical="center"/>
    </xf>
    <xf numFmtId="0" fontId="8" fillId="34" borderId="9" xfId="0" applyFont="1" applyFill="1" applyBorder="1" applyAlignment="1">
      <alignment horizontal="left" vertical="center" indent="1"/>
    </xf>
    <xf numFmtId="0" fontId="8" fillId="34" borderId="8" xfId="0" applyFont="1" applyFill="1" applyBorder="1" applyAlignment="1">
      <alignment horizontal="left" vertical="center" indent="1"/>
    </xf>
    <xf numFmtId="0" fontId="1" fillId="34" borderId="8" xfId="0" applyFont="1" applyFill="1" applyBorder="1" applyAlignment="1">
      <alignment horizontal="center"/>
    </xf>
    <xf numFmtId="0" fontId="8" fillId="34" borderId="8" xfId="0" applyFont="1" applyFill="1" applyBorder="1" applyAlignment="1">
      <alignment horizontal="center" vertical="center"/>
    </xf>
    <xf numFmtId="0" fontId="8" fillId="34" borderId="8" xfId="0" applyFont="1" applyFill="1" applyBorder="1" applyAlignment="1">
      <alignment horizontal="center"/>
    </xf>
    <xf numFmtId="0" fontId="110" fillId="34" borderId="8" xfId="0" applyFont="1" applyFill="1" applyBorder="1" applyAlignment="1">
      <alignment horizontal="center" vertical="center"/>
    </xf>
    <xf numFmtId="0" fontId="110" fillId="34" borderId="8" xfId="0" applyFont="1" applyFill="1" applyBorder="1" applyAlignment="1">
      <alignment horizontal="left" vertical="center" indent="1"/>
    </xf>
    <xf numFmtId="0" fontId="0" fillId="34" borderId="8" xfId="0" applyFill="1" applyBorder="1"/>
    <xf numFmtId="0" fontId="108" fillId="34" borderId="8" xfId="0" applyFont="1" applyFill="1" applyBorder="1" applyAlignment="1">
      <alignment horizontal="center" vertical="center"/>
    </xf>
    <xf numFmtId="0" fontId="43" fillId="34" borderId="8" xfId="0" applyFont="1" applyFill="1" applyBorder="1" applyAlignment="1">
      <alignment horizontal="left" vertical="center" indent="1"/>
    </xf>
    <xf numFmtId="0" fontId="43" fillId="34" borderId="9" xfId="0" applyFont="1" applyFill="1" applyBorder="1" applyAlignment="1">
      <alignment horizontal="left" vertical="center" indent="1"/>
    </xf>
    <xf numFmtId="0" fontId="8" fillId="34" borderId="10" xfId="0" applyFont="1" applyFill="1" applyBorder="1" applyAlignment="1">
      <alignment horizontal="left" vertical="center" indent="1"/>
    </xf>
    <xf numFmtId="3" fontId="10" fillId="34" borderId="0" xfId="0" applyNumberFormat="1" applyFont="1" applyFill="1" applyBorder="1" applyAlignment="1">
      <alignment horizontal="center" vertical="center"/>
    </xf>
    <xf numFmtId="0" fontId="8" fillId="34" borderId="0" xfId="0" quotePrefix="1" applyFont="1" applyFill="1" applyBorder="1" applyAlignment="1">
      <alignment horizontal="center" vertical="center"/>
    </xf>
    <xf numFmtId="175" fontId="8" fillId="34" borderId="0" xfId="0" applyNumberFormat="1" applyFont="1" applyFill="1" applyBorder="1" applyAlignment="1">
      <alignment horizontal="center" vertical="center"/>
    </xf>
    <xf numFmtId="3" fontId="10" fillId="34" borderId="0" xfId="0" applyNumberFormat="1" applyFont="1" applyFill="1" applyBorder="1" applyAlignment="1">
      <alignment horizontal="right" vertical="center"/>
    </xf>
    <xf numFmtId="0" fontId="43" fillId="32" borderId="0" xfId="0" applyFont="1" applyFill="1" applyAlignment="1">
      <alignment vertical="top"/>
    </xf>
    <xf numFmtId="0" fontId="87" fillId="21" borderId="0" xfId="0" applyFont="1" applyFill="1" applyBorder="1"/>
    <xf numFmtId="0" fontId="32" fillId="29" borderId="0" xfId="0" applyFont="1" applyFill="1" applyBorder="1"/>
    <xf numFmtId="0" fontId="8" fillId="0" borderId="379" xfId="0" applyFont="1" applyFill="1" applyBorder="1" applyAlignment="1">
      <alignment vertical="center"/>
    </xf>
    <xf numFmtId="0" fontId="81" fillId="29" borderId="40" xfId="0" applyFont="1" applyFill="1" applyBorder="1" applyAlignment="1">
      <alignment horizontal="left" vertical="center" readingOrder="1"/>
    </xf>
    <xf numFmtId="0" fontId="8" fillId="0" borderId="42" xfId="0" applyFont="1" applyFill="1" applyBorder="1" applyAlignment="1">
      <alignment horizontal="left" vertical="center" readingOrder="1"/>
    </xf>
    <xf numFmtId="0" fontId="87" fillId="21" borderId="26" xfId="0" applyFont="1" applyFill="1" applyBorder="1"/>
    <xf numFmtId="0" fontId="87" fillId="21" borderId="25" xfId="0" applyFont="1" applyFill="1" applyBorder="1"/>
    <xf numFmtId="0" fontId="8" fillId="0" borderId="381" xfId="0" applyFont="1" applyFill="1" applyBorder="1" applyAlignment="1">
      <alignment horizontal="center" vertical="center"/>
    </xf>
    <xf numFmtId="0" fontId="81" fillId="0" borderId="380" xfId="0" applyFont="1" applyFill="1" applyBorder="1" applyAlignment="1">
      <alignment horizontal="center" vertical="center" readingOrder="1"/>
    </xf>
    <xf numFmtId="0" fontId="32" fillId="29" borderId="380" xfId="0" applyFont="1" applyFill="1" applyBorder="1" applyAlignment="1">
      <alignment horizontal="center" readingOrder="1"/>
    </xf>
    <xf numFmtId="0" fontId="81" fillId="29" borderId="380" xfId="0" applyFont="1" applyFill="1" applyBorder="1" applyAlignment="1">
      <alignment horizontal="center" vertical="center" readingOrder="1"/>
    </xf>
    <xf numFmtId="0" fontId="8" fillId="0" borderId="380" xfId="0" applyFont="1" applyFill="1" applyBorder="1" applyAlignment="1">
      <alignment horizontal="center" vertical="center" readingOrder="1"/>
    </xf>
    <xf numFmtId="0" fontId="29" fillId="27" borderId="0" xfId="0" applyFont="1" applyFill="1"/>
    <xf numFmtId="0" fontId="10" fillId="3" borderId="132" xfId="0" applyFont="1" applyFill="1" applyBorder="1" applyAlignment="1">
      <alignment horizontal="left" vertical="center"/>
    </xf>
    <xf numFmtId="0" fontId="14" fillId="0" borderId="0" xfId="0" applyFont="1" applyAlignment="1">
      <alignment vertical="top"/>
    </xf>
    <xf numFmtId="9" fontId="8" fillId="0" borderId="133" xfId="1" applyFont="1" applyBorder="1" applyAlignment="1">
      <alignment vertical="center"/>
    </xf>
    <xf numFmtId="0" fontId="20" fillId="2" borderId="0" xfId="0" applyFont="1" applyFill="1" applyBorder="1" applyAlignment="1">
      <alignment vertical="center"/>
    </xf>
    <xf numFmtId="0" fontId="8" fillId="22" borderId="383" xfId="0" applyFont="1" applyFill="1" applyBorder="1" applyAlignment="1">
      <alignment horizontal="left" vertical="center"/>
    </xf>
    <xf numFmtId="0" fontId="8" fillId="22" borderId="383" xfId="0" applyFont="1" applyFill="1" applyBorder="1" applyAlignment="1">
      <alignment horizontal="center" vertical="center"/>
    </xf>
    <xf numFmtId="0" fontId="8" fillId="22" borderId="384" xfId="0" applyFont="1" applyFill="1" applyBorder="1" applyAlignment="1">
      <alignment horizontal="center" vertical="center"/>
    </xf>
    <xf numFmtId="0" fontId="8" fillId="22" borderId="384" xfId="0" applyFont="1" applyFill="1" applyBorder="1" applyAlignment="1">
      <alignment horizontal="left" vertical="center"/>
    </xf>
    <xf numFmtId="0" fontId="8" fillId="0" borderId="0" xfId="0" applyFont="1" applyAlignment="1">
      <alignment horizontal="center" wrapText="1"/>
    </xf>
    <xf numFmtId="0" fontId="1" fillId="26" borderId="0" xfId="0" quotePrefix="1" applyFont="1" applyFill="1" applyBorder="1" applyAlignment="1">
      <alignment horizontal="right" textRotation="90"/>
    </xf>
    <xf numFmtId="2" fontId="8" fillId="0" borderId="95" xfId="0" applyNumberFormat="1" applyFont="1" applyBorder="1" applyAlignment="1">
      <alignment horizontal="center" vertical="center"/>
    </xf>
    <xf numFmtId="0" fontId="82" fillId="3" borderId="0" xfId="0" applyFont="1" applyFill="1" applyBorder="1" applyAlignment="1">
      <alignment vertical="center"/>
    </xf>
    <xf numFmtId="0" fontId="41" fillId="0" borderId="0" xfId="0" applyFont="1" applyAlignment="1">
      <alignment horizontal="center" vertical="center"/>
    </xf>
    <xf numFmtId="0" fontId="8" fillId="28" borderId="147" xfId="0" applyFont="1" applyFill="1" applyBorder="1" applyAlignment="1">
      <alignment horizontal="center" vertical="center"/>
    </xf>
    <xf numFmtId="176" fontId="24" fillId="14" borderId="189" xfId="1" applyNumberFormat="1" applyFont="1" applyFill="1" applyBorder="1" applyAlignment="1">
      <alignment horizontal="center" vertical="center" textRotation="90"/>
    </xf>
    <xf numFmtId="0" fontId="8" fillId="26" borderId="0" xfId="0" applyNumberFormat="1" applyFont="1" applyFill="1" applyAlignment="1">
      <alignment horizontal="center" vertical="center"/>
    </xf>
    <xf numFmtId="9" fontId="8" fillId="26" borderId="0" xfId="0" applyNumberFormat="1" applyFont="1" applyFill="1" applyBorder="1" applyAlignment="1">
      <alignment horizontal="center" vertical="center"/>
    </xf>
    <xf numFmtId="176" fontId="24" fillId="14" borderId="189" xfId="1" applyNumberFormat="1" applyFont="1" applyFill="1" applyBorder="1" applyAlignment="1">
      <alignment vertical="center" textRotation="90"/>
    </xf>
    <xf numFmtId="0" fontId="70" fillId="3" borderId="0" xfId="0" applyFont="1" applyFill="1" applyBorder="1" applyAlignment="1">
      <alignment vertical="center"/>
    </xf>
    <xf numFmtId="0" fontId="5" fillId="0" borderId="0" xfId="0" applyFont="1" applyBorder="1"/>
    <xf numFmtId="0" fontId="1" fillId="3" borderId="8" xfId="0" applyFont="1" applyFill="1" applyBorder="1" applyAlignment="1">
      <alignment vertical="center"/>
    </xf>
    <xf numFmtId="0" fontId="40" fillId="3" borderId="0" xfId="0" applyFont="1" applyFill="1" applyAlignment="1">
      <alignment horizontal="left"/>
    </xf>
    <xf numFmtId="0" fontId="6" fillId="0" borderId="0" xfId="0" applyFont="1" applyBorder="1" applyAlignment="1">
      <alignment horizontal="center" vertical="top"/>
    </xf>
    <xf numFmtId="0" fontId="5" fillId="0" borderId="0" xfId="0" applyFont="1" applyAlignment="1">
      <alignment vertical="top"/>
    </xf>
    <xf numFmtId="188" fontId="10" fillId="0" borderId="95" xfId="0" quotePrefix="1" applyNumberFormat="1" applyFont="1" applyBorder="1" applyAlignment="1">
      <alignment horizontal="right" vertical="center" indent="1"/>
    </xf>
    <xf numFmtId="0" fontId="34" fillId="2" borderId="0" xfId="0" applyFont="1" applyFill="1" applyBorder="1" applyAlignment="1">
      <alignment horizontal="center"/>
    </xf>
    <xf numFmtId="0" fontId="6" fillId="2" borderId="0" xfId="0" applyFont="1" applyFill="1" applyBorder="1" applyAlignment="1">
      <alignment horizontal="center"/>
    </xf>
    <xf numFmtId="3" fontId="10" fillId="0" borderId="393" xfId="0" applyNumberFormat="1" applyFont="1" applyBorder="1" applyAlignment="1">
      <alignment horizontal="right" vertical="center" indent="1"/>
    </xf>
    <xf numFmtId="192" fontId="24" fillId="14" borderId="0" xfId="0" quotePrefix="1" applyNumberFormat="1" applyFont="1" applyFill="1" applyBorder="1" applyAlignment="1">
      <alignment horizontal="center" vertical="center"/>
    </xf>
    <xf numFmtId="0" fontId="6" fillId="0" borderId="0" xfId="0" applyFont="1" applyFill="1" applyBorder="1" applyAlignment="1"/>
    <xf numFmtId="0" fontId="8" fillId="0" borderId="0" xfId="0" applyFont="1" applyBorder="1" applyAlignment="1"/>
    <xf numFmtId="0" fontId="17" fillId="0" borderId="0" xfId="0" applyFont="1" applyFill="1" applyBorder="1" applyAlignment="1">
      <alignment horizontal="right" vertical="center"/>
    </xf>
    <xf numFmtId="3" fontId="8" fillId="26" borderId="0" xfId="0" quotePrefix="1" applyNumberFormat="1" applyFont="1" applyFill="1" applyAlignment="1">
      <alignment horizontal="center" vertical="center"/>
    </xf>
    <xf numFmtId="3" fontId="1" fillId="0" borderId="147" xfId="0" quotePrefix="1" applyNumberFormat="1" applyFont="1" applyFill="1" applyBorder="1" applyAlignment="1">
      <alignment horizontal="right" vertical="center" indent="1"/>
    </xf>
    <xf numFmtId="0" fontId="1" fillId="12" borderId="147" xfId="0" applyFont="1" applyFill="1" applyBorder="1" applyAlignment="1">
      <alignment horizontal="left" vertical="center" indent="1"/>
    </xf>
    <xf numFmtId="0" fontId="49" fillId="0" borderId="0" xfId="0" applyFont="1" applyAlignment="1">
      <alignment horizontal="right" vertical="center"/>
    </xf>
    <xf numFmtId="0" fontId="8" fillId="0" borderId="41" xfId="0" applyFont="1" applyFill="1" applyBorder="1" applyAlignment="1">
      <alignment horizontal="left" vertical="center" readingOrder="1"/>
    </xf>
    <xf numFmtId="0" fontId="46" fillId="2" borderId="0" xfId="0" applyFont="1" applyFill="1" applyAlignment="1">
      <alignment vertical="center"/>
    </xf>
    <xf numFmtId="0" fontId="8" fillId="0" borderId="87" xfId="0" applyFont="1" applyBorder="1" applyAlignment="1">
      <alignment horizontal="center" vertical="center"/>
    </xf>
    <xf numFmtId="0" fontId="125" fillId="0" borderId="87" xfId="0" applyFont="1" applyBorder="1" applyAlignment="1">
      <alignment horizontal="center"/>
    </xf>
    <xf numFmtId="0" fontId="8" fillId="0" borderId="162" xfId="0" applyFont="1" applyBorder="1" applyAlignment="1">
      <alignment horizontal="center" vertical="center"/>
    </xf>
    <xf numFmtId="0" fontId="8" fillId="23" borderId="147" xfId="0" applyFont="1" applyFill="1" applyBorder="1" applyAlignment="1">
      <alignment horizontal="center" vertical="center"/>
    </xf>
    <xf numFmtId="0" fontId="10" fillId="3" borderId="132" xfId="0" applyFont="1" applyFill="1" applyBorder="1" applyAlignment="1">
      <alignment vertical="center"/>
    </xf>
    <xf numFmtId="0" fontId="10" fillId="3" borderId="134" xfId="0" applyFont="1" applyFill="1" applyBorder="1" applyAlignment="1">
      <alignment vertical="center"/>
    </xf>
    <xf numFmtId="0" fontId="10" fillId="3" borderId="133" xfId="0" applyFont="1" applyFill="1" applyBorder="1" applyAlignment="1">
      <alignment vertical="center"/>
    </xf>
    <xf numFmtId="0" fontId="8" fillId="0" borderId="387" xfId="0" applyFont="1" applyFill="1" applyBorder="1" applyAlignment="1">
      <alignment horizontal="center" vertical="center"/>
    </xf>
    <xf numFmtId="0" fontId="32" fillId="29" borderId="353" xfId="0" applyFont="1" applyFill="1" applyBorder="1" applyAlignment="1">
      <alignment horizontal="center"/>
    </xf>
    <xf numFmtId="0" fontId="81" fillId="0" borderId="397" xfId="0" applyFont="1" applyFill="1" applyBorder="1" applyAlignment="1">
      <alignment horizontal="center" vertical="center"/>
    </xf>
    <xf numFmtId="0" fontId="43" fillId="34" borderId="10" xfId="0" applyFont="1" applyFill="1" applyBorder="1" applyAlignment="1">
      <alignment horizontal="right" vertical="center"/>
    </xf>
    <xf numFmtId="0" fontId="32" fillId="27" borderId="167" xfId="0" applyFont="1" applyFill="1" applyBorder="1"/>
    <xf numFmtId="3" fontId="21" fillId="3" borderId="160" xfId="0" applyNumberFormat="1" applyFont="1" applyFill="1" applyBorder="1" applyAlignment="1">
      <alignment horizontal="center" vertical="center"/>
    </xf>
    <xf numFmtId="3" fontId="21" fillId="3" borderId="290" xfId="0" applyNumberFormat="1" applyFont="1" applyFill="1" applyBorder="1" applyAlignment="1">
      <alignment horizontal="center" vertical="center"/>
    </xf>
    <xf numFmtId="0" fontId="8" fillId="3" borderId="147" xfId="0" applyFont="1" applyFill="1" applyBorder="1" applyAlignment="1">
      <alignment wrapText="1"/>
    </xf>
    <xf numFmtId="0" fontId="1" fillId="0" borderId="38" xfId="0" applyFont="1" applyBorder="1"/>
    <xf numFmtId="0" fontId="1" fillId="0" borderId="38" xfId="0" applyFont="1" applyBorder="1" applyAlignment="1">
      <alignment vertical="center"/>
    </xf>
    <xf numFmtId="0" fontId="72" fillId="0" borderId="38" xfId="0" applyFont="1" applyBorder="1" applyAlignment="1">
      <alignment vertical="center"/>
    </xf>
    <xf numFmtId="0" fontId="43" fillId="0" borderId="38" xfId="0" applyFont="1" applyBorder="1" applyAlignment="1">
      <alignment vertical="center"/>
    </xf>
    <xf numFmtId="0" fontId="1" fillId="0" borderId="88" xfId="0" applyFont="1" applyBorder="1" applyAlignment="1">
      <alignment vertical="center"/>
    </xf>
    <xf numFmtId="0" fontId="8" fillId="0" borderId="401" xfId="0" applyFont="1" applyBorder="1" applyAlignment="1">
      <alignment horizontal="center" vertical="center" wrapText="1"/>
    </xf>
    <xf numFmtId="0" fontId="84" fillId="34" borderId="27" xfId="0" applyFont="1" applyFill="1" applyBorder="1" applyAlignment="1">
      <alignment horizontal="center" vertical="center" wrapText="1"/>
    </xf>
    <xf numFmtId="0" fontId="8" fillId="12" borderId="58" xfId="0" applyNumberFormat="1" applyFont="1" applyFill="1" applyBorder="1" applyAlignment="1">
      <alignment horizontal="center" vertical="center"/>
    </xf>
    <xf numFmtId="0" fontId="8" fillId="12" borderId="17" xfId="0" applyNumberFormat="1" applyFont="1" applyFill="1" applyBorder="1" applyAlignment="1">
      <alignment horizontal="center" vertical="center"/>
    </xf>
    <xf numFmtId="0" fontId="8" fillId="12" borderId="16" xfId="0" applyNumberFormat="1" applyFont="1" applyFill="1" applyBorder="1" applyAlignment="1">
      <alignment horizontal="center" vertical="center"/>
    </xf>
    <xf numFmtId="0" fontId="126" fillId="0" borderId="0" xfId="0" applyFont="1" applyAlignment="1">
      <alignment wrapText="1"/>
    </xf>
    <xf numFmtId="0" fontId="8" fillId="0" borderId="0" xfId="0" applyFont="1" applyAlignment="1">
      <alignment textRotation="90"/>
    </xf>
    <xf numFmtId="0" fontId="10" fillId="12" borderId="95" xfId="0" applyFont="1" applyFill="1" applyBorder="1" applyAlignment="1">
      <alignment horizontal="left" vertical="center"/>
    </xf>
    <xf numFmtId="0" fontId="10" fillId="12" borderId="223" xfId="0" applyFont="1" applyFill="1" applyBorder="1" applyAlignment="1">
      <alignment horizontal="left" vertical="center"/>
    </xf>
    <xf numFmtId="2" fontId="8" fillId="26" borderId="0" xfId="0" quotePrefix="1" applyNumberFormat="1" applyFont="1" applyFill="1" applyBorder="1" applyAlignment="1">
      <alignment horizontal="center" vertical="center"/>
    </xf>
    <xf numFmtId="0" fontId="32" fillId="26" borderId="0" xfId="0" applyFont="1" applyFill="1" applyBorder="1" applyAlignment="1">
      <alignment vertical="center"/>
    </xf>
    <xf numFmtId="0" fontId="43" fillId="26" borderId="0" xfId="0" applyFont="1" applyFill="1" applyBorder="1" applyAlignment="1">
      <alignment vertical="center"/>
    </xf>
    <xf numFmtId="0" fontId="1" fillId="26" borderId="0" xfId="0" applyFont="1" applyFill="1" applyBorder="1" applyAlignment="1">
      <alignment horizontal="right" vertical="center"/>
    </xf>
    <xf numFmtId="190" fontId="1" fillId="3" borderId="147" xfId="0" quotePrefix="1" applyNumberFormat="1" applyFont="1" applyFill="1" applyBorder="1" applyAlignment="1">
      <alignment horizontal="center" vertical="center"/>
    </xf>
    <xf numFmtId="0" fontId="43" fillId="22" borderId="224" xfId="0" applyFont="1" applyFill="1" applyBorder="1" applyAlignment="1">
      <alignment vertical="center"/>
    </xf>
    <xf numFmtId="0" fontId="92" fillId="3" borderId="11" xfId="0" applyFont="1" applyFill="1" applyBorder="1" applyAlignment="1">
      <alignment horizontal="center" vertical="center"/>
    </xf>
    <xf numFmtId="0" fontId="81" fillId="0" borderId="382" xfId="0" applyFont="1" applyFill="1" applyBorder="1" applyAlignment="1">
      <alignment horizontal="center" vertical="center" readingOrder="1"/>
    </xf>
    <xf numFmtId="0" fontId="8" fillId="22" borderId="39" xfId="0" applyFont="1" applyFill="1" applyBorder="1" applyAlignment="1">
      <alignment horizontal="center" vertical="center" readingOrder="1"/>
    </xf>
    <xf numFmtId="0" fontId="8" fillId="22" borderId="40" xfId="0" applyFont="1" applyFill="1" applyBorder="1" applyAlignment="1">
      <alignment horizontal="left" vertical="center" readingOrder="1"/>
    </xf>
    <xf numFmtId="0" fontId="8" fillId="22" borderId="397" xfId="0" applyFont="1" applyFill="1" applyBorder="1" applyAlignment="1">
      <alignment horizontal="center" vertical="center"/>
    </xf>
    <xf numFmtId="0" fontId="8" fillId="22" borderId="380" xfId="0" applyFont="1" applyFill="1" applyBorder="1" applyAlignment="1">
      <alignment horizontal="center" vertical="center" readingOrder="1"/>
    </xf>
    <xf numFmtId="0" fontId="43" fillId="34" borderId="10" xfId="0" applyFont="1" applyFill="1" applyBorder="1" applyAlignment="1">
      <alignment horizontal="left" vertical="center" indent="1"/>
    </xf>
    <xf numFmtId="3" fontId="10" fillId="0" borderId="132" xfId="0" applyNumberFormat="1" applyFont="1" applyBorder="1" applyAlignment="1">
      <alignment horizontal="right" vertical="center" indent="1"/>
    </xf>
    <xf numFmtId="0" fontId="8" fillId="0" borderId="0" xfId="0" applyFont="1" applyAlignment="1">
      <alignment horizontal="center" wrapText="1"/>
    </xf>
    <xf numFmtId="0" fontId="8" fillId="27" borderId="26" xfId="0" applyFont="1" applyFill="1" applyBorder="1" applyAlignment="1">
      <alignment horizontal="center" vertical="center" wrapText="1"/>
    </xf>
    <xf numFmtId="0" fontId="32" fillId="20" borderId="9" xfId="0" applyFont="1" applyFill="1" applyBorder="1"/>
    <xf numFmtId="0" fontId="32" fillId="20" borderId="8" xfId="0" applyFont="1" applyFill="1" applyBorder="1"/>
    <xf numFmtId="0" fontId="34" fillId="20" borderId="8" xfId="0" applyFont="1" applyFill="1" applyBorder="1" applyAlignment="1">
      <alignment horizontal="center" vertical="center"/>
    </xf>
    <xf numFmtId="9" fontId="8" fillId="20" borderId="147" xfId="1" applyFont="1" applyFill="1" applyBorder="1" applyAlignment="1">
      <alignment horizontal="center" vertical="center"/>
    </xf>
    <xf numFmtId="3" fontId="86" fillId="22" borderId="293" xfId="0" applyNumberFormat="1" applyFont="1" applyFill="1" applyBorder="1" applyAlignment="1">
      <alignment horizontal="right" vertical="center"/>
    </xf>
    <xf numFmtId="3" fontId="10" fillId="3" borderId="147" xfId="0" applyNumberFormat="1" applyFont="1" applyFill="1" applyBorder="1" applyAlignment="1">
      <alignment horizontal="right" vertical="center"/>
    </xf>
    <xf numFmtId="3" fontId="86" fillId="22" borderId="161" xfId="0" applyNumberFormat="1" applyFont="1" applyFill="1" applyBorder="1" applyAlignment="1">
      <alignment horizontal="right" vertical="center"/>
    </xf>
    <xf numFmtId="0" fontId="8" fillId="27" borderId="26" xfId="0" applyFont="1" applyFill="1" applyBorder="1" applyAlignment="1">
      <alignment vertical="center" wrapText="1"/>
    </xf>
    <xf numFmtId="9" fontId="8" fillId="20" borderId="10" xfId="1" applyFont="1" applyFill="1" applyBorder="1" applyAlignment="1">
      <alignment horizontal="center" vertical="center"/>
    </xf>
    <xf numFmtId="49" fontId="8" fillId="0" borderId="147" xfId="0" applyNumberFormat="1" applyFont="1" applyBorder="1" applyAlignment="1">
      <alignment vertical="center"/>
    </xf>
    <xf numFmtId="49" fontId="8" fillId="22" borderId="147" xfId="0" applyNumberFormat="1" applyFont="1" applyFill="1" applyBorder="1" applyAlignment="1">
      <alignment vertical="center"/>
    </xf>
    <xf numFmtId="49" fontId="90" fillId="26" borderId="147" xfId="0" applyNumberFormat="1" applyFont="1" applyFill="1" applyBorder="1" applyAlignment="1">
      <alignment vertical="center" wrapText="1"/>
    </xf>
    <xf numFmtId="0" fontId="131" fillId="0" borderId="0" xfId="0" applyFont="1" applyAlignment="1">
      <alignment vertical="top"/>
    </xf>
    <xf numFmtId="0" fontId="31" fillId="0" borderId="0" xfId="0" applyFont="1" applyAlignment="1">
      <alignment vertical="top"/>
    </xf>
    <xf numFmtId="0" fontId="131" fillId="0" borderId="0" xfId="0" applyFont="1" applyAlignment="1">
      <alignment vertical="center"/>
    </xf>
    <xf numFmtId="0" fontId="119" fillId="0" borderId="0" xfId="0" applyFont="1" applyAlignment="1">
      <alignment vertical="top"/>
    </xf>
    <xf numFmtId="0" fontId="89" fillId="35" borderId="138" xfId="0" applyFont="1" applyFill="1" applyBorder="1" applyAlignment="1">
      <alignment horizontal="center" vertical="top" shrinkToFit="1"/>
    </xf>
    <xf numFmtId="0" fontId="1" fillId="0" borderId="0" xfId="0" applyFont="1" applyBorder="1" applyAlignment="1">
      <alignment horizontal="right" vertical="top"/>
    </xf>
    <xf numFmtId="49" fontId="8" fillId="13" borderId="147" xfId="0" applyNumberFormat="1" applyFont="1" applyFill="1" applyBorder="1" applyAlignment="1">
      <alignment vertical="center"/>
    </xf>
    <xf numFmtId="0" fontId="32" fillId="22" borderId="0" xfId="0" applyFont="1" applyFill="1" applyAlignment="1"/>
    <xf numFmtId="0" fontId="8" fillId="0" borderId="11" xfId="0" applyFont="1" applyBorder="1" applyAlignment="1">
      <alignment horizontal="right" vertical="center"/>
    </xf>
    <xf numFmtId="0" fontId="6" fillId="3" borderId="26" xfId="0" applyFont="1" applyFill="1" applyBorder="1" applyAlignment="1">
      <alignment horizontal="left" vertical="top" indent="1"/>
    </xf>
    <xf numFmtId="0" fontId="104" fillId="30" borderId="404" xfId="0" applyFont="1" applyFill="1" applyBorder="1" applyAlignment="1">
      <alignment vertical="center"/>
    </xf>
    <xf numFmtId="0" fontId="16" fillId="30" borderId="10" xfId="0" applyFont="1" applyFill="1" applyBorder="1" applyAlignment="1">
      <alignment vertical="center"/>
    </xf>
    <xf numFmtId="9" fontId="18" fillId="48" borderId="0" xfId="1" applyFont="1" applyFill="1" applyBorder="1" applyAlignment="1">
      <alignment horizontal="center" vertical="center"/>
    </xf>
    <xf numFmtId="9" fontId="26" fillId="48" borderId="172" xfId="1" applyFont="1" applyFill="1" applyBorder="1" applyAlignment="1">
      <alignment horizontal="center" vertical="center"/>
    </xf>
    <xf numFmtId="9" fontId="18" fillId="48" borderId="40" xfId="1" applyFont="1" applyFill="1" applyBorder="1" applyAlignment="1">
      <alignment horizontal="center" vertical="center"/>
    </xf>
    <xf numFmtId="0" fontId="8" fillId="12" borderId="109" xfId="0" applyFont="1" applyFill="1" applyBorder="1" applyAlignment="1">
      <alignment horizontal="left" vertical="center" indent="1"/>
    </xf>
    <xf numFmtId="0" fontId="8" fillId="12" borderId="0" xfId="0" applyFont="1" applyFill="1" applyBorder="1" applyAlignment="1">
      <alignment horizontal="left" vertical="center" indent="1"/>
    </xf>
    <xf numFmtId="0" fontId="8" fillId="12" borderId="227" xfId="0" applyFont="1" applyFill="1" applyBorder="1" applyAlignment="1">
      <alignment horizontal="left" vertical="center" indent="1"/>
    </xf>
    <xf numFmtId="49" fontId="6" fillId="12" borderId="411" xfId="0" applyNumberFormat="1" applyFont="1" applyFill="1" applyBorder="1" applyAlignment="1">
      <alignment horizontal="left" vertical="center"/>
    </xf>
    <xf numFmtId="0" fontId="6" fillId="12" borderId="20" xfId="0" applyFont="1" applyFill="1" applyBorder="1" applyAlignment="1">
      <alignment horizontal="left" vertical="center"/>
    </xf>
    <xf numFmtId="0" fontId="6" fillId="12" borderId="20" xfId="0" applyFont="1" applyFill="1" applyBorder="1" applyAlignment="1">
      <alignment vertical="center"/>
    </xf>
    <xf numFmtId="49" fontId="6" fillId="12" borderId="20" xfId="0" applyNumberFormat="1" applyFont="1" applyFill="1" applyBorder="1" applyAlignment="1">
      <alignment vertical="center"/>
    </xf>
    <xf numFmtId="0" fontId="6" fillId="12" borderId="412" xfId="0" applyFont="1" applyFill="1" applyBorder="1" applyAlignment="1">
      <alignment vertical="center"/>
    </xf>
    <xf numFmtId="0" fontId="119" fillId="3" borderId="0" xfId="0" applyFont="1" applyFill="1" applyBorder="1" applyAlignment="1">
      <alignment wrapText="1"/>
    </xf>
    <xf numFmtId="0" fontId="119" fillId="3" borderId="11" xfId="0" applyFont="1" applyFill="1" applyBorder="1" applyAlignment="1">
      <alignment wrapText="1"/>
    </xf>
    <xf numFmtId="0" fontId="119" fillId="3" borderId="0" xfId="0" applyFont="1" applyFill="1" applyBorder="1" applyAlignment="1">
      <alignment horizontal="center" vertical="center" wrapText="1"/>
    </xf>
    <xf numFmtId="0" fontId="1" fillId="3" borderId="0" xfId="0" applyFont="1" applyFill="1" applyBorder="1" applyAlignment="1">
      <alignment horizontal="center" wrapText="1"/>
    </xf>
    <xf numFmtId="0" fontId="1" fillId="0" borderId="11" xfId="0" applyFont="1" applyBorder="1"/>
    <xf numFmtId="0" fontId="1" fillId="0" borderId="0" xfId="0" applyFont="1" applyAlignment="1">
      <alignment horizontal="left"/>
    </xf>
    <xf numFmtId="0" fontId="1" fillId="0" borderId="0" xfId="0" quotePrefix="1" applyFont="1" applyAlignment="1">
      <alignment horizontal="left"/>
    </xf>
    <xf numFmtId="171" fontId="8" fillId="3" borderId="89" xfId="0" applyNumberFormat="1" applyFont="1" applyFill="1" applyBorder="1" applyAlignment="1">
      <alignment vertical="center"/>
    </xf>
    <xf numFmtId="171" fontId="8" fillId="3" borderId="88" xfId="0" applyNumberFormat="1" applyFont="1" applyFill="1" applyBorder="1" applyAlignment="1">
      <alignment vertical="center"/>
    </xf>
    <xf numFmtId="171" fontId="8" fillId="3" borderId="39" xfId="0" applyNumberFormat="1" applyFont="1" applyFill="1" applyBorder="1" applyAlignment="1">
      <alignment vertical="center"/>
    </xf>
    <xf numFmtId="171" fontId="8" fillId="3" borderId="38" xfId="0" applyNumberFormat="1" applyFont="1" applyFill="1" applyBorder="1" applyAlignment="1">
      <alignment vertical="center"/>
    </xf>
    <xf numFmtId="171" fontId="8" fillId="3" borderId="63" xfId="0" quotePrefix="1" applyNumberFormat="1" applyFont="1" applyFill="1" applyBorder="1" applyAlignment="1">
      <alignment vertical="center"/>
    </xf>
    <xf numFmtId="171" fontId="8" fillId="3" borderId="78" xfId="0" quotePrefix="1" applyNumberFormat="1" applyFont="1" applyFill="1" applyBorder="1" applyAlignment="1">
      <alignment vertical="center"/>
    </xf>
    <xf numFmtId="3" fontId="10" fillId="0" borderId="147" xfId="0" applyNumberFormat="1" applyFont="1" applyFill="1" applyBorder="1" applyAlignment="1">
      <alignment horizontal="center" vertical="center"/>
    </xf>
    <xf numFmtId="3" fontId="8" fillId="22" borderId="374" xfId="0" applyNumberFormat="1" applyFont="1" applyFill="1" applyBorder="1" applyAlignment="1">
      <alignment horizontal="center" vertical="center"/>
    </xf>
    <xf numFmtId="3" fontId="8" fillId="22" borderId="160" xfId="0" applyNumberFormat="1" applyFont="1" applyFill="1" applyBorder="1" applyAlignment="1">
      <alignment horizontal="center" vertical="center"/>
    </xf>
    <xf numFmtId="0" fontId="8" fillId="3" borderId="0" xfId="0" applyFont="1" applyFill="1" applyBorder="1" applyAlignment="1">
      <alignment horizontal="center" textRotation="90"/>
    </xf>
    <xf numFmtId="0" fontId="43" fillId="22" borderId="16" xfId="0" applyFont="1" applyFill="1" applyBorder="1" applyAlignment="1">
      <alignment horizontal="center" textRotation="90"/>
    </xf>
    <xf numFmtId="0" fontId="72" fillId="0" borderId="0" xfId="0" applyFont="1" applyAlignment="1">
      <alignment horizontal="right" vertical="top"/>
    </xf>
    <xf numFmtId="0" fontId="1" fillId="0" borderId="0" xfId="0" applyFont="1" applyAlignment="1">
      <alignment horizontal="right"/>
    </xf>
    <xf numFmtId="0" fontId="1" fillId="34" borderId="9" xfId="0" applyFont="1" applyFill="1" applyBorder="1"/>
    <xf numFmtId="0" fontId="1" fillId="0" borderId="0" xfId="0" applyFont="1" applyFill="1" applyBorder="1"/>
    <xf numFmtId="0" fontId="72" fillId="0" borderId="0" xfId="0" applyFont="1" applyFill="1" applyBorder="1" applyAlignment="1">
      <alignment horizontal="left" vertical="top"/>
    </xf>
    <xf numFmtId="0" fontId="35" fillId="0" borderId="0" xfId="0" applyFont="1" applyBorder="1" applyAlignment="1">
      <alignment vertical="center"/>
    </xf>
    <xf numFmtId="0" fontId="1" fillId="0" borderId="0" xfId="0" applyFont="1" applyAlignment="1">
      <alignment wrapText="1"/>
    </xf>
    <xf numFmtId="0" fontId="1" fillId="0" borderId="0" xfId="0" applyFont="1" applyAlignment="1">
      <alignment vertical="top" wrapText="1"/>
    </xf>
    <xf numFmtId="0" fontId="22" fillId="0" borderId="0" xfId="0" applyFont="1" applyAlignment="1">
      <alignment vertical="top" wrapText="1"/>
    </xf>
    <xf numFmtId="0" fontId="1" fillId="0" borderId="0" xfId="0" applyFont="1" applyAlignment="1">
      <alignment vertical="center" wrapText="1"/>
    </xf>
    <xf numFmtId="0" fontId="13" fillId="0" borderId="0" xfId="0" applyFont="1" applyAlignment="1">
      <alignment vertical="top" wrapText="1"/>
    </xf>
    <xf numFmtId="0" fontId="1" fillId="0" borderId="0" xfId="0" quotePrefix="1" applyFont="1" applyAlignment="1">
      <alignment vertical="top" wrapText="1"/>
    </xf>
    <xf numFmtId="0" fontId="1" fillId="0" borderId="11" xfId="0" applyFont="1" applyBorder="1" applyAlignment="1">
      <alignment wrapText="1"/>
    </xf>
    <xf numFmtId="0" fontId="6" fillId="0" borderId="0" xfId="0" applyFont="1" applyAlignment="1">
      <alignment vertical="top" wrapText="1"/>
    </xf>
    <xf numFmtId="0" fontId="77" fillId="0" borderId="0" xfId="0" applyFont="1" applyAlignment="1">
      <alignment vertical="top" wrapText="1"/>
    </xf>
    <xf numFmtId="0" fontId="14" fillId="0" borderId="0" xfId="0" applyFont="1" applyAlignment="1">
      <alignment vertical="top" wrapText="1"/>
    </xf>
    <xf numFmtId="0" fontId="102" fillId="0" borderId="0" xfId="155" applyAlignment="1">
      <alignment vertical="top" wrapText="1"/>
    </xf>
    <xf numFmtId="0" fontId="35" fillId="0" borderId="0" xfId="0" applyFont="1" applyBorder="1" applyAlignment="1">
      <alignment vertical="top"/>
    </xf>
    <xf numFmtId="0" fontId="35" fillId="0" borderId="0" xfId="0" applyFont="1" applyBorder="1" applyAlignment="1">
      <alignment horizontal="right" vertical="center"/>
    </xf>
    <xf numFmtId="0" fontId="35" fillId="0" borderId="48" xfId="0" applyFont="1" applyBorder="1" applyAlignment="1">
      <alignment vertical="top"/>
    </xf>
    <xf numFmtId="0" fontId="35" fillId="0" borderId="48" xfId="0" applyFont="1" applyBorder="1" applyAlignment="1">
      <alignment vertical="center"/>
    </xf>
    <xf numFmtId="0" fontId="35" fillId="0" borderId="48" xfId="0" applyFont="1" applyBorder="1" applyAlignment="1">
      <alignment horizontal="right" vertical="center"/>
    </xf>
    <xf numFmtId="0" fontId="1" fillId="22" borderId="0" xfId="0" applyFont="1" applyFill="1"/>
    <xf numFmtId="0" fontId="1" fillId="22" borderId="0" xfId="0" applyFont="1" applyFill="1" applyBorder="1"/>
    <xf numFmtId="0" fontId="1" fillId="22" borderId="0" xfId="0" applyFont="1" applyFill="1" applyAlignment="1">
      <alignment vertical="top"/>
    </xf>
    <xf numFmtId="0" fontId="1" fillId="22" borderId="0" xfId="0" applyFont="1" applyFill="1" applyAlignment="1">
      <alignment vertical="center"/>
    </xf>
    <xf numFmtId="0" fontId="131" fillId="0" borderId="0" xfId="0" applyFont="1" applyAlignment="1">
      <alignment horizontal="left" vertical="top"/>
    </xf>
    <xf numFmtId="0" fontId="8" fillId="12" borderId="120" xfId="0" applyFont="1" applyFill="1" applyBorder="1" applyAlignment="1">
      <alignment horizontal="left" vertical="center" wrapText="1"/>
    </xf>
    <xf numFmtId="3" fontId="10" fillId="12" borderId="140" xfId="0" applyNumberFormat="1" applyFont="1" applyFill="1" applyBorder="1" applyAlignment="1">
      <alignment horizontal="right" vertical="center"/>
    </xf>
    <xf numFmtId="0" fontId="5" fillId="3" borderId="0" xfId="0" applyFont="1" applyFill="1" applyBorder="1" applyAlignment="1"/>
    <xf numFmtId="0" fontId="5" fillId="0" borderId="0" xfId="0" applyFont="1" applyAlignment="1"/>
    <xf numFmtId="0" fontId="8" fillId="12" borderId="118" xfId="0" applyFont="1" applyFill="1" applyBorder="1" applyAlignment="1">
      <alignment horizontal="left" vertical="center" wrapText="1"/>
    </xf>
    <xf numFmtId="3" fontId="10" fillId="12" borderId="142" xfId="0" applyNumberFormat="1" applyFont="1" applyFill="1" applyBorder="1" applyAlignment="1">
      <alignment horizontal="right" vertical="center"/>
    </xf>
    <xf numFmtId="0" fontId="8" fillId="12" borderId="145" xfId="0" applyFont="1" applyFill="1" applyBorder="1" applyAlignment="1">
      <alignment horizontal="left" vertical="center" wrapText="1"/>
    </xf>
    <xf numFmtId="3" fontId="10" fillId="12" borderId="144" xfId="0" applyNumberFormat="1" applyFont="1" applyFill="1" applyBorder="1" applyAlignment="1">
      <alignment horizontal="right" vertical="center"/>
    </xf>
    <xf numFmtId="189" fontId="10" fillId="3" borderId="1" xfId="0" applyNumberFormat="1" applyFont="1" applyFill="1" applyBorder="1" applyAlignment="1">
      <alignment horizontal="left" vertical="center" indent="1"/>
    </xf>
    <xf numFmtId="0" fontId="8" fillId="0" borderId="161" xfId="0" applyNumberFormat="1" applyFont="1" applyFill="1" applyBorder="1" applyAlignment="1">
      <alignment vertical="center"/>
    </xf>
    <xf numFmtId="0" fontId="8" fillId="0" borderId="146" xfId="0" applyNumberFormat="1" applyFont="1" applyFill="1" applyBorder="1" applyAlignment="1">
      <alignment vertical="center"/>
    </xf>
    <xf numFmtId="0" fontId="8" fillId="0" borderId="276" xfId="0" applyNumberFormat="1" applyFont="1" applyFill="1" applyBorder="1" applyAlignment="1">
      <alignment vertical="center"/>
    </xf>
    <xf numFmtId="0" fontId="8" fillId="0" borderId="177" xfId="0" applyNumberFormat="1" applyFont="1" applyFill="1" applyBorder="1" applyAlignment="1">
      <alignment vertical="center"/>
    </xf>
    <xf numFmtId="171" fontId="8" fillId="3" borderId="89" xfId="0" applyNumberFormat="1" applyFont="1" applyFill="1" applyBorder="1" applyAlignment="1">
      <alignment horizontal="left" vertical="center" indent="1"/>
    </xf>
    <xf numFmtId="171" fontId="8" fillId="3" borderId="88" xfId="0" applyNumberFormat="1" applyFont="1" applyFill="1" applyBorder="1" applyAlignment="1">
      <alignment horizontal="center" vertical="center"/>
    </xf>
    <xf numFmtId="0" fontId="92" fillId="14" borderId="300" xfId="0" applyNumberFormat="1" applyFont="1" applyFill="1" applyBorder="1" applyAlignment="1">
      <alignment horizontal="center"/>
    </xf>
    <xf numFmtId="0" fontId="92" fillId="14" borderId="301" xfId="0" applyNumberFormat="1" applyFont="1" applyFill="1" applyBorder="1" applyAlignment="1">
      <alignment horizontal="center" vertical="center"/>
    </xf>
    <xf numFmtId="0" fontId="92" fillId="14" borderId="295" xfId="0" applyNumberFormat="1" applyFont="1" applyFill="1" applyBorder="1" applyAlignment="1">
      <alignment horizontal="center" vertical="center"/>
    </xf>
    <xf numFmtId="0" fontId="92" fillId="14" borderId="302" xfId="0" applyNumberFormat="1" applyFont="1" applyFill="1" applyBorder="1" applyAlignment="1">
      <alignment horizontal="center" vertical="center"/>
    </xf>
    <xf numFmtId="3" fontId="92" fillId="14" borderId="302" xfId="0" applyNumberFormat="1" applyFont="1" applyFill="1" applyBorder="1" applyAlignment="1">
      <alignment vertical="center"/>
    </xf>
    <xf numFmtId="0" fontId="92" fillId="14" borderId="302" xfId="0" applyNumberFormat="1" applyFont="1" applyFill="1" applyBorder="1" applyAlignment="1">
      <alignment vertical="center"/>
    </xf>
    <xf numFmtId="0" fontId="92" fillId="14" borderId="303" xfId="0" applyNumberFormat="1" applyFont="1" applyFill="1" applyBorder="1" applyAlignment="1">
      <alignment vertical="center"/>
    </xf>
    <xf numFmtId="0" fontId="92" fillId="14" borderId="300" xfId="0" applyNumberFormat="1" applyFont="1" applyFill="1" applyBorder="1" applyAlignment="1">
      <alignment vertical="center"/>
    </xf>
    <xf numFmtId="0" fontId="92" fillId="14" borderId="355" xfId="0" applyNumberFormat="1" applyFont="1" applyFill="1" applyBorder="1" applyAlignment="1">
      <alignment vertical="center"/>
    </xf>
    <xf numFmtId="171" fontId="8" fillId="3" borderId="39" xfId="0" applyNumberFormat="1" applyFont="1" applyFill="1" applyBorder="1" applyAlignment="1">
      <alignment horizontal="left" vertical="center" indent="1"/>
    </xf>
    <xf numFmtId="171" fontId="8" fillId="3" borderId="38" xfId="0" applyNumberFormat="1" applyFont="1" applyFill="1" applyBorder="1" applyAlignment="1">
      <alignment horizontal="center" vertical="center"/>
    </xf>
    <xf numFmtId="0" fontId="92" fillId="14" borderId="296" xfId="0" applyNumberFormat="1" applyFont="1" applyFill="1" applyBorder="1" applyAlignment="1">
      <alignment horizontal="center"/>
    </xf>
    <xf numFmtId="0" fontId="92" fillId="14" borderId="93" xfId="0" applyNumberFormat="1" applyFont="1" applyFill="1" applyBorder="1" applyAlignment="1">
      <alignment horizontal="center" vertical="center"/>
    </xf>
    <xf numFmtId="0" fontId="92" fillId="14" borderId="113" xfId="0" applyNumberFormat="1" applyFont="1" applyFill="1" applyBorder="1" applyAlignment="1">
      <alignment horizontal="center" vertical="center"/>
    </xf>
    <xf numFmtId="0" fontId="92" fillId="14" borderId="92" xfId="0" applyNumberFormat="1" applyFont="1" applyFill="1" applyBorder="1" applyAlignment="1">
      <alignment horizontal="center" vertical="center"/>
    </xf>
    <xf numFmtId="3" fontId="92" fillId="14" borderId="92" xfId="0" applyNumberFormat="1" applyFont="1" applyFill="1" applyBorder="1" applyAlignment="1">
      <alignment vertical="center"/>
    </xf>
    <xf numFmtId="0" fontId="92" fillId="14" borderId="92" xfId="0" applyNumberFormat="1" applyFont="1" applyFill="1" applyBorder="1" applyAlignment="1">
      <alignment vertical="center"/>
    </xf>
    <xf numFmtId="0" fontId="92" fillId="14" borderId="94" xfId="0" applyNumberFormat="1" applyFont="1" applyFill="1" applyBorder="1" applyAlignment="1">
      <alignment vertical="center"/>
    </xf>
    <xf numFmtId="0" fontId="92" fillId="14" borderId="296" xfId="0" applyNumberFormat="1" applyFont="1" applyFill="1" applyBorder="1" applyAlignment="1">
      <alignment vertical="center"/>
    </xf>
    <xf numFmtId="0" fontId="92" fillId="14" borderId="356" xfId="0" applyNumberFormat="1" applyFont="1" applyFill="1" applyBorder="1" applyAlignment="1">
      <alignment vertical="center"/>
    </xf>
    <xf numFmtId="171" fontId="8" fillId="3" borderId="63" xfId="0" applyNumberFormat="1" applyFont="1" applyFill="1" applyBorder="1" applyAlignment="1">
      <alignment horizontal="left" vertical="center" indent="1"/>
    </xf>
    <xf numFmtId="171" fontId="8" fillId="3" borderId="78" xfId="0" applyNumberFormat="1" applyFont="1" applyFill="1" applyBorder="1" applyAlignment="1">
      <alignment horizontal="center" vertical="center"/>
    </xf>
    <xf numFmtId="0" fontId="92" fillId="14" borderId="294" xfId="0" applyNumberFormat="1" applyFont="1" applyFill="1" applyBorder="1" applyAlignment="1">
      <alignment horizontal="center" vertical="center"/>
    </xf>
    <xf numFmtId="3" fontId="92" fillId="14" borderId="294" xfId="0" applyNumberFormat="1" applyFont="1" applyFill="1" applyBorder="1" applyAlignment="1">
      <alignment vertical="center"/>
    </xf>
    <xf numFmtId="0" fontId="92" fillId="14" borderId="294" xfId="0" applyNumberFormat="1" applyFont="1" applyFill="1" applyBorder="1" applyAlignment="1">
      <alignment vertical="center"/>
    </xf>
    <xf numFmtId="0" fontId="0" fillId="0" borderId="0" xfId="0"/>
    <xf numFmtId="171" fontId="117" fillId="12" borderId="27" xfId="0" applyNumberFormat="1" applyFont="1" applyFill="1" applyBorder="1" applyAlignment="1">
      <alignment horizontal="center" vertical="center" textRotation="90"/>
    </xf>
    <xf numFmtId="0" fontId="8" fillId="22" borderId="415" xfId="0" applyFont="1" applyFill="1" applyBorder="1" applyAlignment="1">
      <alignment horizontal="center" vertical="center"/>
    </xf>
    <xf numFmtId="0" fontId="8" fillId="22" borderId="415" xfId="0" applyFont="1" applyFill="1" applyBorder="1" applyAlignment="1">
      <alignment horizontal="left" vertical="center"/>
    </xf>
    <xf numFmtId="0" fontId="8" fillId="22" borderId="416" xfId="0" applyFont="1" applyFill="1" applyBorder="1" applyAlignment="1">
      <alignment horizontal="center" vertical="center"/>
    </xf>
    <xf numFmtId="0" fontId="8" fillId="22" borderId="416" xfId="0" applyFont="1" applyFill="1" applyBorder="1" applyAlignment="1">
      <alignment horizontal="left" vertical="center"/>
    </xf>
    <xf numFmtId="175" fontId="8" fillId="3" borderId="221" xfId="0" applyNumberFormat="1" applyFont="1" applyFill="1" applyBorder="1" applyAlignment="1">
      <alignment horizontal="center" vertical="center"/>
    </xf>
    <xf numFmtId="0" fontId="119" fillId="0" borderId="0" xfId="0" applyFont="1" applyAlignment="1">
      <alignment vertical="top" wrapText="1"/>
    </xf>
    <xf numFmtId="0" fontId="8" fillId="0" borderId="0" xfId="0" applyFont="1" applyAlignment="1">
      <alignment vertical="center"/>
    </xf>
    <xf numFmtId="0" fontId="51" fillId="0" borderId="0" xfId="0" applyFont="1" applyAlignment="1">
      <alignment vertical="center"/>
    </xf>
    <xf numFmtId="0" fontId="8" fillId="0" borderId="176" xfId="0" quotePrefix="1" applyNumberFormat="1" applyFont="1" applyFill="1" applyBorder="1" applyAlignment="1">
      <alignment vertical="center"/>
    </xf>
    <xf numFmtId="0" fontId="8" fillId="47" borderId="176" xfId="0" applyNumberFormat="1" applyFont="1" applyFill="1" applyBorder="1" applyAlignment="1">
      <alignment horizontal="left" vertical="center"/>
    </xf>
    <xf numFmtId="0" fontId="8" fillId="47" borderId="176" xfId="0" applyNumberFormat="1" applyFont="1" applyFill="1" applyBorder="1" applyAlignment="1">
      <alignment vertical="center"/>
    </xf>
    <xf numFmtId="0" fontId="8" fillId="47" borderId="146" xfId="0" applyNumberFormat="1" applyFont="1" applyFill="1" applyBorder="1" applyAlignment="1">
      <alignment horizontal="left" vertical="center"/>
    </xf>
    <xf numFmtId="0" fontId="8" fillId="47" borderId="146" xfId="0" applyNumberFormat="1" applyFont="1" applyFill="1" applyBorder="1" applyAlignment="1">
      <alignment vertical="center"/>
    </xf>
    <xf numFmtId="0" fontId="8" fillId="5" borderId="176" xfId="0" applyNumberFormat="1" applyFont="1" applyFill="1" applyBorder="1" applyAlignment="1">
      <alignment horizontal="left" vertical="center"/>
    </xf>
    <xf numFmtId="0" fontId="8" fillId="5" borderId="354" xfId="0" applyNumberFormat="1" applyFont="1" applyFill="1" applyBorder="1" applyAlignment="1">
      <alignment horizontal="left" vertical="center"/>
    </xf>
    <xf numFmtId="0" fontId="8" fillId="0" borderId="146" xfId="0" applyNumberFormat="1" applyFont="1" applyFill="1" applyBorder="1" applyAlignment="1">
      <alignment horizontal="left" vertical="center"/>
    </xf>
    <xf numFmtId="0" fontId="8" fillId="0" borderId="354" xfId="0" applyNumberFormat="1" applyFont="1" applyFill="1" applyBorder="1" applyAlignment="1">
      <alignment horizontal="left" vertical="center"/>
    </xf>
    <xf numFmtId="0" fontId="8" fillId="0" borderId="354" xfId="0" applyNumberFormat="1" applyFont="1" applyFill="1" applyBorder="1" applyAlignment="1">
      <alignment vertical="center"/>
    </xf>
    <xf numFmtId="0" fontId="8" fillId="5" borderId="176" xfId="0" applyNumberFormat="1" applyFont="1" applyFill="1" applyBorder="1" applyAlignment="1">
      <alignment vertical="center"/>
    </xf>
    <xf numFmtId="0" fontId="8" fillId="5" borderId="146" xfId="0" applyNumberFormat="1" applyFont="1" applyFill="1" applyBorder="1" applyAlignment="1">
      <alignment horizontal="left" vertical="center"/>
    </xf>
    <xf numFmtId="0" fontId="8" fillId="5" borderId="146" xfId="0" applyNumberFormat="1" applyFont="1" applyFill="1" applyBorder="1" applyAlignment="1">
      <alignment vertical="center"/>
    </xf>
    <xf numFmtId="0" fontId="8" fillId="5" borderId="354" xfId="0" applyNumberFormat="1" applyFont="1" applyFill="1" applyBorder="1" applyAlignment="1">
      <alignment vertical="center"/>
    </xf>
    <xf numFmtId="0" fontId="8" fillId="46" borderId="176" xfId="0" applyNumberFormat="1" applyFont="1" applyFill="1" applyBorder="1" applyAlignment="1">
      <alignment horizontal="left" vertical="center"/>
    </xf>
    <xf numFmtId="0" fontId="8" fillId="46" borderId="176" xfId="0" applyNumberFormat="1" applyFont="1" applyFill="1" applyBorder="1" applyAlignment="1">
      <alignment vertical="center"/>
    </xf>
    <xf numFmtId="0" fontId="8" fillId="46" borderId="146" xfId="0" applyNumberFormat="1" applyFont="1" applyFill="1" applyBorder="1" applyAlignment="1">
      <alignment horizontal="left" vertical="center"/>
    </xf>
    <xf numFmtId="0" fontId="8" fillId="46" borderId="146" xfId="0" applyNumberFormat="1" applyFont="1" applyFill="1" applyBorder="1" applyAlignment="1">
      <alignment vertical="center"/>
    </xf>
    <xf numFmtId="0" fontId="8" fillId="46" borderId="354" xfId="0" applyNumberFormat="1" applyFont="1" applyFill="1" applyBorder="1" applyAlignment="1">
      <alignment horizontal="left" vertical="center"/>
    </xf>
    <xf numFmtId="0" fontId="8" fillId="46" borderId="354" xfId="0" applyNumberFormat="1" applyFont="1" applyFill="1" applyBorder="1" applyAlignment="1">
      <alignment vertical="center"/>
    </xf>
    <xf numFmtId="0" fontId="8" fillId="12" borderId="176" xfId="0" applyNumberFormat="1" applyFont="1" applyFill="1" applyBorder="1" applyAlignment="1">
      <alignment horizontal="left" vertical="center"/>
    </xf>
    <xf numFmtId="0" fontId="8" fillId="12" borderId="176" xfId="0" applyNumberFormat="1" applyFont="1" applyFill="1" applyBorder="1" applyAlignment="1">
      <alignment vertical="center"/>
    </xf>
    <xf numFmtId="0" fontId="8" fillId="12" borderId="146" xfId="0" applyNumberFormat="1" applyFont="1" applyFill="1" applyBorder="1" applyAlignment="1">
      <alignment horizontal="left" vertical="center"/>
    </xf>
    <xf numFmtId="0" fontId="8" fillId="12" borderId="146" xfId="0" applyNumberFormat="1" applyFont="1" applyFill="1" applyBorder="1" applyAlignment="1">
      <alignment vertical="center"/>
    </xf>
    <xf numFmtId="0" fontId="8" fillId="26" borderId="176" xfId="0" applyNumberFormat="1" applyFont="1" applyFill="1" applyBorder="1" applyAlignment="1">
      <alignment horizontal="left" vertical="center"/>
    </xf>
    <xf numFmtId="0" fontId="8" fillId="26" borderId="176" xfId="0" applyNumberFormat="1" applyFont="1" applyFill="1" applyBorder="1" applyAlignment="1">
      <alignment vertical="center"/>
    </xf>
    <xf numFmtId="0" fontId="8" fillId="26" borderId="146" xfId="0" applyNumberFormat="1" applyFont="1" applyFill="1" applyBorder="1" applyAlignment="1">
      <alignment horizontal="left" vertical="center"/>
    </xf>
    <xf numFmtId="0" fontId="8" fillId="26" borderId="146" xfId="0" applyNumberFormat="1" applyFont="1" applyFill="1" applyBorder="1" applyAlignment="1">
      <alignment vertical="center"/>
    </xf>
    <xf numFmtId="0" fontId="8" fillId="26" borderId="354" xfId="0" applyNumberFormat="1" applyFont="1" applyFill="1" applyBorder="1" applyAlignment="1">
      <alignment horizontal="left" vertical="center"/>
    </xf>
    <xf numFmtId="0" fontId="8" fillId="26" borderId="354" xfId="0" applyNumberFormat="1" applyFont="1" applyFill="1" applyBorder="1" applyAlignment="1">
      <alignment vertical="center"/>
    </xf>
    <xf numFmtId="0" fontId="8" fillId="23" borderId="146" xfId="0" applyNumberFormat="1" applyFont="1" applyFill="1" applyBorder="1" applyAlignment="1">
      <alignment horizontal="left" vertical="center"/>
    </xf>
    <xf numFmtId="0" fontId="8" fillId="23" borderId="146" xfId="0" applyNumberFormat="1" applyFont="1" applyFill="1" applyBorder="1" applyAlignment="1">
      <alignment vertical="center"/>
    </xf>
    <xf numFmtId="0" fontId="8" fillId="23" borderId="354" xfId="0" applyNumberFormat="1" applyFont="1" applyFill="1" applyBorder="1" applyAlignment="1">
      <alignment horizontal="left" vertical="center"/>
    </xf>
    <xf numFmtId="0" fontId="8" fillId="23" borderId="354" xfId="0" applyNumberFormat="1" applyFont="1" applyFill="1" applyBorder="1" applyAlignment="1">
      <alignment vertical="center"/>
    </xf>
    <xf numFmtId="0" fontId="8" fillId="3" borderId="161" xfId="0" applyNumberFormat="1" applyFont="1" applyFill="1" applyBorder="1" applyAlignment="1">
      <alignment vertical="center"/>
    </xf>
    <xf numFmtId="0" fontId="8" fillId="22" borderId="161" xfId="0" applyNumberFormat="1" applyFont="1" applyFill="1" applyBorder="1" applyAlignment="1">
      <alignment vertical="center"/>
    </xf>
    <xf numFmtId="0" fontId="8" fillId="22" borderId="146" xfId="0" applyNumberFormat="1" applyFont="1" applyFill="1" applyBorder="1" applyAlignment="1">
      <alignment vertical="center"/>
    </xf>
    <xf numFmtId="0" fontId="8" fillId="22" borderId="276" xfId="0" applyNumberFormat="1" applyFont="1" applyFill="1" applyBorder="1" applyAlignment="1">
      <alignment vertical="center"/>
    </xf>
    <xf numFmtId="0" fontId="8" fillId="22" borderId="177" xfId="0" applyNumberFormat="1" applyFont="1" applyFill="1" applyBorder="1" applyAlignment="1">
      <alignment vertical="center"/>
    </xf>
    <xf numFmtId="0" fontId="8" fillId="22" borderId="176" xfId="0" applyNumberFormat="1" applyFont="1" applyFill="1" applyBorder="1" applyAlignment="1">
      <alignment vertical="center"/>
    </xf>
    <xf numFmtId="0" fontId="8" fillId="0" borderId="147" xfId="0" applyNumberFormat="1" applyFont="1" applyBorder="1" applyAlignment="1">
      <alignment vertical="center"/>
    </xf>
    <xf numFmtId="0" fontId="8" fillId="0" borderId="417" xfId="0" applyNumberFormat="1" applyFont="1" applyFill="1" applyBorder="1" applyAlignment="1">
      <alignment vertical="center"/>
    </xf>
    <xf numFmtId="175" fontId="8" fillId="0" borderId="161" xfId="0" applyNumberFormat="1" applyFont="1" applyFill="1" applyBorder="1" applyAlignment="1">
      <alignment horizontal="center" vertical="center"/>
    </xf>
    <xf numFmtId="175" fontId="8" fillId="0" borderId="146" xfId="0" applyNumberFormat="1" applyFont="1" applyFill="1" applyBorder="1" applyAlignment="1">
      <alignment horizontal="center" vertical="center"/>
    </xf>
    <xf numFmtId="175" fontId="8" fillId="0" borderId="177" xfId="0" applyNumberFormat="1" applyFont="1" applyFill="1" applyBorder="1" applyAlignment="1">
      <alignment horizontal="center" vertical="center"/>
    </xf>
    <xf numFmtId="175" fontId="8" fillId="0" borderId="176" xfId="0" applyNumberFormat="1" applyFont="1" applyFill="1" applyBorder="1" applyAlignment="1">
      <alignment horizontal="center" vertical="center"/>
    </xf>
    <xf numFmtId="0" fontId="8" fillId="3" borderId="0" xfId="0" applyFont="1" applyFill="1" applyBorder="1" applyAlignment="1">
      <alignment horizontal="center" textRotation="90"/>
    </xf>
    <xf numFmtId="0" fontId="1" fillId="0" borderId="147" xfId="0" applyFont="1" applyBorder="1" applyAlignment="1">
      <alignment vertical="top"/>
    </xf>
    <xf numFmtId="0" fontId="1" fillId="0" borderId="0" xfId="0" applyFont="1" applyBorder="1" applyAlignment="1">
      <alignment vertical="top"/>
    </xf>
    <xf numFmtId="0" fontId="8" fillId="51" borderId="147" xfId="0" applyFont="1" applyFill="1" applyBorder="1" applyAlignment="1">
      <alignment horizontal="center" vertical="center"/>
    </xf>
    <xf numFmtId="0" fontId="136" fillId="0" borderId="0" xfId="0" applyFont="1" applyAlignment="1">
      <alignment vertical="top"/>
    </xf>
    <xf numFmtId="0" fontId="6" fillId="52" borderId="179" xfId="0" applyFont="1" applyFill="1" applyBorder="1" applyAlignment="1">
      <alignment horizontal="left" vertical="top"/>
    </xf>
    <xf numFmtId="0" fontId="1" fillId="52" borderId="180" xfId="0" applyFont="1" applyFill="1" applyBorder="1" applyAlignment="1">
      <alignment horizontal="left" vertical="top"/>
    </xf>
    <xf numFmtId="0" fontId="43" fillId="52" borderId="180" xfId="0" applyFont="1" applyFill="1" applyBorder="1" applyAlignment="1">
      <alignment vertical="top"/>
    </xf>
    <xf numFmtId="0" fontId="1" fillId="52" borderId="181" xfId="0" applyFont="1" applyFill="1" applyBorder="1" applyAlignment="1">
      <alignment vertical="top" wrapText="1"/>
    </xf>
    <xf numFmtId="0" fontId="1" fillId="52" borderId="70" xfId="0" applyFont="1" applyFill="1" applyBorder="1" applyAlignment="1">
      <alignment vertical="top"/>
    </xf>
    <xf numFmtId="0" fontId="22" fillId="52" borderId="0" xfId="0" applyFont="1" applyFill="1" applyBorder="1" applyAlignment="1">
      <alignment horizontal="left" vertical="top"/>
    </xf>
    <xf numFmtId="0" fontId="119" fillId="52" borderId="0" xfId="0" applyFont="1" applyFill="1" applyBorder="1" applyAlignment="1">
      <alignment vertical="top"/>
    </xf>
    <xf numFmtId="0" fontId="1" fillId="52" borderId="130" xfId="0" applyFont="1" applyFill="1" applyBorder="1" applyAlignment="1">
      <alignment vertical="top" wrapText="1"/>
    </xf>
    <xf numFmtId="0" fontId="6" fillId="52" borderId="70" xfId="0" applyFont="1" applyFill="1" applyBorder="1" applyAlignment="1">
      <alignment horizontal="left" vertical="top"/>
    </xf>
    <xf numFmtId="0" fontId="1" fillId="52" borderId="0" xfId="0" applyFont="1" applyFill="1" applyBorder="1" applyAlignment="1">
      <alignment horizontal="left" vertical="top"/>
    </xf>
    <xf numFmtId="0" fontId="1" fillId="52" borderId="0" xfId="0" applyFont="1" applyFill="1" applyBorder="1" applyAlignment="1">
      <alignment vertical="top"/>
    </xf>
    <xf numFmtId="0" fontId="6" fillId="52" borderId="182" xfId="0" applyFont="1" applyFill="1" applyBorder="1" applyAlignment="1">
      <alignment horizontal="left" vertical="top"/>
    </xf>
    <xf numFmtId="0" fontId="1" fillId="52" borderId="183" xfId="0" applyFont="1" applyFill="1" applyBorder="1" applyAlignment="1">
      <alignment horizontal="left" vertical="top"/>
    </xf>
    <xf numFmtId="0" fontId="1" fillId="52" borderId="183" xfId="0" applyFont="1" applyFill="1" applyBorder="1" applyAlignment="1">
      <alignment vertical="top"/>
    </xf>
    <xf numFmtId="0" fontId="1" fillId="52" borderId="184" xfId="0" applyFont="1" applyFill="1" applyBorder="1" applyAlignment="1">
      <alignment vertical="top" wrapText="1"/>
    </xf>
    <xf numFmtId="0" fontId="80" fillId="0" borderId="0" xfId="0" applyFont="1" applyAlignment="1">
      <alignment horizontal="left" wrapText="1" indent="5"/>
    </xf>
    <xf numFmtId="0" fontId="135" fillId="0" borderId="0" xfId="0" applyFont="1" applyFill="1" applyBorder="1" applyAlignment="1">
      <alignment horizontal="left" vertical="center" indent="2"/>
    </xf>
    <xf numFmtId="0" fontId="138" fillId="0" borderId="0" xfId="0" applyFont="1" applyAlignment="1">
      <alignment vertical="top"/>
    </xf>
    <xf numFmtId="0" fontId="37" fillId="0" borderId="0" xfId="0" applyFont="1" applyAlignment="1">
      <alignment vertical="center"/>
    </xf>
    <xf numFmtId="0" fontId="37" fillId="0" borderId="0" xfId="0" applyFont="1" applyAlignment="1"/>
    <xf numFmtId="0" fontId="31" fillId="5" borderId="418" xfId="0" applyFont="1" applyFill="1" applyBorder="1" applyAlignment="1">
      <alignment vertical="center"/>
    </xf>
    <xf numFmtId="0" fontId="31" fillId="5" borderId="20" xfId="0" applyFont="1" applyFill="1" applyBorder="1" applyAlignment="1">
      <alignment horizontal="left" vertical="center"/>
    </xf>
    <xf numFmtId="0" fontId="72" fillId="5" borderId="20" xfId="0" applyFont="1" applyFill="1" applyBorder="1" applyAlignment="1">
      <alignment vertical="center"/>
    </xf>
    <xf numFmtId="0" fontId="1" fillId="5" borderId="138" xfId="0" applyFont="1" applyFill="1" applyBorder="1" applyAlignment="1">
      <alignment vertical="center" wrapText="1"/>
    </xf>
    <xf numFmtId="0" fontId="140" fillId="0" borderId="0" xfId="0" applyFont="1" applyAlignment="1">
      <alignment vertical="top" wrapText="1"/>
    </xf>
    <xf numFmtId="0" fontId="51" fillId="0" borderId="0" xfId="0" applyFont="1" applyAlignment="1">
      <alignment vertical="top" wrapText="1"/>
    </xf>
    <xf numFmtId="0" fontId="8" fillId="0" borderId="147" xfId="0" applyNumberFormat="1" applyFont="1" applyFill="1" applyBorder="1" applyAlignment="1">
      <alignment vertical="center"/>
    </xf>
    <xf numFmtId="0" fontId="1" fillId="0" borderId="0" xfId="0" applyFont="1" applyAlignment="1">
      <alignment horizontal="left" vertical="top"/>
    </xf>
    <xf numFmtId="0" fontId="1" fillId="0" borderId="0" xfId="0" applyFont="1" applyAlignment="1">
      <alignment horizontal="left" vertical="top"/>
    </xf>
    <xf numFmtId="0" fontId="1" fillId="26" borderId="0" xfId="0" applyFont="1" applyFill="1" applyAlignment="1">
      <alignment horizontal="center"/>
    </xf>
    <xf numFmtId="4" fontId="8" fillId="0" borderId="147" xfId="0" applyNumberFormat="1" applyFont="1" applyBorder="1" applyAlignment="1">
      <alignment horizontal="center" vertical="center"/>
    </xf>
    <xf numFmtId="0" fontId="132" fillId="0" borderId="0" xfId="0" applyFont="1" applyAlignment="1">
      <alignment vertical="top"/>
    </xf>
    <xf numFmtId="0" fontId="1" fillId="0" borderId="0" xfId="0" applyFont="1" applyAlignment="1">
      <alignment horizontal="left" vertical="top"/>
    </xf>
    <xf numFmtId="3" fontId="86" fillId="22" borderId="0" xfId="0" applyNumberFormat="1" applyFont="1" applyFill="1" applyBorder="1" applyAlignment="1">
      <alignment horizontal="right" vertical="center"/>
    </xf>
    <xf numFmtId="0" fontId="8" fillId="22" borderId="419" xfId="0" applyFont="1" applyFill="1" applyBorder="1" applyAlignment="1">
      <alignment horizontal="center" vertical="center"/>
    </xf>
    <xf numFmtId="0" fontId="8" fillId="22" borderId="419" xfId="0" applyFont="1" applyFill="1" applyBorder="1" applyAlignment="1">
      <alignment horizontal="left" vertical="center"/>
    </xf>
    <xf numFmtId="3" fontId="86" fillId="22" borderId="278" xfId="0" applyNumberFormat="1" applyFont="1" applyFill="1" applyBorder="1" applyAlignment="1">
      <alignment horizontal="right" vertical="center"/>
    </xf>
    <xf numFmtId="3" fontId="86" fillId="22" borderId="420" xfId="0" applyNumberFormat="1" applyFont="1" applyFill="1" applyBorder="1" applyAlignment="1">
      <alignment horizontal="right" vertical="center"/>
    </xf>
    <xf numFmtId="3" fontId="10" fillId="3" borderId="421" xfId="0" applyNumberFormat="1" applyFont="1" applyFill="1" applyBorder="1" applyAlignment="1">
      <alignment horizontal="right" vertical="center"/>
    </xf>
    <xf numFmtId="3" fontId="86" fillId="22" borderId="422" xfId="0" applyNumberFormat="1" applyFont="1" applyFill="1" applyBorder="1" applyAlignment="1">
      <alignment horizontal="right" vertical="center"/>
    </xf>
    <xf numFmtId="175" fontId="8" fillId="50" borderId="163" xfId="0" applyNumberFormat="1" applyFont="1" applyFill="1" applyBorder="1" applyAlignment="1">
      <alignment horizontal="center" vertical="center"/>
    </xf>
    <xf numFmtId="175" fontId="8" fillId="50" borderId="64" xfId="0" applyNumberFormat="1" applyFont="1" applyFill="1" applyBorder="1" applyAlignment="1">
      <alignment horizontal="center" vertical="center"/>
    </xf>
    <xf numFmtId="0" fontId="87" fillId="53" borderId="24" xfId="0" applyFont="1" applyFill="1" applyBorder="1"/>
    <xf numFmtId="0" fontId="87" fillId="53" borderId="25" xfId="0" applyFont="1" applyFill="1" applyBorder="1"/>
    <xf numFmtId="0" fontId="87" fillId="53" borderId="11" xfId="0" applyFont="1" applyFill="1" applyBorder="1"/>
    <xf numFmtId="0" fontId="81" fillId="0" borderId="380" xfId="0" applyFont="1" applyFill="1" applyBorder="1" applyAlignment="1">
      <alignment horizontal="left" vertical="center" readingOrder="1"/>
    </xf>
    <xf numFmtId="0" fontId="81" fillId="0" borderId="423" xfId="0" applyFont="1" applyFill="1" applyBorder="1" applyAlignment="1">
      <alignment horizontal="left" vertical="center" readingOrder="1"/>
    </xf>
    <xf numFmtId="0" fontId="8" fillId="3" borderId="10" xfId="0" applyFont="1" applyFill="1" applyBorder="1" applyAlignment="1">
      <alignment horizontal="center" vertical="center"/>
    </xf>
    <xf numFmtId="0" fontId="8" fillId="3" borderId="424" xfId="0" applyNumberFormat="1" applyFont="1" applyFill="1" applyBorder="1" applyAlignment="1">
      <alignment vertical="center"/>
    </xf>
    <xf numFmtId="0" fontId="8" fillId="3" borderId="146" xfId="0" applyNumberFormat="1" applyFont="1" applyFill="1" applyBorder="1" applyAlignment="1">
      <alignment vertical="center"/>
    </xf>
    <xf numFmtId="0" fontId="8" fillId="12" borderId="417" xfId="0" applyNumberFormat="1" applyFont="1" applyFill="1" applyBorder="1" applyAlignment="1">
      <alignment horizontal="left" vertical="center"/>
    </xf>
    <xf numFmtId="0" fontId="8" fillId="12" borderId="417" xfId="0" applyNumberFormat="1" applyFont="1" applyFill="1" applyBorder="1" applyAlignment="1">
      <alignment vertical="center"/>
    </xf>
    <xf numFmtId="0" fontId="8" fillId="47" borderId="417" xfId="0" applyNumberFormat="1" applyFont="1" applyFill="1" applyBorder="1" applyAlignment="1">
      <alignment horizontal="left" vertical="center"/>
    </xf>
    <xf numFmtId="0" fontId="8" fillId="47" borderId="417" xfId="0" applyNumberFormat="1" applyFont="1" applyFill="1" applyBorder="1" applyAlignment="1">
      <alignment vertical="center"/>
    </xf>
    <xf numFmtId="0" fontId="141" fillId="0" borderId="161" xfId="0" applyNumberFormat="1" applyFont="1" applyFill="1" applyBorder="1" applyAlignment="1">
      <alignment vertical="center"/>
    </xf>
    <xf numFmtId="0" fontId="141" fillId="22" borderId="161" xfId="0" applyNumberFormat="1" applyFont="1" applyFill="1" applyBorder="1" applyAlignment="1">
      <alignment vertical="center"/>
    </xf>
    <xf numFmtId="0" fontId="141" fillId="0" borderId="276" xfId="0" applyNumberFormat="1" applyFont="1" applyFill="1" applyBorder="1" applyAlignment="1">
      <alignment vertical="center"/>
    </xf>
    <xf numFmtId="0" fontId="141" fillId="0" borderId="146" xfId="0" applyNumberFormat="1" applyFont="1" applyFill="1" applyBorder="1" applyAlignment="1">
      <alignment vertical="center"/>
    </xf>
    <xf numFmtId="0" fontId="141" fillId="22" borderId="146" xfId="0" applyNumberFormat="1" applyFont="1" applyFill="1" applyBorder="1" applyAlignment="1">
      <alignment vertical="center"/>
    </xf>
    <xf numFmtId="0" fontId="141" fillId="0" borderId="177" xfId="0" applyNumberFormat="1" applyFont="1" applyFill="1" applyBorder="1" applyAlignment="1">
      <alignment vertical="center"/>
    </xf>
    <xf numFmtId="0" fontId="141" fillId="22" borderId="177" xfId="0" applyNumberFormat="1" applyFont="1" applyFill="1" applyBorder="1" applyAlignment="1">
      <alignment vertical="center"/>
    </xf>
    <xf numFmtId="0" fontId="8" fillId="3" borderId="39" xfId="0" applyFont="1" applyFill="1" applyBorder="1" applyAlignment="1">
      <alignment horizontal="center" vertical="center" readingOrder="1"/>
    </xf>
    <xf numFmtId="0" fontId="8" fillId="3" borderId="40" xfId="0" applyFont="1" applyFill="1" applyBorder="1" applyAlignment="1">
      <alignment horizontal="left" vertical="center" readingOrder="1"/>
    </xf>
    <xf numFmtId="0" fontId="8" fillId="3" borderId="397"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425" xfId="0" applyFont="1" applyFill="1" applyBorder="1" applyAlignment="1">
      <alignment vertical="center"/>
    </xf>
    <xf numFmtId="0" fontId="6" fillId="3" borderId="27" xfId="0" applyFont="1" applyFill="1" applyBorder="1" applyAlignment="1">
      <alignment horizontal="center" vertical="center"/>
    </xf>
    <xf numFmtId="0" fontId="125" fillId="0" borderId="0" xfId="0" applyFont="1" applyAlignment="1">
      <alignment horizontal="right" vertical="center"/>
    </xf>
    <xf numFmtId="0" fontId="8" fillId="0" borderId="0" xfId="0" applyFont="1" applyAlignment="1">
      <alignment horizontal="right" vertical="center"/>
    </xf>
    <xf numFmtId="0" fontId="17" fillId="34" borderId="65" xfId="0" applyFont="1" applyFill="1" applyBorder="1" applyAlignment="1">
      <alignment horizontal="centerContinuous" vertical="center"/>
    </xf>
    <xf numFmtId="0" fontId="17" fillId="34" borderId="67" xfId="0" applyFont="1" applyFill="1" applyBorder="1" applyAlignment="1">
      <alignment horizontal="centerContinuous" vertical="center"/>
    </xf>
    <xf numFmtId="49" fontId="110" fillId="22" borderId="246" xfId="0" applyNumberFormat="1" applyFont="1" applyFill="1" applyBorder="1" applyAlignment="1">
      <alignment horizontal="center" vertical="center"/>
    </xf>
    <xf numFmtId="49" fontId="110" fillId="22" borderId="282" xfId="0" applyNumberFormat="1" applyFont="1" applyFill="1" applyBorder="1" applyAlignment="1">
      <alignment horizontal="center" vertical="center"/>
    </xf>
    <xf numFmtId="49" fontId="110" fillId="22" borderId="394" xfId="0" applyNumberFormat="1" applyFont="1" applyFill="1" applyBorder="1" applyAlignment="1">
      <alignment horizontal="center" vertical="center"/>
    </xf>
    <xf numFmtId="49" fontId="110" fillId="22" borderId="257" xfId="0" applyNumberFormat="1" applyFont="1" applyFill="1" applyBorder="1" applyAlignment="1">
      <alignment horizontal="left" vertical="center"/>
    </xf>
    <xf numFmtId="49" fontId="0" fillId="0" borderId="0" xfId="0" applyNumberFormat="1"/>
    <xf numFmtId="49" fontId="110" fillId="22" borderId="41" xfId="0" applyNumberFormat="1" applyFont="1" applyFill="1" applyBorder="1" applyAlignment="1">
      <alignment horizontal="left" vertical="center"/>
    </xf>
    <xf numFmtId="49" fontId="32" fillId="0" borderId="0" xfId="0" applyNumberFormat="1" applyFont="1"/>
    <xf numFmtId="49" fontId="110" fillId="22" borderId="395" xfId="0" applyNumberFormat="1" applyFont="1" applyFill="1" applyBorder="1" applyAlignment="1">
      <alignment horizontal="left" vertical="center"/>
    </xf>
    <xf numFmtId="49" fontId="108" fillId="22" borderId="12" xfId="0" applyNumberFormat="1" applyFont="1" applyFill="1" applyBorder="1" applyAlignment="1">
      <alignment horizontal="center" vertical="center"/>
    </xf>
    <xf numFmtId="49" fontId="108" fillId="22" borderId="1" xfId="0" applyNumberFormat="1" applyFont="1" applyFill="1" applyBorder="1" applyAlignment="1">
      <alignment horizontal="center" vertical="center"/>
    </xf>
    <xf numFmtId="49" fontId="108" fillId="22" borderId="7" xfId="0" applyNumberFormat="1" applyFont="1" applyFill="1" applyBorder="1" applyAlignment="1">
      <alignment horizontal="center" vertical="center"/>
    </xf>
    <xf numFmtId="0" fontId="8" fillId="26" borderId="417" xfId="0" applyNumberFormat="1" applyFont="1" applyFill="1" applyBorder="1" applyAlignment="1">
      <alignment horizontal="left" vertical="center"/>
    </xf>
    <xf numFmtId="0" fontId="8" fillId="26" borderId="417" xfId="0" applyNumberFormat="1" applyFont="1" applyFill="1" applyBorder="1" applyAlignment="1">
      <alignment vertical="center"/>
    </xf>
    <xf numFmtId="0" fontId="8" fillId="26" borderId="12" xfId="0" applyFont="1" applyFill="1" applyBorder="1" applyAlignment="1">
      <alignment horizontal="center" vertical="center"/>
    </xf>
    <xf numFmtId="0" fontId="8" fillId="0" borderId="12" xfId="0" applyFont="1" applyBorder="1" applyAlignment="1">
      <alignment horizontal="center" vertical="center"/>
    </xf>
    <xf numFmtId="0" fontId="8" fillId="26" borderId="221" xfId="0" applyFont="1" applyFill="1" applyBorder="1" applyAlignment="1">
      <alignment horizontal="center" vertical="center"/>
    </xf>
    <xf numFmtId="0" fontId="8" fillId="0" borderId="221" xfId="0" applyFont="1" applyBorder="1" applyAlignment="1">
      <alignment horizontal="center" vertical="center"/>
    </xf>
    <xf numFmtId="0" fontId="8" fillId="23" borderId="12" xfId="0" applyFont="1" applyFill="1" applyBorder="1" applyAlignment="1">
      <alignment horizontal="center" vertical="center"/>
    </xf>
    <xf numFmtId="0" fontId="8" fillId="26" borderId="21" xfId="0" applyFont="1" applyFill="1" applyBorder="1" applyAlignment="1">
      <alignment horizontal="center" vertical="center"/>
    </xf>
    <xf numFmtId="0" fontId="8" fillId="0" borderId="21" xfId="0" applyFont="1" applyBorder="1" applyAlignment="1">
      <alignment horizontal="center" vertical="center"/>
    </xf>
    <xf numFmtId="0" fontId="8" fillId="23" borderId="221" xfId="0" applyFont="1" applyFill="1" applyBorder="1" applyAlignment="1">
      <alignment horizontal="center" vertical="center"/>
    </xf>
    <xf numFmtId="0" fontId="8" fillId="23" borderId="176" xfId="0" applyNumberFormat="1" applyFont="1" applyFill="1" applyBorder="1" applyAlignment="1">
      <alignment horizontal="left" vertical="center"/>
    </xf>
    <xf numFmtId="0" fontId="8" fillId="23" borderId="176" xfId="0" applyNumberFormat="1" applyFont="1" applyFill="1" applyBorder="1" applyAlignment="1">
      <alignment vertical="center"/>
    </xf>
    <xf numFmtId="0" fontId="8" fillId="23" borderId="417" xfId="0" applyNumberFormat="1" applyFont="1" applyFill="1" applyBorder="1" applyAlignment="1">
      <alignment horizontal="left" vertical="center"/>
    </xf>
    <xf numFmtId="0" fontId="8" fillId="23" borderId="417" xfId="0" applyNumberFormat="1" applyFont="1" applyFill="1" applyBorder="1" applyAlignment="1">
      <alignment vertical="center"/>
    </xf>
    <xf numFmtId="0" fontId="8" fillId="47" borderId="12" xfId="0" applyFont="1" applyFill="1" applyBorder="1" applyAlignment="1">
      <alignment horizontal="center" vertical="center"/>
    </xf>
    <xf numFmtId="0" fontId="8" fillId="47" borderId="221" xfId="0" applyFont="1" applyFill="1" applyBorder="1" applyAlignment="1">
      <alignment horizontal="center" vertical="center"/>
    </xf>
    <xf numFmtId="0" fontId="8" fillId="5" borderId="417" xfId="0" applyNumberFormat="1" applyFont="1" applyFill="1" applyBorder="1" applyAlignment="1">
      <alignment horizontal="left" vertical="center"/>
    </xf>
    <xf numFmtId="0" fontId="8" fillId="5" borderId="417" xfId="0" applyNumberFormat="1" applyFont="1" applyFill="1" applyBorder="1" applyAlignment="1">
      <alignment vertical="center"/>
    </xf>
    <xf numFmtId="0" fontId="8" fillId="5" borderId="221" xfId="0" applyFont="1" applyFill="1" applyBorder="1" applyAlignment="1">
      <alignment horizontal="center" vertical="center"/>
    </xf>
    <xf numFmtId="0" fontId="8" fillId="23" borderId="21" xfId="0" applyFont="1" applyFill="1" applyBorder="1" applyAlignment="1">
      <alignment horizontal="center" vertical="center"/>
    </xf>
    <xf numFmtId="0" fontId="8" fillId="5" borderId="21" xfId="0" applyFont="1" applyFill="1" applyBorder="1" applyAlignment="1">
      <alignment horizontal="center" vertical="center"/>
    </xf>
    <xf numFmtId="49" fontId="8" fillId="3" borderId="12" xfId="0" quotePrefix="1" applyNumberFormat="1" applyFont="1" applyFill="1" applyBorder="1" applyAlignment="1">
      <alignment horizontal="center" vertical="center"/>
    </xf>
    <xf numFmtId="0" fontId="1" fillId="26" borderId="0" xfId="0" applyFont="1" applyFill="1" applyBorder="1" applyAlignment="1">
      <alignment horizontal="center" textRotation="90"/>
    </xf>
    <xf numFmtId="0" fontId="24" fillId="0" borderId="147" xfId="0" applyFont="1" applyFill="1" applyBorder="1" applyAlignment="1">
      <alignment horizontal="center" vertical="center"/>
    </xf>
    <xf numFmtId="0" fontId="1" fillId="27" borderId="0" xfId="0" applyFont="1" applyFill="1" applyAlignment="1">
      <alignment horizontal="center" wrapText="1"/>
    </xf>
    <xf numFmtId="0" fontId="1" fillId="0" borderId="0" xfId="0" applyFont="1" applyAlignment="1">
      <alignment horizontal="left" vertical="top"/>
    </xf>
    <xf numFmtId="0" fontId="6" fillId="26" borderId="0" xfId="0" applyFont="1" applyFill="1" applyBorder="1" applyAlignment="1">
      <alignment textRotation="90"/>
    </xf>
    <xf numFmtId="9" fontId="8" fillId="3" borderId="147" xfId="0" quotePrefix="1" applyNumberFormat="1" applyFont="1" applyFill="1" applyBorder="1" applyAlignment="1">
      <alignment horizontal="center" vertical="center"/>
    </xf>
    <xf numFmtId="0" fontId="1" fillId="0" borderId="0" xfId="0" applyFont="1" applyAlignment="1">
      <alignment horizontal="left" vertical="top"/>
    </xf>
    <xf numFmtId="0" fontId="142" fillId="26" borderId="0" xfId="0" applyFont="1" applyFill="1"/>
    <xf numFmtId="0" fontId="1" fillId="0" borderId="0" xfId="0" applyFont="1" applyAlignment="1">
      <alignment horizontal="left" vertical="top"/>
    </xf>
    <xf numFmtId="0" fontId="33" fillId="26" borderId="0" xfId="0" applyFont="1" applyFill="1" applyAlignment="1">
      <alignment horizontal="center" vertical="center"/>
    </xf>
    <xf numFmtId="3" fontId="10" fillId="3" borderId="232" xfId="0" applyNumberFormat="1" applyFont="1" applyFill="1" applyBorder="1" applyAlignment="1">
      <alignment horizontal="right" vertical="center" indent="1"/>
    </xf>
    <xf numFmtId="2" fontId="87" fillId="3" borderId="0" xfId="0" applyNumberFormat="1" applyFont="1" applyFill="1" applyBorder="1"/>
    <xf numFmtId="2" fontId="32" fillId="0" borderId="0" xfId="0" applyNumberFormat="1" applyFont="1" applyBorder="1"/>
    <xf numFmtId="176" fontId="8" fillId="26" borderId="0" xfId="0" applyNumberFormat="1" applyFont="1" applyFill="1" applyAlignment="1">
      <alignment horizontal="center" vertical="center"/>
    </xf>
    <xf numFmtId="0" fontId="1" fillId="26" borderId="0" xfId="0" quotePrefix="1" applyFont="1" applyFill="1" applyBorder="1" applyAlignment="1">
      <alignment horizontal="center" textRotation="90"/>
    </xf>
    <xf numFmtId="3" fontId="10" fillId="3" borderId="7" xfId="0" applyNumberFormat="1" applyFont="1" applyFill="1" applyBorder="1" applyAlignment="1">
      <alignment horizontal="right" vertical="center" indent="1"/>
    </xf>
    <xf numFmtId="3" fontId="10" fillId="3" borderId="24" xfId="0" applyNumberFormat="1" applyFont="1" applyFill="1" applyBorder="1" applyAlignment="1">
      <alignment horizontal="right" vertical="center" indent="1"/>
    </xf>
    <xf numFmtId="10" fontId="8" fillId="0" borderId="147" xfId="1" applyNumberFormat="1" applyFont="1" applyBorder="1" applyAlignment="1">
      <alignment horizontal="center" vertical="center"/>
    </xf>
    <xf numFmtId="2" fontId="8" fillId="26" borderId="0" xfId="0" applyNumberFormat="1" applyFont="1" applyFill="1" applyAlignment="1">
      <alignment horizontal="center" vertical="center"/>
    </xf>
    <xf numFmtId="0" fontId="1" fillId="26" borderId="0" xfId="0" applyFont="1" applyFill="1" applyBorder="1" applyAlignment="1">
      <alignment horizontal="center" textRotation="90"/>
    </xf>
    <xf numFmtId="176" fontId="8" fillId="26" borderId="147" xfId="0" applyNumberFormat="1" applyFont="1" applyFill="1" applyBorder="1" applyAlignment="1">
      <alignment horizontal="center" vertical="center"/>
    </xf>
    <xf numFmtId="0" fontId="8" fillId="3" borderId="0" xfId="0" applyFont="1" applyFill="1" applyBorder="1" applyAlignment="1">
      <alignment horizontal="center" textRotation="90"/>
    </xf>
    <xf numFmtId="0" fontId="1" fillId="0" borderId="0" xfId="0" applyFont="1" applyAlignment="1">
      <alignment horizontal="left" vertical="top"/>
    </xf>
    <xf numFmtId="2" fontId="1" fillId="3" borderId="147" xfId="0" quotePrefix="1" applyNumberFormat="1" applyFont="1" applyFill="1" applyBorder="1" applyAlignment="1">
      <alignment horizontal="center" vertical="center"/>
    </xf>
    <xf numFmtId="0" fontId="37" fillId="0" borderId="0" xfId="0" applyFont="1" applyAlignment="1">
      <alignment horizontal="centerContinuous" vertical="center" wrapText="1"/>
    </xf>
    <xf numFmtId="0" fontId="37" fillId="0" borderId="0" xfId="0" applyFont="1" applyAlignment="1">
      <alignment horizontal="centerContinuous"/>
    </xf>
    <xf numFmtId="0" fontId="37" fillId="0" borderId="0" xfId="0" applyFont="1" applyAlignment="1">
      <alignment horizontal="centerContinuous" wrapText="1"/>
    </xf>
    <xf numFmtId="10" fontId="8" fillId="12" borderId="88" xfId="1" applyNumberFormat="1" applyFont="1" applyFill="1" applyBorder="1" applyAlignment="1">
      <alignment horizontal="center" vertical="center"/>
    </xf>
    <xf numFmtId="10" fontId="8" fillId="12" borderId="38" xfId="1" applyNumberFormat="1" applyFont="1" applyFill="1" applyBorder="1" applyAlignment="1">
      <alignment horizontal="center" vertical="center"/>
    </xf>
    <xf numFmtId="2" fontId="8" fillId="3" borderId="21" xfId="1" applyNumberFormat="1" applyFont="1" applyFill="1" applyBorder="1" applyAlignment="1">
      <alignment horizontal="center" vertical="center"/>
    </xf>
    <xf numFmtId="0" fontId="8" fillId="27" borderId="0" xfId="0" applyFont="1" applyFill="1" applyAlignment="1">
      <alignment horizontal="right"/>
    </xf>
    <xf numFmtId="0" fontId="32" fillId="27" borderId="21" xfId="0" applyFont="1" applyFill="1" applyBorder="1"/>
    <xf numFmtId="3" fontId="10" fillId="3" borderId="233" xfId="0" applyNumberFormat="1" applyFont="1" applyFill="1" applyBorder="1" applyAlignment="1">
      <alignment horizontal="right" vertical="center" indent="1"/>
    </xf>
    <xf numFmtId="0" fontId="34" fillId="27" borderId="0" xfId="0" applyFont="1" applyFill="1" applyBorder="1" applyAlignment="1">
      <alignment horizontal="center"/>
    </xf>
    <xf numFmtId="3" fontId="10" fillId="3" borderId="27" xfId="0" applyNumberFormat="1" applyFont="1" applyFill="1" applyBorder="1" applyAlignment="1">
      <alignment horizontal="right" vertical="center" indent="1"/>
    </xf>
    <xf numFmtId="0" fontId="8" fillId="27" borderId="0" xfId="0" applyFont="1" applyFill="1" applyAlignment="1">
      <alignment horizontal="center" textRotation="90" wrapText="1"/>
    </xf>
    <xf numFmtId="0" fontId="1" fillId="0" borderId="0" xfId="0" applyFont="1" applyAlignment="1">
      <alignment horizontal="left" vertical="top"/>
    </xf>
    <xf numFmtId="3" fontId="50" fillId="0" borderId="147" xfId="0" quotePrefix="1" applyNumberFormat="1" applyFont="1" applyFill="1" applyBorder="1" applyAlignment="1">
      <alignment horizontal="center" vertical="center"/>
    </xf>
    <xf numFmtId="0" fontId="1" fillId="0" borderId="0" xfId="0" applyFont="1" applyAlignment="1">
      <alignment horizontal="left" vertical="top"/>
    </xf>
    <xf numFmtId="0" fontId="8" fillId="27" borderId="0" xfId="0" applyFont="1" applyFill="1" applyAlignment="1">
      <alignment wrapText="1"/>
    </xf>
    <xf numFmtId="3" fontId="10" fillId="22" borderId="7" xfId="0" applyNumberFormat="1" applyFont="1" applyFill="1" applyBorder="1" applyAlignment="1">
      <alignment horizontal="right" vertical="center" indent="1"/>
    </xf>
    <xf numFmtId="3" fontId="10" fillId="22" borderId="428" xfId="0" applyNumberFormat="1" applyFont="1" applyFill="1" applyBorder="1" applyAlignment="1">
      <alignment horizontal="right" vertical="center" indent="1"/>
    </xf>
    <xf numFmtId="0" fontId="4" fillId="6" borderId="8" xfId="0" applyFont="1" applyFill="1" applyBorder="1"/>
    <xf numFmtId="0" fontId="29" fillId="6" borderId="8" xfId="0" applyFont="1" applyFill="1" applyBorder="1" applyAlignment="1">
      <alignment vertical="center"/>
    </xf>
    <xf numFmtId="0" fontId="4" fillId="6" borderId="10" xfId="0" applyFont="1" applyFill="1" applyBorder="1"/>
    <xf numFmtId="0" fontId="30" fillId="6" borderId="22" xfId="0" applyFont="1" applyFill="1" applyBorder="1" applyAlignment="1">
      <alignment vertical="center" wrapText="1"/>
    </xf>
    <xf numFmtId="0" fontId="30" fillId="6" borderId="8" xfId="0" applyFont="1" applyFill="1" applyBorder="1" applyAlignment="1">
      <alignment horizontal="center" vertical="center" wrapText="1"/>
    </xf>
    <xf numFmtId="0" fontId="30" fillId="6" borderId="24" xfId="0" applyFont="1" applyFill="1" applyBorder="1" applyAlignment="1">
      <alignment vertical="center" wrapText="1"/>
    </xf>
    <xf numFmtId="0" fontId="10" fillId="6" borderId="12" xfId="0" applyFont="1" applyFill="1" applyBorder="1" applyAlignment="1">
      <alignment horizontal="center" vertical="center"/>
    </xf>
    <xf numFmtId="0" fontId="10" fillId="6" borderId="147" xfId="0" applyFont="1" applyFill="1" applyBorder="1" applyAlignment="1">
      <alignment horizontal="center" vertical="center" wrapText="1"/>
    </xf>
    <xf numFmtId="0" fontId="4" fillId="3" borderId="147" xfId="0" applyFont="1" applyFill="1" applyBorder="1" applyAlignment="1">
      <alignment horizontal="center" vertical="center"/>
    </xf>
    <xf numFmtId="0" fontId="47" fillId="39" borderId="8" xfId="0" applyFont="1" applyFill="1" applyBorder="1" applyAlignment="1">
      <alignment vertical="center"/>
    </xf>
    <xf numFmtId="0" fontId="4" fillId="40" borderId="9" xfId="0" applyFont="1" applyFill="1" applyBorder="1"/>
    <xf numFmtId="0" fontId="4" fillId="32" borderId="0" xfId="0" applyFont="1" applyFill="1"/>
    <xf numFmtId="0" fontId="4" fillId="32" borderId="0" xfId="0" applyFont="1" applyFill="1" applyBorder="1"/>
    <xf numFmtId="0" fontId="1" fillId="32" borderId="0" xfId="0" applyFont="1" applyFill="1" applyBorder="1" applyAlignment="1">
      <alignment vertical="center"/>
    </xf>
    <xf numFmtId="0" fontId="4" fillId="32" borderId="0" xfId="0" applyFont="1" applyFill="1" applyAlignment="1">
      <alignment vertical="center"/>
    </xf>
    <xf numFmtId="0" fontId="4" fillId="32" borderId="0" xfId="0" applyFont="1" applyFill="1" applyAlignment="1">
      <alignment horizontal="center" vertical="center"/>
    </xf>
    <xf numFmtId="0" fontId="4" fillId="32" borderId="0" xfId="0" applyFont="1" applyFill="1" applyBorder="1" applyAlignment="1">
      <alignment vertical="top" wrapText="1"/>
    </xf>
    <xf numFmtId="0" fontId="4" fillId="32" borderId="0" xfId="0" applyFont="1" applyFill="1" applyBorder="1" applyAlignment="1">
      <alignment vertical="top"/>
    </xf>
    <xf numFmtId="0" fontId="4" fillId="32" borderId="0" xfId="0" applyFont="1" applyFill="1" applyAlignment="1">
      <alignment horizontal="right" vertical="center" indent="1"/>
    </xf>
    <xf numFmtId="0" fontId="109" fillId="32" borderId="0" xfId="0" applyFont="1" applyFill="1" applyAlignment="1">
      <alignment horizontal="right" vertical="center" indent="1"/>
    </xf>
    <xf numFmtId="0" fontId="4" fillId="32" borderId="0" xfId="0" applyFont="1" applyFill="1" applyAlignment="1">
      <alignment horizontal="center"/>
    </xf>
    <xf numFmtId="0" fontId="43" fillId="32" borderId="0" xfId="0" applyFont="1" applyFill="1" applyBorder="1"/>
    <xf numFmtId="0" fontId="31" fillId="32" borderId="0" xfId="0" applyFont="1" applyFill="1" applyBorder="1" applyAlignment="1">
      <alignment horizontal="left"/>
    </xf>
    <xf numFmtId="0" fontId="62" fillId="32" borderId="0" xfId="0" applyFont="1" applyFill="1" applyBorder="1" applyAlignment="1">
      <alignment vertical="center"/>
    </xf>
    <xf numFmtId="0" fontId="8" fillId="27" borderId="0" xfId="0" applyFont="1" applyFill="1" applyAlignment="1">
      <alignment horizontal="center" textRotation="90" wrapText="1"/>
    </xf>
    <xf numFmtId="0" fontId="1" fillId="0" borderId="0" xfId="0" applyFont="1" applyAlignment="1">
      <alignment horizontal="left" vertical="top"/>
    </xf>
    <xf numFmtId="0" fontId="32" fillId="26" borderId="0" xfId="0" applyFont="1" applyFill="1" applyAlignment="1">
      <alignment vertical="center"/>
    </xf>
    <xf numFmtId="0" fontId="32" fillId="22" borderId="0" xfId="0" applyFont="1" applyFill="1" applyAlignment="1">
      <alignment vertical="center"/>
    </xf>
    <xf numFmtId="0" fontId="32" fillId="0" borderId="6" xfId="0" applyFont="1" applyBorder="1" applyAlignment="1">
      <alignment vertical="center"/>
    </xf>
    <xf numFmtId="0" fontId="32" fillId="0" borderId="5" xfId="0" applyFont="1" applyBorder="1" applyAlignment="1">
      <alignment vertical="center"/>
    </xf>
    <xf numFmtId="0" fontId="32" fillId="0" borderId="167" xfId="0" applyFont="1" applyFill="1" applyBorder="1" applyAlignment="1">
      <alignment vertical="center"/>
    </xf>
    <xf numFmtId="0" fontId="32" fillId="0" borderId="0" xfId="0" applyFont="1" applyFill="1" applyBorder="1" applyAlignment="1">
      <alignment vertical="center"/>
    </xf>
    <xf numFmtId="0" fontId="73" fillId="0" borderId="0" xfId="0" applyFont="1" applyFill="1" applyBorder="1" applyAlignment="1">
      <alignment vertical="top"/>
    </xf>
    <xf numFmtId="0" fontId="6" fillId="40" borderId="9" xfId="0" applyFont="1" applyFill="1" applyBorder="1" applyAlignment="1">
      <alignment horizontal="left" vertical="center" indent="1"/>
    </xf>
    <xf numFmtId="0" fontId="6" fillId="39" borderId="9" xfId="0" applyFont="1" applyFill="1" applyBorder="1" applyAlignment="1">
      <alignment horizontal="left" vertical="center" indent="2"/>
    </xf>
    <xf numFmtId="0" fontId="6" fillId="38" borderId="9" xfId="0" applyFont="1" applyFill="1" applyBorder="1" applyAlignment="1">
      <alignment horizontal="left" vertical="center"/>
    </xf>
    <xf numFmtId="0" fontId="8" fillId="0" borderId="0" xfId="0" applyFont="1" applyFill="1" applyBorder="1"/>
    <xf numFmtId="3" fontId="10" fillId="0" borderId="147" xfId="0" applyNumberFormat="1" applyFont="1" applyBorder="1" applyAlignment="1">
      <alignment vertical="center"/>
    </xf>
    <xf numFmtId="3" fontId="50" fillId="0" borderId="9" xfId="0" quotePrefix="1" applyNumberFormat="1" applyFont="1" applyFill="1" applyBorder="1" applyAlignment="1">
      <alignment horizontal="center" vertical="center"/>
    </xf>
    <xf numFmtId="3" fontId="50" fillId="0" borderId="209" xfId="0" quotePrefix="1" applyNumberFormat="1" applyFont="1" applyFill="1" applyBorder="1" applyAlignment="1">
      <alignment horizontal="center" vertical="center"/>
    </xf>
    <xf numFmtId="3" fontId="50" fillId="0" borderId="9" xfId="0" quotePrefix="1" applyNumberFormat="1" applyFont="1" applyFill="1" applyBorder="1" applyAlignment="1">
      <alignment horizontal="left" vertical="center"/>
    </xf>
    <xf numFmtId="0" fontId="8" fillId="54" borderId="275" xfId="0" applyFont="1" applyFill="1" applyBorder="1" applyAlignment="1">
      <alignment horizontal="center" vertical="center"/>
    </xf>
    <xf numFmtId="0" fontId="8" fillId="54" borderId="21" xfId="0" applyFont="1" applyFill="1" applyBorder="1" applyAlignment="1">
      <alignment horizontal="center" vertical="center"/>
    </xf>
    <xf numFmtId="3" fontId="50" fillId="0" borderId="208" xfId="0" quotePrefix="1" applyNumberFormat="1" applyFont="1" applyFill="1" applyBorder="1" applyAlignment="1">
      <alignment horizontal="left" vertical="center"/>
    </xf>
    <xf numFmtId="3" fontId="50" fillId="0" borderId="8" xfId="0" quotePrefix="1" applyNumberFormat="1" applyFont="1" applyFill="1" applyBorder="1" applyAlignment="1">
      <alignment horizontal="left" vertical="center"/>
    </xf>
    <xf numFmtId="3" fontId="50" fillId="0" borderId="10" xfId="0" quotePrefix="1" applyNumberFormat="1" applyFont="1" applyFill="1" applyBorder="1" applyAlignment="1">
      <alignment horizontal="left" vertical="center"/>
    </xf>
    <xf numFmtId="0" fontId="8" fillId="3" borderId="11" xfId="0" applyFont="1" applyFill="1" applyBorder="1" applyAlignment="1">
      <alignment horizontal="center" wrapText="1"/>
    </xf>
    <xf numFmtId="0" fontId="20" fillId="3" borderId="27" xfId="0" applyFont="1" applyFill="1" applyBorder="1" applyAlignment="1">
      <alignment horizontal="center" vertical="center"/>
    </xf>
    <xf numFmtId="0" fontId="51" fillId="0" borderId="0" xfId="0" applyFont="1" applyAlignment="1">
      <alignment horizontal="center"/>
    </xf>
    <xf numFmtId="0" fontId="1" fillId="3" borderId="11" xfId="0" applyFont="1" applyFill="1" applyBorder="1" applyAlignment="1"/>
    <xf numFmtId="0" fontId="10" fillId="12" borderId="7" xfId="0" applyFont="1" applyFill="1" applyBorder="1" applyAlignment="1">
      <alignment horizontal="center" vertical="center"/>
    </xf>
    <xf numFmtId="0" fontId="10" fillId="12" borderId="7" xfId="0" applyFont="1" applyFill="1" applyBorder="1" applyAlignment="1">
      <alignment horizontal="left" vertical="center"/>
    </xf>
    <xf numFmtId="0" fontId="1" fillId="12" borderId="10" xfId="0" applyFont="1" applyFill="1" applyBorder="1" applyAlignment="1">
      <alignment horizontal="center" vertical="center"/>
    </xf>
    <xf numFmtId="0" fontId="31" fillId="0" borderId="0" xfId="0" applyFont="1" applyAlignment="1">
      <alignment vertical="center"/>
    </xf>
    <xf numFmtId="0" fontId="31" fillId="0" borderId="0" xfId="0" applyFont="1" applyAlignment="1"/>
    <xf numFmtId="0" fontId="8" fillId="3" borderId="134" xfId="0" applyFont="1" applyFill="1" applyBorder="1" applyAlignment="1">
      <alignment vertical="center"/>
    </xf>
    <xf numFmtId="0" fontId="1" fillId="26" borderId="0" xfId="0" quotePrefix="1" applyFont="1" applyFill="1" applyBorder="1" applyAlignment="1">
      <alignment horizontal="right" textRotation="90"/>
    </xf>
    <xf numFmtId="0" fontId="1" fillId="26" borderId="0" xfId="0" quotePrefix="1" applyFont="1" applyFill="1" applyBorder="1" applyAlignment="1">
      <alignment horizontal="right" textRotation="90"/>
    </xf>
    <xf numFmtId="0" fontId="1" fillId="0" borderId="0" xfId="0" applyFont="1" applyAlignment="1">
      <alignment horizontal="left" vertical="top"/>
    </xf>
    <xf numFmtId="0" fontId="1" fillId="0" borderId="0" xfId="0" applyFont="1" applyAlignment="1">
      <alignment horizontal="left" vertical="top"/>
    </xf>
    <xf numFmtId="3" fontId="10" fillId="3" borderId="147" xfId="0" applyNumberFormat="1" applyFont="1" applyFill="1" applyBorder="1" applyAlignment="1">
      <alignment horizontal="center" vertical="center" wrapText="1"/>
    </xf>
    <xf numFmtId="0" fontId="1" fillId="0" borderId="0" xfId="0" applyFont="1" applyAlignment="1">
      <alignment horizontal="left" vertical="top"/>
    </xf>
    <xf numFmtId="9" fontId="67" fillId="12" borderId="147" xfId="1" applyNumberFormat="1" applyFont="1" applyFill="1" applyBorder="1" applyAlignment="1">
      <alignment horizontal="center" vertical="center"/>
    </xf>
    <xf numFmtId="0" fontId="6" fillId="26" borderId="0" xfId="0" quotePrefix="1" applyFont="1" applyFill="1" applyBorder="1" applyAlignment="1">
      <alignment textRotation="90"/>
    </xf>
    <xf numFmtId="0" fontId="8" fillId="26" borderId="0" xfId="0" quotePrefix="1" applyFont="1" applyFill="1" applyBorder="1" applyAlignment="1">
      <alignment horizontal="left" vertical="center"/>
    </xf>
    <xf numFmtId="193" fontId="8" fillId="3" borderId="147" xfId="0" quotePrefix="1" applyNumberFormat="1" applyFont="1" applyFill="1" applyBorder="1" applyAlignment="1">
      <alignment horizontal="center" vertical="center"/>
    </xf>
    <xf numFmtId="3" fontId="1" fillId="12" borderId="147" xfId="0" applyNumberFormat="1" applyFont="1" applyFill="1" applyBorder="1" applyAlignment="1">
      <alignment horizontal="center" vertical="center"/>
    </xf>
    <xf numFmtId="0" fontId="43" fillId="22" borderId="0" xfId="0" applyFont="1" applyFill="1" applyAlignment="1">
      <alignment vertical="center"/>
    </xf>
    <xf numFmtId="0" fontId="8" fillId="22" borderId="0" xfId="0" applyFont="1" applyFill="1" applyAlignment="1">
      <alignment horizontal="center"/>
    </xf>
    <xf numFmtId="0" fontId="1" fillId="0" borderId="0" xfId="0" applyFont="1" applyAlignment="1">
      <alignment horizontal="left" vertical="top"/>
    </xf>
    <xf numFmtId="194" fontId="1" fillId="3" borderId="147" xfId="0" applyNumberFormat="1" applyFont="1" applyFill="1" applyBorder="1" applyAlignment="1">
      <alignment horizontal="center" vertical="center"/>
    </xf>
    <xf numFmtId="9" fontId="8" fillId="12" borderId="228" xfId="1" applyFont="1" applyFill="1" applyBorder="1" applyAlignment="1">
      <alignment horizontal="center" vertical="center"/>
    </xf>
    <xf numFmtId="9" fontId="8" fillId="3" borderId="27" xfId="1" applyFont="1" applyFill="1" applyBorder="1" applyAlignment="1">
      <alignment horizontal="center" vertical="center"/>
    </xf>
    <xf numFmtId="0" fontId="24" fillId="13" borderId="147" xfId="0" applyFont="1" applyFill="1" applyBorder="1" applyAlignment="1">
      <alignment horizontal="center" vertical="center"/>
    </xf>
    <xf numFmtId="0" fontId="8" fillId="13" borderId="351" xfId="0" applyFont="1" applyFill="1" applyBorder="1" applyAlignment="1">
      <alignment horizontal="left" vertical="center" indent="1"/>
    </xf>
    <xf numFmtId="0" fontId="8" fillId="0" borderId="430" xfId="0" applyFont="1" applyFill="1" applyBorder="1" applyAlignment="1">
      <alignment vertical="center"/>
    </xf>
    <xf numFmtId="0" fontId="32" fillId="29" borderId="431" xfId="0" applyFont="1" applyFill="1" applyBorder="1"/>
    <xf numFmtId="0" fontId="8" fillId="22" borderId="423" xfId="0" applyFont="1" applyFill="1" applyBorder="1" applyAlignment="1">
      <alignment horizontal="left" vertical="center" readingOrder="1"/>
    </xf>
    <xf numFmtId="0" fontId="8" fillId="0" borderId="423" xfId="0" applyFont="1" applyFill="1" applyBorder="1" applyAlignment="1">
      <alignment horizontal="left" vertical="center" readingOrder="1"/>
    </xf>
    <xf numFmtId="0" fontId="8" fillId="0" borderId="432" xfId="0" applyFont="1" applyFill="1" applyBorder="1" applyAlignment="1">
      <alignment horizontal="left" vertical="center" readingOrder="1"/>
    </xf>
    <xf numFmtId="0" fontId="8" fillId="22" borderId="147" xfId="0" applyFont="1" applyFill="1" applyBorder="1" applyAlignment="1">
      <alignment horizontal="center" vertical="center"/>
    </xf>
    <xf numFmtId="0" fontId="8" fillId="22" borderId="221" xfId="0" applyFont="1" applyFill="1" applyBorder="1" applyAlignment="1">
      <alignment horizontal="center" vertical="center"/>
    </xf>
    <xf numFmtId="0" fontId="8" fillId="3" borderId="423" xfId="0" applyFont="1" applyFill="1" applyBorder="1" applyAlignment="1">
      <alignment horizontal="left" vertical="center" readingOrder="1"/>
    </xf>
    <xf numFmtId="0" fontId="8" fillId="3" borderId="380" xfId="0" applyFont="1" applyFill="1" applyBorder="1" applyAlignment="1">
      <alignment horizontal="center" vertical="center" readingOrder="1"/>
    </xf>
    <xf numFmtId="2" fontId="10" fillId="3" borderId="147" xfId="0" applyNumberFormat="1" applyFont="1" applyFill="1" applyBorder="1" applyAlignment="1">
      <alignment horizontal="center" vertical="center"/>
    </xf>
    <xf numFmtId="3" fontId="22" fillId="14" borderId="0" xfId="0" applyNumberFormat="1" applyFont="1" applyFill="1" applyBorder="1" applyAlignment="1">
      <alignment horizontal="center" vertical="center" wrapText="1"/>
    </xf>
    <xf numFmtId="3" fontId="22" fillId="14" borderId="189" xfId="0" applyNumberFormat="1" applyFont="1" applyFill="1" applyBorder="1" applyAlignment="1">
      <alignment horizontal="center" vertical="center" wrapText="1"/>
    </xf>
    <xf numFmtId="3" fontId="22" fillId="14" borderId="190" xfId="0" applyNumberFormat="1" applyFont="1" applyFill="1" applyBorder="1" applyAlignment="1">
      <alignment horizontal="center" vertical="center" wrapText="1"/>
    </xf>
    <xf numFmtId="3" fontId="56" fillId="14" borderId="190" xfId="0" applyNumberFormat="1" applyFont="1" applyFill="1" applyBorder="1" applyAlignment="1">
      <alignment horizontal="center" vertical="center" textRotation="90" wrapText="1"/>
    </xf>
    <xf numFmtId="3" fontId="5" fillId="3" borderId="0" xfId="0" applyNumberFormat="1" applyFont="1" applyFill="1"/>
    <xf numFmtId="173" fontId="8" fillId="0" borderId="147" xfId="1" applyNumberFormat="1" applyFont="1" applyFill="1" applyBorder="1" applyAlignment="1">
      <alignment horizontal="center" vertical="center"/>
    </xf>
    <xf numFmtId="0" fontId="41" fillId="3" borderId="288" xfId="0" applyNumberFormat="1" applyFont="1" applyFill="1" applyBorder="1" applyAlignment="1">
      <alignment horizontal="center" vertical="center"/>
    </xf>
    <xf numFmtId="0" fontId="1" fillId="0" borderId="0" xfId="0" applyFont="1" applyAlignment="1"/>
    <xf numFmtId="0" fontId="41" fillId="12" borderId="54" xfId="0" applyFont="1" applyFill="1" applyBorder="1" applyAlignment="1">
      <alignment horizontal="center" vertical="center"/>
    </xf>
    <xf numFmtId="0" fontId="41" fillId="12" borderId="434" xfId="0" applyFont="1" applyFill="1" applyBorder="1" applyAlignment="1">
      <alignment horizontal="center" vertical="center"/>
    </xf>
    <xf numFmtId="0" fontId="41" fillId="12" borderId="435" xfId="0" applyFont="1" applyFill="1" applyBorder="1" applyAlignment="1">
      <alignment horizontal="center" vertical="center"/>
    </xf>
    <xf numFmtId="0" fontId="8" fillId="0" borderId="6" xfId="0" applyFont="1" applyBorder="1" applyAlignment="1">
      <alignment vertical="center" wrapText="1"/>
    </xf>
    <xf numFmtId="0" fontId="8" fillId="0" borderId="23" xfId="0" applyFont="1" applyBorder="1" applyAlignment="1">
      <alignment vertical="center" wrapText="1"/>
    </xf>
    <xf numFmtId="0" fontId="32" fillId="0" borderId="426" xfId="0" applyFont="1" applyBorder="1"/>
    <xf numFmtId="3" fontId="32" fillId="22" borderId="0" xfId="0" applyNumberFormat="1" applyFont="1" applyFill="1"/>
    <xf numFmtId="0" fontId="24" fillId="0" borderId="0" xfId="0" applyFont="1" applyBorder="1" applyAlignment="1">
      <alignment vertical="center"/>
    </xf>
    <xf numFmtId="0" fontId="78" fillId="3" borderId="18" xfId="0" applyFont="1" applyFill="1" applyBorder="1" applyAlignment="1">
      <alignment vertical="center"/>
    </xf>
    <xf numFmtId="0" fontId="8" fillId="0" borderId="147" xfId="0" applyNumberFormat="1" applyFont="1" applyBorder="1" applyAlignment="1">
      <alignment vertical="center" wrapText="1"/>
    </xf>
    <xf numFmtId="173" fontId="8" fillId="12" borderId="27" xfId="1" applyNumberFormat="1" applyFont="1" applyFill="1" applyBorder="1" applyAlignment="1">
      <alignment horizontal="center" vertical="center"/>
    </xf>
    <xf numFmtId="173" fontId="44" fillId="0" borderId="95" xfId="1" applyNumberFormat="1" applyFont="1" applyFill="1" applyBorder="1" applyAlignment="1">
      <alignment horizontal="center" vertical="center"/>
    </xf>
    <xf numFmtId="49" fontId="110" fillId="22" borderId="436" xfId="0" applyNumberFormat="1" applyFont="1" applyFill="1" applyBorder="1" applyAlignment="1">
      <alignment horizontal="center" vertical="center"/>
    </xf>
    <xf numFmtId="49" fontId="110" fillId="22" borderId="258" xfId="0" applyNumberFormat="1" applyFont="1" applyFill="1" applyBorder="1" applyAlignment="1">
      <alignment horizontal="left" vertical="center"/>
    </xf>
    <xf numFmtId="0" fontId="0" fillId="0" borderId="0" xfId="0" applyAlignment="1">
      <alignment vertical="center"/>
    </xf>
    <xf numFmtId="3" fontId="10" fillId="0" borderId="277" xfId="0" quotePrefix="1" applyNumberFormat="1" applyFont="1" applyBorder="1" applyAlignment="1">
      <alignment horizontal="center" vertical="center"/>
    </xf>
    <xf numFmtId="3" fontId="10" fillId="0" borderId="160" xfId="0" applyNumberFormat="1" applyFont="1" applyBorder="1" applyAlignment="1">
      <alignment horizontal="center" vertical="center"/>
    </xf>
    <xf numFmtId="0" fontId="1" fillId="0" borderId="0" xfId="0" applyFont="1" applyAlignment="1">
      <alignment horizontal="left" vertical="top"/>
    </xf>
    <xf numFmtId="0" fontId="43" fillId="22" borderId="0" xfId="0" applyFont="1" applyFill="1" applyAlignment="1">
      <alignment vertical="top"/>
    </xf>
    <xf numFmtId="0" fontId="1" fillId="0" borderId="25" xfId="0" applyFont="1" applyBorder="1" applyAlignment="1">
      <alignment vertical="center"/>
    </xf>
    <xf numFmtId="0" fontId="1" fillId="0" borderId="8" xfId="0" applyFont="1" applyBorder="1" applyAlignment="1">
      <alignment vertical="center"/>
    </xf>
    <xf numFmtId="0" fontId="1" fillId="0" borderId="10" xfId="0" applyFont="1" applyBorder="1" applyAlignment="1">
      <alignment vertical="center"/>
    </xf>
    <xf numFmtId="49" fontId="8" fillId="26" borderId="176" xfId="0" applyNumberFormat="1" applyFont="1" applyFill="1" applyBorder="1" applyAlignment="1">
      <alignment horizontal="left" vertical="center"/>
    </xf>
    <xf numFmtId="49" fontId="8" fillId="23" borderId="176" xfId="0" applyNumberFormat="1" applyFont="1" applyFill="1" applyBorder="1" applyAlignment="1">
      <alignment horizontal="left" vertical="center"/>
    </xf>
    <xf numFmtId="49" fontId="8" fillId="5" borderId="176" xfId="0" applyNumberFormat="1" applyFont="1" applyFill="1" applyBorder="1" applyAlignment="1">
      <alignment horizontal="left" vertical="center"/>
    </xf>
    <xf numFmtId="0" fontId="1" fillId="0" borderId="0" xfId="0" applyFont="1" applyAlignment="1">
      <alignment horizontal="left" vertical="top"/>
    </xf>
    <xf numFmtId="49" fontId="108" fillId="22" borderId="12" xfId="0" applyNumberFormat="1" applyFont="1" applyFill="1" applyBorder="1" applyAlignment="1">
      <alignment horizontal="left" vertical="center" indent="1"/>
    </xf>
    <xf numFmtId="49" fontId="108" fillId="22" borderId="1" xfId="0" applyNumberFormat="1" applyFont="1" applyFill="1" applyBorder="1" applyAlignment="1">
      <alignment horizontal="left" vertical="center" indent="1"/>
    </xf>
    <xf numFmtId="49" fontId="108" fillId="22" borderId="7" xfId="0" applyNumberFormat="1" applyFont="1" applyFill="1" applyBorder="1" applyAlignment="1">
      <alignment horizontal="left" vertical="center" indent="1"/>
    </xf>
    <xf numFmtId="0" fontId="22" fillId="0" borderId="0" xfId="0" quotePrefix="1" applyFont="1" applyAlignment="1">
      <alignment vertical="top" wrapText="1"/>
    </xf>
    <xf numFmtId="183" fontId="8" fillId="48" borderId="15" xfId="0" applyNumberFormat="1" applyFont="1" applyFill="1" applyBorder="1" applyAlignment="1">
      <alignment horizontal="right" vertical="center"/>
    </xf>
    <xf numFmtId="183" fontId="8" fillId="48" borderId="437" xfId="0" applyNumberFormat="1" applyFont="1" applyFill="1" applyBorder="1" applyAlignment="1">
      <alignment horizontal="right" vertical="center"/>
    </xf>
    <xf numFmtId="183" fontId="8" fillId="48" borderId="438" xfId="0" applyNumberFormat="1" applyFont="1" applyFill="1" applyBorder="1" applyAlignment="1">
      <alignment horizontal="right" vertical="center"/>
    </xf>
    <xf numFmtId="0" fontId="51" fillId="0" borderId="0" xfId="0" applyFont="1" applyFill="1" applyBorder="1" applyAlignment="1">
      <alignment vertical="top" wrapText="1"/>
    </xf>
    <xf numFmtId="0" fontId="34" fillId="0" borderId="0" xfId="0" applyFont="1" applyBorder="1" applyAlignment="1">
      <alignment horizontal="right"/>
    </xf>
    <xf numFmtId="0" fontId="8" fillId="22" borderId="11" xfId="0" applyFont="1" applyFill="1" applyBorder="1" applyAlignment="1">
      <alignment horizontal="right" vertical="center"/>
    </xf>
    <xf numFmtId="0" fontId="51" fillId="0" borderId="0" xfId="0" applyFont="1"/>
    <xf numFmtId="0" fontId="31" fillId="0" borderId="0" xfId="0" applyFont="1" applyBorder="1" applyAlignment="1"/>
    <xf numFmtId="0" fontId="51" fillId="0" borderId="0" xfId="0" applyFont="1" applyAlignment="1">
      <alignment vertical="top"/>
    </xf>
    <xf numFmtId="0" fontId="20" fillId="13" borderId="65" xfId="0" applyFont="1" applyFill="1" applyBorder="1" applyAlignment="1">
      <alignment horizontal="centerContinuous" vertical="center"/>
    </xf>
    <xf numFmtId="0" fontId="32" fillId="13" borderId="28" xfId="0" applyFont="1" applyFill="1" applyBorder="1" applyAlignment="1">
      <alignment horizontal="centerContinuous"/>
    </xf>
    <xf numFmtId="0" fontId="32" fillId="13" borderId="67" xfId="0" applyFont="1" applyFill="1" applyBorder="1" applyAlignment="1">
      <alignment horizontal="centerContinuous"/>
    </xf>
    <xf numFmtId="0" fontId="8" fillId="0" borderId="441" xfId="0" applyFont="1" applyBorder="1" applyAlignment="1">
      <alignment horizontal="center" vertical="center" wrapText="1"/>
    </xf>
    <xf numFmtId="2" fontId="8" fillId="12" borderId="136" xfId="0" applyNumberFormat="1" applyFont="1" applyFill="1" applyBorder="1" applyAlignment="1">
      <alignment horizontal="center" vertical="center"/>
    </xf>
    <xf numFmtId="0" fontId="8" fillId="12" borderId="88" xfId="0" applyFont="1" applyFill="1" applyBorder="1" applyAlignment="1">
      <alignment horizontal="center" vertical="center"/>
    </xf>
    <xf numFmtId="2" fontId="8" fillId="12" borderId="66" xfId="0" applyNumberFormat="1" applyFont="1" applyFill="1" applyBorder="1" applyAlignment="1">
      <alignment horizontal="center" vertical="center"/>
    </xf>
    <xf numFmtId="0" fontId="8" fillId="12" borderId="38" xfId="0" applyFont="1" applyFill="1" applyBorder="1" applyAlignment="1">
      <alignment horizontal="center" vertical="center"/>
    </xf>
    <xf numFmtId="0" fontId="8" fillId="12" borderId="137" xfId="0" applyFont="1" applyFill="1" applyBorder="1" applyAlignment="1">
      <alignment horizontal="center" vertical="center"/>
    </xf>
    <xf numFmtId="0" fontId="8" fillId="0" borderId="216" xfId="0" applyFont="1" applyBorder="1" applyAlignment="1">
      <alignment horizontal="center" vertical="center" wrapText="1"/>
    </xf>
    <xf numFmtId="0" fontId="8" fillId="22" borderId="66" xfId="0" applyFont="1" applyFill="1" applyBorder="1" applyAlignment="1" applyProtection="1">
      <alignment horizontal="left" vertical="center" indent="1"/>
      <protection locked="0"/>
    </xf>
    <xf numFmtId="0" fontId="8" fillId="22" borderId="38" xfId="0" applyFont="1" applyFill="1" applyBorder="1" applyAlignment="1">
      <alignment horizontal="center" vertical="center"/>
    </xf>
    <xf numFmtId="17" fontId="8" fillId="22" borderId="211" xfId="0" applyNumberFormat="1" applyFont="1" applyFill="1" applyBorder="1" applyAlignment="1">
      <alignment horizontal="center" vertical="center"/>
    </xf>
    <xf numFmtId="1" fontId="8" fillId="22" borderId="88" xfId="1" applyNumberFormat="1" applyFont="1" applyFill="1" applyBorder="1" applyAlignment="1">
      <alignment horizontal="center" vertical="center"/>
    </xf>
    <xf numFmtId="0" fontId="51" fillId="22" borderId="23" xfId="0" applyFont="1" applyFill="1" applyBorder="1" applyAlignment="1">
      <alignment horizontal="left" vertical="center"/>
    </xf>
    <xf numFmtId="0" fontId="8" fillId="22" borderId="25" xfId="0" applyFont="1" applyFill="1" applyBorder="1" applyAlignment="1">
      <alignment horizontal="right" vertical="center"/>
    </xf>
    <xf numFmtId="0" fontId="1" fillId="26" borderId="0" xfId="0" applyFont="1" applyFill="1" applyBorder="1" applyAlignment="1">
      <alignment horizontal="center" textRotation="90"/>
    </xf>
    <xf numFmtId="0" fontId="145" fillId="0" borderId="0" xfId="0" applyFont="1"/>
    <xf numFmtId="0" fontId="24" fillId="12" borderId="38" xfId="0" applyFont="1" applyFill="1" applyBorder="1" applyAlignment="1">
      <alignment horizontal="center" vertical="center"/>
    </xf>
    <xf numFmtId="17" fontId="24" fillId="12" borderId="211" xfId="0" applyNumberFormat="1" applyFont="1" applyFill="1" applyBorder="1" applyAlignment="1">
      <alignment horizontal="center" vertical="center"/>
    </xf>
    <xf numFmtId="10" fontId="24" fillId="12" borderId="29" xfId="1" applyNumberFormat="1" applyFont="1" applyFill="1" applyBorder="1" applyAlignment="1">
      <alignment horizontal="center" vertical="center"/>
    </xf>
    <xf numFmtId="10" fontId="24" fillId="12" borderId="88" xfId="1" applyNumberFormat="1" applyFont="1" applyFill="1" applyBorder="1" applyAlignment="1">
      <alignment horizontal="center" vertical="center"/>
    </xf>
    <xf numFmtId="10" fontId="24" fillId="12" borderId="40" xfId="1" applyNumberFormat="1" applyFont="1" applyFill="1" applyBorder="1" applyAlignment="1">
      <alignment horizontal="center" vertical="center"/>
    </xf>
    <xf numFmtId="10" fontId="24" fillId="12" borderId="38" xfId="1" applyNumberFormat="1" applyFont="1" applyFill="1" applyBorder="1" applyAlignment="1">
      <alignment horizontal="center" vertical="center"/>
    </xf>
    <xf numFmtId="10" fontId="24" fillId="12" borderId="214" xfId="1" applyNumberFormat="1" applyFont="1" applyFill="1" applyBorder="1" applyAlignment="1">
      <alignment horizontal="center" vertical="center"/>
    </xf>
    <xf numFmtId="10" fontId="24" fillId="12" borderId="213" xfId="1" applyNumberFormat="1" applyFont="1" applyFill="1" applyBorder="1" applyAlignment="1">
      <alignment horizontal="center" vertical="center"/>
    </xf>
    <xf numFmtId="1" fontId="24" fillId="12" borderId="88" xfId="1" applyNumberFormat="1" applyFont="1" applyFill="1" applyBorder="1" applyAlignment="1">
      <alignment horizontal="center" vertical="center"/>
    </xf>
    <xf numFmtId="1" fontId="24" fillId="12" borderId="38" xfId="1" applyNumberFormat="1" applyFont="1" applyFill="1" applyBorder="1" applyAlignment="1">
      <alignment horizontal="center" vertical="center"/>
    </xf>
    <xf numFmtId="0" fontId="8" fillId="3" borderId="35" xfId="0" applyFont="1" applyFill="1" applyBorder="1" applyAlignment="1">
      <alignment vertical="center"/>
    </xf>
    <xf numFmtId="0" fontId="1" fillId="0" borderId="375" xfId="0" applyFont="1" applyBorder="1"/>
    <xf numFmtId="0" fontId="43" fillId="0" borderId="375" xfId="0" applyFont="1" applyBorder="1" applyAlignment="1">
      <alignment vertical="center"/>
    </xf>
    <xf numFmtId="0" fontId="101" fillId="21" borderId="27" xfId="0" applyFont="1" applyFill="1" applyBorder="1" applyAlignment="1">
      <alignment horizontal="center" vertical="center"/>
    </xf>
    <xf numFmtId="0" fontId="148" fillId="22" borderId="0" xfId="0" applyFont="1" applyFill="1"/>
    <xf numFmtId="0" fontId="1" fillId="0" borderId="26" xfId="0" applyFont="1" applyBorder="1" applyAlignment="1">
      <alignment vertical="center"/>
    </xf>
    <xf numFmtId="0" fontId="1" fillId="0" borderId="24" xfId="0" applyFont="1" applyBorder="1" applyAlignment="1">
      <alignment vertical="center"/>
    </xf>
    <xf numFmtId="0" fontId="8" fillId="22" borderId="228" xfId="0" applyFont="1" applyFill="1" applyBorder="1" applyAlignment="1">
      <alignment horizontal="center" vertical="center"/>
    </xf>
    <xf numFmtId="0" fontId="6" fillId="22" borderId="228" xfId="0" applyFont="1" applyFill="1" applyBorder="1"/>
    <xf numFmtId="0" fontId="112" fillId="0" borderId="12" xfId="0" applyFont="1" applyBorder="1" applyAlignment="1">
      <alignment horizontal="center" vertical="center"/>
    </xf>
    <xf numFmtId="0" fontId="150" fillId="0" borderId="12" xfId="0" applyFont="1" applyBorder="1" applyAlignment="1">
      <alignment vertical="center"/>
    </xf>
    <xf numFmtId="0" fontId="150" fillId="0" borderId="23" xfId="0" applyFont="1" applyBorder="1" applyAlignment="1">
      <alignment vertical="center"/>
    </xf>
    <xf numFmtId="0" fontId="150" fillId="0" borderId="11" xfId="0" applyFont="1" applyBorder="1" applyAlignment="1">
      <alignment vertical="center"/>
    </xf>
    <xf numFmtId="0" fontId="112" fillId="0" borderId="147" xfId="0" applyFont="1" applyBorder="1" applyAlignment="1">
      <alignment horizontal="center" vertical="center"/>
    </xf>
    <xf numFmtId="0" fontId="150" fillId="0" borderId="147" xfId="0" applyFont="1" applyBorder="1" applyAlignment="1">
      <alignment vertical="center"/>
    </xf>
    <xf numFmtId="0" fontId="150" fillId="0" borderId="9" xfId="0" applyFont="1" applyBorder="1" applyAlignment="1">
      <alignment vertical="center"/>
    </xf>
    <xf numFmtId="0" fontId="150" fillId="0" borderId="8" xfId="0" applyFont="1" applyBorder="1" applyAlignment="1">
      <alignment vertical="center"/>
    </xf>
    <xf numFmtId="0" fontId="112" fillId="0" borderId="7" xfId="0" applyFont="1" applyBorder="1" applyAlignment="1">
      <alignment horizontal="center" vertical="center"/>
    </xf>
    <xf numFmtId="0" fontId="150" fillId="0" borderId="7" xfId="0" applyFont="1" applyBorder="1" applyAlignment="1">
      <alignment vertical="center"/>
    </xf>
    <xf numFmtId="0" fontId="150" fillId="0" borderId="22" xfId="0" applyFont="1" applyBorder="1" applyAlignment="1">
      <alignment vertical="center"/>
    </xf>
    <xf numFmtId="0" fontId="150" fillId="0" borderId="26" xfId="0" applyFont="1" applyBorder="1" applyAlignment="1">
      <alignment vertical="center"/>
    </xf>
    <xf numFmtId="0" fontId="8" fillId="0" borderId="444" xfId="0" applyNumberFormat="1" applyFont="1" applyFill="1" applyBorder="1" applyAlignment="1">
      <alignment vertical="center"/>
    </xf>
    <xf numFmtId="0" fontId="18" fillId="12" borderId="45" xfId="0" applyFont="1" applyFill="1" applyBorder="1" applyAlignment="1">
      <alignment vertical="center"/>
    </xf>
    <xf numFmtId="0" fontId="18" fillId="12" borderId="46" xfId="0" applyFont="1" applyFill="1" applyBorder="1" applyAlignment="1">
      <alignment vertical="center"/>
    </xf>
    <xf numFmtId="0" fontId="18" fillId="12" borderId="308" xfId="0" applyFont="1" applyFill="1" applyBorder="1" applyAlignment="1">
      <alignment vertical="center"/>
    </xf>
    <xf numFmtId="2" fontId="24" fillId="12" borderId="214" xfId="0" applyNumberFormat="1" applyFont="1" applyFill="1" applyBorder="1" applyAlignment="1">
      <alignment horizontal="center" vertical="center"/>
    </xf>
    <xf numFmtId="2" fontId="24" fillId="12" borderId="66" xfId="0" applyNumberFormat="1" applyFont="1" applyFill="1" applyBorder="1" applyAlignment="1">
      <alignment horizontal="center" vertical="center"/>
    </xf>
    <xf numFmtId="0" fontId="51" fillId="0" borderId="6" xfId="0" applyFont="1" applyFill="1" applyBorder="1" applyAlignment="1">
      <alignment vertical="center"/>
    </xf>
    <xf numFmtId="0" fontId="1" fillId="26" borderId="0" xfId="0" applyFont="1" applyFill="1" applyBorder="1" applyAlignment="1">
      <alignment horizontal="center" textRotation="90"/>
    </xf>
    <xf numFmtId="0" fontId="1" fillId="3" borderId="0" xfId="0" applyFont="1" applyFill="1" applyBorder="1" applyAlignment="1">
      <alignment horizontal="right" vertical="center"/>
    </xf>
    <xf numFmtId="195" fontId="66" fillId="3" borderId="54" xfId="0" quotePrefix="1" applyNumberFormat="1" applyFont="1" applyFill="1" applyBorder="1" applyAlignment="1">
      <alignment horizontal="center" vertical="center"/>
    </xf>
    <xf numFmtId="195" fontId="66" fillId="3" borderId="90" xfId="0" quotePrefix="1" applyNumberFormat="1" applyFont="1" applyFill="1" applyBorder="1" applyAlignment="1">
      <alignment horizontal="center" vertical="center"/>
    </xf>
    <xf numFmtId="195" fontId="66" fillId="3" borderId="254" xfId="0" quotePrefix="1" applyNumberFormat="1" applyFont="1" applyFill="1" applyBorder="1" applyAlignment="1">
      <alignment horizontal="center" vertical="center"/>
    </xf>
    <xf numFmtId="195" fontId="66" fillId="3" borderId="30" xfId="0" quotePrefix="1" applyNumberFormat="1" applyFont="1" applyFill="1" applyBorder="1" applyAlignment="1">
      <alignment horizontal="center" vertical="center"/>
    </xf>
    <xf numFmtId="195" fontId="66" fillId="3" borderId="51" xfId="0" quotePrefix="1" applyNumberFormat="1" applyFont="1" applyFill="1" applyBorder="1" applyAlignment="1">
      <alignment horizontal="center" vertical="center"/>
    </xf>
    <xf numFmtId="195" fontId="66" fillId="3" borderId="255" xfId="0" quotePrefix="1" applyNumberFormat="1" applyFont="1" applyFill="1" applyBorder="1" applyAlignment="1">
      <alignment horizontal="center" vertical="center"/>
    </xf>
    <xf numFmtId="195" fontId="66" fillId="3" borderId="0" xfId="0" quotePrefix="1" applyNumberFormat="1" applyFont="1" applyFill="1" applyAlignment="1">
      <alignment horizontal="center" vertical="center"/>
    </xf>
    <xf numFmtId="195" fontId="66" fillId="3" borderId="77" xfId="0" quotePrefix="1" applyNumberFormat="1" applyFont="1" applyFill="1" applyBorder="1" applyAlignment="1">
      <alignment horizontal="center" vertical="center"/>
    </xf>
    <xf numFmtId="195" fontId="66" fillId="3" borderId="247" xfId="0" quotePrefix="1" applyNumberFormat="1" applyFont="1" applyFill="1" applyBorder="1" applyAlignment="1">
      <alignment horizontal="center" vertical="center"/>
    </xf>
    <xf numFmtId="0" fontId="129" fillId="14" borderId="0" xfId="0" applyFont="1" applyFill="1" applyAlignment="1">
      <alignment horizontal="center"/>
    </xf>
    <xf numFmtId="0" fontId="42" fillId="14" borderId="189" xfId="0" applyFont="1" applyFill="1" applyBorder="1"/>
    <xf numFmtId="3" fontId="45" fillId="14" borderId="193" xfId="0" applyNumberFormat="1" applyFont="1" applyFill="1" applyBorder="1" applyAlignment="1">
      <alignment horizontal="center" textRotation="90" wrapText="1"/>
    </xf>
    <xf numFmtId="0" fontId="42" fillId="2" borderId="11" xfId="0" applyFont="1" applyFill="1" applyBorder="1" applyAlignment="1">
      <alignment horizontal="center" vertical="center" wrapText="1"/>
    </xf>
    <xf numFmtId="0" fontId="6" fillId="38" borderId="8" xfId="0" applyFont="1" applyFill="1" applyBorder="1" applyAlignment="1">
      <alignment horizontal="left" vertical="center"/>
    </xf>
    <xf numFmtId="0" fontId="152" fillId="26" borderId="0" xfId="0" applyFont="1" applyFill="1"/>
    <xf numFmtId="0" fontId="45" fillId="26" borderId="0" xfId="0" applyFont="1" applyFill="1" applyAlignment="1">
      <alignment horizontal="center" vertical="center"/>
    </xf>
    <xf numFmtId="0" fontId="6" fillId="39" borderId="8" xfId="0" applyFont="1" applyFill="1" applyBorder="1" applyAlignment="1">
      <alignment horizontal="left" vertical="center"/>
    </xf>
    <xf numFmtId="0" fontId="6" fillId="40" borderId="8" xfId="0" applyFont="1" applyFill="1" applyBorder="1" applyAlignment="1">
      <alignment horizontal="left" vertical="center"/>
    </xf>
    <xf numFmtId="0" fontId="8" fillId="3" borderId="0" xfId="0" applyFont="1" applyFill="1" applyBorder="1" applyAlignment="1">
      <alignment horizontal="center" textRotation="90"/>
    </xf>
    <xf numFmtId="0" fontId="1" fillId="0" borderId="0" xfId="0" applyFont="1" applyAlignment="1">
      <alignment horizontal="left" vertical="top"/>
    </xf>
    <xf numFmtId="3" fontId="23" fillId="3" borderId="1" xfId="0" quotePrefix="1" applyNumberFormat="1" applyFont="1" applyFill="1" applyBorder="1" applyAlignment="1">
      <alignment horizontal="center" vertical="center"/>
    </xf>
    <xf numFmtId="0" fontId="1" fillId="27" borderId="0" xfId="0" quotePrefix="1" applyFont="1" applyFill="1"/>
    <xf numFmtId="0" fontId="37" fillId="0" borderId="0" xfId="0" applyFont="1" applyFill="1" applyBorder="1" applyAlignment="1">
      <alignment horizontal="left" vertical="center"/>
    </xf>
    <xf numFmtId="0" fontId="1" fillId="0" borderId="0" xfId="0" quotePrefix="1" applyFont="1" applyFill="1" applyBorder="1" applyAlignment="1">
      <alignment vertical="center" wrapText="1"/>
    </xf>
    <xf numFmtId="0" fontId="53" fillId="0" borderId="0" xfId="0" applyFont="1" applyFill="1" applyBorder="1" applyAlignment="1">
      <alignment horizontal="left"/>
    </xf>
    <xf numFmtId="0" fontId="153" fillId="0" borderId="0" xfId="0" applyFont="1" applyAlignment="1">
      <alignment vertical="top"/>
    </xf>
    <xf numFmtId="184" fontId="8" fillId="0" borderId="170" xfId="1" applyNumberFormat="1" applyFont="1" applyFill="1" applyBorder="1" applyAlignment="1">
      <alignment horizontal="center" vertical="center"/>
    </xf>
    <xf numFmtId="184" fontId="8" fillId="0" borderId="307" xfId="1" applyNumberFormat="1" applyFont="1" applyFill="1" applyBorder="1" applyAlignment="1">
      <alignment horizontal="center" vertical="center"/>
    </xf>
    <xf numFmtId="184" fontId="8" fillId="0" borderId="227" xfId="1" applyNumberFormat="1" applyFont="1" applyFill="1" applyBorder="1" applyAlignment="1">
      <alignment horizontal="center" vertical="center"/>
    </xf>
    <xf numFmtId="184" fontId="8" fillId="0" borderId="407" xfId="1" applyNumberFormat="1" applyFont="1" applyFill="1" applyBorder="1" applyAlignment="1">
      <alignment horizontal="center" vertical="center"/>
    </xf>
    <xf numFmtId="181" fontId="8" fillId="0" borderId="405" xfId="0" applyNumberFormat="1" applyFont="1" applyFill="1" applyBorder="1" applyAlignment="1">
      <alignment horizontal="left" vertical="center"/>
    </xf>
    <xf numFmtId="183" fontId="8" fillId="0" borderId="405" xfId="0" applyNumberFormat="1" applyFont="1" applyFill="1" applyBorder="1" applyAlignment="1">
      <alignment horizontal="right" vertical="center"/>
    </xf>
    <xf numFmtId="181" fontId="8" fillId="0" borderId="38" xfId="0" applyNumberFormat="1" applyFont="1" applyFill="1" applyBorder="1" applyAlignment="1">
      <alignment horizontal="left" vertical="center"/>
    </xf>
    <xf numFmtId="183" fontId="8" fillId="0" borderId="38" xfId="0" applyNumberFormat="1" applyFont="1" applyFill="1" applyBorder="1" applyAlignment="1">
      <alignment horizontal="right" vertical="center"/>
    </xf>
    <xf numFmtId="181" fontId="8" fillId="0" borderId="2" xfId="0" applyNumberFormat="1" applyFont="1" applyFill="1" applyBorder="1" applyAlignment="1">
      <alignment horizontal="left" vertical="center"/>
    </xf>
    <xf numFmtId="183" fontId="8" fillId="0" borderId="2" xfId="0" applyNumberFormat="1" applyFont="1" applyFill="1" applyBorder="1" applyAlignment="1">
      <alignment horizontal="right" vertical="center"/>
    </xf>
    <xf numFmtId="10" fontId="8" fillId="3" borderId="147" xfId="1" quotePrefix="1" applyNumberFormat="1" applyFont="1" applyFill="1" applyBorder="1" applyAlignment="1">
      <alignment horizontal="center" vertical="center"/>
    </xf>
    <xf numFmtId="173" fontId="44" fillId="3" borderId="113" xfId="0" applyNumberFormat="1" applyFont="1" applyFill="1" applyBorder="1" applyAlignment="1">
      <alignment horizontal="center" vertical="center"/>
    </xf>
    <xf numFmtId="0" fontId="10" fillId="0" borderId="147" xfId="0" applyFont="1" applyBorder="1" applyAlignment="1">
      <alignment vertical="center"/>
    </xf>
    <xf numFmtId="2" fontId="87" fillId="0" borderId="0" xfId="0" applyNumberFormat="1" applyFont="1" applyAlignment="1">
      <alignment horizontal="center"/>
    </xf>
    <xf numFmtId="0" fontId="1" fillId="0" borderId="0" xfId="0" applyFont="1" applyAlignment="1">
      <alignment horizontal="left" vertical="top"/>
    </xf>
    <xf numFmtId="0" fontId="8" fillId="3" borderId="88" xfId="0" applyFont="1" applyFill="1" applyBorder="1" applyAlignment="1">
      <alignment horizontal="center" vertical="center"/>
    </xf>
    <xf numFmtId="0" fontId="23" fillId="0" borderId="95" xfId="0" applyFont="1" applyFill="1" applyBorder="1" applyAlignment="1">
      <alignment horizontal="left" vertical="center" indent="1"/>
    </xf>
    <xf numFmtId="0" fontId="23" fillId="0" borderId="385" xfId="0" applyFont="1" applyFill="1" applyBorder="1" applyAlignment="1">
      <alignment horizontal="left" vertical="center" indent="1"/>
    </xf>
    <xf numFmtId="0" fontId="8" fillId="3" borderId="11" xfId="0" applyFont="1" applyFill="1" applyBorder="1" applyAlignment="1">
      <alignment horizontal="center" vertical="center"/>
    </xf>
    <xf numFmtId="0" fontId="34" fillId="34" borderId="27" xfId="0" applyFont="1" applyFill="1" applyBorder="1" applyAlignment="1">
      <alignment horizontal="centerContinuous" vertical="center"/>
    </xf>
    <xf numFmtId="0" fontId="8" fillId="0" borderId="276" xfId="0" applyNumberFormat="1" applyFont="1" applyFill="1" applyBorder="1" applyAlignment="1">
      <alignment horizontal="left" vertical="center"/>
    </xf>
    <xf numFmtId="0" fontId="10" fillId="0" borderId="0" xfId="0" applyFont="1" applyAlignment="1">
      <alignment horizontal="left" vertical="center"/>
    </xf>
    <xf numFmtId="49" fontId="105" fillId="3" borderId="18" xfId="0" applyNumberFormat="1" applyFont="1" applyFill="1" applyBorder="1" applyAlignment="1">
      <alignment horizontal="left" vertical="center" indent="1"/>
    </xf>
    <xf numFmtId="49" fontId="6" fillId="2" borderId="5" xfId="0" applyNumberFormat="1" applyFont="1" applyFill="1" applyBorder="1" applyAlignment="1">
      <alignment horizontal="left" vertical="center" indent="1"/>
    </xf>
    <xf numFmtId="15" fontId="11" fillId="3" borderId="91" xfId="0" applyNumberFormat="1" applyFont="1" applyFill="1" applyBorder="1" applyAlignment="1">
      <alignment horizontal="center" vertical="justify" textRotation="90"/>
    </xf>
    <xf numFmtId="15" fontId="11" fillId="3" borderId="26" xfId="0" applyNumberFormat="1" applyFont="1" applyFill="1" applyBorder="1" applyAlignment="1">
      <alignment horizontal="center" vertical="justify" textRotation="90"/>
    </xf>
    <xf numFmtId="3" fontId="22" fillId="14" borderId="193" xfId="0" applyNumberFormat="1" applyFont="1" applyFill="1" applyBorder="1" applyAlignment="1">
      <alignment horizontal="center" vertical="center" wrapText="1"/>
    </xf>
    <xf numFmtId="0" fontId="44" fillId="0" borderId="0" xfId="0" applyFont="1" applyFill="1" applyBorder="1" applyAlignment="1">
      <alignment vertical="center" wrapText="1"/>
    </xf>
    <xf numFmtId="0" fontId="1" fillId="0" borderId="0" xfId="0" applyFont="1" applyAlignment="1">
      <alignment horizontal="left" vertical="top"/>
    </xf>
    <xf numFmtId="49" fontId="8" fillId="0" borderId="147" xfId="0" applyNumberFormat="1" applyFont="1" applyBorder="1" applyAlignment="1">
      <alignment horizontal="center" vertical="center" wrapText="1"/>
    </xf>
    <xf numFmtId="49" fontId="8" fillId="0" borderId="147" xfId="0" quotePrefix="1" applyNumberFormat="1" applyFont="1" applyBorder="1" applyAlignment="1">
      <alignment horizontal="center" vertical="center" wrapText="1"/>
    </xf>
    <xf numFmtId="0" fontId="10" fillId="0" borderId="0" xfId="0" applyFont="1" applyAlignment="1">
      <alignment wrapText="1"/>
    </xf>
    <xf numFmtId="0" fontId="10" fillId="3" borderId="0" xfId="0" applyFont="1" applyFill="1" applyBorder="1" applyAlignment="1">
      <alignment wrapText="1"/>
    </xf>
    <xf numFmtId="0" fontId="8" fillId="12" borderId="453" xfId="0" applyFont="1" applyFill="1" applyBorder="1" applyAlignment="1">
      <alignment horizontal="center" vertical="center"/>
    </xf>
    <xf numFmtId="0" fontId="8" fillId="12" borderId="271" xfId="0" applyFont="1" applyFill="1" applyBorder="1" applyAlignment="1">
      <alignment horizontal="center" vertical="center"/>
    </xf>
    <xf numFmtId="0" fontId="5" fillId="3" borderId="5" xfId="0" applyFont="1" applyFill="1" applyBorder="1" applyAlignment="1">
      <alignment vertical="center"/>
    </xf>
    <xf numFmtId="0" fontId="152" fillId="26" borderId="0" xfId="0" applyFont="1" applyFill="1" applyBorder="1"/>
    <xf numFmtId="0" fontId="155" fillId="38" borderId="1" xfId="0" applyFont="1" applyFill="1" applyBorder="1" applyAlignment="1">
      <alignment horizontal="center" vertical="center"/>
    </xf>
    <xf numFmtId="0" fontId="156" fillId="26" borderId="0" xfId="0" applyFont="1" applyFill="1"/>
    <xf numFmtId="0" fontId="23" fillId="26" borderId="0" xfId="0" applyFont="1" applyFill="1" applyAlignment="1">
      <alignment horizontal="center" vertical="center"/>
    </xf>
    <xf numFmtId="0" fontId="155" fillId="39" borderId="1" xfId="0" applyFont="1" applyFill="1" applyBorder="1" applyAlignment="1">
      <alignment horizontal="center" vertical="center"/>
    </xf>
    <xf numFmtId="0" fontId="155" fillId="40" borderId="1" xfId="0" applyFont="1" applyFill="1" applyBorder="1" applyAlignment="1">
      <alignment horizontal="center" vertical="center"/>
    </xf>
    <xf numFmtId="0" fontId="23" fillId="12" borderId="408" xfId="0" applyFont="1" applyFill="1" applyBorder="1" applyAlignment="1">
      <alignment horizontal="left" vertical="center" wrapText="1" indent="1"/>
    </xf>
    <xf numFmtId="0" fontId="12" fillId="12" borderId="408" xfId="0" applyFont="1" applyFill="1" applyBorder="1" applyAlignment="1">
      <alignment horizontal="center" vertical="center" wrapText="1"/>
    </xf>
    <xf numFmtId="3" fontId="154" fillId="12" borderId="140" xfId="0" applyNumberFormat="1" applyFont="1" applyFill="1" applyBorder="1" applyAlignment="1">
      <alignment horizontal="right" vertical="center" indent="1"/>
    </xf>
    <xf numFmtId="9" fontId="157" fillId="12" borderId="83" xfId="1" applyFont="1" applyFill="1" applyBorder="1" applyAlignment="1">
      <alignment horizontal="center" vertical="center"/>
    </xf>
    <xf numFmtId="0" fontId="23" fillId="12" borderId="409" xfId="0" applyFont="1" applyFill="1" applyBorder="1" applyAlignment="1">
      <alignment horizontal="left" vertical="center" wrapText="1" indent="1"/>
    </xf>
    <xf numFmtId="0" fontId="12" fillId="12" borderId="409" xfId="0" applyFont="1" applyFill="1" applyBorder="1" applyAlignment="1">
      <alignment horizontal="center" vertical="center" wrapText="1"/>
    </xf>
    <xf numFmtId="3" fontId="154" fillId="12" borderId="142" xfId="0" applyNumberFormat="1" applyFont="1" applyFill="1" applyBorder="1" applyAlignment="1">
      <alignment horizontal="right" vertical="center" indent="1"/>
    </xf>
    <xf numFmtId="9" fontId="157" fillId="12" borderId="14" xfId="1" applyFont="1" applyFill="1" applyBorder="1" applyAlignment="1">
      <alignment horizontal="center" vertical="center"/>
    </xf>
    <xf numFmtId="0" fontId="23" fillId="12" borderId="410" xfId="0" applyFont="1" applyFill="1" applyBorder="1" applyAlignment="1">
      <alignment horizontal="left" vertical="center" wrapText="1" indent="1"/>
    </xf>
    <xf numFmtId="0" fontId="12" fillId="12" borderId="414" xfId="0" applyFont="1" applyFill="1" applyBorder="1" applyAlignment="1">
      <alignment horizontal="center" vertical="center" wrapText="1"/>
    </xf>
    <xf numFmtId="3" fontId="154" fillId="12" borderId="304" xfId="0" applyNumberFormat="1" applyFont="1" applyFill="1" applyBorder="1" applyAlignment="1">
      <alignment horizontal="right" vertical="center" indent="1"/>
    </xf>
    <xf numFmtId="9" fontId="157" fillId="12" borderId="305" xfId="1" applyFont="1" applyFill="1" applyBorder="1" applyAlignment="1">
      <alignment horizontal="center" vertical="center"/>
    </xf>
    <xf numFmtId="0" fontId="8" fillId="0" borderId="0" xfId="0" applyFont="1" applyFill="1" applyAlignment="1">
      <alignment vertical="center" wrapText="1"/>
    </xf>
    <xf numFmtId="0" fontId="1" fillId="26" borderId="0" xfId="0" applyFont="1" applyFill="1" applyBorder="1" applyAlignment="1">
      <alignment horizontal="center" textRotation="90"/>
    </xf>
    <xf numFmtId="0" fontId="1" fillId="0" borderId="0" xfId="0" applyFont="1" applyAlignment="1">
      <alignment horizontal="left" vertical="top"/>
    </xf>
    <xf numFmtId="173" fontId="8" fillId="0" borderId="147" xfId="1" applyNumberFormat="1" applyFont="1" applyBorder="1" applyAlignment="1">
      <alignment horizontal="center" vertical="center"/>
    </xf>
    <xf numFmtId="0" fontId="1" fillId="26" borderId="0" xfId="0" applyFont="1" applyFill="1" applyBorder="1" applyAlignment="1">
      <alignment horizontal="center" textRotation="90"/>
    </xf>
    <xf numFmtId="0" fontId="23" fillId="27" borderId="0" xfId="0" applyFont="1" applyFill="1" applyAlignment="1">
      <alignment horizontal="center" vertical="center"/>
    </xf>
    <xf numFmtId="0" fontId="8" fillId="27" borderId="0" xfId="0" applyFont="1" applyFill="1" applyBorder="1" applyAlignment="1">
      <alignment horizontal="center"/>
    </xf>
    <xf numFmtId="0" fontId="1" fillId="26" borderId="0" xfId="0" quotePrefix="1" applyFont="1" applyFill="1" applyBorder="1" applyAlignment="1">
      <alignment horizontal="center" textRotation="90"/>
    </xf>
    <xf numFmtId="0" fontId="1" fillId="26" borderId="0" xfId="0" applyFont="1" applyFill="1" applyBorder="1" applyAlignment="1">
      <alignment horizontal="center" textRotation="90"/>
    </xf>
    <xf numFmtId="187" fontId="8" fillId="0" borderId="147" xfId="0" applyNumberFormat="1" applyFont="1" applyBorder="1" applyAlignment="1">
      <alignment horizontal="center" vertical="center"/>
    </xf>
    <xf numFmtId="0" fontId="8" fillId="3" borderId="8" xfId="0" applyFont="1" applyFill="1" applyBorder="1" applyAlignment="1">
      <alignment vertical="center"/>
    </xf>
    <xf numFmtId="0" fontId="119" fillId="3" borderId="0" xfId="0" applyFont="1" applyFill="1" applyBorder="1" applyAlignment="1">
      <alignment horizontal="left" vertical="center" wrapText="1"/>
    </xf>
    <xf numFmtId="0" fontId="119" fillId="3" borderId="11" xfId="0" applyFont="1" applyFill="1" applyBorder="1" applyAlignment="1">
      <alignment horizontal="left" vertical="center" wrapText="1"/>
    </xf>
    <xf numFmtId="3" fontId="1" fillId="48" borderId="10" xfId="0" applyNumberFormat="1" applyFont="1" applyFill="1" applyBorder="1" applyAlignment="1">
      <alignment horizontal="center" vertical="center" wrapText="1"/>
    </xf>
    <xf numFmtId="3" fontId="56" fillId="14" borderId="265" xfId="0" applyNumberFormat="1" applyFont="1" applyFill="1" applyBorder="1" applyAlignment="1">
      <alignment horizontal="center" vertical="center" wrapText="1"/>
    </xf>
    <xf numFmtId="3" fontId="1" fillId="10" borderId="7" xfId="0" applyNumberFormat="1" applyFont="1" applyFill="1" applyBorder="1" applyAlignment="1">
      <alignment horizontal="center" vertical="center" wrapText="1"/>
    </xf>
    <xf numFmtId="49" fontId="9" fillId="12" borderId="44" xfId="0" applyNumberFormat="1" applyFont="1" applyFill="1" applyBorder="1" applyAlignment="1">
      <alignment vertical="center"/>
    </xf>
    <xf numFmtId="49" fontId="9" fillId="12" borderId="0" xfId="0" applyNumberFormat="1" applyFont="1" applyFill="1" applyBorder="1" applyAlignment="1">
      <alignment horizontal="left" vertical="center"/>
    </xf>
    <xf numFmtId="49" fontId="9" fillId="12" borderId="458" xfId="0" applyNumberFormat="1" applyFont="1" applyFill="1" applyBorder="1" applyAlignment="1">
      <alignment vertical="center"/>
    </xf>
    <xf numFmtId="49" fontId="9" fillId="12" borderId="104" xfId="0" applyNumberFormat="1" applyFont="1" applyFill="1" applyBorder="1" applyAlignment="1">
      <alignment horizontal="left" vertical="center"/>
    </xf>
    <xf numFmtId="3" fontId="1" fillId="48" borderId="147" xfId="0" quotePrefix="1" applyNumberFormat="1" applyFont="1" applyFill="1" applyBorder="1" applyAlignment="1">
      <alignment horizontal="center" vertical="center" wrapText="1"/>
    </xf>
    <xf numFmtId="3" fontId="1" fillId="10" borderId="147" xfId="0" quotePrefix="1" applyNumberFormat="1" applyFont="1" applyFill="1" applyBorder="1" applyAlignment="1">
      <alignment horizontal="center" vertical="center" wrapText="1"/>
    </xf>
    <xf numFmtId="3" fontId="1" fillId="55" borderId="9" xfId="0" quotePrefix="1" applyNumberFormat="1" applyFont="1" applyFill="1" applyBorder="1" applyAlignment="1">
      <alignment horizontal="center" vertical="center" wrapText="1"/>
    </xf>
    <xf numFmtId="3" fontId="10" fillId="48" borderId="27" xfId="0" applyNumberFormat="1" applyFont="1" applyFill="1" applyBorder="1" applyAlignment="1">
      <alignment horizontal="center" vertical="center"/>
    </xf>
    <xf numFmtId="3" fontId="10" fillId="10" borderId="27" xfId="0" applyNumberFormat="1" applyFont="1" applyFill="1" applyBorder="1" applyAlignment="1">
      <alignment horizontal="center" vertical="center"/>
    </xf>
    <xf numFmtId="174" fontId="10" fillId="10" borderId="27" xfId="0" applyNumberFormat="1" applyFont="1" applyFill="1" applyBorder="1" applyAlignment="1">
      <alignment horizontal="center" vertical="center"/>
    </xf>
    <xf numFmtId="2" fontId="10" fillId="10" borderId="27" xfId="0" applyNumberFormat="1" applyFont="1" applyFill="1" applyBorder="1" applyAlignment="1">
      <alignment horizontal="center" vertical="center"/>
    </xf>
    <xf numFmtId="3" fontId="10" fillId="11" borderId="27" xfId="0" applyNumberFormat="1" applyFont="1" applyFill="1" applyBorder="1" applyAlignment="1">
      <alignment horizontal="center" vertical="center"/>
    </xf>
    <xf numFmtId="3" fontId="8" fillId="0" borderId="160" xfId="0" applyNumberFormat="1" applyFont="1" applyBorder="1" applyAlignment="1">
      <alignment horizontal="right" vertical="center"/>
    </xf>
    <xf numFmtId="0" fontId="51" fillId="0" borderId="0" xfId="0" applyFont="1" applyBorder="1" applyAlignment="1">
      <alignment horizontal="left" vertical="center" wrapText="1"/>
    </xf>
    <xf numFmtId="0" fontId="43" fillId="0" borderId="0" xfId="0" applyFont="1" applyBorder="1" applyAlignment="1">
      <alignment horizontal="left" vertical="top" wrapText="1"/>
    </xf>
    <xf numFmtId="0" fontId="33" fillId="0" borderId="0" xfId="0" applyFont="1" applyBorder="1" applyAlignment="1">
      <alignment horizontal="center" wrapText="1"/>
    </xf>
    <xf numFmtId="3" fontId="29" fillId="20" borderId="389" xfId="0" applyNumberFormat="1" applyFont="1" applyFill="1" applyBorder="1" applyAlignment="1">
      <alignment horizontal="center" vertical="center"/>
    </xf>
    <xf numFmtId="0" fontId="51" fillId="0" borderId="0" xfId="0" applyFont="1" applyBorder="1" applyAlignment="1">
      <alignment vertical="center" wrapText="1"/>
    </xf>
    <xf numFmtId="0" fontId="32" fillId="0" borderId="24" xfId="0" applyFont="1" applyBorder="1"/>
    <xf numFmtId="0" fontId="8" fillId="0" borderId="26" xfId="0" applyFont="1" applyBorder="1" applyAlignment="1">
      <alignment horizontal="right"/>
    </xf>
    <xf numFmtId="0" fontId="89" fillId="35" borderId="138" xfId="0" applyFont="1" applyFill="1" applyBorder="1" applyAlignment="1">
      <alignment horizontal="center" vertical="center" shrinkToFit="1"/>
    </xf>
    <xf numFmtId="0" fontId="8" fillId="26" borderId="0" xfId="0" applyFont="1" applyFill="1" applyAlignment="1">
      <alignment horizontal="right"/>
    </xf>
    <xf numFmtId="3" fontId="161" fillId="14" borderId="262" xfId="0" applyNumberFormat="1" applyFont="1" applyFill="1" applyBorder="1" applyAlignment="1">
      <alignment horizontal="center" vertical="center"/>
    </xf>
    <xf numFmtId="0" fontId="161" fillId="14" borderId="189" xfId="0" applyFont="1" applyFill="1" applyBorder="1" applyAlignment="1">
      <alignment horizontal="center" vertical="center"/>
    </xf>
    <xf numFmtId="3" fontId="161" fillId="14" borderId="189" xfId="0" applyNumberFormat="1" applyFont="1" applyFill="1" applyBorder="1" applyAlignment="1">
      <alignment horizontal="center" vertical="center"/>
    </xf>
    <xf numFmtId="0" fontId="34" fillId="10" borderId="9" xfId="0" applyFont="1" applyFill="1" applyBorder="1" applyAlignment="1">
      <alignment horizontal="centerContinuous" vertical="center" wrapText="1"/>
    </xf>
    <xf numFmtId="0" fontId="34" fillId="10" borderId="8" xfId="0" applyFont="1" applyFill="1" applyBorder="1" applyAlignment="1">
      <alignment horizontal="centerContinuous" vertical="center" wrapText="1"/>
    </xf>
    <xf numFmtId="0" fontId="34" fillId="10" borderId="10" xfId="0" applyFont="1" applyFill="1" applyBorder="1" applyAlignment="1">
      <alignment horizontal="centerContinuous" vertical="center" wrapText="1"/>
    </xf>
    <xf numFmtId="0" fontId="34" fillId="48" borderId="9" xfId="0" applyFont="1" applyFill="1" applyBorder="1" applyAlignment="1">
      <alignment vertical="center" wrapText="1"/>
    </xf>
    <xf numFmtId="0" fontId="34" fillId="48" borderId="10" xfId="0" applyFont="1" applyFill="1" applyBorder="1" applyAlignment="1">
      <alignment vertical="center" wrapText="1"/>
    </xf>
    <xf numFmtId="0" fontId="34" fillId="48" borderId="8" xfId="0" applyFont="1" applyFill="1" applyBorder="1" applyAlignment="1">
      <alignment vertical="center"/>
    </xf>
    <xf numFmtId="0" fontId="33" fillId="3" borderId="27" xfId="0" applyFont="1" applyFill="1" applyBorder="1" applyAlignment="1">
      <alignment horizontal="center" vertical="center"/>
    </xf>
    <xf numFmtId="0" fontId="6" fillId="27" borderId="3" xfId="0" applyFont="1" applyFill="1" applyBorder="1" applyAlignment="1">
      <alignment vertical="center"/>
    </xf>
    <xf numFmtId="0" fontId="32" fillId="27" borderId="3" xfId="0" applyFont="1" applyFill="1" applyBorder="1"/>
    <xf numFmtId="0" fontId="8" fillId="27" borderId="3" xfId="0" applyFont="1" applyFill="1" applyBorder="1" applyAlignment="1">
      <alignment horizontal="left" vertical="center"/>
    </xf>
    <xf numFmtId="0" fontId="32" fillId="27" borderId="461" xfId="0" applyFont="1" applyFill="1" applyBorder="1"/>
    <xf numFmtId="0" fontId="32" fillId="27" borderId="0" xfId="0" applyFont="1" applyFill="1" applyBorder="1" applyAlignment="1">
      <alignment horizontal="left"/>
    </xf>
    <xf numFmtId="0" fontId="8" fillId="27" borderId="460" xfId="0" applyFont="1" applyFill="1" applyBorder="1" applyAlignment="1">
      <alignment horizontal="left" vertical="center"/>
    </xf>
    <xf numFmtId="3" fontId="162" fillId="14" borderId="190" xfId="0" quotePrefix="1" applyNumberFormat="1" applyFont="1" applyFill="1" applyBorder="1" applyAlignment="1">
      <alignment horizontal="center" textRotation="90" wrapText="1"/>
    </xf>
    <xf numFmtId="0" fontId="45" fillId="27" borderId="0" xfId="0" applyFont="1" applyFill="1" applyBorder="1" applyAlignment="1">
      <alignment horizontal="right" vertical="center"/>
    </xf>
    <xf numFmtId="0" fontId="45" fillId="3" borderId="1" xfId="0" quotePrefix="1" applyFont="1" applyFill="1" applyBorder="1" applyAlignment="1">
      <alignment horizontal="center" vertical="center"/>
    </xf>
    <xf numFmtId="0" fontId="45" fillId="3" borderId="21" xfId="0" quotePrefix="1" applyFont="1" applyFill="1" applyBorder="1" applyAlignment="1">
      <alignment horizontal="center" vertical="center"/>
    </xf>
    <xf numFmtId="0" fontId="45" fillId="3" borderId="12" xfId="0" quotePrefix="1" applyFont="1" applyFill="1" applyBorder="1" applyAlignment="1">
      <alignment horizontal="center" vertical="center"/>
    </xf>
    <xf numFmtId="0" fontId="45" fillId="3" borderId="147" xfId="0" quotePrefix="1" applyFont="1" applyFill="1" applyBorder="1" applyAlignment="1">
      <alignment horizontal="center" vertical="center"/>
    </xf>
    <xf numFmtId="0" fontId="163" fillId="38" borderId="1" xfId="0" applyFont="1" applyFill="1" applyBorder="1" applyAlignment="1">
      <alignment horizontal="center" vertical="center"/>
    </xf>
    <xf numFmtId="0" fontId="163" fillId="40" borderId="1" xfId="0" applyFont="1" applyFill="1" applyBorder="1" applyAlignment="1">
      <alignment horizontal="center" vertical="center"/>
    </xf>
    <xf numFmtId="3" fontId="10" fillId="0" borderId="10" xfId="0" quotePrefix="1" applyNumberFormat="1" applyFont="1" applyFill="1" applyBorder="1" applyAlignment="1">
      <alignment horizontal="right" vertical="center" indent="1"/>
    </xf>
    <xf numFmtId="3" fontId="10" fillId="0" borderId="10" xfId="0" applyNumberFormat="1" applyFont="1" applyFill="1" applyBorder="1" applyAlignment="1">
      <alignment horizontal="right" vertical="center" indent="1"/>
    </xf>
    <xf numFmtId="3" fontId="10" fillId="0" borderId="232" xfId="0" applyNumberFormat="1" applyFont="1" applyFill="1" applyBorder="1" applyAlignment="1">
      <alignment horizontal="right" vertical="center" indent="1"/>
    </xf>
    <xf numFmtId="0" fontId="67" fillId="0" borderId="0" xfId="0" applyFont="1" applyAlignment="1">
      <alignment horizontal="left" vertical="center" indent="1"/>
    </xf>
    <xf numFmtId="0" fontId="1" fillId="0" borderId="0" xfId="0" applyFont="1" applyAlignment="1">
      <alignment horizontal="left" vertical="top"/>
    </xf>
    <xf numFmtId="0" fontId="56" fillId="0" borderId="0" xfId="0" applyFont="1" applyAlignment="1">
      <alignment horizontal="center" vertical="center"/>
    </xf>
    <xf numFmtId="0" fontId="164" fillId="0" borderId="0" xfId="0" applyFont="1" applyAlignment="1">
      <alignment horizontal="center" vertical="center"/>
    </xf>
    <xf numFmtId="9" fontId="8" fillId="0" borderId="65" xfId="1" applyFont="1" applyFill="1" applyBorder="1" applyAlignment="1">
      <alignment horizontal="center" vertical="center"/>
    </xf>
    <xf numFmtId="0" fontId="32" fillId="0" borderId="8" xfId="0" applyFont="1" applyFill="1" applyBorder="1"/>
    <xf numFmtId="0" fontId="32" fillId="0" borderId="10" xfId="0" applyFont="1" applyFill="1" applyBorder="1"/>
    <xf numFmtId="0" fontId="32" fillId="27" borderId="348" xfId="0" applyFont="1" applyFill="1" applyBorder="1"/>
    <xf numFmtId="0" fontId="55" fillId="27" borderId="0" xfId="0" applyFont="1" applyFill="1"/>
    <xf numFmtId="0" fontId="20" fillId="20" borderId="28" xfId="0" applyFont="1" applyFill="1" applyBorder="1" applyAlignment="1">
      <alignment vertical="center"/>
    </xf>
    <xf numFmtId="0" fontId="130" fillId="20" borderId="28" xfId="0" applyFont="1" applyFill="1" applyBorder="1" applyAlignment="1">
      <alignment horizontal="left" vertical="center"/>
    </xf>
    <xf numFmtId="0" fontId="20" fillId="20" borderId="67" xfId="0" applyFont="1" applyFill="1" applyBorder="1" applyAlignment="1">
      <alignment vertical="center"/>
    </xf>
    <xf numFmtId="0" fontId="34" fillId="20" borderId="65" xfId="0" applyFont="1" applyFill="1" applyBorder="1" applyAlignment="1">
      <alignment horizontal="centerContinuous" vertical="center" wrapText="1"/>
    </xf>
    <xf numFmtId="0" fontId="34" fillId="20" borderId="67" xfId="0" applyFont="1" applyFill="1" applyBorder="1" applyAlignment="1">
      <alignment horizontal="centerContinuous" vertical="center"/>
    </xf>
    <xf numFmtId="0" fontId="34" fillId="20" borderId="9" xfId="0" applyFont="1" applyFill="1" applyBorder="1" applyAlignment="1">
      <alignment horizontal="centerContinuous" vertical="center"/>
    </xf>
    <xf numFmtId="0" fontId="34" fillId="20" borderId="8" xfId="0" applyFont="1" applyFill="1" applyBorder="1" applyAlignment="1">
      <alignment horizontal="centerContinuous" vertical="center"/>
    </xf>
    <xf numFmtId="0" fontId="34" fillId="20" borderId="10" xfId="0" applyFont="1" applyFill="1" applyBorder="1" applyAlignment="1">
      <alignment horizontal="centerContinuous" vertical="center" wrapText="1"/>
    </xf>
    <xf numFmtId="3" fontId="10" fillId="20" borderId="114" xfId="0" applyNumberFormat="1" applyFont="1" applyFill="1" applyBorder="1" applyAlignment="1">
      <alignment horizontal="center" vertical="center"/>
    </xf>
    <xf numFmtId="3" fontId="10" fillId="20" borderId="27" xfId="0" applyNumberFormat="1" applyFont="1" applyFill="1" applyBorder="1" applyAlignment="1">
      <alignment horizontal="center" vertical="center"/>
    </xf>
    <xf numFmtId="9" fontId="10" fillId="20" borderId="27" xfId="1" applyFont="1" applyFill="1" applyBorder="1" applyAlignment="1">
      <alignment horizontal="center" vertical="center"/>
    </xf>
    <xf numFmtId="174" fontId="10" fillId="20" borderId="27" xfId="1" applyNumberFormat="1" applyFont="1" applyFill="1" applyBorder="1" applyAlignment="1">
      <alignment horizontal="center" vertical="center"/>
    </xf>
    <xf numFmtId="0" fontId="5" fillId="14" borderId="0" xfId="0" applyFont="1" applyFill="1" applyBorder="1"/>
    <xf numFmtId="176" fontId="24" fillId="14" borderId="0" xfId="1" applyNumberFormat="1" applyFont="1" applyFill="1" applyBorder="1" applyAlignment="1">
      <alignment vertical="center" textRotation="90"/>
    </xf>
    <xf numFmtId="176" fontId="24" fillId="14" borderId="0" xfId="1" applyNumberFormat="1" applyFont="1" applyFill="1" applyBorder="1" applyAlignment="1">
      <alignment horizontal="center" vertical="center" textRotation="90"/>
    </xf>
    <xf numFmtId="0" fontId="42" fillId="14" borderId="190" xfId="0" applyFont="1" applyFill="1" applyBorder="1"/>
    <xf numFmtId="0" fontId="29" fillId="0" borderId="0" xfId="0" applyFont="1" applyAlignment="1">
      <alignment horizontal="centerContinuous"/>
    </xf>
    <xf numFmtId="0" fontId="5" fillId="3" borderId="0" xfId="0" applyFont="1" applyFill="1" applyAlignment="1">
      <alignment horizontal="centerContinuous"/>
    </xf>
    <xf numFmtId="0" fontId="5" fillId="0" borderId="0" xfId="0" applyFont="1" applyAlignment="1">
      <alignment horizontal="centerContinuous"/>
    </xf>
    <xf numFmtId="0" fontId="34" fillId="10" borderId="147" xfId="0" applyFont="1" applyFill="1" applyBorder="1" applyAlignment="1">
      <alignment horizontal="centerContinuous" vertical="center" wrapText="1"/>
    </xf>
    <xf numFmtId="4" fontId="10" fillId="11" borderId="462" xfId="0" applyNumberFormat="1" applyFont="1" applyFill="1" applyBorder="1" applyAlignment="1">
      <alignment horizontal="center" vertical="center"/>
    </xf>
    <xf numFmtId="0" fontId="8" fillId="3" borderId="0" xfId="0" applyFont="1" applyFill="1" applyBorder="1" applyAlignment="1">
      <alignment horizontal="center" textRotation="90"/>
    </xf>
    <xf numFmtId="3" fontId="108" fillId="22" borderId="5" xfId="0" applyNumberFormat="1" applyFont="1" applyFill="1" applyBorder="1" applyAlignment="1">
      <alignment horizontal="right" vertical="center" indent="1"/>
    </xf>
    <xf numFmtId="0" fontId="8" fillId="0" borderId="147" xfId="0" applyFont="1" applyBorder="1" applyAlignment="1">
      <alignment vertical="center"/>
    </xf>
    <xf numFmtId="171" fontId="8" fillId="0" borderId="147" xfId="0" applyNumberFormat="1" applyFont="1" applyBorder="1" applyAlignment="1">
      <alignment vertical="center"/>
    </xf>
    <xf numFmtId="0" fontId="8" fillId="0" borderId="7" xfId="0" applyFont="1" applyBorder="1" applyAlignment="1">
      <alignment vertical="center"/>
    </xf>
    <xf numFmtId="0" fontId="8" fillId="26" borderId="0" xfId="0" applyFont="1" applyFill="1" applyBorder="1" applyAlignment="1">
      <alignment horizontal="right" vertical="center"/>
    </xf>
    <xf numFmtId="178" fontId="10" fillId="0" borderId="147" xfId="0" applyNumberFormat="1" applyFont="1" applyBorder="1" applyAlignment="1">
      <alignment horizontal="center" vertical="center"/>
    </xf>
    <xf numFmtId="178" fontId="10" fillId="0" borderId="0" xfId="0" applyNumberFormat="1" applyFont="1" applyAlignment="1">
      <alignment horizontal="center" vertical="center"/>
    </xf>
    <xf numFmtId="178" fontId="10" fillId="0" borderId="95" xfId="0" applyNumberFormat="1" applyFont="1" applyFill="1" applyBorder="1" applyAlignment="1">
      <alignment vertical="center"/>
    </xf>
    <xf numFmtId="178" fontId="10" fillId="0" borderId="173" xfId="0" applyNumberFormat="1" applyFont="1" applyFill="1" applyBorder="1" applyAlignment="1">
      <alignment horizontal="right" vertical="center" indent="1"/>
    </xf>
    <xf numFmtId="178" fontId="10" fillId="0" borderId="174" xfId="0" applyNumberFormat="1" applyFont="1" applyFill="1" applyBorder="1" applyAlignment="1">
      <alignment horizontal="right" vertical="center" indent="1"/>
    </xf>
    <xf numFmtId="178" fontId="10" fillId="0" borderId="175" xfId="0" applyNumberFormat="1" applyFont="1" applyFill="1" applyBorder="1" applyAlignment="1">
      <alignment horizontal="right" vertical="center" indent="1"/>
    </xf>
    <xf numFmtId="0" fontId="1" fillId="0" borderId="0" xfId="0" applyFont="1" applyAlignment="1">
      <alignment horizontal="left" vertical="top"/>
    </xf>
    <xf numFmtId="3" fontId="1" fillId="48" borderId="8" xfId="0" quotePrefix="1" applyNumberFormat="1" applyFont="1" applyFill="1" applyBorder="1" applyAlignment="1">
      <alignment horizontal="center" vertical="center" wrapText="1"/>
    </xf>
    <xf numFmtId="3" fontId="1" fillId="55" borderId="8" xfId="0" quotePrefix="1" applyNumberFormat="1" applyFont="1" applyFill="1" applyBorder="1" applyAlignment="1">
      <alignment horizontal="center" vertical="center" wrapText="1"/>
    </xf>
    <xf numFmtId="0" fontId="1" fillId="0" borderId="0" xfId="0" applyFont="1" applyAlignment="1">
      <alignment horizontal="left" vertical="top"/>
    </xf>
    <xf numFmtId="0" fontId="8" fillId="20" borderId="147" xfId="0" applyFont="1" applyFill="1" applyBorder="1" applyAlignment="1">
      <alignment horizontal="center" vertical="center"/>
    </xf>
    <xf numFmtId="0" fontId="46" fillId="22" borderId="38" xfId="0" applyFont="1" applyFill="1" applyBorder="1" applyAlignment="1">
      <alignment horizontal="center" vertical="center"/>
    </xf>
    <xf numFmtId="0" fontId="123" fillId="22" borderId="0" xfId="0" applyFont="1" applyFill="1" applyAlignment="1">
      <alignment vertical="top"/>
    </xf>
    <xf numFmtId="0" fontId="8" fillId="0" borderId="0" xfId="0" applyFont="1" applyAlignment="1">
      <alignment horizontal="left" wrapText="1"/>
    </xf>
    <xf numFmtId="0" fontId="124" fillId="0" borderId="0" xfId="0" applyFont="1" applyBorder="1" applyAlignment="1">
      <alignment horizontal="center" vertical="center"/>
    </xf>
    <xf numFmtId="49" fontId="8" fillId="3" borderId="12" xfId="0" applyNumberFormat="1" applyFont="1" applyFill="1" applyBorder="1" applyAlignment="1">
      <alignment horizontal="right" vertical="center"/>
    </xf>
    <xf numFmtId="0" fontId="8" fillId="3" borderId="12" xfId="0" applyFont="1" applyFill="1" applyBorder="1" applyAlignment="1">
      <alignment horizontal="right" vertical="center"/>
    </xf>
    <xf numFmtId="0" fontId="6" fillId="0" borderId="0" xfId="0" applyFont="1" applyAlignment="1">
      <alignment vertical="center" wrapText="1"/>
    </xf>
    <xf numFmtId="0" fontId="8" fillId="0" borderId="0" xfId="0" applyFont="1" applyBorder="1" applyAlignment="1">
      <alignment horizontal="left" wrapText="1"/>
    </xf>
    <xf numFmtId="174" fontId="92" fillId="0" borderId="0" xfId="0" applyNumberFormat="1" applyFont="1" applyFill="1" applyBorder="1" applyAlignment="1">
      <alignment vertical="center"/>
    </xf>
    <xf numFmtId="0" fontId="17" fillId="0" borderId="0" xfId="0" applyFont="1" applyAlignment="1">
      <alignment wrapText="1"/>
    </xf>
    <xf numFmtId="0" fontId="8" fillId="3" borderId="9" xfId="0" applyFont="1" applyFill="1" applyBorder="1" applyAlignment="1">
      <alignment horizontal="center" vertical="center"/>
    </xf>
    <xf numFmtId="0" fontId="1" fillId="26" borderId="0" xfId="0" applyFont="1" applyFill="1" applyBorder="1" applyAlignment="1">
      <alignment horizontal="center" textRotation="90"/>
    </xf>
    <xf numFmtId="0" fontId="6" fillId="26" borderId="0" xfId="0" quotePrefix="1" applyFont="1" applyFill="1" applyBorder="1" applyAlignment="1">
      <alignment horizontal="center" textRotation="90"/>
    </xf>
    <xf numFmtId="0" fontId="8" fillId="12" borderId="133" xfId="0" applyFont="1" applyFill="1" applyBorder="1" applyAlignment="1">
      <alignment horizontal="left" vertical="center"/>
    </xf>
    <xf numFmtId="0" fontId="26" fillId="12" borderId="132" xfId="0" applyFont="1" applyFill="1" applyBorder="1" applyAlignment="1">
      <alignment horizontal="left" vertical="center"/>
    </xf>
    <xf numFmtId="0" fontId="105" fillId="0" borderId="0" xfId="0" applyFont="1" applyBorder="1" applyAlignment="1">
      <alignment vertical="center" wrapText="1"/>
    </xf>
    <xf numFmtId="0" fontId="8" fillId="0" borderId="0" xfId="0" applyFont="1" applyBorder="1" applyAlignment="1">
      <alignment horizontal="right" vertical="top"/>
    </xf>
    <xf numFmtId="0" fontId="32" fillId="26" borderId="0" xfId="0" applyFont="1" applyFill="1" applyBorder="1" applyAlignment="1">
      <alignment horizontal="center"/>
    </xf>
    <xf numFmtId="2" fontId="44" fillId="0" borderId="51" xfId="1" applyNumberFormat="1" applyFont="1" applyFill="1" applyBorder="1" applyAlignment="1">
      <alignment horizontal="center" vertical="center"/>
    </xf>
    <xf numFmtId="10" fontId="92" fillId="0" borderId="95" xfId="1" applyNumberFormat="1" applyFont="1" applyFill="1" applyBorder="1" applyAlignment="1">
      <alignment horizontal="center" vertical="center"/>
    </xf>
    <xf numFmtId="0" fontId="8" fillId="26" borderId="0" xfId="0" applyFont="1" applyFill="1" applyAlignment="1">
      <alignment horizontal="left" vertical="center" indent="1"/>
    </xf>
    <xf numFmtId="0" fontId="1" fillId="26" borderId="0" xfId="0" applyFont="1" applyFill="1" applyBorder="1" applyAlignment="1">
      <alignment horizontal="left" indent="1"/>
    </xf>
    <xf numFmtId="0" fontId="91" fillId="26" borderId="0" xfId="0" applyFont="1" applyFill="1"/>
    <xf numFmtId="0" fontId="143" fillId="0" borderId="0" xfId="0" applyFont="1" applyAlignment="1">
      <alignment horizontal="left" vertical="center"/>
    </xf>
    <xf numFmtId="0" fontId="10" fillId="0" borderId="0" xfId="0" applyFont="1"/>
    <xf numFmtId="0" fontId="67" fillId="0" borderId="0" xfId="0" applyFont="1" applyAlignment="1">
      <alignment horizontal="left" vertical="center"/>
    </xf>
    <xf numFmtId="0" fontId="67" fillId="0" borderId="0" xfId="0" applyFont="1" applyAlignment="1">
      <alignment vertical="center"/>
    </xf>
    <xf numFmtId="0" fontId="67" fillId="0" borderId="0" xfId="0" applyFont="1" applyBorder="1" applyAlignment="1">
      <alignment vertical="center"/>
    </xf>
    <xf numFmtId="0" fontId="165" fillId="0" borderId="0" xfId="0" applyFont="1" applyAlignment="1">
      <alignment vertical="center"/>
    </xf>
    <xf numFmtId="0" fontId="32" fillId="22" borderId="0" xfId="0" applyFont="1" applyFill="1" applyBorder="1"/>
    <xf numFmtId="0" fontId="0" fillId="22" borderId="0" xfId="0" applyFill="1"/>
    <xf numFmtId="0" fontId="48" fillId="22" borderId="0" xfId="0" applyFont="1" applyFill="1" applyAlignment="1">
      <alignment vertical="center"/>
    </xf>
    <xf numFmtId="0" fontId="143" fillId="22" borderId="0" xfId="0" applyFont="1" applyFill="1" applyAlignment="1">
      <alignment horizontal="left" vertical="center"/>
    </xf>
    <xf numFmtId="0" fontId="10" fillId="22" borderId="0" xfId="0" applyFont="1" applyFill="1"/>
    <xf numFmtId="0" fontId="165" fillId="0" borderId="0" xfId="0" applyFont="1" applyBorder="1" applyAlignment="1">
      <alignment vertical="top"/>
    </xf>
    <xf numFmtId="0" fontId="67" fillId="0" borderId="0" xfId="0" applyFont="1" applyAlignment="1">
      <alignment horizontal="right" vertical="center"/>
    </xf>
    <xf numFmtId="0" fontId="32" fillId="0" borderId="5" xfId="0" applyFont="1" applyFill="1" applyBorder="1"/>
    <xf numFmtId="0" fontId="0" fillId="0" borderId="5" xfId="0" applyBorder="1"/>
    <xf numFmtId="0" fontId="10" fillId="0" borderId="5" xfId="0" applyFont="1" applyBorder="1" applyAlignment="1">
      <alignment vertical="center"/>
    </xf>
    <xf numFmtId="0" fontId="32" fillId="0" borderId="26" xfId="0" applyFont="1" applyFill="1" applyBorder="1"/>
    <xf numFmtId="0" fontId="32" fillId="0" borderId="24" xfId="0" applyFont="1" applyFill="1" applyBorder="1"/>
    <xf numFmtId="0" fontId="43" fillId="0" borderId="0" xfId="0" applyFont="1" applyBorder="1" applyAlignment="1">
      <alignment horizontal="center" vertical="center"/>
    </xf>
    <xf numFmtId="0" fontId="0" fillId="0" borderId="0" xfId="0" applyBorder="1"/>
    <xf numFmtId="0" fontId="32" fillId="0" borderId="22" xfId="0" applyFont="1" applyFill="1" applyBorder="1"/>
    <xf numFmtId="0" fontId="57" fillId="0" borderId="6" xfId="0" applyFont="1" applyBorder="1" applyAlignment="1">
      <alignment vertical="center"/>
    </xf>
    <xf numFmtId="0" fontId="6" fillId="0" borderId="6" xfId="0" applyFont="1" applyBorder="1" applyAlignment="1">
      <alignment vertical="center" wrapText="1"/>
    </xf>
    <xf numFmtId="0" fontId="10" fillId="0" borderId="6" xfId="0" applyFont="1" applyBorder="1" applyAlignment="1">
      <alignment vertical="center"/>
    </xf>
    <xf numFmtId="0" fontId="57" fillId="0" borderId="5" xfId="0" applyFont="1" applyBorder="1" applyAlignment="1">
      <alignment vertical="center"/>
    </xf>
    <xf numFmtId="0" fontId="6" fillId="0" borderId="5" xfId="0" applyFont="1" applyBorder="1" applyAlignment="1">
      <alignment vertical="center" wrapText="1"/>
    </xf>
    <xf numFmtId="0" fontId="10" fillId="22" borderId="0" xfId="0" applyFont="1" applyFill="1" applyBorder="1" applyAlignment="1">
      <alignment vertical="center"/>
    </xf>
    <xf numFmtId="0" fontId="67" fillId="22" borderId="0" xfId="0" applyFont="1" applyFill="1" applyAlignment="1">
      <alignment horizontal="left" vertical="center" indent="1"/>
    </xf>
    <xf numFmtId="0" fontId="69" fillId="22" borderId="0" xfId="0" applyFont="1" applyFill="1" applyAlignment="1">
      <alignment horizontal="right"/>
    </xf>
    <xf numFmtId="0" fontId="43" fillId="22" borderId="0" xfId="0" applyFont="1" applyFill="1"/>
    <xf numFmtId="0" fontId="10" fillId="22" borderId="0" xfId="0" applyFont="1" applyFill="1" applyAlignment="1">
      <alignment vertical="center"/>
    </xf>
    <xf numFmtId="0" fontId="0" fillId="0" borderId="26" xfId="0" applyBorder="1"/>
    <xf numFmtId="0" fontId="46" fillId="0" borderId="26" xfId="0" applyFont="1" applyBorder="1" applyAlignment="1">
      <alignment vertical="center"/>
    </xf>
    <xf numFmtId="0" fontId="143" fillId="0" borderId="26" xfId="0" applyFont="1" applyBorder="1" applyAlignment="1">
      <alignment horizontal="left" vertical="center"/>
    </xf>
    <xf numFmtId="0" fontId="10" fillId="0" borderId="26" xfId="0" applyFont="1" applyBorder="1"/>
    <xf numFmtId="0" fontId="43" fillId="0" borderId="6" xfId="0" applyFont="1" applyBorder="1"/>
    <xf numFmtId="0" fontId="70" fillId="22" borderId="0" xfId="0" applyFont="1" applyFill="1"/>
    <xf numFmtId="0" fontId="1" fillId="22" borderId="0" xfId="0" applyFont="1" applyFill="1" applyBorder="1" applyAlignment="1">
      <alignment vertical="center"/>
    </xf>
    <xf numFmtId="0" fontId="1" fillId="22" borderId="0" xfId="0" applyFont="1" applyFill="1" applyBorder="1" applyAlignment="1">
      <alignment horizontal="right" vertical="center"/>
    </xf>
    <xf numFmtId="0" fontId="51" fillId="22" borderId="0" xfId="0" applyFont="1" applyFill="1" applyBorder="1"/>
    <xf numFmtId="0" fontId="51" fillId="22" borderId="0" xfId="0" applyFont="1" applyFill="1" applyBorder="1" applyAlignment="1">
      <alignment horizontal="center"/>
    </xf>
    <xf numFmtId="0" fontId="8" fillId="22" borderId="0" xfId="0" applyFont="1" applyFill="1" applyBorder="1" applyAlignment="1">
      <alignment wrapText="1"/>
    </xf>
    <xf numFmtId="0" fontId="8" fillId="22" borderId="0" xfId="0" applyFont="1" applyFill="1" applyBorder="1" applyAlignment="1">
      <alignment horizontal="center" wrapText="1"/>
    </xf>
    <xf numFmtId="0" fontId="82" fillId="22" borderId="0" xfId="0" applyFont="1" applyFill="1" applyAlignment="1">
      <alignment horizontal="left" vertical="center"/>
    </xf>
    <xf numFmtId="0" fontId="1" fillId="22" borderId="0" xfId="0" applyFont="1" applyFill="1" applyBorder="1" applyAlignment="1">
      <alignment horizontal="left" vertical="center" indent="1"/>
    </xf>
    <xf numFmtId="0" fontId="1" fillId="0" borderId="26" xfId="0" applyFont="1" applyFill="1" applyBorder="1" applyAlignment="1">
      <alignment horizontal="left" vertical="center" indent="1"/>
    </xf>
    <xf numFmtId="0" fontId="32" fillId="0" borderId="6" xfId="0" applyFont="1" applyFill="1" applyBorder="1"/>
    <xf numFmtId="0" fontId="32" fillId="0" borderId="23" xfId="0" applyFont="1" applyFill="1" applyBorder="1"/>
    <xf numFmtId="0" fontId="1" fillId="0" borderId="11" xfId="0" applyFont="1" applyBorder="1" applyAlignment="1">
      <alignment horizontal="right" vertical="center"/>
    </xf>
    <xf numFmtId="0" fontId="17" fillId="0" borderId="26" xfId="0" applyFont="1" applyFill="1" applyBorder="1" applyAlignment="1"/>
    <xf numFmtId="0" fontId="43" fillId="22" borderId="0" xfId="0" applyFont="1" applyFill="1" applyBorder="1" applyAlignment="1">
      <alignment vertical="center"/>
    </xf>
    <xf numFmtId="0" fontId="68" fillId="22" borderId="0" xfId="0" applyFont="1" applyFill="1" applyAlignment="1">
      <alignment horizontal="right" vertical="center"/>
    </xf>
    <xf numFmtId="3" fontId="32" fillId="22" borderId="0" xfId="0" applyNumberFormat="1" applyFont="1" applyFill="1" applyBorder="1"/>
    <xf numFmtId="0" fontId="43" fillId="22" borderId="0" xfId="0" applyFont="1" applyFill="1" applyBorder="1" applyAlignment="1">
      <alignment horizontal="left"/>
    </xf>
    <xf numFmtId="0" fontId="67" fillId="22" borderId="0" xfId="0" applyFont="1" applyFill="1" applyAlignment="1">
      <alignment vertical="center"/>
    </xf>
    <xf numFmtId="0" fontId="67" fillId="22" borderId="0" xfId="0" applyFont="1" applyFill="1" applyBorder="1"/>
    <xf numFmtId="0" fontId="32" fillId="0" borderId="25" xfId="0" applyFont="1" applyFill="1" applyBorder="1"/>
    <xf numFmtId="2" fontId="44" fillId="0" borderId="165" xfId="1" applyNumberFormat="1" applyFont="1" applyFill="1" applyBorder="1" applyAlignment="1">
      <alignment horizontal="center" vertical="center"/>
    </xf>
    <xf numFmtId="2" fontId="44" fillId="0" borderId="386" xfId="1" applyNumberFormat="1" applyFont="1" applyFill="1" applyBorder="1" applyAlignment="1">
      <alignment horizontal="center" vertical="center"/>
    </xf>
    <xf numFmtId="0" fontId="6" fillId="0" borderId="0" xfId="0" applyFont="1" applyBorder="1" applyAlignment="1">
      <alignment vertical="center" wrapText="1"/>
    </xf>
    <xf numFmtId="171" fontId="8" fillId="0" borderId="463" xfId="0" applyNumberFormat="1" applyFont="1" applyBorder="1" applyAlignment="1">
      <alignment vertical="center"/>
    </xf>
    <xf numFmtId="171" fontId="8" fillId="0" borderId="464" xfId="0" applyNumberFormat="1" applyFont="1" applyBorder="1" applyAlignment="1">
      <alignment vertical="center"/>
    </xf>
    <xf numFmtId="171" fontId="8" fillId="0" borderId="465" xfId="0" applyNumberFormat="1" applyFont="1" applyBorder="1" applyAlignment="1">
      <alignment vertical="center"/>
    </xf>
    <xf numFmtId="0" fontId="67" fillId="0" borderId="6" xfId="0" applyFont="1" applyBorder="1" applyAlignment="1">
      <alignment horizontal="right" vertical="center"/>
    </xf>
    <xf numFmtId="0" fontId="33" fillId="0" borderId="0" xfId="0" applyFont="1"/>
    <xf numFmtId="0" fontId="1" fillId="26" borderId="0" xfId="0" applyFont="1" applyFill="1" applyBorder="1" applyAlignment="1">
      <alignment horizontal="center" textRotation="90"/>
    </xf>
    <xf numFmtId="0" fontId="1" fillId="26" borderId="0" xfId="0" quotePrefix="1" applyFont="1" applyFill="1" applyBorder="1" applyAlignment="1">
      <alignment horizontal="center" textRotation="90"/>
    </xf>
    <xf numFmtId="0" fontId="34" fillId="2" borderId="0" xfId="0" applyFont="1" applyFill="1" applyBorder="1" applyAlignment="1">
      <alignment horizontal="center"/>
    </xf>
    <xf numFmtId="192" fontId="8" fillId="26" borderId="0" xfId="0" applyNumberFormat="1" applyFont="1" applyFill="1" applyAlignment="1">
      <alignment horizontal="center" vertical="center"/>
    </xf>
    <xf numFmtId="0" fontId="138" fillId="0" borderId="0" xfId="0" applyFont="1" applyBorder="1" applyAlignment="1">
      <alignment wrapText="1"/>
    </xf>
    <xf numFmtId="1" fontId="8" fillId="3" borderId="147" xfId="0" quotePrefix="1" applyNumberFormat="1" applyFont="1" applyFill="1" applyBorder="1" applyAlignment="1">
      <alignment horizontal="center" vertical="center"/>
    </xf>
    <xf numFmtId="196" fontId="32" fillId="0" borderId="0" xfId="0" applyNumberFormat="1" applyFont="1"/>
    <xf numFmtId="9" fontId="92" fillId="0" borderId="0" xfId="1" applyFont="1" applyAlignment="1">
      <alignment horizontal="center" vertical="center"/>
    </xf>
    <xf numFmtId="0" fontId="8" fillId="3" borderId="9" xfId="0" applyFont="1" applyFill="1" applyBorder="1" applyAlignment="1">
      <alignment horizontal="center" vertical="center"/>
    </xf>
    <xf numFmtId="0" fontId="8" fillId="3" borderId="27" xfId="0" applyFont="1" applyFill="1" applyBorder="1" applyAlignment="1">
      <alignment horizontal="center"/>
    </xf>
    <xf numFmtId="185" fontId="33" fillId="20" borderId="147" xfId="0" applyNumberFormat="1" applyFont="1" applyFill="1" applyBorder="1" applyAlignment="1">
      <alignment horizontal="center" vertical="center"/>
    </xf>
    <xf numFmtId="0" fontId="41" fillId="26" borderId="147" xfId="0" applyFont="1" applyFill="1" applyBorder="1" applyAlignment="1">
      <alignment horizontal="center" vertical="center"/>
    </xf>
    <xf numFmtId="0" fontId="57" fillId="0" borderId="8" xfId="0" applyFont="1" applyFill="1" applyBorder="1" applyAlignment="1">
      <alignment vertical="center"/>
    </xf>
    <xf numFmtId="0" fontId="8" fillId="20" borderId="8" xfId="0" applyFont="1" applyFill="1" applyBorder="1" applyAlignment="1">
      <alignment horizontal="left" vertical="center" indent="1"/>
    </xf>
    <xf numFmtId="0" fontId="8" fillId="20" borderId="10" xfId="0" applyFont="1" applyFill="1" applyBorder="1" applyAlignment="1">
      <alignment horizontal="left" vertical="center" indent="1"/>
    </xf>
    <xf numFmtId="2" fontId="8" fillId="20" borderId="8" xfId="1" applyNumberFormat="1" applyFont="1" applyFill="1" applyBorder="1" applyAlignment="1">
      <alignment horizontal="center" vertical="center"/>
    </xf>
    <xf numFmtId="3" fontId="10" fillId="3" borderId="277" xfId="0" quotePrefix="1" applyNumberFormat="1" applyFont="1" applyFill="1" applyBorder="1" applyAlignment="1">
      <alignment horizontal="right" vertical="center"/>
    </xf>
    <xf numFmtId="3" fontId="10" fillId="3" borderId="147" xfId="0" quotePrefix="1" applyNumberFormat="1" applyFont="1" applyFill="1" applyBorder="1" applyAlignment="1">
      <alignment horizontal="right" vertical="center" indent="1"/>
    </xf>
    <xf numFmtId="3" fontId="8" fillId="3" borderId="7" xfId="0" applyNumberFormat="1" applyFont="1" applyFill="1" applyBorder="1" applyAlignment="1">
      <alignment horizontal="center" vertical="center"/>
    </xf>
    <xf numFmtId="3" fontId="8" fillId="3" borderId="12" xfId="0" applyNumberFormat="1" applyFont="1" applyFill="1" applyBorder="1" applyAlignment="1">
      <alignment horizontal="center" vertical="center"/>
    </xf>
    <xf numFmtId="3" fontId="8" fillId="3" borderId="27" xfId="0" applyNumberFormat="1" applyFont="1" applyFill="1" applyBorder="1" applyAlignment="1">
      <alignment horizontal="center" vertical="center"/>
    </xf>
    <xf numFmtId="0" fontId="32" fillId="22" borderId="12" xfId="0" applyFont="1" applyFill="1" applyBorder="1"/>
    <xf numFmtId="0" fontId="8" fillId="0" borderId="9" xfId="0" applyFont="1" applyBorder="1" applyAlignment="1">
      <alignment horizontal="left" vertical="center" indent="1"/>
    </xf>
    <xf numFmtId="0" fontId="8" fillId="20" borderId="28" xfId="0" applyFont="1" applyFill="1" applyBorder="1" applyAlignment="1">
      <alignment vertical="center"/>
    </xf>
    <xf numFmtId="0" fontId="32" fillId="0" borderId="8" xfId="0" applyFont="1" applyBorder="1"/>
    <xf numFmtId="0" fontId="32" fillId="0" borderId="10" xfId="0" applyFont="1" applyBorder="1"/>
    <xf numFmtId="3" fontId="41" fillId="26" borderId="0" xfId="0" applyNumberFormat="1" applyFont="1" applyFill="1" applyAlignment="1">
      <alignment horizontal="center" vertical="center"/>
    </xf>
    <xf numFmtId="0" fontId="1" fillId="0" borderId="0" xfId="0" quotePrefix="1" applyFont="1" applyAlignment="1">
      <alignment horizontal="right" vertical="center"/>
    </xf>
    <xf numFmtId="3" fontId="1" fillId="10" borderId="12" xfId="0" quotePrefix="1" applyNumberFormat="1" applyFont="1" applyFill="1" applyBorder="1" applyAlignment="1">
      <alignment horizontal="center" vertical="center" wrapText="1"/>
    </xf>
    <xf numFmtId="0" fontId="92" fillId="3" borderId="0" xfId="0" applyFont="1" applyFill="1" applyAlignment="1">
      <alignment vertical="center"/>
    </xf>
    <xf numFmtId="173" fontId="56" fillId="14" borderId="188" xfId="1" applyNumberFormat="1" applyFont="1" applyFill="1" applyBorder="1" applyAlignment="1">
      <alignment horizontal="center" vertical="center" wrapText="1"/>
    </xf>
    <xf numFmtId="0" fontId="8" fillId="0" borderId="0" xfId="0" applyFont="1" applyFill="1" applyBorder="1" applyAlignment="1">
      <alignment vertical="top"/>
    </xf>
    <xf numFmtId="49" fontId="1" fillId="12" borderId="33" xfId="0" applyNumberFormat="1" applyFont="1" applyFill="1" applyBorder="1" applyAlignment="1">
      <alignment vertical="center"/>
    </xf>
    <xf numFmtId="0" fontId="127" fillId="2" borderId="0" xfId="0" quotePrefix="1" applyFont="1" applyFill="1" applyBorder="1" applyAlignment="1">
      <alignment horizontal="center" vertical="center"/>
    </xf>
    <xf numFmtId="0" fontId="32" fillId="22" borderId="95" xfId="0" applyFont="1" applyFill="1" applyBorder="1"/>
    <xf numFmtId="1" fontId="1" fillId="3" borderId="147" xfId="0" quotePrefix="1" applyNumberFormat="1" applyFont="1" applyFill="1" applyBorder="1" applyAlignment="1">
      <alignment horizontal="center" vertical="center"/>
    </xf>
    <xf numFmtId="0" fontId="8" fillId="3" borderId="0" xfId="0" applyFont="1" applyFill="1" applyBorder="1" applyAlignment="1">
      <alignment horizontal="center" textRotation="90"/>
    </xf>
    <xf numFmtId="0" fontId="51" fillId="0" borderId="0" xfId="0" applyFont="1" applyFill="1" applyBorder="1" applyAlignment="1">
      <alignment vertical="center" wrapText="1"/>
    </xf>
    <xf numFmtId="2" fontId="8" fillId="0" borderId="88" xfId="0" applyNumberFormat="1" applyFont="1" applyFill="1" applyBorder="1" applyAlignment="1">
      <alignment horizontal="center" vertical="center"/>
    </xf>
    <xf numFmtId="173" fontId="50" fillId="3" borderId="147" xfId="1" quotePrefix="1" applyNumberFormat="1" applyFont="1" applyFill="1" applyBorder="1" applyAlignment="1">
      <alignment horizontal="center" vertical="center"/>
    </xf>
    <xf numFmtId="0" fontId="8" fillId="0" borderId="0" xfId="0" applyFont="1" applyFill="1" applyBorder="1" applyAlignment="1">
      <alignment horizontal="right" vertical="center"/>
    </xf>
    <xf numFmtId="0" fontId="119" fillId="0" borderId="0" xfId="0" quotePrefix="1" applyFont="1" applyBorder="1" applyAlignment="1">
      <alignment horizontal="center" vertical="top"/>
    </xf>
    <xf numFmtId="0" fontId="47" fillId="3" borderId="0" xfId="0" applyNumberFormat="1" applyFont="1" applyFill="1" applyBorder="1" applyAlignment="1">
      <alignment horizontal="center" vertical="center" wrapText="1"/>
    </xf>
    <xf numFmtId="0" fontId="24" fillId="14" borderId="0" xfId="0" quotePrefix="1" applyNumberFormat="1" applyFont="1" applyFill="1" applyBorder="1" applyAlignment="1">
      <alignment vertical="center"/>
    </xf>
    <xf numFmtId="0" fontId="45" fillId="14" borderId="0" xfId="0" quotePrefix="1" applyNumberFormat="1" applyFont="1" applyFill="1" applyBorder="1" applyAlignment="1">
      <alignment vertical="center"/>
    </xf>
    <xf numFmtId="3" fontId="24" fillId="14" borderId="0" xfId="0" quotePrefix="1" applyNumberFormat="1" applyFont="1" applyFill="1" applyBorder="1" applyAlignment="1">
      <alignment vertical="center"/>
    </xf>
    <xf numFmtId="3" fontId="45" fillId="14" borderId="0" xfId="0" quotePrefix="1" applyNumberFormat="1" applyFont="1" applyFill="1" applyBorder="1" applyAlignment="1">
      <alignment vertical="center"/>
    </xf>
    <xf numFmtId="3" fontId="10" fillId="3" borderId="10" xfId="0" quotePrefix="1" applyNumberFormat="1" applyFont="1" applyFill="1" applyBorder="1" applyAlignment="1">
      <alignment horizontal="right" vertical="center" indent="1"/>
    </xf>
    <xf numFmtId="0" fontId="1" fillId="0" borderId="0" xfId="0" applyFont="1" applyAlignment="1">
      <alignment horizontal="left" vertical="top"/>
    </xf>
    <xf numFmtId="0" fontId="6" fillId="32" borderId="0" xfId="0" applyFont="1" applyFill="1" applyBorder="1" applyAlignment="1"/>
    <xf numFmtId="0" fontId="171" fillId="31" borderId="147" xfId="0" applyFont="1" applyFill="1" applyBorder="1" applyAlignment="1">
      <alignment horizontal="left" vertical="center" wrapText="1" indent="1"/>
    </xf>
    <xf numFmtId="0" fontId="131" fillId="0" borderId="0" xfId="0" applyFont="1" applyAlignment="1">
      <alignment horizontal="left" vertical="center" indent="1"/>
    </xf>
    <xf numFmtId="0" fontId="1" fillId="0" borderId="0" xfId="0" applyFont="1" applyAlignment="1">
      <alignment horizontal="left" vertical="center" indent="1"/>
    </xf>
    <xf numFmtId="0" fontId="1" fillId="22" borderId="0" xfId="0" applyFont="1" applyFill="1" applyAlignment="1">
      <alignment horizontal="left" vertical="center" indent="1"/>
    </xf>
    <xf numFmtId="0" fontId="14" fillId="0" borderId="0" xfId="0" applyFont="1" applyAlignment="1">
      <alignment horizontal="left" vertical="center" indent="1"/>
    </xf>
    <xf numFmtId="0" fontId="6" fillId="0" borderId="0" xfId="0" applyFont="1" applyAlignment="1">
      <alignment vertical="center"/>
    </xf>
    <xf numFmtId="180" fontId="8" fillId="0" borderId="238" xfId="1" applyNumberFormat="1" applyFont="1" applyFill="1" applyBorder="1" applyAlignment="1">
      <alignment horizontal="center" vertical="center"/>
    </xf>
    <xf numFmtId="180" fontId="8" fillId="0" borderId="336" xfId="1" applyNumberFormat="1" applyFont="1" applyFill="1" applyBorder="1" applyAlignment="1">
      <alignment horizontal="center" vertical="center"/>
    </xf>
    <xf numFmtId="180" fontId="8" fillId="0" borderId="85" xfId="1" applyNumberFormat="1" applyFont="1" applyFill="1" applyBorder="1" applyAlignment="1">
      <alignment horizontal="center" vertical="center"/>
    </xf>
    <xf numFmtId="180" fontId="8" fillId="0" borderId="279" xfId="1" applyNumberFormat="1" applyFont="1" applyFill="1" applyBorder="1" applyAlignment="1">
      <alignment horizontal="center" vertical="center"/>
    </xf>
    <xf numFmtId="180" fontId="8" fillId="0" borderId="160" xfId="1" applyNumberFormat="1" applyFont="1" applyFill="1" applyBorder="1" applyAlignment="1">
      <alignment horizontal="center" vertical="center"/>
    </xf>
    <xf numFmtId="180" fontId="8" fillId="0" borderId="292" xfId="1" applyNumberFormat="1" applyFont="1" applyFill="1" applyBorder="1" applyAlignment="1">
      <alignment horizontal="center" vertical="center"/>
    </xf>
    <xf numFmtId="180" fontId="8" fillId="0" borderId="38" xfId="1" applyNumberFormat="1" applyFont="1" applyFill="1" applyBorder="1" applyAlignment="1">
      <alignment horizontal="center" vertical="center"/>
    </xf>
    <xf numFmtId="180" fontId="8" fillId="0" borderId="280" xfId="1" applyNumberFormat="1" applyFont="1" applyFill="1" applyBorder="1" applyAlignment="1">
      <alignment horizontal="center" vertical="center"/>
    </xf>
    <xf numFmtId="180" fontId="8" fillId="0" borderId="243" xfId="1" applyNumberFormat="1" applyFont="1" applyFill="1" applyBorder="1" applyAlignment="1">
      <alignment horizontal="center" vertical="center"/>
    </xf>
    <xf numFmtId="180" fontId="8" fillId="0" borderId="337" xfId="1" applyNumberFormat="1" applyFont="1" applyFill="1" applyBorder="1" applyAlignment="1">
      <alignment horizontal="center" vertical="center"/>
    </xf>
    <xf numFmtId="180" fontId="8" fillId="0" borderId="338" xfId="1" applyNumberFormat="1" applyFont="1" applyFill="1" applyBorder="1" applyAlignment="1">
      <alignment horizontal="center" vertical="center"/>
    </xf>
    <xf numFmtId="0" fontId="10" fillId="0" borderId="8" xfId="0" applyFont="1" applyFill="1" applyBorder="1" applyAlignment="1">
      <alignment horizontal="right" vertical="center"/>
    </xf>
    <xf numFmtId="0" fontId="8" fillId="0" borderId="467" xfId="0" applyFont="1" applyBorder="1" applyAlignment="1">
      <alignment horizontal="center" vertical="center"/>
    </xf>
    <xf numFmtId="0" fontId="8" fillId="0" borderId="468" xfId="0" applyFont="1" applyBorder="1" applyAlignment="1">
      <alignment horizontal="center" vertical="center"/>
    </xf>
    <xf numFmtId="0" fontId="8" fillId="0" borderId="469" xfId="0" applyFont="1" applyBorder="1" applyAlignment="1">
      <alignment horizontal="center" vertical="center"/>
    </xf>
    <xf numFmtId="0" fontId="8" fillId="0" borderId="470" xfId="0" applyFont="1" applyBorder="1" applyAlignment="1">
      <alignment horizontal="center" vertical="center"/>
    </xf>
    <xf numFmtId="173" fontId="8" fillId="3" borderId="95" xfId="1" applyNumberFormat="1" applyFont="1" applyFill="1" applyBorder="1" applyAlignment="1">
      <alignment horizontal="center" vertical="center"/>
    </xf>
    <xf numFmtId="2" fontId="10" fillId="3" borderId="178" xfId="0" applyNumberFormat="1" applyFont="1" applyFill="1" applyBorder="1" applyAlignment="1">
      <alignment horizontal="center" vertical="center"/>
    </xf>
    <xf numFmtId="2" fontId="10" fillId="3" borderId="10" xfId="0" applyNumberFormat="1" applyFont="1" applyFill="1" applyBorder="1" applyAlignment="1">
      <alignment horizontal="center" vertical="center"/>
    </xf>
    <xf numFmtId="0" fontId="10" fillId="20" borderId="65" xfId="0" applyFont="1" applyFill="1" applyBorder="1" applyAlignment="1">
      <alignment horizontal="left" vertical="center" indent="1"/>
    </xf>
    <xf numFmtId="0" fontId="8" fillId="0" borderId="38" xfId="0" applyFont="1" applyBorder="1" applyAlignment="1">
      <alignment vertical="center"/>
    </xf>
    <xf numFmtId="0" fontId="8" fillId="0" borderId="137" xfId="0" applyFont="1" applyBorder="1" applyAlignment="1">
      <alignment vertical="center"/>
    </xf>
    <xf numFmtId="0" fontId="8" fillId="0" borderId="88" xfId="0" applyFont="1" applyBorder="1" applyAlignment="1">
      <alignment vertical="center"/>
    </xf>
    <xf numFmtId="0" fontId="1" fillId="0" borderId="0" xfId="0" applyFont="1" applyAlignment="1">
      <alignment horizontal="center" vertical="center"/>
    </xf>
    <xf numFmtId="0" fontId="8" fillId="0" borderId="0" xfId="0" applyFont="1" applyFill="1" applyBorder="1" applyAlignment="1">
      <alignment horizontal="center" vertical="center"/>
    </xf>
    <xf numFmtId="0" fontId="51" fillId="0" borderId="0" xfId="0" applyFont="1" applyAlignment="1">
      <alignment horizontal="center" vertical="center" wrapText="1"/>
    </xf>
    <xf numFmtId="0" fontId="51" fillId="0" borderId="43" xfId="0" applyFont="1" applyBorder="1" applyAlignment="1">
      <alignment horizontal="center" vertical="center" wrapText="1"/>
    </xf>
    <xf numFmtId="0" fontId="8" fillId="5" borderId="88" xfId="0" applyFont="1" applyFill="1" applyBorder="1" applyAlignment="1">
      <alignment horizontal="center" vertical="center"/>
    </xf>
    <xf numFmtId="0" fontId="8" fillId="0" borderId="88" xfId="0" applyFont="1" applyFill="1" applyBorder="1" applyAlignment="1">
      <alignment vertical="center"/>
    </xf>
    <xf numFmtId="0" fontId="8" fillId="0" borderId="38" xfId="0" applyFont="1" applyFill="1" applyBorder="1" applyAlignment="1">
      <alignment vertical="center"/>
    </xf>
    <xf numFmtId="0" fontId="8" fillId="0" borderId="137" xfId="0" applyFont="1" applyFill="1" applyBorder="1" applyAlignment="1">
      <alignment vertical="center"/>
    </xf>
    <xf numFmtId="180" fontId="23" fillId="0" borderId="237" xfId="1" applyNumberFormat="1" applyFont="1" applyFill="1" applyBorder="1" applyAlignment="1">
      <alignment horizontal="center" vertical="center"/>
    </xf>
    <xf numFmtId="180" fontId="23" fillId="0" borderId="240" xfId="1" applyNumberFormat="1" applyFont="1" applyFill="1" applyBorder="1" applyAlignment="1">
      <alignment horizontal="center" vertical="center"/>
    </xf>
    <xf numFmtId="180" fontId="23" fillId="0" borderId="242" xfId="1" applyNumberFormat="1" applyFont="1" applyFill="1" applyBorder="1" applyAlignment="1">
      <alignment horizontal="center" vertical="center"/>
    </xf>
    <xf numFmtId="180" fontId="8" fillId="0" borderId="237" xfId="1" applyNumberFormat="1" applyFont="1" applyFill="1" applyBorder="1" applyAlignment="1">
      <alignment horizontal="center" vertical="center"/>
    </xf>
    <xf numFmtId="180" fontId="8" fillId="0" borderId="240" xfId="1" applyNumberFormat="1" applyFont="1" applyFill="1" applyBorder="1" applyAlignment="1">
      <alignment horizontal="center" vertical="center"/>
    </xf>
    <xf numFmtId="180" fontId="8" fillId="0" borderId="242" xfId="1" applyNumberFormat="1" applyFont="1" applyFill="1" applyBorder="1" applyAlignment="1">
      <alignment horizontal="center" vertical="center"/>
    </xf>
    <xf numFmtId="180" fontId="23" fillId="0" borderId="238" xfId="1" applyNumberFormat="1" applyFont="1" applyFill="1" applyBorder="1" applyAlignment="1">
      <alignment horizontal="center" vertical="center"/>
    </xf>
    <xf numFmtId="180" fontId="23" fillId="0" borderId="336" xfId="1" applyNumberFormat="1" applyFont="1" applyFill="1" applyBorder="1" applyAlignment="1">
      <alignment horizontal="center" vertical="center"/>
    </xf>
    <xf numFmtId="180" fontId="23" fillId="0" borderId="85" xfId="1" applyNumberFormat="1" applyFont="1" applyFill="1" applyBorder="1" applyAlignment="1">
      <alignment horizontal="center" vertical="center"/>
    </xf>
    <xf numFmtId="180" fontId="23" fillId="0" borderId="279" xfId="1" applyNumberFormat="1" applyFont="1" applyFill="1" applyBorder="1" applyAlignment="1">
      <alignment horizontal="center" vertical="center"/>
    </xf>
    <xf numFmtId="180" fontId="23" fillId="0" borderId="160" xfId="1" applyNumberFormat="1" applyFont="1" applyFill="1" applyBorder="1" applyAlignment="1">
      <alignment horizontal="center" vertical="center"/>
    </xf>
    <xf numFmtId="180" fontId="23" fillId="0" borderId="292" xfId="1" applyNumberFormat="1" applyFont="1" applyFill="1" applyBorder="1" applyAlignment="1">
      <alignment horizontal="center" vertical="center"/>
    </xf>
    <xf numFmtId="180" fontId="23" fillId="0" borderId="38" xfId="1" applyNumberFormat="1" applyFont="1" applyFill="1" applyBorder="1" applyAlignment="1">
      <alignment horizontal="center" vertical="center"/>
    </xf>
    <xf numFmtId="180" fontId="23" fillId="0" borderId="280" xfId="1" applyNumberFormat="1" applyFont="1" applyFill="1" applyBorder="1" applyAlignment="1">
      <alignment horizontal="center" vertical="center"/>
    </xf>
    <xf numFmtId="180" fontId="23" fillId="0" borderId="243" xfId="1" applyNumberFormat="1" applyFont="1" applyFill="1" applyBorder="1" applyAlignment="1">
      <alignment horizontal="center" vertical="center"/>
    </xf>
    <xf numFmtId="180" fontId="23" fillId="0" borderId="337" xfId="1" applyNumberFormat="1" applyFont="1" applyFill="1" applyBorder="1" applyAlignment="1">
      <alignment horizontal="center" vertical="center"/>
    </xf>
    <xf numFmtId="180" fontId="23" fillId="0" borderId="338" xfId="1" applyNumberFormat="1" applyFont="1" applyFill="1" applyBorder="1" applyAlignment="1">
      <alignment horizontal="center" vertical="center"/>
    </xf>
    <xf numFmtId="0" fontId="8" fillId="3" borderId="147" xfId="0" quotePrefix="1" applyNumberFormat="1" applyFont="1" applyFill="1" applyBorder="1" applyAlignment="1">
      <alignment horizontal="center" vertical="center"/>
    </xf>
    <xf numFmtId="0" fontId="8" fillId="0" borderId="7" xfId="0" applyFont="1" applyFill="1" applyBorder="1" applyAlignment="1">
      <alignment horizontal="center" vertical="center"/>
    </xf>
    <xf numFmtId="0" fontId="8" fillId="0" borderId="27" xfId="0" applyFont="1" applyFill="1" applyBorder="1" applyAlignment="1">
      <alignment horizontal="center" vertical="center"/>
    </xf>
    <xf numFmtId="173" fontId="168" fillId="12" borderId="27" xfId="1" applyNumberFormat="1" applyFont="1" applyFill="1" applyBorder="1" applyAlignment="1">
      <alignment horizontal="center" vertical="center"/>
    </xf>
    <xf numFmtId="0" fontId="88" fillId="3" borderId="433" xfId="0" applyFont="1" applyFill="1" applyBorder="1" applyAlignment="1"/>
    <xf numFmtId="0" fontId="10" fillId="3" borderId="0" xfId="0" applyFont="1" applyFill="1" applyBorder="1" applyAlignment="1">
      <alignment vertical="center"/>
    </xf>
    <xf numFmtId="3" fontId="8" fillId="27" borderId="0" xfId="0" applyNumberFormat="1" applyFont="1" applyFill="1" applyAlignment="1">
      <alignment horizontal="center" vertical="center"/>
    </xf>
    <xf numFmtId="3" fontId="42" fillId="14" borderId="188" xfId="0" applyNumberFormat="1" applyFont="1" applyFill="1" applyBorder="1" applyAlignment="1">
      <alignment horizontal="center" vertical="center" wrapText="1"/>
    </xf>
    <xf numFmtId="175" fontId="41" fillId="3" borderId="1" xfId="0" applyNumberFormat="1" applyFont="1" applyFill="1" applyBorder="1" applyAlignment="1">
      <alignment horizontal="center" vertical="center"/>
    </xf>
    <xf numFmtId="3" fontId="56" fillId="14" borderId="187" xfId="0" quotePrefix="1" applyNumberFormat="1" applyFont="1" applyFill="1" applyBorder="1" applyAlignment="1">
      <alignment horizontal="center" vertical="center" wrapText="1"/>
    </xf>
    <xf numFmtId="3" fontId="56" fillId="14" borderId="188" xfId="0" quotePrefix="1" applyNumberFormat="1" applyFont="1" applyFill="1" applyBorder="1" applyAlignment="1">
      <alignment horizontal="center" vertical="center" wrapText="1"/>
    </xf>
    <xf numFmtId="0" fontId="8" fillId="0" borderId="0" xfId="0" applyFont="1" applyBorder="1" applyAlignment="1">
      <alignment horizontal="center" wrapText="1"/>
    </xf>
    <xf numFmtId="3" fontId="63" fillId="58" borderId="160" xfId="0" applyNumberFormat="1" applyFont="1" applyFill="1" applyBorder="1" applyAlignment="1">
      <alignment horizontal="right" vertical="center"/>
    </xf>
    <xf numFmtId="3" fontId="63" fillId="58" borderId="278" xfId="0" applyNumberFormat="1" applyFont="1" applyFill="1" applyBorder="1" applyAlignment="1">
      <alignment horizontal="right" vertical="center"/>
    </xf>
    <xf numFmtId="3" fontId="110" fillId="58" borderId="160" xfId="0" applyNumberFormat="1" applyFont="1" applyFill="1" applyBorder="1" applyAlignment="1">
      <alignment horizontal="right" vertical="center"/>
    </xf>
    <xf numFmtId="4" fontId="110" fillId="58" borderId="160" xfId="0" applyNumberFormat="1" applyFont="1" applyFill="1" applyBorder="1" applyAlignment="1">
      <alignment horizontal="right" vertical="center"/>
    </xf>
    <xf numFmtId="192" fontId="110" fillId="58" borderId="160" xfId="0" applyNumberFormat="1" applyFont="1" applyFill="1" applyBorder="1" applyAlignment="1">
      <alignment horizontal="right" vertical="center"/>
    </xf>
    <xf numFmtId="3" fontId="63" fillId="58" borderId="292" xfId="0" applyNumberFormat="1" applyFont="1" applyFill="1" applyBorder="1" applyAlignment="1">
      <alignment horizontal="right" vertical="center"/>
    </xf>
    <xf numFmtId="3" fontId="110" fillId="58" borderId="278" xfId="0" applyNumberFormat="1" applyFont="1" applyFill="1" applyBorder="1" applyAlignment="1">
      <alignment horizontal="right" vertical="center"/>
    </xf>
    <xf numFmtId="192" fontId="110" fillId="58" borderId="160" xfId="0" applyNumberFormat="1" applyFont="1" applyFill="1" applyBorder="1" applyAlignment="1">
      <alignment horizontal="center" vertical="center"/>
    </xf>
    <xf numFmtId="185" fontId="176" fillId="22" borderId="160" xfId="0" applyNumberFormat="1" applyFont="1" applyFill="1" applyBorder="1" applyAlignment="1">
      <alignment horizontal="center" vertical="center"/>
    </xf>
    <xf numFmtId="185" fontId="176" fillId="58" borderId="160" xfId="0" applyNumberFormat="1" applyFont="1" applyFill="1" applyBorder="1" applyAlignment="1">
      <alignment horizontal="center" vertical="center"/>
    </xf>
    <xf numFmtId="185" fontId="176" fillId="22" borderId="278" xfId="0" applyNumberFormat="1" applyFont="1" applyFill="1" applyBorder="1" applyAlignment="1">
      <alignment horizontal="center" vertical="center"/>
    </xf>
    <xf numFmtId="0" fontId="53" fillId="20" borderId="28" xfId="0" applyFont="1" applyFill="1" applyBorder="1" applyAlignment="1">
      <alignment horizontal="right" vertical="center"/>
    </xf>
    <xf numFmtId="0" fontId="1" fillId="3" borderId="5" xfId="0" applyFont="1" applyFill="1" applyBorder="1" applyAlignment="1">
      <alignment horizontal="right" vertical="center"/>
    </xf>
    <xf numFmtId="0" fontId="1" fillId="3" borderId="0" xfId="0" applyFont="1" applyFill="1" applyBorder="1" applyAlignment="1">
      <alignment horizontal="right" vertical="center"/>
    </xf>
    <xf numFmtId="0" fontId="33" fillId="20" borderId="9" xfId="0" applyFont="1" applyFill="1" applyBorder="1" applyAlignment="1">
      <alignment horizontal="left" vertical="center" indent="1"/>
    </xf>
    <xf numFmtId="0" fontId="32" fillId="0" borderId="150" xfId="0" applyFont="1" applyFill="1" applyBorder="1" applyAlignment="1">
      <alignment vertical="center"/>
    </xf>
    <xf numFmtId="0" fontId="32" fillId="0" borderId="151" xfId="0" applyFont="1" applyFill="1" applyBorder="1"/>
    <xf numFmtId="0" fontId="1" fillId="0" borderId="0" xfId="0" applyNumberFormat="1" applyFont="1" applyFill="1" applyBorder="1" applyAlignment="1">
      <alignment horizontal="center" vertical="center"/>
    </xf>
    <xf numFmtId="0" fontId="1" fillId="0" borderId="151" xfId="0" applyNumberFormat="1" applyFont="1" applyFill="1" applyBorder="1" applyAlignment="1">
      <alignment horizontal="center" vertical="center"/>
    </xf>
    <xf numFmtId="0" fontId="68" fillId="0" borderId="0" xfId="0" applyFont="1" applyFill="1" applyBorder="1" applyAlignment="1">
      <alignment vertical="top" wrapText="1"/>
    </xf>
    <xf numFmtId="0" fontId="10" fillId="0" borderId="0" xfId="0" applyFont="1" applyFill="1" applyBorder="1" applyAlignment="1">
      <alignment horizontal="right" vertical="center"/>
    </xf>
    <xf numFmtId="0" fontId="112" fillId="0" borderId="0" xfId="0" applyFont="1" applyFill="1" applyBorder="1" applyAlignment="1">
      <alignment horizontal="center"/>
    </xf>
    <xf numFmtId="0" fontId="34" fillId="0" borderId="0" xfId="0" applyFont="1" applyFill="1" applyBorder="1" applyAlignment="1">
      <alignment horizontal="center"/>
    </xf>
    <xf numFmtId="0" fontId="8" fillId="0" borderId="151" xfId="0" applyFont="1" applyFill="1" applyBorder="1" applyAlignment="1">
      <alignment horizontal="left" vertical="top" wrapText="1"/>
    </xf>
    <xf numFmtId="0" fontId="8" fillId="0" borderId="0" xfId="0" applyFont="1" applyFill="1" applyBorder="1" applyAlignment="1">
      <alignment horizontal="left" vertical="center"/>
    </xf>
    <xf numFmtId="3" fontId="10" fillId="0" borderId="9" xfId="1" applyNumberFormat="1" applyFont="1" applyFill="1" applyBorder="1" applyAlignment="1">
      <alignment horizontal="center" vertical="center"/>
    </xf>
    <xf numFmtId="3" fontId="10" fillId="0" borderId="27" xfId="1" applyNumberFormat="1" applyFont="1" applyFill="1" applyBorder="1" applyAlignment="1">
      <alignment horizontal="center" vertical="center"/>
    </xf>
    <xf numFmtId="3" fontId="10" fillId="0" borderId="10" xfId="1" applyNumberFormat="1" applyFont="1" applyFill="1" applyBorder="1" applyAlignment="1">
      <alignment horizontal="center" vertical="center"/>
    </xf>
    <xf numFmtId="0" fontId="68" fillId="0" borderId="0" xfId="0" applyFont="1" applyFill="1" applyBorder="1" applyAlignment="1">
      <alignment horizontal="left" vertical="top" wrapText="1"/>
    </xf>
    <xf numFmtId="1" fontId="10" fillId="0" borderId="147" xfId="0" applyNumberFormat="1" applyFont="1" applyFill="1" applyBorder="1" applyAlignment="1">
      <alignment horizontal="center" vertical="center"/>
    </xf>
    <xf numFmtId="1" fontId="1" fillId="0" borderId="147" xfId="1" applyNumberFormat="1" applyFont="1" applyFill="1" applyBorder="1" applyAlignment="1">
      <alignment horizontal="center" vertical="center"/>
    </xf>
    <xf numFmtId="1" fontId="10" fillId="0" borderId="147" xfId="1" applyNumberFormat="1" applyFont="1" applyFill="1" applyBorder="1" applyAlignment="1">
      <alignment horizontal="center" vertical="center"/>
    </xf>
    <xf numFmtId="0" fontId="32" fillId="3" borderId="115" xfId="0" applyFont="1" applyFill="1" applyBorder="1"/>
    <xf numFmtId="0" fontId="32" fillId="3" borderId="148" xfId="0" applyFont="1" applyFill="1" applyBorder="1"/>
    <xf numFmtId="0" fontId="8" fillId="3" borderId="148" xfId="0" applyFont="1" applyFill="1" applyBorder="1" applyAlignment="1">
      <alignment horizontal="right" vertical="center"/>
    </xf>
    <xf numFmtId="0" fontId="8" fillId="3" borderId="149" xfId="0" applyFont="1" applyFill="1" applyBorder="1" applyAlignment="1">
      <alignment horizontal="right" vertical="center"/>
    </xf>
    <xf numFmtId="0" fontId="32" fillId="3" borderId="150" xfId="0" applyFont="1" applyFill="1" applyBorder="1"/>
    <xf numFmtId="0" fontId="32" fillId="3" borderId="0" xfId="0" applyFont="1" applyFill="1" applyBorder="1"/>
    <xf numFmtId="0" fontId="32" fillId="3" borderId="151" xfId="0" applyFont="1" applyFill="1" applyBorder="1"/>
    <xf numFmtId="0" fontId="85" fillId="3" borderId="0" xfId="0" applyFont="1" applyFill="1" applyBorder="1" applyAlignment="1">
      <alignment horizontal="right"/>
    </xf>
    <xf numFmtId="0" fontId="73" fillId="3" borderId="0" xfId="0" applyFont="1" applyFill="1" applyBorder="1"/>
    <xf numFmtId="0" fontId="1" fillId="3" borderId="0" xfId="0" applyFont="1" applyFill="1" applyBorder="1" applyAlignment="1">
      <alignment horizontal="left" vertical="center" indent="1"/>
    </xf>
    <xf numFmtId="0" fontId="1" fillId="3" borderId="151" xfId="0" applyFont="1" applyFill="1" applyBorder="1" applyAlignment="1">
      <alignment horizontal="left" vertical="center" indent="1"/>
    </xf>
    <xf numFmtId="0" fontId="32" fillId="3" borderId="0" xfId="0" applyFont="1" applyFill="1" applyBorder="1" applyAlignment="1"/>
    <xf numFmtId="0" fontId="32" fillId="3" borderId="0" xfId="0" applyFont="1" applyFill="1"/>
    <xf numFmtId="0" fontId="68" fillId="3" borderId="0" xfId="0" applyFont="1" applyFill="1" applyBorder="1" applyAlignment="1">
      <alignment vertical="top" wrapText="1"/>
    </xf>
    <xf numFmtId="0" fontId="68" fillId="3" borderId="0" xfId="0" applyFont="1" applyFill="1" applyBorder="1"/>
    <xf numFmtId="0" fontId="98" fillId="3" borderId="0" xfId="0" applyFont="1" applyFill="1" applyBorder="1"/>
    <xf numFmtId="0" fontId="51" fillId="3" borderId="0" xfId="0" applyFont="1" applyFill="1" applyBorder="1" applyAlignment="1">
      <alignment vertical="center"/>
    </xf>
    <xf numFmtId="0" fontId="32" fillId="3" borderId="0" xfId="0" applyFont="1" applyFill="1" applyBorder="1" applyAlignment="1">
      <alignment horizontal="left" indent="1"/>
    </xf>
    <xf numFmtId="0" fontId="8" fillId="3" borderId="0" xfId="0" applyFont="1" applyFill="1" applyBorder="1" applyAlignment="1">
      <alignment horizontal="left" indent="1"/>
    </xf>
    <xf numFmtId="0" fontId="6" fillId="3" borderId="0" xfId="0" quotePrefix="1" applyFont="1" applyFill="1" applyBorder="1" applyAlignment="1">
      <alignment horizontal="center"/>
    </xf>
    <xf numFmtId="0" fontId="6" fillId="3" borderId="0" xfId="0" applyFont="1" applyFill="1" applyBorder="1" applyAlignment="1">
      <alignment horizontal="center"/>
    </xf>
    <xf numFmtId="0" fontId="8" fillId="3" borderId="0" xfId="0" applyFont="1" applyFill="1" applyBorder="1" applyAlignment="1">
      <alignment horizontal="center" vertical="center"/>
    </xf>
    <xf numFmtId="0" fontId="8" fillId="3" borderId="0" xfId="0" applyFont="1" applyFill="1" applyBorder="1" applyAlignment="1">
      <alignment horizontal="center"/>
    </xf>
    <xf numFmtId="0" fontId="112" fillId="3" borderId="0" xfId="0" applyFont="1" applyFill="1" applyBorder="1" applyAlignment="1">
      <alignment horizontal="center"/>
    </xf>
    <xf numFmtId="0" fontId="174" fillId="3" borderId="0" xfId="0" applyFont="1" applyFill="1" applyBorder="1" applyAlignment="1"/>
    <xf numFmtId="0" fontId="6" fillId="3" borderId="0" xfId="0" applyFont="1" applyFill="1" applyBorder="1" applyAlignment="1"/>
    <xf numFmtId="0" fontId="124" fillId="3" borderId="0" xfId="0" applyFont="1" applyFill="1" applyBorder="1" applyAlignment="1"/>
    <xf numFmtId="0" fontId="126" fillId="3" borderId="0" xfId="0" applyFont="1" applyFill="1" applyBorder="1" applyAlignment="1">
      <alignment horizontal="right"/>
    </xf>
    <xf numFmtId="0" fontId="34" fillId="3" borderId="0" xfId="0" applyFont="1" applyFill="1" applyBorder="1" applyAlignment="1">
      <alignment horizontal="center" vertical="center"/>
    </xf>
    <xf numFmtId="0" fontId="34" fillId="3" borderId="0" xfId="0" applyFont="1" applyFill="1" applyBorder="1" applyAlignment="1"/>
    <xf numFmtId="0" fontId="34" fillId="3" borderId="0" xfId="0" applyFont="1" applyFill="1" applyBorder="1" applyAlignment="1">
      <alignment horizontal="center"/>
    </xf>
    <xf numFmtId="3" fontId="10" fillId="3" borderId="0" xfId="0" applyNumberFormat="1" applyFont="1" applyFill="1" applyBorder="1" applyAlignment="1">
      <alignment horizontal="right" vertical="center" indent="1"/>
    </xf>
    <xf numFmtId="0" fontId="34" fillId="3" borderId="0" xfId="0" applyFont="1" applyFill="1" applyBorder="1"/>
    <xf numFmtId="0" fontId="8" fillId="3" borderId="0" xfId="0" applyFont="1" applyFill="1" applyBorder="1" applyAlignment="1">
      <alignment horizontal="center" vertical="center" wrapText="1"/>
    </xf>
    <xf numFmtId="0" fontId="33" fillId="3" borderId="0" xfId="0" applyFont="1" applyFill="1" applyBorder="1" applyAlignment="1">
      <alignment horizontal="center" vertical="center" wrapText="1"/>
    </xf>
    <xf numFmtId="0" fontId="33" fillId="3" borderId="0" xfId="0" applyFont="1" applyFill="1" applyBorder="1" applyAlignment="1">
      <alignment wrapText="1"/>
    </xf>
    <xf numFmtId="0" fontId="10" fillId="3" borderId="0" xfId="0" applyFont="1" applyFill="1" applyBorder="1" applyAlignment="1">
      <alignment horizontal="center" wrapText="1"/>
    </xf>
    <xf numFmtId="0" fontId="32" fillId="3" borderId="0" xfId="0" applyFont="1" applyFill="1" applyAlignment="1">
      <alignment vertical="center"/>
    </xf>
    <xf numFmtId="0" fontId="32" fillId="3" borderId="150" xfId="0" applyFont="1" applyFill="1" applyBorder="1" applyAlignment="1">
      <alignment vertical="center"/>
    </xf>
    <xf numFmtId="0" fontId="37" fillId="3" borderId="0" xfId="0" applyFont="1" applyFill="1" applyBorder="1"/>
    <xf numFmtId="0" fontId="24" fillId="3" borderId="0" xfId="0" applyFont="1" applyFill="1" applyBorder="1" applyAlignment="1">
      <alignment horizontal="left" vertical="center"/>
    </xf>
    <xf numFmtId="0" fontId="8" fillId="3" borderId="0" xfId="0" applyFont="1" applyFill="1" applyBorder="1" applyAlignment="1">
      <alignment horizontal="left" vertical="center" wrapText="1"/>
    </xf>
    <xf numFmtId="0" fontId="6" fillId="3" borderId="0" xfId="0" applyFont="1" applyFill="1" applyBorder="1"/>
    <xf numFmtId="0" fontId="8" fillId="3" borderId="151" xfId="0" applyFont="1" applyFill="1" applyBorder="1" applyAlignment="1">
      <alignment horizontal="left" vertical="center"/>
    </xf>
    <xf numFmtId="0" fontId="168" fillId="3" borderId="0" xfId="0" applyFont="1" applyFill="1" applyBorder="1" applyAlignment="1">
      <alignment horizontal="center"/>
    </xf>
    <xf numFmtId="0" fontId="33" fillId="3" borderId="0" xfId="0" applyFont="1" applyFill="1" applyBorder="1" applyAlignment="1">
      <alignment horizontal="center"/>
    </xf>
    <xf numFmtId="0" fontId="51" fillId="3" borderId="0" xfId="0" applyFont="1" applyFill="1" applyBorder="1" applyAlignment="1">
      <alignment horizontal="left"/>
    </xf>
    <xf numFmtId="0" fontId="10" fillId="3" borderId="0" xfId="0" applyFont="1" applyFill="1" applyBorder="1" applyAlignment="1">
      <alignment horizontal="left" vertical="center"/>
    </xf>
    <xf numFmtId="0" fontId="51" fillId="3" borderId="0" xfId="0" applyFont="1" applyFill="1" applyBorder="1" applyAlignment="1">
      <alignment horizontal="left" vertical="top"/>
    </xf>
    <xf numFmtId="0" fontId="8" fillId="3" borderId="0" xfId="0" applyFont="1" applyFill="1" applyBorder="1" applyAlignment="1">
      <alignment horizontal="center" vertical="top"/>
    </xf>
    <xf numFmtId="0" fontId="32" fillId="3" borderId="0" xfId="0" applyFont="1" applyFill="1" applyBorder="1" applyAlignment="1">
      <alignment vertical="center"/>
    </xf>
    <xf numFmtId="0" fontId="32" fillId="3" borderId="151" xfId="0" applyFont="1" applyFill="1" applyBorder="1" applyAlignment="1">
      <alignment vertical="center"/>
    </xf>
    <xf numFmtId="0" fontId="68" fillId="3" borderId="0" xfId="0" applyFont="1" applyFill="1" applyBorder="1" applyAlignment="1">
      <alignment vertical="top"/>
    </xf>
    <xf numFmtId="0" fontId="32" fillId="3" borderId="0" xfId="0" applyFont="1" applyFill="1" applyBorder="1" applyAlignment="1">
      <alignment horizontal="right" vertical="center"/>
    </xf>
    <xf numFmtId="0" fontId="10" fillId="3" borderId="0" xfId="0" applyFont="1" applyFill="1" applyBorder="1" applyAlignment="1">
      <alignment horizontal="right" vertical="center"/>
    </xf>
    <xf numFmtId="0" fontId="32" fillId="3" borderId="116" xfId="0" applyFont="1" applyFill="1" applyBorder="1"/>
    <xf numFmtId="0" fontId="32" fillId="3" borderId="152" xfId="0" applyFont="1" applyFill="1" applyBorder="1"/>
    <xf numFmtId="0" fontId="32" fillId="3" borderId="153" xfId="0" applyFont="1" applyFill="1" applyBorder="1"/>
    <xf numFmtId="0" fontId="6" fillId="3" borderId="13" xfId="0" applyFont="1" applyFill="1" applyBorder="1" applyAlignment="1">
      <alignment vertical="center"/>
    </xf>
    <xf numFmtId="0" fontId="32" fillId="3" borderId="13" xfId="0" applyFont="1" applyFill="1" applyBorder="1"/>
    <xf numFmtId="0" fontId="1" fillId="3" borderId="258" xfId="0" applyFont="1" applyFill="1" applyBorder="1" applyAlignment="1">
      <alignment horizontal="right" vertical="center"/>
    </xf>
    <xf numFmtId="0" fontId="32" fillId="3" borderId="29" xfId="0" applyFont="1" applyFill="1" applyBorder="1"/>
    <xf numFmtId="0" fontId="1" fillId="3" borderId="257" xfId="0" applyFont="1" applyFill="1" applyBorder="1" applyAlignment="1">
      <alignment horizontal="right" vertical="center"/>
    </xf>
    <xf numFmtId="0" fontId="10" fillId="3" borderId="29" xfId="0" applyFont="1" applyFill="1" applyBorder="1" applyAlignment="1">
      <alignment horizontal="right" vertical="center"/>
    </xf>
    <xf numFmtId="0" fontId="30" fillId="3" borderId="0" xfId="0" applyFont="1" applyFill="1" applyBorder="1" applyAlignment="1">
      <alignment horizontal="right" vertical="center"/>
    </xf>
    <xf numFmtId="0" fontId="177" fillId="3" borderId="0" xfId="0" applyFont="1" applyFill="1" applyBorder="1" applyAlignment="1">
      <alignment horizontal="right" vertical="center"/>
    </xf>
    <xf numFmtId="0" fontId="68" fillId="3" borderId="0" xfId="0" applyFont="1" applyFill="1" applyBorder="1" applyAlignment="1">
      <alignment horizontal="left"/>
    </xf>
    <xf numFmtId="0" fontId="32" fillId="3" borderId="0" xfId="0" applyFont="1" applyFill="1" applyBorder="1" applyAlignment="1">
      <alignment horizontal="left"/>
    </xf>
    <xf numFmtId="0" fontId="68" fillId="3" borderId="0" xfId="0" applyFont="1" applyFill="1" applyBorder="1" applyAlignment="1">
      <alignment horizontal="left" vertical="top"/>
    </xf>
    <xf numFmtId="9" fontId="112" fillId="0" borderId="51" xfId="0" applyNumberFormat="1" applyFont="1" applyFill="1" applyBorder="1" applyAlignment="1">
      <alignment horizontal="center" vertical="center"/>
    </xf>
    <xf numFmtId="0" fontId="34" fillId="3" borderId="0" xfId="0" applyFont="1" applyFill="1" applyBorder="1" applyAlignment="1">
      <alignment horizontal="right" vertical="center"/>
    </xf>
    <xf numFmtId="178" fontId="23" fillId="0" borderId="477" xfId="1" applyNumberFormat="1" applyFont="1" applyFill="1" applyBorder="1" applyAlignment="1">
      <alignment horizontal="center" vertical="center"/>
    </xf>
    <xf numFmtId="178" fontId="23" fillId="0" borderId="478" xfId="1" applyNumberFormat="1" applyFont="1" applyFill="1" applyBorder="1" applyAlignment="1">
      <alignment horizontal="center" vertical="center"/>
    </xf>
    <xf numFmtId="178" fontId="23" fillId="0" borderId="479" xfId="1" applyNumberFormat="1" applyFont="1" applyFill="1" applyBorder="1" applyAlignment="1">
      <alignment horizontal="center" vertical="center"/>
    </xf>
    <xf numFmtId="178" fontId="8" fillId="0" borderId="477" xfId="1" quotePrefix="1" applyNumberFormat="1" applyFont="1" applyFill="1" applyBorder="1" applyAlignment="1">
      <alignment horizontal="center" vertical="center"/>
    </xf>
    <xf numFmtId="178" fontId="8" fillId="0" borderId="478" xfId="1" applyNumberFormat="1" applyFont="1" applyFill="1" applyBorder="1" applyAlignment="1">
      <alignment horizontal="center" vertical="center"/>
    </xf>
    <xf numFmtId="178" fontId="8" fillId="0" borderId="479" xfId="1" applyNumberFormat="1" applyFont="1" applyFill="1" applyBorder="1" applyAlignment="1">
      <alignment horizontal="center" vertical="center"/>
    </xf>
    <xf numFmtId="0" fontId="30" fillId="0" borderId="0" xfId="0" applyFont="1" applyAlignment="1">
      <alignment vertical="center"/>
    </xf>
    <xf numFmtId="197" fontId="168" fillId="13" borderId="27" xfId="1" applyNumberFormat="1" applyFont="1" applyFill="1" applyBorder="1" applyAlignment="1">
      <alignment horizontal="center" vertical="center"/>
    </xf>
    <xf numFmtId="0" fontId="21" fillId="9" borderId="286" xfId="0" applyFont="1" applyFill="1" applyBorder="1" applyAlignment="1">
      <alignment horizontal="center" vertical="center"/>
    </xf>
    <xf numFmtId="3" fontId="92" fillId="0" borderId="51" xfId="0" applyNumberFormat="1" applyFont="1" applyFill="1" applyBorder="1" applyAlignment="1">
      <alignment horizontal="center" vertical="center"/>
    </xf>
    <xf numFmtId="0" fontId="8" fillId="0" borderId="0" xfId="0" quotePrefix="1" applyFont="1" applyAlignment="1">
      <alignment horizontal="center"/>
    </xf>
    <xf numFmtId="0" fontId="179" fillId="0" borderId="0" xfId="0" applyFont="1" applyAlignment="1">
      <alignment vertical="center"/>
    </xf>
    <xf numFmtId="0" fontId="41" fillId="27" borderId="0" xfId="0" applyFont="1" applyFill="1" applyAlignment="1">
      <alignment horizontal="center"/>
    </xf>
    <xf numFmtId="192" fontId="10" fillId="3" borderId="160" xfId="0" applyNumberFormat="1" applyFont="1" applyFill="1" applyBorder="1" applyAlignment="1">
      <alignment horizontal="right" vertical="center"/>
    </xf>
    <xf numFmtId="178" fontId="175" fillId="0" borderId="475" xfId="1" applyNumberFormat="1" applyFont="1" applyFill="1" applyBorder="1" applyAlignment="1">
      <alignment horizontal="center" vertical="center"/>
    </xf>
    <xf numFmtId="178" fontId="175" fillId="0" borderId="238" xfId="1" applyNumberFormat="1" applyFont="1" applyFill="1" applyBorder="1" applyAlignment="1">
      <alignment horizontal="center" vertical="center"/>
    </xf>
    <xf numFmtId="178" fontId="175" fillId="0" borderId="336" xfId="1" applyNumberFormat="1" applyFont="1" applyFill="1" applyBorder="1" applyAlignment="1">
      <alignment horizontal="center" vertical="center"/>
    </xf>
    <xf numFmtId="178" fontId="175" fillId="0" borderId="239" xfId="1" applyNumberFormat="1" applyFont="1" applyFill="1" applyBorder="1" applyAlignment="1">
      <alignment horizontal="center" vertical="center"/>
    </xf>
    <xf numFmtId="178" fontId="175" fillId="0" borderId="293" xfId="1" applyNumberFormat="1" applyFont="1" applyFill="1" applyBorder="1" applyAlignment="1">
      <alignment horizontal="center" vertical="center"/>
    </xf>
    <xf numFmtId="178" fontId="175" fillId="0" borderId="160" xfId="1" applyNumberFormat="1" applyFont="1" applyFill="1" applyBorder="1" applyAlignment="1">
      <alignment horizontal="center" vertical="center"/>
    </xf>
    <xf numFmtId="178" fontId="175" fillId="0" borderId="292" xfId="1" applyNumberFormat="1" applyFont="1" applyFill="1" applyBorder="1" applyAlignment="1">
      <alignment horizontal="center" vertical="center"/>
    </xf>
    <xf numFmtId="178" fontId="175" fillId="0" borderId="241" xfId="1" applyNumberFormat="1" applyFont="1" applyFill="1" applyBorder="1" applyAlignment="1">
      <alignment horizontal="center" vertical="center"/>
    </xf>
    <xf numFmtId="178" fontId="175" fillId="0" borderId="476" xfId="1" applyNumberFormat="1" applyFont="1" applyFill="1" applyBorder="1" applyAlignment="1">
      <alignment horizontal="center" vertical="center"/>
    </xf>
    <xf numFmtId="178" fontId="175" fillId="0" borderId="243" xfId="1" applyNumberFormat="1" applyFont="1" applyFill="1" applyBorder="1" applyAlignment="1">
      <alignment horizontal="center" vertical="center"/>
    </xf>
    <xf numFmtId="178" fontId="175" fillId="0" borderId="337" xfId="1" applyNumberFormat="1" applyFont="1" applyFill="1" applyBorder="1" applyAlignment="1">
      <alignment horizontal="center" vertical="center"/>
    </xf>
    <xf numFmtId="178" fontId="175" fillId="0" borderId="244" xfId="1" applyNumberFormat="1" applyFont="1" applyFill="1" applyBorder="1" applyAlignment="1">
      <alignment horizontal="center" vertical="center"/>
    </xf>
    <xf numFmtId="0" fontId="1" fillId="0" borderId="0" xfId="0" applyFont="1" applyAlignment="1">
      <alignment horizontal="left" vertical="top"/>
    </xf>
    <xf numFmtId="0" fontId="33" fillId="12" borderId="406" xfId="1" applyNumberFormat="1" applyFont="1" applyFill="1" applyBorder="1" applyAlignment="1">
      <alignment horizontal="center" vertical="center"/>
    </xf>
    <xf numFmtId="0" fontId="33" fillId="12" borderId="280" xfId="1" applyNumberFormat="1" applyFont="1" applyFill="1" applyBorder="1" applyAlignment="1">
      <alignment horizontal="center" vertical="center"/>
    </xf>
    <xf numFmtId="0" fontId="33" fillId="12" borderId="310" xfId="1" applyNumberFormat="1" applyFont="1" applyFill="1" applyBorder="1" applyAlignment="1">
      <alignment horizontal="center" vertical="center"/>
    </xf>
    <xf numFmtId="0" fontId="32" fillId="61" borderId="40" xfId="0" applyFont="1" applyFill="1" applyBorder="1"/>
    <xf numFmtId="0" fontId="32" fillId="61" borderId="227" xfId="0" applyFont="1" applyFill="1" applyBorder="1"/>
    <xf numFmtId="0" fontId="32" fillId="27" borderId="0" xfId="0" applyFont="1" applyFill="1" applyAlignment="1">
      <alignment horizontal="center"/>
    </xf>
    <xf numFmtId="0" fontId="32" fillId="61" borderId="40" xfId="0" applyFont="1" applyFill="1" applyBorder="1" applyAlignment="1">
      <alignment horizontal="center"/>
    </xf>
    <xf numFmtId="0" fontId="41" fillId="3" borderId="10" xfId="0" applyFont="1" applyFill="1" applyBorder="1" applyAlignment="1">
      <alignment vertical="center" wrapText="1"/>
    </xf>
    <xf numFmtId="0" fontId="181" fillId="0" borderId="0" xfId="0" applyFont="1" applyAlignment="1">
      <alignment horizontal="center" vertical="center"/>
    </xf>
    <xf numFmtId="0" fontId="48" fillId="0" borderId="0" xfId="0" applyFont="1" applyAlignment="1">
      <alignment vertical="center"/>
    </xf>
    <xf numFmtId="0" fontId="182" fillId="0" borderId="0" xfId="0" applyFont="1" applyAlignment="1">
      <alignment horizontal="center" vertical="center" wrapText="1"/>
    </xf>
    <xf numFmtId="0" fontId="23" fillId="0" borderId="0" xfId="0" applyFont="1" applyAlignment="1">
      <alignment horizontal="left" vertical="center"/>
    </xf>
    <xf numFmtId="2" fontId="175" fillId="0" borderId="160" xfId="0" applyNumberFormat="1" applyFont="1" applyFill="1" applyBorder="1" applyAlignment="1">
      <alignment horizontal="center" vertical="center"/>
    </xf>
    <xf numFmtId="2" fontId="127" fillId="0" borderId="160" xfId="0" applyNumberFormat="1" applyFont="1" applyFill="1" applyBorder="1" applyAlignment="1">
      <alignment horizontal="center" vertical="center"/>
    </xf>
    <xf numFmtId="0" fontId="41" fillId="0" borderId="84" xfId="0" quotePrefix="1" applyFont="1" applyFill="1" applyBorder="1" applyAlignment="1">
      <alignment horizontal="center" vertical="center"/>
    </xf>
    <xf numFmtId="49" fontId="23" fillId="26" borderId="147" xfId="0" applyNumberFormat="1" applyFont="1" applyFill="1" applyBorder="1" applyAlignment="1">
      <alignment horizontal="center" vertical="center" wrapText="1"/>
    </xf>
    <xf numFmtId="49" fontId="8" fillId="0" borderId="0" xfId="0" applyNumberFormat="1" applyFont="1" applyAlignment="1">
      <alignment vertical="center"/>
    </xf>
    <xf numFmtId="0" fontId="8" fillId="0" borderId="7" xfId="0" applyNumberFormat="1" applyFont="1" applyBorder="1" applyAlignment="1">
      <alignment vertical="center"/>
    </xf>
    <xf numFmtId="0" fontId="11" fillId="12" borderId="117" xfId="1" applyNumberFormat="1" applyFont="1" applyFill="1" applyBorder="1" applyAlignment="1">
      <alignment horizontal="center" vertical="center"/>
    </xf>
    <xf numFmtId="0" fontId="11" fillId="12" borderId="50" xfId="1" applyNumberFormat="1" applyFont="1" applyFill="1" applyBorder="1" applyAlignment="1">
      <alignment horizontal="center" vertical="center"/>
    </xf>
    <xf numFmtId="0" fontId="11" fillId="12" borderId="309" xfId="1" applyNumberFormat="1" applyFont="1" applyFill="1" applyBorder="1" applyAlignment="1">
      <alignment horizontal="center" vertical="center"/>
    </xf>
    <xf numFmtId="0" fontId="63" fillId="2" borderId="51" xfId="0" applyNumberFormat="1" applyFont="1" applyFill="1" applyBorder="1" applyAlignment="1">
      <alignment horizontal="center" vertical="center"/>
    </xf>
    <xf numFmtId="0" fontId="8" fillId="12" borderId="52" xfId="0" applyNumberFormat="1" applyFont="1" applyFill="1" applyBorder="1" applyAlignment="1">
      <alignment horizontal="center" vertical="center"/>
    </xf>
    <xf numFmtId="0" fontId="8" fillId="12" borderId="53" xfId="0" applyNumberFormat="1" applyFont="1" applyFill="1" applyBorder="1" applyAlignment="1">
      <alignment horizontal="center" vertical="center"/>
    </xf>
    <xf numFmtId="0" fontId="8" fillId="49" borderId="147" xfId="0" applyFont="1" applyFill="1" applyBorder="1" applyAlignment="1">
      <alignment horizontal="center" vertical="center" wrapText="1"/>
    </xf>
    <xf numFmtId="0" fontId="8" fillId="0" borderId="480" xfId="0" applyNumberFormat="1" applyFont="1" applyBorder="1" applyAlignment="1">
      <alignment vertical="center"/>
    </xf>
    <xf numFmtId="0" fontId="8" fillId="0" borderId="482" xfId="0" applyNumberFormat="1" applyFont="1" applyBorder="1" applyAlignment="1">
      <alignment vertical="center"/>
    </xf>
    <xf numFmtId="0" fontId="8" fillId="0" borderId="481" xfId="0" applyNumberFormat="1" applyFont="1" applyBorder="1" applyAlignment="1">
      <alignment vertical="center"/>
    </xf>
    <xf numFmtId="0" fontId="8" fillId="22" borderId="7" xfId="0" applyNumberFormat="1" applyFont="1" applyFill="1" applyBorder="1" applyAlignment="1">
      <alignment vertical="center"/>
    </xf>
    <xf numFmtId="0" fontId="8" fillId="22" borderId="480" xfId="0" applyNumberFormat="1" applyFont="1" applyFill="1" applyBorder="1" applyAlignment="1">
      <alignment vertical="center"/>
    </xf>
    <xf numFmtId="0" fontId="8" fillId="0" borderId="147" xfId="0" applyNumberFormat="1" applyFont="1" applyFill="1" applyBorder="1" applyAlignment="1">
      <alignment horizontal="center" vertical="center"/>
    </xf>
    <xf numFmtId="0" fontId="8" fillId="0" borderId="0" xfId="0" applyNumberFormat="1" applyFont="1" applyAlignment="1">
      <alignment vertical="center"/>
    </xf>
    <xf numFmtId="0" fontId="8" fillId="0" borderId="221" xfId="0" applyNumberFormat="1" applyFont="1" applyFill="1" applyBorder="1" applyAlignment="1">
      <alignment horizontal="center" vertical="center"/>
    </xf>
    <xf numFmtId="0" fontId="8" fillId="0" borderId="12" xfId="0" applyNumberFormat="1" applyFont="1" applyFill="1" applyBorder="1" applyAlignment="1">
      <alignment horizontal="center" vertical="center"/>
    </xf>
    <xf numFmtId="0" fontId="8" fillId="3" borderId="483" xfId="0" applyNumberFormat="1" applyFont="1" applyFill="1" applyBorder="1" applyAlignment="1">
      <alignment vertical="center"/>
    </xf>
    <xf numFmtId="0" fontId="8" fillId="0" borderId="484" xfId="0" applyNumberFormat="1" applyFont="1" applyFill="1" applyBorder="1" applyAlignment="1">
      <alignment vertical="center"/>
    </xf>
    <xf numFmtId="0" fontId="8" fillId="0" borderId="483" xfId="0" applyNumberFormat="1" applyFont="1" applyFill="1" applyBorder="1" applyAlignment="1">
      <alignment vertical="center"/>
    </xf>
    <xf numFmtId="0" fontId="8" fillId="0" borderId="485" xfId="0" applyNumberFormat="1" applyFont="1" applyFill="1" applyBorder="1" applyAlignment="1">
      <alignment vertical="center"/>
    </xf>
    <xf numFmtId="0" fontId="8" fillId="0" borderId="486" xfId="0" applyNumberFormat="1" applyFont="1" applyFill="1" applyBorder="1" applyAlignment="1">
      <alignment vertical="center"/>
    </xf>
    <xf numFmtId="0" fontId="8" fillId="22" borderId="481" xfId="0" applyNumberFormat="1" applyFont="1" applyFill="1" applyBorder="1" applyAlignment="1">
      <alignment vertical="center"/>
    </xf>
    <xf numFmtId="0" fontId="8" fillId="0" borderId="487" xfId="0" applyNumberFormat="1" applyFont="1" applyFill="1" applyBorder="1" applyAlignment="1">
      <alignment vertical="center"/>
    </xf>
    <xf numFmtId="0" fontId="8" fillId="0" borderId="161" xfId="0" quotePrefix="1" applyNumberFormat="1" applyFont="1" applyFill="1" applyBorder="1" applyAlignment="1">
      <alignment vertical="center"/>
    </xf>
    <xf numFmtId="0" fontId="8" fillId="0" borderId="16" xfId="0" applyNumberFormat="1" applyFont="1" applyBorder="1" applyAlignment="1">
      <alignment vertical="center"/>
    </xf>
    <xf numFmtId="0" fontId="8" fillId="22" borderId="16" xfId="0" applyNumberFormat="1" applyFont="1" applyFill="1" applyBorder="1" applyAlignment="1">
      <alignment vertical="center"/>
    </xf>
    <xf numFmtId="0" fontId="8" fillId="0" borderId="483" xfId="0" quotePrefix="1" applyNumberFormat="1" applyFont="1" applyFill="1" applyBorder="1" applyAlignment="1">
      <alignment vertical="center"/>
    </xf>
    <xf numFmtId="0" fontId="33" fillId="0" borderId="147" xfId="0" applyNumberFormat="1" applyFont="1" applyBorder="1" applyAlignment="1">
      <alignment horizontal="center" vertical="center"/>
    </xf>
    <xf numFmtId="0" fontId="8" fillId="12" borderId="147" xfId="0" applyNumberFormat="1" applyFont="1" applyFill="1" applyBorder="1" applyAlignment="1">
      <alignment horizontal="center" vertical="center"/>
    </xf>
    <xf numFmtId="3" fontId="8" fillId="62" borderId="147" xfId="0" applyNumberFormat="1" applyFont="1" applyFill="1" applyBorder="1" applyAlignment="1">
      <alignment horizontal="center" vertical="center" wrapText="1"/>
    </xf>
    <xf numFmtId="175" fontId="8" fillId="12" borderId="147" xfId="0" applyNumberFormat="1" applyFont="1" applyFill="1" applyBorder="1" applyAlignment="1">
      <alignment horizontal="center" vertical="center"/>
    </xf>
    <xf numFmtId="0" fontId="8" fillId="12" borderId="147" xfId="0" applyNumberFormat="1" applyFont="1" applyFill="1" applyBorder="1" applyAlignment="1">
      <alignment horizontal="left" vertical="center" indent="1"/>
    </xf>
    <xf numFmtId="171" fontId="8" fillId="0" borderId="147" xfId="0" applyNumberFormat="1" applyFont="1" applyBorder="1" applyAlignment="1">
      <alignment horizontal="left" vertical="center" wrapText="1" indent="1"/>
    </xf>
    <xf numFmtId="171" fontId="8" fillId="0" borderId="147" xfId="0" applyNumberFormat="1" applyFont="1" applyBorder="1" applyAlignment="1">
      <alignment horizontal="center" vertical="center"/>
    </xf>
    <xf numFmtId="185" fontId="8" fillId="0" borderId="147" xfId="0" applyNumberFormat="1" applyFont="1" applyBorder="1" applyAlignment="1">
      <alignment horizontal="left" vertical="center" indent="1"/>
    </xf>
    <xf numFmtId="0" fontId="8" fillId="12" borderId="52" xfId="0" applyNumberFormat="1" applyFont="1" applyFill="1" applyBorder="1" applyAlignment="1">
      <alignment horizontal="left" vertical="center" indent="1"/>
    </xf>
    <xf numFmtId="49" fontId="8" fillId="0" borderId="0" xfId="0" applyNumberFormat="1" applyFont="1"/>
    <xf numFmtId="0" fontId="8" fillId="0" borderId="147" xfId="0" applyNumberFormat="1" applyFont="1" applyBorder="1" applyAlignment="1">
      <alignment horizontal="center" vertical="center"/>
    </xf>
    <xf numFmtId="0" fontId="8" fillId="22" borderId="147" xfId="0" applyNumberFormat="1" applyFont="1" applyFill="1" applyBorder="1" applyAlignment="1">
      <alignment vertical="center"/>
    </xf>
    <xf numFmtId="0" fontId="43" fillId="32" borderId="0" xfId="0" applyFont="1" applyFill="1" applyBorder="1" applyAlignment="1">
      <alignment vertical="center"/>
    </xf>
    <xf numFmtId="0" fontId="43" fillId="34" borderId="11" xfId="0" applyFont="1" applyFill="1" applyBorder="1" applyAlignment="1">
      <alignment horizontal="left" vertical="center" indent="1"/>
    </xf>
    <xf numFmtId="0" fontId="4" fillId="34" borderId="11" xfId="0" applyFont="1" applyFill="1" applyBorder="1" applyAlignment="1">
      <alignment vertical="center"/>
    </xf>
    <xf numFmtId="0" fontId="4" fillId="34" borderId="25" xfId="0" applyFont="1" applyFill="1" applyBorder="1" applyAlignment="1">
      <alignment vertical="center"/>
    </xf>
    <xf numFmtId="0" fontId="8" fillId="12" borderId="488" xfId="0" applyNumberFormat="1" applyFont="1" applyFill="1" applyBorder="1" applyAlignment="1">
      <alignment horizontal="center" vertical="center"/>
    </xf>
    <xf numFmtId="0" fontId="8" fillId="12" borderId="221" xfId="0" applyNumberFormat="1" applyFont="1" applyFill="1" applyBorder="1" applyAlignment="1">
      <alignment horizontal="left" vertical="center" indent="1"/>
    </xf>
    <xf numFmtId="175" fontId="8" fillId="12" borderId="221" xfId="0" applyNumberFormat="1" applyFont="1" applyFill="1" applyBorder="1" applyAlignment="1">
      <alignment horizontal="center" vertical="center"/>
    </xf>
    <xf numFmtId="0" fontId="8" fillId="12" borderId="221" xfId="0" applyNumberFormat="1" applyFont="1" applyFill="1" applyBorder="1" applyAlignment="1">
      <alignment horizontal="center" vertical="center"/>
    </xf>
    <xf numFmtId="0" fontId="43" fillId="34" borderId="8" xfId="0" applyFont="1" applyFill="1" applyBorder="1"/>
    <xf numFmtId="0" fontId="43" fillId="34" borderId="8" xfId="0" applyFont="1" applyFill="1" applyBorder="1" applyAlignment="1">
      <alignment vertical="center"/>
    </xf>
    <xf numFmtId="0" fontId="8" fillId="0" borderId="0" xfId="0" applyNumberFormat="1" applyFont="1" applyFill="1" applyBorder="1" applyAlignment="1">
      <alignment vertical="center"/>
    </xf>
    <xf numFmtId="3" fontId="8" fillId="0" borderId="10" xfId="0" applyNumberFormat="1" applyFont="1" applyFill="1" applyBorder="1" applyAlignment="1">
      <alignment horizontal="center" vertical="center"/>
    </xf>
    <xf numFmtId="0" fontId="33" fillId="0" borderId="27" xfId="0" applyFont="1" applyBorder="1" applyAlignment="1">
      <alignment horizontal="center" vertical="center"/>
    </xf>
    <xf numFmtId="3" fontId="33" fillId="0" borderId="27" xfId="0" applyNumberFormat="1" applyFont="1" applyFill="1" applyBorder="1" applyAlignment="1">
      <alignment horizontal="center" vertical="center"/>
    </xf>
    <xf numFmtId="0" fontId="43" fillId="32" borderId="0" xfId="0" applyFont="1" applyFill="1" applyBorder="1" applyAlignment="1">
      <alignment vertical="top"/>
    </xf>
    <xf numFmtId="49" fontId="23" fillId="22" borderId="147" xfId="0" applyNumberFormat="1" applyFont="1" applyFill="1" applyBorder="1" applyAlignment="1">
      <alignment horizontal="center" vertical="center" wrapText="1"/>
    </xf>
    <xf numFmtId="0" fontId="90" fillId="22" borderId="147" xfId="0" applyNumberFormat="1" applyFont="1" applyFill="1" applyBorder="1" applyAlignment="1">
      <alignment horizontal="center" vertical="center" wrapText="1"/>
    </xf>
    <xf numFmtId="0" fontId="1" fillId="20" borderId="147" xfId="0" applyFont="1" applyFill="1" applyBorder="1" applyAlignment="1">
      <alignment horizontal="center" vertical="center" wrapText="1"/>
    </xf>
    <xf numFmtId="3" fontId="2" fillId="0" borderId="147" xfId="0" applyNumberFormat="1" applyFont="1" applyFill="1" applyBorder="1" applyAlignment="1">
      <alignment horizontal="right" vertical="center" indent="1"/>
    </xf>
    <xf numFmtId="15" fontId="2" fillId="0" borderId="147" xfId="0" applyNumberFormat="1" applyFont="1" applyFill="1" applyBorder="1" applyAlignment="1">
      <alignment horizontal="right" vertical="center" indent="1"/>
    </xf>
    <xf numFmtId="0" fontId="4" fillId="6" borderId="0" xfId="0" applyFont="1" applyFill="1" applyBorder="1"/>
    <xf numFmtId="3" fontId="8" fillId="3" borderId="0" xfId="0" quotePrefix="1" applyNumberFormat="1" applyFont="1" applyFill="1" applyBorder="1" applyAlignment="1">
      <alignment horizontal="right" vertical="center"/>
    </xf>
    <xf numFmtId="3" fontId="8" fillId="3" borderId="38" xfId="0" quotePrefix="1" applyNumberFormat="1" applyFont="1" applyFill="1" applyBorder="1" applyAlignment="1">
      <alignment horizontal="center" vertical="center"/>
    </xf>
    <xf numFmtId="0" fontId="4" fillId="39" borderId="0" xfId="0" applyFont="1" applyFill="1" applyBorder="1"/>
    <xf numFmtId="0" fontId="4" fillId="40" borderId="0" xfId="0" applyFont="1" applyFill="1" applyBorder="1"/>
    <xf numFmtId="3" fontId="8" fillId="0" borderId="147" xfId="0" applyNumberFormat="1" applyFont="1" applyFill="1" applyBorder="1" applyAlignment="1">
      <alignment horizontal="right" vertical="center" indent="1"/>
    </xf>
    <xf numFmtId="3" fontId="8" fillId="0" borderId="1" xfId="0" applyNumberFormat="1" applyFont="1" applyFill="1" applyBorder="1" applyAlignment="1">
      <alignment horizontal="right" vertical="center" indent="1"/>
    </xf>
    <xf numFmtId="171" fontId="8" fillId="0" borderId="147" xfId="0" applyNumberFormat="1" applyFont="1" applyFill="1" applyBorder="1" applyAlignment="1">
      <alignment horizontal="center" vertical="center"/>
    </xf>
    <xf numFmtId="3" fontId="8" fillId="0" borderId="7" xfId="0" applyNumberFormat="1" applyFont="1" applyFill="1" applyBorder="1" applyAlignment="1">
      <alignment horizontal="right" vertical="center" indent="1"/>
    </xf>
    <xf numFmtId="0" fontId="1" fillId="27" borderId="0" xfId="0" applyFont="1" applyFill="1" applyAlignment="1">
      <alignment horizontal="center" textRotation="90"/>
    </xf>
    <xf numFmtId="0" fontId="51" fillId="34" borderId="23" xfId="0" applyFont="1" applyFill="1" applyBorder="1" applyAlignment="1">
      <alignment horizontal="left" vertical="center"/>
    </xf>
    <xf numFmtId="171" fontId="8" fillId="0" borderId="147" xfId="0" applyNumberFormat="1" applyFont="1" applyFill="1" applyBorder="1" applyAlignment="1">
      <alignment vertical="center"/>
    </xf>
    <xf numFmtId="0" fontId="8" fillId="0" borderId="9" xfId="0" applyFont="1" applyFill="1" applyBorder="1" applyAlignment="1">
      <alignment horizontal="left" vertical="center" indent="2"/>
    </xf>
    <xf numFmtId="0" fontId="51" fillId="34" borderId="9" xfId="0" applyFont="1" applyFill="1" applyBorder="1" applyAlignment="1">
      <alignment horizontal="left" vertical="center" indent="1"/>
    </xf>
    <xf numFmtId="0" fontId="6" fillId="0" borderId="65" xfId="0" applyFont="1" applyFill="1" applyBorder="1" applyAlignment="1">
      <alignment horizontal="center" vertical="center"/>
    </xf>
    <xf numFmtId="0" fontId="6" fillId="0" borderId="27" xfId="0" applyFont="1" applyFill="1" applyBorder="1" applyAlignment="1">
      <alignment vertical="center"/>
    </xf>
    <xf numFmtId="0" fontId="43" fillId="34" borderId="10" xfId="0" applyFont="1" applyFill="1" applyBorder="1" applyAlignment="1">
      <alignment vertical="center"/>
    </xf>
    <xf numFmtId="0" fontId="24" fillId="0" borderId="10" xfId="0" applyFont="1" applyFill="1" applyBorder="1" applyAlignment="1">
      <alignment horizontal="left" vertical="center" indent="1"/>
    </xf>
    <xf numFmtId="3" fontId="8" fillId="0" borderId="9" xfId="0" applyNumberFormat="1" applyFont="1" applyFill="1" applyBorder="1" applyAlignment="1">
      <alignment horizontal="center" vertical="center"/>
    </xf>
    <xf numFmtId="3" fontId="8" fillId="3" borderId="7" xfId="0" applyNumberFormat="1" applyFont="1" applyFill="1" applyBorder="1" applyAlignment="1">
      <alignment horizontal="center" vertical="center" wrapText="1"/>
    </xf>
    <xf numFmtId="0" fontId="1" fillId="32" borderId="0" xfId="0" applyFont="1" applyFill="1" applyAlignment="1">
      <alignment horizontal="right" vertical="center"/>
    </xf>
    <xf numFmtId="0" fontId="1" fillId="61" borderId="40" xfId="0" applyFont="1" applyFill="1" applyBorder="1" applyAlignment="1">
      <alignment vertical="center"/>
    </xf>
    <xf numFmtId="0" fontId="65" fillId="0" borderId="0" xfId="0" applyFont="1" applyFill="1" applyBorder="1" applyAlignment="1">
      <alignment horizontal="center" vertical="center"/>
    </xf>
    <xf numFmtId="0" fontId="6" fillId="0" borderId="0" xfId="0" applyFont="1" applyBorder="1" applyAlignment="1">
      <alignment horizontal="right" vertical="center"/>
    </xf>
    <xf numFmtId="0" fontId="1" fillId="0" borderId="0" xfId="0" applyFont="1" applyAlignment="1">
      <alignment horizontal="left" vertical="top"/>
    </xf>
    <xf numFmtId="0" fontId="51" fillId="32" borderId="0" xfId="0" quotePrefix="1" applyFont="1" applyFill="1" applyBorder="1" applyAlignment="1">
      <alignment vertical="center"/>
    </xf>
    <xf numFmtId="0" fontId="4" fillId="32" borderId="167" xfId="0" applyFont="1" applyFill="1" applyBorder="1" applyAlignment="1">
      <alignment vertical="center"/>
    </xf>
    <xf numFmtId="0" fontId="51" fillId="32" borderId="167" xfId="0" quotePrefix="1" applyFont="1" applyFill="1" applyBorder="1" applyAlignment="1">
      <alignment vertical="top"/>
    </xf>
    <xf numFmtId="3" fontId="10" fillId="12" borderId="9" xfId="0" applyNumberFormat="1" applyFont="1" applyFill="1" applyBorder="1" applyAlignment="1">
      <alignment horizontal="center" vertical="center"/>
    </xf>
    <xf numFmtId="3" fontId="6" fillId="3" borderId="9" xfId="0" applyNumberFormat="1" applyFont="1" applyFill="1" applyBorder="1" applyAlignment="1">
      <alignment horizontal="right" vertical="center" indent="1"/>
    </xf>
    <xf numFmtId="0" fontId="33" fillId="27" borderId="0" xfId="0" applyFont="1" applyFill="1"/>
    <xf numFmtId="0" fontId="8" fillId="0" borderId="489" xfId="0" applyFont="1" applyFill="1" applyBorder="1" applyAlignment="1">
      <alignment horizontal="left" vertical="center" indent="1"/>
    </xf>
    <xf numFmtId="0" fontId="33" fillId="0" borderId="506" xfId="0" applyFont="1" applyFill="1" applyBorder="1" applyAlignment="1">
      <alignment horizontal="left" vertical="center" indent="1"/>
    </xf>
    <xf numFmtId="191" fontId="8" fillId="0" borderId="495" xfId="0" applyNumberFormat="1" applyFont="1" applyBorder="1" applyAlignment="1">
      <alignment horizontal="center" vertical="center"/>
    </xf>
    <xf numFmtId="191" fontId="8" fillId="0" borderId="496" xfId="0" applyNumberFormat="1" applyFont="1" applyBorder="1" applyAlignment="1">
      <alignment horizontal="center" vertical="center"/>
    </xf>
    <xf numFmtId="191" fontId="8" fillId="0" borderId="497" xfId="0" applyNumberFormat="1" applyFont="1" applyBorder="1" applyAlignment="1">
      <alignment horizontal="center" vertical="center"/>
    </xf>
    <xf numFmtId="191" fontId="8" fillId="0" borderId="498" xfId="0" applyNumberFormat="1" applyFont="1" applyBorder="1" applyAlignment="1">
      <alignment horizontal="center" vertical="center"/>
    </xf>
    <xf numFmtId="191" fontId="8" fillId="0" borderId="370" xfId="0" applyNumberFormat="1" applyFont="1" applyBorder="1" applyAlignment="1">
      <alignment horizontal="center" vertical="center"/>
    </xf>
    <xf numFmtId="191" fontId="8" fillId="0" borderId="371" xfId="0" applyNumberFormat="1" applyFont="1" applyBorder="1" applyAlignment="1">
      <alignment horizontal="center" vertical="center"/>
    </xf>
    <xf numFmtId="191" fontId="8" fillId="0" borderId="372" xfId="0" applyNumberFormat="1" applyFont="1" applyBorder="1" applyAlignment="1">
      <alignment horizontal="center" vertical="center"/>
    </xf>
    <xf numFmtId="191" fontId="8" fillId="0" borderId="373" xfId="0" applyNumberFormat="1" applyFont="1" applyBorder="1" applyAlignment="1">
      <alignment horizontal="center" vertical="center"/>
    </xf>
    <xf numFmtId="191" fontId="8" fillId="0" borderId="490" xfId="0" applyNumberFormat="1" applyFont="1" applyBorder="1" applyAlignment="1">
      <alignment horizontal="center" vertical="center"/>
    </xf>
    <xf numFmtId="191" fontId="8" fillId="0" borderId="491" xfId="0" applyNumberFormat="1" applyFont="1" applyBorder="1" applyAlignment="1">
      <alignment horizontal="center" vertical="center"/>
    </xf>
    <xf numFmtId="191" fontId="8" fillId="0" borderId="492" xfId="0" applyNumberFormat="1" applyFont="1" applyBorder="1" applyAlignment="1">
      <alignment horizontal="center" vertical="center"/>
    </xf>
    <xf numFmtId="191" fontId="8" fillId="0" borderId="493" xfId="0" applyNumberFormat="1" applyFont="1" applyBorder="1" applyAlignment="1">
      <alignment horizontal="center" vertical="center"/>
    </xf>
    <xf numFmtId="191" fontId="8" fillId="0" borderId="317" xfId="0" quotePrefix="1" applyNumberFormat="1" applyFont="1" applyBorder="1" applyAlignment="1">
      <alignment horizontal="center" vertical="center"/>
    </xf>
    <xf numFmtId="191" fontId="8" fillId="0" borderId="270" xfId="0" applyNumberFormat="1" applyFont="1" applyBorder="1" applyAlignment="1">
      <alignment horizontal="center" vertical="center"/>
    </xf>
    <xf numFmtId="191" fontId="8" fillId="0" borderId="322" xfId="0" applyNumberFormat="1" applyFont="1" applyBorder="1" applyAlignment="1">
      <alignment horizontal="center" vertical="center"/>
    </xf>
    <xf numFmtId="191" fontId="8" fillId="0" borderId="316" xfId="0" applyNumberFormat="1" applyFont="1" applyBorder="1" applyAlignment="1">
      <alignment horizontal="center" vertical="center"/>
    </xf>
    <xf numFmtId="191" fontId="8" fillId="0" borderId="95" xfId="0" applyNumberFormat="1" applyFont="1" applyBorder="1" applyAlignment="1">
      <alignment horizontal="center" vertical="center"/>
    </xf>
    <xf numFmtId="191" fontId="8" fillId="0" borderId="132" xfId="0" applyNumberFormat="1" applyFont="1" applyBorder="1" applyAlignment="1">
      <alignment horizontal="center" vertical="center"/>
    </xf>
    <xf numFmtId="191" fontId="8" fillId="0" borderId="314" xfId="0" applyNumberFormat="1" applyFont="1" applyBorder="1" applyAlignment="1">
      <alignment horizontal="center" vertical="center"/>
    </xf>
    <xf numFmtId="191" fontId="8" fillId="0" borderId="133" xfId="0" applyNumberFormat="1" applyFont="1" applyBorder="1" applyAlignment="1">
      <alignment horizontal="center" vertical="center"/>
    </xf>
    <xf numFmtId="4" fontId="1" fillId="36" borderId="147" xfId="0" applyNumberFormat="1" applyFont="1" applyFill="1" applyBorder="1" applyAlignment="1">
      <alignment horizontal="center" vertical="center"/>
    </xf>
    <xf numFmtId="0" fontId="1" fillId="0" borderId="0" xfId="0" applyFont="1" applyAlignment="1">
      <alignment horizontal="left" vertical="top"/>
    </xf>
    <xf numFmtId="3" fontId="41" fillId="3" borderId="147" xfId="0" applyNumberFormat="1" applyFont="1" applyFill="1" applyBorder="1" applyAlignment="1">
      <alignment horizontal="center" vertical="center"/>
    </xf>
    <xf numFmtId="171" fontId="1" fillId="0" borderId="43" xfId="0" applyNumberFormat="1" applyFont="1" applyFill="1" applyBorder="1" applyAlignment="1">
      <alignment horizontal="center" vertical="center"/>
    </xf>
    <xf numFmtId="191" fontId="1" fillId="10" borderId="499" xfId="0" applyNumberFormat="1" applyFont="1" applyFill="1" applyBorder="1" applyAlignment="1">
      <alignment horizontal="center" vertical="center"/>
    </xf>
    <xf numFmtId="191" fontId="1" fillId="10" borderId="500" xfId="0" applyNumberFormat="1" applyFont="1" applyFill="1" applyBorder="1" applyAlignment="1">
      <alignment horizontal="center" vertical="center"/>
    </xf>
    <xf numFmtId="191" fontId="1" fillId="10" borderId="501" xfId="0" applyNumberFormat="1" applyFont="1" applyFill="1" applyBorder="1" applyAlignment="1">
      <alignment horizontal="center" vertical="center"/>
    </xf>
    <xf numFmtId="191" fontId="1" fillId="10" borderId="502" xfId="0" applyNumberFormat="1" applyFont="1" applyFill="1" applyBorder="1" applyAlignment="1">
      <alignment horizontal="center" vertical="center"/>
    </xf>
    <xf numFmtId="0" fontId="33" fillId="0" borderId="221" xfId="0" applyFont="1" applyFill="1" applyBorder="1" applyAlignment="1">
      <alignment horizontal="left" vertical="center" indent="1"/>
    </xf>
    <xf numFmtId="0" fontId="33" fillId="0" borderId="494" xfId="0" applyFont="1" applyFill="1" applyBorder="1" applyAlignment="1">
      <alignment horizontal="left" vertical="center" indent="1"/>
    </xf>
    <xf numFmtId="0" fontId="8" fillId="0" borderId="506" xfId="0" applyFont="1" applyFill="1" applyBorder="1" applyAlignment="1">
      <alignment horizontal="left" vertical="center" indent="1"/>
    </xf>
    <xf numFmtId="3" fontId="8" fillId="0" borderId="370" xfId="0" applyNumberFormat="1" applyFont="1" applyBorder="1" applyAlignment="1">
      <alignment horizontal="center" vertical="center"/>
    </xf>
    <xf numFmtId="3" fontId="8" fillId="0" borderId="371" xfId="0" applyNumberFormat="1" applyFont="1" applyBorder="1" applyAlignment="1">
      <alignment horizontal="center" vertical="center"/>
    </xf>
    <xf numFmtId="3" fontId="8" fillId="0" borderId="490" xfId="0" applyNumberFormat="1" applyFont="1" applyBorder="1" applyAlignment="1">
      <alignment horizontal="center" vertical="center"/>
    </xf>
    <xf numFmtId="3" fontId="8" fillId="0" borderId="491" xfId="0" applyNumberFormat="1" applyFont="1" applyBorder="1" applyAlignment="1">
      <alignment horizontal="center" vertical="center"/>
    </xf>
    <xf numFmtId="3" fontId="8" fillId="0" borderId="492" xfId="0" applyNumberFormat="1" applyFont="1" applyBorder="1" applyAlignment="1">
      <alignment horizontal="center" vertical="center"/>
    </xf>
    <xf numFmtId="3" fontId="8" fillId="0" borderId="493" xfId="0" applyNumberFormat="1" applyFont="1" applyBorder="1" applyAlignment="1">
      <alignment horizontal="center" vertical="center"/>
    </xf>
    <xf numFmtId="0" fontId="51" fillId="22" borderId="11" xfId="0" applyFont="1" applyFill="1" applyBorder="1" applyAlignment="1">
      <alignment vertical="center"/>
    </xf>
    <xf numFmtId="191" fontId="1" fillId="48" borderId="499" xfId="0" applyNumberFormat="1" applyFont="1" applyFill="1" applyBorder="1" applyAlignment="1">
      <alignment horizontal="center" vertical="center"/>
    </xf>
    <xf numFmtId="191" fontId="1" fillId="48" borderId="500" xfId="0" applyNumberFormat="1" applyFont="1" applyFill="1" applyBorder="1" applyAlignment="1">
      <alignment horizontal="center" vertical="center"/>
    </xf>
    <xf numFmtId="191" fontId="1" fillId="48" borderId="501" xfId="0" applyNumberFormat="1" applyFont="1" applyFill="1" applyBorder="1" applyAlignment="1">
      <alignment horizontal="center" vertical="center"/>
    </xf>
    <xf numFmtId="191" fontId="1" fillId="48" borderId="502" xfId="0" applyNumberFormat="1" applyFont="1" applyFill="1" applyBorder="1" applyAlignment="1">
      <alignment horizontal="center" vertical="center"/>
    </xf>
    <xf numFmtId="191" fontId="8" fillId="0" borderId="361" xfId="0" applyNumberFormat="1" applyFont="1" applyBorder="1" applyAlignment="1">
      <alignment horizontal="center" vertical="center"/>
    </xf>
    <xf numFmtId="191" fontId="8" fillId="0" borderId="362" xfId="0" applyNumberFormat="1" applyFont="1" applyBorder="1" applyAlignment="1">
      <alignment horizontal="center" vertical="center"/>
    </xf>
    <xf numFmtId="191" fontId="8" fillId="0" borderId="363" xfId="0" applyNumberFormat="1" applyFont="1" applyBorder="1" applyAlignment="1">
      <alignment horizontal="center" vertical="center"/>
    </xf>
    <xf numFmtId="191" fontId="8" fillId="0" borderId="206" xfId="0" applyNumberFormat="1" applyFont="1" applyBorder="1" applyAlignment="1">
      <alignment horizontal="center" vertical="center"/>
    </xf>
    <xf numFmtId="191" fontId="8" fillId="0" borderId="286" xfId="0" applyNumberFormat="1" applyFont="1" applyBorder="1" applyAlignment="1">
      <alignment horizontal="center" vertical="center"/>
    </xf>
    <xf numFmtId="191" fontId="8" fillId="0" borderId="201" xfId="0" applyNumberFormat="1" applyFont="1" applyBorder="1" applyAlignment="1">
      <alignment horizontal="center" vertical="center"/>
    </xf>
    <xf numFmtId="191" fontId="8" fillId="0" borderId="315" xfId="0" applyNumberFormat="1" applyFont="1" applyBorder="1" applyAlignment="1">
      <alignment horizontal="center" vertical="center"/>
    </xf>
    <xf numFmtId="0" fontId="32" fillId="0" borderId="506" xfId="0" applyFont="1" applyBorder="1"/>
    <xf numFmtId="0" fontId="1" fillId="0" borderId="0" xfId="0" applyFont="1" applyAlignment="1">
      <alignment horizontal="left" vertical="top"/>
    </xf>
    <xf numFmtId="0" fontId="102" fillId="0" borderId="0" xfId="155" applyAlignment="1">
      <alignment vertical="center" wrapText="1"/>
    </xf>
    <xf numFmtId="0" fontId="1" fillId="0" borderId="0" xfId="0" quotePrefix="1" applyFont="1" applyAlignment="1">
      <alignment vertical="top"/>
    </xf>
    <xf numFmtId="0" fontId="1" fillId="0" borderId="0" xfId="0" applyFont="1" applyFill="1" applyBorder="1" applyAlignment="1">
      <alignment vertical="top"/>
    </xf>
    <xf numFmtId="0" fontId="6" fillId="0" borderId="0" xfId="0" applyFont="1" applyFill="1" applyBorder="1" applyAlignment="1">
      <alignment vertical="top"/>
    </xf>
    <xf numFmtId="0" fontId="37" fillId="0" borderId="0" xfId="0" applyFont="1" applyFill="1" applyBorder="1" applyAlignment="1">
      <alignment horizontal="left" vertical="top"/>
    </xf>
    <xf numFmtId="0" fontId="14" fillId="0" borderId="0" xfId="0" applyFont="1" applyFill="1" applyBorder="1" applyAlignment="1">
      <alignment vertical="top"/>
    </xf>
    <xf numFmtId="0" fontId="14" fillId="0" borderId="0" xfId="0" applyFont="1" applyFill="1" applyBorder="1"/>
    <xf numFmtId="0" fontId="43" fillId="0" borderId="0" xfId="0" applyFont="1" applyFill="1" applyBorder="1" applyAlignment="1">
      <alignment vertical="top"/>
    </xf>
    <xf numFmtId="0" fontId="1" fillId="0" borderId="0" xfId="0" quotePrefix="1" applyFont="1" applyAlignment="1">
      <alignment horizontal="right" vertical="top"/>
    </xf>
    <xf numFmtId="0" fontId="1" fillId="0" borderId="0" xfId="0" applyFont="1" applyAlignment="1">
      <alignment horizontal="right" vertical="top"/>
    </xf>
    <xf numFmtId="0" fontId="183" fillId="0" borderId="0" xfId="155" applyFont="1" applyAlignment="1">
      <alignment vertical="center"/>
    </xf>
    <xf numFmtId="0" fontId="183" fillId="0" borderId="0" xfId="155" applyFont="1" applyAlignment="1">
      <alignment vertical="top"/>
    </xf>
    <xf numFmtId="0" fontId="115" fillId="0" borderId="0" xfId="0" quotePrefix="1" applyFont="1" applyAlignment="1">
      <alignment vertical="top"/>
    </xf>
    <xf numFmtId="0" fontId="40" fillId="0" borderId="0" xfId="0" applyFont="1" applyAlignment="1">
      <alignment horizontal="left"/>
    </xf>
    <xf numFmtId="0" fontId="72" fillId="0" borderId="0" xfId="0" applyFont="1" applyAlignment="1">
      <alignment horizontal="right"/>
    </xf>
    <xf numFmtId="0" fontId="8" fillId="3" borderId="10" xfId="0" applyFont="1" applyFill="1" applyBorder="1" applyAlignment="1">
      <alignment horizontal="center" vertical="center"/>
    </xf>
    <xf numFmtId="0" fontId="21" fillId="3" borderId="0" xfId="0" applyFont="1" applyFill="1" applyBorder="1" applyAlignment="1"/>
    <xf numFmtId="0" fontId="21" fillId="3" borderId="0" xfId="0" applyFont="1" applyFill="1" applyBorder="1" applyAlignment="1">
      <alignment horizontal="right" vertical="center"/>
    </xf>
    <xf numFmtId="0" fontId="32" fillId="63" borderId="0" xfId="0" applyFont="1" applyFill="1"/>
    <xf numFmtId="0" fontId="105" fillId="32" borderId="0" xfId="0" applyFont="1" applyFill="1" applyAlignment="1">
      <alignment vertical="center" wrapText="1"/>
    </xf>
    <xf numFmtId="0" fontId="105" fillId="32" borderId="0" xfId="0" applyFont="1" applyFill="1" applyAlignment="1">
      <alignment vertical="center"/>
    </xf>
    <xf numFmtId="0" fontId="32" fillId="32" borderId="0" xfId="0" applyFont="1" applyFill="1" applyAlignment="1">
      <alignment vertical="center"/>
    </xf>
    <xf numFmtId="0" fontId="43" fillId="32" borderId="0" xfId="0" applyFont="1" applyFill="1" applyAlignment="1">
      <alignment vertical="center"/>
    </xf>
    <xf numFmtId="0" fontId="6" fillId="32" borderId="0" xfId="0" applyFont="1" applyFill="1" applyAlignment="1">
      <alignment horizontal="left" vertical="center"/>
    </xf>
    <xf numFmtId="0" fontId="6" fillId="32" borderId="0" xfId="0" applyFont="1" applyFill="1" applyAlignment="1"/>
    <xf numFmtId="0" fontId="145" fillId="32" borderId="0" xfId="0" applyFont="1" applyFill="1"/>
    <xf numFmtId="0" fontId="146" fillId="32" borderId="0" xfId="0" applyFont="1" applyFill="1" applyAlignment="1">
      <alignment vertical="center" wrapText="1"/>
    </xf>
    <xf numFmtId="0" fontId="146" fillId="32" borderId="0" xfId="0" applyFont="1" applyFill="1" applyAlignment="1"/>
    <xf numFmtId="0" fontId="178" fillId="32" borderId="0" xfId="0" applyFont="1" applyFill="1"/>
    <xf numFmtId="0" fontId="67" fillId="32" borderId="0" xfId="0" applyFont="1" applyFill="1" applyBorder="1" applyAlignment="1">
      <alignment horizontal="left" vertical="center"/>
    </xf>
    <xf numFmtId="0" fontId="82" fillId="32" borderId="0" xfId="0" applyFont="1" applyFill="1"/>
    <xf numFmtId="0" fontId="43" fillId="32" borderId="0" xfId="0" applyFont="1" applyFill="1"/>
    <xf numFmtId="0" fontId="67" fillId="32" borderId="0" xfId="0" applyFont="1" applyFill="1" applyBorder="1" applyAlignment="1">
      <alignment horizontal="left" vertical="top"/>
    </xf>
    <xf numFmtId="0" fontId="82" fillId="32" borderId="0" xfId="0" applyFont="1" applyFill="1" applyAlignment="1">
      <alignment vertical="center"/>
    </xf>
    <xf numFmtId="0" fontId="2" fillId="32" borderId="0" xfId="0" applyFont="1" applyFill="1" applyAlignment="1">
      <alignment horizontal="left" vertical="center"/>
    </xf>
    <xf numFmtId="0" fontId="184" fillId="32" borderId="0" xfId="0" applyFont="1" applyFill="1" applyAlignment="1">
      <alignment vertical="center" wrapText="1"/>
    </xf>
    <xf numFmtId="0" fontId="41" fillId="0" borderId="83" xfId="0" quotePrefix="1" applyFont="1" applyFill="1" applyBorder="1" applyAlignment="1">
      <alignment horizontal="center" vertical="center"/>
    </xf>
    <xf numFmtId="0" fontId="8" fillId="26" borderId="0" xfId="0" applyFont="1" applyFill="1" applyBorder="1" applyAlignment="1">
      <alignment horizontal="center"/>
    </xf>
    <xf numFmtId="9" fontId="8" fillId="32" borderId="0" xfId="0" applyNumberFormat="1" applyFont="1" applyFill="1" applyBorder="1" applyAlignment="1">
      <alignment horizontal="center" vertical="center"/>
    </xf>
    <xf numFmtId="171" fontId="10" fillId="29" borderId="147" xfId="0" applyNumberFormat="1" applyFont="1" applyFill="1" applyBorder="1" applyAlignment="1">
      <alignment horizontal="left" vertical="center" indent="1"/>
    </xf>
    <xf numFmtId="3" fontId="1" fillId="29" borderId="147" xfId="0" quotePrefix="1" applyNumberFormat="1" applyFont="1" applyFill="1" applyBorder="1" applyAlignment="1">
      <alignment horizontal="right" vertical="center" indent="1"/>
    </xf>
    <xf numFmtId="3" fontId="1" fillId="29" borderId="147" xfId="0" applyNumberFormat="1" applyFont="1" applyFill="1" applyBorder="1" applyAlignment="1">
      <alignment horizontal="right" vertical="center" indent="1"/>
    </xf>
    <xf numFmtId="0" fontId="82" fillId="0" borderId="0" xfId="0" applyFont="1" applyAlignment="1"/>
    <xf numFmtId="0" fontId="8" fillId="0" borderId="0" xfId="0" applyFont="1" applyAlignment="1">
      <alignment horizontal="right"/>
    </xf>
    <xf numFmtId="175" fontId="8" fillId="0" borderId="43" xfId="0" applyNumberFormat="1" applyFont="1" applyBorder="1" applyAlignment="1">
      <alignment horizontal="right" vertical="top"/>
    </xf>
    <xf numFmtId="0" fontId="1" fillId="0" borderId="0" xfId="0" applyFont="1" applyAlignment="1">
      <alignment horizontal="left" vertical="top"/>
    </xf>
    <xf numFmtId="175" fontId="8" fillId="0" borderId="0" xfId="0" applyNumberFormat="1" applyFont="1" applyBorder="1" applyAlignment="1">
      <alignment horizontal="right" vertical="top"/>
    </xf>
    <xf numFmtId="0" fontId="1" fillId="12" borderId="47" xfId="0" applyFont="1" applyFill="1" applyBorder="1"/>
    <xf numFmtId="0" fontId="1" fillId="12" borderId="49" xfId="0" applyFont="1" applyFill="1" applyBorder="1"/>
    <xf numFmtId="0" fontId="1" fillId="12" borderId="167" xfId="0" applyFont="1" applyFill="1" applyBorder="1"/>
    <xf numFmtId="0" fontId="1" fillId="12" borderId="37" xfId="0" applyFont="1" applyFill="1" applyBorder="1"/>
    <xf numFmtId="0" fontId="8" fillId="12" borderId="167" xfId="0" applyFont="1" applyFill="1" applyBorder="1" applyAlignment="1">
      <alignment horizontal="right"/>
    </xf>
    <xf numFmtId="175" fontId="8" fillId="12" borderId="167" xfId="0" applyNumberFormat="1" applyFont="1" applyFill="1" applyBorder="1" applyAlignment="1">
      <alignment horizontal="right" vertical="top"/>
    </xf>
    <xf numFmtId="0" fontId="8" fillId="12" borderId="37" xfId="0" applyFont="1" applyFill="1" applyBorder="1" applyAlignment="1">
      <alignment horizontal="left"/>
    </xf>
    <xf numFmtId="0" fontId="1" fillId="12" borderId="168" xfId="0" applyFont="1" applyFill="1" applyBorder="1"/>
    <xf numFmtId="0" fontId="183" fillId="12" borderId="43" xfId="155" quotePrefix="1" applyFont="1" applyFill="1" applyBorder="1" applyAlignment="1">
      <alignment vertical="center"/>
    </xf>
    <xf numFmtId="0" fontId="1" fillId="12" borderId="43" xfId="0" applyFont="1" applyFill="1" applyBorder="1"/>
    <xf numFmtId="0" fontId="1" fillId="12" borderId="169" xfId="0" applyFont="1" applyFill="1" applyBorder="1"/>
    <xf numFmtId="198" fontId="8" fillId="3" borderId="124" xfId="0" applyNumberFormat="1" applyFont="1" applyFill="1" applyBorder="1" applyAlignment="1">
      <alignment horizontal="center" textRotation="90"/>
    </xf>
    <xf numFmtId="198" fontId="8" fillId="3" borderId="77" xfId="0" applyNumberFormat="1" applyFont="1" applyFill="1" applyBorder="1" applyAlignment="1">
      <alignment horizontal="center" textRotation="90"/>
    </xf>
    <xf numFmtId="198" fontId="8" fillId="3" borderId="247" xfId="0" applyNumberFormat="1" applyFont="1" applyFill="1" applyBorder="1" applyAlignment="1">
      <alignment horizontal="center" textRotation="90"/>
    </xf>
    <xf numFmtId="0" fontId="8" fillId="49" borderId="7" xfId="0" applyFont="1" applyFill="1" applyBorder="1" applyAlignment="1">
      <alignment horizontal="center" vertical="center" wrapText="1"/>
    </xf>
    <xf numFmtId="0" fontId="8" fillId="0" borderId="10" xfId="0" applyNumberFormat="1" applyFont="1" applyFill="1" applyBorder="1" applyAlignment="1">
      <alignment horizontal="center" vertical="center"/>
    </xf>
    <xf numFmtId="0" fontId="33" fillId="0" borderId="27" xfId="0" applyNumberFormat="1" applyFont="1" applyBorder="1" applyAlignment="1">
      <alignment horizontal="center" vertical="center"/>
    </xf>
    <xf numFmtId="180" fontId="33" fillId="0" borderId="147" xfId="1" applyNumberFormat="1" applyFont="1" applyFill="1" applyBorder="1" applyAlignment="1">
      <alignment horizontal="center" vertical="center"/>
    </xf>
    <xf numFmtId="2" fontId="185" fillId="0" borderId="95" xfId="0" applyNumberFormat="1" applyFont="1" applyFill="1" applyBorder="1" applyAlignment="1">
      <alignment horizontal="center" vertical="center"/>
    </xf>
    <xf numFmtId="174" fontId="112" fillId="0" borderId="95" xfId="0" applyNumberFormat="1" applyFont="1" applyFill="1" applyBorder="1" applyAlignment="1">
      <alignment vertical="center"/>
    </xf>
    <xf numFmtId="173" fontId="112" fillId="0" borderId="95" xfId="1" applyNumberFormat="1" applyFont="1" applyFill="1" applyBorder="1" applyAlignment="1">
      <alignment horizontal="center" vertical="center"/>
    </xf>
    <xf numFmtId="0" fontId="51" fillId="0" borderId="0" xfId="0" applyFont="1" applyAlignment="1">
      <alignment horizontal="left" wrapText="1" indent="1"/>
    </xf>
    <xf numFmtId="0" fontId="70" fillId="0" borderId="0" xfId="0" applyFont="1" applyBorder="1" applyAlignment="1">
      <alignment horizontal="right"/>
    </xf>
    <xf numFmtId="0" fontId="138" fillId="0" borderId="0" xfId="0" applyFont="1" applyBorder="1" applyAlignment="1">
      <alignment vertical="center" wrapText="1"/>
    </xf>
    <xf numFmtId="0" fontId="72" fillId="0" borderId="0" xfId="0" applyFont="1" applyBorder="1" applyAlignment="1">
      <alignment vertical="center" wrapText="1"/>
    </xf>
    <xf numFmtId="0" fontId="112" fillId="0" borderId="147" xfId="0" quotePrefix="1" applyFont="1" applyBorder="1" applyAlignment="1">
      <alignment horizontal="center" vertical="center"/>
    </xf>
    <xf numFmtId="0" fontId="5" fillId="27" borderId="0" xfId="0" applyFont="1" applyFill="1" applyAlignment="1">
      <alignment horizontal="center"/>
    </xf>
    <xf numFmtId="0" fontId="5" fillId="3" borderId="0" xfId="0" applyFont="1" applyFill="1" applyBorder="1" applyAlignment="1">
      <alignment horizontal="center"/>
    </xf>
    <xf numFmtId="0" fontId="10" fillId="0" borderId="0" xfId="0" applyFont="1" applyAlignment="1">
      <alignment horizontal="center" wrapText="1"/>
    </xf>
    <xf numFmtId="0" fontId="5" fillId="0" borderId="0" xfId="0" applyFont="1" applyAlignment="1">
      <alignment horizontal="center"/>
    </xf>
    <xf numFmtId="0" fontId="6" fillId="0" borderId="0" xfId="0" applyFont="1" applyAlignment="1">
      <alignment horizontal="center"/>
    </xf>
    <xf numFmtId="0" fontId="6" fillId="14" borderId="28" xfId="0" applyFont="1" applyFill="1" applyBorder="1" applyAlignment="1">
      <alignment horizontal="center"/>
    </xf>
    <xf numFmtId="0" fontId="5" fillId="0" borderId="0" xfId="0" applyFont="1" applyAlignment="1">
      <alignment horizontal="center" vertical="top"/>
    </xf>
    <xf numFmtId="0" fontId="5" fillId="14" borderId="189" xfId="0" applyFont="1" applyFill="1" applyBorder="1" applyAlignment="1">
      <alignment horizontal="center"/>
    </xf>
    <xf numFmtId="0" fontId="24" fillId="14" borderId="0" xfId="0" quotePrefix="1" applyNumberFormat="1" applyFont="1" applyFill="1" applyBorder="1" applyAlignment="1">
      <alignment horizontal="center" vertical="center"/>
    </xf>
    <xf numFmtId="0" fontId="1" fillId="0" borderId="0" xfId="0" applyFont="1" applyAlignment="1">
      <alignment horizontal="left" vertical="top"/>
    </xf>
    <xf numFmtId="49" fontId="10" fillId="12" borderId="95" xfId="0" applyNumberFormat="1" applyFont="1" applyFill="1" applyBorder="1" applyAlignment="1">
      <alignment horizontal="center" vertical="center"/>
    </xf>
    <xf numFmtId="49" fontId="10" fillId="12" borderId="223" xfId="0" applyNumberFormat="1" applyFont="1" applyFill="1" applyBorder="1" applyAlignment="1">
      <alignment horizontal="center" vertical="center"/>
    </xf>
    <xf numFmtId="0" fontId="8" fillId="27" borderId="0" xfId="0" applyFont="1" applyFill="1" applyAlignment="1">
      <alignment horizontal="center" textRotation="90"/>
    </xf>
    <xf numFmtId="0" fontId="8" fillId="27" borderId="0" xfId="0" applyFont="1" applyFill="1" applyBorder="1" applyAlignment="1">
      <alignment horizontal="center" textRotation="90"/>
    </xf>
    <xf numFmtId="3" fontId="8" fillId="3" borderId="160" xfId="0" applyNumberFormat="1" applyFont="1" applyFill="1" applyBorder="1" applyAlignment="1">
      <alignment horizontal="center" vertical="center"/>
    </xf>
    <xf numFmtId="0" fontId="17" fillId="61" borderId="40" xfId="0" applyFont="1" applyFill="1" applyBorder="1" applyAlignment="1">
      <alignment horizontal="left" vertical="center" indent="1"/>
    </xf>
    <xf numFmtId="0" fontId="32" fillId="61" borderId="213" xfId="0" applyFont="1" applyFill="1" applyBorder="1"/>
    <xf numFmtId="0" fontId="117" fillId="0" borderId="0" xfId="0" applyFont="1" applyFill="1" applyBorder="1"/>
    <xf numFmtId="0" fontId="8" fillId="0" borderId="0" xfId="0" applyFont="1" applyFill="1" applyBorder="1" applyAlignment="1">
      <alignment vertical="center"/>
    </xf>
    <xf numFmtId="0" fontId="62" fillId="0" borderId="0" xfId="0" applyFont="1" applyFill="1" applyBorder="1"/>
    <xf numFmtId="0" fontId="8" fillId="0" borderId="0" xfId="0" applyFont="1" applyFill="1" applyAlignment="1">
      <alignment textRotation="90"/>
    </xf>
    <xf numFmtId="0" fontId="32" fillId="0" borderId="0" xfId="0" applyFont="1" applyFill="1" applyAlignment="1">
      <alignment horizontal="center"/>
    </xf>
    <xf numFmtId="0" fontId="32" fillId="0" borderId="0" xfId="0" applyFont="1" applyFill="1" applyBorder="1" applyAlignment="1">
      <alignment horizontal="center"/>
    </xf>
    <xf numFmtId="0" fontId="43" fillId="0" borderId="0" xfId="0" applyFont="1" applyFill="1" applyBorder="1" applyAlignment="1">
      <alignment wrapText="1"/>
    </xf>
    <xf numFmtId="0" fontId="0" fillId="0" borderId="0" xfId="0" applyFill="1"/>
    <xf numFmtId="0" fontId="159" fillId="0" borderId="0" xfId="0" quotePrefix="1" applyFont="1" applyFill="1" applyBorder="1" applyAlignment="1">
      <alignment horizontal="center" vertical="center"/>
    </xf>
    <xf numFmtId="0" fontId="33" fillId="0" borderId="0" xfId="0" applyFont="1" applyFill="1" applyBorder="1" applyAlignment="1">
      <alignment horizontal="center" wrapText="1"/>
    </xf>
    <xf numFmtId="0" fontId="30" fillId="0" borderId="0" xfId="0" applyFont="1" applyFill="1" applyBorder="1" applyAlignment="1">
      <alignment horizontal="center" wrapText="1"/>
    </xf>
    <xf numFmtId="0" fontId="6" fillId="0" borderId="0" xfId="0" applyFont="1" applyFill="1" applyAlignment="1">
      <alignment horizontal="center" vertical="center" wrapText="1"/>
    </xf>
    <xf numFmtId="0" fontId="48" fillId="0" borderId="0" xfId="0" applyFont="1" applyFill="1" applyAlignment="1">
      <alignment vertical="center"/>
    </xf>
    <xf numFmtId="0" fontId="8" fillId="0" borderId="0" xfId="0" applyFont="1" applyFill="1" applyAlignment="1">
      <alignment horizontal="right" vertical="center"/>
    </xf>
    <xf numFmtId="0" fontId="6" fillId="0" borderId="0" xfId="0" applyFont="1" applyFill="1" applyAlignment="1">
      <alignment horizontal="center"/>
    </xf>
    <xf numFmtId="0" fontId="159" fillId="0" borderId="0" xfId="0" applyFont="1" applyFill="1" applyAlignment="1">
      <alignment horizontal="center" vertical="center"/>
    </xf>
    <xf numFmtId="0" fontId="51" fillId="0" borderId="0" xfId="0" applyFont="1" applyFill="1" applyAlignment="1"/>
    <xf numFmtId="0" fontId="33" fillId="0" borderId="0" xfId="0" applyFont="1" applyFill="1" applyAlignment="1">
      <alignment horizontal="center" wrapText="1"/>
    </xf>
    <xf numFmtId="0" fontId="8" fillId="0" borderId="0" xfId="0" applyFont="1" applyFill="1" applyAlignment="1"/>
    <xf numFmtId="0" fontId="8" fillId="0" borderId="0" xfId="0" applyFont="1" applyFill="1" applyAlignment="1">
      <alignment horizontal="center" wrapText="1"/>
    </xf>
    <xf numFmtId="0" fontId="128" fillId="65" borderId="147" xfId="0" applyFont="1" applyFill="1" applyBorder="1" applyAlignment="1">
      <alignment horizontal="center" vertical="center" wrapText="1"/>
    </xf>
    <xf numFmtId="0" fontId="129" fillId="65" borderId="147" xfId="0" applyFont="1" applyFill="1" applyBorder="1" applyAlignment="1">
      <alignment horizontal="center" vertical="center" wrapText="1"/>
    </xf>
    <xf numFmtId="3" fontId="129" fillId="65" borderId="147" xfId="0" applyNumberFormat="1" applyFont="1" applyFill="1" applyBorder="1" applyAlignment="1">
      <alignment horizontal="center" vertical="center" wrapText="1"/>
    </xf>
    <xf numFmtId="3" fontId="128" fillId="65" borderId="147" xfId="0" applyNumberFormat="1" applyFont="1" applyFill="1" applyBorder="1" applyAlignment="1">
      <alignment horizontal="center" vertical="center" wrapText="1"/>
    </xf>
    <xf numFmtId="0" fontId="10" fillId="0" borderId="0" xfId="0" applyFont="1" applyFill="1" applyAlignment="1">
      <alignment horizontal="center" vertical="center"/>
    </xf>
    <xf numFmtId="3" fontId="8" fillId="0" borderId="161" xfId="0" applyNumberFormat="1" applyFont="1" applyFill="1" applyBorder="1" applyAlignment="1">
      <alignment horizontal="right" vertical="center"/>
    </xf>
    <xf numFmtId="3" fontId="8" fillId="0" borderId="0" xfId="0" applyNumberFormat="1" applyFont="1" applyFill="1" applyBorder="1" applyAlignment="1">
      <alignment horizontal="right" vertical="center"/>
    </xf>
    <xf numFmtId="0" fontId="30" fillId="0" borderId="0" xfId="0" applyFont="1" applyFill="1" applyAlignment="1">
      <alignment horizontal="center" vertical="center" wrapText="1"/>
    </xf>
    <xf numFmtId="0" fontId="6" fillId="0" borderId="0" xfId="0" applyFont="1" applyFill="1" applyAlignment="1">
      <alignment horizontal="center" wrapText="1"/>
    </xf>
    <xf numFmtId="0" fontId="0" fillId="0" borderId="167" xfId="0" applyFill="1" applyBorder="1"/>
    <xf numFmtId="0" fontId="89" fillId="0" borderId="84" xfId="0" applyFont="1" applyFill="1" applyBorder="1" applyAlignment="1">
      <alignment horizontal="center" vertical="top" shrinkToFit="1"/>
    </xf>
    <xf numFmtId="0" fontId="8" fillId="0" borderId="167" xfId="0" applyFont="1" applyFill="1" applyBorder="1" applyAlignment="1">
      <alignment textRotation="90"/>
    </xf>
    <xf numFmtId="0" fontId="26" fillId="0" borderId="0" xfId="0" applyFont="1" applyFill="1" applyAlignment="1">
      <alignment horizontal="left" vertical="center"/>
    </xf>
    <xf numFmtId="3" fontId="26" fillId="0" borderId="0" xfId="0" applyNumberFormat="1" applyFont="1" applyFill="1" applyAlignment="1">
      <alignment horizontal="left" vertical="center"/>
    </xf>
    <xf numFmtId="0" fontId="8" fillId="0" borderId="0" xfId="0" applyFont="1" applyFill="1" applyBorder="1" applyAlignment="1">
      <alignment textRotation="90"/>
    </xf>
    <xf numFmtId="0" fontId="43" fillId="0" borderId="0" xfId="0" applyFont="1" applyFill="1" applyAlignment="1">
      <alignment vertical="center"/>
    </xf>
    <xf numFmtId="0" fontId="1" fillId="0" borderId="0" xfId="0" applyFont="1" applyFill="1" applyBorder="1" applyAlignment="1">
      <alignment vertical="center" wrapText="1"/>
    </xf>
    <xf numFmtId="0" fontId="22" fillId="0" borderId="0" xfId="0" applyFont="1" applyFill="1" applyAlignment="1"/>
    <xf numFmtId="0" fontId="149" fillId="0" borderId="0" xfId="0" applyFont="1" applyFill="1" applyBorder="1" applyAlignment="1">
      <alignment horizontal="center" wrapText="1"/>
    </xf>
    <xf numFmtId="0" fontId="22" fillId="0" borderId="0" xfId="0" applyFont="1" applyFill="1" applyBorder="1" applyAlignment="1"/>
    <xf numFmtId="0" fontId="1" fillId="0" borderId="0" xfId="0" applyFont="1" applyFill="1" applyAlignment="1">
      <alignment horizontal="center"/>
    </xf>
    <xf numFmtId="0" fontId="1" fillId="0" borderId="43" xfId="0" applyFont="1" applyFill="1" applyBorder="1" applyAlignment="1">
      <alignment horizontal="center"/>
    </xf>
    <xf numFmtId="0" fontId="0" fillId="0" borderId="37" xfId="0" applyFill="1" applyBorder="1"/>
    <xf numFmtId="0" fontId="34" fillId="0" borderId="0" xfId="0" applyFont="1" applyFill="1" applyAlignment="1">
      <alignment vertical="center"/>
    </xf>
    <xf numFmtId="189" fontId="113" fillId="0" borderId="0" xfId="0" applyNumberFormat="1" applyFont="1" applyFill="1" applyBorder="1" applyAlignment="1">
      <alignment horizontal="center" vertical="center"/>
    </xf>
    <xf numFmtId="0" fontId="92" fillId="0" borderId="26" xfId="0" applyFont="1" applyFill="1" applyBorder="1" applyAlignment="1">
      <alignment horizontal="center" vertical="center"/>
    </xf>
    <xf numFmtId="0" fontId="92" fillId="0" borderId="0" xfId="0" applyFont="1" applyFill="1" applyBorder="1" applyAlignment="1">
      <alignment horizontal="center" vertical="center"/>
    </xf>
    <xf numFmtId="189" fontId="92" fillId="0" borderId="0" xfId="0" applyNumberFormat="1" applyFont="1" applyFill="1" applyBorder="1" applyAlignment="1">
      <alignment horizontal="center" vertical="center"/>
    </xf>
    <xf numFmtId="0" fontId="8" fillId="0" borderId="0" xfId="0" applyFont="1" applyFill="1" applyAlignment="1">
      <alignment horizontal="center"/>
    </xf>
    <xf numFmtId="0" fontId="48" fillId="0" borderId="0" xfId="0" applyFont="1" applyFill="1"/>
    <xf numFmtId="0" fontId="43" fillId="0" borderId="0" xfId="0" applyFont="1" applyFill="1" applyAlignment="1">
      <alignment vertical="top"/>
    </xf>
    <xf numFmtId="0" fontId="1" fillId="0" borderId="0" xfId="0" applyFont="1" applyFill="1" applyAlignment="1">
      <alignment vertical="top"/>
    </xf>
    <xf numFmtId="0" fontId="0" fillId="0" borderId="0" xfId="0" applyFill="1" applyAlignment="1">
      <alignment vertical="center"/>
    </xf>
    <xf numFmtId="0" fontId="51" fillId="0" borderId="43" xfId="0" applyFont="1" applyFill="1" applyBorder="1" applyAlignment="1"/>
    <xf numFmtId="0" fontId="51" fillId="0" borderId="0" xfId="0" applyFont="1" applyFill="1" applyBorder="1" applyAlignment="1"/>
    <xf numFmtId="0" fontId="6" fillId="0" borderId="0" xfId="0" applyFont="1" applyFill="1" applyBorder="1" applyAlignment="1">
      <alignment horizontal="center" wrapText="1"/>
    </xf>
    <xf numFmtId="0" fontId="32" fillId="23" borderId="147" xfId="0" applyFont="1" applyFill="1" applyBorder="1"/>
    <xf numFmtId="0" fontId="8" fillId="0" borderId="0" xfId="0" applyFont="1" applyFill="1" applyAlignment="1">
      <alignment vertical="center"/>
    </xf>
    <xf numFmtId="171" fontId="34" fillId="56" borderId="27" xfId="0" applyNumberFormat="1" applyFont="1" applyFill="1" applyBorder="1" applyAlignment="1">
      <alignment horizontal="center" vertical="center" wrapText="1"/>
    </xf>
    <xf numFmtId="0" fontId="43" fillId="0" borderId="0" xfId="0" applyFont="1" applyFill="1" applyBorder="1"/>
    <xf numFmtId="0" fontId="10" fillId="2" borderId="517" xfId="0" applyFont="1" applyFill="1" applyBorder="1" applyAlignment="1">
      <alignment horizontal="center" vertical="center"/>
    </xf>
    <xf numFmtId="0" fontId="10" fillId="2" borderId="518" xfId="0" applyFont="1" applyFill="1" applyBorder="1" applyAlignment="1">
      <alignment horizontal="center" vertical="center"/>
    </xf>
    <xf numFmtId="0" fontId="32" fillId="2" borderId="518" xfId="0" applyFont="1" applyFill="1" applyBorder="1"/>
    <xf numFmtId="0" fontId="8" fillId="2" borderId="518" xfId="0" applyFont="1" applyFill="1" applyBorder="1" applyAlignment="1">
      <alignment vertical="center"/>
    </xf>
    <xf numFmtId="0" fontId="8" fillId="2" borderId="519" xfId="0" applyFont="1" applyFill="1" applyBorder="1" applyAlignment="1">
      <alignment vertical="center"/>
    </xf>
    <xf numFmtId="0" fontId="10" fillId="2" borderId="520" xfId="0" applyFont="1" applyFill="1" applyBorder="1" applyAlignment="1">
      <alignment horizontal="center" vertical="center"/>
    </xf>
    <xf numFmtId="0" fontId="10" fillId="2" borderId="516" xfId="0" applyFont="1" applyFill="1" applyBorder="1" applyAlignment="1">
      <alignment horizontal="center" vertical="center"/>
    </xf>
    <xf numFmtId="0" fontId="32" fillId="2" borderId="516" xfId="0" applyFont="1" applyFill="1" applyBorder="1"/>
    <xf numFmtId="0" fontId="8" fillId="2" borderId="516" xfId="0" applyFont="1" applyFill="1" applyBorder="1" applyAlignment="1">
      <alignment vertical="center"/>
    </xf>
    <xf numFmtId="0" fontId="8" fillId="2" borderId="521" xfId="0" applyFont="1" applyFill="1" applyBorder="1" applyAlignment="1">
      <alignment vertical="center"/>
    </xf>
    <xf numFmtId="181" fontId="8" fillId="20" borderId="1" xfId="0" quotePrefix="1" applyNumberFormat="1" applyFont="1" applyFill="1" applyBorder="1" applyAlignment="1">
      <alignment horizontal="center" vertical="center" textRotation="90"/>
    </xf>
    <xf numFmtId="181" fontId="8" fillId="20" borderId="9" xfId="0" quotePrefix="1" applyNumberFormat="1" applyFont="1" applyFill="1" applyBorder="1" applyAlignment="1">
      <alignment horizontal="center" vertical="center" textRotation="90"/>
    </xf>
    <xf numFmtId="3" fontId="96" fillId="14" borderId="71" xfId="1" quotePrefix="1" applyNumberFormat="1" applyFont="1" applyFill="1" applyBorder="1" applyAlignment="1">
      <alignment horizontal="center" vertical="center"/>
    </xf>
    <xf numFmtId="3" fontId="96" fillId="14" borderId="3" xfId="1" applyNumberFormat="1" applyFont="1" applyFill="1" applyBorder="1" applyAlignment="1">
      <alignment horizontal="center" vertical="center"/>
    </xf>
    <xf numFmtId="3" fontId="96" fillId="14" borderId="32" xfId="1" applyNumberFormat="1" applyFont="1" applyFill="1" applyBorder="1" applyAlignment="1">
      <alignment horizontal="center" vertical="center"/>
    </xf>
    <xf numFmtId="3" fontId="96" fillId="14" borderId="0" xfId="0" applyNumberFormat="1" applyFont="1" applyFill="1" applyAlignment="1">
      <alignment horizontal="center" vertical="center"/>
    </xf>
    <xf numFmtId="173" fontId="96" fillId="14" borderId="71" xfId="1" quotePrefix="1" applyNumberFormat="1" applyFont="1" applyFill="1" applyBorder="1" applyAlignment="1">
      <alignment horizontal="center" vertical="center"/>
    </xf>
    <xf numFmtId="173" fontId="96" fillId="14" borderId="3" xfId="1" applyNumberFormat="1" applyFont="1" applyFill="1" applyBorder="1" applyAlignment="1">
      <alignment horizontal="center" vertical="center"/>
    </xf>
    <xf numFmtId="173" fontId="96" fillId="14" borderId="32" xfId="1" applyNumberFormat="1" applyFont="1" applyFill="1" applyBorder="1" applyAlignment="1">
      <alignment horizontal="center" vertical="center"/>
    </xf>
    <xf numFmtId="10" fontId="96" fillId="14" borderId="0" xfId="1" applyNumberFormat="1" applyFont="1" applyFill="1" applyAlignment="1">
      <alignment horizontal="center" vertical="center"/>
    </xf>
    <xf numFmtId="0" fontId="186" fillId="0" borderId="0" xfId="0" applyFont="1" applyFill="1" applyAlignment="1">
      <alignment horizontal="center" wrapText="1"/>
    </xf>
    <xf numFmtId="3" fontId="92" fillId="0" borderId="161" xfId="0" applyNumberFormat="1" applyFont="1" applyFill="1" applyBorder="1" applyAlignment="1">
      <alignment horizontal="right" vertical="center"/>
    </xf>
    <xf numFmtId="3" fontId="92" fillId="0" borderId="0" xfId="0" applyNumberFormat="1" applyFont="1" applyFill="1" applyBorder="1" applyAlignment="1">
      <alignment horizontal="right" vertical="center"/>
    </xf>
    <xf numFmtId="0" fontId="186" fillId="0" borderId="0" xfId="0" applyFont="1" applyFill="1" applyBorder="1" applyAlignment="1">
      <alignment horizontal="center" wrapText="1"/>
    </xf>
    <xf numFmtId="0" fontId="92" fillId="0" borderId="0" xfId="0" applyFont="1" applyFill="1" applyAlignment="1">
      <alignment textRotation="90"/>
    </xf>
    <xf numFmtId="3" fontId="8" fillId="0" borderId="277" xfId="0" applyNumberFormat="1" applyFont="1" applyFill="1" applyBorder="1" applyAlignment="1">
      <alignment horizontal="right" vertical="center"/>
    </xf>
    <xf numFmtId="3" fontId="8" fillId="0" borderId="160" xfId="0" applyNumberFormat="1" applyFont="1" applyFill="1" applyBorder="1" applyAlignment="1">
      <alignment horizontal="right" vertical="center"/>
    </xf>
    <xf numFmtId="9" fontId="8" fillId="0" borderId="277" xfId="1" applyNumberFormat="1" applyFont="1" applyFill="1" applyBorder="1" applyAlignment="1">
      <alignment horizontal="right" vertical="center"/>
    </xf>
    <xf numFmtId="174" fontId="8" fillId="0" borderId="403" xfId="1" applyNumberFormat="1" applyFont="1" applyFill="1" applyBorder="1" applyAlignment="1">
      <alignment horizontal="right" vertical="center"/>
    </xf>
    <xf numFmtId="9" fontId="8" fillId="0" borderId="160" xfId="1" applyNumberFormat="1" applyFont="1" applyFill="1" applyBorder="1" applyAlignment="1">
      <alignment horizontal="right" vertical="center"/>
    </xf>
    <xf numFmtId="174" fontId="8" fillId="0" borderId="160" xfId="1" applyNumberFormat="1" applyFont="1" applyFill="1" applyBorder="1" applyAlignment="1">
      <alignment horizontal="right" vertical="center"/>
    </xf>
    <xf numFmtId="4" fontId="8" fillId="0" borderId="277" xfId="0" applyNumberFormat="1" applyFont="1" applyFill="1" applyBorder="1" applyAlignment="1">
      <alignment horizontal="right" vertical="center"/>
    </xf>
    <xf numFmtId="4" fontId="8" fillId="0" borderId="160" xfId="0" applyNumberFormat="1" applyFont="1" applyFill="1" applyBorder="1" applyAlignment="1">
      <alignment horizontal="right" vertical="center"/>
    </xf>
    <xf numFmtId="192" fontId="8" fillId="0" borderId="277" xfId="0" applyNumberFormat="1" applyFont="1" applyFill="1" applyBorder="1" applyAlignment="1">
      <alignment horizontal="right" vertical="center"/>
    </xf>
    <xf numFmtId="192" fontId="8" fillId="0" borderId="160" xfId="0" applyNumberFormat="1" applyFont="1" applyFill="1" applyBorder="1" applyAlignment="1">
      <alignment horizontal="right" vertical="center"/>
    </xf>
    <xf numFmtId="185" fontId="8" fillId="0" borderId="277" xfId="0" applyNumberFormat="1" applyFont="1" applyFill="1" applyBorder="1" applyAlignment="1">
      <alignment horizontal="center" vertical="center"/>
    </xf>
    <xf numFmtId="185" fontId="8" fillId="0" borderId="160" xfId="0" applyNumberFormat="1" applyFont="1" applyFill="1" applyBorder="1" applyAlignment="1">
      <alignment horizontal="center" vertical="center"/>
    </xf>
    <xf numFmtId="185" fontId="8" fillId="0" borderId="374" xfId="0" applyNumberFormat="1" applyFont="1" applyFill="1" applyBorder="1" applyAlignment="1">
      <alignment horizontal="center" vertical="center"/>
    </xf>
    <xf numFmtId="0" fontId="44" fillId="0" borderId="12" xfId="0" applyFont="1" applyFill="1" applyBorder="1" applyAlignment="1">
      <alignment horizontal="left" vertical="center" indent="1"/>
    </xf>
    <xf numFmtId="0" fontId="44" fillId="0" borderId="1" xfId="0" applyFont="1" applyFill="1" applyBorder="1" applyAlignment="1">
      <alignment horizontal="left" vertical="center" indent="1"/>
    </xf>
    <xf numFmtId="1" fontId="55" fillId="14" borderId="71" xfId="1" applyNumberFormat="1" applyFont="1" applyFill="1" applyBorder="1" applyAlignment="1">
      <alignment horizontal="center" vertical="center"/>
    </xf>
    <xf numFmtId="1" fontId="55" fillId="14" borderId="3" xfId="1" applyNumberFormat="1" applyFont="1" applyFill="1" applyBorder="1" applyAlignment="1">
      <alignment horizontal="center" vertical="center"/>
    </xf>
    <xf numFmtId="1" fontId="55" fillId="14" borderId="32" xfId="1" applyNumberFormat="1" applyFont="1" applyFill="1" applyBorder="1" applyAlignment="1">
      <alignment horizontal="center" vertical="center"/>
    </xf>
    <xf numFmtId="3" fontId="42" fillId="14" borderId="188" xfId="0" quotePrefix="1" applyNumberFormat="1" applyFont="1" applyFill="1" applyBorder="1" applyAlignment="1">
      <alignment horizontal="center" vertical="center" wrapText="1"/>
    </xf>
    <xf numFmtId="9" fontId="8" fillId="22" borderId="0" xfId="1" applyFont="1" applyFill="1" applyAlignment="1">
      <alignment horizontal="center" vertical="center"/>
    </xf>
    <xf numFmtId="9" fontId="8" fillId="22" borderId="30" xfId="1" applyFont="1" applyFill="1" applyBorder="1" applyAlignment="1">
      <alignment horizontal="center" vertical="center"/>
    </xf>
    <xf numFmtId="2" fontId="6" fillId="20" borderId="8" xfId="1" applyNumberFormat="1" applyFont="1" applyFill="1" applyBorder="1" applyAlignment="1">
      <alignment horizontal="center" vertical="center"/>
    </xf>
    <xf numFmtId="0" fontId="8" fillId="27" borderId="0" xfId="0" applyFont="1" applyFill="1" applyAlignment="1">
      <alignment horizontal="center" vertical="center" wrapText="1"/>
    </xf>
    <xf numFmtId="174" fontId="8" fillId="3" borderId="246" xfId="1" applyNumberFormat="1" applyFont="1" applyFill="1" applyBorder="1" applyAlignment="1">
      <alignment horizontal="center" vertical="center"/>
    </xf>
    <xf numFmtId="174" fontId="8" fillId="3" borderId="282" xfId="1" applyNumberFormat="1" applyFont="1" applyFill="1" applyBorder="1" applyAlignment="1">
      <alignment horizontal="center" vertical="center"/>
    </xf>
    <xf numFmtId="3" fontId="8" fillId="3" borderId="246" xfId="1" applyNumberFormat="1" applyFont="1" applyFill="1" applyBorder="1" applyAlignment="1">
      <alignment horizontal="center" vertical="center"/>
    </xf>
    <xf numFmtId="3" fontId="8" fillId="3" borderId="282" xfId="1" applyNumberFormat="1" applyFont="1" applyFill="1" applyBorder="1" applyAlignment="1">
      <alignment horizontal="center" vertical="center"/>
    </xf>
    <xf numFmtId="174" fontId="8" fillId="3" borderId="522" xfId="1" applyNumberFormat="1" applyFont="1" applyFill="1" applyBorder="1" applyAlignment="1">
      <alignment horizontal="center" vertical="center"/>
    </xf>
    <xf numFmtId="174" fontId="8" fillId="22" borderId="282" xfId="1" applyNumberFormat="1" applyFont="1" applyFill="1" applyBorder="1" applyAlignment="1">
      <alignment horizontal="center" vertical="center"/>
    </xf>
    <xf numFmtId="174" fontId="8" fillId="22" borderId="522" xfId="1" applyNumberFormat="1" applyFont="1" applyFill="1" applyBorder="1" applyAlignment="1">
      <alignment horizontal="center" vertical="center"/>
    </xf>
    <xf numFmtId="3" fontId="8" fillId="3" borderId="7" xfId="1" applyNumberFormat="1" applyFont="1" applyFill="1" applyBorder="1" applyAlignment="1">
      <alignment horizontal="center" vertical="center"/>
    </xf>
    <xf numFmtId="174" fontId="8" fillId="3" borderId="523" xfId="1" applyNumberFormat="1" applyFont="1" applyFill="1" applyBorder="1" applyAlignment="1">
      <alignment horizontal="center" vertical="center"/>
    </xf>
    <xf numFmtId="0" fontId="55" fillId="14" borderId="188" xfId="0" applyFont="1" applyFill="1" applyBorder="1" applyAlignment="1">
      <alignment horizontal="center" vertical="center"/>
    </xf>
    <xf numFmtId="0" fontId="1" fillId="0" borderId="0" xfId="0" applyFont="1" applyAlignment="1">
      <alignment horizontal="left" vertical="top"/>
    </xf>
    <xf numFmtId="2" fontId="92" fillId="0" borderId="95" xfId="0" applyNumberFormat="1" applyFont="1" applyFill="1" applyBorder="1" applyAlignment="1">
      <alignment horizontal="center" vertical="center"/>
    </xf>
    <xf numFmtId="2" fontId="112" fillId="0" borderId="95" xfId="0" applyNumberFormat="1" applyFont="1" applyFill="1" applyBorder="1" applyAlignment="1">
      <alignment horizontal="center" vertical="center"/>
    </xf>
    <xf numFmtId="0" fontId="63" fillId="2" borderId="459" xfId="0" applyNumberFormat="1" applyFont="1" applyFill="1" applyBorder="1" applyAlignment="1">
      <alignment horizontal="center" vertical="center"/>
    </xf>
    <xf numFmtId="178" fontId="10" fillId="0" borderId="147" xfId="0" applyNumberFormat="1" applyFont="1" applyFill="1" applyBorder="1" applyAlignment="1">
      <alignment horizontal="center" vertical="center"/>
    </xf>
    <xf numFmtId="0" fontId="8" fillId="0" borderId="0" xfId="0" applyFont="1" applyBorder="1" applyAlignment="1">
      <alignment vertical="top" wrapText="1"/>
    </xf>
    <xf numFmtId="0" fontId="8" fillId="0" borderId="0" xfId="0" applyFont="1" applyBorder="1" applyAlignment="1">
      <alignment wrapText="1"/>
    </xf>
    <xf numFmtId="0" fontId="24" fillId="0" borderId="0" xfId="0" applyFont="1"/>
    <xf numFmtId="0" fontId="90" fillId="66" borderId="147" xfId="0" applyNumberFormat="1" applyFont="1" applyFill="1" applyBorder="1" applyAlignment="1">
      <alignment horizontal="center" vertical="center" wrapText="1"/>
    </xf>
    <xf numFmtId="0" fontId="8" fillId="3" borderId="351" xfId="0" quotePrefix="1" applyFont="1" applyFill="1" applyBorder="1" applyAlignment="1">
      <alignment horizontal="center" vertical="center"/>
    </xf>
    <xf numFmtId="0" fontId="51" fillId="0" borderId="0" xfId="0" applyFont="1" applyBorder="1" applyAlignment="1">
      <alignment horizontal="right" vertical="center"/>
    </xf>
    <xf numFmtId="0" fontId="51" fillId="0" borderId="0" xfId="0" applyFont="1" applyBorder="1" applyAlignment="1">
      <alignment horizontal="left" vertical="center"/>
    </xf>
    <xf numFmtId="0" fontId="51" fillId="3" borderId="0" xfId="0" applyFont="1" applyFill="1" applyBorder="1" applyAlignment="1">
      <alignment vertical="top" wrapText="1"/>
    </xf>
    <xf numFmtId="0" fontId="43" fillId="22" borderId="0" xfId="0" applyFont="1" applyFill="1" applyAlignment="1">
      <alignment vertical="top" wrapText="1"/>
    </xf>
    <xf numFmtId="0" fontId="81" fillId="0" borderId="282" xfId="0" applyFont="1" applyFill="1" applyBorder="1" applyAlignment="1">
      <alignment horizontal="left" vertical="center" readingOrder="1"/>
    </xf>
    <xf numFmtId="0" fontId="33" fillId="23" borderId="21" xfId="0" applyFont="1" applyFill="1" applyBorder="1" applyAlignment="1">
      <alignment horizontal="left" vertical="center"/>
    </xf>
    <xf numFmtId="0" fontId="1" fillId="0" borderId="38" xfId="0" quotePrefix="1" applyFont="1" applyBorder="1" applyAlignment="1">
      <alignment vertical="center"/>
    </xf>
    <xf numFmtId="0" fontId="1" fillId="26" borderId="0" xfId="0" applyFont="1" applyFill="1" applyBorder="1" applyAlignment="1">
      <alignment horizontal="center" textRotation="90"/>
    </xf>
    <xf numFmtId="0" fontId="33" fillId="0" borderId="0" xfId="0" applyFont="1" applyBorder="1" applyAlignment="1">
      <alignment horizontal="center" wrapText="1"/>
    </xf>
    <xf numFmtId="0" fontId="41" fillId="26" borderId="0" xfId="0" applyFont="1" applyFill="1" applyAlignment="1">
      <alignment horizontal="center" textRotation="90"/>
    </xf>
    <xf numFmtId="0" fontId="41" fillId="26" borderId="0" xfId="0" applyFont="1" applyFill="1" applyAlignment="1">
      <alignment horizontal="center" textRotation="90"/>
    </xf>
    <xf numFmtId="0" fontId="1" fillId="26" borderId="0" xfId="0" applyFont="1" applyFill="1" applyBorder="1" applyAlignment="1">
      <alignment horizontal="center" textRotation="90"/>
    </xf>
    <xf numFmtId="0" fontId="41" fillId="3" borderId="147" xfId="0" applyFont="1" applyFill="1" applyBorder="1" applyAlignment="1">
      <alignment horizontal="left" vertical="center"/>
    </xf>
    <xf numFmtId="3" fontId="51" fillId="26" borderId="0" xfId="0" applyNumberFormat="1" applyFont="1" applyFill="1" applyAlignment="1">
      <alignment horizontal="center" vertical="center"/>
    </xf>
    <xf numFmtId="0" fontId="62" fillId="0" borderId="0" xfId="0" applyFont="1" applyAlignment="1"/>
    <xf numFmtId="0" fontId="8" fillId="0" borderId="40" xfId="0" applyFont="1" applyBorder="1" applyAlignment="1">
      <alignment vertical="center"/>
    </xf>
    <xf numFmtId="190" fontId="8" fillId="0" borderId="40" xfId="0" applyNumberFormat="1" applyFont="1" applyBorder="1" applyAlignment="1">
      <alignment horizontal="center" vertical="center"/>
    </xf>
    <xf numFmtId="0" fontId="8" fillId="22" borderId="12" xfId="0" applyFont="1" applyFill="1" applyBorder="1" applyAlignment="1">
      <alignment horizontal="center" vertical="center"/>
    </xf>
    <xf numFmtId="0" fontId="8" fillId="22" borderId="23" xfId="0" applyFont="1" applyFill="1" applyBorder="1" applyAlignment="1">
      <alignment horizontal="center" vertical="center"/>
    </xf>
    <xf numFmtId="0" fontId="1" fillId="0" borderId="213" xfId="0" applyFont="1" applyBorder="1" applyAlignment="1">
      <alignment vertical="center"/>
    </xf>
    <xf numFmtId="0" fontId="1" fillId="0" borderId="213" xfId="0" applyFont="1" applyBorder="1"/>
    <xf numFmtId="0" fontId="1" fillId="0" borderId="272" xfId="0" applyFont="1" applyBorder="1"/>
    <xf numFmtId="0" fontId="1" fillId="34" borderId="16" xfId="0" applyFont="1" applyFill="1" applyBorder="1"/>
    <xf numFmtId="0" fontId="1" fillId="34" borderId="12" xfId="0" applyFont="1" applyFill="1" applyBorder="1"/>
    <xf numFmtId="0" fontId="81" fillId="0" borderId="246" xfId="0" applyFont="1" applyFill="1" applyBorder="1" applyAlignment="1">
      <alignment horizontal="left" vertical="center" readingOrder="1"/>
    </xf>
    <xf numFmtId="0" fontId="81" fillId="0" borderId="164" xfId="0" applyFont="1" applyFill="1" applyBorder="1" applyAlignment="1">
      <alignment horizontal="left" vertical="center" readingOrder="1"/>
    </xf>
    <xf numFmtId="0" fontId="32" fillId="34" borderId="9" xfId="0" applyFont="1" applyFill="1" applyBorder="1"/>
    <xf numFmtId="0" fontId="32" fillId="34" borderId="8" xfId="0" applyFont="1" applyFill="1" applyBorder="1"/>
    <xf numFmtId="0" fontId="33" fillId="23" borderId="21" xfId="0" applyFont="1" applyFill="1" applyBorder="1" applyAlignment="1">
      <alignment horizontal="left" vertical="center" wrapText="1"/>
    </xf>
    <xf numFmtId="0" fontId="79" fillId="21" borderId="65" xfId="0" applyFont="1" applyFill="1" applyBorder="1" applyAlignment="1">
      <alignment horizontal="centerContinuous" vertical="center"/>
    </xf>
    <xf numFmtId="0" fontId="51" fillId="21" borderId="28" xfId="0" applyFont="1" applyFill="1" applyBorder="1" applyAlignment="1">
      <alignment horizontal="centerContinuous"/>
    </xf>
    <xf numFmtId="0" fontId="1" fillId="21" borderId="28" xfId="0" applyFont="1" applyFill="1" applyBorder="1" applyAlignment="1">
      <alignment horizontal="centerContinuous"/>
    </xf>
    <xf numFmtId="0" fontId="1" fillId="21" borderId="67" xfId="0" applyFont="1" applyFill="1" applyBorder="1" applyAlignment="1">
      <alignment horizontal="centerContinuous"/>
    </xf>
    <xf numFmtId="0" fontId="81" fillId="0" borderId="282" xfId="0" quotePrefix="1" applyFont="1" applyFill="1" applyBorder="1" applyAlignment="1">
      <alignment horizontal="left" vertical="center" readingOrder="1"/>
    </xf>
    <xf numFmtId="0" fontId="8" fillId="34" borderId="10" xfId="0" applyFont="1" applyFill="1" applyBorder="1" applyAlignment="1">
      <alignment vertical="center"/>
    </xf>
    <xf numFmtId="0" fontId="101" fillId="67" borderId="27" xfId="0" applyFont="1" applyFill="1" applyBorder="1" applyAlignment="1">
      <alignment horizontal="center" vertical="center"/>
    </xf>
    <xf numFmtId="0" fontId="1" fillId="34" borderId="5" xfId="0" applyFont="1" applyFill="1" applyBorder="1"/>
    <xf numFmtId="0" fontId="1" fillId="34" borderId="526" xfId="0" applyFont="1" applyFill="1" applyBorder="1"/>
    <xf numFmtId="0" fontId="32" fillId="3" borderId="8" xfId="0" applyFont="1" applyFill="1" applyBorder="1" applyAlignment="1">
      <alignment horizontal="left"/>
    </xf>
    <xf numFmtId="0" fontId="32" fillId="3" borderId="10" xfId="0" applyFont="1" applyFill="1" applyBorder="1" applyAlignment="1">
      <alignment horizontal="left"/>
    </xf>
    <xf numFmtId="0" fontId="1" fillId="3" borderId="7" xfId="0" applyFont="1" applyFill="1" applyBorder="1" applyAlignment="1">
      <alignment horizontal="center" vertical="center"/>
    </xf>
    <xf numFmtId="0" fontId="1" fillId="0" borderId="0" xfId="0" quotePrefix="1" applyFont="1" applyBorder="1" applyAlignment="1">
      <alignment horizontal="center" vertical="center"/>
    </xf>
    <xf numFmtId="0" fontId="8" fillId="3" borderId="0" xfId="0" applyFont="1" applyFill="1" applyBorder="1" applyAlignment="1">
      <alignment vertical="center"/>
    </xf>
    <xf numFmtId="0" fontId="33" fillId="0" borderId="0" xfId="0" applyFont="1" applyBorder="1" applyAlignment="1">
      <alignment horizontal="center" wrapText="1"/>
    </xf>
    <xf numFmtId="0" fontId="8" fillId="3" borderId="9" xfId="0" quotePrefix="1" applyNumberFormat="1" applyFont="1" applyFill="1" applyBorder="1" applyAlignment="1">
      <alignment horizontal="left" vertical="center"/>
    </xf>
    <xf numFmtId="3" fontId="1" fillId="3" borderId="10" xfId="0" applyNumberFormat="1" applyFont="1" applyFill="1" applyBorder="1" applyAlignment="1">
      <alignment horizontal="center" vertical="center"/>
    </xf>
    <xf numFmtId="0" fontId="8" fillId="2" borderId="0" xfId="0" applyFont="1" applyFill="1"/>
    <xf numFmtId="49" fontId="8" fillId="3" borderId="147" xfId="0" applyNumberFormat="1" applyFont="1" applyFill="1" applyBorder="1" applyAlignment="1">
      <alignment vertical="center"/>
    </xf>
    <xf numFmtId="0" fontId="51" fillId="0" borderId="0" xfId="0" applyFont="1" applyBorder="1" applyAlignment="1">
      <alignment vertical="top" wrapText="1"/>
    </xf>
    <xf numFmtId="0" fontId="51" fillId="22" borderId="8" xfId="0" applyFont="1" applyFill="1" applyBorder="1" applyAlignment="1">
      <alignment horizontal="right" vertical="center"/>
    </xf>
    <xf numFmtId="0" fontId="8" fillId="0" borderId="147" xfId="0" applyFont="1" applyFill="1" applyBorder="1" applyAlignment="1">
      <alignment vertical="center"/>
    </xf>
    <xf numFmtId="171" fontId="1" fillId="13" borderId="147" xfId="0" applyNumberFormat="1" applyFont="1" applyFill="1" applyBorder="1" applyAlignment="1">
      <alignment horizontal="center" vertical="center"/>
    </xf>
    <xf numFmtId="0" fontId="8" fillId="3" borderId="147" xfId="0" applyFont="1" applyFill="1" applyBorder="1" applyAlignment="1">
      <alignment horizontal="center" vertical="center" wrapText="1"/>
    </xf>
    <xf numFmtId="0" fontId="0" fillId="3" borderId="0" xfId="0" applyFill="1" applyBorder="1"/>
    <xf numFmtId="0" fontId="32" fillId="0" borderId="16" xfId="0" applyFont="1" applyBorder="1"/>
    <xf numFmtId="0" fontId="8" fillId="3" borderId="5" xfId="0" applyFont="1" applyFill="1" applyBorder="1"/>
    <xf numFmtId="0" fontId="8" fillId="0" borderId="11" xfId="0" applyFont="1" applyBorder="1" applyAlignment="1">
      <alignment wrapText="1"/>
    </xf>
    <xf numFmtId="0" fontId="34" fillId="0" borderId="0" xfId="0" applyFont="1" applyFill="1" applyBorder="1" applyAlignment="1">
      <alignment horizontal="centerContinuous" vertical="center"/>
    </xf>
    <xf numFmtId="0" fontId="34" fillId="0" borderId="0" xfId="0" applyFont="1" applyFill="1" applyBorder="1" applyAlignment="1">
      <alignment vertical="center"/>
    </xf>
    <xf numFmtId="0" fontId="0" fillId="0" borderId="5" xfId="0" applyFill="1" applyBorder="1"/>
    <xf numFmtId="0" fontId="0" fillId="3" borderId="5" xfId="0" applyFill="1" applyBorder="1"/>
    <xf numFmtId="2" fontId="10" fillId="0" borderId="147" xfId="0" applyNumberFormat="1" applyFont="1" applyFill="1" applyBorder="1" applyAlignment="1">
      <alignment horizontal="center" vertical="center"/>
    </xf>
    <xf numFmtId="2" fontId="8" fillId="0" borderId="147" xfId="1" applyNumberFormat="1" applyFont="1" applyFill="1" applyBorder="1" applyAlignment="1">
      <alignment horizontal="center" vertical="center"/>
    </xf>
    <xf numFmtId="0" fontId="29" fillId="0" borderId="0" xfId="0" applyFont="1" applyFill="1" applyBorder="1" applyAlignment="1">
      <alignment vertical="center"/>
    </xf>
    <xf numFmtId="0" fontId="29" fillId="0" borderId="0" xfId="0" applyFont="1" applyFill="1" applyBorder="1" applyAlignment="1">
      <alignment horizontal="left" vertical="center"/>
    </xf>
    <xf numFmtId="4" fontId="8" fillId="26" borderId="0" xfId="0" quotePrefix="1" applyNumberFormat="1" applyFont="1" applyFill="1" applyAlignment="1">
      <alignment horizontal="center" vertical="center"/>
    </xf>
    <xf numFmtId="3" fontId="8" fillId="26" borderId="147" xfId="0" applyNumberFormat="1" applyFont="1" applyFill="1" applyBorder="1" applyAlignment="1">
      <alignment horizontal="center" vertical="center"/>
    </xf>
    <xf numFmtId="0" fontId="73" fillId="0" borderId="0" xfId="0" applyFont="1" applyFill="1" applyBorder="1" applyAlignment="1">
      <alignment vertical="center"/>
    </xf>
    <xf numFmtId="171" fontId="30" fillId="29" borderId="147" xfId="0" applyNumberFormat="1" applyFont="1" applyFill="1" applyBorder="1" applyAlignment="1">
      <alignment horizontal="left" vertical="center" indent="1"/>
    </xf>
    <xf numFmtId="0" fontId="51" fillId="0" borderId="0" xfId="0" applyFont="1" applyBorder="1" applyAlignment="1">
      <alignment vertical="top"/>
    </xf>
    <xf numFmtId="0" fontId="8" fillId="0" borderId="0" xfId="0" applyFont="1" applyFill="1"/>
    <xf numFmtId="0" fontId="32" fillId="0" borderId="49" xfId="0" applyFont="1" applyFill="1" applyBorder="1"/>
    <xf numFmtId="0" fontId="32" fillId="0" borderId="37" xfId="0" applyFont="1" applyFill="1" applyBorder="1"/>
    <xf numFmtId="0" fontId="32" fillId="0" borderId="37" xfId="0" applyFont="1" applyFill="1" applyBorder="1" applyAlignment="1">
      <alignment vertical="center"/>
    </xf>
    <xf numFmtId="0" fontId="32" fillId="5" borderId="213" xfId="0" applyFont="1" applyFill="1" applyBorder="1"/>
    <xf numFmtId="0" fontId="32" fillId="5" borderId="40" xfId="0" applyFont="1" applyFill="1" applyBorder="1"/>
    <xf numFmtId="0" fontId="32" fillId="5" borderId="227" xfId="0" applyFont="1" applyFill="1" applyBorder="1"/>
    <xf numFmtId="0" fontId="6" fillId="5" borderId="40" xfId="0" applyFont="1" applyFill="1" applyBorder="1" applyAlignment="1">
      <alignment horizontal="center" vertical="center"/>
    </xf>
    <xf numFmtId="0" fontId="33" fillId="0" borderId="11" xfId="0" applyFont="1" applyBorder="1" applyAlignment="1"/>
    <xf numFmtId="4" fontId="8" fillId="20" borderId="27" xfId="0" quotePrefix="1" applyNumberFormat="1" applyFont="1" applyFill="1" applyBorder="1" applyAlignment="1">
      <alignment horizontal="center" vertical="center"/>
    </xf>
    <xf numFmtId="4" fontId="8" fillId="29" borderId="27" xfId="0" quotePrefix="1" applyNumberFormat="1" applyFont="1" applyFill="1" applyBorder="1" applyAlignment="1">
      <alignment horizontal="center" vertical="center"/>
    </xf>
    <xf numFmtId="4" fontId="8" fillId="29" borderId="147" xfId="0" quotePrefix="1" applyNumberFormat="1" applyFont="1" applyFill="1" applyBorder="1" applyAlignment="1">
      <alignment horizontal="center" vertical="center"/>
    </xf>
    <xf numFmtId="9" fontId="8" fillId="20" borderId="27" xfId="1" quotePrefix="1" applyFont="1" applyFill="1" applyBorder="1" applyAlignment="1">
      <alignment horizontal="center" vertical="center"/>
    </xf>
    <xf numFmtId="9" fontId="8" fillId="29" borderId="27" xfId="1" quotePrefix="1" applyFont="1" applyFill="1" applyBorder="1" applyAlignment="1">
      <alignment horizontal="center" vertical="center"/>
    </xf>
    <xf numFmtId="9" fontId="8" fillId="29" borderId="147" xfId="1" quotePrefix="1" applyFont="1" applyFill="1" applyBorder="1" applyAlignment="1">
      <alignment horizontal="center" vertical="center"/>
    </xf>
    <xf numFmtId="3" fontId="6" fillId="20" borderId="27" xfId="0" applyNumberFormat="1" applyFont="1" applyFill="1" applyBorder="1" applyAlignment="1">
      <alignment horizontal="right" vertical="center" indent="1"/>
    </xf>
    <xf numFmtId="180" fontId="6" fillId="20" borderId="27" xfId="0" applyNumberFormat="1" applyFont="1" applyFill="1" applyBorder="1" applyAlignment="1">
      <alignment horizontal="right" vertical="center" indent="1"/>
    </xf>
    <xf numFmtId="0" fontId="1" fillId="0" borderId="0" xfId="0" applyFont="1" applyFill="1"/>
    <xf numFmtId="3" fontId="6" fillId="29" borderId="27" xfId="0" applyNumberFormat="1" applyFont="1" applyFill="1" applyBorder="1" applyAlignment="1">
      <alignment horizontal="right" vertical="center" indent="1"/>
    </xf>
    <xf numFmtId="180" fontId="6" fillId="29" borderId="27" xfId="0" applyNumberFormat="1" applyFont="1" applyFill="1" applyBorder="1" applyAlignment="1">
      <alignment horizontal="right" vertical="center" indent="1"/>
    </xf>
    <xf numFmtId="3" fontId="1" fillId="3" borderId="231" xfId="0" applyNumberFormat="1" applyFont="1" applyFill="1" applyBorder="1" applyAlignment="1">
      <alignment horizontal="center" vertical="center"/>
    </xf>
    <xf numFmtId="0" fontId="51" fillId="0" borderId="147" xfId="0" applyFont="1" applyFill="1" applyBorder="1" applyAlignment="1">
      <alignment vertical="center"/>
    </xf>
    <xf numFmtId="0" fontId="8" fillId="3" borderId="147" xfId="0" applyFont="1" applyFill="1" applyBorder="1" applyAlignment="1">
      <alignment vertical="center" wrapText="1"/>
    </xf>
    <xf numFmtId="0" fontId="44" fillId="3" borderId="113" xfId="0" applyNumberFormat="1" applyFont="1" applyFill="1" applyBorder="1" applyAlignment="1">
      <alignment horizontal="center" vertical="center"/>
    </xf>
    <xf numFmtId="3" fontId="24" fillId="14" borderId="190" xfId="0" applyNumberFormat="1" applyFont="1" applyFill="1" applyBorder="1" applyAlignment="1">
      <alignment horizontal="center" textRotation="90" wrapText="1"/>
    </xf>
    <xf numFmtId="0" fontId="8" fillId="3" borderId="0" xfId="0" applyFont="1" applyFill="1" applyBorder="1" applyAlignment="1">
      <alignment horizontal="center" textRotation="90"/>
    </xf>
    <xf numFmtId="0" fontId="43" fillId="22" borderId="16" xfId="0" applyFont="1" applyFill="1" applyBorder="1" applyAlignment="1">
      <alignment horizontal="center" textRotation="90"/>
    </xf>
    <xf numFmtId="0" fontId="1" fillId="3" borderId="5" xfId="0" applyFont="1" applyFill="1" applyBorder="1" applyAlignment="1">
      <alignment horizontal="right" vertical="center"/>
    </xf>
    <xf numFmtId="3" fontId="6" fillId="11" borderId="213" xfId="0" quotePrefix="1" applyNumberFormat="1" applyFont="1" applyFill="1" applyBorder="1" applyAlignment="1">
      <alignment horizontal="center" vertical="center" wrapText="1"/>
    </xf>
    <xf numFmtId="3" fontId="6" fillId="11" borderId="227" xfId="0" quotePrefix="1" applyNumberFormat="1" applyFont="1" applyFill="1" applyBorder="1" applyAlignment="1">
      <alignment horizontal="center" vertical="center" wrapText="1"/>
    </xf>
    <xf numFmtId="0" fontId="8" fillId="3" borderId="147" xfId="0" applyNumberFormat="1" applyFont="1" applyFill="1" applyBorder="1" applyAlignment="1">
      <alignment vertical="center"/>
    </xf>
    <xf numFmtId="3" fontId="1" fillId="22" borderId="147" xfId="0" applyNumberFormat="1" applyFont="1" applyFill="1" applyBorder="1" applyAlignment="1">
      <alignment horizontal="center" vertical="center"/>
    </xf>
    <xf numFmtId="3" fontId="1" fillId="22" borderId="231" xfId="0" applyNumberFormat="1" applyFont="1" applyFill="1" applyBorder="1" applyAlignment="1">
      <alignment horizontal="center" vertical="center"/>
    </xf>
    <xf numFmtId="0" fontId="1" fillId="3" borderId="9" xfId="0" applyFont="1" applyFill="1" applyBorder="1" applyAlignment="1">
      <alignment textRotation="90"/>
    </xf>
    <xf numFmtId="0" fontId="8" fillId="3" borderId="10" xfId="0" applyFont="1" applyFill="1" applyBorder="1" applyAlignment="1">
      <alignment horizontal="right" vertical="center"/>
    </xf>
    <xf numFmtId="0" fontId="1" fillId="3" borderId="9" xfId="0" applyFont="1" applyFill="1" applyBorder="1" applyAlignment="1"/>
    <xf numFmtId="2" fontId="10" fillId="0" borderId="12" xfId="0" applyNumberFormat="1" applyFont="1" applyFill="1" applyBorder="1" applyAlignment="1">
      <alignment horizontal="center" vertical="center"/>
    </xf>
    <xf numFmtId="0" fontId="8" fillId="0" borderId="0" xfId="0" applyFont="1" applyFill="1" applyBorder="1" applyAlignment="1">
      <alignment horizontal="center"/>
    </xf>
    <xf numFmtId="0" fontId="8" fillId="0" borderId="0" xfId="0" applyFont="1" applyAlignment="1">
      <alignment horizontal="center"/>
    </xf>
    <xf numFmtId="3" fontId="6" fillId="11" borderId="40" xfId="0" quotePrefix="1" applyNumberFormat="1" applyFont="1" applyFill="1" applyBorder="1" applyAlignment="1">
      <alignment horizontal="center" vertical="center" wrapText="1"/>
    </xf>
    <xf numFmtId="3" fontId="1" fillId="68" borderId="147" xfId="0" quotePrefix="1" applyNumberFormat="1" applyFont="1" applyFill="1" applyBorder="1" applyAlignment="1">
      <alignment horizontal="right" vertical="center" indent="1"/>
    </xf>
    <xf numFmtId="3" fontId="14" fillId="68" borderId="147" xfId="0" quotePrefix="1" applyNumberFormat="1" applyFont="1" applyFill="1" applyBorder="1" applyAlignment="1">
      <alignment horizontal="right" vertical="center" indent="1"/>
    </xf>
    <xf numFmtId="0" fontId="187" fillId="13" borderId="95" xfId="0" applyFont="1" applyFill="1" applyBorder="1" applyAlignment="1">
      <alignment horizontal="center" vertical="center"/>
    </xf>
    <xf numFmtId="2" fontId="187" fillId="13" borderId="95" xfId="0" applyNumberFormat="1" applyFont="1" applyFill="1" applyBorder="1" applyAlignment="1">
      <alignment horizontal="center" vertical="center"/>
    </xf>
    <xf numFmtId="0" fontId="42" fillId="26" borderId="0" xfId="0" quotePrefix="1" applyFont="1" applyFill="1" applyBorder="1" applyAlignment="1">
      <alignment textRotation="90"/>
    </xf>
    <xf numFmtId="0" fontId="23" fillId="26" borderId="0" xfId="0" applyFont="1" applyFill="1" applyAlignment="1">
      <alignment horizontal="left" vertical="center"/>
    </xf>
    <xf numFmtId="0" fontId="8" fillId="0" borderId="133" xfId="0" applyFont="1" applyFill="1" applyBorder="1" applyAlignment="1">
      <alignment horizontal="center" vertical="center"/>
    </xf>
    <xf numFmtId="0" fontId="8" fillId="0" borderId="396" xfId="0" applyFont="1" applyFill="1" applyBorder="1" applyAlignment="1">
      <alignment horizontal="center" vertical="center"/>
    </xf>
    <xf numFmtId="193" fontId="8" fillId="26" borderId="0" xfId="0" applyNumberFormat="1" applyFont="1" applyFill="1" applyAlignment="1">
      <alignment horizontal="center" vertical="center"/>
    </xf>
    <xf numFmtId="0" fontId="33" fillId="22" borderId="0" xfId="0" applyFont="1" applyFill="1"/>
    <xf numFmtId="191" fontId="1" fillId="0" borderId="147" xfId="0" quotePrefix="1" applyNumberFormat="1" applyFont="1" applyFill="1" applyBorder="1" applyAlignment="1">
      <alignment horizontal="right" vertical="center" indent="1"/>
    </xf>
    <xf numFmtId="191" fontId="32" fillId="0" borderId="0" xfId="0" applyNumberFormat="1" applyFont="1" applyFill="1" applyBorder="1"/>
    <xf numFmtId="191" fontId="32" fillId="0" borderId="0" xfId="0" applyNumberFormat="1" applyFont="1" applyFill="1" applyBorder="1" applyAlignment="1">
      <alignment horizontal="right" indent="1"/>
    </xf>
    <xf numFmtId="191" fontId="1" fillId="0" borderId="147" xfId="0" applyNumberFormat="1" applyFont="1" applyFill="1" applyBorder="1" applyAlignment="1">
      <alignment horizontal="right" vertical="center" indent="1"/>
    </xf>
    <xf numFmtId="191" fontId="32" fillId="0" borderId="0" xfId="0" applyNumberFormat="1" applyFont="1"/>
    <xf numFmtId="199" fontId="8" fillId="0" borderId="147" xfId="1" quotePrefix="1" applyNumberFormat="1" applyFont="1" applyFill="1" applyBorder="1" applyAlignment="1">
      <alignment horizontal="right" vertical="center" indent="1"/>
    </xf>
    <xf numFmtId="199" fontId="8" fillId="0" borderId="0" xfId="0" applyNumberFormat="1" applyFont="1" applyFill="1" applyBorder="1"/>
    <xf numFmtId="178" fontId="8" fillId="0" borderId="147" xfId="0" quotePrefix="1" applyNumberFormat="1" applyFont="1" applyFill="1" applyBorder="1" applyAlignment="1">
      <alignment horizontal="center" vertical="center"/>
    </xf>
    <xf numFmtId="191" fontId="10" fillId="0" borderId="147" xfId="0" applyNumberFormat="1" applyFont="1" applyFill="1" applyBorder="1" applyAlignment="1">
      <alignment horizontal="right" vertical="center" indent="1"/>
    </xf>
    <xf numFmtId="191" fontId="10" fillId="0" borderId="0" xfId="0" applyNumberFormat="1" applyFont="1" applyFill="1" applyBorder="1"/>
    <xf numFmtId="191" fontId="10" fillId="0" borderId="0" xfId="0" applyNumberFormat="1" applyFont="1"/>
    <xf numFmtId="0" fontId="1" fillId="27" borderId="0" xfId="0" applyFont="1" applyFill="1" applyAlignment="1">
      <alignment horizontal="center" textRotation="90"/>
    </xf>
    <xf numFmtId="0" fontId="6" fillId="2" borderId="0" xfId="0" applyFont="1" applyFill="1"/>
    <xf numFmtId="0" fontId="81" fillId="0" borderId="436" xfId="0" applyFont="1" applyFill="1" applyBorder="1" applyAlignment="1">
      <alignment horizontal="left" vertical="center" readingOrder="1"/>
    </xf>
    <xf numFmtId="0" fontId="188" fillId="2" borderId="524" xfId="0" applyNumberFormat="1" applyFont="1" applyFill="1" applyBorder="1" applyAlignment="1">
      <alignment horizontal="center" vertical="center"/>
    </xf>
    <xf numFmtId="0" fontId="8" fillId="27" borderId="0" xfId="0" applyFont="1" applyFill="1" applyAlignment="1">
      <alignment horizontal="center" textRotation="90" wrapText="1"/>
    </xf>
    <xf numFmtId="3" fontId="8" fillId="0" borderId="9" xfId="0" applyNumberFormat="1" applyFont="1" applyFill="1" applyBorder="1"/>
    <xf numFmtId="0" fontId="8" fillId="0" borderId="9" xfId="0" applyFont="1" applyFill="1" applyBorder="1" applyAlignment="1">
      <alignment horizontal="left" vertical="center" indent="1"/>
    </xf>
    <xf numFmtId="0" fontId="1" fillId="0" borderId="0" xfId="0" applyFont="1" applyAlignment="1">
      <alignment horizontal="left" vertical="top"/>
    </xf>
    <xf numFmtId="3" fontId="50" fillId="0" borderId="0" xfId="0" quotePrefix="1" applyNumberFormat="1" applyFont="1" applyFill="1" applyBorder="1" applyAlignment="1">
      <alignment horizontal="center" vertical="center"/>
    </xf>
    <xf numFmtId="191" fontId="8" fillId="0" borderId="359" xfId="0" applyNumberFormat="1" applyFont="1" applyBorder="1" applyAlignment="1">
      <alignment horizontal="center" vertical="center"/>
    </xf>
    <xf numFmtId="191" fontId="8" fillId="0" borderId="284" xfId="0" applyNumberFormat="1" applyFont="1" applyBorder="1" applyAlignment="1">
      <alignment horizontal="center" vertical="center"/>
    </xf>
    <xf numFmtId="191" fontId="8" fillId="0" borderId="360" xfId="0" applyNumberFormat="1" applyFont="1" applyBorder="1" applyAlignment="1">
      <alignment horizontal="center" vertical="center"/>
    </xf>
    <xf numFmtId="191" fontId="8" fillId="0" borderId="364" xfId="0" applyNumberFormat="1" applyFont="1" applyBorder="1" applyAlignment="1">
      <alignment horizontal="center" vertical="center"/>
    </xf>
    <xf numFmtId="3" fontId="8" fillId="0" borderId="359" xfId="0" applyNumberFormat="1" applyFont="1" applyBorder="1" applyAlignment="1">
      <alignment horizontal="center" vertical="center"/>
    </xf>
    <xf numFmtId="3" fontId="8" fillId="0" borderId="284" xfId="0" applyNumberFormat="1" applyFont="1" applyBorder="1" applyAlignment="1">
      <alignment horizontal="center" vertical="center"/>
    </xf>
    <xf numFmtId="3" fontId="8" fillId="0" borderId="360" xfId="0" applyNumberFormat="1" applyFont="1" applyBorder="1" applyAlignment="1">
      <alignment horizontal="center" vertical="center"/>
    </xf>
    <xf numFmtId="3" fontId="8" fillId="0" borderId="364" xfId="0" applyNumberFormat="1" applyFont="1" applyBorder="1" applyAlignment="1">
      <alignment horizontal="center" vertical="center"/>
    </xf>
    <xf numFmtId="0" fontId="8" fillId="0" borderId="527" xfId="0" applyFont="1" applyFill="1" applyBorder="1" applyAlignment="1">
      <alignment horizontal="left" vertical="center" indent="1"/>
    </xf>
    <xf numFmtId="176" fontId="8" fillId="3" borderId="147" xfId="0" applyNumberFormat="1" applyFont="1" applyFill="1" applyBorder="1" applyAlignment="1">
      <alignment horizontal="center" vertical="center"/>
    </xf>
    <xf numFmtId="0" fontId="8" fillId="0" borderId="224" xfId="0" applyFont="1" applyFill="1" applyBorder="1" applyAlignment="1">
      <alignment horizontal="left" vertical="center" indent="1"/>
    </xf>
    <xf numFmtId="173" fontId="8" fillId="0" borderId="530" xfId="1" applyNumberFormat="1" applyFont="1" applyBorder="1" applyAlignment="1">
      <alignment horizontal="center" vertical="center"/>
    </xf>
    <xf numFmtId="173" fontId="8" fillId="0" borderId="531" xfId="1" applyNumberFormat="1" applyFont="1" applyBorder="1" applyAlignment="1">
      <alignment horizontal="center" vertical="center"/>
    </xf>
    <xf numFmtId="173" fontId="8" fillId="0" borderId="532" xfId="1" applyNumberFormat="1" applyFont="1" applyBorder="1" applyAlignment="1">
      <alignment horizontal="center" vertical="center"/>
    </xf>
    <xf numFmtId="173" fontId="8" fillId="0" borderId="533" xfId="1" applyNumberFormat="1" applyFont="1" applyBorder="1" applyAlignment="1">
      <alignment horizontal="center" vertical="center"/>
    </xf>
    <xf numFmtId="173" fontId="8" fillId="0" borderId="535" xfId="1" applyNumberFormat="1" applyFont="1" applyBorder="1" applyAlignment="1">
      <alignment horizontal="center" vertical="center"/>
    </xf>
    <xf numFmtId="173" fontId="8" fillId="0" borderId="536" xfId="1" applyNumberFormat="1" applyFont="1" applyBorder="1" applyAlignment="1">
      <alignment horizontal="center" vertical="center"/>
    </xf>
    <xf numFmtId="173" fontId="8" fillId="0" borderId="537" xfId="1" applyNumberFormat="1" applyFont="1" applyBorder="1" applyAlignment="1">
      <alignment horizontal="center" vertical="center"/>
    </xf>
    <xf numFmtId="173" fontId="8" fillId="0" borderId="538" xfId="1" applyNumberFormat="1" applyFont="1" applyBorder="1" applyAlignment="1">
      <alignment horizontal="center" vertical="center"/>
    </xf>
    <xf numFmtId="200" fontId="10" fillId="0" borderId="147" xfId="0" applyNumberFormat="1" applyFont="1" applyBorder="1" applyAlignment="1">
      <alignment horizontal="center" vertical="center"/>
    </xf>
    <xf numFmtId="0" fontId="1" fillId="0" borderId="0" xfId="0" applyFont="1" applyAlignment="1">
      <alignment horizontal="left" vertical="top"/>
    </xf>
    <xf numFmtId="0" fontId="8" fillId="26" borderId="0" xfId="0" quotePrefix="1" applyFont="1" applyFill="1" applyBorder="1" applyAlignment="1"/>
    <xf numFmtId="0" fontId="79" fillId="67" borderId="65" xfId="0" applyFont="1" applyFill="1" applyBorder="1" applyAlignment="1">
      <alignment horizontal="centerContinuous" vertical="center"/>
    </xf>
    <xf numFmtId="0" fontId="1" fillId="67" borderId="28" xfId="0" applyFont="1" applyFill="1" applyBorder="1" applyAlignment="1">
      <alignment horizontal="centerContinuous"/>
    </xf>
    <xf numFmtId="0" fontId="51" fillId="0" borderId="0" xfId="0" applyFont="1" applyBorder="1" applyAlignment="1">
      <alignment horizontal="center" vertical="center" wrapText="1"/>
    </xf>
    <xf numFmtId="0" fontId="53" fillId="36" borderId="539" xfId="0" applyFont="1" applyFill="1" applyBorder="1" applyAlignment="1">
      <alignment horizontal="centerContinuous" vertical="center"/>
    </xf>
    <xf numFmtId="0" fontId="189" fillId="36" borderId="391" xfId="0" applyFont="1" applyFill="1" applyBorder="1" applyAlignment="1">
      <alignment horizontal="centerContinuous" vertical="center" wrapText="1"/>
    </xf>
    <xf numFmtId="0" fontId="53" fillId="36" borderId="391" xfId="0" applyFont="1" applyFill="1" applyBorder="1" applyAlignment="1">
      <alignment horizontal="centerContinuous" vertical="center"/>
    </xf>
    <xf numFmtId="49" fontId="53" fillId="36" borderId="392" xfId="0" applyNumberFormat="1" applyFont="1" applyFill="1" applyBorder="1" applyAlignment="1">
      <alignment horizontal="centerContinuous" vertical="center"/>
    </xf>
    <xf numFmtId="49" fontId="1" fillId="0" borderId="0" xfId="0" applyNumberFormat="1" applyFont="1" applyAlignment="1">
      <alignment horizontal="center"/>
    </xf>
    <xf numFmtId="0" fontId="53" fillId="36" borderId="392" xfId="0" applyFont="1" applyFill="1" applyBorder="1" applyAlignment="1">
      <alignment horizontal="centerContinuous" vertical="center"/>
    </xf>
    <xf numFmtId="0" fontId="10" fillId="48" borderId="65" xfId="0" applyFont="1" applyFill="1" applyBorder="1" applyAlignment="1">
      <alignment horizontal="left"/>
    </xf>
    <xf numFmtId="0" fontId="10" fillId="48" borderId="28" xfId="0" applyFont="1" applyFill="1" applyBorder="1"/>
    <xf numFmtId="49" fontId="10" fillId="48" borderId="67" xfId="0" applyNumberFormat="1" applyFont="1" applyFill="1" applyBorder="1" applyAlignment="1">
      <alignment horizontal="center"/>
    </xf>
    <xf numFmtId="0" fontId="10" fillId="48" borderId="65" xfId="0" applyFont="1" applyFill="1" applyBorder="1" applyAlignment="1">
      <alignment horizontal="left" wrapText="1"/>
    </xf>
    <xf numFmtId="0" fontId="8" fillId="48" borderId="28" xfId="0" applyFont="1" applyFill="1" applyBorder="1" applyAlignment="1">
      <alignment horizontal="center" wrapText="1"/>
    </xf>
    <xf numFmtId="0" fontId="10" fillId="48" borderId="28" xfId="0" applyFont="1" applyFill="1" applyBorder="1" applyAlignment="1">
      <alignment horizontal="center"/>
    </xf>
    <xf numFmtId="0" fontId="10" fillId="48" borderId="28" xfId="0" applyFont="1" applyFill="1" applyBorder="1" applyAlignment="1"/>
    <xf numFmtId="0" fontId="10" fillId="48" borderId="67" xfId="0" applyFont="1" applyFill="1" applyBorder="1" applyAlignment="1"/>
    <xf numFmtId="0" fontId="8" fillId="0" borderId="375" xfId="0" applyFont="1" applyBorder="1" applyAlignment="1">
      <alignment vertical="center"/>
    </xf>
    <xf numFmtId="0" fontId="8" fillId="22" borderId="11" xfId="0" applyFont="1" applyFill="1" applyBorder="1" applyAlignment="1">
      <alignment horizontal="center" vertical="center"/>
    </xf>
    <xf numFmtId="0" fontId="72" fillId="0" borderId="0" xfId="0" applyFont="1" applyFill="1" applyBorder="1" applyAlignment="1">
      <alignment vertical="center"/>
    </xf>
    <xf numFmtId="0" fontId="43" fillId="0" borderId="0" xfId="0" applyFont="1" applyFill="1" applyBorder="1" applyAlignment="1">
      <alignment vertical="center"/>
    </xf>
    <xf numFmtId="49" fontId="8" fillId="0" borderId="88" xfId="0" applyNumberFormat="1" applyFont="1" applyBorder="1" applyAlignment="1">
      <alignment horizontal="center" vertical="center"/>
    </xf>
    <xf numFmtId="0" fontId="1" fillId="0" borderId="0" xfId="0" applyNumberFormat="1" applyFont="1" applyAlignment="1">
      <alignment horizontal="center"/>
    </xf>
    <xf numFmtId="0" fontId="8" fillId="12" borderId="88" xfId="0" applyFont="1" applyFill="1" applyBorder="1" applyAlignment="1">
      <alignment horizontal="left" vertical="center"/>
    </xf>
    <xf numFmtId="173" fontId="8" fillId="0" borderId="88" xfId="1" applyNumberFormat="1" applyFont="1" applyFill="1" applyBorder="1" applyAlignment="1">
      <alignment horizontal="center" vertical="center"/>
    </xf>
    <xf numFmtId="0" fontId="8" fillId="0" borderId="88" xfId="1" applyNumberFormat="1" applyFont="1" applyFill="1" applyBorder="1" applyAlignment="1">
      <alignment horizontal="center" vertical="center"/>
    </xf>
    <xf numFmtId="0" fontId="8" fillId="12" borderId="38" xfId="0" applyFont="1" applyFill="1" applyBorder="1" applyAlignment="1">
      <alignment vertical="center"/>
    </xf>
    <xf numFmtId="0" fontId="41" fillId="3" borderId="38" xfId="0" applyFont="1" applyFill="1" applyBorder="1" applyAlignment="1">
      <alignment vertical="center"/>
    </xf>
    <xf numFmtId="49" fontId="8" fillId="0" borderId="38" xfId="0" applyNumberFormat="1" applyFont="1" applyBorder="1" applyAlignment="1">
      <alignment horizontal="center" vertical="center"/>
    </xf>
    <xf numFmtId="0" fontId="8" fillId="12" borderId="38" xfId="0" applyFont="1" applyFill="1" applyBorder="1" applyAlignment="1">
      <alignment horizontal="left" vertical="center"/>
    </xf>
    <xf numFmtId="49" fontId="8" fillId="0" borderId="137" xfId="0" applyNumberFormat="1" applyFont="1" applyBorder="1" applyAlignment="1">
      <alignment horizontal="center" vertical="center"/>
    </xf>
    <xf numFmtId="49" fontId="8" fillId="0" borderId="375" xfId="0" applyNumberFormat="1" applyFont="1" applyBorder="1" applyAlignment="1">
      <alignment horizontal="center" vertical="center"/>
    </xf>
    <xf numFmtId="49" fontId="8" fillId="0" borderId="38" xfId="0" applyNumberFormat="1" applyFont="1" applyFill="1" applyBorder="1" applyAlignment="1">
      <alignment horizontal="center" vertical="center"/>
    </xf>
    <xf numFmtId="0" fontId="8" fillId="12" borderId="137" xfId="0" applyFont="1" applyFill="1" applyBorder="1" applyAlignment="1">
      <alignment horizontal="left" vertical="center"/>
    </xf>
    <xf numFmtId="2" fontId="8" fillId="0" borderId="88" xfId="1" applyNumberFormat="1" applyFont="1" applyFill="1" applyBorder="1" applyAlignment="1">
      <alignment horizontal="center" vertical="center"/>
    </xf>
    <xf numFmtId="2" fontId="8" fillId="70" borderId="88" xfId="1" applyNumberFormat="1" applyFont="1" applyFill="1" applyBorder="1" applyAlignment="1">
      <alignment horizontal="center" vertical="center"/>
    </xf>
    <xf numFmtId="173" fontId="8" fillId="0" borderId="137" xfId="1" applyNumberFormat="1" applyFont="1" applyFill="1" applyBorder="1" applyAlignment="1">
      <alignment horizontal="center" vertical="center"/>
    </xf>
    <xf numFmtId="0" fontId="8" fillId="12" borderId="137" xfId="0" applyFont="1" applyFill="1" applyBorder="1" applyAlignment="1">
      <alignment vertical="center"/>
    </xf>
    <xf numFmtId="0" fontId="8" fillId="12" borderId="88" xfId="0" applyFont="1" applyFill="1" applyBorder="1" applyAlignment="1">
      <alignment vertical="center"/>
    </xf>
    <xf numFmtId="0" fontId="8" fillId="0" borderId="137" xfId="1" applyNumberFormat="1" applyFont="1" applyFill="1" applyBorder="1" applyAlignment="1">
      <alignment horizontal="center" vertical="center"/>
    </xf>
    <xf numFmtId="0" fontId="10" fillId="62" borderId="65" xfId="0" applyFont="1" applyFill="1" applyBorder="1" applyAlignment="1">
      <alignment horizontal="left"/>
    </xf>
    <xf numFmtId="0" fontId="10" fillId="62" borderId="28" xfId="0" applyFont="1" applyFill="1" applyBorder="1"/>
    <xf numFmtId="49" fontId="10" fillId="62" borderId="67" xfId="0" applyNumberFormat="1" applyFont="1" applyFill="1" applyBorder="1" applyAlignment="1">
      <alignment horizontal="center"/>
    </xf>
    <xf numFmtId="0" fontId="10" fillId="62" borderId="65" xfId="0" applyFont="1" applyFill="1" applyBorder="1" applyAlignment="1">
      <alignment horizontal="left" wrapText="1"/>
    </xf>
    <xf numFmtId="0" fontId="8" fillId="62" borderId="28" xfId="0" applyFont="1" applyFill="1" applyBorder="1" applyAlignment="1">
      <alignment horizontal="center" wrapText="1"/>
    </xf>
    <xf numFmtId="0" fontId="10" fillId="62" borderId="28" xfId="0" applyFont="1" applyFill="1" applyBorder="1" applyAlignment="1">
      <alignment horizontal="center"/>
    </xf>
    <xf numFmtId="0" fontId="10" fillId="62" borderId="28" xfId="0" applyFont="1" applyFill="1" applyBorder="1" applyAlignment="1"/>
    <xf numFmtId="0" fontId="10" fillId="62" borderId="67" xfId="0" applyFont="1" applyFill="1" applyBorder="1" applyAlignment="1"/>
    <xf numFmtId="0" fontId="48" fillId="13" borderId="65" xfId="0" applyFont="1" applyFill="1" applyBorder="1" applyAlignment="1">
      <alignment horizontal="centerContinuous" vertical="center"/>
    </xf>
    <xf numFmtId="0" fontId="48" fillId="13" borderId="28" xfId="0" applyFont="1" applyFill="1" applyBorder="1" applyAlignment="1">
      <alignment horizontal="centerContinuous" vertical="center"/>
    </xf>
    <xf numFmtId="0" fontId="180" fillId="13" borderId="28" xfId="0" applyFont="1" applyFill="1" applyBorder="1" applyAlignment="1">
      <alignment horizontal="centerContinuous"/>
    </xf>
    <xf numFmtId="0" fontId="180" fillId="13" borderId="67" xfId="0" applyFont="1" applyFill="1" applyBorder="1" applyAlignment="1">
      <alignment horizontal="centerContinuous"/>
    </xf>
    <xf numFmtId="0" fontId="20" fillId="13" borderId="65" xfId="0" applyFont="1" applyFill="1" applyBorder="1" applyAlignment="1">
      <alignment vertical="center"/>
    </xf>
    <xf numFmtId="0" fontId="32" fillId="13" borderId="28" xfId="0" applyFont="1" applyFill="1" applyBorder="1" applyAlignment="1"/>
    <xf numFmtId="0" fontId="8" fillId="0" borderId="540" xfId="0" applyFont="1" applyFill="1" applyBorder="1" applyAlignment="1" applyProtection="1">
      <alignment horizontal="left" vertical="center" indent="1"/>
      <protection locked="0"/>
    </xf>
    <xf numFmtId="0" fontId="8" fillId="0" borderId="541" xfId="0" applyFont="1" applyFill="1" applyBorder="1" applyAlignment="1" applyProtection="1">
      <alignment horizontal="left" vertical="center" indent="1"/>
      <protection locked="0"/>
    </xf>
    <xf numFmtId="0" fontId="8" fillId="0" borderId="542" xfId="0" applyFont="1" applyFill="1" applyBorder="1" applyAlignment="1" applyProtection="1">
      <alignment horizontal="left" vertical="center" indent="1"/>
      <protection locked="0"/>
    </xf>
    <xf numFmtId="10" fontId="24" fillId="2" borderId="540" xfId="1" applyNumberFormat="1" applyFont="1" applyFill="1" applyBorder="1" applyAlignment="1">
      <alignment horizontal="center" vertical="center"/>
    </xf>
    <xf numFmtId="10" fontId="8" fillId="2" borderId="542" xfId="1" applyNumberFormat="1" applyFont="1" applyFill="1" applyBorder="1" applyAlignment="1">
      <alignment horizontal="center" vertical="center"/>
    </xf>
    <xf numFmtId="10" fontId="24" fillId="2" borderId="541" xfId="1" applyNumberFormat="1" applyFont="1" applyFill="1" applyBorder="1" applyAlignment="1">
      <alignment horizontal="center" vertical="center"/>
    </xf>
    <xf numFmtId="10" fontId="24" fillId="2" borderId="542" xfId="1" applyNumberFormat="1" applyFont="1" applyFill="1" applyBorder="1" applyAlignment="1">
      <alignment horizontal="center" vertical="center"/>
    </xf>
    <xf numFmtId="17" fontId="24" fillId="2" borderId="544" xfId="0" applyNumberFormat="1" applyFont="1" applyFill="1" applyBorder="1" applyAlignment="1">
      <alignment horizontal="center" vertical="center"/>
    </xf>
    <xf numFmtId="2" fontId="8" fillId="2" borderId="540" xfId="0" applyNumberFormat="1" applyFont="1" applyFill="1" applyBorder="1" applyAlignment="1">
      <alignment horizontal="center" vertical="center"/>
    </xf>
    <xf numFmtId="0" fontId="8" fillId="2" borderId="542" xfId="0" applyFont="1" applyFill="1" applyBorder="1" applyAlignment="1">
      <alignment horizontal="center" vertical="center"/>
    </xf>
    <xf numFmtId="2" fontId="8" fillId="2" borderId="542" xfId="0" applyNumberFormat="1" applyFont="1" applyFill="1" applyBorder="1" applyAlignment="1">
      <alignment horizontal="center" vertical="center"/>
    </xf>
    <xf numFmtId="17" fontId="8" fillId="2" borderId="544" xfId="0" applyNumberFormat="1" applyFont="1" applyFill="1" applyBorder="1" applyAlignment="1">
      <alignment horizontal="center" vertical="center"/>
    </xf>
    <xf numFmtId="0" fontId="8" fillId="0" borderId="167" xfId="0" applyFont="1" applyFill="1" applyBorder="1" applyAlignment="1" applyProtection="1">
      <alignment horizontal="left" vertical="center" indent="1"/>
      <protection locked="0"/>
    </xf>
    <xf numFmtId="0" fontId="8" fillId="0" borderId="0" xfId="0" applyFont="1" applyFill="1" applyBorder="1" applyAlignment="1" applyProtection="1">
      <alignment horizontal="left" vertical="center" indent="1"/>
      <protection locked="0"/>
    </xf>
    <xf numFmtId="0" fontId="8" fillId="0" borderId="2" xfId="0" applyFont="1" applyFill="1" applyBorder="1" applyAlignment="1" applyProtection="1">
      <alignment horizontal="left" vertical="center" indent="1"/>
      <protection locked="0"/>
    </xf>
    <xf numFmtId="10" fontId="24" fillId="2" borderId="167" xfId="1" applyNumberFormat="1" applyFont="1" applyFill="1" applyBorder="1" applyAlignment="1">
      <alignment horizontal="center" vertical="center"/>
    </xf>
    <xf numFmtId="10" fontId="8" fillId="2" borderId="2" xfId="1" applyNumberFormat="1" applyFont="1" applyFill="1" applyBorder="1" applyAlignment="1">
      <alignment horizontal="center" vertical="center"/>
    </xf>
    <xf numFmtId="10" fontId="24" fillId="2" borderId="0" xfId="1" applyNumberFormat="1" applyFont="1" applyFill="1" applyBorder="1" applyAlignment="1">
      <alignment horizontal="center" vertical="center"/>
    </xf>
    <xf numFmtId="10" fontId="24" fillId="2" borderId="2" xfId="1" applyNumberFormat="1" applyFont="1" applyFill="1" applyBorder="1" applyAlignment="1">
      <alignment horizontal="center" vertical="center"/>
    </xf>
    <xf numFmtId="17" fontId="24" fillId="2" borderId="37" xfId="0" applyNumberFormat="1" applyFont="1" applyFill="1" applyBorder="1" applyAlignment="1">
      <alignment horizontal="center" vertical="center"/>
    </xf>
    <xf numFmtId="2" fontId="8" fillId="2" borderId="167" xfId="0" applyNumberFormat="1" applyFont="1" applyFill="1" applyBorder="1" applyAlignment="1">
      <alignment horizontal="center" vertical="center"/>
    </xf>
    <xf numFmtId="0" fontId="8" fillId="2" borderId="2" xfId="0" applyFont="1" applyFill="1" applyBorder="1" applyAlignment="1">
      <alignment horizontal="center" vertical="center"/>
    </xf>
    <xf numFmtId="2" fontId="8" fillId="2" borderId="2" xfId="0" applyNumberFormat="1" applyFont="1" applyFill="1" applyBorder="1" applyAlignment="1">
      <alignment horizontal="center" vertical="center"/>
    </xf>
    <xf numFmtId="17" fontId="8" fillId="2" borderId="37" xfId="0" applyNumberFormat="1" applyFont="1" applyFill="1" applyBorder="1" applyAlignment="1">
      <alignment horizontal="center" vertical="center"/>
    </xf>
    <xf numFmtId="0" fontId="8" fillId="0" borderId="503" xfId="0" applyFont="1" applyFill="1" applyBorder="1" applyAlignment="1" applyProtection="1">
      <alignment horizontal="left" vertical="center" indent="1"/>
      <protection locked="0"/>
    </xf>
    <xf numFmtId="0" fontId="8" fillId="0" borderId="545" xfId="0" applyFont="1" applyFill="1" applyBorder="1" applyAlignment="1" applyProtection="1">
      <alignment horizontal="left" vertical="center" indent="1"/>
      <protection locked="0"/>
    </xf>
    <xf numFmtId="0" fontId="8" fillId="0" borderId="546" xfId="0" applyFont="1" applyFill="1" applyBorder="1" applyAlignment="1" applyProtection="1">
      <alignment horizontal="left" vertical="center" indent="1"/>
      <protection locked="0"/>
    </xf>
    <xf numFmtId="10" fontId="24" fillId="2" borderId="503" xfId="1" applyNumberFormat="1" applyFont="1" applyFill="1" applyBorder="1" applyAlignment="1">
      <alignment horizontal="center" vertical="center"/>
    </xf>
    <xf numFmtId="10" fontId="8" fillId="2" borderId="546" xfId="1" applyNumberFormat="1" applyFont="1" applyFill="1" applyBorder="1" applyAlignment="1">
      <alignment horizontal="center" vertical="center"/>
    </xf>
    <xf numFmtId="10" fontId="24" fillId="2" borderId="545" xfId="1" applyNumberFormat="1" applyFont="1" applyFill="1" applyBorder="1" applyAlignment="1">
      <alignment horizontal="center" vertical="center"/>
    </xf>
    <xf numFmtId="10" fontId="24" fillId="2" borderId="546" xfId="1" applyNumberFormat="1" applyFont="1" applyFill="1" applyBorder="1" applyAlignment="1">
      <alignment horizontal="center" vertical="center"/>
    </xf>
    <xf numFmtId="17" fontId="24" fillId="2" borderId="504" xfId="0" applyNumberFormat="1" applyFont="1" applyFill="1" applyBorder="1" applyAlignment="1">
      <alignment horizontal="center" vertical="center"/>
    </xf>
    <xf numFmtId="2" fontId="8" fillId="2" borderId="503" xfId="0" applyNumberFormat="1" applyFont="1" applyFill="1" applyBorder="1" applyAlignment="1">
      <alignment horizontal="center" vertical="center"/>
    </xf>
    <xf numFmtId="0" fontId="8" fillId="2" borderId="546" xfId="0" applyFont="1" applyFill="1" applyBorder="1" applyAlignment="1">
      <alignment horizontal="center" vertical="center"/>
    </xf>
    <xf numFmtId="2" fontId="8" fillId="2" borderId="546" xfId="0" applyNumberFormat="1" applyFont="1" applyFill="1" applyBorder="1" applyAlignment="1">
      <alignment horizontal="center" vertical="center"/>
    </xf>
    <xf numFmtId="17" fontId="8" fillId="2" borderId="504" xfId="0" applyNumberFormat="1" applyFont="1" applyFill="1" applyBorder="1" applyAlignment="1">
      <alignment horizontal="center" vertical="center"/>
    </xf>
    <xf numFmtId="0" fontId="8" fillId="0" borderId="442" xfId="0" applyFont="1" applyFill="1" applyBorder="1" applyAlignment="1" applyProtection="1">
      <alignment horizontal="left" vertical="center" indent="1"/>
      <protection locked="0"/>
    </xf>
    <xf numFmtId="0" fontId="8" fillId="0" borderId="88" xfId="0" applyFont="1" applyFill="1" applyBorder="1" applyAlignment="1" applyProtection="1">
      <alignment horizontal="left" vertical="center" indent="1"/>
      <protection locked="0"/>
    </xf>
    <xf numFmtId="0" fontId="33" fillId="0" borderId="548" xfId="0" applyFont="1" applyFill="1" applyBorder="1" applyAlignment="1" applyProtection="1">
      <alignment horizontal="left" vertical="center" indent="1"/>
      <protection locked="0"/>
    </xf>
    <xf numFmtId="10" fontId="24" fillId="12" borderId="136" xfId="1" applyNumberFormat="1" applyFont="1" applyFill="1" applyBorder="1" applyAlignment="1">
      <alignment horizontal="center" vertical="center"/>
    </xf>
    <xf numFmtId="17" fontId="24" fillId="2" borderId="549" xfId="0" applyNumberFormat="1" applyFont="1" applyFill="1" applyBorder="1" applyAlignment="1">
      <alignment horizontal="center" vertical="center"/>
    </xf>
    <xf numFmtId="17" fontId="8" fillId="2" borderId="549" xfId="0" applyNumberFormat="1" applyFont="1" applyFill="1" applyBorder="1" applyAlignment="1">
      <alignment horizontal="center" vertical="center"/>
    </xf>
    <xf numFmtId="10" fontId="24" fillId="12" borderId="66" xfId="1" applyNumberFormat="1" applyFont="1" applyFill="1" applyBorder="1" applyAlignment="1">
      <alignment horizontal="center" vertical="center"/>
    </xf>
    <xf numFmtId="17" fontId="24" fillId="2" borderId="211" xfId="0" applyNumberFormat="1" applyFont="1" applyFill="1" applyBorder="1" applyAlignment="1">
      <alignment horizontal="center" vertical="center"/>
    </xf>
    <xf numFmtId="17" fontId="8" fillId="2" borderId="211" xfId="0" applyNumberFormat="1" applyFont="1" applyFill="1" applyBorder="1" applyAlignment="1">
      <alignment horizontal="center" vertical="center"/>
    </xf>
    <xf numFmtId="17" fontId="24" fillId="2" borderId="550" xfId="0" applyNumberFormat="1" applyFont="1" applyFill="1" applyBorder="1" applyAlignment="1">
      <alignment horizontal="center" vertical="center"/>
    </xf>
    <xf numFmtId="17" fontId="24" fillId="2" borderId="525" xfId="0" applyNumberFormat="1" applyFont="1" applyFill="1" applyBorder="1" applyAlignment="1">
      <alignment horizontal="center" vertical="center"/>
    </xf>
    <xf numFmtId="10" fontId="45" fillId="12" borderId="38" xfId="1" applyNumberFormat="1" applyFont="1" applyFill="1" applyBorder="1" applyAlignment="1">
      <alignment horizontal="center" vertical="center"/>
    </xf>
    <xf numFmtId="10" fontId="45" fillId="12" borderId="88" xfId="1" applyNumberFormat="1" applyFont="1" applyFill="1" applyBorder="1" applyAlignment="1">
      <alignment horizontal="center" vertical="center"/>
    </xf>
    <xf numFmtId="0" fontId="33" fillId="0" borderId="280" xfId="0" applyFont="1" applyFill="1" applyBorder="1" applyAlignment="1" applyProtection="1">
      <alignment horizontal="left" vertical="center" indent="1"/>
      <protection locked="0"/>
    </xf>
    <xf numFmtId="10" fontId="45" fillId="12" borderId="214" xfId="1" applyNumberFormat="1" applyFont="1" applyFill="1" applyBorder="1" applyAlignment="1">
      <alignment horizontal="center" vertical="center"/>
    </xf>
    <xf numFmtId="0" fontId="8" fillId="0" borderId="171" xfId="0" applyFont="1" applyFill="1" applyBorder="1" applyAlignment="1" applyProtection="1">
      <alignment horizontal="center" vertical="center"/>
      <protection locked="0"/>
    </xf>
    <xf numFmtId="0" fontId="51" fillId="22" borderId="11" xfId="0" applyFont="1" applyFill="1" applyBorder="1" applyAlignment="1">
      <alignment horizontal="left" vertical="center"/>
    </xf>
    <xf numFmtId="0" fontId="8" fillId="22" borderId="23" xfId="0" applyFont="1" applyFill="1" applyBorder="1" applyAlignment="1">
      <alignment horizontal="right" vertical="center"/>
    </xf>
    <xf numFmtId="0" fontId="92" fillId="0" borderId="543" xfId="0" applyFont="1" applyFill="1" applyBorder="1" applyAlignment="1" applyProtection="1">
      <alignment horizontal="left" vertical="center" indent="1"/>
      <protection locked="0"/>
    </xf>
    <xf numFmtId="0" fontId="92" fillId="0" borderId="310" xfId="0" applyFont="1" applyFill="1" applyBorder="1" applyAlignment="1" applyProtection="1">
      <alignment horizontal="left" vertical="center" indent="1"/>
      <protection locked="0"/>
    </xf>
    <xf numFmtId="0" fontId="92" fillId="0" borderId="547" xfId="0" applyFont="1" applyFill="1" applyBorder="1" applyAlignment="1" applyProtection="1">
      <alignment horizontal="left" vertical="center" indent="1"/>
      <protection locked="0"/>
    </xf>
    <xf numFmtId="0" fontId="17" fillId="3" borderId="27" xfId="0" applyFont="1" applyFill="1" applyBorder="1" applyAlignment="1">
      <alignment horizontal="center" vertical="center" wrapText="1"/>
    </xf>
    <xf numFmtId="0" fontId="8" fillId="0" borderId="216" xfId="0" applyFont="1" applyBorder="1" applyAlignment="1">
      <alignment vertical="center"/>
    </xf>
    <xf numFmtId="0" fontId="8" fillId="22" borderId="552" xfId="0" applyFont="1" applyFill="1" applyBorder="1" applyAlignment="1" applyProtection="1">
      <alignment horizontal="left" vertical="center" indent="1"/>
      <protection locked="0"/>
    </xf>
    <xf numFmtId="0" fontId="8" fillId="22" borderId="553" xfId="0" applyFont="1" applyFill="1" applyBorder="1" applyAlignment="1">
      <alignment horizontal="center" vertical="center"/>
    </xf>
    <xf numFmtId="1" fontId="24" fillId="22" borderId="553" xfId="1" applyNumberFormat="1" applyFont="1" applyFill="1" applyBorder="1" applyAlignment="1">
      <alignment horizontal="center" vertical="center"/>
    </xf>
    <xf numFmtId="17" fontId="24" fillId="22" borderId="554" xfId="0" applyNumberFormat="1" applyFont="1" applyFill="1" applyBorder="1" applyAlignment="1">
      <alignment horizontal="center" vertical="center"/>
    </xf>
    <xf numFmtId="193" fontId="8" fillId="22" borderId="555" xfId="0" applyNumberFormat="1" applyFont="1" applyFill="1" applyBorder="1" applyAlignment="1">
      <alignment horizontal="center" vertical="center"/>
    </xf>
    <xf numFmtId="176" fontId="33" fillId="22" borderId="555" xfId="0" applyNumberFormat="1" applyFont="1" applyFill="1" applyBorder="1" applyAlignment="1">
      <alignment horizontal="center" vertical="center"/>
    </xf>
    <xf numFmtId="193" fontId="8" fillId="22" borderId="556" xfId="0" applyNumberFormat="1" applyFont="1" applyFill="1" applyBorder="1" applyAlignment="1">
      <alignment horizontal="center" vertical="center"/>
    </xf>
    <xf numFmtId="17" fontId="24" fillId="12" borderId="549" xfId="0" applyNumberFormat="1" applyFont="1" applyFill="1" applyBorder="1" applyAlignment="1">
      <alignment horizontal="center" vertical="center"/>
    </xf>
    <xf numFmtId="0" fontId="8" fillId="5" borderId="136" xfId="0" applyFont="1" applyFill="1" applyBorder="1" applyAlignment="1" applyProtection="1">
      <alignment horizontal="left" vertical="center" indent="1"/>
      <protection locked="0"/>
    </xf>
    <xf numFmtId="193" fontId="8" fillId="5" borderId="214" xfId="0" applyNumberFormat="1" applyFont="1" applyFill="1" applyBorder="1" applyAlignment="1">
      <alignment horizontal="center" vertical="center"/>
    </xf>
    <xf numFmtId="176" fontId="33" fillId="5" borderId="214" xfId="0" applyNumberFormat="1" applyFont="1" applyFill="1" applyBorder="1" applyAlignment="1">
      <alignment horizontal="center" vertical="center"/>
    </xf>
    <xf numFmtId="193" fontId="8" fillId="0" borderId="402" xfId="0" applyNumberFormat="1" applyFont="1" applyFill="1" applyBorder="1" applyAlignment="1">
      <alignment horizontal="center" vertical="center"/>
    </xf>
    <xf numFmtId="2" fontId="24" fillId="0" borderId="214" xfId="0" applyNumberFormat="1" applyFont="1" applyFill="1" applyBorder="1" applyAlignment="1">
      <alignment horizontal="center" vertical="center"/>
    </xf>
    <xf numFmtId="193" fontId="8" fillId="0" borderId="399" xfId="0" applyNumberFormat="1" applyFont="1" applyFill="1" applyBorder="1" applyAlignment="1">
      <alignment horizontal="center" vertical="center"/>
    </xf>
    <xf numFmtId="1" fontId="24" fillId="12" borderId="137" xfId="1" applyNumberFormat="1" applyFont="1" applyFill="1" applyBorder="1" applyAlignment="1">
      <alignment horizontal="center" vertical="center"/>
    </xf>
    <xf numFmtId="17" fontId="24" fillId="12" borderId="212" xfId="0" applyNumberFormat="1" applyFont="1" applyFill="1" applyBorder="1" applyAlignment="1">
      <alignment horizontal="center" vertical="center"/>
    </xf>
    <xf numFmtId="2" fontId="24" fillId="0" borderId="215" xfId="0" applyNumberFormat="1" applyFont="1" applyFill="1" applyBorder="1" applyAlignment="1">
      <alignment horizontal="center" vertical="center"/>
    </xf>
    <xf numFmtId="2" fontId="24" fillId="12" borderId="215" xfId="0" applyNumberFormat="1" applyFont="1" applyFill="1" applyBorder="1" applyAlignment="1">
      <alignment horizontal="center" vertical="center"/>
    </xf>
    <xf numFmtId="193" fontId="8" fillId="0" borderId="400" xfId="0" applyNumberFormat="1" applyFont="1" applyFill="1" applyBorder="1" applyAlignment="1">
      <alignment horizontal="center" vertical="center"/>
    </xf>
    <xf numFmtId="0" fontId="92" fillId="22" borderId="553" xfId="0" applyFont="1" applyFill="1" applyBorder="1" applyAlignment="1">
      <alignment horizontal="center" vertical="center"/>
    </xf>
    <xf numFmtId="3" fontId="45" fillId="14" borderId="190" xfId="0" applyNumberFormat="1" applyFont="1" applyFill="1" applyBorder="1" applyAlignment="1">
      <alignment horizontal="center" textRotation="90" wrapText="1"/>
    </xf>
    <xf numFmtId="2" fontId="8" fillId="48" borderId="28" xfId="0" applyNumberFormat="1" applyFont="1" applyFill="1" applyBorder="1" applyAlignment="1">
      <alignment horizontal="center" wrapText="1"/>
    </xf>
    <xf numFmtId="0" fontId="87" fillId="53" borderId="26" xfId="0" applyFont="1" applyFill="1" applyBorder="1"/>
    <xf numFmtId="0" fontId="47" fillId="53" borderId="22" xfId="0" applyFont="1" applyFill="1" applyBorder="1" applyAlignment="1">
      <alignment horizontal="left" vertical="center"/>
    </xf>
    <xf numFmtId="0" fontId="87" fillId="53" borderId="23" xfId="0" applyFont="1" applyFill="1" applyBorder="1"/>
    <xf numFmtId="0" fontId="101" fillId="53" borderId="26" xfId="0" applyFont="1" applyFill="1" applyBorder="1" applyAlignment="1">
      <alignment vertical="center"/>
    </xf>
    <xf numFmtId="0" fontId="101" fillId="53" borderId="24" xfId="0" applyFont="1" applyFill="1" applyBorder="1" applyAlignment="1">
      <alignment vertical="center"/>
    </xf>
    <xf numFmtId="0" fontId="101" fillId="53" borderId="23" xfId="0" applyFont="1" applyFill="1" applyBorder="1" applyAlignment="1">
      <alignment vertical="center"/>
    </xf>
    <xf numFmtId="0" fontId="101" fillId="53" borderId="11" xfId="0" applyFont="1" applyFill="1" applyBorder="1" applyAlignment="1">
      <alignment vertical="center"/>
    </xf>
    <xf numFmtId="0" fontId="101" fillId="53" borderId="25" xfId="0" applyFont="1" applyFill="1" applyBorder="1" applyAlignment="1">
      <alignment vertical="center"/>
    </xf>
    <xf numFmtId="0" fontId="47" fillId="53" borderId="22" xfId="0" applyFont="1" applyFill="1" applyBorder="1" applyAlignment="1">
      <alignment vertical="center"/>
    </xf>
    <xf numFmtId="0" fontId="8" fillId="0" borderId="557" xfId="0" applyFont="1" applyFill="1" applyBorder="1" applyAlignment="1">
      <alignment horizontal="center" vertical="center"/>
    </xf>
    <xf numFmtId="0" fontId="8" fillId="0" borderId="271" xfId="0" applyFont="1" applyFill="1" applyBorder="1" applyAlignment="1">
      <alignment horizontal="center" vertical="center"/>
    </xf>
    <xf numFmtId="0" fontId="8" fillId="0" borderId="558" xfId="0" applyFont="1" applyFill="1" applyBorder="1" applyAlignment="1">
      <alignment horizontal="center" vertical="center"/>
    </xf>
    <xf numFmtId="0" fontId="8" fillId="0" borderId="214" xfId="0" applyFont="1" applyFill="1" applyBorder="1" applyAlignment="1">
      <alignment horizontal="center" vertical="center"/>
    </xf>
    <xf numFmtId="0" fontId="8" fillId="0" borderId="213" xfId="0" applyFont="1" applyFill="1" applyBorder="1" applyAlignment="1">
      <alignment horizontal="center" vertical="center"/>
    </xf>
    <xf numFmtId="0" fontId="8" fillId="0" borderId="559" xfId="0" applyFont="1" applyFill="1" applyBorder="1" applyAlignment="1">
      <alignment horizontal="center" vertical="center"/>
    </xf>
    <xf numFmtId="0" fontId="8" fillId="0" borderId="560" xfId="0" applyFont="1" applyFill="1" applyBorder="1" applyAlignment="1">
      <alignment horizontal="center" vertical="center"/>
    </xf>
    <xf numFmtId="0" fontId="8" fillId="0" borderId="561" xfId="0" applyFont="1" applyFill="1" applyBorder="1" applyAlignment="1">
      <alignment horizontal="center" vertical="center"/>
    </xf>
    <xf numFmtId="0" fontId="8" fillId="0" borderId="562" xfId="0" applyFont="1" applyFill="1" applyBorder="1" applyAlignment="1">
      <alignment horizontal="center" vertical="center"/>
    </xf>
    <xf numFmtId="0" fontId="8" fillId="0" borderId="563" xfId="0" applyFont="1" applyBorder="1" applyAlignment="1">
      <alignment horizontal="center" vertical="center"/>
    </xf>
    <xf numFmtId="0" fontId="8" fillId="0" borderId="350" xfId="0" applyFont="1" applyBorder="1" applyAlignment="1">
      <alignment horizontal="center" vertical="center" wrapText="1"/>
    </xf>
    <xf numFmtId="0" fontId="8" fillId="0" borderId="351" xfId="0" applyFont="1" applyBorder="1" applyAlignment="1">
      <alignment horizontal="center" vertical="center" wrapText="1"/>
    </xf>
    <xf numFmtId="0" fontId="8" fillId="0" borderId="494" xfId="0" applyFont="1" applyBorder="1" applyAlignment="1">
      <alignment horizontal="center" vertical="center" wrapText="1"/>
    </xf>
    <xf numFmtId="0" fontId="8" fillId="0" borderId="89" xfId="0" applyFont="1" applyFill="1" applyBorder="1" applyAlignment="1">
      <alignment horizontal="center" vertical="center"/>
    </xf>
    <xf numFmtId="0" fontId="8" fillId="0" borderId="39" xfId="0" applyFont="1" applyFill="1" applyBorder="1" applyAlignment="1">
      <alignment horizontal="center" vertical="center"/>
    </xf>
    <xf numFmtId="0" fontId="8" fillId="0" borderId="564" xfId="0" applyFont="1" applyFill="1" applyBorder="1" applyAlignment="1">
      <alignment horizontal="center" vertical="center"/>
    </xf>
    <xf numFmtId="0" fontId="8" fillId="0" borderId="565" xfId="0" applyFont="1" applyFill="1" applyBorder="1" applyAlignment="1">
      <alignment horizontal="center" vertical="center"/>
    </xf>
    <xf numFmtId="0" fontId="41" fillId="0" borderId="351" xfId="0" applyFont="1" applyBorder="1" applyAlignment="1">
      <alignment horizontal="center" vertical="center" wrapText="1"/>
    </xf>
    <xf numFmtId="0" fontId="8" fillId="0" borderId="557" xfId="0" applyFont="1" applyFill="1" applyBorder="1" applyAlignment="1" applyProtection="1">
      <alignment horizontal="left" vertical="center" indent="1"/>
      <protection locked="0"/>
    </xf>
    <xf numFmtId="0" fontId="8" fillId="0" borderId="271" xfId="0" applyFont="1" applyFill="1" applyBorder="1" applyAlignment="1" applyProtection="1">
      <alignment horizontal="left" vertical="center" indent="1"/>
      <protection locked="0"/>
    </xf>
    <xf numFmtId="0" fontId="8" fillId="0" borderId="558" xfId="0" applyFont="1" applyFill="1" applyBorder="1" applyAlignment="1" applyProtection="1">
      <alignment horizontal="left" vertical="center" indent="1"/>
      <protection locked="0"/>
    </xf>
    <xf numFmtId="0" fontId="8" fillId="0" borderId="29" xfId="0" applyFont="1" applyFill="1" applyBorder="1" applyAlignment="1" applyProtection="1">
      <alignment horizontal="center" vertical="center"/>
      <protection locked="0"/>
    </xf>
    <xf numFmtId="3" fontId="1" fillId="69" borderId="26" xfId="0" quotePrefix="1" applyNumberFormat="1" applyFont="1" applyFill="1" applyBorder="1" applyAlignment="1">
      <alignment horizontal="center" vertical="center" wrapText="1"/>
    </xf>
    <xf numFmtId="3" fontId="1" fillId="69" borderId="443" xfId="0" quotePrefix="1" applyNumberFormat="1" applyFont="1" applyFill="1" applyBorder="1" applyAlignment="1">
      <alignment horizontal="center" vertical="center" wrapText="1"/>
    </xf>
    <xf numFmtId="3" fontId="1" fillId="69" borderId="23" xfId="0" applyNumberFormat="1" applyFont="1" applyFill="1" applyBorder="1" applyAlignment="1">
      <alignment horizontal="center" vertical="center" wrapText="1"/>
    </xf>
    <xf numFmtId="3" fontId="22" fillId="14" borderId="566" xfId="0" applyNumberFormat="1" applyFont="1" applyFill="1" applyBorder="1" applyAlignment="1">
      <alignment horizontal="center" vertical="center" wrapText="1"/>
    </xf>
    <xf numFmtId="3" fontId="24" fillId="14" borderId="0" xfId="0" applyNumberFormat="1" applyFont="1" applyFill="1" applyBorder="1" applyAlignment="1">
      <alignment horizontal="center" textRotation="90" wrapText="1"/>
    </xf>
    <xf numFmtId="3" fontId="45" fillId="14" borderId="0" xfId="0" applyNumberFormat="1" applyFont="1" applyFill="1" applyBorder="1" applyAlignment="1">
      <alignment horizontal="center" textRotation="90" wrapText="1"/>
    </xf>
    <xf numFmtId="3" fontId="134" fillId="14" borderId="566" xfId="0" applyNumberFormat="1" applyFont="1" applyFill="1" applyBorder="1" applyAlignment="1">
      <alignment horizontal="center" vertical="center" wrapText="1"/>
    </xf>
    <xf numFmtId="170" fontId="10" fillId="69" borderId="20" xfId="0" applyNumberFormat="1" applyFont="1" applyFill="1" applyBorder="1" applyAlignment="1">
      <alignment horizontal="right" vertical="center" indent="1"/>
    </xf>
    <xf numFmtId="170" fontId="10" fillId="69" borderId="0" xfId="0" applyNumberFormat="1" applyFont="1" applyFill="1" applyBorder="1" applyAlignment="1">
      <alignment horizontal="right" vertical="center" indent="1"/>
    </xf>
    <xf numFmtId="0" fontId="165" fillId="3" borderId="0" xfId="0" applyFont="1" applyFill="1" applyBorder="1" applyAlignment="1">
      <alignment horizontal="right" vertical="center"/>
    </xf>
    <xf numFmtId="0" fontId="190" fillId="3" borderId="0" xfId="0" applyFont="1" applyFill="1" applyBorder="1" applyAlignment="1">
      <alignment vertical="center" wrapText="1"/>
    </xf>
    <xf numFmtId="0" fontId="190" fillId="3" borderId="0" xfId="0" applyFont="1" applyFill="1" applyBorder="1" applyAlignment="1">
      <alignment horizontal="right" vertical="center"/>
    </xf>
    <xf numFmtId="3" fontId="22" fillId="0" borderId="0" xfId="0" applyNumberFormat="1" applyFont="1" applyFill="1" applyBorder="1" applyAlignment="1">
      <alignment horizontal="center" vertical="center" wrapText="1"/>
    </xf>
    <xf numFmtId="3" fontId="24" fillId="0" borderId="0" xfId="0" applyNumberFormat="1" applyFont="1" applyFill="1" applyBorder="1" applyAlignment="1">
      <alignment horizontal="center" textRotation="90" wrapText="1"/>
    </xf>
    <xf numFmtId="3" fontId="134" fillId="0" borderId="0" xfId="0" applyNumberFormat="1" applyFont="1" applyFill="1" applyBorder="1" applyAlignment="1">
      <alignment horizontal="center" vertical="center" wrapText="1"/>
    </xf>
    <xf numFmtId="3" fontId="169" fillId="0" borderId="0" xfId="0" applyNumberFormat="1" applyFont="1" applyFill="1" applyBorder="1" applyAlignment="1">
      <alignment horizontal="center" vertical="center" wrapText="1"/>
    </xf>
    <xf numFmtId="4" fontId="134" fillId="0" borderId="0" xfId="0" applyNumberFormat="1" applyFont="1" applyFill="1" applyBorder="1" applyAlignment="1">
      <alignment horizontal="center" vertical="center" wrapText="1"/>
    </xf>
    <xf numFmtId="3" fontId="56" fillId="14" borderId="191" xfId="0" quotePrefix="1" applyNumberFormat="1" applyFont="1" applyFill="1" applyBorder="1" applyAlignment="1">
      <alignment horizontal="center" vertical="center" wrapText="1"/>
    </xf>
    <xf numFmtId="3" fontId="56" fillId="14" borderId="192" xfId="0" applyNumberFormat="1" applyFont="1" applyFill="1" applyBorder="1" applyAlignment="1">
      <alignment horizontal="center" vertical="center" wrapText="1"/>
    </xf>
    <xf numFmtId="3" fontId="56" fillId="14" borderId="192" xfId="0" quotePrefix="1" applyNumberFormat="1" applyFont="1" applyFill="1" applyBorder="1" applyAlignment="1">
      <alignment horizontal="center" vertical="center" wrapText="1"/>
    </xf>
    <xf numFmtId="3" fontId="45" fillId="14" borderId="193" xfId="0" quotePrefix="1" applyNumberFormat="1" applyFont="1" applyFill="1" applyBorder="1" applyAlignment="1">
      <alignment horizontal="center" textRotation="90" wrapText="1"/>
    </xf>
    <xf numFmtId="3" fontId="24" fillId="14" borderId="193" xfId="0" quotePrefix="1" applyNumberFormat="1" applyFont="1" applyFill="1" applyBorder="1" applyAlignment="1">
      <alignment horizontal="center" textRotation="90" wrapText="1"/>
    </xf>
    <xf numFmtId="3" fontId="24" fillId="14" borderId="264" xfId="0" quotePrefix="1" applyNumberFormat="1" applyFont="1" applyFill="1" applyBorder="1" applyAlignment="1">
      <alignment horizontal="center" textRotation="90" wrapText="1"/>
    </xf>
    <xf numFmtId="3" fontId="162" fillId="14" borderId="264" xfId="0" quotePrefix="1" applyNumberFormat="1" applyFont="1" applyFill="1" applyBorder="1" applyAlignment="1">
      <alignment horizontal="center" textRotation="90" wrapText="1"/>
    </xf>
    <xf numFmtId="0" fontId="173" fillId="0" borderId="0" xfId="0" applyFont="1" applyBorder="1" applyAlignment="1">
      <alignment horizontal="center" vertical="top"/>
    </xf>
    <xf numFmtId="0" fontId="1" fillId="0" borderId="0" xfId="0" quotePrefix="1" applyFont="1" applyFill="1" applyAlignment="1">
      <alignment horizontal="right" vertical="center"/>
    </xf>
    <xf numFmtId="3" fontId="1" fillId="10" borderId="10" xfId="0" quotePrefix="1" applyNumberFormat="1" applyFont="1" applyFill="1" applyBorder="1" applyAlignment="1">
      <alignment horizontal="center" vertical="center" wrapText="1"/>
    </xf>
    <xf numFmtId="9" fontId="13" fillId="0" borderId="5" xfId="1" applyFont="1" applyFill="1" applyBorder="1" applyAlignment="1">
      <alignment horizontal="right" vertical="center"/>
    </xf>
    <xf numFmtId="0" fontId="1" fillId="0" borderId="427" xfId="0" applyFont="1" applyBorder="1" applyAlignment="1">
      <alignment horizontal="right" vertical="center"/>
    </xf>
    <xf numFmtId="3" fontId="1" fillId="12" borderId="27" xfId="0" quotePrefix="1" applyNumberFormat="1" applyFont="1" applyFill="1" applyBorder="1" applyAlignment="1">
      <alignment horizontal="center" vertical="center" wrapText="1"/>
    </xf>
    <xf numFmtId="3" fontId="1" fillId="48" borderId="9" xfId="0" quotePrefix="1" applyNumberFormat="1" applyFont="1" applyFill="1" applyBorder="1" applyAlignment="1">
      <alignment horizontal="center" vertical="center" wrapText="1"/>
    </xf>
    <xf numFmtId="3" fontId="1" fillId="12" borderId="27" xfId="0" applyNumberFormat="1" applyFont="1" applyFill="1" applyBorder="1" applyAlignment="1">
      <alignment horizontal="center" vertical="center" wrapText="1"/>
    </xf>
    <xf numFmtId="0" fontId="1" fillId="14" borderId="190" xfId="0" applyFont="1" applyFill="1" applyBorder="1"/>
    <xf numFmtId="3" fontId="1" fillId="69" borderId="11" xfId="0" applyNumberFormat="1" applyFont="1" applyFill="1" applyBorder="1" applyAlignment="1">
      <alignment horizontal="center" vertical="center" wrapText="1"/>
    </xf>
    <xf numFmtId="3" fontId="1" fillId="48" borderId="147" xfId="0" applyNumberFormat="1" applyFont="1" applyFill="1" applyBorder="1" applyAlignment="1">
      <alignment horizontal="center" vertical="center" wrapText="1"/>
    </xf>
    <xf numFmtId="3" fontId="1" fillId="10" borderId="10" xfId="0" applyNumberFormat="1" applyFont="1" applyFill="1" applyBorder="1" applyAlignment="1">
      <alignment horizontal="center" vertical="center" wrapText="1"/>
    </xf>
    <xf numFmtId="3" fontId="1" fillId="69" borderId="264" xfId="0" applyNumberFormat="1" applyFont="1" applyFill="1" applyBorder="1" applyAlignment="1">
      <alignment horizontal="center" vertical="center" wrapText="1"/>
    </xf>
    <xf numFmtId="3" fontId="1" fillId="10" borderId="25" xfId="0" quotePrefix="1" applyNumberFormat="1" applyFont="1" applyFill="1" applyBorder="1" applyAlignment="1">
      <alignment horizontal="center" vertical="center" wrapText="1"/>
    </xf>
    <xf numFmtId="3" fontId="56" fillId="14" borderId="570" xfId="0" applyNumberFormat="1" applyFont="1" applyFill="1" applyBorder="1" applyAlignment="1">
      <alignment horizontal="center" vertical="center" wrapText="1"/>
    </xf>
    <xf numFmtId="3" fontId="56" fillId="14" borderId="189" xfId="0" applyNumberFormat="1" applyFont="1" applyFill="1" applyBorder="1" applyAlignment="1">
      <alignment horizontal="center" vertical="center" wrapText="1"/>
    </xf>
    <xf numFmtId="3" fontId="42" fillId="14" borderId="265" xfId="0" quotePrefix="1" applyNumberFormat="1" applyFont="1" applyFill="1" applyBorder="1" applyAlignment="1">
      <alignment horizontal="center" vertical="center" wrapText="1"/>
    </xf>
    <xf numFmtId="3" fontId="1" fillId="48" borderId="12" xfId="0" applyNumberFormat="1" applyFont="1" applyFill="1" applyBorder="1" applyAlignment="1">
      <alignment horizontal="center" vertical="center" wrapText="1"/>
    </xf>
    <xf numFmtId="3" fontId="1" fillId="10" borderId="25" xfId="0" applyNumberFormat="1" applyFont="1" applyFill="1" applyBorder="1" applyAlignment="1">
      <alignment horizontal="center" vertical="center" wrapText="1"/>
    </xf>
    <xf numFmtId="3" fontId="1" fillId="69" borderId="147" xfId="0" applyNumberFormat="1" applyFont="1" applyFill="1" applyBorder="1" applyAlignment="1">
      <alignment horizontal="center" vertical="center" wrapText="1"/>
    </xf>
    <xf numFmtId="3" fontId="1" fillId="69" borderId="25" xfId="0" applyNumberFormat="1" applyFont="1" applyFill="1" applyBorder="1" applyAlignment="1">
      <alignment horizontal="center" vertical="center" wrapText="1"/>
    </xf>
    <xf numFmtId="3" fontId="83" fillId="56" borderId="64" xfId="0" applyNumberFormat="1" applyFont="1" applyFill="1" applyBorder="1" applyAlignment="1">
      <alignment horizontal="center" vertical="center" wrapText="1"/>
    </xf>
    <xf numFmtId="3" fontId="83" fillId="56" borderId="147" xfId="0" quotePrefix="1" applyNumberFormat="1" applyFont="1" applyFill="1" applyBorder="1" applyAlignment="1">
      <alignment horizontal="center" vertical="center" wrapText="1"/>
    </xf>
    <xf numFmtId="3" fontId="83" fillId="56" borderId="147" xfId="0" applyNumberFormat="1" applyFont="1" applyFill="1" applyBorder="1" applyAlignment="1">
      <alignment horizontal="center" vertical="center" wrapText="1"/>
    </xf>
    <xf numFmtId="2" fontId="57" fillId="56" borderId="147" xfId="0" applyNumberFormat="1" applyFont="1" applyFill="1" applyBorder="1" applyAlignment="1">
      <alignment horizontal="center" vertical="center"/>
    </xf>
    <xf numFmtId="0" fontId="191" fillId="3" borderId="0" xfId="0" applyFont="1" applyFill="1" applyBorder="1" applyAlignment="1"/>
    <xf numFmtId="170" fontId="192" fillId="56" borderId="567" xfId="0" applyNumberFormat="1" applyFont="1" applyFill="1" applyBorder="1" applyAlignment="1">
      <alignment horizontal="right" vertical="center" indent="1"/>
    </xf>
    <xf numFmtId="170" fontId="192" fillId="56" borderId="568" xfId="0" applyNumberFormat="1" applyFont="1" applyFill="1" applyBorder="1" applyAlignment="1">
      <alignment horizontal="right" vertical="center" indent="1"/>
    </xf>
    <xf numFmtId="170" fontId="192" fillId="56" borderId="569" xfId="0" applyNumberFormat="1" applyFont="1" applyFill="1" applyBorder="1" applyAlignment="1">
      <alignment horizontal="right" vertical="center" indent="1"/>
    </xf>
    <xf numFmtId="0" fontId="17" fillId="0" borderId="0" xfId="0" applyFont="1" applyAlignment="1">
      <alignment horizontal="right" vertical="center"/>
    </xf>
    <xf numFmtId="3" fontId="34" fillId="48" borderId="163" xfId="0" applyNumberFormat="1" applyFont="1" applyFill="1" applyBorder="1" applyAlignment="1">
      <alignment horizontal="center" vertical="center" wrapText="1"/>
    </xf>
    <xf numFmtId="3" fontId="34" fillId="10" borderId="164" xfId="0" applyNumberFormat="1" applyFont="1" applyFill="1" applyBorder="1" applyAlignment="1">
      <alignment horizontal="center" vertical="center" wrapText="1"/>
    </xf>
    <xf numFmtId="3" fontId="34" fillId="69" borderId="287" xfId="0" applyNumberFormat="1" applyFont="1" applyFill="1" applyBorder="1" applyAlignment="1">
      <alignment horizontal="center" vertical="center" wrapText="1"/>
    </xf>
    <xf numFmtId="3" fontId="48" fillId="20" borderId="389" xfId="0" applyNumberFormat="1" applyFont="1" applyFill="1" applyBorder="1" applyAlignment="1">
      <alignment horizontal="center" vertical="center"/>
    </xf>
    <xf numFmtId="3" fontId="45" fillId="14" borderId="190" xfId="0" applyNumberFormat="1" applyFont="1" applyFill="1" applyBorder="1" applyAlignment="1">
      <alignment horizontal="center" textRotation="90" wrapText="1"/>
    </xf>
    <xf numFmtId="201" fontId="24" fillId="12" borderId="214" xfId="0" applyNumberFormat="1" applyFont="1" applyFill="1" applyBorder="1" applyAlignment="1">
      <alignment horizontal="center" vertical="center"/>
    </xf>
    <xf numFmtId="201" fontId="24" fillId="12" borderId="215" xfId="0" applyNumberFormat="1" applyFont="1" applyFill="1" applyBorder="1" applyAlignment="1">
      <alignment horizontal="center" vertical="center"/>
    </xf>
    <xf numFmtId="3" fontId="1" fillId="48" borderId="351" xfId="0" quotePrefix="1" applyNumberFormat="1" applyFont="1" applyFill="1" applyBorder="1" applyAlignment="1">
      <alignment horizontal="center" vertical="center" wrapText="1"/>
    </xf>
    <xf numFmtId="3" fontId="1" fillId="10" borderId="351" xfId="0" quotePrefix="1" applyNumberFormat="1" applyFont="1" applyFill="1" applyBorder="1" applyAlignment="1">
      <alignment horizontal="center" vertical="center" wrapText="1"/>
    </xf>
    <xf numFmtId="3" fontId="1" fillId="69" borderId="489" xfId="0" applyNumberFormat="1" applyFont="1" applyFill="1" applyBorder="1" applyAlignment="1">
      <alignment horizontal="center" vertical="center" wrapText="1"/>
    </xf>
    <xf numFmtId="3" fontId="83" fillId="56" borderId="221" xfId="0" applyNumberFormat="1" applyFont="1" applyFill="1" applyBorder="1" applyAlignment="1">
      <alignment horizontal="center" vertical="center" wrapText="1"/>
    </xf>
    <xf numFmtId="3" fontId="1" fillId="48" borderId="12" xfId="0" quotePrefix="1" applyNumberFormat="1" applyFont="1" applyFill="1" applyBorder="1" applyAlignment="1">
      <alignment horizontal="center" vertical="center" wrapText="1"/>
    </xf>
    <xf numFmtId="3" fontId="1" fillId="48" borderId="222" xfId="0" quotePrefix="1" applyNumberFormat="1" applyFont="1" applyFill="1" applyBorder="1" applyAlignment="1">
      <alignment horizontal="center" vertical="center" wrapText="1"/>
    </xf>
    <xf numFmtId="3" fontId="1" fillId="10" borderId="222" xfId="0" quotePrefix="1" applyNumberFormat="1" applyFont="1" applyFill="1" applyBorder="1" applyAlignment="1">
      <alignment horizontal="center" vertical="center" wrapText="1"/>
    </xf>
    <xf numFmtId="3" fontId="83" fillId="56" borderId="12" xfId="0" quotePrefix="1" applyNumberFormat="1" applyFont="1" applyFill="1" applyBorder="1" applyAlignment="1">
      <alignment horizontal="center" vertical="center" wrapText="1"/>
    </xf>
    <xf numFmtId="3" fontId="1" fillId="69" borderId="225" xfId="0" quotePrefix="1" applyNumberFormat="1" applyFont="1" applyFill="1" applyBorder="1" applyAlignment="1">
      <alignment horizontal="center" vertical="center" wrapText="1"/>
    </xf>
    <xf numFmtId="3" fontId="83" fillId="56" borderId="222" xfId="0" quotePrefix="1" applyNumberFormat="1" applyFont="1" applyFill="1" applyBorder="1" applyAlignment="1">
      <alignment horizontal="center" vertical="center" wrapText="1"/>
    </xf>
    <xf numFmtId="3" fontId="1" fillId="48" borderId="25" xfId="0" quotePrefix="1" applyNumberFormat="1" applyFont="1" applyFill="1" applyBorder="1" applyAlignment="1">
      <alignment horizontal="center" vertical="center" wrapText="1"/>
    </xf>
    <xf numFmtId="3" fontId="1" fillId="48" borderId="221" xfId="0" quotePrefix="1" applyNumberFormat="1" applyFont="1" applyFill="1" applyBorder="1" applyAlignment="1">
      <alignment horizontal="center" vertical="center" wrapText="1"/>
    </xf>
    <xf numFmtId="3" fontId="83" fillId="56" borderId="12" xfId="0" applyNumberFormat="1" applyFont="1" applyFill="1" applyBorder="1" applyAlignment="1">
      <alignment horizontal="center" vertical="center" wrapText="1"/>
    </xf>
    <xf numFmtId="3" fontId="43" fillId="56" borderId="221" xfId="0" applyNumberFormat="1" applyFont="1" applyFill="1" applyBorder="1" applyAlignment="1">
      <alignment horizontal="center" vertical="center" wrapText="1"/>
    </xf>
    <xf numFmtId="3" fontId="10" fillId="3" borderId="8" xfId="0" quotePrefix="1" applyNumberFormat="1" applyFont="1" applyFill="1" applyBorder="1" applyAlignment="1">
      <alignment horizontal="right" vertical="center" indent="1"/>
    </xf>
    <xf numFmtId="0" fontId="32" fillId="27" borderId="306" xfId="0" applyFont="1" applyFill="1" applyBorder="1"/>
    <xf numFmtId="0" fontId="32" fillId="27" borderId="571" xfId="0" applyFont="1" applyFill="1" applyBorder="1"/>
    <xf numFmtId="3" fontId="10" fillId="0" borderId="21" xfId="0" applyNumberFormat="1" applyFont="1" applyFill="1" applyBorder="1" applyAlignment="1">
      <alignment horizontal="right" vertical="center" indent="1"/>
    </xf>
    <xf numFmtId="3" fontId="8" fillId="32" borderId="0" xfId="0" applyNumberFormat="1" applyFont="1" applyFill="1" applyAlignment="1">
      <alignment horizontal="right" vertical="center"/>
    </xf>
    <xf numFmtId="3" fontId="10" fillId="3" borderId="9" xfId="0" applyNumberFormat="1" applyFont="1" applyFill="1" applyBorder="1" applyAlignment="1">
      <alignment horizontal="right" vertical="center" indent="1"/>
    </xf>
    <xf numFmtId="171" fontId="8" fillId="12" borderId="572" xfId="0" applyNumberFormat="1" applyFont="1" applyFill="1" applyBorder="1" applyAlignment="1">
      <alignment horizontal="center" vertical="center"/>
    </xf>
    <xf numFmtId="0" fontId="8" fillId="12" borderId="572" xfId="0" applyFont="1" applyFill="1" applyBorder="1" applyAlignment="1">
      <alignment horizontal="center" vertical="center"/>
    </xf>
    <xf numFmtId="0" fontId="8" fillId="12" borderId="573" xfId="0" applyFont="1" applyFill="1" applyBorder="1" applyAlignment="1">
      <alignment horizontal="center" vertical="center"/>
    </xf>
    <xf numFmtId="0" fontId="10" fillId="3" borderId="11" xfId="0" applyFont="1" applyFill="1" applyBorder="1" applyAlignment="1">
      <alignment vertical="center" wrapText="1"/>
    </xf>
    <xf numFmtId="0" fontId="10" fillId="3" borderId="25" xfId="0" applyFont="1" applyFill="1" applyBorder="1" applyAlignment="1">
      <alignment vertical="center" wrapText="1"/>
    </xf>
    <xf numFmtId="0" fontId="8" fillId="12" borderId="147" xfId="0" applyFont="1" applyFill="1" applyBorder="1" applyAlignment="1">
      <alignment horizontal="left" vertical="center" indent="1"/>
    </xf>
    <xf numFmtId="3" fontId="10" fillId="0" borderId="9" xfId="0" applyNumberFormat="1" applyFont="1" applyFill="1" applyBorder="1" applyAlignment="1">
      <alignment horizontal="center" vertical="center"/>
    </xf>
    <xf numFmtId="0" fontId="8" fillId="12" borderId="147" xfId="0" applyFont="1" applyFill="1" applyBorder="1" applyAlignment="1">
      <alignment horizontal="left" vertical="center" indent="1"/>
    </xf>
    <xf numFmtId="0" fontId="8" fillId="3" borderId="0" xfId="0" applyFont="1" applyFill="1" applyBorder="1" applyAlignment="1">
      <alignment horizontal="center" textRotation="90"/>
    </xf>
    <xf numFmtId="0" fontId="43" fillId="22" borderId="16" xfId="0" applyFont="1" applyFill="1" applyBorder="1" applyAlignment="1">
      <alignment horizontal="center" textRotation="90"/>
    </xf>
    <xf numFmtId="173" fontId="8" fillId="3" borderId="0" xfId="1" applyNumberFormat="1" applyFont="1" applyFill="1" applyBorder="1" applyAlignment="1">
      <alignment horizontal="center" vertical="center"/>
    </xf>
    <xf numFmtId="0" fontId="115" fillId="22" borderId="147" xfId="0" applyFont="1" applyFill="1" applyBorder="1" applyAlignment="1">
      <alignment horizontal="right" vertical="center" wrapText="1"/>
    </xf>
    <xf numFmtId="0" fontId="8" fillId="22" borderId="147" xfId="0" applyFont="1" applyFill="1" applyBorder="1" applyAlignment="1">
      <alignment horizontal="center" vertical="center" wrapText="1"/>
    </xf>
    <xf numFmtId="0" fontId="24" fillId="22" borderId="147" xfId="0" applyFont="1" applyFill="1" applyBorder="1" applyAlignment="1">
      <alignment horizontal="center" vertical="center" wrapText="1"/>
    </xf>
    <xf numFmtId="3" fontId="10" fillId="3" borderId="9" xfId="0" applyNumberFormat="1" applyFont="1" applyFill="1" applyBorder="1" applyAlignment="1">
      <alignment horizontal="center" vertical="center"/>
    </xf>
    <xf numFmtId="177" fontId="10" fillId="3" borderId="178" xfId="0" applyNumberFormat="1" applyFont="1" applyFill="1" applyBorder="1" applyAlignment="1">
      <alignment horizontal="center" vertical="center"/>
    </xf>
    <xf numFmtId="173" fontId="10" fillId="3" borderId="147" xfId="1" applyNumberFormat="1" applyFont="1" applyFill="1" applyBorder="1" applyAlignment="1">
      <alignment horizontal="center" vertical="center" wrapText="1"/>
    </xf>
    <xf numFmtId="173" fontId="10" fillId="3" borderId="9" xfId="1" applyNumberFormat="1" applyFont="1" applyFill="1" applyBorder="1" applyAlignment="1">
      <alignment horizontal="center" vertical="center" wrapText="1"/>
    </xf>
    <xf numFmtId="173" fontId="10" fillId="3" borderId="178" xfId="1" applyNumberFormat="1" applyFont="1" applyFill="1" applyBorder="1" applyAlignment="1">
      <alignment horizontal="center" vertical="center" wrapText="1"/>
    </xf>
    <xf numFmtId="177" fontId="10" fillId="3" borderId="12" xfId="0" applyNumberFormat="1" applyFont="1" applyFill="1" applyBorder="1" applyAlignment="1">
      <alignment horizontal="center" vertical="center"/>
    </xf>
    <xf numFmtId="177" fontId="10" fillId="3" borderId="25" xfId="0" applyNumberFormat="1" applyFont="1" applyFill="1" applyBorder="1" applyAlignment="1">
      <alignment horizontal="center" vertical="center"/>
    </xf>
    <xf numFmtId="177" fontId="10" fillId="3" borderId="574" xfId="0" applyNumberFormat="1" applyFont="1" applyFill="1" applyBorder="1" applyAlignment="1">
      <alignment horizontal="center" vertical="center"/>
    </xf>
    <xf numFmtId="0" fontId="8" fillId="0" borderId="40" xfId="0" quotePrefix="1" applyFont="1" applyFill="1" applyBorder="1" applyAlignment="1">
      <alignment horizontal="left" vertical="center" readingOrder="1"/>
    </xf>
    <xf numFmtId="0" fontId="8" fillId="0" borderId="397" xfId="0" applyFont="1" applyFill="1" applyBorder="1" applyAlignment="1">
      <alignment horizontal="center" vertical="center"/>
    </xf>
    <xf numFmtId="0" fontId="8" fillId="0" borderId="398" xfId="0" applyFont="1" applyFill="1" applyBorder="1" applyAlignment="1">
      <alignment horizontal="center" vertical="center"/>
    </xf>
    <xf numFmtId="0" fontId="47" fillId="53" borderId="7" xfId="0" applyFont="1" applyFill="1" applyBorder="1" applyAlignment="1">
      <alignment horizontal="left" vertical="center"/>
    </xf>
    <xf numFmtId="0" fontId="87" fillId="53" borderId="12" xfId="0" applyFont="1" applyFill="1" applyBorder="1"/>
    <xf numFmtId="0" fontId="81" fillId="0" borderId="12" xfId="0" applyFont="1" applyFill="1" applyBorder="1" applyAlignment="1">
      <alignment horizontal="left" vertical="center" readingOrder="1"/>
    </xf>
    <xf numFmtId="0" fontId="81" fillId="0" borderId="228" xfId="0" applyFont="1" applyFill="1" applyBorder="1" applyAlignment="1">
      <alignment horizontal="left" vertical="center" readingOrder="1"/>
    </xf>
    <xf numFmtId="0" fontId="193" fillId="29" borderId="0" xfId="0" quotePrefix="1" applyFont="1" applyFill="1" applyBorder="1"/>
    <xf numFmtId="3" fontId="8" fillId="22" borderId="161" xfId="0" applyNumberFormat="1" applyFont="1" applyFill="1" applyBorder="1" applyAlignment="1">
      <alignment horizontal="center" vertical="center"/>
    </xf>
    <xf numFmtId="3" fontId="8" fillId="10" borderId="27" xfId="0" applyNumberFormat="1" applyFont="1" applyFill="1" applyBorder="1" applyAlignment="1">
      <alignment horizontal="center" vertical="center"/>
    </xf>
    <xf numFmtId="0" fontId="8" fillId="0" borderId="160" xfId="0" applyFont="1" applyFill="1" applyBorder="1" applyAlignment="1">
      <alignment horizontal="left" vertical="center" indent="1"/>
    </xf>
    <xf numFmtId="3" fontId="86" fillId="22" borderId="575" xfId="0" applyNumberFormat="1" applyFont="1" applyFill="1" applyBorder="1" applyAlignment="1">
      <alignment horizontal="right" vertical="center"/>
    </xf>
    <xf numFmtId="3" fontId="56" fillId="14" borderId="577" xfId="0" applyNumberFormat="1" applyFont="1" applyFill="1" applyBorder="1" applyAlignment="1">
      <alignment horizontal="center" vertical="center" wrapText="1"/>
    </xf>
    <xf numFmtId="3" fontId="56" fillId="14" borderId="576" xfId="0" applyNumberFormat="1" applyFont="1" applyFill="1" applyBorder="1" applyAlignment="1">
      <alignment horizontal="center" vertical="center" wrapText="1"/>
    </xf>
    <xf numFmtId="3" fontId="56" fillId="14" borderId="578" xfId="0" applyNumberFormat="1" applyFont="1" applyFill="1" applyBorder="1" applyAlignment="1">
      <alignment horizontal="center" vertical="center" wrapText="1"/>
    </xf>
    <xf numFmtId="3" fontId="22" fillId="14" borderId="578" xfId="0" applyNumberFormat="1" applyFont="1" applyFill="1" applyBorder="1" applyAlignment="1">
      <alignment horizontal="center" vertical="center" wrapText="1"/>
    </xf>
    <xf numFmtId="3" fontId="56" fillId="14" borderId="193" xfId="0" quotePrefix="1" applyNumberFormat="1" applyFont="1" applyFill="1" applyBorder="1" applyAlignment="1">
      <alignment horizontal="center" vertical="center" wrapText="1"/>
    </xf>
    <xf numFmtId="3" fontId="56" fillId="14" borderId="267" xfId="0" applyNumberFormat="1" applyFont="1" applyFill="1" applyBorder="1" applyAlignment="1">
      <alignment horizontal="center" vertical="center" wrapText="1"/>
    </xf>
    <xf numFmtId="3" fontId="56" fillId="14" borderId="193" xfId="0" applyNumberFormat="1" applyFont="1" applyFill="1" applyBorder="1" applyAlignment="1">
      <alignment horizontal="center" vertical="center" wrapText="1"/>
    </xf>
    <xf numFmtId="9" fontId="144" fillId="0" borderId="5" xfId="1" applyFont="1" applyFill="1" applyBorder="1" applyAlignment="1">
      <alignment horizontal="right" vertical="center"/>
    </xf>
    <xf numFmtId="0" fontId="1" fillId="0" borderId="5" xfId="0" applyFont="1" applyBorder="1" applyAlignment="1">
      <alignment horizontal="right" vertical="center"/>
    </xf>
    <xf numFmtId="173" fontId="194" fillId="14" borderId="576" xfId="1" applyNumberFormat="1" applyFont="1" applyFill="1" applyBorder="1" applyAlignment="1">
      <alignment horizontal="center" vertical="center" wrapText="1"/>
    </xf>
    <xf numFmtId="170" fontId="192" fillId="56" borderId="579" xfId="0" applyNumberFormat="1" applyFont="1" applyFill="1" applyBorder="1" applyAlignment="1">
      <alignment horizontal="right" vertical="center" indent="1"/>
    </xf>
    <xf numFmtId="1" fontId="24" fillId="0" borderId="214" xfId="0" applyNumberFormat="1" applyFont="1" applyFill="1" applyBorder="1" applyAlignment="1">
      <alignment horizontal="center" vertical="center"/>
    </xf>
    <xf numFmtId="10" fontId="57" fillId="56" borderId="147" xfId="1" applyNumberFormat="1" applyFont="1" applyFill="1" applyBorder="1" applyAlignment="1">
      <alignment horizontal="center" vertical="center"/>
    </xf>
    <xf numFmtId="10" fontId="8" fillId="28" borderId="147" xfId="1" applyNumberFormat="1" applyFont="1" applyFill="1" applyBorder="1" applyAlignment="1">
      <alignment horizontal="center" vertical="center"/>
    </xf>
    <xf numFmtId="0" fontId="6" fillId="0" borderId="0" xfId="0" applyFont="1" applyAlignment="1">
      <alignment horizontal="center" wrapText="1"/>
    </xf>
    <xf numFmtId="171" fontId="26" fillId="23" borderId="343" xfId="0" applyNumberFormat="1" applyFont="1" applyFill="1" applyBorder="1" applyAlignment="1">
      <alignment horizontal="center" vertical="center"/>
    </xf>
    <xf numFmtId="171" fontId="26" fillId="23" borderId="342" xfId="0" applyNumberFormat="1" applyFont="1" applyFill="1" applyBorder="1" applyAlignment="1">
      <alignment horizontal="center" vertical="center"/>
    </xf>
    <xf numFmtId="171" fontId="26" fillId="23" borderId="344" xfId="0" applyNumberFormat="1" applyFont="1" applyFill="1" applyBorder="1" applyAlignment="1">
      <alignment horizontal="center" vertical="center"/>
    </xf>
    <xf numFmtId="171" fontId="26" fillId="23" borderId="471" xfId="0" applyNumberFormat="1" applyFont="1" applyFill="1" applyBorder="1" applyAlignment="1">
      <alignment horizontal="center" vertical="center"/>
    </xf>
    <xf numFmtId="171" fontId="26" fillId="23" borderId="339" xfId="0" applyNumberFormat="1" applyFont="1" applyFill="1" applyBorder="1" applyAlignment="1">
      <alignment horizontal="center" vertical="center"/>
    </xf>
    <xf numFmtId="171" fontId="26" fillId="23" borderId="341" xfId="0" applyNumberFormat="1" applyFont="1" applyFill="1" applyBorder="1" applyAlignment="1">
      <alignment horizontal="center" vertical="center"/>
    </xf>
    <xf numFmtId="171" fontId="26" fillId="23" borderId="466" xfId="0" applyNumberFormat="1" applyFont="1" applyFill="1" applyBorder="1" applyAlignment="1">
      <alignment horizontal="center" vertical="center"/>
    </xf>
    <xf numFmtId="0" fontId="0" fillId="22" borderId="25" xfId="0" applyFill="1" applyBorder="1"/>
    <xf numFmtId="178" fontId="195" fillId="0" borderId="237" xfId="1" applyNumberFormat="1" applyFont="1" applyFill="1" applyBorder="1" applyAlignment="1">
      <alignment horizontal="center" vertical="center"/>
    </xf>
    <xf numFmtId="178" fontId="195" fillId="0" borderId="238" xfId="1" applyNumberFormat="1" applyFont="1" applyFill="1" applyBorder="1" applyAlignment="1">
      <alignment horizontal="center" vertical="center"/>
    </xf>
    <xf numFmtId="178" fontId="195" fillId="0" borderId="336" xfId="1" applyNumberFormat="1" applyFont="1" applyFill="1" applyBorder="1" applyAlignment="1">
      <alignment horizontal="center" vertical="center"/>
    </xf>
    <xf numFmtId="178" fontId="195" fillId="0" borderId="239" xfId="1" applyNumberFormat="1" applyFont="1" applyFill="1" applyBorder="1" applyAlignment="1">
      <alignment horizontal="center" vertical="center"/>
    </xf>
    <xf numFmtId="178" fontId="195" fillId="0" borderId="240" xfId="1" applyNumberFormat="1" applyFont="1" applyFill="1" applyBorder="1" applyAlignment="1">
      <alignment horizontal="center" vertical="center"/>
    </xf>
    <xf numFmtId="178" fontId="195" fillId="0" borderId="160" xfId="1" applyNumberFormat="1" applyFont="1" applyFill="1" applyBorder="1" applyAlignment="1">
      <alignment horizontal="center" vertical="center"/>
    </xf>
    <xf numFmtId="178" fontId="195" fillId="0" borderId="292" xfId="1" applyNumberFormat="1" applyFont="1" applyFill="1" applyBorder="1" applyAlignment="1">
      <alignment horizontal="center" vertical="center"/>
    </xf>
    <xf numFmtId="178" fontId="195" fillId="0" borderId="241" xfId="1" applyNumberFormat="1" applyFont="1" applyFill="1" applyBorder="1" applyAlignment="1">
      <alignment horizontal="center" vertical="center"/>
    </xf>
    <xf numFmtId="178" fontId="195" fillId="0" borderId="242" xfId="1" applyNumberFormat="1" applyFont="1" applyFill="1" applyBorder="1" applyAlignment="1">
      <alignment horizontal="center" vertical="center"/>
    </xf>
    <xf numFmtId="178" fontId="195" fillId="0" borderId="243" xfId="1" applyNumberFormat="1" applyFont="1" applyFill="1" applyBorder="1" applyAlignment="1">
      <alignment horizontal="center" vertical="center"/>
    </xf>
    <xf numFmtId="178" fontId="195" fillId="0" borderId="337" xfId="1" applyNumberFormat="1" applyFont="1" applyFill="1" applyBorder="1" applyAlignment="1">
      <alignment horizontal="center" vertical="center"/>
    </xf>
    <xf numFmtId="178" fontId="195" fillId="0" borderId="244" xfId="1" applyNumberFormat="1" applyFont="1" applyFill="1" applyBorder="1" applyAlignment="1">
      <alignment horizontal="center" vertical="center"/>
    </xf>
    <xf numFmtId="0" fontId="43" fillId="22" borderId="7" xfId="0" applyFont="1" applyFill="1" applyBorder="1" applyAlignment="1">
      <alignment vertical="center" textRotation="90"/>
    </xf>
    <xf numFmtId="0" fontId="43" fillId="22" borderId="16" xfId="0" applyFont="1" applyFill="1" applyBorder="1" applyAlignment="1">
      <alignment vertical="center" textRotation="90"/>
    </xf>
    <xf numFmtId="0" fontId="6" fillId="3" borderId="0" xfId="0" applyFont="1" applyFill="1" applyAlignment="1">
      <alignment horizontal="right" vertical="center"/>
    </xf>
    <xf numFmtId="3" fontId="23" fillId="3" borderId="7" xfId="0" applyNumberFormat="1" applyFont="1" applyFill="1" applyBorder="1" applyAlignment="1">
      <alignment horizontal="center" vertical="center"/>
    </xf>
    <xf numFmtId="3" fontId="23" fillId="3" borderId="27" xfId="0" applyNumberFormat="1" applyFont="1" applyFill="1" applyBorder="1" applyAlignment="1">
      <alignment horizontal="center" vertical="center"/>
    </xf>
    <xf numFmtId="0" fontId="41" fillId="3" borderId="375" xfId="0" applyNumberFormat="1" applyFont="1" applyFill="1" applyBorder="1" applyAlignment="1">
      <alignment horizontal="center" vertical="center"/>
    </xf>
    <xf numFmtId="0" fontId="6" fillId="0" borderId="0" xfId="0" applyFont="1" applyAlignment="1">
      <alignment horizontal="right" vertical="center"/>
    </xf>
    <xf numFmtId="0" fontId="43" fillId="22" borderId="24" xfId="0" applyFont="1" applyFill="1" applyBorder="1" applyAlignment="1">
      <alignment vertical="center" textRotation="90"/>
    </xf>
    <xf numFmtId="170" fontId="8" fillId="69" borderId="388" xfId="1" applyNumberFormat="1" applyFont="1" applyFill="1" applyBorder="1" applyAlignment="1">
      <alignment horizontal="center" textRotation="90"/>
    </xf>
    <xf numFmtId="170" fontId="8" fillId="69" borderId="102" xfId="1" applyNumberFormat="1" applyFont="1" applyFill="1" applyBorder="1" applyAlignment="1">
      <alignment horizontal="center" textRotation="90"/>
    </xf>
    <xf numFmtId="170" fontId="8" fillId="69" borderId="194" xfId="1" applyNumberFormat="1" applyFont="1" applyFill="1" applyBorder="1" applyAlignment="1">
      <alignment horizontal="center" textRotation="90"/>
    </xf>
    <xf numFmtId="170" fontId="8" fillId="48" borderId="388" xfId="0" applyNumberFormat="1" applyFont="1" applyFill="1" applyBorder="1" applyAlignment="1">
      <alignment horizontal="center" textRotation="90"/>
    </xf>
    <xf numFmtId="170" fontId="8" fillId="48" borderId="102" xfId="0" applyNumberFormat="1" applyFont="1" applyFill="1" applyBorder="1" applyAlignment="1">
      <alignment horizontal="center" textRotation="90"/>
    </xf>
    <xf numFmtId="170" fontId="8" fillId="48" borderId="387" xfId="0" applyNumberFormat="1" applyFont="1" applyFill="1" applyBorder="1" applyAlignment="1">
      <alignment horizontal="center" textRotation="90"/>
    </xf>
    <xf numFmtId="170" fontId="8" fillId="48" borderId="9" xfId="0" applyNumberFormat="1" applyFont="1" applyFill="1" applyBorder="1" applyAlignment="1">
      <alignment horizontal="center" textRotation="90"/>
    </xf>
    <xf numFmtId="170" fontId="8" fillId="48" borderId="194" xfId="0" applyNumberFormat="1" applyFont="1" applyFill="1" applyBorder="1" applyAlignment="1">
      <alignment horizontal="center" textRotation="90"/>
    </xf>
    <xf numFmtId="170" fontId="8" fillId="3" borderId="0" xfId="0" applyNumberFormat="1" applyFont="1" applyFill="1" applyBorder="1" applyAlignment="1">
      <alignment horizontal="center" vertical="center" textRotation="90" wrapText="1"/>
    </xf>
    <xf numFmtId="0" fontId="5" fillId="2" borderId="0" xfId="0" applyFont="1" applyFill="1" applyAlignment="1">
      <alignment horizontal="center"/>
    </xf>
    <xf numFmtId="3" fontId="23" fillId="3" borderId="147" xfId="0" quotePrefix="1" applyNumberFormat="1" applyFont="1" applyFill="1" applyBorder="1" applyAlignment="1">
      <alignment horizontal="center" vertical="center"/>
    </xf>
    <xf numFmtId="0" fontId="45" fillId="3" borderId="7" xfId="0" quotePrefix="1" applyFont="1" applyFill="1" applyBorder="1" applyAlignment="1">
      <alignment horizontal="center" vertical="center"/>
    </xf>
    <xf numFmtId="0" fontId="45" fillId="3" borderId="0" xfId="0" quotePrefix="1" applyFont="1" applyFill="1" applyBorder="1" applyAlignment="1">
      <alignment horizontal="center" vertical="center"/>
    </xf>
    <xf numFmtId="0" fontId="5" fillId="22" borderId="0" xfId="0" applyFont="1" applyFill="1" applyBorder="1"/>
    <xf numFmtId="9" fontId="197" fillId="3" borderId="147" xfId="1" applyFont="1" applyFill="1" applyBorder="1" applyAlignment="1">
      <alignment horizontal="center" vertical="center"/>
    </xf>
    <xf numFmtId="9" fontId="116" fillId="3" borderId="147" xfId="1" quotePrefix="1" applyFont="1" applyFill="1" applyBorder="1" applyAlignment="1">
      <alignment horizontal="center" vertical="center"/>
    </xf>
    <xf numFmtId="0" fontId="68" fillId="3" borderId="0" xfId="0" applyFont="1" applyFill="1" applyBorder="1" applyAlignment="1">
      <alignment horizontal="left"/>
    </xf>
    <xf numFmtId="0" fontId="8" fillId="27" borderId="0" xfId="0" applyFont="1" applyFill="1" applyAlignment="1">
      <alignment horizontal="center" textRotation="90"/>
    </xf>
    <xf numFmtId="0" fontId="8" fillId="0" borderId="0" xfId="0" applyFont="1" applyAlignment="1">
      <alignment horizontal="center" vertical="center" wrapText="1"/>
    </xf>
    <xf numFmtId="0" fontId="8" fillId="0" borderId="0" xfId="0" applyFont="1" applyBorder="1" applyAlignment="1">
      <alignment horizontal="center" vertical="center" wrapText="1"/>
    </xf>
    <xf numFmtId="0" fontId="166" fillId="0" borderId="0" xfId="0" applyFont="1" applyAlignment="1">
      <alignment horizontal="center" wrapText="1"/>
    </xf>
    <xf numFmtId="0" fontId="32" fillId="3" borderId="147" xfId="0" applyFont="1" applyFill="1" applyBorder="1"/>
    <xf numFmtId="175" fontId="8" fillId="3" borderId="227" xfId="0" applyNumberFormat="1" applyFont="1" applyFill="1" applyBorder="1" applyAlignment="1">
      <alignment horizontal="center" textRotation="90"/>
    </xf>
    <xf numFmtId="0" fontId="1" fillId="3" borderId="147" xfId="0" applyFont="1" applyFill="1" applyBorder="1" applyAlignment="1">
      <alignment vertical="center"/>
    </xf>
    <xf numFmtId="174" fontId="8" fillId="3" borderId="227" xfId="0" applyNumberFormat="1" applyFont="1" applyFill="1" applyBorder="1" applyAlignment="1">
      <alignment horizontal="center" textRotation="90"/>
    </xf>
    <xf numFmtId="1" fontId="8" fillId="3" borderId="227" xfId="0" applyNumberFormat="1" applyFont="1" applyFill="1" applyBorder="1" applyAlignment="1">
      <alignment horizontal="center" vertical="center"/>
    </xf>
    <xf numFmtId="0" fontId="147" fillId="63" borderId="0" xfId="0" applyFont="1" applyFill="1" applyBorder="1" applyAlignment="1">
      <alignment horizontal="center" vertical="center"/>
    </xf>
    <xf numFmtId="0" fontId="144" fillId="63" borderId="0" xfId="0" applyFont="1" applyFill="1" applyBorder="1" applyAlignment="1">
      <alignment horizontal="left" vertical="center"/>
    </xf>
    <xf numFmtId="0" fontId="1" fillId="32" borderId="0" xfId="0" applyFont="1" applyFill="1" applyAlignment="1">
      <alignment vertical="center"/>
    </xf>
    <xf numFmtId="0" fontId="67" fillId="64" borderId="15" xfId="0" applyFont="1" applyFill="1" applyBorder="1" applyAlignment="1">
      <alignment vertical="center"/>
    </xf>
    <xf numFmtId="175" fontId="67" fillId="0" borderId="15" xfId="0" applyNumberFormat="1" applyFont="1" applyFill="1" applyBorder="1" applyAlignment="1">
      <alignment horizontal="left" vertical="center"/>
    </xf>
    <xf numFmtId="0" fontId="67" fillId="0" borderId="15" xfId="0" applyFont="1" applyFill="1" applyBorder="1" applyAlignment="1">
      <alignment horizontal="left" vertical="center"/>
    </xf>
    <xf numFmtId="174" fontId="67" fillId="64" borderId="15" xfId="1" applyNumberFormat="1" applyFont="1" applyFill="1" applyBorder="1" applyAlignment="1">
      <alignment horizontal="right" vertical="center"/>
    </xf>
    <xf numFmtId="4" fontId="67" fillId="0" borderId="15" xfId="0" applyNumberFormat="1" applyFont="1" applyFill="1" applyBorder="1" applyAlignment="1">
      <alignment vertical="center"/>
    </xf>
    <xf numFmtId="2" fontId="67" fillId="0" borderId="15" xfId="0" applyNumberFormat="1" applyFont="1" applyFill="1" applyBorder="1" applyAlignment="1">
      <alignment vertical="center"/>
    </xf>
    <xf numFmtId="2" fontId="67" fillId="0" borderId="15" xfId="0" applyNumberFormat="1" applyFont="1" applyFill="1" applyBorder="1" applyAlignment="1">
      <alignment horizontal="right" vertical="center"/>
    </xf>
    <xf numFmtId="0" fontId="67" fillId="0" borderId="15" xfId="0" applyFont="1" applyFill="1" applyBorder="1" applyAlignment="1">
      <alignment horizontal="right" vertical="center"/>
    </xf>
    <xf numFmtId="0" fontId="67" fillId="64" borderId="88" xfId="0" applyFont="1" applyFill="1" applyBorder="1" applyAlignment="1">
      <alignment vertical="center"/>
    </xf>
    <xf numFmtId="175" fontId="67" fillId="0" borderId="88" xfId="0" applyNumberFormat="1" applyFont="1" applyFill="1" applyBorder="1" applyAlignment="1">
      <alignment horizontal="left" vertical="center"/>
    </xf>
    <xf numFmtId="0" fontId="67" fillId="0" borderId="88" xfId="0" applyFont="1" applyFill="1" applyBorder="1" applyAlignment="1">
      <alignment horizontal="left" vertical="center"/>
    </xf>
    <xf numFmtId="174" fontId="67" fillId="64" borderId="88" xfId="1" applyNumberFormat="1" applyFont="1" applyFill="1" applyBorder="1" applyAlignment="1">
      <alignment horizontal="right" vertical="center"/>
    </xf>
    <xf numFmtId="4" fontId="67" fillId="0" borderId="88" xfId="0" applyNumberFormat="1" applyFont="1" applyFill="1" applyBorder="1" applyAlignment="1">
      <alignment vertical="center"/>
    </xf>
    <xf numFmtId="2" fontId="67" fillId="0" borderId="88" xfId="0" applyNumberFormat="1" applyFont="1" applyFill="1" applyBorder="1" applyAlignment="1">
      <alignment vertical="center"/>
    </xf>
    <xf numFmtId="2" fontId="67" fillId="0" borderId="88" xfId="0" applyNumberFormat="1" applyFont="1" applyFill="1" applyBorder="1" applyAlignment="1">
      <alignment horizontal="right" vertical="center"/>
    </xf>
    <xf numFmtId="0" fontId="67" fillId="0" borderId="88" xfId="0" applyFont="1" applyFill="1" applyBorder="1" applyAlignment="1">
      <alignment horizontal="right" vertical="center"/>
    </xf>
    <xf numFmtId="3" fontId="8" fillId="0" borderId="0" xfId="0" applyNumberFormat="1" applyFont="1" applyFill="1" applyBorder="1" applyAlignment="1">
      <alignment horizontal="center" vertical="center"/>
    </xf>
    <xf numFmtId="0" fontId="22" fillId="12" borderId="160" xfId="0" applyFont="1" applyFill="1" applyBorder="1" applyAlignment="1">
      <alignment horizontal="center" vertical="center"/>
    </xf>
    <xf numFmtId="0" fontId="22" fillId="12" borderId="278" xfId="0" applyFont="1" applyFill="1" applyBorder="1" applyAlignment="1">
      <alignment horizontal="center" vertical="center"/>
    </xf>
    <xf numFmtId="189" fontId="22" fillId="12" borderId="277" xfId="0" applyNumberFormat="1" applyFont="1" applyFill="1" applyBorder="1" applyAlignment="1">
      <alignment horizontal="center" vertical="center"/>
    </xf>
    <xf numFmtId="189" fontId="22" fillId="12" borderId="160" xfId="0" applyNumberFormat="1" applyFont="1" applyFill="1" applyBorder="1" applyAlignment="1">
      <alignment horizontal="center" vertical="center"/>
    </xf>
    <xf numFmtId="171" fontId="8" fillId="0" borderId="277" xfId="0" applyNumberFormat="1" applyFont="1" applyFill="1" applyBorder="1" applyAlignment="1">
      <alignment horizontal="left" vertical="center" indent="1"/>
    </xf>
    <xf numFmtId="171" fontId="8" fillId="0" borderId="160" xfId="0" applyNumberFormat="1" applyFont="1" applyFill="1" applyBorder="1" applyAlignment="1">
      <alignment horizontal="left" vertical="center" indent="1"/>
    </xf>
    <xf numFmtId="171" fontId="8" fillId="0" borderId="374" xfId="0" applyNumberFormat="1" applyFont="1" applyFill="1" applyBorder="1" applyAlignment="1">
      <alignment horizontal="left" vertical="center" indent="1"/>
    </xf>
    <xf numFmtId="0" fontId="8" fillId="0" borderId="278" xfId="0" applyFont="1" applyFill="1" applyBorder="1" applyAlignment="1">
      <alignment horizontal="left" vertical="center" indent="1"/>
    </xf>
    <xf numFmtId="0" fontId="8" fillId="27" borderId="0" xfId="0" applyFont="1" applyFill="1" applyAlignment="1">
      <alignment textRotation="90"/>
    </xf>
    <xf numFmtId="0" fontId="146" fillId="0" borderId="0" xfId="0" applyFont="1" applyAlignment="1">
      <alignment wrapText="1"/>
    </xf>
    <xf numFmtId="0" fontId="166" fillId="0" borderId="0" xfId="0" applyFont="1" applyAlignment="1">
      <alignment wrapText="1"/>
    </xf>
    <xf numFmtId="178" fontId="195" fillId="0" borderId="5" xfId="1" applyNumberFormat="1" applyFont="1" applyFill="1" applyBorder="1" applyAlignment="1">
      <alignment horizontal="center" vertical="center"/>
    </xf>
    <xf numFmtId="170" fontId="195" fillId="0" borderId="237" xfId="1" applyNumberFormat="1" applyFont="1" applyFill="1" applyBorder="1" applyAlignment="1">
      <alignment horizontal="center" vertical="center"/>
    </xf>
    <xf numFmtId="170" fontId="195" fillId="0" borderId="238" xfId="1" applyNumberFormat="1" applyFont="1" applyFill="1" applyBorder="1" applyAlignment="1">
      <alignment horizontal="center" vertical="center"/>
    </xf>
    <xf numFmtId="170" fontId="195" fillId="0" borderId="336" xfId="1" applyNumberFormat="1" applyFont="1" applyFill="1" applyBorder="1" applyAlignment="1">
      <alignment horizontal="center" vertical="center"/>
    </xf>
    <xf numFmtId="170" fontId="195" fillId="0" borderId="239" xfId="1" applyNumberFormat="1" applyFont="1" applyFill="1" applyBorder="1" applyAlignment="1">
      <alignment horizontal="center" vertical="center"/>
    </xf>
    <xf numFmtId="170" fontId="195" fillId="0" borderId="240" xfId="1" applyNumberFormat="1" applyFont="1" applyFill="1" applyBorder="1" applyAlignment="1">
      <alignment horizontal="center" vertical="center"/>
    </xf>
    <xf numFmtId="170" fontId="195" fillId="0" borderId="160" xfId="1" applyNumberFormat="1" applyFont="1" applyFill="1" applyBorder="1" applyAlignment="1">
      <alignment horizontal="center" vertical="center"/>
    </xf>
    <xf numFmtId="170" fontId="195" fillId="0" borderId="292" xfId="1" applyNumberFormat="1" applyFont="1" applyFill="1" applyBorder="1" applyAlignment="1">
      <alignment horizontal="center" vertical="center"/>
    </xf>
    <xf numFmtId="170" fontId="195" fillId="0" borderId="241" xfId="1" applyNumberFormat="1" applyFont="1" applyFill="1" applyBorder="1" applyAlignment="1">
      <alignment horizontal="center" vertical="center"/>
    </xf>
    <xf numFmtId="170" fontId="195" fillId="0" borderId="242" xfId="1" applyNumberFormat="1" applyFont="1" applyFill="1" applyBorder="1" applyAlignment="1">
      <alignment horizontal="center" vertical="center"/>
    </xf>
    <xf numFmtId="170" fontId="195" fillId="0" borderId="243" xfId="1" applyNumberFormat="1" applyFont="1" applyFill="1" applyBorder="1" applyAlignment="1">
      <alignment horizontal="center" vertical="center"/>
    </xf>
    <xf numFmtId="170" fontId="195" fillId="0" borderId="337" xfId="1" applyNumberFormat="1" applyFont="1" applyFill="1" applyBorder="1" applyAlignment="1">
      <alignment horizontal="center" vertical="center"/>
    </xf>
    <xf numFmtId="170" fontId="195" fillId="0" borderId="244" xfId="1" applyNumberFormat="1" applyFont="1" applyFill="1" applyBorder="1" applyAlignment="1">
      <alignment horizontal="center" vertical="center"/>
    </xf>
    <xf numFmtId="10" fontId="92" fillId="0" borderId="385" xfId="1" applyNumberFormat="1" applyFont="1" applyFill="1" applyBorder="1" applyAlignment="1">
      <alignment horizontal="center" vertical="center"/>
    </xf>
    <xf numFmtId="2" fontId="92" fillId="0" borderId="270" xfId="0" applyNumberFormat="1" applyFont="1" applyFill="1" applyBorder="1" applyAlignment="1">
      <alignment horizontal="center" vertical="center"/>
    </xf>
    <xf numFmtId="10" fontId="92" fillId="0" borderId="270" xfId="1" applyNumberFormat="1" applyFont="1" applyFill="1" applyBorder="1" applyAlignment="1">
      <alignment horizontal="center" vertical="center"/>
    </xf>
    <xf numFmtId="0" fontId="17" fillId="0" borderId="0" xfId="0" applyFont="1" applyBorder="1" applyAlignment="1">
      <alignment wrapText="1"/>
    </xf>
    <xf numFmtId="0" fontId="146" fillId="0" borderId="0" xfId="0" applyFont="1" applyBorder="1" applyAlignment="1">
      <alignment wrapText="1"/>
    </xf>
    <xf numFmtId="3" fontId="1" fillId="10" borderId="67" xfId="0" applyNumberFormat="1" applyFont="1" applyFill="1" applyBorder="1" applyAlignment="1">
      <alignment horizontal="center" vertical="center"/>
    </xf>
    <xf numFmtId="0" fontId="8" fillId="0" borderId="147" xfId="0" quotePrefix="1" applyFont="1" applyFill="1" applyBorder="1" applyAlignment="1">
      <alignment horizontal="center" vertical="center"/>
    </xf>
    <xf numFmtId="0" fontId="4" fillId="34" borderId="9" xfId="0" applyFont="1" applyFill="1" applyBorder="1" applyAlignment="1">
      <alignment vertical="center"/>
    </xf>
    <xf numFmtId="0" fontId="4" fillId="34" borderId="8" xfId="0" applyFont="1" applyFill="1" applyBorder="1" applyAlignment="1">
      <alignment vertical="center"/>
    </xf>
    <xf numFmtId="0" fontId="4" fillId="34" borderId="10" xfId="0" applyFont="1" applyFill="1" applyBorder="1" applyAlignment="1">
      <alignment vertical="center"/>
    </xf>
    <xf numFmtId="3" fontId="10" fillId="22" borderId="160" xfId="0" applyNumberFormat="1" applyFont="1" applyFill="1" applyBorder="1" applyAlignment="1">
      <alignment horizontal="center" vertical="center"/>
    </xf>
    <xf numFmtId="3" fontId="10" fillId="22" borderId="290" xfId="0" applyNumberFormat="1" applyFont="1" applyFill="1" applyBorder="1" applyAlignment="1">
      <alignment horizontal="center" vertical="center"/>
    </xf>
    <xf numFmtId="0" fontId="40" fillId="0" borderId="0" xfId="0" applyFont="1" applyAlignment="1">
      <alignment horizontal="left"/>
    </xf>
    <xf numFmtId="0" fontId="40" fillId="0" borderId="0" xfId="0" applyFont="1" applyBorder="1" applyAlignment="1">
      <alignment horizontal="left"/>
    </xf>
    <xf numFmtId="190" fontId="8" fillId="0" borderId="0" xfId="0" applyNumberFormat="1" applyFont="1" applyBorder="1" applyAlignment="1">
      <alignment horizontal="center" vertical="center"/>
    </xf>
    <xf numFmtId="0" fontId="32" fillId="34" borderId="10" xfId="0" applyFont="1" applyFill="1" applyBorder="1"/>
    <xf numFmtId="49" fontId="8" fillId="0" borderId="88" xfId="0" applyNumberFormat="1" applyFont="1" applyFill="1" applyBorder="1" applyAlignment="1">
      <alignment horizontal="center" vertical="center"/>
    </xf>
    <xf numFmtId="49" fontId="8" fillId="0" borderId="137" xfId="0" applyNumberFormat="1" applyFont="1" applyFill="1" applyBorder="1" applyAlignment="1">
      <alignment horizontal="center" vertical="center"/>
    </xf>
    <xf numFmtId="0" fontId="8" fillId="0" borderId="439" xfId="0" applyFont="1" applyFill="1" applyBorder="1" applyAlignment="1">
      <alignment vertical="center"/>
    </xf>
    <xf numFmtId="49" fontId="8" fillId="0" borderId="439" xfId="0" applyNumberFormat="1" applyFont="1" applyFill="1" applyBorder="1" applyAlignment="1">
      <alignment horizontal="center" vertical="center"/>
    </xf>
    <xf numFmtId="0" fontId="1" fillId="0" borderId="27" xfId="0" applyFont="1" applyBorder="1" applyAlignment="1">
      <alignment horizontal="center" vertical="center"/>
    </xf>
    <xf numFmtId="0" fontId="8" fillId="0" borderId="0" xfId="0" applyNumberFormat="1" applyFont="1" applyAlignment="1">
      <alignment horizontal="center" vertical="top"/>
    </xf>
    <xf numFmtId="0" fontId="1" fillId="26" borderId="0" xfId="0" applyFont="1" applyFill="1" applyBorder="1" applyAlignment="1">
      <alignment horizontal="center" textRotation="90"/>
    </xf>
    <xf numFmtId="0" fontId="6" fillId="26" borderId="0" xfId="0" applyFont="1" applyFill="1" applyBorder="1" applyAlignment="1">
      <alignment horizontal="center" wrapText="1"/>
    </xf>
    <xf numFmtId="0" fontId="81" fillId="0" borderId="592" xfId="0" applyFont="1" applyFill="1" applyBorder="1" applyAlignment="1">
      <alignment horizontal="left" vertical="center" readingOrder="1"/>
    </xf>
    <xf numFmtId="0" fontId="81" fillId="0" borderId="344" xfId="0" applyFont="1" applyFill="1" applyBorder="1" applyAlignment="1">
      <alignment horizontal="left" vertical="center" readingOrder="1"/>
    </xf>
    <xf numFmtId="0" fontId="45" fillId="0" borderId="213" xfId="0" applyFont="1" applyFill="1" applyBorder="1" applyAlignment="1">
      <alignment horizontal="left" vertical="center" readingOrder="1"/>
    </xf>
    <xf numFmtId="0" fontId="81" fillId="0" borderId="282" xfId="0" applyFont="1" applyFill="1" applyBorder="1" applyAlignment="1">
      <alignment horizontal="center" vertical="center" readingOrder="1"/>
    </xf>
    <xf numFmtId="0" fontId="81" fillId="0" borderId="471" xfId="0" applyFont="1" applyFill="1" applyBorder="1" applyAlignment="1">
      <alignment horizontal="left" vertical="center" readingOrder="1"/>
    </xf>
    <xf numFmtId="0" fontId="45" fillId="0" borderId="471" xfId="0" applyFont="1" applyFill="1" applyBorder="1" applyAlignment="1">
      <alignment horizontal="left" vertical="center" readingOrder="1"/>
    </xf>
    <xf numFmtId="0" fontId="81" fillId="0" borderId="593" xfId="0" applyFont="1" applyFill="1" applyBorder="1" applyAlignment="1">
      <alignment horizontal="left" vertical="center" readingOrder="1"/>
    </xf>
    <xf numFmtId="4" fontId="8" fillId="0" borderId="0" xfId="0" applyNumberFormat="1" applyFont="1" applyBorder="1" applyAlignment="1">
      <alignment horizontal="center" vertical="center"/>
    </xf>
    <xf numFmtId="0" fontId="1" fillId="38" borderId="8" xfId="0" applyFont="1" applyFill="1" applyBorder="1" applyAlignment="1">
      <alignment horizontal="center" textRotation="90"/>
    </xf>
    <xf numFmtId="0" fontId="1" fillId="39" borderId="8" xfId="0" applyFont="1" applyFill="1" applyBorder="1" applyAlignment="1">
      <alignment horizontal="center" textRotation="90"/>
    </xf>
    <xf numFmtId="0" fontId="1" fillId="40" borderId="8" xfId="0" applyFont="1" applyFill="1" applyBorder="1" applyAlignment="1">
      <alignment horizontal="center" textRotation="90"/>
    </xf>
    <xf numFmtId="188" fontId="10" fillId="22" borderId="95" xfId="0" quotePrefix="1" applyNumberFormat="1" applyFont="1" applyFill="1" applyBorder="1" applyAlignment="1">
      <alignment horizontal="right" vertical="center" indent="1"/>
    </xf>
    <xf numFmtId="3" fontId="33" fillId="23" borderId="160" xfId="0" applyNumberFormat="1" applyFont="1" applyFill="1" applyBorder="1" applyAlignment="1">
      <alignment horizontal="right" vertical="center"/>
    </xf>
    <xf numFmtId="3" fontId="17" fillId="20" borderId="114" xfId="0" quotePrefix="1" applyNumberFormat="1" applyFont="1" applyFill="1" applyBorder="1" applyAlignment="1">
      <alignment horizontal="center" vertical="center"/>
    </xf>
    <xf numFmtId="0" fontId="1" fillId="26" borderId="0" xfId="0" applyFont="1" applyFill="1" applyAlignment="1">
      <alignment horizontal="right" vertical="center"/>
    </xf>
    <xf numFmtId="0" fontId="41" fillId="3" borderId="594" xfId="0" applyNumberFormat="1" applyFont="1" applyFill="1" applyBorder="1" applyAlignment="1">
      <alignment horizontal="center" vertical="center"/>
    </xf>
    <xf numFmtId="0" fontId="41" fillId="3" borderId="595" xfId="0" applyNumberFormat="1" applyFont="1" applyFill="1" applyBorder="1" applyAlignment="1">
      <alignment horizontal="center" vertical="center"/>
    </xf>
    <xf numFmtId="0" fontId="45" fillId="3" borderId="16" xfId="0" quotePrefix="1" applyFont="1" applyFill="1" applyBorder="1" applyAlignment="1">
      <alignment horizontal="center" vertical="center"/>
    </xf>
    <xf numFmtId="0" fontId="41" fillId="3" borderId="596" xfId="0" applyNumberFormat="1" applyFont="1" applyFill="1" applyBorder="1" applyAlignment="1">
      <alignment horizontal="center" vertical="center"/>
    </xf>
    <xf numFmtId="0" fontId="8" fillId="12" borderId="147" xfId="0" applyFont="1" applyFill="1" applyBorder="1" applyAlignment="1">
      <alignment horizontal="left" vertical="center" indent="1"/>
    </xf>
    <xf numFmtId="0" fontId="44" fillId="72" borderId="12" xfId="0" applyFont="1" applyFill="1" applyBorder="1" applyAlignment="1">
      <alignment horizontal="left" vertical="center" indent="1"/>
    </xf>
    <xf numFmtId="0" fontId="44" fillId="72" borderId="221" xfId="0" applyFont="1" applyFill="1" applyBorder="1" applyAlignment="1">
      <alignment horizontal="left" vertical="center" indent="1"/>
    </xf>
    <xf numFmtId="0" fontId="10" fillId="13" borderId="1" xfId="0" applyFont="1" applyFill="1" applyBorder="1" applyAlignment="1">
      <alignment horizontal="left" vertical="center" indent="1"/>
    </xf>
    <xf numFmtId="0" fontId="10" fillId="13" borderId="221" xfId="0" applyFont="1" applyFill="1" applyBorder="1" applyAlignment="1">
      <alignment horizontal="left" vertical="center" indent="1"/>
    </xf>
    <xf numFmtId="0" fontId="10" fillId="13" borderId="12" xfId="0" applyFont="1" applyFill="1" applyBorder="1" applyAlignment="1">
      <alignment horizontal="left" vertical="center" indent="1"/>
    </xf>
    <xf numFmtId="0" fontId="44" fillId="71" borderId="1" xfId="0" quotePrefix="1" applyFont="1" applyFill="1" applyBorder="1" applyAlignment="1">
      <alignment horizontal="left" vertical="center" indent="1"/>
    </xf>
    <xf numFmtId="0" fontId="44" fillId="71" borderId="221" xfId="0" applyFont="1" applyFill="1" applyBorder="1" applyAlignment="1">
      <alignment horizontal="left" vertical="center" indent="1"/>
    </xf>
    <xf numFmtId="0" fontId="41" fillId="3" borderId="162" xfId="0" quotePrefix="1" applyNumberFormat="1" applyFont="1" applyFill="1" applyBorder="1" applyAlignment="1">
      <alignment horizontal="center" vertical="center"/>
    </xf>
    <xf numFmtId="0" fontId="41" fillId="3" borderId="80" xfId="0" quotePrefix="1" applyNumberFormat="1" applyFont="1" applyFill="1" applyBorder="1" applyAlignment="1">
      <alignment horizontal="center" vertical="center"/>
    </xf>
    <xf numFmtId="0" fontId="8" fillId="27" borderId="0" xfId="0" applyFont="1" applyFill="1" applyAlignment="1">
      <alignment horizontal="left"/>
    </xf>
    <xf numFmtId="3" fontId="8" fillId="3" borderId="147" xfId="0" applyNumberFormat="1" applyFont="1" applyFill="1" applyBorder="1" applyAlignment="1">
      <alignment horizontal="right" vertical="center"/>
    </xf>
    <xf numFmtId="0" fontId="32" fillId="22" borderId="147" xfId="0" applyFont="1" applyFill="1" applyBorder="1"/>
    <xf numFmtId="0" fontId="8" fillId="22" borderId="221" xfId="0" applyFont="1" applyFill="1" applyBorder="1" applyAlignment="1">
      <alignment horizontal="center" vertical="center" wrapText="1"/>
    </xf>
    <xf numFmtId="0" fontId="24" fillId="22" borderId="221" xfId="0" applyFont="1" applyFill="1" applyBorder="1" applyAlignment="1">
      <alignment horizontal="center" vertical="center" wrapText="1"/>
    </xf>
    <xf numFmtId="3" fontId="10" fillId="0" borderId="489" xfId="0" applyNumberFormat="1" applyFont="1" applyFill="1" applyBorder="1" applyAlignment="1">
      <alignment horizontal="center" vertical="center"/>
    </xf>
    <xf numFmtId="177" fontId="10" fillId="3" borderId="597" xfId="0" applyNumberFormat="1" applyFont="1" applyFill="1" applyBorder="1" applyAlignment="1">
      <alignment horizontal="center" vertical="center"/>
    </xf>
    <xf numFmtId="3" fontId="43" fillId="32" borderId="0" xfId="0" applyNumberFormat="1" applyFont="1" applyFill="1"/>
    <xf numFmtId="3" fontId="42" fillId="14" borderId="578" xfId="0" applyNumberFormat="1" applyFont="1" applyFill="1" applyBorder="1" applyAlignment="1">
      <alignment horizontal="center" vertical="center" wrapText="1"/>
    </xf>
    <xf numFmtId="0" fontId="8" fillId="13" borderId="131" xfId="0" applyFont="1" applyFill="1" applyBorder="1" applyAlignment="1">
      <alignment horizontal="center" vertical="center"/>
    </xf>
    <xf numFmtId="0" fontId="8" fillId="13" borderId="345" xfId="0" applyFont="1" applyFill="1" applyBorder="1" applyAlignment="1">
      <alignment horizontal="center" vertical="center"/>
    </xf>
    <xf numFmtId="3" fontId="110" fillId="22" borderId="160" xfId="0" applyNumberFormat="1" applyFont="1" applyFill="1" applyBorder="1" applyAlignment="1">
      <alignment horizontal="right" vertical="center"/>
    </xf>
    <xf numFmtId="0" fontId="8" fillId="0" borderId="0" xfId="0" applyFont="1" applyFill="1" applyBorder="1" applyAlignment="1">
      <alignment horizontal="center" textRotation="90"/>
    </xf>
    <xf numFmtId="0" fontId="5" fillId="0" borderId="0" xfId="0" applyFont="1" applyFill="1"/>
    <xf numFmtId="0" fontId="5" fillId="0" borderId="11" xfId="0" applyFont="1" applyFill="1" applyBorder="1"/>
    <xf numFmtId="0" fontId="33" fillId="0" borderId="6" xfId="0" applyFont="1" applyFill="1" applyBorder="1" applyAlignment="1">
      <alignment horizontal="left" vertical="center" indent="1"/>
    </xf>
    <xf numFmtId="2" fontId="8" fillId="26" borderId="0" xfId="0" quotePrefix="1" applyNumberFormat="1" applyFont="1" applyFill="1" applyAlignment="1">
      <alignment horizontal="center" vertical="center"/>
    </xf>
    <xf numFmtId="0" fontId="43" fillId="3" borderId="152" xfId="0" applyFont="1" applyFill="1" applyBorder="1"/>
    <xf numFmtId="0" fontId="51" fillId="0" borderId="471" xfId="0" applyFont="1" applyFill="1" applyBorder="1" applyAlignment="1">
      <alignment horizontal="left" vertical="center" readingOrder="1"/>
    </xf>
    <xf numFmtId="0" fontId="194" fillId="30" borderId="9" xfId="0" applyFont="1" applyFill="1" applyBorder="1" applyAlignment="1">
      <alignment vertical="top"/>
    </xf>
    <xf numFmtId="0" fontId="6" fillId="22" borderId="0" xfId="0" applyFont="1" applyFill="1" applyBorder="1"/>
    <xf numFmtId="0" fontId="1" fillId="3" borderId="0" xfId="0" quotePrefix="1" applyFont="1" applyFill="1" applyBorder="1" applyAlignment="1">
      <alignment horizontal="right" vertical="center"/>
    </xf>
    <xf numFmtId="3" fontId="32" fillId="32" borderId="0" xfId="0" applyNumberFormat="1" applyFont="1" applyFill="1"/>
    <xf numFmtId="0" fontId="101" fillId="67" borderId="65" xfId="0" applyFont="1" applyFill="1" applyBorder="1" applyAlignment="1">
      <alignment horizontal="center" vertical="center"/>
    </xf>
    <xf numFmtId="0" fontId="1" fillId="28" borderId="27" xfId="0" applyFont="1" applyFill="1" applyBorder="1" applyAlignment="1"/>
    <xf numFmtId="0" fontId="17" fillId="28" borderId="27" xfId="0" applyFont="1" applyFill="1" applyBorder="1" applyAlignment="1">
      <alignment horizontal="center" vertical="center"/>
    </xf>
    <xf numFmtId="0" fontId="8" fillId="23" borderId="147" xfId="0" applyNumberFormat="1" applyFont="1" applyFill="1" applyBorder="1" applyAlignment="1">
      <alignment vertical="center"/>
    </xf>
    <xf numFmtId="3" fontId="10" fillId="3" borderId="147" xfId="0" quotePrefix="1" applyNumberFormat="1" applyFont="1" applyFill="1" applyBorder="1" applyAlignment="1">
      <alignment horizontal="right" vertical="center"/>
    </xf>
    <xf numFmtId="3" fontId="8" fillId="49" borderId="147" xfId="0" applyNumberFormat="1" applyFont="1" applyFill="1" applyBorder="1" applyAlignment="1">
      <alignment horizontal="center" vertical="center"/>
    </xf>
    <xf numFmtId="175" fontId="8" fillId="0" borderId="172" xfId="0" applyNumberFormat="1" applyFont="1" applyFill="1" applyBorder="1" applyAlignment="1">
      <alignment horizontal="center" vertical="center"/>
    </xf>
    <xf numFmtId="3" fontId="8" fillId="49" borderId="147" xfId="0" applyNumberFormat="1" applyFont="1" applyFill="1" applyBorder="1" applyAlignment="1">
      <alignment horizontal="center" vertical="center" wrapText="1"/>
    </xf>
    <xf numFmtId="3" fontId="8" fillId="22" borderId="277" xfId="0" applyNumberFormat="1" applyFont="1" applyFill="1" applyBorder="1" applyAlignment="1">
      <alignment horizontal="right" vertical="center"/>
    </xf>
    <xf numFmtId="3" fontId="8" fillId="0" borderId="277" xfId="0" applyNumberFormat="1" applyFont="1" applyBorder="1" applyAlignment="1">
      <alignment horizontal="right" vertical="center"/>
    </xf>
    <xf numFmtId="3" fontId="8" fillId="0" borderId="290" xfId="0" applyNumberFormat="1" applyFont="1" applyBorder="1" applyAlignment="1">
      <alignment horizontal="right" vertical="center"/>
    </xf>
    <xf numFmtId="0" fontId="8" fillId="12" borderId="147" xfId="0" applyFont="1" applyFill="1" applyBorder="1" applyAlignment="1">
      <alignment horizontal="left" vertical="center" indent="1"/>
    </xf>
    <xf numFmtId="0" fontId="43" fillId="22" borderId="16" xfId="0" applyFont="1" applyFill="1" applyBorder="1" applyAlignment="1">
      <alignment horizontal="center" textRotation="90"/>
    </xf>
    <xf numFmtId="0" fontId="8" fillId="3" borderId="0" xfId="0" applyFont="1" applyFill="1" applyBorder="1" applyAlignment="1">
      <alignment horizontal="center" textRotation="90"/>
    </xf>
    <xf numFmtId="0" fontId="32" fillId="73" borderId="48" xfId="0" applyFont="1" applyFill="1" applyBorder="1"/>
    <xf numFmtId="0" fontId="32" fillId="73" borderId="49" xfId="0" applyFont="1" applyFill="1" applyBorder="1"/>
    <xf numFmtId="0" fontId="8" fillId="73" borderId="167" xfId="0" applyFont="1" applyFill="1" applyBorder="1" applyAlignment="1">
      <alignment horizontal="center" vertical="center"/>
    </xf>
    <xf numFmtId="0" fontId="8" fillId="73" borderId="0" xfId="0" applyFont="1" applyFill="1" applyBorder="1" applyAlignment="1">
      <alignment horizontal="center" vertical="center"/>
    </xf>
    <xf numFmtId="0" fontId="32" fillId="73" borderId="0" xfId="0" applyFont="1" applyFill="1" applyBorder="1"/>
    <xf numFmtId="0" fontId="32" fillId="73" borderId="37" xfId="0" applyFont="1" applyFill="1" applyBorder="1"/>
    <xf numFmtId="0" fontId="8" fillId="73" borderId="0" xfId="0" applyFont="1" applyFill="1" applyBorder="1" applyAlignment="1">
      <alignment horizontal="right" vertical="center"/>
    </xf>
    <xf numFmtId="0" fontId="32" fillId="73" borderId="167" xfId="0" applyFont="1" applyFill="1" applyBorder="1"/>
    <xf numFmtId="0" fontId="32" fillId="73" borderId="168" xfId="0" applyFont="1" applyFill="1" applyBorder="1"/>
    <xf numFmtId="0" fontId="32" fillId="73" borderId="43" xfId="0" applyFont="1" applyFill="1" applyBorder="1"/>
    <xf numFmtId="0" fontId="32" fillId="73" borderId="169" xfId="0" applyFont="1" applyFill="1" applyBorder="1"/>
    <xf numFmtId="3" fontId="8" fillId="73" borderId="43" xfId="0" applyNumberFormat="1" applyFont="1" applyFill="1" applyBorder="1" applyAlignment="1">
      <alignment horizontal="center" vertical="center"/>
    </xf>
    <xf numFmtId="0" fontId="6" fillId="73" borderId="167" xfId="0" applyFont="1" applyFill="1" applyBorder="1" applyAlignment="1">
      <alignment horizontal="left" vertical="top"/>
    </xf>
    <xf numFmtId="0" fontId="34" fillId="73" borderId="47" xfId="0" applyFont="1" applyFill="1" applyBorder="1"/>
    <xf numFmtId="3" fontId="32" fillId="73" borderId="37" xfId="0" applyNumberFormat="1" applyFont="1" applyFill="1" applyBorder="1"/>
    <xf numFmtId="0" fontId="8" fillId="73" borderId="0" xfId="0" applyFont="1" applyFill="1" applyBorder="1" applyAlignment="1">
      <alignment vertical="center"/>
    </xf>
    <xf numFmtId="0" fontId="33" fillId="73" borderId="0" xfId="0" applyFont="1" applyFill="1" applyBorder="1" applyAlignment="1">
      <alignment vertical="center"/>
    </xf>
    <xf numFmtId="0" fontId="6" fillId="27" borderId="26" xfId="0" applyFont="1" applyFill="1" applyBorder="1" applyAlignment="1">
      <alignment vertical="center"/>
    </xf>
    <xf numFmtId="0" fontId="8" fillId="27" borderId="72" xfId="0" applyFont="1" applyFill="1" applyBorder="1" applyAlignment="1">
      <alignment horizontal="left" vertical="center"/>
    </xf>
    <xf numFmtId="0" fontId="6" fillId="27" borderId="72" xfId="0" applyFont="1" applyFill="1" applyBorder="1" applyAlignment="1">
      <alignment vertical="center"/>
    </xf>
    <xf numFmtId="0" fontId="32" fillId="27" borderId="72" xfId="0" applyFont="1" applyFill="1" applyBorder="1"/>
    <xf numFmtId="0" fontId="8" fillId="27" borderId="461" xfId="0" applyFont="1" applyFill="1" applyBorder="1" applyAlignment="1">
      <alignment horizontal="left" vertical="center"/>
    </xf>
    <xf numFmtId="0" fontId="8" fillId="27" borderId="306" xfId="0" applyFont="1" applyFill="1" applyBorder="1" applyAlignment="1">
      <alignment horizontal="left" vertical="center"/>
    </xf>
    <xf numFmtId="0" fontId="6" fillId="27" borderId="26" xfId="0" quotePrefix="1" applyFont="1" applyFill="1" applyBorder="1" applyAlignment="1">
      <alignment vertical="center"/>
    </xf>
    <xf numFmtId="0" fontId="32" fillId="27" borderId="26" xfId="0" applyFont="1" applyFill="1" applyBorder="1"/>
    <xf numFmtId="0" fontId="32" fillId="27" borderId="24" xfId="0" applyFont="1" applyFill="1" applyBorder="1"/>
    <xf numFmtId="0" fontId="32" fillId="27" borderId="125" xfId="0" applyFont="1" applyFill="1" applyBorder="1"/>
    <xf numFmtId="0" fontId="10" fillId="3" borderId="132" xfId="0" quotePrefix="1" applyFont="1" applyFill="1" applyBorder="1" applyAlignment="1">
      <alignment horizontal="left" vertical="center"/>
    </xf>
    <xf numFmtId="0" fontId="8" fillId="3" borderId="0" xfId="0" applyFont="1" applyFill="1" applyBorder="1" applyAlignment="1">
      <alignment horizontal="center" textRotation="90"/>
    </xf>
    <xf numFmtId="0" fontId="17" fillId="73" borderId="48" xfId="0" applyFont="1" applyFill="1" applyBorder="1" applyAlignment="1">
      <alignment vertical="center"/>
    </xf>
    <xf numFmtId="0" fontId="8" fillId="3" borderId="8" xfId="0" applyFont="1" applyFill="1" applyBorder="1" applyAlignment="1">
      <alignment horizontal="center" vertical="center"/>
    </xf>
    <xf numFmtId="0" fontId="32" fillId="3" borderId="8" xfId="0" applyFont="1" applyFill="1" applyBorder="1"/>
    <xf numFmtId="0" fontId="33" fillId="73" borderId="0" xfId="0" applyFont="1" applyFill="1" applyBorder="1" applyAlignment="1">
      <alignment horizontal="center" vertical="center"/>
    </xf>
    <xf numFmtId="0" fontId="51" fillId="2" borderId="0" xfId="0" applyFont="1" applyFill="1" applyBorder="1" applyAlignment="1">
      <alignment horizontal="left" vertical="center"/>
    </xf>
    <xf numFmtId="0" fontId="43" fillId="22" borderId="16" xfId="0" applyFont="1" applyFill="1" applyBorder="1" applyAlignment="1">
      <alignment horizontal="center" textRotation="90"/>
    </xf>
    <xf numFmtId="0" fontId="8" fillId="3" borderId="0" xfId="0" applyFont="1" applyFill="1" applyBorder="1" applyAlignment="1">
      <alignment horizontal="center" textRotation="90"/>
    </xf>
    <xf numFmtId="3" fontId="8" fillId="3" borderId="147" xfId="0" quotePrefix="1" applyNumberFormat="1" applyFont="1" applyFill="1" applyBorder="1" applyAlignment="1">
      <alignment horizontal="center" vertical="center"/>
    </xf>
    <xf numFmtId="0" fontId="158" fillId="12" borderId="454" xfId="0" applyFont="1" applyFill="1" applyBorder="1" applyAlignment="1">
      <alignment horizontal="center" vertical="center"/>
    </xf>
    <xf numFmtId="0" fontId="158" fillId="12" borderId="19" xfId="0" applyFont="1" applyFill="1" applyBorder="1" applyAlignment="1">
      <alignment horizontal="center" vertical="center"/>
    </xf>
    <xf numFmtId="0" fontId="158" fillId="12" borderId="455" xfId="0" applyFont="1" applyFill="1" applyBorder="1" applyAlignment="1">
      <alignment horizontal="center" vertical="center"/>
    </xf>
    <xf numFmtId="0" fontId="158" fillId="12" borderId="456" xfId="0" applyFont="1" applyFill="1" applyBorder="1" applyAlignment="1">
      <alignment horizontal="center" vertical="center"/>
    </xf>
    <xf numFmtId="0" fontId="179" fillId="3" borderId="0" xfId="0" applyFont="1" applyFill="1" applyBorder="1" applyAlignment="1">
      <alignment horizontal="right" vertical="center"/>
    </xf>
    <xf numFmtId="0" fontId="8" fillId="12" borderId="221" xfId="0" applyFont="1" applyFill="1" applyBorder="1" applyAlignment="1">
      <alignment horizontal="center" vertical="center"/>
    </xf>
    <xf numFmtId="0" fontId="125" fillId="0" borderId="598" xfId="0" applyFont="1" applyBorder="1" applyAlignment="1">
      <alignment horizontal="center"/>
    </xf>
    <xf numFmtId="0" fontId="199" fillId="0" borderId="0" xfId="0" applyFont="1" applyAlignment="1"/>
    <xf numFmtId="0" fontId="8" fillId="22" borderId="24" xfId="0" applyFont="1" applyFill="1" applyBorder="1" applyAlignment="1">
      <alignment horizontal="center"/>
    </xf>
    <xf numFmtId="0" fontId="8" fillId="22" borderId="257" xfId="0" applyFont="1" applyFill="1" applyBorder="1" applyAlignment="1">
      <alignment horizontal="center"/>
    </xf>
    <xf numFmtId="0" fontId="51" fillId="0" borderId="0" xfId="0" applyFont="1" applyAlignment="1">
      <alignment horizontal="left" wrapText="1"/>
    </xf>
    <xf numFmtId="0" fontId="51" fillId="0" borderId="43" xfId="0" applyFont="1" applyBorder="1" applyAlignment="1">
      <alignment horizontal="left" wrapText="1"/>
    </xf>
    <xf numFmtId="0" fontId="51" fillId="0" borderId="9" xfId="0" applyFont="1" applyBorder="1" applyAlignment="1">
      <alignment horizontal="left" vertical="center" wrapText="1" indent="1"/>
    </xf>
    <xf numFmtId="0" fontId="51" fillId="0" borderId="10" xfId="0" applyFont="1" applyBorder="1" applyAlignment="1">
      <alignment horizontal="left" vertical="center" wrapText="1" indent="1"/>
    </xf>
    <xf numFmtId="0" fontId="29" fillId="27" borderId="65" xfId="0" applyFont="1" applyFill="1" applyBorder="1" applyAlignment="1">
      <alignment horizontal="center" vertical="center" wrapText="1"/>
    </xf>
    <xf numFmtId="0" fontId="29" fillId="27" borderId="28" xfId="0" applyFont="1" applyFill="1" applyBorder="1" applyAlignment="1">
      <alignment horizontal="center" vertical="center" wrapText="1"/>
    </xf>
    <xf numFmtId="0" fontId="29" fillId="27" borderId="67" xfId="0" applyFont="1" applyFill="1" applyBorder="1" applyAlignment="1">
      <alignment horizontal="center" vertical="center" wrapText="1"/>
    </xf>
    <xf numFmtId="0" fontId="48" fillId="36" borderId="65" xfId="0" applyFont="1" applyFill="1" applyBorder="1" applyAlignment="1">
      <alignment horizontal="center" vertical="center" wrapText="1"/>
    </xf>
    <xf numFmtId="0" fontId="48" fillId="36" borderId="28" xfId="0" applyFont="1" applyFill="1" applyBorder="1" applyAlignment="1">
      <alignment horizontal="center" vertical="center" wrapText="1"/>
    </xf>
    <xf numFmtId="0" fontId="8" fillId="0" borderId="219" xfId="0" applyFont="1" applyBorder="1" applyAlignment="1">
      <alignment horizontal="center" vertical="center" wrapText="1"/>
    </xf>
    <xf numFmtId="0" fontId="8" fillId="0" borderId="551" xfId="0" applyFont="1" applyBorder="1" applyAlignment="1">
      <alignment horizontal="center" vertical="center" wrapText="1"/>
    </xf>
    <xf numFmtId="0" fontId="40" fillId="0" borderId="0" xfId="0" applyFont="1" applyAlignment="1">
      <alignment horizontal="left"/>
    </xf>
    <xf numFmtId="0" fontId="40" fillId="0" borderId="43" xfId="0" applyFont="1" applyBorder="1" applyAlignment="1">
      <alignment horizontal="left"/>
    </xf>
    <xf numFmtId="0" fontId="1" fillId="0" borderId="0" xfId="0" applyFont="1" applyAlignment="1">
      <alignment horizontal="left" vertical="top" wrapText="1"/>
    </xf>
    <xf numFmtId="0" fontId="8" fillId="0" borderId="9" xfId="0" applyFont="1" applyBorder="1" applyAlignment="1">
      <alignment horizontal="left" vertical="center" wrapText="1" indent="1"/>
    </xf>
    <xf numFmtId="0" fontId="8" fillId="0" borderId="8" xfId="0" applyFont="1" applyBorder="1" applyAlignment="1">
      <alignment horizontal="left" vertical="center" indent="1"/>
    </xf>
    <xf numFmtId="0" fontId="8" fillId="0" borderId="10" xfId="0" applyFont="1" applyBorder="1" applyAlignment="1">
      <alignment horizontal="left" vertical="center" indent="1"/>
    </xf>
    <xf numFmtId="0" fontId="8" fillId="0" borderId="9" xfId="0" applyFont="1" applyBorder="1" applyAlignment="1">
      <alignment horizontal="left" vertical="center" indent="1"/>
    </xf>
    <xf numFmtId="0" fontId="8" fillId="0" borderId="8" xfId="0" applyFont="1" applyBorder="1" applyAlignment="1">
      <alignment horizontal="left" vertical="center" wrapText="1" indent="1"/>
    </xf>
    <xf numFmtId="0" fontId="8" fillId="0" borderId="10" xfId="0" applyFont="1" applyBorder="1" applyAlignment="1">
      <alignment horizontal="left" vertical="center" wrapText="1" indent="1"/>
    </xf>
    <xf numFmtId="0" fontId="183" fillId="12" borderId="0" xfId="155" quotePrefix="1" applyFont="1" applyFill="1" applyBorder="1" applyAlignment="1">
      <alignment horizontal="left" vertical="center"/>
    </xf>
    <xf numFmtId="0" fontId="40" fillId="0" borderId="0" xfId="0" applyFont="1" applyAlignment="1">
      <alignment horizontal="center" vertical="top"/>
    </xf>
    <xf numFmtId="0" fontId="40" fillId="0" borderId="0" xfId="0" applyFont="1" applyAlignment="1">
      <alignment horizontal="left" vertical="top"/>
    </xf>
    <xf numFmtId="0" fontId="198" fillId="0" borderId="0" xfId="0" applyFont="1" applyAlignment="1">
      <alignment horizontal="left"/>
    </xf>
    <xf numFmtId="0" fontId="35" fillId="0" borderId="0" xfId="0" applyFont="1" applyBorder="1" applyAlignment="1">
      <alignment horizontal="left" vertical="center"/>
    </xf>
    <xf numFmtId="0" fontId="35" fillId="0" borderId="43" xfId="0" applyFont="1" applyBorder="1" applyAlignment="1">
      <alignment horizontal="left" vertical="center"/>
    </xf>
    <xf numFmtId="0" fontId="20" fillId="12" borderId="48" xfId="0" applyFont="1" applyFill="1" applyBorder="1" applyAlignment="1">
      <alignment horizontal="left" vertical="center"/>
    </xf>
    <xf numFmtId="0" fontId="20" fillId="12" borderId="0" xfId="0" applyFont="1" applyFill="1" applyBorder="1" applyAlignment="1">
      <alignment horizontal="left" vertical="center"/>
    </xf>
    <xf numFmtId="0" fontId="183" fillId="12" borderId="0" xfId="155" applyFont="1" applyFill="1" applyBorder="1" applyAlignment="1">
      <alignment horizontal="left" vertical="center"/>
    </xf>
    <xf numFmtId="0" fontId="33" fillId="0" borderId="0" xfId="0" applyFont="1" applyFill="1" applyBorder="1" applyAlignment="1">
      <alignment horizontal="center" vertical="center" wrapText="1"/>
    </xf>
    <xf numFmtId="0" fontId="33" fillId="0" borderId="43" xfId="0" applyFont="1" applyFill="1" applyBorder="1" applyAlignment="1">
      <alignment horizontal="center" vertical="center" wrapText="1"/>
    </xf>
    <xf numFmtId="0" fontId="10" fillId="12" borderId="9" xfId="0" applyFont="1" applyFill="1" applyBorder="1" applyAlignment="1">
      <alignment horizontal="left" vertical="center" indent="1"/>
    </xf>
    <xf numFmtId="0" fontId="10" fillId="12" borderId="8" xfId="0" applyFont="1" applyFill="1" applyBorder="1" applyAlignment="1">
      <alignment horizontal="left" vertical="center" indent="1"/>
    </xf>
    <xf numFmtId="0" fontId="10" fillId="12" borderId="10" xfId="0" applyFont="1" applyFill="1" applyBorder="1" applyAlignment="1">
      <alignment horizontal="left" vertical="center" indent="1"/>
    </xf>
    <xf numFmtId="0" fontId="10" fillId="12" borderId="9" xfId="0" applyFont="1" applyFill="1" applyBorder="1" applyAlignment="1">
      <alignment horizontal="center" vertical="center"/>
    </xf>
    <xf numFmtId="0" fontId="10" fillId="12" borderId="10" xfId="0" applyFont="1" applyFill="1" applyBorder="1" applyAlignment="1">
      <alignment horizontal="center" vertical="center"/>
    </xf>
    <xf numFmtId="0" fontId="1" fillId="12" borderId="9" xfId="0" applyFont="1" applyFill="1" applyBorder="1" applyAlignment="1">
      <alignment horizontal="left" vertical="center" indent="1"/>
    </xf>
    <xf numFmtId="0" fontId="1" fillId="12" borderId="8" xfId="0" applyFont="1" applyFill="1" applyBorder="1" applyAlignment="1">
      <alignment horizontal="left" vertical="center" indent="1"/>
    </xf>
    <xf numFmtId="0" fontId="1" fillId="12" borderId="10" xfId="0" applyFont="1" applyFill="1" applyBorder="1" applyAlignment="1">
      <alignment horizontal="left" vertical="center" indent="1"/>
    </xf>
    <xf numFmtId="0" fontId="8" fillId="12" borderId="147" xfId="0" applyFont="1" applyFill="1" applyBorder="1" applyAlignment="1">
      <alignment horizontal="left" vertical="center" indent="1"/>
    </xf>
    <xf numFmtId="0" fontId="31" fillId="0" borderId="0" xfId="0" applyFont="1" applyBorder="1" applyAlignment="1">
      <alignment horizontal="left" vertical="center"/>
    </xf>
    <xf numFmtId="0" fontId="51" fillId="0" borderId="0" xfId="0" applyFont="1" applyFill="1" applyBorder="1" applyAlignment="1">
      <alignment horizontal="left" vertical="top" wrapText="1"/>
    </xf>
    <xf numFmtId="0" fontId="8" fillId="12" borderId="22" xfId="0" applyNumberFormat="1" applyFont="1" applyFill="1" applyBorder="1" applyAlignment="1">
      <alignment horizontal="left" vertical="center" wrapText="1" indent="1"/>
    </xf>
    <xf numFmtId="0" fontId="8" fillId="12" borderId="26" xfId="0" applyNumberFormat="1" applyFont="1" applyFill="1" applyBorder="1" applyAlignment="1">
      <alignment horizontal="left" vertical="center" wrapText="1" indent="1"/>
    </xf>
    <xf numFmtId="0" fontId="8" fillId="12" borderId="24" xfId="0" applyNumberFormat="1" applyFont="1" applyFill="1" applyBorder="1" applyAlignment="1">
      <alignment horizontal="left" vertical="center" wrapText="1" indent="1"/>
    </xf>
    <xf numFmtId="0" fontId="8" fillId="12" borderId="6" xfId="0" applyNumberFormat="1" applyFont="1" applyFill="1" applyBorder="1" applyAlignment="1">
      <alignment horizontal="left" vertical="center" wrapText="1" indent="1"/>
    </xf>
    <xf numFmtId="0" fontId="8" fillId="12" borderId="0" xfId="0" applyNumberFormat="1" applyFont="1" applyFill="1" applyBorder="1" applyAlignment="1">
      <alignment horizontal="left" vertical="center" wrapText="1" indent="1"/>
    </xf>
    <xf numFmtId="0" fontId="8" fillId="12" borderId="5" xfId="0" applyNumberFormat="1" applyFont="1" applyFill="1" applyBorder="1" applyAlignment="1">
      <alignment horizontal="left" vertical="center" wrapText="1" indent="1"/>
    </xf>
    <xf numFmtId="0" fontId="8" fillId="12" borderId="23" xfId="0" applyNumberFormat="1" applyFont="1" applyFill="1" applyBorder="1" applyAlignment="1">
      <alignment horizontal="left" vertical="center" wrapText="1" indent="1"/>
    </xf>
    <xf numFmtId="0" fontId="8" fillId="12" borderId="11" xfId="0" applyNumberFormat="1" applyFont="1" applyFill="1" applyBorder="1" applyAlignment="1">
      <alignment horizontal="left" vertical="center" wrapText="1" indent="1"/>
    </xf>
    <xf numFmtId="0" fontId="8" fillId="12" borderId="25" xfId="0" applyNumberFormat="1" applyFont="1" applyFill="1" applyBorder="1" applyAlignment="1">
      <alignment horizontal="left" vertical="center" wrapText="1" indent="1"/>
    </xf>
    <xf numFmtId="0" fontId="51" fillId="0" borderId="0" xfId="0" applyFont="1" applyBorder="1" applyAlignment="1">
      <alignment horizontal="left" vertical="center" wrapText="1"/>
    </xf>
    <xf numFmtId="0" fontId="51" fillId="0" borderId="5" xfId="0" applyFont="1" applyBorder="1" applyAlignment="1">
      <alignment horizontal="left" vertical="center" wrapText="1"/>
    </xf>
    <xf numFmtId="0" fontId="1" fillId="12" borderId="65" xfId="0" applyFont="1" applyFill="1" applyBorder="1" applyAlignment="1">
      <alignment horizontal="center" vertical="center"/>
    </xf>
    <xf numFmtId="0" fontId="1" fillId="12" borderId="67" xfId="0" applyFont="1" applyFill="1" applyBorder="1" applyAlignment="1">
      <alignment horizontal="center" vertical="center"/>
    </xf>
    <xf numFmtId="171" fontId="1" fillId="13" borderId="9" xfId="0" applyNumberFormat="1" applyFont="1" applyFill="1" applyBorder="1" applyAlignment="1">
      <alignment horizontal="center" vertical="center"/>
    </xf>
    <xf numFmtId="171" fontId="1" fillId="13" borderId="10" xfId="0" applyNumberFormat="1" applyFont="1" applyFill="1" applyBorder="1" applyAlignment="1">
      <alignment horizontal="center" vertical="center"/>
    </xf>
    <xf numFmtId="0" fontId="1" fillId="22" borderId="9" xfId="0" applyFont="1" applyFill="1" applyBorder="1" applyAlignment="1">
      <alignment horizontal="left" vertical="center" indent="1"/>
    </xf>
    <xf numFmtId="0" fontId="1" fillId="22" borderId="8" xfId="0" applyFont="1" applyFill="1" applyBorder="1" applyAlignment="1">
      <alignment horizontal="left" vertical="center" indent="1"/>
    </xf>
    <xf numFmtId="0" fontId="1" fillId="22" borderId="10" xfId="0" applyFont="1" applyFill="1" applyBorder="1" applyAlignment="1">
      <alignment horizontal="left" vertical="center" indent="1"/>
    </xf>
    <xf numFmtId="171" fontId="10" fillId="13" borderId="9" xfId="0" applyNumberFormat="1" applyFont="1" applyFill="1" applyBorder="1" applyAlignment="1">
      <alignment horizontal="left" vertical="center" indent="1"/>
    </xf>
    <xf numFmtId="171" fontId="10" fillId="13" borderId="8" xfId="0" applyNumberFormat="1" applyFont="1" applyFill="1" applyBorder="1" applyAlignment="1">
      <alignment horizontal="left" vertical="center" indent="1"/>
    </xf>
    <xf numFmtId="171" fontId="10" fillId="13" borderId="10" xfId="0" applyNumberFormat="1" applyFont="1" applyFill="1" applyBorder="1" applyAlignment="1">
      <alignment horizontal="left" vertical="center" indent="1"/>
    </xf>
    <xf numFmtId="175" fontId="1" fillId="12" borderId="9" xfId="0" applyNumberFormat="1" applyFont="1" applyFill="1" applyBorder="1" applyAlignment="1">
      <alignment horizontal="center" vertical="center"/>
    </xf>
    <xf numFmtId="175" fontId="1" fillId="12" borderId="10" xfId="0" applyNumberFormat="1" applyFont="1" applyFill="1" applyBorder="1" applyAlignment="1">
      <alignment horizontal="center" vertical="center"/>
    </xf>
    <xf numFmtId="0" fontId="1" fillId="12" borderId="9" xfId="0" applyNumberFormat="1" applyFont="1" applyFill="1" applyBorder="1" applyAlignment="1">
      <alignment horizontal="center" vertical="center"/>
    </xf>
    <xf numFmtId="0" fontId="1" fillId="12" borderId="10" xfId="0" applyNumberFormat="1" applyFont="1" applyFill="1" applyBorder="1" applyAlignment="1">
      <alignment horizontal="center" vertical="center"/>
    </xf>
    <xf numFmtId="0" fontId="1" fillId="12" borderId="65" xfId="0" applyNumberFormat="1" applyFont="1" applyFill="1" applyBorder="1" applyAlignment="1">
      <alignment horizontal="center" vertical="center"/>
    </xf>
    <xf numFmtId="0" fontId="1" fillId="12" borderId="67" xfId="0" applyNumberFormat="1" applyFont="1" applyFill="1" applyBorder="1" applyAlignment="1">
      <alignment horizontal="center" vertical="center"/>
    </xf>
    <xf numFmtId="0" fontId="51" fillId="0" borderId="0" xfId="0" applyFont="1" applyAlignment="1">
      <alignment horizontal="left" vertical="top" wrapText="1"/>
    </xf>
    <xf numFmtId="0" fontId="80" fillId="0" borderId="0" xfId="0" applyFont="1" applyBorder="1" applyAlignment="1">
      <alignment horizontal="left" vertical="center"/>
    </xf>
    <xf numFmtId="0" fontId="51" fillId="0" borderId="43" xfId="0" applyFont="1" applyBorder="1" applyAlignment="1">
      <alignment horizontal="right" vertical="center" wrapText="1"/>
    </xf>
    <xf numFmtId="0" fontId="17" fillId="20" borderId="65" xfId="0" applyFont="1" applyFill="1" applyBorder="1" applyAlignment="1">
      <alignment horizontal="left" vertical="center" indent="1"/>
    </xf>
    <xf numFmtId="0" fontId="17" fillId="20" borderId="28" xfId="0" applyFont="1" applyFill="1" applyBorder="1" applyAlignment="1">
      <alignment horizontal="left" vertical="center" indent="1"/>
    </xf>
    <xf numFmtId="0" fontId="17" fillId="20" borderId="67" xfId="0" applyFont="1" applyFill="1" applyBorder="1" applyAlignment="1">
      <alignment horizontal="left" vertical="center" indent="1"/>
    </xf>
    <xf numFmtId="0" fontId="1" fillId="12" borderId="65" xfId="0" applyFont="1" applyFill="1" applyBorder="1" applyAlignment="1">
      <alignment horizontal="left" vertical="center" indent="1"/>
    </xf>
    <xf numFmtId="0" fontId="1" fillId="12" borderId="28" xfId="0" applyFont="1" applyFill="1" applyBorder="1" applyAlignment="1">
      <alignment horizontal="left" vertical="center" indent="1"/>
    </xf>
    <xf numFmtId="0" fontId="1" fillId="12" borderId="67" xfId="0" applyFont="1" applyFill="1" applyBorder="1" applyAlignment="1">
      <alignment horizontal="left" vertical="center" indent="1"/>
    </xf>
    <xf numFmtId="0" fontId="1" fillId="0" borderId="0" xfId="0" applyFont="1" applyBorder="1" applyAlignment="1">
      <alignment horizontal="left"/>
    </xf>
    <xf numFmtId="0" fontId="1" fillId="0" borderId="11" xfId="0" applyFont="1" applyBorder="1" applyAlignment="1">
      <alignment horizontal="left"/>
    </xf>
    <xf numFmtId="0" fontId="92" fillId="0" borderId="26" xfId="0" applyFont="1" applyBorder="1" applyAlignment="1">
      <alignment horizontal="left" vertical="center" indent="1"/>
    </xf>
    <xf numFmtId="0" fontId="8" fillId="0" borderId="9" xfId="0" applyFont="1" applyFill="1" applyBorder="1" applyAlignment="1">
      <alignment horizontal="left" vertical="center"/>
    </xf>
    <xf numFmtId="0" fontId="8" fillId="0" borderId="8" xfId="0" applyFont="1" applyFill="1" applyBorder="1" applyAlignment="1">
      <alignment horizontal="left" vertical="center"/>
    </xf>
    <xf numFmtId="0" fontId="8" fillId="0" borderId="10" xfId="0" applyFont="1" applyFill="1" applyBorder="1" applyAlignment="1">
      <alignment horizontal="left" vertical="center"/>
    </xf>
    <xf numFmtId="0" fontId="8" fillId="9" borderId="9" xfId="0" applyFont="1" applyFill="1" applyBorder="1" applyAlignment="1">
      <alignment horizontal="center" vertical="center"/>
    </xf>
    <xf numFmtId="0" fontId="8" fillId="9" borderId="10" xfId="0" applyFont="1" applyFill="1" applyBorder="1" applyAlignment="1">
      <alignment horizontal="center" vertical="center"/>
    </xf>
    <xf numFmtId="0" fontId="8" fillId="0" borderId="9" xfId="0" applyFont="1" applyFill="1" applyBorder="1" applyAlignment="1">
      <alignment horizontal="left" vertical="center" wrapText="1" indent="1"/>
    </xf>
    <xf numFmtId="0" fontId="8" fillId="0" borderId="8" xfId="0" applyFont="1" applyFill="1" applyBorder="1" applyAlignment="1">
      <alignment horizontal="left" vertical="center" wrapText="1" indent="1"/>
    </xf>
    <xf numFmtId="0" fontId="8" fillId="0" borderId="10" xfId="0" applyFont="1" applyFill="1" applyBorder="1" applyAlignment="1">
      <alignment horizontal="left" vertical="center" wrapText="1" indent="1"/>
    </xf>
    <xf numFmtId="0" fontId="31" fillId="0" borderId="0" xfId="0" applyFont="1" applyBorder="1" applyAlignment="1">
      <alignment horizontal="right" vertical="center"/>
    </xf>
    <xf numFmtId="0" fontId="41" fillId="26" borderId="0" xfId="0" applyFont="1" applyFill="1" applyAlignment="1">
      <alignment horizontal="center" textRotation="90"/>
    </xf>
    <xf numFmtId="0" fontId="67" fillId="0" borderId="0" xfId="0" applyFont="1" applyBorder="1" applyAlignment="1">
      <alignment horizontal="left" wrapText="1"/>
    </xf>
    <xf numFmtId="0" fontId="1" fillId="3" borderId="70" xfId="0" applyFont="1" applyFill="1" applyBorder="1" applyAlignment="1">
      <alignment horizontal="left" vertical="center" indent="1"/>
    </xf>
    <xf numFmtId="0" fontId="1" fillId="3" borderId="0" xfId="0" applyFont="1" applyFill="1" applyAlignment="1">
      <alignment horizontal="left" vertical="center" indent="1"/>
    </xf>
    <xf numFmtId="0" fontId="31" fillId="0" borderId="0" xfId="0" applyFont="1" applyBorder="1" applyAlignment="1">
      <alignment horizontal="left"/>
    </xf>
    <xf numFmtId="0" fontId="31" fillId="0" borderId="0" xfId="0" applyFont="1" applyBorder="1" applyAlignment="1">
      <alignment horizontal="right"/>
    </xf>
    <xf numFmtId="0" fontId="6" fillId="0" borderId="0" xfId="0" applyFont="1" applyFill="1" applyBorder="1" applyAlignment="1">
      <alignment horizontal="center" wrapText="1"/>
    </xf>
    <xf numFmtId="0" fontId="6" fillId="0" borderId="43" xfId="0" applyFont="1" applyFill="1" applyBorder="1" applyAlignment="1">
      <alignment horizontal="center" wrapText="1"/>
    </xf>
    <xf numFmtId="0" fontId="8" fillId="0" borderId="22" xfId="0" applyFont="1" applyBorder="1" applyAlignment="1">
      <alignment horizontal="left" vertical="center" wrapText="1" indent="1"/>
    </xf>
    <xf numFmtId="0" fontId="8" fillId="0" borderId="26" xfId="0" applyFont="1" applyBorder="1" applyAlignment="1">
      <alignment horizontal="left" vertical="center" wrapText="1" indent="1"/>
    </xf>
    <xf numFmtId="0" fontId="8" fillId="0" borderId="24" xfId="0" applyFont="1" applyBorder="1" applyAlignment="1">
      <alignment horizontal="left" vertical="center" wrapText="1" indent="1"/>
    </xf>
    <xf numFmtId="0" fontId="8" fillId="0" borderId="6" xfId="0" applyFont="1" applyBorder="1" applyAlignment="1">
      <alignment horizontal="left" vertical="center" wrapText="1" indent="1"/>
    </xf>
    <xf numFmtId="0" fontId="8" fillId="0" borderId="0" xfId="0" applyFont="1" applyBorder="1" applyAlignment="1">
      <alignment horizontal="left" vertical="center" wrapText="1" indent="1"/>
    </xf>
    <xf numFmtId="0" fontId="8" fillId="0" borderId="5" xfId="0" applyFont="1" applyBorder="1" applyAlignment="1">
      <alignment horizontal="left" vertical="center" wrapText="1" indent="1"/>
    </xf>
    <xf numFmtId="0" fontId="8" fillId="0" borderId="23" xfId="0" applyFont="1" applyBorder="1" applyAlignment="1">
      <alignment horizontal="left" vertical="center" wrapText="1" indent="1"/>
    </xf>
    <xf numFmtId="0" fontId="8" fillId="0" borderId="11" xfId="0" applyFont="1" applyBorder="1" applyAlignment="1">
      <alignment horizontal="left" vertical="center" wrapText="1" indent="1"/>
    </xf>
    <xf numFmtId="0" fontId="8" fillId="0" borderId="25" xfId="0" applyFont="1" applyBorder="1" applyAlignment="1">
      <alignment horizontal="left" vertical="center" wrapText="1" indent="1"/>
    </xf>
    <xf numFmtId="0" fontId="73" fillId="0" borderId="0" xfId="0" applyFont="1" applyFill="1" applyBorder="1" applyAlignment="1">
      <alignment horizontal="left" vertical="top"/>
    </xf>
    <xf numFmtId="0" fontId="30" fillId="0" borderId="0" xfId="0" applyFont="1" applyFill="1" applyBorder="1" applyAlignment="1">
      <alignment horizontal="center" vertical="center" wrapText="1"/>
    </xf>
    <xf numFmtId="0" fontId="30" fillId="0" borderId="43" xfId="0" applyFont="1" applyFill="1" applyBorder="1" applyAlignment="1">
      <alignment horizontal="center" vertical="center" wrapText="1"/>
    </xf>
    <xf numFmtId="0" fontId="33" fillId="0" borderId="0" xfId="0" applyFont="1" applyFill="1" applyBorder="1" applyAlignment="1">
      <alignment horizontal="center" wrapText="1"/>
    </xf>
    <xf numFmtId="0" fontId="33" fillId="0" borderId="43" xfId="0" applyFont="1" applyFill="1" applyBorder="1" applyAlignment="1">
      <alignment horizontal="center" wrapText="1"/>
    </xf>
    <xf numFmtId="0" fontId="8" fillId="0" borderId="0"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8" fillId="0" borderId="0" xfId="0" applyFont="1" applyFill="1" applyBorder="1" applyAlignment="1">
      <alignment horizontal="center" wrapText="1"/>
    </xf>
    <xf numFmtId="0" fontId="8" fillId="0" borderId="43" xfId="0" applyFont="1" applyFill="1" applyBorder="1" applyAlignment="1">
      <alignment horizontal="center" wrapText="1"/>
    </xf>
    <xf numFmtId="188" fontId="10" fillId="0" borderId="132" xfId="0" quotePrefix="1" applyNumberFormat="1" applyFont="1" applyBorder="1" applyAlignment="1">
      <alignment horizontal="right" vertical="center" indent="1"/>
    </xf>
    <xf numFmtId="188" fontId="10" fillId="0" borderId="133" xfId="0" applyNumberFormat="1" applyFont="1" applyBorder="1" applyAlignment="1">
      <alignment horizontal="right" vertical="center" indent="1"/>
    </xf>
    <xf numFmtId="0" fontId="8" fillId="3" borderId="272" xfId="0" applyFont="1" applyFill="1" applyBorder="1" applyAlignment="1">
      <alignment horizontal="left" vertical="center" wrapText="1"/>
    </xf>
    <xf numFmtId="0" fontId="8" fillId="3" borderId="273" xfId="0" applyFont="1" applyFill="1" applyBorder="1" applyAlignment="1">
      <alignment horizontal="left" vertical="center" wrapText="1"/>
    </xf>
    <xf numFmtId="0" fontId="8" fillId="3" borderId="271" xfId="0" applyFont="1" applyFill="1" applyBorder="1" applyAlignment="1">
      <alignment horizontal="left" vertical="center" wrapText="1"/>
    </xf>
    <xf numFmtId="0" fontId="8" fillId="3" borderId="170" xfId="0" applyFont="1" applyFill="1" applyBorder="1" applyAlignment="1">
      <alignment horizontal="left" vertical="center" wrapText="1"/>
    </xf>
    <xf numFmtId="0" fontId="8" fillId="3" borderId="214" xfId="0" applyFont="1" applyFill="1" applyBorder="1" applyAlignment="1">
      <alignment horizontal="left" vertical="center" wrapText="1"/>
    </xf>
    <xf numFmtId="0" fontId="8" fillId="3" borderId="171" xfId="0" applyFont="1" applyFill="1" applyBorder="1" applyAlignment="1">
      <alignment horizontal="left" vertical="center" wrapText="1"/>
    </xf>
    <xf numFmtId="0" fontId="8" fillId="0" borderId="0" xfId="0" applyFont="1" applyAlignment="1">
      <alignment horizontal="left" wrapText="1" indent="1"/>
    </xf>
    <xf numFmtId="0" fontId="8" fillId="0" borderId="11" xfId="0" applyFont="1" applyBorder="1" applyAlignment="1">
      <alignment horizontal="left" wrapText="1" indent="1"/>
    </xf>
    <xf numFmtId="0" fontId="8" fillId="22" borderId="0" xfId="0" applyFont="1" applyFill="1" applyBorder="1" applyAlignment="1">
      <alignment horizontal="center" wrapText="1"/>
    </xf>
    <xf numFmtId="0" fontId="165" fillId="0" borderId="0" xfId="0" applyFont="1" applyBorder="1" applyAlignment="1">
      <alignment horizontal="left" vertical="center"/>
    </xf>
    <xf numFmtId="0" fontId="8" fillId="0" borderId="0" xfId="0" applyFont="1" applyAlignment="1">
      <alignment horizontal="center" vertical="center" wrapText="1"/>
    </xf>
    <xf numFmtId="0" fontId="8" fillId="0" borderId="34" xfId="0" applyFont="1" applyBorder="1" applyAlignment="1">
      <alignment horizontal="center" vertical="center" wrapText="1"/>
    </xf>
    <xf numFmtId="0" fontId="8" fillId="0" borderId="0" xfId="0" applyFont="1" applyAlignment="1">
      <alignment horizontal="left" wrapText="1"/>
    </xf>
    <xf numFmtId="0" fontId="8" fillId="0" borderId="34" xfId="0" applyFont="1" applyBorder="1" applyAlignment="1">
      <alignment horizontal="left" wrapText="1"/>
    </xf>
    <xf numFmtId="0" fontId="48" fillId="0" borderId="0" xfId="0" applyFont="1" applyAlignment="1">
      <alignment horizontal="left" vertical="center"/>
    </xf>
    <xf numFmtId="0" fontId="124" fillId="0" borderId="0" xfId="0" applyFont="1" applyBorder="1" applyAlignment="1">
      <alignment horizontal="center" vertical="center" wrapText="1"/>
    </xf>
    <xf numFmtId="0" fontId="124" fillId="0" borderId="0" xfId="0" applyFont="1" applyBorder="1" applyAlignment="1">
      <alignment horizontal="center" vertical="center"/>
    </xf>
    <xf numFmtId="0" fontId="138" fillId="0" borderId="0" xfId="0" applyFont="1" applyBorder="1" applyAlignment="1">
      <alignment horizontal="left" vertical="center" wrapText="1"/>
    </xf>
    <xf numFmtId="0" fontId="33" fillId="0" borderId="0" xfId="0" applyFont="1" applyBorder="1" applyAlignment="1">
      <alignment horizontal="left" wrapText="1" indent="1"/>
    </xf>
    <xf numFmtId="0" fontId="8" fillId="0" borderId="0" xfId="0" applyFont="1" applyBorder="1" applyAlignment="1">
      <alignment horizontal="center" vertical="center" wrapText="1"/>
    </xf>
    <xf numFmtId="0" fontId="158" fillId="0" borderId="0" xfId="0" applyFont="1" applyBorder="1" applyAlignment="1">
      <alignment horizontal="center" vertical="center" wrapText="1"/>
    </xf>
    <xf numFmtId="0" fontId="158" fillId="0" borderId="11" xfId="0" applyFont="1" applyBorder="1" applyAlignment="1">
      <alignment horizontal="center" vertical="center" wrapText="1"/>
    </xf>
    <xf numFmtId="0" fontId="146" fillId="0" borderId="0" xfId="0" applyFont="1" applyAlignment="1">
      <alignment horizontal="center" wrapText="1"/>
    </xf>
    <xf numFmtId="0" fontId="8" fillId="29" borderId="9" xfId="0" applyFont="1" applyFill="1" applyBorder="1" applyAlignment="1">
      <alignment horizontal="left" vertical="center" wrapText="1" indent="1"/>
    </xf>
    <xf numFmtId="0" fontId="8" fillId="29" borderId="8" xfId="0" applyFont="1" applyFill="1" applyBorder="1" applyAlignment="1">
      <alignment horizontal="left" vertical="center" wrapText="1" indent="1"/>
    </xf>
    <xf numFmtId="0" fontId="8" fillId="29" borderId="10" xfId="0" applyFont="1" applyFill="1" applyBorder="1" applyAlignment="1">
      <alignment horizontal="left" vertical="center" wrapText="1" indent="1"/>
    </xf>
    <xf numFmtId="0" fontId="8" fillId="26" borderId="22" xfId="0" applyFont="1" applyFill="1" applyBorder="1" applyAlignment="1">
      <alignment horizontal="left" vertical="center" wrapText="1" indent="1"/>
    </xf>
    <xf numFmtId="0" fontId="8" fillId="26" borderId="26" xfId="0" applyFont="1" applyFill="1" applyBorder="1" applyAlignment="1">
      <alignment horizontal="left" vertical="center" wrapText="1" indent="1"/>
    </xf>
    <xf numFmtId="0" fontId="8" fillId="26" borderId="24" xfId="0" applyFont="1" applyFill="1" applyBorder="1" applyAlignment="1">
      <alignment horizontal="left" vertical="center" wrapText="1" indent="1"/>
    </xf>
    <xf numFmtId="0" fontId="8" fillId="26" borderId="23" xfId="0" applyFont="1" applyFill="1" applyBorder="1" applyAlignment="1">
      <alignment horizontal="left" vertical="center" wrapText="1" indent="1"/>
    </xf>
    <xf numFmtId="0" fontId="8" fillId="26" borderId="11" xfId="0" applyFont="1" applyFill="1" applyBorder="1" applyAlignment="1">
      <alignment horizontal="left" vertical="center" wrapText="1" indent="1"/>
    </xf>
    <xf numFmtId="0" fontId="8" fillId="26" borderId="25" xfId="0" applyFont="1" applyFill="1" applyBorder="1" applyAlignment="1">
      <alignment horizontal="left" vertical="center" wrapText="1" indent="1"/>
    </xf>
    <xf numFmtId="0" fontId="165" fillId="0" borderId="26" xfId="0" applyFont="1" applyBorder="1" applyAlignment="1">
      <alignment horizontal="center"/>
    </xf>
    <xf numFmtId="0" fontId="165" fillId="0" borderId="0" xfId="0" applyFont="1" applyBorder="1" applyAlignment="1">
      <alignment horizontal="center"/>
    </xf>
    <xf numFmtId="0" fontId="8" fillId="0" borderId="0" xfId="0" applyFont="1" applyAlignment="1">
      <alignment horizontal="center" wrapText="1"/>
    </xf>
    <xf numFmtId="0" fontId="8" fillId="0" borderId="11" xfId="0" applyFont="1" applyBorder="1" applyAlignment="1">
      <alignment horizontal="center" wrapText="1"/>
    </xf>
    <xf numFmtId="0" fontId="8" fillId="0" borderId="0" xfId="0" applyFont="1" applyBorder="1" applyAlignment="1">
      <alignment horizontal="center" wrapText="1"/>
    </xf>
    <xf numFmtId="0" fontId="33" fillId="0" borderId="0" xfId="0" applyFont="1" applyAlignment="1">
      <alignment horizontal="center" wrapText="1"/>
    </xf>
    <xf numFmtId="0" fontId="33" fillId="0" borderId="11" xfId="0" applyFont="1" applyBorder="1" applyAlignment="1">
      <alignment horizontal="center" wrapText="1"/>
    </xf>
    <xf numFmtId="0" fontId="8" fillId="3" borderId="9" xfId="0" applyFont="1" applyFill="1" applyBorder="1" applyAlignment="1">
      <alignment horizontal="left" vertical="center" indent="1"/>
    </xf>
    <xf numFmtId="0" fontId="8" fillId="3" borderId="8" xfId="0" applyFont="1" applyFill="1" applyBorder="1" applyAlignment="1">
      <alignment horizontal="left" vertical="center" indent="1"/>
    </xf>
    <xf numFmtId="0" fontId="8" fillId="3" borderId="10" xfId="0" applyFont="1" applyFill="1" applyBorder="1" applyAlignment="1">
      <alignment horizontal="left" vertical="center" indent="1"/>
    </xf>
    <xf numFmtId="0" fontId="8" fillId="12" borderId="9" xfId="0" applyFont="1" applyFill="1" applyBorder="1" applyAlignment="1">
      <alignment horizontal="left" vertical="center" indent="1"/>
    </xf>
    <xf numFmtId="0" fontId="8" fillId="12" borderId="8" xfId="0" applyFont="1" applyFill="1" applyBorder="1" applyAlignment="1">
      <alignment horizontal="left" vertical="center" indent="1"/>
    </xf>
    <xf numFmtId="0" fontId="8" fillId="12" borderId="10" xfId="0" applyFont="1" applyFill="1" applyBorder="1" applyAlignment="1">
      <alignment horizontal="left" vertical="center" indent="1"/>
    </xf>
    <xf numFmtId="0" fontId="158" fillId="0" borderId="0" xfId="0" applyFont="1" applyAlignment="1">
      <alignment horizontal="center" vertical="center" wrapText="1"/>
    </xf>
    <xf numFmtId="0" fontId="158" fillId="0" borderId="34" xfId="0" applyFont="1" applyBorder="1" applyAlignment="1">
      <alignment horizontal="center" vertical="center" wrapText="1"/>
    </xf>
    <xf numFmtId="0" fontId="158" fillId="0" borderId="0" xfId="0" applyFont="1" applyBorder="1" applyAlignment="1">
      <alignment horizontal="center" textRotation="90"/>
    </xf>
    <xf numFmtId="0" fontId="158" fillId="0" borderId="11" xfId="0" applyFont="1" applyBorder="1" applyAlignment="1">
      <alignment horizontal="center" textRotation="90"/>
    </xf>
    <xf numFmtId="0" fontId="165" fillId="0" borderId="0" xfId="0" applyFont="1" applyAlignment="1">
      <alignment horizontal="left" vertical="center"/>
    </xf>
    <xf numFmtId="16" fontId="10" fillId="12" borderId="9" xfId="0" applyNumberFormat="1" applyFont="1" applyFill="1" applyBorder="1" applyAlignment="1">
      <alignment horizontal="center" vertical="center"/>
    </xf>
    <xf numFmtId="16" fontId="10" fillId="12" borderId="10" xfId="0" applyNumberFormat="1" applyFont="1" applyFill="1" applyBorder="1" applyAlignment="1">
      <alignment horizontal="center" vertical="center"/>
    </xf>
    <xf numFmtId="16" fontId="10" fillId="13" borderId="9" xfId="0" applyNumberFormat="1" applyFont="1" applyFill="1" applyBorder="1" applyAlignment="1">
      <alignment horizontal="center" vertical="center"/>
    </xf>
    <xf numFmtId="16" fontId="10" fillId="13" borderId="10" xfId="0" applyNumberFormat="1" applyFont="1" applyFill="1" applyBorder="1" applyAlignment="1">
      <alignment horizontal="center" vertical="center"/>
    </xf>
    <xf numFmtId="0" fontId="146" fillId="0" borderId="0" xfId="0" applyFont="1" applyBorder="1" applyAlignment="1">
      <alignment horizontal="center" wrapText="1"/>
    </xf>
    <xf numFmtId="0" fontId="146" fillId="0" borderId="0" xfId="0" applyFont="1" applyBorder="1" applyAlignment="1">
      <alignment horizontal="center" vertical="center" wrapText="1"/>
    </xf>
    <xf numFmtId="0" fontId="146" fillId="0" borderId="0" xfId="0" applyFont="1" applyBorder="1" applyAlignment="1">
      <alignment horizontal="center" vertical="center"/>
    </xf>
    <xf numFmtId="0" fontId="1" fillId="26" borderId="0" xfId="0" applyFont="1" applyFill="1" applyBorder="1" applyAlignment="1">
      <alignment horizontal="center" textRotation="90"/>
    </xf>
    <xf numFmtId="0" fontId="51" fillId="2" borderId="26" xfId="0" applyFont="1" applyFill="1" applyBorder="1" applyAlignment="1">
      <alignment horizontal="center" vertical="top"/>
    </xf>
    <xf numFmtId="0" fontId="51" fillId="2" borderId="0" xfId="0" applyFont="1" applyFill="1" applyBorder="1" applyAlignment="1">
      <alignment horizontal="center" vertical="top"/>
    </xf>
    <xf numFmtId="174" fontId="34" fillId="0" borderId="287" xfId="0" applyNumberFormat="1" applyFont="1" applyFill="1" applyBorder="1" applyAlignment="1">
      <alignment horizontal="center" vertical="center"/>
    </xf>
    <xf numFmtId="174" fontId="34" fillId="0" borderId="67" xfId="0" applyNumberFormat="1" applyFont="1" applyFill="1" applyBorder="1" applyAlignment="1">
      <alignment horizontal="center" vertical="center"/>
    </xf>
    <xf numFmtId="0" fontId="33" fillId="0" borderId="0" xfId="0" applyFont="1" applyBorder="1" applyAlignment="1">
      <alignment horizontal="left" wrapText="1"/>
    </xf>
    <xf numFmtId="0" fontId="33" fillId="0" borderId="0" xfId="0" applyFont="1" applyBorder="1" applyAlignment="1">
      <alignment horizontal="center" vertical="center" wrapText="1"/>
    </xf>
    <xf numFmtId="0" fontId="33" fillId="0" borderId="34" xfId="0" applyFont="1" applyBorder="1" applyAlignment="1">
      <alignment horizontal="center" vertical="center" wrapText="1"/>
    </xf>
    <xf numFmtId="0" fontId="33" fillId="0" borderId="0" xfId="0" applyFont="1" applyBorder="1" applyAlignment="1">
      <alignment horizontal="center" wrapText="1"/>
    </xf>
    <xf numFmtId="0" fontId="92" fillId="0" borderId="0" xfId="0" applyFont="1" applyAlignment="1">
      <alignment horizontal="center" wrapText="1"/>
    </xf>
    <xf numFmtId="0" fontId="72" fillId="0" borderId="0" xfId="0" applyFont="1" applyBorder="1" applyAlignment="1">
      <alignment horizontal="center" vertical="center" wrapText="1"/>
    </xf>
    <xf numFmtId="0" fontId="33" fillId="0" borderId="0" xfId="0" applyFont="1" applyAlignment="1">
      <alignment horizontal="center" vertical="center" wrapText="1"/>
    </xf>
    <xf numFmtId="0" fontId="8" fillId="0" borderId="34" xfId="0" applyFont="1" applyBorder="1" applyAlignment="1">
      <alignment horizontal="center" wrapText="1"/>
    </xf>
    <xf numFmtId="0" fontId="118" fillId="0" borderId="0" xfId="0" applyFont="1" applyBorder="1" applyAlignment="1">
      <alignment horizontal="center" vertical="center" wrapText="1"/>
    </xf>
    <xf numFmtId="0" fontId="118" fillId="0" borderId="34" xfId="0" applyFont="1" applyBorder="1" applyAlignment="1">
      <alignment horizontal="center" vertical="center" wrapText="1"/>
    </xf>
    <xf numFmtId="0" fontId="1" fillId="26" borderId="0" xfId="0" applyFont="1" applyFill="1" applyBorder="1" applyAlignment="1">
      <alignment horizontal="left" wrapText="1"/>
    </xf>
    <xf numFmtId="0" fontId="8" fillId="0" borderId="34" xfId="0" applyFont="1" applyBorder="1" applyAlignment="1">
      <alignment horizontal="center" vertical="center"/>
    </xf>
    <xf numFmtId="0" fontId="51" fillId="0" borderId="0" xfId="0" applyFont="1" applyAlignment="1">
      <alignment horizontal="left" vertical="center" wrapText="1"/>
    </xf>
    <xf numFmtId="0" fontId="124" fillId="0" borderId="0" xfId="0" applyFont="1" applyAlignment="1">
      <alignment horizontal="left" wrapText="1"/>
    </xf>
    <xf numFmtId="0" fontId="124" fillId="0" borderId="34" xfId="0" applyFont="1" applyBorder="1" applyAlignment="1">
      <alignment horizontal="left" wrapText="1"/>
    </xf>
    <xf numFmtId="0" fontId="42" fillId="26" borderId="0" xfId="0" applyFont="1" applyFill="1" applyBorder="1" applyAlignment="1">
      <alignment horizontal="center" textRotation="90"/>
    </xf>
    <xf numFmtId="0" fontId="13" fillId="26" borderId="0" xfId="0" applyFont="1" applyFill="1" applyBorder="1" applyAlignment="1">
      <alignment horizontal="center" textRotation="90"/>
    </xf>
    <xf numFmtId="0" fontId="6" fillId="26" borderId="0" xfId="0" applyFont="1" applyFill="1" applyBorder="1" applyAlignment="1">
      <alignment horizontal="center" wrapText="1"/>
    </xf>
    <xf numFmtId="0" fontId="6" fillId="26" borderId="11" xfId="0" applyFont="1" applyFill="1" applyBorder="1" applyAlignment="1">
      <alignment horizontal="center" wrapText="1"/>
    </xf>
    <xf numFmtId="171" fontId="1" fillId="0" borderId="9" xfId="0" applyNumberFormat="1" applyFont="1" applyBorder="1" applyAlignment="1">
      <alignment horizontal="left" vertical="center" indent="1"/>
    </xf>
    <xf numFmtId="171" fontId="1" fillId="0" borderId="8" xfId="0" applyNumberFormat="1" applyFont="1" applyBorder="1" applyAlignment="1">
      <alignment horizontal="left" vertical="center" indent="1"/>
    </xf>
    <xf numFmtId="171" fontId="1" fillId="0" borderId="10" xfId="0" applyNumberFormat="1" applyFont="1" applyBorder="1" applyAlignment="1">
      <alignment horizontal="left" vertical="center" indent="1"/>
    </xf>
    <xf numFmtId="171" fontId="1" fillId="0" borderId="9" xfId="0" applyNumberFormat="1" applyFont="1" applyBorder="1" applyAlignment="1">
      <alignment horizontal="center" vertical="center"/>
    </xf>
    <xf numFmtId="171" fontId="1" fillId="0" borderId="8" xfId="0" applyNumberFormat="1" applyFont="1" applyBorder="1" applyAlignment="1">
      <alignment horizontal="center" vertical="center"/>
    </xf>
    <xf numFmtId="171" fontId="1" fillId="0" borderId="10" xfId="0" applyNumberFormat="1" applyFont="1" applyBorder="1" applyAlignment="1">
      <alignment horizontal="center" vertical="center"/>
    </xf>
    <xf numFmtId="0" fontId="10" fillId="26" borderId="0" xfId="0" applyFont="1" applyFill="1" applyBorder="1" applyAlignment="1">
      <alignment horizontal="center" textRotation="90"/>
    </xf>
    <xf numFmtId="3" fontId="33" fillId="2" borderId="34" xfId="0" applyNumberFormat="1" applyFont="1" applyFill="1" applyBorder="1" applyAlignment="1">
      <alignment horizontal="center"/>
    </xf>
    <xf numFmtId="171" fontId="10" fillId="0" borderId="132" xfId="0" applyNumberFormat="1" applyFont="1" applyFill="1" applyBorder="1" applyAlignment="1">
      <alignment horizontal="left" vertical="center"/>
    </xf>
    <xf numFmtId="171" fontId="10" fillId="0" borderId="134" xfId="0" applyNumberFormat="1" applyFont="1" applyFill="1" applyBorder="1" applyAlignment="1">
      <alignment horizontal="left" vertical="center"/>
    </xf>
    <xf numFmtId="171" fontId="10" fillId="0" borderId="133" xfId="0" applyNumberFormat="1" applyFont="1" applyFill="1" applyBorder="1" applyAlignment="1">
      <alignment horizontal="left" vertical="center"/>
    </xf>
    <xf numFmtId="0" fontId="34" fillId="0" borderId="0" xfId="0" applyFont="1" applyAlignment="1">
      <alignment horizontal="left" wrapText="1"/>
    </xf>
    <xf numFmtId="0" fontId="34" fillId="0" borderId="34" xfId="0" applyFont="1" applyBorder="1" applyAlignment="1">
      <alignment horizontal="left" wrapText="1"/>
    </xf>
    <xf numFmtId="0" fontId="1" fillId="26" borderId="0" xfId="0" quotePrefix="1" applyFont="1" applyFill="1" applyBorder="1" applyAlignment="1">
      <alignment horizontal="center" textRotation="90"/>
    </xf>
    <xf numFmtId="0" fontId="6" fillId="2" borderId="0" xfId="0" applyFont="1" applyFill="1" applyBorder="1" applyAlignment="1">
      <alignment horizontal="center"/>
    </xf>
    <xf numFmtId="0" fontId="6" fillId="2" borderId="11" xfId="0" applyFont="1" applyFill="1" applyBorder="1" applyAlignment="1">
      <alignment horizontal="center"/>
    </xf>
    <xf numFmtId="0" fontId="8" fillId="2" borderId="0" xfId="0" applyFont="1" applyFill="1" applyBorder="1" applyAlignment="1">
      <alignment horizontal="center"/>
    </xf>
    <xf numFmtId="0" fontId="8" fillId="2" borderId="11" xfId="0" applyFont="1" applyFill="1" applyBorder="1" applyAlignment="1">
      <alignment horizontal="center"/>
    </xf>
    <xf numFmtId="0" fontId="41" fillId="26" borderId="0" xfId="0" quotePrefix="1" applyFont="1" applyFill="1" applyBorder="1" applyAlignment="1">
      <alignment horizontal="center" wrapText="1"/>
    </xf>
    <xf numFmtId="0" fontId="41" fillId="26" borderId="11" xfId="0" quotePrefix="1" applyFont="1" applyFill="1" applyBorder="1" applyAlignment="1">
      <alignment horizontal="center" wrapText="1"/>
    </xf>
    <xf numFmtId="0" fontId="6" fillId="26" borderId="0" xfId="0" quotePrefix="1" applyFont="1" applyFill="1" applyBorder="1" applyAlignment="1">
      <alignment horizontal="center" textRotation="90"/>
    </xf>
    <xf numFmtId="0" fontId="82" fillId="26" borderId="0" xfId="0" quotePrefix="1" applyFont="1" applyFill="1" applyBorder="1" applyAlignment="1">
      <alignment horizontal="center" textRotation="90"/>
    </xf>
    <xf numFmtId="0" fontId="124" fillId="0" borderId="0" xfId="0" applyFont="1" applyAlignment="1">
      <alignment horizontal="center" wrapText="1"/>
    </xf>
    <xf numFmtId="0" fontId="124" fillId="0" borderId="0" xfId="0" applyFont="1" applyAlignment="1">
      <alignment horizontal="center"/>
    </xf>
    <xf numFmtId="0" fontId="117" fillId="0" borderId="0" xfId="0" applyFont="1" applyAlignment="1">
      <alignment horizontal="left"/>
    </xf>
    <xf numFmtId="0" fontId="117" fillId="0" borderId="0" xfId="0" applyFont="1" applyBorder="1" applyAlignment="1">
      <alignment horizontal="left"/>
    </xf>
    <xf numFmtId="0" fontId="33" fillId="0" borderId="34" xfId="0" applyFont="1" applyBorder="1" applyAlignment="1">
      <alignment horizontal="center" wrapText="1"/>
    </xf>
    <xf numFmtId="0" fontId="24" fillId="0" borderId="0" xfId="0" applyFont="1" applyAlignment="1">
      <alignment horizontal="center" textRotation="90"/>
    </xf>
    <xf numFmtId="0" fontId="24" fillId="0" borderId="34" xfId="0" applyFont="1" applyBorder="1" applyAlignment="1">
      <alignment horizontal="center" textRotation="90"/>
    </xf>
    <xf numFmtId="0" fontId="8" fillId="0" borderId="0" xfId="0" applyFont="1" applyAlignment="1">
      <alignment horizontal="center" textRotation="90"/>
    </xf>
    <xf numFmtId="0" fontId="8" fillId="0" borderId="34" xfId="0" applyFont="1" applyBorder="1" applyAlignment="1">
      <alignment horizontal="center" textRotation="90"/>
    </xf>
    <xf numFmtId="0" fontId="68" fillId="0" borderId="0" xfId="0" applyFont="1" applyBorder="1" applyAlignment="1">
      <alignment horizontal="center" vertical="center" wrapText="1"/>
    </xf>
    <xf numFmtId="185" fontId="1" fillId="0" borderId="9" xfId="0" applyNumberFormat="1" applyFont="1" applyBorder="1" applyAlignment="1">
      <alignment horizontal="center" vertical="center"/>
    </xf>
    <xf numFmtId="185" fontId="1" fillId="0" borderId="8" xfId="0" applyNumberFormat="1" applyFont="1" applyBorder="1" applyAlignment="1">
      <alignment horizontal="center" vertical="center"/>
    </xf>
    <xf numFmtId="185" fontId="1" fillId="0" borderId="10" xfId="0" applyNumberFormat="1" applyFont="1" applyBorder="1" applyAlignment="1">
      <alignment horizontal="center" vertical="center"/>
    </xf>
    <xf numFmtId="3" fontId="10" fillId="0" borderId="132" xfId="0" applyNumberFormat="1" applyFont="1" applyBorder="1" applyAlignment="1">
      <alignment horizontal="right" vertical="center" indent="1"/>
    </xf>
    <xf numFmtId="3" fontId="10" fillId="0" borderId="133" xfId="0" applyNumberFormat="1" applyFont="1" applyBorder="1" applyAlignment="1">
      <alignment horizontal="right" vertical="center" indent="1"/>
    </xf>
    <xf numFmtId="0" fontId="34" fillId="2" borderId="0" xfId="0" applyFont="1" applyFill="1" applyBorder="1" applyAlignment="1">
      <alignment horizontal="center"/>
    </xf>
    <xf numFmtId="0" fontId="34" fillId="2" borderId="11" xfId="0" applyFont="1" applyFill="1" applyBorder="1" applyAlignment="1">
      <alignment horizontal="center"/>
    </xf>
    <xf numFmtId="0" fontId="42" fillId="26" borderId="0" xfId="0" quotePrefix="1" applyFont="1" applyFill="1" applyBorder="1" applyAlignment="1">
      <alignment horizontal="center" textRotation="90"/>
    </xf>
    <xf numFmtId="171" fontId="10" fillId="0" borderId="155" xfId="0" applyNumberFormat="1" applyFont="1" applyFill="1" applyBorder="1" applyAlignment="1">
      <alignment horizontal="left" vertical="center"/>
    </xf>
    <xf numFmtId="1" fontId="8" fillId="0" borderId="195" xfId="1" applyNumberFormat="1" applyFont="1" applyBorder="1" applyAlignment="1">
      <alignment horizontal="center" vertical="center"/>
    </xf>
    <xf numFmtId="1" fontId="8" fillId="0" borderId="196" xfId="1" applyNumberFormat="1" applyFont="1" applyBorder="1" applyAlignment="1">
      <alignment horizontal="center" vertical="center"/>
    </xf>
    <xf numFmtId="1" fontId="8" fillId="0" borderId="203" xfId="1" applyNumberFormat="1" applyFont="1" applyBorder="1" applyAlignment="1">
      <alignment horizontal="center" vertical="center"/>
    </xf>
    <xf numFmtId="1" fontId="8" fillId="0" borderId="204" xfId="1" applyNumberFormat="1" applyFont="1" applyBorder="1" applyAlignment="1">
      <alignment horizontal="center" vertical="center"/>
    </xf>
    <xf numFmtId="3" fontId="10" fillId="0" borderId="201" xfId="0" applyNumberFormat="1" applyFont="1" applyBorder="1" applyAlignment="1">
      <alignment horizontal="right" vertical="center" indent="1"/>
    </xf>
    <xf numFmtId="3" fontId="10" fillId="0" borderId="206" xfId="0" applyNumberFormat="1" applyFont="1" applyBorder="1" applyAlignment="1">
      <alignment horizontal="right" vertical="center" indent="1"/>
    </xf>
    <xf numFmtId="0" fontId="6" fillId="26" borderId="0" xfId="0" applyFont="1" applyFill="1" applyBorder="1" applyAlignment="1">
      <alignment horizontal="center" textRotation="90"/>
    </xf>
    <xf numFmtId="0" fontId="1" fillId="26" borderId="26" xfId="0" quotePrefix="1" applyFont="1" applyFill="1" applyBorder="1" applyAlignment="1">
      <alignment horizontal="center" textRotation="90"/>
    </xf>
    <xf numFmtId="0" fontId="8" fillId="2" borderId="0" xfId="0" applyFont="1" applyFill="1" applyBorder="1" applyAlignment="1">
      <alignment horizontal="left"/>
    </xf>
    <xf numFmtId="0" fontId="8" fillId="0" borderId="11" xfId="0" applyFont="1" applyBorder="1" applyAlignment="1">
      <alignment horizontal="center" vertical="center"/>
    </xf>
    <xf numFmtId="0" fontId="70" fillId="0" borderId="0" xfId="0" applyFont="1" applyBorder="1" applyAlignment="1">
      <alignment horizontal="right"/>
    </xf>
    <xf numFmtId="171" fontId="10" fillId="3" borderId="132" xfId="0" applyNumberFormat="1" applyFont="1" applyFill="1" applyBorder="1" applyAlignment="1">
      <alignment horizontal="left" vertical="center"/>
    </xf>
    <xf numFmtId="171" fontId="10" fillId="3" borderId="134" xfId="0" applyNumberFormat="1" applyFont="1" applyFill="1" applyBorder="1" applyAlignment="1">
      <alignment horizontal="left" vertical="center"/>
    </xf>
    <xf numFmtId="171" fontId="10" fillId="3" borderId="133" xfId="0" applyNumberFormat="1" applyFont="1" applyFill="1" applyBorder="1" applyAlignment="1">
      <alignment horizontal="left" vertical="center"/>
    </xf>
    <xf numFmtId="3" fontId="1" fillId="3" borderId="207" xfId="0" quotePrefix="1" applyNumberFormat="1" applyFont="1" applyFill="1" applyBorder="1" applyAlignment="1">
      <alignment horizontal="center" vertical="center"/>
    </xf>
    <xf numFmtId="3" fontId="1" fillId="3" borderId="10" xfId="0" applyNumberFormat="1" applyFont="1" applyFill="1" applyBorder="1" applyAlignment="1">
      <alignment horizontal="center" vertical="center"/>
    </xf>
    <xf numFmtId="0" fontId="32" fillId="2" borderId="0" xfId="0" applyFont="1" applyFill="1" applyBorder="1" applyAlignment="1">
      <alignment horizontal="center"/>
    </xf>
    <xf numFmtId="0" fontId="22" fillId="0" borderId="0" xfId="0" applyFont="1" applyAlignment="1">
      <alignment horizontal="left"/>
    </xf>
    <xf numFmtId="0" fontId="138" fillId="0" borderId="0" xfId="0" quotePrefix="1" applyFont="1" applyBorder="1" applyAlignment="1">
      <alignment horizontal="center" vertical="center" wrapText="1"/>
    </xf>
    <xf numFmtId="0" fontId="138" fillId="0" borderId="0" xfId="0" applyFont="1" applyBorder="1" applyAlignment="1">
      <alignment horizontal="center" vertical="center" wrapText="1"/>
    </xf>
    <xf numFmtId="3" fontId="1" fillId="0" borderId="208" xfId="0" applyNumberFormat="1" applyFont="1" applyBorder="1" applyAlignment="1">
      <alignment horizontal="right" vertical="center" indent="1"/>
    </xf>
    <xf numFmtId="3" fontId="1" fillId="0" borderId="10" xfId="0" applyNumberFormat="1" applyFont="1" applyBorder="1" applyAlignment="1">
      <alignment horizontal="right" vertical="center" indent="1"/>
    </xf>
    <xf numFmtId="174" fontId="10" fillId="0" borderId="194" xfId="1" applyNumberFormat="1" applyFont="1" applyBorder="1" applyAlignment="1">
      <alignment horizontal="center" vertical="center"/>
    </xf>
    <xf numFmtId="174" fontId="10" fillId="0" borderId="10" xfId="1" applyNumberFormat="1" applyFont="1" applyBorder="1" applyAlignment="1">
      <alignment horizontal="center" vertical="center"/>
    </xf>
    <xf numFmtId="0" fontId="20" fillId="2" borderId="0" xfId="0" applyFont="1" applyFill="1" applyBorder="1" applyAlignment="1">
      <alignment horizontal="left" vertical="center"/>
    </xf>
    <xf numFmtId="0" fontId="92" fillId="0" borderId="0" xfId="0" applyFont="1" applyBorder="1" applyAlignment="1">
      <alignment horizontal="center" vertical="center" wrapText="1"/>
    </xf>
    <xf numFmtId="0" fontId="17" fillId="0" borderId="0" xfId="0" applyFont="1" applyAlignment="1">
      <alignment horizontal="left" indent="4"/>
    </xf>
    <xf numFmtId="0" fontId="34" fillId="2" borderId="0" xfId="0" quotePrefix="1" applyFont="1" applyFill="1" applyBorder="1" applyAlignment="1">
      <alignment horizontal="center"/>
    </xf>
    <xf numFmtId="0" fontId="34" fillId="2" borderId="11" xfId="0" quotePrefix="1" applyFont="1" applyFill="1" applyBorder="1" applyAlignment="1">
      <alignment horizontal="center"/>
    </xf>
    <xf numFmtId="0" fontId="127" fillId="2" borderId="0" xfId="0" quotePrefix="1" applyFont="1" applyFill="1" applyBorder="1" applyAlignment="1">
      <alignment horizontal="center" vertical="center" wrapText="1"/>
    </xf>
    <xf numFmtId="0" fontId="34" fillId="2" borderId="43" xfId="0" applyFont="1" applyFill="1" applyBorder="1" applyAlignment="1">
      <alignment horizontal="center"/>
    </xf>
    <xf numFmtId="0" fontId="34" fillId="2" borderId="0" xfId="0" applyFont="1" applyFill="1" applyBorder="1" applyAlignment="1">
      <alignment horizontal="center" vertical="center" wrapText="1"/>
    </xf>
    <xf numFmtId="0" fontId="8" fillId="0" borderId="0" xfId="0" applyFont="1" applyBorder="1" applyAlignment="1">
      <alignment horizontal="center" vertical="center"/>
    </xf>
    <xf numFmtId="3" fontId="10" fillId="0" borderId="197" xfId="0" applyNumberFormat="1" applyFont="1" applyBorder="1" applyAlignment="1">
      <alignment horizontal="right" vertical="center" indent="1"/>
    </xf>
    <xf numFmtId="3" fontId="10" fillId="0" borderId="205" xfId="0" applyNumberFormat="1" applyFont="1" applyBorder="1" applyAlignment="1">
      <alignment horizontal="right" vertical="center" indent="1"/>
    </xf>
    <xf numFmtId="1" fontId="8" fillId="0" borderId="199" xfId="1" applyNumberFormat="1" applyFont="1" applyBorder="1" applyAlignment="1">
      <alignment horizontal="center" vertical="center"/>
    </xf>
    <xf numFmtId="1" fontId="8" fillId="0" borderId="200" xfId="1" applyNumberFormat="1" applyFont="1" applyBorder="1" applyAlignment="1">
      <alignment horizontal="center" vertical="center"/>
    </xf>
    <xf numFmtId="0" fontId="6" fillId="2" borderId="0" xfId="0" quotePrefix="1" applyFont="1" applyFill="1" applyBorder="1" applyAlignment="1">
      <alignment horizontal="center"/>
    </xf>
    <xf numFmtId="0" fontId="6" fillId="2" borderId="11" xfId="0" quotePrefix="1" applyFont="1" applyFill="1" applyBorder="1" applyAlignment="1">
      <alignment horizontal="center"/>
    </xf>
    <xf numFmtId="0" fontId="158" fillId="0" borderId="0" xfId="0" applyFont="1" applyAlignment="1">
      <alignment horizontal="center" wrapText="1"/>
    </xf>
    <xf numFmtId="0" fontId="151" fillId="0" borderId="0" xfId="0" applyFont="1" applyAlignment="1">
      <alignment horizontal="left" vertical="center" wrapText="1"/>
    </xf>
    <xf numFmtId="170" fontId="8" fillId="10" borderId="585" xfId="0" quotePrefix="1" applyNumberFormat="1" applyFont="1" applyFill="1" applyBorder="1" applyAlignment="1">
      <alignment horizontal="center" textRotation="90"/>
    </xf>
    <xf numFmtId="170" fontId="8" fillId="10" borderId="79" xfId="0" quotePrefix="1" applyNumberFormat="1" applyFont="1" applyFill="1" applyBorder="1" applyAlignment="1">
      <alignment horizontal="center" textRotation="90"/>
    </xf>
    <xf numFmtId="170" fontId="8" fillId="10" borderId="77" xfId="0" quotePrefix="1" applyNumberFormat="1" applyFont="1" applyFill="1" applyBorder="1" applyAlignment="1">
      <alignment horizontal="center" textRotation="90"/>
    </xf>
    <xf numFmtId="170" fontId="8" fillId="10" borderId="586" xfId="0" quotePrefix="1" applyNumberFormat="1" applyFont="1" applyFill="1" applyBorder="1" applyAlignment="1">
      <alignment horizontal="center" textRotation="90"/>
    </xf>
    <xf numFmtId="170" fontId="8" fillId="10" borderId="588" xfId="0" quotePrefix="1" applyNumberFormat="1" applyFont="1" applyFill="1" applyBorder="1" applyAlignment="1">
      <alignment horizontal="center" textRotation="90"/>
    </xf>
    <xf numFmtId="170" fontId="8" fillId="10" borderId="381" xfId="0" quotePrefix="1" applyNumberFormat="1" applyFont="1" applyFill="1" applyBorder="1" applyAlignment="1">
      <alignment horizontal="center" textRotation="90"/>
    </xf>
    <xf numFmtId="0" fontId="6" fillId="0" borderId="5" xfId="0" applyFont="1" applyBorder="1" applyAlignment="1">
      <alignment horizontal="right" vertical="center"/>
    </xf>
    <xf numFmtId="0" fontId="8" fillId="3" borderId="0" xfId="0" applyFont="1" applyFill="1" applyAlignment="1">
      <alignment horizontal="right" vertical="center" wrapText="1"/>
    </xf>
    <xf numFmtId="0" fontId="8" fillId="3" borderId="5" xfId="0" applyFont="1" applyFill="1" applyBorder="1" applyAlignment="1">
      <alignment horizontal="right" vertical="center" wrapText="1"/>
    </xf>
    <xf numFmtId="170" fontId="8" fillId="10" borderId="584" xfId="0" quotePrefix="1" applyNumberFormat="1" applyFont="1" applyFill="1" applyBorder="1" applyAlignment="1">
      <alignment horizontal="center" textRotation="90"/>
    </xf>
    <xf numFmtId="170" fontId="8" fillId="10" borderId="587" xfId="0" quotePrefix="1" applyNumberFormat="1" applyFont="1" applyFill="1" applyBorder="1" applyAlignment="1">
      <alignment horizontal="center" textRotation="90"/>
    </xf>
    <xf numFmtId="170" fontId="8" fillId="10" borderId="589" xfId="0" quotePrefix="1" applyNumberFormat="1" applyFont="1" applyFill="1" applyBorder="1" applyAlignment="1">
      <alignment horizontal="center" textRotation="90"/>
    </xf>
    <xf numFmtId="170" fontId="34" fillId="10" borderId="22" xfId="0" applyNumberFormat="1" applyFont="1" applyFill="1" applyBorder="1" applyAlignment="1">
      <alignment horizontal="center" vertical="center"/>
    </xf>
    <xf numFmtId="170" fontId="34" fillId="10" borderId="26" xfId="0" applyNumberFormat="1" applyFont="1" applyFill="1" applyBorder="1" applyAlignment="1">
      <alignment horizontal="center" vertical="center"/>
    </xf>
    <xf numFmtId="170" fontId="34" fillId="10" borderId="24" xfId="0" applyNumberFormat="1" applyFont="1" applyFill="1" applyBorder="1" applyAlignment="1">
      <alignment horizontal="center" vertical="center"/>
    </xf>
    <xf numFmtId="170" fontId="34" fillId="10" borderId="6" xfId="0" applyNumberFormat="1" applyFont="1" applyFill="1" applyBorder="1" applyAlignment="1">
      <alignment horizontal="center" vertical="center"/>
    </xf>
    <xf numFmtId="170" fontId="34" fillId="10" borderId="0" xfId="0" applyNumberFormat="1" applyFont="1" applyFill="1" applyBorder="1" applyAlignment="1">
      <alignment horizontal="center" vertical="center"/>
    </xf>
    <xf numFmtId="170" fontId="34" fillId="10" borderId="5" xfId="0" applyNumberFormat="1" applyFont="1" applyFill="1" applyBorder="1" applyAlignment="1">
      <alignment horizontal="center" vertical="center"/>
    </xf>
    <xf numFmtId="170" fontId="34" fillId="10" borderId="23" xfId="0" applyNumberFormat="1" applyFont="1" applyFill="1" applyBorder="1" applyAlignment="1">
      <alignment horizontal="center" vertical="center"/>
    </xf>
    <xf numFmtId="170" fontId="34" fillId="10" borderId="11" xfId="0" applyNumberFormat="1" applyFont="1" applyFill="1" applyBorder="1" applyAlignment="1">
      <alignment horizontal="center" vertical="center"/>
    </xf>
    <xf numFmtId="170" fontId="34" fillId="10" borderId="25" xfId="0" applyNumberFormat="1" applyFont="1" applyFill="1" applyBorder="1" applyAlignment="1">
      <alignment horizontal="center" vertical="center"/>
    </xf>
    <xf numFmtId="170" fontId="195" fillId="56" borderId="103" xfId="0" applyNumberFormat="1" applyFont="1" applyFill="1" applyBorder="1" applyAlignment="1">
      <alignment horizontal="center" textRotation="90"/>
    </xf>
    <xf numFmtId="170" fontId="195" fillId="56" borderId="97" xfId="0" applyNumberFormat="1" applyFont="1" applyFill="1" applyBorder="1" applyAlignment="1">
      <alignment horizontal="center" textRotation="90"/>
    </xf>
    <xf numFmtId="0" fontId="6" fillId="3" borderId="0" xfId="0" applyFont="1" applyFill="1" applyBorder="1" applyAlignment="1">
      <alignment horizontal="right" vertical="center" wrapText="1"/>
    </xf>
    <xf numFmtId="0" fontId="6" fillId="3" borderId="5" xfId="0" applyFont="1" applyFill="1" applyBorder="1" applyAlignment="1">
      <alignment horizontal="right" vertical="center" wrapText="1"/>
    </xf>
    <xf numFmtId="0" fontId="22" fillId="14" borderId="189" xfId="0" applyFont="1" applyFill="1" applyBorder="1" applyAlignment="1">
      <alignment horizontal="center" textRotation="90"/>
    </xf>
    <xf numFmtId="0" fontId="22" fillId="14" borderId="190" xfId="0" applyFont="1" applyFill="1" applyBorder="1" applyAlignment="1">
      <alignment horizontal="center" textRotation="90"/>
    </xf>
    <xf numFmtId="0" fontId="22" fillId="14" borderId="267" xfId="0" applyFont="1" applyFill="1" applyBorder="1" applyAlignment="1">
      <alignment horizontal="center" textRotation="90"/>
    </xf>
    <xf numFmtId="0" fontId="10" fillId="3" borderId="26" xfId="0" applyFont="1" applyFill="1" applyBorder="1" applyAlignment="1">
      <alignment horizontal="center" vertical="center" textRotation="90" wrapText="1"/>
    </xf>
    <xf numFmtId="0" fontId="10" fillId="3" borderId="24" xfId="0" applyFont="1" applyFill="1" applyBorder="1" applyAlignment="1">
      <alignment horizontal="center" vertical="center" textRotation="90" wrapText="1"/>
    </xf>
    <xf numFmtId="0" fontId="10" fillId="3" borderId="0" xfId="0" applyFont="1" applyFill="1" applyBorder="1" applyAlignment="1">
      <alignment horizontal="center" vertical="center" textRotation="90" wrapText="1"/>
    </xf>
    <xf numFmtId="0" fontId="10" fillId="3" borderId="5" xfId="0" applyFont="1" applyFill="1" applyBorder="1" applyAlignment="1">
      <alignment horizontal="center" vertical="center" textRotation="90" wrapText="1"/>
    </xf>
    <xf numFmtId="170" fontId="195" fillId="56" borderId="22" xfId="0" applyNumberFormat="1" applyFont="1" applyFill="1" applyBorder="1" applyAlignment="1">
      <alignment horizontal="center" textRotation="90"/>
    </xf>
    <xf numFmtId="170" fontId="195" fillId="56" borderId="23" xfId="0" applyNumberFormat="1" applyFont="1" applyFill="1" applyBorder="1" applyAlignment="1">
      <alignment horizontal="center" textRotation="90"/>
    </xf>
    <xf numFmtId="170" fontId="34" fillId="69" borderId="9" xfId="1" applyNumberFormat="1" applyFont="1" applyFill="1" applyBorder="1" applyAlignment="1">
      <alignment horizontal="center" vertical="center"/>
    </xf>
    <xf numFmtId="170" fontId="34" fillId="69" borderId="8" xfId="1" applyNumberFormat="1" applyFont="1" applyFill="1" applyBorder="1" applyAlignment="1">
      <alignment horizontal="center" vertical="center"/>
    </xf>
    <xf numFmtId="170" fontId="34" fillId="69" borderId="10" xfId="1" applyNumberFormat="1" applyFont="1" applyFill="1" applyBorder="1" applyAlignment="1">
      <alignment horizontal="center" vertical="center"/>
    </xf>
    <xf numFmtId="171" fontId="8" fillId="3" borderId="213" xfId="0" applyNumberFormat="1" applyFont="1" applyFill="1" applyBorder="1" applyAlignment="1">
      <alignment horizontal="left" vertical="center" indent="1"/>
    </xf>
    <xf numFmtId="171" fontId="8" fillId="3" borderId="40" xfId="0" applyNumberFormat="1" applyFont="1" applyFill="1" applyBorder="1" applyAlignment="1">
      <alignment horizontal="left" vertical="center" indent="1"/>
    </xf>
    <xf numFmtId="0" fontId="6" fillId="3" borderId="26" xfId="0" applyFont="1" applyFill="1" applyBorder="1" applyAlignment="1">
      <alignment horizontal="center" vertical="top"/>
    </xf>
    <xf numFmtId="0" fontId="6" fillId="3" borderId="26" xfId="0" applyFont="1" applyFill="1" applyBorder="1" applyAlignment="1">
      <alignment horizontal="left" vertical="top" indent="1"/>
    </xf>
    <xf numFmtId="170" fontId="8" fillId="3" borderId="213" xfId="0" applyNumberFormat="1" applyFont="1" applyFill="1" applyBorder="1" applyAlignment="1">
      <alignment horizontal="center" vertical="center"/>
    </xf>
    <xf numFmtId="170" fontId="8" fillId="3" borderId="41" xfId="0" applyNumberFormat="1" applyFont="1" applyFill="1" applyBorder="1" applyAlignment="1">
      <alignment horizontal="center" vertical="center"/>
    </xf>
    <xf numFmtId="9" fontId="11" fillId="12" borderId="39" xfId="1" applyFont="1" applyFill="1" applyBorder="1" applyAlignment="1">
      <alignment horizontal="center" vertical="center"/>
    </xf>
    <xf numFmtId="9" fontId="11" fillId="12" borderId="41" xfId="1" applyFont="1" applyFill="1" applyBorder="1" applyAlignment="1">
      <alignment horizontal="center" vertical="center"/>
    </xf>
    <xf numFmtId="0" fontId="5" fillId="27" borderId="0" xfId="0" applyFont="1" applyFill="1" applyBorder="1" applyAlignment="1">
      <alignment horizontal="center" vertical="center"/>
    </xf>
    <xf numFmtId="171" fontId="8" fillId="3" borderId="268" xfId="0" applyNumberFormat="1" applyFont="1" applyFill="1" applyBorder="1" applyAlignment="1">
      <alignment horizontal="left" vertical="center" indent="1"/>
    </xf>
    <xf numFmtId="171" fontId="8" fillId="3" borderId="256" xfId="0" applyNumberFormat="1" applyFont="1" applyFill="1" applyBorder="1" applyAlignment="1">
      <alignment horizontal="left" vertical="center" indent="1"/>
    </xf>
    <xf numFmtId="171" fontId="43" fillId="34" borderId="9" xfId="0" applyNumberFormat="1" applyFont="1" applyFill="1" applyBorder="1" applyAlignment="1">
      <alignment horizontal="left" vertical="center"/>
    </xf>
    <xf numFmtId="171" fontId="43" fillId="34" borderId="8" xfId="0" applyNumberFormat="1" applyFont="1" applyFill="1" applyBorder="1" applyAlignment="1">
      <alignment horizontal="left" vertical="center"/>
    </xf>
    <xf numFmtId="9" fontId="11" fillId="12" borderId="89" xfId="1" applyFont="1" applyFill="1" applyBorder="1" applyAlignment="1">
      <alignment horizontal="center" vertical="center"/>
    </xf>
    <xf numFmtId="9" fontId="11" fillId="12" borderId="257" xfId="1" applyFont="1" applyFill="1" applyBorder="1" applyAlignment="1">
      <alignment horizontal="center" vertical="center"/>
    </xf>
    <xf numFmtId="170" fontId="8" fillId="3" borderId="268" xfId="0" quotePrefix="1" applyNumberFormat="1" applyFont="1" applyFill="1" applyBorder="1" applyAlignment="1">
      <alignment horizontal="center" vertical="center"/>
    </xf>
    <xf numFmtId="170" fontId="8" fillId="3" borderId="261" xfId="0" quotePrefix="1" applyNumberFormat="1" applyFont="1" applyFill="1" applyBorder="1" applyAlignment="1">
      <alignment horizontal="center" vertical="center"/>
    </xf>
    <xf numFmtId="171" fontId="8" fillId="3" borderId="269" xfId="0" quotePrefix="1" applyNumberFormat="1" applyFont="1" applyFill="1" applyBorder="1" applyAlignment="1">
      <alignment horizontal="left" vertical="center" indent="1"/>
    </xf>
    <xf numFmtId="171" fontId="8" fillId="3" borderId="42" xfId="0" quotePrefix="1" applyNumberFormat="1" applyFont="1" applyFill="1" applyBorder="1" applyAlignment="1">
      <alignment horizontal="left" vertical="center" indent="1"/>
    </xf>
    <xf numFmtId="170" fontId="8" fillId="3" borderId="269" xfId="0" applyNumberFormat="1" applyFont="1" applyFill="1" applyBorder="1" applyAlignment="1">
      <alignment horizontal="center" vertical="center"/>
    </xf>
    <xf numFmtId="170" fontId="8" fillId="3" borderId="220" xfId="0" applyNumberFormat="1" applyFont="1" applyFill="1" applyBorder="1" applyAlignment="1">
      <alignment horizontal="center" vertical="center"/>
    </xf>
    <xf numFmtId="0" fontId="57" fillId="3" borderId="79" xfId="0" applyFont="1" applyFill="1" applyBorder="1" applyAlignment="1">
      <alignment horizontal="center" textRotation="90"/>
    </xf>
    <xf numFmtId="0" fontId="43" fillId="22" borderId="7" xfId="0" applyFont="1" applyFill="1" applyBorder="1" applyAlignment="1">
      <alignment horizontal="center" textRotation="90"/>
    </xf>
    <xf numFmtId="0" fontId="43" fillId="22" borderId="16" xfId="0" applyFont="1" applyFill="1" applyBorder="1" applyAlignment="1">
      <alignment horizontal="center" textRotation="90"/>
    </xf>
    <xf numFmtId="0" fontId="43" fillId="22" borderId="12" xfId="0" applyFont="1" applyFill="1" applyBorder="1" applyAlignment="1">
      <alignment horizontal="center" textRotation="90"/>
    </xf>
    <xf numFmtId="0" fontId="57" fillId="3" borderId="253" xfId="0" applyFont="1" applyFill="1" applyBorder="1" applyAlignment="1">
      <alignment horizontal="center" textRotation="90"/>
    </xf>
    <xf numFmtId="0" fontId="1" fillId="3" borderId="6" xfId="0" applyFont="1" applyFill="1" applyBorder="1" applyAlignment="1">
      <alignment horizontal="left" vertical="top" wrapText="1"/>
    </xf>
    <xf numFmtId="0" fontId="1" fillId="3" borderId="0" xfId="0" applyFont="1" applyFill="1" applyBorder="1" applyAlignment="1">
      <alignment horizontal="left" vertical="top" wrapText="1"/>
    </xf>
    <xf numFmtId="170" fontId="34" fillId="48" borderId="9" xfId="0" applyNumberFormat="1" applyFont="1" applyFill="1" applyBorder="1" applyAlignment="1">
      <alignment horizontal="center" vertical="center"/>
    </xf>
    <xf numFmtId="170" fontId="34" fillId="48" borderId="8" xfId="0" applyNumberFormat="1" applyFont="1" applyFill="1" applyBorder="1" applyAlignment="1">
      <alignment horizontal="center" vertical="center"/>
    </xf>
    <xf numFmtId="170" fontId="34" fillId="48" borderId="10" xfId="0" applyNumberFormat="1" applyFont="1" applyFill="1" applyBorder="1" applyAlignment="1">
      <alignment horizontal="center" vertical="center"/>
    </xf>
    <xf numFmtId="170" fontId="195" fillId="56" borderId="248" xfId="0" applyNumberFormat="1" applyFont="1" applyFill="1" applyBorder="1" applyAlignment="1">
      <alignment horizontal="center" textRotation="90"/>
    </xf>
    <xf numFmtId="170" fontId="195" fillId="56" borderId="249" xfId="0" applyNumberFormat="1" applyFont="1" applyFill="1" applyBorder="1" applyAlignment="1">
      <alignment horizontal="center" textRotation="90"/>
    </xf>
    <xf numFmtId="0" fontId="8" fillId="3" borderId="445" xfId="0" quotePrefix="1" applyFont="1" applyFill="1" applyBorder="1" applyAlignment="1">
      <alignment horizontal="center" wrapText="1"/>
    </xf>
    <xf numFmtId="0" fontId="8" fillId="3" borderId="446" xfId="0" applyFont="1" applyFill="1" applyBorder="1" applyAlignment="1">
      <alignment horizontal="center" wrapText="1"/>
    </xf>
    <xf numFmtId="0" fontId="8" fillId="3" borderId="447" xfId="0" applyFont="1" applyFill="1" applyBorder="1" applyAlignment="1">
      <alignment horizontal="center" wrapText="1"/>
    </xf>
    <xf numFmtId="0" fontId="8" fillId="3" borderId="448" xfId="0" applyFont="1" applyFill="1" applyBorder="1" applyAlignment="1">
      <alignment horizontal="center" wrapText="1"/>
    </xf>
    <xf numFmtId="0" fontId="8" fillId="3" borderId="449" xfId="0" applyFont="1" applyFill="1" applyBorder="1" applyAlignment="1">
      <alignment horizontal="center" wrapText="1"/>
    </xf>
    <xf numFmtId="0" fontId="8" fillId="3" borderId="450" xfId="0" applyFont="1" applyFill="1" applyBorder="1" applyAlignment="1">
      <alignment horizontal="center" wrapText="1"/>
    </xf>
    <xf numFmtId="0" fontId="8" fillId="3" borderId="446" xfId="0" applyFont="1" applyFill="1" applyBorder="1" applyAlignment="1">
      <alignment horizontal="center" textRotation="90"/>
    </xf>
    <xf numFmtId="0" fontId="8" fillId="3" borderId="447" xfId="0" applyFont="1" applyFill="1" applyBorder="1" applyAlignment="1">
      <alignment horizontal="center" textRotation="90"/>
    </xf>
    <xf numFmtId="0" fontId="8" fillId="3" borderId="0" xfId="0" applyFont="1" applyFill="1" applyBorder="1" applyAlignment="1">
      <alignment horizontal="center" wrapText="1"/>
    </xf>
    <xf numFmtId="0" fontId="8" fillId="3" borderId="11" xfId="0" applyFont="1" applyFill="1" applyBorder="1" applyAlignment="1">
      <alignment horizontal="center" wrapText="1"/>
    </xf>
    <xf numFmtId="0" fontId="30" fillId="3" borderId="0" xfId="0" applyFont="1" applyFill="1" applyBorder="1" applyAlignment="1">
      <alignment horizontal="center" wrapText="1"/>
    </xf>
    <xf numFmtId="0" fontId="120" fillId="3" borderId="0" xfId="0" quotePrefix="1" applyFont="1" applyFill="1" applyBorder="1" applyAlignment="1">
      <alignment horizontal="right" vertical="center" wrapText="1"/>
    </xf>
    <xf numFmtId="0" fontId="120" fillId="3" borderId="0" xfId="0" applyFont="1" applyFill="1" applyBorder="1" applyAlignment="1">
      <alignment horizontal="right" vertical="center" wrapText="1"/>
    </xf>
    <xf numFmtId="170" fontId="196" fillId="56" borderId="22" xfId="0" applyNumberFormat="1" applyFont="1" applyFill="1" applyBorder="1" applyAlignment="1">
      <alignment horizontal="center" vertical="center"/>
    </xf>
    <xf numFmtId="170" fontId="196" fillId="56" borderId="26" xfId="0" applyNumberFormat="1" applyFont="1" applyFill="1" applyBorder="1" applyAlignment="1">
      <alignment horizontal="center" vertical="center"/>
    </xf>
    <xf numFmtId="170" fontId="196" fillId="56" borderId="24" xfId="0" applyNumberFormat="1" applyFont="1" applyFill="1" applyBorder="1" applyAlignment="1">
      <alignment horizontal="center" vertical="center"/>
    </xf>
    <xf numFmtId="170" fontId="196" fillId="56" borderId="23" xfId="0" applyNumberFormat="1" applyFont="1" applyFill="1" applyBorder="1" applyAlignment="1">
      <alignment horizontal="center" vertical="center"/>
    </xf>
    <xf numFmtId="170" fontId="196" fillId="56" borderId="11" xfId="0" applyNumberFormat="1" applyFont="1" applyFill="1" applyBorder="1" applyAlignment="1">
      <alignment horizontal="center" vertical="center"/>
    </xf>
    <xf numFmtId="170" fontId="196" fillId="56" borderId="25" xfId="0" applyNumberFormat="1" applyFont="1" applyFill="1" applyBorder="1" applyAlignment="1">
      <alignment horizontal="center" vertical="center"/>
    </xf>
    <xf numFmtId="0" fontId="22" fillId="14" borderId="413" xfId="0" applyFont="1" applyFill="1" applyBorder="1" applyAlignment="1">
      <alignment horizontal="center" textRotation="90"/>
    </xf>
    <xf numFmtId="0" fontId="41" fillId="3" borderId="48" xfId="0" applyFont="1" applyFill="1" applyBorder="1" applyAlignment="1">
      <alignment horizontal="center" vertical="center" wrapText="1"/>
    </xf>
    <xf numFmtId="0" fontId="41" fillId="3" borderId="96" xfId="0" applyFont="1" applyFill="1" applyBorder="1" applyAlignment="1">
      <alignment horizontal="center" vertical="center" wrapText="1"/>
    </xf>
    <xf numFmtId="0" fontId="8" fillId="3" borderId="0" xfId="0" applyFont="1" applyFill="1" applyBorder="1" applyAlignment="1">
      <alignment horizontal="center" textRotation="90"/>
    </xf>
    <xf numFmtId="0" fontId="8" fillId="3" borderId="11" xfId="0" applyFont="1" applyFill="1" applyBorder="1" applyAlignment="1">
      <alignment horizontal="center" textRotation="90"/>
    </xf>
    <xf numFmtId="0" fontId="1" fillId="3" borderId="0" xfId="0" applyFont="1" applyFill="1" applyBorder="1" applyAlignment="1">
      <alignment horizontal="center" wrapText="1"/>
    </xf>
    <xf numFmtId="0" fontId="1" fillId="3" borderId="11" xfId="0" applyFont="1" applyFill="1" applyBorder="1" applyAlignment="1">
      <alignment horizontal="center" wrapText="1"/>
    </xf>
    <xf numFmtId="0" fontId="8" fillId="3" borderId="0" xfId="0" quotePrefix="1" applyFont="1" applyFill="1" applyBorder="1" applyAlignment="1">
      <alignment horizontal="left" wrapText="1"/>
    </xf>
    <xf numFmtId="0" fontId="8" fillId="3" borderId="0" xfId="0" applyFont="1" applyFill="1" applyBorder="1" applyAlignment="1">
      <alignment horizontal="left" wrapText="1"/>
    </xf>
    <xf numFmtId="0" fontId="173" fillId="3" borderId="0" xfId="0" applyFont="1" applyFill="1" applyBorder="1" applyAlignment="1">
      <alignment horizontal="right" vertical="center" wrapText="1"/>
    </xf>
    <xf numFmtId="0" fontId="173" fillId="3" borderId="5" xfId="0" applyFont="1" applyFill="1" applyBorder="1" applyAlignment="1">
      <alignment horizontal="right" vertical="center" wrapText="1"/>
    </xf>
    <xf numFmtId="0" fontId="6" fillId="3" borderId="0" xfId="0" applyFont="1" applyFill="1" applyAlignment="1">
      <alignment horizontal="center" wrapText="1"/>
    </xf>
    <xf numFmtId="0" fontId="6" fillId="3" borderId="11" xfId="0" applyFont="1" applyFill="1" applyBorder="1" applyAlignment="1">
      <alignment horizontal="center" wrapText="1"/>
    </xf>
    <xf numFmtId="0" fontId="119" fillId="3" borderId="0" xfId="0" applyFont="1" applyFill="1" applyAlignment="1">
      <alignment horizontal="left" wrapText="1" indent="1"/>
    </xf>
    <xf numFmtId="0" fontId="119" fillId="3" borderId="96" xfId="0" applyFont="1" applyFill="1" applyBorder="1" applyAlignment="1">
      <alignment horizontal="left" wrapText="1" indent="1"/>
    </xf>
    <xf numFmtId="0" fontId="6" fillId="3" borderId="0" xfId="0" applyFont="1" applyFill="1" applyAlignment="1">
      <alignment horizontal="left" wrapText="1"/>
    </xf>
    <xf numFmtId="0" fontId="6" fillId="3" borderId="96" xfId="0" applyFont="1" applyFill="1" applyBorder="1" applyAlignment="1">
      <alignment horizontal="left" wrapText="1"/>
    </xf>
    <xf numFmtId="3" fontId="165" fillId="20" borderId="390" xfId="0" applyNumberFormat="1" applyFont="1" applyFill="1" applyBorder="1" applyAlignment="1">
      <alignment horizontal="center" vertical="center"/>
    </xf>
    <xf numFmtId="3" fontId="165" fillId="20" borderId="391" xfId="0" applyNumberFormat="1" applyFont="1" applyFill="1" applyBorder="1" applyAlignment="1">
      <alignment horizontal="center" vertical="center"/>
    </xf>
    <xf numFmtId="3" fontId="165" fillId="20" borderId="392" xfId="0" applyNumberFormat="1" applyFont="1" applyFill="1" applyBorder="1" applyAlignment="1">
      <alignment horizontal="center" vertical="center"/>
    </xf>
    <xf numFmtId="0" fontId="6" fillId="0" borderId="0" xfId="0" applyFont="1" applyAlignment="1">
      <alignment horizontal="center" wrapText="1"/>
    </xf>
    <xf numFmtId="0" fontId="6" fillId="0" borderId="11" xfId="0" applyFont="1" applyBorder="1" applyAlignment="1">
      <alignment horizontal="center" wrapText="1"/>
    </xf>
    <xf numFmtId="3" fontId="6" fillId="0" borderId="26" xfId="0" applyNumberFormat="1" applyFont="1" applyFill="1" applyBorder="1" applyAlignment="1">
      <alignment horizontal="center" wrapText="1"/>
    </xf>
    <xf numFmtId="3" fontId="6" fillId="0" borderId="11" xfId="0" applyNumberFormat="1" applyFont="1" applyFill="1" applyBorder="1" applyAlignment="1">
      <alignment horizontal="center" wrapText="1"/>
    </xf>
    <xf numFmtId="3" fontId="173" fillId="0" borderId="26" xfId="0" applyNumberFormat="1" applyFont="1" applyFill="1" applyBorder="1" applyAlignment="1">
      <alignment horizontal="center" wrapText="1"/>
    </xf>
    <xf numFmtId="3" fontId="173" fillId="0" borderId="0" xfId="0" applyNumberFormat="1" applyFont="1" applyFill="1" applyBorder="1" applyAlignment="1">
      <alignment horizontal="center" wrapText="1"/>
    </xf>
    <xf numFmtId="0" fontId="31" fillId="3" borderId="6" xfId="0" applyFont="1" applyFill="1" applyBorder="1" applyAlignment="1">
      <alignment horizontal="left" vertical="center" wrapText="1"/>
    </xf>
    <xf numFmtId="0" fontId="31" fillId="3" borderId="0" xfId="0" applyFont="1" applyFill="1" applyBorder="1" applyAlignment="1">
      <alignment horizontal="left" vertical="center" wrapText="1"/>
    </xf>
    <xf numFmtId="0" fontId="10" fillId="5" borderId="213" xfId="0" quotePrefix="1" applyFont="1" applyFill="1" applyBorder="1" applyAlignment="1">
      <alignment horizontal="center" vertical="center"/>
    </xf>
    <xf numFmtId="0" fontId="10" fillId="5" borderId="227" xfId="0" quotePrefix="1" applyFont="1" applyFill="1" applyBorder="1" applyAlignment="1">
      <alignment horizontal="center" vertical="center"/>
    </xf>
    <xf numFmtId="0" fontId="10" fillId="5" borderId="40" xfId="0" quotePrefix="1" applyFont="1" applyFill="1" applyBorder="1" applyAlignment="1">
      <alignment horizontal="center" vertical="center"/>
    </xf>
    <xf numFmtId="3" fontId="24" fillId="14" borderId="262" xfId="0" applyNumberFormat="1" applyFont="1" applyFill="1" applyBorder="1" applyAlignment="1">
      <alignment horizontal="center" textRotation="90" wrapText="1"/>
    </xf>
    <xf numFmtId="3" fontId="24" fillId="14" borderId="263" xfId="0" applyNumberFormat="1" applyFont="1" applyFill="1" applyBorder="1" applyAlignment="1">
      <alignment horizontal="center" textRotation="90" wrapText="1"/>
    </xf>
    <xf numFmtId="3" fontId="24" fillId="14" borderId="264" xfId="0" applyNumberFormat="1" applyFont="1" applyFill="1" applyBorder="1" applyAlignment="1">
      <alignment horizontal="center" textRotation="90" wrapText="1"/>
    </xf>
    <xf numFmtId="3" fontId="24" fillId="14" borderId="189" xfId="0" applyNumberFormat="1" applyFont="1" applyFill="1" applyBorder="1" applyAlignment="1">
      <alignment horizontal="center" textRotation="90" wrapText="1"/>
    </xf>
    <xf numFmtId="3" fontId="24" fillId="14" borderId="190" xfId="0" applyNumberFormat="1" applyFont="1" applyFill="1" applyBorder="1" applyAlignment="1">
      <alignment horizontal="center" textRotation="90" wrapText="1"/>
    </xf>
    <xf numFmtId="3" fontId="24" fillId="14" borderId="193" xfId="0" applyNumberFormat="1" applyFont="1" applyFill="1" applyBorder="1" applyAlignment="1">
      <alignment horizontal="center" textRotation="90" wrapText="1"/>
    </xf>
    <xf numFmtId="0" fontId="8" fillId="3" borderId="451" xfId="0" applyFont="1" applyFill="1" applyBorder="1" applyAlignment="1">
      <alignment horizontal="center" wrapText="1"/>
    </xf>
    <xf numFmtId="0" fontId="8" fillId="3" borderId="452" xfId="0" applyFont="1" applyFill="1" applyBorder="1" applyAlignment="1">
      <alignment horizontal="center" wrapText="1"/>
    </xf>
    <xf numFmtId="0" fontId="119" fillId="3" borderId="0" xfId="0" applyFont="1" applyFill="1" applyBorder="1" applyAlignment="1">
      <alignment horizontal="center" wrapText="1"/>
    </xf>
    <xf numFmtId="0" fontId="119" fillId="3" borderId="11" xfId="0" applyFont="1" applyFill="1" applyBorder="1" applyAlignment="1">
      <alignment horizontal="center" wrapText="1"/>
    </xf>
    <xf numFmtId="0" fontId="6" fillId="3" borderId="96" xfId="0" applyFont="1" applyFill="1" applyBorder="1" applyAlignment="1">
      <alignment horizontal="center" wrapText="1"/>
    </xf>
    <xf numFmtId="0" fontId="6" fillId="3" borderId="0" xfId="0" applyFont="1" applyFill="1" applyBorder="1" applyAlignment="1">
      <alignment horizontal="left"/>
    </xf>
    <xf numFmtId="0" fontId="6" fillId="3" borderId="11" xfId="0" applyFont="1" applyFill="1" applyBorder="1" applyAlignment="1">
      <alignment horizontal="left"/>
    </xf>
    <xf numFmtId="0" fontId="119" fillId="3" borderId="0" xfId="0" applyFont="1" applyFill="1" applyBorder="1" applyAlignment="1">
      <alignment horizontal="left" vertical="center" wrapText="1"/>
    </xf>
    <xf numFmtId="0" fontId="119" fillId="3" borderId="11" xfId="0" applyFont="1" applyFill="1" applyBorder="1" applyAlignment="1">
      <alignment horizontal="left" vertical="center" wrapText="1"/>
    </xf>
    <xf numFmtId="0" fontId="24" fillId="3" borderId="0" xfId="0" applyFont="1" applyFill="1" applyBorder="1" applyAlignment="1">
      <alignment horizontal="center" textRotation="90" wrapText="1"/>
    </xf>
    <xf numFmtId="0" fontId="24" fillId="3" borderId="11" xfId="0" applyFont="1" applyFill="1" applyBorder="1" applyAlignment="1">
      <alignment horizontal="center" textRotation="90" wrapText="1"/>
    </xf>
    <xf numFmtId="0" fontId="24" fillId="3" borderId="0" xfId="0" applyFont="1" applyFill="1" applyBorder="1" applyAlignment="1">
      <alignment horizontal="center" textRotation="90"/>
    </xf>
    <xf numFmtId="0" fontId="24" fillId="3" borderId="11" xfId="0" applyFont="1" applyFill="1" applyBorder="1" applyAlignment="1">
      <alignment horizontal="center" textRotation="90"/>
    </xf>
    <xf numFmtId="0" fontId="8" fillId="3" borderId="0" xfId="0" applyFont="1" applyFill="1" applyBorder="1" applyAlignment="1">
      <alignment horizontal="center" textRotation="90" wrapText="1"/>
    </xf>
    <xf numFmtId="0" fontId="8" fillId="3" borderId="11" xfId="0" applyFont="1" applyFill="1" applyBorder="1" applyAlignment="1">
      <alignment horizontal="center" textRotation="90" wrapText="1"/>
    </xf>
    <xf numFmtId="3" fontId="6" fillId="0" borderId="26" xfId="0" applyNumberFormat="1" applyFont="1" applyFill="1" applyBorder="1" applyAlignment="1">
      <alignment horizontal="center"/>
    </xf>
    <xf numFmtId="3" fontId="6" fillId="0" borderId="11" xfId="0" applyNumberFormat="1" applyFont="1" applyFill="1" applyBorder="1" applyAlignment="1">
      <alignment horizontal="center"/>
    </xf>
    <xf numFmtId="180" fontId="8" fillId="10" borderId="103" xfId="0" applyNumberFormat="1" applyFont="1" applyFill="1" applyBorder="1" applyAlignment="1">
      <alignment horizontal="center" textRotation="90"/>
    </xf>
    <xf numFmtId="180" fontId="8" fillId="10" borderId="97" xfId="0" applyNumberFormat="1" applyFont="1" applyFill="1" applyBorder="1" applyAlignment="1">
      <alignment horizontal="center" textRotation="90"/>
    </xf>
    <xf numFmtId="180" fontId="8" fillId="10" borderId="582" xfId="0" applyNumberFormat="1" applyFont="1" applyFill="1" applyBorder="1" applyAlignment="1">
      <alignment horizontal="center" textRotation="90"/>
    </xf>
    <xf numFmtId="180" fontId="8" fillId="10" borderId="583" xfId="0" applyNumberFormat="1" applyFont="1" applyFill="1" applyBorder="1" applyAlignment="1">
      <alignment horizontal="center" textRotation="90"/>
    </xf>
    <xf numFmtId="0" fontId="6" fillId="3" borderId="5" xfId="0" applyFont="1" applyFill="1" applyBorder="1" applyAlignment="1">
      <alignment horizontal="right" vertical="center"/>
    </xf>
    <xf numFmtId="180" fontId="8" fillId="10" borderId="590" xfId="0" applyNumberFormat="1" applyFont="1" applyFill="1" applyBorder="1" applyAlignment="1">
      <alignment horizontal="center" textRotation="90"/>
    </xf>
    <xf numFmtId="180" fontId="8" fillId="10" borderId="591" xfId="0" applyNumberFormat="1" applyFont="1" applyFill="1" applyBorder="1" applyAlignment="1">
      <alignment horizontal="center" textRotation="90"/>
    </xf>
    <xf numFmtId="171" fontId="8" fillId="0" borderId="147" xfId="0" applyNumberFormat="1" applyFont="1" applyBorder="1" applyAlignment="1">
      <alignment horizontal="center" textRotation="90"/>
    </xf>
    <xf numFmtId="0" fontId="43" fillId="22" borderId="147" xfId="0" quotePrefix="1" applyFont="1" applyFill="1" applyBorder="1" applyAlignment="1">
      <alignment horizontal="center" textRotation="90"/>
    </xf>
    <xf numFmtId="171" fontId="8" fillId="3" borderId="147" xfId="0" quotePrefix="1" applyNumberFormat="1" applyFont="1" applyFill="1" applyBorder="1" applyAlignment="1">
      <alignment horizontal="center" textRotation="90"/>
    </xf>
    <xf numFmtId="171" fontId="8" fillId="3" borderId="147" xfId="0" applyNumberFormat="1" applyFont="1" applyFill="1" applyBorder="1" applyAlignment="1">
      <alignment horizontal="center" textRotation="90"/>
    </xf>
    <xf numFmtId="171" fontId="8" fillId="0" borderId="147" xfId="0" quotePrefix="1" applyNumberFormat="1" applyFont="1" applyBorder="1" applyAlignment="1">
      <alignment horizontal="center" textRotation="90"/>
    </xf>
    <xf numFmtId="0" fontId="8" fillId="3" borderId="5" xfId="0" applyFont="1" applyFill="1" applyBorder="1" applyAlignment="1">
      <alignment horizontal="center" textRotation="90"/>
    </xf>
    <xf numFmtId="3" fontId="6" fillId="0" borderId="26" xfId="0" applyNumberFormat="1" applyFont="1" applyFill="1" applyBorder="1" applyAlignment="1">
      <alignment horizontal="center" vertical="center" wrapText="1"/>
    </xf>
    <xf numFmtId="3" fontId="6" fillId="0" borderId="11" xfId="0" applyNumberFormat="1" applyFont="1" applyFill="1" applyBorder="1" applyAlignment="1">
      <alignment horizontal="center" vertical="center" wrapText="1"/>
    </xf>
    <xf numFmtId="3" fontId="173" fillId="0" borderId="26" xfId="0" applyNumberFormat="1" applyFont="1" applyFill="1" applyBorder="1" applyAlignment="1">
      <alignment horizontal="center" vertical="center" wrapText="1"/>
    </xf>
    <xf numFmtId="3" fontId="173" fillId="0" borderId="11" xfId="0" applyNumberFormat="1" applyFont="1" applyFill="1" applyBorder="1" applyAlignment="1">
      <alignment horizontal="center" vertical="center" wrapText="1"/>
    </xf>
    <xf numFmtId="0" fontId="20" fillId="3" borderId="0" xfId="0" applyNumberFormat="1" applyFont="1" applyFill="1" applyBorder="1" applyAlignment="1">
      <alignment horizontal="left"/>
    </xf>
    <xf numFmtId="0" fontId="44" fillId="0" borderId="0" xfId="0" applyFont="1" applyFill="1" applyBorder="1" applyAlignment="1">
      <alignment horizontal="center" vertical="center" wrapText="1"/>
    </xf>
    <xf numFmtId="0" fontId="8" fillId="3" borderId="0" xfId="0" applyFont="1" applyFill="1" applyAlignment="1">
      <alignment horizontal="center" wrapText="1"/>
    </xf>
    <xf numFmtId="0" fontId="31" fillId="3" borderId="0" xfId="0" applyFont="1" applyFill="1" applyAlignment="1">
      <alignment horizontal="left"/>
    </xf>
    <xf numFmtId="0" fontId="120" fillId="3" borderId="37" xfId="0" applyFont="1" applyFill="1" applyBorder="1" applyAlignment="1">
      <alignment horizontal="right" vertical="center" wrapText="1"/>
    </xf>
    <xf numFmtId="0" fontId="6" fillId="3" borderId="0" xfId="0" applyFont="1" applyFill="1" applyBorder="1" applyAlignment="1">
      <alignment horizontal="center" wrapText="1"/>
    </xf>
    <xf numFmtId="0" fontId="8" fillId="57" borderId="22" xfId="0" applyFont="1" applyFill="1" applyBorder="1" applyAlignment="1">
      <alignment horizontal="left" vertical="center" wrapText="1"/>
    </xf>
    <xf numFmtId="0" fontId="8" fillId="57" borderId="26" xfId="0" applyFont="1" applyFill="1" applyBorder="1" applyAlignment="1">
      <alignment horizontal="left" vertical="center" wrapText="1"/>
    </xf>
    <xf numFmtId="0" fontId="8" fillId="57" borderId="24" xfId="0" applyFont="1" applyFill="1" applyBorder="1" applyAlignment="1">
      <alignment horizontal="left" vertical="center" wrapText="1"/>
    </xf>
    <xf numFmtId="0" fontId="8" fillId="57" borderId="6" xfId="0" applyFont="1" applyFill="1" applyBorder="1" applyAlignment="1">
      <alignment horizontal="left" vertical="center" wrapText="1"/>
    </xf>
    <xf numFmtId="0" fontId="8" fillId="57" borderId="0" xfId="0" applyFont="1" applyFill="1" applyBorder="1" applyAlignment="1">
      <alignment horizontal="left" vertical="center" wrapText="1"/>
    </xf>
    <xf numFmtId="0" fontId="8" fillId="57" borderId="5" xfId="0" applyFont="1" applyFill="1" applyBorder="1" applyAlignment="1">
      <alignment horizontal="left" vertical="center" wrapText="1"/>
    </xf>
    <xf numFmtId="0" fontId="8" fillId="57" borderId="23" xfId="0" applyFont="1" applyFill="1" applyBorder="1" applyAlignment="1">
      <alignment horizontal="left" vertical="center" wrapText="1"/>
    </xf>
    <xf numFmtId="0" fontId="8" fillId="57" borderId="11" xfId="0" applyFont="1" applyFill="1" applyBorder="1" applyAlignment="1">
      <alignment horizontal="left" vertical="center" wrapText="1"/>
    </xf>
    <xf numFmtId="0" fontId="8" fillId="57" borderId="25" xfId="0" applyFont="1" applyFill="1" applyBorder="1" applyAlignment="1">
      <alignment horizontal="left" vertical="center" wrapText="1"/>
    </xf>
    <xf numFmtId="180" fontId="195" fillId="56" borderId="103" xfId="0" applyNumberFormat="1" applyFont="1" applyFill="1" applyBorder="1" applyAlignment="1">
      <alignment horizontal="center" textRotation="90"/>
    </xf>
    <xf numFmtId="180" fontId="195" fillId="56" borderId="97" xfId="0" applyNumberFormat="1" applyFont="1" applyFill="1" applyBorder="1" applyAlignment="1">
      <alignment horizontal="center" textRotation="90"/>
    </xf>
    <xf numFmtId="180" fontId="195" fillId="56" borderId="248" xfId="0" applyNumberFormat="1" applyFont="1" applyFill="1" applyBorder="1" applyAlignment="1">
      <alignment horizontal="center" textRotation="90"/>
    </xf>
    <xf numFmtId="180" fontId="195" fillId="56" borderId="249" xfId="0" applyNumberFormat="1" applyFont="1" applyFill="1" applyBorder="1" applyAlignment="1">
      <alignment horizontal="center" textRotation="90"/>
    </xf>
    <xf numFmtId="0" fontId="31" fillId="3" borderId="6" xfId="0" applyFont="1" applyFill="1" applyBorder="1" applyAlignment="1">
      <alignment horizontal="left" wrapText="1"/>
    </xf>
    <xf numFmtId="0" fontId="31" fillId="3" borderId="0" xfId="0" applyFont="1" applyFill="1" applyBorder="1" applyAlignment="1">
      <alignment horizontal="left" wrapText="1"/>
    </xf>
    <xf numFmtId="0" fontId="58" fillId="14" borderId="0" xfId="0" applyFont="1" applyFill="1" applyBorder="1" applyAlignment="1">
      <alignment horizontal="center" vertical="center" wrapText="1"/>
    </xf>
    <xf numFmtId="0" fontId="10" fillId="3" borderId="26" xfId="0" applyFont="1" applyFill="1" applyBorder="1" applyAlignment="1">
      <alignment horizontal="center" vertical="top" textRotation="90" wrapText="1"/>
    </xf>
    <xf numFmtId="0" fontId="10" fillId="3" borderId="24" xfId="0" applyFont="1" applyFill="1" applyBorder="1" applyAlignment="1">
      <alignment horizontal="center" vertical="top" textRotation="90" wrapText="1"/>
    </xf>
    <xf numFmtId="0" fontId="10" fillId="3" borderId="0" xfId="0" applyFont="1" applyFill="1" applyBorder="1" applyAlignment="1">
      <alignment horizontal="center" vertical="top" textRotation="90" wrapText="1"/>
    </xf>
    <xf numFmtId="0" fontId="10" fillId="3" borderId="5" xfId="0" applyFont="1" applyFill="1" applyBorder="1" applyAlignment="1">
      <alignment horizontal="center" vertical="top" textRotation="90" wrapText="1"/>
    </xf>
    <xf numFmtId="180" fontId="195" fillId="56" borderId="22" xfId="0" applyNumberFormat="1" applyFont="1" applyFill="1" applyBorder="1" applyAlignment="1">
      <alignment horizontal="center" textRotation="90"/>
    </xf>
    <xf numFmtId="180" fontId="195" fillId="56" borderId="23" xfId="0" applyNumberFormat="1" applyFont="1" applyFill="1" applyBorder="1" applyAlignment="1">
      <alignment horizontal="center" textRotation="90"/>
    </xf>
    <xf numFmtId="0" fontId="173" fillId="3" borderId="5" xfId="0" applyFont="1" applyFill="1" applyBorder="1" applyAlignment="1">
      <alignment horizontal="right" vertical="center"/>
    </xf>
    <xf numFmtId="0" fontId="173" fillId="3" borderId="0" xfId="0" applyFont="1" applyFill="1" applyBorder="1" applyAlignment="1">
      <alignment horizontal="right" vertical="center"/>
    </xf>
    <xf numFmtId="171" fontId="5" fillId="0" borderId="0" xfId="0" applyNumberFormat="1" applyFont="1" applyFill="1" applyBorder="1" applyAlignment="1">
      <alignment horizontal="left" vertical="center" indent="2"/>
    </xf>
    <xf numFmtId="171" fontId="8" fillId="3" borderId="29" xfId="0" applyNumberFormat="1" applyFont="1" applyFill="1" applyBorder="1" applyAlignment="1">
      <alignment horizontal="left" vertical="center" indent="2"/>
    </xf>
    <xf numFmtId="171" fontId="8" fillId="3" borderId="257" xfId="0" applyNumberFormat="1" applyFont="1" applyFill="1" applyBorder="1" applyAlignment="1">
      <alignment horizontal="left" vertical="center" indent="2"/>
    </xf>
    <xf numFmtId="171" fontId="8" fillId="3" borderId="40" xfId="0" applyNumberFormat="1" applyFont="1" applyFill="1" applyBorder="1" applyAlignment="1">
      <alignment horizontal="left" vertical="center" indent="2"/>
    </xf>
    <xf numFmtId="171" fontId="8" fillId="3" borderId="41" xfId="0" applyNumberFormat="1" applyFont="1" applyFill="1" applyBorder="1" applyAlignment="1">
      <alignment horizontal="left" vertical="center" indent="2"/>
    </xf>
    <xf numFmtId="9" fontId="11" fillId="0" borderId="0" xfId="1" applyFont="1" applyFill="1" applyBorder="1" applyAlignment="1">
      <alignment horizontal="center" vertical="center"/>
    </xf>
    <xf numFmtId="171" fontId="43" fillId="22" borderId="9" xfId="0" applyNumberFormat="1" applyFont="1" applyFill="1" applyBorder="1" applyAlignment="1">
      <alignment horizontal="left" vertical="center"/>
    </xf>
    <xf numFmtId="171" fontId="43" fillId="22" borderId="8" xfId="0" applyNumberFormat="1" applyFont="1" applyFill="1" applyBorder="1" applyAlignment="1">
      <alignment horizontal="left" vertical="center"/>
    </xf>
    <xf numFmtId="3" fontId="45" fillId="14" borderId="190" xfId="0" applyNumberFormat="1" applyFont="1" applyFill="1" applyBorder="1" applyAlignment="1">
      <alignment horizontal="center" textRotation="90" wrapText="1"/>
    </xf>
    <xf numFmtId="0" fontId="6" fillId="3" borderId="26" xfId="0" applyFont="1" applyFill="1" applyBorder="1" applyAlignment="1">
      <alignment horizontal="left" vertical="top" indent="2"/>
    </xf>
    <xf numFmtId="171" fontId="8" fillId="3" borderId="42" xfId="0" applyNumberFormat="1" applyFont="1" applyFill="1" applyBorder="1" applyAlignment="1">
      <alignment horizontal="left" vertical="center" indent="2"/>
    </xf>
    <xf numFmtId="171" fontId="8" fillId="3" borderId="220" xfId="0" applyNumberFormat="1" applyFont="1" applyFill="1" applyBorder="1" applyAlignment="1">
      <alignment horizontal="left" vertical="center" indent="2"/>
    </xf>
    <xf numFmtId="0" fontId="8" fillId="3" borderId="457" xfId="0" applyFont="1" applyFill="1" applyBorder="1" applyAlignment="1">
      <alignment horizontal="center" wrapText="1"/>
    </xf>
    <xf numFmtId="3" fontId="45" fillId="14" borderId="189" xfId="0" quotePrefix="1" applyNumberFormat="1" applyFont="1" applyFill="1" applyBorder="1" applyAlignment="1">
      <alignment horizontal="center" textRotation="90" wrapText="1"/>
    </xf>
    <xf numFmtId="3" fontId="45" fillId="14" borderId="190" xfId="0" quotePrefix="1" applyNumberFormat="1" applyFont="1" applyFill="1" applyBorder="1" applyAlignment="1">
      <alignment horizontal="center" textRotation="90" wrapText="1"/>
    </xf>
    <xf numFmtId="0" fontId="8" fillId="3" borderId="0" xfId="0" applyFont="1" applyFill="1" applyAlignment="1">
      <alignment horizontal="center"/>
    </xf>
    <xf numFmtId="0" fontId="8" fillId="3" borderId="96" xfId="0" applyFont="1" applyFill="1" applyBorder="1" applyAlignment="1">
      <alignment horizontal="center"/>
    </xf>
    <xf numFmtId="0" fontId="8" fillId="27" borderId="0" xfId="0" applyFont="1" applyFill="1" applyAlignment="1">
      <alignment horizontal="center" textRotation="90" wrapText="1"/>
    </xf>
    <xf numFmtId="191" fontId="8" fillId="48" borderId="509" xfId="0" applyNumberFormat="1" applyFont="1" applyFill="1" applyBorder="1" applyAlignment="1">
      <alignment horizontal="center" vertical="center"/>
    </xf>
    <xf numFmtId="191" fontId="8" fillId="48" borderId="510" xfId="0" applyNumberFormat="1" applyFont="1" applyFill="1" applyBorder="1" applyAlignment="1">
      <alignment horizontal="center" vertical="center"/>
    </xf>
    <xf numFmtId="191" fontId="8" fillId="48" borderId="505" xfId="0" applyNumberFormat="1" applyFont="1" applyFill="1" applyBorder="1" applyAlignment="1">
      <alignment horizontal="center" vertical="center"/>
    </xf>
    <xf numFmtId="191" fontId="8" fillId="48" borderId="506" xfId="0" applyNumberFormat="1" applyFont="1" applyFill="1" applyBorder="1" applyAlignment="1">
      <alignment horizontal="center" vertical="center"/>
    </xf>
    <xf numFmtId="0" fontId="6" fillId="0" borderId="43" xfId="0" applyFont="1" applyFill="1" applyBorder="1" applyAlignment="1">
      <alignment horizontal="center" vertical="center"/>
    </xf>
    <xf numFmtId="191" fontId="8" fillId="10" borderId="509" xfId="0" applyNumberFormat="1" applyFont="1" applyFill="1" applyBorder="1" applyAlignment="1">
      <alignment horizontal="center" vertical="center"/>
    </xf>
    <xf numFmtId="191" fontId="8" fillId="10" borderId="510" xfId="0" applyNumberFormat="1" applyFont="1" applyFill="1" applyBorder="1" applyAlignment="1">
      <alignment horizontal="center" vertical="center"/>
    </xf>
    <xf numFmtId="191" fontId="6" fillId="33" borderId="65" xfId="0" applyNumberFormat="1" applyFont="1" applyFill="1" applyBorder="1" applyAlignment="1">
      <alignment horizontal="center" vertical="center"/>
    </xf>
    <xf numFmtId="191" fontId="6" fillId="33" borderId="67" xfId="0" applyNumberFormat="1" applyFont="1" applyFill="1" applyBorder="1" applyAlignment="1">
      <alignment horizontal="center" vertical="center"/>
    </xf>
    <xf numFmtId="191" fontId="8" fillId="48" borderId="514" xfId="0" applyNumberFormat="1" applyFont="1" applyFill="1" applyBorder="1" applyAlignment="1">
      <alignment horizontal="center" vertical="center"/>
    </xf>
    <xf numFmtId="191" fontId="8" fillId="48" borderId="515" xfId="0" applyNumberFormat="1" applyFont="1" applyFill="1" applyBorder="1" applyAlignment="1">
      <alignment horizontal="center" vertical="center"/>
    </xf>
    <xf numFmtId="191" fontId="8" fillId="48" borderId="503" xfId="0" applyNumberFormat="1" applyFont="1" applyFill="1" applyBorder="1" applyAlignment="1">
      <alignment horizontal="center" vertical="center"/>
    </xf>
    <xf numFmtId="191" fontId="8" fillId="48" borderId="504" xfId="0" applyNumberFormat="1" applyFont="1" applyFill="1" applyBorder="1" applyAlignment="1">
      <alignment horizontal="center" vertical="center"/>
    </xf>
    <xf numFmtId="191" fontId="8" fillId="48" borderId="167" xfId="0" quotePrefix="1" applyNumberFormat="1" applyFont="1" applyFill="1" applyBorder="1" applyAlignment="1">
      <alignment horizontal="center" vertical="center"/>
    </xf>
    <xf numFmtId="191" fontId="8" fillId="48" borderId="37" xfId="0" quotePrefix="1" applyNumberFormat="1" applyFont="1" applyFill="1" applyBorder="1" applyAlignment="1">
      <alignment horizontal="center" vertical="center"/>
    </xf>
    <xf numFmtId="3" fontId="6" fillId="33" borderId="65" xfId="0" applyNumberFormat="1" applyFont="1" applyFill="1" applyBorder="1" applyAlignment="1">
      <alignment horizontal="center" vertical="center"/>
    </xf>
    <xf numFmtId="3" fontId="6" fillId="33" borderId="67" xfId="0" applyNumberFormat="1" applyFont="1" applyFill="1" applyBorder="1" applyAlignment="1">
      <alignment horizontal="center" vertical="center"/>
    </xf>
    <xf numFmtId="191" fontId="8" fillId="48" borderId="511" xfId="0" applyNumberFormat="1" applyFont="1" applyFill="1" applyBorder="1" applyAlignment="1">
      <alignment horizontal="center" vertical="center"/>
    </xf>
    <xf numFmtId="191" fontId="8" fillId="48" borderId="512" xfId="0" applyNumberFormat="1" applyFont="1" applyFill="1" applyBorder="1" applyAlignment="1">
      <alignment horizontal="center" vertical="center"/>
    </xf>
    <xf numFmtId="191" fontId="8" fillId="10" borderId="505" xfId="0" applyNumberFormat="1" applyFont="1" applyFill="1" applyBorder="1" applyAlignment="1">
      <alignment horizontal="center" vertical="center"/>
    </xf>
    <xf numFmtId="191" fontId="8" fillId="10" borderId="506" xfId="0" applyNumberFormat="1" applyFont="1" applyFill="1" applyBorder="1" applyAlignment="1">
      <alignment horizontal="center" vertical="center"/>
    </xf>
    <xf numFmtId="191" fontId="8" fillId="10" borderId="167" xfId="0" quotePrefix="1" applyNumberFormat="1" applyFont="1" applyFill="1" applyBorder="1" applyAlignment="1">
      <alignment horizontal="center" vertical="center"/>
    </xf>
    <xf numFmtId="191" fontId="8" fillId="10" borderId="37" xfId="0" quotePrefix="1" applyNumberFormat="1" applyFont="1" applyFill="1" applyBorder="1" applyAlignment="1">
      <alignment horizontal="center" vertical="center"/>
    </xf>
    <xf numFmtId="191" fontId="8" fillId="10" borderId="511" xfId="0" applyNumberFormat="1" applyFont="1" applyFill="1" applyBorder="1" applyAlignment="1">
      <alignment horizontal="center" vertical="center"/>
    </xf>
    <xf numFmtId="191" fontId="8" fillId="10" borderId="512" xfId="0" applyNumberFormat="1" applyFont="1" applyFill="1" applyBorder="1" applyAlignment="1">
      <alignment horizontal="center" vertical="center"/>
    </xf>
    <xf numFmtId="191" fontId="8" fillId="10" borderId="503" xfId="0" applyNumberFormat="1" applyFont="1" applyFill="1" applyBorder="1" applyAlignment="1">
      <alignment horizontal="center" vertical="center"/>
    </xf>
    <xf numFmtId="191" fontId="8" fillId="10" borderId="504" xfId="0" applyNumberFormat="1" applyFont="1" applyFill="1" applyBorder="1" applyAlignment="1">
      <alignment horizontal="center" vertical="center"/>
    </xf>
    <xf numFmtId="173" fontId="8" fillId="0" borderId="334" xfId="1" applyNumberFormat="1" applyFont="1" applyBorder="1" applyAlignment="1">
      <alignment horizontal="center" vertical="center"/>
    </xf>
    <xf numFmtId="173" fontId="8" fillId="0" borderId="285" xfId="1" applyNumberFormat="1" applyFont="1" applyBorder="1" applyAlignment="1">
      <alignment horizontal="center" vertical="center"/>
    </xf>
    <xf numFmtId="0" fontId="1" fillId="13" borderId="9" xfId="0" applyFont="1" applyFill="1" applyBorder="1" applyAlignment="1">
      <alignment horizontal="left" vertical="center"/>
    </xf>
    <xf numFmtId="0" fontId="1" fillId="13" borderId="10" xfId="0" applyFont="1" applyFill="1" applyBorder="1" applyAlignment="1">
      <alignment horizontal="left" vertical="center"/>
    </xf>
    <xf numFmtId="173" fontId="8" fillId="0" borderId="333" xfId="1" applyNumberFormat="1" applyFont="1" applyBorder="1" applyAlignment="1">
      <alignment horizontal="center" vertical="center"/>
    </xf>
    <xf numFmtId="173" fontId="8" fillId="0" borderId="330" xfId="1" applyNumberFormat="1" applyFont="1" applyBorder="1" applyAlignment="1">
      <alignment horizontal="center" vertical="center"/>
    </xf>
    <xf numFmtId="0" fontId="6" fillId="0" borderId="331" xfId="0" applyFont="1" applyFill="1" applyBorder="1" applyAlignment="1">
      <alignment horizontal="center" vertical="center"/>
    </xf>
    <xf numFmtId="0" fontId="6" fillId="0" borderId="327" xfId="0" applyFont="1" applyFill="1" applyBorder="1" applyAlignment="1">
      <alignment horizontal="center" vertical="center"/>
    </xf>
    <xf numFmtId="173" fontId="30" fillId="0" borderId="332" xfId="1" applyNumberFormat="1" applyFont="1" applyBorder="1" applyAlignment="1">
      <alignment horizontal="center" vertical="center"/>
    </xf>
    <xf numFmtId="173" fontId="30" fillId="0" borderId="328" xfId="1" applyNumberFormat="1" applyFont="1" applyBorder="1" applyAlignment="1">
      <alignment horizontal="center" vertical="center"/>
    </xf>
    <xf numFmtId="173" fontId="8" fillId="0" borderId="528" xfId="1" applyNumberFormat="1" applyFont="1" applyBorder="1" applyAlignment="1">
      <alignment horizontal="center" vertical="center"/>
    </xf>
    <xf numFmtId="173" fontId="8" fillId="0" borderId="529" xfId="1" applyNumberFormat="1" applyFont="1" applyBorder="1" applyAlignment="1">
      <alignment horizontal="center" vertical="center"/>
    </xf>
    <xf numFmtId="173" fontId="8" fillId="0" borderId="357" xfId="1" quotePrefix="1" applyNumberFormat="1" applyFont="1" applyBorder="1" applyAlignment="1">
      <alignment horizontal="center" vertical="center"/>
    </xf>
    <xf numFmtId="173" fontId="8" fillId="0" borderId="358" xfId="1" quotePrefix="1" applyNumberFormat="1" applyFont="1" applyBorder="1" applyAlignment="1">
      <alignment horizontal="center" vertical="center"/>
    </xf>
    <xf numFmtId="191" fontId="8" fillId="10" borderId="208" xfId="0" applyNumberFormat="1" applyFont="1" applyFill="1" applyBorder="1" applyAlignment="1">
      <alignment horizontal="center" vertical="center"/>
    </xf>
    <xf numFmtId="191" fontId="8" fillId="10" borderId="513" xfId="0" applyNumberFormat="1" applyFont="1" applyFill="1" applyBorder="1" applyAlignment="1">
      <alignment horizontal="center" vertical="center"/>
    </xf>
    <xf numFmtId="173" fontId="8" fillId="0" borderId="429" xfId="1" applyNumberFormat="1" applyFont="1" applyBorder="1" applyAlignment="1">
      <alignment horizontal="center" vertical="center"/>
    </xf>
    <xf numFmtId="173" fontId="8" fillId="0" borderId="534" xfId="1" applyNumberFormat="1" applyFont="1" applyBorder="1" applyAlignment="1">
      <alignment horizontal="center" vertical="center"/>
    </xf>
    <xf numFmtId="173" fontId="8" fillId="0" borderId="331" xfId="1" applyNumberFormat="1" applyFont="1" applyBorder="1" applyAlignment="1">
      <alignment horizontal="center" vertical="center"/>
    </xf>
    <xf numFmtId="173" fontId="8" fillId="0" borderId="327" xfId="1" applyNumberFormat="1" applyFont="1" applyBorder="1" applyAlignment="1">
      <alignment horizontal="center" vertical="center"/>
    </xf>
    <xf numFmtId="0" fontId="8" fillId="0" borderId="12" xfId="0" applyFont="1" applyFill="1" applyBorder="1" applyAlignment="1">
      <alignment horizontal="left" vertical="center" indent="1"/>
    </xf>
    <xf numFmtId="0" fontId="8" fillId="0" borderId="16" xfId="0" applyFont="1" applyFill="1" applyBorder="1" applyAlignment="1">
      <alignment horizontal="left" vertical="center" indent="1"/>
    </xf>
    <xf numFmtId="0" fontId="8" fillId="0" borderId="221" xfId="0" applyFont="1" applyFill="1" applyBorder="1" applyAlignment="1">
      <alignment horizontal="left" vertical="center" indent="1"/>
    </xf>
    <xf numFmtId="191" fontId="8" fillId="10" borderId="507" xfId="0" applyNumberFormat="1" applyFont="1" applyFill="1" applyBorder="1" applyAlignment="1">
      <alignment horizontal="center" vertical="center"/>
    </xf>
    <xf numFmtId="191" fontId="8" fillId="10" borderId="508" xfId="0" applyNumberFormat="1" applyFont="1" applyFill="1" applyBorder="1" applyAlignment="1">
      <alignment horizontal="center" vertical="center"/>
    </xf>
    <xf numFmtId="3" fontId="6" fillId="20" borderId="65" xfId="0" applyNumberFormat="1" applyFont="1" applyFill="1" applyBorder="1" applyAlignment="1">
      <alignment horizontal="center" vertical="center"/>
    </xf>
    <xf numFmtId="3" fontId="6" fillId="20" borderId="67" xfId="0" applyNumberFormat="1" applyFont="1" applyFill="1" applyBorder="1" applyAlignment="1">
      <alignment horizontal="center" vertical="center"/>
    </xf>
    <xf numFmtId="0" fontId="68" fillId="3" borderId="0" xfId="0" applyFont="1" applyFill="1" applyBorder="1" applyAlignment="1">
      <alignment horizontal="left"/>
    </xf>
    <xf numFmtId="0" fontId="68" fillId="3" borderId="29" xfId="0" applyFont="1" applyFill="1" applyBorder="1" applyAlignment="1">
      <alignment horizontal="left"/>
    </xf>
    <xf numFmtId="0" fontId="1" fillId="3" borderId="6" xfId="0" applyFont="1" applyFill="1" applyBorder="1" applyAlignment="1">
      <alignment horizontal="right" vertical="center" wrapText="1"/>
    </xf>
    <xf numFmtId="0" fontId="1" fillId="3" borderId="0" xfId="0" applyFont="1" applyFill="1" applyBorder="1" applyAlignment="1">
      <alignment horizontal="right" vertical="center" wrapText="1"/>
    </xf>
    <xf numFmtId="0" fontId="8" fillId="0" borderId="9" xfId="0" applyFont="1" applyFill="1" applyBorder="1" applyAlignment="1">
      <alignment horizontal="left" vertical="center" indent="1"/>
    </xf>
    <xf numFmtId="0" fontId="8" fillId="0" borderId="8" xfId="0" applyFont="1" applyFill="1" applyBorder="1" applyAlignment="1">
      <alignment horizontal="left" vertical="center" indent="1"/>
    </xf>
    <xf numFmtId="0" fontId="8" fillId="0" borderId="10" xfId="0" applyFont="1" applyFill="1" applyBorder="1" applyAlignment="1">
      <alignment horizontal="left" vertical="center" indent="1"/>
    </xf>
    <xf numFmtId="0" fontId="170" fillId="3" borderId="0" xfId="0" applyFont="1" applyFill="1" applyBorder="1" applyAlignment="1">
      <alignment horizontal="center" vertical="center" wrapText="1"/>
    </xf>
    <xf numFmtId="0" fontId="68" fillId="3" borderId="0" xfId="0" applyFont="1" applyFill="1" applyBorder="1" applyAlignment="1">
      <alignment horizontal="left" vertical="center"/>
    </xf>
    <xf numFmtId="3" fontId="17" fillId="59" borderId="580" xfId="0" applyNumberFormat="1" applyFont="1" applyFill="1" applyBorder="1" applyAlignment="1">
      <alignment horizontal="center" vertical="center"/>
    </xf>
    <xf numFmtId="3" fontId="17" fillId="59" borderId="581" xfId="0" applyNumberFormat="1" applyFont="1" applyFill="1" applyBorder="1" applyAlignment="1">
      <alignment horizontal="center" vertical="center"/>
    </xf>
    <xf numFmtId="3" fontId="32" fillId="0" borderId="24" xfId="0" applyNumberFormat="1" applyFont="1" applyFill="1" applyBorder="1" applyAlignment="1">
      <alignment horizontal="center" vertical="center"/>
    </xf>
    <xf numFmtId="3" fontId="32" fillId="0" borderId="25" xfId="0" applyNumberFormat="1" applyFont="1" applyFill="1" applyBorder="1" applyAlignment="1">
      <alignment horizontal="center" vertical="center"/>
    </xf>
    <xf numFmtId="3" fontId="32" fillId="0" borderId="7" xfId="0" applyNumberFormat="1" applyFont="1" applyFill="1" applyBorder="1" applyAlignment="1">
      <alignment horizontal="center" vertical="center"/>
    </xf>
    <xf numFmtId="3" fontId="32" fillId="0" borderId="12" xfId="0" applyNumberFormat="1" applyFont="1" applyFill="1" applyBorder="1" applyAlignment="1">
      <alignment horizontal="center" vertical="center"/>
    </xf>
    <xf numFmtId="3" fontId="32" fillId="0" borderId="22" xfId="0" applyNumberFormat="1" applyFont="1" applyFill="1" applyBorder="1" applyAlignment="1">
      <alignment horizontal="center" vertical="center"/>
    </xf>
    <xf numFmtId="3" fontId="32" fillId="0" borderId="23" xfId="0" applyNumberFormat="1" applyFont="1" applyFill="1" applyBorder="1" applyAlignment="1">
      <alignment horizontal="center" vertical="center"/>
    </xf>
    <xf numFmtId="0" fontId="147" fillId="63" borderId="213" xfId="0" applyFont="1" applyFill="1" applyBorder="1" applyAlignment="1">
      <alignment horizontal="center" vertical="center"/>
    </xf>
    <xf numFmtId="0" fontId="147" fillId="63" borderId="40" xfId="0" applyFont="1" applyFill="1" applyBorder="1" applyAlignment="1">
      <alignment horizontal="center" vertical="center"/>
    </xf>
    <xf numFmtId="0" fontId="147" fillId="63" borderId="227" xfId="0" applyFont="1" applyFill="1" applyBorder="1" applyAlignment="1">
      <alignment horizontal="center" vertical="center"/>
    </xf>
    <xf numFmtId="0" fontId="144" fillId="63" borderId="418" xfId="0" applyFont="1" applyFill="1" applyBorder="1" applyAlignment="1">
      <alignment horizontal="left" vertical="center"/>
    </xf>
    <xf numFmtId="0" fontId="144" fillId="63" borderId="20" xfId="0" applyFont="1" applyFill="1" applyBorder="1" applyAlignment="1">
      <alignment horizontal="left" vertical="center"/>
    </xf>
    <xf numFmtId="0" fontId="144" fillId="63" borderId="138" xfId="0" applyFont="1" applyFill="1" applyBorder="1" applyAlignment="1">
      <alignment horizontal="left" vertical="center"/>
    </xf>
    <xf numFmtId="0" fontId="160" fillId="2" borderId="472" xfId="0" applyFont="1" applyFill="1" applyBorder="1" applyAlignment="1">
      <alignment horizontal="left" vertical="center" indent="1"/>
    </xf>
    <xf numFmtId="0" fontId="160" fillId="2" borderId="3" xfId="0" applyFont="1" applyFill="1" applyBorder="1" applyAlignment="1">
      <alignment horizontal="left" vertical="center" indent="1"/>
    </xf>
    <xf numFmtId="0" fontId="160" fillId="2" borderId="459" xfId="0" applyFont="1" applyFill="1" applyBorder="1" applyAlignment="1">
      <alignment horizontal="left" vertical="center" indent="1"/>
    </xf>
    <xf numFmtId="0" fontId="34" fillId="27" borderId="0" xfId="0" applyFont="1" applyFill="1" applyBorder="1" applyAlignment="1">
      <alignment horizontal="center"/>
    </xf>
    <xf numFmtId="171" fontId="8" fillId="3" borderId="9" xfId="0" applyNumberFormat="1" applyFont="1" applyFill="1" applyBorder="1" applyAlignment="1">
      <alignment horizontal="center" vertical="center"/>
    </xf>
    <xf numFmtId="171" fontId="8" fillId="3" borderId="8" xfId="0" applyNumberFormat="1" applyFont="1" applyFill="1" applyBorder="1" applyAlignment="1">
      <alignment horizontal="center" vertical="center"/>
    </xf>
    <xf numFmtId="171" fontId="8" fillId="3" borderId="10" xfId="0" applyNumberFormat="1" applyFont="1" applyFill="1" applyBorder="1" applyAlignment="1">
      <alignment horizontal="center" vertical="center"/>
    </xf>
    <xf numFmtId="171" fontId="6" fillId="56" borderId="65" xfId="0" applyNumberFormat="1" applyFont="1" applyFill="1" applyBorder="1" applyAlignment="1">
      <alignment horizontal="left" vertical="center" indent="1"/>
    </xf>
    <xf numFmtId="171" fontId="6" fillId="56" borderId="28" xfId="0" applyNumberFormat="1" applyFont="1" applyFill="1" applyBorder="1" applyAlignment="1">
      <alignment horizontal="left" vertical="center" indent="1"/>
    </xf>
    <xf numFmtId="171" fontId="6" fillId="56" borderId="67" xfId="0" applyNumberFormat="1" applyFont="1" applyFill="1" applyBorder="1" applyAlignment="1">
      <alignment horizontal="left" vertical="center" indent="1"/>
    </xf>
    <xf numFmtId="171" fontId="6" fillId="56" borderId="65" xfId="0" applyNumberFormat="1" applyFont="1" applyFill="1" applyBorder="1" applyAlignment="1">
      <alignment horizontal="center" vertical="center"/>
    </xf>
    <xf numFmtId="171" fontId="6" fillId="56" borderId="28" xfId="0" applyNumberFormat="1" applyFont="1" applyFill="1" applyBorder="1" applyAlignment="1">
      <alignment horizontal="center" vertical="center"/>
    </xf>
    <xf numFmtId="171" fontId="6" fillId="56" borderId="67" xfId="0" applyNumberFormat="1" applyFont="1" applyFill="1" applyBorder="1" applyAlignment="1">
      <alignment horizontal="center" vertical="center"/>
    </xf>
    <xf numFmtId="171" fontId="1" fillId="56" borderId="65" xfId="0" applyNumberFormat="1" applyFont="1" applyFill="1" applyBorder="1" applyAlignment="1">
      <alignment horizontal="left" vertical="center" indent="1"/>
    </xf>
    <xf numFmtId="171" fontId="1" fillId="56" borderId="28" xfId="0" applyNumberFormat="1" applyFont="1" applyFill="1" applyBorder="1" applyAlignment="1">
      <alignment horizontal="left" vertical="center" indent="1"/>
    </xf>
    <xf numFmtId="171" fontId="1" fillId="56" borderId="67" xfId="0" applyNumberFormat="1" applyFont="1" applyFill="1" applyBorder="1" applyAlignment="1">
      <alignment horizontal="left" vertical="center" indent="1"/>
    </xf>
    <xf numFmtId="171" fontId="8" fillId="3" borderId="9" xfId="0" applyNumberFormat="1" applyFont="1" applyFill="1" applyBorder="1" applyAlignment="1">
      <alignment horizontal="left" vertical="center" indent="1"/>
    </xf>
    <xf numFmtId="171" fontId="8" fillId="3" borderId="8" xfId="0" applyNumberFormat="1" applyFont="1" applyFill="1" applyBorder="1" applyAlignment="1">
      <alignment horizontal="left" vertical="center" indent="1"/>
    </xf>
    <xf numFmtId="171" fontId="8" fillId="3" borderId="10" xfId="0" applyNumberFormat="1" applyFont="1" applyFill="1" applyBorder="1" applyAlignment="1">
      <alignment horizontal="left" vertical="center" indent="1"/>
    </xf>
    <xf numFmtId="175" fontId="8" fillId="3" borderId="9" xfId="0" applyNumberFormat="1" applyFont="1" applyFill="1" applyBorder="1" applyAlignment="1">
      <alignment horizontal="center" vertical="center"/>
    </xf>
    <xf numFmtId="175" fontId="8" fillId="3" borderId="8" xfId="0" applyNumberFormat="1" applyFont="1" applyFill="1" applyBorder="1" applyAlignment="1">
      <alignment horizontal="center" vertical="center"/>
    </xf>
    <xf numFmtId="175" fontId="8" fillId="3" borderId="10" xfId="0" applyNumberFormat="1" applyFont="1" applyFill="1" applyBorder="1" applyAlignment="1">
      <alignment horizontal="center" vertical="center"/>
    </xf>
    <xf numFmtId="0" fontId="8" fillId="3" borderId="272" xfId="0" applyFont="1" applyFill="1" applyBorder="1" applyAlignment="1">
      <alignment horizontal="left" vertical="center" wrapText="1" indent="1"/>
    </xf>
    <xf numFmtId="0" fontId="8" fillId="3" borderId="13" xfId="0" applyFont="1" applyFill="1" applyBorder="1" applyAlignment="1">
      <alignment horizontal="left" vertical="center" wrapText="1" indent="1"/>
    </xf>
    <xf numFmtId="0" fontId="8" fillId="3" borderId="273" xfId="0" applyFont="1" applyFill="1" applyBorder="1" applyAlignment="1">
      <alignment horizontal="left" vertical="center" wrapText="1" indent="1"/>
    </xf>
    <xf numFmtId="0" fontId="8" fillId="3" borderId="271" xfId="0" applyFont="1" applyFill="1" applyBorder="1" applyAlignment="1">
      <alignment horizontal="left" vertical="center" wrapText="1" indent="1"/>
    </xf>
    <xf numFmtId="0" fontId="8" fillId="3" borderId="0" xfId="0" applyFont="1" applyFill="1" applyBorder="1" applyAlignment="1">
      <alignment horizontal="left" vertical="center" wrapText="1" indent="1"/>
    </xf>
    <xf numFmtId="0" fontId="8" fillId="3" borderId="170" xfId="0" applyFont="1" applyFill="1" applyBorder="1" applyAlignment="1">
      <alignment horizontal="left" vertical="center" wrapText="1" indent="1"/>
    </xf>
    <xf numFmtId="0" fontId="8" fillId="3" borderId="214" xfId="0" applyFont="1" applyFill="1" applyBorder="1" applyAlignment="1">
      <alignment horizontal="left" vertical="center" wrapText="1" indent="1"/>
    </xf>
    <xf numFmtId="0" fontId="8" fillId="3" borderId="29" xfId="0" applyFont="1" applyFill="1" applyBorder="1" applyAlignment="1">
      <alignment horizontal="left" vertical="center" wrapText="1" indent="1"/>
    </xf>
    <xf numFmtId="0" fontId="8" fillId="3" borderId="171" xfId="0" applyFont="1" applyFill="1" applyBorder="1" applyAlignment="1">
      <alignment horizontal="left" vertical="center" wrapText="1" indent="1"/>
    </xf>
    <xf numFmtId="186" fontId="1" fillId="3" borderId="213" xfId="0" applyNumberFormat="1" applyFont="1" applyFill="1" applyBorder="1" applyAlignment="1">
      <alignment horizontal="center" vertical="center"/>
    </xf>
    <xf numFmtId="186" fontId="1" fillId="3" borderId="40" xfId="0" applyNumberFormat="1" applyFont="1" applyFill="1" applyBorder="1" applyAlignment="1">
      <alignment horizontal="center" vertical="center"/>
    </xf>
    <xf numFmtId="186" fontId="1" fillId="3" borderId="227" xfId="0" applyNumberFormat="1" applyFont="1" applyFill="1" applyBorder="1" applyAlignment="1">
      <alignment horizontal="center" vertical="center"/>
    </xf>
    <xf numFmtId="0" fontId="1" fillId="3" borderId="213" xfId="0" applyFont="1" applyFill="1" applyBorder="1" applyAlignment="1">
      <alignment horizontal="left" vertical="center"/>
    </xf>
    <xf numFmtId="0" fontId="1" fillId="3" borderId="40" xfId="0" applyFont="1" applyFill="1" applyBorder="1" applyAlignment="1">
      <alignment horizontal="left" vertical="center"/>
    </xf>
    <xf numFmtId="0" fontId="1" fillId="3" borderId="227" xfId="0" applyFont="1" applyFill="1" applyBorder="1" applyAlignment="1">
      <alignment horizontal="left" vertical="center"/>
    </xf>
    <xf numFmtId="2" fontId="1" fillId="28" borderId="7" xfId="0" applyNumberFormat="1" applyFont="1" applyFill="1" applyBorder="1" applyAlignment="1">
      <alignment horizontal="center" vertical="center"/>
    </xf>
    <xf numFmtId="2" fontId="1" fillId="28" borderId="12" xfId="0" applyNumberFormat="1" applyFont="1" applyFill="1" applyBorder="1" applyAlignment="1">
      <alignment horizontal="center" vertical="center"/>
    </xf>
    <xf numFmtId="173" fontId="8" fillId="28" borderId="7" xfId="1" applyNumberFormat="1" applyFont="1" applyFill="1" applyBorder="1" applyAlignment="1">
      <alignment horizontal="center" vertical="center"/>
    </xf>
    <xf numFmtId="173" fontId="8" fillId="28" borderId="12" xfId="1" applyNumberFormat="1" applyFont="1" applyFill="1" applyBorder="1" applyAlignment="1">
      <alignment horizontal="center" vertical="center"/>
    </xf>
    <xf numFmtId="0" fontId="8" fillId="36" borderId="272" xfId="0" applyFont="1" applyFill="1" applyBorder="1" applyAlignment="1">
      <alignment horizontal="left" vertical="center" wrapText="1" indent="1"/>
    </xf>
    <xf numFmtId="0" fontId="8" fillId="36" borderId="13" xfId="0" applyFont="1" applyFill="1" applyBorder="1" applyAlignment="1">
      <alignment horizontal="left" vertical="center" wrapText="1" indent="1"/>
    </xf>
    <xf numFmtId="0" fontId="8" fillId="36" borderId="273" xfId="0" applyFont="1" applyFill="1" applyBorder="1" applyAlignment="1">
      <alignment horizontal="left" vertical="center" wrapText="1" indent="1"/>
    </xf>
    <xf numFmtId="0" fontId="8" fillId="36" borderId="271" xfId="0" applyFont="1" applyFill="1" applyBorder="1" applyAlignment="1">
      <alignment horizontal="left" vertical="center" wrapText="1" indent="1"/>
    </xf>
    <xf numFmtId="0" fontId="8" fillId="36" borderId="0" xfId="0" applyFont="1" applyFill="1" applyBorder="1" applyAlignment="1">
      <alignment horizontal="left" vertical="center" wrapText="1" indent="1"/>
    </xf>
    <xf numFmtId="0" fontId="8" fillId="36" borderId="170" xfId="0" applyFont="1" applyFill="1" applyBorder="1" applyAlignment="1">
      <alignment horizontal="left" vertical="center" wrapText="1" indent="1"/>
    </xf>
    <xf numFmtId="0" fontId="8" fillId="36" borderId="214" xfId="0" applyFont="1" applyFill="1" applyBorder="1" applyAlignment="1">
      <alignment horizontal="left" vertical="center" wrapText="1" indent="1"/>
    </xf>
    <xf numFmtId="0" fontId="8" fillId="36" borderId="29" xfId="0" applyFont="1" applyFill="1" applyBorder="1" applyAlignment="1">
      <alignment horizontal="left" vertical="center" wrapText="1" indent="1"/>
    </xf>
    <xf numFmtId="0" fontId="8" fillId="36" borderId="171" xfId="0" applyFont="1" applyFill="1" applyBorder="1" applyAlignment="1">
      <alignment horizontal="left" vertical="center" wrapText="1" indent="1"/>
    </xf>
    <xf numFmtId="0" fontId="8" fillId="3" borderId="472" xfId="0" applyFont="1" applyFill="1" applyBorder="1" applyAlignment="1">
      <alignment horizontal="left" vertical="center" wrapText="1" indent="1"/>
    </xf>
    <xf numFmtId="0" fontId="8" fillId="3" borderId="306" xfId="0" applyFont="1" applyFill="1" applyBorder="1" applyAlignment="1">
      <alignment horizontal="left" vertical="center" wrapText="1" indent="1"/>
    </xf>
    <xf numFmtId="0" fontId="8" fillId="3" borderId="473" xfId="0" applyFont="1" applyFill="1" applyBorder="1" applyAlignment="1">
      <alignment horizontal="left" vertical="center" wrapText="1" indent="1"/>
    </xf>
    <xf numFmtId="0" fontId="8" fillId="3" borderId="254" xfId="0" applyFont="1" applyFill="1" applyBorder="1" applyAlignment="1">
      <alignment horizontal="left" vertical="center" wrapText="1" indent="1"/>
    </xf>
    <xf numFmtId="0" fontId="8" fillId="3" borderId="44" xfId="0" applyFont="1" applyFill="1" applyBorder="1" applyAlignment="1">
      <alignment horizontal="left" vertical="center" wrapText="1" indent="1"/>
    </xf>
    <xf numFmtId="0" fontId="8" fillId="3" borderId="474" xfId="0" applyFont="1" applyFill="1" applyBorder="1" applyAlignment="1">
      <alignment horizontal="left" vertical="center" wrapText="1" indent="1"/>
    </xf>
    <xf numFmtId="0" fontId="6" fillId="3" borderId="0" xfId="0" applyFont="1" applyFill="1" applyBorder="1" applyAlignment="1">
      <alignment horizontal="center"/>
    </xf>
    <xf numFmtId="0" fontId="34" fillId="0" borderId="0" xfId="0" applyFont="1" applyFill="1" applyBorder="1" applyAlignment="1">
      <alignment horizontal="center" vertical="center"/>
    </xf>
    <xf numFmtId="0" fontId="8" fillId="0" borderId="0" xfId="0" applyFont="1" applyFill="1" applyBorder="1" applyAlignment="1">
      <alignment horizontal="left" vertical="top" wrapText="1"/>
    </xf>
    <xf numFmtId="0" fontId="34" fillId="3" borderId="0" xfId="0" applyFont="1" applyFill="1" applyBorder="1" applyAlignment="1">
      <alignment horizontal="center"/>
    </xf>
    <xf numFmtId="0" fontId="43" fillId="32" borderId="0" xfId="0" applyFont="1" applyFill="1" applyAlignment="1">
      <alignment horizontal="left" vertical="center" wrapText="1"/>
    </xf>
    <xf numFmtId="0" fontId="48" fillId="3" borderId="0" xfId="0" applyFont="1" applyFill="1" applyBorder="1" applyAlignment="1">
      <alignment horizontal="right" vertical="center"/>
    </xf>
    <xf numFmtId="0" fontId="154" fillId="60" borderId="375" xfId="0" applyFont="1" applyFill="1" applyBorder="1" applyAlignment="1">
      <alignment horizontal="center" vertical="center" wrapText="1"/>
    </xf>
    <xf numFmtId="0" fontId="154" fillId="60" borderId="2" xfId="0" applyFont="1" applyFill="1" applyBorder="1" applyAlignment="1">
      <alignment horizontal="center" vertical="center" wrapText="1"/>
    </xf>
    <xf numFmtId="0" fontId="154" fillId="60" borderId="88" xfId="0" applyFont="1" applyFill="1" applyBorder="1" applyAlignment="1">
      <alignment horizontal="center" vertical="center" wrapText="1"/>
    </xf>
    <xf numFmtId="0" fontId="10" fillId="60" borderId="78" xfId="0" applyFont="1" applyFill="1" applyBorder="1" applyAlignment="1">
      <alignment horizontal="center" vertical="center" wrapText="1"/>
    </xf>
    <xf numFmtId="0" fontId="10" fillId="60" borderId="289" xfId="0" applyFont="1" applyFill="1" applyBorder="1" applyAlignment="1">
      <alignment horizontal="center" vertical="center"/>
    </xf>
    <xf numFmtId="0" fontId="10" fillId="60" borderId="85" xfId="0" applyFont="1" applyFill="1" applyBorder="1" applyAlignment="1">
      <alignment horizontal="center" vertical="center"/>
    </xf>
    <xf numFmtId="0" fontId="154" fillId="60" borderId="78" xfId="0" applyFont="1" applyFill="1" applyBorder="1" applyAlignment="1">
      <alignment horizontal="center" vertical="center"/>
    </xf>
    <xf numFmtId="0" fontId="154" fillId="60" borderId="289" xfId="0" applyFont="1" applyFill="1" applyBorder="1" applyAlignment="1">
      <alignment horizontal="center" vertical="center"/>
    </xf>
    <xf numFmtId="0" fontId="154" fillId="60" borderId="85" xfId="0" applyFont="1" applyFill="1" applyBorder="1" applyAlignment="1">
      <alignment horizontal="center" vertical="center"/>
    </xf>
    <xf numFmtId="0" fontId="154" fillId="60" borderId="375" xfId="0" applyFont="1" applyFill="1" applyBorder="1" applyAlignment="1">
      <alignment horizontal="center" vertical="center"/>
    </xf>
    <xf numFmtId="0" fontId="154" fillId="60" borderId="2" xfId="0" applyFont="1" applyFill="1" applyBorder="1" applyAlignment="1">
      <alignment horizontal="center" vertical="center"/>
    </xf>
    <xf numFmtId="0" fontId="154" fillId="60" borderId="88" xfId="0" applyFont="1" applyFill="1" applyBorder="1" applyAlignment="1">
      <alignment horizontal="center" vertical="center"/>
    </xf>
    <xf numFmtId="0" fontId="8" fillId="0" borderId="427" xfId="0" applyFont="1" applyBorder="1" applyAlignment="1">
      <alignment horizontal="left" vertical="center" wrapText="1"/>
    </xf>
    <xf numFmtId="0" fontId="8" fillId="0" borderId="5" xfId="0" applyFont="1" applyBorder="1" applyAlignment="1">
      <alignment horizontal="left" vertical="center" wrapText="1"/>
    </xf>
    <xf numFmtId="0" fontId="8" fillId="0" borderId="25" xfId="0" applyFont="1" applyBorder="1" applyAlignment="1">
      <alignment horizontal="left" vertical="center" wrapText="1"/>
    </xf>
    <xf numFmtId="0" fontId="48" fillId="0" borderId="0" xfId="0" applyFont="1" applyFill="1" applyAlignment="1">
      <alignment horizontal="center" vertical="center" wrapText="1"/>
    </xf>
    <xf numFmtId="0" fontId="10" fillId="26" borderId="378" xfId="0" applyFont="1" applyFill="1" applyBorder="1" applyAlignment="1">
      <alignment horizontal="center" vertical="center"/>
    </xf>
    <xf numFmtId="0" fontId="10" fillId="26" borderId="210" xfId="0" applyFont="1" applyFill="1" applyBorder="1" applyAlignment="1">
      <alignment horizontal="center" vertical="center"/>
    </xf>
    <xf numFmtId="0" fontId="8" fillId="38" borderId="376" xfId="0" applyFont="1" applyFill="1" applyBorder="1" applyAlignment="1">
      <alignment horizontal="center" vertical="center" wrapText="1"/>
    </xf>
    <xf numFmtId="0" fontId="8" fillId="38" borderId="377" xfId="0" applyFont="1" applyFill="1" applyBorder="1" applyAlignment="1">
      <alignment horizontal="center" vertical="center" wrapText="1"/>
    </xf>
    <xf numFmtId="0" fontId="22" fillId="0" borderId="0" xfId="0" applyFont="1" applyFill="1" applyAlignment="1">
      <alignment horizontal="center" wrapText="1"/>
    </xf>
    <xf numFmtId="0" fontId="1" fillId="0" borderId="43" xfId="0" applyFont="1" applyFill="1" applyBorder="1" applyAlignment="1">
      <alignment horizontal="center"/>
    </xf>
    <xf numFmtId="0" fontId="151" fillId="0" borderId="26" xfId="0" applyFont="1" applyFill="1" applyBorder="1" applyAlignment="1">
      <alignment horizontal="center" vertical="top" wrapText="1"/>
    </xf>
    <xf numFmtId="0" fontId="151" fillId="0" borderId="0" xfId="0" applyFont="1" applyFill="1" applyBorder="1" applyAlignment="1">
      <alignment horizontal="center" vertical="top" wrapText="1"/>
    </xf>
    <xf numFmtId="0" fontId="6" fillId="22" borderId="440" xfId="0" applyFont="1" applyFill="1" applyBorder="1" applyAlignment="1">
      <alignment horizontal="left"/>
    </xf>
    <xf numFmtId="0" fontId="6" fillId="22" borderId="443" xfId="0" applyFont="1" applyFill="1" applyBorder="1" applyAlignment="1">
      <alignment horizontal="left"/>
    </xf>
    <xf numFmtId="0" fontId="6" fillId="22" borderId="260" xfId="0" applyFont="1" applyFill="1" applyBorder="1" applyAlignment="1">
      <alignment horizontal="left"/>
    </xf>
    <xf numFmtId="0" fontId="6" fillId="50" borderId="49" xfId="0" applyFont="1" applyFill="1" applyBorder="1" applyAlignment="1">
      <alignment horizontal="center" vertical="center" wrapText="1"/>
    </xf>
    <xf numFmtId="0" fontId="6" fillId="50" borderId="169" xfId="0" applyFont="1" applyFill="1" applyBorder="1" applyAlignment="1">
      <alignment horizontal="center" vertical="center" wrapText="1"/>
    </xf>
    <xf numFmtId="0" fontId="8" fillId="0" borderId="426" xfId="0" applyFont="1" applyBorder="1" applyAlignment="1">
      <alignment horizontal="left" vertical="top" wrapText="1"/>
    </xf>
    <xf numFmtId="0" fontId="8" fillId="0" borderId="427" xfId="0" applyFont="1" applyBorder="1" applyAlignment="1">
      <alignment horizontal="left" vertical="top" wrapText="1"/>
    </xf>
    <xf numFmtId="0" fontId="8" fillId="0" borderId="6" xfId="0" applyFont="1" applyBorder="1" applyAlignment="1">
      <alignment horizontal="left" vertical="top" wrapText="1"/>
    </xf>
    <xf numFmtId="0" fontId="8" fillId="0" borderId="5" xfId="0" applyFont="1" applyBorder="1" applyAlignment="1">
      <alignment horizontal="left" vertical="top" wrapText="1"/>
    </xf>
    <xf numFmtId="0" fontId="8" fillId="0" borderId="23" xfId="0" applyFont="1" applyBorder="1" applyAlignment="1">
      <alignment horizontal="left" vertical="top" wrapText="1"/>
    </xf>
    <xf numFmtId="0" fontId="8" fillId="0" borderId="25" xfId="0" applyFont="1" applyBorder="1" applyAlignment="1">
      <alignment horizontal="left" vertical="top" wrapText="1"/>
    </xf>
    <xf numFmtId="0" fontId="24" fillId="0" borderId="0" xfId="0" applyFont="1" applyFill="1" applyBorder="1" applyAlignment="1">
      <alignment horizontal="center" wrapText="1"/>
    </xf>
    <xf numFmtId="0" fontId="113" fillId="0" borderId="0" xfId="0" applyFont="1" applyFill="1" applyBorder="1" applyAlignment="1">
      <alignment horizontal="center" vertical="center" wrapText="1"/>
    </xf>
    <xf numFmtId="0" fontId="43" fillId="3" borderId="48" xfId="0" applyFont="1" applyFill="1" applyBorder="1" applyAlignment="1">
      <alignment horizontal="left" vertical="top" wrapText="1"/>
    </xf>
    <xf numFmtId="0" fontId="43" fillId="3" borderId="0" xfId="0" applyFont="1" applyFill="1" applyAlignment="1">
      <alignment horizontal="left" vertical="top" wrapText="1"/>
    </xf>
    <xf numFmtId="0" fontId="29" fillId="22" borderId="47" xfId="0" applyFont="1" applyFill="1" applyBorder="1" applyAlignment="1">
      <alignment horizontal="center" vertical="center"/>
    </xf>
    <xf numFmtId="0" fontId="29" fillId="22" borderId="48" xfId="0" applyFont="1" applyFill="1" applyBorder="1" applyAlignment="1">
      <alignment horizontal="center" vertical="center"/>
    </xf>
    <xf numFmtId="0" fontId="29" fillId="22" borderId="49" xfId="0" applyFont="1" applyFill="1" applyBorder="1" applyAlignment="1">
      <alignment horizontal="center" vertical="center"/>
    </xf>
    <xf numFmtId="0" fontId="29" fillId="22" borderId="167" xfId="0" applyFont="1" applyFill="1" applyBorder="1" applyAlignment="1">
      <alignment horizontal="center" vertical="center"/>
    </xf>
    <xf numFmtId="0" fontId="29" fillId="22" borderId="0" xfId="0" applyFont="1" applyFill="1" applyBorder="1" applyAlignment="1">
      <alignment horizontal="center" vertical="center"/>
    </xf>
    <xf numFmtId="0" fontId="29" fillId="22" borderId="37" xfId="0" applyFont="1" applyFill="1" applyBorder="1" applyAlignment="1">
      <alignment horizontal="center" vertical="center"/>
    </xf>
    <xf numFmtId="0" fontId="6" fillId="26" borderId="49" xfId="0" applyFont="1" applyFill="1" applyBorder="1" applyAlignment="1">
      <alignment horizontal="center" vertical="center" wrapText="1"/>
    </xf>
    <xf numFmtId="0" fontId="6" fillId="26" borderId="169" xfId="0" applyFont="1" applyFill="1" applyBorder="1" applyAlignment="1">
      <alignment horizontal="center" vertical="center" wrapText="1"/>
    </xf>
    <xf numFmtId="0" fontId="1" fillId="27" borderId="0" xfId="0" applyFont="1" applyFill="1" applyAlignment="1">
      <alignment horizontal="center" wrapText="1"/>
    </xf>
    <xf numFmtId="0" fontId="1" fillId="27" borderId="11" xfId="0" applyFont="1" applyFill="1" applyBorder="1" applyAlignment="1">
      <alignment horizontal="center" wrapText="1"/>
    </xf>
    <xf numFmtId="0" fontId="8" fillId="27" borderId="0" xfId="0" applyFont="1" applyFill="1" applyAlignment="1">
      <alignment horizontal="center" textRotation="90"/>
    </xf>
    <xf numFmtId="0" fontId="8" fillId="27" borderId="43" xfId="0" applyFont="1" applyFill="1" applyBorder="1" applyAlignment="1">
      <alignment horizontal="center" textRotation="90"/>
    </xf>
    <xf numFmtId="0" fontId="8" fillId="27" borderId="0" xfId="0" applyFont="1" applyFill="1" applyBorder="1" applyAlignment="1">
      <alignment horizontal="center" textRotation="90"/>
    </xf>
    <xf numFmtId="0" fontId="8" fillId="27" borderId="281" xfId="0" applyFont="1" applyFill="1" applyBorder="1" applyAlignment="1">
      <alignment horizontal="center" textRotation="90"/>
    </xf>
    <xf numFmtId="0" fontId="51" fillId="0" borderId="43" xfId="0" applyFont="1" applyFill="1" applyBorder="1" applyAlignment="1">
      <alignment horizontal="center" vertical="center"/>
    </xf>
    <xf numFmtId="0" fontId="6" fillId="0" borderId="0" xfId="0" applyFont="1" applyFill="1" applyBorder="1" applyAlignment="1">
      <alignment horizontal="left" indent="1"/>
    </xf>
    <xf numFmtId="0" fontId="6" fillId="0" borderId="11" xfId="0" applyFont="1" applyFill="1" applyBorder="1" applyAlignment="1">
      <alignment horizontal="left" indent="1"/>
    </xf>
    <xf numFmtId="0" fontId="6" fillId="26" borderId="376" xfId="0" applyFont="1" applyFill="1" applyBorder="1" applyAlignment="1">
      <alignment horizontal="center" vertical="center" wrapText="1"/>
    </xf>
    <xf numFmtId="0" fontId="6" fillId="26" borderId="377" xfId="0" applyFont="1" applyFill="1" applyBorder="1" applyAlignment="1">
      <alignment horizontal="center" vertical="center" wrapText="1"/>
    </xf>
    <xf numFmtId="0" fontId="8" fillId="27" borderId="0" xfId="0" applyFont="1" applyFill="1" applyBorder="1" applyAlignment="1">
      <alignment horizontal="center" wrapText="1"/>
    </xf>
    <xf numFmtId="0" fontId="8" fillId="27" borderId="43" xfId="0" applyFont="1" applyFill="1" applyBorder="1" applyAlignment="1">
      <alignment horizontal="center" wrapText="1"/>
    </xf>
    <xf numFmtId="0" fontId="6" fillId="50" borderId="48" xfId="0" applyFont="1" applyFill="1" applyBorder="1" applyAlignment="1">
      <alignment horizontal="center" vertical="center" wrapText="1"/>
    </xf>
    <xf numFmtId="0" fontId="6" fillId="50" borderId="43" xfId="0" applyFont="1" applyFill="1" applyBorder="1" applyAlignment="1">
      <alignment horizontal="center" vertical="center" wrapText="1"/>
    </xf>
    <xf numFmtId="0" fontId="33" fillId="0" borderId="152" xfId="0" applyFont="1" applyFill="1" applyBorder="1" applyAlignment="1">
      <alignment horizontal="center" wrapText="1"/>
    </xf>
    <xf numFmtId="0" fontId="6" fillId="38" borderId="376" xfId="0" applyFont="1" applyFill="1" applyBorder="1" applyAlignment="1">
      <alignment horizontal="center" vertical="center"/>
    </xf>
    <xf numFmtId="0" fontId="6" fillId="38" borderId="377" xfId="0" applyFont="1" applyFill="1" applyBorder="1" applyAlignment="1">
      <alignment horizontal="center" vertical="center"/>
    </xf>
    <xf numFmtId="0" fontId="6" fillId="38" borderId="376" xfId="0" applyFont="1" applyFill="1" applyBorder="1" applyAlignment="1">
      <alignment horizontal="center" vertical="center" wrapText="1"/>
    </xf>
    <xf numFmtId="0" fontId="6" fillId="38" borderId="377" xfId="0" applyFont="1" applyFill="1" applyBorder="1" applyAlignment="1">
      <alignment horizontal="center" vertical="center" wrapText="1"/>
    </xf>
    <xf numFmtId="0" fontId="51" fillId="0" borderId="26" xfId="0" applyFont="1" applyFill="1" applyBorder="1" applyAlignment="1">
      <alignment horizontal="left" vertical="center" wrapText="1" indent="1"/>
    </xf>
    <xf numFmtId="0" fontId="51" fillId="0" borderId="0" xfId="0" applyFont="1" applyFill="1" applyBorder="1" applyAlignment="1">
      <alignment horizontal="left" vertical="center" wrapText="1" indent="1"/>
    </xf>
    <xf numFmtId="0" fontId="1" fillId="27" borderId="0" xfId="0" applyFont="1" applyFill="1" applyAlignment="1">
      <alignment horizontal="center"/>
    </xf>
    <xf numFmtId="0" fontId="1" fillId="27" borderId="11" xfId="0" applyFont="1" applyFill="1" applyBorder="1" applyAlignment="1">
      <alignment horizontal="center"/>
    </xf>
    <xf numFmtId="0" fontId="10" fillId="50" borderId="378" xfId="0" applyFont="1" applyFill="1" applyBorder="1" applyAlignment="1">
      <alignment horizontal="center" vertical="center"/>
    </xf>
    <xf numFmtId="0" fontId="10" fillId="50" borderId="210" xfId="0" applyFont="1" applyFill="1" applyBorder="1" applyAlignment="1">
      <alignment horizontal="center" vertical="center"/>
    </xf>
    <xf numFmtId="0" fontId="51" fillId="0" borderId="0" xfId="0" applyFont="1" applyFill="1" applyBorder="1" applyAlignment="1">
      <alignment horizontal="left" vertical="center" wrapText="1"/>
    </xf>
    <xf numFmtId="0" fontId="51" fillId="0" borderId="29" xfId="0" applyFont="1" applyFill="1" applyBorder="1" applyAlignment="1">
      <alignment horizontal="left" vertical="center" wrapText="1"/>
    </xf>
    <xf numFmtId="0" fontId="1" fillId="20" borderId="28" xfId="0" applyFont="1" applyFill="1" applyBorder="1" applyAlignment="1">
      <alignment horizontal="center" vertical="center" wrapText="1"/>
    </xf>
    <xf numFmtId="0" fontId="8" fillId="20" borderId="28" xfId="0" applyFont="1" applyFill="1" applyBorder="1" applyAlignment="1">
      <alignment horizontal="center" vertical="center" wrapText="1"/>
    </xf>
    <xf numFmtId="0" fontId="8" fillId="27" borderId="0" xfId="0" applyFont="1" applyFill="1" applyAlignment="1">
      <alignment horizontal="center" wrapText="1"/>
    </xf>
    <xf numFmtId="0" fontId="8" fillId="27" borderId="11" xfId="0" applyFont="1" applyFill="1" applyBorder="1" applyAlignment="1">
      <alignment horizontal="center" wrapText="1"/>
    </xf>
    <xf numFmtId="0" fontId="51" fillId="0" borderId="48" xfId="0" applyFont="1" applyFill="1" applyBorder="1" applyAlignment="1">
      <alignment horizontal="left" vertical="center" wrapText="1"/>
    </xf>
    <xf numFmtId="0" fontId="8" fillId="0" borderId="170" xfId="0" applyFont="1" applyFill="1" applyBorder="1" applyAlignment="1">
      <alignment horizontal="center" textRotation="90"/>
    </xf>
    <xf numFmtId="0" fontId="8" fillId="0" borderId="0" xfId="0" applyFont="1" applyFill="1" applyBorder="1" applyAlignment="1">
      <alignment horizontal="center" textRotation="90"/>
    </xf>
    <xf numFmtId="0" fontId="8" fillId="0" borderId="281" xfId="0" applyFont="1" applyFill="1" applyBorder="1" applyAlignment="1">
      <alignment horizontal="center" textRotation="90"/>
    </xf>
    <xf numFmtId="3" fontId="1" fillId="10" borderId="65" xfId="0" applyNumberFormat="1" applyFont="1" applyFill="1" applyBorder="1" applyAlignment="1">
      <alignment horizontal="center" vertical="center"/>
    </xf>
    <xf numFmtId="3" fontId="1" fillId="10" borderId="28" xfId="0" applyNumberFormat="1" applyFont="1" applyFill="1" applyBorder="1" applyAlignment="1">
      <alignment horizontal="center" vertical="center"/>
    </xf>
    <xf numFmtId="3" fontId="1" fillId="10" borderId="67" xfId="0" applyNumberFormat="1" applyFont="1" applyFill="1" applyBorder="1" applyAlignment="1">
      <alignment horizontal="center" vertical="center"/>
    </xf>
    <xf numFmtId="0" fontId="107" fillId="31" borderId="65" xfId="0" applyFont="1" applyFill="1" applyBorder="1" applyAlignment="1">
      <alignment horizontal="center" vertical="center" wrapText="1"/>
    </xf>
    <xf numFmtId="0" fontId="107" fillId="31" borderId="67" xfId="0" applyFont="1" applyFill="1" applyBorder="1" applyAlignment="1">
      <alignment horizontal="center" vertical="center" wrapText="1"/>
    </xf>
    <xf numFmtId="0" fontId="34" fillId="20" borderId="9" xfId="0" applyFont="1" applyFill="1" applyBorder="1" applyAlignment="1">
      <alignment horizontal="center" vertical="center"/>
    </xf>
    <xf numFmtId="0" fontId="34" fillId="20" borderId="10" xfId="0" applyFont="1" applyFill="1" applyBorder="1" applyAlignment="1">
      <alignment horizontal="center" vertical="center"/>
    </xf>
    <xf numFmtId="0" fontId="34" fillId="11" borderId="9" xfId="0" applyFont="1" applyFill="1" applyBorder="1" applyAlignment="1">
      <alignment horizontal="center" vertical="center" wrapText="1"/>
    </xf>
    <xf numFmtId="0" fontId="34" fillId="11" borderId="8" xfId="0" applyFont="1" applyFill="1" applyBorder="1" applyAlignment="1">
      <alignment horizontal="center" vertical="center" wrapText="1"/>
    </xf>
    <xf numFmtId="0" fontId="34" fillId="11" borderId="10" xfId="0" applyFont="1" applyFill="1" applyBorder="1" applyAlignment="1">
      <alignment horizontal="center" vertical="center" wrapText="1"/>
    </xf>
    <xf numFmtId="0" fontId="62" fillId="32" borderId="0" xfId="0" applyFont="1" applyFill="1" applyBorder="1" applyAlignment="1">
      <alignment horizontal="left" vertical="center"/>
    </xf>
    <xf numFmtId="3" fontId="10" fillId="0" borderId="9" xfId="0" applyNumberFormat="1" applyFont="1" applyFill="1" applyBorder="1" applyAlignment="1">
      <alignment horizontal="center" vertical="center"/>
    </xf>
    <xf numFmtId="0" fontId="10" fillId="0" borderId="10"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24" xfId="0" applyFont="1" applyFill="1" applyBorder="1" applyAlignment="1">
      <alignment horizontal="center" vertical="center"/>
    </xf>
    <xf numFmtId="3" fontId="6" fillId="0" borderId="22" xfId="0" applyNumberFormat="1" applyFont="1" applyFill="1" applyBorder="1" applyAlignment="1">
      <alignment horizontal="center" vertical="center"/>
    </xf>
    <xf numFmtId="0" fontId="6" fillId="0" borderId="23" xfId="0" applyFont="1" applyFill="1" applyBorder="1" applyAlignment="1">
      <alignment horizontal="center" vertical="center"/>
    </xf>
    <xf numFmtId="3" fontId="6" fillId="0" borderId="47" xfId="0" applyNumberFormat="1" applyFont="1" applyFill="1" applyBorder="1" applyAlignment="1">
      <alignment horizontal="center" vertical="center"/>
    </xf>
    <xf numFmtId="0" fontId="6" fillId="0" borderId="49" xfId="0" applyFont="1" applyFill="1" applyBorder="1" applyAlignment="1">
      <alignment horizontal="center" vertical="center"/>
    </xf>
    <xf numFmtId="0" fontId="6" fillId="0" borderId="168" xfId="0" applyFont="1" applyFill="1" applyBorder="1" applyAlignment="1">
      <alignment horizontal="center" vertical="center"/>
    </xf>
    <xf numFmtId="0" fontId="6" fillId="0" borderId="169" xfId="0" applyFont="1" applyFill="1" applyBorder="1" applyAlignment="1">
      <alignment horizontal="center" vertical="center"/>
    </xf>
    <xf numFmtId="0" fontId="6" fillId="32" borderId="0" xfId="0" applyFont="1" applyFill="1" applyBorder="1" applyAlignment="1">
      <alignment horizontal="right" vertical="center"/>
    </xf>
    <xf numFmtId="0" fontId="8" fillId="12" borderId="22" xfId="0" applyFont="1" applyFill="1" applyBorder="1" applyAlignment="1">
      <alignment horizontal="left" vertical="center" wrapText="1" indent="1"/>
    </xf>
    <xf numFmtId="0" fontId="8" fillId="12" borderId="26" xfId="0" applyFont="1" applyFill="1" applyBorder="1" applyAlignment="1">
      <alignment horizontal="left" vertical="center" wrapText="1" indent="1"/>
    </xf>
    <xf numFmtId="0" fontId="8" fillId="12" borderId="24" xfId="0" applyFont="1" applyFill="1" applyBorder="1" applyAlignment="1">
      <alignment horizontal="left" vertical="center" wrapText="1" indent="1"/>
    </xf>
    <xf numFmtId="0" fontId="8" fillId="12" borderId="23" xfId="0" applyFont="1" applyFill="1" applyBorder="1" applyAlignment="1">
      <alignment horizontal="left" vertical="center" wrapText="1" indent="1"/>
    </xf>
    <xf numFmtId="0" fontId="8" fillId="12" borderId="11" xfId="0" applyFont="1" applyFill="1" applyBorder="1" applyAlignment="1">
      <alignment horizontal="left" vertical="center" wrapText="1" indent="1"/>
    </xf>
    <xf numFmtId="0" fontId="8" fillId="12" borderId="25" xfId="0" applyFont="1" applyFill="1" applyBorder="1" applyAlignment="1">
      <alignment horizontal="left" vertical="center" wrapText="1" indent="1"/>
    </xf>
    <xf numFmtId="3" fontId="6" fillId="0" borderId="65" xfId="0" applyNumberFormat="1" applyFont="1" applyBorder="1" applyAlignment="1">
      <alignment horizontal="center" vertical="center"/>
    </xf>
    <xf numFmtId="0" fontId="6" fillId="0" borderId="67" xfId="0" applyFont="1" applyBorder="1" applyAlignment="1">
      <alignment horizontal="center" vertical="center"/>
    </xf>
    <xf numFmtId="0" fontId="30" fillId="0" borderId="9" xfId="0" applyFont="1" applyFill="1" applyBorder="1" applyAlignment="1">
      <alignment horizontal="center" vertical="center"/>
    </xf>
    <xf numFmtId="0" fontId="30" fillId="0" borderId="8" xfId="0" applyFont="1" applyFill="1" applyBorder="1" applyAlignment="1">
      <alignment horizontal="center" vertical="center"/>
    </xf>
    <xf numFmtId="0" fontId="30" fillId="0" borderId="10" xfId="0" applyFont="1" applyFill="1" applyBorder="1" applyAlignment="1">
      <alignment horizontal="center" vertical="center"/>
    </xf>
    <xf numFmtId="0" fontId="1" fillId="0" borderId="47" xfId="0" applyFont="1" applyFill="1" applyBorder="1" applyAlignment="1">
      <alignment horizontal="center" vertical="center" wrapText="1"/>
    </xf>
    <xf numFmtId="0" fontId="1" fillId="0" borderId="49" xfId="0" applyFont="1" applyFill="1" applyBorder="1" applyAlignment="1">
      <alignment horizontal="center" vertical="center" wrapText="1"/>
    </xf>
    <xf numFmtId="0" fontId="1" fillId="0" borderId="168" xfId="0" applyFont="1" applyFill="1" applyBorder="1" applyAlignment="1">
      <alignment horizontal="center" vertical="center" wrapText="1"/>
    </xf>
    <xf numFmtId="0" fontId="1" fillId="0" borderId="169" xfId="0" applyFont="1" applyFill="1" applyBorder="1" applyAlignment="1">
      <alignment horizontal="center" vertical="center" wrapText="1"/>
    </xf>
    <xf numFmtId="0" fontId="1" fillId="27" borderId="0" xfId="0" applyFont="1" applyFill="1" applyAlignment="1">
      <alignment horizontal="center" textRotation="90"/>
    </xf>
    <xf numFmtId="0" fontId="4" fillId="27" borderId="0" xfId="0" applyFont="1" applyFill="1" applyAlignment="1">
      <alignment horizontal="center" textRotation="90"/>
    </xf>
    <xf numFmtId="0" fontId="4" fillId="27" borderId="11" xfId="0" applyFont="1" applyFill="1" applyBorder="1" applyAlignment="1">
      <alignment horizontal="center" textRotation="90"/>
    </xf>
    <xf numFmtId="0" fontId="33" fillId="0" borderId="9" xfId="0" applyFont="1" applyFill="1" applyBorder="1" applyAlignment="1">
      <alignment horizontal="center" vertical="center"/>
    </xf>
    <xf numFmtId="0" fontId="33" fillId="0" borderId="8" xfId="0" applyFont="1" applyFill="1" applyBorder="1" applyAlignment="1">
      <alignment horizontal="center" vertical="center"/>
    </xf>
    <xf numFmtId="0" fontId="33" fillId="0" borderId="10" xfId="0" applyFont="1" applyFill="1" applyBorder="1" applyAlignment="1">
      <alignment horizontal="center" vertical="center"/>
    </xf>
    <xf numFmtId="0" fontId="30" fillId="40" borderId="7" xfId="0" applyFont="1" applyFill="1" applyBorder="1" applyAlignment="1">
      <alignment horizontal="center" vertical="center" wrapText="1"/>
    </xf>
    <xf numFmtId="0" fontId="30" fillId="40" borderId="12" xfId="0" applyFont="1" applyFill="1" applyBorder="1" applyAlignment="1">
      <alignment horizontal="center" vertical="center" wrapText="1"/>
    </xf>
    <xf numFmtId="0" fontId="30" fillId="40" borderId="23" xfId="0" applyFont="1" applyFill="1" applyBorder="1" applyAlignment="1">
      <alignment horizontal="center" vertical="center" wrapText="1"/>
    </xf>
    <xf numFmtId="0" fontId="30" fillId="40" borderId="10" xfId="0" applyFont="1" applyFill="1" applyBorder="1" applyAlignment="1">
      <alignment horizontal="center" vertical="center" wrapText="1"/>
    </xf>
    <xf numFmtId="0" fontId="30" fillId="40" borderId="9" xfId="0" applyFont="1" applyFill="1" applyBorder="1" applyAlignment="1">
      <alignment horizontal="center" vertical="center" wrapText="1"/>
    </xf>
    <xf numFmtId="0" fontId="30" fillId="6" borderId="7" xfId="0" applyFont="1" applyFill="1" applyBorder="1" applyAlignment="1">
      <alignment horizontal="center" vertical="center" wrapText="1"/>
    </xf>
    <xf numFmtId="0" fontId="30" fillId="6" borderId="12" xfId="0" applyFont="1" applyFill="1" applyBorder="1" applyAlignment="1">
      <alignment horizontal="center" vertical="center" wrapText="1"/>
    </xf>
    <xf numFmtId="0" fontId="30" fillId="39" borderId="23" xfId="0" applyFont="1" applyFill="1" applyBorder="1" applyAlignment="1">
      <alignment horizontal="center" vertical="center" wrapText="1"/>
    </xf>
    <xf numFmtId="0" fontId="30" fillId="39" borderId="10" xfId="0" applyFont="1" applyFill="1" applyBorder="1" applyAlignment="1">
      <alignment horizontal="center" vertical="center" wrapText="1"/>
    </xf>
    <xf numFmtId="0" fontId="30" fillId="39" borderId="7" xfId="0" applyFont="1" applyFill="1" applyBorder="1" applyAlignment="1">
      <alignment horizontal="center" vertical="center" wrapText="1"/>
    </xf>
    <xf numFmtId="0" fontId="30" fillId="39" borderId="12" xfId="0" applyFont="1" applyFill="1" applyBorder="1" applyAlignment="1">
      <alignment horizontal="center" vertical="center" wrapText="1"/>
    </xf>
    <xf numFmtId="0" fontId="75" fillId="3" borderId="0" xfId="0" applyFont="1" applyFill="1" applyBorder="1" applyAlignment="1">
      <alignment horizontal="right" vertical="top"/>
    </xf>
    <xf numFmtId="0" fontId="47" fillId="21" borderId="59" xfId="0" applyFont="1" applyFill="1" applyBorder="1" applyAlignment="1">
      <alignment horizontal="center" vertical="center" wrapText="1"/>
    </xf>
    <xf numFmtId="0" fontId="47" fillId="21" borderId="60" xfId="0" applyFont="1" applyFill="1" applyBorder="1" applyAlignment="1">
      <alignment horizontal="center" vertical="center" wrapText="1"/>
    </xf>
    <xf numFmtId="0" fontId="47" fillId="21" borderId="61" xfId="0" applyFont="1" applyFill="1" applyBorder="1" applyAlignment="1">
      <alignment horizontal="center" vertical="center" wrapText="1"/>
    </xf>
    <xf numFmtId="0" fontId="17" fillId="20" borderId="9"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10" xfId="0" applyFont="1" applyFill="1" applyBorder="1" applyAlignment="1">
      <alignment horizontal="center" vertical="center" wrapText="1"/>
    </xf>
    <xf numFmtId="0" fontId="30" fillId="3" borderId="9" xfId="0" applyFont="1" applyFill="1" applyBorder="1" applyAlignment="1">
      <alignment horizontal="center" vertical="center" wrapText="1"/>
    </xf>
    <xf numFmtId="0" fontId="30" fillId="3" borderId="10" xfId="0" applyFont="1" applyFill="1" applyBorder="1" applyAlignment="1">
      <alignment horizontal="center" vertical="center" wrapText="1"/>
    </xf>
    <xf numFmtId="0" fontId="30" fillId="6" borderId="23" xfId="0" applyFont="1" applyFill="1" applyBorder="1" applyAlignment="1">
      <alignment horizontal="center" vertical="center" wrapText="1"/>
    </xf>
    <xf numFmtId="0" fontId="30" fillId="6" borderId="10" xfId="0" applyFont="1" applyFill="1" applyBorder="1" applyAlignment="1">
      <alignment horizontal="center" vertical="center" wrapText="1"/>
    </xf>
    <xf numFmtId="0" fontId="30" fillId="6" borderId="9" xfId="0" applyFont="1" applyFill="1" applyBorder="1" applyAlignment="1">
      <alignment horizontal="center" vertical="center" wrapText="1"/>
    </xf>
    <xf numFmtId="0" fontId="30" fillId="39" borderId="9" xfId="0" applyFont="1" applyFill="1" applyBorder="1" applyAlignment="1">
      <alignment horizontal="center" vertical="center" wrapText="1"/>
    </xf>
    <xf numFmtId="3" fontId="8" fillId="3" borderId="22" xfId="0" applyNumberFormat="1" applyFont="1" applyFill="1" applyBorder="1" applyAlignment="1">
      <alignment horizontal="center" vertical="center" wrapText="1"/>
    </xf>
    <xf numFmtId="3" fontId="8" fillId="3" borderId="24" xfId="0" applyNumberFormat="1" applyFont="1" applyFill="1" applyBorder="1" applyAlignment="1">
      <alignment horizontal="center" vertical="center" wrapText="1"/>
    </xf>
    <xf numFmtId="3" fontId="10" fillId="12" borderId="65" xfId="0" applyNumberFormat="1" applyFont="1" applyFill="1" applyBorder="1" applyAlignment="1">
      <alignment horizontal="center" vertical="center"/>
    </xf>
    <xf numFmtId="3" fontId="10" fillId="12" borderId="67" xfId="0" applyNumberFormat="1" applyFont="1" applyFill="1" applyBorder="1" applyAlignment="1">
      <alignment horizontal="center" vertical="center"/>
    </xf>
    <xf numFmtId="0" fontId="1" fillId="0" borderId="0" xfId="0" applyFont="1" applyAlignment="1">
      <alignment horizontal="left" vertical="top" wrapText="1" indent="1"/>
    </xf>
    <xf numFmtId="0" fontId="35" fillId="12" borderId="214" xfId="0" applyFont="1" applyFill="1" applyBorder="1" applyAlignment="1">
      <alignment horizontal="left" vertical="top" wrapText="1" indent="1"/>
    </xf>
    <xf numFmtId="0" fontId="35" fillId="12" borderId="29" xfId="0" applyFont="1" applyFill="1" applyBorder="1" applyAlignment="1">
      <alignment horizontal="left" vertical="top" wrapText="1" indent="1"/>
    </xf>
    <xf numFmtId="0" fontId="35" fillId="12" borderId="171" xfId="0" applyFont="1" applyFill="1" applyBorder="1" applyAlignment="1">
      <alignment horizontal="left" vertical="top" wrapText="1" indent="1"/>
    </xf>
    <xf numFmtId="0" fontId="35" fillId="12" borderId="271" xfId="0" applyFont="1" applyFill="1" applyBorder="1" applyAlignment="1">
      <alignment horizontal="left" vertical="center" wrapText="1" indent="1"/>
    </xf>
    <xf numFmtId="0" fontId="35" fillId="12" borderId="0" xfId="0" applyFont="1" applyFill="1" applyBorder="1" applyAlignment="1">
      <alignment horizontal="left" vertical="center" wrapText="1" indent="1"/>
    </xf>
    <xf numFmtId="0" fontId="35" fillId="12" borderId="170" xfId="0" applyFont="1" applyFill="1" applyBorder="1" applyAlignment="1">
      <alignment horizontal="left" vertical="center" wrapText="1" indent="1"/>
    </xf>
    <xf numFmtId="0" fontId="31" fillId="5" borderId="418" xfId="0" applyFont="1" applyFill="1" applyBorder="1" applyAlignment="1">
      <alignment horizontal="left" vertical="center" wrapText="1" indent="2"/>
    </xf>
    <xf numFmtId="0" fontId="31" fillId="5" borderId="20" xfId="0" applyFont="1" applyFill="1" applyBorder="1" applyAlignment="1">
      <alignment horizontal="left" vertical="center" wrapText="1" indent="2"/>
    </xf>
    <xf numFmtId="0" fontId="31" fillId="5" borderId="138" xfId="0" applyFont="1" applyFill="1" applyBorder="1" applyAlignment="1">
      <alignment horizontal="left" vertical="center" wrapText="1" indent="2"/>
    </xf>
    <xf numFmtId="0" fontId="35" fillId="12" borderId="272" xfId="0" applyFont="1" applyFill="1" applyBorder="1" applyAlignment="1">
      <alignment horizontal="left" vertical="center" wrapText="1" indent="1"/>
    </xf>
    <xf numFmtId="0" fontId="35" fillId="12" borderId="13" xfId="0" applyFont="1" applyFill="1" applyBorder="1" applyAlignment="1">
      <alignment horizontal="left" vertical="center" wrapText="1" indent="1"/>
    </xf>
    <xf numFmtId="0" fontId="35" fillId="12" borderId="273" xfId="0" applyFont="1" applyFill="1" applyBorder="1" applyAlignment="1">
      <alignment horizontal="left" vertical="center" wrapText="1" indent="1"/>
    </xf>
    <xf numFmtId="0" fontId="35" fillId="0" borderId="0" xfId="0" applyFont="1" applyAlignment="1">
      <alignment horizontal="left" vertical="top" wrapText="1"/>
    </xf>
    <xf numFmtId="0" fontId="31" fillId="5" borderId="418" xfId="0" applyFont="1" applyFill="1" applyBorder="1" applyAlignment="1">
      <alignment horizontal="left" vertical="center" indent="2"/>
    </xf>
    <xf numFmtId="0" fontId="31" fillId="5" borderId="20" xfId="0" applyFont="1" applyFill="1" applyBorder="1" applyAlignment="1">
      <alignment horizontal="left" vertical="center" indent="2"/>
    </xf>
    <xf numFmtId="0" fontId="31" fillId="5" borderId="138" xfId="0" applyFont="1" applyFill="1" applyBorder="1" applyAlignment="1">
      <alignment horizontal="left" vertical="center" indent="2"/>
    </xf>
    <xf numFmtId="0" fontId="1" fillId="0" borderId="0" xfId="0" applyFont="1" applyAlignment="1">
      <alignment horizontal="left" vertical="top"/>
    </xf>
    <xf numFmtId="0" fontId="35" fillId="12" borderId="214" xfId="0" applyFont="1" applyFill="1" applyBorder="1" applyAlignment="1">
      <alignment horizontal="left" vertical="center" wrapText="1" indent="1"/>
    </xf>
    <xf numFmtId="0" fontId="35" fillId="12" borderId="29" xfId="0" applyFont="1" applyFill="1" applyBorder="1" applyAlignment="1">
      <alignment horizontal="left" vertical="center" wrapText="1" indent="1"/>
    </xf>
    <xf numFmtId="0" fontId="35" fillId="12" borderId="171" xfId="0" applyFont="1" applyFill="1" applyBorder="1" applyAlignment="1">
      <alignment horizontal="left" vertical="center" wrapText="1" indent="1"/>
    </xf>
    <xf numFmtId="0" fontId="119" fillId="0" borderId="0" xfId="0" applyFont="1" applyAlignment="1">
      <alignment horizontal="left" vertical="top" wrapText="1"/>
    </xf>
    <xf numFmtId="0" fontId="35" fillId="12" borderId="213" xfId="0" applyFont="1" applyFill="1" applyBorder="1" applyAlignment="1">
      <alignment horizontal="left" vertical="center" wrapText="1" indent="1"/>
    </xf>
    <xf numFmtId="0" fontId="35" fillId="12" borderId="40" xfId="0" applyFont="1" applyFill="1" applyBorder="1" applyAlignment="1">
      <alignment horizontal="left" vertical="center" wrapText="1" indent="1"/>
    </xf>
    <xf numFmtId="0" fontId="35" fillId="12" borderId="227" xfId="0" applyFont="1" applyFill="1" applyBorder="1" applyAlignment="1">
      <alignment horizontal="left" vertical="center" wrapText="1" indent="1"/>
    </xf>
    <xf numFmtId="0" fontId="37" fillId="0" borderId="0" xfId="0" applyFont="1" applyAlignment="1">
      <alignment horizontal="left" vertical="top" wrapText="1"/>
    </xf>
    <xf numFmtId="0" fontId="35" fillId="0" borderId="0" xfId="0" applyFont="1" applyAlignment="1">
      <alignment horizontal="left" vertical="top"/>
    </xf>
    <xf numFmtId="0" fontId="35" fillId="12" borderId="271" xfId="0" applyFont="1" applyFill="1" applyBorder="1" applyAlignment="1">
      <alignment horizontal="left" vertical="top" wrapText="1" indent="1"/>
    </xf>
    <xf numFmtId="0" fontId="35" fillId="12" borderId="0" xfId="0" applyFont="1" applyFill="1" applyBorder="1" applyAlignment="1">
      <alignment horizontal="left" vertical="top" wrapText="1" indent="1"/>
    </xf>
    <xf numFmtId="0" fontId="35" fillId="12" borderId="170" xfId="0" applyFont="1" applyFill="1" applyBorder="1" applyAlignment="1">
      <alignment horizontal="left" vertical="top" wrapText="1" indent="1"/>
    </xf>
    <xf numFmtId="0" fontId="6" fillId="0" borderId="0" xfId="0" applyFont="1" applyAlignment="1">
      <alignment horizontal="left" vertical="top" wrapText="1"/>
    </xf>
    <xf numFmtId="0" fontId="35" fillId="12" borderId="272" xfId="0" applyFont="1" applyFill="1" applyBorder="1" applyAlignment="1">
      <alignment horizontal="left" wrapText="1" indent="1"/>
    </xf>
    <xf numFmtId="0" fontId="35" fillId="12" borderId="13" xfId="0" applyFont="1" applyFill="1" applyBorder="1" applyAlignment="1">
      <alignment horizontal="left" wrapText="1" indent="1"/>
    </xf>
    <xf numFmtId="0" fontId="35" fillId="12" borderId="273" xfId="0" applyFont="1" applyFill="1" applyBorder="1" applyAlignment="1">
      <alignment horizontal="left" wrapText="1" indent="1"/>
    </xf>
    <xf numFmtId="0" fontId="35" fillId="12" borderId="40" xfId="0" applyFont="1" applyFill="1" applyBorder="1" applyAlignment="1">
      <alignment horizontal="left" vertical="center" indent="1"/>
    </xf>
    <xf numFmtId="0" fontId="35" fillId="12" borderId="227" xfId="0" applyFont="1" applyFill="1" applyBorder="1" applyAlignment="1">
      <alignment horizontal="left" vertical="center" indent="1"/>
    </xf>
    <xf numFmtId="0" fontId="43" fillId="22" borderId="0" xfId="0" applyFont="1" applyFill="1" applyBorder="1" applyAlignment="1">
      <alignment horizontal="left" vertical="top" wrapText="1"/>
    </xf>
    <xf numFmtId="0" fontId="43" fillId="22" borderId="0" xfId="0" applyFont="1" applyFill="1" applyBorder="1" applyAlignment="1">
      <alignment horizontal="left" vertical="top"/>
    </xf>
    <xf numFmtId="0" fontId="31" fillId="5" borderId="418" xfId="0" applyFont="1" applyFill="1" applyBorder="1" applyAlignment="1">
      <alignment horizontal="left" vertical="center" wrapText="1"/>
    </xf>
    <xf numFmtId="0" fontId="31" fillId="5" borderId="20" xfId="0" applyFont="1" applyFill="1" applyBorder="1" applyAlignment="1">
      <alignment horizontal="left" vertical="center" wrapText="1"/>
    </xf>
    <xf numFmtId="0" fontId="31" fillId="5" borderId="138" xfId="0" applyFont="1" applyFill="1" applyBorder="1" applyAlignment="1">
      <alignment horizontal="left" vertical="center" wrapText="1"/>
    </xf>
    <xf numFmtId="0" fontId="200" fillId="12" borderId="46" xfId="0" applyFont="1" applyFill="1" applyBorder="1" applyAlignment="1">
      <alignment vertical="center"/>
    </xf>
  </cellXfs>
  <cellStyles count="165">
    <cellStyle name="Comma 3" xfId="10" xr:uid="{00000000-0005-0000-0000-000000000000}"/>
    <cellStyle name="Comma 3 2" xfId="158" xr:uid="{1F6A7838-CB76-4292-AEF2-E9508C3396D1}"/>
    <cellStyle name="Comma 4" xfId="11" xr:uid="{00000000-0005-0000-0000-000001000000}"/>
    <cellStyle name="Comma 4 2" xfId="159" xr:uid="{AD34943A-03A6-43FD-B9C8-78088CD9AF55}"/>
    <cellStyle name="Comma 5" xfId="12" xr:uid="{00000000-0005-0000-0000-000002000000}"/>
    <cellStyle name="Comma 5 2" xfId="160" xr:uid="{3C7F1F78-8698-4412-8A1F-36BF9298183D}"/>
    <cellStyle name="Comma 6" xfId="13" xr:uid="{00000000-0005-0000-0000-000003000000}"/>
    <cellStyle name="Comma 6 2" xfId="161" xr:uid="{1A308D60-0835-4CA3-B70E-1D31001A91F5}"/>
    <cellStyle name="Comma 7" xfId="14" xr:uid="{00000000-0005-0000-0000-000004000000}"/>
    <cellStyle name="Comma 7 2" xfId="162" xr:uid="{87387366-2FFC-44FB-9806-3C1E3C51EB5F}"/>
    <cellStyle name="Data Adjust" xfId="152" xr:uid="{00000000-0005-0000-0000-000005000000}"/>
    <cellStyle name="Data Adjust 2" xfId="164" xr:uid="{31E72FC6-5E6E-4B38-8C8D-B5DAAAF543DA}"/>
    <cellStyle name="Data Entry" xfId="5" xr:uid="{00000000-0005-0000-0000-000006000000}"/>
    <cellStyle name="Data Entry 2" xfId="156" xr:uid="{5741ACEC-4F09-4C08-8890-DBD738055C1B}"/>
    <cellStyle name="Data Suspect" xfId="15" xr:uid="{00000000-0005-0000-0000-000007000000}"/>
    <cellStyle name="Data Suspect 2" xfId="163" xr:uid="{E4B1C515-AAD9-4644-B991-FAB72884FC32}"/>
    <cellStyle name="Data Wrong" xfId="6" xr:uid="{00000000-0005-0000-0000-000008000000}"/>
    <cellStyle name="Data Wrong 2" xfId="157" xr:uid="{FF6886DC-D98C-452D-BB41-A34A236B6FF9}"/>
    <cellStyle name="Formula Missing" xfId="150" xr:uid="{00000000-0005-0000-0000-000009000000}"/>
    <cellStyle name="Hyperlink" xfId="155" builtinId="8"/>
    <cellStyle name="Normal" xfId="0" builtinId="0"/>
    <cellStyle name="Normal 10" xfId="16" xr:uid="{00000000-0005-0000-0000-00000C000000}"/>
    <cellStyle name="Normal 11" xfId="17" xr:uid="{00000000-0005-0000-0000-00000D000000}"/>
    <cellStyle name="Normal 12" xfId="18" xr:uid="{00000000-0005-0000-0000-00000E000000}"/>
    <cellStyle name="Normal 13" xfId="19" xr:uid="{00000000-0005-0000-0000-00000F000000}"/>
    <cellStyle name="Normal 14" xfId="20" xr:uid="{00000000-0005-0000-0000-000010000000}"/>
    <cellStyle name="Normal 15" xfId="21" xr:uid="{00000000-0005-0000-0000-000011000000}"/>
    <cellStyle name="Normal 16" xfId="22" xr:uid="{00000000-0005-0000-0000-000012000000}"/>
    <cellStyle name="Normal 17" xfId="23" xr:uid="{00000000-0005-0000-0000-000013000000}"/>
    <cellStyle name="Normal 18" xfId="24" xr:uid="{00000000-0005-0000-0000-000014000000}"/>
    <cellStyle name="Normal 19" xfId="25" xr:uid="{00000000-0005-0000-0000-000015000000}"/>
    <cellStyle name="Normal 2" xfId="2" xr:uid="{00000000-0005-0000-0000-000016000000}"/>
    <cellStyle name="Normal 2 2" xfId="26" xr:uid="{00000000-0005-0000-0000-000017000000}"/>
    <cellStyle name="Normal 2 3" xfId="27" xr:uid="{00000000-0005-0000-0000-000018000000}"/>
    <cellStyle name="Normal 20" xfId="149" xr:uid="{00000000-0005-0000-0000-000019000000}"/>
    <cellStyle name="Normal 23" xfId="28" xr:uid="{00000000-0005-0000-0000-00001A000000}"/>
    <cellStyle name="Normal 28" xfId="29" xr:uid="{00000000-0005-0000-0000-00001B000000}"/>
    <cellStyle name="Normal 3" xfId="4" xr:uid="{00000000-0005-0000-0000-00001C000000}"/>
    <cellStyle name="Normal 3 2" xfId="30" xr:uid="{00000000-0005-0000-0000-00001D000000}"/>
    <cellStyle name="Normal 3 3" xfId="31" xr:uid="{00000000-0005-0000-0000-00001E000000}"/>
    <cellStyle name="Normal 4" xfId="7" xr:uid="{00000000-0005-0000-0000-00001F000000}"/>
    <cellStyle name="Normal 4 2" xfId="8" xr:uid="{00000000-0005-0000-0000-000020000000}"/>
    <cellStyle name="Normal 4 2 2" xfId="154" xr:uid="{00000000-0005-0000-0000-000021000000}"/>
    <cellStyle name="Normal 4 3" xfId="32" xr:uid="{00000000-0005-0000-0000-000022000000}"/>
    <cellStyle name="Normal 4 4" xfId="153" xr:uid="{00000000-0005-0000-0000-000023000000}"/>
    <cellStyle name="Normal 5" xfId="33" xr:uid="{00000000-0005-0000-0000-000024000000}"/>
    <cellStyle name="Normal 5 2" xfId="34" xr:uid="{00000000-0005-0000-0000-000025000000}"/>
    <cellStyle name="Normal 5 3" xfId="35" xr:uid="{00000000-0005-0000-0000-000026000000}"/>
    <cellStyle name="Normal 6" xfId="36" xr:uid="{00000000-0005-0000-0000-000027000000}"/>
    <cellStyle name="Normal 6 2" xfId="37" xr:uid="{00000000-0005-0000-0000-000028000000}"/>
    <cellStyle name="Normal 6 3" xfId="38" xr:uid="{00000000-0005-0000-0000-000029000000}"/>
    <cellStyle name="Normal 7" xfId="39" xr:uid="{00000000-0005-0000-0000-00002A000000}"/>
    <cellStyle name="Normal 8" xfId="40" xr:uid="{00000000-0005-0000-0000-00002B000000}"/>
    <cellStyle name="Normal 8 2" xfId="41" xr:uid="{00000000-0005-0000-0000-00002C000000}"/>
    <cellStyle name="Normal 8 3" xfId="42" xr:uid="{00000000-0005-0000-0000-00002D000000}"/>
    <cellStyle name="Normal 8 4" xfId="43" xr:uid="{00000000-0005-0000-0000-00002E000000}"/>
    <cellStyle name="Normal 8 5" xfId="44" xr:uid="{00000000-0005-0000-0000-00002F000000}"/>
    <cellStyle name="Normal 8 6" xfId="45" xr:uid="{00000000-0005-0000-0000-000030000000}"/>
    <cellStyle name="Normal 9" xfId="46" xr:uid="{00000000-0005-0000-0000-000031000000}"/>
    <cellStyle name="Percent" xfId="1" builtinId="5"/>
    <cellStyle name="Percent 2" xfId="3" xr:uid="{00000000-0005-0000-0000-000033000000}"/>
    <cellStyle name="Percent 2 2" xfId="9" xr:uid="{00000000-0005-0000-0000-000034000000}"/>
    <cellStyle name="Percent 2 3" xfId="47" xr:uid="{00000000-0005-0000-0000-000035000000}"/>
    <cellStyle name="Percent 3" xfId="48" xr:uid="{00000000-0005-0000-0000-000036000000}"/>
    <cellStyle name="Percent 4" xfId="151" xr:uid="{00000000-0005-0000-0000-000037000000}"/>
    <cellStyle name="XL3 Blue" xfId="49" xr:uid="{00000000-0005-0000-0000-000038000000}"/>
    <cellStyle name="XL3 Blue 2" xfId="50" xr:uid="{00000000-0005-0000-0000-000039000000}"/>
    <cellStyle name="XL3 Blue 2 2" xfId="51" xr:uid="{00000000-0005-0000-0000-00003A000000}"/>
    <cellStyle name="XL3 Blue 2 2 2" xfId="52" xr:uid="{00000000-0005-0000-0000-00003B000000}"/>
    <cellStyle name="XL3 Blue 2 2 3" xfId="53" xr:uid="{00000000-0005-0000-0000-00003C000000}"/>
    <cellStyle name="XL3 Blue 2 3" xfId="54" xr:uid="{00000000-0005-0000-0000-00003D000000}"/>
    <cellStyle name="XL3 Blue 3" xfId="55" xr:uid="{00000000-0005-0000-0000-00003E000000}"/>
    <cellStyle name="XL3 Blue 3 2" xfId="56" xr:uid="{00000000-0005-0000-0000-00003F000000}"/>
    <cellStyle name="XL3 Blue 3 3" xfId="57" xr:uid="{00000000-0005-0000-0000-000040000000}"/>
    <cellStyle name="XL3 Blue 4" xfId="58" xr:uid="{00000000-0005-0000-0000-000041000000}"/>
    <cellStyle name="XL3 Blue 4 2" xfId="59" xr:uid="{00000000-0005-0000-0000-000042000000}"/>
    <cellStyle name="XL3 Blue 4 3" xfId="60" xr:uid="{00000000-0005-0000-0000-000043000000}"/>
    <cellStyle name="XL3 Blue 5" xfId="61" xr:uid="{00000000-0005-0000-0000-000044000000}"/>
    <cellStyle name="XL3 Blue 5 2" xfId="62" xr:uid="{00000000-0005-0000-0000-000045000000}"/>
    <cellStyle name="XL3 Blue 5 3" xfId="63" xr:uid="{00000000-0005-0000-0000-000046000000}"/>
    <cellStyle name="XL3 Blue 6" xfId="64" xr:uid="{00000000-0005-0000-0000-000047000000}"/>
    <cellStyle name="XL3 Blue 6 2" xfId="65" xr:uid="{00000000-0005-0000-0000-000048000000}"/>
    <cellStyle name="XL3 Blue 6 3" xfId="66" xr:uid="{00000000-0005-0000-0000-000049000000}"/>
    <cellStyle name="XL3 Blue 7" xfId="67" xr:uid="{00000000-0005-0000-0000-00004A000000}"/>
    <cellStyle name="XL3 Blue 8" xfId="68" xr:uid="{00000000-0005-0000-0000-00004B000000}"/>
    <cellStyle name="XL3 Green" xfId="69" xr:uid="{00000000-0005-0000-0000-00004C000000}"/>
    <cellStyle name="XL3 Green 2" xfId="70" xr:uid="{00000000-0005-0000-0000-00004D000000}"/>
    <cellStyle name="XL3 Green 2 2" xfId="71" xr:uid="{00000000-0005-0000-0000-00004E000000}"/>
    <cellStyle name="XL3 Green 2 2 2" xfId="72" xr:uid="{00000000-0005-0000-0000-00004F000000}"/>
    <cellStyle name="XL3 Green 2 2 3" xfId="73" xr:uid="{00000000-0005-0000-0000-000050000000}"/>
    <cellStyle name="XL3 Green 2 3" xfId="74" xr:uid="{00000000-0005-0000-0000-000051000000}"/>
    <cellStyle name="XL3 Green 3" xfId="75" xr:uid="{00000000-0005-0000-0000-000052000000}"/>
    <cellStyle name="XL3 Green 3 2" xfId="76" xr:uid="{00000000-0005-0000-0000-000053000000}"/>
    <cellStyle name="XL3 Green 3 3" xfId="77" xr:uid="{00000000-0005-0000-0000-000054000000}"/>
    <cellStyle name="XL3 Green 4" xfId="78" xr:uid="{00000000-0005-0000-0000-000055000000}"/>
    <cellStyle name="XL3 Green 4 2" xfId="79" xr:uid="{00000000-0005-0000-0000-000056000000}"/>
    <cellStyle name="XL3 Green 4 3" xfId="80" xr:uid="{00000000-0005-0000-0000-000057000000}"/>
    <cellStyle name="XL3 Green 5" xfId="81" xr:uid="{00000000-0005-0000-0000-000058000000}"/>
    <cellStyle name="XL3 Green 5 2" xfId="82" xr:uid="{00000000-0005-0000-0000-000059000000}"/>
    <cellStyle name="XL3 Green 5 3" xfId="83" xr:uid="{00000000-0005-0000-0000-00005A000000}"/>
    <cellStyle name="XL3 Green 6" xfId="84" xr:uid="{00000000-0005-0000-0000-00005B000000}"/>
    <cellStyle name="XL3 Green 6 2" xfId="85" xr:uid="{00000000-0005-0000-0000-00005C000000}"/>
    <cellStyle name="XL3 Green 6 3" xfId="86" xr:uid="{00000000-0005-0000-0000-00005D000000}"/>
    <cellStyle name="XL3 Green 7" xfId="87" xr:uid="{00000000-0005-0000-0000-00005E000000}"/>
    <cellStyle name="XL3 Green 8" xfId="88" xr:uid="{00000000-0005-0000-0000-00005F000000}"/>
    <cellStyle name="XL3 Orange" xfId="89" xr:uid="{00000000-0005-0000-0000-000060000000}"/>
    <cellStyle name="XL3 Orange 2" xfId="90" xr:uid="{00000000-0005-0000-0000-000061000000}"/>
    <cellStyle name="XL3 Orange 2 2" xfId="91" xr:uid="{00000000-0005-0000-0000-000062000000}"/>
    <cellStyle name="XL3 Orange 2 2 2" xfId="92" xr:uid="{00000000-0005-0000-0000-000063000000}"/>
    <cellStyle name="XL3 Orange 2 2 3" xfId="93" xr:uid="{00000000-0005-0000-0000-000064000000}"/>
    <cellStyle name="XL3 Orange 2 3" xfId="94" xr:uid="{00000000-0005-0000-0000-000065000000}"/>
    <cellStyle name="XL3 Orange 3" xfId="95" xr:uid="{00000000-0005-0000-0000-000066000000}"/>
    <cellStyle name="XL3 Orange 3 2" xfId="96" xr:uid="{00000000-0005-0000-0000-000067000000}"/>
    <cellStyle name="XL3 Orange 3 3" xfId="97" xr:uid="{00000000-0005-0000-0000-000068000000}"/>
    <cellStyle name="XL3 Orange 4" xfId="98" xr:uid="{00000000-0005-0000-0000-000069000000}"/>
    <cellStyle name="XL3 Orange 4 2" xfId="99" xr:uid="{00000000-0005-0000-0000-00006A000000}"/>
    <cellStyle name="XL3 Orange 4 3" xfId="100" xr:uid="{00000000-0005-0000-0000-00006B000000}"/>
    <cellStyle name="XL3 Orange 5" xfId="101" xr:uid="{00000000-0005-0000-0000-00006C000000}"/>
    <cellStyle name="XL3 Orange 5 2" xfId="102" xr:uid="{00000000-0005-0000-0000-00006D000000}"/>
    <cellStyle name="XL3 Orange 5 3" xfId="103" xr:uid="{00000000-0005-0000-0000-00006E000000}"/>
    <cellStyle name="XL3 Orange 6" xfId="104" xr:uid="{00000000-0005-0000-0000-00006F000000}"/>
    <cellStyle name="XL3 Orange 6 2" xfId="105" xr:uid="{00000000-0005-0000-0000-000070000000}"/>
    <cellStyle name="XL3 Orange 6 3" xfId="106" xr:uid="{00000000-0005-0000-0000-000071000000}"/>
    <cellStyle name="XL3 Orange 7" xfId="107" xr:uid="{00000000-0005-0000-0000-000072000000}"/>
    <cellStyle name="XL3 Orange 8" xfId="108" xr:uid="{00000000-0005-0000-0000-000073000000}"/>
    <cellStyle name="XL3 Red" xfId="109" xr:uid="{00000000-0005-0000-0000-000074000000}"/>
    <cellStyle name="XL3 Red 2" xfId="110" xr:uid="{00000000-0005-0000-0000-000075000000}"/>
    <cellStyle name="XL3 Red 2 2" xfId="111" xr:uid="{00000000-0005-0000-0000-000076000000}"/>
    <cellStyle name="XL3 Red 2 2 2" xfId="112" xr:uid="{00000000-0005-0000-0000-000077000000}"/>
    <cellStyle name="XL3 Red 2 2 3" xfId="113" xr:uid="{00000000-0005-0000-0000-000078000000}"/>
    <cellStyle name="XL3 Red 2 3" xfId="114" xr:uid="{00000000-0005-0000-0000-000079000000}"/>
    <cellStyle name="XL3 Red 3" xfId="115" xr:uid="{00000000-0005-0000-0000-00007A000000}"/>
    <cellStyle name="XL3 Red 3 2" xfId="116" xr:uid="{00000000-0005-0000-0000-00007B000000}"/>
    <cellStyle name="XL3 Red 3 3" xfId="117" xr:uid="{00000000-0005-0000-0000-00007C000000}"/>
    <cellStyle name="XL3 Red 4" xfId="118" xr:uid="{00000000-0005-0000-0000-00007D000000}"/>
    <cellStyle name="XL3 Red 4 2" xfId="119" xr:uid="{00000000-0005-0000-0000-00007E000000}"/>
    <cellStyle name="XL3 Red 4 3" xfId="120" xr:uid="{00000000-0005-0000-0000-00007F000000}"/>
    <cellStyle name="XL3 Red 5" xfId="121" xr:uid="{00000000-0005-0000-0000-000080000000}"/>
    <cellStyle name="XL3 Red 5 2" xfId="122" xr:uid="{00000000-0005-0000-0000-000081000000}"/>
    <cellStyle name="XL3 Red 5 3" xfId="123" xr:uid="{00000000-0005-0000-0000-000082000000}"/>
    <cellStyle name="XL3 Red 6" xfId="124" xr:uid="{00000000-0005-0000-0000-000083000000}"/>
    <cellStyle name="XL3 Red 6 2" xfId="125" xr:uid="{00000000-0005-0000-0000-000084000000}"/>
    <cellStyle name="XL3 Red 6 3" xfId="126" xr:uid="{00000000-0005-0000-0000-000085000000}"/>
    <cellStyle name="XL3 Red 7" xfId="127" xr:uid="{00000000-0005-0000-0000-000086000000}"/>
    <cellStyle name="XL3 Red 8" xfId="128" xr:uid="{00000000-0005-0000-0000-000087000000}"/>
    <cellStyle name="XL3 Yellow" xfId="129" xr:uid="{00000000-0005-0000-0000-000088000000}"/>
    <cellStyle name="XL3 Yellow 2" xfId="130" xr:uid="{00000000-0005-0000-0000-000089000000}"/>
    <cellStyle name="XL3 Yellow 2 2" xfId="131" xr:uid="{00000000-0005-0000-0000-00008A000000}"/>
    <cellStyle name="XL3 Yellow 2 2 2" xfId="132" xr:uid="{00000000-0005-0000-0000-00008B000000}"/>
    <cellStyle name="XL3 Yellow 2 2 3" xfId="133" xr:uid="{00000000-0005-0000-0000-00008C000000}"/>
    <cellStyle name="XL3 Yellow 2 3" xfId="134" xr:uid="{00000000-0005-0000-0000-00008D000000}"/>
    <cellStyle name="XL3 Yellow 3" xfId="135" xr:uid="{00000000-0005-0000-0000-00008E000000}"/>
    <cellStyle name="XL3 Yellow 3 2" xfId="136" xr:uid="{00000000-0005-0000-0000-00008F000000}"/>
    <cellStyle name="XL3 Yellow 3 3" xfId="137" xr:uid="{00000000-0005-0000-0000-000090000000}"/>
    <cellStyle name="XL3 Yellow 4" xfId="138" xr:uid="{00000000-0005-0000-0000-000091000000}"/>
    <cellStyle name="XL3 Yellow 4 2" xfId="139" xr:uid="{00000000-0005-0000-0000-000092000000}"/>
    <cellStyle name="XL3 Yellow 4 3" xfId="140" xr:uid="{00000000-0005-0000-0000-000093000000}"/>
    <cellStyle name="XL3 Yellow 5" xfId="141" xr:uid="{00000000-0005-0000-0000-000094000000}"/>
    <cellStyle name="XL3 Yellow 5 2" xfId="142" xr:uid="{00000000-0005-0000-0000-000095000000}"/>
    <cellStyle name="XL3 Yellow 5 3" xfId="143" xr:uid="{00000000-0005-0000-0000-000096000000}"/>
    <cellStyle name="XL3 Yellow 6" xfId="144" xr:uid="{00000000-0005-0000-0000-000097000000}"/>
    <cellStyle name="XL3 Yellow 6 2" xfId="145" xr:uid="{00000000-0005-0000-0000-000098000000}"/>
    <cellStyle name="XL3 Yellow 6 3" xfId="146" xr:uid="{00000000-0005-0000-0000-000099000000}"/>
    <cellStyle name="XL3 Yellow 7" xfId="147" xr:uid="{00000000-0005-0000-0000-00009A000000}"/>
    <cellStyle name="XL3 Yellow 8" xfId="148" xr:uid="{00000000-0005-0000-0000-00009B000000}"/>
  </cellStyles>
  <dxfs count="1042">
    <dxf>
      <font>
        <color theme="0" tint="-0.34998626667073579"/>
      </font>
      <fill>
        <patternFill>
          <bgColor theme="0" tint="-0.14996795556505021"/>
        </patternFill>
      </fill>
    </dxf>
    <dxf>
      <fill>
        <patternFill>
          <bgColor rgb="FFFF6600"/>
        </patternFill>
      </fill>
    </dxf>
    <dxf>
      <font>
        <color theme="0" tint="-0.14996795556505021"/>
      </font>
      <fill>
        <patternFill>
          <bgColor theme="0" tint="-0.14996795556505021"/>
        </patternFill>
      </fill>
    </dxf>
    <dxf>
      <font>
        <color theme="0"/>
      </font>
      <numFmt numFmtId="208" formatCode="&quot;&quot;"/>
      <fill>
        <patternFill patternType="lightGray">
          <fgColor theme="1"/>
        </patternFill>
      </fill>
    </dxf>
    <dxf>
      <fill>
        <patternFill>
          <bgColor rgb="FFFFFF00"/>
        </patternFill>
      </fill>
    </dxf>
    <dxf>
      <font>
        <color theme="0" tint="-0.34998626667073579"/>
      </font>
      <fill>
        <patternFill>
          <bgColor theme="0" tint="-0.14996795556505021"/>
        </patternFill>
      </fill>
    </dxf>
    <dxf>
      <fill>
        <patternFill>
          <bgColor rgb="FFFF6600"/>
        </patternFill>
      </fill>
    </dxf>
    <dxf>
      <font>
        <color theme="0" tint="-0.14996795556505021"/>
      </font>
      <fill>
        <patternFill>
          <bgColor theme="0" tint="-0.14996795556505021"/>
        </patternFill>
      </fill>
    </dxf>
    <dxf>
      <font>
        <color theme="0"/>
      </font>
      <numFmt numFmtId="208" formatCode="&quot;&quot;"/>
      <fill>
        <patternFill patternType="lightGray">
          <fgColor theme="1"/>
        </patternFill>
      </fill>
    </dxf>
    <dxf>
      <fill>
        <patternFill>
          <bgColor rgb="FFFFFF00"/>
        </patternFill>
      </fill>
    </dxf>
    <dxf>
      <font>
        <color theme="0" tint="-0.34998626667073579"/>
      </font>
      <fill>
        <patternFill>
          <bgColor theme="0" tint="-0.14996795556505021"/>
        </patternFill>
      </fill>
    </dxf>
    <dxf>
      <fill>
        <patternFill>
          <bgColor rgb="FFFF6600"/>
        </patternFill>
      </fill>
    </dxf>
    <dxf>
      <font>
        <color theme="0" tint="-0.14996795556505021"/>
      </font>
      <fill>
        <patternFill>
          <bgColor theme="0" tint="-0.14996795556505021"/>
        </patternFill>
      </fill>
    </dxf>
    <dxf>
      <font>
        <color theme="0"/>
      </font>
      <numFmt numFmtId="208" formatCode="&quot;&quot;"/>
      <fill>
        <patternFill patternType="lightGray">
          <fgColor theme="1"/>
        </patternFill>
      </fill>
    </dxf>
    <dxf>
      <fill>
        <patternFill>
          <bgColor rgb="FFFFFF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0"/>
      </font>
      <fill>
        <patternFill>
          <bgColor rgb="FF00338D"/>
        </patternFill>
      </fill>
      <border>
        <right style="thin">
          <color rgb="FF00338D"/>
        </right>
        <top style="thin">
          <color rgb="FF00338D"/>
        </top>
        <bottom style="thin">
          <color rgb="FF00338D"/>
        </bottom>
      </border>
    </dxf>
    <dxf>
      <font>
        <color theme="0"/>
      </font>
      <fill>
        <patternFill>
          <bgColor rgb="FF00338D"/>
        </patternFill>
      </fill>
      <border>
        <right style="thin">
          <color rgb="FF00338D"/>
        </right>
        <top style="thin">
          <color rgb="FF00338D"/>
        </top>
        <bottom style="thin">
          <color rgb="FF00338D"/>
        </bottom>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ont>
        <color theme="0"/>
      </font>
      <fill>
        <patternFill>
          <bgColor rgb="FF00338D"/>
        </patternFill>
      </fill>
      <border>
        <right style="thin">
          <color rgb="FF00338D"/>
        </right>
        <top style="thin">
          <color rgb="FF00338D"/>
        </top>
        <bottom style="thin">
          <color rgb="FF00338D"/>
        </bottom>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0"/>
      </font>
      <fill>
        <patternFill>
          <bgColor rgb="FF00338D"/>
        </patternFill>
      </fill>
      <border>
        <right style="thin">
          <color rgb="FF00338D"/>
        </right>
        <top style="thin">
          <color rgb="FF00338D"/>
        </top>
        <bottom style="thin">
          <color rgb="FF00338D"/>
        </bottom>
      </border>
    </dxf>
    <dxf>
      <fill>
        <patternFill>
          <bgColor rgb="FFFF66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6600"/>
        </patternFill>
      </fill>
    </dxf>
    <dxf>
      <fill>
        <patternFill>
          <bgColor rgb="FFFFC000"/>
        </patternFill>
      </fill>
    </dxf>
    <dxf>
      <fill>
        <patternFill>
          <bgColor rgb="FFFF6600"/>
        </patternFill>
      </fill>
    </dxf>
    <dxf>
      <fill>
        <patternFill>
          <bgColor rgb="FFFFC000"/>
        </patternFill>
      </fill>
    </dxf>
    <dxf>
      <fill>
        <patternFill>
          <bgColor rgb="FFFF66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0000"/>
        </patternFill>
      </fill>
    </dxf>
    <dxf>
      <fill>
        <patternFill>
          <bgColor rgb="FFFF0000"/>
        </patternFill>
      </fill>
    </dxf>
    <dxf>
      <fill>
        <patternFill>
          <bgColor rgb="FFFF6600"/>
        </patternFill>
      </fill>
    </dxf>
    <dxf>
      <font>
        <color theme="0"/>
      </font>
    </dxf>
    <dxf>
      <fill>
        <patternFill>
          <bgColor rgb="FFFFF5B9"/>
        </patternFill>
      </fill>
    </dxf>
    <dxf>
      <fill>
        <patternFill>
          <bgColor rgb="FF99ADD1"/>
        </patternFill>
      </fill>
    </dxf>
    <dxf>
      <fill>
        <patternFill>
          <bgColor rgb="FF97BC33"/>
        </patternFill>
      </fill>
    </dxf>
    <dxf>
      <fill>
        <patternFill>
          <bgColor rgb="FF97BC33"/>
        </patternFill>
      </fill>
    </dxf>
    <dxf>
      <font>
        <color theme="1" tint="0.499984740745262"/>
      </font>
      <fill>
        <patternFill>
          <bgColor theme="0" tint="-0.14996795556505021"/>
        </patternFill>
      </fill>
    </dxf>
    <dxf>
      <fill>
        <patternFill>
          <bgColor rgb="FFFF6600"/>
        </patternFill>
      </fill>
    </dxf>
    <dxf>
      <fill>
        <patternFill>
          <bgColor rgb="FFFF000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font>
    </dxf>
    <dxf>
      <font>
        <color theme="1"/>
      </font>
      <fill>
        <gradientFill degree="90">
          <stop position="0">
            <color rgb="FF318499"/>
          </stop>
          <stop position="1">
            <color rgb="FF3EA7C0"/>
          </stop>
        </gradientFill>
      </fill>
    </dxf>
    <dxf>
      <font>
        <color theme="0"/>
      </font>
      <fill>
        <patternFill patternType="solid">
          <fgColor auto="1"/>
          <bgColor rgb="FFFF6600"/>
        </patternFill>
      </fill>
    </dxf>
    <dxf>
      <font>
        <color theme="0"/>
      </font>
      <fill>
        <patternFill>
          <bgColor theme="0"/>
        </patternFill>
      </fill>
      <border>
        <right style="thin">
          <color theme="0"/>
        </right>
        <bottom style="thin">
          <color theme="0"/>
        </bottom>
        <vertical/>
        <horizontal/>
      </border>
    </dxf>
    <dxf>
      <font>
        <color theme="0" tint="-4.9989318521683403E-2"/>
      </font>
      <fill>
        <patternFill>
          <bgColor theme="0" tint="-4.9989318521683403E-2"/>
        </patternFill>
      </fill>
    </dxf>
    <dxf>
      <fill>
        <patternFill>
          <bgColor rgb="FF92D050"/>
        </patternFill>
      </fill>
    </dxf>
    <dxf>
      <fill>
        <patternFill>
          <bgColor rgb="FFFF9966"/>
        </patternFill>
      </fill>
    </dxf>
    <dxf>
      <fill>
        <patternFill>
          <bgColor rgb="FFC00000"/>
        </patternFill>
      </fill>
    </dxf>
    <dxf>
      <font>
        <color theme="0"/>
      </font>
      <fill>
        <patternFill>
          <bgColor rgb="FFC0000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rgb="FFFFFF00"/>
        </patternFill>
      </fill>
      <border>
        <left style="thin">
          <color auto="1"/>
        </left>
        <right style="thin">
          <color auto="1"/>
        </right>
        <bottom style="thin">
          <color auto="1"/>
        </bottom>
        <vertical/>
        <horizontal/>
      </border>
    </dxf>
    <dxf>
      <font>
        <color theme="0"/>
      </font>
      <fill>
        <patternFill>
          <bgColor rgb="FFFF3300"/>
        </patternFill>
      </fill>
      <border>
        <left style="thin">
          <color auto="1"/>
        </left>
        <right style="thin">
          <color auto="1"/>
        </right>
        <bottom style="thin">
          <color auto="1"/>
        </bottom>
        <vertical/>
        <horizontal/>
      </border>
    </dxf>
    <dxf>
      <font>
        <color theme="1"/>
      </font>
      <fill>
        <patternFill>
          <bgColor rgb="FFFFFF00"/>
        </patternFill>
      </fill>
      <border>
        <left style="thin">
          <color auto="1"/>
        </left>
        <right style="thin">
          <color auto="1"/>
        </right>
        <top style="thin">
          <color auto="1"/>
        </top>
        <vertical/>
        <horizontal/>
      </border>
    </dxf>
    <dxf>
      <font>
        <color theme="0"/>
      </font>
      <fill>
        <patternFill>
          <bgColor rgb="FFFF3300"/>
        </patternFill>
      </fill>
      <border>
        <left style="thin">
          <color auto="1"/>
        </left>
        <right style="thin">
          <color auto="1"/>
        </right>
        <top style="thin">
          <color auto="1"/>
        </top>
        <vertical/>
        <horizontal/>
      </border>
    </dxf>
    <dxf>
      <fill>
        <patternFill>
          <bgColor rgb="FFFFFF00"/>
        </patternFill>
      </fill>
    </dxf>
    <dxf>
      <fill>
        <patternFill>
          <bgColor rgb="FFFF6600"/>
        </patternFill>
      </fill>
    </dxf>
    <dxf>
      <font>
        <color theme="1"/>
      </font>
      <fill>
        <patternFill>
          <bgColor theme="6" tint="0.39994506668294322"/>
        </patternFill>
      </fill>
    </dxf>
    <dxf>
      <fill>
        <patternFill patternType="solid">
          <fgColor auto="1"/>
          <bgColor rgb="FFFFFF00"/>
        </patternFill>
      </fill>
    </dxf>
    <dxf>
      <font>
        <color rgb="FFC00000"/>
      </font>
    </dxf>
    <dxf>
      <font>
        <color rgb="FFC00000"/>
      </font>
    </dxf>
    <dxf>
      <font>
        <color theme="0"/>
      </font>
      <fill>
        <patternFill>
          <bgColor theme="0"/>
        </patternFill>
      </fill>
    </dxf>
    <dxf>
      <font>
        <color theme="1"/>
      </font>
      <fill>
        <patternFill>
          <bgColor theme="0"/>
        </patternFill>
      </fill>
    </dxf>
    <dxf>
      <fill>
        <patternFill>
          <bgColor rgb="FFFF6600"/>
        </patternFill>
      </fill>
    </dxf>
    <dxf>
      <fill>
        <patternFill>
          <bgColor rgb="FFFF6600"/>
        </patternFill>
      </fill>
    </dxf>
    <dxf>
      <fill>
        <patternFill>
          <bgColor rgb="FFFF6600"/>
        </patternFill>
      </fill>
    </dxf>
    <dxf>
      <fill>
        <patternFill>
          <bgColor rgb="FFFF0000"/>
        </patternFill>
      </fill>
    </dxf>
    <dxf>
      <font>
        <color rgb="FFC00000"/>
      </font>
    </dxf>
    <dxf>
      <font>
        <color theme="6" tint="0.39994506668294322"/>
      </font>
    </dxf>
    <dxf>
      <font>
        <color rgb="FFC00000"/>
      </font>
    </dxf>
    <dxf>
      <font>
        <color theme="6" tint="0.39994506668294322"/>
      </font>
    </dxf>
    <dxf>
      <font>
        <color theme="0"/>
      </font>
      <fill>
        <gradientFill degree="90">
          <stop position="0">
            <color theme="8" tint="-0.49803155613879818"/>
          </stop>
          <stop position="1">
            <color theme="8" tint="-0.25098422193060094"/>
          </stop>
        </gradientFill>
      </fill>
    </dxf>
    <dxf>
      <font>
        <color rgb="FFFF0000"/>
      </font>
    </dxf>
    <dxf>
      <font>
        <color theme="1"/>
      </font>
      <fill>
        <patternFill>
          <bgColor rgb="FFFFFF00"/>
        </patternFill>
      </fill>
    </dxf>
    <dxf>
      <font>
        <color theme="1"/>
      </font>
      <fill>
        <patternFill>
          <bgColor rgb="FFFFF5B9"/>
        </patternFill>
      </fill>
    </dxf>
    <dxf>
      <fill>
        <patternFill>
          <bgColor rgb="FFFFFF00"/>
        </patternFill>
      </fill>
    </dxf>
    <dxf>
      <fill>
        <patternFill>
          <bgColor rgb="FFFFFF00"/>
        </patternFill>
      </fill>
    </dxf>
    <dxf>
      <font>
        <color theme="0"/>
      </font>
      <fill>
        <patternFill>
          <bgColor rgb="FFFF6600"/>
        </patternFill>
      </fill>
    </dxf>
    <dxf>
      <font>
        <color theme="1"/>
      </font>
      <fill>
        <patternFill>
          <bgColor theme="0"/>
        </patternFill>
      </fill>
    </dxf>
    <dxf>
      <font>
        <color theme="1"/>
      </font>
      <fill>
        <patternFill>
          <bgColor theme="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FFF5B9"/>
      </font>
    </dxf>
    <dxf>
      <font>
        <color theme="0" tint="-0.14996795556505021"/>
      </font>
      <fill>
        <patternFill>
          <bgColor theme="0" tint="-0.14996795556505021"/>
        </patternFill>
      </fill>
    </dxf>
    <dxf>
      <font>
        <color theme="0" tint="-0.14996795556505021"/>
      </font>
      <fill>
        <patternFill>
          <bgColor theme="0" tint="-0.14996795556505021"/>
        </patternFill>
      </fill>
    </dxf>
    <dxf>
      <font>
        <color theme="1"/>
      </font>
      <fill>
        <patternFill>
          <bgColor rgb="FFFF6600"/>
        </patternFill>
      </fill>
    </dxf>
    <dxf>
      <fill>
        <patternFill>
          <bgColor rgb="FFFF0000"/>
        </patternFill>
      </fill>
    </dxf>
    <dxf>
      <font>
        <color theme="0"/>
      </font>
      <fill>
        <patternFill>
          <bgColor theme="0"/>
        </patternFill>
      </fill>
    </dxf>
    <dxf>
      <font>
        <color theme="1"/>
      </font>
      <fill>
        <patternFill>
          <bgColor theme="0"/>
        </patternFill>
      </fill>
    </dxf>
    <dxf>
      <fill>
        <patternFill>
          <bgColor rgb="FFFF6600"/>
        </patternFill>
      </fill>
    </dxf>
    <dxf>
      <fill>
        <patternFill>
          <bgColor rgb="FFFF0000"/>
        </patternFill>
      </fill>
    </dxf>
    <dxf>
      <font>
        <color theme="0"/>
      </font>
      <fill>
        <patternFill>
          <bgColor theme="0"/>
        </patternFill>
      </fill>
    </dxf>
    <dxf>
      <font>
        <color theme="1"/>
      </font>
      <fill>
        <patternFill>
          <bgColor theme="0"/>
        </patternFill>
      </fill>
    </dxf>
    <dxf>
      <fill>
        <patternFill>
          <bgColor rgb="FFFF6600"/>
        </patternFill>
      </fill>
    </dxf>
    <dxf>
      <fill>
        <patternFill>
          <bgColor rgb="FFFF0000"/>
        </patternFill>
      </fill>
    </dxf>
    <dxf>
      <fill>
        <patternFill>
          <bgColor rgb="FFFF6600"/>
        </patternFill>
      </fill>
    </dxf>
    <dxf>
      <font>
        <color theme="0"/>
      </font>
    </dxf>
    <dxf>
      <fill>
        <patternFill>
          <bgColor rgb="FFFF0000"/>
        </patternFill>
      </fill>
    </dxf>
    <dxf>
      <font>
        <color theme="0" tint="-0.14996795556505021"/>
      </font>
      <fill>
        <patternFill>
          <bgColor theme="0" tint="-0.14996795556505021"/>
        </patternFill>
      </fill>
    </dxf>
    <dxf>
      <fill>
        <patternFill>
          <bgColor rgb="FFFF6600"/>
        </patternFill>
      </fill>
    </dxf>
    <dxf>
      <font>
        <color theme="0"/>
      </font>
    </dxf>
    <dxf>
      <fill>
        <patternFill>
          <bgColor rgb="FFFF0000"/>
        </patternFill>
      </fill>
    </dxf>
    <dxf>
      <font>
        <color theme="0"/>
      </font>
    </dxf>
    <dxf>
      <border>
        <left style="thin">
          <color theme="0" tint="-0.499984740745262"/>
        </left>
        <vertical/>
        <horizontal/>
      </border>
    </dxf>
    <dxf>
      <fill>
        <patternFill>
          <bgColor rgb="FFFF660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0"/>
      </font>
      <fill>
        <patternFill>
          <bgColor rgb="FFFF3300"/>
        </patternFill>
      </fill>
    </dxf>
    <dxf>
      <font>
        <color theme="0" tint="-0.14996795556505021"/>
      </font>
      <fill>
        <patternFill>
          <bgColor theme="0" tint="-0.14996795556505021"/>
        </patternFill>
      </fill>
    </dxf>
    <dxf>
      <fill>
        <patternFill>
          <bgColor rgb="FFFFFF00"/>
        </patternFill>
      </fill>
    </dxf>
    <dxf>
      <fill>
        <patternFill>
          <bgColor rgb="FFFF0000"/>
        </patternFill>
      </fill>
    </dxf>
    <dxf>
      <fill>
        <patternFill>
          <bgColor rgb="FFFF0000"/>
        </patternFill>
      </fill>
    </dxf>
    <dxf>
      <font>
        <color rgb="FFC00000"/>
      </font>
    </dxf>
    <dxf>
      <fill>
        <patternFill>
          <bgColor rgb="FFFF0000"/>
        </patternFill>
      </fill>
    </dxf>
    <dxf>
      <font>
        <color theme="1"/>
      </font>
      <fill>
        <patternFill>
          <bgColor rgb="FFFFFF00"/>
        </patternFill>
      </fill>
    </dxf>
    <dxf>
      <font>
        <color theme="1"/>
      </font>
      <fill>
        <patternFill>
          <bgColor rgb="FFFFFF00"/>
        </patternFill>
      </fill>
    </dxf>
    <dxf>
      <font>
        <color theme="1"/>
      </font>
      <fill>
        <patternFill>
          <bgColor rgb="FFFF6600"/>
        </patternFill>
      </fill>
    </dxf>
    <dxf>
      <font>
        <color theme="1"/>
      </font>
      <fill>
        <patternFill>
          <bgColor rgb="FFFFF5B9"/>
        </patternFill>
      </fill>
    </dxf>
    <dxf>
      <font>
        <color theme="1"/>
      </font>
      <fill>
        <patternFill>
          <bgColor rgb="FFFFF5B9"/>
        </patternFill>
      </fill>
    </dxf>
    <dxf>
      <font>
        <color theme="0" tint="-0.14996795556505021"/>
      </font>
      <fill>
        <patternFill>
          <bgColor theme="0" tint="-0.14996795556505021"/>
        </patternFill>
      </fill>
    </dxf>
    <dxf>
      <fill>
        <patternFill>
          <bgColor rgb="FFFF6600"/>
        </patternFill>
      </fill>
    </dxf>
    <dxf>
      <font>
        <color theme="0"/>
      </font>
    </dxf>
    <dxf>
      <fill>
        <patternFill>
          <bgColor rgb="FFFF0000"/>
        </patternFill>
      </fill>
    </dxf>
    <dxf>
      <font>
        <color theme="1"/>
      </font>
      <fill>
        <patternFill>
          <bgColor rgb="FFFFF5B9"/>
        </patternFill>
      </fill>
    </dxf>
    <dxf>
      <font>
        <color theme="1"/>
      </font>
      <fill>
        <patternFill>
          <bgColor rgb="FFFFF5B9"/>
        </patternFill>
      </fill>
    </dxf>
    <dxf>
      <font>
        <color theme="1"/>
      </font>
      <fill>
        <patternFill>
          <bgColor theme="6" tint="0.39994506668294322"/>
        </patternFill>
      </fill>
      <border>
        <left style="thin">
          <color theme="1"/>
        </left>
        <right style="thin">
          <color theme="1"/>
        </right>
        <top style="thin">
          <color theme="1"/>
        </top>
        <bottom style="thin">
          <color theme="1"/>
        </bottom>
        <vertical/>
        <horizontal/>
      </border>
    </dxf>
    <dxf>
      <fill>
        <patternFill>
          <bgColor rgb="FFFF0000"/>
        </patternFill>
      </fill>
    </dxf>
    <dxf>
      <font>
        <color theme="1"/>
      </font>
      <fill>
        <patternFill>
          <bgColor rgb="FFFFF5B9"/>
        </patternFill>
      </fill>
    </dxf>
    <dxf>
      <font>
        <color theme="1"/>
      </font>
      <fill>
        <patternFill>
          <bgColor rgb="FFFFF5B9"/>
        </patternFill>
      </fill>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theme="0"/>
      </font>
    </dxf>
    <dxf>
      <fill>
        <patternFill>
          <bgColor rgb="FFFF0000"/>
        </patternFill>
      </fill>
    </dxf>
    <dxf>
      <font>
        <color theme="0"/>
      </font>
    </dxf>
    <dxf>
      <fill>
        <patternFill>
          <bgColor rgb="FFFF0000"/>
        </patternFill>
      </fill>
    </dxf>
    <dxf>
      <font>
        <color theme="0"/>
      </font>
    </dxf>
    <dxf>
      <fill>
        <patternFill>
          <bgColor rgb="FFFF0000"/>
        </patternFill>
      </fill>
    </dxf>
    <dxf>
      <font>
        <color theme="0"/>
      </font>
    </dxf>
    <dxf>
      <fill>
        <patternFill>
          <bgColor rgb="FFFF0000"/>
        </patternFill>
      </fill>
    </dxf>
    <dxf>
      <font>
        <color theme="0"/>
      </font>
    </dxf>
    <dxf>
      <fill>
        <patternFill>
          <bgColor rgb="FFFF0000"/>
        </patternFill>
      </fill>
    </dxf>
    <dxf>
      <font>
        <color rgb="FFC00000"/>
      </font>
    </dxf>
    <dxf>
      <font>
        <color theme="6" tint="0.39994506668294322"/>
      </font>
    </dxf>
    <dxf>
      <font>
        <color theme="0"/>
      </font>
    </dxf>
    <dxf>
      <fill>
        <patternFill>
          <bgColor rgb="FFFF0000"/>
        </patternFill>
      </fill>
    </dxf>
    <dxf>
      <font>
        <color theme="0"/>
      </font>
    </dxf>
    <dxf>
      <font>
        <color theme="0" tint="-0.14996795556505021"/>
      </font>
      <fill>
        <patternFill>
          <bgColor theme="0" tint="-0.14996795556505021"/>
        </patternFill>
      </fill>
    </dxf>
    <dxf>
      <fill>
        <patternFill>
          <bgColor rgb="FFFF0000"/>
        </patternFill>
      </fill>
    </dxf>
    <dxf>
      <font>
        <color theme="6" tint="0.39994506668294322"/>
      </font>
    </dxf>
    <dxf>
      <font>
        <color theme="0" tint="-0.14996795556505021"/>
      </font>
      <fill>
        <patternFill>
          <bgColor theme="0" tint="-0.14996795556505021"/>
        </patternFill>
      </fill>
    </dxf>
    <dxf>
      <fill>
        <patternFill>
          <bgColor rgb="FFFF0000"/>
        </patternFill>
      </fill>
    </dxf>
    <dxf>
      <font>
        <color theme="0"/>
      </font>
    </dxf>
    <dxf>
      <font>
        <color theme="0" tint="-0.14996795556505021"/>
      </font>
      <fill>
        <patternFill>
          <bgColor theme="0" tint="-0.14996795556505021"/>
        </patternFill>
      </fill>
    </dxf>
    <dxf>
      <fill>
        <patternFill>
          <bgColor rgb="FFFF0000"/>
        </patternFill>
      </fill>
    </dxf>
    <dxf>
      <font>
        <color theme="0"/>
      </font>
    </dxf>
    <dxf>
      <fill>
        <patternFill>
          <bgColor rgb="FFFF0000"/>
        </patternFill>
      </fill>
    </dxf>
    <dxf>
      <font>
        <color theme="0"/>
      </font>
      <fill>
        <patternFill>
          <bgColor theme="0"/>
        </patternFill>
      </fill>
    </dxf>
    <dxf>
      <font>
        <color theme="1"/>
      </font>
      <fill>
        <patternFill>
          <bgColor theme="0"/>
        </patternFill>
      </fill>
    </dxf>
    <dxf>
      <fill>
        <patternFill>
          <bgColor rgb="FFFF0000"/>
        </patternFill>
      </fill>
    </dxf>
    <dxf>
      <font>
        <color theme="0"/>
      </font>
    </dxf>
    <dxf>
      <fill>
        <patternFill>
          <bgColor rgb="FFFF0000"/>
        </patternFill>
      </fill>
    </dxf>
    <dxf>
      <font>
        <color theme="0" tint="-0.14996795556505021"/>
      </font>
      <fill>
        <patternFill>
          <bgColor theme="0" tint="-0.14996795556505021"/>
        </patternFill>
      </fill>
    </dxf>
    <dxf>
      <fill>
        <patternFill>
          <bgColor theme="7" tint="0.39994506668294322"/>
        </patternFill>
      </fill>
    </dxf>
    <dxf>
      <fill>
        <patternFill>
          <bgColor theme="7" tint="0.39994506668294322"/>
        </patternFill>
      </fill>
    </dxf>
    <dxf>
      <fill>
        <patternFill>
          <bgColor theme="7" tint="0.39994506668294322"/>
        </patternFill>
      </fill>
    </dxf>
    <dxf>
      <font>
        <color theme="1"/>
      </font>
      <fill>
        <patternFill>
          <bgColor rgb="FFFFF5B9"/>
        </patternFill>
      </fill>
    </dxf>
    <dxf>
      <font>
        <color theme="1"/>
      </font>
      <fill>
        <patternFill>
          <bgColor rgb="FFFFF5B9"/>
        </patternFill>
      </fill>
    </dxf>
    <dxf>
      <font>
        <color theme="1"/>
      </font>
      <fill>
        <patternFill>
          <bgColor rgb="FFFFF5B9"/>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font>
    </dxf>
    <dxf>
      <fill>
        <patternFill>
          <bgColor rgb="FFFF0000"/>
        </patternFill>
      </fill>
    </dxf>
    <dxf>
      <font>
        <color theme="1"/>
      </font>
      <fill>
        <patternFill>
          <bgColor theme="6" tint="0.39994506668294322"/>
        </patternFill>
      </fill>
      <border>
        <left style="thin">
          <color theme="1"/>
        </left>
        <right style="thin">
          <color theme="1"/>
        </right>
        <top style="thin">
          <color theme="1"/>
        </top>
        <bottom style="thin">
          <color theme="1"/>
        </bottom>
        <vertical/>
        <horizontal/>
      </border>
    </dxf>
    <dxf>
      <font>
        <color theme="1"/>
      </font>
      <fill>
        <patternFill>
          <bgColor theme="0"/>
        </patternFill>
      </fill>
      <border>
        <left style="thin">
          <color auto="1"/>
        </left>
        <right style="thin">
          <color auto="1"/>
        </right>
        <top style="thin">
          <color auto="1"/>
        </top>
        <bottom style="thin">
          <color auto="1"/>
        </bottom>
        <vertical/>
        <horizontal/>
      </border>
    </dxf>
    <dxf>
      <fill>
        <patternFill>
          <bgColor rgb="FFFF0000"/>
        </patternFill>
      </fill>
    </dxf>
    <dxf>
      <font>
        <color theme="1"/>
      </font>
      <fill>
        <patternFill>
          <bgColor theme="0"/>
        </patternFill>
      </fill>
    </dxf>
    <dxf>
      <font>
        <color theme="9" tint="-0.499984740745262"/>
      </font>
      <fill>
        <patternFill>
          <bgColor theme="0"/>
        </patternFill>
      </fill>
      <border>
        <left style="thin">
          <color auto="1"/>
        </left>
        <right style="thin">
          <color auto="1"/>
        </right>
        <top style="thin">
          <color auto="1"/>
        </top>
        <bottom style="thin">
          <color auto="1"/>
        </bottom>
        <vertical/>
        <horizontal/>
      </border>
    </dxf>
    <dxf>
      <font>
        <color theme="1"/>
      </font>
      <fill>
        <patternFill>
          <bgColor rgb="FFFFF5B9"/>
        </patternFill>
      </fill>
    </dxf>
    <dxf>
      <font>
        <color theme="1"/>
      </font>
      <fill>
        <patternFill>
          <bgColor theme="7" tint="0.39994506668294322"/>
        </patternFill>
      </fill>
    </dxf>
    <dxf>
      <font>
        <color theme="1"/>
      </font>
      <fill>
        <patternFill>
          <bgColor theme="0"/>
        </patternFill>
      </fill>
    </dxf>
    <dxf>
      <font>
        <color theme="9" tint="-0.499984740745262"/>
      </font>
      <fill>
        <patternFill>
          <bgColor theme="0"/>
        </patternFill>
      </fill>
      <border>
        <left style="thin">
          <color auto="1"/>
        </left>
        <right style="thin">
          <color auto="1"/>
        </right>
        <top style="thin">
          <color auto="1"/>
        </top>
        <bottom style="thin">
          <color auto="1"/>
        </bottom>
        <vertical/>
        <horizontal/>
      </border>
    </dxf>
    <dxf>
      <font>
        <color theme="1"/>
      </font>
      <fill>
        <patternFill>
          <bgColor rgb="FFFFF5B9"/>
        </patternFill>
      </fill>
    </dxf>
    <dxf>
      <font>
        <color theme="1"/>
      </font>
      <fill>
        <patternFill>
          <bgColor theme="7" tint="0.3999450666829432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theme="1"/>
      </font>
      <fill>
        <patternFill>
          <bgColor theme="0"/>
        </patternFill>
      </fill>
    </dxf>
    <dxf>
      <font>
        <color theme="0" tint="-0.499984740745262"/>
      </font>
      <fill>
        <patternFill>
          <bgColor theme="0" tint="-0.14996795556505021"/>
        </patternFill>
      </fill>
    </dxf>
    <dxf>
      <font>
        <color theme="0"/>
      </font>
    </dxf>
    <dxf>
      <fill>
        <patternFill>
          <bgColor rgb="FFFF0000"/>
        </patternFill>
      </fill>
    </dxf>
    <dxf>
      <font>
        <color theme="0"/>
      </font>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font>
    </dxf>
    <dxf>
      <font>
        <color theme="0" tint="-0.14996795556505021"/>
      </font>
      <fill>
        <patternFill>
          <bgColor theme="0" tint="-0.14996795556505021"/>
        </patternFill>
      </fill>
    </dxf>
    <dxf>
      <fill>
        <patternFill>
          <bgColor rgb="FFFF0000"/>
        </patternFill>
      </fill>
    </dxf>
    <dxf>
      <font>
        <color theme="1"/>
      </font>
      <fill>
        <patternFill>
          <bgColor rgb="FFFFF5B9"/>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1"/>
      </font>
      <fill>
        <patternFill patternType="solid">
          <fgColor auto="1"/>
          <bgColor theme="7" tint="0.39994506668294322"/>
        </patternFill>
      </fill>
    </dxf>
    <dxf>
      <font>
        <color theme="0" tint="-0.14996795556505021"/>
      </font>
      <fill>
        <patternFill>
          <bgColor theme="0" tint="-0.14996795556505021"/>
        </patternFill>
      </fill>
    </dxf>
    <dxf>
      <font>
        <color theme="1" tint="0.34998626667073579"/>
      </font>
      <fill>
        <patternFill>
          <bgColor theme="0" tint="-0.24994659260841701"/>
        </patternFill>
      </fill>
    </dxf>
    <dxf>
      <font>
        <color rgb="FFC00000"/>
      </font>
    </dxf>
    <dxf>
      <font>
        <color theme="1"/>
      </font>
      <fill>
        <patternFill>
          <bgColor theme="7" tint="0.39994506668294322"/>
        </patternFill>
      </fill>
    </dxf>
    <dxf>
      <fill>
        <patternFill>
          <bgColor rgb="FFC00000"/>
        </patternFill>
      </fill>
      <border>
        <left style="thin">
          <color auto="1"/>
        </left>
        <right style="thin">
          <color auto="1"/>
        </right>
        <top style="thin">
          <color auto="1"/>
        </top>
        <bottom style="thin">
          <color auto="1"/>
        </bottom>
        <vertical/>
        <horizontal/>
      </border>
    </dxf>
    <dxf>
      <font>
        <color rgb="FFE1E1E1"/>
      </font>
      <fill>
        <patternFill>
          <bgColor rgb="FFE1E1E1"/>
        </patternFill>
      </fill>
      <border>
        <left/>
        <right/>
        <top/>
        <bottom/>
      </border>
    </dxf>
    <dxf>
      <fill>
        <patternFill>
          <bgColor rgb="FFFF0000"/>
        </patternFill>
      </fill>
    </dxf>
    <dxf>
      <fill>
        <patternFill>
          <bgColor rgb="FF00FF00"/>
        </patternFill>
      </fill>
      <border>
        <left style="thin">
          <color theme="1"/>
        </left>
        <right style="thin">
          <color theme="1"/>
        </right>
        <top style="thin">
          <color theme="1"/>
        </top>
        <bottom style="thin">
          <color theme="1"/>
        </bottom>
      </border>
    </dxf>
    <dxf>
      <font>
        <color theme="1"/>
      </font>
      <fill>
        <patternFill>
          <bgColor rgb="FFFF6600"/>
        </patternFill>
      </fill>
      <border>
        <left style="thin">
          <color auto="1"/>
        </left>
        <right style="thin">
          <color auto="1"/>
        </right>
        <top style="thin">
          <color auto="1"/>
        </top>
        <bottom style="thin">
          <color auto="1"/>
        </bottom>
        <vertical/>
        <horizontal/>
      </border>
    </dxf>
    <dxf>
      <fill>
        <patternFill>
          <bgColor rgb="FFFFFF00"/>
        </patternFill>
      </fill>
    </dxf>
    <dxf>
      <font>
        <color theme="0"/>
      </font>
      <fill>
        <patternFill>
          <bgColor theme="0"/>
        </patternFill>
      </fill>
      <border>
        <left style="thin">
          <color theme="0"/>
        </left>
        <right style="thin">
          <color theme="0"/>
        </right>
        <top style="thin">
          <color theme="0"/>
        </top>
        <bottom style="thin">
          <color theme="0"/>
        </bottom>
        <vertical/>
        <horizontal/>
      </border>
    </dxf>
    <dxf>
      <border>
        <left style="thin">
          <color theme="1"/>
        </left>
        <right style="thin">
          <color theme="1"/>
        </right>
        <top style="thin">
          <color theme="1"/>
        </top>
        <bottom style="thin">
          <color theme="1"/>
        </bottom>
        <vertical/>
        <horizontal/>
      </border>
    </dxf>
    <dxf>
      <font>
        <color theme="1"/>
      </font>
    </dxf>
    <dxf>
      <fill>
        <patternFill patternType="none">
          <bgColor auto="1"/>
        </patternFill>
      </fill>
      <border>
        <left style="thin">
          <color theme="1"/>
        </left>
        <right style="thin">
          <color theme="1"/>
        </right>
        <top style="thin">
          <color theme="1"/>
        </top>
        <bottom style="thin">
          <color theme="1"/>
        </bottom>
      </border>
    </dxf>
    <dxf>
      <font>
        <color theme="1"/>
      </font>
    </dxf>
    <dxf>
      <fill>
        <patternFill>
          <bgColor theme="0"/>
        </patternFill>
      </fill>
    </dxf>
    <dxf>
      <fill>
        <patternFill>
          <bgColor rgb="FFE1E1E1"/>
        </patternFill>
      </fill>
      <border>
        <left style="thin">
          <color rgb="FFE1E1E1"/>
        </left>
        <right style="thin">
          <color rgb="FFE1E1E1"/>
        </right>
        <top style="thin">
          <color rgb="FFE1E1E1"/>
        </top>
        <bottom style="thin">
          <color rgb="FFE1E1E1"/>
        </bottom>
        <vertical/>
        <horizontal/>
      </border>
    </dxf>
    <dxf>
      <font>
        <color theme="1" tint="0.499984740745262"/>
      </font>
    </dxf>
    <dxf>
      <font>
        <color theme="1"/>
      </font>
      <fill>
        <patternFill>
          <bgColor rgb="FFFFFF00"/>
        </patternFill>
      </fill>
      <border>
        <left style="thin">
          <color auto="1"/>
        </left>
        <right style="thin">
          <color auto="1"/>
        </right>
        <top style="thin">
          <color auto="1"/>
        </top>
        <bottom style="thin">
          <color auto="1"/>
        </bottom>
      </border>
    </dxf>
    <dxf>
      <font>
        <color theme="1"/>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theme="1"/>
        </left>
        <right style="thin">
          <color theme="1"/>
        </right>
        <top style="thin">
          <color theme="1"/>
        </top>
        <bottom style="thin">
          <color theme="1"/>
        </bottom>
        <vertical/>
        <horizontal/>
      </border>
    </dxf>
    <dxf>
      <font>
        <color theme="0"/>
      </font>
      <fill>
        <patternFill>
          <bgColor theme="0"/>
        </patternFill>
      </fill>
      <border>
        <left style="thin">
          <color theme="0"/>
        </left>
        <right style="thin">
          <color theme="0"/>
        </right>
        <top style="thin">
          <color theme="0"/>
        </top>
        <bottom style="thin">
          <color theme="0"/>
        </bottom>
      </border>
    </dxf>
    <dxf>
      <font>
        <color theme="0"/>
      </font>
      <fill>
        <patternFill>
          <bgColor theme="0"/>
        </patternFill>
      </fill>
      <border>
        <left style="thin">
          <color theme="0"/>
        </left>
        <right style="thin">
          <color theme="0"/>
        </right>
        <top style="thin">
          <color theme="0"/>
        </top>
        <bottom style="thin">
          <color theme="0"/>
        </bottom>
        <vertical/>
        <horizontal/>
      </border>
    </dxf>
    <dxf>
      <fill>
        <patternFill>
          <bgColor rgb="FFFF9966"/>
        </patternFill>
      </fill>
    </dxf>
    <dxf>
      <fill>
        <patternFill>
          <bgColor rgb="FF92D050"/>
        </patternFill>
      </fill>
    </dxf>
    <dxf>
      <font>
        <color theme="1"/>
      </font>
      <fill>
        <patternFill>
          <bgColor rgb="FFFFF5B9"/>
        </patternFill>
      </fill>
      <border>
        <left style="thin">
          <color theme="1"/>
        </left>
        <right style="thin">
          <color theme="1"/>
        </right>
        <top style="thin">
          <color theme="1"/>
        </top>
        <bottom style="thin">
          <color theme="1"/>
        </bottom>
        <vertical/>
        <horizontal/>
      </border>
    </dxf>
    <dxf>
      <font>
        <b/>
        <i val="0"/>
      </font>
    </dxf>
    <dxf>
      <font>
        <color theme="1"/>
      </font>
      <fill>
        <patternFill>
          <bgColor rgb="FFFFFF00"/>
        </patternFill>
      </fill>
    </dxf>
    <dxf>
      <font>
        <color theme="0"/>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66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FF00"/>
        </patternFill>
      </fill>
      <border>
        <left style="thin">
          <color auto="1"/>
        </left>
        <right style="thin">
          <color auto="1"/>
        </right>
        <top style="thin">
          <color auto="1"/>
        </top>
        <bottom style="thin">
          <color auto="1"/>
        </bottom>
        <vertical/>
        <horizontal/>
      </border>
    </dxf>
    <dxf>
      <fill>
        <patternFill>
          <bgColor rgb="FFFFF5B9"/>
        </patternFill>
      </fill>
      <border>
        <left style="thin">
          <color auto="1"/>
        </left>
        <right style="thin">
          <color auto="1"/>
        </right>
        <top style="thin">
          <color auto="1"/>
        </top>
        <bottom style="thin">
          <color auto="1"/>
        </bottom>
      </border>
    </dxf>
    <dxf>
      <fill>
        <patternFill>
          <bgColor rgb="FFFF0000"/>
        </patternFill>
      </fill>
    </dxf>
    <dxf>
      <font>
        <color rgb="FFE1E1E1"/>
      </font>
      <fill>
        <patternFill>
          <bgColor rgb="FFE1E1E1"/>
        </patternFill>
      </fill>
      <border>
        <left/>
        <right/>
        <top/>
        <bottom/>
        <vertical/>
        <horizontal/>
      </border>
    </dxf>
    <dxf>
      <font>
        <color theme="0" tint="-0.34998626667073579"/>
      </font>
    </dxf>
    <dxf>
      <font>
        <color theme="0" tint="-0.24994659260841701"/>
      </font>
    </dxf>
    <dxf>
      <font>
        <color theme="0" tint="-4.9989318521683403E-2"/>
      </font>
      <fill>
        <patternFill>
          <bgColor theme="0" tint="-4.9989318521683403E-2"/>
        </patternFill>
      </fill>
      <border>
        <left style="thin">
          <color theme="0" tint="-0.24994659260841701"/>
        </left>
        <right style="thin">
          <color theme="0" tint="-0.24994659260841701"/>
        </right>
        <top style="thin">
          <color theme="0" tint="-0.24994659260841701"/>
        </top>
        <bottom style="thin">
          <color theme="0" tint="-0.24994659260841701"/>
        </bottom>
      </border>
    </dxf>
    <dxf>
      <fill>
        <patternFill>
          <bgColor rgb="FFFF0000"/>
        </patternFill>
      </fill>
    </dxf>
    <dxf>
      <fill>
        <patternFill>
          <bgColor rgb="FFFF0000"/>
        </patternFill>
      </fill>
    </dxf>
    <dxf>
      <fill>
        <patternFill>
          <bgColor rgb="FFFF0000"/>
        </patternFill>
      </fill>
    </dxf>
    <dxf>
      <font>
        <color theme="9" tint="-0.499984740745262"/>
      </font>
      <fill>
        <patternFill>
          <bgColor theme="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bgColor rgb="FFFF0000"/>
        </patternFill>
      </fill>
    </dxf>
    <dxf>
      <fill>
        <patternFill>
          <bgColor rgb="FFFF0000"/>
        </patternFill>
      </fill>
    </dxf>
    <dxf>
      <font>
        <color theme="0"/>
      </font>
    </dxf>
    <dxf>
      <fill>
        <patternFill>
          <bgColor rgb="FFFF0000"/>
        </patternFill>
      </fill>
    </dxf>
    <dxf>
      <fill>
        <patternFill>
          <bgColor rgb="FFFF0000"/>
        </patternFill>
      </fill>
    </dxf>
    <dxf>
      <font>
        <color theme="0"/>
      </font>
    </dxf>
    <dxf>
      <font>
        <color theme="0"/>
      </font>
    </dxf>
    <dxf>
      <font>
        <color theme="0"/>
      </font>
    </dxf>
    <dxf>
      <font>
        <color theme="0"/>
      </font>
    </dxf>
    <dxf>
      <font>
        <color theme="0"/>
      </font>
    </dxf>
    <dxf>
      <fill>
        <patternFill>
          <bgColor rgb="FFFF0000"/>
        </patternFill>
      </fill>
    </dxf>
    <dxf>
      <font>
        <color theme="0"/>
      </font>
    </dxf>
    <dxf>
      <fill>
        <patternFill>
          <bgColor rgb="FFFF0000"/>
        </patternFill>
      </fill>
    </dxf>
    <dxf>
      <fill>
        <patternFill>
          <bgColor rgb="FFFF0000"/>
        </patternFill>
      </fill>
    </dxf>
    <dxf>
      <fill>
        <patternFill>
          <bgColor rgb="FFFF0000"/>
        </patternFill>
      </fill>
    </dxf>
    <dxf>
      <font>
        <color theme="0"/>
      </font>
    </dxf>
    <dxf>
      <fill>
        <patternFill>
          <bgColor rgb="FFFF0000"/>
        </patternFill>
      </fill>
    </dxf>
    <dxf>
      <font>
        <color theme="1"/>
      </font>
      <fill>
        <patternFill>
          <bgColor rgb="FFFFF5B9"/>
        </patternFill>
      </fill>
      <border>
        <left style="thin">
          <color theme="1"/>
        </left>
        <right style="thin">
          <color theme="1"/>
        </right>
        <top style="thin">
          <color theme="1"/>
        </top>
        <bottom style="thin">
          <color theme="1"/>
        </bottom>
        <vertical/>
        <horizontal/>
      </border>
    </dxf>
    <dxf>
      <font>
        <color theme="0"/>
      </font>
    </dxf>
    <dxf>
      <fill>
        <patternFill>
          <bgColor rgb="FFFF0000"/>
        </patternFill>
      </fill>
    </dxf>
    <dxf>
      <font>
        <color theme="1"/>
      </font>
      <fill>
        <patternFill>
          <bgColor theme="0"/>
        </patternFill>
      </fill>
    </dxf>
    <dxf>
      <fill>
        <patternFill>
          <bgColor rgb="FFFFF5B9"/>
        </patternFill>
      </fill>
    </dxf>
    <dxf>
      <font>
        <color rgb="FFC00000"/>
      </font>
    </dxf>
    <dxf>
      <font>
        <color theme="0" tint="-0.14996795556505021"/>
      </font>
      <fill>
        <patternFill>
          <bgColor theme="0" tint="-0.14996795556505021"/>
        </patternFill>
      </fill>
    </dxf>
    <dxf>
      <border>
        <right style="dashed">
          <color theme="9" tint="-0.499984740745262"/>
        </right>
        <vertical/>
        <horizontal/>
      </border>
    </dxf>
    <dxf>
      <border>
        <right style="thin">
          <color theme="9" tint="-0.499984740745262"/>
        </right>
        <vertical/>
        <horizontal/>
      </border>
    </dxf>
    <dxf>
      <border>
        <right style="thin">
          <color auto="1"/>
        </right>
        <vertical/>
        <horizontal/>
      </border>
    </dxf>
    <dxf>
      <font>
        <color theme="1"/>
      </font>
      <fill>
        <patternFill>
          <bgColor rgb="FFFF6600"/>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dxf>
    <dxf>
      <font>
        <color theme="0" tint="-0.24994659260841701"/>
      </font>
    </dxf>
    <dxf>
      <numFmt numFmtId="202" formatCode="&quot;----&quot;"/>
    </dxf>
    <dxf>
      <font>
        <color theme="7" tint="0.59996337778862885"/>
      </font>
    </dxf>
    <dxf>
      <fill>
        <patternFill>
          <bgColor rgb="FFFF0000"/>
        </patternFill>
      </fill>
    </dxf>
    <dxf>
      <fill>
        <patternFill>
          <bgColor rgb="FFFF0000"/>
        </patternFill>
      </fill>
    </dxf>
    <dxf>
      <font>
        <color theme="0" tint="-0.24994659260841701"/>
      </font>
    </dxf>
    <dxf>
      <font>
        <color theme="0" tint="-0.24994659260841701"/>
      </font>
    </dxf>
    <dxf>
      <fill>
        <patternFill>
          <bgColor rgb="FFFFF5B9"/>
        </patternFill>
      </fill>
    </dxf>
    <dxf>
      <font>
        <color theme="1"/>
      </font>
      <fill>
        <patternFill>
          <bgColor rgb="FFFFEB71"/>
        </patternFill>
      </fill>
    </dxf>
    <dxf>
      <font>
        <color theme="1"/>
      </font>
      <fill>
        <patternFill>
          <bgColor rgb="FFFFCC66"/>
        </patternFill>
      </fill>
      <border>
        <left style="thin">
          <color theme="1"/>
        </left>
        <right style="thin">
          <color theme="1"/>
        </right>
        <top style="thin">
          <color theme="1"/>
        </top>
        <bottom style="thin">
          <color theme="1"/>
        </bottom>
      </border>
    </dxf>
    <dxf>
      <font>
        <color theme="1"/>
      </font>
      <fill>
        <patternFill>
          <bgColor rgb="FF99B953"/>
        </patternFill>
      </fill>
      <border>
        <left style="thin">
          <color theme="1"/>
        </left>
        <right style="thin">
          <color theme="1"/>
        </right>
        <top style="thin">
          <color theme="1"/>
        </top>
        <bottom style="thin">
          <color theme="1"/>
        </bottom>
      </border>
    </dxf>
    <dxf>
      <font>
        <color theme="0" tint="-0.34998626667073579"/>
      </font>
      <fill>
        <patternFill>
          <bgColor theme="0" tint="-0.14996795556505021"/>
        </patternFill>
      </fill>
    </dxf>
    <dxf>
      <font>
        <color theme="0" tint="-0.499984740745262"/>
      </font>
    </dxf>
    <dxf>
      <font>
        <color theme="9" tint="-0.499984740745262"/>
      </font>
    </dxf>
    <dxf>
      <font>
        <color theme="0" tint="-0.499984740745262"/>
      </font>
    </dxf>
    <dxf>
      <font>
        <color theme="0"/>
      </font>
      <fill>
        <patternFill>
          <bgColor rgb="FF00338D"/>
        </patternFill>
      </fill>
    </dxf>
    <dxf>
      <font>
        <color theme="0"/>
      </font>
      <fill>
        <patternFill>
          <bgColor theme="1"/>
        </patternFill>
      </fill>
    </dxf>
    <dxf>
      <fill>
        <gradientFill degree="90">
          <stop position="0">
            <color rgb="FF97B854"/>
          </stop>
          <stop position="1">
            <color rgb="FF556A2C"/>
          </stop>
        </gradientFill>
      </fill>
      <border>
        <left style="thin">
          <color auto="1"/>
        </left>
        <right style="thin">
          <color auto="1"/>
        </right>
        <top style="thin">
          <color auto="1"/>
        </top>
        <bottom style="thin">
          <color auto="1"/>
        </bottom>
        <vertical/>
        <horizontal/>
      </border>
    </dxf>
    <dxf>
      <fill>
        <patternFill>
          <bgColor rgb="FFFF832F"/>
        </patternFill>
      </fill>
    </dxf>
    <dxf>
      <fill>
        <gradientFill degree="90">
          <stop position="0">
            <color rgb="FF8AB2E2"/>
          </stop>
          <stop position="1">
            <color rgb="FF2A62A6"/>
          </stop>
        </gradientFill>
      </fill>
      <border>
        <left style="thin">
          <color auto="1"/>
        </left>
        <right style="thin">
          <color auto="1"/>
        </right>
        <top style="thin">
          <color auto="1"/>
        </top>
        <bottom style="thin">
          <color auto="1"/>
        </bottom>
        <vertical/>
        <horizontal/>
      </border>
    </dxf>
    <dxf>
      <fill>
        <gradientFill degree="90">
          <stop position="0">
            <color rgb="FFFFC9C9"/>
          </stop>
          <stop position="1">
            <color rgb="FFFF9F9F"/>
          </stop>
        </gradientFill>
      </fill>
      <border>
        <left style="thin">
          <color auto="1"/>
        </left>
        <right style="thin">
          <color auto="1"/>
        </right>
        <top style="thin">
          <color auto="1"/>
        </top>
        <bottom style="thin">
          <color auto="1"/>
        </bottom>
      </border>
    </dxf>
    <dxf>
      <font>
        <color theme="0" tint="-4.9989318521683403E-2"/>
      </font>
      <fill>
        <patternFill>
          <bgColor rgb="FFF5F5F5"/>
        </patternFill>
      </fill>
      <border>
        <vertical/>
        <horizontal/>
      </border>
    </dxf>
    <dxf>
      <font>
        <color theme="0" tint="-0.34998626667073579"/>
      </font>
      <fill>
        <patternFill>
          <bgColor theme="0" tint="-0.1499679555650502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border>
        <right style="thin">
          <color theme="1"/>
        </right>
        <vertical/>
        <horizontal/>
      </border>
    </dxf>
    <dxf>
      <border>
        <right style="thin">
          <color rgb="FFAA2800"/>
        </right>
        <vertical/>
        <horizontal/>
      </border>
    </dxf>
    <dxf>
      <border>
        <right style="dotted">
          <color theme="9" tint="-0.499984740745262"/>
        </right>
      </border>
    </dxf>
    <dxf>
      <fill>
        <gradientFill degree="90">
          <stop position="0">
            <color theme="0" tint="-0.25098422193060094"/>
          </stop>
          <stop position="1">
            <color theme="0" tint="-0.1490218817712943"/>
          </stop>
        </gradientFill>
      </fill>
      <border>
        <left style="thin">
          <color rgb="FFCCCCCC"/>
        </left>
        <right style="thin">
          <color rgb="FFCCCCCC"/>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ill>
        <patternFill>
          <bgColor rgb="FFD7E4BC"/>
        </patternFill>
      </fill>
    </dxf>
    <dxf>
      <fill>
        <patternFill>
          <bgColor theme="5" tint="0.79998168889431442"/>
        </patternFill>
      </fill>
    </dxf>
    <dxf>
      <fill>
        <patternFill>
          <bgColor rgb="FFFBCBA3"/>
        </patternFill>
      </fill>
    </dxf>
    <dxf>
      <fill>
        <patternFill>
          <bgColor rgb="FFDBE5F1"/>
        </patternFill>
      </fill>
    </dxf>
    <dxf>
      <fill>
        <gradientFill degree="45">
          <stop position="0">
            <color theme="6" tint="0.59999389629810485"/>
          </stop>
          <stop position="1">
            <color theme="6" tint="-0.25098422193060094"/>
          </stop>
        </gradientFill>
      </fill>
      <border>
        <left style="thin">
          <color auto="1"/>
        </left>
        <right style="thin">
          <color auto="1"/>
        </right>
        <top style="thin">
          <color auto="1"/>
        </top>
        <bottom style="thin">
          <color auto="1"/>
        </bottom>
      </border>
    </dxf>
    <dxf>
      <fill>
        <gradientFill degree="90">
          <stop position="0">
            <color rgb="FFFFC9C9"/>
          </stop>
          <stop position="1">
            <color rgb="FFFF9F9F"/>
          </stop>
        </gradientFill>
      </fill>
      <border>
        <left style="thin">
          <color theme="1"/>
        </left>
        <right style="thin">
          <color theme="1"/>
        </right>
        <top style="thin">
          <color theme="1"/>
        </top>
        <bottom style="thin">
          <color theme="1"/>
        </bottom>
        <vertical/>
        <horizontal/>
      </border>
    </dxf>
    <dxf>
      <fill>
        <gradientFill degree="45">
          <stop position="0">
            <color rgb="FFA5C4E9"/>
          </stop>
          <stop position="1">
            <color rgb="FF2A62A6"/>
          </stop>
        </gradientFill>
      </fill>
      <border>
        <left style="thin">
          <color auto="1"/>
        </left>
        <right style="thin">
          <color auto="1"/>
        </right>
        <top style="thin">
          <color auto="1"/>
        </top>
        <bottom style="thin">
          <color auto="1"/>
        </bottom>
      </border>
    </dxf>
    <dxf>
      <font>
        <b/>
        <i val="0"/>
        <color theme="0"/>
      </font>
      <fill>
        <gradientFill degree="45">
          <stop position="0">
            <color theme="1" tint="0.34900967436750391"/>
          </stop>
          <stop position="1">
            <color theme="1"/>
          </stop>
        </gradientFill>
      </fill>
      <border>
        <left style="thin">
          <color auto="1"/>
        </left>
        <right style="thin">
          <color auto="1"/>
        </right>
        <top style="thin">
          <color auto="1"/>
        </top>
        <bottom style="thin">
          <color auto="1"/>
        </bottom>
      </border>
    </dxf>
    <dxf>
      <font>
        <color theme="0" tint="-0.499984740745262"/>
      </font>
      <fill>
        <gradientFill degree="45">
          <stop position="0">
            <color theme="0" tint="-5.0965910824915313E-2"/>
          </stop>
          <stop position="1">
            <color theme="0" tint="-0.25098422193060094"/>
          </stop>
        </gradientFill>
      </fill>
      <border>
        <left style="thin">
          <color theme="0" tint="-0.499984740745262"/>
        </left>
        <right style="thin">
          <color theme="0" tint="-0.499984740745262"/>
        </right>
        <top style="thin">
          <color theme="0" tint="-0.499984740745262"/>
        </top>
        <bottom style="thin">
          <color theme="0" tint="-0.499984740745262"/>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auto="1"/>
      </font>
      <fill>
        <patternFill>
          <bgColor rgb="FF5D7430"/>
        </patternFill>
      </fill>
      <border>
        <top style="thin">
          <color auto="1"/>
        </top>
        <bottom style="thin">
          <color auto="1"/>
        </bottom>
        <vertical/>
        <horizontal/>
      </border>
    </dxf>
    <dxf>
      <fill>
        <patternFill>
          <bgColor rgb="FFFF9393"/>
        </patternFill>
      </fill>
      <border>
        <top style="thin">
          <color auto="1"/>
        </top>
        <bottom style="thin">
          <color auto="1"/>
        </bottom>
        <vertical/>
        <horizontal/>
      </border>
    </dxf>
    <dxf>
      <font>
        <color theme="0"/>
      </font>
      <fill>
        <patternFill>
          <bgColor theme="1"/>
        </patternFill>
      </fill>
    </dxf>
    <dxf>
      <font>
        <color theme="0" tint="-0.499984740745262"/>
      </font>
      <fill>
        <patternFill>
          <bgColor theme="0" tint="-0.14996795556505021"/>
        </patternFill>
      </fill>
      <border>
        <top style="thin">
          <color theme="0" tint="-0.499984740745262"/>
        </top>
        <bottom style="thin">
          <color theme="0" tint="-0.499984740745262"/>
        </bottom>
        <vertical/>
        <horizontal/>
      </border>
    </dxf>
    <dxf>
      <fill>
        <patternFill patternType="lightUp">
          <fgColor theme="1"/>
        </patternFill>
      </fill>
      <border>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theme="0" tint="-0.14996795556505021"/>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0"/>
      </font>
      <fill>
        <gradientFill degree="45">
          <stop position="0">
            <color theme="8" tint="-0.25098422193060094"/>
          </stop>
          <stop position="1">
            <color theme="8" tint="-0.49803155613879818"/>
          </stop>
        </gradientFill>
      </fill>
      <border>
        <top style="thin">
          <color auto="1"/>
        </top>
        <bottom style="thin">
          <color auto="1"/>
        </bottom>
        <vertical/>
        <horizontal/>
      </border>
    </dxf>
    <dxf>
      <font>
        <color theme="1"/>
      </font>
      <fill>
        <patternFill>
          <bgColor rgb="FFFFFF00"/>
        </patternFill>
      </fill>
    </dxf>
    <dxf>
      <fill>
        <patternFill>
          <bgColor rgb="FFFF6600"/>
        </patternFill>
      </fill>
    </dxf>
    <dxf>
      <font>
        <color theme="1"/>
      </font>
      <fill>
        <patternFill>
          <bgColor rgb="FFFF3300"/>
        </patternFill>
      </fill>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0"/>
      </font>
      <fill>
        <patternFill>
          <bgColor rgb="FF00338D"/>
        </patternFill>
      </fill>
      <border>
        <right style="thin">
          <color rgb="FF00338D"/>
        </right>
        <top style="thin">
          <color rgb="FF00338D"/>
        </top>
        <bottom style="thin">
          <color rgb="FF00338D"/>
        </bottom>
      </border>
    </dxf>
    <dxf>
      <fill>
        <patternFill>
          <bgColor rgb="FFFF9966"/>
        </patternFill>
      </fill>
      <border>
        <left style="thin">
          <color auto="1"/>
        </left>
        <right style="thin">
          <color auto="1"/>
        </right>
        <top style="thin">
          <color auto="1"/>
        </top>
        <bottom style="thin">
          <color auto="1"/>
        </bottom>
      </border>
    </dxf>
    <dxf>
      <font>
        <color theme="1"/>
      </font>
      <fill>
        <patternFill>
          <bgColor theme="3" tint="0.39994506668294322"/>
        </patternFill>
      </fill>
      <border>
        <left style="thin">
          <color auto="1"/>
        </left>
        <right style="thin">
          <color auto="1"/>
        </right>
        <top style="thin">
          <color auto="1"/>
        </top>
        <bottom style="thin">
          <color auto="1"/>
        </bottom>
        <vertical/>
        <horizontal/>
      </border>
    </dxf>
    <dxf>
      <font>
        <color theme="1"/>
      </font>
      <fill>
        <patternFill>
          <bgColor rgb="FFFF9F9F"/>
        </patternFill>
      </fill>
      <border>
        <left style="thin">
          <color auto="1"/>
        </left>
        <right style="thin">
          <color auto="1"/>
        </right>
        <top style="thin">
          <color auto="1"/>
        </top>
        <bottom style="thin">
          <color auto="1"/>
        </bottom>
        <vertical/>
        <horizontal/>
      </border>
    </dxf>
    <dxf>
      <fill>
        <patternFill>
          <bgColor theme="0" tint="-0.14996795556505021"/>
        </patternFill>
      </fill>
      <border>
        <right style="thin">
          <color theme="0" tint="-0.499984740745262"/>
        </right>
        <bottom style="thin">
          <color theme="0" tint="-0.14996795556505021"/>
        </bottom>
      </border>
    </dxf>
    <dxf>
      <fill>
        <gradientFill degree="90">
          <stop position="0">
            <color theme="0" tint="-0.25098422193060094"/>
          </stop>
          <stop position="1">
            <color theme="0" tint="-0.1490218817712943"/>
          </stop>
        </gradientFill>
      </fill>
      <border>
        <top style="thin">
          <color auto="1"/>
        </top>
        <bottom style="thin">
          <color theme="0" tint="-0.14996795556505021"/>
        </bottom>
      </border>
    </dxf>
    <dxf>
      <fill>
        <patternFill>
          <bgColor rgb="FF00338D"/>
        </patternFill>
      </fill>
      <border>
        <top style="thin">
          <color theme="1"/>
        </top>
        <bottom style="thin">
          <color rgb="FF00338D"/>
        </bottom>
      </border>
    </dxf>
    <dxf>
      <font>
        <color theme="0"/>
      </font>
      <fill>
        <patternFill>
          <bgColor theme="1"/>
        </patternFill>
      </fill>
      <border>
        <right style="thin">
          <color auto="1"/>
        </right>
        <top style="thin">
          <color auto="1"/>
        </top>
        <bottom style="thin">
          <color auto="1"/>
        </bottom>
        <vertical/>
        <horizontal/>
      </border>
    </dxf>
    <dxf>
      <fill>
        <gradientFill degree="45">
          <stop position="0">
            <color rgb="FFEEDADF"/>
          </stop>
          <stop position="1">
            <color rgb="FFD197A5"/>
          </stop>
        </gradientFill>
      </fill>
      <border>
        <right style="thin">
          <color auto="1"/>
        </right>
        <top style="thin">
          <color auto="1"/>
        </top>
        <bottom style="thin">
          <color auto="1"/>
        </bottom>
      </border>
    </dxf>
    <dxf>
      <fill>
        <gradientFill degree="90">
          <stop position="0">
            <color rgb="FFFFC9C9"/>
          </stop>
          <stop position="1">
            <color rgb="FFFF9F9F"/>
          </stop>
        </gradientFill>
      </fill>
      <border>
        <right style="thin">
          <color auto="1"/>
        </right>
        <top style="thin">
          <color auto="1"/>
        </top>
        <bottom style="thin">
          <color auto="1"/>
        </bottom>
      </border>
    </dxf>
    <dxf>
      <font>
        <color theme="0" tint="-0.499984740745262"/>
      </font>
      <fill>
        <gradientFill degree="45">
          <stop position="0">
            <color theme="0" tint="-5.0965910824915313E-2"/>
          </stop>
          <stop position="1">
            <color theme="0" tint="-0.25098422193060094"/>
          </stop>
        </gradientFill>
      </fill>
      <border>
        <right style="thin">
          <color theme="1" tint="0.34998626667073579"/>
        </right>
        <top style="thin">
          <color theme="1" tint="0.34998626667073579"/>
        </top>
        <bottom style="thin">
          <color theme="1" tint="0.34998626667073579"/>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theme="1"/>
        </top>
        <bottom style="thin">
          <color theme="0" tint="-0.499984740745262"/>
        </bottom>
        <vertical/>
        <horizontal/>
      </border>
    </dxf>
    <dxf>
      <font>
        <color theme="0"/>
      </font>
      <fill>
        <patternFill>
          <bgColor rgb="FF00338D"/>
        </patternFill>
      </fill>
      <border>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right style="thin">
          <color rgb="FFC8C8C8"/>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patternFill>
          <bgColor rgb="FF97BC33"/>
        </patternFill>
      </fill>
      <border>
        <left style="thin">
          <color auto="1"/>
        </left>
        <right style="thin">
          <color auto="1"/>
        </right>
        <top style="thin">
          <color auto="1"/>
        </top>
        <bottom style="thin">
          <color auto="1"/>
        </bottom>
        <vertical/>
        <horizontal/>
      </border>
    </dxf>
    <dxf>
      <font>
        <color theme="1" tint="0.34998626667073579"/>
      </font>
      <fill>
        <patternFill>
          <bgColor theme="0" tint="-0.14996795556505021"/>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99ADD1"/>
        </patternFill>
      </fill>
      <border>
        <left style="thin">
          <color auto="1"/>
        </left>
        <right style="thin">
          <color auto="1"/>
        </right>
        <top style="thin">
          <color auto="1"/>
        </top>
        <bottom style="thin">
          <color auto="1"/>
        </bottom>
        <vertical/>
        <horizontal/>
      </border>
    </dxf>
    <dxf>
      <font>
        <color theme="0"/>
      </font>
      <fill>
        <patternFill>
          <bgColor rgb="FF8E0000"/>
        </patternFill>
      </fill>
    </dxf>
    <dxf>
      <font>
        <color theme="0"/>
      </font>
      <fill>
        <patternFill>
          <bgColor rgb="FF005400"/>
        </patternFill>
      </fill>
    </dxf>
    <dxf>
      <fill>
        <gradientFill degree="90">
          <stop position="0">
            <color theme="0" tint="-0.25098422193060094"/>
          </stop>
          <stop position="1">
            <color theme="0" tint="-0.1490218817712943"/>
          </stop>
        </gradientFill>
      </fill>
      <border>
        <top style="thin">
          <color auto="1"/>
        </top>
        <bottom style="thin">
          <color theme="0" tint="-0.499984740745262"/>
        </bottom>
        <vertical/>
        <horizontal/>
      </border>
    </dxf>
    <dxf>
      <fill>
        <patternFill>
          <bgColor rgb="FF00338D"/>
        </patternFill>
      </fill>
    </dxf>
    <dxf>
      <font>
        <color theme="1" tint="0.34998626667073579"/>
      </font>
      <fill>
        <patternFill>
          <bgColor theme="0" tint="-0.14996795556505021"/>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99ADD1"/>
        </patternFill>
      </fill>
      <border>
        <left style="thin">
          <color auto="1"/>
        </left>
        <right style="thin">
          <color auto="1"/>
        </right>
        <top style="thin">
          <color auto="1"/>
        </top>
        <bottom style="thin">
          <color auto="1"/>
        </bottom>
        <vertical/>
        <horizontal/>
      </border>
    </dxf>
    <dxf>
      <fill>
        <patternFill>
          <bgColor rgb="FF97BC33"/>
        </patternFill>
      </fill>
      <border>
        <left style="thin">
          <color auto="1"/>
        </left>
        <right style="thin">
          <color auto="1"/>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b/>
        <i val="0"/>
        <color rgb="FFC00000"/>
      </font>
    </dxf>
    <dxf>
      <font>
        <color theme="0" tint="-0.34998626667073579"/>
      </font>
    </dxf>
    <dxf>
      <fill>
        <patternFill>
          <bgColor rgb="FFFF0000"/>
        </patternFill>
      </fill>
    </dxf>
    <dxf>
      <numFmt numFmtId="203" formatCode="mmmm\-yyyy"/>
    </dxf>
    <dxf>
      <font>
        <color theme="1"/>
      </font>
    </dxf>
    <dxf>
      <font>
        <color theme="0" tint="-0.34998626667073579"/>
      </font>
    </dxf>
    <dxf>
      <font>
        <color theme="0"/>
      </font>
    </dxf>
    <dxf>
      <numFmt numFmtId="204" formatCode="&quot;--&quot;"/>
    </dxf>
    <dxf>
      <font>
        <color theme="0" tint="-0.14996795556505021"/>
      </font>
      <fill>
        <patternFill>
          <bgColor theme="0" tint="-0.14996795556505021"/>
        </patternFill>
      </fill>
    </dxf>
    <dxf>
      <font>
        <color theme="0" tint="-0.14996795556505021"/>
      </font>
      <fill>
        <patternFill>
          <bgColor theme="0" tint="-0.14996795556505021"/>
        </patternFill>
      </fill>
    </dxf>
    <dxf>
      <font>
        <color theme="1"/>
      </font>
      <fill>
        <patternFill>
          <bgColor rgb="FFFFF5B9"/>
        </patternFill>
      </fill>
      <border>
        <left style="thin">
          <color auto="1"/>
        </left>
        <right style="thin">
          <color auto="1"/>
        </right>
        <top style="thin">
          <color auto="1"/>
        </top>
        <bottom style="thin">
          <color auto="1"/>
        </bottom>
        <vertical/>
        <horizontal/>
      </border>
    </dxf>
    <dxf>
      <fill>
        <patternFill>
          <bgColor theme="9" tint="-0.24994659260841701"/>
        </patternFill>
      </fill>
    </dxf>
    <dxf>
      <border>
        <right style="thin">
          <color auto="1"/>
        </right>
        <vertical/>
        <horizontal/>
      </border>
    </dxf>
    <dxf>
      <border>
        <right style="thin">
          <color theme="9" tint="-0.499984740745262"/>
        </right>
        <vertical/>
        <horizontal/>
      </border>
    </dxf>
    <dxf>
      <border>
        <right style="dashed">
          <color theme="9" tint="-0.499984740745262"/>
        </right>
        <vertical/>
        <horizontal/>
      </border>
    </dxf>
    <dxf>
      <fill>
        <patternFill>
          <bgColor theme="9" tint="-0.24994659260841701"/>
        </patternFill>
      </fill>
    </dxf>
    <dxf>
      <fill>
        <patternFill>
          <bgColor rgb="FF92D050"/>
        </patternFill>
      </fill>
    </dxf>
    <dxf>
      <border>
        <right style="thin">
          <color auto="1"/>
        </right>
        <vertical/>
        <horizontal/>
      </border>
    </dxf>
    <dxf>
      <border>
        <left style="thin">
          <color auto="1"/>
        </left>
        <right style="thin">
          <color auto="1"/>
        </right>
        <vertical/>
        <horizontal/>
      </border>
    </dxf>
    <dxf>
      <fill>
        <patternFill>
          <bgColor rgb="FFBE6A7E"/>
        </patternFill>
      </fill>
      <border>
        <top style="thin">
          <color auto="1"/>
        </top>
        <bottom style="thin">
          <color auto="1"/>
        </bottom>
      </border>
    </dxf>
    <dxf>
      <font>
        <color theme="0"/>
      </font>
      <fill>
        <patternFill>
          <bgColor theme="1"/>
        </patternFill>
      </fill>
    </dxf>
    <dxf>
      <fill>
        <patternFill>
          <bgColor rgb="FFFF9393"/>
        </patternFill>
      </fill>
    </dxf>
    <dxf>
      <font>
        <color theme="0" tint="-0.499984740745262"/>
      </font>
      <fill>
        <patternFill>
          <bgColor theme="0" tint="-0.14996795556505021"/>
        </patternFill>
      </fill>
    </dxf>
    <dxf>
      <font>
        <color rgb="FFFFF5B9"/>
      </font>
      <fill>
        <patternFill patternType="lightUp"/>
      </fill>
      <border>
        <top style="thin">
          <color auto="1"/>
        </top>
        <bottom style="thin">
          <color auto="1"/>
        </bottom>
      </border>
    </dxf>
    <dxf>
      <fill>
        <patternFill>
          <bgColor rgb="FFFFFF00"/>
        </patternFill>
      </fill>
    </dxf>
    <dxf>
      <fill>
        <patternFill>
          <bgColor rgb="FFFF6600"/>
        </patternFill>
      </fill>
    </dxf>
    <dxf>
      <border>
        <right style="thin">
          <color auto="1"/>
        </right>
        <vertical/>
        <horizontal/>
      </border>
    </dxf>
    <dxf>
      <border>
        <right style="thin">
          <color auto="1"/>
        </right>
        <vertical/>
        <horizontal/>
      </border>
    </dxf>
    <dxf>
      <border>
        <left style="thin">
          <color auto="1"/>
        </left>
        <right style="thin">
          <color auto="1"/>
        </right>
        <vertical/>
        <horizontal/>
      </border>
    </dxf>
    <dxf>
      <fill>
        <patternFill>
          <bgColor theme="0" tint="-0.14996795556505021"/>
        </patternFill>
      </fill>
      <border>
        <left style="thin">
          <color theme="0" tint="-0.24994659260841701"/>
        </left>
        <right style="thin">
          <color theme="0" tint="-0.24994659260841701"/>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border>
        <left style="thin">
          <color auto="1"/>
        </left>
        <vertical/>
        <horizontal/>
      </border>
    </dxf>
    <dxf>
      <border>
        <right style="thin">
          <color auto="1"/>
        </right>
        <vertical/>
        <horizontal/>
      </border>
    </dxf>
    <dxf>
      <border>
        <left style="thin">
          <color auto="1"/>
        </left>
        <right style="thin">
          <color auto="1"/>
        </right>
        <vertical/>
        <horizontal/>
      </border>
    </dxf>
    <dxf>
      <font>
        <color theme="9" tint="-0.499984740745262"/>
      </font>
    </dxf>
    <dxf>
      <numFmt numFmtId="205" formatCode="mmmm\ \ yyyy;;"/>
    </dxf>
    <dxf>
      <font>
        <color theme="0" tint="-0.34998626667073579"/>
      </font>
    </dxf>
    <dxf>
      <fill>
        <patternFill>
          <bgColor theme="4" tint="0.79998168889431442"/>
        </patternFill>
      </fill>
    </dxf>
    <dxf>
      <fill>
        <patternFill>
          <bgColor rgb="FFDBE5F1"/>
        </patternFill>
      </fill>
    </dxf>
    <dxf>
      <fill>
        <patternFill>
          <bgColor rgb="FFFBCBA3"/>
        </patternFill>
      </fill>
    </dxf>
    <dxf>
      <fill>
        <patternFill>
          <bgColor theme="5" tint="0.79998168889431442"/>
        </patternFill>
      </fill>
    </dxf>
    <dxf>
      <fill>
        <patternFill>
          <bgColor rgb="FFD7E4BC"/>
        </patternFill>
      </fill>
    </dxf>
    <dxf>
      <fill>
        <patternFill>
          <bgColor theme="6"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14996795556505021"/>
        </patternFill>
      </fill>
      <border>
        <left style="thin">
          <color theme="0" tint="-0.24994659260841701"/>
        </left>
        <right style="thin">
          <color theme="0" tint="-0.24994659260841701"/>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1"/>
      </font>
      <fill>
        <patternFill>
          <bgColor rgb="FFFF9966"/>
        </patternFill>
      </fill>
    </dxf>
    <dxf>
      <fill>
        <patternFill>
          <bgColor rgb="FF92D050"/>
        </patternFill>
      </fill>
    </dxf>
    <dxf>
      <font>
        <color theme="0" tint="-0.34998626667073579"/>
      </font>
      <fill>
        <patternFill>
          <bgColor theme="0" tint="-0.14996795556505021"/>
        </patternFill>
      </fill>
    </dxf>
    <dxf>
      <fill>
        <patternFill>
          <bgColor rgb="FFFF0000"/>
        </patternFill>
      </fill>
    </dxf>
    <dxf>
      <fill>
        <patternFill>
          <bgColor rgb="FFFFF5B9"/>
        </patternFill>
      </fill>
      <border>
        <left style="thin">
          <color theme="0" tint="-0.499984740745262"/>
        </left>
      </border>
    </dxf>
    <dxf>
      <font>
        <color rgb="FF99ADD1"/>
      </font>
      <fill>
        <patternFill>
          <bgColor rgb="FF99ADD1"/>
        </patternFill>
      </fill>
    </dxf>
    <dxf>
      <fill>
        <patternFill>
          <bgColor rgb="FFFF0000"/>
        </patternFill>
      </fill>
    </dxf>
    <dxf>
      <border>
        <right style="thin">
          <color auto="1"/>
        </right>
        <vertical/>
        <horizontal/>
      </border>
    </dxf>
    <dxf>
      <border>
        <right style="thin">
          <color auto="1"/>
        </right>
        <vertical/>
        <horizontal/>
      </border>
    </dxf>
    <dxf>
      <border>
        <right style="thin">
          <color auto="1"/>
        </right>
        <vertical/>
        <horizontal/>
      </border>
    </dxf>
    <dxf>
      <border>
        <right style="thin">
          <color auto="1"/>
        </right>
        <vertical/>
        <horizontal/>
      </border>
    </dxf>
    <dxf>
      <fill>
        <patternFill>
          <bgColor rgb="FFFF0000"/>
        </patternFill>
      </fill>
    </dxf>
    <dxf>
      <font>
        <color theme="1" tint="0.24994659260841701"/>
      </font>
      <fill>
        <patternFill>
          <bgColor theme="1" tint="0.24994659260841701"/>
        </patternFill>
      </fill>
      <border>
        <left style="thin">
          <color theme="1" tint="0.24994659260841701"/>
        </left>
        <right style="thin">
          <color theme="1" tint="0.24994659260841701"/>
        </right>
        <top style="thin">
          <color theme="1" tint="0.24994659260841701"/>
        </top>
        <bottom style="thin">
          <color theme="1" tint="0.24994659260841701"/>
        </bottom>
        <vertical/>
        <horizontal/>
      </border>
    </dxf>
    <dxf>
      <font>
        <color theme="0"/>
      </font>
      <fill>
        <patternFill>
          <bgColor rgb="FF00338D"/>
        </patternFill>
      </fill>
      <border>
        <right style="thin">
          <color rgb="FF00338D"/>
        </right>
        <top style="thin">
          <color rgb="FF00338D"/>
        </top>
        <bottom style="thin">
          <color rgb="FF00338D"/>
        </bottom>
      </border>
    </dxf>
    <dxf>
      <border>
        <right style="thin">
          <color auto="1"/>
        </right>
        <vertical/>
        <horizontal/>
      </border>
    </dxf>
    <dxf>
      <border>
        <left style="thin">
          <color auto="1"/>
        </left>
        <vertical/>
        <horizontal/>
      </border>
    </dxf>
    <dxf>
      <border>
        <left style="thin">
          <color auto="1"/>
        </left>
        <right style="thin">
          <color auto="1"/>
        </right>
        <vertical/>
        <horizontal/>
      </border>
    </dxf>
    <dxf>
      <border>
        <right style="thin">
          <color auto="1"/>
        </right>
        <vertical/>
        <horizontal/>
      </border>
    </dxf>
    <dxf>
      <border>
        <right style="thin">
          <color theme="1"/>
        </right>
        <vertical/>
        <horizontal/>
      </border>
    </dxf>
    <dxf>
      <border>
        <right style="thin">
          <color theme="1"/>
        </right>
        <vertical/>
        <horizontal/>
      </border>
    </dxf>
    <dxf>
      <fill>
        <patternFill>
          <bgColor theme="0" tint="-0.14996795556505021"/>
        </patternFill>
      </fill>
      <border>
        <left style="thin">
          <color theme="1" tint="0.499984740745262"/>
        </left>
        <right style="thin">
          <color theme="1" tint="0.499984740745262"/>
        </right>
        <bottom style="thin">
          <color theme="1" tint="0.499984740745262"/>
        </bottom>
        <vertical/>
        <horizontal/>
      </border>
    </dxf>
    <dxf>
      <font>
        <color theme="0" tint="-0.34998626667073579"/>
      </font>
      <fill>
        <patternFill>
          <bgColor theme="0" tint="-4.9989318521683403E-2"/>
        </patternFill>
      </fill>
      <border>
        <left style="thin">
          <color theme="0" tint="-0.34998626667073579"/>
        </left>
        <right style="thin">
          <color theme="0" tint="-0.34998626667073579"/>
        </right>
        <bottom style="thin">
          <color theme="0" tint="-0.34998626667073579"/>
        </bottom>
        <vertical/>
        <horizontal/>
      </border>
    </dxf>
    <dxf>
      <font>
        <b/>
        <i val="0"/>
      </font>
      <fill>
        <patternFill>
          <bgColor theme="4" tint="0.79998168889431442"/>
        </patternFill>
      </fill>
      <border>
        <left style="thin">
          <color theme="1"/>
        </left>
        <right style="thin">
          <color theme="1"/>
        </right>
        <bottom style="thin">
          <color theme="1"/>
        </bottom>
        <vertical/>
        <horizontal/>
      </border>
    </dxf>
    <dxf>
      <font>
        <b/>
        <i val="0"/>
      </font>
      <fill>
        <gradientFill degree="90">
          <stop position="0">
            <color theme="0" tint="-0.25098422193060094"/>
          </stop>
          <stop position="1">
            <color theme="0" tint="-0.1490218817712943"/>
          </stop>
        </gradientFill>
      </fill>
      <border>
        <left style="thin">
          <color rgb="FFCCCCCC"/>
        </left>
        <right style="thin">
          <color rgb="FFCCCCCC"/>
        </right>
        <top style="thin">
          <color auto="1"/>
        </top>
        <bottom style="thin">
          <color theme="0" tint="-0.499984740745262"/>
        </bottom>
        <vertical/>
        <horizontal/>
      </border>
    </dxf>
    <dxf>
      <font>
        <b/>
        <i val="0"/>
        <color theme="0"/>
      </font>
      <fill>
        <patternFill>
          <bgColor rgb="FF00338D"/>
        </patternFill>
      </fill>
      <border>
        <right style="thin">
          <color rgb="FF00338D"/>
        </right>
        <top style="thin">
          <color auto="1"/>
        </top>
        <bottom style="thin">
          <color auto="1"/>
        </bottom>
      </border>
    </dxf>
    <dxf>
      <border>
        <right style="thin">
          <color auto="1"/>
        </right>
        <vertical/>
        <horizontal/>
      </border>
    </dxf>
    <dxf>
      <border>
        <right style="thin">
          <color auto="1"/>
        </right>
        <vertical/>
        <horizontal/>
      </border>
    </dxf>
    <dxf>
      <border>
        <right style="thin">
          <color auto="1"/>
        </right>
        <vertical/>
        <horizontal/>
      </border>
    </dxf>
    <dxf>
      <font>
        <color theme="1"/>
      </font>
    </dxf>
    <dxf>
      <font>
        <color theme="1"/>
      </font>
      <fill>
        <patternFill>
          <bgColor theme="6" tint="0.39994506668294322"/>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theme="1"/>
      </font>
      <fill>
        <patternFill>
          <bgColor rgb="FF8CAF47"/>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theme="1"/>
      </font>
      <fill>
        <patternFill>
          <bgColor rgb="FFFF832F"/>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FF0000"/>
        </patternFill>
      </fill>
    </dxf>
    <dxf>
      <fill>
        <patternFill>
          <bgColor rgb="FFFBCBA3"/>
        </patternFill>
      </fill>
    </dxf>
    <dxf>
      <fill>
        <patternFill>
          <bgColor rgb="FFD7E4BC"/>
        </patternFill>
      </fill>
    </dxf>
    <dxf>
      <fill>
        <patternFill>
          <bgColor rgb="FFDBE5F1"/>
        </patternFill>
      </fill>
    </dxf>
    <dxf>
      <fill>
        <patternFill>
          <bgColor theme="5" tint="0.79998168889431442"/>
        </patternFill>
      </fill>
    </dxf>
    <dxf>
      <fill>
        <patternFill>
          <bgColor rgb="FFFF0000"/>
        </patternFill>
      </fill>
    </dxf>
    <dxf>
      <fill>
        <patternFill>
          <bgColor rgb="FFFBCBA3"/>
        </patternFill>
      </fill>
    </dxf>
    <dxf>
      <fill>
        <patternFill>
          <bgColor rgb="FFD7E4BC"/>
        </patternFill>
      </fill>
    </dxf>
    <dxf>
      <fill>
        <patternFill>
          <bgColor rgb="FFDBE5F1"/>
        </patternFill>
      </fill>
    </dxf>
    <dxf>
      <fill>
        <patternFill>
          <bgColor theme="5" tint="0.79998168889431442"/>
        </patternFill>
      </fill>
    </dxf>
    <dxf>
      <border>
        <right style="thin">
          <color auto="1"/>
        </right>
        <vertical/>
        <horizontal/>
      </border>
    </dxf>
    <dxf>
      <border>
        <left style="thin">
          <color auto="1"/>
        </left>
        <right style="thin">
          <color auto="1"/>
        </right>
        <vertical/>
        <horizontal/>
      </border>
    </dxf>
    <dxf>
      <border>
        <top style="thin">
          <color theme="1"/>
        </top>
        <vertical/>
        <horizontal/>
      </border>
    </dxf>
    <dxf>
      <numFmt numFmtId="206" formatCode="mmm\-yyyy"/>
    </dxf>
    <dxf>
      <border>
        <top style="thin">
          <color rgb="FF683104"/>
        </top>
        <vertical/>
        <horizontal/>
      </border>
    </dxf>
    <dxf>
      <fill>
        <patternFill>
          <bgColor rgb="FF00338D"/>
        </patternFill>
      </fill>
      <border>
        <right style="thin">
          <color rgb="FF00338D"/>
        </right>
        <top style="thin">
          <color rgb="FF00338D"/>
        </top>
        <bottom style="thin">
          <color rgb="FF00338D"/>
        </bottom>
      </border>
    </dxf>
    <dxf>
      <border>
        <left style="thin">
          <color auto="1"/>
        </left>
        <vertical/>
        <horizontal/>
      </border>
    </dxf>
    <dxf>
      <font>
        <color theme="1"/>
      </font>
      <fill>
        <patternFill>
          <bgColor theme="0"/>
        </patternFill>
      </fill>
    </dxf>
    <dxf>
      <fill>
        <patternFill>
          <bgColor rgb="FFFFF5B9"/>
        </patternFill>
      </fill>
    </dxf>
    <dxf>
      <font>
        <color rgb="FFC00000"/>
      </font>
    </dxf>
    <dxf>
      <border>
        <right style="dashed">
          <color theme="9" tint="-0.499984740745262"/>
        </right>
        <vertical/>
        <horizontal/>
      </border>
    </dxf>
    <dxf>
      <border>
        <right style="thin">
          <color theme="9" tint="-0.499984740745262"/>
        </right>
        <vertical/>
        <horizontal/>
      </border>
    </dxf>
    <dxf>
      <border>
        <right style="thin">
          <color auto="1"/>
        </right>
        <vertical/>
        <horizontal/>
      </border>
    </dxf>
    <dxf>
      <border>
        <right style="dashed">
          <color theme="9" tint="-0.499984740745262"/>
        </right>
        <vertical/>
        <horizontal/>
      </border>
    </dxf>
    <dxf>
      <border>
        <right style="thin">
          <color theme="9" tint="-0.499984740745262"/>
        </right>
        <vertical/>
        <horizontal/>
      </border>
    </dxf>
    <dxf>
      <border>
        <right style="thin">
          <color auto="1"/>
        </right>
        <vertical/>
        <horizontal/>
      </border>
    </dxf>
    <dxf>
      <fill>
        <patternFill>
          <bgColor rgb="FFFF0000"/>
        </patternFill>
      </fill>
    </dxf>
    <dxf>
      <numFmt numFmtId="204" formatCode="&quot;--&quot;"/>
    </dxf>
    <dxf>
      <fill>
        <patternFill>
          <bgColor rgb="FFFFF5B9"/>
        </patternFill>
      </fill>
    </dxf>
    <dxf>
      <font>
        <color rgb="FFC00000"/>
      </font>
    </dxf>
    <dxf>
      <font>
        <color theme="0" tint="-0.14996795556505021"/>
      </font>
      <fill>
        <patternFill>
          <bgColor theme="0" tint="-0.14996795556505021"/>
        </patternFill>
      </fill>
    </dxf>
    <dxf>
      <font>
        <color theme="0" tint="-0.24994659260841701"/>
      </font>
    </dxf>
    <dxf>
      <font>
        <color theme="0" tint="-0.14996795556505021"/>
      </font>
      <fill>
        <patternFill>
          <bgColor theme="0" tint="-0.14996795556505021"/>
        </patternFill>
      </fill>
    </dxf>
    <dxf>
      <font>
        <color theme="0" tint="-0.24994659260841701"/>
      </font>
    </dxf>
    <dxf>
      <font>
        <color theme="0" tint="-0.24994659260841701"/>
      </font>
    </dxf>
    <dxf>
      <font>
        <color theme="0" tint="-0.499984740745262"/>
      </font>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rgb="FFFF0000"/>
        </patternFill>
      </fill>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0"/>
      </font>
      <fill>
        <patternFill>
          <bgColor theme="1" tint="0.499984740745262"/>
        </patternFill>
      </fill>
      <border>
        <left style="thin">
          <color auto="1"/>
        </left>
        <right style="thin">
          <color auto="1"/>
        </right>
        <top style="thin">
          <color auto="1"/>
        </top>
        <bottom style="thin">
          <color auto="1"/>
        </bottom>
      </border>
    </dxf>
    <dxf>
      <font>
        <color theme="0"/>
      </font>
      <fill>
        <patternFill>
          <bgColor theme="1"/>
        </patternFill>
      </fill>
    </dxf>
    <dxf>
      <fill>
        <patternFill>
          <bgColor rgb="FF5D7430"/>
        </patternFill>
      </fill>
      <border>
        <left style="thin">
          <color auto="1"/>
        </left>
        <right style="thin">
          <color auto="1"/>
        </right>
        <top style="thin">
          <color auto="1"/>
        </top>
        <bottom style="thin">
          <color auto="1"/>
        </bottom>
      </border>
    </dxf>
    <dxf>
      <font>
        <color theme="0" tint="-0.34998626667073579"/>
      </font>
    </dxf>
    <dxf>
      <border>
        <right style="thin">
          <color auto="1"/>
        </right>
        <vertical/>
        <horizontal/>
      </border>
    </dxf>
    <dxf>
      <border>
        <right style="thin">
          <color theme="9" tint="-0.499984740745262"/>
        </right>
        <vertical/>
        <horizontal/>
      </border>
    </dxf>
    <dxf>
      <border>
        <right style="dashed">
          <color theme="9" tint="-0.499984740745262"/>
        </right>
        <vertical/>
        <horizontal/>
      </border>
    </dxf>
    <dxf>
      <numFmt numFmtId="203" formatCode="mmmm\-yyyy"/>
    </dxf>
    <dxf>
      <font>
        <color theme="0"/>
      </font>
    </dxf>
    <dxf>
      <font>
        <color theme="1"/>
      </font>
      <numFmt numFmtId="202" formatCode="&quot;----&quot;"/>
    </dxf>
    <dxf>
      <font>
        <color theme="1"/>
      </font>
      <fill>
        <patternFill>
          <bgColor rgb="FFFFF5B9"/>
        </patternFill>
      </fill>
    </dxf>
    <dxf>
      <font>
        <color rgb="FFC00000"/>
      </font>
    </dxf>
    <dxf>
      <font>
        <color theme="1"/>
      </font>
    </dxf>
    <dxf>
      <font>
        <color theme="0" tint="-0.34998626667073579"/>
      </font>
    </dxf>
    <dxf>
      <font>
        <color theme="0" tint="-0.499984740745262"/>
      </font>
      <fill>
        <gradientFill degree="45">
          <stop position="0">
            <color theme="0" tint="-5.0965910824915313E-2"/>
          </stop>
          <stop position="1">
            <color theme="0" tint="-0.25098422193060094"/>
          </stop>
        </gradientFill>
      </fill>
      <border>
        <right style="thin">
          <color theme="1" tint="0.34998626667073579"/>
        </right>
        <top style="thin">
          <color theme="1" tint="0.34998626667073579"/>
        </top>
        <bottom style="thin">
          <color theme="1" tint="0.34998626667073579"/>
        </bottom>
        <vertical/>
        <horizontal/>
      </border>
    </dxf>
    <dxf>
      <font>
        <color theme="0" tint="-0.34998626667073579"/>
      </font>
    </dxf>
    <dxf>
      <font>
        <color theme="0" tint="-0.14996795556505021"/>
      </font>
      <fill>
        <patternFill>
          <bgColor theme="0" tint="-0.14996795556505021"/>
        </patternFill>
      </fill>
    </dxf>
    <dxf>
      <numFmt numFmtId="204" formatCode="&quot;--&quot;"/>
    </dxf>
    <dxf>
      <font>
        <color theme="0" tint="-0.14996795556505021"/>
      </font>
      <fill>
        <patternFill>
          <bgColor theme="0" tint="-0.14996795556505021"/>
        </patternFill>
      </fill>
    </dxf>
    <dxf>
      <font>
        <color theme="0" tint="-0.14996795556505021"/>
      </font>
      <fill>
        <patternFill>
          <bgColor theme="0" tint="-0.14996795556505021"/>
        </patternFill>
      </fill>
    </dxf>
    <dxf>
      <font>
        <color theme="0"/>
      </font>
      <fill>
        <patternFill>
          <bgColor rgb="FF00338D"/>
        </patternFill>
      </fill>
    </dxf>
    <dxf>
      <font>
        <color theme="0"/>
      </font>
      <fill>
        <patternFill>
          <bgColor theme="1"/>
        </patternFill>
      </fill>
    </dxf>
    <dxf>
      <fill>
        <patternFill>
          <bgColor rgb="FF97BC33"/>
        </patternFill>
      </fill>
      <border>
        <left style="thin">
          <color auto="1"/>
        </left>
        <right style="thin">
          <color auto="1"/>
        </right>
        <top style="thin">
          <color auto="1"/>
        </top>
        <bottom style="thin">
          <color auto="1"/>
        </bottom>
        <vertical/>
        <horizontal/>
      </border>
    </dxf>
    <dxf>
      <font>
        <color theme="1" tint="0.34998626667073579"/>
      </font>
      <fill>
        <patternFill>
          <bgColor theme="0" tint="-0.14996795556505021"/>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99ADD1"/>
        </patternFill>
      </fill>
      <border>
        <left style="thin">
          <color auto="1"/>
        </left>
        <right style="thin">
          <color auto="1"/>
        </right>
        <top style="thin">
          <color auto="1"/>
        </top>
        <bottom style="thin">
          <color auto="1"/>
        </bottom>
        <vertical/>
        <horizontal/>
      </border>
    </dxf>
    <dxf>
      <font>
        <color theme="0"/>
      </font>
      <fill>
        <gradientFill degree="45">
          <stop position="0">
            <color theme="8" tint="-0.25098422193060094"/>
          </stop>
          <stop position="1">
            <color theme="8" tint="-0.49803155613879818"/>
          </stop>
        </gradientFill>
      </fill>
      <border>
        <top style="thin">
          <color auto="1"/>
        </top>
        <bottom style="thin">
          <color auto="1"/>
        </bottom>
        <vertical/>
        <horizontal/>
      </border>
    </dxf>
    <dxf>
      <font>
        <color theme="1"/>
      </font>
      <fill>
        <patternFill>
          <bgColor rgb="FFFFFF00"/>
        </patternFill>
      </fill>
    </dxf>
    <dxf>
      <fill>
        <patternFill>
          <bgColor rgb="FFFF6600"/>
        </patternFill>
      </fill>
    </dxf>
    <dxf>
      <font>
        <color theme="1"/>
      </font>
      <fill>
        <patternFill>
          <bgColor rgb="FFFF3300"/>
        </patternFill>
      </fill>
    </dxf>
    <dxf>
      <font>
        <color theme="1"/>
      </font>
      <fill>
        <patternFill>
          <bgColor rgb="FFFFF5B9"/>
        </patternFill>
      </fill>
      <border>
        <left style="thin">
          <color auto="1"/>
        </left>
        <right style="thin">
          <color auto="1"/>
        </right>
        <top style="thin">
          <color auto="1"/>
        </top>
        <bottom style="thin">
          <color auto="1"/>
        </bottom>
        <vertical/>
        <horizontal/>
      </border>
    </dxf>
    <dxf>
      <font>
        <color theme="1" tint="0.34998626667073579"/>
      </font>
      <fill>
        <patternFill>
          <bgColor theme="0" tint="-0.14996795556505021"/>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99ADD1"/>
        </patternFill>
      </fill>
      <border>
        <left style="thin">
          <color auto="1"/>
        </left>
        <right style="thin">
          <color auto="1"/>
        </right>
        <top style="thin">
          <color auto="1"/>
        </top>
        <bottom style="thin">
          <color auto="1"/>
        </bottom>
        <vertical/>
        <horizontal/>
      </border>
    </dxf>
    <dxf>
      <fill>
        <patternFill>
          <bgColor rgb="FF97BC33"/>
        </patternFill>
      </fill>
      <border>
        <left style="thin">
          <color auto="1"/>
        </left>
        <right style="thin">
          <color auto="1"/>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rgb="FFFF0000"/>
        </patternFill>
      </fill>
    </dxf>
    <dxf>
      <font>
        <color theme="0" tint="-0.499984740745262"/>
      </font>
    </dxf>
    <dxf>
      <fill>
        <patternFill>
          <bgColor theme="6" tint="0.39994506668294322"/>
        </patternFill>
      </fill>
    </dxf>
    <dxf>
      <font>
        <b/>
        <i val="0"/>
        <color rgb="FFC00000"/>
      </font>
    </dxf>
    <dxf>
      <fill>
        <patternFill>
          <bgColor theme="9"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theme="9" tint="-0.24994659260841701"/>
        </patternFill>
      </fill>
    </dxf>
    <dxf>
      <font>
        <color theme="1"/>
      </font>
      <numFmt numFmtId="207" formatCode="&quot;---&quot;"/>
      <fill>
        <patternFill>
          <bgColor theme="0"/>
        </patternFill>
      </fill>
    </dxf>
    <dxf>
      <fill>
        <patternFill>
          <bgColor rgb="FFBE6A7E"/>
        </patternFill>
      </fill>
      <border>
        <left style="thin">
          <color auto="1"/>
        </left>
        <right style="thin">
          <color auto="1"/>
        </right>
        <top style="thin">
          <color auto="1"/>
        </top>
        <bottom style="thin">
          <color auto="1"/>
        </bottom>
      </border>
    </dxf>
    <dxf>
      <font>
        <color theme="0" tint="-0.499984740745262"/>
      </font>
      <fill>
        <patternFill>
          <bgColor theme="0" tint="-0.14996795556505021"/>
        </patternFill>
      </fill>
    </dxf>
    <dxf>
      <font>
        <color theme="0"/>
      </font>
      <fill>
        <patternFill>
          <bgColor theme="1"/>
        </patternFill>
      </fill>
    </dxf>
    <dxf>
      <font>
        <color theme="9" tint="-0.499984740745262"/>
      </font>
    </dxf>
    <dxf>
      <font>
        <color theme="0" tint="-0.499984740745262"/>
      </font>
    </dxf>
    <dxf>
      <fill>
        <gradientFill degree="90">
          <stop position="0">
            <color rgb="FF8AB2E2"/>
          </stop>
          <stop position="1">
            <color rgb="FF2A62A6"/>
          </stop>
        </gradientFill>
      </fill>
      <border>
        <left style="thin">
          <color auto="1"/>
        </left>
        <right style="thin">
          <color auto="1"/>
        </right>
        <top style="thin">
          <color auto="1"/>
        </top>
        <bottom style="thin">
          <color auto="1"/>
        </bottom>
        <vertical/>
        <horizontal/>
      </border>
    </dxf>
    <dxf>
      <fill>
        <gradientFill degree="90">
          <stop position="0">
            <color rgb="FF97B854"/>
          </stop>
          <stop position="1">
            <color rgb="FF556A2C"/>
          </stop>
        </gradientFill>
      </fill>
      <border>
        <left style="thin">
          <color auto="1"/>
        </left>
        <right style="thin">
          <color auto="1"/>
        </right>
        <top style="thin">
          <color auto="1"/>
        </top>
        <bottom style="thin">
          <color auto="1"/>
        </bottom>
        <vertical/>
        <horizontal/>
      </border>
    </dxf>
    <dxf>
      <font>
        <color theme="0"/>
      </font>
      <fill>
        <patternFill>
          <bgColor theme="1"/>
        </patternFill>
      </fill>
    </dxf>
    <dxf>
      <font>
        <color theme="0" tint="-4.9989318521683403E-2"/>
      </font>
      <fill>
        <patternFill>
          <bgColor rgb="FFF5F5F5"/>
        </patternFill>
      </fill>
      <border>
        <vertical/>
        <horizontal/>
      </border>
    </dxf>
    <dxf>
      <font>
        <color theme="0" tint="-0.499984740745262"/>
      </font>
      <fill>
        <patternFill>
          <bgColor theme="0" tint="-0.14996795556505021"/>
        </patternFill>
      </fill>
      <border>
        <left style="thin">
          <color theme="0" tint="-0.499984740745262"/>
        </left>
        <right style="thin">
          <color theme="0" tint="-0.499984740745262"/>
        </right>
        <top style="thin">
          <color theme="0" tint="-0.499984740745262"/>
        </top>
        <bottom style="thin">
          <color theme="0" tint="-0.499984740745262"/>
        </bottom>
      </border>
    </dxf>
    <dxf>
      <font>
        <color theme="0" tint="-0.499984740745262"/>
      </font>
      <fill>
        <patternFill>
          <bgColor theme="0" tint="-0.1499679555650502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border>
        <right style="thin">
          <color theme="1"/>
        </right>
        <vertical/>
        <horizontal/>
      </border>
    </dxf>
    <dxf>
      <border>
        <right style="thin">
          <color rgb="FFAA2800"/>
        </right>
        <vertical/>
        <horizontal/>
      </border>
    </dxf>
    <dxf>
      <border>
        <right style="dotted">
          <color theme="9" tint="-0.499984740745262"/>
        </right>
      </border>
    </dxf>
    <dxf>
      <fill>
        <patternFill>
          <bgColor rgb="FFFF6600"/>
        </patternFill>
      </fill>
    </dxf>
    <dxf>
      <fill>
        <gradientFill degree="90">
          <stop position="0">
            <color theme="0" tint="-0.25098422193060094"/>
          </stop>
          <stop position="1">
            <color theme="0" tint="-0.1490218817712943"/>
          </stop>
        </gradientFill>
      </fill>
      <border>
        <left style="thin">
          <color rgb="FFCCCCCC"/>
        </left>
        <right style="thin">
          <color rgb="FFCCCCCC"/>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theme="1"/>
        </top>
        <bottom style="thin">
          <color theme="0" tint="-0.499984740745262"/>
        </bottom>
        <vertical/>
        <horizontal/>
      </border>
    </dxf>
    <dxf>
      <font>
        <color theme="0"/>
      </font>
      <fill>
        <patternFill>
          <bgColor rgb="FF00338D"/>
        </patternFill>
      </fill>
      <border>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ont>
        <color theme="9" tint="-0.499984740745262"/>
      </font>
    </dxf>
    <dxf>
      <numFmt numFmtId="206" formatCode="mmm\-yyyy"/>
    </dxf>
    <dxf>
      <numFmt numFmtId="205" formatCode="mmmm\ \ yyyy;;"/>
    </dxf>
    <dxf>
      <font>
        <color theme="0" tint="-0.34998626667073579"/>
      </font>
    </dxf>
    <dxf>
      <fill>
        <patternFill>
          <bgColor theme="4" tint="0.79998168889431442"/>
        </patternFill>
      </fill>
    </dxf>
    <dxf>
      <fill>
        <patternFill>
          <bgColor rgb="FFFBCBA3"/>
        </patternFill>
      </fill>
    </dxf>
    <dxf>
      <fill>
        <patternFill>
          <bgColor theme="5" tint="0.79998168889431442"/>
        </patternFill>
      </fill>
    </dxf>
    <dxf>
      <fill>
        <patternFill>
          <bgColor rgb="FFD7E4BC"/>
        </patternFill>
      </fill>
    </dxf>
    <dxf>
      <fill>
        <patternFill>
          <bgColor rgb="FFDBE5F1"/>
        </patternFill>
      </fill>
    </dxf>
    <dxf>
      <fill>
        <patternFill>
          <bgColor rgb="FFFBCBA3"/>
        </patternFill>
      </fill>
    </dxf>
    <dxf>
      <fill>
        <patternFill>
          <bgColor rgb="FFD7E4BC"/>
        </patternFill>
      </fill>
    </dxf>
    <dxf>
      <fill>
        <patternFill>
          <bgColor rgb="FFDBE5F1"/>
        </patternFill>
      </fill>
    </dxf>
    <dxf>
      <fill>
        <patternFill>
          <bgColor theme="5" tint="0.79998168889431442"/>
        </patternFill>
      </fill>
    </dxf>
    <dxf>
      <fill>
        <patternFill>
          <bgColor rgb="FFFF0000"/>
        </patternFill>
      </fill>
    </dxf>
    <dxf>
      <fill>
        <patternFill>
          <bgColor rgb="FFFF0000"/>
        </patternFill>
      </fill>
    </dxf>
    <dxf>
      <fill>
        <patternFill>
          <bgColor rgb="FFFF0000"/>
        </patternFill>
      </fill>
    </dxf>
    <dxf>
      <font>
        <color theme="1"/>
      </font>
      <fill>
        <gradientFill degree="45">
          <stop position="0">
            <color rgb="FFEEDADF"/>
          </stop>
          <stop position="1">
            <color rgb="FFD197A5"/>
          </stop>
        </gradientFill>
      </fill>
      <border>
        <right style="thin">
          <color auto="1"/>
        </right>
        <top style="thin">
          <color auto="1"/>
        </top>
        <bottom style="thin">
          <color auto="1"/>
        </bottom>
      </border>
    </dxf>
    <dxf>
      <font>
        <color theme="0"/>
      </font>
      <fill>
        <patternFill>
          <bgColor theme="1"/>
        </patternFill>
      </fill>
      <border>
        <right style="thin">
          <color auto="1"/>
        </right>
        <top style="thin">
          <color auto="1"/>
        </top>
        <bottom style="thin">
          <color auto="1"/>
        </bottom>
        <vertical/>
        <horizontal/>
      </border>
    </dxf>
    <dxf>
      <fill>
        <gradientFill degree="90">
          <stop position="0">
            <color theme="0" tint="-0.25098422193060094"/>
          </stop>
          <stop position="1">
            <color theme="0" tint="-0.1490218817712943"/>
          </stop>
        </gradientFill>
      </fill>
      <border>
        <right style="thin">
          <color rgb="FFC8C8C8"/>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ont>
        <color theme="0"/>
      </font>
      <fill>
        <patternFill>
          <bgColor rgb="FFC00000"/>
        </patternFill>
      </fill>
    </dxf>
    <dxf>
      <font>
        <color theme="0"/>
      </font>
      <fill>
        <patternFill>
          <bgColor rgb="FF006600"/>
        </patternFill>
      </fill>
    </dxf>
    <dxf>
      <fill>
        <gradientFill degree="90">
          <stop position="0">
            <color theme="0" tint="-0.25098422193060094"/>
          </stop>
          <stop position="1">
            <color theme="0" tint="-0.1490218817712943"/>
          </stop>
        </gradientFill>
      </fill>
      <border>
        <top style="thin">
          <color auto="1"/>
        </top>
        <bottom style="thin">
          <color theme="0" tint="-0.499984740745262"/>
        </bottom>
        <vertical/>
        <horizontal/>
      </border>
    </dxf>
    <dxf>
      <fill>
        <patternFill>
          <bgColor rgb="FF00338D"/>
        </patternFill>
      </fill>
    </dxf>
    <dxf>
      <font>
        <color theme="1"/>
      </font>
      <fill>
        <patternFill>
          <bgColor rgb="FFFF9966"/>
        </patternFill>
      </fill>
    </dxf>
    <dxf>
      <fill>
        <patternFill>
          <bgColor rgb="FF92D050"/>
        </patternFill>
      </fill>
    </dxf>
    <dxf>
      <font>
        <color theme="0" tint="-0.34998626667073579"/>
      </font>
      <fill>
        <patternFill>
          <bgColor theme="0" tint="-0.14996795556505021"/>
        </patternFill>
      </fill>
    </dxf>
    <dxf>
      <fill>
        <patternFill>
          <bgColor rgb="FFFF0000"/>
        </patternFill>
      </fill>
    </dxf>
    <dxf>
      <fill>
        <patternFill>
          <bgColor rgb="FFFFF5B9"/>
        </patternFill>
      </fill>
      <border>
        <left style="thin">
          <color theme="0" tint="-0.499984740745262"/>
        </left>
      </border>
    </dxf>
    <dxf>
      <border>
        <right style="thin">
          <color auto="1"/>
        </right>
        <vertical/>
        <horizontal/>
      </border>
    </dxf>
    <dxf>
      <border>
        <right style="thin">
          <color auto="1"/>
        </right>
        <vertical/>
        <horizontal/>
      </border>
    </dxf>
    <dxf>
      <fill>
        <patternFill>
          <bgColor rgb="FFFF0000"/>
        </patternFill>
      </fill>
    </dxf>
    <dxf>
      <fill>
        <gradientFill degree="45">
          <stop position="0">
            <color rgb="FFEEDADF"/>
          </stop>
          <stop position="1">
            <color rgb="FFD197A5"/>
          </stop>
        </gradientFill>
      </fill>
      <border>
        <left style="thin">
          <color auto="1"/>
        </left>
        <right style="thin">
          <color auto="1"/>
        </right>
        <top style="thin">
          <color auto="1"/>
        </top>
        <bottom style="thin">
          <color auto="1"/>
        </bottom>
        <vertical/>
        <horizontal/>
      </border>
    </dxf>
    <dxf>
      <font>
        <color theme="1" tint="0.24994659260841701"/>
      </font>
      <fill>
        <patternFill>
          <bgColor theme="1" tint="0.24994659260841701"/>
        </patternFill>
      </fill>
      <border>
        <left style="thin">
          <color theme="1" tint="0.24994659260841701"/>
        </left>
        <right style="thin">
          <color theme="1" tint="0.24994659260841701"/>
        </right>
        <top style="thin">
          <color theme="1" tint="0.24994659260841701"/>
        </top>
        <bottom style="thin">
          <color theme="1" tint="0.24994659260841701"/>
        </bottom>
        <vertical/>
        <horizontal/>
      </border>
    </dxf>
    <dxf>
      <font>
        <color theme="0"/>
      </font>
      <fill>
        <patternFill>
          <bgColor rgb="FF00338D"/>
        </patternFill>
      </fill>
      <border>
        <right style="thin">
          <color rgb="FF00338D"/>
        </right>
        <top style="thin">
          <color rgb="FF00338D"/>
        </top>
        <bottom style="thin">
          <color rgb="FF00338D"/>
        </bottom>
      </border>
    </dxf>
    <dxf>
      <border>
        <right style="thin">
          <color auto="1"/>
        </right>
        <vertical/>
        <horizontal/>
      </border>
    </dxf>
    <dxf>
      <border>
        <left style="thin">
          <color auto="1"/>
        </left>
        <vertical/>
        <horizontal/>
      </border>
    </dxf>
    <dxf>
      <border>
        <left style="thin">
          <color auto="1"/>
        </left>
        <right style="thin">
          <color auto="1"/>
        </right>
        <vertical/>
        <horizontal/>
      </border>
    </dxf>
    <dxf>
      <border>
        <right style="thin">
          <color auto="1"/>
        </right>
        <vertical/>
        <horizontal/>
      </border>
    </dxf>
    <dxf>
      <border>
        <right style="thin">
          <color theme="1"/>
        </right>
        <vertical/>
        <horizontal/>
      </border>
    </dxf>
    <dxf>
      <border>
        <right style="thin">
          <color theme="1"/>
        </right>
        <vertical/>
        <horizontal/>
      </border>
    </dxf>
    <dxf>
      <fill>
        <patternFill>
          <bgColor theme="0" tint="-0.14996795556505021"/>
        </patternFill>
      </fill>
      <border>
        <left style="thin">
          <color theme="1" tint="0.499984740745262"/>
        </left>
        <right style="thin">
          <color theme="1" tint="0.499984740745262"/>
        </right>
        <bottom style="thin">
          <color theme="1" tint="0.499984740745262"/>
        </bottom>
        <vertical/>
        <horizontal/>
      </border>
    </dxf>
    <dxf>
      <font>
        <color theme="0" tint="-0.34998626667073579"/>
      </font>
      <fill>
        <patternFill>
          <bgColor theme="0" tint="-4.9989318521683403E-2"/>
        </patternFill>
      </fill>
      <border>
        <left style="thin">
          <color theme="0" tint="-0.24994659260841701"/>
        </left>
        <right style="thin">
          <color theme="0" tint="-0.24994659260841701"/>
        </right>
        <bottom style="thin">
          <color theme="0" tint="-0.24994659260841701"/>
        </bottom>
        <vertical/>
        <horizontal/>
      </border>
    </dxf>
    <dxf>
      <font>
        <b/>
        <i val="0"/>
        <color theme="1"/>
      </font>
      <numFmt numFmtId="0" formatCode="General"/>
      <fill>
        <patternFill>
          <bgColor theme="4" tint="0.79998168889431442"/>
        </patternFill>
      </fill>
      <border>
        <left style="thin">
          <color theme="1"/>
        </left>
        <right style="thin">
          <color theme="1"/>
        </right>
        <bottom style="thin">
          <color theme="1"/>
        </bottom>
      </border>
    </dxf>
    <dxf>
      <border>
        <right style="thin">
          <color auto="1"/>
        </right>
        <vertical/>
        <horizontal/>
      </border>
    </dxf>
    <dxf>
      <border>
        <right style="thin">
          <color auto="1"/>
        </right>
        <vertical/>
        <horizontal/>
      </border>
    </dxf>
    <dxf>
      <border>
        <right style="thin">
          <color auto="1"/>
        </right>
        <vertical/>
        <horizontal/>
      </border>
    </dxf>
    <dxf>
      <font>
        <color theme="1"/>
      </font>
      <fill>
        <patternFill>
          <bgColor theme="6" tint="0.39994506668294322"/>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theme="1"/>
      </font>
      <fill>
        <patternFill>
          <bgColor rgb="FF8CAF47"/>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theme="1"/>
      </font>
      <fill>
        <patternFill>
          <bgColor rgb="FFFF832F"/>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FF0000"/>
        </patternFill>
      </fill>
    </dxf>
    <dxf>
      <fill>
        <patternFill>
          <bgColor rgb="FFFBCBA3"/>
        </patternFill>
      </fill>
    </dxf>
    <dxf>
      <fill>
        <patternFill>
          <bgColor rgb="FFD7E4BC"/>
        </patternFill>
      </fill>
    </dxf>
    <dxf>
      <fill>
        <patternFill>
          <bgColor rgb="FFDBE5F1"/>
        </patternFill>
      </fill>
    </dxf>
    <dxf>
      <fill>
        <patternFill>
          <bgColor theme="5" tint="0.79998168889431442"/>
        </patternFill>
      </fill>
    </dxf>
    <dxf>
      <border>
        <right style="thin">
          <color auto="1"/>
        </right>
        <vertical/>
        <horizontal/>
      </border>
    </dxf>
    <dxf>
      <border>
        <left style="thin">
          <color auto="1"/>
        </left>
        <right style="thin">
          <color auto="1"/>
        </right>
        <vertical/>
        <horizontal/>
      </border>
    </dxf>
    <dxf>
      <font>
        <color theme="0"/>
      </font>
    </dxf>
    <dxf>
      <border>
        <top style="thin">
          <color theme="1"/>
        </top>
        <vertical/>
        <horizontal/>
      </border>
    </dxf>
    <dxf>
      <border>
        <top style="thin">
          <color rgb="FF683104"/>
        </top>
        <vertical/>
        <horizontal/>
      </border>
    </dxf>
    <dxf>
      <font>
        <color theme="1"/>
      </font>
    </dxf>
    <dxf>
      <font>
        <color theme="1"/>
      </font>
    </dxf>
    <dxf>
      <font>
        <color theme="1"/>
      </font>
    </dxf>
    <dxf>
      <font>
        <color theme="0" tint="-0.14996795556505021"/>
      </font>
      <fill>
        <patternFill>
          <bgColor theme="0" tint="-0.14996795556505021"/>
        </patternFill>
      </fill>
    </dxf>
    <dxf>
      <font>
        <color theme="1"/>
      </font>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ont>
        <color theme="1"/>
      </font>
      <fill>
        <patternFill>
          <bgColor rgb="FFFFF5B9"/>
        </patternFill>
      </fill>
    </dxf>
    <dxf>
      <font>
        <color theme="1"/>
      </font>
      <fill>
        <patternFill>
          <bgColor rgb="FFFFF5B9"/>
        </patternFill>
      </fill>
    </dxf>
    <dxf>
      <fill>
        <patternFill>
          <bgColor rgb="FFFFFF00"/>
        </patternFill>
      </fill>
    </dxf>
    <dxf>
      <fill>
        <patternFill>
          <bgColor rgb="FFFFFF00"/>
        </patternFill>
      </fill>
    </dxf>
    <dxf>
      <font>
        <color theme="1"/>
      </font>
      <fill>
        <patternFill>
          <bgColor theme="6" tint="0.39994506668294322"/>
        </patternFill>
      </fill>
    </dxf>
    <dxf>
      <font>
        <color rgb="FFC00000"/>
      </font>
    </dxf>
    <dxf>
      <fill>
        <patternFill>
          <bgColor rgb="FFFF0000"/>
        </patternFill>
      </fill>
    </dxf>
    <dxf>
      <font>
        <color theme="1"/>
      </font>
      <fill>
        <patternFill>
          <bgColor theme="6" tint="0.39994506668294322"/>
        </patternFill>
      </fill>
    </dxf>
    <dxf>
      <fill>
        <patternFill>
          <bgColor rgb="FFFF0000"/>
        </patternFill>
      </fill>
    </dxf>
    <dxf>
      <font>
        <color theme="1"/>
      </font>
      <fill>
        <patternFill>
          <bgColor rgb="FFFFF5B9"/>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ont>
        <color theme="1"/>
      </font>
    </dxf>
    <dxf>
      <font>
        <color theme="1"/>
      </font>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dxf>
    <dxf>
      <font>
        <color rgb="FFC00000"/>
      </font>
    </dxf>
    <dxf>
      <font>
        <color theme="1"/>
      </font>
    </dxf>
    <dxf>
      <font>
        <color theme="1"/>
      </font>
    </dxf>
    <dxf>
      <font>
        <color theme="1"/>
      </font>
      <fill>
        <patternFill>
          <bgColor theme="6" tint="0.39994506668294322"/>
        </patternFill>
      </fill>
    </dxf>
    <dxf>
      <fill>
        <patternFill>
          <bgColor theme="4" tint="0.59996337778862885"/>
        </patternFill>
      </fill>
    </dxf>
    <dxf>
      <fill>
        <patternFill>
          <bgColor theme="4" tint="0.59996337778862885"/>
        </patternFill>
      </fill>
    </dxf>
    <dxf>
      <font>
        <color theme="0" tint="-0.34998626667073579"/>
      </font>
      <fill>
        <patternFill>
          <bgColor theme="0" tint="-4.9989318521683403E-2"/>
        </patternFill>
      </fill>
    </dxf>
    <dxf>
      <font>
        <color rgb="FFC00000"/>
      </font>
    </dxf>
    <dxf>
      <font>
        <color theme="1"/>
      </font>
    </dxf>
    <dxf>
      <fill>
        <patternFill>
          <bgColor rgb="FFFFFF00"/>
        </patternFill>
      </fill>
    </dxf>
    <dxf>
      <font>
        <color rgb="FF00B050"/>
      </font>
    </dxf>
    <dxf>
      <font>
        <color theme="0" tint="-0.34998626667073579"/>
      </font>
    </dxf>
    <dxf>
      <font>
        <color theme="1"/>
      </font>
      <fill>
        <patternFill>
          <bgColor rgb="FFFFFF00"/>
        </patternFill>
      </fill>
    </dxf>
    <dxf>
      <font>
        <color theme="1"/>
      </font>
    </dxf>
    <dxf>
      <fill>
        <patternFill>
          <bgColor rgb="FFFF0000"/>
        </patternFill>
      </fill>
    </dxf>
    <dxf>
      <font>
        <color theme="1"/>
      </font>
    </dxf>
    <dxf>
      <font>
        <color theme="1"/>
      </font>
      <fill>
        <patternFill>
          <bgColor theme="6" tint="0.39994506668294322"/>
        </patternFill>
      </fill>
    </dxf>
    <dxf>
      <font>
        <color rgb="FFC00000"/>
      </font>
    </dxf>
    <dxf>
      <fill>
        <patternFill>
          <bgColor rgb="FFFF0000"/>
        </patternFill>
      </fill>
    </dxf>
    <dxf>
      <font>
        <color theme="1"/>
      </font>
    </dxf>
    <dxf>
      <font>
        <color rgb="FFC00000"/>
      </font>
    </dxf>
    <dxf>
      <font>
        <color theme="1"/>
      </font>
    </dxf>
    <dxf>
      <font>
        <color rgb="FFC00000"/>
      </font>
    </dxf>
    <dxf>
      <numFmt numFmtId="0" formatCode="General"/>
    </dxf>
    <dxf>
      <numFmt numFmtId="14" formatCode="0.00%"/>
    </dxf>
    <dxf>
      <font>
        <color theme="1"/>
      </font>
    </dxf>
    <dxf>
      <font>
        <color rgb="FFC00000"/>
      </font>
    </dxf>
    <dxf>
      <font>
        <color theme="1"/>
      </font>
      <fill>
        <patternFill>
          <bgColor theme="0" tint="-0.14996795556505021"/>
        </patternFill>
      </fill>
    </dxf>
    <dxf>
      <font>
        <color theme="0" tint="-0.14996795556505021"/>
      </font>
      <fill>
        <patternFill>
          <bgColor theme="0" tint="-0.14996795556505021"/>
        </patternFill>
      </fill>
    </dxf>
    <dxf>
      <font>
        <color theme="1"/>
      </font>
    </dxf>
    <dxf>
      <font>
        <color theme="1"/>
      </font>
      <fill>
        <patternFill>
          <bgColor theme="6" tint="0.39994506668294322"/>
        </patternFill>
      </fill>
    </dxf>
    <dxf>
      <font>
        <color rgb="FFC00000"/>
      </font>
    </dxf>
    <dxf>
      <font>
        <color theme="1"/>
      </font>
    </dxf>
    <dxf>
      <font>
        <color theme="1"/>
      </font>
    </dxf>
    <dxf>
      <font>
        <color theme="1"/>
      </font>
      <fill>
        <patternFill>
          <bgColor rgb="FFFFF5B9"/>
        </patternFill>
      </fill>
      <border>
        <left style="thin">
          <color theme="1"/>
        </left>
        <right style="thin">
          <color theme="1"/>
        </right>
        <top style="thin">
          <color theme="1"/>
        </top>
        <bottom style="thin">
          <color theme="1"/>
        </bottom>
      </border>
    </dxf>
    <dxf>
      <fill>
        <patternFill>
          <bgColor rgb="FFFF6600"/>
        </patternFill>
      </fill>
    </dxf>
    <dxf>
      <font>
        <color theme="1"/>
      </font>
      <fill>
        <patternFill>
          <bgColor rgb="FFFFFF00"/>
        </patternFill>
      </fill>
      <border>
        <left style="thin">
          <color auto="1"/>
        </left>
        <right style="thin">
          <color auto="1"/>
        </right>
        <top style="thin">
          <color auto="1"/>
        </top>
        <bottom style="thin">
          <color auto="1"/>
        </bottom>
        <vertical/>
        <horizontal/>
      </border>
    </dxf>
    <dxf>
      <font>
        <color rgb="FFC00000"/>
      </font>
    </dxf>
    <dxf>
      <font>
        <color rgb="FFC00000"/>
      </font>
    </dxf>
    <dxf>
      <font>
        <color rgb="FFC00000"/>
      </font>
    </dxf>
    <dxf>
      <font>
        <color rgb="FFC00000"/>
      </font>
    </dxf>
    <dxf>
      <fill>
        <patternFill>
          <bgColor rgb="FFFFF5B9"/>
        </patternFill>
      </fill>
    </dxf>
    <dxf>
      <font>
        <b/>
        <i val="0"/>
        <color theme="9" tint="-0.499984740745262"/>
      </font>
    </dxf>
    <dxf>
      <fill>
        <patternFill>
          <bgColor rgb="FFFFF5B9"/>
        </patternFill>
      </fill>
    </dxf>
    <dxf>
      <font>
        <color theme="0" tint="-0.24994659260841701"/>
      </font>
      <fill>
        <patternFill>
          <bgColor theme="0" tint="-4.9989318521683403E-2"/>
        </patternFill>
      </fill>
    </dxf>
    <dxf>
      <fill>
        <patternFill>
          <bgColor rgb="FFFF0000"/>
        </patternFill>
      </fill>
    </dxf>
    <dxf>
      <font>
        <color theme="0" tint="-0.24994659260841701"/>
      </font>
      <fill>
        <patternFill patternType="solid">
          <bgColor theme="0" tint="-4.9989318521683403E-2"/>
        </patternFill>
      </fill>
    </dxf>
    <dxf>
      <fill>
        <patternFill>
          <bgColor rgb="FFFF0000"/>
        </patternFill>
      </fill>
    </dxf>
    <dxf>
      <fill>
        <patternFill>
          <bgColor rgb="FF92D050"/>
        </patternFill>
      </fill>
    </dxf>
    <dxf>
      <fill>
        <patternFill>
          <bgColor rgb="FFFF9966"/>
        </patternFill>
      </fill>
    </dxf>
    <dxf>
      <fill>
        <patternFill>
          <bgColor rgb="FF92D050"/>
        </patternFill>
      </fill>
    </dxf>
    <dxf>
      <fill>
        <patternFill>
          <bgColor rgb="FFFF9966"/>
        </patternFill>
      </fill>
    </dxf>
    <dxf>
      <font>
        <color theme="0" tint="-0.24994659260841701"/>
      </font>
    </dxf>
    <dxf>
      <font>
        <color theme="1"/>
      </font>
      <fill>
        <patternFill>
          <bgColor theme="0" tint="-4.9989318521683403E-2"/>
        </patternFill>
      </fill>
    </dxf>
    <dxf>
      <font>
        <color theme="0" tint="-0.34998626667073579"/>
      </font>
      <fill>
        <patternFill>
          <bgColor theme="0" tint="-4.9989318521683403E-2"/>
        </patternFill>
      </fill>
    </dxf>
    <dxf>
      <fill>
        <patternFill>
          <bgColor rgb="FFFF0000"/>
        </patternFill>
      </fill>
    </dxf>
    <dxf>
      <font>
        <b/>
        <i val="0"/>
        <color theme="9" tint="-0.499984740745262"/>
      </font>
    </dxf>
    <dxf>
      <font>
        <color theme="0" tint="-0.34998626667073579"/>
      </font>
      <fill>
        <patternFill patternType="solid">
          <bgColor theme="0" tint="-4.9989318521683403E-2"/>
        </patternFill>
      </fill>
    </dxf>
    <dxf>
      <fill>
        <patternFill>
          <bgColor rgb="FFFF0000"/>
        </patternFill>
      </fill>
    </dxf>
    <dxf>
      <fill>
        <patternFill>
          <bgColor theme="4" tint="0.59996337778862885"/>
        </patternFill>
      </fill>
    </dxf>
    <dxf>
      <font>
        <color theme="1"/>
      </font>
      <fill>
        <patternFill>
          <bgColor rgb="FFFFF5B9"/>
        </patternFill>
      </fill>
      <border>
        <left style="thin">
          <color auto="1"/>
        </left>
        <right style="thin">
          <color auto="1"/>
        </right>
        <top style="thin">
          <color auto="1"/>
        </top>
        <bottom style="thin">
          <color auto="1"/>
        </bottom>
        <vertical/>
        <horizontal/>
      </border>
    </dxf>
    <dxf>
      <font>
        <color theme="0" tint="-0.24994659260841701"/>
      </font>
    </dxf>
    <dxf>
      <font>
        <color rgb="FFC00000"/>
      </font>
    </dxf>
    <dxf>
      <font>
        <color theme="0" tint="-0.24994659260841701"/>
      </font>
    </dxf>
    <dxf>
      <font>
        <color theme="0" tint="-0.499984740745262"/>
      </font>
    </dxf>
    <dxf>
      <font>
        <color theme="0"/>
      </font>
    </dxf>
    <dxf>
      <font>
        <color theme="0"/>
      </font>
      <fill>
        <patternFill>
          <bgColor rgb="FFC00000"/>
        </patternFill>
      </fill>
    </dxf>
    <dxf>
      <fill>
        <patternFill>
          <bgColor rgb="FFFF0000"/>
        </patternFill>
      </fill>
    </dxf>
    <dxf>
      <font>
        <color theme="9" tint="-0.499984740745262"/>
      </font>
    </dxf>
    <dxf>
      <fill>
        <patternFill>
          <bgColor rgb="FFFF0000"/>
        </patternFill>
      </fill>
    </dxf>
    <dxf>
      <font>
        <color theme="0"/>
      </font>
    </dxf>
    <dxf>
      <font>
        <color theme="0"/>
      </font>
    </dxf>
    <dxf>
      <font>
        <color theme="6" tint="0.39994506668294322"/>
      </font>
    </dxf>
    <dxf>
      <font>
        <color rgb="FFC00000"/>
      </font>
    </dxf>
    <dxf>
      <fill>
        <patternFill>
          <bgColor rgb="FFFF0000"/>
        </patternFill>
      </fill>
    </dxf>
    <dxf>
      <font>
        <color theme="0"/>
      </font>
    </dxf>
    <dxf>
      <font>
        <color theme="9" tint="-0.499984740745262"/>
      </font>
    </dxf>
    <dxf>
      <fill>
        <patternFill>
          <bgColor rgb="FFFF0000"/>
        </patternFill>
      </fill>
    </dxf>
    <dxf>
      <font>
        <color auto="1"/>
      </font>
      <fill>
        <patternFill>
          <bgColor rgb="FFFFF5B9"/>
        </patternFill>
      </fill>
    </dxf>
    <dxf>
      <font>
        <color theme="9" tint="-0.499984740745262"/>
      </font>
    </dxf>
    <dxf>
      <font>
        <color theme="0" tint="-0.14996795556505021"/>
      </font>
      <fill>
        <patternFill>
          <bgColor theme="0" tint="-0.14996795556505021"/>
        </patternFill>
      </fill>
    </dxf>
    <dxf>
      <font>
        <color theme="1"/>
      </font>
      <fill>
        <patternFill>
          <bgColor theme="6" tint="0.39994506668294322"/>
        </patternFill>
      </fill>
      <border>
        <left style="thin">
          <color theme="1"/>
        </left>
        <right style="thin">
          <color theme="1"/>
        </right>
        <top style="thin">
          <color theme="1"/>
        </top>
        <bottom style="thin">
          <color theme="1"/>
        </bottom>
        <vertical/>
        <horizontal/>
      </border>
    </dxf>
    <dxf>
      <font>
        <color theme="1"/>
      </font>
      <fill>
        <patternFill>
          <bgColor rgb="FFFFF5B9"/>
        </patternFill>
      </fill>
      <border>
        <left style="thin">
          <color theme="1"/>
        </left>
        <right style="thin">
          <color theme="1"/>
        </right>
        <top style="thin">
          <color theme="1"/>
        </top>
        <bottom style="thin">
          <color theme="1"/>
        </bottom>
      </border>
    </dxf>
    <dxf>
      <font>
        <color theme="1"/>
      </font>
    </dxf>
    <dxf>
      <font>
        <color theme="1"/>
      </font>
    </dxf>
    <dxf>
      <font>
        <color theme="1"/>
      </font>
    </dxf>
    <dxf>
      <fill>
        <patternFill>
          <bgColor rgb="FFDBE5F1"/>
        </patternFill>
      </fill>
    </dxf>
    <dxf>
      <fill>
        <patternFill>
          <bgColor rgb="FFFBCBA3"/>
        </patternFill>
      </fill>
    </dxf>
    <dxf>
      <fill>
        <patternFill>
          <bgColor rgb="FFF2DCDB"/>
        </patternFill>
      </fill>
    </dxf>
    <dxf>
      <font>
        <color theme="0"/>
      </font>
      <fill>
        <patternFill>
          <bgColor rgb="FFFF6600"/>
        </patternFill>
      </fill>
    </dxf>
    <dxf>
      <fill>
        <patternFill>
          <bgColor rgb="FFFF6600"/>
        </patternFill>
      </fill>
    </dxf>
    <dxf>
      <font>
        <color rgb="FFC00000"/>
      </font>
      <border>
        <left style="thin">
          <color rgb="FFC00000"/>
        </left>
        <right style="thin">
          <color rgb="FFC00000"/>
        </right>
        <top style="thin">
          <color rgb="FFC00000"/>
        </top>
        <bottom style="thin">
          <color rgb="FFC00000"/>
        </bottom>
        <vertical/>
        <horizontal/>
      </border>
    </dxf>
    <dxf>
      <font>
        <color theme="0"/>
      </font>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FF00"/>
        </patternFill>
      </fill>
    </dxf>
    <dxf>
      <fill>
        <patternFill>
          <bgColor rgb="FFFF6600"/>
        </patternFill>
      </fill>
    </dxf>
    <dxf>
      <fill>
        <patternFill>
          <bgColor rgb="FFFF0000"/>
        </patternFill>
      </fill>
    </dxf>
    <dxf>
      <font>
        <color theme="0"/>
      </font>
    </dxf>
    <dxf>
      <fill>
        <patternFill>
          <bgColor rgb="FFFF6600"/>
        </patternFill>
      </fill>
    </dxf>
    <dxf>
      <fill>
        <patternFill>
          <bgColor rgb="FFFF0000"/>
        </patternFill>
      </fill>
    </dxf>
    <dxf>
      <font>
        <color theme="9" tint="-0.499984740745262"/>
      </font>
    </dxf>
    <dxf>
      <font>
        <color theme="0" tint="-0.14996795556505021"/>
      </font>
      <fill>
        <patternFill>
          <bgColor theme="0" tint="-0.14996795556505021"/>
        </patternFill>
      </fill>
    </dxf>
    <dxf>
      <font>
        <color theme="0" tint="-0.34998626667073579"/>
      </font>
    </dxf>
    <dxf>
      <fill>
        <patternFill>
          <bgColor theme="4" tint="0.59996337778862885"/>
        </patternFill>
      </fill>
    </dxf>
    <dxf>
      <font>
        <color theme="0"/>
      </font>
    </dxf>
    <dxf>
      <font>
        <color theme="1"/>
      </font>
      <fill>
        <patternFill>
          <bgColor rgb="FFFFF5B9"/>
        </patternFill>
      </fill>
    </dxf>
    <dxf>
      <font>
        <color theme="0" tint="-0.499984740745262"/>
      </font>
    </dxf>
    <dxf>
      <font>
        <color theme="1"/>
      </font>
    </dxf>
    <dxf>
      <font>
        <color theme="0" tint="-0.34998626667073579"/>
      </font>
    </dxf>
    <dxf>
      <font>
        <color rgb="FFC00000"/>
      </font>
    </dxf>
    <dxf>
      <font>
        <color theme="0"/>
      </font>
    </dxf>
    <dxf>
      <font>
        <color theme="1"/>
      </font>
    </dxf>
    <dxf>
      <font>
        <color theme="1"/>
      </font>
    </dxf>
    <dxf>
      <font>
        <color theme="1"/>
      </font>
    </dxf>
    <dxf>
      <font>
        <color theme="0"/>
      </font>
    </dxf>
    <dxf>
      <fill>
        <patternFill>
          <bgColor rgb="FFFF0000"/>
        </patternFill>
      </fill>
    </dxf>
    <dxf>
      <fill>
        <patternFill>
          <bgColor rgb="FFC00000"/>
        </patternFill>
      </fill>
      <border>
        <left style="thin">
          <color auto="1"/>
        </left>
        <right style="thin">
          <color auto="1"/>
        </right>
        <top style="thin">
          <color auto="1"/>
        </top>
        <bottom style="thin">
          <color auto="1"/>
        </bottom>
        <vertical/>
        <horizontal/>
      </border>
    </dxf>
    <dxf>
      <font>
        <color theme="0" tint="-0.34998626667073579"/>
      </font>
      <fill>
        <patternFill>
          <bgColor theme="0" tint="-0.14996795556505021"/>
        </patternFill>
      </fill>
    </dxf>
    <dxf>
      <fill>
        <patternFill>
          <bgColor rgb="FFFF6600"/>
        </patternFill>
      </fill>
    </dxf>
    <dxf>
      <fill>
        <patternFill>
          <bgColor rgb="FFFF0000"/>
        </patternFill>
      </fill>
    </dxf>
    <dxf>
      <font>
        <color theme="0"/>
      </font>
    </dxf>
    <dxf>
      <font>
        <color theme="1"/>
      </font>
      <fill>
        <patternFill>
          <bgColor theme="6" tint="0.39994506668294322"/>
        </patternFill>
      </fill>
    </dxf>
    <dxf>
      <font>
        <color theme="6" tint="0.39994506668294322"/>
      </font>
    </dxf>
    <dxf>
      <fill>
        <patternFill>
          <bgColor rgb="FFFF0000"/>
        </patternFill>
      </fill>
    </dxf>
    <dxf>
      <font>
        <color theme="9" tint="-0.499984740745262"/>
      </font>
    </dxf>
    <dxf>
      <font>
        <color theme="9" tint="-0.499984740745262"/>
      </font>
    </dxf>
    <dxf>
      <fill>
        <patternFill>
          <bgColor theme="4" tint="0.59996337778862885"/>
        </patternFill>
      </fill>
    </dxf>
    <dxf>
      <fill>
        <patternFill>
          <bgColor theme="4" tint="0.59996337778862885"/>
        </patternFill>
      </fill>
    </dxf>
    <dxf>
      <font>
        <color theme="9" tint="-0.499984740745262"/>
      </font>
    </dxf>
    <dxf>
      <font>
        <color theme="0"/>
      </font>
    </dxf>
    <dxf>
      <font>
        <color theme="0"/>
      </font>
    </dxf>
    <dxf>
      <font>
        <color theme="1"/>
      </font>
      <fill>
        <patternFill>
          <bgColor rgb="FFFFF5B9"/>
        </patternFill>
      </fill>
    </dxf>
    <dxf>
      <font>
        <color theme="1"/>
      </font>
    </dxf>
    <dxf>
      <font>
        <color theme="0" tint="-0.499984740745262"/>
      </font>
    </dxf>
    <dxf>
      <font>
        <color theme="0" tint="-0.14996795556505021"/>
      </font>
      <fill>
        <patternFill>
          <bgColor theme="0" tint="-0.14996795556505021"/>
        </patternFill>
      </fill>
    </dxf>
    <dxf>
      <font>
        <color theme="0"/>
      </font>
      <numFmt numFmtId="208" formatCode="&quot;&quot;"/>
      <fill>
        <patternFill patternType="lightGray">
          <fgColor theme="1"/>
        </patternFill>
      </fill>
    </dxf>
    <dxf>
      <fill>
        <patternFill>
          <bgColor rgb="FFFFFF00"/>
        </patternFill>
      </fill>
    </dxf>
    <dxf>
      <font>
        <b/>
        <i val="0"/>
        <color rgb="FFFF0000"/>
      </font>
    </dxf>
    <dxf>
      <font>
        <color rgb="FFFF0000"/>
      </font>
    </dxf>
    <dxf>
      <font>
        <color theme="0"/>
      </font>
    </dxf>
    <dxf>
      <fill>
        <patternFill>
          <bgColor rgb="FFFF6600"/>
        </patternFill>
      </fill>
    </dxf>
    <dxf>
      <font>
        <color rgb="FFC00000"/>
      </font>
    </dxf>
    <dxf>
      <font>
        <color rgb="FFC00000"/>
      </font>
    </dxf>
    <dxf>
      <font>
        <color rgb="FFC00000"/>
      </font>
    </dxf>
    <dxf>
      <font>
        <color rgb="FFC00000"/>
      </font>
    </dxf>
    <dxf>
      <fill>
        <patternFill>
          <bgColor rgb="FFFFF5B9"/>
        </patternFill>
      </fill>
    </dxf>
    <dxf>
      <font>
        <color rgb="FFC00000"/>
      </font>
    </dxf>
    <dxf>
      <fill>
        <patternFill>
          <bgColor rgb="FFFFFF00"/>
        </patternFill>
      </fill>
    </dxf>
    <dxf>
      <fill>
        <patternFill>
          <bgColor rgb="FFFF0000"/>
        </patternFill>
      </fill>
    </dxf>
    <dxf>
      <fill>
        <patternFill>
          <bgColor theme="0" tint="-0.14996795556505021"/>
        </patternFill>
      </fill>
    </dxf>
    <dxf>
      <fill>
        <patternFill>
          <bgColor rgb="FFFFF5B9"/>
        </patternFill>
      </fill>
    </dxf>
    <dxf>
      <font>
        <color rgb="FFC00000"/>
      </font>
    </dxf>
    <dxf>
      <fill>
        <patternFill>
          <bgColor rgb="FFFF0000"/>
        </patternFill>
      </fill>
    </dxf>
    <dxf>
      <font>
        <color theme="0" tint="-0.499984740745262"/>
      </font>
      <fill>
        <patternFill>
          <bgColor theme="0" tint="-0.14996795556505021"/>
        </patternFill>
      </fill>
    </dxf>
    <dxf>
      <fill>
        <patternFill>
          <bgColor rgb="FFFF0000"/>
        </patternFill>
      </fill>
    </dxf>
    <dxf>
      <font>
        <color rgb="FFC00000"/>
      </font>
    </dxf>
    <dxf>
      <fill>
        <patternFill>
          <bgColor rgb="FFFFF5B9"/>
        </patternFill>
      </fill>
    </dxf>
    <dxf>
      <fill>
        <patternFill>
          <bgColor rgb="FFFF0000"/>
        </patternFill>
      </fill>
    </dxf>
    <dxf>
      <font>
        <color rgb="FFC00000"/>
      </font>
    </dxf>
    <dxf>
      <fill>
        <patternFill>
          <bgColor rgb="FFFF0000"/>
        </patternFill>
      </fill>
    </dxf>
    <dxf>
      <font>
        <color theme="9" tint="-0.499984740745262"/>
      </font>
      <fill>
        <patternFill>
          <bgColor rgb="FF92D050"/>
        </patternFill>
      </fill>
      <border>
        <left style="thin">
          <color theme="1"/>
        </left>
        <right style="thin">
          <color theme="1"/>
        </right>
        <top style="thin">
          <color theme="0"/>
        </top>
        <bottom style="thin">
          <color theme="1"/>
        </bottom>
        <vertical/>
        <horizontal/>
      </border>
    </dxf>
    <dxf>
      <fill>
        <patternFill>
          <bgColor rgb="FFFF0000"/>
        </patternFill>
      </fill>
    </dxf>
    <dxf>
      <fill>
        <patternFill>
          <bgColor rgb="FF92D050"/>
        </patternFill>
      </fill>
    </dxf>
    <dxf>
      <fill>
        <patternFill>
          <bgColor rgb="FFFF9966"/>
        </patternFill>
      </fill>
    </dxf>
    <dxf>
      <fill>
        <patternFill>
          <bgColor rgb="FF92D050"/>
        </patternFill>
      </fill>
    </dxf>
    <dxf>
      <fill>
        <patternFill>
          <bgColor rgb="FFFF9966"/>
        </patternFill>
      </fill>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ill>
        <patternFill>
          <bgColor rgb="FFFF0000"/>
        </patternFill>
      </fill>
    </dxf>
    <dxf>
      <font>
        <color rgb="FFC00000"/>
      </font>
    </dxf>
    <dxf>
      <fill>
        <patternFill>
          <bgColor rgb="FFFF0000"/>
        </patternFill>
      </fill>
    </dxf>
    <dxf>
      <fill>
        <patternFill>
          <bgColor rgb="FFFF0000"/>
        </patternFill>
      </fill>
    </dxf>
    <dxf>
      <font>
        <color theme="1"/>
      </font>
      <fill>
        <patternFill patternType="none">
          <bgColor auto="1"/>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ill>
        <patternFill>
          <bgColor rgb="FFFF6600"/>
        </patternFill>
      </fill>
    </dxf>
    <dxf>
      <font>
        <color rgb="FFC00000"/>
      </font>
    </dxf>
    <dxf>
      <fill>
        <patternFill>
          <bgColor rgb="FFFF6600"/>
        </patternFill>
      </fill>
    </dxf>
    <dxf>
      <font>
        <color rgb="FFC00000"/>
      </font>
    </dxf>
    <dxf>
      <font>
        <color rgb="FFC00000"/>
      </font>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ill>
        <patternFill>
          <bgColor theme="6" tint="0.39994506668294322"/>
        </patternFill>
      </fill>
    </dxf>
    <dxf>
      <font>
        <color theme="1"/>
      </font>
      <fill>
        <patternFill>
          <bgColor rgb="FFFFF5B9"/>
        </patternFill>
      </fill>
    </dxf>
    <dxf>
      <fill>
        <patternFill>
          <bgColor theme="9" tint="-0.24994659260841701"/>
        </patternFill>
      </fill>
    </dxf>
    <dxf>
      <font>
        <color rgb="FFC00000"/>
      </font>
    </dxf>
    <dxf>
      <fill>
        <patternFill>
          <bgColor theme="4" tint="0.39994506668294322"/>
        </patternFill>
      </fill>
    </dxf>
    <dxf>
      <fill>
        <patternFill>
          <bgColor theme="6" tint="0.39994506668294322"/>
        </patternFill>
      </fill>
    </dxf>
    <dxf>
      <fill>
        <patternFill>
          <bgColor rgb="FFFFC000"/>
        </patternFill>
      </fill>
    </dxf>
  </dxfs>
  <tableStyles count="0" defaultTableStyle="TableStyleMedium9" defaultPivotStyle="PivotStyleLight16"/>
  <colors>
    <mruColors>
      <color rgb="FFFFF5B9"/>
      <color rgb="FFFFFFCC"/>
      <color rgb="FF3EA7C0"/>
      <color rgb="FF318499"/>
      <color rgb="FFFF6600"/>
      <color rgb="FFE1E1E1"/>
      <color rgb="FFFFC9C9"/>
      <color rgb="FFD9E1EE"/>
      <color rgb="FF99ADD1"/>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cat>
            <c:numRef>
              <c:f>'4 Sign-off'!$AE$10:$FA$10</c:f>
              <c:numCache>
                <c:formatCode>dd\-mmm\-yyyy</c:formatCode>
                <c:ptCount val="127"/>
                <c:pt idx="0">
                  <c:v>43840</c:v>
                </c:pt>
                <c:pt idx="1">
                  <c:v>43847</c:v>
                </c:pt>
                <c:pt idx="2">
                  <c:v>43854</c:v>
                </c:pt>
                <c:pt idx="3">
                  <c:v>43861</c:v>
                </c:pt>
                <c:pt idx="4">
                  <c:v>43868</c:v>
                </c:pt>
                <c:pt idx="5">
                  <c:v>43875</c:v>
                </c:pt>
                <c:pt idx="6">
                  <c:v>43882</c:v>
                </c:pt>
                <c:pt idx="7">
                  <c:v>43889</c:v>
                </c:pt>
                <c:pt idx="8">
                  <c:v>43896</c:v>
                </c:pt>
                <c:pt idx="9">
                  <c:v>43903</c:v>
                </c:pt>
                <c:pt idx="10">
                  <c:v>43910</c:v>
                </c:pt>
                <c:pt idx="11">
                  <c:v>43917</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numCache>
            </c:numRef>
          </c:cat>
          <c:val>
            <c:numRef>
              <c:f>'4 Sign-off'!$AE$9:$FB$9</c:f>
              <c:numCache>
                <c:formatCode>0.0</c:formatCode>
                <c:ptCount val="128"/>
                <c:pt idx="0">
                  <c:v>2.8395833333333331</c:v>
                </c:pt>
                <c:pt idx="1">
                  <c:v>2.8395833333333331</c:v>
                </c:pt>
                <c:pt idx="2">
                  <c:v>2.8395833333333331</c:v>
                </c:pt>
                <c:pt idx="3">
                  <c:v>2.8395833333333331</c:v>
                </c:pt>
                <c:pt idx="4">
                  <c:v>2.8395833333333331</c:v>
                </c:pt>
                <c:pt idx="5">
                  <c:v>2.8395833333333331</c:v>
                </c:pt>
                <c:pt idx="6">
                  <c:v>2.8395833333333331</c:v>
                </c:pt>
                <c:pt idx="7">
                  <c:v>2.8395833333333331</c:v>
                </c:pt>
                <c:pt idx="8">
                  <c:v>2.8395833333333331</c:v>
                </c:pt>
                <c:pt idx="9">
                  <c:v>2.8395833333333331</c:v>
                </c:pt>
                <c:pt idx="10">
                  <c:v>2.8395833333333331</c:v>
                </c:pt>
                <c:pt idx="11">
                  <c:v>2.8395833333333331</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numCache>
            </c:numRef>
          </c:val>
          <c:extLst>
            <c:ext xmlns:c16="http://schemas.microsoft.com/office/drawing/2014/chart" uri="{C3380CC4-5D6E-409C-BE32-E72D297353CC}">
              <c16:uniqueId val="{00000000-7DF3-4F08-8C2E-E2FD6D0FDF70}"/>
            </c:ext>
          </c:extLst>
        </c:ser>
        <c:dLbls>
          <c:showLegendKey val="0"/>
          <c:showVal val="0"/>
          <c:showCatName val="0"/>
          <c:showSerName val="0"/>
          <c:showPercent val="0"/>
          <c:showBubbleSize val="0"/>
        </c:dLbls>
        <c:gapWidth val="58"/>
        <c:overlap val="12"/>
        <c:axId val="413876944"/>
        <c:axId val="413877272"/>
      </c:barChart>
      <c:dateAx>
        <c:axId val="413876944"/>
        <c:scaling>
          <c:orientation val="minMax"/>
        </c:scaling>
        <c:delete val="0"/>
        <c:axPos val="b"/>
        <c:numFmt formatCode="mmm\-yyyy"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13877272"/>
        <c:crosses val="autoZero"/>
        <c:auto val="0"/>
        <c:lblOffset val="100"/>
        <c:baseTimeUnit val="days"/>
      </c:dateAx>
      <c:valAx>
        <c:axId val="413877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76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2" lockText="1"/>
</file>

<file path=xl/ctrlProps/ctrlProp2.xml><?xml version="1.0" encoding="utf-8"?>
<formControlPr xmlns="http://schemas.microsoft.com/office/spreadsheetml/2009/9/main" objectType="Radio" lockText="1"/>
</file>

<file path=xl/ctrlProps/ctrlProp3.xml><?xml version="1.0" encoding="utf-8"?>
<formControlPr xmlns="http://schemas.microsoft.com/office/spreadsheetml/2009/9/main" objectType="Radio" lockText="1"/>
</file>

<file path=xl/ctrlProps/ctrlProp4.xml><?xml version="1.0" encoding="utf-8"?>
<formControlPr xmlns="http://schemas.microsoft.com/office/spreadsheetml/2009/9/main" objectType="Radio" checked="Checked" lockText="1"/>
</file>

<file path=xl/ctrlProps/ctrlProp5.xml><?xml version="1.0" encoding="utf-8"?>
<formControlPr xmlns="http://schemas.microsoft.com/office/spreadsheetml/2009/9/main" objectType="Radio" lockText="1"/>
</file>

<file path=xl/ctrlProps/ctrlProp6.xml><?xml version="1.0" encoding="utf-8"?>
<formControlPr xmlns="http://schemas.microsoft.com/office/spreadsheetml/2009/9/main" objectType="Radio" lockText="1"/>
</file>

<file path=xl/ctrlProps/ctrlProp7.xml><?xml version="1.0" encoding="utf-8"?>
<formControlPr xmlns="http://schemas.microsoft.com/office/spreadsheetml/2009/9/main" objectType="CheckBox" fmlaLink="$J$13" lockText="1"/>
</file>

<file path=xl/ctrlProps/ctrlProp8.xml><?xml version="1.0" encoding="utf-8"?>
<formControlPr xmlns="http://schemas.microsoft.com/office/spreadsheetml/2009/9/main" objectType="Drop" dropStyle="combo" dx="26" fmlaLink="$H$43" fmlaRange="$I$43:$I$44" sel="2" val="0"/>
</file>

<file path=xl/ctrlProps/ctrlProp9.xml><?xml version="1.0" encoding="utf-8"?>
<formControlPr xmlns="http://schemas.microsoft.com/office/spreadsheetml/2009/9/main" objectType="Drop" dropStyle="combo" dx="16" fmlaLink="$EG$8" fmlaRange="$EH$8:$EH$9" sel="1" val="0"/>
</file>

<file path=xl/ctrlProps/ctrlProp10.xml><?xml version="1.0" encoding="utf-8"?>
<formControlPr xmlns="http://schemas.microsoft.com/office/spreadsheetml/2009/9/main" objectType="Drop" dropStyle="combo" dx="20" fmlaLink="$EG$11" fmlaRange="$EH$11:$EH$12" sel="2" val="0"/>
</file>

<file path=xl/ctrlProps/ctrlProp11.xml><?xml version="1.0" encoding="utf-8"?>
<formControlPr xmlns="http://schemas.microsoft.com/office/spreadsheetml/2009/9/main" objectType="Drop" dropStyle="combo" dx="26" fmlaLink="$EG$15" fmlaRange="$EH$15:$EH$16" sel="1" val="0"/>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3.tiff"/></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image" Target="../media/image4.tiff"/></Relationships>
</file>

<file path=xl/drawings/_rels/drawing1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152400</xdr:colOff>
          <xdr:row>15</xdr:row>
          <xdr:rowOff>45720</xdr:rowOff>
        </xdr:from>
        <xdr:to>
          <xdr:col>1</xdr:col>
          <xdr:colOff>457200</xdr:colOff>
          <xdr:row>15</xdr:row>
          <xdr:rowOff>266700</xdr:rowOff>
        </xdr:to>
        <xdr:sp macro="" textlink="">
          <xdr:nvSpPr>
            <xdr:cNvPr id="19458" name="Option Button 2" hidden="1">
              <a:extLst>
                <a:ext uri="{63B3BB69-23CF-44E3-9099-C40C66FF867C}">
                  <a14:compatExt spid="_x0000_s19458"/>
                </a:ext>
                <a:ext uri="{FF2B5EF4-FFF2-40B4-BE49-F238E27FC236}">
                  <a16:creationId xmlns:a16="http://schemas.microsoft.com/office/drawing/2014/main" id="{00000000-0008-0000-0200-000002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144780</xdr:colOff>
          <xdr:row>15</xdr:row>
          <xdr:rowOff>45720</xdr:rowOff>
        </xdr:from>
        <xdr:to>
          <xdr:col>4</xdr:col>
          <xdr:colOff>449580</xdr:colOff>
          <xdr:row>15</xdr:row>
          <xdr:rowOff>266700</xdr:rowOff>
        </xdr:to>
        <xdr:sp macro="" textlink="">
          <xdr:nvSpPr>
            <xdr:cNvPr id="19459" name="Option Button 3" hidden="1">
              <a:extLst>
                <a:ext uri="{63B3BB69-23CF-44E3-9099-C40C66FF867C}">
                  <a14:compatExt spid="_x0000_s19459"/>
                </a:ext>
                <a:ext uri="{FF2B5EF4-FFF2-40B4-BE49-F238E27FC236}">
                  <a16:creationId xmlns:a16="http://schemas.microsoft.com/office/drawing/2014/main" id="{00000000-0008-0000-0200-000003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144780</xdr:colOff>
          <xdr:row>15</xdr:row>
          <xdr:rowOff>45720</xdr:rowOff>
        </xdr:from>
        <xdr:to>
          <xdr:col>7</xdr:col>
          <xdr:colOff>449580</xdr:colOff>
          <xdr:row>15</xdr:row>
          <xdr:rowOff>266700</xdr:rowOff>
        </xdr:to>
        <xdr:sp macro="" textlink="">
          <xdr:nvSpPr>
            <xdr:cNvPr id="19461" name="Option Button 5" hidden="1">
              <a:extLst>
                <a:ext uri="{63B3BB69-23CF-44E3-9099-C40C66FF867C}">
                  <a14:compatExt spid="_x0000_s19461"/>
                </a:ext>
                <a:ext uri="{FF2B5EF4-FFF2-40B4-BE49-F238E27FC236}">
                  <a16:creationId xmlns:a16="http://schemas.microsoft.com/office/drawing/2014/main" id="{00000000-0008-0000-0200-000005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144780</xdr:colOff>
          <xdr:row>15</xdr:row>
          <xdr:rowOff>45720</xdr:rowOff>
        </xdr:from>
        <xdr:to>
          <xdr:col>10</xdr:col>
          <xdr:colOff>449580</xdr:colOff>
          <xdr:row>15</xdr:row>
          <xdr:rowOff>266700</xdr:rowOff>
        </xdr:to>
        <xdr:sp macro="" textlink="">
          <xdr:nvSpPr>
            <xdr:cNvPr id="19462" name="Option Button 6" hidden="1">
              <a:extLst>
                <a:ext uri="{63B3BB69-23CF-44E3-9099-C40C66FF867C}">
                  <a14:compatExt spid="_x0000_s19462"/>
                </a:ext>
                <a:ext uri="{FF2B5EF4-FFF2-40B4-BE49-F238E27FC236}">
                  <a16:creationId xmlns:a16="http://schemas.microsoft.com/office/drawing/2014/main" id="{00000000-0008-0000-0200-000006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144780</xdr:colOff>
          <xdr:row>15</xdr:row>
          <xdr:rowOff>45720</xdr:rowOff>
        </xdr:from>
        <xdr:to>
          <xdr:col>13</xdr:col>
          <xdr:colOff>449580</xdr:colOff>
          <xdr:row>15</xdr:row>
          <xdr:rowOff>266700</xdr:rowOff>
        </xdr:to>
        <xdr:sp macro="" textlink="">
          <xdr:nvSpPr>
            <xdr:cNvPr id="19463" name="Option Button 7" hidden="1">
              <a:extLst>
                <a:ext uri="{63B3BB69-23CF-44E3-9099-C40C66FF867C}">
                  <a14:compatExt spid="_x0000_s19463"/>
                </a:ext>
                <a:ext uri="{FF2B5EF4-FFF2-40B4-BE49-F238E27FC236}">
                  <a16:creationId xmlns:a16="http://schemas.microsoft.com/office/drawing/2014/main" id="{00000000-0008-0000-0200-000007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144780</xdr:colOff>
          <xdr:row>15</xdr:row>
          <xdr:rowOff>45720</xdr:rowOff>
        </xdr:from>
        <xdr:to>
          <xdr:col>16</xdr:col>
          <xdr:colOff>449580</xdr:colOff>
          <xdr:row>15</xdr:row>
          <xdr:rowOff>266700</xdr:rowOff>
        </xdr:to>
        <xdr:sp macro="" textlink="">
          <xdr:nvSpPr>
            <xdr:cNvPr id="19464" name="Option Button 8" hidden="1">
              <a:extLst>
                <a:ext uri="{63B3BB69-23CF-44E3-9099-C40C66FF867C}">
                  <a14:compatExt spid="_x0000_s19464"/>
                </a:ext>
                <a:ext uri="{FF2B5EF4-FFF2-40B4-BE49-F238E27FC236}">
                  <a16:creationId xmlns:a16="http://schemas.microsoft.com/office/drawing/2014/main" id="{00000000-0008-0000-0200-000008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xdr:col>
      <xdr:colOff>745068</xdr:colOff>
      <xdr:row>29</xdr:row>
      <xdr:rowOff>185208</xdr:rowOff>
    </xdr:from>
    <xdr:to>
      <xdr:col>6</xdr:col>
      <xdr:colOff>186267</xdr:colOff>
      <xdr:row>31</xdr:row>
      <xdr:rowOff>175683</xdr:rowOff>
    </xdr:to>
    <xdr:sp macro="" textlink="">
      <xdr:nvSpPr>
        <xdr:cNvPr id="3" name="Rounded Rectangle 2">
          <a:extLst>
            <a:ext uri="{FF2B5EF4-FFF2-40B4-BE49-F238E27FC236}">
              <a16:creationId xmlns:a16="http://schemas.microsoft.com/office/drawing/2014/main" id="{00000000-0008-0000-0600-000003000000}"/>
            </a:ext>
          </a:extLst>
        </xdr:cNvPr>
        <xdr:cNvSpPr/>
      </xdr:nvSpPr>
      <xdr:spPr>
        <a:xfrm>
          <a:off x="1727201" y="6679141"/>
          <a:ext cx="922866" cy="447675"/>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2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Staff List</a:t>
          </a:r>
        </a:p>
      </xdr:txBody>
    </xdr:sp>
    <xdr:clientData/>
  </xdr:twoCellAnchor>
  <xdr:twoCellAnchor>
    <xdr:from>
      <xdr:col>2</xdr:col>
      <xdr:colOff>111125</xdr:colOff>
      <xdr:row>29</xdr:row>
      <xdr:rowOff>185208</xdr:rowOff>
    </xdr:from>
    <xdr:to>
      <xdr:col>4</xdr:col>
      <xdr:colOff>279400</xdr:colOff>
      <xdr:row>31</xdr:row>
      <xdr:rowOff>175683</xdr:rowOff>
    </xdr:to>
    <xdr:sp macro="" textlink="">
      <xdr:nvSpPr>
        <xdr:cNvPr id="4" name="Rounded Rectangle 3">
          <a:extLst>
            <a:ext uri="{FF2B5EF4-FFF2-40B4-BE49-F238E27FC236}">
              <a16:creationId xmlns:a16="http://schemas.microsoft.com/office/drawing/2014/main" id="{00000000-0008-0000-0600-000004000000}"/>
            </a:ext>
          </a:extLst>
        </xdr:cNvPr>
        <xdr:cNvSpPr/>
      </xdr:nvSpPr>
      <xdr:spPr>
        <a:xfrm>
          <a:off x="390525" y="6628341"/>
          <a:ext cx="871008" cy="447675"/>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1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Setup</a:t>
          </a:r>
        </a:p>
      </xdr:txBody>
    </xdr:sp>
    <xdr:clientData/>
  </xdr:twoCellAnchor>
  <xdr:twoCellAnchor>
    <xdr:from>
      <xdr:col>4</xdr:col>
      <xdr:colOff>279400</xdr:colOff>
      <xdr:row>30</xdr:row>
      <xdr:rowOff>180446</xdr:rowOff>
    </xdr:from>
    <xdr:to>
      <xdr:col>4</xdr:col>
      <xdr:colOff>745068</xdr:colOff>
      <xdr:row>30</xdr:row>
      <xdr:rowOff>180446</xdr:rowOff>
    </xdr:to>
    <xdr:cxnSp macro="">
      <xdr:nvCxnSpPr>
        <xdr:cNvPr id="5" name="Straight Arrow Connector 4">
          <a:extLst>
            <a:ext uri="{FF2B5EF4-FFF2-40B4-BE49-F238E27FC236}">
              <a16:creationId xmlns:a16="http://schemas.microsoft.com/office/drawing/2014/main" id="{00000000-0008-0000-0600-000005000000}"/>
            </a:ext>
          </a:extLst>
        </xdr:cNvPr>
        <xdr:cNvCxnSpPr>
          <a:stCxn id="4" idx="3"/>
          <a:endCxn id="3" idx="1"/>
        </xdr:cNvCxnSpPr>
      </xdr:nvCxnSpPr>
      <xdr:spPr>
        <a:xfrm>
          <a:off x="1261533" y="6902979"/>
          <a:ext cx="465668" cy="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186267</xdr:colOff>
      <xdr:row>30</xdr:row>
      <xdr:rowOff>178330</xdr:rowOff>
    </xdr:from>
    <xdr:to>
      <xdr:col>6</xdr:col>
      <xdr:colOff>577850</xdr:colOff>
      <xdr:row>30</xdr:row>
      <xdr:rowOff>180446</xdr:rowOff>
    </xdr:to>
    <xdr:cxnSp macro="">
      <xdr:nvCxnSpPr>
        <xdr:cNvPr id="6" name="Straight Arrow Connector 5">
          <a:extLst>
            <a:ext uri="{FF2B5EF4-FFF2-40B4-BE49-F238E27FC236}">
              <a16:creationId xmlns:a16="http://schemas.microsoft.com/office/drawing/2014/main" id="{00000000-0008-0000-0600-000006000000}"/>
            </a:ext>
          </a:extLst>
        </xdr:cNvPr>
        <xdr:cNvCxnSpPr>
          <a:stCxn id="3" idx="3"/>
          <a:endCxn id="23" idx="1"/>
        </xdr:cNvCxnSpPr>
      </xdr:nvCxnSpPr>
      <xdr:spPr>
        <a:xfrm flipV="1">
          <a:off x="2650067" y="6900863"/>
          <a:ext cx="391583" cy="2116"/>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434975</xdr:colOff>
      <xdr:row>30</xdr:row>
      <xdr:rowOff>180446</xdr:rowOff>
    </xdr:from>
    <xdr:to>
      <xdr:col>9</xdr:col>
      <xdr:colOff>377826</xdr:colOff>
      <xdr:row>30</xdr:row>
      <xdr:rowOff>185209</xdr:rowOff>
    </xdr:to>
    <xdr:cxnSp macro="">
      <xdr:nvCxnSpPr>
        <xdr:cNvPr id="7" name="Straight Arrow Connector 6">
          <a:extLst>
            <a:ext uri="{FF2B5EF4-FFF2-40B4-BE49-F238E27FC236}">
              <a16:creationId xmlns:a16="http://schemas.microsoft.com/office/drawing/2014/main" id="{00000000-0008-0000-0600-000007000000}"/>
            </a:ext>
          </a:extLst>
        </xdr:cNvPr>
        <xdr:cNvCxnSpPr>
          <a:stCxn id="23" idx="3"/>
        </xdr:cNvCxnSpPr>
      </xdr:nvCxnSpPr>
      <xdr:spPr>
        <a:xfrm>
          <a:off x="4443095" y="6878426"/>
          <a:ext cx="567691" cy="476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358775</xdr:colOff>
      <xdr:row>29</xdr:row>
      <xdr:rowOff>123826</xdr:rowOff>
    </xdr:from>
    <xdr:to>
      <xdr:col>14</xdr:col>
      <xdr:colOff>269240</xdr:colOff>
      <xdr:row>31</xdr:row>
      <xdr:rowOff>180976</xdr:rowOff>
    </xdr:to>
    <xdr:sp macro="" textlink="">
      <xdr:nvSpPr>
        <xdr:cNvPr id="8" name="Rounded Rectangle 7">
          <a:extLst>
            <a:ext uri="{FF2B5EF4-FFF2-40B4-BE49-F238E27FC236}">
              <a16:creationId xmlns:a16="http://schemas.microsoft.com/office/drawing/2014/main" id="{00000000-0008-0000-0600-000008000000}"/>
            </a:ext>
          </a:extLst>
        </xdr:cNvPr>
        <xdr:cNvSpPr/>
      </xdr:nvSpPr>
      <xdr:spPr>
        <a:xfrm>
          <a:off x="6866255" y="6593206"/>
          <a:ext cx="1160145" cy="514350"/>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5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Establish Control Accounts</a:t>
          </a:r>
        </a:p>
      </xdr:txBody>
    </xdr:sp>
    <xdr:clientData/>
  </xdr:twoCellAnchor>
  <xdr:twoCellAnchor>
    <xdr:from>
      <xdr:col>14</xdr:col>
      <xdr:colOff>269240</xdr:colOff>
      <xdr:row>30</xdr:row>
      <xdr:rowOff>152401</xdr:rowOff>
    </xdr:from>
    <xdr:to>
      <xdr:col>14</xdr:col>
      <xdr:colOff>511174</xdr:colOff>
      <xdr:row>30</xdr:row>
      <xdr:rowOff>152401</xdr:rowOff>
    </xdr:to>
    <xdr:cxnSp macro="">
      <xdr:nvCxnSpPr>
        <xdr:cNvPr id="9" name="Straight Arrow Connector 8">
          <a:extLst>
            <a:ext uri="{FF2B5EF4-FFF2-40B4-BE49-F238E27FC236}">
              <a16:creationId xmlns:a16="http://schemas.microsoft.com/office/drawing/2014/main" id="{00000000-0008-0000-0600-000009000000}"/>
            </a:ext>
          </a:extLst>
        </xdr:cNvPr>
        <xdr:cNvCxnSpPr>
          <a:stCxn id="8" idx="3"/>
        </xdr:cNvCxnSpPr>
      </xdr:nvCxnSpPr>
      <xdr:spPr>
        <a:xfrm>
          <a:off x="8026400" y="6850381"/>
          <a:ext cx="241934" cy="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444500</xdr:colOff>
      <xdr:row>29</xdr:row>
      <xdr:rowOff>152399</xdr:rowOff>
    </xdr:from>
    <xdr:to>
      <xdr:col>12</xdr:col>
      <xdr:colOff>82550</xdr:colOff>
      <xdr:row>31</xdr:row>
      <xdr:rowOff>142874</xdr:rowOff>
    </xdr:to>
    <xdr:sp macro="" textlink="">
      <xdr:nvSpPr>
        <xdr:cNvPr id="10" name="Diamond 9">
          <a:extLst>
            <a:ext uri="{FF2B5EF4-FFF2-40B4-BE49-F238E27FC236}">
              <a16:creationId xmlns:a16="http://schemas.microsoft.com/office/drawing/2014/main" id="{00000000-0008-0000-0600-00000A000000}"/>
            </a:ext>
          </a:extLst>
        </xdr:cNvPr>
        <xdr:cNvSpPr/>
      </xdr:nvSpPr>
      <xdr:spPr>
        <a:xfrm>
          <a:off x="6327140" y="6621779"/>
          <a:ext cx="262890" cy="447675"/>
        </a:xfrm>
        <a:prstGeom prst="diamond">
          <a:avLst/>
        </a:prstGeom>
        <a:solidFill>
          <a:schemeClr val="accent6">
            <a:lumMod val="75000"/>
          </a:schemeClr>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11</xdr:col>
      <xdr:colOff>221615</xdr:colOff>
      <xdr:row>28</xdr:row>
      <xdr:rowOff>76623</xdr:rowOff>
    </xdr:from>
    <xdr:to>
      <xdr:col>12</xdr:col>
      <xdr:colOff>276860</xdr:colOff>
      <xdr:row>29</xdr:row>
      <xdr:rowOff>190922</xdr:rowOff>
    </xdr:to>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6104255" y="6317403"/>
          <a:ext cx="680085"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latin typeface="Arial" panose="020B0604020202020204" pitchFamily="34" charset="0"/>
              <a:cs typeface="Arial" panose="020B0604020202020204" pitchFamily="34" charset="0"/>
            </a:rPr>
            <a:t>Bid &amp; Negotiate</a:t>
          </a:r>
        </a:p>
      </xdr:txBody>
    </xdr:sp>
    <xdr:clientData/>
  </xdr:twoCellAnchor>
  <xdr:twoCellAnchor>
    <xdr:from>
      <xdr:col>2</xdr:col>
      <xdr:colOff>149223</xdr:colOff>
      <xdr:row>32</xdr:row>
      <xdr:rowOff>133349</xdr:rowOff>
    </xdr:from>
    <xdr:to>
      <xdr:col>5</xdr:col>
      <xdr:colOff>50800</xdr:colOff>
      <xdr:row>36</xdr:row>
      <xdr:rowOff>200025</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428623" y="7262282"/>
          <a:ext cx="1180044" cy="981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Setup the Tool</a:t>
          </a:r>
        </a:p>
        <a:p>
          <a:pPr marL="0" marR="0" indent="0" algn="l" defTabSz="914400" eaLnBrk="1" fontAlgn="auto" latinLnBrk="0" hangingPunct="1">
            <a:lnSpc>
              <a:spcPct val="100000"/>
            </a:lnSpc>
            <a:spcBef>
              <a:spcPts val="0"/>
            </a:spcBef>
            <a:spcAft>
              <a:spcPts val="0"/>
            </a:spcAft>
            <a:buClrTx/>
            <a:buSzTx/>
            <a:buFontTx/>
            <a:buNone/>
            <a:tabLst/>
            <a:defRPr/>
          </a:pPr>
          <a:r>
            <a:rPr lang="en-AU" sz="800">
              <a:solidFill>
                <a:schemeClr val="dk1"/>
              </a:solidFill>
              <a:latin typeface="Arial" panose="020B0604020202020204" pitchFamily="34" charset="0"/>
              <a:ea typeface="+mn-ea"/>
              <a:cs typeface="Arial" panose="020B0604020202020204" pitchFamily="34" charset="0"/>
            </a:rPr>
            <a:t>Mode for the tool</a:t>
          </a:r>
          <a:br>
            <a:rPr lang="en-AU" sz="800">
              <a:solidFill>
                <a:schemeClr val="dk1"/>
              </a:solidFill>
              <a:latin typeface="Arial" panose="020B0604020202020204" pitchFamily="34" charset="0"/>
              <a:ea typeface="+mn-ea"/>
              <a:cs typeface="Arial" panose="020B0604020202020204" pitchFamily="34" charset="0"/>
            </a:rPr>
          </a:br>
          <a:r>
            <a:rPr lang="en-AU" sz="800">
              <a:solidFill>
                <a:schemeClr val="dk1"/>
              </a:solidFill>
              <a:latin typeface="Arial" panose="020B0604020202020204" pitchFamily="34" charset="0"/>
              <a:ea typeface="+mn-ea"/>
              <a:cs typeface="Arial" panose="020B0604020202020204" pitchFamily="34" charset="0"/>
            </a:rPr>
            <a:t>Project Details</a:t>
          </a:r>
        </a:p>
        <a:p>
          <a:pPr algn="l"/>
          <a:r>
            <a:rPr lang="en-AU" sz="800">
              <a:latin typeface="Arial" panose="020B0604020202020204" pitchFamily="34" charset="0"/>
              <a:cs typeface="Arial" panose="020B0604020202020204" pitchFamily="34" charset="0"/>
            </a:rPr>
            <a:t>Host PU Details</a:t>
          </a:r>
        </a:p>
        <a:p>
          <a:pPr algn="l"/>
          <a:r>
            <a:rPr lang="en-AU" sz="800">
              <a:latin typeface="Arial" panose="020B0604020202020204" pitchFamily="34" charset="0"/>
              <a:cs typeface="Arial" panose="020B0604020202020204" pitchFamily="34" charset="0"/>
            </a:rPr>
            <a:t>Contract Type</a:t>
          </a:r>
        </a:p>
        <a:p>
          <a:pPr algn="l"/>
          <a:r>
            <a:rPr lang="en-AU" sz="800">
              <a:latin typeface="Arial" panose="020B0604020202020204" pitchFamily="34" charset="0"/>
              <a:cs typeface="Arial" panose="020B0604020202020204" pitchFamily="34" charset="0"/>
            </a:rPr>
            <a:t>Pricing</a:t>
          </a:r>
          <a:r>
            <a:rPr lang="en-AU" sz="800" baseline="0">
              <a:latin typeface="Arial" panose="020B0604020202020204" pitchFamily="34" charset="0"/>
              <a:cs typeface="Arial" panose="020B0604020202020204" pitchFamily="34" charset="0"/>
            </a:rPr>
            <a:t> Method</a:t>
          </a:r>
        </a:p>
        <a:p>
          <a:pPr algn="l"/>
          <a:r>
            <a:rPr lang="en-AU" sz="800" baseline="0">
              <a:latin typeface="Arial" panose="020B0604020202020204" pitchFamily="34" charset="0"/>
              <a:cs typeface="Arial" panose="020B0604020202020204" pitchFamily="34" charset="0"/>
            </a:rPr>
            <a:t>Contributing PUs</a:t>
          </a:r>
        </a:p>
      </xdr:txBody>
    </xdr:sp>
    <xdr:clientData/>
  </xdr:twoCellAnchor>
  <xdr:twoCellAnchor>
    <xdr:from>
      <xdr:col>4</xdr:col>
      <xdr:colOff>558800</xdr:colOff>
      <xdr:row>32</xdr:row>
      <xdr:rowOff>123823</xdr:rowOff>
    </xdr:from>
    <xdr:to>
      <xdr:col>6</xdr:col>
      <xdr:colOff>448732</xdr:colOff>
      <xdr:row>39</xdr:row>
      <xdr:rowOff>169333</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540933" y="6981823"/>
          <a:ext cx="1371599" cy="1611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Nominate Project Team </a:t>
          </a:r>
        </a:p>
        <a:p>
          <a:pPr algn="l"/>
          <a:r>
            <a:rPr lang="en-AU" sz="800">
              <a:latin typeface="Arial" panose="020B0604020202020204" pitchFamily="34" charset="0"/>
              <a:cs typeface="Arial" panose="020B0604020202020204" pitchFamily="34" charset="0"/>
            </a:rPr>
            <a:t>Names and Roles</a:t>
          </a:r>
          <a:br>
            <a:rPr lang="en-AU" sz="8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Allocate staff to PUs or other organisations</a:t>
          </a:r>
        </a:p>
        <a:p>
          <a:pPr algn="l"/>
          <a:r>
            <a:rPr lang="en-AU" sz="800">
              <a:latin typeface="Arial" panose="020B0604020202020204" pitchFamily="34" charset="0"/>
              <a:cs typeface="Arial" panose="020B0604020202020204" pitchFamily="34" charset="0"/>
            </a:rPr>
            <a:t>Raw Labor Rates</a:t>
          </a:r>
        </a:p>
        <a:p>
          <a:pPr algn="l"/>
          <a:r>
            <a:rPr lang="en-AU" sz="800">
              <a:latin typeface="Arial" panose="020B0604020202020204" pitchFamily="34" charset="0"/>
              <a:cs typeface="Arial" panose="020B0604020202020204" pitchFamily="34" charset="0"/>
            </a:rPr>
            <a:t>Burdened Labor Rates</a:t>
          </a:r>
        </a:p>
        <a:p>
          <a:pPr algn="l"/>
          <a:r>
            <a:rPr lang="en-AU" sz="800">
              <a:latin typeface="Arial" panose="020B0604020202020204" pitchFamily="34" charset="0"/>
              <a:cs typeface="Arial" panose="020B0604020202020204" pitchFamily="34" charset="0"/>
            </a:rPr>
            <a:t>Sell Rates</a:t>
          </a:r>
        </a:p>
        <a:p>
          <a:pPr algn="l"/>
          <a:r>
            <a:rPr lang="en-AU" sz="800">
              <a:latin typeface="Arial" panose="020B0604020202020204" pitchFamily="34" charset="0"/>
              <a:cs typeface="Arial" panose="020B0604020202020204" pitchFamily="34" charset="0"/>
            </a:rPr>
            <a:t>Escalation (Cost &amp; Revenue)</a:t>
          </a:r>
        </a:p>
        <a:p>
          <a:pPr algn="l"/>
          <a:r>
            <a:rPr lang="en-AU" sz="800">
              <a:latin typeface="Arial" panose="020B0604020202020204" pitchFamily="34" charset="0"/>
              <a:cs typeface="Arial" panose="020B0604020202020204" pitchFamily="34" charset="0"/>
            </a:rPr>
            <a:t>Overtime / Allowances</a:t>
          </a:r>
        </a:p>
      </xdr:txBody>
    </xdr:sp>
    <xdr:clientData/>
  </xdr:twoCellAnchor>
  <xdr:twoCellAnchor>
    <xdr:from>
      <xdr:col>6</xdr:col>
      <xdr:colOff>553504</xdr:colOff>
      <xdr:row>34</xdr:row>
      <xdr:rowOff>123823</xdr:rowOff>
    </xdr:from>
    <xdr:to>
      <xdr:col>9</xdr:col>
      <xdr:colOff>465666</xdr:colOff>
      <xdr:row>39</xdr:row>
      <xdr:rowOff>127000</xdr:rowOff>
    </xdr:to>
    <xdr:sp macro="" textlink="">
      <xdr:nvSpPr>
        <xdr:cNvPr id="14" name="TextBox 13">
          <a:extLst>
            <a:ext uri="{FF2B5EF4-FFF2-40B4-BE49-F238E27FC236}">
              <a16:creationId xmlns:a16="http://schemas.microsoft.com/office/drawing/2014/main" id="{00000000-0008-0000-0600-00000E000000}"/>
            </a:ext>
          </a:extLst>
        </xdr:cNvPr>
        <xdr:cNvSpPr txBox="1"/>
      </xdr:nvSpPr>
      <xdr:spPr>
        <a:xfrm>
          <a:off x="3017304" y="7760756"/>
          <a:ext cx="1656295" cy="1112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Plan the Project</a:t>
          </a:r>
        </a:p>
        <a:p>
          <a:pPr algn="l"/>
          <a:r>
            <a:rPr lang="en-AU" sz="800">
              <a:latin typeface="Arial" panose="020B0604020202020204" pitchFamily="34" charset="0"/>
              <a:cs typeface="Arial" panose="020B0604020202020204" pitchFamily="34" charset="0"/>
            </a:rPr>
            <a:t>- Labor Resources</a:t>
          </a:r>
        </a:p>
        <a:p>
          <a:pPr algn="l"/>
          <a:r>
            <a:rPr lang="en-AU" sz="800">
              <a:latin typeface="Arial" panose="020B0604020202020204" pitchFamily="34" charset="0"/>
              <a:cs typeface="Arial" panose="020B0604020202020204" pitchFamily="34" charset="0"/>
            </a:rPr>
            <a:t>- Expenses and Subcontractors</a:t>
          </a:r>
        </a:p>
        <a:p>
          <a:pPr algn="l"/>
          <a:r>
            <a:rPr lang="en-AU" sz="800">
              <a:latin typeface="Arial" panose="020B0604020202020204" pitchFamily="34" charset="0"/>
              <a:cs typeface="Arial" panose="020B0604020202020204" pitchFamily="34" charset="0"/>
            </a:rPr>
            <a:t>- Scope:</a:t>
          </a:r>
          <a:r>
            <a:rPr lang="en-AU" sz="800" baseline="0">
              <a:latin typeface="Arial" panose="020B0604020202020204" pitchFamily="34" charset="0"/>
              <a:cs typeface="Arial" panose="020B0604020202020204" pitchFamily="34" charset="0"/>
            </a:rPr>
            <a:t> </a:t>
          </a:r>
          <a:r>
            <a:rPr lang="en-AU" sz="800">
              <a:latin typeface="Arial" panose="020B0604020202020204" pitchFamily="34" charset="0"/>
              <a:cs typeface="Arial" panose="020B0604020202020204" pitchFamily="34" charset="0"/>
            </a:rPr>
            <a:t>Tasks and Activities</a:t>
          </a:r>
        </a:p>
        <a:p>
          <a:pPr algn="l"/>
          <a:r>
            <a:rPr lang="en-AU" sz="800">
              <a:latin typeface="Arial" panose="020B0604020202020204" pitchFamily="34" charset="0"/>
              <a:cs typeface="Arial" panose="020B0604020202020204" pitchFamily="34" charset="0"/>
            </a:rPr>
            <a:t>- Hours</a:t>
          </a:r>
          <a:r>
            <a:rPr lang="en-AU" sz="800" baseline="0">
              <a:latin typeface="Arial" panose="020B0604020202020204" pitchFamily="34" charset="0"/>
              <a:cs typeface="Arial" panose="020B0604020202020204" pitchFamily="34" charset="0"/>
            </a:rPr>
            <a:t> per person per activity</a:t>
          </a:r>
        </a:p>
        <a:p>
          <a:pPr algn="l"/>
          <a:r>
            <a:rPr lang="en-AU" sz="800">
              <a:latin typeface="Arial" panose="020B0604020202020204" pitchFamily="34" charset="0"/>
              <a:cs typeface="Arial" panose="020B0604020202020204" pitchFamily="34" charset="0"/>
            </a:rPr>
            <a:t>- Durations &amp; Timephasing</a:t>
          </a:r>
          <a:br>
            <a:rPr lang="en-AU" sz="8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 Final Staffing Levels check</a:t>
          </a:r>
        </a:p>
      </xdr:txBody>
    </xdr:sp>
    <xdr:clientData/>
  </xdr:twoCellAnchor>
  <xdr:twoCellAnchor>
    <xdr:from>
      <xdr:col>12</xdr:col>
      <xdr:colOff>285748</xdr:colOff>
      <xdr:row>32</xdr:row>
      <xdr:rowOff>114300</xdr:rowOff>
    </xdr:from>
    <xdr:to>
      <xdr:col>14</xdr:col>
      <xdr:colOff>419100</xdr:colOff>
      <xdr:row>35</xdr:row>
      <xdr:rowOff>180975</xdr:rowOff>
    </xdr:to>
    <xdr:sp macro="" textlink="">
      <xdr:nvSpPr>
        <xdr:cNvPr id="15" name="TextBox 14">
          <a:extLst>
            <a:ext uri="{FF2B5EF4-FFF2-40B4-BE49-F238E27FC236}">
              <a16:creationId xmlns:a16="http://schemas.microsoft.com/office/drawing/2014/main" id="{00000000-0008-0000-0600-00000F000000}"/>
            </a:ext>
          </a:extLst>
        </xdr:cNvPr>
        <xdr:cNvSpPr txBox="1"/>
      </xdr:nvSpPr>
      <xdr:spPr>
        <a:xfrm>
          <a:off x="6793228" y="7269480"/>
          <a:ext cx="1383032"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Configure for Delivery</a:t>
          </a:r>
          <a:br>
            <a:rPr lang="en-AU" sz="9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Setup WBS Codes (IPCS Path IDs) and map these to the Project Plan.</a:t>
          </a:r>
        </a:p>
        <a:p>
          <a:pPr algn="l"/>
          <a:r>
            <a:rPr lang="en-AU" sz="800">
              <a:latin typeface="Arial" panose="020B0604020202020204" pitchFamily="34" charset="0"/>
              <a:cs typeface="Arial" panose="020B0604020202020204" pitchFamily="34" charset="0"/>
            </a:rPr>
            <a:t>Review Forecast Settings</a:t>
          </a:r>
        </a:p>
      </xdr:txBody>
    </xdr:sp>
    <xdr:clientData/>
  </xdr:twoCellAnchor>
  <xdr:twoCellAnchor>
    <xdr:from>
      <xdr:col>14</xdr:col>
      <xdr:colOff>400048</xdr:colOff>
      <xdr:row>34</xdr:row>
      <xdr:rowOff>85723</xdr:rowOff>
    </xdr:from>
    <xdr:to>
      <xdr:col>18</xdr:col>
      <xdr:colOff>76199</xdr:colOff>
      <xdr:row>39</xdr:row>
      <xdr:rowOff>57149</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8157208" y="7698103"/>
          <a:ext cx="1550671" cy="1083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AU" sz="900" b="1">
              <a:solidFill>
                <a:srgbClr val="C00000"/>
              </a:solidFill>
              <a:effectLst/>
              <a:latin typeface="Arial" panose="020B0604020202020204" pitchFamily="34" charset="0"/>
              <a:ea typeface="+mn-ea"/>
              <a:cs typeface="Arial" panose="020B0604020202020204" pitchFamily="34" charset="0"/>
            </a:rPr>
            <a:t>Setup</a:t>
          </a:r>
          <a:r>
            <a:rPr lang="en-AU" sz="900" b="1" baseline="0">
              <a:solidFill>
                <a:srgbClr val="C00000"/>
              </a:solidFill>
              <a:effectLst/>
              <a:latin typeface="Arial" panose="020B0604020202020204" pitchFamily="34" charset="0"/>
              <a:ea typeface="+mn-ea"/>
              <a:cs typeface="Arial" panose="020B0604020202020204" pitchFamily="34" charset="0"/>
            </a:rPr>
            <a:t> Delivery Systems</a:t>
          </a:r>
        </a:p>
        <a:p>
          <a:r>
            <a:rPr lang="en-AU" sz="800">
              <a:solidFill>
                <a:schemeClr val="tx1"/>
              </a:solidFill>
              <a:effectLst/>
              <a:latin typeface="Arial" panose="020B0604020202020204" pitchFamily="34" charset="0"/>
              <a:ea typeface="+mn-ea"/>
              <a:cs typeface="Arial" panose="020B0604020202020204" pitchFamily="34" charset="0"/>
            </a:rPr>
            <a:t>Financial data for PAP / AutoPAP</a:t>
          </a:r>
          <a:r>
            <a:rPr lang="en-AU" sz="800" baseline="0">
              <a:solidFill>
                <a:schemeClr val="tx1"/>
              </a:solidFill>
              <a:effectLst/>
              <a:latin typeface="Arial" panose="020B0604020202020204" pitchFamily="34" charset="0"/>
              <a:ea typeface="+mn-ea"/>
              <a:cs typeface="Arial" panose="020B0604020202020204" pitchFamily="34" charset="0"/>
            </a:rPr>
            <a:t> completion</a:t>
          </a:r>
          <a:br>
            <a:rPr lang="en-AU" sz="800" baseline="0">
              <a:solidFill>
                <a:schemeClr val="tx1"/>
              </a:solidFill>
              <a:effectLst/>
              <a:latin typeface="Arial" panose="020B0604020202020204" pitchFamily="34" charset="0"/>
              <a:ea typeface="+mn-ea"/>
              <a:cs typeface="Arial" panose="020B0604020202020204" pitchFamily="34" charset="0"/>
            </a:rPr>
          </a:br>
          <a:endParaRPr lang="en-AU" sz="800">
            <a:solidFill>
              <a:schemeClr val="tx1"/>
            </a:solidFill>
            <a:effectLst/>
            <a:latin typeface="Arial" panose="020B0604020202020204" pitchFamily="34" charset="0"/>
            <a:ea typeface="+mn-ea"/>
            <a:cs typeface="Arial" panose="020B0604020202020204" pitchFamily="34" charset="0"/>
          </a:endParaRPr>
        </a:p>
        <a:p>
          <a:r>
            <a:rPr lang="en-AU" sz="800">
              <a:solidFill>
                <a:schemeClr val="dk1"/>
              </a:solidFill>
              <a:effectLst/>
              <a:latin typeface="Arial" panose="020B0604020202020204" pitchFamily="34" charset="0"/>
              <a:ea typeface="+mn-ea"/>
              <a:cs typeface="Arial" panose="020B0604020202020204" pitchFamily="34" charset="0"/>
            </a:rPr>
            <a:t>Automated IPCS setup (EcoSys) via flat file exports</a:t>
          </a:r>
          <a:endParaRPr lang="en-AU" sz="800">
            <a:latin typeface="Arial" panose="020B0604020202020204" pitchFamily="34" charset="0"/>
            <a:cs typeface="Arial" panose="020B0604020202020204" pitchFamily="34" charset="0"/>
          </a:endParaRPr>
        </a:p>
      </xdr:txBody>
    </xdr:sp>
    <xdr:clientData/>
  </xdr:twoCellAnchor>
  <xdr:twoCellAnchor>
    <xdr:from>
      <xdr:col>8</xdr:col>
      <xdr:colOff>310528</xdr:colOff>
      <xdr:row>27</xdr:row>
      <xdr:rowOff>192042</xdr:rowOff>
    </xdr:from>
    <xdr:to>
      <xdr:col>10</xdr:col>
      <xdr:colOff>233859</xdr:colOff>
      <xdr:row>31</xdr:row>
      <xdr:rowOff>58692</xdr:rowOff>
    </xdr:to>
    <xdr:sp macro="" textlink="">
      <xdr:nvSpPr>
        <xdr:cNvPr id="17" name="Arc 16">
          <a:extLst>
            <a:ext uri="{FF2B5EF4-FFF2-40B4-BE49-F238E27FC236}">
              <a16:creationId xmlns:a16="http://schemas.microsoft.com/office/drawing/2014/main" id="{00000000-0008-0000-0600-000011000000}"/>
            </a:ext>
          </a:extLst>
        </xdr:cNvPr>
        <xdr:cNvSpPr/>
      </xdr:nvSpPr>
      <xdr:spPr>
        <a:xfrm rot="994564" flipH="1">
          <a:off x="4318648" y="6089922"/>
          <a:ext cx="1173011" cy="895350"/>
        </a:xfrm>
        <a:prstGeom prst="arc">
          <a:avLst>
            <a:gd name="adj1" fmla="val 11475514"/>
            <a:gd name="adj2" fmla="val 20751457"/>
          </a:avLst>
        </a:prstGeom>
        <a:ln>
          <a:solidFill>
            <a:schemeClr val="tx1"/>
          </a:solidFill>
          <a:headEnd type="none" w="lg" len="med"/>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AU" sz="1100"/>
        </a:p>
      </xdr:txBody>
    </xdr:sp>
    <xdr:clientData/>
  </xdr:twoCellAnchor>
  <xdr:twoCellAnchor>
    <xdr:from>
      <xdr:col>8</xdr:col>
      <xdr:colOff>466725</xdr:colOff>
      <xdr:row>27</xdr:row>
      <xdr:rowOff>209550</xdr:rowOff>
    </xdr:from>
    <xdr:to>
      <xdr:col>10</xdr:col>
      <xdr:colOff>28575</xdr:colOff>
      <xdr:row>28</xdr:row>
      <xdr:rowOff>114299</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4474845" y="6107430"/>
          <a:ext cx="81153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latin typeface="Arial" panose="020B0604020202020204" pitchFamily="34" charset="0"/>
              <a:cs typeface="Arial" panose="020B0604020202020204" pitchFamily="34" charset="0"/>
            </a:rPr>
            <a:t>Modify Plan?</a:t>
          </a:r>
        </a:p>
      </xdr:txBody>
    </xdr:sp>
    <xdr:clientData/>
  </xdr:twoCellAnchor>
  <xdr:twoCellAnchor>
    <xdr:from>
      <xdr:col>6</xdr:col>
      <xdr:colOff>577850</xdr:colOff>
      <xdr:row>27</xdr:row>
      <xdr:rowOff>280459</xdr:rowOff>
    </xdr:from>
    <xdr:to>
      <xdr:col>8</xdr:col>
      <xdr:colOff>434975</xdr:colOff>
      <xdr:row>33</xdr:row>
      <xdr:rowOff>194733</xdr:rowOff>
    </xdr:to>
    <xdr:grpSp>
      <xdr:nvGrpSpPr>
        <xdr:cNvPr id="19" name="Group 18">
          <a:extLst>
            <a:ext uri="{FF2B5EF4-FFF2-40B4-BE49-F238E27FC236}">
              <a16:creationId xmlns:a16="http://schemas.microsoft.com/office/drawing/2014/main" id="{00000000-0008-0000-0600-000013000000}"/>
            </a:ext>
          </a:extLst>
        </xdr:cNvPr>
        <xdr:cNvGrpSpPr/>
      </xdr:nvGrpSpPr>
      <xdr:grpSpPr>
        <a:xfrm>
          <a:off x="3056255" y="6009852"/>
          <a:ext cx="1139613" cy="1415203"/>
          <a:chOff x="3657600" y="6943726"/>
          <a:chExt cx="1076325" cy="1400174"/>
        </a:xfrm>
      </xdr:grpSpPr>
      <xdr:sp macro="" textlink="">
        <xdr:nvSpPr>
          <xdr:cNvPr id="20" name="Rounded Rectangle 19">
            <a:extLst>
              <a:ext uri="{FF2B5EF4-FFF2-40B4-BE49-F238E27FC236}">
                <a16:creationId xmlns:a16="http://schemas.microsoft.com/office/drawing/2014/main" id="{00000000-0008-0000-0600-000014000000}"/>
              </a:ext>
            </a:extLst>
          </xdr:cNvPr>
          <xdr:cNvSpPr/>
        </xdr:nvSpPr>
        <xdr:spPr>
          <a:xfrm>
            <a:off x="3771901" y="7029451"/>
            <a:ext cx="857249" cy="485775"/>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3a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Staffing</a:t>
            </a:r>
            <a:r>
              <a:rPr lang="en-AU" sz="1000" b="1" baseline="0">
                <a:solidFill>
                  <a:schemeClr val="tx1"/>
                </a:solidFill>
                <a:latin typeface="Arial" panose="020B0604020202020204" pitchFamily="34" charset="0"/>
                <a:cs typeface="Arial" panose="020B0604020202020204" pitchFamily="34" charset="0"/>
              </a:rPr>
              <a:t> Plan</a:t>
            </a:r>
            <a:endParaRPr lang="en-AU" sz="1000" b="1">
              <a:solidFill>
                <a:schemeClr val="tx1"/>
              </a:solidFill>
              <a:latin typeface="Arial" panose="020B0604020202020204" pitchFamily="34" charset="0"/>
              <a:cs typeface="Arial" panose="020B0604020202020204" pitchFamily="34" charset="0"/>
            </a:endParaRPr>
          </a:p>
        </xdr:txBody>
      </xdr:sp>
      <xdr:sp macro="" textlink="">
        <xdr:nvSpPr>
          <xdr:cNvPr id="21" name="Rounded Rectangle 20">
            <a:extLst>
              <a:ext uri="{FF2B5EF4-FFF2-40B4-BE49-F238E27FC236}">
                <a16:creationId xmlns:a16="http://schemas.microsoft.com/office/drawing/2014/main" id="{00000000-0008-0000-0600-000015000000}"/>
              </a:ext>
            </a:extLst>
          </xdr:cNvPr>
          <xdr:cNvSpPr/>
        </xdr:nvSpPr>
        <xdr:spPr>
          <a:xfrm>
            <a:off x="3762376" y="7753350"/>
            <a:ext cx="866774" cy="514350"/>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3b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Activity</a:t>
            </a:r>
            <a:r>
              <a:rPr lang="en-AU" sz="1000" b="1" baseline="0">
                <a:solidFill>
                  <a:schemeClr val="tx1"/>
                </a:solidFill>
                <a:latin typeface="Arial" panose="020B0604020202020204" pitchFamily="34" charset="0"/>
                <a:cs typeface="Arial" panose="020B0604020202020204" pitchFamily="34" charset="0"/>
              </a:rPr>
              <a:t> Plan</a:t>
            </a:r>
            <a:endParaRPr lang="en-AU" sz="1000" b="1">
              <a:solidFill>
                <a:schemeClr val="tx1"/>
              </a:solidFill>
              <a:latin typeface="Arial" panose="020B0604020202020204" pitchFamily="34" charset="0"/>
              <a:cs typeface="Arial" panose="020B0604020202020204" pitchFamily="34" charset="0"/>
            </a:endParaRPr>
          </a:p>
        </xdr:txBody>
      </xdr:sp>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4010025" y="7534275"/>
            <a:ext cx="40957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latin typeface="Arial" panose="020B0604020202020204" pitchFamily="34" charset="0"/>
                <a:cs typeface="Arial" panose="020B0604020202020204" pitchFamily="34" charset="0"/>
              </a:rPr>
              <a:t>OR</a:t>
            </a:r>
          </a:p>
        </xdr:txBody>
      </xdr:sp>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3657600" y="6943726"/>
            <a:ext cx="1076325" cy="1400174"/>
          </a:xfrm>
          <a:prstGeom prst="roundRect">
            <a:avLst/>
          </a:prstGeom>
          <a:noFill/>
          <a:ln w="12700">
            <a:solidFill>
              <a:schemeClr val="tx1"/>
            </a:solidFill>
            <a:prstDash val="dash"/>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lang="en-AU" sz="1000" b="1">
              <a:solidFill>
                <a:schemeClr val="tx1"/>
              </a:solidFill>
              <a:latin typeface="Arial" panose="020B0604020202020204" pitchFamily="34" charset="0"/>
              <a:cs typeface="Arial" panose="020B0604020202020204" pitchFamily="34" charset="0"/>
            </a:endParaRPr>
          </a:p>
        </xdr:txBody>
      </xdr:sp>
    </xdr:grpSp>
    <xdr:clientData/>
  </xdr:twoCellAnchor>
  <xdr:twoCellAnchor>
    <xdr:from>
      <xdr:col>9</xdr:col>
      <xdr:colOff>387350</xdr:colOff>
      <xdr:row>29</xdr:row>
      <xdr:rowOff>156634</xdr:rowOff>
    </xdr:from>
    <xdr:to>
      <xdr:col>11</xdr:col>
      <xdr:colOff>92075</xdr:colOff>
      <xdr:row>31</xdr:row>
      <xdr:rowOff>213784</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5020310" y="6626014"/>
          <a:ext cx="954405" cy="514350"/>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4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Proposal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Sign-Off</a:t>
          </a:r>
        </a:p>
      </xdr:txBody>
    </xdr:sp>
    <xdr:clientData/>
  </xdr:twoCellAnchor>
  <xdr:twoCellAnchor>
    <xdr:from>
      <xdr:col>9</xdr:col>
      <xdr:colOff>276223</xdr:colOff>
      <xdr:row>32</xdr:row>
      <xdr:rowOff>104774</xdr:rowOff>
    </xdr:from>
    <xdr:to>
      <xdr:col>12</xdr:col>
      <xdr:colOff>104775</xdr:colOff>
      <xdr:row>36</xdr:row>
      <xdr:rowOff>85725</xdr:rowOff>
    </xdr:to>
    <xdr:sp macro="" textlink="">
      <xdr:nvSpPr>
        <xdr:cNvPr id="25" name="TextBox 24">
          <a:extLst>
            <a:ext uri="{FF2B5EF4-FFF2-40B4-BE49-F238E27FC236}">
              <a16:creationId xmlns:a16="http://schemas.microsoft.com/office/drawing/2014/main" id="{00000000-0008-0000-0600-000019000000}"/>
            </a:ext>
          </a:extLst>
        </xdr:cNvPr>
        <xdr:cNvSpPr txBox="1"/>
      </xdr:nvSpPr>
      <xdr:spPr>
        <a:xfrm>
          <a:off x="4909183" y="7259954"/>
          <a:ext cx="1703072" cy="895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Proposal Sign-off </a:t>
          </a:r>
        </a:p>
        <a:p>
          <a:pPr algn="l"/>
          <a:r>
            <a:rPr lang="en-AU" sz="800">
              <a:latin typeface="Arial" panose="020B0604020202020204" pitchFamily="34" charset="0"/>
              <a:cs typeface="Arial" panose="020B0604020202020204" pitchFamily="34" charset="0"/>
            </a:rPr>
            <a:t>Modify the Plan (if required)</a:t>
          </a:r>
          <a:br>
            <a:rPr lang="en-AU" sz="8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Modify the staff mix (if required)</a:t>
          </a:r>
          <a:br>
            <a:rPr lang="en-AU" sz="8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Apply Contingency / Cost Rsv.</a:t>
          </a:r>
        </a:p>
        <a:p>
          <a:pPr algn="l"/>
          <a:r>
            <a:rPr lang="en-AU" sz="800">
              <a:latin typeface="Arial" panose="020B0604020202020204" pitchFamily="34" charset="0"/>
              <a:cs typeface="Arial" panose="020B0604020202020204" pitchFamily="34" charset="0"/>
            </a:rPr>
            <a:t>Assess the Gross Margin</a:t>
          </a:r>
        </a:p>
        <a:p>
          <a:pPr algn="l"/>
          <a:r>
            <a:rPr lang="en-AU" sz="800">
              <a:latin typeface="Arial" panose="020B0604020202020204" pitchFamily="34" charset="0"/>
              <a:cs typeface="Arial" panose="020B0604020202020204" pitchFamily="34" charset="0"/>
            </a:rPr>
            <a:t>Sign-off the Proposal</a:t>
          </a:r>
        </a:p>
      </xdr:txBody>
    </xdr:sp>
    <xdr:clientData/>
  </xdr:twoCellAnchor>
  <xdr:twoCellAnchor>
    <xdr:from>
      <xdr:col>14</xdr:col>
      <xdr:colOff>602614</xdr:colOff>
      <xdr:row>28</xdr:row>
      <xdr:rowOff>1</xdr:rowOff>
    </xdr:from>
    <xdr:to>
      <xdr:col>17</xdr:col>
      <xdr:colOff>368300</xdr:colOff>
      <xdr:row>30</xdr:row>
      <xdr:rowOff>47625</xdr:rowOff>
    </xdr:to>
    <xdr:sp macro="" textlink="">
      <xdr:nvSpPr>
        <xdr:cNvPr id="26" name="Rounded Rectangle 25">
          <a:extLst>
            <a:ext uri="{FF2B5EF4-FFF2-40B4-BE49-F238E27FC236}">
              <a16:creationId xmlns:a16="http://schemas.microsoft.com/office/drawing/2014/main" id="{00000000-0008-0000-0600-00001A000000}"/>
            </a:ext>
          </a:extLst>
        </xdr:cNvPr>
        <xdr:cNvSpPr/>
      </xdr:nvSpPr>
      <xdr:spPr>
        <a:xfrm>
          <a:off x="8359774" y="6240781"/>
          <a:ext cx="1015366" cy="504824"/>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r>
            <a:rPr lang="en-AU" sz="1000" b="1">
              <a:solidFill>
                <a:schemeClr val="tx1"/>
              </a:solidFill>
              <a:latin typeface="Arial" panose="020B0604020202020204" pitchFamily="34" charset="0"/>
              <a:ea typeface="+mn-ea"/>
              <a:cs typeface="Arial" panose="020B0604020202020204" pitchFamily="34" charset="0"/>
            </a:rPr>
            <a:t>6</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GFS Setup</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(PAP data)</a:t>
          </a:r>
        </a:p>
      </xdr:txBody>
    </xdr:sp>
    <xdr:clientData/>
  </xdr:twoCellAnchor>
  <xdr:twoCellAnchor>
    <xdr:from>
      <xdr:col>14</xdr:col>
      <xdr:colOff>565216</xdr:colOff>
      <xdr:row>31</xdr:row>
      <xdr:rowOff>38100</xdr:rowOff>
    </xdr:from>
    <xdr:to>
      <xdr:col>17</xdr:col>
      <xdr:colOff>350518</xdr:colOff>
      <xdr:row>33</xdr:row>
      <xdr:rowOff>95250</xdr:rowOff>
    </xdr:to>
    <xdr:sp macro="" textlink="">
      <xdr:nvSpPr>
        <xdr:cNvPr id="27" name="Rounded Rectangle 26">
          <a:extLst>
            <a:ext uri="{FF2B5EF4-FFF2-40B4-BE49-F238E27FC236}">
              <a16:creationId xmlns:a16="http://schemas.microsoft.com/office/drawing/2014/main" id="{00000000-0008-0000-0600-00001B000000}"/>
            </a:ext>
          </a:extLst>
        </xdr:cNvPr>
        <xdr:cNvSpPr/>
      </xdr:nvSpPr>
      <xdr:spPr>
        <a:xfrm>
          <a:off x="8322376" y="6964680"/>
          <a:ext cx="1034982" cy="514350"/>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7</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IPCS Setup</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(Upload Budget)</a:t>
          </a:r>
        </a:p>
      </xdr:txBody>
    </xdr:sp>
    <xdr:clientData/>
  </xdr:twoCellAnchor>
  <xdr:twoCellAnchor>
    <xdr:from>
      <xdr:col>15</xdr:col>
      <xdr:colOff>219732</xdr:colOff>
      <xdr:row>30</xdr:row>
      <xdr:rowOff>57151</xdr:rowOff>
    </xdr:from>
    <xdr:to>
      <xdr:col>17</xdr:col>
      <xdr:colOff>14780</xdr:colOff>
      <xdr:row>31</xdr:row>
      <xdr:rowOff>47625</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8601732" y="6755131"/>
          <a:ext cx="419888"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solidFill>
                <a:schemeClr val="tx1"/>
              </a:solidFill>
              <a:latin typeface="Arial" panose="020B0604020202020204" pitchFamily="34" charset="0"/>
              <a:cs typeface="Arial" panose="020B0604020202020204" pitchFamily="34" charset="0"/>
            </a:rPr>
            <a:t>AND</a:t>
          </a:r>
        </a:p>
      </xdr:txBody>
    </xdr:sp>
    <xdr:clientData/>
  </xdr:twoCellAnchor>
  <xdr:twoCellAnchor>
    <xdr:from>
      <xdr:col>14</xdr:col>
      <xdr:colOff>512236</xdr:colOff>
      <xdr:row>27</xdr:row>
      <xdr:rowOff>257176</xdr:rowOff>
    </xdr:from>
    <xdr:to>
      <xdr:col>17</xdr:col>
      <xdr:colOff>467360</xdr:colOff>
      <xdr:row>33</xdr:row>
      <xdr:rowOff>171450</xdr:rowOff>
    </xdr:to>
    <xdr:sp macro="" textlink="">
      <xdr:nvSpPr>
        <xdr:cNvPr id="29" name="Rounded Rectangle 28">
          <a:extLst>
            <a:ext uri="{FF2B5EF4-FFF2-40B4-BE49-F238E27FC236}">
              <a16:creationId xmlns:a16="http://schemas.microsoft.com/office/drawing/2014/main" id="{00000000-0008-0000-0600-00001D000000}"/>
            </a:ext>
          </a:extLst>
        </xdr:cNvPr>
        <xdr:cNvSpPr/>
      </xdr:nvSpPr>
      <xdr:spPr>
        <a:xfrm>
          <a:off x="8269396" y="6155056"/>
          <a:ext cx="1204804" cy="1400174"/>
        </a:xfrm>
        <a:prstGeom prst="roundRect">
          <a:avLst>
            <a:gd name="adj" fmla="val 13195"/>
          </a:avLst>
        </a:prstGeom>
        <a:noFill/>
        <a:ln w="12700">
          <a:solidFill>
            <a:schemeClr val="tx1"/>
          </a:solidFill>
          <a:prstDash val="dash"/>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lang="en-AU" sz="10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127000</xdr:colOff>
      <xdr:row>27</xdr:row>
      <xdr:rowOff>257176</xdr:rowOff>
    </xdr:from>
    <xdr:to>
      <xdr:col>20</xdr:col>
      <xdr:colOff>549285</xdr:colOff>
      <xdr:row>33</xdr:row>
      <xdr:rowOff>171450</xdr:rowOff>
    </xdr:to>
    <xdr:grpSp>
      <xdr:nvGrpSpPr>
        <xdr:cNvPr id="30" name="Group 29">
          <a:extLst>
            <a:ext uri="{FF2B5EF4-FFF2-40B4-BE49-F238E27FC236}">
              <a16:creationId xmlns:a16="http://schemas.microsoft.com/office/drawing/2014/main" id="{00000000-0008-0000-0600-00001E000000}"/>
            </a:ext>
          </a:extLst>
        </xdr:cNvPr>
        <xdr:cNvGrpSpPr/>
      </xdr:nvGrpSpPr>
      <xdr:grpSpPr>
        <a:xfrm>
          <a:off x="9454727" y="5980854"/>
          <a:ext cx="1236143" cy="1415203"/>
          <a:chOff x="9959322" y="6953251"/>
          <a:chExt cx="1175404" cy="1400174"/>
        </a:xfrm>
      </xdr:grpSpPr>
      <xdr:sp macro="" textlink="">
        <xdr:nvSpPr>
          <xdr:cNvPr id="31" name="Rounded Rectangle 30">
            <a:extLst>
              <a:ext uri="{FF2B5EF4-FFF2-40B4-BE49-F238E27FC236}">
                <a16:creationId xmlns:a16="http://schemas.microsoft.com/office/drawing/2014/main" id="{00000000-0008-0000-0600-00001F000000}"/>
              </a:ext>
            </a:extLst>
          </xdr:cNvPr>
          <xdr:cNvSpPr/>
        </xdr:nvSpPr>
        <xdr:spPr>
          <a:xfrm>
            <a:off x="10067926" y="7030534"/>
            <a:ext cx="990599" cy="523874"/>
          </a:xfrm>
          <a:prstGeom prst="roundRect">
            <a:avLst/>
          </a:prstGeom>
          <a:solidFill>
            <a:srgbClr val="FF9966"/>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r>
              <a:rPr lang="en-AU" sz="1000" b="1">
                <a:solidFill>
                  <a:schemeClr val="tx1"/>
                </a:solidFill>
                <a:latin typeface="Arial" panose="020B0604020202020204" pitchFamily="34" charset="0"/>
                <a:ea typeface="+mn-ea"/>
                <a:cs typeface="Arial" panose="020B0604020202020204" pitchFamily="34" charset="0"/>
              </a:rPr>
              <a:t>8</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Manual ETC </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Calculations</a:t>
            </a:r>
          </a:p>
        </xdr:txBody>
      </xdr:sp>
      <xdr:sp macro="" textlink="">
        <xdr:nvSpPr>
          <xdr:cNvPr id="32" name="Rounded Rectangle 31">
            <a:extLst>
              <a:ext uri="{FF2B5EF4-FFF2-40B4-BE49-F238E27FC236}">
                <a16:creationId xmlns:a16="http://schemas.microsoft.com/office/drawing/2014/main" id="{00000000-0008-0000-0600-000020000000}"/>
              </a:ext>
            </a:extLst>
          </xdr:cNvPr>
          <xdr:cNvSpPr/>
        </xdr:nvSpPr>
        <xdr:spPr>
          <a:xfrm>
            <a:off x="10058399" y="7762875"/>
            <a:ext cx="1010695" cy="514350"/>
          </a:xfrm>
          <a:prstGeom prst="roundRect">
            <a:avLst/>
          </a:prstGeom>
          <a:solidFill>
            <a:srgbClr val="92D050"/>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r>
              <a:rPr lang="en-AU" sz="1000" b="1">
                <a:solidFill>
                  <a:schemeClr val="tx1"/>
                </a:solidFill>
                <a:latin typeface="Arial" panose="020B0604020202020204" pitchFamily="34" charset="0"/>
                <a:ea typeface="+mn-ea"/>
                <a:cs typeface="Arial" panose="020B0604020202020204" pitchFamily="34" charset="0"/>
              </a:rPr>
              <a:t>9</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Price Changes</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&amp; Update Budgets</a:t>
            </a:r>
          </a:p>
        </xdr:txBody>
      </xdr:sp>
      <xdr:sp macro="" textlink="">
        <xdr:nvSpPr>
          <xdr:cNvPr id="33" name="TextBox 32">
            <a:extLst>
              <a:ext uri="{FF2B5EF4-FFF2-40B4-BE49-F238E27FC236}">
                <a16:creationId xmlns:a16="http://schemas.microsoft.com/office/drawing/2014/main" id="{00000000-0008-0000-0600-000021000000}"/>
              </a:ext>
            </a:extLst>
          </xdr:cNvPr>
          <xdr:cNvSpPr txBox="1"/>
        </xdr:nvSpPr>
        <xdr:spPr>
          <a:xfrm>
            <a:off x="10402430" y="7557136"/>
            <a:ext cx="333375"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solidFill>
                  <a:schemeClr val="tx1"/>
                </a:solidFill>
                <a:latin typeface="Arial" panose="020B0604020202020204" pitchFamily="34" charset="0"/>
                <a:cs typeface="Arial" panose="020B0604020202020204" pitchFamily="34" charset="0"/>
              </a:rPr>
              <a:t>AND</a:t>
            </a:r>
          </a:p>
        </xdr:txBody>
      </xdr:sp>
      <xdr:sp macro="" textlink="">
        <xdr:nvSpPr>
          <xdr:cNvPr id="34" name="Rounded Rectangle 33">
            <a:extLst>
              <a:ext uri="{FF2B5EF4-FFF2-40B4-BE49-F238E27FC236}">
                <a16:creationId xmlns:a16="http://schemas.microsoft.com/office/drawing/2014/main" id="{00000000-0008-0000-0600-000022000000}"/>
              </a:ext>
            </a:extLst>
          </xdr:cNvPr>
          <xdr:cNvSpPr/>
        </xdr:nvSpPr>
        <xdr:spPr>
          <a:xfrm>
            <a:off x="9959322" y="6953251"/>
            <a:ext cx="1175404" cy="1400174"/>
          </a:xfrm>
          <a:prstGeom prst="roundRect">
            <a:avLst>
              <a:gd name="adj" fmla="val 12412"/>
            </a:avLst>
          </a:prstGeom>
          <a:noFill/>
          <a:ln w="12700">
            <a:solidFill>
              <a:schemeClr val="tx1"/>
            </a:solidFill>
            <a:prstDash val="dash"/>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lang="en-AU" sz="1000" b="1">
              <a:solidFill>
                <a:schemeClr val="tx1"/>
              </a:solidFill>
              <a:latin typeface="Arial" panose="020B0604020202020204" pitchFamily="34" charset="0"/>
              <a:cs typeface="Arial" panose="020B0604020202020204" pitchFamily="34" charset="0"/>
            </a:endParaRPr>
          </a:p>
        </xdr:txBody>
      </xdr:sp>
    </xdr:grpSp>
    <xdr:clientData/>
  </xdr:twoCellAnchor>
  <xdr:twoCellAnchor>
    <xdr:from>
      <xdr:col>17</xdr:col>
      <xdr:colOff>368300</xdr:colOff>
      <xdr:row>29</xdr:row>
      <xdr:rowOff>23813</xdr:rowOff>
    </xdr:from>
    <xdr:to>
      <xdr:col>18</xdr:col>
      <xdr:colOff>265995</xdr:colOff>
      <xdr:row>29</xdr:row>
      <xdr:rowOff>24896</xdr:rowOff>
    </xdr:to>
    <xdr:cxnSp macro="">
      <xdr:nvCxnSpPr>
        <xdr:cNvPr id="35" name="Straight Arrow Connector 34">
          <a:extLst>
            <a:ext uri="{FF2B5EF4-FFF2-40B4-BE49-F238E27FC236}">
              <a16:creationId xmlns:a16="http://schemas.microsoft.com/office/drawing/2014/main" id="{00000000-0008-0000-0600-000023000000}"/>
            </a:ext>
          </a:extLst>
        </xdr:cNvPr>
        <xdr:cNvCxnSpPr>
          <a:stCxn id="26" idx="3"/>
          <a:endCxn id="31" idx="1"/>
        </xdr:cNvCxnSpPr>
      </xdr:nvCxnSpPr>
      <xdr:spPr>
        <a:xfrm>
          <a:off x="9375140" y="6493193"/>
          <a:ext cx="522535" cy="108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209543</xdr:colOff>
      <xdr:row>34</xdr:row>
      <xdr:rowOff>83607</xdr:rowOff>
    </xdr:from>
    <xdr:to>
      <xdr:col>22</xdr:col>
      <xdr:colOff>465665</xdr:colOff>
      <xdr:row>39</xdr:row>
      <xdr:rowOff>304800</xdr:rowOff>
    </xdr:to>
    <xdr:sp macro="" textlink="">
      <xdr:nvSpPr>
        <xdr:cNvPr id="36" name="TextBox 35">
          <a:extLst>
            <a:ext uri="{FF2B5EF4-FFF2-40B4-BE49-F238E27FC236}">
              <a16:creationId xmlns:a16="http://schemas.microsoft.com/office/drawing/2014/main" id="{00000000-0008-0000-0600-000024000000}"/>
            </a:ext>
          </a:extLst>
        </xdr:cNvPr>
        <xdr:cNvSpPr txBox="1"/>
      </xdr:nvSpPr>
      <xdr:spPr>
        <a:xfrm>
          <a:off x="9429743" y="7720540"/>
          <a:ext cx="2144189" cy="1330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AU" sz="900" b="1" baseline="0">
              <a:solidFill>
                <a:srgbClr val="C00000"/>
              </a:solidFill>
              <a:effectLst/>
              <a:latin typeface="Arial" panose="020B0604020202020204" pitchFamily="34" charset="0"/>
              <a:ea typeface="+mn-ea"/>
              <a:cs typeface="Arial" panose="020B0604020202020204" pitchFamily="34" charset="0"/>
            </a:rPr>
            <a:t>Activities during Execution</a:t>
          </a:r>
          <a:br>
            <a:rPr lang="en-AU" sz="900" b="1" baseline="0">
              <a:solidFill>
                <a:schemeClr val="tx1">
                  <a:lumMod val="50000"/>
                  <a:lumOff val="50000"/>
                </a:schemeClr>
              </a:solidFill>
              <a:effectLst/>
              <a:latin typeface="Arial" panose="020B0604020202020204" pitchFamily="34" charset="0"/>
              <a:ea typeface="+mn-ea"/>
              <a:cs typeface="Arial" panose="020B0604020202020204" pitchFamily="34" charset="0"/>
            </a:rPr>
          </a:br>
          <a:r>
            <a:rPr lang="en-AU" sz="800" b="1">
              <a:solidFill>
                <a:schemeClr val="tx1"/>
              </a:solidFill>
              <a:effectLst/>
              <a:latin typeface="Arial" panose="020B0604020202020204" pitchFamily="34" charset="0"/>
              <a:ea typeface="+mn-ea"/>
              <a:cs typeface="Arial" panose="020B0604020202020204" pitchFamily="34" charset="0"/>
            </a:rPr>
            <a:t>ETC Mode: </a:t>
          </a:r>
          <a:br>
            <a:rPr lang="en-AU" sz="800" b="1">
              <a:solidFill>
                <a:schemeClr val="tx1"/>
              </a:solidFill>
              <a:effectLst/>
              <a:latin typeface="Arial" panose="020B0604020202020204" pitchFamily="34" charset="0"/>
              <a:ea typeface="+mn-ea"/>
              <a:cs typeface="Arial" panose="020B0604020202020204" pitchFamily="34" charset="0"/>
            </a:rPr>
          </a:br>
          <a:r>
            <a:rPr lang="en-AU" sz="800">
              <a:solidFill>
                <a:schemeClr val="tx1"/>
              </a:solidFill>
              <a:effectLst/>
              <a:latin typeface="Arial" panose="020B0604020202020204" pitchFamily="34" charset="0"/>
              <a:ea typeface="+mn-ea"/>
              <a:cs typeface="Arial" panose="020B0604020202020204" pitchFamily="34" charset="0"/>
            </a:rPr>
            <a:t>Manual ETC calcs (reusing the Plan template)</a:t>
          </a:r>
        </a:p>
        <a:p>
          <a:endParaRPr lang="en-AU" sz="800">
            <a:solidFill>
              <a:schemeClr val="dk1"/>
            </a:solidFill>
            <a:effectLst/>
            <a:latin typeface="+mn-lt"/>
            <a:ea typeface="+mn-ea"/>
            <a:cs typeface="+mn-cs"/>
          </a:endParaRPr>
        </a:p>
        <a:p>
          <a:r>
            <a:rPr lang="en-AU" sz="800" b="1">
              <a:solidFill>
                <a:schemeClr val="tx1"/>
              </a:solidFill>
              <a:effectLst/>
              <a:latin typeface="Arial" panose="020B0604020202020204" pitchFamily="34" charset="0"/>
              <a:ea typeface="+mn-ea"/>
              <a:cs typeface="Arial" panose="020B0604020202020204" pitchFamily="34" charset="0"/>
            </a:rPr>
            <a:t>Change Mode:</a:t>
          </a:r>
          <a:r>
            <a:rPr lang="en-AU" sz="800" b="1" baseline="0">
              <a:solidFill>
                <a:schemeClr val="tx1"/>
              </a:solidFill>
              <a:effectLst/>
              <a:latin typeface="Arial" panose="020B0604020202020204" pitchFamily="34" charset="0"/>
              <a:ea typeface="+mn-ea"/>
              <a:cs typeface="Arial" panose="020B0604020202020204" pitchFamily="34" charset="0"/>
            </a:rPr>
            <a:t>  </a:t>
          </a:r>
          <a:br>
            <a:rPr lang="en-AU" sz="800" b="1" baseline="0">
              <a:solidFill>
                <a:schemeClr val="tx1"/>
              </a:solidFill>
              <a:effectLst/>
              <a:latin typeface="Arial" panose="020B0604020202020204" pitchFamily="34" charset="0"/>
              <a:ea typeface="+mn-ea"/>
              <a:cs typeface="Arial" panose="020B0604020202020204" pitchFamily="34" charset="0"/>
            </a:rPr>
          </a:br>
          <a:r>
            <a:rPr lang="en-AU" sz="800">
              <a:solidFill>
                <a:schemeClr val="tx1"/>
              </a:solidFill>
              <a:effectLst/>
              <a:latin typeface="Arial" panose="020B0604020202020204" pitchFamily="34" charset="0"/>
              <a:ea typeface="+mn-ea"/>
              <a:cs typeface="Arial" panose="020B0604020202020204" pitchFamily="34" charset="0"/>
            </a:rPr>
            <a:t>Detailed Pricing of Changes</a:t>
          </a:r>
          <a:br>
            <a:rPr lang="en-AU" sz="800">
              <a:solidFill>
                <a:schemeClr val="tx1"/>
              </a:solidFill>
              <a:effectLst/>
              <a:latin typeface="Arial" panose="020B0604020202020204" pitchFamily="34" charset="0"/>
              <a:ea typeface="+mn-ea"/>
              <a:cs typeface="Arial" panose="020B0604020202020204" pitchFamily="34" charset="0"/>
            </a:rPr>
          </a:br>
          <a:r>
            <a:rPr lang="en-AU" sz="800">
              <a:solidFill>
                <a:schemeClr val="tx1"/>
              </a:solidFill>
              <a:effectLst/>
              <a:latin typeface="Arial" panose="020B0604020202020204" pitchFamily="34" charset="0"/>
              <a:ea typeface="+mn-ea"/>
              <a:cs typeface="Arial" panose="020B0604020202020204" pitchFamily="34" charset="0"/>
            </a:rPr>
            <a:t>Update Budget in IPCS</a:t>
          </a:r>
          <a:br>
            <a:rPr lang="en-AU" sz="800">
              <a:solidFill>
                <a:schemeClr val="tx1"/>
              </a:solidFill>
              <a:effectLst/>
              <a:latin typeface="Arial" panose="020B0604020202020204" pitchFamily="34" charset="0"/>
              <a:ea typeface="+mn-ea"/>
              <a:cs typeface="Arial" panose="020B0604020202020204" pitchFamily="34" charset="0"/>
            </a:rPr>
          </a:br>
          <a:r>
            <a:rPr lang="en-AU" sz="800">
              <a:solidFill>
                <a:schemeClr val="tx1"/>
              </a:solidFill>
              <a:effectLst/>
              <a:latin typeface="Arial" panose="020B0604020202020204" pitchFamily="34" charset="0"/>
              <a:ea typeface="+mn-ea"/>
              <a:cs typeface="Arial" panose="020B0604020202020204" pitchFamily="34" charset="0"/>
            </a:rPr>
            <a:t>Update Budget in GFS (PAP)</a:t>
          </a:r>
          <a:br>
            <a:rPr lang="en-AU" sz="800">
              <a:solidFill>
                <a:schemeClr val="tx1"/>
              </a:solidFill>
              <a:effectLst/>
              <a:latin typeface="Arial" panose="020B0604020202020204" pitchFamily="34" charset="0"/>
              <a:ea typeface="+mn-ea"/>
              <a:cs typeface="Arial" panose="020B0604020202020204" pitchFamily="34" charset="0"/>
            </a:rPr>
          </a:br>
          <a:endParaRPr lang="en-AU" sz="800">
            <a:solidFill>
              <a:schemeClr val="tx1"/>
            </a:solidFill>
            <a:latin typeface="Arial" panose="020B0604020202020204" pitchFamily="34" charset="0"/>
            <a:cs typeface="Arial" panose="020B0604020202020204" pitchFamily="34" charset="0"/>
          </a:endParaRPr>
        </a:p>
      </xdr:txBody>
    </xdr:sp>
    <xdr:clientData/>
  </xdr:twoCellAnchor>
  <xdr:twoCellAnchor>
    <xdr:from>
      <xdr:col>17</xdr:col>
      <xdr:colOff>375919</xdr:colOff>
      <xdr:row>32</xdr:row>
      <xdr:rowOff>66675</xdr:rowOff>
    </xdr:from>
    <xdr:to>
      <xdr:col>18</xdr:col>
      <xdr:colOff>253802</xdr:colOff>
      <xdr:row>32</xdr:row>
      <xdr:rowOff>66675</xdr:rowOff>
    </xdr:to>
    <xdr:cxnSp macro="">
      <xdr:nvCxnSpPr>
        <xdr:cNvPr id="37" name="Straight Arrow Connector 36">
          <a:extLst>
            <a:ext uri="{FF2B5EF4-FFF2-40B4-BE49-F238E27FC236}">
              <a16:creationId xmlns:a16="http://schemas.microsoft.com/office/drawing/2014/main" id="{00000000-0008-0000-0600-000025000000}"/>
            </a:ext>
          </a:extLst>
        </xdr:cNvPr>
        <xdr:cNvCxnSpPr>
          <a:endCxn id="32" idx="1"/>
        </xdr:cNvCxnSpPr>
      </xdr:nvCxnSpPr>
      <xdr:spPr>
        <a:xfrm>
          <a:off x="9382759" y="7221855"/>
          <a:ext cx="502723" cy="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406407</xdr:colOff>
      <xdr:row>9</xdr:row>
      <xdr:rowOff>50802</xdr:rowOff>
    </xdr:from>
    <xdr:to>
      <xdr:col>22</xdr:col>
      <xdr:colOff>296340</xdr:colOff>
      <xdr:row>10</xdr:row>
      <xdr:rowOff>71947</xdr:rowOff>
    </xdr:to>
    <xdr:pic>
      <xdr:nvPicPr>
        <xdr:cNvPr id="39" name="Picture 3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73540" y="1871135"/>
          <a:ext cx="2785533" cy="215879"/>
        </a:xfrm>
        <a:prstGeom prst="rect">
          <a:avLst/>
        </a:prstGeom>
      </xdr:spPr>
    </xdr:pic>
    <xdr:clientData/>
  </xdr:twoCellAnchor>
  <xdr:twoCellAnchor editAs="oneCell">
    <xdr:from>
      <xdr:col>2</xdr:col>
      <xdr:colOff>110066</xdr:colOff>
      <xdr:row>0</xdr:row>
      <xdr:rowOff>162263</xdr:rowOff>
    </xdr:from>
    <xdr:to>
      <xdr:col>6</xdr:col>
      <xdr:colOff>25399</xdr:colOff>
      <xdr:row>2</xdr:row>
      <xdr:rowOff>211672</xdr:rowOff>
    </xdr:to>
    <xdr:pic>
      <xdr:nvPicPr>
        <xdr:cNvPr id="40" name="Picture 39">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9466" y="162263"/>
          <a:ext cx="2099733" cy="4896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252412</xdr:colOff>
      <xdr:row>82</xdr:row>
      <xdr:rowOff>61913</xdr:rowOff>
    </xdr:from>
    <xdr:to>
      <xdr:col>7</xdr:col>
      <xdr:colOff>604838</xdr:colOff>
      <xdr:row>82</xdr:row>
      <xdr:rowOff>366713</xdr:rowOff>
    </xdr:to>
    <xdr:sp macro="" textlink="">
      <xdr:nvSpPr>
        <xdr:cNvPr id="2" name="Right Arrow 1">
          <a:extLst>
            <a:ext uri="{FF2B5EF4-FFF2-40B4-BE49-F238E27FC236}">
              <a16:creationId xmlns:a16="http://schemas.microsoft.com/office/drawing/2014/main" id="{00000000-0008-0000-0700-000002000000}"/>
            </a:ext>
          </a:extLst>
        </xdr:cNvPr>
        <xdr:cNvSpPr/>
      </xdr:nvSpPr>
      <xdr:spPr>
        <a:xfrm rot="10800000" flipH="1">
          <a:off x="623887" y="13587413"/>
          <a:ext cx="352426" cy="30480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208</xdr:col>
      <xdr:colOff>19050</xdr:colOff>
      <xdr:row>25</xdr:row>
      <xdr:rowOff>57150</xdr:rowOff>
    </xdr:from>
    <xdr:to>
      <xdr:col>210</xdr:col>
      <xdr:colOff>285745</xdr:colOff>
      <xdr:row>25</xdr:row>
      <xdr:rowOff>358140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01475" y="3028950"/>
          <a:ext cx="1904995" cy="295275"/>
        </a:xfrm>
        <a:prstGeom prst="rect">
          <a:avLst/>
        </a:prstGeom>
      </xdr:spPr>
    </xdr:pic>
    <xdr:clientData/>
  </xdr:twoCellAnchor>
  <xdr:twoCellAnchor>
    <xdr:from>
      <xdr:col>234</xdr:col>
      <xdr:colOff>76200</xdr:colOff>
      <xdr:row>56</xdr:row>
      <xdr:rowOff>276225</xdr:rowOff>
    </xdr:from>
    <xdr:to>
      <xdr:col>234</xdr:col>
      <xdr:colOff>409575</xdr:colOff>
      <xdr:row>59</xdr:row>
      <xdr:rowOff>47625</xdr:rowOff>
    </xdr:to>
    <xdr:sp macro="" textlink="">
      <xdr:nvSpPr>
        <xdr:cNvPr id="5" name="Down Arrow 4">
          <a:extLst>
            <a:ext uri="{FF2B5EF4-FFF2-40B4-BE49-F238E27FC236}">
              <a16:creationId xmlns:a16="http://schemas.microsoft.com/office/drawing/2014/main" id="{00000000-0008-0000-0800-000005000000}"/>
            </a:ext>
          </a:extLst>
        </xdr:cNvPr>
        <xdr:cNvSpPr/>
      </xdr:nvSpPr>
      <xdr:spPr>
        <a:xfrm>
          <a:off x="80991075" y="11525250"/>
          <a:ext cx="333375" cy="390525"/>
        </a:xfrm>
        <a:prstGeom prst="downArrow">
          <a:avLst/>
        </a:prstGeom>
        <a:solidFill>
          <a:srgbClr val="FFF5B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128</xdr:col>
      <xdr:colOff>157163</xdr:colOff>
      <xdr:row>125</xdr:row>
      <xdr:rowOff>633412</xdr:rowOff>
    </xdr:from>
    <xdr:to>
      <xdr:col>128</xdr:col>
      <xdr:colOff>461963</xdr:colOff>
      <xdr:row>125</xdr:row>
      <xdr:rowOff>985838</xdr:rowOff>
    </xdr:to>
    <xdr:sp macro="" textlink="">
      <xdr:nvSpPr>
        <xdr:cNvPr id="3" name="Right Arrow 2">
          <a:extLst>
            <a:ext uri="{FF2B5EF4-FFF2-40B4-BE49-F238E27FC236}">
              <a16:creationId xmlns:a16="http://schemas.microsoft.com/office/drawing/2014/main" id="{00000000-0008-0000-0900-000003000000}"/>
            </a:ext>
          </a:extLst>
        </xdr:cNvPr>
        <xdr:cNvSpPr/>
      </xdr:nvSpPr>
      <xdr:spPr>
        <a:xfrm rot="16200000" flipH="1">
          <a:off x="30213300" y="21840825"/>
          <a:ext cx="352426" cy="30480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132</xdr:col>
      <xdr:colOff>152401</xdr:colOff>
      <xdr:row>125</xdr:row>
      <xdr:rowOff>118533</xdr:rowOff>
    </xdr:from>
    <xdr:to>
      <xdr:col>132</xdr:col>
      <xdr:colOff>569595</xdr:colOff>
      <xdr:row>125</xdr:row>
      <xdr:rowOff>442383</xdr:rowOff>
    </xdr:to>
    <xdr:sp macro="" textlink="">
      <xdr:nvSpPr>
        <xdr:cNvPr id="4" name="Right Arrow 3">
          <a:extLst>
            <a:ext uri="{FF2B5EF4-FFF2-40B4-BE49-F238E27FC236}">
              <a16:creationId xmlns:a16="http://schemas.microsoft.com/office/drawing/2014/main" id="{00000000-0008-0000-0900-000004000000}"/>
            </a:ext>
          </a:extLst>
        </xdr:cNvPr>
        <xdr:cNvSpPr/>
      </xdr:nvSpPr>
      <xdr:spPr>
        <a:xfrm>
          <a:off x="18660534" y="15240000"/>
          <a:ext cx="417194" cy="32385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197</xdr:col>
      <xdr:colOff>55034</xdr:colOff>
      <xdr:row>169</xdr:row>
      <xdr:rowOff>105834</xdr:rowOff>
    </xdr:from>
    <xdr:to>
      <xdr:col>197</xdr:col>
      <xdr:colOff>472228</xdr:colOff>
      <xdr:row>169</xdr:row>
      <xdr:rowOff>429684</xdr:rowOff>
    </xdr:to>
    <xdr:sp macro="" textlink="">
      <xdr:nvSpPr>
        <xdr:cNvPr id="5" name="Right Arrow 4">
          <a:extLst>
            <a:ext uri="{FF2B5EF4-FFF2-40B4-BE49-F238E27FC236}">
              <a16:creationId xmlns:a16="http://schemas.microsoft.com/office/drawing/2014/main" id="{00000000-0008-0000-0A00-000005000000}"/>
            </a:ext>
          </a:extLst>
        </xdr:cNvPr>
        <xdr:cNvSpPr/>
      </xdr:nvSpPr>
      <xdr:spPr>
        <a:xfrm>
          <a:off x="32482367" y="15074901"/>
          <a:ext cx="417194" cy="32385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102</xdr:col>
      <xdr:colOff>1000125</xdr:colOff>
      <xdr:row>30</xdr:row>
      <xdr:rowOff>38100</xdr:rowOff>
    </xdr:from>
    <xdr:to>
      <xdr:col>102</xdr:col>
      <xdr:colOff>1257300</xdr:colOff>
      <xdr:row>40</xdr:row>
      <xdr:rowOff>171450</xdr:rowOff>
    </xdr:to>
    <xdr:sp macro="" textlink="">
      <xdr:nvSpPr>
        <xdr:cNvPr id="2" name="Left Brace 1">
          <a:extLst>
            <a:ext uri="{FF2B5EF4-FFF2-40B4-BE49-F238E27FC236}">
              <a16:creationId xmlns:a16="http://schemas.microsoft.com/office/drawing/2014/main" id="{00000000-0008-0000-0B00-000002000000}"/>
            </a:ext>
          </a:extLst>
        </xdr:cNvPr>
        <xdr:cNvSpPr/>
      </xdr:nvSpPr>
      <xdr:spPr>
        <a:xfrm>
          <a:off x="6762750" y="3590925"/>
          <a:ext cx="257175" cy="1933575"/>
        </a:xfrm>
        <a:prstGeom prst="leftBrace">
          <a:avLst>
            <a:gd name="adj1" fmla="val 36904"/>
            <a:gd name="adj2" fmla="val 49507"/>
          </a:avLst>
        </a:prstGeom>
        <a:ln>
          <a:solidFill>
            <a:schemeClr val="accent6">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AU" sz="1100"/>
        </a:p>
      </xdr:txBody>
    </xdr:sp>
    <xdr:clientData/>
  </xdr:twoCellAnchor>
  <xdr:twoCellAnchor>
    <xdr:from>
      <xdr:col>105</xdr:col>
      <xdr:colOff>38100</xdr:colOff>
      <xdr:row>17</xdr:row>
      <xdr:rowOff>28575</xdr:rowOff>
    </xdr:from>
    <xdr:to>
      <xdr:col>105</xdr:col>
      <xdr:colOff>209550</xdr:colOff>
      <xdr:row>17</xdr:row>
      <xdr:rowOff>314325</xdr:rowOff>
    </xdr:to>
    <xdr:sp macro="" textlink="">
      <xdr:nvSpPr>
        <xdr:cNvPr id="3" name="Right Arrow 2">
          <a:extLst>
            <a:ext uri="{FF2B5EF4-FFF2-40B4-BE49-F238E27FC236}">
              <a16:creationId xmlns:a16="http://schemas.microsoft.com/office/drawing/2014/main" id="{00000000-0008-0000-0B00-000003000000}"/>
            </a:ext>
          </a:extLst>
        </xdr:cNvPr>
        <xdr:cNvSpPr/>
      </xdr:nvSpPr>
      <xdr:spPr>
        <a:xfrm>
          <a:off x="4752975" y="3476625"/>
          <a:ext cx="171450" cy="285750"/>
        </a:xfrm>
        <a:prstGeom prst="rightArrow">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518160</xdr:colOff>
          <xdr:row>169</xdr:row>
          <xdr:rowOff>30480</xdr:rowOff>
        </xdr:from>
        <xdr:to>
          <xdr:col>7</xdr:col>
          <xdr:colOff>200025</xdr:colOff>
          <xdr:row>170</xdr:row>
          <xdr:rowOff>19050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C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GB" sz="800" b="0" i="0" u="none" strike="noStrike" baseline="0">
                  <a:solidFill>
                    <a:srgbClr val="000000"/>
                  </a:solidFill>
                  <a:latin typeface="Tahoma"/>
                  <a:ea typeface="Tahoma"/>
                  <a:cs typeface="Tahoma"/>
                </a:rPr>
                <a:t>Tick if Applicable</a:t>
              </a:r>
            </a:p>
          </xdr:txBody>
        </xdr:sp>
        <xdr:clientData/>
      </xdr:twoCellAnchor>
    </mc:Choice>
    <mc:Fallback/>
  </mc:AlternateContent>
  <xdr:twoCellAnchor>
    <xdr:from>
      <xdr:col>3</xdr:col>
      <xdr:colOff>50799</xdr:colOff>
      <xdr:row>139</xdr:row>
      <xdr:rowOff>84666</xdr:rowOff>
    </xdr:from>
    <xdr:to>
      <xdr:col>14</xdr:col>
      <xdr:colOff>491066</xdr:colOff>
      <xdr:row>149</xdr:row>
      <xdr:rowOff>122766</xdr:rowOff>
    </xdr:to>
    <xdr:graphicFrame macro="">
      <xdr:nvGraphicFramePr>
        <xdr:cNvPr id="6" name="Chart 5">
          <a:extLst>
            <a:ext uri="{FF2B5EF4-FFF2-40B4-BE49-F238E27FC236}">
              <a16:creationId xmlns:a16="http://schemas.microsoft.com/office/drawing/2014/main" id="{00000000-0008-0000-0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76200</xdr:colOff>
          <xdr:row>140</xdr:row>
          <xdr:rowOff>60960</xdr:rowOff>
        </xdr:from>
        <xdr:to>
          <xdr:col>14</xdr:col>
          <xdr:colOff>152400</xdr:colOff>
          <xdr:row>141</xdr:row>
          <xdr:rowOff>19050</xdr:rowOff>
        </xdr:to>
        <xdr:sp macro="" textlink="">
          <xdr:nvSpPr>
            <xdr:cNvPr id="3114" name="Drop Down 42" hidden="1">
              <a:extLst>
                <a:ext uri="{63B3BB69-23CF-44E3-9099-C40C66FF867C}">
                  <a14:compatExt spid="_x0000_s3114"/>
                </a:ext>
                <a:ext uri="{FF2B5EF4-FFF2-40B4-BE49-F238E27FC236}">
                  <a16:creationId xmlns:a16="http://schemas.microsoft.com/office/drawing/2014/main" id="{00000000-0008-0000-0C00-00002A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2</xdr:col>
      <xdr:colOff>152399</xdr:colOff>
      <xdr:row>94</xdr:row>
      <xdr:rowOff>143934</xdr:rowOff>
    </xdr:from>
    <xdr:to>
      <xdr:col>4</xdr:col>
      <xdr:colOff>402589</xdr:colOff>
      <xdr:row>95</xdr:row>
      <xdr:rowOff>466181</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1066" y="516467"/>
          <a:ext cx="2099733" cy="4896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151</xdr:col>
      <xdr:colOff>47625</xdr:colOff>
      <xdr:row>22</xdr:row>
      <xdr:rowOff>57150</xdr:rowOff>
    </xdr:from>
    <xdr:to>
      <xdr:col>151</xdr:col>
      <xdr:colOff>400051</xdr:colOff>
      <xdr:row>24</xdr:row>
      <xdr:rowOff>0</xdr:rowOff>
    </xdr:to>
    <xdr:sp macro="" textlink="">
      <xdr:nvSpPr>
        <xdr:cNvPr id="4" name="Right Arrow 3">
          <a:extLst>
            <a:ext uri="{FF2B5EF4-FFF2-40B4-BE49-F238E27FC236}">
              <a16:creationId xmlns:a16="http://schemas.microsoft.com/office/drawing/2014/main" id="{00000000-0008-0000-0D00-000004000000}"/>
            </a:ext>
          </a:extLst>
        </xdr:cNvPr>
        <xdr:cNvSpPr/>
      </xdr:nvSpPr>
      <xdr:spPr>
        <a:xfrm>
          <a:off x="94268925" y="3228975"/>
          <a:ext cx="352426" cy="30480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mc:AlternateContent xmlns:mc="http://schemas.openxmlformats.org/markup-compatibility/2006">
    <mc:Choice xmlns:a14="http://schemas.microsoft.com/office/drawing/2010/main" Requires="a14">
      <xdr:twoCellAnchor editAs="oneCell">
        <xdr:from>
          <xdr:col>103</xdr:col>
          <xdr:colOff>152400</xdr:colOff>
          <xdr:row>19</xdr:row>
          <xdr:rowOff>182880</xdr:rowOff>
        </xdr:from>
        <xdr:to>
          <xdr:col>107</xdr:col>
          <xdr:colOff>350520</xdr:colOff>
          <xdr:row>19</xdr:row>
          <xdr:rowOff>426720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0D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151</xdr:col>
      <xdr:colOff>38101</xdr:colOff>
      <xdr:row>19</xdr:row>
      <xdr:rowOff>190500</xdr:rowOff>
    </xdr:from>
    <xdr:to>
      <xdr:col>152</xdr:col>
      <xdr:colOff>76201</xdr:colOff>
      <xdr:row>19</xdr:row>
      <xdr:rowOff>409575</xdr:rowOff>
    </xdr:to>
    <xdr:sp macro="" textlink="">
      <xdr:nvSpPr>
        <xdr:cNvPr id="3" name="Left Arrow 2">
          <a:extLst>
            <a:ext uri="{FF2B5EF4-FFF2-40B4-BE49-F238E27FC236}">
              <a16:creationId xmlns:a16="http://schemas.microsoft.com/office/drawing/2014/main" id="{00000000-0008-0000-0D00-000003000000}"/>
            </a:ext>
          </a:extLst>
        </xdr:cNvPr>
        <xdr:cNvSpPr/>
      </xdr:nvSpPr>
      <xdr:spPr>
        <a:xfrm>
          <a:off x="138560176" y="2647950"/>
          <a:ext cx="533400" cy="219075"/>
        </a:xfrm>
        <a:prstGeom prst="leftArrow">
          <a:avLst/>
        </a:prstGeom>
        <a:solidFill>
          <a:schemeClr val="accent1">
            <a:lumMod val="60000"/>
            <a:lumOff val="4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143</xdr:col>
      <xdr:colOff>1381127</xdr:colOff>
      <xdr:row>19</xdr:row>
      <xdr:rowOff>190500</xdr:rowOff>
    </xdr:from>
    <xdr:to>
      <xdr:col>143</xdr:col>
      <xdr:colOff>1914527</xdr:colOff>
      <xdr:row>19</xdr:row>
      <xdr:rowOff>409575</xdr:rowOff>
    </xdr:to>
    <xdr:sp macro="" textlink="">
      <xdr:nvSpPr>
        <xdr:cNvPr id="8" name="Left Arrow 7">
          <a:extLst>
            <a:ext uri="{FF2B5EF4-FFF2-40B4-BE49-F238E27FC236}">
              <a16:creationId xmlns:a16="http://schemas.microsoft.com/office/drawing/2014/main" id="{00000000-0008-0000-0D00-000008000000}"/>
            </a:ext>
          </a:extLst>
        </xdr:cNvPr>
        <xdr:cNvSpPr/>
      </xdr:nvSpPr>
      <xdr:spPr>
        <a:xfrm flipH="1">
          <a:off x="81052460" y="351367"/>
          <a:ext cx="533400" cy="219075"/>
        </a:xfrm>
        <a:prstGeom prst="leftArrow">
          <a:avLst/>
        </a:prstGeom>
        <a:solidFill>
          <a:schemeClr val="accent1">
            <a:lumMod val="60000"/>
            <a:lumOff val="4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143</xdr:col>
      <xdr:colOff>642938</xdr:colOff>
      <xdr:row>95</xdr:row>
      <xdr:rowOff>80962</xdr:rowOff>
    </xdr:from>
    <xdr:to>
      <xdr:col>143</xdr:col>
      <xdr:colOff>947738</xdr:colOff>
      <xdr:row>97</xdr:row>
      <xdr:rowOff>42863</xdr:rowOff>
    </xdr:to>
    <xdr:sp macro="" textlink="">
      <xdr:nvSpPr>
        <xdr:cNvPr id="12" name="Right Arrow 11">
          <a:extLst>
            <a:ext uri="{FF2B5EF4-FFF2-40B4-BE49-F238E27FC236}">
              <a16:creationId xmlns:a16="http://schemas.microsoft.com/office/drawing/2014/main" id="{00000000-0008-0000-0D00-00000C000000}"/>
            </a:ext>
          </a:extLst>
        </xdr:cNvPr>
        <xdr:cNvSpPr/>
      </xdr:nvSpPr>
      <xdr:spPr>
        <a:xfrm rot="16200000">
          <a:off x="154485975" y="20193000"/>
          <a:ext cx="352426" cy="304800"/>
        </a:xfrm>
        <a:prstGeom prst="rightArrow">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146</xdr:col>
      <xdr:colOff>661988</xdr:colOff>
      <xdr:row>95</xdr:row>
      <xdr:rowOff>90487</xdr:rowOff>
    </xdr:from>
    <xdr:to>
      <xdr:col>146</xdr:col>
      <xdr:colOff>966788</xdr:colOff>
      <xdr:row>97</xdr:row>
      <xdr:rowOff>52388</xdr:rowOff>
    </xdr:to>
    <xdr:sp macro="" textlink="">
      <xdr:nvSpPr>
        <xdr:cNvPr id="13" name="Right Arrow 12">
          <a:extLst>
            <a:ext uri="{FF2B5EF4-FFF2-40B4-BE49-F238E27FC236}">
              <a16:creationId xmlns:a16="http://schemas.microsoft.com/office/drawing/2014/main" id="{00000000-0008-0000-0D00-00000D000000}"/>
            </a:ext>
          </a:extLst>
        </xdr:cNvPr>
        <xdr:cNvSpPr/>
      </xdr:nvSpPr>
      <xdr:spPr>
        <a:xfrm rot="16200000">
          <a:off x="156924375" y="20202525"/>
          <a:ext cx="352426" cy="304800"/>
        </a:xfrm>
        <a:prstGeom prst="rightArrow">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149</xdr:col>
      <xdr:colOff>709613</xdr:colOff>
      <xdr:row>95</xdr:row>
      <xdr:rowOff>71437</xdr:rowOff>
    </xdr:from>
    <xdr:to>
      <xdr:col>149</xdr:col>
      <xdr:colOff>1014413</xdr:colOff>
      <xdr:row>97</xdr:row>
      <xdr:rowOff>33338</xdr:rowOff>
    </xdr:to>
    <xdr:sp macro="" textlink="">
      <xdr:nvSpPr>
        <xdr:cNvPr id="14" name="Right Arrow 13">
          <a:extLst>
            <a:ext uri="{FF2B5EF4-FFF2-40B4-BE49-F238E27FC236}">
              <a16:creationId xmlns:a16="http://schemas.microsoft.com/office/drawing/2014/main" id="{00000000-0008-0000-0D00-00000E000000}"/>
            </a:ext>
          </a:extLst>
        </xdr:cNvPr>
        <xdr:cNvSpPr/>
      </xdr:nvSpPr>
      <xdr:spPr>
        <a:xfrm rot="16200000">
          <a:off x="159400875" y="20183475"/>
          <a:ext cx="352426" cy="304800"/>
        </a:xfrm>
        <a:prstGeom prst="rightArrow">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mc:AlternateContent xmlns:mc="http://schemas.openxmlformats.org/markup-compatibility/2006">
    <mc:Choice xmlns:a14="http://schemas.microsoft.com/office/drawing/2010/main" Requires="a14">
      <xdr:twoCellAnchor editAs="oneCell">
        <xdr:from>
          <xdr:col>109</xdr:col>
          <xdr:colOff>114300</xdr:colOff>
          <xdr:row>22</xdr:row>
          <xdr:rowOff>83820</xdr:rowOff>
        </xdr:from>
        <xdr:to>
          <xdr:col>114</xdr:col>
          <xdr:colOff>22860</xdr:colOff>
          <xdr:row>23</xdr:row>
          <xdr:rowOff>213360</xdr:rowOff>
        </xdr:to>
        <xdr:sp macro="" textlink="">
          <xdr:nvSpPr>
            <xdr:cNvPr id="16393" name="Drop Down 9" hidden="1">
              <a:extLst>
                <a:ext uri="{63B3BB69-23CF-44E3-9099-C40C66FF867C}">
                  <a14:compatExt spid="_x0000_s16393"/>
                </a:ext>
                <a:ext uri="{FF2B5EF4-FFF2-40B4-BE49-F238E27FC236}">
                  <a16:creationId xmlns:a16="http://schemas.microsoft.com/office/drawing/2014/main" id="{00000000-0008-0000-0D00-000009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xdr:col>
          <xdr:colOff>76200</xdr:colOff>
          <xdr:row>19</xdr:row>
          <xdr:rowOff>213360</xdr:rowOff>
        </xdr:from>
        <xdr:to>
          <xdr:col>134</xdr:col>
          <xdr:colOff>632460</xdr:colOff>
          <xdr:row>19</xdr:row>
          <xdr:rowOff>403860</xdr:rowOff>
        </xdr:to>
        <xdr:sp macro="" textlink="">
          <xdr:nvSpPr>
            <xdr:cNvPr id="16395" name="Drop Down 11" hidden="1">
              <a:extLst>
                <a:ext uri="{63B3BB69-23CF-44E3-9099-C40C66FF867C}">
                  <a14:compatExt spid="_x0000_s16395"/>
                </a:ext>
                <a:ext uri="{FF2B5EF4-FFF2-40B4-BE49-F238E27FC236}">
                  <a16:creationId xmlns:a16="http://schemas.microsoft.com/office/drawing/2014/main" id="{00000000-0008-0000-0D00-00000B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75</xdr:col>
      <xdr:colOff>66675</xdr:colOff>
      <xdr:row>19</xdr:row>
      <xdr:rowOff>38100</xdr:rowOff>
    </xdr:from>
    <xdr:to>
      <xdr:col>77</xdr:col>
      <xdr:colOff>600073</xdr:colOff>
      <xdr:row>20</xdr:row>
      <xdr:rowOff>139256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0" y="1647825"/>
          <a:ext cx="1943098" cy="301181"/>
        </a:xfrm>
        <a:prstGeom prst="rect">
          <a:avLst/>
        </a:prstGeom>
      </xdr:spPr>
    </xdr:pic>
    <xdr:clientData/>
  </xdr:twoCellAnchor>
  <xdr:twoCellAnchor>
    <xdr:from>
      <xdr:col>68</xdr:col>
      <xdr:colOff>71438</xdr:colOff>
      <xdr:row>22</xdr:row>
      <xdr:rowOff>14287</xdr:rowOff>
    </xdr:from>
    <xdr:to>
      <xdr:col>68</xdr:col>
      <xdr:colOff>376238</xdr:colOff>
      <xdr:row>23</xdr:row>
      <xdr:rowOff>195263</xdr:rowOff>
    </xdr:to>
    <xdr:sp macro="" textlink="">
      <xdr:nvSpPr>
        <xdr:cNvPr id="3" name="Right Arrow 2">
          <a:extLst>
            <a:ext uri="{FF2B5EF4-FFF2-40B4-BE49-F238E27FC236}">
              <a16:creationId xmlns:a16="http://schemas.microsoft.com/office/drawing/2014/main" id="{00000000-0008-0000-0E00-000003000000}"/>
            </a:ext>
          </a:extLst>
        </xdr:cNvPr>
        <xdr:cNvSpPr/>
      </xdr:nvSpPr>
      <xdr:spPr>
        <a:xfrm rot="16200000" flipH="1">
          <a:off x="33528000" y="2333625"/>
          <a:ext cx="352426" cy="30480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940485</xdr:colOff>
      <xdr:row>12</xdr:row>
      <xdr:rowOff>190499</xdr:rowOff>
    </xdr:from>
    <xdr:to>
      <xdr:col>5</xdr:col>
      <xdr:colOff>4146368</xdr:colOff>
      <xdr:row>41</xdr:row>
      <xdr:rowOff>9524</xdr:rowOff>
    </xdr:to>
    <xdr:pic>
      <xdr:nvPicPr>
        <xdr:cNvPr id="56" name="Picture 55">
          <a:extLst>
            <a:ext uri="{FF2B5EF4-FFF2-40B4-BE49-F238E27FC236}">
              <a16:creationId xmlns:a16="http://schemas.microsoft.com/office/drawing/2014/main" id="{00000000-0008-0000-0F00-00003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772226" y="7641070"/>
          <a:ext cx="8658225" cy="3205883"/>
        </a:xfrm>
        <a:prstGeom prst="rect">
          <a:avLst/>
        </a:prstGeom>
      </xdr:spPr>
    </xdr:pic>
    <xdr:clientData/>
  </xdr:twoCellAnchor>
  <xdr:twoCellAnchor editAs="oneCell">
    <xdr:from>
      <xdr:col>5</xdr:col>
      <xdr:colOff>152401</xdr:colOff>
      <xdr:row>63</xdr:row>
      <xdr:rowOff>24055</xdr:rowOff>
    </xdr:from>
    <xdr:to>
      <xdr:col>5</xdr:col>
      <xdr:colOff>4362451</xdr:colOff>
      <xdr:row>75</xdr:row>
      <xdr:rowOff>162831</xdr:rowOff>
    </xdr:to>
    <xdr:pic>
      <xdr:nvPicPr>
        <xdr:cNvPr id="57" name="Picture 56">
          <a:extLst>
            <a:ext uri="{FF2B5EF4-FFF2-40B4-BE49-F238E27FC236}">
              <a16:creationId xmlns:a16="http://schemas.microsoft.com/office/drawing/2014/main" id="{00000000-0008-0000-0F00-00003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3976" y="11930305"/>
          <a:ext cx="4210050" cy="2424776"/>
        </a:xfrm>
        <a:prstGeom prst="rect">
          <a:avLst/>
        </a:prstGeom>
      </xdr:spPr>
    </xdr:pic>
    <xdr:clientData/>
  </xdr:twoCellAnchor>
  <xdr:twoCellAnchor>
    <xdr:from>
      <xdr:col>9</xdr:col>
      <xdr:colOff>38100</xdr:colOff>
      <xdr:row>17</xdr:row>
      <xdr:rowOff>95250</xdr:rowOff>
    </xdr:from>
    <xdr:to>
      <xdr:col>9</xdr:col>
      <xdr:colOff>314325</xdr:colOff>
      <xdr:row>17</xdr:row>
      <xdr:rowOff>95250</xdr:rowOff>
    </xdr:to>
    <xdr:cxnSp macro="">
      <xdr:nvCxnSpPr>
        <xdr:cNvPr id="13" name="Straight Arrow Connector 12">
          <a:extLst>
            <a:ext uri="{FF2B5EF4-FFF2-40B4-BE49-F238E27FC236}">
              <a16:creationId xmlns:a16="http://schemas.microsoft.com/office/drawing/2014/main" id="{00000000-0008-0000-0F00-00000D000000}"/>
            </a:ext>
          </a:extLst>
        </xdr:cNvPr>
        <xdr:cNvCxnSpPr/>
      </xdr:nvCxnSpPr>
      <xdr:spPr>
        <a:xfrm>
          <a:off x="7981950" y="92954475"/>
          <a:ext cx="2762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21</xdr:row>
      <xdr:rowOff>95250</xdr:rowOff>
    </xdr:from>
    <xdr:to>
      <xdr:col>9</xdr:col>
      <xdr:colOff>314325</xdr:colOff>
      <xdr:row>21</xdr:row>
      <xdr:rowOff>95250</xdr:rowOff>
    </xdr:to>
    <xdr:cxnSp macro="">
      <xdr:nvCxnSpPr>
        <xdr:cNvPr id="18" name="Straight Arrow Connector 17">
          <a:extLst>
            <a:ext uri="{FF2B5EF4-FFF2-40B4-BE49-F238E27FC236}">
              <a16:creationId xmlns:a16="http://schemas.microsoft.com/office/drawing/2014/main" id="{00000000-0008-0000-0F00-000012000000}"/>
            </a:ext>
          </a:extLst>
        </xdr:cNvPr>
        <xdr:cNvCxnSpPr/>
      </xdr:nvCxnSpPr>
      <xdr:spPr>
        <a:xfrm>
          <a:off x="8029575" y="92954475"/>
          <a:ext cx="2762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160021</xdr:colOff>
      <xdr:row>2</xdr:row>
      <xdr:rowOff>173602</xdr:rowOff>
    </xdr:from>
    <xdr:to>
      <xdr:col>5</xdr:col>
      <xdr:colOff>434341</xdr:colOff>
      <xdr:row>2</xdr:row>
      <xdr:rowOff>466815</xdr:rowOff>
    </xdr:to>
    <xdr:pic>
      <xdr:nvPicPr>
        <xdr:cNvPr id="7" name="Picture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1961" y="333622"/>
          <a:ext cx="1257300" cy="29321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jacobsengineering.sharepoint.com/Users/nmatthews/Documents/01%20Nick's%20Documents/10%20Pricing%20Tool/02%20DEVELOPMENT/PT%20ver%202.00x%20(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er Data"/>
      <sheetName val="EcoSys Data"/>
      <sheetName val="Org Data"/>
      <sheetName val="Country Data"/>
      <sheetName val="Category Rates Data"/>
      <sheetName val="Overview"/>
      <sheetName val="1 Setup"/>
      <sheetName val="2 Staff List"/>
      <sheetName val="3a Staff Plan"/>
      <sheetName val="3b Activity Plan"/>
      <sheetName val="3c Plan Analysis"/>
      <sheetName val="4 Sign-off"/>
      <sheetName val="5  Control Accounts"/>
      <sheetName val="Change Log"/>
      <sheetName val="User Guide"/>
      <sheetName val="Compass"/>
      <sheetName val="ImportRoot"/>
      <sheetName val="ImportControlAccount"/>
      <sheetName val="ImportReferenceData"/>
      <sheetName val="ImportOriginalBudget"/>
      <sheetName val="ImportTiming"/>
      <sheetName val="ImportForecast"/>
      <sheetName val="ImportChangeHeaders"/>
      <sheetName val="ImportChangeDetails"/>
    </sheetNames>
    <sheetDataSet>
      <sheetData sheetId="0" refreshError="1"/>
      <sheetData sheetId="1" refreshError="1"/>
      <sheetData sheetId="2" refreshError="1"/>
      <sheetData sheetId="3" refreshError="1"/>
      <sheetData sheetId="4">
        <row r="2">
          <cell r="B2">
            <v>6</v>
          </cell>
          <cell r="D2">
            <v>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6">
          <cell r="BJ26" t="str">
            <v>ALL</v>
          </cell>
        </row>
        <row r="27">
          <cell r="BJ27">
            <v>1</v>
          </cell>
        </row>
        <row r="28">
          <cell r="BJ28">
            <v>2</v>
          </cell>
        </row>
        <row r="29">
          <cell r="BJ29">
            <v>3</v>
          </cell>
        </row>
        <row r="30">
          <cell r="BJ30">
            <v>4</v>
          </cell>
        </row>
        <row r="40">
          <cell r="BJ40" t="str">
            <v>Insert additional rows in the table above this range delimiter</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s://jacobsconnect.jacobs.com/community/company/project-resources/project-controls/ecosys-initial-implementation/bi-ecosys/global-pricing-tool/content?filterID=contentstatus%5Bpublished%5D%7Ecategory%5Btraining-material%5D" TargetMode="External"/><Relationship Id="rId2" Type="http://schemas.openxmlformats.org/officeDocument/2006/relationships/hyperlink" Target="https://jacobsconnect.jacobs.com/community/company/project-resources/project-controls/ecosys-initial-implementation/bi-ecosys/global-pricing-tool/content?filterID=contentstatus%5Bpublished%5D%7Ecategory%5Blatest-version%5D" TargetMode="External"/><Relationship Id="rId1" Type="http://schemas.openxmlformats.org/officeDocument/2006/relationships/hyperlink" Target="https://jacobsconnect.jacobs.com/community/company/project-resources/project-controls/ecosys-initial-implementation/bi-ecosys/global-pricing-tool/activity" TargetMode="External"/><Relationship Id="rId6" Type="http://schemas.openxmlformats.org/officeDocument/2006/relationships/drawing" Target="../drawings/drawing2.xml"/><Relationship Id="rId5" Type="http://schemas.openxmlformats.org/officeDocument/2006/relationships/printerSettings" Target="../printerSettings/printerSettings6.bin"/><Relationship Id="rId4" Type="http://schemas.openxmlformats.org/officeDocument/2006/relationships/hyperlink" Target="https://jacobsconnect.jacobs.com/community/company/project-resources/project-controls/ecosys-initial-implementation/bi-ecosys/global-pricing-tool/content?filterID=contentstatus%5Bpublished%5D%7Ecategory%5Bworked-examples%5D"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omments" Target="../comments5.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comments" Target="../comments6.xml"/><Relationship Id="rId2" Type="http://schemas.openxmlformats.org/officeDocument/2006/relationships/drawing" Target="../drawings/drawing9.xml"/><Relationship Id="rId1" Type="http://schemas.openxmlformats.org/officeDocument/2006/relationships/printerSettings" Target="../printerSettings/printerSettings12.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3.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jacobsconnect.jacobs.com/community/company/project-resources/project-controls/ecosys-initial-implementation/bi-ecosys/global-pricing-tool/activity" TargetMode="External"/><Relationship Id="rId1" Type="http://schemas.openxmlformats.org/officeDocument/2006/relationships/hyperlink" Target="https://jacobsconnect.jacobs.com/community/company/project-resources/project-controls/ecosys-initial-implementation/bi-ecosys/global-pricing-tool/activity" TargetMode="External"/><Relationship Id="rId4"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A1:E66"/>
  <sheetViews>
    <sheetView showGridLines="0" workbookViewId="0">
      <selection activeCell="H16" sqref="H16"/>
    </sheetView>
  </sheetViews>
  <sheetFormatPr defaultColWidth="9.109375" defaultRowHeight="13.8" x14ac:dyDescent="0.25"/>
  <cols>
    <col min="1" max="1" width="4.109375" style="749" customWidth="1"/>
    <col min="2" max="2" width="35.33203125" style="749" customWidth="1"/>
    <col min="3" max="3" width="118.44140625" style="749" customWidth="1"/>
    <col min="4" max="4" width="4.5546875" style="749" customWidth="1"/>
    <col min="5" max="16384" width="9.109375" style="749"/>
  </cols>
  <sheetData>
    <row r="1" spans="1:5" x14ac:dyDescent="0.25">
      <c r="A1" s="258"/>
      <c r="B1" s="258"/>
      <c r="C1" s="258"/>
      <c r="D1" s="258"/>
      <c r="E1" s="258"/>
    </row>
    <row r="2" spans="1:5" s="747" customFormat="1" ht="21.75" customHeight="1" x14ac:dyDescent="0.25">
      <c r="A2" s="258"/>
      <c r="B2" s="1039" t="s">
        <v>193</v>
      </c>
      <c r="C2" s="1041"/>
      <c r="D2" s="3349" t="s">
        <v>844</v>
      </c>
      <c r="E2" s="258"/>
    </row>
    <row r="3" spans="1:5" s="750" customFormat="1" ht="16.5" customHeight="1" x14ac:dyDescent="0.25">
      <c r="A3" s="258"/>
      <c r="B3" s="1040" t="s">
        <v>146</v>
      </c>
      <c r="C3" s="1042" t="s">
        <v>16</v>
      </c>
      <c r="D3" s="3350"/>
      <c r="E3" s="258"/>
    </row>
    <row r="4" spans="1:5" s="750" customFormat="1" ht="16.5" customHeight="1" x14ac:dyDescent="0.25">
      <c r="A4" s="258"/>
      <c r="B4" s="1038" t="s">
        <v>286</v>
      </c>
      <c r="C4" s="470" t="s">
        <v>1706</v>
      </c>
      <c r="D4" s="1043" t="s">
        <v>269</v>
      </c>
      <c r="E4" s="258"/>
    </row>
    <row r="5" spans="1:5" s="747" customFormat="1" ht="15.9" customHeight="1" x14ac:dyDescent="0.25">
      <c r="A5" s="258"/>
      <c r="B5" s="1038" t="s">
        <v>1290</v>
      </c>
      <c r="C5" s="470" t="s">
        <v>1710</v>
      </c>
      <c r="D5" s="1044" t="s">
        <v>249</v>
      </c>
      <c r="E5" s="258"/>
    </row>
    <row r="6" spans="1:5" s="747" customFormat="1" ht="15.9" customHeight="1" x14ac:dyDescent="0.25">
      <c r="A6" s="258"/>
      <c r="B6" s="1038" t="s">
        <v>1291</v>
      </c>
      <c r="C6" s="470" t="s">
        <v>1495</v>
      </c>
      <c r="D6" s="1044" t="s">
        <v>249</v>
      </c>
      <c r="E6" s="258"/>
    </row>
    <row r="7" spans="1:5" s="747" customFormat="1" ht="15.9" customHeight="1" x14ac:dyDescent="0.25">
      <c r="A7" s="258"/>
      <c r="B7" s="1038" t="s">
        <v>1292</v>
      </c>
      <c r="C7" s="470" t="s">
        <v>1711</v>
      </c>
      <c r="D7" s="1044" t="s">
        <v>249</v>
      </c>
      <c r="E7" s="258"/>
    </row>
    <row r="8" spans="1:5" s="747" customFormat="1" ht="15.9" customHeight="1" x14ac:dyDescent="0.25">
      <c r="A8" s="258"/>
      <c r="B8" s="1038" t="s">
        <v>1293</v>
      </c>
      <c r="C8" s="470" t="s">
        <v>1494</v>
      </c>
      <c r="D8" s="1044" t="s">
        <v>249</v>
      </c>
      <c r="E8" s="258"/>
    </row>
    <row r="9" spans="1:5" s="747" customFormat="1" ht="15.9" customHeight="1" x14ac:dyDescent="0.25">
      <c r="A9" s="258"/>
      <c r="B9" s="1038" t="s">
        <v>1294</v>
      </c>
      <c r="C9" s="470" t="s">
        <v>1306</v>
      </c>
      <c r="D9" s="1044" t="s">
        <v>269</v>
      </c>
      <c r="E9" s="258"/>
    </row>
    <row r="10" spans="1:5" s="747" customFormat="1" ht="15.9" customHeight="1" x14ac:dyDescent="0.25">
      <c r="A10" s="258"/>
      <c r="B10" s="1038" t="s">
        <v>1298</v>
      </c>
      <c r="C10" s="470" t="s">
        <v>1304</v>
      </c>
      <c r="D10" s="1044" t="s">
        <v>269</v>
      </c>
      <c r="E10" s="258"/>
    </row>
    <row r="11" spans="1:5" s="747" customFormat="1" ht="15.9" customHeight="1" x14ac:dyDescent="0.25">
      <c r="A11" s="258"/>
      <c r="B11" s="1038" t="s">
        <v>1303</v>
      </c>
      <c r="C11" s="470" t="s">
        <v>1488</v>
      </c>
      <c r="D11" s="1044" t="s">
        <v>269</v>
      </c>
      <c r="E11" s="258"/>
    </row>
    <row r="12" spans="1:5" s="747" customFormat="1" ht="15.9" customHeight="1" x14ac:dyDescent="0.25">
      <c r="A12" s="258"/>
      <c r="B12" s="1038" t="s">
        <v>1296</v>
      </c>
      <c r="C12" s="470" t="s">
        <v>1493</v>
      </c>
      <c r="D12" s="1044" t="s">
        <v>269</v>
      </c>
      <c r="E12" s="258"/>
    </row>
    <row r="13" spans="1:5" s="747" customFormat="1" ht="15.9" customHeight="1" x14ac:dyDescent="0.25">
      <c r="A13" s="258"/>
      <c r="B13" s="1038" t="s">
        <v>1289</v>
      </c>
      <c r="C13" s="470" t="s">
        <v>1307</v>
      </c>
      <c r="D13" s="1044" t="s">
        <v>269</v>
      </c>
      <c r="E13" s="258"/>
    </row>
    <row r="14" spans="1:5" s="747" customFormat="1" ht="15.9" customHeight="1" x14ac:dyDescent="0.25">
      <c r="A14" s="258"/>
      <c r="B14" s="1038" t="s">
        <v>1297</v>
      </c>
      <c r="C14" s="470" t="s">
        <v>1489</v>
      </c>
      <c r="D14" s="1044" t="s">
        <v>269</v>
      </c>
      <c r="E14" s="258"/>
    </row>
    <row r="15" spans="1:5" s="747" customFormat="1" ht="15.9" customHeight="1" x14ac:dyDescent="0.25">
      <c r="A15" s="258"/>
      <c r="B15" s="1038" t="s">
        <v>1299</v>
      </c>
      <c r="C15" s="470" t="s">
        <v>1308</v>
      </c>
      <c r="D15" s="1044" t="s">
        <v>269</v>
      </c>
      <c r="E15" s="258"/>
    </row>
    <row r="16" spans="1:5" s="747" customFormat="1" ht="15.9" customHeight="1" x14ac:dyDescent="0.25">
      <c r="A16" s="258"/>
      <c r="B16" s="1038" t="s">
        <v>1295</v>
      </c>
      <c r="C16" s="470" t="s">
        <v>1490</v>
      </c>
      <c r="D16" s="1044" t="s">
        <v>269</v>
      </c>
      <c r="E16" s="258"/>
    </row>
    <row r="17" spans="1:5" s="747" customFormat="1" ht="15.9" customHeight="1" x14ac:dyDescent="0.25">
      <c r="A17" s="258"/>
      <c r="B17" s="1038" t="s">
        <v>1300</v>
      </c>
      <c r="C17" s="470" t="s">
        <v>1309</v>
      </c>
      <c r="D17" s="1044" t="s">
        <v>249</v>
      </c>
      <c r="E17" s="258"/>
    </row>
    <row r="18" spans="1:5" s="747" customFormat="1" ht="15.9" customHeight="1" x14ac:dyDescent="0.25">
      <c r="A18" s="258"/>
      <c r="B18" s="1038" t="s">
        <v>1301</v>
      </c>
      <c r="C18" s="470" t="s">
        <v>1310</v>
      </c>
      <c r="D18" s="1044" t="s">
        <v>269</v>
      </c>
      <c r="E18" s="258"/>
    </row>
    <row r="19" spans="1:5" s="747" customFormat="1" ht="15.9" customHeight="1" x14ac:dyDescent="0.25">
      <c r="A19" s="258"/>
      <c r="B19" s="1038" t="s">
        <v>1302</v>
      </c>
      <c r="C19" s="470" t="s">
        <v>1311</v>
      </c>
      <c r="D19" s="1044" t="s">
        <v>269</v>
      </c>
      <c r="E19" s="258"/>
    </row>
    <row r="20" spans="1:5" s="747" customFormat="1" ht="15.9" customHeight="1" x14ac:dyDescent="0.25">
      <c r="A20" s="258"/>
      <c r="B20" s="1036"/>
      <c r="C20" s="925"/>
      <c r="D20" s="926"/>
      <c r="E20" s="258"/>
    </row>
    <row r="21" spans="1:5" s="747" customFormat="1" ht="15.9" customHeight="1" x14ac:dyDescent="0.25">
      <c r="A21" s="258"/>
      <c r="B21" s="258"/>
      <c r="C21" s="258"/>
      <c r="D21" s="258"/>
      <c r="E21" s="258"/>
    </row>
    <row r="22" spans="1:5" s="747" customFormat="1" ht="15.9" customHeight="1" x14ac:dyDescent="0.25">
      <c r="A22" s="258"/>
      <c r="B22" s="258"/>
      <c r="C22" s="258"/>
      <c r="D22" s="258"/>
      <c r="E22" s="258"/>
    </row>
    <row r="23" spans="1:5" s="747" customFormat="1" ht="15.9" customHeight="1" x14ac:dyDescent="0.25">
      <c r="A23" s="258"/>
      <c r="B23" s="258"/>
      <c r="C23" s="258"/>
      <c r="D23" s="258"/>
      <c r="E23" s="258"/>
    </row>
    <row r="24" spans="1:5" s="747" customFormat="1" ht="15.9" customHeight="1" x14ac:dyDescent="0.25">
      <c r="A24" s="258"/>
      <c r="B24" s="258"/>
      <c r="C24" s="258"/>
      <c r="D24" s="258"/>
      <c r="E24" s="258"/>
    </row>
    <row r="25" spans="1:5" s="747" customFormat="1" ht="15.9" customHeight="1" x14ac:dyDescent="0.25">
      <c r="A25" s="258"/>
      <c r="B25" s="258"/>
      <c r="C25" s="258"/>
      <c r="D25" s="258"/>
      <c r="E25" s="258"/>
    </row>
    <row r="26" spans="1:5" s="747" customFormat="1" ht="15.9" customHeight="1" x14ac:dyDescent="0.25">
      <c r="A26" s="258"/>
      <c r="B26" s="258"/>
      <c r="C26" s="258"/>
      <c r="D26" s="258"/>
      <c r="E26" s="258"/>
    </row>
    <row r="27" spans="1:5" s="747" customFormat="1" ht="15.9" customHeight="1" x14ac:dyDescent="0.25">
      <c r="A27" s="258"/>
      <c r="B27" s="258"/>
      <c r="C27" s="258"/>
      <c r="D27" s="258"/>
      <c r="E27" s="258"/>
    </row>
    <row r="28" spans="1:5" s="747" customFormat="1" ht="15.9" customHeight="1" x14ac:dyDescent="0.25">
      <c r="A28" s="258"/>
      <c r="B28" s="258"/>
      <c r="C28" s="258"/>
      <c r="D28" s="258"/>
      <c r="E28" s="258"/>
    </row>
    <row r="29" spans="1:5" s="747" customFormat="1" ht="15.9" customHeight="1" x14ac:dyDescent="0.25">
      <c r="A29" s="258"/>
      <c r="B29" s="258"/>
      <c r="C29" s="258"/>
      <c r="D29" s="258"/>
      <c r="E29" s="258"/>
    </row>
    <row r="30" spans="1:5" s="747" customFormat="1" ht="15.9" customHeight="1" x14ac:dyDescent="0.25">
      <c r="A30" s="258"/>
      <c r="B30" s="258"/>
      <c r="C30" s="258"/>
      <c r="D30" s="258"/>
      <c r="E30" s="258"/>
    </row>
    <row r="31" spans="1:5" s="747" customFormat="1" ht="15.9" customHeight="1" x14ac:dyDescent="0.25">
      <c r="A31" s="258"/>
      <c r="B31" s="258"/>
      <c r="C31" s="258"/>
      <c r="D31" s="258"/>
      <c r="E31" s="258"/>
    </row>
    <row r="32" spans="1:5" s="747" customFormat="1" ht="15.9" customHeight="1" x14ac:dyDescent="0.25">
      <c r="A32" s="258"/>
      <c r="B32" s="258"/>
      <c r="C32" s="258"/>
      <c r="D32" s="258"/>
      <c r="E32" s="258"/>
    </row>
    <row r="33" spans="1:5" s="747" customFormat="1" ht="15.9" customHeight="1" x14ac:dyDescent="0.25">
      <c r="A33" s="258"/>
      <c r="B33" s="258"/>
      <c r="C33" s="258"/>
      <c r="D33" s="258"/>
      <c r="E33" s="258"/>
    </row>
    <row r="34" spans="1:5" s="747" customFormat="1" ht="15.9" customHeight="1" x14ac:dyDescent="0.25">
      <c r="A34" s="258"/>
      <c r="B34" s="258"/>
      <c r="C34" s="258"/>
      <c r="D34" s="258"/>
      <c r="E34" s="258"/>
    </row>
    <row r="35" spans="1:5" s="747" customFormat="1" ht="15.9" customHeight="1" x14ac:dyDescent="0.25">
      <c r="A35" s="258"/>
      <c r="B35" s="258"/>
      <c r="C35" s="258"/>
      <c r="D35" s="258"/>
      <c r="E35" s="258"/>
    </row>
    <row r="36" spans="1:5" s="747" customFormat="1" ht="15.9" customHeight="1" x14ac:dyDescent="0.25">
      <c r="A36" s="258"/>
      <c r="B36" s="258"/>
      <c r="C36" s="258"/>
      <c r="D36" s="258"/>
      <c r="E36" s="258"/>
    </row>
    <row r="37" spans="1:5" s="747" customFormat="1" ht="15.9" customHeight="1" x14ac:dyDescent="0.25">
      <c r="A37" s="258"/>
      <c r="B37" s="258"/>
      <c r="C37" s="258"/>
      <c r="D37" s="258"/>
      <c r="E37" s="258"/>
    </row>
    <row r="38" spans="1:5" s="747" customFormat="1" ht="15.9" customHeight="1" x14ac:dyDescent="0.25">
      <c r="A38" s="258"/>
      <c r="B38" s="258"/>
      <c r="C38" s="258"/>
      <c r="D38" s="258"/>
      <c r="E38" s="258"/>
    </row>
    <row r="39" spans="1:5" s="747" customFormat="1" ht="15.9" customHeight="1" x14ac:dyDescent="0.25">
      <c r="A39" s="258"/>
      <c r="B39" s="258"/>
      <c r="C39" s="258"/>
      <c r="D39" s="258"/>
      <c r="E39" s="258"/>
    </row>
    <row r="40" spans="1:5" s="747" customFormat="1" ht="15.9" customHeight="1" x14ac:dyDescent="0.25">
      <c r="A40" s="258"/>
      <c r="B40" s="258"/>
      <c r="C40" s="258"/>
      <c r="D40" s="258"/>
      <c r="E40" s="258"/>
    </row>
    <row r="41" spans="1:5" s="747" customFormat="1" ht="15.9" customHeight="1" x14ac:dyDescent="0.25">
      <c r="A41" s="258"/>
      <c r="B41" s="258"/>
      <c r="C41" s="258"/>
      <c r="D41" s="258"/>
      <c r="E41" s="258"/>
    </row>
    <row r="42" spans="1:5" s="747" customFormat="1" ht="15.9" customHeight="1" x14ac:dyDescent="0.25">
      <c r="A42" s="258"/>
      <c r="B42" s="258"/>
      <c r="C42" s="258"/>
      <c r="D42" s="258"/>
      <c r="E42" s="258"/>
    </row>
    <row r="43" spans="1:5" s="747" customFormat="1" ht="15.9" customHeight="1" x14ac:dyDescent="0.25">
      <c r="A43" s="258"/>
      <c r="B43" s="258"/>
      <c r="C43" s="258"/>
      <c r="D43" s="258"/>
      <c r="E43" s="258"/>
    </row>
    <row r="44" spans="1:5" s="747" customFormat="1" ht="15.9" customHeight="1" x14ac:dyDescent="0.25">
      <c r="A44" s="258"/>
      <c r="B44" s="258"/>
      <c r="C44" s="258"/>
      <c r="D44" s="258"/>
      <c r="E44" s="258"/>
    </row>
    <row r="45" spans="1:5" s="747" customFormat="1" ht="15.9" customHeight="1" x14ac:dyDescent="0.25">
      <c r="A45" s="258"/>
      <c r="B45" s="258"/>
      <c r="C45" s="258"/>
      <c r="D45" s="258"/>
      <c r="E45" s="258"/>
    </row>
    <row r="46" spans="1:5" s="747" customFormat="1" ht="15.9" customHeight="1" x14ac:dyDescent="0.25">
      <c r="A46" s="258"/>
      <c r="B46" s="258"/>
      <c r="C46" s="258"/>
      <c r="D46" s="258"/>
      <c r="E46" s="258"/>
    </row>
    <row r="47" spans="1:5" s="747" customFormat="1" ht="15.9" customHeight="1" x14ac:dyDescent="0.25">
      <c r="A47" s="258"/>
      <c r="B47" s="258"/>
      <c r="C47" s="258"/>
      <c r="D47" s="258"/>
      <c r="E47" s="258"/>
    </row>
    <row r="48" spans="1:5" s="747" customFormat="1" ht="15.9" customHeight="1" x14ac:dyDescent="0.25">
      <c r="A48" s="258"/>
      <c r="B48" s="258"/>
      <c r="C48" s="258"/>
      <c r="D48" s="258"/>
      <c r="E48" s="258"/>
    </row>
    <row r="49" spans="1:5" s="750" customFormat="1" ht="15.9" customHeight="1" x14ac:dyDescent="0.25">
      <c r="A49" s="258"/>
      <c r="B49" s="258"/>
      <c r="C49" s="258"/>
      <c r="D49" s="258"/>
      <c r="E49" s="258"/>
    </row>
    <row r="50" spans="1:5" s="750" customFormat="1" ht="15.9" customHeight="1" x14ac:dyDescent="0.25">
      <c r="A50" s="258"/>
      <c r="B50" s="258"/>
      <c r="C50" s="258"/>
      <c r="D50" s="258"/>
      <c r="E50" s="258"/>
    </row>
    <row r="51" spans="1:5" s="750" customFormat="1" ht="15.9" customHeight="1" x14ac:dyDescent="0.25">
      <c r="A51" s="258"/>
      <c r="B51" s="258"/>
      <c r="C51" s="258"/>
      <c r="D51" s="258"/>
      <c r="E51" s="258"/>
    </row>
    <row r="52" spans="1:5" s="750" customFormat="1" ht="15.9" customHeight="1" x14ac:dyDescent="0.25">
      <c r="A52" s="258"/>
      <c r="B52" s="258"/>
      <c r="C52" s="258"/>
      <c r="D52" s="258"/>
      <c r="E52" s="258"/>
    </row>
    <row r="53" spans="1:5" s="750" customFormat="1" ht="15.9" customHeight="1" x14ac:dyDescent="0.25">
      <c r="A53" s="258"/>
      <c r="B53" s="258"/>
      <c r="C53" s="258"/>
      <c r="D53" s="258"/>
      <c r="E53" s="258"/>
    </row>
    <row r="54" spans="1:5" s="750" customFormat="1" ht="15.9" customHeight="1" x14ac:dyDescent="0.25">
      <c r="A54" s="258"/>
      <c r="B54" s="258"/>
      <c r="C54" s="258"/>
      <c r="D54" s="258"/>
      <c r="E54" s="258"/>
    </row>
    <row r="55" spans="1:5" s="750" customFormat="1" ht="15.9" customHeight="1" x14ac:dyDescent="0.25">
      <c r="A55" s="258"/>
      <c r="B55" s="258"/>
      <c r="C55" s="258"/>
      <c r="D55" s="258"/>
      <c r="E55" s="258"/>
    </row>
    <row r="56" spans="1:5" s="750" customFormat="1" ht="15.9" customHeight="1" x14ac:dyDescent="0.25">
      <c r="A56" s="258"/>
      <c r="B56" s="258"/>
      <c r="C56" s="258"/>
      <c r="D56" s="258"/>
      <c r="E56" s="258"/>
    </row>
    <row r="57" spans="1:5" s="750" customFormat="1" ht="15.9" customHeight="1" x14ac:dyDescent="0.3"/>
    <row r="58" spans="1:5" s="750" customFormat="1" ht="15.9" customHeight="1" x14ac:dyDescent="0.3"/>
    <row r="59" spans="1:5" s="750" customFormat="1" ht="15.9" customHeight="1" x14ac:dyDescent="0.3"/>
    <row r="60" spans="1:5" s="750" customFormat="1" ht="15.9" customHeight="1" x14ac:dyDescent="0.3"/>
    <row r="61" spans="1:5" s="750" customFormat="1" ht="15.9" customHeight="1" x14ac:dyDescent="0.3"/>
    <row r="62" spans="1:5" s="750" customFormat="1" ht="15.9" customHeight="1" x14ac:dyDescent="0.3"/>
    <row r="63" spans="1:5" s="750" customFormat="1" ht="15.9" customHeight="1" x14ac:dyDescent="0.3"/>
    <row r="64" spans="1:5" s="750" customFormat="1" ht="15.9" customHeight="1" x14ac:dyDescent="0.3"/>
    <row r="65" s="750" customFormat="1" ht="15.9" customHeight="1" x14ac:dyDescent="0.3"/>
    <row r="66" s="750" customFormat="1" ht="15.9" customHeight="1" x14ac:dyDescent="0.3"/>
  </sheetData>
  <mergeCells count="1">
    <mergeCell ref="D2:D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X113"/>
  <sheetViews>
    <sheetView showGridLines="0" workbookViewId="0">
      <selection activeCell="S34" sqref="S34"/>
    </sheetView>
  </sheetViews>
  <sheetFormatPr defaultColWidth="9.109375" defaultRowHeight="13.8" x14ac:dyDescent="0.25"/>
  <cols>
    <col min="1" max="1" width="3.6640625" style="16" customWidth="1"/>
    <col min="2" max="2" width="8.6640625" style="16" customWidth="1"/>
    <col min="3" max="3" width="7.44140625" style="749" customWidth="1"/>
    <col min="4" max="5" width="7.6640625" style="749" customWidth="1"/>
    <col min="6" max="6" width="23.6640625" style="16" customWidth="1"/>
    <col min="7" max="7" width="6.88671875" style="16" customWidth="1"/>
    <col min="8" max="8" width="6.88671875" style="749" customWidth="1"/>
    <col min="9" max="9" width="14.33203125" style="749" customWidth="1"/>
    <col min="10" max="10" width="1.6640625" style="749" customWidth="1"/>
    <col min="11" max="11" width="9.44140625" style="16" customWidth="1"/>
    <col min="12" max="12" width="9.6640625" style="272" customWidth="1"/>
    <col min="13" max="14" width="9.44140625" style="16" customWidth="1"/>
    <col min="15" max="17" width="9.44140625" style="749" customWidth="1"/>
    <col min="18" max="18" width="1.6640625" style="749" customWidth="1"/>
    <col min="19" max="20" width="7.6640625" style="16" customWidth="1"/>
    <col min="21" max="21" width="7.6640625" style="749" customWidth="1"/>
    <col min="22" max="22" width="8.6640625" style="16" customWidth="1"/>
    <col min="23" max="24" width="7.6640625" style="16" customWidth="1"/>
    <col min="25" max="16384" width="9.109375" style="16"/>
  </cols>
  <sheetData>
    <row r="1" spans="1:24" s="272" customFormat="1" ht="36" customHeight="1" x14ac:dyDescent="0.5">
      <c r="A1" s="517"/>
      <c r="B1" s="1617" t="s">
        <v>3715</v>
      </c>
      <c r="C1" s="1617"/>
      <c r="D1" s="1617"/>
      <c r="E1" s="1617"/>
      <c r="F1" s="1616"/>
      <c r="G1" s="1616"/>
      <c r="H1" s="1616"/>
      <c r="I1" s="1616"/>
      <c r="J1" s="1616"/>
      <c r="K1" s="1616"/>
      <c r="L1" s="1616"/>
      <c r="M1" s="749"/>
      <c r="N1" s="749"/>
      <c r="O1" s="576"/>
      <c r="P1" s="576"/>
      <c r="Q1" s="576"/>
      <c r="R1" s="576"/>
      <c r="S1" s="3351" t="s">
        <v>3716</v>
      </c>
      <c r="T1" s="3351"/>
      <c r="U1" s="3351"/>
      <c r="V1" s="3351"/>
    </row>
    <row r="2" spans="1:24" ht="13.5" customHeight="1" thickBot="1" x14ac:dyDescent="0.3">
      <c r="B2" s="1694"/>
      <c r="C2" s="1694"/>
      <c r="D2" s="1694"/>
      <c r="E2" s="1694"/>
      <c r="F2" s="749"/>
      <c r="G2" s="749"/>
      <c r="J2" s="1616"/>
      <c r="K2" s="1694" t="s">
        <v>3717</v>
      </c>
      <c r="L2" s="749"/>
      <c r="M2" s="749"/>
      <c r="N2" s="749"/>
      <c r="R2" s="576"/>
      <c r="S2" s="3352"/>
      <c r="T2" s="3352"/>
      <c r="U2" s="3352"/>
      <c r="V2" s="3352"/>
    </row>
    <row r="3" spans="1:24" ht="35.25" customHeight="1" thickBot="1" x14ac:dyDescent="0.4">
      <c r="B3" s="2868" t="s">
        <v>3898</v>
      </c>
      <c r="C3" s="2869"/>
      <c r="D3" s="2870"/>
      <c r="E3" s="2870"/>
      <c r="F3" s="2869"/>
      <c r="G3" s="2870"/>
      <c r="H3" s="2871"/>
      <c r="I3" s="2871"/>
      <c r="J3" s="1616"/>
      <c r="K3" s="1695" t="s">
        <v>3718</v>
      </c>
      <c r="L3" s="1696"/>
      <c r="M3" s="1696"/>
      <c r="N3" s="1696"/>
      <c r="O3" s="1696"/>
      <c r="P3" s="1696"/>
      <c r="Q3" s="1697"/>
      <c r="R3" s="576"/>
      <c r="S3" s="2872" t="s">
        <v>3719</v>
      </c>
      <c r="T3" s="2873"/>
      <c r="U3" s="2873"/>
      <c r="V3" s="834">
        <v>0</v>
      </c>
    </row>
    <row r="4" spans="1:24" ht="34.5" customHeight="1" thickBot="1" x14ac:dyDescent="0.3">
      <c r="B4" s="2973" t="s">
        <v>3720</v>
      </c>
      <c r="C4" s="2974" t="s">
        <v>3721</v>
      </c>
      <c r="D4" s="2975" t="s">
        <v>3934</v>
      </c>
      <c r="E4" s="2975" t="s">
        <v>3935</v>
      </c>
      <c r="F4" s="2981" t="s">
        <v>3937</v>
      </c>
      <c r="G4" s="2976" t="s">
        <v>1603</v>
      </c>
      <c r="H4" s="2976" t="s">
        <v>3922</v>
      </c>
      <c r="I4" s="528" t="s">
        <v>0</v>
      </c>
      <c r="J4" s="1616"/>
      <c r="K4" s="1704" t="s">
        <v>375</v>
      </c>
      <c r="L4" s="527" t="s">
        <v>307</v>
      </c>
      <c r="M4" s="577" t="s">
        <v>376</v>
      </c>
      <c r="N4" s="527" t="s">
        <v>377</v>
      </c>
      <c r="O4" s="527" t="s">
        <v>3722</v>
      </c>
      <c r="P4" s="527" t="s">
        <v>3723</v>
      </c>
      <c r="Q4" s="1698" t="s">
        <v>1793</v>
      </c>
      <c r="R4" s="576"/>
      <c r="S4" s="1704" t="s">
        <v>1792</v>
      </c>
      <c r="T4" s="527" t="s">
        <v>3724</v>
      </c>
      <c r="U4" s="527" t="s">
        <v>2368</v>
      </c>
      <c r="V4" s="1698" t="s">
        <v>1793</v>
      </c>
      <c r="X4" s="580"/>
    </row>
    <row r="5" spans="1:24" s="749" customFormat="1" ht="1.2" customHeight="1" thickTop="1" x14ac:dyDescent="0.25">
      <c r="B5" s="2874"/>
      <c r="C5" s="2875"/>
      <c r="D5" s="2876"/>
      <c r="E5" s="2982"/>
      <c r="F5" s="2928" t="s">
        <v>3725</v>
      </c>
      <c r="G5" s="2964"/>
      <c r="H5" s="2969"/>
      <c r="I5" s="2969"/>
      <c r="J5" s="1616"/>
      <c r="K5" s="2877"/>
      <c r="L5" s="2878"/>
      <c r="M5" s="2879"/>
      <c r="N5" s="2880"/>
      <c r="O5" s="2880"/>
      <c r="P5" s="2880"/>
      <c r="Q5" s="2881"/>
      <c r="R5" s="576"/>
      <c r="S5" s="2882"/>
      <c r="T5" s="2883"/>
      <c r="U5" s="2884"/>
      <c r="V5" s="2885"/>
      <c r="X5" s="580"/>
    </row>
    <row r="6" spans="1:24" s="749" customFormat="1" ht="1.2" customHeight="1" x14ac:dyDescent="0.25">
      <c r="B6" s="2886"/>
      <c r="C6" s="2887"/>
      <c r="D6" s="2888"/>
      <c r="E6" s="2983"/>
      <c r="F6" s="2929" t="s">
        <v>3726</v>
      </c>
      <c r="G6" s="2965"/>
      <c r="H6" s="2970"/>
      <c r="I6" s="2970"/>
      <c r="J6" s="1616"/>
      <c r="K6" s="2889"/>
      <c r="L6" s="2890"/>
      <c r="M6" s="2891"/>
      <c r="N6" s="2892"/>
      <c r="O6" s="2892"/>
      <c r="P6" s="2892"/>
      <c r="Q6" s="2893"/>
      <c r="R6" s="576"/>
      <c r="S6" s="2894"/>
      <c r="T6" s="2895"/>
      <c r="U6" s="2896"/>
      <c r="V6" s="2897"/>
      <c r="X6" s="580"/>
    </row>
    <row r="7" spans="1:24" s="749" customFormat="1" ht="1.2" customHeight="1" thickBot="1" x14ac:dyDescent="0.3">
      <c r="B7" s="2898"/>
      <c r="C7" s="2899"/>
      <c r="D7" s="2900"/>
      <c r="E7" s="2984"/>
      <c r="F7" s="2930"/>
      <c r="G7" s="2966"/>
      <c r="H7" s="2971"/>
      <c r="I7" s="2971"/>
      <c r="J7" s="1616"/>
      <c r="K7" s="2901"/>
      <c r="L7" s="2902"/>
      <c r="M7" s="2903"/>
      <c r="N7" s="2904"/>
      <c r="O7" s="2904"/>
      <c r="P7" s="2904"/>
      <c r="Q7" s="2905"/>
      <c r="R7" s="576"/>
      <c r="S7" s="2906"/>
      <c r="T7" s="2907"/>
      <c r="U7" s="2908"/>
      <c r="V7" s="2909"/>
      <c r="X7" s="580"/>
    </row>
    <row r="8" spans="1:24" ht="15.9" customHeight="1" thickTop="1" x14ac:dyDescent="0.25">
      <c r="B8" s="526" t="s">
        <v>3727</v>
      </c>
      <c r="C8" s="2910" t="s">
        <v>3728</v>
      </c>
      <c r="D8" s="2911" t="s">
        <v>3729</v>
      </c>
      <c r="E8" s="2925"/>
      <c r="F8" s="2912" t="s">
        <v>3552</v>
      </c>
      <c r="G8" s="2967" t="s">
        <v>2</v>
      </c>
      <c r="H8" s="2977" t="str">
        <f>IF(ISERROR(MATCH(F8,'PU List'!$G$33:$G$397,0)),"No","Yes")</f>
        <v>Yes</v>
      </c>
      <c r="I8" s="2979"/>
      <c r="J8" s="1616"/>
      <c r="K8" s="2913">
        <v>0.315</v>
      </c>
      <c r="L8" s="1548">
        <v>0</v>
      </c>
      <c r="M8" s="1715"/>
      <c r="N8" s="1716"/>
      <c r="O8" s="1716"/>
      <c r="P8" s="1716"/>
      <c r="Q8" s="2914"/>
      <c r="R8" s="576"/>
      <c r="S8" s="1699">
        <v>0</v>
      </c>
      <c r="T8" s="1700"/>
      <c r="U8" s="2071">
        <f>S8*IFERROR(INDEX('Currency Data'!$L$8:$L$41,MATCH(T8,'Currency Data'!$H$8:$H$41,0)),1)</f>
        <v>0</v>
      </c>
      <c r="V8" s="2915"/>
    </row>
    <row r="9" spans="1:24" s="749" customFormat="1" ht="15.9" customHeight="1" x14ac:dyDescent="0.25">
      <c r="B9" s="526"/>
      <c r="C9" s="2911"/>
      <c r="D9" s="2911"/>
      <c r="E9" s="2925"/>
      <c r="F9" s="2912" t="s">
        <v>4175</v>
      </c>
      <c r="G9" s="2967" t="s">
        <v>2</v>
      </c>
      <c r="H9" s="2977" t="str">
        <f>IF(ISERROR(MATCH(F9,'PU List'!$G$33:$G$397,0)),"No","Yes")</f>
        <v>Yes</v>
      </c>
      <c r="I9" s="2972"/>
      <c r="J9" s="1616"/>
      <c r="K9" s="2913">
        <v>0.315</v>
      </c>
      <c r="L9" s="1548">
        <v>0</v>
      </c>
      <c r="M9" s="1715"/>
      <c r="N9" s="1716"/>
      <c r="O9" s="1716"/>
      <c r="P9" s="1716"/>
      <c r="Q9" s="2914"/>
      <c r="R9" s="576"/>
      <c r="S9" s="1699">
        <v>3</v>
      </c>
      <c r="T9" s="1700" t="s">
        <v>2</v>
      </c>
      <c r="U9" s="2071">
        <f>S9*IFERROR(INDEX('Currency Data'!$L$8:$L$41,MATCH(T9,'Currency Data'!$H$8:$H$41,0)),1)</f>
        <v>2.3808893944604641</v>
      </c>
      <c r="V9" s="2915"/>
    </row>
    <row r="10" spans="1:24" s="749" customFormat="1" ht="15.9" customHeight="1" x14ac:dyDescent="0.25">
      <c r="B10" s="526" t="s">
        <v>3727</v>
      </c>
      <c r="C10" s="2911" t="s">
        <v>3728</v>
      </c>
      <c r="D10" s="2911" t="s">
        <v>956</v>
      </c>
      <c r="E10" s="2925"/>
      <c r="F10" s="2912" t="s">
        <v>3679</v>
      </c>
      <c r="G10" s="2968" t="s">
        <v>3</v>
      </c>
      <c r="H10" s="2978" t="str">
        <f>IF(ISERROR(MATCH(F10,'PU List'!$G$33:$G$397,0)),"No","Yes")</f>
        <v>Yes</v>
      </c>
      <c r="I10" s="2972"/>
      <c r="J10" s="1616"/>
      <c r="K10" s="2916">
        <v>0.40410000000000001</v>
      </c>
      <c r="L10" s="1718">
        <v>1.8499999999999999E-2</v>
      </c>
      <c r="M10" s="1717"/>
      <c r="N10" s="1716">
        <v>8.3000000000000004E-2</v>
      </c>
      <c r="O10" s="1716">
        <v>8.3000000000000004E-2</v>
      </c>
      <c r="P10" s="1716">
        <v>8.3000000000000004E-2</v>
      </c>
      <c r="Q10" s="2917" t="s">
        <v>1781</v>
      </c>
      <c r="R10" s="576"/>
      <c r="S10" s="1701">
        <v>7.16</v>
      </c>
      <c r="T10" s="1702" t="s">
        <v>3</v>
      </c>
      <c r="U10" s="2071">
        <f>S10*IFERROR(INDEX('Currency Data'!$L$8:$L$41,MATCH(T10,'Currency Data'!$H$8:$H$41,0)),1)</f>
        <v>3.9284251739371978</v>
      </c>
      <c r="V10" s="2918"/>
    </row>
    <row r="11" spans="1:24" s="272" customFormat="1" ht="15.9" customHeight="1" x14ac:dyDescent="0.25">
      <c r="B11" s="526" t="s">
        <v>3727</v>
      </c>
      <c r="C11" s="2911" t="s">
        <v>3728</v>
      </c>
      <c r="D11" s="2911"/>
      <c r="E11" s="2925"/>
      <c r="F11" s="2912" t="s">
        <v>1788</v>
      </c>
      <c r="G11" s="2968" t="s">
        <v>43</v>
      </c>
      <c r="H11" s="2978" t="str">
        <f>IF(ISERROR(MATCH(F11,'PU List'!$G$33:$G$397,0)),"No","Yes")</f>
        <v>No</v>
      </c>
      <c r="I11" s="2980"/>
      <c r="J11" s="1616"/>
      <c r="K11" s="2913">
        <v>0.49059999999999998</v>
      </c>
      <c r="L11" s="1549">
        <v>0</v>
      </c>
      <c r="M11" s="1715"/>
      <c r="N11" s="1716"/>
      <c r="O11" s="1716"/>
      <c r="P11" s="1716"/>
      <c r="Q11" s="2919"/>
      <c r="R11" s="576"/>
      <c r="S11" s="1699"/>
      <c r="T11" s="1700"/>
      <c r="U11" s="2071">
        <f>S11*IFERROR(INDEX('Currency Data'!$L$8:$L$41,MATCH(T11,'Currency Data'!$H$8:$H$41,0)),1)</f>
        <v>0</v>
      </c>
      <c r="V11" s="2918"/>
    </row>
    <row r="12" spans="1:24" s="749" customFormat="1" ht="15.9" customHeight="1" x14ac:dyDescent="0.25">
      <c r="B12" s="526" t="s">
        <v>3727</v>
      </c>
      <c r="C12" s="2911" t="s">
        <v>3728</v>
      </c>
      <c r="D12" s="2911" t="s">
        <v>3730</v>
      </c>
      <c r="E12" s="2925"/>
      <c r="F12" s="2912" t="s">
        <v>3731</v>
      </c>
      <c r="G12" s="2968" t="s">
        <v>43</v>
      </c>
      <c r="H12" s="2978" t="str">
        <f>IF(ISERROR(MATCH(F12,'PU List'!$G$33:$G$397,0)),"No","Yes")</f>
        <v>No</v>
      </c>
      <c r="I12" s="2972"/>
      <c r="J12" s="1616"/>
      <c r="K12" s="2913">
        <v>0.82499999999999996</v>
      </c>
      <c r="L12" s="1548"/>
      <c r="M12" s="1715"/>
      <c r="N12" s="1716"/>
      <c r="O12" s="1716"/>
      <c r="P12" s="1716"/>
      <c r="Q12" s="2919"/>
      <c r="R12" s="576"/>
      <c r="S12" s="1699"/>
      <c r="T12" s="1700"/>
      <c r="U12" s="2071">
        <f>S12*IFERROR(INDEX('Currency Data'!$L$8:$L$41,MATCH(T12,'Currency Data'!$H$8:$H$41,0)),1)</f>
        <v>0</v>
      </c>
      <c r="V12" s="2918"/>
    </row>
    <row r="13" spans="1:24" s="272" customFormat="1" ht="15.9" customHeight="1" x14ac:dyDescent="0.25">
      <c r="B13" s="526" t="s">
        <v>3727</v>
      </c>
      <c r="C13" s="2911" t="s">
        <v>3728</v>
      </c>
      <c r="D13" s="2911" t="s">
        <v>3732</v>
      </c>
      <c r="E13" s="2925"/>
      <c r="F13" s="2912" t="s">
        <v>483</v>
      </c>
      <c r="G13" s="2968" t="s">
        <v>485</v>
      </c>
      <c r="H13" s="2978" t="str">
        <f>IF(ISERROR(MATCH(F13,'PU List'!$G$33:$G$397,0)),"No","Yes")</f>
        <v>No</v>
      </c>
      <c r="I13" s="2972"/>
      <c r="J13" s="1616"/>
      <c r="K13" s="2913">
        <v>0.89300000000000002</v>
      </c>
      <c r="L13" s="1718">
        <v>1.8499999999999999E-2</v>
      </c>
      <c r="M13" s="1715"/>
      <c r="N13" s="1716"/>
      <c r="O13" s="1716"/>
      <c r="P13" s="1716"/>
      <c r="Q13" s="2919"/>
      <c r="R13" s="576"/>
      <c r="S13" s="1699"/>
      <c r="T13" s="1700"/>
      <c r="U13" s="2071">
        <f>S13*IFERROR(INDEX('Currency Data'!$L$8:$L$41,MATCH(T13,'Currency Data'!$H$8:$H$41,0)),1)</f>
        <v>0</v>
      </c>
      <c r="V13" s="2918"/>
    </row>
    <row r="14" spans="1:24" ht="15.9" customHeight="1" x14ac:dyDescent="0.25">
      <c r="B14" s="526" t="s">
        <v>3727</v>
      </c>
      <c r="C14" s="2911" t="s">
        <v>3728</v>
      </c>
      <c r="D14" s="2911" t="s">
        <v>3733</v>
      </c>
      <c r="E14" s="2925"/>
      <c r="F14" s="2912" t="s">
        <v>442</v>
      </c>
      <c r="G14" s="2968" t="s">
        <v>401</v>
      </c>
      <c r="H14" s="2978" t="str">
        <f>IF(ISERROR(MATCH(F14,'PU List'!$G$33:$G$397,0)),"No","Yes")</f>
        <v>No</v>
      </c>
      <c r="I14" s="2972"/>
      <c r="J14" s="1616"/>
      <c r="K14" s="2916">
        <v>0.4</v>
      </c>
      <c r="L14" s="1716">
        <v>1.8499999999999999E-2</v>
      </c>
      <c r="M14" s="1719"/>
      <c r="N14" s="1719"/>
      <c r="O14" s="1718">
        <v>0.29349999999999998</v>
      </c>
      <c r="P14" s="1549"/>
      <c r="Q14" s="2917"/>
      <c r="R14" s="576"/>
      <c r="S14" s="1701">
        <v>2035.71</v>
      </c>
      <c r="T14" s="1702" t="s">
        <v>401</v>
      </c>
      <c r="U14" s="2071">
        <f>S14*IFERROR(INDEX('Currency Data'!$L$8:$L$41,MATCH(T14,'Currency Data'!$H$8:$H$41,0)),1)</f>
        <v>2.2834207726812634</v>
      </c>
      <c r="V14" s="2918"/>
    </row>
    <row r="15" spans="1:24" s="272" customFormat="1" ht="15.9" customHeight="1" x14ac:dyDescent="0.25">
      <c r="B15" s="526" t="s">
        <v>3727</v>
      </c>
      <c r="C15" s="2911" t="s">
        <v>3728</v>
      </c>
      <c r="D15" s="2911" t="s">
        <v>3734</v>
      </c>
      <c r="E15" s="2925"/>
      <c r="F15" s="2912" t="s">
        <v>372</v>
      </c>
      <c r="G15" s="2967" t="s">
        <v>42</v>
      </c>
      <c r="H15" s="2978" t="str">
        <f>IF(ISERROR(MATCH(F15,'PU List'!$G$33:$G$397,0)),"No","Yes")</f>
        <v>No</v>
      </c>
      <c r="I15" s="2972"/>
      <c r="J15" s="1616"/>
      <c r="K15" s="2913">
        <v>0.52669999999999995</v>
      </c>
      <c r="L15" s="1716">
        <v>1.8499999999999999E-2</v>
      </c>
      <c r="M15" s="1715"/>
      <c r="N15" s="1716"/>
      <c r="O15" s="1716"/>
      <c r="P15" s="1716"/>
      <c r="Q15" s="2919"/>
      <c r="R15" s="576"/>
      <c r="S15" s="1749">
        <v>20.73</v>
      </c>
      <c r="T15" s="1702" t="s">
        <v>42</v>
      </c>
      <c r="U15" s="2071">
        <f>S15*IFERROR(INDEX('Currency Data'!$L$8:$L$41,MATCH(T15,'Currency Data'!$H$8:$H$41,0)),1)</f>
        <v>2.3812225129017288</v>
      </c>
      <c r="V15" s="2918"/>
    </row>
    <row r="16" spans="1:24" s="272" customFormat="1" ht="15.9" customHeight="1" x14ac:dyDescent="0.25">
      <c r="B16" s="526" t="s">
        <v>3727</v>
      </c>
      <c r="C16" s="2911" t="s">
        <v>3728</v>
      </c>
      <c r="D16" s="2911" t="s">
        <v>825</v>
      </c>
      <c r="E16" s="2925"/>
      <c r="F16" s="2912" t="s">
        <v>484</v>
      </c>
      <c r="G16" s="2968" t="s">
        <v>486</v>
      </c>
      <c r="H16" s="2978" t="str">
        <f>IF(ISERROR(MATCH(F16,'PU List'!$G$33:$G$397,0)),"No","Yes")</f>
        <v>No</v>
      </c>
      <c r="I16" s="2972"/>
      <c r="J16" s="1616"/>
      <c r="K16" s="2913">
        <v>0.71850000000000003</v>
      </c>
      <c r="L16" s="1718">
        <v>1.8499999999999999E-2</v>
      </c>
      <c r="M16" s="1715"/>
      <c r="N16" s="1716"/>
      <c r="O16" s="1716"/>
      <c r="P16" s="1716"/>
      <c r="Q16" s="2919"/>
      <c r="R16" s="576"/>
      <c r="S16" s="1699"/>
      <c r="T16" s="1700"/>
      <c r="U16" s="2071">
        <f>S16*IFERROR(INDEX('Currency Data'!$L$8:$L$41,MATCH(T16,'Currency Data'!$H$8:$H$41,0)),1)</f>
        <v>0</v>
      </c>
      <c r="V16" s="2918"/>
    </row>
    <row r="17" spans="2:22" s="749" customFormat="1" ht="15.9" customHeight="1" x14ac:dyDescent="0.25">
      <c r="B17" s="526" t="s">
        <v>3727</v>
      </c>
      <c r="C17" s="2911" t="s">
        <v>3728</v>
      </c>
      <c r="D17" s="2911" t="s">
        <v>3735</v>
      </c>
      <c r="E17" s="2925"/>
      <c r="F17" s="2912" t="s">
        <v>1789</v>
      </c>
      <c r="G17" s="2968" t="s">
        <v>43</v>
      </c>
      <c r="H17" s="2978" t="str">
        <f>IF(ISERROR(MATCH(F17,'PU List'!$G$33:$G$397,0)),"No","Yes")</f>
        <v>No</v>
      </c>
      <c r="I17" s="2972"/>
      <c r="J17" s="1616"/>
      <c r="K17" s="2913">
        <v>0.89349999999999996</v>
      </c>
      <c r="L17" s="1549">
        <v>0</v>
      </c>
      <c r="M17" s="1715"/>
      <c r="N17" s="1716"/>
      <c r="O17" s="1716"/>
      <c r="P17" s="1716"/>
      <c r="Q17" s="2919"/>
      <c r="R17" s="576"/>
      <c r="S17" s="1699"/>
      <c r="T17" s="1700"/>
      <c r="U17" s="2071">
        <f>S17*IFERROR(INDEX('Currency Data'!$L$8:$L$41,MATCH(T17,'Currency Data'!$H$8:$H$41,0)),1)</f>
        <v>0</v>
      </c>
      <c r="V17" s="2918"/>
    </row>
    <row r="18" spans="2:22" s="272" customFormat="1" ht="15.9" customHeight="1" x14ac:dyDescent="0.25">
      <c r="B18" s="526" t="s">
        <v>3727</v>
      </c>
      <c r="C18" s="2911" t="s">
        <v>3728</v>
      </c>
      <c r="D18" s="2911" t="s">
        <v>3736</v>
      </c>
      <c r="E18" s="2925"/>
      <c r="F18" s="2912" t="s">
        <v>487</v>
      </c>
      <c r="G18" s="2968" t="s">
        <v>43</v>
      </c>
      <c r="H18" s="2978" t="str">
        <f>IF(ISERROR(MATCH(F18,'PU List'!$G$33:$G$397,0)),"No","Yes")</f>
        <v>Yes</v>
      </c>
      <c r="I18" s="2972"/>
      <c r="J18" s="1616"/>
      <c r="K18" s="2913">
        <v>0.57999999999999996</v>
      </c>
      <c r="L18" s="1549">
        <v>0</v>
      </c>
      <c r="M18" s="1719"/>
      <c r="N18" s="1716"/>
      <c r="O18" s="1716"/>
      <c r="P18" s="1716"/>
      <c r="Q18" s="2917"/>
      <c r="R18" s="576"/>
      <c r="S18" s="1699">
        <v>3.6</v>
      </c>
      <c r="T18" s="1702" t="s">
        <v>43</v>
      </c>
      <c r="U18" s="2071">
        <f>S18*IFERROR(INDEX('Currency Data'!$L$8:$L$41,MATCH(T18,'Currency Data'!$H$8:$H$41,0)),1)</f>
        <v>3.1815348800296293</v>
      </c>
      <c r="V18" s="2918"/>
    </row>
    <row r="19" spans="2:22" s="272" customFormat="1" ht="15.9" customHeight="1" x14ac:dyDescent="0.25">
      <c r="B19" s="526" t="s">
        <v>3727</v>
      </c>
      <c r="C19" s="2911" t="s">
        <v>3728</v>
      </c>
      <c r="D19" s="2911" t="s">
        <v>3737</v>
      </c>
      <c r="E19" s="2925"/>
      <c r="F19" s="2912" t="s">
        <v>4221</v>
      </c>
      <c r="G19" s="2967" t="s">
        <v>44</v>
      </c>
      <c r="H19" s="2978" t="str">
        <f>IF(ISERROR(MATCH(F19,'PU List'!$G$33:$G$397,0)),"No","Yes")</f>
        <v>Yes</v>
      </c>
      <c r="I19" s="2972"/>
      <c r="J19" s="1616"/>
      <c r="K19" s="2913">
        <v>0.5</v>
      </c>
      <c r="L19" s="1718">
        <v>1.8499999999999999E-2</v>
      </c>
      <c r="M19" s="1719">
        <v>0.43430000000000002</v>
      </c>
      <c r="N19" s="1716">
        <v>0.1565</v>
      </c>
      <c r="O19" s="1716">
        <v>0.33450000000000002</v>
      </c>
      <c r="P19" s="1716">
        <v>0.1565</v>
      </c>
      <c r="Q19" s="2919"/>
      <c r="R19" s="576"/>
      <c r="S19" s="1699">
        <v>1.73</v>
      </c>
      <c r="T19" s="1702" t="s">
        <v>44</v>
      </c>
      <c r="U19" s="2071">
        <f>S19*IFERROR(INDEX('Currency Data'!$L$8:$L$41,MATCH(T19,'Currency Data'!$H$8:$H$41,0)),1)</f>
        <v>1.73</v>
      </c>
      <c r="V19" s="2918"/>
    </row>
    <row r="20" spans="2:22" s="749" customFormat="1" ht="15.9" customHeight="1" x14ac:dyDescent="0.25">
      <c r="B20" s="526" t="s">
        <v>3727</v>
      </c>
      <c r="C20" s="2911" t="s">
        <v>3728</v>
      </c>
      <c r="D20" s="2911" t="s">
        <v>3737</v>
      </c>
      <c r="E20" s="2925"/>
      <c r="F20" s="2912" t="s">
        <v>4220</v>
      </c>
      <c r="G20" s="2967" t="s">
        <v>44</v>
      </c>
      <c r="H20" s="2978" t="str">
        <f>IF(ISERROR(MATCH(F20,'PU List'!$G$33:$G$397,0)),"No","Yes")</f>
        <v>No</v>
      </c>
      <c r="I20" s="2972" t="s">
        <v>4043</v>
      </c>
      <c r="J20" s="1616"/>
      <c r="K20" s="2913">
        <v>0.43430000000000002</v>
      </c>
      <c r="L20" s="1718">
        <v>1.8499999999999999E-2</v>
      </c>
      <c r="M20" s="1719"/>
      <c r="N20" s="1716">
        <v>0.1565</v>
      </c>
      <c r="O20" s="1716">
        <v>0.1565</v>
      </c>
      <c r="P20" s="1716"/>
      <c r="Q20" s="2920"/>
      <c r="R20" s="576"/>
      <c r="S20" s="1699">
        <v>1.73</v>
      </c>
      <c r="T20" s="1702" t="s">
        <v>44</v>
      </c>
      <c r="U20" s="2071">
        <f>S20*IFERROR(INDEX('Currency Data'!$L$8:$L$41,MATCH(T20,'Currency Data'!$H$8:$H$41,0)),1)</f>
        <v>1.73</v>
      </c>
      <c r="V20" s="2918"/>
    </row>
    <row r="21" spans="2:22" s="749" customFormat="1" ht="15.9" customHeight="1" x14ac:dyDescent="0.25">
      <c r="B21" s="526" t="s">
        <v>3727</v>
      </c>
      <c r="C21" s="2911" t="s">
        <v>3728</v>
      </c>
      <c r="D21" s="2911" t="s">
        <v>3737</v>
      </c>
      <c r="E21" s="2925"/>
      <c r="F21" s="2912" t="s">
        <v>4219</v>
      </c>
      <c r="G21" s="2967" t="s">
        <v>44</v>
      </c>
      <c r="H21" s="2978" t="str">
        <f>IF(ISERROR(MATCH(F21,'PU List'!$G$33:$G$397,0)),"No","Yes")</f>
        <v>Yes</v>
      </c>
      <c r="I21" s="2972"/>
      <c r="J21" s="1616"/>
      <c r="K21" s="2913">
        <v>0.5</v>
      </c>
      <c r="L21" s="1718">
        <v>1.8499999999999999E-2</v>
      </c>
      <c r="M21" s="1719">
        <v>0.43430000000000002</v>
      </c>
      <c r="N21" s="1716">
        <v>0.1565</v>
      </c>
      <c r="O21" s="1716">
        <v>0.33450000000000002</v>
      </c>
      <c r="P21" s="1716">
        <v>0.1565</v>
      </c>
      <c r="Q21" s="2920"/>
      <c r="R21" s="576"/>
      <c r="S21" s="1699">
        <v>1.5</v>
      </c>
      <c r="T21" s="1702" t="s">
        <v>44</v>
      </c>
      <c r="U21" s="2071">
        <f>S21*IFERROR(INDEX('Currency Data'!$L$8:$L$41,MATCH(T21,'Currency Data'!$H$8:$H$41,0)),1)</f>
        <v>1.5</v>
      </c>
      <c r="V21" s="2918"/>
    </row>
    <row r="22" spans="2:22" s="749" customFormat="1" ht="15.9" customHeight="1" x14ac:dyDescent="0.25">
      <c r="B22" s="526" t="s">
        <v>3727</v>
      </c>
      <c r="C22" s="2911" t="s">
        <v>3728</v>
      </c>
      <c r="D22" s="2911" t="s">
        <v>1496</v>
      </c>
      <c r="E22" s="2925" t="s">
        <v>3936</v>
      </c>
      <c r="F22" s="2912" t="s">
        <v>308</v>
      </c>
      <c r="G22" s="2968" t="s">
        <v>45</v>
      </c>
      <c r="H22" s="2978" t="str">
        <f>IF(ISERROR(MATCH(F22,'PU List'!$G$33:$G$397,0)),"No","Yes")</f>
        <v>Yes</v>
      </c>
      <c r="I22" s="2972"/>
      <c r="J22" s="1616"/>
      <c r="K22" s="2916">
        <v>0.35909999999999997</v>
      </c>
      <c r="L22" s="1718">
        <v>1.8499999999999999E-2</v>
      </c>
      <c r="M22" s="1719">
        <v>0.23130000000000001</v>
      </c>
      <c r="N22" s="1719">
        <v>0.23130000000000001</v>
      </c>
      <c r="O22" s="1716"/>
      <c r="P22" s="1716"/>
      <c r="Q22" s="2917"/>
      <c r="R22" s="576"/>
      <c r="S22" s="1749">
        <v>2.4900000000000002</v>
      </c>
      <c r="T22" s="1713" t="s">
        <v>2</v>
      </c>
      <c r="U22" s="2071">
        <f>S22*IFERROR(INDEX('Currency Data'!$L$8:$L$41,MATCH(T22,'Currency Data'!$H$8:$H$41,0)),1)</f>
        <v>1.9761381974021857</v>
      </c>
      <c r="V22" s="2918"/>
    </row>
    <row r="23" spans="2:22" s="749" customFormat="1" ht="15.9" customHeight="1" x14ac:dyDescent="0.25">
      <c r="B23" s="526" t="s">
        <v>3727</v>
      </c>
      <c r="C23" s="2911" t="s">
        <v>3728</v>
      </c>
      <c r="D23" s="2911" t="s">
        <v>845</v>
      </c>
      <c r="E23" s="2925"/>
      <c r="F23" s="2912" t="s">
        <v>38</v>
      </c>
      <c r="G23" s="2968" t="s">
        <v>352</v>
      </c>
      <c r="H23" s="2978" t="str">
        <f>IF(ISERROR(MATCH(F23,'PU List'!$G$33:$G$397,0)),"No","Yes")</f>
        <v>Yes</v>
      </c>
      <c r="I23" s="2972"/>
      <c r="J23" s="1616"/>
      <c r="K23" s="2916">
        <v>0.33300000000000002</v>
      </c>
      <c r="L23" s="1720">
        <v>5.1499999999999997E-2</v>
      </c>
      <c r="M23" s="1720"/>
      <c r="N23" s="1718"/>
      <c r="O23" s="1718">
        <v>1.8499999999999999E-2</v>
      </c>
      <c r="P23" s="1716"/>
      <c r="Q23" s="2919"/>
      <c r="R23" s="576"/>
      <c r="S23" s="1701">
        <v>80</v>
      </c>
      <c r="T23" s="1702" t="s">
        <v>352</v>
      </c>
      <c r="U23" s="2071">
        <f>S23*IFERROR(INDEX('Currency Data'!$L$8:$L$41,MATCH(T23,'Currency Data'!$H$8:$H$41,0)),1)</f>
        <v>0.90957134104415094</v>
      </c>
      <c r="V23" s="2918"/>
    </row>
    <row r="24" spans="2:22" s="272" customFormat="1" ht="15.9" customHeight="1" x14ac:dyDescent="0.25">
      <c r="B24" s="526" t="s">
        <v>3727</v>
      </c>
      <c r="C24" s="2911" t="s">
        <v>3728</v>
      </c>
      <c r="D24" s="2911" t="s">
        <v>3738</v>
      </c>
      <c r="E24" s="2925"/>
      <c r="F24" s="2912" t="s">
        <v>53</v>
      </c>
      <c r="G24" s="2968" t="s">
        <v>354</v>
      </c>
      <c r="H24" s="2978" t="str">
        <f>IF(ISERROR(MATCH(F24,'PU List'!$G$33:$G$397,0)),"No","Yes")</f>
        <v>Yes</v>
      </c>
      <c r="I24" s="2972"/>
      <c r="J24" s="1616"/>
      <c r="K24" s="2916">
        <v>0.44850000000000001</v>
      </c>
      <c r="L24" s="1718">
        <v>1.8499999999999999E-2</v>
      </c>
      <c r="M24" s="1720"/>
      <c r="N24" s="1718"/>
      <c r="O24" s="1716"/>
      <c r="P24" s="1716"/>
      <c r="Q24" s="2917"/>
      <c r="R24" s="576"/>
      <c r="S24" s="1749">
        <v>2.15</v>
      </c>
      <c r="T24" s="1713" t="s">
        <v>2</v>
      </c>
      <c r="U24" s="2071">
        <f>S24*IFERROR(INDEX('Currency Data'!$L$8:$L$41,MATCH(T24,'Currency Data'!$H$8:$H$41,0)),1)</f>
        <v>1.7063040660299993</v>
      </c>
      <c r="V24" s="2918"/>
    </row>
    <row r="25" spans="2:22" s="749" customFormat="1" ht="15.9" customHeight="1" x14ac:dyDescent="0.25">
      <c r="B25" s="526" t="s">
        <v>3727</v>
      </c>
      <c r="C25" s="2911" t="s">
        <v>3728</v>
      </c>
      <c r="D25" s="2911" t="s">
        <v>3739</v>
      </c>
      <c r="E25" s="2925"/>
      <c r="F25" s="2912" t="s">
        <v>357</v>
      </c>
      <c r="G25" s="2968" t="s">
        <v>43</v>
      </c>
      <c r="H25" s="2978" t="str">
        <f>IF(ISERROR(MATCH(F25,'PU List'!$G$33:$G$397,0)),"No","Yes")</f>
        <v>Yes</v>
      </c>
      <c r="I25" s="2972"/>
      <c r="J25" s="1616"/>
      <c r="K25" s="2913">
        <v>0.45500000000000002</v>
      </c>
      <c r="L25" s="2921">
        <v>1.34E-2</v>
      </c>
      <c r="M25" s="1719"/>
      <c r="N25" s="1716"/>
      <c r="O25" s="1716"/>
      <c r="P25" s="1716"/>
      <c r="Q25" s="2920"/>
      <c r="R25" s="576"/>
      <c r="S25" s="1699">
        <v>2.54</v>
      </c>
      <c r="T25" s="1702" t="s">
        <v>43</v>
      </c>
      <c r="U25" s="2071">
        <f>S25*IFERROR(INDEX('Currency Data'!$L$8:$L$41,MATCH(T25,'Currency Data'!$H$8:$H$41,0)),1)</f>
        <v>2.2447496097986828</v>
      </c>
      <c r="V25" s="2918"/>
    </row>
    <row r="26" spans="2:22" s="272" customFormat="1" ht="15.9" customHeight="1" x14ac:dyDescent="0.25">
      <c r="B26" s="526" t="s">
        <v>3727</v>
      </c>
      <c r="C26" s="2911" t="s">
        <v>3728</v>
      </c>
      <c r="D26" s="2911" t="s">
        <v>257</v>
      </c>
      <c r="E26" s="2925"/>
      <c r="F26" s="2912" t="s">
        <v>348</v>
      </c>
      <c r="G26" s="2968" t="s">
        <v>43</v>
      </c>
      <c r="H26" s="2978" t="str">
        <f>IF(ISERROR(MATCH(F26,'PU List'!$G$33:$G$397,0)),"No","Yes")</f>
        <v>Yes</v>
      </c>
      <c r="I26" s="2972"/>
      <c r="J26" s="1616"/>
      <c r="K26" s="2913">
        <v>0.8</v>
      </c>
      <c r="L26" s="1718">
        <v>1.8499999999999999E-2</v>
      </c>
      <c r="M26" s="1719"/>
      <c r="N26" s="1719"/>
      <c r="O26" s="1719"/>
      <c r="P26" s="1716"/>
      <c r="Q26" s="2920"/>
      <c r="R26" s="576"/>
      <c r="S26" s="1699">
        <v>1.8</v>
      </c>
      <c r="T26" s="1702" t="s">
        <v>43</v>
      </c>
      <c r="U26" s="2071">
        <f>S26*IFERROR(INDEX('Currency Data'!$L$8:$L$41,MATCH(T26,'Currency Data'!$H$8:$H$41,0)),1)</f>
        <v>1.5907674400148146</v>
      </c>
      <c r="V26" s="2918"/>
    </row>
    <row r="27" spans="2:22" s="272" customFormat="1" ht="15.9" customHeight="1" x14ac:dyDescent="0.25">
      <c r="B27" s="526" t="s">
        <v>3727</v>
      </c>
      <c r="C27" s="2911" t="s">
        <v>3728</v>
      </c>
      <c r="D27" s="2911" t="s">
        <v>3740</v>
      </c>
      <c r="E27" s="2925"/>
      <c r="F27" s="2912" t="s">
        <v>600</v>
      </c>
      <c r="G27" s="2968" t="s">
        <v>601</v>
      </c>
      <c r="H27" s="2978" t="str">
        <f>IF(ISERROR(MATCH(F27,'PU List'!$G$33:$G$397,0)),"No","Yes")</f>
        <v>No</v>
      </c>
      <c r="I27" s="2972"/>
      <c r="J27" s="1616"/>
      <c r="K27" s="2916">
        <v>0.36</v>
      </c>
      <c r="L27" s="1718">
        <v>1.8499999999999999E-2</v>
      </c>
      <c r="M27" s="1720"/>
      <c r="N27" s="1718">
        <v>0.14849999999999999</v>
      </c>
      <c r="O27" s="1716"/>
      <c r="P27" s="1716"/>
      <c r="Q27" s="2919"/>
      <c r="R27" s="576"/>
      <c r="S27" s="1699"/>
      <c r="T27" s="1700"/>
      <c r="U27" s="2071">
        <f>S27*IFERROR(INDEX('Currency Data'!$L$8:$L$41,MATCH(T27,'Currency Data'!$H$8:$H$41,0)),1)</f>
        <v>0</v>
      </c>
      <c r="V27" s="2918"/>
    </row>
    <row r="28" spans="2:22" s="749" customFormat="1" ht="15.9" customHeight="1" x14ac:dyDescent="0.25">
      <c r="B28" s="526" t="s">
        <v>3727</v>
      </c>
      <c r="C28" s="2911" t="s">
        <v>3728</v>
      </c>
      <c r="D28" s="2911" t="s">
        <v>3741</v>
      </c>
      <c r="E28" s="2925"/>
      <c r="F28" s="2912" t="s">
        <v>46</v>
      </c>
      <c r="G28" s="2968" t="s">
        <v>10</v>
      </c>
      <c r="H28" s="2978" t="str">
        <f>IF(ISERROR(MATCH(F28,'PU List'!$G$33:$G$397,0)),"No","Yes")</f>
        <v>Yes</v>
      </c>
      <c r="I28" s="2972"/>
      <c r="J28" s="1616"/>
      <c r="K28" s="2916">
        <v>0.39250000000000002</v>
      </c>
      <c r="L28" s="1718">
        <v>1.8499999999999999E-2</v>
      </c>
      <c r="M28" s="1719"/>
      <c r="N28" s="1716"/>
      <c r="O28" s="1716"/>
      <c r="P28" s="1716"/>
      <c r="Q28" s="2917"/>
      <c r="R28" s="576"/>
      <c r="S28" s="1749">
        <v>2.15</v>
      </c>
      <c r="T28" s="1713" t="s">
        <v>2</v>
      </c>
      <c r="U28" s="2071">
        <f>S28*IFERROR(INDEX('Currency Data'!$L$8:$L$41,MATCH(T28,'Currency Data'!$H$8:$H$41,0)),1)</f>
        <v>1.7063040660299993</v>
      </c>
      <c r="V28" s="2918"/>
    </row>
    <row r="29" spans="2:22" s="749" customFormat="1" ht="15.9" customHeight="1" x14ac:dyDescent="0.25">
      <c r="B29" s="526" t="s">
        <v>3727</v>
      </c>
      <c r="C29" s="2911" t="s">
        <v>3728</v>
      </c>
      <c r="D29" s="2911" t="s">
        <v>3742</v>
      </c>
      <c r="E29" s="2925"/>
      <c r="F29" s="2912" t="s">
        <v>373</v>
      </c>
      <c r="G29" s="2968" t="s">
        <v>396</v>
      </c>
      <c r="H29" s="2978" t="str">
        <f>IF(ISERROR(MATCH(F29,'PU List'!$G$33:$G$397,0)),"No","Yes")</f>
        <v>No</v>
      </c>
      <c r="I29" s="2972"/>
      <c r="J29" s="1616"/>
      <c r="K29" s="2916">
        <v>0.57999999999999996</v>
      </c>
      <c r="L29" s="1548">
        <v>0</v>
      </c>
      <c r="M29" s="1719"/>
      <c r="N29" s="1718"/>
      <c r="O29" s="1718"/>
      <c r="P29" s="1718"/>
      <c r="Q29" s="2917"/>
      <c r="R29" s="576"/>
      <c r="S29" s="1701">
        <v>30</v>
      </c>
      <c r="T29" s="1702" t="s">
        <v>396</v>
      </c>
      <c r="U29" s="2071">
        <f>S29*IFERROR(INDEX('Currency Data'!$L$8:$L$41,MATCH(T29,'Currency Data'!$H$8:$H$41,0)),1)</f>
        <v>1.2330123951522034</v>
      </c>
      <c r="V29" s="2918"/>
    </row>
    <row r="30" spans="2:22" s="749" customFormat="1" ht="15.9" customHeight="1" x14ac:dyDescent="0.25">
      <c r="B30" s="526" t="s">
        <v>3727</v>
      </c>
      <c r="C30" s="2911" t="s">
        <v>3728</v>
      </c>
      <c r="D30" s="2911" t="s">
        <v>3743</v>
      </c>
      <c r="E30" s="2925"/>
      <c r="F30" s="2912" t="s">
        <v>306</v>
      </c>
      <c r="G30" s="2968" t="s">
        <v>11</v>
      </c>
      <c r="H30" s="2978" t="str">
        <f>IF(ISERROR(MATCH(F30,'PU List'!$G$33:$G$397,0)),"No","Yes")</f>
        <v>Yes</v>
      </c>
      <c r="I30" s="2972"/>
      <c r="J30" s="1616"/>
      <c r="K30" s="2916">
        <v>0.24529999999999999</v>
      </c>
      <c r="L30" s="1718">
        <v>1.8499999999999999E-2</v>
      </c>
      <c r="M30" s="1720"/>
      <c r="N30" s="1716"/>
      <c r="O30" s="1716"/>
      <c r="P30" s="1716"/>
      <c r="Q30" s="2917"/>
      <c r="R30" s="576"/>
      <c r="S30" s="1701">
        <v>7.9</v>
      </c>
      <c r="T30" s="1702" t="s">
        <v>11</v>
      </c>
      <c r="U30" s="2071">
        <f>S30*IFERROR(INDEX('Currency Data'!$L$8:$L$41,MATCH(T30,'Currency Data'!$H$8:$H$41,0)),1)</f>
        <v>4.0813496997433942</v>
      </c>
      <c r="V30" s="2918"/>
    </row>
    <row r="31" spans="2:22" s="749" customFormat="1" ht="15.9" customHeight="1" x14ac:dyDescent="0.25">
      <c r="B31" s="526" t="s">
        <v>3727</v>
      </c>
      <c r="C31" s="2911" t="s">
        <v>3728</v>
      </c>
      <c r="D31" s="2911" t="s">
        <v>3744</v>
      </c>
      <c r="E31" s="2925"/>
      <c r="F31" s="2912" t="s">
        <v>349</v>
      </c>
      <c r="G31" s="2968" t="s">
        <v>43</v>
      </c>
      <c r="H31" s="2978" t="str">
        <f>IF(ISERROR(MATCH(F31,'PU List'!$G$33:$G$397,0)),"No","Yes")</f>
        <v>Yes</v>
      </c>
      <c r="I31" s="2972"/>
      <c r="J31" s="1616"/>
      <c r="K31" s="2913">
        <v>0.61</v>
      </c>
      <c r="L31" s="1549">
        <v>0</v>
      </c>
      <c r="M31" s="1715"/>
      <c r="N31" s="1718"/>
      <c r="O31" s="1718"/>
      <c r="P31" s="1718"/>
      <c r="Q31" s="2917"/>
      <c r="R31" s="576"/>
      <c r="S31" s="1699">
        <v>3.6</v>
      </c>
      <c r="T31" s="1702" t="s">
        <v>43</v>
      </c>
      <c r="U31" s="2071">
        <f>S31*IFERROR(INDEX('Currency Data'!$L$8:$L$41,MATCH(T31,'Currency Data'!$H$8:$H$41,0)),1)</f>
        <v>3.1815348800296293</v>
      </c>
      <c r="V31" s="2918"/>
    </row>
    <row r="32" spans="2:22" s="749" customFormat="1" ht="15.9" customHeight="1" x14ac:dyDescent="0.25">
      <c r="B32" s="526" t="s">
        <v>3727</v>
      </c>
      <c r="C32" s="2911" t="s">
        <v>3728</v>
      </c>
      <c r="D32" s="2911" t="s">
        <v>266</v>
      </c>
      <c r="E32" s="2925"/>
      <c r="F32" s="2912" t="s">
        <v>443</v>
      </c>
      <c r="G32" s="2968" t="s">
        <v>402</v>
      </c>
      <c r="H32" s="2978" t="str">
        <f>IF(ISERROR(MATCH(F32,'PU List'!$G$33:$G$397,0)),"No","Yes")</f>
        <v>No</v>
      </c>
      <c r="I32" s="2972"/>
      <c r="J32" s="1616"/>
      <c r="K32" s="2916">
        <v>0.29459999999999997</v>
      </c>
      <c r="L32" s="1549">
        <v>0</v>
      </c>
      <c r="M32" s="1720"/>
      <c r="N32" s="1720"/>
      <c r="O32" s="1549"/>
      <c r="P32" s="1549"/>
      <c r="Q32" s="2920"/>
      <c r="R32" s="576"/>
      <c r="S32" s="1701">
        <v>10.08</v>
      </c>
      <c r="T32" s="1702" t="s">
        <v>402</v>
      </c>
      <c r="U32" s="2071">
        <f>S32*IFERROR(INDEX('Currency Data'!$L$8:$L$41,MATCH(T32,'Currency Data'!$H$8:$H$41,0)),1)</f>
        <v>2.3804997293261994</v>
      </c>
      <c r="V32" s="2918"/>
    </row>
    <row r="33" spans="2:22" s="749" customFormat="1" ht="15.9" customHeight="1" x14ac:dyDescent="0.25">
      <c r="B33" s="526" t="s">
        <v>3727</v>
      </c>
      <c r="C33" s="2911" t="s">
        <v>3728</v>
      </c>
      <c r="D33" s="2911"/>
      <c r="E33" s="2925"/>
      <c r="F33" s="2912" t="s">
        <v>4243</v>
      </c>
      <c r="G33" s="2968" t="s">
        <v>2</v>
      </c>
      <c r="H33" s="2978" t="str">
        <f>IF(ISERROR(MATCH(F33,'PU List'!$G$33:$G$397,0)),"No","Yes")</f>
        <v>No</v>
      </c>
      <c r="I33" s="2972"/>
      <c r="J33" s="1616"/>
      <c r="K33" s="2916">
        <v>0.37</v>
      </c>
      <c r="L33" s="1549">
        <v>0</v>
      </c>
      <c r="M33" s="1719"/>
      <c r="N33" s="1719"/>
      <c r="O33" s="1548"/>
      <c r="P33" s="1548"/>
      <c r="Q33" s="2920"/>
      <c r="R33" s="576"/>
      <c r="S33" s="1701">
        <v>0</v>
      </c>
      <c r="T33" s="1702" t="s">
        <v>2</v>
      </c>
      <c r="U33" s="2071">
        <f>S33*IFERROR(INDEX('Currency Data'!$L$8:$L$41,MATCH(T33,'Currency Data'!$H$8:$H$41,0)),1)</f>
        <v>0</v>
      </c>
      <c r="V33" s="2918"/>
    </row>
    <row r="34" spans="2:22" s="272" customFormat="1" ht="15.9" customHeight="1" x14ac:dyDescent="0.25">
      <c r="B34" s="526" t="s">
        <v>3727</v>
      </c>
      <c r="C34" s="2911" t="s">
        <v>3728</v>
      </c>
      <c r="D34" s="2911" t="s">
        <v>3745</v>
      </c>
      <c r="E34" s="2925"/>
      <c r="F34" s="2912" t="s">
        <v>47</v>
      </c>
      <c r="G34" s="2968" t="s">
        <v>40</v>
      </c>
      <c r="H34" s="2978" t="str">
        <f>IF(ISERROR(MATCH(F34,'PU List'!$G$33:$G$397,0)),"No","Yes")</f>
        <v>Yes</v>
      </c>
      <c r="I34" s="2972"/>
      <c r="J34" s="1616"/>
      <c r="K34" s="2916">
        <v>0.3735</v>
      </c>
      <c r="L34" s="1718">
        <v>1.8499999999999999E-2</v>
      </c>
      <c r="M34" s="1719"/>
      <c r="N34" s="1716"/>
      <c r="O34" s="1716"/>
      <c r="P34" s="1716"/>
      <c r="Q34" s="2917"/>
      <c r="R34" s="576"/>
      <c r="S34" s="1749">
        <v>2.15</v>
      </c>
      <c r="T34" s="1713" t="s">
        <v>2</v>
      </c>
      <c r="U34" s="2071">
        <f>S34*IFERROR(INDEX('Currency Data'!$L$8:$L$41,MATCH(T34,'Currency Data'!$H$8:$H$41,0)),1)</f>
        <v>1.7063040660299993</v>
      </c>
      <c r="V34" s="2918"/>
    </row>
    <row r="35" spans="2:22" s="272" customFormat="1" ht="15.9" customHeight="1" x14ac:dyDescent="0.25">
      <c r="B35" s="526" t="s">
        <v>3727</v>
      </c>
      <c r="C35" s="2911" t="s">
        <v>3728</v>
      </c>
      <c r="D35" s="2911" t="s">
        <v>285</v>
      </c>
      <c r="E35" s="2925"/>
      <c r="F35" s="2912" t="s">
        <v>3746</v>
      </c>
      <c r="G35" s="2967" t="s">
        <v>400</v>
      </c>
      <c r="H35" s="2978" t="str">
        <f>IF(ISERROR(MATCH(F35,'PU List'!$G$33:$G$397,0)),"No","Yes")</f>
        <v>No</v>
      </c>
      <c r="I35" s="2972"/>
      <c r="J35" s="1616"/>
      <c r="K35" s="2913">
        <v>0.223</v>
      </c>
      <c r="L35" s="2922">
        <v>0.223</v>
      </c>
      <c r="M35" s="1715"/>
      <c r="N35" s="1716"/>
      <c r="O35" s="1716"/>
      <c r="P35" s="1716"/>
      <c r="Q35" s="2919"/>
      <c r="R35" s="576"/>
      <c r="S35" s="1699">
        <v>10.130000000000001</v>
      </c>
      <c r="T35" s="1702" t="s">
        <v>400</v>
      </c>
      <c r="U35" s="2071">
        <f>S35*IFERROR(INDEX('Currency Data'!$L$8:$L$41,MATCH(T35,'Currency Data'!$H$8:$H$41,0)),1)</f>
        <v>2.1437252407303107</v>
      </c>
      <c r="V35" s="2918"/>
    </row>
    <row r="36" spans="2:22" s="272" customFormat="1" ht="15.9" customHeight="1" x14ac:dyDescent="0.25">
      <c r="B36" s="526" t="s">
        <v>3727</v>
      </c>
      <c r="C36" s="2911" t="s">
        <v>3728</v>
      </c>
      <c r="D36" s="2911" t="s">
        <v>3747</v>
      </c>
      <c r="E36" s="2925"/>
      <c r="F36" s="2912" t="s">
        <v>49</v>
      </c>
      <c r="G36" s="2968" t="s">
        <v>48</v>
      </c>
      <c r="H36" s="2978" t="str">
        <f>IF(ISERROR(MATCH(F36,'PU List'!$G$33:$G$397,0)),"No","Yes")</f>
        <v>Yes</v>
      </c>
      <c r="I36" s="2972"/>
      <c r="J36" s="1616"/>
      <c r="K36" s="2916">
        <v>0.41049999999999998</v>
      </c>
      <c r="L36" s="1718">
        <v>1.8499999999999999E-2</v>
      </c>
      <c r="M36" s="1719"/>
      <c r="N36" s="1716"/>
      <c r="O36" s="1716"/>
      <c r="P36" s="1716"/>
      <c r="Q36" s="2917"/>
      <c r="R36" s="576"/>
      <c r="S36" s="1749">
        <v>2.4300000000000002</v>
      </c>
      <c r="T36" s="1713" t="s">
        <v>2</v>
      </c>
      <c r="U36" s="2071">
        <f>S36*IFERROR(INDEX('Currency Data'!$L$8:$L$41,MATCH(T36,'Currency Data'!$H$8:$H$41,0)),1)</f>
        <v>1.9285204095129762</v>
      </c>
      <c r="V36" s="2918"/>
    </row>
    <row r="37" spans="2:22" s="749" customFormat="1" ht="15.9" customHeight="1" x14ac:dyDescent="0.25">
      <c r="B37" s="526" t="s">
        <v>3727</v>
      </c>
      <c r="C37" s="2911" t="s">
        <v>3728</v>
      </c>
      <c r="D37" s="2911"/>
      <c r="E37" s="2925"/>
      <c r="F37" s="2923" t="s">
        <v>444</v>
      </c>
      <c r="G37" s="2968" t="s">
        <v>403</v>
      </c>
      <c r="H37" s="2978" t="str">
        <f>IF(ISERROR(MATCH(F37,'PU List'!$G$33:$G$397,0)),"No","Yes")</f>
        <v>No</v>
      </c>
      <c r="I37" s="2972"/>
      <c r="J37" s="1616"/>
      <c r="K37" s="2916">
        <v>0.36299999999999999</v>
      </c>
      <c r="L37" s="1720">
        <v>1.8499999999999999E-2</v>
      </c>
      <c r="M37" s="1720"/>
      <c r="N37" s="1718">
        <v>0.223</v>
      </c>
      <c r="O37" s="1718"/>
      <c r="P37" s="1718"/>
      <c r="Q37" s="2920"/>
      <c r="R37" s="576"/>
      <c r="S37" s="1701">
        <v>50</v>
      </c>
      <c r="T37" s="1702" t="s">
        <v>403</v>
      </c>
      <c r="U37" s="2071">
        <f>S37*IFERROR(INDEX('Currency Data'!$L$8:$L$41,MATCH(T37,'Currency Data'!$H$8:$H$41,0)),1)</f>
        <v>2.6998128917353812</v>
      </c>
      <c r="V37" s="2918"/>
    </row>
    <row r="38" spans="2:22" s="272" customFormat="1" ht="15.9" customHeight="1" x14ac:dyDescent="0.25">
      <c r="B38" s="526" t="s">
        <v>3727</v>
      </c>
      <c r="C38" s="2911" t="s">
        <v>3728</v>
      </c>
      <c r="D38" s="2911" t="s">
        <v>279</v>
      </c>
      <c r="E38" s="2925"/>
      <c r="F38" s="2912" t="s">
        <v>351</v>
      </c>
      <c r="G38" s="2968" t="s">
        <v>43</v>
      </c>
      <c r="H38" s="2978" t="str">
        <f>IF(ISERROR(MATCH(F38,'PU List'!$G$33:$G$397,0)),"No","Yes")</f>
        <v>No</v>
      </c>
      <c r="I38" s="2972"/>
      <c r="J38" s="1616"/>
      <c r="K38" s="2913">
        <v>0.51</v>
      </c>
      <c r="L38" s="1718">
        <v>1.8499999999999999E-2</v>
      </c>
      <c r="M38" s="1719"/>
      <c r="N38" s="1719"/>
      <c r="O38" s="1548"/>
      <c r="P38" s="1548"/>
      <c r="Q38" s="2920"/>
      <c r="R38" s="576"/>
      <c r="S38" s="1699">
        <v>1.4</v>
      </c>
      <c r="T38" s="1702" t="s">
        <v>43</v>
      </c>
      <c r="U38" s="2071">
        <f>S38*IFERROR(INDEX('Currency Data'!$L$8:$L$41,MATCH(T38,'Currency Data'!$H$8:$H$41,0)),1)</f>
        <v>1.2372635644559669</v>
      </c>
      <c r="V38" s="2918"/>
    </row>
    <row r="39" spans="2:22" s="749" customFormat="1" ht="15.9" customHeight="1" x14ac:dyDescent="0.25">
      <c r="B39" s="526" t="s">
        <v>3727</v>
      </c>
      <c r="C39" s="2911" t="s">
        <v>3728</v>
      </c>
      <c r="D39" s="2911"/>
      <c r="E39" s="2925"/>
      <c r="F39" s="2912" t="s">
        <v>445</v>
      </c>
      <c r="G39" s="2968" t="s">
        <v>407</v>
      </c>
      <c r="H39" s="2978" t="str">
        <f>IF(ISERROR(MATCH(F39,'PU List'!$G$33:$G$397,0)),"No","Yes")</f>
        <v>Yes</v>
      </c>
      <c r="I39" s="2972"/>
      <c r="J39" s="1616"/>
      <c r="K39" s="2913">
        <v>1</v>
      </c>
      <c r="L39" s="1549">
        <v>0</v>
      </c>
      <c r="M39" s="1719"/>
      <c r="N39" s="1716"/>
      <c r="O39" s="1716"/>
      <c r="P39" s="1716"/>
      <c r="Q39" s="2920"/>
      <c r="R39" s="576"/>
      <c r="S39" s="1699">
        <v>3.6</v>
      </c>
      <c r="T39" s="1702" t="s">
        <v>43</v>
      </c>
      <c r="U39" s="2071">
        <f>S39*IFERROR(INDEX('Currency Data'!$L$8:$L$41,MATCH(T39,'Currency Data'!$H$8:$H$41,0)),1)</f>
        <v>3.1815348800296293</v>
      </c>
      <c r="V39" s="2918"/>
    </row>
    <row r="40" spans="2:22" s="749" customFormat="1" ht="15.9" customHeight="1" x14ac:dyDescent="0.25">
      <c r="B40" s="526" t="s">
        <v>3727</v>
      </c>
      <c r="C40" s="2911" t="s">
        <v>3728</v>
      </c>
      <c r="D40" s="2911"/>
      <c r="E40" s="2925"/>
      <c r="F40" s="2912" t="s">
        <v>350</v>
      </c>
      <c r="G40" s="2968" t="s">
        <v>355</v>
      </c>
      <c r="H40" s="2978" t="str">
        <f>IF(ISERROR(MATCH(F40,'PU List'!$G$33:$G$397,0)),"No","Yes")</f>
        <v>Yes</v>
      </c>
      <c r="I40" s="2972"/>
      <c r="J40" s="1616"/>
      <c r="K40" s="2913">
        <v>0.49059999999999998</v>
      </c>
      <c r="L40" s="1718">
        <v>1.8499999999999999E-2</v>
      </c>
      <c r="M40" s="1719"/>
      <c r="N40" s="1719"/>
      <c r="O40" s="1716"/>
      <c r="P40" s="1716"/>
      <c r="Q40" s="2917"/>
      <c r="R40" s="576"/>
      <c r="S40" s="1699">
        <v>2</v>
      </c>
      <c r="T40" s="1702" t="s">
        <v>355</v>
      </c>
      <c r="U40" s="2071">
        <f>S40*IFERROR(INDEX('Currency Data'!$L$8:$L$41,MATCH(T40,'Currency Data'!$H$8:$H$41,0)),1)</f>
        <v>1.5758608693519969</v>
      </c>
      <c r="V40" s="2918"/>
    </row>
    <row r="41" spans="2:22" s="749" customFormat="1" ht="15.9" customHeight="1" x14ac:dyDescent="0.25">
      <c r="B41" s="526" t="s">
        <v>3727</v>
      </c>
      <c r="C41" s="2911" t="s">
        <v>3728</v>
      </c>
      <c r="D41" s="2911" t="s">
        <v>3748</v>
      </c>
      <c r="E41" s="2925"/>
      <c r="F41" s="2912" t="s">
        <v>3749</v>
      </c>
      <c r="G41" s="2968" t="s">
        <v>353</v>
      </c>
      <c r="H41" s="2978" t="str">
        <f>IF(ISERROR(MATCH(F41,'PU List'!$G$33:$G$397,0)),"No","Yes")</f>
        <v>No</v>
      </c>
      <c r="I41" s="2972"/>
      <c r="J41" s="1616"/>
      <c r="K41" s="2913">
        <v>0.22500000000000001</v>
      </c>
      <c r="L41" s="2924">
        <v>0.22500000000000001</v>
      </c>
      <c r="M41" s="1719"/>
      <c r="N41" s="1716"/>
      <c r="O41" s="1716"/>
      <c r="P41" s="1716"/>
      <c r="Q41" s="2920"/>
      <c r="R41" s="576"/>
      <c r="S41" s="1699">
        <v>11.02</v>
      </c>
      <c r="T41" s="1702" t="s">
        <v>353</v>
      </c>
      <c r="U41" s="2071">
        <f>S41*IFERROR(INDEX('Currency Data'!$L$8:$L$41,MATCH(T41,'Currency Data'!$H$8:$H$41,0)),1)</f>
        <v>2.3811702947674696</v>
      </c>
      <c r="V41" s="2918"/>
    </row>
    <row r="42" spans="2:22" s="749" customFormat="1" ht="15.9" customHeight="1" x14ac:dyDescent="0.25">
      <c r="B42" s="526" t="s">
        <v>3727</v>
      </c>
      <c r="C42" s="2911" t="s">
        <v>3728</v>
      </c>
      <c r="D42" s="2911" t="s">
        <v>3750</v>
      </c>
      <c r="E42" s="2925"/>
      <c r="F42" s="2912" t="s">
        <v>51</v>
      </c>
      <c r="G42" s="2968" t="s">
        <v>50</v>
      </c>
      <c r="H42" s="2978" t="str">
        <f>IF(ISERROR(MATCH(F42,'PU List'!$G$33:$G$397,0)),"No","Yes")</f>
        <v>No</v>
      </c>
      <c r="I42" s="2972"/>
      <c r="J42" s="1616"/>
      <c r="K42" s="2916">
        <v>0.28849999999999998</v>
      </c>
      <c r="L42" s="1718">
        <v>1.8499999999999999E-2</v>
      </c>
      <c r="M42" s="1720"/>
      <c r="N42" s="1718"/>
      <c r="O42" s="1716"/>
      <c r="P42" s="1716"/>
      <c r="Q42" s="2917"/>
      <c r="R42" s="576"/>
      <c r="S42" s="1749">
        <v>2.15</v>
      </c>
      <c r="T42" s="1713" t="s">
        <v>2</v>
      </c>
      <c r="U42" s="2071">
        <f>S42*IFERROR(INDEX('Currency Data'!$L$8:$L$41,MATCH(T42,'Currency Data'!$H$8:$H$41,0)),1)</f>
        <v>1.7063040660299993</v>
      </c>
      <c r="V42" s="2918"/>
    </row>
    <row r="43" spans="2:22" s="749" customFormat="1" ht="15.9" customHeight="1" x14ac:dyDescent="0.25">
      <c r="B43" s="526" t="s">
        <v>3302</v>
      </c>
      <c r="C43" s="2911" t="s">
        <v>3751</v>
      </c>
      <c r="D43" s="2925"/>
      <c r="E43" s="2925" t="s">
        <v>3752</v>
      </c>
      <c r="F43" s="523" t="s">
        <v>3753</v>
      </c>
      <c r="G43" s="2967" t="s">
        <v>3</v>
      </c>
      <c r="H43" s="2978" t="str">
        <f>IF(ISERROR(MATCH(F43,'PU List'!$G$33:$G$397,0)),"No","Yes")</f>
        <v>No</v>
      </c>
      <c r="I43" s="2972"/>
      <c r="J43" s="1616"/>
      <c r="K43" s="2913">
        <v>0.38</v>
      </c>
      <c r="L43" s="1548"/>
      <c r="M43" s="1715"/>
      <c r="N43" s="1716"/>
      <c r="O43" s="1716"/>
      <c r="P43" s="1716"/>
      <c r="Q43" s="2919"/>
      <c r="R43" s="576"/>
      <c r="S43" s="1699"/>
      <c r="T43" s="1700"/>
      <c r="U43" s="2071">
        <f>S43*IFERROR(INDEX('Currency Data'!$L$8:$L$41,MATCH(T43,'Currency Data'!$H$8:$H$41,0)),1)</f>
        <v>0</v>
      </c>
      <c r="V43" s="2918"/>
    </row>
    <row r="44" spans="2:22" s="749" customFormat="1" ht="15.9" customHeight="1" x14ac:dyDescent="0.25">
      <c r="B44" s="526" t="s">
        <v>3302</v>
      </c>
      <c r="C44" s="2911" t="s">
        <v>3751</v>
      </c>
      <c r="D44" s="2925"/>
      <c r="E44" s="2925" t="s">
        <v>3754</v>
      </c>
      <c r="F44" s="523" t="s">
        <v>3755</v>
      </c>
      <c r="G44" s="2967" t="s">
        <v>371</v>
      </c>
      <c r="H44" s="2978" t="str">
        <f>IF(ISERROR(MATCH(F44,'PU List'!$G$33:$G$397,0)),"No","Yes")</f>
        <v>Yes</v>
      </c>
      <c r="I44" s="2972"/>
      <c r="J44" s="1616"/>
      <c r="K44" s="2913">
        <v>0.34</v>
      </c>
      <c r="L44" s="1548"/>
      <c r="M44" s="1715"/>
      <c r="N44" s="1716"/>
      <c r="O44" s="1716"/>
      <c r="P44" s="1716"/>
      <c r="Q44" s="2919"/>
      <c r="R44" s="576"/>
      <c r="S44" s="1699">
        <v>0</v>
      </c>
      <c r="T44" s="1713" t="s">
        <v>371</v>
      </c>
      <c r="U44" s="2071">
        <f>S44*IFERROR(INDEX('Currency Data'!$L$8:$L$41,MATCH(T44,'Currency Data'!$H$8:$H$41,0)),1)</f>
        <v>0</v>
      </c>
      <c r="V44" s="2918"/>
    </row>
    <row r="45" spans="2:22" ht="15.9" customHeight="1" x14ac:dyDescent="0.25">
      <c r="B45" s="526" t="s">
        <v>3302</v>
      </c>
      <c r="C45" s="2911" t="s">
        <v>3751</v>
      </c>
      <c r="D45" s="2925"/>
      <c r="E45" s="2925" t="s">
        <v>3756</v>
      </c>
      <c r="F45" s="523" t="s">
        <v>3757</v>
      </c>
      <c r="G45" s="2967" t="s">
        <v>371</v>
      </c>
      <c r="H45" s="2978" t="str">
        <f>IF(ISERROR(MATCH(F45,'PU List'!$G$33:$G$397,0)),"No","Yes")</f>
        <v>No</v>
      </c>
      <c r="I45" s="2972"/>
      <c r="J45" s="1616"/>
      <c r="K45" s="2913">
        <v>0.28000000000000003</v>
      </c>
      <c r="L45" s="1548"/>
      <c r="M45" s="1715"/>
      <c r="N45" s="1716"/>
      <c r="O45" s="1716"/>
      <c r="P45" s="1716"/>
      <c r="Q45" s="2919"/>
      <c r="R45" s="576"/>
      <c r="S45" s="1699"/>
      <c r="T45" s="1700"/>
      <c r="U45" s="2071">
        <f>S45*IFERROR(INDEX('Currency Data'!$L$8:$L$41,MATCH(T45,'Currency Data'!$H$8:$H$41,0)),1)</f>
        <v>0</v>
      </c>
      <c r="V45" s="2918"/>
    </row>
    <row r="46" spans="2:22" ht="15.9" customHeight="1" x14ac:dyDescent="0.25">
      <c r="B46" s="526" t="s">
        <v>3302</v>
      </c>
      <c r="C46" s="2911" t="s">
        <v>3751</v>
      </c>
      <c r="D46" s="2925"/>
      <c r="E46" s="2925" t="s">
        <v>3758</v>
      </c>
      <c r="F46" s="523" t="s">
        <v>3759</v>
      </c>
      <c r="G46" s="2967" t="s">
        <v>371</v>
      </c>
      <c r="H46" s="2978" t="str">
        <f>IF(ISERROR(MATCH(F46,'PU List'!$G$33:$G$397,0)),"No","Yes")</f>
        <v>Yes</v>
      </c>
      <c r="I46" s="2972"/>
      <c r="J46" s="1616"/>
      <c r="K46" s="2913">
        <v>0.34</v>
      </c>
      <c r="L46" s="1548"/>
      <c r="M46" s="1715"/>
      <c r="N46" s="1716"/>
      <c r="O46" s="1716"/>
      <c r="P46" s="1716"/>
      <c r="Q46" s="2919"/>
      <c r="R46" s="576"/>
      <c r="S46" s="1699">
        <v>0</v>
      </c>
      <c r="T46" s="1700" t="s">
        <v>371</v>
      </c>
      <c r="U46" s="2071">
        <f>S46*IFERROR(INDEX('Currency Data'!$L$8:$L$41,MATCH(T46,'Currency Data'!$H$8:$H$41,0)),1)</f>
        <v>0</v>
      </c>
      <c r="V46" s="2918"/>
    </row>
    <row r="47" spans="2:22" ht="15.9" customHeight="1" x14ac:dyDescent="0.25">
      <c r="B47" s="526" t="s">
        <v>3302</v>
      </c>
      <c r="C47" s="2911" t="s">
        <v>3751</v>
      </c>
      <c r="D47" s="2925"/>
      <c r="E47" s="2925" t="s">
        <v>3760</v>
      </c>
      <c r="F47" s="523" t="s">
        <v>3761</v>
      </c>
      <c r="G47" s="2967" t="s">
        <v>42</v>
      </c>
      <c r="H47" s="2978" t="str">
        <f>IF(ISERROR(MATCH(F47,'PU List'!$G$33:$G$397,0)),"No","Yes")</f>
        <v>Yes</v>
      </c>
      <c r="I47" s="2972"/>
      <c r="J47" s="1616"/>
      <c r="K47" s="2913">
        <v>0.37</v>
      </c>
      <c r="L47" s="1548"/>
      <c r="M47" s="1715"/>
      <c r="N47" s="1716"/>
      <c r="O47" s="1716"/>
      <c r="P47" s="1716"/>
      <c r="Q47" s="2919"/>
      <c r="R47" s="576"/>
      <c r="S47" s="1699"/>
      <c r="T47" s="1700"/>
      <c r="U47" s="2071">
        <f>S47*IFERROR(INDEX('Currency Data'!$L$8:$L$41,MATCH(T47,'Currency Data'!$H$8:$H$41,0)),1)</f>
        <v>0</v>
      </c>
      <c r="V47" s="2918"/>
    </row>
    <row r="48" spans="2:22" s="749" customFormat="1" ht="15.9" customHeight="1" x14ac:dyDescent="0.25">
      <c r="B48" s="526" t="s">
        <v>3302</v>
      </c>
      <c r="C48" s="2911" t="s">
        <v>3751</v>
      </c>
      <c r="D48" s="2925"/>
      <c r="E48" s="2925" t="s">
        <v>3762</v>
      </c>
      <c r="F48" s="523" t="s">
        <v>3763</v>
      </c>
      <c r="G48" s="2967" t="s">
        <v>43</v>
      </c>
      <c r="H48" s="2978" t="str">
        <f>IF(ISERROR(MATCH(F48,'PU List'!$G$33:$G$397,0)),"No","Yes")</f>
        <v>No</v>
      </c>
      <c r="I48" s="2972"/>
      <c r="J48" s="1616"/>
      <c r="K48" s="2913">
        <v>0.85</v>
      </c>
      <c r="L48" s="1548"/>
      <c r="M48" s="1715"/>
      <c r="N48" s="1716"/>
      <c r="O48" s="1716"/>
      <c r="P48" s="1716"/>
      <c r="Q48" s="2919"/>
      <c r="R48" s="576"/>
      <c r="S48" s="1699"/>
      <c r="T48" s="1700"/>
      <c r="U48" s="2071">
        <f>S48*IFERROR(INDEX('Currency Data'!$L$8:$L$41,MATCH(T48,'Currency Data'!$H$8:$H$41,0)),1)</f>
        <v>0</v>
      </c>
      <c r="V48" s="2918"/>
    </row>
    <row r="49" spans="2:24" ht="15.9" customHeight="1" x14ac:dyDescent="0.25">
      <c r="B49" s="526" t="s">
        <v>3302</v>
      </c>
      <c r="C49" s="2911" t="s">
        <v>3751</v>
      </c>
      <c r="D49" s="2925"/>
      <c r="E49" s="2925" t="s">
        <v>3764</v>
      </c>
      <c r="F49" s="523" t="s">
        <v>3765</v>
      </c>
      <c r="G49" s="2967" t="s">
        <v>43</v>
      </c>
      <c r="H49" s="2978" t="str">
        <f>IF(ISERROR(MATCH(F49,'PU List'!$G$33:$G$397,0)),"No","Yes")</f>
        <v>No</v>
      </c>
      <c r="I49" s="2972"/>
      <c r="J49" s="1616"/>
      <c r="K49" s="2913">
        <v>0.4</v>
      </c>
      <c r="L49" s="1548"/>
      <c r="M49" s="1715"/>
      <c r="N49" s="1716"/>
      <c r="O49" s="1716"/>
      <c r="P49" s="1716"/>
      <c r="Q49" s="2919"/>
      <c r="R49" s="576"/>
      <c r="S49" s="1699"/>
      <c r="T49" s="1700"/>
      <c r="U49" s="2071">
        <f>S49*IFERROR(INDEX('Currency Data'!$L$8:$L$41,MATCH(T49,'Currency Data'!$H$8:$H$41,0)),1)</f>
        <v>0</v>
      </c>
      <c r="V49" s="2918"/>
    </row>
    <row r="50" spans="2:24" ht="15.9" customHeight="1" x14ac:dyDescent="0.25">
      <c r="B50" s="526" t="s">
        <v>3302</v>
      </c>
      <c r="C50" s="2911" t="s">
        <v>3751</v>
      </c>
      <c r="D50" s="2925"/>
      <c r="E50" s="2925" t="s">
        <v>3766</v>
      </c>
      <c r="F50" s="523" t="s">
        <v>3767</v>
      </c>
      <c r="G50" s="2967" t="s">
        <v>45</v>
      </c>
      <c r="H50" s="2978" t="str">
        <f>IF(ISERROR(MATCH(F50,'PU List'!$G$33:$G$397,0)),"No","Yes")</f>
        <v>No</v>
      </c>
      <c r="I50" s="2972" t="s">
        <v>3933</v>
      </c>
      <c r="J50" s="1616"/>
      <c r="K50" s="2913">
        <v>0.28849999999999998</v>
      </c>
      <c r="L50" s="1548">
        <v>1.8499999999999999E-2</v>
      </c>
      <c r="M50" s="1715"/>
      <c r="N50" s="1716"/>
      <c r="O50" s="1716"/>
      <c r="P50" s="1716"/>
      <c r="Q50" s="2919"/>
      <c r="R50" s="576"/>
      <c r="S50" s="1699"/>
      <c r="T50" s="1700"/>
      <c r="U50" s="2071">
        <f>S50*IFERROR(INDEX('Currency Data'!$L$8:$L$41,MATCH(T50,'Currency Data'!$H$8:$H$41,0)),1)</f>
        <v>0</v>
      </c>
      <c r="V50" s="2918"/>
    </row>
    <row r="51" spans="2:24" ht="15.9" customHeight="1" x14ac:dyDescent="0.25">
      <c r="B51" s="526" t="s">
        <v>3302</v>
      </c>
      <c r="C51" s="2911" t="s">
        <v>3751</v>
      </c>
      <c r="D51" s="2925"/>
      <c r="E51" s="2925" t="s">
        <v>3768</v>
      </c>
      <c r="F51" s="523" t="s">
        <v>3769</v>
      </c>
      <c r="G51" s="2967" t="s">
        <v>352</v>
      </c>
      <c r="H51" s="2978" t="str">
        <f>IF(ISERROR(MATCH(F51,'PU List'!$G$33:$G$397,0)),"No","Yes")</f>
        <v>No</v>
      </c>
      <c r="I51" s="2972"/>
      <c r="J51" s="1616"/>
      <c r="K51" s="2913">
        <v>0.25</v>
      </c>
      <c r="L51" s="1548"/>
      <c r="M51" s="1715"/>
      <c r="N51" s="1716"/>
      <c r="O51" s="1716"/>
      <c r="P51" s="1716"/>
      <c r="Q51" s="2919"/>
      <c r="R51" s="576"/>
      <c r="S51" s="1699"/>
      <c r="T51" s="1700"/>
      <c r="U51" s="2071">
        <f>S51*IFERROR(INDEX('Currency Data'!$L$8:$L$41,MATCH(T51,'Currency Data'!$H$8:$H$41,0)),1)</f>
        <v>0</v>
      </c>
      <c r="V51" s="2918"/>
    </row>
    <row r="52" spans="2:24" ht="15.9" customHeight="1" x14ac:dyDescent="0.25">
      <c r="B52" s="526" t="s">
        <v>3302</v>
      </c>
      <c r="C52" s="2911" t="s">
        <v>3751</v>
      </c>
      <c r="D52" s="2925"/>
      <c r="E52" s="2925" t="s">
        <v>3770</v>
      </c>
      <c r="F52" s="523" t="s">
        <v>3771</v>
      </c>
      <c r="G52" s="2967" t="s">
        <v>352</v>
      </c>
      <c r="H52" s="2978" t="str">
        <f>IF(ISERROR(MATCH(F52,'PU List'!$G$33:$G$397,0)),"No","Yes")</f>
        <v>No</v>
      </c>
      <c r="I52" s="2972"/>
      <c r="J52" s="1616"/>
      <c r="K52" s="2913">
        <v>0.25</v>
      </c>
      <c r="L52" s="1548"/>
      <c r="M52" s="1715"/>
      <c r="N52" s="1716"/>
      <c r="O52" s="1716"/>
      <c r="P52" s="1716"/>
      <c r="Q52" s="2919"/>
      <c r="R52" s="576"/>
      <c r="S52" s="1699"/>
      <c r="T52" s="1700"/>
      <c r="U52" s="2071">
        <f>S52*IFERROR(INDEX('Currency Data'!$L$8:$L$41,MATCH(T52,'Currency Data'!$H$8:$H$41,0)),1)</f>
        <v>0</v>
      </c>
      <c r="V52" s="2918"/>
      <c r="X52" s="575"/>
    </row>
    <row r="53" spans="2:24" s="749" customFormat="1" ht="15.9" customHeight="1" x14ac:dyDescent="0.25">
      <c r="B53" s="526" t="s">
        <v>3302</v>
      </c>
      <c r="C53" s="2911" t="s">
        <v>3751</v>
      </c>
      <c r="D53" s="2925"/>
      <c r="E53" s="2925" t="s">
        <v>3772</v>
      </c>
      <c r="F53" s="523" t="s">
        <v>3773</v>
      </c>
      <c r="G53" s="2967" t="s">
        <v>43</v>
      </c>
      <c r="H53" s="2978" t="str">
        <f>IF(ISERROR(MATCH(F53,'PU List'!$G$33:$G$397,0)),"No","Yes")</f>
        <v>No</v>
      </c>
      <c r="I53" s="2972"/>
      <c r="J53" s="1616"/>
      <c r="K53" s="2913">
        <v>0.38</v>
      </c>
      <c r="L53" s="1548"/>
      <c r="M53" s="1715"/>
      <c r="N53" s="1716"/>
      <c r="O53" s="1716"/>
      <c r="P53" s="1716"/>
      <c r="Q53" s="2919"/>
      <c r="R53" s="576"/>
      <c r="S53" s="1699"/>
      <c r="T53" s="1700"/>
      <c r="U53" s="2071">
        <f>S53*IFERROR(INDEX('Currency Data'!$L$8:$L$41,MATCH(T53,'Currency Data'!$H$8:$H$41,0)),1)</f>
        <v>0</v>
      </c>
      <c r="V53" s="2918"/>
      <c r="X53" s="575"/>
    </row>
    <row r="54" spans="2:24" ht="15.9" customHeight="1" x14ac:dyDescent="0.25">
      <c r="B54" s="526" t="s">
        <v>3302</v>
      </c>
      <c r="C54" s="2911" t="s">
        <v>3751</v>
      </c>
      <c r="D54" s="2925"/>
      <c r="E54" s="2925" t="s">
        <v>3774</v>
      </c>
      <c r="F54" s="523" t="s">
        <v>3775</v>
      </c>
      <c r="G54" s="2967" t="s">
        <v>43</v>
      </c>
      <c r="H54" s="2978" t="str">
        <f>IF(ISERROR(MATCH(F54,'PU List'!$G$33:$G$397,0)),"No","Yes")</f>
        <v>No</v>
      </c>
      <c r="I54" s="2972"/>
      <c r="J54" s="1616"/>
      <c r="K54" s="2913">
        <v>0.34</v>
      </c>
      <c r="L54" s="1548"/>
      <c r="M54" s="1715"/>
      <c r="N54" s="1716"/>
      <c r="O54" s="1716"/>
      <c r="P54" s="1716"/>
      <c r="Q54" s="2919"/>
      <c r="R54" s="576"/>
      <c r="S54" s="1699"/>
      <c r="T54" s="1700"/>
      <c r="U54" s="2071">
        <f>S54*IFERROR(INDEX('Currency Data'!$L$8:$L$41,MATCH(T54,'Currency Data'!$H$8:$H$41,0)),1)</f>
        <v>0</v>
      </c>
      <c r="V54" s="2918"/>
    </row>
    <row r="55" spans="2:24" s="272" customFormat="1" ht="15.9" customHeight="1" x14ac:dyDescent="0.25">
      <c r="B55" s="526" t="s">
        <v>3302</v>
      </c>
      <c r="C55" s="2911" t="s">
        <v>3751</v>
      </c>
      <c r="D55" s="2925"/>
      <c r="E55" s="2925" t="s">
        <v>3776</v>
      </c>
      <c r="F55" s="523" t="s">
        <v>3777</v>
      </c>
      <c r="G55" s="2967" t="s">
        <v>43</v>
      </c>
      <c r="H55" s="2978" t="str">
        <f>IF(ISERROR(MATCH(F55,'PU List'!$G$33:$G$397,0)),"No","Yes")</f>
        <v>No</v>
      </c>
      <c r="I55" s="2972"/>
      <c r="J55" s="1616"/>
      <c r="K55" s="2913">
        <v>0.75</v>
      </c>
      <c r="L55" s="1548"/>
      <c r="M55" s="1715"/>
      <c r="N55" s="1716"/>
      <c r="O55" s="1716"/>
      <c r="P55" s="1716"/>
      <c r="Q55" s="2919"/>
      <c r="R55" s="576"/>
      <c r="S55" s="1699"/>
      <c r="T55" s="1700"/>
      <c r="U55" s="2071">
        <f>S55*IFERROR(INDEX('Currency Data'!$L$8:$L$41,MATCH(T55,'Currency Data'!$H$8:$H$41,0)),1)</f>
        <v>0</v>
      </c>
      <c r="V55" s="2918"/>
    </row>
    <row r="56" spans="2:24" s="749" customFormat="1" ht="15.9" customHeight="1" x14ac:dyDescent="0.25">
      <c r="B56" s="526" t="s">
        <v>3302</v>
      </c>
      <c r="C56" s="2911" t="s">
        <v>3751</v>
      </c>
      <c r="D56" s="2925"/>
      <c r="E56" s="2925" t="s">
        <v>3778</v>
      </c>
      <c r="F56" s="523" t="s">
        <v>3779</v>
      </c>
      <c r="G56" s="2967" t="s">
        <v>3780</v>
      </c>
      <c r="H56" s="2978" t="str">
        <f>IF(ISERROR(MATCH(F56,'PU List'!$G$33:$G$397,0)),"No","Yes")</f>
        <v>No</v>
      </c>
      <c r="I56" s="2972"/>
      <c r="J56" s="1616"/>
      <c r="K56" s="2913">
        <v>0.35360000000000003</v>
      </c>
      <c r="L56" s="1548"/>
      <c r="M56" s="1715"/>
      <c r="N56" s="1716"/>
      <c r="O56" s="1716"/>
      <c r="P56" s="1716"/>
      <c r="Q56" s="2919"/>
      <c r="R56" s="576"/>
      <c r="S56" s="1699"/>
      <c r="T56" s="1700"/>
      <c r="U56" s="2071">
        <f>S56*IFERROR(INDEX('Currency Data'!$L$8:$L$41,MATCH(T56,'Currency Data'!$H$8:$H$41,0)),1)</f>
        <v>0</v>
      </c>
      <c r="V56" s="2918"/>
    </row>
    <row r="57" spans="2:24" s="749" customFormat="1" ht="15.9" customHeight="1" x14ac:dyDescent="0.25">
      <c r="B57" s="526" t="s">
        <v>3302</v>
      </c>
      <c r="C57" s="2911" t="s">
        <v>3751</v>
      </c>
      <c r="D57" s="2925"/>
      <c r="E57" s="2925" t="s">
        <v>3781</v>
      </c>
      <c r="F57" s="523" t="s">
        <v>3782</v>
      </c>
      <c r="G57" s="2967" t="s">
        <v>3783</v>
      </c>
      <c r="H57" s="2978" t="str">
        <f>IF(ISERROR(MATCH(F57,'PU List'!$G$33:$G$397,0)),"No","Yes")</f>
        <v>No</v>
      </c>
      <c r="I57" s="2972"/>
      <c r="J57" s="1616"/>
      <c r="K57" s="2913">
        <v>0.33500000000000002</v>
      </c>
      <c r="L57" s="1548"/>
      <c r="M57" s="1715"/>
      <c r="N57" s="1716"/>
      <c r="O57" s="1716"/>
      <c r="P57" s="1716"/>
      <c r="Q57" s="2919"/>
      <c r="R57" s="576"/>
      <c r="S57" s="1699"/>
      <c r="T57" s="1700"/>
      <c r="U57" s="2071">
        <f>S57*IFERROR(INDEX('Currency Data'!$L$8:$L$41,MATCH(T57,'Currency Data'!$H$8:$H$41,0)),1)</f>
        <v>0</v>
      </c>
      <c r="V57" s="2918"/>
    </row>
    <row r="58" spans="2:24" s="272" customFormat="1" ht="15.9" customHeight="1" x14ac:dyDescent="0.25">
      <c r="B58" s="526" t="s">
        <v>3302</v>
      </c>
      <c r="C58" s="2911" t="s">
        <v>3751</v>
      </c>
      <c r="D58" s="2925"/>
      <c r="E58" s="2925" t="s">
        <v>3784</v>
      </c>
      <c r="F58" s="523" t="s">
        <v>3785</v>
      </c>
      <c r="G58" s="2967" t="s">
        <v>3786</v>
      </c>
      <c r="H58" s="2978" t="str">
        <f>IF(ISERROR(MATCH(F58,'PU List'!$G$33:$G$397,0)),"No","Yes")</f>
        <v>No</v>
      </c>
      <c r="I58" s="2972"/>
      <c r="J58" s="1616"/>
      <c r="K58" s="2913">
        <v>0.43</v>
      </c>
      <c r="L58" s="1548"/>
      <c r="M58" s="1715"/>
      <c r="N58" s="1716"/>
      <c r="O58" s="1716"/>
      <c r="P58" s="1716"/>
      <c r="Q58" s="2919"/>
      <c r="R58" s="576"/>
      <c r="S58" s="1699"/>
      <c r="T58" s="1700"/>
      <c r="U58" s="2071">
        <f>S58*IFERROR(INDEX('Currency Data'!$L$8:$L$41,MATCH(T58,'Currency Data'!$H$8:$H$41,0)),1)</f>
        <v>0</v>
      </c>
      <c r="V58" s="2918"/>
    </row>
    <row r="59" spans="2:24" s="749" customFormat="1" ht="15.9" customHeight="1" x14ac:dyDescent="0.25">
      <c r="B59" s="526" t="s">
        <v>3302</v>
      </c>
      <c r="C59" s="2911" t="s">
        <v>3751</v>
      </c>
      <c r="D59" s="2925"/>
      <c r="E59" s="2925" t="s">
        <v>3787</v>
      </c>
      <c r="F59" s="523" t="s">
        <v>3788</v>
      </c>
      <c r="G59" s="2967" t="s">
        <v>406</v>
      </c>
      <c r="H59" s="2978" t="str">
        <f>IF(ISERROR(MATCH(F59,'PU List'!$G$33:$G$397,0)),"No","Yes")</f>
        <v>No</v>
      </c>
      <c r="I59" s="2972"/>
      <c r="J59" s="1616"/>
      <c r="K59" s="2913">
        <v>0.3</v>
      </c>
      <c r="L59" s="1548"/>
      <c r="M59" s="1715"/>
      <c r="N59" s="1716"/>
      <c r="O59" s="1716"/>
      <c r="P59" s="1716"/>
      <c r="Q59" s="2919"/>
      <c r="R59" s="576"/>
      <c r="S59" s="1699"/>
      <c r="T59" s="1700"/>
      <c r="U59" s="2071">
        <f>S59*IFERROR(INDEX('Currency Data'!$L$8:$L$41,MATCH(T59,'Currency Data'!$H$8:$H$41,0)),1)</f>
        <v>0</v>
      </c>
      <c r="V59" s="2918"/>
    </row>
    <row r="60" spans="2:24" ht="15.9" customHeight="1" x14ac:dyDescent="0.25">
      <c r="B60" s="526" t="s">
        <v>3302</v>
      </c>
      <c r="C60" s="2911" t="s">
        <v>3751</v>
      </c>
      <c r="D60" s="2925"/>
      <c r="E60" s="2925" t="s">
        <v>3789</v>
      </c>
      <c r="F60" s="523" t="s">
        <v>3790</v>
      </c>
      <c r="G60" s="2967" t="s">
        <v>10</v>
      </c>
      <c r="H60" s="2978" t="str">
        <f>IF(ISERROR(MATCH(F60,'PU List'!$G$33:$G$397,0)),"No","Yes")</f>
        <v>No</v>
      </c>
      <c r="I60" s="2972"/>
      <c r="J60" s="1616"/>
      <c r="K60" s="2913">
        <v>0.4</v>
      </c>
      <c r="L60" s="1548"/>
      <c r="M60" s="1715"/>
      <c r="N60" s="1716"/>
      <c r="O60" s="1716"/>
      <c r="P60" s="1716"/>
      <c r="Q60" s="2919"/>
      <c r="R60" s="576"/>
      <c r="S60" s="1699"/>
      <c r="T60" s="1700"/>
      <c r="U60" s="2071">
        <f>S60*IFERROR(INDEX('Currency Data'!$L$8:$L$41,MATCH(T60,'Currency Data'!$H$8:$H$41,0)),1)</f>
        <v>0</v>
      </c>
      <c r="V60" s="2918"/>
    </row>
    <row r="61" spans="2:24" s="272" customFormat="1" ht="15.9" customHeight="1" x14ac:dyDescent="0.25">
      <c r="B61" s="526" t="s">
        <v>3302</v>
      </c>
      <c r="C61" s="2911" t="s">
        <v>3751</v>
      </c>
      <c r="D61" s="2925"/>
      <c r="E61" s="2925" t="s">
        <v>3791</v>
      </c>
      <c r="F61" s="523" t="s">
        <v>3792</v>
      </c>
      <c r="G61" s="2967" t="s">
        <v>10</v>
      </c>
      <c r="H61" s="2978" t="str">
        <f>IF(ISERROR(MATCH(F61,'PU List'!$G$33:$G$397,0)),"No","Yes")</f>
        <v>No</v>
      </c>
      <c r="I61" s="2972"/>
      <c r="J61" s="1616"/>
      <c r="K61" s="2913">
        <v>0.36</v>
      </c>
      <c r="L61" s="1548"/>
      <c r="M61" s="1715"/>
      <c r="N61" s="1716"/>
      <c r="O61" s="1716"/>
      <c r="P61" s="1716"/>
      <c r="Q61" s="2919"/>
      <c r="R61" s="576"/>
      <c r="S61" s="1699"/>
      <c r="T61" s="1700"/>
      <c r="U61" s="2071">
        <f>S61*IFERROR(INDEX('Currency Data'!$L$8:$L$41,MATCH(T61,'Currency Data'!$H$8:$H$41,0)),1)</f>
        <v>0</v>
      </c>
      <c r="V61" s="2918"/>
    </row>
    <row r="62" spans="2:24" s="272" customFormat="1" ht="15.9" customHeight="1" x14ac:dyDescent="0.25">
      <c r="B62" s="526" t="s">
        <v>3302</v>
      </c>
      <c r="C62" s="2911" t="s">
        <v>3751</v>
      </c>
      <c r="D62" s="2925"/>
      <c r="E62" s="2925" t="s">
        <v>3793</v>
      </c>
      <c r="F62" s="523" t="s">
        <v>3794</v>
      </c>
      <c r="G62" s="2967" t="s">
        <v>10</v>
      </c>
      <c r="H62" s="2978" t="str">
        <f>IF(ISERROR(MATCH(F62,'PU List'!$G$33:$G$397,0)),"No","Yes")</f>
        <v>No</v>
      </c>
      <c r="I62" s="2972"/>
      <c r="J62" s="1616"/>
      <c r="K62" s="2913">
        <v>0.4</v>
      </c>
      <c r="L62" s="1548"/>
      <c r="M62" s="1715"/>
      <c r="N62" s="1716"/>
      <c r="O62" s="1716"/>
      <c r="P62" s="1716"/>
      <c r="Q62" s="2919"/>
      <c r="R62" s="576"/>
      <c r="S62" s="1699"/>
      <c r="T62" s="1700"/>
      <c r="U62" s="2071">
        <f>S62*IFERROR(INDEX('Currency Data'!$L$8:$L$41,MATCH(T62,'Currency Data'!$H$8:$H$41,0)),1)</f>
        <v>0</v>
      </c>
      <c r="V62" s="2918"/>
    </row>
    <row r="63" spans="2:24" ht="15.9" customHeight="1" x14ac:dyDescent="0.25">
      <c r="B63" s="526" t="s">
        <v>3302</v>
      </c>
      <c r="C63" s="2911" t="s">
        <v>3751</v>
      </c>
      <c r="D63" s="2925"/>
      <c r="E63" s="2925" t="s">
        <v>3795</v>
      </c>
      <c r="F63" s="523" t="s">
        <v>3796</v>
      </c>
      <c r="G63" s="2967" t="s">
        <v>396</v>
      </c>
      <c r="H63" s="2978" t="str">
        <f>IF(ISERROR(MATCH(F63,'PU List'!$G$33:$G$397,0)),"No","Yes")</f>
        <v>No</v>
      </c>
      <c r="I63" s="2972"/>
      <c r="J63" s="1616"/>
      <c r="K63" s="2913">
        <v>0.52</v>
      </c>
      <c r="L63" s="1548"/>
      <c r="M63" s="1715"/>
      <c r="N63" s="1716"/>
      <c r="O63" s="1716"/>
      <c r="P63" s="1716"/>
      <c r="Q63" s="2919"/>
      <c r="R63" s="576"/>
      <c r="S63" s="1699"/>
      <c r="T63" s="1700"/>
      <c r="U63" s="2071">
        <f>S63*IFERROR(INDEX('Currency Data'!$L$8:$L$41,MATCH(T63,'Currency Data'!$H$8:$H$41,0)),1)</f>
        <v>0</v>
      </c>
      <c r="V63" s="2918"/>
    </row>
    <row r="64" spans="2:24" s="749" customFormat="1" ht="15.9" customHeight="1" x14ac:dyDescent="0.25">
      <c r="B64" s="526" t="s">
        <v>3302</v>
      </c>
      <c r="C64" s="2911" t="s">
        <v>3751</v>
      </c>
      <c r="D64" s="2925"/>
      <c r="E64" s="2925" t="s">
        <v>3797</v>
      </c>
      <c r="F64" s="523" t="s">
        <v>3798</v>
      </c>
      <c r="G64" s="2967" t="s">
        <v>11</v>
      </c>
      <c r="H64" s="2978" t="str">
        <f>IF(ISERROR(MATCH(F64,'PU List'!$G$33:$G$397,0)),"No","Yes")</f>
        <v>No</v>
      </c>
      <c r="I64" s="2972"/>
      <c r="J64" s="1616"/>
      <c r="K64" s="2913">
        <v>0.28000000000000003</v>
      </c>
      <c r="L64" s="1548"/>
      <c r="M64" s="1715"/>
      <c r="N64" s="1716"/>
      <c r="O64" s="1716"/>
      <c r="P64" s="1716"/>
      <c r="Q64" s="2919"/>
      <c r="R64" s="576"/>
      <c r="S64" s="1699"/>
      <c r="T64" s="1700"/>
      <c r="U64" s="2071">
        <f>S64*IFERROR(INDEX('Currency Data'!$L$8:$L$41,MATCH(T64,'Currency Data'!$H$8:$H$41,0)),1)</f>
        <v>0</v>
      </c>
      <c r="V64" s="2918"/>
    </row>
    <row r="65" spans="2:22" s="749" customFormat="1" ht="15.9" customHeight="1" x14ac:dyDescent="0.25">
      <c r="B65" s="526" t="s">
        <v>3302</v>
      </c>
      <c r="C65" s="2911" t="s">
        <v>3751</v>
      </c>
      <c r="D65" s="2925"/>
      <c r="E65" s="2925" t="s">
        <v>3799</v>
      </c>
      <c r="F65" s="523" t="s">
        <v>3800</v>
      </c>
      <c r="G65" s="2967" t="s">
        <v>356</v>
      </c>
      <c r="H65" s="2978" t="str">
        <f>IF(ISERROR(MATCH(F65,'PU List'!$G$33:$G$397,0)),"No","Yes")</f>
        <v>No</v>
      </c>
      <c r="I65" s="2972"/>
      <c r="J65" s="1616"/>
      <c r="K65" s="2913">
        <v>0.33</v>
      </c>
      <c r="L65" s="1548"/>
      <c r="M65" s="1715"/>
      <c r="N65" s="1716"/>
      <c r="O65" s="1716"/>
      <c r="P65" s="1716"/>
      <c r="Q65" s="2919"/>
      <c r="R65" s="576"/>
      <c r="S65" s="1699"/>
      <c r="T65" s="1700"/>
      <c r="U65" s="2071">
        <f>S65*IFERROR(INDEX('Currency Data'!$L$8:$L$41,MATCH(T65,'Currency Data'!$H$8:$H$41,0)),1)</f>
        <v>0</v>
      </c>
      <c r="V65" s="2918"/>
    </row>
    <row r="66" spans="2:22" s="749" customFormat="1" ht="15.9" customHeight="1" x14ac:dyDescent="0.25">
      <c r="B66" s="526" t="s">
        <v>3302</v>
      </c>
      <c r="C66" s="2911" t="s">
        <v>3751</v>
      </c>
      <c r="D66" s="2925"/>
      <c r="E66" s="2925" t="s">
        <v>3801</v>
      </c>
      <c r="F66" s="523" t="s">
        <v>3802</v>
      </c>
      <c r="G66" s="2967" t="s">
        <v>3803</v>
      </c>
      <c r="H66" s="2978" t="str">
        <f>IF(ISERROR(MATCH(F66,'PU List'!$G$33:$G$397,0)),"No","Yes")</f>
        <v>No</v>
      </c>
      <c r="I66" s="2972"/>
      <c r="J66" s="1616"/>
      <c r="K66" s="2913">
        <v>0.3</v>
      </c>
      <c r="L66" s="1548"/>
      <c r="M66" s="1715"/>
      <c r="N66" s="1716"/>
      <c r="O66" s="1716"/>
      <c r="P66" s="1716"/>
      <c r="Q66" s="2919"/>
      <c r="R66" s="576"/>
      <c r="S66" s="1699"/>
      <c r="T66" s="1700"/>
      <c r="U66" s="2071">
        <f>S66*IFERROR(INDEX('Currency Data'!$L$8:$L$41,MATCH(T66,'Currency Data'!$H$8:$H$41,0)),1)</f>
        <v>0</v>
      </c>
      <c r="V66" s="2918"/>
    </row>
    <row r="67" spans="2:22" s="749" customFormat="1" ht="15.9" customHeight="1" x14ac:dyDescent="0.25">
      <c r="B67" s="526" t="s">
        <v>3302</v>
      </c>
      <c r="C67" s="2911" t="s">
        <v>3751</v>
      </c>
      <c r="D67" s="2925"/>
      <c r="E67" s="2925" t="s">
        <v>3804</v>
      </c>
      <c r="F67" s="523" t="s">
        <v>3805</v>
      </c>
      <c r="G67" s="2967" t="s">
        <v>402</v>
      </c>
      <c r="H67" s="2978" t="str">
        <f>IF(ISERROR(MATCH(F67,'PU List'!$G$33:$G$397,0)),"No","Yes")</f>
        <v>No</v>
      </c>
      <c r="I67" s="2972"/>
      <c r="J67" s="1616"/>
      <c r="K67" s="2913">
        <v>0.34</v>
      </c>
      <c r="L67" s="1548"/>
      <c r="M67" s="1715"/>
      <c r="N67" s="1716"/>
      <c r="O67" s="1716"/>
      <c r="P67" s="1716"/>
      <c r="Q67" s="2919"/>
      <c r="R67" s="576"/>
      <c r="S67" s="1699"/>
      <c r="T67" s="1700"/>
      <c r="U67" s="2071">
        <f>S67*IFERROR(INDEX('Currency Data'!$L$8:$L$41,MATCH(T67,'Currency Data'!$H$8:$H$41,0)),1)</f>
        <v>0</v>
      </c>
      <c r="V67" s="2918"/>
    </row>
    <row r="68" spans="2:22" s="749" customFormat="1" ht="15.9" customHeight="1" x14ac:dyDescent="0.25">
      <c r="B68" s="526" t="s">
        <v>3302</v>
      </c>
      <c r="C68" s="2911" t="s">
        <v>3751</v>
      </c>
      <c r="D68" s="2925"/>
      <c r="E68" s="2925" t="s">
        <v>3806</v>
      </c>
      <c r="F68" s="523" t="s">
        <v>3807</v>
      </c>
      <c r="G68" s="2967" t="s">
        <v>40</v>
      </c>
      <c r="H68" s="2978" t="str">
        <f>IF(ISERROR(MATCH(F68,'PU List'!$G$33:$G$397,0)),"No","Yes")</f>
        <v>No</v>
      </c>
      <c r="I68" s="2972"/>
      <c r="J68" s="1616"/>
      <c r="K68" s="2913">
        <v>0.3</v>
      </c>
      <c r="L68" s="1548"/>
      <c r="M68" s="1715"/>
      <c r="N68" s="1716"/>
      <c r="O68" s="1716"/>
      <c r="P68" s="1716"/>
      <c r="Q68" s="2919"/>
      <c r="R68" s="576"/>
      <c r="S68" s="1699"/>
      <c r="T68" s="1700"/>
      <c r="U68" s="2071">
        <f>S68*IFERROR(INDEX('Currency Data'!$L$8:$L$41,MATCH(T68,'Currency Data'!$H$8:$H$41,0)),1)</f>
        <v>0</v>
      </c>
      <c r="V68" s="2918"/>
    </row>
    <row r="69" spans="2:22" s="749" customFormat="1" ht="15.9" customHeight="1" x14ac:dyDescent="0.25">
      <c r="B69" s="526" t="s">
        <v>3302</v>
      </c>
      <c r="C69" s="2911" t="s">
        <v>3751</v>
      </c>
      <c r="D69" s="2925"/>
      <c r="E69" s="2925" t="s">
        <v>3808</v>
      </c>
      <c r="F69" s="523" t="s">
        <v>3809</v>
      </c>
      <c r="G69" s="2967" t="s">
        <v>40</v>
      </c>
      <c r="H69" s="2978" t="str">
        <f>IF(ISERROR(MATCH(F69,'PU List'!$G$33:$G$397,0)),"No","Yes")</f>
        <v>No</v>
      </c>
      <c r="I69" s="2972"/>
      <c r="J69" s="1616"/>
      <c r="K69" s="2913">
        <v>0.3</v>
      </c>
      <c r="L69" s="1548"/>
      <c r="M69" s="1715"/>
      <c r="N69" s="1716"/>
      <c r="O69" s="1716"/>
      <c r="P69" s="1716"/>
      <c r="Q69" s="2919"/>
      <c r="R69" s="576"/>
      <c r="S69" s="1699"/>
      <c r="T69" s="1700"/>
      <c r="U69" s="2071">
        <f>S69*IFERROR(INDEX('Currency Data'!$L$8:$L$41,MATCH(T69,'Currency Data'!$H$8:$H$41,0)),1)</f>
        <v>0</v>
      </c>
      <c r="V69" s="2918"/>
    </row>
    <row r="70" spans="2:22" s="749" customFormat="1" ht="15.9" customHeight="1" x14ac:dyDescent="0.25">
      <c r="B70" s="526" t="s">
        <v>3302</v>
      </c>
      <c r="C70" s="2911" t="s">
        <v>3751</v>
      </c>
      <c r="D70" s="2925"/>
      <c r="E70" s="2925" t="s">
        <v>3810</v>
      </c>
      <c r="F70" s="523" t="s">
        <v>3811</v>
      </c>
      <c r="G70" s="2967" t="s">
        <v>738</v>
      </c>
      <c r="H70" s="2978" t="str">
        <f>IF(ISERROR(MATCH(F70,'PU List'!$G$33:$G$397,0)),"No","Yes")</f>
        <v>Yes</v>
      </c>
      <c r="I70" s="2972"/>
      <c r="J70" s="1616"/>
      <c r="K70" s="2913">
        <v>0.46</v>
      </c>
      <c r="L70" s="1548"/>
      <c r="M70" s="1715"/>
      <c r="N70" s="1716"/>
      <c r="O70" s="1716"/>
      <c r="P70" s="1716"/>
      <c r="Q70" s="2919"/>
      <c r="R70" s="576"/>
      <c r="S70" s="1699"/>
      <c r="T70" s="1700"/>
      <c r="U70" s="2071">
        <f>S70*IFERROR(INDEX('Currency Data'!$L$8:$L$41,MATCH(T70,'Currency Data'!$H$8:$H$41,0)),1)</f>
        <v>0</v>
      </c>
      <c r="V70" s="2918"/>
    </row>
    <row r="71" spans="2:22" s="749" customFormat="1" ht="15.9" customHeight="1" x14ac:dyDescent="0.25">
      <c r="B71" s="526" t="s">
        <v>3302</v>
      </c>
      <c r="C71" s="2911" t="s">
        <v>3751</v>
      </c>
      <c r="D71" s="2925"/>
      <c r="E71" s="2925" t="s">
        <v>3812</v>
      </c>
      <c r="F71" s="523" t="s">
        <v>3813</v>
      </c>
      <c r="G71" s="2967" t="s">
        <v>738</v>
      </c>
      <c r="H71" s="2978" t="str">
        <f>IF(ISERROR(MATCH(F71,'PU List'!$G$33:$G$397,0)),"No","Yes")</f>
        <v>No</v>
      </c>
      <c r="I71" s="2972"/>
      <c r="J71" s="1616"/>
      <c r="K71" s="2913">
        <v>0.46</v>
      </c>
      <c r="L71" s="1548"/>
      <c r="M71" s="1715"/>
      <c r="N71" s="1716"/>
      <c r="O71" s="1716"/>
      <c r="P71" s="1716"/>
      <c r="Q71" s="2919"/>
      <c r="R71" s="576"/>
      <c r="S71" s="1699"/>
      <c r="T71" s="1700"/>
      <c r="U71" s="2071">
        <f>S71*IFERROR(INDEX('Currency Data'!$L$8:$L$41,MATCH(T71,'Currency Data'!$H$8:$H$41,0)),1)</f>
        <v>0</v>
      </c>
      <c r="V71" s="2918"/>
    </row>
    <row r="72" spans="2:22" s="749" customFormat="1" ht="15.9" customHeight="1" x14ac:dyDescent="0.25">
      <c r="B72" s="526" t="s">
        <v>3302</v>
      </c>
      <c r="C72" s="2911" t="s">
        <v>3751</v>
      </c>
      <c r="D72" s="2925"/>
      <c r="E72" s="2925" t="s">
        <v>3814</v>
      </c>
      <c r="F72" s="523" t="s">
        <v>3815</v>
      </c>
      <c r="G72" s="2967" t="s">
        <v>738</v>
      </c>
      <c r="H72" s="2978" t="str">
        <f>IF(ISERROR(MATCH(F72,'PU List'!$G$33:$G$397,0)),"No","Yes")</f>
        <v>No</v>
      </c>
      <c r="I72" s="2972"/>
      <c r="J72" s="1616"/>
      <c r="K72" s="2913">
        <v>0.46</v>
      </c>
      <c r="L72" s="1548"/>
      <c r="M72" s="1715"/>
      <c r="N72" s="1716"/>
      <c r="O72" s="1716"/>
      <c r="P72" s="1716"/>
      <c r="Q72" s="2919"/>
      <c r="R72" s="576"/>
      <c r="S72" s="1699"/>
      <c r="T72" s="1700"/>
      <c r="U72" s="2071">
        <f>S72*IFERROR(INDEX('Currency Data'!$L$8:$L$41,MATCH(T72,'Currency Data'!$H$8:$H$41,0)),1)</f>
        <v>0</v>
      </c>
      <c r="V72" s="2918"/>
    </row>
    <row r="73" spans="2:22" s="749" customFormat="1" ht="15.9" customHeight="1" x14ac:dyDescent="0.25">
      <c r="B73" s="526" t="s">
        <v>3302</v>
      </c>
      <c r="C73" s="2911" t="s">
        <v>3751</v>
      </c>
      <c r="D73" s="2925"/>
      <c r="E73" s="2925" t="s">
        <v>3816</v>
      </c>
      <c r="F73" s="523" t="s">
        <v>3817</v>
      </c>
      <c r="G73" s="2967" t="s">
        <v>738</v>
      </c>
      <c r="H73" s="2978" t="str">
        <f>IF(ISERROR(MATCH(F73,'PU List'!$G$33:$G$397,0)),"No","Yes")</f>
        <v>No</v>
      </c>
      <c r="I73" s="2972"/>
      <c r="J73" s="1616"/>
      <c r="K73" s="2913">
        <v>0.40600000000000003</v>
      </c>
      <c r="L73" s="1548"/>
      <c r="M73" s="1715"/>
      <c r="N73" s="1716"/>
      <c r="O73" s="1716"/>
      <c r="P73" s="1716"/>
      <c r="Q73" s="2919"/>
      <c r="R73" s="576"/>
      <c r="S73" s="1699"/>
      <c r="T73" s="1700"/>
      <c r="U73" s="2071">
        <f>S73*IFERROR(INDEX('Currency Data'!$L$8:$L$41,MATCH(T73,'Currency Data'!$H$8:$H$41,0)),1)</f>
        <v>0</v>
      </c>
      <c r="V73" s="2918"/>
    </row>
    <row r="74" spans="2:22" s="749" customFormat="1" ht="15.9" customHeight="1" x14ac:dyDescent="0.25">
      <c r="B74" s="526" t="s">
        <v>3302</v>
      </c>
      <c r="C74" s="2911" t="s">
        <v>3751</v>
      </c>
      <c r="D74" s="2925"/>
      <c r="E74" s="2925" t="s">
        <v>3818</v>
      </c>
      <c r="F74" s="523" t="s">
        <v>3819</v>
      </c>
      <c r="G74" s="2967" t="s">
        <v>738</v>
      </c>
      <c r="H74" s="2978" t="str">
        <f>IF(ISERROR(MATCH(F74,'PU List'!$G$33:$G$397,0)),"No","Yes")</f>
        <v>No</v>
      </c>
      <c r="I74" s="2972"/>
      <c r="J74" s="1616"/>
      <c r="K74" s="2913">
        <v>0.4</v>
      </c>
      <c r="L74" s="1548"/>
      <c r="M74" s="1715"/>
      <c r="N74" s="1716"/>
      <c r="O74" s="1716"/>
      <c r="P74" s="1716"/>
      <c r="Q74" s="2919"/>
      <c r="R74" s="576"/>
      <c r="S74" s="1699"/>
      <c r="T74" s="1700"/>
      <c r="U74" s="2071">
        <f>S74*IFERROR(INDEX('Currency Data'!$L$8:$L$41,MATCH(T74,'Currency Data'!$H$8:$H$41,0)),1)</f>
        <v>0</v>
      </c>
      <c r="V74" s="2918"/>
    </row>
    <row r="75" spans="2:22" s="749" customFormat="1" ht="15.9" customHeight="1" x14ac:dyDescent="0.25">
      <c r="B75" s="526" t="s">
        <v>3302</v>
      </c>
      <c r="C75" s="2911" t="s">
        <v>3751</v>
      </c>
      <c r="D75" s="2925"/>
      <c r="E75" s="2925" t="s">
        <v>3820</v>
      </c>
      <c r="F75" s="523" t="s">
        <v>3821</v>
      </c>
      <c r="G75" s="2967" t="s">
        <v>404</v>
      </c>
      <c r="H75" s="2978" t="str">
        <f>IF(ISERROR(MATCH(F75,'PU List'!$G$33:$G$397,0)),"No","Yes")</f>
        <v>No</v>
      </c>
      <c r="I75" s="2972"/>
      <c r="J75" s="1616"/>
      <c r="K75" s="2913">
        <v>0.32</v>
      </c>
      <c r="L75" s="1548"/>
      <c r="M75" s="1715"/>
      <c r="N75" s="1716"/>
      <c r="O75" s="1716"/>
      <c r="P75" s="1716"/>
      <c r="Q75" s="2919"/>
      <c r="R75" s="576"/>
      <c r="S75" s="1699"/>
      <c r="T75" s="1700"/>
      <c r="U75" s="2071">
        <f>S75*IFERROR(INDEX('Currency Data'!$L$8:$L$41,MATCH(T75,'Currency Data'!$H$8:$H$41,0)),1)</f>
        <v>0</v>
      </c>
      <c r="V75" s="2918"/>
    </row>
    <row r="76" spans="2:22" s="749" customFormat="1" ht="15.9" customHeight="1" x14ac:dyDescent="0.25">
      <c r="B76" s="526" t="s">
        <v>3302</v>
      </c>
      <c r="C76" s="2911" t="s">
        <v>3751</v>
      </c>
      <c r="D76" s="2925"/>
      <c r="E76" s="2925" t="s">
        <v>3822</v>
      </c>
      <c r="F76" s="523" t="s">
        <v>3823</v>
      </c>
      <c r="G76" s="2967" t="s">
        <v>404</v>
      </c>
      <c r="H76" s="2978" t="str">
        <f>IF(ISERROR(MATCH(F76,'PU List'!$G$33:$G$397,0)),"No","Yes")</f>
        <v>No</v>
      </c>
      <c r="I76" s="2972"/>
      <c r="J76" s="1616"/>
      <c r="K76" s="2913">
        <v>0.32</v>
      </c>
      <c r="L76" s="1548"/>
      <c r="M76" s="1715"/>
      <c r="N76" s="1716"/>
      <c r="O76" s="1716"/>
      <c r="P76" s="1716"/>
      <c r="Q76" s="2919"/>
      <c r="R76" s="576"/>
      <c r="S76" s="1699"/>
      <c r="T76" s="1700"/>
      <c r="U76" s="2071">
        <f>S76*IFERROR(INDEX('Currency Data'!$L$8:$L$41,MATCH(T76,'Currency Data'!$H$8:$H$41,0)),1)</f>
        <v>0</v>
      </c>
      <c r="V76" s="2918"/>
    </row>
    <row r="77" spans="2:22" s="749" customFormat="1" ht="15.9" customHeight="1" x14ac:dyDescent="0.25">
      <c r="B77" s="526" t="s">
        <v>3302</v>
      </c>
      <c r="C77" s="2911" t="s">
        <v>3751</v>
      </c>
      <c r="D77" s="2925"/>
      <c r="E77" s="2925" t="s">
        <v>3824</v>
      </c>
      <c r="F77" s="523" t="s">
        <v>3825</v>
      </c>
      <c r="G77" s="2967" t="s">
        <v>3826</v>
      </c>
      <c r="H77" s="2978" t="str">
        <f>IF(ISERROR(MATCH(F77,'PU List'!$G$33:$G$397,0)),"No","Yes")</f>
        <v>No</v>
      </c>
      <c r="I77" s="2972"/>
      <c r="J77" s="1616"/>
      <c r="K77" s="2913">
        <v>0.43</v>
      </c>
      <c r="L77" s="1548"/>
      <c r="M77" s="1715"/>
      <c r="N77" s="1716"/>
      <c r="O77" s="1716"/>
      <c r="P77" s="1716"/>
      <c r="Q77" s="2919"/>
      <c r="R77" s="576"/>
      <c r="S77" s="1699"/>
      <c r="T77" s="1700"/>
      <c r="U77" s="2071">
        <f>S77*IFERROR(INDEX('Currency Data'!$L$8:$L$41,MATCH(T77,'Currency Data'!$H$8:$H$41,0)),1)</f>
        <v>0</v>
      </c>
      <c r="V77" s="2918"/>
    </row>
    <row r="78" spans="2:22" s="749" customFormat="1" ht="15.9" customHeight="1" x14ac:dyDescent="0.25">
      <c r="B78" s="526" t="s">
        <v>3302</v>
      </c>
      <c r="C78" s="2911" t="s">
        <v>3751</v>
      </c>
      <c r="D78" s="2925"/>
      <c r="E78" s="2925" t="s">
        <v>3827</v>
      </c>
      <c r="F78" s="523" t="s">
        <v>3828</v>
      </c>
      <c r="G78" s="2967" t="s">
        <v>3829</v>
      </c>
      <c r="H78" s="2978" t="str">
        <f>IF(ISERROR(MATCH(F78,'PU List'!$G$33:$G$397,0)),"No","Yes")</f>
        <v>No</v>
      </c>
      <c r="I78" s="2972"/>
      <c r="J78" s="1616"/>
      <c r="K78" s="2913">
        <v>0.19</v>
      </c>
      <c r="L78" s="1548"/>
      <c r="M78" s="1715"/>
      <c r="N78" s="1716"/>
      <c r="O78" s="1716"/>
      <c r="P78" s="1716"/>
      <c r="Q78" s="2919"/>
      <c r="R78" s="576"/>
      <c r="S78" s="1699"/>
      <c r="T78" s="1700"/>
      <c r="U78" s="2071">
        <f>S78*IFERROR(INDEX('Currency Data'!$L$8:$L$41,MATCH(T78,'Currency Data'!$H$8:$H$41,0)),1)</f>
        <v>0</v>
      </c>
      <c r="V78" s="2918"/>
    </row>
    <row r="79" spans="2:22" s="749" customFormat="1" ht="15.9" customHeight="1" x14ac:dyDescent="0.25">
      <c r="B79" s="526" t="s">
        <v>3302</v>
      </c>
      <c r="C79" s="2911" t="s">
        <v>3751</v>
      </c>
      <c r="D79" s="2925"/>
      <c r="E79" s="2925" t="s">
        <v>3830</v>
      </c>
      <c r="F79" s="523" t="s">
        <v>3831</v>
      </c>
      <c r="G79" s="2967" t="s">
        <v>400</v>
      </c>
      <c r="H79" s="2978" t="str">
        <f>IF(ISERROR(MATCH(F79,'PU List'!$G$33:$G$397,0)),"No","Yes")</f>
        <v>No</v>
      </c>
      <c r="I79" s="2972"/>
      <c r="J79" s="1616"/>
      <c r="K79" s="2913">
        <v>0.3</v>
      </c>
      <c r="L79" s="1548"/>
      <c r="M79" s="1715"/>
      <c r="N79" s="1716"/>
      <c r="O79" s="1716"/>
      <c r="P79" s="1716"/>
      <c r="Q79" s="2919"/>
      <c r="R79" s="576"/>
      <c r="S79" s="1699"/>
      <c r="T79" s="1700"/>
      <c r="U79" s="2071">
        <f>S79*IFERROR(INDEX('Currency Data'!$L$8:$L$41,MATCH(T79,'Currency Data'!$H$8:$H$41,0)),1)</f>
        <v>0</v>
      </c>
      <c r="V79" s="2918"/>
    </row>
    <row r="80" spans="2:22" s="749" customFormat="1" ht="15.9" customHeight="1" x14ac:dyDescent="0.25">
      <c r="B80" s="526" t="s">
        <v>3302</v>
      </c>
      <c r="C80" s="2911" t="s">
        <v>3751</v>
      </c>
      <c r="D80" s="2925"/>
      <c r="E80" s="2925" t="s">
        <v>3832</v>
      </c>
      <c r="F80" s="523" t="s">
        <v>3833</v>
      </c>
      <c r="G80" s="2967" t="s">
        <v>400</v>
      </c>
      <c r="H80" s="2978" t="str">
        <f>IF(ISERROR(MATCH(F80,'PU List'!$G$33:$G$397,0)),"No","Yes")</f>
        <v>No</v>
      </c>
      <c r="I80" s="2972"/>
      <c r="J80" s="1616"/>
      <c r="K80" s="2913">
        <v>0.32</v>
      </c>
      <c r="L80" s="1548"/>
      <c r="M80" s="1715"/>
      <c r="N80" s="1716"/>
      <c r="O80" s="1716"/>
      <c r="P80" s="1716"/>
      <c r="Q80" s="2919"/>
      <c r="R80" s="576"/>
      <c r="S80" s="1699"/>
      <c r="T80" s="1700"/>
      <c r="U80" s="2071">
        <f>S80*IFERROR(INDEX('Currency Data'!$L$8:$L$41,MATCH(T80,'Currency Data'!$H$8:$H$41,0)),1)</f>
        <v>0</v>
      </c>
      <c r="V80" s="2918"/>
    </row>
    <row r="81" spans="2:22" s="749" customFormat="1" ht="15.9" customHeight="1" x14ac:dyDescent="0.25">
      <c r="B81" s="526" t="s">
        <v>3302</v>
      </c>
      <c r="C81" s="2911" t="s">
        <v>3751</v>
      </c>
      <c r="D81" s="2925"/>
      <c r="E81" s="2925" t="s">
        <v>3834</v>
      </c>
      <c r="F81" s="523" t="s">
        <v>3835</v>
      </c>
      <c r="G81" s="2967" t="s">
        <v>48</v>
      </c>
      <c r="H81" s="2978" t="str">
        <f>IF(ISERROR(MATCH(F81,'PU List'!$G$33:$G$397,0)),"No","Yes")</f>
        <v>No</v>
      </c>
      <c r="I81" s="2972"/>
      <c r="J81" s="1616"/>
      <c r="K81" s="2913">
        <v>0.28999999999999998</v>
      </c>
      <c r="L81" s="1548"/>
      <c r="M81" s="1715"/>
      <c r="N81" s="1716"/>
      <c r="O81" s="1716"/>
      <c r="P81" s="1716"/>
      <c r="Q81" s="2919"/>
      <c r="R81" s="576"/>
      <c r="S81" s="1699"/>
      <c r="T81" s="1700"/>
      <c r="U81" s="2071">
        <f>S81*IFERROR(INDEX('Currency Data'!$L$8:$L$41,MATCH(T81,'Currency Data'!$H$8:$H$41,0)),1)</f>
        <v>0</v>
      </c>
      <c r="V81" s="2918"/>
    </row>
    <row r="82" spans="2:22" s="749" customFormat="1" ht="15.9" customHeight="1" x14ac:dyDescent="0.25">
      <c r="B82" s="526" t="s">
        <v>3302</v>
      </c>
      <c r="C82" s="2911" t="s">
        <v>3751</v>
      </c>
      <c r="D82" s="2925"/>
      <c r="E82" s="2925" t="s">
        <v>3836</v>
      </c>
      <c r="F82" s="523" t="s">
        <v>3837</v>
      </c>
      <c r="G82" s="2967" t="s">
        <v>48</v>
      </c>
      <c r="H82" s="2978" t="str">
        <f>IF(ISERROR(MATCH(F82,'PU List'!$G$33:$G$397,0)),"No","Yes")</f>
        <v>No</v>
      </c>
      <c r="I82" s="2972"/>
      <c r="J82" s="1616"/>
      <c r="K82" s="2913">
        <v>0.28999999999999998</v>
      </c>
      <c r="L82" s="1548"/>
      <c r="M82" s="1715"/>
      <c r="N82" s="1716"/>
      <c r="O82" s="1716"/>
      <c r="P82" s="1716"/>
      <c r="Q82" s="2919"/>
      <c r="R82" s="576"/>
      <c r="S82" s="1699"/>
      <c r="T82" s="1700"/>
      <c r="U82" s="2071">
        <f>S82*IFERROR(INDEX('Currency Data'!$L$8:$L$41,MATCH(T82,'Currency Data'!$H$8:$H$41,0)),1)</f>
        <v>0</v>
      </c>
      <c r="V82" s="2918"/>
    </row>
    <row r="83" spans="2:22" s="749" customFormat="1" ht="15.9" customHeight="1" x14ac:dyDescent="0.25">
      <c r="B83" s="526" t="s">
        <v>3302</v>
      </c>
      <c r="C83" s="2911" t="s">
        <v>3751</v>
      </c>
      <c r="D83" s="2925"/>
      <c r="E83" s="2925" t="s">
        <v>3838</v>
      </c>
      <c r="F83" s="523" t="s">
        <v>3839</v>
      </c>
      <c r="G83" s="2967" t="s">
        <v>3840</v>
      </c>
      <c r="H83" s="2978" t="str">
        <f>IF(ISERROR(MATCH(F83,'PU List'!$G$33:$G$397,0)),"No","Yes")</f>
        <v>No</v>
      </c>
      <c r="I83" s="2972"/>
      <c r="J83" s="1616"/>
      <c r="K83" s="2913">
        <v>0.2</v>
      </c>
      <c r="L83" s="1548"/>
      <c r="M83" s="1715"/>
      <c r="N83" s="1716"/>
      <c r="O83" s="1716"/>
      <c r="P83" s="1716"/>
      <c r="Q83" s="2919"/>
      <c r="R83" s="576"/>
      <c r="S83" s="1699"/>
      <c r="T83" s="1700"/>
      <c r="U83" s="2071">
        <f>S83*IFERROR(INDEX('Currency Data'!$L$8:$L$41,MATCH(T83,'Currency Data'!$H$8:$H$41,0)),1)</f>
        <v>0</v>
      </c>
      <c r="V83" s="2918"/>
    </row>
    <row r="84" spans="2:22" s="749" customFormat="1" ht="15.9" customHeight="1" x14ac:dyDescent="0.25">
      <c r="B84" s="526" t="s">
        <v>3302</v>
      </c>
      <c r="C84" s="2911" t="s">
        <v>3751</v>
      </c>
      <c r="D84" s="2925"/>
      <c r="E84" s="2925" t="s">
        <v>3841</v>
      </c>
      <c r="F84" s="523" t="s">
        <v>3842</v>
      </c>
      <c r="G84" s="2967" t="s">
        <v>407</v>
      </c>
      <c r="H84" s="2978" t="str">
        <f>IF(ISERROR(MATCH(F84,'PU List'!$G$33:$G$397,0)),"No","Yes")</f>
        <v>No</v>
      </c>
      <c r="I84" s="2972"/>
      <c r="J84" s="1616"/>
      <c r="K84" s="2913">
        <v>0.55000000000000004</v>
      </c>
      <c r="L84" s="1548"/>
      <c r="M84" s="1715"/>
      <c r="N84" s="1716"/>
      <c r="O84" s="1716"/>
      <c r="P84" s="1716"/>
      <c r="Q84" s="2919"/>
      <c r="R84" s="576"/>
      <c r="S84" s="1699"/>
      <c r="T84" s="1700"/>
      <c r="U84" s="2071">
        <f>S84*IFERROR(INDEX('Currency Data'!$L$8:$L$41,MATCH(T84,'Currency Data'!$H$8:$H$41,0)),1)</f>
        <v>0</v>
      </c>
      <c r="V84" s="2918"/>
    </row>
    <row r="85" spans="2:22" s="749" customFormat="1" ht="15.9" customHeight="1" x14ac:dyDescent="0.25">
      <c r="B85" s="526" t="s">
        <v>3302</v>
      </c>
      <c r="C85" s="2911" t="s">
        <v>3751</v>
      </c>
      <c r="D85" s="2925"/>
      <c r="E85" s="2925" t="s">
        <v>3843</v>
      </c>
      <c r="F85" s="523" t="s">
        <v>3844</v>
      </c>
      <c r="G85" s="2967" t="s">
        <v>3845</v>
      </c>
      <c r="H85" s="2978" t="str">
        <f>IF(ISERROR(MATCH(F85,'PU List'!$G$33:$G$397,0)),"No","Yes")</f>
        <v>No</v>
      </c>
      <c r="I85" s="2972"/>
      <c r="J85" s="1616"/>
      <c r="K85" s="2913">
        <v>0.28000000000000003</v>
      </c>
      <c r="L85" s="1548"/>
      <c r="M85" s="1715"/>
      <c r="N85" s="1716"/>
      <c r="O85" s="1716"/>
      <c r="P85" s="1716"/>
      <c r="Q85" s="2919"/>
      <c r="R85" s="576"/>
      <c r="S85" s="1699"/>
      <c r="T85" s="1700"/>
      <c r="U85" s="2071">
        <f>S85*IFERROR(INDEX('Currency Data'!$L$8:$L$41,MATCH(T85,'Currency Data'!$H$8:$H$41,0)),1)</f>
        <v>0</v>
      </c>
      <c r="V85" s="2918"/>
    </row>
    <row r="86" spans="2:22" s="749" customFormat="1" ht="15.9" customHeight="1" x14ac:dyDescent="0.25">
      <c r="B86" s="526" t="s">
        <v>3302</v>
      </c>
      <c r="C86" s="2911" t="s">
        <v>3751</v>
      </c>
      <c r="D86" s="2925"/>
      <c r="E86" s="2925" t="s">
        <v>3846</v>
      </c>
      <c r="F86" s="523" t="s">
        <v>3847</v>
      </c>
      <c r="G86" s="2967" t="s">
        <v>50</v>
      </c>
      <c r="H86" s="2978" t="str">
        <f>IF(ISERROR(MATCH(F86,'PU List'!$G$33:$G$397,0)),"No","Yes")</f>
        <v>No</v>
      </c>
      <c r="I86" s="2972"/>
      <c r="J86" s="1616"/>
      <c r="K86" s="2913">
        <v>0.34</v>
      </c>
      <c r="L86" s="1548"/>
      <c r="M86" s="1715"/>
      <c r="N86" s="1716"/>
      <c r="O86" s="1716"/>
      <c r="P86" s="1716"/>
      <c r="Q86" s="2919"/>
      <c r="R86" s="576"/>
      <c r="S86" s="1699"/>
      <c r="T86" s="1700"/>
      <c r="U86" s="2071">
        <f>S86*IFERROR(INDEX('Currency Data'!$L$8:$L$41,MATCH(T86,'Currency Data'!$H$8:$H$41,0)),1)</f>
        <v>0</v>
      </c>
      <c r="V86" s="2918"/>
    </row>
    <row r="87" spans="2:22" s="749" customFormat="1" ht="15.9" customHeight="1" x14ac:dyDescent="0.25">
      <c r="B87" s="526" t="s">
        <v>3302</v>
      </c>
      <c r="C87" s="2911" t="s">
        <v>3751</v>
      </c>
      <c r="D87" s="2925"/>
      <c r="E87" s="2925" t="s">
        <v>3848</v>
      </c>
      <c r="F87" s="523" t="s">
        <v>3849</v>
      </c>
      <c r="G87" s="2967" t="s">
        <v>50</v>
      </c>
      <c r="H87" s="2978" t="str">
        <f>IF(ISERROR(MATCH(F87,'PU List'!$G$33:$G$397,0)),"No","Yes")</f>
        <v>No</v>
      </c>
      <c r="I87" s="2972"/>
      <c r="J87" s="1616"/>
      <c r="K87" s="2913">
        <v>0.34</v>
      </c>
      <c r="L87" s="1548"/>
      <c r="M87" s="1715"/>
      <c r="N87" s="1716"/>
      <c r="O87" s="1716"/>
      <c r="P87" s="1716"/>
      <c r="Q87" s="2919"/>
      <c r="R87" s="576"/>
      <c r="S87" s="1699"/>
      <c r="T87" s="1700"/>
      <c r="U87" s="2071">
        <f>S87*IFERROR(INDEX('Currency Data'!$L$8:$L$41,MATCH(T87,'Currency Data'!$H$8:$H$41,0)),1)</f>
        <v>0</v>
      </c>
      <c r="V87" s="2918"/>
    </row>
    <row r="88" spans="2:22" s="749" customFormat="1" ht="15.9" customHeight="1" x14ac:dyDescent="0.25">
      <c r="B88" s="526" t="s">
        <v>3302</v>
      </c>
      <c r="C88" s="2911" t="s">
        <v>3751</v>
      </c>
      <c r="D88" s="2925"/>
      <c r="E88" s="2925" t="s">
        <v>3850</v>
      </c>
      <c r="F88" s="523" t="s">
        <v>3851</v>
      </c>
      <c r="G88" s="2967" t="s">
        <v>3852</v>
      </c>
      <c r="H88" s="2978" t="str">
        <f>IF(ISERROR(MATCH(F88,'PU List'!$G$33:$G$397,0)),"No","Yes")</f>
        <v>No</v>
      </c>
      <c r="I88" s="2972"/>
      <c r="J88" s="1616"/>
      <c r="K88" s="2913">
        <v>0.21</v>
      </c>
      <c r="L88" s="1548"/>
      <c r="M88" s="1715"/>
      <c r="N88" s="1716"/>
      <c r="O88" s="1716"/>
      <c r="P88" s="1716"/>
      <c r="Q88" s="2919"/>
      <c r="R88" s="576"/>
      <c r="S88" s="1699"/>
      <c r="T88" s="1700"/>
      <c r="U88" s="2071">
        <f>S88*IFERROR(INDEX('Currency Data'!$L$8:$L$41,MATCH(T88,'Currency Data'!$H$8:$H$41,0)),1)</f>
        <v>0</v>
      </c>
      <c r="V88" s="2918"/>
    </row>
    <row r="89" spans="2:22" s="749" customFormat="1" ht="15.9" customHeight="1" x14ac:dyDescent="0.25">
      <c r="B89" s="526" t="s">
        <v>3302</v>
      </c>
      <c r="C89" s="2911" t="s">
        <v>3751</v>
      </c>
      <c r="D89" s="2925"/>
      <c r="E89" s="2925" t="s">
        <v>3853</v>
      </c>
      <c r="F89" s="523" t="s">
        <v>3854</v>
      </c>
      <c r="G89" s="2967" t="s">
        <v>353</v>
      </c>
      <c r="H89" s="2978" t="str">
        <f>IF(ISERROR(MATCH(F89,'PU List'!$G$33:$G$397,0)),"No","Yes")</f>
        <v>No</v>
      </c>
      <c r="I89" s="2972"/>
      <c r="J89" s="1616"/>
      <c r="K89" s="2913">
        <v>0.28000000000000003</v>
      </c>
      <c r="L89" s="1548"/>
      <c r="M89" s="1715"/>
      <c r="N89" s="1716"/>
      <c r="O89" s="1716"/>
      <c r="P89" s="1716"/>
      <c r="Q89" s="2919"/>
      <c r="R89" s="576"/>
      <c r="S89" s="1699"/>
      <c r="T89" s="1700"/>
      <c r="U89" s="2071">
        <f>S89*IFERROR(INDEX('Currency Data'!$L$8:$L$41,MATCH(T89,'Currency Data'!$H$8:$H$41,0)),1)</f>
        <v>0</v>
      </c>
      <c r="V89" s="2918"/>
    </row>
    <row r="90" spans="2:22" s="749" customFormat="1" ht="15.9" customHeight="1" x14ac:dyDescent="0.25">
      <c r="B90" s="526" t="s">
        <v>3302</v>
      </c>
      <c r="C90" s="2911" t="s">
        <v>3751</v>
      </c>
      <c r="D90" s="2925"/>
      <c r="E90" s="2925" t="s">
        <v>3855</v>
      </c>
      <c r="F90" s="523" t="s">
        <v>3856</v>
      </c>
      <c r="G90" s="2967" t="s">
        <v>353</v>
      </c>
      <c r="H90" s="2978" t="str">
        <f>IF(ISERROR(MATCH(F90,'PU List'!$G$33:$G$397,0)),"No","Yes")</f>
        <v>No</v>
      </c>
      <c r="I90" s="2972"/>
      <c r="J90" s="1616"/>
      <c r="K90" s="2913">
        <v>0.3</v>
      </c>
      <c r="L90" s="1548"/>
      <c r="M90" s="1715"/>
      <c r="N90" s="1716"/>
      <c r="O90" s="1716"/>
      <c r="P90" s="1716"/>
      <c r="Q90" s="2919"/>
      <c r="R90" s="576"/>
      <c r="S90" s="1699"/>
      <c r="T90" s="1700"/>
      <c r="U90" s="2071">
        <f>S90*IFERROR(INDEX('Currency Data'!$L$8:$L$41,MATCH(T90,'Currency Data'!$H$8:$H$41,0)),1)</f>
        <v>0</v>
      </c>
      <c r="V90" s="2918"/>
    </row>
    <row r="91" spans="2:22" s="749" customFormat="1" ht="15.9" customHeight="1" x14ac:dyDescent="0.25">
      <c r="B91" s="526" t="s">
        <v>3302</v>
      </c>
      <c r="C91" s="2911" t="s">
        <v>3751</v>
      </c>
      <c r="D91" s="2925"/>
      <c r="E91" s="2925" t="s">
        <v>3857</v>
      </c>
      <c r="F91" s="523" t="s">
        <v>3858</v>
      </c>
      <c r="G91" s="2967" t="s">
        <v>353</v>
      </c>
      <c r="H91" s="2978" t="str">
        <f>IF(ISERROR(MATCH(F91,'PU List'!$G$33:$G$397,0)),"No","Yes")</f>
        <v>No</v>
      </c>
      <c r="I91" s="2972"/>
      <c r="J91" s="1616"/>
      <c r="K91" s="2913">
        <v>0.3</v>
      </c>
      <c r="L91" s="1548"/>
      <c r="M91" s="1715"/>
      <c r="N91" s="1716"/>
      <c r="O91" s="1716"/>
      <c r="P91" s="1716"/>
      <c r="Q91" s="2919"/>
      <c r="R91" s="576"/>
      <c r="S91" s="1699"/>
      <c r="T91" s="1700"/>
      <c r="U91" s="2071">
        <f>S91*IFERROR(INDEX('Currency Data'!$L$8:$L$41,MATCH(T91,'Currency Data'!$H$8:$H$41,0)),1)</f>
        <v>0</v>
      </c>
      <c r="V91" s="2918"/>
    </row>
    <row r="92" spans="2:22" s="749" customFormat="1" ht="15.9" customHeight="1" x14ac:dyDescent="0.25">
      <c r="B92" s="526" t="s">
        <v>3302</v>
      </c>
      <c r="C92" s="2911" t="s">
        <v>3751</v>
      </c>
      <c r="D92" s="2925"/>
      <c r="E92" s="2925" t="s">
        <v>3859</v>
      </c>
      <c r="F92" s="523" t="s">
        <v>3860</v>
      </c>
      <c r="G92" s="2967" t="s">
        <v>353</v>
      </c>
      <c r="H92" s="2978" t="str">
        <f>IF(ISERROR(MATCH(F92,'PU List'!$G$33:$G$397,0)),"No","Yes")</f>
        <v>No</v>
      </c>
      <c r="I92" s="2972"/>
      <c r="J92" s="1616"/>
      <c r="K92" s="2913">
        <v>0.3</v>
      </c>
      <c r="L92" s="1548"/>
      <c r="M92" s="1715"/>
      <c r="N92" s="1716"/>
      <c r="O92" s="1716"/>
      <c r="P92" s="1716"/>
      <c r="Q92" s="2919"/>
      <c r="R92" s="576"/>
      <c r="S92" s="1699"/>
      <c r="T92" s="1700"/>
      <c r="U92" s="2071">
        <f>S92*IFERROR(INDEX('Currency Data'!$L$8:$L$41,MATCH(T92,'Currency Data'!$H$8:$H$41,0)),1)</f>
        <v>0</v>
      </c>
      <c r="V92" s="2918"/>
    </row>
    <row r="93" spans="2:22" s="749" customFormat="1" ht="15.9" customHeight="1" x14ac:dyDescent="0.25">
      <c r="B93" s="526" t="s">
        <v>3302</v>
      </c>
      <c r="C93" s="2911" t="s">
        <v>3751</v>
      </c>
      <c r="D93" s="2925"/>
      <c r="E93" s="2925" t="s">
        <v>3861</v>
      </c>
      <c r="F93" s="523" t="s">
        <v>3862</v>
      </c>
      <c r="G93" s="2967" t="s">
        <v>353</v>
      </c>
      <c r="H93" s="2978" t="str">
        <f>IF(ISERROR(MATCH(F93,'PU List'!$G$33:$G$397,0)),"No","Yes")</f>
        <v>No</v>
      </c>
      <c r="I93" s="2972"/>
      <c r="J93" s="1616"/>
      <c r="K93" s="2913">
        <v>0.3</v>
      </c>
      <c r="L93" s="1548"/>
      <c r="M93" s="1715"/>
      <c r="N93" s="1716"/>
      <c r="O93" s="1716"/>
      <c r="P93" s="1716"/>
      <c r="Q93" s="2919"/>
      <c r="R93" s="576"/>
      <c r="S93" s="1699"/>
      <c r="T93" s="1700"/>
      <c r="U93" s="2071">
        <f>S93*IFERROR(INDEX('Currency Data'!$L$8:$L$41,MATCH(T93,'Currency Data'!$H$8:$H$41,0)),1)</f>
        <v>0</v>
      </c>
      <c r="V93" s="2918"/>
    </row>
    <row r="94" spans="2:22" s="749" customFormat="1" ht="15.9" customHeight="1" x14ac:dyDescent="0.25">
      <c r="B94" s="526" t="s">
        <v>3302</v>
      </c>
      <c r="C94" s="2911" t="s">
        <v>3751</v>
      </c>
      <c r="D94" s="2925"/>
      <c r="E94" s="2925" t="s">
        <v>3863</v>
      </c>
      <c r="F94" s="523" t="s">
        <v>3864</v>
      </c>
      <c r="G94" s="2967" t="s">
        <v>353</v>
      </c>
      <c r="H94" s="2978" t="str">
        <f>IF(ISERROR(MATCH(F94,'PU List'!$G$33:$G$397,0)),"No","Yes")</f>
        <v>No</v>
      </c>
      <c r="I94" s="2972"/>
      <c r="J94" s="1616"/>
      <c r="K94" s="2913">
        <v>0.3</v>
      </c>
      <c r="L94" s="1548"/>
      <c r="M94" s="1715"/>
      <c r="N94" s="1716"/>
      <c r="O94" s="1716"/>
      <c r="P94" s="1716"/>
      <c r="Q94" s="2919"/>
      <c r="R94" s="576"/>
      <c r="S94" s="1699"/>
      <c r="T94" s="1700"/>
      <c r="U94" s="2071">
        <f>S94*IFERROR(INDEX('Currency Data'!$L$8:$L$41,MATCH(T94,'Currency Data'!$H$8:$H$41,0)),1)</f>
        <v>0</v>
      </c>
      <c r="V94" s="2918"/>
    </row>
    <row r="95" spans="2:22" s="749" customFormat="1" ht="15.9" customHeight="1" x14ac:dyDescent="0.25">
      <c r="B95" s="526" t="s">
        <v>3302</v>
      </c>
      <c r="C95" s="2911" t="s">
        <v>3751</v>
      </c>
      <c r="D95" s="2925"/>
      <c r="E95" s="2925" t="s">
        <v>3865</v>
      </c>
      <c r="F95" s="523" t="s">
        <v>3866</v>
      </c>
      <c r="G95" s="2967" t="s">
        <v>44</v>
      </c>
      <c r="H95" s="2978" t="str">
        <f>IF(ISERROR(MATCH(F95,'PU List'!$G$33:$G$397,0)),"No","Yes")</f>
        <v>No</v>
      </c>
      <c r="I95" s="2972"/>
      <c r="J95" s="1616"/>
      <c r="K95" s="2913">
        <v>0.43</v>
      </c>
      <c r="L95" s="1548"/>
      <c r="M95" s="1715"/>
      <c r="N95" s="1716"/>
      <c r="O95" s="1716"/>
      <c r="P95" s="1716"/>
      <c r="Q95" s="2919"/>
      <c r="R95" s="576"/>
      <c r="S95" s="1699"/>
      <c r="T95" s="1700"/>
      <c r="U95" s="2071">
        <f>S95*IFERROR(INDEX('Currency Data'!$L$8:$L$41,MATCH(T95,'Currency Data'!$H$8:$H$41,0)),1)</f>
        <v>0</v>
      </c>
      <c r="V95" s="2918"/>
    </row>
    <row r="96" spans="2:22" s="749" customFormat="1" ht="15.9" customHeight="1" x14ac:dyDescent="0.25">
      <c r="B96" s="526" t="s">
        <v>3302</v>
      </c>
      <c r="C96" s="2911" t="s">
        <v>3751</v>
      </c>
      <c r="D96" s="2925"/>
      <c r="E96" s="2925" t="s">
        <v>3867</v>
      </c>
      <c r="F96" s="523" t="s">
        <v>3868</v>
      </c>
      <c r="G96" s="2967" t="s">
        <v>44</v>
      </c>
      <c r="H96" s="2978" t="str">
        <f>IF(ISERROR(MATCH(F96,'PU List'!$G$33:$G$397,0)),"No","Yes")</f>
        <v>No</v>
      </c>
      <c r="I96" s="2972"/>
      <c r="J96" s="1616"/>
      <c r="K96" s="2913">
        <v>0.43</v>
      </c>
      <c r="L96" s="1548"/>
      <c r="M96" s="1715"/>
      <c r="N96" s="1716"/>
      <c r="O96" s="1716"/>
      <c r="P96" s="1716"/>
      <c r="Q96" s="2919"/>
      <c r="R96" s="576"/>
      <c r="S96" s="1699"/>
      <c r="T96" s="1700"/>
      <c r="U96" s="2071">
        <f>S96*IFERROR(INDEX('Currency Data'!$L$8:$L$41,MATCH(T96,'Currency Data'!$H$8:$H$41,0)),1)</f>
        <v>0</v>
      </c>
      <c r="V96" s="2918"/>
    </row>
    <row r="97" spans="2:22" s="749" customFormat="1" ht="15.9" customHeight="1" x14ac:dyDescent="0.25">
      <c r="B97" s="526" t="s">
        <v>3302</v>
      </c>
      <c r="C97" s="2911" t="s">
        <v>3751</v>
      </c>
      <c r="D97" s="2925"/>
      <c r="E97" s="2925" t="s">
        <v>3869</v>
      </c>
      <c r="F97" s="523" t="s">
        <v>3870</v>
      </c>
      <c r="G97" s="2967" t="s">
        <v>44</v>
      </c>
      <c r="H97" s="2978" t="str">
        <f>IF(ISERROR(MATCH(F97,'PU List'!$G$33:$G$397,0)),"No","Yes")</f>
        <v>No</v>
      </c>
      <c r="I97" s="2972"/>
      <c r="J97" s="1616"/>
      <c r="K97" s="2913">
        <v>0.52</v>
      </c>
      <c r="L97" s="1548"/>
      <c r="M97" s="1715"/>
      <c r="N97" s="1716"/>
      <c r="O97" s="1716"/>
      <c r="P97" s="1716"/>
      <c r="Q97" s="2919"/>
      <c r="R97" s="576"/>
      <c r="S97" s="1699"/>
      <c r="T97" s="1700"/>
      <c r="U97" s="2071">
        <f>S97*IFERROR(INDEX('Currency Data'!$L$8:$L$41,MATCH(T97,'Currency Data'!$H$8:$H$41,0)),1)</f>
        <v>0</v>
      </c>
      <c r="V97" s="2918"/>
    </row>
    <row r="98" spans="2:22" s="749" customFormat="1" ht="15.9" customHeight="1" x14ac:dyDescent="0.25">
      <c r="B98" s="526" t="s">
        <v>3302</v>
      </c>
      <c r="C98" s="2911" t="s">
        <v>3751</v>
      </c>
      <c r="D98" s="2925"/>
      <c r="E98" s="2925" t="s">
        <v>3871</v>
      </c>
      <c r="F98" s="523" t="s">
        <v>3872</v>
      </c>
      <c r="G98" s="2967" t="s">
        <v>2</v>
      </c>
      <c r="H98" s="2978" t="str">
        <f>IF(ISERROR(MATCH(F98,'PU List'!$G$33:$G$397,0)),"No","Yes")</f>
        <v>Yes</v>
      </c>
      <c r="I98" s="2972"/>
      <c r="J98" s="1616"/>
      <c r="K98" s="2913">
        <v>0.36249999999999999</v>
      </c>
      <c r="L98" s="1548"/>
      <c r="M98" s="1715"/>
      <c r="N98" s="1716"/>
      <c r="O98" s="1716"/>
      <c r="P98" s="1716"/>
      <c r="Q98" s="2919"/>
      <c r="R98" s="576"/>
      <c r="S98" s="1699"/>
      <c r="T98" s="1700"/>
      <c r="U98" s="2071">
        <f>S98*IFERROR(INDEX('Currency Data'!$L$8:$L$41,MATCH(T98,'Currency Data'!$H$8:$H$41,0)),1)</f>
        <v>0</v>
      </c>
      <c r="V98" s="2918"/>
    </row>
    <row r="99" spans="2:22" s="749" customFormat="1" ht="15.9" customHeight="1" x14ac:dyDescent="0.25">
      <c r="B99" s="526" t="s">
        <v>3302</v>
      </c>
      <c r="C99" s="2911" t="s">
        <v>3751</v>
      </c>
      <c r="D99" s="2925"/>
      <c r="E99" s="2925" t="s">
        <v>3873</v>
      </c>
      <c r="F99" s="523" t="s">
        <v>3874</v>
      </c>
      <c r="G99" s="2967" t="s">
        <v>2</v>
      </c>
      <c r="H99" s="2978" t="str">
        <f>IF(ISERROR(MATCH(F99,'PU List'!$G$33:$G$397,0)),"No","Yes")</f>
        <v>No</v>
      </c>
      <c r="I99" s="2972"/>
      <c r="J99" s="1616"/>
      <c r="K99" s="2913">
        <v>0.33700000000000002</v>
      </c>
      <c r="L99" s="1548"/>
      <c r="M99" s="1715"/>
      <c r="N99" s="1716"/>
      <c r="O99" s="1716"/>
      <c r="P99" s="1716"/>
      <c r="Q99" s="2919"/>
      <c r="R99" s="576"/>
      <c r="S99" s="1699"/>
      <c r="T99" s="1700"/>
      <c r="U99" s="2071">
        <f>S99*IFERROR(INDEX('Currency Data'!$L$8:$L$41,MATCH(T99,'Currency Data'!$H$8:$H$41,0)),1)</f>
        <v>0</v>
      </c>
      <c r="V99" s="2918"/>
    </row>
    <row r="100" spans="2:22" s="749" customFormat="1" ht="15.9" customHeight="1" x14ac:dyDescent="0.25">
      <c r="B100" s="526" t="s">
        <v>3302</v>
      </c>
      <c r="C100" s="2911" t="s">
        <v>3751</v>
      </c>
      <c r="D100" s="2925"/>
      <c r="E100" s="2925" t="s">
        <v>3875</v>
      </c>
      <c r="F100" s="523" t="s">
        <v>3876</v>
      </c>
      <c r="G100" s="2967" t="s">
        <v>2</v>
      </c>
      <c r="H100" s="2978" t="str">
        <f>IF(ISERROR(MATCH(F100,'PU List'!$G$33:$G$397,0)),"No","Yes")</f>
        <v>No</v>
      </c>
      <c r="I100" s="2972"/>
      <c r="J100" s="1616"/>
      <c r="K100" s="2913">
        <v>0.34599999999999997</v>
      </c>
      <c r="L100" s="1548"/>
      <c r="M100" s="1715"/>
      <c r="N100" s="1716"/>
      <c r="O100" s="1716"/>
      <c r="P100" s="1716"/>
      <c r="Q100" s="2919"/>
      <c r="R100" s="576"/>
      <c r="S100" s="1699"/>
      <c r="T100" s="1700"/>
      <c r="U100" s="2071">
        <f>S100*IFERROR(INDEX('Currency Data'!$L$8:$L$41,MATCH(T100,'Currency Data'!$H$8:$H$41,0)),1)</f>
        <v>0</v>
      </c>
      <c r="V100" s="2918"/>
    </row>
    <row r="101" spans="2:22" s="749" customFormat="1" ht="15.9" customHeight="1" x14ac:dyDescent="0.25">
      <c r="B101" s="526" t="s">
        <v>3302</v>
      </c>
      <c r="C101" s="2911" t="s">
        <v>3751</v>
      </c>
      <c r="D101" s="2925"/>
      <c r="E101" s="2925" t="s">
        <v>3877</v>
      </c>
      <c r="F101" s="523" t="s">
        <v>3878</v>
      </c>
      <c r="G101" s="2967" t="s">
        <v>2</v>
      </c>
      <c r="H101" s="2978" t="str">
        <f>IF(ISERROR(MATCH(F101,'PU List'!$G$33:$G$397,0)),"No","Yes")</f>
        <v>No</v>
      </c>
      <c r="I101" s="2972"/>
      <c r="J101" s="1616"/>
      <c r="K101" s="2913">
        <v>0.38250000000000001</v>
      </c>
      <c r="L101" s="1548"/>
      <c r="M101" s="1715"/>
      <c r="N101" s="1716"/>
      <c r="O101" s="1716"/>
      <c r="P101" s="1716"/>
      <c r="Q101" s="2919"/>
      <c r="R101" s="576"/>
      <c r="S101" s="1699"/>
      <c r="T101" s="1700"/>
      <c r="U101" s="2071">
        <f>S101*IFERROR(INDEX('Currency Data'!$L$8:$L$41,MATCH(T101,'Currency Data'!$H$8:$H$41,0)),1)</f>
        <v>0</v>
      </c>
      <c r="V101" s="2918"/>
    </row>
    <row r="102" spans="2:22" s="749" customFormat="1" ht="15.9" customHeight="1" x14ac:dyDescent="0.25">
      <c r="B102" s="526" t="s">
        <v>3302</v>
      </c>
      <c r="C102" s="2911" t="s">
        <v>3751</v>
      </c>
      <c r="D102" s="2925"/>
      <c r="E102" s="2925" t="s">
        <v>3879</v>
      </c>
      <c r="F102" s="523" t="s">
        <v>3880</v>
      </c>
      <c r="G102" s="2967" t="s">
        <v>2</v>
      </c>
      <c r="H102" s="2978" t="str">
        <f>IF(ISERROR(MATCH(F102,'PU List'!$G$33:$G$397,0)),"No","Yes")</f>
        <v>No</v>
      </c>
      <c r="I102" s="2972"/>
      <c r="J102" s="1616"/>
      <c r="K102" s="2913">
        <v>0.38250000000000001</v>
      </c>
      <c r="L102" s="1548"/>
      <c r="M102" s="1715"/>
      <c r="N102" s="1716"/>
      <c r="O102" s="1716"/>
      <c r="P102" s="1716"/>
      <c r="Q102" s="2919"/>
      <c r="R102" s="576"/>
      <c r="S102" s="1699"/>
      <c r="T102" s="1700"/>
      <c r="U102" s="2071">
        <f>S102*IFERROR(INDEX('Currency Data'!$L$8:$L$41,MATCH(T102,'Currency Data'!$H$8:$H$41,0)),1)</f>
        <v>0</v>
      </c>
      <c r="V102" s="2918"/>
    </row>
    <row r="103" spans="2:22" s="749" customFormat="1" ht="15.9" customHeight="1" x14ac:dyDescent="0.25">
      <c r="B103" s="526" t="s">
        <v>3302</v>
      </c>
      <c r="C103" s="2911" t="s">
        <v>3751</v>
      </c>
      <c r="D103" s="2925"/>
      <c r="E103" s="2925" t="s">
        <v>3881</v>
      </c>
      <c r="F103" s="523" t="s">
        <v>3882</v>
      </c>
      <c r="G103" s="2967" t="s">
        <v>2</v>
      </c>
      <c r="H103" s="2978" t="str">
        <f>IF(ISERROR(MATCH(F103,'PU List'!$G$33:$G$397,0)),"No","Yes")</f>
        <v>No</v>
      </c>
      <c r="I103" s="2972"/>
      <c r="J103" s="1616"/>
      <c r="K103" s="2913">
        <v>0.38250000000000001</v>
      </c>
      <c r="L103" s="1548"/>
      <c r="M103" s="1715"/>
      <c r="N103" s="1716"/>
      <c r="O103" s="1716"/>
      <c r="P103" s="1716"/>
      <c r="Q103" s="2919"/>
      <c r="R103" s="576"/>
      <c r="S103" s="1699"/>
      <c r="T103" s="1700"/>
      <c r="U103" s="2071">
        <f>S103*IFERROR(INDEX('Currency Data'!$L$8:$L$41,MATCH(T103,'Currency Data'!$H$8:$H$41,0)),1)</f>
        <v>0</v>
      </c>
      <c r="V103" s="2918"/>
    </row>
    <row r="104" spans="2:22" s="749" customFormat="1" ht="15.9" customHeight="1" x14ac:dyDescent="0.25">
      <c r="B104" s="526" t="s">
        <v>3302</v>
      </c>
      <c r="C104" s="2911" t="s">
        <v>3751</v>
      </c>
      <c r="D104" s="2925"/>
      <c r="E104" s="2925" t="s">
        <v>3883</v>
      </c>
      <c r="F104" s="523" t="s">
        <v>3884</v>
      </c>
      <c r="G104" s="2967" t="s">
        <v>2</v>
      </c>
      <c r="H104" s="2978" t="str">
        <f>IF(ISERROR(MATCH(F104,'PU List'!$G$33:$G$397,0)),"No","Yes")</f>
        <v>Yes</v>
      </c>
      <c r="I104" s="2972"/>
      <c r="J104" s="1616"/>
      <c r="K104" s="2913">
        <v>0.38250000000000001</v>
      </c>
      <c r="L104" s="1548"/>
      <c r="M104" s="1715"/>
      <c r="N104" s="1716"/>
      <c r="O104" s="1716"/>
      <c r="P104" s="1716"/>
      <c r="Q104" s="2919"/>
      <c r="R104" s="576"/>
      <c r="S104" s="1699"/>
      <c r="T104" s="1700"/>
      <c r="U104" s="2071">
        <f>S104*IFERROR(INDEX('Currency Data'!$L$8:$L$41,MATCH(T104,'Currency Data'!$H$8:$H$41,0)),1)</f>
        <v>0</v>
      </c>
      <c r="V104" s="2918"/>
    </row>
    <row r="105" spans="2:22" s="749" customFormat="1" ht="15.9" customHeight="1" x14ac:dyDescent="0.25">
      <c r="B105" s="526" t="s">
        <v>3302</v>
      </c>
      <c r="C105" s="2911" t="s">
        <v>3751</v>
      </c>
      <c r="D105" s="2925"/>
      <c r="E105" s="2925" t="s">
        <v>3885</v>
      </c>
      <c r="F105" s="523" t="s">
        <v>3886</v>
      </c>
      <c r="G105" s="2967" t="s">
        <v>2</v>
      </c>
      <c r="H105" s="2978" t="str">
        <f>IF(ISERROR(MATCH(F105,'PU List'!$G$33:$G$397,0)),"No","Yes")</f>
        <v>No</v>
      </c>
      <c r="I105" s="2972"/>
      <c r="J105" s="1616"/>
      <c r="K105" s="2913">
        <v>0.38250000000000001</v>
      </c>
      <c r="L105" s="1548"/>
      <c r="M105" s="1715"/>
      <c r="N105" s="1716"/>
      <c r="O105" s="1716"/>
      <c r="P105" s="1716"/>
      <c r="Q105" s="2919"/>
      <c r="R105" s="576"/>
      <c r="S105" s="1699"/>
      <c r="T105" s="1700"/>
      <c r="U105" s="2071">
        <f>S105*IFERROR(INDEX('Currency Data'!$L$8:$L$41,MATCH(T105,'Currency Data'!$H$8:$H$41,0)),1)</f>
        <v>0</v>
      </c>
      <c r="V105" s="2918"/>
    </row>
    <row r="106" spans="2:22" s="749" customFormat="1" ht="15.9" customHeight="1" x14ac:dyDescent="0.25">
      <c r="B106" s="526" t="s">
        <v>3302</v>
      </c>
      <c r="C106" s="2911" t="s">
        <v>3751</v>
      </c>
      <c r="D106" s="2925"/>
      <c r="E106" s="2925" t="s">
        <v>3887</v>
      </c>
      <c r="F106" s="523" t="s">
        <v>3888</v>
      </c>
      <c r="G106" s="2967" t="s">
        <v>2</v>
      </c>
      <c r="H106" s="2978" t="str">
        <f>IF(ISERROR(MATCH(F106,'PU List'!$G$33:$G$397,0)),"No","Yes")</f>
        <v>No</v>
      </c>
      <c r="I106" s="2972"/>
      <c r="J106" s="1616"/>
      <c r="K106" s="2913">
        <v>0.375</v>
      </c>
      <c r="L106" s="1548"/>
      <c r="M106" s="1715"/>
      <c r="N106" s="1716"/>
      <c r="O106" s="1716"/>
      <c r="P106" s="1716"/>
      <c r="Q106" s="2919"/>
      <c r="R106" s="576"/>
      <c r="S106" s="1699"/>
      <c r="T106" s="1700"/>
      <c r="U106" s="2071">
        <f>S106*IFERROR(INDEX('Currency Data'!$L$8:$L$41,MATCH(T106,'Currency Data'!$H$8:$H$41,0)),1)</f>
        <v>0</v>
      </c>
      <c r="V106" s="2918"/>
    </row>
    <row r="107" spans="2:22" s="749" customFormat="1" ht="15.9" customHeight="1" x14ac:dyDescent="0.25">
      <c r="B107" s="526" t="s">
        <v>3302</v>
      </c>
      <c r="C107" s="2911" t="s">
        <v>3751</v>
      </c>
      <c r="D107" s="2925"/>
      <c r="E107" s="2925" t="s">
        <v>3889</v>
      </c>
      <c r="F107" s="523" t="s">
        <v>3890</v>
      </c>
      <c r="G107" s="2967" t="s">
        <v>2</v>
      </c>
      <c r="H107" s="2978" t="str">
        <f>IF(ISERROR(MATCH(F107,'PU List'!$G$33:$G$397,0)),"No","Yes")</f>
        <v>No</v>
      </c>
      <c r="I107" s="2972"/>
      <c r="J107" s="1616"/>
      <c r="K107" s="2913">
        <v>0.375</v>
      </c>
      <c r="L107" s="1548"/>
      <c r="M107" s="1715"/>
      <c r="N107" s="1716"/>
      <c r="O107" s="1716"/>
      <c r="P107" s="1716"/>
      <c r="Q107" s="2919"/>
      <c r="R107" s="576"/>
      <c r="S107" s="1699"/>
      <c r="T107" s="1700"/>
      <c r="U107" s="2071">
        <f>S107*IFERROR(INDEX('Currency Data'!$L$8:$L$41,MATCH(T107,'Currency Data'!$H$8:$H$41,0)),1)</f>
        <v>0</v>
      </c>
      <c r="V107" s="2918"/>
    </row>
    <row r="108" spans="2:22" s="749" customFormat="1" ht="15.9" customHeight="1" x14ac:dyDescent="0.25">
      <c r="B108" s="526" t="s">
        <v>3302</v>
      </c>
      <c r="C108" s="2911" t="s">
        <v>3751</v>
      </c>
      <c r="D108" s="2925"/>
      <c r="E108" s="2925" t="s">
        <v>3891</v>
      </c>
      <c r="F108" s="523" t="s">
        <v>3892</v>
      </c>
      <c r="G108" s="2967" t="s">
        <v>2</v>
      </c>
      <c r="H108" s="2978" t="str">
        <f>IF(ISERROR(MATCH(F108,'PU List'!$G$33:$G$397,0)),"No","Yes")</f>
        <v>No</v>
      </c>
      <c r="I108" s="2972"/>
      <c r="J108" s="1616"/>
      <c r="K108" s="2913">
        <v>0.40600000000000003</v>
      </c>
      <c r="L108" s="1548"/>
      <c r="M108" s="1715"/>
      <c r="N108" s="1716"/>
      <c r="O108" s="1716"/>
      <c r="P108" s="1716"/>
      <c r="Q108" s="2919"/>
      <c r="R108" s="576"/>
      <c r="S108" s="1699"/>
      <c r="T108" s="1700"/>
      <c r="U108" s="2071">
        <f>S108*IFERROR(INDEX('Currency Data'!$L$8:$L$41,MATCH(T108,'Currency Data'!$H$8:$H$41,0)),1)</f>
        <v>0</v>
      </c>
      <c r="V108" s="2918"/>
    </row>
    <row r="109" spans="2:22" s="749" customFormat="1" ht="15.9" customHeight="1" x14ac:dyDescent="0.25">
      <c r="B109" s="526" t="s">
        <v>3302</v>
      </c>
      <c r="C109" s="2911" t="s">
        <v>3751</v>
      </c>
      <c r="D109" s="2925"/>
      <c r="E109" s="2925" t="s">
        <v>3893</v>
      </c>
      <c r="F109" s="523" t="s">
        <v>3894</v>
      </c>
      <c r="G109" s="2967" t="s">
        <v>2</v>
      </c>
      <c r="H109" s="2978" t="str">
        <f>IF(ISERROR(MATCH(F109,'PU List'!$G$33:$G$397,0)),"No","Yes")</f>
        <v>No</v>
      </c>
      <c r="I109" s="2972"/>
      <c r="J109" s="1616"/>
      <c r="K109" s="2913">
        <v>0.38250000000000001</v>
      </c>
      <c r="L109" s="1548"/>
      <c r="M109" s="1715"/>
      <c r="N109" s="1716"/>
      <c r="O109" s="1716"/>
      <c r="P109" s="1716"/>
      <c r="Q109" s="2919"/>
      <c r="R109" s="576"/>
      <c r="S109" s="1699"/>
      <c r="T109" s="1700"/>
      <c r="U109" s="2071">
        <f>S109*IFERROR(INDEX('Currency Data'!$L$8:$L$41,MATCH(T109,'Currency Data'!$H$8:$H$41,0)),1)</f>
        <v>0</v>
      </c>
      <c r="V109" s="2918"/>
    </row>
    <row r="110" spans="2:22" s="749" customFormat="1" ht="15.9" customHeight="1" x14ac:dyDescent="0.25">
      <c r="B110" s="526" t="s">
        <v>3302</v>
      </c>
      <c r="C110" s="2911" t="s">
        <v>3751</v>
      </c>
      <c r="D110" s="2925"/>
      <c r="E110" s="2925" t="s">
        <v>3895</v>
      </c>
      <c r="F110" s="523" t="s">
        <v>3896</v>
      </c>
      <c r="G110" s="2967" t="s">
        <v>2</v>
      </c>
      <c r="H110" s="2978" t="str">
        <f>IF(ISERROR(MATCH(F110,'PU List'!$G$33:$G$397,0)),"No","Yes")</f>
        <v>No</v>
      </c>
      <c r="I110" s="2972"/>
      <c r="J110" s="1616"/>
      <c r="K110" s="2913">
        <v>0.375</v>
      </c>
      <c r="L110" s="1548"/>
      <c r="M110" s="1715"/>
      <c r="N110" s="1716"/>
      <c r="O110" s="1716"/>
      <c r="P110" s="1716"/>
      <c r="Q110" s="2919"/>
      <c r="R110" s="576"/>
      <c r="S110" s="1699"/>
      <c r="T110" s="1700"/>
      <c r="U110" s="2071">
        <f>S110*IFERROR(INDEX('Currency Data'!$L$8:$L$41,MATCH(T110,'Currency Data'!$H$8:$H$41,0)),1)</f>
        <v>0</v>
      </c>
      <c r="V110" s="2918"/>
    </row>
    <row r="111" spans="2:22" s="749" customFormat="1" ht="15.9" customHeight="1" x14ac:dyDescent="0.25">
      <c r="B111" s="526"/>
      <c r="C111" s="2911"/>
      <c r="D111" s="2925"/>
      <c r="E111" s="2985"/>
      <c r="F111" s="523" t="s">
        <v>3897</v>
      </c>
      <c r="G111" s="2967"/>
      <c r="H111" s="2978"/>
      <c r="I111" s="2972"/>
      <c r="J111" s="1616"/>
      <c r="K111" s="2913"/>
      <c r="L111" s="1548"/>
      <c r="M111" s="1715"/>
      <c r="N111" s="1716"/>
      <c r="O111" s="1716"/>
      <c r="P111" s="1716"/>
      <c r="Q111" s="2919"/>
      <c r="R111" s="576"/>
      <c r="S111" s="1699"/>
      <c r="T111" s="1700"/>
      <c r="U111" s="2071">
        <f>S111*IFERROR(INDEX('Currency Data'!$L$8:$L$41,MATCH(T111,'Currency Data'!$H$8:$H$41,0)),1)</f>
        <v>0</v>
      </c>
      <c r="V111" s="2918"/>
    </row>
    <row r="112" spans="2:22" x14ac:dyDescent="0.25">
      <c r="B112" s="1709" t="s">
        <v>1782</v>
      </c>
      <c r="C112" s="2926"/>
      <c r="D112" s="2926"/>
      <c r="E112" s="2926"/>
      <c r="F112" s="1691" t="s">
        <v>3897</v>
      </c>
      <c r="G112" s="1691"/>
      <c r="H112" s="1691"/>
      <c r="I112" s="1691"/>
      <c r="J112" s="1691"/>
      <c r="K112" s="1691"/>
      <c r="L112" s="1691"/>
      <c r="M112" s="1691"/>
      <c r="N112" s="1691"/>
      <c r="O112" s="1691"/>
      <c r="P112" s="1691"/>
      <c r="Q112" s="1710"/>
      <c r="R112" s="576"/>
      <c r="S112" s="2927"/>
      <c r="T112" s="1691"/>
      <c r="U112" s="1691"/>
      <c r="V112" s="1710"/>
    </row>
    <row r="113" spans="2:22" ht="28.2" x14ac:dyDescent="0.25">
      <c r="B113" s="749"/>
      <c r="F113" s="749"/>
      <c r="G113" s="749"/>
      <c r="J113" s="1616"/>
      <c r="K113" s="749"/>
      <c r="L113" s="749"/>
      <c r="M113" s="749"/>
      <c r="N113" s="749"/>
      <c r="S113" s="749"/>
      <c r="T113" s="749"/>
      <c r="V113" s="749"/>
    </row>
  </sheetData>
  <mergeCells count="1">
    <mergeCell ref="S1:V2"/>
  </mergeCells>
  <conditionalFormatting sqref="H8:H111">
    <cfRule type="cellIs" dxfId="1041" priority="1" operator="equal">
      <formula>"No"</formula>
    </cfRule>
    <cfRule type="cellIs" dxfId="1040" priority="2" operator="equal">
      <formula>"Yes"</formula>
    </cfRule>
  </conditionalFormatting>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R63"/>
  <sheetViews>
    <sheetView showGridLines="0" topLeftCell="A6" workbookViewId="0">
      <selection activeCell="L11" sqref="L11"/>
    </sheetView>
  </sheetViews>
  <sheetFormatPr defaultColWidth="9.109375" defaultRowHeight="13.8" x14ac:dyDescent="0.25"/>
  <cols>
    <col min="1" max="1" width="3.6640625" style="272" customWidth="1"/>
    <col min="2" max="2" width="7.6640625" style="272" customWidth="1"/>
    <col min="3" max="3" width="30.6640625" style="272" customWidth="1"/>
    <col min="4" max="5" width="7.6640625" style="272" customWidth="1"/>
    <col min="6" max="6" width="30.6640625" style="272" customWidth="1"/>
    <col min="7" max="8" width="7.6640625" style="272" customWidth="1"/>
    <col min="9" max="9" width="30.6640625" style="272" customWidth="1"/>
    <col min="10" max="11" width="7.6640625" style="272" customWidth="1"/>
    <col min="12" max="12" width="38.88671875" style="272" customWidth="1"/>
    <col min="13" max="14" width="7.6640625" style="272" customWidth="1"/>
    <col min="15" max="15" width="30.6640625" style="272" customWidth="1"/>
    <col min="16" max="17" width="7.6640625" style="272" customWidth="1"/>
    <col min="18" max="18" width="30.6640625" style="272" customWidth="1"/>
    <col min="19" max="16384" width="9.109375" style="272"/>
  </cols>
  <sheetData>
    <row r="1" spans="1:18" s="749" customFormat="1" ht="14.4" hidden="1" thickBot="1" x14ac:dyDescent="0.3">
      <c r="A1" s="445"/>
      <c r="B1" s="445"/>
      <c r="C1" s="445"/>
      <c r="D1" s="216" t="s">
        <v>488</v>
      </c>
      <c r="E1" s="1635">
        <f>IFERROR(INDEX(C17:R17,B2),0)</f>
        <v>0</v>
      </c>
      <c r="F1" s="445"/>
      <c r="G1" s="445"/>
      <c r="H1" s="445"/>
      <c r="I1" s="445"/>
      <c r="J1" s="445"/>
      <c r="K1" s="445"/>
      <c r="L1" s="445"/>
      <c r="M1" s="445"/>
      <c r="N1" s="445"/>
      <c r="O1" s="445"/>
      <c r="P1" s="445"/>
      <c r="Q1" s="445"/>
      <c r="R1" s="445"/>
    </row>
    <row r="2" spans="1:18" s="749" customFormat="1" ht="14.4" hidden="1" thickBot="1" x14ac:dyDescent="0.3">
      <c r="A2" s="834">
        <v>4</v>
      </c>
      <c r="B2" s="238">
        <f>MATCH(1,B3:R3,0)-1</f>
        <v>9</v>
      </c>
      <c r="C2" s="445" t="s">
        <v>1650</v>
      </c>
      <c r="D2" s="238">
        <f>MAX(INDEX(C4:R4,B2+1),1)</f>
        <v>35</v>
      </c>
      <c r="E2" s="445" t="s">
        <v>1651</v>
      </c>
      <c r="F2" s="238" t="str">
        <f>IFERROR(INDEX(C16:R16,B2+1),"")</f>
        <v>Framework Rates</v>
      </c>
      <c r="G2" s="198"/>
      <c r="H2" s="198"/>
      <c r="I2" s="198"/>
      <c r="J2" s="198"/>
      <c r="K2" s="198"/>
      <c r="L2" s="198"/>
      <c r="M2" s="198"/>
      <c r="N2" s="198"/>
      <c r="O2" s="198"/>
      <c r="P2" s="198"/>
      <c r="Q2" s="198"/>
      <c r="R2" s="198"/>
    </row>
    <row r="3" spans="1:18" hidden="1" x14ac:dyDescent="0.25">
      <c r="A3" s="198"/>
      <c r="B3" s="499">
        <f>IF($A$2=1,1,0)</f>
        <v>0</v>
      </c>
      <c r="C3" s="198"/>
      <c r="D3" s="198"/>
      <c r="E3" s="748">
        <f>IF($A$2=2,1,0)</f>
        <v>0</v>
      </c>
      <c r="F3" s="198"/>
      <c r="G3" s="198"/>
      <c r="H3" s="748">
        <f>IF($A$2=3,1,0)</f>
        <v>0</v>
      </c>
      <c r="I3" s="198"/>
      <c r="J3" s="198"/>
      <c r="K3" s="748">
        <f>IF($A$2=4,1,0)</f>
        <v>1</v>
      </c>
      <c r="L3" s="198"/>
      <c r="M3" s="198"/>
      <c r="N3" s="748">
        <f>IF($A$2=5,1,0)</f>
        <v>0</v>
      </c>
      <c r="O3" s="198"/>
      <c r="P3" s="198"/>
      <c r="Q3" s="748">
        <f>IF($A$2=6,1,0)</f>
        <v>0</v>
      </c>
      <c r="R3" s="198"/>
    </row>
    <row r="4" spans="1:18" hidden="1" x14ac:dyDescent="0.25">
      <c r="A4" s="198"/>
      <c r="B4" s="198"/>
      <c r="C4" s="748">
        <f>COUNTA(C19:C63)</f>
        <v>0</v>
      </c>
      <c r="D4" s="198"/>
      <c r="E4" s="198"/>
      <c r="F4" s="748">
        <f>COUNTA(F19:F63)</f>
        <v>10</v>
      </c>
      <c r="G4" s="198"/>
      <c r="H4" s="198"/>
      <c r="I4" s="748">
        <f>COUNTA(I19:I63)</f>
        <v>25</v>
      </c>
      <c r="J4" s="198"/>
      <c r="K4" s="198"/>
      <c r="L4" s="748">
        <f>COUNTA(L19:L63)</f>
        <v>35</v>
      </c>
      <c r="M4" s="198"/>
      <c r="N4" s="198"/>
      <c r="O4" s="748">
        <f>COUNTA(O19:O63)</f>
        <v>0</v>
      </c>
      <c r="P4" s="198"/>
      <c r="Q4" s="198"/>
      <c r="R4" s="748">
        <f>COUNTA(R19:R63)</f>
        <v>0</v>
      </c>
    </row>
    <row r="5" spans="1:18" hidden="1" x14ac:dyDescent="0.25">
      <c r="A5" s="198"/>
      <c r="B5" s="748">
        <f>COLUMN(B5)-COLUMN($B$5)</f>
        <v>0</v>
      </c>
      <c r="C5" s="198"/>
      <c r="D5" s="198"/>
      <c r="E5" s="748">
        <f>COLUMN(E5)-COLUMN($B$5)</f>
        <v>3</v>
      </c>
      <c r="F5" s="198"/>
      <c r="G5" s="198"/>
      <c r="H5" s="748">
        <f>COLUMN(H5)-COLUMN($B$5)</f>
        <v>6</v>
      </c>
      <c r="I5" s="198"/>
      <c r="J5" s="198"/>
      <c r="K5" s="748">
        <f>COLUMN(K5)-COLUMN($B$5)</f>
        <v>9</v>
      </c>
      <c r="L5" s="198"/>
      <c r="M5" s="198"/>
      <c r="N5" s="748">
        <f>COLUMN(N5)-COLUMN($B$5)</f>
        <v>12</v>
      </c>
      <c r="O5" s="198"/>
      <c r="P5" s="198"/>
      <c r="Q5" s="748">
        <f>COLUMN(Q5)-COLUMN($B$5)</f>
        <v>15</v>
      </c>
      <c r="R5" s="198"/>
    </row>
    <row r="6" spans="1:18" ht="6" customHeight="1" x14ac:dyDescent="0.25"/>
    <row r="7" spans="1:18" ht="32.25" customHeight="1" x14ac:dyDescent="0.25">
      <c r="B7" s="517" t="s">
        <v>2361</v>
      </c>
    </row>
    <row r="8" spans="1:18" ht="18.75" customHeight="1" x14ac:dyDescent="0.25">
      <c r="B8" s="362" t="s">
        <v>2362</v>
      </c>
    </row>
    <row r="9" spans="1:18" s="749" customFormat="1" ht="18.75" customHeight="1" x14ac:dyDescent="0.25">
      <c r="B9" s="362" t="s">
        <v>1652</v>
      </c>
    </row>
    <row r="10" spans="1:18" s="749" customFormat="1" ht="18.75" customHeight="1" x14ac:dyDescent="0.25">
      <c r="B10" s="362" t="s">
        <v>1653</v>
      </c>
    </row>
    <row r="11" spans="1:18" s="749" customFormat="1" ht="18.75" customHeight="1" x14ac:dyDescent="0.25">
      <c r="B11" s="362" t="s">
        <v>1649</v>
      </c>
    </row>
    <row r="12" spans="1:18" s="749" customFormat="1" ht="18.75" customHeight="1" x14ac:dyDescent="0.25">
      <c r="B12" s="362" t="s">
        <v>1701</v>
      </c>
    </row>
    <row r="13" spans="1:18" x14ac:dyDescent="0.25">
      <c r="A13" s="357"/>
      <c r="B13" s="756"/>
    </row>
    <row r="14" spans="1:18" ht="98.25" customHeight="1" x14ac:dyDescent="0.25">
      <c r="B14" s="3353" t="s">
        <v>1648</v>
      </c>
      <c r="C14" s="3354"/>
      <c r="D14" s="570"/>
      <c r="E14" s="3353" t="s">
        <v>433</v>
      </c>
      <c r="F14" s="3354"/>
      <c r="G14" s="570"/>
      <c r="H14" s="3353" t="s">
        <v>434</v>
      </c>
      <c r="I14" s="3354"/>
      <c r="J14" s="570"/>
      <c r="K14" s="3353" t="s">
        <v>4349</v>
      </c>
      <c r="L14" s="3354"/>
      <c r="N14" s="3353" t="s">
        <v>1648</v>
      </c>
      <c r="O14" s="3354"/>
      <c r="Q14" s="3353" t="s">
        <v>1648</v>
      </c>
      <c r="R14" s="3354"/>
    </row>
    <row r="15" spans="1:18" ht="16.5" customHeight="1" thickBot="1" x14ac:dyDescent="0.3">
      <c r="B15" s="1611" t="s">
        <v>318</v>
      </c>
      <c r="C15" s="1611" t="s">
        <v>9</v>
      </c>
      <c r="E15" s="1611" t="s">
        <v>318</v>
      </c>
      <c r="F15" s="1611" t="s">
        <v>9</v>
      </c>
      <c r="H15" s="1611" t="s">
        <v>318</v>
      </c>
      <c r="I15" s="1611" t="s">
        <v>9</v>
      </c>
      <c r="K15" s="1611" t="s">
        <v>318</v>
      </c>
      <c r="L15" s="1611" t="s">
        <v>9</v>
      </c>
      <c r="N15" s="1611" t="s">
        <v>318</v>
      </c>
      <c r="O15" s="1611" t="s">
        <v>9</v>
      </c>
      <c r="Q15" s="1611" t="s">
        <v>318</v>
      </c>
      <c r="R15" s="1611" t="s">
        <v>9</v>
      </c>
    </row>
    <row r="16" spans="1:18" ht="24.75" customHeight="1" thickBot="1" x14ac:dyDescent="0.3">
      <c r="B16" s="1610"/>
      <c r="C16" s="1615"/>
      <c r="E16" s="1610"/>
      <c r="F16" s="1615" t="s">
        <v>432</v>
      </c>
      <c r="H16" s="1610"/>
      <c r="I16" s="1615" t="s">
        <v>2576</v>
      </c>
      <c r="K16" s="1610"/>
      <c r="L16" s="1615" t="s">
        <v>439</v>
      </c>
      <c r="N16" s="1610"/>
      <c r="O16" s="1615"/>
      <c r="Q16" s="1610"/>
      <c r="R16" s="1615"/>
    </row>
    <row r="17" spans="1:18" s="749" customFormat="1" ht="16.5" customHeight="1" x14ac:dyDescent="0.25">
      <c r="B17" s="1634"/>
      <c r="C17" s="411" t="s">
        <v>1697</v>
      </c>
      <c r="E17" s="1634"/>
      <c r="F17" s="411" t="s">
        <v>1697</v>
      </c>
      <c r="H17" s="1634"/>
      <c r="I17" s="411" t="s">
        <v>1697</v>
      </c>
      <c r="K17" s="1634"/>
      <c r="L17" s="411" t="s">
        <v>1697</v>
      </c>
      <c r="N17" s="1634"/>
      <c r="O17" s="411" t="s">
        <v>1697</v>
      </c>
      <c r="Q17" s="1634"/>
      <c r="R17" s="411" t="s">
        <v>1697</v>
      </c>
    </row>
    <row r="18" spans="1:18" ht="26.25" customHeight="1" x14ac:dyDescent="0.25">
      <c r="B18" s="1609" t="s">
        <v>660</v>
      </c>
      <c r="C18" s="1612" t="s">
        <v>604</v>
      </c>
      <c r="E18" s="1609" t="s">
        <v>660</v>
      </c>
      <c r="F18" s="1612" t="s">
        <v>604</v>
      </c>
      <c r="H18" s="1609" t="s">
        <v>660</v>
      </c>
      <c r="I18" s="1612" t="s">
        <v>604</v>
      </c>
      <c r="K18" s="1609" t="s">
        <v>660</v>
      </c>
      <c r="L18" s="1612" t="s">
        <v>604</v>
      </c>
      <c r="N18" s="1609" t="s">
        <v>660</v>
      </c>
      <c r="O18" s="1612" t="s">
        <v>604</v>
      </c>
      <c r="Q18" s="1609" t="s">
        <v>660</v>
      </c>
      <c r="R18" s="1612" t="s">
        <v>604</v>
      </c>
    </row>
    <row r="19" spans="1:18" ht="15.9" customHeight="1" x14ac:dyDescent="0.25">
      <c r="A19" s="197"/>
      <c r="B19" s="400"/>
      <c r="C19" s="567"/>
      <c r="E19" s="400"/>
      <c r="F19" s="568" t="s">
        <v>435</v>
      </c>
      <c r="H19" s="400"/>
      <c r="I19" s="568" t="s">
        <v>2497</v>
      </c>
      <c r="K19" s="400"/>
      <c r="L19" s="568" t="s">
        <v>4314</v>
      </c>
      <c r="N19" s="400"/>
      <c r="O19" s="567"/>
      <c r="Q19" s="400"/>
      <c r="R19" s="567"/>
    </row>
    <row r="20" spans="1:18" ht="15.9" customHeight="1" x14ac:dyDescent="0.25">
      <c r="A20" s="197"/>
      <c r="B20" s="400"/>
      <c r="C20" s="567"/>
      <c r="E20" s="400"/>
      <c r="F20" s="567" t="s">
        <v>362</v>
      </c>
      <c r="H20" s="400"/>
      <c r="I20" s="567" t="s">
        <v>2498</v>
      </c>
      <c r="K20" s="400">
        <v>90.61</v>
      </c>
      <c r="L20" s="567" t="s">
        <v>4315</v>
      </c>
      <c r="N20" s="400"/>
      <c r="O20" s="567"/>
      <c r="Q20" s="400"/>
      <c r="R20" s="567"/>
    </row>
    <row r="21" spans="1:18" ht="15.9" customHeight="1" x14ac:dyDescent="0.25">
      <c r="A21" s="197"/>
      <c r="B21" s="400"/>
      <c r="C21" s="567"/>
      <c r="E21" s="400"/>
      <c r="F21" s="567" t="s">
        <v>431</v>
      </c>
      <c r="H21" s="400"/>
      <c r="I21" s="567" t="s">
        <v>2499</v>
      </c>
      <c r="K21" s="400">
        <v>80.11</v>
      </c>
      <c r="L21" s="567" t="s">
        <v>4316</v>
      </c>
      <c r="N21" s="400"/>
      <c r="O21" s="567"/>
      <c r="Q21" s="400"/>
      <c r="R21" s="567"/>
    </row>
    <row r="22" spans="1:18" ht="15.9" customHeight="1" x14ac:dyDescent="0.25">
      <c r="A22" s="197"/>
      <c r="B22" s="400"/>
      <c r="C22" s="567"/>
      <c r="E22" s="400"/>
      <c r="F22" s="567" t="s">
        <v>363</v>
      </c>
      <c r="H22" s="400"/>
      <c r="I22" s="567" t="s">
        <v>2500</v>
      </c>
      <c r="K22" s="400">
        <v>69.61</v>
      </c>
      <c r="L22" s="567" t="s">
        <v>4317</v>
      </c>
      <c r="N22" s="400"/>
      <c r="O22" s="567"/>
      <c r="Q22" s="400"/>
      <c r="R22" s="567"/>
    </row>
    <row r="23" spans="1:18" ht="15.9" customHeight="1" x14ac:dyDescent="0.25">
      <c r="A23" s="197"/>
      <c r="B23" s="400"/>
      <c r="C23" s="567"/>
      <c r="E23" s="400"/>
      <c r="F23" s="567" t="s">
        <v>364</v>
      </c>
      <c r="H23" s="400"/>
      <c r="I23" s="567" t="s">
        <v>2501</v>
      </c>
      <c r="K23" s="400">
        <v>60.85</v>
      </c>
      <c r="L23" s="567" t="s">
        <v>4318</v>
      </c>
      <c r="N23" s="400"/>
      <c r="O23" s="567"/>
      <c r="Q23" s="400"/>
      <c r="R23" s="567"/>
    </row>
    <row r="24" spans="1:18" ht="15.9" customHeight="1" x14ac:dyDescent="0.25">
      <c r="A24" s="197"/>
      <c r="B24" s="400"/>
      <c r="C24" s="567"/>
      <c r="E24" s="400"/>
      <c r="F24" s="567" t="s">
        <v>365</v>
      </c>
      <c r="H24" s="400"/>
      <c r="I24" s="567" t="s">
        <v>2502</v>
      </c>
      <c r="K24" s="400"/>
      <c r="L24" s="568" t="s">
        <v>4319</v>
      </c>
      <c r="N24" s="400"/>
      <c r="O24" s="567"/>
      <c r="Q24" s="400"/>
      <c r="R24" s="567"/>
    </row>
    <row r="25" spans="1:18" ht="15.9" customHeight="1" x14ac:dyDescent="0.25">
      <c r="A25" s="197"/>
      <c r="B25" s="400"/>
      <c r="C25" s="567"/>
      <c r="E25" s="400"/>
      <c r="F25" s="567" t="s">
        <v>366</v>
      </c>
      <c r="H25" s="400"/>
      <c r="I25" s="567" t="s">
        <v>2503</v>
      </c>
      <c r="K25" s="400">
        <v>65.34</v>
      </c>
      <c r="L25" s="567" t="s">
        <v>4320</v>
      </c>
      <c r="N25" s="400"/>
      <c r="O25" s="567"/>
      <c r="Q25" s="400"/>
      <c r="R25" s="567"/>
    </row>
    <row r="26" spans="1:18" ht="15.9" customHeight="1" x14ac:dyDescent="0.25">
      <c r="A26" s="197"/>
      <c r="B26" s="400"/>
      <c r="C26" s="567"/>
      <c r="E26" s="400"/>
      <c r="F26" s="568" t="s">
        <v>436</v>
      </c>
      <c r="H26" s="400"/>
      <c r="I26" s="567" t="s">
        <v>2504</v>
      </c>
      <c r="K26" s="400">
        <v>62.21</v>
      </c>
      <c r="L26" s="567" t="s">
        <v>4321</v>
      </c>
      <c r="N26" s="400"/>
      <c r="O26" s="567"/>
      <c r="Q26" s="400"/>
      <c r="R26" s="567"/>
    </row>
    <row r="27" spans="1:18" ht="15.9" customHeight="1" x14ac:dyDescent="0.25">
      <c r="A27" s="197"/>
      <c r="B27" s="400"/>
      <c r="C27" s="567"/>
      <c r="E27" s="400"/>
      <c r="F27" s="567" t="s">
        <v>430</v>
      </c>
      <c r="H27" s="400"/>
      <c r="I27" s="568" t="s">
        <v>2505</v>
      </c>
      <c r="K27" s="400">
        <v>52.27</v>
      </c>
      <c r="L27" s="567" t="s">
        <v>4322</v>
      </c>
      <c r="N27" s="400"/>
      <c r="O27" s="567"/>
      <c r="Q27" s="400"/>
      <c r="R27" s="567"/>
    </row>
    <row r="28" spans="1:18" ht="15.9" customHeight="1" x14ac:dyDescent="0.25">
      <c r="A28" s="197"/>
      <c r="B28" s="400"/>
      <c r="C28" s="567"/>
      <c r="E28" s="400"/>
      <c r="F28" s="567" t="s">
        <v>429</v>
      </c>
      <c r="H28" s="400"/>
      <c r="I28" s="567" t="s">
        <v>2506</v>
      </c>
      <c r="K28" s="400">
        <v>45.73</v>
      </c>
      <c r="L28" s="567" t="s">
        <v>4323</v>
      </c>
      <c r="N28" s="400"/>
      <c r="O28" s="567"/>
      <c r="Q28" s="400"/>
      <c r="R28" s="567"/>
    </row>
    <row r="29" spans="1:18" ht="15.9" customHeight="1" x14ac:dyDescent="0.25">
      <c r="A29" s="197"/>
      <c r="B29" s="400"/>
      <c r="C29" s="567"/>
      <c r="E29" s="400"/>
      <c r="F29" s="567"/>
      <c r="H29" s="400"/>
      <c r="I29" s="567" t="s">
        <v>2507</v>
      </c>
      <c r="K29" s="400"/>
      <c r="L29" s="568" t="s">
        <v>4324</v>
      </c>
      <c r="N29" s="400"/>
      <c r="O29" s="567"/>
      <c r="Q29" s="400"/>
      <c r="R29" s="567"/>
    </row>
    <row r="30" spans="1:18" ht="15.9" customHeight="1" x14ac:dyDescent="0.25">
      <c r="A30" s="197"/>
      <c r="B30" s="400"/>
      <c r="C30" s="567"/>
      <c r="E30" s="400"/>
      <c r="F30" s="567"/>
      <c r="H30" s="400"/>
      <c r="I30" s="567" t="s">
        <v>2508</v>
      </c>
      <c r="K30" s="400">
        <v>52.57</v>
      </c>
      <c r="L30" s="567" t="s">
        <v>4325</v>
      </c>
      <c r="N30" s="400"/>
      <c r="O30" s="567"/>
      <c r="Q30" s="400"/>
      <c r="R30" s="567"/>
    </row>
    <row r="31" spans="1:18" ht="15.9" customHeight="1" x14ac:dyDescent="0.25">
      <c r="A31" s="197"/>
      <c r="B31" s="400"/>
      <c r="C31" s="567"/>
      <c r="E31" s="400"/>
      <c r="F31" s="567"/>
      <c r="H31" s="400"/>
      <c r="I31" s="567" t="s">
        <v>2509</v>
      </c>
      <c r="K31" s="400">
        <v>46.89</v>
      </c>
      <c r="L31" s="567" t="s">
        <v>4326</v>
      </c>
      <c r="N31" s="400"/>
      <c r="O31" s="567"/>
      <c r="Q31" s="400"/>
      <c r="R31" s="567"/>
    </row>
    <row r="32" spans="1:18" ht="15.9" customHeight="1" x14ac:dyDescent="0.25">
      <c r="A32" s="197"/>
      <c r="B32" s="400"/>
      <c r="C32" s="567"/>
      <c r="E32" s="400"/>
      <c r="F32" s="567"/>
      <c r="H32" s="400"/>
      <c r="I32" s="568" t="s">
        <v>2510</v>
      </c>
      <c r="K32" s="400">
        <v>42.56</v>
      </c>
      <c r="L32" s="567" t="s">
        <v>4327</v>
      </c>
      <c r="N32" s="400"/>
      <c r="O32" s="567"/>
      <c r="Q32" s="400"/>
      <c r="R32" s="567"/>
    </row>
    <row r="33" spans="1:18" ht="15.9" customHeight="1" x14ac:dyDescent="0.25">
      <c r="A33" s="197"/>
      <c r="B33" s="400"/>
      <c r="C33" s="567"/>
      <c r="E33" s="400"/>
      <c r="F33" s="567"/>
      <c r="H33" s="400"/>
      <c r="I33" s="567" t="s">
        <v>2511</v>
      </c>
      <c r="K33" s="400">
        <v>38.22</v>
      </c>
      <c r="L33" s="567" t="s">
        <v>4328</v>
      </c>
      <c r="N33" s="400"/>
      <c r="O33" s="567"/>
      <c r="Q33" s="400"/>
      <c r="R33" s="567"/>
    </row>
    <row r="34" spans="1:18" ht="15.9" customHeight="1" x14ac:dyDescent="0.25">
      <c r="A34" s="197"/>
      <c r="B34" s="400"/>
      <c r="C34" s="567"/>
      <c r="E34" s="400"/>
      <c r="F34" s="567"/>
      <c r="H34" s="400"/>
      <c r="I34" s="567" t="s">
        <v>2512</v>
      </c>
      <c r="K34" s="400"/>
      <c r="L34" s="568" t="s">
        <v>4329</v>
      </c>
      <c r="N34" s="400"/>
      <c r="O34" s="567"/>
      <c r="Q34" s="400"/>
      <c r="R34" s="567"/>
    </row>
    <row r="35" spans="1:18" ht="15.9" customHeight="1" x14ac:dyDescent="0.25">
      <c r="A35" s="197"/>
      <c r="B35" s="400"/>
      <c r="C35" s="567"/>
      <c r="E35" s="400"/>
      <c r="F35" s="567"/>
      <c r="H35" s="400"/>
      <c r="I35" s="567" t="s">
        <v>2513</v>
      </c>
      <c r="K35" s="400">
        <v>45.24</v>
      </c>
      <c r="L35" s="567" t="s">
        <v>4330</v>
      </c>
      <c r="N35" s="400"/>
      <c r="O35" s="567"/>
      <c r="Q35" s="400"/>
      <c r="R35" s="567"/>
    </row>
    <row r="36" spans="1:18" ht="15.9" customHeight="1" x14ac:dyDescent="0.25">
      <c r="A36" s="197"/>
      <c r="B36" s="400"/>
      <c r="C36" s="567"/>
      <c r="E36" s="400"/>
      <c r="F36" s="567"/>
      <c r="H36" s="400"/>
      <c r="I36" s="567" t="s">
        <v>2514</v>
      </c>
      <c r="K36" s="400">
        <v>40.79</v>
      </c>
      <c r="L36" s="567" t="s">
        <v>4331</v>
      </c>
      <c r="N36" s="400"/>
      <c r="O36" s="567"/>
      <c r="Q36" s="400"/>
      <c r="R36" s="567"/>
    </row>
    <row r="37" spans="1:18" ht="15.9" customHeight="1" x14ac:dyDescent="0.25">
      <c r="A37" s="197"/>
      <c r="B37" s="400"/>
      <c r="C37" s="567"/>
      <c r="E37" s="400"/>
      <c r="F37" s="567"/>
      <c r="H37" s="400"/>
      <c r="I37" s="567" t="s">
        <v>2515</v>
      </c>
      <c r="K37" s="400">
        <v>35.42</v>
      </c>
      <c r="L37" s="567" t="s">
        <v>4332</v>
      </c>
      <c r="N37" s="400"/>
      <c r="O37" s="567"/>
      <c r="Q37" s="400"/>
      <c r="R37" s="567"/>
    </row>
    <row r="38" spans="1:18" ht="15.9" customHeight="1" x14ac:dyDescent="0.25">
      <c r="A38" s="197"/>
      <c r="B38" s="400"/>
      <c r="C38" s="567"/>
      <c r="E38" s="400"/>
      <c r="F38" s="567"/>
      <c r="H38" s="400"/>
      <c r="I38" s="568" t="s">
        <v>2521</v>
      </c>
      <c r="K38" s="400">
        <v>29.06</v>
      </c>
      <c r="L38" s="567" t="s">
        <v>4333</v>
      </c>
      <c r="N38" s="400"/>
      <c r="O38" s="567"/>
      <c r="Q38" s="400"/>
      <c r="R38" s="567"/>
    </row>
    <row r="39" spans="1:18" ht="15.9" customHeight="1" x14ac:dyDescent="0.25">
      <c r="A39" s="197"/>
      <c r="B39" s="400"/>
      <c r="C39" s="567"/>
      <c r="E39" s="400"/>
      <c r="F39" s="567"/>
      <c r="H39" s="400"/>
      <c r="I39" s="567" t="s">
        <v>2516</v>
      </c>
      <c r="K39" s="400"/>
      <c r="L39" s="568" t="s">
        <v>4334</v>
      </c>
      <c r="N39" s="400"/>
      <c r="O39" s="567"/>
      <c r="Q39" s="400"/>
      <c r="R39" s="567"/>
    </row>
    <row r="40" spans="1:18" ht="15.9" customHeight="1" x14ac:dyDescent="0.25">
      <c r="A40" s="197"/>
      <c r="B40" s="400"/>
      <c r="C40" s="567"/>
      <c r="E40" s="400"/>
      <c r="F40" s="567"/>
      <c r="H40" s="400"/>
      <c r="I40" s="567" t="s">
        <v>2517</v>
      </c>
      <c r="K40" s="400">
        <v>38.450000000000003</v>
      </c>
      <c r="L40" s="567" t="s">
        <v>4335</v>
      </c>
      <c r="N40" s="400"/>
      <c r="O40" s="567"/>
      <c r="Q40" s="400"/>
      <c r="R40" s="567"/>
    </row>
    <row r="41" spans="1:18" ht="15.9" customHeight="1" x14ac:dyDescent="0.25">
      <c r="A41" s="197"/>
      <c r="B41" s="400"/>
      <c r="C41" s="567"/>
      <c r="E41" s="400"/>
      <c r="F41" s="567"/>
      <c r="H41" s="400"/>
      <c r="I41" s="567" t="s">
        <v>2518</v>
      </c>
      <c r="K41" s="400">
        <v>33.799999999999997</v>
      </c>
      <c r="L41" s="567" t="s">
        <v>4336</v>
      </c>
      <c r="N41" s="400"/>
      <c r="O41" s="567"/>
      <c r="Q41" s="400"/>
      <c r="R41" s="567"/>
    </row>
    <row r="42" spans="1:18" ht="15.9" customHeight="1" x14ac:dyDescent="0.25">
      <c r="A42" s="197"/>
      <c r="B42" s="400"/>
      <c r="C42" s="567"/>
      <c r="E42" s="400"/>
      <c r="F42" s="567"/>
      <c r="H42" s="400"/>
      <c r="I42" s="567" t="s">
        <v>2519</v>
      </c>
      <c r="K42" s="400">
        <v>29.16</v>
      </c>
      <c r="L42" s="567" t="s">
        <v>4337</v>
      </c>
      <c r="N42" s="400"/>
      <c r="O42" s="567"/>
      <c r="Q42" s="400"/>
      <c r="R42" s="567"/>
    </row>
    <row r="43" spans="1:18" ht="15.9" customHeight="1" x14ac:dyDescent="0.25">
      <c r="A43" s="197"/>
      <c r="B43" s="400"/>
      <c r="C43" s="567"/>
      <c r="E43" s="400"/>
      <c r="F43" s="567"/>
      <c r="H43" s="400"/>
      <c r="I43" s="567" t="s">
        <v>2520</v>
      </c>
      <c r="K43" s="400">
        <v>24.52</v>
      </c>
      <c r="L43" s="567" t="s">
        <v>4338</v>
      </c>
      <c r="N43" s="400"/>
      <c r="O43" s="567"/>
      <c r="Q43" s="400"/>
      <c r="R43" s="567"/>
    </row>
    <row r="44" spans="1:18" ht="15.9" customHeight="1" x14ac:dyDescent="0.25">
      <c r="A44" s="197"/>
      <c r="B44" s="400"/>
      <c r="C44" s="567"/>
      <c r="E44" s="400"/>
      <c r="F44" s="567"/>
      <c r="H44" s="400"/>
      <c r="I44" s="567"/>
      <c r="K44" s="400"/>
      <c r="L44" s="568" t="s">
        <v>4339</v>
      </c>
      <c r="N44" s="400"/>
      <c r="O44" s="567"/>
      <c r="Q44" s="400"/>
      <c r="R44" s="567"/>
    </row>
    <row r="45" spans="1:18" ht="15.9" customHeight="1" x14ac:dyDescent="0.25">
      <c r="A45" s="197"/>
      <c r="B45" s="400"/>
      <c r="C45" s="567"/>
      <c r="E45" s="400"/>
      <c r="F45" s="567"/>
      <c r="H45" s="400"/>
      <c r="I45" s="567"/>
      <c r="K45" s="400">
        <v>30.51</v>
      </c>
      <c r="L45" s="567" t="s">
        <v>4340</v>
      </c>
      <c r="N45" s="400"/>
      <c r="O45" s="567"/>
      <c r="Q45" s="400"/>
      <c r="R45" s="567"/>
    </row>
    <row r="46" spans="1:18" ht="15.9" customHeight="1" x14ac:dyDescent="0.25">
      <c r="A46" s="197"/>
      <c r="B46" s="400"/>
      <c r="C46" s="567"/>
      <c r="E46" s="400"/>
      <c r="F46" s="567"/>
      <c r="H46" s="400"/>
      <c r="I46" s="567"/>
      <c r="K46" s="400">
        <v>28.23</v>
      </c>
      <c r="L46" s="567" t="s">
        <v>4341</v>
      </c>
      <c r="N46" s="400"/>
      <c r="O46" s="567"/>
      <c r="Q46" s="400"/>
      <c r="R46" s="567"/>
    </row>
    <row r="47" spans="1:18" ht="15.9" customHeight="1" x14ac:dyDescent="0.25">
      <c r="A47" s="197"/>
      <c r="B47" s="400"/>
      <c r="C47" s="567"/>
      <c r="E47" s="400"/>
      <c r="F47" s="567"/>
      <c r="H47" s="400"/>
      <c r="I47" s="567"/>
      <c r="K47" s="400">
        <v>24.92</v>
      </c>
      <c r="L47" s="567" t="s">
        <v>4342</v>
      </c>
      <c r="N47" s="400"/>
      <c r="O47" s="567"/>
      <c r="Q47" s="400"/>
      <c r="R47" s="567"/>
    </row>
    <row r="48" spans="1:18" ht="15.9" customHeight="1" x14ac:dyDescent="0.25">
      <c r="A48" s="197"/>
      <c r="B48" s="400"/>
      <c r="C48" s="567"/>
      <c r="E48" s="400"/>
      <c r="F48" s="567"/>
      <c r="H48" s="400"/>
      <c r="I48" s="567"/>
      <c r="K48" s="400">
        <v>20.29</v>
      </c>
      <c r="L48" s="567" t="s">
        <v>4343</v>
      </c>
      <c r="N48" s="400"/>
      <c r="O48" s="567"/>
      <c r="Q48" s="400"/>
      <c r="R48" s="567"/>
    </row>
    <row r="49" spans="1:18" ht="15.9" customHeight="1" x14ac:dyDescent="0.25">
      <c r="A49" s="197"/>
      <c r="B49" s="400"/>
      <c r="C49" s="567"/>
      <c r="E49" s="400"/>
      <c r="F49" s="567"/>
      <c r="H49" s="400"/>
      <c r="I49" s="567"/>
      <c r="K49" s="400"/>
      <c r="L49" s="568" t="s">
        <v>4344</v>
      </c>
      <c r="N49" s="400"/>
      <c r="O49" s="567"/>
      <c r="Q49" s="400"/>
      <c r="R49" s="567"/>
    </row>
    <row r="50" spans="1:18" ht="15.9" customHeight="1" x14ac:dyDescent="0.25">
      <c r="A50" s="197"/>
      <c r="B50" s="400"/>
      <c r="C50" s="567"/>
      <c r="E50" s="400"/>
      <c r="F50" s="567"/>
      <c r="H50" s="400"/>
      <c r="I50" s="567"/>
      <c r="K50" s="400">
        <v>20.98</v>
      </c>
      <c r="L50" s="567" t="s">
        <v>4345</v>
      </c>
      <c r="N50" s="400"/>
      <c r="O50" s="567"/>
      <c r="Q50" s="400"/>
      <c r="R50" s="567"/>
    </row>
    <row r="51" spans="1:18" ht="15.9" customHeight="1" x14ac:dyDescent="0.25">
      <c r="A51" s="197"/>
      <c r="B51" s="400"/>
      <c r="C51" s="567"/>
      <c r="E51" s="400"/>
      <c r="F51" s="567"/>
      <c r="H51" s="400"/>
      <c r="I51" s="567"/>
      <c r="K51" s="400">
        <v>17.8</v>
      </c>
      <c r="L51" s="567" t="s">
        <v>4346</v>
      </c>
      <c r="N51" s="400"/>
      <c r="O51" s="567"/>
      <c r="Q51" s="400"/>
      <c r="R51" s="567"/>
    </row>
    <row r="52" spans="1:18" ht="15.9" customHeight="1" x14ac:dyDescent="0.25">
      <c r="A52" s="197"/>
      <c r="B52" s="400"/>
      <c r="C52" s="567"/>
      <c r="E52" s="400"/>
      <c r="F52" s="567"/>
      <c r="H52" s="400"/>
      <c r="I52" s="567"/>
      <c r="K52" s="400">
        <v>14.62</v>
      </c>
      <c r="L52" s="567" t="s">
        <v>4347</v>
      </c>
      <c r="N52" s="400"/>
      <c r="O52" s="567"/>
      <c r="Q52" s="400"/>
      <c r="R52" s="567"/>
    </row>
    <row r="53" spans="1:18" ht="15.9" customHeight="1" x14ac:dyDescent="0.25">
      <c r="A53" s="197"/>
      <c r="B53" s="400"/>
      <c r="C53" s="567"/>
      <c r="E53" s="400"/>
      <c r="F53" s="567"/>
      <c r="H53" s="400"/>
      <c r="I53" s="567"/>
      <c r="K53" s="400">
        <v>11.44</v>
      </c>
      <c r="L53" s="567" t="s">
        <v>4348</v>
      </c>
      <c r="N53" s="400"/>
      <c r="O53" s="567"/>
      <c r="Q53" s="400"/>
      <c r="R53" s="567"/>
    </row>
    <row r="54" spans="1:18" ht="15.9" customHeight="1" x14ac:dyDescent="0.25">
      <c r="A54" s="197"/>
      <c r="B54" s="400"/>
      <c r="C54" s="567"/>
      <c r="E54" s="400"/>
      <c r="F54" s="567"/>
      <c r="H54" s="400"/>
      <c r="I54" s="567"/>
      <c r="K54" s="400"/>
      <c r="L54" s="567"/>
      <c r="N54" s="400"/>
      <c r="O54" s="567"/>
      <c r="Q54" s="400"/>
      <c r="R54" s="567"/>
    </row>
    <row r="55" spans="1:18" ht="15.9" customHeight="1" x14ac:dyDescent="0.25">
      <c r="A55" s="197"/>
      <c r="B55" s="400"/>
      <c r="C55" s="567"/>
      <c r="E55" s="400"/>
      <c r="F55" s="567"/>
      <c r="H55" s="400"/>
      <c r="I55" s="567"/>
      <c r="K55" s="400"/>
      <c r="L55" s="567"/>
      <c r="N55" s="400"/>
      <c r="O55" s="567"/>
      <c r="Q55" s="400"/>
      <c r="R55" s="567"/>
    </row>
    <row r="56" spans="1:18" ht="15.9" customHeight="1" x14ac:dyDescent="0.25">
      <c r="A56" s="197"/>
      <c r="B56" s="400"/>
      <c r="C56" s="567"/>
      <c r="E56" s="400"/>
      <c r="F56" s="567"/>
      <c r="H56" s="400"/>
      <c r="I56" s="567"/>
      <c r="K56" s="400"/>
      <c r="L56" s="567"/>
      <c r="N56" s="400"/>
      <c r="O56" s="567"/>
      <c r="Q56" s="400"/>
      <c r="R56" s="567"/>
    </row>
    <row r="57" spans="1:18" ht="15.9" customHeight="1" x14ac:dyDescent="0.25">
      <c r="A57" s="197"/>
      <c r="B57" s="400"/>
      <c r="C57" s="567"/>
      <c r="E57" s="400"/>
      <c r="F57" s="567"/>
      <c r="H57" s="400"/>
      <c r="I57" s="567"/>
      <c r="K57" s="400"/>
      <c r="L57" s="567"/>
      <c r="N57" s="400"/>
      <c r="O57" s="567"/>
      <c r="Q57" s="400"/>
      <c r="R57" s="567"/>
    </row>
    <row r="58" spans="1:18" ht="15.9" customHeight="1" x14ac:dyDescent="0.25">
      <c r="A58" s="197"/>
      <c r="B58" s="400"/>
      <c r="C58" s="567"/>
      <c r="E58" s="400"/>
      <c r="F58" s="567"/>
      <c r="H58" s="400"/>
      <c r="I58" s="567"/>
      <c r="K58" s="400"/>
      <c r="L58" s="567"/>
      <c r="N58" s="400"/>
      <c r="O58" s="567"/>
      <c r="Q58" s="400"/>
      <c r="R58" s="567"/>
    </row>
    <row r="59" spans="1:18" ht="15.9" customHeight="1" x14ac:dyDescent="0.25">
      <c r="A59" s="197"/>
      <c r="B59" s="400"/>
      <c r="C59" s="567"/>
      <c r="E59" s="400"/>
      <c r="F59" s="567"/>
      <c r="H59" s="400"/>
      <c r="I59" s="567"/>
      <c r="K59" s="400"/>
      <c r="L59" s="567"/>
      <c r="N59" s="400"/>
      <c r="O59" s="567"/>
      <c r="Q59" s="400"/>
      <c r="R59" s="567"/>
    </row>
    <row r="60" spans="1:18" ht="15.9" customHeight="1" x14ac:dyDescent="0.25">
      <c r="A60" s="197"/>
      <c r="B60" s="400"/>
      <c r="C60" s="567"/>
      <c r="E60" s="400"/>
      <c r="F60" s="567"/>
      <c r="H60" s="400"/>
      <c r="I60" s="567"/>
      <c r="K60" s="400"/>
      <c r="L60" s="567"/>
      <c r="N60" s="400"/>
      <c r="O60" s="567"/>
      <c r="Q60" s="400"/>
      <c r="R60" s="567"/>
    </row>
    <row r="61" spans="1:18" ht="15.9" customHeight="1" x14ac:dyDescent="0.25">
      <c r="A61" s="197"/>
      <c r="B61" s="400"/>
      <c r="C61" s="567"/>
      <c r="E61" s="400"/>
      <c r="F61" s="567"/>
      <c r="H61" s="400"/>
      <c r="I61" s="567"/>
      <c r="K61" s="400"/>
      <c r="L61" s="567"/>
      <c r="N61" s="400"/>
      <c r="O61" s="567"/>
      <c r="Q61" s="400"/>
      <c r="R61" s="567"/>
    </row>
    <row r="62" spans="1:18" ht="15.9" customHeight="1" x14ac:dyDescent="0.25">
      <c r="A62" s="197"/>
      <c r="B62" s="1613"/>
      <c r="C62" s="1614"/>
      <c r="E62" s="1613"/>
      <c r="F62" s="1614"/>
      <c r="H62" s="1613"/>
      <c r="I62" s="1614"/>
      <c r="K62" s="1613"/>
      <c r="L62" s="1614"/>
      <c r="N62" s="1613"/>
      <c r="O62" s="1614"/>
      <c r="Q62" s="1613"/>
      <c r="R62" s="1614"/>
    </row>
    <row r="63" spans="1:18" ht="24.75" customHeight="1" x14ac:dyDescent="0.25">
      <c r="B63" s="1036"/>
      <c r="C63" s="925"/>
      <c r="D63" s="897" t="s">
        <v>751</v>
      </c>
      <c r="E63" s="925"/>
      <c r="F63" s="925"/>
      <c r="G63" s="925"/>
      <c r="H63" s="925"/>
      <c r="I63" s="925"/>
      <c r="J63" s="925"/>
      <c r="K63" s="925"/>
      <c r="L63" s="925"/>
      <c r="M63" s="925"/>
      <c r="N63" s="925"/>
      <c r="O63" s="925"/>
      <c r="P63" s="925"/>
      <c r="Q63" s="925"/>
      <c r="R63" s="926"/>
    </row>
  </sheetData>
  <mergeCells count="6">
    <mergeCell ref="B14:C14"/>
    <mergeCell ref="K14:L14"/>
    <mergeCell ref="N14:O14"/>
    <mergeCell ref="Q14:R14"/>
    <mergeCell ref="E14:F14"/>
    <mergeCell ref="H14:I14"/>
  </mergeCells>
  <conditionalFormatting sqref="E16 H16 K16 N16 Q16 B16">
    <cfRule type="expression" dxfId="1039" priority="12067">
      <formula>(B$3=1)</formula>
    </cfRule>
  </conditionalFormatting>
  <pageMargins left="0.7" right="0.7" top="0.75" bottom="0.75" header="0.3" footer="0.3"/>
  <pageSetup paperSize="9" orientation="portrait"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19458" r:id="rId4" name="Option Button 2">
              <controlPr defaultSize="0" autoFill="0" autoLine="0" autoPict="0">
                <anchor moveWithCells="1">
                  <from>
                    <xdr:col>1</xdr:col>
                    <xdr:colOff>152400</xdr:colOff>
                    <xdr:row>15</xdr:row>
                    <xdr:rowOff>45720</xdr:rowOff>
                  </from>
                  <to>
                    <xdr:col>1</xdr:col>
                    <xdr:colOff>457200</xdr:colOff>
                    <xdr:row>15</xdr:row>
                    <xdr:rowOff>266700</xdr:rowOff>
                  </to>
                </anchor>
              </controlPr>
            </control>
          </mc:Choice>
        </mc:AlternateContent>
        <mc:AlternateContent xmlns:mc="http://schemas.openxmlformats.org/markup-compatibility/2006">
          <mc:Choice Requires="x14">
            <control shapeId="19459" r:id="rId5" name="Option Button 3">
              <controlPr defaultSize="0" autoFill="0" autoLine="0" autoPict="0">
                <anchor moveWithCells="1">
                  <from>
                    <xdr:col>4</xdr:col>
                    <xdr:colOff>144780</xdr:colOff>
                    <xdr:row>15</xdr:row>
                    <xdr:rowOff>45720</xdr:rowOff>
                  </from>
                  <to>
                    <xdr:col>4</xdr:col>
                    <xdr:colOff>449580</xdr:colOff>
                    <xdr:row>15</xdr:row>
                    <xdr:rowOff>266700</xdr:rowOff>
                  </to>
                </anchor>
              </controlPr>
            </control>
          </mc:Choice>
        </mc:AlternateContent>
        <mc:AlternateContent xmlns:mc="http://schemas.openxmlformats.org/markup-compatibility/2006">
          <mc:Choice Requires="x14">
            <control shapeId="19461" r:id="rId6" name="Option Button 5">
              <controlPr defaultSize="0" autoFill="0" autoLine="0" autoPict="0">
                <anchor moveWithCells="1">
                  <from>
                    <xdr:col>7</xdr:col>
                    <xdr:colOff>144780</xdr:colOff>
                    <xdr:row>15</xdr:row>
                    <xdr:rowOff>45720</xdr:rowOff>
                  </from>
                  <to>
                    <xdr:col>7</xdr:col>
                    <xdr:colOff>449580</xdr:colOff>
                    <xdr:row>15</xdr:row>
                    <xdr:rowOff>266700</xdr:rowOff>
                  </to>
                </anchor>
              </controlPr>
            </control>
          </mc:Choice>
        </mc:AlternateContent>
        <mc:AlternateContent xmlns:mc="http://schemas.openxmlformats.org/markup-compatibility/2006">
          <mc:Choice Requires="x14">
            <control shapeId="19462" r:id="rId7" name="Option Button 6">
              <controlPr defaultSize="0" autoFill="0" autoLine="0" autoPict="0">
                <anchor moveWithCells="1">
                  <from>
                    <xdr:col>10</xdr:col>
                    <xdr:colOff>144780</xdr:colOff>
                    <xdr:row>15</xdr:row>
                    <xdr:rowOff>45720</xdr:rowOff>
                  </from>
                  <to>
                    <xdr:col>10</xdr:col>
                    <xdr:colOff>449580</xdr:colOff>
                    <xdr:row>15</xdr:row>
                    <xdr:rowOff>266700</xdr:rowOff>
                  </to>
                </anchor>
              </controlPr>
            </control>
          </mc:Choice>
        </mc:AlternateContent>
        <mc:AlternateContent xmlns:mc="http://schemas.openxmlformats.org/markup-compatibility/2006">
          <mc:Choice Requires="x14">
            <control shapeId="19463" r:id="rId8" name="Option Button 7">
              <controlPr defaultSize="0" autoFill="0" autoLine="0" autoPict="0">
                <anchor moveWithCells="1">
                  <from>
                    <xdr:col>13</xdr:col>
                    <xdr:colOff>144780</xdr:colOff>
                    <xdr:row>15</xdr:row>
                    <xdr:rowOff>45720</xdr:rowOff>
                  </from>
                  <to>
                    <xdr:col>13</xdr:col>
                    <xdr:colOff>449580</xdr:colOff>
                    <xdr:row>15</xdr:row>
                    <xdr:rowOff>266700</xdr:rowOff>
                  </to>
                </anchor>
              </controlPr>
            </control>
          </mc:Choice>
        </mc:AlternateContent>
        <mc:AlternateContent xmlns:mc="http://schemas.openxmlformats.org/markup-compatibility/2006">
          <mc:Choice Requires="x14">
            <control shapeId="19464" r:id="rId9" name="Option Button 8">
              <controlPr defaultSize="0" autoFill="0" autoLine="0" autoPict="0">
                <anchor moveWithCells="1">
                  <from>
                    <xdr:col>16</xdr:col>
                    <xdr:colOff>144780</xdr:colOff>
                    <xdr:row>15</xdr:row>
                    <xdr:rowOff>45720</xdr:rowOff>
                  </from>
                  <to>
                    <xdr:col>16</xdr:col>
                    <xdr:colOff>449580</xdr:colOff>
                    <xdr:row>15</xdr:row>
                    <xdr:rowOff>266700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FCEC2-4506-4F20-964B-2FF60E7E5D14}">
  <dimension ref="A1:P63"/>
  <sheetViews>
    <sheetView showGridLines="0" topLeftCell="A4" workbookViewId="0">
      <selection activeCell="Q32" sqref="Q32"/>
    </sheetView>
  </sheetViews>
  <sheetFormatPr defaultColWidth="9.109375" defaultRowHeight="13.8" x14ac:dyDescent="0.25"/>
  <cols>
    <col min="1" max="1" width="3.109375" style="749" customWidth="1"/>
    <col min="2" max="2" width="19" style="749" customWidth="1"/>
    <col min="3" max="4" width="7.6640625" style="749" customWidth="1"/>
    <col min="5" max="5" width="9.33203125" style="749" customWidth="1"/>
    <col min="6" max="6" width="7.6640625" style="749" customWidth="1"/>
    <col min="7" max="7" width="21.109375" style="749" customWidth="1"/>
    <col min="8" max="8" width="8.109375" style="749" customWidth="1"/>
    <col min="9" max="9" width="11.88671875" style="749" customWidth="1"/>
    <col min="10" max="10" width="9.33203125" style="749" customWidth="1"/>
    <col min="11" max="11" width="8.5546875" style="749" customWidth="1"/>
    <col min="12" max="12" width="10.109375" style="749" customWidth="1"/>
    <col min="13" max="13" width="7.44140625" style="749" customWidth="1"/>
    <col min="14" max="14" width="7.6640625" style="749" customWidth="1"/>
    <col min="15" max="16384" width="9.109375" style="749"/>
  </cols>
  <sheetData>
    <row r="1" spans="1:16" hidden="1" x14ac:dyDescent="0.25">
      <c r="A1" s="755"/>
      <c r="B1" s="755"/>
      <c r="C1" s="755"/>
      <c r="D1" s="755"/>
      <c r="E1" s="755"/>
      <c r="F1" s="755"/>
      <c r="G1" s="755"/>
      <c r="H1" s="755"/>
      <c r="I1" s="755"/>
      <c r="J1" s="755"/>
      <c r="K1" s="755"/>
      <c r="L1" s="751">
        <f>INDEX(I8:I41,MATCH(L5,H8:H41,0))</f>
        <v>1.2600333333333331</v>
      </c>
      <c r="M1" s="755"/>
      <c r="N1" s="755"/>
    </row>
    <row r="2" spans="1:16" ht="14.1" hidden="1" customHeight="1" x14ac:dyDescent="0.25">
      <c r="A2" s="755"/>
      <c r="B2" s="755"/>
      <c r="C2" s="755"/>
      <c r="D2" s="755"/>
      <c r="E2" s="755"/>
      <c r="F2" s="755"/>
      <c r="G2" s="755"/>
      <c r="H2" s="755"/>
      <c r="I2" s="755"/>
      <c r="J2" s="755"/>
      <c r="K2" s="755"/>
      <c r="L2" s="755"/>
      <c r="M2" s="755"/>
      <c r="N2" s="755"/>
    </row>
    <row r="3" spans="1:16" ht="36" customHeight="1" x14ac:dyDescent="0.5">
      <c r="B3" s="1617" t="s">
        <v>3899</v>
      </c>
      <c r="G3" s="3351" t="s">
        <v>1790</v>
      </c>
      <c r="H3" s="3351"/>
      <c r="I3" s="3351"/>
      <c r="J3" s="3351"/>
      <c r="K3" s="3351"/>
      <c r="L3" s="3351"/>
    </row>
    <row r="4" spans="1:16" ht="13.5" customHeight="1" thickBot="1" x14ac:dyDescent="0.3">
      <c r="G4" s="3352"/>
      <c r="H4" s="3352"/>
      <c r="I4" s="3352"/>
      <c r="J4" s="3352"/>
      <c r="K4" s="3352"/>
      <c r="L4" s="3352"/>
    </row>
    <row r="5" spans="1:16" ht="35.25" customHeight="1" thickBot="1" x14ac:dyDescent="0.3">
      <c r="B5" s="3355" t="s">
        <v>4171</v>
      </c>
      <c r="C5" s="3356"/>
      <c r="D5" s="3356"/>
      <c r="E5" s="3357"/>
      <c r="G5" s="3358" t="s">
        <v>3971</v>
      </c>
      <c r="H5" s="3359"/>
      <c r="I5" s="3359"/>
      <c r="J5" s="3359"/>
      <c r="K5" s="3359"/>
      <c r="L5" s="2931" t="str">
        <f>'1 Setup'!I60</f>
        <v>GBP</v>
      </c>
    </row>
    <row r="6" spans="1:16" ht="34.5" customHeight="1" thickBot="1" x14ac:dyDescent="0.3">
      <c r="B6" s="2932" t="s">
        <v>448</v>
      </c>
      <c r="C6" s="578" t="s">
        <v>449</v>
      </c>
      <c r="D6" s="527" t="s">
        <v>367</v>
      </c>
      <c r="E6" s="528" t="s">
        <v>1793</v>
      </c>
      <c r="G6" s="579" t="s">
        <v>54</v>
      </c>
      <c r="H6" s="578" t="s">
        <v>449</v>
      </c>
      <c r="I6" s="3360" t="s">
        <v>1784</v>
      </c>
      <c r="J6" s="3361"/>
      <c r="K6" s="577" t="s">
        <v>1793</v>
      </c>
      <c r="L6" s="1211" t="str">
        <f>"Budgeted 
x-Rate
with "&amp;L5</f>
        <v>Budgeted 
x-Rate
with GBP</v>
      </c>
      <c r="N6" s="580"/>
    </row>
    <row r="7" spans="1:16" ht="3.6" customHeight="1" thickTop="1" thickBot="1" x14ac:dyDescent="0.3">
      <c r="B7" s="2933"/>
      <c r="C7" s="2934"/>
      <c r="D7" s="2935"/>
      <c r="E7" s="2936"/>
      <c r="G7" s="2933"/>
      <c r="H7" s="2952" t="s">
        <v>3900</v>
      </c>
      <c r="I7" s="2937"/>
      <c r="J7" s="2938"/>
      <c r="K7" s="2934"/>
      <c r="L7" s="2939"/>
      <c r="N7" s="580"/>
    </row>
    <row r="8" spans="1:16" ht="15.9" customHeight="1" thickTop="1" x14ac:dyDescent="0.25">
      <c r="B8" s="526" t="s">
        <v>408</v>
      </c>
      <c r="C8" s="558" t="s">
        <v>2</v>
      </c>
      <c r="D8" s="1721">
        <v>29</v>
      </c>
      <c r="E8" s="2940" t="s">
        <v>3901</v>
      </c>
      <c r="G8" s="2941" t="s">
        <v>408</v>
      </c>
      <c r="H8" s="2116" t="s">
        <v>2</v>
      </c>
      <c r="I8" s="2942">
        <v>1</v>
      </c>
      <c r="J8" s="2943">
        <v>1</v>
      </c>
      <c r="K8" s="1794"/>
      <c r="L8" s="2944">
        <f>IF(I8=0,1,I8/$L$1)</f>
        <v>0.79362979815348811</v>
      </c>
      <c r="N8" s="580"/>
    </row>
    <row r="9" spans="1:16" ht="15.9" customHeight="1" x14ac:dyDescent="0.25">
      <c r="B9" s="526" t="s">
        <v>417</v>
      </c>
      <c r="C9" s="559" t="s">
        <v>353</v>
      </c>
      <c r="D9" s="1721">
        <v>107</v>
      </c>
      <c r="E9" s="1714" t="s">
        <v>1781</v>
      </c>
      <c r="G9" s="526" t="s">
        <v>417</v>
      </c>
      <c r="H9" s="559" t="s">
        <v>353</v>
      </c>
      <c r="I9" s="3045">
        <v>0.27226442320781941</v>
      </c>
      <c r="J9" s="2945">
        <f>1/I9</f>
        <v>3.6729000000000003</v>
      </c>
      <c r="K9" s="1748" t="s">
        <v>3972</v>
      </c>
      <c r="L9" s="2944">
        <f t="shared" ref="L9:L40" si="0">IF(I9=0,1,I9/$L$1)</f>
        <v>0.21607715923479759</v>
      </c>
      <c r="N9" s="580"/>
      <c r="O9" s="570"/>
      <c r="P9" s="570"/>
    </row>
    <row r="10" spans="1:16" ht="15.9" customHeight="1" x14ac:dyDescent="0.25">
      <c r="B10" s="526" t="s">
        <v>410</v>
      </c>
      <c r="C10" s="559" t="s">
        <v>3</v>
      </c>
      <c r="D10" s="1721">
        <v>38</v>
      </c>
      <c r="E10" s="1714" t="s">
        <v>1781</v>
      </c>
      <c r="G10" s="524" t="s">
        <v>410</v>
      </c>
      <c r="H10" s="559" t="s">
        <v>3</v>
      </c>
      <c r="I10" s="3045">
        <v>0.69133333333333324</v>
      </c>
      <c r="J10" s="2945">
        <f t="shared" ref="J10:J40" si="1">1/I10</f>
        <v>1.4464802314368372</v>
      </c>
      <c r="K10" s="1748" t="s">
        <v>3972</v>
      </c>
      <c r="L10" s="2944">
        <f t="shared" si="0"/>
        <v>0.54866273379011143</v>
      </c>
      <c r="N10" s="580"/>
      <c r="O10" s="570"/>
      <c r="P10" s="570"/>
    </row>
    <row r="11" spans="1:16" ht="15.9" customHeight="1" x14ac:dyDescent="0.25">
      <c r="B11" s="524" t="s">
        <v>425</v>
      </c>
      <c r="C11" s="559" t="s">
        <v>405</v>
      </c>
      <c r="D11" s="1722">
        <v>11</v>
      </c>
      <c r="E11" s="1714" t="s">
        <v>1781</v>
      </c>
      <c r="G11" s="524" t="s">
        <v>425</v>
      </c>
      <c r="H11" s="558" t="s">
        <v>405</v>
      </c>
      <c r="I11" s="1748">
        <v>2.63</v>
      </c>
      <c r="J11" s="2945">
        <v>0.38</v>
      </c>
      <c r="K11" s="1748"/>
      <c r="L11" s="2944">
        <f t="shared" si="0"/>
        <v>2.0872463691436738</v>
      </c>
      <c r="N11" s="580"/>
      <c r="O11" s="570"/>
      <c r="P11" s="570"/>
    </row>
    <row r="12" spans="1:16" ht="15.9" customHeight="1" x14ac:dyDescent="0.25">
      <c r="B12" s="524" t="s">
        <v>409</v>
      </c>
      <c r="C12" s="558" t="s">
        <v>371</v>
      </c>
      <c r="D12" s="1721">
        <v>39</v>
      </c>
      <c r="E12" s="1714" t="s">
        <v>1781</v>
      </c>
      <c r="G12" s="524" t="s">
        <v>409</v>
      </c>
      <c r="H12" s="559" t="s">
        <v>371</v>
      </c>
      <c r="I12" s="3045">
        <v>0.73944443075102906</v>
      </c>
      <c r="J12" s="2945">
        <f t="shared" si="1"/>
        <v>1.3523666666666667</v>
      </c>
      <c r="K12" s="1748" t="s">
        <v>3972</v>
      </c>
      <c r="L12" s="2946">
        <f t="shared" si="0"/>
        <v>0.58684513432266017</v>
      </c>
      <c r="N12" s="580"/>
      <c r="O12" s="570"/>
      <c r="P12" s="570"/>
    </row>
    <row r="13" spans="1:16" ht="15.9" customHeight="1" x14ac:dyDescent="0.25">
      <c r="B13" s="524" t="s">
        <v>399</v>
      </c>
      <c r="C13" s="559" t="s">
        <v>355</v>
      </c>
      <c r="D13" s="1722">
        <v>28</v>
      </c>
      <c r="E13" s="1714" t="s">
        <v>1781</v>
      </c>
      <c r="G13" s="524" t="s">
        <v>399</v>
      </c>
      <c r="H13" s="559" t="s">
        <v>355</v>
      </c>
      <c r="I13" s="3045">
        <v>0.99281861203958033</v>
      </c>
      <c r="J13" s="2945">
        <f t="shared" si="1"/>
        <v>1.0072333333333334</v>
      </c>
      <c r="K13" s="1748" t="s">
        <v>3972</v>
      </c>
      <c r="L13" s="2946">
        <f t="shared" si="0"/>
        <v>0.78793043467599844</v>
      </c>
      <c r="N13" s="580"/>
      <c r="O13" s="570"/>
      <c r="P13" s="570"/>
    </row>
    <row r="14" spans="1:16" ht="15.9" customHeight="1" x14ac:dyDescent="0.25">
      <c r="B14" s="524" t="s">
        <v>421</v>
      </c>
      <c r="C14" s="559" t="s">
        <v>401</v>
      </c>
      <c r="D14" s="1722">
        <v>19314</v>
      </c>
      <c r="E14" s="1714" t="s">
        <v>1781</v>
      </c>
      <c r="G14" s="524" t="s">
        <v>421</v>
      </c>
      <c r="H14" s="559" t="s">
        <v>401</v>
      </c>
      <c r="I14" s="3045">
        <v>1.4133576430847945E-3</v>
      </c>
      <c r="J14" s="2945">
        <f t="shared" si="1"/>
        <v>707.53499999999997</v>
      </c>
      <c r="K14" s="1748" t="s">
        <v>3972</v>
      </c>
      <c r="L14" s="2946">
        <f t="shared" si="0"/>
        <v>1.1216827410000752E-3</v>
      </c>
      <c r="N14" s="580"/>
      <c r="O14" s="570"/>
      <c r="P14" s="570"/>
    </row>
    <row r="15" spans="1:16" ht="15.9" customHeight="1" x14ac:dyDescent="0.25">
      <c r="B15" s="524" t="s">
        <v>419</v>
      </c>
      <c r="C15" s="559" t="s">
        <v>42</v>
      </c>
      <c r="D15" s="1722">
        <v>197</v>
      </c>
      <c r="E15" s="1714" t="s">
        <v>1781</v>
      </c>
      <c r="G15" s="524" t="s">
        <v>419</v>
      </c>
      <c r="H15" s="559" t="s">
        <v>42</v>
      </c>
      <c r="I15" s="3045">
        <v>0.14473804825566527</v>
      </c>
      <c r="J15" s="2945">
        <f t="shared" si="1"/>
        <v>6.9090333333333342</v>
      </c>
      <c r="K15" s="1748" t="s">
        <v>3972</v>
      </c>
      <c r="L15" s="2946">
        <f t="shared" si="0"/>
        <v>0.11486842802227346</v>
      </c>
      <c r="N15" s="580"/>
      <c r="O15" s="570"/>
      <c r="P15" s="570"/>
    </row>
    <row r="16" spans="1:16" ht="15.9" customHeight="1" x14ac:dyDescent="0.25">
      <c r="B16" s="526" t="s">
        <v>397</v>
      </c>
      <c r="C16" s="559" t="s">
        <v>43</v>
      </c>
      <c r="D16" s="1721">
        <v>26</v>
      </c>
      <c r="E16" s="1714" t="s">
        <v>1781</v>
      </c>
      <c r="G16" s="524" t="s">
        <v>397</v>
      </c>
      <c r="H16" s="559" t="s">
        <v>43</v>
      </c>
      <c r="I16" s="3045">
        <v>1.1135666666666666</v>
      </c>
      <c r="J16" s="2945">
        <f t="shared" si="1"/>
        <v>0.89801538599694686</v>
      </c>
      <c r="K16" s="1748" t="s">
        <v>3972</v>
      </c>
      <c r="L16" s="2946">
        <f t="shared" si="0"/>
        <v>0.8837596888971192</v>
      </c>
      <c r="N16" s="580"/>
      <c r="O16" s="570"/>
      <c r="P16" s="570"/>
    </row>
    <row r="17" spans="2:16" ht="15.9" customHeight="1" x14ac:dyDescent="0.25">
      <c r="B17" s="524" t="s">
        <v>428</v>
      </c>
      <c r="C17" s="559" t="s">
        <v>44</v>
      </c>
      <c r="D17" s="1722">
        <v>23</v>
      </c>
      <c r="E17" s="1714" t="s">
        <v>1781</v>
      </c>
      <c r="G17" s="524" t="s">
        <v>3902</v>
      </c>
      <c r="H17" s="559" t="s">
        <v>44</v>
      </c>
      <c r="I17" s="3045">
        <v>1.2600333333333331</v>
      </c>
      <c r="J17" s="2945">
        <f t="shared" si="1"/>
        <v>0.79362979815348811</v>
      </c>
      <c r="K17" s="1748" t="s">
        <v>3972</v>
      </c>
      <c r="L17" s="2946">
        <f t="shared" si="0"/>
        <v>1</v>
      </c>
      <c r="N17" s="580"/>
      <c r="O17" s="570"/>
      <c r="P17" s="570"/>
    </row>
    <row r="18" spans="2:16" ht="15.9" customHeight="1" x14ac:dyDescent="0.25">
      <c r="B18" s="524" t="s">
        <v>413</v>
      </c>
      <c r="C18" s="559" t="s">
        <v>45</v>
      </c>
      <c r="D18" s="1722">
        <v>226</v>
      </c>
      <c r="E18" s="1714" t="s">
        <v>1781</v>
      </c>
      <c r="G18" s="524" t="s">
        <v>413</v>
      </c>
      <c r="H18" s="559" t="s">
        <v>45</v>
      </c>
      <c r="I18" s="3045">
        <v>0.12744048529336802</v>
      </c>
      <c r="J18" s="2945">
        <f t="shared" si="1"/>
        <v>7.8467999999999991</v>
      </c>
      <c r="K18" s="1748" t="s">
        <v>3972</v>
      </c>
      <c r="L18" s="2946">
        <f t="shared" si="0"/>
        <v>0.10114056661995824</v>
      </c>
      <c r="N18" s="580"/>
      <c r="O18" s="570"/>
      <c r="P18" s="570"/>
    </row>
    <row r="19" spans="2:16" ht="15.9" customHeight="1" x14ac:dyDescent="0.25">
      <c r="B19" s="524" t="s">
        <v>447</v>
      </c>
      <c r="C19" s="559" t="s">
        <v>354</v>
      </c>
      <c r="D19" s="1722"/>
      <c r="E19" s="1714"/>
      <c r="G19" s="524" t="s">
        <v>447</v>
      </c>
      <c r="H19" s="559" t="s">
        <v>354</v>
      </c>
      <c r="I19" s="3045">
        <f>1/J19</f>
        <v>7.0771408351026188E-5</v>
      </c>
      <c r="J19" s="3112">
        <v>14130</v>
      </c>
      <c r="K19" s="1748"/>
      <c r="L19" s="2946">
        <f t="shared" si="0"/>
        <v>5.6166298524663001E-5</v>
      </c>
      <c r="N19" s="580"/>
      <c r="O19" s="570"/>
      <c r="P19" s="570"/>
    </row>
    <row r="20" spans="2:16" ht="15.9" customHeight="1" x14ac:dyDescent="0.25">
      <c r="B20" s="524" t="s">
        <v>3974</v>
      </c>
      <c r="C20" s="559"/>
      <c r="D20" s="1721"/>
      <c r="E20" s="1714"/>
      <c r="G20" s="524" t="s">
        <v>3974</v>
      </c>
      <c r="H20" s="559" t="s">
        <v>3973</v>
      </c>
      <c r="I20" s="3045">
        <v>0.27571755493672284</v>
      </c>
      <c r="J20" s="2945">
        <f t="shared" si="1"/>
        <v>3.6268999999999996</v>
      </c>
      <c r="K20" s="1748" t="s">
        <v>3972</v>
      </c>
      <c r="L20" s="2946">
        <f t="shared" si="0"/>
        <v>0.21881766747180462</v>
      </c>
      <c r="N20" s="580"/>
      <c r="O20" s="570"/>
      <c r="P20" s="570"/>
    </row>
    <row r="21" spans="2:16" ht="15.9" customHeight="1" x14ac:dyDescent="0.25">
      <c r="B21" s="1705" t="s">
        <v>446</v>
      </c>
      <c r="C21" s="1706" t="s">
        <v>352</v>
      </c>
      <c r="D21" s="1708"/>
      <c r="E21" s="1707"/>
      <c r="G21" s="524" t="s">
        <v>446</v>
      </c>
      <c r="H21" s="559" t="s">
        <v>352</v>
      </c>
      <c r="I21" s="3045">
        <v>1.4326127609504144E-2</v>
      </c>
      <c r="J21" s="2945">
        <f t="shared" si="1"/>
        <v>69.802533333333329</v>
      </c>
      <c r="K21" s="1748" t="s">
        <v>3972</v>
      </c>
      <c r="L21" s="2946">
        <f t="shared" si="0"/>
        <v>1.1369641763051887E-2</v>
      </c>
      <c r="N21" s="580"/>
      <c r="O21" s="570"/>
      <c r="P21" s="570"/>
    </row>
    <row r="22" spans="2:16" ht="15.9" customHeight="1" x14ac:dyDescent="0.25">
      <c r="B22" s="524" t="s">
        <v>3903</v>
      </c>
      <c r="C22" s="559" t="s">
        <v>3780</v>
      </c>
      <c r="D22" s="1722"/>
      <c r="E22" s="1714"/>
      <c r="G22" s="524" t="s">
        <v>3903</v>
      </c>
      <c r="H22" s="559" t="s">
        <v>3780</v>
      </c>
      <c r="I22" s="3045">
        <v>9.1463414634146353E-3</v>
      </c>
      <c r="J22" s="2945">
        <f t="shared" si="1"/>
        <v>109.33333333333331</v>
      </c>
      <c r="K22" s="1748" t="s">
        <v>3972</v>
      </c>
      <c r="L22" s="2946">
        <f t="shared" si="0"/>
        <v>7.2588091294526367E-3</v>
      </c>
      <c r="N22" s="580"/>
      <c r="O22" s="570"/>
      <c r="P22" s="570"/>
    </row>
    <row r="23" spans="2:16" ht="15.9" customHeight="1" x14ac:dyDescent="0.25">
      <c r="B23" s="524" t="s">
        <v>3975</v>
      </c>
      <c r="C23" s="559"/>
      <c r="D23" s="1722"/>
      <c r="E23" s="1714"/>
      <c r="G23" s="524" t="s">
        <v>3975</v>
      </c>
      <c r="H23" s="559" t="s">
        <v>3786</v>
      </c>
      <c r="I23" s="3045">
        <v>8.393721496320753E-4</v>
      </c>
      <c r="J23" s="2945">
        <f t="shared" si="1"/>
        <v>1191.3666666666666</v>
      </c>
      <c r="K23" s="1748" t="s">
        <v>3972</v>
      </c>
      <c r="L23" s="2946">
        <f t="shared" si="0"/>
        <v>6.6615074968816334E-4</v>
      </c>
      <c r="N23" s="580"/>
      <c r="O23" s="570"/>
      <c r="P23" s="570"/>
    </row>
    <row r="24" spans="2:16" ht="15.9" customHeight="1" x14ac:dyDescent="0.25">
      <c r="B24" s="524" t="s">
        <v>426</v>
      </c>
      <c r="C24" s="559" t="s">
        <v>406</v>
      </c>
      <c r="D24" s="1722">
        <v>8</v>
      </c>
      <c r="E24" s="1714" t="s">
        <v>1781</v>
      </c>
      <c r="G24" s="524" t="s">
        <v>426</v>
      </c>
      <c r="H24" s="559" t="s">
        <v>406</v>
      </c>
      <c r="I24" s="3045">
        <v>3.2891130358513321</v>
      </c>
      <c r="J24" s="2945">
        <f t="shared" si="1"/>
        <v>0.30403333333333332</v>
      </c>
      <c r="K24" s="1748" t="s">
        <v>3972</v>
      </c>
      <c r="L24" s="2946">
        <f t="shared" si="0"/>
        <v>2.6103381147466993</v>
      </c>
      <c r="N24" s="580"/>
      <c r="O24" s="570"/>
      <c r="P24" s="570"/>
    </row>
    <row r="25" spans="2:16" ht="15.9" customHeight="1" x14ac:dyDescent="0.25">
      <c r="B25" s="524" t="s">
        <v>602</v>
      </c>
      <c r="C25" s="559" t="s">
        <v>601</v>
      </c>
      <c r="D25" s="1722"/>
      <c r="E25" s="1714"/>
      <c r="G25" s="524" t="s">
        <v>602</v>
      </c>
      <c r="H25" s="559" t="s">
        <v>601</v>
      </c>
      <c r="I25" s="3045">
        <v>3.770857555855828E-4</v>
      </c>
      <c r="J25" s="2945">
        <f t="shared" si="1"/>
        <v>2651.9166666666665</v>
      </c>
      <c r="K25" s="1748" t="s">
        <v>3972</v>
      </c>
      <c r="L25" s="2946">
        <f t="shared" si="0"/>
        <v>2.9926649209194165E-4</v>
      </c>
      <c r="N25" s="580"/>
      <c r="O25" s="570"/>
      <c r="P25" s="570"/>
    </row>
    <row r="26" spans="2:16" ht="15.9" customHeight="1" x14ac:dyDescent="0.25">
      <c r="B26" s="524" t="s">
        <v>398</v>
      </c>
      <c r="C26" s="558" t="s">
        <v>396</v>
      </c>
      <c r="D26" s="1721">
        <v>527</v>
      </c>
      <c r="E26" s="1714" t="s">
        <v>1781</v>
      </c>
      <c r="G26" s="524" t="s">
        <v>398</v>
      </c>
      <c r="H26" s="559" t="s">
        <v>396</v>
      </c>
      <c r="I26" s="3045">
        <v>5.1787890610164922E-2</v>
      </c>
      <c r="J26" s="2945">
        <f t="shared" si="1"/>
        <v>19.309533333333334</v>
      </c>
      <c r="K26" s="1748" t="s">
        <v>3972</v>
      </c>
      <c r="L26" s="2946">
        <f t="shared" si="0"/>
        <v>4.1100413171740111E-2</v>
      </c>
      <c r="N26" s="580"/>
      <c r="O26" s="570"/>
      <c r="P26" s="570"/>
    </row>
    <row r="27" spans="2:16" ht="15.9" customHeight="1" x14ac:dyDescent="0.25">
      <c r="B27" s="526" t="s">
        <v>418</v>
      </c>
      <c r="C27" s="559" t="s">
        <v>10</v>
      </c>
      <c r="D27" s="1721">
        <v>124</v>
      </c>
      <c r="E27" s="1714" t="s">
        <v>1781</v>
      </c>
      <c r="G27" s="524" t="s">
        <v>418</v>
      </c>
      <c r="H27" s="559" t="s">
        <v>10</v>
      </c>
      <c r="I27" s="3045">
        <v>0.23854961832061067</v>
      </c>
      <c r="J27" s="2945">
        <f t="shared" si="1"/>
        <v>4.1920000000000002</v>
      </c>
      <c r="K27" s="1748" t="s">
        <v>3972</v>
      </c>
      <c r="L27" s="2946">
        <f t="shared" si="0"/>
        <v>0.18932008543737788</v>
      </c>
      <c r="N27" s="580"/>
      <c r="O27" s="570"/>
      <c r="P27" s="570"/>
    </row>
    <row r="28" spans="2:16" ht="15.9" customHeight="1" x14ac:dyDescent="0.25">
      <c r="B28" s="526" t="s">
        <v>411</v>
      </c>
      <c r="C28" s="559" t="s">
        <v>11</v>
      </c>
      <c r="D28" s="1721">
        <v>40</v>
      </c>
      <c r="E28" s="1714" t="s">
        <v>1781</v>
      </c>
      <c r="G28" s="524" t="s">
        <v>411</v>
      </c>
      <c r="H28" s="559" t="s">
        <v>11</v>
      </c>
      <c r="I28" s="3045">
        <v>0.65096666666666669</v>
      </c>
      <c r="J28" s="2945">
        <f t="shared" si="1"/>
        <v>1.5361769675866659</v>
      </c>
      <c r="K28" s="1748" t="s">
        <v>3972</v>
      </c>
      <c r="L28" s="2946">
        <f t="shared" si="0"/>
        <v>0.51662654427131571</v>
      </c>
      <c r="N28" s="580"/>
      <c r="O28" s="570"/>
      <c r="P28" s="570"/>
    </row>
    <row r="29" spans="2:16" ht="15.9" customHeight="1" x14ac:dyDescent="0.25">
      <c r="B29" s="526" t="s">
        <v>416</v>
      </c>
      <c r="C29" s="559" t="s">
        <v>356</v>
      </c>
      <c r="D29" s="1721">
        <v>11</v>
      </c>
      <c r="E29" s="1714" t="s">
        <v>1781</v>
      </c>
      <c r="G29" s="524" t="s">
        <v>416</v>
      </c>
      <c r="H29" s="559" t="s">
        <v>356</v>
      </c>
      <c r="I29" s="3045">
        <v>2.5971327654269687</v>
      </c>
      <c r="J29" s="2945">
        <f t="shared" si="1"/>
        <v>0.38503999999999999</v>
      </c>
      <c r="K29" s="1748" t="s">
        <v>3972</v>
      </c>
      <c r="L29" s="2946">
        <f t="shared" si="0"/>
        <v>2.0611619524036158</v>
      </c>
      <c r="N29" s="580"/>
      <c r="O29" s="570"/>
      <c r="P29" s="570"/>
    </row>
    <row r="30" spans="2:16" ht="15.9" customHeight="1" x14ac:dyDescent="0.25">
      <c r="B30" s="524" t="s">
        <v>422</v>
      </c>
      <c r="C30" s="559" t="s">
        <v>402</v>
      </c>
      <c r="D30" s="1722">
        <v>95</v>
      </c>
      <c r="E30" s="1714" t="s">
        <v>1781</v>
      </c>
      <c r="G30" s="524" t="s">
        <v>3904</v>
      </c>
      <c r="H30" s="559" t="s">
        <v>402</v>
      </c>
      <c r="I30" s="3045">
        <v>0.29757033818868933</v>
      </c>
      <c r="J30" s="2945">
        <f t="shared" si="1"/>
        <v>3.3605500000000004</v>
      </c>
      <c r="K30" s="1748" t="s">
        <v>3972</v>
      </c>
      <c r="L30" s="2946">
        <f t="shared" si="0"/>
        <v>0.23616068743315471</v>
      </c>
      <c r="N30" s="580"/>
      <c r="O30" s="570"/>
      <c r="P30" s="570"/>
    </row>
    <row r="31" spans="2:16" ht="15.9" customHeight="1" x14ac:dyDescent="0.25">
      <c r="B31" s="524" t="s">
        <v>414</v>
      </c>
      <c r="C31" s="559" t="s">
        <v>40</v>
      </c>
      <c r="D31" s="1722">
        <v>1447</v>
      </c>
      <c r="E31" s="1714" t="s">
        <v>1781</v>
      </c>
      <c r="G31" s="524" t="s">
        <v>414</v>
      </c>
      <c r="H31" s="559" t="s">
        <v>40</v>
      </c>
      <c r="I31" s="3045">
        <v>1.9143763280985777E-2</v>
      </c>
      <c r="J31" s="2945">
        <f t="shared" si="1"/>
        <v>52.236333333333327</v>
      </c>
      <c r="K31" s="1748" t="s">
        <v>3972</v>
      </c>
      <c r="L31" s="2946">
        <f t="shared" si="0"/>
        <v>1.5193060988586901E-2</v>
      </c>
      <c r="N31" s="580"/>
      <c r="O31" s="570"/>
      <c r="P31" s="570"/>
    </row>
    <row r="32" spans="2:16" ht="15.9" customHeight="1" x14ac:dyDescent="0.25">
      <c r="B32" s="524" t="s">
        <v>3905</v>
      </c>
      <c r="C32" s="559" t="s">
        <v>738</v>
      </c>
      <c r="D32" s="1722"/>
      <c r="E32" s="1714"/>
      <c r="G32" s="524" t="s">
        <v>3905</v>
      </c>
      <c r="H32" s="559" t="s">
        <v>738</v>
      </c>
      <c r="I32" s="3045">
        <v>0.259576198593097</v>
      </c>
      <c r="J32" s="2945">
        <f t="shared" si="1"/>
        <v>3.8524333333333334</v>
      </c>
      <c r="K32" s="1748" t="s">
        <v>3972</v>
      </c>
      <c r="L32" s="2946">
        <f t="shared" si="0"/>
        <v>0.20600740609488932</v>
      </c>
      <c r="N32" s="580"/>
      <c r="O32" s="570"/>
      <c r="P32" s="570"/>
    </row>
    <row r="33" spans="2:16" ht="15.9" customHeight="1" x14ac:dyDescent="0.25">
      <c r="B33" s="526" t="s">
        <v>424</v>
      </c>
      <c r="C33" s="559" t="s">
        <v>404</v>
      </c>
      <c r="D33" s="1721">
        <v>105</v>
      </c>
      <c r="E33" s="1714" t="s">
        <v>1781</v>
      </c>
      <c r="F33" s="519"/>
      <c r="G33" s="526" t="s">
        <v>424</v>
      </c>
      <c r="H33" s="559" t="s">
        <v>404</v>
      </c>
      <c r="I33" s="3045">
        <v>0.2745970288601477</v>
      </c>
      <c r="J33" s="2945">
        <f t="shared" si="1"/>
        <v>3.6417000000000006</v>
      </c>
      <c r="K33" s="1748" t="s">
        <v>3972</v>
      </c>
      <c r="L33" s="2946">
        <f t="shared" si="0"/>
        <v>0.21792838458782657</v>
      </c>
      <c r="N33" s="580"/>
      <c r="O33" s="570"/>
      <c r="P33" s="570"/>
    </row>
    <row r="34" spans="2:16" ht="15.9" customHeight="1" x14ac:dyDescent="0.25">
      <c r="B34" s="526" t="s">
        <v>3976</v>
      </c>
      <c r="C34" s="559"/>
      <c r="D34" s="1721"/>
      <c r="E34" s="1714"/>
      <c r="F34" s="519"/>
      <c r="G34" s="526" t="s">
        <v>3976</v>
      </c>
      <c r="H34" s="559" t="s">
        <v>3826</v>
      </c>
      <c r="I34" s="3045">
        <v>0.23428531265374974</v>
      </c>
      <c r="J34" s="2945">
        <f t="shared" si="1"/>
        <v>4.2683</v>
      </c>
      <c r="K34" s="1748" t="s">
        <v>3972</v>
      </c>
      <c r="L34" s="2946">
        <f t="shared" si="0"/>
        <v>0.18593580539172228</v>
      </c>
      <c r="N34" s="580"/>
      <c r="O34" s="570"/>
      <c r="P34" s="570"/>
    </row>
    <row r="35" spans="2:16" ht="15.9" customHeight="1" x14ac:dyDescent="0.25">
      <c r="B35" s="524" t="s">
        <v>420</v>
      </c>
      <c r="C35" s="559" t="s">
        <v>400</v>
      </c>
      <c r="D35" s="1722">
        <v>109</v>
      </c>
      <c r="E35" s="1714" t="s">
        <v>1781</v>
      </c>
      <c r="F35" s="519"/>
      <c r="G35" s="524" t="s">
        <v>420</v>
      </c>
      <c r="H35" s="559" t="s">
        <v>400</v>
      </c>
      <c r="I35" s="3045">
        <v>0.26665007510643779</v>
      </c>
      <c r="J35" s="2945">
        <f t="shared" si="1"/>
        <v>3.750233333333334</v>
      </c>
      <c r="K35" s="1748" t="s">
        <v>3972</v>
      </c>
      <c r="L35" s="2946">
        <f t="shared" si="0"/>
        <v>0.21162144528433469</v>
      </c>
      <c r="N35" s="580"/>
      <c r="O35" s="570"/>
      <c r="P35" s="570"/>
    </row>
    <row r="36" spans="2:16" ht="15.9" customHeight="1" x14ac:dyDescent="0.25">
      <c r="B36" s="526" t="s">
        <v>427</v>
      </c>
      <c r="C36" s="559" t="s">
        <v>407</v>
      </c>
      <c r="D36" s="1721">
        <v>256</v>
      </c>
      <c r="E36" s="1714" t="s">
        <v>1781</v>
      </c>
      <c r="G36" s="524" t="s">
        <v>427</v>
      </c>
      <c r="H36" s="559" t="s">
        <v>407</v>
      </c>
      <c r="I36" s="3045">
        <v>0.10472593223534012</v>
      </c>
      <c r="J36" s="2945">
        <f t="shared" si="1"/>
        <v>9.5487333333333329</v>
      </c>
      <c r="K36" s="1748" t="s">
        <v>3972</v>
      </c>
      <c r="L36" s="2946">
        <f t="shared" si="0"/>
        <v>8.3113620461368859E-2</v>
      </c>
      <c r="N36" s="580"/>
      <c r="O36" s="570"/>
      <c r="P36" s="570"/>
    </row>
    <row r="37" spans="2:16" ht="15.9" customHeight="1" x14ac:dyDescent="0.25">
      <c r="B37" s="526" t="s">
        <v>412</v>
      </c>
      <c r="C37" s="559" t="s">
        <v>48</v>
      </c>
      <c r="D37" s="1721">
        <v>40</v>
      </c>
      <c r="E37" s="1714" t="s">
        <v>1781</v>
      </c>
      <c r="G37" s="524" t="s">
        <v>3906</v>
      </c>
      <c r="H37" s="559" t="s">
        <v>48</v>
      </c>
      <c r="I37" s="3045">
        <v>0.72472520835849741</v>
      </c>
      <c r="J37" s="2945">
        <f t="shared" si="1"/>
        <v>1.3798333333333332</v>
      </c>
      <c r="K37" s="1748" t="s">
        <v>3972</v>
      </c>
      <c r="L37" s="2946">
        <f t="shared" si="0"/>
        <v>0.57516352082629896</v>
      </c>
      <c r="N37" s="580"/>
      <c r="O37" s="570"/>
      <c r="P37" s="570"/>
    </row>
    <row r="38" spans="2:16" ht="15.9" customHeight="1" x14ac:dyDescent="0.25">
      <c r="B38" s="524" t="s">
        <v>415</v>
      </c>
      <c r="C38" s="559" t="s">
        <v>50</v>
      </c>
      <c r="D38" s="1722">
        <v>986</v>
      </c>
      <c r="E38" s="1714" t="s">
        <v>1781</v>
      </c>
      <c r="G38" s="524" t="s">
        <v>415</v>
      </c>
      <c r="H38" s="559" t="s">
        <v>50</v>
      </c>
      <c r="I38" s="3045">
        <v>3.1494079113126731E-2</v>
      </c>
      <c r="J38" s="2945">
        <f t="shared" si="1"/>
        <v>31.752000000000002</v>
      </c>
      <c r="K38" s="1748" t="s">
        <v>3972</v>
      </c>
      <c r="L38" s="2946">
        <f t="shared" si="0"/>
        <v>2.4994639649580756E-2</v>
      </c>
      <c r="N38" s="580"/>
      <c r="O38" s="570"/>
      <c r="P38" s="570"/>
    </row>
    <row r="39" spans="2:16" ht="15.9" customHeight="1" x14ac:dyDescent="0.25">
      <c r="B39" s="524" t="s">
        <v>3907</v>
      </c>
      <c r="C39" s="559" t="s">
        <v>3845</v>
      </c>
      <c r="D39" s="1721"/>
      <c r="E39" s="1714"/>
      <c r="G39" s="524" t="s">
        <v>3907</v>
      </c>
      <c r="H39" s="559" t="s">
        <v>3845</v>
      </c>
      <c r="I39" s="3045">
        <v>3.16512454765095E-2</v>
      </c>
      <c r="J39" s="2945">
        <f t="shared" si="1"/>
        <v>31.594333333333335</v>
      </c>
      <c r="K39" s="1748" t="s">
        <v>3972</v>
      </c>
      <c r="L39" s="2946">
        <f t="shared" si="0"/>
        <v>2.5119371558828738E-2</v>
      </c>
      <c r="N39" s="580"/>
      <c r="O39" s="570"/>
      <c r="P39" s="570"/>
    </row>
    <row r="40" spans="2:16" ht="15.9" customHeight="1" thickBot="1" x14ac:dyDescent="0.3">
      <c r="B40" s="525" t="s">
        <v>423</v>
      </c>
      <c r="C40" s="560" t="s">
        <v>403</v>
      </c>
      <c r="D40" s="2947">
        <v>375</v>
      </c>
      <c r="E40" s="2948" t="s">
        <v>1781</v>
      </c>
      <c r="G40" s="525" t="s">
        <v>423</v>
      </c>
      <c r="H40" s="560" t="s">
        <v>403</v>
      </c>
      <c r="I40" s="3046">
        <v>6.8037084746992757E-2</v>
      </c>
      <c r="J40" s="2949">
        <f t="shared" si="1"/>
        <v>14.697866666666668</v>
      </c>
      <c r="K40" s="2950" t="s">
        <v>3972</v>
      </c>
      <c r="L40" s="2951">
        <f t="shared" si="0"/>
        <v>5.3996257834707628E-2</v>
      </c>
      <c r="O40" s="570"/>
      <c r="P40" s="570"/>
    </row>
    <row r="41" spans="2:16" ht="15.9" customHeight="1" x14ac:dyDescent="0.25">
      <c r="B41" s="1709" t="s">
        <v>1783</v>
      </c>
      <c r="C41" s="1691"/>
      <c r="D41" s="1691"/>
      <c r="E41" s="1710"/>
      <c r="G41" s="1709" t="s">
        <v>1783</v>
      </c>
      <c r="H41" s="1797">
        <f>COUNTA(H7:H40)</f>
        <v>34</v>
      </c>
      <c r="I41" s="1691"/>
      <c r="J41" s="1691"/>
      <c r="K41" s="1691"/>
      <c r="L41" s="1710"/>
    </row>
    <row r="42" spans="2:16" ht="15.9" customHeight="1" x14ac:dyDescent="0.25"/>
    <row r="43" spans="2:16" ht="15.9" customHeight="1" x14ac:dyDescent="0.25"/>
    <row r="44" spans="2:16" ht="15.9" customHeight="1" x14ac:dyDescent="0.25"/>
    <row r="45" spans="2:16" ht="15.9" customHeight="1" x14ac:dyDescent="0.25"/>
    <row r="46" spans="2:16" ht="15.9" customHeight="1" x14ac:dyDescent="0.25"/>
    <row r="47" spans="2:16" ht="15.9" customHeight="1" x14ac:dyDescent="0.25"/>
    <row r="48" spans="2:16" ht="15.9" customHeight="1" x14ac:dyDescent="0.25"/>
    <row r="49" spans="14:14" ht="15.9" customHeight="1" x14ac:dyDescent="0.25"/>
    <row r="50" spans="14:14" ht="15.9" customHeight="1" x14ac:dyDescent="0.25"/>
    <row r="51" spans="14:14" ht="15.9" customHeight="1" x14ac:dyDescent="0.25"/>
    <row r="52" spans="14:14" ht="15.9" customHeight="1" x14ac:dyDescent="0.25"/>
    <row r="53" spans="14:14" ht="15.9" customHeight="1" x14ac:dyDescent="0.25"/>
    <row r="54" spans="14:14" ht="15.9" customHeight="1" x14ac:dyDescent="0.25"/>
    <row r="55" spans="14:14" ht="15.9" customHeight="1" x14ac:dyDescent="0.25">
      <c r="N55" s="575"/>
    </row>
    <row r="56" spans="14:14" ht="15.9" customHeight="1" x14ac:dyDescent="0.25">
      <c r="N56" s="575"/>
    </row>
    <row r="57" spans="14:14" ht="15.9" customHeight="1" x14ac:dyDescent="0.25"/>
    <row r="58" spans="14:14" ht="15.9" customHeight="1" x14ac:dyDescent="0.25"/>
    <row r="59" spans="14:14" ht="15.9" customHeight="1" x14ac:dyDescent="0.25"/>
    <row r="60" spans="14:14" ht="15.9" customHeight="1" x14ac:dyDescent="0.25"/>
    <row r="61" spans="14:14" ht="15.9" customHeight="1" x14ac:dyDescent="0.25"/>
    <row r="62" spans="14:14" ht="15.9" customHeight="1" x14ac:dyDescent="0.25"/>
    <row r="63" spans="14:14" ht="15.9" customHeight="1" x14ac:dyDescent="0.25"/>
  </sheetData>
  <mergeCells count="4">
    <mergeCell ref="G3:L4"/>
    <mergeCell ref="B5:E5"/>
    <mergeCell ref="G5:K5"/>
    <mergeCell ref="I6:J6"/>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dimension ref="A1:AF110"/>
  <sheetViews>
    <sheetView showGridLines="0" topLeftCell="D1" workbookViewId="0">
      <selection activeCell="F22" sqref="F22"/>
    </sheetView>
  </sheetViews>
  <sheetFormatPr defaultColWidth="9.109375" defaultRowHeight="13.8" x14ac:dyDescent="0.25"/>
  <cols>
    <col min="1" max="1" width="3.33203125" style="749" hidden="1" customWidth="1"/>
    <col min="2" max="2" width="6.44140625" style="749" hidden="1" customWidth="1"/>
    <col min="3" max="3" width="3.6640625" style="749" hidden="1" customWidth="1"/>
    <col min="4" max="4" width="4.44140625" style="749" customWidth="1"/>
    <col min="5" max="5" width="7.6640625" style="749" customWidth="1"/>
    <col min="6" max="6" width="30.33203125" style="749" customWidth="1"/>
    <col min="7" max="7" width="7.6640625" style="749" customWidth="1"/>
    <col min="8" max="8" width="10" style="272" customWidth="1"/>
    <col min="9" max="9" width="30.33203125" style="272" customWidth="1"/>
    <col min="10" max="10" width="11.5546875" style="749" customWidth="1"/>
    <col min="11" max="11" width="7.6640625" style="272" customWidth="1"/>
    <col min="12" max="12" width="7.44140625" style="272" customWidth="1"/>
    <col min="13" max="13" width="29.6640625" style="272" customWidth="1"/>
    <col min="14" max="15" width="7.6640625" style="272" customWidth="1"/>
    <col min="16" max="16" width="29.88671875" style="272" customWidth="1"/>
    <col min="17" max="17" width="29.88671875" style="749" customWidth="1"/>
    <col min="18" max="18" width="15" style="749" customWidth="1"/>
    <col min="19" max="19" width="15.33203125" style="272" customWidth="1"/>
    <col min="20" max="20" width="13.6640625" style="749" customWidth="1"/>
    <col min="21" max="21" width="30.5546875" style="749" customWidth="1"/>
    <col min="22" max="22" width="13.6640625" style="749" customWidth="1"/>
    <col min="23" max="23" width="16.6640625" style="749" customWidth="1"/>
    <col min="24" max="24" width="13.88671875" style="749" customWidth="1"/>
    <col min="25" max="25" width="37.44140625" style="749" customWidth="1"/>
    <col min="26" max="26" width="8.33203125" style="749" customWidth="1"/>
    <col min="27" max="27" width="37.33203125" style="749" customWidth="1"/>
    <col min="28" max="28" width="38.33203125" style="749" customWidth="1"/>
    <col min="29" max="29" width="7.109375" style="749" customWidth="1"/>
    <col min="30" max="30" width="9.109375" style="272"/>
    <col min="31" max="31" width="36.109375" style="749" customWidth="1"/>
    <col min="32" max="32" width="9.109375" style="749"/>
    <col min="33" max="16384" width="9.109375" style="272"/>
  </cols>
  <sheetData>
    <row r="1" spans="1:32" ht="10.5" customHeight="1" x14ac:dyDescent="0.25">
      <c r="A1" s="755"/>
      <c r="B1" s="755"/>
      <c r="C1" s="755"/>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row>
    <row r="2" spans="1:32" ht="28.2" x14ac:dyDescent="0.25">
      <c r="A2" s="755"/>
      <c r="B2" s="755"/>
      <c r="C2" s="755"/>
      <c r="D2" s="821"/>
      <c r="E2" s="821" t="s">
        <v>3300</v>
      </c>
      <c r="F2" s="258"/>
      <c r="G2" s="258"/>
      <c r="H2" s="258"/>
      <c r="I2" s="258"/>
      <c r="J2" s="258"/>
      <c r="K2" s="258"/>
      <c r="L2" s="258"/>
      <c r="M2" s="258"/>
      <c r="N2" s="258"/>
      <c r="O2" s="258"/>
      <c r="P2" s="258"/>
      <c r="Q2" s="258"/>
      <c r="R2" s="258"/>
      <c r="S2" s="258"/>
      <c r="T2" s="821" t="s">
        <v>2884</v>
      </c>
      <c r="U2" s="821"/>
      <c r="V2" s="258"/>
      <c r="W2" s="258"/>
      <c r="X2" s="258"/>
      <c r="Y2" s="258"/>
      <c r="Z2" s="258"/>
      <c r="AA2" s="258"/>
      <c r="AB2" s="258"/>
      <c r="AC2" s="258"/>
      <c r="AD2" s="258"/>
      <c r="AE2" s="258"/>
      <c r="AF2" s="258"/>
    </row>
    <row r="3" spans="1:32" ht="12" customHeight="1" x14ac:dyDescent="0.25">
      <c r="A3" s="755"/>
      <c r="B3" s="755"/>
      <c r="C3" s="755"/>
      <c r="D3" s="822"/>
      <c r="E3" s="823"/>
      <c r="F3" s="258"/>
      <c r="G3" s="258"/>
      <c r="H3" s="823"/>
      <c r="I3" s="258"/>
      <c r="J3" s="258"/>
      <c r="K3" s="258"/>
      <c r="L3" s="258"/>
      <c r="M3" s="258"/>
      <c r="N3" s="258"/>
      <c r="O3" s="258"/>
      <c r="P3" s="258"/>
      <c r="Q3" s="258"/>
      <c r="R3" s="258"/>
      <c r="S3" s="258"/>
      <c r="T3" s="258"/>
      <c r="U3" s="258"/>
      <c r="V3" s="258"/>
      <c r="W3" s="258"/>
      <c r="X3" s="258"/>
      <c r="Y3" s="258"/>
      <c r="Z3" s="258"/>
      <c r="AA3" s="258"/>
      <c r="AB3" s="258"/>
      <c r="AC3" s="258"/>
      <c r="AD3" s="258"/>
      <c r="AE3" s="258"/>
      <c r="AF3" s="258"/>
    </row>
    <row r="4" spans="1:32" ht="22.5" customHeight="1" x14ac:dyDescent="0.25">
      <c r="A4" s="755"/>
      <c r="B4" s="755"/>
      <c r="C4" s="755"/>
      <c r="D4" s="258"/>
      <c r="E4" s="817" t="s">
        <v>1499</v>
      </c>
      <c r="F4" s="818"/>
      <c r="G4" s="258"/>
      <c r="H4" s="817" t="s">
        <v>1500</v>
      </c>
      <c r="I4" s="1145"/>
      <c r="J4" s="818"/>
      <c r="K4" s="258"/>
      <c r="L4" s="817" t="s">
        <v>1501</v>
      </c>
      <c r="M4" s="818"/>
      <c r="N4" s="258"/>
      <c r="O4" s="817" t="s">
        <v>1502</v>
      </c>
      <c r="P4" s="1145"/>
      <c r="Q4" s="1145"/>
      <c r="R4" s="818"/>
      <c r="S4" s="258"/>
      <c r="T4" s="2963" t="s">
        <v>3306</v>
      </c>
      <c r="U4" s="2958"/>
      <c r="V4" s="2958"/>
      <c r="W4" s="2958"/>
      <c r="X4" s="2958"/>
      <c r="Y4" s="2959"/>
      <c r="Z4" s="258"/>
      <c r="AA4" s="2956" t="s">
        <v>3371</v>
      </c>
      <c r="AB4" s="2955"/>
      <c r="AC4" s="1459"/>
      <c r="AD4" s="258"/>
      <c r="AE4" s="3092" t="s">
        <v>3368</v>
      </c>
      <c r="AF4" s="258"/>
    </row>
    <row r="5" spans="1:32" ht="16.5" customHeight="1" x14ac:dyDescent="0.25">
      <c r="A5" s="755"/>
      <c r="B5" s="755"/>
      <c r="C5" s="755"/>
      <c r="D5" s="258"/>
      <c r="E5" s="819" t="s">
        <v>234</v>
      </c>
      <c r="F5" s="820"/>
      <c r="G5" s="258"/>
      <c r="H5" s="819" t="s">
        <v>152</v>
      </c>
      <c r="I5" s="1140"/>
      <c r="J5" s="1146"/>
      <c r="K5" s="258"/>
      <c r="L5" s="819" t="s">
        <v>639</v>
      </c>
      <c r="M5" s="820"/>
      <c r="N5" s="258"/>
      <c r="O5" s="819" t="s">
        <v>650</v>
      </c>
      <c r="P5" s="1140"/>
      <c r="Q5" s="1140"/>
      <c r="R5" s="1146"/>
      <c r="S5" s="258"/>
      <c r="T5" s="2960"/>
      <c r="U5" s="2961"/>
      <c r="V5" s="2961"/>
      <c r="W5" s="2961"/>
      <c r="X5" s="2961"/>
      <c r="Y5" s="2962"/>
      <c r="Z5" s="258"/>
      <c r="AA5" s="2957" t="s">
        <v>4177</v>
      </c>
      <c r="AB5" s="1461"/>
      <c r="AC5" s="1460"/>
      <c r="AD5" s="258"/>
      <c r="AE5" s="3093"/>
      <c r="AF5" s="258"/>
    </row>
    <row r="6" spans="1:32" ht="16.5" customHeight="1" thickBot="1" x14ac:dyDescent="0.3">
      <c r="A6" s="755"/>
      <c r="B6" s="755"/>
      <c r="C6" s="755"/>
      <c r="D6" s="258"/>
      <c r="E6" s="844" t="s">
        <v>624</v>
      </c>
      <c r="F6" s="845" t="s">
        <v>16</v>
      </c>
      <c r="G6" s="258"/>
      <c r="H6" s="844" t="s">
        <v>624</v>
      </c>
      <c r="I6" s="1142" t="s">
        <v>16</v>
      </c>
      <c r="J6" s="1198" t="s">
        <v>1164</v>
      </c>
      <c r="K6" s="258"/>
      <c r="L6" s="844" t="s">
        <v>624</v>
      </c>
      <c r="M6" s="845" t="s">
        <v>16</v>
      </c>
      <c r="N6" s="258"/>
      <c r="O6" s="844" t="s">
        <v>624</v>
      </c>
      <c r="P6" s="1142" t="s">
        <v>16</v>
      </c>
      <c r="Q6" s="1638"/>
      <c r="R6" s="1147" t="s">
        <v>1049</v>
      </c>
      <c r="S6" s="258"/>
      <c r="T6" s="2663" t="s">
        <v>3919</v>
      </c>
      <c r="U6" s="2663" t="s">
        <v>3918</v>
      </c>
      <c r="V6" s="2663" t="s">
        <v>3304</v>
      </c>
      <c r="W6" s="2686" t="s">
        <v>579</v>
      </c>
      <c r="X6" s="2686" t="s">
        <v>3307</v>
      </c>
      <c r="Y6" s="2663" t="s">
        <v>3305</v>
      </c>
      <c r="Z6" s="258"/>
      <c r="AA6" s="2663" t="s">
        <v>3908</v>
      </c>
      <c r="AB6" s="2663" t="s">
        <v>9</v>
      </c>
      <c r="AC6" s="2663" t="s">
        <v>4178</v>
      </c>
      <c r="AD6" s="258"/>
      <c r="AE6" s="2663" t="s">
        <v>3369</v>
      </c>
      <c r="AF6" s="258"/>
    </row>
    <row r="7" spans="1:32" ht="15.9" customHeight="1" thickBot="1" x14ac:dyDescent="0.3">
      <c r="A7" s="755"/>
      <c r="B7" s="755"/>
      <c r="C7" s="755"/>
      <c r="D7" s="258"/>
      <c r="E7" s="951" t="str">
        <f>'5  Control Accounts'!EB16</f>
        <v>05</v>
      </c>
      <c r="F7" s="955" t="str">
        <f>'1 Setup'!I39</f>
        <v>Client PM's, Secondments &amp; Construction Support</v>
      </c>
      <c r="G7" s="258"/>
      <c r="H7" s="1109" t="s">
        <v>153</v>
      </c>
      <c r="I7" s="1141"/>
      <c r="J7" s="1199"/>
      <c r="K7" s="258"/>
      <c r="L7" s="1109" t="s">
        <v>1197</v>
      </c>
      <c r="M7" s="1110"/>
      <c r="N7" s="258"/>
      <c r="O7" s="1109" t="s">
        <v>937</v>
      </c>
      <c r="P7" s="1141"/>
      <c r="Q7" s="1639"/>
      <c r="R7" s="1149"/>
      <c r="S7" s="258"/>
      <c r="T7" s="2683">
        <v>0</v>
      </c>
      <c r="U7" s="2683"/>
      <c r="V7" s="2683"/>
      <c r="W7" s="2683">
        <v>0</v>
      </c>
      <c r="X7" s="2683">
        <v>0</v>
      </c>
      <c r="Y7" s="2683">
        <v>0</v>
      </c>
      <c r="Z7" s="258"/>
      <c r="AA7" s="3242" t="s">
        <v>3526</v>
      </c>
      <c r="AB7" s="1462" t="s">
        <v>3526</v>
      </c>
      <c r="AC7" s="1148" t="str">
        <f>IF(ISERROR(MATCH(AB7,'PU List'!$K$33:$K$397,0)),"N","Y")</f>
        <v>N</v>
      </c>
      <c r="AD7" s="258"/>
      <c r="AE7" s="3095" t="s">
        <v>4176</v>
      </c>
      <c r="AF7" s="258"/>
    </row>
    <row r="8" spans="1:32" ht="15.9" customHeight="1" x14ac:dyDescent="0.25">
      <c r="A8" s="755"/>
      <c r="B8" s="962" t="str">
        <f t="shared" ref="B8:B15" si="0">TEXT(E8,"00")</f>
        <v>00</v>
      </c>
      <c r="C8" s="755"/>
      <c r="D8" s="258"/>
      <c r="E8" s="952"/>
      <c r="F8" s="956"/>
      <c r="G8" s="258"/>
      <c r="H8" s="1228" t="s">
        <v>111</v>
      </c>
      <c r="I8" s="1229" t="s">
        <v>645</v>
      </c>
      <c r="J8" s="1230" t="s">
        <v>93</v>
      </c>
      <c r="K8" s="258"/>
      <c r="L8" s="529" t="s">
        <v>230</v>
      </c>
      <c r="M8" s="530" t="s">
        <v>4005</v>
      </c>
      <c r="N8" s="1190"/>
      <c r="O8" s="1228" t="s">
        <v>111</v>
      </c>
      <c r="P8" s="1229" t="s">
        <v>645</v>
      </c>
      <c r="Q8" s="1640" t="str">
        <f t="shared" ref="Q8" si="1">O8&amp;" - "&amp;P8</f>
        <v>Y - Suspense</v>
      </c>
      <c r="R8" s="1231" t="s">
        <v>198</v>
      </c>
      <c r="S8" s="258"/>
      <c r="T8" s="2682" t="s">
        <v>3296</v>
      </c>
      <c r="U8" s="2682" t="s">
        <v>3315</v>
      </c>
      <c r="V8" s="2682" t="s">
        <v>3298</v>
      </c>
      <c r="W8" s="2682" t="s">
        <v>3324</v>
      </c>
      <c r="X8" s="2682" t="s">
        <v>3299</v>
      </c>
      <c r="Y8" s="2682" t="s">
        <v>3299</v>
      </c>
      <c r="Z8" s="258"/>
      <c r="AA8" s="3242" t="s">
        <v>3527</v>
      </c>
      <c r="AB8" s="1462" t="s">
        <v>3527</v>
      </c>
      <c r="AC8" s="1148" t="str">
        <f>IF(ISERROR(MATCH(AB8,'PU List'!$K$33:$K$397,0)),"N","Y")</f>
        <v>Y</v>
      </c>
      <c r="AD8" s="258"/>
      <c r="AE8" s="3094" t="s">
        <v>4044</v>
      </c>
      <c r="AF8" s="258"/>
    </row>
    <row r="9" spans="1:32" ht="15.9" customHeight="1" x14ac:dyDescent="0.25">
      <c r="A9" s="755"/>
      <c r="B9" s="962" t="str">
        <f t="shared" si="0"/>
        <v>00</v>
      </c>
      <c r="C9" s="755"/>
      <c r="D9" s="258"/>
      <c r="E9" s="953"/>
      <c r="F9" s="957"/>
      <c r="G9" s="258"/>
      <c r="H9" s="531" t="s">
        <v>643</v>
      </c>
      <c r="I9" s="960" t="s">
        <v>4018</v>
      </c>
      <c r="J9" s="3090" t="s">
        <v>93</v>
      </c>
      <c r="K9" s="258"/>
      <c r="L9" s="529" t="s">
        <v>231</v>
      </c>
      <c r="M9" s="530" t="s">
        <v>4006</v>
      </c>
      <c r="N9" s="1190">
        <v>0</v>
      </c>
      <c r="O9" s="531" t="s">
        <v>643</v>
      </c>
      <c r="P9" s="960" t="s">
        <v>3996</v>
      </c>
      <c r="Q9" s="1641" t="str">
        <f t="shared" ref="Q9" si="2">O9&amp;" - "&amp;P9</f>
        <v>W - Write Up/Down</v>
      </c>
      <c r="R9" s="1151" t="s">
        <v>198</v>
      </c>
      <c r="S9" s="258"/>
      <c r="T9" s="2662" t="s">
        <v>3297</v>
      </c>
      <c r="U9" s="2682" t="s">
        <v>3316</v>
      </c>
      <c r="V9" s="2682" t="s">
        <v>3298</v>
      </c>
      <c r="W9" s="2682" t="s">
        <v>3914</v>
      </c>
      <c r="X9" s="2791" t="s">
        <v>3915</v>
      </c>
      <c r="Y9" s="2662" t="s">
        <v>3915</v>
      </c>
      <c r="Z9" s="258"/>
      <c r="AA9" s="3242" t="s">
        <v>3329</v>
      </c>
      <c r="AB9" s="1462" t="s">
        <v>3329</v>
      </c>
      <c r="AC9" s="1148" t="str">
        <f>IF(ISERROR(MATCH(AB9,'PU List'!$K$33:$K$397,0)),"N","Y")</f>
        <v>Y</v>
      </c>
      <c r="AD9" s="258"/>
      <c r="AE9" s="3094" t="s">
        <v>4000</v>
      </c>
      <c r="AF9" s="258"/>
    </row>
    <row r="10" spans="1:32" ht="15.9" customHeight="1" x14ac:dyDescent="0.25">
      <c r="A10" s="755"/>
      <c r="B10" s="962" t="str">
        <f>TEXT(E18,"00")</f>
        <v>00</v>
      </c>
      <c r="C10" s="755"/>
      <c r="D10" s="258"/>
      <c r="E10" s="953"/>
      <c r="F10" s="957"/>
      <c r="G10" s="258"/>
      <c r="H10" s="531" t="s">
        <v>641</v>
      </c>
      <c r="I10" s="960" t="s">
        <v>4193</v>
      </c>
      <c r="J10" s="3090" t="s">
        <v>93</v>
      </c>
      <c r="K10" s="258"/>
      <c r="L10" s="529" t="s">
        <v>391</v>
      </c>
      <c r="M10" s="530" t="s">
        <v>4007</v>
      </c>
      <c r="N10" s="1190">
        <v>1</v>
      </c>
      <c r="O10" s="1478" t="s">
        <v>641</v>
      </c>
      <c r="P10" s="1479" t="s">
        <v>488</v>
      </c>
      <c r="Q10" s="1645" t="str">
        <f t="shared" ref="Q10:Q26" si="3">O10&amp;" - "&amp;P10</f>
        <v>V - Fee</v>
      </c>
      <c r="R10" s="1646" t="s">
        <v>198</v>
      </c>
      <c r="S10" s="258"/>
      <c r="T10" s="2662" t="s">
        <v>3056</v>
      </c>
      <c r="U10" s="2682" t="s">
        <v>3317</v>
      </c>
      <c r="V10" s="2682" t="s">
        <v>3298</v>
      </c>
      <c r="W10" s="2682" t="s">
        <v>3323</v>
      </c>
      <c r="X10" s="2662" t="s">
        <v>3308</v>
      </c>
      <c r="Y10" s="2662" t="s">
        <v>2883</v>
      </c>
      <c r="Z10" s="258"/>
      <c r="AA10" s="3242" t="s">
        <v>3528</v>
      </c>
      <c r="AB10" s="1462" t="s">
        <v>3528</v>
      </c>
      <c r="AC10" s="1148" t="str">
        <f>IF(ISERROR(MATCH(AB10,'PU List'!$K$33:$K$397,0)),"N","Y")</f>
        <v>Y</v>
      </c>
      <c r="AD10" s="258"/>
      <c r="AE10" s="258"/>
      <c r="AF10" s="258"/>
    </row>
    <row r="11" spans="1:32" ht="15.9" customHeight="1" x14ac:dyDescent="0.25">
      <c r="A11" s="755"/>
      <c r="B11" s="962" t="str">
        <f t="shared" si="0"/>
        <v>00</v>
      </c>
      <c r="C11" s="755"/>
      <c r="D11" s="258"/>
      <c r="E11" s="953"/>
      <c r="F11" s="957"/>
      <c r="G11" s="258"/>
      <c r="H11" s="1478" t="s">
        <v>822</v>
      </c>
      <c r="I11" s="1479" t="s">
        <v>4020</v>
      </c>
      <c r="J11" s="1480" t="s">
        <v>117</v>
      </c>
      <c r="K11" s="258"/>
      <c r="L11" s="529" t="s">
        <v>392</v>
      </c>
      <c r="M11" s="530" t="s">
        <v>4008</v>
      </c>
      <c r="N11" s="1190">
        <v>2</v>
      </c>
      <c r="O11" s="1478" t="s">
        <v>822</v>
      </c>
      <c r="P11" s="1479" t="s">
        <v>267</v>
      </c>
      <c r="Q11" s="1645" t="str">
        <f t="shared" ref="Q11" si="4">O11&amp;" - "&amp;P11</f>
        <v>S - Contingency</v>
      </c>
      <c r="R11" s="1646" t="s">
        <v>198</v>
      </c>
      <c r="S11" s="258"/>
      <c r="T11" s="2662" t="s">
        <v>3604</v>
      </c>
      <c r="U11" s="2682" t="s">
        <v>3910</v>
      </c>
      <c r="V11" s="2682" t="s">
        <v>3298</v>
      </c>
      <c r="W11" s="2682" t="s">
        <v>3909</v>
      </c>
      <c r="X11" s="2662" t="s">
        <v>3917</v>
      </c>
      <c r="Y11" s="2662" t="s">
        <v>3917</v>
      </c>
      <c r="Z11" s="258"/>
      <c r="AA11" s="3242" t="s">
        <v>3328</v>
      </c>
      <c r="AB11" s="1462" t="s">
        <v>3328</v>
      </c>
      <c r="AC11" s="1148" t="str">
        <f>IF(ISERROR(MATCH(AB11,'PU List'!$K$33:$K$397,0)),"N","Y")</f>
        <v>Y</v>
      </c>
      <c r="AD11" s="258"/>
      <c r="AE11" s="258"/>
      <c r="AF11" s="258"/>
    </row>
    <row r="12" spans="1:32" ht="15.9" customHeight="1" x14ac:dyDescent="0.25">
      <c r="A12" s="755"/>
      <c r="B12" s="962" t="str">
        <f t="shared" si="0"/>
        <v>00</v>
      </c>
      <c r="C12" s="755"/>
      <c r="D12" s="258"/>
      <c r="E12" s="953"/>
      <c r="F12" s="957"/>
      <c r="G12" s="258"/>
      <c r="H12" s="531" t="s">
        <v>269</v>
      </c>
      <c r="I12" s="960" t="s">
        <v>4019</v>
      </c>
      <c r="J12" s="1480" t="s">
        <v>117</v>
      </c>
      <c r="K12" s="258"/>
      <c r="L12" s="529" t="s">
        <v>393</v>
      </c>
      <c r="M12" s="530" t="s">
        <v>4009</v>
      </c>
      <c r="N12" s="1190">
        <v>3</v>
      </c>
      <c r="O12" s="531" t="s">
        <v>269</v>
      </c>
      <c r="P12" s="3089" t="s">
        <v>3946</v>
      </c>
      <c r="Q12" s="1641" t="str">
        <f>O12&amp;" - "&amp;P12</f>
        <v>R - Cost Reserve</v>
      </c>
      <c r="R12" s="1646" t="s">
        <v>198</v>
      </c>
      <c r="S12" s="258"/>
      <c r="T12" s="2662" t="s">
        <v>3494</v>
      </c>
      <c r="U12" s="2682" t="s">
        <v>3913</v>
      </c>
      <c r="V12" s="2682" t="s">
        <v>3298</v>
      </c>
      <c r="W12" s="2682" t="s">
        <v>3912</v>
      </c>
      <c r="X12" s="2662" t="s">
        <v>3916</v>
      </c>
      <c r="Y12" s="2662" t="s">
        <v>3911</v>
      </c>
      <c r="Z12" s="258"/>
      <c r="AA12" s="3242" t="s">
        <v>3330</v>
      </c>
      <c r="AB12" s="1462" t="s">
        <v>3330</v>
      </c>
      <c r="AC12" s="1148" t="str">
        <f>IF(ISERROR(MATCH(AB12,'PU List'!$K$33:$K$397,0)),"N","Y")</f>
        <v>Y</v>
      </c>
      <c r="AD12" s="258"/>
      <c r="AE12" s="258"/>
      <c r="AF12" s="258"/>
    </row>
    <row r="13" spans="1:32" ht="15.9" customHeight="1" x14ac:dyDescent="0.25">
      <c r="A13" s="755"/>
      <c r="B13" s="962" t="str">
        <f t="shared" si="0"/>
        <v>00</v>
      </c>
      <c r="C13" s="755"/>
      <c r="D13" s="258"/>
      <c r="E13" s="953"/>
      <c r="F13" s="957"/>
      <c r="G13" s="258"/>
      <c r="H13" s="529" t="s">
        <v>271</v>
      </c>
      <c r="I13" s="959" t="s">
        <v>4021</v>
      </c>
      <c r="J13" s="1200" t="s">
        <v>117</v>
      </c>
      <c r="K13" s="258"/>
      <c r="L13" s="531" t="s">
        <v>394</v>
      </c>
      <c r="M13" s="1189" t="s">
        <v>4010</v>
      </c>
      <c r="N13" s="1190">
        <v>4</v>
      </c>
      <c r="O13" s="529" t="s">
        <v>271</v>
      </c>
      <c r="P13" s="959" t="s">
        <v>272</v>
      </c>
      <c r="Q13" s="1463" t="str">
        <f t="shared" si="3"/>
        <v>X - Currency Exchange fx</v>
      </c>
      <c r="R13" s="1148" t="s">
        <v>198</v>
      </c>
      <c r="S13" s="258"/>
      <c r="T13" s="2662"/>
      <c r="U13" s="2682"/>
      <c r="V13" s="2682"/>
      <c r="W13" s="2682"/>
      <c r="X13" s="2662"/>
      <c r="Y13" s="2662"/>
      <c r="Z13" s="258"/>
      <c r="AA13" s="3242" t="s">
        <v>3301</v>
      </c>
      <c r="AB13" s="1462" t="s">
        <v>3301</v>
      </c>
      <c r="AC13" s="1148" t="str">
        <f>IF(ISERROR(MATCH(AB13,'PU List'!$K$33:$K$397,0)),"N","Y")</f>
        <v>Y</v>
      </c>
      <c r="AD13" s="258"/>
      <c r="AE13" s="258"/>
      <c r="AF13" s="258"/>
    </row>
    <row r="14" spans="1:32" ht="15.9" customHeight="1" x14ac:dyDescent="0.25">
      <c r="A14" s="755"/>
      <c r="B14" s="962" t="str">
        <f t="shared" si="0"/>
        <v>00</v>
      </c>
      <c r="C14" s="755"/>
      <c r="D14" s="258"/>
      <c r="E14" s="953"/>
      <c r="F14" s="957"/>
      <c r="G14" s="258"/>
      <c r="H14" s="529" t="s">
        <v>458</v>
      </c>
      <c r="I14" s="959" t="s">
        <v>4022</v>
      </c>
      <c r="J14" s="1200" t="s">
        <v>117</v>
      </c>
      <c r="K14" s="258"/>
      <c r="L14" s="529" t="s">
        <v>395</v>
      </c>
      <c r="M14" s="1189" t="s">
        <v>4011</v>
      </c>
      <c r="N14" s="1190">
        <v>5</v>
      </c>
      <c r="O14" s="529" t="s">
        <v>458</v>
      </c>
      <c r="P14" s="959" t="s">
        <v>263</v>
      </c>
      <c r="Q14" s="1463" t="str">
        <f t="shared" si="3"/>
        <v>T - Taxes</v>
      </c>
      <c r="R14" s="1148" t="s">
        <v>198</v>
      </c>
      <c r="S14" s="258"/>
      <c r="T14" s="2682" t="s">
        <v>3984</v>
      </c>
      <c r="U14" s="2691" t="s">
        <v>3985</v>
      </c>
      <c r="V14" s="2662" t="s">
        <v>3303</v>
      </c>
      <c r="W14" s="2682" t="s">
        <v>3322</v>
      </c>
      <c r="X14" s="2682" t="s">
        <v>3310</v>
      </c>
      <c r="Y14" s="2682" t="s">
        <v>3309</v>
      </c>
      <c r="Z14" s="258"/>
      <c r="AA14" s="3242" t="s">
        <v>3331</v>
      </c>
      <c r="AB14" s="1462" t="s">
        <v>3331</v>
      </c>
      <c r="AC14" s="1148" t="str">
        <f>IF(ISERROR(MATCH(AB14,'PU List'!$K$33:$K$397,0)),"N","Y")</f>
        <v>Y</v>
      </c>
      <c r="AD14" s="258"/>
      <c r="AE14" s="258"/>
      <c r="AF14" s="258"/>
    </row>
    <row r="15" spans="1:32" ht="15.9" customHeight="1" x14ac:dyDescent="0.25">
      <c r="A15" s="755"/>
      <c r="B15" s="962" t="str">
        <f t="shared" si="0"/>
        <v>00</v>
      </c>
      <c r="C15" s="755"/>
      <c r="D15" s="258"/>
      <c r="E15" s="953"/>
      <c r="F15" s="957"/>
      <c r="G15" s="258"/>
      <c r="H15" s="529" t="s">
        <v>274</v>
      </c>
      <c r="I15" s="959" t="s">
        <v>4024</v>
      </c>
      <c r="J15" s="1200" t="s">
        <v>117</v>
      </c>
      <c r="K15" s="258"/>
      <c r="L15" s="1108" t="s">
        <v>1196</v>
      </c>
      <c r="M15" s="3096" t="s">
        <v>4016</v>
      </c>
      <c r="N15" s="1190">
        <v>6</v>
      </c>
      <c r="O15" s="529" t="s">
        <v>274</v>
      </c>
      <c r="P15" s="959" t="s">
        <v>275</v>
      </c>
      <c r="Q15" s="1463" t="str">
        <f t="shared" si="3"/>
        <v>Z - Owner's Cost</v>
      </c>
      <c r="R15" s="1148" t="s">
        <v>198</v>
      </c>
      <c r="S15" s="258"/>
      <c r="T15" s="2662" t="s">
        <v>3986</v>
      </c>
      <c r="U15" s="2682" t="s">
        <v>3998</v>
      </c>
      <c r="V15" s="2682" t="s">
        <v>3303</v>
      </c>
      <c r="W15" s="2682" t="s">
        <v>3321</v>
      </c>
      <c r="X15" s="2682" t="s">
        <v>3311</v>
      </c>
      <c r="Y15" s="2682" t="s">
        <v>3312</v>
      </c>
      <c r="Z15" s="258"/>
      <c r="AA15" s="3242" t="s">
        <v>3529</v>
      </c>
      <c r="AB15" s="1462" t="s">
        <v>3529</v>
      </c>
      <c r="AC15" s="1148" t="str">
        <f>IF(ISERROR(MATCH(AB15,'PU List'!$K$33:$K$397,0)),"N","Y")</f>
        <v>Y</v>
      </c>
      <c r="AD15" s="258"/>
      <c r="AE15" s="258"/>
      <c r="AF15" s="258"/>
    </row>
    <row r="16" spans="1:32" ht="15.9" customHeight="1" x14ac:dyDescent="0.25">
      <c r="A16" s="755"/>
      <c r="B16" s="755" t="str">
        <f>TEXT(E18,"00")</f>
        <v>00</v>
      </c>
      <c r="C16" s="755"/>
      <c r="D16" s="258"/>
      <c r="E16" s="953"/>
      <c r="F16" s="957"/>
      <c r="G16" s="258"/>
      <c r="H16" s="529" t="s">
        <v>640</v>
      </c>
      <c r="I16" s="959" t="s">
        <v>4023</v>
      </c>
      <c r="J16" s="1200" t="s">
        <v>117</v>
      </c>
      <c r="K16" s="258"/>
      <c r="L16" s="529" t="s">
        <v>268</v>
      </c>
      <c r="M16" s="530" t="s">
        <v>4012</v>
      </c>
      <c r="N16" s="1190">
        <v>7</v>
      </c>
      <c r="O16" s="529" t="s">
        <v>640</v>
      </c>
      <c r="P16" s="959" t="s">
        <v>265</v>
      </c>
      <c r="Q16" s="1463" t="str">
        <f t="shared" si="3"/>
        <v>U - Other</v>
      </c>
      <c r="R16" s="1148" t="s">
        <v>198</v>
      </c>
      <c r="S16" s="258"/>
      <c r="T16" s="2682" t="s">
        <v>3997</v>
      </c>
      <c r="U16" s="2682" t="s">
        <v>3999</v>
      </c>
      <c r="V16" s="2682" t="s">
        <v>3303</v>
      </c>
      <c r="W16" s="2682" t="s">
        <v>3320</v>
      </c>
      <c r="X16" s="2682" t="s">
        <v>842</v>
      </c>
      <c r="Y16" s="2682" t="s">
        <v>3313</v>
      </c>
      <c r="Z16" s="258"/>
      <c r="AA16" s="3242" t="s">
        <v>3332</v>
      </c>
      <c r="AB16" s="1462" t="s">
        <v>3332</v>
      </c>
      <c r="AC16" s="1148" t="str">
        <f>IF(ISERROR(MATCH(AB16,'PU List'!$K$33:$K$397,0)),"N","Y")</f>
        <v>Y</v>
      </c>
      <c r="AD16" s="258"/>
      <c r="AE16" s="258"/>
      <c r="AF16" s="258"/>
    </row>
    <row r="17" spans="1:32" ht="15.9" customHeight="1" x14ac:dyDescent="0.25">
      <c r="A17" s="755"/>
      <c r="B17" s="755"/>
      <c r="C17" s="755"/>
      <c r="D17" s="258"/>
      <c r="E17" s="953"/>
      <c r="F17" s="957"/>
      <c r="G17" s="258"/>
      <c r="H17" s="1109" t="s">
        <v>4017</v>
      </c>
      <c r="I17" s="3096"/>
      <c r="J17" s="1199"/>
      <c r="K17" s="258"/>
      <c r="L17" s="529" t="s">
        <v>244</v>
      </c>
      <c r="M17" s="530" t="s">
        <v>4013</v>
      </c>
      <c r="N17" s="1190">
        <v>8</v>
      </c>
      <c r="O17" s="1109" t="s">
        <v>1661</v>
      </c>
      <c r="P17" s="1141"/>
      <c r="Q17" s="3096" t="s">
        <v>4016</v>
      </c>
      <c r="R17" s="1149"/>
      <c r="S17" s="258"/>
      <c r="T17" s="2662"/>
      <c r="U17" s="2682"/>
      <c r="V17" s="2682"/>
      <c r="W17" s="2682"/>
      <c r="X17" s="2662"/>
      <c r="Y17" s="2662"/>
      <c r="Z17" s="258"/>
      <c r="AA17" s="3242" t="s">
        <v>3530</v>
      </c>
      <c r="AB17" s="1462" t="s">
        <v>3530</v>
      </c>
      <c r="AC17" s="1148" t="str">
        <f>IF(ISERROR(MATCH(AB17,'PU List'!$K$33:$K$397,0)),"N","Y")</f>
        <v>Y</v>
      </c>
      <c r="AD17" s="258"/>
      <c r="AE17" s="258"/>
      <c r="AF17" s="258"/>
    </row>
    <row r="18" spans="1:32" ht="15.9" customHeight="1" x14ac:dyDescent="0.25">
      <c r="A18" s="755"/>
      <c r="B18" s="755"/>
      <c r="C18" s="755"/>
      <c r="D18" s="258"/>
      <c r="E18" s="954"/>
      <c r="F18" s="958"/>
      <c r="G18" s="258"/>
      <c r="H18" s="529" t="s">
        <v>242</v>
      </c>
      <c r="I18" s="959" t="s">
        <v>4025</v>
      </c>
      <c r="J18" s="1200" t="s">
        <v>93</v>
      </c>
      <c r="K18" s="258"/>
      <c r="L18" s="529" t="s">
        <v>830</v>
      </c>
      <c r="M18" s="530" t="s">
        <v>4014</v>
      </c>
      <c r="N18" s="1190">
        <v>9</v>
      </c>
      <c r="O18" s="529" t="s">
        <v>630</v>
      </c>
      <c r="P18" s="959" t="s">
        <v>631</v>
      </c>
      <c r="Q18" s="1463" t="str">
        <f t="shared" si="3"/>
        <v>GEN - GENERAL EXPENSE</v>
      </c>
      <c r="R18" s="1148" t="s">
        <v>198</v>
      </c>
      <c r="S18" s="258"/>
      <c r="T18" s="2662" t="s">
        <v>4266</v>
      </c>
      <c r="U18" s="2682" t="s">
        <v>4267</v>
      </c>
      <c r="V18" s="2682" t="s">
        <v>4273</v>
      </c>
      <c r="W18" s="2682" t="s">
        <v>4274</v>
      </c>
      <c r="X18" s="2662" t="s">
        <v>4265</v>
      </c>
      <c r="Y18" s="2662" t="s">
        <v>4265</v>
      </c>
      <c r="Z18" s="258"/>
      <c r="AA18" s="3242" t="s">
        <v>3531</v>
      </c>
      <c r="AB18" s="1462" t="s">
        <v>3531</v>
      </c>
      <c r="AC18" s="1148" t="str">
        <f>IF(ISERROR(MATCH(AB18,'PU List'!$K$33:$K$397,0)),"N","Y")</f>
        <v>Y</v>
      </c>
      <c r="AD18" s="258"/>
      <c r="AE18" s="258"/>
      <c r="AF18" s="258"/>
    </row>
    <row r="19" spans="1:32" ht="15.9" customHeight="1" x14ac:dyDescent="0.25">
      <c r="A19" s="755"/>
      <c r="B19" s="755"/>
      <c r="C19" s="755"/>
      <c r="D19" s="258"/>
      <c r="E19" s="258"/>
      <c r="F19" s="258"/>
      <c r="G19" s="258"/>
      <c r="H19" s="529" t="s">
        <v>52</v>
      </c>
      <c r="I19" s="959" t="s">
        <v>4026</v>
      </c>
      <c r="J19" s="1200" t="s">
        <v>117</v>
      </c>
      <c r="K19" s="258"/>
      <c r="L19" s="533" t="s">
        <v>1020</v>
      </c>
      <c r="M19" s="534" t="s">
        <v>4015</v>
      </c>
      <c r="N19" s="1190">
        <v>10</v>
      </c>
      <c r="O19" s="529" t="s">
        <v>628</v>
      </c>
      <c r="P19" s="959" t="s">
        <v>1198</v>
      </c>
      <c r="Q19" s="1463" t="str">
        <f t="shared" si="3"/>
        <v>ODC - OTHER DIRECT</v>
      </c>
      <c r="R19" s="1148" t="s">
        <v>198</v>
      </c>
      <c r="S19" s="258"/>
      <c r="T19" s="2662"/>
      <c r="U19" s="2682"/>
      <c r="V19" s="2682"/>
      <c r="W19" s="2682"/>
      <c r="X19" s="2662"/>
      <c r="Y19" s="2662"/>
      <c r="Z19" s="258"/>
      <c r="AA19" s="3242" t="s">
        <v>3532</v>
      </c>
      <c r="AB19" s="1462" t="s">
        <v>3532</v>
      </c>
      <c r="AC19" s="1148" t="str">
        <f>IF(ISERROR(MATCH(AB19,'PU List'!$K$33:$K$397,0)),"N","Y")</f>
        <v>Y</v>
      </c>
      <c r="AD19" s="258"/>
      <c r="AE19" s="258"/>
      <c r="AF19" s="258"/>
    </row>
    <row r="20" spans="1:32" ht="15.9" customHeight="1" x14ac:dyDescent="0.25">
      <c r="A20" s="755"/>
      <c r="B20" s="755"/>
      <c r="C20" s="755"/>
      <c r="D20" s="258"/>
      <c r="E20" s="258"/>
      <c r="F20" s="258"/>
      <c r="G20" s="258"/>
      <c r="H20" s="529" t="s">
        <v>243</v>
      </c>
      <c r="I20" s="959" t="s">
        <v>4027</v>
      </c>
      <c r="J20" s="1200" t="s">
        <v>117</v>
      </c>
      <c r="K20" s="258"/>
      <c r="L20" s="258"/>
      <c r="M20" s="258"/>
      <c r="N20" s="1190">
        <v>11</v>
      </c>
      <c r="O20" s="529" t="s">
        <v>635</v>
      </c>
      <c r="P20" s="959" t="s">
        <v>636</v>
      </c>
      <c r="Q20" s="1463" t="str">
        <f t="shared" ref="Q20" si="5">O20&amp;" - "&amp;P20</f>
        <v>INS - INSURANCE</v>
      </c>
      <c r="R20" s="1148" t="s">
        <v>198</v>
      </c>
      <c r="S20" s="258"/>
      <c r="T20" s="2662"/>
      <c r="U20" s="2682"/>
      <c r="V20" s="2682"/>
      <c r="W20" s="2682"/>
      <c r="X20" s="2662"/>
      <c r="Y20" s="2662"/>
      <c r="Z20" s="258"/>
      <c r="AA20" s="3242" t="s">
        <v>3533</v>
      </c>
      <c r="AB20" s="1462" t="s">
        <v>3533</v>
      </c>
      <c r="AC20" s="1148" t="str">
        <f>IF(ISERROR(MATCH(AB20,'PU List'!$K$33:$K$397,0)),"N","Y")</f>
        <v>Y</v>
      </c>
      <c r="AD20" s="258"/>
      <c r="AE20" s="258"/>
      <c r="AF20" s="258"/>
    </row>
    <row r="21" spans="1:32" ht="15.9" customHeight="1" x14ac:dyDescent="0.25">
      <c r="A21" s="755"/>
      <c r="B21" s="755"/>
      <c r="C21" s="755"/>
      <c r="D21" s="258"/>
      <c r="E21" s="258"/>
      <c r="F21" s="258"/>
      <c r="G21" s="258"/>
      <c r="H21" s="1109" t="s">
        <v>99</v>
      </c>
      <c r="I21" s="3096" t="s">
        <v>4016</v>
      </c>
      <c r="J21" s="1199"/>
      <c r="K21" s="258"/>
      <c r="L21" s="258"/>
      <c r="M21" s="258"/>
      <c r="N21" s="1190">
        <v>12</v>
      </c>
      <c r="O21" s="529" t="s">
        <v>637</v>
      </c>
      <c r="P21" s="959" t="s">
        <v>638</v>
      </c>
      <c r="Q21" s="1463" t="str">
        <f t="shared" si="3"/>
        <v>TRV - TRAVEL</v>
      </c>
      <c r="R21" s="1148" t="s">
        <v>198</v>
      </c>
      <c r="S21" s="258"/>
      <c r="T21" s="2662"/>
      <c r="U21" s="2682"/>
      <c r="V21" s="2682"/>
      <c r="W21" s="2682"/>
      <c r="X21" s="2662"/>
      <c r="Y21" s="2662"/>
      <c r="Z21" s="258"/>
      <c r="AA21" s="3242" t="s">
        <v>3534</v>
      </c>
      <c r="AB21" s="1462" t="s">
        <v>3534</v>
      </c>
      <c r="AC21" s="1148" t="str">
        <f>IF(ISERROR(MATCH(AB21,'PU List'!$K$33:$K$397,0)),"N","Y")</f>
        <v>Y</v>
      </c>
      <c r="AD21" s="258"/>
      <c r="AE21" s="258"/>
      <c r="AF21" s="258"/>
    </row>
    <row r="22" spans="1:32" ht="15.9" customHeight="1" x14ac:dyDescent="0.25">
      <c r="A22" s="755"/>
      <c r="B22" s="755"/>
      <c r="C22" s="755"/>
      <c r="D22" s="258"/>
      <c r="E22" s="258"/>
      <c r="F22" s="258"/>
      <c r="G22" s="258"/>
      <c r="H22" s="529" t="s">
        <v>77</v>
      </c>
      <c r="I22" s="959" t="s">
        <v>4028</v>
      </c>
      <c r="J22" s="1200" t="s">
        <v>93</v>
      </c>
      <c r="K22" s="258"/>
      <c r="L22" s="258"/>
      <c r="M22" s="258"/>
      <c r="N22" s="1190">
        <v>13</v>
      </c>
      <c r="O22" s="529" t="s">
        <v>931</v>
      </c>
      <c r="P22" s="959" t="s">
        <v>932</v>
      </c>
      <c r="Q22" s="1463" t="str">
        <f t="shared" si="3"/>
        <v>ASG - ASSIGNMENT &amp; PER DIEM</v>
      </c>
      <c r="R22" s="1148" t="s">
        <v>198</v>
      </c>
      <c r="S22" s="258"/>
      <c r="T22" s="2662"/>
      <c r="U22" s="2682"/>
      <c r="V22" s="2682"/>
      <c r="W22" s="2682"/>
      <c r="X22" s="2662"/>
      <c r="Y22" s="2662"/>
      <c r="Z22" s="258"/>
      <c r="AA22" s="3242" t="s">
        <v>3535</v>
      </c>
      <c r="AB22" s="1462" t="s">
        <v>3535</v>
      </c>
      <c r="AC22" s="1148" t="str">
        <f>IF(ISERROR(MATCH(AB22,'PU List'!$K$33:$K$397,0)),"N","Y")</f>
        <v>Y</v>
      </c>
      <c r="AD22" s="258"/>
      <c r="AE22" s="258"/>
      <c r="AF22" s="258"/>
    </row>
    <row r="23" spans="1:32" ht="15.9" customHeight="1" x14ac:dyDescent="0.25">
      <c r="A23" s="755"/>
      <c r="B23" s="755"/>
      <c r="C23" s="755"/>
      <c r="D23" s="258"/>
      <c r="E23" s="258"/>
      <c r="F23" s="258"/>
      <c r="G23" s="258"/>
      <c r="H23" s="529" t="s">
        <v>252</v>
      </c>
      <c r="I23" s="959" t="s">
        <v>4029</v>
      </c>
      <c r="J23" s="1200" t="s">
        <v>117</v>
      </c>
      <c r="K23" s="258"/>
      <c r="L23" s="258"/>
      <c r="M23" s="258"/>
      <c r="N23" s="1190">
        <v>14</v>
      </c>
      <c r="O23" s="529" t="s">
        <v>633</v>
      </c>
      <c r="P23" s="959" t="s">
        <v>634</v>
      </c>
      <c r="Q23" s="1463" t="str">
        <f t="shared" si="3"/>
        <v>REP - REPRODUCTION</v>
      </c>
      <c r="R23" s="1148" t="s">
        <v>198</v>
      </c>
      <c r="S23" s="258"/>
      <c r="T23" s="2682"/>
      <c r="U23" s="2691"/>
      <c r="V23" s="2662"/>
      <c r="W23" s="2682"/>
      <c r="X23" s="2682"/>
      <c r="Y23" s="2682"/>
      <c r="Z23" s="258"/>
      <c r="AA23" s="3242" t="s">
        <v>3536</v>
      </c>
      <c r="AB23" s="1462" t="s">
        <v>3536</v>
      </c>
      <c r="AC23" s="1148" t="str">
        <f>IF(ISERROR(MATCH(AB23,'PU List'!$K$33:$K$397,0)),"N","Y")</f>
        <v>Y</v>
      </c>
      <c r="AD23" s="258"/>
      <c r="AE23" s="258"/>
      <c r="AF23" s="258"/>
    </row>
    <row r="24" spans="1:32" ht="15.9" customHeight="1" x14ac:dyDescent="0.25">
      <c r="A24" s="755"/>
      <c r="B24" s="755"/>
      <c r="C24" s="755"/>
      <c r="D24" s="258"/>
      <c r="E24" s="258"/>
      <c r="F24" s="258"/>
      <c r="G24" s="258"/>
      <c r="H24" s="531" t="s">
        <v>256</v>
      </c>
      <c r="I24" s="960" t="s">
        <v>4030</v>
      </c>
      <c r="J24" s="3090" t="s">
        <v>117</v>
      </c>
      <c r="K24" s="258"/>
      <c r="L24" s="258"/>
      <c r="M24" s="258"/>
      <c r="N24" s="1190">
        <v>15</v>
      </c>
      <c r="O24" s="529" t="s">
        <v>632</v>
      </c>
      <c r="P24" s="959" t="s">
        <v>1199</v>
      </c>
      <c r="Q24" s="1463" t="str">
        <f t="shared" si="3"/>
        <v>CMP - DISTRIBUTED COMPUTER COST</v>
      </c>
      <c r="R24" s="1148" t="s">
        <v>198</v>
      </c>
      <c r="S24" s="258"/>
      <c r="T24" s="2662"/>
      <c r="U24" s="2682"/>
      <c r="V24" s="2682"/>
      <c r="W24" s="2682"/>
      <c r="X24" s="2682"/>
      <c r="Y24" s="2682"/>
      <c r="Z24" s="258"/>
      <c r="AA24" s="3242" t="s">
        <v>3537</v>
      </c>
      <c r="AB24" s="1462" t="s">
        <v>3537</v>
      </c>
      <c r="AC24" s="1148" t="str">
        <f>IF(ISERROR(MATCH(AB24,'PU List'!$K$33:$K$397,0)),"N","Y")</f>
        <v>Y</v>
      </c>
      <c r="AD24" s="258"/>
      <c r="AE24" s="258"/>
      <c r="AF24" s="258"/>
    </row>
    <row r="25" spans="1:32" ht="15.9" customHeight="1" x14ac:dyDescent="0.25">
      <c r="A25" s="755"/>
      <c r="B25" s="755"/>
      <c r="C25" s="755"/>
      <c r="D25" s="258"/>
      <c r="E25" s="258"/>
      <c r="F25" s="258"/>
      <c r="G25" s="258"/>
      <c r="H25" s="531" t="s">
        <v>258</v>
      </c>
      <c r="I25" s="960" t="s">
        <v>4031</v>
      </c>
      <c r="J25" s="3090" t="s">
        <v>117</v>
      </c>
      <c r="K25" s="258"/>
      <c r="L25" s="258"/>
      <c r="M25" s="258"/>
      <c r="N25" s="1190">
        <v>16</v>
      </c>
      <c r="O25" s="529" t="s">
        <v>934</v>
      </c>
      <c r="P25" s="959" t="s">
        <v>935</v>
      </c>
      <c r="Q25" s="1463" t="str">
        <f t="shared" si="3"/>
        <v>SCS - SPECIAL COMPUTER SYS</v>
      </c>
      <c r="R25" s="1148" t="s">
        <v>198</v>
      </c>
      <c r="S25" s="258"/>
      <c r="T25" s="2682"/>
      <c r="U25" s="2682"/>
      <c r="V25" s="2682"/>
      <c r="W25" s="2682"/>
      <c r="X25" s="2682"/>
      <c r="Y25" s="2682"/>
      <c r="Z25" s="258"/>
      <c r="AA25" s="3242" t="s">
        <v>3538</v>
      </c>
      <c r="AB25" s="1462" t="s">
        <v>3538</v>
      </c>
      <c r="AC25" s="1148" t="str">
        <f>IF(ISERROR(MATCH(AB25,'PU List'!$K$33:$K$397,0)),"N","Y")</f>
        <v>Y</v>
      </c>
      <c r="AD25" s="258"/>
      <c r="AE25" s="258"/>
      <c r="AF25" s="258"/>
    </row>
    <row r="26" spans="1:32" ht="15.9" customHeight="1" x14ac:dyDescent="0.25">
      <c r="A26" s="755"/>
      <c r="B26" s="755"/>
      <c r="C26" s="755"/>
      <c r="D26" s="258"/>
      <c r="E26" s="258"/>
      <c r="F26" s="258"/>
      <c r="G26" s="258"/>
      <c r="H26" s="531" t="s">
        <v>262</v>
      </c>
      <c r="I26" s="960" t="s">
        <v>4032</v>
      </c>
      <c r="J26" s="3090" t="s">
        <v>93</v>
      </c>
      <c r="K26" s="258"/>
      <c r="L26" s="258"/>
      <c r="M26" s="258"/>
      <c r="N26" s="1190">
        <v>17</v>
      </c>
      <c r="O26" s="529" t="s">
        <v>1200</v>
      </c>
      <c r="P26" s="959" t="s">
        <v>1201</v>
      </c>
      <c r="Q26" s="1463" t="str">
        <f t="shared" si="3"/>
        <v>WHA - WH APPORTIONMENT</v>
      </c>
      <c r="R26" s="1148" t="s">
        <v>198</v>
      </c>
      <c r="S26" s="258"/>
      <c r="T26" s="2684"/>
      <c r="U26" s="2685"/>
      <c r="V26" s="2685"/>
      <c r="W26" s="2685"/>
      <c r="X26" s="2685"/>
      <c r="Y26" s="2692"/>
      <c r="Z26" s="258"/>
      <c r="AA26" s="3242" t="s">
        <v>3539</v>
      </c>
      <c r="AB26" s="1462" t="s">
        <v>3539</v>
      </c>
      <c r="AC26" s="1148" t="str">
        <f>IF(ISERROR(MATCH(AB26,'PU List'!$K$33:$K$397,0)),"N","Y")</f>
        <v>Y</v>
      </c>
      <c r="AD26" s="258"/>
      <c r="AE26" s="258"/>
      <c r="AF26" s="258"/>
    </row>
    <row r="27" spans="1:32" ht="15.9" customHeight="1" x14ac:dyDescent="0.25">
      <c r="A27" s="755"/>
      <c r="B27" s="755"/>
      <c r="C27" s="755"/>
      <c r="D27" s="258"/>
      <c r="E27" s="258"/>
      <c r="F27" s="258"/>
      <c r="G27" s="258"/>
      <c r="H27" s="531" t="s">
        <v>613</v>
      </c>
      <c r="I27" s="960" t="s">
        <v>4033</v>
      </c>
      <c r="J27" s="3090" t="s">
        <v>117</v>
      </c>
      <c r="K27" s="258"/>
      <c r="L27" s="258"/>
      <c r="M27" s="258"/>
      <c r="N27" s="1190">
        <v>18</v>
      </c>
      <c r="O27" s="529" t="s">
        <v>1810</v>
      </c>
      <c r="P27" s="959" t="s">
        <v>1816</v>
      </c>
      <c r="Q27" s="1463" t="str">
        <f t="shared" ref="Q27:Q28" si="6">O27&amp;" - "&amp;P27</f>
        <v>WHH - HOME OFFICE WH REIMBURSABLE</v>
      </c>
      <c r="R27" s="1148" t="s">
        <v>198</v>
      </c>
      <c r="S27" s="258"/>
      <c r="T27" s="258"/>
      <c r="U27" s="258"/>
      <c r="V27" s="258"/>
      <c r="W27" s="258"/>
      <c r="X27" s="258"/>
      <c r="Y27" s="258"/>
      <c r="Z27" s="258"/>
      <c r="AA27" s="3242" t="s">
        <v>3540</v>
      </c>
      <c r="AB27" s="1462" t="s">
        <v>3540</v>
      </c>
      <c r="AC27" s="1148" t="str">
        <f>IF(ISERROR(MATCH(AB27,'PU List'!$K$33:$K$397,0)),"N","Y")</f>
        <v>Y</v>
      </c>
      <c r="AD27" s="258"/>
      <c r="AE27" s="258"/>
      <c r="AF27" s="258"/>
    </row>
    <row r="28" spans="1:32" ht="15.9" customHeight="1" x14ac:dyDescent="0.25">
      <c r="A28" s="755"/>
      <c r="B28" s="755"/>
      <c r="C28" s="755"/>
      <c r="D28" s="258"/>
      <c r="E28" s="258"/>
      <c r="F28" s="258"/>
      <c r="G28" s="258"/>
      <c r="H28" s="1109" t="s">
        <v>255</v>
      </c>
      <c r="I28" s="3096" t="s">
        <v>4016</v>
      </c>
      <c r="J28" s="1199"/>
      <c r="K28" s="258"/>
      <c r="L28" s="258"/>
      <c r="M28" s="258"/>
      <c r="N28" s="1190">
        <v>19</v>
      </c>
      <c r="O28" s="529" t="s">
        <v>1811</v>
      </c>
      <c r="P28" s="959" t="s">
        <v>1815</v>
      </c>
      <c r="Q28" s="1463" t="str">
        <f t="shared" si="6"/>
        <v>WHC - CONSTRUCTION WH REIMBURSABLE</v>
      </c>
      <c r="R28" s="1148" t="s">
        <v>198</v>
      </c>
      <c r="S28" s="258"/>
      <c r="T28" s="258"/>
      <c r="U28" s="258"/>
      <c r="V28" s="258"/>
      <c r="W28" s="258"/>
      <c r="X28" s="258"/>
      <c r="Y28" s="258"/>
      <c r="Z28" s="258"/>
      <c r="AA28" s="3242" t="s">
        <v>3541</v>
      </c>
      <c r="AB28" s="3239" t="s">
        <v>3541</v>
      </c>
      <c r="AC28" s="3241" t="str">
        <f>IF(ISERROR(MATCH(AB28,'PU List'!$K$33:$K$397,0)),"N","Y")</f>
        <v>Y</v>
      </c>
      <c r="AD28" s="258"/>
      <c r="AE28" s="258"/>
      <c r="AF28" s="258"/>
    </row>
    <row r="29" spans="1:32" ht="15.9" customHeight="1" x14ac:dyDescent="0.25">
      <c r="A29" s="755"/>
      <c r="B29" s="755"/>
      <c r="C29" s="755"/>
      <c r="D29" s="258"/>
      <c r="E29" s="258"/>
      <c r="F29" s="258"/>
      <c r="G29" s="258"/>
      <c r="H29" s="531" t="s">
        <v>247</v>
      </c>
      <c r="I29" s="960" t="s">
        <v>4034</v>
      </c>
      <c r="J29" s="3090" t="s">
        <v>117</v>
      </c>
      <c r="K29" s="258"/>
      <c r="L29" s="258"/>
      <c r="M29" s="258"/>
      <c r="N29" s="1190">
        <v>20</v>
      </c>
      <c r="O29" s="529" t="s">
        <v>625</v>
      </c>
      <c r="P29" s="959" t="s">
        <v>626</v>
      </c>
      <c r="Q29" s="1463" t="str">
        <f>O29&amp;" - "&amp;P29</f>
        <v>DSA - DESIGN ALLOWANCE</v>
      </c>
      <c r="R29" s="1148" t="s">
        <v>198</v>
      </c>
      <c r="S29" s="258"/>
      <c r="T29" s="258"/>
      <c r="U29" s="258"/>
      <c r="V29" s="258"/>
      <c r="W29" s="258"/>
      <c r="X29" s="258"/>
      <c r="Y29" s="258"/>
      <c r="Z29" s="258"/>
      <c r="AA29" s="3242" t="s">
        <v>3542</v>
      </c>
      <c r="AB29" s="3239" t="s">
        <v>3542</v>
      </c>
      <c r="AC29" s="3241" t="str">
        <f>IF(ISERROR(MATCH(AB29,'PU List'!$K$33:$K$397,0)),"N","Y")</f>
        <v>Y</v>
      </c>
      <c r="AD29" s="258"/>
      <c r="AE29" s="258"/>
      <c r="AF29" s="258"/>
    </row>
    <row r="30" spans="1:32" ht="15.9" customHeight="1" x14ac:dyDescent="0.25">
      <c r="A30" s="755"/>
      <c r="B30" s="755"/>
      <c r="C30" s="755"/>
      <c r="D30" s="258"/>
      <c r="E30" s="258"/>
      <c r="F30" s="258"/>
      <c r="G30" s="258"/>
      <c r="H30" s="1112" t="s">
        <v>249</v>
      </c>
      <c r="I30" s="1144" t="s">
        <v>4035</v>
      </c>
      <c r="J30" s="3091" t="s">
        <v>117</v>
      </c>
      <c r="K30" s="258"/>
      <c r="L30" s="258"/>
      <c r="M30" s="258"/>
      <c r="N30" s="1190">
        <v>21</v>
      </c>
      <c r="O30" s="529" t="s">
        <v>627</v>
      </c>
      <c r="P30" s="959" t="s">
        <v>936</v>
      </c>
      <c r="Q30" s="1463" t="str">
        <f>O30&amp;" - "&amp;P30</f>
        <v>TPE - 3rd PARTY SERVICES</v>
      </c>
      <c r="R30" s="1148" t="s">
        <v>198</v>
      </c>
      <c r="S30" s="258"/>
      <c r="T30" s="258"/>
      <c r="U30" s="258"/>
      <c r="V30" s="258"/>
      <c r="W30" s="2790"/>
      <c r="X30" s="258"/>
      <c r="Y30" s="258"/>
      <c r="Z30" s="258"/>
      <c r="AA30" s="3243" t="s">
        <v>4148</v>
      </c>
      <c r="AB30" s="3240" t="s">
        <v>4148</v>
      </c>
      <c r="AC30" s="3241" t="str">
        <f>IF(ISERROR(MATCH(AB30,'PU List'!$K$33:$K$397,0)),"N","Y")</f>
        <v>Y</v>
      </c>
      <c r="AD30" s="258"/>
      <c r="AE30" s="258"/>
      <c r="AF30" s="258"/>
    </row>
    <row r="31" spans="1:32" ht="15.9" customHeight="1" x14ac:dyDescent="0.25">
      <c r="A31" s="755"/>
      <c r="B31" s="755"/>
      <c r="C31" s="755"/>
      <c r="D31" s="258"/>
      <c r="E31" s="258"/>
      <c r="F31" s="258"/>
      <c r="G31" s="258"/>
      <c r="H31" s="258"/>
      <c r="I31" s="258"/>
      <c r="J31" s="258"/>
      <c r="K31" s="258"/>
      <c r="L31" s="258"/>
      <c r="M31" s="258"/>
      <c r="N31" s="1190">
        <v>22</v>
      </c>
      <c r="O31" s="1111" t="s">
        <v>1660</v>
      </c>
      <c r="P31" s="1143"/>
      <c r="Q31" s="3096" t="s">
        <v>4016</v>
      </c>
      <c r="R31" s="1150"/>
      <c r="S31" s="258"/>
      <c r="T31" s="258"/>
      <c r="U31" s="258"/>
      <c r="V31" s="258"/>
      <c r="W31" s="2704"/>
      <c r="X31" s="258"/>
      <c r="Y31" s="258"/>
      <c r="Z31" s="258"/>
      <c r="AA31" s="3243" t="s">
        <v>4149</v>
      </c>
      <c r="AB31" s="3240" t="s">
        <v>4149</v>
      </c>
      <c r="AC31" s="3241" t="str">
        <f>IF(ISERROR(MATCH(AB31,'PU List'!$K$33:$K$397,0)),"N","Y")</f>
        <v>Y</v>
      </c>
      <c r="AD31" s="258"/>
      <c r="AE31" s="258"/>
      <c r="AF31" s="258"/>
    </row>
    <row r="32" spans="1:32" s="749" customFormat="1" ht="15.9" customHeight="1" x14ac:dyDescent="0.25">
      <c r="A32" s="755"/>
      <c r="B32" s="755"/>
      <c r="C32" s="755"/>
      <c r="D32" s="258"/>
      <c r="E32" s="258"/>
      <c r="F32" s="258"/>
      <c r="G32" s="258"/>
      <c r="H32" s="258"/>
      <c r="I32" s="258"/>
      <c r="J32" s="258"/>
      <c r="K32" s="258"/>
      <c r="L32" s="258"/>
      <c r="M32" s="258"/>
      <c r="N32" s="1190">
        <v>23</v>
      </c>
      <c r="O32" s="531" t="s">
        <v>823</v>
      </c>
      <c r="P32" s="960" t="s">
        <v>940</v>
      </c>
      <c r="Q32" s="1641" t="str">
        <f t="shared" ref="Q32:Q67" si="7">O32&amp;" - "&amp;P32</f>
        <v>AR - ARCHITECTURAL</v>
      </c>
      <c r="R32" s="1148" t="s">
        <v>198</v>
      </c>
      <c r="S32" s="258"/>
      <c r="T32" s="258"/>
      <c r="U32" s="258"/>
      <c r="V32" s="258"/>
      <c r="W32" s="2704"/>
      <c r="X32" s="258"/>
      <c r="Y32" s="258"/>
      <c r="Z32" s="258"/>
      <c r="AA32" s="3243" t="s">
        <v>4164</v>
      </c>
      <c r="AB32" s="3240" t="s">
        <v>4164</v>
      </c>
      <c r="AC32" s="3241" t="str">
        <f>IF(ISERROR(MATCH(AB32,'PU List'!$K$33:$K$397,0)),"N","Y")</f>
        <v>Y</v>
      </c>
      <c r="AD32" s="258"/>
      <c r="AE32" s="258"/>
      <c r="AF32" s="258"/>
    </row>
    <row r="33" spans="1:32" s="749" customFormat="1" ht="15.9" customHeight="1" x14ac:dyDescent="0.25">
      <c r="A33" s="755"/>
      <c r="B33" s="755"/>
      <c r="C33" s="755"/>
      <c r="D33" s="258"/>
      <c r="E33" s="258"/>
      <c r="F33" s="258"/>
      <c r="G33" s="258"/>
      <c r="H33" s="258"/>
      <c r="I33" s="258"/>
      <c r="J33" s="258"/>
      <c r="K33" s="258"/>
      <c r="L33" s="258"/>
      <c r="M33" s="258"/>
      <c r="N33" s="1190">
        <v>24</v>
      </c>
      <c r="O33" s="531" t="s">
        <v>956</v>
      </c>
      <c r="P33" s="960" t="s">
        <v>957</v>
      </c>
      <c r="Q33" s="1641" t="str">
        <f t="shared" si="7"/>
        <v>AU - AUTHORITY ENGR / PERMITTING</v>
      </c>
      <c r="R33" s="1151" t="s">
        <v>198</v>
      </c>
      <c r="S33" s="258"/>
      <c r="T33" s="258"/>
      <c r="U33" s="258"/>
      <c r="V33" s="258"/>
      <c r="W33" s="2704"/>
      <c r="X33" s="258"/>
      <c r="Y33" s="258"/>
      <c r="Z33" s="258"/>
      <c r="AA33" s="3243" t="s">
        <v>4150</v>
      </c>
      <c r="AB33" s="3240" t="s">
        <v>4150</v>
      </c>
      <c r="AC33" s="3241" t="str">
        <f>IF(ISERROR(MATCH(AB33,'PU List'!$K$33:$K$397,0)),"N","Y")</f>
        <v>Y</v>
      </c>
      <c r="AD33" s="258"/>
      <c r="AE33" s="258"/>
      <c r="AF33" s="258"/>
    </row>
    <row r="34" spans="1:32" s="749" customFormat="1" ht="15.9" customHeight="1" x14ac:dyDescent="0.25">
      <c r="A34" s="755"/>
      <c r="B34" s="755"/>
      <c r="C34" s="755"/>
      <c r="D34" s="258"/>
      <c r="E34" s="258"/>
      <c r="F34" s="258"/>
      <c r="G34" s="258"/>
      <c r="H34" s="258"/>
      <c r="I34" s="258"/>
      <c r="J34" s="258"/>
      <c r="K34" s="258"/>
      <c r="L34" s="258"/>
      <c r="M34" s="258"/>
      <c r="N34" s="1190">
        <v>25</v>
      </c>
      <c r="O34" s="531" t="s">
        <v>974</v>
      </c>
      <c r="P34" s="960" t="s">
        <v>975</v>
      </c>
      <c r="Q34" s="1641" t="str">
        <f t="shared" si="7"/>
        <v>AV - AVIATION ENGR</v>
      </c>
      <c r="R34" s="1151" t="s">
        <v>198</v>
      </c>
      <c r="S34" s="258"/>
      <c r="T34" s="258"/>
      <c r="U34" s="258"/>
      <c r="V34" s="258"/>
      <c r="W34" s="258"/>
      <c r="X34" s="258"/>
      <c r="Y34" s="258"/>
      <c r="Z34" s="258"/>
      <c r="AA34" s="3243" t="s">
        <v>4151</v>
      </c>
      <c r="AB34" s="3240" t="s">
        <v>4151</v>
      </c>
      <c r="AC34" s="3241" t="str">
        <f>IF(ISERROR(MATCH(AB34,'PU List'!$K$33:$K$397,0)),"N","Y")</f>
        <v>Y</v>
      </c>
      <c r="AD34" s="258"/>
      <c r="AE34" s="258"/>
      <c r="AF34" s="258"/>
    </row>
    <row r="35" spans="1:32" s="749" customFormat="1" ht="15.9" customHeight="1" x14ac:dyDescent="0.25">
      <c r="A35" s="755"/>
      <c r="B35" s="755"/>
      <c r="C35" s="755"/>
      <c r="D35" s="258"/>
      <c r="E35" s="258"/>
      <c r="F35" s="258"/>
      <c r="G35" s="258"/>
      <c r="H35" s="258"/>
      <c r="I35" s="258"/>
      <c r="J35" s="258"/>
      <c r="K35" s="258"/>
      <c r="L35" s="258"/>
      <c r="M35" s="258"/>
      <c r="N35" s="1190">
        <v>26</v>
      </c>
      <c r="O35" s="531" t="s">
        <v>963</v>
      </c>
      <c r="P35" s="960" t="s">
        <v>964</v>
      </c>
      <c r="Q35" s="1641" t="str">
        <f t="shared" si="7"/>
        <v>BA - BLDG AUTOMATION</v>
      </c>
      <c r="R35" s="1151" t="s">
        <v>198</v>
      </c>
      <c r="S35" s="258"/>
      <c r="T35" s="258"/>
      <c r="U35" s="258"/>
      <c r="V35" s="258"/>
      <c r="W35" s="258"/>
      <c r="X35" s="258"/>
      <c r="Y35" s="258"/>
      <c r="Z35" s="258"/>
      <c r="AA35" s="3243" t="s">
        <v>4152</v>
      </c>
      <c r="AB35" s="3240" t="s">
        <v>4152</v>
      </c>
      <c r="AC35" s="3241" t="str">
        <f>IF(ISERROR(MATCH(AB35,'PU List'!$K$33:$K$397,0)),"N","Y")</f>
        <v>Y</v>
      </c>
      <c r="AD35" s="258"/>
      <c r="AE35" s="258"/>
      <c r="AF35" s="258"/>
    </row>
    <row r="36" spans="1:32" s="749" customFormat="1" ht="15.9" customHeight="1" x14ac:dyDescent="0.25">
      <c r="A36" s="755"/>
      <c r="B36" s="755"/>
      <c r="C36" s="755"/>
      <c r="D36" s="258"/>
      <c r="E36" s="258"/>
      <c r="F36" s="258"/>
      <c r="G36" s="258"/>
      <c r="H36" s="258"/>
      <c r="I36" s="258"/>
      <c r="J36" s="258"/>
      <c r="K36" s="258"/>
      <c r="L36" s="258"/>
      <c r="M36" s="258"/>
      <c r="N36" s="1190">
        <v>27</v>
      </c>
      <c r="O36" s="531" t="s">
        <v>941</v>
      </c>
      <c r="P36" s="960" t="s">
        <v>942</v>
      </c>
      <c r="Q36" s="1641" t="str">
        <f t="shared" si="7"/>
        <v xml:space="preserve">CI - CIVIL </v>
      </c>
      <c r="R36" s="1151" t="s">
        <v>198</v>
      </c>
      <c r="S36" s="258"/>
      <c r="T36" s="258"/>
      <c r="U36" s="258"/>
      <c r="V36" s="258"/>
      <c r="W36" s="258"/>
      <c r="X36" s="258"/>
      <c r="Y36" s="258"/>
      <c r="Z36" s="258"/>
      <c r="AA36" s="3243" t="s">
        <v>4153</v>
      </c>
      <c r="AB36" s="3240" t="s">
        <v>4153</v>
      </c>
      <c r="AC36" s="3241" t="str">
        <f>IF(ISERROR(MATCH(AB36,'PU List'!$K$33:$K$397,0)),"N","Y")</f>
        <v>Y</v>
      </c>
      <c r="AD36" s="258"/>
      <c r="AE36" s="258"/>
      <c r="AF36" s="258"/>
    </row>
    <row r="37" spans="1:32" s="749" customFormat="1" ht="15.9" customHeight="1" x14ac:dyDescent="0.25">
      <c r="A37" s="755"/>
      <c r="B37" s="755"/>
      <c r="C37" s="755"/>
      <c r="D37" s="258"/>
      <c r="E37" s="258"/>
      <c r="F37" s="258"/>
      <c r="G37" s="258"/>
      <c r="H37" s="258"/>
      <c r="I37" s="258"/>
      <c r="J37" s="258"/>
      <c r="K37" s="258"/>
      <c r="L37" s="258"/>
      <c r="M37" s="258"/>
      <c r="N37" s="1190">
        <v>28</v>
      </c>
      <c r="O37" s="531" t="s">
        <v>966</v>
      </c>
      <c r="P37" s="960" t="s">
        <v>967</v>
      </c>
      <c r="Q37" s="1641" t="str">
        <f t="shared" si="7"/>
        <v>EF - ENERGY EFFICIENCY</v>
      </c>
      <c r="R37" s="1151" t="s">
        <v>198</v>
      </c>
      <c r="S37" s="258"/>
      <c r="T37" s="258"/>
      <c r="U37" s="258"/>
      <c r="V37" s="258"/>
      <c r="W37" s="258"/>
      <c r="X37" s="258"/>
      <c r="Y37" s="258"/>
      <c r="Z37" s="258"/>
      <c r="AA37" s="3243" t="s">
        <v>4154</v>
      </c>
      <c r="AB37" s="3240" t="s">
        <v>4154</v>
      </c>
      <c r="AC37" s="3241" t="str">
        <f>IF(ISERROR(MATCH(AB37,'PU List'!$K$33:$K$397,0)),"N","Y")</f>
        <v>Y</v>
      </c>
      <c r="AD37" s="258"/>
      <c r="AE37" s="258"/>
      <c r="AF37" s="258"/>
    </row>
    <row r="38" spans="1:32" s="749" customFormat="1" ht="15.9" customHeight="1" x14ac:dyDescent="0.25">
      <c r="A38" s="755"/>
      <c r="B38" s="755"/>
      <c r="C38" s="755"/>
      <c r="D38" s="258"/>
      <c r="E38" s="258"/>
      <c r="F38" s="258"/>
      <c r="G38" s="258"/>
      <c r="H38" s="258"/>
      <c r="I38" s="258"/>
      <c r="J38" s="258"/>
      <c r="K38" s="258"/>
      <c r="L38" s="258"/>
      <c r="M38" s="258"/>
      <c r="N38" s="1190">
        <v>29</v>
      </c>
      <c r="O38" s="531" t="s">
        <v>953</v>
      </c>
      <c r="P38" s="960" t="s">
        <v>246</v>
      </c>
      <c r="Q38" s="1641" t="str">
        <f t="shared" si="7"/>
        <v>EL - ELECTRICAL</v>
      </c>
      <c r="R38" s="1151" t="s">
        <v>198</v>
      </c>
      <c r="S38" s="258"/>
      <c r="T38" s="258"/>
      <c r="U38" s="258"/>
      <c r="V38" s="258"/>
      <c r="W38" s="258"/>
      <c r="X38" s="258"/>
      <c r="Y38" s="258"/>
      <c r="Z38" s="258"/>
      <c r="AA38" s="3243" t="s">
        <v>4155</v>
      </c>
      <c r="AB38" s="3240" t="s">
        <v>4155</v>
      </c>
      <c r="AC38" s="3241" t="str">
        <f>IF(ISERROR(MATCH(AB38,'PU List'!$K$33:$K$397,0)),"N","Y")</f>
        <v>Y</v>
      </c>
      <c r="AD38" s="258"/>
      <c r="AE38" s="258"/>
      <c r="AF38" s="258"/>
    </row>
    <row r="39" spans="1:32" s="749" customFormat="1" ht="15.9" customHeight="1" x14ac:dyDescent="0.25">
      <c r="A39" s="755"/>
      <c r="B39" s="755"/>
      <c r="C39" s="755"/>
      <c r="D39" s="258"/>
      <c r="E39" s="258"/>
      <c r="F39" s="258"/>
      <c r="G39" s="258"/>
      <c r="H39" s="258"/>
      <c r="I39" s="258"/>
      <c r="J39" s="258"/>
      <c r="K39" s="258"/>
      <c r="L39" s="258"/>
      <c r="M39" s="258"/>
      <c r="N39" s="1190">
        <v>30</v>
      </c>
      <c r="O39" s="531" t="s">
        <v>946</v>
      </c>
      <c r="P39" s="960" t="s">
        <v>945</v>
      </c>
      <c r="Q39" s="1641" t="str">
        <f t="shared" si="7"/>
        <v>EQ - MECH EQUIP</v>
      </c>
      <c r="R39" s="1151" t="s">
        <v>198</v>
      </c>
      <c r="S39" s="258"/>
      <c r="T39" s="258"/>
      <c r="U39" s="258"/>
      <c r="V39" s="258"/>
      <c r="W39" s="258"/>
      <c r="X39" s="258"/>
      <c r="Y39" s="258"/>
      <c r="Z39" s="258"/>
      <c r="AA39" s="3243" t="s">
        <v>4156</v>
      </c>
      <c r="AB39" s="3240" t="s">
        <v>4156</v>
      </c>
      <c r="AC39" s="3241" t="str">
        <f>IF(ISERROR(MATCH(AB39,'PU List'!$K$33:$K$397,0)),"N","Y")</f>
        <v>Y</v>
      </c>
      <c r="AD39" s="258"/>
      <c r="AE39" s="258"/>
      <c r="AF39" s="258"/>
    </row>
    <row r="40" spans="1:32" s="749" customFormat="1" ht="15.9" customHeight="1" x14ac:dyDescent="0.25">
      <c r="A40" s="755"/>
      <c r="B40" s="755"/>
      <c r="C40" s="755"/>
      <c r="D40" s="258"/>
      <c r="E40" s="258"/>
      <c r="F40" s="258"/>
      <c r="G40" s="258"/>
      <c r="H40" s="258"/>
      <c r="I40" s="258"/>
      <c r="J40" s="258"/>
      <c r="K40" s="258"/>
      <c r="L40" s="258"/>
      <c r="M40" s="258"/>
      <c r="N40" s="1190">
        <v>31</v>
      </c>
      <c r="O40" s="531" t="s">
        <v>250</v>
      </c>
      <c r="P40" s="960" t="s">
        <v>954</v>
      </c>
      <c r="Q40" s="1641" t="str">
        <f t="shared" si="7"/>
        <v>EV - ENVIRONMENTAL</v>
      </c>
      <c r="R40" s="1151" t="s">
        <v>198</v>
      </c>
      <c r="S40" s="258"/>
      <c r="T40" s="258"/>
      <c r="U40" s="258"/>
      <c r="V40" s="258"/>
      <c r="W40" s="258"/>
      <c r="X40" s="258"/>
      <c r="Y40" s="258"/>
      <c r="Z40" s="258"/>
      <c r="AA40" s="3243" t="s">
        <v>4157</v>
      </c>
      <c r="AB40" s="3240" t="s">
        <v>4157</v>
      </c>
      <c r="AC40" s="3241" t="str">
        <f>IF(ISERROR(MATCH(AB40,'PU List'!$K$33:$K$397,0)),"N","Y")</f>
        <v>Y</v>
      </c>
      <c r="AD40" s="258"/>
      <c r="AE40" s="258"/>
      <c r="AF40" s="258"/>
    </row>
    <row r="41" spans="1:32" s="749" customFormat="1" ht="15.9" customHeight="1" x14ac:dyDescent="0.25">
      <c r="A41" s="755"/>
      <c r="B41" s="755"/>
      <c r="C41" s="755"/>
      <c r="D41" s="258"/>
      <c r="E41" s="258"/>
      <c r="F41" s="258"/>
      <c r="G41" s="258"/>
      <c r="H41" s="258"/>
      <c r="I41" s="258"/>
      <c r="J41" s="258"/>
      <c r="K41" s="258"/>
      <c r="L41" s="258"/>
      <c r="M41" s="258"/>
      <c r="N41" s="1190">
        <v>32</v>
      </c>
      <c r="O41" s="531" t="s">
        <v>976</v>
      </c>
      <c r="P41" s="960" t="s">
        <v>977</v>
      </c>
      <c r="Q41" s="1641" t="str">
        <f t="shared" si="7"/>
        <v>FC - FACILITIES PLANNING</v>
      </c>
      <c r="R41" s="1151" t="s">
        <v>198</v>
      </c>
      <c r="S41" s="258"/>
      <c r="T41" s="258"/>
      <c r="U41" s="258"/>
      <c r="V41" s="258"/>
      <c r="W41" s="258"/>
      <c r="X41" s="258"/>
      <c r="Y41" s="258"/>
      <c r="Z41" s="258"/>
      <c r="AA41" s="3243" t="s">
        <v>4158</v>
      </c>
      <c r="AB41" s="3240" t="s">
        <v>4158</v>
      </c>
      <c r="AC41" s="3241" t="str">
        <f>IF(ISERROR(MATCH(AB41,'PU List'!$K$33:$K$397,0)),"N","Y")</f>
        <v>Y</v>
      </c>
      <c r="AD41" s="258"/>
      <c r="AE41" s="258"/>
      <c r="AF41" s="258"/>
    </row>
    <row r="42" spans="1:32" s="749" customFormat="1" ht="15.9" customHeight="1" x14ac:dyDescent="0.25">
      <c r="A42" s="755"/>
      <c r="B42" s="755"/>
      <c r="C42" s="755"/>
      <c r="D42" s="258"/>
      <c r="E42" s="258"/>
      <c r="F42" s="258"/>
      <c r="G42" s="258"/>
      <c r="H42" s="258"/>
      <c r="I42" s="258"/>
      <c r="J42" s="258"/>
      <c r="K42" s="258"/>
      <c r="L42" s="258"/>
      <c r="M42" s="258"/>
      <c r="N42" s="1190">
        <v>33</v>
      </c>
      <c r="O42" s="531" t="s">
        <v>818</v>
      </c>
      <c r="P42" s="960" t="s">
        <v>955</v>
      </c>
      <c r="Q42" s="1641" t="str">
        <f t="shared" si="7"/>
        <v>FP - FIRE PROTECTION</v>
      </c>
      <c r="R42" s="1151" t="s">
        <v>198</v>
      </c>
      <c r="S42" s="258"/>
      <c r="T42" s="258"/>
      <c r="U42" s="258"/>
      <c r="V42" s="258"/>
      <c r="W42" s="258"/>
      <c r="X42" s="258"/>
      <c r="Y42" s="258"/>
      <c r="Z42" s="258"/>
      <c r="AA42" s="3243" t="s">
        <v>4159</v>
      </c>
      <c r="AB42" s="3240" t="s">
        <v>4159</v>
      </c>
      <c r="AC42" s="3241" t="str">
        <f>IF(ISERROR(MATCH(AB42,'PU List'!$K$33:$K$397,0)),"N","Y")</f>
        <v>Y</v>
      </c>
      <c r="AD42" s="258"/>
      <c r="AE42" s="258"/>
      <c r="AF42" s="258"/>
    </row>
    <row r="43" spans="1:32" s="749" customFormat="1" ht="15.9" customHeight="1" x14ac:dyDescent="0.25">
      <c r="A43" s="755"/>
      <c r="B43" s="755"/>
      <c r="C43" s="755"/>
      <c r="D43" s="258"/>
      <c r="E43" s="258"/>
      <c r="F43" s="258"/>
      <c r="G43" s="258"/>
      <c r="H43" s="258"/>
      <c r="I43" s="258"/>
      <c r="J43" s="258"/>
      <c r="K43" s="258"/>
      <c r="L43" s="258"/>
      <c r="M43" s="258"/>
      <c r="N43" s="1190">
        <v>34</v>
      </c>
      <c r="O43" s="531" t="s">
        <v>972</v>
      </c>
      <c r="P43" s="960" t="s">
        <v>973</v>
      </c>
      <c r="Q43" s="1641" t="str">
        <f t="shared" si="7"/>
        <v>GT - GEOTECH ENGR</v>
      </c>
      <c r="R43" s="1151" t="s">
        <v>198</v>
      </c>
      <c r="S43" s="258"/>
      <c r="T43" s="258"/>
      <c r="U43" s="258"/>
      <c r="V43" s="258"/>
      <c r="W43" s="258"/>
      <c r="X43" s="258"/>
      <c r="Y43" s="258"/>
      <c r="Z43" s="258"/>
      <c r="AA43" s="3243" t="s">
        <v>4160</v>
      </c>
      <c r="AB43" s="3240" t="s">
        <v>4160</v>
      </c>
      <c r="AC43" s="3241" t="str">
        <f>IF(ISERROR(MATCH(AB43,'PU List'!$K$33:$K$397,0)),"N","Y")</f>
        <v>Y</v>
      </c>
      <c r="AD43" s="258"/>
      <c r="AE43" s="258"/>
      <c r="AF43" s="258"/>
    </row>
    <row r="44" spans="1:32" s="749" customFormat="1" ht="15.9" customHeight="1" x14ac:dyDescent="0.25">
      <c r="A44" s="755"/>
      <c r="B44" s="755"/>
      <c r="C44" s="755"/>
      <c r="D44" s="258"/>
      <c r="E44" s="258"/>
      <c r="F44" s="258"/>
      <c r="G44" s="258"/>
      <c r="H44" s="258"/>
      <c r="I44" s="258"/>
      <c r="J44" s="258"/>
      <c r="K44" s="258"/>
      <c r="L44" s="258"/>
      <c r="M44" s="258"/>
      <c r="N44" s="1190">
        <v>35</v>
      </c>
      <c r="O44" s="531" t="s">
        <v>968</v>
      </c>
      <c r="P44" s="960" t="s">
        <v>969</v>
      </c>
      <c r="Q44" s="1641" t="str">
        <f t="shared" si="7"/>
        <v>HE - HYDRAULIC ENGR</v>
      </c>
      <c r="R44" s="1151" t="s">
        <v>198</v>
      </c>
      <c r="S44" s="258"/>
      <c r="T44" s="258"/>
      <c r="U44" s="258"/>
      <c r="V44" s="258"/>
      <c r="W44" s="258"/>
      <c r="X44" s="258"/>
      <c r="Y44" s="258"/>
      <c r="Z44" s="258"/>
      <c r="AA44" s="3243" t="s">
        <v>4161</v>
      </c>
      <c r="AB44" s="3240" t="s">
        <v>4161</v>
      </c>
      <c r="AC44" s="3241" t="str">
        <f>IF(ISERROR(MATCH(AB44,'PU List'!$K$33:$K$397,0)),"N","Y")</f>
        <v>Y</v>
      </c>
      <c r="AD44" s="258"/>
      <c r="AE44" s="258"/>
      <c r="AF44" s="258"/>
    </row>
    <row r="45" spans="1:32" ht="15.9" customHeight="1" x14ac:dyDescent="0.25">
      <c r="A45" s="755"/>
      <c r="B45" s="755"/>
      <c r="C45" s="755"/>
      <c r="D45" s="258"/>
      <c r="E45" s="258"/>
      <c r="F45" s="258"/>
      <c r="G45" s="258"/>
      <c r="H45" s="258"/>
      <c r="I45" s="258"/>
      <c r="J45" s="258"/>
      <c r="K45" s="258"/>
      <c r="L45" s="258"/>
      <c r="M45" s="258"/>
      <c r="N45" s="1190">
        <v>36</v>
      </c>
      <c r="O45" s="531" t="s">
        <v>254</v>
      </c>
      <c r="P45" s="960" t="s">
        <v>947</v>
      </c>
      <c r="Q45" s="1641" t="str">
        <f t="shared" si="7"/>
        <v>HV - HVAC</v>
      </c>
      <c r="R45" s="1151" t="s">
        <v>198</v>
      </c>
      <c r="S45" s="258"/>
      <c r="T45" s="258"/>
      <c r="U45" s="258"/>
      <c r="V45" s="258"/>
      <c r="W45" s="258"/>
      <c r="X45" s="258"/>
      <c r="Y45" s="258"/>
      <c r="Z45" s="258"/>
      <c r="AA45" s="3243" t="s">
        <v>4162</v>
      </c>
      <c r="AB45" s="3240" t="s">
        <v>4162</v>
      </c>
      <c r="AC45" s="3241" t="str">
        <f>IF(ISERROR(MATCH(AB45,'PU List'!$K$33:$K$397,0)),"N","Y")</f>
        <v>Y</v>
      </c>
      <c r="AD45" s="258"/>
      <c r="AE45" s="258"/>
      <c r="AF45" s="258"/>
    </row>
    <row r="46" spans="1:32" ht="15.9" customHeight="1" x14ac:dyDescent="0.25">
      <c r="A46" s="755"/>
      <c r="B46" s="755"/>
      <c r="C46" s="755"/>
      <c r="D46" s="258"/>
      <c r="E46" s="258"/>
      <c r="F46" s="258"/>
      <c r="G46" s="258"/>
      <c r="H46" s="258"/>
      <c r="I46" s="258"/>
      <c r="J46" s="258"/>
      <c r="K46" s="258"/>
      <c r="L46" s="258"/>
      <c r="M46" s="258"/>
      <c r="N46" s="1190">
        <v>37</v>
      </c>
      <c r="O46" s="531" t="s">
        <v>187</v>
      </c>
      <c r="P46" s="960" t="s">
        <v>978</v>
      </c>
      <c r="Q46" s="1641" t="str">
        <f t="shared" si="7"/>
        <v>ID - COMMERCIAL INT DESIGN</v>
      </c>
      <c r="R46" s="1151" t="s">
        <v>198</v>
      </c>
      <c r="S46" s="258"/>
      <c r="T46" s="258"/>
      <c r="U46" s="258"/>
      <c r="V46" s="258"/>
      <c r="W46" s="258"/>
      <c r="X46" s="258"/>
      <c r="Y46" s="258"/>
      <c r="Z46" s="258"/>
      <c r="AA46" s="3243" t="s">
        <v>4163</v>
      </c>
      <c r="AB46" s="3240" t="s">
        <v>4163</v>
      </c>
      <c r="AC46" s="3241" t="str">
        <f>IF(ISERROR(MATCH(AB46,'PU List'!$K$33:$K$397,0)),"N","Y")</f>
        <v>Y</v>
      </c>
      <c r="AD46" s="258"/>
      <c r="AE46" s="258"/>
      <c r="AF46" s="258"/>
    </row>
    <row r="47" spans="1:32" ht="15.9" customHeight="1" x14ac:dyDescent="0.25">
      <c r="A47" s="755"/>
      <c r="B47" s="755"/>
      <c r="C47" s="755"/>
      <c r="D47" s="258"/>
      <c r="E47" s="258"/>
      <c r="F47" s="258"/>
      <c r="G47" s="258"/>
      <c r="H47" s="258"/>
      <c r="I47" s="258"/>
      <c r="J47" s="258"/>
      <c r="K47" s="258"/>
      <c r="L47" s="258"/>
      <c r="M47" s="258"/>
      <c r="N47" s="1190">
        <v>38</v>
      </c>
      <c r="O47" s="531" t="s">
        <v>845</v>
      </c>
      <c r="P47" s="960" t="s">
        <v>1203</v>
      </c>
      <c r="Q47" s="1641" t="str">
        <f t="shared" si="7"/>
        <v>IN - INSTR &amp; CONTROL SYS</v>
      </c>
      <c r="R47" s="1151" t="s">
        <v>198</v>
      </c>
      <c r="S47" s="258"/>
      <c r="T47" s="258"/>
      <c r="U47" s="258"/>
      <c r="V47" s="258"/>
      <c r="W47" s="258"/>
      <c r="X47" s="258"/>
      <c r="Y47" s="258"/>
      <c r="Z47" s="258"/>
      <c r="AA47" s="3243" t="s">
        <v>3504</v>
      </c>
      <c r="AB47" s="3240" t="s">
        <v>3504</v>
      </c>
      <c r="AC47" s="3241" t="str">
        <f>IF(ISERROR(MATCH(AB47,'PU List'!$K$33:$K$397,0)),"N","Y")</f>
        <v>Y</v>
      </c>
      <c r="AD47" s="258"/>
      <c r="AE47" s="258"/>
      <c r="AF47" s="258"/>
    </row>
    <row r="48" spans="1:32" ht="15.9" customHeight="1" x14ac:dyDescent="0.25">
      <c r="A48" s="755"/>
      <c r="B48" s="755"/>
      <c r="C48" s="755"/>
      <c r="D48" s="258"/>
      <c r="E48" s="258"/>
      <c r="F48" s="258"/>
      <c r="G48" s="258"/>
      <c r="H48" s="258"/>
      <c r="I48" s="258"/>
      <c r="J48" s="258"/>
      <c r="K48" s="258"/>
      <c r="L48" s="258"/>
      <c r="M48" s="258"/>
      <c r="N48" s="1190">
        <v>39</v>
      </c>
      <c r="O48" s="531" t="s">
        <v>938</v>
      </c>
      <c r="P48" s="960" t="s">
        <v>939</v>
      </c>
      <c r="Q48" s="1641" t="str">
        <f t="shared" si="7"/>
        <v>JP - JPRO</v>
      </c>
      <c r="R48" s="1151" t="s">
        <v>198</v>
      </c>
      <c r="S48" s="258"/>
      <c r="T48" s="258"/>
      <c r="U48" s="258"/>
      <c r="V48" s="258"/>
      <c r="W48" s="258"/>
      <c r="X48" s="258"/>
      <c r="Y48" s="258"/>
      <c r="Z48" s="258"/>
      <c r="AA48" s="3243" t="s">
        <v>3507</v>
      </c>
      <c r="AB48" s="3240" t="s">
        <v>3507</v>
      </c>
      <c r="AC48" s="3241" t="str">
        <f>IF(ISERROR(MATCH(AB48,'PU List'!$K$33:$K$397,0)),"N","Y")</f>
        <v>Y</v>
      </c>
      <c r="AD48" s="258"/>
      <c r="AE48" s="258"/>
      <c r="AF48" s="258"/>
    </row>
    <row r="49" spans="1:32" ht="15.9" customHeight="1" x14ac:dyDescent="0.25">
      <c r="A49" s="755"/>
      <c r="B49" s="755"/>
      <c r="C49" s="755"/>
      <c r="D49" s="258"/>
      <c r="E49" s="258"/>
      <c r="F49" s="258"/>
      <c r="G49" s="258"/>
      <c r="H49" s="258"/>
      <c r="I49" s="258"/>
      <c r="J49" s="258"/>
      <c r="K49" s="258"/>
      <c r="L49" s="258"/>
      <c r="M49" s="258"/>
      <c r="N49" s="1190">
        <v>40</v>
      </c>
      <c r="O49" s="531" t="s">
        <v>979</v>
      </c>
      <c r="P49" s="960" t="s">
        <v>980</v>
      </c>
      <c r="Q49" s="1641" t="str">
        <f t="shared" si="7"/>
        <v>LA - LANDSCAPE</v>
      </c>
      <c r="R49" s="1151" t="s">
        <v>198</v>
      </c>
      <c r="S49" s="258"/>
      <c r="T49" s="258"/>
      <c r="U49" s="258"/>
      <c r="V49" s="258"/>
      <c r="W49" s="258"/>
      <c r="X49" s="258"/>
      <c r="Y49" s="258"/>
      <c r="Z49" s="258"/>
      <c r="AA49" s="3243" t="s">
        <v>3508</v>
      </c>
      <c r="AB49" s="3240" t="s">
        <v>3508</v>
      </c>
      <c r="AC49" s="3241" t="str">
        <f>IF(ISERROR(MATCH(AB49,'PU List'!$K$33:$K$397,0)),"N","Y")</f>
        <v>Y</v>
      </c>
      <c r="AD49" s="258"/>
      <c r="AE49" s="258"/>
      <c r="AF49" s="258"/>
    </row>
    <row r="50" spans="1:32" ht="15.9" customHeight="1" x14ac:dyDescent="0.25">
      <c r="A50" s="755"/>
      <c r="B50" s="755"/>
      <c r="C50" s="755"/>
      <c r="D50" s="258"/>
      <c r="E50" s="258"/>
      <c r="F50" s="258"/>
      <c r="G50" s="258"/>
      <c r="H50" s="258"/>
      <c r="I50" s="258"/>
      <c r="J50" s="258"/>
      <c r="K50" s="258"/>
      <c r="L50" s="258"/>
      <c r="M50" s="258"/>
      <c r="N50" s="1190">
        <v>41</v>
      </c>
      <c r="O50" s="531" t="s">
        <v>1208</v>
      </c>
      <c r="P50" s="960" t="s">
        <v>1209</v>
      </c>
      <c r="Q50" s="1641" t="str">
        <f t="shared" si="7"/>
        <v>LT - LAB/TECHNOLOGY/ACTIVITIES</v>
      </c>
      <c r="R50" s="1151" t="s">
        <v>198</v>
      </c>
      <c r="S50" s="258"/>
      <c r="T50" s="258"/>
      <c r="U50" s="258"/>
      <c r="V50" s="258"/>
      <c r="W50" s="258"/>
      <c r="X50" s="258"/>
      <c r="Y50" s="258"/>
      <c r="Z50" s="258"/>
      <c r="AA50" s="3243" t="s">
        <v>3509</v>
      </c>
      <c r="AB50" s="3240" t="s">
        <v>3509</v>
      </c>
      <c r="AC50" s="3241" t="str">
        <f>IF(ISERROR(MATCH(AB50,'PU List'!$K$33:$K$397,0)),"N","Y")</f>
        <v>Y</v>
      </c>
      <c r="AD50" s="258"/>
      <c r="AE50" s="258"/>
      <c r="AF50" s="258"/>
    </row>
    <row r="51" spans="1:32" ht="15.9" customHeight="1" x14ac:dyDescent="0.25">
      <c r="A51" s="755"/>
      <c r="B51" s="755"/>
      <c r="C51" s="755"/>
      <c r="D51" s="258"/>
      <c r="E51" s="258"/>
      <c r="F51" s="258"/>
      <c r="G51" s="258"/>
      <c r="H51" s="258"/>
      <c r="I51" s="258"/>
      <c r="J51" s="258"/>
      <c r="K51" s="258"/>
      <c r="L51" s="258"/>
      <c r="M51" s="258"/>
      <c r="N51" s="1190">
        <v>42</v>
      </c>
      <c r="O51" s="531" t="s">
        <v>827</v>
      </c>
      <c r="P51" s="960" t="s">
        <v>981</v>
      </c>
      <c r="Q51" s="1641" t="str">
        <f t="shared" si="7"/>
        <v>MA - MARINE</v>
      </c>
      <c r="R51" s="1151" t="s">
        <v>198</v>
      </c>
      <c r="S51" s="258"/>
      <c r="T51" s="258"/>
      <c r="U51" s="258"/>
      <c r="V51" s="258"/>
      <c r="W51" s="258"/>
      <c r="X51" s="258"/>
      <c r="Y51" s="258"/>
      <c r="Z51" s="258"/>
      <c r="AA51" s="3243" t="s">
        <v>3511</v>
      </c>
      <c r="AB51" s="3240" t="s">
        <v>3511</v>
      </c>
      <c r="AC51" s="3241" t="str">
        <f>IF(ISERROR(MATCH(AB51,'PU List'!$K$33:$K$397,0)),"N","Y")</f>
        <v>Y</v>
      </c>
      <c r="AD51" s="258"/>
      <c r="AE51" s="258"/>
      <c r="AF51" s="258"/>
    </row>
    <row r="52" spans="1:32" ht="15.9" customHeight="1" x14ac:dyDescent="0.25">
      <c r="A52" s="755"/>
      <c r="B52" s="755"/>
      <c r="C52" s="755"/>
      <c r="D52" s="258"/>
      <c r="E52" s="258"/>
      <c r="F52" s="258"/>
      <c r="G52" s="258"/>
      <c r="H52" s="258"/>
      <c r="I52" s="258"/>
      <c r="J52" s="258"/>
      <c r="K52" s="258"/>
      <c r="L52" s="258"/>
      <c r="M52" s="258"/>
      <c r="N52" s="1190">
        <v>43</v>
      </c>
      <c r="O52" s="531" t="s">
        <v>828</v>
      </c>
      <c r="P52" s="960" t="s">
        <v>1205</v>
      </c>
      <c r="Q52" s="1641" t="str">
        <f t="shared" si="7"/>
        <v>MD - MACHINE DESIGN</v>
      </c>
      <c r="R52" s="1151" t="s">
        <v>198</v>
      </c>
      <c r="S52" s="258"/>
      <c r="T52" s="258"/>
      <c r="U52" s="258"/>
      <c r="V52" s="258"/>
      <c r="W52" s="258"/>
      <c r="X52" s="258"/>
      <c r="Y52" s="258"/>
      <c r="Z52" s="258"/>
      <c r="AA52" s="3243" t="s">
        <v>3513</v>
      </c>
      <c r="AB52" s="3240" t="s">
        <v>3513</v>
      </c>
      <c r="AC52" s="3241" t="str">
        <f>IF(ISERROR(MATCH(AB52,'PU List'!$K$33:$K$397,0)),"N","Y")</f>
        <v>Y</v>
      </c>
      <c r="AD52" s="258"/>
      <c r="AE52" s="258"/>
      <c r="AF52" s="258"/>
    </row>
    <row r="53" spans="1:32" ht="15.9" customHeight="1" x14ac:dyDescent="0.25">
      <c r="A53" s="755"/>
      <c r="B53" s="755"/>
      <c r="C53" s="755"/>
      <c r="D53" s="258"/>
      <c r="E53" s="258"/>
      <c r="F53" s="258"/>
      <c r="G53" s="258"/>
      <c r="H53" s="258"/>
      <c r="I53" s="258"/>
      <c r="J53" s="258"/>
      <c r="K53" s="258"/>
      <c r="L53" s="258"/>
      <c r="M53" s="258"/>
      <c r="N53" s="1190">
        <v>44</v>
      </c>
      <c r="O53" s="531" t="s">
        <v>264</v>
      </c>
      <c r="P53" s="960" t="s">
        <v>1202</v>
      </c>
      <c r="Q53" s="1641" t="str">
        <f t="shared" si="7"/>
        <v>ME - MECH SERV</v>
      </c>
      <c r="R53" s="1151" t="s">
        <v>198</v>
      </c>
      <c r="S53" s="258"/>
      <c r="T53" s="258"/>
      <c r="U53" s="258"/>
      <c r="V53" s="258"/>
      <c r="W53" s="258"/>
      <c r="X53" s="258"/>
      <c r="Y53" s="258"/>
      <c r="Z53" s="258"/>
      <c r="AA53" s="3243" t="s">
        <v>3965</v>
      </c>
      <c r="AB53" s="3240" t="s">
        <v>3965</v>
      </c>
      <c r="AC53" s="3241" t="str">
        <f>IF(ISERROR(MATCH(AB53,'PU List'!$K$33:$K$397,0)),"N","Y")</f>
        <v>Y</v>
      </c>
      <c r="AD53" s="258"/>
      <c r="AE53" s="258"/>
      <c r="AF53" s="258"/>
    </row>
    <row r="54" spans="1:32" ht="15.9" customHeight="1" x14ac:dyDescent="0.25">
      <c r="A54" s="755"/>
      <c r="B54" s="755"/>
      <c r="C54" s="755"/>
      <c r="D54" s="258"/>
      <c r="E54" s="258"/>
      <c r="F54" s="258"/>
      <c r="G54" s="258"/>
      <c r="H54" s="258"/>
      <c r="I54" s="258"/>
      <c r="J54" s="258"/>
      <c r="K54" s="258"/>
      <c r="L54" s="258"/>
      <c r="M54" s="258"/>
      <c r="N54" s="1190">
        <v>45</v>
      </c>
      <c r="O54" s="531" t="s">
        <v>970</v>
      </c>
      <c r="P54" s="960" t="s">
        <v>971</v>
      </c>
      <c r="Q54" s="1641" t="str">
        <f t="shared" si="7"/>
        <v>MM - MINING ENGR</v>
      </c>
      <c r="R54" s="1151" t="s">
        <v>198</v>
      </c>
      <c r="S54" s="258"/>
      <c r="T54" s="258"/>
      <c r="U54" s="258"/>
      <c r="V54" s="258"/>
      <c r="W54" s="258"/>
      <c r="X54" s="258"/>
      <c r="Y54" s="258"/>
      <c r="Z54" s="258"/>
      <c r="AA54" s="3243" t="s">
        <v>4040</v>
      </c>
      <c r="AB54" s="3240" t="s">
        <v>4040</v>
      </c>
      <c r="AC54" s="3241" t="str">
        <f>IF(ISERROR(MATCH(AB54,'PU List'!$K$33:$K$397,0)),"N","Y")</f>
        <v>Y</v>
      </c>
      <c r="AD54" s="258"/>
      <c r="AE54" s="258"/>
      <c r="AF54" s="258"/>
    </row>
    <row r="55" spans="1:32" ht="15.9" customHeight="1" x14ac:dyDescent="0.25">
      <c r="A55" s="755"/>
      <c r="B55" s="755"/>
      <c r="C55" s="755"/>
      <c r="D55" s="258"/>
      <c r="E55" s="258"/>
      <c r="F55" s="258"/>
      <c r="G55" s="258"/>
      <c r="H55" s="258"/>
      <c r="I55" s="258"/>
      <c r="J55" s="258"/>
      <c r="K55" s="258"/>
      <c r="L55" s="258"/>
      <c r="M55" s="258"/>
      <c r="N55" s="1190">
        <v>46</v>
      </c>
      <c r="O55" s="531" t="s">
        <v>829</v>
      </c>
      <c r="P55" s="960" t="s">
        <v>986</v>
      </c>
      <c r="Q55" s="1641" t="str">
        <f t="shared" si="7"/>
        <v>OE - OTHER ENGR</v>
      </c>
      <c r="R55" s="1151" t="s">
        <v>198</v>
      </c>
      <c r="S55" s="258"/>
      <c r="T55" s="258"/>
      <c r="U55" s="258"/>
      <c r="V55" s="258"/>
      <c r="W55" s="258"/>
      <c r="X55" s="258"/>
      <c r="Y55" s="258"/>
      <c r="Z55" s="258"/>
      <c r="AA55" s="3243" t="s">
        <v>3963</v>
      </c>
      <c r="AB55" s="3240" t="s">
        <v>3963</v>
      </c>
      <c r="AC55" s="3241" t="str">
        <f>IF(ISERROR(MATCH(AB55,'PU List'!$K$33:$K$397,0)),"N","Y")</f>
        <v>Y</v>
      </c>
      <c r="AD55" s="258"/>
      <c r="AE55" s="258"/>
      <c r="AF55" s="258"/>
    </row>
    <row r="56" spans="1:32" s="749" customFormat="1" ht="15.9" customHeight="1" x14ac:dyDescent="0.25">
      <c r="A56" s="755"/>
      <c r="B56" s="755"/>
      <c r="C56" s="755"/>
      <c r="D56" s="258"/>
      <c r="E56" s="258"/>
      <c r="F56" s="258"/>
      <c r="G56" s="258"/>
      <c r="H56" s="258"/>
      <c r="I56" s="258"/>
      <c r="J56" s="258"/>
      <c r="K56" s="258"/>
      <c r="L56" s="258"/>
      <c r="M56" s="258"/>
      <c r="N56" s="1190">
        <v>47</v>
      </c>
      <c r="O56" s="531" t="s">
        <v>949</v>
      </c>
      <c r="P56" s="960" t="s">
        <v>948</v>
      </c>
      <c r="Q56" s="1641" t="str">
        <f t="shared" si="7"/>
        <v xml:space="preserve">PI - PIPING </v>
      </c>
      <c r="R56" s="1151" t="s">
        <v>198</v>
      </c>
      <c r="S56" s="258"/>
      <c r="T56" s="258"/>
      <c r="U56" s="258"/>
      <c r="V56" s="258"/>
      <c r="W56" s="258"/>
      <c r="X56" s="258"/>
      <c r="Y56" s="258"/>
      <c r="Z56" s="258"/>
      <c r="AA56" s="3243" t="s">
        <v>3962</v>
      </c>
      <c r="AB56" s="3240" t="s">
        <v>3962</v>
      </c>
      <c r="AC56" s="3241" t="str">
        <f>IF(ISERROR(MATCH(AB56,'PU List'!$K$33:$K$397,0)),"N","Y")</f>
        <v>Y</v>
      </c>
      <c r="AD56" s="258"/>
      <c r="AE56" s="258"/>
      <c r="AF56" s="258"/>
    </row>
    <row r="57" spans="1:32" s="749" customFormat="1" ht="15.9" customHeight="1" x14ac:dyDescent="0.25">
      <c r="A57" s="755"/>
      <c r="B57" s="755"/>
      <c r="C57" s="755"/>
      <c r="D57" s="258"/>
      <c r="E57" s="258"/>
      <c r="F57" s="258"/>
      <c r="G57" s="258"/>
      <c r="H57" s="258"/>
      <c r="I57" s="258"/>
      <c r="J57" s="258"/>
      <c r="K57" s="258"/>
      <c r="L57" s="258"/>
      <c r="M57" s="258"/>
      <c r="N57" s="1190">
        <v>48</v>
      </c>
      <c r="O57" s="531" t="s">
        <v>959</v>
      </c>
      <c r="P57" s="960" t="s">
        <v>960</v>
      </c>
      <c r="Q57" s="1641" t="str">
        <f t="shared" si="7"/>
        <v>PK - PACKAGING</v>
      </c>
      <c r="R57" s="1151" t="s">
        <v>198</v>
      </c>
      <c r="S57" s="258"/>
      <c r="T57" s="258"/>
      <c r="U57" s="258"/>
      <c r="V57" s="258"/>
      <c r="W57" s="258"/>
      <c r="X57" s="258"/>
      <c r="Y57" s="258"/>
      <c r="Z57" s="258"/>
      <c r="AA57" s="3243" t="s">
        <v>3966</v>
      </c>
      <c r="AB57" s="3240" t="s">
        <v>3966</v>
      </c>
      <c r="AC57" s="3241" t="str">
        <f>IF(ISERROR(MATCH(AB57,'PU List'!$K$33:$K$397,0)),"N","Y")</f>
        <v>Y</v>
      </c>
      <c r="AD57" s="258"/>
      <c r="AE57" s="258"/>
      <c r="AF57" s="258"/>
    </row>
    <row r="58" spans="1:32" s="749" customFormat="1" ht="15.9" customHeight="1" x14ac:dyDescent="0.25">
      <c r="A58" s="755"/>
      <c r="B58" s="755"/>
      <c r="C58" s="755"/>
      <c r="D58" s="258"/>
      <c r="E58" s="258"/>
      <c r="F58" s="258"/>
      <c r="G58" s="258"/>
      <c r="H58" s="258"/>
      <c r="I58" s="258"/>
      <c r="J58" s="258"/>
      <c r="K58" s="258"/>
      <c r="L58" s="258"/>
      <c r="M58" s="258"/>
      <c r="N58" s="1190">
        <v>49</v>
      </c>
      <c r="O58" s="531" t="s">
        <v>951</v>
      </c>
      <c r="P58" s="960" t="s">
        <v>952</v>
      </c>
      <c r="Q58" s="1641" t="str">
        <f t="shared" si="7"/>
        <v>PL - PLUMBING</v>
      </c>
      <c r="R58" s="1151" t="s">
        <v>198</v>
      </c>
      <c r="S58" s="258"/>
      <c r="T58" s="258"/>
      <c r="U58" s="258"/>
      <c r="V58" s="258"/>
      <c r="W58" s="258"/>
      <c r="X58" s="258"/>
      <c r="Y58" s="258"/>
      <c r="Z58" s="258"/>
      <c r="AA58" s="3243" t="s">
        <v>3967</v>
      </c>
      <c r="AB58" s="3240" t="s">
        <v>3967</v>
      </c>
      <c r="AC58" s="3241" t="str">
        <f>IF(ISERROR(MATCH(AB58,'PU List'!$K$33:$K$397,0)),"N","Y")</f>
        <v>Y</v>
      </c>
      <c r="AD58" s="258"/>
      <c r="AE58" s="258"/>
      <c r="AF58" s="258"/>
    </row>
    <row r="59" spans="1:32" s="749" customFormat="1" ht="15.9" customHeight="1" x14ac:dyDescent="0.25">
      <c r="A59" s="755"/>
      <c r="B59" s="755"/>
      <c r="C59" s="755"/>
      <c r="D59" s="258"/>
      <c r="E59" s="258"/>
      <c r="F59" s="258"/>
      <c r="G59" s="258"/>
      <c r="H59" s="258"/>
      <c r="I59" s="258"/>
      <c r="J59" s="258"/>
      <c r="K59" s="258"/>
      <c r="L59" s="258"/>
      <c r="M59" s="258"/>
      <c r="N59" s="1190">
        <v>50</v>
      </c>
      <c r="O59" s="531" t="s">
        <v>268</v>
      </c>
      <c r="P59" s="960" t="s">
        <v>950</v>
      </c>
      <c r="Q59" s="1641" t="str">
        <f t="shared" si="7"/>
        <v>PN - PIPING MECH</v>
      </c>
      <c r="R59" s="1151" t="s">
        <v>198</v>
      </c>
      <c r="S59" s="258"/>
      <c r="T59" s="258"/>
      <c r="U59" s="258"/>
      <c r="V59" s="258"/>
      <c r="W59" s="258"/>
      <c r="X59" s="258"/>
      <c r="Y59" s="258"/>
      <c r="Z59" s="258"/>
      <c r="AA59" s="3243" t="s">
        <v>3968</v>
      </c>
      <c r="AB59" s="3240" t="s">
        <v>3968</v>
      </c>
      <c r="AC59" s="3241" t="str">
        <f>IF(ISERROR(MATCH(AB59,'PU List'!$K$33:$K$397,0)),"N","Y")</f>
        <v>Y</v>
      </c>
      <c r="AD59" s="258"/>
      <c r="AE59" s="258"/>
      <c r="AF59" s="258"/>
    </row>
    <row r="60" spans="1:32" s="749" customFormat="1" ht="15.9" customHeight="1" x14ac:dyDescent="0.25">
      <c r="A60" s="755"/>
      <c r="B60" s="755"/>
      <c r="C60" s="755"/>
      <c r="D60" s="258"/>
      <c r="E60" s="258"/>
      <c r="F60" s="258"/>
      <c r="G60" s="258"/>
      <c r="H60" s="258"/>
      <c r="I60" s="258"/>
      <c r="J60" s="258"/>
      <c r="K60" s="258"/>
      <c r="L60" s="258"/>
      <c r="M60" s="258"/>
      <c r="N60" s="1190">
        <v>51</v>
      </c>
      <c r="O60" s="531" t="s">
        <v>78</v>
      </c>
      <c r="P60" s="960" t="s">
        <v>270</v>
      </c>
      <c r="Q60" s="1641" t="str">
        <f t="shared" si="7"/>
        <v>PR - PROCESS</v>
      </c>
      <c r="R60" s="1151" t="s">
        <v>198</v>
      </c>
      <c r="S60" s="258"/>
      <c r="T60" s="258"/>
      <c r="U60" s="258"/>
      <c r="V60" s="258"/>
      <c r="W60" s="258"/>
      <c r="X60" s="258"/>
      <c r="Y60" s="258"/>
      <c r="Z60" s="258"/>
      <c r="AA60" s="3243" t="s">
        <v>3969</v>
      </c>
      <c r="AB60" s="3240" t="s">
        <v>3969</v>
      </c>
      <c r="AC60" s="3241" t="str">
        <f>IF(ISERROR(MATCH(AB60,'PU List'!$K$33:$K$397,0)),"N","Y")</f>
        <v>Y</v>
      </c>
      <c r="AD60" s="258"/>
      <c r="AE60" s="258"/>
      <c r="AF60" s="258"/>
    </row>
    <row r="61" spans="1:32" s="749" customFormat="1" ht="15.9" customHeight="1" x14ac:dyDescent="0.25">
      <c r="A61" s="755"/>
      <c r="B61" s="755"/>
      <c r="C61" s="755"/>
      <c r="D61" s="258"/>
      <c r="E61" s="258"/>
      <c r="F61" s="258"/>
      <c r="G61" s="258"/>
      <c r="H61" s="258"/>
      <c r="I61" s="258"/>
      <c r="J61" s="258"/>
      <c r="K61" s="258"/>
      <c r="L61" s="258"/>
      <c r="M61" s="258"/>
      <c r="N61" s="1190">
        <v>52</v>
      </c>
      <c r="O61" s="531" t="s">
        <v>961</v>
      </c>
      <c r="P61" s="960" t="s">
        <v>1204</v>
      </c>
      <c r="Q61" s="1641" t="str">
        <f t="shared" si="7"/>
        <v>PT - PROJECT TECH (DTE/DTS/EDS/CAE)</v>
      </c>
      <c r="R61" s="1151" t="s">
        <v>198</v>
      </c>
      <c r="S61" s="258"/>
      <c r="T61" s="258"/>
      <c r="U61" s="258"/>
      <c r="V61" s="258"/>
      <c r="W61" s="258"/>
      <c r="X61" s="258"/>
      <c r="Y61" s="258"/>
      <c r="Z61" s="258"/>
      <c r="AA61" s="3243" t="s">
        <v>4039</v>
      </c>
      <c r="AB61" s="3240" t="s">
        <v>4039</v>
      </c>
      <c r="AC61" s="3241" t="str">
        <f>IF(ISERROR(MATCH(AB61,'PU List'!$K$33:$K$397,0)),"N","Y")</f>
        <v>Y</v>
      </c>
      <c r="AD61" s="258"/>
      <c r="AE61" s="258"/>
      <c r="AF61" s="258"/>
    </row>
    <row r="62" spans="1:32" s="749" customFormat="1" ht="15.9" customHeight="1" x14ac:dyDescent="0.25">
      <c r="A62" s="755"/>
      <c r="B62" s="755"/>
      <c r="C62" s="755"/>
      <c r="D62" s="258"/>
      <c r="E62" s="258"/>
      <c r="F62" s="258"/>
      <c r="G62" s="258"/>
      <c r="H62" s="258"/>
      <c r="I62" s="258"/>
      <c r="J62" s="258"/>
      <c r="K62" s="258"/>
      <c r="L62" s="258"/>
      <c r="M62" s="258"/>
      <c r="N62" s="1190">
        <v>53</v>
      </c>
      <c r="O62" s="531" t="s">
        <v>982</v>
      </c>
      <c r="P62" s="960" t="s">
        <v>983</v>
      </c>
      <c r="Q62" s="1641" t="str">
        <f t="shared" si="7"/>
        <v>RA - RAIL</v>
      </c>
      <c r="R62" s="1151" t="s">
        <v>198</v>
      </c>
      <c r="S62" s="258"/>
      <c r="T62" s="258"/>
      <c r="U62" s="258"/>
      <c r="V62" s="258"/>
      <c r="W62" s="258"/>
      <c r="X62" s="258"/>
      <c r="Y62" s="258"/>
      <c r="Z62" s="258"/>
      <c r="AA62" s="3243" t="s">
        <v>3985</v>
      </c>
      <c r="AB62" s="3240" t="s">
        <v>3985</v>
      </c>
      <c r="AC62" s="3241" t="str">
        <f>IF(ISERROR(MATCH(AB62,'PU List'!$K$33:$K$397,0)),"N","Y")</f>
        <v>Y</v>
      </c>
      <c r="AD62" s="258"/>
      <c r="AE62" s="258"/>
      <c r="AF62" s="258"/>
    </row>
    <row r="63" spans="1:32" s="749" customFormat="1" ht="15.9" customHeight="1" x14ac:dyDescent="0.25">
      <c r="A63" s="755"/>
      <c r="B63" s="755"/>
      <c r="C63" s="755"/>
      <c r="D63" s="258"/>
      <c r="E63" s="258"/>
      <c r="F63" s="258"/>
      <c r="G63" s="258"/>
      <c r="H63" s="258"/>
      <c r="I63" s="258"/>
      <c r="J63" s="258"/>
      <c r="K63" s="258"/>
      <c r="L63" s="258"/>
      <c r="M63" s="258"/>
      <c r="N63" s="1190">
        <v>54</v>
      </c>
      <c r="O63" s="531" t="s">
        <v>831</v>
      </c>
      <c r="P63" s="960" t="s">
        <v>958</v>
      </c>
      <c r="Q63" s="1641" t="str">
        <f t="shared" si="7"/>
        <v>SE - PROCESS SAFETY</v>
      </c>
      <c r="R63" s="1151" t="s">
        <v>198</v>
      </c>
      <c r="S63" s="258"/>
      <c r="T63" s="258"/>
      <c r="U63" s="258"/>
      <c r="V63" s="258"/>
      <c r="W63" s="258"/>
      <c r="X63" s="258"/>
      <c r="Y63" s="258"/>
      <c r="Z63" s="258"/>
      <c r="AA63" s="3243" t="s">
        <v>4145</v>
      </c>
      <c r="AB63" s="3240" t="s">
        <v>4145</v>
      </c>
      <c r="AC63" s="3241" t="str">
        <f>IF(ISERROR(MATCH(AB63,'PU List'!$K$33:$K$397,0)),"N","Y")</f>
        <v>Y</v>
      </c>
      <c r="AD63" s="258"/>
      <c r="AE63" s="258"/>
      <c r="AF63" s="258"/>
    </row>
    <row r="64" spans="1:32" s="749" customFormat="1" ht="15.9" customHeight="1" x14ac:dyDescent="0.25">
      <c r="A64" s="755"/>
      <c r="B64" s="755"/>
      <c r="C64" s="755"/>
      <c r="D64" s="258"/>
      <c r="E64" s="258"/>
      <c r="F64" s="258"/>
      <c r="G64" s="258"/>
      <c r="H64" s="258"/>
      <c r="I64" s="258"/>
      <c r="J64" s="258"/>
      <c r="K64" s="258"/>
      <c r="L64" s="258"/>
      <c r="M64" s="258"/>
      <c r="N64" s="1190">
        <v>55</v>
      </c>
      <c r="O64" s="531" t="s">
        <v>962</v>
      </c>
      <c r="P64" s="960" t="s">
        <v>1206</v>
      </c>
      <c r="Q64" s="1641" t="str">
        <f t="shared" si="7"/>
        <v>SI - AUTOMATION / SYS INTEGRATION</v>
      </c>
      <c r="R64" s="1151" t="s">
        <v>198</v>
      </c>
      <c r="S64" s="258"/>
      <c r="T64" s="258"/>
      <c r="U64" s="258"/>
      <c r="V64" s="258"/>
      <c r="W64" s="258"/>
      <c r="X64" s="258"/>
      <c r="Y64" s="258"/>
      <c r="Z64" s="258"/>
      <c r="AA64" s="3243" t="s">
        <v>4146</v>
      </c>
      <c r="AB64" s="3240" t="s">
        <v>4146</v>
      </c>
      <c r="AC64" s="3241" t="str">
        <f>IF(ISERROR(MATCH(AB64,'PU List'!$K$33:$K$397,0)),"N","Y")</f>
        <v>Y</v>
      </c>
      <c r="AD64" s="258"/>
      <c r="AE64" s="258"/>
      <c r="AF64" s="258"/>
    </row>
    <row r="65" spans="1:32" s="749" customFormat="1" ht="15.9" customHeight="1" x14ac:dyDescent="0.25">
      <c r="A65" s="755"/>
      <c r="B65" s="755"/>
      <c r="C65" s="755"/>
      <c r="D65" s="258"/>
      <c r="E65" s="258"/>
      <c r="F65" s="258"/>
      <c r="G65" s="258"/>
      <c r="H65" s="258"/>
      <c r="I65" s="258"/>
      <c r="J65" s="258"/>
      <c r="K65" s="258"/>
      <c r="L65" s="258"/>
      <c r="M65" s="258"/>
      <c r="N65" s="1190">
        <v>56</v>
      </c>
      <c r="O65" s="531" t="s">
        <v>943</v>
      </c>
      <c r="P65" s="960" t="s">
        <v>944</v>
      </c>
      <c r="Q65" s="1641" t="str">
        <f t="shared" si="7"/>
        <v>ST - STRUCTURAL</v>
      </c>
      <c r="R65" s="1151" t="s">
        <v>198</v>
      </c>
      <c r="S65" s="258"/>
      <c r="T65" s="258"/>
      <c r="U65" s="258"/>
      <c r="V65" s="258"/>
      <c r="W65" s="258"/>
      <c r="X65" s="258"/>
      <c r="Y65" s="258"/>
      <c r="Z65" s="258"/>
      <c r="AA65" s="3285" t="s">
        <v>4246</v>
      </c>
      <c r="AB65" s="3285" t="s">
        <v>4246</v>
      </c>
      <c r="AC65" s="3241" t="str">
        <f>IF(ISERROR(MATCH(AB65,'PU List'!$K$33:$K$397,0)),"N","Y")</f>
        <v>Y</v>
      </c>
      <c r="AD65" s="258"/>
      <c r="AE65" s="258"/>
      <c r="AF65" s="258"/>
    </row>
    <row r="66" spans="1:32" s="749" customFormat="1" ht="15.9" customHeight="1" x14ac:dyDescent="0.25">
      <c r="A66" s="755"/>
      <c r="B66" s="755"/>
      <c r="C66" s="755"/>
      <c r="D66" s="258"/>
      <c r="E66" s="258"/>
      <c r="F66" s="258"/>
      <c r="G66" s="258"/>
      <c r="H66" s="258"/>
      <c r="I66" s="258"/>
      <c r="J66" s="258"/>
      <c r="K66" s="258"/>
      <c r="L66" s="258"/>
      <c r="M66" s="258"/>
      <c r="N66" s="1190">
        <v>57</v>
      </c>
      <c r="O66" s="531" t="s">
        <v>984</v>
      </c>
      <c r="P66" s="960" t="s">
        <v>985</v>
      </c>
      <c r="Q66" s="1641" t="str">
        <f t="shared" si="7"/>
        <v>TE - TRANSPORT ENGR / PLANNING</v>
      </c>
      <c r="R66" s="1151" t="s">
        <v>198</v>
      </c>
      <c r="S66" s="258"/>
      <c r="T66" s="258"/>
      <c r="U66" s="258"/>
      <c r="V66" s="258"/>
      <c r="W66" s="258"/>
      <c r="X66" s="258"/>
      <c r="Y66" s="258"/>
      <c r="Z66" s="258"/>
      <c r="AA66" s="3285" t="s">
        <v>4247</v>
      </c>
      <c r="AB66" s="3285" t="s">
        <v>4247</v>
      </c>
      <c r="AC66" s="3241" t="str">
        <f>IF(ISERROR(MATCH(AB66,'PU List'!$K$33:$K$397,0)),"N","Y")</f>
        <v>Y</v>
      </c>
      <c r="AD66" s="258"/>
      <c r="AE66" s="258"/>
      <c r="AF66" s="258"/>
    </row>
    <row r="67" spans="1:32" s="749" customFormat="1" ht="15.9" customHeight="1" x14ac:dyDescent="0.25">
      <c r="A67" s="755"/>
      <c r="B67" s="755"/>
      <c r="C67" s="755"/>
      <c r="D67" s="258"/>
      <c r="E67" s="258"/>
      <c r="F67" s="258"/>
      <c r="G67" s="258"/>
      <c r="H67" s="258"/>
      <c r="I67" s="258"/>
      <c r="J67" s="258"/>
      <c r="K67" s="258"/>
      <c r="L67" s="258"/>
      <c r="M67" s="258"/>
      <c r="N67" s="1190">
        <v>58</v>
      </c>
      <c r="O67" s="531" t="s">
        <v>1207</v>
      </c>
      <c r="P67" s="960" t="s">
        <v>965</v>
      </c>
      <c r="Q67" s="1641" t="str">
        <f t="shared" si="7"/>
        <v>VD - TELECOM DATA &amp; SECURITY</v>
      </c>
      <c r="R67" s="1151" t="s">
        <v>198</v>
      </c>
      <c r="S67" s="258"/>
      <c r="T67" s="258"/>
      <c r="U67" s="258"/>
      <c r="V67" s="258"/>
      <c r="W67" s="258"/>
      <c r="X67" s="258"/>
      <c r="Y67" s="258"/>
      <c r="Z67" s="258"/>
      <c r="AA67" s="3285" t="s">
        <v>4248</v>
      </c>
      <c r="AB67" s="3285" t="s">
        <v>4248</v>
      </c>
      <c r="AC67" s="3241" t="str">
        <f>IF(ISERROR(MATCH(AB67,'PU List'!$K$33:$K$397,0)),"N","Y")</f>
        <v>Y</v>
      </c>
      <c r="AD67" s="258"/>
      <c r="AE67" s="258"/>
      <c r="AF67" s="258"/>
    </row>
    <row r="68" spans="1:32" s="749" customFormat="1" ht="15.9" customHeight="1" x14ac:dyDescent="0.25">
      <c r="A68" s="755"/>
      <c r="B68" s="755"/>
      <c r="C68" s="755"/>
      <c r="D68" s="258"/>
      <c r="E68" s="258"/>
      <c r="F68" s="258"/>
      <c r="G68" s="258"/>
      <c r="H68" s="258"/>
      <c r="I68" s="258"/>
      <c r="J68" s="258"/>
      <c r="K68" s="258"/>
      <c r="L68" s="258"/>
      <c r="M68" s="258"/>
      <c r="N68" s="1190">
        <v>59</v>
      </c>
      <c r="O68" s="1111" t="s">
        <v>995</v>
      </c>
      <c r="P68" s="1143"/>
      <c r="Q68" s="3096" t="s">
        <v>4016</v>
      </c>
      <c r="R68" s="1150"/>
      <c r="S68" s="258"/>
      <c r="T68" s="258"/>
      <c r="U68" s="258"/>
      <c r="V68" s="258"/>
      <c r="W68" s="258"/>
      <c r="X68" s="258"/>
      <c r="Y68" s="258"/>
      <c r="Z68" s="258"/>
      <c r="AA68" s="3285" t="s">
        <v>4249</v>
      </c>
      <c r="AB68" s="3285" t="s">
        <v>4249</v>
      </c>
      <c r="AC68" s="3241" t="str">
        <f>IF(ISERROR(MATCH(AB68,'PU List'!$K$33:$K$397,0)),"N","Y")</f>
        <v>Y</v>
      </c>
      <c r="AD68" s="258"/>
      <c r="AE68" s="258"/>
      <c r="AF68" s="258"/>
    </row>
    <row r="69" spans="1:32" s="749" customFormat="1" ht="15.9" customHeight="1" x14ac:dyDescent="0.25">
      <c r="A69" s="755"/>
      <c r="B69" s="755"/>
      <c r="C69" s="755"/>
      <c r="D69" s="258"/>
      <c r="E69" s="258"/>
      <c r="F69" s="258"/>
      <c r="G69" s="258"/>
      <c r="H69" s="258"/>
      <c r="I69" s="258"/>
      <c r="J69" s="258"/>
      <c r="K69" s="258"/>
      <c r="L69" s="258"/>
      <c r="M69" s="258"/>
      <c r="N69" s="1190">
        <v>60</v>
      </c>
      <c r="O69" s="531" t="s">
        <v>991</v>
      </c>
      <c r="P69" s="960" t="s">
        <v>992</v>
      </c>
      <c r="Q69" s="1641" t="str">
        <f t="shared" ref="Q69:Q74" si="8">O69&amp;" - "&amp;P69</f>
        <v xml:space="preserve">ET - INSPECTION / TESTING </v>
      </c>
      <c r="R69" s="1151" t="s">
        <v>198</v>
      </c>
      <c r="S69" s="258"/>
      <c r="T69" s="258"/>
      <c r="U69" s="258"/>
      <c r="V69" s="258"/>
      <c r="W69" s="258"/>
      <c r="X69" s="258"/>
      <c r="Y69" s="258"/>
      <c r="Z69" s="258"/>
      <c r="AA69" s="3285" t="s">
        <v>4250</v>
      </c>
      <c r="AB69" s="3285" t="s">
        <v>4250</v>
      </c>
      <c r="AC69" s="3241" t="str">
        <f>IF(ISERROR(MATCH(AB69,'PU List'!$K$33:$K$397,0)),"N","Y")</f>
        <v>Y</v>
      </c>
      <c r="AD69" s="258"/>
      <c r="AE69" s="258"/>
      <c r="AF69" s="258"/>
    </row>
    <row r="70" spans="1:32" s="749" customFormat="1" ht="15.9" customHeight="1" x14ac:dyDescent="0.25">
      <c r="A70" s="755"/>
      <c r="B70" s="755"/>
      <c r="C70" s="755"/>
      <c r="D70" s="258"/>
      <c r="E70" s="258"/>
      <c r="F70" s="258"/>
      <c r="G70" s="258"/>
      <c r="H70" s="258"/>
      <c r="I70" s="258"/>
      <c r="J70" s="258"/>
      <c r="K70" s="258"/>
      <c r="L70" s="258"/>
      <c r="M70" s="258"/>
      <c r="N70" s="1190">
        <v>61</v>
      </c>
      <c r="O70" s="531" t="s">
        <v>281</v>
      </c>
      <c r="P70" s="960" t="s">
        <v>282</v>
      </c>
      <c r="Q70" s="1641" t="str">
        <f t="shared" si="8"/>
        <v>EX - EXPEDITING</v>
      </c>
      <c r="R70" s="1151" t="s">
        <v>198</v>
      </c>
      <c r="S70" s="258"/>
      <c r="T70" s="258"/>
      <c r="U70" s="258"/>
      <c r="V70" s="258"/>
      <c r="W70" s="258"/>
      <c r="X70" s="258"/>
      <c r="Y70" s="258"/>
      <c r="Z70" s="258"/>
      <c r="AA70" s="3285"/>
      <c r="AB70" s="3285"/>
      <c r="AC70" s="3241" t="str">
        <f>IF(ISERROR(MATCH(AB70,'PU List'!$K$33:$K$397,0)),"N","Y")</f>
        <v>N</v>
      </c>
      <c r="AD70" s="258"/>
      <c r="AE70" s="258"/>
      <c r="AF70" s="258"/>
    </row>
    <row r="71" spans="1:32" s="749" customFormat="1" ht="15.9" customHeight="1" x14ac:dyDescent="0.25">
      <c r="A71" s="755"/>
      <c r="B71" s="755"/>
      <c r="C71" s="755"/>
      <c r="D71" s="258"/>
      <c r="E71" s="258"/>
      <c r="F71" s="258"/>
      <c r="G71" s="258"/>
      <c r="H71" s="258"/>
      <c r="I71" s="258"/>
      <c r="J71" s="258"/>
      <c r="K71" s="258"/>
      <c r="L71" s="258"/>
      <c r="M71" s="258"/>
      <c r="N71" s="1190">
        <v>62</v>
      </c>
      <c r="O71" s="531" t="s">
        <v>989</v>
      </c>
      <c r="P71" s="960" t="s">
        <v>990</v>
      </c>
      <c r="Q71" s="1641" t="str">
        <f t="shared" si="8"/>
        <v>LO - SHIPPING &amp; LOGISTICS</v>
      </c>
      <c r="R71" s="1151" t="s">
        <v>198</v>
      </c>
      <c r="S71" s="258"/>
      <c r="T71" s="258"/>
      <c r="U71" s="258"/>
      <c r="V71" s="258"/>
      <c r="W71" s="258"/>
      <c r="X71" s="258"/>
      <c r="Y71" s="258"/>
      <c r="Z71" s="258"/>
      <c r="AA71" s="3285"/>
      <c r="AB71" s="3285"/>
      <c r="AC71" s="3241" t="str">
        <f>IF(ISERROR(MATCH(AB71,'PU List'!$K$33:$K$397,0)),"N","Y")</f>
        <v>N</v>
      </c>
      <c r="AD71" s="258"/>
      <c r="AE71" s="258"/>
      <c r="AF71" s="258"/>
    </row>
    <row r="72" spans="1:32" s="749" customFormat="1" ht="15.9" customHeight="1" x14ac:dyDescent="0.25">
      <c r="A72" s="755"/>
      <c r="B72" s="755"/>
      <c r="C72" s="755"/>
      <c r="D72" s="258"/>
      <c r="E72" s="258"/>
      <c r="F72" s="258"/>
      <c r="G72" s="258"/>
      <c r="H72" s="258"/>
      <c r="I72" s="258"/>
      <c r="J72" s="258"/>
      <c r="K72" s="258"/>
      <c r="L72" s="258"/>
      <c r="M72" s="258"/>
      <c r="N72" s="1190">
        <v>63</v>
      </c>
      <c r="O72" s="531" t="s">
        <v>260</v>
      </c>
      <c r="P72" s="960" t="s">
        <v>261</v>
      </c>
      <c r="Q72" s="1641" t="str">
        <f t="shared" si="8"/>
        <v>MC - MATERIAL CONTROL</v>
      </c>
      <c r="R72" s="1151" t="s">
        <v>198</v>
      </c>
      <c r="S72" s="258"/>
      <c r="T72" s="258"/>
      <c r="U72" s="258"/>
      <c r="V72" s="258"/>
      <c r="W72" s="258"/>
      <c r="X72" s="258"/>
      <c r="Y72" s="258"/>
      <c r="Z72" s="258"/>
      <c r="AA72" s="3285"/>
      <c r="AB72" s="3285"/>
      <c r="AC72" s="3241" t="str">
        <f>IF(ISERROR(MATCH(AB72,'PU List'!$K$33:$K$397,0)),"N","Y")</f>
        <v>N</v>
      </c>
      <c r="AD72" s="258"/>
      <c r="AE72" s="258"/>
      <c r="AF72" s="258"/>
    </row>
    <row r="73" spans="1:32" s="749" customFormat="1" ht="15.9" customHeight="1" x14ac:dyDescent="0.25">
      <c r="A73" s="755"/>
      <c r="B73" s="755"/>
      <c r="C73" s="755"/>
      <c r="D73" s="258"/>
      <c r="E73" s="258"/>
      <c r="F73" s="258"/>
      <c r="G73" s="258"/>
      <c r="H73" s="258"/>
      <c r="I73" s="258"/>
      <c r="J73" s="258"/>
      <c r="K73" s="258"/>
      <c r="L73" s="258"/>
      <c r="M73" s="258"/>
      <c r="N73" s="1190">
        <v>64</v>
      </c>
      <c r="O73" s="531" t="s">
        <v>993</v>
      </c>
      <c r="P73" s="960" t="s">
        <v>994</v>
      </c>
      <c r="Q73" s="1641" t="str">
        <f t="shared" si="8"/>
        <v>OP - OTHER PROCUREMENT</v>
      </c>
      <c r="R73" s="1151" t="s">
        <v>198</v>
      </c>
      <c r="S73" s="258"/>
      <c r="T73" s="258"/>
      <c r="U73" s="258"/>
      <c r="V73" s="258"/>
      <c r="W73" s="258"/>
      <c r="X73" s="258"/>
      <c r="Y73" s="258"/>
      <c r="Z73" s="258"/>
      <c r="AA73" s="3285"/>
      <c r="AB73" s="3285"/>
      <c r="AC73" s="3241" t="str">
        <f>IF(ISERROR(MATCH(AB73,'PU List'!$K$33:$K$397,0)),"N","Y")</f>
        <v>N</v>
      </c>
      <c r="AD73" s="258"/>
      <c r="AE73" s="258"/>
      <c r="AF73" s="258"/>
    </row>
    <row r="74" spans="1:32" s="749" customFormat="1" ht="15.9" customHeight="1" x14ac:dyDescent="0.25">
      <c r="A74" s="755"/>
      <c r="B74" s="755"/>
      <c r="C74" s="755"/>
      <c r="D74" s="258"/>
      <c r="E74" s="258"/>
      <c r="F74" s="258"/>
      <c r="G74" s="258"/>
      <c r="H74" s="258"/>
      <c r="I74" s="258"/>
      <c r="J74" s="258"/>
      <c r="K74" s="258"/>
      <c r="L74" s="258"/>
      <c r="M74" s="258"/>
      <c r="N74" s="1190">
        <v>65</v>
      </c>
      <c r="O74" s="531" t="s">
        <v>987</v>
      </c>
      <c r="P74" s="960" t="s">
        <v>988</v>
      </c>
      <c r="Q74" s="1641" t="str">
        <f t="shared" si="8"/>
        <v>PU - PURCHASING</v>
      </c>
      <c r="R74" s="1151" t="s">
        <v>198</v>
      </c>
      <c r="S74" s="258"/>
      <c r="T74" s="258"/>
      <c r="U74" s="258"/>
      <c r="V74" s="258"/>
      <c r="W74" s="258"/>
      <c r="X74" s="258"/>
      <c r="Y74" s="258"/>
      <c r="Z74" s="258"/>
      <c r="AA74" s="3285"/>
      <c r="AB74" s="3285"/>
      <c r="AC74" s="3241" t="str">
        <f>IF(ISERROR(MATCH(AB74,'PU List'!$K$33:$K$397,0)),"N","Y")</f>
        <v>N</v>
      </c>
      <c r="AD74" s="258"/>
      <c r="AE74" s="258"/>
      <c r="AF74" s="258"/>
    </row>
    <row r="75" spans="1:32" s="749" customFormat="1" ht="15.9" customHeight="1" x14ac:dyDescent="0.25">
      <c r="A75" s="755"/>
      <c r="B75" s="755"/>
      <c r="C75" s="755"/>
      <c r="D75" s="258"/>
      <c r="E75" s="258"/>
      <c r="F75" s="258"/>
      <c r="G75" s="258"/>
      <c r="H75" s="258"/>
      <c r="I75" s="258"/>
      <c r="J75" s="258"/>
      <c r="K75" s="258"/>
      <c r="L75" s="258"/>
      <c r="M75" s="258"/>
      <c r="N75" s="1190">
        <v>66</v>
      </c>
      <c r="O75" s="531" t="s">
        <v>1020</v>
      </c>
      <c r="P75" s="960" t="s">
        <v>1021</v>
      </c>
      <c r="Q75" s="1641" t="str">
        <f t="shared" ref="Q75:Q109" si="9">O75&amp;" - "&amp;P75</f>
        <v>SM - SUBCONTRACT MGMT</v>
      </c>
      <c r="R75" s="1151" t="s">
        <v>198</v>
      </c>
      <c r="S75" s="258"/>
      <c r="T75" s="258"/>
      <c r="U75" s="258"/>
      <c r="V75" s="258"/>
      <c r="W75" s="258"/>
      <c r="X75" s="258"/>
      <c r="Y75" s="258"/>
      <c r="Z75" s="258"/>
      <c r="AA75" s="3285"/>
      <c r="AB75" s="3285"/>
      <c r="AC75" s="3241" t="str">
        <f>IF(ISERROR(MATCH(AB75,'PU List'!$K$33:$K$397,0)),"N","Y")</f>
        <v>N</v>
      </c>
      <c r="AD75" s="258"/>
      <c r="AE75" s="258"/>
      <c r="AF75" s="258"/>
    </row>
    <row r="76" spans="1:32" s="749" customFormat="1" ht="15.9" customHeight="1" x14ac:dyDescent="0.25">
      <c r="A76" s="755"/>
      <c r="B76" s="755"/>
      <c r="C76" s="755"/>
      <c r="D76" s="258"/>
      <c r="E76" s="258"/>
      <c r="F76" s="258"/>
      <c r="G76" s="258"/>
      <c r="H76" s="258"/>
      <c r="I76" s="258"/>
      <c r="J76" s="258"/>
      <c r="K76" s="258"/>
      <c r="L76" s="258"/>
      <c r="M76" s="258"/>
      <c r="N76" s="1190">
        <v>67</v>
      </c>
      <c r="O76" s="1111" t="s">
        <v>1222</v>
      </c>
      <c r="P76" s="1143"/>
      <c r="Q76" s="3096" t="s">
        <v>4016</v>
      </c>
      <c r="R76" s="1150"/>
      <c r="S76" s="258"/>
      <c r="T76" s="258"/>
      <c r="U76" s="258"/>
      <c r="V76" s="258"/>
      <c r="W76" s="258"/>
      <c r="X76" s="258"/>
      <c r="Y76" s="258"/>
      <c r="Z76" s="258"/>
      <c r="AA76" s="3285"/>
      <c r="AB76" s="3285"/>
      <c r="AC76" s="3241" t="str">
        <f>IF(ISERROR(MATCH(AB76,'PU List'!$K$33:$K$397,0)),"N","Y")</f>
        <v>N</v>
      </c>
      <c r="AD76" s="258"/>
      <c r="AE76" s="258"/>
      <c r="AF76" s="258"/>
    </row>
    <row r="77" spans="1:32" s="749" customFormat="1" ht="15.9" customHeight="1" x14ac:dyDescent="0.25">
      <c r="A77" s="755"/>
      <c r="B77" s="755"/>
      <c r="C77" s="755"/>
      <c r="D77" s="258"/>
      <c r="E77" s="258"/>
      <c r="F77" s="258"/>
      <c r="G77" s="258"/>
      <c r="H77" s="258"/>
      <c r="I77" s="258"/>
      <c r="J77" s="258"/>
      <c r="K77" s="258"/>
      <c r="L77" s="258"/>
      <c r="M77" s="258"/>
      <c r="N77" s="1190">
        <v>68</v>
      </c>
      <c r="O77" s="531" t="s">
        <v>824</v>
      </c>
      <c r="P77" s="960" t="s">
        <v>1016</v>
      </c>
      <c r="Q77" s="1641" t="str">
        <f t="shared" si="9"/>
        <v>CM - CONSTR MGMT</v>
      </c>
      <c r="R77" s="1148" t="s">
        <v>198</v>
      </c>
      <c r="S77" s="258"/>
      <c r="T77" s="258"/>
      <c r="U77" s="258"/>
      <c r="V77" s="258"/>
      <c r="W77" s="258"/>
      <c r="X77" s="258"/>
      <c r="Y77" s="258"/>
      <c r="Z77" s="258"/>
      <c r="AA77" s="3242"/>
      <c r="AB77" s="3239"/>
      <c r="AC77" s="3241" t="str">
        <f>IF(ISERROR(MATCH(AB77,'PU List'!$K$33:$K$397,0)),"N","Y")</f>
        <v>N</v>
      </c>
      <c r="AD77" s="258"/>
      <c r="AE77" s="258"/>
      <c r="AF77" s="258"/>
    </row>
    <row r="78" spans="1:32" s="749" customFormat="1" ht="15.9" customHeight="1" x14ac:dyDescent="0.25">
      <c r="A78" s="755"/>
      <c r="B78" s="755"/>
      <c r="C78" s="755"/>
      <c r="D78" s="258"/>
      <c r="E78" s="258"/>
      <c r="F78" s="258"/>
      <c r="G78" s="258"/>
      <c r="H78" s="258"/>
      <c r="I78" s="258"/>
      <c r="J78" s="258"/>
      <c r="K78" s="258"/>
      <c r="L78" s="258"/>
      <c r="M78" s="258"/>
      <c r="N78" s="1190">
        <v>69</v>
      </c>
      <c r="O78" s="531" t="s">
        <v>825</v>
      </c>
      <c r="P78" s="960" t="s">
        <v>1027</v>
      </c>
      <c r="Q78" s="1641" t="str">
        <f t="shared" si="9"/>
        <v>CO - COMMISSIONING &amp; START-UP</v>
      </c>
      <c r="R78" s="1148" t="s">
        <v>198</v>
      </c>
      <c r="S78" s="258"/>
      <c r="T78" s="258"/>
      <c r="U78" s="258"/>
      <c r="V78" s="258"/>
      <c r="W78" s="258"/>
      <c r="X78" s="258"/>
      <c r="Y78" s="258"/>
      <c r="Z78" s="258"/>
      <c r="AA78" s="3242"/>
      <c r="AB78" s="3239"/>
      <c r="AC78" s="3241" t="str">
        <f>IF(ISERROR(MATCH(AB78,'PU List'!$K$33:$K$397,0)),"N","Y")</f>
        <v>N</v>
      </c>
      <c r="AD78" s="258"/>
      <c r="AE78" s="258"/>
      <c r="AF78" s="258"/>
    </row>
    <row r="79" spans="1:32" s="749" customFormat="1" ht="15.9" customHeight="1" x14ac:dyDescent="0.25">
      <c r="A79" s="755"/>
      <c r="B79" s="755"/>
      <c r="C79" s="755"/>
      <c r="D79" s="258"/>
      <c r="E79" s="258"/>
      <c r="F79" s="258"/>
      <c r="G79" s="258"/>
      <c r="H79" s="258"/>
      <c r="I79" s="258"/>
      <c r="J79" s="258"/>
      <c r="K79" s="258"/>
      <c r="L79" s="258"/>
      <c r="M79" s="258"/>
      <c r="N79" s="1190">
        <v>70</v>
      </c>
      <c r="O79" s="531" t="s">
        <v>1018</v>
      </c>
      <c r="P79" s="960" t="s">
        <v>1019</v>
      </c>
      <c r="Q79" s="1641" t="str">
        <f t="shared" si="9"/>
        <v>FA - FIELD ADMIN</v>
      </c>
      <c r="R79" s="1148" t="s">
        <v>198</v>
      </c>
      <c r="S79" s="258"/>
      <c r="T79" s="258"/>
      <c r="U79" s="258"/>
      <c r="V79" s="258"/>
      <c r="W79" s="258"/>
      <c r="X79" s="258"/>
      <c r="Y79" s="258"/>
      <c r="Z79" s="258"/>
      <c r="AA79" s="3242"/>
      <c r="AB79" s="1462"/>
      <c r="AC79" s="1148" t="str">
        <f>IF(ISERROR(MATCH(AB79,'PU List'!$K$33:$K$397,0)),"N","Y")</f>
        <v>N</v>
      </c>
      <c r="AD79" s="258"/>
      <c r="AE79" s="258"/>
      <c r="AF79" s="258"/>
    </row>
    <row r="80" spans="1:32" s="749" customFormat="1" ht="15.9" customHeight="1" x14ac:dyDescent="0.25">
      <c r="A80" s="755"/>
      <c r="B80" s="755"/>
      <c r="C80" s="755"/>
      <c r="D80" s="258"/>
      <c r="E80" s="258"/>
      <c r="F80" s="258"/>
      <c r="G80" s="258"/>
      <c r="H80" s="258"/>
      <c r="I80" s="258"/>
      <c r="J80" s="258"/>
      <c r="K80" s="258"/>
      <c r="L80" s="258"/>
      <c r="M80" s="258"/>
      <c r="N80" s="1190">
        <v>71</v>
      </c>
      <c r="O80" s="531" t="s">
        <v>1023</v>
      </c>
      <c r="P80" s="960" t="s">
        <v>1024</v>
      </c>
      <c r="Q80" s="1641" t="str">
        <f t="shared" si="9"/>
        <v>FE - FIELD ENGR</v>
      </c>
      <c r="R80" s="1148" t="s">
        <v>198</v>
      </c>
      <c r="S80" s="258"/>
      <c r="T80" s="258"/>
      <c r="U80" s="258"/>
      <c r="V80" s="258"/>
      <c r="W80" s="258"/>
      <c r="X80" s="258"/>
      <c r="Y80" s="258"/>
      <c r="Z80" s="258"/>
      <c r="AA80" s="3244"/>
      <c r="AB80" s="3238"/>
      <c r="AC80" s="1148" t="str">
        <f>IF(ISERROR(MATCH(AB80,'PU List'!$K$33:$K$397,0)),"N","Y")</f>
        <v>N</v>
      </c>
      <c r="AD80" s="258"/>
      <c r="AE80" s="258"/>
      <c r="AF80" s="258"/>
    </row>
    <row r="81" spans="1:32" s="749" customFormat="1" ht="15.9" customHeight="1" x14ac:dyDescent="0.25">
      <c r="A81" s="755"/>
      <c r="B81" s="755"/>
      <c r="C81" s="755"/>
      <c r="D81" s="258"/>
      <c r="E81" s="258"/>
      <c r="F81" s="258"/>
      <c r="G81" s="258"/>
      <c r="H81" s="258"/>
      <c r="I81" s="258"/>
      <c r="J81" s="258"/>
      <c r="K81" s="258"/>
      <c r="L81" s="258"/>
      <c r="M81" s="258"/>
      <c r="N81" s="1190">
        <v>72</v>
      </c>
      <c r="O81" s="531" t="s">
        <v>1028</v>
      </c>
      <c r="P81" s="960" t="s">
        <v>1029</v>
      </c>
      <c r="Q81" s="1641" t="str">
        <f t="shared" si="9"/>
        <v>OC - OTHER CONSTR</v>
      </c>
      <c r="R81" s="1148" t="s">
        <v>198</v>
      </c>
      <c r="S81" s="258"/>
      <c r="T81" s="258"/>
      <c r="U81" s="258"/>
      <c r="V81" s="258"/>
      <c r="W81" s="258"/>
      <c r="X81" s="258"/>
      <c r="Y81" s="258"/>
      <c r="Z81" s="258"/>
      <c r="AA81" s="2684"/>
      <c r="AB81" s="2685"/>
      <c r="AC81" s="3229"/>
      <c r="AD81" s="258"/>
      <c r="AE81" s="258"/>
      <c r="AF81" s="258"/>
    </row>
    <row r="82" spans="1:32" s="749" customFormat="1" ht="15.9" customHeight="1" x14ac:dyDescent="0.25">
      <c r="A82" s="755"/>
      <c r="B82" s="755"/>
      <c r="C82" s="755"/>
      <c r="D82" s="258"/>
      <c r="E82" s="258"/>
      <c r="F82" s="258"/>
      <c r="G82" s="258"/>
      <c r="H82" s="258"/>
      <c r="I82" s="258"/>
      <c r="J82" s="258"/>
      <c r="K82" s="258"/>
      <c r="L82" s="258"/>
      <c r="M82" s="258"/>
      <c r="N82" s="1190">
        <v>73</v>
      </c>
      <c r="O82" s="531" t="s">
        <v>1219</v>
      </c>
      <c r="P82" s="960" t="s">
        <v>1220</v>
      </c>
      <c r="Q82" s="1641" t="str">
        <f t="shared" si="9"/>
        <v>QA - QA/QC</v>
      </c>
      <c r="R82" s="1148" t="s">
        <v>198</v>
      </c>
      <c r="S82" s="258"/>
      <c r="T82" s="258"/>
      <c r="U82" s="258"/>
      <c r="V82" s="258"/>
      <c r="W82" s="258"/>
      <c r="X82" s="258"/>
      <c r="Y82" s="258"/>
      <c r="Z82" s="258"/>
      <c r="AA82" s="258"/>
      <c r="AB82" s="258"/>
      <c r="AC82" s="258"/>
      <c r="AD82" s="258"/>
      <c r="AE82" s="258"/>
      <c r="AF82" s="258"/>
    </row>
    <row r="83" spans="1:32" s="749" customFormat="1" ht="15.9" customHeight="1" x14ac:dyDescent="0.25">
      <c r="A83" s="755"/>
      <c r="B83" s="755"/>
      <c r="C83" s="755"/>
      <c r="D83" s="258"/>
      <c r="E83" s="258"/>
      <c r="F83" s="258"/>
      <c r="G83" s="258"/>
      <c r="H83" s="258"/>
      <c r="I83" s="258"/>
      <c r="J83" s="258"/>
      <c r="K83" s="258"/>
      <c r="L83" s="258"/>
      <c r="M83" s="258"/>
      <c r="N83" s="1190">
        <v>74</v>
      </c>
      <c r="O83" s="531" t="s">
        <v>1022</v>
      </c>
      <c r="P83" s="960" t="s">
        <v>1218</v>
      </c>
      <c r="Q83" s="1641" t="str">
        <f t="shared" si="9"/>
        <v>QS - QUANTITY SURVEYING</v>
      </c>
      <c r="R83" s="1148" t="s">
        <v>198</v>
      </c>
      <c r="S83" s="258"/>
      <c r="T83" s="258"/>
      <c r="U83" s="258"/>
      <c r="V83" s="258"/>
      <c r="W83" s="258"/>
      <c r="X83" s="258"/>
      <c r="Y83" s="258"/>
      <c r="Z83" s="258"/>
      <c r="AA83" s="258"/>
      <c r="AB83" s="258"/>
      <c r="AC83" s="258"/>
      <c r="AD83" s="258"/>
      <c r="AE83" s="258"/>
      <c r="AF83" s="258"/>
    </row>
    <row r="84" spans="1:32" s="749" customFormat="1" ht="15.9" customHeight="1" x14ac:dyDescent="0.25">
      <c r="A84" s="755"/>
      <c r="B84" s="755"/>
      <c r="C84" s="755"/>
      <c r="D84" s="258"/>
      <c r="E84" s="258"/>
      <c r="F84" s="258"/>
      <c r="G84" s="258"/>
      <c r="H84" s="258"/>
      <c r="I84" s="258"/>
      <c r="J84" s="258"/>
      <c r="K84" s="258"/>
      <c r="L84" s="258"/>
      <c r="M84" s="258"/>
      <c r="N84" s="1190">
        <v>75</v>
      </c>
      <c r="O84" s="531" t="s">
        <v>1017</v>
      </c>
      <c r="P84" s="960" t="s">
        <v>1217</v>
      </c>
      <c r="Q84" s="1641" t="str">
        <f t="shared" si="9"/>
        <v>SU - SUPERINTENDENT</v>
      </c>
      <c r="R84" s="1148" t="s">
        <v>198</v>
      </c>
      <c r="S84" s="258"/>
      <c r="T84" s="258"/>
      <c r="U84" s="258"/>
      <c r="V84" s="258"/>
      <c r="W84" s="258"/>
      <c r="X84" s="258"/>
      <c r="Y84" s="258"/>
      <c r="Z84" s="258"/>
      <c r="AA84" s="258"/>
      <c r="AB84" s="258"/>
      <c r="AC84" s="258"/>
      <c r="AD84" s="258"/>
      <c r="AE84" s="258"/>
      <c r="AF84" s="258"/>
    </row>
    <row r="85" spans="1:32" s="749" customFormat="1" ht="15.9" customHeight="1" x14ac:dyDescent="0.25">
      <c r="A85" s="755"/>
      <c r="B85" s="755"/>
      <c r="C85" s="755"/>
      <c r="D85" s="258"/>
      <c r="E85" s="258"/>
      <c r="F85" s="258"/>
      <c r="G85" s="258"/>
      <c r="H85" s="258"/>
      <c r="I85" s="258"/>
      <c r="J85" s="258"/>
      <c r="K85" s="258"/>
      <c r="L85" s="258"/>
      <c r="M85" s="258"/>
      <c r="N85" s="1190">
        <v>76</v>
      </c>
      <c r="O85" s="531" t="s">
        <v>821</v>
      </c>
      <c r="P85" s="960" t="s">
        <v>1221</v>
      </c>
      <c r="Q85" s="1641" t="str">
        <f t="shared" si="9"/>
        <v>TF - TECHNICAL FIELD SERVICES</v>
      </c>
      <c r="R85" s="1148" t="s">
        <v>198</v>
      </c>
      <c r="S85" s="258"/>
      <c r="T85" s="258"/>
      <c r="U85" s="258"/>
      <c r="V85" s="258"/>
      <c r="W85" s="258"/>
      <c r="X85" s="258"/>
      <c r="Y85" s="258"/>
      <c r="Z85" s="258"/>
      <c r="AA85" s="258"/>
      <c r="AB85" s="258"/>
      <c r="AC85" s="258"/>
      <c r="AD85" s="258"/>
      <c r="AE85" s="258"/>
      <c r="AF85" s="258"/>
    </row>
    <row r="86" spans="1:32" s="749" customFormat="1" ht="15.9" customHeight="1" x14ac:dyDescent="0.25">
      <c r="A86" s="755"/>
      <c r="B86" s="755"/>
      <c r="C86" s="755"/>
      <c r="D86" s="258"/>
      <c r="E86" s="258"/>
      <c r="F86" s="258"/>
      <c r="G86" s="258"/>
      <c r="H86" s="258"/>
      <c r="I86" s="258"/>
      <c r="J86" s="258"/>
      <c r="K86" s="258"/>
      <c r="L86" s="258"/>
      <c r="M86" s="258"/>
      <c r="N86" s="1190">
        <v>77</v>
      </c>
      <c r="O86" s="531" t="s">
        <v>1025</v>
      </c>
      <c r="P86" s="960" t="s">
        <v>1026</v>
      </c>
      <c r="Q86" s="1641" t="str">
        <f t="shared" si="9"/>
        <v>VQ - VALIDATION REG &amp; QUALIF</v>
      </c>
      <c r="R86" s="1148" t="s">
        <v>198</v>
      </c>
      <c r="S86" s="258"/>
      <c r="T86" s="258"/>
      <c r="U86" s="258"/>
      <c r="V86" s="258"/>
      <c r="W86" s="258"/>
      <c r="X86" s="258"/>
      <c r="Y86" s="258"/>
      <c r="Z86" s="258"/>
      <c r="AA86" s="258"/>
      <c r="AB86" s="258"/>
      <c r="AC86" s="258"/>
      <c r="AD86" s="258"/>
      <c r="AE86" s="258"/>
      <c r="AF86" s="258"/>
    </row>
    <row r="87" spans="1:32" s="749" customFormat="1" ht="15.9" customHeight="1" x14ac:dyDescent="0.25">
      <c r="A87" s="755"/>
      <c r="B87" s="755"/>
      <c r="C87" s="755"/>
      <c r="D87" s="258"/>
      <c r="E87" s="258"/>
      <c r="F87" s="258"/>
      <c r="G87" s="258"/>
      <c r="H87" s="258"/>
      <c r="I87" s="258"/>
      <c r="J87" s="258"/>
      <c r="K87" s="258"/>
      <c r="L87" s="258"/>
      <c r="M87" s="258"/>
      <c r="N87" s="1190">
        <v>78</v>
      </c>
      <c r="O87" s="1111" t="s">
        <v>1223</v>
      </c>
      <c r="P87" s="1143"/>
      <c r="Q87" s="3096" t="s">
        <v>4016</v>
      </c>
      <c r="R87" s="1150"/>
      <c r="S87" s="258"/>
      <c r="T87" s="258"/>
      <c r="U87" s="258"/>
      <c r="V87" s="258"/>
      <c r="W87" s="258"/>
      <c r="X87" s="258"/>
      <c r="Y87" s="258"/>
      <c r="Z87" s="258"/>
      <c r="AA87" s="258"/>
      <c r="AB87" s="258"/>
      <c r="AC87" s="258"/>
      <c r="AD87" s="258"/>
      <c r="AE87" s="258"/>
      <c r="AF87" s="258"/>
    </row>
    <row r="88" spans="1:32" s="749" customFormat="1" ht="15.9" customHeight="1" x14ac:dyDescent="0.25">
      <c r="A88" s="755"/>
      <c r="B88" s="755"/>
      <c r="C88" s="755"/>
      <c r="D88" s="258"/>
      <c r="E88" s="258"/>
      <c r="F88" s="258"/>
      <c r="G88" s="258"/>
      <c r="H88" s="258"/>
      <c r="I88" s="258"/>
      <c r="J88" s="258"/>
      <c r="K88" s="258"/>
      <c r="L88" s="258"/>
      <c r="M88" s="258"/>
      <c r="N88" s="1190">
        <v>79</v>
      </c>
      <c r="O88" s="531" t="s">
        <v>273</v>
      </c>
      <c r="P88" s="960" t="s">
        <v>1216</v>
      </c>
      <c r="Q88" s="1641" t="str">
        <f t="shared" si="9"/>
        <v>AS - ACCOUNTING SERV</v>
      </c>
      <c r="R88" s="1148" t="s">
        <v>198</v>
      </c>
      <c r="S88" s="258"/>
      <c r="T88" s="258"/>
      <c r="U88" s="258"/>
      <c r="V88" s="258"/>
      <c r="W88" s="258"/>
      <c r="X88" s="258"/>
      <c r="Y88" s="258"/>
      <c r="Z88" s="258"/>
      <c r="AA88" s="258"/>
      <c r="AB88" s="258"/>
      <c r="AC88" s="258"/>
      <c r="AD88" s="258"/>
      <c r="AE88" s="258"/>
      <c r="AF88" s="258"/>
    </row>
    <row r="89" spans="1:32" s="749" customFormat="1" ht="15.9" customHeight="1" x14ac:dyDescent="0.25">
      <c r="A89" s="755"/>
      <c r="B89" s="755"/>
      <c r="C89" s="755"/>
      <c r="D89" s="258"/>
      <c r="E89" s="258"/>
      <c r="F89" s="258"/>
      <c r="G89" s="258"/>
      <c r="H89" s="258"/>
      <c r="I89" s="258"/>
      <c r="J89" s="258"/>
      <c r="K89" s="258"/>
      <c r="L89" s="258"/>
      <c r="M89" s="258"/>
      <c r="N89" s="1190">
        <v>80</v>
      </c>
      <c r="O89" s="531" t="s">
        <v>1010</v>
      </c>
      <c r="P89" s="960" t="s">
        <v>1011</v>
      </c>
      <c r="Q89" s="1641" t="str">
        <f t="shared" si="9"/>
        <v>BD - BUSINESS DEV</v>
      </c>
      <c r="R89" s="1148" t="s">
        <v>198</v>
      </c>
      <c r="S89" s="258"/>
      <c r="T89" s="258"/>
      <c r="U89" s="258"/>
      <c r="V89" s="258"/>
      <c r="W89" s="258"/>
      <c r="X89" s="258"/>
      <c r="Y89" s="258"/>
      <c r="Z89" s="258"/>
      <c r="AA89" s="258"/>
      <c r="AB89" s="258"/>
      <c r="AC89" s="258"/>
      <c r="AD89" s="258"/>
      <c r="AE89" s="258"/>
      <c r="AF89" s="258"/>
    </row>
    <row r="90" spans="1:32" s="749" customFormat="1" ht="15.9" customHeight="1" x14ac:dyDescent="0.25">
      <c r="A90" s="755"/>
      <c r="B90" s="755"/>
      <c r="C90" s="755"/>
      <c r="D90" s="258"/>
      <c r="E90" s="258"/>
      <c r="F90" s="258"/>
      <c r="G90" s="258"/>
      <c r="H90" s="258"/>
      <c r="I90" s="258"/>
      <c r="J90" s="258"/>
      <c r="K90" s="258"/>
      <c r="L90" s="258"/>
      <c r="M90" s="258"/>
      <c r="N90" s="1190">
        <v>81</v>
      </c>
      <c r="O90" s="531" t="s">
        <v>276</v>
      </c>
      <c r="P90" s="960" t="s">
        <v>277</v>
      </c>
      <c r="Q90" s="1641" t="str">
        <f t="shared" si="9"/>
        <v>CE - COST ENGR</v>
      </c>
      <c r="R90" s="1148" t="s">
        <v>198</v>
      </c>
      <c r="S90" s="258"/>
      <c r="T90" s="258"/>
      <c r="U90" s="258"/>
      <c r="V90" s="258"/>
      <c r="W90" s="258"/>
      <c r="X90" s="258"/>
      <c r="Y90" s="258"/>
      <c r="Z90" s="258"/>
      <c r="AA90" s="258"/>
      <c r="AB90" s="258"/>
      <c r="AC90" s="258"/>
      <c r="AD90" s="258"/>
      <c r="AE90" s="258"/>
      <c r="AF90" s="258"/>
    </row>
    <row r="91" spans="1:32" s="749" customFormat="1" ht="15.9" customHeight="1" x14ac:dyDescent="0.25">
      <c r="A91" s="755"/>
      <c r="B91" s="755"/>
      <c r="C91" s="755"/>
      <c r="D91" s="258"/>
      <c r="E91" s="258"/>
      <c r="F91" s="258"/>
      <c r="G91" s="258"/>
      <c r="H91" s="258"/>
      <c r="I91" s="258"/>
      <c r="J91" s="258"/>
      <c r="K91" s="258"/>
      <c r="L91" s="258"/>
      <c r="M91" s="258"/>
      <c r="N91" s="1190">
        <v>82</v>
      </c>
      <c r="O91" s="531" t="s">
        <v>278</v>
      </c>
      <c r="P91" s="960" t="s">
        <v>1213</v>
      </c>
      <c r="Q91" s="1641" t="str">
        <f t="shared" si="9"/>
        <v>CN - CONSTR HO SUPPORT</v>
      </c>
      <c r="R91" s="1148" t="s">
        <v>198</v>
      </c>
      <c r="S91" s="258"/>
      <c r="T91" s="258"/>
      <c r="U91" s="258"/>
      <c r="V91" s="258"/>
      <c r="W91" s="258"/>
      <c r="X91" s="258"/>
      <c r="Y91" s="258"/>
      <c r="Z91" s="258"/>
      <c r="AA91" s="258"/>
      <c r="AB91" s="258"/>
      <c r="AC91" s="258"/>
      <c r="AD91" s="258"/>
      <c r="AE91" s="258"/>
      <c r="AF91" s="258"/>
    </row>
    <row r="92" spans="1:32" s="749" customFormat="1" ht="15.9" customHeight="1" x14ac:dyDescent="0.25">
      <c r="A92" s="755"/>
      <c r="B92" s="755"/>
      <c r="C92" s="755"/>
      <c r="D92" s="258"/>
      <c r="E92" s="258"/>
      <c r="F92" s="258"/>
      <c r="G92" s="258"/>
      <c r="H92" s="258"/>
      <c r="I92" s="258"/>
      <c r="J92" s="258"/>
      <c r="K92" s="258"/>
      <c r="L92" s="258"/>
      <c r="M92" s="258"/>
      <c r="N92" s="1190">
        <v>83</v>
      </c>
      <c r="O92" s="531" t="s">
        <v>826</v>
      </c>
      <c r="P92" s="960" t="s">
        <v>1211</v>
      </c>
      <c r="Q92" s="1641" t="str">
        <f t="shared" si="9"/>
        <v>DC - DOCUMENT CONTROL</v>
      </c>
      <c r="R92" s="1148" t="s">
        <v>198</v>
      </c>
      <c r="S92" s="258"/>
      <c r="T92" s="258"/>
      <c r="U92" s="258"/>
      <c r="V92" s="258"/>
      <c r="W92" s="258"/>
      <c r="X92" s="258"/>
      <c r="Y92" s="258"/>
      <c r="Z92" s="258"/>
      <c r="AA92" s="258"/>
      <c r="AB92" s="258"/>
      <c r="AC92" s="258"/>
      <c r="AD92" s="258"/>
      <c r="AE92" s="258"/>
      <c r="AF92" s="258"/>
    </row>
    <row r="93" spans="1:32" s="749" customFormat="1" ht="15.9" customHeight="1" x14ac:dyDescent="0.25">
      <c r="A93" s="755"/>
      <c r="B93" s="755"/>
      <c r="C93" s="755"/>
      <c r="D93" s="258"/>
      <c r="E93" s="258"/>
      <c r="F93" s="258"/>
      <c r="G93" s="258"/>
      <c r="H93" s="258"/>
      <c r="I93" s="258"/>
      <c r="J93" s="258"/>
      <c r="K93" s="258"/>
      <c r="L93" s="258"/>
      <c r="M93" s="258"/>
      <c r="N93" s="1190">
        <v>84</v>
      </c>
      <c r="O93" s="531" t="s">
        <v>279</v>
      </c>
      <c r="P93" s="960" t="s">
        <v>280</v>
      </c>
      <c r="Q93" s="1641" t="str">
        <f t="shared" si="9"/>
        <v>ES - ESTIMATING</v>
      </c>
      <c r="R93" s="1148" t="s">
        <v>198</v>
      </c>
      <c r="S93" s="258"/>
      <c r="T93" s="258"/>
      <c r="U93" s="258"/>
      <c r="V93" s="258"/>
      <c r="W93" s="258"/>
      <c r="X93" s="258"/>
      <c r="Y93" s="258"/>
      <c r="Z93" s="258"/>
      <c r="AA93" s="258"/>
      <c r="AB93" s="258"/>
      <c r="AC93" s="258"/>
      <c r="AD93" s="258"/>
      <c r="AE93" s="258"/>
      <c r="AF93" s="258"/>
    </row>
    <row r="94" spans="1:32" s="749" customFormat="1" ht="15.9" customHeight="1" x14ac:dyDescent="0.25">
      <c r="A94" s="755"/>
      <c r="B94" s="755"/>
      <c r="C94" s="755"/>
      <c r="D94" s="258"/>
      <c r="E94" s="258"/>
      <c r="F94" s="258"/>
      <c r="G94" s="258"/>
      <c r="H94" s="258"/>
      <c r="I94" s="258"/>
      <c r="J94" s="258"/>
      <c r="K94" s="258"/>
      <c r="L94" s="258"/>
      <c r="M94" s="258"/>
      <c r="N94" s="1190">
        <v>85</v>
      </c>
      <c r="O94" s="531" t="s">
        <v>90</v>
      </c>
      <c r="P94" s="960" t="s">
        <v>1215</v>
      </c>
      <c r="Q94" s="1641" t="str">
        <f t="shared" si="9"/>
        <v>FS - FACILITY SERV</v>
      </c>
      <c r="R94" s="1148" t="s">
        <v>198</v>
      </c>
      <c r="S94" s="258"/>
      <c r="T94" s="258"/>
      <c r="U94" s="258"/>
      <c r="V94" s="258"/>
      <c r="W94" s="258"/>
      <c r="X94" s="258"/>
      <c r="Y94" s="258"/>
      <c r="Z94" s="258"/>
      <c r="AA94" s="258"/>
      <c r="AB94" s="258"/>
      <c r="AC94" s="258"/>
      <c r="AD94" s="258"/>
      <c r="AE94" s="258"/>
      <c r="AF94" s="258"/>
    </row>
    <row r="95" spans="1:32" s="749" customFormat="1" ht="15.9" customHeight="1" x14ac:dyDescent="0.25">
      <c r="A95" s="755"/>
      <c r="B95" s="755"/>
      <c r="C95" s="755"/>
      <c r="D95" s="258"/>
      <c r="E95" s="258"/>
      <c r="F95" s="258"/>
      <c r="G95" s="258"/>
      <c r="H95" s="258"/>
      <c r="I95" s="258"/>
      <c r="J95" s="258"/>
      <c r="K95" s="258"/>
      <c r="L95" s="258"/>
      <c r="M95" s="258"/>
      <c r="N95" s="1190">
        <v>86</v>
      </c>
      <c r="O95" s="531" t="s">
        <v>1012</v>
      </c>
      <c r="P95" s="960" t="s">
        <v>1013</v>
      </c>
      <c r="Q95" s="1641" t="str">
        <f t="shared" si="9"/>
        <v>HR - HUMAN RESOURCES</v>
      </c>
      <c r="R95" s="1148" t="s">
        <v>198</v>
      </c>
      <c r="S95" s="258"/>
      <c r="T95" s="258"/>
      <c r="U95" s="258"/>
      <c r="V95" s="258"/>
      <c r="W95" s="258"/>
      <c r="X95" s="258"/>
      <c r="Y95" s="258"/>
      <c r="Z95" s="258"/>
      <c r="AA95" s="258"/>
      <c r="AB95" s="258"/>
      <c r="AC95" s="258"/>
      <c r="AD95" s="258"/>
      <c r="AE95" s="258"/>
      <c r="AF95" s="258"/>
    </row>
    <row r="96" spans="1:32" s="749" customFormat="1" ht="15.9" customHeight="1" x14ac:dyDescent="0.25">
      <c r="A96" s="755"/>
      <c r="B96" s="755"/>
      <c r="C96" s="755"/>
      <c r="D96" s="258"/>
      <c r="E96" s="258"/>
      <c r="F96" s="258"/>
      <c r="G96" s="258"/>
      <c r="H96" s="258"/>
      <c r="I96" s="258"/>
      <c r="J96" s="258"/>
      <c r="K96" s="258"/>
      <c r="L96" s="258"/>
      <c r="M96" s="258"/>
      <c r="N96" s="1190">
        <v>87</v>
      </c>
      <c r="O96" s="531" t="s">
        <v>819</v>
      </c>
      <c r="P96" s="960" t="s">
        <v>1004</v>
      </c>
      <c r="Q96" s="1641" t="str">
        <f t="shared" si="9"/>
        <v>IM - INFORMATION MGMT</v>
      </c>
      <c r="R96" s="1148" t="s">
        <v>198</v>
      </c>
      <c r="S96" s="258"/>
      <c r="T96" s="258"/>
      <c r="U96" s="258"/>
      <c r="V96" s="258"/>
      <c r="W96" s="258"/>
      <c r="X96" s="258"/>
      <c r="Y96" s="258"/>
      <c r="Z96" s="258"/>
      <c r="AA96" s="258"/>
      <c r="AB96" s="258"/>
      <c r="AC96" s="258"/>
      <c r="AD96" s="258"/>
      <c r="AE96" s="258"/>
      <c r="AF96" s="258"/>
    </row>
    <row r="97" spans="1:32" s="749" customFormat="1" ht="15.9" customHeight="1" x14ac:dyDescent="0.25">
      <c r="A97" s="755"/>
      <c r="B97" s="755"/>
      <c r="C97" s="755"/>
      <c r="D97" s="258"/>
      <c r="E97" s="258"/>
      <c r="F97" s="258"/>
      <c r="G97" s="258"/>
      <c r="H97" s="258"/>
      <c r="I97" s="258"/>
      <c r="J97" s="258"/>
      <c r="K97" s="258"/>
      <c r="L97" s="258"/>
      <c r="M97" s="258"/>
      <c r="N97" s="1190">
        <v>88</v>
      </c>
      <c r="O97" s="531" t="s">
        <v>257</v>
      </c>
      <c r="P97" s="960" t="s">
        <v>1007</v>
      </c>
      <c r="Q97" s="1641" t="str">
        <f t="shared" si="9"/>
        <v>IT - INFORMATION TECH</v>
      </c>
      <c r="R97" s="1148" t="s">
        <v>198</v>
      </c>
      <c r="S97" s="258"/>
      <c r="T97" s="258"/>
      <c r="U97" s="258"/>
      <c r="V97" s="258"/>
      <c r="W97" s="258"/>
      <c r="X97" s="258"/>
      <c r="Y97" s="258"/>
      <c r="Z97" s="258"/>
      <c r="AA97" s="258"/>
      <c r="AB97" s="258"/>
      <c r="AC97" s="258"/>
      <c r="AD97" s="258"/>
      <c r="AE97" s="258"/>
      <c r="AF97" s="258"/>
    </row>
    <row r="98" spans="1:32" s="749" customFormat="1" ht="15.9" customHeight="1" x14ac:dyDescent="0.25">
      <c r="A98" s="755"/>
      <c r="B98" s="755"/>
      <c r="C98" s="755"/>
      <c r="D98" s="258"/>
      <c r="E98" s="258"/>
      <c r="F98" s="258"/>
      <c r="G98" s="258"/>
      <c r="H98" s="258"/>
      <c r="I98" s="258"/>
      <c r="J98" s="258"/>
      <c r="K98" s="258"/>
      <c r="L98" s="258"/>
      <c r="M98" s="258"/>
      <c r="N98" s="1190">
        <v>89</v>
      </c>
      <c r="O98" s="531" t="s">
        <v>1008</v>
      </c>
      <c r="P98" s="960" t="s">
        <v>1009</v>
      </c>
      <c r="Q98" s="1641" t="str">
        <f t="shared" si="9"/>
        <v>LE - LEGAL</v>
      </c>
      <c r="R98" s="1148" t="s">
        <v>198</v>
      </c>
      <c r="S98" s="258"/>
      <c r="T98" s="258"/>
      <c r="U98" s="258"/>
      <c r="V98" s="258"/>
      <c r="W98" s="258"/>
      <c r="X98" s="258"/>
      <c r="Y98" s="258"/>
      <c r="Z98" s="258"/>
      <c r="AA98" s="258"/>
      <c r="AB98" s="258"/>
      <c r="AC98" s="258"/>
      <c r="AD98" s="258"/>
      <c r="AE98" s="258"/>
      <c r="AF98" s="258"/>
    </row>
    <row r="99" spans="1:32" s="749" customFormat="1" ht="15.9" customHeight="1" x14ac:dyDescent="0.25">
      <c r="A99" s="755"/>
      <c r="B99" s="755"/>
      <c r="C99" s="755"/>
      <c r="D99" s="258"/>
      <c r="E99" s="258"/>
      <c r="F99" s="258"/>
      <c r="G99" s="258"/>
      <c r="H99" s="258"/>
      <c r="I99" s="258"/>
      <c r="J99" s="258"/>
      <c r="K99" s="258"/>
      <c r="L99" s="258"/>
      <c r="M99" s="258"/>
      <c r="N99" s="1190">
        <v>90</v>
      </c>
      <c r="O99" s="531" t="s">
        <v>820</v>
      </c>
      <c r="P99" s="960" t="s">
        <v>1214</v>
      </c>
      <c r="Q99" s="1641" t="str">
        <f t="shared" si="9"/>
        <v>LS - SURVEY / LASER / GEOMAT</v>
      </c>
      <c r="R99" s="1148" t="s">
        <v>198</v>
      </c>
      <c r="S99" s="258"/>
      <c r="T99" s="258"/>
      <c r="U99" s="258"/>
      <c r="V99" s="258"/>
      <c r="W99" s="258"/>
      <c r="X99" s="258"/>
      <c r="Y99" s="258"/>
      <c r="Z99" s="258"/>
      <c r="AA99" s="258"/>
      <c r="AB99" s="258"/>
      <c r="AC99" s="258"/>
      <c r="AD99" s="258"/>
      <c r="AE99" s="258"/>
      <c r="AF99" s="258"/>
    </row>
    <row r="100" spans="1:32" s="749" customFormat="1" ht="15.9" customHeight="1" x14ac:dyDescent="0.25">
      <c r="A100" s="755"/>
      <c r="B100" s="755"/>
      <c r="C100" s="755"/>
      <c r="D100" s="258"/>
      <c r="E100" s="258"/>
      <c r="F100" s="258"/>
      <c r="G100" s="258"/>
      <c r="H100" s="258"/>
      <c r="I100" s="258"/>
      <c r="J100" s="258"/>
      <c r="K100" s="258"/>
      <c r="L100" s="258"/>
      <c r="M100" s="258"/>
      <c r="N100" s="1190">
        <v>91</v>
      </c>
      <c r="O100" s="531" t="s">
        <v>996</v>
      </c>
      <c r="P100" s="960" t="s">
        <v>1210</v>
      </c>
      <c r="Q100" s="1641" t="str">
        <f t="shared" si="9"/>
        <v>OM - OPERATIONS MGMT</v>
      </c>
      <c r="R100" s="1148" t="s">
        <v>198</v>
      </c>
      <c r="S100" s="258"/>
      <c r="T100" s="258"/>
      <c r="U100" s="258"/>
      <c r="V100" s="258"/>
      <c r="W100" s="258"/>
      <c r="X100" s="258"/>
      <c r="Y100" s="258"/>
      <c r="Z100" s="258"/>
      <c r="AA100" s="258"/>
      <c r="AB100" s="258"/>
      <c r="AC100" s="258"/>
      <c r="AD100" s="258"/>
      <c r="AE100" s="258"/>
      <c r="AF100" s="258"/>
    </row>
    <row r="101" spans="1:32" s="749" customFormat="1" ht="15.9" customHeight="1" x14ac:dyDescent="0.25">
      <c r="A101" s="755"/>
      <c r="B101" s="755"/>
      <c r="C101" s="755"/>
      <c r="D101" s="258"/>
      <c r="E101" s="258"/>
      <c r="F101" s="258"/>
      <c r="G101" s="258"/>
      <c r="H101" s="258"/>
      <c r="I101" s="258"/>
      <c r="J101" s="258"/>
      <c r="K101" s="258"/>
      <c r="L101" s="258"/>
      <c r="M101" s="258"/>
      <c r="N101" s="1190">
        <v>92</v>
      </c>
      <c r="O101" s="531" t="s">
        <v>1014</v>
      </c>
      <c r="P101" s="960" t="s">
        <v>1015</v>
      </c>
      <c r="Q101" s="1641" t="str">
        <f t="shared" si="9"/>
        <v>OS - OTHER SUPPORT</v>
      </c>
      <c r="R101" s="1148" t="s">
        <v>198</v>
      </c>
      <c r="S101" s="258"/>
      <c r="T101" s="258"/>
      <c r="U101" s="258"/>
      <c r="V101" s="258"/>
      <c r="W101" s="258"/>
      <c r="X101" s="258"/>
      <c r="Y101" s="258"/>
      <c r="Z101" s="258"/>
      <c r="AA101" s="258"/>
      <c r="AB101" s="258"/>
      <c r="AC101" s="258"/>
      <c r="AD101" s="258"/>
      <c r="AE101" s="258"/>
      <c r="AF101" s="258"/>
    </row>
    <row r="102" spans="1:32" s="749" customFormat="1" ht="15.9" customHeight="1" x14ac:dyDescent="0.25">
      <c r="A102" s="755"/>
      <c r="B102" s="755"/>
      <c r="C102" s="755"/>
      <c r="D102" s="258"/>
      <c r="E102" s="258"/>
      <c r="F102" s="258"/>
      <c r="G102" s="258"/>
      <c r="H102" s="258"/>
      <c r="I102" s="258"/>
      <c r="J102" s="258"/>
      <c r="K102" s="258"/>
      <c r="L102" s="258"/>
      <c r="M102" s="258"/>
      <c r="N102" s="1190">
        <v>93</v>
      </c>
      <c r="O102" s="531" t="s">
        <v>283</v>
      </c>
      <c r="P102" s="960" t="s">
        <v>998</v>
      </c>
      <c r="Q102" s="1641" t="str">
        <f t="shared" si="9"/>
        <v>PA - PROJECT ADMIN</v>
      </c>
      <c r="R102" s="1148" t="s">
        <v>198</v>
      </c>
      <c r="S102" s="258"/>
      <c r="T102" s="258"/>
      <c r="U102" s="258"/>
      <c r="V102" s="258"/>
      <c r="W102" s="258"/>
      <c r="X102" s="258"/>
      <c r="Y102" s="258"/>
      <c r="Z102" s="258"/>
      <c r="AA102" s="258"/>
      <c r="AB102" s="258"/>
      <c r="AC102" s="258"/>
      <c r="AD102" s="258"/>
      <c r="AE102" s="258"/>
      <c r="AF102" s="258"/>
    </row>
    <row r="103" spans="1:32" s="749" customFormat="1" ht="15.9" customHeight="1" x14ac:dyDescent="0.25">
      <c r="A103" s="755"/>
      <c r="B103" s="755"/>
      <c r="C103" s="755"/>
      <c r="D103" s="258"/>
      <c r="E103" s="258"/>
      <c r="F103" s="258"/>
      <c r="G103" s="258"/>
      <c r="H103" s="258"/>
      <c r="I103" s="258"/>
      <c r="J103" s="258"/>
      <c r="K103" s="258"/>
      <c r="L103" s="258"/>
      <c r="M103" s="258"/>
      <c r="N103" s="1190">
        <v>94</v>
      </c>
      <c r="O103" s="531" t="s">
        <v>156</v>
      </c>
      <c r="P103" s="960" t="s">
        <v>1000</v>
      </c>
      <c r="Q103" s="1641" t="str">
        <f t="shared" si="9"/>
        <v>PC - PROJECT CONTROLS</v>
      </c>
      <c r="R103" s="1148" t="s">
        <v>198</v>
      </c>
      <c r="S103" s="258"/>
      <c r="T103" s="258"/>
      <c r="U103" s="258"/>
      <c r="V103" s="258"/>
      <c r="W103" s="258"/>
      <c r="X103" s="258"/>
      <c r="Y103" s="258"/>
      <c r="Z103" s="258"/>
      <c r="AA103" s="258"/>
      <c r="AB103" s="258"/>
      <c r="AC103" s="258"/>
      <c r="AD103" s="258"/>
      <c r="AE103" s="258"/>
      <c r="AF103" s="258"/>
    </row>
    <row r="104" spans="1:32" s="749" customFormat="1" ht="15.9" customHeight="1" x14ac:dyDescent="0.25">
      <c r="A104" s="755"/>
      <c r="B104" s="755"/>
      <c r="C104" s="755"/>
      <c r="D104" s="258"/>
      <c r="E104" s="258"/>
      <c r="F104" s="258"/>
      <c r="G104" s="258"/>
      <c r="H104" s="258"/>
      <c r="I104" s="258"/>
      <c r="J104" s="258"/>
      <c r="K104" s="258"/>
      <c r="L104" s="258"/>
      <c r="M104" s="258"/>
      <c r="N104" s="1190">
        <v>95</v>
      </c>
      <c r="O104" s="531" t="s">
        <v>266</v>
      </c>
      <c r="P104" s="960" t="s">
        <v>999</v>
      </c>
      <c r="Q104" s="1641" t="str">
        <f t="shared" si="9"/>
        <v>PE - PROJECT ENGR MGMT</v>
      </c>
      <c r="R104" s="1148" t="s">
        <v>198</v>
      </c>
      <c r="S104" s="258"/>
      <c r="T104" s="258"/>
      <c r="U104" s="258"/>
      <c r="V104" s="258"/>
      <c r="W104" s="258"/>
      <c r="X104" s="258"/>
      <c r="Y104" s="258"/>
      <c r="Z104" s="258"/>
      <c r="AA104" s="258"/>
      <c r="AB104" s="258"/>
      <c r="AC104" s="258"/>
      <c r="AD104" s="258"/>
      <c r="AE104" s="258"/>
      <c r="AF104" s="258"/>
    </row>
    <row r="105" spans="1:32" s="749" customFormat="1" ht="15.9" customHeight="1" x14ac:dyDescent="0.25">
      <c r="A105" s="755"/>
      <c r="B105" s="755"/>
      <c r="C105" s="755"/>
      <c r="D105" s="258"/>
      <c r="E105" s="258"/>
      <c r="F105" s="258"/>
      <c r="G105" s="258"/>
      <c r="H105" s="258"/>
      <c r="I105" s="258"/>
      <c r="J105" s="258"/>
      <c r="K105" s="258"/>
      <c r="L105" s="258"/>
      <c r="M105" s="258"/>
      <c r="N105" s="1190">
        <v>96</v>
      </c>
      <c r="O105" s="531" t="s">
        <v>15</v>
      </c>
      <c r="P105" s="960" t="s">
        <v>997</v>
      </c>
      <c r="Q105" s="1641" t="str">
        <f t="shared" si="9"/>
        <v>PM - PROJECT MGMT</v>
      </c>
      <c r="R105" s="1148" t="s">
        <v>198</v>
      </c>
      <c r="S105" s="258"/>
      <c r="T105" s="258"/>
      <c r="U105" s="258"/>
      <c r="V105" s="258"/>
      <c r="W105" s="258"/>
      <c r="X105" s="258"/>
      <c r="Y105" s="258"/>
      <c r="Z105" s="258"/>
      <c r="AA105" s="258"/>
      <c r="AB105" s="258"/>
      <c r="AC105" s="258"/>
      <c r="AD105" s="258"/>
      <c r="AE105" s="258"/>
      <c r="AF105" s="258"/>
    </row>
    <row r="106" spans="1:32" s="749" customFormat="1" ht="15.9" customHeight="1" x14ac:dyDescent="0.25">
      <c r="A106" s="755"/>
      <c r="B106" s="755"/>
      <c r="C106" s="755"/>
      <c r="D106" s="258"/>
      <c r="E106" s="258"/>
      <c r="F106" s="258"/>
      <c r="G106" s="258"/>
      <c r="H106" s="258"/>
      <c r="I106" s="258"/>
      <c r="J106" s="258"/>
      <c r="K106" s="258"/>
      <c r="L106" s="258"/>
      <c r="M106" s="258"/>
      <c r="N106" s="1190">
        <v>97</v>
      </c>
      <c r="O106" s="531" t="s">
        <v>284</v>
      </c>
      <c r="P106" s="960" t="s">
        <v>1001</v>
      </c>
      <c r="Q106" s="1641" t="str">
        <f t="shared" si="9"/>
        <v>PS - SCHED / PLANNING</v>
      </c>
      <c r="R106" s="1148" t="s">
        <v>198</v>
      </c>
      <c r="S106" s="258"/>
      <c r="T106" s="258"/>
      <c r="U106" s="258"/>
      <c r="V106" s="258"/>
      <c r="W106" s="258"/>
      <c r="X106" s="258"/>
      <c r="Y106" s="258"/>
      <c r="Z106" s="258"/>
      <c r="AA106" s="258"/>
      <c r="AB106" s="258"/>
      <c r="AC106" s="258"/>
      <c r="AD106" s="258"/>
      <c r="AE106" s="258"/>
      <c r="AF106" s="258"/>
    </row>
    <row r="107" spans="1:32" s="749" customFormat="1" ht="15.9" customHeight="1" x14ac:dyDescent="0.25">
      <c r="A107" s="755"/>
      <c r="B107" s="755"/>
      <c r="C107" s="755"/>
      <c r="D107" s="258"/>
      <c r="E107" s="258"/>
      <c r="F107" s="258"/>
      <c r="G107" s="258"/>
      <c r="H107" s="258"/>
      <c r="I107" s="258"/>
      <c r="J107" s="258"/>
      <c r="K107" s="258"/>
      <c r="L107" s="258"/>
      <c r="M107" s="258"/>
      <c r="N107" s="1190">
        <v>98</v>
      </c>
      <c r="O107" s="531" t="s">
        <v>1212</v>
      </c>
      <c r="P107" s="960" t="s">
        <v>1005</v>
      </c>
      <c r="Q107" s="1641" t="str">
        <f t="shared" si="9"/>
        <v>QM - QUALITY MGMT</v>
      </c>
      <c r="R107" s="1148" t="s">
        <v>198</v>
      </c>
      <c r="S107" s="258"/>
      <c r="T107" s="258"/>
      <c r="U107" s="258"/>
      <c r="V107" s="258"/>
      <c r="W107" s="258"/>
      <c r="X107" s="258"/>
      <c r="Y107" s="258"/>
      <c r="Z107" s="258"/>
      <c r="AA107" s="258"/>
      <c r="AB107" s="258"/>
      <c r="AC107" s="258"/>
      <c r="AD107" s="258"/>
      <c r="AE107" s="258"/>
      <c r="AF107" s="258"/>
    </row>
    <row r="108" spans="1:32" s="749" customFormat="1" ht="15.9" customHeight="1" x14ac:dyDescent="0.25">
      <c r="A108" s="755"/>
      <c r="B108" s="755"/>
      <c r="C108" s="755"/>
      <c r="D108" s="258"/>
      <c r="E108" s="258"/>
      <c r="F108" s="258"/>
      <c r="G108" s="258"/>
      <c r="H108" s="258"/>
      <c r="I108" s="258"/>
      <c r="J108" s="258"/>
      <c r="K108" s="258"/>
      <c r="L108" s="258"/>
      <c r="M108" s="258"/>
      <c r="N108" s="1190">
        <v>99</v>
      </c>
      <c r="O108" s="531" t="s">
        <v>1002</v>
      </c>
      <c r="P108" s="960" t="s">
        <v>1003</v>
      </c>
      <c r="Q108" s="1641" t="str">
        <f t="shared" si="9"/>
        <v>RM - RISK MGMT</v>
      </c>
      <c r="R108" s="1148" t="s">
        <v>198</v>
      </c>
      <c r="S108" s="258"/>
      <c r="T108" s="258"/>
      <c r="U108" s="258"/>
      <c r="V108" s="258"/>
      <c r="W108" s="258"/>
      <c r="X108" s="258"/>
      <c r="Y108" s="258"/>
      <c r="Z108" s="258"/>
      <c r="AA108" s="258"/>
      <c r="AB108" s="258"/>
      <c r="AC108" s="258"/>
      <c r="AD108" s="258"/>
      <c r="AE108" s="258"/>
      <c r="AF108" s="258"/>
    </row>
    <row r="109" spans="1:32" x14ac:dyDescent="0.25">
      <c r="A109" s="755"/>
      <c r="B109" s="755"/>
      <c r="C109" s="755"/>
      <c r="D109" s="258"/>
      <c r="E109" s="258"/>
      <c r="F109" s="258"/>
      <c r="G109" s="258"/>
      <c r="H109" s="258"/>
      <c r="I109" s="258"/>
      <c r="J109" s="258"/>
      <c r="K109" s="258"/>
      <c r="L109" s="258"/>
      <c r="M109" s="258"/>
      <c r="N109" s="1190">
        <v>100</v>
      </c>
      <c r="O109" s="1112" t="s">
        <v>285</v>
      </c>
      <c r="P109" s="1144" t="s">
        <v>1006</v>
      </c>
      <c r="Q109" s="1642" t="str">
        <f t="shared" si="9"/>
        <v>SA - HSE MGMT</v>
      </c>
      <c r="R109" s="1227" t="s">
        <v>198</v>
      </c>
      <c r="S109" s="258"/>
      <c r="T109" s="258"/>
      <c r="U109" s="258"/>
      <c r="V109" s="258"/>
      <c r="W109" s="258"/>
      <c r="X109" s="258"/>
      <c r="Y109" s="258"/>
      <c r="Z109" s="258"/>
      <c r="AA109" s="258"/>
      <c r="AB109" s="258"/>
      <c r="AC109" s="258"/>
      <c r="AD109" s="258"/>
      <c r="AE109" s="258"/>
      <c r="AF109" s="258"/>
    </row>
    <row r="110" spans="1:32" x14ac:dyDescent="0.25">
      <c r="A110" s="755"/>
      <c r="B110" s="755"/>
      <c r="C110" s="755"/>
      <c r="D110" s="258"/>
      <c r="E110" s="258"/>
      <c r="F110" s="258"/>
      <c r="G110" s="258"/>
      <c r="H110" s="258"/>
      <c r="I110" s="258"/>
      <c r="J110" s="258"/>
      <c r="K110" s="258"/>
      <c r="L110" s="258"/>
      <c r="M110" s="258"/>
      <c r="N110" s="258"/>
      <c r="O110" s="258"/>
      <c r="P110" s="258"/>
      <c r="Q110" s="258" t="s">
        <v>5</v>
      </c>
      <c r="R110" s="258"/>
      <c r="S110" s="258"/>
      <c r="T110" s="258"/>
      <c r="U110" s="258"/>
      <c r="V110" s="258"/>
      <c r="W110" s="258"/>
      <c r="X110" s="258"/>
      <c r="Y110" s="258"/>
      <c r="Z110" s="258"/>
      <c r="AA110" s="258"/>
      <c r="AB110" s="258"/>
      <c r="AC110" s="258"/>
      <c r="AD110" s="258"/>
      <c r="AE110" s="258"/>
      <c r="AF110" s="258"/>
    </row>
  </sheetData>
  <conditionalFormatting sqref="M8:M14 M16:M17">
    <cfRule type="expression" dxfId="1038" priority="8">
      <formula>(M8&lt;&gt;#REF!)</formula>
    </cfRule>
  </conditionalFormatting>
  <conditionalFormatting sqref="AC7:AC80">
    <cfRule type="cellIs" dxfId="1037" priority="2" operator="equal">
      <formula>"N"</formula>
    </cfRule>
  </conditionalFormatting>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 id="{4B327D12-4453-4013-A33D-08BA8DD0665C}">
            <xm:f>('5  Control Accounts'!$EG$8=2)</xm:f>
            <x14:dxf>
              <font>
                <color theme="1"/>
              </font>
              <fill>
                <patternFill>
                  <bgColor rgb="FFFFF5B9"/>
                </patternFill>
              </fill>
            </x14:dxf>
          </x14:cfRule>
          <xm:sqref>E8:F18</xm:sqref>
        </x14:conditionalFormatting>
        <x14:conditionalFormatting xmlns:xm="http://schemas.microsoft.com/office/excel/2006/main">
          <x14:cfRule type="expression" priority="6" id="{27AD0DEC-FA3E-4F72-94FB-6510A5CB8978}">
            <xm:f>('1 Setup'!$N$7=2)</xm:f>
            <x14:dxf>
              <fill>
                <patternFill>
                  <bgColor theme="6" tint="0.39994506668294322"/>
                </patternFill>
              </fill>
            </x14:dxf>
          </x14:cfRule>
          <xm:sqref>F7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dimension ref="A1:Y439"/>
  <sheetViews>
    <sheetView showGridLines="0" topLeftCell="A25" zoomScaleNormal="100" workbookViewId="0">
      <selection activeCell="D27" sqref="D27"/>
    </sheetView>
  </sheetViews>
  <sheetFormatPr defaultColWidth="9.109375" defaultRowHeight="13.2" x14ac:dyDescent="0.25"/>
  <cols>
    <col min="1" max="1" width="2.5546875" style="746" customWidth="1"/>
    <col min="2" max="2" width="18.33203125" style="271" customWidth="1"/>
    <col min="3" max="3" width="23.33203125" style="271" customWidth="1"/>
    <col min="4" max="4" width="49.44140625" style="271" customWidth="1"/>
    <col min="5" max="5" width="10.109375" style="562" customWidth="1"/>
    <col min="6" max="6" width="3.33203125" style="562" customWidth="1"/>
    <col min="7" max="7" width="18.33203125" style="562" customWidth="1"/>
    <col min="8" max="8" width="7" style="562" customWidth="1"/>
    <col min="9" max="9" width="7.33203125" style="562" customWidth="1"/>
    <col min="10" max="10" width="7.88671875" style="562" customWidth="1"/>
    <col min="11" max="11" width="38" style="746" customWidth="1"/>
    <col min="12" max="12" width="4.5546875" style="746" customWidth="1"/>
    <col min="13" max="13" width="24.33203125" style="562" customWidth="1"/>
    <col min="14" max="14" width="3" style="746" customWidth="1"/>
    <col min="15" max="15" width="22" style="271" customWidth="1"/>
    <col min="16" max="16" width="23.44140625" style="746" customWidth="1"/>
    <col min="17" max="17" width="25.5546875" style="271" customWidth="1"/>
    <col min="18" max="18" width="25.5546875" style="746" customWidth="1"/>
    <col min="19" max="19" width="27.6640625" style="746" customWidth="1"/>
    <col min="20" max="21" width="25.5546875" style="746" customWidth="1"/>
    <col min="22" max="23" width="29" style="746" customWidth="1"/>
    <col min="24" max="24" width="2.88671875" style="746" customWidth="1"/>
    <col min="25" max="25" width="31.6640625" style="271" customWidth="1"/>
    <col min="26" max="16384" width="9.109375" style="271"/>
  </cols>
  <sheetData>
    <row r="1" spans="2:25" s="746" customFormat="1" ht="30" customHeight="1" x14ac:dyDescent="0.5">
      <c r="M1" s="562"/>
      <c r="O1" s="1617" t="s">
        <v>3522</v>
      </c>
      <c r="P1" s="1617"/>
    </row>
    <row r="2" spans="2:25" s="746" customFormat="1" ht="12.75" customHeight="1" thickBot="1" x14ac:dyDescent="0.3">
      <c r="M2" s="562"/>
      <c r="O2" s="1692" t="s">
        <v>3523</v>
      </c>
      <c r="P2" s="1692"/>
    </row>
    <row r="3" spans="2:25" s="746" customFormat="1" ht="31.35" customHeight="1" thickBot="1" x14ac:dyDescent="0.3">
      <c r="M3" s="562"/>
      <c r="O3" s="2687" t="s">
        <v>3518</v>
      </c>
      <c r="P3" s="2690"/>
      <c r="Q3" s="2689"/>
      <c r="R3" s="2688"/>
      <c r="S3" s="2689"/>
      <c r="T3" s="2820" t="s">
        <v>3988</v>
      </c>
      <c r="U3" s="2821"/>
      <c r="V3" s="2821"/>
      <c r="W3" s="3291"/>
      <c r="X3" s="2695"/>
    </row>
    <row r="4" spans="2:25" ht="27.75" customHeight="1" thickBot="1" x14ac:dyDescent="0.3">
      <c r="N4" s="747"/>
      <c r="O4" s="1726" t="s">
        <v>3296</v>
      </c>
      <c r="P4" s="1726" t="s">
        <v>3493</v>
      </c>
      <c r="Q4" s="1726" t="s">
        <v>3494</v>
      </c>
      <c r="R4" s="1726" t="s">
        <v>3297</v>
      </c>
      <c r="S4" s="1726" t="s">
        <v>3056</v>
      </c>
      <c r="T4" s="2693" t="s">
        <v>3984</v>
      </c>
      <c r="U4" s="2693" t="s">
        <v>3986</v>
      </c>
      <c r="V4" s="3290" t="s">
        <v>3987</v>
      </c>
      <c r="W4" s="3292" t="s">
        <v>4266</v>
      </c>
      <c r="X4" s="2694"/>
      <c r="Y4" s="746"/>
    </row>
    <row r="5" spans="2:25" s="746" customFormat="1" ht="15" customHeight="1" x14ac:dyDescent="0.25">
      <c r="E5" s="562"/>
      <c r="F5" s="562"/>
      <c r="G5" s="562"/>
      <c r="H5" s="562"/>
      <c r="I5" s="562"/>
      <c r="J5" s="562"/>
      <c r="M5" s="562"/>
      <c r="N5" s="747"/>
      <c r="O5" s="2675">
        <f>COUNTA(O6:O28)</f>
        <v>20</v>
      </c>
      <c r="P5" s="2675">
        <f>COUNTA(P6:P28)</f>
        <v>10</v>
      </c>
      <c r="Q5" s="2675">
        <f>COUNTA(Q6:Q28)</f>
        <v>3</v>
      </c>
      <c r="R5" s="2675">
        <f>COUNTA(R6:R28)</f>
        <v>10</v>
      </c>
      <c r="S5" s="2675">
        <f>COUNTA(S6:S28)</f>
        <v>10</v>
      </c>
      <c r="T5" s="2675">
        <f t="shared" ref="T5" si="0">COUNTA(T6:T28)</f>
        <v>1</v>
      </c>
      <c r="U5" s="2675">
        <f>COUNTA(U6:U28)</f>
        <v>1</v>
      </c>
      <c r="V5" s="2676">
        <f>COUNTA(V6:V28)</f>
        <v>2</v>
      </c>
      <c r="W5" s="2676">
        <f>COUNTA(W6:W28)</f>
        <v>0</v>
      </c>
      <c r="X5" s="2680"/>
    </row>
    <row r="6" spans="2:25" s="747" customFormat="1" ht="15" customHeight="1" x14ac:dyDescent="0.25">
      <c r="B6" s="746"/>
      <c r="C6" s="746"/>
      <c r="D6" s="746"/>
      <c r="E6" s="562"/>
      <c r="F6" s="562"/>
      <c r="G6" s="562"/>
      <c r="H6" s="562"/>
      <c r="I6" s="562"/>
      <c r="J6" s="562"/>
      <c r="K6" s="746"/>
      <c r="L6" s="746"/>
      <c r="M6" s="2112"/>
      <c r="O6" s="1210" t="s">
        <v>3495</v>
      </c>
      <c r="P6" s="1210" t="s">
        <v>3496</v>
      </c>
      <c r="Q6" s="1210" t="s">
        <v>3497</v>
      </c>
      <c r="R6" s="1210" t="s">
        <v>4246</v>
      </c>
      <c r="S6" s="1210" t="s">
        <v>3965</v>
      </c>
      <c r="T6" s="1210" t="s">
        <v>3985</v>
      </c>
      <c r="U6" s="1210" t="s">
        <v>3519</v>
      </c>
      <c r="V6" s="2677" t="s">
        <v>3520</v>
      </c>
      <c r="W6" s="2677"/>
      <c r="X6" s="2680"/>
      <c r="Y6" s="746"/>
    </row>
    <row r="7" spans="2:25" s="747" customFormat="1" ht="15" customHeight="1" x14ac:dyDescent="0.25">
      <c r="B7" s="746"/>
      <c r="C7" s="746"/>
      <c r="D7" s="746"/>
      <c r="E7" s="562"/>
      <c r="F7" s="562"/>
      <c r="G7" s="562"/>
      <c r="H7" s="562"/>
      <c r="I7" s="562"/>
      <c r="J7" s="562"/>
      <c r="K7" s="746"/>
      <c r="L7" s="746"/>
      <c r="M7" s="2112"/>
      <c r="O7" s="1207" t="s">
        <v>3498</v>
      </c>
      <c r="P7" s="1207" t="s">
        <v>3499</v>
      </c>
      <c r="Q7" s="1207" t="s">
        <v>3500</v>
      </c>
      <c r="R7" s="1207" t="s">
        <v>3504</v>
      </c>
      <c r="S7" s="1207" t="s">
        <v>3964</v>
      </c>
      <c r="T7" s="1207"/>
      <c r="U7" s="1207"/>
      <c r="V7" s="2677" t="s">
        <v>3521</v>
      </c>
      <c r="W7" s="2677"/>
      <c r="X7" s="2680"/>
      <c r="Y7" s="746"/>
    </row>
    <row r="8" spans="2:25" s="747" customFormat="1" ht="15" customHeight="1" x14ac:dyDescent="0.25">
      <c r="B8" s="746"/>
      <c r="C8" s="746"/>
      <c r="D8" s="746"/>
      <c r="E8" s="562"/>
      <c r="F8" s="562"/>
      <c r="G8" s="562"/>
      <c r="H8" s="562"/>
      <c r="I8" s="562"/>
      <c r="J8" s="562"/>
      <c r="K8" s="746"/>
      <c r="L8" s="746"/>
      <c r="M8" s="2112"/>
      <c r="O8" s="1207" t="s">
        <v>3501</v>
      </c>
      <c r="P8" s="1207" t="s">
        <v>3502</v>
      </c>
      <c r="Q8" s="1207" t="s">
        <v>3503</v>
      </c>
      <c r="R8" s="1207" t="s">
        <v>4247</v>
      </c>
      <c r="S8" s="1207" t="s">
        <v>3963</v>
      </c>
      <c r="T8" s="1207"/>
      <c r="U8" s="1207"/>
      <c r="V8" s="2677"/>
      <c r="W8" s="2677"/>
      <c r="X8" s="2680"/>
      <c r="Y8" s="746"/>
    </row>
    <row r="9" spans="2:25" s="747" customFormat="1" ht="15" customHeight="1" x14ac:dyDescent="0.25">
      <c r="B9" s="746"/>
      <c r="C9" s="746"/>
      <c r="D9" s="746"/>
      <c r="E9" s="562"/>
      <c r="F9" s="562"/>
      <c r="G9" s="562"/>
      <c r="H9" s="562"/>
      <c r="I9" s="562"/>
      <c r="J9" s="562"/>
      <c r="K9" s="746"/>
      <c r="L9" s="746"/>
      <c r="M9" s="2112"/>
      <c r="O9" s="1207" t="s">
        <v>3505</v>
      </c>
      <c r="P9" s="1207" t="s">
        <v>3080</v>
      </c>
      <c r="Q9" s="1207"/>
      <c r="R9" s="1207" t="s">
        <v>4248</v>
      </c>
      <c r="S9" s="1207" t="s">
        <v>3962</v>
      </c>
      <c r="T9" s="1207"/>
      <c r="U9" s="1207"/>
      <c r="V9" s="2677"/>
      <c r="W9" s="2677"/>
      <c r="X9" s="2680"/>
      <c r="Y9" s="746"/>
    </row>
    <row r="10" spans="2:25" s="747" customFormat="1" ht="15" customHeight="1" x14ac:dyDescent="0.25">
      <c r="B10" s="746"/>
      <c r="C10" s="746"/>
      <c r="D10" s="746"/>
      <c r="E10" s="562"/>
      <c r="F10" s="562"/>
      <c r="G10" s="562"/>
      <c r="H10" s="562"/>
      <c r="I10" s="562"/>
      <c r="J10" s="562"/>
      <c r="K10" s="746"/>
      <c r="L10" s="746"/>
      <c r="M10" s="2112"/>
      <c r="O10" s="1207" t="s">
        <v>3506</v>
      </c>
      <c r="P10" s="1207" t="s">
        <v>3084</v>
      </c>
      <c r="Q10" s="1207"/>
      <c r="R10" s="1207" t="s">
        <v>4249</v>
      </c>
      <c r="S10" s="1207" t="s">
        <v>3966</v>
      </c>
      <c r="T10" s="1207"/>
      <c r="U10" s="1207"/>
      <c r="V10" s="2677"/>
      <c r="W10" s="2677"/>
      <c r="X10" s="2680"/>
      <c r="Y10" s="746"/>
    </row>
    <row r="11" spans="2:25" s="747" customFormat="1" ht="15" customHeight="1" x14ac:dyDescent="0.25">
      <c r="B11" s="746"/>
      <c r="C11" s="746"/>
      <c r="D11" s="746"/>
      <c r="E11" s="562"/>
      <c r="F11" s="562"/>
      <c r="G11" s="562"/>
      <c r="H11" s="562"/>
      <c r="I11" s="562"/>
      <c r="J11" s="562"/>
      <c r="K11" s="746"/>
      <c r="L11" s="746"/>
      <c r="M11" s="2112"/>
      <c r="O11" s="1207" t="s">
        <v>3285</v>
      </c>
      <c r="P11" s="1207" t="s">
        <v>3091</v>
      </c>
      <c r="Q11" s="1207"/>
      <c r="R11" s="1210" t="s">
        <v>3508</v>
      </c>
      <c r="S11" s="1207" t="s">
        <v>3967</v>
      </c>
      <c r="T11" s="1207"/>
      <c r="U11" s="1207"/>
      <c r="V11" s="2677"/>
      <c r="W11" s="2677"/>
      <c r="X11" s="2680"/>
      <c r="Y11" s="746"/>
    </row>
    <row r="12" spans="2:25" s="747" customFormat="1" ht="15" customHeight="1" x14ac:dyDescent="0.25">
      <c r="B12" s="746"/>
      <c r="C12" s="746"/>
      <c r="D12" s="746"/>
      <c r="E12" s="562"/>
      <c r="F12" s="562"/>
      <c r="G12" s="562"/>
      <c r="H12" s="562"/>
      <c r="I12" s="562"/>
      <c r="J12" s="562"/>
      <c r="K12" s="746"/>
      <c r="L12" s="746"/>
      <c r="M12" s="2112"/>
      <c r="O12" s="1207" t="s">
        <v>3295</v>
      </c>
      <c r="P12" s="1207" t="s">
        <v>3092</v>
      </c>
      <c r="Q12" s="1207"/>
      <c r="R12" s="1210" t="s">
        <v>3507</v>
      </c>
      <c r="S12" s="1210" t="s">
        <v>3968</v>
      </c>
      <c r="T12" s="1210"/>
      <c r="U12" s="1210"/>
      <c r="V12" s="2677"/>
      <c r="W12" s="2677"/>
      <c r="X12" s="2680"/>
      <c r="Y12" s="746"/>
    </row>
    <row r="13" spans="2:25" s="747" customFormat="1" ht="15" customHeight="1" x14ac:dyDescent="0.25">
      <c r="B13" s="746"/>
      <c r="C13" s="746"/>
      <c r="D13" s="746"/>
      <c r="E13" s="562"/>
      <c r="F13" s="562"/>
      <c r="G13" s="562"/>
      <c r="H13" s="562"/>
      <c r="I13" s="562"/>
      <c r="J13" s="562"/>
      <c r="K13" s="746"/>
      <c r="L13" s="746"/>
      <c r="M13" s="2112"/>
      <c r="O13" s="1207" t="s">
        <v>3294</v>
      </c>
      <c r="P13" s="1207" t="s">
        <v>3095</v>
      </c>
      <c r="Q13" s="1207"/>
      <c r="R13" s="1207" t="s">
        <v>4250</v>
      </c>
      <c r="S13" s="1207" t="s">
        <v>3969</v>
      </c>
      <c r="T13" s="1207"/>
      <c r="U13" s="1207"/>
      <c r="V13" s="2677"/>
      <c r="W13" s="2677"/>
      <c r="X13" s="2680"/>
      <c r="Y13" s="746"/>
    </row>
    <row r="14" spans="2:25" s="747" customFormat="1" ht="15" customHeight="1" x14ac:dyDescent="0.25">
      <c r="B14" s="746"/>
      <c r="C14" s="746"/>
      <c r="D14" s="746"/>
      <c r="E14" s="562"/>
      <c r="F14" s="562"/>
      <c r="G14" s="562"/>
      <c r="H14" s="562"/>
      <c r="I14" s="562"/>
      <c r="J14" s="562"/>
      <c r="K14" s="746"/>
      <c r="L14" s="746"/>
      <c r="M14" s="2112"/>
      <c r="O14" s="1207" t="s">
        <v>3510</v>
      </c>
      <c r="P14" s="1207" t="s">
        <v>3118</v>
      </c>
      <c r="Q14" s="1207"/>
      <c r="R14" s="1207" t="s">
        <v>3511</v>
      </c>
      <c r="S14" s="1207" t="s">
        <v>4041</v>
      </c>
      <c r="T14" s="1207"/>
      <c r="U14" s="1207"/>
      <c r="V14" s="2677"/>
      <c r="W14" s="2677"/>
      <c r="X14" s="2680"/>
      <c r="Y14" s="746"/>
    </row>
    <row r="15" spans="2:25" s="747" customFormat="1" ht="15" customHeight="1" x14ac:dyDescent="0.25">
      <c r="B15" s="746"/>
      <c r="C15" s="746"/>
      <c r="D15" s="746"/>
      <c r="E15" s="562"/>
      <c r="F15" s="562"/>
      <c r="G15" s="562"/>
      <c r="H15" s="562"/>
      <c r="I15" s="562"/>
      <c r="J15" s="562"/>
      <c r="K15" s="746"/>
      <c r="L15" s="746"/>
      <c r="M15" s="2112"/>
      <c r="O15" s="1207" t="s">
        <v>3512</v>
      </c>
      <c r="P15" s="1207" t="s">
        <v>3141</v>
      </c>
      <c r="Q15" s="1207"/>
      <c r="R15" s="1207" t="s">
        <v>3513</v>
      </c>
      <c r="S15" s="1207" t="s">
        <v>4042</v>
      </c>
      <c r="T15" s="1207"/>
      <c r="U15" s="1207"/>
      <c r="V15" s="2677"/>
      <c r="W15" s="2677"/>
      <c r="X15" s="2680"/>
      <c r="Y15" s="746"/>
    </row>
    <row r="16" spans="2:25" s="747" customFormat="1" ht="15" customHeight="1" x14ac:dyDescent="0.25">
      <c r="B16" s="746"/>
      <c r="C16" s="746"/>
      <c r="D16" s="746"/>
      <c r="E16" s="562"/>
      <c r="F16" s="562"/>
      <c r="G16" s="562"/>
      <c r="H16" s="562"/>
      <c r="I16" s="562"/>
      <c r="J16" s="562"/>
      <c r="K16" s="746"/>
      <c r="L16" s="746"/>
      <c r="O16" s="1207" t="s">
        <v>3254</v>
      </c>
      <c r="P16" s="1207"/>
      <c r="Q16" s="1207"/>
      <c r="R16" s="1207"/>
      <c r="S16" s="1207"/>
      <c r="T16" s="1207"/>
      <c r="U16" s="1207"/>
      <c r="V16" s="2677"/>
      <c r="W16" s="2677"/>
      <c r="X16" s="2680"/>
      <c r="Y16" s="746"/>
    </row>
    <row r="17" spans="2:25" s="747" customFormat="1" ht="15" customHeight="1" x14ac:dyDescent="0.25">
      <c r="B17" s="746"/>
      <c r="C17" s="746"/>
      <c r="D17" s="746"/>
      <c r="E17" s="562"/>
      <c r="F17" s="562"/>
      <c r="G17" s="562"/>
      <c r="H17" s="562"/>
      <c r="I17" s="562"/>
      <c r="J17" s="562"/>
      <c r="K17" s="746"/>
      <c r="L17" s="746"/>
      <c r="O17" s="1207" t="s">
        <v>3269</v>
      </c>
      <c r="P17" s="1207"/>
      <c r="Q17" s="1207"/>
      <c r="R17" s="1207"/>
      <c r="S17" s="1207"/>
      <c r="T17" s="1207"/>
      <c r="U17" s="1207"/>
      <c r="V17" s="2677"/>
      <c r="W17" s="2677"/>
      <c r="X17" s="2680"/>
      <c r="Y17" s="746"/>
    </row>
    <row r="18" spans="2:25" s="747" customFormat="1" ht="15" customHeight="1" x14ac:dyDescent="0.25">
      <c r="B18" s="746"/>
      <c r="C18" s="746"/>
      <c r="D18" s="746"/>
      <c r="E18" s="562"/>
      <c r="F18" s="562"/>
      <c r="G18" s="562"/>
      <c r="H18" s="562"/>
      <c r="I18" s="562"/>
      <c r="J18" s="562"/>
      <c r="K18" s="746"/>
      <c r="L18" s="746"/>
      <c r="O18" s="1207" t="s">
        <v>3514</v>
      </c>
      <c r="P18" s="1207"/>
      <c r="Q18" s="2664"/>
      <c r="R18" s="2664"/>
      <c r="S18" s="2664"/>
      <c r="T18" s="2664"/>
      <c r="U18" s="2664"/>
      <c r="V18" s="2677"/>
      <c r="W18" s="2677"/>
      <c r="X18" s="2680"/>
      <c r="Y18" s="746"/>
    </row>
    <row r="19" spans="2:25" s="747" customFormat="1" ht="15" customHeight="1" x14ac:dyDescent="0.25">
      <c r="B19" s="746"/>
      <c r="C19" s="746"/>
      <c r="D19" s="746"/>
      <c r="E19" s="562"/>
      <c r="F19" s="562"/>
      <c r="G19" s="562"/>
      <c r="H19" s="562"/>
      <c r="I19" s="562"/>
      <c r="J19" s="562"/>
      <c r="K19" s="746"/>
      <c r="L19" s="746"/>
      <c r="O19" s="1207" t="s">
        <v>3515</v>
      </c>
      <c r="P19" s="1207"/>
      <c r="Q19" s="1208"/>
      <c r="R19" s="1208"/>
      <c r="S19" s="1208"/>
      <c r="T19" s="1208"/>
      <c r="U19" s="1208"/>
      <c r="V19" s="2677"/>
      <c r="W19" s="2677"/>
      <c r="X19" s="2680"/>
      <c r="Y19" s="746"/>
    </row>
    <row r="20" spans="2:25" s="747" customFormat="1" ht="15" customHeight="1" x14ac:dyDescent="0.25">
      <c r="B20" s="746"/>
      <c r="C20" s="746"/>
      <c r="D20" s="746"/>
      <c r="E20" s="562"/>
      <c r="F20" s="562"/>
      <c r="G20" s="562"/>
      <c r="H20" s="562"/>
      <c r="I20" s="562"/>
      <c r="J20" s="562"/>
      <c r="K20" s="746"/>
      <c r="L20" s="746"/>
      <c r="O20" s="1207" t="s">
        <v>3516</v>
      </c>
      <c r="P20" s="1207"/>
      <c r="Q20" s="1208"/>
      <c r="R20" s="1208"/>
      <c r="S20" s="1208"/>
      <c r="T20" s="1208"/>
      <c r="U20" s="1208"/>
      <c r="V20" s="2677"/>
      <c r="W20" s="2677"/>
      <c r="X20" s="2680"/>
      <c r="Y20" s="746"/>
    </row>
    <row r="21" spans="2:25" s="747" customFormat="1" x14ac:dyDescent="0.25">
      <c r="B21" s="746"/>
      <c r="C21" s="746"/>
      <c r="D21" s="746"/>
      <c r="E21" s="562"/>
      <c r="F21" s="562"/>
      <c r="G21" s="562"/>
      <c r="H21" s="562"/>
      <c r="I21" s="562"/>
      <c r="J21" s="562"/>
      <c r="K21" s="746"/>
      <c r="L21" s="746"/>
      <c r="M21" s="2112"/>
      <c r="O21" s="1207" t="s">
        <v>3292</v>
      </c>
      <c r="P21" s="1207"/>
      <c r="Q21" s="1208"/>
      <c r="R21" s="1208"/>
      <c r="S21" s="1208"/>
      <c r="T21" s="1208"/>
      <c r="U21" s="1208"/>
      <c r="V21" s="2677"/>
      <c r="W21" s="2677"/>
      <c r="X21" s="2680"/>
      <c r="Y21" s="746"/>
    </row>
    <row r="22" spans="2:25" s="747" customFormat="1" x14ac:dyDescent="0.25">
      <c r="B22" s="746"/>
      <c r="C22" s="746"/>
      <c r="D22" s="746"/>
      <c r="E22" s="562"/>
      <c r="F22" s="562"/>
      <c r="G22" s="562"/>
      <c r="H22" s="562"/>
      <c r="I22" s="562"/>
      <c r="J22" s="562"/>
      <c r="K22" s="746"/>
      <c r="L22" s="746"/>
      <c r="M22" s="2112"/>
      <c r="O22" s="1207" t="s">
        <v>3517</v>
      </c>
      <c r="P22" s="1207"/>
      <c r="Q22" s="1208"/>
      <c r="R22" s="1208"/>
      <c r="S22" s="1208"/>
      <c r="T22" s="1208"/>
      <c r="U22" s="1208"/>
      <c r="V22" s="2677"/>
      <c r="W22" s="2677"/>
      <c r="X22" s="2680"/>
      <c r="Y22" s="746"/>
    </row>
    <row r="23" spans="2:25" s="747" customFormat="1" x14ac:dyDescent="0.25">
      <c r="B23" s="746"/>
      <c r="C23" s="746"/>
      <c r="D23" s="746"/>
      <c r="E23" s="562"/>
      <c r="F23" s="562"/>
      <c r="G23" s="562"/>
      <c r="H23" s="562"/>
      <c r="I23" s="562"/>
      <c r="J23" s="562"/>
      <c r="K23" s="746"/>
      <c r="L23" s="746"/>
      <c r="M23" s="2112"/>
      <c r="O23" s="1207" t="s">
        <v>3268</v>
      </c>
      <c r="P23" s="1207"/>
      <c r="Q23" s="1208"/>
      <c r="R23" s="1208"/>
      <c r="S23" s="1208"/>
      <c r="T23" s="1208"/>
      <c r="U23" s="1208"/>
      <c r="V23" s="2677"/>
      <c r="W23" s="2677"/>
      <c r="X23" s="2680"/>
      <c r="Y23" s="746"/>
    </row>
    <row r="24" spans="2:25" s="747" customFormat="1" x14ac:dyDescent="0.25">
      <c r="B24" s="746"/>
      <c r="C24" s="746"/>
      <c r="D24" s="746"/>
      <c r="E24" s="562"/>
      <c r="F24" s="562"/>
      <c r="G24" s="562"/>
      <c r="H24" s="562"/>
      <c r="I24" s="562"/>
      <c r="J24" s="562"/>
      <c r="K24" s="746"/>
      <c r="L24" s="746"/>
      <c r="M24" s="2112"/>
      <c r="O24" s="1207" t="s">
        <v>3261</v>
      </c>
      <c r="P24" s="1207"/>
      <c r="Q24" s="1208"/>
      <c r="R24" s="1208"/>
      <c r="S24" s="1208"/>
      <c r="T24" s="1208"/>
      <c r="U24" s="1208"/>
      <c r="V24" s="2677"/>
      <c r="W24" s="2677"/>
      <c r="X24" s="2680"/>
      <c r="Y24" s="746"/>
    </row>
    <row r="25" spans="2:25" s="747" customFormat="1" x14ac:dyDescent="0.25">
      <c r="B25" s="746"/>
      <c r="C25" s="746"/>
      <c r="D25" s="746"/>
      <c r="E25" s="562"/>
      <c r="F25" s="562"/>
      <c r="G25" s="562"/>
      <c r="H25" s="562"/>
      <c r="I25" s="562"/>
      <c r="J25" s="562"/>
      <c r="K25" s="746"/>
      <c r="L25" s="746"/>
      <c r="M25" s="2112"/>
      <c r="O25" s="1207" t="s">
        <v>3293</v>
      </c>
      <c r="P25" s="1207"/>
      <c r="Q25" s="1208"/>
      <c r="R25" s="1208"/>
      <c r="S25" s="1208"/>
      <c r="T25" s="1208"/>
      <c r="U25" s="1208"/>
      <c r="V25" s="2677"/>
      <c r="W25" s="2677"/>
      <c r="X25" s="2680"/>
      <c r="Y25" s="746"/>
    </row>
    <row r="26" spans="2:25" s="746" customFormat="1" x14ac:dyDescent="0.25">
      <c r="E26" s="562"/>
      <c r="F26" s="562"/>
      <c r="G26" s="562"/>
      <c r="H26" s="562"/>
      <c r="I26" s="562"/>
      <c r="J26" s="562"/>
      <c r="N26" s="747"/>
      <c r="O26" s="1206"/>
      <c r="P26" s="1206"/>
      <c r="Q26" s="1209"/>
      <c r="R26" s="1209"/>
      <c r="S26" s="1209"/>
      <c r="T26" s="1209"/>
      <c r="U26" s="1209"/>
      <c r="V26" s="2678"/>
      <c r="W26" s="2678"/>
      <c r="X26" s="2680"/>
    </row>
    <row r="27" spans="2:25" s="746" customFormat="1" x14ac:dyDescent="0.25">
      <c r="E27" s="562"/>
      <c r="F27" s="562"/>
      <c r="G27" s="562"/>
      <c r="H27" s="562"/>
      <c r="I27" s="562"/>
      <c r="J27" s="562"/>
      <c r="N27" s="747"/>
      <c r="O27" s="1724"/>
      <c r="P27" s="1724"/>
      <c r="Q27" s="1725"/>
      <c r="R27" s="1725"/>
      <c r="S27" s="1725"/>
      <c r="T27" s="1725"/>
      <c r="U27" s="1725"/>
      <c r="V27" s="2679"/>
      <c r="W27" s="2679"/>
      <c r="X27" s="2680"/>
    </row>
    <row r="28" spans="2:25" s="746" customFormat="1" x14ac:dyDescent="0.25">
      <c r="E28" s="562"/>
      <c r="F28" s="562"/>
      <c r="G28" s="562"/>
      <c r="H28" s="562"/>
      <c r="I28" s="562"/>
      <c r="J28" s="562"/>
      <c r="N28" s="747"/>
      <c r="O28" s="1291"/>
      <c r="P28" s="728"/>
      <c r="Q28" s="728"/>
      <c r="R28" s="728"/>
      <c r="S28" s="728"/>
      <c r="T28" s="728"/>
      <c r="U28" s="728"/>
      <c r="V28" s="728"/>
      <c r="W28" s="728"/>
      <c r="X28" s="2681"/>
    </row>
    <row r="29" spans="2:25" s="746" customFormat="1" ht="35.4" customHeight="1" x14ac:dyDescent="0.6">
      <c r="B29" s="2672" t="s">
        <v>3524</v>
      </c>
      <c r="E29" s="562"/>
      <c r="F29" s="562"/>
      <c r="G29" s="2114"/>
      <c r="H29" s="2114"/>
      <c r="I29" s="2114"/>
      <c r="J29" s="562"/>
      <c r="K29" s="3362"/>
      <c r="L29" s="3226"/>
      <c r="N29" s="747"/>
    </row>
    <row r="30" spans="2:25" s="746" customFormat="1" ht="5.4" customHeight="1" thickBot="1" x14ac:dyDescent="0.35">
      <c r="B30" s="1692"/>
      <c r="E30" s="562"/>
      <c r="F30" s="562"/>
      <c r="G30" s="2115"/>
      <c r="H30" s="2822"/>
      <c r="I30" s="2822"/>
      <c r="J30" s="562"/>
      <c r="K30" s="3363"/>
      <c r="L30" s="3227"/>
      <c r="N30" s="747"/>
    </row>
    <row r="31" spans="2:25" s="746" customFormat="1" ht="34.950000000000003" customHeight="1" thickTop="1" thickBot="1" x14ac:dyDescent="0.3">
      <c r="B31" s="2823" t="s">
        <v>3714</v>
      </c>
      <c r="C31" s="2824"/>
      <c r="D31" s="2825"/>
      <c r="E31" s="2826"/>
      <c r="F31" s="2827"/>
      <c r="G31" s="2823" t="s">
        <v>3543</v>
      </c>
      <c r="H31" s="2825"/>
      <c r="I31" s="2825"/>
      <c r="J31" s="2825"/>
      <c r="K31" s="2828"/>
      <c r="L31" s="2828"/>
      <c r="M31" s="2828"/>
      <c r="N31" s="747"/>
    </row>
    <row r="32" spans="2:25" s="746" customFormat="1" ht="6.6" customHeight="1" thickTop="1" thickBot="1" x14ac:dyDescent="0.3">
      <c r="B32" s="2673"/>
      <c r="C32" s="2673"/>
      <c r="D32" s="2673"/>
      <c r="E32" s="2674"/>
      <c r="F32" s="562"/>
      <c r="G32" s="2674"/>
      <c r="H32" s="2674"/>
      <c r="I32" s="2674"/>
      <c r="J32" s="2674"/>
      <c r="K32" s="2674"/>
      <c r="L32" s="3228"/>
      <c r="M32" s="562"/>
      <c r="N32" s="747"/>
    </row>
    <row r="33" spans="2:25" s="746" customFormat="1" ht="25.2" customHeight="1" thickBot="1" x14ac:dyDescent="0.3">
      <c r="B33" s="2829" t="s">
        <v>837</v>
      </c>
      <c r="C33" s="2830" t="s">
        <v>3544</v>
      </c>
      <c r="D33" s="2830" t="s">
        <v>359</v>
      </c>
      <c r="E33" s="2831" t="s">
        <v>3545</v>
      </c>
      <c r="F33" s="2827"/>
      <c r="G33" s="2832" t="s">
        <v>3546</v>
      </c>
      <c r="H33" s="2833" t="s">
        <v>3547</v>
      </c>
      <c r="I33" s="2833" t="s">
        <v>3548</v>
      </c>
      <c r="J33" s="2834" t="s">
        <v>3549</v>
      </c>
      <c r="K33" s="2835" t="s">
        <v>3525</v>
      </c>
      <c r="L33" s="2835"/>
      <c r="M33" s="2836" t="s">
        <v>3550</v>
      </c>
      <c r="N33" s="747"/>
      <c r="O33" s="747"/>
      <c r="P33" s="747"/>
      <c r="Q33" s="747"/>
      <c r="R33" s="747"/>
      <c r="S33" s="747"/>
      <c r="T33" s="747"/>
      <c r="U33" s="747"/>
      <c r="V33" s="747"/>
      <c r="W33" s="747"/>
      <c r="X33" s="747"/>
      <c r="Y33" s="747"/>
    </row>
    <row r="34" spans="2:25" s="746" customFormat="1" x14ac:dyDescent="0.25">
      <c r="B34" s="2109" t="s">
        <v>3296</v>
      </c>
      <c r="C34" s="2111" t="s">
        <v>3495</v>
      </c>
      <c r="D34" s="2109" t="s">
        <v>4200</v>
      </c>
      <c r="E34" s="2841" t="s">
        <v>3221</v>
      </c>
      <c r="F34" s="2842"/>
      <c r="G34" s="2843" t="s">
        <v>3755</v>
      </c>
      <c r="H34" s="2844">
        <f>INDEX('Fringe Data'!$K$8:$K$112,MATCH(G34,'Fringe Data'!$F$8:$F$112,0))</f>
        <v>0.34</v>
      </c>
      <c r="I34" s="2854">
        <f>INDEX('Fringe Data'!$S$8:$S$112,MATCH(G34,'Fringe Data'!$F$8:$F$112,0))</f>
        <v>0</v>
      </c>
      <c r="J34" s="1700" t="s">
        <v>371</v>
      </c>
      <c r="K34" s="2846" t="s">
        <v>3531</v>
      </c>
      <c r="L34" s="559">
        <f>IF(ISERROR(MATCH(K34,'IPCS Data'!$AA$7:$AA$110,0)),1,0)</f>
        <v>0</v>
      </c>
      <c r="M34" s="2847"/>
      <c r="N34" s="747"/>
    </row>
    <row r="35" spans="2:25" s="746" customFormat="1" x14ac:dyDescent="0.25">
      <c r="B35" s="2109" t="s">
        <v>3296</v>
      </c>
      <c r="C35" s="2111" t="s">
        <v>3495</v>
      </c>
      <c r="D35" s="2109" t="s">
        <v>4201</v>
      </c>
      <c r="E35" s="2848" t="s">
        <v>4202</v>
      </c>
      <c r="F35" s="2842"/>
      <c r="G35" s="2843" t="s">
        <v>3755</v>
      </c>
      <c r="H35" s="2844">
        <f>INDEX('Fringe Data'!$K$8:$K$112,MATCH(G35,'Fringe Data'!$F$8:$F$112,0))</f>
        <v>0.34</v>
      </c>
      <c r="I35" s="2854">
        <f>INDEX('Fringe Data'!$S$8:$S$112,MATCH(G35,'Fringe Data'!$F$8:$F$112,0))</f>
        <v>0</v>
      </c>
      <c r="J35" s="1700" t="s">
        <v>371</v>
      </c>
      <c r="K35" s="2846" t="s">
        <v>3531</v>
      </c>
      <c r="L35" s="559">
        <f>IF(ISERROR(MATCH(K35,'IPCS Data'!$AA$7:$AA$110,0)),1,0)</f>
        <v>0</v>
      </c>
      <c r="M35" s="2847"/>
      <c r="N35" s="747"/>
    </row>
    <row r="36" spans="2:25" s="1292" customFormat="1" x14ac:dyDescent="0.25">
      <c r="B36" s="2109" t="s">
        <v>3296</v>
      </c>
      <c r="C36" s="2111" t="s">
        <v>3495</v>
      </c>
      <c r="D36" s="2109" t="s">
        <v>3224</v>
      </c>
      <c r="E36" s="2848" t="s">
        <v>3225</v>
      </c>
      <c r="F36" s="2842"/>
      <c r="G36" s="2843" t="s">
        <v>3755</v>
      </c>
      <c r="H36" s="2844">
        <f>INDEX('Fringe Data'!$K$8:$K$112,MATCH(G36,'Fringe Data'!$F$8:$F$112,0))</f>
        <v>0.34</v>
      </c>
      <c r="I36" s="2854">
        <f>INDEX('Fringe Data'!$S$8:$S$112,MATCH(G36,'Fringe Data'!$F$8:$F$112,0))</f>
        <v>0</v>
      </c>
      <c r="J36" s="1700" t="s">
        <v>371</v>
      </c>
      <c r="K36" s="2846" t="s">
        <v>3531</v>
      </c>
      <c r="L36" s="559">
        <f>IF(ISERROR(MATCH(K36,'IPCS Data'!$AA$7:$AA$110,0)),1,0)</f>
        <v>0</v>
      </c>
      <c r="M36" s="2847"/>
      <c r="N36" s="402"/>
    </row>
    <row r="37" spans="2:25" s="746" customFormat="1" x14ac:dyDescent="0.25">
      <c r="B37" s="2109" t="s">
        <v>3296</v>
      </c>
      <c r="C37" s="2111" t="s">
        <v>3495</v>
      </c>
      <c r="D37" s="2109" t="s">
        <v>4199</v>
      </c>
      <c r="E37" s="2848" t="s">
        <v>3551</v>
      </c>
      <c r="F37" s="2842"/>
      <c r="G37" s="2843" t="s">
        <v>3755</v>
      </c>
      <c r="H37" s="2844">
        <f>INDEX('Fringe Data'!$K$8:$K$112,MATCH(G37,'Fringe Data'!$F$8:$F$112,0))</f>
        <v>0.34</v>
      </c>
      <c r="I37" s="2854">
        <f>INDEX('Fringe Data'!$S$8:$S$112,MATCH(G37,'Fringe Data'!$F$8:$F$112,0))</f>
        <v>0</v>
      </c>
      <c r="J37" s="1700" t="s">
        <v>371</v>
      </c>
      <c r="K37" s="2846" t="s">
        <v>3533</v>
      </c>
      <c r="L37" s="559">
        <f>IF(ISERROR(MATCH(K37,'IPCS Data'!$AA$7:$AA$110,0)),1,0)</f>
        <v>0</v>
      </c>
      <c r="M37" s="2847"/>
      <c r="N37" s="747"/>
    </row>
    <row r="38" spans="2:25" s="1292" customFormat="1" ht="13.8" thickBot="1" x14ac:dyDescent="0.3">
      <c r="B38" s="2109" t="s">
        <v>3296</v>
      </c>
      <c r="C38" s="2111" t="s">
        <v>3495</v>
      </c>
      <c r="D38" s="2109" t="s">
        <v>3222</v>
      </c>
      <c r="E38" s="2848" t="s">
        <v>3223</v>
      </c>
      <c r="F38" s="2842"/>
      <c r="G38" s="2843" t="s">
        <v>3759</v>
      </c>
      <c r="H38" s="2844">
        <f>INDEX('Fringe Data'!$K$8:$K$112,MATCH(G38,'Fringe Data'!$F$8:$F$112,0))</f>
        <v>0.34</v>
      </c>
      <c r="I38" s="2854">
        <f>INDEX('Fringe Data'!$S$8:$S$112,MATCH(G38,'Fringe Data'!$F$8:$F$112,0))</f>
        <v>0</v>
      </c>
      <c r="J38" s="1700" t="s">
        <v>371</v>
      </c>
      <c r="K38" s="2846" t="s">
        <v>3532</v>
      </c>
      <c r="L38" s="559">
        <f>IF(ISERROR(MATCH(K38,'IPCS Data'!$AA$7:$AA$110,0)),1,0)</f>
        <v>0</v>
      </c>
      <c r="M38" s="2847"/>
      <c r="N38" s="402"/>
    </row>
    <row r="39" spans="2:25" s="1292" customFormat="1" ht="22.8" thickBot="1" x14ac:dyDescent="0.3">
      <c r="B39" s="2829" t="s">
        <v>837</v>
      </c>
      <c r="C39" s="2830" t="s">
        <v>3544</v>
      </c>
      <c r="D39" s="2830" t="s">
        <v>359</v>
      </c>
      <c r="E39" s="2831" t="s">
        <v>3545</v>
      </c>
      <c r="F39" s="2827"/>
      <c r="G39" s="2832" t="s">
        <v>3546</v>
      </c>
      <c r="H39" s="2833" t="s">
        <v>3547</v>
      </c>
      <c r="I39" s="2954" t="s">
        <v>3548</v>
      </c>
      <c r="J39" s="2834" t="s">
        <v>3549</v>
      </c>
      <c r="K39" s="2835" t="s">
        <v>3525</v>
      </c>
      <c r="L39" s="2835"/>
      <c r="M39" s="2836" t="s">
        <v>3550</v>
      </c>
      <c r="N39" s="402"/>
    </row>
    <row r="40" spans="2:25" s="1292" customFormat="1" x14ac:dyDescent="0.25">
      <c r="B40" s="2109" t="s">
        <v>3296</v>
      </c>
      <c r="C40" s="2109" t="s">
        <v>3498</v>
      </c>
      <c r="D40" s="2109" t="s">
        <v>3142</v>
      </c>
      <c r="E40" s="2848" t="s">
        <v>3143</v>
      </c>
      <c r="F40" s="2827"/>
      <c r="G40" s="2849" t="s">
        <v>3552</v>
      </c>
      <c r="H40" s="2844">
        <f>INDEX('Fringe Data'!$K$8:$K$112,MATCH(G40,'Fringe Data'!$F$8:$F$112,0))</f>
        <v>0.315</v>
      </c>
      <c r="I40" s="2854">
        <f>INDEX('Fringe Data'!$S$8:$S$112,MATCH(G40,'Fringe Data'!$F$8:$F$112,0))</f>
        <v>0</v>
      </c>
      <c r="J40" s="1700" t="s">
        <v>2</v>
      </c>
      <c r="K40" s="2846" t="s">
        <v>4148</v>
      </c>
      <c r="L40" s="559">
        <f>IF(ISERROR(MATCH(K40,'IPCS Data'!$AA$7:$AA$110,0)),1,0)</f>
        <v>0</v>
      </c>
      <c r="M40" s="2847" t="s">
        <v>4147</v>
      </c>
      <c r="N40" s="402"/>
    </row>
    <row r="41" spans="2:25" s="1292" customFormat="1" x14ac:dyDescent="0.25">
      <c r="B41" s="2109" t="s">
        <v>3296</v>
      </c>
      <c r="C41" s="2109" t="s">
        <v>3498</v>
      </c>
      <c r="D41" s="2109" t="s">
        <v>3144</v>
      </c>
      <c r="E41" s="2848" t="s">
        <v>3145</v>
      </c>
      <c r="F41" s="2827"/>
      <c r="G41" s="2849" t="s">
        <v>3552</v>
      </c>
      <c r="H41" s="2844">
        <f>INDEX('Fringe Data'!$K$8:$K$112,MATCH(G41,'Fringe Data'!$F$8:$F$112,0))</f>
        <v>0.315</v>
      </c>
      <c r="I41" s="2854">
        <f>INDEX('Fringe Data'!$S$8:$S$112,MATCH(G41,'Fringe Data'!$F$8:$F$112,0))</f>
        <v>0</v>
      </c>
      <c r="J41" s="1700" t="s">
        <v>2</v>
      </c>
      <c r="K41" s="2846" t="s">
        <v>4148</v>
      </c>
      <c r="L41" s="559">
        <f>IF(ISERROR(MATCH(K41,'IPCS Data'!$AA$7:$AA$110,0)),1,0)</f>
        <v>0</v>
      </c>
      <c r="M41" s="2847" t="s">
        <v>4147</v>
      </c>
      <c r="N41" s="402"/>
    </row>
    <row r="42" spans="2:25" s="1292" customFormat="1" x14ac:dyDescent="0.25">
      <c r="B42" s="2109" t="s">
        <v>3296</v>
      </c>
      <c r="C42" s="2109" t="s">
        <v>3498</v>
      </c>
      <c r="D42" s="2109" t="s">
        <v>3146</v>
      </c>
      <c r="E42" s="2848" t="s">
        <v>3147</v>
      </c>
      <c r="F42" s="2827"/>
      <c r="G42" s="2849" t="s">
        <v>3552</v>
      </c>
      <c r="H42" s="2844">
        <f>INDEX('Fringe Data'!$K$8:$K$112,MATCH(G42,'Fringe Data'!$F$8:$F$112,0))</f>
        <v>0.315</v>
      </c>
      <c r="I42" s="2854">
        <f>INDEX('Fringe Data'!$S$8:$S$112,MATCH(G42,'Fringe Data'!$F$8:$F$112,0))</f>
        <v>0</v>
      </c>
      <c r="J42" s="1700" t="s">
        <v>2</v>
      </c>
      <c r="K42" s="2846" t="s">
        <v>4148</v>
      </c>
      <c r="L42" s="559">
        <f>IF(ISERROR(MATCH(K42,'IPCS Data'!$AA$7:$AA$110,0)),1,0)</f>
        <v>0</v>
      </c>
      <c r="M42" s="2847" t="s">
        <v>4147</v>
      </c>
      <c r="N42" s="402"/>
    </row>
    <row r="43" spans="2:25" s="1292" customFormat="1" x14ac:dyDescent="0.25">
      <c r="B43" s="2109" t="s">
        <v>3296</v>
      </c>
      <c r="C43" s="2109" t="s">
        <v>3498</v>
      </c>
      <c r="D43" s="2109" t="s">
        <v>3148</v>
      </c>
      <c r="E43" s="2848" t="s">
        <v>3149</v>
      </c>
      <c r="F43" s="2827"/>
      <c r="G43" s="2849" t="s">
        <v>3552</v>
      </c>
      <c r="H43" s="2844">
        <f>INDEX('Fringe Data'!$K$8:$K$112,MATCH(G43,'Fringe Data'!$F$8:$F$112,0))</f>
        <v>0.315</v>
      </c>
      <c r="I43" s="2854">
        <f>INDEX('Fringe Data'!$S$8:$S$112,MATCH(G43,'Fringe Data'!$F$8:$F$112,0))</f>
        <v>0</v>
      </c>
      <c r="J43" s="1700" t="s">
        <v>2</v>
      </c>
      <c r="K43" s="2846" t="s">
        <v>4148</v>
      </c>
      <c r="L43" s="559">
        <f>IF(ISERROR(MATCH(K43,'IPCS Data'!$AA$7:$AA$110,0)),1,0)</f>
        <v>0</v>
      </c>
      <c r="M43" s="2847" t="s">
        <v>4147</v>
      </c>
      <c r="N43" s="402"/>
    </row>
    <row r="44" spans="2:25" s="1292" customFormat="1" x14ac:dyDescent="0.25">
      <c r="B44" s="2109" t="s">
        <v>3296</v>
      </c>
      <c r="C44" s="2109" t="s">
        <v>3498</v>
      </c>
      <c r="D44" s="2109" t="s">
        <v>3150</v>
      </c>
      <c r="E44" s="2848" t="s">
        <v>3151</v>
      </c>
      <c r="F44" s="2827"/>
      <c r="G44" s="2849" t="s">
        <v>3552</v>
      </c>
      <c r="H44" s="2844">
        <f>INDEX('Fringe Data'!$K$8:$K$112,MATCH(G44,'Fringe Data'!$F$8:$F$112,0))</f>
        <v>0.315</v>
      </c>
      <c r="I44" s="2854">
        <f>INDEX('Fringe Data'!$S$8:$S$112,MATCH(G44,'Fringe Data'!$F$8:$F$112,0))</f>
        <v>0</v>
      </c>
      <c r="J44" s="1700" t="s">
        <v>2</v>
      </c>
      <c r="K44" s="2846" t="s">
        <v>4148</v>
      </c>
      <c r="L44" s="559">
        <f>IF(ISERROR(MATCH(K44,'IPCS Data'!$AA$7:$AA$110,0)),1,0)</f>
        <v>0</v>
      </c>
      <c r="M44" s="2847" t="s">
        <v>4147</v>
      </c>
      <c r="N44" s="402"/>
    </row>
    <row r="45" spans="2:25" s="1292" customFormat="1" x14ac:dyDescent="0.25">
      <c r="B45" s="2109" t="s">
        <v>3296</v>
      </c>
      <c r="C45" s="2109" t="s">
        <v>3498</v>
      </c>
      <c r="D45" s="2109" t="s">
        <v>3152</v>
      </c>
      <c r="E45" s="2848" t="s">
        <v>3153</v>
      </c>
      <c r="F45" s="2827"/>
      <c r="G45" s="2849" t="s">
        <v>3552</v>
      </c>
      <c r="H45" s="2844">
        <f>INDEX('Fringe Data'!$K$8:$K$112,MATCH(G45,'Fringe Data'!$F$8:$F$112,0))</f>
        <v>0.315</v>
      </c>
      <c r="I45" s="2854">
        <f>INDEX('Fringe Data'!$S$8:$S$112,MATCH(G45,'Fringe Data'!$F$8:$F$112,0))</f>
        <v>0</v>
      </c>
      <c r="J45" s="1700" t="s">
        <v>2</v>
      </c>
      <c r="K45" s="2846" t="s">
        <v>4148</v>
      </c>
      <c r="L45" s="559">
        <f>IF(ISERROR(MATCH(K45,'IPCS Data'!$AA$7:$AA$110,0)),1,0)</f>
        <v>0</v>
      </c>
      <c r="M45" s="2847" t="s">
        <v>4147</v>
      </c>
      <c r="N45" s="402"/>
    </row>
    <row r="46" spans="2:25" s="1292" customFormat="1" x14ac:dyDescent="0.25">
      <c r="B46" s="2109" t="s">
        <v>3296</v>
      </c>
      <c r="C46" s="2109" t="s">
        <v>3498</v>
      </c>
      <c r="D46" s="2109" t="s">
        <v>3553</v>
      </c>
      <c r="E46" s="2848" t="s">
        <v>3554</v>
      </c>
      <c r="F46" s="2827"/>
      <c r="G46" s="2849" t="s">
        <v>3552</v>
      </c>
      <c r="H46" s="2844">
        <f>INDEX('Fringe Data'!$K$8:$K$112,MATCH(G46,'Fringe Data'!$F$8:$F$112,0))</f>
        <v>0.315</v>
      </c>
      <c r="I46" s="2854">
        <f>INDEX('Fringe Data'!$S$8:$S$112,MATCH(G46,'Fringe Data'!$F$8:$F$112,0))</f>
        <v>0</v>
      </c>
      <c r="J46" s="1700" t="s">
        <v>2</v>
      </c>
      <c r="K46" s="2846" t="s">
        <v>4148</v>
      </c>
      <c r="L46" s="559">
        <f>IF(ISERROR(MATCH(K46,'IPCS Data'!$AA$7:$AA$110,0)),1,0)</f>
        <v>0</v>
      </c>
      <c r="M46" s="2847" t="s">
        <v>4147</v>
      </c>
      <c r="N46" s="402"/>
    </row>
    <row r="47" spans="2:25" s="1292" customFormat="1" x14ac:dyDescent="0.25">
      <c r="B47" s="2109" t="s">
        <v>3296</v>
      </c>
      <c r="C47" s="2109" t="s">
        <v>3498</v>
      </c>
      <c r="D47" s="2109" t="s">
        <v>3154</v>
      </c>
      <c r="E47" s="2848" t="s">
        <v>3155</v>
      </c>
      <c r="F47" s="2827"/>
      <c r="G47" s="2849" t="s">
        <v>3552</v>
      </c>
      <c r="H47" s="2844">
        <f>INDEX('Fringe Data'!$K$8:$K$112,MATCH(G47,'Fringe Data'!$F$8:$F$112,0))</f>
        <v>0.315</v>
      </c>
      <c r="I47" s="2854">
        <f>INDEX('Fringe Data'!$S$8:$S$112,MATCH(G47,'Fringe Data'!$F$8:$F$112,0))</f>
        <v>0</v>
      </c>
      <c r="J47" s="1700" t="s">
        <v>2</v>
      </c>
      <c r="K47" s="2846" t="s">
        <v>4148</v>
      </c>
      <c r="L47" s="559">
        <f>IF(ISERROR(MATCH(K47,'IPCS Data'!$AA$7:$AA$110,0)),1,0)</f>
        <v>0</v>
      </c>
      <c r="M47" s="2847" t="s">
        <v>4147</v>
      </c>
      <c r="N47" s="402"/>
    </row>
    <row r="48" spans="2:25" s="1292" customFormat="1" x14ac:dyDescent="0.25">
      <c r="B48" s="2109" t="s">
        <v>3296</v>
      </c>
      <c r="C48" s="2109" t="s">
        <v>3498</v>
      </c>
      <c r="D48" s="2109" t="s">
        <v>3156</v>
      </c>
      <c r="E48" s="2848" t="s">
        <v>3157</v>
      </c>
      <c r="F48" s="2827"/>
      <c r="G48" s="2849" t="s">
        <v>3552</v>
      </c>
      <c r="H48" s="2844">
        <f>INDEX('Fringe Data'!$K$8:$K$112,MATCH(G48,'Fringe Data'!$F$8:$F$112,0))</f>
        <v>0.315</v>
      </c>
      <c r="I48" s="2854">
        <f>INDEX('Fringe Data'!$S$8:$S$112,MATCH(G48,'Fringe Data'!$F$8:$F$112,0))</f>
        <v>0</v>
      </c>
      <c r="J48" s="1700" t="s">
        <v>2</v>
      </c>
      <c r="K48" s="2846" t="s">
        <v>4148</v>
      </c>
      <c r="L48" s="559">
        <f>IF(ISERROR(MATCH(K48,'IPCS Data'!$AA$7:$AA$110,0)),1,0)</f>
        <v>0</v>
      </c>
      <c r="M48" s="2847" t="s">
        <v>4147</v>
      </c>
      <c r="N48" s="402"/>
    </row>
    <row r="49" spans="2:25" s="1292" customFormat="1" x14ac:dyDescent="0.25">
      <c r="B49" s="2109" t="s">
        <v>3296</v>
      </c>
      <c r="C49" s="2109" t="s">
        <v>3498</v>
      </c>
      <c r="D49" s="2109" t="s">
        <v>3158</v>
      </c>
      <c r="E49" s="2848" t="s">
        <v>3159</v>
      </c>
      <c r="F49" s="2827"/>
      <c r="G49" s="2849" t="s">
        <v>3552</v>
      </c>
      <c r="H49" s="2844">
        <f>INDEX('Fringe Data'!$K$8:$K$112,MATCH(G49,'Fringe Data'!$F$8:$F$112,0))</f>
        <v>0.315</v>
      </c>
      <c r="I49" s="2854">
        <f>INDEX('Fringe Data'!$S$8:$S$112,MATCH(G49,'Fringe Data'!$F$8:$F$112,0))</f>
        <v>0</v>
      </c>
      <c r="J49" s="1700" t="s">
        <v>2</v>
      </c>
      <c r="K49" s="2846" t="s">
        <v>4148</v>
      </c>
      <c r="L49" s="559">
        <f>IF(ISERROR(MATCH(K49,'IPCS Data'!$AA$7:$AA$110,0)),1,0)</f>
        <v>0</v>
      </c>
      <c r="M49" s="2847" t="s">
        <v>4147</v>
      </c>
      <c r="N49" s="402"/>
    </row>
    <row r="50" spans="2:25" s="1292" customFormat="1" x14ac:dyDescent="0.25">
      <c r="B50" s="2109" t="s">
        <v>3296</v>
      </c>
      <c r="C50" s="2109" t="s">
        <v>3498</v>
      </c>
      <c r="D50" s="2109" t="s">
        <v>3160</v>
      </c>
      <c r="E50" s="2848" t="s">
        <v>3161</v>
      </c>
      <c r="F50" s="2827"/>
      <c r="G50" s="2849" t="s">
        <v>3552</v>
      </c>
      <c r="H50" s="2844">
        <f>INDEX('Fringe Data'!$K$8:$K$112,MATCH(G50,'Fringe Data'!$F$8:$F$112,0))</f>
        <v>0.315</v>
      </c>
      <c r="I50" s="2854">
        <f>INDEX('Fringe Data'!$S$8:$S$112,MATCH(G50,'Fringe Data'!$F$8:$F$112,0))</f>
        <v>0</v>
      </c>
      <c r="J50" s="1700" t="s">
        <v>2</v>
      </c>
      <c r="K50" s="2846" t="s">
        <v>4148</v>
      </c>
      <c r="L50" s="559">
        <f>IF(ISERROR(MATCH(K50,'IPCS Data'!$AA$7:$AA$110,0)),1,0)</f>
        <v>0</v>
      </c>
      <c r="M50" s="2847" t="s">
        <v>4147</v>
      </c>
      <c r="N50" s="402"/>
    </row>
    <row r="51" spans="2:25" s="1292" customFormat="1" x14ac:dyDescent="0.25">
      <c r="B51" s="2109" t="s">
        <v>3296</v>
      </c>
      <c r="C51" s="2109" t="s">
        <v>3498</v>
      </c>
      <c r="D51" s="2109" t="s">
        <v>3162</v>
      </c>
      <c r="E51" s="2848" t="s">
        <v>3163</v>
      </c>
      <c r="F51" s="2827"/>
      <c r="G51" s="2849" t="s">
        <v>3552</v>
      </c>
      <c r="H51" s="2844">
        <f>INDEX('Fringe Data'!$K$8:$K$112,MATCH(G51,'Fringe Data'!$F$8:$F$112,0))</f>
        <v>0.315</v>
      </c>
      <c r="I51" s="2854">
        <f>INDEX('Fringe Data'!$S$8:$S$112,MATCH(G51,'Fringe Data'!$F$8:$F$112,0))</f>
        <v>0</v>
      </c>
      <c r="J51" s="1700" t="s">
        <v>2</v>
      </c>
      <c r="K51" s="2846" t="s">
        <v>4148</v>
      </c>
      <c r="L51" s="559">
        <f>IF(ISERROR(MATCH(K51,'IPCS Data'!$AA$7:$AA$110,0)),1,0)</f>
        <v>0</v>
      </c>
      <c r="M51" s="2847" t="s">
        <v>4147</v>
      </c>
      <c r="N51" s="402"/>
    </row>
    <row r="52" spans="2:25" s="1292" customFormat="1" x14ac:dyDescent="0.25">
      <c r="B52" s="2109" t="s">
        <v>3296</v>
      </c>
      <c r="C52" s="2109" t="s">
        <v>3498</v>
      </c>
      <c r="D52" s="2109" t="s">
        <v>3164</v>
      </c>
      <c r="E52" s="2848" t="s">
        <v>3165</v>
      </c>
      <c r="F52" s="2827"/>
      <c r="G52" s="2849" t="s">
        <v>3552</v>
      </c>
      <c r="H52" s="2844">
        <f>INDEX('Fringe Data'!$K$8:$K$112,MATCH(G52,'Fringe Data'!$F$8:$F$112,0))</f>
        <v>0.315</v>
      </c>
      <c r="I52" s="2854">
        <f>INDEX('Fringe Data'!$S$8:$S$112,MATCH(G52,'Fringe Data'!$F$8:$F$112,0))</f>
        <v>0</v>
      </c>
      <c r="J52" s="1700" t="s">
        <v>2</v>
      </c>
      <c r="K52" s="2846" t="s">
        <v>4148</v>
      </c>
      <c r="L52" s="559">
        <f>IF(ISERROR(MATCH(K52,'IPCS Data'!$AA$7:$AA$110,0)),1,0)</f>
        <v>0</v>
      </c>
      <c r="M52" s="2847" t="s">
        <v>4147</v>
      </c>
      <c r="N52" s="402"/>
    </row>
    <row r="53" spans="2:25" s="1292" customFormat="1" x14ac:dyDescent="0.25">
      <c r="B53" s="2109" t="s">
        <v>3296</v>
      </c>
      <c r="C53" s="2109" t="s">
        <v>3498</v>
      </c>
      <c r="D53" s="2109" t="s">
        <v>3166</v>
      </c>
      <c r="E53" s="2848" t="s">
        <v>3167</v>
      </c>
      <c r="F53" s="2827"/>
      <c r="G53" s="2849" t="s">
        <v>3552</v>
      </c>
      <c r="H53" s="2844">
        <f>INDEX('Fringe Data'!$K$8:$K$112,MATCH(G53,'Fringe Data'!$F$8:$F$112,0))</f>
        <v>0.315</v>
      </c>
      <c r="I53" s="2854">
        <f>INDEX('Fringe Data'!$S$8:$S$112,MATCH(G53,'Fringe Data'!$F$8:$F$112,0))</f>
        <v>0</v>
      </c>
      <c r="J53" s="1700" t="s">
        <v>2</v>
      </c>
      <c r="K53" s="2846" t="s">
        <v>4148</v>
      </c>
      <c r="L53" s="559">
        <f>IF(ISERROR(MATCH(K53,'IPCS Data'!$AA$7:$AA$110,0)),1,0)</f>
        <v>0</v>
      </c>
      <c r="M53" s="2847" t="s">
        <v>4147</v>
      </c>
      <c r="N53" s="402"/>
    </row>
    <row r="54" spans="2:25" s="1292" customFormat="1" ht="13.8" thickBot="1" x14ac:dyDescent="0.3">
      <c r="B54" s="2109" t="s">
        <v>3296</v>
      </c>
      <c r="C54" s="2109" t="s">
        <v>3498</v>
      </c>
      <c r="D54" s="2109" t="s">
        <v>3168</v>
      </c>
      <c r="E54" s="2848" t="s">
        <v>3169</v>
      </c>
      <c r="F54" s="2827"/>
      <c r="G54" s="2849" t="s">
        <v>3552</v>
      </c>
      <c r="H54" s="2844">
        <f>INDEX('Fringe Data'!$K$8:$K$112,MATCH(G54,'Fringe Data'!$F$8:$F$112,0))</f>
        <v>0.315</v>
      </c>
      <c r="I54" s="2854">
        <f>INDEX('Fringe Data'!$S$8:$S$112,MATCH(G54,'Fringe Data'!$F$8:$F$112,0))</f>
        <v>0</v>
      </c>
      <c r="J54" s="1700" t="s">
        <v>2</v>
      </c>
      <c r="K54" s="2846" t="s">
        <v>4148</v>
      </c>
      <c r="L54" s="559">
        <f>IF(ISERROR(MATCH(K54,'IPCS Data'!$AA$7:$AA$110,0)),1,0)</f>
        <v>0</v>
      </c>
      <c r="M54" s="2847" t="s">
        <v>4147</v>
      </c>
      <c r="N54" s="402"/>
    </row>
    <row r="55" spans="2:25" s="1292" customFormat="1" ht="22.8" thickBot="1" x14ac:dyDescent="0.3">
      <c r="B55" s="2829" t="s">
        <v>837</v>
      </c>
      <c r="C55" s="2830" t="s">
        <v>3544</v>
      </c>
      <c r="D55" s="2830" t="s">
        <v>359</v>
      </c>
      <c r="E55" s="2831" t="s">
        <v>3545</v>
      </c>
      <c r="F55" s="2827"/>
      <c r="G55" s="2832" t="s">
        <v>3546</v>
      </c>
      <c r="H55" s="2833" t="s">
        <v>3547</v>
      </c>
      <c r="I55" s="2954" t="s">
        <v>3548</v>
      </c>
      <c r="J55" s="2834" t="s">
        <v>3549</v>
      </c>
      <c r="K55" s="2835" t="s">
        <v>3525</v>
      </c>
      <c r="L55" s="2835"/>
      <c r="M55" s="2836" t="s">
        <v>3550</v>
      </c>
      <c r="N55" s="402"/>
    </row>
    <row r="56" spans="2:25" s="1292" customFormat="1" ht="13.8" thickBot="1" x14ac:dyDescent="0.3">
      <c r="B56" s="2109" t="s">
        <v>3296</v>
      </c>
      <c r="C56" s="2109" t="s">
        <v>3501</v>
      </c>
      <c r="D56" s="2109" t="s">
        <v>3555</v>
      </c>
      <c r="E56" s="2848" t="s">
        <v>3556</v>
      </c>
      <c r="F56" s="2827"/>
      <c r="G56" s="2849" t="s">
        <v>3552</v>
      </c>
      <c r="H56" s="2844">
        <f>INDEX('Fringe Data'!$K$8:$K$112,MATCH(G56,'Fringe Data'!$F$8:$F$112,0))</f>
        <v>0.315</v>
      </c>
      <c r="I56" s="2854">
        <f>INDEX('Fringe Data'!$S$8:$S$112,MATCH(G56,'Fringe Data'!$F$8:$F$112,0))</f>
        <v>0</v>
      </c>
      <c r="J56" s="1700" t="s">
        <v>2</v>
      </c>
      <c r="K56" s="2846" t="s">
        <v>4164</v>
      </c>
      <c r="L56" s="559">
        <f>IF(ISERROR(MATCH(K56,'IPCS Data'!$AA$7:$AA$110,0)),1,0)</f>
        <v>0</v>
      </c>
      <c r="M56" s="2847"/>
      <c r="N56" s="402"/>
    </row>
    <row r="57" spans="2:25" s="1292" customFormat="1" ht="22.8" thickBot="1" x14ac:dyDescent="0.3">
      <c r="B57" s="2829" t="s">
        <v>837</v>
      </c>
      <c r="C57" s="2830" t="s">
        <v>3544</v>
      </c>
      <c r="D57" s="2830" t="s">
        <v>359</v>
      </c>
      <c r="E57" s="2831" t="s">
        <v>3545</v>
      </c>
      <c r="F57" s="2827"/>
      <c r="G57" s="2832" t="s">
        <v>3546</v>
      </c>
      <c r="H57" s="2833" t="s">
        <v>3547</v>
      </c>
      <c r="I57" s="2954" t="s">
        <v>3548</v>
      </c>
      <c r="J57" s="2834" t="s">
        <v>3549</v>
      </c>
      <c r="K57" s="2835" t="s">
        <v>3525</v>
      </c>
      <c r="L57" s="2835"/>
      <c r="M57" s="2836" t="s">
        <v>3550</v>
      </c>
      <c r="N57" s="402"/>
    </row>
    <row r="58" spans="2:25" s="1292" customFormat="1" x14ac:dyDescent="0.25">
      <c r="B58" s="2111" t="s">
        <v>3296</v>
      </c>
      <c r="C58" s="2111" t="s">
        <v>3505</v>
      </c>
      <c r="D58" s="2111" t="s">
        <v>3233</v>
      </c>
      <c r="E58" s="2841" t="s">
        <v>3234</v>
      </c>
      <c r="F58" s="2827"/>
      <c r="G58" s="2849" t="s">
        <v>3552</v>
      </c>
      <c r="H58" s="2844">
        <f>INDEX('Fringe Data'!$K$8:$K$112,MATCH(G58,'Fringe Data'!$F$8:$F$112,0))</f>
        <v>0.315</v>
      </c>
      <c r="I58" s="2854">
        <f>INDEX('Fringe Data'!$S$8:$S$112,MATCH(G58,'Fringe Data'!$F$8:$F$112,0))</f>
        <v>0</v>
      </c>
      <c r="J58" s="1700" t="s">
        <v>2</v>
      </c>
      <c r="K58" s="2846" t="s">
        <v>4149</v>
      </c>
      <c r="L58" s="559">
        <f>IF(ISERROR(MATCH(K58,'IPCS Data'!$AA$7:$AA$110,0)),1,0)</f>
        <v>0</v>
      </c>
      <c r="M58" s="2847"/>
      <c r="N58" s="402"/>
    </row>
    <row r="59" spans="2:25" s="1292" customFormat="1" x14ac:dyDescent="0.25">
      <c r="B59" s="2109" t="s">
        <v>3296</v>
      </c>
      <c r="C59" s="2109" t="s">
        <v>3505</v>
      </c>
      <c r="D59" s="2109" t="s">
        <v>3245</v>
      </c>
      <c r="E59" s="2848" t="s">
        <v>3246</v>
      </c>
      <c r="F59" s="2827"/>
      <c r="G59" s="2849" t="s">
        <v>3552</v>
      </c>
      <c r="H59" s="2844">
        <f>INDEX('Fringe Data'!$K$8:$K$112,MATCH(G59,'Fringe Data'!$F$8:$F$112,0))</f>
        <v>0.315</v>
      </c>
      <c r="I59" s="2854">
        <f>INDEX('Fringe Data'!$S$8:$S$112,MATCH(G59,'Fringe Data'!$F$8:$F$112,0))</f>
        <v>0</v>
      </c>
      <c r="J59" s="1700" t="s">
        <v>2</v>
      </c>
      <c r="K59" s="2846" t="s">
        <v>4149</v>
      </c>
      <c r="L59" s="559">
        <f>IF(ISERROR(MATCH(K59,'IPCS Data'!$AA$7:$AA$110,0)),1,0)</f>
        <v>0</v>
      </c>
      <c r="M59" s="2847"/>
      <c r="N59" s="402"/>
    </row>
    <row r="60" spans="2:25" s="1292" customFormat="1" ht="13.8" thickBot="1" x14ac:dyDescent="0.3">
      <c r="B60" s="2109" t="s">
        <v>3296</v>
      </c>
      <c r="C60" s="2109" t="s">
        <v>3505</v>
      </c>
      <c r="D60" s="2109" t="s">
        <v>3228</v>
      </c>
      <c r="E60" s="2848" t="s">
        <v>3229</v>
      </c>
      <c r="F60" s="2827"/>
      <c r="G60" s="2849" t="s">
        <v>3552</v>
      </c>
      <c r="H60" s="2844">
        <f>INDEX('Fringe Data'!$K$8:$K$112,MATCH(G60,'Fringe Data'!$F$8:$F$112,0))</f>
        <v>0.315</v>
      </c>
      <c r="I60" s="2854">
        <f>INDEX('Fringe Data'!$S$8:$S$112,MATCH(G60,'Fringe Data'!$F$8:$F$112,0))</f>
        <v>0</v>
      </c>
      <c r="J60" s="1700" t="s">
        <v>2</v>
      </c>
      <c r="K60" s="2846" t="s">
        <v>4149</v>
      </c>
      <c r="L60" s="559">
        <f>IF(ISERROR(MATCH(K60,'IPCS Data'!$AA$7:$AA$110,0)),1,0)</f>
        <v>0</v>
      </c>
      <c r="M60" s="2847"/>
      <c r="N60" s="402"/>
    </row>
    <row r="61" spans="2:25" s="1292" customFormat="1" ht="25.2" customHeight="1" thickBot="1" x14ac:dyDescent="0.3">
      <c r="B61" s="2829" t="s">
        <v>837</v>
      </c>
      <c r="C61" s="2830" t="s">
        <v>3544</v>
      </c>
      <c r="D61" s="2830" t="s">
        <v>359</v>
      </c>
      <c r="E61" s="2831" t="s">
        <v>3545</v>
      </c>
      <c r="F61" s="2827"/>
      <c r="G61" s="2832" t="s">
        <v>3546</v>
      </c>
      <c r="H61" s="2833" t="s">
        <v>3547</v>
      </c>
      <c r="I61" s="2954" t="s">
        <v>3548</v>
      </c>
      <c r="J61" s="2834" t="s">
        <v>3549</v>
      </c>
      <c r="K61" s="2835" t="s">
        <v>3525</v>
      </c>
      <c r="L61" s="2835"/>
      <c r="M61" s="2836" t="s">
        <v>3550</v>
      </c>
      <c r="N61" s="402"/>
      <c r="O61" s="402"/>
      <c r="P61" s="402"/>
      <c r="Q61" s="402"/>
      <c r="R61" s="402"/>
      <c r="S61" s="402"/>
      <c r="T61" s="402"/>
      <c r="U61" s="402"/>
      <c r="V61" s="402"/>
      <c r="W61" s="402"/>
      <c r="X61" s="402"/>
      <c r="Y61" s="402"/>
    </row>
    <row r="62" spans="2:25" s="1292" customFormat="1" x14ac:dyDescent="0.25">
      <c r="B62" s="2109" t="s">
        <v>3296</v>
      </c>
      <c r="C62" s="2109" t="s">
        <v>3506</v>
      </c>
      <c r="D62" s="2109" t="s">
        <v>3557</v>
      </c>
      <c r="E62" s="2848" t="s">
        <v>1832</v>
      </c>
      <c r="F62" s="2827"/>
      <c r="G62" s="2849" t="s">
        <v>3552</v>
      </c>
      <c r="H62" s="2844">
        <f>INDEX('Fringe Data'!$K$8:$K$112,MATCH(G62,'Fringe Data'!$F$8:$F$112,0))</f>
        <v>0.315</v>
      </c>
      <c r="I62" s="2854">
        <f>INDEX('Fringe Data'!$S$8:$S$112,MATCH(G62,'Fringe Data'!$F$8:$F$112,0))</f>
        <v>0</v>
      </c>
      <c r="J62" s="1700" t="s">
        <v>2</v>
      </c>
      <c r="K62" s="2846" t="s">
        <v>3527</v>
      </c>
      <c r="L62" s="559">
        <f>IF(ISERROR(MATCH(K62,'IPCS Data'!$AA$7:$AA$110,0)),1,0)</f>
        <v>0</v>
      </c>
      <c r="M62" s="2847"/>
      <c r="N62" s="402"/>
    </row>
    <row r="63" spans="2:25" s="1292" customFormat="1" x14ac:dyDescent="0.25">
      <c r="B63" s="2109" t="s">
        <v>3296</v>
      </c>
      <c r="C63" s="2109" t="s">
        <v>3506</v>
      </c>
      <c r="D63" s="2109" t="s">
        <v>3558</v>
      </c>
      <c r="E63" s="2848" t="s">
        <v>1833</v>
      </c>
      <c r="F63" s="2827"/>
      <c r="G63" s="2849" t="s">
        <v>3552</v>
      </c>
      <c r="H63" s="2844">
        <f>INDEX('Fringe Data'!$K$8:$K$112,MATCH(G63,'Fringe Data'!$F$8:$F$112,0))</f>
        <v>0.315</v>
      </c>
      <c r="I63" s="2854">
        <f>INDEX('Fringe Data'!$S$8:$S$112,MATCH(G63,'Fringe Data'!$F$8:$F$112,0))</f>
        <v>0</v>
      </c>
      <c r="J63" s="1700" t="s">
        <v>2</v>
      </c>
      <c r="K63" s="2846" t="s">
        <v>3527</v>
      </c>
      <c r="L63" s="559">
        <f>IF(ISERROR(MATCH(K63,'IPCS Data'!$AA$7:$AA$110,0)),1,0)</f>
        <v>0</v>
      </c>
      <c r="M63" s="2847"/>
      <c r="N63" s="402"/>
    </row>
    <row r="64" spans="2:25" s="1292" customFormat="1" x14ac:dyDescent="0.25">
      <c r="B64" s="2109" t="s">
        <v>3296</v>
      </c>
      <c r="C64" s="2109" t="s">
        <v>3506</v>
      </c>
      <c r="D64" s="2109" t="s">
        <v>3559</v>
      </c>
      <c r="E64" s="2848" t="s">
        <v>1829</v>
      </c>
      <c r="F64" s="2827"/>
      <c r="G64" s="2849" t="s">
        <v>3552</v>
      </c>
      <c r="H64" s="2844">
        <f>INDEX('Fringe Data'!$K$8:$K$112,MATCH(G64,'Fringe Data'!$F$8:$F$112,0))</f>
        <v>0.315</v>
      </c>
      <c r="I64" s="2854">
        <f>INDEX('Fringe Data'!$S$8:$S$112,MATCH(G64,'Fringe Data'!$F$8:$F$112,0))</f>
        <v>0</v>
      </c>
      <c r="J64" s="1700" t="s">
        <v>2</v>
      </c>
      <c r="K64" s="2846" t="s">
        <v>3528</v>
      </c>
      <c r="L64" s="559">
        <f>IF(ISERROR(MATCH(K64,'IPCS Data'!$AA$7:$AA$110,0)),1,0)</f>
        <v>0</v>
      </c>
      <c r="M64" s="2847"/>
      <c r="N64" s="402"/>
    </row>
    <row r="65" spans="2:14" s="1292" customFormat="1" ht="13.8" thickBot="1" x14ac:dyDescent="0.3">
      <c r="B65" s="2109" t="s">
        <v>3296</v>
      </c>
      <c r="C65" s="2109" t="s">
        <v>3506</v>
      </c>
      <c r="D65" s="2109" t="s">
        <v>3230</v>
      </c>
      <c r="E65" s="2848" t="s">
        <v>1830</v>
      </c>
      <c r="F65" s="2827"/>
      <c r="G65" s="2849" t="s">
        <v>3761</v>
      </c>
      <c r="H65" s="2844">
        <f>INDEX('Fringe Data'!$K$8:$K$112,MATCH(G65,'Fringe Data'!$F$8:$F$112,0))</f>
        <v>0.37</v>
      </c>
      <c r="I65" s="2854">
        <f>INDEX('Fringe Data'!$S$8:$S$112,MATCH(G65,'Fringe Data'!$F$8:$F$112,0))</f>
        <v>0</v>
      </c>
      <c r="J65" s="1700" t="s">
        <v>42</v>
      </c>
      <c r="K65" s="2846" t="s">
        <v>3528</v>
      </c>
      <c r="L65" s="559">
        <f>IF(ISERROR(MATCH(K65,'IPCS Data'!$AA$7:$AA$110,0)),1,0)</f>
        <v>0</v>
      </c>
      <c r="M65" s="2847"/>
      <c r="N65" s="402"/>
    </row>
    <row r="66" spans="2:14" s="1292" customFormat="1" ht="22.8" thickBot="1" x14ac:dyDescent="0.3">
      <c r="B66" s="2829" t="s">
        <v>837</v>
      </c>
      <c r="C66" s="2830" t="s">
        <v>3544</v>
      </c>
      <c r="D66" s="2830" t="s">
        <v>359</v>
      </c>
      <c r="E66" s="2831" t="s">
        <v>3545</v>
      </c>
      <c r="F66" s="2827"/>
      <c r="G66" s="2832" t="s">
        <v>3546</v>
      </c>
      <c r="H66" s="2833" t="s">
        <v>3547</v>
      </c>
      <c r="I66" s="2954" t="s">
        <v>3548</v>
      </c>
      <c r="J66" s="2834" t="s">
        <v>3549</v>
      </c>
      <c r="K66" s="2835" t="s">
        <v>3525</v>
      </c>
      <c r="L66" s="2835"/>
      <c r="M66" s="2836" t="s">
        <v>3550</v>
      </c>
      <c r="N66" s="402"/>
    </row>
    <row r="67" spans="2:14" s="1292" customFormat="1" x14ac:dyDescent="0.25">
      <c r="B67" s="2109" t="s">
        <v>3296</v>
      </c>
      <c r="C67" s="2109" t="s">
        <v>3285</v>
      </c>
      <c r="D67" s="2109" t="s">
        <v>3275</v>
      </c>
      <c r="E67" s="2848" t="s">
        <v>3276</v>
      </c>
      <c r="F67" s="2827"/>
      <c r="G67" s="2849" t="s">
        <v>3552</v>
      </c>
      <c r="H67" s="2844">
        <f>INDEX('Fringe Data'!$K$8:$K$112,MATCH(G67,'Fringe Data'!$F$8:$F$112,0))</f>
        <v>0.315</v>
      </c>
      <c r="I67" s="2854">
        <f>INDEX('Fringe Data'!$S$8:$S$112,MATCH(G67,'Fringe Data'!$F$8:$F$112,0))</f>
        <v>0</v>
      </c>
      <c r="J67" s="1700" t="s">
        <v>2</v>
      </c>
      <c r="K67" s="2846" t="s">
        <v>4150</v>
      </c>
      <c r="L67" s="559">
        <f>IF(ISERROR(MATCH(K67,'IPCS Data'!$AA$7:$AA$110,0)),1,0)</f>
        <v>0</v>
      </c>
      <c r="M67" s="2847"/>
      <c r="N67" s="402"/>
    </row>
    <row r="68" spans="2:14" s="1292" customFormat="1" x14ac:dyDescent="0.25">
      <c r="B68" s="2109" t="s">
        <v>3296</v>
      </c>
      <c r="C68" s="2109" t="s">
        <v>3285</v>
      </c>
      <c r="D68" s="2109" t="s">
        <v>3277</v>
      </c>
      <c r="E68" s="2848" t="s">
        <v>3278</v>
      </c>
      <c r="F68" s="2827"/>
      <c r="G68" s="2849" t="s">
        <v>3552</v>
      </c>
      <c r="H68" s="2844">
        <f>INDEX('Fringe Data'!$K$8:$K$112,MATCH(G68,'Fringe Data'!$F$8:$F$112,0))</f>
        <v>0.315</v>
      </c>
      <c r="I68" s="2854">
        <f>INDEX('Fringe Data'!$S$8:$S$112,MATCH(G68,'Fringe Data'!$F$8:$F$112,0))</f>
        <v>0</v>
      </c>
      <c r="J68" s="1700" t="s">
        <v>2</v>
      </c>
      <c r="K68" s="2846" t="s">
        <v>4150</v>
      </c>
      <c r="L68" s="559">
        <f>IF(ISERROR(MATCH(K68,'IPCS Data'!$AA$7:$AA$110,0)),1,0)</f>
        <v>0</v>
      </c>
      <c r="M68" s="2847"/>
      <c r="N68" s="402"/>
    </row>
    <row r="69" spans="2:14" s="1292" customFormat="1" x14ac:dyDescent="0.25">
      <c r="B69" s="2109" t="s">
        <v>3296</v>
      </c>
      <c r="C69" s="2109" t="s">
        <v>3285</v>
      </c>
      <c r="D69" s="2109" t="s">
        <v>3279</v>
      </c>
      <c r="E69" s="2848" t="s">
        <v>3280</v>
      </c>
      <c r="F69" s="2827"/>
      <c r="G69" s="2849" t="s">
        <v>3552</v>
      </c>
      <c r="H69" s="2844">
        <f>INDEX('Fringe Data'!$K$8:$K$112,MATCH(G69,'Fringe Data'!$F$8:$F$112,0))</f>
        <v>0.315</v>
      </c>
      <c r="I69" s="2854">
        <f>INDEX('Fringe Data'!$S$8:$S$112,MATCH(G69,'Fringe Data'!$F$8:$F$112,0))</f>
        <v>0</v>
      </c>
      <c r="J69" s="1700" t="s">
        <v>2</v>
      </c>
      <c r="K69" s="2846" t="s">
        <v>4150</v>
      </c>
      <c r="L69" s="559">
        <f>IF(ISERROR(MATCH(K69,'IPCS Data'!$AA$7:$AA$110,0)),1,0)</f>
        <v>0</v>
      </c>
      <c r="M69" s="2847"/>
      <c r="N69" s="402"/>
    </row>
    <row r="70" spans="2:14" s="1292" customFormat="1" x14ac:dyDescent="0.25">
      <c r="B70" s="2109" t="s">
        <v>3296</v>
      </c>
      <c r="C70" s="2109" t="s">
        <v>3285</v>
      </c>
      <c r="D70" s="2109" t="s">
        <v>3281</v>
      </c>
      <c r="E70" s="2848" t="s">
        <v>3282</v>
      </c>
      <c r="F70" s="2827"/>
      <c r="G70" s="2849" t="s">
        <v>3552</v>
      </c>
      <c r="H70" s="2844">
        <f>INDEX('Fringe Data'!$K$8:$K$112,MATCH(G70,'Fringe Data'!$F$8:$F$112,0))</f>
        <v>0.315</v>
      </c>
      <c r="I70" s="2854">
        <f>INDEX('Fringe Data'!$S$8:$S$112,MATCH(G70,'Fringe Data'!$F$8:$F$112,0))</f>
        <v>0</v>
      </c>
      <c r="J70" s="1700" t="s">
        <v>2</v>
      </c>
      <c r="K70" s="2846" t="s">
        <v>4150</v>
      </c>
      <c r="L70" s="559">
        <f>IF(ISERROR(MATCH(K70,'IPCS Data'!$AA$7:$AA$110,0)),1,0)</f>
        <v>0</v>
      </c>
      <c r="M70" s="2847"/>
      <c r="N70" s="402"/>
    </row>
    <row r="71" spans="2:14" s="1292" customFormat="1" x14ac:dyDescent="0.25">
      <c r="B71" s="2109" t="s">
        <v>3296</v>
      </c>
      <c r="C71" s="2109" t="s">
        <v>3285</v>
      </c>
      <c r="D71" s="2109" t="s">
        <v>3560</v>
      </c>
      <c r="E71" s="2848" t="s">
        <v>1818</v>
      </c>
      <c r="F71" s="2827"/>
      <c r="G71" s="2849" t="s">
        <v>3552</v>
      </c>
      <c r="H71" s="2844">
        <f>INDEX('Fringe Data'!$K$8:$K$112,MATCH(G71,'Fringe Data'!$F$8:$F$112,0))</f>
        <v>0.315</v>
      </c>
      <c r="I71" s="2854">
        <f>INDEX('Fringe Data'!$S$8:$S$112,MATCH(G71,'Fringe Data'!$F$8:$F$112,0))</f>
        <v>0</v>
      </c>
      <c r="J71" s="1700" t="s">
        <v>2</v>
      </c>
      <c r="K71" s="2846" t="s">
        <v>4150</v>
      </c>
      <c r="L71" s="559">
        <f>IF(ISERROR(MATCH(K71,'IPCS Data'!$AA$7:$AA$110,0)),1,0)</f>
        <v>0</v>
      </c>
      <c r="M71" s="2847"/>
      <c r="N71" s="402"/>
    </row>
    <row r="72" spans="2:14" s="1292" customFormat="1" x14ac:dyDescent="0.25">
      <c r="B72" s="2109" t="s">
        <v>3296</v>
      </c>
      <c r="C72" s="2109" t="s">
        <v>3285</v>
      </c>
      <c r="D72" s="2109" t="s">
        <v>3561</v>
      </c>
      <c r="E72" s="2848" t="s">
        <v>1819</v>
      </c>
      <c r="F72" s="2827"/>
      <c r="G72" s="2849" t="s">
        <v>3552</v>
      </c>
      <c r="H72" s="2844">
        <f>INDEX('Fringe Data'!$K$8:$K$112,MATCH(G72,'Fringe Data'!$F$8:$F$112,0))</f>
        <v>0.315</v>
      </c>
      <c r="I72" s="2854">
        <f>INDEX('Fringe Data'!$S$8:$S$112,MATCH(G72,'Fringe Data'!$F$8:$F$112,0))</f>
        <v>0</v>
      </c>
      <c r="J72" s="1700" t="s">
        <v>2</v>
      </c>
      <c r="K72" s="2846" t="s">
        <v>4150</v>
      </c>
      <c r="L72" s="559">
        <f>IF(ISERROR(MATCH(K72,'IPCS Data'!$AA$7:$AA$110,0)),1,0)</f>
        <v>0</v>
      </c>
      <c r="M72" s="2847"/>
      <c r="N72" s="402"/>
    </row>
    <row r="73" spans="2:14" s="1292" customFormat="1" x14ac:dyDescent="0.25">
      <c r="B73" s="2109" t="s">
        <v>3296</v>
      </c>
      <c r="C73" s="2109" t="s">
        <v>3285</v>
      </c>
      <c r="D73" s="2109" t="s">
        <v>3562</v>
      </c>
      <c r="E73" s="2848" t="s">
        <v>1820</v>
      </c>
      <c r="F73" s="2827"/>
      <c r="G73" s="2849" t="s">
        <v>3552</v>
      </c>
      <c r="H73" s="2844">
        <f>INDEX('Fringe Data'!$K$8:$K$112,MATCH(G73,'Fringe Data'!$F$8:$F$112,0))</f>
        <v>0.315</v>
      </c>
      <c r="I73" s="2854">
        <f>INDEX('Fringe Data'!$S$8:$S$112,MATCH(G73,'Fringe Data'!$F$8:$F$112,0))</f>
        <v>0</v>
      </c>
      <c r="J73" s="1700" t="s">
        <v>2</v>
      </c>
      <c r="K73" s="2846" t="s">
        <v>4150</v>
      </c>
      <c r="L73" s="559">
        <f>IF(ISERROR(MATCH(K73,'IPCS Data'!$AA$7:$AA$110,0)),1,0)</f>
        <v>0</v>
      </c>
      <c r="M73" s="2847"/>
      <c r="N73" s="402"/>
    </row>
    <row r="74" spans="2:14" s="1292" customFormat="1" ht="13.8" thickBot="1" x14ac:dyDescent="0.3">
      <c r="B74" s="2109" t="s">
        <v>3296</v>
      </c>
      <c r="C74" s="2109" t="s">
        <v>3285</v>
      </c>
      <c r="D74" s="2109" t="s">
        <v>3284</v>
      </c>
      <c r="E74" s="2848" t="s">
        <v>1817</v>
      </c>
      <c r="F74" s="2827"/>
      <c r="G74" s="2849" t="s">
        <v>3552</v>
      </c>
      <c r="H74" s="2844">
        <f>INDEX('Fringe Data'!$K$8:$K$112,MATCH(G74,'Fringe Data'!$F$8:$F$112,0))</f>
        <v>0.315</v>
      </c>
      <c r="I74" s="2854">
        <f>INDEX('Fringe Data'!$S$8:$S$112,MATCH(G74,'Fringe Data'!$F$8:$F$112,0))</f>
        <v>0</v>
      </c>
      <c r="J74" s="1700" t="s">
        <v>2</v>
      </c>
      <c r="K74" s="2846" t="s">
        <v>4150</v>
      </c>
      <c r="L74" s="559">
        <f>IF(ISERROR(MATCH(K74,'IPCS Data'!$AA$7:$AA$110,0)),1,0)</f>
        <v>0</v>
      </c>
      <c r="M74" s="2847"/>
      <c r="N74" s="402"/>
    </row>
    <row r="75" spans="2:14" s="1292" customFormat="1" ht="22.8" thickBot="1" x14ac:dyDescent="0.3">
      <c r="B75" s="2829" t="s">
        <v>837</v>
      </c>
      <c r="C75" s="2830" t="s">
        <v>3544</v>
      </c>
      <c r="D75" s="2830" t="s">
        <v>359</v>
      </c>
      <c r="E75" s="2831" t="s">
        <v>3545</v>
      </c>
      <c r="F75" s="2827"/>
      <c r="G75" s="2832" t="s">
        <v>3546</v>
      </c>
      <c r="H75" s="2833" t="s">
        <v>3547</v>
      </c>
      <c r="I75" s="2954" t="s">
        <v>3548</v>
      </c>
      <c r="J75" s="2834" t="s">
        <v>3549</v>
      </c>
      <c r="K75" s="2835" t="s">
        <v>3525</v>
      </c>
      <c r="L75" s="2835"/>
      <c r="M75" s="2836" t="s">
        <v>3550</v>
      </c>
      <c r="N75" s="402"/>
    </row>
    <row r="76" spans="2:14" s="1292" customFormat="1" x14ac:dyDescent="0.25">
      <c r="B76" s="2109" t="s">
        <v>3296</v>
      </c>
      <c r="C76" s="2109" t="s">
        <v>3295</v>
      </c>
      <c r="D76" s="2109" t="s">
        <v>3231</v>
      </c>
      <c r="E76" s="2848" t="s">
        <v>3232</v>
      </c>
      <c r="F76" s="2827"/>
      <c r="G76" s="2849" t="s">
        <v>3552</v>
      </c>
      <c r="H76" s="2844">
        <f>INDEX('Fringe Data'!$K$8:$K$112,MATCH(G76,'Fringe Data'!$F$8:$F$112,0))</f>
        <v>0.315</v>
      </c>
      <c r="I76" s="2854">
        <f>INDEX('Fringe Data'!$S$8:$S$112,MATCH(G76,'Fringe Data'!$F$8:$F$112,0))</f>
        <v>0</v>
      </c>
      <c r="J76" s="1700" t="s">
        <v>2</v>
      </c>
      <c r="K76" s="2846" t="s">
        <v>3330</v>
      </c>
      <c r="L76" s="559">
        <f>IF(ISERROR(MATCH(K76,'IPCS Data'!$AA$7:$AA$110,0)),1,0)</f>
        <v>0</v>
      </c>
      <c r="M76" s="2847"/>
      <c r="N76" s="402"/>
    </row>
    <row r="77" spans="2:14" s="1292" customFormat="1" x14ac:dyDescent="0.25">
      <c r="B77" s="2109" t="s">
        <v>3296</v>
      </c>
      <c r="C77" s="2109" t="s">
        <v>3295</v>
      </c>
      <c r="D77" s="2109" t="s">
        <v>3563</v>
      </c>
      <c r="E77" s="2848" t="s">
        <v>3237</v>
      </c>
      <c r="F77" s="2827"/>
      <c r="G77" s="2849" t="s">
        <v>3552</v>
      </c>
      <c r="H77" s="2844">
        <f>INDEX('Fringe Data'!$K$8:$K$112,MATCH(G77,'Fringe Data'!$F$8:$F$112,0))</f>
        <v>0.315</v>
      </c>
      <c r="I77" s="2854">
        <f>INDEX('Fringe Data'!$S$8:$S$112,MATCH(G77,'Fringe Data'!$F$8:$F$112,0))</f>
        <v>0</v>
      </c>
      <c r="J77" s="1700" t="s">
        <v>2</v>
      </c>
      <c r="K77" s="2846" t="s">
        <v>3530</v>
      </c>
      <c r="L77" s="559">
        <f>IF(ISERROR(MATCH(K77,'IPCS Data'!$AA$7:$AA$110,0)),1,0)</f>
        <v>0</v>
      </c>
      <c r="M77" s="2847"/>
      <c r="N77" s="402"/>
    </row>
    <row r="78" spans="2:14" s="1292" customFormat="1" x14ac:dyDescent="0.25">
      <c r="B78" s="2109" t="s">
        <v>3296</v>
      </c>
      <c r="C78" s="2109" t="s">
        <v>3295</v>
      </c>
      <c r="D78" s="2109" t="s">
        <v>3564</v>
      </c>
      <c r="E78" s="2848" t="s">
        <v>3238</v>
      </c>
      <c r="F78" s="2827"/>
      <c r="G78" s="2849" t="s">
        <v>3552</v>
      </c>
      <c r="H78" s="2844">
        <f>INDEX('Fringe Data'!$K$8:$K$112,MATCH(G78,'Fringe Data'!$F$8:$F$112,0))</f>
        <v>0.315</v>
      </c>
      <c r="I78" s="2854">
        <f>INDEX('Fringe Data'!$S$8:$S$112,MATCH(G78,'Fringe Data'!$F$8:$F$112,0))</f>
        <v>0</v>
      </c>
      <c r="J78" s="1700" t="s">
        <v>2</v>
      </c>
      <c r="K78" s="2846" t="s">
        <v>3529</v>
      </c>
      <c r="L78" s="559">
        <f>IF(ISERROR(MATCH(K78,'IPCS Data'!$AA$7:$AA$110,0)),1,0)</f>
        <v>0</v>
      </c>
      <c r="M78" s="2847"/>
      <c r="N78" s="402"/>
    </row>
    <row r="79" spans="2:14" s="1292" customFormat="1" x14ac:dyDescent="0.25">
      <c r="B79" s="2109" t="s">
        <v>3296</v>
      </c>
      <c r="C79" s="2109" t="s">
        <v>3295</v>
      </c>
      <c r="D79" s="2109" t="s">
        <v>3239</v>
      </c>
      <c r="E79" s="2848" t="s">
        <v>1839</v>
      </c>
      <c r="F79" s="2827"/>
      <c r="G79" s="2849" t="s">
        <v>3552</v>
      </c>
      <c r="H79" s="2844">
        <f>INDEX('Fringe Data'!$K$8:$K$112,MATCH(G79,'Fringe Data'!$F$8:$F$112,0))</f>
        <v>0.315</v>
      </c>
      <c r="I79" s="2854">
        <f>INDEX('Fringe Data'!$S$8:$S$112,MATCH(G79,'Fringe Data'!$F$8:$F$112,0))</f>
        <v>0</v>
      </c>
      <c r="J79" s="1700" t="s">
        <v>2</v>
      </c>
      <c r="K79" s="2846" t="s">
        <v>3330</v>
      </c>
      <c r="L79" s="559">
        <f>IF(ISERROR(MATCH(K79,'IPCS Data'!$AA$7:$AA$110,0)),1,0)</f>
        <v>0</v>
      </c>
      <c r="M79" s="2847"/>
      <c r="N79" s="402"/>
    </row>
    <row r="80" spans="2:14" s="1292" customFormat="1" x14ac:dyDescent="0.25">
      <c r="B80" s="2109" t="s">
        <v>3296</v>
      </c>
      <c r="C80" s="2109" t="s">
        <v>3295</v>
      </c>
      <c r="D80" s="2109" t="s">
        <v>3240</v>
      </c>
      <c r="E80" s="2848" t="s">
        <v>1840</v>
      </c>
      <c r="F80" s="2827"/>
      <c r="G80" s="2849" t="s">
        <v>3552</v>
      </c>
      <c r="H80" s="2844">
        <f>INDEX('Fringe Data'!$K$8:$K$112,MATCH(G80,'Fringe Data'!$F$8:$F$112,0))</f>
        <v>0.315</v>
      </c>
      <c r="I80" s="2854">
        <f>INDEX('Fringe Data'!$S$8:$S$112,MATCH(G80,'Fringe Data'!$F$8:$F$112,0))</f>
        <v>0</v>
      </c>
      <c r="J80" s="1700" t="s">
        <v>2</v>
      </c>
      <c r="K80" s="2846" t="s">
        <v>3332</v>
      </c>
      <c r="L80" s="559">
        <f>IF(ISERROR(MATCH(K80,'IPCS Data'!$AA$7:$AA$110,0)),1,0)</f>
        <v>0</v>
      </c>
      <c r="M80" s="2847"/>
      <c r="N80" s="402"/>
    </row>
    <row r="81" spans="2:14" s="1292" customFormat="1" ht="13.8" thickBot="1" x14ac:dyDescent="0.3">
      <c r="B81" s="2109" t="s">
        <v>3296</v>
      </c>
      <c r="C81" s="2109" t="s">
        <v>3295</v>
      </c>
      <c r="D81" s="2109" t="s">
        <v>3565</v>
      </c>
      <c r="E81" s="2848" t="s">
        <v>3241</v>
      </c>
      <c r="F81" s="2827"/>
      <c r="G81" s="2849" t="s">
        <v>3552</v>
      </c>
      <c r="H81" s="2844">
        <f>INDEX('Fringe Data'!$K$8:$K$112,MATCH(G81,'Fringe Data'!$F$8:$F$112,0))</f>
        <v>0.315</v>
      </c>
      <c r="I81" s="2854">
        <f>INDEX('Fringe Data'!$S$8:$S$112,MATCH(G81,'Fringe Data'!$F$8:$F$112,0))</f>
        <v>0</v>
      </c>
      <c r="J81" s="1700" t="s">
        <v>2</v>
      </c>
      <c r="K81" s="2846" t="s">
        <v>3330</v>
      </c>
      <c r="L81" s="559">
        <f>IF(ISERROR(MATCH(K81,'IPCS Data'!$AA$7:$AA$110,0)),1,0)</f>
        <v>0</v>
      </c>
      <c r="M81" s="2847"/>
      <c r="N81" s="402"/>
    </row>
    <row r="82" spans="2:14" s="1292" customFormat="1" ht="22.8" thickBot="1" x14ac:dyDescent="0.3">
      <c r="B82" s="2829" t="s">
        <v>837</v>
      </c>
      <c r="C82" s="2830" t="s">
        <v>3544</v>
      </c>
      <c r="D82" s="2830" t="s">
        <v>359</v>
      </c>
      <c r="E82" s="2831" t="s">
        <v>3545</v>
      </c>
      <c r="F82" s="2827"/>
      <c r="G82" s="2832" t="s">
        <v>3546</v>
      </c>
      <c r="H82" s="2833" t="s">
        <v>3547</v>
      </c>
      <c r="I82" s="2954" t="s">
        <v>3548</v>
      </c>
      <c r="J82" s="2834" t="s">
        <v>3549</v>
      </c>
      <c r="K82" s="2835" t="s">
        <v>3525</v>
      </c>
      <c r="L82" s="2835"/>
      <c r="M82" s="2836" t="s">
        <v>3550</v>
      </c>
      <c r="N82" s="402"/>
    </row>
    <row r="83" spans="2:14" s="1292" customFormat="1" x14ac:dyDescent="0.25">
      <c r="B83" s="2109" t="s">
        <v>3296</v>
      </c>
      <c r="C83" s="2109" t="s">
        <v>3294</v>
      </c>
      <c r="D83" s="2109" t="s">
        <v>3247</v>
      </c>
      <c r="E83" s="2848" t="s">
        <v>1828</v>
      </c>
      <c r="F83" s="2827"/>
      <c r="G83" s="2849" t="s">
        <v>3552</v>
      </c>
      <c r="H83" s="2844">
        <f>INDEX('Fringe Data'!$K$8:$K$112,MATCH(G83,'Fringe Data'!$F$8:$F$112,0))</f>
        <v>0.315</v>
      </c>
      <c r="I83" s="2854">
        <f>INDEX('Fringe Data'!$S$8:$S$112,MATCH(G83,'Fringe Data'!$F$8:$F$112,0))</f>
        <v>0</v>
      </c>
      <c r="J83" s="1700" t="s">
        <v>2</v>
      </c>
      <c r="K83" s="2846" t="s">
        <v>3329</v>
      </c>
      <c r="L83" s="559">
        <f>IF(ISERROR(MATCH(K83,'IPCS Data'!$AA$7:$AA$110,0)),1,0)</f>
        <v>0</v>
      </c>
      <c r="M83" s="2847"/>
      <c r="N83" s="402"/>
    </row>
    <row r="84" spans="2:14" s="1292" customFormat="1" x14ac:dyDescent="0.25">
      <c r="B84" s="2109" t="s">
        <v>3296</v>
      </c>
      <c r="C84" s="2109" t="s">
        <v>3294</v>
      </c>
      <c r="D84" s="2109" t="s">
        <v>3248</v>
      </c>
      <c r="E84" s="2848" t="s">
        <v>1825</v>
      </c>
      <c r="F84" s="2827"/>
      <c r="G84" s="2849" t="s">
        <v>3552</v>
      </c>
      <c r="H84" s="2844">
        <f>INDEX('Fringe Data'!$K$8:$K$112,MATCH(G84,'Fringe Data'!$F$8:$F$112,0))</f>
        <v>0.315</v>
      </c>
      <c r="I84" s="2854">
        <f>INDEX('Fringe Data'!$S$8:$S$112,MATCH(G84,'Fringe Data'!$F$8:$F$112,0))</f>
        <v>0</v>
      </c>
      <c r="J84" s="1700" t="s">
        <v>2</v>
      </c>
      <c r="K84" s="2846" t="s">
        <v>3329</v>
      </c>
      <c r="L84" s="559">
        <f>IF(ISERROR(MATCH(K84,'IPCS Data'!$AA$7:$AA$110,0)),1,0)</f>
        <v>0</v>
      </c>
      <c r="M84" s="2847"/>
      <c r="N84" s="402"/>
    </row>
    <row r="85" spans="2:14" s="1292" customFormat="1" x14ac:dyDescent="0.25">
      <c r="B85" s="2109" t="s">
        <v>3296</v>
      </c>
      <c r="C85" s="2109" t="s">
        <v>3294</v>
      </c>
      <c r="D85" s="2109" t="s">
        <v>3249</v>
      </c>
      <c r="E85" s="2848" t="s">
        <v>1826</v>
      </c>
      <c r="F85" s="2827"/>
      <c r="G85" s="2849" t="s">
        <v>3552</v>
      </c>
      <c r="H85" s="2844">
        <f>INDEX('Fringe Data'!$K$8:$K$112,MATCH(G85,'Fringe Data'!$F$8:$F$112,0))</f>
        <v>0.315</v>
      </c>
      <c r="I85" s="2854">
        <f>INDEX('Fringe Data'!$S$8:$S$112,MATCH(G85,'Fringe Data'!$F$8:$F$112,0))</f>
        <v>0</v>
      </c>
      <c r="J85" s="1700" t="s">
        <v>2</v>
      </c>
      <c r="K85" s="2846" t="s">
        <v>3331</v>
      </c>
      <c r="L85" s="559">
        <f>IF(ISERROR(MATCH(K85,'IPCS Data'!$AA$7:$AA$110,0)),1,0)</f>
        <v>0</v>
      </c>
      <c r="M85" s="2847"/>
      <c r="N85" s="402"/>
    </row>
    <row r="86" spans="2:14" s="1292" customFormat="1" ht="13.8" thickBot="1" x14ac:dyDescent="0.3">
      <c r="B86" s="2109" t="s">
        <v>3296</v>
      </c>
      <c r="C86" s="2109" t="s">
        <v>3294</v>
      </c>
      <c r="D86" s="2109" t="s">
        <v>3250</v>
      </c>
      <c r="E86" s="2848" t="s">
        <v>1827</v>
      </c>
      <c r="F86" s="2827"/>
      <c r="G86" s="2849" t="s">
        <v>3552</v>
      </c>
      <c r="H86" s="2844">
        <f>INDEX('Fringe Data'!$K$8:$K$112,MATCH(G86,'Fringe Data'!$F$8:$F$112,0))</f>
        <v>0.315</v>
      </c>
      <c r="I86" s="2854">
        <f>INDEX('Fringe Data'!$S$8:$S$112,MATCH(G86,'Fringe Data'!$F$8:$F$112,0))</f>
        <v>0</v>
      </c>
      <c r="J86" s="1700" t="s">
        <v>2</v>
      </c>
      <c r="K86" s="2846" t="s">
        <v>3329</v>
      </c>
      <c r="L86" s="559">
        <f>IF(ISERROR(MATCH(K86,'IPCS Data'!$AA$7:$AA$110,0)),1,0)</f>
        <v>0</v>
      </c>
      <c r="M86" s="2847"/>
      <c r="N86" s="402"/>
    </row>
    <row r="87" spans="2:14" s="1292" customFormat="1" ht="22.8" thickBot="1" x14ac:dyDescent="0.3">
      <c r="B87" s="2829" t="s">
        <v>837</v>
      </c>
      <c r="C87" s="2830" t="s">
        <v>3544</v>
      </c>
      <c r="D87" s="2830" t="s">
        <v>359</v>
      </c>
      <c r="E87" s="2831" t="s">
        <v>3545</v>
      </c>
      <c r="F87" s="2827"/>
      <c r="G87" s="2832" t="s">
        <v>3546</v>
      </c>
      <c r="H87" s="2833" t="s">
        <v>3547</v>
      </c>
      <c r="I87" s="2954" t="s">
        <v>3548</v>
      </c>
      <c r="J87" s="2834" t="s">
        <v>3549</v>
      </c>
      <c r="K87" s="2835" t="s">
        <v>3525</v>
      </c>
      <c r="L87" s="2835"/>
      <c r="M87" s="2836" t="s">
        <v>3550</v>
      </c>
      <c r="N87" s="402"/>
    </row>
    <row r="88" spans="2:14" s="1292" customFormat="1" x14ac:dyDescent="0.25">
      <c r="B88" s="2109" t="s">
        <v>3296</v>
      </c>
      <c r="C88" s="2109" t="s">
        <v>3510</v>
      </c>
      <c r="D88" s="2109" t="s">
        <v>3226</v>
      </c>
      <c r="E88" s="2848" t="s">
        <v>3227</v>
      </c>
      <c r="F88" s="2827"/>
      <c r="G88" s="2849" t="s">
        <v>3552</v>
      </c>
      <c r="H88" s="2844">
        <f>INDEX('Fringe Data'!$K$8:$K$112,MATCH(G88,'Fringe Data'!$F$8:$F$112,0))</f>
        <v>0.315</v>
      </c>
      <c r="I88" s="2854">
        <f>INDEX('Fringe Data'!$S$8:$S$112,MATCH(G88,'Fringe Data'!$F$8:$F$112,0))</f>
        <v>0</v>
      </c>
      <c r="J88" s="1700" t="s">
        <v>2</v>
      </c>
      <c r="K88" s="2846" t="s">
        <v>3527</v>
      </c>
      <c r="L88" s="559">
        <f>IF(ISERROR(MATCH(K88,'IPCS Data'!$AA$7:$AA$110,0)),1,0)</f>
        <v>0</v>
      </c>
      <c r="M88" s="2847"/>
      <c r="N88" s="402"/>
    </row>
    <row r="89" spans="2:14" s="1292" customFormat="1" x14ac:dyDescent="0.25">
      <c r="B89" s="2109" t="s">
        <v>3296</v>
      </c>
      <c r="C89" s="2109" t="s">
        <v>3510</v>
      </c>
      <c r="D89" s="2109" t="s">
        <v>3235</v>
      </c>
      <c r="E89" s="2848" t="s">
        <v>3236</v>
      </c>
      <c r="F89" s="2827"/>
      <c r="G89" s="2849" t="s">
        <v>3552</v>
      </c>
      <c r="H89" s="2844">
        <f>INDEX('Fringe Data'!$K$8:$K$112,MATCH(G89,'Fringe Data'!$F$8:$F$112,0))</f>
        <v>0.315</v>
      </c>
      <c r="I89" s="2854">
        <f>INDEX('Fringe Data'!$S$8:$S$112,MATCH(G89,'Fringe Data'!$F$8:$F$112,0))</f>
        <v>0</v>
      </c>
      <c r="J89" s="1700" t="s">
        <v>2</v>
      </c>
      <c r="K89" s="2846" t="s">
        <v>3330</v>
      </c>
      <c r="L89" s="559">
        <f>IF(ISERROR(MATCH(K89,'IPCS Data'!$AA$7:$AA$110,0)),1,0)</f>
        <v>0</v>
      </c>
      <c r="M89" s="2847"/>
      <c r="N89" s="402"/>
    </row>
    <row r="90" spans="2:14" s="1292" customFormat="1" ht="13.8" thickBot="1" x14ac:dyDescent="0.3">
      <c r="B90" s="2109" t="s">
        <v>3296</v>
      </c>
      <c r="C90" s="2109" t="s">
        <v>3510</v>
      </c>
      <c r="D90" s="2109" t="s">
        <v>3243</v>
      </c>
      <c r="E90" s="2848" t="s">
        <v>3244</v>
      </c>
      <c r="F90" s="2827"/>
      <c r="G90" s="2849" t="s">
        <v>3552</v>
      </c>
      <c r="H90" s="2844">
        <f>INDEX('Fringe Data'!$K$8:$K$112,MATCH(G90,'Fringe Data'!$F$8:$F$112,0))</f>
        <v>0.315</v>
      </c>
      <c r="I90" s="2854">
        <f>INDEX('Fringe Data'!$S$8:$S$112,MATCH(G90,'Fringe Data'!$F$8:$F$112,0))</f>
        <v>0</v>
      </c>
      <c r="J90" s="1700" t="s">
        <v>2</v>
      </c>
      <c r="K90" s="2846" t="s">
        <v>3329</v>
      </c>
      <c r="L90" s="559">
        <f>IF(ISERROR(MATCH(K90,'IPCS Data'!$AA$7:$AA$110,0)),1,0)</f>
        <v>0</v>
      </c>
      <c r="M90" s="2847"/>
      <c r="N90" s="402"/>
    </row>
    <row r="91" spans="2:14" s="1292" customFormat="1" ht="22.8" thickBot="1" x14ac:dyDescent="0.3">
      <c r="B91" s="2829" t="s">
        <v>837</v>
      </c>
      <c r="C91" s="2830" t="s">
        <v>3544</v>
      </c>
      <c r="D91" s="2830" t="s">
        <v>359</v>
      </c>
      <c r="E91" s="2831" t="s">
        <v>3545</v>
      </c>
      <c r="F91" s="2827"/>
      <c r="G91" s="2832" t="s">
        <v>3546</v>
      </c>
      <c r="H91" s="2833" t="s">
        <v>3547</v>
      </c>
      <c r="I91" s="2954" t="s">
        <v>3548</v>
      </c>
      <c r="J91" s="2834" t="s">
        <v>3549</v>
      </c>
      <c r="K91" s="2835" t="s">
        <v>3525</v>
      </c>
      <c r="L91" s="2835"/>
      <c r="M91" s="2836" t="s">
        <v>3550</v>
      </c>
      <c r="N91" s="402"/>
    </row>
    <row r="92" spans="2:14" s="1292" customFormat="1" x14ac:dyDescent="0.25">
      <c r="B92" s="2111" t="s">
        <v>3296</v>
      </c>
      <c r="C92" s="2111" t="s">
        <v>3512</v>
      </c>
      <c r="D92" s="2111" t="s">
        <v>3242</v>
      </c>
      <c r="E92" s="2841" t="s">
        <v>1822</v>
      </c>
      <c r="F92" s="2827"/>
      <c r="G92" s="2849" t="s">
        <v>3552</v>
      </c>
      <c r="H92" s="2844">
        <f>INDEX('Fringe Data'!$K$8:$K$112,MATCH(G92,'Fringe Data'!$F$8:$F$112,0))</f>
        <v>0.315</v>
      </c>
      <c r="I92" s="2854">
        <f>INDEX('Fringe Data'!$S$8:$S$112,MATCH(G92,'Fringe Data'!$F$8:$F$112,0))</f>
        <v>0</v>
      </c>
      <c r="J92" s="1700" t="s">
        <v>2</v>
      </c>
      <c r="K92" s="2846" t="s">
        <v>3328</v>
      </c>
      <c r="L92" s="559">
        <f>IF(ISERROR(MATCH(K92,'IPCS Data'!$AA$7:$AA$110,0)),1,0)</f>
        <v>0</v>
      </c>
      <c r="M92" s="2847"/>
      <c r="N92" s="402"/>
    </row>
    <row r="93" spans="2:14" s="1292" customFormat="1" x14ac:dyDescent="0.25">
      <c r="B93" s="2109" t="s">
        <v>3296</v>
      </c>
      <c r="C93" s="2109" t="s">
        <v>3512</v>
      </c>
      <c r="D93" s="2109" t="s">
        <v>3920</v>
      </c>
      <c r="E93" s="2848" t="s">
        <v>1823</v>
      </c>
      <c r="F93" s="2827"/>
      <c r="G93" s="2849" t="s">
        <v>3552</v>
      </c>
      <c r="H93" s="2844">
        <f>INDEX('Fringe Data'!$K$8:$K$112,MATCH(G93,'Fringe Data'!$F$8:$F$112,0))</f>
        <v>0.315</v>
      </c>
      <c r="I93" s="2854">
        <f>INDEX('Fringe Data'!$S$8:$S$112,MATCH(G93,'Fringe Data'!$F$8:$F$112,0))</f>
        <v>0</v>
      </c>
      <c r="J93" s="1700" t="s">
        <v>2</v>
      </c>
      <c r="K93" s="2846" t="s">
        <v>3328</v>
      </c>
      <c r="L93" s="559">
        <f>IF(ISERROR(MATCH(K93,'IPCS Data'!$AA$7:$AA$110,0)),1,0)</f>
        <v>0</v>
      </c>
      <c r="M93" s="2847"/>
      <c r="N93" s="402"/>
    </row>
    <row r="94" spans="2:14" s="1292" customFormat="1" ht="13.8" thickBot="1" x14ac:dyDescent="0.3">
      <c r="B94" s="2109" t="s">
        <v>3296</v>
      </c>
      <c r="C94" s="2109" t="s">
        <v>3512</v>
      </c>
      <c r="D94" s="2109" t="s">
        <v>3921</v>
      </c>
      <c r="E94" s="2848" t="s">
        <v>3283</v>
      </c>
      <c r="F94" s="2827"/>
      <c r="G94" s="2849" t="s">
        <v>3552</v>
      </c>
      <c r="H94" s="2844">
        <f>INDEX('Fringe Data'!$K$8:$K$112,MATCH(G94,'Fringe Data'!$F$8:$F$112,0))</f>
        <v>0.315</v>
      </c>
      <c r="I94" s="2854">
        <f>INDEX('Fringe Data'!$S$8:$S$112,MATCH(G94,'Fringe Data'!$F$8:$F$112,0))</f>
        <v>0</v>
      </c>
      <c r="J94" s="1700" t="s">
        <v>2</v>
      </c>
      <c r="K94" s="2846" t="s">
        <v>3328</v>
      </c>
      <c r="L94" s="559">
        <f>IF(ISERROR(MATCH(K94,'IPCS Data'!$AA$7:$AA$110,0)),1,0)</f>
        <v>0</v>
      </c>
      <c r="M94" s="2847"/>
      <c r="N94" s="402"/>
    </row>
    <row r="95" spans="2:14" s="1292" customFormat="1" ht="22.8" thickBot="1" x14ac:dyDescent="0.3">
      <c r="B95" s="2829" t="s">
        <v>837</v>
      </c>
      <c r="C95" s="2830" t="s">
        <v>3544</v>
      </c>
      <c r="D95" s="2830" t="s">
        <v>359</v>
      </c>
      <c r="E95" s="2831" t="s">
        <v>3545</v>
      </c>
      <c r="F95" s="2827"/>
      <c r="G95" s="2832" t="s">
        <v>3546</v>
      </c>
      <c r="H95" s="2833" t="s">
        <v>3547</v>
      </c>
      <c r="I95" s="2954" t="s">
        <v>3548</v>
      </c>
      <c r="J95" s="2834" t="s">
        <v>3549</v>
      </c>
      <c r="K95" s="2835" t="s">
        <v>3525</v>
      </c>
      <c r="L95" s="2835"/>
      <c r="M95" s="2836" t="s">
        <v>3550</v>
      </c>
      <c r="N95" s="402"/>
    </row>
    <row r="96" spans="2:14" s="1292" customFormat="1" x14ac:dyDescent="0.25">
      <c r="B96" s="2109" t="s">
        <v>3296</v>
      </c>
      <c r="C96" s="2109" t="s">
        <v>3254</v>
      </c>
      <c r="D96" s="2109" t="s">
        <v>3950</v>
      </c>
      <c r="E96" s="2848" t="s">
        <v>3251</v>
      </c>
      <c r="F96" s="2827"/>
      <c r="G96" s="2849" t="s">
        <v>3552</v>
      </c>
      <c r="H96" s="2844">
        <f>INDEX('Fringe Data'!$K$8:$K$112,MATCH(G96,'Fringe Data'!$F$8:$F$112,0))</f>
        <v>0.315</v>
      </c>
      <c r="I96" s="2854">
        <f>INDEX('Fringe Data'!$S$8:$S$112,MATCH(G96,'Fringe Data'!$F$8:$F$112,0))</f>
        <v>0</v>
      </c>
      <c r="J96" s="1700" t="s">
        <v>2</v>
      </c>
      <c r="K96" s="2846" t="s">
        <v>4151</v>
      </c>
      <c r="L96" s="559">
        <f>IF(ISERROR(MATCH(K96,'IPCS Data'!$AA$7:$AA$110,0)),1,0)</f>
        <v>0</v>
      </c>
      <c r="M96" s="2847"/>
      <c r="N96" s="402"/>
    </row>
    <row r="97" spans="2:14" s="1292" customFormat="1" x14ac:dyDescent="0.25">
      <c r="B97" s="2109" t="s">
        <v>3296</v>
      </c>
      <c r="C97" s="2109" t="s">
        <v>3254</v>
      </c>
      <c r="D97" s="2109" t="s">
        <v>3566</v>
      </c>
      <c r="E97" s="2848" t="s">
        <v>3252</v>
      </c>
      <c r="F97" s="2827"/>
      <c r="G97" s="2849" t="s">
        <v>3552</v>
      </c>
      <c r="H97" s="2844">
        <f>INDEX('Fringe Data'!$K$8:$K$112,MATCH(G97,'Fringe Data'!$F$8:$F$112,0))</f>
        <v>0.315</v>
      </c>
      <c r="I97" s="2854">
        <f>INDEX('Fringe Data'!$S$8:$S$112,MATCH(G97,'Fringe Data'!$F$8:$F$112,0))</f>
        <v>0</v>
      </c>
      <c r="J97" s="1700" t="s">
        <v>2</v>
      </c>
      <c r="K97" s="2846" t="s">
        <v>4151</v>
      </c>
      <c r="L97" s="559">
        <f>IF(ISERROR(MATCH(K97,'IPCS Data'!$AA$7:$AA$110,0)),1,0)</f>
        <v>0</v>
      </c>
      <c r="M97" s="2847"/>
      <c r="N97" s="402"/>
    </row>
    <row r="98" spans="2:14" s="1292" customFormat="1" x14ac:dyDescent="0.25">
      <c r="B98" s="2109" t="s">
        <v>3296</v>
      </c>
      <c r="C98" s="2109" t="s">
        <v>3254</v>
      </c>
      <c r="D98" s="2109" t="s">
        <v>3567</v>
      </c>
      <c r="E98" s="2848" t="s">
        <v>3253</v>
      </c>
      <c r="F98" s="2827"/>
      <c r="G98" s="2849" t="s">
        <v>3552</v>
      </c>
      <c r="H98" s="2844">
        <f>INDEX('Fringe Data'!$K$8:$K$112,MATCH(G98,'Fringe Data'!$F$8:$F$112,0))</f>
        <v>0.315</v>
      </c>
      <c r="I98" s="2854">
        <f>INDEX('Fringe Data'!$S$8:$S$112,MATCH(G98,'Fringe Data'!$F$8:$F$112,0))</f>
        <v>0</v>
      </c>
      <c r="J98" s="1700" t="s">
        <v>2</v>
      </c>
      <c r="K98" s="2846" t="s">
        <v>4151</v>
      </c>
      <c r="L98" s="559">
        <f>IF(ISERROR(MATCH(K98,'IPCS Data'!$AA$7:$AA$110,0)),1,0)</f>
        <v>0</v>
      </c>
      <c r="M98" s="2847"/>
      <c r="N98" s="402"/>
    </row>
    <row r="99" spans="2:14" s="1292" customFormat="1" x14ac:dyDescent="0.25">
      <c r="B99" s="2109" t="s">
        <v>3296</v>
      </c>
      <c r="C99" s="2109" t="s">
        <v>3254</v>
      </c>
      <c r="D99" s="2109" t="s">
        <v>3951</v>
      </c>
      <c r="E99" s="2848" t="s">
        <v>1835</v>
      </c>
      <c r="F99" s="2827"/>
      <c r="G99" s="2849" t="s">
        <v>3552</v>
      </c>
      <c r="H99" s="2844">
        <f>INDEX('Fringe Data'!$K$8:$K$112,MATCH(G99,'Fringe Data'!$F$8:$F$112,0))</f>
        <v>0.315</v>
      </c>
      <c r="I99" s="2854">
        <f>INDEX('Fringe Data'!$S$8:$S$112,MATCH(G99,'Fringe Data'!$F$8:$F$112,0))</f>
        <v>0</v>
      </c>
      <c r="J99" s="1700" t="s">
        <v>2</v>
      </c>
      <c r="K99" s="2846" t="s">
        <v>4151</v>
      </c>
      <c r="L99" s="559">
        <f>IF(ISERROR(MATCH(K99,'IPCS Data'!$AA$7:$AA$110,0)),1,0)</f>
        <v>0</v>
      </c>
      <c r="M99" s="2847"/>
      <c r="N99" s="402"/>
    </row>
    <row r="100" spans="2:14" s="1292" customFormat="1" ht="13.8" thickBot="1" x14ac:dyDescent="0.3">
      <c r="B100" s="2109" t="s">
        <v>3296</v>
      </c>
      <c r="C100" s="2109" t="s">
        <v>3254</v>
      </c>
      <c r="D100" s="2109" t="s">
        <v>3952</v>
      </c>
      <c r="E100" s="2848" t="s">
        <v>3568</v>
      </c>
      <c r="F100" s="2827"/>
      <c r="G100" s="2849" t="s">
        <v>3552</v>
      </c>
      <c r="H100" s="2844">
        <f>INDEX('Fringe Data'!$K$8:$K$112,MATCH(G100,'Fringe Data'!$F$8:$F$112,0))</f>
        <v>0.315</v>
      </c>
      <c r="I100" s="2854">
        <f>INDEX('Fringe Data'!$S$8:$S$112,MATCH(G100,'Fringe Data'!$F$8:$F$112,0))</f>
        <v>0</v>
      </c>
      <c r="J100" s="1700" t="s">
        <v>2</v>
      </c>
      <c r="K100" s="2846" t="s">
        <v>4151</v>
      </c>
      <c r="L100" s="559">
        <f>IF(ISERROR(MATCH(K100,'IPCS Data'!$AA$7:$AA$110,0)),1,0)</f>
        <v>0</v>
      </c>
      <c r="M100" s="2847"/>
      <c r="N100" s="402"/>
    </row>
    <row r="101" spans="2:14" s="1292" customFormat="1" ht="22.8" thickBot="1" x14ac:dyDescent="0.3">
      <c r="B101" s="2829" t="s">
        <v>837</v>
      </c>
      <c r="C101" s="2830" t="s">
        <v>3544</v>
      </c>
      <c r="D101" s="2830" t="s">
        <v>359</v>
      </c>
      <c r="E101" s="2831" t="s">
        <v>3545</v>
      </c>
      <c r="F101" s="2827"/>
      <c r="G101" s="2832" t="s">
        <v>3546</v>
      </c>
      <c r="H101" s="2833" t="s">
        <v>3547</v>
      </c>
      <c r="I101" s="2954" t="s">
        <v>3548</v>
      </c>
      <c r="J101" s="2834" t="s">
        <v>3549</v>
      </c>
      <c r="K101" s="2835" t="s">
        <v>3525</v>
      </c>
      <c r="L101" s="2835"/>
      <c r="M101" s="2836" t="s">
        <v>3550</v>
      </c>
      <c r="N101" s="402"/>
    </row>
    <row r="102" spans="2:14" s="1292" customFormat="1" x14ac:dyDescent="0.25">
      <c r="B102" s="2109" t="s">
        <v>3296</v>
      </c>
      <c r="C102" s="2837" t="s">
        <v>3269</v>
      </c>
      <c r="D102" s="2837" t="s">
        <v>3270</v>
      </c>
      <c r="E102" s="2851" t="s">
        <v>3271</v>
      </c>
      <c r="F102" s="2827"/>
      <c r="G102" s="2849" t="s">
        <v>3552</v>
      </c>
      <c r="H102" s="2844">
        <f>INDEX('Fringe Data'!$K$8:$K$112,MATCH(G102,'Fringe Data'!$F$8:$F$112,0))</f>
        <v>0.315</v>
      </c>
      <c r="I102" s="2854">
        <f>INDEX('Fringe Data'!$S$8:$S$112,MATCH(G102,'Fringe Data'!$F$8:$F$112,0))</f>
        <v>0</v>
      </c>
      <c r="J102" s="1700" t="s">
        <v>2</v>
      </c>
      <c r="K102" s="2846" t="s">
        <v>4152</v>
      </c>
      <c r="L102" s="559">
        <f>IF(ISERROR(MATCH(K102,'IPCS Data'!$AA$7:$AA$110,0)),1,0)</f>
        <v>0</v>
      </c>
      <c r="M102" s="2847"/>
      <c r="N102" s="402"/>
    </row>
    <row r="103" spans="2:14" s="1292" customFormat="1" x14ac:dyDescent="0.25">
      <c r="B103" s="2109" t="s">
        <v>3296</v>
      </c>
      <c r="C103" s="2837" t="s">
        <v>3269</v>
      </c>
      <c r="D103" s="2837" t="s">
        <v>3569</v>
      </c>
      <c r="E103" s="2851" t="s">
        <v>3272</v>
      </c>
      <c r="F103" s="2827"/>
      <c r="G103" s="2849" t="s">
        <v>3552</v>
      </c>
      <c r="H103" s="2844">
        <f>INDEX('Fringe Data'!$K$8:$K$112,MATCH(G103,'Fringe Data'!$F$8:$F$112,0))</f>
        <v>0.315</v>
      </c>
      <c r="I103" s="2854">
        <f>INDEX('Fringe Data'!$S$8:$S$112,MATCH(G103,'Fringe Data'!$F$8:$F$112,0))</f>
        <v>0</v>
      </c>
      <c r="J103" s="1700" t="s">
        <v>2</v>
      </c>
      <c r="K103" s="2846" t="s">
        <v>4152</v>
      </c>
      <c r="L103" s="559">
        <f>IF(ISERROR(MATCH(K103,'IPCS Data'!$AA$7:$AA$110,0)),1,0)</f>
        <v>0</v>
      </c>
      <c r="M103" s="2847"/>
      <c r="N103" s="402"/>
    </row>
    <row r="104" spans="2:14" s="1292" customFormat="1" x14ac:dyDescent="0.25">
      <c r="B104" s="2109" t="s">
        <v>3296</v>
      </c>
      <c r="C104" s="2837" t="s">
        <v>3269</v>
      </c>
      <c r="D104" s="2837" t="s">
        <v>3570</v>
      </c>
      <c r="E104" s="2851" t="s">
        <v>3273</v>
      </c>
      <c r="F104" s="2827"/>
      <c r="G104" s="2849" t="s">
        <v>3552</v>
      </c>
      <c r="H104" s="2844">
        <f>INDEX('Fringe Data'!$K$8:$K$112,MATCH(G104,'Fringe Data'!$F$8:$F$112,0))</f>
        <v>0.315</v>
      </c>
      <c r="I104" s="2854">
        <f>INDEX('Fringe Data'!$S$8:$S$112,MATCH(G104,'Fringe Data'!$F$8:$F$112,0))</f>
        <v>0</v>
      </c>
      <c r="J104" s="1700" t="s">
        <v>2</v>
      </c>
      <c r="K104" s="2846" t="s">
        <v>4152</v>
      </c>
      <c r="L104" s="559">
        <f>IF(ISERROR(MATCH(K104,'IPCS Data'!$AA$7:$AA$110,0)),1,0)</f>
        <v>0</v>
      </c>
      <c r="M104" s="2847"/>
      <c r="N104" s="402"/>
    </row>
    <row r="105" spans="2:14" s="1292" customFormat="1" x14ac:dyDescent="0.25">
      <c r="B105" s="2109" t="s">
        <v>3296</v>
      </c>
      <c r="C105" s="2837" t="s">
        <v>3269</v>
      </c>
      <c r="D105" s="2837" t="s">
        <v>3571</v>
      </c>
      <c r="E105" s="2851" t="s">
        <v>3274</v>
      </c>
      <c r="F105" s="2827"/>
      <c r="G105" s="2849" t="s">
        <v>3552</v>
      </c>
      <c r="H105" s="2844">
        <f>INDEX('Fringe Data'!$K$8:$K$112,MATCH(G105,'Fringe Data'!$F$8:$F$112,0))</f>
        <v>0.315</v>
      </c>
      <c r="I105" s="2854">
        <f>INDEX('Fringe Data'!$S$8:$S$112,MATCH(G105,'Fringe Data'!$F$8:$F$112,0))</f>
        <v>0</v>
      </c>
      <c r="J105" s="1700" t="s">
        <v>2</v>
      </c>
      <c r="K105" s="2846" t="s">
        <v>4152</v>
      </c>
      <c r="L105" s="559">
        <f>IF(ISERROR(MATCH(K105,'IPCS Data'!$AA$7:$AA$110,0)),1,0)</f>
        <v>0</v>
      </c>
      <c r="M105" s="2847"/>
      <c r="N105" s="402"/>
    </row>
    <row r="106" spans="2:14" s="1292" customFormat="1" ht="13.8" thickBot="1" x14ac:dyDescent="0.3">
      <c r="B106" s="2109" t="s">
        <v>3296</v>
      </c>
      <c r="C106" s="2837" t="s">
        <v>3269</v>
      </c>
      <c r="D106" s="2837" t="s">
        <v>3572</v>
      </c>
      <c r="E106" s="2851" t="s">
        <v>1834</v>
      </c>
      <c r="F106" s="2827"/>
      <c r="G106" s="2849" t="s">
        <v>3552</v>
      </c>
      <c r="H106" s="2844">
        <f>INDEX('Fringe Data'!$K$8:$K$112,MATCH(G106,'Fringe Data'!$F$8:$F$112,0))</f>
        <v>0.315</v>
      </c>
      <c r="I106" s="2854">
        <f>INDEX('Fringe Data'!$S$8:$S$112,MATCH(G106,'Fringe Data'!$F$8:$F$112,0))</f>
        <v>0</v>
      </c>
      <c r="J106" s="1700" t="s">
        <v>2</v>
      </c>
      <c r="K106" s="2846" t="s">
        <v>4152</v>
      </c>
      <c r="L106" s="559">
        <f>IF(ISERROR(MATCH(K106,'IPCS Data'!$AA$7:$AA$110,0)),1,0)</f>
        <v>0</v>
      </c>
      <c r="M106" s="2847"/>
      <c r="N106" s="402"/>
    </row>
    <row r="107" spans="2:14" s="1292" customFormat="1" ht="22.8" thickBot="1" x14ac:dyDescent="0.3">
      <c r="B107" s="2829" t="s">
        <v>837</v>
      </c>
      <c r="C107" s="2830" t="s">
        <v>3544</v>
      </c>
      <c r="D107" s="2830" t="s">
        <v>359</v>
      </c>
      <c r="E107" s="2831" t="s">
        <v>3545</v>
      </c>
      <c r="F107" s="2827"/>
      <c r="G107" s="2832" t="s">
        <v>3546</v>
      </c>
      <c r="H107" s="2833" t="s">
        <v>3547</v>
      </c>
      <c r="I107" s="2954" t="s">
        <v>3548</v>
      </c>
      <c r="J107" s="2834" t="s">
        <v>3549</v>
      </c>
      <c r="K107" s="2835" t="s">
        <v>3525</v>
      </c>
      <c r="L107" s="2835"/>
      <c r="M107" s="2836" t="s">
        <v>3550</v>
      </c>
      <c r="N107" s="402"/>
    </row>
    <row r="108" spans="2:14" s="1292" customFormat="1" x14ac:dyDescent="0.25">
      <c r="B108" s="2109" t="s">
        <v>3296</v>
      </c>
      <c r="C108" s="2109" t="s">
        <v>3514</v>
      </c>
      <c r="D108" s="2109" t="s">
        <v>3573</v>
      </c>
      <c r="E108" s="2848" t="s">
        <v>3257</v>
      </c>
      <c r="F108" s="2827"/>
      <c r="G108" s="2849" t="s">
        <v>3552</v>
      </c>
      <c r="H108" s="2844">
        <f>INDEX('Fringe Data'!$K$8:$K$112,MATCH(G108,'Fringe Data'!$F$8:$F$112,0))</f>
        <v>0.315</v>
      </c>
      <c r="I108" s="2854">
        <f>INDEX('Fringe Data'!$S$8:$S$112,MATCH(G108,'Fringe Data'!$F$8:$F$112,0))</f>
        <v>0</v>
      </c>
      <c r="J108" s="1700" t="s">
        <v>2</v>
      </c>
      <c r="K108" s="2846" t="s">
        <v>4153</v>
      </c>
      <c r="L108" s="559">
        <f>IF(ISERROR(MATCH(K108,'IPCS Data'!$AA$7:$AA$110,0)),1,0)</f>
        <v>0</v>
      </c>
      <c r="M108" s="2847"/>
      <c r="N108" s="402"/>
    </row>
    <row r="109" spans="2:14" s="1292" customFormat="1" x14ac:dyDescent="0.25">
      <c r="B109" s="2109" t="s">
        <v>3296</v>
      </c>
      <c r="C109" s="2109" t="s">
        <v>3514</v>
      </c>
      <c r="D109" s="2109" t="s">
        <v>3574</v>
      </c>
      <c r="E109" s="2848" t="s">
        <v>3255</v>
      </c>
      <c r="F109" s="2827"/>
      <c r="G109" s="2849" t="s">
        <v>3552</v>
      </c>
      <c r="H109" s="2844">
        <f>INDEX('Fringe Data'!$K$8:$K$112,MATCH(G109,'Fringe Data'!$F$8:$F$112,0))</f>
        <v>0.315</v>
      </c>
      <c r="I109" s="2854">
        <f>INDEX('Fringe Data'!$S$8:$S$112,MATCH(G109,'Fringe Data'!$F$8:$F$112,0))</f>
        <v>0</v>
      </c>
      <c r="J109" s="1700" t="s">
        <v>2</v>
      </c>
      <c r="K109" s="2846" t="s">
        <v>4153</v>
      </c>
      <c r="L109" s="559">
        <f>IF(ISERROR(MATCH(K109,'IPCS Data'!$AA$7:$AA$110,0)),1,0)</f>
        <v>0</v>
      </c>
      <c r="M109" s="2847"/>
      <c r="N109" s="402"/>
    </row>
    <row r="110" spans="2:14" s="1292" customFormat="1" x14ac:dyDescent="0.25">
      <c r="B110" s="2109" t="s">
        <v>3296</v>
      </c>
      <c r="C110" s="2109" t="s">
        <v>3514</v>
      </c>
      <c r="D110" s="2109" t="s">
        <v>3575</v>
      </c>
      <c r="E110" s="2848" t="s">
        <v>3256</v>
      </c>
      <c r="F110" s="2827"/>
      <c r="G110" s="2849" t="s">
        <v>3552</v>
      </c>
      <c r="H110" s="2844">
        <f>INDEX('Fringe Data'!$K$8:$K$112,MATCH(G110,'Fringe Data'!$F$8:$F$112,0))</f>
        <v>0.315</v>
      </c>
      <c r="I110" s="2854">
        <f>INDEX('Fringe Data'!$S$8:$S$112,MATCH(G110,'Fringe Data'!$F$8:$F$112,0))</f>
        <v>0</v>
      </c>
      <c r="J110" s="1700" t="s">
        <v>2</v>
      </c>
      <c r="K110" s="2846" t="s">
        <v>4153</v>
      </c>
      <c r="L110" s="559">
        <f>IF(ISERROR(MATCH(K110,'IPCS Data'!$AA$7:$AA$110,0)),1,0)</f>
        <v>0</v>
      </c>
      <c r="M110" s="2847"/>
      <c r="N110" s="402"/>
    </row>
    <row r="111" spans="2:14" s="1292" customFormat="1" x14ac:dyDescent="0.25">
      <c r="B111" s="2109" t="s">
        <v>3296</v>
      </c>
      <c r="C111" s="2109" t="s">
        <v>3514</v>
      </c>
      <c r="D111" s="2109" t="s">
        <v>3576</v>
      </c>
      <c r="E111" s="2848" t="s">
        <v>1841</v>
      </c>
      <c r="F111" s="2827"/>
      <c r="G111" s="2849" t="s">
        <v>3552</v>
      </c>
      <c r="H111" s="2844">
        <f>INDEX('Fringe Data'!$K$8:$K$112,MATCH(G111,'Fringe Data'!$F$8:$F$112,0))</f>
        <v>0.315</v>
      </c>
      <c r="I111" s="2854">
        <f>INDEX('Fringe Data'!$S$8:$S$112,MATCH(G111,'Fringe Data'!$F$8:$F$112,0))</f>
        <v>0</v>
      </c>
      <c r="J111" s="1700" t="s">
        <v>2</v>
      </c>
      <c r="K111" s="2846" t="s">
        <v>4153</v>
      </c>
      <c r="L111" s="559">
        <f>IF(ISERROR(MATCH(K111,'IPCS Data'!$AA$7:$AA$110,0)),1,0)</f>
        <v>0</v>
      </c>
      <c r="M111" s="2847"/>
      <c r="N111" s="402"/>
    </row>
    <row r="112" spans="2:14" s="1292" customFormat="1" x14ac:dyDescent="0.25">
      <c r="B112" s="2109" t="s">
        <v>3296</v>
      </c>
      <c r="C112" s="2109" t="s">
        <v>3514</v>
      </c>
      <c r="D112" s="2109" t="s">
        <v>3577</v>
      </c>
      <c r="E112" s="2848" t="s">
        <v>1842</v>
      </c>
      <c r="F112" s="2827"/>
      <c r="G112" s="2849" t="s">
        <v>3552</v>
      </c>
      <c r="H112" s="2844">
        <f>INDEX('Fringe Data'!$K$8:$K$112,MATCH(G112,'Fringe Data'!$F$8:$F$112,0))</f>
        <v>0.315</v>
      </c>
      <c r="I112" s="2854">
        <f>INDEX('Fringe Data'!$S$8:$S$112,MATCH(G112,'Fringe Data'!$F$8:$F$112,0))</f>
        <v>0</v>
      </c>
      <c r="J112" s="1700" t="s">
        <v>2</v>
      </c>
      <c r="K112" s="2846" t="s">
        <v>4153</v>
      </c>
      <c r="L112" s="559">
        <f>IF(ISERROR(MATCH(K112,'IPCS Data'!$AA$7:$AA$110,0)),1,0)</f>
        <v>0</v>
      </c>
      <c r="M112" s="2847"/>
      <c r="N112" s="402"/>
    </row>
    <row r="113" spans="2:14" s="1292" customFormat="1" x14ac:dyDescent="0.25">
      <c r="B113" s="2109" t="s">
        <v>3296</v>
      </c>
      <c r="C113" s="2109" t="s">
        <v>3514</v>
      </c>
      <c r="D113" s="2109" t="s">
        <v>3578</v>
      </c>
      <c r="E113" s="2848" t="s">
        <v>1843</v>
      </c>
      <c r="F113" s="2827"/>
      <c r="G113" s="2849" t="s">
        <v>3552</v>
      </c>
      <c r="H113" s="2844">
        <f>INDEX('Fringe Data'!$K$8:$K$112,MATCH(G113,'Fringe Data'!$F$8:$F$112,0))</f>
        <v>0.315</v>
      </c>
      <c r="I113" s="2854">
        <f>INDEX('Fringe Data'!$S$8:$S$112,MATCH(G113,'Fringe Data'!$F$8:$F$112,0))</f>
        <v>0</v>
      </c>
      <c r="J113" s="1700" t="s">
        <v>2</v>
      </c>
      <c r="K113" s="2846" t="s">
        <v>4153</v>
      </c>
      <c r="L113" s="559">
        <f>IF(ISERROR(MATCH(K113,'IPCS Data'!$AA$7:$AA$110,0)),1,0)</f>
        <v>0</v>
      </c>
      <c r="M113" s="2847"/>
      <c r="N113" s="402"/>
    </row>
    <row r="114" spans="2:14" s="1292" customFormat="1" x14ac:dyDescent="0.25">
      <c r="B114" s="2109" t="s">
        <v>3296</v>
      </c>
      <c r="C114" s="2109" t="s">
        <v>3514</v>
      </c>
      <c r="D114" s="2109" t="s">
        <v>3579</v>
      </c>
      <c r="E114" s="2848" t="s">
        <v>1838</v>
      </c>
      <c r="F114" s="2827"/>
      <c r="G114" s="2849" t="s">
        <v>3552</v>
      </c>
      <c r="H114" s="2844">
        <f>INDEX('Fringe Data'!$K$8:$K$112,MATCH(G114,'Fringe Data'!$F$8:$F$112,0))</f>
        <v>0.315</v>
      </c>
      <c r="I114" s="2854">
        <f>INDEX('Fringe Data'!$S$8:$S$112,MATCH(G114,'Fringe Data'!$F$8:$F$112,0))</f>
        <v>0</v>
      </c>
      <c r="J114" s="1700" t="s">
        <v>2</v>
      </c>
      <c r="K114" s="2846" t="s">
        <v>4153</v>
      </c>
      <c r="L114" s="559">
        <f>IF(ISERROR(MATCH(K114,'IPCS Data'!$AA$7:$AA$110,0)),1,0)</f>
        <v>0</v>
      </c>
      <c r="M114" s="2847"/>
      <c r="N114" s="402"/>
    </row>
    <row r="115" spans="2:14" s="1292" customFormat="1" x14ac:dyDescent="0.25">
      <c r="B115" s="2109" t="s">
        <v>3296</v>
      </c>
      <c r="C115" s="2109" t="s">
        <v>3514</v>
      </c>
      <c r="D115" s="2109" t="s">
        <v>3580</v>
      </c>
      <c r="E115" s="2848" t="s">
        <v>1854</v>
      </c>
      <c r="F115" s="2827"/>
      <c r="G115" s="2849" t="s">
        <v>3552</v>
      </c>
      <c r="H115" s="2844">
        <f>INDEX('Fringe Data'!$K$8:$K$112,MATCH(G115,'Fringe Data'!$F$8:$F$112,0))</f>
        <v>0.315</v>
      </c>
      <c r="I115" s="2854">
        <f>INDEX('Fringe Data'!$S$8:$S$112,MATCH(G115,'Fringe Data'!$F$8:$F$112,0))</f>
        <v>0</v>
      </c>
      <c r="J115" s="1700" t="s">
        <v>2</v>
      </c>
      <c r="K115" s="2846" t="s">
        <v>4153</v>
      </c>
      <c r="L115" s="559">
        <f>IF(ISERROR(MATCH(K115,'IPCS Data'!$AA$7:$AA$110,0)),1,0)</f>
        <v>0</v>
      </c>
      <c r="M115" s="2847"/>
      <c r="N115" s="402"/>
    </row>
    <row r="116" spans="2:14" s="1292" customFormat="1" x14ac:dyDescent="0.25">
      <c r="B116" s="2109" t="s">
        <v>3296</v>
      </c>
      <c r="C116" s="2109" t="s">
        <v>3514</v>
      </c>
      <c r="D116" s="2109" t="s">
        <v>3953</v>
      </c>
      <c r="E116" s="2848" t="s">
        <v>1855</v>
      </c>
      <c r="F116" s="2827"/>
      <c r="G116" s="2849" t="s">
        <v>3552</v>
      </c>
      <c r="H116" s="2844">
        <f>INDEX('Fringe Data'!$K$8:$K$112,MATCH(G116,'Fringe Data'!$F$8:$F$112,0))</f>
        <v>0.315</v>
      </c>
      <c r="I116" s="2854">
        <f>INDEX('Fringe Data'!$S$8:$S$112,MATCH(G116,'Fringe Data'!$F$8:$F$112,0))</f>
        <v>0</v>
      </c>
      <c r="J116" s="1700" t="s">
        <v>2</v>
      </c>
      <c r="K116" s="2846" t="s">
        <v>4153</v>
      </c>
      <c r="L116" s="559">
        <f>IF(ISERROR(MATCH(K116,'IPCS Data'!$AA$7:$AA$110,0)),1,0)</f>
        <v>0</v>
      </c>
      <c r="M116" s="2847"/>
      <c r="N116" s="402"/>
    </row>
    <row r="117" spans="2:14" s="1292" customFormat="1" x14ac:dyDescent="0.25">
      <c r="B117" s="2109" t="s">
        <v>3296</v>
      </c>
      <c r="C117" s="2109" t="s">
        <v>3514</v>
      </c>
      <c r="D117" s="2109" t="s">
        <v>3954</v>
      </c>
      <c r="E117" s="2848" t="s">
        <v>1856</v>
      </c>
      <c r="F117" s="2827"/>
      <c r="G117" s="2849" t="s">
        <v>3552</v>
      </c>
      <c r="H117" s="2844">
        <f>INDEX('Fringe Data'!$K$8:$K$112,MATCH(G117,'Fringe Data'!$F$8:$F$112,0))</f>
        <v>0.315</v>
      </c>
      <c r="I117" s="2854">
        <f>INDEX('Fringe Data'!$S$8:$S$112,MATCH(G117,'Fringe Data'!$F$8:$F$112,0))</f>
        <v>0</v>
      </c>
      <c r="J117" s="1700" t="s">
        <v>2</v>
      </c>
      <c r="K117" s="2846" t="s">
        <v>4153</v>
      </c>
      <c r="L117" s="559">
        <f>IF(ISERROR(MATCH(K117,'IPCS Data'!$AA$7:$AA$110,0)),1,0)</f>
        <v>0</v>
      </c>
      <c r="M117" s="2847"/>
      <c r="N117" s="402"/>
    </row>
    <row r="118" spans="2:14" s="1292" customFormat="1" x14ac:dyDescent="0.25">
      <c r="B118" s="2109" t="s">
        <v>3296</v>
      </c>
      <c r="C118" s="2109" t="s">
        <v>3514</v>
      </c>
      <c r="D118" s="2109" t="s">
        <v>3955</v>
      </c>
      <c r="E118" s="2848" t="s">
        <v>1857</v>
      </c>
      <c r="F118" s="2827"/>
      <c r="G118" s="2849" t="s">
        <v>3552</v>
      </c>
      <c r="H118" s="2844">
        <f>INDEX('Fringe Data'!$K$8:$K$112,MATCH(G118,'Fringe Data'!$F$8:$F$112,0))</f>
        <v>0.315</v>
      </c>
      <c r="I118" s="2854">
        <f>INDEX('Fringe Data'!$S$8:$S$112,MATCH(G118,'Fringe Data'!$F$8:$F$112,0))</f>
        <v>0</v>
      </c>
      <c r="J118" s="1700" t="s">
        <v>2</v>
      </c>
      <c r="K118" s="2846" t="s">
        <v>4153</v>
      </c>
      <c r="L118" s="559">
        <f>IF(ISERROR(MATCH(K118,'IPCS Data'!$AA$7:$AA$110,0)),1,0)</f>
        <v>0</v>
      </c>
      <c r="M118" s="2847"/>
      <c r="N118" s="402"/>
    </row>
    <row r="119" spans="2:14" s="1292" customFormat="1" x14ac:dyDescent="0.25">
      <c r="B119" s="2109" t="s">
        <v>3296</v>
      </c>
      <c r="C119" s="2109" t="s">
        <v>3514</v>
      </c>
      <c r="D119" s="2109" t="s">
        <v>3956</v>
      </c>
      <c r="E119" s="2848" t="s">
        <v>1858</v>
      </c>
      <c r="F119" s="2827"/>
      <c r="G119" s="2849" t="s">
        <v>3552</v>
      </c>
      <c r="H119" s="2844">
        <f>INDEX('Fringe Data'!$K$8:$K$112,MATCH(G119,'Fringe Data'!$F$8:$F$112,0))</f>
        <v>0.315</v>
      </c>
      <c r="I119" s="2854">
        <f>INDEX('Fringe Data'!$S$8:$S$112,MATCH(G119,'Fringe Data'!$F$8:$F$112,0))</f>
        <v>0</v>
      </c>
      <c r="J119" s="1700" t="s">
        <v>2</v>
      </c>
      <c r="K119" s="2846" t="s">
        <v>4153</v>
      </c>
      <c r="L119" s="559">
        <f>IF(ISERROR(MATCH(K119,'IPCS Data'!$AA$7:$AA$110,0)),1,0)</f>
        <v>0</v>
      </c>
      <c r="M119" s="2847"/>
      <c r="N119" s="402"/>
    </row>
    <row r="120" spans="2:14" s="1292" customFormat="1" ht="13.8" thickBot="1" x14ac:dyDescent="0.3">
      <c r="B120" s="2109" t="s">
        <v>3296</v>
      </c>
      <c r="C120" s="2109" t="s">
        <v>3514</v>
      </c>
      <c r="D120" s="2109" t="s">
        <v>3957</v>
      </c>
      <c r="E120" s="2848" t="s">
        <v>1859</v>
      </c>
      <c r="F120" s="2827"/>
      <c r="G120" s="2849" t="s">
        <v>3552</v>
      </c>
      <c r="H120" s="2844">
        <f>INDEX('Fringe Data'!$K$8:$K$112,MATCH(G120,'Fringe Data'!$F$8:$F$112,0))</f>
        <v>0.315</v>
      </c>
      <c r="I120" s="2854">
        <f>INDEX('Fringe Data'!$S$8:$S$112,MATCH(G120,'Fringe Data'!$F$8:$F$112,0))</f>
        <v>0</v>
      </c>
      <c r="J120" s="1700" t="s">
        <v>2</v>
      </c>
      <c r="K120" s="2846" t="s">
        <v>4153</v>
      </c>
      <c r="L120" s="559">
        <f>IF(ISERROR(MATCH(K120,'IPCS Data'!$AA$7:$AA$110,0)),1,0)</f>
        <v>0</v>
      </c>
      <c r="M120" s="2847"/>
      <c r="N120" s="402"/>
    </row>
    <row r="121" spans="2:14" s="1292" customFormat="1" ht="22.8" thickBot="1" x14ac:dyDescent="0.3">
      <c r="B121" s="2829" t="s">
        <v>837</v>
      </c>
      <c r="C121" s="2830" t="s">
        <v>3544</v>
      </c>
      <c r="D121" s="2830" t="s">
        <v>359</v>
      </c>
      <c r="E121" s="2831" t="s">
        <v>3545</v>
      </c>
      <c r="F121" s="2827"/>
      <c r="G121" s="2832" t="s">
        <v>3546</v>
      </c>
      <c r="H121" s="2833" t="s">
        <v>3547</v>
      </c>
      <c r="I121" s="2954" t="s">
        <v>3548</v>
      </c>
      <c r="J121" s="2834" t="s">
        <v>3549</v>
      </c>
      <c r="K121" s="2835" t="s">
        <v>3525</v>
      </c>
      <c r="L121" s="2835"/>
      <c r="M121" s="2836" t="s">
        <v>3550</v>
      </c>
      <c r="N121" s="402"/>
    </row>
    <row r="122" spans="2:14" s="1292" customFormat="1" x14ac:dyDescent="0.25">
      <c r="B122" s="2109" t="s">
        <v>3296</v>
      </c>
      <c r="C122" s="2109" t="s">
        <v>3515</v>
      </c>
      <c r="D122" s="2109" t="s">
        <v>3958</v>
      </c>
      <c r="E122" s="2848" t="s">
        <v>3258</v>
      </c>
      <c r="F122" s="2827"/>
      <c r="G122" s="2849" t="s">
        <v>3552</v>
      </c>
      <c r="H122" s="2844">
        <f>INDEX('Fringe Data'!$K$8:$K$112,MATCH(G122,'Fringe Data'!$F$8:$F$112,0))</f>
        <v>0.315</v>
      </c>
      <c r="I122" s="2854">
        <f>INDEX('Fringe Data'!$S$8:$S$112,MATCH(G122,'Fringe Data'!$F$8:$F$112,0))</f>
        <v>0</v>
      </c>
      <c r="J122" s="1700" t="s">
        <v>2</v>
      </c>
      <c r="K122" s="2846" t="s">
        <v>4154</v>
      </c>
      <c r="L122" s="559">
        <f>IF(ISERROR(MATCH(K122,'IPCS Data'!$AA$7:$AA$110,0)),1,0)</f>
        <v>0</v>
      </c>
      <c r="M122" s="2847"/>
      <c r="N122" s="402"/>
    </row>
    <row r="123" spans="2:14" s="1292" customFormat="1" x14ac:dyDescent="0.25">
      <c r="B123" s="2109" t="s">
        <v>3296</v>
      </c>
      <c r="C123" s="2109" t="s">
        <v>3515</v>
      </c>
      <c r="D123" s="2109" t="s">
        <v>3581</v>
      </c>
      <c r="E123" s="2848" t="s">
        <v>3259</v>
      </c>
      <c r="F123" s="2827"/>
      <c r="G123" s="2849" t="s">
        <v>3552</v>
      </c>
      <c r="H123" s="2844">
        <f>INDEX('Fringe Data'!$K$8:$K$112,MATCH(G123,'Fringe Data'!$F$8:$F$112,0))</f>
        <v>0.315</v>
      </c>
      <c r="I123" s="2854">
        <f>INDEX('Fringe Data'!$S$8:$S$112,MATCH(G123,'Fringe Data'!$F$8:$F$112,0))</f>
        <v>0</v>
      </c>
      <c r="J123" s="1700" t="s">
        <v>2</v>
      </c>
      <c r="K123" s="2846" t="s">
        <v>4154</v>
      </c>
      <c r="L123" s="559">
        <f>IF(ISERROR(MATCH(K123,'IPCS Data'!$AA$7:$AA$110,0)),1,0)</f>
        <v>0</v>
      </c>
      <c r="M123" s="2847"/>
      <c r="N123" s="402"/>
    </row>
    <row r="124" spans="2:14" s="1292" customFormat="1" x14ac:dyDescent="0.25">
      <c r="B124" s="2109" t="s">
        <v>3296</v>
      </c>
      <c r="C124" s="2109" t="s">
        <v>3515</v>
      </c>
      <c r="D124" s="2109" t="s">
        <v>3582</v>
      </c>
      <c r="E124" s="2848" t="s">
        <v>3260</v>
      </c>
      <c r="F124" s="2827"/>
      <c r="G124" s="2849" t="s">
        <v>3552</v>
      </c>
      <c r="H124" s="2844">
        <f>INDEX('Fringe Data'!$K$8:$K$112,MATCH(G124,'Fringe Data'!$F$8:$F$112,0))</f>
        <v>0.315</v>
      </c>
      <c r="I124" s="2854">
        <f>INDEX('Fringe Data'!$S$8:$S$112,MATCH(G124,'Fringe Data'!$F$8:$F$112,0))</f>
        <v>0</v>
      </c>
      <c r="J124" s="1700" t="s">
        <v>2</v>
      </c>
      <c r="K124" s="2846" t="s">
        <v>4154</v>
      </c>
      <c r="L124" s="559">
        <f>IF(ISERROR(MATCH(K124,'IPCS Data'!$AA$7:$AA$110,0)),1,0)</f>
        <v>0</v>
      </c>
      <c r="M124" s="2847"/>
      <c r="N124" s="402"/>
    </row>
    <row r="125" spans="2:14" s="1292" customFormat="1" x14ac:dyDescent="0.25">
      <c r="B125" s="2109" t="s">
        <v>3296</v>
      </c>
      <c r="C125" s="2109" t="s">
        <v>3515</v>
      </c>
      <c r="D125" s="2109" t="s">
        <v>3959</v>
      </c>
      <c r="E125" s="2848" t="s">
        <v>1837</v>
      </c>
      <c r="F125" s="2827"/>
      <c r="G125" s="2849" t="s">
        <v>3552</v>
      </c>
      <c r="H125" s="2844">
        <f>INDEX('Fringe Data'!$K$8:$K$112,MATCH(G125,'Fringe Data'!$F$8:$F$112,0))</f>
        <v>0.315</v>
      </c>
      <c r="I125" s="2854">
        <f>INDEX('Fringe Data'!$S$8:$S$112,MATCH(G125,'Fringe Data'!$F$8:$F$112,0))</f>
        <v>0</v>
      </c>
      <c r="J125" s="1700" t="s">
        <v>2</v>
      </c>
      <c r="K125" s="2846" t="s">
        <v>4154</v>
      </c>
      <c r="L125" s="559">
        <f>IF(ISERROR(MATCH(K125,'IPCS Data'!$AA$7:$AA$110,0)),1,0)</f>
        <v>0</v>
      </c>
      <c r="M125" s="2847"/>
      <c r="N125" s="402"/>
    </row>
    <row r="126" spans="2:14" s="1292" customFormat="1" x14ac:dyDescent="0.25">
      <c r="B126" s="2109" t="s">
        <v>3296</v>
      </c>
      <c r="C126" s="2109" t="s">
        <v>3515</v>
      </c>
      <c r="D126" s="2109" t="s">
        <v>3960</v>
      </c>
      <c r="E126" s="2848" t="s">
        <v>3583</v>
      </c>
      <c r="F126" s="2827"/>
      <c r="G126" s="2849" t="s">
        <v>3552</v>
      </c>
      <c r="H126" s="2844">
        <f>INDEX('Fringe Data'!$K$8:$K$112,MATCH(G126,'Fringe Data'!$F$8:$F$112,0))</f>
        <v>0.315</v>
      </c>
      <c r="I126" s="2854">
        <f>INDEX('Fringe Data'!$S$8:$S$112,MATCH(G126,'Fringe Data'!$F$8:$F$112,0))</f>
        <v>0</v>
      </c>
      <c r="J126" s="1700" t="s">
        <v>2</v>
      </c>
      <c r="K126" s="2846" t="s">
        <v>4154</v>
      </c>
      <c r="L126" s="559">
        <f>IF(ISERROR(MATCH(K126,'IPCS Data'!$AA$7:$AA$110,0)),1,0)</f>
        <v>0</v>
      </c>
      <c r="M126" s="2847"/>
      <c r="N126" s="402"/>
    </row>
    <row r="127" spans="2:14" s="1292" customFormat="1" ht="13.8" thickBot="1" x14ac:dyDescent="0.3">
      <c r="B127" s="2109" t="s">
        <v>3296</v>
      </c>
      <c r="C127" s="2109" t="s">
        <v>3515</v>
      </c>
      <c r="D127" s="2109" t="s">
        <v>3961</v>
      </c>
      <c r="E127" s="2848" t="s">
        <v>3584</v>
      </c>
      <c r="F127" s="2827"/>
      <c r="G127" s="2849" t="s">
        <v>3552</v>
      </c>
      <c r="H127" s="2844">
        <f>INDEX('Fringe Data'!$K$8:$K$112,MATCH(G127,'Fringe Data'!$F$8:$F$112,0))</f>
        <v>0.315</v>
      </c>
      <c r="I127" s="2854">
        <f>INDEX('Fringe Data'!$S$8:$S$112,MATCH(G127,'Fringe Data'!$F$8:$F$112,0))</f>
        <v>0</v>
      </c>
      <c r="J127" s="1700" t="s">
        <v>2</v>
      </c>
      <c r="K127" s="2846" t="s">
        <v>4154</v>
      </c>
      <c r="L127" s="559">
        <f>IF(ISERROR(MATCH(K127,'IPCS Data'!$AA$7:$AA$110,0)),1,0)</f>
        <v>0</v>
      </c>
      <c r="M127" s="2847"/>
      <c r="N127" s="402"/>
    </row>
    <row r="128" spans="2:14" s="1292" customFormat="1" ht="22.8" thickBot="1" x14ac:dyDescent="0.3">
      <c r="B128" s="2829" t="s">
        <v>837</v>
      </c>
      <c r="C128" s="2830" t="s">
        <v>3544</v>
      </c>
      <c r="D128" s="2830" t="s">
        <v>359</v>
      </c>
      <c r="E128" s="2831" t="s">
        <v>3545</v>
      </c>
      <c r="F128" s="2827"/>
      <c r="G128" s="2832" t="s">
        <v>3546</v>
      </c>
      <c r="H128" s="2833" t="s">
        <v>3547</v>
      </c>
      <c r="I128" s="2954" t="s">
        <v>3548</v>
      </c>
      <c r="J128" s="2834" t="s">
        <v>3549</v>
      </c>
      <c r="K128" s="2835" t="s">
        <v>3525</v>
      </c>
      <c r="L128" s="2835"/>
      <c r="M128" s="2836" t="s">
        <v>3550</v>
      </c>
      <c r="N128" s="402"/>
    </row>
    <row r="129" spans="2:14" s="1292" customFormat="1" x14ac:dyDescent="0.25">
      <c r="B129" s="2109" t="s">
        <v>3296</v>
      </c>
      <c r="C129" s="2109" t="s">
        <v>3516</v>
      </c>
      <c r="D129" s="2109" t="s">
        <v>3585</v>
      </c>
      <c r="E129" s="2848" t="s">
        <v>1824</v>
      </c>
      <c r="F129" s="2827"/>
      <c r="G129" s="2849" t="s">
        <v>3552</v>
      </c>
      <c r="H129" s="2844">
        <f>INDEX('Fringe Data'!$K$8:$K$112,MATCH(G129,'Fringe Data'!$F$8:$F$112,0))</f>
        <v>0.315</v>
      </c>
      <c r="I129" s="2854">
        <f>INDEX('Fringe Data'!$S$8:$S$112,MATCH(G129,'Fringe Data'!$F$8:$F$112,0))</f>
        <v>0</v>
      </c>
      <c r="J129" s="1700" t="s">
        <v>2</v>
      </c>
      <c r="K129" s="2846" t="s">
        <v>4155</v>
      </c>
      <c r="L129" s="559">
        <f>IF(ISERROR(MATCH(K129,'IPCS Data'!$AA$7:$AA$110,0)),1,0)</f>
        <v>0</v>
      </c>
      <c r="M129" s="2847"/>
      <c r="N129" s="402"/>
    </row>
    <row r="130" spans="2:14" s="1292" customFormat="1" ht="13.8" thickBot="1" x14ac:dyDescent="0.3">
      <c r="B130" s="2109" t="s">
        <v>3296</v>
      </c>
      <c r="C130" s="2109" t="s">
        <v>3516</v>
      </c>
      <c r="D130" s="2109" t="s">
        <v>3586</v>
      </c>
      <c r="E130" s="2848" t="s">
        <v>1836</v>
      </c>
      <c r="F130" s="2827"/>
      <c r="G130" s="2849" t="s">
        <v>3552</v>
      </c>
      <c r="H130" s="2844">
        <f>INDEX('Fringe Data'!$K$8:$K$112,MATCH(G130,'Fringe Data'!$F$8:$F$112,0))</f>
        <v>0.315</v>
      </c>
      <c r="I130" s="2854">
        <f>INDEX('Fringe Data'!$S$8:$S$112,MATCH(G130,'Fringe Data'!$F$8:$F$112,0))</f>
        <v>0</v>
      </c>
      <c r="J130" s="1700" t="s">
        <v>2</v>
      </c>
      <c r="K130" s="2846" t="s">
        <v>4155</v>
      </c>
      <c r="L130" s="559">
        <f>IF(ISERROR(MATCH(K130,'IPCS Data'!$AA$7:$AA$110,0)),1,0)</f>
        <v>0</v>
      </c>
      <c r="M130" s="2847"/>
      <c r="N130" s="402"/>
    </row>
    <row r="131" spans="2:14" s="1292" customFormat="1" ht="22.8" thickBot="1" x14ac:dyDescent="0.3">
      <c r="B131" s="2829" t="s">
        <v>837</v>
      </c>
      <c r="C131" s="2830" t="s">
        <v>3544</v>
      </c>
      <c r="D131" s="2830" t="s">
        <v>359</v>
      </c>
      <c r="E131" s="2831" t="s">
        <v>3545</v>
      </c>
      <c r="F131" s="2827"/>
      <c r="G131" s="2832" t="s">
        <v>3546</v>
      </c>
      <c r="H131" s="2833" t="s">
        <v>3547</v>
      </c>
      <c r="I131" s="2954" t="s">
        <v>3548</v>
      </c>
      <c r="J131" s="2834" t="s">
        <v>3549</v>
      </c>
      <c r="K131" s="2835" t="s">
        <v>3525</v>
      </c>
      <c r="L131" s="2835"/>
      <c r="M131" s="2836" t="s">
        <v>3550</v>
      </c>
      <c r="N131" s="402"/>
    </row>
    <row r="132" spans="2:14" s="1292" customFormat="1" x14ac:dyDescent="0.25">
      <c r="B132" s="2109" t="s">
        <v>3296</v>
      </c>
      <c r="C132" s="2109" t="s">
        <v>3292</v>
      </c>
      <c r="D132" s="2109" t="s">
        <v>3587</v>
      </c>
      <c r="E132" s="2848" t="s">
        <v>3289</v>
      </c>
      <c r="F132" s="2827"/>
      <c r="G132" s="2849" t="s">
        <v>3552</v>
      </c>
      <c r="H132" s="2844">
        <f>INDEX('Fringe Data'!$K$8:$K$112,MATCH(G132,'Fringe Data'!$F$8:$F$112,0))</f>
        <v>0.315</v>
      </c>
      <c r="I132" s="2854">
        <f>INDEX('Fringe Data'!$S$8:$S$112,MATCH(G132,'Fringe Data'!$F$8:$F$112,0))</f>
        <v>0</v>
      </c>
      <c r="J132" s="1700" t="s">
        <v>2</v>
      </c>
      <c r="K132" s="2846" t="s">
        <v>4156</v>
      </c>
      <c r="L132" s="559">
        <f>IF(ISERROR(MATCH(K132,'IPCS Data'!$AA$7:$AA$110,0)),1,0)</f>
        <v>0</v>
      </c>
      <c r="M132" s="2847"/>
      <c r="N132" s="402"/>
    </row>
    <row r="133" spans="2:14" s="1292" customFormat="1" x14ac:dyDescent="0.25">
      <c r="B133" s="2109" t="s">
        <v>3296</v>
      </c>
      <c r="C133" s="2109" t="s">
        <v>3292</v>
      </c>
      <c r="D133" s="2109" t="s">
        <v>3588</v>
      </c>
      <c r="E133" s="2848" t="s">
        <v>3290</v>
      </c>
      <c r="F133" s="2827"/>
      <c r="G133" s="2849" t="s">
        <v>3552</v>
      </c>
      <c r="H133" s="2844">
        <f>INDEX('Fringe Data'!$K$8:$K$112,MATCH(G133,'Fringe Data'!$F$8:$F$112,0))</f>
        <v>0.315</v>
      </c>
      <c r="I133" s="2854">
        <f>INDEX('Fringe Data'!$S$8:$S$112,MATCH(G133,'Fringe Data'!$F$8:$F$112,0))</f>
        <v>0</v>
      </c>
      <c r="J133" s="1700" t="s">
        <v>2</v>
      </c>
      <c r="K133" s="2846" t="s">
        <v>4156</v>
      </c>
      <c r="L133" s="559">
        <f>IF(ISERROR(MATCH(K133,'IPCS Data'!$AA$7:$AA$110,0)),1,0)</f>
        <v>0</v>
      </c>
      <c r="M133" s="2847"/>
      <c r="N133" s="402"/>
    </row>
    <row r="134" spans="2:14" s="1292" customFormat="1" x14ac:dyDescent="0.25">
      <c r="B134" s="2109" t="s">
        <v>3296</v>
      </c>
      <c r="C134" s="2109" t="s">
        <v>3292</v>
      </c>
      <c r="D134" s="2109" t="s">
        <v>3589</v>
      </c>
      <c r="E134" s="2848" t="s">
        <v>3291</v>
      </c>
      <c r="F134" s="2827"/>
      <c r="G134" s="2849" t="s">
        <v>3552</v>
      </c>
      <c r="H134" s="2844">
        <f>INDEX('Fringe Data'!$K$8:$K$112,MATCH(G134,'Fringe Data'!$F$8:$F$112,0))</f>
        <v>0.315</v>
      </c>
      <c r="I134" s="2854">
        <f>INDEX('Fringe Data'!$S$8:$S$112,MATCH(G134,'Fringe Data'!$F$8:$F$112,0))</f>
        <v>0</v>
      </c>
      <c r="J134" s="1700" t="s">
        <v>2</v>
      </c>
      <c r="K134" s="2846" t="s">
        <v>4156</v>
      </c>
      <c r="L134" s="559">
        <f>IF(ISERROR(MATCH(K134,'IPCS Data'!$AA$7:$AA$110,0)),1,0)</f>
        <v>0</v>
      </c>
      <c r="M134" s="2847"/>
      <c r="N134" s="402"/>
    </row>
    <row r="135" spans="2:14" s="1292" customFormat="1" x14ac:dyDescent="0.25">
      <c r="B135" s="2109" t="s">
        <v>3296</v>
      </c>
      <c r="C135" s="2109" t="s">
        <v>3292</v>
      </c>
      <c r="D135" s="2109" t="s">
        <v>3590</v>
      </c>
      <c r="E135" s="2848" t="s">
        <v>1850</v>
      </c>
      <c r="F135" s="2827"/>
      <c r="G135" s="2849" t="s">
        <v>3552</v>
      </c>
      <c r="H135" s="2844">
        <f>INDEX('Fringe Data'!$K$8:$K$112,MATCH(G135,'Fringe Data'!$F$8:$F$112,0))</f>
        <v>0.315</v>
      </c>
      <c r="I135" s="2854">
        <f>INDEX('Fringe Data'!$S$8:$S$112,MATCH(G135,'Fringe Data'!$F$8:$F$112,0))</f>
        <v>0</v>
      </c>
      <c r="J135" s="1700" t="s">
        <v>2</v>
      </c>
      <c r="K135" s="2846" t="s">
        <v>4156</v>
      </c>
      <c r="L135" s="559">
        <f>IF(ISERROR(MATCH(K135,'IPCS Data'!$AA$7:$AA$110,0)),1,0)</f>
        <v>0</v>
      </c>
      <c r="M135" s="2847"/>
      <c r="N135" s="402"/>
    </row>
    <row r="136" spans="2:14" s="1292" customFormat="1" ht="13.8" thickBot="1" x14ac:dyDescent="0.3">
      <c r="B136" s="2109" t="s">
        <v>3296</v>
      </c>
      <c r="C136" s="2109" t="s">
        <v>3292</v>
      </c>
      <c r="D136" s="2109" t="s">
        <v>3591</v>
      </c>
      <c r="E136" s="2848" t="s">
        <v>1853</v>
      </c>
      <c r="F136" s="2827"/>
      <c r="G136" s="2849" t="s">
        <v>3552</v>
      </c>
      <c r="H136" s="2844">
        <f>INDEX('Fringe Data'!$K$8:$K$112,MATCH(G136,'Fringe Data'!$F$8:$F$112,0))</f>
        <v>0.315</v>
      </c>
      <c r="I136" s="2854">
        <f>INDEX('Fringe Data'!$S$8:$S$112,MATCH(G136,'Fringe Data'!$F$8:$F$112,0))</f>
        <v>0</v>
      </c>
      <c r="J136" s="1700" t="s">
        <v>2</v>
      </c>
      <c r="K136" s="2846" t="s">
        <v>4156</v>
      </c>
      <c r="L136" s="559">
        <f>IF(ISERROR(MATCH(K136,'IPCS Data'!$AA$7:$AA$110,0)),1,0)</f>
        <v>0</v>
      </c>
      <c r="M136" s="2847"/>
      <c r="N136" s="402"/>
    </row>
    <row r="137" spans="2:14" s="1292" customFormat="1" ht="22.8" thickBot="1" x14ac:dyDescent="0.3">
      <c r="B137" s="2829" t="s">
        <v>837</v>
      </c>
      <c r="C137" s="2830" t="s">
        <v>3544</v>
      </c>
      <c r="D137" s="2830" t="s">
        <v>359</v>
      </c>
      <c r="E137" s="2831" t="s">
        <v>3545</v>
      </c>
      <c r="F137" s="2827"/>
      <c r="G137" s="2832" t="s">
        <v>3546</v>
      </c>
      <c r="H137" s="2833" t="s">
        <v>3547</v>
      </c>
      <c r="I137" s="2954" t="s">
        <v>3548</v>
      </c>
      <c r="J137" s="2834" t="s">
        <v>3549</v>
      </c>
      <c r="K137" s="2835" t="s">
        <v>3525</v>
      </c>
      <c r="L137" s="2835"/>
      <c r="M137" s="2836" t="s">
        <v>3550</v>
      </c>
      <c r="N137" s="402"/>
    </row>
    <row r="138" spans="2:14" s="1292" customFormat="1" x14ac:dyDescent="0.25">
      <c r="B138" s="2109" t="s">
        <v>3296</v>
      </c>
      <c r="C138" s="2109" t="s">
        <v>3517</v>
      </c>
      <c r="D138" s="2109" t="s">
        <v>3592</v>
      </c>
      <c r="E138" s="2848" t="s">
        <v>1848</v>
      </c>
      <c r="F138" s="2827"/>
      <c r="G138" s="2849" t="s">
        <v>3552</v>
      </c>
      <c r="H138" s="2844">
        <f>INDEX('Fringe Data'!$K$8:$K$112,MATCH(G138,'Fringe Data'!$F$8:$F$112,0))</f>
        <v>0.315</v>
      </c>
      <c r="I138" s="2854">
        <f>INDEX('Fringe Data'!$S$8:$S$112,MATCH(G138,'Fringe Data'!$F$8:$F$112,0))</f>
        <v>0</v>
      </c>
      <c r="J138" s="1700" t="s">
        <v>2</v>
      </c>
      <c r="K138" s="2846" t="s">
        <v>4157</v>
      </c>
      <c r="L138" s="559">
        <f>IF(ISERROR(MATCH(K138,'IPCS Data'!$AA$7:$AA$110,0)),1,0)</f>
        <v>0</v>
      </c>
      <c r="M138" s="2847"/>
      <c r="N138" s="402"/>
    </row>
    <row r="139" spans="2:14" s="1292" customFormat="1" ht="13.8" thickBot="1" x14ac:dyDescent="0.3">
      <c r="B139" s="2109" t="s">
        <v>3296</v>
      </c>
      <c r="C139" s="2109" t="s">
        <v>3517</v>
      </c>
      <c r="D139" s="2109" t="s">
        <v>3947</v>
      </c>
      <c r="E139" s="2848" t="s">
        <v>3593</v>
      </c>
      <c r="F139" s="2827"/>
      <c r="G139" s="2849" t="s">
        <v>3552</v>
      </c>
      <c r="H139" s="2844">
        <f>INDEX('Fringe Data'!$K$8:$K$112,MATCH(G139,'Fringe Data'!$F$8:$F$112,0))</f>
        <v>0.315</v>
      </c>
      <c r="I139" s="2854">
        <f>INDEX('Fringe Data'!$S$8:$S$112,MATCH(G139,'Fringe Data'!$F$8:$F$112,0))</f>
        <v>0</v>
      </c>
      <c r="J139" s="1700" t="s">
        <v>2</v>
      </c>
      <c r="K139" s="2846" t="s">
        <v>4157</v>
      </c>
      <c r="L139" s="559">
        <f>IF(ISERROR(MATCH(K139,'IPCS Data'!$AA$7:$AA$110,0)),1,0)</f>
        <v>0</v>
      </c>
      <c r="M139" s="2847"/>
      <c r="N139" s="402"/>
    </row>
    <row r="140" spans="2:14" s="1292" customFormat="1" ht="22.8" thickBot="1" x14ac:dyDescent="0.3">
      <c r="B140" s="2829" t="s">
        <v>837</v>
      </c>
      <c r="C140" s="2830" t="s">
        <v>3544</v>
      </c>
      <c r="D140" s="2830" t="s">
        <v>359</v>
      </c>
      <c r="E140" s="2831" t="s">
        <v>3545</v>
      </c>
      <c r="F140" s="2827"/>
      <c r="G140" s="2832" t="s">
        <v>3546</v>
      </c>
      <c r="H140" s="2833" t="s">
        <v>3547</v>
      </c>
      <c r="I140" s="2954" t="s">
        <v>3548</v>
      </c>
      <c r="J140" s="2834" t="s">
        <v>3549</v>
      </c>
      <c r="K140" s="2835" t="s">
        <v>3525</v>
      </c>
      <c r="L140" s="2835"/>
      <c r="M140" s="2836" t="s">
        <v>3550</v>
      </c>
      <c r="N140" s="402"/>
    </row>
    <row r="141" spans="2:14" s="1292" customFormat="1" x14ac:dyDescent="0.25">
      <c r="B141" s="2109" t="s">
        <v>3296</v>
      </c>
      <c r="C141" s="2109" t="s">
        <v>3268</v>
      </c>
      <c r="D141" s="2109" t="s">
        <v>3594</v>
      </c>
      <c r="E141" s="2848" t="s">
        <v>1845</v>
      </c>
      <c r="F141" s="2827"/>
      <c r="G141" s="2849" t="s">
        <v>3552</v>
      </c>
      <c r="H141" s="2844">
        <f>INDEX('Fringe Data'!$K$8:$K$112,MATCH(G141,'Fringe Data'!$F$8:$F$112,0))</f>
        <v>0.315</v>
      </c>
      <c r="I141" s="2854">
        <f>INDEX('Fringe Data'!$S$8:$S$112,MATCH(G141,'Fringe Data'!$F$8:$F$112,0))</f>
        <v>0</v>
      </c>
      <c r="J141" s="1700" t="s">
        <v>2</v>
      </c>
      <c r="K141" s="2846" t="s">
        <v>4158</v>
      </c>
      <c r="L141" s="559">
        <f>IF(ISERROR(MATCH(K141,'IPCS Data'!$AA$7:$AA$110,0)),1,0)</f>
        <v>0</v>
      </c>
      <c r="M141" s="2847"/>
      <c r="N141" s="402"/>
    </row>
    <row r="142" spans="2:14" s="1292" customFormat="1" x14ac:dyDescent="0.25">
      <c r="B142" s="2109" t="s">
        <v>3296</v>
      </c>
      <c r="C142" s="2109" t="s">
        <v>3268</v>
      </c>
      <c r="D142" s="2109" t="s">
        <v>3595</v>
      </c>
      <c r="E142" s="2848" t="s">
        <v>1846</v>
      </c>
      <c r="F142" s="2827"/>
      <c r="G142" s="2849" t="s">
        <v>3552</v>
      </c>
      <c r="H142" s="2844">
        <f>INDEX('Fringe Data'!$K$8:$K$112,MATCH(G142,'Fringe Data'!$F$8:$F$112,0))</f>
        <v>0.315</v>
      </c>
      <c r="I142" s="2854">
        <f>INDEX('Fringe Data'!$S$8:$S$112,MATCH(G142,'Fringe Data'!$F$8:$F$112,0))</f>
        <v>0</v>
      </c>
      <c r="J142" s="1700" t="s">
        <v>2</v>
      </c>
      <c r="K142" s="2846" t="s">
        <v>4158</v>
      </c>
      <c r="L142" s="559">
        <f>IF(ISERROR(MATCH(K142,'IPCS Data'!$AA$7:$AA$110,0)),1,0)</f>
        <v>0</v>
      </c>
      <c r="M142" s="2847"/>
      <c r="N142" s="402"/>
    </row>
    <row r="143" spans="2:14" s="1292" customFormat="1" x14ac:dyDescent="0.25">
      <c r="B143" s="2109" t="s">
        <v>3296</v>
      </c>
      <c r="C143" s="2109" t="s">
        <v>3268</v>
      </c>
      <c r="D143" s="2109" t="s">
        <v>3267</v>
      </c>
      <c r="E143" s="2848" t="s">
        <v>1847</v>
      </c>
      <c r="F143" s="2827"/>
      <c r="G143" s="2849" t="s">
        <v>3552</v>
      </c>
      <c r="H143" s="2844">
        <f>INDEX('Fringe Data'!$K$8:$K$112,MATCH(G143,'Fringe Data'!$F$8:$F$112,0))</f>
        <v>0.315</v>
      </c>
      <c r="I143" s="2854">
        <f>INDEX('Fringe Data'!$S$8:$S$112,MATCH(G143,'Fringe Data'!$F$8:$F$112,0))</f>
        <v>0</v>
      </c>
      <c r="J143" s="1700" t="s">
        <v>2</v>
      </c>
      <c r="K143" s="2846" t="s">
        <v>4158</v>
      </c>
      <c r="L143" s="559">
        <f>IF(ISERROR(MATCH(K143,'IPCS Data'!$AA$7:$AA$110,0)),1,0)</f>
        <v>0</v>
      </c>
      <c r="M143" s="2847"/>
      <c r="N143" s="402"/>
    </row>
    <row r="144" spans="2:14" s="1292" customFormat="1" ht="13.8" thickBot="1" x14ac:dyDescent="0.3">
      <c r="B144" s="2109" t="s">
        <v>3296</v>
      </c>
      <c r="C144" s="2109" t="s">
        <v>3268</v>
      </c>
      <c r="D144" s="2109" t="s">
        <v>3596</v>
      </c>
      <c r="E144" s="2848" t="s">
        <v>1844</v>
      </c>
      <c r="F144" s="2827"/>
      <c r="G144" s="2849" t="s">
        <v>3552</v>
      </c>
      <c r="H144" s="2844">
        <f>INDEX('Fringe Data'!$K$8:$K$112,MATCH(G144,'Fringe Data'!$F$8:$F$112,0))</f>
        <v>0.315</v>
      </c>
      <c r="I144" s="2854">
        <f>INDEX('Fringe Data'!$S$8:$S$112,MATCH(G144,'Fringe Data'!$F$8:$F$112,0))</f>
        <v>0</v>
      </c>
      <c r="J144" s="1700" t="s">
        <v>2</v>
      </c>
      <c r="K144" s="2846" t="s">
        <v>4158</v>
      </c>
      <c r="L144" s="559">
        <f>IF(ISERROR(MATCH(K144,'IPCS Data'!$AA$7:$AA$110,0)),1,0)</f>
        <v>0</v>
      </c>
      <c r="M144" s="2847"/>
      <c r="N144" s="402"/>
    </row>
    <row r="145" spans="2:14" s="1292" customFormat="1" ht="22.8" thickBot="1" x14ac:dyDescent="0.3">
      <c r="B145" s="2829" t="s">
        <v>837</v>
      </c>
      <c r="C145" s="2830" t="s">
        <v>3544</v>
      </c>
      <c r="D145" s="2830" t="s">
        <v>359</v>
      </c>
      <c r="E145" s="2831" t="s">
        <v>3545</v>
      </c>
      <c r="F145" s="2827"/>
      <c r="G145" s="2832" t="s">
        <v>3546</v>
      </c>
      <c r="H145" s="2833" t="s">
        <v>3547</v>
      </c>
      <c r="I145" s="2954" t="s">
        <v>3548</v>
      </c>
      <c r="J145" s="2834" t="s">
        <v>3549</v>
      </c>
      <c r="K145" s="2835" t="s">
        <v>3525</v>
      </c>
      <c r="L145" s="2835"/>
      <c r="M145" s="2836" t="s">
        <v>3550</v>
      </c>
      <c r="N145" s="402"/>
    </row>
    <row r="146" spans="2:14" s="1292" customFormat="1" x14ac:dyDescent="0.25">
      <c r="B146" s="2109" t="s">
        <v>3296</v>
      </c>
      <c r="C146" s="2109" t="s">
        <v>3261</v>
      </c>
      <c r="D146" s="2109" t="s">
        <v>3597</v>
      </c>
      <c r="E146" s="2848" t="s">
        <v>3262</v>
      </c>
      <c r="F146" s="2827"/>
      <c r="G146" s="2849" t="s">
        <v>3552</v>
      </c>
      <c r="H146" s="2844">
        <f>INDEX('Fringe Data'!$K$8:$K$112,MATCH(G146,'Fringe Data'!$F$8:$F$112,0))</f>
        <v>0.315</v>
      </c>
      <c r="I146" s="2854">
        <f>INDEX('Fringe Data'!$S$8:$S$112,MATCH(G146,'Fringe Data'!$F$8:$F$112,0))</f>
        <v>0</v>
      </c>
      <c r="J146" s="1700" t="s">
        <v>2</v>
      </c>
      <c r="K146" s="2846" t="s">
        <v>4159</v>
      </c>
      <c r="L146" s="559">
        <f>IF(ISERROR(MATCH(K146,'IPCS Data'!$AA$7:$AA$110,0)),1,0)</f>
        <v>0</v>
      </c>
      <c r="M146" s="2847"/>
      <c r="N146" s="402"/>
    </row>
    <row r="147" spans="2:14" s="1292" customFormat="1" x14ac:dyDescent="0.25">
      <c r="B147" s="2109" t="s">
        <v>3296</v>
      </c>
      <c r="C147" s="2109" t="s">
        <v>3261</v>
      </c>
      <c r="D147" s="2109" t="s">
        <v>3598</v>
      </c>
      <c r="E147" s="2848" t="s">
        <v>3263</v>
      </c>
      <c r="F147" s="2827"/>
      <c r="G147" s="2849" t="s">
        <v>3552</v>
      </c>
      <c r="H147" s="2844">
        <f>INDEX('Fringe Data'!$K$8:$K$112,MATCH(G147,'Fringe Data'!$F$8:$F$112,0))</f>
        <v>0.315</v>
      </c>
      <c r="I147" s="2854">
        <f>INDEX('Fringe Data'!$S$8:$S$112,MATCH(G147,'Fringe Data'!$F$8:$F$112,0))</f>
        <v>0</v>
      </c>
      <c r="J147" s="1700" t="s">
        <v>2</v>
      </c>
      <c r="K147" s="2846" t="s">
        <v>4159</v>
      </c>
      <c r="L147" s="559">
        <f>IF(ISERROR(MATCH(K147,'IPCS Data'!$AA$7:$AA$110,0)),1,0)</f>
        <v>0</v>
      </c>
      <c r="M147" s="2847"/>
      <c r="N147" s="402"/>
    </row>
    <row r="148" spans="2:14" s="1292" customFormat="1" x14ac:dyDescent="0.25">
      <c r="B148" s="2109" t="s">
        <v>3296</v>
      </c>
      <c r="C148" s="2109" t="s">
        <v>3261</v>
      </c>
      <c r="D148" s="2109" t="s">
        <v>3264</v>
      </c>
      <c r="E148" s="2848" t="s">
        <v>1851</v>
      </c>
      <c r="F148" s="2827"/>
      <c r="G148" s="2849" t="s">
        <v>3552</v>
      </c>
      <c r="H148" s="2844">
        <f>INDEX('Fringe Data'!$K$8:$K$112,MATCH(G148,'Fringe Data'!$F$8:$F$112,0))</f>
        <v>0.315</v>
      </c>
      <c r="I148" s="2854">
        <f>INDEX('Fringe Data'!$S$8:$S$112,MATCH(G148,'Fringe Data'!$F$8:$F$112,0))</f>
        <v>0</v>
      </c>
      <c r="J148" s="1700" t="s">
        <v>2</v>
      </c>
      <c r="K148" s="2846" t="s">
        <v>4159</v>
      </c>
      <c r="L148" s="559">
        <f>IF(ISERROR(MATCH(K148,'IPCS Data'!$AA$7:$AA$110,0)),1,0)</f>
        <v>0</v>
      </c>
      <c r="M148" s="2847"/>
      <c r="N148" s="402"/>
    </row>
    <row r="149" spans="2:14" s="1292" customFormat="1" x14ac:dyDescent="0.25">
      <c r="B149" s="2109" t="s">
        <v>3296</v>
      </c>
      <c r="C149" s="2109" t="s">
        <v>3261</v>
      </c>
      <c r="D149" s="2109" t="s">
        <v>3265</v>
      </c>
      <c r="E149" s="2848" t="s">
        <v>1852</v>
      </c>
      <c r="F149" s="2827"/>
      <c r="G149" s="2849" t="s">
        <v>3552</v>
      </c>
      <c r="H149" s="2844">
        <f>INDEX('Fringe Data'!$K$8:$K$112,MATCH(G149,'Fringe Data'!$F$8:$F$112,0))</f>
        <v>0.315</v>
      </c>
      <c r="I149" s="2854">
        <f>INDEX('Fringe Data'!$S$8:$S$112,MATCH(G149,'Fringe Data'!$F$8:$F$112,0))</f>
        <v>0</v>
      </c>
      <c r="J149" s="1700" t="s">
        <v>2</v>
      </c>
      <c r="K149" s="2846" t="s">
        <v>4159</v>
      </c>
      <c r="L149" s="559">
        <f>IF(ISERROR(MATCH(K149,'IPCS Data'!$AA$7:$AA$110,0)),1,0)</f>
        <v>0</v>
      </c>
      <c r="M149" s="2847"/>
      <c r="N149" s="402"/>
    </row>
    <row r="150" spans="2:14" s="1292" customFormat="1" ht="13.8" thickBot="1" x14ac:dyDescent="0.3">
      <c r="B150" s="2109" t="s">
        <v>3296</v>
      </c>
      <c r="C150" s="2109" t="s">
        <v>3261</v>
      </c>
      <c r="D150" s="2109" t="s">
        <v>3599</v>
      </c>
      <c r="E150" s="2848" t="s">
        <v>3266</v>
      </c>
      <c r="F150" s="2827"/>
      <c r="G150" s="2849" t="s">
        <v>3552</v>
      </c>
      <c r="H150" s="2844">
        <f>INDEX('Fringe Data'!$K$8:$K$112,MATCH(G150,'Fringe Data'!$F$8:$F$112,0))</f>
        <v>0.315</v>
      </c>
      <c r="I150" s="2854">
        <f>INDEX('Fringe Data'!$S$8:$S$112,MATCH(G150,'Fringe Data'!$F$8:$F$112,0))</f>
        <v>0</v>
      </c>
      <c r="J150" s="1700" t="s">
        <v>2</v>
      </c>
      <c r="K150" s="2846" t="s">
        <v>4159</v>
      </c>
      <c r="L150" s="559">
        <f>IF(ISERROR(MATCH(K150,'IPCS Data'!$AA$7:$AA$110,0)),1,0)</f>
        <v>0</v>
      </c>
      <c r="M150" s="2847"/>
      <c r="N150" s="402"/>
    </row>
    <row r="151" spans="2:14" s="1292" customFormat="1" ht="22.8" thickBot="1" x14ac:dyDescent="0.3">
      <c r="B151" s="2829" t="s">
        <v>837</v>
      </c>
      <c r="C151" s="2830" t="s">
        <v>3544</v>
      </c>
      <c r="D151" s="2830" t="s">
        <v>359</v>
      </c>
      <c r="E151" s="2831" t="s">
        <v>3545</v>
      </c>
      <c r="F151" s="2827"/>
      <c r="G151" s="2832" t="s">
        <v>3546</v>
      </c>
      <c r="H151" s="2833" t="s">
        <v>3547</v>
      </c>
      <c r="I151" s="2954" t="s">
        <v>3548</v>
      </c>
      <c r="J151" s="2834" t="s">
        <v>3549</v>
      </c>
      <c r="K151" s="2835" t="s">
        <v>3525</v>
      </c>
      <c r="L151" s="2835"/>
      <c r="M151" s="2836" t="s">
        <v>3550</v>
      </c>
      <c r="N151" s="402"/>
    </row>
    <row r="152" spans="2:14" s="1292" customFormat="1" x14ac:dyDescent="0.25">
      <c r="B152" s="2109" t="s">
        <v>3296</v>
      </c>
      <c r="C152" s="2109" t="s">
        <v>3293</v>
      </c>
      <c r="D152" s="2109" t="s">
        <v>3948</v>
      </c>
      <c r="E152" s="2848" t="s">
        <v>3286</v>
      </c>
      <c r="F152" s="2827"/>
      <c r="G152" s="2849" t="s">
        <v>3552</v>
      </c>
      <c r="H152" s="2844">
        <f>INDEX('Fringe Data'!$K$8:$K$112,MATCH(G152,'Fringe Data'!$F$8:$F$112,0))</f>
        <v>0.315</v>
      </c>
      <c r="I152" s="2854">
        <f>INDEX('Fringe Data'!$S$8:$S$112,MATCH(G152,'Fringe Data'!$F$8:$F$112,0))</f>
        <v>0</v>
      </c>
      <c r="J152" s="1700" t="s">
        <v>2</v>
      </c>
      <c r="K152" s="2846" t="s">
        <v>4160</v>
      </c>
      <c r="L152" s="559">
        <f>IF(ISERROR(MATCH(K152,'IPCS Data'!$AA$7:$AA$110,0)),1,0)</f>
        <v>0</v>
      </c>
      <c r="M152" s="2847"/>
      <c r="N152" s="402"/>
    </row>
    <row r="153" spans="2:14" s="1292" customFormat="1" x14ac:dyDescent="0.25">
      <c r="B153" s="2109" t="s">
        <v>3296</v>
      </c>
      <c r="C153" s="2109" t="s">
        <v>3293</v>
      </c>
      <c r="D153" s="2109" t="s">
        <v>3600</v>
      </c>
      <c r="E153" s="2848" t="s">
        <v>3287</v>
      </c>
      <c r="F153" s="2827"/>
      <c r="G153" s="2849" t="s">
        <v>3552</v>
      </c>
      <c r="H153" s="2844">
        <f>INDEX('Fringe Data'!$K$8:$K$112,MATCH(G153,'Fringe Data'!$F$8:$F$112,0))</f>
        <v>0.315</v>
      </c>
      <c r="I153" s="2854">
        <f>INDEX('Fringe Data'!$S$8:$S$112,MATCH(G153,'Fringe Data'!$F$8:$F$112,0))</f>
        <v>0</v>
      </c>
      <c r="J153" s="1700" t="s">
        <v>2</v>
      </c>
      <c r="K153" s="2846" t="s">
        <v>4160</v>
      </c>
      <c r="L153" s="559">
        <f>IF(ISERROR(MATCH(K153,'IPCS Data'!$AA$7:$AA$110,0)),1,0)</f>
        <v>0</v>
      </c>
      <c r="M153" s="2847"/>
      <c r="N153" s="402"/>
    </row>
    <row r="154" spans="2:14" s="1292" customFormat="1" x14ac:dyDescent="0.25">
      <c r="B154" s="2109" t="s">
        <v>3296</v>
      </c>
      <c r="C154" s="2109" t="s">
        <v>3293</v>
      </c>
      <c r="D154" s="2109" t="s">
        <v>3601</v>
      </c>
      <c r="E154" s="2848" t="s">
        <v>3288</v>
      </c>
      <c r="F154" s="2827"/>
      <c r="G154" s="2849" t="s">
        <v>3552</v>
      </c>
      <c r="H154" s="2844">
        <f>INDEX('Fringe Data'!$K$8:$K$112,MATCH(G154,'Fringe Data'!$F$8:$F$112,0))</f>
        <v>0.315</v>
      </c>
      <c r="I154" s="2854">
        <f>INDEX('Fringe Data'!$S$8:$S$112,MATCH(G154,'Fringe Data'!$F$8:$F$112,0))</f>
        <v>0</v>
      </c>
      <c r="J154" s="1700" t="s">
        <v>2</v>
      </c>
      <c r="K154" s="2846" t="s">
        <v>4160</v>
      </c>
      <c r="L154" s="559">
        <f>IF(ISERROR(MATCH(K154,'IPCS Data'!$AA$7:$AA$110,0)),1,0)</f>
        <v>0</v>
      </c>
      <c r="M154" s="2847"/>
      <c r="N154" s="402"/>
    </row>
    <row r="155" spans="2:14" s="1292" customFormat="1" x14ac:dyDescent="0.25">
      <c r="B155" s="2109" t="s">
        <v>3296</v>
      </c>
      <c r="C155" s="2109" t="s">
        <v>3293</v>
      </c>
      <c r="D155" s="2109" t="s">
        <v>3949</v>
      </c>
      <c r="E155" s="2848" t="s">
        <v>1849</v>
      </c>
      <c r="F155" s="2827"/>
      <c r="G155" s="2849" t="s">
        <v>3552</v>
      </c>
      <c r="H155" s="2844">
        <f>INDEX('Fringe Data'!$K$8:$K$112,MATCH(G155,'Fringe Data'!$F$8:$F$112,0))</f>
        <v>0.315</v>
      </c>
      <c r="I155" s="2854">
        <f>INDEX('Fringe Data'!$S$8:$S$112,MATCH(G155,'Fringe Data'!$F$8:$F$112,0))</f>
        <v>0</v>
      </c>
      <c r="J155" s="1700" t="s">
        <v>2</v>
      </c>
      <c r="K155" s="2846" t="s">
        <v>4160</v>
      </c>
      <c r="L155" s="559">
        <f>IF(ISERROR(MATCH(K155,'IPCS Data'!$AA$7:$AA$110,0)),1,0)</f>
        <v>0</v>
      </c>
      <c r="M155" s="2847"/>
      <c r="N155" s="402"/>
    </row>
    <row r="156" spans="2:14" s="1292" customFormat="1" ht="13.8" thickBot="1" x14ac:dyDescent="0.3">
      <c r="B156" s="2109" t="s">
        <v>3296</v>
      </c>
      <c r="C156" s="2109" t="s">
        <v>3293</v>
      </c>
      <c r="D156" s="2109" t="s">
        <v>3602</v>
      </c>
      <c r="E156" s="2848" t="s">
        <v>3603</v>
      </c>
      <c r="F156" s="2827"/>
      <c r="G156" s="2849" t="s">
        <v>3552</v>
      </c>
      <c r="H156" s="2844">
        <f>INDEX('Fringe Data'!$K$8:$K$112,MATCH(G156,'Fringe Data'!$F$8:$F$112,0))</f>
        <v>0.315</v>
      </c>
      <c r="I156" s="2854">
        <f>INDEX('Fringe Data'!$S$8:$S$112,MATCH(G156,'Fringe Data'!$F$8:$F$112,0))</f>
        <v>0</v>
      </c>
      <c r="J156" s="1700" t="s">
        <v>2</v>
      </c>
      <c r="K156" s="2846" t="s">
        <v>4160</v>
      </c>
      <c r="L156" s="559">
        <f>IF(ISERROR(MATCH(K156,'IPCS Data'!$AA$7:$AA$110,0)),1,0)</f>
        <v>0</v>
      </c>
      <c r="M156" s="2847"/>
      <c r="N156" s="402"/>
    </row>
    <row r="157" spans="2:14" s="1292" customFormat="1" ht="22.8" thickBot="1" x14ac:dyDescent="0.3">
      <c r="B157" s="2829" t="s">
        <v>837</v>
      </c>
      <c r="C157" s="2830" t="s">
        <v>3544</v>
      </c>
      <c r="D157" s="2830" t="s">
        <v>359</v>
      </c>
      <c r="E157" s="2831" t="s">
        <v>3545</v>
      </c>
      <c r="F157" s="2827"/>
      <c r="G157" s="2832" t="s">
        <v>3546</v>
      </c>
      <c r="H157" s="2833" t="s">
        <v>3547</v>
      </c>
      <c r="I157" s="2954" t="s">
        <v>3548</v>
      </c>
      <c r="J157" s="2834" t="s">
        <v>3549</v>
      </c>
      <c r="K157" s="2835" t="s">
        <v>3525</v>
      </c>
      <c r="L157" s="2835"/>
      <c r="M157" s="2836" t="s">
        <v>3550</v>
      </c>
      <c r="N157" s="402"/>
    </row>
    <row r="158" spans="2:14" s="1292" customFormat="1" x14ac:dyDescent="0.25">
      <c r="B158" s="2109" t="s">
        <v>3604</v>
      </c>
      <c r="C158" s="2109" t="s">
        <v>3080</v>
      </c>
      <c r="D158" s="2109" t="s">
        <v>4130</v>
      </c>
      <c r="E158" s="2848" t="s">
        <v>3081</v>
      </c>
      <c r="F158" s="2827"/>
      <c r="G158" s="2843" t="s">
        <v>3761</v>
      </c>
      <c r="H158" s="2844">
        <f>INDEX('Fringe Data'!$K$8:$K$112,MATCH(G158,'Fringe Data'!$F$8:$F$112,0))</f>
        <v>0.37</v>
      </c>
      <c r="I158" s="2854">
        <f>INDEX('Fringe Data'!$S$8:$S$112,MATCH(G158,'Fringe Data'!$F$8:$F$112,0))</f>
        <v>0</v>
      </c>
      <c r="J158" s="1700" t="s">
        <v>42</v>
      </c>
      <c r="K158" s="2846" t="s">
        <v>3534</v>
      </c>
      <c r="L158" s="559">
        <f>IF(ISERROR(MATCH(K158,'IPCS Data'!$AA$7:$AA$110,0)),1,0)</f>
        <v>0</v>
      </c>
      <c r="M158" s="2847"/>
      <c r="N158" s="402"/>
    </row>
    <row r="159" spans="2:14" s="1292" customFormat="1" x14ac:dyDescent="0.25">
      <c r="B159" s="2109" t="s">
        <v>3604</v>
      </c>
      <c r="C159" s="2109" t="s">
        <v>3080</v>
      </c>
      <c r="D159" s="2109" t="s">
        <v>4131</v>
      </c>
      <c r="E159" s="2848" t="s">
        <v>3082</v>
      </c>
      <c r="F159" s="2827"/>
      <c r="G159" s="2843" t="s">
        <v>357</v>
      </c>
      <c r="H159" s="2844">
        <f>INDEX('Fringe Data'!$K$8:$K$112,MATCH(G159,'Fringe Data'!$F$8:$F$112,0))</f>
        <v>0.45500000000000002</v>
      </c>
      <c r="I159" s="2854">
        <f>INDEX('Fringe Data'!$S$8:$S$112,MATCH(G159,'Fringe Data'!$F$8:$F$112,0))</f>
        <v>2.54</v>
      </c>
      <c r="J159" s="1700" t="s">
        <v>43</v>
      </c>
      <c r="K159" s="2846" t="s">
        <v>3535</v>
      </c>
      <c r="L159" s="559">
        <f>IF(ISERROR(MATCH(K159,'IPCS Data'!$AA$7:$AA$110,0)),1,0)</f>
        <v>0</v>
      </c>
      <c r="M159" s="2847"/>
      <c r="N159" s="402"/>
    </row>
    <row r="160" spans="2:14" s="1292" customFormat="1" x14ac:dyDescent="0.25">
      <c r="B160" s="2109" t="s">
        <v>3604</v>
      </c>
      <c r="C160" s="2109" t="s">
        <v>3080</v>
      </c>
      <c r="D160" s="2109" t="s">
        <v>4132</v>
      </c>
      <c r="E160" s="2848" t="s">
        <v>3083</v>
      </c>
      <c r="F160" s="2827"/>
      <c r="G160" s="2843" t="s">
        <v>3884</v>
      </c>
      <c r="H160" s="2844">
        <f>INDEX('Fringe Data'!$K$8:$K$112,MATCH(G160,'Fringe Data'!$F$8:$F$112,0))</f>
        <v>0.38250000000000001</v>
      </c>
      <c r="I160" s="2854">
        <f>INDEX('Fringe Data'!$S$8:$S$112,MATCH(G160,'Fringe Data'!$F$8:$F$112,0))</f>
        <v>0</v>
      </c>
      <c r="J160" s="1700" t="s">
        <v>2</v>
      </c>
      <c r="K160" s="2846" t="s">
        <v>3536</v>
      </c>
      <c r="L160" s="559">
        <f>IF(ISERROR(MATCH(K160,'IPCS Data'!$AA$7:$AA$110,0)),1,0)</f>
        <v>0</v>
      </c>
      <c r="M160" s="2847"/>
      <c r="N160" s="402"/>
    </row>
    <row r="161" spans="2:14" s="1292" customFormat="1" x14ac:dyDescent="0.25">
      <c r="B161" s="2109" t="s">
        <v>3604</v>
      </c>
      <c r="C161" s="2109" t="s">
        <v>3080</v>
      </c>
      <c r="D161" s="2109" t="s">
        <v>4133</v>
      </c>
      <c r="E161" s="2848" t="s">
        <v>3089</v>
      </c>
      <c r="F161" s="2827"/>
      <c r="G161" s="2843" t="s">
        <v>3552</v>
      </c>
      <c r="H161" s="2844">
        <f>INDEX('Fringe Data'!$K$8:$K$112,MATCH(G161,'Fringe Data'!$F$8:$F$112,0))</f>
        <v>0.315</v>
      </c>
      <c r="I161" s="2854">
        <f>INDEX('Fringe Data'!$S$8:$S$112,MATCH(G161,'Fringe Data'!$F$8:$F$112,0))</f>
        <v>0</v>
      </c>
      <c r="J161" s="1700" t="s">
        <v>2</v>
      </c>
      <c r="K161" s="2846" t="s">
        <v>3536</v>
      </c>
      <c r="L161" s="559">
        <f>IF(ISERROR(MATCH(K161,'IPCS Data'!$AA$7:$AA$110,0)),1,0)</f>
        <v>0</v>
      </c>
      <c r="M161" s="2847"/>
      <c r="N161" s="402"/>
    </row>
    <row r="162" spans="2:14" s="1292" customFormat="1" ht="13.8" thickBot="1" x14ac:dyDescent="0.3">
      <c r="B162" s="2110" t="s">
        <v>3604</v>
      </c>
      <c r="C162" s="2110" t="s">
        <v>3084</v>
      </c>
      <c r="D162" s="2110" t="s">
        <v>4134</v>
      </c>
      <c r="E162" s="2850" t="s">
        <v>3085</v>
      </c>
      <c r="F162" s="2827"/>
      <c r="G162" s="2843" t="s">
        <v>3884</v>
      </c>
      <c r="H162" s="2844">
        <f>INDEX('Fringe Data'!$K$8:$K$112,MATCH(G162,'Fringe Data'!$F$8:$F$112,0))</f>
        <v>0.38250000000000001</v>
      </c>
      <c r="I162" s="2854">
        <f>INDEX('Fringe Data'!$S$8:$S$112,MATCH(G162,'Fringe Data'!$F$8:$F$112,0))</f>
        <v>0</v>
      </c>
      <c r="J162" s="1700" t="s">
        <v>2</v>
      </c>
      <c r="K162" s="2846" t="s">
        <v>3536</v>
      </c>
      <c r="L162" s="559">
        <f>IF(ISERROR(MATCH(K162,'IPCS Data'!$AA$7:$AA$110,0)),1,0)</f>
        <v>0</v>
      </c>
      <c r="M162" s="2847"/>
      <c r="N162" s="402"/>
    </row>
    <row r="163" spans="2:14" s="1292" customFormat="1" ht="22.8" thickBot="1" x14ac:dyDescent="0.3">
      <c r="B163" s="2829" t="s">
        <v>837</v>
      </c>
      <c r="C163" s="2830" t="s">
        <v>3544</v>
      </c>
      <c r="D163" s="2830" t="s">
        <v>359</v>
      </c>
      <c r="E163" s="2831" t="s">
        <v>3545</v>
      </c>
      <c r="F163" s="2827"/>
      <c r="G163" s="2832" t="s">
        <v>3546</v>
      </c>
      <c r="H163" s="2833" t="s">
        <v>3547</v>
      </c>
      <c r="I163" s="2954" t="s">
        <v>3548</v>
      </c>
      <c r="J163" s="2834" t="s">
        <v>3549</v>
      </c>
      <c r="K163" s="2835" t="s">
        <v>3525</v>
      </c>
      <c r="L163" s="2835"/>
      <c r="M163" s="2836" t="s">
        <v>3550</v>
      </c>
      <c r="N163" s="402"/>
    </row>
    <row r="164" spans="2:14" s="1292" customFormat="1" x14ac:dyDescent="0.25">
      <c r="B164" s="2111" t="s">
        <v>3604</v>
      </c>
      <c r="C164" s="2111" t="s">
        <v>3091</v>
      </c>
      <c r="D164" s="2111" t="s">
        <v>4135</v>
      </c>
      <c r="E164" s="2841" t="s">
        <v>3086</v>
      </c>
      <c r="F164" s="2827"/>
      <c r="G164" s="2843" t="s">
        <v>357</v>
      </c>
      <c r="H164" s="2844">
        <f>INDEX('Fringe Data'!$K$8:$K$112,MATCH(G164,'Fringe Data'!$F$8:$F$112,0))</f>
        <v>0.45500000000000002</v>
      </c>
      <c r="I164" s="2854">
        <f>INDEX('Fringe Data'!$S$8:$S$112,MATCH(G164,'Fringe Data'!$F$8:$F$112,0))</f>
        <v>2.54</v>
      </c>
      <c r="J164" s="1700" t="s">
        <v>43</v>
      </c>
      <c r="K164" s="2846" t="s">
        <v>3540</v>
      </c>
      <c r="L164" s="559">
        <f>IF(ISERROR(MATCH(K164,'IPCS Data'!$AA$7:$AA$110,0)),1,0)</f>
        <v>0</v>
      </c>
      <c r="M164" s="2847"/>
      <c r="N164" s="402"/>
    </row>
    <row r="165" spans="2:14" s="1292" customFormat="1" x14ac:dyDescent="0.25">
      <c r="B165" s="2109" t="s">
        <v>3604</v>
      </c>
      <c r="C165" s="2109" t="s">
        <v>3091</v>
      </c>
      <c r="D165" s="2109" t="s">
        <v>4136</v>
      </c>
      <c r="E165" s="2848" t="s">
        <v>3087</v>
      </c>
      <c r="F165" s="2827"/>
      <c r="G165" s="2843" t="s">
        <v>3884</v>
      </c>
      <c r="H165" s="2844">
        <f>INDEX('Fringe Data'!$K$8:$K$112,MATCH(G165,'Fringe Data'!$F$8:$F$112,0))</f>
        <v>0.38250000000000001</v>
      </c>
      <c r="I165" s="2854">
        <f>INDEX('Fringe Data'!$S$8:$S$112,MATCH(G165,'Fringe Data'!$F$8:$F$112,0))</f>
        <v>0</v>
      </c>
      <c r="J165" s="1700" t="s">
        <v>2</v>
      </c>
      <c r="K165" s="2846" t="s">
        <v>3541</v>
      </c>
      <c r="L165" s="559">
        <f>IF(ISERROR(MATCH(K165,'IPCS Data'!$AA$7:$AA$110,0)),1,0)</f>
        <v>0</v>
      </c>
      <c r="M165" s="2847"/>
      <c r="N165" s="402"/>
    </row>
    <row r="166" spans="2:14" s="1292" customFormat="1" x14ac:dyDescent="0.25">
      <c r="B166" s="2109" t="s">
        <v>3604</v>
      </c>
      <c r="C166" s="2109" t="s">
        <v>3091</v>
      </c>
      <c r="D166" s="2109" t="s">
        <v>4137</v>
      </c>
      <c r="E166" s="2848" t="s">
        <v>3088</v>
      </c>
      <c r="F166" s="2827"/>
      <c r="G166" s="2843" t="s">
        <v>3552</v>
      </c>
      <c r="H166" s="2844">
        <f>INDEX('Fringe Data'!$K$8:$K$112,MATCH(G166,'Fringe Data'!$F$8:$F$112,0))</f>
        <v>0.315</v>
      </c>
      <c r="I166" s="2854">
        <f>INDEX('Fringe Data'!$S$8:$S$112,MATCH(G166,'Fringe Data'!$F$8:$F$112,0))</f>
        <v>0</v>
      </c>
      <c r="J166" s="1700" t="s">
        <v>2</v>
      </c>
      <c r="K166" s="2846" t="s">
        <v>3541</v>
      </c>
      <c r="L166" s="559">
        <f>IF(ISERROR(MATCH(K166,'IPCS Data'!$AA$7:$AA$110,0)),1,0)</f>
        <v>0</v>
      </c>
      <c r="M166" s="2847"/>
      <c r="N166" s="402"/>
    </row>
    <row r="167" spans="2:14" s="1292" customFormat="1" x14ac:dyDescent="0.25">
      <c r="B167" s="2109" t="s">
        <v>3604</v>
      </c>
      <c r="C167" s="2109" t="s">
        <v>3091</v>
      </c>
      <c r="D167" s="2109" t="s">
        <v>4138</v>
      </c>
      <c r="E167" s="2848" t="s">
        <v>3090</v>
      </c>
      <c r="F167" s="2827"/>
      <c r="G167" s="2843" t="s">
        <v>3552</v>
      </c>
      <c r="H167" s="2844">
        <f>INDEX('Fringe Data'!$K$8:$K$112,MATCH(G167,'Fringe Data'!$F$8:$F$112,0))</f>
        <v>0.315</v>
      </c>
      <c r="I167" s="2854">
        <f>INDEX('Fringe Data'!$S$8:$S$112,MATCH(G167,'Fringe Data'!$F$8:$F$112,0))</f>
        <v>0</v>
      </c>
      <c r="J167" s="1700" t="s">
        <v>2</v>
      </c>
      <c r="K167" s="2846" t="s">
        <v>3541</v>
      </c>
      <c r="L167" s="559">
        <f>IF(ISERROR(MATCH(K167,'IPCS Data'!$AA$7:$AA$110,0)),1,0)</f>
        <v>0</v>
      </c>
      <c r="M167" s="2847"/>
      <c r="N167" s="402"/>
    </row>
    <row r="168" spans="2:14" s="1292" customFormat="1" x14ac:dyDescent="0.25">
      <c r="B168" s="2109" t="s">
        <v>3604</v>
      </c>
      <c r="C168" s="2109" t="s">
        <v>3091</v>
      </c>
      <c r="D168" s="2109" t="s">
        <v>4139</v>
      </c>
      <c r="E168" s="2848" t="s">
        <v>4140</v>
      </c>
      <c r="F168" s="2827"/>
      <c r="G168" s="2843" t="s">
        <v>3884</v>
      </c>
      <c r="H168" s="2844">
        <f>INDEX('Fringe Data'!$K$8:$K$112,MATCH(G168,'Fringe Data'!$F$8:$F$112,0))</f>
        <v>0.38250000000000001</v>
      </c>
      <c r="I168" s="2854">
        <f>INDEX('Fringe Data'!$S$8:$S$112,MATCH(G168,'Fringe Data'!$F$8:$F$112,0))</f>
        <v>0</v>
      </c>
      <c r="J168" s="1700" t="s">
        <v>2</v>
      </c>
      <c r="K168" s="2846" t="s">
        <v>3541</v>
      </c>
      <c r="L168" s="559">
        <f>IF(ISERROR(MATCH(K168,'IPCS Data'!$AA$7:$AA$110,0)),1,0)</f>
        <v>0</v>
      </c>
      <c r="M168" s="2847"/>
      <c r="N168" s="402"/>
    </row>
    <row r="169" spans="2:14" s="1292" customFormat="1" x14ac:dyDescent="0.25">
      <c r="B169" s="2109" t="s">
        <v>3604</v>
      </c>
      <c r="C169" s="2109" t="s">
        <v>3091</v>
      </c>
      <c r="D169" s="2109" t="s">
        <v>4141</v>
      </c>
      <c r="E169" s="2848" t="s">
        <v>4142</v>
      </c>
      <c r="F169" s="2827"/>
      <c r="G169" s="2843" t="s">
        <v>3884</v>
      </c>
      <c r="H169" s="2844">
        <f>INDEX('Fringe Data'!$K$8:$K$112,MATCH(G169,'Fringe Data'!$F$8:$F$112,0))</f>
        <v>0.38250000000000001</v>
      </c>
      <c r="I169" s="2854">
        <f>INDEX('Fringe Data'!$S$8:$S$112,MATCH(G169,'Fringe Data'!$F$8:$F$112,0))</f>
        <v>0</v>
      </c>
      <c r="J169" s="1700" t="s">
        <v>2</v>
      </c>
      <c r="K169" s="2846" t="s">
        <v>3541</v>
      </c>
      <c r="L169" s="559">
        <f>IF(ISERROR(MATCH(K169,'IPCS Data'!$AA$7:$AA$110,0)),1,0)</f>
        <v>0</v>
      </c>
      <c r="M169" s="2847"/>
      <c r="N169" s="402"/>
    </row>
    <row r="170" spans="2:14" s="1292" customFormat="1" x14ac:dyDescent="0.25">
      <c r="B170" s="2109" t="s">
        <v>3604</v>
      </c>
      <c r="C170" s="2109" t="s">
        <v>3092</v>
      </c>
      <c r="D170" s="2109" t="s">
        <v>4143</v>
      </c>
      <c r="E170" s="2848" t="s">
        <v>3093</v>
      </c>
      <c r="F170" s="2827"/>
      <c r="G170" s="2843" t="s">
        <v>3884</v>
      </c>
      <c r="H170" s="2844">
        <f>INDEX('Fringe Data'!$K$8:$K$112,MATCH(G170,'Fringe Data'!$F$8:$F$112,0))</f>
        <v>0.38250000000000001</v>
      </c>
      <c r="I170" s="2854">
        <f>INDEX('Fringe Data'!$S$8:$S$112,MATCH(G170,'Fringe Data'!$F$8:$F$112,0))</f>
        <v>0</v>
      </c>
      <c r="J170" s="1700" t="s">
        <v>2</v>
      </c>
      <c r="K170" s="2846" t="s">
        <v>3542</v>
      </c>
      <c r="L170" s="559">
        <f>IF(ISERROR(MATCH(K170,'IPCS Data'!$AA$7:$AA$110,0)),1,0)</f>
        <v>0</v>
      </c>
      <c r="M170" s="2847"/>
      <c r="N170" s="402"/>
    </row>
    <row r="171" spans="2:14" s="1292" customFormat="1" ht="13.8" thickBot="1" x14ac:dyDescent="0.3">
      <c r="B171" s="2110" t="s">
        <v>3604</v>
      </c>
      <c r="C171" s="2110" t="s">
        <v>3092</v>
      </c>
      <c r="D171" s="2110" t="s">
        <v>4144</v>
      </c>
      <c r="E171" s="2850" t="s">
        <v>3094</v>
      </c>
      <c r="F171" s="2827"/>
      <c r="G171" s="2843" t="s">
        <v>3884</v>
      </c>
      <c r="H171" s="2844">
        <f>INDEX('Fringe Data'!$K$8:$K$112,MATCH(G171,'Fringe Data'!$F$8:$F$112,0))</f>
        <v>0.38250000000000001</v>
      </c>
      <c r="I171" s="2854">
        <f>INDEX('Fringe Data'!$S$8:$S$112,MATCH(G171,'Fringe Data'!$F$8:$F$112,0))</f>
        <v>0</v>
      </c>
      <c r="J171" s="1700" t="s">
        <v>2</v>
      </c>
      <c r="K171" s="2846" t="s">
        <v>3542</v>
      </c>
      <c r="L171" s="559">
        <f>IF(ISERROR(MATCH(K171,'IPCS Data'!$AA$7:$AA$110,0)),1,0)</f>
        <v>0</v>
      </c>
      <c r="M171" s="2847"/>
      <c r="N171" s="402"/>
    </row>
    <row r="172" spans="2:14" s="1292" customFormat="1" ht="22.8" thickBot="1" x14ac:dyDescent="0.3">
      <c r="B172" s="2829" t="s">
        <v>837</v>
      </c>
      <c r="C172" s="2830" t="s">
        <v>3544</v>
      </c>
      <c r="D172" s="2830" t="s">
        <v>359</v>
      </c>
      <c r="E172" s="2831" t="s">
        <v>3545</v>
      </c>
      <c r="F172" s="2827"/>
      <c r="G172" s="2832" t="s">
        <v>3546</v>
      </c>
      <c r="H172" s="2833" t="s">
        <v>3547</v>
      </c>
      <c r="I172" s="2954" t="s">
        <v>3548</v>
      </c>
      <c r="J172" s="2834" t="s">
        <v>3549</v>
      </c>
      <c r="K172" s="2835" t="s">
        <v>3525</v>
      </c>
      <c r="L172" s="2835"/>
      <c r="M172" s="2836" t="s">
        <v>3550</v>
      </c>
      <c r="N172" s="402"/>
    </row>
    <row r="173" spans="2:14" s="1292" customFormat="1" x14ac:dyDescent="0.25">
      <c r="B173" s="2111" t="s">
        <v>3604</v>
      </c>
      <c r="C173" s="2111" t="s">
        <v>3095</v>
      </c>
      <c r="D173" s="2111" t="s">
        <v>3096</v>
      </c>
      <c r="E173" s="2841" t="s">
        <v>3097</v>
      </c>
      <c r="F173" s="2827"/>
      <c r="G173" s="2843" t="s">
        <v>348</v>
      </c>
      <c r="H173" s="2844">
        <f>INDEX('Fringe Data'!$K$8:$K$112,MATCH(G173,'Fringe Data'!$F$8:$F$112,0))</f>
        <v>0.8</v>
      </c>
      <c r="I173" s="2854">
        <f>INDEX('Fringe Data'!$S$8:$S$112,MATCH(G173,'Fringe Data'!$F$8:$F$112,0))</f>
        <v>1.8</v>
      </c>
      <c r="J173" s="1700" t="s">
        <v>43</v>
      </c>
      <c r="K173" s="2846" t="s">
        <v>4161</v>
      </c>
      <c r="L173" s="559">
        <f>IF(ISERROR(MATCH(K173,'IPCS Data'!$AA$7:$AA$110,0)),1,0)</f>
        <v>0</v>
      </c>
      <c r="M173" s="2847"/>
      <c r="N173" s="402"/>
    </row>
    <row r="174" spans="2:14" s="1292" customFormat="1" x14ac:dyDescent="0.25">
      <c r="B174" s="2109" t="s">
        <v>3604</v>
      </c>
      <c r="C174" s="2109" t="s">
        <v>3095</v>
      </c>
      <c r="D174" s="2109" t="s">
        <v>3098</v>
      </c>
      <c r="E174" s="2848" t="s">
        <v>3099</v>
      </c>
      <c r="F174" s="2827"/>
      <c r="G174" s="2843" t="s">
        <v>348</v>
      </c>
      <c r="H174" s="2844">
        <f>INDEX('Fringe Data'!$K$8:$K$112,MATCH(G174,'Fringe Data'!$F$8:$F$112,0))</f>
        <v>0.8</v>
      </c>
      <c r="I174" s="2854">
        <f>INDEX('Fringe Data'!$S$8:$S$112,MATCH(G174,'Fringe Data'!$F$8:$F$112,0))</f>
        <v>1.8</v>
      </c>
      <c r="J174" s="1700" t="s">
        <v>43</v>
      </c>
      <c r="K174" s="2846" t="s">
        <v>4161</v>
      </c>
      <c r="L174" s="559">
        <f>IF(ISERROR(MATCH(K174,'IPCS Data'!$AA$7:$AA$110,0)),1,0)</f>
        <v>0</v>
      </c>
      <c r="M174" s="2847"/>
      <c r="N174" s="402"/>
    </row>
    <row r="175" spans="2:14" s="1292" customFormat="1" x14ac:dyDescent="0.25">
      <c r="B175" s="2109" t="s">
        <v>3604</v>
      </c>
      <c r="C175" s="2109" t="s">
        <v>3095</v>
      </c>
      <c r="D175" s="2109" t="s">
        <v>3100</v>
      </c>
      <c r="E175" s="2848" t="s">
        <v>3101</v>
      </c>
      <c r="F175" s="2827"/>
      <c r="G175" s="2843" t="s">
        <v>4221</v>
      </c>
      <c r="H175" s="2844">
        <f>INDEX('Fringe Data'!$K$8:$K$112,MATCH(G175,'Fringe Data'!$F$8:$F$112,0))</f>
        <v>0.5</v>
      </c>
      <c r="I175" s="2854">
        <f>INDEX('Fringe Data'!$S$8:$S$112,MATCH(G175,'Fringe Data'!$F$8:$F$112,0))</f>
        <v>1.73</v>
      </c>
      <c r="J175" s="1700" t="s">
        <v>44</v>
      </c>
      <c r="K175" s="2846" t="s">
        <v>4161</v>
      </c>
      <c r="L175" s="559">
        <f>IF(ISERROR(MATCH(K175,'IPCS Data'!$AA$7:$AA$110,0)),1,0)</f>
        <v>0</v>
      </c>
      <c r="M175" s="2847"/>
      <c r="N175" s="402"/>
    </row>
    <row r="176" spans="2:14" s="1292" customFormat="1" x14ac:dyDescent="0.25">
      <c r="B176" s="2109" t="s">
        <v>3604</v>
      </c>
      <c r="C176" s="2109" t="s">
        <v>3095</v>
      </c>
      <c r="D176" s="2109" t="s">
        <v>3102</v>
      </c>
      <c r="E176" s="2848" t="s">
        <v>3103</v>
      </c>
      <c r="F176" s="2827"/>
      <c r="G176" s="2843" t="s">
        <v>357</v>
      </c>
      <c r="H176" s="2844">
        <f>INDEX('Fringe Data'!$K$8:$K$112,MATCH(G176,'Fringe Data'!$F$8:$F$112,0))</f>
        <v>0.45500000000000002</v>
      </c>
      <c r="I176" s="2854">
        <f>INDEX('Fringe Data'!$S$8:$S$112,MATCH(G176,'Fringe Data'!$F$8:$F$112,0))</f>
        <v>2.54</v>
      </c>
      <c r="J176" s="1700" t="s">
        <v>43</v>
      </c>
      <c r="K176" s="2846" t="s">
        <v>4161</v>
      </c>
      <c r="L176" s="559">
        <f>IF(ISERROR(MATCH(K176,'IPCS Data'!$AA$7:$AA$110,0)),1,0)</f>
        <v>0</v>
      </c>
      <c r="M176" s="2847"/>
      <c r="N176" s="402"/>
    </row>
    <row r="177" spans="2:14" s="1292" customFormat="1" x14ac:dyDescent="0.25">
      <c r="B177" s="2109" t="s">
        <v>3604</v>
      </c>
      <c r="C177" s="2109" t="s">
        <v>3095</v>
      </c>
      <c r="D177" s="2109" t="s">
        <v>3104</v>
      </c>
      <c r="E177" s="2848" t="s">
        <v>3105</v>
      </c>
      <c r="F177" s="2827"/>
      <c r="G177" s="2843" t="s">
        <v>357</v>
      </c>
      <c r="H177" s="2844">
        <f>INDEX('Fringe Data'!$K$8:$K$112,MATCH(G177,'Fringe Data'!$F$8:$F$112,0))</f>
        <v>0.45500000000000002</v>
      </c>
      <c r="I177" s="2854">
        <f>INDEX('Fringe Data'!$S$8:$S$112,MATCH(G177,'Fringe Data'!$F$8:$F$112,0))</f>
        <v>2.54</v>
      </c>
      <c r="J177" s="1700" t="s">
        <v>43</v>
      </c>
      <c r="K177" s="2846" t="s">
        <v>4161</v>
      </c>
      <c r="L177" s="559">
        <f>IF(ISERROR(MATCH(K177,'IPCS Data'!$AA$7:$AA$110,0)),1,0)</f>
        <v>0</v>
      </c>
      <c r="M177" s="2847"/>
      <c r="N177" s="402"/>
    </row>
    <row r="178" spans="2:14" s="1292" customFormat="1" x14ac:dyDescent="0.25">
      <c r="B178" s="2109" t="s">
        <v>3604</v>
      </c>
      <c r="C178" s="2109" t="s">
        <v>3095</v>
      </c>
      <c r="D178" s="2109" t="s">
        <v>3106</v>
      </c>
      <c r="E178" s="2848" t="s">
        <v>3107</v>
      </c>
      <c r="F178" s="2827"/>
      <c r="G178" s="2843" t="s">
        <v>357</v>
      </c>
      <c r="H178" s="2844">
        <f>INDEX('Fringe Data'!$K$8:$K$112,MATCH(G178,'Fringe Data'!$F$8:$F$112,0))</f>
        <v>0.45500000000000002</v>
      </c>
      <c r="I178" s="2854">
        <f>INDEX('Fringe Data'!$S$8:$S$112,MATCH(G178,'Fringe Data'!$F$8:$F$112,0))</f>
        <v>2.54</v>
      </c>
      <c r="J178" s="1700" t="s">
        <v>43</v>
      </c>
      <c r="K178" s="2846" t="s">
        <v>4161</v>
      </c>
      <c r="L178" s="559">
        <f>IF(ISERROR(MATCH(K178,'IPCS Data'!$AA$7:$AA$110,0)),1,0)</f>
        <v>0</v>
      </c>
      <c r="M178" s="2847"/>
      <c r="N178" s="402"/>
    </row>
    <row r="179" spans="2:14" s="1292" customFormat="1" x14ac:dyDescent="0.25">
      <c r="B179" s="2109" t="s">
        <v>3604</v>
      </c>
      <c r="C179" s="2109" t="s">
        <v>3095</v>
      </c>
      <c r="D179" s="2109" t="s">
        <v>3108</v>
      </c>
      <c r="E179" s="2848" t="s">
        <v>3109</v>
      </c>
      <c r="F179" s="2827"/>
      <c r="G179" s="2843" t="s">
        <v>357</v>
      </c>
      <c r="H179" s="2844">
        <f>INDEX('Fringe Data'!$K$8:$K$112,MATCH(G179,'Fringe Data'!$F$8:$F$112,0))</f>
        <v>0.45500000000000002</v>
      </c>
      <c r="I179" s="2854">
        <f>INDEX('Fringe Data'!$S$8:$S$112,MATCH(G179,'Fringe Data'!$F$8:$F$112,0))</f>
        <v>2.54</v>
      </c>
      <c r="J179" s="1700" t="s">
        <v>43</v>
      </c>
      <c r="K179" s="2846" t="s">
        <v>4161</v>
      </c>
      <c r="L179" s="559">
        <f>IF(ISERROR(MATCH(K179,'IPCS Data'!$AA$7:$AA$110,0)),1,0)</f>
        <v>0</v>
      </c>
      <c r="M179" s="2847"/>
      <c r="N179" s="402"/>
    </row>
    <row r="180" spans="2:14" s="1292" customFormat="1" x14ac:dyDescent="0.25">
      <c r="B180" s="2109" t="s">
        <v>3604</v>
      </c>
      <c r="C180" s="2109" t="s">
        <v>3095</v>
      </c>
      <c r="D180" s="2109" t="s">
        <v>3110</v>
      </c>
      <c r="E180" s="2848" t="s">
        <v>3111</v>
      </c>
      <c r="F180" s="2827"/>
      <c r="G180" s="2843" t="s">
        <v>445</v>
      </c>
      <c r="H180" s="2844">
        <f>INDEX('Fringe Data'!$K$8:$K$112,MATCH(G180,'Fringe Data'!$F$8:$F$112,0))</f>
        <v>1</v>
      </c>
      <c r="I180" s="2854">
        <f>INDEX('Fringe Data'!$S$8:$S$112,MATCH(G180,'Fringe Data'!$F$8:$F$112,0))</f>
        <v>3.6</v>
      </c>
      <c r="J180" s="1700" t="s">
        <v>43</v>
      </c>
      <c r="K180" s="2846" t="s">
        <v>4161</v>
      </c>
      <c r="L180" s="559">
        <f>IF(ISERROR(MATCH(K180,'IPCS Data'!$AA$7:$AA$110,0)),1,0)</f>
        <v>0</v>
      </c>
      <c r="M180" s="2847"/>
      <c r="N180" s="402"/>
    </row>
    <row r="181" spans="2:14" s="1292" customFormat="1" x14ac:dyDescent="0.25">
      <c r="B181" s="2109" t="s">
        <v>3604</v>
      </c>
      <c r="C181" s="2109" t="s">
        <v>3095</v>
      </c>
      <c r="D181" s="2109" t="s">
        <v>3112</v>
      </c>
      <c r="E181" s="2848" t="s">
        <v>3113</v>
      </c>
      <c r="F181" s="2827"/>
      <c r="G181" s="2843" t="s">
        <v>445</v>
      </c>
      <c r="H181" s="2844">
        <f>INDEX('Fringe Data'!$K$8:$K$112,MATCH(G181,'Fringe Data'!$F$8:$F$112,0))</f>
        <v>1</v>
      </c>
      <c r="I181" s="2854">
        <f>INDEX('Fringe Data'!$S$8:$S$112,MATCH(G181,'Fringe Data'!$F$8:$F$112,0))</f>
        <v>3.6</v>
      </c>
      <c r="J181" s="1700" t="s">
        <v>407</v>
      </c>
      <c r="K181" s="2846" t="s">
        <v>4161</v>
      </c>
      <c r="L181" s="559">
        <f>IF(ISERROR(MATCH(K181,'IPCS Data'!$AA$7:$AA$110,0)),1,0)</f>
        <v>0</v>
      </c>
      <c r="M181" s="2847"/>
      <c r="N181" s="402"/>
    </row>
    <row r="182" spans="2:14" s="1292" customFormat="1" x14ac:dyDescent="0.25">
      <c r="B182" s="2109" t="s">
        <v>3604</v>
      </c>
      <c r="C182" s="2109" t="s">
        <v>3095</v>
      </c>
      <c r="D182" s="2109" t="s">
        <v>3114</v>
      </c>
      <c r="E182" s="2848" t="s">
        <v>3115</v>
      </c>
      <c r="F182" s="2827"/>
      <c r="G182" s="2843" t="s">
        <v>487</v>
      </c>
      <c r="H182" s="2844">
        <f>INDEX('Fringe Data'!$K$8:$K$112,MATCH(G182,'Fringe Data'!$F$8:$F$112,0))</f>
        <v>0.57999999999999996</v>
      </c>
      <c r="I182" s="2854">
        <f>INDEX('Fringe Data'!$S$8:$S$112,MATCH(G182,'Fringe Data'!$F$8:$F$112,0))</f>
        <v>3.6</v>
      </c>
      <c r="J182" s="1700" t="s">
        <v>43</v>
      </c>
      <c r="K182" s="2846" t="s">
        <v>4161</v>
      </c>
      <c r="L182" s="559">
        <f>IF(ISERROR(MATCH(K182,'IPCS Data'!$AA$7:$AA$110,0)),1,0)</f>
        <v>0</v>
      </c>
      <c r="M182" s="2847"/>
      <c r="N182" s="402"/>
    </row>
    <row r="183" spans="2:14" s="1292" customFormat="1" ht="13.8" thickBot="1" x14ac:dyDescent="0.3">
      <c r="B183" s="2109" t="s">
        <v>3604</v>
      </c>
      <c r="C183" s="2109" t="s">
        <v>3095</v>
      </c>
      <c r="D183" s="2109" t="s">
        <v>3116</v>
      </c>
      <c r="E183" s="2848" t="s">
        <v>3117</v>
      </c>
      <c r="F183" s="2827"/>
      <c r="G183" s="2843" t="s">
        <v>350</v>
      </c>
      <c r="H183" s="2844">
        <f>INDEX('Fringe Data'!$K$8:$K$112,MATCH(G183,'Fringe Data'!$F$8:$F$112,0))</f>
        <v>0.49059999999999998</v>
      </c>
      <c r="I183" s="2854">
        <f>INDEX('Fringe Data'!$S$8:$S$112,MATCH(G183,'Fringe Data'!$F$8:$F$112,0))</f>
        <v>2</v>
      </c>
      <c r="J183" s="1700" t="s">
        <v>355</v>
      </c>
      <c r="K183" s="2846" t="s">
        <v>4161</v>
      </c>
      <c r="L183" s="559">
        <f>IF(ISERROR(MATCH(K183,'IPCS Data'!$AA$7:$AA$110,0)),1,0)</f>
        <v>0</v>
      </c>
      <c r="M183" s="2847"/>
      <c r="N183" s="402"/>
    </row>
    <row r="184" spans="2:14" s="1292" customFormat="1" ht="22.8" thickBot="1" x14ac:dyDescent="0.3">
      <c r="B184" s="2829" t="s">
        <v>837</v>
      </c>
      <c r="C184" s="2830" t="s">
        <v>3544</v>
      </c>
      <c r="D184" s="2830" t="s">
        <v>359</v>
      </c>
      <c r="E184" s="2831" t="s">
        <v>3545</v>
      </c>
      <c r="F184" s="2827"/>
      <c r="G184" s="2832" t="s">
        <v>3546</v>
      </c>
      <c r="H184" s="2833" t="s">
        <v>3547</v>
      </c>
      <c r="I184" s="2954" t="s">
        <v>3548</v>
      </c>
      <c r="J184" s="2834" t="s">
        <v>3549</v>
      </c>
      <c r="K184" s="2835" t="s">
        <v>3525</v>
      </c>
      <c r="L184" s="2835"/>
      <c r="M184" s="2836" t="s">
        <v>3550</v>
      </c>
      <c r="N184" s="402"/>
    </row>
    <row r="185" spans="2:14" s="1292" customFormat="1" x14ac:dyDescent="0.25">
      <c r="B185" s="2109" t="s">
        <v>3604</v>
      </c>
      <c r="C185" s="2109" t="s">
        <v>3118</v>
      </c>
      <c r="D185" s="2109" t="s">
        <v>3119</v>
      </c>
      <c r="E185" s="2848" t="s">
        <v>3120</v>
      </c>
      <c r="F185" s="2827"/>
      <c r="G185" s="2843" t="s">
        <v>4175</v>
      </c>
      <c r="H185" s="2844">
        <f>INDEX('Fringe Data'!$K$8:$K$112,MATCH(G185,'Fringe Data'!$F$8:$F$112,0))</f>
        <v>0.315</v>
      </c>
      <c r="I185" s="2854">
        <f>INDEX('Fringe Data'!$S$8:$S$112,MATCH(G185,'Fringe Data'!$F$8:$F$112,0))</f>
        <v>3</v>
      </c>
      <c r="J185" s="1700" t="s">
        <v>2</v>
      </c>
      <c r="K185" s="2846" t="s">
        <v>4162</v>
      </c>
      <c r="L185" s="559">
        <f>IF(ISERROR(MATCH(K185,'IPCS Data'!$AA$7:$AA$110,0)),1,0)</f>
        <v>0</v>
      </c>
      <c r="M185" s="2847"/>
      <c r="N185" s="402"/>
    </row>
    <row r="186" spans="2:14" s="1292" customFormat="1" x14ac:dyDescent="0.25">
      <c r="B186" s="2109" t="s">
        <v>3604</v>
      </c>
      <c r="C186" s="2109" t="s">
        <v>3118</v>
      </c>
      <c r="D186" s="2109" t="s">
        <v>3121</v>
      </c>
      <c r="E186" s="2848" t="s">
        <v>3122</v>
      </c>
      <c r="F186" s="2827"/>
      <c r="G186" s="2843" t="s">
        <v>4175</v>
      </c>
      <c r="H186" s="2844">
        <f>INDEX('Fringe Data'!$K$8:$K$112,MATCH(G186,'Fringe Data'!$F$8:$F$112,0))</f>
        <v>0.315</v>
      </c>
      <c r="I186" s="2854">
        <f>INDEX('Fringe Data'!$S$8:$S$112,MATCH(G186,'Fringe Data'!$F$8:$F$112,0))</f>
        <v>3</v>
      </c>
      <c r="J186" s="1700" t="s">
        <v>2</v>
      </c>
      <c r="K186" s="2846" t="s">
        <v>4162</v>
      </c>
      <c r="L186" s="559">
        <f>IF(ISERROR(MATCH(K186,'IPCS Data'!$AA$7:$AA$110,0)),1,0)</f>
        <v>0</v>
      </c>
      <c r="M186" s="2847"/>
      <c r="N186" s="402"/>
    </row>
    <row r="187" spans="2:14" s="1292" customFormat="1" x14ac:dyDescent="0.25">
      <c r="B187" s="2109" t="s">
        <v>3604</v>
      </c>
      <c r="C187" s="2109" t="s">
        <v>3118</v>
      </c>
      <c r="D187" s="2109" t="s">
        <v>3123</v>
      </c>
      <c r="E187" s="2848" t="s">
        <v>3124</v>
      </c>
      <c r="F187" s="2827"/>
      <c r="G187" s="2843" t="s">
        <v>4175</v>
      </c>
      <c r="H187" s="2844">
        <f>INDEX('Fringe Data'!$K$8:$K$112,MATCH(G187,'Fringe Data'!$F$8:$F$112,0))</f>
        <v>0.315</v>
      </c>
      <c r="I187" s="2854">
        <f>INDEX('Fringe Data'!$S$8:$S$112,MATCH(G187,'Fringe Data'!$F$8:$F$112,0))</f>
        <v>3</v>
      </c>
      <c r="J187" s="1700" t="s">
        <v>2</v>
      </c>
      <c r="K187" s="2846" t="s">
        <v>4162</v>
      </c>
      <c r="L187" s="559">
        <f>IF(ISERROR(MATCH(K187,'IPCS Data'!$AA$7:$AA$110,0)),1,0)</f>
        <v>0</v>
      </c>
      <c r="M187" s="2847"/>
      <c r="N187" s="402"/>
    </row>
    <row r="188" spans="2:14" s="1292" customFormat="1" ht="13.8" thickBot="1" x14ac:dyDescent="0.3">
      <c r="B188" s="2109" t="s">
        <v>3604</v>
      </c>
      <c r="C188" s="2109" t="s">
        <v>3118</v>
      </c>
      <c r="D188" s="2109" t="s">
        <v>3125</v>
      </c>
      <c r="E188" s="2848" t="s">
        <v>3126</v>
      </c>
      <c r="F188" s="2827"/>
      <c r="G188" s="2843" t="s">
        <v>4175</v>
      </c>
      <c r="H188" s="2844">
        <f>INDEX('Fringe Data'!$K$8:$K$112,MATCH(G188,'Fringe Data'!$F$8:$F$112,0))</f>
        <v>0.315</v>
      </c>
      <c r="I188" s="2854">
        <f>INDEX('Fringe Data'!$S$8:$S$112,MATCH(G188,'Fringe Data'!$F$8:$F$112,0))</f>
        <v>3</v>
      </c>
      <c r="J188" s="1700" t="s">
        <v>2</v>
      </c>
      <c r="K188" s="2846" t="s">
        <v>4162</v>
      </c>
      <c r="L188" s="559">
        <f>IF(ISERROR(MATCH(K188,'IPCS Data'!$AA$7:$AA$110,0)),1,0)</f>
        <v>0</v>
      </c>
      <c r="M188" s="2847"/>
      <c r="N188" s="402"/>
    </row>
    <row r="189" spans="2:14" s="1292" customFormat="1" ht="22.8" thickBot="1" x14ac:dyDescent="0.3">
      <c r="B189" s="2829" t="s">
        <v>837</v>
      </c>
      <c r="C189" s="2830" t="s">
        <v>3544</v>
      </c>
      <c r="D189" s="2830" t="s">
        <v>359</v>
      </c>
      <c r="E189" s="2831" t="s">
        <v>3545</v>
      </c>
      <c r="F189" s="2827"/>
      <c r="G189" s="2832" t="s">
        <v>3546</v>
      </c>
      <c r="H189" s="2833" t="s">
        <v>3547</v>
      </c>
      <c r="I189" s="2954" t="s">
        <v>3548</v>
      </c>
      <c r="J189" s="2834" t="s">
        <v>3549</v>
      </c>
      <c r="K189" s="2835" t="s">
        <v>3525</v>
      </c>
      <c r="L189" s="2835"/>
      <c r="M189" s="2836" t="s">
        <v>3550</v>
      </c>
      <c r="N189" s="402"/>
    </row>
    <row r="190" spans="2:14" s="1292" customFormat="1" x14ac:dyDescent="0.25">
      <c r="B190" s="2109" t="s">
        <v>3604</v>
      </c>
      <c r="C190" s="2109" t="s">
        <v>3141</v>
      </c>
      <c r="D190" s="2109" t="s">
        <v>3127</v>
      </c>
      <c r="E190" s="2848" t="s">
        <v>3128</v>
      </c>
      <c r="F190" s="2827"/>
      <c r="G190" s="2843" t="s">
        <v>38</v>
      </c>
      <c r="H190" s="2844">
        <f>INDEX('Fringe Data'!$K$8:$K$112,MATCH(G190,'Fringe Data'!$F$8:$F$112,0))</f>
        <v>0.33300000000000002</v>
      </c>
      <c r="I190" s="2854">
        <f>INDEX('Fringe Data'!$S$8:$S$112,MATCH(G190,'Fringe Data'!$F$8:$F$112,0))</f>
        <v>80</v>
      </c>
      <c r="J190" s="1700" t="s">
        <v>352</v>
      </c>
      <c r="K190" s="2846" t="s">
        <v>4163</v>
      </c>
      <c r="L190" s="559">
        <f>IF(ISERROR(MATCH(K190,'IPCS Data'!$AA$7:$AA$110,0)),1,0)</f>
        <v>0</v>
      </c>
      <c r="M190" s="2847"/>
      <c r="N190" s="402"/>
    </row>
    <row r="191" spans="2:14" s="1292" customFormat="1" x14ac:dyDescent="0.25">
      <c r="B191" s="2109" t="s">
        <v>3604</v>
      </c>
      <c r="C191" s="2109" t="s">
        <v>3141</v>
      </c>
      <c r="D191" s="2109" t="s">
        <v>3129</v>
      </c>
      <c r="E191" s="2848" t="s">
        <v>3130</v>
      </c>
      <c r="F191" s="2827"/>
      <c r="G191" s="2843" t="s">
        <v>38</v>
      </c>
      <c r="H191" s="2844">
        <f>INDEX('Fringe Data'!$K$8:$K$112,MATCH(G191,'Fringe Data'!$F$8:$F$112,0))</f>
        <v>0.33300000000000002</v>
      </c>
      <c r="I191" s="2854">
        <f>INDEX('Fringe Data'!$S$8:$S$112,MATCH(G191,'Fringe Data'!$F$8:$F$112,0))</f>
        <v>80</v>
      </c>
      <c r="J191" s="1700" t="s">
        <v>352</v>
      </c>
      <c r="K191" s="2846" t="s">
        <v>4163</v>
      </c>
      <c r="L191" s="559">
        <f>IF(ISERROR(MATCH(K191,'IPCS Data'!$AA$7:$AA$110,0)),1,0)</f>
        <v>0</v>
      </c>
      <c r="M191" s="2847"/>
      <c r="N191" s="2839"/>
    </row>
    <row r="192" spans="2:14" s="1292" customFormat="1" x14ac:dyDescent="0.25">
      <c r="B192" s="2109" t="s">
        <v>3604</v>
      </c>
      <c r="C192" s="2109" t="s">
        <v>3141</v>
      </c>
      <c r="D192" s="2109" t="s">
        <v>3131</v>
      </c>
      <c r="E192" s="2848" t="s">
        <v>3132</v>
      </c>
      <c r="F192" s="2827"/>
      <c r="G192" s="2843" t="s">
        <v>38</v>
      </c>
      <c r="H192" s="2844">
        <f>INDEX('Fringe Data'!$K$8:$K$112,MATCH(G192,'Fringe Data'!$F$8:$F$112,0))</f>
        <v>0.33300000000000002</v>
      </c>
      <c r="I192" s="2854">
        <f>INDEX('Fringe Data'!$S$8:$S$112,MATCH(G192,'Fringe Data'!$F$8:$F$112,0))</f>
        <v>80</v>
      </c>
      <c r="J192" s="1700" t="s">
        <v>352</v>
      </c>
      <c r="K192" s="2846" t="s">
        <v>4163</v>
      </c>
      <c r="L192" s="559">
        <f>IF(ISERROR(MATCH(K192,'IPCS Data'!$AA$7:$AA$110,0)),1,0)</f>
        <v>0</v>
      </c>
      <c r="M192" s="2847"/>
      <c r="N192" s="2839"/>
    </row>
    <row r="193" spans="2:14" s="1292" customFormat="1" x14ac:dyDescent="0.25">
      <c r="B193" s="2109" t="s">
        <v>3604</v>
      </c>
      <c r="C193" s="2109" t="s">
        <v>3141</v>
      </c>
      <c r="D193" s="2109" t="s">
        <v>3133</v>
      </c>
      <c r="E193" s="2848" t="s">
        <v>3134</v>
      </c>
      <c r="F193" s="2827"/>
      <c r="G193" s="2843" t="s">
        <v>38</v>
      </c>
      <c r="H193" s="2844">
        <f>INDEX('Fringe Data'!$K$8:$K$112,MATCH(G193,'Fringe Data'!$F$8:$F$112,0))</f>
        <v>0.33300000000000002</v>
      </c>
      <c r="I193" s="2854">
        <f>INDEX('Fringe Data'!$S$8:$S$112,MATCH(G193,'Fringe Data'!$F$8:$F$112,0))</f>
        <v>80</v>
      </c>
      <c r="J193" s="1700" t="s">
        <v>352</v>
      </c>
      <c r="K193" s="2846" t="s">
        <v>4163</v>
      </c>
      <c r="L193" s="559">
        <f>IF(ISERROR(MATCH(K193,'IPCS Data'!$AA$7:$AA$110,0)),1,0)</f>
        <v>0</v>
      </c>
      <c r="M193" s="2847"/>
      <c r="N193" s="2839"/>
    </row>
    <row r="194" spans="2:14" s="1292" customFormat="1" x14ac:dyDescent="0.25">
      <c r="B194" s="2109" t="s">
        <v>3604</v>
      </c>
      <c r="C194" s="2109" t="s">
        <v>3141</v>
      </c>
      <c r="D194" s="2109" t="s">
        <v>3135</v>
      </c>
      <c r="E194" s="2848" t="s">
        <v>3136</v>
      </c>
      <c r="F194" s="2827"/>
      <c r="G194" s="2843" t="s">
        <v>49</v>
      </c>
      <c r="H194" s="2844">
        <f>INDEX('Fringe Data'!$K$8:$K$112,MATCH(G194,'Fringe Data'!$F$8:$F$112,0))</f>
        <v>0.41049999999999998</v>
      </c>
      <c r="I194" s="2854">
        <f>INDEX('Fringe Data'!$S$8:$S$112,MATCH(G194,'Fringe Data'!$F$8:$F$112,0))</f>
        <v>2.4300000000000002</v>
      </c>
      <c r="J194" s="1700" t="s">
        <v>48</v>
      </c>
      <c r="K194" s="2846" t="s">
        <v>4163</v>
      </c>
      <c r="L194" s="559">
        <f>IF(ISERROR(MATCH(K194,'IPCS Data'!$AA$7:$AA$110,0)),1,0)</f>
        <v>0</v>
      </c>
      <c r="M194" s="2847"/>
      <c r="N194" s="2839"/>
    </row>
    <row r="195" spans="2:14" s="1292" customFormat="1" x14ac:dyDescent="0.25">
      <c r="B195" s="2109" t="s">
        <v>3604</v>
      </c>
      <c r="C195" s="2109" t="s">
        <v>3141</v>
      </c>
      <c r="D195" s="2109" t="s">
        <v>3137</v>
      </c>
      <c r="E195" s="2848" t="s">
        <v>3138</v>
      </c>
      <c r="F195" s="2827"/>
      <c r="G195" s="2843" t="s">
        <v>49</v>
      </c>
      <c r="H195" s="2844">
        <f>INDEX('Fringe Data'!$K$8:$K$112,MATCH(G195,'Fringe Data'!$F$8:$F$112,0))</f>
        <v>0.41049999999999998</v>
      </c>
      <c r="I195" s="2854">
        <f>INDEX('Fringe Data'!$S$8:$S$112,MATCH(G195,'Fringe Data'!$F$8:$F$112,0))</f>
        <v>2.4300000000000002</v>
      </c>
      <c r="J195" s="1700" t="s">
        <v>48</v>
      </c>
      <c r="K195" s="2846" t="s">
        <v>4163</v>
      </c>
      <c r="L195" s="559">
        <f>IF(ISERROR(MATCH(K195,'IPCS Data'!$AA$7:$AA$110,0)),1,0)</f>
        <v>0</v>
      </c>
      <c r="M195" s="2847"/>
      <c r="N195" s="2839"/>
    </row>
    <row r="196" spans="2:14" s="1292" customFormat="1" ht="13.8" thickBot="1" x14ac:dyDescent="0.3">
      <c r="B196" s="2109" t="s">
        <v>3604</v>
      </c>
      <c r="C196" s="2109" t="s">
        <v>3141</v>
      </c>
      <c r="D196" s="2109" t="s">
        <v>3139</v>
      </c>
      <c r="E196" s="2848" t="s">
        <v>3140</v>
      </c>
      <c r="F196" s="2827"/>
      <c r="G196" s="2843" t="s">
        <v>49</v>
      </c>
      <c r="H196" s="2844">
        <f>INDEX('Fringe Data'!$K$8:$K$112,MATCH(G196,'Fringe Data'!$F$8:$F$112,0))</f>
        <v>0.41049999999999998</v>
      </c>
      <c r="I196" s="2854">
        <f>INDEX('Fringe Data'!$S$8:$S$112,MATCH(G196,'Fringe Data'!$F$8:$F$112,0))</f>
        <v>2.4300000000000002</v>
      </c>
      <c r="J196" s="1700" t="s">
        <v>48</v>
      </c>
      <c r="K196" s="2846" t="s">
        <v>4163</v>
      </c>
      <c r="L196" s="559">
        <f>IF(ISERROR(MATCH(K196,'IPCS Data'!$AA$7:$AA$110,0)),1,0)</f>
        <v>0</v>
      </c>
      <c r="M196" s="2847"/>
      <c r="N196" s="2839"/>
    </row>
    <row r="197" spans="2:14" s="1292" customFormat="1" ht="22.8" thickBot="1" x14ac:dyDescent="0.3">
      <c r="B197" s="2829" t="s">
        <v>837</v>
      </c>
      <c r="C197" s="2830" t="s">
        <v>3544</v>
      </c>
      <c r="D197" s="2830" t="s">
        <v>359</v>
      </c>
      <c r="E197" s="2831" t="s">
        <v>3545</v>
      </c>
      <c r="F197" s="2827"/>
      <c r="G197" s="2832" t="s">
        <v>3546</v>
      </c>
      <c r="H197" s="2833" t="s">
        <v>3547</v>
      </c>
      <c r="I197" s="2954" t="s">
        <v>3548</v>
      </c>
      <c r="J197" s="2834" t="s">
        <v>3549</v>
      </c>
      <c r="K197" s="2835" t="s">
        <v>3525</v>
      </c>
      <c r="L197" s="2835"/>
      <c r="M197" s="2836" t="s">
        <v>3550</v>
      </c>
      <c r="N197" s="2839"/>
    </row>
    <row r="198" spans="2:14" s="1292" customFormat="1" x14ac:dyDescent="0.25">
      <c r="B198" s="2109" t="s">
        <v>3604</v>
      </c>
      <c r="C198" s="2109" t="s">
        <v>3496</v>
      </c>
      <c r="D198" s="2109" t="s">
        <v>3176</v>
      </c>
      <c r="E198" s="2848" t="s">
        <v>3177</v>
      </c>
      <c r="F198" s="2827"/>
      <c r="G198" s="2849" t="s">
        <v>3552</v>
      </c>
      <c r="H198" s="2844">
        <f>INDEX('Fringe Data'!$K$8:$K$112,MATCH(G198,'Fringe Data'!$F$8:$F$112,0))</f>
        <v>0.315</v>
      </c>
      <c r="I198" s="2854">
        <f>INDEX('Fringe Data'!$S$8:$S$112,MATCH(G198,'Fringe Data'!$F$8:$F$112,0))</f>
        <v>0</v>
      </c>
      <c r="J198" s="1700" t="s">
        <v>2</v>
      </c>
      <c r="K198" s="2846" t="s">
        <v>3301</v>
      </c>
      <c r="L198" s="559">
        <f>IF(ISERROR(MATCH(K198,'IPCS Data'!$AA$7:$AA$110,0)),1,0)</f>
        <v>0</v>
      </c>
      <c r="M198" s="2847" t="s">
        <v>4147</v>
      </c>
      <c r="N198" s="2839"/>
    </row>
    <row r="199" spans="2:14" s="1292" customFormat="1" x14ac:dyDescent="0.25">
      <c r="B199" s="2109" t="s">
        <v>3604</v>
      </c>
      <c r="C199" s="2109" t="s">
        <v>3496</v>
      </c>
      <c r="D199" s="2109" t="s">
        <v>3178</v>
      </c>
      <c r="E199" s="2848" t="s">
        <v>3179</v>
      </c>
      <c r="F199" s="2827"/>
      <c r="G199" s="2849" t="s">
        <v>3552</v>
      </c>
      <c r="H199" s="2844">
        <f>INDEX('Fringe Data'!$K$8:$K$112,MATCH(G199,'Fringe Data'!$F$8:$F$112,0))</f>
        <v>0.315</v>
      </c>
      <c r="I199" s="2854">
        <f>INDEX('Fringe Data'!$S$8:$S$112,MATCH(G199,'Fringe Data'!$F$8:$F$112,0))</f>
        <v>0</v>
      </c>
      <c r="J199" s="1700" t="s">
        <v>2</v>
      </c>
      <c r="K199" s="2846" t="s">
        <v>3301</v>
      </c>
      <c r="L199" s="559">
        <f>IF(ISERROR(MATCH(K199,'IPCS Data'!$AA$7:$AA$110,0)),1,0)</f>
        <v>0</v>
      </c>
      <c r="M199" s="2847" t="s">
        <v>4147</v>
      </c>
      <c r="N199" s="2839"/>
    </row>
    <row r="200" spans="2:14" s="1292" customFormat="1" x14ac:dyDescent="0.25">
      <c r="B200" s="2109" t="s">
        <v>3604</v>
      </c>
      <c r="C200" s="2109" t="s">
        <v>3496</v>
      </c>
      <c r="D200" s="2109" t="s">
        <v>3180</v>
      </c>
      <c r="E200" s="2848" t="s">
        <v>3181</v>
      </c>
      <c r="F200" s="2827"/>
      <c r="G200" s="2849" t="s">
        <v>3552</v>
      </c>
      <c r="H200" s="2844">
        <f>INDEX('Fringe Data'!$K$8:$K$112,MATCH(G200,'Fringe Data'!$F$8:$F$112,0))</f>
        <v>0.315</v>
      </c>
      <c r="I200" s="2854">
        <f>INDEX('Fringe Data'!$S$8:$S$112,MATCH(G200,'Fringe Data'!$F$8:$F$112,0))</f>
        <v>0</v>
      </c>
      <c r="J200" s="1700" t="s">
        <v>2</v>
      </c>
      <c r="K200" s="2846" t="s">
        <v>3301</v>
      </c>
      <c r="L200" s="559">
        <f>IF(ISERROR(MATCH(K200,'IPCS Data'!$AA$7:$AA$110,0)),1,0)</f>
        <v>0</v>
      </c>
      <c r="M200" s="2847" t="s">
        <v>4147</v>
      </c>
      <c r="N200" s="2839"/>
    </row>
    <row r="201" spans="2:14" s="1292" customFormat="1" x14ac:dyDescent="0.25">
      <c r="B201" s="2109" t="s">
        <v>3604</v>
      </c>
      <c r="C201" s="2109" t="s">
        <v>3496</v>
      </c>
      <c r="D201" s="2109" t="s">
        <v>3182</v>
      </c>
      <c r="E201" s="2848" t="s">
        <v>3183</v>
      </c>
      <c r="F201" s="2827"/>
      <c r="G201" s="2849" t="s">
        <v>3552</v>
      </c>
      <c r="H201" s="2844">
        <f>INDEX('Fringe Data'!$K$8:$K$112,MATCH(G201,'Fringe Data'!$F$8:$F$112,0))</f>
        <v>0.315</v>
      </c>
      <c r="I201" s="2854">
        <f>INDEX('Fringe Data'!$S$8:$S$112,MATCH(G201,'Fringe Data'!$F$8:$F$112,0))</f>
        <v>0</v>
      </c>
      <c r="J201" s="1700" t="s">
        <v>2</v>
      </c>
      <c r="K201" s="2846" t="s">
        <v>3301</v>
      </c>
      <c r="L201" s="559">
        <f>IF(ISERROR(MATCH(K201,'IPCS Data'!$AA$7:$AA$110,0)),1,0)</f>
        <v>0</v>
      </c>
      <c r="M201" s="2847" t="s">
        <v>4147</v>
      </c>
      <c r="N201" s="2839"/>
    </row>
    <row r="202" spans="2:14" s="1292" customFormat="1" x14ac:dyDescent="0.25">
      <c r="B202" s="2109" t="s">
        <v>3604</v>
      </c>
      <c r="C202" s="2109" t="s">
        <v>3496</v>
      </c>
      <c r="D202" s="2109" t="s">
        <v>3184</v>
      </c>
      <c r="E202" s="2848" t="s">
        <v>3185</v>
      </c>
      <c r="F202" s="2827"/>
      <c r="G202" s="2849" t="s">
        <v>3552</v>
      </c>
      <c r="H202" s="2844">
        <f>INDEX('Fringe Data'!$K$8:$K$112,MATCH(G202,'Fringe Data'!$F$8:$F$112,0))</f>
        <v>0.315</v>
      </c>
      <c r="I202" s="2854">
        <f>INDEX('Fringe Data'!$S$8:$S$112,MATCH(G202,'Fringe Data'!$F$8:$F$112,0))</f>
        <v>0</v>
      </c>
      <c r="J202" s="1700" t="s">
        <v>2</v>
      </c>
      <c r="K202" s="2846" t="s">
        <v>3301</v>
      </c>
      <c r="L202" s="559">
        <f>IF(ISERROR(MATCH(K202,'IPCS Data'!$AA$7:$AA$110,0)),1,0)</f>
        <v>0</v>
      </c>
      <c r="M202" s="2847" t="s">
        <v>4147</v>
      </c>
      <c r="N202" s="2839"/>
    </row>
    <row r="203" spans="2:14" s="1292" customFormat="1" x14ac:dyDescent="0.25">
      <c r="B203" s="2109" t="s">
        <v>3604</v>
      </c>
      <c r="C203" s="2109" t="s">
        <v>3496</v>
      </c>
      <c r="D203" s="2109" t="s">
        <v>3186</v>
      </c>
      <c r="E203" s="2848" t="s">
        <v>3187</v>
      </c>
      <c r="F203" s="2827"/>
      <c r="G203" s="2849" t="s">
        <v>3552</v>
      </c>
      <c r="H203" s="2844">
        <f>INDEX('Fringe Data'!$K$8:$K$112,MATCH(G203,'Fringe Data'!$F$8:$F$112,0))</f>
        <v>0.315</v>
      </c>
      <c r="I203" s="2854">
        <f>INDEX('Fringe Data'!$S$8:$S$112,MATCH(G203,'Fringe Data'!$F$8:$F$112,0))</f>
        <v>0</v>
      </c>
      <c r="J203" s="1700" t="s">
        <v>2</v>
      </c>
      <c r="K203" s="2846" t="s">
        <v>3301</v>
      </c>
      <c r="L203" s="559">
        <f>IF(ISERROR(MATCH(K203,'IPCS Data'!$AA$7:$AA$110,0)),1,0)</f>
        <v>0</v>
      </c>
      <c r="M203" s="2847" t="s">
        <v>4147</v>
      </c>
      <c r="N203" s="2839"/>
    </row>
    <row r="204" spans="2:14" s="1292" customFormat="1" x14ac:dyDescent="0.25">
      <c r="B204" s="2109" t="s">
        <v>3604</v>
      </c>
      <c r="C204" s="2109" t="s">
        <v>3496</v>
      </c>
      <c r="D204" s="2109" t="s">
        <v>3188</v>
      </c>
      <c r="E204" s="2848" t="s">
        <v>3189</v>
      </c>
      <c r="F204" s="2827"/>
      <c r="G204" s="2849" t="s">
        <v>3552</v>
      </c>
      <c r="H204" s="2844">
        <f>INDEX('Fringe Data'!$K$8:$K$112,MATCH(G204,'Fringe Data'!$F$8:$F$112,0))</f>
        <v>0.315</v>
      </c>
      <c r="I204" s="2854">
        <f>INDEX('Fringe Data'!$S$8:$S$112,MATCH(G204,'Fringe Data'!$F$8:$F$112,0))</f>
        <v>0</v>
      </c>
      <c r="J204" s="1700" t="s">
        <v>2</v>
      </c>
      <c r="K204" s="2846" t="s">
        <v>3301</v>
      </c>
      <c r="L204" s="559">
        <f>IF(ISERROR(MATCH(K204,'IPCS Data'!$AA$7:$AA$110,0)),1,0)</f>
        <v>0</v>
      </c>
      <c r="M204" s="2847" t="s">
        <v>4147</v>
      </c>
      <c r="N204" s="2839"/>
    </row>
    <row r="205" spans="2:14" s="1292" customFormat="1" x14ac:dyDescent="0.25">
      <c r="B205" s="2109" t="s">
        <v>3604</v>
      </c>
      <c r="C205" s="2109" t="s">
        <v>3496</v>
      </c>
      <c r="D205" s="2109" t="s">
        <v>3190</v>
      </c>
      <c r="E205" s="2848" t="s">
        <v>3191</v>
      </c>
      <c r="F205" s="2827"/>
      <c r="G205" s="2849" t="s">
        <v>3552</v>
      </c>
      <c r="H205" s="2844">
        <f>INDEX('Fringe Data'!$K$8:$K$112,MATCH(G205,'Fringe Data'!$F$8:$F$112,0))</f>
        <v>0.315</v>
      </c>
      <c r="I205" s="2854">
        <f>INDEX('Fringe Data'!$S$8:$S$112,MATCH(G205,'Fringe Data'!$F$8:$F$112,0))</f>
        <v>0</v>
      </c>
      <c r="J205" s="1700" t="s">
        <v>2</v>
      </c>
      <c r="K205" s="2846" t="s">
        <v>3301</v>
      </c>
      <c r="L205" s="559">
        <f>IF(ISERROR(MATCH(K205,'IPCS Data'!$AA$7:$AA$110,0)),1,0)</f>
        <v>0</v>
      </c>
      <c r="M205" s="2847" t="s">
        <v>4147</v>
      </c>
      <c r="N205" s="2839"/>
    </row>
    <row r="206" spans="2:14" s="1292" customFormat="1" x14ac:dyDescent="0.25">
      <c r="B206" s="2109" t="s">
        <v>3604</v>
      </c>
      <c r="C206" s="2109" t="s">
        <v>3496</v>
      </c>
      <c r="D206" s="2109" t="s">
        <v>3192</v>
      </c>
      <c r="E206" s="2848" t="s">
        <v>3193</v>
      </c>
      <c r="F206" s="2827"/>
      <c r="G206" s="2849" t="s">
        <v>3552</v>
      </c>
      <c r="H206" s="2844">
        <f>INDEX('Fringe Data'!$K$8:$K$112,MATCH(G206,'Fringe Data'!$F$8:$F$112,0))</f>
        <v>0.315</v>
      </c>
      <c r="I206" s="2854">
        <f>INDEX('Fringe Data'!$S$8:$S$112,MATCH(G206,'Fringe Data'!$F$8:$F$112,0))</f>
        <v>0</v>
      </c>
      <c r="J206" s="1700" t="s">
        <v>2</v>
      </c>
      <c r="K206" s="2846" t="s">
        <v>3301</v>
      </c>
      <c r="L206" s="559">
        <f>IF(ISERROR(MATCH(K206,'IPCS Data'!$AA$7:$AA$110,0)),1,0)</f>
        <v>0</v>
      </c>
      <c r="M206" s="2847" t="s">
        <v>4147</v>
      </c>
      <c r="N206" s="2839"/>
    </row>
    <row r="207" spans="2:14" s="1292" customFormat="1" x14ac:dyDescent="0.25">
      <c r="B207" s="2109" t="s">
        <v>3604</v>
      </c>
      <c r="C207" s="2109" t="s">
        <v>3496</v>
      </c>
      <c r="D207" s="2109" t="s">
        <v>3194</v>
      </c>
      <c r="E207" s="2848" t="s">
        <v>3195</v>
      </c>
      <c r="F207" s="2827"/>
      <c r="G207" s="2849" t="s">
        <v>3552</v>
      </c>
      <c r="H207" s="2844">
        <f>INDEX('Fringe Data'!$K$8:$K$112,MATCH(G207,'Fringe Data'!$F$8:$F$112,0))</f>
        <v>0.315</v>
      </c>
      <c r="I207" s="2854">
        <f>INDEX('Fringe Data'!$S$8:$S$112,MATCH(G207,'Fringe Data'!$F$8:$F$112,0))</f>
        <v>0</v>
      </c>
      <c r="J207" s="1700" t="s">
        <v>2</v>
      </c>
      <c r="K207" s="2846" t="s">
        <v>3301</v>
      </c>
      <c r="L207" s="559">
        <f>IF(ISERROR(MATCH(K207,'IPCS Data'!$AA$7:$AA$110,0)),1,0)</f>
        <v>0</v>
      </c>
      <c r="M207" s="2847" t="s">
        <v>4147</v>
      </c>
      <c r="N207" s="2839"/>
    </row>
    <row r="208" spans="2:14" s="1292" customFormat="1" x14ac:dyDescent="0.25">
      <c r="B208" s="2109" t="s">
        <v>3604</v>
      </c>
      <c r="C208" s="2109" t="s">
        <v>3496</v>
      </c>
      <c r="D208" s="2109" t="s">
        <v>3196</v>
      </c>
      <c r="E208" s="2848" t="s">
        <v>3197</v>
      </c>
      <c r="F208" s="2827"/>
      <c r="G208" s="2849" t="s">
        <v>3552</v>
      </c>
      <c r="H208" s="2844">
        <f>INDEX('Fringe Data'!$K$8:$K$112,MATCH(G208,'Fringe Data'!$F$8:$F$112,0))</f>
        <v>0.315</v>
      </c>
      <c r="I208" s="2854">
        <f>INDEX('Fringe Data'!$S$8:$S$112,MATCH(G208,'Fringe Data'!$F$8:$F$112,0))</f>
        <v>0</v>
      </c>
      <c r="J208" s="1700" t="s">
        <v>2</v>
      </c>
      <c r="K208" s="2846" t="s">
        <v>3301</v>
      </c>
      <c r="L208" s="559">
        <f>IF(ISERROR(MATCH(K208,'IPCS Data'!$AA$7:$AA$110,0)),1,0)</f>
        <v>0</v>
      </c>
      <c r="M208" s="2847" t="s">
        <v>4147</v>
      </c>
      <c r="N208" s="2839"/>
    </row>
    <row r="209" spans="2:14" s="1292" customFormat="1" x14ac:dyDescent="0.25">
      <c r="B209" s="2109" t="s">
        <v>3604</v>
      </c>
      <c r="C209" s="2109" t="s">
        <v>3496</v>
      </c>
      <c r="D209" s="2109" t="s">
        <v>3198</v>
      </c>
      <c r="E209" s="2848" t="s">
        <v>3199</v>
      </c>
      <c r="F209" s="2827"/>
      <c r="G209" s="2849" t="s">
        <v>3552</v>
      </c>
      <c r="H209" s="2844">
        <f>INDEX('Fringe Data'!$K$8:$K$112,MATCH(G209,'Fringe Data'!$F$8:$F$112,0))</f>
        <v>0.315</v>
      </c>
      <c r="I209" s="2854">
        <f>INDEX('Fringe Data'!$S$8:$S$112,MATCH(G209,'Fringe Data'!$F$8:$F$112,0))</f>
        <v>0</v>
      </c>
      <c r="J209" s="1700" t="s">
        <v>2</v>
      </c>
      <c r="K209" s="2846" t="s">
        <v>3301</v>
      </c>
      <c r="L209" s="559">
        <f>IF(ISERROR(MATCH(K209,'IPCS Data'!$AA$7:$AA$110,0)),1,0)</f>
        <v>0</v>
      </c>
      <c r="M209" s="2847" t="s">
        <v>4147</v>
      </c>
      <c r="N209" s="2839"/>
    </row>
    <row r="210" spans="2:14" s="1292" customFormat="1" x14ac:dyDescent="0.25">
      <c r="B210" s="2109" t="s">
        <v>3604</v>
      </c>
      <c r="C210" s="2109" t="s">
        <v>3496</v>
      </c>
      <c r="D210" s="2109" t="s">
        <v>3200</v>
      </c>
      <c r="E210" s="2848" t="s">
        <v>3201</v>
      </c>
      <c r="F210" s="2827"/>
      <c r="G210" s="2849" t="s">
        <v>3552</v>
      </c>
      <c r="H210" s="2844">
        <f>INDEX('Fringe Data'!$K$8:$K$112,MATCH(G210,'Fringe Data'!$F$8:$F$112,0))</f>
        <v>0.315</v>
      </c>
      <c r="I210" s="2854">
        <f>INDEX('Fringe Data'!$S$8:$S$112,MATCH(G210,'Fringe Data'!$F$8:$F$112,0))</f>
        <v>0</v>
      </c>
      <c r="J210" s="1700" t="s">
        <v>2</v>
      </c>
      <c r="K210" s="2846" t="s">
        <v>3301</v>
      </c>
      <c r="L210" s="559">
        <f>IF(ISERROR(MATCH(K210,'IPCS Data'!$AA$7:$AA$110,0)),1,0)</f>
        <v>0</v>
      </c>
      <c r="M210" s="2847" t="s">
        <v>4147</v>
      </c>
      <c r="N210" s="2839"/>
    </row>
    <row r="211" spans="2:14" s="1292" customFormat="1" ht="13.8" thickBot="1" x14ac:dyDescent="0.3">
      <c r="B211" s="2109" t="s">
        <v>3604</v>
      </c>
      <c r="C211" s="2109" t="s">
        <v>3496</v>
      </c>
      <c r="D211" s="2109" t="s">
        <v>3202</v>
      </c>
      <c r="E211" s="2848" t="s">
        <v>3203</v>
      </c>
      <c r="F211" s="2827"/>
      <c r="G211" s="2849" t="s">
        <v>3552</v>
      </c>
      <c r="H211" s="2844">
        <f>INDEX('Fringe Data'!$K$8:$K$112,MATCH(G211,'Fringe Data'!$F$8:$F$112,0))</f>
        <v>0.315</v>
      </c>
      <c r="I211" s="2854">
        <f>INDEX('Fringe Data'!$S$8:$S$112,MATCH(G211,'Fringe Data'!$F$8:$F$112,0))</f>
        <v>0</v>
      </c>
      <c r="J211" s="1700" t="s">
        <v>2</v>
      </c>
      <c r="K211" s="2846" t="s">
        <v>3301</v>
      </c>
      <c r="L211" s="559">
        <f>IF(ISERROR(MATCH(K211,'IPCS Data'!$AA$7:$AA$110,0)),1,0)</f>
        <v>0</v>
      </c>
      <c r="M211" s="2847" t="s">
        <v>4147</v>
      </c>
      <c r="N211" s="2839"/>
    </row>
    <row r="212" spans="2:14" s="1292" customFormat="1" ht="22.8" thickBot="1" x14ac:dyDescent="0.3">
      <c r="B212" s="2829" t="s">
        <v>837</v>
      </c>
      <c r="C212" s="2830" t="s">
        <v>3544</v>
      </c>
      <c r="D212" s="2830" t="s">
        <v>359</v>
      </c>
      <c r="E212" s="2831" t="s">
        <v>3545</v>
      </c>
      <c r="F212" s="2827"/>
      <c r="G212" s="2832" t="s">
        <v>3546</v>
      </c>
      <c r="H212" s="2833" t="s">
        <v>3547</v>
      </c>
      <c r="I212" s="2954" t="s">
        <v>3548</v>
      </c>
      <c r="J212" s="2834" t="s">
        <v>3549</v>
      </c>
      <c r="K212" s="2835" t="s">
        <v>3525</v>
      </c>
      <c r="L212" s="2835"/>
      <c r="M212" s="2836" t="s">
        <v>3550</v>
      </c>
      <c r="N212" s="2839"/>
    </row>
    <row r="213" spans="2:14" s="1292" customFormat="1" x14ac:dyDescent="0.25">
      <c r="B213" s="2109" t="s">
        <v>3604</v>
      </c>
      <c r="C213" s="2109" t="s">
        <v>3499</v>
      </c>
      <c r="D213" s="2109" t="s">
        <v>3204</v>
      </c>
      <c r="E213" s="2848" t="s">
        <v>3205</v>
      </c>
      <c r="F213" s="2827"/>
      <c r="G213" s="2849" t="s">
        <v>3552</v>
      </c>
      <c r="H213" s="2844">
        <f>INDEX('Fringe Data'!$K$8:$K$112,MATCH(G213,'Fringe Data'!$F$8:$F$112,0))</f>
        <v>0.315</v>
      </c>
      <c r="I213" s="2854">
        <f>INDEX('Fringe Data'!$S$8:$S$112,MATCH(G213,'Fringe Data'!$F$8:$F$112,0))</f>
        <v>0</v>
      </c>
      <c r="J213" s="1700" t="s">
        <v>2</v>
      </c>
      <c r="K213" s="2846" t="s">
        <v>3301</v>
      </c>
      <c r="L213" s="559">
        <f>IF(ISERROR(MATCH(K213,'IPCS Data'!$AA$7:$AA$110,0)),1,0)</f>
        <v>0</v>
      </c>
      <c r="M213" s="2847" t="s">
        <v>4147</v>
      </c>
      <c r="N213" s="2839"/>
    </row>
    <row r="214" spans="2:14" s="1292" customFormat="1" x14ac:dyDescent="0.25">
      <c r="B214" s="2109" t="s">
        <v>3604</v>
      </c>
      <c r="C214" s="2109" t="s">
        <v>3499</v>
      </c>
      <c r="D214" s="2109" t="s">
        <v>3206</v>
      </c>
      <c r="E214" s="2848" t="s">
        <v>3207</v>
      </c>
      <c r="F214" s="2827"/>
      <c r="G214" s="2849" t="s">
        <v>3552</v>
      </c>
      <c r="H214" s="2844">
        <f>INDEX('Fringe Data'!$K$8:$K$112,MATCH(G214,'Fringe Data'!$F$8:$F$112,0))</f>
        <v>0.315</v>
      </c>
      <c r="I214" s="2854">
        <f>INDEX('Fringe Data'!$S$8:$S$112,MATCH(G214,'Fringe Data'!$F$8:$F$112,0))</f>
        <v>0</v>
      </c>
      <c r="J214" s="1700" t="s">
        <v>2</v>
      </c>
      <c r="K214" s="2846" t="s">
        <v>3301</v>
      </c>
      <c r="L214" s="559">
        <f>IF(ISERROR(MATCH(K214,'IPCS Data'!$AA$7:$AA$110,0)),1,0)</f>
        <v>0</v>
      </c>
      <c r="M214" s="2847" t="s">
        <v>4147</v>
      </c>
      <c r="N214" s="2839"/>
    </row>
    <row r="215" spans="2:14" s="1292" customFormat="1" x14ac:dyDescent="0.25">
      <c r="B215" s="2109" t="s">
        <v>3604</v>
      </c>
      <c r="C215" s="2109" t="s">
        <v>3499</v>
      </c>
      <c r="D215" s="2109" t="s">
        <v>3208</v>
      </c>
      <c r="E215" s="2848" t="s">
        <v>3209</v>
      </c>
      <c r="F215" s="2827"/>
      <c r="G215" s="2849" t="s">
        <v>3552</v>
      </c>
      <c r="H215" s="2844">
        <f>INDEX('Fringe Data'!$K$8:$K$112,MATCH(G215,'Fringe Data'!$F$8:$F$112,0))</f>
        <v>0.315</v>
      </c>
      <c r="I215" s="2854">
        <f>INDEX('Fringe Data'!$S$8:$S$112,MATCH(G215,'Fringe Data'!$F$8:$F$112,0))</f>
        <v>0</v>
      </c>
      <c r="J215" s="1700" t="s">
        <v>2</v>
      </c>
      <c r="K215" s="2846" t="s">
        <v>3301</v>
      </c>
      <c r="L215" s="559">
        <f>IF(ISERROR(MATCH(K215,'IPCS Data'!$AA$7:$AA$110,0)),1,0)</f>
        <v>0</v>
      </c>
      <c r="M215" s="2847" t="s">
        <v>4147</v>
      </c>
      <c r="N215" s="2839"/>
    </row>
    <row r="216" spans="2:14" s="1292" customFormat="1" ht="13.8" thickBot="1" x14ac:dyDescent="0.3">
      <c r="B216" s="2109" t="s">
        <v>3604</v>
      </c>
      <c r="C216" s="2109" t="s">
        <v>3499</v>
      </c>
      <c r="D216" s="2109" t="s">
        <v>3210</v>
      </c>
      <c r="E216" s="2848" t="s">
        <v>3211</v>
      </c>
      <c r="F216" s="2827"/>
      <c r="G216" s="2849" t="s">
        <v>3552</v>
      </c>
      <c r="H216" s="2844">
        <f>INDEX('Fringe Data'!$K$8:$K$112,MATCH(G216,'Fringe Data'!$F$8:$F$112,0))</f>
        <v>0.315</v>
      </c>
      <c r="I216" s="2854">
        <f>INDEX('Fringe Data'!$S$8:$S$112,MATCH(G216,'Fringe Data'!$F$8:$F$112,0))</f>
        <v>0</v>
      </c>
      <c r="J216" s="1700" t="s">
        <v>2</v>
      </c>
      <c r="K216" s="2846" t="s">
        <v>3301</v>
      </c>
      <c r="L216" s="559">
        <f>IF(ISERROR(MATCH(K216,'IPCS Data'!$AA$7:$AA$110,0)),1,0)</f>
        <v>0</v>
      </c>
      <c r="M216" s="2847" t="s">
        <v>4147</v>
      </c>
      <c r="N216" s="2839"/>
    </row>
    <row r="217" spans="2:14" s="1292" customFormat="1" ht="22.8" thickBot="1" x14ac:dyDescent="0.3">
      <c r="B217" s="2829" t="s">
        <v>837</v>
      </c>
      <c r="C217" s="2830" t="s">
        <v>3544</v>
      </c>
      <c r="D217" s="2830" t="s">
        <v>359</v>
      </c>
      <c r="E217" s="2831" t="s">
        <v>3545</v>
      </c>
      <c r="F217" s="2827"/>
      <c r="G217" s="2832" t="s">
        <v>3546</v>
      </c>
      <c r="H217" s="2833" t="s">
        <v>3547</v>
      </c>
      <c r="I217" s="2954" t="s">
        <v>3548</v>
      </c>
      <c r="J217" s="2834" t="s">
        <v>3549</v>
      </c>
      <c r="K217" s="2835" t="s">
        <v>3525</v>
      </c>
      <c r="L217" s="2835"/>
      <c r="M217" s="2836" t="s">
        <v>3550</v>
      </c>
      <c r="N217" s="2839"/>
    </row>
    <row r="218" spans="2:14" s="1292" customFormat="1" x14ac:dyDescent="0.25">
      <c r="B218" s="2109" t="s">
        <v>3604</v>
      </c>
      <c r="C218" s="2109" t="s">
        <v>3502</v>
      </c>
      <c r="D218" s="2109" t="s">
        <v>3170</v>
      </c>
      <c r="E218" s="2848" t="s">
        <v>3171</v>
      </c>
      <c r="F218" s="2827"/>
      <c r="G218" s="2849" t="s">
        <v>3552</v>
      </c>
      <c r="H218" s="2844">
        <f>INDEX('Fringe Data'!$K$8:$K$112,MATCH(G218,'Fringe Data'!$F$8:$F$112,0))</f>
        <v>0.315</v>
      </c>
      <c r="I218" s="2854">
        <f>INDEX('Fringe Data'!$S$8:$S$112,MATCH(G218,'Fringe Data'!$F$8:$F$112,0))</f>
        <v>0</v>
      </c>
      <c r="J218" s="1700" t="s">
        <v>2</v>
      </c>
      <c r="K218" s="2846" t="s">
        <v>3301</v>
      </c>
      <c r="L218" s="559">
        <f>IF(ISERROR(MATCH(K218,'IPCS Data'!$AA$7:$AA$110,0)),1,0)</f>
        <v>0</v>
      </c>
      <c r="M218" s="2847" t="s">
        <v>4147</v>
      </c>
      <c r="N218" s="2839"/>
    </row>
    <row r="219" spans="2:14" s="1292" customFormat="1" x14ac:dyDescent="0.25">
      <c r="B219" s="2109" t="s">
        <v>3604</v>
      </c>
      <c r="C219" s="2109" t="s">
        <v>3502</v>
      </c>
      <c r="D219" s="2109" t="s">
        <v>3172</v>
      </c>
      <c r="E219" s="2848" t="s">
        <v>3173</v>
      </c>
      <c r="F219" s="2827"/>
      <c r="G219" s="2849" t="s">
        <v>3552</v>
      </c>
      <c r="H219" s="2844">
        <f>INDEX('Fringe Data'!$K$8:$K$112,MATCH(G219,'Fringe Data'!$F$8:$F$112,0))</f>
        <v>0.315</v>
      </c>
      <c r="I219" s="2854">
        <f>INDEX('Fringe Data'!$S$8:$S$112,MATCH(G219,'Fringe Data'!$F$8:$F$112,0))</f>
        <v>0</v>
      </c>
      <c r="J219" s="1700" t="s">
        <v>2</v>
      </c>
      <c r="K219" s="2846" t="s">
        <v>3301</v>
      </c>
      <c r="L219" s="559">
        <f>IF(ISERROR(MATCH(K219,'IPCS Data'!$AA$7:$AA$110,0)),1,0)</f>
        <v>0</v>
      </c>
      <c r="M219" s="2847" t="s">
        <v>4147</v>
      </c>
      <c r="N219" s="2839"/>
    </row>
    <row r="220" spans="2:14" s="1292" customFormat="1" x14ac:dyDescent="0.25">
      <c r="B220" s="2109" t="s">
        <v>3604</v>
      </c>
      <c r="C220" s="2109" t="s">
        <v>3502</v>
      </c>
      <c r="D220" s="2109" t="s">
        <v>3174</v>
      </c>
      <c r="E220" s="2848" t="s">
        <v>3175</v>
      </c>
      <c r="F220" s="2827"/>
      <c r="G220" s="2849" t="s">
        <v>3552</v>
      </c>
      <c r="H220" s="2844">
        <f>INDEX('Fringe Data'!$K$8:$K$112,MATCH(G220,'Fringe Data'!$F$8:$F$112,0))</f>
        <v>0.315</v>
      </c>
      <c r="I220" s="2854">
        <f>INDEX('Fringe Data'!$S$8:$S$112,MATCH(G220,'Fringe Data'!$F$8:$F$112,0))</f>
        <v>0</v>
      </c>
      <c r="J220" s="1700" t="s">
        <v>2</v>
      </c>
      <c r="K220" s="2846" t="s">
        <v>3301</v>
      </c>
      <c r="L220" s="559">
        <f>IF(ISERROR(MATCH(K220,'IPCS Data'!$AA$7:$AA$110,0)),1,0)</f>
        <v>0</v>
      </c>
      <c r="M220" s="2847" t="s">
        <v>4147</v>
      </c>
      <c r="N220" s="2839"/>
    </row>
    <row r="221" spans="2:14" s="1292" customFormat="1" x14ac:dyDescent="0.25">
      <c r="B221" s="2109" t="s">
        <v>3604</v>
      </c>
      <c r="C221" s="2109" t="s">
        <v>3502</v>
      </c>
      <c r="D221" s="2109" t="s">
        <v>3212</v>
      </c>
      <c r="E221" s="2848" t="s">
        <v>3213</v>
      </c>
      <c r="F221" s="2827"/>
      <c r="G221" s="2849" t="s">
        <v>3552</v>
      </c>
      <c r="H221" s="2844">
        <f>INDEX('Fringe Data'!$K$8:$K$112,MATCH(G221,'Fringe Data'!$F$8:$F$112,0))</f>
        <v>0.315</v>
      </c>
      <c r="I221" s="2854">
        <f>INDEX('Fringe Data'!$S$8:$S$112,MATCH(G221,'Fringe Data'!$F$8:$F$112,0))</f>
        <v>0</v>
      </c>
      <c r="J221" s="1700" t="s">
        <v>2</v>
      </c>
      <c r="K221" s="2846" t="s">
        <v>3301</v>
      </c>
      <c r="L221" s="559">
        <f>IF(ISERROR(MATCH(K221,'IPCS Data'!$AA$7:$AA$110,0)),1,0)</f>
        <v>0</v>
      </c>
      <c r="M221" s="2847" t="s">
        <v>4147</v>
      </c>
      <c r="N221" s="2839"/>
    </row>
    <row r="222" spans="2:14" s="1292" customFormat="1" x14ac:dyDescent="0.25">
      <c r="B222" s="2109" t="s">
        <v>3604</v>
      </c>
      <c r="C222" s="2109" t="s">
        <v>3502</v>
      </c>
      <c r="D222" s="2109" t="s">
        <v>3214</v>
      </c>
      <c r="E222" s="2848" t="s">
        <v>3215</v>
      </c>
      <c r="F222" s="2827"/>
      <c r="G222" s="2849" t="s">
        <v>3552</v>
      </c>
      <c r="H222" s="2844">
        <f>INDEX('Fringe Data'!$K$8:$K$112,MATCH(G222,'Fringe Data'!$F$8:$F$112,0))</f>
        <v>0.315</v>
      </c>
      <c r="I222" s="2854">
        <f>INDEX('Fringe Data'!$S$8:$S$112,MATCH(G222,'Fringe Data'!$F$8:$F$112,0))</f>
        <v>0</v>
      </c>
      <c r="J222" s="1700" t="s">
        <v>2</v>
      </c>
      <c r="K222" s="2846" t="s">
        <v>3301</v>
      </c>
      <c r="L222" s="559">
        <f>IF(ISERROR(MATCH(K222,'IPCS Data'!$AA$7:$AA$110,0)),1,0)</f>
        <v>0</v>
      </c>
      <c r="M222" s="2847" t="s">
        <v>4147</v>
      </c>
      <c r="N222" s="2839"/>
    </row>
    <row r="223" spans="2:14" s="1292" customFormat="1" x14ac:dyDescent="0.25">
      <c r="B223" s="2109" t="s">
        <v>3604</v>
      </c>
      <c r="C223" s="2109" t="s">
        <v>3502</v>
      </c>
      <c r="D223" s="2109" t="s">
        <v>3216</v>
      </c>
      <c r="E223" s="2848" t="s">
        <v>3217</v>
      </c>
      <c r="F223" s="2827"/>
      <c r="G223" s="2849" t="s">
        <v>3552</v>
      </c>
      <c r="H223" s="2844">
        <f>INDEX('Fringe Data'!$K$8:$K$112,MATCH(G223,'Fringe Data'!$F$8:$F$112,0))</f>
        <v>0.315</v>
      </c>
      <c r="I223" s="2854">
        <f>INDEX('Fringe Data'!$S$8:$S$112,MATCH(G223,'Fringe Data'!$F$8:$F$112,0))</f>
        <v>0</v>
      </c>
      <c r="J223" s="1700" t="s">
        <v>2</v>
      </c>
      <c r="K223" s="2846" t="s">
        <v>3301</v>
      </c>
      <c r="L223" s="559">
        <f>IF(ISERROR(MATCH(K223,'IPCS Data'!$AA$7:$AA$110,0)),1,0)</f>
        <v>0</v>
      </c>
      <c r="M223" s="2847" t="s">
        <v>4147</v>
      </c>
      <c r="N223" s="2839"/>
    </row>
    <row r="224" spans="2:14" s="1292" customFormat="1" x14ac:dyDescent="0.25">
      <c r="B224" s="2109" t="s">
        <v>3604</v>
      </c>
      <c r="C224" s="2109" t="s">
        <v>3502</v>
      </c>
      <c r="D224" s="2109" t="s">
        <v>3218</v>
      </c>
      <c r="E224" s="2848" t="s">
        <v>1821</v>
      </c>
      <c r="F224" s="2827"/>
      <c r="G224" s="2849" t="s">
        <v>3552</v>
      </c>
      <c r="H224" s="2844">
        <f>INDEX('Fringe Data'!$K$8:$K$112,MATCH(G224,'Fringe Data'!$F$8:$F$112,0))</f>
        <v>0.315</v>
      </c>
      <c r="I224" s="2854">
        <f>INDEX('Fringe Data'!$S$8:$S$112,MATCH(G224,'Fringe Data'!$F$8:$F$112,0))</f>
        <v>0</v>
      </c>
      <c r="J224" s="1700" t="s">
        <v>2</v>
      </c>
      <c r="K224" s="2846" t="s">
        <v>3301</v>
      </c>
      <c r="L224" s="559">
        <f>IF(ISERROR(MATCH(K224,'IPCS Data'!$AA$7:$AA$110,0)),1,0)</f>
        <v>0</v>
      </c>
      <c r="M224" s="2847" t="s">
        <v>4147</v>
      </c>
      <c r="N224" s="2839"/>
    </row>
    <row r="225" spans="2:14" s="1292" customFormat="1" ht="13.8" thickBot="1" x14ac:dyDescent="0.3">
      <c r="B225" s="2109" t="s">
        <v>3604</v>
      </c>
      <c r="C225" s="2109" t="s">
        <v>3502</v>
      </c>
      <c r="D225" s="2110" t="s">
        <v>3219</v>
      </c>
      <c r="E225" s="2850" t="s">
        <v>3220</v>
      </c>
      <c r="F225" s="2827"/>
      <c r="G225" s="2849" t="s">
        <v>3552</v>
      </c>
      <c r="H225" s="2844">
        <f>INDEX('Fringe Data'!$K$8:$K$112,MATCH(G225,'Fringe Data'!$F$8:$F$112,0))</f>
        <v>0.315</v>
      </c>
      <c r="I225" s="2854">
        <f>INDEX('Fringe Data'!$S$8:$S$112,MATCH(G225,'Fringe Data'!$F$8:$F$112,0))</f>
        <v>0</v>
      </c>
      <c r="J225" s="1700" t="s">
        <v>2</v>
      </c>
      <c r="K225" s="2846" t="s">
        <v>3301</v>
      </c>
      <c r="L225" s="559">
        <f>IF(ISERROR(MATCH(K225,'IPCS Data'!$AA$7:$AA$110,0)),1,0)</f>
        <v>0</v>
      </c>
      <c r="M225" s="2847" t="s">
        <v>4147</v>
      </c>
      <c r="N225" s="2840"/>
    </row>
    <row r="226" spans="2:14" s="1292" customFormat="1" ht="22.8" thickBot="1" x14ac:dyDescent="0.3">
      <c r="B226" s="2829" t="s">
        <v>837</v>
      </c>
      <c r="C226" s="2830" t="s">
        <v>3544</v>
      </c>
      <c r="D226" s="2830" t="s">
        <v>359</v>
      </c>
      <c r="E226" s="2831" t="s">
        <v>3545</v>
      </c>
      <c r="F226" s="2827"/>
      <c r="G226" s="2832" t="s">
        <v>3546</v>
      </c>
      <c r="H226" s="2833" t="s">
        <v>3547</v>
      </c>
      <c r="I226" s="2954" t="s">
        <v>3548</v>
      </c>
      <c r="J226" s="2834" t="s">
        <v>3549</v>
      </c>
      <c r="K226" s="2835" t="s">
        <v>3525</v>
      </c>
      <c r="L226" s="2835"/>
      <c r="M226" s="2836" t="s">
        <v>3550</v>
      </c>
      <c r="N226" s="2840"/>
    </row>
    <row r="227" spans="2:14" s="1292" customFormat="1" x14ac:dyDescent="0.25">
      <c r="B227" s="2109" t="s">
        <v>3494</v>
      </c>
      <c r="C227" s="2109" t="s">
        <v>3497</v>
      </c>
      <c r="D227" s="2109" t="s">
        <v>3605</v>
      </c>
      <c r="E227" s="2848" t="s">
        <v>3606</v>
      </c>
      <c r="F227" s="2827"/>
      <c r="G227" s="2849" t="s">
        <v>3872</v>
      </c>
      <c r="H227" s="2844">
        <f>INDEX('Fringe Data'!$K$8:$K$112,MATCH(G227,'Fringe Data'!$F$8:$F$112,0))</f>
        <v>0.36249999999999999</v>
      </c>
      <c r="I227" s="2854">
        <f>INDEX('Fringe Data'!$S$8:$S$112,MATCH(G227,'Fringe Data'!$F$8:$F$112,0))</f>
        <v>0</v>
      </c>
      <c r="J227" s="1700" t="s">
        <v>2</v>
      </c>
      <c r="K227" s="2846" t="s">
        <v>3539</v>
      </c>
      <c r="L227" s="559">
        <f>IF(ISERROR(MATCH(K227,'IPCS Data'!$AA$7:$AA$110,0)),1,0)</f>
        <v>0</v>
      </c>
      <c r="M227" s="2847"/>
      <c r="N227" s="2840"/>
    </row>
    <row r="228" spans="2:14" s="1292" customFormat="1" x14ac:dyDescent="0.25">
      <c r="B228" s="2109" t="s">
        <v>3494</v>
      </c>
      <c r="C228" s="2109" t="s">
        <v>3497</v>
      </c>
      <c r="D228" s="2109" t="s">
        <v>3607</v>
      </c>
      <c r="E228" s="2848" t="s">
        <v>3608</v>
      </c>
      <c r="F228" s="2827"/>
      <c r="G228" s="2849" t="s">
        <v>3872</v>
      </c>
      <c r="H228" s="2844">
        <f>INDEX('Fringe Data'!$K$8:$K$112,MATCH(G228,'Fringe Data'!$F$8:$F$112,0))</f>
        <v>0.36249999999999999</v>
      </c>
      <c r="I228" s="2854">
        <f>INDEX('Fringe Data'!$S$8:$S$112,MATCH(G228,'Fringe Data'!$F$8:$F$112,0))</f>
        <v>0</v>
      </c>
      <c r="J228" s="1700" t="s">
        <v>2</v>
      </c>
      <c r="K228" s="2846" t="s">
        <v>3539</v>
      </c>
      <c r="L228" s="559">
        <f>IF(ISERROR(MATCH(K228,'IPCS Data'!$AA$7:$AA$110,0)),1,0)</f>
        <v>0</v>
      </c>
      <c r="M228" s="2847"/>
      <c r="N228" s="2840"/>
    </row>
    <row r="229" spans="2:14" s="1292" customFormat="1" x14ac:dyDescent="0.25">
      <c r="B229" s="2109" t="s">
        <v>3494</v>
      </c>
      <c r="C229" s="2109" t="s">
        <v>3497</v>
      </c>
      <c r="D229" s="2109" t="s">
        <v>3609</v>
      </c>
      <c r="E229" s="2848" t="s">
        <v>3610</v>
      </c>
      <c r="F229" s="2827"/>
      <c r="G229" s="2849" t="s">
        <v>3872</v>
      </c>
      <c r="H229" s="2844">
        <f>INDEX('Fringe Data'!$K$8:$K$112,MATCH(G229,'Fringe Data'!$F$8:$F$112,0))</f>
        <v>0.36249999999999999</v>
      </c>
      <c r="I229" s="2854">
        <f>INDEX('Fringe Data'!$S$8:$S$112,MATCH(G229,'Fringe Data'!$F$8:$F$112,0))</f>
        <v>0</v>
      </c>
      <c r="J229" s="1700" t="s">
        <v>2</v>
      </c>
      <c r="K229" s="2846" t="s">
        <v>3539</v>
      </c>
      <c r="L229" s="559">
        <f>IF(ISERROR(MATCH(K229,'IPCS Data'!$AA$7:$AA$110,0)),1,0)</f>
        <v>0</v>
      </c>
      <c r="M229" s="2847"/>
      <c r="N229" s="2840"/>
    </row>
    <row r="230" spans="2:14" s="1292" customFormat="1" x14ac:dyDescent="0.25">
      <c r="B230" s="2109" t="s">
        <v>3494</v>
      </c>
      <c r="C230" s="2109" t="s">
        <v>3497</v>
      </c>
      <c r="D230" s="2109" t="s">
        <v>3611</v>
      </c>
      <c r="E230" s="2848" t="s">
        <v>3612</v>
      </c>
      <c r="F230" s="2827"/>
      <c r="G230" s="2849" t="s">
        <v>3872</v>
      </c>
      <c r="H230" s="2844">
        <f>INDEX('Fringe Data'!$K$8:$K$112,MATCH(G230,'Fringe Data'!$F$8:$F$112,0))</f>
        <v>0.36249999999999999</v>
      </c>
      <c r="I230" s="2854">
        <f>INDEX('Fringe Data'!$S$8:$S$112,MATCH(G230,'Fringe Data'!$F$8:$F$112,0))</f>
        <v>0</v>
      </c>
      <c r="J230" s="1700" t="s">
        <v>2</v>
      </c>
      <c r="K230" s="2846" t="s">
        <v>3539</v>
      </c>
      <c r="L230" s="559">
        <f>IF(ISERROR(MATCH(K230,'IPCS Data'!$AA$7:$AA$110,0)),1,0)</f>
        <v>0</v>
      </c>
      <c r="M230" s="2847"/>
      <c r="N230" s="2840"/>
    </row>
    <row r="231" spans="2:14" s="1292" customFormat="1" x14ac:dyDescent="0.25">
      <c r="B231" s="2109" t="s">
        <v>3494</v>
      </c>
      <c r="C231" s="2109" t="s">
        <v>3497</v>
      </c>
      <c r="D231" s="2109" t="s">
        <v>3613</v>
      </c>
      <c r="E231" s="2848" t="s">
        <v>3614</v>
      </c>
      <c r="F231" s="2827"/>
      <c r="G231" s="2849" t="s">
        <v>3872</v>
      </c>
      <c r="H231" s="2844">
        <f>INDEX('Fringe Data'!$K$8:$K$112,MATCH(G231,'Fringe Data'!$F$8:$F$112,0))</f>
        <v>0.36249999999999999</v>
      </c>
      <c r="I231" s="2854">
        <f>INDEX('Fringe Data'!$S$8:$S$112,MATCH(G231,'Fringe Data'!$F$8:$F$112,0))</f>
        <v>0</v>
      </c>
      <c r="J231" s="1700" t="s">
        <v>2</v>
      </c>
      <c r="K231" s="2846" t="s">
        <v>3539</v>
      </c>
      <c r="L231" s="559">
        <f>IF(ISERROR(MATCH(K231,'IPCS Data'!$AA$7:$AA$110,0)),1,0)</f>
        <v>0</v>
      </c>
      <c r="M231" s="2847"/>
      <c r="N231" s="2840"/>
    </row>
    <row r="232" spans="2:14" s="1292" customFormat="1" x14ac:dyDescent="0.25">
      <c r="B232" s="2109" t="s">
        <v>3494</v>
      </c>
      <c r="C232" s="2109" t="s">
        <v>3497</v>
      </c>
      <c r="D232" s="2109" t="s">
        <v>3615</v>
      </c>
      <c r="E232" s="2848" t="s">
        <v>3616</v>
      </c>
      <c r="F232" s="2827"/>
      <c r="G232" s="2849" t="s">
        <v>3872</v>
      </c>
      <c r="H232" s="2844">
        <f>INDEX('Fringe Data'!$K$8:$K$112,MATCH(G232,'Fringe Data'!$F$8:$F$112,0))</f>
        <v>0.36249999999999999</v>
      </c>
      <c r="I232" s="2854">
        <f>INDEX('Fringe Data'!$S$8:$S$112,MATCH(G232,'Fringe Data'!$F$8:$F$112,0))</f>
        <v>0</v>
      </c>
      <c r="J232" s="1700" t="s">
        <v>2</v>
      </c>
      <c r="K232" s="2846" t="s">
        <v>3539</v>
      </c>
      <c r="L232" s="559">
        <f>IF(ISERROR(MATCH(K232,'IPCS Data'!$AA$7:$AA$110,0)),1,0)</f>
        <v>0</v>
      </c>
      <c r="M232" s="2847"/>
      <c r="N232" s="2840"/>
    </row>
    <row r="233" spans="2:14" s="1292" customFormat="1" x14ac:dyDescent="0.25">
      <c r="B233" s="2109" t="s">
        <v>3494</v>
      </c>
      <c r="C233" s="2109" t="s">
        <v>3497</v>
      </c>
      <c r="D233" s="2109" t="s">
        <v>3617</v>
      </c>
      <c r="E233" s="2848" t="s">
        <v>3618</v>
      </c>
      <c r="F233" s="2827"/>
      <c r="G233" s="2849" t="s">
        <v>3872</v>
      </c>
      <c r="H233" s="2844">
        <f>INDEX('Fringe Data'!$K$8:$K$112,MATCH(G233,'Fringe Data'!$F$8:$F$112,0))</f>
        <v>0.36249999999999999</v>
      </c>
      <c r="I233" s="2854">
        <f>INDEX('Fringe Data'!$S$8:$S$112,MATCH(G233,'Fringe Data'!$F$8:$F$112,0))</f>
        <v>0</v>
      </c>
      <c r="J233" s="1700" t="s">
        <v>2</v>
      </c>
      <c r="K233" s="2846" t="s">
        <v>3539</v>
      </c>
      <c r="L233" s="559">
        <f>IF(ISERROR(MATCH(K233,'IPCS Data'!$AA$7:$AA$110,0)),1,0)</f>
        <v>0</v>
      </c>
      <c r="M233" s="2847"/>
      <c r="N233" s="2840"/>
    </row>
    <row r="234" spans="2:14" s="1292" customFormat="1" x14ac:dyDescent="0.25">
      <c r="B234" s="2109" t="s">
        <v>3494</v>
      </c>
      <c r="C234" s="2109" t="s">
        <v>3497</v>
      </c>
      <c r="D234" s="2109" t="s">
        <v>3619</v>
      </c>
      <c r="E234" s="2848" t="s">
        <v>3620</v>
      </c>
      <c r="F234" s="2827"/>
      <c r="G234" s="2849" t="s">
        <v>3872</v>
      </c>
      <c r="H234" s="2844">
        <f>INDEX('Fringe Data'!$K$8:$K$112,MATCH(G234,'Fringe Data'!$F$8:$F$112,0))</f>
        <v>0.36249999999999999</v>
      </c>
      <c r="I234" s="2854">
        <f>INDEX('Fringe Data'!$S$8:$S$112,MATCH(G234,'Fringe Data'!$F$8:$F$112,0))</f>
        <v>0</v>
      </c>
      <c r="J234" s="1700" t="s">
        <v>2</v>
      </c>
      <c r="K234" s="2846" t="s">
        <v>3539</v>
      </c>
      <c r="L234" s="559">
        <f>IF(ISERROR(MATCH(K234,'IPCS Data'!$AA$7:$AA$110,0)),1,0)</f>
        <v>0</v>
      </c>
      <c r="M234" s="2847"/>
      <c r="N234" s="2840"/>
    </row>
    <row r="235" spans="2:14" s="1292" customFormat="1" x14ac:dyDescent="0.25">
      <c r="B235" s="2109" t="s">
        <v>3494</v>
      </c>
      <c r="C235" s="2109" t="s">
        <v>3497</v>
      </c>
      <c r="D235" s="2109" t="s">
        <v>3621</v>
      </c>
      <c r="E235" s="2848" t="s">
        <v>3622</v>
      </c>
      <c r="F235" s="2827"/>
      <c r="G235" s="2849" t="s">
        <v>3872</v>
      </c>
      <c r="H235" s="2844">
        <f>INDEX('Fringe Data'!$K$8:$K$112,MATCH(G235,'Fringe Data'!$F$8:$F$112,0))</f>
        <v>0.36249999999999999</v>
      </c>
      <c r="I235" s="2854">
        <f>INDEX('Fringe Data'!$S$8:$S$112,MATCH(G235,'Fringe Data'!$F$8:$F$112,0))</f>
        <v>0</v>
      </c>
      <c r="J235" s="1700" t="s">
        <v>2</v>
      </c>
      <c r="K235" s="2846" t="s">
        <v>3539</v>
      </c>
      <c r="L235" s="559">
        <f>IF(ISERROR(MATCH(K235,'IPCS Data'!$AA$7:$AA$110,0)),1,0)</f>
        <v>0</v>
      </c>
      <c r="M235" s="2847"/>
      <c r="N235" s="2840"/>
    </row>
    <row r="236" spans="2:14" s="1292" customFormat="1" x14ac:dyDescent="0.25">
      <c r="B236" s="2109" t="s">
        <v>3494</v>
      </c>
      <c r="C236" s="2109" t="s">
        <v>3497</v>
      </c>
      <c r="D236" s="2109" t="s">
        <v>3623</v>
      </c>
      <c r="E236" s="2848" t="s">
        <v>3624</v>
      </c>
      <c r="F236" s="2827"/>
      <c r="G236" s="2849" t="s">
        <v>3872</v>
      </c>
      <c r="H236" s="2844">
        <f>INDEX('Fringe Data'!$K$8:$K$112,MATCH(G236,'Fringe Data'!$F$8:$F$112,0))</f>
        <v>0.36249999999999999</v>
      </c>
      <c r="I236" s="2854">
        <f>INDEX('Fringe Data'!$S$8:$S$112,MATCH(G236,'Fringe Data'!$F$8:$F$112,0))</f>
        <v>0</v>
      </c>
      <c r="J236" s="1700" t="s">
        <v>2</v>
      </c>
      <c r="K236" s="2846" t="s">
        <v>3539</v>
      </c>
      <c r="L236" s="559">
        <f>IF(ISERROR(MATCH(K236,'IPCS Data'!$AA$7:$AA$110,0)),1,0)</f>
        <v>0</v>
      </c>
      <c r="M236" s="2847"/>
      <c r="N236" s="2840"/>
    </row>
    <row r="237" spans="2:14" s="1292" customFormat="1" x14ac:dyDescent="0.25">
      <c r="B237" s="2109" t="s">
        <v>3494</v>
      </c>
      <c r="C237" s="2109" t="s">
        <v>3497</v>
      </c>
      <c r="D237" s="2109" t="s">
        <v>3923</v>
      </c>
      <c r="E237" s="2848" t="s">
        <v>3924</v>
      </c>
      <c r="F237" s="2827"/>
      <c r="G237" s="2849" t="s">
        <v>3872</v>
      </c>
      <c r="H237" s="2844">
        <f>INDEX('Fringe Data'!$K$8:$K$112,MATCH(G237,'Fringe Data'!$F$8:$F$112,0))</f>
        <v>0.36249999999999999</v>
      </c>
      <c r="I237" s="2854">
        <f>INDEX('Fringe Data'!$S$8:$S$112,MATCH(G237,'Fringe Data'!$F$8:$F$112,0))</f>
        <v>0</v>
      </c>
      <c r="J237" s="1700" t="s">
        <v>2</v>
      </c>
      <c r="K237" s="2846" t="s">
        <v>3539</v>
      </c>
      <c r="L237" s="559">
        <f>IF(ISERROR(MATCH(K237,'IPCS Data'!$AA$7:$AA$110,0)),1,0)</f>
        <v>0</v>
      </c>
      <c r="M237" s="2847"/>
      <c r="N237" s="2840"/>
    </row>
    <row r="238" spans="2:14" s="1292" customFormat="1" ht="13.8" thickBot="1" x14ac:dyDescent="0.3">
      <c r="B238" s="2109" t="s">
        <v>3494</v>
      </c>
      <c r="C238" s="2109" t="s">
        <v>3497</v>
      </c>
      <c r="D238" s="2109" t="s">
        <v>3625</v>
      </c>
      <c r="E238" s="2848" t="s">
        <v>3626</v>
      </c>
      <c r="F238" s="2827"/>
      <c r="G238" s="2849" t="s">
        <v>3872</v>
      </c>
      <c r="H238" s="2844">
        <f>INDEX('Fringe Data'!$K$8:$K$112,MATCH(G238,'Fringe Data'!$F$8:$F$112,0))</f>
        <v>0.36249999999999999</v>
      </c>
      <c r="I238" s="2854">
        <f>INDEX('Fringe Data'!$S$8:$S$112,MATCH(G238,'Fringe Data'!$F$8:$F$112,0))</f>
        <v>0</v>
      </c>
      <c r="J238" s="1700" t="s">
        <v>2</v>
      </c>
      <c r="K238" s="2846" t="s">
        <v>3539</v>
      </c>
      <c r="L238" s="559">
        <f>IF(ISERROR(MATCH(K238,'IPCS Data'!$AA$7:$AA$110,0)),1,0)</f>
        <v>0</v>
      </c>
      <c r="M238" s="2847"/>
      <c r="N238" s="2840"/>
    </row>
    <row r="239" spans="2:14" s="1292" customFormat="1" ht="22.8" thickBot="1" x14ac:dyDescent="0.3">
      <c r="B239" s="2829" t="s">
        <v>837</v>
      </c>
      <c r="C239" s="2830" t="s">
        <v>3544</v>
      </c>
      <c r="D239" s="2830" t="s">
        <v>359</v>
      </c>
      <c r="E239" s="2831" t="s">
        <v>3545</v>
      </c>
      <c r="F239" s="2827"/>
      <c r="G239" s="2832" t="s">
        <v>3546</v>
      </c>
      <c r="H239" s="2833" t="s">
        <v>3547</v>
      </c>
      <c r="I239" s="2954" t="s">
        <v>3548</v>
      </c>
      <c r="J239" s="2834" t="s">
        <v>3549</v>
      </c>
      <c r="K239" s="2835" t="s">
        <v>3525</v>
      </c>
      <c r="L239" s="2835"/>
      <c r="M239" s="2836" t="s">
        <v>3550</v>
      </c>
      <c r="N239" s="2840"/>
    </row>
    <row r="240" spans="2:14" s="1292" customFormat="1" x14ac:dyDescent="0.25">
      <c r="B240" s="2109" t="s">
        <v>3494</v>
      </c>
      <c r="C240" s="2109" t="s">
        <v>3500</v>
      </c>
      <c r="D240" s="2109" t="s">
        <v>3925</v>
      </c>
      <c r="E240" s="2848" t="s">
        <v>3926</v>
      </c>
      <c r="F240" s="2827"/>
      <c r="G240" s="2849" t="s">
        <v>3872</v>
      </c>
      <c r="H240" s="2844">
        <f>INDEX('Fringe Data'!$K$8:$K$112,MATCH(G240,'Fringe Data'!$F$8:$F$112,0))</f>
        <v>0.36249999999999999</v>
      </c>
      <c r="I240" s="2854">
        <f>INDEX('Fringe Data'!$S$8:$S$112,MATCH(G240,'Fringe Data'!$F$8:$F$112,0))</f>
        <v>0</v>
      </c>
      <c r="J240" s="1700" t="s">
        <v>2</v>
      </c>
      <c r="K240" s="2846" t="s">
        <v>3537</v>
      </c>
      <c r="L240" s="559">
        <f>IF(ISERROR(MATCH(K240,'IPCS Data'!$AA$7:$AA$110,0)),1,0)</f>
        <v>0</v>
      </c>
      <c r="M240" s="2847"/>
      <c r="N240" s="2840"/>
    </row>
    <row r="241" spans="2:14" s="1292" customFormat="1" x14ac:dyDescent="0.25">
      <c r="B241" s="2109" t="s">
        <v>3494</v>
      </c>
      <c r="C241" s="2109" t="s">
        <v>3500</v>
      </c>
      <c r="D241" s="2109" t="s">
        <v>3927</v>
      </c>
      <c r="E241" s="2848" t="s">
        <v>3928</v>
      </c>
      <c r="F241" s="2827"/>
      <c r="G241" s="2849" t="s">
        <v>3872</v>
      </c>
      <c r="H241" s="2844">
        <f>INDEX('Fringe Data'!$K$8:$K$112,MATCH(G241,'Fringe Data'!$F$8:$F$112,0))</f>
        <v>0.36249999999999999</v>
      </c>
      <c r="I241" s="2854">
        <f>INDEX('Fringe Data'!$S$8:$S$112,MATCH(G241,'Fringe Data'!$F$8:$F$112,0))</f>
        <v>0</v>
      </c>
      <c r="J241" s="1700" t="s">
        <v>2</v>
      </c>
      <c r="K241" s="2846" t="s">
        <v>3537</v>
      </c>
      <c r="L241" s="559">
        <f>IF(ISERROR(MATCH(K241,'IPCS Data'!$AA$7:$AA$110,0)),1,0)</f>
        <v>0</v>
      </c>
      <c r="M241" s="2847"/>
      <c r="N241" s="2840"/>
    </row>
    <row r="242" spans="2:14" s="1292" customFormat="1" x14ac:dyDescent="0.25">
      <c r="B242" s="2109" t="s">
        <v>3494</v>
      </c>
      <c r="C242" s="2109" t="s">
        <v>3500</v>
      </c>
      <c r="D242" s="2109" t="s">
        <v>3929</v>
      </c>
      <c r="E242" s="2848" t="s">
        <v>3930</v>
      </c>
      <c r="F242" s="2827"/>
      <c r="G242" s="2849" t="s">
        <v>3872</v>
      </c>
      <c r="H242" s="2844">
        <f>INDEX('Fringe Data'!$K$8:$K$112,MATCH(G242,'Fringe Data'!$F$8:$F$112,0))</f>
        <v>0.36249999999999999</v>
      </c>
      <c r="I242" s="2854">
        <f>INDEX('Fringe Data'!$S$8:$S$112,MATCH(G242,'Fringe Data'!$F$8:$F$112,0))</f>
        <v>0</v>
      </c>
      <c r="J242" s="1700" t="s">
        <v>2</v>
      </c>
      <c r="K242" s="2846" t="s">
        <v>3537</v>
      </c>
      <c r="L242" s="559">
        <f>IF(ISERROR(MATCH(K242,'IPCS Data'!$AA$7:$AA$110,0)),1,0)</f>
        <v>0</v>
      </c>
      <c r="M242" s="2847"/>
      <c r="N242" s="2840"/>
    </row>
    <row r="243" spans="2:14" s="1292" customFormat="1" x14ac:dyDescent="0.25">
      <c r="B243" s="2109" t="s">
        <v>3494</v>
      </c>
      <c r="C243" s="2109" t="s">
        <v>3500</v>
      </c>
      <c r="D243" s="2109" t="s">
        <v>3627</v>
      </c>
      <c r="E243" s="2848" t="s">
        <v>3628</v>
      </c>
      <c r="F243" s="2827"/>
      <c r="G243" s="2849" t="s">
        <v>3872</v>
      </c>
      <c r="H243" s="2844">
        <f>INDEX('Fringe Data'!$K$8:$K$112,MATCH(G243,'Fringe Data'!$F$8:$F$112,0))</f>
        <v>0.36249999999999999</v>
      </c>
      <c r="I243" s="2854">
        <f>INDEX('Fringe Data'!$S$8:$S$112,MATCH(G243,'Fringe Data'!$F$8:$F$112,0))</f>
        <v>0</v>
      </c>
      <c r="J243" s="1700" t="s">
        <v>2</v>
      </c>
      <c r="K243" s="2846" t="s">
        <v>3537</v>
      </c>
      <c r="L243" s="559">
        <f>IF(ISERROR(MATCH(K243,'IPCS Data'!$AA$7:$AA$110,0)),1,0)</f>
        <v>0</v>
      </c>
      <c r="M243" s="2847"/>
      <c r="N243" s="2840"/>
    </row>
    <row r="244" spans="2:14" s="1292" customFormat="1" x14ac:dyDescent="0.25">
      <c r="B244" s="2109" t="s">
        <v>3494</v>
      </c>
      <c r="C244" s="2109" t="s">
        <v>3500</v>
      </c>
      <c r="D244" s="2109" t="s">
        <v>3629</v>
      </c>
      <c r="E244" s="2848" t="s">
        <v>3630</v>
      </c>
      <c r="F244" s="2827"/>
      <c r="G244" s="2849" t="s">
        <v>3872</v>
      </c>
      <c r="H244" s="2844">
        <f>INDEX('Fringe Data'!$K$8:$K$112,MATCH(G244,'Fringe Data'!$F$8:$F$112,0))</f>
        <v>0.36249999999999999</v>
      </c>
      <c r="I244" s="2854">
        <f>INDEX('Fringe Data'!$S$8:$S$112,MATCH(G244,'Fringe Data'!$F$8:$F$112,0))</f>
        <v>0</v>
      </c>
      <c r="J244" s="1700" t="s">
        <v>2</v>
      </c>
      <c r="K244" s="2846" t="s">
        <v>3537</v>
      </c>
      <c r="L244" s="559">
        <f>IF(ISERROR(MATCH(K244,'IPCS Data'!$AA$7:$AA$110,0)),1,0)</f>
        <v>0</v>
      </c>
      <c r="M244" s="2847"/>
      <c r="N244" s="2840"/>
    </row>
    <row r="245" spans="2:14" s="1292" customFormat="1" x14ac:dyDescent="0.25">
      <c r="B245" s="2109" t="s">
        <v>3494</v>
      </c>
      <c r="C245" s="2109" t="s">
        <v>3500</v>
      </c>
      <c r="D245" s="2109" t="s">
        <v>3631</v>
      </c>
      <c r="E245" s="2848" t="s">
        <v>3632</v>
      </c>
      <c r="F245" s="2827"/>
      <c r="G245" s="2849" t="s">
        <v>3872</v>
      </c>
      <c r="H245" s="2844">
        <f>INDEX('Fringe Data'!$K$8:$K$112,MATCH(G245,'Fringe Data'!$F$8:$F$112,0))</f>
        <v>0.36249999999999999</v>
      </c>
      <c r="I245" s="2854">
        <f>INDEX('Fringe Data'!$S$8:$S$112,MATCH(G245,'Fringe Data'!$F$8:$F$112,0))</f>
        <v>0</v>
      </c>
      <c r="J245" s="1700" t="s">
        <v>2</v>
      </c>
      <c r="K245" s="2846" t="s">
        <v>3537</v>
      </c>
      <c r="L245" s="559">
        <f>IF(ISERROR(MATCH(K245,'IPCS Data'!$AA$7:$AA$110,0)),1,0)</f>
        <v>0</v>
      </c>
      <c r="M245" s="2847"/>
      <c r="N245" s="2840"/>
    </row>
    <row r="246" spans="2:14" s="1292" customFormat="1" x14ac:dyDescent="0.25">
      <c r="B246" s="2109" t="s">
        <v>3494</v>
      </c>
      <c r="C246" s="2109" t="s">
        <v>3500</v>
      </c>
      <c r="D246" s="2109" t="s">
        <v>3633</v>
      </c>
      <c r="E246" s="2848" t="s">
        <v>3634</v>
      </c>
      <c r="F246" s="2827"/>
      <c r="G246" s="2849" t="s">
        <v>3872</v>
      </c>
      <c r="H246" s="2844">
        <f>INDEX('Fringe Data'!$K$8:$K$112,MATCH(G246,'Fringe Data'!$F$8:$F$112,0))</f>
        <v>0.36249999999999999</v>
      </c>
      <c r="I246" s="2854">
        <f>INDEX('Fringe Data'!$S$8:$S$112,MATCH(G246,'Fringe Data'!$F$8:$F$112,0))</f>
        <v>0</v>
      </c>
      <c r="J246" s="1700" t="s">
        <v>2</v>
      </c>
      <c r="K246" s="2846" t="s">
        <v>3537</v>
      </c>
      <c r="L246" s="559">
        <f>IF(ISERROR(MATCH(K246,'IPCS Data'!$AA$7:$AA$110,0)),1,0)</f>
        <v>0</v>
      </c>
      <c r="M246" s="2847"/>
      <c r="N246" s="2840"/>
    </row>
    <row r="247" spans="2:14" s="1292" customFormat="1" x14ac:dyDescent="0.25">
      <c r="B247" s="2109" t="s">
        <v>3494</v>
      </c>
      <c r="C247" s="2109" t="s">
        <v>3500</v>
      </c>
      <c r="D247" s="2109" t="s">
        <v>3635</v>
      </c>
      <c r="E247" s="2848" t="s">
        <v>3636</v>
      </c>
      <c r="F247" s="2827"/>
      <c r="G247" s="2849" t="s">
        <v>3872</v>
      </c>
      <c r="H247" s="2844">
        <f>INDEX('Fringe Data'!$K$8:$K$112,MATCH(G247,'Fringe Data'!$F$8:$F$112,0))</f>
        <v>0.36249999999999999</v>
      </c>
      <c r="I247" s="2854">
        <f>INDEX('Fringe Data'!$S$8:$S$112,MATCH(G247,'Fringe Data'!$F$8:$F$112,0))</f>
        <v>0</v>
      </c>
      <c r="J247" s="1700" t="s">
        <v>2</v>
      </c>
      <c r="K247" s="2846" t="s">
        <v>3537</v>
      </c>
      <c r="L247" s="559">
        <f>IF(ISERROR(MATCH(K247,'IPCS Data'!$AA$7:$AA$110,0)),1,0)</f>
        <v>0</v>
      </c>
      <c r="M247" s="2847"/>
      <c r="N247" s="2840"/>
    </row>
    <row r="248" spans="2:14" s="1292" customFormat="1" x14ac:dyDescent="0.25">
      <c r="B248" s="2109" t="s">
        <v>3494</v>
      </c>
      <c r="C248" s="2109" t="s">
        <v>3500</v>
      </c>
      <c r="D248" s="2109" t="s">
        <v>3637</v>
      </c>
      <c r="E248" s="2848" t="s">
        <v>3638</v>
      </c>
      <c r="F248" s="2827"/>
      <c r="G248" s="2849" t="s">
        <v>3872</v>
      </c>
      <c r="H248" s="2844">
        <f>INDEX('Fringe Data'!$K$8:$K$112,MATCH(G248,'Fringe Data'!$F$8:$F$112,0))</f>
        <v>0.36249999999999999</v>
      </c>
      <c r="I248" s="2854">
        <f>INDEX('Fringe Data'!$S$8:$S$112,MATCH(G248,'Fringe Data'!$F$8:$F$112,0))</f>
        <v>0</v>
      </c>
      <c r="J248" s="1700" t="s">
        <v>2</v>
      </c>
      <c r="K248" s="2846" t="s">
        <v>3537</v>
      </c>
      <c r="L248" s="559">
        <f>IF(ISERROR(MATCH(K248,'IPCS Data'!$AA$7:$AA$110,0)),1,0)</f>
        <v>0</v>
      </c>
      <c r="M248" s="2847"/>
      <c r="N248" s="2840"/>
    </row>
    <row r="249" spans="2:14" s="1292" customFormat="1" x14ac:dyDescent="0.25">
      <c r="B249" s="2109" t="s">
        <v>3494</v>
      </c>
      <c r="C249" s="2109" t="s">
        <v>3500</v>
      </c>
      <c r="D249" s="2109" t="s">
        <v>3639</v>
      </c>
      <c r="E249" s="2848" t="s">
        <v>3640</v>
      </c>
      <c r="F249" s="2827"/>
      <c r="G249" s="2849" t="s">
        <v>3872</v>
      </c>
      <c r="H249" s="2844">
        <f>INDEX('Fringe Data'!$K$8:$K$112,MATCH(G249,'Fringe Data'!$F$8:$F$112,0))</f>
        <v>0.36249999999999999</v>
      </c>
      <c r="I249" s="2854">
        <f>INDEX('Fringe Data'!$S$8:$S$112,MATCH(G249,'Fringe Data'!$F$8:$F$112,0))</f>
        <v>0</v>
      </c>
      <c r="J249" s="1700" t="s">
        <v>2</v>
      </c>
      <c r="K249" s="2846" t="s">
        <v>3537</v>
      </c>
      <c r="L249" s="559">
        <f>IF(ISERROR(MATCH(K249,'IPCS Data'!$AA$7:$AA$110,0)),1,0)</f>
        <v>0</v>
      </c>
      <c r="M249" s="2847"/>
      <c r="N249" s="2840"/>
    </row>
    <row r="250" spans="2:14" s="1292" customFormat="1" x14ac:dyDescent="0.25">
      <c r="B250" s="2109" t="s">
        <v>3494</v>
      </c>
      <c r="C250" s="2109" t="s">
        <v>3500</v>
      </c>
      <c r="D250" s="2109" t="s">
        <v>3641</v>
      </c>
      <c r="E250" s="2848" t="s">
        <v>3642</v>
      </c>
      <c r="F250" s="2827"/>
      <c r="G250" s="2849" t="s">
        <v>3872</v>
      </c>
      <c r="H250" s="2844">
        <f>INDEX('Fringe Data'!$K$8:$K$112,MATCH(G250,'Fringe Data'!$F$8:$F$112,0))</f>
        <v>0.36249999999999999</v>
      </c>
      <c r="I250" s="2854">
        <f>INDEX('Fringe Data'!$S$8:$S$112,MATCH(G250,'Fringe Data'!$F$8:$F$112,0))</f>
        <v>0</v>
      </c>
      <c r="J250" s="1700" t="s">
        <v>2</v>
      </c>
      <c r="K250" s="2846" t="s">
        <v>3537</v>
      </c>
      <c r="L250" s="559">
        <f>IF(ISERROR(MATCH(K250,'IPCS Data'!$AA$7:$AA$110,0)),1,0)</f>
        <v>0</v>
      </c>
      <c r="M250" s="2847"/>
      <c r="N250" s="2840"/>
    </row>
    <row r="251" spans="2:14" s="1292" customFormat="1" ht="13.8" thickBot="1" x14ac:dyDescent="0.3">
      <c r="B251" s="2109" t="s">
        <v>3494</v>
      </c>
      <c r="C251" s="2109" t="s">
        <v>3500</v>
      </c>
      <c r="D251" s="2109" t="s">
        <v>3931</v>
      </c>
      <c r="E251" s="2848" t="s">
        <v>3932</v>
      </c>
      <c r="F251" s="2827"/>
      <c r="G251" s="2849" t="s">
        <v>3872</v>
      </c>
      <c r="H251" s="2844">
        <f>INDEX('Fringe Data'!$K$8:$K$112,MATCH(G251,'Fringe Data'!$F$8:$F$112,0))</f>
        <v>0.36249999999999999</v>
      </c>
      <c r="I251" s="2854">
        <f>INDEX('Fringe Data'!$S$8:$S$112,MATCH(G251,'Fringe Data'!$F$8:$F$112,0))</f>
        <v>0</v>
      </c>
      <c r="J251" s="1700" t="s">
        <v>2</v>
      </c>
      <c r="K251" s="2846" t="s">
        <v>3537</v>
      </c>
      <c r="L251" s="559">
        <f>IF(ISERROR(MATCH(K251,'IPCS Data'!$AA$7:$AA$110,0)),1,0)</f>
        <v>0</v>
      </c>
      <c r="M251" s="2847"/>
      <c r="N251" s="2840"/>
    </row>
    <row r="252" spans="2:14" s="1292" customFormat="1" ht="22.8" thickBot="1" x14ac:dyDescent="0.3">
      <c r="B252" s="2829" t="s">
        <v>837</v>
      </c>
      <c r="C252" s="2830" t="s">
        <v>3544</v>
      </c>
      <c r="D252" s="2830" t="s">
        <v>359</v>
      </c>
      <c r="E252" s="2831" t="s">
        <v>3545</v>
      </c>
      <c r="F252" s="2827"/>
      <c r="G252" s="2832" t="s">
        <v>3546</v>
      </c>
      <c r="H252" s="2833" t="s">
        <v>3547</v>
      </c>
      <c r="I252" s="2954" t="s">
        <v>3548</v>
      </c>
      <c r="J252" s="2834" t="s">
        <v>3549</v>
      </c>
      <c r="K252" s="2835" t="s">
        <v>3525</v>
      </c>
      <c r="L252" s="2835"/>
      <c r="M252" s="2836" t="s">
        <v>3550</v>
      </c>
      <c r="N252" s="2840"/>
    </row>
    <row r="253" spans="2:14" s="1292" customFormat="1" x14ac:dyDescent="0.25">
      <c r="B253" s="2109" t="s">
        <v>3494</v>
      </c>
      <c r="C253" s="2109" t="s">
        <v>3503</v>
      </c>
      <c r="D253" s="2109" t="s">
        <v>3643</v>
      </c>
      <c r="E253" s="2848" t="s">
        <v>3644</v>
      </c>
      <c r="F253" s="2827"/>
      <c r="G253" s="2849" t="s">
        <v>3872</v>
      </c>
      <c r="H253" s="2844">
        <f>INDEX('Fringe Data'!$K$8:$K$112,MATCH(G253,'Fringe Data'!$F$8:$F$112,0))</f>
        <v>0.36249999999999999</v>
      </c>
      <c r="I253" s="2854">
        <f>INDEX('Fringe Data'!$S$8:$S$112,MATCH(G253,'Fringe Data'!$F$8:$F$112,0))</f>
        <v>0</v>
      </c>
      <c r="J253" s="1700" t="s">
        <v>2</v>
      </c>
      <c r="K253" s="2846" t="s">
        <v>3538</v>
      </c>
      <c r="L253" s="559">
        <f>IF(ISERROR(MATCH(K253,'IPCS Data'!$AA$7:$AA$110,0)),1,0)</f>
        <v>0</v>
      </c>
      <c r="M253" s="2847"/>
      <c r="N253" s="2840"/>
    </row>
    <row r="254" spans="2:14" s="1292" customFormat="1" ht="13.8" thickBot="1" x14ac:dyDescent="0.3">
      <c r="B254" s="2109" t="s">
        <v>3494</v>
      </c>
      <c r="C254" s="2109" t="s">
        <v>3503</v>
      </c>
      <c r="D254" s="2109" t="s">
        <v>3645</v>
      </c>
      <c r="E254" s="2848" t="s">
        <v>3646</v>
      </c>
      <c r="F254" s="2827"/>
      <c r="G254" s="2849" t="s">
        <v>3872</v>
      </c>
      <c r="H254" s="2844">
        <f>INDEX('Fringe Data'!$K$8:$K$112,MATCH(G254,'Fringe Data'!$F$8:$F$112,0))</f>
        <v>0.36249999999999999</v>
      </c>
      <c r="I254" s="2854">
        <f>INDEX('Fringe Data'!$S$8:$S$112,MATCH(G254,'Fringe Data'!$F$8:$F$112,0))</f>
        <v>0</v>
      </c>
      <c r="J254" s="1700" t="s">
        <v>2</v>
      </c>
      <c r="K254" s="2846" t="s">
        <v>3538</v>
      </c>
      <c r="L254" s="559">
        <f>IF(ISERROR(MATCH(K254,'IPCS Data'!$AA$7:$AA$110,0)),1,0)</f>
        <v>0</v>
      </c>
      <c r="M254" s="2847"/>
      <c r="N254" s="2840"/>
    </row>
    <row r="255" spans="2:14" s="1292" customFormat="1" ht="22.8" thickBot="1" x14ac:dyDescent="0.3">
      <c r="B255" s="2829" t="s">
        <v>837</v>
      </c>
      <c r="C255" s="2830" t="s">
        <v>3544</v>
      </c>
      <c r="D255" s="2830" t="s">
        <v>359</v>
      </c>
      <c r="E255" s="2831" t="s">
        <v>3545</v>
      </c>
      <c r="F255" s="2827"/>
      <c r="G255" s="2832" t="s">
        <v>3546</v>
      </c>
      <c r="H255" s="2833" t="s">
        <v>3547</v>
      </c>
      <c r="I255" s="2954" t="s">
        <v>3548</v>
      </c>
      <c r="J255" s="2834" t="s">
        <v>3549</v>
      </c>
      <c r="K255" s="2835" t="s">
        <v>3525</v>
      </c>
      <c r="L255" s="2835"/>
      <c r="M255" s="2836" t="s">
        <v>3550</v>
      </c>
      <c r="N255" s="2840"/>
    </row>
    <row r="256" spans="2:14" s="1292" customFormat="1" x14ac:dyDescent="0.25">
      <c r="B256" s="2118" t="s">
        <v>3297</v>
      </c>
      <c r="C256" s="2118" t="s">
        <v>4248</v>
      </c>
      <c r="D256" s="2118" t="s">
        <v>4251</v>
      </c>
      <c r="E256" s="2852" t="s">
        <v>3060</v>
      </c>
      <c r="F256" s="2827"/>
      <c r="G256" s="2849" t="s">
        <v>4221</v>
      </c>
      <c r="H256" s="2844">
        <f>INDEX('Fringe Data'!$K$8:$K$112,MATCH(G256,'Fringe Data'!$F$8:$F$112,0))</f>
        <v>0.5</v>
      </c>
      <c r="I256" s="2854">
        <f>INDEX('Fringe Data'!$S$8:$S$112,MATCH(G256,'Fringe Data'!$F$8:$F$112,0))</f>
        <v>1.73</v>
      </c>
      <c r="J256" s="1700" t="s">
        <v>44</v>
      </c>
      <c r="K256" s="2846" t="s">
        <v>4248</v>
      </c>
      <c r="L256" s="559">
        <f>IF(ISERROR(MATCH(K256,'IPCS Data'!$AA$7:$AA$110,0)),1,0)</f>
        <v>0</v>
      </c>
      <c r="M256" s="2847"/>
      <c r="N256" s="2840"/>
    </row>
    <row r="257" spans="2:14" s="1292" customFormat="1" ht="13.8" thickBot="1" x14ac:dyDescent="0.3">
      <c r="B257" s="2119" t="s">
        <v>3297</v>
      </c>
      <c r="C257" s="2119" t="s">
        <v>4248</v>
      </c>
      <c r="D257" s="2119" t="s">
        <v>4252</v>
      </c>
      <c r="E257" s="3231" t="s">
        <v>3061</v>
      </c>
      <c r="F257" s="2827"/>
      <c r="G257" s="2849" t="s">
        <v>349</v>
      </c>
      <c r="H257" s="2844">
        <f>INDEX('Fringe Data'!$K$8:$K$112,MATCH(G257,'Fringe Data'!$F$8:$F$112,0))</f>
        <v>0.61</v>
      </c>
      <c r="I257" s="2854">
        <f>INDEX('Fringe Data'!$S$8:$S$112,MATCH(G257,'Fringe Data'!$F$8:$F$112,0))</f>
        <v>3.6</v>
      </c>
      <c r="J257" s="1700" t="s">
        <v>43</v>
      </c>
      <c r="K257" s="2846" t="s">
        <v>4248</v>
      </c>
      <c r="L257" s="559">
        <f>IF(ISERROR(MATCH(K257,'IPCS Data'!$AA$7:$AA$110,0)),1,0)</f>
        <v>0</v>
      </c>
      <c r="M257" s="2847"/>
      <c r="N257" s="2840"/>
    </row>
    <row r="258" spans="2:14" s="1292" customFormat="1" x14ac:dyDescent="0.25">
      <c r="B258" s="2117" t="s">
        <v>3297</v>
      </c>
      <c r="C258" s="2117" t="s">
        <v>4250</v>
      </c>
      <c r="D258" s="2117" t="s">
        <v>3648</v>
      </c>
      <c r="E258" s="3230" t="s">
        <v>3078</v>
      </c>
      <c r="F258" s="2827"/>
      <c r="G258" s="2849" t="s">
        <v>357</v>
      </c>
      <c r="H258" s="2844">
        <f>INDEX('Fringe Data'!$K$8:$K$112,MATCH(G258,'Fringe Data'!$F$8:$F$112,0))</f>
        <v>0.45500000000000002</v>
      </c>
      <c r="I258" s="2854">
        <f>INDEX('Fringe Data'!$S$8:$S$112,MATCH(G258,'Fringe Data'!$F$8:$F$112,0))</f>
        <v>2.54</v>
      </c>
      <c r="J258" s="1700" t="s">
        <v>43</v>
      </c>
      <c r="K258" s="2846" t="s">
        <v>4250</v>
      </c>
      <c r="L258" s="559">
        <f>IF(ISERROR(MATCH(K258,'IPCS Data'!$AA$7:$AA$110,0)),1,0)</f>
        <v>0</v>
      </c>
      <c r="M258" s="2847"/>
      <c r="N258" s="2840"/>
    </row>
    <row r="259" spans="2:14" s="1292" customFormat="1" x14ac:dyDescent="0.25">
      <c r="B259" s="2118" t="s">
        <v>3297</v>
      </c>
      <c r="C259" s="2118" t="s">
        <v>4250</v>
      </c>
      <c r="D259" s="2118" t="s">
        <v>3649</v>
      </c>
      <c r="E259" s="2852" t="s">
        <v>3079</v>
      </c>
      <c r="F259" s="2827"/>
      <c r="G259" s="2849" t="s">
        <v>4221</v>
      </c>
      <c r="H259" s="2844">
        <f>INDEX('Fringe Data'!$K$8:$K$112,MATCH(G259,'Fringe Data'!$F$8:$F$112,0))</f>
        <v>0.5</v>
      </c>
      <c r="I259" s="2854">
        <f>INDEX('Fringe Data'!$S$8:$S$112,MATCH(G259,'Fringe Data'!$F$8:$F$112,0))</f>
        <v>1.73</v>
      </c>
      <c r="J259" s="1700" t="s">
        <v>44</v>
      </c>
      <c r="K259" s="2846" t="s">
        <v>4250</v>
      </c>
      <c r="L259" s="559">
        <f>IF(ISERROR(MATCH(K259,'IPCS Data'!$AA$7:$AA$110,0)),1,0)</f>
        <v>0</v>
      </c>
      <c r="M259" s="2847"/>
      <c r="N259" s="2840"/>
    </row>
    <row r="260" spans="2:14" s="1292" customFormat="1" x14ac:dyDescent="0.25">
      <c r="B260" s="2118" t="s">
        <v>3297</v>
      </c>
      <c r="C260" s="2118" t="s">
        <v>4250</v>
      </c>
      <c r="D260" s="2118" t="s">
        <v>3667</v>
      </c>
      <c r="E260" s="2852" t="s">
        <v>3062</v>
      </c>
      <c r="F260" s="2827"/>
      <c r="G260" s="2849" t="s">
        <v>4221</v>
      </c>
      <c r="H260" s="2844">
        <f>INDEX('Fringe Data'!$K$8:$K$112,MATCH(G260,'Fringe Data'!$F$8:$F$112,0))</f>
        <v>0.5</v>
      </c>
      <c r="I260" s="2854">
        <f>INDEX('Fringe Data'!$S$8:$S$112,MATCH(G260,'Fringe Data'!$F$8:$F$112,0))</f>
        <v>1.73</v>
      </c>
      <c r="J260" s="1700" t="s">
        <v>44</v>
      </c>
      <c r="K260" s="2846" t="s">
        <v>3509</v>
      </c>
      <c r="L260" s="559">
        <f>IF(ISERROR(MATCH(K260,'IPCS Data'!$AA$7:$AA$110,0)),1,0)</f>
        <v>0</v>
      </c>
      <c r="M260" s="2847"/>
      <c r="N260" s="2840"/>
    </row>
    <row r="261" spans="2:14" s="1292" customFormat="1" x14ac:dyDescent="0.25">
      <c r="B261" s="2118" t="s">
        <v>3297</v>
      </c>
      <c r="C261" s="2118" t="s">
        <v>4250</v>
      </c>
      <c r="D261" s="2118" t="s">
        <v>3668</v>
      </c>
      <c r="E261" s="2852" t="s">
        <v>3063</v>
      </c>
      <c r="F261" s="2827"/>
      <c r="G261" s="2849" t="s">
        <v>357</v>
      </c>
      <c r="H261" s="2844">
        <f>INDEX('Fringe Data'!$K$8:$K$112,MATCH(G261,'Fringe Data'!$F$8:$F$112,0))</f>
        <v>0.45500000000000002</v>
      </c>
      <c r="I261" s="2854">
        <f>INDEX('Fringe Data'!$S$8:$S$112,MATCH(G261,'Fringe Data'!$F$8:$F$112,0))</f>
        <v>2.54</v>
      </c>
      <c r="J261" s="1700" t="s">
        <v>43</v>
      </c>
      <c r="K261" s="2846" t="s">
        <v>3509</v>
      </c>
      <c r="L261" s="559">
        <f>IF(ISERROR(MATCH(K261,'IPCS Data'!$AA$7:$AA$110,0)),1,0)</f>
        <v>0</v>
      </c>
      <c r="M261" s="2847"/>
      <c r="N261" s="2840"/>
    </row>
    <row r="262" spans="2:14" s="1292" customFormat="1" ht="13.8" thickBot="1" x14ac:dyDescent="0.3">
      <c r="B262" s="2119" t="s">
        <v>3297</v>
      </c>
      <c r="C262" s="2119" t="s">
        <v>4250</v>
      </c>
      <c r="D262" s="2119" t="s">
        <v>3669</v>
      </c>
      <c r="E262" s="3231" t="s">
        <v>3064</v>
      </c>
      <c r="F262" s="2827"/>
      <c r="G262" s="2849" t="s">
        <v>4221</v>
      </c>
      <c r="H262" s="2844">
        <f>INDEX('Fringe Data'!$K$8:$K$112,MATCH(G262,'Fringe Data'!$F$8:$F$112,0))</f>
        <v>0.5</v>
      </c>
      <c r="I262" s="2854">
        <f>INDEX('Fringe Data'!$S$8:$S$112,MATCH(G262,'Fringe Data'!$F$8:$F$112,0))</f>
        <v>1.73</v>
      </c>
      <c r="J262" s="1700" t="s">
        <v>44</v>
      </c>
      <c r="K262" s="2846" t="s">
        <v>3509</v>
      </c>
      <c r="L262" s="559">
        <f>IF(ISERROR(MATCH(K262,'IPCS Data'!$AA$7:$AA$110,0)),1,0)</f>
        <v>0</v>
      </c>
      <c r="M262" s="2847"/>
      <c r="N262" s="2840"/>
    </row>
    <row r="263" spans="2:14" s="1292" customFormat="1" x14ac:dyDescent="0.25">
      <c r="B263" s="2117" t="s">
        <v>3297</v>
      </c>
      <c r="C263" s="2117" t="s">
        <v>3504</v>
      </c>
      <c r="D263" s="2117" t="s">
        <v>3650</v>
      </c>
      <c r="E263" s="3230" t="s">
        <v>3651</v>
      </c>
      <c r="F263" s="2827"/>
      <c r="G263" s="2849" t="s">
        <v>357</v>
      </c>
      <c r="H263" s="2844">
        <f>INDEX('Fringe Data'!$K$8:$K$112,MATCH(G263,'Fringe Data'!$F$8:$F$112,0))</f>
        <v>0.45500000000000002</v>
      </c>
      <c r="I263" s="2854">
        <f>INDEX('Fringe Data'!$S$8:$S$112,MATCH(G263,'Fringe Data'!$F$8:$F$112,0))</f>
        <v>2.54</v>
      </c>
      <c r="J263" s="1700" t="s">
        <v>43</v>
      </c>
      <c r="K263" s="2846" t="s">
        <v>3504</v>
      </c>
      <c r="L263" s="559">
        <f>IF(ISERROR(MATCH(K263,'IPCS Data'!$AA$7:$AA$110,0)),1,0)</f>
        <v>0</v>
      </c>
      <c r="M263" s="2847"/>
      <c r="N263" s="2840"/>
    </row>
    <row r="264" spans="2:14" s="1292" customFormat="1" x14ac:dyDescent="0.25">
      <c r="B264" s="2118" t="s">
        <v>3297</v>
      </c>
      <c r="C264" s="2118" t="s">
        <v>3504</v>
      </c>
      <c r="D264" s="2118" t="s">
        <v>3652</v>
      </c>
      <c r="E264" s="2852" t="s">
        <v>3653</v>
      </c>
      <c r="F264" s="2827"/>
      <c r="G264" s="2849" t="s">
        <v>4221</v>
      </c>
      <c r="H264" s="2844">
        <f>INDEX('Fringe Data'!$K$8:$K$112,MATCH(G264,'Fringe Data'!$F$8:$F$112,0))</f>
        <v>0.5</v>
      </c>
      <c r="I264" s="2854">
        <f>INDEX('Fringe Data'!$S$8:$S$112,MATCH(G264,'Fringe Data'!$F$8:$F$112,0))</f>
        <v>1.73</v>
      </c>
      <c r="J264" s="1700" t="s">
        <v>44</v>
      </c>
      <c r="K264" s="2846" t="s">
        <v>3504</v>
      </c>
      <c r="L264" s="559">
        <f>IF(ISERROR(MATCH(K264,'IPCS Data'!$AA$7:$AA$110,0)),1,0)</f>
        <v>0</v>
      </c>
      <c r="M264" s="2847"/>
      <c r="N264" s="2840"/>
    </row>
    <row r="265" spans="2:14" s="1292" customFormat="1" x14ac:dyDescent="0.25">
      <c r="B265" s="2118" t="s">
        <v>3297</v>
      </c>
      <c r="C265" s="2118" t="s">
        <v>3504</v>
      </c>
      <c r="D265" s="2118" t="s">
        <v>3654</v>
      </c>
      <c r="E265" s="2852" t="s">
        <v>3065</v>
      </c>
      <c r="F265" s="2827"/>
      <c r="G265" s="2849" t="s">
        <v>4221</v>
      </c>
      <c r="H265" s="2844">
        <f>INDEX('Fringe Data'!$K$8:$K$112,MATCH(G265,'Fringe Data'!$F$8:$F$112,0))</f>
        <v>0.5</v>
      </c>
      <c r="I265" s="2854">
        <f>INDEX('Fringe Data'!$S$8:$S$112,MATCH(G265,'Fringe Data'!$F$8:$F$112,0))</f>
        <v>1.73</v>
      </c>
      <c r="J265" s="1700" t="s">
        <v>44</v>
      </c>
      <c r="K265" s="2846" t="s">
        <v>3504</v>
      </c>
      <c r="L265" s="559">
        <f>IF(ISERROR(MATCH(K265,'IPCS Data'!$AA$7:$AA$110,0)),1,0)</f>
        <v>0</v>
      </c>
      <c r="M265" s="2847"/>
      <c r="N265" s="2840"/>
    </row>
    <row r="266" spans="2:14" s="1292" customFormat="1" ht="13.8" thickBot="1" x14ac:dyDescent="0.3">
      <c r="B266" s="2119" t="s">
        <v>3297</v>
      </c>
      <c r="C266" s="2119" t="s">
        <v>3504</v>
      </c>
      <c r="D266" s="2119" t="s">
        <v>3655</v>
      </c>
      <c r="E266" s="3231" t="s">
        <v>3066</v>
      </c>
      <c r="F266" s="2827"/>
      <c r="G266" s="2849" t="s">
        <v>357</v>
      </c>
      <c r="H266" s="2844">
        <f>INDEX('Fringe Data'!$K$8:$K$112,MATCH(G266,'Fringe Data'!$F$8:$F$112,0))</f>
        <v>0.45500000000000002</v>
      </c>
      <c r="I266" s="2854">
        <f>INDEX('Fringe Data'!$S$8:$S$112,MATCH(G266,'Fringe Data'!$F$8:$F$112,0))</f>
        <v>2.54</v>
      </c>
      <c r="J266" s="1700" t="s">
        <v>43</v>
      </c>
      <c r="K266" s="2846" t="s">
        <v>3504</v>
      </c>
      <c r="L266" s="559">
        <f>IF(ISERROR(MATCH(K266,'IPCS Data'!$AA$7:$AA$110,0)),1,0)</f>
        <v>0</v>
      </c>
      <c r="M266" s="2847"/>
      <c r="N266" s="2840"/>
    </row>
    <row r="267" spans="2:14" s="1292" customFormat="1" x14ac:dyDescent="0.25">
      <c r="B267" s="2117" t="s">
        <v>3297</v>
      </c>
      <c r="C267" s="2117" t="s">
        <v>4249</v>
      </c>
      <c r="D267" s="2117" t="s">
        <v>3656</v>
      </c>
      <c r="E267" s="3230" t="s">
        <v>3067</v>
      </c>
      <c r="F267" s="2827"/>
      <c r="G267" s="2849" t="s">
        <v>357</v>
      </c>
      <c r="H267" s="2844">
        <f>INDEX('Fringe Data'!$K$8:$K$112,MATCH(G267,'Fringe Data'!$F$8:$F$112,0))</f>
        <v>0.45500000000000002</v>
      </c>
      <c r="I267" s="2854">
        <f>INDEX('Fringe Data'!$S$8:$S$112,MATCH(G267,'Fringe Data'!$F$8:$F$112,0))</f>
        <v>2.54</v>
      </c>
      <c r="J267" s="1700" t="s">
        <v>43</v>
      </c>
      <c r="K267" s="2846" t="s">
        <v>4249</v>
      </c>
      <c r="L267" s="559">
        <f>IF(ISERROR(MATCH(K267,'IPCS Data'!$AA$7:$AA$110,0)),1,0)</f>
        <v>0</v>
      </c>
      <c r="M267" s="2847"/>
      <c r="N267" s="2840"/>
    </row>
    <row r="268" spans="2:14" s="1292" customFormat="1" ht="13.8" thickBot="1" x14ac:dyDescent="0.3">
      <c r="B268" s="2119" t="s">
        <v>3297</v>
      </c>
      <c r="C268" s="2119" t="s">
        <v>4249</v>
      </c>
      <c r="D268" s="2119" t="s">
        <v>3657</v>
      </c>
      <c r="E268" s="3231" t="s">
        <v>3068</v>
      </c>
      <c r="F268" s="2827"/>
      <c r="G268" s="2849" t="s">
        <v>4221</v>
      </c>
      <c r="H268" s="2844">
        <f>INDEX('Fringe Data'!$K$8:$K$112,MATCH(G268,'Fringe Data'!$F$8:$F$112,0))</f>
        <v>0.5</v>
      </c>
      <c r="I268" s="2854">
        <f>INDEX('Fringe Data'!$S$8:$S$112,MATCH(G268,'Fringe Data'!$F$8:$F$112,0))</f>
        <v>1.73</v>
      </c>
      <c r="J268" s="1700" t="s">
        <v>44</v>
      </c>
      <c r="K268" s="2846" t="s">
        <v>4249</v>
      </c>
      <c r="L268" s="559">
        <f>IF(ISERROR(MATCH(K268,'IPCS Data'!$AA$7:$AA$110,0)),1,0)</f>
        <v>0</v>
      </c>
      <c r="M268" s="2847"/>
      <c r="N268" s="2840"/>
    </row>
    <row r="269" spans="2:14" s="1292" customFormat="1" x14ac:dyDescent="0.25">
      <c r="B269" s="2117" t="s">
        <v>3297</v>
      </c>
      <c r="C269" s="2117" t="s">
        <v>4247</v>
      </c>
      <c r="D269" s="2117" t="s">
        <v>3658</v>
      </c>
      <c r="E269" s="3230" t="s">
        <v>3069</v>
      </c>
      <c r="F269" s="2827"/>
      <c r="G269" s="2849" t="s">
        <v>4221</v>
      </c>
      <c r="H269" s="2844">
        <f>INDEX('Fringe Data'!$K$8:$K$112,MATCH(G269,'Fringe Data'!$F$8:$F$112,0))</f>
        <v>0.5</v>
      </c>
      <c r="I269" s="2854">
        <f>INDEX('Fringe Data'!$S$8:$S$112,MATCH(G269,'Fringe Data'!$F$8:$F$112,0))</f>
        <v>1.73</v>
      </c>
      <c r="J269" s="1700" t="s">
        <v>44</v>
      </c>
      <c r="K269" s="2846" t="s">
        <v>4247</v>
      </c>
      <c r="L269" s="559">
        <f>IF(ISERROR(MATCH(K269,'IPCS Data'!$AA$7:$AA$110,0)),1,0)</f>
        <v>0</v>
      </c>
      <c r="M269" s="2847"/>
      <c r="N269" s="2840"/>
    </row>
    <row r="270" spans="2:14" s="1292" customFormat="1" ht="13.8" thickBot="1" x14ac:dyDescent="0.3">
      <c r="B270" s="2119" t="s">
        <v>3297</v>
      </c>
      <c r="C270" s="2119" t="s">
        <v>4247</v>
      </c>
      <c r="D270" s="2119" t="s">
        <v>3659</v>
      </c>
      <c r="E270" s="3231" t="s">
        <v>3660</v>
      </c>
      <c r="F270" s="2827"/>
      <c r="G270" s="2849" t="s">
        <v>357</v>
      </c>
      <c r="H270" s="2844">
        <f>INDEX('Fringe Data'!$K$8:$K$112,MATCH(G270,'Fringe Data'!$F$8:$F$112,0))</f>
        <v>0.45500000000000002</v>
      </c>
      <c r="I270" s="2854">
        <f>INDEX('Fringe Data'!$S$8:$S$112,MATCH(G270,'Fringe Data'!$F$8:$F$112,0))</f>
        <v>2.54</v>
      </c>
      <c r="J270" s="1700" t="s">
        <v>43</v>
      </c>
      <c r="K270" s="2846" t="s">
        <v>4247</v>
      </c>
      <c r="L270" s="559">
        <f>IF(ISERROR(MATCH(K270,'IPCS Data'!$AA$7:$AA$110,0)),1,0)</f>
        <v>0</v>
      </c>
      <c r="M270" s="2847"/>
      <c r="N270" s="2840"/>
    </row>
    <row r="271" spans="2:14" s="1292" customFormat="1" x14ac:dyDescent="0.25">
      <c r="B271" s="2117" t="s">
        <v>3297</v>
      </c>
      <c r="C271" s="2117" t="s">
        <v>3507</v>
      </c>
      <c r="D271" s="2117" t="s">
        <v>3661</v>
      </c>
      <c r="E271" s="3230" t="s">
        <v>3072</v>
      </c>
      <c r="F271" s="2827"/>
      <c r="G271" s="2849" t="s">
        <v>348</v>
      </c>
      <c r="H271" s="2844">
        <f>INDEX('Fringe Data'!$K$8:$K$112,MATCH(G271,'Fringe Data'!$F$8:$F$112,0))</f>
        <v>0.8</v>
      </c>
      <c r="I271" s="2854">
        <f>INDEX('Fringe Data'!$S$8:$S$112,MATCH(G271,'Fringe Data'!$F$8:$F$112,0))</f>
        <v>1.8</v>
      </c>
      <c r="J271" s="1700" t="s">
        <v>43</v>
      </c>
      <c r="K271" s="2846" t="s">
        <v>3507</v>
      </c>
      <c r="L271" s="559">
        <f>IF(ISERROR(MATCH(K271,'IPCS Data'!$AA$7:$AA$110,0)),1,0)</f>
        <v>0</v>
      </c>
      <c r="M271" s="2847"/>
      <c r="N271" s="2840"/>
    </row>
    <row r="272" spans="2:14" s="1292" customFormat="1" x14ac:dyDescent="0.25">
      <c r="B272" s="2118" t="s">
        <v>3297</v>
      </c>
      <c r="C272" s="2118" t="s">
        <v>3507</v>
      </c>
      <c r="D272" s="2118" t="s">
        <v>3662</v>
      </c>
      <c r="E272" s="2852" t="s">
        <v>3073</v>
      </c>
      <c r="F272" s="2827"/>
      <c r="G272" s="2849" t="s">
        <v>349</v>
      </c>
      <c r="H272" s="2844">
        <f>INDEX('Fringe Data'!$K$8:$K$112,MATCH(G272,'Fringe Data'!$F$8:$F$112,0))</f>
        <v>0.61</v>
      </c>
      <c r="I272" s="2854">
        <f>INDEX('Fringe Data'!$S$8:$S$112,MATCH(G272,'Fringe Data'!$F$8:$F$112,0))</f>
        <v>3.6</v>
      </c>
      <c r="J272" s="1700" t="s">
        <v>43</v>
      </c>
      <c r="K272" s="2846" t="s">
        <v>3507</v>
      </c>
      <c r="L272" s="559">
        <f>IF(ISERROR(MATCH(K272,'IPCS Data'!$AA$7:$AA$110,0)),1,0)</f>
        <v>0</v>
      </c>
      <c r="M272" s="2847"/>
      <c r="N272" s="2840"/>
    </row>
    <row r="273" spans="2:14" s="1292" customFormat="1" x14ac:dyDescent="0.25">
      <c r="B273" s="2118" t="s">
        <v>3297</v>
      </c>
      <c r="C273" s="2118" t="s">
        <v>3507</v>
      </c>
      <c r="D273" s="2118" t="s">
        <v>3663</v>
      </c>
      <c r="E273" s="2852" t="s">
        <v>3074</v>
      </c>
      <c r="F273" s="2827"/>
      <c r="G273" s="2849" t="s">
        <v>4221</v>
      </c>
      <c r="H273" s="2844">
        <f>INDEX('Fringe Data'!$K$8:$K$112,MATCH(G273,'Fringe Data'!$F$8:$F$112,0))</f>
        <v>0.5</v>
      </c>
      <c r="I273" s="2854">
        <f>INDEX('Fringe Data'!$S$8:$S$112,MATCH(G273,'Fringe Data'!$F$8:$F$112,0))</f>
        <v>1.73</v>
      </c>
      <c r="J273" s="1700" t="s">
        <v>44</v>
      </c>
      <c r="K273" s="2846" t="s">
        <v>3507</v>
      </c>
      <c r="L273" s="559">
        <f>IF(ISERROR(MATCH(K273,'IPCS Data'!$AA$7:$AA$110,0)),1,0)</f>
        <v>0</v>
      </c>
      <c r="M273" s="2847"/>
      <c r="N273" s="2840"/>
    </row>
    <row r="274" spans="2:14" s="1292" customFormat="1" x14ac:dyDescent="0.25">
      <c r="B274" s="2118" t="s">
        <v>3297</v>
      </c>
      <c r="C274" s="2118" t="s">
        <v>3507</v>
      </c>
      <c r="D274" s="2118" t="s">
        <v>3664</v>
      </c>
      <c r="E274" s="2852" t="s">
        <v>3075</v>
      </c>
      <c r="F274" s="2827"/>
      <c r="G274" s="2849" t="s">
        <v>350</v>
      </c>
      <c r="H274" s="2844">
        <f>INDEX('Fringe Data'!$K$8:$K$112,MATCH(G274,'Fringe Data'!$F$8:$F$112,0))</f>
        <v>0.49059999999999998</v>
      </c>
      <c r="I274" s="2854">
        <f>INDEX('Fringe Data'!$S$8:$S$112,MATCH(G274,'Fringe Data'!$F$8:$F$112,0))</f>
        <v>2</v>
      </c>
      <c r="J274" s="1700" t="s">
        <v>355</v>
      </c>
      <c r="K274" s="2846" t="s">
        <v>3507</v>
      </c>
      <c r="L274" s="559">
        <f>IF(ISERROR(MATCH(K274,'IPCS Data'!$AA$7:$AA$110,0)),1,0)</f>
        <v>0</v>
      </c>
      <c r="M274" s="2847"/>
      <c r="N274" s="2840"/>
    </row>
    <row r="275" spans="2:14" s="1292" customFormat="1" x14ac:dyDescent="0.25">
      <c r="B275" s="2118" t="s">
        <v>3297</v>
      </c>
      <c r="C275" s="2118" t="s">
        <v>3507</v>
      </c>
      <c r="D275" s="2118" t="s">
        <v>3665</v>
      </c>
      <c r="E275" s="2852" t="s">
        <v>3666</v>
      </c>
      <c r="F275" s="2827"/>
      <c r="G275" s="2849" t="s">
        <v>357</v>
      </c>
      <c r="H275" s="2844">
        <f>INDEX('Fringe Data'!$K$8:$K$112,MATCH(G275,'Fringe Data'!$F$8:$F$112,0))</f>
        <v>0.45500000000000002</v>
      </c>
      <c r="I275" s="2854">
        <f>INDEX('Fringe Data'!$S$8:$S$112,MATCH(G275,'Fringe Data'!$F$8:$F$112,0))</f>
        <v>2.54</v>
      </c>
      <c r="J275" s="1700" t="s">
        <v>43</v>
      </c>
      <c r="K275" s="2846" t="s">
        <v>3507</v>
      </c>
      <c r="L275" s="559">
        <f>IF(ISERROR(MATCH(K275,'IPCS Data'!$AA$7:$AA$110,0)),1,0)</f>
        <v>0</v>
      </c>
      <c r="M275" s="2847"/>
      <c r="N275" s="2840"/>
    </row>
    <row r="276" spans="2:14" s="1292" customFormat="1" ht="13.8" thickBot="1" x14ac:dyDescent="0.3">
      <c r="B276" s="2119" t="s">
        <v>3297</v>
      </c>
      <c r="C276" s="2119" t="s">
        <v>3507</v>
      </c>
      <c r="D276" s="2119" t="s">
        <v>3071</v>
      </c>
      <c r="E276" s="3231" t="s">
        <v>3077</v>
      </c>
      <c r="F276" s="2827"/>
      <c r="G276" s="2849" t="s">
        <v>4221</v>
      </c>
      <c r="H276" s="2844">
        <f>INDEX('Fringe Data'!$K$8:$K$112,MATCH(G276,'Fringe Data'!$F$8:$F$112,0))</f>
        <v>0.5</v>
      </c>
      <c r="I276" s="2854">
        <f>INDEX('Fringe Data'!$S$8:$S$112,MATCH(G276,'Fringe Data'!$F$8:$F$112,0))</f>
        <v>1.73</v>
      </c>
      <c r="J276" s="1700" t="s">
        <v>44</v>
      </c>
      <c r="K276" s="2846" t="s">
        <v>3507</v>
      </c>
      <c r="L276" s="559">
        <f>IF(ISERROR(MATCH(K276,'IPCS Data'!$AA$7:$AA$110,0)),1,0)</f>
        <v>0</v>
      </c>
      <c r="M276" s="2847"/>
      <c r="N276" s="2840"/>
    </row>
    <row r="277" spans="2:14" s="1292" customFormat="1" ht="13.8" thickBot="1" x14ac:dyDescent="0.3">
      <c r="B277" s="3232" t="s">
        <v>3297</v>
      </c>
      <c r="C277" s="3232" t="s">
        <v>3508</v>
      </c>
      <c r="D277" s="3232" t="s">
        <v>3070</v>
      </c>
      <c r="E277" s="3233" t="s">
        <v>3076</v>
      </c>
      <c r="F277" s="2827"/>
      <c r="G277" s="2849" t="s">
        <v>4221</v>
      </c>
      <c r="H277" s="2844">
        <f>INDEX('Fringe Data'!$K$8:$K$112,MATCH(G277,'Fringe Data'!$F$8:$F$112,0))</f>
        <v>0.5</v>
      </c>
      <c r="I277" s="2854">
        <f>INDEX('Fringe Data'!$S$8:$S$112,MATCH(G277,'Fringe Data'!$F$8:$F$112,0))</f>
        <v>1.73</v>
      </c>
      <c r="J277" s="1700" t="s">
        <v>44</v>
      </c>
      <c r="K277" s="2846" t="s">
        <v>3508</v>
      </c>
      <c r="L277" s="559">
        <f>IF(ISERROR(MATCH(K277,'IPCS Data'!$AA$7:$AA$110,0)),1,0)</f>
        <v>0</v>
      </c>
      <c r="M277" s="2847"/>
      <c r="N277" s="2840"/>
    </row>
    <row r="278" spans="2:14" s="1292" customFormat="1" ht="13.8" thickBot="1" x14ac:dyDescent="0.3">
      <c r="B278" s="3232" t="s">
        <v>3297</v>
      </c>
      <c r="C278" s="3232" t="s">
        <v>3511</v>
      </c>
      <c r="D278" s="3232" t="s">
        <v>3670</v>
      </c>
      <c r="E278" s="3233" t="s">
        <v>3671</v>
      </c>
      <c r="F278" s="2827"/>
      <c r="G278" s="2849" t="s">
        <v>3811</v>
      </c>
      <c r="H278" s="2844">
        <f>INDEX('Fringe Data'!$K$8:$K$112,MATCH(G278,'Fringe Data'!$F$8:$F$112,0))</f>
        <v>0.46</v>
      </c>
      <c r="I278" s="2854">
        <f>INDEX('Fringe Data'!$S$8:$S$112,MATCH(G278,'Fringe Data'!$F$8:$F$112,0))</f>
        <v>0</v>
      </c>
      <c r="J278" s="1700" t="s">
        <v>738</v>
      </c>
      <c r="K278" s="2846" t="s">
        <v>3511</v>
      </c>
      <c r="L278" s="559">
        <f>IF(ISERROR(MATCH(K278,'IPCS Data'!$AA$7:$AA$110,0)),1,0)</f>
        <v>0</v>
      </c>
      <c r="M278" s="2847"/>
      <c r="N278" s="2840"/>
    </row>
    <row r="279" spans="2:14" s="1292" customFormat="1" x14ac:dyDescent="0.25">
      <c r="B279" s="2117" t="s">
        <v>3297</v>
      </c>
      <c r="C279" s="2117" t="s">
        <v>3513</v>
      </c>
      <c r="D279" s="2117" t="s">
        <v>3672</v>
      </c>
      <c r="E279" s="3230" t="s">
        <v>3057</v>
      </c>
      <c r="F279" s="2827"/>
      <c r="G279" s="2849" t="s">
        <v>4221</v>
      </c>
      <c r="H279" s="2844">
        <f>INDEX('Fringe Data'!$K$8:$K$112,MATCH(G279,'Fringe Data'!$F$8:$F$112,0))</f>
        <v>0.5</v>
      </c>
      <c r="I279" s="2854">
        <f>INDEX('Fringe Data'!$S$8:$S$112,MATCH(G279,'Fringe Data'!$F$8:$F$112,0))</f>
        <v>1.73</v>
      </c>
      <c r="J279" s="1700" t="s">
        <v>44</v>
      </c>
      <c r="K279" s="2846" t="s">
        <v>3513</v>
      </c>
      <c r="L279" s="559">
        <f>IF(ISERROR(MATCH(K279,'IPCS Data'!$AA$7:$AA$110,0)),1,0)</f>
        <v>0</v>
      </c>
      <c r="M279" s="2847"/>
      <c r="N279" s="2840"/>
    </row>
    <row r="280" spans="2:14" s="1292" customFormat="1" x14ac:dyDescent="0.25">
      <c r="B280" s="2118" t="s">
        <v>3297</v>
      </c>
      <c r="C280" s="2118" t="s">
        <v>3513</v>
      </c>
      <c r="D280" s="2118" t="s">
        <v>3673</v>
      </c>
      <c r="E280" s="2852" t="s">
        <v>3058</v>
      </c>
      <c r="F280" s="2827"/>
      <c r="G280" s="2849" t="s">
        <v>4221</v>
      </c>
      <c r="H280" s="2844">
        <f>INDEX('Fringe Data'!$K$8:$K$112,MATCH(G280,'Fringe Data'!$F$8:$F$112,0))</f>
        <v>0.5</v>
      </c>
      <c r="I280" s="2854">
        <f>INDEX('Fringe Data'!$S$8:$S$112,MATCH(G280,'Fringe Data'!$F$8:$F$112,0))</f>
        <v>1.73</v>
      </c>
      <c r="J280" s="1700" t="s">
        <v>44</v>
      </c>
      <c r="K280" s="2846" t="s">
        <v>3513</v>
      </c>
      <c r="L280" s="559">
        <f>IF(ISERROR(MATCH(K280,'IPCS Data'!$AA$7:$AA$110,0)),1,0)</f>
        <v>0</v>
      </c>
      <c r="M280" s="2847"/>
      <c r="N280" s="2840"/>
    </row>
    <row r="281" spans="2:14" s="1292" customFormat="1" x14ac:dyDescent="0.25">
      <c r="B281" s="2118" t="s">
        <v>3297</v>
      </c>
      <c r="C281" s="2118" t="s">
        <v>3513</v>
      </c>
      <c r="D281" s="2118" t="s">
        <v>3674</v>
      </c>
      <c r="E281" s="2852" t="s">
        <v>3059</v>
      </c>
      <c r="F281" s="2827"/>
      <c r="G281" s="2849" t="s">
        <v>4221</v>
      </c>
      <c r="H281" s="2844">
        <f>INDEX('Fringe Data'!$K$8:$K$112,MATCH(G281,'Fringe Data'!$F$8:$F$112,0))</f>
        <v>0.5</v>
      </c>
      <c r="I281" s="2854">
        <f>INDEX('Fringe Data'!$S$8:$S$112,MATCH(G281,'Fringe Data'!$F$8:$F$112,0))</f>
        <v>1.73</v>
      </c>
      <c r="J281" s="1700" t="s">
        <v>44</v>
      </c>
      <c r="K281" s="2846" t="s">
        <v>3513</v>
      </c>
      <c r="L281" s="559">
        <f>IF(ISERROR(MATCH(K281,'IPCS Data'!$AA$7:$AA$110,0)),1,0)</f>
        <v>0</v>
      </c>
      <c r="M281" s="2847"/>
      <c r="N281" s="2840"/>
    </row>
    <row r="282" spans="2:14" s="1292" customFormat="1" ht="13.8" thickBot="1" x14ac:dyDescent="0.3">
      <c r="B282" s="2119" t="s">
        <v>3297</v>
      </c>
      <c r="C282" s="2119" t="s">
        <v>3513</v>
      </c>
      <c r="D282" s="2119" t="s">
        <v>3675</v>
      </c>
      <c r="E282" s="3231" t="s">
        <v>3676</v>
      </c>
      <c r="F282" s="2827"/>
      <c r="G282" s="2849" t="s">
        <v>4221</v>
      </c>
      <c r="H282" s="2844">
        <f>INDEX('Fringe Data'!$K$8:$K$112,MATCH(G282,'Fringe Data'!$F$8:$F$112,0))</f>
        <v>0.5</v>
      </c>
      <c r="I282" s="2854">
        <f>INDEX('Fringe Data'!$S$8:$S$112,MATCH(G282,'Fringe Data'!$F$8:$F$112,0))</f>
        <v>1.73</v>
      </c>
      <c r="J282" s="1700" t="s">
        <v>44</v>
      </c>
      <c r="K282" s="2846" t="s">
        <v>3513</v>
      </c>
      <c r="L282" s="559">
        <f>IF(ISERROR(MATCH(K282,'IPCS Data'!$AA$7:$AA$110,0)),1,0)</f>
        <v>0</v>
      </c>
      <c r="M282" s="2847"/>
      <c r="N282" s="2840"/>
    </row>
    <row r="283" spans="2:14" s="1292" customFormat="1" x14ac:dyDescent="0.25">
      <c r="B283" s="2117" t="s">
        <v>3297</v>
      </c>
      <c r="C283" s="2117" t="s">
        <v>4246</v>
      </c>
      <c r="D283" s="2117" t="s">
        <v>4253</v>
      </c>
      <c r="E283" s="3230" t="s">
        <v>4254</v>
      </c>
      <c r="F283" s="2827"/>
      <c r="G283" s="2849" t="s">
        <v>4221</v>
      </c>
      <c r="H283" s="2844">
        <f>INDEX('Fringe Data'!$K$8:$K$112,MATCH(G283,'Fringe Data'!$F$8:$F$112,0))</f>
        <v>0.5</v>
      </c>
      <c r="I283" s="2854">
        <f>INDEX('Fringe Data'!$S$8:$S$112,MATCH(G283,'Fringe Data'!$F$8:$F$112,0))</f>
        <v>1.73</v>
      </c>
      <c r="J283" s="1700" t="s">
        <v>44</v>
      </c>
      <c r="K283" s="2846" t="s">
        <v>4246</v>
      </c>
      <c r="L283" s="559">
        <f>IF(ISERROR(MATCH(K283,'IPCS Data'!$AA$7:$AA$110,0)),1,0)</f>
        <v>0</v>
      </c>
      <c r="M283" s="2847"/>
      <c r="N283" s="2840"/>
    </row>
    <row r="284" spans="2:14" s="1292" customFormat="1" ht="13.8" thickBot="1" x14ac:dyDescent="0.3">
      <c r="B284" s="2118" t="s">
        <v>3297</v>
      </c>
      <c r="C284" s="2117" t="s">
        <v>4246</v>
      </c>
      <c r="D284" s="2118" t="s">
        <v>4255</v>
      </c>
      <c r="E284" s="2852" t="s">
        <v>3647</v>
      </c>
      <c r="F284" s="2827"/>
      <c r="G284" s="2849" t="s">
        <v>357</v>
      </c>
      <c r="H284" s="2844">
        <f>INDEX('Fringe Data'!$K$8:$K$112,MATCH(G284,'Fringe Data'!$F$8:$F$112,0))</f>
        <v>0.45500000000000002</v>
      </c>
      <c r="I284" s="2854">
        <f>INDEX('Fringe Data'!$S$8:$S$112,MATCH(G284,'Fringe Data'!$F$8:$F$112,0))</f>
        <v>2.54</v>
      </c>
      <c r="J284" s="1700" t="s">
        <v>43</v>
      </c>
      <c r="K284" s="2846" t="s">
        <v>4246</v>
      </c>
      <c r="L284" s="559">
        <f>IF(ISERROR(MATCH(K284,'IPCS Data'!$AA$7:$AA$110,0)),1,0)</f>
        <v>0</v>
      </c>
      <c r="M284" s="2847"/>
      <c r="N284" s="2840"/>
    </row>
    <row r="285" spans="2:14" s="1292" customFormat="1" ht="22.8" thickBot="1" x14ac:dyDescent="0.3">
      <c r="B285" s="2829" t="s">
        <v>837</v>
      </c>
      <c r="C285" s="2830" t="s">
        <v>3544</v>
      </c>
      <c r="D285" s="2830" t="s">
        <v>359</v>
      </c>
      <c r="E285" s="2831" t="s">
        <v>3545</v>
      </c>
      <c r="F285" s="2827"/>
      <c r="G285" s="2832" t="s">
        <v>3546</v>
      </c>
      <c r="H285" s="2833" t="s">
        <v>3547</v>
      </c>
      <c r="I285" s="2833" t="s">
        <v>3548</v>
      </c>
      <c r="J285" s="2834" t="s">
        <v>3549</v>
      </c>
      <c r="K285" s="2835" t="s">
        <v>3525</v>
      </c>
      <c r="L285" s="2835"/>
      <c r="M285" s="2836" t="s">
        <v>3550</v>
      </c>
      <c r="N285" s="2840"/>
    </row>
    <row r="286" spans="2:14" s="1292" customFormat="1" x14ac:dyDescent="0.25">
      <c r="B286" s="2111" t="s">
        <v>3056</v>
      </c>
      <c r="C286" s="2111" t="s">
        <v>3965</v>
      </c>
      <c r="D286" s="2117" t="s">
        <v>2903</v>
      </c>
      <c r="E286" s="2841" t="s">
        <v>2926</v>
      </c>
      <c r="F286" s="2827"/>
      <c r="G286" s="2843" t="s">
        <v>38</v>
      </c>
      <c r="H286" s="2844">
        <f>INDEX('Fringe Data'!$K$8:$K$112,MATCH(G286,'Fringe Data'!$F$8:$F$112,0))</f>
        <v>0.33300000000000002</v>
      </c>
      <c r="I286" s="2854">
        <f>INDEX('Fringe Data'!$S$8:$S$112,MATCH(G286,'Fringe Data'!$F$8:$F$112,0))</f>
        <v>80</v>
      </c>
      <c r="J286" s="1700" t="s">
        <v>352</v>
      </c>
      <c r="K286" s="2846" t="s">
        <v>3965</v>
      </c>
      <c r="L286" s="559">
        <f>IF(ISERROR(MATCH(K286,'IPCS Data'!$AA$7:$AA$110,0)),1,0)</f>
        <v>0</v>
      </c>
      <c r="M286" s="2847"/>
      <c r="N286" s="2840"/>
    </row>
    <row r="287" spans="2:14" s="1292" customFormat="1" x14ac:dyDescent="0.25">
      <c r="B287" s="2111" t="s">
        <v>3056</v>
      </c>
      <c r="C287" s="2111" t="s">
        <v>3965</v>
      </c>
      <c r="D287" s="2117" t="s">
        <v>2904</v>
      </c>
      <c r="E287" s="2841" t="s">
        <v>2927</v>
      </c>
      <c r="F287" s="2827"/>
      <c r="G287" s="2843" t="s">
        <v>38</v>
      </c>
      <c r="H287" s="2844">
        <f>INDEX('Fringe Data'!$K$8:$K$112,MATCH(G287,'Fringe Data'!$F$8:$F$112,0))</f>
        <v>0.33300000000000002</v>
      </c>
      <c r="I287" s="2854">
        <f>INDEX('Fringe Data'!$S$8:$S$112,MATCH(G287,'Fringe Data'!$F$8:$F$112,0))</f>
        <v>80</v>
      </c>
      <c r="J287" s="1700" t="s">
        <v>352</v>
      </c>
      <c r="K287" s="2846" t="s">
        <v>3965</v>
      </c>
      <c r="L287" s="559">
        <f>IF(ISERROR(MATCH(K287,'IPCS Data'!$AA$7:$AA$110,0)),1,0)</f>
        <v>0</v>
      </c>
      <c r="M287" s="2847"/>
      <c r="N287" s="2840"/>
    </row>
    <row r="288" spans="2:14" s="1292" customFormat="1" x14ac:dyDescent="0.25">
      <c r="B288" s="2111" t="s">
        <v>3056</v>
      </c>
      <c r="C288" s="2111" t="s">
        <v>3965</v>
      </c>
      <c r="D288" s="2117" t="s">
        <v>2905</v>
      </c>
      <c r="E288" s="2841" t="s">
        <v>2928</v>
      </c>
      <c r="F288" s="2827"/>
      <c r="G288" s="2843" t="s">
        <v>38</v>
      </c>
      <c r="H288" s="2844">
        <f>INDEX('Fringe Data'!$K$8:$K$112,MATCH(G288,'Fringe Data'!$F$8:$F$112,0))</f>
        <v>0.33300000000000002</v>
      </c>
      <c r="I288" s="2854">
        <f>INDEX('Fringe Data'!$S$8:$S$112,MATCH(G288,'Fringe Data'!$F$8:$F$112,0))</f>
        <v>80</v>
      </c>
      <c r="J288" s="1700" t="s">
        <v>352</v>
      </c>
      <c r="K288" s="2846" t="s">
        <v>3965</v>
      </c>
      <c r="L288" s="559">
        <f>IF(ISERROR(MATCH(K288,'IPCS Data'!$AA$7:$AA$110,0)),1,0)</f>
        <v>0</v>
      </c>
      <c r="M288" s="2847"/>
      <c r="N288" s="2840"/>
    </row>
    <row r="289" spans="2:14" s="1292" customFormat="1" x14ac:dyDescent="0.25">
      <c r="B289" s="2111" t="s">
        <v>3056</v>
      </c>
      <c r="C289" s="2111" t="s">
        <v>3965</v>
      </c>
      <c r="D289" s="2117" t="s">
        <v>2906</v>
      </c>
      <c r="E289" s="2841" t="s">
        <v>2929</v>
      </c>
      <c r="F289" s="2827"/>
      <c r="G289" s="2843" t="s">
        <v>38</v>
      </c>
      <c r="H289" s="2844">
        <f>INDEX('Fringe Data'!$K$8:$K$112,MATCH(G289,'Fringe Data'!$F$8:$F$112,0))</f>
        <v>0.33300000000000002</v>
      </c>
      <c r="I289" s="2854">
        <f>INDEX('Fringe Data'!$S$8:$S$112,MATCH(G289,'Fringe Data'!$F$8:$F$112,0))</f>
        <v>80</v>
      </c>
      <c r="J289" s="1700" t="s">
        <v>352</v>
      </c>
      <c r="K289" s="2846" t="s">
        <v>3965</v>
      </c>
      <c r="L289" s="559">
        <f>IF(ISERROR(MATCH(K289,'IPCS Data'!$AA$7:$AA$110,0)),1,0)</f>
        <v>0</v>
      </c>
      <c r="M289" s="2847"/>
      <c r="N289" s="2840"/>
    </row>
    <row r="290" spans="2:14" s="1292" customFormat="1" x14ac:dyDescent="0.25">
      <c r="B290" s="2111" t="s">
        <v>3056</v>
      </c>
      <c r="C290" s="2111" t="s">
        <v>3965</v>
      </c>
      <c r="D290" s="2117" t="s">
        <v>2907</v>
      </c>
      <c r="E290" s="2841" t="s">
        <v>2930</v>
      </c>
      <c r="F290" s="2827"/>
      <c r="G290" s="2843" t="s">
        <v>38</v>
      </c>
      <c r="H290" s="2844">
        <f>INDEX('Fringe Data'!$K$8:$K$112,MATCH(G290,'Fringe Data'!$F$8:$F$112,0))</f>
        <v>0.33300000000000002</v>
      </c>
      <c r="I290" s="2854">
        <f>INDEX('Fringe Data'!$S$8:$S$112,MATCH(G290,'Fringe Data'!$F$8:$F$112,0))</f>
        <v>80</v>
      </c>
      <c r="J290" s="1700" t="s">
        <v>352</v>
      </c>
      <c r="K290" s="2846" t="s">
        <v>3965</v>
      </c>
      <c r="L290" s="559">
        <f>IF(ISERROR(MATCH(K290,'IPCS Data'!$AA$7:$AA$110,0)),1,0)</f>
        <v>0</v>
      </c>
      <c r="M290" s="2847"/>
      <c r="N290" s="2840"/>
    </row>
    <row r="291" spans="2:14" s="1292" customFormat="1" x14ac:dyDescent="0.25">
      <c r="B291" s="2111" t="s">
        <v>3056</v>
      </c>
      <c r="C291" s="2111" t="s">
        <v>3965</v>
      </c>
      <c r="D291" s="2117" t="s">
        <v>2908</v>
      </c>
      <c r="E291" s="2841" t="s">
        <v>2931</v>
      </c>
      <c r="F291" s="2827"/>
      <c r="G291" s="2843" t="s">
        <v>38</v>
      </c>
      <c r="H291" s="2844">
        <f>INDEX('Fringe Data'!$K$8:$K$112,MATCH(G291,'Fringe Data'!$F$8:$F$112,0))</f>
        <v>0.33300000000000002</v>
      </c>
      <c r="I291" s="2854">
        <f>INDEX('Fringe Data'!$S$8:$S$112,MATCH(G291,'Fringe Data'!$F$8:$F$112,0))</f>
        <v>80</v>
      </c>
      <c r="J291" s="1700" t="s">
        <v>352</v>
      </c>
      <c r="K291" s="2846" t="s">
        <v>3965</v>
      </c>
      <c r="L291" s="559">
        <f>IF(ISERROR(MATCH(K291,'IPCS Data'!$AA$7:$AA$110,0)),1,0)</f>
        <v>0</v>
      </c>
      <c r="M291" s="2847"/>
      <c r="N291" s="2840"/>
    </row>
    <row r="292" spans="2:14" s="1292" customFormat="1" x14ac:dyDescent="0.25">
      <c r="B292" s="2111" t="s">
        <v>3056</v>
      </c>
      <c r="C292" s="2111" t="s">
        <v>3965</v>
      </c>
      <c r="D292" s="2117" t="s">
        <v>2909</v>
      </c>
      <c r="E292" s="2841" t="s">
        <v>2932</v>
      </c>
      <c r="F292" s="2827"/>
      <c r="G292" s="2843" t="s">
        <v>38</v>
      </c>
      <c r="H292" s="2844">
        <f>INDEX('Fringe Data'!$K$8:$K$112,MATCH(G292,'Fringe Data'!$F$8:$F$112,0))</f>
        <v>0.33300000000000002</v>
      </c>
      <c r="I292" s="2854">
        <f>INDEX('Fringe Data'!$S$8:$S$112,MATCH(G292,'Fringe Data'!$F$8:$F$112,0))</f>
        <v>80</v>
      </c>
      <c r="J292" s="1700" t="s">
        <v>352</v>
      </c>
      <c r="K292" s="2846" t="s">
        <v>3965</v>
      </c>
      <c r="L292" s="559">
        <f>IF(ISERROR(MATCH(K292,'IPCS Data'!$AA$7:$AA$110,0)),1,0)</f>
        <v>0</v>
      </c>
      <c r="M292" s="2847"/>
      <c r="N292" s="2840"/>
    </row>
    <row r="293" spans="2:14" s="1292" customFormat="1" x14ac:dyDescent="0.25">
      <c r="B293" s="2111" t="s">
        <v>3056</v>
      </c>
      <c r="C293" s="2111" t="s">
        <v>3965</v>
      </c>
      <c r="D293" s="2117" t="s">
        <v>2910</v>
      </c>
      <c r="E293" s="2841" t="s">
        <v>2933</v>
      </c>
      <c r="F293" s="2827"/>
      <c r="G293" s="2843" t="s">
        <v>38</v>
      </c>
      <c r="H293" s="2844">
        <f>INDEX('Fringe Data'!$K$8:$K$112,MATCH(G293,'Fringe Data'!$F$8:$F$112,0))</f>
        <v>0.33300000000000002</v>
      </c>
      <c r="I293" s="2854">
        <f>INDEX('Fringe Data'!$S$8:$S$112,MATCH(G293,'Fringe Data'!$F$8:$F$112,0))</f>
        <v>80</v>
      </c>
      <c r="J293" s="1700" t="s">
        <v>352</v>
      </c>
      <c r="K293" s="2846" t="s">
        <v>3965</v>
      </c>
      <c r="L293" s="559">
        <f>IF(ISERROR(MATCH(K293,'IPCS Data'!$AA$7:$AA$110,0)),1,0)</f>
        <v>0</v>
      </c>
      <c r="M293" s="2847"/>
      <c r="N293" s="2840"/>
    </row>
    <row r="294" spans="2:14" s="1292" customFormat="1" x14ac:dyDescent="0.25">
      <c r="B294" s="2111" t="s">
        <v>3056</v>
      </c>
      <c r="C294" s="2111" t="s">
        <v>3965</v>
      </c>
      <c r="D294" s="2117" t="s">
        <v>2911</v>
      </c>
      <c r="E294" s="2841" t="s">
        <v>2934</v>
      </c>
      <c r="F294" s="2827"/>
      <c r="G294" s="2843" t="s">
        <v>38</v>
      </c>
      <c r="H294" s="2844">
        <f>INDEX('Fringe Data'!$K$8:$K$112,MATCH(G294,'Fringe Data'!$F$8:$F$112,0))</f>
        <v>0.33300000000000002</v>
      </c>
      <c r="I294" s="2854">
        <f>INDEX('Fringe Data'!$S$8:$S$112,MATCH(G294,'Fringe Data'!$F$8:$F$112,0))</f>
        <v>80</v>
      </c>
      <c r="J294" s="1700" t="s">
        <v>352</v>
      </c>
      <c r="K294" s="2846" t="s">
        <v>3965</v>
      </c>
      <c r="L294" s="559">
        <f>IF(ISERROR(MATCH(K294,'IPCS Data'!$AA$7:$AA$110,0)),1,0)</f>
        <v>0</v>
      </c>
      <c r="M294" s="2847"/>
      <c r="N294" s="2840"/>
    </row>
    <row r="295" spans="2:14" s="1292" customFormat="1" x14ac:dyDescent="0.25">
      <c r="B295" s="2111" t="s">
        <v>3056</v>
      </c>
      <c r="C295" s="2111" t="s">
        <v>3965</v>
      </c>
      <c r="D295" s="2117" t="s">
        <v>2912</v>
      </c>
      <c r="E295" s="2841" t="s">
        <v>2935</v>
      </c>
      <c r="F295" s="2827"/>
      <c r="G295" s="2843" t="s">
        <v>38</v>
      </c>
      <c r="H295" s="2844">
        <f>INDEX('Fringe Data'!$K$8:$K$112,MATCH(G295,'Fringe Data'!$F$8:$F$112,0))</f>
        <v>0.33300000000000002</v>
      </c>
      <c r="I295" s="2854">
        <f>INDEX('Fringe Data'!$S$8:$S$112,MATCH(G295,'Fringe Data'!$F$8:$F$112,0))</f>
        <v>80</v>
      </c>
      <c r="J295" s="1700" t="s">
        <v>352</v>
      </c>
      <c r="K295" s="2846" t="s">
        <v>3965</v>
      </c>
      <c r="L295" s="559">
        <f>IF(ISERROR(MATCH(K295,'IPCS Data'!$AA$7:$AA$110,0)),1,0)</f>
        <v>0</v>
      </c>
      <c r="M295" s="2847"/>
      <c r="N295" s="2840"/>
    </row>
    <row r="296" spans="2:14" s="1292" customFormat="1" x14ac:dyDescent="0.25">
      <c r="B296" s="2111" t="s">
        <v>3056</v>
      </c>
      <c r="C296" s="2111" t="s">
        <v>3965</v>
      </c>
      <c r="D296" s="2117" t="s">
        <v>2913</v>
      </c>
      <c r="E296" s="2841" t="s">
        <v>2936</v>
      </c>
      <c r="F296" s="2827"/>
      <c r="G296" s="2843" t="s">
        <v>38</v>
      </c>
      <c r="H296" s="2844">
        <f>INDEX('Fringe Data'!$K$8:$K$112,MATCH(G296,'Fringe Data'!$F$8:$F$112,0))</f>
        <v>0.33300000000000002</v>
      </c>
      <c r="I296" s="2854">
        <f>INDEX('Fringe Data'!$S$8:$S$112,MATCH(G296,'Fringe Data'!$F$8:$F$112,0))</f>
        <v>80</v>
      </c>
      <c r="J296" s="1700" t="s">
        <v>352</v>
      </c>
      <c r="K296" s="2846" t="s">
        <v>3965</v>
      </c>
      <c r="L296" s="559">
        <f>IF(ISERROR(MATCH(K296,'IPCS Data'!$AA$7:$AA$110,0)),1,0)</f>
        <v>0</v>
      </c>
      <c r="M296" s="2847"/>
      <c r="N296" s="2840"/>
    </row>
    <row r="297" spans="2:14" s="1292" customFormat="1" x14ac:dyDescent="0.25">
      <c r="B297" s="2111" t="s">
        <v>3056</v>
      </c>
      <c r="C297" s="2111" t="s">
        <v>3965</v>
      </c>
      <c r="D297" s="2117" t="s">
        <v>2914</v>
      </c>
      <c r="E297" s="2841" t="s">
        <v>2937</v>
      </c>
      <c r="F297" s="2827"/>
      <c r="G297" s="2843" t="s">
        <v>38</v>
      </c>
      <c r="H297" s="2844">
        <f>INDEX('Fringe Data'!$K$8:$K$112,MATCH(G297,'Fringe Data'!$F$8:$F$112,0))</f>
        <v>0.33300000000000002</v>
      </c>
      <c r="I297" s="2854">
        <f>INDEX('Fringe Data'!$S$8:$S$112,MATCH(G297,'Fringe Data'!$F$8:$F$112,0))</f>
        <v>80</v>
      </c>
      <c r="J297" s="1700" t="s">
        <v>352</v>
      </c>
      <c r="K297" s="2846" t="s">
        <v>3965</v>
      </c>
      <c r="L297" s="559">
        <f>IF(ISERROR(MATCH(K297,'IPCS Data'!$AA$7:$AA$110,0)),1,0)</f>
        <v>0</v>
      </c>
      <c r="M297" s="2847"/>
      <c r="N297" s="2840"/>
    </row>
    <row r="298" spans="2:14" s="1292" customFormat="1" x14ac:dyDescent="0.25">
      <c r="B298" s="2111" t="s">
        <v>3056</v>
      </c>
      <c r="C298" s="2111" t="s">
        <v>3965</v>
      </c>
      <c r="D298" s="2117" t="s">
        <v>2915</v>
      </c>
      <c r="E298" s="2841" t="s">
        <v>2938</v>
      </c>
      <c r="F298" s="2827"/>
      <c r="G298" s="2843" t="s">
        <v>38</v>
      </c>
      <c r="H298" s="2844">
        <f>INDEX('Fringe Data'!$K$8:$K$112,MATCH(G298,'Fringe Data'!$F$8:$F$112,0))</f>
        <v>0.33300000000000002</v>
      </c>
      <c r="I298" s="2854">
        <f>INDEX('Fringe Data'!$S$8:$S$112,MATCH(G298,'Fringe Data'!$F$8:$F$112,0))</f>
        <v>80</v>
      </c>
      <c r="J298" s="1700" t="s">
        <v>352</v>
      </c>
      <c r="K298" s="2846" t="s">
        <v>3965</v>
      </c>
      <c r="L298" s="559">
        <f>IF(ISERROR(MATCH(K298,'IPCS Data'!$AA$7:$AA$110,0)),1,0)</f>
        <v>0</v>
      </c>
      <c r="M298" s="2847"/>
      <c r="N298" s="2840"/>
    </row>
    <row r="299" spans="2:14" s="1292" customFormat="1" x14ac:dyDescent="0.25">
      <c r="B299" s="2111" t="s">
        <v>3056</v>
      </c>
      <c r="C299" s="2111" t="s">
        <v>3965</v>
      </c>
      <c r="D299" s="2117" t="s">
        <v>2916</v>
      </c>
      <c r="E299" s="2841" t="s">
        <v>2939</v>
      </c>
      <c r="F299" s="2827"/>
      <c r="G299" s="2843" t="s">
        <v>38</v>
      </c>
      <c r="H299" s="2844">
        <f>INDEX('Fringe Data'!$K$8:$K$112,MATCH(G299,'Fringe Data'!$F$8:$F$112,0))</f>
        <v>0.33300000000000002</v>
      </c>
      <c r="I299" s="2854">
        <f>INDEX('Fringe Data'!$S$8:$S$112,MATCH(G299,'Fringe Data'!$F$8:$F$112,0))</f>
        <v>80</v>
      </c>
      <c r="J299" s="1700" t="s">
        <v>352</v>
      </c>
      <c r="K299" s="2846" t="s">
        <v>3965</v>
      </c>
      <c r="L299" s="559">
        <f>IF(ISERROR(MATCH(K299,'IPCS Data'!$AA$7:$AA$110,0)),1,0)</f>
        <v>0</v>
      </c>
      <c r="M299" s="2847"/>
      <c r="N299" s="2840"/>
    </row>
    <row r="300" spans="2:14" s="1292" customFormat="1" x14ac:dyDescent="0.25">
      <c r="B300" s="2111" t="s">
        <v>3056</v>
      </c>
      <c r="C300" s="2111" t="s">
        <v>3965</v>
      </c>
      <c r="D300" s="2117" t="s">
        <v>2917</v>
      </c>
      <c r="E300" s="2841" t="s">
        <v>2940</v>
      </c>
      <c r="F300" s="2827"/>
      <c r="G300" s="2843" t="s">
        <v>38</v>
      </c>
      <c r="H300" s="2844">
        <f>INDEX('Fringe Data'!$K$8:$K$112,MATCH(G300,'Fringe Data'!$F$8:$F$112,0))</f>
        <v>0.33300000000000002</v>
      </c>
      <c r="I300" s="2854">
        <f>INDEX('Fringe Data'!$S$8:$S$112,MATCH(G300,'Fringe Data'!$F$8:$F$112,0))</f>
        <v>80</v>
      </c>
      <c r="J300" s="1700" t="s">
        <v>352</v>
      </c>
      <c r="K300" s="2846" t="s">
        <v>3965</v>
      </c>
      <c r="L300" s="559">
        <f>IF(ISERROR(MATCH(K300,'IPCS Data'!$AA$7:$AA$110,0)),1,0)</f>
        <v>0</v>
      </c>
      <c r="M300" s="2847"/>
      <c r="N300" s="2840"/>
    </row>
    <row r="301" spans="2:14" s="1292" customFormat="1" x14ac:dyDescent="0.25">
      <c r="B301" s="2111" t="s">
        <v>3056</v>
      </c>
      <c r="C301" s="2111" t="s">
        <v>3965</v>
      </c>
      <c r="D301" s="2117" t="s">
        <v>2918</v>
      </c>
      <c r="E301" s="2841" t="s">
        <v>2941</v>
      </c>
      <c r="F301" s="2827"/>
      <c r="G301" s="2843" t="s">
        <v>38</v>
      </c>
      <c r="H301" s="2844">
        <f>INDEX('Fringe Data'!$K$8:$K$112,MATCH(G301,'Fringe Data'!$F$8:$F$112,0))</f>
        <v>0.33300000000000002</v>
      </c>
      <c r="I301" s="2854">
        <f>INDEX('Fringe Data'!$S$8:$S$112,MATCH(G301,'Fringe Data'!$F$8:$F$112,0))</f>
        <v>80</v>
      </c>
      <c r="J301" s="1700" t="s">
        <v>352</v>
      </c>
      <c r="K301" s="2846" t="s">
        <v>3965</v>
      </c>
      <c r="L301" s="559">
        <f>IF(ISERROR(MATCH(K301,'IPCS Data'!$AA$7:$AA$110,0)),1,0)</f>
        <v>0</v>
      </c>
      <c r="M301" s="2847"/>
      <c r="N301" s="2840"/>
    </row>
    <row r="302" spans="2:14" s="1292" customFormat="1" x14ac:dyDescent="0.25">
      <c r="B302" s="2111" t="s">
        <v>3056</v>
      </c>
      <c r="C302" s="2111" t="s">
        <v>3965</v>
      </c>
      <c r="D302" s="2117" t="s">
        <v>2919</v>
      </c>
      <c r="E302" s="2841" t="s">
        <v>2942</v>
      </c>
      <c r="F302" s="2827"/>
      <c r="G302" s="2843" t="s">
        <v>38</v>
      </c>
      <c r="H302" s="2844">
        <f>INDEX('Fringe Data'!$K$8:$K$112,MATCH(G302,'Fringe Data'!$F$8:$F$112,0))</f>
        <v>0.33300000000000002</v>
      </c>
      <c r="I302" s="2854">
        <f>INDEX('Fringe Data'!$S$8:$S$112,MATCH(G302,'Fringe Data'!$F$8:$F$112,0))</f>
        <v>80</v>
      </c>
      <c r="J302" s="1700" t="s">
        <v>352</v>
      </c>
      <c r="K302" s="2846" t="s">
        <v>3965</v>
      </c>
      <c r="L302" s="559">
        <f>IF(ISERROR(MATCH(K302,'IPCS Data'!$AA$7:$AA$110,0)),1,0)</f>
        <v>0</v>
      </c>
      <c r="M302" s="2847"/>
      <c r="N302" s="2840"/>
    </row>
    <row r="303" spans="2:14" s="1292" customFormat="1" x14ac:dyDescent="0.25">
      <c r="B303" s="2111" t="s">
        <v>3056</v>
      </c>
      <c r="C303" s="2111" t="s">
        <v>3965</v>
      </c>
      <c r="D303" s="2117" t="s">
        <v>2920</v>
      </c>
      <c r="E303" s="2841" t="s">
        <v>2943</v>
      </c>
      <c r="F303" s="2827"/>
      <c r="G303" s="2843" t="s">
        <v>38</v>
      </c>
      <c r="H303" s="2844">
        <f>INDEX('Fringe Data'!$K$8:$K$112,MATCH(G303,'Fringe Data'!$F$8:$F$112,0))</f>
        <v>0.33300000000000002</v>
      </c>
      <c r="I303" s="2854">
        <f>INDEX('Fringe Data'!$S$8:$S$112,MATCH(G303,'Fringe Data'!$F$8:$F$112,0))</f>
        <v>80</v>
      </c>
      <c r="J303" s="1700" t="s">
        <v>352</v>
      </c>
      <c r="K303" s="2846" t="s">
        <v>3965</v>
      </c>
      <c r="L303" s="559">
        <f>IF(ISERROR(MATCH(K303,'IPCS Data'!$AA$7:$AA$110,0)),1,0)</f>
        <v>0</v>
      </c>
      <c r="M303" s="2847"/>
      <c r="N303" s="2840"/>
    </row>
    <row r="304" spans="2:14" s="1292" customFormat="1" x14ac:dyDescent="0.25">
      <c r="B304" s="2111" t="s">
        <v>3056</v>
      </c>
      <c r="C304" s="2111" t="s">
        <v>3965</v>
      </c>
      <c r="D304" s="2117" t="s">
        <v>2921</v>
      </c>
      <c r="E304" s="2841" t="s">
        <v>2944</v>
      </c>
      <c r="F304" s="2827"/>
      <c r="G304" s="2843" t="s">
        <v>38</v>
      </c>
      <c r="H304" s="2844">
        <f>INDEX('Fringe Data'!$K$8:$K$112,MATCH(G304,'Fringe Data'!$F$8:$F$112,0))</f>
        <v>0.33300000000000002</v>
      </c>
      <c r="I304" s="2854">
        <f>INDEX('Fringe Data'!$S$8:$S$112,MATCH(G304,'Fringe Data'!$F$8:$F$112,0))</f>
        <v>80</v>
      </c>
      <c r="J304" s="1700" t="s">
        <v>352</v>
      </c>
      <c r="K304" s="2846" t="s">
        <v>3965</v>
      </c>
      <c r="L304" s="559">
        <f>IF(ISERROR(MATCH(K304,'IPCS Data'!$AA$7:$AA$110,0)),1,0)</f>
        <v>0</v>
      </c>
      <c r="M304" s="2847"/>
      <c r="N304" s="2840"/>
    </row>
    <row r="305" spans="2:14" s="1292" customFormat="1" x14ac:dyDescent="0.25">
      <c r="B305" s="2111" t="s">
        <v>3056</v>
      </c>
      <c r="C305" s="2111" t="s">
        <v>3965</v>
      </c>
      <c r="D305" s="2117" t="s">
        <v>2922</v>
      </c>
      <c r="E305" s="2841" t="s">
        <v>2945</v>
      </c>
      <c r="F305" s="2827"/>
      <c r="G305" s="2843" t="s">
        <v>38</v>
      </c>
      <c r="H305" s="2844">
        <f>INDEX('Fringe Data'!$K$8:$K$112,MATCH(G305,'Fringe Data'!$F$8:$F$112,0))</f>
        <v>0.33300000000000002</v>
      </c>
      <c r="I305" s="2854">
        <f>INDEX('Fringe Data'!$S$8:$S$112,MATCH(G305,'Fringe Data'!$F$8:$F$112,0))</f>
        <v>80</v>
      </c>
      <c r="J305" s="1700" t="s">
        <v>352</v>
      </c>
      <c r="K305" s="2846" t="s">
        <v>3965</v>
      </c>
      <c r="L305" s="559">
        <f>IF(ISERROR(MATCH(K305,'IPCS Data'!$AA$7:$AA$110,0)),1,0)</f>
        <v>0</v>
      </c>
      <c r="M305" s="2847"/>
      <c r="N305" s="2840"/>
    </row>
    <row r="306" spans="2:14" s="1292" customFormat="1" x14ac:dyDescent="0.25">
      <c r="B306" s="2111" t="s">
        <v>3056</v>
      </c>
      <c r="C306" s="2111" t="s">
        <v>3965</v>
      </c>
      <c r="D306" s="2117" t="s">
        <v>2923</v>
      </c>
      <c r="E306" s="2841" t="s">
        <v>2946</v>
      </c>
      <c r="F306" s="2827"/>
      <c r="G306" s="2843" t="s">
        <v>38</v>
      </c>
      <c r="H306" s="2844">
        <f>INDEX('Fringe Data'!$K$8:$K$112,MATCH(G306,'Fringe Data'!$F$8:$F$112,0))</f>
        <v>0.33300000000000002</v>
      </c>
      <c r="I306" s="2854">
        <f>INDEX('Fringe Data'!$S$8:$S$112,MATCH(G306,'Fringe Data'!$F$8:$F$112,0))</f>
        <v>80</v>
      </c>
      <c r="J306" s="1700" t="s">
        <v>352</v>
      </c>
      <c r="K306" s="2846" t="s">
        <v>3965</v>
      </c>
      <c r="L306" s="559">
        <f>IF(ISERROR(MATCH(K306,'IPCS Data'!$AA$7:$AA$110,0)),1,0)</f>
        <v>0</v>
      </c>
      <c r="M306" s="2847"/>
      <c r="N306" s="2840"/>
    </row>
    <row r="307" spans="2:14" s="1292" customFormat="1" x14ac:dyDescent="0.25">
      <c r="B307" s="2111" t="s">
        <v>3056</v>
      </c>
      <c r="C307" s="2111" t="s">
        <v>3965</v>
      </c>
      <c r="D307" s="2117" t="s">
        <v>2924</v>
      </c>
      <c r="E307" s="2841" t="s">
        <v>2947</v>
      </c>
      <c r="F307" s="2827"/>
      <c r="G307" s="2843" t="s">
        <v>38</v>
      </c>
      <c r="H307" s="2844">
        <f>INDEX('Fringe Data'!$K$8:$K$112,MATCH(G307,'Fringe Data'!$F$8:$F$112,0))</f>
        <v>0.33300000000000002</v>
      </c>
      <c r="I307" s="2854">
        <f>INDEX('Fringe Data'!$S$8:$S$112,MATCH(G307,'Fringe Data'!$F$8:$F$112,0))</f>
        <v>80</v>
      </c>
      <c r="J307" s="1700" t="s">
        <v>352</v>
      </c>
      <c r="K307" s="2846" t="s">
        <v>3965</v>
      </c>
      <c r="L307" s="559">
        <f>IF(ISERROR(MATCH(K307,'IPCS Data'!$AA$7:$AA$110,0)),1,0)</f>
        <v>0</v>
      </c>
      <c r="M307" s="2847"/>
      <c r="N307" s="2840"/>
    </row>
    <row r="308" spans="2:14" s="1292" customFormat="1" ht="13.8" thickBot="1" x14ac:dyDescent="0.3">
      <c r="B308" s="2110" t="s">
        <v>3056</v>
      </c>
      <c r="C308" s="2111" t="s">
        <v>3965</v>
      </c>
      <c r="D308" s="2119" t="s">
        <v>2925</v>
      </c>
      <c r="E308" s="2850" t="s">
        <v>2948</v>
      </c>
      <c r="F308" s="2827"/>
      <c r="G308" s="2853" t="s">
        <v>38</v>
      </c>
      <c r="H308" s="2844">
        <f>INDEX('Fringe Data'!$K$8:$K$112,MATCH(G308,'Fringe Data'!$F$8:$F$112,0))</f>
        <v>0.33300000000000002</v>
      </c>
      <c r="I308" s="2854">
        <f>INDEX('Fringe Data'!$S$8:$S$112,MATCH(G308,'Fringe Data'!$F$8:$F$112,0))</f>
        <v>80</v>
      </c>
      <c r="J308" s="1700" t="s">
        <v>352</v>
      </c>
      <c r="K308" s="2846" t="s">
        <v>3965</v>
      </c>
      <c r="L308" s="559">
        <f>IF(ISERROR(MATCH(K308,'IPCS Data'!$AA$7:$AA$110,0)),1,0)</f>
        <v>0</v>
      </c>
      <c r="M308" s="2847"/>
      <c r="N308" s="2840"/>
    </row>
    <row r="309" spans="2:14" s="1292" customFormat="1" ht="22.8" thickBot="1" x14ac:dyDescent="0.3">
      <c r="B309" s="2829" t="s">
        <v>837</v>
      </c>
      <c r="C309" s="2830" t="s">
        <v>3544</v>
      </c>
      <c r="D309" s="2830" t="s">
        <v>359</v>
      </c>
      <c r="E309" s="2831" t="s">
        <v>3545</v>
      </c>
      <c r="F309" s="2827"/>
      <c r="G309" s="2832" t="s">
        <v>3546</v>
      </c>
      <c r="H309" s="2833" t="s">
        <v>3547</v>
      </c>
      <c r="I309" s="2833" t="s">
        <v>3548</v>
      </c>
      <c r="J309" s="2834" t="s">
        <v>3549</v>
      </c>
      <c r="K309" s="2835" t="s">
        <v>3525</v>
      </c>
      <c r="L309" s="2835"/>
      <c r="M309" s="2836" t="s">
        <v>3550</v>
      </c>
      <c r="N309" s="2840"/>
    </row>
    <row r="310" spans="2:14" s="1292" customFormat="1" x14ac:dyDescent="0.25">
      <c r="B310" s="2111" t="s">
        <v>3056</v>
      </c>
      <c r="C310" s="2111" t="s">
        <v>3964</v>
      </c>
      <c r="D310" s="2111" t="s">
        <v>2949</v>
      </c>
      <c r="E310" s="2841" t="s">
        <v>2958</v>
      </c>
      <c r="F310" s="2827"/>
      <c r="G310" s="2843" t="s">
        <v>46</v>
      </c>
      <c r="H310" s="2844">
        <f>INDEX('Fringe Data'!$K$8:$K$112,MATCH(G310,'Fringe Data'!$F$8:$F$112,0))</f>
        <v>0.39250000000000002</v>
      </c>
      <c r="I310" s="2854">
        <f>INDEX('Fringe Data'!$S$8:$S$112,MATCH(G310,'Fringe Data'!$F$8:$F$112,0))</f>
        <v>2.15</v>
      </c>
      <c r="J310" s="1700" t="s">
        <v>352</v>
      </c>
      <c r="K310" s="2846" t="s">
        <v>4040</v>
      </c>
      <c r="L310" s="559">
        <f>IF(ISERROR(MATCH(K310,'IPCS Data'!$AA$7:$AA$110,0)),1,0)</f>
        <v>0</v>
      </c>
      <c r="M310" s="2847"/>
      <c r="N310" s="2840"/>
    </row>
    <row r="311" spans="2:14" s="1292" customFormat="1" x14ac:dyDescent="0.25">
      <c r="B311" s="2111" t="s">
        <v>3056</v>
      </c>
      <c r="C311" s="2111" t="s">
        <v>3964</v>
      </c>
      <c r="D311" s="2111" t="s">
        <v>2950</v>
      </c>
      <c r="E311" s="2841" t="s">
        <v>2959</v>
      </c>
      <c r="F311" s="2827"/>
      <c r="G311" s="2843" t="s">
        <v>49</v>
      </c>
      <c r="H311" s="2844">
        <f>INDEX('Fringe Data'!$K$8:$K$112,MATCH(G311,'Fringe Data'!$F$8:$F$112,0))</f>
        <v>0.41049999999999998</v>
      </c>
      <c r="I311" s="2854">
        <f>INDEX('Fringe Data'!$S$8:$S$112,MATCH(G311,'Fringe Data'!$F$8:$F$112,0))</f>
        <v>2.4300000000000002</v>
      </c>
      <c r="J311" s="1700" t="s">
        <v>48</v>
      </c>
      <c r="K311" s="2846" t="s">
        <v>4040</v>
      </c>
      <c r="L311" s="559">
        <f>IF(ISERROR(MATCH(K311,'IPCS Data'!$AA$7:$AA$110,0)),1,0)</f>
        <v>0</v>
      </c>
      <c r="M311" s="2847"/>
      <c r="N311" s="2840"/>
    </row>
    <row r="312" spans="2:14" s="1292" customFormat="1" x14ac:dyDescent="0.25">
      <c r="B312" s="2111" t="s">
        <v>3056</v>
      </c>
      <c r="C312" s="2111" t="s">
        <v>3964</v>
      </c>
      <c r="D312" s="2111" t="s">
        <v>2951</v>
      </c>
      <c r="E312" s="2841" t="s">
        <v>2960</v>
      </c>
      <c r="F312" s="2827"/>
      <c r="G312" s="2849" t="s">
        <v>53</v>
      </c>
      <c r="H312" s="2844">
        <f>INDEX('Fringe Data'!$K$8:$K$112,MATCH(G312,'Fringe Data'!$F$8:$F$112,0))</f>
        <v>0.44850000000000001</v>
      </c>
      <c r="I312" s="2854">
        <f>INDEX('Fringe Data'!$S$8:$S$112,MATCH(G312,'Fringe Data'!$F$8:$F$112,0))</f>
        <v>2.15</v>
      </c>
      <c r="J312" s="1700" t="s">
        <v>354</v>
      </c>
      <c r="K312" s="2846" t="s">
        <v>4040</v>
      </c>
      <c r="L312" s="559">
        <f>IF(ISERROR(MATCH(K312,'IPCS Data'!$AA$7:$AA$110,0)),1,0)</f>
        <v>0</v>
      </c>
      <c r="M312" s="2847"/>
      <c r="N312" s="2840"/>
    </row>
    <row r="313" spans="2:14" s="1292" customFormat="1" x14ac:dyDescent="0.25">
      <c r="B313" s="2111" t="s">
        <v>3056</v>
      </c>
      <c r="C313" s="2111" t="s">
        <v>3964</v>
      </c>
      <c r="D313" s="2111" t="s">
        <v>2952</v>
      </c>
      <c r="E313" s="2841" t="s">
        <v>2961</v>
      </c>
      <c r="F313" s="2827"/>
      <c r="G313" s="2843" t="s">
        <v>46</v>
      </c>
      <c r="H313" s="2844">
        <f>INDEX('Fringe Data'!$K$8:$K$112,MATCH(G313,'Fringe Data'!$F$8:$F$112,0))</f>
        <v>0.39250000000000002</v>
      </c>
      <c r="I313" s="2854">
        <f>INDEX('Fringe Data'!$S$8:$S$112,MATCH(G313,'Fringe Data'!$F$8:$F$112,0))</f>
        <v>2.15</v>
      </c>
      <c r="J313" s="1700" t="s">
        <v>10</v>
      </c>
      <c r="K313" s="2846" t="s">
        <v>4040</v>
      </c>
      <c r="L313" s="559">
        <f>IF(ISERROR(MATCH(K313,'IPCS Data'!$AA$7:$AA$110,0)),1,0)</f>
        <v>0</v>
      </c>
      <c r="M313" s="2847"/>
      <c r="N313" s="2840"/>
    </row>
    <row r="314" spans="2:14" s="1292" customFormat="1" x14ac:dyDescent="0.25">
      <c r="B314" s="2111" t="s">
        <v>3056</v>
      </c>
      <c r="C314" s="2111" t="s">
        <v>3964</v>
      </c>
      <c r="D314" s="2111" t="s">
        <v>2953</v>
      </c>
      <c r="E314" s="2841" t="s">
        <v>2962</v>
      </c>
      <c r="F314" s="2827"/>
      <c r="G314" s="2843" t="s">
        <v>46</v>
      </c>
      <c r="H314" s="2844">
        <f>INDEX('Fringe Data'!$K$8:$K$112,MATCH(G314,'Fringe Data'!$F$8:$F$112,0))</f>
        <v>0.39250000000000002</v>
      </c>
      <c r="I314" s="2854">
        <f>INDEX('Fringe Data'!$S$8:$S$112,MATCH(G314,'Fringe Data'!$F$8:$F$112,0))</f>
        <v>2.15</v>
      </c>
      <c r="J314" s="1700" t="s">
        <v>10</v>
      </c>
      <c r="K314" s="2846" t="s">
        <v>4040</v>
      </c>
      <c r="L314" s="559">
        <f>IF(ISERROR(MATCH(K314,'IPCS Data'!$AA$7:$AA$110,0)),1,0)</f>
        <v>0</v>
      </c>
      <c r="M314" s="2847"/>
      <c r="N314" s="2840"/>
    </row>
    <row r="315" spans="2:14" s="1292" customFormat="1" x14ac:dyDescent="0.25">
      <c r="B315" s="2109" t="s">
        <v>3056</v>
      </c>
      <c r="C315" s="2111" t="s">
        <v>3964</v>
      </c>
      <c r="D315" s="2109" t="s">
        <v>2954</v>
      </c>
      <c r="E315" s="2848" t="s">
        <v>2963</v>
      </c>
      <c r="F315" s="2827"/>
      <c r="G315" s="2843" t="s">
        <v>46</v>
      </c>
      <c r="H315" s="2844">
        <f>INDEX('Fringe Data'!$K$8:$K$112,MATCH(G315,'Fringe Data'!$F$8:$F$112,0))</f>
        <v>0.39250000000000002</v>
      </c>
      <c r="I315" s="2854">
        <f>INDEX('Fringe Data'!$S$8:$S$112,MATCH(G315,'Fringe Data'!$F$8:$F$112,0))</f>
        <v>2.15</v>
      </c>
      <c r="J315" s="1700" t="s">
        <v>10</v>
      </c>
      <c r="K315" s="2846" t="s">
        <v>4040</v>
      </c>
      <c r="L315" s="559">
        <f>IF(ISERROR(MATCH(K315,'IPCS Data'!$AA$7:$AA$110,0)),1,0)</f>
        <v>0</v>
      </c>
      <c r="M315" s="2847"/>
      <c r="N315" s="2840"/>
    </row>
    <row r="316" spans="2:14" s="1292" customFormat="1" x14ac:dyDescent="0.25">
      <c r="B316" s="2109" t="s">
        <v>3056</v>
      </c>
      <c r="C316" s="2111" t="s">
        <v>3964</v>
      </c>
      <c r="D316" s="2109" t="s">
        <v>2955</v>
      </c>
      <c r="E316" s="2848" t="s">
        <v>2964</v>
      </c>
      <c r="F316" s="2827"/>
      <c r="G316" s="2843" t="s">
        <v>49</v>
      </c>
      <c r="H316" s="2844">
        <f>INDEX('Fringe Data'!$K$8:$K$112,MATCH(G316,'Fringe Data'!$F$8:$F$112,0))</f>
        <v>0.41049999999999998</v>
      </c>
      <c r="I316" s="2854">
        <f>INDEX('Fringe Data'!$S$8:$S$112,MATCH(G316,'Fringe Data'!$F$8:$F$112,0))</f>
        <v>2.4300000000000002</v>
      </c>
      <c r="J316" s="1700" t="s">
        <v>352</v>
      </c>
      <c r="K316" s="2846" t="s">
        <v>4040</v>
      </c>
      <c r="L316" s="559">
        <f>IF(ISERROR(MATCH(K316,'IPCS Data'!$AA$7:$AA$110,0)),1,0)</f>
        <v>0</v>
      </c>
      <c r="M316" s="2847"/>
      <c r="N316" s="2840"/>
    </row>
    <row r="317" spans="2:14" s="1292" customFormat="1" x14ac:dyDescent="0.25">
      <c r="B317" s="2109" t="s">
        <v>3056</v>
      </c>
      <c r="C317" s="2111" t="s">
        <v>3964</v>
      </c>
      <c r="D317" s="2109" t="s">
        <v>2956</v>
      </c>
      <c r="E317" s="2848" t="s">
        <v>2965</v>
      </c>
      <c r="F317" s="2827"/>
      <c r="G317" s="2843" t="s">
        <v>49</v>
      </c>
      <c r="H317" s="2844">
        <f>INDEX('Fringe Data'!$K$8:$K$112,MATCH(G317,'Fringe Data'!$F$8:$F$112,0))</f>
        <v>0.41049999999999998</v>
      </c>
      <c r="I317" s="2854">
        <f>INDEX('Fringe Data'!$S$8:$S$112,MATCH(G317,'Fringe Data'!$F$8:$F$112,0))</f>
        <v>2.4300000000000002</v>
      </c>
      <c r="J317" s="1700" t="s">
        <v>352</v>
      </c>
      <c r="K317" s="2846" t="s">
        <v>4040</v>
      </c>
      <c r="L317" s="559">
        <f>IF(ISERROR(MATCH(K317,'IPCS Data'!$AA$7:$AA$110,0)),1,0)</f>
        <v>0</v>
      </c>
      <c r="M317" s="2847"/>
      <c r="N317" s="2840"/>
    </row>
    <row r="318" spans="2:14" s="1292" customFormat="1" ht="13.8" thickBot="1" x14ac:dyDescent="0.3">
      <c r="B318" s="2109" t="s">
        <v>3056</v>
      </c>
      <c r="C318" s="2111" t="s">
        <v>3964</v>
      </c>
      <c r="D318" s="2109" t="s">
        <v>2957</v>
      </c>
      <c r="E318" s="2848" t="s">
        <v>2966</v>
      </c>
      <c r="F318" s="2827"/>
      <c r="G318" s="2843" t="s">
        <v>49</v>
      </c>
      <c r="H318" s="2844">
        <f>INDEX('Fringe Data'!$K$8:$K$112,MATCH(G318,'Fringe Data'!$F$8:$F$112,0))</f>
        <v>0.41049999999999998</v>
      </c>
      <c r="I318" s="2854">
        <f>INDEX('Fringe Data'!$S$8:$S$112,MATCH(G318,'Fringe Data'!$F$8:$F$112,0))</f>
        <v>2.4300000000000002</v>
      </c>
      <c r="J318" s="1700" t="s">
        <v>48</v>
      </c>
      <c r="K318" s="2846" t="s">
        <v>4040</v>
      </c>
      <c r="L318" s="559">
        <f>IF(ISERROR(MATCH(K318,'IPCS Data'!$AA$7:$AA$110,0)),1,0)</f>
        <v>0</v>
      </c>
      <c r="M318" s="2847"/>
      <c r="N318" s="2840"/>
    </row>
    <row r="319" spans="2:14" s="1292" customFormat="1" ht="22.8" thickBot="1" x14ac:dyDescent="0.3">
      <c r="B319" s="2829" t="s">
        <v>837</v>
      </c>
      <c r="C319" s="2830" t="s">
        <v>3544</v>
      </c>
      <c r="D319" s="2830" t="s">
        <v>359</v>
      </c>
      <c r="E319" s="2831" t="s">
        <v>3545</v>
      </c>
      <c r="F319" s="2827"/>
      <c r="G319" s="2832" t="s">
        <v>3546</v>
      </c>
      <c r="H319" s="2833" t="s">
        <v>3547</v>
      </c>
      <c r="I319" s="2833" t="s">
        <v>3548</v>
      </c>
      <c r="J319" s="2834" t="s">
        <v>3549</v>
      </c>
      <c r="K319" s="2835" t="s">
        <v>3525</v>
      </c>
      <c r="L319" s="2835"/>
      <c r="M319" s="2836" t="s">
        <v>3550</v>
      </c>
      <c r="N319" s="2840"/>
    </row>
    <row r="320" spans="2:14" s="1292" customFormat="1" x14ac:dyDescent="0.25">
      <c r="B320" s="2109" t="s">
        <v>3056</v>
      </c>
      <c r="C320" s="2111" t="s">
        <v>3963</v>
      </c>
      <c r="D320" s="2109" t="s">
        <v>2967</v>
      </c>
      <c r="E320" s="2848" t="s">
        <v>2971</v>
      </c>
      <c r="F320" s="2827"/>
      <c r="G320" s="2843" t="s">
        <v>47</v>
      </c>
      <c r="H320" s="2844">
        <f>INDEX('Fringe Data'!$K$8:$K$112,MATCH(G320,'Fringe Data'!$F$8:$F$112,0))</f>
        <v>0.3735</v>
      </c>
      <c r="I320" s="2854">
        <f>INDEX('Fringe Data'!$S$8:$S$112,MATCH(G320,'Fringe Data'!$F$8:$F$112,0))</f>
        <v>2.15</v>
      </c>
      <c r="J320" s="1700" t="s">
        <v>40</v>
      </c>
      <c r="K320" s="2846" t="s">
        <v>3963</v>
      </c>
      <c r="L320" s="559">
        <f>IF(ISERROR(MATCH(K320,'IPCS Data'!$AA$7:$AA$110,0)),1,0)</f>
        <v>0</v>
      </c>
      <c r="M320" s="2847"/>
      <c r="N320" s="2840"/>
    </row>
    <row r="321" spans="2:14" s="1292" customFormat="1" x14ac:dyDescent="0.25">
      <c r="B321" s="2109" t="s">
        <v>3056</v>
      </c>
      <c r="C321" s="2111" t="s">
        <v>3963</v>
      </c>
      <c r="D321" s="2109" t="s">
        <v>2968</v>
      </c>
      <c r="E321" s="2848" t="s">
        <v>2972</v>
      </c>
      <c r="F321" s="2827"/>
      <c r="G321" s="2843" t="s">
        <v>308</v>
      </c>
      <c r="H321" s="2844">
        <f>INDEX('Fringe Data'!$K$8:$K$112,MATCH(G321,'Fringe Data'!$F$8:$F$112,0))</f>
        <v>0.35909999999999997</v>
      </c>
      <c r="I321" s="2854">
        <f>INDEX('Fringe Data'!$S$8:$S$112,MATCH(G321,'Fringe Data'!$F$8:$F$112,0))</f>
        <v>2.4900000000000002</v>
      </c>
      <c r="J321" s="1700" t="s">
        <v>45</v>
      </c>
      <c r="K321" s="2846" t="s">
        <v>3963</v>
      </c>
      <c r="L321" s="559">
        <f>IF(ISERROR(MATCH(K321,'IPCS Data'!$AA$7:$AA$110,0)),1,0)</f>
        <v>0</v>
      </c>
      <c r="M321" s="2847"/>
      <c r="N321" s="2840"/>
    </row>
    <row r="322" spans="2:14" s="1292" customFormat="1" x14ac:dyDescent="0.25">
      <c r="B322" s="2109" t="s">
        <v>3056</v>
      </c>
      <c r="C322" s="2111" t="s">
        <v>3963</v>
      </c>
      <c r="D322" s="2109" t="s">
        <v>2969</v>
      </c>
      <c r="E322" s="2848" t="s">
        <v>2973</v>
      </c>
      <c r="F322" s="2827"/>
      <c r="G322" s="2843" t="s">
        <v>308</v>
      </c>
      <c r="H322" s="2844">
        <f>INDEX('Fringe Data'!$K$8:$K$112,MATCH(G322,'Fringe Data'!$F$8:$F$112,0))</f>
        <v>0.35909999999999997</v>
      </c>
      <c r="I322" s="2854">
        <f>INDEX('Fringe Data'!$S$8:$S$112,MATCH(G322,'Fringe Data'!$F$8:$F$112,0))</f>
        <v>2.4900000000000002</v>
      </c>
      <c r="J322" s="1700" t="s">
        <v>45</v>
      </c>
      <c r="K322" s="2846" t="s">
        <v>3963</v>
      </c>
      <c r="L322" s="559">
        <f>IF(ISERROR(MATCH(K322,'IPCS Data'!$AA$7:$AA$110,0)),1,0)</f>
        <v>0</v>
      </c>
      <c r="M322" s="2847"/>
      <c r="N322" s="2840"/>
    </row>
    <row r="323" spans="2:14" s="1292" customFormat="1" ht="13.8" thickBot="1" x14ac:dyDescent="0.3">
      <c r="B323" s="2110" t="s">
        <v>3056</v>
      </c>
      <c r="C323" s="2111" t="s">
        <v>3963</v>
      </c>
      <c r="D323" s="2110" t="s">
        <v>2970</v>
      </c>
      <c r="E323" s="2850" t="s">
        <v>2974</v>
      </c>
      <c r="F323" s="2827"/>
      <c r="G323" s="2853" t="s">
        <v>308</v>
      </c>
      <c r="H323" s="2844">
        <f>INDEX('Fringe Data'!$K$8:$K$112,MATCH(G323,'Fringe Data'!$F$8:$F$112,0))</f>
        <v>0.35909999999999997</v>
      </c>
      <c r="I323" s="2854">
        <f>INDEX('Fringe Data'!$S$8:$S$112,MATCH(G323,'Fringe Data'!$F$8:$F$112,0))</f>
        <v>2.4900000000000002</v>
      </c>
      <c r="J323" s="1700" t="s">
        <v>45</v>
      </c>
      <c r="K323" s="2846" t="s">
        <v>3963</v>
      </c>
      <c r="L323" s="559">
        <f>IF(ISERROR(MATCH(K323,'IPCS Data'!$AA$7:$AA$110,0)),1,0)</f>
        <v>0</v>
      </c>
      <c r="M323" s="2847"/>
      <c r="N323" s="2840"/>
    </row>
    <row r="324" spans="2:14" s="1292" customFormat="1" ht="22.8" thickBot="1" x14ac:dyDescent="0.3">
      <c r="B324" s="2829" t="s">
        <v>837</v>
      </c>
      <c r="C324" s="2830" t="s">
        <v>3544</v>
      </c>
      <c r="D324" s="2830" t="s">
        <v>359</v>
      </c>
      <c r="E324" s="2831" t="s">
        <v>3545</v>
      </c>
      <c r="F324" s="2827"/>
      <c r="G324" s="2832" t="s">
        <v>3546</v>
      </c>
      <c r="H324" s="2833" t="s">
        <v>3547</v>
      </c>
      <c r="I324" s="2833" t="s">
        <v>3548</v>
      </c>
      <c r="J324" s="2834" t="s">
        <v>3549</v>
      </c>
      <c r="K324" s="2835" t="s">
        <v>3525</v>
      </c>
      <c r="L324" s="2835"/>
      <c r="M324" s="2836" t="s">
        <v>3550</v>
      </c>
      <c r="N324" s="2840"/>
    </row>
    <row r="325" spans="2:14" s="1292" customFormat="1" x14ac:dyDescent="0.25">
      <c r="B325" s="2111" t="s">
        <v>3056</v>
      </c>
      <c r="C325" s="2111" t="s">
        <v>3962</v>
      </c>
      <c r="D325" s="2111" t="s">
        <v>2975</v>
      </c>
      <c r="E325" s="2841" t="s">
        <v>2981</v>
      </c>
      <c r="F325" s="2827"/>
      <c r="G325" s="2843" t="s">
        <v>306</v>
      </c>
      <c r="H325" s="2844">
        <f>INDEX('Fringe Data'!$K$8:$K$112,MATCH(G325,'Fringe Data'!$F$8:$F$112,0))</f>
        <v>0.24529999999999999</v>
      </c>
      <c r="I325" s="2854">
        <f>INDEX('Fringe Data'!$S$8:$S$112,MATCH(G325,'Fringe Data'!$F$8:$F$112,0))</f>
        <v>7.9</v>
      </c>
      <c r="J325" s="1700" t="s">
        <v>11</v>
      </c>
      <c r="K325" s="2858" t="s">
        <v>3962</v>
      </c>
      <c r="L325" s="559">
        <f>IF(ISERROR(MATCH(K325,'IPCS Data'!$AA$7:$AA$110,0)),1,0)</f>
        <v>0</v>
      </c>
      <c r="M325" s="2847"/>
      <c r="N325" s="2840"/>
    </row>
    <row r="326" spans="2:14" s="1292" customFormat="1" x14ac:dyDescent="0.25">
      <c r="B326" s="2109" t="s">
        <v>3056</v>
      </c>
      <c r="C326" s="2111" t="s">
        <v>3962</v>
      </c>
      <c r="D326" s="2109" t="s">
        <v>2976</v>
      </c>
      <c r="E326" s="2848" t="s">
        <v>2982</v>
      </c>
      <c r="F326" s="2827"/>
      <c r="G326" s="2843" t="s">
        <v>306</v>
      </c>
      <c r="H326" s="2844">
        <f>INDEX('Fringe Data'!$K$8:$K$112,MATCH(G326,'Fringe Data'!$F$8:$F$112,0))</f>
        <v>0.24529999999999999</v>
      </c>
      <c r="I326" s="2855">
        <v>6.8</v>
      </c>
      <c r="J326" s="1700" t="s">
        <v>11</v>
      </c>
      <c r="K326" s="2858" t="s">
        <v>3962</v>
      </c>
      <c r="L326" s="559">
        <f>IF(ISERROR(MATCH(K326,'IPCS Data'!$AA$7:$AA$110,0)),1,0)</f>
        <v>0</v>
      </c>
      <c r="M326" s="2847" t="s">
        <v>3677</v>
      </c>
      <c r="N326" s="2840"/>
    </row>
    <row r="327" spans="2:14" s="1292" customFormat="1" x14ac:dyDescent="0.25">
      <c r="B327" s="2109" t="s">
        <v>3056</v>
      </c>
      <c r="C327" s="2111" t="s">
        <v>3962</v>
      </c>
      <c r="D327" s="2109" t="s">
        <v>2977</v>
      </c>
      <c r="E327" s="2848" t="s">
        <v>2983</v>
      </c>
      <c r="F327" s="2827"/>
      <c r="G327" s="2843" t="s">
        <v>306</v>
      </c>
      <c r="H327" s="2844">
        <f>INDEX('Fringe Data'!$K$8:$K$112,MATCH(G327,'Fringe Data'!$F$8:$F$112,0))</f>
        <v>0.24529999999999999</v>
      </c>
      <c r="I327" s="2854">
        <f>INDEX('Fringe Data'!$S$8:$S$112,MATCH(G327,'Fringe Data'!$F$8:$F$112,0))</f>
        <v>7.9</v>
      </c>
      <c r="J327" s="1700" t="s">
        <v>11</v>
      </c>
      <c r="K327" s="2858" t="s">
        <v>3962</v>
      </c>
      <c r="L327" s="559">
        <f>IF(ISERROR(MATCH(K327,'IPCS Data'!$AA$7:$AA$110,0)),1,0)</f>
        <v>0</v>
      </c>
      <c r="M327" s="2847"/>
      <c r="N327" s="2840"/>
    </row>
    <row r="328" spans="2:14" s="1292" customFormat="1" x14ac:dyDescent="0.25">
      <c r="B328" s="2109" t="s">
        <v>3056</v>
      </c>
      <c r="C328" s="2111" t="s">
        <v>3962</v>
      </c>
      <c r="D328" s="2109" t="s">
        <v>2978</v>
      </c>
      <c r="E328" s="2848" t="s">
        <v>2984</v>
      </c>
      <c r="F328" s="2827"/>
      <c r="G328" s="2843" t="s">
        <v>306</v>
      </c>
      <c r="H328" s="2844">
        <f>INDEX('Fringe Data'!$K$8:$K$112,MATCH(G328,'Fringe Data'!$F$8:$F$112,0))</f>
        <v>0.24529999999999999</v>
      </c>
      <c r="I328" s="2854">
        <f>INDEX('Fringe Data'!$S$8:$S$112,MATCH(G328,'Fringe Data'!$F$8:$F$112,0))</f>
        <v>7.9</v>
      </c>
      <c r="J328" s="1700" t="s">
        <v>11</v>
      </c>
      <c r="K328" s="2858" t="s">
        <v>3962</v>
      </c>
      <c r="L328" s="559">
        <f>IF(ISERROR(MATCH(K328,'IPCS Data'!$AA$7:$AA$110,0)),1,0)</f>
        <v>0</v>
      </c>
      <c r="M328" s="2847"/>
      <c r="N328" s="2840"/>
    </row>
    <row r="329" spans="2:14" s="1292" customFormat="1" x14ac:dyDescent="0.25">
      <c r="B329" s="2109" t="s">
        <v>3056</v>
      </c>
      <c r="C329" s="2111" t="s">
        <v>3962</v>
      </c>
      <c r="D329" s="2109" t="s">
        <v>2979</v>
      </c>
      <c r="E329" s="2848" t="s">
        <v>2985</v>
      </c>
      <c r="F329" s="2827"/>
      <c r="G329" s="2843" t="s">
        <v>306</v>
      </c>
      <c r="H329" s="2844">
        <f>INDEX('Fringe Data'!$K$8:$K$112,MATCH(G329,'Fringe Data'!$F$8:$F$112,0))</f>
        <v>0.24529999999999999</v>
      </c>
      <c r="I329" s="2854">
        <f>INDEX('Fringe Data'!$S$8:$S$112,MATCH(G329,'Fringe Data'!$F$8:$F$112,0))</f>
        <v>7.9</v>
      </c>
      <c r="J329" s="1700" t="s">
        <v>11</v>
      </c>
      <c r="K329" s="2858" t="s">
        <v>3962</v>
      </c>
      <c r="L329" s="559">
        <f>IF(ISERROR(MATCH(K329,'IPCS Data'!$AA$7:$AA$110,0)),1,0)</f>
        <v>0</v>
      </c>
      <c r="M329" s="2847"/>
      <c r="N329" s="2840"/>
    </row>
    <row r="330" spans="2:14" s="1292" customFormat="1" x14ac:dyDescent="0.25">
      <c r="B330" s="2109" t="s">
        <v>3056</v>
      </c>
      <c r="C330" s="2111" t="s">
        <v>3962</v>
      </c>
      <c r="D330" s="2109" t="s">
        <v>2980</v>
      </c>
      <c r="E330" s="2848" t="s">
        <v>2986</v>
      </c>
      <c r="F330" s="2827"/>
      <c r="G330" s="2843" t="s">
        <v>306</v>
      </c>
      <c r="H330" s="2844">
        <f>INDEX('Fringe Data'!$K$8:$K$112,MATCH(G330,'Fringe Data'!$F$8:$F$112,0))</f>
        <v>0.24529999999999999</v>
      </c>
      <c r="I330" s="2854">
        <f>INDEX('Fringe Data'!$S$8:$S$112,MATCH(G330,'Fringe Data'!$F$8:$F$112,0))</f>
        <v>7.9</v>
      </c>
      <c r="J330" s="1700" t="s">
        <v>11</v>
      </c>
      <c r="K330" s="2858" t="s">
        <v>3962</v>
      </c>
      <c r="L330" s="559">
        <f>IF(ISERROR(MATCH(K330,'IPCS Data'!$AA$7:$AA$110,0)),1,0)</f>
        <v>0</v>
      </c>
      <c r="M330" s="2847"/>
      <c r="N330" s="2840"/>
    </row>
    <row r="331" spans="2:14" s="1292" customFormat="1" ht="13.8" thickBot="1" x14ac:dyDescent="0.3">
      <c r="B331" s="2110" t="s">
        <v>3056</v>
      </c>
      <c r="C331" s="2111" t="s">
        <v>3962</v>
      </c>
      <c r="D331" s="2110" t="s">
        <v>3678</v>
      </c>
      <c r="E331" s="2850">
        <v>27144</v>
      </c>
      <c r="F331" s="2827"/>
      <c r="G331" s="2853" t="s">
        <v>306</v>
      </c>
      <c r="H331" s="2844">
        <f>INDEX('Fringe Data'!$K$8:$K$112,MATCH(G331,'Fringe Data'!$F$8:$F$112,0))</f>
        <v>0.24529999999999999</v>
      </c>
      <c r="I331" s="2854">
        <f>INDEX('Fringe Data'!$S$8:$S$112,MATCH(G331,'Fringe Data'!$F$8:$F$112,0))</f>
        <v>7.9</v>
      </c>
      <c r="J331" s="1703" t="s">
        <v>11</v>
      </c>
      <c r="K331" s="2858" t="s">
        <v>3962</v>
      </c>
      <c r="L331" s="559">
        <f>IF(ISERROR(MATCH(K331,'IPCS Data'!$AA$7:$AA$110,0)),1,0)</f>
        <v>0</v>
      </c>
      <c r="M331" s="2847"/>
      <c r="N331" s="2840"/>
    </row>
    <row r="332" spans="2:14" s="1292" customFormat="1" ht="22.8" thickBot="1" x14ac:dyDescent="0.3">
      <c r="B332" s="2829" t="s">
        <v>837</v>
      </c>
      <c r="C332" s="2830" t="s">
        <v>3544</v>
      </c>
      <c r="D332" s="2830" t="s">
        <v>359</v>
      </c>
      <c r="E332" s="2831" t="s">
        <v>3545</v>
      </c>
      <c r="F332" s="2827"/>
      <c r="G332" s="2832" t="s">
        <v>3546</v>
      </c>
      <c r="H332" s="2833" t="s">
        <v>3547</v>
      </c>
      <c r="I332" s="2833" t="s">
        <v>3548</v>
      </c>
      <c r="J332" s="2834" t="s">
        <v>3549</v>
      </c>
      <c r="K332" s="2835" t="s">
        <v>3525</v>
      </c>
      <c r="L332" s="2835"/>
      <c r="M332" s="2836" t="s">
        <v>3550</v>
      </c>
      <c r="N332" s="2840"/>
    </row>
    <row r="333" spans="2:14" s="1292" customFormat="1" x14ac:dyDescent="0.25">
      <c r="B333" s="2111" t="s">
        <v>3056</v>
      </c>
      <c r="C333" s="2111" t="s">
        <v>3966</v>
      </c>
      <c r="D333" s="2111" t="s">
        <v>2987</v>
      </c>
      <c r="E333" s="2841" t="s">
        <v>2994</v>
      </c>
      <c r="F333" s="2827"/>
      <c r="G333" s="2843" t="s">
        <v>3679</v>
      </c>
      <c r="H333" s="2844">
        <f>INDEX('Fringe Data'!$K$8:$K$112,MATCH(G333,'Fringe Data'!$F$8:$F$112,0))</f>
        <v>0.40410000000000001</v>
      </c>
      <c r="I333" s="2854">
        <f>INDEX('Fringe Data'!$S$8:$S$112,MATCH(G333,'Fringe Data'!$F$8:$F$112,0))</f>
        <v>7.16</v>
      </c>
      <c r="J333" s="1700" t="s">
        <v>3</v>
      </c>
      <c r="K333" s="2846" t="s">
        <v>3966</v>
      </c>
      <c r="L333" s="559">
        <f>IF(ISERROR(MATCH(K333,'IPCS Data'!$AA$7:$AA$110,0)),1,0)</f>
        <v>0</v>
      </c>
      <c r="M333" s="2847"/>
      <c r="N333" s="2840"/>
    </row>
    <row r="334" spans="2:14" s="1292" customFormat="1" x14ac:dyDescent="0.25">
      <c r="B334" s="2109" t="s">
        <v>3056</v>
      </c>
      <c r="C334" s="2109" t="s">
        <v>3966</v>
      </c>
      <c r="D334" s="2109" t="s">
        <v>2988</v>
      </c>
      <c r="E334" s="2848" t="s">
        <v>2995</v>
      </c>
      <c r="F334" s="2827"/>
      <c r="G334" s="2843" t="s">
        <v>3679</v>
      </c>
      <c r="H334" s="2844">
        <f>INDEX('Fringe Data'!$K$8:$K$112,MATCH(G334,'Fringe Data'!$F$8:$F$112,0))</f>
        <v>0.40410000000000001</v>
      </c>
      <c r="I334" s="2854">
        <f>INDEX('Fringe Data'!$S$8:$S$112,MATCH(G334,'Fringe Data'!$F$8:$F$112,0))</f>
        <v>7.16</v>
      </c>
      <c r="J334" s="1700" t="s">
        <v>3</v>
      </c>
      <c r="K334" s="2846" t="s">
        <v>3966</v>
      </c>
      <c r="L334" s="559">
        <f>IF(ISERROR(MATCH(K334,'IPCS Data'!$AA$7:$AA$110,0)),1,0)</f>
        <v>0</v>
      </c>
      <c r="M334" s="2847"/>
      <c r="N334" s="2840"/>
    </row>
    <row r="335" spans="2:14" s="1292" customFormat="1" x14ac:dyDescent="0.25">
      <c r="B335" s="2109" t="s">
        <v>3056</v>
      </c>
      <c r="C335" s="2109" t="s">
        <v>3966</v>
      </c>
      <c r="D335" s="2109" t="s">
        <v>2989</v>
      </c>
      <c r="E335" s="2848" t="s">
        <v>2996</v>
      </c>
      <c r="F335" s="2827"/>
      <c r="G335" s="2843" t="s">
        <v>3679</v>
      </c>
      <c r="H335" s="2844">
        <f>INDEX('Fringe Data'!$K$8:$K$112,MATCH(G335,'Fringe Data'!$F$8:$F$112,0))</f>
        <v>0.40410000000000001</v>
      </c>
      <c r="I335" s="2854">
        <f>INDEX('Fringe Data'!$S$8:$S$112,MATCH(G335,'Fringe Data'!$F$8:$F$112,0))</f>
        <v>7.16</v>
      </c>
      <c r="J335" s="1700" t="s">
        <v>3</v>
      </c>
      <c r="K335" s="2846" t="s">
        <v>3966</v>
      </c>
      <c r="L335" s="559">
        <f>IF(ISERROR(MATCH(K335,'IPCS Data'!$AA$7:$AA$110,0)),1,0)</f>
        <v>0</v>
      </c>
      <c r="M335" s="2847"/>
      <c r="N335" s="2840"/>
    </row>
    <row r="336" spans="2:14" s="1292" customFormat="1" x14ac:dyDescent="0.25">
      <c r="B336" s="2109" t="s">
        <v>3056</v>
      </c>
      <c r="C336" s="2109" t="s">
        <v>3966</v>
      </c>
      <c r="D336" s="2109" t="s">
        <v>2990</v>
      </c>
      <c r="E336" s="2848" t="s">
        <v>2997</v>
      </c>
      <c r="F336" s="2827"/>
      <c r="G336" s="2843" t="s">
        <v>3679</v>
      </c>
      <c r="H336" s="2844">
        <f>INDEX('Fringe Data'!$K$8:$K$112,MATCH(G336,'Fringe Data'!$F$8:$F$112,0))</f>
        <v>0.40410000000000001</v>
      </c>
      <c r="I336" s="2845">
        <f>INDEX('Fringe Data'!$S$8:$S$112,MATCH(G336,'Fringe Data'!$F$8:$F$112,0))</f>
        <v>7.16</v>
      </c>
      <c r="J336" s="1700" t="s">
        <v>3</v>
      </c>
      <c r="K336" s="2846" t="s">
        <v>3966</v>
      </c>
      <c r="L336" s="559">
        <f>IF(ISERROR(MATCH(K336,'IPCS Data'!$AA$7:$AA$110,0)),1,0)</f>
        <v>0</v>
      </c>
      <c r="M336" s="2847"/>
      <c r="N336" s="2840"/>
    </row>
    <row r="337" spans="2:14" s="1292" customFormat="1" x14ac:dyDescent="0.25">
      <c r="B337" s="2109" t="s">
        <v>3056</v>
      </c>
      <c r="C337" s="2109" t="s">
        <v>3966</v>
      </c>
      <c r="D337" s="2109" t="s">
        <v>2991</v>
      </c>
      <c r="E337" s="2848" t="s">
        <v>2998</v>
      </c>
      <c r="F337" s="2827"/>
      <c r="G337" s="2843" t="s">
        <v>3679</v>
      </c>
      <c r="H337" s="2844">
        <f>INDEX('Fringe Data'!$K$8:$K$112,MATCH(G337,'Fringe Data'!$F$8:$F$112,0))</f>
        <v>0.40410000000000001</v>
      </c>
      <c r="I337" s="2845">
        <f>INDEX('Fringe Data'!$S$8:$S$112,MATCH(G337,'Fringe Data'!$F$8:$F$112,0))</f>
        <v>7.16</v>
      </c>
      <c r="J337" s="1700" t="s">
        <v>3</v>
      </c>
      <c r="K337" s="2846" t="s">
        <v>3966</v>
      </c>
      <c r="L337" s="559">
        <f>IF(ISERROR(MATCH(K337,'IPCS Data'!$AA$7:$AA$110,0)),1,0)</f>
        <v>0</v>
      </c>
      <c r="M337" s="2847"/>
      <c r="N337" s="2840"/>
    </row>
    <row r="338" spans="2:14" s="1292" customFormat="1" x14ac:dyDescent="0.25">
      <c r="B338" s="2109" t="s">
        <v>3056</v>
      </c>
      <c r="C338" s="2109" t="s">
        <v>3966</v>
      </c>
      <c r="D338" s="2109" t="s">
        <v>2992</v>
      </c>
      <c r="E338" s="2848" t="s">
        <v>2999</v>
      </c>
      <c r="F338" s="2827"/>
      <c r="G338" s="2843" t="s">
        <v>3679</v>
      </c>
      <c r="H338" s="2844">
        <f>INDEX('Fringe Data'!$K$8:$K$112,MATCH(G338,'Fringe Data'!$F$8:$F$112,0))</f>
        <v>0.40410000000000001</v>
      </c>
      <c r="I338" s="2845">
        <f>INDEX('Fringe Data'!$S$8:$S$112,MATCH(G338,'Fringe Data'!$F$8:$F$112,0))</f>
        <v>7.16</v>
      </c>
      <c r="J338" s="1700" t="s">
        <v>3</v>
      </c>
      <c r="K338" s="2846" t="s">
        <v>3966</v>
      </c>
      <c r="L338" s="559">
        <f>IF(ISERROR(MATCH(K338,'IPCS Data'!$AA$7:$AA$110,0)),1,0)</f>
        <v>0</v>
      </c>
      <c r="M338" s="2847"/>
      <c r="N338" s="2840"/>
    </row>
    <row r="339" spans="2:14" s="1292" customFormat="1" ht="13.8" thickBot="1" x14ac:dyDescent="0.3">
      <c r="B339" s="2110" t="s">
        <v>3056</v>
      </c>
      <c r="C339" s="2110" t="s">
        <v>3966</v>
      </c>
      <c r="D339" s="2110" t="s">
        <v>2993</v>
      </c>
      <c r="E339" s="2850" t="s">
        <v>3000</v>
      </c>
      <c r="F339" s="2827"/>
      <c r="G339" s="2853" t="s">
        <v>3679</v>
      </c>
      <c r="H339" s="2856">
        <f>INDEX('Fringe Data'!$K$8:$K$112,MATCH(G339,'Fringe Data'!$F$8:$F$112,0))</f>
        <v>0.40410000000000001</v>
      </c>
      <c r="I339" s="2859">
        <f>INDEX('Fringe Data'!$S$8:$S$112,MATCH(G339,'Fringe Data'!$F$8:$F$112,0))</f>
        <v>7.16</v>
      </c>
      <c r="J339" s="1703" t="s">
        <v>3</v>
      </c>
      <c r="K339" s="2857" t="s">
        <v>3966</v>
      </c>
      <c r="L339" s="559">
        <f>IF(ISERROR(MATCH(K339,'IPCS Data'!$AA$7:$AA$110,0)),1,0)</f>
        <v>0</v>
      </c>
      <c r="M339" s="2847"/>
      <c r="N339" s="2840"/>
    </row>
    <row r="340" spans="2:14" s="1292" customFormat="1" x14ac:dyDescent="0.25">
      <c r="B340" s="2111" t="s">
        <v>3056</v>
      </c>
      <c r="C340" s="2111" t="s">
        <v>3967</v>
      </c>
      <c r="D340" s="2111" t="s">
        <v>3001</v>
      </c>
      <c r="E340" s="2841" t="s">
        <v>3007</v>
      </c>
      <c r="F340" s="2827"/>
      <c r="G340" s="2843" t="s">
        <v>3679</v>
      </c>
      <c r="H340" s="2844">
        <f>INDEX('Fringe Data'!$K$8:$K$112,MATCH(G340,'Fringe Data'!$F$8:$F$112,0))</f>
        <v>0.40410000000000001</v>
      </c>
      <c r="I340" s="2845">
        <f>INDEX('Fringe Data'!$S$8:$S$112,MATCH(G340,'Fringe Data'!$F$8:$F$112,0))</f>
        <v>7.16</v>
      </c>
      <c r="J340" s="1700" t="s">
        <v>3</v>
      </c>
      <c r="K340" s="2858" t="s">
        <v>3967</v>
      </c>
      <c r="L340" s="559">
        <f>IF(ISERROR(MATCH(K340,'IPCS Data'!$AA$7:$AA$110,0)),1,0)</f>
        <v>0</v>
      </c>
      <c r="M340" s="2847"/>
      <c r="N340" s="2840"/>
    </row>
    <row r="341" spans="2:14" s="1292" customFormat="1" x14ac:dyDescent="0.25">
      <c r="B341" s="2109" t="s">
        <v>3056</v>
      </c>
      <c r="C341" s="2109" t="s">
        <v>3967</v>
      </c>
      <c r="D341" s="2109" t="s">
        <v>3002</v>
      </c>
      <c r="E341" s="2848" t="s">
        <v>3008</v>
      </c>
      <c r="F341" s="2827"/>
      <c r="G341" s="2843" t="s">
        <v>3679</v>
      </c>
      <c r="H341" s="2844">
        <f>INDEX('Fringe Data'!$K$8:$K$112,MATCH(G341,'Fringe Data'!$F$8:$F$112,0))</f>
        <v>0.40410000000000001</v>
      </c>
      <c r="I341" s="2845">
        <f>INDEX('Fringe Data'!$S$8:$S$112,MATCH(G341,'Fringe Data'!$F$8:$F$112,0))</f>
        <v>7.16</v>
      </c>
      <c r="J341" s="1700" t="s">
        <v>3</v>
      </c>
      <c r="K341" s="2846" t="s">
        <v>3967</v>
      </c>
      <c r="L341" s="559">
        <f>IF(ISERROR(MATCH(K341,'IPCS Data'!$AA$7:$AA$110,0)),1,0)</f>
        <v>0</v>
      </c>
      <c r="M341" s="2847"/>
      <c r="N341" s="2840"/>
    </row>
    <row r="342" spans="2:14" s="1292" customFormat="1" x14ac:dyDescent="0.25">
      <c r="B342" s="2109" t="s">
        <v>3056</v>
      </c>
      <c r="C342" s="2109" t="s">
        <v>3967</v>
      </c>
      <c r="D342" s="2109" t="s">
        <v>3003</v>
      </c>
      <c r="E342" s="2848" t="s">
        <v>3009</v>
      </c>
      <c r="F342" s="2827"/>
      <c r="G342" s="2843" t="s">
        <v>3679</v>
      </c>
      <c r="H342" s="2844">
        <f>INDEX('Fringe Data'!$K$8:$K$112,MATCH(G342,'Fringe Data'!$F$8:$F$112,0))</f>
        <v>0.40410000000000001</v>
      </c>
      <c r="I342" s="2845">
        <f>INDEX('Fringe Data'!$S$8:$S$112,MATCH(G342,'Fringe Data'!$F$8:$F$112,0))</f>
        <v>7.16</v>
      </c>
      <c r="J342" s="1700" t="s">
        <v>3</v>
      </c>
      <c r="K342" s="2846" t="s">
        <v>3967</v>
      </c>
      <c r="L342" s="559">
        <f>IF(ISERROR(MATCH(K342,'IPCS Data'!$AA$7:$AA$110,0)),1,0)</f>
        <v>0</v>
      </c>
      <c r="M342" s="2847"/>
      <c r="N342" s="2840"/>
    </row>
    <row r="343" spans="2:14" s="1292" customFormat="1" x14ac:dyDescent="0.25">
      <c r="B343" s="2109" t="s">
        <v>3056</v>
      </c>
      <c r="C343" s="2109" t="s">
        <v>3967</v>
      </c>
      <c r="D343" s="2109" t="s">
        <v>3004</v>
      </c>
      <c r="E343" s="2848" t="s">
        <v>3010</v>
      </c>
      <c r="F343" s="2827"/>
      <c r="G343" s="2843" t="s">
        <v>3679</v>
      </c>
      <c r="H343" s="2844">
        <f>INDEX('Fringe Data'!$K$8:$K$112,MATCH(G343,'Fringe Data'!$F$8:$F$112,0))</f>
        <v>0.40410000000000001</v>
      </c>
      <c r="I343" s="2845">
        <f>INDEX('Fringe Data'!$S$8:$S$112,MATCH(G343,'Fringe Data'!$F$8:$F$112,0))</f>
        <v>7.16</v>
      </c>
      <c r="J343" s="1700" t="s">
        <v>3</v>
      </c>
      <c r="K343" s="2846" t="s">
        <v>3967</v>
      </c>
      <c r="L343" s="559">
        <f>IF(ISERROR(MATCH(K343,'IPCS Data'!$AA$7:$AA$110,0)),1,0)</f>
        <v>0</v>
      </c>
      <c r="M343" s="2847"/>
      <c r="N343" s="2840"/>
    </row>
    <row r="344" spans="2:14" s="1292" customFormat="1" x14ac:dyDescent="0.25">
      <c r="B344" s="2109" t="s">
        <v>3056</v>
      </c>
      <c r="C344" s="2109" t="s">
        <v>3967</v>
      </c>
      <c r="D344" s="2109" t="s">
        <v>3005</v>
      </c>
      <c r="E344" s="2848" t="s">
        <v>3011</v>
      </c>
      <c r="F344" s="2827"/>
      <c r="G344" s="2843" t="s">
        <v>3679</v>
      </c>
      <c r="H344" s="2844">
        <f>INDEX('Fringe Data'!$K$8:$K$112,MATCH(G344,'Fringe Data'!$F$8:$F$112,0))</f>
        <v>0.40410000000000001</v>
      </c>
      <c r="I344" s="2845">
        <f>INDEX('Fringe Data'!$S$8:$S$112,MATCH(G344,'Fringe Data'!$F$8:$F$112,0))</f>
        <v>7.16</v>
      </c>
      <c r="J344" s="1700" t="s">
        <v>3</v>
      </c>
      <c r="K344" s="2846" t="s">
        <v>3967</v>
      </c>
      <c r="L344" s="559">
        <f>IF(ISERROR(MATCH(K344,'IPCS Data'!$AA$7:$AA$110,0)),1,0)</f>
        <v>0</v>
      </c>
      <c r="M344" s="2847"/>
      <c r="N344" s="2840"/>
    </row>
    <row r="345" spans="2:14" s="1292" customFormat="1" ht="13.8" thickBot="1" x14ac:dyDescent="0.3">
      <c r="B345" s="2110" t="s">
        <v>3056</v>
      </c>
      <c r="C345" s="2110" t="s">
        <v>3967</v>
      </c>
      <c r="D345" s="2110" t="s">
        <v>3006</v>
      </c>
      <c r="E345" s="2850" t="s">
        <v>3012</v>
      </c>
      <c r="F345" s="2827"/>
      <c r="G345" s="2853" t="s">
        <v>3679</v>
      </c>
      <c r="H345" s="2856">
        <f>INDEX('Fringe Data'!$K$8:$K$112,MATCH(G345,'Fringe Data'!$F$8:$F$112,0))</f>
        <v>0.40410000000000001</v>
      </c>
      <c r="I345" s="2859">
        <f>INDEX('Fringe Data'!$S$8:$S$112,MATCH(G345,'Fringe Data'!$F$8:$F$112,0))</f>
        <v>7.16</v>
      </c>
      <c r="J345" s="1703" t="s">
        <v>3</v>
      </c>
      <c r="K345" s="2857" t="s">
        <v>3967</v>
      </c>
      <c r="L345" s="559">
        <f>IF(ISERROR(MATCH(K345,'IPCS Data'!$AA$7:$AA$110,0)),1,0)</f>
        <v>0</v>
      </c>
      <c r="M345" s="2847"/>
      <c r="N345" s="2840"/>
    </row>
    <row r="346" spans="2:14" s="1292" customFormat="1" x14ac:dyDescent="0.25">
      <c r="B346" s="2111" t="s">
        <v>3056</v>
      </c>
      <c r="C346" s="2111" t="s">
        <v>3968</v>
      </c>
      <c r="D346" s="2111" t="s">
        <v>3013</v>
      </c>
      <c r="E346" s="2841" t="s">
        <v>3019</v>
      </c>
      <c r="F346" s="2827"/>
      <c r="G346" s="2843" t="s">
        <v>3679</v>
      </c>
      <c r="H346" s="2844">
        <f>INDEX('Fringe Data'!$K$8:$K$112,MATCH(G346,'Fringe Data'!$F$8:$F$112,0))</f>
        <v>0.40410000000000001</v>
      </c>
      <c r="I346" s="2845">
        <f>INDEX('Fringe Data'!$S$8:$S$112,MATCH(G346,'Fringe Data'!$F$8:$F$112,0))</f>
        <v>7.16</v>
      </c>
      <c r="J346" s="1700" t="s">
        <v>3</v>
      </c>
      <c r="K346" s="2858" t="s">
        <v>3968</v>
      </c>
      <c r="L346" s="559">
        <f>IF(ISERROR(MATCH(K346,'IPCS Data'!$AA$7:$AA$110,0)),1,0)</f>
        <v>0</v>
      </c>
      <c r="M346" s="2847"/>
      <c r="N346" s="2840"/>
    </row>
    <row r="347" spans="2:14" s="1292" customFormat="1" x14ac:dyDescent="0.25">
      <c r="B347" s="2109" t="s">
        <v>3056</v>
      </c>
      <c r="C347" s="2109" t="s">
        <v>3968</v>
      </c>
      <c r="D347" s="2109" t="s">
        <v>3014</v>
      </c>
      <c r="E347" s="2848" t="s">
        <v>3020</v>
      </c>
      <c r="F347" s="2827"/>
      <c r="G347" s="2843" t="s">
        <v>3679</v>
      </c>
      <c r="H347" s="2844">
        <f>INDEX('Fringe Data'!$K$8:$K$112,MATCH(G347,'Fringe Data'!$F$8:$F$112,0))</f>
        <v>0.40410000000000001</v>
      </c>
      <c r="I347" s="2845">
        <f>INDEX('Fringe Data'!$S$8:$S$112,MATCH(G347,'Fringe Data'!$F$8:$F$112,0))</f>
        <v>7.16</v>
      </c>
      <c r="J347" s="1700" t="s">
        <v>3</v>
      </c>
      <c r="K347" s="2846" t="s">
        <v>3968</v>
      </c>
      <c r="L347" s="559">
        <f>IF(ISERROR(MATCH(K347,'IPCS Data'!$AA$7:$AA$110,0)),1,0)</f>
        <v>0</v>
      </c>
      <c r="M347" s="2847"/>
      <c r="N347" s="2840"/>
    </row>
    <row r="348" spans="2:14" s="1292" customFormat="1" x14ac:dyDescent="0.25">
      <c r="B348" s="2109" t="s">
        <v>3056</v>
      </c>
      <c r="C348" s="2109" t="s">
        <v>3968</v>
      </c>
      <c r="D348" s="2109" t="s">
        <v>3015</v>
      </c>
      <c r="E348" s="2848" t="s">
        <v>3021</v>
      </c>
      <c r="F348" s="2827"/>
      <c r="G348" s="2843" t="s">
        <v>3679</v>
      </c>
      <c r="H348" s="2844">
        <f>INDEX('Fringe Data'!$K$8:$K$112,MATCH(G348,'Fringe Data'!$F$8:$F$112,0))</f>
        <v>0.40410000000000001</v>
      </c>
      <c r="I348" s="2845">
        <f>INDEX('Fringe Data'!$S$8:$S$112,MATCH(G348,'Fringe Data'!$F$8:$F$112,0))</f>
        <v>7.16</v>
      </c>
      <c r="J348" s="1700" t="s">
        <v>3</v>
      </c>
      <c r="K348" s="2846" t="s">
        <v>3968</v>
      </c>
      <c r="L348" s="559">
        <f>IF(ISERROR(MATCH(K348,'IPCS Data'!$AA$7:$AA$110,0)),1,0)</f>
        <v>0</v>
      </c>
      <c r="M348" s="2847"/>
      <c r="N348" s="2840"/>
    </row>
    <row r="349" spans="2:14" s="1292" customFormat="1" x14ac:dyDescent="0.25">
      <c r="B349" s="2109" t="s">
        <v>3056</v>
      </c>
      <c r="C349" s="2109" t="s">
        <v>3968</v>
      </c>
      <c r="D349" s="2109" t="s">
        <v>3016</v>
      </c>
      <c r="E349" s="2848" t="s">
        <v>3022</v>
      </c>
      <c r="F349" s="2827"/>
      <c r="G349" s="2843" t="s">
        <v>3679</v>
      </c>
      <c r="H349" s="2844">
        <f>INDEX('Fringe Data'!$K$8:$K$112,MATCH(G349,'Fringe Data'!$F$8:$F$112,0))</f>
        <v>0.40410000000000001</v>
      </c>
      <c r="I349" s="2845">
        <f>INDEX('Fringe Data'!$S$8:$S$112,MATCH(G349,'Fringe Data'!$F$8:$F$112,0))</f>
        <v>7.16</v>
      </c>
      <c r="J349" s="1700" t="s">
        <v>3</v>
      </c>
      <c r="K349" s="2846" t="s">
        <v>3968</v>
      </c>
      <c r="L349" s="559">
        <f>IF(ISERROR(MATCH(K349,'IPCS Data'!$AA$7:$AA$110,0)),1,0)</f>
        <v>0</v>
      </c>
      <c r="M349" s="2847"/>
      <c r="N349" s="2840"/>
    </row>
    <row r="350" spans="2:14" s="1292" customFormat="1" x14ac:dyDescent="0.25">
      <c r="B350" s="2109" t="s">
        <v>3056</v>
      </c>
      <c r="C350" s="2109" t="s">
        <v>3968</v>
      </c>
      <c r="D350" s="2109" t="s">
        <v>3017</v>
      </c>
      <c r="E350" s="2848" t="s">
        <v>3023</v>
      </c>
      <c r="F350" s="2827"/>
      <c r="G350" s="2843" t="s">
        <v>3679</v>
      </c>
      <c r="H350" s="2844">
        <f>INDEX('Fringe Data'!$K$8:$K$112,MATCH(G350,'Fringe Data'!$F$8:$F$112,0))</f>
        <v>0.40410000000000001</v>
      </c>
      <c r="I350" s="2845">
        <f>INDEX('Fringe Data'!$S$8:$S$112,MATCH(G350,'Fringe Data'!$F$8:$F$112,0))</f>
        <v>7.16</v>
      </c>
      <c r="J350" s="1700" t="s">
        <v>3</v>
      </c>
      <c r="K350" s="2846" t="s">
        <v>3968</v>
      </c>
      <c r="L350" s="559">
        <f>IF(ISERROR(MATCH(K350,'IPCS Data'!$AA$7:$AA$110,0)),1,0)</f>
        <v>0</v>
      </c>
      <c r="M350" s="2847"/>
      <c r="N350" s="2840"/>
    </row>
    <row r="351" spans="2:14" s="1292" customFormat="1" ht="13.8" thickBot="1" x14ac:dyDescent="0.3">
      <c r="B351" s="2110" t="s">
        <v>3056</v>
      </c>
      <c r="C351" s="2110" t="s">
        <v>3968</v>
      </c>
      <c r="D351" s="2110" t="s">
        <v>3018</v>
      </c>
      <c r="E351" s="2850" t="s">
        <v>3024</v>
      </c>
      <c r="F351" s="2827"/>
      <c r="G351" s="2853" t="s">
        <v>3679</v>
      </c>
      <c r="H351" s="2856">
        <f>INDEX('Fringe Data'!$K$8:$K$112,MATCH(G351,'Fringe Data'!$F$8:$F$112,0))</f>
        <v>0.40410000000000001</v>
      </c>
      <c r="I351" s="2859">
        <f>INDEX('Fringe Data'!$S$8:$S$112,MATCH(G351,'Fringe Data'!$F$8:$F$112,0))</f>
        <v>7.16</v>
      </c>
      <c r="J351" s="1703" t="s">
        <v>3</v>
      </c>
      <c r="K351" s="2857" t="s">
        <v>3968</v>
      </c>
      <c r="L351" s="559">
        <f>IF(ISERROR(MATCH(K351,'IPCS Data'!$AA$7:$AA$110,0)),1,0)</f>
        <v>0</v>
      </c>
      <c r="M351" s="2847"/>
      <c r="N351" s="2840"/>
    </row>
    <row r="352" spans="2:14" s="1292" customFormat="1" x14ac:dyDescent="0.25">
      <c r="B352" s="2111" t="s">
        <v>3056</v>
      </c>
      <c r="C352" s="2111" t="s">
        <v>3969</v>
      </c>
      <c r="D352" s="2111" t="s">
        <v>3025</v>
      </c>
      <c r="E352" s="2841" t="s">
        <v>3034</v>
      </c>
      <c r="F352" s="2827"/>
      <c r="G352" s="2843" t="s">
        <v>3679</v>
      </c>
      <c r="H352" s="2844">
        <f>INDEX('Fringe Data'!$K$8:$K$112,MATCH(G352,'Fringe Data'!$F$8:$F$112,0))</f>
        <v>0.40410000000000001</v>
      </c>
      <c r="I352" s="2845">
        <f>INDEX('Fringe Data'!$S$8:$S$112,MATCH(G352,'Fringe Data'!$F$8:$F$112,0))</f>
        <v>7.16</v>
      </c>
      <c r="J352" s="1700" t="s">
        <v>3</v>
      </c>
      <c r="K352" s="2858" t="s">
        <v>3969</v>
      </c>
      <c r="L352" s="559">
        <f>IF(ISERROR(MATCH(K352,'IPCS Data'!$AA$7:$AA$110,0)),1,0)</f>
        <v>0</v>
      </c>
      <c r="M352" s="2847"/>
      <c r="N352" s="2840"/>
    </row>
    <row r="353" spans="2:14" s="1292" customFormat="1" x14ac:dyDescent="0.25">
      <c r="B353" s="2109" t="s">
        <v>3056</v>
      </c>
      <c r="C353" s="2109" t="s">
        <v>3969</v>
      </c>
      <c r="D353" s="2109" t="s">
        <v>3026</v>
      </c>
      <c r="E353" s="2848" t="s">
        <v>3035</v>
      </c>
      <c r="F353" s="2827"/>
      <c r="G353" s="2843" t="s">
        <v>3679</v>
      </c>
      <c r="H353" s="2844">
        <f>INDEX('Fringe Data'!$K$8:$K$112,MATCH(G353,'Fringe Data'!$F$8:$F$112,0))</f>
        <v>0.40410000000000001</v>
      </c>
      <c r="I353" s="2845">
        <f>INDEX('Fringe Data'!$S$8:$S$112,MATCH(G353,'Fringe Data'!$F$8:$F$112,0))</f>
        <v>7.16</v>
      </c>
      <c r="J353" s="1700" t="s">
        <v>3</v>
      </c>
      <c r="K353" s="2846" t="s">
        <v>3969</v>
      </c>
      <c r="L353" s="559">
        <f>IF(ISERROR(MATCH(K353,'IPCS Data'!$AA$7:$AA$110,0)),1,0)</f>
        <v>0</v>
      </c>
      <c r="M353" s="2847"/>
      <c r="N353" s="2840"/>
    </row>
    <row r="354" spans="2:14" s="1292" customFormat="1" x14ac:dyDescent="0.25">
      <c r="B354" s="2109" t="s">
        <v>3056</v>
      </c>
      <c r="C354" s="2109" t="s">
        <v>3969</v>
      </c>
      <c r="D354" s="2109" t="s">
        <v>3027</v>
      </c>
      <c r="E354" s="2848" t="s">
        <v>3036</v>
      </c>
      <c r="F354" s="2827"/>
      <c r="G354" s="2843" t="s">
        <v>3679</v>
      </c>
      <c r="H354" s="2844">
        <f>INDEX('Fringe Data'!$K$8:$K$112,MATCH(G354,'Fringe Data'!$F$8:$F$112,0))</f>
        <v>0.40410000000000001</v>
      </c>
      <c r="I354" s="2845">
        <f>INDEX('Fringe Data'!$S$8:$S$112,MATCH(G354,'Fringe Data'!$F$8:$F$112,0))</f>
        <v>7.16</v>
      </c>
      <c r="J354" s="1700" t="s">
        <v>3</v>
      </c>
      <c r="K354" s="2846" t="s">
        <v>3969</v>
      </c>
      <c r="L354" s="559">
        <f>IF(ISERROR(MATCH(K354,'IPCS Data'!$AA$7:$AA$110,0)),1,0)</f>
        <v>0</v>
      </c>
      <c r="M354" s="2847"/>
      <c r="N354" s="2840"/>
    </row>
    <row r="355" spans="2:14" s="1292" customFormat="1" x14ac:dyDescent="0.25">
      <c r="B355" s="2111" t="s">
        <v>3056</v>
      </c>
      <c r="C355" s="2111" t="s">
        <v>3969</v>
      </c>
      <c r="D355" s="2111" t="s">
        <v>3028</v>
      </c>
      <c r="E355" s="2841" t="s">
        <v>3037</v>
      </c>
      <c r="F355" s="2827"/>
      <c r="G355" s="2843" t="s">
        <v>3679</v>
      </c>
      <c r="H355" s="2844">
        <f>INDEX('Fringe Data'!$K$8:$K$112,MATCH(G355,'Fringe Data'!$F$8:$F$112,0))</f>
        <v>0.40410000000000001</v>
      </c>
      <c r="I355" s="2845">
        <f>INDEX('Fringe Data'!$S$8:$S$112,MATCH(G355,'Fringe Data'!$F$8:$F$112,0))</f>
        <v>7.16</v>
      </c>
      <c r="J355" s="1700" t="s">
        <v>3</v>
      </c>
      <c r="K355" s="2846" t="s">
        <v>3969</v>
      </c>
      <c r="L355" s="559">
        <f>IF(ISERROR(MATCH(K355,'IPCS Data'!$AA$7:$AA$110,0)),1,0)</f>
        <v>0</v>
      </c>
      <c r="M355" s="2847"/>
      <c r="N355" s="2840"/>
    </row>
    <row r="356" spans="2:14" s="1292" customFormat="1" x14ac:dyDescent="0.25">
      <c r="B356" s="2111" t="s">
        <v>3056</v>
      </c>
      <c r="C356" s="2111" t="s">
        <v>3969</v>
      </c>
      <c r="D356" s="2111" t="s">
        <v>3029</v>
      </c>
      <c r="E356" s="2841" t="s">
        <v>3038</v>
      </c>
      <c r="F356" s="2827"/>
      <c r="G356" s="2843" t="s">
        <v>3679</v>
      </c>
      <c r="H356" s="2844">
        <f>INDEX('Fringe Data'!$K$8:$K$112,MATCH(G356,'Fringe Data'!$F$8:$F$112,0))</f>
        <v>0.40410000000000001</v>
      </c>
      <c r="I356" s="2845">
        <f>INDEX('Fringe Data'!$S$8:$S$112,MATCH(G356,'Fringe Data'!$F$8:$F$112,0))</f>
        <v>7.16</v>
      </c>
      <c r="J356" s="1700" t="s">
        <v>3</v>
      </c>
      <c r="K356" s="2846" t="s">
        <v>3969</v>
      </c>
      <c r="L356" s="559">
        <f>IF(ISERROR(MATCH(K356,'IPCS Data'!$AA$7:$AA$110,0)),1,0)</f>
        <v>0</v>
      </c>
      <c r="M356" s="2847"/>
      <c r="N356" s="2840"/>
    </row>
    <row r="357" spans="2:14" s="1292" customFormat="1" x14ac:dyDescent="0.25">
      <c r="B357" s="2109" t="s">
        <v>3056</v>
      </c>
      <c r="C357" s="2109" t="s">
        <v>3969</v>
      </c>
      <c r="D357" s="2109" t="s">
        <v>3030</v>
      </c>
      <c r="E357" s="2848" t="s">
        <v>3039</v>
      </c>
      <c r="F357" s="2827"/>
      <c r="G357" s="2849" t="s">
        <v>3679</v>
      </c>
      <c r="H357" s="2844">
        <f>INDEX('Fringe Data'!$K$8:$K$112,MATCH(G357,'Fringe Data'!$F$8:$F$112,0))</f>
        <v>0.40410000000000001</v>
      </c>
      <c r="I357" s="2845">
        <f>INDEX('Fringe Data'!$S$8:$S$112,MATCH(G357,'Fringe Data'!$F$8:$F$112,0))</f>
        <v>7.16</v>
      </c>
      <c r="J357" s="1700" t="s">
        <v>3</v>
      </c>
      <c r="K357" s="2846" t="s">
        <v>3969</v>
      </c>
      <c r="L357" s="559">
        <f>IF(ISERROR(MATCH(K357,'IPCS Data'!$AA$7:$AA$110,0)),1,0)</f>
        <v>0</v>
      </c>
      <c r="M357" s="2847"/>
      <c r="N357" s="2840"/>
    </row>
    <row r="358" spans="2:14" s="1292" customFormat="1" x14ac:dyDescent="0.25">
      <c r="B358" s="2109" t="s">
        <v>3056</v>
      </c>
      <c r="C358" s="2109" t="s">
        <v>3969</v>
      </c>
      <c r="D358" s="2109" t="s">
        <v>3031</v>
      </c>
      <c r="E358" s="2848" t="s">
        <v>3040</v>
      </c>
      <c r="F358" s="2827"/>
      <c r="G358" s="2849" t="s">
        <v>3679</v>
      </c>
      <c r="H358" s="2844">
        <f>INDEX('Fringe Data'!$K$8:$K$112,MATCH(G358,'Fringe Data'!$F$8:$F$112,0))</f>
        <v>0.40410000000000001</v>
      </c>
      <c r="I358" s="2845">
        <f>INDEX('Fringe Data'!$S$8:$S$112,MATCH(G358,'Fringe Data'!$F$8:$F$112,0))</f>
        <v>7.16</v>
      </c>
      <c r="J358" s="1700" t="s">
        <v>3</v>
      </c>
      <c r="K358" s="2846" t="s">
        <v>3969</v>
      </c>
      <c r="L358" s="559">
        <f>IF(ISERROR(MATCH(K358,'IPCS Data'!$AA$7:$AA$110,0)),1,0)</f>
        <v>0</v>
      </c>
      <c r="M358" s="2847"/>
      <c r="N358" s="2840"/>
    </row>
    <row r="359" spans="2:14" s="1292" customFormat="1" x14ac:dyDescent="0.25">
      <c r="B359" s="2109" t="s">
        <v>3056</v>
      </c>
      <c r="C359" s="2109" t="s">
        <v>3969</v>
      </c>
      <c r="D359" s="2109" t="s">
        <v>3032</v>
      </c>
      <c r="E359" s="2848" t="s">
        <v>3041</v>
      </c>
      <c r="F359" s="2827"/>
      <c r="G359" s="2849" t="s">
        <v>3679</v>
      </c>
      <c r="H359" s="2844">
        <f>INDEX('Fringe Data'!$K$8:$K$112,MATCH(G359,'Fringe Data'!$F$8:$F$112,0))</f>
        <v>0.40410000000000001</v>
      </c>
      <c r="I359" s="2845">
        <f>INDEX('Fringe Data'!$S$8:$S$112,MATCH(G359,'Fringe Data'!$F$8:$F$112,0))</f>
        <v>7.16</v>
      </c>
      <c r="J359" s="1700" t="s">
        <v>3</v>
      </c>
      <c r="K359" s="2846" t="s">
        <v>3969</v>
      </c>
      <c r="L359" s="559">
        <f>IF(ISERROR(MATCH(K359,'IPCS Data'!$AA$7:$AA$110,0)),1,0)</f>
        <v>0</v>
      </c>
      <c r="M359" s="2847"/>
      <c r="N359" s="2840"/>
    </row>
    <row r="360" spans="2:14" s="1292" customFormat="1" ht="13.8" thickBot="1" x14ac:dyDescent="0.3">
      <c r="B360" s="2110" t="s">
        <v>3056</v>
      </c>
      <c r="C360" s="2110" t="s">
        <v>3969</v>
      </c>
      <c r="D360" s="2110" t="s">
        <v>3033</v>
      </c>
      <c r="E360" s="2850" t="s">
        <v>3042</v>
      </c>
      <c r="F360" s="2827"/>
      <c r="G360" s="2853" t="s">
        <v>3679</v>
      </c>
      <c r="H360" s="2844">
        <f>INDEX('Fringe Data'!$K$8:$K$112,MATCH(G360,'Fringe Data'!$F$8:$F$112,0))</f>
        <v>0.40410000000000001</v>
      </c>
      <c r="I360" s="2845">
        <f>INDEX('Fringe Data'!$S$8:$S$112,MATCH(G360,'Fringe Data'!$F$8:$F$112,0))</f>
        <v>7.16</v>
      </c>
      <c r="J360" s="1700" t="s">
        <v>3</v>
      </c>
      <c r="K360" s="2846" t="s">
        <v>3969</v>
      </c>
      <c r="L360" s="559">
        <f>IF(ISERROR(MATCH(K360,'IPCS Data'!$AA$7:$AA$110,0)),1,0)</f>
        <v>0</v>
      </c>
      <c r="M360" s="2847"/>
      <c r="N360" s="2840"/>
    </row>
    <row r="361" spans="2:14" s="1292" customFormat="1" ht="22.8" thickBot="1" x14ac:dyDescent="0.3">
      <c r="B361" s="2829" t="s">
        <v>837</v>
      </c>
      <c r="C361" s="2830" t="s">
        <v>3544</v>
      </c>
      <c r="D361" s="2830" t="s">
        <v>359</v>
      </c>
      <c r="E361" s="2831" t="s">
        <v>3545</v>
      </c>
      <c r="F361" s="2827"/>
      <c r="G361" s="2832" t="s">
        <v>3546</v>
      </c>
      <c r="H361" s="2833" t="s">
        <v>3547</v>
      </c>
      <c r="I361" s="2833" t="s">
        <v>3548</v>
      </c>
      <c r="J361" s="2834" t="s">
        <v>3549</v>
      </c>
      <c r="K361" s="2835" t="s">
        <v>3525</v>
      </c>
      <c r="L361" s="2835"/>
      <c r="M361" s="2836" t="s">
        <v>3550</v>
      </c>
      <c r="N361" s="2840"/>
    </row>
    <row r="362" spans="2:14" s="1292" customFormat="1" x14ac:dyDescent="0.25">
      <c r="B362" s="2109" t="s">
        <v>3056</v>
      </c>
      <c r="C362" s="2109" t="s">
        <v>4041</v>
      </c>
      <c r="D362" s="2109" t="s">
        <v>3043</v>
      </c>
      <c r="E362" s="2848" t="s">
        <v>3047</v>
      </c>
      <c r="F362" s="2827"/>
      <c r="G362" s="2843" t="s">
        <v>3726</v>
      </c>
      <c r="H362" s="2844" t="e">
        <f>INDEX('Fringe Data'!$K$8:$K$112,MATCH(G362,'Fringe Data'!$F$8:$F$112,0))</f>
        <v>#N/A</v>
      </c>
      <c r="I362" s="2845" t="e">
        <f>INDEX('Fringe Data'!$S$8:$S$112,MATCH(G362,'Fringe Data'!$F$8:$F$112,0))</f>
        <v>#N/A</v>
      </c>
      <c r="J362" s="1700" t="s">
        <v>3900</v>
      </c>
      <c r="K362" s="2846" t="s">
        <v>4039</v>
      </c>
      <c r="L362" s="559">
        <f>IF(ISERROR(MATCH(K362,'IPCS Data'!$AA$7:$AA$110,0)),1,0)</f>
        <v>0</v>
      </c>
      <c r="M362" s="2847"/>
      <c r="N362" s="2840"/>
    </row>
    <row r="363" spans="2:14" s="1292" customFormat="1" x14ac:dyDescent="0.25">
      <c r="B363" s="2109" t="s">
        <v>3056</v>
      </c>
      <c r="C363" s="2109" t="s">
        <v>4041</v>
      </c>
      <c r="D363" s="2109" t="s">
        <v>3044</v>
      </c>
      <c r="E363" s="2848" t="s">
        <v>3048</v>
      </c>
      <c r="F363" s="2827"/>
      <c r="G363" s="2843" t="s">
        <v>3726</v>
      </c>
      <c r="H363" s="2844" t="e">
        <f>INDEX('Fringe Data'!$K$8:$K$112,MATCH(G363,'Fringe Data'!$F$8:$F$112,0))</f>
        <v>#N/A</v>
      </c>
      <c r="I363" s="2845" t="e">
        <f>INDEX('Fringe Data'!$S$8:$S$112,MATCH(G363,'Fringe Data'!$F$8:$F$112,0))</f>
        <v>#N/A</v>
      </c>
      <c r="J363" s="1700" t="s">
        <v>3900</v>
      </c>
      <c r="K363" s="2846" t="s">
        <v>4039</v>
      </c>
      <c r="L363" s="559">
        <f>IF(ISERROR(MATCH(K363,'IPCS Data'!$AA$7:$AA$110,0)),1,0)</f>
        <v>0</v>
      </c>
      <c r="M363" s="2847"/>
      <c r="N363" s="2840"/>
    </row>
    <row r="364" spans="2:14" s="1292" customFormat="1" x14ac:dyDescent="0.25">
      <c r="B364" s="2109" t="s">
        <v>3056</v>
      </c>
      <c r="C364" s="2109" t="s">
        <v>4041</v>
      </c>
      <c r="D364" s="2109" t="s">
        <v>3045</v>
      </c>
      <c r="E364" s="2848" t="s">
        <v>3049</v>
      </c>
      <c r="F364" s="2827"/>
      <c r="G364" s="2843" t="s">
        <v>3726</v>
      </c>
      <c r="H364" s="2844" t="e">
        <f>INDEX('Fringe Data'!$K$8:$K$112,MATCH(G364,'Fringe Data'!$F$8:$F$112,0))</f>
        <v>#N/A</v>
      </c>
      <c r="I364" s="2845" t="e">
        <f>INDEX('Fringe Data'!$S$8:$S$112,MATCH(G364,'Fringe Data'!$F$8:$F$112,0))</f>
        <v>#N/A</v>
      </c>
      <c r="J364" s="1700" t="s">
        <v>3900</v>
      </c>
      <c r="K364" s="2846" t="s">
        <v>4039</v>
      </c>
      <c r="L364" s="559">
        <f>IF(ISERROR(MATCH(K364,'IPCS Data'!$AA$7:$AA$110,0)),1,0)</f>
        <v>0</v>
      </c>
      <c r="M364" s="2847"/>
      <c r="N364" s="2840"/>
    </row>
    <row r="365" spans="2:14" s="1292" customFormat="1" ht="13.8" thickBot="1" x14ac:dyDescent="0.3">
      <c r="B365" s="2110" t="s">
        <v>3056</v>
      </c>
      <c r="C365" s="2110" t="s">
        <v>4041</v>
      </c>
      <c r="D365" s="2110" t="s">
        <v>3046</v>
      </c>
      <c r="E365" s="2850" t="s">
        <v>3050</v>
      </c>
      <c r="F365" s="2827"/>
      <c r="G365" s="2843" t="s">
        <v>3726</v>
      </c>
      <c r="H365" s="2844" t="e">
        <f>INDEX('Fringe Data'!$K$8:$K$112,MATCH(G365,'Fringe Data'!$F$8:$F$112,0))</f>
        <v>#N/A</v>
      </c>
      <c r="I365" s="2845" t="e">
        <f>INDEX('Fringe Data'!$S$8:$S$112,MATCH(G365,'Fringe Data'!$F$8:$F$112,0))</f>
        <v>#N/A</v>
      </c>
      <c r="J365" s="1700" t="s">
        <v>3900</v>
      </c>
      <c r="K365" s="2846" t="s">
        <v>4039</v>
      </c>
      <c r="L365" s="559">
        <f>IF(ISERROR(MATCH(K365,'IPCS Data'!$AA$7:$AA$110,0)),1,0)</f>
        <v>0</v>
      </c>
      <c r="M365" s="2847"/>
      <c r="N365" s="2840"/>
    </row>
    <row r="366" spans="2:14" s="1292" customFormat="1" x14ac:dyDescent="0.25">
      <c r="B366" s="2111" t="s">
        <v>3056</v>
      </c>
      <c r="C366" s="2111" t="s">
        <v>4042</v>
      </c>
      <c r="D366" s="2111" t="s">
        <v>4172</v>
      </c>
      <c r="E366" s="2841" t="s">
        <v>3053</v>
      </c>
      <c r="F366" s="2827"/>
      <c r="G366" s="2843" t="s">
        <v>3726</v>
      </c>
      <c r="H366" s="2844" t="e">
        <f>INDEX('Fringe Data'!$K$8:$K$112,MATCH(G366,'Fringe Data'!$F$8:$F$112,0))</f>
        <v>#N/A</v>
      </c>
      <c r="I366" s="2845" t="e">
        <f>INDEX('Fringe Data'!$S$8:$S$112,MATCH(G366,'Fringe Data'!$F$8:$F$112,0))</f>
        <v>#N/A</v>
      </c>
      <c r="J366" s="1700" t="s">
        <v>3900</v>
      </c>
      <c r="K366" s="2846" t="s">
        <v>4039</v>
      </c>
      <c r="L366" s="559">
        <f>IF(ISERROR(MATCH(K366,'IPCS Data'!$AA$7:$AA$110,0)),1,0)</f>
        <v>0</v>
      </c>
      <c r="M366" s="2847"/>
      <c r="N366" s="2840"/>
    </row>
    <row r="367" spans="2:14" s="1292" customFormat="1" x14ac:dyDescent="0.25">
      <c r="B367" s="2109" t="s">
        <v>3056</v>
      </c>
      <c r="C367" s="2109" t="s">
        <v>4042</v>
      </c>
      <c r="D367" s="2109" t="s">
        <v>3051</v>
      </c>
      <c r="E367" s="2848" t="s">
        <v>3054</v>
      </c>
      <c r="F367" s="2827"/>
      <c r="G367" s="2843" t="s">
        <v>3726</v>
      </c>
      <c r="H367" s="2844" t="e">
        <f>INDEX('Fringe Data'!$K$8:$K$112,MATCH(G367,'Fringe Data'!$F$8:$F$112,0))</f>
        <v>#N/A</v>
      </c>
      <c r="I367" s="2845" t="e">
        <f>INDEX('Fringe Data'!$S$8:$S$112,MATCH(G367,'Fringe Data'!$F$8:$F$112,0))</f>
        <v>#N/A</v>
      </c>
      <c r="J367" s="1700" t="s">
        <v>3900</v>
      </c>
      <c r="K367" s="2846" t="s">
        <v>4039</v>
      </c>
      <c r="L367" s="559">
        <f>IF(ISERROR(MATCH(K367,'IPCS Data'!$AA$7:$AA$110,0)),1,0)</f>
        <v>0</v>
      </c>
      <c r="M367" s="2847"/>
      <c r="N367" s="2840"/>
    </row>
    <row r="368" spans="2:14" s="1292" customFormat="1" ht="13.8" thickBot="1" x14ac:dyDescent="0.3">
      <c r="B368" s="2110" t="s">
        <v>3056</v>
      </c>
      <c r="C368" s="2110" t="s">
        <v>4042</v>
      </c>
      <c r="D368" s="2110" t="s">
        <v>3052</v>
      </c>
      <c r="E368" s="2850" t="s">
        <v>3055</v>
      </c>
      <c r="F368" s="2827"/>
      <c r="G368" s="2853" t="s">
        <v>3726</v>
      </c>
      <c r="H368" s="2844" t="e">
        <f>INDEX('Fringe Data'!$K$8:$K$112,MATCH(G368,'Fringe Data'!$F$8:$F$112,0))</f>
        <v>#N/A</v>
      </c>
      <c r="I368" s="2845" t="e">
        <f>INDEX('Fringe Data'!$S$8:$S$112,MATCH(G368,'Fringe Data'!$F$8:$F$112,0))</f>
        <v>#N/A</v>
      </c>
      <c r="J368" s="1700" t="s">
        <v>3900</v>
      </c>
      <c r="K368" s="2846" t="s">
        <v>4039</v>
      </c>
      <c r="L368" s="559">
        <f>IF(ISERROR(MATCH(K368,'IPCS Data'!$AA$7:$AA$110,0)),1,0)</f>
        <v>0</v>
      </c>
      <c r="M368" s="2847"/>
      <c r="N368" s="2840"/>
    </row>
    <row r="369" spans="2:14" s="1292" customFormat="1" ht="22.8" thickBot="1" x14ac:dyDescent="0.3">
      <c r="B369" s="2860" t="s">
        <v>837</v>
      </c>
      <c r="C369" s="2861" t="s">
        <v>3544</v>
      </c>
      <c r="D369" s="2861" t="s">
        <v>359</v>
      </c>
      <c r="E369" s="2862" t="s">
        <v>3545</v>
      </c>
      <c r="F369" s="2827"/>
      <c r="G369" s="2863" t="s">
        <v>3546</v>
      </c>
      <c r="H369" s="2864" t="s">
        <v>3547</v>
      </c>
      <c r="I369" s="2864" t="s">
        <v>3548</v>
      </c>
      <c r="J369" s="2865" t="s">
        <v>3549</v>
      </c>
      <c r="K369" s="2866" t="s">
        <v>3525</v>
      </c>
      <c r="L369" s="2866"/>
      <c r="M369" s="2867" t="s">
        <v>3550</v>
      </c>
      <c r="N369" s="2840"/>
    </row>
    <row r="370" spans="2:14" s="1292" customFormat="1" x14ac:dyDescent="0.25">
      <c r="B370" s="2109" t="s">
        <v>3984</v>
      </c>
      <c r="C370" s="2109" t="s">
        <v>3985</v>
      </c>
      <c r="D370" s="2109" t="s">
        <v>3680</v>
      </c>
      <c r="E370" s="2848" t="s">
        <v>3681</v>
      </c>
      <c r="F370" s="2827"/>
      <c r="G370" s="2843" t="s">
        <v>4219</v>
      </c>
      <c r="H370" s="2844">
        <f>INDEX('Fringe Data'!$K$8:$K$112,MATCH(G370,'Fringe Data'!$F$8:$F$112,0))</f>
        <v>0.5</v>
      </c>
      <c r="I370" s="2854">
        <f>INDEX('Fringe Data'!$S$8:$S$112,MATCH(G370,'Fringe Data'!$F$8:$F$112,0))</f>
        <v>1.5</v>
      </c>
      <c r="J370" s="1700" t="s">
        <v>44</v>
      </c>
      <c r="K370" s="2846" t="s">
        <v>3985</v>
      </c>
      <c r="L370" s="559">
        <f>IF(ISERROR(MATCH(K370,'IPCS Data'!$AA$7:$AA$110,0)),1,0)</f>
        <v>0</v>
      </c>
      <c r="M370" s="2847"/>
      <c r="N370" s="2840"/>
    </row>
    <row r="371" spans="2:14" s="1292" customFormat="1" x14ac:dyDescent="0.25">
      <c r="B371" s="2109" t="s">
        <v>3984</v>
      </c>
      <c r="C371" s="2109" t="s">
        <v>3985</v>
      </c>
      <c r="D371" s="2109" t="s">
        <v>3682</v>
      </c>
      <c r="E371" s="2848" t="s">
        <v>3683</v>
      </c>
      <c r="F371" s="2827"/>
      <c r="G371" s="2843" t="s">
        <v>4219</v>
      </c>
      <c r="H371" s="2844">
        <f>INDEX('Fringe Data'!$K$8:$K$112,MATCH(G371,'Fringe Data'!$F$8:$F$112,0))</f>
        <v>0.5</v>
      </c>
      <c r="I371" s="2854">
        <f>INDEX('Fringe Data'!$S$8:$S$112,MATCH(G371,'Fringe Data'!$F$8:$F$112,0))</f>
        <v>1.5</v>
      </c>
      <c r="J371" s="1700" t="s">
        <v>44</v>
      </c>
      <c r="K371" s="2846" t="s">
        <v>3985</v>
      </c>
      <c r="L371" s="559">
        <f>IF(ISERROR(MATCH(K371,'IPCS Data'!$AA$7:$AA$110,0)),1,0)</f>
        <v>0</v>
      </c>
      <c r="M371" s="2847"/>
      <c r="N371" s="2840"/>
    </row>
    <row r="372" spans="2:14" s="1292" customFormat="1" x14ac:dyDescent="0.25">
      <c r="B372" s="2109" t="s">
        <v>3984</v>
      </c>
      <c r="C372" s="2109" t="s">
        <v>3985</v>
      </c>
      <c r="D372" s="2109" t="s">
        <v>4203</v>
      </c>
      <c r="E372" s="2848" t="s">
        <v>3684</v>
      </c>
      <c r="F372" s="2827"/>
      <c r="G372" s="2843" t="s">
        <v>4219</v>
      </c>
      <c r="H372" s="2844">
        <f>INDEX('Fringe Data'!$K$8:$K$112,MATCH(G372,'Fringe Data'!$F$8:$F$112,0))</f>
        <v>0.5</v>
      </c>
      <c r="I372" s="2854">
        <f>INDEX('Fringe Data'!$S$8:$S$112,MATCH(G372,'Fringe Data'!$F$8:$F$112,0))</f>
        <v>1.5</v>
      </c>
      <c r="J372" s="1700" t="s">
        <v>44</v>
      </c>
      <c r="K372" s="2846" t="s">
        <v>3985</v>
      </c>
      <c r="L372" s="559">
        <f>IF(ISERROR(MATCH(K372,'IPCS Data'!$AA$7:$AA$110,0)),1,0)</f>
        <v>0</v>
      </c>
      <c r="M372" s="2847"/>
      <c r="N372" s="2840"/>
    </row>
    <row r="373" spans="2:14" s="1292" customFormat="1" x14ac:dyDescent="0.25">
      <c r="B373" s="2109" t="s">
        <v>3984</v>
      </c>
      <c r="C373" s="2109" t="s">
        <v>3985</v>
      </c>
      <c r="D373" s="2109" t="s">
        <v>3685</v>
      </c>
      <c r="E373" s="2848" t="s">
        <v>3686</v>
      </c>
      <c r="F373" s="2827"/>
      <c r="G373" s="2843" t="s">
        <v>4219</v>
      </c>
      <c r="H373" s="2844">
        <f>INDEX('Fringe Data'!$K$8:$K$112,MATCH(G373,'Fringe Data'!$F$8:$F$112,0))</f>
        <v>0.5</v>
      </c>
      <c r="I373" s="2854">
        <f>INDEX('Fringe Data'!$S$8:$S$112,MATCH(G373,'Fringe Data'!$F$8:$F$112,0))</f>
        <v>1.5</v>
      </c>
      <c r="J373" s="1700" t="s">
        <v>44</v>
      </c>
      <c r="K373" s="2846" t="s">
        <v>3985</v>
      </c>
      <c r="L373" s="559">
        <f>IF(ISERROR(MATCH(K373,'IPCS Data'!$AA$7:$AA$110,0)),1,0)</f>
        <v>0</v>
      </c>
      <c r="M373" s="2847"/>
      <c r="N373" s="2840"/>
    </row>
    <row r="374" spans="2:14" s="1292" customFormat="1" x14ac:dyDescent="0.25">
      <c r="B374" s="2109" t="s">
        <v>3984</v>
      </c>
      <c r="C374" s="2109" t="s">
        <v>3985</v>
      </c>
      <c r="D374" s="2109" t="s">
        <v>3687</v>
      </c>
      <c r="E374" s="2848" t="s">
        <v>3688</v>
      </c>
      <c r="F374" s="2827"/>
      <c r="G374" s="2843" t="s">
        <v>4219</v>
      </c>
      <c r="H374" s="2844">
        <f>INDEX('Fringe Data'!$K$8:$K$112,MATCH(G374,'Fringe Data'!$F$8:$F$112,0))</f>
        <v>0.5</v>
      </c>
      <c r="I374" s="2854">
        <f>INDEX('Fringe Data'!$S$8:$S$112,MATCH(G374,'Fringe Data'!$F$8:$F$112,0))</f>
        <v>1.5</v>
      </c>
      <c r="J374" s="1700" t="s">
        <v>44</v>
      </c>
      <c r="K374" s="2846" t="s">
        <v>3985</v>
      </c>
      <c r="L374" s="559">
        <f>IF(ISERROR(MATCH(K374,'IPCS Data'!$AA$7:$AA$110,0)),1,0)</f>
        <v>0</v>
      </c>
      <c r="M374" s="2847"/>
      <c r="N374" s="2840"/>
    </row>
    <row r="375" spans="2:14" s="1292" customFormat="1" x14ac:dyDescent="0.25">
      <c r="B375" s="2109" t="s">
        <v>3984</v>
      </c>
      <c r="C375" s="2109" t="s">
        <v>3985</v>
      </c>
      <c r="D375" s="2109" t="s">
        <v>3689</v>
      </c>
      <c r="E375" s="2848" t="s">
        <v>3690</v>
      </c>
      <c r="F375" s="2827"/>
      <c r="G375" s="2843" t="s">
        <v>4219</v>
      </c>
      <c r="H375" s="2844">
        <f>INDEX('Fringe Data'!$K$8:$K$112,MATCH(G375,'Fringe Data'!$F$8:$F$112,0))</f>
        <v>0.5</v>
      </c>
      <c r="I375" s="2854">
        <f>INDEX('Fringe Data'!$S$8:$S$112,MATCH(G375,'Fringe Data'!$F$8:$F$112,0))</f>
        <v>1.5</v>
      </c>
      <c r="J375" s="1700" t="s">
        <v>44</v>
      </c>
      <c r="K375" s="2846" t="s">
        <v>3985</v>
      </c>
      <c r="L375" s="559">
        <f>IF(ISERROR(MATCH(K375,'IPCS Data'!$AA$7:$AA$110,0)),1,0)</f>
        <v>0</v>
      </c>
      <c r="M375" s="2847"/>
      <c r="N375" s="2840"/>
    </row>
    <row r="376" spans="2:14" s="1292" customFormat="1" x14ac:dyDescent="0.25">
      <c r="B376" s="2109" t="s">
        <v>3984</v>
      </c>
      <c r="C376" s="2109" t="s">
        <v>3985</v>
      </c>
      <c r="D376" s="2109" t="s">
        <v>4204</v>
      </c>
      <c r="E376" s="2848" t="s">
        <v>3691</v>
      </c>
      <c r="F376" s="2827"/>
      <c r="G376" s="2843" t="s">
        <v>4219</v>
      </c>
      <c r="H376" s="2844">
        <f>INDEX('Fringe Data'!$K$8:$K$112,MATCH(G376,'Fringe Data'!$F$8:$F$112,0))</f>
        <v>0.5</v>
      </c>
      <c r="I376" s="2854">
        <f>INDEX('Fringe Data'!$S$8:$S$112,MATCH(G376,'Fringe Data'!$F$8:$F$112,0))</f>
        <v>1.5</v>
      </c>
      <c r="J376" s="1700" t="s">
        <v>44</v>
      </c>
      <c r="K376" s="2846" t="s">
        <v>3985</v>
      </c>
      <c r="L376" s="559">
        <f>IF(ISERROR(MATCH(K376,'IPCS Data'!$AA$7:$AA$110,0)),1,0)</f>
        <v>0</v>
      </c>
      <c r="M376" s="2847"/>
      <c r="N376" s="2840"/>
    </row>
    <row r="377" spans="2:14" s="1292" customFormat="1" x14ac:dyDescent="0.25">
      <c r="B377" s="2109" t="s">
        <v>3984</v>
      </c>
      <c r="C377" s="2109" t="s">
        <v>3985</v>
      </c>
      <c r="D377" s="2109" t="s">
        <v>3692</v>
      </c>
      <c r="E377" s="2848" t="s">
        <v>3693</v>
      </c>
      <c r="F377" s="2827"/>
      <c r="G377" s="2843" t="s">
        <v>4219</v>
      </c>
      <c r="H377" s="2844">
        <f>INDEX('Fringe Data'!$K$8:$K$112,MATCH(G377,'Fringe Data'!$F$8:$F$112,0))</f>
        <v>0.5</v>
      </c>
      <c r="I377" s="2854">
        <f>INDEX('Fringe Data'!$S$8:$S$112,MATCH(G377,'Fringe Data'!$F$8:$F$112,0))</f>
        <v>1.5</v>
      </c>
      <c r="J377" s="1700" t="s">
        <v>44</v>
      </c>
      <c r="K377" s="2846" t="s">
        <v>3985</v>
      </c>
      <c r="L377" s="559">
        <f>IF(ISERROR(MATCH(K377,'IPCS Data'!$AA$7:$AA$110,0)),1,0)</f>
        <v>0</v>
      </c>
      <c r="M377" s="2847"/>
      <c r="N377" s="2840"/>
    </row>
    <row r="378" spans="2:14" s="1292" customFormat="1" x14ac:dyDescent="0.25">
      <c r="B378" s="2109" t="s">
        <v>3984</v>
      </c>
      <c r="C378" s="2109" t="s">
        <v>3985</v>
      </c>
      <c r="D378" s="2109" t="s">
        <v>3694</v>
      </c>
      <c r="E378" s="2848" t="s">
        <v>3695</v>
      </c>
      <c r="F378" s="2827"/>
      <c r="G378" s="2843" t="s">
        <v>4219</v>
      </c>
      <c r="H378" s="2844">
        <f>INDEX('Fringe Data'!$K$8:$K$112,MATCH(G378,'Fringe Data'!$F$8:$F$112,0))</f>
        <v>0.5</v>
      </c>
      <c r="I378" s="2854">
        <f>INDEX('Fringe Data'!$S$8:$S$112,MATCH(G378,'Fringe Data'!$F$8:$F$112,0))</f>
        <v>1.5</v>
      </c>
      <c r="J378" s="1700" t="s">
        <v>44</v>
      </c>
      <c r="K378" s="2846" t="s">
        <v>3985</v>
      </c>
      <c r="L378" s="559">
        <f>IF(ISERROR(MATCH(K378,'IPCS Data'!$AA$7:$AA$110,0)),1,0)</f>
        <v>0</v>
      </c>
      <c r="M378" s="2847"/>
      <c r="N378" s="2840"/>
    </row>
    <row r="379" spans="2:14" s="1292" customFormat="1" x14ac:dyDescent="0.25">
      <c r="B379" s="2109" t="s">
        <v>3984</v>
      </c>
      <c r="C379" s="2109" t="s">
        <v>3985</v>
      </c>
      <c r="D379" s="2109" t="s">
        <v>4205</v>
      </c>
      <c r="E379" s="2848" t="s">
        <v>3696</v>
      </c>
      <c r="F379" s="2827"/>
      <c r="G379" s="2843" t="s">
        <v>4219</v>
      </c>
      <c r="H379" s="2844">
        <f>INDEX('Fringe Data'!$K$8:$K$112,MATCH(G379,'Fringe Data'!$F$8:$F$112,0))</f>
        <v>0.5</v>
      </c>
      <c r="I379" s="2854">
        <f>INDEX('Fringe Data'!$S$8:$S$112,MATCH(G379,'Fringe Data'!$F$8:$F$112,0))</f>
        <v>1.5</v>
      </c>
      <c r="J379" s="1700" t="s">
        <v>44</v>
      </c>
      <c r="K379" s="2846" t="s">
        <v>3985</v>
      </c>
      <c r="L379" s="559">
        <f>IF(ISERROR(MATCH(K379,'IPCS Data'!$AA$7:$AA$110,0)),1,0)</f>
        <v>0</v>
      </c>
      <c r="M379" s="2847"/>
      <c r="N379" s="2840"/>
    </row>
    <row r="380" spans="2:14" s="1292" customFormat="1" x14ac:dyDescent="0.25">
      <c r="B380" s="2109" t="s">
        <v>3984</v>
      </c>
      <c r="C380" s="2109" t="s">
        <v>3985</v>
      </c>
      <c r="D380" s="2109" t="s">
        <v>4206</v>
      </c>
      <c r="E380" s="2848" t="s">
        <v>3697</v>
      </c>
      <c r="F380" s="2827"/>
      <c r="G380" s="2843" t="s">
        <v>4219</v>
      </c>
      <c r="H380" s="2844">
        <f>INDEX('Fringe Data'!$K$8:$K$112,MATCH(G380,'Fringe Data'!$F$8:$F$112,0))</f>
        <v>0.5</v>
      </c>
      <c r="I380" s="2854">
        <f>INDEX('Fringe Data'!$S$8:$S$112,MATCH(G380,'Fringe Data'!$F$8:$F$112,0))</f>
        <v>1.5</v>
      </c>
      <c r="J380" s="1700" t="s">
        <v>44</v>
      </c>
      <c r="K380" s="2846" t="s">
        <v>3985</v>
      </c>
      <c r="L380" s="559">
        <f>IF(ISERROR(MATCH(K380,'IPCS Data'!$AA$7:$AA$110,0)),1,0)</f>
        <v>0</v>
      </c>
      <c r="M380" s="2847"/>
      <c r="N380" s="2840"/>
    </row>
    <row r="381" spans="2:14" s="1292" customFormat="1" x14ac:dyDescent="0.25">
      <c r="B381" s="2109" t="s">
        <v>3984</v>
      </c>
      <c r="C381" s="2109" t="s">
        <v>3985</v>
      </c>
      <c r="D381" s="2109" t="s">
        <v>3698</v>
      </c>
      <c r="E381" s="2848" t="s">
        <v>3699</v>
      </c>
      <c r="F381" s="2827"/>
      <c r="G381" s="2843" t="s">
        <v>4219</v>
      </c>
      <c r="H381" s="2844">
        <f>INDEX('Fringe Data'!$K$8:$K$112,MATCH(G381,'Fringe Data'!$F$8:$F$112,0))</f>
        <v>0.5</v>
      </c>
      <c r="I381" s="2854">
        <f>INDEX('Fringe Data'!$S$8:$S$112,MATCH(G381,'Fringe Data'!$F$8:$F$112,0))</f>
        <v>1.5</v>
      </c>
      <c r="J381" s="1700" t="s">
        <v>44</v>
      </c>
      <c r="K381" s="2846" t="s">
        <v>3985</v>
      </c>
      <c r="L381" s="559">
        <f>IF(ISERROR(MATCH(K381,'IPCS Data'!$AA$7:$AA$110,0)),1,0)</f>
        <v>0</v>
      </c>
      <c r="M381" s="2847"/>
      <c r="N381" s="2840"/>
    </row>
    <row r="382" spans="2:14" s="1292" customFormat="1" x14ac:dyDescent="0.25">
      <c r="B382" s="2109" t="s">
        <v>3984</v>
      </c>
      <c r="C382" s="2109" t="s">
        <v>3985</v>
      </c>
      <c r="D382" s="2109" t="s">
        <v>4208</v>
      </c>
      <c r="E382" s="2848" t="s">
        <v>4207</v>
      </c>
      <c r="F382" s="2827"/>
      <c r="G382" s="2843" t="s">
        <v>4219</v>
      </c>
      <c r="H382" s="2844">
        <f>INDEX('Fringe Data'!$K$8:$K$112,MATCH(G382,'Fringe Data'!$F$8:$F$112,0))</f>
        <v>0.5</v>
      </c>
      <c r="I382" s="2854">
        <f>INDEX('Fringe Data'!$S$8:$S$112,MATCH(G382,'Fringe Data'!$F$8:$F$112,0))</f>
        <v>1.5</v>
      </c>
      <c r="J382" s="1700" t="s">
        <v>44</v>
      </c>
      <c r="K382" s="2846" t="s">
        <v>3985</v>
      </c>
      <c r="L382" s="559">
        <f>IF(ISERROR(MATCH(K382,'IPCS Data'!$AA$7:$AA$110,0)),1,0)</f>
        <v>0</v>
      </c>
      <c r="M382" s="2847"/>
      <c r="N382" s="2840"/>
    </row>
    <row r="383" spans="2:14" s="1292" customFormat="1" ht="13.8" thickBot="1" x14ac:dyDescent="0.3">
      <c r="B383" s="2109" t="s">
        <v>3984</v>
      </c>
      <c r="C383" s="2109" t="s">
        <v>3985</v>
      </c>
      <c r="D383" s="2109" t="s">
        <v>3700</v>
      </c>
      <c r="E383" s="2848" t="s">
        <v>3701</v>
      </c>
      <c r="F383" s="2827"/>
      <c r="G383" s="2843" t="s">
        <v>4219</v>
      </c>
      <c r="H383" s="2844">
        <f>INDEX('Fringe Data'!$K$8:$K$112,MATCH(G383,'Fringe Data'!$F$8:$F$112,0))</f>
        <v>0.5</v>
      </c>
      <c r="I383" s="2854">
        <f>INDEX('Fringe Data'!$S$8:$S$112,MATCH(G383,'Fringe Data'!$F$8:$F$112,0))</f>
        <v>1.5</v>
      </c>
      <c r="J383" s="1700" t="s">
        <v>44</v>
      </c>
      <c r="K383" s="2846" t="s">
        <v>3985</v>
      </c>
      <c r="L383" s="559">
        <f>IF(ISERROR(MATCH(K383,'IPCS Data'!$AA$7:$AA$110,0)),1,0)</f>
        <v>0</v>
      </c>
      <c r="M383" s="2847"/>
      <c r="N383" s="2840"/>
    </row>
    <row r="384" spans="2:14" s="1292" customFormat="1" ht="22.8" thickBot="1" x14ac:dyDescent="0.3">
      <c r="B384" s="2860" t="s">
        <v>837</v>
      </c>
      <c r="C384" s="2861" t="s">
        <v>3544</v>
      </c>
      <c r="D384" s="2861" t="s">
        <v>359</v>
      </c>
      <c r="E384" s="2862" t="s">
        <v>3545</v>
      </c>
      <c r="F384" s="2827"/>
      <c r="G384" s="2863" t="s">
        <v>3546</v>
      </c>
      <c r="H384" s="2864" t="s">
        <v>3547</v>
      </c>
      <c r="I384" s="2864" t="s">
        <v>3548</v>
      </c>
      <c r="J384" s="2865" t="s">
        <v>3549</v>
      </c>
      <c r="K384" s="2866" t="s">
        <v>3525</v>
      </c>
      <c r="L384" s="2866"/>
      <c r="M384" s="2867" t="s">
        <v>3550</v>
      </c>
      <c r="N384" s="402"/>
    </row>
    <row r="385" spans="2:14" s="1292" customFormat="1" x14ac:dyDescent="0.25">
      <c r="B385" s="2109" t="s">
        <v>3986</v>
      </c>
      <c r="C385" s="2109" t="s">
        <v>3519</v>
      </c>
      <c r="D385" s="2109" t="s">
        <v>3702</v>
      </c>
      <c r="E385" s="2848" t="s">
        <v>3703</v>
      </c>
      <c r="F385" s="2827"/>
      <c r="G385" s="2843" t="s">
        <v>3552</v>
      </c>
      <c r="H385" s="2844">
        <f>INDEX('Fringe Data'!$K$8:$K$112,MATCH(G385,'Fringe Data'!$F$8:$F$112,0))</f>
        <v>0.315</v>
      </c>
      <c r="I385" s="2854">
        <f>INDEX('Fringe Data'!$S$8:$S$112,MATCH(G385,'Fringe Data'!$F$8:$F$112,0))</f>
        <v>0</v>
      </c>
      <c r="J385" s="1700" t="s">
        <v>2</v>
      </c>
      <c r="K385" s="2846" t="s">
        <v>4145</v>
      </c>
      <c r="L385" s="559">
        <f>IF(ISERROR(MATCH(K385,'IPCS Data'!$AA$7:$AA$110,0)),1,0)</f>
        <v>0</v>
      </c>
      <c r="M385" s="2847" t="s">
        <v>4147</v>
      </c>
      <c r="N385" s="402"/>
    </row>
    <row r="386" spans="2:14" s="1292" customFormat="1" x14ac:dyDescent="0.25">
      <c r="B386" s="2109" t="s">
        <v>3986</v>
      </c>
      <c r="C386" s="2109" t="s">
        <v>3519</v>
      </c>
      <c r="D386" s="2109" t="s">
        <v>3704</v>
      </c>
      <c r="E386" s="2848" t="s">
        <v>3705</v>
      </c>
      <c r="F386" s="2827"/>
      <c r="G386" s="2843" t="s">
        <v>3552</v>
      </c>
      <c r="H386" s="2844">
        <f>INDEX('Fringe Data'!$K$8:$K$112,MATCH(G386,'Fringe Data'!$F$8:$F$112,0))</f>
        <v>0.315</v>
      </c>
      <c r="I386" s="2854">
        <f>INDEX('Fringe Data'!$S$8:$S$112,MATCH(G386,'Fringe Data'!$F$8:$F$112,0))</f>
        <v>0</v>
      </c>
      <c r="J386" s="1700" t="s">
        <v>2</v>
      </c>
      <c r="K386" s="2846" t="s">
        <v>4145</v>
      </c>
      <c r="L386" s="559">
        <f>IF(ISERROR(MATCH(K386,'IPCS Data'!$AA$7:$AA$110,0)),1,0)</f>
        <v>0</v>
      </c>
      <c r="M386" s="2847" t="s">
        <v>4147</v>
      </c>
      <c r="N386" s="402"/>
    </row>
    <row r="387" spans="2:14" s="1292" customFormat="1" ht="13.8" thickBot="1" x14ac:dyDescent="0.3">
      <c r="B387" s="2109" t="s">
        <v>3986</v>
      </c>
      <c r="C387" s="2109" t="s">
        <v>3519</v>
      </c>
      <c r="D387" s="2109" t="s">
        <v>3706</v>
      </c>
      <c r="E387" s="2848" t="s">
        <v>3707</v>
      </c>
      <c r="F387" s="2827"/>
      <c r="G387" s="2843" t="s">
        <v>3552</v>
      </c>
      <c r="H387" s="2844">
        <f>INDEX('Fringe Data'!$K$8:$K$112,MATCH(G387,'Fringe Data'!$F$8:$F$112,0))</f>
        <v>0.315</v>
      </c>
      <c r="I387" s="2854">
        <f>INDEX('Fringe Data'!$S$8:$S$112,MATCH(G387,'Fringe Data'!$F$8:$F$112,0))</f>
        <v>0</v>
      </c>
      <c r="J387" s="1700" t="s">
        <v>2</v>
      </c>
      <c r="K387" s="2846" t="s">
        <v>4145</v>
      </c>
      <c r="L387" s="559">
        <f>IF(ISERROR(MATCH(K387,'IPCS Data'!$AA$7:$AA$110,0)),1,0)</f>
        <v>0</v>
      </c>
      <c r="M387" s="2847" t="s">
        <v>4147</v>
      </c>
      <c r="N387" s="402"/>
    </row>
    <row r="388" spans="2:14" s="1292" customFormat="1" ht="22.8" thickBot="1" x14ac:dyDescent="0.3">
      <c r="B388" s="2860" t="s">
        <v>837</v>
      </c>
      <c r="C388" s="2861" t="s">
        <v>3544</v>
      </c>
      <c r="D388" s="2861" t="s">
        <v>359</v>
      </c>
      <c r="E388" s="2862" t="s">
        <v>3545</v>
      </c>
      <c r="F388" s="2827"/>
      <c r="G388" s="2863" t="s">
        <v>3546</v>
      </c>
      <c r="H388" s="2864" t="s">
        <v>3547</v>
      </c>
      <c r="I388" s="2864" t="s">
        <v>3548</v>
      </c>
      <c r="J388" s="2865" t="s">
        <v>3549</v>
      </c>
      <c r="K388" s="2866" t="s">
        <v>3525</v>
      </c>
      <c r="L388" s="2866"/>
      <c r="M388" s="2867" t="s">
        <v>3550</v>
      </c>
      <c r="N388" s="402"/>
    </row>
    <row r="389" spans="2:14" s="1292" customFormat="1" x14ac:dyDescent="0.25">
      <c r="B389" s="2109" t="s">
        <v>3987</v>
      </c>
      <c r="C389" s="2109" t="s">
        <v>3520</v>
      </c>
      <c r="D389" s="2109" t="s">
        <v>4230</v>
      </c>
      <c r="E389" s="2848" t="s">
        <v>4235</v>
      </c>
      <c r="F389" s="2827"/>
      <c r="G389" s="2843" t="s">
        <v>4219</v>
      </c>
      <c r="H389" s="2844">
        <f>INDEX('Fringe Data'!$K$8:$K$112,MATCH(G389,'Fringe Data'!$F$8:$F$112,0))</f>
        <v>0.5</v>
      </c>
      <c r="I389" s="2854">
        <f>INDEX('Fringe Data'!$S$8:$S$112,MATCH(G389,'Fringe Data'!$F$8:$F$112,0))</f>
        <v>1.5</v>
      </c>
      <c r="J389" s="1700" t="s">
        <v>2</v>
      </c>
      <c r="K389" s="2846" t="s">
        <v>4146</v>
      </c>
      <c r="L389" s="559">
        <f>IF(ISERROR(MATCH(K389,'IPCS Data'!$AA$7:$AA$110,0)),1,0)</f>
        <v>0</v>
      </c>
      <c r="M389" s="2847" t="s">
        <v>4147</v>
      </c>
      <c r="N389" s="402"/>
    </row>
    <row r="390" spans="2:14" s="1292" customFormat="1" x14ac:dyDescent="0.25">
      <c r="B390" s="2109" t="s">
        <v>3987</v>
      </c>
      <c r="C390" s="2109" t="s">
        <v>3520</v>
      </c>
      <c r="D390" s="2109" t="s">
        <v>4231</v>
      </c>
      <c r="E390" s="2848" t="s">
        <v>4236</v>
      </c>
      <c r="F390" s="2827"/>
      <c r="G390" s="2843" t="s">
        <v>3552</v>
      </c>
      <c r="H390" s="2844">
        <f>INDEX('Fringe Data'!$K$8:$K$112,MATCH(G390,'Fringe Data'!$F$8:$F$112,0))</f>
        <v>0.315</v>
      </c>
      <c r="I390" s="2854">
        <f>INDEX('Fringe Data'!$S$8:$S$112,MATCH(G390,'Fringe Data'!$F$8:$F$112,0))</f>
        <v>0</v>
      </c>
      <c r="J390" s="1700" t="s">
        <v>2</v>
      </c>
      <c r="K390" s="2846" t="s">
        <v>4146</v>
      </c>
      <c r="L390" s="559">
        <f>IF(ISERROR(MATCH(K390,'IPCS Data'!$AA$7:$AA$110,0)),1,0)</f>
        <v>0</v>
      </c>
      <c r="M390" s="2847" t="s">
        <v>4147</v>
      </c>
      <c r="N390" s="402"/>
    </row>
    <row r="391" spans="2:14" s="1292" customFormat="1" x14ac:dyDescent="0.25">
      <c r="B391" s="2109" t="s">
        <v>3987</v>
      </c>
      <c r="C391" s="2109" t="s">
        <v>3520</v>
      </c>
      <c r="D391" s="2109" t="s">
        <v>4232</v>
      </c>
      <c r="E391" s="2848" t="s">
        <v>4237</v>
      </c>
      <c r="F391" s="2827"/>
      <c r="G391" s="2843" t="s">
        <v>3552</v>
      </c>
      <c r="H391" s="2844">
        <f>INDEX('Fringe Data'!$K$8:$K$112,MATCH(G391,'Fringe Data'!$F$8:$F$112,0))</f>
        <v>0.315</v>
      </c>
      <c r="I391" s="2854">
        <f>INDEX('Fringe Data'!$S$8:$S$112,MATCH(G391,'Fringe Data'!$F$8:$F$112,0))</f>
        <v>0</v>
      </c>
      <c r="J391" s="1700" t="s">
        <v>2</v>
      </c>
      <c r="K391" s="2846" t="s">
        <v>4146</v>
      </c>
      <c r="L391" s="559">
        <f>IF(ISERROR(MATCH(K391,'IPCS Data'!$AA$7:$AA$110,0)),1,0)</f>
        <v>0</v>
      </c>
      <c r="M391" s="2847" t="s">
        <v>4147</v>
      </c>
      <c r="N391" s="402"/>
    </row>
    <row r="392" spans="2:14" s="1292" customFormat="1" x14ac:dyDescent="0.25">
      <c r="B392" s="2109" t="s">
        <v>3987</v>
      </c>
      <c r="C392" s="2109" t="s">
        <v>3520</v>
      </c>
      <c r="D392" s="2109" t="s">
        <v>3708</v>
      </c>
      <c r="E392" s="2848" t="s">
        <v>3709</v>
      </c>
      <c r="F392" s="2827"/>
      <c r="G392" s="2843" t="s">
        <v>3552</v>
      </c>
      <c r="H392" s="2844">
        <f>INDEX('Fringe Data'!$K$8:$K$112,MATCH(G392,'Fringe Data'!$F$8:$F$112,0))</f>
        <v>0.315</v>
      </c>
      <c r="I392" s="2854">
        <f>INDEX('Fringe Data'!$S$8:$S$112,MATCH(G392,'Fringe Data'!$F$8:$F$112,0))</f>
        <v>0</v>
      </c>
      <c r="J392" s="1700" t="s">
        <v>2</v>
      </c>
      <c r="K392" s="2846" t="s">
        <v>4146</v>
      </c>
      <c r="L392" s="559">
        <f>IF(ISERROR(MATCH(K392,'IPCS Data'!$AA$7:$AA$110,0)),1,0)</f>
        <v>0</v>
      </c>
      <c r="M392" s="2847" t="s">
        <v>4147</v>
      </c>
      <c r="N392" s="402"/>
    </row>
    <row r="393" spans="2:14" s="1292" customFormat="1" x14ac:dyDescent="0.25">
      <c r="B393" s="2109" t="s">
        <v>3987</v>
      </c>
      <c r="C393" s="2109" t="s">
        <v>3520</v>
      </c>
      <c r="D393" s="2109" t="s">
        <v>3710</v>
      </c>
      <c r="E393" s="2848" t="s">
        <v>3711</v>
      </c>
      <c r="F393" s="2827"/>
      <c r="G393" s="2843" t="s">
        <v>3552</v>
      </c>
      <c r="H393" s="2844">
        <f>INDEX('Fringe Data'!$K$8:$K$112,MATCH(G393,'Fringe Data'!$F$8:$F$112,0))</f>
        <v>0.315</v>
      </c>
      <c r="I393" s="2854">
        <f>INDEX('Fringe Data'!$S$8:$S$112,MATCH(G393,'Fringe Data'!$F$8:$F$112,0))</f>
        <v>0</v>
      </c>
      <c r="J393" s="1700" t="s">
        <v>2</v>
      </c>
      <c r="K393" s="2846" t="s">
        <v>4146</v>
      </c>
      <c r="L393" s="559">
        <f>IF(ISERROR(MATCH(K393,'IPCS Data'!$AA$7:$AA$110,0)),1,0)</f>
        <v>0</v>
      </c>
      <c r="M393" s="2847" t="s">
        <v>4147</v>
      </c>
      <c r="N393" s="402"/>
    </row>
    <row r="394" spans="2:14" s="1292" customFormat="1" x14ac:dyDescent="0.25">
      <c r="B394" s="2109" t="s">
        <v>3987</v>
      </c>
      <c r="C394" s="2109" t="s">
        <v>3520</v>
      </c>
      <c r="D394" s="2109" t="s">
        <v>4233</v>
      </c>
      <c r="E394" s="2848" t="s">
        <v>4238</v>
      </c>
      <c r="F394" s="2827"/>
      <c r="G394" s="2843" t="s">
        <v>3552</v>
      </c>
      <c r="H394" s="2844">
        <f>INDEX('Fringe Data'!$K$8:$K$112,MATCH(G394,'Fringe Data'!$F$8:$F$112,0))</f>
        <v>0.315</v>
      </c>
      <c r="I394" s="2854">
        <f>INDEX('Fringe Data'!$S$8:$S$112,MATCH(G394,'Fringe Data'!$F$8:$F$112,0))</f>
        <v>0</v>
      </c>
      <c r="J394" s="1700" t="s">
        <v>2</v>
      </c>
      <c r="K394" s="2846" t="s">
        <v>4146</v>
      </c>
      <c r="L394" s="559">
        <f>IF(ISERROR(MATCH(K394,'IPCS Data'!$AA$7:$AA$110,0)),1,0)</f>
        <v>0</v>
      </c>
      <c r="M394" s="2847" t="s">
        <v>4147</v>
      </c>
      <c r="N394" s="402"/>
    </row>
    <row r="395" spans="2:14" s="1292" customFormat="1" x14ac:dyDescent="0.25">
      <c r="B395" s="2109" t="s">
        <v>3987</v>
      </c>
      <c r="C395" s="2109" t="s">
        <v>3520</v>
      </c>
      <c r="D395" s="2109" t="s">
        <v>3712</v>
      </c>
      <c r="E395" s="2848" t="s">
        <v>3713</v>
      </c>
      <c r="F395" s="2827"/>
      <c r="G395" s="2843" t="s">
        <v>3552</v>
      </c>
      <c r="H395" s="2844">
        <f>INDEX('Fringe Data'!$K$8:$K$112,MATCH(G395,'Fringe Data'!$F$8:$F$112,0))</f>
        <v>0.315</v>
      </c>
      <c r="I395" s="2854">
        <f>INDEX('Fringe Data'!$S$8:$S$112,MATCH(G395,'Fringe Data'!$F$8:$F$112,0))</f>
        <v>0</v>
      </c>
      <c r="J395" s="1700" t="s">
        <v>2</v>
      </c>
      <c r="K395" s="2846" t="s">
        <v>4146</v>
      </c>
      <c r="L395" s="559">
        <f>IF(ISERROR(MATCH(K395,'IPCS Data'!$AA$7:$AA$110,0)),1,0)</f>
        <v>0</v>
      </c>
      <c r="M395" s="2847" t="s">
        <v>4147</v>
      </c>
      <c r="N395" s="402"/>
    </row>
    <row r="396" spans="2:14" s="1292" customFormat="1" x14ac:dyDescent="0.25">
      <c r="B396" s="2109" t="s">
        <v>3987</v>
      </c>
      <c r="C396" s="2109" t="s">
        <v>3520</v>
      </c>
      <c r="D396" s="2109" t="s">
        <v>4234</v>
      </c>
      <c r="E396" s="2848" t="s">
        <v>4239</v>
      </c>
      <c r="F396" s="2827"/>
      <c r="G396" s="2843" t="s">
        <v>3552</v>
      </c>
      <c r="H396" s="2844">
        <f>INDEX('Fringe Data'!$K$8:$K$112,MATCH(G396,'Fringe Data'!$F$8:$F$112,0))</f>
        <v>0.315</v>
      </c>
      <c r="I396" s="2854">
        <f>INDEX('Fringe Data'!$S$8:$S$112,MATCH(G396,'Fringe Data'!$F$8:$F$112,0))</f>
        <v>0</v>
      </c>
      <c r="J396" s="1700" t="s">
        <v>371</v>
      </c>
      <c r="K396" s="2846" t="s">
        <v>4146</v>
      </c>
      <c r="L396" s="559">
        <f>IF(ISERROR(MATCH(K396,'IPCS Data'!$AA$7:$AA$110,0)),1,0)</f>
        <v>0</v>
      </c>
      <c r="M396" s="2847" t="s">
        <v>4147</v>
      </c>
      <c r="N396" s="402"/>
    </row>
    <row r="397" spans="2:14" s="746" customFormat="1" x14ac:dyDescent="0.25">
      <c r="B397" s="1709" t="s">
        <v>1782</v>
      </c>
      <c r="C397" s="1691"/>
      <c r="D397" s="1691"/>
      <c r="E397" s="2838"/>
      <c r="F397" s="562"/>
      <c r="G397" s="2838"/>
      <c r="H397" s="2838"/>
      <c r="I397" s="2838"/>
      <c r="J397" s="1691"/>
      <c r="K397" s="1691"/>
      <c r="L397" s="1691"/>
      <c r="M397" s="1691"/>
    </row>
    <row r="399" spans="2:14" s="746" customFormat="1" x14ac:dyDescent="0.25">
      <c r="E399" s="562"/>
      <c r="F399" s="562"/>
      <c r="G399" s="562"/>
      <c r="H399" s="562"/>
      <c r="I399" s="562"/>
      <c r="J399" s="562"/>
      <c r="M399" s="562"/>
    </row>
    <row r="400" spans="2:14" s="746" customFormat="1" ht="27.75" customHeight="1" x14ac:dyDescent="0.5">
      <c r="B400" s="1693" t="s">
        <v>1785</v>
      </c>
      <c r="E400" s="562"/>
      <c r="F400" s="562"/>
      <c r="G400" s="562"/>
      <c r="H400" s="562"/>
      <c r="I400" s="562"/>
      <c r="J400" s="562"/>
      <c r="M400" s="562"/>
    </row>
    <row r="401" spans="1:2" ht="15.9" customHeight="1" x14ac:dyDescent="0.25">
      <c r="A401" s="532">
        <v>1</v>
      </c>
      <c r="B401" s="532" t="s">
        <v>1786</v>
      </c>
    </row>
    <row r="402" spans="1:2" ht="15.9" customHeight="1" x14ac:dyDescent="0.25">
      <c r="A402" s="532">
        <v>2</v>
      </c>
      <c r="B402" s="532" t="s">
        <v>1807</v>
      </c>
    </row>
    <row r="403" spans="1:2" ht="15.9" customHeight="1" x14ac:dyDescent="0.25">
      <c r="A403" s="532">
        <v>3</v>
      </c>
      <c r="B403" s="532" t="s">
        <v>1787</v>
      </c>
    </row>
    <row r="404" spans="1:2" ht="15.9" customHeight="1" x14ac:dyDescent="0.25">
      <c r="A404" s="532"/>
      <c r="B404" s="532"/>
    </row>
    <row r="405" spans="1:2" ht="15.9" customHeight="1" x14ac:dyDescent="0.25"/>
    <row r="406" spans="1:2" ht="15.9" customHeight="1" x14ac:dyDescent="0.25"/>
    <row r="407" spans="1:2" ht="15.9" customHeight="1" x14ac:dyDescent="0.25"/>
    <row r="408" spans="1:2" ht="15.9" customHeight="1" x14ac:dyDescent="0.25"/>
    <row r="409" spans="1:2" ht="15.9" customHeight="1" x14ac:dyDescent="0.25"/>
    <row r="410" spans="1:2" ht="15.9" customHeight="1" x14ac:dyDescent="0.25"/>
    <row r="411" spans="1:2" ht="15.9" customHeight="1" x14ac:dyDescent="0.25"/>
    <row r="412" spans="1:2" ht="15.9" customHeight="1" x14ac:dyDescent="0.25"/>
    <row r="413" spans="1:2" ht="15.9" customHeight="1" x14ac:dyDescent="0.25"/>
    <row r="414" spans="1:2" ht="15.9" customHeight="1" x14ac:dyDescent="0.25"/>
    <row r="415" spans="1:2" ht="15.9" customHeight="1" x14ac:dyDescent="0.25"/>
    <row r="416" spans="1:2" ht="15.9" customHeight="1" x14ac:dyDescent="0.25"/>
    <row r="417" ht="15.9" customHeight="1" x14ac:dyDescent="0.25"/>
    <row r="418" ht="15.9" customHeight="1" x14ac:dyDescent="0.25"/>
    <row r="419" ht="15.9" customHeight="1" x14ac:dyDescent="0.25"/>
    <row r="420" ht="15.9" customHeight="1" x14ac:dyDescent="0.25"/>
    <row r="421" ht="15.9" customHeight="1" x14ac:dyDescent="0.25"/>
    <row r="422" ht="15.9" customHeight="1" x14ac:dyDescent="0.25"/>
    <row r="423" ht="15.9" customHeight="1" x14ac:dyDescent="0.25"/>
    <row r="424" ht="15.9" customHeight="1" x14ac:dyDescent="0.25"/>
    <row r="425" ht="15.9" customHeight="1" x14ac:dyDescent="0.25"/>
    <row r="426" ht="15.9" customHeight="1" x14ac:dyDescent="0.25"/>
    <row r="427" ht="15.9" customHeight="1" x14ac:dyDescent="0.25"/>
    <row r="428" ht="15.9" customHeight="1" x14ac:dyDescent="0.25"/>
    <row r="429" ht="15.9" customHeight="1" x14ac:dyDescent="0.25"/>
    <row r="430" ht="15.9" customHeight="1" x14ac:dyDescent="0.25"/>
    <row r="431" ht="15.9" customHeight="1" x14ac:dyDescent="0.25"/>
    <row r="432" ht="15.9" customHeight="1" x14ac:dyDescent="0.25"/>
    <row r="433" ht="15.9" customHeight="1" x14ac:dyDescent="0.25"/>
    <row r="434" ht="15.9" customHeight="1" x14ac:dyDescent="0.25"/>
    <row r="435" ht="15.9" customHeight="1" x14ac:dyDescent="0.25"/>
    <row r="436" ht="15.9" customHeight="1" x14ac:dyDescent="0.25"/>
    <row r="437" ht="15.9" customHeight="1" x14ac:dyDescent="0.25"/>
    <row r="438" ht="15.9" customHeight="1" x14ac:dyDescent="0.25"/>
    <row r="439" ht="15.9" customHeight="1" x14ac:dyDescent="0.25"/>
  </sheetData>
  <sortState xmlns:xlrd2="http://schemas.microsoft.com/office/spreadsheetml/2017/richdata2" ref="B43:O74">
    <sortCondition ref="C43:C74"/>
    <sortCondition ref="E43:E74"/>
  </sortState>
  <mergeCells count="1">
    <mergeCell ref="K29:K30"/>
  </mergeCells>
  <conditionalFormatting sqref="J40:J54 J56 J62:J65 J67:J69 J71:J74 J76:J81 J83:J86 J92:J94 J132:J136 J141:J144 J146:J150 J153:J156 J96:J100 J102:J106 J109:J120 J122:J127 J34:J35 J158:J162 J164:J171 J213:J216 J362:J368 J173:J179 J185:J188 J192:J196 J38 J256:J258 J261:J284">
    <cfRule type="expression" dxfId="1034" priority="80">
      <formula>hasConstants(J34)</formula>
    </cfRule>
  </conditionalFormatting>
  <conditionalFormatting sqref="J310:J318 J320:J323">
    <cfRule type="expression" dxfId="1033" priority="63">
      <formula>hasConstants(J310)</formula>
    </cfRule>
  </conditionalFormatting>
  <conditionalFormatting sqref="J286:J308">
    <cfRule type="expression" dxfId="1032" priority="64">
      <formula>hasConstants(J286)</formula>
    </cfRule>
  </conditionalFormatting>
  <conditionalFormatting sqref="J370:J383">
    <cfRule type="expression" dxfId="1031" priority="60">
      <formula>hasConstants(J370)</formula>
    </cfRule>
  </conditionalFormatting>
  <conditionalFormatting sqref="J385:J387">
    <cfRule type="expression" dxfId="1030" priority="59">
      <formula>hasConstants(J385)</formula>
    </cfRule>
  </conditionalFormatting>
  <conditionalFormatting sqref="J389:J396">
    <cfRule type="expression" dxfId="1029" priority="58">
      <formula>hasConstants(J389)</formula>
    </cfRule>
  </conditionalFormatting>
  <conditionalFormatting sqref="J138:J139">
    <cfRule type="expression" dxfId="1028" priority="57">
      <formula>hasConstants(J138)</formula>
    </cfRule>
  </conditionalFormatting>
  <conditionalFormatting sqref="J108">
    <cfRule type="expression" dxfId="1027" priority="54">
      <formula>hasConstants(J108)</formula>
    </cfRule>
  </conditionalFormatting>
  <conditionalFormatting sqref="J152">
    <cfRule type="expression" dxfId="1026" priority="53">
      <formula>hasConstants(J152)</formula>
    </cfRule>
  </conditionalFormatting>
  <conditionalFormatting sqref="J198:J211 J218:J223 J225">
    <cfRule type="expression" dxfId="1025" priority="81">
      <formula>hasConstants(J198)</formula>
    </cfRule>
  </conditionalFormatting>
  <conditionalFormatting sqref="J58:J60">
    <cfRule type="expression" dxfId="1024" priority="79">
      <formula>hasConstants(J58)</formula>
    </cfRule>
  </conditionalFormatting>
  <conditionalFormatting sqref="J88:J90">
    <cfRule type="expression" dxfId="1023" priority="78">
      <formula>hasConstants(J88)</formula>
    </cfRule>
  </conditionalFormatting>
  <conditionalFormatting sqref="J129:J130">
    <cfRule type="expression" dxfId="1022" priority="75">
      <formula>hasConstants(J129)</formula>
    </cfRule>
  </conditionalFormatting>
  <conditionalFormatting sqref="J190 J181:J183">
    <cfRule type="expression" dxfId="1021" priority="69">
      <formula>hasConstants(J181)</formula>
    </cfRule>
  </conditionalFormatting>
  <conditionalFormatting sqref="J227:J238">
    <cfRule type="expression" dxfId="1020" priority="68">
      <formula>hasConstants(J227)</formula>
    </cfRule>
  </conditionalFormatting>
  <conditionalFormatting sqref="J240:J251">
    <cfRule type="expression" dxfId="1019" priority="67">
      <formula>hasConstants(J240)</formula>
    </cfRule>
  </conditionalFormatting>
  <conditionalFormatting sqref="J253:J254">
    <cfRule type="expression" dxfId="1018" priority="66">
      <formula>hasConstants(J253)</formula>
    </cfRule>
  </conditionalFormatting>
  <conditionalFormatting sqref="J325:J331 J333:J340 J342:J360">
    <cfRule type="expression" dxfId="1017" priority="62">
      <formula>hasConstants(J325)</formula>
    </cfRule>
  </conditionalFormatting>
  <conditionalFormatting sqref="J70">
    <cfRule type="expression" dxfId="1016" priority="55">
      <formula>hasConstants(J70)</formula>
    </cfRule>
  </conditionalFormatting>
  <conditionalFormatting sqref="J180">
    <cfRule type="expression" dxfId="1015" priority="52">
      <formula>hasConstants(J180)</formula>
    </cfRule>
  </conditionalFormatting>
  <conditionalFormatting sqref="J191">
    <cfRule type="expression" dxfId="1014" priority="51">
      <formula>hasConstants(J191)</formula>
    </cfRule>
  </conditionalFormatting>
  <conditionalFormatting sqref="J224">
    <cfRule type="expression" dxfId="1013" priority="50">
      <formula>hasConstants(J224)</formula>
    </cfRule>
  </conditionalFormatting>
  <conditionalFormatting sqref="J341">
    <cfRule type="expression" dxfId="1012" priority="49">
      <formula>hasConstants(J341)</formula>
    </cfRule>
  </conditionalFormatting>
  <conditionalFormatting sqref="L362:L368 L173:L183 L185:L188 L190:L196 L34:L35 L37:L38 L256:L258 L261:L284">
    <cfRule type="cellIs" dxfId="1011" priority="47" operator="equal">
      <formula>1</formula>
    </cfRule>
  </conditionalFormatting>
  <conditionalFormatting sqref="L40:L54">
    <cfRule type="cellIs" dxfId="1010" priority="46" operator="equal">
      <formula>1</formula>
    </cfRule>
  </conditionalFormatting>
  <conditionalFormatting sqref="L56">
    <cfRule type="cellIs" dxfId="1009" priority="45" operator="equal">
      <formula>1</formula>
    </cfRule>
  </conditionalFormatting>
  <conditionalFormatting sqref="L58:L60">
    <cfRule type="cellIs" dxfId="1008" priority="44" operator="equal">
      <formula>1</formula>
    </cfRule>
  </conditionalFormatting>
  <conditionalFormatting sqref="L62:L65">
    <cfRule type="cellIs" dxfId="1007" priority="43" operator="equal">
      <formula>1</formula>
    </cfRule>
  </conditionalFormatting>
  <conditionalFormatting sqref="L67:L74">
    <cfRule type="cellIs" dxfId="1006" priority="42" operator="equal">
      <formula>1</formula>
    </cfRule>
  </conditionalFormatting>
  <conditionalFormatting sqref="L76:L81">
    <cfRule type="cellIs" dxfId="1005" priority="41" operator="equal">
      <formula>1</formula>
    </cfRule>
  </conditionalFormatting>
  <conditionalFormatting sqref="L83:L86">
    <cfRule type="cellIs" dxfId="1004" priority="40" operator="equal">
      <formula>1</formula>
    </cfRule>
  </conditionalFormatting>
  <conditionalFormatting sqref="L88:L90">
    <cfRule type="cellIs" dxfId="1003" priority="39" operator="equal">
      <formula>1</formula>
    </cfRule>
  </conditionalFormatting>
  <conditionalFormatting sqref="L92:L94">
    <cfRule type="cellIs" dxfId="1002" priority="38" operator="equal">
      <formula>1</formula>
    </cfRule>
  </conditionalFormatting>
  <conditionalFormatting sqref="L96:L100">
    <cfRule type="cellIs" dxfId="1001" priority="37" operator="equal">
      <formula>1</formula>
    </cfRule>
  </conditionalFormatting>
  <conditionalFormatting sqref="L102:L106">
    <cfRule type="cellIs" dxfId="1000" priority="36" operator="equal">
      <formula>1</formula>
    </cfRule>
  </conditionalFormatting>
  <conditionalFormatting sqref="L108:L120">
    <cfRule type="cellIs" dxfId="999" priority="35" operator="equal">
      <formula>1</formula>
    </cfRule>
  </conditionalFormatting>
  <conditionalFormatting sqref="L122:L127">
    <cfRule type="cellIs" dxfId="998" priority="34" operator="equal">
      <formula>1</formula>
    </cfRule>
  </conditionalFormatting>
  <conditionalFormatting sqref="L129:L130">
    <cfRule type="cellIs" dxfId="997" priority="33" operator="equal">
      <formula>1</formula>
    </cfRule>
  </conditionalFormatting>
  <conditionalFormatting sqref="L132:L136">
    <cfRule type="cellIs" dxfId="996" priority="32" operator="equal">
      <formula>1</formula>
    </cfRule>
  </conditionalFormatting>
  <conditionalFormatting sqref="L138:L139">
    <cfRule type="cellIs" dxfId="995" priority="31" operator="equal">
      <formula>1</formula>
    </cfRule>
  </conditionalFormatting>
  <conditionalFormatting sqref="L141:L144">
    <cfRule type="cellIs" dxfId="994" priority="30" operator="equal">
      <formula>1</formula>
    </cfRule>
  </conditionalFormatting>
  <conditionalFormatting sqref="L146:L150">
    <cfRule type="cellIs" dxfId="993" priority="29" operator="equal">
      <formula>1</formula>
    </cfRule>
  </conditionalFormatting>
  <conditionalFormatting sqref="L152:L156">
    <cfRule type="cellIs" dxfId="992" priority="28" operator="equal">
      <formula>1</formula>
    </cfRule>
  </conditionalFormatting>
  <conditionalFormatting sqref="L158:L162">
    <cfRule type="cellIs" dxfId="991" priority="27" operator="equal">
      <formula>1</formula>
    </cfRule>
  </conditionalFormatting>
  <conditionalFormatting sqref="L164:L171">
    <cfRule type="cellIs" dxfId="990" priority="26" operator="equal">
      <formula>1</formula>
    </cfRule>
  </conditionalFormatting>
  <conditionalFormatting sqref="L198:L211">
    <cfRule type="cellIs" dxfId="989" priority="22" operator="equal">
      <formula>1</formula>
    </cfRule>
  </conditionalFormatting>
  <conditionalFormatting sqref="L213:L216">
    <cfRule type="cellIs" dxfId="988" priority="21" operator="equal">
      <formula>1</formula>
    </cfRule>
  </conditionalFormatting>
  <conditionalFormatting sqref="L218:L225">
    <cfRule type="cellIs" dxfId="987" priority="20" operator="equal">
      <formula>1</formula>
    </cfRule>
  </conditionalFormatting>
  <conditionalFormatting sqref="L227:L238">
    <cfRule type="cellIs" dxfId="986" priority="19" operator="equal">
      <formula>1</formula>
    </cfRule>
  </conditionalFormatting>
  <conditionalFormatting sqref="L240:L251">
    <cfRule type="cellIs" dxfId="985" priority="18" operator="equal">
      <formula>1</formula>
    </cfRule>
  </conditionalFormatting>
  <conditionalFormatting sqref="L253:L254">
    <cfRule type="cellIs" dxfId="984" priority="17" operator="equal">
      <formula>1</formula>
    </cfRule>
  </conditionalFormatting>
  <conditionalFormatting sqref="L286:L308">
    <cfRule type="cellIs" dxfId="983" priority="15" operator="equal">
      <formula>1</formula>
    </cfRule>
  </conditionalFormatting>
  <conditionalFormatting sqref="L310:L318">
    <cfRule type="cellIs" dxfId="982" priority="14" operator="equal">
      <formula>1</formula>
    </cfRule>
  </conditionalFormatting>
  <conditionalFormatting sqref="L320:L323">
    <cfRule type="cellIs" dxfId="981" priority="13" operator="equal">
      <formula>1</formula>
    </cfRule>
  </conditionalFormatting>
  <conditionalFormatting sqref="L325:L331">
    <cfRule type="cellIs" dxfId="980" priority="12" operator="equal">
      <formula>1</formula>
    </cfRule>
  </conditionalFormatting>
  <conditionalFormatting sqref="L333:L360">
    <cfRule type="cellIs" dxfId="979" priority="11" operator="equal">
      <formula>1</formula>
    </cfRule>
  </conditionalFormatting>
  <conditionalFormatting sqref="L370:L383">
    <cfRule type="cellIs" dxfId="978" priority="9" operator="equal">
      <formula>1</formula>
    </cfRule>
  </conditionalFormatting>
  <conditionalFormatting sqref="L385:L387">
    <cfRule type="cellIs" dxfId="977" priority="8" operator="equal">
      <formula>1</formula>
    </cfRule>
  </conditionalFormatting>
  <conditionalFormatting sqref="L389:L396">
    <cfRule type="cellIs" dxfId="976" priority="7" operator="equal">
      <formula>1</formula>
    </cfRule>
  </conditionalFormatting>
  <conditionalFormatting sqref="J37">
    <cfRule type="expression" dxfId="975" priority="5">
      <formula>hasConstants(J37)</formula>
    </cfRule>
  </conditionalFormatting>
  <conditionalFormatting sqref="J36">
    <cfRule type="expression" dxfId="974" priority="4">
      <formula>hasConstants(J36)</formula>
    </cfRule>
  </conditionalFormatting>
  <conditionalFormatting sqref="L36">
    <cfRule type="cellIs" dxfId="973" priority="3" operator="equal">
      <formula>1</formula>
    </cfRule>
  </conditionalFormatting>
  <conditionalFormatting sqref="J259:J260">
    <cfRule type="expression" dxfId="972" priority="2">
      <formula>hasConstants(J259)</formula>
    </cfRule>
  </conditionalFormatting>
  <conditionalFormatting sqref="L259:L260">
    <cfRule type="cellIs" dxfId="971" priority="1" operator="equal">
      <formula>1</formula>
    </cfRule>
  </conditionalFormatting>
  <dataValidations count="1">
    <dataValidation type="list" allowBlank="1" showInputMessage="1" showErrorMessage="1" sqref="C258:C284" xr:uid="{414FD280-D90A-4779-B8C3-E016E4E8A49B}">
      <formula1>$R$6:$R$18</formula1>
    </dataValidation>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8C63CD19-109C-4183-8ADD-F4C6450A374B}">
          <x14:formula1>
            <xm:f>'Currency Data'!$H$7:$H$40</xm:f>
          </x14:formula1>
          <xm:sqref>J385:J387 J370:J383 J34:J38 J213:J216 J320:J323 J227:J238 J286:J308 J253:J254 J240:J251 J92:J94 J138:J139 J56 J40:J54 J58:J60 J88:J90 J129:J130 J218:J225 J198:J211 J310:J318 J325:J331 J333:J360 J62:J65 J67:J74 J76:J81 J83:J86 J190:J196 J132:J136 J141:J144 J146:J150 J152:J156 J96:J100 J102:J106 J108:J120 J122:J127 J158:J162 J164:J171 J362:J368 J173:J183 J185:J188 J389:J396 J256:J284</xm:sqref>
        </x14:dataValidation>
        <x14:dataValidation type="list" allowBlank="1" showInputMessage="1" showErrorMessage="1" xr:uid="{8BDFB121-D465-43BA-9E1A-79D8019B58F9}">
          <x14:formula1>
            <xm:f>'IPCS Data'!$AB$7:$AB$110</xm:f>
          </x14:formula1>
          <xm:sqref>K198:K211 K190:K196 K185:K188 K173:K183 K362:K368 K83:K86 K62:K65 K218:K225 K240:K251 K34:K38 K286:K308 K325:K331 K385:K387 K56 K102:K106 K122:K127 K164:K171 K146:K150 K152:K156 K213:K216 K310:K318 K320:K323 K370:K383 K138:K139 K40:K54 K76:K81 K227:K238 K108:K120 K129:K130 K132:K136 K88:K90 K58:K60 K92:K94 K67:K74 K96:K100 K333:K360 K253:K254 K141:K144 K158:K162 K389:K396 K256:K284</xm:sqref>
        </x14:dataValidation>
        <x14:dataValidation type="list" allowBlank="1" showInputMessage="1" showErrorMessage="1" xr:uid="{4A723A1C-6052-4CED-B65D-A50A45C3EA61}">
          <x14:formula1>
            <xm:f>'Fringe Data'!$F$5:$F$112</xm:f>
          </x14:formula1>
          <xm:sqref>G320:G323 G389:G396 G83:G86 G76:G81 G67:G74 G62:G65 G325:G331 G286:G308 G310:G318 G198:G211 G218:G225 G129:G130 G88:G90 G58:G60 G40:G54 G370:G383 G240:G251 G385:G387 G190:G196 G138:G139 G56 G185:G188 G92:G94 G227:G238 G333:G360 G132:G136 G141:G144 G146:G150 G152:G156 G96:G100 G102:G106 G108:G120 G122:G127 G34:G38 G158:G162 G164:G171 G213:G216 G362:G368 G173:G183 G253:G254 G256:G284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sheetPr>
  <dimension ref="B1:AA80"/>
  <sheetViews>
    <sheetView showGridLines="0" topLeftCell="B1" zoomScale="90" zoomScaleNormal="90" workbookViewId="0">
      <selection activeCell="AA23" sqref="AA23"/>
    </sheetView>
  </sheetViews>
  <sheetFormatPr defaultColWidth="9.109375" defaultRowHeight="13.2" x14ac:dyDescent="0.25"/>
  <cols>
    <col min="1" max="1" width="2" style="746" customWidth="1"/>
    <col min="2" max="2" width="2.109375" style="746" customWidth="1"/>
    <col min="3" max="3" width="3.44140625" style="746" customWidth="1"/>
    <col min="4" max="4" width="6.6640625" style="746" customWidth="1"/>
    <col min="5" max="5" width="11.33203125" style="746" customWidth="1"/>
    <col min="6" max="6" width="10.33203125" style="746" customWidth="1"/>
    <col min="7" max="7" width="9.5546875" style="746" customWidth="1"/>
    <col min="8" max="8" width="9.109375" style="746"/>
    <col min="9" max="9" width="6.6640625" style="746" customWidth="1"/>
    <col min="10" max="15" width="9.109375" style="746"/>
    <col min="16" max="16" width="6" style="746" customWidth="1"/>
    <col min="17" max="17" width="4.6640625" style="746" customWidth="1"/>
    <col min="18" max="18" width="9.109375" style="746"/>
    <col min="19" max="19" width="7.33203125" style="746" customWidth="1"/>
    <col min="20" max="20" width="8.44140625" style="746" customWidth="1"/>
    <col min="21" max="21" width="4" style="746" customWidth="1"/>
    <col min="22" max="22" width="2.6640625" style="746" customWidth="1"/>
    <col min="23" max="16384" width="9.109375" style="746"/>
  </cols>
  <sheetData>
    <row r="1" spans="3:26" ht="19.5" customHeight="1" thickBot="1" x14ac:dyDescent="0.3"/>
    <row r="2" spans="3:26" ht="15.6" customHeight="1" x14ac:dyDescent="0.25">
      <c r="H2" s="3374" t="s">
        <v>930</v>
      </c>
      <c r="I2" s="3374"/>
      <c r="J2" s="3374"/>
      <c r="K2" s="3374"/>
      <c r="L2" s="3374"/>
      <c r="M2" s="3374"/>
      <c r="Q2" s="2487"/>
      <c r="R2" s="3377" t="s">
        <v>2784</v>
      </c>
      <c r="S2" s="3377"/>
      <c r="T2" s="3377"/>
      <c r="U2" s="2488"/>
    </row>
    <row r="3" spans="3:26" ht="24" customHeight="1" x14ac:dyDescent="0.85">
      <c r="G3" s="827"/>
      <c r="H3" s="3374"/>
      <c r="I3" s="3374"/>
      <c r="J3" s="3374"/>
      <c r="K3" s="3374"/>
      <c r="L3" s="3374"/>
      <c r="M3" s="3374"/>
      <c r="Q3" s="2489"/>
      <c r="R3" s="3378"/>
      <c r="S3" s="3378"/>
      <c r="T3" s="3378"/>
      <c r="U3" s="2490"/>
    </row>
    <row r="4" spans="3:26" ht="16.2" customHeight="1" x14ac:dyDescent="0.3">
      <c r="C4" s="3375" t="s">
        <v>2742</v>
      </c>
      <c r="D4" s="3375"/>
      <c r="E4" s="3375"/>
      <c r="F4" s="3375"/>
      <c r="G4" s="3375"/>
      <c r="H4" s="3375"/>
      <c r="I4" s="3375"/>
      <c r="J4" s="3375"/>
      <c r="K4" s="3375"/>
      <c r="O4" s="2483" t="str">
        <f>"Version: "&amp;INDEX(E67:E80,MATCH(MAX(F67:F80),F67:F80,0))</f>
        <v>Version: 2.05</v>
      </c>
      <c r="P4" s="2483"/>
      <c r="Q4" s="2491"/>
      <c r="R4" s="3379" t="s">
        <v>2744</v>
      </c>
      <c r="S4" s="3379"/>
      <c r="T4" s="3379"/>
      <c r="U4" s="2490"/>
      <c r="Z4" s="1356"/>
    </row>
    <row r="5" spans="3:26" ht="16.2" customHeight="1" thickBot="1" x14ac:dyDescent="0.3">
      <c r="C5" s="3376"/>
      <c r="D5" s="3376"/>
      <c r="E5" s="3376"/>
      <c r="F5" s="3376"/>
      <c r="G5" s="3376"/>
      <c r="H5" s="3376"/>
      <c r="I5" s="3376"/>
      <c r="J5" s="3376"/>
      <c r="K5" s="3376"/>
      <c r="L5" s="964"/>
      <c r="M5" s="965"/>
      <c r="N5" s="965"/>
      <c r="O5" s="2484" t="str">
        <f>"Issued: "&amp;TEXT(MAX(F67:F80),"DD-MMM-YYYY")</f>
        <v>Issued: 25-Nov-2019</v>
      </c>
      <c r="P5" s="2486"/>
      <c r="Q5" s="2492"/>
      <c r="R5" s="3379" t="s">
        <v>2763</v>
      </c>
      <c r="S5" s="3379"/>
      <c r="T5" s="3379"/>
      <c r="U5" s="2490"/>
    </row>
    <row r="6" spans="3:26" ht="16.2" customHeight="1" x14ac:dyDescent="0.25">
      <c r="Q6" s="2489"/>
      <c r="R6" s="3371" t="s">
        <v>2765</v>
      </c>
      <c r="S6" s="3371"/>
      <c r="T6" s="3371"/>
      <c r="U6" s="2493"/>
    </row>
    <row r="7" spans="3:26" ht="16.2" customHeight="1" x14ac:dyDescent="0.25">
      <c r="C7" s="3372">
        <v>1</v>
      </c>
      <c r="D7" s="3373" t="s">
        <v>2743</v>
      </c>
      <c r="E7" s="3373"/>
      <c r="F7" s="3373"/>
      <c r="G7" s="3373"/>
      <c r="H7" s="3373"/>
      <c r="I7" s="3373"/>
      <c r="J7" s="3373"/>
      <c r="Q7" s="2489"/>
      <c r="R7" s="3371" t="s">
        <v>2747</v>
      </c>
      <c r="S7" s="3371"/>
      <c r="T7" s="3371"/>
      <c r="U7" s="2490"/>
    </row>
    <row r="8" spans="3:26" ht="7.95" customHeight="1" thickBot="1" x14ac:dyDescent="0.3">
      <c r="C8" s="3372"/>
      <c r="D8" s="3373"/>
      <c r="E8" s="3373"/>
      <c r="F8" s="3373"/>
      <c r="G8" s="3373"/>
      <c r="H8" s="3373"/>
      <c r="I8" s="3373"/>
      <c r="J8" s="3373"/>
      <c r="Q8" s="2494"/>
      <c r="R8" s="2495"/>
      <c r="S8" s="2496"/>
      <c r="T8" s="2496"/>
      <c r="U8" s="2497"/>
    </row>
    <row r="9" spans="3:26" ht="15.75" customHeight="1" x14ac:dyDescent="0.25">
      <c r="C9" s="1289"/>
      <c r="D9" s="2410" t="s">
        <v>2762</v>
      </c>
      <c r="F9" s="2450"/>
      <c r="H9" s="39"/>
      <c r="Q9" s="746" t="s">
        <v>2786</v>
      </c>
    </row>
    <row r="10" spans="3:26" ht="15.75" customHeight="1" x14ac:dyDescent="0.25">
      <c r="C10" s="1289"/>
      <c r="D10" s="2439" t="s">
        <v>2785</v>
      </c>
      <c r="F10" s="2450"/>
      <c r="H10" s="39"/>
      <c r="M10" s="2451"/>
    </row>
    <row r="11" spans="3:26" ht="15.75" customHeight="1" x14ac:dyDescent="0.25">
      <c r="C11" s="1289"/>
      <c r="G11" s="39"/>
      <c r="H11" s="39"/>
    </row>
    <row r="12" spans="3:26" ht="23.25" customHeight="1" x14ac:dyDescent="0.3">
      <c r="C12" s="2453">
        <v>2</v>
      </c>
      <c r="D12" s="2453" t="s">
        <v>2764</v>
      </c>
      <c r="E12" s="1655"/>
      <c r="F12" s="1655"/>
      <c r="G12" s="1655"/>
      <c r="I12" s="1655"/>
      <c r="L12" s="1655"/>
      <c r="M12" s="1655"/>
      <c r="N12" s="1655"/>
      <c r="R12" s="1655"/>
      <c r="S12" s="1655"/>
    </row>
    <row r="13" spans="3:26" ht="19.95" customHeight="1" x14ac:dyDescent="0.3">
      <c r="C13" s="2454"/>
      <c r="D13" s="2482" t="s">
        <v>2745</v>
      </c>
      <c r="E13" s="1655"/>
      <c r="G13" s="2482" t="s">
        <v>2746</v>
      </c>
      <c r="I13" s="1655"/>
      <c r="L13" s="2482" t="s">
        <v>265</v>
      </c>
      <c r="M13" s="1655"/>
      <c r="N13" s="1655"/>
      <c r="P13" s="2482" t="s">
        <v>2747</v>
      </c>
      <c r="Q13" s="2482"/>
      <c r="R13" s="1655"/>
      <c r="S13" s="1655"/>
      <c r="T13" s="1655"/>
      <c r="Y13" s="1356"/>
    </row>
    <row r="14" spans="3:26" ht="15.75" customHeight="1" x14ac:dyDescent="0.3">
      <c r="D14" s="2441" t="s">
        <v>2782</v>
      </c>
      <c r="G14" s="2441" t="s">
        <v>2772</v>
      </c>
      <c r="L14" s="2441" t="s">
        <v>2748</v>
      </c>
      <c r="P14" s="2441" t="s">
        <v>2749</v>
      </c>
      <c r="Q14" s="2441"/>
      <c r="R14" s="2440"/>
      <c r="S14" s="2440"/>
      <c r="T14" s="2440"/>
      <c r="U14" s="2440"/>
      <c r="Y14" s="1356"/>
    </row>
    <row r="15" spans="3:26" ht="15.75" customHeight="1" x14ac:dyDescent="0.3">
      <c r="D15" s="2441" t="s">
        <v>2788</v>
      </c>
      <c r="G15" s="2441" t="s">
        <v>2780</v>
      </c>
      <c r="P15" s="2441" t="s">
        <v>2750</v>
      </c>
      <c r="Q15" s="2441"/>
      <c r="R15" s="2440"/>
      <c r="S15" s="2440"/>
      <c r="T15" s="2440"/>
      <c r="U15" s="2440"/>
      <c r="Y15" s="1356"/>
    </row>
    <row r="16" spans="3:26" ht="15.75" customHeight="1" x14ac:dyDescent="0.3">
      <c r="D16" s="2441" t="s">
        <v>2866</v>
      </c>
      <c r="G16" s="2441" t="s">
        <v>2751</v>
      </c>
      <c r="P16" s="2441" t="s">
        <v>2752</v>
      </c>
      <c r="Q16" s="2441"/>
      <c r="R16" s="2440"/>
      <c r="S16" s="2440"/>
      <c r="T16" s="2440"/>
      <c r="U16" s="2440"/>
      <c r="Y16" s="1356"/>
    </row>
    <row r="17" spans="2:25" ht="15.75" customHeight="1" x14ac:dyDescent="0.3">
      <c r="G17" s="2441" t="s">
        <v>2773</v>
      </c>
      <c r="P17" s="2441" t="s">
        <v>2753</v>
      </c>
      <c r="Q17" s="2441"/>
      <c r="R17" s="2440"/>
      <c r="S17" s="2440"/>
      <c r="T17" s="2440"/>
      <c r="U17" s="2440"/>
      <c r="Y17" s="1356"/>
    </row>
    <row r="18" spans="2:25" ht="15.75" customHeight="1" x14ac:dyDescent="0.3">
      <c r="G18" s="2441" t="s">
        <v>2754</v>
      </c>
      <c r="P18" s="2441" t="s">
        <v>2755</v>
      </c>
      <c r="Q18" s="2441"/>
      <c r="R18" s="2440"/>
      <c r="S18" s="2440"/>
      <c r="T18" s="2440"/>
      <c r="U18" s="2440"/>
      <c r="Y18" s="1356"/>
    </row>
    <row r="19" spans="2:25" ht="15.75" customHeight="1" x14ac:dyDescent="0.3">
      <c r="G19" s="2441" t="s">
        <v>2774</v>
      </c>
      <c r="P19" s="2441" t="s">
        <v>2756</v>
      </c>
      <c r="Q19" s="2441"/>
      <c r="R19" s="2440"/>
      <c r="S19" s="2440"/>
      <c r="T19" s="2440"/>
      <c r="U19" s="2440"/>
      <c r="Y19" s="1356"/>
    </row>
    <row r="20" spans="2:25" ht="15.75" customHeight="1" x14ac:dyDescent="0.3">
      <c r="G20" s="2441" t="s">
        <v>2775</v>
      </c>
      <c r="R20" s="2440"/>
      <c r="S20" s="2440"/>
      <c r="T20" s="2440"/>
      <c r="U20" s="2440"/>
      <c r="Y20" s="1356"/>
    </row>
    <row r="21" spans="2:25" ht="15.75" customHeight="1" x14ac:dyDescent="0.3">
      <c r="G21" s="2441" t="s">
        <v>2757</v>
      </c>
      <c r="R21" s="2440"/>
      <c r="S21" s="2440"/>
      <c r="T21" s="2440"/>
      <c r="U21" s="2440"/>
      <c r="Y21" s="1356"/>
    </row>
    <row r="22" spans="2:25" ht="15.75" customHeight="1" x14ac:dyDescent="0.3">
      <c r="G22" s="2441" t="s">
        <v>2758</v>
      </c>
      <c r="R22" s="2440"/>
      <c r="S22" s="2440"/>
      <c r="T22" s="2440"/>
      <c r="U22" s="2440"/>
      <c r="Y22" s="1356"/>
    </row>
    <row r="23" spans="2:25" ht="13.95" customHeight="1" x14ac:dyDescent="0.3">
      <c r="D23" s="2441"/>
      <c r="E23" s="2441"/>
      <c r="G23" s="39"/>
      <c r="H23" s="39"/>
      <c r="R23" s="2440"/>
      <c r="S23" s="2440"/>
      <c r="T23" s="2440"/>
      <c r="U23" s="2440"/>
      <c r="Y23" s="1356"/>
    </row>
    <row r="24" spans="2:25" ht="23.25" customHeight="1" x14ac:dyDescent="0.25">
      <c r="C24" s="361">
        <v>3</v>
      </c>
      <c r="D24" s="361" t="s">
        <v>2759</v>
      </c>
      <c r="E24" s="39"/>
      <c r="F24" s="39"/>
      <c r="G24" s="39"/>
      <c r="H24" s="39"/>
    </row>
    <row r="25" spans="2:25" ht="15.75" customHeight="1" x14ac:dyDescent="0.3">
      <c r="C25" s="1289"/>
      <c r="D25" s="2441" t="s">
        <v>2760</v>
      </c>
      <c r="G25" s="39"/>
      <c r="H25" s="39"/>
      <c r="Y25" s="1356"/>
    </row>
    <row r="26" spans="2:25" ht="11.4" customHeight="1" x14ac:dyDescent="0.3">
      <c r="C26" s="1289"/>
      <c r="D26" s="2441"/>
      <c r="G26" s="39"/>
      <c r="H26" s="39"/>
      <c r="Y26" s="1356"/>
    </row>
    <row r="27" spans="2:25" ht="23.25" customHeight="1" x14ac:dyDescent="0.25">
      <c r="C27" s="361">
        <v>4</v>
      </c>
      <c r="D27" s="361" t="s">
        <v>2787</v>
      </c>
      <c r="E27" s="39"/>
      <c r="F27" s="39"/>
      <c r="G27" s="39"/>
      <c r="H27" s="39"/>
    </row>
    <row r="28" spans="2:25" ht="27" customHeight="1" x14ac:dyDescent="0.25">
      <c r="B28" s="1292"/>
      <c r="C28" s="2443"/>
      <c r="D28" s="2443"/>
      <c r="E28" s="2442"/>
      <c r="F28" s="2442"/>
      <c r="G28" s="2442"/>
      <c r="H28" s="2442"/>
      <c r="I28" s="1292"/>
      <c r="J28" s="1292"/>
      <c r="K28" s="1292"/>
      <c r="L28" s="1292"/>
      <c r="M28" s="1292"/>
      <c r="N28" s="1292"/>
      <c r="O28" s="1292"/>
      <c r="P28" s="1292"/>
      <c r="Q28" s="1292"/>
      <c r="R28" s="1292"/>
      <c r="S28" s="1292"/>
      <c r="T28" s="1292"/>
      <c r="U28" s="1292"/>
      <c r="V28" s="1292"/>
    </row>
    <row r="29" spans="2:25" ht="18" customHeight="1" x14ac:dyDescent="0.25">
      <c r="B29" s="1292"/>
      <c r="C29" s="2443"/>
      <c r="D29" s="2443"/>
      <c r="E29" s="2442"/>
      <c r="F29" s="2442"/>
      <c r="G29" s="2442"/>
      <c r="H29" s="2442"/>
      <c r="I29" s="1292"/>
      <c r="J29" s="1292"/>
      <c r="K29" s="1292"/>
      <c r="L29" s="1292"/>
      <c r="M29" s="1292"/>
      <c r="N29" s="1292"/>
      <c r="O29" s="1292"/>
      <c r="P29" s="1292"/>
      <c r="Q29" s="1292"/>
      <c r="R29" s="1292"/>
      <c r="S29" s="1292"/>
      <c r="T29" s="1292"/>
      <c r="U29" s="1292"/>
      <c r="V29" s="1292"/>
    </row>
    <row r="30" spans="2:25" ht="18" customHeight="1" x14ac:dyDescent="0.25">
      <c r="B30" s="1292"/>
      <c r="C30" s="2443"/>
      <c r="D30" s="2443"/>
      <c r="E30" s="2442"/>
      <c r="F30" s="2442"/>
      <c r="G30" s="2442"/>
      <c r="H30" s="2442"/>
      <c r="I30" s="1292"/>
      <c r="J30" s="1292"/>
      <c r="K30" s="1292"/>
      <c r="L30" s="1292"/>
      <c r="M30" s="1292"/>
      <c r="N30" s="1292"/>
      <c r="O30" s="1292"/>
      <c r="P30" s="1292"/>
      <c r="Q30" s="1292"/>
      <c r="R30" s="1292"/>
      <c r="S30" s="1292"/>
      <c r="T30" s="1292"/>
      <c r="U30" s="1292"/>
      <c r="V30" s="1292"/>
    </row>
    <row r="31" spans="2:25" ht="18" customHeight="1" x14ac:dyDescent="0.25">
      <c r="B31" s="1292"/>
      <c r="C31" s="2443"/>
      <c r="D31" s="2443"/>
      <c r="E31" s="2442"/>
      <c r="F31" s="2442"/>
      <c r="G31" s="2442"/>
      <c r="H31" s="2442"/>
      <c r="I31" s="1292"/>
      <c r="J31" s="1292"/>
      <c r="K31" s="1292"/>
      <c r="L31" s="1292"/>
      <c r="M31" s="1292"/>
      <c r="N31" s="1292"/>
      <c r="O31" s="1292"/>
      <c r="P31" s="1292"/>
      <c r="Q31" s="1292"/>
      <c r="R31" s="1292"/>
      <c r="S31" s="1292"/>
      <c r="T31" s="1292"/>
      <c r="U31" s="1292"/>
      <c r="V31" s="1292"/>
    </row>
    <row r="32" spans="2:25" ht="18" customHeight="1" x14ac:dyDescent="0.25">
      <c r="B32" s="1292"/>
      <c r="C32" s="2443"/>
      <c r="D32" s="2443"/>
      <c r="E32" s="2442"/>
      <c r="F32" s="2442"/>
      <c r="G32" s="2442"/>
      <c r="H32" s="2442"/>
      <c r="I32" s="1292"/>
      <c r="J32" s="1292"/>
      <c r="K32" s="1292"/>
      <c r="L32" s="1292"/>
      <c r="M32" s="1292"/>
      <c r="N32" s="1292"/>
      <c r="O32" s="1292"/>
      <c r="P32" s="1292"/>
      <c r="Q32" s="1292"/>
      <c r="R32" s="1292"/>
      <c r="S32" s="1292"/>
      <c r="T32" s="1292"/>
      <c r="U32" s="1292"/>
      <c r="V32" s="1292"/>
    </row>
    <row r="33" spans="2:27" ht="18" customHeight="1" x14ac:dyDescent="0.25">
      <c r="B33" s="1292"/>
      <c r="C33" s="2443"/>
      <c r="D33" s="2443"/>
      <c r="E33" s="2442"/>
      <c r="F33" s="2442"/>
      <c r="G33" s="2442"/>
      <c r="H33" s="2442"/>
      <c r="I33" s="1292"/>
      <c r="J33" s="1292"/>
      <c r="K33" s="1292"/>
      <c r="L33" s="1292"/>
      <c r="M33" s="1292"/>
      <c r="N33" s="1292"/>
      <c r="O33" s="1292"/>
      <c r="P33" s="1292"/>
      <c r="Q33" s="1292"/>
      <c r="R33" s="1292"/>
      <c r="S33" s="1292"/>
      <c r="T33" s="1292"/>
      <c r="U33" s="1292"/>
      <c r="V33" s="1292"/>
      <c r="AA33" s="746" t="s">
        <v>1570</v>
      </c>
    </row>
    <row r="34" spans="2:27" ht="18" customHeight="1" x14ac:dyDescent="0.25">
      <c r="B34" s="1292"/>
      <c r="C34" s="2443"/>
      <c r="D34" s="2443"/>
      <c r="E34" s="2442"/>
      <c r="F34" s="2442"/>
      <c r="G34" s="2442"/>
      <c r="H34" s="2442"/>
      <c r="I34" s="1292"/>
      <c r="J34" s="1292"/>
      <c r="K34" s="1292"/>
      <c r="L34" s="1292"/>
      <c r="M34" s="1292"/>
      <c r="N34" s="1292"/>
      <c r="O34" s="1292"/>
      <c r="P34" s="1292"/>
      <c r="Q34" s="1292"/>
      <c r="R34" s="1292"/>
      <c r="S34" s="1292"/>
      <c r="T34" s="1292"/>
      <c r="U34" s="1292"/>
      <c r="V34" s="1292"/>
    </row>
    <row r="35" spans="2:27" ht="18" customHeight="1" x14ac:dyDescent="0.25">
      <c r="B35" s="1292"/>
      <c r="C35" s="2443"/>
      <c r="D35" s="2443"/>
      <c r="E35" s="2442"/>
      <c r="F35" s="2442"/>
      <c r="G35" s="2442"/>
      <c r="H35" s="2442"/>
      <c r="I35" s="1292"/>
      <c r="J35" s="1292"/>
      <c r="K35" s="1292"/>
      <c r="L35" s="1292"/>
      <c r="M35" s="1292"/>
      <c r="N35" s="1292"/>
      <c r="O35" s="1292"/>
      <c r="P35" s="1292"/>
      <c r="Q35" s="1292"/>
      <c r="R35" s="1292"/>
      <c r="S35" s="1292"/>
      <c r="T35" s="1292"/>
      <c r="U35" s="1292"/>
      <c r="V35" s="1292"/>
    </row>
    <row r="36" spans="2:27" ht="18" customHeight="1" x14ac:dyDescent="0.25">
      <c r="B36" s="1292"/>
      <c r="C36" s="2443"/>
      <c r="D36" s="2443"/>
      <c r="E36" s="2442"/>
      <c r="F36" s="2442"/>
      <c r="G36" s="2442"/>
      <c r="H36" s="2442"/>
      <c r="I36" s="1292"/>
      <c r="J36" s="1292"/>
      <c r="K36" s="1292"/>
      <c r="L36" s="1292"/>
      <c r="M36" s="1292"/>
      <c r="N36" s="1292"/>
      <c r="O36" s="1292"/>
      <c r="P36" s="1292"/>
      <c r="Q36" s="1292"/>
      <c r="R36" s="1292"/>
      <c r="S36" s="1292"/>
      <c r="T36" s="1292"/>
      <c r="U36" s="1292"/>
      <c r="V36" s="1292"/>
    </row>
    <row r="37" spans="2:27" ht="18" customHeight="1" x14ac:dyDescent="0.25">
      <c r="B37" s="1292"/>
      <c r="C37" s="2443"/>
      <c r="D37" s="2443"/>
      <c r="E37" s="2442"/>
      <c r="F37" s="2442"/>
      <c r="G37" s="2442"/>
      <c r="H37" s="2442"/>
      <c r="I37" s="1292"/>
      <c r="J37" s="1292"/>
      <c r="K37" s="1292"/>
      <c r="L37" s="1292"/>
      <c r="M37" s="1292"/>
      <c r="N37" s="1292"/>
      <c r="O37" s="1292"/>
      <c r="P37" s="1292"/>
      <c r="Q37" s="1292"/>
      <c r="R37" s="1292"/>
      <c r="S37" s="1292"/>
      <c r="T37" s="1292"/>
      <c r="U37" s="1292"/>
      <c r="V37" s="1292"/>
    </row>
    <row r="38" spans="2:27" ht="18" customHeight="1" x14ac:dyDescent="0.25">
      <c r="B38" s="1292"/>
      <c r="C38" s="2443"/>
      <c r="D38" s="2443"/>
      <c r="E38" s="2442"/>
      <c r="F38" s="2442"/>
      <c r="G38" s="2442"/>
      <c r="H38" s="2442"/>
      <c r="I38" s="1292"/>
      <c r="J38" s="1292"/>
      <c r="K38" s="1292"/>
      <c r="L38" s="1292"/>
      <c r="M38" s="1292"/>
      <c r="N38" s="1292"/>
      <c r="O38" s="1292"/>
      <c r="P38" s="1292"/>
      <c r="Q38" s="1292"/>
      <c r="R38" s="1292"/>
      <c r="S38" s="1292"/>
      <c r="T38" s="1292"/>
      <c r="U38" s="1292"/>
      <c r="V38" s="1292"/>
    </row>
    <row r="39" spans="2:27" ht="15.75" customHeight="1" x14ac:dyDescent="0.25">
      <c r="B39" s="1292"/>
      <c r="C39" s="2444"/>
      <c r="D39" s="2443"/>
      <c r="E39" s="2442"/>
      <c r="F39" s="2442"/>
      <c r="G39" s="2442"/>
      <c r="H39" s="2442"/>
      <c r="I39" s="1292"/>
      <c r="J39" s="1292"/>
      <c r="K39" s="1292"/>
      <c r="L39" s="1292"/>
      <c r="M39" s="1292"/>
      <c r="N39" s="1292"/>
      <c r="O39" s="1292"/>
      <c r="P39" s="1292"/>
      <c r="Q39" s="1292"/>
      <c r="R39" s="1292"/>
      <c r="S39" s="1292"/>
      <c r="T39" s="1292"/>
      <c r="U39" s="1292"/>
      <c r="V39" s="1292"/>
    </row>
    <row r="40" spans="2:27" ht="35.4" customHeight="1" x14ac:dyDescent="0.25">
      <c r="B40" s="1292"/>
      <c r="C40" s="2445"/>
      <c r="D40" s="2446"/>
      <c r="E40" s="2445"/>
      <c r="F40" s="2445"/>
      <c r="G40" s="2445"/>
      <c r="H40" s="2442"/>
      <c r="I40" s="1292"/>
      <c r="J40" s="1292"/>
      <c r="K40" s="1292"/>
      <c r="L40" s="1292"/>
      <c r="M40" s="1292"/>
      <c r="N40" s="1292"/>
      <c r="O40" s="1292"/>
      <c r="P40" s="1292"/>
      <c r="Q40" s="1292"/>
      <c r="R40" s="1292"/>
      <c r="S40" s="1292"/>
      <c r="T40" s="1292"/>
      <c r="U40" s="2447"/>
      <c r="V40" s="1292"/>
    </row>
    <row r="41" spans="2:27" ht="23.25" customHeight="1" x14ac:dyDescent="0.25">
      <c r="C41" s="361">
        <v>5</v>
      </c>
      <c r="D41" s="361" t="s">
        <v>2771</v>
      </c>
      <c r="E41" s="39"/>
      <c r="F41" s="39"/>
      <c r="G41" s="39"/>
      <c r="H41" s="39"/>
    </row>
    <row r="42" spans="2:27" ht="15.75" customHeight="1" x14ac:dyDescent="0.25">
      <c r="B42" s="1290"/>
      <c r="C42" s="2448"/>
      <c r="D42" s="2452" t="s">
        <v>1462</v>
      </c>
      <c r="E42" s="2410" t="s">
        <v>2480</v>
      </c>
      <c r="F42" s="2410"/>
      <c r="G42" s="2410"/>
      <c r="H42" s="2410"/>
      <c r="I42" s="2410"/>
      <c r="J42" s="2410"/>
      <c r="K42" s="2410"/>
      <c r="L42" s="2410"/>
      <c r="M42" s="2410"/>
      <c r="N42" s="2410"/>
      <c r="O42" s="2410"/>
      <c r="P42" s="2410"/>
      <c r="Q42" s="2485"/>
      <c r="R42" s="2410"/>
      <c r="S42" s="2410"/>
      <c r="T42" s="2410"/>
      <c r="U42" s="2410"/>
      <c r="V42" s="39"/>
    </row>
    <row r="43" spans="2:27" ht="29.25" customHeight="1" x14ac:dyDescent="0.25">
      <c r="B43" s="1290"/>
      <c r="C43" s="2449"/>
      <c r="D43" s="2452" t="s">
        <v>1462</v>
      </c>
      <c r="E43" s="3364" t="s">
        <v>920</v>
      </c>
      <c r="F43" s="3364"/>
      <c r="G43" s="3364"/>
      <c r="H43" s="3364"/>
      <c r="I43" s="3364"/>
      <c r="J43" s="3364"/>
      <c r="K43" s="3364"/>
      <c r="L43" s="3364"/>
      <c r="M43" s="3364"/>
      <c r="N43" s="3364"/>
      <c r="O43" s="3364"/>
      <c r="P43" s="3364"/>
      <c r="Q43" s="3364"/>
      <c r="R43" s="3364"/>
      <c r="S43" s="3364"/>
      <c r="T43" s="3364"/>
      <c r="U43" s="3364"/>
      <c r="V43" s="3364"/>
    </row>
    <row r="44" spans="2:27" ht="28.5" customHeight="1" x14ac:dyDescent="0.25">
      <c r="B44" s="1290"/>
      <c r="C44" s="2449"/>
      <c r="D44" s="2452" t="s">
        <v>1462</v>
      </c>
      <c r="E44" s="3364" t="s">
        <v>1672</v>
      </c>
      <c r="F44" s="3364"/>
      <c r="G44" s="3364"/>
      <c r="H44" s="3364"/>
      <c r="I44" s="3364"/>
      <c r="J44" s="3364"/>
      <c r="K44" s="3364"/>
      <c r="L44" s="3364"/>
      <c r="M44" s="3364"/>
      <c r="N44" s="3364"/>
      <c r="O44" s="3364"/>
      <c r="P44" s="3364"/>
      <c r="Q44" s="3364"/>
      <c r="R44" s="3364"/>
      <c r="S44" s="3364"/>
      <c r="T44" s="3364"/>
      <c r="U44" s="3364"/>
      <c r="V44" s="3364"/>
    </row>
    <row r="45" spans="2:27" ht="15.75" customHeight="1" x14ac:dyDescent="0.25">
      <c r="B45" s="1290"/>
      <c r="C45" s="2449"/>
      <c r="D45" s="2452" t="s">
        <v>1462</v>
      </c>
      <c r="E45" s="2410" t="s">
        <v>1673</v>
      </c>
      <c r="F45" s="2410"/>
      <c r="G45" s="2410"/>
      <c r="H45" s="2410"/>
      <c r="I45" s="2410"/>
      <c r="J45" s="2410"/>
      <c r="K45" s="2410"/>
      <c r="L45" s="2410"/>
      <c r="M45" s="2410"/>
      <c r="N45" s="2410"/>
      <c r="O45" s="2410"/>
      <c r="P45" s="2410"/>
      <c r="Q45" s="2485"/>
      <c r="R45" s="2410"/>
      <c r="S45" s="2410"/>
      <c r="T45" s="2410"/>
      <c r="U45" s="2410"/>
      <c r="V45" s="39"/>
    </row>
    <row r="46" spans="2:27" ht="15.75" customHeight="1" x14ac:dyDescent="0.25">
      <c r="B46" s="1290"/>
      <c r="C46" s="2449"/>
      <c r="D46" s="2452" t="s">
        <v>1462</v>
      </c>
      <c r="E46" s="2410" t="s">
        <v>2476</v>
      </c>
      <c r="F46" s="2410"/>
      <c r="G46" s="2410"/>
      <c r="H46" s="2410"/>
      <c r="I46" s="2410"/>
      <c r="J46" s="2410"/>
      <c r="K46" s="2410"/>
      <c r="L46" s="2410"/>
      <c r="M46" s="2410"/>
      <c r="N46" s="2410"/>
      <c r="O46" s="2410"/>
      <c r="P46" s="2410"/>
      <c r="Q46" s="2485"/>
      <c r="R46" s="2410"/>
      <c r="S46" s="2410"/>
      <c r="T46" s="2410"/>
      <c r="U46" s="2410"/>
      <c r="V46" s="39"/>
    </row>
    <row r="47" spans="2:27" ht="15.75" customHeight="1" x14ac:dyDescent="0.25">
      <c r="B47" s="1290"/>
      <c r="C47" s="2449"/>
      <c r="D47" s="2452" t="s">
        <v>1462</v>
      </c>
      <c r="E47" s="2410" t="s">
        <v>1808</v>
      </c>
      <c r="F47" s="2410"/>
      <c r="G47" s="2410"/>
      <c r="H47" s="2410"/>
      <c r="I47" s="2410"/>
      <c r="J47" s="2410"/>
      <c r="K47" s="2410"/>
      <c r="L47" s="2410"/>
      <c r="M47" s="2410"/>
      <c r="N47" s="2410"/>
      <c r="O47" s="2410"/>
      <c r="P47" s="2410"/>
      <c r="Q47" s="2485"/>
      <c r="R47" s="2410"/>
      <c r="S47" s="2410"/>
      <c r="T47" s="2410"/>
      <c r="U47" s="2410"/>
      <c r="V47" s="39"/>
    </row>
    <row r="48" spans="2:27" ht="15.75" customHeight="1" x14ac:dyDescent="0.25">
      <c r="B48" s="1290"/>
      <c r="C48" s="2449"/>
      <c r="D48" s="2452" t="s">
        <v>1462</v>
      </c>
      <c r="E48" s="2410" t="s">
        <v>1809</v>
      </c>
      <c r="F48" s="2410"/>
      <c r="G48" s="2410"/>
      <c r="H48" s="2410"/>
      <c r="I48" s="2410"/>
      <c r="J48" s="2410"/>
      <c r="K48" s="2410"/>
      <c r="L48" s="2410"/>
      <c r="M48" s="2410"/>
      <c r="N48" s="2410"/>
      <c r="O48" s="2410"/>
      <c r="P48" s="2410"/>
      <c r="Q48" s="2485"/>
      <c r="R48" s="2410"/>
      <c r="S48" s="2410"/>
      <c r="T48" s="2410"/>
      <c r="U48" s="2410"/>
      <c r="V48" s="39"/>
    </row>
    <row r="49" spans="2:22" ht="15.75" customHeight="1" x14ac:dyDescent="0.25">
      <c r="B49" s="1290"/>
      <c r="C49" s="2449"/>
      <c r="D49" s="2452" t="s">
        <v>1462</v>
      </c>
      <c r="E49" s="2410" t="s">
        <v>2481</v>
      </c>
      <c r="F49" s="2410"/>
      <c r="G49" s="2410"/>
      <c r="H49" s="2410"/>
      <c r="I49" s="2410"/>
      <c r="J49" s="2410"/>
      <c r="K49" s="2410"/>
      <c r="L49" s="2410"/>
      <c r="M49" s="2410"/>
      <c r="N49" s="2410"/>
      <c r="O49" s="2410"/>
      <c r="P49" s="2410"/>
      <c r="Q49" s="2485"/>
      <c r="R49" s="2410"/>
      <c r="S49" s="2410"/>
      <c r="T49" s="2410"/>
      <c r="U49" s="2410"/>
      <c r="V49" s="39"/>
    </row>
    <row r="50" spans="2:22" ht="15.75" customHeight="1" x14ac:dyDescent="0.25">
      <c r="B50" s="1290"/>
      <c r="C50" s="2449"/>
      <c r="D50" s="2452" t="s">
        <v>1462</v>
      </c>
      <c r="E50" s="2410" t="s">
        <v>2479</v>
      </c>
      <c r="F50" s="2410"/>
      <c r="G50" s="2410"/>
      <c r="H50" s="2410"/>
      <c r="I50" s="2410"/>
      <c r="J50" s="2410"/>
      <c r="K50" s="2410"/>
      <c r="L50" s="2410"/>
      <c r="M50" s="2410"/>
      <c r="N50" s="2410"/>
      <c r="O50" s="2410"/>
      <c r="P50" s="2410"/>
      <c r="Q50" s="2485"/>
      <c r="R50" s="2410"/>
      <c r="S50" s="2410"/>
      <c r="T50" s="2410"/>
      <c r="U50" s="2410"/>
      <c r="V50" s="39"/>
    </row>
    <row r="51" spans="2:22" ht="15.75" customHeight="1" x14ac:dyDescent="0.25">
      <c r="B51" s="1290"/>
      <c r="C51" s="2449"/>
      <c r="D51" s="2452" t="s">
        <v>1462</v>
      </c>
      <c r="E51" s="2410" t="s">
        <v>2482</v>
      </c>
      <c r="F51" s="2410"/>
      <c r="G51" s="2410"/>
      <c r="H51" s="2410"/>
      <c r="I51" s="2410"/>
      <c r="J51" s="2410"/>
      <c r="K51" s="2410"/>
      <c r="L51" s="2410"/>
      <c r="M51" s="2410"/>
      <c r="N51" s="2410"/>
      <c r="O51" s="2410"/>
      <c r="P51" s="2410"/>
      <c r="Q51" s="2485"/>
      <c r="R51" s="2410"/>
      <c r="S51" s="2410"/>
      <c r="T51" s="2410"/>
      <c r="U51" s="2410"/>
      <c r="V51" s="39"/>
    </row>
    <row r="52" spans="2:22" ht="15.75" customHeight="1" x14ac:dyDescent="0.25">
      <c r="B52" s="1290"/>
      <c r="C52" s="2449"/>
      <c r="D52" s="2452" t="s">
        <v>1462</v>
      </c>
      <c r="E52" s="2410" t="s">
        <v>612</v>
      </c>
      <c r="F52" s="2410"/>
      <c r="G52" s="2410"/>
      <c r="H52" s="2410"/>
      <c r="I52" s="2410"/>
      <c r="J52" s="2410"/>
      <c r="K52" s="2410"/>
      <c r="L52" s="2410"/>
      <c r="M52" s="2410"/>
      <c r="N52" s="2410"/>
      <c r="O52" s="2410"/>
      <c r="P52" s="2410"/>
      <c r="Q52" s="2485"/>
      <c r="R52" s="2410"/>
      <c r="S52" s="2410"/>
      <c r="T52" s="2410"/>
      <c r="U52" s="2410"/>
      <c r="V52" s="39"/>
    </row>
    <row r="53" spans="2:22" ht="15.75" customHeight="1" x14ac:dyDescent="0.25">
      <c r="B53" s="1290"/>
      <c r="C53" s="2449"/>
      <c r="D53" s="2452" t="s">
        <v>1462</v>
      </c>
      <c r="E53" s="2410" t="s">
        <v>1521</v>
      </c>
      <c r="F53" s="2410"/>
      <c r="G53" s="2410"/>
      <c r="H53" s="2410"/>
      <c r="I53" s="2410"/>
      <c r="J53" s="2410"/>
      <c r="K53" s="2410"/>
      <c r="L53" s="2410"/>
      <c r="M53" s="2410"/>
      <c r="N53" s="2410"/>
      <c r="O53" s="2410"/>
      <c r="P53" s="2410"/>
      <c r="Q53" s="2485"/>
      <c r="R53" s="2410"/>
      <c r="S53" s="2410"/>
      <c r="T53" s="2410"/>
      <c r="U53" s="2410"/>
      <c r="V53" s="39"/>
    </row>
    <row r="54" spans="2:22" ht="15.75" customHeight="1" x14ac:dyDescent="0.25">
      <c r="B54" s="1290"/>
      <c r="C54" s="2449"/>
      <c r="D54" s="2452" t="s">
        <v>1462</v>
      </c>
      <c r="E54" s="2410" t="s">
        <v>2478</v>
      </c>
      <c r="F54" s="2410"/>
      <c r="G54" s="2410"/>
      <c r="H54" s="2410"/>
      <c r="I54" s="2410"/>
      <c r="J54" s="2410"/>
      <c r="K54" s="2410"/>
      <c r="L54" s="2410"/>
      <c r="M54" s="2410"/>
      <c r="N54" s="2410"/>
      <c r="O54" s="2410"/>
      <c r="P54" s="2410"/>
      <c r="Q54" s="2485"/>
      <c r="R54" s="2410"/>
      <c r="S54" s="2410"/>
      <c r="T54" s="2410"/>
      <c r="U54" s="2410"/>
      <c r="V54" s="39"/>
    </row>
    <row r="55" spans="2:22" ht="15.75" customHeight="1" x14ac:dyDescent="0.25">
      <c r="B55" s="1290"/>
      <c r="C55" s="2449"/>
      <c r="D55" s="2452" t="s">
        <v>1462</v>
      </c>
      <c r="E55" s="2410" t="s">
        <v>2477</v>
      </c>
      <c r="F55" s="2410"/>
      <c r="G55" s="2410"/>
      <c r="H55" s="2410"/>
      <c r="I55" s="2410"/>
      <c r="J55" s="2410"/>
      <c r="K55" s="2410"/>
      <c r="L55" s="2410"/>
      <c r="M55" s="2410"/>
      <c r="N55" s="2410"/>
      <c r="O55" s="2410"/>
      <c r="P55" s="2410"/>
      <c r="Q55" s="2485"/>
      <c r="R55" s="2410"/>
      <c r="S55" s="2410"/>
      <c r="T55" s="2410"/>
      <c r="U55" s="2410"/>
      <c r="V55" s="39"/>
    </row>
    <row r="56" spans="2:22" ht="15.75" customHeight="1" x14ac:dyDescent="0.25">
      <c r="B56" s="1290"/>
      <c r="C56" s="2449"/>
      <c r="D56" s="2452" t="s">
        <v>1462</v>
      </c>
      <c r="E56" s="2410" t="s">
        <v>2483</v>
      </c>
      <c r="F56" s="2410"/>
      <c r="G56" s="2410"/>
      <c r="H56" s="2410"/>
      <c r="I56" s="2410"/>
      <c r="J56" s="2410"/>
      <c r="K56" s="2410"/>
      <c r="L56" s="2410"/>
      <c r="M56" s="2410"/>
      <c r="N56" s="2410"/>
      <c r="O56" s="2410"/>
      <c r="P56" s="2410"/>
      <c r="Q56" s="2485"/>
      <c r="R56" s="2410"/>
      <c r="S56" s="2410"/>
      <c r="T56" s="2410"/>
      <c r="U56" s="2410"/>
      <c r="V56" s="39"/>
    </row>
    <row r="57" spans="2:22" ht="15.75" customHeight="1" x14ac:dyDescent="0.25">
      <c r="B57" s="1290"/>
      <c r="C57" s="2449"/>
      <c r="D57" s="2452" t="s">
        <v>1462</v>
      </c>
      <c r="E57" s="2410" t="s">
        <v>4222</v>
      </c>
      <c r="F57" s="2410"/>
      <c r="G57" s="2410"/>
      <c r="H57" s="2410"/>
      <c r="I57" s="2410"/>
      <c r="J57" s="2410"/>
      <c r="K57" s="2410"/>
      <c r="L57" s="2410"/>
      <c r="M57" s="2410"/>
      <c r="N57" s="2410"/>
      <c r="O57" s="2410"/>
      <c r="P57" s="2410"/>
      <c r="Q57" s="2485"/>
      <c r="R57" s="2410"/>
      <c r="S57" s="2410"/>
      <c r="T57" s="2410"/>
      <c r="U57" s="2410"/>
      <c r="V57" s="39"/>
    </row>
    <row r="58" spans="2:22" ht="15.75" customHeight="1" x14ac:dyDescent="0.25">
      <c r="B58" s="1290"/>
      <c r="C58" s="2449"/>
      <c r="D58" s="2452" t="s">
        <v>1462</v>
      </c>
      <c r="E58" s="2410" t="s">
        <v>3946</v>
      </c>
      <c r="F58" s="2410"/>
      <c r="G58" s="2410"/>
      <c r="H58" s="2410"/>
      <c r="I58" s="2410"/>
      <c r="J58" s="2410"/>
      <c r="K58" s="2410"/>
      <c r="L58" s="2410"/>
      <c r="M58" s="2410"/>
      <c r="N58" s="2410"/>
      <c r="O58" s="2410"/>
      <c r="P58" s="2410"/>
      <c r="Q58" s="2485"/>
      <c r="R58" s="2410"/>
      <c r="S58" s="2410"/>
      <c r="T58" s="2410"/>
      <c r="U58" s="2410"/>
      <c r="V58" s="39"/>
    </row>
    <row r="59" spans="2:22" ht="15.75" customHeight="1" x14ac:dyDescent="0.25">
      <c r="B59" s="1290"/>
      <c r="C59" s="2449"/>
      <c r="D59" s="2452" t="s">
        <v>1462</v>
      </c>
      <c r="E59" s="2410" t="s">
        <v>4223</v>
      </c>
      <c r="F59" s="2410"/>
      <c r="G59" s="2410"/>
      <c r="H59" s="2410"/>
      <c r="I59" s="2410"/>
      <c r="J59" s="2410"/>
      <c r="K59" s="2410"/>
      <c r="L59" s="2410"/>
      <c r="M59" s="2410"/>
      <c r="N59" s="2410"/>
      <c r="O59" s="2410"/>
      <c r="P59" s="2410"/>
      <c r="Q59" s="2485"/>
      <c r="R59" s="2410"/>
      <c r="S59" s="2410"/>
      <c r="T59" s="2410"/>
      <c r="U59" s="2410"/>
      <c r="V59" s="39"/>
    </row>
    <row r="60" spans="2:22" ht="15.75" customHeight="1" x14ac:dyDescent="0.25">
      <c r="B60" s="1290"/>
      <c r="C60" s="2449"/>
      <c r="D60" s="2452" t="s">
        <v>1462</v>
      </c>
      <c r="E60" s="2410" t="s">
        <v>1791</v>
      </c>
      <c r="F60" s="2410"/>
      <c r="G60" s="2410"/>
      <c r="H60" s="2410"/>
      <c r="I60" s="2410"/>
      <c r="J60" s="2410"/>
      <c r="K60" s="2410"/>
      <c r="L60" s="2410"/>
      <c r="M60" s="2410"/>
      <c r="N60" s="2410"/>
      <c r="O60" s="2410"/>
      <c r="P60" s="2410"/>
      <c r="Q60" s="2485"/>
      <c r="R60" s="2410"/>
      <c r="S60" s="2410"/>
      <c r="T60" s="2410"/>
      <c r="U60" s="2410"/>
      <c r="V60" s="39"/>
    </row>
    <row r="61" spans="2:22" ht="15.75" customHeight="1" x14ac:dyDescent="0.25">
      <c r="B61" s="1290"/>
      <c r="C61" s="2449"/>
      <c r="D61" s="2452" t="s">
        <v>1462</v>
      </c>
      <c r="E61" s="2410" t="s">
        <v>2761</v>
      </c>
      <c r="F61" s="2410"/>
      <c r="G61" s="2410"/>
      <c r="H61" s="2410"/>
      <c r="I61" s="2410"/>
      <c r="J61" s="2410"/>
      <c r="K61" s="2410"/>
      <c r="L61" s="2410"/>
      <c r="M61" s="2410"/>
      <c r="N61" s="2410"/>
      <c r="O61" s="2410"/>
      <c r="P61" s="2410"/>
      <c r="Q61" s="2485"/>
      <c r="R61" s="2410"/>
      <c r="S61" s="2410"/>
      <c r="T61" s="2410"/>
      <c r="U61" s="2410"/>
      <c r="V61" s="39"/>
    </row>
    <row r="62" spans="2:22" ht="23.4" customHeight="1" x14ac:dyDescent="0.25"/>
    <row r="63" spans="2:22" ht="23.25" customHeight="1" x14ac:dyDescent="0.25">
      <c r="C63" s="361">
        <v>6</v>
      </c>
      <c r="D63" s="361" t="s">
        <v>3492</v>
      </c>
      <c r="E63" s="39"/>
      <c r="F63" s="39"/>
      <c r="G63" s="39"/>
      <c r="H63" s="39"/>
    </row>
    <row r="65" spans="5:15" ht="29.25" customHeight="1" x14ac:dyDescent="0.25">
      <c r="E65" s="730"/>
      <c r="F65" s="731"/>
      <c r="G65" s="731"/>
      <c r="H65" s="731"/>
      <c r="I65" s="732" t="s">
        <v>3492</v>
      </c>
      <c r="J65" s="731"/>
      <c r="K65" s="731"/>
      <c r="L65" s="731"/>
      <c r="M65" s="731"/>
      <c r="N65" s="731"/>
      <c r="O65" s="733"/>
    </row>
    <row r="66" spans="5:15" ht="18" customHeight="1" x14ac:dyDescent="0.25">
      <c r="E66" s="725" t="s">
        <v>492</v>
      </c>
      <c r="F66" s="726" t="s">
        <v>304</v>
      </c>
      <c r="G66" s="826" t="s">
        <v>491</v>
      </c>
      <c r="H66" s="727"/>
      <c r="I66" s="728"/>
      <c r="J66" s="728"/>
      <c r="K66" s="728"/>
      <c r="L66" s="728"/>
      <c r="M66" s="728"/>
      <c r="N66" s="826" t="s">
        <v>661</v>
      </c>
      <c r="O66" s="729"/>
    </row>
    <row r="67" spans="5:15" ht="18" customHeight="1" x14ac:dyDescent="0.25">
      <c r="E67" s="1809" t="s">
        <v>1515</v>
      </c>
      <c r="F67" s="824">
        <v>42880</v>
      </c>
      <c r="G67" s="3368" t="s">
        <v>1522</v>
      </c>
      <c r="H67" s="3366"/>
      <c r="I67" s="3366"/>
      <c r="J67" s="3366"/>
      <c r="K67" s="3366"/>
      <c r="L67" s="3366"/>
      <c r="M67" s="3367"/>
      <c r="N67" s="3368" t="s">
        <v>123</v>
      </c>
      <c r="O67" s="3367"/>
    </row>
    <row r="68" spans="5:15" ht="69.75" customHeight="1" x14ac:dyDescent="0.25">
      <c r="E68" s="1809" t="s">
        <v>1514</v>
      </c>
      <c r="F68" s="824">
        <v>42895</v>
      </c>
      <c r="G68" s="3365" t="s">
        <v>1637</v>
      </c>
      <c r="H68" s="3369"/>
      <c r="I68" s="3369"/>
      <c r="J68" s="3369"/>
      <c r="K68" s="3369"/>
      <c r="L68" s="3369"/>
      <c r="M68" s="3370"/>
      <c r="N68" s="3368" t="s">
        <v>123</v>
      </c>
      <c r="O68" s="3367"/>
    </row>
    <row r="69" spans="5:15" ht="18" customHeight="1" x14ac:dyDescent="0.25">
      <c r="E69" s="1809" t="s">
        <v>1549</v>
      </c>
      <c r="F69" s="824">
        <v>42899</v>
      </c>
      <c r="G69" s="3368" t="s">
        <v>1550</v>
      </c>
      <c r="H69" s="3366"/>
      <c r="I69" s="3366"/>
      <c r="J69" s="3366"/>
      <c r="K69" s="3366"/>
      <c r="L69" s="3366"/>
      <c r="M69" s="3367"/>
      <c r="N69" s="3368" t="s">
        <v>123</v>
      </c>
      <c r="O69" s="3367"/>
    </row>
    <row r="70" spans="5:15" ht="18" customHeight="1" x14ac:dyDescent="0.25">
      <c r="E70" s="1808" t="s">
        <v>1555</v>
      </c>
      <c r="F70" s="824">
        <v>42902</v>
      </c>
      <c r="G70" s="3368" t="s">
        <v>1556</v>
      </c>
      <c r="H70" s="3366"/>
      <c r="I70" s="3366"/>
      <c r="J70" s="3366"/>
      <c r="K70" s="3366"/>
      <c r="L70" s="3366"/>
      <c r="M70" s="3367"/>
      <c r="N70" s="3368" t="s">
        <v>123</v>
      </c>
      <c r="O70" s="3367"/>
    </row>
    <row r="71" spans="5:15" ht="128.4" customHeight="1" x14ac:dyDescent="0.25">
      <c r="E71" s="1808" t="s">
        <v>1560</v>
      </c>
      <c r="F71" s="824">
        <v>42951</v>
      </c>
      <c r="G71" s="3365" t="s">
        <v>1724</v>
      </c>
      <c r="H71" s="3369"/>
      <c r="I71" s="3369"/>
      <c r="J71" s="3369"/>
      <c r="K71" s="3369"/>
      <c r="L71" s="3369"/>
      <c r="M71" s="3370"/>
      <c r="N71" s="3368" t="s">
        <v>123</v>
      </c>
      <c r="O71" s="3367"/>
    </row>
    <row r="72" spans="5:15" ht="88.35" customHeight="1" x14ac:dyDescent="0.25">
      <c r="E72" s="1808" t="s">
        <v>1725</v>
      </c>
      <c r="F72" s="824">
        <v>43048</v>
      </c>
      <c r="G72" s="3365" t="s">
        <v>1860</v>
      </c>
      <c r="H72" s="3366"/>
      <c r="I72" s="3366"/>
      <c r="J72" s="3366"/>
      <c r="K72" s="3366"/>
      <c r="L72" s="3366"/>
      <c r="M72" s="3367"/>
      <c r="N72" s="3368" t="s">
        <v>123</v>
      </c>
      <c r="O72" s="3367"/>
    </row>
    <row r="73" spans="5:15" ht="18" customHeight="1" x14ac:dyDescent="0.25">
      <c r="E73" s="1809" t="s">
        <v>2123</v>
      </c>
      <c r="F73" s="824">
        <v>43060</v>
      </c>
      <c r="G73" s="3365" t="s">
        <v>2105</v>
      </c>
      <c r="H73" s="3369"/>
      <c r="I73" s="3369"/>
      <c r="J73" s="3369"/>
      <c r="K73" s="3369"/>
      <c r="L73" s="3369"/>
      <c r="M73" s="3370"/>
      <c r="N73" s="3368" t="s">
        <v>123</v>
      </c>
      <c r="O73" s="3367"/>
    </row>
    <row r="74" spans="5:15" ht="162.6" customHeight="1" x14ac:dyDescent="0.25">
      <c r="E74" s="1808" t="s">
        <v>2783</v>
      </c>
      <c r="F74" s="824">
        <v>43208</v>
      </c>
      <c r="G74" s="3365" t="s">
        <v>2597</v>
      </c>
      <c r="H74" s="3366"/>
      <c r="I74" s="3366"/>
      <c r="J74" s="3366"/>
      <c r="K74" s="3366"/>
      <c r="L74" s="3366"/>
      <c r="M74" s="3367"/>
      <c r="N74" s="3368" t="s">
        <v>123</v>
      </c>
      <c r="O74" s="3367"/>
    </row>
    <row r="75" spans="5:15" ht="83.4" customHeight="1" x14ac:dyDescent="0.25">
      <c r="E75" s="1808" t="s">
        <v>2796</v>
      </c>
      <c r="F75" s="824">
        <v>43238</v>
      </c>
      <c r="G75" s="3365" t="s">
        <v>2802</v>
      </c>
      <c r="H75" s="3369"/>
      <c r="I75" s="3369"/>
      <c r="J75" s="3369"/>
      <c r="K75" s="3369"/>
      <c r="L75" s="3369"/>
      <c r="M75" s="3370"/>
      <c r="N75" s="3368" t="s">
        <v>123</v>
      </c>
      <c r="O75" s="3367"/>
    </row>
    <row r="76" spans="5:15" ht="55.95" customHeight="1" x14ac:dyDescent="0.25">
      <c r="E76" s="1808" t="s">
        <v>2830</v>
      </c>
      <c r="F76" s="824">
        <v>43264</v>
      </c>
      <c r="G76" s="3365" t="s">
        <v>3343</v>
      </c>
      <c r="H76" s="3369"/>
      <c r="I76" s="3369"/>
      <c r="J76" s="3369"/>
      <c r="K76" s="3369"/>
      <c r="L76" s="3369"/>
      <c r="M76" s="3370"/>
      <c r="N76" s="3368" t="s">
        <v>123</v>
      </c>
      <c r="O76" s="3367"/>
    </row>
    <row r="77" spans="5:15" ht="25.35" customHeight="1" x14ac:dyDescent="0.25">
      <c r="E77" s="1808" t="s">
        <v>2867</v>
      </c>
      <c r="F77" s="824">
        <v>43269</v>
      </c>
      <c r="G77" s="3365" t="s">
        <v>2868</v>
      </c>
      <c r="H77" s="3369"/>
      <c r="I77" s="3369"/>
      <c r="J77" s="3369"/>
      <c r="K77" s="3369"/>
      <c r="L77" s="3369"/>
      <c r="M77" s="3370"/>
      <c r="N77" s="3368" t="s">
        <v>123</v>
      </c>
      <c r="O77" s="3367"/>
    </row>
    <row r="78" spans="5:15" ht="112.95" customHeight="1" x14ac:dyDescent="0.25">
      <c r="E78" s="1808" t="s">
        <v>2878</v>
      </c>
      <c r="F78" s="824">
        <v>43357</v>
      </c>
      <c r="G78" s="3365" t="s">
        <v>3436</v>
      </c>
      <c r="H78" s="3369"/>
      <c r="I78" s="3369"/>
      <c r="J78" s="3369"/>
      <c r="K78" s="3369"/>
      <c r="L78" s="3369"/>
      <c r="M78" s="3370"/>
      <c r="N78" s="3368" t="s">
        <v>123</v>
      </c>
      <c r="O78" s="3367"/>
    </row>
    <row r="79" spans="5:15" ht="121.2" customHeight="1" x14ac:dyDescent="0.25">
      <c r="E79" s="1808" t="s">
        <v>4119</v>
      </c>
      <c r="F79" s="824">
        <v>43794</v>
      </c>
      <c r="G79" s="3365" t="s">
        <v>4306</v>
      </c>
      <c r="H79" s="3366"/>
      <c r="I79" s="3366"/>
      <c r="J79" s="3366"/>
      <c r="K79" s="3366"/>
      <c r="L79" s="3366"/>
      <c r="M79" s="3367"/>
      <c r="N79" s="3368" t="s">
        <v>123</v>
      </c>
      <c r="O79" s="3367"/>
    </row>
    <row r="80" spans="5:15" x14ac:dyDescent="0.25">
      <c r="E80" s="1291"/>
      <c r="F80" s="728"/>
      <c r="G80" s="728"/>
      <c r="H80" s="728"/>
      <c r="I80" s="728"/>
      <c r="J80" s="728"/>
      <c r="K80" s="728"/>
      <c r="L80" s="728"/>
      <c r="M80" s="728"/>
      <c r="N80" s="728"/>
      <c r="O80" s="729"/>
    </row>
  </sheetData>
  <mergeCells count="37">
    <mergeCell ref="H2:M3"/>
    <mergeCell ref="C4:K5"/>
    <mergeCell ref="R2:T3"/>
    <mergeCell ref="R6:T6"/>
    <mergeCell ref="R5:T5"/>
    <mergeCell ref="R4:T4"/>
    <mergeCell ref="R7:T7"/>
    <mergeCell ref="C7:C8"/>
    <mergeCell ref="D7:J8"/>
    <mergeCell ref="G72:M72"/>
    <mergeCell ref="N72:O72"/>
    <mergeCell ref="G69:M69"/>
    <mergeCell ref="G70:M70"/>
    <mergeCell ref="N70:O70"/>
    <mergeCell ref="G71:M71"/>
    <mergeCell ref="N71:O71"/>
    <mergeCell ref="N69:O69"/>
    <mergeCell ref="G67:M67"/>
    <mergeCell ref="N67:O67"/>
    <mergeCell ref="G68:M68"/>
    <mergeCell ref="N68:O68"/>
    <mergeCell ref="E43:V43"/>
    <mergeCell ref="E44:V44"/>
    <mergeCell ref="G79:M79"/>
    <mergeCell ref="N79:O79"/>
    <mergeCell ref="G73:M73"/>
    <mergeCell ref="N73:O73"/>
    <mergeCell ref="G74:M74"/>
    <mergeCell ref="N74:O74"/>
    <mergeCell ref="G75:M75"/>
    <mergeCell ref="N75:O75"/>
    <mergeCell ref="G78:M78"/>
    <mergeCell ref="N78:O78"/>
    <mergeCell ref="G76:M76"/>
    <mergeCell ref="N76:O76"/>
    <mergeCell ref="G77:M77"/>
    <mergeCell ref="N77:O77"/>
  </mergeCells>
  <hyperlinks>
    <hyperlink ref="R4" r:id="rId1" display="Pricing Tool Homepage (JacobsConnect)" xr:uid="{00000000-0004-0000-0500-000000000000}"/>
    <hyperlink ref="R5" r:id="rId2" xr:uid="{00000000-0004-0000-0500-000001000000}"/>
    <hyperlink ref="R6" r:id="rId3" display="Tutorials" xr:uid="{00000000-0004-0000-0500-000002000000}"/>
    <hyperlink ref="R7" r:id="rId4" display="Example Files" xr:uid="{00000000-0004-0000-0500-000003000000}"/>
  </hyperlinks>
  <pageMargins left="0.7" right="0.7" top="0.75" bottom="0.75" header="0.3" footer="0.3"/>
  <pageSetup paperSize="9" orientation="portrait" verticalDpi="0" r:id="rId5"/>
  <drawing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BZ156"/>
  <sheetViews>
    <sheetView showGridLines="0" topLeftCell="F27" zoomScale="90" zoomScaleNormal="90" workbookViewId="0">
      <selection activeCell="I46" sqref="I46"/>
    </sheetView>
  </sheetViews>
  <sheetFormatPr defaultColWidth="9.109375" defaultRowHeight="14.4" x14ac:dyDescent="0.3"/>
  <cols>
    <col min="1" max="2" width="3.109375" style="749" hidden="1" customWidth="1"/>
    <col min="3" max="3" width="5" style="749" hidden="1" customWidth="1"/>
    <col min="4" max="5" width="3.109375" style="749" hidden="1" customWidth="1"/>
    <col min="6" max="6" width="1.33203125" style="16" customWidth="1"/>
    <col min="7" max="7" width="4.33203125" style="16" customWidth="1"/>
    <col min="8" max="8" width="13.88671875" style="16" customWidth="1"/>
    <col min="9" max="9" width="12.33203125" style="16" customWidth="1"/>
    <col min="10" max="10" width="3.33203125" style="272" customWidth="1"/>
    <col min="11" max="11" width="3.44140625" style="16" customWidth="1"/>
    <col min="12" max="12" width="6.44140625" style="272" customWidth="1"/>
    <col min="13" max="13" width="19.44140625" style="16" customWidth="1"/>
    <col min="14" max="14" width="3.44140625" style="272" customWidth="1"/>
    <col min="15" max="15" width="5.6640625" style="16" customWidth="1"/>
    <col min="16" max="17" width="3.5546875" style="272" customWidth="1"/>
    <col min="18" max="18" width="7.6640625" style="272" customWidth="1"/>
    <col min="19" max="19" width="11.44140625" style="16" customWidth="1"/>
    <col min="20" max="20" width="9.5546875" style="16" customWidth="1"/>
    <col min="21" max="21" width="3.5546875" style="272" customWidth="1"/>
    <col min="22" max="22" width="2.44140625" style="16" customWidth="1"/>
    <col min="23" max="23" width="9.109375" style="16" customWidth="1"/>
    <col min="24" max="24" width="8.6640625" style="272" customWidth="1"/>
    <col min="25" max="25" width="3.44140625" style="749" customWidth="1"/>
    <col min="26" max="26" width="4.33203125" style="16" customWidth="1"/>
    <col min="27" max="27" width="4.44140625" style="16" customWidth="1"/>
    <col min="28" max="28" width="10.88671875" style="16" customWidth="1"/>
    <col min="29" max="29" width="3.5546875" style="749" customWidth="1"/>
    <col min="30" max="32" width="3.6640625" style="16" customWidth="1"/>
    <col min="33" max="33" width="1.109375" style="749" customWidth="1"/>
    <col min="34" max="34" width="47.6640625" style="16" customWidth="1"/>
    <col min="35" max="35" width="0.88671875" style="749" customWidth="1"/>
    <col min="36" max="36" width="12.6640625" style="749" customWidth="1"/>
    <col min="37" max="37" width="12.33203125" style="749" customWidth="1"/>
    <col min="38" max="38" width="0.88671875" style="749" customWidth="1"/>
    <col min="39" max="39" width="11.44140625" style="749" customWidth="1"/>
    <col min="40" max="41" width="6.6640625" style="749" customWidth="1"/>
    <col min="42" max="42" width="2.6640625" style="749" customWidth="1"/>
    <col min="43" max="43" width="10" style="749" customWidth="1"/>
    <col min="44" max="44" width="10" style="16" customWidth="1"/>
    <col min="45" max="45" width="0.88671875" customWidth="1"/>
    <col min="46" max="47" width="11.6640625" style="749" customWidth="1"/>
    <col min="48" max="48" width="12.88671875" style="749" customWidth="1"/>
    <col min="49" max="49" width="0.88671875" style="749" customWidth="1"/>
    <col min="50" max="54" width="7.6640625" style="749" customWidth="1"/>
    <col min="55" max="55" width="0.88671875" style="749" customWidth="1"/>
    <col min="56" max="56" width="12.44140625" style="749" customWidth="1"/>
    <col min="57" max="58" width="11.6640625" style="749" customWidth="1"/>
    <col min="59" max="59" width="3.5546875" customWidth="1"/>
    <col min="60" max="60" width="9.109375" customWidth="1"/>
    <col min="61" max="61" width="8.88671875"/>
    <col min="62" max="62" width="9.44140625" style="16" bestFit="1" customWidth="1"/>
    <col min="63" max="71" width="9.109375" style="16"/>
    <col min="72" max="78" width="9.109375" style="749"/>
    <col min="79" max="16384" width="9.109375" style="16"/>
  </cols>
  <sheetData>
    <row r="1" spans="1:78" s="749" customFormat="1" ht="13.8" hidden="1" x14ac:dyDescent="0.25">
      <c r="A1" s="198"/>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c r="BF1" s="198"/>
      <c r="BG1" s="198"/>
      <c r="BH1" s="198"/>
      <c r="BI1" s="198"/>
      <c r="BJ1" s="198"/>
      <c r="BK1" s="198"/>
      <c r="BL1" s="198"/>
      <c r="BM1" s="198"/>
      <c r="BN1" s="198"/>
      <c r="BO1" s="198"/>
      <c r="BP1" s="198"/>
      <c r="BQ1" s="198"/>
      <c r="BR1" s="198"/>
      <c r="BS1" s="198"/>
      <c r="BT1" s="198"/>
      <c r="BU1" s="198"/>
      <c r="BV1" s="198"/>
      <c r="BW1" s="198"/>
      <c r="BX1" s="198"/>
      <c r="BY1" s="198"/>
      <c r="BZ1" s="198"/>
    </row>
    <row r="2" spans="1:78" s="749" customFormat="1" hidden="1" thickBot="1" x14ac:dyDescent="0.3">
      <c r="A2" s="198"/>
      <c r="B2" s="198"/>
      <c r="C2" s="198"/>
      <c r="D2" s="198"/>
      <c r="E2" s="198"/>
      <c r="F2" s="198"/>
      <c r="G2" s="237">
        <f>MATCH(I33,H2:H4,0)</f>
        <v>3</v>
      </c>
      <c r="H2" s="678" t="s">
        <v>2544</v>
      </c>
      <c r="I2" s="1843"/>
      <c r="J2" s="431"/>
      <c r="K2" s="198"/>
      <c r="L2" s="537">
        <f>IF(ISBLANK(R33),1,IF(R33=M3,2,3))</f>
        <v>3</v>
      </c>
      <c r="M2" s="411" t="s">
        <v>3319</v>
      </c>
      <c r="N2" s="198"/>
      <c r="O2" s="198"/>
      <c r="P2" s="198"/>
      <c r="Q2" s="198"/>
      <c r="R2" s="198"/>
      <c r="S2" s="198"/>
      <c r="T2" s="198"/>
      <c r="U2" s="198"/>
      <c r="V2" s="198"/>
      <c r="W2" s="198"/>
      <c r="X2" s="198"/>
      <c r="Y2" s="198"/>
      <c r="Z2" s="198"/>
      <c r="AA2" s="198"/>
      <c r="AB2" s="198"/>
      <c r="AC2" s="198"/>
      <c r="AD2" s="198"/>
      <c r="AE2" s="198"/>
      <c r="AF2" s="198"/>
      <c r="AG2" s="198"/>
      <c r="AH2" s="198"/>
      <c r="AI2" s="198"/>
      <c r="AJ2" s="198"/>
      <c r="AK2" s="198"/>
      <c r="AL2" s="198"/>
      <c r="AM2" s="198"/>
      <c r="AN2" s="198"/>
      <c r="AO2" s="198"/>
      <c r="AP2" s="198"/>
      <c r="AQ2" s="198"/>
      <c r="AR2" s="198"/>
      <c r="AS2" s="198"/>
      <c r="AT2" s="198"/>
      <c r="AU2" s="198"/>
      <c r="AV2" s="198"/>
      <c r="AW2" s="198"/>
      <c r="AX2" s="198"/>
      <c r="AY2" s="198"/>
      <c r="AZ2" s="198"/>
      <c r="BA2" s="198"/>
      <c r="BB2" s="198"/>
      <c r="BC2" s="198"/>
      <c r="BD2" s="198"/>
      <c r="BE2" s="198"/>
      <c r="BF2" s="198"/>
      <c r="BG2" s="198"/>
      <c r="BH2" s="198"/>
      <c r="BI2" s="198"/>
      <c r="BJ2" s="198"/>
      <c r="BK2" s="198"/>
      <c r="BL2" s="198"/>
      <c r="BM2" s="198"/>
      <c r="BN2" s="198"/>
      <c r="BO2" s="198"/>
      <c r="BP2" s="198"/>
      <c r="BQ2" s="198"/>
      <c r="BR2" s="198"/>
      <c r="BS2" s="198"/>
      <c r="BT2" s="198"/>
      <c r="BU2" s="198"/>
      <c r="BV2" s="198"/>
      <c r="BW2" s="198"/>
      <c r="BX2" s="198"/>
      <c r="BY2" s="198"/>
      <c r="BZ2" s="198"/>
    </row>
    <row r="3" spans="1:78" s="749" customFormat="1" hidden="1" thickBot="1" x14ac:dyDescent="0.3">
      <c r="A3" s="198"/>
      <c r="B3" s="198"/>
      <c r="C3" s="198"/>
      <c r="D3" s="198"/>
      <c r="E3" s="198"/>
      <c r="F3" s="198"/>
      <c r="G3" s="238" t="str">
        <f>CHOOSE(G2,"E","F","B")</f>
        <v>B</v>
      </c>
      <c r="H3" s="679" t="s">
        <v>2543</v>
      </c>
      <c r="I3" s="1843"/>
      <c r="J3" s="431"/>
      <c r="K3" s="198"/>
      <c r="L3" s="198"/>
      <c r="M3" s="678" t="s">
        <v>2766</v>
      </c>
      <c r="N3" s="238">
        <f>IF($L$2=3,0,1)</f>
        <v>0</v>
      </c>
      <c r="O3" s="198"/>
      <c r="P3" s="198"/>
      <c r="Q3" s="198"/>
      <c r="R3" s="198"/>
      <c r="S3" s="216" t="s">
        <v>3340</v>
      </c>
      <c r="T3" s="2702" t="str">
        <f>IFERROR(INDEX('PU List'!$K$33:$K$397,MATCH(S55,'PU List'!$D$33:$D$397,0)),0)</f>
        <v>BIE Highways</v>
      </c>
      <c r="U3" s="2696"/>
      <c r="V3" s="2696"/>
      <c r="W3" s="2697"/>
      <c r="X3" s="198"/>
      <c r="Y3" s="198"/>
      <c r="Z3" s="198"/>
      <c r="AA3" s="198"/>
      <c r="AB3" s="198"/>
      <c r="AC3" s="198"/>
      <c r="AD3" s="198"/>
      <c r="AE3" s="198"/>
      <c r="AF3" s="198"/>
      <c r="AG3" s="198"/>
      <c r="AH3" s="198"/>
      <c r="AI3" s="198"/>
      <c r="AJ3" s="198"/>
      <c r="AK3" s="198"/>
      <c r="AL3" s="198"/>
      <c r="AM3" s="198"/>
      <c r="AN3" s="198"/>
      <c r="AO3" s="198"/>
      <c r="AP3" s="198"/>
      <c r="AQ3" s="198"/>
      <c r="AR3" s="198"/>
      <c r="AS3" s="198"/>
      <c r="AT3" s="198"/>
      <c r="AU3" s="198"/>
      <c r="AV3" s="198"/>
      <c r="AW3" s="198"/>
      <c r="AX3" s="198"/>
      <c r="AY3" s="198"/>
      <c r="AZ3" s="198"/>
      <c r="BA3" s="198"/>
      <c r="BB3" s="198"/>
      <c r="BC3" s="198"/>
      <c r="BD3" s="198"/>
      <c r="BE3" s="198"/>
      <c r="BF3" s="198"/>
      <c r="BG3" s="198"/>
      <c r="BH3" s="198"/>
      <c r="BI3" s="198"/>
      <c r="BJ3" s="198"/>
      <c r="BK3" s="198"/>
      <c r="BL3" s="198"/>
      <c r="BM3" s="198"/>
      <c r="BN3" s="198"/>
      <c r="BO3" s="198"/>
      <c r="BP3" s="198"/>
      <c r="BQ3" s="198"/>
      <c r="BR3" s="198"/>
      <c r="BS3" s="198"/>
      <c r="BT3" s="198"/>
      <c r="BU3" s="198"/>
      <c r="BV3" s="198"/>
      <c r="BW3" s="198"/>
      <c r="BX3" s="198"/>
      <c r="BY3" s="198"/>
      <c r="BZ3" s="198"/>
    </row>
    <row r="4" spans="1:78" s="749" customFormat="1" hidden="1" thickBot="1" x14ac:dyDescent="0.3">
      <c r="A4" s="198"/>
      <c r="B4" s="198"/>
      <c r="C4" s="198"/>
      <c r="D4" s="198"/>
      <c r="E4" s="198"/>
      <c r="F4" s="198"/>
      <c r="G4" s="199"/>
      <c r="H4" s="678" t="s">
        <v>2545</v>
      </c>
      <c r="I4" s="1843"/>
      <c r="J4" s="431"/>
      <c r="K4" s="198"/>
      <c r="L4" s="198"/>
      <c r="M4" s="678" t="s">
        <v>2767</v>
      </c>
      <c r="N4" s="238">
        <f>IF($L$2=2,0,1)</f>
        <v>1</v>
      </c>
      <c r="O4" s="198"/>
      <c r="P4" s="198"/>
      <c r="Q4" s="198"/>
      <c r="R4" s="198"/>
      <c r="S4" s="216" t="s">
        <v>3341</v>
      </c>
      <c r="T4" s="2702" t="str">
        <f>IFERROR(INDEX('IPCS Data'!AB8:AB110,MATCH(M58,'IPCS Data'!AA8:AA110,0)),X4)</f>
        <v>BIE Highways</v>
      </c>
      <c r="U4" s="2696"/>
      <c r="V4" s="2696"/>
      <c r="W4" s="2697"/>
      <c r="X4" s="2708" t="str">
        <f>'IPCS Data'!AB7</f>
        <v>[New]</v>
      </c>
      <c r="Y4" s="214" t="s">
        <v>3339</v>
      </c>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8"/>
      <c r="BH4" s="198"/>
      <c r="BI4" s="198"/>
      <c r="BJ4" s="198"/>
      <c r="BK4" s="198"/>
      <c r="BL4" s="198"/>
      <c r="BM4" s="198"/>
      <c r="BN4" s="198"/>
      <c r="BO4" s="198"/>
      <c r="BP4" s="198"/>
      <c r="BQ4" s="198"/>
      <c r="BR4" s="198"/>
      <c r="BS4" s="198"/>
      <c r="BT4" s="198"/>
      <c r="BU4" s="198"/>
      <c r="BV4" s="198"/>
      <c r="BW4" s="198"/>
      <c r="BX4" s="198"/>
      <c r="BY4" s="198"/>
      <c r="BZ4" s="198"/>
    </row>
    <row r="5" spans="1:78" s="749" customFormat="1" ht="13.8" hidden="1" x14ac:dyDescent="0.25">
      <c r="A5" s="198"/>
      <c r="B5" s="198"/>
      <c r="C5" s="198"/>
      <c r="D5" s="198"/>
      <c r="E5" s="198"/>
      <c r="F5" s="198"/>
      <c r="G5" s="198"/>
      <c r="H5" s="198"/>
      <c r="I5" s="198"/>
      <c r="J5" s="198"/>
      <c r="K5" s="198"/>
      <c r="L5" s="198"/>
      <c r="M5" s="198"/>
      <c r="N5" s="198"/>
      <c r="O5" s="198"/>
      <c r="P5" s="198"/>
      <c r="Q5" s="198"/>
      <c r="R5" s="198"/>
      <c r="S5" s="198"/>
      <c r="T5" s="198"/>
      <c r="U5" s="198"/>
      <c r="V5" s="198"/>
      <c r="W5" s="198"/>
      <c r="X5" s="198"/>
      <c r="Y5" s="198"/>
      <c r="Z5" s="198"/>
      <c r="AA5" s="198"/>
      <c r="AB5" s="198"/>
      <c r="AC5" s="198"/>
      <c r="AD5" s="198"/>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row>
    <row r="6" spans="1:78" ht="13.8" hidden="1" x14ac:dyDescent="0.25">
      <c r="A6" s="198"/>
      <c r="B6" s="198"/>
      <c r="C6" s="198"/>
      <c r="D6" s="198"/>
      <c r="E6" s="198"/>
      <c r="F6" s="198"/>
      <c r="G6" s="214" t="s">
        <v>494</v>
      </c>
      <c r="H6" s="198"/>
      <c r="I6" s="198"/>
      <c r="J6" s="198"/>
      <c r="K6" s="1870" t="s">
        <v>317</v>
      </c>
      <c r="L6" s="198"/>
      <c r="M6" s="198"/>
      <c r="N6" s="198"/>
      <c r="O6" s="198"/>
      <c r="P6" s="198"/>
      <c r="Q6" s="198"/>
      <c r="R6" s="198"/>
      <c r="S6" s="198"/>
      <c r="T6" s="198"/>
      <c r="U6" s="198"/>
      <c r="V6" s="198"/>
      <c r="W6" s="198"/>
      <c r="X6" s="198"/>
      <c r="Y6" s="198"/>
      <c r="Z6" s="198"/>
      <c r="AA6" s="198"/>
      <c r="AB6" s="198"/>
      <c r="AC6" s="198"/>
      <c r="AD6" s="198"/>
      <c r="AE6" s="198"/>
      <c r="AF6" s="198"/>
      <c r="AG6" s="198"/>
      <c r="AH6" s="198"/>
      <c r="AI6" s="198"/>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row>
    <row r="7" spans="1:78" hidden="1" thickBot="1" x14ac:dyDescent="0.3">
      <c r="A7" s="198"/>
      <c r="B7" s="198"/>
      <c r="C7" s="198"/>
      <c r="D7" s="198"/>
      <c r="E7" s="198"/>
      <c r="F7" s="216"/>
      <c r="G7" s="237">
        <f>MATCH($I$84,$H$7:$H$19,0)</f>
        <v>13</v>
      </c>
      <c r="H7" s="256" t="s">
        <v>286</v>
      </c>
      <c r="I7" s="256" t="s">
        <v>1707</v>
      </c>
      <c r="J7" s="256"/>
      <c r="K7" s="262">
        <v>11</v>
      </c>
      <c r="L7" s="198"/>
      <c r="M7" s="411" t="s">
        <v>2547</v>
      </c>
      <c r="N7" s="198"/>
      <c r="O7" s="445" t="s">
        <v>2369</v>
      </c>
      <c r="P7" s="198"/>
      <c r="Q7" s="198"/>
      <c r="R7" s="1789">
        <f>S7</f>
        <v>0.5</v>
      </c>
      <c r="S7" s="1789">
        <f>INDEX('Fringe Data'!$K$8:$K$64,MATCH($I$58,'Fringe Data'!$F$8:$F$64,0))</f>
        <v>0.5</v>
      </c>
      <c r="T7" s="199" t="s">
        <v>2081</v>
      </c>
      <c r="U7" s="198"/>
      <c r="V7" s="198"/>
      <c r="W7" s="536"/>
      <c r="X7" s="198"/>
      <c r="Y7" s="198"/>
      <c r="Z7" s="198"/>
      <c r="AA7" s="198"/>
      <c r="AB7" s="198"/>
      <c r="AC7" s="198"/>
      <c r="AD7" s="198"/>
      <c r="AE7" s="198"/>
      <c r="AF7" s="198"/>
      <c r="AG7" s="198"/>
      <c r="AH7" s="198"/>
      <c r="AI7" s="198"/>
      <c r="AJ7" s="198"/>
      <c r="AK7" s="198"/>
      <c r="AL7" s="198"/>
      <c r="AM7" s="198"/>
      <c r="AN7" s="198"/>
      <c r="AO7" s="198"/>
      <c r="AP7" s="198"/>
      <c r="AQ7" s="198"/>
      <c r="AR7" s="198"/>
      <c r="AS7" s="198"/>
      <c r="AT7" s="198"/>
      <c r="AU7" s="198"/>
      <c r="AV7" s="198"/>
      <c r="AW7" s="198"/>
      <c r="AX7" s="198"/>
      <c r="AY7" s="198"/>
      <c r="AZ7" s="198"/>
      <c r="BA7" s="198"/>
      <c r="BB7" s="198"/>
      <c r="BC7" s="198"/>
      <c r="BD7" s="198"/>
      <c r="BE7" s="198"/>
      <c r="BF7" s="198"/>
      <c r="BG7" s="198"/>
      <c r="BH7" s="198"/>
      <c r="BI7" s="198"/>
      <c r="BJ7" s="198"/>
      <c r="BK7" s="198"/>
      <c r="BL7" s="198"/>
      <c r="BM7" s="198"/>
      <c r="BN7" s="198"/>
      <c r="BO7" s="198"/>
      <c r="BP7" s="198"/>
      <c r="BQ7" s="198"/>
      <c r="BR7" s="198"/>
      <c r="BS7" s="198"/>
      <c r="BT7" s="198"/>
      <c r="BU7" s="198"/>
      <c r="BV7" s="198"/>
      <c r="BW7" s="198"/>
      <c r="BX7" s="198"/>
      <c r="BY7" s="198"/>
      <c r="BZ7" s="198"/>
    </row>
    <row r="8" spans="1:78" s="272" customFormat="1" hidden="1" thickBot="1" x14ac:dyDescent="0.3">
      <c r="A8" s="198"/>
      <c r="B8" s="198"/>
      <c r="C8" s="198"/>
      <c r="D8" s="198"/>
      <c r="E8" s="198"/>
      <c r="F8" s="216"/>
      <c r="G8" s="238">
        <f>INDEX(K7:K19,G7)</f>
        <v>10</v>
      </c>
      <c r="H8" s="737" t="s">
        <v>2324</v>
      </c>
      <c r="I8" s="256" t="s">
        <v>324</v>
      </c>
      <c r="J8" s="256"/>
      <c r="K8" s="262">
        <v>11</v>
      </c>
      <c r="L8" s="198"/>
      <c r="M8" s="411" t="s">
        <v>2577</v>
      </c>
      <c r="N8" s="198"/>
      <c r="O8" s="445" t="s">
        <v>2370</v>
      </c>
      <c r="P8" s="198"/>
      <c r="Q8" s="198"/>
      <c r="R8" s="1789">
        <f>IF(OR(S8="x",ISERROR(S8)),$S$7,S8)</f>
        <v>1.8499999999999999E-2</v>
      </c>
      <c r="S8" s="1789">
        <f>INDEX('Fringe Data'!$L$8:$L$64,MATCH($I$58,'Fringe Data'!$F$8:$F$64,0))</f>
        <v>1.8499999999999999E-2</v>
      </c>
      <c r="T8" s="199" t="s">
        <v>2082</v>
      </c>
      <c r="U8" s="198"/>
      <c r="V8" s="198"/>
      <c r="W8" s="537" t="s">
        <v>111</v>
      </c>
      <c r="X8" s="198"/>
      <c r="Y8" s="198"/>
      <c r="Z8" s="198"/>
      <c r="AA8" s="198"/>
      <c r="AB8" s="198"/>
      <c r="AC8" s="198"/>
      <c r="AD8" s="198"/>
      <c r="AE8" s="198"/>
      <c r="AF8" s="198"/>
      <c r="AG8" s="198"/>
      <c r="AH8" s="198"/>
      <c r="AI8" s="198"/>
      <c r="AJ8" s="198"/>
      <c r="AK8" s="198"/>
      <c r="AL8" s="198"/>
      <c r="AM8" s="198"/>
      <c r="AN8" s="198"/>
      <c r="AO8" s="198"/>
      <c r="AP8" s="198"/>
      <c r="AQ8" s="198"/>
      <c r="AR8" s="198"/>
      <c r="AS8" s="198"/>
      <c r="AT8" s="198"/>
      <c r="AU8" s="198"/>
      <c r="AV8" s="198"/>
      <c r="AW8" s="198"/>
      <c r="AX8" s="198"/>
      <c r="AY8" s="198"/>
      <c r="AZ8" s="198"/>
      <c r="BA8" s="198"/>
      <c r="BB8" s="198"/>
      <c r="BC8" s="198"/>
      <c r="BD8" s="198"/>
      <c r="BE8" s="198"/>
      <c r="BF8" s="198"/>
      <c r="BG8" s="198"/>
      <c r="BH8" s="198"/>
      <c r="BI8" s="198"/>
      <c r="BJ8" s="198"/>
      <c r="BK8" s="198"/>
      <c r="BL8" s="198"/>
      <c r="BM8" s="198"/>
      <c r="BN8" s="198"/>
      <c r="BO8" s="198"/>
      <c r="BP8" s="198"/>
      <c r="BQ8" s="198"/>
      <c r="BR8" s="198"/>
      <c r="BS8" s="198"/>
      <c r="BT8" s="198"/>
      <c r="BU8" s="198"/>
      <c r="BV8" s="198"/>
      <c r="BW8" s="198"/>
      <c r="BX8" s="198"/>
      <c r="BY8" s="198"/>
      <c r="BZ8" s="198"/>
    </row>
    <row r="9" spans="1:78" ht="13.8" hidden="1" x14ac:dyDescent="0.25">
      <c r="A9" s="198"/>
      <c r="B9" s="198"/>
      <c r="C9" s="198"/>
      <c r="D9" s="198"/>
      <c r="E9" s="198"/>
      <c r="F9" s="198"/>
      <c r="G9" s="216" t="s">
        <v>317</v>
      </c>
      <c r="H9" s="256" t="s">
        <v>313</v>
      </c>
      <c r="I9" s="256" t="s">
        <v>663</v>
      </c>
      <c r="J9" s="256"/>
      <c r="K9" s="262">
        <v>1</v>
      </c>
      <c r="L9" s="198"/>
      <c r="M9" s="411" t="s">
        <v>4228</v>
      </c>
      <c r="N9" s="198"/>
      <c r="O9" s="445" t="s">
        <v>2371</v>
      </c>
      <c r="P9" s="198"/>
      <c r="Q9" s="198"/>
      <c r="R9" s="1789">
        <f>IF(OR(S9="x",S9=0,ISERROR(S9)),$S$7,S9)</f>
        <v>0.43430000000000002</v>
      </c>
      <c r="S9" s="1789">
        <f>INDEX('Fringe Data'!$M$8:$M$64,MATCH($I$58,'Fringe Data'!$F$8:$F$64,0))</f>
        <v>0.43430000000000002</v>
      </c>
      <c r="T9" s="199" t="s">
        <v>2083</v>
      </c>
      <c r="U9" s="198"/>
      <c r="V9" s="198"/>
      <c r="W9" s="198"/>
      <c r="X9" s="198"/>
      <c r="Y9" s="198"/>
      <c r="Z9" s="198"/>
      <c r="AA9" s="198"/>
      <c r="AB9" s="198"/>
      <c r="AC9" s="198"/>
      <c r="AD9" s="198"/>
      <c r="AE9" s="198"/>
      <c r="AF9" s="198"/>
      <c r="AG9" s="198"/>
      <c r="AH9" s="198"/>
      <c r="AI9" s="198"/>
      <c r="AJ9" s="198"/>
      <c r="AK9" s="198"/>
      <c r="AL9" s="198"/>
      <c r="AM9" s="198"/>
      <c r="AN9" s="198"/>
      <c r="AO9" s="198"/>
      <c r="AP9" s="198"/>
      <c r="AQ9" s="198"/>
      <c r="AR9" s="198"/>
      <c r="AS9" s="198"/>
      <c r="AT9" s="198"/>
      <c r="AU9" s="198"/>
      <c r="AV9" s="198"/>
      <c r="AW9" s="198"/>
      <c r="AX9" s="198"/>
      <c r="AY9" s="198"/>
      <c r="AZ9" s="198"/>
      <c r="BA9" s="198"/>
      <c r="BB9" s="198"/>
      <c r="BC9" s="198"/>
      <c r="BD9" s="198"/>
      <c r="BE9" s="198"/>
      <c r="BF9" s="198"/>
      <c r="BG9" s="198"/>
      <c r="BH9" s="198"/>
      <c r="BI9" s="198"/>
      <c r="BJ9" s="198"/>
      <c r="BK9" s="198"/>
      <c r="BL9" s="198"/>
      <c r="BM9" s="198"/>
      <c r="BN9" s="198"/>
      <c r="BO9" s="198"/>
      <c r="BP9" s="198"/>
      <c r="BQ9" s="198"/>
      <c r="BR9" s="198"/>
      <c r="BS9" s="198"/>
      <c r="BT9" s="198"/>
      <c r="BU9" s="198"/>
      <c r="BV9" s="198"/>
      <c r="BW9" s="198"/>
      <c r="BX9" s="198"/>
      <c r="BY9" s="198"/>
      <c r="BZ9" s="198"/>
    </row>
    <row r="10" spans="1:78" s="272" customFormat="1" ht="13.8" hidden="1" x14ac:dyDescent="0.25">
      <c r="A10" s="198"/>
      <c r="B10" s="198"/>
      <c r="C10" s="198"/>
      <c r="D10" s="198"/>
      <c r="E10" s="198"/>
      <c r="F10" s="198"/>
      <c r="G10" s="198"/>
      <c r="H10" s="256" t="s">
        <v>1524</v>
      </c>
      <c r="I10" s="256" t="s">
        <v>3342</v>
      </c>
      <c r="J10" s="256"/>
      <c r="K10" s="262">
        <v>2</v>
      </c>
      <c r="L10" s="198"/>
      <c r="M10" s="198"/>
      <c r="N10" s="198"/>
      <c r="O10" s="445" t="s">
        <v>2372</v>
      </c>
      <c r="P10" s="198"/>
      <c r="Q10" s="198"/>
      <c r="R10" s="1789">
        <f>IF(OR(S10="x",S10=0,ISERROR(S10)),$S$7,S10)</f>
        <v>0.1565</v>
      </c>
      <c r="S10" s="1789">
        <f>INDEX('Fringe Data'!$N$8:$N$64,MATCH($I$58,'Fringe Data'!$F$8:$F$64,0))</f>
        <v>0.1565</v>
      </c>
      <c r="T10" s="199" t="s">
        <v>2084</v>
      </c>
      <c r="U10" s="198"/>
      <c r="V10" s="198"/>
      <c r="W10" s="537">
        <f>IF(G3="B",0,1)</f>
        <v>0</v>
      </c>
      <c r="X10" s="199" t="s">
        <v>4268</v>
      </c>
      <c r="Y10" s="198"/>
      <c r="Z10" s="198"/>
      <c r="AA10" s="198"/>
      <c r="AB10" s="198"/>
      <c r="AC10" s="198"/>
      <c r="AD10" s="198"/>
      <c r="AE10" s="198"/>
      <c r="AF10" s="198"/>
      <c r="AG10" s="198"/>
      <c r="AH10" s="198"/>
      <c r="AI10" s="198"/>
      <c r="AJ10" s="198"/>
      <c r="AK10" s="198"/>
      <c r="AL10" s="198"/>
      <c r="AM10" s="198"/>
      <c r="AN10" s="198"/>
      <c r="AO10" s="198"/>
      <c r="AP10" s="198"/>
      <c r="AQ10" s="198"/>
      <c r="AR10" s="198"/>
      <c r="AS10" s="198"/>
      <c r="AT10" s="198"/>
      <c r="AU10" s="198"/>
      <c r="AV10" s="198"/>
      <c r="AW10" s="198"/>
      <c r="AX10" s="198"/>
      <c r="AY10" s="198"/>
      <c r="AZ10" s="198"/>
      <c r="BA10" s="198"/>
      <c r="BB10" s="198"/>
      <c r="BC10" s="198"/>
      <c r="BD10" s="198"/>
      <c r="BE10" s="198"/>
      <c r="BF10" s="198"/>
      <c r="BG10" s="198"/>
      <c r="BH10" s="198"/>
      <c r="BI10" s="198"/>
      <c r="BJ10" s="198"/>
      <c r="BK10" s="198"/>
      <c r="BL10" s="198"/>
      <c r="BM10" s="198"/>
      <c r="BN10" s="198"/>
      <c r="BO10" s="198"/>
      <c r="BP10" s="198"/>
      <c r="BQ10" s="198"/>
      <c r="BR10" s="198"/>
      <c r="BS10" s="198"/>
      <c r="BT10" s="198"/>
      <c r="BU10" s="198"/>
      <c r="BV10" s="198"/>
      <c r="BW10" s="198"/>
      <c r="BX10" s="198"/>
      <c r="BY10" s="198"/>
      <c r="BZ10" s="198"/>
    </row>
    <row r="11" spans="1:78" s="272" customFormat="1" ht="13.8" hidden="1" x14ac:dyDescent="0.25">
      <c r="A11" s="198"/>
      <c r="B11" s="198"/>
      <c r="C11" s="198"/>
      <c r="D11" s="198"/>
      <c r="E11" s="198"/>
      <c r="F11" s="198"/>
      <c r="G11" s="198"/>
      <c r="H11" s="256" t="s">
        <v>2339</v>
      </c>
      <c r="I11" s="256" t="s">
        <v>2486</v>
      </c>
      <c r="J11" s="256"/>
      <c r="K11" s="262">
        <v>3</v>
      </c>
      <c r="L11" s="198"/>
      <c r="M11" s="411" t="s">
        <v>2781</v>
      </c>
      <c r="N11" s="198"/>
      <c r="O11" s="445" t="s">
        <v>2860</v>
      </c>
      <c r="P11" s="198"/>
      <c r="Q11" s="198"/>
      <c r="R11" s="1789">
        <f>IF(OR(S11="x",S11=0,ISERROR(S11)),$S$7,S11)</f>
        <v>0.33450000000000002</v>
      </c>
      <c r="S11" s="1789">
        <f>INDEX('Fringe Data'!$O$8:$O$64,MATCH($I$58,'Fringe Data'!$F$8:$F$64,0))</f>
        <v>0.33450000000000002</v>
      </c>
      <c r="T11" s="199" t="s">
        <v>1572</v>
      </c>
      <c r="U11" s="198"/>
      <c r="V11" s="198"/>
      <c r="W11" s="198"/>
      <c r="X11" s="198"/>
      <c r="Y11" s="198"/>
      <c r="Z11" s="198"/>
      <c r="AA11" s="198"/>
      <c r="AB11" s="198"/>
      <c r="AC11" s="198"/>
      <c r="AD11" s="198"/>
      <c r="AE11" s="198"/>
      <c r="AF11" s="198"/>
      <c r="AG11" s="198"/>
      <c r="AH11" s="198"/>
      <c r="AI11" s="198"/>
      <c r="AJ11" s="198"/>
      <c r="AK11" s="198"/>
      <c r="AL11" s="198"/>
      <c r="AM11" s="198"/>
      <c r="AN11" s="198"/>
      <c r="AO11" s="198"/>
      <c r="AP11" s="198"/>
      <c r="AQ11" s="198"/>
      <c r="AR11" s="198"/>
      <c r="AS11" s="198"/>
      <c r="AT11" s="198"/>
      <c r="AU11" s="198"/>
      <c r="AV11" s="198"/>
      <c r="AW11" s="198"/>
      <c r="AX11" s="198"/>
      <c r="AY11" s="198"/>
      <c r="AZ11" s="198"/>
      <c r="BA11" s="198"/>
      <c r="BB11" s="198"/>
      <c r="BC11" s="198"/>
      <c r="BD11" s="198"/>
      <c r="BE11" s="198"/>
      <c r="BF11" s="198"/>
      <c r="BG11" s="198"/>
      <c r="BH11" s="198"/>
      <c r="BI11" s="198"/>
      <c r="BJ11" s="198"/>
      <c r="BK11" s="198"/>
      <c r="BL11" s="198"/>
      <c r="BM11" s="198"/>
      <c r="BN11" s="198"/>
      <c r="BO11" s="198"/>
      <c r="BP11" s="198"/>
      <c r="BQ11" s="198"/>
      <c r="BR11" s="198"/>
      <c r="BS11" s="198"/>
      <c r="BT11" s="198"/>
      <c r="BU11" s="198"/>
      <c r="BV11" s="198"/>
      <c r="BW11" s="198"/>
      <c r="BX11" s="198"/>
      <c r="BY11" s="198"/>
      <c r="BZ11" s="198"/>
    </row>
    <row r="12" spans="1:78" s="272" customFormat="1" ht="13.8" hidden="1" x14ac:dyDescent="0.25">
      <c r="A12" s="198"/>
      <c r="B12" s="198"/>
      <c r="C12" s="198"/>
      <c r="D12" s="198"/>
      <c r="E12" s="198"/>
      <c r="F12" s="198"/>
      <c r="G12" s="198"/>
      <c r="H12" s="256" t="s">
        <v>2364</v>
      </c>
      <c r="I12" s="256" t="s">
        <v>2365</v>
      </c>
      <c r="J12" s="256"/>
      <c r="K12" s="262">
        <v>4</v>
      </c>
      <c r="L12" s="198"/>
      <c r="M12" s="411" t="s">
        <v>2768</v>
      </c>
      <c r="N12" s="198"/>
      <c r="O12" s="445" t="s">
        <v>2861</v>
      </c>
      <c r="P12" s="198"/>
      <c r="Q12" s="198"/>
      <c r="R12" s="1789">
        <f>IF(OR(S12="x",S12=0,ISERROR(S12)),$S$7,S12)</f>
        <v>0.1565</v>
      </c>
      <c r="S12" s="1789">
        <f>INDEX('Fringe Data'!$P$8:$P$64,MATCH($I$58,'Fringe Data'!$F$8:$F$64,0))</f>
        <v>0.1565</v>
      </c>
      <c r="T12" s="199" t="s">
        <v>2859</v>
      </c>
      <c r="U12" s="198"/>
      <c r="V12" s="198"/>
      <c r="W12" s="736" t="s">
        <v>2323</v>
      </c>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c r="BS12" s="198"/>
      <c r="BT12" s="198"/>
      <c r="BU12" s="198"/>
      <c r="BV12" s="198"/>
      <c r="BW12" s="198"/>
      <c r="BX12" s="198"/>
      <c r="BY12" s="198"/>
      <c r="BZ12" s="198"/>
    </row>
    <row r="13" spans="1:78" s="272" customFormat="1" ht="13.8" hidden="1" x14ac:dyDescent="0.25">
      <c r="A13" s="198"/>
      <c r="B13" s="198"/>
      <c r="C13" s="198"/>
      <c r="D13" s="198"/>
      <c r="E13" s="198"/>
      <c r="F13" s="198"/>
      <c r="G13" s="198"/>
      <c r="H13" s="407" t="s">
        <v>2325</v>
      </c>
      <c r="I13" s="256" t="s">
        <v>324</v>
      </c>
      <c r="J13" s="256"/>
      <c r="K13" s="262">
        <v>11</v>
      </c>
      <c r="L13" s="198"/>
      <c r="M13" s="411" t="s">
        <v>2769</v>
      </c>
      <c r="N13" s="198"/>
      <c r="O13" s="198"/>
      <c r="P13" s="198"/>
      <c r="Q13" s="198"/>
      <c r="R13" s="198"/>
      <c r="S13" s="198"/>
      <c r="T13" s="198"/>
      <c r="U13" s="198"/>
      <c r="V13" s="198"/>
      <c r="W13" s="537">
        <f>CHOOSE($G$8,0,$R$94,IF(W92=0,0,(W92+1)*($W$96+1)),IF(W92=0,0,W92+1),0,0,0,0,0,0,0)</f>
        <v>0</v>
      </c>
      <c r="X13" s="199" t="s">
        <v>301</v>
      </c>
      <c r="Y13" s="198"/>
      <c r="Z13" s="198"/>
      <c r="AA13" s="198"/>
      <c r="AB13" s="198"/>
      <c r="AC13" s="198"/>
      <c r="AD13" s="198"/>
      <c r="AE13" s="198"/>
      <c r="AF13" s="198"/>
      <c r="AG13" s="198"/>
      <c r="AH13" s="198"/>
      <c r="AI13" s="198"/>
      <c r="AJ13" s="198"/>
      <c r="AK13" s="198"/>
      <c r="AL13" s="198"/>
      <c r="AM13" s="198"/>
      <c r="AN13" s="198"/>
      <c r="AO13" s="198"/>
      <c r="AP13" s="198"/>
      <c r="AQ13" s="198"/>
      <c r="AR13" s="198"/>
      <c r="AS13" s="198"/>
      <c r="AT13" s="198"/>
      <c r="AU13" s="198"/>
      <c r="AV13" s="198"/>
      <c r="AW13" s="198"/>
      <c r="AX13" s="198"/>
      <c r="AY13" s="198"/>
      <c r="AZ13" s="198"/>
      <c r="BA13" s="198"/>
      <c r="BB13" s="198"/>
      <c r="BC13" s="198"/>
      <c r="BD13" s="198"/>
      <c r="BE13" s="198"/>
      <c r="BF13" s="198"/>
      <c r="BG13" s="198"/>
      <c r="BH13" s="198"/>
      <c r="BI13" s="198"/>
      <c r="BJ13" s="198"/>
      <c r="BK13" s="198"/>
      <c r="BL13" s="198"/>
      <c r="BM13" s="198"/>
      <c r="BN13" s="198"/>
      <c r="BO13" s="198"/>
      <c r="BP13" s="198"/>
      <c r="BQ13" s="198"/>
      <c r="BR13" s="198"/>
      <c r="BS13" s="198"/>
      <c r="BT13" s="198"/>
      <c r="BU13" s="198"/>
      <c r="BV13" s="198"/>
      <c r="BW13" s="198"/>
      <c r="BX13" s="198"/>
      <c r="BY13" s="198"/>
      <c r="BZ13" s="198"/>
    </row>
    <row r="14" spans="1:78" s="272" customFormat="1" ht="13.8" hidden="1" x14ac:dyDescent="0.25">
      <c r="A14" s="198"/>
      <c r="B14" s="198"/>
      <c r="C14" s="198"/>
      <c r="D14" s="198"/>
      <c r="E14" s="198"/>
      <c r="F14" s="198"/>
      <c r="G14" s="198"/>
      <c r="H14" s="256" t="s">
        <v>2366</v>
      </c>
      <c r="I14" s="256" t="s">
        <v>2805</v>
      </c>
      <c r="J14" s="256"/>
      <c r="K14" s="748">
        <v>5</v>
      </c>
      <c r="L14" s="198"/>
      <c r="M14" s="198"/>
      <c r="N14" s="198"/>
      <c r="O14" s="198"/>
      <c r="P14" s="966">
        <f>INDEX('Fringe Data'!$S$8:$S$64,MATCH($T$20,'Fringe Data'!$F$8:$F$64,0))</f>
        <v>1.73</v>
      </c>
      <c r="Q14" s="966" t="str">
        <f>INDEX('Fringe Data'!$T$8:$T$64,MATCH($T$20,'Fringe Data'!$F$8:$F$64,0))</f>
        <v>GBP</v>
      </c>
      <c r="R14" s="736" t="s">
        <v>493</v>
      </c>
      <c r="S14" s="198"/>
      <c r="T14" s="198"/>
      <c r="U14" s="198"/>
      <c r="V14" s="198"/>
      <c r="W14" s="537">
        <f>CHOOSE($G$8,0,$R$92,IF(W94=0,0,(W94+1)*($W$96+1)),IF(W94=0,0,W94+1),0,0,0,0,0,0,0)</f>
        <v>0</v>
      </c>
      <c r="X14" s="199" t="s">
        <v>109</v>
      </c>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c r="AU14" s="198"/>
      <c r="AV14" s="198"/>
      <c r="AW14" s="198"/>
      <c r="AX14" s="198"/>
      <c r="AY14" s="198"/>
      <c r="AZ14" s="198"/>
      <c r="BA14" s="198"/>
      <c r="BB14" s="198"/>
      <c r="BC14" s="198"/>
      <c r="BD14" s="198"/>
      <c r="BE14" s="198"/>
      <c r="BF14" s="198"/>
      <c r="BG14" s="198"/>
      <c r="BH14" s="198"/>
      <c r="BI14" s="198"/>
      <c r="BJ14" s="198"/>
      <c r="BK14" s="198"/>
      <c r="BL14" s="198"/>
      <c r="BM14" s="198"/>
      <c r="BN14" s="198"/>
      <c r="BO14" s="198"/>
      <c r="BP14" s="198"/>
      <c r="BQ14" s="198"/>
      <c r="BR14" s="198"/>
      <c r="BS14" s="198"/>
      <c r="BT14" s="198"/>
      <c r="BU14" s="198"/>
      <c r="BV14" s="198"/>
      <c r="BW14" s="198"/>
      <c r="BX14" s="198"/>
      <c r="BY14" s="198"/>
      <c r="BZ14" s="198"/>
    </row>
    <row r="15" spans="1:78" s="272" customFormat="1" ht="13.8" hidden="1" x14ac:dyDescent="0.25">
      <c r="A15" s="198"/>
      <c r="B15" s="198"/>
      <c r="C15" s="198"/>
      <c r="D15" s="198"/>
      <c r="E15" s="198"/>
      <c r="F15" s="198"/>
      <c r="G15" s="198"/>
      <c r="H15" s="256" t="s">
        <v>2327</v>
      </c>
      <c r="I15" s="256" t="s">
        <v>2806</v>
      </c>
      <c r="J15" s="256"/>
      <c r="K15" s="262">
        <v>6</v>
      </c>
      <c r="L15" s="198"/>
      <c r="M15" s="198"/>
      <c r="N15" s="198"/>
      <c r="O15" s="198"/>
      <c r="P15" s="198"/>
      <c r="Q15" s="736"/>
      <c r="R15" s="198"/>
      <c r="S15" s="198"/>
      <c r="T15" s="198"/>
      <c r="U15" s="198"/>
      <c r="V15" s="198"/>
      <c r="W15" s="537">
        <f>CHOOSE($G$8,0,$R$90,IF(W90=0,0,(W90+1)*($W$96+1)),IF(W90=0,0,W90+1),0,0,0,0,0,0,0)</f>
        <v>0</v>
      </c>
      <c r="X15" s="199" t="s">
        <v>332</v>
      </c>
      <c r="Y15" s="198"/>
      <c r="Z15" s="198"/>
      <c r="AA15" s="198"/>
      <c r="AB15" s="198"/>
      <c r="AC15" s="198"/>
      <c r="AD15" s="198"/>
      <c r="AE15" s="198"/>
      <c r="AF15" s="198"/>
      <c r="AG15" s="198"/>
      <c r="AH15" s="198"/>
      <c r="AI15" s="198"/>
      <c r="AJ15" s="198"/>
      <c r="AK15" s="198"/>
      <c r="AL15" s="198"/>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K15" s="198"/>
      <c r="BL15" s="198"/>
      <c r="BM15" s="198"/>
      <c r="BN15" s="198"/>
      <c r="BO15" s="198"/>
      <c r="BP15" s="198"/>
      <c r="BQ15" s="198"/>
      <c r="BR15" s="198"/>
      <c r="BS15" s="198"/>
      <c r="BT15" s="198"/>
      <c r="BU15" s="198"/>
      <c r="BV15" s="198"/>
      <c r="BW15" s="198"/>
      <c r="BX15" s="198"/>
      <c r="BY15" s="198"/>
      <c r="BZ15" s="198"/>
    </row>
    <row r="16" spans="1:78" s="272" customFormat="1" ht="13.8" hidden="1" x14ac:dyDescent="0.25">
      <c r="A16" s="198"/>
      <c r="B16" s="198"/>
      <c r="C16" s="198"/>
      <c r="D16" s="198"/>
      <c r="E16" s="198"/>
      <c r="F16" s="198"/>
      <c r="G16" s="198"/>
      <c r="H16" s="256" t="s">
        <v>2096</v>
      </c>
      <c r="I16" s="256" t="s">
        <v>2850</v>
      </c>
      <c r="J16" s="256"/>
      <c r="K16" s="262">
        <v>7</v>
      </c>
      <c r="L16" s="198"/>
      <c r="M16" s="198"/>
      <c r="N16" s="198"/>
      <c r="O16" s="198"/>
      <c r="P16" s="537">
        <f>INDEX('Currency Data'!D8:D41,MATCH(I60,'Currency Data'!C8:C41,0))</f>
        <v>23</v>
      </c>
      <c r="Q16" s="565" t="s">
        <v>4090</v>
      </c>
      <c r="R16" s="198"/>
      <c r="S16" s="198"/>
      <c r="T16" s="198"/>
      <c r="U16" s="198"/>
      <c r="V16" s="198"/>
      <c r="W16" s="537">
        <f>CHOOSE($G$8,$R$88,$R$88,(W88+1)*($W$96+1),W88+1,0,0,0,0,0,0,0)</f>
        <v>0</v>
      </c>
      <c r="X16" s="199" t="s">
        <v>387</v>
      </c>
      <c r="Y16" s="198"/>
      <c r="Z16" s="198"/>
      <c r="AA16" s="198"/>
      <c r="AB16" s="198"/>
      <c r="AC16" s="198"/>
      <c r="AD16" s="198"/>
      <c r="AE16" s="198"/>
      <c r="AF16" s="198"/>
      <c r="AG16" s="198"/>
      <c r="AH16" s="198"/>
      <c r="AI16" s="198"/>
      <c r="AJ16" s="198"/>
      <c r="AK16" s="198"/>
      <c r="AL16" s="198"/>
      <c r="AM16" s="198"/>
      <c r="AN16" s="198"/>
      <c r="AO16" s="198"/>
      <c r="AP16" s="198"/>
      <c r="AQ16" s="198"/>
      <c r="AR16" s="198"/>
      <c r="AS16" s="198"/>
      <c r="AT16" s="198"/>
      <c r="AU16" s="198"/>
      <c r="AV16" s="198"/>
      <c r="AW16" s="198"/>
      <c r="AX16" s="198"/>
      <c r="AY16" s="198"/>
      <c r="AZ16" s="198"/>
      <c r="BA16" s="198"/>
      <c r="BB16" s="198"/>
      <c r="BC16" s="198"/>
      <c r="BD16" s="198"/>
      <c r="BE16" s="198"/>
      <c r="BF16" s="198"/>
      <c r="BG16" s="198"/>
      <c r="BH16" s="198"/>
      <c r="BI16" s="198"/>
      <c r="BJ16" s="198"/>
      <c r="BK16" s="198"/>
      <c r="BL16" s="198"/>
      <c r="BM16" s="198"/>
      <c r="BN16" s="198"/>
      <c r="BO16" s="198"/>
      <c r="BP16" s="198"/>
      <c r="BQ16" s="198"/>
      <c r="BR16" s="198"/>
      <c r="BS16" s="198"/>
      <c r="BT16" s="198"/>
      <c r="BU16" s="198"/>
      <c r="BV16" s="198"/>
      <c r="BW16" s="198"/>
      <c r="BX16" s="198"/>
      <c r="BY16" s="198"/>
      <c r="BZ16" s="198"/>
    </row>
    <row r="17" spans="1:78" s="272" customFormat="1" ht="13.8" hidden="1" x14ac:dyDescent="0.25">
      <c r="A17" s="198"/>
      <c r="B17" s="198"/>
      <c r="C17" s="198"/>
      <c r="D17" s="198"/>
      <c r="E17" s="198"/>
      <c r="F17" s="198"/>
      <c r="G17" s="198"/>
      <c r="H17" s="256" t="s">
        <v>2097</v>
      </c>
      <c r="I17" s="256" t="s">
        <v>2851</v>
      </c>
      <c r="J17" s="256"/>
      <c r="K17" s="262">
        <v>8</v>
      </c>
      <c r="L17" s="198"/>
      <c r="M17" s="198"/>
      <c r="N17" s="198"/>
      <c r="O17" s="198"/>
      <c r="P17" s="198"/>
      <c r="Q17" s="736"/>
      <c r="R17" s="198"/>
      <c r="S17" s="198"/>
      <c r="T17" s="198"/>
      <c r="U17" s="198"/>
      <c r="V17" s="198"/>
      <c r="W17" s="198"/>
      <c r="X17" s="198"/>
      <c r="Y17" s="198"/>
      <c r="Z17" s="198"/>
      <c r="AA17" s="198"/>
      <c r="AB17" s="198"/>
      <c r="AC17" s="198"/>
      <c r="AD17" s="198"/>
      <c r="AE17" s="198"/>
      <c r="AF17" s="198"/>
      <c r="AG17" s="198"/>
      <c r="AH17" s="198"/>
      <c r="AI17" s="198"/>
      <c r="AJ17" s="198"/>
      <c r="AK17" s="198"/>
      <c r="AL17" s="198"/>
      <c r="AM17" s="198"/>
      <c r="AN17" s="198"/>
      <c r="AO17" s="198"/>
      <c r="AP17" s="198"/>
      <c r="AQ17" s="198"/>
      <c r="AR17" s="198"/>
      <c r="AS17" s="198"/>
      <c r="AT17" s="198"/>
      <c r="AU17" s="198"/>
      <c r="AV17" s="198"/>
      <c r="AW17" s="198"/>
      <c r="AX17" s="198"/>
      <c r="AY17" s="198"/>
      <c r="AZ17" s="198"/>
      <c r="BA17" s="198"/>
      <c r="BB17" s="198"/>
      <c r="BC17" s="198"/>
      <c r="BD17" s="198"/>
      <c r="BE17" s="198"/>
      <c r="BF17" s="198"/>
      <c r="BG17" s="198"/>
      <c r="BH17" s="198"/>
      <c r="BI17" s="198"/>
      <c r="BJ17" s="198"/>
      <c r="BK17" s="198"/>
      <c r="BL17" s="198"/>
      <c r="BM17" s="198"/>
      <c r="BN17" s="198"/>
      <c r="BO17" s="198"/>
      <c r="BP17" s="198"/>
      <c r="BQ17" s="198"/>
      <c r="BR17" s="198"/>
      <c r="BS17" s="198"/>
      <c r="BT17" s="198"/>
      <c r="BU17" s="198"/>
      <c r="BV17" s="198"/>
      <c r="BW17" s="198"/>
      <c r="BX17" s="198"/>
      <c r="BY17" s="198"/>
      <c r="BZ17" s="198"/>
    </row>
    <row r="18" spans="1:78" s="272" customFormat="1" ht="13.8" hidden="1" x14ac:dyDescent="0.25">
      <c r="A18" s="198"/>
      <c r="B18" s="198"/>
      <c r="C18" s="198"/>
      <c r="D18" s="198"/>
      <c r="E18" s="198"/>
      <c r="F18" s="198"/>
      <c r="G18" s="198"/>
      <c r="H18" s="256" t="s">
        <v>2359</v>
      </c>
      <c r="I18" s="256" t="s">
        <v>2807</v>
      </c>
      <c r="J18" s="256"/>
      <c r="K18" s="262">
        <v>9</v>
      </c>
      <c r="L18" s="198"/>
      <c r="M18" s="198"/>
      <c r="N18" s="198"/>
      <c r="O18" s="198"/>
      <c r="P18" s="198"/>
      <c r="Q18" s="198"/>
      <c r="R18" s="198"/>
      <c r="S18" s="198"/>
      <c r="T18" s="198"/>
      <c r="U18" s="198"/>
      <c r="V18" s="198"/>
      <c r="W18" s="198"/>
      <c r="X18" s="198"/>
      <c r="Y18" s="198"/>
      <c r="Z18" s="198"/>
      <c r="AA18" s="198"/>
      <c r="AB18" s="198"/>
      <c r="AC18" s="198"/>
      <c r="AD18" s="198"/>
      <c r="AE18" s="198"/>
      <c r="AF18" s="198"/>
      <c r="AG18" s="198"/>
      <c r="AH18" s="198"/>
      <c r="AI18" s="198"/>
      <c r="AJ18" s="198"/>
      <c r="AK18" s="198"/>
      <c r="AL18" s="198"/>
      <c r="AM18" s="198"/>
      <c r="AN18" s="198"/>
      <c r="AO18" s="198"/>
      <c r="AP18" s="198"/>
      <c r="AQ18" s="198"/>
      <c r="AR18" s="198"/>
      <c r="AS18" s="198"/>
      <c r="AT18" s="198"/>
      <c r="AU18" s="198"/>
      <c r="AV18" s="198"/>
      <c r="AW18" s="198"/>
      <c r="AX18" s="198"/>
      <c r="AY18" s="198"/>
      <c r="AZ18" s="198"/>
      <c r="BA18" s="198"/>
      <c r="BB18" s="198"/>
      <c r="BC18" s="198"/>
      <c r="BD18" s="198"/>
      <c r="BE18" s="198"/>
      <c r="BF18" s="198"/>
      <c r="BG18" s="198"/>
      <c r="BH18" s="198"/>
      <c r="BI18" s="198"/>
      <c r="BJ18" s="198"/>
      <c r="BK18" s="198"/>
      <c r="BL18" s="198"/>
      <c r="BM18" s="198"/>
      <c r="BN18" s="198"/>
      <c r="BO18" s="198"/>
      <c r="BP18" s="198"/>
      <c r="BQ18" s="198"/>
      <c r="BR18" s="198"/>
      <c r="BS18" s="198"/>
      <c r="BT18" s="198"/>
      <c r="BU18" s="198"/>
      <c r="BV18" s="198"/>
      <c r="BW18" s="198"/>
      <c r="BX18" s="198"/>
      <c r="BY18" s="198"/>
      <c r="BZ18" s="198"/>
    </row>
    <row r="19" spans="1:78" s="272" customFormat="1" ht="13.8" hidden="1" x14ac:dyDescent="0.25">
      <c r="A19" s="198"/>
      <c r="B19" s="198"/>
      <c r="C19" s="198"/>
      <c r="D19" s="198"/>
      <c r="E19" s="198"/>
      <c r="F19" s="198"/>
      <c r="G19" s="198"/>
      <c r="H19" s="256" t="s">
        <v>2360</v>
      </c>
      <c r="I19" s="256" t="s">
        <v>2808</v>
      </c>
      <c r="J19" s="256"/>
      <c r="K19" s="262">
        <v>10</v>
      </c>
      <c r="L19" s="198"/>
      <c r="M19" s="198"/>
      <c r="N19" s="198"/>
      <c r="O19" s="198"/>
      <c r="P19" s="198"/>
      <c r="Q19" s="198"/>
      <c r="R19" s="198"/>
      <c r="S19" s="1933" t="s">
        <v>3983</v>
      </c>
      <c r="T19" s="2698">
        <f>IF(OR(M55='PU List'!P6,M55='PU List'!P7,M55='PU List'!P8),0,1)</f>
        <v>1</v>
      </c>
      <c r="U19" s="198"/>
      <c r="V19" s="198"/>
      <c r="W19" s="198"/>
      <c r="X19" s="198"/>
      <c r="Y19" s="198"/>
      <c r="Z19" s="198"/>
      <c r="AA19" s="198"/>
      <c r="AB19" s="198"/>
      <c r="AC19" s="198"/>
      <c r="AD19" s="198"/>
      <c r="AE19" s="198"/>
      <c r="AF19" s="198"/>
      <c r="AG19" s="198"/>
      <c r="AH19" s="198"/>
      <c r="AI19" s="198"/>
      <c r="AJ19" s="198"/>
      <c r="AK19" s="198"/>
      <c r="AL19" s="198"/>
      <c r="AM19" s="198"/>
      <c r="AN19" s="198"/>
      <c r="AO19" s="198"/>
      <c r="AP19" s="198"/>
      <c r="AQ19" s="198"/>
      <c r="AR19" s="198"/>
      <c r="AS19" s="198"/>
      <c r="AT19" s="198"/>
      <c r="AU19" s="198"/>
      <c r="AV19" s="198"/>
      <c r="AW19" s="198"/>
      <c r="AX19" s="198"/>
      <c r="AY19" s="198"/>
      <c r="AZ19" s="198"/>
      <c r="BA19" s="198"/>
      <c r="BB19" s="198"/>
      <c r="BC19" s="198"/>
      <c r="BD19" s="198"/>
      <c r="BE19" s="198"/>
      <c r="BF19" s="198"/>
      <c r="BG19" s="198"/>
      <c r="BH19" s="198"/>
      <c r="BI19" s="198"/>
      <c r="BJ19" s="198"/>
      <c r="BK19" s="198"/>
      <c r="BL19" s="198"/>
      <c r="BM19" s="198"/>
      <c r="BN19" s="198"/>
      <c r="BO19" s="198"/>
      <c r="BP19" s="198"/>
      <c r="BQ19" s="198"/>
      <c r="BR19" s="198"/>
      <c r="BS19" s="198"/>
      <c r="BT19" s="198"/>
      <c r="BU19" s="198"/>
      <c r="BV19" s="198"/>
      <c r="BW19" s="198"/>
      <c r="BX19" s="198"/>
      <c r="BY19" s="198"/>
      <c r="BZ19" s="198"/>
    </row>
    <row r="20" spans="1:78" s="749" customFormat="1" ht="13.8" hidden="1" x14ac:dyDescent="0.25">
      <c r="A20" s="198"/>
      <c r="B20" s="198"/>
      <c r="C20" s="198"/>
      <c r="D20" s="198"/>
      <c r="E20" s="198"/>
      <c r="F20" s="198"/>
      <c r="G20" s="198"/>
      <c r="H20" s="198"/>
      <c r="I20" s="198"/>
      <c r="J20" s="198"/>
      <c r="K20" s="198"/>
      <c r="L20" s="198"/>
      <c r="M20" s="198"/>
      <c r="N20" s="198"/>
      <c r="O20" s="198"/>
      <c r="P20" s="1220"/>
      <c r="Q20" s="736"/>
      <c r="R20" s="198"/>
      <c r="S20" s="1933" t="s">
        <v>41</v>
      </c>
      <c r="T20" s="2698" t="str">
        <f>IFERROR(INDEX('PU List'!$G$31:$G$413,MATCH(S55,'PU List'!$D$31:$D$413,0)),0)</f>
        <v>GB - BIAF</v>
      </c>
      <c r="U20" s="198"/>
      <c r="V20" s="198"/>
      <c r="W20" s="198"/>
      <c r="X20" s="198"/>
      <c r="Y20" s="198"/>
      <c r="Z20" s="198"/>
      <c r="AA20" s="198"/>
      <c r="AB20" s="198"/>
      <c r="AC20" s="198"/>
      <c r="AD20" s="198"/>
      <c r="AE20" s="198"/>
      <c r="AF20" s="198"/>
      <c r="AG20" s="198"/>
      <c r="AH20" s="198"/>
      <c r="AI20" s="198"/>
      <c r="AJ20" s="198"/>
      <c r="AK20" s="198"/>
      <c r="AL20" s="198"/>
      <c r="AM20" s="198"/>
      <c r="AN20" s="198"/>
      <c r="AO20" s="198"/>
      <c r="AP20" s="198"/>
      <c r="AQ20" s="198"/>
      <c r="AR20" s="198"/>
      <c r="AS20" s="198"/>
      <c r="AT20" s="198"/>
      <c r="AU20" s="198"/>
      <c r="AV20" s="198"/>
      <c r="AW20" s="198"/>
      <c r="AX20" s="198"/>
      <c r="AY20" s="198"/>
      <c r="AZ20" s="198"/>
      <c r="BA20" s="198"/>
      <c r="BB20" s="198"/>
      <c r="BC20" s="198"/>
      <c r="BD20" s="198"/>
      <c r="BE20" s="198"/>
      <c r="BF20" s="198"/>
      <c r="BG20" s="198"/>
      <c r="BH20" s="198"/>
      <c r="BI20" s="198"/>
      <c r="BJ20" s="198"/>
      <c r="BK20" s="198"/>
      <c r="BL20" s="198"/>
      <c r="BM20" s="198"/>
      <c r="BN20" s="198"/>
      <c r="BO20" s="198"/>
      <c r="BP20" s="198"/>
      <c r="BQ20" s="198"/>
      <c r="BR20" s="198"/>
      <c r="BS20" s="198"/>
      <c r="BT20" s="198"/>
      <c r="BU20" s="198"/>
      <c r="BV20" s="198"/>
      <c r="BW20" s="198"/>
      <c r="BX20" s="198"/>
      <c r="BY20" s="198"/>
      <c r="BZ20" s="198"/>
    </row>
    <row r="21" spans="1:78" ht="18" hidden="1" customHeight="1" x14ac:dyDescent="0.25">
      <c r="A21" s="198"/>
      <c r="B21" s="198"/>
      <c r="C21" s="198"/>
      <c r="D21" s="198"/>
      <c r="E21" s="198"/>
      <c r="F21" s="198"/>
      <c r="G21" s="748">
        <f>IF(OR(I58=H22,I58=0),2,1)</f>
        <v>1</v>
      </c>
      <c r="H21" s="411"/>
      <c r="I21" s="813" t="s">
        <v>4118</v>
      </c>
      <c r="J21" s="202"/>
      <c r="K21" s="202"/>
      <c r="L21" s="317"/>
      <c r="M21" s="202"/>
      <c r="N21" s="202"/>
      <c r="O21" s="202"/>
      <c r="P21" s="1220"/>
      <c r="Q21" s="1221"/>
      <c r="R21" s="198"/>
      <c r="S21" s="1933" t="s">
        <v>168</v>
      </c>
      <c r="T21" s="794" t="str">
        <f>IFERROR(INDEX('PU List'!$J$31:$J$413,MATCH(S55,'PU List'!$D$31:$D$413,0)),0)</f>
        <v>GBP</v>
      </c>
      <c r="U21" s="198"/>
      <c r="V21" s="198"/>
      <c r="W21" s="198"/>
      <c r="X21" s="198"/>
      <c r="Y21" s="198"/>
      <c r="Z21" s="198"/>
      <c r="AA21" s="198"/>
      <c r="AB21" s="198"/>
      <c r="AC21" s="198"/>
      <c r="AD21" s="198"/>
      <c r="AE21" s="198"/>
      <c r="AF21" s="198"/>
      <c r="AG21" s="198"/>
      <c r="AH21" s="198"/>
      <c r="AI21" s="198"/>
      <c r="AJ21" s="198"/>
      <c r="AK21" s="198"/>
      <c r="AL21" s="198"/>
      <c r="AM21" s="198"/>
      <c r="AN21" s="198"/>
      <c r="AO21" s="198"/>
      <c r="AP21" s="198"/>
      <c r="AQ21" s="198"/>
      <c r="AR21" s="198"/>
      <c r="AS21" s="198"/>
      <c r="AT21" s="198"/>
      <c r="AU21" s="198"/>
      <c r="AV21" s="198"/>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row>
    <row r="22" spans="1:78" s="749" customFormat="1" ht="18.600000000000001" hidden="1" customHeight="1" x14ac:dyDescent="0.25">
      <c r="A22" s="198"/>
      <c r="B22" s="198"/>
      <c r="C22" s="198"/>
      <c r="D22" s="198"/>
      <c r="E22" s="198"/>
      <c r="F22" s="198"/>
      <c r="G22" s="198"/>
      <c r="H22" s="411" t="str">
        <f>'Fringe Data'!F6</f>
        <v>&lt;Multi-Entity PU&gt;</v>
      </c>
      <c r="I22" s="813" t="s">
        <v>4173</v>
      </c>
      <c r="J22" s="202" t="s">
        <v>5</v>
      </c>
      <c r="K22" s="1222"/>
      <c r="L22" s="317"/>
      <c r="M22" s="317"/>
      <c r="N22" s="1223"/>
      <c r="O22" s="202"/>
      <c r="P22" s="1220"/>
      <c r="Q22" s="1223"/>
      <c r="R22" s="198"/>
      <c r="S22" s="1933" t="s">
        <v>358</v>
      </c>
      <c r="T22" s="1224" t="str">
        <f>IFERROR(INDEX('PU List'!$E$31:$E$413,MATCH(S55,'PU List'!$D$31:$D$413,0)),"")</f>
        <v>031500</v>
      </c>
      <c r="U22" s="198"/>
      <c r="V22" s="198"/>
      <c r="W22" s="198"/>
      <c r="X22" s="198"/>
      <c r="Y22" s="198"/>
      <c r="Z22" s="198"/>
      <c r="AA22" s="198"/>
      <c r="AB22" s="198"/>
      <c r="AC22" s="198"/>
      <c r="AD22" s="198"/>
      <c r="AE22" s="198"/>
      <c r="AF22" s="198"/>
      <c r="AG22" s="198"/>
      <c r="AH22" s="198"/>
      <c r="AI22" s="198"/>
      <c r="AJ22" s="198"/>
      <c r="AK22" s="198"/>
      <c r="AL22" s="198"/>
      <c r="AM22" s="198"/>
      <c r="AN22" s="198"/>
      <c r="AO22" s="198"/>
      <c r="AP22" s="198"/>
      <c r="AQ22" s="198"/>
      <c r="AR22" s="198"/>
      <c r="AS22" s="198"/>
      <c r="AT22" s="198"/>
      <c r="AU22" s="198"/>
      <c r="AV22" s="198"/>
      <c r="AW22" s="198"/>
      <c r="AX22" s="198"/>
      <c r="AY22" s="198"/>
      <c r="AZ22" s="198"/>
      <c r="BA22" s="198"/>
      <c r="BB22" s="198"/>
      <c r="BC22" s="198"/>
      <c r="BD22" s="198"/>
      <c r="BE22" s="198"/>
      <c r="BF22" s="198"/>
      <c r="BG22" s="198"/>
      <c r="BH22" s="198"/>
      <c r="BI22" s="198"/>
      <c r="BJ22" s="198"/>
      <c r="BK22" s="198"/>
      <c r="BL22" s="198"/>
      <c r="BM22" s="198"/>
      <c r="BN22" s="198"/>
      <c r="BO22" s="198"/>
      <c r="BP22" s="198"/>
      <c r="BQ22" s="198"/>
      <c r="BR22" s="198"/>
      <c r="BS22" s="198"/>
      <c r="BT22" s="198"/>
      <c r="BU22" s="198"/>
      <c r="BV22" s="198"/>
      <c r="BW22" s="198"/>
      <c r="BX22" s="198"/>
      <c r="BY22" s="198"/>
      <c r="BZ22" s="198"/>
    </row>
    <row r="23" spans="1:78" s="272" customFormat="1" ht="13.8" hidden="1" x14ac:dyDescent="0.25">
      <c r="A23" s="198"/>
      <c r="B23" s="198"/>
      <c r="C23" s="198"/>
      <c r="D23" s="198"/>
      <c r="E23" s="198"/>
      <c r="F23" s="198"/>
      <c r="G23" s="198"/>
      <c r="H23" s="198"/>
      <c r="I23" s="198"/>
      <c r="J23" s="198"/>
      <c r="K23" s="198"/>
      <c r="L23" s="198"/>
      <c r="M23" s="198"/>
      <c r="N23" s="198"/>
      <c r="O23" s="198"/>
      <c r="P23" s="198"/>
      <c r="Q23" s="198"/>
      <c r="R23" s="198"/>
      <c r="S23" s="198"/>
      <c r="T23" s="198"/>
      <c r="U23" s="198"/>
      <c r="V23" s="198"/>
      <c r="W23" s="198"/>
      <c r="X23" s="198"/>
      <c r="Y23" s="198"/>
      <c r="Z23" s="198"/>
      <c r="AA23" s="198"/>
      <c r="AB23" s="198"/>
      <c r="AC23" s="198"/>
      <c r="AD23" s="198"/>
      <c r="AE23" s="198"/>
      <c r="AF23" s="198"/>
      <c r="AG23" s="198"/>
      <c r="AH23" s="198"/>
      <c r="AI23" s="198"/>
      <c r="AJ23" s="198"/>
      <c r="AK23" s="198"/>
      <c r="AL23" s="198"/>
      <c r="AM23" s="198"/>
      <c r="AN23" s="198"/>
      <c r="AO23" s="198"/>
      <c r="AP23" s="198"/>
      <c r="AQ23" s="198"/>
      <c r="AR23" s="198"/>
      <c r="AS23" s="198"/>
      <c r="AT23" s="198"/>
      <c r="AU23" s="198"/>
      <c r="AV23" s="198"/>
      <c r="AW23" s="198"/>
      <c r="AX23" s="198"/>
      <c r="AY23" s="198"/>
      <c r="AZ23" s="198"/>
      <c r="BA23" s="198"/>
      <c r="BB23" s="198"/>
      <c r="BC23" s="198"/>
      <c r="BD23" s="198"/>
      <c r="BE23" s="198"/>
      <c r="BF23" s="198"/>
      <c r="BG23" s="198"/>
      <c r="BH23" s="198"/>
      <c r="BI23" s="198"/>
      <c r="BJ23" s="198"/>
      <c r="BK23" s="198"/>
      <c r="BL23" s="198"/>
      <c r="BM23" s="198"/>
      <c r="BN23" s="198"/>
      <c r="BO23" s="198"/>
      <c r="BP23" s="198"/>
      <c r="BQ23" s="198"/>
      <c r="BR23" s="198"/>
      <c r="BS23" s="198"/>
      <c r="BT23" s="198"/>
      <c r="BU23" s="198"/>
      <c r="BV23" s="198"/>
      <c r="BW23" s="198"/>
      <c r="BX23" s="198"/>
      <c r="BY23" s="198"/>
      <c r="BZ23" s="198"/>
    </row>
    <row r="24" spans="1:78" s="272" customFormat="1" ht="8.25" customHeight="1" x14ac:dyDescent="0.25">
      <c r="A24" s="198"/>
      <c r="B24" s="198"/>
      <c r="C24" s="198"/>
      <c r="D24" s="198"/>
      <c r="E24" s="198"/>
      <c r="F24" s="447"/>
      <c r="G24" s="447"/>
      <c r="H24" s="447"/>
      <c r="I24" s="447"/>
      <c r="J24" s="447"/>
      <c r="K24" s="447"/>
      <c r="L24" s="447"/>
      <c r="M24" s="447"/>
      <c r="N24" s="447"/>
      <c r="O24" s="447"/>
      <c r="P24" s="447"/>
      <c r="Q24" s="447"/>
      <c r="R24" s="447"/>
      <c r="S24" s="447"/>
      <c r="T24" s="447"/>
      <c r="U24" s="447"/>
      <c r="V24" s="447"/>
      <c r="W24" s="447"/>
      <c r="X24" s="447"/>
      <c r="Y24" s="764"/>
      <c r="Z24" s="447"/>
      <c r="AA24" s="447"/>
      <c r="AB24" s="447"/>
      <c r="AC24" s="764"/>
      <c r="AD24" s="447"/>
      <c r="AE24" s="447"/>
      <c r="AF24" s="447"/>
      <c r="AG24" s="764"/>
      <c r="AH24" s="447"/>
      <c r="AI24" s="764"/>
      <c r="AJ24" s="764"/>
      <c r="AK24" s="764"/>
      <c r="AL24" s="764"/>
      <c r="AM24" s="764"/>
      <c r="AN24" s="764"/>
      <c r="AO24" s="764"/>
      <c r="AP24" s="764"/>
      <c r="AQ24" s="764"/>
      <c r="AR24" s="447"/>
      <c r="AS24" s="764"/>
      <c r="AT24" s="764"/>
      <c r="AU24" s="764"/>
      <c r="AV24" s="764"/>
      <c r="AW24" s="764"/>
      <c r="AX24" s="764"/>
      <c r="AY24" s="764"/>
      <c r="AZ24" s="764"/>
      <c r="BA24" s="764"/>
      <c r="BB24" s="764"/>
      <c r="BC24" s="764"/>
      <c r="BD24" s="764"/>
      <c r="BE24" s="764"/>
      <c r="BF24" s="764"/>
      <c r="BG24" s="764"/>
      <c r="BH24" s="764"/>
      <c r="BI24" s="764"/>
      <c r="BJ24" s="447"/>
      <c r="BK24" s="447"/>
      <c r="BL24" s="447"/>
      <c r="BM24" s="447"/>
      <c r="BN24" s="447"/>
      <c r="BO24" s="447"/>
      <c r="BP24" s="447"/>
      <c r="BQ24" s="447"/>
      <c r="BR24" s="447"/>
      <c r="BS24" s="447"/>
      <c r="BT24" s="764"/>
      <c r="BU24" s="764"/>
      <c r="BV24" s="764"/>
      <c r="BW24" s="764"/>
      <c r="BX24" s="764"/>
      <c r="BY24" s="764"/>
      <c r="BZ24" s="764"/>
    </row>
    <row r="25" spans="1:78" s="272" customFormat="1" ht="21" customHeight="1" x14ac:dyDescent="0.25">
      <c r="A25" s="198"/>
      <c r="B25" s="198"/>
      <c r="C25" s="198"/>
      <c r="D25" s="198"/>
      <c r="E25" s="198"/>
      <c r="F25" s="447"/>
      <c r="G25" s="467"/>
      <c r="H25" s="261"/>
      <c r="I25" s="261"/>
      <c r="J25" s="261"/>
      <c r="K25" s="261"/>
      <c r="L25" s="261"/>
      <c r="M25" s="261"/>
      <c r="N25" s="261"/>
      <c r="O25" s="261"/>
      <c r="P25" s="261"/>
      <c r="Q25" s="261"/>
      <c r="R25" s="261"/>
      <c r="S25" s="261"/>
      <c r="T25" s="261"/>
      <c r="U25" s="261"/>
      <c r="V25" s="261"/>
      <c r="W25" s="261"/>
      <c r="X25" s="261"/>
      <c r="Y25" s="1868" t="str">
        <f>Overview!O4</f>
        <v>Version: 2.05</v>
      </c>
      <c r="Z25" s="1867"/>
      <c r="AA25" s="447"/>
      <c r="AB25" s="447"/>
      <c r="AC25" s="764"/>
      <c r="AD25" s="447"/>
      <c r="AE25" s="447"/>
      <c r="AF25" s="447"/>
      <c r="AG25" s="764"/>
      <c r="AH25" s="447"/>
      <c r="AI25" s="764"/>
      <c r="AJ25" s="764"/>
      <c r="AK25" s="764"/>
      <c r="AL25" s="764"/>
      <c r="AM25" s="764"/>
      <c r="AN25" s="764"/>
      <c r="AO25" s="764"/>
      <c r="AP25" s="764"/>
      <c r="AQ25" s="764"/>
      <c r="AR25" s="447"/>
      <c r="AS25" s="764"/>
      <c r="AT25" s="764"/>
      <c r="AU25" s="764"/>
      <c r="AV25" s="764"/>
      <c r="AW25" s="764"/>
      <c r="AX25" s="764"/>
      <c r="AY25" s="764"/>
      <c r="AZ25" s="764"/>
      <c r="BA25" s="764"/>
      <c r="BB25" s="764"/>
      <c r="BC25" s="764"/>
      <c r="BD25" s="764"/>
      <c r="BE25" s="764"/>
      <c r="BF25" s="764"/>
      <c r="BG25" s="764"/>
      <c r="BH25" s="764"/>
      <c r="BI25" s="764"/>
      <c r="BJ25" s="447"/>
      <c r="BK25" s="447"/>
      <c r="BL25" s="447"/>
      <c r="BM25" s="447"/>
      <c r="BN25" s="447"/>
      <c r="BO25" s="447"/>
      <c r="BP25" s="447"/>
      <c r="BQ25" s="447"/>
      <c r="BR25" s="447"/>
      <c r="BS25" s="447"/>
      <c r="BT25" s="764"/>
      <c r="BU25" s="764"/>
      <c r="BV25" s="764"/>
      <c r="BW25" s="764"/>
      <c r="BX25" s="764"/>
      <c r="BY25" s="764"/>
      <c r="BZ25" s="764"/>
    </row>
    <row r="26" spans="1:78" s="272" customFormat="1" ht="19.5" customHeight="1" x14ac:dyDescent="0.25">
      <c r="A26" s="198"/>
      <c r="B26" s="198"/>
      <c r="C26" s="198"/>
      <c r="D26" s="198"/>
      <c r="E26" s="198"/>
      <c r="F26" s="447"/>
      <c r="G26" s="468"/>
      <c r="H26" s="3421" t="s">
        <v>325</v>
      </c>
      <c r="I26" s="3421"/>
      <c r="J26" s="3421"/>
      <c r="K26" s="3421"/>
      <c r="L26" s="3421"/>
      <c r="M26" s="3421"/>
      <c r="N26" s="3421"/>
      <c r="O26" s="3421"/>
      <c r="P26" s="469"/>
      <c r="Q26" s="469"/>
      <c r="R26" s="396"/>
      <c r="S26" s="470" t="s">
        <v>302</v>
      </c>
      <c r="T26" s="197"/>
      <c r="U26" s="197"/>
      <c r="V26" s="197"/>
      <c r="W26" s="197"/>
      <c r="X26" s="197"/>
      <c r="Y26" s="480" t="str">
        <f>Overview!O5</f>
        <v>Issued: 25-Nov-2019</v>
      </c>
      <c r="Z26" s="766"/>
      <c r="AA26" s="447"/>
      <c r="AB26" s="447"/>
      <c r="AC26" s="764"/>
      <c r="AD26" s="447"/>
      <c r="AE26" s="447"/>
      <c r="AF26" s="447"/>
      <c r="AG26" s="764"/>
      <c r="AH26" s="447"/>
      <c r="AI26" s="764"/>
      <c r="AJ26" s="764"/>
      <c r="AK26" s="764"/>
      <c r="AL26" s="764"/>
      <c r="AM26" s="764"/>
      <c r="AN26" s="764"/>
      <c r="AO26" s="764"/>
      <c r="AP26" s="764"/>
      <c r="AQ26" s="764"/>
      <c r="AR26" s="447"/>
      <c r="AS26" s="764"/>
      <c r="AT26" s="764"/>
      <c r="AU26" s="764"/>
      <c r="AV26" s="764"/>
      <c r="AW26" s="764"/>
      <c r="AX26" s="764"/>
      <c r="AY26" s="764"/>
      <c r="AZ26" s="764"/>
      <c r="BA26" s="764"/>
      <c r="BB26" s="764"/>
      <c r="BC26" s="764"/>
      <c r="BD26" s="764"/>
      <c r="BE26" s="764"/>
      <c r="BF26" s="764"/>
      <c r="BG26" s="764"/>
      <c r="BH26" s="764"/>
      <c r="BI26" s="764"/>
      <c r="BJ26" s="447"/>
      <c r="BK26" s="447"/>
      <c r="BL26" s="447"/>
      <c r="BM26" s="447"/>
      <c r="BN26" s="447"/>
      <c r="BO26" s="447"/>
      <c r="BP26" s="447"/>
      <c r="BQ26" s="447"/>
      <c r="BR26" s="447"/>
      <c r="BS26" s="447"/>
      <c r="BT26" s="764"/>
      <c r="BU26" s="764"/>
      <c r="BV26" s="764"/>
      <c r="BW26" s="764"/>
      <c r="BX26" s="764"/>
      <c r="BY26" s="764"/>
      <c r="BZ26" s="764"/>
    </row>
    <row r="27" spans="1:78" s="272" customFormat="1" ht="5.25" customHeight="1" x14ac:dyDescent="0.25">
      <c r="A27" s="198"/>
      <c r="B27" s="198"/>
      <c r="C27" s="198"/>
      <c r="D27" s="198"/>
      <c r="E27" s="198"/>
      <c r="F27" s="447"/>
      <c r="G27" s="468"/>
      <c r="H27" s="3421"/>
      <c r="I27" s="3421"/>
      <c r="J27" s="3421"/>
      <c r="K27" s="3421"/>
      <c r="L27" s="3421"/>
      <c r="M27" s="3421"/>
      <c r="N27" s="3421"/>
      <c r="O27" s="3421"/>
      <c r="P27" s="469"/>
      <c r="Q27" s="469"/>
      <c r="R27" s="197"/>
      <c r="S27" s="197"/>
      <c r="T27" s="197"/>
      <c r="U27" s="197"/>
      <c r="V27" s="197"/>
      <c r="W27" s="197"/>
      <c r="X27" s="197"/>
      <c r="Y27" s="754"/>
      <c r="Z27" s="471"/>
      <c r="AA27" s="447"/>
      <c r="AB27" s="447"/>
      <c r="AC27" s="764"/>
      <c r="AD27" s="447"/>
      <c r="AE27" s="447"/>
      <c r="AF27" s="447"/>
      <c r="AG27" s="764"/>
      <c r="AH27" s="447"/>
      <c r="AI27" s="764"/>
      <c r="AJ27" s="764"/>
      <c r="AK27" s="764"/>
      <c r="AL27" s="764"/>
      <c r="AM27" s="764"/>
      <c r="AN27" s="764"/>
      <c r="AO27" s="764"/>
      <c r="AP27" s="764"/>
      <c r="AQ27" s="764"/>
      <c r="AR27" s="447"/>
      <c r="AS27" s="764"/>
      <c r="AT27" s="764"/>
      <c r="AU27" s="764"/>
      <c r="AV27" s="764"/>
      <c r="AW27" s="764"/>
      <c r="AX27" s="764"/>
      <c r="AY27" s="764"/>
      <c r="AZ27" s="764"/>
      <c r="BA27" s="764"/>
      <c r="BB27" s="764"/>
      <c r="BC27" s="764"/>
      <c r="BD27" s="764"/>
      <c r="BE27" s="764"/>
      <c r="BF27" s="764"/>
      <c r="BG27" s="764"/>
      <c r="BH27" s="764"/>
      <c r="BI27" s="764"/>
      <c r="BJ27" s="447"/>
      <c r="BK27" s="447"/>
      <c r="BL27" s="447"/>
      <c r="BM27" s="447"/>
      <c r="BN27" s="447"/>
      <c r="BO27" s="447"/>
      <c r="BP27" s="447"/>
      <c r="BQ27" s="447"/>
      <c r="BR27" s="447"/>
      <c r="BS27" s="447"/>
      <c r="BT27" s="764"/>
      <c r="BU27" s="764"/>
      <c r="BV27" s="764"/>
      <c r="BW27" s="764"/>
      <c r="BX27" s="764"/>
      <c r="BY27" s="764"/>
      <c r="BZ27" s="764"/>
    </row>
    <row r="28" spans="1:78" s="272" customFormat="1" ht="19.5" customHeight="1" x14ac:dyDescent="0.25">
      <c r="A28" s="198"/>
      <c r="B28" s="198"/>
      <c r="C28" s="198"/>
      <c r="D28" s="198"/>
      <c r="E28" s="198"/>
      <c r="F28" s="447"/>
      <c r="G28" s="468"/>
      <c r="H28" s="3421"/>
      <c r="I28" s="3421"/>
      <c r="J28" s="3421"/>
      <c r="K28" s="3421"/>
      <c r="L28" s="3421"/>
      <c r="M28" s="3421"/>
      <c r="N28" s="3421"/>
      <c r="O28" s="3421"/>
      <c r="P28" s="469"/>
      <c r="Q28" s="469"/>
      <c r="R28" s="395"/>
      <c r="S28" s="470" t="s">
        <v>2160</v>
      </c>
      <c r="T28" s="197"/>
      <c r="U28" s="197"/>
      <c r="V28" s="197"/>
      <c r="W28" s="197"/>
      <c r="X28" s="197"/>
      <c r="Y28" s="754"/>
      <c r="Z28" s="471"/>
      <c r="AA28" s="447"/>
      <c r="AB28" s="447"/>
      <c r="AC28" s="764"/>
      <c r="AD28" s="447"/>
      <c r="AE28" s="447"/>
      <c r="AF28" s="447"/>
      <c r="AG28" s="764"/>
      <c r="AH28" s="447"/>
      <c r="AI28" s="764"/>
      <c r="AJ28" s="764"/>
      <c r="AK28" s="764"/>
      <c r="AL28" s="764"/>
      <c r="AM28" s="764"/>
      <c r="AN28" s="764"/>
      <c r="AO28" s="764"/>
      <c r="AP28" s="764"/>
      <c r="AQ28" s="764"/>
      <c r="AR28" s="447"/>
      <c r="AS28" s="764"/>
      <c r="AT28" s="764"/>
      <c r="AU28" s="764"/>
      <c r="AV28" s="764"/>
      <c r="AW28" s="764"/>
      <c r="AX28" s="764"/>
      <c r="AY28" s="764"/>
      <c r="AZ28" s="764"/>
      <c r="BA28" s="764"/>
      <c r="BB28" s="764"/>
      <c r="BC28" s="764"/>
      <c r="BD28" s="764"/>
      <c r="BE28" s="764"/>
      <c r="BF28" s="764"/>
      <c r="BG28" s="764"/>
      <c r="BH28" s="764"/>
      <c r="BI28" s="764"/>
      <c r="BJ28" s="447"/>
      <c r="BK28" s="447"/>
      <c r="BL28" s="447"/>
      <c r="BM28" s="447"/>
      <c r="BN28" s="447"/>
      <c r="BO28" s="447"/>
      <c r="BP28" s="447"/>
      <c r="BQ28" s="447"/>
      <c r="BR28" s="447"/>
      <c r="BS28" s="447"/>
      <c r="BT28" s="764"/>
      <c r="BU28" s="764"/>
      <c r="BV28" s="764"/>
      <c r="BW28" s="764"/>
      <c r="BX28" s="764"/>
      <c r="BY28" s="764"/>
      <c r="BZ28" s="764"/>
    </row>
    <row r="29" spans="1:78" s="272" customFormat="1" ht="7.5" customHeight="1" x14ac:dyDescent="0.5">
      <c r="A29" s="198"/>
      <c r="B29" s="198"/>
      <c r="C29" s="198"/>
      <c r="D29" s="198"/>
      <c r="E29" s="198"/>
      <c r="F29" s="447"/>
      <c r="G29" s="468"/>
      <c r="H29" s="397"/>
      <c r="I29" s="398"/>
      <c r="J29" s="398"/>
      <c r="K29" s="398"/>
      <c r="L29" s="398"/>
      <c r="M29" s="398"/>
      <c r="N29" s="398"/>
      <c r="O29" s="398"/>
      <c r="P29" s="398"/>
      <c r="Q29" s="398"/>
      <c r="R29" s="398"/>
      <c r="S29" s="398"/>
      <c r="T29" s="399"/>
      <c r="U29" s="399"/>
      <c r="V29" s="398"/>
      <c r="W29" s="398"/>
      <c r="X29" s="398"/>
      <c r="Y29" s="398"/>
      <c r="Z29" s="471"/>
      <c r="AA29" s="447"/>
      <c r="AB29" s="447"/>
      <c r="AC29" s="764"/>
      <c r="AD29" s="447"/>
      <c r="AE29" s="447"/>
      <c r="AF29" s="447"/>
      <c r="AG29" s="764"/>
      <c r="AH29" s="447"/>
      <c r="AI29" s="764"/>
      <c r="AJ29" s="764"/>
      <c r="AK29" s="764"/>
      <c r="AL29" s="764"/>
      <c r="AM29" s="764"/>
      <c r="AN29" s="764"/>
      <c r="AO29" s="764"/>
      <c r="AP29" s="764"/>
      <c r="AQ29" s="764"/>
      <c r="AR29" s="447"/>
      <c r="AS29" s="764"/>
      <c r="AT29" s="764"/>
      <c r="AU29" s="764"/>
      <c r="AV29" s="764"/>
      <c r="AW29" s="764"/>
      <c r="AX29" s="764"/>
      <c r="AY29" s="764"/>
      <c r="AZ29" s="764"/>
      <c r="BA29" s="764"/>
      <c r="BB29" s="764"/>
      <c r="BC29" s="764"/>
      <c r="BD29" s="764"/>
      <c r="BE29" s="764"/>
      <c r="BF29" s="764"/>
      <c r="BG29" s="764"/>
      <c r="BH29" s="764"/>
      <c r="BI29" s="764"/>
      <c r="BJ29" s="447"/>
      <c r="BK29" s="447"/>
      <c r="BL29" s="447"/>
      <c r="BM29" s="447"/>
      <c r="BN29" s="447"/>
      <c r="BO29" s="447"/>
      <c r="BP29" s="447"/>
      <c r="BQ29" s="447"/>
      <c r="BR29" s="447"/>
      <c r="BS29" s="447"/>
      <c r="BT29" s="764"/>
      <c r="BU29" s="764"/>
      <c r="BV29" s="764"/>
      <c r="BW29" s="764"/>
      <c r="BX29" s="764"/>
      <c r="BY29" s="764"/>
      <c r="BZ29" s="764"/>
    </row>
    <row r="30" spans="1:78" s="272" customFormat="1" ht="25.35" customHeight="1" x14ac:dyDescent="0.5">
      <c r="A30" s="198"/>
      <c r="B30" s="198"/>
      <c r="C30" s="198"/>
      <c r="D30" s="198"/>
      <c r="E30" s="198"/>
      <c r="F30" s="447"/>
      <c r="G30" s="468"/>
      <c r="H30" s="472"/>
      <c r="I30" s="197"/>
      <c r="J30" s="197"/>
      <c r="K30" s="197"/>
      <c r="L30" s="197"/>
      <c r="M30" s="197"/>
      <c r="N30" s="197"/>
      <c r="O30" s="197"/>
      <c r="P30" s="197"/>
      <c r="Q30" s="197"/>
      <c r="R30" s="197"/>
      <c r="S30" s="197"/>
      <c r="T30" s="470"/>
      <c r="U30" s="470"/>
      <c r="V30" s="197"/>
      <c r="W30" s="197"/>
      <c r="X30" s="197"/>
      <c r="Y30" s="754"/>
      <c r="Z30" s="471"/>
      <c r="AA30" s="447"/>
      <c r="AB30" s="447"/>
      <c r="AC30" s="764"/>
      <c r="AD30" s="447"/>
      <c r="AE30" s="447"/>
      <c r="AF30" s="447"/>
      <c r="AG30" s="764"/>
      <c r="AH30" s="447"/>
      <c r="AI30" s="764"/>
      <c r="AJ30" s="764"/>
      <c r="AK30" s="764"/>
      <c r="AL30" s="764"/>
      <c r="AM30" s="764"/>
      <c r="AN30" s="764"/>
      <c r="AO30" s="764"/>
      <c r="AP30" s="764"/>
      <c r="AQ30" s="764"/>
      <c r="AR30" s="447"/>
      <c r="AS30" s="764"/>
      <c r="AT30" s="764"/>
      <c r="AU30" s="764"/>
      <c r="AV30" s="764"/>
      <c r="AW30" s="764"/>
      <c r="AX30" s="764"/>
      <c r="AY30" s="764"/>
      <c r="AZ30" s="764"/>
      <c r="BA30" s="764"/>
      <c r="BB30" s="764"/>
      <c r="BC30" s="764"/>
      <c r="BD30" s="764"/>
      <c r="BE30" s="764"/>
      <c r="BF30" s="764"/>
      <c r="BG30" s="764"/>
      <c r="BH30" s="764"/>
      <c r="BI30" s="764"/>
      <c r="BJ30" s="447"/>
      <c r="BK30" s="447"/>
      <c r="BL30" s="447"/>
      <c r="BM30" s="447"/>
      <c r="BN30" s="447"/>
      <c r="BO30" s="447"/>
      <c r="BP30" s="447"/>
      <c r="BQ30" s="447"/>
      <c r="BR30" s="447"/>
      <c r="BS30" s="447"/>
      <c r="BT30" s="764"/>
      <c r="BU30" s="764"/>
      <c r="BV30" s="764"/>
      <c r="BW30" s="764"/>
      <c r="BX30" s="764"/>
      <c r="BY30" s="764"/>
      <c r="BZ30" s="764"/>
    </row>
    <row r="31" spans="1:78" s="749" customFormat="1" ht="29.25" customHeight="1" x14ac:dyDescent="0.25">
      <c r="A31" s="198"/>
      <c r="B31" s="198"/>
      <c r="C31" s="198"/>
      <c r="D31" s="198"/>
      <c r="E31" s="198"/>
      <c r="F31" s="764"/>
      <c r="G31" s="765"/>
      <c r="H31" s="473">
        <v>1</v>
      </c>
      <c r="I31" s="473" t="s">
        <v>2158</v>
      </c>
      <c r="J31" s="754"/>
      <c r="K31" s="754"/>
      <c r="L31" s="754"/>
      <c r="M31" s="754"/>
      <c r="N31" s="754"/>
      <c r="O31" s="754"/>
      <c r="P31" s="754"/>
      <c r="Q31" s="754"/>
      <c r="R31" s="754"/>
      <c r="S31" s="754"/>
      <c r="T31" s="470"/>
      <c r="U31" s="470"/>
      <c r="V31" s="754"/>
      <c r="W31" s="754"/>
      <c r="X31" s="754"/>
      <c r="Y31" s="754"/>
      <c r="Z31" s="766"/>
      <c r="AA31" s="764"/>
      <c r="AB31" s="764"/>
      <c r="AC31" s="764"/>
      <c r="AD31" s="764"/>
      <c r="AE31" s="764"/>
      <c r="AF31" s="764"/>
      <c r="AG31" s="764"/>
      <c r="AH31" s="764"/>
      <c r="AI31" s="764"/>
      <c r="AJ31" s="764"/>
      <c r="AK31" s="764"/>
      <c r="AL31" s="764"/>
      <c r="AM31" s="764"/>
      <c r="AN31" s="764"/>
      <c r="AO31" s="764"/>
      <c r="AP31" s="764"/>
      <c r="AQ31" s="764"/>
      <c r="AR31" s="764"/>
      <c r="AS31" s="764"/>
      <c r="AT31" s="764"/>
      <c r="AU31" s="764"/>
      <c r="AV31" s="764"/>
      <c r="AW31" s="764"/>
      <c r="AX31" s="764"/>
      <c r="AY31" s="764"/>
      <c r="AZ31" s="764"/>
      <c r="BA31" s="764"/>
      <c r="BB31" s="764"/>
      <c r="BC31" s="764"/>
      <c r="BD31" s="764"/>
      <c r="BE31" s="764"/>
      <c r="BF31" s="764"/>
      <c r="BG31" s="764"/>
      <c r="BH31" s="764"/>
      <c r="BI31" s="764"/>
      <c r="BJ31" s="764"/>
      <c r="BK31" s="764"/>
      <c r="BL31" s="764"/>
      <c r="BM31" s="764"/>
      <c r="BN31" s="764"/>
      <c r="BO31" s="764"/>
      <c r="BP31" s="764"/>
      <c r="BQ31" s="764"/>
      <c r="BR31" s="764"/>
      <c r="BS31" s="764"/>
      <c r="BT31" s="764"/>
      <c r="BU31" s="764"/>
      <c r="BV31" s="764"/>
      <c r="BW31" s="764"/>
      <c r="BX31" s="764"/>
      <c r="BY31" s="764"/>
      <c r="BZ31" s="764"/>
    </row>
    <row r="32" spans="1:78" s="749" customFormat="1" ht="6.6" customHeight="1" thickBot="1" x14ac:dyDescent="0.3">
      <c r="A32" s="198"/>
      <c r="B32" s="198"/>
      <c r="C32" s="198"/>
      <c r="D32" s="198"/>
      <c r="E32" s="198"/>
      <c r="F32" s="764"/>
      <c r="G32" s="765"/>
      <c r="H32" s="473"/>
      <c r="I32" s="470"/>
      <c r="J32" s="754"/>
      <c r="K32" s="754"/>
      <c r="L32" s="754"/>
      <c r="M32" s="754"/>
      <c r="N32" s="754"/>
      <c r="O32" s="754"/>
      <c r="P32" s="754"/>
      <c r="Q32" s="754"/>
      <c r="R32" s="754"/>
      <c r="S32" s="754"/>
      <c r="T32" s="470"/>
      <c r="U32" s="470"/>
      <c r="V32" s="754"/>
      <c r="W32" s="754"/>
      <c r="X32" s="754"/>
      <c r="Y32" s="754"/>
      <c r="Z32" s="766"/>
      <c r="AA32" s="764"/>
      <c r="AB32" s="764"/>
      <c r="AC32" s="764"/>
      <c r="AD32" s="764"/>
      <c r="AE32" s="764"/>
      <c r="AF32" s="764"/>
      <c r="AG32" s="764"/>
      <c r="AH32" s="764"/>
      <c r="AI32" s="764"/>
      <c r="AJ32" s="764"/>
      <c r="AK32" s="764"/>
      <c r="AL32" s="764"/>
      <c r="AM32" s="764"/>
      <c r="AN32" s="764"/>
      <c r="AO32" s="764"/>
      <c r="AP32" s="764"/>
      <c r="AQ32" s="764"/>
      <c r="AR32" s="764"/>
      <c r="AS32" s="764"/>
      <c r="AT32" s="764"/>
      <c r="AU32" s="764"/>
      <c r="AV32" s="764"/>
      <c r="AW32" s="764"/>
      <c r="AX32" s="764"/>
      <c r="AY32" s="764"/>
      <c r="AZ32" s="764"/>
      <c r="BA32" s="764"/>
      <c r="BB32" s="764"/>
      <c r="BC32" s="764"/>
      <c r="BD32" s="764"/>
      <c r="BE32" s="764"/>
      <c r="BF32" s="764"/>
      <c r="BG32" s="764"/>
      <c r="BH32" s="764"/>
      <c r="BI32" s="764"/>
      <c r="BJ32" s="764"/>
      <c r="BK32" s="764"/>
      <c r="BL32" s="764"/>
      <c r="BM32" s="764"/>
      <c r="BN32" s="764"/>
      <c r="BO32" s="764"/>
      <c r="BP32" s="764"/>
      <c r="BQ32" s="764"/>
      <c r="BR32" s="764"/>
      <c r="BS32" s="764"/>
      <c r="BT32" s="764"/>
      <c r="BU32" s="764"/>
      <c r="BV32" s="764"/>
      <c r="BW32" s="764"/>
      <c r="BX32" s="764"/>
      <c r="BY32" s="764"/>
      <c r="BZ32" s="764"/>
    </row>
    <row r="33" spans="1:78" s="749" customFormat="1" ht="24.6" customHeight="1" thickBot="1" x14ac:dyDescent="0.3">
      <c r="A33" s="198"/>
      <c r="B33" s="198"/>
      <c r="C33" s="198"/>
      <c r="D33" s="198"/>
      <c r="E33" s="198"/>
      <c r="F33" s="764"/>
      <c r="G33" s="765"/>
      <c r="H33" s="767" t="s">
        <v>60</v>
      </c>
      <c r="I33" s="3423" t="s">
        <v>2545</v>
      </c>
      <c r="J33" s="3424"/>
      <c r="K33" s="3424"/>
      <c r="L33" s="3424"/>
      <c r="M33" s="3425"/>
      <c r="N33" s="1869" t="str">
        <f>HYPERLINK("#"&amp;ADDRESS(ROW(),COLUMN()-1),CHAR(128))</f>
        <v>€</v>
      </c>
      <c r="Q33" s="767" t="s">
        <v>2159</v>
      </c>
      <c r="R33" s="3426" t="s">
        <v>2767</v>
      </c>
      <c r="S33" s="3427"/>
      <c r="T33" s="3427"/>
      <c r="U33" s="3427"/>
      <c r="V33" s="3427"/>
      <c r="W33" s="3427"/>
      <c r="X33" s="3428"/>
      <c r="Y33" s="1869" t="str">
        <f>HYPERLINK("#"&amp;ADDRESS(ROW(),COLUMN()-1),CHAR(128))</f>
        <v>€</v>
      </c>
      <c r="Z33" s="766"/>
      <c r="AA33" s="764"/>
      <c r="AB33" s="764"/>
      <c r="AC33" s="764"/>
      <c r="AD33" s="764"/>
      <c r="AE33" s="764"/>
      <c r="AF33" s="764"/>
      <c r="AG33" s="764"/>
      <c r="AH33" s="764"/>
      <c r="AI33" s="764"/>
      <c r="AJ33" s="764"/>
      <c r="AK33" s="764"/>
      <c r="AL33" s="764"/>
      <c r="AM33" s="764"/>
      <c r="AN33" s="764"/>
      <c r="AO33" s="764"/>
      <c r="AP33" s="764"/>
      <c r="AQ33" s="764"/>
      <c r="AR33" s="764"/>
      <c r="AS33" s="764"/>
      <c r="AT33" s="764"/>
      <c r="AU33" s="764"/>
      <c r="AV33" s="764"/>
      <c r="AW33" s="764"/>
      <c r="AX33" s="764"/>
      <c r="AY33" s="764"/>
      <c r="AZ33" s="764"/>
      <c r="BA33" s="764"/>
      <c r="BB33" s="764"/>
      <c r="BC33" s="764"/>
      <c r="BD33" s="764"/>
      <c r="BE33" s="764"/>
      <c r="BF33" s="764"/>
      <c r="BG33" s="764"/>
      <c r="BH33" s="764"/>
      <c r="BI33" s="764"/>
      <c r="BJ33" s="764"/>
      <c r="BK33" s="764"/>
      <c r="BL33" s="764"/>
      <c r="BM33" s="764"/>
      <c r="BN33" s="764"/>
      <c r="BO33" s="764"/>
      <c r="BP33" s="764"/>
      <c r="BQ33" s="764"/>
      <c r="BR33" s="764"/>
      <c r="BS33" s="764"/>
      <c r="BT33" s="764"/>
      <c r="BU33" s="764"/>
      <c r="BV33" s="764"/>
      <c r="BW33" s="764"/>
      <c r="BX33" s="764"/>
      <c r="BY33" s="764"/>
      <c r="BZ33" s="764"/>
    </row>
    <row r="34" spans="1:78" s="749" customFormat="1" ht="4.5" customHeight="1" x14ac:dyDescent="0.5">
      <c r="A34" s="198"/>
      <c r="B34" s="198"/>
      <c r="C34" s="198"/>
      <c r="D34" s="198"/>
      <c r="E34" s="198"/>
      <c r="F34" s="764"/>
      <c r="G34" s="765"/>
      <c r="H34" s="472"/>
      <c r="I34" s="754"/>
      <c r="J34" s="754"/>
      <c r="K34" s="754"/>
      <c r="L34" s="754"/>
      <c r="M34" s="754"/>
      <c r="N34" s="754"/>
      <c r="O34" s="754"/>
      <c r="P34" s="754"/>
      <c r="Q34" s="754"/>
      <c r="Z34" s="766"/>
      <c r="AA34" s="764"/>
      <c r="AB34" s="764"/>
      <c r="AC34" s="764"/>
      <c r="AD34" s="764"/>
      <c r="AE34" s="764"/>
      <c r="AF34" s="764"/>
      <c r="AG34" s="764"/>
      <c r="AH34" s="764"/>
      <c r="AI34" s="764"/>
      <c r="AJ34" s="764"/>
      <c r="AK34" s="764"/>
      <c r="AL34" s="764"/>
      <c r="AM34" s="764"/>
      <c r="AN34" s="764"/>
      <c r="AO34" s="764"/>
      <c r="AP34" s="764"/>
      <c r="AQ34" s="764"/>
      <c r="AR34" s="764"/>
      <c r="AS34" s="764"/>
      <c r="AT34" s="764"/>
      <c r="AU34" s="764"/>
      <c r="AV34" s="764"/>
      <c r="AW34" s="764"/>
      <c r="AX34" s="764"/>
      <c r="AY34" s="764"/>
      <c r="AZ34" s="764"/>
      <c r="BA34" s="764"/>
      <c r="BB34" s="764"/>
      <c r="BC34" s="764"/>
      <c r="BD34" s="764"/>
      <c r="BE34" s="764"/>
      <c r="BF34" s="764"/>
      <c r="BG34" s="764"/>
      <c r="BH34" s="764"/>
      <c r="BI34" s="764"/>
      <c r="BJ34" s="764"/>
      <c r="BK34" s="764"/>
      <c r="BL34" s="764"/>
      <c r="BM34" s="764"/>
      <c r="BN34" s="764"/>
      <c r="BO34" s="764"/>
      <c r="BP34" s="764"/>
      <c r="BQ34" s="764"/>
      <c r="BR34" s="764"/>
      <c r="BS34" s="764"/>
      <c r="BT34" s="764"/>
      <c r="BU34" s="764"/>
      <c r="BV34" s="764"/>
      <c r="BW34" s="764"/>
      <c r="BX34" s="764"/>
      <c r="BY34" s="764"/>
      <c r="BZ34" s="764"/>
    </row>
    <row r="35" spans="1:78" s="749" customFormat="1" ht="53.4" customHeight="1" x14ac:dyDescent="0.25">
      <c r="A35" s="198"/>
      <c r="B35" s="198"/>
      <c r="C35" s="198"/>
      <c r="D35" s="198"/>
      <c r="E35" s="198"/>
      <c r="F35" s="764"/>
      <c r="G35" s="765"/>
      <c r="H35" s="767"/>
      <c r="I35" s="3365" t="str">
        <f>INDEX(M7:M9,$G$2)</f>
        <v>1.  Changes mode is a filtered version of Pricing Mode
2.  Changes are added to the Plan tabs and tagged 
3.  Filtering is done by Change ID (column E on the Plan tabs)
4.  Select changes you want included on the Sign-Off tab
5.  You can only upload one change ID to IPCS at a time</v>
      </c>
      <c r="J35" s="3369"/>
      <c r="K35" s="3369"/>
      <c r="L35" s="3369"/>
      <c r="M35" s="3370"/>
      <c r="P35" s="1866"/>
      <c r="Q35" s="1866"/>
      <c r="R35" s="3365" t="str">
        <f>INDEX(M11:M13,L2)</f>
        <v>The contents of the Activity Plan will carry through to the Sign-Off tab, Control Accounts tab and the hidden IPCS upload tabs.</v>
      </c>
      <c r="S35" s="3369"/>
      <c r="T35" s="3369"/>
      <c r="U35" s="3369"/>
      <c r="V35" s="3369"/>
      <c r="W35" s="3369"/>
      <c r="X35" s="3370"/>
      <c r="Y35" s="1866"/>
      <c r="Z35" s="766"/>
      <c r="AA35" s="764"/>
      <c r="AB35" s="764"/>
      <c r="AC35" s="764"/>
      <c r="AD35" s="764"/>
      <c r="AE35" s="764"/>
      <c r="AF35" s="764"/>
      <c r="AG35" s="764"/>
      <c r="AH35" s="764"/>
      <c r="AI35" s="764"/>
      <c r="AJ35" s="764"/>
      <c r="AK35" s="764"/>
      <c r="AL35" s="764"/>
      <c r="AM35" s="764"/>
      <c r="AN35" s="764"/>
      <c r="AO35" s="764"/>
      <c r="AP35" s="764"/>
      <c r="AQ35" s="764"/>
      <c r="AR35" s="764"/>
      <c r="AS35" s="764"/>
      <c r="AT35" s="764"/>
      <c r="AU35" s="764"/>
      <c r="AV35" s="764"/>
      <c r="AW35" s="764"/>
      <c r="AX35" s="764"/>
      <c r="AY35" s="764"/>
      <c r="AZ35" s="764"/>
      <c r="BA35" s="764"/>
      <c r="BB35" s="764"/>
      <c r="BC35" s="764"/>
      <c r="BD35" s="764"/>
      <c r="BE35" s="764"/>
      <c r="BF35" s="764"/>
      <c r="BG35" s="764"/>
      <c r="BH35" s="764"/>
      <c r="BI35" s="764"/>
      <c r="BJ35" s="764"/>
      <c r="BK35" s="764"/>
      <c r="BL35" s="764"/>
      <c r="BM35" s="764"/>
      <c r="BN35" s="764"/>
      <c r="BO35" s="764"/>
      <c r="BP35" s="764"/>
      <c r="BQ35" s="764"/>
      <c r="BR35" s="764"/>
      <c r="BS35" s="764"/>
      <c r="BT35" s="764"/>
      <c r="BU35" s="764"/>
      <c r="BV35" s="764"/>
      <c r="BW35" s="764"/>
      <c r="BX35" s="764"/>
      <c r="BY35" s="764"/>
      <c r="BZ35" s="764"/>
    </row>
    <row r="36" spans="1:78" s="749" customFormat="1" ht="24.6" customHeight="1" x14ac:dyDescent="0.5">
      <c r="A36" s="198"/>
      <c r="B36" s="198"/>
      <c r="C36" s="198"/>
      <c r="D36" s="198"/>
      <c r="E36" s="198"/>
      <c r="F36" s="764"/>
      <c r="G36" s="765"/>
      <c r="H36" s="472"/>
      <c r="I36" s="3431" t="s">
        <v>2862</v>
      </c>
      <c r="J36" s="3431"/>
      <c r="K36" s="3431"/>
      <c r="L36" s="3431"/>
      <c r="M36" s="3431"/>
      <c r="N36" s="754"/>
      <c r="O36" s="754"/>
      <c r="P36" s="754"/>
      <c r="Q36" s="754"/>
      <c r="R36" s="754"/>
      <c r="S36" s="754"/>
      <c r="T36" s="470"/>
      <c r="U36" s="470"/>
      <c r="V36" s="754"/>
      <c r="W36" s="754"/>
      <c r="X36" s="754"/>
      <c r="Y36" s="754"/>
      <c r="Z36" s="766"/>
      <c r="AA36" s="764"/>
      <c r="AB36" s="764"/>
      <c r="AC36" s="764"/>
      <c r="AD36" s="764"/>
      <c r="AE36" s="764"/>
      <c r="AF36" s="764"/>
      <c r="AG36" s="764"/>
      <c r="AH36" s="764"/>
      <c r="AI36" s="764"/>
      <c r="AJ36" s="764"/>
      <c r="AK36" s="764"/>
      <c r="AL36" s="764"/>
      <c r="AM36" s="764"/>
      <c r="AN36" s="764"/>
      <c r="AO36" s="764"/>
      <c r="AP36" s="764"/>
      <c r="AQ36" s="764"/>
      <c r="AR36" s="764"/>
      <c r="AS36" s="764"/>
      <c r="AT36" s="764"/>
      <c r="AU36" s="764"/>
      <c r="AV36" s="764"/>
      <c r="AW36" s="764"/>
      <c r="AX36" s="764"/>
      <c r="AY36" s="764"/>
      <c r="AZ36" s="764"/>
      <c r="BA36" s="764"/>
      <c r="BB36" s="764"/>
      <c r="BC36" s="764"/>
      <c r="BD36" s="764"/>
      <c r="BE36" s="764"/>
      <c r="BF36" s="764"/>
      <c r="BG36" s="764"/>
      <c r="BH36" s="764"/>
      <c r="BI36" s="764"/>
      <c r="BJ36" s="764"/>
      <c r="BK36" s="764"/>
      <c r="BL36" s="764"/>
      <c r="BM36" s="764"/>
      <c r="BN36" s="764"/>
      <c r="BO36" s="764"/>
      <c r="BP36" s="764"/>
      <c r="BQ36" s="764"/>
      <c r="BR36" s="764"/>
      <c r="BS36" s="764"/>
      <c r="BT36" s="764"/>
      <c r="BU36" s="764"/>
      <c r="BV36" s="764"/>
      <c r="BW36" s="764"/>
      <c r="BX36" s="764"/>
      <c r="BY36" s="764"/>
      <c r="BZ36" s="764"/>
    </row>
    <row r="37" spans="1:78" s="272" customFormat="1" ht="24" customHeight="1" x14ac:dyDescent="0.25">
      <c r="A37" s="198"/>
      <c r="B37" s="198"/>
      <c r="C37" s="198"/>
      <c r="D37" s="198"/>
      <c r="E37" s="198"/>
      <c r="F37" s="447"/>
      <c r="G37" s="468"/>
      <c r="H37" s="473">
        <v>2</v>
      </c>
      <c r="I37" s="473" t="str">
        <f>IF(ISBLANK(I51),"Proposal Details","Project Details")</f>
        <v>Project Details</v>
      </c>
      <c r="J37" s="473"/>
      <c r="K37" s="197"/>
      <c r="L37" s="197"/>
      <c r="M37" s="197"/>
      <c r="N37" s="197"/>
      <c r="O37" s="197"/>
      <c r="P37" s="197"/>
      <c r="Q37" s="197"/>
      <c r="R37" s="3429" t="s">
        <v>3400</v>
      </c>
      <c r="S37" s="3429"/>
      <c r="T37" s="3429"/>
      <c r="U37" s="3429"/>
      <c r="V37" s="3429"/>
      <c r="W37" s="3429"/>
      <c r="X37" s="3429"/>
      <c r="Y37" s="749"/>
      <c r="Z37" s="471"/>
      <c r="AA37" s="447"/>
      <c r="AB37" s="447"/>
      <c r="AC37" s="764"/>
      <c r="AD37" s="447"/>
      <c r="AE37" s="447"/>
      <c r="AF37" s="447"/>
      <c r="AG37" s="764"/>
      <c r="AH37" s="447"/>
      <c r="AI37" s="764"/>
      <c r="AJ37" s="764"/>
      <c r="AK37" s="764"/>
      <c r="AL37" s="764"/>
      <c r="AM37" s="764"/>
      <c r="AN37" s="764"/>
      <c r="AO37" s="764"/>
      <c r="AP37" s="764"/>
      <c r="AQ37" s="764"/>
      <c r="AR37" s="447"/>
      <c r="AS37" s="764"/>
      <c r="AT37" s="764"/>
      <c r="AU37" s="764"/>
      <c r="AV37" s="764"/>
      <c r="AW37" s="764"/>
      <c r="AX37" s="764"/>
      <c r="AY37" s="764"/>
      <c r="AZ37" s="764"/>
      <c r="BA37" s="764"/>
      <c r="BB37" s="764"/>
      <c r="BC37" s="764"/>
      <c r="BD37" s="764"/>
      <c r="BE37" s="764"/>
      <c r="BF37" s="764"/>
      <c r="BG37" s="764"/>
      <c r="BH37" s="764"/>
      <c r="BI37" s="764"/>
      <c r="BJ37" s="447"/>
      <c r="BK37" s="447"/>
      <c r="BL37" s="447"/>
      <c r="BM37" s="447"/>
      <c r="BN37" s="447"/>
      <c r="BO37" s="447"/>
      <c r="BP37" s="447"/>
      <c r="BQ37" s="447"/>
      <c r="BR37" s="447"/>
      <c r="BS37" s="447"/>
      <c r="BT37" s="764"/>
      <c r="BU37" s="764"/>
      <c r="BV37" s="764"/>
      <c r="BW37" s="764"/>
      <c r="BX37" s="764"/>
      <c r="BY37" s="764"/>
      <c r="BZ37" s="764"/>
    </row>
    <row r="38" spans="1:78" s="272" customFormat="1" ht="6.75" customHeight="1" thickBot="1" x14ac:dyDescent="0.55000000000000004">
      <c r="A38" s="198"/>
      <c r="B38" s="198"/>
      <c r="C38" s="198"/>
      <c r="D38" s="198"/>
      <c r="E38" s="198"/>
      <c r="F38" s="447"/>
      <c r="G38" s="468"/>
      <c r="H38" s="472"/>
      <c r="I38" s="197"/>
      <c r="J38" s="197"/>
      <c r="K38" s="197"/>
      <c r="L38" s="197"/>
      <c r="M38" s="197"/>
      <c r="N38" s="197"/>
      <c r="O38" s="197"/>
      <c r="P38" s="197"/>
      <c r="Q38" s="197"/>
      <c r="R38" s="3430"/>
      <c r="S38" s="3430"/>
      <c r="T38" s="3430"/>
      <c r="U38" s="3430"/>
      <c r="V38" s="3430"/>
      <c r="W38" s="3430"/>
      <c r="X38" s="3430"/>
      <c r="Y38" s="749"/>
      <c r="Z38" s="471"/>
      <c r="AA38" s="447"/>
      <c r="AB38" s="447"/>
      <c r="AC38" s="764"/>
      <c r="AD38" s="447"/>
      <c r="AE38" s="447"/>
      <c r="AF38" s="447"/>
      <c r="AG38" s="764"/>
      <c r="AH38" s="447"/>
      <c r="AI38" s="764"/>
      <c r="AJ38" s="764"/>
      <c r="AK38" s="764"/>
      <c r="AL38" s="764"/>
      <c r="AM38" s="764"/>
      <c r="AN38" s="764"/>
      <c r="AO38" s="764"/>
      <c r="AP38" s="764"/>
      <c r="AQ38" s="764"/>
      <c r="AR38" s="447"/>
      <c r="AS38" s="764"/>
      <c r="AT38" s="764"/>
      <c r="AU38" s="764"/>
      <c r="AV38" s="764"/>
      <c r="AW38" s="764"/>
      <c r="AX38" s="764"/>
      <c r="AY38" s="764"/>
      <c r="AZ38" s="764"/>
      <c r="BA38" s="764"/>
      <c r="BB38" s="764"/>
      <c r="BC38" s="764"/>
      <c r="BD38" s="764"/>
      <c r="BE38" s="764"/>
      <c r="BF38" s="764"/>
      <c r="BG38" s="764"/>
      <c r="BH38" s="764"/>
      <c r="BI38" s="764"/>
      <c r="BJ38" s="447"/>
      <c r="BK38" s="447"/>
      <c r="BL38" s="447"/>
      <c r="BM38" s="447"/>
      <c r="BN38" s="447"/>
      <c r="BO38" s="447"/>
      <c r="BP38" s="447"/>
      <c r="BQ38" s="447"/>
      <c r="BR38" s="447"/>
      <c r="BS38" s="447"/>
      <c r="BT38" s="764"/>
      <c r="BU38" s="764"/>
      <c r="BV38" s="764"/>
      <c r="BW38" s="764"/>
      <c r="BX38" s="764"/>
      <c r="BY38" s="764"/>
      <c r="BZ38" s="764"/>
    </row>
    <row r="39" spans="1:78" s="272" customFormat="1" ht="18" customHeight="1" thickBot="1" x14ac:dyDescent="0.3">
      <c r="A39" s="198"/>
      <c r="B39" s="198"/>
      <c r="C39" s="198"/>
      <c r="D39" s="198"/>
      <c r="E39" s="198"/>
      <c r="F39" s="447"/>
      <c r="G39" s="468"/>
      <c r="H39" s="474" t="s">
        <v>298</v>
      </c>
      <c r="I39" s="3426" t="s">
        <v>4402</v>
      </c>
      <c r="J39" s="3427"/>
      <c r="K39" s="3427"/>
      <c r="L39" s="3427"/>
      <c r="M39" s="3428"/>
      <c r="N39" s="754"/>
      <c r="O39" s="754"/>
      <c r="P39" s="754"/>
      <c r="R39" s="3387" t="s">
        <v>4402</v>
      </c>
      <c r="S39" s="3388"/>
      <c r="T39" s="3388"/>
      <c r="U39" s="3388"/>
      <c r="V39" s="3388"/>
      <c r="W39" s="3388"/>
      <c r="X39" s="3389"/>
      <c r="Y39" s="749"/>
      <c r="Z39" s="471"/>
      <c r="AA39" s="447"/>
      <c r="AB39" s="447"/>
      <c r="AC39" s="764"/>
      <c r="AD39" s="447"/>
      <c r="AE39" s="447"/>
      <c r="AF39" s="447"/>
      <c r="AG39" s="764"/>
      <c r="AH39" s="447"/>
      <c r="AI39" s="764"/>
      <c r="AJ39" s="764"/>
      <c r="AK39" s="764"/>
      <c r="AL39" s="764"/>
      <c r="AM39" s="764"/>
      <c r="AN39" s="764"/>
      <c r="AO39" s="764"/>
      <c r="AP39" s="764"/>
      <c r="AQ39" s="764"/>
      <c r="AR39" s="447"/>
      <c r="AS39" s="764"/>
      <c r="AT39" s="764"/>
      <c r="AU39" s="764"/>
      <c r="AV39" s="764"/>
      <c r="AW39" s="764"/>
      <c r="AX39" s="764"/>
      <c r="AY39" s="764"/>
      <c r="AZ39" s="764"/>
      <c r="BA39" s="764"/>
      <c r="BB39" s="764"/>
      <c r="BC39" s="764"/>
      <c r="BD39" s="764"/>
      <c r="BE39" s="764"/>
      <c r="BF39" s="764"/>
      <c r="BG39" s="764"/>
      <c r="BH39" s="764"/>
      <c r="BI39" s="764"/>
      <c r="BJ39" s="447"/>
      <c r="BK39" s="447"/>
      <c r="BL39" s="447"/>
      <c r="BM39" s="447"/>
      <c r="BN39" s="447"/>
      <c r="BO39" s="447"/>
      <c r="BP39" s="447"/>
      <c r="BQ39" s="447"/>
      <c r="BR39" s="447"/>
      <c r="BS39" s="447"/>
      <c r="BT39" s="764"/>
      <c r="BU39" s="764"/>
      <c r="BV39" s="764"/>
      <c r="BW39" s="764"/>
      <c r="BX39" s="764"/>
      <c r="BY39" s="764"/>
      <c r="BZ39" s="764"/>
    </row>
    <row r="40" spans="1:78" s="272" customFormat="1" ht="4.5" customHeight="1" x14ac:dyDescent="0.5">
      <c r="A40" s="198"/>
      <c r="B40" s="198"/>
      <c r="C40" s="198"/>
      <c r="D40" s="198"/>
      <c r="E40" s="198"/>
      <c r="F40" s="764"/>
      <c r="G40" s="765"/>
      <c r="H40" s="472"/>
      <c r="I40" s="475"/>
      <c r="J40" s="475"/>
      <c r="K40" s="475"/>
      <c r="L40" s="475"/>
      <c r="M40" s="475"/>
      <c r="N40" s="475"/>
      <c r="O40" s="475"/>
      <c r="P40" s="476"/>
      <c r="Q40" s="197"/>
      <c r="R40" s="749"/>
      <c r="S40" s="749"/>
      <c r="T40" s="749"/>
      <c r="U40" s="749"/>
      <c r="V40" s="749"/>
      <c r="W40" s="749"/>
      <c r="X40" s="749"/>
      <c r="Y40" s="749"/>
      <c r="Z40" s="766"/>
      <c r="AA40" s="764"/>
      <c r="AB40" s="764"/>
      <c r="AC40" s="764"/>
      <c r="AD40" s="764"/>
      <c r="AE40" s="764"/>
      <c r="AF40" s="764"/>
      <c r="AG40" s="764"/>
      <c r="AH40" s="764"/>
      <c r="AI40" s="764"/>
      <c r="AJ40" s="764"/>
      <c r="AK40" s="764"/>
      <c r="AL40" s="764"/>
      <c r="AM40" s="764"/>
      <c r="AN40" s="764"/>
      <c r="AO40" s="764"/>
      <c r="AP40" s="764"/>
      <c r="AQ40" s="764"/>
      <c r="AR40" s="764"/>
      <c r="AS40" s="764"/>
      <c r="AT40" s="764"/>
      <c r="AU40" s="764"/>
      <c r="AV40" s="764"/>
      <c r="AW40" s="764"/>
      <c r="AX40" s="764"/>
      <c r="AY40" s="764"/>
      <c r="AZ40" s="764"/>
      <c r="BA40" s="764"/>
      <c r="BB40" s="764"/>
      <c r="BC40" s="764"/>
      <c r="BD40" s="764"/>
      <c r="BE40" s="764"/>
      <c r="BF40" s="764"/>
      <c r="BG40" s="764"/>
      <c r="BH40" s="764"/>
      <c r="BI40" s="764"/>
      <c r="BJ40" s="764"/>
      <c r="BK40" s="764"/>
      <c r="BL40" s="764"/>
      <c r="BM40" s="764"/>
      <c r="BN40" s="764"/>
      <c r="BO40" s="764"/>
      <c r="BP40" s="764"/>
      <c r="BQ40" s="764"/>
      <c r="BR40" s="764"/>
      <c r="BS40" s="764"/>
      <c r="BT40" s="764"/>
      <c r="BU40" s="764"/>
      <c r="BV40" s="764"/>
      <c r="BW40" s="764"/>
      <c r="BX40" s="764"/>
      <c r="BY40" s="764"/>
      <c r="BZ40" s="764"/>
    </row>
    <row r="41" spans="1:78" ht="18" customHeight="1" x14ac:dyDescent="0.25">
      <c r="A41" s="198"/>
      <c r="B41" s="198"/>
      <c r="C41" s="198"/>
      <c r="D41" s="198"/>
      <c r="E41" s="198"/>
      <c r="F41" s="764"/>
      <c r="G41" s="765"/>
      <c r="H41" s="474" t="s">
        <v>299</v>
      </c>
      <c r="I41" s="3387" t="s">
        <v>4313</v>
      </c>
      <c r="J41" s="3388"/>
      <c r="K41" s="3388"/>
      <c r="L41" s="3388"/>
      <c r="M41" s="3389"/>
      <c r="N41" s="402"/>
      <c r="O41" s="402"/>
      <c r="P41" s="402"/>
      <c r="R41" s="3429" t="s">
        <v>3401</v>
      </c>
      <c r="S41" s="3429"/>
      <c r="T41" s="3429"/>
      <c r="U41" s="3429"/>
      <c r="V41" s="3429"/>
      <c r="W41" s="3429"/>
      <c r="X41" s="3429"/>
      <c r="Z41" s="766"/>
      <c r="AA41" s="764"/>
      <c r="AB41" s="764"/>
      <c r="AC41" s="764"/>
      <c r="AD41" s="764"/>
      <c r="AE41" s="764"/>
      <c r="AF41" s="764"/>
      <c r="AG41" s="764"/>
      <c r="AH41" s="764"/>
      <c r="AI41" s="764"/>
      <c r="AJ41" s="764"/>
      <c r="AK41" s="764"/>
      <c r="AL41" s="764"/>
      <c r="AM41" s="764"/>
      <c r="AN41" s="764"/>
      <c r="AO41" s="764"/>
      <c r="AP41" s="764"/>
      <c r="AQ41" s="764"/>
      <c r="AR41" s="764"/>
      <c r="AS41" s="764"/>
      <c r="AT41" s="764"/>
      <c r="AU41" s="764"/>
      <c r="AV41" s="764"/>
      <c r="AW41" s="764"/>
      <c r="AX41" s="764"/>
      <c r="AY41" s="764"/>
      <c r="AZ41" s="764"/>
      <c r="BA41" s="764"/>
      <c r="BB41" s="764"/>
      <c r="BC41" s="764"/>
      <c r="BD41" s="764"/>
      <c r="BE41" s="764"/>
      <c r="BF41" s="764"/>
      <c r="BG41" s="764"/>
      <c r="BH41" s="764"/>
      <c r="BI41" s="764"/>
      <c r="BJ41" s="764"/>
      <c r="BK41" s="764"/>
      <c r="BL41" s="764"/>
      <c r="BM41" s="764"/>
      <c r="BN41" s="764"/>
      <c r="BO41" s="764"/>
      <c r="BP41" s="764"/>
      <c r="BQ41" s="764"/>
      <c r="BR41" s="764"/>
      <c r="BS41" s="764"/>
      <c r="BT41" s="764"/>
      <c r="BU41" s="764"/>
      <c r="BV41" s="764"/>
      <c r="BW41" s="764"/>
      <c r="BX41" s="764"/>
      <c r="BY41" s="764"/>
      <c r="BZ41" s="764"/>
    </row>
    <row r="42" spans="1:78" s="749" customFormat="1" ht="4.5" customHeight="1" x14ac:dyDescent="0.5">
      <c r="A42" s="198"/>
      <c r="B42" s="198"/>
      <c r="C42" s="198"/>
      <c r="D42" s="198"/>
      <c r="E42" s="198"/>
      <c r="F42" s="764"/>
      <c r="G42" s="765"/>
      <c r="H42" s="472"/>
      <c r="I42" s="475"/>
      <c r="J42" s="475"/>
      <c r="K42" s="475"/>
      <c r="L42" s="475"/>
      <c r="M42" s="475"/>
      <c r="N42" s="402"/>
      <c r="O42" s="402"/>
      <c r="P42" s="402"/>
      <c r="Q42" s="754"/>
      <c r="R42" s="3430"/>
      <c r="S42" s="3430"/>
      <c r="T42" s="3430"/>
      <c r="U42" s="3430"/>
      <c r="V42" s="3430"/>
      <c r="W42" s="3430"/>
      <c r="X42" s="3430"/>
      <c r="Z42" s="766"/>
      <c r="AA42" s="764"/>
      <c r="AB42" s="764"/>
      <c r="AC42" s="764"/>
      <c r="AD42" s="764"/>
      <c r="AE42" s="764"/>
      <c r="AF42" s="764"/>
      <c r="AG42" s="764"/>
      <c r="AH42" s="764"/>
      <c r="AI42" s="764"/>
      <c r="AJ42" s="764"/>
      <c r="AK42" s="764"/>
      <c r="AL42" s="764"/>
      <c r="AM42" s="764"/>
      <c r="AN42" s="764"/>
      <c r="AO42" s="764"/>
      <c r="AP42" s="764"/>
      <c r="AQ42" s="764"/>
      <c r="AR42" s="764"/>
      <c r="AS42" s="764"/>
      <c r="AT42" s="764"/>
      <c r="AU42" s="764"/>
      <c r="AV42" s="764"/>
      <c r="AW42" s="764"/>
      <c r="AX42" s="764"/>
      <c r="AY42" s="764"/>
      <c r="AZ42" s="764"/>
      <c r="BA42" s="764"/>
      <c r="BB42" s="764"/>
      <c r="BC42" s="764"/>
      <c r="BD42" s="764"/>
      <c r="BE42" s="764"/>
      <c r="BF42" s="764"/>
      <c r="BG42" s="764"/>
      <c r="BH42" s="764"/>
      <c r="BI42" s="764"/>
      <c r="BJ42" s="764"/>
      <c r="BK42" s="764"/>
      <c r="BL42" s="764"/>
      <c r="BM42" s="764"/>
      <c r="BN42" s="764"/>
      <c r="BO42" s="764"/>
      <c r="BP42" s="764"/>
      <c r="BQ42" s="764"/>
      <c r="BR42" s="764"/>
      <c r="BS42" s="764"/>
      <c r="BT42" s="764"/>
      <c r="BU42" s="764"/>
      <c r="BV42" s="764"/>
      <c r="BW42" s="764"/>
      <c r="BX42" s="764"/>
      <c r="BY42" s="764"/>
      <c r="BZ42" s="764"/>
    </row>
    <row r="43" spans="1:78" s="749" customFormat="1" ht="18" customHeight="1" x14ac:dyDescent="0.25">
      <c r="A43" s="198"/>
      <c r="B43" s="198"/>
      <c r="C43" s="198"/>
      <c r="D43" s="198"/>
      <c r="E43" s="198"/>
      <c r="F43" s="764"/>
      <c r="G43" s="765"/>
      <c r="H43" s="767" t="s">
        <v>623</v>
      </c>
      <c r="I43" s="3387"/>
      <c r="J43" s="3388"/>
      <c r="K43" s="3388"/>
      <c r="L43" s="3388"/>
      <c r="M43" s="724"/>
      <c r="N43" s="402"/>
      <c r="O43" s="402"/>
      <c r="P43" s="402"/>
      <c r="R43" s="3393" t="s">
        <v>4401</v>
      </c>
      <c r="S43" s="3394"/>
      <c r="T43" s="3394"/>
      <c r="U43" s="3394"/>
      <c r="V43" s="3394"/>
      <c r="W43" s="3394"/>
      <c r="X43" s="3395"/>
      <c r="Z43" s="766"/>
      <c r="AA43" s="764"/>
      <c r="AB43" s="764"/>
      <c r="AC43" s="764"/>
      <c r="AD43" s="764"/>
      <c r="AE43" s="764"/>
      <c r="AF43" s="764"/>
      <c r="AG43" s="764"/>
      <c r="AH43" s="764"/>
      <c r="AI43" s="764"/>
      <c r="AJ43" s="764"/>
      <c r="AK43" s="764"/>
      <c r="AL43" s="764"/>
      <c r="AM43" s="764"/>
      <c r="AN43" s="764"/>
      <c r="AO43" s="764"/>
      <c r="AP43" s="764"/>
      <c r="AQ43" s="764"/>
      <c r="AR43" s="764"/>
      <c r="AS43" s="764"/>
      <c r="AT43" s="764"/>
      <c r="AU43" s="764"/>
      <c r="AV43" s="764"/>
      <c r="AW43" s="764"/>
      <c r="AX43" s="764"/>
      <c r="AY43" s="764"/>
      <c r="AZ43" s="764"/>
      <c r="BA43" s="764"/>
      <c r="BB43" s="764"/>
      <c r="BC43" s="764"/>
      <c r="BD43" s="764"/>
      <c r="BE43" s="764"/>
      <c r="BF43" s="764"/>
      <c r="BG43" s="764"/>
      <c r="BH43" s="764"/>
      <c r="BI43" s="764"/>
      <c r="BJ43" s="1046"/>
      <c r="BK43" s="764"/>
      <c r="BL43" s="764"/>
      <c r="BM43" s="764"/>
      <c r="BN43" s="764"/>
      <c r="BO43" s="764"/>
      <c r="BP43" s="764"/>
      <c r="BQ43" s="764"/>
      <c r="BR43" s="764"/>
      <c r="BS43" s="764"/>
      <c r="BT43" s="764"/>
      <c r="BU43" s="764"/>
      <c r="BV43" s="764"/>
      <c r="BW43" s="764"/>
      <c r="BX43" s="764"/>
      <c r="BY43" s="764"/>
      <c r="BZ43" s="764"/>
    </row>
    <row r="44" spans="1:78" s="749" customFormat="1" ht="4.5" customHeight="1" x14ac:dyDescent="0.5">
      <c r="A44" s="198"/>
      <c r="B44" s="198"/>
      <c r="C44" s="198"/>
      <c r="D44" s="198"/>
      <c r="E44" s="198"/>
      <c r="F44" s="764"/>
      <c r="G44" s="765"/>
      <c r="H44" s="472"/>
      <c r="I44" s="754"/>
      <c r="J44" s="754"/>
      <c r="K44" s="754"/>
      <c r="L44" s="754"/>
      <c r="M44" s="754"/>
      <c r="N44" s="754"/>
      <c r="O44" s="754"/>
      <c r="P44" s="277"/>
      <c r="Q44" s="754"/>
      <c r="R44" s="3396"/>
      <c r="S44" s="3397"/>
      <c r="T44" s="3397"/>
      <c r="U44" s="3397"/>
      <c r="V44" s="3397"/>
      <c r="W44" s="3397"/>
      <c r="X44" s="3398"/>
      <c r="Z44" s="766"/>
      <c r="AA44" s="764"/>
      <c r="AB44" s="764"/>
      <c r="AC44" s="764"/>
      <c r="AD44" s="764"/>
      <c r="AE44" s="764"/>
      <c r="AF44" s="764"/>
      <c r="AG44" s="764"/>
      <c r="AH44" s="764"/>
      <c r="AI44" s="764"/>
      <c r="AJ44" s="764"/>
      <c r="AK44" s="764"/>
      <c r="AL44" s="764"/>
      <c r="AM44" s="764"/>
      <c r="AN44" s="764"/>
      <c r="AO44" s="764"/>
      <c r="AP44" s="764"/>
      <c r="AQ44" s="764"/>
      <c r="AR44" s="764"/>
      <c r="AS44" s="764"/>
      <c r="AT44" s="764"/>
      <c r="AU44" s="764"/>
      <c r="AV44" s="764"/>
      <c r="AW44" s="764"/>
      <c r="AX44" s="764"/>
      <c r="AY44" s="764"/>
      <c r="AZ44" s="764"/>
      <c r="BA44" s="764"/>
      <c r="BB44" s="764"/>
      <c r="BC44" s="764"/>
      <c r="BD44" s="764"/>
      <c r="BE44" s="764"/>
      <c r="BF44" s="764"/>
      <c r="BG44" s="764"/>
      <c r="BH44" s="764"/>
      <c r="BI44" s="764"/>
      <c r="BJ44" s="764"/>
      <c r="BK44" s="764"/>
      <c r="BL44" s="764"/>
      <c r="BM44" s="764"/>
      <c r="BN44" s="764"/>
      <c r="BO44" s="764"/>
      <c r="BP44" s="764"/>
      <c r="BQ44" s="764"/>
      <c r="BR44" s="764"/>
      <c r="BS44" s="764"/>
      <c r="BT44" s="764"/>
      <c r="BU44" s="764"/>
      <c r="BV44" s="764"/>
      <c r="BW44" s="764"/>
      <c r="BX44" s="764"/>
      <c r="BY44" s="764"/>
      <c r="BZ44" s="764"/>
    </row>
    <row r="45" spans="1:78" s="272" customFormat="1" ht="18" customHeight="1" x14ac:dyDescent="0.25">
      <c r="A45" s="198"/>
      <c r="B45" s="198"/>
      <c r="C45" s="198"/>
      <c r="D45" s="198"/>
      <c r="E45" s="198"/>
      <c r="F45" s="447"/>
      <c r="G45" s="468"/>
      <c r="H45" s="474" t="str">
        <f>CHOOSE(G2,"Proposed PM","Project Manager","Project Manager")</f>
        <v>Project Manager</v>
      </c>
      <c r="I45" s="3387" t="s">
        <v>4404</v>
      </c>
      <c r="J45" s="3388"/>
      <c r="K45" s="3388"/>
      <c r="L45" s="3388"/>
      <c r="M45" s="1750"/>
      <c r="N45" s="402"/>
      <c r="O45" s="402"/>
      <c r="P45" s="402"/>
      <c r="Q45" s="477"/>
      <c r="R45" s="3396"/>
      <c r="S45" s="3397"/>
      <c r="T45" s="3397"/>
      <c r="U45" s="3397"/>
      <c r="V45" s="3397"/>
      <c r="W45" s="3397"/>
      <c r="X45" s="3398"/>
      <c r="Y45" s="749"/>
      <c r="Z45" s="471"/>
      <c r="AA45" s="447"/>
      <c r="AB45" s="447"/>
      <c r="AC45" s="764"/>
      <c r="AD45" s="447"/>
      <c r="AE45" s="447"/>
      <c r="AF45" s="447"/>
      <c r="AG45" s="764"/>
      <c r="AH45" s="447"/>
      <c r="AI45" s="764"/>
      <c r="AJ45" s="764"/>
      <c r="AK45" s="764"/>
      <c r="AL45" s="764"/>
      <c r="AM45" s="764"/>
      <c r="AN45" s="764"/>
      <c r="AO45" s="764"/>
      <c r="AP45" s="764"/>
      <c r="AQ45" s="764"/>
      <c r="AR45" s="447"/>
      <c r="AS45" s="764"/>
      <c r="AT45" s="764"/>
      <c r="AU45" s="764"/>
      <c r="AV45" s="764"/>
      <c r="AW45" s="764"/>
      <c r="AX45" s="764"/>
      <c r="AY45" s="764"/>
      <c r="AZ45" s="764"/>
      <c r="BA45" s="764"/>
      <c r="BB45" s="764"/>
      <c r="BC45" s="764"/>
      <c r="BD45" s="764"/>
      <c r="BE45" s="764"/>
      <c r="BF45" s="764"/>
      <c r="BG45" s="764"/>
      <c r="BH45" s="764"/>
      <c r="BI45" s="764"/>
      <c r="BJ45" s="447"/>
      <c r="BK45" s="447"/>
      <c r="BL45" s="447"/>
      <c r="BM45" s="447"/>
      <c r="BN45" s="447"/>
      <c r="BO45" s="447"/>
      <c r="BP45" s="447"/>
      <c r="BQ45" s="447"/>
      <c r="BR45" s="447"/>
      <c r="BS45" s="447"/>
      <c r="BT45" s="764"/>
      <c r="BU45" s="764"/>
      <c r="BV45" s="764"/>
      <c r="BW45" s="764"/>
      <c r="BX45" s="764"/>
      <c r="BY45" s="764"/>
      <c r="BZ45" s="764"/>
    </row>
    <row r="46" spans="1:78" s="272" customFormat="1" ht="4.5" customHeight="1" x14ac:dyDescent="0.5">
      <c r="A46" s="198"/>
      <c r="B46" s="198"/>
      <c r="C46" s="198"/>
      <c r="D46" s="198"/>
      <c r="E46" s="198"/>
      <c r="F46" s="447"/>
      <c r="G46" s="468"/>
      <c r="H46" s="472"/>
      <c r="I46" s="197"/>
      <c r="J46" s="197"/>
      <c r="K46" s="197"/>
      <c r="L46" s="197"/>
      <c r="M46" s="197"/>
      <c r="N46" s="197"/>
      <c r="O46" s="197"/>
      <c r="P46" s="277"/>
      <c r="Q46" s="197"/>
      <c r="R46" s="3396"/>
      <c r="S46" s="3397"/>
      <c r="T46" s="3397"/>
      <c r="U46" s="3397"/>
      <c r="V46" s="3397"/>
      <c r="W46" s="3397"/>
      <c r="X46" s="3398"/>
      <c r="Y46" s="749"/>
      <c r="Z46" s="471"/>
      <c r="AA46" s="447"/>
      <c r="AB46" s="447"/>
      <c r="AC46" s="764"/>
      <c r="AD46" s="447"/>
      <c r="AE46" s="447"/>
      <c r="AF46" s="447"/>
      <c r="AG46" s="764"/>
      <c r="AH46" s="447"/>
      <c r="AI46" s="764"/>
      <c r="AJ46" s="764"/>
      <c r="AK46" s="764"/>
      <c r="AL46" s="764"/>
      <c r="AM46" s="764"/>
      <c r="AN46" s="764"/>
      <c r="AO46" s="764"/>
      <c r="AP46" s="764"/>
      <c r="AQ46" s="764"/>
      <c r="AR46" s="447"/>
      <c r="AS46" s="764"/>
      <c r="AT46" s="764"/>
      <c r="AU46" s="764"/>
      <c r="AV46" s="764"/>
      <c r="AW46" s="764"/>
      <c r="AX46" s="764"/>
      <c r="AY46" s="764"/>
      <c r="AZ46" s="764"/>
      <c r="BA46" s="764"/>
      <c r="BB46" s="764"/>
      <c r="BC46" s="764"/>
      <c r="BD46" s="764"/>
      <c r="BE46" s="764"/>
      <c r="BF46" s="764"/>
      <c r="BG46" s="764"/>
      <c r="BH46" s="764"/>
      <c r="BI46" s="764"/>
      <c r="BJ46" s="447"/>
      <c r="BK46" s="447"/>
      <c r="BL46" s="447"/>
      <c r="BM46" s="447"/>
      <c r="BN46" s="447"/>
      <c r="BO46" s="447"/>
      <c r="BP46" s="447"/>
      <c r="BQ46" s="447"/>
      <c r="BR46" s="447"/>
      <c r="BS46" s="447"/>
      <c r="BT46" s="764"/>
      <c r="BU46" s="764"/>
      <c r="BV46" s="764"/>
      <c r="BW46" s="764"/>
      <c r="BX46" s="764"/>
      <c r="BY46" s="764"/>
      <c r="BZ46" s="764"/>
    </row>
    <row r="47" spans="1:78" s="272" customFormat="1" ht="18" customHeight="1" x14ac:dyDescent="0.25">
      <c r="A47" s="198"/>
      <c r="B47" s="198"/>
      <c r="C47" s="198"/>
      <c r="D47" s="198"/>
      <c r="E47" s="198"/>
      <c r="F47" s="447"/>
      <c r="G47" s="468"/>
      <c r="H47" s="474" t="s">
        <v>490</v>
      </c>
      <c r="I47" s="3414"/>
      <c r="J47" s="3415"/>
      <c r="K47" s="487" t="s">
        <v>1566</v>
      </c>
      <c r="L47" s="477"/>
      <c r="M47" s="197"/>
      <c r="N47" s="197"/>
      <c r="O47" s="197"/>
      <c r="P47" s="277"/>
      <c r="Q47" s="197"/>
      <c r="R47" s="3396"/>
      <c r="S47" s="3397"/>
      <c r="T47" s="3397"/>
      <c r="U47" s="3397"/>
      <c r="V47" s="3397"/>
      <c r="W47" s="3397"/>
      <c r="X47" s="3398"/>
      <c r="Y47" s="749"/>
      <c r="Z47" s="471"/>
      <c r="AA47" s="447"/>
      <c r="AB47" s="447"/>
      <c r="AC47" s="764"/>
      <c r="AD47" s="447"/>
      <c r="AE47" s="447"/>
      <c r="AF47" s="447"/>
      <c r="AG47" s="764"/>
      <c r="AH47" s="447"/>
      <c r="AI47" s="764"/>
      <c r="AJ47" s="764"/>
      <c r="AK47" s="764"/>
      <c r="AL47" s="764"/>
      <c r="AM47" s="764"/>
      <c r="AN47" s="764"/>
      <c r="AO47" s="764"/>
      <c r="AP47" s="764"/>
      <c r="AQ47" s="764"/>
      <c r="AR47" s="447"/>
      <c r="AS47" s="764"/>
      <c r="AT47" s="764"/>
      <c r="AU47" s="764"/>
      <c r="AV47" s="764"/>
      <c r="AW47" s="764"/>
      <c r="AX47" s="764"/>
      <c r="AY47" s="764"/>
      <c r="AZ47" s="764"/>
      <c r="BA47" s="764"/>
      <c r="BB47" s="764"/>
      <c r="BC47" s="764"/>
      <c r="BD47" s="764"/>
      <c r="BE47" s="764"/>
      <c r="BF47" s="764"/>
      <c r="BG47" s="764"/>
      <c r="BH47" s="764"/>
      <c r="BI47" s="764"/>
      <c r="BJ47" s="447"/>
      <c r="BK47" s="447"/>
      <c r="BL47" s="447"/>
      <c r="BM47" s="447"/>
      <c r="BN47" s="447"/>
      <c r="BO47" s="447"/>
      <c r="BP47" s="447"/>
      <c r="BQ47" s="447"/>
      <c r="BR47" s="447"/>
      <c r="BS47" s="447"/>
      <c r="BT47" s="764"/>
      <c r="BU47" s="764"/>
      <c r="BV47" s="764"/>
      <c r="BW47" s="764"/>
      <c r="BX47" s="764"/>
      <c r="BY47" s="764"/>
      <c r="BZ47" s="764"/>
    </row>
    <row r="48" spans="1:78" s="749" customFormat="1" ht="4.5" customHeight="1" x14ac:dyDescent="0.25">
      <c r="A48" s="198"/>
      <c r="B48" s="198"/>
      <c r="C48" s="198"/>
      <c r="D48" s="198"/>
      <c r="E48" s="198"/>
      <c r="F48" s="764"/>
      <c r="G48" s="765"/>
      <c r="H48" s="767"/>
      <c r="I48" s="767"/>
      <c r="K48" s="767"/>
      <c r="L48" s="768"/>
      <c r="M48" s="754"/>
      <c r="N48" s="754"/>
      <c r="O48" s="754"/>
      <c r="P48" s="277"/>
      <c r="Q48" s="754"/>
      <c r="R48" s="3396"/>
      <c r="S48" s="3397"/>
      <c r="T48" s="3397"/>
      <c r="U48" s="3397"/>
      <c r="V48" s="3397"/>
      <c r="W48" s="3397"/>
      <c r="X48" s="3398"/>
      <c r="Z48" s="766"/>
      <c r="AA48" s="764"/>
      <c r="AB48" s="764"/>
      <c r="AC48" s="764"/>
      <c r="AD48" s="764"/>
      <c r="AE48" s="764"/>
      <c r="AF48" s="764"/>
      <c r="AG48" s="764"/>
      <c r="AH48" s="764"/>
      <c r="AI48" s="764"/>
      <c r="AJ48" s="764"/>
      <c r="AK48" s="764"/>
      <c r="AL48" s="764"/>
      <c r="AM48" s="764"/>
      <c r="AN48" s="764"/>
      <c r="AO48" s="764"/>
      <c r="AP48" s="764"/>
      <c r="AQ48" s="764"/>
      <c r="AR48" s="764"/>
      <c r="AS48" s="764"/>
      <c r="AT48" s="764"/>
      <c r="AU48" s="764"/>
      <c r="AV48" s="764"/>
      <c r="AW48" s="764"/>
      <c r="AX48" s="764"/>
      <c r="AY48" s="764"/>
      <c r="AZ48" s="764"/>
      <c r="BA48" s="764"/>
      <c r="BB48" s="764"/>
      <c r="BC48" s="764"/>
      <c r="BD48" s="764"/>
      <c r="BE48" s="764"/>
      <c r="BF48" s="764"/>
      <c r="BG48" s="764"/>
      <c r="BH48" s="764"/>
      <c r="BI48" s="764"/>
      <c r="BJ48" s="764"/>
      <c r="BK48" s="764"/>
      <c r="BL48" s="764"/>
      <c r="BM48" s="764"/>
      <c r="BN48" s="764"/>
      <c r="BO48" s="764"/>
      <c r="BP48" s="764"/>
      <c r="BQ48" s="764"/>
      <c r="BR48" s="764"/>
      <c r="BS48" s="764"/>
      <c r="BT48" s="764"/>
      <c r="BU48" s="764"/>
      <c r="BV48" s="764"/>
      <c r="BW48" s="764"/>
      <c r="BX48" s="764"/>
      <c r="BY48" s="764"/>
      <c r="BZ48" s="764"/>
    </row>
    <row r="49" spans="1:78" s="749" customFormat="1" ht="18" customHeight="1" x14ac:dyDescent="0.25">
      <c r="A49" s="198"/>
      <c r="B49" s="198"/>
      <c r="C49" s="198"/>
      <c r="D49" s="198"/>
      <c r="E49" s="198"/>
      <c r="F49" s="764"/>
      <c r="G49" s="765"/>
      <c r="H49" s="767" t="s">
        <v>773</v>
      </c>
      <c r="I49" s="3416"/>
      <c r="J49" s="3417"/>
      <c r="K49" s="1750" t="s">
        <v>775</v>
      </c>
      <c r="L49" s="768"/>
      <c r="M49" s="754"/>
      <c r="N49" s="754"/>
      <c r="O49" s="754"/>
      <c r="P49" s="277"/>
      <c r="Q49" s="754"/>
      <c r="R49" s="3396"/>
      <c r="S49" s="3397"/>
      <c r="T49" s="3397"/>
      <c r="U49" s="3397"/>
      <c r="V49" s="3397"/>
      <c r="W49" s="3397"/>
      <c r="X49" s="3398"/>
      <c r="Z49" s="766"/>
      <c r="AA49" s="764"/>
      <c r="AB49" s="764"/>
      <c r="AC49" s="764"/>
      <c r="AD49" s="764"/>
      <c r="AE49" s="764"/>
      <c r="AF49" s="764"/>
      <c r="AG49" s="764"/>
      <c r="AH49" s="764"/>
      <c r="AI49" s="764"/>
      <c r="AJ49" s="764"/>
      <c r="AK49" s="764"/>
      <c r="AL49" s="764"/>
      <c r="AM49" s="764"/>
      <c r="AN49" s="764"/>
      <c r="AO49" s="764"/>
      <c r="AP49" s="764"/>
      <c r="AQ49" s="764"/>
      <c r="AR49" s="764"/>
      <c r="AS49" s="764"/>
      <c r="AT49" s="764"/>
      <c r="AU49" s="764"/>
      <c r="AV49" s="764"/>
      <c r="AW49" s="764"/>
      <c r="AX49" s="764"/>
      <c r="AY49" s="764"/>
      <c r="AZ49" s="764"/>
      <c r="BA49" s="764"/>
      <c r="BB49" s="764"/>
      <c r="BC49" s="764"/>
      <c r="BD49" s="764"/>
      <c r="BE49" s="764"/>
      <c r="BF49" s="764"/>
      <c r="BG49" s="764"/>
      <c r="BH49" s="764"/>
      <c r="BI49" s="764"/>
      <c r="BJ49" s="764"/>
      <c r="BK49" s="764"/>
      <c r="BL49" s="764"/>
      <c r="BM49" s="764"/>
      <c r="BN49" s="764"/>
      <c r="BO49" s="764"/>
      <c r="BP49" s="764"/>
      <c r="BQ49" s="764"/>
      <c r="BR49" s="764"/>
      <c r="BS49" s="764"/>
      <c r="BT49" s="764"/>
      <c r="BU49" s="764"/>
      <c r="BV49" s="764"/>
      <c r="BW49" s="764"/>
      <c r="BX49" s="764"/>
      <c r="BY49" s="764"/>
      <c r="BZ49" s="764"/>
    </row>
    <row r="50" spans="1:78" s="749" customFormat="1" ht="4.5" customHeight="1" thickBot="1" x14ac:dyDescent="0.3">
      <c r="A50" s="198"/>
      <c r="B50" s="198"/>
      <c r="C50" s="198"/>
      <c r="D50" s="198"/>
      <c r="E50" s="198"/>
      <c r="F50" s="764"/>
      <c r="G50" s="765"/>
      <c r="H50" s="767"/>
      <c r="I50" s="767"/>
      <c r="J50" s="580"/>
      <c r="K50" s="768"/>
      <c r="L50" s="768"/>
      <c r="M50" s="754"/>
      <c r="N50" s="754"/>
      <c r="O50" s="754"/>
      <c r="P50" s="277"/>
      <c r="Q50" s="754"/>
      <c r="R50" s="3396"/>
      <c r="S50" s="3397"/>
      <c r="T50" s="3397"/>
      <c r="U50" s="3397"/>
      <c r="V50" s="3397"/>
      <c r="W50" s="3397"/>
      <c r="X50" s="3398"/>
      <c r="Z50" s="766"/>
      <c r="AA50" s="764"/>
      <c r="AB50" s="764"/>
      <c r="AC50" s="764"/>
      <c r="AD50" s="764"/>
      <c r="AE50" s="764"/>
      <c r="AF50" s="764"/>
      <c r="AG50" s="764"/>
      <c r="AH50" s="764"/>
      <c r="AI50" s="764"/>
      <c r="AJ50" s="764"/>
      <c r="AK50" s="764"/>
      <c r="AL50" s="764"/>
      <c r="AM50" s="764"/>
      <c r="AN50" s="764"/>
      <c r="AO50" s="764"/>
      <c r="AP50" s="764"/>
      <c r="AQ50" s="764"/>
      <c r="AR50" s="764"/>
      <c r="AS50" s="764"/>
      <c r="AT50" s="764"/>
      <c r="AU50" s="764"/>
      <c r="AV50" s="764"/>
      <c r="AW50" s="764"/>
      <c r="AX50" s="764"/>
      <c r="AY50" s="764"/>
      <c r="AZ50" s="764"/>
      <c r="BA50" s="764"/>
      <c r="BB50" s="764"/>
      <c r="BC50" s="764"/>
      <c r="BD50" s="764"/>
      <c r="BE50" s="764"/>
      <c r="BF50" s="764"/>
      <c r="BG50" s="764"/>
      <c r="BH50" s="764"/>
      <c r="BI50" s="764"/>
      <c r="BJ50" s="764"/>
      <c r="BK50" s="764"/>
      <c r="BL50" s="764"/>
      <c r="BM50" s="764"/>
      <c r="BN50" s="764"/>
      <c r="BO50" s="764"/>
      <c r="BP50" s="764"/>
      <c r="BQ50" s="764"/>
      <c r="BR50" s="764"/>
      <c r="BS50" s="764"/>
      <c r="BT50" s="764"/>
      <c r="BU50" s="764"/>
      <c r="BV50" s="764"/>
      <c r="BW50" s="764"/>
      <c r="BX50" s="764"/>
      <c r="BY50" s="764"/>
      <c r="BZ50" s="764"/>
    </row>
    <row r="51" spans="1:78" s="749" customFormat="1" ht="20.399999999999999" customHeight="1" thickBot="1" x14ac:dyDescent="0.3">
      <c r="A51" s="198"/>
      <c r="B51" s="198"/>
      <c r="C51" s="198"/>
      <c r="D51" s="198"/>
      <c r="E51" s="198"/>
      <c r="F51" s="764"/>
      <c r="G51" s="765"/>
      <c r="H51" s="2379" t="s">
        <v>1702</v>
      </c>
      <c r="I51" s="3418" t="s">
        <v>4403</v>
      </c>
      <c r="J51" s="3419"/>
      <c r="K51" s="2378" t="s">
        <v>2688</v>
      </c>
      <c r="L51" s="580" t="s">
        <v>2207</v>
      </c>
      <c r="M51" s="754"/>
      <c r="N51" s="754"/>
      <c r="O51" s="754"/>
      <c r="P51" s="277"/>
      <c r="Q51" s="277"/>
      <c r="R51" s="3399"/>
      <c r="S51" s="3400"/>
      <c r="T51" s="3400"/>
      <c r="U51" s="3400"/>
      <c r="V51" s="3400"/>
      <c r="W51" s="3400"/>
      <c r="X51" s="3401"/>
      <c r="Z51" s="766"/>
      <c r="AA51" s="764"/>
      <c r="AB51" s="764"/>
      <c r="AC51" s="764"/>
      <c r="AD51" s="764"/>
      <c r="AE51" s="764"/>
      <c r="AF51" s="764"/>
      <c r="AG51" s="764"/>
      <c r="AH51" s="764"/>
      <c r="AI51" s="764"/>
      <c r="AJ51" s="764"/>
      <c r="AK51" s="764"/>
      <c r="AL51" s="764"/>
      <c r="AM51" s="764"/>
      <c r="AN51" s="764"/>
      <c r="AO51" s="764"/>
      <c r="AP51" s="764"/>
      <c r="AQ51" s="764"/>
      <c r="AR51" s="764"/>
      <c r="AS51" s="764"/>
      <c r="AT51" s="764"/>
      <c r="AU51" s="764"/>
      <c r="AV51" s="764"/>
      <c r="AW51" s="764"/>
      <c r="AX51" s="764"/>
      <c r="AY51" s="764"/>
      <c r="AZ51" s="764"/>
      <c r="BA51" s="764"/>
      <c r="BB51" s="764"/>
      <c r="BC51" s="764"/>
      <c r="BD51" s="764"/>
      <c r="BE51" s="764"/>
      <c r="BF51" s="764"/>
      <c r="BG51" s="764"/>
      <c r="BH51" s="764"/>
      <c r="BI51" s="764"/>
      <c r="BJ51" s="764"/>
      <c r="BK51" s="764"/>
      <c r="BL51" s="764"/>
      <c r="BM51" s="764"/>
      <c r="BN51" s="764"/>
      <c r="BO51" s="764"/>
      <c r="BP51" s="764"/>
      <c r="BQ51" s="764"/>
      <c r="BR51" s="764"/>
      <c r="BS51" s="764"/>
      <c r="BT51" s="764"/>
      <c r="BU51" s="764"/>
      <c r="BV51" s="764"/>
      <c r="BW51" s="764"/>
      <c r="BX51" s="764"/>
      <c r="BY51" s="764"/>
      <c r="BZ51" s="764"/>
    </row>
    <row r="52" spans="1:78" s="272" customFormat="1" ht="31.35" customHeight="1" x14ac:dyDescent="0.5">
      <c r="A52" s="198"/>
      <c r="B52" s="198"/>
      <c r="C52" s="198"/>
      <c r="D52" s="198"/>
      <c r="E52" s="198"/>
      <c r="F52" s="447"/>
      <c r="G52" s="468"/>
      <c r="H52" s="472"/>
      <c r="I52" s="197"/>
      <c r="J52" s="197"/>
      <c r="K52" s="197"/>
      <c r="M52" s="197"/>
      <c r="N52" s="197"/>
      <c r="O52" s="197"/>
      <c r="P52" s="197"/>
      <c r="Q52" s="197"/>
      <c r="R52" s="197"/>
      <c r="S52" s="197"/>
      <c r="T52" s="197"/>
      <c r="U52" s="197"/>
      <c r="V52" s="197"/>
      <c r="W52" s="197"/>
      <c r="X52" s="197"/>
      <c r="Y52" s="754"/>
      <c r="Z52" s="471"/>
      <c r="AA52" s="447"/>
      <c r="AB52" s="447"/>
      <c r="AC52" s="764"/>
      <c r="AD52" s="447"/>
      <c r="AE52" s="447"/>
      <c r="AF52" s="447"/>
      <c r="AG52" s="764"/>
      <c r="AH52" s="447"/>
      <c r="AI52" s="764"/>
      <c r="AJ52" s="764"/>
      <c r="AK52" s="764"/>
      <c r="AL52" s="764"/>
      <c r="AM52" s="764"/>
      <c r="AN52" s="764"/>
      <c r="AO52" s="764"/>
      <c r="AP52" s="764"/>
      <c r="AQ52" s="764"/>
      <c r="AR52" s="447"/>
      <c r="AS52" s="764"/>
      <c r="AT52" s="764"/>
      <c r="AU52" s="764"/>
      <c r="AV52" s="764"/>
      <c r="AW52" s="764"/>
      <c r="AX52" s="764"/>
      <c r="AY52" s="764"/>
      <c r="AZ52" s="764"/>
      <c r="BA52" s="764"/>
      <c r="BB52" s="764"/>
      <c r="BC52" s="764"/>
      <c r="BD52" s="764"/>
      <c r="BE52" s="764"/>
      <c r="BF52" s="764"/>
      <c r="BG52" s="764"/>
      <c r="BH52" s="764"/>
      <c r="BI52" s="764"/>
      <c r="BJ52" s="447"/>
      <c r="BK52" s="447"/>
      <c r="BL52" s="447"/>
      <c r="BM52" s="447"/>
      <c r="BN52" s="447"/>
      <c r="BO52" s="447"/>
      <c r="BP52" s="447"/>
      <c r="BQ52" s="447"/>
      <c r="BR52" s="447"/>
      <c r="BS52" s="447"/>
      <c r="BT52" s="764"/>
      <c r="BU52" s="764"/>
      <c r="BV52" s="764"/>
      <c r="BW52" s="764"/>
      <c r="BX52" s="764"/>
      <c r="BY52" s="764"/>
      <c r="BZ52" s="764"/>
    </row>
    <row r="53" spans="1:78" s="272" customFormat="1" ht="29.25" customHeight="1" x14ac:dyDescent="0.25">
      <c r="A53" s="198"/>
      <c r="B53" s="198"/>
      <c r="C53" s="198"/>
      <c r="D53" s="198"/>
      <c r="E53" s="198"/>
      <c r="F53" s="447"/>
      <c r="G53" s="468"/>
      <c r="H53" s="473">
        <v>3</v>
      </c>
      <c r="I53" s="473" t="s">
        <v>374</v>
      </c>
      <c r="J53" s="473"/>
      <c r="K53" s="197"/>
      <c r="L53" s="197"/>
      <c r="M53" s="197"/>
      <c r="N53" s="197"/>
      <c r="O53" s="197"/>
      <c r="P53" s="197"/>
      <c r="Q53" s="197"/>
      <c r="R53" s="197"/>
      <c r="S53" s="197"/>
      <c r="T53" s="197"/>
      <c r="U53" s="197"/>
      <c r="V53" s="197"/>
      <c r="W53" s="197"/>
      <c r="X53" s="197"/>
      <c r="Y53" s="754"/>
      <c r="Z53" s="471"/>
      <c r="AA53" s="447"/>
      <c r="AB53" s="447"/>
      <c r="AC53" s="764"/>
      <c r="AD53" s="447"/>
      <c r="AE53" s="447"/>
      <c r="AF53" s="447"/>
      <c r="AG53" s="764"/>
      <c r="AH53" s="447"/>
      <c r="AI53" s="764"/>
      <c r="AJ53" s="764"/>
      <c r="AK53" s="764"/>
      <c r="AL53" s="764"/>
      <c r="AM53" s="764"/>
      <c r="AN53" s="764"/>
      <c r="AO53" s="764"/>
      <c r="AP53" s="764"/>
      <c r="AQ53" s="764"/>
      <c r="AR53" s="447"/>
      <c r="AS53" s="764"/>
      <c r="AT53" s="764"/>
      <c r="AU53" s="764"/>
      <c r="AV53" s="764"/>
      <c r="AW53" s="764"/>
      <c r="AX53" s="764"/>
      <c r="AY53" s="764"/>
      <c r="AZ53" s="764"/>
      <c r="BA53" s="764"/>
      <c r="BB53" s="764"/>
      <c r="BC53" s="764"/>
      <c r="BD53" s="764"/>
      <c r="BE53" s="764"/>
      <c r="BF53" s="764"/>
      <c r="BG53" s="764"/>
      <c r="BH53" s="764"/>
      <c r="BI53" s="764"/>
      <c r="BJ53" s="447"/>
      <c r="BK53" s="447"/>
      <c r="BL53" s="447"/>
      <c r="BM53" s="447"/>
      <c r="BN53" s="447"/>
      <c r="BO53" s="447"/>
      <c r="BP53" s="447"/>
      <c r="BQ53" s="447"/>
      <c r="BR53" s="447"/>
      <c r="BS53" s="447"/>
      <c r="BT53" s="764"/>
      <c r="BU53" s="764"/>
      <c r="BV53" s="764"/>
      <c r="BW53" s="764"/>
      <c r="BX53" s="764"/>
      <c r="BY53" s="764"/>
      <c r="BZ53" s="764"/>
    </row>
    <row r="54" spans="1:78" s="272" customFormat="1" ht="13.35" customHeight="1" thickBot="1" x14ac:dyDescent="0.55000000000000004">
      <c r="A54" s="198"/>
      <c r="B54" s="198"/>
      <c r="C54" s="198"/>
      <c r="D54" s="198"/>
      <c r="E54" s="198"/>
      <c r="F54" s="447"/>
      <c r="G54" s="468"/>
      <c r="H54" s="472"/>
      <c r="I54" s="478" t="s">
        <v>837</v>
      </c>
      <c r="J54" s="478"/>
      <c r="K54" s="478"/>
      <c r="M54" s="478" t="s">
        <v>3314</v>
      </c>
      <c r="N54" s="478"/>
      <c r="O54" s="478"/>
      <c r="Q54" s="197"/>
      <c r="S54" s="421" t="s">
        <v>359</v>
      </c>
      <c r="T54" s="197"/>
      <c r="U54" s="197"/>
      <c r="V54" s="197"/>
      <c r="W54" s="754"/>
      <c r="X54" s="197"/>
      <c r="Y54" s="754"/>
      <c r="Z54" s="471"/>
      <c r="AA54" s="447"/>
      <c r="AB54" s="447"/>
      <c r="AC54" s="764"/>
      <c r="AD54" s="447"/>
      <c r="AE54" s="447"/>
      <c r="AF54" s="447"/>
      <c r="AG54" s="764"/>
      <c r="AH54" s="447"/>
      <c r="AI54" s="764"/>
      <c r="AJ54" s="764"/>
      <c r="AK54" s="764"/>
      <c r="AL54" s="764"/>
      <c r="AM54" s="764"/>
      <c r="AN54" s="764"/>
      <c r="AO54" s="764"/>
      <c r="AP54" s="764"/>
      <c r="AQ54" s="764"/>
      <c r="AR54" s="447"/>
      <c r="AS54" s="764"/>
      <c r="AT54" s="764"/>
      <c r="AU54" s="764"/>
      <c r="AV54" s="764"/>
      <c r="AW54" s="764"/>
      <c r="AX54" s="764"/>
      <c r="AY54" s="764"/>
      <c r="AZ54" s="764"/>
      <c r="BA54" s="764"/>
      <c r="BB54" s="764"/>
      <c r="BC54" s="764"/>
      <c r="BD54" s="764"/>
      <c r="BE54" s="764"/>
      <c r="BF54" s="764"/>
      <c r="BG54" s="764"/>
      <c r="BH54" s="764"/>
      <c r="BI54" s="764"/>
      <c r="BJ54" s="447"/>
      <c r="BK54" s="447"/>
      <c r="BL54" s="447"/>
      <c r="BM54" s="447"/>
      <c r="BN54" s="447"/>
      <c r="BO54" s="447"/>
      <c r="BP54" s="447"/>
      <c r="BQ54" s="447"/>
      <c r="BR54" s="447"/>
      <c r="BS54" s="447"/>
      <c r="BT54" s="764"/>
      <c r="BU54" s="764"/>
      <c r="BV54" s="764"/>
      <c r="BW54" s="764"/>
      <c r="BX54" s="764"/>
      <c r="BY54" s="764"/>
      <c r="BZ54" s="764"/>
    </row>
    <row r="55" spans="1:78" s="272" customFormat="1" ht="18" customHeight="1" thickBot="1" x14ac:dyDescent="0.3">
      <c r="A55" s="748">
        <f>IFERROR(MATCH(I55,'PU List'!$O$4:$X$4,0),0)</f>
        <v>4</v>
      </c>
      <c r="B55" s="748">
        <f>IFERROR(INDEX('PU List'!$O$5:$X$5,A55),0)</f>
        <v>10</v>
      </c>
      <c r="C55" s="748">
        <f>IFERROR(MATCH(M55,'PU List'!$C$33:$C$397,0),0)</f>
        <v>231</v>
      </c>
      <c r="D55" s="748">
        <f>COUNTIF('PU List'!$C$33:$C$397,M55)</f>
        <v>4</v>
      </c>
      <c r="E55" s="748">
        <f>IF(ISBLANK(S55),0,1)</f>
        <v>1</v>
      </c>
      <c r="F55" s="447"/>
      <c r="G55" s="468"/>
      <c r="H55" s="2658" t="s">
        <v>360</v>
      </c>
      <c r="I55" s="3404" t="s">
        <v>3297</v>
      </c>
      <c r="J55" s="3405"/>
      <c r="K55" s="1252" t="str">
        <f>HYPERLINK("#"&amp;ADDRESS(ROW(),COLUMN()-1),CHAR(128))</f>
        <v>€</v>
      </c>
      <c r="L55" s="2699" t="s">
        <v>846</v>
      </c>
      <c r="M55" s="3387" t="s">
        <v>3504</v>
      </c>
      <c r="N55" s="3388"/>
      <c r="O55" s="3388"/>
      <c r="P55" s="3389"/>
      <c r="Q55" s="453" t="str">
        <f>HYPERLINK("#"&amp;ADDRESS(ROW(),COLUMN()-1),CHAR(128))</f>
        <v>€</v>
      </c>
      <c r="R55" s="2699" t="s">
        <v>846</v>
      </c>
      <c r="S55" s="3382" t="s">
        <v>3654</v>
      </c>
      <c r="T55" s="3383"/>
      <c r="U55" s="3383"/>
      <c r="V55" s="3383"/>
      <c r="W55" s="3383"/>
      <c r="X55" s="3384"/>
      <c r="Y55" s="1252" t="str">
        <f>HYPERLINK("#"&amp;ADDRESS(ROW(),COLUMN()-1),CHAR(128))</f>
        <v>€</v>
      </c>
      <c r="Z55" s="471"/>
      <c r="AA55" s="447"/>
      <c r="AB55" s="2661"/>
      <c r="AC55" s="2661"/>
      <c r="AD55" s="2661"/>
      <c r="AE55" s="2661"/>
      <c r="AF55" s="2661"/>
      <c r="AG55" s="2661"/>
      <c r="AH55" s="2661"/>
      <c r="AI55" s="764"/>
      <c r="AJ55" s="764"/>
      <c r="AK55" s="764"/>
      <c r="AL55" s="764"/>
      <c r="AM55" s="764"/>
      <c r="AN55" s="764"/>
      <c r="AO55" s="764"/>
      <c r="AP55" s="764"/>
      <c r="AQ55" s="764"/>
      <c r="AR55" s="447"/>
      <c r="AS55" s="764"/>
      <c r="AT55" s="764"/>
      <c r="AU55" s="764"/>
      <c r="AV55" s="764"/>
      <c r="AW55" s="764"/>
      <c r="AX55" s="764"/>
      <c r="AY55" s="764"/>
      <c r="AZ55" s="764"/>
      <c r="BA55" s="764"/>
      <c r="BB55" s="764"/>
      <c r="BC55" s="764"/>
      <c r="BD55" s="764"/>
      <c r="BE55" s="764"/>
      <c r="BF55" s="764"/>
      <c r="BG55" s="764"/>
      <c r="BH55" s="764"/>
      <c r="BI55" s="764"/>
      <c r="BJ55" s="447"/>
      <c r="BK55" s="447"/>
      <c r="BL55" s="447"/>
      <c r="BM55" s="447"/>
      <c r="BN55" s="447"/>
      <c r="BO55" s="447"/>
      <c r="BP55" s="447"/>
      <c r="BQ55" s="447"/>
      <c r="BR55" s="447"/>
      <c r="BS55" s="447"/>
      <c r="BT55" s="764"/>
      <c r="BU55" s="764"/>
      <c r="BV55" s="764"/>
      <c r="BW55" s="764"/>
      <c r="BX55" s="764"/>
      <c r="BY55" s="764"/>
      <c r="BZ55" s="764"/>
    </row>
    <row r="56" spans="1:78" s="272" customFormat="1" ht="4.95" customHeight="1" x14ac:dyDescent="0.25">
      <c r="A56" s="198"/>
      <c r="B56" s="198"/>
      <c r="C56" s="198"/>
      <c r="D56" s="198"/>
      <c r="E56" s="198"/>
      <c r="F56" s="447"/>
      <c r="G56" s="468"/>
      <c r="H56" s="480"/>
      <c r="I56" s="450"/>
      <c r="J56" s="450"/>
      <c r="K56" s="450"/>
      <c r="L56" s="450"/>
      <c r="M56" s="450"/>
      <c r="N56" s="450"/>
      <c r="O56" s="450"/>
      <c r="P56" s="450"/>
      <c r="Q56" s="450"/>
      <c r="R56" s="450"/>
      <c r="S56" s="450"/>
      <c r="T56" s="450"/>
      <c r="U56" s="197"/>
      <c r="V56" s="197"/>
      <c r="W56" s="1442"/>
      <c r="X56" s="1442"/>
      <c r="Y56" s="1442"/>
      <c r="Z56" s="471"/>
      <c r="AA56" s="447"/>
      <c r="AB56" s="2661"/>
      <c r="AC56" s="2661"/>
      <c r="AD56" s="2661"/>
      <c r="AE56" s="2661"/>
      <c r="AF56" s="2661"/>
      <c r="AG56" s="2661"/>
      <c r="AH56" s="2661"/>
      <c r="AI56" s="764"/>
      <c r="AJ56" s="764"/>
      <c r="AK56" s="764"/>
      <c r="AL56" s="764"/>
      <c r="AM56" s="764"/>
      <c r="AN56" s="764"/>
      <c r="AO56" s="764"/>
      <c r="AP56" s="764"/>
      <c r="AQ56" s="764"/>
      <c r="AR56" s="447"/>
      <c r="AS56" s="764"/>
      <c r="AT56" s="764"/>
      <c r="AU56" s="764"/>
      <c r="AV56" s="764"/>
      <c r="AW56" s="764"/>
      <c r="AX56" s="764"/>
      <c r="AY56" s="764"/>
      <c r="AZ56" s="764"/>
      <c r="BA56" s="764"/>
      <c r="BB56" s="764"/>
      <c r="BC56" s="764"/>
      <c r="BD56" s="764"/>
      <c r="BE56" s="764"/>
      <c r="BF56" s="764"/>
      <c r="BG56" s="764"/>
      <c r="BH56" s="764"/>
      <c r="BI56" s="764"/>
      <c r="BJ56" s="447"/>
      <c r="BK56" s="447"/>
      <c r="BL56" s="447"/>
      <c r="BM56" s="447"/>
      <c r="BN56" s="447"/>
      <c r="BO56" s="447"/>
      <c r="BP56" s="447"/>
      <c r="BQ56" s="447"/>
      <c r="BR56" s="447"/>
      <c r="BS56" s="447"/>
      <c r="BT56" s="764"/>
      <c r="BU56" s="764"/>
      <c r="BV56" s="764"/>
      <c r="BW56" s="764"/>
      <c r="BX56" s="764"/>
      <c r="BY56" s="764"/>
      <c r="BZ56" s="764"/>
    </row>
    <row r="57" spans="1:78" s="272" customFormat="1" ht="12" customHeight="1" x14ac:dyDescent="0.5">
      <c r="A57" s="198"/>
      <c r="B57" s="198"/>
      <c r="C57" s="198"/>
      <c r="D57" s="198"/>
      <c r="E57" s="198"/>
      <c r="F57" s="447"/>
      <c r="G57" s="468"/>
      <c r="H57" s="472"/>
      <c r="I57" s="209" t="s">
        <v>4117</v>
      </c>
      <c r="J57" s="754"/>
      <c r="K57" s="754"/>
      <c r="M57" s="2700" t="s">
        <v>3318</v>
      </c>
      <c r="N57" s="197"/>
      <c r="O57" s="197"/>
      <c r="Q57" s="481"/>
      <c r="S57" s="2659" t="s">
        <v>3333</v>
      </c>
      <c r="U57" s="478"/>
      <c r="V57" s="197"/>
      <c r="X57" s="197"/>
      <c r="Y57" s="754"/>
      <c r="Z57" s="471"/>
      <c r="AA57" s="447"/>
      <c r="AB57" s="2661"/>
      <c r="AC57" s="2661"/>
      <c r="AD57" s="2661"/>
      <c r="AE57" s="2661"/>
      <c r="AF57" s="2661"/>
      <c r="AG57" s="2661"/>
      <c r="AH57" s="2661"/>
      <c r="AI57" s="764"/>
      <c r="AJ57" s="764"/>
      <c r="AK57" s="764"/>
      <c r="AL57" s="764"/>
      <c r="AM57" s="764"/>
      <c r="AN57" s="764"/>
      <c r="AO57" s="764"/>
      <c r="AP57" s="764"/>
      <c r="AQ57" s="764"/>
      <c r="AR57" s="447"/>
      <c r="AS57" s="764"/>
      <c r="AT57" s="764"/>
      <c r="AU57" s="764"/>
      <c r="AV57" s="764"/>
      <c r="AW57" s="764"/>
      <c r="AX57" s="764"/>
      <c r="AY57" s="764"/>
      <c r="AZ57" s="764"/>
      <c r="BA57" s="764"/>
      <c r="BB57" s="764"/>
      <c r="BC57" s="764"/>
      <c r="BD57" s="764"/>
      <c r="BE57" s="764"/>
      <c r="BF57" s="764"/>
      <c r="BG57" s="764"/>
      <c r="BH57" s="764"/>
      <c r="BI57" s="764"/>
      <c r="BJ57" s="447"/>
      <c r="BK57" s="447"/>
      <c r="BL57" s="447"/>
      <c r="BM57" s="447"/>
      <c r="BN57" s="447"/>
      <c r="BO57" s="447"/>
      <c r="BP57" s="447"/>
      <c r="BQ57" s="447"/>
      <c r="BR57" s="447"/>
      <c r="BS57" s="447"/>
      <c r="BT57" s="764"/>
      <c r="BU57" s="764"/>
      <c r="BV57" s="764"/>
      <c r="BW57" s="764"/>
      <c r="BX57" s="764"/>
      <c r="BY57" s="764"/>
      <c r="BZ57" s="764"/>
    </row>
    <row r="58" spans="1:78" s="272" customFormat="1" ht="18" customHeight="1" x14ac:dyDescent="0.25">
      <c r="A58" s="198"/>
      <c r="B58" s="198"/>
      <c r="C58" s="198"/>
      <c r="D58" s="198"/>
      <c r="E58" s="198"/>
      <c r="F58" s="447"/>
      <c r="G58" s="468"/>
      <c r="H58" s="474"/>
      <c r="I58" s="3406" t="str">
        <f>T20</f>
        <v>GB - BIAF</v>
      </c>
      <c r="J58" s="3407"/>
      <c r="K58" s="1252" t="str">
        <f>HYPERLINK("#"&amp;ADDRESS(ROW(),COLUMN()-1),CHAR(128))</f>
        <v>€</v>
      </c>
      <c r="M58" s="3411" t="str">
        <f>T3</f>
        <v>BIE Highways</v>
      </c>
      <c r="N58" s="3412"/>
      <c r="O58" s="3412"/>
      <c r="P58" s="3413"/>
      <c r="Q58" s="453" t="str">
        <f>HYPERLINK("#"&amp;ADDRESS(ROW(),COLUMN()-1),CHAR(128))</f>
        <v>€</v>
      </c>
      <c r="R58" s="754"/>
      <c r="S58" s="3408"/>
      <c r="T58" s="3409"/>
      <c r="U58" s="3409"/>
      <c r="V58" s="3409"/>
      <c r="W58" s="3409"/>
      <c r="X58" s="3410"/>
      <c r="Y58" s="754"/>
      <c r="Z58" s="471"/>
      <c r="AA58" s="447"/>
      <c r="AB58" s="1727"/>
      <c r="AC58" s="2661"/>
      <c r="AD58" s="2661"/>
      <c r="AE58" s="2661"/>
      <c r="AF58" s="2661"/>
      <c r="AG58" s="2661"/>
      <c r="AH58" s="1046"/>
      <c r="AI58" s="1046"/>
      <c r="AJ58" s="764"/>
      <c r="AK58" s="764"/>
      <c r="AL58" s="1046"/>
      <c r="AM58" s="764"/>
      <c r="AN58" s="764"/>
      <c r="AO58" s="764"/>
      <c r="AP58" s="1046"/>
      <c r="AQ58" s="764"/>
      <c r="AR58" s="447"/>
      <c r="AS58" s="764"/>
      <c r="AT58" s="764"/>
      <c r="AU58" s="764"/>
      <c r="AV58" s="764"/>
      <c r="AW58" s="764"/>
      <c r="AX58" s="764"/>
      <c r="AY58" s="764"/>
      <c r="AZ58" s="764"/>
      <c r="BA58" s="764"/>
      <c r="BB58" s="764"/>
      <c r="BC58" s="764"/>
      <c r="BD58" s="764"/>
      <c r="BE58" s="764"/>
      <c r="BF58" s="764"/>
      <c r="BG58" s="764"/>
      <c r="BH58" s="764"/>
      <c r="BI58" s="764"/>
      <c r="BJ58" s="447"/>
      <c r="BK58" s="447"/>
      <c r="BL58" s="447"/>
      <c r="BM58" s="447"/>
      <c r="BN58" s="447"/>
      <c r="BO58" s="447"/>
      <c r="BP58" s="447"/>
      <c r="BQ58" s="447"/>
      <c r="BR58" s="447"/>
      <c r="BS58" s="447"/>
      <c r="BT58" s="764"/>
      <c r="BU58" s="764"/>
      <c r="BV58" s="764"/>
      <c r="BW58" s="764"/>
      <c r="BX58" s="764"/>
      <c r="BY58" s="764"/>
      <c r="BZ58" s="764"/>
    </row>
    <row r="59" spans="1:78" s="272" customFormat="1" ht="19.350000000000001" customHeight="1" x14ac:dyDescent="0.25">
      <c r="A59" s="198"/>
      <c r="B59" s="198"/>
      <c r="C59" s="198"/>
      <c r="D59" s="198"/>
      <c r="E59" s="198"/>
      <c r="F59" s="447"/>
      <c r="G59" s="468"/>
      <c r="H59" s="474"/>
      <c r="I59" s="566" t="s">
        <v>168</v>
      </c>
      <c r="J59" s="197"/>
      <c r="K59" s="477"/>
      <c r="L59" s="69"/>
      <c r="M59" s="1045"/>
      <c r="N59" s="1045"/>
      <c r="O59" s="1045"/>
      <c r="Q59" s="2660"/>
      <c r="R59" s="2660"/>
      <c r="S59" s="2660"/>
      <c r="T59" s="2660"/>
      <c r="U59" s="902"/>
      <c r="V59" s="902"/>
      <c r="W59" s="482"/>
      <c r="X59" s="197"/>
      <c r="Y59" s="754"/>
      <c r="Z59" s="471"/>
      <c r="AA59" s="447"/>
      <c r="AB59" s="447"/>
      <c r="AC59" s="2661"/>
      <c r="AD59" s="2661"/>
      <c r="AE59" s="2661"/>
      <c r="AF59" s="2661"/>
      <c r="AG59" s="2661"/>
      <c r="AH59" s="447"/>
      <c r="AI59" s="764"/>
      <c r="AJ59" s="764"/>
      <c r="AK59" s="764"/>
      <c r="AL59" s="764"/>
      <c r="AM59" s="764"/>
      <c r="AN59" s="764"/>
      <c r="AO59" s="764"/>
      <c r="AP59" s="764"/>
      <c r="AQ59" s="764"/>
      <c r="AR59" s="447"/>
      <c r="AS59" s="764"/>
      <c r="AT59" s="764"/>
      <c r="AU59" s="764"/>
      <c r="AV59" s="764"/>
      <c r="AW59" s="764"/>
      <c r="AX59" s="764"/>
      <c r="AY59" s="764"/>
      <c r="AZ59" s="764"/>
      <c r="BA59" s="764"/>
      <c r="BB59" s="764"/>
      <c r="BC59" s="764"/>
      <c r="BD59" s="764"/>
      <c r="BE59" s="764"/>
      <c r="BF59" s="764"/>
      <c r="BG59" s="764"/>
      <c r="BH59" s="764"/>
      <c r="BI59" s="764"/>
      <c r="BJ59" s="447"/>
      <c r="BK59" s="447"/>
      <c r="BL59" s="447"/>
      <c r="BM59" s="447"/>
      <c r="BN59" s="447"/>
      <c r="BO59" s="447"/>
      <c r="BP59" s="447"/>
      <c r="BQ59" s="447"/>
      <c r="BR59" s="447"/>
      <c r="BS59" s="447"/>
      <c r="BT59" s="764"/>
      <c r="BU59" s="764"/>
      <c r="BV59" s="764"/>
      <c r="BW59" s="764"/>
      <c r="BX59" s="764"/>
      <c r="BY59" s="764"/>
      <c r="BZ59" s="764"/>
    </row>
    <row r="60" spans="1:78" s="749" customFormat="1" ht="18" customHeight="1" x14ac:dyDescent="0.25">
      <c r="A60" s="198"/>
      <c r="B60" s="198"/>
      <c r="C60" s="198"/>
      <c r="D60" s="198"/>
      <c r="E60" s="198"/>
      <c r="F60" s="764"/>
      <c r="G60" s="765"/>
      <c r="H60" s="767"/>
      <c r="I60" s="2709" t="str">
        <f>T21</f>
        <v>GBP</v>
      </c>
      <c r="J60" s="1252" t="str">
        <f>HYPERLINK("#"&amp;ADDRESS(ROW(),COLUMN()-1),CHAR(128))</f>
        <v>€</v>
      </c>
      <c r="L60" s="3420" t="str">
        <f>IF(AND(ISBLANK(S55),ISBLANK(S58)),"",CHOOSE(G21,I21,I22))</f>
        <v>1.  The PU list is a hidden lookup tab in this tool.  It can be manually modified if required.
2.  If you can't find a particular PU, it isn't critical.  Enter the approximate name in the gray box (IPCS will later import the exact name from GFS).
3.  Any boxes that don't auto-populate must be completed manually.  All green boxes can be modified if required.
4.  Note that the the Country/Entity determines the default Burden/Fringe rates that are applied in section 4 below.</v>
      </c>
      <c r="M60" s="3420"/>
      <c r="N60" s="3420"/>
      <c r="O60" s="3420"/>
      <c r="P60" s="3420"/>
      <c r="Q60" s="3420"/>
      <c r="R60" s="3420"/>
      <c r="S60" s="3420"/>
      <c r="T60" s="3420"/>
      <c r="U60" s="3420"/>
      <c r="V60" s="3420"/>
      <c r="W60" s="3420"/>
      <c r="X60" s="3420"/>
      <c r="Y60" s="3420"/>
      <c r="Z60" s="766"/>
      <c r="AA60" s="764"/>
      <c r="AB60" s="764"/>
      <c r="AC60" s="2661"/>
      <c r="AD60" s="2661"/>
      <c r="AE60" s="2661"/>
      <c r="AF60" s="2661"/>
      <c r="AG60" s="2661"/>
      <c r="AH60" s="764"/>
      <c r="AI60" s="764"/>
      <c r="AJ60" s="764"/>
      <c r="AK60" s="764"/>
      <c r="AL60" s="764"/>
      <c r="AM60" s="764"/>
      <c r="AN60" s="764"/>
      <c r="AO60" s="764"/>
      <c r="AP60" s="764"/>
      <c r="AQ60" s="764"/>
      <c r="AR60" s="764"/>
      <c r="AS60" s="764"/>
      <c r="AT60" s="764"/>
      <c r="AU60" s="764"/>
      <c r="AV60" s="764"/>
      <c r="AW60" s="764"/>
      <c r="AX60" s="764"/>
      <c r="AY60" s="764"/>
      <c r="AZ60" s="764"/>
      <c r="BA60" s="764"/>
      <c r="BB60" s="764"/>
      <c r="BC60" s="764"/>
      <c r="BD60" s="764"/>
      <c r="BE60" s="764"/>
      <c r="BF60" s="764"/>
      <c r="BG60" s="764"/>
      <c r="BH60" s="764"/>
      <c r="BI60" s="764"/>
      <c r="BJ60" s="764"/>
      <c r="BK60" s="764"/>
      <c r="BL60" s="764"/>
      <c r="BM60" s="764"/>
      <c r="BN60" s="764"/>
      <c r="BO60" s="764"/>
      <c r="BP60" s="764"/>
      <c r="BQ60" s="764"/>
      <c r="BR60" s="764"/>
      <c r="BS60" s="764"/>
      <c r="BT60" s="764"/>
      <c r="BU60" s="764"/>
      <c r="BV60" s="764"/>
      <c r="BW60" s="764"/>
      <c r="BX60" s="764"/>
      <c r="BY60" s="764"/>
      <c r="BZ60" s="764"/>
    </row>
    <row r="61" spans="1:78" s="749" customFormat="1" ht="8.4" customHeight="1" x14ac:dyDescent="0.25">
      <c r="A61" s="198"/>
      <c r="B61" s="198"/>
      <c r="C61" s="198"/>
      <c r="D61" s="198"/>
      <c r="E61" s="198"/>
      <c r="F61" s="764"/>
      <c r="G61" s="765"/>
      <c r="H61" s="767"/>
      <c r="J61" s="754"/>
      <c r="K61" s="1442"/>
      <c r="L61" s="3420"/>
      <c r="M61" s="3420"/>
      <c r="N61" s="3420"/>
      <c r="O61" s="3420"/>
      <c r="P61" s="3420"/>
      <c r="Q61" s="3420"/>
      <c r="R61" s="3420"/>
      <c r="S61" s="3420"/>
      <c r="T61" s="3420"/>
      <c r="U61" s="3420"/>
      <c r="V61" s="3420"/>
      <c r="W61" s="3420"/>
      <c r="X61" s="3420"/>
      <c r="Y61" s="3420"/>
      <c r="Z61" s="766"/>
      <c r="AA61" s="764"/>
      <c r="AB61" s="764"/>
      <c r="AC61" s="2661"/>
      <c r="AD61" s="2661"/>
      <c r="AE61" s="2661"/>
      <c r="AF61" s="2661"/>
      <c r="AG61" s="2661"/>
      <c r="AH61" s="764"/>
      <c r="AI61" s="764"/>
      <c r="AJ61" s="764"/>
      <c r="AK61" s="764"/>
      <c r="AL61" s="764"/>
      <c r="AM61" s="764"/>
      <c r="AN61" s="764"/>
      <c r="AO61" s="764"/>
      <c r="AP61" s="764"/>
      <c r="AQ61" s="764"/>
      <c r="AR61" s="764"/>
      <c r="AS61" s="764"/>
      <c r="AT61" s="764"/>
      <c r="AU61" s="764"/>
      <c r="AV61" s="764"/>
      <c r="AW61" s="764"/>
      <c r="AX61" s="764"/>
      <c r="AY61" s="764"/>
      <c r="AZ61" s="764"/>
      <c r="BA61" s="764"/>
      <c r="BB61" s="764"/>
      <c r="BC61" s="764"/>
      <c r="BD61" s="764"/>
      <c r="BE61" s="764"/>
      <c r="BF61" s="764"/>
      <c r="BG61" s="764"/>
      <c r="BH61" s="764"/>
      <c r="BI61" s="764"/>
      <c r="BJ61" s="764"/>
      <c r="BK61" s="764"/>
      <c r="BL61" s="764"/>
      <c r="BM61" s="764"/>
      <c r="BN61" s="764"/>
      <c r="BO61" s="764"/>
      <c r="BP61" s="764"/>
      <c r="BQ61" s="764"/>
      <c r="BR61" s="764"/>
      <c r="BS61" s="764"/>
      <c r="BT61" s="764"/>
      <c r="BU61" s="764"/>
      <c r="BV61" s="764"/>
      <c r="BW61" s="764"/>
      <c r="BX61" s="764"/>
      <c r="BY61" s="764"/>
      <c r="BZ61" s="764"/>
    </row>
    <row r="62" spans="1:78" s="749" customFormat="1" ht="18.75" customHeight="1" x14ac:dyDescent="0.25">
      <c r="A62" s="198"/>
      <c r="B62" s="198"/>
      <c r="C62" s="198"/>
      <c r="D62" s="198"/>
      <c r="E62" s="198"/>
      <c r="F62" s="764"/>
      <c r="G62" s="765"/>
      <c r="H62" s="767"/>
      <c r="J62" s="1442"/>
      <c r="K62" s="1442"/>
      <c r="L62" s="3420"/>
      <c r="M62" s="3420"/>
      <c r="N62" s="3420"/>
      <c r="O62" s="3420"/>
      <c r="P62" s="3420"/>
      <c r="Q62" s="3420"/>
      <c r="R62" s="3420"/>
      <c r="S62" s="3420"/>
      <c r="T62" s="3420"/>
      <c r="U62" s="3420"/>
      <c r="V62" s="3420"/>
      <c r="W62" s="3420"/>
      <c r="X62" s="3420"/>
      <c r="Y62" s="3420"/>
      <c r="Z62" s="766"/>
      <c r="AA62" s="764"/>
      <c r="AB62" s="764"/>
      <c r="AC62" s="2661"/>
      <c r="AD62" s="2661"/>
      <c r="AE62" s="2661"/>
      <c r="AF62" s="2661"/>
      <c r="AG62" s="2661"/>
      <c r="AH62" s="764"/>
      <c r="AI62" s="764"/>
      <c r="AJ62" s="764"/>
      <c r="AK62" s="764"/>
      <c r="AL62" s="764"/>
      <c r="AM62" s="764"/>
      <c r="AN62" s="764"/>
      <c r="AO62" s="764"/>
      <c r="AP62" s="764"/>
      <c r="AQ62" s="764"/>
      <c r="AR62" s="764"/>
      <c r="AS62" s="764"/>
      <c r="AT62" s="764"/>
      <c r="AU62" s="764"/>
      <c r="AV62" s="764"/>
      <c r="AW62" s="764"/>
      <c r="AX62" s="764"/>
      <c r="AY62" s="764"/>
      <c r="AZ62" s="764"/>
      <c r="BA62" s="764"/>
      <c r="BB62" s="764"/>
      <c r="BC62" s="764"/>
      <c r="BD62" s="764"/>
      <c r="BE62" s="764"/>
      <c r="BF62" s="764"/>
      <c r="BG62" s="764"/>
      <c r="BH62" s="764"/>
      <c r="BI62" s="764"/>
      <c r="BJ62" s="764"/>
      <c r="BK62" s="764"/>
      <c r="BL62" s="764"/>
      <c r="BM62" s="764"/>
      <c r="BN62" s="764"/>
      <c r="BO62" s="764"/>
      <c r="BP62" s="764"/>
      <c r="BQ62" s="764"/>
      <c r="BR62" s="764"/>
      <c r="BS62" s="764"/>
      <c r="BT62" s="764"/>
      <c r="BU62" s="764"/>
      <c r="BV62" s="764"/>
      <c r="BW62" s="764"/>
      <c r="BX62" s="764"/>
      <c r="BY62" s="764"/>
      <c r="BZ62" s="764"/>
    </row>
    <row r="63" spans="1:78" s="272" customFormat="1" ht="24" customHeight="1" x14ac:dyDescent="0.5">
      <c r="A63" s="198"/>
      <c r="B63" s="198"/>
      <c r="C63" s="198"/>
      <c r="D63" s="198"/>
      <c r="E63" s="198"/>
      <c r="F63" s="447"/>
      <c r="G63" s="468"/>
      <c r="H63" s="472"/>
      <c r="I63" s="197"/>
      <c r="J63" s="197"/>
      <c r="K63" s="197"/>
      <c r="L63" s="197"/>
      <c r="M63" s="197"/>
      <c r="W63" s="197"/>
      <c r="X63" s="197"/>
      <c r="Y63" s="754"/>
      <c r="Z63" s="471"/>
      <c r="AA63" s="447"/>
      <c r="AB63" s="447"/>
      <c r="AC63" s="764"/>
      <c r="AD63" s="764"/>
      <c r="AE63" s="447"/>
      <c r="AF63" s="447"/>
      <c r="AG63" s="764"/>
      <c r="AH63" s="447"/>
      <c r="AI63" s="764"/>
      <c r="AJ63" s="764"/>
      <c r="AK63" s="764"/>
      <c r="AL63" s="764"/>
      <c r="AM63" s="764"/>
      <c r="AN63" s="764"/>
      <c r="AO63" s="764"/>
      <c r="AP63" s="764"/>
      <c r="AQ63" s="764"/>
      <c r="AR63" s="447"/>
      <c r="AS63" s="764"/>
      <c r="AT63" s="764"/>
      <c r="AU63" s="764"/>
      <c r="AV63" s="764"/>
      <c r="AW63" s="764"/>
      <c r="AX63" s="764"/>
      <c r="AY63" s="764"/>
      <c r="AZ63" s="764"/>
      <c r="BA63" s="764"/>
      <c r="BB63" s="764"/>
      <c r="BC63" s="764"/>
      <c r="BD63" s="764"/>
      <c r="BE63" s="764"/>
      <c r="BF63" s="764"/>
      <c r="BG63" s="764"/>
      <c r="BH63" s="764"/>
      <c r="BI63" s="764"/>
      <c r="BJ63" s="447"/>
      <c r="BK63" s="447"/>
      <c r="BL63" s="447"/>
      <c r="BM63" s="447"/>
      <c r="BN63" s="447"/>
      <c r="BO63" s="447"/>
      <c r="BP63" s="447"/>
      <c r="BQ63" s="447"/>
      <c r="BR63" s="447"/>
      <c r="BS63" s="447"/>
      <c r="BT63" s="764"/>
      <c r="BU63" s="764"/>
      <c r="BV63" s="764"/>
      <c r="BW63" s="764"/>
      <c r="BX63" s="764"/>
      <c r="BY63" s="764"/>
      <c r="BZ63" s="764"/>
    </row>
    <row r="64" spans="1:78" s="272" customFormat="1" ht="28.35" customHeight="1" x14ac:dyDescent="0.25">
      <c r="A64" s="198"/>
      <c r="B64" s="198"/>
      <c r="C64" s="198"/>
      <c r="D64" s="198"/>
      <c r="E64" s="198"/>
      <c r="F64" s="447"/>
      <c r="G64" s="468"/>
      <c r="H64" s="473">
        <v>4</v>
      </c>
      <c r="I64" s="473" t="s">
        <v>2870</v>
      </c>
      <c r="J64" s="473"/>
      <c r="K64" s="197"/>
      <c r="L64" s="197"/>
      <c r="M64" s="483"/>
      <c r="N64" s="483"/>
      <c r="O64" s="197"/>
      <c r="P64" s="197"/>
      <c r="Q64" s="197"/>
      <c r="R64" s="197"/>
      <c r="S64" s="197"/>
      <c r="T64" s="197"/>
      <c r="U64" s="197"/>
      <c r="V64" s="197"/>
      <c r="W64" s="197"/>
      <c r="X64" s="197"/>
      <c r="Y64" s="754"/>
      <c r="Z64" s="471"/>
      <c r="AA64" s="447"/>
      <c r="AB64" s="447"/>
      <c r="AC64" s="764"/>
      <c r="AD64" s="447"/>
      <c r="AE64" s="447"/>
      <c r="AF64" s="447"/>
      <c r="AG64" s="764"/>
      <c r="AH64" s="1046"/>
      <c r="AI64" s="1046"/>
      <c r="AJ64" s="764"/>
      <c r="AK64" s="764"/>
      <c r="AL64" s="1046"/>
      <c r="AM64" s="764"/>
      <c r="AN64" s="764"/>
      <c r="AO64" s="764"/>
      <c r="AP64" s="1046"/>
      <c r="AQ64" s="764"/>
      <c r="AR64" s="447"/>
      <c r="AS64" s="764"/>
      <c r="AT64" s="764"/>
      <c r="AU64" s="764"/>
      <c r="AV64" s="764"/>
      <c r="AW64" s="764"/>
      <c r="AX64" s="764"/>
      <c r="AY64" s="764"/>
      <c r="AZ64" s="764"/>
      <c r="BA64" s="764"/>
      <c r="BB64" s="764"/>
      <c r="BC64" s="764"/>
      <c r="BD64" s="764"/>
      <c r="BE64" s="764"/>
      <c r="BF64" s="764"/>
      <c r="BG64" s="764"/>
      <c r="BH64" s="764"/>
      <c r="BI64" s="764"/>
      <c r="BJ64" s="447"/>
      <c r="BK64" s="447"/>
      <c r="BL64" s="447"/>
      <c r="BM64" s="447"/>
      <c r="BN64" s="447"/>
      <c r="BO64" s="447"/>
      <c r="BP64" s="447"/>
      <c r="BQ64" s="447"/>
      <c r="BR64" s="447"/>
      <c r="BS64" s="447"/>
      <c r="BT64" s="764"/>
      <c r="BU64" s="764"/>
      <c r="BV64" s="764"/>
      <c r="BW64" s="764"/>
      <c r="BX64" s="764"/>
      <c r="BY64" s="764"/>
      <c r="BZ64" s="764"/>
    </row>
    <row r="65" spans="1:78" s="272" customFormat="1" ht="22.5" customHeight="1" x14ac:dyDescent="0.5">
      <c r="A65" s="198"/>
      <c r="B65" s="198"/>
      <c r="C65" s="198"/>
      <c r="D65" s="198"/>
      <c r="E65" s="198"/>
      <c r="F65" s="447"/>
      <c r="G65" s="468"/>
      <c r="H65" s="472"/>
      <c r="I65" s="484" t="s">
        <v>2887</v>
      </c>
      <c r="J65" s="484"/>
      <c r="K65" s="197"/>
      <c r="L65" s="197"/>
      <c r="M65" s="485"/>
      <c r="N65" s="485"/>
      <c r="O65" s="197"/>
      <c r="P65" s="197"/>
      <c r="Q65" s="197"/>
      <c r="R65" s="542"/>
      <c r="T65" s="723"/>
      <c r="U65" s="197"/>
      <c r="V65" s="1690" t="s">
        <v>2880</v>
      </c>
      <c r="W65" s="197"/>
      <c r="X65" s="197"/>
      <c r="Y65" s="754"/>
      <c r="Z65" s="471"/>
      <c r="AA65" s="447"/>
      <c r="AB65" s="447"/>
      <c r="AC65" s="764"/>
      <c r="AD65" s="447"/>
      <c r="AE65" s="447"/>
      <c r="AF65" s="447"/>
      <c r="AG65" s="764"/>
      <c r="AH65" s="447"/>
      <c r="AI65" s="764"/>
      <c r="AJ65" s="764"/>
      <c r="AK65" s="764"/>
      <c r="AL65" s="764"/>
      <c r="AM65" s="764"/>
      <c r="AN65" s="764"/>
      <c r="AO65" s="764"/>
      <c r="AP65" s="764"/>
      <c r="AQ65" s="764"/>
      <c r="AR65" s="447"/>
      <c r="AS65" s="764"/>
      <c r="AT65" s="764"/>
      <c r="AU65" s="764"/>
      <c r="AV65" s="764"/>
      <c r="AW65" s="764"/>
      <c r="AX65" s="764"/>
      <c r="AY65" s="764"/>
      <c r="AZ65" s="764"/>
      <c r="BA65" s="764"/>
      <c r="BB65" s="764"/>
      <c r="BC65" s="764"/>
      <c r="BD65" s="764"/>
      <c r="BE65" s="764"/>
      <c r="BF65" s="764"/>
      <c r="BG65" s="764"/>
      <c r="BH65" s="764"/>
      <c r="BI65" s="764"/>
      <c r="BJ65" s="447"/>
      <c r="BK65" s="447"/>
      <c r="BL65" s="447"/>
      <c r="BM65" s="447"/>
      <c r="BN65" s="447"/>
      <c r="BO65" s="447"/>
      <c r="BP65" s="447"/>
      <c r="BQ65" s="447"/>
      <c r="BR65" s="447"/>
      <c r="BS65" s="447"/>
      <c r="BT65" s="764"/>
      <c r="BU65" s="764"/>
      <c r="BV65" s="764"/>
      <c r="BW65" s="764"/>
      <c r="BX65" s="764"/>
      <c r="BY65" s="764"/>
      <c r="BZ65" s="764"/>
    </row>
    <row r="66" spans="1:78" s="272" customFormat="1" ht="18" customHeight="1" x14ac:dyDescent="0.25">
      <c r="A66" s="198"/>
      <c r="B66" s="198"/>
      <c r="C66" s="198"/>
      <c r="D66" s="198"/>
      <c r="E66" s="198"/>
      <c r="F66" s="447"/>
      <c r="G66" s="468"/>
      <c r="H66" s="474" t="s">
        <v>387</v>
      </c>
      <c r="I66" s="486">
        <v>0.52</v>
      </c>
      <c r="J66" s="487" t="str">
        <f>IF(AND(ISBLANK(S55),ISBLANK(S58)),"",IF(G21=1," Over-type if this value is incorrect"," Enter the predominant Staff Burden rate here"))</f>
        <v xml:space="preserve"> Over-type if this value is incorrect</v>
      </c>
      <c r="K66" s="197"/>
      <c r="L66" s="197"/>
      <c r="M66" s="197"/>
      <c r="N66" s="197"/>
      <c r="O66" s="474"/>
      <c r="P66" s="197"/>
      <c r="Q66" s="487"/>
      <c r="S66" s="196" t="s">
        <v>1708</v>
      </c>
      <c r="T66" s="406">
        <f>IFERROR(P14,0)</f>
        <v>1.73</v>
      </c>
      <c r="U66" s="3435" t="str">
        <f>IFERROR(Q14,"")</f>
        <v>GBP</v>
      </c>
      <c r="V66" s="3436"/>
      <c r="W66" s="3402" t="str">
        <f>IF(I58="USA","In US, default = zero, because 
PC costs accrue at PU level","")</f>
        <v/>
      </c>
      <c r="X66" s="3402"/>
      <c r="Y66" s="3402"/>
      <c r="Z66" s="3403"/>
      <c r="AA66" s="447"/>
      <c r="AB66" s="447"/>
      <c r="AC66" s="764"/>
      <c r="AD66" s="447"/>
      <c r="AE66" s="447"/>
      <c r="AF66" s="447"/>
      <c r="AG66" s="764"/>
      <c r="AH66" s="1046"/>
      <c r="AI66" s="1046"/>
      <c r="AJ66" s="764"/>
      <c r="AK66" s="764"/>
      <c r="AL66" s="1046"/>
      <c r="AM66" s="764"/>
      <c r="AN66" s="764"/>
      <c r="AO66" s="764"/>
      <c r="AP66" s="1046"/>
      <c r="AQ66" s="764"/>
      <c r="AR66" s="447"/>
      <c r="AS66" s="764"/>
      <c r="AT66" s="764"/>
      <c r="AU66" s="764"/>
      <c r="AV66" s="764"/>
      <c r="AW66" s="764"/>
      <c r="AX66" s="764"/>
      <c r="AY66" s="764"/>
      <c r="AZ66" s="764"/>
      <c r="BA66" s="764"/>
      <c r="BB66" s="764"/>
      <c r="BC66" s="764"/>
      <c r="BD66" s="764"/>
      <c r="BE66" s="764"/>
      <c r="BF66" s="764"/>
      <c r="BG66" s="764"/>
      <c r="BH66" s="764"/>
      <c r="BI66" s="764"/>
      <c r="BJ66" s="447"/>
      <c r="BK66" s="447"/>
      <c r="BL66" s="447"/>
      <c r="BM66" s="447"/>
      <c r="BN66" s="447"/>
      <c r="BO66" s="447"/>
      <c r="BP66" s="447"/>
      <c r="BQ66" s="447"/>
      <c r="BR66" s="447"/>
      <c r="BS66" s="447"/>
      <c r="BT66" s="764"/>
      <c r="BU66" s="764"/>
      <c r="BV66" s="764"/>
      <c r="BW66" s="764"/>
      <c r="BX66" s="764"/>
      <c r="BY66" s="764"/>
      <c r="BZ66" s="764"/>
    </row>
    <row r="67" spans="1:78" s="272" customFormat="1" ht="4.5" customHeight="1" x14ac:dyDescent="0.5">
      <c r="A67" s="198"/>
      <c r="B67" s="198"/>
      <c r="C67" s="198"/>
      <c r="D67" s="198"/>
      <c r="E67" s="198"/>
      <c r="F67" s="447"/>
      <c r="G67" s="468"/>
      <c r="H67" s="472"/>
      <c r="I67" s="197"/>
      <c r="J67" s="485"/>
      <c r="K67" s="197"/>
      <c r="L67" s="197"/>
      <c r="M67" s="197"/>
      <c r="N67" s="197"/>
      <c r="O67" s="197"/>
      <c r="P67" s="197"/>
      <c r="Q67" s="488"/>
      <c r="R67" s="489" t="s">
        <v>312</v>
      </c>
      <c r="T67" s="197"/>
      <c r="U67" s="197"/>
      <c r="V67" s="197"/>
      <c r="W67" s="3402"/>
      <c r="X67" s="3402"/>
      <c r="Y67" s="3402"/>
      <c r="Z67" s="3403"/>
      <c r="AA67" s="447"/>
      <c r="AB67" s="447"/>
      <c r="AC67" s="764"/>
      <c r="AD67" s="447"/>
      <c r="AE67" s="447"/>
      <c r="AF67" s="447"/>
      <c r="AG67" s="764"/>
      <c r="AH67" s="447"/>
      <c r="AI67" s="764"/>
      <c r="AJ67" s="764"/>
      <c r="AK67" s="764"/>
      <c r="AL67" s="764"/>
      <c r="AM67" s="764"/>
      <c r="AN67" s="764"/>
      <c r="AO67" s="764"/>
      <c r="AP67" s="764"/>
      <c r="AQ67" s="764"/>
      <c r="AR67" s="447"/>
      <c r="AS67" s="764"/>
      <c r="AT67" s="764"/>
      <c r="AU67" s="764"/>
      <c r="AV67" s="764"/>
      <c r="AW67" s="764"/>
      <c r="AX67" s="764"/>
      <c r="AY67" s="764"/>
      <c r="AZ67" s="764"/>
      <c r="BA67" s="764"/>
      <c r="BB67" s="764"/>
      <c r="BC67" s="764"/>
      <c r="BD67" s="764"/>
      <c r="BE67" s="764"/>
      <c r="BF67" s="764"/>
      <c r="BG67" s="764"/>
      <c r="BH67" s="764"/>
      <c r="BI67" s="764"/>
      <c r="BJ67" s="447"/>
      <c r="BK67" s="447"/>
      <c r="BL67" s="447"/>
      <c r="BM67" s="447"/>
      <c r="BN67" s="447"/>
      <c r="BO67" s="447"/>
      <c r="BP67" s="447"/>
      <c r="BQ67" s="447"/>
      <c r="BR67" s="447"/>
      <c r="BS67" s="447"/>
      <c r="BT67" s="764"/>
      <c r="BU67" s="764"/>
      <c r="BV67" s="764"/>
      <c r="BW67" s="764"/>
      <c r="BX67" s="764"/>
      <c r="BY67" s="764"/>
      <c r="BZ67" s="764"/>
    </row>
    <row r="68" spans="1:78" s="272" customFormat="1" ht="18" customHeight="1" x14ac:dyDescent="0.25">
      <c r="A68" s="198"/>
      <c r="B68" s="198"/>
      <c r="C68" s="198"/>
      <c r="D68" s="198"/>
      <c r="E68" s="198"/>
      <c r="F68" s="447"/>
      <c r="G68" s="468"/>
      <c r="H68" s="474" t="s">
        <v>300</v>
      </c>
      <c r="I68" s="486">
        <f>IFERROR(R8,0)</f>
        <v>1.8499999999999999E-2</v>
      </c>
      <c r="J68" s="487" t="s">
        <v>385</v>
      </c>
      <c r="K68" s="197"/>
      <c r="L68" s="197"/>
      <c r="M68" s="197"/>
      <c r="N68" s="197"/>
      <c r="O68" s="474"/>
      <c r="P68" s="197"/>
      <c r="Q68" s="487"/>
      <c r="R68" s="734"/>
      <c r="S68" s="196" t="s">
        <v>4116</v>
      </c>
      <c r="T68" s="406">
        <f>IFERROR(P16,0)</f>
        <v>23</v>
      </c>
      <c r="U68" s="3435" t="str">
        <f>IFERROR(I60,"")</f>
        <v>GBP</v>
      </c>
      <c r="V68" s="3436"/>
      <c r="W68" s="487"/>
      <c r="X68" s="734"/>
      <c r="Y68" s="734"/>
      <c r="Z68" s="471"/>
      <c r="AA68" s="447"/>
      <c r="AB68" s="447"/>
      <c r="AC68" s="764"/>
      <c r="AD68" s="447"/>
      <c r="AE68" s="447"/>
      <c r="AF68" s="447"/>
      <c r="AG68" s="764"/>
      <c r="AH68" s="1046"/>
      <c r="AI68" s="1046"/>
      <c r="AJ68" s="764"/>
      <c r="AK68" s="764"/>
      <c r="AL68" s="1046"/>
      <c r="AM68" s="764"/>
      <c r="AN68" s="764"/>
      <c r="AO68" s="764"/>
      <c r="AP68" s="1046"/>
      <c r="AQ68" s="764"/>
      <c r="AR68" s="447"/>
      <c r="AS68" s="764"/>
      <c r="AT68" s="764"/>
      <c r="AU68" s="764"/>
      <c r="AV68" s="764"/>
      <c r="AW68" s="764"/>
      <c r="AX68" s="764"/>
      <c r="AY68" s="764"/>
      <c r="AZ68" s="764"/>
      <c r="BA68" s="764"/>
      <c r="BB68" s="764"/>
      <c r="BC68" s="764"/>
      <c r="BD68" s="764"/>
      <c r="BE68" s="764"/>
      <c r="BF68" s="764"/>
      <c r="BG68" s="764"/>
      <c r="BH68" s="764"/>
      <c r="BI68" s="764"/>
      <c r="BJ68" s="447"/>
      <c r="BK68" s="447"/>
      <c r="BL68" s="447"/>
      <c r="BM68" s="447"/>
      <c r="BN68" s="447"/>
      <c r="BO68" s="447"/>
      <c r="BP68" s="447"/>
      <c r="BQ68" s="447"/>
      <c r="BR68" s="447"/>
      <c r="BS68" s="447"/>
      <c r="BT68" s="764"/>
      <c r="BU68" s="764"/>
      <c r="BV68" s="764"/>
      <c r="BW68" s="764"/>
      <c r="BX68" s="764"/>
      <c r="BY68" s="764"/>
      <c r="BZ68" s="764"/>
    </row>
    <row r="69" spans="1:78" s="272" customFormat="1" ht="4.5" customHeight="1" x14ac:dyDescent="0.5">
      <c r="A69" s="198"/>
      <c r="B69" s="198"/>
      <c r="C69" s="198"/>
      <c r="D69" s="198"/>
      <c r="E69" s="198"/>
      <c r="F69" s="447"/>
      <c r="G69" s="468"/>
      <c r="H69" s="472"/>
      <c r="I69" s="197"/>
      <c r="J69" s="485"/>
      <c r="K69" s="197"/>
      <c r="L69" s="197"/>
      <c r="M69" s="197"/>
      <c r="N69" s="197"/>
      <c r="O69" s="197"/>
      <c r="P69" s="197"/>
      <c r="Q69" s="487"/>
      <c r="R69" s="734"/>
      <c r="S69" s="734"/>
      <c r="T69" s="734"/>
      <c r="U69" s="734"/>
      <c r="V69" s="734"/>
      <c r="W69" s="734"/>
      <c r="X69" s="734"/>
      <c r="Y69" s="734"/>
      <c r="Z69" s="471"/>
      <c r="AA69" s="447"/>
      <c r="AB69" s="447"/>
      <c r="AC69" s="764"/>
      <c r="AD69" s="447"/>
      <c r="AE69" s="447"/>
      <c r="AF69" s="447"/>
      <c r="AG69" s="764"/>
      <c r="AH69" s="447"/>
      <c r="AI69" s="764"/>
      <c r="AJ69" s="764"/>
      <c r="AK69" s="764"/>
      <c r="AL69" s="764"/>
      <c r="AM69" s="764"/>
      <c r="AN69" s="764"/>
      <c r="AO69" s="764"/>
      <c r="AP69" s="764"/>
      <c r="AQ69" s="764"/>
      <c r="AR69" s="447"/>
      <c r="AS69" s="764"/>
      <c r="AT69" s="764"/>
      <c r="AU69" s="764"/>
      <c r="AV69" s="764"/>
      <c r="AW69" s="764"/>
      <c r="AX69" s="764"/>
      <c r="AY69" s="764"/>
      <c r="AZ69" s="764"/>
      <c r="BA69" s="764"/>
      <c r="BB69" s="764"/>
      <c r="BC69" s="764"/>
      <c r="BD69" s="764"/>
      <c r="BE69" s="764"/>
      <c r="BF69" s="764"/>
      <c r="BG69" s="764"/>
      <c r="BH69" s="764"/>
      <c r="BI69" s="764"/>
      <c r="BJ69" s="447"/>
      <c r="BK69" s="447"/>
      <c r="BL69" s="447"/>
      <c r="BM69" s="447"/>
      <c r="BN69" s="447"/>
      <c r="BO69" s="447"/>
      <c r="BP69" s="447"/>
      <c r="BQ69" s="447"/>
      <c r="BR69" s="447"/>
      <c r="BS69" s="447"/>
      <c r="BT69" s="764"/>
      <c r="BU69" s="764"/>
      <c r="BV69" s="764"/>
      <c r="BW69" s="764"/>
      <c r="BX69" s="764"/>
      <c r="BY69" s="764"/>
      <c r="BZ69" s="764"/>
    </row>
    <row r="70" spans="1:78" s="272" customFormat="1" ht="18" customHeight="1" x14ac:dyDescent="0.25">
      <c r="A70" s="198"/>
      <c r="B70" s="198"/>
      <c r="C70" s="198"/>
      <c r="D70" s="198"/>
      <c r="E70" s="198"/>
      <c r="F70" s="447"/>
      <c r="G70" s="468"/>
      <c r="H70" s="474" t="s">
        <v>301</v>
      </c>
      <c r="I70" s="486">
        <f>IFERROR(R9,0)</f>
        <v>0.43430000000000002</v>
      </c>
      <c r="J70" s="487" t="s">
        <v>2283</v>
      </c>
      <c r="K70" s="197"/>
      <c r="L70" s="197"/>
      <c r="M70" s="197"/>
      <c r="N70" s="197"/>
      <c r="O70" s="474"/>
      <c r="P70" s="197"/>
      <c r="Q70" s="487"/>
      <c r="X70" s="564"/>
      <c r="Y70" s="564"/>
      <c r="Z70" s="471"/>
      <c r="AA70" s="447"/>
      <c r="AB70" s="447"/>
      <c r="AC70" s="764"/>
      <c r="AD70" s="447"/>
      <c r="AE70" s="447"/>
      <c r="AF70" s="447"/>
      <c r="AG70" s="764"/>
      <c r="AH70" s="447"/>
      <c r="AI70" s="764"/>
      <c r="AJ70" s="764"/>
      <c r="AK70" s="764"/>
      <c r="AL70" s="764"/>
      <c r="AM70" s="764"/>
      <c r="AN70" s="764"/>
      <c r="AO70" s="764"/>
      <c r="AP70" s="764"/>
      <c r="AQ70" s="764"/>
      <c r="AR70" s="447"/>
      <c r="AS70" s="764"/>
      <c r="AT70" s="764"/>
      <c r="AU70" s="764"/>
      <c r="AV70" s="764"/>
      <c r="AW70" s="764"/>
      <c r="AX70" s="764"/>
      <c r="AY70" s="764"/>
      <c r="AZ70" s="764"/>
      <c r="BA70" s="764"/>
      <c r="BB70" s="764"/>
      <c r="BC70" s="764"/>
      <c r="BD70" s="764"/>
      <c r="BE70" s="764"/>
      <c r="BF70" s="764"/>
      <c r="BG70" s="764"/>
      <c r="BH70" s="764"/>
      <c r="BI70" s="764"/>
      <c r="BJ70" s="447"/>
      <c r="BK70" s="447"/>
      <c r="BL70" s="447"/>
      <c r="BM70" s="447"/>
      <c r="BN70" s="447"/>
      <c r="BO70" s="447"/>
      <c r="BP70" s="447"/>
      <c r="BQ70" s="447"/>
      <c r="BR70" s="447"/>
      <c r="BS70" s="447"/>
      <c r="BT70" s="764"/>
      <c r="BU70" s="764"/>
      <c r="BV70" s="764"/>
      <c r="BW70" s="764"/>
      <c r="BX70" s="764"/>
      <c r="BY70" s="764"/>
      <c r="BZ70" s="764"/>
    </row>
    <row r="71" spans="1:78" s="272" customFormat="1" ht="4.5" customHeight="1" x14ac:dyDescent="0.5">
      <c r="A71" s="198"/>
      <c r="B71" s="198"/>
      <c r="C71" s="198"/>
      <c r="D71" s="198"/>
      <c r="E71" s="198"/>
      <c r="F71" s="447"/>
      <c r="G71" s="468"/>
      <c r="H71" s="472"/>
      <c r="I71" s="197"/>
      <c r="J71" s="487"/>
      <c r="K71" s="197"/>
      <c r="L71" s="197"/>
      <c r="M71" s="197"/>
      <c r="N71" s="197"/>
      <c r="O71" s="197"/>
      <c r="P71" s="197"/>
      <c r="Q71" s="197"/>
      <c r="R71" s="735"/>
      <c r="S71" s="735"/>
      <c r="T71" s="735"/>
      <c r="U71" s="197"/>
      <c r="V71" s="197"/>
      <c r="W71" s="197"/>
      <c r="X71" s="197"/>
      <c r="Y71" s="754"/>
      <c r="Z71" s="471"/>
      <c r="AA71" s="447"/>
      <c r="AB71" s="447"/>
      <c r="AC71" s="764"/>
      <c r="AD71" s="447"/>
      <c r="AE71" s="447"/>
      <c r="AF71" s="447"/>
      <c r="AG71" s="764"/>
      <c r="AH71" s="447"/>
      <c r="AI71" s="764"/>
      <c r="AJ71" s="764"/>
      <c r="AK71" s="764"/>
      <c r="AL71" s="764"/>
      <c r="AM71" s="764"/>
      <c r="AN71" s="764"/>
      <c r="AO71" s="764"/>
      <c r="AP71" s="764"/>
      <c r="AQ71" s="764"/>
      <c r="AR71" s="447"/>
      <c r="AS71" s="764"/>
      <c r="AT71" s="764"/>
      <c r="AU71" s="764"/>
      <c r="AV71" s="764"/>
      <c r="AW71" s="764"/>
      <c r="AX71" s="764"/>
      <c r="AY71" s="764"/>
      <c r="AZ71" s="764"/>
      <c r="BA71" s="764"/>
      <c r="BB71" s="764"/>
      <c r="BC71" s="764"/>
      <c r="BD71" s="764"/>
      <c r="BE71" s="764"/>
      <c r="BF71" s="764"/>
      <c r="BG71" s="764"/>
      <c r="BH71" s="764"/>
      <c r="BI71" s="764"/>
      <c r="BJ71" s="447"/>
      <c r="BK71" s="447"/>
      <c r="BL71" s="447"/>
      <c r="BM71" s="447"/>
      <c r="BN71" s="447"/>
      <c r="BO71" s="447"/>
      <c r="BP71" s="447"/>
      <c r="BQ71" s="447"/>
      <c r="BR71" s="447"/>
      <c r="BS71" s="447"/>
      <c r="BT71" s="764"/>
      <c r="BU71" s="764"/>
      <c r="BV71" s="764"/>
      <c r="BW71" s="764"/>
      <c r="BX71" s="764"/>
      <c r="BY71" s="764"/>
      <c r="BZ71" s="764"/>
    </row>
    <row r="72" spans="1:78" s="272" customFormat="1" ht="18" customHeight="1" x14ac:dyDescent="0.25">
      <c r="A72" s="198"/>
      <c r="B72" s="198"/>
      <c r="C72" s="198"/>
      <c r="D72" s="198"/>
      <c r="E72" s="198"/>
      <c r="F72" s="447"/>
      <c r="G72" s="468"/>
      <c r="H72" s="474" t="s">
        <v>109</v>
      </c>
      <c r="I72" s="486">
        <f>IFERROR(R10,0)</f>
        <v>0.1565</v>
      </c>
      <c r="J72" s="487" t="s">
        <v>2283</v>
      </c>
      <c r="K72" s="197"/>
      <c r="L72" s="197"/>
      <c r="M72" s="197"/>
      <c r="N72" s="754"/>
      <c r="O72" s="754"/>
      <c r="P72" s="3392" t="s">
        <v>2401</v>
      </c>
      <c r="Q72" s="3392"/>
      <c r="R72" s="3392"/>
      <c r="S72" s="3392"/>
      <c r="T72" s="3392"/>
      <c r="U72" s="3392"/>
      <c r="V72" s="3392"/>
      <c r="W72" s="1689"/>
      <c r="X72" s="754"/>
      <c r="Y72" s="754"/>
      <c r="Z72" s="471"/>
      <c r="AA72" s="447"/>
      <c r="AB72" s="447"/>
      <c r="AC72" s="764"/>
      <c r="AD72" s="447"/>
      <c r="AE72" s="447"/>
      <c r="AF72" s="447"/>
      <c r="AG72" s="764"/>
      <c r="AH72" s="447"/>
      <c r="AI72" s="764"/>
      <c r="AJ72" s="764"/>
      <c r="AK72" s="764"/>
      <c r="AL72" s="764"/>
      <c r="AM72" s="764"/>
      <c r="AN72" s="764"/>
      <c r="AO72" s="764"/>
      <c r="AP72" s="764"/>
      <c r="AQ72" s="764"/>
      <c r="AR72" s="447"/>
      <c r="AS72" s="764"/>
      <c r="AT72" s="764"/>
      <c r="AU72" s="764"/>
      <c r="AV72" s="764"/>
      <c r="AW72" s="764"/>
      <c r="AX72" s="764"/>
      <c r="AY72" s="764"/>
      <c r="AZ72" s="764"/>
      <c r="BA72" s="764"/>
      <c r="BB72" s="764"/>
      <c r="BC72" s="764"/>
      <c r="BD72" s="764"/>
      <c r="BE72" s="764"/>
      <c r="BF72" s="764"/>
      <c r="BG72" s="764"/>
      <c r="BH72" s="764"/>
      <c r="BI72" s="764"/>
      <c r="BJ72" s="447"/>
      <c r="BK72" s="447"/>
      <c r="BL72" s="447"/>
      <c r="BM72" s="447"/>
      <c r="BN72" s="447"/>
      <c r="BO72" s="447"/>
      <c r="BP72" s="447"/>
      <c r="BQ72" s="447"/>
      <c r="BR72" s="447"/>
      <c r="BS72" s="447"/>
      <c r="BT72" s="764"/>
      <c r="BU72" s="764"/>
      <c r="BV72" s="764"/>
      <c r="BW72" s="764"/>
      <c r="BX72" s="764"/>
      <c r="BY72" s="764"/>
      <c r="BZ72" s="764"/>
    </row>
    <row r="73" spans="1:78" s="272" customFormat="1" ht="4.5" customHeight="1" x14ac:dyDescent="0.5">
      <c r="A73" s="198"/>
      <c r="B73" s="198"/>
      <c r="C73" s="198"/>
      <c r="D73" s="198"/>
      <c r="E73" s="198"/>
      <c r="F73" s="447"/>
      <c r="G73" s="468"/>
      <c r="H73" s="472"/>
      <c r="I73" s="197"/>
      <c r="J73" s="487"/>
      <c r="K73" s="197"/>
      <c r="L73" s="197"/>
      <c r="M73" s="197"/>
      <c r="N73" s="754"/>
      <c r="O73" s="754"/>
      <c r="P73" s="3392"/>
      <c r="Q73" s="3392"/>
      <c r="R73" s="3392"/>
      <c r="S73" s="3392"/>
      <c r="T73" s="3392"/>
      <c r="U73" s="3392"/>
      <c r="V73" s="3392"/>
      <c r="W73" s="1689"/>
      <c r="X73" s="754"/>
      <c r="Y73" s="754"/>
      <c r="Z73" s="471"/>
      <c r="AA73" s="447"/>
      <c r="AB73" s="447"/>
      <c r="AC73" s="764"/>
      <c r="AD73" s="447"/>
      <c r="AE73" s="447"/>
      <c r="AF73" s="447"/>
      <c r="AG73" s="764"/>
      <c r="AH73" s="447"/>
      <c r="AI73" s="764"/>
      <c r="AJ73" s="764"/>
      <c r="AK73" s="764"/>
      <c r="AL73" s="764"/>
      <c r="AM73" s="764"/>
      <c r="AN73" s="764"/>
      <c r="AO73" s="764"/>
      <c r="AP73" s="764"/>
      <c r="AQ73" s="764"/>
      <c r="AR73" s="447"/>
      <c r="AS73" s="764"/>
      <c r="AT73" s="764"/>
      <c r="AU73" s="764"/>
      <c r="AV73" s="764"/>
      <c r="AW73" s="764"/>
      <c r="AX73" s="764"/>
      <c r="AY73" s="764"/>
      <c r="AZ73" s="764"/>
      <c r="BA73" s="764"/>
      <c r="BB73" s="764"/>
      <c r="BC73" s="764"/>
      <c r="BD73" s="764"/>
      <c r="BE73" s="764"/>
      <c r="BF73" s="764"/>
      <c r="BG73" s="764"/>
      <c r="BH73" s="764"/>
      <c r="BI73" s="764"/>
      <c r="BJ73" s="447"/>
      <c r="BK73" s="447"/>
      <c r="BL73" s="447"/>
      <c r="BM73" s="447"/>
      <c r="BN73" s="447"/>
      <c r="BO73" s="447"/>
      <c r="BP73" s="447"/>
      <c r="BQ73" s="447"/>
      <c r="BR73" s="447"/>
      <c r="BS73" s="447"/>
      <c r="BT73" s="764"/>
      <c r="BU73" s="764"/>
      <c r="BV73" s="764"/>
      <c r="BW73" s="764"/>
      <c r="BX73" s="764"/>
      <c r="BY73" s="764"/>
      <c r="BZ73" s="764"/>
    </row>
    <row r="74" spans="1:78" s="272" customFormat="1" ht="18" customHeight="1" x14ac:dyDescent="0.25">
      <c r="A74" s="198"/>
      <c r="B74" s="198"/>
      <c r="C74" s="198"/>
      <c r="D74" s="198"/>
      <c r="E74" s="198"/>
      <c r="F74" s="447"/>
      <c r="G74" s="468"/>
      <c r="H74" s="767" t="s">
        <v>513</v>
      </c>
      <c r="I74" s="486">
        <f>IFERROR(R12,0)</f>
        <v>0.1565</v>
      </c>
      <c r="J74" s="487" t="s">
        <v>2284</v>
      </c>
      <c r="K74" s="197"/>
      <c r="L74" s="197"/>
      <c r="M74" s="197"/>
      <c r="O74" s="2070"/>
      <c r="P74" s="3392"/>
      <c r="Q74" s="3392"/>
      <c r="R74" s="3392"/>
      <c r="S74" s="3392"/>
      <c r="T74" s="3392"/>
      <c r="U74" s="3392"/>
      <c r="V74" s="3392"/>
      <c r="W74" s="2070"/>
      <c r="X74" s="2070"/>
      <c r="Y74" s="754"/>
      <c r="Z74" s="471"/>
      <c r="AA74" s="447"/>
      <c r="AB74" s="447"/>
      <c r="AC74" s="764"/>
      <c r="AD74" s="447"/>
      <c r="AE74" s="447"/>
      <c r="AF74" s="447"/>
      <c r="AG74" s="764"/>
      <c r="AH74" s="447"/>
      <c r="AI74" s="764"/>
      <c r="AJ74" s="764"/>
      <c r="AK74" s="764"/>
      <c r="AL74" s="764"/>
      <c r="AM74" s="764"/>
      <c r="AN74" s="764"/>
      <c r="AO74" s="764"/>
      <c r="AP74" s="764"/>
      <c r="AQ74" s="764"/>
      <c r="AR74" s="447"/>
      <c r="AS74" s="764"/>
      <c r="AT74" s="764"/>
      <c r="AU74" s="764"/>
      <c r="AV74" s="764"/>
      <c r="AW74" s="764"/>
      <c r="AX74" s="764"/>
      <c r="AY74" s="764"/>
      <c r="AZ74" s="764"/>
      <c r="BA74" s="764"/>
      <c r="BB74" s="764"/>
      <c r="BC74" s="764"/>
      <c r="BD74" s="764"/>
      <c r="BE74" s="764"/>
      <c r="BF74" s="764"/>
      <c r="BG74" s="764"/>
      <c r="BH74" s="764"/>
      <c r="BI74" s="764"/>
      <c r="BJ74" s="447"/>
      <c r="BK74" s="447"/>
      <c r="BL74" s="447"/>
      <c r="BM74" s="447"/>
      <c r="BN74" s="447"/>
      <c r="BO74" s="447"/>
      <c r="BP74" s="447"/>
      <c r="BQ74" s="447"/>
      <c r="BR74" s="447"/>
      <c r="BS74" s="447"/>
      <c r="BT74" s="764"/>
      <c r="BU74" s="764"/>
      <c r="BV74" s="764"/>
      <c r="BW74" s="764"/>
      <c r="BX74" s="764"/>
      <c r="BY74" s="764"/>
      <c r="BZ74" s="764"/>
    </row>
    <row r="75" spans="1:78" s="272" customFormat="1" ht="4.5" customHeight="1" x14ac:dyDescent="0.5">
      <c r="A75" s="198"/>
      <c r="B75" s="198"/>
      <c r="C75" s="198"/>
      <c r="D75" s="198"/>
      <c r="E75" s="198"/>
      <c r="F75" s="447"/>
      <c r="G75" s="468"/>
      <c r="H75" s="472"/>
      <c r="I75" s="197"/>
      <c r="J75" s="197"/>
      <c r="K75" s="197"/>
      <c r="L75" s="197"/>
      <c r="M75" s="197"/>
      <c r="N75" s="2070"/>
      <c r="O75" s="2070"/>
      <c r="P75" s="3392"/>
      <c r="Q75" s="3392"/>
      <c r="R75" s="3392"/>
      <c r="S75" s="3392"/>
      <c r="T75" s="3392"/>
      <c r="U75" s="3392"/>
      <c r="V75" s="3392"/>
      <c r="W75" s="2070"/>
      <c r="X75" s="2070"/>
      <c r="Y75" s="754"/>
      <c r="Z75" s="471"/>
      <c r="AA75" s="447"/>
      <c r="AB75" s="447"/>
      <c r="AC75" s="764"/>
      <c r="AD75" s="447"/>
      <c r="AE75" s="447"/>
      <c r="AF75" s="447"/>
      <c r="AG75" s="764"/>
      <c r="AH75" s="447"/>
      <c r="AI75" s="764"/>
      <c r="AJ75" s="764"/>
      <c r="AK75" s="764"/>
      <c r="AL75" s="764"/>
      <c r="AM75" s="764"/>
      <c r="AN75" s="764"/>
      <c r="AO75" s="764"/>
      <c r="AP75" s="764"/>
      <c r="AQ75" s="764"/>
      <c r="AR75" s="447"/>
      <c r="AS75" s="764"/>
      <c r="AT75" s="764"/>
      <c r="AU75" s="764"/>
      <c r="AV75" s="764"/>
      <c r="AW75" s="764"/>
      <c r="AX75" s="764"/>
      <c r="AY75" s="764"/>
      <c r="AZ75" s="764"/>
      <c r="BA75" s="764"/>
      <c r="BB75" s="764"/>
      <c r="BC75" s="764"/>
      <c r="BD75" s="764"/>
      <c r="BE75" s="764"/>
      <c r="BF75" s="764"/>
      <c r="BG75" s="764"/>
      <c r="BH75" s="764"/>
      <c r="BI75" s="764"/>
      <c r="BJ75" s="447"/>
      <c r="BK75" s="447"/>
      <c r="BL75" s="447"/>
      <c r="BM75" s="447"/>
      <c r="BN75" s="447"/>
      <c r="BO75" s="447"/>
      <c r="BP75" s="447"/>
      <c r="BQ75" s="447"/>
      <c r="BR75" s="447"/>
      <c r="BS75" s="447"/>
      <c r="BT75" s="764"/>
      <c r="BU75" s="764"/>
      <c r="BV75" s="764"/>
      <c r="BW75" s="764"/>
      <c r="BX75" s="764"/>
      <c r="BY75" s="764"/>
      <c r="BZ75" s="764"/>
    </row>
    <row r="76" spans="1:78" s="749" customFormat="1" ht="18" customHeight="1" x14ac:dyDescent="0.25">
      <c r="A76" s="198"/>
      <c r="B76" s="198"/>
      <c r="C76" s="198"/>
      <c r="D76" s="198"/>
      <c r="E76" s="198"/>
      <c r="F76" s="764"/>
      <c r="G76" s="765"/>
      <c r="H76" s="767" t="s">
        <v>1572</v>
      </c>
      <c r="I76" s="486">
        <f>IFERROR(R11,0)</f>
        <v>0.33450000000000002</v>
      </c>
      <c r="J76" s="487" t="s">
        <v>2285</v>
      </c>
      <c r="K76" s="754"/>
      <c r="L76" s="754"/>
      <c r="M76" s="754"/>
      <c r="N76" s="2070"/>
      <c r="O76" s="2070"/>
      <c r="P76" s="3392"/>
      <c r="Q76" s="3392"/>
      <c r="R76" s="3392"/>
      <c r="S76" s="3392"/>
      <c r="T76" s="3392"/>
      <c r="U76" s="3392"/>
      <c r="V76" s="3392"/>
      <c r="W76" s="2070"/>
      <c r="X76" s="2070"/>
      <c r="Y76" s="754"/>
      <c r="Z76" s="766"/>
      <c r="AA76" s="764"/>
      <c r="AB76" s="764"/>
      <c r="AC76" s="764"/>
      <c r="AD76" s="764"/>
      <c r="AE76" s="764"/>
      <c r="AF76" s="764"/>
      <c r="AG76" s="764"/>
      <c r="AH76" s="764"/>
      <c r="AI76" s="764"/>
      <c r="AJ76" s="764"/>
      <c r="AK76" s="764"/>
      <c r="AL76" s="764"/>
      <c r="AM76" s="764"/>
      <c r="AN76" s="764"/>
      <c r="AO76" s="764"/>
      <c r="AP76" s="764"/>
      <c r="AQ76" s="764"/>
      <c r="AR76" s="764"/>
      <c r="AS76" s="764"/>
      <c r="AT76" s="764"/>
      <c r="AU76" s="764"/>
      <c r="AV76" s="764"/>
      <c r="AW76" s="764"/>
      <c r="AX76" s="764"/>
      <c r="AY76" s="764"/>
      <c r="AZ76" s="764"/>
      <c r="BA76" s="764"/>
      <c r="BB76" s="764"/>
      <c r="BC76" s="764"/>
      <c r="BD76" s="764"/>
      <c r="BE76" s="764"/>
      <c r="BF76" s="764"/>
      <c r="BG76" s="764"/>
      <c r="BH76" s="764"/>
      <c r="BI76" s="764"/>
      <c r="BJ76" s="764"/>
      <c r="BK76" s="764"/>
      <c r="BL76" s="764"/>
      <c r="BM76" s="764"/>
      <c r="BN76" s="764"/>
      <c r="BO76" s="764"/>
      <c r="BP76" s="764"/>
      <c r="BQ76" s="764"/>
      <c r="BR76" s="764"/>
      <c r="BS76" s="764"/>
      <c r="BT76" s="764"/>
      <c r="BU76" s="764"/>
      <c r="BV76" s="764"/>
      <c r="BW76" s="764"/>
      <c r="BX76" s="764"/>
      <c r="BY76" s="764"/>
      <c r="BZ76" s="764"/>
    </row>
    <row r="77" spans="1:78" s="272" customFormat="1" ht="29.25" customHeight="1" x14ac:dyDescent="0.5">
      <c r="A77" s="198"/>
      <c r="B77" s="198"/>
      <c r="C77" s="198"/>
      <c r="D77" s="198"/>
      <c r="E77" s="198"/>
      <c r="F77" s="447"/>
      <c r="G77" s="468"/>
      <c r="H77" s="472"/>
      <c r="K77" s="541"/>
      <c r="L77" s="541"/>
      <c r="M77" s="197"/>
      <c r="N77" s="754"/>
      <c r="O77" s="754"/>
      <c r="P77" s="754"/>
      <c r="Q77" s="754"/>
      <c r="R77" s="754"/>
      <c r="S77" s="754"/>
      <c r="T77" s="754"/>
      <c r="U77" s="754"/>
      <c r="V77" s="754"/>
      <c r="W77" s="754"/>
      <c r="X77" s="754"/>
      <c r="Y77" s="754"/>
      <c r="Z77" s="471"/>
      <c r="AA77" s="447"/>
      <c r="AB77" s="447"/>
      <c r="AC77" s="764"/>
      <c r="AD77" s="447"/>
      <c r="AE77" s="447"/>
      <c r="AF77" s="447"/>
      <c r="AG77" s="764"/>
      <c r="AH77" s="447"/>
      <c r="AI77" s="764"/>
      <c r="AJ77" s="764"/>
      <c r="AK77" s="764"/>
      <c r="AL77" s="764"/>
      <c r="AM77" s="764"/>
      <c r="AN77" s="764"/>
      <c r="AO77" s="764"/>
      <c r="AP77" s="764"/>
      <c r="AQ77" s="764"/>
      <c r="AR77" s="447"/>
      <c r="AS77" s="764"/>
      <c r="AT77" s="764"/>
      <c r="AU77" s="764"/>
      <c r="AV77" s="764"/>
      <c r="AW77" s="764"/>
      <c r="AX77" s="764"/>
      <c r="AY77" s="764"/>
      <c r="AZ77" s="764"/>
      <c r="BA77" s="764"/>
      <c r="BB77" s="764"/>
      <c r="BC77" s="764"/>
      <c r="BD77" s="764"/>
      <c r="BE77" s="764"/>
      <c r="BF77" s="764"/>
      <c r="BG77" s="764"/>
      <c r="BH77" s="764"/>
      <c r="BI77" s="764"/>
      <c r="BJ77" s="447"/>
      <c r="BK77" s="447"/>
      <c r="BL77" s="447"/>
      <c r="BM77" s="447"/>
      <c r="BN77" s="447"/>
      <c r="BO77" s="447"/>
      <c r="BP77" s="447"/>
      <c r="BQ77" s="447"/>
      <c r="BR77" s="447"/>
      <c r="BS77" s="447"/>
      <c r="BT77" s="764"/>
      <c r="BU77" s="764"/>
      <c r="BV77" s="764"/>
      <c r="BW77" s="764"/>
      <c r="BX77" s="764"/>
      <c r="BY77" s="764"/>
      <c r="BZ77" s="764"/>
    </row>
    <row r="78" spans="1:78" s="749" customFormat="1" ht="33.75" customHeight="1" thickBot="1" x14ac:dyDescent="0.3">
      <c r="A78" s="198"/>
      <c r="B78" s="198"/>
      <c r="C78" s="198"/>
      <c r="D78" s="198"/>
      <c r="E78" s="198"/>
      <c r="F78" s="764"/>
      <c r="G78" s="765"/>
      <c r="H78" s="473">
        <v>5</v>
      </c>
      <c r="I78" s="473" t="s">
        <v>2492</v>
      </c>
      <c r="J78" s="473"/>
      <c r="K78" s="754"/>
      <c r="L78" s="754"/>
      <c r="M78" s="754"/>
      <c r="N78" s="3422"/>
      <c r="O78" s="3422"/>
      <c r="P78" s="3422"/>
      <c r="Q78" s="754"/>
      <c r="R78" s="566"/>
      <c r="S78" s="754"/>
      <c r="U78" s="754"/>
      <c r="V78" s="754"/>
      <c r="Z78" s="766"/>
      <c r="AA78" s="764"/>
      <c r="AB78" s="764"/>
      <c r="AC78" s="764"/>
      <c r="AD78" s="764"/>
      <c r="AE78" s="764"/>
      <c r="AF78" s="764"/>
      <c r="AG78" s="764"/>
      <c r="AH78" s="764"/>
      <c r="AI78" s="764"/>
      <c r="AJ78" s="764"/>
      <c r="AK78" s="764"/>
      <c r="AL78" s="764"/>
      <c r="AM78" s="764"/>
      <c r="AN78" s="764"/>
      <c r="AO78" s="764"/>
      <c r="AP78" s="764"/>
      <c r="AQ78" s="764"/>
      <c r="AR78" s="764"/>
      <c r="AS78" s="764"/>
      <c r="AT78" s="764"/>
      <c r="AU78" s="764"/>
      <c r="AV78" s="764"/>
      <c r="AW78" s="764"/>
      <c r="AX78" s="764"/>
      <c r="AY78" s="764"/>
      <c r="AZ78" s="764"/>
      <c r="BA78" s="764"/>
      <c r="BB78" s="764"/>
      <c r="BC78" s="764"/>
      <c r="BD78" s="764"/>
      <c r="BE78" s="764"/>
      <c r="BF78" s="764"/>
      <c r="BG78" s="764"/>
      <c r="BH78" s="764"/>
      <c r="BI78" s="764"/>
      <c r="BJ78" s="764"/>
      <c r="BK78" s="764"/>
      <c r="BL78" s="764"/>
      <c r="BM78" s="764"/>
      <c r="BN78" s="764"/>
      <c r="BO78" s="764"/>
      <c r="BP78" s="764"/>
      <c r="BQ78" s="764"/>
      <c r="BR78" s="764"/>
      <c r="BS78" s="764"/>
      <c r="BT78" s="764"/>
      <c r="BU78" s="764"/>
      <c r="BV78" s="764"/>
      <c r="BW78" s="764"/>
      <c r="BX78" s="764"/>
      <c r="BY78" s="764"/>
      <c r="BZ78" s="764"/>
    </row>
    <row r="79" spans="1:78" s="272" customFormat="1" ht="21" customHeight="1" thickBot="1" x14ac:dyDescent="0.3">
      <c r="A79" s="198"/>
      <c r="B79" s="198"/>
      <c r="C79" s="198"/>
      <c r="D79" s="198"/>
      <c r="E79" s="198"/>
      <c r="F79" s="447"/>
      <c r="G79" s="468"/>
      <c r="H79" s="474" t="s">
        <v>193</v>
      </c>
      <c r="I79" s="3426" t="s">
        <v>1294</v>
      </c>
      <c r="J79" s="3427"/>
      <c r="K79" s="3427"/>
      <c r="L79" s="3427"/>
      <c r="M79" s="3427"/>
      <c r="N79" s="3427"/>
      <c r="O79" s="3427"/>
      <c r="P79" s="3428"/>
      <c r="Q79" s="1252" t="str">
        <f>HYPERLINK("#"&amp;ADDRESS(ROW(),COLUMN()-1),CHAR(128))</f>
        <v>€</v>
      </c>
      <c r="R79" s="744"/>
      <c r="T79" s="197"/>
      <c r="U79" s="197"/>
      <c r="V79" s="197"/>
      <c r="W79" s="197"/>
      <c r="X79" s="197"/>
      <c r="Y79" s="754"/>
      <c r="Z79" s="471"/>
      <c r="AA79" s="447"/>
      <c r="AB79" s="447"/>
      <c r="AC79" s="764"/>
      <c r="AD79" s="447"/>
      <c r="AE79" s="447"/>
      <c r="AF79" s="447"/>
      <c r="AG79" s="764"/>
      <c r="AH79" s="447"/>
      <c r="AI79" s="764"/>
      <c r="AJ79" s="764"/>
      <c r="AK79" s="764"/>
      <c r="AL79" s="764"/>
      <c r="AM79" s="764"/>
      <c r="AN79" s="764"/>
      <c r="AO79" s="764"/>
      <c r="AP79" s="764"/>
      <c r="AQ79" s="764"/>
      <c r="AR79" s="447"/>
      <c r="AS79" s="764"/>
      <c r="AT79" s="764"/>
      <c r="AU79" s="764"/>
      <c r="AV79" s="764"/>
      <c r="AW79" s="764"/>
      <c r="AX79" s="764"/>
      <c r="AY79" s="764"/>
      <c r="AZ79" s="764"/>
      <c r="BA79" s="764"/>
      <c r="BB79" s="764"/>
      <c r="BC79" s="764"/>
      <c r="BD79" s="764"/>
      <c r="BE79" s="764"/>
      <c r="BF79" s="764"/>
      <c r="BG79" s="764"/>
      <c r="BH79" s="764"/>
      <c r="BI79" s="764"/>
      <c r="BJ79" s="447"/>
      <c r="BK79" s="447"/>
      <c r="BL79" s="447"/>
      <c r="BM79" s="447"/>
      <c r="BN79" s="447"/>
      <c r="BO79" s="447"/>
      <c r="BP79" s="447"/>
      <c r="BQ79" s="447"/>
      <c r="BR79" s="447"/>
      <c r="BS79" s="447"/>
      <c r="BT79" s="764"/>
      <c r="BU79" s="764"/>
      <c r="BV79" s="764"/>
      <c r="BW79" s="764"/>
      <c r="BX79" s="764"/>
      <c r="BY79" s="764"/>
      <c r="BZ79" s="764"/>
    </row>
    <row r="80" spans="1:78" s="749" customFormat="1" ht="4.5" customHeight="1" x14ac:dyDescent="0.5">
      <c r="A80" s="198"/>
      <c r="B80" s="198"/>
      <c r="C80" s="198"/>
      <c r="D80" s="198"/>
      <c r="E80" s="198"/>
      <c r="F80" s="764"/>
      <c r="G80" s="765"/>
      <c r="H80" s="472"/>
      <c r="I80" s="754"/>
      <c r="J80" s="754"/>
      <c r="K80" s="754"/>
      <c r="L80" s="754"/>
      <c r="M80" s="754"/>
      <c r="N80" s="754"/>
      <c r="O80" s="754"/>
      <c r="P80" s="754"/>
      <c r="Q80" s="754"/>
      <c r="S80" s="1011"/>
      <c r="T80" s="1011"/>
      <c r="U80" s="1011"/>
      <c r="V80" s="1011"/>
      <c r="W80" s="1011"/>
      <c r="X80" s="1011"/>
      <c r="Y80" s="1011"/>
      <c r="Z80" s="766"/>
      <c r="AA80" s="764"/>
      <c r="AB80" s="764"/>
      <c r="AC80" s="764"/>
      <c r="AD80" s="764"/>
      <c r="AE80" s="764"/>
      <c r="AF80" s="764"/>
      <c r="AG80" s="764"/>
      <c r="AH80" s="764"/>
      <c r="AI80" s="764"/>
      <c r="AJ80" s="764"/>
      <c r="AK80" s="764"/>
      <c r="AL80" s="764"/>
      <c r="AM80" s="764"/>
      <c r="AN80" s="764"/>
      <c r="AO80" s="764"/>
      <c r="AP80" s="764"/>
      <c r="AQ80" s="764"/>
      <c r="AR80" s="764"/>
      <c r="AS80" s="764"/>
      <c r="AT80" s="764"/>
      <c r="AU80" s="764"/>
      <c r="AV80" s="764"/>
      <c r="AW80" s="764"/>
      <c r="AX80" s="764"/>
      <c r="AY80" s="764"/>
      <c r="AZ80" s="764"/>
      <c r="BA80" s="764"/>
      <c r="BB80" s="764"/>
      <c r="BC80" s="764"/>
      <c r="BD80" s="764"/>
      <c r="BE80" s="764"/>
      <c r="BF80" s="764"/>
      <c r="BG80" s="764"/>
      <c r="BH80" s="764"/>
      <c r="BI80" s="764"/>
      <c r="BJ80" s="764"/>
      <c r="BK80" s="764"/>
      <c r="BL80" s="764"/>
      <c r="BM80" s="764"/>
      <c r="BN80" s="764"/>
      <c r="BO80" s="764"/>
      <c r="BP80" s="764"/>
      <c r="BQ80" s="764"/>
      <c r="BR80" s="764"/>
      <c r="BS80" s="764"/>
      <c r="BT80" s="764"/>
      <c r="BU80" s="764"/>
      <c r="BV80" s="764"/>
      <c r="BW80" s="764"/>
      <c r="BX80" s="764"/>
      <c r="BY80" s="764"/>
      <c r="BZ80" s="764"/>
    </row>
    <row r="81" spans="1:78" s="749" customFormat="1" ht="57" customHeight="1" x14ac:dyDescent="0.25">
      <c r="A81" s="198"/>
      <c r="B81" s="198"/>
      <c r="C81" s="198"/>
      <c r="D81" s="198"/>
      <c r="E81" s="198"/>
      <c r="F81" s="764"/>
      <c r="G81" s="765"/>
      <c r="H81" s="767" t="s">
        <v>16</v>
      </c>
      <c r="I81" s="3437" t="str">
        <f>IFERROR(INDEX('Parameter Data'!C4:C20,MATCH(I79,'Parameter Data'!B4:B20,0)),"")</f>
        <v>All labor hours are paid for at agreed rates and expenses are reimbursed at cost (or with an agreed mark-up).  T&amp;M contracts are not subject to a cap or upper limit - so they may not be very common in practice.</v>
      </c>
      <c r="J81" s="3438"/>
      <c r="K81" s="3438"/>
      <c r="L81" s="3438"/>
      <c r="M81" s="3438"/>
      <c r="N81" s="3438"/>
      <c r="O81" s="3438"/>
      <c r="P81" s="3439"/>
      <c r="R81" s="3402" t="s">
        <v>2493</v>
      </c>
      <c r="S81" s="3402"/>
      <c r="T81" s="3402"/>
      <c r="U81" s="3402"/>
      <c r="V81" s="3402"/>
      <c r="W81" s="3402"/>
      <c r="X81" s="3402"/>
      <c r="Y81" s="1862"/>
      <c r="Z81" s="766"/>
      <c r="AA81" s="764"/>
      <c r="AB81" s="764"/>
      <c r="AC81" s="764"/>
      <c r="AD81" s="764"/>
      <c r="AE81" s="764"/>
      <c r="AF81" s="764"/>
      <c r="AG81" s="764"/>
      <c r="AH81" s="764"/>
      <c r="AI81" s="764"/>
      <c r="AJ81" s="764"/>
      <c r="AK81" s="764"/>
      <c r="AL81" s="764"/>
      <c r="AM81" s="764"/>
      <c r="AN81" s="764"/>
      <c r="AO81" s="764"/>
      <c r="AP81" s="764"/>
      <c r="AQ81" s="764"/>
      <c r="AR81" s="764"/>
      <c r="AS81" s="764"/>
      <c r="AT81" s="764"/>
      <c r="AU81" s="764"/>
      <c r="AV81" s="764"/>
      <c r="AW81" s="764"/>
      <c r="AX81" s="764"/>
      <c r="AY81" s="764"/>
      <c r="AZ81" s="764"/>
      <c r="BA81" s="764"/>
      <c r="BB81" s="764"/>
      <c r="BC81" s="764"/>
      <c r="BD81" s="764"/>
      <c r="BE81" s="764"/>
      <c r="BF81" s="764"/>
      <c r="BG81" s="764"/>
      <c r="BH81" s="764"/>
      <c r="BI81" s="764"/>
      <c r="BJ81" s="764"/>
      <c r="BK81" s="764"/>
      <c r="BL81" s="764"/>
      <c r="BM81" s="764"/>
      <c r="BN81" s="764"/>
      <c r="BO81" s="764"/>
      <c r="BP81" s="764"/>
      <c r="BQ81" s="764"/>
      <c r="BR81" s="764"/>
      <c r="BS81" s="764"/>
      <c r="BT81" s="764"/>
      <c r="BU81" s="764"/>
      <c r="BV81" s="764"/>
      <c r="BW81" s="764"/>
      <c r="BX81" s="764"/>
      <c r="BY81" s="764"/>
      <c r="BZ81" s="764"/>
    </row>
    <row r="82" spans="1:78" s="749" customFormat="1" ht="30" customHeight="1" x14ac:dyDescent="0.5">
      <c r="A82" s="198"/>
      <c r="B82" s="198"/>
      <c r="C82" s="198"/>
      <c r="D82" s="198"/>
      <c r="E82" s="198"/>
      <c r="F82" s="764"/>
      <c r="G82" s="765"/>
      <c r="H82" s="472"/>
      <c r="K82" s="541"/>
      <c r="L82" s="541"/>
      <c r="M82" s="754"/>
      <c r="N82" s="754"/>
      <c r="O82" s="754"/>
      <c r="P82" s="754"/>
      <c r="Q82" s="754"/>
      <c r="R82" s="754"/>
      <c r="S82" s="754"/>
      <c r="U82" s="754"/>
      <c r="V82" s="754"/>
      <c r="W82" s="754"/>
      <c r="X82" s="754"/>
      <c r="Y82" s="754"/>
      <c r="Z82" s="766"/>
      <c r="AA82" s="764"/>
      <c r="AB82" s="764"/>
      <c r="AC82" s="764"/>
      <c r="AD82" s="764"/>
      <c r="AE82" s="764"/>
      <c r="AF82" s="764"/>
      <c r="AG82" s="764"/>
      <c r="AH82" s="764"/>
      <c r="AI82" s="764"/>
      <c r="AJ82" s="764"/>
      <c r="AK82" s="764"/>
      <c r="AL82" s="764"/>
      <c r="AM82" s="764"/>
      <c r="AN82" s="764"/>
      <c r="AO82" s="764"/>
      <c r="AP82" s="764"/>
      <c r="AQ82" s="764"/>
      <c r="AR82" s="764"/>
      <c r="AS82" s="764"/>
      <c r="AT82" s="764"/>
      <c r="AU82" s="764"/>
      <c r="AV82" s="764"/>
      <c r="AW82" s="764"/>
      <c r="AX82" s="764"/>
      <c r="AY82" s="764"/>
      <c r="AZ82" s="764"/>
      <c r="BA82" s="764"/>
      <c r="BB82" s="764"/>
      <c r="BC82" s="764"/>
      <c r="BD82" s="764"/>
      <c r="BE82" s="764"/>
      <c r="BF82" s="764"/>
      <c r="BG82" s="764"/>
      <c r="BH82" s="764"/>
      <c r="BI82" s="764"/>
      <c r="BJ82" s="764"/>
      <c r="BK82" s="764"/>
      <c r="BL82" s="764"/>
      <c r="BM82" s="764"/>
      <c r="BN82" s="764"/>
      <c r="BO82" s="764"/>
      <c r="BP82" s="764"/>
      <c r="BQ82" s="764"/>
      <c r="BR82" s="764"/>
      <c r="BS82" s="764"/>
      <c r="BT82" s="764"/>
      <c r="BU82" s="764"/>
      <c r="BV82" s="764"/>
      <c r="BW82" s="764"/>
      <c r="BX82" s="764"/>
      <c r="BY82" s="764"/>
      <c r="BZ82" s="764"/>
    </row>
    <row r="83" spans="1:78" s="272" customFormat="1" ht="33.75" customHeight="1" thickBot="1" x14ac:dyDescent="0.3">
      <c r="A83" s="198"/>
      <c r="B83" s="198"/>
      <c r="C83" s="198"/>
      <c r="D83" s="198"/>
      <c r="E83" s="198"/>
      <c r="F83" s="447"/>
      <c r="G83" s="468"/>
      <c r="H83" s="473">
        <v>6</v>
      </c>
      <c r="I83" s="473" t="s">
        <v>832</v>
      </c>
      <c r="J83" s="473"/>
      <c r="K83" s="197"/>
      <c r="L83" s="197"/>
      <c r="M83" s="197"/>
      <c r="N83" s="3422"/>
      <c r="O83" s="3422"/>
      <c r="P83" s="3422"/>
      <c r="Q83" s="197"/>
      <c r="R83" s="3442" t="s">
        <v>2886</v>
      </c>
      <c r="S83" s="3442"/>
      <c r="T83" s="3442"/>
      <c r="U83" s="3442"/>
      <c r="V83" s="3442"/>
      <c r="W83" s="3442"/>
      <c r="X83" s="3442"/>
      <c r="Y83" s="1863"/>
      <c r="Z83" s="471"/>
      <c r="AA83" s="447"/>
      <c r="AB83" s="447"/>
      <c r="AC83" s="764"/>
      <c r="AD83" s="764"/>
      <c r="AE83" s="764"/>
      <c r="AF83" s="764"/>
      <c r="AG83" s="764"/>
      <c r="AH83" s="447"/>
      <c r="AI83" s="764"/>
      <c r="AJ83" s="764"/>
      <c r="AK83" s="764"/>
      <c r="AL83" s="764"/>
      <c r="AM83" s="764"/>
      <c r="AN83" s="764"/>
      <c r="AO83" s="764"/>
      <c r="AP83" s="764"/>
      <c r="AQ83" s="764"/>
      <c r="AR83" s="447"/>
      <c r="AS83" s="764"/>
      <c r="AT83" s="764"/>
      <c r="AU83" s="764"/>
      <c r="AV83" s="764"/>
      <c r="AW83" s="764"/>
      <c r="AX83" s="764"/>
      <c r="AY83" s="764"/>
      <c r="AZ83" s="764"/>
      <c r="BA83" s="764"/>
      <c r="BB83" s="764"/>
      <c r="BC83" s="764"/>
      <c r="BD83" s="764"/>
      <c r="BE83" s="764"/>
      <c r="BF83" s="764"/>
      <c r="BG83" s="764"/>
      <c r="BH83" s="764"/>
      <c r="BI83" s="764"/>
      <c r="BJ83" s="447"/>
      <c r="BK83" s="447"/>
      <c r="BL83" s="447"/>
      <c r="BM83" s="447"/>
      <c r="BN83" s="447"/>
      <c r="BO83" s="447"/>
      <c r="BP83" s="447"/>
      <c r="BQ83" s="447"/>
      <c r="BR83" s="447"/>
      <c r="BS83" s="447"/>
      <c r="BT83" s="764"/>
      <c r="BU83" s="764"/>
      <c r="BV83" s="764"/>
      <c r="BW83" s="764"/>
      <c r="BX83" s="764"/>
      <c r="BY83" s="764"/>
      <c r="BZ83" s="764"/>
    </row>
    <row r="84" spans="1:78" s="272" customFormat="1" ht="20.25" customHeight="1" thickBot="1" x14ac:dyDescent="0.3">
      <c r="A84" s="198"/>
      <c r="B84" s="198"/>
      <c r="C84" s="198"/>
      <c r="D84" s="198"/>
      <c r="E84" s="198"/>
      <c r="F84" s="447"/>
      <c r="G84" s="468"/>
      <c r="H84" s="474" t="s">
        <v>1511</v>
      </c>
      <c r="I84" s="3426" t="s">
        <v>2360</v>
      </c>
      <c r="J84" s="3427"/>
      <c r="K84" s="3427"/>
      <c r="L84" s="3427"/>
      <c r="M84" s="3427"/>
      <c r="N84" s="3427"/>
      <c r="O84" s="3427"/>
      <c r="P84" s="3428"/>
      <c r="Q84" s="453" t="str">
        <f>HYPERLINK("#"&amp;ADDRESS(ROW(),COLUMN()-1),CHAR(128))</f>
        <v>€</v>
      </c>
      <c r="R84" s="3443" t="str">
        <f>IF(OR(G8=9,G8=10),'Category Rates Data'!F2,"")</f>
        <v>Framework Rates</v>
      </c>
      <c r="S84" s="3444"/>
      <c r="T84" s="3444"/>
      <c r="U84" s="3444"/>
      <c r="V84" s="563"/>
      <c r="X84" s="563"/>
      <c r="Y84" s="563"/>
      <c r="Z84" s="471"/>
      <c r="AA84" s="447"/>
      <c r="AB84" s="447"/>
      <c r="AC84" s="764"/>
      <c r="AD84" s="764"/>
      <c r="AE84" s="764"/>
      <c r="AF84" s="764"/>
      <c r="AG84" s="764"/>
      <c r="AH84" s="447"/>
      <c r="AI84" s="764"/>
      <c r="AJ84" s="764"/>
      <c r="AK84" s="764"/>
      <c r="AL84" s="764"/>
      <c r="AM84" s="764"/>
      <c r="AN84" s="764"/>
      <c r="AO84" s="764"/>
      <c r="AP84" s="764"/>
      <c r="AQ84" s="764"/>
      <c r="AR84" s="447"/>
      <c r="AS84" s="764"/>
      <c r="AT84" s="764"/>
      <c r="AU84" s="764"/>
      <c r="AV84" s="764"/>
      <c r="AW84" s="764"/>
      <c r="AX84" s="764"/>
      <c r="AY84" s="764"/>
      <c r="AZ84" s="764"/>
      <c r="BA84" s="764"/>
      <c r="BB84" s="764"/>
      <c r="BC84" s="764"/>
      <c r="BD84" s="764"/>
      <c r="BE84" s="764"/>
      <c r="BF84" s="764"/>
      <c r="BG84" s="764"/>
      <c r="BH84" s="764"/>
      <c r="BI84" s="764"/>
      <c r="BJ84" s="447"/>
      <c r="BK84" s="447"/>
      <c r="BL84" s="447"/>
      <c r="BM84" s="447"/>
      <c r="BN84" s="447"/>
      <c r="BO84" s="447"/>
      <c r="BP84" s="447"/>
      <c r="BQ84" s="447"/>
      <c r="BR84" s="447"/>
      <c r="BS84" s="447"/>
      <c r="BT84" s="764"/>
      <c r="BU84" s="764"/>
      <c r="BV84" s="764"/>
      <c r="BW84" s="764"/>
      <c r="BX84" s="764"/>
      <c r="BY84" s="764"/>
      <c r="BZ84" s="764"/>
    </row>
    <row r="85" spans="1:78" s="272" customFormat="1" ht="4.5" customHeight="1" thickBot="1" x14ac:dyDescent="0.55000000000000004">
      <c r="A85" s="198"/>
      <c r="B85" s="198"/>
      <c r="C85" s="198"/>
      <c r="D85" s="198"/>
      <c r="E85" s="198"/>
      <c r="F85" s="447"/>
      <c r="G85" s="468"/>
      <c r="H85" s="472"/>
      <c r="I85" s="197"/>
      <c r="J85" s="197"/>
      <c r="K85" s="197"/>
      <c r="L85" s="197"/>
      <c r="M85" s="197"/>
      <c r="N85" s="197"/>
      <c r="O85" s="197"/>
      <c r="P85" s="197"/>
      <c r="Q85" s="197"/>
      <c r="R85" s="197"/>
      <c r="S85" s="197"/>
      <c r="T85" s="197"/>
      <c r="U85" s="197"/>
      <c r="V85" s="197"/>
      <c r="W85" s="197"/>
      <c r="X85" s="197"/>
      <c r="Y85" s="754"/>
      <c r="Z85" s="471"/>
      <c r="AA85" s="447"/>
      <c r="AB85" s="447"/>
      <c r="AC85" s="764"/>
      <c r="AD85" s="764"/>
      <c r="AE85" s="764"/>
      <c r="AF85" s="764"/>
      <c r="AG85" s="764"/>
      <c r="AH85" s="447"/>
      <c r="AI85" s="764"/>
      <c r="AJ85" s="764"/>
      <c r="AK85" s="764"/>
      <c r="AL85" s="764"/>
      <c r="AM85" s="764"/>
      <c r="AN85" s="764"/>
      <c r="AO85" s="764"/>
      <c r="AP85" s="764"/>
      <c r="AQ85" s="764"/>
      <c r="AR85" s="447"/>
      <c r="AS85" s="764"/>
      <c r="AT85" s="764"/>
      <c r="AU85" s="764"/>
      <c r="AV85" s="764"/>
      <c r="AW85" s="764"/>
      <c r="AX85" s="764"/>
      <c r="AY85" s="764"/>
      <c r="AZ85" s="764"/>
      <c r="BA85" s="764"/>
      <c r="BB85" s="764"/>
      <c r="BC85" s="764"/>
      <c r="BD85" s="764"/>
      <c r="BE85" s="764"/>
      <c r="BF85" s="764"/>
      <c r="BG85" s="764"/>
      <c r="BH85" s="764"/>
      <c r="BI85" s="764"/>
      <c r="BJ85" s="447"/>
      <c r="BK85" s="447"/>
      <c r="BL85" s="447"/>
      <c r="BM85" s="447"/>
      <c r="BN85" s="447"/>
      <c r="BO85" s="447"/>
      <c r="BP85" s="447"/>
      <c r="BQ85" s="447"/>
      <c r="BR85" s="447"/>
      <c r="BS85" s="447"/>
      <c r="BT85" s="764"/>
      <c r="BU85" s="764"/>
      <c r="BV85" s="764"/>
      <c r="BW85" s="764"/>
      <c r="BX85" s="764"/>
      <c r="BY85" s="764"/>
      <c r="BZ85" s="764"/>
    </row>
    <row r="86" spans="1:78" s="272" customFormat="1" ht="19.5" customHeight="1" x14ac:dyDescent="0.5">
      <c r="A86" s="198"/>
      <c r="B86" s="198"/>
      <c r="C86" s="198"/>
      <c r="D86" s="198"/>
      <c r="E86" s="198"/>
      <c r="F86" s="447"/>
      <c r="G86" s="468"/>
      <c r="H86" s="472"/>
      <c r="I86" s="3449" t="str">
        <f>INDEX(I7:I19,G7)</f>
        <v>This method is very similar to Method 9, except that the Category rates tend to be generic (not client-specific) and are typically based on salary bands.
A percentage Scaling Factor is then used to adjust these standard rates to meet market conditions (and can be found above the Individual Settings Table on the Staff List tab).
This method is only relevant to parts of Jacobs that have pre-assigned their staff to salary-banded categories and also publish an annual reference sell rates table based on categories.</v>
      </c>
      <c r="J86" s="3450"/>
      <c r="K86" s="3450"/>
      <c r="L86" s="3450"/>
      <c r="M86" s="3450"/>
      <c r="N86" s="3450"/>
      <c r="O86" s="3450"/>
      <c r="P86" s="3451"/>
      <c r="Q86" s="197"/>
      <c r="R86" s="494"/>
      <c r="S86" s="1792"/>
      <c r="T86" s="197" t="str">
        <f>IF($G$8=6,$I$60&amp;"/Hr","")</f>
        <v/>
      </c>
      <c r="U86" s="197"/>
      <c r="V86" s="197"/>
      <c r="W86" s="563" t="str">
        <f>IF(OR($G$8=3,$G$8=4,$G$8=5)," OH% for Pricing","")</f>
        <v/>
      </c>
      <c r="Y86" s="470"/>
      <c r="Z86" s="471"/>
      <c r="AA86" s="447"/>
      <c r="AB86" s="447"/>
      <c r="AC86" s="906"/>
      <c r="AD86" s="907"/>
      <c r="AE86" s="907"/>
      <c r="AF86" s="907"/>
      <c r="AG86" s="907"/>
      <c r="AH86" s="907"/>
      <c r="AI86" s="907"/>
      <c r="AJ86" s="907"/>
      <c r="AK86" s="907"/>
      <c r="AL86" s="907"/>
      <c r="AM86" s="907"/>
      <c r="AN86" s="907"/>
      <c r="AO86" s="907"/>
      <c r="AP86" s="907"/>
      <c r="AQ86" s="908"/>
      <c r="AR86" s="908"/>
      <c r="AS86" s="908"/>
      <c r="AT86" s="907"/>
      <c r="AU86" s="907"/>
      <c r="AV86" s="907"/>
      <c r="AW86" s="907"/>
      <c r="AX86" s="907"/>
      <c r="AY86" s="907"/>
      <c r="AZ86" s="907"/>
      <c r="BA86" s="907"/>
      <c r="BB86" s="907"/>
      <c r="BC86" s="907"/>
      <c r="BD86" s="907"/>
      <c r="BE86" s="907"/>
      <c r="BF86" s="907"/>
      <c r="BG86" s="2729"/>
      <c r="BH86" s="764"/>
      <c r="BI86" s="764"/>
      <c r="BJ86" s="447"/>
      <c r="BK86" s="447"/>
      <c r="BL86" s="447"/>
      <c r="BM86" s="447"/>
      <c r="BN86" s="447"/>
      <c r="BO86" s="447"/>
      <c r="BP86" s="447"/>
      <c r="BQ86" s="447"/>
      <c r="BR86" s="447"/>
      <c r="BS86" s="447"/>
      <c r="BT86" s="764"/>
      <c r="BU86" s="764"/>
      <c r="BV86" s="764"/>
      <c r="BW86" s="764"/>
      <c r="BX86" s="764"/>
      <c r="BY86" s="764"/>
      <c r="BZ86" s="764"/>
    </row>
    <row r="87" spans="1:78" s="272" customFormat="1" ht="4.5" customHeight="1" x14ac:dyDescent="0.5">
      <c r="A87" s="198"/>
      <c r="B87" s="198"/>
      <c r="C87" s="198"/>
      <c r="D87" s="198"/>
      <c r="E87" s="198"/>
      <c r="F87" s="447"/>
      <c r="G87" s="468"/>
      <c r="H87" s="472"/>
      <c r="I87" s="3452"/>
      <c r="J87" s="3453"/>
      <c r="K87" s="3453"/>
      <c r="L87" s="3453"/>
      <c r="M87" s="3453"/>
      <c r="N87" s="3453"/>
      <c r="O87" s="3453"/>
      <c r="P87" s="3454"/>
      <c r="Q87" s="197"/>
      <c r="T87" s="197"/>
      <c r="U87" s="197"/>
      <c r="V87" s="197"/>
      <c r="W87" s="481"/>
      <c r="X87" s="197"/>
      <c r="Y87" s="754"/>
      <c r="Z87" s="471"/>
      <c r="AA87" s="447"/>
      <c r="AB87" s="764"/>
      <c r="AC87" s="909"/>
      <c r="AD87" s="274"/>
      <c r="AE87" s="274"/>
      <c r="AF87" s="274"/>
      <c r="AG87" s="274"/>
      <c r="AH87" s="274"/>
      <c r="AI87" s="274"/>
      <c r="AJ87" s="274"/>
      <c r="AK87" s="274"/>
      <c r="AL87" s="274"/>
      <c r="AM87" s="274"/>
      <c r="AN87" s="274"/>
      <c r="AO87" s="274"/>
      <c r="AP87" s="274"/>
      <c r="AQ87" s="274"/>
      <c r="AR87" s="274"/>
      <c r="AS87" s="274"/>
      <c r="AT87" s="274"/>
      <c r="AU87" s="274"/>
      <c r="AV87" s="274"/>
      <c r="AW87" s="274"/>
      <c r="AX87" s="274"/>
      <c r="AY87" s="274"/>
      <c r="AZ87" s="274"/>
      <c r="BA87" s="274"/>
      <c r="BB87" s="274"/>
      <c r="BC87" s="274"/>
      <c r="BD87" s="274"/>
      <c r="BE87" s="274"/>
      <c r="BF87" s="274"/>
      <c r="BG87" s="2730"/>
      <c r="BH87" s="764"/>
      <c r="BI87" s="764"/>
      <c r="BJ87" s="447"/>
      <c r="BK87" s="447"/>
      <c r="BL87" s="447"/>
      <c r="BM87" s="447"/>
      <c r="BN87" s="447"/>
      <c r="BO87" s="447"/>
      <c r="BP87" s="447"/>
      <c r="BQ87" s="447"/>
      <c r="BR87" s="447"/>
      <c r="BS87" s="447"/>
      <c r="BT87" s="764"/>
      <c r="BU87" s="764"/>
      <c r="BV87" s="764"/>
      <c r="BW87" s="764"/>
      <c r="BX87" s="764"/>
      <c r="BY87" s="764"/>
      <c r="BZ87" s="764"/>
    </row>
    <row r="88" spans="1:78" s="272" customFormat="1" ht="19.5" customHeight="1" x14ac:dyDescent="0.25">
      <c r="A88" s="198"/>
      <c r="B88" s="198"/>
      <c r="C88" s="198"/>
      <c r="D88" s="198"/>
      <c r="E88" s="198"/>
      <c r="F88" s="447"/>
      <c r="G88" s="468"/>
      <c r="H88" s="197"/>
      <c r="I88" s="3452"/>
      <c r="J88" s="3453"/>
      <c r="K88" s="3453"/>
      <c r="L88" s="3453"/>
      <c r="M88" s="3453"/>
      <c r="N88" s="3453"/>
      <c r="O88" s="3453"/>
      <c r="P88" s="3454"/>
      <c r="Q88" s="197"/>
      <c r="R88" s="739"/>
      <c r="S88" s="470" t="str">
        <f>IF(G8=1," General Multiplier",IF(G8=2," Staff Multiplier",""))</f>
        <v/>
      </c>
      <c r="U88" s="197"/>
      <c r="V88" s="197"/>
      <c r="W88" s="424"/>
      <c r="X88" s="470" t="str">
        <f>IF(OR($G$8=3,$G$8=4,$G$8=5)," Staff OH%","")</f>
        <v/>
      </c>
      <c r="Y88" s="470"/>
      <c r="Z88" s="471"/>
      <c r="AA88" s="447"/>
      <c r="AB88" s="764"/>
      <c r="AC88" s="909"/>
      <c r="AD88" s="3458" t="str">
        <f>"Breakdown by PU  ("&amp;I60&amp;")"</f>
        <v>Breakdown by PU  (GBP)</v>
      </c>
      <c r="AE88" s="3458"/>
      <c r="AF88" s="3458"/>
      <c r="AG88" s="3458"/>
      <c r="AH88" s="3458"/>
      <c r="BF88" s="749"/>
      <c r="BG88" s="2730"/>
      <c r="BH88" s="764"/>
      <c r="BI88" s="764"/>
      <c r="BJ88" s="447"/>
      <c r="BK88" s="447"/>
      <c r="BL88" s="447"/>
      <c r="BM88" s="447"/>
      <c r="BN88" s="447"/>
      <c r="BO88" s="447"/>
      <c r="BP88" s="447"/>
      <c r="BQ88" s="447"/>
      <c r="BR88" s="447"/>
      <c r="BS88" s="447"/>
      <c r="BT88" s="764"/>
      <c r="BU88" s="764"/>
      <c r="BV88" s="764"/>
      <c r="BW88" s="764"/>
      <c r="BX88" s="764"/>
      <c r="BY88" s="764"/>
      <c r="BZ88" s="764"/>
    </row>
    <row r="89" spans="1:78" s="272" customFormat="1" ht="4.5" customHeight="1" x14ac:dyDescent="0.5">
      <c r="A89" s="198"/>
      <c r="B89" s="198"/>
      <c r="C89" s="198"/>
      <c r="D89" s="198"/>
      <c r="E89" s="198"/>
      <c r="F89" s="447"/>
      <c r="G89" s="468"/>
      <c r="H89" s="472"/>
      <c r="I89" s="3452"/>
      <c r="J89" s="3453"/>
      <c r="K89" s="3453"/>
      <c r="L89" s="3453"/>
      <c r="M89" s="3453"/>
      <c r="N89" s="3453"/>
      <c r="O89" s="3453"/>
      <c r="P89" s="3454"/>
      <c r="Q89" s="197"/>
      <c r="R89" s="490"/>
      <c r="S89" s="197"/>
      <c r="U89" s="197"/>
      <c r="V89" s="197"/>
      <c r="W89" s="492"/>
      <c r="X89" s="197"/>
      <c r="Y89" s="754"/>
      <c r="Z89" s="471"/>
      <c r="AA89" s="447"/>
      <c r="AB89" s="764"/>
      <c r="AC89" s="909"/>
      <c r="AD89" s="3458"/>
      <c r="AE89" s="3458"/>
      <c r="AF89" s="3458"/>
      <c r="AG89" s="3458"/>
      <c r="AH89" s="3458"/>
      <c r="AI89" s="274"/>
      <c r="AJ89" s="274"/>
      <c r="AK89" s="274"/>
      <c r="AL89" s="274"/>
      <c r="AM89" s="274"/>
      <c r="AN89" s="274"/>
      <c r="AO89" s="274"/>
      <c r="AP89" s="274"/>
      <c r="AQ89" s="274"/>
      <c r="AR89" s="274"/>
      <c r="AS89" s="749"/>
      <c r="AT89" s="274"/>
      <c r="AU89" s="274"/>
      <c r="AV89" s="274"/>
      <c r="AW89" s="274"/>
      <c r="AX89" s="274"/>
      <c r="AY89" s="274"/>
      <c r="AZ89" s="274"/>
      <c r="BA89" s="274"/>
      <c r="BB89" s="274"/>
      <c r="BC89" s="274"/>
      <c r="BD89" s="274"/>
      <c r="BE89" s="274"/>
      <c r="BF89" s="274"/>
      <c r="BG89" s="2730"/>
      <c r="BH89" s="764"/>
      <c r="BI89" s="764"/>
      <c r="BJ89" s="447"/>
      <c r="BK89" s="447"/>
      <c r="BL89" s="447"/>
      <c r="BM89" s="447"/>
      <c r="BN89" s="447"/>
      <c r="BO89" s="447"/>
      <c r="BP89" s="447"/>
      <c r="BQ89" s="447"/>
      <c r="BR89" s="447"/>
      <c r="BS89" s="447"/>
      <c r="BT89" s="764"/>
      <c r="BU89" s="764"/>
      <c r="BV89" s="764"/>
      <c r="BW89" s="764"/>
      <c r="BX89" s="764"/>
      <c r="BY89" s="764"/>
      <c r="BZ89" s="764"/>
    </row>
    <row r="90" spans="1:78" s="272" customFormat="1" ht="19.5" customHeight="1" x14ac:dyDescent="0.25">
      <c r="A90" s="198"/>
      <c r="B90" s="198"/>
      <c r="C90" s="198"/>
      <c r="D90" s="198"/>
      <c r="E90" s="198"/>
      <c r="F90" s="447"/>
      <c r="G90" s="468"/>
      <c r="I90" s="3452"/>
      <c r="J90" s="3453"/>
      <c r="K90" s="3453"/>
      <c r="L90" s="3453"/>
      <c r="M90" s="3453"/>
      <c r="N90" s="3453"/>
      <c r="O90" s="3453"/>
      <c r="P90" s="3454"/>
      <c r="Q90" s="197"/>
      <c r="R90" s="739"/>
      <c r="S90" s="470" t="str">
        <f>IF($G$8=2," Jobshopper Multiplier","")</f>
        <v/>
      </c>
      <c r="U90" s="197"/>
      <c r="V90" s="197"/>
      <c r="W90" s="424"/>
      <c r="X90" s="470" t="str">
        <f>IF(OR($G$8=3,$G$8=4,$G$8=5)," JobShopper OH%","")</f>
        <v/>
      </c>
      <c r="Y90" s="470"/>
      <c r="Z90" s="471"/>
      <c r="AA90" s="447"/>
      <c r="AB90" s="764"/>
      <c r="AC90" s="909"/>
      <c r="AD90" s="3458"/>
      <c r="AE90" s="3458"/>
      <c r="AF90" s="3458"/>
      <c r="AG90" s="3458"/>
      <c r="AH90" s="3458"/>
      <c r="AI90" s="274"/>
      <c r="AJ90" s="274"/>
      <c r="AK90" s="274"/>
      <c r="AL90" s="274"/>
      <c r="AM90" s="274"/>
      <c r="AN90" s="274"/>
      <c r="AO90" s="274"/>
      <c r="AP90" s="274"/>
      <c r="AQ90" s="2732"/>
      <c r="AR90" s="2733"/>
      <c r="AS90" s="2733"/>
      <c r="AT90" s="2733"/>
      <c r="AU90" s="2733"/>
      <c r="AV90" s="2735" t="s">
        <v>93</v>
      </c>
      <c r="AW90" s="2733"/>
      <c r="AX90" s="2733"/>
      <c r="AY90" s="2733"/>
      <c r="AZ90" s="2733"/>
      <c r="BA90" s="2733"/>
      <c r="BB90" s="2734"/>
      <c r="BC90" s="274"/>
      <c r="BD90" s="2756"/>
      <c r="BE90" s="2767" t="s">
        <v>117</v>
      </c>
      <c r="BF90" s="2757"/>
      <c r="BG90" s="2730"/>
      <c r="BH90" s="764"/>
      <c r="BI90" s="764"/>
      <c r="BJ90" s="447"/>
      <c r="BK90" s="447"/>
      <c r="BL90" s="447"/>
      <c r="BM90" s="447"/>
      <c r="BN90" s="447"/>
      <c r="BO90" s="447"/>
      <c r="BP90" s="447"/>
      <c r="BQ90" s="447"/>
      <c r="BR90" s="447"/>
      <c r="BS90" s="447"/>
      <c r="BT90" s="764"/>
      <c r="BU90" s="764"/>
      <c r="BV90" s="764"/>
      <c r="BW90" s="764"/>
      <c r="BX90" s="764"/>
      <c r="BY90" s="764"/>
      <c r="BZ90" s="764"/>
    </row>
    <row r="91" spans="1:78" s="272" customFormat="1" ht="4.5" customHeight="1" x14ac:dyDescent="0.5">
      <c r="A91" s="198"/>
      <c r="B91" s="198"/>
      <c r="C91" s="198"/>
      <c r="D91" s="198"/>
      <c r="E91" s="198"/>
      <c r="F91" s="447"/>
      <c r="G91" s="468"/>
      <c r="H91" s="472"/>
      <c r="I91" s="3452"/>
      <c r="J91" s="3453"/>
      <c r="K91" s="3453"/>
      <c r="L91" s="3453"/>
      <c r="M91" s="3453"/>
      <c r="N91" s="3453"/>
      <c r="O91" s="3453"/>
      <c r="P91" s="3454"/>
      <c r="Q91" s="197"/>
      <c r="R91" s="1532"/>
      <c r="S91" s="197"/>
      <c r="T91" s="197"/>
      <c r="U91" s="197"/>
      <c r="V91" s="197"/>
      <c r="W91" s="491"/>
      <c r="X91" s="197"/>
      <c r="Y91" s="754"/>
      <c r="Z91" s="471"/>
      <c r="AA91" s="447"/>
      <c r="AB91" s="447"/>
      <c r="AC91" s="909"/>
      <c r="AI91" s="274"/>
      <c r="AJ91" s="274"/>
      <c r="AK91" s="274"/>
      <c r="AL91" s="274"/>
      <c r="AM91" s="274"/>
      <c r="AN91" s="274"/>
      <c r="AO91" s="274"/>
      <c r="AP91" s="274"/>
      <c r="AQ91" s="274"/>
      <c r="AR91" s="274"/>
      <c r="AT91" s="274"/>
      <c r="AU91" s="274"/>
      <c r="AV91" s="274"/>
      <c r="AW91" s="274"/>
      <c r="AX91" s="274"/>
      <c r="AY91" s="274"/>
      <c r="AZ91" s="274"/>
      <c r="BA91" s="274"/>
      <c r="BB91" s="274"/>
      <c r="BC91" s="274"/>
      <c r="BD91" s="274"/>
      <c r="BE91" s="274"/>
      <c r="BF91" s="274"/>
      <c r="BG91" s="2730"/>
      <c r="BH91" s="764"/>
      <c r="BI91" s="764"/>
      <c r="BJ91" s="447"/>
      <c r="BK91" s="447"/>
      <c r="BL91" s="447"/>
      <c r="BM91" s="447"/>
      <c r="BN91" s="447"/>
      <c r="BO91" s="447"/>
      <c r="BP91" s="447"/>
      <c r="BQ91" s="447"/>
      <c r="BR91" s="447"/>
      <c r="BS91" s="447"/>
      <c r="BT91" s="764"/>
      <c r="BU91" s="764"/>
      <c r="BV91" s="764"/>
      <c r="BW91" s="764"/>
      <c r="BX91" s="764"/>
      <c r="BY91" s="764"/>
      <c r="BZ91" s="764"/>
    </row>
    <row r="92" spans="1:78" s="272" customFormat="1" ht="19.5" customHeight="1" x14ac:dyDescent="0.25">
      <c r="A92" s="198"/>
      <c r="B92" s="198"/>
      <c r="C92" s="198"/>
      <c r="D92" s="198"/>
      <c r="E92" s="198"/>
      <c r="F92" s="447"/>
      <c r="G92" s="468"/>
      <c r="H92" s="1253" t="s">
        <v>16</v>
      </c>
      <c r="I92" s="3452"/>
      <c r="J92" s="3453"/>
      <c r="K92" s="3453"/>
      <c r="L92" s="3453"/>
      <c r="M92" s="3453"/>
      <c r="N92" s="3453"/>
      <c r="O92" s="3453"/>
      <c r="P92" s="3454"/>
      <c r="Q92" s="197"/>
      <c r="R92" s="739"/>
      <c r="S92" s="470" t="str">
        <f>IF($G$8=2," Field Multiplier","")</f>
        <v/>
      </c>
      <c r="T92" s="553"/>
      <c r="U92" s="197"/>
      <c r="V92" s="197"/>
      <c r="W92" s="424"/>
      <c r="X92" s="470" t="str">
        <f>IF(OR($G$8=3,$G$8=4,$G$8=5)," Field OH%","")</f>
        <v/>
      </c>
      <c r="Y92" s="470"/>
      <c r="Z92" s="471"/>
      <c r="AA92" s="447"/>
      <c r="AB92" s="447"/>
      <c r="AC92" s="909"/>
      <c r="AI92" s="274"/>
      <c r="AJ92" s="3447" t="s">
        <v>31</v>
      </c>
      <c r="AK92" s="3447" t="s">
        <v>39</v>
      </c>
      <c r="AL92" s="274"/>
      <c r="AM92" s="3459" t="s">
        <v>1155</v>
      </c>
      <c r="AN92" s="3461" t="s">
        <v>297</v>
      </c>
      <c r="AO92" s="3461" t="s">
        <v>333</v>
      </c>
      <c r="AP92" s="274"/>
      <c r="AQ92" s="3380" t="s">
        <v>3359</v>
      </c>
      <c r="AR92" s="3380" t="s">
        <v>1624</v>
      </c>
      <c r="AT92" s="3380" t="s">
        <v>1622</v>
      </c>
      <c r="AU92" s="3380" t="s">
        <v>1623</v>
      </c>
      <c r="AV92" s="3380" t="s">
        <v>126</v>
      </c>
      <c r="AW92" s="274"/>
      <c r="AX92" s="3463" t="s">
        <v>2522</v>
      </c>
      <c r="AY92" s="3463" t="s">
        <v>2523</v>
      </c>
      <c r="AZ92" s="3463" t="s">
        <v>2524</v>
      </c>
      <c r="BA92" s="3463" t="s">
        <v>3350</v>
      </c>
      <c r="BB92" s="3465" t="s">
        <v>1156</v>
      </c>
      <c r="BC92" s="274"/>
      <c r="BD92" s="3380" t="s">
        <v>127</v>
      </c>
      <c r="BE92" s="3380" t="s">
        <v>610</v>
      </c>
      <c r="BF92" s="3380" t="s">
        <v>3389</v>
      </c>
      <c r="BG92" s="2730"/>
      <c r="BH92" s="764"/>
      <c r="BI92" s="764"/>
      <c r="BJ92" s="447"/>
      <c r="BK92" s="447"/>
      <c r="BL92" s="447"/>
      <c r="BM92" s="447"/>
      <c r="BN92" s="447"/>
      <c r="BO92" s="447"/>
      <c r="BP92" s="447"/>
      <c r="BQ92" s="447"/>
      <c r="BR92" s="447"/>
      <c r="BS92" s="447"/>
      <c r="BT92" s="764"/>
      <c r="BU92" s="764"/>
      <c r="BV92" s="764"/>
      <c r="BW92" s="764"/>
      <c r="BX92" s="764"/>
      <c r="BY92" s="764"/>
      <c r="BZ92" s="764"/>
    </row>
    <row r="93" spans="1:78" s="272" customFormat="1" ht="4.5" customHeight="1" thickBot="1" x14ac:dyDescent="0.55000000000000004">
      <c r="A93" s="198"/>
      <c r="B93" s="198"/>
      <c r="C93" s="198"/>
      <c r="D93" s="198"/>
      <c r="E93" s="198"/>
      <c r="F93" s="447"/>
      <c r="G93" s="468"/>
      <c r="H93" s="472"/>
      <c r="I93" s="3452"/>
      <c r="J93" s="3453"/>
      <c r="K93" s="3453"/>
      <c r="L93" s="3453"/>
      <c r="M93" s="3453"/>
      <c r="N93" s="3453"/>
      <c r="O93" s="3453"/>
      <c r="P93" s="3454"/>
      <c r="Q93" s="197"/>
      <c r="R93" s="1533"/>
      <c r="S93" s="197"/>
      <c r="T93" s="553"/>
      <c r="U93" s="197"/>
      <c r="V93" s="197"/>
      <c r="W93" s="197"/>
      <c r="X93" s="197"/>
      <c r="Y93" s="754"/>
      <c r="Z93" s="471"/>
      <c r="AA93" s="447"/>
      <c r="AB93" s="447"/>
      <c r="AC93" s="909"/>
      <c r="AD93" s="1595"/>
      <c r="AE93" s="1595"/>
      <c r="AF93" s="1595"/>
      <c r="AG93" s="1595"/>
      <c r="AH93" s="1595"/>
      <c r="AI93" s="2725"/>
      <c r="AJ93" s="3448"/>
      <c r="AK93" s="3448"/>
      <c r="AL93" s="749"/>
      <c r="AM93" s="3460"/>
      <c r="AN93" s="3462"/>
      <c r="AO93" s="3462"/>
      <c r="AP93" s="749"/>
      <c r="AQ93" s="3381"/>
      <c r="AR93" s="3381"/>
      <c r="AT93" s="3381"/>
      <c r="AU93" s="3381"/>
      <c r="AV93" s="3381"/>
      <c r="AX93" s="3464"/>
      <c r="AY93" s="3464"/>
      <c r="AZ93" s="3464"/>
      <c r="BA93" s="3464"/>
      <c r="BB93" s="3466"/>
      <c r="BC93" s="749"/>
      <c r="BD93" s="3381"/>
      <c r="BE93" s="3381"/>
      <c r="BF93" s="3381"/>
      <c r="BG93" s="2730"/>
      <c r="BH93" s="764"/>
      <c r="BI93" s="764"/>
      <c r="BJ93" s="447"/>
      <c r="BK93" s="447"/>
      <c r="BL93" s="447"/>
      <c r="BM93" s="447"/>
      <c r="BN93" s="447"/>
      <c r="BO93" s="447"/>
      <c r="BP93" s="447"/>
      <c r="BQ93" s="447"/>
      <c r="BR93" s="447"/>
      <c r="BS93" s="447"/>
      <c r="BT93" s="764"/>
      <c r="BU93" s="764"/>
      <c r="BV93" s="764"/>
      <c r="BW93" s="764"/>
      <c r="BX93" s="764"/>
      <c r="BY93" s="764"/>
      <c r="BZ93" s="764"/>
    </row>
    <row r="94" spans="1:78" s="272" customFormat="1" ht="19.5" customHeight="1" thickBot="1" x14ac:dyDescent="0.55000000000000004">
      <c r="A94" s="198"/>
      <c r="B94" s="198"/>
      <c r="C94" s="198"/>
      <c r="D94" s="198"/>
      <c r="E94" s="198"/>
      <c r="F94" s="447"/>
      <c r="G94" s="468"/>
      <c r="H94" s="472"/>
      <c r="I94" s="3452"/>
      <c r="J94" s="3453"/>
      <c r="K94" s="3453"/>
      <c r="L94" s="3453"/>
      <c r="M94" s="3453"/>
      <c r="N94" s="3453"/>
      <c r="O94" s="3453"/>
      <c r="P94" s="3454"/>
      <c r="Q94" s="197"/>
      <c r="R94" s="739"/>
      <c r="S94" s="470" t="str">
        <f>IF($G$8=2," LBO Multiplier","")</f>
        <v/>
      </c>
      <c r="T94" s="516"/>
      <c r="U94" s="197"/>
      <c r="V94" s="197"/>
      <c r="W94" s="424"/>
      <c r="X94" s="470" t="str">
        <f>IF(OR($G$8=3,$G$8=4,$G$8=5)," LBO OH%","")</f>
        <v/>
      </c>
      <c r="Y94" s="470"/>
      <c r="Z94" s="471"/>
      <c r="AA94" s="447"/>
      <c r="AB94" s="447"/>
      <c r="AC94" s="909"/>
      <c r="AD94" s="1595"/>
      <c r="AE94" s="1595"/>
      <c r="AF94" s="1595"/>
      <c r="AG94" s="1595"/>
      <c r="AH94" s="1184" t="s">
        <v>3357</v>
      </c>
      <c r="AI94" s="277"/>
      <c r="AJ94" s="2743">
        <f ca="1">SUM(AJ99:AJ119)</f>
        <v>73862.781825000013</v>
      </c>
      <c r="AK94" s="2743">
        <f>SUM(AK99:AK119)</f>
        <v>45111.674231999998</v>
      </c>
      <c r="AL94" s="1292"/>
      <c r="AM94" s="2744">
        <f ca="1">SUM(AM99:AM119)</f>
        <v>28751.107593000015</v>
      </c>
      <c r="AN94" s="2740">
        <f ca="1">IFERROR(AM94/AV94,0)</f>
        <v>0.41976843145982135</v>
      </c>
      <c r="AO94" s="2737">
        <f ca="1">IFERROR(AM94/AQ94,0)</f>
        <v>21.093989429933981</v>
      </c>
      <c r="AP94" s="277"/>
      <c r="AQ94" s="2743">
        <f>AQ96+SUM(AQ105:AQ119)</f>
        <v>1363</v>
      </c>
      <c r="AR94" s="2743">
        <f>AR96+SUM(AR105:AR119)</f>
        <v>0</v>
      </c>
      <c r="AS94" s="746"/>
      <c r="AT94" s="2743">
        <f>SUM(AT99:AT119)</f>
        <v>24594.5291</v>
      </c>
      <c r="AU94" s="2743">
        <f>SUM(AU99:AU119)</f>
        <v>37383.684232</v>
      </c>
      <c r="AV94" s="2744">
        <f ca="1">SUM(AV99:AV119)</f>
        <v>68492.781825000013</v>
      </c>
      <c r="AW94" s="746"/>
      <c r="AX94" s="2737">
        <f>IFERROR(AT94/($AR94+$AQ94),0)</f>
        <v>18.044408730741011</v>
      </c>
      <c r="AY94" s="2737">
        <f>IFERROR(AU94/($AR94+$AQ94),0)</f>
        <v>27.427501270726339</v>
      </c>
      <c r="AZ94" s="2737">
        <f ca="1">IFERROR(AV94/AQ94,0)</f>
        <v>50.25149070066032</v>
      </c>
      <c r="BA94" s="2737">
        <f ca="1">IFERROR(AV94/AT94,0)</f>
        <v>2.784878764968914</v>
      </c>
      <c r="BB94" s="2737">
        <f ca="1">IFERROR(AV94/AU94,0)</f>
        <v>1.8321570822163906</v>
      </c>
      <c r="BC94" s="746"/>
      <c r="BD94" s="2744">
        <f>SUM(BD99:BD119)</f>
        <v>5370</v>
      </c>
      <c r="BE94" s="2744">
        <f>SUM(BE99:BE119)</f>
        <v>5370</v>
      </c>
      <c r="BF94" s="2744">
        <f>SUM(BF99:BF119)</f>
        <v>2357.9899999999998</v>
      </c>
      <c r="BG94" s="2730"/>
      <c r="BH94" s="764"/>
      <c r="BI94" s="764"/>
      <c r="BJ94" s="447"/>
      <c r="BK94" s="447"/>
      <c r="BL94" s="447"/>
      <c r="BM94" s="447"/>
      <c r="BN94" s="447"/>
      <c r="BO94" s="447"/>
      <c r="BP94" s="447"/>
      <c r="BQ94" s="447"/>
      <c r="BR94" s="447"/>
      <c r="BS94" s="447"/>
      <c r="BT94" s="764"/>
      <c r="BU94" s="764"/>
      <c r="BV94" s="764"/>
      <c r="BW94" s="764"/>
      <c r="BX94" s="764"/>
      <c r="BY94" s="764"/>
      <c r="BZ94" s="764"/>
    </row>
    <row r="95" spans="1:78" s="272" customFormat="1" ht="5.25" customHeight="1" thickBot="1" x14ac:dyDescent="0.55000000000000004">
      <c r="A95" s="198"/>
      <c r="B95" s="198"/>
      <c r="C95" s="198"/>
      <c r="D95" s="198"/>
      <c r="E95" s="198"/>
      <c r="F95" s="447"/>
      <c r="G95" s="468"/>
      <c r="H95" s="472"/>
      <c r="I95" s="3452"/>
      <c r="J95" s="3453"/>
      <c r="K95" s="3453"/>
      <c r="L95" s="3453"/>
      <c r="M95" s="3453"/>
      <c r="N95" s="3453"/>
      <c r="O95" s="3453"/>
      <c r="P95" s="3454"/>
      <c r="Q95" s="197"/>
      <c r="R95" s="197"/>
      <c r="S95" s="197"/>
      <c r="T95" s="516"/>
      <c r="U95" s="197"/>
      <c r="V95" s="197"/>
      <c r="W95" s="197"/>
      <c r="X95" s="470"/>
      <c r="Y95" s="470"/>
      <c r="Z95" s="471"/>
      <c r="AA95" s="447"/>
      <c r="AB95" s="447"/>
      <c r="AC95" s="909"/>
      <c r="AD95" s="274"/>
      <c r="AE95" s="274"/>
      <c r="AF95" s="274"/>
      <c r="AG95" s="274"/>
      <c r="AH95" s="274"/>
      <c r="BF95" s="749"/>
      <c r="BG95" s="2730"/>
      <c r="BH95" s="764"/>
      <c r="BI95" s="764"/>
      <c r="BJ95" s="447"/>
      <c r="BK95" s="447"/>
      <c r="BL95" s="447"/>
      <c r="BM95" s="447"/>
      <c r="BN95" s="447"/>
      <c r="BO95" s="447"/>
      <c r="BP95" s="447"/>
      <c r="BQ95" s="447"/>
      <c r="BR95" s="447"/>
      <c r="BS95" s="447"/>
      <c r="BT95" s="764"/>
      <c r="BU95" s="764"/>
      <c r="BV95" s="764"/>
      <c r="BW95" s="764"/>
      <c r="BX95" s="764"/>
      <c r="BY95" s="764"/>
      <c r="BZ95" s="764"/>
    </row>
    <row r="96" spans="1:78" s="272" customFormat="1" ht="19.5" customHeight="1" thickBot="1" x14ac:dyDescent="0.55000000000000004">
      <c r="A96" s="198"/>
      <c r="B96" s="198"/>
      <c r="C96" s="198"/>
      <c r="D96" s="198"/>
      <c r="E96" s="198"/>
      <c r="F96" s="447"/>
      <c r="G96" s="468"/>
      <c r="H96" s="472"/>
      <c r="I96" s="3452"/>
      <c r="J96" s="3453"/>
      <c r="K96" s="3453"/>
      <c r="L96" s="3453"/>
      <c r="M96" s="3453"/>
      <c r="N96" s="3453"/>
      <c r="O96" s="3453"/>
      <c r="P96" s="3454"/>
      <c r="Q96" s="197"/>
      <c r="R96" s="2727"/>
      <c r="S96" s="470"/>
      <c r="T96" s="197"/>
      <c r="U96" s="197"/>
      <c r="V96" s="197"/>
      <c r="W96" s="1790"/>
      <c r="X96" s="470" t="str">
        <f>IF(OR($G$8=3,$G$8=4,$G$8=5)," % Fee (Profit)","")</f>
        <v/>
      </c>
      <c r="Y96" s="470"/>
      <c r="Z96" s="471"/>
      <c r="AA96" s="447"/>
      <c r="AB96" s="447"/>
      <c r="AC96" s="909"/>
      <c r="AD96" s="2548" t="s">
        <v>1154</v>
      </c>
      <c r="AE96" s="274"/>
      <c r="AF96" s="274"/>
      <c r="AG96" s="274"/>
      <c r="AH96" s="1184" t="s">
        <v>374</v>
      </c>
      <c r="AI96" s="277"/>
      <c r="AJ96" s="2746">
        <f ca="1">SUM(AJ99:AJ104)</f>
        <v>73862.781825000013</v>
      </c>
      <c r="AK96" s="2746">
        <f>SUM(AK99:AK104)</f>
        <v>45111.674231999998</v>
      </c>
      <c r="AL96" s="1292"/>
      <c r="AM96" s="2747">
        <f ca="1">SUM(AM99:AM104)</f>
        <v>28751.107593000015</v>
      </c>
      <c r="AN96" s="2741">
        <f ca="1">IFERROR(AM96/AV96,0)</f>
        <v>0.41976843145982135</v>
      </c>
      <c r="AO96" s="2738">
        <f ca="1">IFERROR(AM96/AQ96,0)</f>
        <v>21.093989429933981</v>
      </c>
      <c r="AP96" s="277"/>
      <c r="AQ96" s="2746">
        <f>AQ99+SUM(AQ101:AQ104)</f>
        <v>1363</v>
      </c>
      <c r="AR96" s="2746">
        <f>AR99+SUM(AR101:AR104)</f>
        <v>0</v>
      </c>
      <c r="AS96" s="746"/>
      <c r="AT96" s="2746">
        <f>SUM(AT99:AT104)</f>
        <v>24594.5291</v>
      </c>
      <c r="AU96" s="2746">
        <f>SUM(AU99:AU104)</f>
        <v>37383.684232</v>
      </c>
      <c r="AV96" s="2747">
        <f ca="1">SUM(AV99:AV104)</f>
        <v>68492.781825000013</v>
      </c>
      <c r="AW96" s="746"/>
      <c r="AX96" s="2738">
        <f>IFERROR(AT96/($AR96+$AQ96),0)</f>
        <v>18.044408730741011</v>
      </c>
      <c r="AY96" s="2738">
        <f>IFERROR(AU96/($AR96+$AQ96),0)</f>
        <v>27.427501270726339</v>
      </c>
      <c r="AZ96" s="2738">
        <f ca="1">IFERROR(AV96/AQ96,0)</f>
        <v>50.25149070066032</v>
      </c>
      <c r="BA96" s="2738">
        <f ca="1">IFERROR(AV96/AT96,0)</f>
        <v>2.784878764968914</v>
      </c>
      <c r="BB96" s="2738">
        <f ca="1">IFERROR(AV96/AU96,0)</f>
        <v>1.8321570822163906</v>
      </c>
      <c r="BC96" s="746"/>
      <c r="BD96" s="2746">
        <f>SUM(BD99:BD104)</f>
        <v>5370</v>
      </c>
      <c r="BE96" s="2746">
        <f>SUM(BE99:BE104)</f>
        <v>5370</v>
      </c>
      <c r="BF96" s="2746">
        <f>SUM(BF99:BF104)</f>
        <v>2357.9899999999998</v>
      </c>
      <c r="BG96" s="2730"/>
      <c r="BH96" s="764"/>
      <c r="BI96" s="764"/>
      <c r="BJ96" s="447"/>
      <c r="BK96" s="447"/>
      <c r="BL96" s="447"/>
      <c r="BM96" s="447"/>
      <c r="BN96" s="447"/>
      <c r="BO96" s="447"/>
      <c r="BP96" s="447"/>
      <c r="BQ96" s="447"/>
      <c r="BR96" s="447"/>
      <c r="BS96" s="447"/>
      <c r="BT96" s="764"/>
      <c r="BU96" s="764"/>
      <c r="BV96" s="764"/>
      <c r="BW96" s="764"/>
      <c r="BX96" s="764"/>
      <c r="BY96" s="764"/>
      <c r="BZ96" s="764"/>
    </row>
    <row r="97" spans="1:78" s="272" customFormat="1" ht="4.5" customHeight="1" x14ac:dyDescent="0.5">
      <c r="A97" s="198"/>
      <c r="B97" s="198"/>
      <c r="C97" s="198"/>
      <c r="D97" s="198"/>
      <c r="E97" s="198"/>
      <c r="F97" s="447"/>
      <c r="G97" s="468"/>
      <c r="H97" s="472"/>
      <c r="I97" s="3452"/>
      <c r="J97" s="3453"/>
      <c r="K97" s="3453"/>
      <c r="L97" s="3453"/>
      <c r="M97" s="3453"/>
      <c r="N97" s="3453"/>
      <c r="O97" s="3453"/>
      <c r="P97" s="3454"/>
      <c r="Q97" s="197"/>
      <c r="R97" s="2727"/>
      <c r="S97" s="470"/>
      <c r="T97" s="197"/>
      <c r="U97" s="197"/>
      <c r="V97" s="197"/>
      <c r="W97" s="197"/>
      <c r="X97" s="470"/>
      <c r="Y97" s="470"/>
      <c r="Z97" s="471"/>
      <c r="AA97" s="447"/>
      <c r="AB97" s="447"/>
      <c r="AC97" s="909"/>
      <c r="AD97" s="274"/>
      <c r="AE97" s="274"/>
      <c r="AF97" s="274"/>
      <c r="AG97" s="274"/>
      <c r="AH97" s="274"/>
      <c r="AI97" s="274"/>
      <c r="AJ97" s="2745"/>
      <c r="AK97" s="2745"/>
      <c r="AL97" s="2745"/>
      <c r="AM97" s="2745"/>
      <c r="AN97" s="2578"/>
      <c r="AO97" s="2578"/>
      <c r="AP97" s="274"/>
      <c r="AQ97" s="2745"/>
      <c r="AR97" s="2745"/>
      <c r="AS97" s="746"/>
      <c r="AT97" s="2745"/>
      <c r="AU97" s="2745"/>
      <c r="AV97" s="2745"/>
      <c r="AW97" s="2745"/>
      <c r="AX97" s="2728"/>
      <c r="AY97" s="2728"/>
      <c r="AZ97" s="2728"/>
      <c r="BA97" s="2728"/>
      <c r="BB97" s="2728"/>
      <c r="BC97" s="2745"/>
      <c r="BD97" s="2745"/>
      <c r="BE97" s="2745"/>
      <c r="BF97" s="2745"/>
      <c r="BG97" s="2730"/>
      <c r="BH97" s="764"/>
      <c r="BI97" s="764"/>
      <c r="BJ97" s="447"/>
      <c r="BK97" s="447"/>
      <c r="BL97" s="447"/>
      <c r="BM97" s="447"/>
      <c r="BN97" s="447"/>
      <c r="BO97" s="447"/>
      <c r="BP97" s="447"/>
      <c r="BQ97" s="447"/>
      <c r="BR97" s="447"/>
      <c r="BS97" s="447"/>
      <c r="BT97" s="764"/>
      <c r="BU97" s="764"/>
      <c r="BV97" s="764"/>
      <c r="BW97" s="764"/>
      <c r="BX97" s="764"/>
      <c r="BY97" s="764"/>
      <c r="BZ97" s="764"/>
    </row>
    <row r="98" spans="1:78" s="272" customFormat="1" ht="19.5" customHeight="1" x14ac:dyDescent="0.5">
      <c r="A98" s="198"/>
      <c r="B98" s="198"/>
      <c r="C98" s="198"/>
      <c r="D98" s="198"/>
      <c r="E98" s="198"/>
      <c r="F98" s="447"/>
      <c r="G98" s="468"/>
      <c r="H98" s="472"/>
      <c r="I98" s="3455"/>
      <c r="J98" s="3456"/>
      <c r="K98" s="3456"/>
      <c r="L98" s="3456"/>
      <c r="M98" s="3456"/>
      <c r="N98" s="3456"/>
      <c r="O98" s="3456"/>
      <c r="P98" s="3457"/>
      <c r="Q98" s="197"/>
      <c r="R98" s="2727"/>
      <c r="S98" s="470"/>
      <c r="T98" s="197"/>
      <c r="U98" s="197"/>
      <c r="V98" s="197"/>
      <c r="W98" s="2751"/>
      <c r="X98" s="470" t="str">
        <f>IF($G$8=5," Add-On","")</f>
        <v/>
      </c>
      <c r="Y98" s="470"/>
      <c r="Z98" s="471"/>
      <c r="AA98" s="447"/>
      <c r="AB98" s="447"/>
      <c r="AC98" s="909"/>
      <c r="AD98" s="1183" t="s">
        <v>114</v>
      </c>
      <c r="AE98" s="1183" t="s">
        <v>113</v>
      </c>
      <c r="AF98" s="1183" t="s">
        <v>112</v>
      </c>
      <c r="AG98" s="274"/>
      <c r="AH98" s="1182" t="s">
        <v>374</v>
      </c>
      <c r="BF98" s="749"/>
      <c r="BG98" s="2730"/>
      <c r="BH98" s="764"/>
      <c r="BI98" s="764"/>
      <c r="BJ98" s="447"/>
      <c r="BK98" s="447"/>
      <c r="BL98" s="447"/>
      <c r="BM98" s="447"/>
      <c r="BN98" s="447"/>
      <c r="BO98" s="447"/>
      <c r="BP98" s="447"/>
      <c r="BQ98" s="447"/>
      <c r="BR98" s="447"/>
      <c r="BS98" s="447"/>
      <c r="BT98" s="764"/>
      <c r="BU98" s="764"/>
      <c r="BV98" s="764"/>
      <c r="BW98" s="764"/>
      <c r="BX98" s="764"/>
      <c r="BY98" s="764"/>
      <c r="BZ98" s="764"/>
    </row>
    <row r="99" spans="1:78" s="750" customFormat="1" ht="18" customHeight="1" x14ac:dyDescent="0.25">
      <c r="A99" s="1589"/>
      <c r="B99" s="1589"/>
      <c r="C99" s="1589"/>
      <c r="D99" s="1589"/>
      <c r="E99" s="1589"/>
      <c r="F99" s="1590"/>
      <c r="G99" s="1591"/>
      <c r="H99" s="481"/>
      <c r="J99" s="2727"/>
      <c r="K99" s="2727"/>
      <c r="L99" s="2727"/>
      <c r="M99" s="2727"/>
      <c r="N99" s="2727"/>
      <c r="O99" s="2727"/>
      <c r="P99" s="2727"/>
      <c r="Q99" s="2727"/>
      <c r="R99" s="2727"/>
      <c r="S99" s="2727"/>
      <c r="T99" s="2727"/>
      <c r="U99" s="2727"/>
      <c r="V99" s="2727"/>
      <c r="W99" s="2727"/>
      <c r="X99" s="2727"/>
      <c r="Y99" s="1863"/>
      <c r="Z99" s="1592"/>
      <c r="AA99" s="764"/>
      <c r="AB99" s="764"/>
      <c r="AC99" s="1593"/>
      <c r="AD99" s="496"/>
      <c r="AE99" s="496"/>
      <c r="AF99" s="496"/>
      <c r="AG99" s="493"/>
      <c r="AH99" s="2726" t="str">
        <f>IF(S58&gt;0,S58,S55)</f>
        <v>031500 - Highways UK</v>
      </c>
      <c r="AI99" s="277"/>
      <c r="AJ99" s="2480">
        <f t="shared" ref="AJ99:AJ104" ca="1" si="0">AV99+BD99</f>
        <v>68492.781825000013</v>
      </c>
      <c r="AK99" s="2480">
        <f>AU99+BE99+BF99</f>
        <v>39741.674231999998</v>
      </c>
      <c r="AL99" s="277"/>
      <c r="AM99" s="2480">
        <f t="shared" ref="AM99:AM104" ca="1" si="1">AJ99-AK99</f>
        <v>28751.107593000015</v>
      </c>
      <c r="AN99" s="2742">
        <f ca="1">IFERROR(AM99/AJ99,0)</f>
        <v>0.41976843145982135</v>
      </c>
      <c r="AO99" s="2739">
        <f ca="1">IFERROR(AM99/AQ99,0)</f>
        <v>21.093989429933981</v>
      </c>
      <c r="AP99" s="277"/>
      <c r="AQ99" s="2480">
        <f>IFERROR(SUMIFS('2 Staff List'!$CU$64:$CU$114,'2 Staff List'!$EG$64:$EG$114,$AH99),0)</f>
        <v>1363</v>
      </c>
      <c r="AR99" s="2480">
        <f>IFERROR(SUMIFS('2 Staff List'!$BA$64:$BA$114,'2 Staff List'!$EG$64:$EG$114,$AH99),0)-AQ99</f>
        <v>0</v>
      </c>
      <c r="AT99" s="2480">
        <f>SUMIFS('2 Staff List'!$DW$64:$DW$114,'2 Staff List'!$EG$64:$EG$114,$AH99)</f>
        <v>24594.5291</v>
      </c>
      <c r="AU99" s="2480">
        <f>SUMIFS('2 Staff List'!$DV$64:$DV$114,'2 Staff List'!$EG$64:$EG$114,$AH99)</f>
        <v>37383.684232</v>
      </c>
      <c r="AV99" s="2480">
        <f ca="1">SUMIFS('2 Staff List'!$DU$64:$DU$114,'2 Staff List'!$EG$64:$EG$114,$AH99)</f>
        <v>68492.781825000013</v>
      </c>
      <c r="AW99" s="749"/>
      <c r="AX99" s="2739">
        <f t="shared" ref="AX99:AY101" si="2">IFERROR(AT99/($AR99+$AQ99),0)</f>
        <v>18.044408730741011</v>
      </c>
      <c r="AY99" s="2739">
        <f t="shared" si="2"/>
        <v>27.427501270726339</v>
      </c>
      <c r="AZ99" s="2739">
        <f ca="1">IFERROR(AV99/AQ99,0)</f>
        <v>50.25149070066032</v>
      </c>
      <c r="BA99" s="2739">
        <f ca="1">IFERROR(AV99/AT99,0)</f>
        <v>2.784878764968914</v>
      </c>
      <c r="BB99" s="2739">
        <f ca="1">IFERROR(AV99/AU99,0)</f>
        <v>1.8321570822163906</v>
      </c>
      <c r="BC99" s="749"/>
      <c r="BD99" s="2768"/>
      <c r="BE99" s="2768"/>
      <c r="BF99" s="2480">
        <f>SUMIFS('2 Staff List'!$EM$64:$EM$114,'2 Staff List'!$EG$64:$EG$114,$AH99)</f>
        <v>2357.9899999999998</v>
      </c>
      <c r="BG99" s="2731"/>
      <c r="BH99" s="1590"/>
      <c r="BI99" s="1590"/>
      <c r="BJ99" s="1590"/>
      <c r="BK99" s="1590"/>
      <c r="BL99" s="1590"/>
      <c r="BM99" s="1590"/>
      <c r="BN99" s="1590"/>
      <c r="BO99" s="1590"/>
      <c r="BP99" s="1590"/>
      <c r="BQ99" s="1590"/>
      <c r="BR99" s="1590"/>
      <c r="BS99" s="1590"/>
      <c r="BT99" s="1590"/>
      <c r="BU99" s="1590"/>
      <c r="BV99" s="1590"/>
      <c r="BW99" s="1590"/>
      <c r="BX99" s="1590"/>
      <c r="BY99" s="1590"/>
      <c r="BZ99" s="1590"/>
    </row>
    <row r="100" spans="1:78" s="750" customFormat="1" ht="18" customHeight="1" x14ac:dyDescent="0.25">
      <c r="A100" s="1589"/>
      <c r="B100" s="1589"/>
      <c r="C100" s="1589"/>
      <c r="D100" s="1589"/>
      <c r="E100" s="1589"/>
      <c r="F100" s="1590"/>
      <c r="G100" s="1591"/>
      <c r="H100" s="3446">
        <v>7</v>
      </c>
      <c r="I100" s="3445" t="s">
        <v>2816</v>
      </c>
      <c r="J100" s="3445"/>
      <c r="K100" s="3445"/>
      <c r="L100" s="3445"/>
      <c r="M100" s="3445"/>
      <c r="N100" s="2727"/>
      <c r="O100" s="2727"/>
      <c r="P100" s="2727"/>
      <c r="Q100" s="2727"/>
      <c r="R100" s="2727"/>
      <c r="S100" s="2727"/>
      <c r="T100" s="2727"/>
      <c r="U100" s="2727"/>
      <c r="V100" s="2727"/>
      <c r="W100" s="2727"/>
      <c r="X100" s="2727"/>
      <c r="Y100" s="1863"/>
      <c r="Z100" s="1592"/>
      <c r="AA100" s="764"/>
      <c r="AB100" s="764"/>
      <c r="AC100" s="1593"/>
      <c r="AD100" s="496"/>
      <c r="AE100" s="496"/>
      <c r="AF100" s="496"/>
      <c r="AH100" s="2479" t="s">
        <v>3381</v>
      </c>
      <c r="AJ100" s="2480">
        <f t="shared" si="0"/>
        <v>0</v>
      </c>
      <c r="AK100" s="2480">
        <f t="shared" ref="AK100:AK104" si="3">AU100+BE100+BF100</f>
        <v>0</v>
      </c>
      <c r="AL100" s="366"/>
      <c r="AM100" s="2480">
        <f t="shared" si="1"/>
        <v>0</v>
      </c>
      <c r="AN100" s="2742">
        <f>IFERROR((AV100-AU100)/AJ100,0)</f>
        <v>0</v>
      </c>
      <c r="AO100" s="2739">
        <f>IFERROR((AV100-AU100)/AQ100,0)</f>
        <v>0</v>
      </c>
      <c r="AQ100" s="2769">
        <f>IFERROR(SUMIFS('2 Staff List'!$CU$64:$CU$114,'2 Staff List'!$EW$64:$EW$114,10),0)</f>
        <v>0</v>
      </c>
      <c r="AR100" s="2769">
        <f>IFERROR(SUMIFS('2 Staff List'!$BA$64:$BA$114,'2 Staff List'!$EW$64:$EW$114,10),0)-AQ100</f>
        <v>0</v>
      </c>
      <c r="AT100" s="2480">
        <f>SUMIFS('2 Staff List'!$DW$64:$DW$114,'2 Staff List'!$EW$64:$EW$114,10)</f>
        <v>0</v>
      </c>
      <c r="AU100" s="2480">
        <f>SUMIFS('2 Staff List'!$DV$64:$DV$114,'2 Staff List'!$EW$64:$EW$114,10)</f>
        <v>0</v>
      </c>
      <c r="AV100" s="2480">
        <f>SUMIFS('2 Staff List'!$DU$64:$DU$114,'2 Staff List'!$EW$64:$EW$114,10)</f>
        <v>0</v>
      </c>
      <c r="AX100" s="2739">
        <f t="shared" si="2"/>
        <v>0</v>
      </c>
      <c r="AY100" s="2739">
        <f t="shared" si="2"/>
        <v>0</v>
      </c>
      <c r="AZ100" s="2739">
        <f>IFERROR(AV100/AQ100,0)</f>
        <v>0</v>
      </c>
      <c r="BA100" s="2739">
        <f>IFERROR(AV100/AT100,0)</f>
        <v>0</v>
      </c>
      <c r="BB100" s="2739">
        <f>IFERROR(AV100/AU100,0)</f>
        <v>0</v>
      </c>
      <c r="BD100" s="2481">
        <f>('3a Staff Plan'!AA124*$N$3)+('3b Activity Plan'!AA168*$N$4)</f>
        <v>0</v>
      </c>
      <c r="BE100" s="2481">
        <f>('3a Staff Plan'!AB124*$N$3)+('3b Activity Plan'!AB168*$N$4)</f>
        <v>0</v>
      </c>
      <c r="BF100" s="2768"/>
      <c r="BG100" s="2731"/>
      <c r="BH100" s="1590"/>
      <c r="BI100" s="1590"/>
      <c r="BJ100" s="1590"/>
      <c r="BK100" s="1590"/>
      <c r="BL100" s="1590"/>
      <c r="BM100" s="1590"/>
      <c r="BN100" s="1590"/>
      <c r="BO100" s="1590"/>
      <c r="BP100" s="1590"/>
      <c r="BQ100" s="1590"/>
      <c r="BR100" s="1590"/>
      <c r="BS100" s="1590"/>
      <c r="BT100" s="1590"/>
      <c r="BU100" s="1590"/>
      <c r="BV100" s="1590"/>
      <c r="BW100" s="1590"/>
      <c r="BX100" s="1590"/>
      <c r="BY100" s="1590"/>
      <c r="BZ100" s="1590"/>
    </row>
    <row r="101" spans="1:78" s="749" customFormat="1" ht="18" customHeight="1" x14ac:dyDescent="0.25">
      <c r="A101" s="198"/>
      <c r="B101" s="198"/>
      <c r="C101" s="198"/>
      <c r="D101" s="198"/>
      <c r="E101" s="198"/>
      <c r="F101" s="764"/>
      <c r="G101" s="765"/>
      <c r="H101" s="3446"/>
      <c r="I101" s="3445"/>
      <c r="J101" s="3445"/>
      <c r="K101" s="3445"/>
      <c r="L101" s="3445"/>
      <c r="M101" s="3445"/>
      <c r="N101" s="2727"/>
      <c r="O101" s="2727"/>
      <c r="P101" s="2727"/>
      <c r="Q101" s="2727"/>
      <c r="R101" s="2727"/>
      <c r="S101" s="2727"/>
      <c r="T101" s="2727"/>
      <c r="U101" s="2727"/>
      <c r="V101" s="2727"/>
      <c r="W101" s="2727"/>
      <c r="X101" s="2727"/>
      <c r="Y101" s="1863"/>
      <c r="Z101" s="766"/>
      <c r="AA101" s="764"/>
      <c r="AB101" s="764"/>
      <c r="AC101" s="909"/>
      <c r="AD101" s="496"/>
      <c r="AE101" s="496"/>
      <c r="AF101" s="496"/>
      <c r="AG101" s="277"/>
      <c r="AH101" s="2479" t="s">
        <v>3380</v>
      </c>
      <c r="AI101" s="366"/>
      <c r="AJ101" s="2480">
        <f t="shared" si="0"/>
        <v>0</v>
      </c>
      <c r="AK101" s="2480">
        <f t="shared" si="3"/>
        <v>0</v>
      </c>
      <c r="AL101" s="366"/>
      <c r="AM101" s="2480">
        <f t="shared" si="1"/>
        <v>0</v>
      </c>
      <c r="AN101" s="2742">
        <f>IFERROR(AM101/AJ101,0)</f>
        <v>0</v>
      </c>
      <c r="AO101" s="2739">
        <f>IFERROR(AM101/AQ101,0)</f>
        <v>0</v>
      </c>
      <c r="AP101" s="366"/>
      <c r="AQ101" s="2480">
        <f>IFERROR(SUMIFS('2 Staff List'!$CU$64:$CU$114,'2 Staff List'!$EW$64:$EW$114,"&gt;7"),0)-AQ100</f>
        <v>0</v>
      </c>
      <c r="AR101" s="2480">
        <f>IFERROR(SUMIFS('2 Staff List'!$BA$64:$BA$114,'2 Staff List'!$EW$64:$EW$114,"&gt;7"),0)-AQ101-AQ100-AR100</f>
        <v>0</v>
      </c>
      <c r="AT101" s="2480">
        <f>SUMIFS('2 Staff List'!$DW$64:$DW$114,'2 Staff List'!$EW$64:$EW$114,"&gt;7")-AT100</f>
        <v>0</v>
      </c>
      <c r="AU101" s="2480">
        <f>SUMIFS('2 Staff List'!$DV$64:$DV$114,'2 Staff List'!$EW$64:$EW$114,"&gt;7")-AU100</f>
        <v>0</v>
      </c>
      <c r="AV101" s="2480">
        <f>SUMIFS('2 Staff List'!$DU$64:$DU$114,'2 Staff List'!$EW$64:$EW$114,"&gt;7")-AV100</f>
        <v>0</v>
      </c>
      <c r="AX101" s="2739">
        <f t="shared" si="2"/>
        <v>0</v>
      </c>
      <c r="AY101" s="2739">
        <f t="shared" si="2"/>
        <v>0</v>
      </c>
      <c r="AZ101" s="2739">
        <f>IFERROR(AV101/AQ101,0)</f>
        <v>0</v>
      </c>
      <c r="BA101" s="2739">
        <f>IFERROR(AV101/AT101,0)</f>
        <v>0</v>
      </c>
      <c r="BB101" s="2739">
        <f>IFERROR(AV101/AU101,0)</f>
        <v>0</v>
      </c>
      <c r="BD101" s="2768"/>
      <c r="BE101" s="2768"/>
      <c r="BF101" s="2768"/>
      <c r="BG101" s="910"/>
      <c r="BH101" s="764"/>
      <c r="BI101" s="764"/>
      <c r="BJ101" s="764"/>
      <c r="BK101" s="764"/>
      <c r="BL101" s="764"/>
      <c r="BM101" s="764"/>
      <c r="BN101" s="764"/>
      <c r="BO101" s="764"/>
      <c r="BP101" s="764"/>
      <c r="BQ101" s="764"/>
      <c r="BR101" s="764"/>
      <c r="BS101" s="764"/>
      <c r="BT101" s="764"/>
      <c r="BU101" s="764"/>
      <c r="BV101" s="764"/>
      <c r="BW101" s="764"/>
      <c r="BX101" s="764"/>
      <c r="BY101" s="764"/>
      <c r="BZ101" s="764"/>
    </row>
    <row r="102" spans="1:78" s="749" customFormat="1" ht="18" customHeight="1" x14ac:dyDescent="0.25">
      <c r="A102" s="198"/>
      <c r="B102" s="198"/>
      <c r="C102" s="198"/>
      <c r="D102" s="198"/>
      <c r="E102" s="198"/>
      <c r="F102" s="764"/>
      <c r="G102" s="765"/>
      <c r="I102" s="3402" t="s">
        <v>4256</v>
      </c>
      <c r="J102" s="3402"/>
      <c r="K102" s="3402"/>
      <c r="L102" s="3402"/>
      <c r="M102" s="3402"/>
      <c r="N102" s="3402"/>
      <c r="O102" s="3402"/>
      <c r="P102" s="3402"/>
      <c r="Q102" s="3402"/>
      <c r="R102" s="3402"/>
      <c r="S102" s="3402"/>
      <c r="T102" s="3402"/>
      <c r="U102" s="3402"/>
      <c r="V102" s="3402"/>
      <c r="W102" s="3402"/>
      <c r="X102" s="3402"/>
      <c r="Y102" s="3402"/>
      <c r="Z102" s="766"/>
      <c r="AA102" s="764"/>
      <c r="AB102" s="764"/>
      <c r="AC102" s="909"/>
      <c r="AD102" s="496"/>
      <c r="AE102" s="496"/>
      <c r="AF102" s="496"/>
      <c r="AG102" s="277"/>
      <c r="AH102" s="2479" t="s">
        <v>330</v>
      </c>
      <c r="AI102" s="366"/>
      <c r="AJ102" s="2480">
        <f t="shared" si="0"/>
        <v>5370</v>
      </c>
      <c r="AK102" s="2480">
        <f t="shared" si="3"/>
        <v>5370</v>
      </c>
      <c r="AL102" s="366"/>
      <c r="AM102" s="2480">
        <f t="shared" si="1"/>
        <v>0</v>
      </c>
      <c r="AN102" s="2768"/>
      <c r="AO102" s="2768"/>
      <c r="AP102" s="366"/>
      <c r="AQ102" s="2768"/>
      <c r="AR102" s="2768"/>
      <c r="AT102" s="2768"/>
      <c r="AU102" s="2768"/>
      <c r="AV102" s="2768"/>
      <c r="AX102" s="2768"/>
      <c r="AY102" s="2768"/>
      <c r="AZ102" s="2768"/>
      <c r="BA102" s="2768"/>
      <c r="BB102" s="2768"/>
      <c r="BD102" s="2481">
        <f>('3a Staff Plan'!AA125*$N$3)+('3b Activity Plan'!AA169*$N$4)-'4 Sign-off'!I87</f>
        <v>5370</v>
      </c>
      <c r="BE102" s="2481">
        <f>('3a Staff Plan'!AB125*$N$3)+('3b Activity Plan'!AB169*$N$4)</f>
        <v>5370</v>
      </c>
      <c r="BF102" s="2768"/>
      <c r="BG102" s="910"/>
      <c r="BH102" s="764"/>
      <c r="BI102" s="764"/>
      <c r="BJ102" s="764"/>
      <c r="BK102" s="764"/>
      <c r="BL102" s="764"/>
      <c r="BM102" s="764"/>
      <c r="BN102" s="764"/>
      <c r="BO102" s="764"/>
      <c r="BP102" s="764"/>
      <c r="BQ102" s="764"/>
      <c r="BR102" s="764"/>
      <c r="BS102" s="764"/>
      <c r="BT102" s="764"/>
      <c r="BU102" s="764"/>
      <c r="BV102" s="764"/>
      <c r="BW102" s="764"/>
      <c r="BX102" s="764"/>
      <c r="BY102" s="764"/>
      <c r="BZ102" s="764"/>
    </row>
    <row r="103" spans="1:78" s="749" customFormat="1" ht="18" customHeight="1" x14ac:dyDescent="0.25">
      <c r="A103" s="3441" t="s">
        <v>1507</v>
      </c>
      <c r="B103" s="3441" t="s">
        <v>1508</v>
      </c>
      <c r="C103" s="3441" t="s">
        <v>1509</v>
      </c>
      <c r="D103" s="3441" t="s">
        <v>1510</v>
      </c>
      <c r="E103" s="198"/>
      <c r="F103" s="764"/>
      <c r="G103" s="765"/>
      <c r="H103" s="473"/>
      <c r="I103" s="3402"/>
      <c r="J103" s="3402"/>
      <c r="K103" s="3402"/>
      <c r="L103" s="3402"/>
      <c r="M103" s="3402"/>
      <c r="N103" s="3402"/>
      <c r="O103" s="3402"/>
      <c r="P103" s="3402"/>
      <c r="Q103" s="3402"/>
      <c r="R103" s="3402"/>
      <c r="S103" s="3402"/>
      <c r="T103" s="3402"/>
      <c r="U103" s="3402"/>
      <c r="V103" s="3402"/>
      <c r="W103" s="3402"/>
      <c r="X103" s="3402"/>
      <c r="Y103" s="3402"/>
      <c r="Z103" s="766"/>
      <c r="AA103" s="764"/>
      <c r="AB103" s="764"/>
      <c r="AC103" s="909"/>
      <c r="AD103" s="496"/>
      <c r="AE103" s="496"/>
      <c r="AF103" s="496"/>
      <c r="AG103" s="277"/>
      <c r="AH103" s="2479" t="s">
        <v>4242</v>
      </c>
      <c r="AI103" s="366"/>
      <c r="AJ103" s="2480">
        <f t="shared" si="0"/>
        <v>0</v>
      </c>
      <c r="AK103" s="2480">
        <f t="shared" si="3"/>
        <v>0</v>
      </c>
      <c r="AL103" s="366"/>
      <c r="AM103" s="2480">
        <f t="shared" si="1"/>
        <v>0</v>
      </c>
      <c r="AN103" s="2768"/>
      <c r="AO103" s="2768"/>
      <c r="AP103" s="366"/>
      <c r="AQ103" s="2481">
        <f>('3a Staff Plan'!R119*$N$3)+('3b Activity Plan'!R163*$N$4)</f>
        <v>0</v>
      </c>
      <c r="AR103" s="2768"/>
      <c r="AT103" s="2481">
        <f>('3a Staff Plan'!Z119*$N$3)+('3b Activity Plan'!Z163*$N$4)</f>
        <v>0</v>
      </c>
      <c r="AU103" s="2481">
        <f>('3a Staff Plan'!S119*$N$3)+('3b Activity Plan'!S163*$N$4)</f>
        <v>0</v>
      </c>
      <c r="AV103" s="2481">
        <f>('3a Staff Plan'!DP119*$N$3)+('3b Activity Plan'!CZ163*$N$4)</f>
        <v>0</v>
      </c>
      <c r="AX103" s="2768"/>
      <c r="AY103" s="2768"/>
      <c r="AZ103" s="2768"/>
      <c r="BA103" s="2768"/>
      <c r="BB103" s="2768"/>
      <c r="BD103" s="2481">
        <f>('3a Staff Plan'!DP120*$N$3*W10)+('3b Activity Plan'!CZ164*$N$4*W10)+'4 Sign-off'!I73</f>
        <v>0</v>
      </c>
      <c r="BE103" s="2481">
        <f>('3a Staff Plan'!S120*$N$3*W10)+('3a Staff Plan'!S121*$N$3*W10)+('3b Activity Plan'!S164*$N$4*W10)+('3b Activity Plan'!S165*$N$4*W10)+'4 Sign-off'!J73+'4 Sign-off'!J76</f>
        <v>0</v>
      </c>
      <c r="BF103" s="2768"/>
      <c r="BG103" s="910"/>
      <c r="BH103" s="1662"/>
      <c r="BI103" s="764"/>
      <c r="BJ103" s="764"/>
      <c r="BK103" s="764"/>
      <c r="BL103" s="764"/>
      <c r="BM103" s="764"/>
      <c r="BN103" s="764"/>
      <c r="BO103" s="764"/>
      <c r="BP103" s="764"/>
      <c r="BQ103" s="764"/>
      <c r="BR103" s="764"/>
      <c r="BS103" s="764"/>
      <c r="BT103" s="764"/>
      <c r="BU103" s="764"/>
      <c r="BV103" s="764"/>
      <c r="BW103" s="764"/>
      <c r="BX103" s="764"/>
      <c r="BY103" s="764"/>
      <c r="BZ103" s="764"/>
    </row>
    <row r="104" spans="1:78" ht="18" customHeight="1" x14ac:dyDescent="0.25">
      <c r="A104" s="3441"/>
      <c r="B104" s="3441"/>
      <c r="C104" s="3441"/>
      <c r="D104" s="3441"/>
      <c r="E104" s="198"/>
      <c r="F104" s="447"/>
      <c r="G104" s="468"/>
      <c r="H104" s="494"/>
      <c r="I104" s="3402"/>
      <c r="J104" s="3402"/>
      <c r="K104" s="3402"/>
      <c r="L104" s="3402"/>
      <c r="M104" s="3402"/>
      <c r="N104" s="3402"/>
      <c r="O104" s="3402"/>
      <c r="P104" s="3402"/>
      <c r="Q104" s="3402"/>
      <c r="R104" s="3402"/>
      <c r="S104" s="3402"/>
      <c r="T104" s="3402"/>
      <c r="U104" s="3402"/>
      <c r="V104" s="3402"/>
      <c r="W104" s="3402"/>
      <c r="X104" s="3402"/>
      <c r="Y104" s="3402"/>
      <c r="Z104" s="471"/>
      <c r="AA104" s="447"/>
      <c r="AB104" s="447"/>
      <c r="AC104" s="909"/>
      <c r="AD104" s="496"/>
      <c r="AE104" s="496"/>
      <c r="AF104" s="496"/>
      <c r="AG104" s="277"/>
      <c r="AH104" s="2479" t="s">
        <v>4293</v>
      </c>
      <c r="AI104" s="366"/>
      <c r="AJ104" s="2480">
        <f t="shared" si="0"/>
        <v>0</v>
      </c>
      <c r="AK104" s="2480">
        <f t="shared" si="3"/>
        <v>0</v>
      </c>
      <c r="AL104" s="366"/>
      <c r="AM104" s="2480">
        <f t="shared" si="1"/>
        <v>0</v>
      </c>
      <c r="AN104" s="2768"/>
      <c r="AO104" s="2768"/>
      <c r="AP104" s="366"/>
      <c r="AQ104" s="2768"/>
      <c r="AR104" s="2768"/>
      <c r="AS104" s="16"/>
      <c r="AT104" s="2768"/>
      <c r="AU104" s="2768"/>
      <c r="AV104" s="2768"/>
      <c r="AX104" s="2768"/>
      <c r="AY104" s="2768"/>
      <c r="AZ104" s="2768"/>
      <c r="BA104" s="2768"/>
      <c r="BB104" s="2768"/>
      <c r="BD104" s="2481">
        <f>'2 Staff List'!L27+'2 Staff List'!L28+'2 Staff List'!L30+'4 Sign-off'!I72+('3a Staff Plan'!W126*N3)+('3b Activity Plan'!W170*N4)+'4 Sign-off'!I83+'4 Sign-off'!I87+'4 Sign-off'!I85</f>
        <v>0</v>
      </c>
      <c r="BE104" s="2481">
        <f>'4 Sign-off'!J78+'4 Sign-off'!J85</f>
        <v>0</v>
      </c>
      <c r="BF104" s="2768"/>
      <c r="BG104" s="910"/>
      <c r="BH104" s="764"/>
      <c r="BI104" s="764"/>
      <c r="BJ104" s="447"/>
      <c r="BK104" s="447"/>
      <c r="BL104" s="447"/>
      <c r="BM104" s="447"/>
      <c r="BN104" s="447"/>
      <c r="BO104" s="447"/>
      <c r="BP104" s="447"/>
      <c r="BQ104" s="447"/>
      <c r="BR104" s="447"/>
      <c r="BS104" s="447"/>
      <c r="BT104" s="764"/>
      <c r="BU104" s="764"/>
      <c r="BV104" s="764"/>
      <c r="BW104" s="764"/>
      <c r="BX104" s="764"/>
      <c r="BY104" s="764"/>
      <c r="BZ104" s="764"/>
    </row>
    <row r="105" spans="1:78" ht="26.4" customHeight="1" x14ac:dyDescent="0.25">
      <c r="A105" s="3441"/>
      <c r="B105" s="3441"/>
      <c r="C105" s="3441"/>
      <c r="D105" s="3441"/>
      <c r="E105" s="198"/>
      <c r="F105" s="447"/>
      <c r="G105" s="468"/>
      <c r="H105" s="480"/>
      <c r="I105" s="563" t="s">
        <v>3334</v>
      </c>
      <c r="J105" s="495"/>
      <c r="K105" s="197"/>
      <c r="M105" s="563" t="s">
        <v>3335</v>
      </c>
      <c r="N105" s="197"/>
      <c r="O105" s="197"/>
      <c r="Q105" s="563"/>
      <c r="R105" s="563"/>
      <c r="S105" s="563" t="s">
        <v>3336</v>
      </c>
      <c r="T105" s="563"/>
      <c r="U105" s="197"/>
      <c r="V105" s="197"/>
      <c r="W105" s="749"/>
      <c r="X105" s="749"/>
      <c r="Y105" s="451"/>
      <c r="Z105" s="471"/>
      <c r="AA105" s="447"/>
      <c r="AB105" s="447"/>
      <c r="AC105" s="909"/>
      <c r="AD105" s="1183" t="s">
        <v>114</v>
      </c>
      <c r="AE105" s="1183" t="s">
        <v>113</v>
      </c>
      <c r="AF105" s="1183" t="s">
        <v>112</v>
      </c>
      <c r="AG105" s="493"/>
      <c r="AH105" s="1182" t="s">
        <v>3382</v>
      </c>
      <c r="AO105" s="2766"/>
      <c r="AS105" s="16"/>
      <c r="BG105" s="910"/>
      <c r="BH105" s="764"/>
      <c r="BI105" s="764"/>
      <c r="BJ105" s="447"/>
      <c r="BK105" s="447"/>
      <c r="BL105" s="447"/>
      <c r="BM105" s="447"/>
      <c r="BN105" s="447"/>
      <c r="BO105" s="447"/>
      <c r="BP105" s="447"/>
      <c r="BQ105" s="447"/>
      <c r="BR105" s="447"/>
      <c r="BS105" s="447"/>
      <c r="BT105" s="764"/>
      <c r="BU105" s="764"/>
      <c r="BV105" s="764"/>
      <c r="BW105" s="764"/>
      <c r="BX105" s="764"/>
      <c r="BY105" s="764"/>
      <c r="BZ105" s="764"/>
    </row>
    <row r="106" spans="1:78" s="272" customFormat="1" ht="18" customHeight="1" x14ac:dyDescent="0.25">
      <c r="A106" s="748">
        <f>IFERROR(MATCH(I106,'PU List'!$O$4:$X$4,0),0)</f>
        <v>4</v>
      </c>
      <c r="B106" s="748">
        <f>IFERROR(INDEX('PU List'!$O$5:$X$5,A106),0)</f>
        <v>10</v>
      </c>
      <c r="C106" s="748">
        <f>IFERROR(MATCH(M106,'PU List'!$C$33:$C$397,0),0)</f>
        <v>239</v>
      </c>
      <c r="D106" s="748">
        <f>COUNTIF('PU List'!$C$33:$C$397,M106)</f>
        <v>6</v>
      </c>
      <c r="E106" s="198"/>
      <c r="F106" s="447"/>
      <c r="G106" s="468"/>
      <c r="H106" s="480"/>
      <c r="I106" s="3385" t="s">
        <v>3297</v>
      </c>
      <c r="J106" s="3386"/>
      <c r="K106" s="1252" t="str">
        <f>HYPERLINK("#"&amp;ADDRESS(ROW(),COLUMN()-1),CHAR(128))</f>
        <v>€</v>
      </c>
      <c r="L106" s="2112" t="s">
        <v>846</v>
      </c>
      <c r="M106" s="3387" t="s">
        <v>3507</v>
      </c>
      <c r="N106" s="3388"/>
      <c r="O106" s="3388"/>
      <c r="P106" s="3389"/>
      <c r="Q106" s="453" t="str">
        <f>HYPERLINK("#"&amp;ADDRESS(ROW(),COLUMN()-1),CHAR(128))</f>
        <v>€</v>
      </c>
      <c r="R106" s="2112" t="s">
        <v>846</v>
      </c>
      <c r="S106" s="3382" t="s">
        <v>3071</v>
      </c>
      <c r="T106" s="3383"/>
      <c r="U106" s="3383"/>
      <c r="V106" s="3383"/>
      <c r="W106" s="3383"/>
      <c r="X106" s="3384"/>
      <c r="Y106" s="1252" t="str">
        <f>HYPERLINK("#"&amp;ADDRESS(ROW(),COLUMN()-1),CHAR(128))</f>
        <v>€</v>
      </c>
      <c r="Z106" s="471"/>
      <c r="AA106" s="447"/>
      <c r="AB106" s="447"/>
      <c r="AC106" s="909"/>
      <c r="AD106" s="496"/>
      <c r="AE106" s="496"/>
      <c r="AF106" s="496"/>
      <c r="AG106" s="493"/>
      <c r="AH106" s="904" t="str">
        <f t="shared" ref="AH106:AH110" si="4">S106</f>
        <v>035030 - Strategic Consulting</v>
      </c>
      <c r="AI106" s="277"/>
      <c r="AJ106" s="2778">
        <f>AV106+BD106</f>
        <v>0</v>
      </c>
      <c r="AK106" s="2778">
        <f>AU106+BE106+BF106</f>
        <v>0</v>
      </c>
      <c r="AL106" s="2779"/>
      <c r="AM106" s="2778">
        <f>AJ106-AK106</f>
        <v>0</v>
      </c>
      <c r="AN106" s="2783">
        <f>IFERROR(AM106/AJ106,0)</f>
        <v>0</v>
      </c>
      <c r="AO106" s="2785">
        <f>IFERROR(AM106/AQ106,0)</f>
        <v>0</v>
      </c>
      <c r="AP106" s="277"/>
      <c r="AQ106" s="2781">
        <f>IFERROR(SUMIFS('2 Staff List'!$CU$64:$CU$114,'2 Staff List'!$EG$64:$EG$114,$AH106),0)</f>
        <v>0</v>
      </c>
      <c r="AR106" s="2781">
        <f>IFERROR(SUMIFS('2 Staff List'!$BA$64:$BA$114,'2 Staff List'!$EG$64:$EG$114,$AH106),0)-AQ106</f>
        <v>0</v>
      </c>
      <c r="AS106" s="2782"/>
      <c r="AT106" s="2778">
        <f>SUMIFS('2 Staff List'!$DW$64:$DW$114,'2 Staff List'!$EG$64:$EG$114,$AH106)</f>
        <v>0</v>
      </c>
      <c r="AU106" s="2778">
        <f>SUMIFS('2 Staff List'!$DV$64:$DV$114,'2 Staff List'!$EG$64:$EG$114,$AH106)</f>
        <v>0</v>
      </c>
      <c r="AV106" s="2778">
        <f>SUMIFS('2 Staff List'!$DU$64:$DU$114,'2 Staff List'!$EG$64:$EG$114,$AH106)</f>
        <v>0</v>
      </c>
      <c r="AW106" s="749"/>
      <c r="AX106" s="2785">
        <f>IFERROR(AT106/(AR106+AQ106),0)</f>
        <v>0</v>
      </c>
      <c r="AY106" s="2785">
        <f>IFERROR(AU106/($AR106+$AQ106),0)</f>
        <v>0</v>
      </c>
      <c r="AZ106" s="2785">
        <f>IFERROR(AV106/AQ106,0)</f>
        <v>0</v>
      </c>
      <c r="BA106" s="2785">
        <f>IFERROR(AV106/AT106,0)</f>
        <v>0</v>
      </c>
      <c r="BB106" s="2785">
        <f>IFERROR(AV106/AU106,0)</f>
        <v>0</v>
      </c>
      <c r="BC106" s="749"/>
      <c r="BD106" s="2768"/>
      <c r="BE106" s="2768"/>
      <c r="BF106" s="1186">
        <f>SUMIFS('2 Staff List'!$EM$64:$EM$114,'2 Staff List'!$EG$64:$EG$114,$AH106)</f>
        <v>0</v>
      </c>
      <c r="BG106" s="910"/>
      <c r="BH106" s="764"/>
      <c r="BI106" s="764"/>
      <c r="BJ106" s="447"/>
      <c r="BK106" s="447"/>
      <c r="BL106" s="447"/>
      <c r="BM106" s="447"/>
      <c r="BN106" s="447"/>
      <c r="BO106" s="447"/>
      <c r="BP106" s="447"/>
      <c r="BQ106" s="447"/>
      <c r="BR106" s="447"/>
      <c r="BS106" s="447"/>
      <c r="BT106" s="764"/>
      <c r="BU106" s="764"/>
      <c r="BV106" s="764"/>
      <c r="BW106" s="764"/>
      <c r="BX106" s="764"/>
      <c r="BY106" s="764"/>
      <c r="BZ106" s="764"/>
    </row>
    <row r="107" spans="1:78" s="749" customFormat="1" ht="18" customHeight="1" x14ac:dyDescent="0.25">
      <c r="A107" s="748">
        <f>IFERROR(MATCH(I107,'PU List'!$O$4:$X$4,0),0)</f>
        <v>0</v>
      </c>
      <c r="B107" s="748">
        <f>IFERROR(INDEX('PU List'!$O$5:$X$5,A107),0)</f>
        <v>0</v>
      </c>
      <c r="C107" s="748">
        <f>IFERROR(MATCH(M107,'PU List'!$C$33:$C$397,0),0)</f>
        <v>0</v>
      </c>
      <c r="D107" s="748">
        <f>COUNTIF('PU List'!$C$33:$C$397,M107)</f>
        <v>0</v>
      </c>
      <c r="E107" s="198"/>
      <c r="F107" s="764"/>
      <c r="G107" s="765"/>
      <c r="H107" s="480"/>
      <c r="I107" s="3385"/>
      <c r="J107" s="3386"/>
      <c r="K107" s="453" t="str">
        <f>HYPERLINK("#"&amp;ADDRESS(ROW(),COLUMN()-1),CHAR(128))</f>
        <v>€</v>
      </c>
      <c r="L107" s="2112" t="s">
        <v>846</v>
      </c>
      <c r="M107" s="3387"/>
      <c r="N107" s="3388"/>
      <c r="O107" s="3388"/>
      <c r="P107" s="3389"/>
      <c r="Q107" s="453" t="str">
        <f>HYPERLINK("#"&amp;ADDRESS(ROW(),COLUMN()-1),CHAR(128))</f>
        <v>€</v>
      </c>
      <c r="R107" s="2112" t="s">
        <v>846</v>
      </c>
      <c r="S107" s="3382"/>
      <c r="T107" s="3383"/>
      <c r="U107" s="3383"/>
      <c r="V107" s="3383"/>
      <c r="W107" s="3383"/>
      <c r="X107" s="3384"/>
      <c r="Y107" s="453" t="str">
        <f>HYPERLINK("#"&amp;ADDRESS(ROW(),COLUMN()-1),CHAR(128))</f>
        <v>€</v>
      </c>
      <c r="Z107" s="766"/>
      <c r="AA107" s="764"/>
      <c r="AB107" s="764"/>
      <c r="AC107" s="909"/>
      <c r="AD107" s="496"/>
      <c r="AE107" s="496"/>
      <c r="AF107" s="496"/>
      <c r="AG107" s="493"/>
      <c r="AH107" s="904">
        <f t="shared" si="4"/>
        <v>0</v>
      </c>
      <c r="AI107" s="277"/>
      <c r="AJ107" s="2778">
        <f>AV107+BD107</f>
        <v>0</v>
      </c>
      <c r="AK107" s="2778">
        <f t="shared" ref="AK107:AK110" si="5">AU107+BE107+BF107</f>
        <v>0</v>
      </c>
      <c r="AL107" s="2779"/>
      <c r="AM107" s="2778">
        <f>AJ107-AK107</f>
        <v>0</v>
      </c>
      <c r="AN107" s="2783">
        <f>IFERROR(AM107/AJ107,0)</f>
        <v>0</v>
      </c>
      <c r="AO107" s="2785">
        <f>IFERROR(AM107/AQ107,0)</f>
        <v>0</v>
      </c>
      <c r="AP107" s="277"/>
      <c r="AQ107" s="2781">
        <f>IFERROR(SUMIFS('2 Staff List'!$CU$64:$CU$114,'2 Staff List'!$EG$64:$EG$114,$AH107),0)</f>
        <v>0</v>
      </c>
      <c r="AR107" s="2781">
        <f>IFERROR(SUMIFS('2 Staff List'!$BA$64:$BA$114,'2 Staff List'!$EG$64:$EG$114,$AH107),0)-AQ107</f>
        <v>0</v>
      </c>
      <c r="AS107" s="2782"/>
      <c r="AT107" s="2778">
        <f>SUMIFS('2 Staff List'!$DW$64:$DW$114,'2 Staff List'!$EG$64:$EG$114,$AH107)</f>
        <v>0</v>
      </c>
      <c r="AU107" s="2778">
        <f>SUMIFS('2 Staff List'!$DV$64:$DV$114,'2 Staff List'!$EG$64:$EG$114,$AH107)</f>
        <v>0</v>
      </c>
      <c r="AV107" s="2778">
        <f>SUMIFS('2 Staff List'!$DU$64:$DU$114,'2 Staff List'!$EG$64:$EG$114,$AH107)</f>
        <v>0</v>
      </c>
      <c r="AX107" s="2785">
        <f>IFERROR(AT107/(AR107+AQ107),0)</f>
        <v>0</v>
      </c>
      <c r="AY107" s="2785">
        <f>IFERROR(AU107/($AR107+$AQ107),0)</f>
        <v>0</v>
      </c>
      <c r="AZ107" s="2785">
        <f>IFERROR(AV107/AQ107,0)</f>
        <v>0</v>
      </c>
      <c r="BA107" s="2785">
        <f>IFERROR(AV107/AT107,0)</f>
        <v>0</v>
      </c>
      <c r="BB107" s="2785">
        <f>IFERROR(AV107/AU107,0)</f>
        <v>0</v>
      </c>
      <c r="BD107" s="2768"/>
      <c r="BE107" s="2768"/>
      <c r="BF107" s="1186">
        <f>SUMIFS('2 Staff List'!$EM$64:$EM$114,'2 Staff List'!$EG$64:$EG$114,$AH107)</f>
        <v>0</v>
      </c>
      <c r="BG107" s="910"/>
      <c r="BH107" s="764"/>
      <c r="BI107" s="764"/>
      <c r="BJ107" s="764"/>
      <c r="BK107" s="764"/>
      <c r="BL107" s="764"/>
      <c r="BM107" s="764"/>
      <c r="BN107" s="764"/>
      <c r="BO107" s="764"/>
      <c r="BP107" s="764"/>
      <c r="BQ107" s="764"/>
      <c r="BR107" s="764"/>
      <c r="BS107" s="764"/>
      <c r="BT107" s="764"/>
      <c r="BU107" s="764"/>
      <c r="BV107" s="764"/>
      <c r="BW107" s="764"/>
      <c r="BX107" s="764"/>
      <c r="BY107" s="764"/>
      <c r="BZ107" s="764"/>
    </row>
    <row r="108" spans="1:78" ht="18" customHeight="1" x14ac:dyDescent="0.25">
      <c r="A108" s="748">
        <f>IFERROR(MATCH(I108,'PU List'!$O$4:$X$4,0),0)</f>
        <v>0</v>
      </c>
      <c r="B108" s="748">
        <f>IFERROR(INDEX('PU List'!$O$5:$X$5,A108),0)</f>
        <v>0</v>
      </c>
      <c r="C108" s="748">
        <f>IFERROR(MATCH(M108,'PU List'!$C$33:$C$397,0),0)</f>
        <v>0</v>
      </c>
      <c r="D108" s="748">
        <f>COUNTIF('PU List'!$C$33:$C$397,M108)</f>
        <v>0</v>
      </c>
      <c r="E108" s="198"/>
      <c r="F108" s="447"/>
      <c r="G108" s="468"/>
      <c r="H108" s="480"/>
      <c r="I108" s="3385"/>
      <c r="J108" s="3386"/>
      <c r="K108" s="453" t="str">
        <f>HYPERLINK("#"&amp;ADDRESS(ROW(),COLUMN()-1),CHAR(128))</f>
        <v>€</v>
      </c>
      <c r="L108" s="2112" t="s">
        <v>846</v>
      </c>
      <c r="M108" s="3387"/>
      <c r="N108" s="3388"/>
      <c r="O108" s="3388"/>
      <c r="P108" s="3389"/>
      <c r="Q108" s="453" t="str">
        <f>HYPERLINK("#"&amp;ADDRESS(ROW(),COLUMN()-1),CHAR(128))</f>
        <v>€</v>
      </c>
      <c r="R108" s="2112" t="s">
        <v>846</v>
      </c>
      <c r="S108" s="3382"/>
      <c r="T108" s="3383"/>
      <c r="U108" s="3383"/>
      <c r="V108" s="3383"/>
      <c r="W108" s="3383"/>
      <c r="X108" s="3384"/>
      <c r="Y108" s="453" t="str">
        <f>HYPERLINK("#"&amp;ADDRESS(ROW(),COLUMN()-1),CHAR(128))</f>
        <v>€</v>
      </c>
      <c r="Z108" s="471"/>
      <c r="AA108" s="447"/>
      <c r="AB108" s="447"/>
      <c r="AC108" s="909"/>
      <c r="AD108" s="496"/>
      <c r="AE108" s="496"/>
      <c r="AF108" s="496"/>
      <c r="AG108" s="493"/>
      <c r="AH108" s="904">
        <f t="shared" si="4"/>
        <v>0</v>
      </c>
      <c r="AI108" s="277"/>
      <c r="AJ108" s="2778">
        <f>AV108+BD108</f>
        <v>0</v>
      </c>
      <c r="AK108" s="2778">
        <f t="shared" si="5"/>
        <v>0</v>
      </c>
      <c r="AL108" s="2779"/>
      <c r="AM108" s="2778">
        <f>AJ108-AK108</f>
        <v>0</v>
      </c>
      <c r="AN108" s="2783">
        <f>IFERROR(AM108/AJ108,0)</f>
        <v>0</v>
      </c>
      <c r="AO108" s="2785">
        <f>IFERROR(AM108/AQ108,0)</f>
        <v>0</v>
      </c>
      <c r="AP108" s="277"/>
      <c r="AQ108" s="2781">
        <f>IFERROR(SUMIFS('2 Staff List'!$CU$64:$CU$114,'2 Staff List'!$EG$64:$EG$114,$AH108),0)</f>
        <v>0</v>
      </c>
      <c r="AR108" s="2781">
        <f>IFERROR(SUMIFS('2 Staff List'!$BA$64:$BA$114,'2 Staff List'!$EG$64:$EG$114,$AH108),0)-AQ108</f>
        <v>0</v>
      </c>
      <c r="AS108" s="2782"/>
      <c r="AT108" s="2778">
        <f>SUMIFS('2 Staff List'!$DW$64:$DW$114,'2 Staff List'!$EG$64:$EG$114,$AH108)</f>
        <v>0</v>
      </c>
      <c r="AU108" s="2778">
        <f>SUMIFS('2 Staff List'!$DV$64:$DV$114,'2 Staff List'!$EG$64:$EG$114,$AH108)</f>
        <v>0</v>
      </c>
      <c r="AV108" s="2778">
        <f>SUMIFS('2 Staff List'!$DU$64:$DU$114,'2 Staff List'!$EG$64:$EG$114,$AH108)</f>
        <v>0</v>
      </c>
      <c r="AX108" s="2785">
        <f>IFERROR(AT108/(AR108+AQ108),0)</f>
        <v>0</v>
      </c>
      <c r="AY108" s="2785">
        <f>IFERROR(AU108/($AR108+$AQ108),0)</f>
        <v>0</v>
      </c>
      <c r="AZ108" s="2785">
        <f>IFERROR(AV108/AQ108,0)</f>
        <v>0</v>
      </c>
      <c r="BA108" s="2785">
        <f>IFERROR(AV108/AT108,0)</f>
        <v>0</v>
      </c>
      <c r="BB108" s="2785">
        <f>IFERROR(AV108/AU108,0)</f>
        <v>0</v>
      </c>
      <c r="BD108" s="2768"/>
      <c r="BE108" s="2768"/>
      <c r="BF108" s="1186">
        <f>SUMIFS('2 Staff List'!$EM$64:$EM$114,'2 Staff List'!$EG$64:$EG$114,$AH108)</f>
        <v>0</v>
      </c>
      <c r="BG108" s="910"/>
      <c r="BH108" s="764"/>
      <c r="BI108" s="764"/>
      <c r="BJ108" s="447"/>
      <c r="BK108" s="447"/>
      <c r="BL108" s="447"/>
      <c r="BM108" s="447"/>
      <c r="BN108" s="447"/>
      <c r="BO108" s="447"/>
      <c r="BP108" s="447"/>
      <c r="BQ108" s="447"/>
      <c r="BR108" s="447"/>
      <c r="BS108" s="447"/>
      <c r="BT108" s="764"/>
      <c r="BU108" s="764"/>
      <c r="BV108" s="764"/>
      <c r="BW108" s="764"/>
      <c r="BX108" s="764"/>
      <c r="BY108" s="764"/>
      <c r="BZ108" s="764"/>
    </row>
    <row r="109" spans="1:78" ht="18" customHeight="1" x14ac:dyDescent="0.25">
      <c r="A109" s="748">
        <f>IFERROR(MATCH(I109,'PU List'!$O$4:$X$4,0),0)</f>
        <v>0</v>
      </c>
      <c r="B109" s="748">
        <f>IFERROR(INDEX('PU List'!$O$5:$X$5,A109),0)</f>
        <v>0</v>
      </c>
      <c r="C109" s="748">
        <f>IFERROR(MATCH(M109,'PU List'!$C$33:$C$397,0),0)</f>
        <v>0</v>
      </c>
      <c r="D109" s="748">
        <f>COUNTIF('PU List'!$C$33:$C$397,M109)</f>
        <v>0</v>
      </c>
      <c r="E109" s="198"/>
      <c r="F109" s="447"/>
      <c r="G109" s="468"/>
      <c r="H109" s="480"/>
      <c r="I109" s="3385"/>
      <c r="J109" s="3386"/>
      <c r="K109" s="453" t="str">
        <f t="shared" ref="K109:K110" si="6">HYPERLINK("#"&amp;ADDRESS(ROW(),COLUMN()-1),CHAR(128))</f>
        <v>€</v>
      </c>
      <c r="L109" s="2112" t="s">
        <v>846</v>
      </c>
      <c r="M109" s="3387"/>
      <c r="N109" s="3388"/>
      <c r="O109" s="3388"/>
      <c r="P109" s="3389"/>
      <c r="Q109" s="453" t="str">
        <f t="shared" ref="Q109:Q110" si="7">HYPERLINK("#"&amp;ADDRESS(ROW(),COLUMN()-1),CHAR(128))</f>
        <v>€</v>
      </c>
      <c r="R109" s="2112" t="s">
        <v>846</v>
      </c>
      <c r="S109" s="3382"/>
      <c r="T109" s="3383"/>
      <c r="U109" s="3383"/>
      <c r="V109" s="3383"/>
      <c r="W109" s="3383"/>
      <c r="X109" s="3384"/>
      <c r="Y109" s="453" t="str">
        <f t="shared" ref="Y109:Y110" si="8">HYPERLINK("#"&amp;ADDRESS(ROW(),COLUMN()-1),CHAR(128))</f>
        <v>€</v>
      </c>
      <c r="Z109" s="471"/>
      <c r="AA109" s="447"/>
      <c r="AB109" s="447"/>
      <c r="AC109" s="909"/>
      <c r="AD109" s="496"/>
      <c r="AE109" s="496"/>
      <c r="AF109" s="496"/>
      <c r="AG109" s="493"/>
      <c r="AH109" s="904">
        <f t="shared" si="4"/>
        <v>0</v>
      </c>
      <c r="AI109" s="277"/>
      <c r="AJ109" s="2778">
        <f>AV109+BD109</f>
        <v>0</v>
      </c>
      <c r="AK109" s="2778">
        <f t="shared" si="5"/>
        <v>0</v>
      </c>
      <c r="AL109" s="2779"/>
      <c r="AM109" s="2778">
        <f>AJ109-AK109</f>
        <v>0</v>
      </c>
      <c r="AN109" s="2783">
        <f>IFERROR(AM109/AJ109,0)</f>
        <v>0</v>
      </c>
      <c r="AO109" s="2785">
        <f>IFERROR(AM109/AQ109,0)</f>
        <v>0</v>
      </c>
      <c r="AP109" s="277"/>
      <c r="AQ109" s="2781">
        <f>IFERROR(SUMIFS('2 Staff List'!$CU$64:$CU$114,'2 Staff List'!$EG$64:$EG$114,$AH109),0)</f>
        <v>0</v>
      </c>
      <c r="AR109" s="2781">
        <f>IFERROR(SUMIFS('2 Staff List'!$BA$64:$BA$114,'2 Staff List'!$EG$64:$EG$114,$AH109),0)-AQ109</f>
        <v>0</v>
      </c>
      <c r="AS109" s="2782"/>
      <c r="AT109" s="2778">
        <f>SUMIFS('2 Staff List'!$DW$64:$DW$114,'2 Staff List'!$EG$64:$EG$114,$AH109)</f>
        <v>0</v>
      </c>
      <c r="AU109" s="2778">
        <f>SUMIFS('2 Staff List'!$DV$64:$DV$114,'2 Staff List'!$EG$64:$EG$114,$AH109)</f>
        <v>0</v>
      </c>
      <c r="AV109" s="2778">
        <f>SUMIFS('2 Staff List'!$DU$64:$DU$114,'2 Staff List'!$EG$64:$EG$114,$AH109)</f>
        <v>0</v>
      </c>
      <c r="AX109" s="2785">
        <f>IFERROR(AT109/(AR109+AQ109),0)</f>
        <v>0</v>
      </c>
      <c r="AY109" s="2785">
        <f>IFERROR(AU109/($AR109+$AQ109),0)</f>
        <v>0</v>
      </c>
      <c r="AZ109" s="2785">
        <f>IFERROR(AV109/AQ109,0)</f>
        <v>0</v>
      </c>
      <c r="BA109" s="2785">
        <f>IFERROR(AV109/AT109,0)</f>
        <v>0</v>
      </c>
      <c r="BB109" s="2785">
        <f>IFERROR(AV109/AU109,0)</f>
        <v>0</v>
      </c>
      <c r="BD109" s="2768"/>
      <c r="BE109" s="2768"/>
      <c r="BF109" s="1186">
        <f>SUMIFS('2 Staff List'!$EM$64:$EM$114,'2 Staff List'!$EG$64:$EG$114,$AH109)</f>
        <v>0</v>
      </c>
      <c r="BG109" s="910"/>
      <c r="BH109" s="764"/>
      <c r="BI109" s="764"/>
      <c r="BJ109" s="447"/>
      <c r="BK109" s="447"/>
      <c r="BL109" s="447"/>
      <c r="BM109" s="447"/>
      <c r="BN109" s="447"/>
      <c r="BO109" s="447"/>
      <c r="BP109" s="447"/>
      <c r="BQ109" s="447"/>
      <c r="BR109" s="447"/>
      <c r="BS109" s="447"/>
      <c r="BT109" s="764"/>
      <c r="BU109" s="764"/>
      <c r="BV109" s="764"/>
      <c r="BW109" s="764"/>
      <c r="BX109" s="764"/>
      <c r="BY109" s="764"/>
      <c r="BZ109" s="764"/>
    </row>
    <row r="110" spans="1:78" ht="18" customHeight="1" x14ac:dyDescent="0.25">
      <c r="A110" s="748">
        <f>IFERROR(MATCH(I110,'PU List'!$O$4:$X$4,0),0)</f>
        <v>0</v>
      </c>
      <c r="B110" s="748">
        <f>IFERROR(INDEX('PU List'!$O$5:$X$5,A110),0)</f>
        <v>0</v>
      </c>
      <c r="C110" s="748">
        <f>IFERROR(MATCH(M110,'PU List'!$C$33:$C$397,0),0)</f>
        <v>0</v>
      </c>
      <c r="D110" s="748">
        <f>COUNTIF('PU List'!$C$33:$C$397,M110)</f>
        <v>0</v>
      </c>
      <c r="E110" s="198"/>
      <c r="F110" s="447"/>
      <c r="G110" s="468"/>
      <c r="H110" s="480"/>
      <c r="I110" s="3385"/>
      <c r="J110" s="3386"/>
      <c r="K110" s="453" t="str">
        <f t="shared" si="6"/>
        <v>€</v>
      </c>
      <c r="L110" s="2112" t="s">
        <v>846</v>
      </c>
      <c r="M110" s="3387"/>
      <c r="N110" s="3388"/>
      <c r="O110" s="3388"/>
      <c r="P110" s="3389"/>
      <c r="Q110" s="453" t="str">
        <f t="shared" si="7"/>
        <v>€</v>
      </c>
      <c r="R110" s="2112" t="s">
        <v>846</v>
      </c>
      <c r="S110" s="3382"/>
      <c r="T110" s="3383"/>
      <c r="U110" s="3383"/>
      <c r="V110" s="3383"/>
      <c r="W110" s="3383"/>
      <c r="X110" s="3384"/>
      <c r="Y110" s="453" t="str">
        <f t="shared" si="8"/>
        <v>€</v>
      </c>
      <c r="Z110" s="471"/>
      <c r="AA110" s="447"/>
      <c r="AB110" s="447"/>
      <c r="AC110" s="909"/>
      <c r="AD110" s="496"/>
      <c r="AE110" s="496"/>
      <c r="AF110" s="496"/>
      <c r="AG110" s="493"/>
      <c r="AH110" s="904">
        <f t="shared" si="4"/>
        <v>0</v>
      </c>
      <c r="AI110" s="277"/>
      <c r="AJ110" s="2778">
        <f>AV110+BD110</f>
        <v>0</v>
      </c>
      <c r="AK110" s="2778">
        <f t="shared" si="5"/>
        <v>0</v>
      </c>
      <c r="AL110" s="2779"/>
      <c r="AM110" s="2778">
        <f>AJ110-AK110</f>
        <v>0</v>
      </c>
      <c r="AN110" s="2783">
        <f>IFERROR(AM110/AJ110,0)</f>
        <v>0</v>
      </c>
      <c r="AO110" s="2785">
        <f>IFERROR(AM110/AQ110,0)</f>
        <v>0</v>
      </c>
      <c r="AP110" s="277"/>
      <c r="AQ110" s="2781">
        <f>IFERROR(SUMIFS('2 Staff List'!$CU$64:$CU$114,'2 Staff List'!$EG$64:$EG$114,$AH110),0)</f>
        <v>0</v>
      </c>
      <c r="AR110" s="2781">
        <f>IFERROR(SUMIFS('2 Staff List'!$BA$64:$BA$114,'2 Staff List'!$EG$64:$EG$114,$AH110),0)-AQ110</f>
        <v>0</v>
      </c>
      <c r="AS110" s="2782"/>
      <c r="AT110" s="2778">
        <f>SUMIFS('2 Staff List'!$DW$64:$DW$114,'2 Staff List'!$EG$64:$EG$114,$AH110)</f>
        <v>0</v>
      </c>
      <c r="AU110" s="2778">
        <f>SUMIFS('2 Staff List'!$DV$64:$DV$114,'2 Staff List'!$EG$64:$EG$114,$AH110)</f>
        <v>0</v>
      </c>
      <c r="AV110" s="2778">
        <f>SUMIFS('2 Staff List'!$DU$64:$DU$114,'2 Staff List'!$EG$64:$EG$114,$AH110)</f>
        <v>0</v>
      </c>
      <c r="AX110" s="2785">
        <f>IFERROR(AT110/(AR110+AQ110),0)</f>
        <v>0</v>
      </c>
      <c r="AY110" s="2785">
        <f>IFERROR(AU110/($AR110+$AQ110),0)</f>
        <v>0</v>
      </c>
      <c r="AZ110" s="2785">
        <f>IFERROR(AV110/AQ110,0)</f>
        <v>0</v>
      </c>
      <c r="BA110" s="2785">
        <f>IFERROR(AV110/AT110,0)</f>
        <v>0</v>
      </c>
      <c r="BB110" s="2785">
        <f>IFERROR(AV110/AU110,0)</f>
        <v>0</v>
      </c>
      <c r="BD110" s="2768"/>
      <c r="BE110" s="2768"/>
      <c r="BF110" s="1186">
        <f>SUMIFS('2 Staff List'!$EM$64:$EM$114,'2 Staff List'!$EG$64:$EG$114,$AH110)</f>
        <v>0</v>
      </c>
      <c r="BG110" s="910"/>
      <c r="BH110" s="764"/>
      <c r="BI110" s="764"/>
      <c r="BJ110" s="447"/>
      <c r="BK110" s="447"/>
      <c r="BL110" s="447"/>
      <c r="BM110" s="447"/>
      <c r="BN110" s="447"/>
      <c r="BO110" s="447"/>
      <c r="BP110" s="447"/>
      <c r="BQ110" s="447"/>
      <c r="BR110" s="447"/>
      <c r="BS110" s="447"/>
      <c r="BT110" s="764"/>
      <c r="BU110" s="764"/>
      <c r="BV110" s="764"/>
      <c r="BW110" s="764"/>
      <c r="BX110" s="764"/>
      <c r="BY110" s="764"/>
      <c r="BZ110" s="764"/>
    </row>
    <row r="111" spans="1:78" s="272" customFormat="1" ht="13.5" customHeight="1" x14ac:dyDescent="0.25">
      <c r="A111" s="198"/>
      <c r="B111" s="198"/>
      <c r="C111" s="198"/>
      <c r="D111" s="198"/>
      <c r="E111" s="198"/>
      <c r="F111" s="447"/>
      <c r="G111" s="468"/>
      <c r="H111" s="480"/>
      <c r="I111" s="901" t="s">
        <v>2898</v>
      </c>
      <c r="J111" s="899"/>
      <c r="K111" s="899"/>
      <c r="L111" s="899"/>
      <c r="M111" s="899"/>
      <c r="N111" s="899"/>
      <c r="O111" s="899"/>
      <c r="P111" s="899"/>
      <c r="Q111" s="899"/>
      <c r="R111" s="899"/>
      <c r="S111" s="899"/>
      <c r="T111" s="899"/>
      <c r="U111" s="899"/>
      <c r="V111" s="899"/>
      <c r="W111" s="899"/>
      <c r="X111" s="900"/>
      <c r="Y111" s="1864"/>
      <c r="Z111" s="471"/>
      <c r="AA111" s="447"/>
      <c r="AB111" s="447"/>
      <c r="AC111" s="909"/>
      <c r="AD111" s="277"/>
      <c r="AE111" s="277"/>
      <c r="AF111" s="277"/>
      <c r="AG111" s="493"/>
      <c r="AH111" s="277"/>
      <c r="AI111" s="277"/>
      <c r="AJ111" s="2780"/>
      <c r="AK111" s="2780"/>
      <c r="AL111" s="2779"/>
      <c r="AM111" s="2780"/>
      <c r="AN111" s="2784"/>
      <c r="AO111" s="2765"/>
      <c r="AP111" s="277"/>
      <c r="AQ111" s="2779"/>
      <c r="AR111" s="2779"/>
      <c r="AS111" s="2782"/>
      <c r="AT111" s="2779"/>
      <c r="AU111" s="2779"/>
      <c r="AV111" s="2780"/>
      <c r="AW111" s="749"/>
      <c r="AX111" s="277"/>
      <c r="AY111" s="277"/>
      <c r="AZ111" s="277"/>
      <c r="BA111" s="277"/>
      <c r="BB111" s="277"/>
      <c r="BC111" s="749"/>
      <c r="BD111" s="918"/>
      <c r="BE111" s="918"/>
      <c r="BF111" s="918"/>
      <c r="BG111" s="910"/>
      <c r="BH111" s="764"/>
      <c r="BI111" s="764"/>
      <c r="BJ111" s="447"/>
      <c r="BK111" s="447"/>
      <c r="BL111" s="447"/>
      <c r="BM111" s="447"/>
      <c r="BN111" s="447"/>
      <c r="BO111" s="447"/>
      <c r="BP111" s="447"/>
      <c r="BQ111" s="447"/>
      <c r="BR111" s="447"/>
      <c r="BS111" s="447"/>
      <c r="BT111" s="764"/>
      <c r="BU111" s="764"/>
      <c r="BV111" s="764"/>
      <c r="BW111" s="764"/>
      <c r="BX111" s="764"/>
      <c r="BY111" s="764"/>
      <c r="BZ111" s="764"/>
    </row>
    <row r="112" spans="1:78" s="749" customFormat="1" ht="19.95" customHeight="1" x14ac:dyDescent="0.25">
      <c r="A112" s="198"/>
      <c r="B112" s="198"/>
      <c r="C112" s="198"/>
      <c r="D112" s="198"/>
      <c r="E112" s="198"/>
      <c r="F112" s="764"/>
      <c r="G112" s="765"/>
      <c r="H112" s="480"/>
      <c r="I112" s="480"/>
      <c r="J112" s="480"/>
      <c r="K112" s="480"/>
      <c r="L112" s="480"/>
      <c r="N112" s="480"/>
      <c r="O112" s="480"/>
      <c r="P112" s="480"/>
      <c r="Q112" s="480"/>
      <c r="R112" s="563" t="s">
        <v>3970</v>
      </c>
      <c r="T112" s="563"/>
      <c r="U112" s="480"/>
      <c r="V112" s="480"/>
      <c r="W112" s="480"/>
      <c r="X112" s="2701"/>
      <c r="Y112" s="2666"/>
      <c r="Z112" s="766"/>
      <c r="AA112" s="764"/>
      <c r="AB112" s="764"/>
      <c r="AC112" s="909"/>
      <c r="AD112" s="1183" t="s">
        <v>114</v>
      </c>
      <c r="AE112" s="1183" t="s">
        <v>113</v>
      </c>
      <c r="AF112" s="1183" t="s">
        <v>112</v>
      </c>
      <c r="AG112" s="493"/>
      <c r="AH112" s="1182" t="s">
        <v>3383</v>
      </c>
      <c r="AI112" s="277"/>
      <c r="AJ112" s="2780"/>
      <c r="AK112" s="2780"/>
      <c r="AL112" s="2779"/>
      <c r="AM112" s="2780"/>
      <c r="AN112" s="2784"/>
      <c r="AO112" s="2765"/>
      <c r="AP112" s="277"/>
      <c r="AQ112" s="2779"/>
      <c r="AR112" s="2779"/>
      <c r="AS112" s="2782"/>
      <c r="AT112" s="2779"/>
      <c r="AU112" s="2779"/>
      <c r="AV112" s="2780"/>
      <c r="AX112" s="277"/>
      <c r="AY112" s="277"/>
      <c r="AZ112" s="277"/>
      <c r="BA112" s="277"/>
      <c r="BB112" s="277"/>
      <c r="BD112" s="918"/>
      <c r="BE112" s="918"/>
      <c r="BF112" s="918"/>
      <c r="BG112" s="910"/>
      <c r="BH112" s="764"/>
      <c r="BI112" s="764"/>
      <c r="BJ112" s="764"/>
      <c r="BK112" s="764"/>
      <c r="BL112" s="764"/>
      <c r="BM112" s="764"/>
      <c r="BN112" s="764"/>
      <c r="BO112" s="764"/>
      <c r="BP112" s="764"/>
      <c r="BQ112" s="764"/>
      <c r="BR112" s="764"/>
      <c r="BS112" s="764"/>
      <c r="BT112" s="764"/>
      <c r="BU112" s="764"/>
      <c r="BV112" s="764"/>
      <c r="BW112" s="764"/>
      <c r="BX112" s="764"/>
      <c r="BY112" s="764"/>
      <c r="BZ112" s="764"/>
    </row>
    <row r="113" spans="1:78" s="749" customFormat="1" ht="18" customHeight="1" x14ac:dyDescent="0.25">
      <c r="A113" s="198"/>
      <c r="B113" s="198"/>
      <c r="C113" s="198"/>
      <c r="D113" s="198"/>
      <c r="E113" s="198"/>
      <c r="F113" s="764"/>
      <c r="G113" s="765"/>
      <c r="H113" s="480"/>
      <c r="J113" s="2706"/>
      <c r="K113" s="2706"/>
      <c r="L113" s="2706"/>
      <c r="M113" s="754"/>
      <c r="N113" s="480"/>
      <c r="O113" s="480"/>
      <c r="P113" s="480"/>
      <c r="Q113" s="480"/>
      <c r="S113" s="3390"/>
      <c r="T113" s="3390"/>
      <c r="U113" s="3390"/>
      <c r="V113" s="3390"/>
      <c r="W113" s="3390"/>
      <c r="X113" s="3390"/>
      <c r="Y113" s="2666"/>
      <c r="Z113" s="766"/>
      <c r="AA113" s="764"/>
      <c r="AB113" s="764"/>
      <c r="AC113" s="909"/>
      <c r="AD113" s="496"/>
      <c r="AE113" s="496"/>
      <c r="AF113" s="496"/>
      <c r="AG113" s="493"/>
      <c r="AH113" s="904">
        <f>S113</f>
        <v>0</v>
      </c>
      <c r="AI113" s="277"/>
      <c r="AJ113" s="2778">
        <f>AV113+BD113</f>
        <v>0</v>
      </c>
      <c r="AK113" s="2778">
        <f>AU113++BE113+BF113</f>
        <v>0</v>
      </c>
      <c r="AL113" s="2779"/>
      <c r="AM113" s="2778">
        <f>AJ113-AK113</f>
        <v>0</v>
      </c>
      <c r="AN113" s="2783">
        <f>IFERROR(AM113/AJ113,0)</f>
        <v>0</v>
      </c>
      <c r="AO113" s="2785">
        <f>IFERROR(AM113/AQ113,0)</f>
        <v>0</v>
      </c>
      <c r="AP113" s="277"/>
      <c r="AQ113" s="2781">
        <f>IFERROR(SUMIFS('2 Staff List'!$CU$64:$CU$114,'2 Staff List'!$EG$64:$EG$114,$AH113),0)</f>
        <v>0</v>
      </c>
      <c r="AR113" s="2781">
        <f>IFERROR(SUMIFS('2 Staff List'!$BA$64:$BA$114,'2 Staff List'!$EG$64:$EG$114,$AH113),0)-AQ113</f>
        <v>0</v>
      </c>
      <c r="AS113" s="2782"/>
      <c r="AT113" s="2778">
        <f>SUMIFS('2 Staff List'!$DW$64:$DW$114,'2 Staff List'!$EG$64:$EG$114,$AH113)</f>
        <v>0</v>
      </c>
      <c r="AU113" s="2778">
        <f>SUMIFS('2 Staff List'!$DV$64:$DV$114,'2 Staff List'!$EG$64:$EG$114,$AH113)</f>
        <v>0</v>
      </c>
      <c r="AV113" s="2778">
        <f>SUMIFS('2 Staff List'!$DU$64:$DU$114,'2 Staff List'!$EG$64:$EG$114,$AH113)</f>
        <v>0</v>
      </c>
      <c r="AX113" s="2785">
        <f>IFERROR(AT113/(AR113+AQ113),0)</f>
        <v>0</v>
      </c>
      <c r="AY113" s="2785">
        <f>IFERROR(AU113/($AR113+$AQ113),0)</f>
        <v>0</v>
      </c>
      <c r="AZ113" s="2785">
        <f>IFERROR(AV113/AQ113,0)</f>
        <v>0</v>
      </c>
      <c r="BA113" s="2785">
        <f>IFERROR(AV113/AT113,0)</f>
        <v>0</v>
      </c>
      <c r="BB113" s="2785">
        <f>IFERROR(AV113/AU113,0)</f>
        <v>0</v>
      </c>
      <c r="BD113" s="2768"/>
      <c r="BE113" s="2768"/>
      <c r="BF113" s="1186">
        <f>SUMIFS('2 Staff List'!$EM$64:$EM$114,'2 Staff List'!$EG$64:$EG$114,$AH113)</f>
        <v>0</v>
      </c>
      <c r="BG113" s="910"/>
      <c r="BH113" s="764"/>
      <c r="BI113" s="764"/>
      <c r="BJ113" s="764"/>
      <c r="BK113" s="764"/>
      <c r="BL113" s="764"/>
      <c r="BM113" s="764"/>
      <c r="BN113" s="764"/>
      <c r="BO113" s="764"/>
      <c r="BP113" s="764"/>
      <c r="BQ113" s="764"/>
      <c r="BR113" s="764"/>
      <c r="BS113" s="764"/>
      <c r="BT113" s="764"/>
      <c r="BU113" s="764"/>
      <c r="BV113" s="764"/>
      <c r="BW113" s="764"/>
      <c r="BX113" s="764"/>
      <c r="BY113" s="764"/>
      <c r="BZ113" s="764"/>
    </row>
    <row r="114" spans="1:78" s="749" customFormat="1" ht="18" customHeight="1" x14ac:dyDescent="0.25">
      <c r="A114" s="198"/>
      <c r="B114" s="198"/>
      <c r="C114" s="198"/>
      <c r="D114" s="198"/>
      <c r="E114" s="198"/>
      <c r="F114" s="764"/>
      <c r="G114" s="765"/>
      <c r="H114" s="480"/>
      <c r="I114" s="2706"/>
      <c r="J114" s="2706"/>
      <c r="K114" s="2706"/>
      <c r="L114" s="2706"/>
      <c r="M114" s="2706"/>
      <c r="N114" s="2706"/>
      <c r="O114" s="2706"/>
      <c r="P114" s="480"/>
      <c r="Q114" s="480"/>
      <c r="S114" s="3390"/>
      <c r="T114" s="3390"/>
      <c r="U114" s="3390"/>
      <c r="V114" s="3390"/>
      <c r="W114" s="3390"/>
      <c r="X114" s="3390"/>
      <c r="Y114" s="2666"/>
      <c r="Z114" s="766"/>
      <c r="AA114" s="764"/>
      <c r="AB114" s="764"/>
      <c r="AC114" s="909"/>
      <c r="AD114" s="496"/>
      <c r="AE114" s="496"/>
      <c r="AF114" s="496"/>
      <c r="AG114" s="493"/>
      <c r="AH114" s="904">
        <f t="shared" ref="AH114:AH117" si="9">S114</f>
        <v>0</v>
      </c>
      <c r="AI114" s="277"/>
      <c r="AJ114" s="2778">
        <f>AV114+BD114</f>
        <v>0</v>
      </c>
      <c r="AK114" s="2778">
        <f t="shared" ref="AK114:AK117" si="10">AU114++BE114+BF114</f>
        <v>0</v>
      </c>
      <c r="AL114" s="2779"/>
      <c r="AM114" s="2778">
        <f>AJ114-AK114</f>
        <v>0</v>
      </c>
      <c r="AN114" s="2783">
        <f>IFERROR(AM114/AJ114,0)</f>
        <v>0</v>
      </c>
      <c r="AO114" s="2785">
        <f>IFERROR(AM114/AQ114,0)</f>
        <v>0</v>
      </c>
      <c r="AP114" s="277"/>
      <c r="AQ114" s="2781">
        <f>IFERROR(SUMIFS('2 Staff List'!$CU$64:$CU$114,'2 Staff List'!$EG$64:$EG$114,$AH114),0)</f>
        <v>0</v>
      </c>
      <c r="AR114" s="2781">
        <f>IFERROR(SUMIFS('2 Staff List'!$BA$64:$BA$114,'2 Staff List'!$EG$64:$EG$114,$AH114),0)-AQ114</f>
        <v>0</v>
      </c>
      <c r="AS114" s="2782"/>
      <c r="AT114" s="2778">
        <f>SUMIFS('2 Staff List'!$DW$64:$DW$114,'2 Staff List'!$EG$64:$EG$114,$AH114)</f>
        <v>0</v>
      </c>
      <c r="AU114" s="2778">
        <f>SUMIFS('2 Staff List'!$DV$64:$DV$114,'2 Staff List'!$EG$64:$EG$114,$AH114)</f>
        <v>0</v>
      </c>
      <c r="AV114" s="2778">
        <f>SUMIFS('2 Staff List'!$DU$64:$DU$114,'2 Staff List'!$EG$64:$EG$114,$AH114)</f>
        <v>0</v>
      </c>
      <c r="AX114" s="2785">
        <f>IFERROR(AT114/(AR114+AQ114),0)</f>
        <v>0</v>
      </c>
      <c r="AY114" s="2785">
        <f>IFERROR(AU114/($AR114+$AQ114),0)</f>
        <v>0</v>
      </c>
      <c r="AZ114" s="2785">
        <f>IFERROR(AV114/AQ114,0)</f>
        <v>0</v>
      </c>
      <c r="BA114" s="2785">
        <f>IFERROR(AV114/AT114,0)</f>
        <v>0</v>
      </c>
      <c r="BB114" s="2785">
        <f>IFERROR(AV114/AU114,0)</f>
        <v>0</v>
      </c>
      <c r="BD114" s="2768"/>
      <c r="BE114" s="2768"/>
      <c r="BF114" s="1186">
        <f>SUMIFS('2 Staff List'!$EM$64:$EM$114,'2 Staff List'!$EG$64:$EG$114,$AH114)</f>
        <v>0</v>
      </c>
      <c r="BG114" s="910"/>
      <c r="BH114" s="764"/>
      <c r="BI114" s="764"/>
      <c r="BJ114" s="764"/>
      <c r="BK114" s="764"/>
      <c r="BL114" s="764"/>
      <c r="BM114" s="764"/>
      <c r="BN114" s="764"/>
      <c r="BO114" s="764"/>
      <c r="BP114" s="764"/>
      <c r="BQ114" s="764"/>
      <c r="BR114" s="764"/>
      <c r="BS114" s="764"/>
      <c r="BT114" s="764"/>
      <c r="BU114" s="764"/>
      <c r="BV114" s="764"/>
      <c r="BW114" s="764"/>
      <c r="BX114" s="764"/>
      <c r="BY114" s="764"/>
      <c r="BZ114" s="764"/>
    </row>
    <row r="115" spans="1:78" s="272" customFormat="1" ht="18" customHeight="1" x14ac:dyDescent="0.25">
      <c r="A115" s="198"/>
      <c r="B115" s="198"/>
      <c r="C115" s="198"/>
      <c r="D115" s="198"/>
      <c r="E115" s="198"/>
      <c r="F115" s="447"/>
      <c r="G115" s="468"/>
      <c r="H115" s="480"/>
      <c r="I115" s="2706"/>
      <c r="J115" s="2706"/>
      <c r="K115" s="2706"/>
      <c r="L115" s="2706"/>
      <c r="M115" s="2706"/>
      <c r="N115" s="2706"/>
      <c r="O115" s="2706"/>
      <c r="P115" s="480"/>
      <c r="Q115" s="480"/>
      <c r="R115" s="749"/>
      <c r="S115" s="3390"/>
      <c r="T115" s="3390"/>
      <c r="U115" s="3390"/>
      <c r="V115" s="3390"/>
      <c r="W115" s="3390"/>
      <c r="X115" s="3390"/>
      <c r="Y115" s="480"/>
      <c r="Z115" s="471"/>
      <c r="AA115" s="447"/>
      <c r="AB115" s="764"/>
      <c r="AC115" s="909"/>
      <c r="AD115" s="496"/>
      <c r="AE115" s="496"/>
      <c r="AF115" s="496"/>
      <c r="AG115" s="493"/>
      <c r="AH115" s="904">
        <f t="shared" si="9"/>
        <v>0</v>
      </c>
      <c r="AI115" s="277"/>
      <c r="AJ115" s="2778">
        <f>AV115+BD115</f>
        <v>0</v>
      </c>
      <c r="AK115" s="2778">
        <f t="shared" si="10"/>
        <v>0</v>
      </c>
      <c r="AL115" s="2779"/>
      <c r="AM115" s="2778">
        <f>AJ115-AK115</f>
        <v>0</v>
      </c>
      <c r="AN115" s="2783">
        <f>IFERROR(AM115/AJ115,0)</f>
        <v>0</v>
      </c>
      <c r="AO115" s="2785">
        <f>IFERROR(AM115/AQ115,0)</f>
        <v>0</v>
      </c>
      <c r="AP115" s="277"/>
      <c r="AQ115" s="2781">
        <f>IFERROR(SUMIFS('2 Staff List'!$CU$64:$CU$114,'2 Staff List'!$EG$64:$EG$114,$AH115),0)</f>
        <v>0</v>
      </c>
      <c r="AR115" s="2781">
        <f>IFERROR(SUMIFS('2 Staff List'!$BA$64:$BA$114,'2 Staff List'!$EG$64:$EG$114,$AH115),0)-AQ115</f>
        <v>0</v>
      </c>
      <c r="AS115" s="2782"/>
      <c r="AT115" s="2778">
        <f>SUMIFS('2 Staff List'!$DW$64:$DW$114,'2 Staff List'!$EG$64:$EG$114,$AH115)</f>
        <v>0</v>
      </c>
      <c r="AU115" s="2778">
        <f>SUMIFS('2 Staff List'!$DV$64:$DV$114,'2 Staff List'!$EG$64:$EG$114,$AH115)</f>
        <v>0</v>
      </c>
      <c r="AV115" s="2778">
        <f>SUMIFS('2 Staff List'!$DU$64:$DU$114,'2 Staff List'!$EG$64:$EG$114,$AH115)</f>
        <v>0</v>
      </c>
      <c r="AW115" s="749"/>
      <c r="AX115" s="2785">
        <f>IFERROR(AT115/(AR115+AQ115),0)</f>
        <v>0</v>
      </c>
      <c r="AY115" s="2785">
        <f>IFERROR(AU115/($AR115+$AQ115),0)</f>
        <v>0</v>
      </c>
      <c r="AZ115" s="2785">
        <f>IFERROR(AV115/AQ115,0)</f>
        <v>0</v>
      </c>
      <c r="BA115" s="2785">
        <f>IFERROR(AV115/AT115,0)</f>
        <v>0</v>
      </c>
      <c r="BB115" s="2785">
        <f>IFERROR(AV115/AU115,0)</f>
        <v>0</v>
      </c>
      <c r="BC115" s="749"/>
      <c r="BD115" s="2768"/>
      <c r="BE115" s="2768"/>
      <c r="BF115" s="1186">
        <f>SUMIFS('2 Staff List'!$EM$64:$EM$114,'2 Staff List'!$EG$64:$EG$114,$AH115)</f>
        <v>0</v>
      </c>
      <c r="BG115" s="910"/>
      <c r="BH115" s="764"/>
      <c r="BI115" s="764"/>
      <c r="BJ115" s="447"/>
      <c r="BK115" s="447"/>
      <c r="BL115" s="447"/>
      <c r="BM115" s="447"/>
      <c r="BN115" s="447"/>
      <c r="BO115" s="447"/>
      <c r="BP115" s="447"/>
      <c r="BQ115" s="447"/>
      <c r="BR115" s="447"/>
      <c r="BS115" s="447"/>
      <c r="BT115" s="764"/>
      <c r="BU115" s="764"/>
      <c r="BV115" s="764"/>
      <c r="BW115" s="764"/>
      <c r="BX115" s="764"/>
      <c r="BY115" s="764"/>
      <c r="BZ115" s="764"/>
    </row>
    <row r="116" spans="1:78" s="749" customFormat="1" ht="18" customHeight="1" x14ac:dyDescent="0.25">
      <c r="A116" s="198"/>
      <c r="B116" s="198"/>
      <c r="C116" s="198"/>
      <c r="D116" s="198"/>
      <c r="E116" s="198"/>
      <c r="F116" s="764"/>
      <c r="G116" s="765"/>
      <c r="H116" s="480"/>
      <c r="I116" s="2706"/>
      <c r="J116" s="2706"/>
      <c r="K116" s="2706"/>
      <c r="L116" s="2706"/>
      <c r="M116" s="754"/>
      <c r="N116" s="480"/>
      <c r="O116" s="480"/>
      <c r="P116" s="480"/>
      <c r="Q116" s="480"/>
      <c r="S116" s="3390"/>
      <c r="T116" s="3390"/>
      <c r="U116" s="3390"/>
      <c r="V116" s="3390"/>
      <c r="W116" s="3390"/>
      <c r="X116" s="3390"/>
      <c r="Y116" s="480"/>
      <c r="Z116" s="766"/>
      <c r="AA116" s="764"/>
      <c r="AB116" s="764"/>
      <c r="AC116" s="909"/>
      <c r="AD116" s="496"/>
      <c r="AE116" s="496"/>
      <c r="AF116" s="496"/>
      <c r="AG116" s="493"/>
      <c r="AH116" s="904">
        <f t="shared" si="9"/>
        <v>0</v>
      </c>
      <c r="AI116" s="277"/>
      <c r="AJ116" s="2778">
        <f>AV116+BD116</f>
        <v>0</v>
      </c>
      <c r="AK116" s="2778">
        <f t="shared" si="10"/>
        <v>0</v>
      </c>
      <c r="AL116" s="2779"/>
      <c r="AM116" s="2778">
        <f>AJ116-AK116</f>
        <v>0</v>
      </c>
      <c r="AN116" s="2783">
        <f>IFERROR(AM116/AJ116,0)</f>
        <v>0</v>
      </c>
      <c r="AO116" s="2785">
        <f>IFERROR(AM116/AQ116,0)</f>
        <v>0</v>
      </c>
      <c r="AP116" s="277"/>
      <c r="AQ116" s="2781">
        <f>IFERROR(SUMIFS('2 Staff List'!$CU$64:$CU$114,'2 Staff List'!$EG$64:$EG$114,$AH116),0)</f>
        <v>0</v>
      </c>
      <c r="AR116" s="2781">
        <f>IFERROR(SUMIFS('2 Staff List'!$BA$64:$BA$114,'2 Staff List'!$EG$64:$EG$114,$AH116),0)-AQ116</f>
        <v>0</v>
      </c>
      <c r="AS116" s="2782"/>
      <c r="AT116" s="2778">
        <f>SUMIFS('2 Staff List'!$DW$64:$DW$114,'2 Staff List'!$EG$64:$EG$114,$AH116)</f>
        <v>0</v>
      </c>
      <c r="AU116" s="2778">
        <f>SUMIFS('2 Staff List'!$DV$64:$DV$114,'2 Staff List'!$EG$64:$EG$114,$AH116)</f>
        <v>0</v>
      </c>
      <c r="AV116" s="2778">
        <f>SUMIFS('2 Staff List'!$DU$64:$DU$114,'2 Staff List'!$EG$64:$EG$114,$AH116)</f>
        <v>0</v>
      </c>
      <c r="AX116" s="2785">
        <f>IFERROR(AT116/(AR116+AQ116),0)</f>
        <v>0</v>
      </c>
      <c r="AY116" s="2785">
        <f>IFERROR(AU116/($AR116+$AQ116),0)</f>
        <v>0</v>
      </c>
      <c r="AZ116" s="2785">
        <f>IFERROR(AV116/AQ116,0)</f>
        <v>0</v>
      </c>
      <c r="BA116" s="2785">
        <f>IFERROR(AV116/AT116,0)</f>
        <v>0</v>
      </c>
      <c r="BB116" s="2785">
        <f>IFERROR(AV116/AU116,0)</f>
        <v>0</v>
      </c>
      <c r="BD116" s="2768"/>
      <c r="BE116" s="2768"/>
      <c r="BF116" s="1186">
        <f>SUMIFS('2 Staff List'!$EM$64:$EM$114,'2 Staff List'!$EG$64:$EG$114,$AH116)</f>
        <v>0</v>
      </c>
      <c r="BG116" s="910"/>
      <c r="BH116" s="764"/>
      <c r="BI116" s="764"/>
      <c r="BJ116" s="764"/>
      <c r="BK116" s="764"/>
      <c r="BL116" s="764"/>
      <c r="BM116" s="764"/>
      <c r="BN116" s="764"/>
      <c r="BO116" s="764"/>
      <c r="BP116" s="764"/>
      <c r="BQ116" s="764"/>
      <c r="BR116" s="764"/>
      <c r="BS116" s="764"/>
      <c r="BT116" s="764"/>
      <c r="BU116" s="764"/>
      <c r="BV116" s="764"/>
      <c r="BW116" s="764"/>
      <c r="BX116" s="764"/>
      <c r="BY116" s="764"/>
      <c r="BZ116" s="764"/>
    </row>
    <row r="117" spans="1:78" s="749" customFormat="1" ht="18" customHeight="1" x14ac:dyDescent="0.25">
      <c r="A117" s="198"/>
      <c r="B117" s="198"/>
      <c r="C117" s="198"/>
      <c r="D117" s="198"/>
      <c r="E117" s="198"/>
      <c r="F117" s="764"/>
      <c r="G117" s="765"/>
      <c r="H117" s="480"/>
      <c r="I117" s="480"/>
      <c r="J117" s="480"/>
      <c r="K117" s="480"/>
      <c r="L117" s="480"/>
      <c r="N117" s="480"/>
      <c r="O117" s="480"/>
      <c r="P117" s="480"/>
      <c r="Q117" s="480"/>
      <c r="S117" s="3390"/>
      <c r="T117" s="3390"/>
      <c r="U117" s="3390"/>
      <c r="V117" s="3390"/>
      <c r="W117" s="3390"/>
      <c r="X117" s="3390"/>
      <c r="Y117" s="480"/>
      <c r="Z117" s="766"/>
      <c r="AA117" s="764"/>
      <c r="AB117" s="764"/>
      <c r="AC117" s="909"/>
      <c r="AD117" s="496"/>
      <c r="AE117" s="496"/>
      <c r="AF117" s="496"/>
      <c r="AG117" s="493"/>
      <c r="AH117" s="904">
        <f t="shared" si="9"/>
        <v>0</v>
      </c>
      <c r="AI117" s="277"/>
      <c r="AJ117" s="2778">
        <f>AV117+BD117</f>
        <v>0</v>
      </c>
      <c r="AK117" s="2778">
        <f t="shared" si="10"/>
        <v>0</v>
      </c>
      <c r="AL117" s="2779"/>
      <c r="AM117" s="2778">
        <f>AJ117-AK117</f>
        <v>0</v>
      </c>
      <c r="AN117" s="2783">
        <f>IFERROR(AM117/AJ117,0)</f>
        <v>0</v>
      </c>
      <c r="AO117" s="2785">
        <f>IFERROR(AM117/AQ117,0)</f>
        <v>0</v>
      </c>
      <c r="AP117" s="277"/>
      <c r="AQ117" s="2781">
        <f>IFERROR(SUMIFS('2 Staff List'!$CU$64:$CU$114,'2 Staff List'!$EG$64:$EG$114,$AH117),0)</f>
        <v>0</v>
      </c>
      <c r="AR117" s="2781">
        <f>IFERROR(SUMIFS('2 Staff List'!$BA$64:$BA$114,'2 Staff List'!$EG$64:$EG$114,$AH117),0)-AQ117</f>
        <v>0</v>
      </c>
      <c r="AS117" s="2782"/>
      <c r="AT117" s="2778">
        <f>SUMIFS('2 Staff List'!$DW$64:$DW$114,'2 Staff List'!$EG$64:$EG$114,$AH117)</f>
        <v>0</v>
      </c>
      <c r="AU117" s="2778">
        <f>SUMIFS('2 Staff List'!$DV$64:$DV$114,'2 Staff List'!$EG$64:$EG$114,$AH117)</f>
        <v>0</v>
      </c>
      <c r="AV117" s="2778">
        <f>SUMIFS('2 Staff List'!$DU$64:$DU$114,'2 Staff List'!$EG$64:$EG$114,$AH117)</f>
        <v>0</v>
      </c>
      <c r="AX117" s="2785">
        <f>IFERROR(AT117/(AR117+AQ117),0)</f>
        <v>0</v>
      </c>
      <c r="AY117" s="2785">
        <f>IFERROR(AU117/($AR117+$AQ117),0)</f>
        <v>0</v>
      </c>
      <c r="AZ117" s="2785">
        <f>IFERROR(AV117/AQ117,0)</f>
        <v>0</v>
      </c>
      <c r="BA117" s="2785">
        <f>IFERROR(AV117/AT117,0)</f>
        <v>0</v>
      </c>
      <c r="BB117" s="2785">
        <f>IFERROR(AV117/AU117,0)</f>
        <v>0</v>
      </c>
      <c r="BD117" s="2768"/>
      <c r="BE117" s="2768"/>
      <c r="BF117" s="1186">
        <f>SUMIFS('2 Staff List'!$EM$64:$EM$114,'2 Staff List'!$EG$64:$EG$114,$AH117)</f>
        <v>0</v>
      </c>
      <c r="BG117" s="910"/>
      <c r="BH117" s="764"/>
      <c r="BI117" s="764"/>
      <c r="BJ117" s="764"/>
      <c r="BK117" s="764"/>
      <c r="BL117" s="764"/>
      <c r="BM117" s="764"/>
      <c r="BN117" s="764"/>
      <c r="BO117" s="764"/>
      <c r="BP117" s="764"/>
      <c r="BQ117" s="764"/>
      <c r="BR117" s="764"/>
      <c r="BS117" s="764"/>
      <c r="BT117" s="764"/>
      <c r="BU117" s="764"/>
      <c r="BV117" s="764"/>
      <c r="BW117" s="764"/>
      <c r="BX117" s="764"/>
      <c r="BY117" s="764"/>
      <c r="BZ117" s="764"/>
    </row>
    <row r="118" spans="1:78" s="749" customFormat="1" ht="13.5" customHeight="1" x14ac:dyDescent="0.25">
      <c r="A118" s="198"/>
      <c r="B118" s="198"/>
      <c r="C118" s="198"/>
      <c r="D118" s="198"/>
      <c r="E118" s="198"/>
      <c r="F118" s="764"/>
      <c r="G118" s="765"/>
      <c r="H118" s="480"/>
      <c r="O118" s="480"/>
      <c r="P118" s="480"/>
      <c r="Q118" s="480"/>
      <c r="S118" s="901"/>
      <c r="T118" s="2707" t="s">
        <v>1783</v>
      </c>
      <c r="U118" s="899"/>
      <c r="V118" s="899"/>
      <c r="W118" s="899"/>
      <c r="X118" s="900"/>
      <c r="Y118" s="2666"/>
      <c r="Z118" s="766"/>
      <c r="AA118" s="764"/>
      <c r="AB118" s="764"/>
      <c r="AC118" s="909"/>
      <c r="AD118" s="277"/>
      <c r="AE118" s="277"/>
      <c r="AF118" s="277"/>
      <c r="AG118" s="493"/>
      <c r="AH118" s="277"/>
      <c r="AI118" s="277"/>
      <c r="AJ118" s="2780"/>
      <c r="AK118" s="2780"/>
      <c r="AL118" s="2779"/>
      <c r="AM118" s="2780"/>
      <c r="AN118" s="1599"/>
      <c r="AO118" s="2765"/>
      <c r="AP118" s="277"/>
      <c r="AQ118" s="2779"/>
      <c r="AR118" s="2779"/>
      <c r="AS118" s="2782"/>
      <c r="AT118" s="2779"/>
      <c r="AU118" s="2779"/>
      <c r="AV118" s="2780"/>
      <c r="AX118" s="277"/>
      <c r="AY118" s="277"/>
      <c r="AZ118" s="277"/>
      <c r="BA118" s="277"/>
      <c r="BB118" s="277"/>
      <c r="BD118" s="918"/>
      <c r="BE118" s="918"/>
      <c r="BF118" s="918"/>
      <c r="BG118" s="910"/>
      <c r="BH118" s="764"/>
      <c r="BI118" s="764"/>
      <c r="BJ118" s="764"/>
      <c r="BK118" s="764"/>
      <c r="BL118" s="764"/>
      <c r="BM118" s="764"/>
      <c r="BN118" s="764"/>
      <c r="BO118" s="764"/>
      <c r="BP118" s="764"/>
      <c r="BQ118" s="764"/>
      <c r="BR118" s="764"/>
      <c r="BS118" s="764"/>
      <c r="BT118" s="764"/>
      <c r="BU118" s="764"/>
      <c r="BV118" s="764"/>
      <c r="BW118" s="764"/>
      <c r="BX118" s="764"/>
      <c r="BY118" s="764"/>
      <c r="BZ118" s="764"/>
    </row>
    <row r="119" spans="1:78" s="749" customFormat="1" ht="18" customHeight="1" x14ac:dyDescent="0.25">
      <c r="A119" s="198"/>
      <c r="B119" s="198"/>
      <c r="C119" s="198"/>
      <c r="D119" s="198"/>
      <c r="E119" s="2667"/>
      <c r="F119" s="764"/>
      <c r="G119" s="765"/>
      <c r="H119" s="480"/>
      <c r="I119" s="480"/>
      <c r="J119" s="480"/>
      <c r="K119" s="480"/>
      <c r="L119" s="480"/>
      <c r="M119" s="480"/>
      <c r="N119" s="480"/>
      <c r="O119" s="480"/>
      <c r="P119" s="480"/>
      <c r="Q119" s="480"/>
      <c r="R119" s="480"/>
      <c r="S119" s="480"/>
      <c r="T119" s="480"/>
      <c r="U119" s="480"/>
      <c r="V119" s="480"/>
      <c r="W119" s="480"/>
      <c r="X119" s="480"/>
      <c r="Y119" s="480"/>
      <c r="Z119" s="766"/>
      <c r="AA119" s="764"/>
      <c r="AB119" s="764"/>
      <c r="AC119" s="909"/>
      <c r="AD119" s="277"/>
      <c r="AE119" s="277"/>
      <c r="AF119" s="277"/>
      <c r="AG119" s="493"/>
      <c r="AH119" s="1182" t="s">
        <v>3358</v>
      </c>
      <c r="AI119" s="277"/>
      <c r="AJ119" s="2780"/>
      <c r="AK119" s="2780"/>
      <c r="AL119" s="2779"/>
      <c r="AM119" s="2780"/>
      <c r="AN119" s="1599"/>
      <c r="AO119" s="2765"/>
      <c r="AP119" s="277"/>
      <c r="AQ119" s="2779"/>
      <c r="AR119" s="2779"/>
      <c r="AS119" s="2782"/>
      <c r="AT119" s="2779"/>
      <c r="AU119" s="2779"/>
      <c r="AV119" s="2780"/>
      <c r="AX119" s="277"/>
      <c r="AY119" s="277"/>
      <c r="AZ119" s="277"/>
      <c r="BA119" s="277"/>
      <c r="BB119" s="277"/>
      <c r="BD119" s="918"/>
      <c r="BE119" s="918"/>
      <c r="BF119" s="918"/>
      <c r="BG119" s="910"/>
      <c r="BH119" s="764"/>
      <c r="BI119" s="764"/>
      <c r="BJ119" s="764"/>
      <c r="BK119" s="764"/>
      <c r="BL119" s="764"/>
      <c r="BM119" s="764"/>
      <c r="BN119" s="764"/>
      <c r="BO119" s="764"/>
      <c r="BP119" s="764"/>
      <c r="BQ119" s="764"/>
      <c r="BR119" s="764"/>
      <c r="BS119" s="764"/>
      <c r="BT119" s="764"/>
      <c r="BU119" s="764"/>
      <c r="BV119" s="764"/>
      <c r="BW119" s="764"/>
      <c r="BX119" s="764"/>
      <c r="BY119" s="764"/>
      <c r="BZ119" s="764"/>
    </row>
    <row r="120" spans="1:78" s="749" customFormat="1" ht="18" customHeight="1" x14ac:dyDescent="0.25">
      <c r="A120" s="198"/>
      <c r="B120" s="198"/>
      <c r="C120" s="198"/>
      <c r="D120" s="198"/>
      <c r="E120" s="2668"/>
      <c r="F120" s="764"/>
      <c r="G120" s="765"/>
      <c r="H120" s="480"/>
      <c r="I120" s="480"/>
      <c r="J120" s="480"/>
      <c r="K120" s="480"/>
      <c r="L120" s="480"/>
      <c r="M120" s="480"/>
      <c r="N120" s="480"/>
      <c r="O120" s="480"/>
      <c r="P120" s="480"/>
      <c r="Q120" s="480"/>
      <c r="R120" s="480"/>
      <c r="S120" s="480"/>
      <c r="T120" s="480"/>
      <c r="U120" s="480"/>
      <c r="V120" s="480"/>
      <c r="W120" s="480"/>
      <c r="X120" s="480"/>
      <c r="Y120" s="480"/>
      <c r="Z120" s="766"/>
      <c r="AA120" s="764"/>
      <c r="AB120" s="764"/>
      <c r="AC120" s="909"/>
      <c r="AD120" s="277"/>
      <c r="AE120" s="277"/>
      <c r="AF120" s="911"/>
      <c r="AG120" s="2073" t="s">
        <v>1625</v>
      </c>
      <c r="AH120" s="1187"/>
      <c r="AI120" s="277"/>
      <c r="AJ120" s="2786">
        <f>SUMIFS(AJ$99:AJ$118,$AD$99:$AD$118,"Y")</f>
        <v>0</v>
      </c>
      <c r="AK120" s="2786">
        <f t="shared" ref="AK120:AM120" si="11">SUMIFS(AK$99:AK$118,$AD$99:$AD$118,"Y")</f>
        <v>0</v>
      </c>
      <c r="AL120" s="2787"/>
      <c r="AM120" s="2786">
        <f t="shared" si="11"/>
        <v>0</v>
      </c>
      <c r="AN120" s="2783">
        <f>IFERROR(AM120/AV120,0)</f>
        <v>0</v>
      </c>
      <c r="AO120" s="2785">
        <f>IFERROR(AM120/AQ120,0)</f>
        <v>0</v>
      </c>
      <c r="AP120" s="277"/>
      <c r="AQ120" s="2786">
        <f>SUMIFS(AQ$99:AQ$118,$AD$99:$AD$118,"Y")</f>
        <v>0</v>
      </c>
      <c r="AR120" s="2786">
        <f t="shared" ref="AR120" si="12">SUMIFS(AR$99:AR$118,$AD$99:$AD$118,"Y")</f>
        <v>0</v>
      </c>
      <c r="AS120" s="2788"/>
      <c r="AT120" s="2786">
        <f>SUMIFS(AT$99:AT$118,$AD$99:$AD$118,"Y")</f>
        <v>0</v>
      </c>
      <c r="AU120" s="2786">
        <f t="shared" ref="AU120" si="13">SUMIFS(AU$99:AU$118,$AD$99:$AD$118,"Y")</f>
        <v>0</v>
      </c>
      <c r="AV120" s="2786">
        <f>SUMIFS(AV$99:AV$118,$AD$99:$AD$118,"Y")</f>
        <v>0</v>
      </c>
      <c r="AX120" s="2785">
        <f>IFERROR(AT120/(AR120+AQ120),0)</f>
        <v>0</v>
      </c>
      <c r="AY120" s="2785">
        <f>IFERROR(AU120/($AR120+$AQ120),0)</f>
        <v>0</v>
      </c>
      <c r="AZ120" s="2785">
        <f>IFERROR(AV120/AQ120,0)</f>
        <v>0</v>
      </c>
      <c r="BA120" s="2785">
        <f>IFERROR(AV120/AT120,0)</f>
        <v>0</v>
      </c>
      <c r="BB120" s="2785">
        <f>IFERROR(AV120/AU120,0)</f>
        <v>0</v>
      </c>
      <c r="BD120" s="2786">
        <f>SUMIFS(BD$99:BD$118,$AD$99:$AD$118,"Y")</f>
        <v>0</v>
      </c>
      <c r="BE120" s="2786">
        <f t="shared" ref="BE120" si="14">SUMIFS(BE$99:BE$118,$AD$99:$AD$118,"Y")</f>
        <v>0</v>
      </c>
      <c r="BF120" s="2786">
        <f>SUMIFS(BF$99:BF$118,$AD$99:$AD$118,"Y")</f>
        <v>0</v>
      </c>
      <c r="BG120" s="910"/>
      <c r="BH120" s="764"/>
      <c r="BI120" s="764"/>
      <c r="BJ120" s="764"/>
      <c r="BK120" s="764"/>
      <c r="BL120" s="764"/>
      <c r="BM120" s="764"/>
      <c r="BN120" s="764"/>
      <c r="BO120" s="764"/>
      <c r="BP120" s="764"/>
      <c r="BQ120" s="764"/>
      <c r="BR120" s="764"/>
      <c r="BS120" s="764"/>
      <c r="BT120" s="764"/>
      <c r="BU120" s="764"/>
      <c r="BV120" s="764"/>
      <c r="BW120" s="764"/>
      <c r="BX120" s="764"/>
      <c r="BY120" s="764"/>
      <c r="BZ120" s="764"/>
    </row>
    <row r="121" spans="1:78" s="272" customFormat="1" ht="18" customHeight="1" x14ac:dyDescent="0.25">
      <c r="A121" s="198"/>
      <c r="B121" s="198"/>
      <c r="C121" s="198"/>
      <c r="D121" s="198"/>
      <c r="E121" s="198"/>
      <c r="F121" s="764"/>
      <c r="G121" s="765"/>
      <c r="H121" s="3440"/>
      <c r="I121" s="3391"/>
      <c r="J121" s="3391"/>
      <c r="K121" s="3391"/>
      <c r="L121" s="3391"/>
      <c r="M121" s="3391"/>
      <c r="N121" s="3391"/>
      <c r="O121" s="3391"/>
      <c r="P121" s="3391"/>
      <c r="Q121" s="3391"/>
      <c r="R121" s="3391"/>
      <c r="S121" s="3391"/>
      <c r="T121" s="3391"/>
      <c r="U121" s="3391"/>
      <c r="V121" s="3391"/>
      <c r="W121" s="3391"/>
      <c r="X121" s="3391"/>
      <c r="Y121" s="480"/>
      <c r="Z121" s="766"/>
      <c r="AA121" s="1255"/>
      <c r="AB121" s="764"/>
      <c r="AC121" s="909"/>
      <c r="AD121" s="277"/>
      <c r="AE121" s="277"/>
      <c r="AF121" s="911"/>
      <c r="AG121" s="2073" t="s">
        <v>1626</v>
      </c>
      <c r="AH121" s="1187"/>
      <c r="AI121" s="277"/>
      <c r="AJ121" s="2786">
        <f>SUMIFS(AJ$99:AJ$118,$AE$99:$AE$118,"Y")</f>
        <v>0</v>
      </c>
      <c r="AK121" s="2786">
        <f t="shared" ref="AK121:AM121" si="15">SUMIFS(AK$99:AK$118,$AE$99:$AE$118,"Y")</f>
        <v>0</v>
      </c>
      <c r="AL121" s="2787"/>
      <c r="AM121" s="2786">
        <f t="shared" si="15"/>
        <v>0</v>
      </c>
      <c r="AN121" s="2783">
        <f>IFERROR(AM121/AV121,0)</f>
        <v>0</v>
      </c>
      <c r="AO121" s="2785">
        <f>IFERROR(AM121/AQ121,0)</f>
        <v>0</v>
      </c>
      <c r="AP121" s="277"/>
      <c r="AQ121" s="2786">
        <f>SUMIFS(AQ$99:AQ$118,$AE$99:$AE$118,"Y")</f>
        <v>0</v>
      </c>
      <c r="AR121" s="2786">
        <f t="shared" ref="AR121" si="16">SUMIFS(AR$99:AR$118,$AE$99:$AE$118,"Y")</f>
        <v>0</v>
      </c>
      <c r="AS121" s="2788"/>
      <c r="AT121" s="2786">
        <f>SUMIFS(AT$99:AT$118,$AE$99:$AE$118,"Y")</f>
        <v>0</v>
      </c>
      <c r="AU121" s="2786">
        <f t="shared" ref="AU121" si="17">SUMIFS(AU$99:AU$118,$AE$99:$AE$118,"Y")</f>
        <v>0</v>
      </c>
      <c r="AV121" s="2786">
        <f>SUMIFS(AV$99:AV$118,$AE$99:$AE$118,"Y")</f>
        <v>0</v>
      </c>
      <c r="AW121" s="749"/>
      <c r="AX121" s="2785">
        <f>IFERROR(AT121/(AR121+AQ121),0)</f>
        <v>0</v>
      </c>
      <c r="AY121" s="2785">
        <f>IFERROR(AU121/($AR121+$AQ121),0)</f>
        <v>0</v>
      </c>
      <c r="AZ121" s="2785">
        <f>IFERROR(AV121/AQ121,0)</f>
        <v>0</v>
      </c>
      <c r="BA121" s="2785">
        <f>IFERROR(AV121/AT121,0)</f>
        <v>0</v>
      </c>
      <c r="BB121" s="2785">
        <f>IFERROR(AV121/AU121,0)</f>
        <v>0</v>
      </c>
      <c r="BC121" s="749"/>
      <c r="BD121" s="2786">
        <f>SUMIFS(BD$99:BD$118,$AE$99:$AE$118,"Y")</f>
        <v>0</v>
      </c>
      <c r="BE121" s="2786">
        <f t="shared" ref="BE121" si="18">SUMIFS(BE$99:BE$118,$AE$99:$AE$118,"Y")</f>
        <v>0</v>
      </c>
      <c r="BF121" s="2786">
        <f>SUMIFS(BF$99:BF$118,$AE$99:$AE$118,"Y")</f>
        <v>0</v>
      </c>
      <c r="BG121" s="910"/>
      <c r="BH121" s="764"/>
      <c r="BI121" s="764"/>
      <c r="BJ121" s="447"/>
      <c r="BK121" s="447"/>
      <c r="BL121" s="447"/>
      <c r="BM121" s="447"/>
      <c r="BN121" s="447"/>
      <c r="BO121" s="447"/>
      <c r="BP121" s="447"/>
      <c r="BQ121" s="447"/>
      <c r="BR121" s="447"/>
      <c r="BS121" s="447"/>
      <c r="BT121" s="764"/>
      <c r="BU121" s="764"/>
      <c r="BV121" s="764"/>
      <c r="BW121" s="764"/>
      <c r="BX121" s="764"/>
      <c r="BY121" s="764"/>
      <c r="BZ121" s="764"/>
    </row>
    <row r="122" spans="1:78" s="272" customFormat="1" ht="18" customHeight="1" x14ac:dyDescent="0.25">
      <c r="A122" s="198"/>
      <c r="B122" s="198"/>
      <c r="C122" s="198"/>
      <c r="D122" s="198"/>
      <c r="E122" s="198"/>
      <c r="F122" s="764"/>
      <c r="G122" s="765"/>
      <c r="H122" s="3440"/>
      <c r="I122" s="3391"/>
      <c r="J122" s="3391"/>
      <c r="K122" s="3391"/>
      <c r="L122" s="3391"/>
      <c r="M122" s="3391"/>
      <c r="N122" s="3391"/>
      <c r="O122" s="3391"/>
      <c r="P122" s="3391"/>
      <c r="Q122" s="3391"/>
      <c r="R122" s="3391"/>
      <c r="S122" s="3391"/>
      <c r="T122" s="3391"/>
      <c r="U122" s="3391"/>
      <c r="V122" s="3391"/>
      <c r="W122" s="3391"/>
      <c r="X122" s="3391"/>
      <c r="Y122" s="480"/>
      <c r="Z122" s="766"/>
      <c r="AA122" s="1255"/>
      <c r="AB122" s="764"/>
      <c r="AC122" s="909"/>
      <c r="AD122" s="277"/>
      <c r="AE122" s="277"/>
      <c r="AF122" s="911"/>
      <c r="AG122" s="2073" t="s">
        <v>1627</v>
      </c>
      <c r="AH122" s="1187"/>
      <c r="AI122" s="277"/>
      <c r="AJ122" s="2786">
        <f>SUMIFS(AJ$99:AJ$118,$AF$99:$AF$118,"Y")</f>
        <v>0</v>
      </c>
      <c r="AK122" s="2786">
        <f t="shared" ref="AK122:AM122" si="19">SUMIFS(AK$99:AK$118,$AF$99:$AF$118,"Y")</f>
        <v>0</v>
      </c>
      <c r="AL122" s="2787"/>
      <c r="AM122" s="2786">
        <f t="shared" si="19"/>
        <v>0</v>
      </c>
      <c r="AN122" s="2783">
        <f>IFERROR(AM122/AV122,0)</f>
        <v>0</v>
      </c>
      <c r="AO122" s="2785">
        <f>IFERROR(AM122/AQ122,0)</f>
        <v>0</v>
      </c>
      <c r="AP122" s="277"/>
      <c r="AQ122" s="2786">
        <f>SUMIFS(AQ$99:AQ$118,$AF$99:$AF$118,"Y")</f>
        <v>0</v>
      </c>
      <c r="AR122" s="2786">
        <f t="shared" ref="AR122" si="20">SUMIFS(AR$99:AR$118,$AF$99:$AF$118,"Y")</f>
        <v>0</v>
      </c>
      <c r="AS122" s="2788"/>
      <c r="AT122" s="2786">
        <f>SUMIFS(AT$99:AT$118,$AF$99:$AF$118,"Y")</f>
        <v>0</v>
      </c>
      <c r="AU122" s="2786">
        <f t="shared" ref="AU122" si="21">SUMIFS(AU$99:AU$118,$AF$99:$AF$118,"Y")</f>
        <v>0</v>
      </c>
      <c r="AV122" s="2786">
        <f>SUMIFS(AV$99:AV$118,$AF$99:$AF$118,"Y")</f>
        <v>0</v>
      </c>
      <c r="AW122" s="749"/>
      <c r="AX122" s="2785">
        <f>IFERROR(AT122/(AR122+AQ122),0)</f>
        <v>0</v>
      </c>
      <c r="AY122" s="2785">
        <f>IFERROR(AU122/($AR122+$AQ122),0)</f>
        <v>0</v>
      </c>
      <c r="AZ122" s="2785">
        <f>IFERROR(AV122/AQ122,0)</f>
        <v>0</v>
      </c>
      <c r="BA122" s="2785">
        <f>IFERROR(AV122/AT122,0)</f>
        <v>0</v>
      </c>
      <c r="BB122" s="2785">
        <f>IFERROR(AV122/AU122,0)</f>
        <v>0</v>
      </c>
      <c r="BC122" s="749"/>
      <c r="BD122" s="2786">
        <f>SUMIFS(BD$99:BD$118,$AF$99:$AF$118,"Y")</f>
        <v>0</v>
      </c>
      <c r="BE122" s="2786">
        <f t="shared" ref="BE122" si="22">SUMIFS(BE$99:BE$118,$AF$99:$AF$118,"Y")</f>
        <v>0</v>
      </c>
      <c r="BF122" s="2786">
        <f>SUMIFS(BF$99:BF$118,$AF$99:$AF$118,"Y")</f>
        <v>0</v>
      </c>
      <c r="BG122" s="910"/>
      <c r="BH122" s="764"/>
      <c r="BI122" s="764"/>
      <c r="BJ122" s="447"/>
      <c r="BK122" s="447"/>
      <c r="BL122" s="447"/>
      <c r="BM122" s="447"/>
      <c r="BN122" s="447"/>
      <c r="BO122" s="447"/>
      <c r="BP122" s="447"/>
      <c r="BQ122" s="447"/>
      <c r="BR122" s="447"/>
      <c r="BS122" s="447"/>
      <c r="BT122" s="764"/>
      <c r="BU122" s="764"/>
      <c r="BV122" s="764"/>
      <c r="BW122" s="764"/>
      <c r="BX122" s="764"/>
      <c r="BY122" s="764"/>
      <c r="BZ122" s="764"/>
    </row>
    <row r="123" spans="1:78" ht="7.35" customHeight="1" x14ac:dyDescent="0.25">
      <c r="A123" s="198"/>
      <c r="B123" s="198"/>
      <c r="C123" s="198"/>
      <c r="D123" s="198"/>
      <c r="E123" s="198"/>
      <c r="F123" s="764"/>
      <c r="G123" s="765"/>
      <c r="H123" s="480"/>
      <c r="I123" s="480"/>
      <c r="J123" s="480"/>
      <c r="K123" s="480"/>
      <c r="L123" s="480"/>
      <c r="M123" s="480"/>
      <c r="N123" s="480"/>
      <c r="O123" s="480"/>
      <c r="P123" s="480"/>
      <c r="Q123" s="480"/>
      <c r="R123" s="480"/>
      <c r="S123" s="480"/>
      <c r="T123" s="480"/>
      <c r="U123" s="480"/>
      <c r="V123" s="480"/>
      <c r="W123" s="480"/>
      <c r="X123" s="480"/>
      <c r="Y123" s="480"/>
      <c r="Z123" s="766"/>
      <c r="AA123" s="1255"/>
      <c r="AB123" s="447"/>
      <c r="AC123" s="909"/>
      <c r="AD123" s="277"/>
      <c r="AE123" s="749"/>
      <c r="AF123" s="749"/>
      <c r="AH123" s="749"/>
      <c r="AR123" s="749"/>
      <c r="AS123" s="16"/>
      <c r="BG123" s="910"/>
      <c r="BH123" s="764"/>
      <c r="BI123" s="764"/>
      <c r="BJ123" s="447"/>
      <c r="BK123" s="447"/>
      <c r="BL123" s="447"/>
      <c r="BM123" s="447"/>
      <c r="BN123" s="447"/>
      <c r="BO123" s="447"/>
      <c r="BP123" s="447"/>
      <c r="BQ123" s="447"/>
      <c r="BR123" s="447"/>
      <c r="BS123" s="447"/>
      <c r="BT123" s="764"/>
      <c r="BU123" s="764"/>
      <c r="BV123" s="764"/>
      <c r="BW123" s="764"/>
      <c r="BX123" s="764"/>
      <c r="BY123" s="764"/>
      <c r="BZ123" s="764"/>
    </row>
    <row r="124" spans="1:78" s="749" customFormat="1" ht="18" customHeight="1" thickBot="1" x14ac:dyDescent="0.3">
      <c r="A124" s="198"/>
      <c r="B124" s="198"/>
      <c r="C124" s="198"/>
      <c r="D124" s="198"/>
      <c r="E124" s="198"/>
      <c r="F124" s="764"/>
      <c r="G124" s="497"/>
      <c r="H124" s="1256"/>
      <c r="I124" s="1256"/>
      <c r="J124" s="1256"/>
      <c r="K124" s="1256"/>
      <c r="L124" s="1256"/>
      <c r="M124" s="1256"/>
      <c r="N124" s="1256"/>
      <c r="O124" s="1256"/>
      <c r="P124" s="1256"/>
      <c r="Q124" s="1256"/>
      <c r="R124" s="1256"/>
      <c r="S124" s="398"/>
      <c r="T124" s="398"/>
      <c r="U124" s="398"/>
      <c r="V124" s="1256"/>
      <c r="W124" s="1256"/>
      <c r="X124" s="1256"/>
      <c r="Y124" s="1256"/>
      <c r="Z124" s="498"/>
      <c r="AA124" s="1255"/>
      <c r="AB124" s="764"/>
      <c r="AC124" s="912"/>
      <c r="AD124" s="913"/>
      <c r="AE124" s="913"/>
      <c r="AF124" s="913"/>
      <c r="AG124" s="913"/>
      <c r="AH124" s="913"/>
      <c r="AI124" s="913"/>
      <c r="AJ124" s="913"/>
      <c r="AK124" s="913"/>
      <c r="AL124" s="913"/>
      <c r="AM124" s="913"/>
      <c r="AN124" s="913"/>
      <c r="AO124" s="913"/>
      <c r="AP124" s="913"/>
      <c r="AQ124" s="913"/>
      <c r="AR124" s="913"/>
      <c r="AS124" s="913"/>
      <c r="AT124" s="913"/>
      <c r="AU124" s="913"/>
      <c r="AV124" s="913"/>
      <c r="AW124" s="913"/>
      <c r="AX124" s="913"/>
      <c r="AY124" s="913"/>
      <c r="AZ124" s="913"/>
      <c r="BA124" s="913"/>
      <c r="BB124" s="913"/>
      <c r="BC124" s="913"/>
      <c r="BD124" s="913"/>
      <c r="BE124" s="913"/>
      <c r="BF124" s="913"/>
      <c r="BG124" s="914"/>
      <c r="BH124" s="764"/>
      <c r="BI124" s="764"/>
      <c r="BJ124" s="764"/>
      <c r="BK124" s="764"/>
      <c r="BL124" s="764"/>
      <c r="BM124" s="764"/>
      <c r="BN124" s="764"/>
      <c r="BO124" s="764"/>
      <c r="BP124" s="764"/>
      <c r="BQ124" s="764"/>
      <c r="BR124" s="764"/>
      <c r="BS124" s="764"/>
      <c r="BT124" s="764"/>
      <c r="BU124" s="764"/>
      <c r="BV124" s="764"/>
      <c r="BW124" s="764"/>
      <c r="BX124" s="764"/>
      <c r="BY124" s="764"/>
      <c r="BZ124" s="764"/>
    </row>
    <row r="125" spans="1:78" ht="5.4" customHeight="1" x14ac:dyDescent="0.25">
      <c r="A125" s="198"/>
      <c r="B125" s="198"/>
      <c r="C125" s="198"/>
      <c r="D125" s="198"/>
      <c r="E125" s="198"/>
      <c r="F125" s="1255"/>
      <c r="G125" s="1255"/>
      <c r="H125" s="1255"/>
      <c r="I125" s="1255"/>
      <c r="J125" s="1255"/>
      <c r="K125" s="1255"/>
      <c r="L125" s="1255"/>
      <c r="M125" s="1255"/>
      <c r="N125" s="1255"/>
      <c r="O125" s="1255"/>
      <c r="P125" s="1255"/>
      <c r="Q125" s="1255"/>
      <c r="R125" s="1255"/>
      <c r="S125" s="1255"/>
      <c r="T125" s="1255"/>
      <c r="U125" s="1255"/>
      <c r="V125" s="1255"/>
      <c r="W125" s="1255"/>
      <c r="X125" s="1255"/>
      <c r="Y125" s="1255"/>
      <c r="Z125" s="1255"/>
      <c r="AA125" s="1255"/>
      <c r="AB125" s="447"/>
      <c r="AC125" s="764"/>
      <c r="AD125" s="764"/>
      <c r="AE125" s="764"/>
      <c r="AF125" s="764"/>
      <c r="AG125" s="764"/>
      <c r="AH125" s="764"/>
      <c r="AI125" s="764"/>
      <c r="AJ125" s="764"/>
      <c r="AK125" s="764"/>
      <c r="AL125" s="764"/>
      <c r="AM125" s="764"/>
      <c r="AN125" s="764"/>
      <c r="AO125" s="764"/>
      <c r="AP125" s="764"/>
      <c r="AQ125" s="764"/>
      <c r="AR125" s="764"/>
      <c r="AS125" s="764"/>
      <c r="AT125" s="764"/>
      <c r="AU125" s="764"/>
      <c r="AV125" s="764"/>
      <c r="AW125" s="764"/>
      <c r="AX125" s="764"/>
      <c r="AY125" s="764"/>
      <c r="AZ125" s="764"/>
      <c r="BA125" s="764"/>
      <c r="BB125" s="764"/>
      <c r="BC125" s="764"/>
      <c r="BD125" s="764"/>
      <c r="BE125" s="764"/>
      <c r="BF125" s="764"/>
      <c r="BG125" s="764"/>
      <c r="BH125" s="764"/>
      <c r="BI125" s="764"/>
      <c r="BJ125" s="447"/>
      <c r="BK125" s="447"/>
      <c r="BL125" s="447"/>
      <c r="BM125" s="447"/>
      <c r="BN125" s="447"/>
      <c r="BO125" s="447"/>
      <c r="BP125" s="447"/>
      <c r="BQ125" s="447"/>
      <c r="BR125" s="447"/>
      <c r="BS125" s="447"/>
      <c r="BT125" s="764"/>
      <c r="BU125" s="764"/>
      <c r="BV125" s="764"/>
      <c r="BW125" s="764"/>
      <c r="BX125" s="764"/>
      <c r="BY125" s="764"/>
      <c r="BZ125" s="764"/>
    </row>
    <row r="126" spans="1:78" s="749" customFormat="1" ht="18" customHeight="1" x14ac:dyDescent="0.25">
      <c r="E126" s="198"/>
      <c r="F126" s="1255"/>
      <c r="G126" s="1255"/>
      <c r="H126" s="1255"/>
      <c r="I126" s="1255"/>
      <c r="J126" s="1255"/>
      <c r="K126" s="1255"/>
      <c r="L126" s="1255"/>
      <c r="M126" s="1255"/>
      <c r="N126" s="1255"/>
      <c r="O126" s="1255"/>
      <c r="P126" s="1255"/>
      <c r="Q126" s="1255"/>
      <c r="R126" s="1255"/>
      <c r="S126" s="1255"/>
      <c r="T126" s="1255"/>
      <c r="U126" s="1255"/>
      <c r="V126" s="1255"/>
      <c r="W126" s="1255"/>
      <c r="X126" s="1255"/>
      <c r="Y126" s="1255"/>
      <c r="Z126" s="1255"/>
      <c r="AA126" s="1255"/>
      <c r="AB126" s="764"/>
      <c r="AC126" s="764"/>
      <c r="AD126" s="764"/>
      <c r="AE126" s="764"/>
      <c r="AF126" s="764"/>
      <c r="AG126" s="764"/>
      <c r="AH126" s="764"/>
      <c r="AI126" s="764"/>
      <c r="AJ126" s="764"/>
      <c r="AK126" s="764"/>
      <c r="AL126" s="764"/>
      <c r="AM126" s="764"/>
      <c r="AN126" s="764"/>
      <c r="AO126" s="764"/>
      <c r="AP126" s="764"/>
      <c r="AQ126" s="764"/>
      <c r="AR126" s="764"/>
      <c r="AS126" s="764"/>
      <c r="AT126" s="764"/>
      <c r="AU126" s="764"/>
      <c r="AV126" s="764"/>
      <c r="AW126" s="764"/>
      <c r="AX126" s="764"/>
      <c r="AY126" s="764"/>
      <c r="AZ126" s="764"/>
      <c r="BA126" s="764"/>
      <c r="BB126" s="764"/>
      <c r="BC126" s="764"/>
      <c r="BD126" s="764"/>
      <c r="BE126" s="764"/>
      <c r="BF126" s="764"/>
      <c r="BG126" s="764"/>
      <c r="BH126" s="764"/>
      <c r="BI126" s="764"/>
      <c r="BJ126" s="764"/>
      <c r="BK126" s="764"/>
      <c r="BL126" s="764"/>
      <c r="BM126" s="764"/>
      <c r="BN126" s="764"/>
      <c r="BO126" s="764"/>
      <c r="BP126" s="764"/>
      <c r="BQ126" s="764"/>
      <c r="BR126" s="764"/>
      <c r="BS126" s="764"/>
      <c r="BT126" s="764"/>
      <c r="BU126" s="764"/>
      <c r="BV126" s="764"/>
      <c r="BW126" s="764"/>
      <c r="BX126" s="764"/>
      <c r="BY126" s="764"/>
      <c r="BZ126" s="764"/>
    </row>
    <row r="127" spans="1:78" s="749" customFormat="1" ht="5.4" customHeight="1" x14ac:dyDescent="0.25">
      <c r="A127" s="198"/>
      <c r="B127" s="198"/>
      <c r="C127" s="198"/>
      <c r="D127" s="198"/>
      <c r="E127" s="198"/>
      <c r="F127" s="1255"/>
      <c r="G127" s="1255"/>
      <c r="H127" s="1255"/>
      <c r="I127" s="1255"/>
      <c r="J127" s="1255"/>
      <c r="K127" s="1255"/>
      <c r="L127" s="1255"/>
      <c r="M127" s="1255"/>
      <c r="N127" s="1255"/>
      <c r="O127" s="1255"/>
      <c r="P127" s="1255"/>
      <c r="Q127" s="1255"/>
      <c r="R127" s="1255"/>
      <c r="S127" s="1255"/>
      <c r="T127" s="1255"/>
      <c r="U127" s="1255"/>
      <c r="V127" s="1255"/>
      <c r="W127" s="1255"/>
      <c r="X127" s="1255"/>
      <c r="Y127" s="1255"/>
      <c r="Z127" s="1255"/>
      <c r="AA127" s="1255"/>
      <c r="AB127" s="764"/>
      <c r="AC127" s="764"/>
      <c r="AD127" s="764"/>
      <c r="AE127" s="764"/>
      <c r="AF127" s="764"/>
      <c r="AG127" s="764"/>
      <c r="AH127" s="764"/>
      <c r="AI127" s="764"/>
      <c r="AJ127" s="764"/>
      <c r="AK127" s="764"/>
      <c r="AL127" s="764"/>
      <c r="AM127" s="764"/>
      <c r="AN127" s="764"/>
      <c r="AO127" s="764"/>
      <c r="AP127" s="764"/>
      <c r="AQ127" s="764"/>
      <c r="AR127" s="764"/>
      <c r="AS127" s="764"/>
      <c r="AT127" s="764"/>
      <c r="AU127" s="764"/>
      <c r="AV127" s="764"/>
      <c r="AW127" s="764"/>
      <c r="AX127" s="764"/>
      <c r="AY127" s="764"/>
      <c r="AZ127" s="764"/>
      <c r="BA127" s="764"/>
      <c r="BB127" s="764"/>
      <c r="BC127" s="764"/>
      <c r="BD127" s="764"/>
      <c r="BE127" s="764"/>
      <c r="BF127" s="764"/>
      <c r="BG127" s="764"/>
      <c r="BH127" s="764"/>
      <c r="BI127" s="764"/>
      <c r="BJ127" s="764"/>
      <c r="BK127" s="764"/>
      <c r="BL127" s="764"/>
      <c r="BM127" s="764"/>
      <c r="BN127" s="764"/>
      <c r="BO127" s="764"/>
      <c r="BP127" s="764"/>
      <c r="BQ127" s="764"/>
      <c r="BR127" s="764"/>
      <c r="BS127" s="764"/>
      <c r="BT127" s="764"/>
      <c r="BU127" s="764"/>
      <c r="BV127" s="764"/>
      <c r="BW127" s="764"/>
      <c r="BX127" s="764"/>
      <c r="BY127" s="764"/>
      <c r="BZ127" s="764"/>
    </row>
    <row r="128" spans="1:78" s="749" customFormat="1" ht="18" customHeight="1" x14ac:dyDescent="0.25">
      <c r="A128" s="3432" t="str">
        <f>INDEX('PU List'!$K$31:$K$396,MATCH($S$55,'PU List'!$D$31:$D$396,0))</f>
        <v>BIE Highways</v>
      </c>
      <c r="B128" s="3433"/>
      <c r="C128" s="3433"/>
      <c r="D128" s="3434"/>
      <c r="E128" s="198"/>
      <c r="F128" s="1255"/>
      <c r="G128" s="1255"/>
      <c r="H128" s="1255"/>
      <c r="I128" s="1255"/>
      <c r="J128" s="1255"/>
      <c r="K128" s="1255"/>
      <c r="L128" s="1255"/>
      <c r="M128" s="1255"/>
      <c r="N128" s="1255"/>
      <c r="O128" s="1255"/>
      <c r="P128" s="1255"/>
      <c r="Q128" s="1255"/>
      <c r="R128" s="1255"/>
      <c r="S128" s="1255"/>
      <c r="T128" s="1255"/>
      <c r="U128" s="1255"/>
      <c r="V128" s="1255"/>
      <c r="W128" s="1255"/>
      <c r="X128" s="1255"/>
      <c r="Y128" s="1255"/>
      <c r="Z128" s="1255"/>
      <c r="AA128" s="1255"/>
      <c r="AB128" s="764"/>
      <c r="AC128" s="764"/>
      <c r="AD128" s="764"/>
      <c r="AE128" s="764"/>
      <c r="AF128" s="764"/>
      <c r="AG128" s="764"/>
      <c r="AH128" s="764"/>
      <c r="AI128" s="764"/>
      <c r="AJ128" s="764"/>
      <c r="AK128" s="764"/>
      <c r="AL128" s="764"/>
      <c r="AM128" s="764"/>
      <c r="AN128" s="764"/>
      <c r="AO128" s="764"/>
      <c r="AP128" s="764"/>
      <c r="AQ128" s="764"/>
      <c r="AR128" s="764"/>
      <c r="AS128" s="764"/>
      <c r="AT128" s="764"/>
      <c r="AU128" s="764"/>
      <c r="AV128" s="764"/>
      <c r="AW128" s="764"/>
      <c r="AX128" s="764"/>
      <c r="AY128" s="764"/>
      <c r="AZ128" s="764"/>
      <c r="BA128" s="764"/>
      <c r="BB128" s="764"/>
      <c r="BC128" s="764"/>
      <c r="BD128" s="764"/>
      <c r="BE128" s="764"/>
      <c r="BF128" s="764"/>
      <c r="BG128" s="764"/>
      <c r="BH128" s="764"/>
      <c r="BI128" s="764"/>
      <c r="BJ128" s="764"/>
      <c r="BK128" s="764"/>
      <c r="BL128" s="764"/>
      <c r="BM128" s="764"/>
      <c r="BN128" s="764"/>
      <c r="BO128" s="764"/>
      <c r="BP128" s="764"/>
      <c r="BQ128" s="764"/>
      <c r="BR128" s="764"/>
      <c r="BS128" s="764"/>
      <c r="BT128" s="764"/>
      <c r="BU128" s="764"/>
      <c r="BV128" s="764"/>
      <c r="BW128" s="764"/>
      <c r="BX128" s="764"/>
      <c r="BY128" s="764"/>
      <c r="BZ128" s="764"/>
    </row>
    <row r="129" spans="1:78" ht="43.95" customHeight="1" x14ac:dyDescent="0.25">
      <c r="A129" s="198"/>
      <c r="B129" s="198"/>
      <c r="C129" s="198"/>
      <c r="D129" s="198"/>
      <c r="E129" s="198"/>
      <c r="F129" s="1255"/>
      <c r="G129" s="1255"/>
      <c r="H129" s="1255"/>
      <c r="I129" s="1255"/>
      <c r="J129" s="1255"/>
      <c r="K129" s="1255"/>
      <c r="L129" s="1255"/>
      <c r="M129" s="1255"/>
      <c r="N129" s="1255"/>
      <c r="O129" s="1255"/>
      <c r="P129" s="1255"/>
      <c r="Q129" s="1255"/>
      <c r="R129" s="1255"/>
      <c r="S129" s="1255"/>
      <c r="T129" s="1255"/>
      <c r="U129" s="1255"/>
      <c r="V129" s="1255"/>
      <c r="W129" s="1255"/>
      <c r="X129" s="1255"/>
      <c r="Y129" s="1255"/>
      <c r="Z129" s="1255"/>
      <c r="AA129" s="1255"/>
      <c r="AB129" s="447"/>
      <c r="AC129" s="764"/>
      <c r="AD129" s="447"/>
      <c r="AE129" s="447"/>
      <c r="AF129" s="447"/>
      <c r="AG129" s="764"/>
      <c r="AH129" s="447"/>
      <c r="AI129" s="764"/>
      <c r="AJ129" s="764"/>
      <c r="AK129" s="764"/>
      <c r="AL129" s="764"/>
      <c r="AM129" s="764"/>
      <c r="AN129" s="764"/>
      <c r="AO129" s="764"/>
      <c r="AP129" s="764"/>
      <c r="AQ129" s="764"/>
      <c r="AR129" s="447"/>
      <c r="AS129" s="764"/>
      <c r="AT129" s="764"/>
      <c r="AU129" s="764"/>
      <c r="AV129" s="764"/>
      <c r="AW129" s="764"/>
      <c r="AX129" s="764"/>
      <c r="AY129" s="764"/>
      <c r="AZ129" s="764"/>
      <c r="BA129" s="764"/>
      <c r="BB129" s="764"/>
      <c r="BC129" s="764"/>
      <c r="BD129" s="764"/>
      <c r="BE129" s="764"/>
      <c r="BF129" s="764"/>
      <c r="BG129" s="764"/>
      <c r="BH129" s="764"/>
      <c r="BI129" s="764"/>
      <c r="BJ129" s="447"/>
      <c r="BK129" s="447"/>
      <c r="BL129" s="447"/>
      <c r="BM129" s="447"/>
      <c r="BN129" s="447"/>
      <c r="BO129" s="447"/>
      <c r="BP129" s="447"/>
      <c r="BQ129" s="447"/>
      <c r="BR129" s="447"/>
      <c r="BS129" s="447"/>
      <c r="BT129" s="764"/>
      <c r="BU129" s="764"/>
      <c r="BV129" s="764"/>
      <c r="BW129" s="764"/>
      <c r="BX129" s="764"/>
      <c r="BY129" s="764"/>
      <c r="BZ129" s="764"/>
    </row>
    <row r="130" spans="1:78" ht="18" customHeight="1" x14ac:dyDescent="0.25">
      <c r="A130" s="198"/>
      <c r="B130" s="198"/>
      <c r="C130" s="198"/>
      <c r="D130" s="198"/>
      <c r="E130" s="198"/>
      <c r="F130" s="447"/>
      <c r="G130" s="447"/>
      <c r="H130" s="447"/>
      <c r="I130" s="447"/>
      <c r="J130" s="447"/>
      <c r="K130" s="447"/>
      <c r="L130" s="447"/>
      <c r="M130" s="447"/>
      <c r="N130" s="447"/>
      <c r="O130" s="447"/>
      <c r="P130" s="447"/>
      <c r="Q130" s="447"/>
      <c r="R130" s="447"/>
      <c r="S130" s="447"/>
      <c r="T130" s="447"/>
      <c r="U130" s="447"/>
      <c r="V130" s="447"/>
      <c r="W130" s="447"/>
      <c r="X130" s="447"/>
      <c r="Y130" s="764"/>
      <c r="Z130" s="447"/>
      <c r="AA130" s="447"/>
      <c r="AB130" s="447"/>
      <c r="AC130" s="764"/>
      <c r="AD130" s="447"/>
      <c r="AE130" s="447"/>
      <c r="AF130" s="447"/>
      <c r="AG130" s="764"/>
      <c r="AH130" s="447"/>
      <c r="AI130" s="764"/>
      <c r="AJ130" s="764"/>
      <c r="AK130" s="764"/>
      <c r="AL130" s="764"/>
      <c r="AM130" s="764"/>
      <c r="AN130" s="764"/>
      <c r="AO130" s="764"/>
      <c r="AP130" s="764"/>
      <c r="AQ130" s="764"/>
      <c r="AR130" s="447"/>
      <c r="AS130" s="764"/>
      <c r="AT130" s="764"/>
      <c r="AU130" s="764"/>
      <c r="AV130" s="764"/>
      <c r="AW130" s="764"/>
      <c r="AX130" s="764"/>
      <c r="AY130" s="764"/>
      <c r="AZ130" s="764"/>
      <c r="BA130" s="764"/>
      <c r="BB130" s="764"/>
      <c r="BC130" s="764"/>
      <c r="BD130" s="764"/>
      <c r="BE130" s="764"/>
      <c r="BF130" s="764"/>
      <c r="BG130" s="764"/>
      <c r="BH130" s="764"/>
      <c r="BI130" s="764"/>
      <c r="BJ130" s="447"/>
      <c r="BK130" s="447"/>
      <c r="BL130" s="447"/>
      <c r="BM130" s="447"/>
      <c r="BN130" s="447"/>
      <c r="BO130" s="447"/>
      <c r="BP130" s="447"/>
      <c r="BQ130" s="447"/>
      <c r="BR130" s="447"/>
      <c r="BS130" s="447"/>
      <c r="BT130" s="764"/>
      <c r="BU130" s="764"/>
      <c r="BV130" s="764"/>
      <c r="BW130" s="764"/>
      <c r="BX130" s="764"/>
      <c r="BY130" s="764"/>
      <c r="BZ130" s="764"/>
    </row>
    <row r="131" spans="1:78" s="272" customFormat="1" ht="18" customHeight="1" x14ac:dyDescent="0.25">
      <c r="A131" s="198"/>
      <c r="B131" s="198"/>
      <c r="C131" s="198"/>
      <c r="D131" s="198"/>
      <c r="E131" s="198"/>
      <c r="F131" s="447"/>
      <c r="G131" s="447"/>
      <c r="H131" s="447"/>
      <c r="I131" s="447"/>
      <c r="J131" s="447"/>
      <c r="K131" s="447"/>
      <c r="L131" s="447"/>
      <c r="M131" s="447"/>
      <c r="N131" s="447"/>
      <c r="O131" s="447"/>
      <c r="P131" s="447"/>
      <c r="Q131" s="447"/>
      <c r="R131" s="447"/>
      <c r="S131" s="447"/>
      <c r="T131" s="447"/>
      <c r="U131" s="447"/>
      <c r="V131" s="447"/>
      <c r="W131" s="447"/>
      <c r="X131" s="447"/>
      <c r="Y131" s="764"/>
      <c r="Z131" s="447"/>
      <c r="AA131" s="447"/>
      <c r="AB131" s="447"/>
      <c r="AC131" s="764"/>
      <c r="AD131" s="447"/>
      <c r="AE131" s="447"/>
      <c r="AF131" s="447"/>
      <c r="AG131" s="764"/>
      <c r="AH131" s="447"/>
      <c r="AI131" s="764"/>
      <c r="AJ131" s="764"/>
      <c r="AK131" s="764"/>
      <c r="AL131" s="764"/>
      <c r="AM131" s="764"/>
      <c r="AN131" s="764"/>
      <c r="AO131" s="764"/>
      <c r="AP131" s="764"/>
      <c r="AQ131" s="764"/>
      <c r="AR131" s="447"/>
      <c r="AS131" s="764"/>
      <c r="AT131" s="764"/>
      <c r="AU131" s="764"/>
      <c r="AV131" s="764"/>
      <c r="AW131" s="764"/>
      <c r="AX131" s="764"/>
      <c r="AY131" s="764"/>
      <c r="AZ131" s="764"/>
      <c r="BA131" s="764"/>
      <c r="BB131" s="764"/>
      <c r="BC131" s="764"/>
      <c r="BD131" s="764"/>
      <c r="BE131" s="764"/>
      <c r="BF131" s="764"/>
      <c r="BG131" s="764"/>
      <c r="BH131" s="764"/>
      <c r="BI131" s="764"/>
      <c r="BJ131" s="447"/>
      <c r="BK131" s="447"/>
      <c r="BL131" s="447"/>
      <c r="BM131" s="447"/>
      <c r="BN131" s="447"/>
      <c r="BO131" s="447"/>
      <c r="BP131" s="447"/>
      <c r="BQ131" s="447"/>
      <c r="BR131" s="447"/>
      <c r="BS131" s="447"/>
      <c r="BT131" s="764"/>
      <c r="BU131" s="764"/>
      <c r="BV131" s="764"/>
      <c r="BW131" s="764"/>
      <c r="BX131" s="764"/>
      <c r="BY131" s="764"/>
      <c r="BZ131" s="764"/>
    </row>
    <row r="132" spans="1:78" s="272" customFormat="1" ht="18" customHeight="1" x14ac:dyDescent="0.25">
      <c r="A132" s="198"/>
      <c r="B132" s="198"/>
      <c r="C132" s="198"/>
      <c r="D132" s="198"/>
      <c r="E132" s="198"/>
      <c r="F132" s="447"/>
      <c r="G132" s="447"/>
      <c r="H132" s="447"/>
      <c r="I132" s="447"/>
      <c r="J132" s="447"/>
      <c r="K132" s="447"/>
      <c r="L132" s="447"/>
      <c r="M132" s="447"/>
      <c r="N132" s="447"/>
      <c r="O132" s="447"/>
      <c r="P132" s="447"/>
      <c r="Q132" s="447"/>
      <c r="R132" s="447"/>
      <c r="S132" s="447"/>
      <c r="T132" s="447"/>
      <c r="U132" s="447"/>
      <c r="V132" s="447"/>
      <c r="W132" s="447"/>
      <c r="X132" s="447"/>
      <c r="Y132" s="764"/>
      <c r="Z132" s="447"/>
      <c r="AA132" s="447"/>
      <c r="AB132" s="447"/>
      <c r="AC132" s="764"/>
      <c r="AD132" s="447"/>
      <c r="AE132" s="447"/>
      <c r="AF132" s="447"/>
      <c r="AG132" s="764"/>
      <c r="AH132" s="447"/>
      <c r="AI132" s="764"/>
      <c r="AJ132" s="764"/>
      <c r="AK132" s="764"/>
      <c r="AL132" s="764"/>
      <c r="AM132" s="764"/>
      <c r="AN132" s="764"/>
      <c r="AO132" s="764"/>
      <c r="AP132" s="764"/>
      <c r="AQ132" s="764"/>
      <c r="AR132" s="447"/>
      <c r="AS132" s="764"/>
      <c r="AT132" s="764"/>
      <c r="AU132" s="764"/>
      <c r="AV132" s="764"/>
      <c r="AW132" s="764"/>
      <c r="AX132" s="764"/>
      <c r="AY132" s="764"/>
      <c r="AZ132" s="764"/>
      <c r="BA132" s="764"/>
      <c r="BB132" s="764"/>
      <c r="BC132" s="764"/>
      <c r="BD132" s="764"/>
      <c r="BE132" s="764"/>
      <c r="BF132" s="764"/>
      <c r="BG132" s="764"/>
      <c r="BH132" s="764"/>
      <c r="BI132" s="764"/>
      <c r="BJ132" s="447"/>
      <c r="BK132" s="447"/>
      <c r="BL132" s="447"/>
      <c r="BM132" s="447"/>
      <c r="BN132" s="447"/>
      <c r="BO132" s="447"/>
      <c r="BP132" s="447"/>
      <c r="BQ132" s="447"/>
      <c r="BR132" s="447"/>
      <c r="BS132" s="447"/>
      <c r="BT132" s="764"/>
      <c r="BU132" s="764"/>
      <c r="BV132" s="764"/>
      <c r="BW132" s="764"/>
      <c r="BX132" s="764"/>
      <c r="BY132" s="764"/>
      <c r="BZ132" s="764"/>
    </row>
    <row r="133" spans="1:78" s="272" customFormat="1" ht="13.8" x14ac:dyDescent="0.25">
      <c r="A133" s="198"/>
      <c r="B133" s="198"/>
      <c r="C133" s="198"/>
      <c r="D133" s="198"/>
      <c r="E133" s="198"/>
      <c r="F133" s="447"/>
      <c r="G133" s="447"/>
      <c r="H133" s="447"/>
      <c r="I133" s="447"/>
      <c r="J133" s="447"/>
      <c r="K133" s="447"/>
      <c r="L133" s="447"/>
      <c r="M133" s="447"/>
      <c r="N133" s="447"/>
      <c r="O133" s="447"/>
      <c r="P133" s="447"/>
      <c r="Q133" s="447"/>
      <c r="R133" s="447"/>
      <c r="S133" s="447"/>
      <c r="T133" s="447"/>
      <c r="U133" s="447"/>
      <c r="V133" s="447"/>
      <c r="W133" s="447"/>
      <c r="X133" s="447"/>
      <c r="Y133" s="764"/>
      <c r="Z133" s="447"/>
      <c r="AA133" s="447"/>
      <c r="AB133" s="447"/>
      <c r="AC133" s="764"/>
      <c r="AD133" s="447"/>
      <c r="AE133" s="447"/>
      <c r="AF133" s="447"/>
      <c r="AG133" s="764"/>
      <c r="AH133" s="447"/>
      <c r="AI133" s="764"/>
      <c r="AJ133" s="764"/>
      <c r="AK133" s="764"/>
      <c r="AL133" s="764"/>
      <c r="AM133" s="764"/>
      <c r="AN133" s="764"/>
      <c r="AO133" s="764"/>
      <c r="AP133" s="764"/>
      <c r="AQ133" s="764"/>
      <c r="AR133" s="447"/>
      <c r="AS133" s="764"/>
      <c r="AT133" s="764"/>
      <c r="AU133" s="764"/>
      <c r="AV133" s="764"/>
      <c r="AW133" s="764"/>
      <c r="AX133" s="764"/>
      <c r="AY133" s="764"/>
      <c r="AZ133" s="764"/>
      <c r="BA133" s="764"/>
      <c r="BB133" s="764"/>
      <c r="BC133" s="764"/>
      <c r="BD133" s="764"/>
      <c r="BE133" s="764"/>
      <c r="BF133" s="764"/>
      <c r="BG133" s="764"/>
      <c r="BH133" s="764"/>
      <c r="BI133" s="764"/>
      <c r="BJ133" s="447"/>
      <c r="BK133" s="447"/>
      <c r="BL133" s="447"/>
      <c r="BM133" s="447"/>
      <c r="BN133" s="447"/>
      <c r="BO133" s="447"/>
      <c r="BP133" s="447"/>
      <c r="BQ133" s="447"/>
      <c r="BR133" s="447"/>
      <c r="BS133" s="447"/>
      <c r="BT133" s="764"/>
      <c r="BU133" s="764"/>
      <c r="BV133" s="764"/>
      <c r="BW133" s="764"/>
      <c r="BX133" s="764"/>
      <c r="BY133" s="764"/>
      <c r="BZ133" s="764"/>
    </row>
    <row r="134" spans="1:78" s="272" customFormat="1" ht="13.8" x14ac:dyDescent="0.25">
      <c r="A134" s="198"/>
      <c r="B134" s="198"/>
      <c r="C134" s="198"/>
      <c r="D134" s="198"/>
      <c r="E134" s="198"/>
      <c r="F134" s="447"/>
      <c r="G134" s="447"/>
      <c r="H134" s="447"/>
      <c r="I134" s="447"/>
      <c r="J134" s="447"/>
      <c r="K134" s="447"/>
      <c r="L134" s="447"/>
      <c r="M134" s="447"/>
      <c r="N134" s="447"/>
      <c r="O134" s="447"/>
      <c r="P134" s="447"/>
      <c r="Q134" s="447"/>
      <c r="R134" s="447"/>
      <c r="S134" s="447"/>
      <c r="T134" s="447"/>
      <c r="U134" s="447"/>
      <c r="V134" s="447"/>
      <c r="W134" s="447"/>
      <c r="X134" s="447"/>
      <c r="Y134" s="764"/>
      <c r="Z134" s="447"/>
      <c r="AA134" s="447"/>
      <c r="AB134" s="447"/>
      <c r="AC134" s="764"/>
      <c r="AD134" s="447"/>
      <c r="AE134" s="447"/>
      <c r="AF134" s="447"/>
      <c r="AG134" s="764"/>
      <c r="AH134" s="447"/>
      <c r="AI134" s="764"/>
      <c r="AJ134" s="764"/>
      <c r="AK134" s="764"/>
      <c r="AL134" s="764"/>
      <c r="AM134" s="764"/>
      <c r="AN134" s="764"/>
      <c r="AO134" s="764"/>
      <c r="AP134" s="764"/>
      <c r="AQ134" s="764"/>
      <c r="AR134" s="447"/>
      <c r="AS134" s="764"/>
      <c r="AT134" s="764"/>
      <c r="AU134" s="764"/>
      <c r="AV134" s="764"/>
      <c r="AW134" s="764"/>
      <c r="AX134" s="764"/>
      <c r="AY134" s="764"/>
      <c r="AZ134" s="764"/>
      <c r="BA134" s="764"/>
      <c r="BB134" s="764"/>
      <c r="BC134" s="764"/>
      <c r="BD134" s="764"/>
      <c r="BE134" s="764"/>
      <c r="BF134" s="764"/>
      <c r="BG134" s="764"/>
      <c r="BH134" s="764"/>
      <c r="BI134" s="764"/>
      <c r="BJ134" s="447"/>
      <c r="BK134" s="447"/>
      <c r="BL134" s="447"/>
      <c r="BM134" s="447"/>
      <c r="BN134" s="447"/>
      <c r="BO134" s="447"/>
      <c r="BP134" s="447"/>
      <c r="BQ134" s="447"/>
      <c r="BR134" s="447"/>
      <c r="BS134" s="447"/>
      <c r="BT134" s="764"/>
      <c r="BU134" s="764"/>
      <c r="BV134" s="764"/>
      <c r="BW134" s="764"/>
      <c r="BX134" s="764"/>
      <c r="BY134" s="764"/>
      <c r="BZ134" s="764"/>
    </row>
    <row r="135" spans="1:78" s="272" customFormat="1" ht="13.8" x14ac:dyDescent="0.25">
      <c r="A135" s="198"/>
      <c r="B135" s="198"/>
      <c r="C135" s="198"/>
      <c r="D135" s="198"/>
      <c r="E135" s="198"/>
      <c r="F135" s="447"/>
      <c r="G135" s="447"/>
      <c r="H135" s="447"/>
      <c r="I135" s="447"/>
      <c r="J135" s="447"/>
      <c r="K135" s="447"/>
      <c r="L135" s="447"/>
      <c r="M135" s="447"/>
      <c r="N135" s="447"/>
      <c r="O135" s="447"/>
      <c r="P135" s="447"/>
      <c r="Q135" s="447"/>
      <c r="R135" s="447"/>
      <c r="S135" s="447"/>
      <c r="T135" s="447"/>
      <c r="U135" s="447"/>
      <c r="V135" s="447"/>
      <c r="W135" s="447"/>
      <c r="X135" s="447"/>
      <c r="Y135" s="764"/>
      <c r="Z135" s="447"/>
      <c r="AA135" s="447"/>
      <c r="AB135" s="447"/>
      <c r="AC135" s="764"/>
      <c r="AD135" s="447"/>
      <c r="AE135" s="447"/>
      <c r="AF135" s="447"/>
      <c r="AG135" s="764"/>
      <c r="AH135" s="447"/>
      <c r="AI135" s="764"/>
      <c r="AJ135" s="764"/>
      <c r="AK135" s="764"/>
      <c r="AL135" s="764"/>
      <c r="AM135" s="764"/>
      <c r="AN135" s="764"/>
      <c r="AO135" s="764"/>
      <c r="AP135" s="764"/>
      <c r="AQ135" s="764"/>
      <c r="AR135" s="447"/>
      <c r="AS135" s="764"/>
      <c r="AT135" s="764"/>
      <c r="AU135" s="764"/>
      <c r="AV135" s="764"/>
      <c r="AW135" s="764"/>
      <c r="AX135" s="764"/>
      <c r="AY135" s="764"/>
      <c r="AZ135" s="764"/>
      <c r="BA135" s="764"/>
      <c r="BB135" s="764"/>
      <c r="BC135" s="764"/>
      <c r="BD135" s="764"/>
      <c r="BE135" s="764"/>
      <c r="BF135" s="764"/>
      <c r="BG135" s="764"/>
      <c r="BH135" s="764"/>
      <c r="BI135" s="764"/>
      <c r="BJ135" s="447"/>
      <c r="BK135" s="447"/>
      <c r="BL135" s="447"/>
      <c r="BM135" s="447"/>
      <c r="BN135" s="447"/>
      <c r="BO135" s="447"/>
      <c r="BP135" s="447"/>
      <c r="BQ135" s="447"/>
      <c r="BR135" s="447"/>
      <c r="BS135" s="447"/>
      <c r="BT135" s="764"/>
      <c r="BU135" s="764"/>
      <c r="BV135" s="764"/>
      <c r="BW135" s="764"/>
      <c r="BX135" s="764"/>
      <c r="BY135" s="764"/>
      <c r="BZ135" s="764"/>
    </row>
    <row r="136" spans="1:78" s="272" customFormat="1" ht="13.8" x14ac:dyDescent="0.25">
      <c r="A136" s="198"/>
      <c r="B136" s="198"/>
      <c r="C136" s="198"/>
      <c r="D136" s="198"/>
      <c r="E136" s="198"/>
      <c r="F136" s="447"/>
      <c r="G136" s="447"/>
      <c r="H136" s="447"/>
      <c r="I136" s="447"/>
      <c r="J136" s="447"/>
      <c r="K136" s="447"/>
      <c r="L136" s="447"/>
      <c r="M136" s="447"/>
      <c r="N136" s="447"/>
      <c r="O136" s="447"/>
      <c r="P136" s="447"/>
      <c r="Q136" s="447"/>
      <c r="R136" s="447"/>
      <c r="S136" s="447"/>
      <c r="T136" s="447"/>
      <c r="U136" s="447"/>
      <c r="V136" s="447"/>
      <c r="W136" s="447"/>
      <c r="X136" s="447"/>
      <c r="Y136" s="764"/>
      <c r="Z136" s="447"/>
      <c r="AA136" s="447"/>
      <c r="AB136" s="447"/>
      <c r="AC136" s="764"/>
      <c r="AD136" s="447"/>
      <c r="AE136" s="447"/>
      <c r="AF136" s="447"/>
      <c r="AG136" s="764"/>
      <c r="AH136" s="447"/>
      <c r="AI136" s="764"/>
      <c r="AJ136" s="764"/>
      <c r="AK136" s="764"/>
      <c r="AL136" s="764"/>
      <c r="AM136" s="764"/>
      <c r="AN136" s="764"/>
      <c r="AO136" s="764"/>
      <c r="AP136" s="764"/>
      <c r="AQ136" s="764"/>
      <c r="AR136" s="447"/>
      <c r="AS136" s="764"/>
      <c r="AT136" s="764"/>
      <c r="AU136" s="764"/>
      <c r="AV136" s="764"/>
      <c r="AW136" s="764"/>
      <c r="AX136" s="764"/>
      <c r="AY136" s="764"/>
      <c r="AZ136" s="764"/>
      <c r="BA136" s="764"/>
      <c r="BB136" s="764"/>
      <c r="BC136" s="764"/>
      <c r="BD136" s="764"/>
      <c r="BE136" s="764"/>
      <c r="BF136" s="764"/>
      <c r="BG136" s="764"/>
      <c r="BH136" s="764"/>
      <c r="BI136" s="764"/>
      <c r="BJ136" s="447"/>
      <c r="BK136" s="447"/>
      <c r="BL136" s="447"/>
      <c r="BM136" s="447"/>
      <c r="BN136" s="447"/>
      <c r="BO136" s="447"/>
      <c r="BP136" s="447"/>
      <c r="BQ136" s="447"/>
      <c r="BR136" s="447"/>
      <c r="BS136" s="447"/>
      <c r="BT136" s="764"/>
      <c r="BU136" s="764"/>
      <c r="BV136" s="764"/>
      <c r="BW136" s="764"/>
      <c r="BX136" s="764"/>
      <c r="BY136" s="764"/>
      <c r="BZ136" s="764"/>
    </row>
    <row r="137" spans="1:78" s="272" customFormat="1" ht="13.8" x14ac:dyDescent="0.25">
      <c r="A137" s="198"/>
      <c r="B137" s="198"/>
      <c r="C137" s="198"/>
      <c r="D137" s="198"/>
      <c r="E137" s="198"/>
      <c r="F137" s="447"/>
      <c r="G137" s="447"/>
      <c r="H137" s="447"/>
      <c r="I137" s="447"/>
      <c r="J137" s="447"/>
      <c r="K137" s="447"/>
      <c r="L137" s="447"/>
      <c r="M137" s="447"/>
      <c r="N137" s="447"/>
      <c r="O137" s="447"/>
      <c r="P137" s="447"/>
      <c r="Q137" s="447"/>
      <c r="R137" s="447"/>
      <c r="S137" s="447"/>
      <c r="T137" s="447"/>
      <c r="U137" s="447"/>
      <c r="V137" s="447"/>
      <c r="W137" s="447"/>
      <c r="X137" s="447"/>
      <c r="Y137" s="764"/>
      <c r="Z137" s="447"/>
      <c r="AA137" s="447"/>
      <c r="AB137" s="447"/>
      <c r="AC137" s="764"/>
      <c r="AD137" s="447"/>
      <c r="AE137" s="447"/>
      <c r="AF137" s="447"/>
      <c r="AG137" s="764"/>
      <c r="AH137" s="447"/>
      <c r="AI137" s="764"/>
      <c r="AJ137" s="764"/>
      <c r="AK137" s="764"/>
      <c r="AL137" s="764"/>
      <c r="AM137" s="764"/>
      <c r="AN137" s="764"/>
      <c r="AO137" s="764"/>
      <c r="AP137" s="764"/>
      <c r="AQ137" s="764"/>
      <c r="AR137" s="447"/>
      <c r="AS137" s="764"/>
      <c r="AT137" s="764"/>
      <c r="AU137" s="764"/>
      <c r="AV137" s="764"/>
      <c r="AW137" s="764"/>
      <c r="AX137" s="764"/>
      <c r="AY137" s="764"/>
      <c r="AZ137" s="764"/>
      <c r="BA137" s="764"/>
      <c r="BB137" s="764"/>
      <c r="BC137" s="764"/>
      <c r="BD137" s="764"/>
      <c r="BE137" s="764"/>
      <c r="BF137" s="764"/>
      <c r="BG137" s="764"/>
      <c r="BH137" s="764"/>
      <c r="BI137" s="764"/>
      <c r="BJ137" s="447"/>
      <c r="BK137" s="447"/>
      <c r="BL137" s="447"/>
      <c r="BM137" s="447"/>
      <c r="BN137" s="447"/>
      <c r="BO137" s="447"/>
      <c r="BP137" s="447"/>
      <c r="BQ137" s="447"/>
      <c r="BR137" s="447"/>
      <c r="BS137" s="447"/>
      <c r="BT137" s="764"/>
      <c r="BU137" s="764"/>
      <c r="BV137" s="764"/>
      <c r="BW137" s="764"/>
      <c r="BX137" s="764"/>
      <c r="BY137" s="764"/>
      <c r="BZ137" s="764"/>
    </row>
    <row r="138" spans="1:78" s="272" customFormat="1" ht="13.8" x14ac:dyDescent="0.25">
      <c r="A138" s="198"/>
      <c r="B138" s="198"/>
      <c r="C138" s="198"/>
      <c r="D138" s="198"/>
      <c r="E138" s="198"/>
      <c r="F138" s="447"/>
      <c r="G138" s="447"/>
      <c r="H138" s="447"/>
      <c r="I138" s="447"/>
      <c r="J138" s="447"/>
      <c r="K138" s="447"/>
      <c r="L138" s="447"/>
      <c r="M138" s="447"/>
      <c r="N138" s="447"/>
      <c r="O138" s="447"/>
      <c r="P138" s="447"/>
      <c r="Q138" s="447"/>
      <c r="R138" s="447"/>
      <c r="S138" s="447"/>
      <c r="T138" s="447"/>
      <c r="U138" s="447"/>
      <c r="V138" s="447"/>
      <c r="W138" s="447"/>
      <c r="X138" s="447"/>
      <c r="Y138" s="764"/>
      <c r="Z138" s="447"/>
      <c r="AA138" s="447"/>
      <c r="AB138" s="447"/>
      <c r="AC138" s="764"/>
      <c r="AD138" s="447"/>
      <c r="AE138" s="447"/>
      <c r="AF138" s="447"/>
      <c r="AG138" s="764"/>
      <c r="AH138" s="447"/>
      <c r="AI138" s="764"/>
      <c r="AJ138" s="764"/>
      <c r="AK138" s="764"/>
      <c r="AL138" s="764"/>
      <c r="AM138" s="764"/>
      <c r="AN138" s="764"/>
      <c r="AO138" s="764"/>
      <c r="AP138" s="764"/>
      <c r="AQ138" s="764"/>
      <c r="AR138" s="447"/>
      <c r="AS138" s="764"/>
      <c r="AT138" s="764"/>
      <c r="AU138" s="764"/>
      <c r="AV138" s="764"/>
      <c r="AW138" s="764"/>
      <c r="AX138" s="764"/>
      <c r="AY138" s="764"/>
      <c r="AZ138" s="764"/>
      <c r="BA138" s="764"/>
      <c r="BB138" s="764"/>
      <c r="BC138" s="764"/>
      <c r="BD138" s="764"/>
      <c r="BE138" s="764"/>
      <c r="BF138" s="764"/>
      <c r="BG138" s="764"/>
      <c r="BH138" s="764"/>
      <c r="BI138" s="764"/>
      <c r="BJ138" s="447"/>
      <c r="BK138" s="447"/>
      <c r="BL138" s="447"/>
      <c r="BM138" s="447"/>
      <c r="BN138" s="447"/>
      <c r="BO138" s="447"/>
      <c r="BP138" s="447"/>
      <c r="BQ138" s="447"/>
      <c r="BR138" s="447"/>
      <c r="BS138" s="447"/>
      <c r="BT138" s="764"/>
      <c r="BU138" s="764"/>
      <c r="BV138" s="764"/>
      <c r="BW138" s="764"/>
      <c r="BX138" s="764"/>
      <c r="BY138" s="764"/>
      <c r="BZ138" s="764"/>
    </row>
    <row r="139" spans="1:78" s="272" customFormat="1" ht="13.8" x14ac:dyDescent="0.25">
      <c r="A139" s="198"/>
      <c r="B139" s="198"/>
      <c r="C139" s="198"/>
      <c r="D139" s="198"/>
      <c r="E139" s="198"/>
      <c r="F139" s="447"/>
      <c r="G139" s="447"/>
      <c r="H139" s="447"/>
      <c r="I139" s="447"/>
      <c r="J139" s="447"/>
      <c r="K139" s="447"/>
      <c r="L139" s="447"/>
      <c r="M139" s="447"/>
      <c r="N139" s="447"/>
      <c r="O139" s="447"/>
      <c r="P139" s="447"/>
      <c r="Q139" s="447"/>
      <c r="R139" s="447"/>
      <c r="S139" s="447"/>
      <c r="T139" s="447"/>
      <c r="U139" s="447"/>
      <c r="V139" s="447"/>
      <c r="W139" s="447"/>
      <c r="X139" s="447"/>
      <c r="Y139" s="764"/>
      <c r="Z139" s="447"/>
      <c r="AA139" s="447"/>
      <c r="AB139" s="447"/>
      <c r="AC139" s="764"/>
      <c r="AD139" s="447"/>
      <c r="AE139" s="447"/>
      <c r="AF139" s="447"/>
      <c r="AG139" s="764"/>
      <c r="AH139" s="447"/>
      <c r="AI139" s="764"/>
      <c r="AJ139" s="764"/>
      <c r="AK139" s="764"/>
      <c r="AL139" s="764"/>
      <c r="AM139" s="764"/>
      <c r="AN139" s="764"/>
      <c r="AO139" s="764"/>
      <c r="AP139" s="764"/>
      <c r="AQ139" s="764"/>
      <c r="AR139" s="447"/>
      <c r="AS139" s="764"/>
      <c r="AT139" s="764"/>
      <c r="AU139" s="764"/>
      <c r="AV139" s="764"/>
      <c r="AW139" s="764"/>
      <c r="AX139" s="764"/>
      <c r="AY139" s="764"/>
      <c r="AZ139" s="764"/>
      <c r="BA139" s="764"/>
      <c r="BB139" s="764"/>
      <c r="BC139" s="764"/>
      <c r="BD139" s="764"/>
      <c r="BE139" s="764"/>
      <c r="BF139" s="764"/>
      <c r="BG139" s="764"/>
      <c r="BH139" s="764"/>
      <c r="BI139" s="764"/>
      <c r="BJ139" s="447"/>
      <c r="BK139" s="447"/>
      <c r="BL139" s="447"/>
      <c r="BM139" s="447"/>
      <c r="BN139" s="447"/>
      <c r="BO139" s="447"/>
      <c r="BP139" s="447"/>
      <c r="BQ139" s="447"/>
      <c r="BR139" s="447"/>
      <c r="BS139" s="447"/>
      <c r="BT139" s="764"/>
      <c r="BU139" s="764"/>
      <c r="BV139" s="764"/>
      <c r="BW139" s="764"/>
      <c r="BX139" s="764"/>
      <c r="BY139" s="764"/>
      <c r="BZ139" s="764"/>
    </row>
    <row r="140" spans="1:78" s="272" customFormat="1" ht="13.8" x14ac:dyDescent="0.25">
      <c r="A140" s="198"/>
      <c r="B140" s="198"/>
      <c r="C140" s="198"/>
      <c r="D140" s="198"/>
      <c r="E140" s="198"/>
      <c r="F140" s="447"/>
      <c r="G140" s="447"/>
      <c r="H140" s="447"/>
      <c r="I140" s="447"/>
      <c r="J140" s="447"/>
      <c r="K140" s="447"/>
      <c r="L140" s="447"/>
      <c r="M140" s="447"/>
      <c r="N140" s="447"/>
      <c r="O140" s="447"/>
      <c r="P140" s="447"/>
      <c r="Q140" s="447"/>
      <c r="R140" s="447"/>
      <c r="S140" s="447"/>
      <c r="T140" s="447"/>
      <c r="U140" s="447"/>
      <c r="V140" s="447"/>
      <c r="W140" s="447"/>
      <c r="X140" s="447"/>
      <c r="Y140" s="764"/>
      <c r="Z140" s="447"/>
      <c r="AA140" s="447"/>
      <c r="AB140" s="447"/>
      <c r="AC140" s="764"/>
      <c r="AD140" s="447"/>
      <c r="AE140" s="447"/>
      <c r="AF140" s="447"/>
      <c r="AG140" s="764"/>
      <c r="AH140" s="447"/>
      <c r="AI140" s="764"/>
      <c r="AJ140" s="764"/>
      <c r="AK140" s="764"/>
      <c r="AL140" s="764"/>
      <c r="AM140" s="764"/>
      <c r="AN140" s="764"/>
      <c r="AO140" s="764"/>
      <c r="AP140" s="764"/>
      <c r="AQ140" s="764"/>
      <c r="AR140" s="447"/>
      <c r="AS140" s="764"/>
      <c r="AT140" s="764"/>
      <c r="AU140" s="764"/>
      <c r="AV140" s="764"/>
      <c r="AW140" s="764"/>
      <c r="AX140" s="764"/>
      <c r="AY140" s="764"/>
      <c r="AZ140" s="764"/>
      <c r="BA140" s="764"/>
      <c r="BB140" s="764"/>
      <c r="BC140" s="764"/>
      <c r="BD140" s="764"/>
      <c r="BE140" s="764"/>
      <c r="BF140" s="764"/>
      <c r="BG140" s="764"/>
      <c r="BH140" s="764"/>
      <c r="BI140" s="764"/>
      <c r="BJ140" s="447"/>
      <c r="BK140" s="447"/>
      <c r="BL140" s="447"/>
      <c r="BM140" s="447"/>
      <c r="BN140" s="447"/>
      <c r="BO140" s="447"/>
      <c r="BP140" s="447"/>
      <c r="BQ140" s="447"/>
      <c r="BR140" s="447"/>
      <c r="BS140" s="447"/>
      <c r="BT140" s="764"/>
      <c r="BU140" s="764"/>
      <c r="BV140" s="764"/>
      <c r="BW140" s="764"/>
      <c r="BX140" s="764"/>
      <c r="BY140" s="764"/>
      <c r="BZ140" s="764"/>
    </row>
    <row r="141" spans="1:78" s="272" customFormat="1" ht="13.8" x14ac:dyDescent="0.25">
      <c r="A141" s="198"/>
      <c r="B141" s="198"/>
      <c r="C141" s="198"/>
      <c r="D141" s="198"/>
      <c r="E141" s="198"/>
      <c r="F141" s="447"/>
      <c r="G141" s="447"/>
      <c r="H141" s="447"/>
      <c r="I141" s="447"/>
      <c r="J141" s="447"/>
      <c r="K141" s="447"/>
      <c r="L141" s="447"/>
      <c r="M141" s="447"/>
      <c r="N141" s="447"/>
      <c r="O141" s="447"/>
      <c r="P141" s="447"/>
      <c r="Q141" s="447"/>
      <c r="R141" s="447"/>
      <c r="S141" s="447"/>
      <c r="T141" s="447"/>
      <c r="U141" s="447"/>
      <c r="V141" s="447"/>
      <c r="W141" s="447"/>
      <c r="X141" s="447"/>
      <c r="Y141" s="764"/>
      <c r="Z141" s="447"/>
      <c r="AA141" s="447"/>
      <c r="AB141" s="447"/>
      <c r="AC141" s="764"/>
      <c r="AD141" s="447"/>
      <c r="AE141" s="447"/>
      <c r="AF141" s="447"/>
      <c r="AG141" s="764"/>
      <c r="AH141" s="447"/>
      <c r="AI141" s="764"/>
      <c r="AJ141" s="764"/>
      <c r="AK141" s="764"/>
      <c r="AL141" s="764"/>
      <c r="AM141" s="764"/>
      <c r="AN141" s="764"/>
      <c r="AO141" s="764"/>
      <c r="AP141" s="764"/>
      <c r="AQ141" s="764"/>
      <c r="AR141" s="447"/>
      <c r="AS141" s="764"/>
      <c r="AT141" s="764"/>
      <c r="AU141" s="764"/>
      <c r="AV141" s="764"/>
      <c r="AW141" s="764"/>
      <c r="AX141" s="764"/>
      <c r="AY141" s="764"/>
      <c r="AZ141" s="764"/>
      <c r="BA141" s="764"/>
      <c r="BB141" s="764"/>
      <c r="BC141" s="764"/>
      <c r="BD141" s="764"/>
      <c r="BE141" s="764"/>
      <c r="BF141" s="764"/>
      <c r="BG141" s="764"/>
      <c r="BH141" s="764"/>
      <c r="BI141" s="764"/>
      <c r="BJ141" s="447"/>
      <c r="BK141" s="447"/>
      <c r="BL141" s="447"/>
      <c r="BM141" s="447"/>
      <c r="BN141" s="447"/>
      <c r="BO141" s="447"/>
      <c r="BP141" s="447"/>
      <c r="BQ141" s="447"/>
      <c r="BR141" s="447"/>
      <c r="BS141" s="447"/>
      <c r="BT141" s="764"/>
      <c r="BU141" s="764"/>
      <c r="BV141" s="764"/>
      <c r="BW141" s="764"/>
      <c r="BX141" s="764"/>
      <c r="BY141" s="764"/>
      <c r="BZ141" s="764"/>
    </row>
    <row r="142" spans="1:78" s="272" customFormat="1" ht="13.8" x14ac:dyDescent="0.25">
      <c r="A142" s="198"/>
      <c r="B142" s="198"/>
      <c r="C142" s="198"/>
      <c r="D142" s="198"/>
      <c r="E142" s="198"/>
      <c r="F142" s="447"/>
      <c r="G142" s="447"/>
      <c r="H142" s="447"/>
      <c r="I142" s="447"/>
      <c r="J142" s="447"/>
      <c r="K142" s="447"/>
      <c r="L142" s="447"/>
      <c r="M142" s="447"/>
      <c r="N142" s="447"/>
      <c r="O142" s="447"/>
      <c r="P142" s="447"/>
      <c r="Q142" s="447"/>
      <c r="R142" s="447"/>
      <c r="S142" s="447"/>
      <c r="T142" s="447"/>
      <c r="U142" s="447"/>
      <c r="V142" s="447"/>
      <c r="W142" s="447"/>
      <c r="X142" s="447"/>
      <c r="Y142" s="764"/>
      <c r="Z142" s="447"/>
      <c r="AA142" s="447"/>
      <c r="AB142" s="447"/>
      <c r="AC142" s="764"/>
      <c r="AD142" s="447"/>
      <c r="AE142" s="447"/>
      <c r="AF142" s="447"/>
      <c r="AG142" s="764"/>
      <c r="AH142" s="447"/>
      <c r="AI142" s="764"/>
      <c r="AJ142" s="764"/>
      <c r="AK142" s="764"/>
      <c r="AL142" s="764"/>
      <c r="AM142" s="764"/>
      <c r="AN142" s="764"/>
      <c r="AO142" s="764"/>
      <c r="AP142" s="764"/>
      <c r="AQ142" s="764"/>
      <c r="AR142" s="447"/>
      <c r="AS142" s="764"/>
      <c r="AT142" s="764"/>
      <c r="AU142" s="764"/>
      <c r="AV142" s="764"/>
      <c r="AW142" s="764"/>
      <c r="AX142" s="764"/>
      <c r="AY142" s="764"/>
      <c r="AZ142" s="764"/>
      <c r="BA142" s="764"/>
      <c r="BB142" s="764"/>
      <c r="BC142" s="764"/>
      <c r="BD142" s="764"/>
      <c r="BE142" s="764"/>
      <c r="BF142" s="764"/>
      <c r="BG142" s="764"/>
      <c r="BH142" s="764"/>
      <c r="BI142" s="764"/>
      <c r="BJ142" s="447"/>
      <c r="BK142" s="447"/>
      <c r="BL142" s="447"/>
      <c r="BM142" s="447"/>
      <c r="BN142" s="447"/>
      <c r="BO142" s="447"/>
      <c r="BP142" s="447"/>
      <c r="BQ142" s="447"/>
      <c r="BR142" s="447"/>
      <c r="BS142" s="447"/>
      <c r="BT142" s="764"/>
      <c r="BU142" s="764"/>
      <c r="BV142" s="764"/>
      <c r="BW142" s="764"/>
      <c r="BX142" s="764"/>
      <c r="BY142" s="764"/>
      <c r="BZ142" s="764"/>
    </row>
    <row r="143" spans="1:78" s="272" customFormat="1" ht="13.8" x14ac:dyDescent="0.25">
      <c r="A143" s="198"/>
      <c r="B143" s="198"/>
      <c r="C143" s="198"/>
      <c r="D143" s="198"/>
      <c r="E143" s="198"/>
      <c r="F143" s="447"/>
      <c r="G143" s="447"/>
      <c r="H143" s="447"/>
      <c r="I143" s="447"/>
      <c r="J143" s="447"/>
      <c r="K143" s="447"/>
      <c r="L143" s="447"/>
      <c r="M143" s="447"/>
      <c r="N143" s="447"/>
      <c r="O143" s="447"/>
      <c r="P143" s="447"/>
      <c r="Q143" s="447"/>
      <c r="R143" s="447"/>
      <c r="S143" s="447"/>
      <c r="T143" s="447"/>
      <c r="U143" s="447"/>
      <c r="V143" s="447"/>
      <c r="W143" s="447"/>
      <c r="X143" s="447"/>
      <c r="Y143" s="764"/>
      <c r="Z143" s="447"/>
      <c r="AA143" s="447"/>
      <c r="AB143" s="447"/>
      <c r="AC143" s="764"/>
      <c r="AD143" s="447"/>
      <c r="AE143" s="447"/>
      <c r="AF143" s="447"/>
      <c r="AG143" s="764"/>
      <c r="AH143" s="447"/>
      <c r="AI143" s="764"/>
      <c r="AJ143" s="764"/>
      <c r="AK143" s="764"/>
      <c r="AL143" s="764"/>
      <c r="AM143" s="764"/>
      <c r="AN143" s="764"/>
      <c r="AO143" s="764"/>
      <c r="AP143" s="764"/>
      <c r="AQ143" s="764"/>
      <c r="AR143" s="447"/>
      <c r="AS143" s="764"/>
      <c r="AT143" s="764"/>
      <c r="AU143" s="764"/>
      <c r="AV143" s="764"/>
      <c r="AW143" s="764"/>
      <c r="AX143" s="764"/>
      <c r="AY143" s="764"/>
      <c r="AZ143" s="764"/>
      <c r="BA143" s="764"/>
      <c r="BB143" s="764"/>
      <c r="BC143" s="764"/>
      <c r="BD143" s="764"/>
      <c r="BE143" s="764"/>
      <c r="BF143" s="764"/>
      <c r="BG143" s="764"/>
      <c r="BH143" s="764"/>
      <c r="BI143" s="764"/>
      <c r="BJ143" s="447"/>
      <c r="BK143" s="447"/>
      <c r="BL143" s="447"/>
      <c r="BM143" s="447"/>
      <c r="BN143" s="447"/>
      <c r="BO143" s="447"/>
      <c r="BP143" s="447"/>
      <c r="BQ143" s="447"/>
      <c r="BR143" s="447"/>
      <c r="BS143" s="447"/>
      <c r="BT143" s="764"/>
      <c r="BU143" s="764"/>
      <c r="BV143" s="764"/>
      <c r="BW143" s="764"/>
      <c r="BX143" s="764"/>
      <c r="BY143" s="764"/>
      <c r="BZ143" s="764"/>
    </row>
    <row r="144" spans="1:78" s="272" customFormat="1" ht="13.8" x14ac:dyDescent="0.25">
      <c r="A144" s="198"/>
      <c r="B144" s="198"/>
      <c r="C144" s="198"/>
      <c r="D144" s="198"/>
      <c r="E144" s="198"/>
      <c r="F144" s="447"/>
      <c r="G144" s="447"/>
      <c r="H144" s="447"/>
      <c r="I144" s="447"/>
      <c r="J144" s="447"/>
      <c r="K144" s="447"/>
      <c r="L144" s="447"/>
      <c r="M144" s="447"/>
      <c r="N144" s="447"/>
      <c r="O144" s="447"/>
      <c r="P144" s="447"/>
      <c r="Q144" s="447"/>
      <c r="R144" s="447"/>
      <c r="S144" s="447"/>
      <c r="T144" s="447"/>
      <c r="U144" s="447"/>
      <c r="V144" s="447"/>
      <c r="W144" s="447"/>
      <c r="X144" s="447"/>
      <c r="Y144" s="764"/>
      <c r="Z144" s="447"/>
      <c r="AA144" s="447"/>
      <c r="AB144" s="447"/>
      <c r="AC144" s="764"/>
      <c r="AD144" s="447"/>
      <c r="AE144" s="447"/>
      <c r="AF144" s="447"/>
      <c r="AG144" s="764"/>
      <c r="AH144" s="447"/>
      <c r="AI144" s="764"/>
      <c r="AJ144" s="764"/>
      <c r="AK144" s="764"/>
      <c r="AL144" s="764"/>
      <c r="AM144" s="764"/>
      <c r="AN144" s="764"/>
      <c r="AO144" s="764"/>
      <c r="AP144" s="764"/>
      <c r="AQ144" s="764"/>
      <c r="AR144" s="447"/>
      <c r="AS144" s="764"/>
      <c r="AT144" s="764"/>
      <c r="AU144" s="764"/>
      <c r="AV144" s="764"/>
      <c r="AW144" s="764"/>
      <c r="AX144" s="764"/>
      <c r="AY144" s="764"/>
      <c r="AZ144" s="764"/>
      <c r="BA144" s="764"/>
      <c r="BB144" s="764"/>
      <c r="BC144" s="764"/>
      <c r="BD144" s="764"/>
      <c r="BE144" s="764"/>
      <c r="BF144" s="764"/>
      <c r="BG144" s="764"/>
      <c r="BH144" s="764"/>
      <c r="BI144" s="764"/>
      <c r="BJ144" s="447"/>
      <c r="BK144" s="447"/>
      <c r="BL144" s="447"/>
      <c r="BM144" s="447"/>
      <c r="BN144" s="447"/>
      <c r="BO144" s="447"/>
      <c r="BP144" s="447"/>
      <c r="BQ144" s="447"/>
      <c r="BR144" s="447"/>
      <c r="BS144" s="447"/>
      <c r="BT144" s="764"/>
      <c r="BU144" s="764"/>
      <c r="BV144" s="764"/>
      <c r="BW144" s="764"/>
      <c r="BX144" s="764"/>
      <c r="BY144" s="764"/>
      <c r="BZ144" s="764"/>
    </row>
    <row r="145" spans="1:78" s="272" customFormat="1" ht="13.8" x14ac:dyDescent="0.25">
      <c r="A145" s="198"/>
      <c r="B145" s="198"/>
      <c r="C145" s="198"/>
      <c r="D145" s="198"/>
      <c r="E145" s="198"/>
      <c r="F145" s="447"/>
      <c r="G145" s="447"/>
      <c r="H145" s="447"/>
      <c r="I145" s="447"/>
      <c r="J145" s="447"/>
      <c r="K145" s="447"/>
      <c r="L145" s="447"/>
      <c r="M145" s="447"/>
      <c r="N145" s="447"/>
      <c r="O145" s="447"/>
      <c r="P145" s="447"/>
      <c r="Q145" s="447"/>
      <c r="R145" s="447"/>
      <c r="S145" s="447"/>
      <c r="T145" s="447"/>
      <c r="U145" s="447"/>
      <c r="V145" s="447"/>
      <c r="W145" s="447"/>
      <c r="X145" s="447"/>
      <c r="Y145" s="764"/>
      <c r="Z145" s="447"/>
      <c r="AA145" s="447"/>
      <c r="AB145" s="447"/>
      <c r="AC145" s="764"/>
      <c r="AD145" s="447"/>
      <c r="AE145" s="447"/>
      <c r="AF145" s="447"/>
      <c r="AG145" s="764"/>
      <c r="AH145" s="447"/>
      <c r="AI145" s="764"/>
      <c r="AJ145" s="764"/>
      <c r="AK145" s="764"/>
      <c r="AL145" s="764"/>
      <c r="AM145" s="764"/>
      <c r="AN145" s="764"/>
      <c r="AO145" s="764"/>
      <c r="AP145" s="764"/>
      <c r="AQ145" s="764"/>
      <c r="AR145" s="447"/>
      <c r="AS145" s="764"/>
      <c r="AT145" s="764"/>
      <c r="AU145" s="764"/>
      <c r="AV145" s="764"/>
      <c r="AW145" s="764"/>
      <c r="AX145" s="764"/>
      <c r="AY145" s="764"/>
      <c r="AZ145" s="764"/>
      <c r="BA145" s="764"/>
      <c r="BB145" s="764"/>
      <c r="BC145" s="764"/>
      <c r="BD145" s="764"/>
      <c r="BE145" s="764"/>
      <c r="BF145" s="764"/>
      <c r="BG145" s="764"/>
      <c r="BH145" s="764"/>
      <c r="BI145" s="764"/>
      <c r="BJ145" s="447"/>
      <c r="BK145" s="447"/>
      <c r="BL145" s="447"/>
      <c r="BM145" s="447"/>
      <c r="BN145" s="447"/>
      <c r="BO145" s="447"/>
      <c r="BP145" s="447"/>
      <c r="BQ145" s="447"/>
      <c r="BR145" s="447"/>
      <c r="BS145" s="447"/>
      <c r="BT145" s="764"/>
      <c r="BU145" s="764"/>
      <c r="BV145" s="764"/>
      <c r="BW145" s="764"/>
      <c r="BX145" s="764"/>
      <c r="BY145" s="764"/>
      <c r="BZ145" s="764"/>
    </row>
    <row r="146" spans="1:78" s="272" customFormat="1" ht="13.8" x14ac:dyDescent="0.25">
      <c r="A146" s="198"/>
      <c r="B146" s="198"/>
      <c r="C146" s="198"/>
      <c r="D146" s="198"/>
      <c r="E146" s="198"/>
      <c r="F146" s="447"/>
      <c r="G146" s="447"/>
      <c r="H146" s="447"/>
      <c r="I146" s="447"/>
      <c r="J146" s="447"/>
      <c r="K146" s="447"/>
      <c r="L146" s="447"/>
      <c r="M146" s="447"/>
      <c r="N146" s="447"/>
      <c r="O146" s="447"/>
      <c r="P146" s="447"/>
      <c r="Q146" s="447"/>
      <c r="R146" s="447"/>
      <c r="S146" s="447"/>
      <c r="T146" s="447"/>
      <c r="U146" s="447"/>
      <c r="V146" s="447"/>
      <c r="W146" s="447"/>
      <c r="X146" s="447"/>
      <c r="Y146" s="764"/>
      <c r="Z146" s="447"/>
      <c r="AA146" s="447"/>
      <c r="AB146" s="447"/>
      <c r="AC146" s="764"/>
      <c r="AD146" s="447"/>
      <c r="AE146" s="447"/>
      <c r="AF146" s="447"/>
      <c r="AG146" s="764"/>
      <c r="AH146" s="447"/>
      <c r="AI146" s="764"/>
      <c r="AJ146" s="764"/>
      <c r="AK146" s="764"/>
      <c r="AL146" s="764"/>
      <c r="AM146" s="764"/>
      <c r="AN146" s="764"/>
      <c r="AO146" s="764"/>
      <c r="AP146" s="764"/>
      <c r="AQ146" s="764"/>
      <c r="AR146" s="447"/>
      <c r="AS146" s="764"/>
      <c r="AT146" s="764"/>
      <c r="AU146" s="764"/>
      <c r="AV146" s="764"/>
      <c r="AW146" s="764"/>
      <c r="AX146" s="764"/>
      <c r="AY146" s="764"/>
      <c r="AZ146" s="764"/>
      <c r="BA146" s="764"/>
      <c r="BB146" s="764"/>
      <c r="BC146" s="764"/>
      <c r="BD146" s="764"/>
      <c r="BE146" s="764"/>
      <c r="BF146" s="764"/>
      <c r="BG146" s="764"/>
      <c r="BH146" s="764"/>
      <c r="BI146" s="764"/>
      <c r="BJ146" s="447"/>
      <c r="BK146" s="447"/>
      <c r="BL146" s="447"/>
      <c r="BM146" s="447"/>
      <c r="BN146" s="447"/>
      <c r="BO146" s="447"/>
      <c r="BP146" s="447"/>
      <c r="BQ146" s="447"/>
      <c r="BR146" s="447"/>
      <c r="BS146" s="447"/>
      <c r="BT146" s="764"/>
      <c r="BU146" s="764"/>
      <c r="BV146" s="764"/>
      <c r="BW146" s="764"/>
      <c r="BX146" s="764"/>
      <c r="BY146" s="764"/>
      <c r="BZ146" s="764"/>
    </row>
    <row r="147" spans="1:78" s="272" customFormat="1" ht="13.8" x14ac:dyDescent="0.25">
      <c r="A147" s="198"/>
      <c r="B147" s="198"/>
      <c r="C147" s="198"/>
      <c r="D147" s="198"/>
      <c r="E147" s="198"/>
      <c r="F147" s="447"/>
      <c r="G147" s="447"/>
      <c r="H147" s="447"/>
      <c r="I147" s="447"/>
      <c r="J147" s="447"/>
      <c r="K147" s="447"/>
      <c r="L147" s="447"/>
      <c r="M147" s="447"/>
      <c r="N147" s="447"/>
      <c r="O147" s="447"/>
      <c r="P147" s="447"/>
      <c r="Q147" s="447"/>
      <c r="R147" s="447"/>
      <c r="S147" s="447"/>
      <c r="T147" s="447"/>
      <c r="U147" s="447"/>
      <c r="V147" s="447"/>
      <c r="W147" s="447"/>
      <c r="X147" s="447"/>
      <c r="Y147" s="764"/>
      <c r="Z147" s="447"/>
      <c r="AA147" s="447"/>
      <c r="AB147" s="447"/>
      <c r="AC147" s="764"/>
      <c r="AD147" s="447"/>
      <c r="AE147" s="447"/>
      <c r="AF147" s="447"/>
      <c r="AG147" s="764"/>
      <c r="AH147" s="447"/>
      <c r="AI147" s="764"/>
      <c r="AJ147" s="764"/>
      <c r="AK147" s="764"/>
      <c r="AL147" s="764"/>
      <c r="AM147" s="764"/>
      <c r="AN147" s="764"/>
      <c r="AO147" s="764"/>
      <c r="AP147" s="764"/>
      <c r="AQ147" s="764"/>
      <c r="AR147" s="447"/>
      <c r="AS147" s="764"/>
      <c r="AT147" s="764"/>
      <c r="AU147" s="764"/>
      <c r="AV147" s="764"/>
      <c r="AW147" s="764"/>
      <c r="AX147" s="764"/>
      <c r="AY147" s="764"/>
      <c r="AZ147" s="764"/>
      <c r="BA147" s="764"/>
      <c r="BB147" s="764"/>
      <c r="BC147" s="764"/>
      <c r="BD147" s="764"/>
      <c r="BE147" s="764"/>
      <c r="BF147" s="764"/>
      <c r="BG147" s="764"/>
      <c r="BH147" s="764"/>
      <c r="BI147" s="764"/>
      <c r="BJ147" s="447"/>
      <c r="BK147" s="447"/>
      <c r="BL147" s="447"/>
      <c r="BM147" s="447"/>
      <c r="BN147" s="447"/>
      <c r="BO147" s="447"/>
      <c r="BP147" s="447"/>
      <c r="BQ147" s="447"/>
      <c r="BR147" s="447"/>
      <c r="BS147" s="447"/>
      <c r="BT147" s="764"/>
      <c r="BU147" s="764"/>
      <c r="BV147" s="764"/>
      <c r="BW147" s="764"/>
      <c r="BX147" s="764"/>
      <c r="BY147" s="764"/>
      <c r="BZ147" s="764"/>
    </row>
    <row r="148" spans="1:78" s="272" customFormat="1" ht="13.8" x14ac:dyDescent="0.25">
      <c r="A148" s="198"/>
      <c r="B148" s="198"/>
      <c r="C148" s="198"/>
      <c r="D148" s="198"/>
      <c r="E148" s="198"/>
      <c r="F148" s="447"/>
      <c r="G148" s="447"/>
      <c r="H148" s="447"/>
      <c r="I148" s="447"/>
      <c r="J148" s="447"/>
      <c r="K148" s="447"/>
      <c r="L148" s="447"/>
      <c r="M148" s="447"/>
      <c r="N148" s="447"/>
      <c r="O148" s="447"/>
      <c r="P148" s="447"/>
      <c r="Q148" s="447"/>
      <c r="R148" s="447"/>
      <c r="S148" s="447"/>
      <c r="T148" s="447"/>
      <c r="U148" s="447"/>
      <c r="V148" s="447"/>
      <c r="W148" s="447"/>
      <c r="X148" s="447"/>
      <c r="Y148" s="764"/>
      <c r="Z148" s="447"/>
      <c r="AA148" s="447"/>
      <c r="AB148" s="447"/>
      <c r="AC148" s="764"/>
      <c r="AD148" s="447"/>
      <c r="AE148" s="447"/>
      <c r="AF148" s="447"/>
      <c r="AG148" s="764"/>
      <c r="AH148" s="447"/>
      <c r="AI148" s="764"/>
      <c r="AJ148" s="764"/>
      <c r="AK148" s="764"/>
      <c r="AL148" s="764"/>
      <c r="AM148" s="764"/>
      <c r="AN148" s="764"/>
      <c r="AO148" s="764"/>
      <c r="AP148" s="764"/>
      <c r="AQ148" s="764"/>
      <c r="AR148" s="447"/>
      <c r="AS148" s="764"/>
      <c r="AT148" s="764"/>
      <c r="AU148" s="764"/>
      <c r="AV148" s="764"/>
      <c r="AW148" s="764"/>
      <c r="AX148" s="764"/>
      <c r="AY148" s="764"/>
      <c r="AZ148" s="764"/>
      <c r="BA148" s="764"/>
      <c r="BB148" s="764"/>
      <c r="BC148" s="764"/>
      <c r="BD148" s="764"/>
      <c r="BE148" s="764"/>
      <c r="BF148" s="764"/>
      <c r="BG148" s="764"/>
      <c r="BH148" s="764"/>
      <c r="BI148" s="764"/>
      <c r="BJ148" s="447"/>
      <c r="BK148" s="447"/>
      <c r="BL148" s="447"/>
      <c r="BM148" s="447"/>
      <c r="BN148" s="447"/>
      <c r="BO148" s="447"/>
      <c r="BP148" s="447"/>
      <c r="BQ148" s="447"/>
      <c r="BR148" s="447"/>
      <c r="BS148" s="447"/>
      <c r="BT148" s="764"/>
      <c r="BU148" s="764"/>
      <c r="BV148" s="764"/>
      <c r="BW148" s="764"/>
      <c r="BX148" s="764"/>
      <c r="BY148" s="764"/>
      <c r="BZ148" s="764"/>
    </row>
    <row r="149" spans="1:78" s="272" customFormat="1" ht="13.8" x14ac:dyDescent="0.25">
      <c r="A149" s="198"/>
      <c r="B149" s="198"/>
      <c r="C149" s="198"/>
      <c r="D149" s="198"/>
      <c r="E149" s="198"/>
      <c r="F149" s="447"/>
      <c r="G149" s="447"/>
      <c r="H149" s="447"/>
      <c r="I149" s="447"/>
      <c r="J149" s="447"/>
      <c r="K149" s="447"/>
      <c r="L149" s="447"/>
      <c r="M149" s="447"/>
      <c r="N149" s="447"/>
      <c r="O149" s="447"/>
      <c r="P149" s="447"/>
      <c r="Q149" s="447"/>
      <c r="R149" s="447"/>
      <c r="S149" s="447"/>
      <c r="T149" s="447"/>
      <c r="U149" s="447"/>
      <c r="V149" s="447"/>
      <c r="W149" s="447"/>
      <c r="X149" s="447"/>
      <c r="Y149" s="764"/>
      <c r="Z149" s="447"/>
      <c r="AA149" s="447"/>
      <c r="AB149" s="447"/>
      <c r="AC149" s="764"/>
      <c r="AD149" s="447"/>
      <c r="AE149" s="447"/>
      <c r="AF149" s="447"/>
      <c r="AG149" s="764"/>
      <c r="AH149" s="447"/>
      <c r="AI149" s="764"/>
      <c r="AJ149" s="764"/>
      <c r="AK149" s="764"/>
      <c r="AL149" s="764"/>
      <c r="AM149" s="764"/>
      <c r="AN149" s="764"/>
      <c r="AO149" s="764"/>
      <c r="AP149" s="764"/>
      <c r="AQ149" s="764"/>
      <c r="AR149" s="447"/>
      <c r="AS149" s="764"/>
      <c r="AT149" s="764"/>
      <c r="AU149" s="764"/>
      <c r="AV149" s="764"/>
      <c r="AW149" s="764"/>
      <c r="AX149" s="764"/>
      <c r="AY149" s="764"/>
      <c r="AZ149" s="764"/>
      <c r="BA149" s="764"/>
      <c r="BB149" s="764"/>
      <c r="BC149" s="764"/>
      <c r="BD149" s="764"/>
      <c r="BE149" s="764"/>
      <c r="BF149" s="764"/>
      <c r="BG149" s="764"/>
      <c r="BH149" s="764"/>
      <c r="BI149" s="764"/>
      <c r="BJ149" s="447"/>
      <c r="BK149" s="447"/>
      <c r="BL149" s="447"/>
      <c r="BM149" s="447"/>
      <c r="BN149" s="447"/>
      <c r="BO149" s="447"/>
      <c r="BP149" s="447"/>
      <c r="BQ149" s="447"/>
      <c r="BR149" s="447"/>
      <c r="BS149" s="447"/>
      <c r="BT149" s="764"/>
      <c r="BU149" s="764"/>
      <c r="BV149" s="764"/>
      <c r="BW149" s="764"/>
      <c r="BX149" s="764"/>
      <c r="BY149" s="764"/>
      <c r="BZ149" s="764"/>
    </row>
    <row r="150" spans="1:78" s="272" customFormat="1" ht="13.8" x14ac:dyDescent="0.25">
      <c r="A150" s="198"/>
      <c r="B150" s="198"/>
      <c r="C150" s="198"/>
      <c r="D150" s="198"/>
      <c r="E150" s="198"/>
      <c r="F150" s="447"/>
      <c r="G150" s="447"/>
      <c r="H150" s="447"/>
      <c r="I150" s="447"/>
      <c r="J150" s="447"/>
      <c r="K150" s="447"/>
      <c r="L150" s="447"/>
      <c r="M150" s="447"/>
      <c r="N150" s="447"/>
      <c r="O150" s="447"/>
      <c r="P150" s="447"/>
      <c r="Q150" s="447"/>
      <c r="R150" s="447"/>
      <c r="S150" s="447"/>
      <c r="T150" s="447"/>
      <c r="U150" s="447"/>
      <c r="V150" s="447"/>
      <c r="W150" s="447"/>
      <c r="X150" s="447"/>
      <c r="Y150" s="764"/>
      <c r="Z150" s="447"/>
      <c r="AA150" s="447"/>
      <c r="AB150" s="447"/>
      <c r="AC150" s="764"/>
      <c r="AD150" s="447"/>
      <c r="AE150" s="447"/>
      <c r="AF150" s="447"/>
      <c r="AG150" s="764"/>
      <c r="AH150" s="447"/>
      <c r="AI150" s="764"/>
      <c r="AJ150" s="764"/>
      <c r="AK150" s="764"/>
      <c r="AL150" s="764"/>
      <c r="AM150" s="764"/>
      <c r="AN150" s="764"/>
      <c r="AO150" s="764"/>
      <c r="AP150" s="764"/>
      <c r="AQ150" s="764"/>
      <c r="AR150" s="447"/>
      <c r="AS150" s="764"/>
      <c r="AT150" s="764"/>
      <c r="AU150" s="764"/>
      <c r="AV150" s="764"/>
      <c r="AW150" s="764"/>
      <c r="AX150" s="764"/>
      <c r="AY150" s="764"/>
      <c r="AZ150" s="764"/>
      <c r="BA150" s="764"/>
      <c r="BB150" s="764"/>
      <c r="BC150" s="764"/>
      <c r="BD150" s="764"/>
      <c r="BE150" s="764"/>
      <c r="BF150" s="764"/>
      <c r="BG150" s="764"/>
      <c r="BH150" s="764"/>
      <c r="BI150" s="764"/>
      <c r="BJ150" s="447"/>
      <c r="BK150" s="447"/>
      <c r="BL150" s="447"/>
      <c r="BM150" s="447"/>
      <c r="BN150" s="447"/>
      <c r="BO150" s="447"/>
      <c r="BP150" s="447"/>
      <c r="BQ150" s="447"/>
      <c r="BR150" s="447"/>
      <c r="BS150" s="447"/>
      <c r="BT150" s="764"/>
      <c r="BU150" s="764"/>
      <c r="BV150" s="764"/>
      <c r="BW150" s="764"/>
      <c r="BX150" s="764"/>
      <c r="BY150" s="764"/>
      <c r="BZ150" s="764"/>
    </row>
    <row r="151" spans="1:78" ht="13.8" x14ac:dyDescent="0.25">
      <c r="AS151" s="16"/>
      <c r="BG151" s="16"/>
      <c r="BH151" s="16"/>
      <c r="BI151" s="16"/>
    </row>
    <row r="152" spans="1:78" x14ac:dyDescent="0.3">
      <c r="AS152" s="16"/>
    </row>
    <row r="153" spans="1:78" x14ac:dyDescent="0.3">
      <c r="AS153" s="16"/>
    </row>
    <row r="154" spans="1:78" x14ac:dyDescent="0.3">
      <c r="AS154" s="16"/>
    </row>
    <row r="155" spans="1:78" x14ac:dyDescent="0.3">
      <c r="AS155" s="16"/>
    </row>
    <row r="156" spans="1:78" x14ac:dyDescent="0.3">
      <c r="AS156" s="16"/>
    </row>
  </sheetData>
  <mergeCells count="86">
    <mergeCell ref="AZ92:AZ93"/>
    <mergeCell ref="BE92:BE93"/>
    <mergeCell ref="BD92:BD93"/>
    <mergeCell ref="BA92:BA93"/>
    <mergeCell ref="BB92:BB93"/>
    <mergeCell ref="AT92:AT93"/>
    <mergeCell ref="AU92:AU93"/>
    <mergeCell ref="AV92:AV93"/>
    <mergeCell ref="AX92:AX93"/>
    <mergeCell ref="AY92:AY93"/>
    <mergeCell ref="AM92:AM93"/>
    <mergeCell ref="AN92:AN93"/>
    <mergeCell ref="AO92:AO93"/>
    <mergeCell ref="AQ92:AQ93"/>
    <mergeCell ref="AR92:AR93"/>
    <mergeCell ref="I100:M101"/>
    <mergeCell ref="H100:H101"/>
    <mergeCell ref="AJ92:AJ93"/>
    <mergeCell ref="AK92:AK93"/>
    <mergeCell ref="I86:P98"/>
    <mergeCell ref="AD88:AH90"/>
    <mergeCell ref="A128:D128"/>
    <mergeCell ref="U66:V66"/>
    <mergeCell ref="U68:V68"/>
    <mergeCell ref="I79:P79"/>
    <mergeCell ref="I81:P81"/>
    <mergeCell ref="R81:X81"/>
    <mergeCell ref="H121:H122"/>
    <mergeCell ref="A103:A105"/>
    <mergeCell ref="B103:B105"/>
    <mergeCell ref="C103:C105"/>
    <mergeCell ref="D103:D105"/>
    <mergeCell ref="I102:Y104"/>
    <mergeCell ref="R83:X83"/>
    <mergeCell ref="N78:P78"/>
    <mergeCell ref="R84:U84"/>
    <mergeCell ref="I84:P84"/>
    <mergeCell ref="R33:X33"/>
    <mergeCell ref="R35:X35"/>
    <mergeCell ref="R41:X42"/>
    <mergeCell ref="R37:X38"/>
    <mergeCell ref="I36:M36"/>
    <mergeCell ref="R39:X39"/>
    <mergeCell ref="I39:M39"/>
    <mergeCell ref="H26:O28"/>
    <mergeCell ref="N83:P83"/>
    <mergeCell ref="I41:M41"/>
    <mergeCell ref="I33:M33"/>
    <mergeCell ref="I35:M35"/>
    <mergeCell ref="I121:X122"/>
    <mergeCell ref="I43:L43"/>
    <mergeCell ref="I45:L45"/>
    <mergeCell ref="P72:V76"/>
    <mergeCell ref="R43:X51"/>
    <mergeCell ref="W66:Z67"/>
    <mergeCell ref="S55:X55"/>
    <mergeCell ref="M55:P55"/>
    <mergeCell ref="I55:J55"/>
    <mergeCell ref="I58:J58"/>
    <mergeCell ref="S58:X58"/>
    <mergeCell ref="M58:P58"/>
    <mergeCell ref="I47:J47"/>
    <mergeCell ref="I49:J49"/>
    <mergeCell ref="I51:J51"/>
    <mergeCell ref="L60:Y62"/>
    <mergeCell ref="S116:X116"/>
    <mergeCell ref="S117:X117"/>
    <mergeCell ref="S113:X113"/>
    <mergeCell ref="S114:X114"/>
    <mergeCell ref="S115:X115"/>
    <mergeCell ref="BF92:BF93"/>
    <mergeCell ref="S108:X108"/>
    <mergeCell ref="S109:X109"/>
    <mergeCell ref="S110:X110"/>
    <mergeCell ref="I106:J106"/>
    <mergeCell ref="I107:J107"/>
    <mergeCell ref="I108:J108"/>
    <mergeCell ref="I109:J109"/>
    <mergeCell ref="I110:J110"/>
    <mergeCell ref="M106:P106"/>
    <mergeCell ref="M107:P107"/>
    <mergeCell ref="M108:P108"/>
    <mergeCell ref="M109:P109"/>
    <mergeCell ref="M110:P110"/>
    <mergeCell ref="S106:X106"/>
    <mergeCell ref="S107:X107"/>
  </mergeCells>
  <conditionalFormatting sqref="R88">
    <cfRule type="expression" dxfId="970" priority="116">
      <formula>OR($G$8=1,$G$8=2)</formula>
    </cfRule>
  </conditionalFormatting>
  <conditionalFormatting sqref="W88">
    <cfRule type="expression" dxfId="969" priority="114">
      <formula>OR($G$8=3,$G$8=4,$G$8=5)</formula>
    </cfRule>
  </conditionalFormatting>
  <conditionalFormatting sqref="W92">
    <cfRule type="expression" dxfId="968" priority="113">
      <formula>OR($G$8=3,$G$8=4,$G$8=5)</formula>
    </cfRule>
  </conditionalFormatting>
  <conditionalFormatting sqref="W96">
    <cfRule type="expression" dxfId="967" priority="112">
      <formula>OR($G$8=3,$G$8=4,$G$8=5)</formula>
    </cfRule>
  </conditionalFormatting>
  <conditionalFormatting sqref="R90">
    <cfRule type="expression" dxfId="966" priority="106">
      <formula>($G$8=2)</formula>
    </cfRule>
  </conditionalFormatting>
  <conditionalFormatting sqref="R92">
    <cfRule type="expression" dxfId="965" priority="104">
      <formula>($G$8=2)</formula>
    </cfRule>
  </conditionalFormatting>
  <conditionalFormatting sqref="R94">
    <cfRule type="expression" dxfId="964" priority="103">
      <formula>($G$8=2)</formula>
    </cfRule>
  </conditionalFormatting>
  <conditionalFormatting sqref="W90">
    <cfRule type="expression" dxfId="963" priority="95">
      <formula>OR($G$8=3,$G$8=4,$G$8=5)</formula>
    </cfRule>
  </conditionalFormatting>
  <conditionalFormatting sqref="W94">
    <cfRule type="expression" dxfId="962" priority="94">
      <formula>OR($G$8=3,$G$8=4,$G$8=5)</formula>
    </cfRule>
  </conditionalFormatting>
  <conditionalFormatting sqref="R84:U84">
    <cfRule type="expression" dxfId="961" priority="93">
      <formula>OR($G$8=9,$G$8=10)</formula>
    </cfRule>
  </conditionalFormatting>
  <conditionalFormatting sqref="I66 I72 I70 I68 T66:U66 T68:U68">
    <cfRule type="expression" dxfId="960" priority="2">
      <formula>ISBLANK(I66)</formula>
    </cfRule>
  </conditionalFormatting>
  <conditionalFormatting sqref="T19:T20">
    <cfRule type="expression" dxfId="959" priority="71">
      <formula>ISBLANK($I$58)</formula>
    </cfRule>
  </conditionalFormatting>
  <conditionalFormatting sqref="T68 T66:V66">
    <cfRule type="expression" dxfId="958" priority="61">
      <formula>(T66&lt;&gt;P14)</formula>
    </cfRule>
  </conditionalFormatting>
  <conditionalFormatting sqref="I74">
    <cfRule type="expression" dxfId="957" priority="54">
      <formula>ISBLANK(I74)</formula>
    </cfRule>
  </conditionalFormatting>
  <conditionalFormatting sqref="W98">
    <cfRule type="expression" dxfId="956" priority="8933">
      <formula>($G$8=5)</formula>
    </cfRule>
  </conditionalFormatting>
  <conditionalFormatting sqref="S86">
    <cfRule type="expression" dxfId="955" priority="48">
      <formula>($G$8=6)</formula>
    </cfRule>
  </conditionalFormatting>
  <conditionalFormatting sqref="I33:M33 AJ94:AK94 AT94:AV94 BD94:BF94 AQ94:AR94">
    <cfRule type="expression" dxfId="954" priority="44">
      <formula>($G$3="F")</formula>
    </cfRule>
    <cfRule type="expression" dxfId="953" priority="46">
      <formula>($G$3="B")</formula>
    </cfRule>
  </conditionalFormatting>
  <conditionalFormatting sqref="AM94:AO94 AX94:BB94">
    <cfRule type="expression" dxfId="952" priority="42">
      <formula>($G$3="F")</formula>
    </cfRule>
    <cfRule type="expression" dxfId="951" priority="43">
      <formula>($G$3="B")</formula>
    </cfRule>
  </conditionalFormatting>
  <conditionalFormatting sqref="I76">
    <cfRule type="expression" dxfId="950" priority="39">
      <formula>ISBLANK(I76)</formula>
    </cfRule>
  </conditionalFormatting>
  <conditionalFormatting sqref="I36:M36">
    <cfRule type="expression" dxfId="949" priority="38">
      <formula>($G$3="B")</formula>
    </cfRule>
  </conditionalFormatting>
  <conditionalFormatting sqref="I58">
    <cfRule type="expression" dxfId="948" priority="14">
      <formula>ISBLANK($I$58)</formula>
    </cfRule>
    <cfRule type="expression" dxfId="947" priority="14035">
      <formula>NOT(_xlfn.ISFORMULA(I58))</formula>
    </cfRule>
  </conditionalFormatting>
  <conditionalFormatting sqref="I60">
    <cfRule type="expression" dxfId="946" priority="13">
      <formula>ISBLANK($I$60)</formula>
    </cfRule>
    <cfRule type="expression" dxfId="945" priority="14036">
      <formula>(LEN($I$60)&lt;&gt;3)</formula>
    </cfRule>
    <cfRule type="expression" dxfId="944" priority="14037">
      <formula>NOT(_xlfn.ISFORMULA(I60))</formula>
    </cfRule>
  </conditionalFormatting>
  <conditionalFormatting sqref="T22 T3">
    <cfRule type="expression" dxfId="943" priority="14038">
      <formula>ISBLANK(#REF!)</formula>
    </cfRule>
  </conditionalFormatting>
  <conditionalFormatting sqref="S55">
    <cfRule type="expression" dxfId="942" priority="14040">
      <formula>($S$58&gt;0)</formula>
    </cfRule>
  </conditionalFormatting>
  <conditionalFormatting sqref="T21">
    <cfRule type="expression" dxfId="941" priority="14041">
      <formula>ISBLANK($I$60)</formula>
    </cfRule>
  </conditionalFormatting>
  <conditionalFormatting sqref="U68:V68">
    <cfRule type="expression" dxfId="940" priority="14042">
      <formula>(U68&lt;&gt;I60)</formula>
    </cfRule>
  </conditionalFormatting>
  <conditionalFormatting sqref="S58:X58">
    <cfRule type="expression" dxfId="939" priority="17">
      <formula>($S$58&gt;0)</formula>
    </cfRule>
  </conditionalFormatting>
  <conditionalFormatting sqref="S106:S110">
    <cfRule type="expression" dxfId="938" priority="16">
      <formula>($M$55="Not yet listed")</formula>
    </cfRule>
  </conditionalFormatting>
  <conditionalFormatting sqref="T4">
    <cfRule type="expression" dxfId="937" priority="15">
      <formula>ISBLANK(#REF!)</formula>
    </cfRule>
  </conditionalFormatting>
  <conditionalFormatting sqref="I58:J58">
    <cfRule type="expression" dxfId="936" priority="14034">
      <formula>AND(I58=0,$I$55&gt;0,OR($S$55&gt;0,$S$58&gt;0))</formula>
    </cfRule>
  </conditionalFormatting>
  <conditionalFormatting sqref="I66">
    <cfRule type="expression" dxfId="935" priority="59">
      <formula>(I66&lt;&gt;R7)</formula>
    </cfRule>
    <cfRule type="expression" dxfId="934" priority="14044">
      <formula>($G$21=2)</formula>
    </cfRule>
  </conditionalFormatting>
  <conditionalFormatting sqref="I68">
    <cfRule type="expression" dxfId="933" priority="14045">
      <formula>(I68&lt;&gt;R8)</formula>
    </cfRule>
  </conditionalFormatting>
  <conditionalFormatting sqref="I70">
    <cfRule type="expression" dxfId="932" priority="14046">
      <formula>(I70&lt;&gt;R9)</formula>
    </cfRule>
  </conditionalFormatting>
  <conditionalFormatting sqref="I72 I74">
    <cfRule type="expression" dxfId="931" priority="14047">
      <formula>(I72&lt;&gt;R10)</formula>
    </cfRule>
  </conditionalFormatting>
  <conditionalFormatting sqref="I76">
    <cfRule type="expression" dxfId="930" priority="14049">
      <formula>(I76&lt;&gt;R11)</formula>
    </cfRule>
  </conditionalFormatting>
  <conditionalFormatting sqref="P111:T111 T118">
    <cfRule type="expression" dxfId="929" priority="14050">
      <formula>AND(P111=#REF!,P111&lt;&gt;0)</formula>
    </cfRule>
  </conditionalFormatting>
  <conditionalFormatting sqref="BF116">
    <cfRule type="expression" dxfId="928" priority="4">
      <formula>($AH116=0)</formula>
    </cfRule>
  </conditionalFormatting>
  <conditionalFormatting sqref="L60:Y62">
    <cfRule type="expression" dxfId="927" priority="3">
      <formula>($G$21=2)</formula>
    </cfRule>
  </conditionalFormatting>
  <conditionalFormatting sqref="J66">
    <cfRule type="expression" dxfId="926" priority="1">
      <formula>($G$21=2)</formula>
    </cfRule>
  </conditionalFormatting>
  <dataValidations count="7">
    <dataValidation type="list" allowBlank="1" showInputMessage="1" showErrorMessage="1" sqref="AD99:AF104 AD106:AF110 AD113:AF117" xr:uid="{00000000-0002-0000-0600-000000000000}">
      <formula1>$W$7:$W$8</formula1>
    </dataValidation>
    <dataValidation type="custom" allowBlank="1" showInputMessage="1" showErrorMessage="1" sqref="I86:P98" xr:uid="{00000000-0002-0000-0600-000001000000}">
      <formula1>""""""</formula1>
    </dataValidation>
    <dataValidation type="list" allowBlank="1" showInputMessage="1" showErrorMessage="1" sqref="I84:P84" xr:uid="{00000000-0002-0000-0600-000002000000}">
      <formula1>$H$7:$H$19</formula1>
    </dataValidation>
    <dataValidation type="list" allowBlank="1" showInputMessage="1" showErrorMessage="1" sqref="I33" xr:uid="{00000000-0002-0000-0600-000003000000}">
      <formula1>$H$2:$H$4</formula1>
    </dataValidation>
    <dataValidation type="textLength" allowBlank="1" showInputMessage="1" showErrorMessage="1" error="Must be an 8 digit Project Number" sqref="I51" xr:uid="{D3FDFE77-5DDE-41CA-8A96-A94CC02D5BFE}">
      <formula1>8</formula1>
      <formula2>8</formula2>
    </dataValidation>
    <dataValidation type="list" allowBlank="1" showInputMessage="1" showErrorMessage="1" sqref="R33:X33" xr:uid="{00000000-0002-0000-0600-000005000000}">
      <formula1>$M$3:$M$4</formula1>
    </dataValidation>
    <dataValidation type="list" allowBlank="1" showInputMessage="1" showErrorMessage="1" sqref="U68:V68" xr:uid="{00000000-0002-0000-0600-000006000000}">
      <formula1>$I$13:$I$69</formula1>
    </dataValidation>
  </dataValidations>
  <pageMargins left="0.7" right="0.7" top="0.75" bottom="0.75" header="0.3" footer="0.3"/>
  <pageSetup paperSize="9" orientation="portrait" verticalDpi="4294967293" r:id="rId1"/>
  <drawing r:id="rId2"/>
  <legacyDrawing r:id="rId3"/>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600-000007000000}">
          <x14:formula1>
            <xm:f>'Parameter Data'!$B$4:$B$19</xm:f>
          </x14:formula1>
          <xm:sqref>I79:P79</xm:sqref>
        </x14:dataValidation>
        <x14:dataValidation type="list" allowBlank="1" showInputMessage="1" showErrorMessage="1" xr:uid="{00000000-0002-0000-0600-00000A000000}">
          <x14:formula1>
            <xm:f>OFFSET('PU List'!$O$5,1,A55-1,B55)</xm:f>
          </x14:formula1>
          <xm:sqref>M55 M106:M110</xm:sqref>
        </x14:dataValidation>
        <x14:dataValidation type="list" allowBlank="1" showInputMessage="1" showErrorMessage="1" xr:uid="{00000000-0002-0000-0600-00000B000000}">
          <x14:formula1>
            <xm:f>OFFSET('PU List'!$D$32,C55,0,D55)</xm:f>
          </x14:formula1>
          <xm:sqref>S55 S106:S110</xm:sqref>
        </x14:dataValidation>
        <x14:dataValidation type="list" allowBlank="1" showInputMessage="1" showErrorMessage="1" xr:uid="{00000000-0002-0000-0600-00000C000000}">
          <x14:formula1>
            <xm:f>'PU List'!$O$4:$V$4</xm:f>
          </x14:formula1>
          <xm:sqref>I106:I110</xm:sqref>
        </x14:dataValidation>
        <x14:dataValidation type="list" allowBlank="1" showInputMessage="1" showErrorMessage="1" xr:uid="{00000000-0002-0000-0600-00000E000000}">
          <x14:formula1>
            <xm:f>'Currency Data'!$H$8:$H$41</xm:f>
          </x14:formula1>
          <xm:sqref>I60</xm:sqref>
        </x14:dataValidation>
        <x14:dataValidation type="list" allowBlank="1" showInputMessage="1" showErrorMessage="1" xr:uid="{00000000-0002-0000-0600-00000D000000}">
          <x14:formula1>
            <xm:f>'IPCS Data'!$AA$7:$AA$110</xm:f>
          </x14:formula1>
          <xm:sqref>M58:P58</xm:sqref>
        </x14:dataValidation>
        <x14:dataValidation type="list" allowBlank="1" showInputMessage="1" showErrorMessage="1" xr:uid="{00000000-0002-0000-0600-000008000000}">
          <x14:formula1>
            <xm:f>'Fringe Data'!$F$8:$F$63</xm:f>
          </x14:formula1>
          <xm:sqref>I58</xm:sqref>
        </x14:dataValidation>
        <x14:dataValidation type="list" allowBlank="1" showInputMessage="1" showErrorMessage="1" xr:uid="{00000000-0002-0000-0600-000009000000}">
          <x14:formula1>
            <xm:f>'Fringe Data'!$G$8:$G$63</xm:f>
          </x14:formula1>
          <xm:sqref>U66:V66</xm:sqref>
        </x14:dataValidation>
        <x14:dataValidation type="list" allowBlank="1" showInputMessage="1" showErrorMessage="1" xr:uid="{4D617758-1F19-40CD-9BD0-2205424B39BA}">
          <x14:formula1>
            <xm:f>'PU List'!$O$4:$W$4</xm:f>
          </x14:formula1>
          <xm:sqref>I55:J55</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NQ119"/>
  <sheetViews>
    <sheetView showGridLines="0" topLeftCell="GY57" zoomScaleNormal="100" workbookViewId="0">
      <selection activeCell="JQ73" sqref="JQ73"/>
    </sheetView>
  </sheetViews>
  <sheetFormatPr defaultColWidth="9.109375" defaultRowHeight="14.4" x14ac:dyDescent="0.3"/>
  <cols>
    <col min="1" max="1" width="4.6640625" style="16" hidden="1" customWidth="1"/>
    <col min="2" max="2" width="19.109375" style="16" hidden="1" customWidth="1"/>
    <col min="3" max="3" width="0.88671875" style="16" hidden="1" customWidth="1"/>
    <col min="4" max="5" width="8.6640625" style="272" hidden="1" customWidth="1"/>
    <col min="6" max="6" width="8.6640625" style="749" hidden="1" customWidth="1"/>
    <col min="7" max="7" width="0.88671875" style="272" hidden="1" customWidth="1"/>
    <col min="8" max="9" width="8.6640625" style="272" hidden="1" customWidth="1"/>
    <col min="10" max="10" width="8.6640625" style="749" hidden="1" customWidth="1"/>
    <col min="11" max="11" width="0.88671875" style="272" hidden="1" customWidth="1"/>
    <col min="12" max="14" width="8.6640625" style="16" hidden="1" customWidth="1"/>
    <col min="15" max="16" width="8.6640625" style="749" hidden="1" customWidth="1"/>
    <col min="17" max="18" width="9.6640625" style="16" hidden="1" customWidth="1"/>
    <col min="19" max="19" width="5.5546875" style="749" hidden="1" customWidth="1"/>
    <col min="20" max="20" width="3.33203125" style="749" hidden="1" customWidth="1"/>
    <col min="21" max="21" width="4.44140625" style="16" hidden="1" customWidth="1"/>
    <col min="22" max="22" width="4.44140625" style="272" hidden="1" customWidth="1"/>
    <col min="23" max="25" width="4.6640625" style="16" hidden="1" customWidth="1"/>
    <col min="26" max="31" width="4.6640625" style="272" hidden="1" customWidth="1"/>
    <col min="32" max="36" width="4.6640625" style="749" hidden="1" customWidth="1"/>
    <col min="37" max="37" width="4.6640625" style="16" hidden="1" customWidth="1"/>
    <col min="38" max="46" width="4.6640625" style="272" hidden="1" customWidth="1"/>
    <col min="47" max="51" width="4.6640625" style="749" hidden="1" customWidth="1"/>
    <col min="52" max="61" width="4.6640625" style="272" hidden="1" customWidth="1"/>
    <col min="62" max="66" width="4.6640625" style="749" hidden="1" customWidth="1"/>
    <col min="67" max="67" width="4.6640625" style="272" hidden="1" customWidth="1"/>
    <col min="68" max="68" width="4.44140625" style="749" hidden="1" customWidth="1"/>
    <col min="69" max="115" width="4.6640625" style="749" hidden="1" customWidth="1"/>
    <col min="116" max="116" width="2.33203125" style="749" hidden="1" customWidth="1"/>
    <col min="117" max="117" width="7" style="749" hidden="1" customWidth="1"/>
    <col min="118" max="119" width="7.44140625" style="749" hidden="1" customWidth="1"/>
    <col min="120" max="120" width="4.6640625" style="749" hidden="1" customWidth="1"/>
    <col min="121" max="121" width="7" style="749" hidden="1" customWidth="1"/>
    <col min="122" max="123" width="7.44140625" style="749" hidden="1" customWidth="1"/>
    <col min="124" max="124" width="4.6640625" style="749" hidden="1" customWidth="1"/>
    <col min="125" max="125" width="7" style="16" hidden="1" customWidth="1"/>
    <col min="126" max="126" width="7.44140625" style="16" hidden="1" customWidth="1"/>
    <col min="127" max="127" width="7.44140625" style="749" hidden="1" customWidth="1"/>
    <col min="128" max="128" width="4.6640625" style="16" hidden="1" customWidth="1"/>
    <col min="129" max="130" width="7.44140625" style="749" hidden="1" customWidth="1"/>
    <col min="131" max="131" width="4.6640625" style="16" hidden="1" customWidth="1"/>
    <col min="132" max="132" width="7.88671875" style="16" hidden="1" customWidth="1"/>
    <col min="133" max="133" width="5.6640625" style="749" hidden="1" customWidth="1"/>
    <col min="134" max="134" width="6.5546875" style="16" hidden="1" customWidth="1"/>
    <col min="135" max="135" width="6.5546875" style="749" hidden="1" customWidth="1"/>
    <col min="136" max="136" width="1.33203125" style="749" hidden="1" customWidth="1"/>
    <col min="137" max="137" width="29.109375" style="16" hidden="1" customWidth="1"/>
    <col min="138" max="138" width="5.44140625" style="272" hidden="1" customWidth="1"/>
    <col min="139" max="139" width="12.5546875" style="272" hidden="1" customWidth="1"/>
    <col min="140" max="140" width="12.109375" style="272" hidden="1" customWidth="1"/>
    <col min="141" max="142" width="5.44140625" style="749" hidden="1" customWidth="1"/>
    <col min="143" max="143" width="7.88671875" style="749" hidden="1" customWidth="1"/>
    <col min="144" max="144" width="5.44140625" style="272" hidden="1" customWidth="1"/>
    <col min="145" max="145" width="5.44140625" style="749" hidden="1" customWidth="1"/>
    <col min="146" max="151" width="4.6640625" style="223" hidden="1" customWidth="1"/>
    <col min="152" max="152" width="4.44140625" style="223" hidden="1" customWidth="1"/>
    <col min="153" max="153" width="4.6640625" style="16" hidden="1" customWidth="1"/>
    <col min="154" max="154" width="5.5546875" style="272" hidden="1" customWidth="1"/>
    <col min="155" max="155" width="5.5546875" style="749" hidden="1" customWidth="1"/>
    <col min="156" max="156" width="4.6640625" style="272" hidden="1" customWidth="1"/>
    <col min="157" max="158" width="7.88671875" style="749" hidden="1" customWidth="1"/>
    <col min="159" max="159" width="5.44140625" style="272" hidden="1" customWidth="1"/>
    <col min="160" max="161" width="4.6640625" style="272" hidden="1" customWidth="1"/>
    <col min="162" max="164" width="4.6640625" style="16" hidden="1" customWidth="1"/>
    <col min="165" max="166" width="4.6640625" style="272" hidden="1" customWidth="1"/>
    <col min="167" max="167" width="8.109375" style="749" hidden="1" customWidth="1"/>
    <col min="168" max="169" width="3.6640625" style="749" hidden="1" customWidth="1"/>
    <col min="170" max="170" width="4.6640625" style="749" hidden="1" customWidth="1"/>
    <col min="171" max="171" width="8.44140625" style="749" hidden="1" customWidth="1"/>
    <col min="172" max="174" width="5.109375" style="749" hidden="1" customWidth="1"/>
    <col min="175" max="187" width="4.6640625" style="749" hidden="1" customWidth="1"/>
    <col min="188" max="188" width="4.6640625" style="16" hidden="1" customWidth="1"/>
    <col min="189" max="193" width="4.6640625" style="749" hidden="1" customWidth="1"/>
    <col min="194" max="194" width="4.6640625" style="272" hidden="1" customWidth="1"/>
    <col min="195" max="198" width="4.6640625" style="749" hidden="1" customWidth="1"/>
    <col min="199" max="200" width="4.6640625" style="272" hidden="1" customWidth="1"/>
    <col min="201" max="201" width="4.6640625" style="16" hidden="1" customWidth="1"/>
    <col min="202" max="202" width="4.6640625" style="272" hidden="1" customWidth="1"/>
    <col min="203" max="203" width="4.6640625" style="16" hidden="1" customWidth="1"/>
    <col min="204" max="205" width="4.6640625" style="749" hidden="1" customWidth="1"/>
    <col min="206" max="206" width="4.6640625" style="16" hidden="1" customWidth="1"/>
    <col min="207" max="207" width="2.33203125" style="16" customWidth="1"/>
    <col min="208" max="208" width="2.88671875" style="16" customWidth="1"/>
    <col min="209" max="209" width="17.33203125" style="16" customWidth="1"/>
    <col min="210" max="210" width="7.33203125" style="16" customWidth="1"/>
    <col min="211" max="211" width="15" style="16" customWidth="1"/>
    <col min="212" max="212" width="3.6640625" style="16" customWidth="1"/>
    <col min="213" max="213" width="8.6640625" style="16" customWidth="1"/>
    <col min="214" max="214" width="0.88671875" style="272" customWidth="1"/>
    <col min="215" max="215" width="14.88671875" style="16" customWidth="1"/>
    <col min="216" max="216" width="3.88671875" style="272" customWidth="1"/>
    <col min="217" max="217" width="10.5546875" style="16" customWidth="1"/>
    <col min="218" max="218" width="11.88671875" style="16" customWidth="1"/>
    <col min="219" max="219" width="5" style="16" customWidth="1"/>
    <col min="220" max="220" width="2.6640625" style="272" customWidth="1"/>
    <col min="221" max="221" width="3.88671875" style="272" customWidth="1"/>
    <col min="222" max="222" width="1.6640625" style="16" customWidth="1"/>
    <col min="223" max="223" width="10.88671875" style="16" customWidth="1"/>
    <col min="224" max="224" width="3.88671875" style="272" customWidth="1"/>
    <col min="225" max="225" width="11.33203125" style="272" customWidth="1"/>
    <col min="226" max="226" width="6" style="749" customWidth="1"/>
    <col min="227" max="227" width="6.44140625" customWidth="1"/>
    <col min="228" max="228" width="0.88671875" style="272" customWidth="1"/>
    <col min="229" max="229" width="6.6640625" style="749" customWidth="1"/>
    <col min="230" max="230" width="7.88671875" customWidth="1"/>
    <col min="231" max="231" width="13.6640625" style="16" customWidth="1"/>
    <col min="232" max="232" width="35.6640625" style="16" customWidth="1"/>
    <col min="233" max="233" width="13" style="749" customWidth="1"/>
    <col min="234" max="234" width="23.5546875" style="16" customWidth="1"/>
    <col min="235" max="235" width="24.6640625" style="16" customWidth="1"/>
    <col min="236" max="236" width="3.44140625" style="16" customWidth="1"/>
    <col min="237" max="237" width="3.44140625" style="749" customWidth="1"/>
    <col min="238" max="238" width="6.6640625" style="16" customWidth="1"/>
    <col min="239" max="240" width="6.6640625" style="749" customWidth="1"/>
    <col min="241" max="241" width="7.5546875" style="749" customWidth="1"/>
    <col min="242" max="242" width="2.6640625" style="16" customWidth="1"/>
    <col min="243" max="243" width="7.109375" style="16" customWidth="1"/>
    <col min="244" max="244" width="7" style="16" customWidth="1"/>
    <col min="245" max="245" width="4.5546875" style="16" customWidth="1"/>
    <col min="246" max="246" width="1" style="749" customWidth="1"/>
    <col min="247" max="247" width="8.44140625" style="16" customWidth="1"/>
    <col min="248" max="248" width="2.44140625" style="16" customWidth="1"/>
    <col min="249" max="249" width="0.33203125" style="749" customWidth="1"/>
    <col min="250" max="250" width="14" style="16" customWidth="1"/>
    <col min="251" max="251" width="9.109375" style="16"/>
    <col min="252" max="252" width="8.33203125" style="16" customWidth="1"/>
    <col min="253" max="253" width="9.88671875" style="16" customWidth="1"/>
    <col min="254" max="254" width="0.5546875" style="749" customWidth="1"/>
    <col min="255" max="255" width="8.6640625" style="16" customWidth="1"/>
    <col min="256" max="256" width="1.109375" style="16" customWidth="1"/>
    <col min="257" max="257" width="8.6640625" style="16" customWidth="1"/>
    <col min="258" max="258" width="16.109375" style="16" customWidth="1"/>
    <col min="259" max="259" width="25.44140625" style="16" customWidth="1"/>
    <col min="260" max="260" width="4.5546875" style="16" customWidth="1"/>
    <col min="261" max="261" width="13.33203125" style="749" customWidth="1"/>
    <col min="262" max="262" width="2.44140625" style="749" customWidth="1"/>
    <col min="263" max="263" width="1.6640625" style="272" customWidth="1"/>
    <col min="264" max="264" width="15.33203125" style="749" customWidth="1"/>
    <col min="265" max="265" width="1.6640625" style="749" customWidth="1"/>
    <col min="266" max="266" width="9" style="272" customWidth="1"/>
    <col min="267" max="267" width="7.5546875" style="272" customWidth="1"/>
    <col min="268" max="268" width="7.44140625" style="272" customWidth="1"/>
    <col min="269" max="269" width="2.44140625" style="272" customWidth="1"/>
    <col min="270" max="271" width="7" style="749" customWidth="1"/>
    <col min="272" max="272" width="18.88671875" style="749" customWidth="1"/>
    <col min="273" max="273" width="2.44140625" style="749" customWidth="1"/>
    <col min="274" max="274" width="9.109375" style="272" customWidth="1"/>
    <col min="275" max="275" width="2.44140625" style="749" customWidth="1"/>
    <col min="276" max="276" width="7.6640625" style="272" customWidth="1"/>
    <col min="277" max="277" width="33.33203125" style="272" customWidth="1"/>
    <col min="278" max="278" width="2.6640625" style="749" customWidth="1"/>
    <col min="279" max="279" width="8.33203125" style="749" customWidth="1"/>
    <col min="280" max="280" width="6.109375" style="749" customWidth="1"/>
    <col min="281" max="281" width="7.33203125" style="749" customWidth="1"/>
    <col min="282" max="282" width="1.109375" style="749" customWidth="1"/>
    <col min="283" max="284" width="7.33203125" style="749" customWidth="1"/>
    <col min="285" max="285" width="1.109375" style="749" customWidth="1"/>
    <col min="286" max="286" width="7.44140625" style="749" customWidth="1"/>
    <col min="287" max="287" width="7.33203125" style="749" customWidth="1"/>
    <col min="288" max="288" width="3.5546875" style="749" customWidth="1"/>
    <col min="289" max="289" width="3" style="272" customWidth="1"/>
    <col min="290" max="290" width="11.88671875" style="749" customWidth="1"/>
    <col min="291" max="291" width="2.88671875" style="749" customWidth="1"/>
    <col min="292" max="292" width="16.44140625" style="749" customWidth="1"/>
    <col min="293" max="293" width="2" style="749" customWidth="1"/>
    <col min="294" max="298" width="5.33203125" style="272" customWidth="1"/>
    <col min="299" max="303" width="5.33203125" style="749" customWidth="1"/>
    <col min="304" max="304" width="2.109375" style="749" customWidth="1"/>
    <col min="305" max="305" width="5.33203125" style="749" customWidth="1"/>
    <col min="306" max="309" width="5.33203125" style="272" customWidth="1"/>
    <col min="310" max="314" width="5.33203125" style="749" customWidth="1"/>
    <col min="315" max="315" width="4.88671875" style="272" customWidth="1"/>
    <col min="316" max="325" width="5.33203125" style="749" customWidth="1"/>
    <col min="326" max="326" width="2.109375" style="749" customWidth="1"/>
    <col min="327" max="327" width="5.33203125" style="749" customWidth="1"/>
    <col min="328" max="330" width="5.33203125" customWidth="1"/>
    <col min="331" max="336" width="5.33203125" style="745" customWidth="1"/>
    <col min="337" max="337" width="4.33203125" style="745" customWidth="1"/>
    <col min="338" max="347" width="5.33203125" style="1356" customWidth="1"/>
    <col min="348" max="348" width="3.88671875" style="1356" customWidth="1"/>
    <col min="349" max="358" width="6.6640625" style="1356" customWidth="1"/>
    <col min="359" max="359" width="4.33203125" style="1356" customWidth="1"/>
    <col min="360" max="360" width="11.88671875" customWidth="1"/>
    <col min="361" max="361" width="3.109375" style="749" customWidth="1"/>
    <col min="362" max="362" width="21.109375" style="16" customWidth="1"/>
    <col min="363" max="363" width="1.33203125" style="749" customWidth="1"/>
    <col min="364" max="364" width="9.109375" style="16" customWidth="1"/>
    <col min="365" max="365" width="1.109375" style="749" customWidth="1"/>
    <col min="366" max="366" width="9.109375" style="749" customWidth="1"/>
    <col min="367" max="367" width="1.33203125" style="16" customWidth="1"/>
    <col min="368" max="368" width="14.88671875" style="16" customWidth="1"/>
    <col min="369" max="369" width="2.6640625" style="16" customWidth="1"/>
    <col min="370" max="370" width="3.44140625" style="16" customWidth="1"/>
    <col min="371" max="371" width="13.44140625" style="16" customWidth="1"/>
    <col min="372" max="372" width="14.88671875" style="16" customWidth="1"/>
    <col min="373" max="373" width="4.44140625" style="16" customWidth="1"/>
    <col min="374" max="16384" width="9.109375" style="16"/>
  </cols>
  <sheetData>
    <row r="1" spans="1:381" s="272" customFormat="1" ht="13.8" hidden="1" x14ac:dyDescent="0.25">
      <c r="A1" s="198"/>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c r="BF1" s="198"/>
      <c r="BG1" s="198"/>
      <c r="BH1" s="198"/>
      <c r="BI1" s="198"/>
      <c r="BJ1" s="198"/>
      <c r="BK1" s="198"/>
      <c r="BL1" s="198"/>
      <c r="BM1" s="198"/>
      <c r="BN1" s="198"/>
      <c r="BO1" s="198"/>
      <c r="BP1" s="198"/>
      <c r="BQ1" s="198"/>
      <c r="BR1" s="198"/>
      <c r="BS1" s="198"/>
      <c r="BT1" s="198"/>
      <c r="BU1" s="198"/>
      <c r="BV1" s="198"/>
      <c r="BW1" s="198"/>
      <c r="BX1" s="198"/>
      <c r="BY1" s="198"/>
      <c r="BZ1" s="198"/>
      <c r="CA1" s="198"/>
      <c r="CB1" s="198"/>
      <c r="CC1" s="198"/>
      <c r="CD1" s="198"/>
      <c r="CE1" s="198"/>
      <c r="CF1" s="198"/>
      <c r="CG1" s="198"/>
      <c r="CH1" s="198"/>
      <c r="CI1" s="198"/>
      <c r="CJ1" s="198"/>
      <c r="CK1" s="198"/>
      <c r="CL1" s="198"/>
      <c r="CM1" s="198"/>
      <c r="CN1" s="198"/>
      <c r="CO1" s="198"/>
      <c r="CP1" s="198"/>
      <c r="CQ1" s="198"/>
      <c r="CR1" s="198"/>
      <c r="CS1" s="198"/>
      <c r="CT1" s="198"/>
      <c r="CU1" s="198"/>
      <c r="CV1" s="198"/>
      <c r="CW1" s="198"/>
      <c r="CX1" s="198"/>
      <c r="CY1" s="198"/>
      <c r="CZ1" s="198"/>
      <c r="DA1" s="198"/>
      <c r="DB1" s="198"/>
      <c r="DC1" s="198"/>
      <c r="DD1" s="198"/>
      <c r="DE1" s="198"/>
      <c r="DF1" s="198"/>
      <c r="DG1" s="198"/>
      <c r="DH1" s="198"/>
      <c r="DI1" s="198"/>
      <c r="DJ1" s="198"/>
      <c r="DK1" s="198"/>
      <c r="DL1" s="198"/>
      <c r="DM1" s="198"/>
      <c r="DN1" s="198"/>
      <c r="DO1" s="198"/>
      <c r="DP1" s="198"/>
      <c r="DQ1" s="198"/>
      <c r="DR1" s="198"/>
      <c r="DS1" s="198"/>
      <c r="DT1" s="198"/>
      <c r="DU1" s="198"/>
      <c r="DV1" s="198"/>
      <c r="DW1" s="198"/>
      <c r="DX1" s="198"/>
      <c r="DY1" s="198"/>
      <c r="DZ1" s="198"/>
      <c r="EA1" s="198"/>
      <c r="EB1" s="198"/>
      <c r="EC1" s="198"/>
      <c r="ED1" s="198"/>
      <c r="EE1" s="198"/>
      <c r="EF1" s="198"/>
      <c r="EG1" s="198"/>
      <c r="EH1" s="198"/>
      <c r="EI1" s="198"/>
      <c r="EJ1" s="198"/>
      <c r="EK1" s="198"/>
      <c r="EL1" s="198"/>
      <c r="EM1" s="198"/>
      <c r="EN1" s="198"/>
      <c r="EO1" s="198"/>
      <c r="EP1" s="540"/>
      <c r="EQ1" s="540"/>
      <c r="ER1" s="540"/>
      <c r="ES1" s="540"/>
      <c r="ET1" s="540"/>
      <c r="EU1" s="540"/>
      <c r="EV1" s="540"/>
      <c r="EW1" s="198"/>
      <c r="EX1" s="198"/>
      <c r="EY1" s="198"/>
      <c r="EZ1" s="198"/>
      <c r="FA1" s="198"/>
      <c r="FB1" s="198"/>
      <c r="FC1" s="198"/>
      <c r="FD1" s="198"/>
      <c r="FE1" s="198"/>
      <c r="FF1" s="198"/>
      <c r="FG1" s="198"/>
      <c r="FH1" s="198"/>
      <c r="FI1" s="198"/>
      <c r="FJ1" s="198"/>
      <c r="FK1" s="198"/>
      <c r="FL1" s="198"/>
      <c r="FM1" s="198"/>
      <c r="FN1" s="198"/>
      <c r="FO1" s="198"/>
      <c r="FP1" s="198"/>
      <c r="FQ1" s="198"/>
      <c r="FR1" s="198"/>
      <c r="FS1" s="198"/>
      <c r="FT1" s="198"/>
      <c r="FU1" s="198"/>
      <c r="FV1" s="198"/>
      <c r="FW1" s="198"/>
      <c r="FX1" s="198"/>
      <c r="FY1" s="198"/>
      <c r="FZ1" s="198"/>
      <c r="GA1" s="198"/>
      <c r="GB1" s="198"/>
      <c r="GC1" s="198"/>
      <c r="GD1" s="198"/>
      <c r="GE1" s="198"/>
      <c r="GF1" s="198"/>
      <c r="GG1" s="198"/>
      <c r="GH1" s="198"/>
      <c r="GI1" s="198"/>
      <c r="GJ1" s="198"/>
      <c r="GK1" s="198"/>
      <c r="GL1" s="198"/>
      <c r="GM1" s="198"/>
      <c r="GN1" s="198"/>
      <c r="GO1" s="198"/>
      <c r="GP1" s="198"/>
      <c r="GQ1" s="198"/>
      <c r="GR1" s="198"/>
      <c r="GS1" s="198"/>
      <c r="GT1" s="198"/>
      <c r="GU1" s="198"/>
      <c r="GV1" s="198"/>
      <c r="GW1" s="198"/>
      <c r="GX1" s="198"/>
      <c r="GY1" s="198"/>
      <c r="GZ1" s="198"/>
      <c r="HA1" s="198"/>
      <c r="HB1" s="198"/>
      <c r="HC1" s="198"/>
      <c r="HD1" s="198"/>
      <c r="HE1" s="198"/>
      <c r="HF1" s="198"/>
      <c r="HG1" s="198"/>
      <c r="HH1" s="198"/>
      <c r="HI1" s="198"/>
      <c r="HJ1" s="198"/>
      <c r="HK1" s="198"/>
      <c r="HL1" s="198"/>
      <c r="HM1" s="198"/>
      <c r="HN1" s="198"/>
      <c r="HO1" s="198"/>
      <c r="HP1" s="198"/>
      <c r="HQ1" s="198"/>
      <c r="HR1" s="198"/>
      <c r="HS1" s="198"/>
      <c r="HT1" s="198"/>
      <c r="HU1" s="198"/>
      <c r="HV1" s="198"/>
      <c r="HW1" s="198"/>
      <c r="HX1" s="198"/>
      <c r="HY1" s="198"/>
      <c r="HZ1" s="198"/>
      <c r="IA1" s="198"/>
      <c r="IB1" s="198"/>
      <c r="IC1" s="198"/>
      <c r="ID1" s="198"/>
      <c r="IE1" s="198"/>
      <c r="IF1" s="198"/>
      <c r="IG1" s="198"/>
      <c r="IH1" s="198"/>
      <c r="II1" s="198"/>
      <c r="IJ1" s="198"/>
      <c r="IK1" s="198"/>
      <c r="IL1" s="198"/>
      <c r="IM1" s="198"/>
      <c r="IN1" s="198"/>
      <c r="IO1" s="198"/>
      <c r="IP1" s="198"/>
      <c r="IQ1" s="198"/>
      <c r="IR1" s="198"/>
      <c r="IS1" s="198"/>
      <c r="IT1" s="198"/>
      <c r="IU1" s="198"/>
      <c r="IV1" s="198"/>
      <c r="IW1" s="198"/>
      <c r="IX1" s="198"/>
      <c r="IY1" s="198"/>
      <c r="IZ1" s="198"/>
      <c r="JA1" s="198"/>
      <c r="JB1" s="198"/>
      <c r="JC1" s="198"/>
      <c r="JD1" s="198"/>
      <c r="JE1" s="198"/>
      <c r="JF1" s="198"/>
      <c r="JG1" s="198"/>
      <c r="JH1" s="198"/>
      <c r="JI1" s="198"/>
      <c r="JJ1" s="198"/>
      <c r="JK1" s="198"/>
      <c r="JL1" s="198"/>
      <c r="JM1" s="198"/>
      <c r="JN1" s="198"/>
      <c r="JO1" s="198"/>
      <c r="JP1" s="198"/>
      <c r="JQ1" s="198"/>
      <c r="JR1" s="198"/>
      <c r="JS1" s="198"/>
      <c r="JT1" s="198"/>
      <c r="JU1" s="198"/>
      <c r="JV1" s="198"/>
      <c r="JW1" s="198"/>
      <c r="JX1" s="198"/>
      <c r="JY1" s="198"/>
      <c r="JZ1" s="198"/>
      <c r="KA1" s="198"/>
      <c r="KB1" s="198"/>
      <c r="KC1" s="198"/>
      <c r="KD1" s="198"/>
      <c r="KE1" s="198"/>
      <c r="KF1" s="198"/>
      <c r="KG1" s="198"/>
      <c r="KH1" s="198"/>
      <c r="KI1" s="198"/>
      <c r="KJ1" s="198"/>
      <c r="KK1" s="198"/>
      <c r="KL1" s="198"/>
      <c r="KM1" s="198"/>
      <c r="KN1" s="198"/>
      <c r="KO1" s="198"/>
      <c r="KP1" s="198"/>
      <c r="KQ1" s="198"/>
      <c r="KR1" s="198"/>
      <c r="KS1" s="198"/>
      <c r="KT1" s="198"/>
      <c r="KU1" s="198"/>
      <c r="KV1" s="198"/>
      <c r="KW1" s="198"/>
      <c r="KX1" s="198"/>
      <c r="KY1" s="198"/>
      <c r="KZ1" s="198"/>
      <c r="LA1" s="198"/>
      <c r="LB1" s="198"/>
      <c r="LC1" s="198"/>
      <c r="LD1" s="198"/>
      <c r="LE1" s="198"/>
      <c r="LF1" s="198"/>
      <c r="LG1" s="198"/>
      <c r="LH1" s="198"/>
      <c r="LI1" s="198"/>
      <c r="LJ1" s="198"/>
      <c r="LK1" s="198"/>
      <c r="LL1" s="198"/>
      <c r="LM1" s="198"/>
      <c r="LN1" s="198"/>
      <c r="LO1" s="198"/>
      <c r="LP1" s="198"/>
      <c r="LQ1" s="198"/>
      <c r="LR1" s="198"/>
      <c r="LS1" s="198"/>
      <c r="LT1" s="198"/>
      <c r="LU1" s="198"/>
      <c r="LV1" s="198"/>
      <c r="LW1" s="198"/>
      <c r="LX1" s="198"/>
      <c r="LY1" s="198"/>
      <c r="LZ1" s="198"/>
      <c r="MA1" s="198"/>
      <c r="MB1" s="198"/>
      <c r="MC1" s="198"/>
      <c r="MD1" s="198"/>
      <c r="ME1" s="198"/>
      <c r="MF1" s="198"/>
      <c r="MG1" s="198"/>
      <c r="MH1" s="198"/>
      <c r="MI1" s="198"/>
      <c r="MJ1" s="198"/>
      <c r="MK1" s="198"/>
      <c r="ML1" s="198"/>
      <c r="MM1" s="198"/>
      <c r="MN1" s="198"/>
      <c r="MO1" s="198"/>
      <c r="MP1" s="198"/>
      <c r="MQ1" s="198"/>
      <c r="MR1" s="198"/>
      <c r="MS1" s="198"/>
      <c r="MT1" s="198"/>
      <c r="MU1" s="198"/>
      <c r="MV1" s="198"/>
      <c r="MW1" s="198"/>
      <c r="MX1" s="198"/>
      <c r="MY1" s="198"/>
      <c r="MZ1" s="198"/>
      <c r="NA1" s="198"/>
      <c r="NB1" s="198"/>
      <c r="NC1" s="198"/>
      <c r="ND1" s="198"/>
      <c r="NE1" s="198"/>
      <c r="NF1" s="198"/>
      <c r="NG1" s="198"/>
      <c r="NH1" s="198"/>
      <c r="NI1" s="198"/>
      <c r="NJ1" s="198"/>
      <c r="NK1" s="198"/>
      <c r="NL1" s="198"/>
      <c r="NM1" s="198"/>
      <c r="NN1" s="198"/>
      <c r="NO1" s="198"/>
      <c r="NP1" s="198"/>
      <c r="NQ1" s="198"/>
    </row>
    <row r="2" spans="1:381" ht="13.8" hidden="1" x14ac:dyDescent="0.25">
      <c r="A2" s="198"/>
      <c r="B2" s="198"/>
      <c r="C2" s="198"/>
      <c r="D2" s="198"/>
      <c r="E2" s="198"/>
      <c r="F2" s="198"/>
      <c r="G2" s="198"/>
      <c r="H2" s="198"/>
      <c r="I2" s="198"/>
      <c r="J2" s="198"/>
      <c r="K2" s="198"/>
      <c r="L2" s="198"/>
      <c r="M2" s="198"/>
      <c r="N2" s="198"/>
      <c r="O2" s="198"/>
      <c r="P2" s="198"/>
      <c r="Q2" s="198"/>
      <c r="R2" s="198"/>
      <c r="S2" s="198"/>
      <c r="T2" s="198"/>
      <c r="U2" s="198"/>
      <c r="V2" s="198"/>
      <c r="W2" s="198"/>
      <c r="X2" s="198"/>
      <c r="Y2" s="198"/>
      <c r="Z2" s="198"/>
      <c r="AA2" s="198"/>
      <c r="AB2" s="198"/>
      <c r="AC2" s="198"/>
      <c r="AD2" s="198"/>
      <c r="AE2" s="198"/>
      <c r="AF2" s="198"/>
      <c r="AG2" s="198"/>
      <c r="AH2" s="198"/>
      <c r="AI2" s="198"/>
      <c r="AJ2" s="198"/>
      <c r="AK2" s="198"/>
      <c r="AL2" s="198"/>
      <c r="AM2" s="198"/>
      <c r="AN2" s="198"/>
      <c r="AO2" s="198"/>
      <c r="AP2" s="198"/>
      <c r="AQ2" s="198"/>
      <c r="AR2" s="198"/>
      <c r="AS2" s="198"/>
      <c r="AT2" s="198"/>
      <c r="AU2" s="198"/>
      <c r="AV2" s="198"/>
      <c r="AW2" s="198"/>
      <c r="AX2" s="198"/>
      <c r="AY2" s="198"/>
      <c r="AZ2" s="198"/>
      <c r="BA2" s="198"/>
      <c r="BB2" s="198"/>
      <c r="BC2" s="198"/>
      <c r="BD2" s="198"/>
      <c r="BE2" s="198"/>
      <c r="BF2" s="198"/>
      <c r="BG2" s="198"/>
      <c r="BH2" s="198"/>
      <c r="BI2" s="198"/>
      <c r="BJ2" s="198"/>
      <c r="BK2" s="198"/>
      <c r="BL2" s="198"/>
      <c r="BM2" s="198"/>
      <c r="BN2" s="198"/>
      <c r="BO2" s="198"/>
      <c r="BP2" s="198"/>
      <c r="BQ2" s="198"/>
      <c r="BR2" s="198"/>
      <c r="BS2" s="198"/>
      <c r="BT2" s="198"/>
      <c r="BU2" s="198"/>
      <c r="BV2" s="198"/>
      <c r="BW2" s="198"/>
      <c r="BX2" s="198"/>
      <c r="BY2" s="198"/>
      <c r="BZ2" s="198"/>
      <c r="CA2" s="198"/>
      <c r="CB2" s="198"/>
      <c r="CC2" s="198"/>
      <c r="CD2" s="198"/>
      <c r="CE2" s="198"/>
      <c r="CF2" s="198"/>
      <c r="CG2" s="198"/>
      <c r="CH2" s="198"/>
      <c r="CI2" s="198"/>
      <c r="CJ2" s="198"/>
      <c r="CK2" s="198"/>
      <c r="CL2" s="198"/>
      <c r="CM2" s="198"/>
      <c r="CN2" s="198"/>
      <c r="CO2" s="198"/>
      <c r="CP2" s="198"/>
      <c r="CQ2" s="198"/>
      <c r="CR2" s="198"/>
      <c r="CS2" s="198"/>
      <c r="CT2" s="198"/>
      <c r="CU2" s="198"/>
      <c r="CV2" s="198"/>
      <c r="CW2" s="198"/>
      <c r="CX2" s="198"/>
      <c r="CY2" s="198"/>
      <c r="CZ2" s="198"/>
      <c r="DA2" s="198"/>
      <c r="DB2" s="198"/>
      <c r="DC2" s="198"/>
      <c r="DD2" s="198"/>
      <c r="DE2" s="198"/>
      <c r="DF2" s="198"/>
      <c r="DG2" s="198"/>
      <c r="DH2" s="198"/>
      <c r="DI2" s="198"/>
      <c r="DJ2" s="198"/>
      <c r="DK2" s="198"/>
      <c r="DL2" s="198"/>
      <c r="DM2" s="198"/>
      <c r="DN2" s="198"/>
      <c r="DO2" s="198"/>
      <c r="DP2" s="198"/>
      <c r="DQ2" s="198"/>
      <c r="DR2" s="198"/>
      <c r="DS2" s="198"/>
      <c r="DT2" s="198"/>
      <c r="DU2" s="198"/>
      <c r="DV2" s="198"/>
      <c r="DW2" s="198"/>
      <c r="DX2" s="198"/>
      <c r="DY2" s="198"/>
      <c r="DZ2" s="198"/>
      <c r="EA2" s="198"/>
      <c r="EB2" s="198"/>
      <c r="EC2" s="198"/>
      <c r="ED2" s="198"/>
      <c r="EE2" s="198"/>
      <c r="EF2" s="198"/>
      <c r="EG2" s="198"/>
      <c r="EH2" s="198"/>
      <c r="EI2" s="198"/>
      <c r="EJ2" s="198"/>
      <c r="EK2" s="198"/>
      <c r="EL2" s="198"/>
      <c r="EM2" s="198"/>
      <c r="EN2" s="198"/>
      <c r="EO2" s="198"/>
      <c r="EP2" s="540"/>
      <c r="EQ2" s="540"/>
      <c r="ER2" s="540"/>
      <c r="ES2" s="540"/>
      <c r="ET2" s="540"/>
      <c r="EU2" s="540"/>
      <c r="EV2" s="540"/>
      <c r="EW2" s="198"/>
      <c r="EX2" s="198"/>
      <c r="EY2" s="198"/>
      <c r="EZ2" s="198"/>
      <c r="FA2" s="198"/>
      <c r="FB2" s="198"/>
      <c r="FC2" s="198"/>
      <c r="FD2" s="198"/>
      <c r="FE2" s="198"/>
      <c r="FF2" s="198"/>
      <c r="FG2" s="198"/>
      <c r="FH2" s="198"/>
      <c r="FI2" s="198"/>
      <c r="FJ2" s="198"/>
      <c r="FK2" s="198"/>
      <c r="FL2" s="198"/>
      <c r="FM2" s="198"/>
      <c r="FN2" s="198"/>
      <c r="FO2" s="198"/>
      <c r="FP2" s="198"/>
      <c r="FQ2" s="198"/>
      <c r="FR2" s="198"/>
      <c r="FS2" s="198"/>
      <c r="FT2" s="198"/>
      <c r="FU2" s="198"/>
      <c r="FV2" s="198"/>
      <c r="FW2" s="198"/>
      <c r="FX2" s="198"/>
      <c r="FY2" s="198"/>
      <c r="FZ2" s="198"/>
      <c r="GA2" s="198"/>
      <c r="GB2" s="198"/>
      <c r="GC2" s="198"/>
      <c r="GD2" s="198"/>
      <c r="GE2" s="198"/>
      <c r="GF2" s="198"/>
      <c r="GG2" s="198"/>
      <c r="GH2" s="198"/>
      <c r="GI2" s="198"/>
      <c r="GJ2" s="198"/>
      <c r="GK2" s="198"/>
      <c r="GL2" s="198"/>
      <c r="GM2" s="198"/>
      <c r="GN2" s="198"/>
      <c r="GO2" s="198"/>
      <c r="GP2" s="198"/>
      <c r="GQ2" s="198"/>
      <c r="GR2" s="198"/>
      <c r="GS2" s="198"/>
      <c r="GT2" s="198"/>
      <c r="GU2" s="198"/>
      <c r="GV2" s="198"/>
      <c r="GW2" s="198"/>
      <c r="GX2" s="198"/>
      <c r="GY2" s="198"/>
      <c r="GZ2" s="198"/>
      <c r="HA2" s="198"/>
      <c r="HB2" s="198"/>
      <c r="HC2" s="198"/>
      <c r="HD2" s="198"/>
      <c r="HE2" s="198"/>
      <c r="HF2" s="198"/>
      <c r="HG2" s="198"/>
      <c r="HH2" s="198"/>
      <c r="HI2" s="198"/>
      <c r="HJ2" s="198"/>
      <c r="HK2" s="198"/>
      <c r="HL2" s="198"/>
      <c r="HM2" s="198"/>
      <c r="HN2" s="198"/>
      <c r="HO2" s="198"/>
      <c r="HP2" s="198"/>
      <c r="HQ2" s="198"/>
      <c r="HR2" s="198"/>
      <c r="HS2" s="198"/>
      <c r="HT2" s="198"/>
      <c r="HU2" s="198"/>
      <c r="HV2" s="198"/>
      <c r="HW2" s="198"/>
      <c r="HX2" s="198"/>
      <c r="HY2" s="198"/>
      <c r="HZ2" s="198"/>
      <c r="IA2" s="198"/>
      <c r="IB2" s="198"/>
      <c r="IC2" s="198"/>
      <c r="ID2" s="198"/>
      <c r="IE2" s="198"/>
      <c r="IF2" s="198"/>
      <c r="IG2" s="198"/>
      <c r="IH2" s="198"/>
      <c r="II2" s="198"/>
      <c r="IJ2" s="198"/>
      <c r="IK2" s="198"/>
      <c r="IL2" s="198"/>
      <c r="IM2" s="198"/>
      <c r="IN2" s="198"/>
      <c r="IO2" s="198"/>
      <c r="IP2" s="198"/>
      <c r="IQ2" s="198"/>
      <c r="IR2" s="211" t="s">
        <v>320</v>
      </c>
      <c r="IS2" s="211" t="s">
        <v>388</v>
      </c>
      <c r="IT2" s="211"/>
      <c r="IU2" s="211"/>
      <c r="IV2" s="211"/>
      <c r="IW2" s="211"/>
      <c r="IX2" s="748">
        <f>IF(OR(IX4=3,IX4=4,IX4=5),1,0)</f>
        <v>0</v>
      </c>
      <c r="IY2" s="199" t="s">
        <v>2777</v>
      </c>
      <c r="IZ2" s="198"/>
      <c r="JA2" s="198"/>
      <c r="JB2" s="198"/>
      <c r="JC2" s="198"/>
      <c r="JD2" s="198"/>
      <c r="JE2" s="198"/>
      <c r="JF2" s="198"/>
      <c r="JG2" s="198"/>
      <c r="JH2" s="198"/>
      <c r="JI2" s="198"/>
      <c r="JJ2" s="198"/>
      <c r="JK2" s="198"/>
      <c r="JL2" s="198"/>
      <c r="JM2" s="198"/>
      <c r="JN2" s="198"/>
      <c r="JO2" s="198"/>
      <c r="JP2" s="198"/>
      <c r="JQ2" s="198"/>
      <c r="JR2" s="198"/>
      <c r="JS2" s="198"/>
      <c r="JT2" s="198"/>
      <c r="JU2" s="198"/>
      <c r="JV2" s="198"/>
      <c r="JW2" s="198"/>
      <c r="JX2" s="198"/>
      <c r="JY2" s="198"/>
      <c r="JZ2" s="198"/>
      <c r="KA2" s="198"/>
      <c r="KB2" s="198"/>
      <c r="KC2" s="198"/>
      <c r="KD2" s="198"/>
      <c r="KE2" s="198"/>
      <c r="KF2" s="198"/>
      <c r="KG2" s="198"/>
      <c r="KH2" s="198"/>
      <c r="KI2" s="198"/>
      <c r="KJ2" s="198"/>
      <c r="KK2" s="198"/>
      <c r="KL2" s="198"/>
      <c r="KM2" s="198"/>
      <c r="KN2" s="198"/>
      <c r="KO2" s="198"/>
      <c r="KP2" s="198"/>
      <c r="KQ2" s="198"/>
      <c r="KR2" s="198"/>
      <c r="KS2" s="198"/>
      <c r="KT2" s="198"/>
      <c r="KU2" s="198"/>
      <c r="KV2" s="198"/>
      <c r="KW2" s="198"/>
      <c r="KX2" s="198"/>
      <c r="KY2" s="198"/>
      <c r="KZ2" s="198"/>
      <c r="LA2" s="198"/>
      <c r="LB2" s="198"/>
      <c r="LC2" s="198"/>
      <c r="LD2" s="198"/>
      <c r="LE2" s="198"/>
      <c r="LF2" s="198"/>
      <c r="LG2" s="198"/>
      <c r="LH2" s="198"/>
      <c r="LI2" s="198"/>
      <c r="LJ2" s="198"/>
      <c r="LK2" s="198"/>
      <c r="LL2" s="198"/>
      <c r="LM2" s="198"/>
      <c r="LN2" s="198"/>
      <c r="LO2" s="198"/>
      <c r="LP2" s="198"/>
      <c r="LQ2" s="198"/>
      <c r="LR2" s="198"/>
      <c r="LS2" s="198"/>
      <c r="LT2" s="198"/>
      <c r="LU2" s="198"/>
      <c r="LV2" s="198"/>
      <c r="LW2" s="198"/>
      <c r="LX2" s="198"/>
      <c r="LY2" s="198"/>
      <c r="LZ2" s="198"/>
      <c r="MA2" s="198"/>
      <c r="MB2" s="198"/>
      <c r="MC2" s="198"/>
      <c r="MD2" s="198"/>
      <c r="ME2" s="198"/>
      <c r="MF2" s="198"/>
      <c r="MG2" s="198"/>
      <c r="MH2" s="198"/>
      <c r="MI2" s="198"/>
      <c r="MJ2" s="198"/>
      <c r="MK2" s="198"/>
      <c r="ML2" s="198"/>
      <c r="MM2" s="198"/>
      <c r="MN2" s="198"/>
      <c r="MO2" s="198"/>
      <c r="MP2" s="198"/>
      <c r="MQ2" s="198"/>
      <c r="MR2" s="198"/>
      <c r="MS2" s="198"/>
      <c r="MT2" s="198"/>
      <c r="MU2" s="198"/>
      <c r="MV2" s="198"/>
      <c r="MW2" s="198"/>
      <c r="MX2" s="198"/>
      <c r="MY2" s="198"/>
      <c r="MZ2" s="198"/>
      <c r="NA2" s="198"/>
      <c r="NB2" s="198"/>
      <c r="NC2" s="198"/>
      <c r="ND2" s="198"/>
      <c r="NE2" s="198"/>
      <c r="NF2" s="198"/>
      <c r="NG2" s="198"/>
      <c r="NH2" s="198"/>
      <c r="NI2" s="198"/>
      <c r="NJ2" s="198"/>
      <c r="NK2" s="198"/>
      <c r="NL2" s="198"/>
      <c r="NM2" s="198"/>
      <c r="NN2" s="198"/>
      <c r="NO2" s="198"/>
      <c r="NP2" s="198"/>
      <c r="NQ2" s="198"/>
    </row>
    <row r="3" spans="1:381" ht="14.25" hidden="1" customHeight="1" thickBot="1" x14ac:dyDescent="0.3">
      <c r="A3" s="198"/>
      <c r="B3" s="198"/>
      <c r="C3" s="198"/>
      <c r="D3" s="198"/>
      <c r="E3" s="198"/>
      <c r="F3" s="198"/>
      <c r="G3" s="198"/>
      <c r="H3" s="198"/>
      <c r="I3" s="198"/>
      <c r="J3" s="198"/>
      <c r="K3" s="198"/>
      <c r="L3" s="198"/>
      <c r="M3" s="198"/>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8"/>
      <c r="AT3" s="198"/>
      <c r="AU3" s="198"/>
      <c r="AV3" s="198"/>
      <c r="AW3" s="198"/>
      <c r="AX3" s="198"/>
      <c r="AY3" s="198"/>
      <c r="AZ3" s="198"/>
      <c r="BA3" s="198"/>
      <c r="BB3" s="198"/>
      <c r="BC3" s="198"/>
      <c r="BD3" s="198"/>
      <c r="BE3" s="198"/>
      <c r="BF3" s="198"/>
      <c r="BG3" s="198"/>
      <c r="BH3" s="198"/>
      <c r="BI3" s="198"/>
      <c r="BJ3" s="198"/>
      <c r="BK3" s="198"/>
      <c r="BL3" s="198"/>
      <c r="BM3" s="198"/>
      <c r="BN3" s="198"/>
      <c r="BO3" s="198"/>
      <c r="BP3" s="198"/>
      <c r="BQ3" s="198"/>
      <c r="BR3" s="198"/>
      <c r="BS3" s="198"/>
      <c r="BT3" s="198"/>
      <c r="BU3" s="198"/>
      <c r="BV3" s="198"/>
      <c r="BW3" s="198"/>
      <c r="BX3" s="198"/>
      <c r="BY3" s="198"/>
      <c r="BZ3" s="198"/>
      <c r="CA3" s="198"/>
      <c r="CB3" s="198"/>
      <c r="CC3" s="198"/>
      <c r="CD3" s="198"/>
      <c r="CE3" s="198"/>
      <c r="CF3" s="198"/>
      <c r="CG3" s="198"/>
      <c r="CH3" s="198"/>
      <c r="CI3" s="198"/>
      <c r="CJ3" s="198"/>
      <c r="CK3" s="198"/>
      <c r="CL3" s="198"/>
      <c r="CM3" s="198"/>
      <c r="CN3" s="198"/>
      <c r="CO3" s="198"/>
      <c r="CP3" s="198"/>
      <c r="CQ3" s="198"/>
      <c r="CR3" s="198"/>
      <c r="CS3" s="198"/>
      <c r="CT3" s="198"/>
      <c r="CU3" s="198"/>
      <c r="CV3" s="198"/>
      <c r="CW3" s="198"/>
      <c r="CX3" s="198"/>
      <c r="CY3" s="198"/>
      <c r="CZ3" s="198"/>
      <c r="DA3" s="198"/>
      <c r="DB3" s="198"/>
      <c r="DC3" s="198"/>
      <c r="DD3" s="198"/>
      <c r="DE3" s="198"/>
      <c r="DF3" s="198"/>
      <c r="DG3" s="198"/>
      <c r="DH3" s="198"/>
      <c r="DI3" s="198"/>
      <c r="DJ3" s="198"/>
      <c r="DK3" s="198"/>
      <c r="DL3" s="198"/>
      <c r="DM3" s="198"/>
      <c r="DN3" s="198"/>
      <c r="DO3" s="198"/>
      <c r="DP3" s="198"/>
      <c r="DQ3" s="198"/>
      <c r="DR3" s="198"/>
      <c r="DS3" s="198"/>
      <c r="DT3" s="198"/>
      <c r="DU3" s="198"/>
      <c r="DV3" s="198"/>
      <c r="DW3" s="198"/>
      <c r="DX3" s="198"/>
      <c r="DY3" s="198"/>
      <c r="DZ3" s="198"/>
      <c r="EA3" s="198"/>
      <c r="EB3" s="198"/>
      <c r="EC3" s="198"/>
      <c r="ED3" s="198"/>
      <c r="EE3" s="198"/>
      <c r="EF3" s="198"/>
      <c r="EG3" s="198"/>
      <c r="EH3" s="198"/>
      <c r="EI3" s="198"/>
      <c r="EJ3" s="198"/>
      <c r="EK3" s="198"/>
      <c r="EL3" s="198"/>
      <c r="EM3" s="198"/>
      <c r="EN3" s="198"/>
      <c r="EO3" s="198"/>
      <c r="EP3" s="540"/>
      <c r="EQ3" s="540"/>
      <c r="ER3" s="540"/>
      <c r="ES3" s="540"/>
      <c r="ET3" s="540"/>
      <c r="EU3" s="540"/>
      <c r="EV3" s="540"/>
      <c r="EW3" s="198"/>
      <c r="EX3" s="198"/>
      <c r="EY3" s="198"/>
      <c r="EZ3" s="198"/>
      <c r="FA3" s="198"/>
      <c r="FB3" s="198"/>
      <c r="FC3" s="198"/>
      <c r="FD3" s="198"/>
      <c r="FE3" s="198"/>
      <c r="FF3" s="198"/>
      <c r="FG3" s="198"/>
      <c r="FH3" s="198"/>
      <c r="FI3" s="198"/>
      <c r="FJ3" s="198"/>
      <c r="FK3" s="198"/>
      <c r="FL3" s="198"/>
      <c r="FM3" s="198"/>
      <c r="FN3" s="198"/>
      <c r="FO3" s="198"/>
      <c r="FP3" s="198"/>
      <c r="FQ3" s="198"/>
      <c r="FR3" s="198"/>
      <c r="FS3" s="198"/>
      <c r="FT3" s="198"/>
      <c r="FU3" s="198"/>
      <c r="FV3" s="198"/>
      <c r="FW3" s="198"/>
      <c r="FX3" s="198"/>
      <c r="FY3" s="198"/>
      <c r="FZ3" s="198"/>
      <c r="GA3" s="198"/>
      <c r="GB3" s="198"/>
      <c r="GC3" s="198"/>
      <c r="GD3" s="198"/>
      <c r="GE3" s="198"/>
      <c r="GF3" s="198"/>
      <c r="GG3" s="198"/>
      <c r="GH3" s="198"/>
      <c r="GI3" s="198"/>
      <c r="GJ3" s="198"/>
      <c r="GK3" s="198"/>
      <c r="GL3" s="198"/>
      <c r="GM3" s="198"/>
      <c r="GN3" s="198"/>
      <c r="GO3" s="198"/>
      <c r="GP3" s="198"/>
      <c r="GQ3" s="198"/>
      <c r="GR3" s="198"/>
      <c r="GS3" s="198"/>
      <c r="GT3" s="198"/>
      <c r="GU3" s="198"/>
      <c r="GV3" s="198"/>
      <c r="GW3" s="198"/>
      <c r="GX3" s="198"/>
      <c r="GY3" s="198"/>
      <c r="GZ3" s="198"/>
      <c r="HA3" s="198"/>
      <c r="HB3" s="198"/>
      <c r="HC3" s="198"/>
      <c r="HD3" s="198"/>
      <c r="HE3" s="198"/>
      <c r="HF3" s="198"/>
      <c r="HG3" s="198"/>
      <c r="HH3" s="198"/>
      <c r="HI3" s="198"/>
      <c r="HJ3" s="198"/>
      <c r="HK3" s="198"/>
      <c r="HL3" s="198"/>
      <c r="HM3" s="198"/>
      <c r="HN3" s="198"/>
      <c r="HO3" s="198"/>
      <c r="HP3" s="198"/>
      <c r="HQ3" s="198"/>
      <c r="HR3" s="198"/>
      <c r="HS3" s="198"/>
      <c r="HT3" s="198"/>
      <c r="HU3" s="198"/>
      <c r="HV3" s="198"/>
      <c r="HW3" s="198"/>
      <c r="HX3" s="198"/>
      <c r="HY3" s="198"/>
      <c r="HZ3" s="198"/>
      <c r="IA3" s="445"/>
      <c r="IB3" s="748"/>
      <c r="IC3" s="198"/>
      <c r="ID3" s="198"/>
      <c r="IE3" s="198"/>
      <c r="IF3" s="198"/>
      <c r="IG3" s="198"/>
      <c r="IH3" s="198"/>
      <c r="II3" s="198"/>
      <c r="IJ3" s="198"/>
      <c r="IK3" s="198"/>
      <c r="IL3" s="198"/>
      <c r="IM3" s="198"/>
      <c r="IN3" s="748">
        <v>1</v>
      </c>
      <c r="IO3" s="1955"/>
      <c r="IP3" s="431" t="s">
        <v>2292</v>
      </c>
      <c r="IQ3" s="216" t="s">
        <v>387</v>
      </c>
      <c r="IR3" s="433">
        <f>'1 Setup'!R88</f>
        <v>0</v>
      </c>
      <c r="IS3" s="552">
        <f>'1 Setup'!W88</f>
        <v>0</v>
      </c>
      <c r="IT3" s="211"/>
      <c r="IU3" s="445">
        <v>1</v>
      </c>
      <c r="IV3" s="211"/>
      <c r="IW3" s="211"/>
      <c r="IX3" s="198"/>
      <c r="IY3" s="214"/>
      <c r="IZ3" s="198"/>
      <c r="JA3" s="198"/>
      <c r="JB3" s="198"/>
      <c r="JC3" s="198"/>
      <c r="JD3" s="198"/>
      <c r="JE3" s="198"/>
      <c r="JF3" s="214" t="s">
        <v>1086</v>
      </c>
      <c r="JG3" s="198"/>
      <c r="JH3" s="198"/>
      <c r="JI3" s="198"/>
      <c r="JJ3" s="198"/>
      <c r="JK3" s="198"/>
      <c r="JL3" s="198"/>
      <c r="JM3" s="198"/>
      <c r="JN3" s="198"/>
      <c r="JO3" s="198"/>
      <c r="JP3" s="198"/>
      <c r="JQ3" s="198"/>
      <c r="JR3" s="198"/>
      <c r="JS3" s="198"/>
      <c r="JT3" s="198"/>
      <c r="JU3" s="198"/>
      <c r="JV3" s="198"/>
      <c r="JW3" s="198"/>
      <c r="JX3" s="198"/>
      <c r="JY3" s="198"/>
      <c r="JZ3" s="198"/>
      <c r="KA3" s="198"/>
      <c r="KB3" s="198"/>
      <c r="KC3" s="198"/>
      <c r="KD3" s="198"/>
      <c r="KE3" s="198"/>
      <c r="KF3" s="198"/>
      <c r="KG3" s="198"/>
      <c r="KH3" s="198"/>
      <c r="KI3" s="198"/>
      <c r="KJ3" s="198"/>
      <c r="KK3" s="198"/>
      <c r="KL3" s="198"/>
      <c r="KM3" s="198"/>
      <c r="KN3" s="198"/>
      <c r="KO3" s="198"/>
      <c r="KP3" s="198"/>
      <c r="KQ3" s="198"/>
      <c r="KR3" s="198"/>
      <c r="KS3" s="198"/>
      <c r="KT3" s="198"/>
      <c r="KU3" s="198"/>
      <c r="KV3" s="198"/>
      <c r="KW3" s="198"/>
      <c r="KX3" s="198"/>
      <c r="KY3" s="198"/>
      <c r="KZ3" s="198"/>
      <c r="LA3" s="198"/>
      <c r="LB3" s="198"/>
      <c r="LC3" s="198"/>
      <c r="LD3" s="198"/>
      <c r="LE3" s="198"/>
      <c r="LF3" s="198"/>
      <c r="LG3" s="198"/>
      <c r="LH3" s="198"/>
      <c r="LI3" s="198"/>
      <c r="LJ3" s="198"/>
      <c r="LK3" s="198"/>
      <c r="LL3" s="198"/>
      <c r="LM3" s="198"/>
      <c r="LN3" s="198"/>
      <c r="LO3" s="198"/>
      <c r="LP3" s="198"/>
      <c r="LQ3" s="748">
        <f>IFERROR(MATCH(LR56,LR3:LR5,0),1)</f>
        <v>3</v>
      </c>
      <c r="LR3" s="3508" t="s">
        <v>2804</v>
      </c>
      <c r="LS3" s="3509"/>
      <c r="LT3" s="3509"/>
      <c r="LU3" s="3509"/>
      <c r="LV3" s="3509"/>
      <c r="LW3" s="3510"/>
      <c r="LX3" s="198"/>
      <c r="LY3" s="198"/>
      <c r="LZ3" s="198"/>
      <c r="MA3" s="198"/>
      <c r="MB3" s="198"/>
      <c r="MC3" s="198"/>
      <c r="MD3" s="198"/>
      <c r="ME3" s="198"/>
      <c r="MF3" s="198"/>
      <c r="MG3" s="198"/>
      <c r="MH3" s="198"/>
      <c r="MI3" s="198"/>
      <c r="MJ3" s="198"/>
      <c r="MK3" s="198"/>
      <c r="ML3" s="198"/>
      <c r="MM3" s="198"/>
      <c r="MN3" s="198"/>
      <c r="MO3" s="198"/>
      <c r="MP3" s="198"/>
      <c r="MQ3" s="198"/>
      <c r="MR3" s="198"/>
      <c r="MS3" s="198"/>
      <c r="MT3" s="198"/>
      <c r="MU3" s="198"/>
      <c r="MV3" s="198"/>
      <c r="MW3" s="198"/>
      <c r="MX3" s="198"/>
      <c r="MY3" s="198"/>
      <c r="MZ3" s="198"/>
      <c r="NA3" s="198"/>
      <c r="NB3" s="198"/>
      <c r="NC3" s="198"/>
      <c r="ND3" s="198"/>
      <c r="NE3" s="198"/>
      <c r="NF3" s="198"/>
      <c r="NG3" s="198"/>
      <c r="NH3" s="198"/>
      <c r="NI3" s="198"/>
      <c r="NJ3" s="198"/>
      <c r="NK3" s="198"/>
      <c r="NL3" s="198"/>
      <c r="NM3" s="198"/>
      <c r="NN3" s="198"/>
      <c r="NO3" s="198"/>
      <c r="NP3" s="198"/>
      <c r="NQ3" s="198"/>
    </row>
    <row r="4" spans="1:381" ht="14.25" hidden="1" customHeight="1" thickBot="1" x14ac:dyDescent="0.3">
      <c r="A4" s="198"/>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8"/>
      <c r="BH4" s="198"/>
      <c r="BI4" s="198"/>
      <c r="BJ4" s="198"/>
      <c r="BK4" s="198"/>
      <c r="BL4" s="198"/>
      <c r="BM4" s="198"/>
      <c r="BN4" s="198"/>
      <c r="BO4" s="198"/>
      <c r="BP4" s="198"/>
      <c r="BQ4" s="198"/>
      <c r="BR4" s="198"/>
      <c r="BS4" s="198"/>
      <c r="BT4" s="198"/>
      <c r="BU4" s="198"/>
      <c r="BV4" s="198"/>
      <c r="BW4" s="198"/>
      <c r="BX4" s="198"/>
      <c r="BY4" s="198"/>
      <c r="BZ4" s="198"/>
      <c r="CA4" s="198"/>
      <c r="CB4" s="198"/>
      <c r="CC4" s="198"/>
      <c r="CD4" s="198"/>
      <c r="CE4" s="198"/>
      <c r="CF4" s="198"/>
      <c r="CG4" s="198"/>
      <c r="CH4" s="198"/>
      <c r="CI4" s="198"/>
      <c r="CJ4" s="198"/>
      <c r="CK4" s="198"/>
      <c r="CL4" s="198"/>
      <c r="CM4" s="198"/>
      <c r="CN4" s="198"/>
      <c r="CO4" s="198"/>
      <c r="CP4" s="198"/>
      <c r="CQ4" s="198"/>
      <c r="CR4" s="198"/>
      <c r="CS4" s="198"/>
      <c r="CT4" s="198"/>
      <c r="CU4" s="198"/>
      <c r="CV4" s="198"/>
      <c r="CW4" s="198"/>
      <c r="CX4" s="198"/>
      <c r="CY4" s="198"/>
      <c r="CZ4" s="198"/>
      <c r="DA4" s="198"/>
      <c r="DB4" s="198"/>
      <c r="DC4" s="198"/>
      <c r="DD4" s="198"/>
      <c r="DE4" s="198"/>
      <c r="DF4" s="198"/>
      <c r="DG4" s="198"/>
      <c r="DH4" s="198"/>
      <c r="DI4" s="198"/>
      <c r="DJ4" s="198"/>
      <c r="DK4" s="198"/>
      <c r="DL4" s="198"/>
      <c r="DM4" s="198"/>
      <c r="DN4" s="198"/>
      <c r="DO4" s="198"/>
      <c r="DP4" s="198"/>
      <c r="DQ4" s="198"/>
      <c r="DR4" s="198"/>
      <c r="DS4" s="198"/>
      <c r="DT4" s="198"/>
      <c r="DU4" s="198"/>
      <c r="DV4" s="198"/>
      <c r="DW4" s="198"/>
      <c r="DX4" s="198"/>
      <c r="DY4" s="198"/>
      <c r="DZ4" s="198"/>
      <c r="EA4" s="198"/>
      <c r="EB4" s="198"/>
      <c r="EC4" s="198"/>
      <c r="ED4" s="198"/>
      <c r="EE4" s="198"/>
      <c r="EF4" s="198"/>
      <c r="EG4" s="198"/>
      <c r="EH4" s="198"/>
      <c r="EI4" s="198"/>
      <c r="EJ4" s="198"/>
      <c r="EK4" s="198"/>
      <c r="EL4" s="198"/>
      <c r="EM4" s="198"/>
      <c r="EN4" s="198"/>
      <c r="EO4" s="198"/>
      <c r="EP4" s="540"/>
      <c r="EQ4" s="540"/>
      <c r="ER4" s="540"/>
      <c r="ES4" s="540"/>
      <c r="ET4" s="540"/>
      <c r="EU4" s="540"/>
      <c r="EV4" s="540"/>
      <c r="EW4" s="198"/>
      <c r="EX4" s="198"/>
      <c r="EY4" s="198"/>
      <c r="EZ4" s="198"/>
      <c r="FA4" s="198"/>
      <c r="FB4" s="198"/>
      <c r="FC4" s="198"/>
      <c r="FD4" s="198"/>
      <c r="FE4" s="198"/>
      <c r="FF4" s="198"/>
      <c r="FG4" s="198"/>
      <c r="FH4" s="198"/>
      <c r="FI4" s="198"/>
      <c r="FJ4" s="198"/>
      <c r="FK4" s="198"/>
      <c r="FL4" s="198"/>
      <c r="FM4" s="198"/>
      <c r="FN4" s="198"/>
      <c r="FO4" s="198"/>
      <c r="FP4" s="198"/>
      <c r="FQ4" s="198"/>
      <c r="FR4" s="198"/>
      <c r="FS4" s="198"/>
      <c r="FT4" s="198"/>
      <c r="FU4" s="198"/>
      <c r="FV4" s="198"/>
      <c r="FW4" s="198"/>
      <c r="FX4" s="198"/>
      <c r="FY4" s="198"/>
      <c r="FZ4" s="198"/>
      <c r="GA4" s="198"/>
      <c r="GB4" s="198"/>
      <c r="GC4" s="198"/>
      <c r="GD4" s="198"/>
      <c r="GE4" s="198"/>
      <c r="GF4" s="198"/>
      <c r="GG4" s="198"/>
      <c r="GH4" s="198"/>
      <c r="GI4" s="198"/>
      <c r="GJ4" s="198"/>
      <c r="GK4" s="198"/>
      <c r="GL4" s="198"/>
      <c r="GM4" s="198"/>
      <c r="GN4" s="198"/>
      <c r="GO4" s="198"/>
      <c r="GP4" s="198"/>
      <c r="GQ4" s="198"/>
      <c r="GR4" s="198"/>
      <c r="GS4" s="198"/>
      <c r="GT4" s="198"/>
      <c r="GU4" s="198"/>
      <c r="GV4" s="198"/>
      <c r="GW4" s="198"/>
      <c r="GX4" s="198"/>
      <c r="GY4" s="198"/>
      <c r="GZ4" s="198"/>
      <c r="HA4" s="198"/>
      <c r="HB4" s="198"/>
      <c r="HC4" s="198"/>
      <c r="HD4" s="198"/>
      <c r="HE4" s="198"/>
      <c r="HF4" s="198"/>
      <c r="HG4" s="198"/>
      <c r="HH4" s="198"/>
      <c r="HI4" s="198"/>
      <c r="HJ4" s="198"/>
      <c r="HK4" s="198"/>
      <c r="HL4" s="198"/>
      <c r="HM4" s="198"/>
      <c r="HN4" s="198"/>
      <c r="HO4" s="198"/>
      <c r="HP4" s="198"/>
      <c r="HQ4" s="198"/>
      <c r="HR4" s="198"/>
      <c r="HS4" s="198"/>
      <c r="HT4" s="198"/>
      <c r="HU4" s="198"/>
      <c r="HV4" s="198"/>
      <c r="HW4" s="198"/>
      <c r="HX4" s="198"/>
      <c r="HY4" s="198"/>
      <c r="HZ4" s="198"/>
      <c r="IA4" s="445"/>
      <c r="IB4" s="748" t="s">
        <v>52</v>
      </c>
      <c r="IC4" s="198"/>
      <c r="ID4" s="198"/>
      <c r="IE4" s="198"/>
      <c r="IF4" s="198"/>
      <c r="IG4" s="198"/>
      <c r="IH4" s="198"/>
      <c r="II4" s="198"/>
      <c r="IJ4" s="198"/>
      <c r="IK4" s="198"/>
      <c r="IL4" s="198"/>
      <c r="IM4" s="198"/>
      <c r="IN4" s="748">
        <v>2</v>
      </c>
      <c r="IO4" s="1955"/>
      <c r="IP4" s="431" t="s">
        <v>332</v>
      </c>
      <c r="IQ4" s="216" t="s">
        <v>332</v>
      </c>
      <c r="IR4" s="433">
        <f>IF(OR($IX$4=1,'1 Setup'!R90=0),$IR$3,'1 Setup'!R90)</f>
        <v>0</v>
      </c>
      <c r="IS4" s="552">
        <f>IF(ISBLANK('1 Setup'!W90),'1 Setup'!$W$88,'1 Setup'!W90)</f>
        <v>0</v>
      </c>
      <c r="IT4" s="211"/>
      <c r="IU4" s="445">
        <v>2</v>
      </c>
      <c r="IV4" s="211"/>
      <c r="IW4" s="211"/>
      <c r="IX4" s="238">
        <f>'1 Setup'!G8</f>
        <v>10</v>
      </c>
      <c r="IY4" s="431" t="str">
        <f>'1 Setup'!H9</f>
        <v>1.  Single Multiplier on Raw</v>
      </c>
      <c r="IZ4" s="198"/>
      <c r="JA4" s="198"/>
      <c r="JB4" s="198"/>
      <c r="JC4" s="198"/>
      <c r="JD4" s="198"/>
      <c r="JE4" s="198"/>
      <c r="JF4" s="555">
        <f>IF(IX4&lt;6,1,0)</f>
        <v>0</v>
      </c>
      <c r="JG4" s="555">
        <f>IF(OR(IX4=5,IX4=6),1,0)</f>
        <v>0</v>
      </c>
      <c r="JH4" s="555">
        <f>IF(OR(IX4=3,IX4=4,IX4=5),1,0)</f>
        <v>0</v>
      </c>
      <c r="JI4" s="201"/>
      <c r="JJ4" s="748">
        <f>IF($IX$4&lt;7,1,0)</f>
        <v>0</v>
      </c>
      <c r="JK4" s="748">
        <f t="shared" ref="JK4:JL4" si="0">IF($IX$4&lt;7,1,0)</f>
        <v>0</v>
      </c>
      <c r="JL4" s="758">
        <f t="shared" si="0"/>
        <v>0</v>
      </c>
      <c r="JM4" s="201"/>
      <c r="JN4" s="382">
        <f>IF(OR(IX4=7,IX4=8),1,0)</f>
        <v>0</v>
      </c>
      <c r="JO4" s="198"/>
      <c r="JP4" s="555">
        <f>IF(OR($IX$4=9,$IX$4=10),1,0)</f>
        <v>1</v>
      </c>
      <c r="JQ4" s="382">
        <f>IF(OR($IX$4=9,$IX$4=10),1,0)</f>
        <v>1</v>
      </c>
      <c r="JR4" s="198"/>
      <c r="JS4" s="198"/>
      <c r="JT4" s="198"/>
      <c r="JU4" s="198"/>
      <c r="JV4" s="198"/>
      <c r="JW4" s="198"/>
      <c r="JX4" s="198"/>
      <c r="JY4" s="198"/>
      <c r="JZ4" s="198"/>
      <c r="KA4" s="198"/>
      <c r="KB4" s="198"/>
      <c r="KC4" s="198"/>
      <c r="KD4" s="198"/>
      <c r="KE4" s="198"/>
      <c r="KF4" s="198"/>
      <c r="KG4" s="198"/>
      <c r="KH4" s="198"/>
      <c r="KI4" s="198"/>
      <c r="KJ4" s="198"/>
      <c r="KK4" s="198"/>
      <c r="KL4" s="198"/>
      <c r="KM4" s="198"/>
      <c r="KN4" s="198"/>
      <c r="KO4" s="198"/>
      <c r="KP4" s="198"/>
      <c r="KQ4" s="198"/>
      <c r="KR4" s="198"/>
      <c r="KS4" s="198"/>
      <c r="KT4" s="198"/>
      <c r="KU4" s="198"/>
      <c r="KV4" s="198"/>
      <c r="KW4" s="198"/>
      <c r="KX4" s="198"/>
      <c r="KY4" s="198"/>
      <c r="KZ4" s="198"/>
      <c r="LA4" s="198"/>
      <c r="LB4" s="198"/>
      <c r="LC4" s="198"/>
      <c r="LD4" s="198"/>
      <c r="LE4" s="198"/>
      <c r="LF4" s="198"/>
      <c r="LG4" s="198"/>
      <c r="LH4" s="198"/>
      <c r="LI4" s="198"/>
      <c r="LJ4" s="198"/>
      <c r="LK4" s="198"/>
      <c r="LL4" s="198"/>
      <c r="LM4" s="198"/>
      <c r="LN4" s="198"/>
      <c r="LO4" s="198"/>
      <c r="LP4" s="198"/>
      <c r="LQ4" s="198"/>
      <c r="LR4" s="3508" t="s">
        <v>2793</v>
      </c>
      <c r="LS4" s="3509"/>
      <c r="LT4" s="3509"/>
      <c r="LU4" s="3509"/>
      <c r="LV4" s="3509"/>
      <c r="LW4" s="3510"/>
      <c r="LX4" s="198"/>
      <c r="LY4" s="198"/>
      <c r="LZ4" s="198"/>
      <c r="MA4" s="198"/>
      <c r="MB4" s="198"/>
      <c r="MC4" s="198"/>
      <c r="MD4" s="198"/>
      <c r="ME4" s="198"/>
      <c r="MF4" s="198"/>
      <c r="MG4" s="198"/>
      <c r="MH4" s="198"/>
      <c r="MI4" s="198"/>
      <c r="MJ4" s="198"/>
      <c r="MK4" s="198"/>
      <c r="ML4" s="198"/>
      <c r="MM4" s="198"/>
      <c r="MN4" s="198"/>
      <c r="MO4" s="198"/>
      <c r="MP4" s="198"/>
      <c r="MQ4" s="198"/>
      <c r="MR4" s="198"/>
      <c r="MS4" s="198"/>
      <c r="MT4" s="198"/>
      <c r="MU4" s="198"/>
      <c r="MV4" s="198"/>
      <c r="MW4" s="198"/>
      <c r="MX4" s="198"/>
      <c r="MY4" s="198"/>
      <c r="MZ4" s="198"/>
      <c r="NA4" s="198"/>
      <c r="NB4" s="198"/>
      <c r="NC4" s="198"/>
      <c r="ND4" s="198"/>
      <c r="NE4" s="198"/>
      <c r="NF4" s="198"/>
      <c r="NG4" s="198"/>
      <c r="NH4" s="198"/>
      <c r="NI4" s="198"/>
      <c r="NJ4" s="198"/>
      <c r="NK4" s="198"/>
      <c r="NL4" s="198"/>
      <c r="NM4" s="198"/>
      <c r="NN4" s="198"/>
      <c r="NO4" s="198"/>
      <c r="NP4" s="198"/>
      <c r="NQ4" s="198"/>
    </row>
    <row r="5" spans="1:381" ht="14.25" hidden="1" customHeight="1" x14ac:dyDescent="0.25">
      <c r="A5" s="198"/>
      <c r="B5" s="198"/>
      <c r="C5" s="198"/>
      <c r="D5" s="198"/>
      <c r="E5" s="198"/>
      <c r="F5" s="198"/>
      <c r="G5" s="198"/>
      <c r="H5" s="1538">
        <f>'1 Setup'!I74</f>
        <v>0.1565</v>
      </c>
      <c r="I5" s="199" t="s">
        <v>1571</v>
      </c>
      <c r="J5" s="199"/>
      <c r="K5" s="198"/>
      <c r="L5" s="198"/>
      <c r="M5" s="198"/>
      <c r="N5" s="198"/>
      <c r="O5" s="198"/>
      <c r="P5" s="198"/>
      <c r="Q5" s="198"/>
      <c r="R5" s="198"/>
      <c r="S5" s="198"/>
      <c r="T5" s="198"/>
      <c r="U5" s="198"/>
      <c r="V5" s="198"/>
      <c r="W5" s="198"/>
      <c r="X5" s="198"/>
      <c r="Y5" s="198"/>
      <c r="Z5" s="198"/>
      <c r="AA5" s="198"/>
      <c r="AB5" s="198"/>
      <c r="AC5" s="198"/>
      <c r="AD5" s="198"/>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540"/>
      <c r="EQ5" s="540"/>
      <c r="ER5" s="540"/>
      <c r="ES5" s="540"/>
      <c r="ET5" s="540"/>
      <c r="EU5" s="540"/>
      <c r="EV5" s="540"/>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445"/>
      <c r="IB5" s="748" t="s">
        <v>27</v>
      </c>
      <c r="IC5" s="198"/>
      <c r="ID5" s="198"/>
      <c r="IE5" s="198"/>
      <c r="IF5" s="198"/>
      <c r="IG5" s="198"/>
      <c r="IH5" s="198"/>
      <c r="II5" s="198"/>
      <c r="IJ5" s="198"/>
      <c r="IK5" s="198"/>
      <c r="IL5" s="198"/>
      <c r="IM5" s="198"/>
      <c r="IN5" s="748">
        <v>3</v>
      </c>
      <c r="IO5" s="1955"/>
      <c r="IP5" s="431" t="s">
        <v>301</v>
      </c>
      <c r="IQ5" s="216" t="s">
        <v>301</v>
      </c>
      <c r="IR5" s="433">
        <f>IF(OR($IX$4=1,'1 Setup'!R92=0),$IR$3,'1 Setup'!R92)</f>
        <v>0</v>
      </c>
      <c r="IS5" s="552">
        <f>IF(ISBLANK('1 Setup'!W92),'1 Setup'!$W$90,'1 Setup'!W92)</f>
        <v>0</v>
      </c>
      <c r="IT5" s="211"/>
      <c r="IU5" s="445">
        <v>3</v>
      </c>
      <c r="IV5" s="211"/>
      <c r="IW5" s="211"/>
      <c r="IX5" s="198"/>
      <c r="IY5" s="256" t="str">
        <f>'1 Setup'!H10</f>
        <v>2.  Multipliers on Raw (varies with employment type)</v>
      </c>
      <c r="IZ5" s="198" t="s">
        <v>5</v>
      </c>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3508" t="s">
        <v>2794</v>
      </c>
      <c r="LS5" s="3509"/>
      <c r="LT5" s="3509"/>
      <c r="LU5" s="3509"/>
      <c r="LV5" s="3509"/>
      <c r="LW5" s="3510"/>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216" t="s">
        <v>3351</v>
      </c>
      <c r="NA5" s="198"/>
      <c r="NB5" s="2710">
        <f>IF(IX4&gt;4,3,IF(NB6=1,2,1))</f>
        <v>3</v>
      </c>
      <c r="NC5" s="198"/>
      <c r="ND5" s="256" t="s">
        <v>3409</v>
      </c>
      <c r="NE5" s="198"/>
      <c r="NF5" s="198"/>
      <c r="NG5" s="2750" t="s">
        <v>3361</v>
      </c>
      <c r="NH5" s="198"/>
      <c r="NI5" s="198"/>
      <c r="NJ5" s="198"/>
      <c r="NK5" s="198"/>
      <c r="NL5" s="198"/>
      <c r="NM5" s="198"/>
      <c r="NN5" s="198"/>
      <c r="NO5" s="198"/>
      <c r="NP5" s="198"/>
      <c r="NQ5" s="198"/>
    </row>
    <row r="6" spans="1:381" ht="14.25" hidden="1" customHeight="1" x14ac:dyDescent="0.25">
      <c r="A6" s="198"/>
      <c r="B6" s="198"/>
      <c r="C6" s="198"/>
      <c r="D6" s="198"/>
      <c r="E6" s="198"/>
      <c r="F6" s="198"/>
      <c r="G6" s="198"/>
      <c r="H6" s="198"/>
      <c r="I6" s="198"/>
      <c r="J6" s="198"/>
      <c r="K6" s="198"/>
      <c r="L6" s="198"/>
      <c r="M6" s="198"/>
      <c r="N6" s="198"/>
      <c r="O6" s="198"/>
      <c r="P6" s="198"/>
      <c r="Q6" s="198"/>
      <c r="R6" s="198"/>
      <c r="S6" s="198"/>
      <c r="T6" s="198"/>
      <c r="U6" s="198"/>
      <c r="V6" s="198"/>
      <c r="W6" s="198"/>
      <c r="X6" s="198"/>
      <c r="Y6" s="198"/>
      <c r="Z6" s="198"/>
      <c r="AA6" s="198"/>
      <c r="AB6" s="198"/>
      <c r="AC6" s="198"/>
      <c r="AD6" s="198"/>
      <c r="AE6" s="198"/>
      <c r="AF6" s="198"/>
      <c r="AG6" s="198"/>
      <c r="AH6" s="198"/>
      <c r="AI6" s="198"/>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c r="CB6" s="198"/>
      <c r="CC6" s="198"/>
      <c r="CD6" s="198"/>
      <c r="CE6" s="198"/>
      <c r="CF6" s="198"/>
      <c r="CG6" s="198"/>
      <c r="CH6" s="198"/>
      <c r="CI6" s="198"/>
      <c r="CJ6" s="198"/>
      <c r="CK6" s="198"/>
      <c r="CL6" s="198"/>
      <c r="CM6" s="198"/>
      <c r="CN6" s="198"/>
      <c r="CO6" s="198"/>
      <c r="CP6" s="198"/>
      <c r="CQ6" s="198"/>
      <c r="CR6" s="198"/>
      <c r="CS6" s="198"/>
      <c r="CT6" s="198"/>
      <c r="CU6" s="198"/>
      <c r="CV6" s="198"/>
      <c r="CW6" s="198"/>
      <c r="CX6" s="198"/>
      <c r="CY6" s="198"/>
      <c r="CZ6" s="198"/>
      <c r="DA6" s="198"/>
      <c r="DB6" s="198"/>
      <c r="DC6" s="198"/>
      <c r="DD6" s="198"/>
      <c r="DE6" s="198"/>
      <c r="DF6" s="198"/>
      <c r="DG6" s="198"/>
      <c r="DH6" s="198"/>
      <c r="DI6" s="198"/>
      <c r="DJ6" s="198"/>
      <c r="DK6" s="198"/>
      <c r="DL6" s="198"/>
      <c r="DM6" s="198"/>
      <c r="DN6" s="198"/>
      <c r="DO6" s="198"/>
      <c r="DP6" s="198"/>
      <c r="DQ6" s="198"/>
      <c r="DR6" s="198"/>
      <c r="DS6" s="198"/>
      <c r="DT6" s="198"/>
      <c r="DU6" s="198"/>
      <c r="DV6" s="198"/>
      <c r="DW6" s="198"/>
      <c r="DX6" s="198"/>
      <c r="DY6" s="198"/>
      <c r="DZ6" s="198"/>
      <c r="EA6" s="198"/>
      <c r="EB6" s="198"/>
      <c r="EC6" s="198"/>
      <c r="ED6" s="198"/>
      <c r="EE6" s="198"/>
      <c r="EF6" s="198"/>
      <c r="EG6" s="198"/>
      <c r="EH6" s="198"/>
      <c r="EI6" s="198"/>
      <c r="EJ6" s="198"/>
      <c r="EK6" s="198"/>
      <c r="EL6" s="198"/>
      <c r="EM6" s="198"/>
      <c r="EN6" s="198"/>
      <c r="EO6" s="198"/>
      <c r="EP6" s="540"/>
      <c r="EQ6" s="540"/>
      <c r="ER6" s="540"/>
      <c r="ES6" s="540"/>
      <c r="ET6" s="540"/>
      <c r="EU6" s="540"/>
      <c r="EV6" s="540"/>
      <c r="EW6" s="198"/>
      <c r="EX6" s="198"/>
      <c r="EY6" s="198"/>
      <c r="EZ6" s="198"/>
      <c r="FA6" s="198"/>
      <c r="FB6" s="198"/>
      <c r="FC6" s="198"/>
      <c r="FD6" s="198"/>
      <c r="FE6" s="198"/>
      <c r="FF6" s="198"/>
      <c r="FG6" s="198"/>
      <c r="FH6" s="198"/>
      <c r="FI6" s="198"/>
      <c r="FJ6" s="198"/>
      <c r="FK6" s="198"/>
      <c r="FL6" s="198"/>
      <c r="FM6" s="198"/>
      <c r="FN6" s="198"/>
      <c r="FO6" s="198"/>
      <c r="FP6" s="198"/>
      <c r="FQ6" s="198"/>
      <c r="FR6" s="198"/>
      <c r="FS6" s="198"/>
      <c r="FT6" s="198"/>
      <c r="FU6" s="198"/>
      <c r="FV6" s="198"/>
      <c r="FW6" s="198"/>
      <c r="FX6" s="198"/>
      <c r="FY6" s="198"/>
      <c r="FZ6" s="198"/>
      <c r="GA6" s="198"/>
      <c r="GB6" s="198"/>
      <c r="GC6" s="198"/>
      <c r="GD6" s="198"/>
      <c r="GE6" s="198"/>
      <c r="GF6" s="198"/>
      <c r="GG6" s="198"/>
      <c r="GH6" s="198"/>
      <c r="GI6" s="198"/>
      <c r="GJ6" s="198"/>
      <c r="GK6" s="198"/>
      <c r="GL6" s="198"/>
      <c r="GM6" s="198"/>
      <c r="GN6" s="198"/>
      <c r="GO6" s="198"/>
      <c r="GP6" s="198"/>
      <c r="GQ6" s="198"/>
      <c r="GR6" s="198"/>
      <c r="GS6" s="198"/>
      <c r="GT6" s="198"/>
      <c r="GU6" s="198"/>
      <c r="GV6" s="198"/>
      <c r="GW6" s="198"/>
      <c r="GX6" s="198"/>
      <c r="GY6" s="198"/>
      <c r="GZ6" s="198"/>
      <c r="HA6" s="198"/>
      <c r="HB6" s="198"/>
      <c r="HC6" s="198"/>
      <c r="HD6" s="198"/>
      <c r="HE6" s="198"/>
      <c r="HF6" s="198"/>
      <c r="HG6" s="198"/>
      <c r="HH6" s="198"/>
      <c r="HI6" s="198"/>
      <c r="HJ6" s="198"/>
      <c r="HK6" s="198"/>
      <c r="HL6" s="198"/>
      <c r="HM6" s="198"/>
      <c r="HN6" s="198"/>
      <c r="HO6" s="198"/>
      <c r="HP6" s="198"/>
      <c r="HQ6" s="198"/>
      <c r="HR6" s="198"/>
      <c r="HS6" s="198"/>
      <c r="HT6" s="198"/>
      <c r="HU6" s="198"/>
      <c r="HV6" s="198"/>
      <c r="HW6" s="198"/>
      <c r="HX6" s="198"/>
      <c r="HY6" s="198"/>
      <c r="HZ6" s="198"/>
      <c r="IA6" s="445"/>
      <c r="IB6" s="748" t="s">
        <v>91</v>
      </c>
      <c r="IC6" s="198"/>
      <c r="ID6" s="198"/>
      <c r="IE6" s="198"/>
      <c r="IF6" s="198"/>
      <c r="IG6" s="198"/>
      <c r="IH6" s="198"/>
      <c r="II6" s="198"/>
      <c r="IJ6" s="198"/>
      <c r="IK6" s="198"/>
      <c r="IL6" s="198"/>
      <c r="IM6" s="198"/>
      <c r="IN6" s="748">
        <v>4</v>
      </c>
      <c r="IO6" s="1955"/>
      <c r="IP6" s="431" t="s">
        <v>109</v>
      </c>
      <c r="IQ6" s="216" t="s">
        <v>109</v>
      </c>
      <c r="IR6" s="433">
        <f>IF(OR($IX$4=1,'1 Setup'!R94=0),$IR$3,'1 Setup'!R94)</f>
        <v>0</v>
      </c>
      <c r="IS6" s="552">
        <f>IF(ISBLANK('1 Setup'!W94),'1 Setup'!$W$90,'1 Setup'!W94)</f>
        <v>0</v>
      </c>
      <c r="IT6" s="211"/>
      <c r="IU6" s="445">
        <v>4</v>
      </c>
      <c r="IV6" s="211"/>
      <c r="IW6" s="211"/>
      <c r="IX6" s="198"/>
      <c r="IY6" s="256" t="s">
        <v>2329</v>
      </c>
      <c r="IZ6" s="198"/>
      <c r="JA6" s="198"/>
      <c r="JB6" s="198"/>
      <c r="JC6" s="198"/>
      <c r="JD6" s="198"/>
      <c r="JE6" s="198"/>
      <c r="JF6" s="198"/>
      <c r="JG6" s="198"/>
      <c r="JH6" s="198"/>
      <c r="JI6" s="198"/>
      <c r="JJ6" s="198"/>
      <c r="JK6" s="198"/>
      <c r="JL6" s="198"/>
      <c r="JM6" s="198"/>
      <c r="JN6" s="198"/>
      <c r="JO6" s="198"/>
      <c r="JP6" s="572">
        <f>IF(ISBLANK(JP58),1,JP58)</f>
        <v>1.0075000000000001</v>
      </c>
      <c r="JQ6" s="214" t="s">
        <v>438</v>
      </c>
      <c r="JR6" s="214"/>
      <c r="JS6" s="198"/>
      <c r="JT6" s="198"/>
      <c r="JU6" s="198"/>
      <c r="JV6" s="198"/>
      <c r="JW6" s="198"/>
      <c r="JX6" s="198"/>
      <c r="JY6" s="198"/>
      <c r="JZ6" s="198"/>
      <c r="KA6" s="198"/>
      <c r="KB6" s="198"/>
      <c r="KC6" s="198"/>
      <c r="KD6" s="198"/>
      <c r="KE6" s="198"/>
      <c r="KF6" s="198"/>
      <c r="KG6" s="198"/>
      <c r="KH6" s="198"/>
      <c r="KI6" s="198"/>
      <c r="KJ6" s="198"/>
      <c r="KK6" s="198"/>
      <c r="KL6" s="198"/>
      <c r="KM6" s="198"/>
      <c r="KN6" s="198"/>
      <c r="KO6" s="198"/>
      <c r="KP6" s="198"/>
      <c r="KQ6" s="198"/>
      <c r="KR6" s="198"/>
      <c r="KS6" s="198"/>
      <c r="KT6" s="198"/>
      <c r="KU6" s="198"/>
      <c r="KV6" s="198"/>
      <c r="KW6" s="198"/>
      <c r="KX6" s="198"/>
      <c r="KY6" s="198"/>
      <c r="KZ6" s="198"/>
      <c r="LA6" s="198"/>
      <c r="LB6" s="198"/>
      <c r="LC6" s="198"/>
      <c r="LD6" s="198"/>
      <c r="LE6" s="198"/>
      <c r="LF6" s="198"/>
      <c r="LG6" s="198"/>
      <c r="LH6" s="198"/>
      <c r="LI6" s="198"/>
      <c r="LJ6" s="198"/>
      <c r="LK6" s="198"/>
      <c r="LL6" s="198"/>
      <c r="LM6" s="198"/>
      <c r="LN6" s="198"/>
      <c r="LO6" s="198"/>
      <c r="LP6" s="198"/>
      <c r="LQ6" s="198"/>
      <c r="LR6" s="198"/>
      <c r="LS6" s="198"/>
      <c r="LT6" s="198"/>
      <c r="LU6" s="198"/>
      <c r="LV6" s="198"/>
      <c r="LW6" s="198"/>
      <c r="LX6" s="198"/>
      <c r="LY6" s="198"/>
      <c r="LZ6" s="198"/>
      <c r="MA6" s="198"/>
      <c r="MB6" s="198"/>
      <c r="MC6" s="198"/>
      <c r="MD6" s="198"/>
      <c r="ME6" s="198"/>
      <c r="MF6" s="198"/>
      <c r="MG6" s="198"/>
      <c r="MH6" s="198"/>
      <c r="MI6" s="198"/>
      <c r="MJ6" s="198"/>
      <c r="MK6" s="198"/>
      <c r="ML6" s="198"/>
      <c r="MM6" s="198"/>
      <c r="MN6" s="198"/>
      <c r="MO6" s="198"/>
      <c r="MP6" s="198"/>
      <c r="MQ6" s="198"/>
      <c r="MR6" s="198"/>
      <c r="MS6" s="198"/>
      <c r="MT6" s="198"/>
      <c r="MU6" s="198"/>
      <c r="MV6" s="198"/>
      <c r="MW6" s="198"/>
      <c r="MX6" s="198"/>
      <c r="MY6" s="198"/>
      <c r="MZ6" s="216" t="s">
        <v>3352</v>
      </c>
      <c r="NA6" s="198"/>
      <c r="NB6" s="2710">
        <f ca="1">IF(FQ62&gt;0,1,0)</f>
        <v>1</v>
      </c>
      <c r="NC6" s="198"/>
      <c r="ND6" s="256" t="s">
        <v>3410</v>
      </c>
      <c r="NE6" s="198"/>
      <c r="NF6" s="198"/>
      <c r="NG6" s="198"/>
      <c r="NH6" s="198"/>
      <c r="NI6" s="198"/>
      <c r="NJ6" s="198"/>
      <c r="NK6" s="198"/>
      <c r="NL6" s="198"/>
      <c r="NM6" s="198"/>
      <c r="NN6" s="198"/>
      <c r="NO6" s="198"/>
      <c r="NP6" s="198"/>
      <c r="NQ6" s="198"/>
    </row>
    <row r="7" spans="1:381" ht="14.25" hidden="1" customHeight="1" x14ac:dyDescent="0.25">
      <c r="A7" s="198"/>
      <c r="B7" s="198"/>
      <c r="C7" s="198"/>
      <c r="D7" s="198"/>
      <c r="E7" s="198"/>
      <c r="F7" s="198"/>
      <c r="G7" s="198"/>
      <c r="H7" s="198"/>
      <c r="I7" s="198"/>
      <c r="J7" s="198"/>
      <c r="K7" s="198"/>
      <c r="L7" s="198"/>
      <c r="M7" s="198"/>
      <c r="N7" s="198"/>
      <c r="O7" s="198"/>
      <c r="P7" s="198"/>
      <c r="Q7" s="198"/>
      <c r="R7" s="198"/>
      <c r="S7" s="198"/>
      <c r="T7" s="198"/>
      <c r="U7" s="198"/>
      <c r="V7" s="198"/>
      <c r="W7" s="198"/>
      <c r="X7" s="198"/>
      <c r="Y7" s="198"/>
      <c r="Z7" s="198"/>
      <c r="AA7" s="198"/>
      <c r="AB7" s="198"/>
      <c r="AC7" s="198"/>
      <c r="AD7" s="198"/>
      <c r="AE7" s="198"/>
      <c r="AF7" s="198"/>
      <c r="AG7" s="198"/>
      <c r="AH7" s="198"/>
      <c r="AI7" s="198"/>
      <c r="AJ7" s="198"/>
      <c r="AK7" s="198"/>
      <c r="AL7" s="198"/>
      <c r="AM7" s="198"/>
      <c r="AN7" s="198"/>
      <c r="AO7" s="198"/>
      <c r="AP7" s="198"/>
      <c r="AQ7" s="198"/>
      <c r="AR7" s="198"/>
      <c r="AS7" s="198"/>
      <c r="AT7" s="198"/>
      <c r="AU7" s="198"/>
      <c r="AV7" s="198"/>
      <c r="AW7" s="198"/>
      <c r="AX7" s="198"/>
      <c r="AY7" s="198"/>
      <c r="AZ7" s="198"/>
      <c r="BA7" s="198"/>
      <c r="BB7" s="198"/>
      <c r="BC7" s="198"/>
      <c r="BD7" s="198"/>
      <c r="BE7" s="198"/>
      <c r="BF7" s="198"/>
      <c r="BG7" s="198"/>
      <c r="BH7" s="198"/>
      <c r="BI7" s="198"/>
      <c r="BJ7" s="198"/>
      <c r="BK7" s="198"/>
      <c r="BL7" s="198"/>
      <c r="BM7" s="198"/>
      <c r="BN7" s="198"/>
      <c r="BO7" s="198"/>
      <c r="BP7" s="198"/>
      <c r="BQ7" s="198"/>
      <c r="BR7" s="198"/>
      <c r="BS7" s="198"/>
      <c r="BT7" s="198"/>
      <c r="BU7" s="198"/>
      <c r="BV7" s="198"/>
      <c r="BW7" s="198"/>
      <c r="BX7" s="198"/>
      <c r="BY7" s="198"/>
      <c r="BZ7" s="198"/>
      <c r="CA7" s="198"/>
      <c r="CB7" s="198"/>
      <c r="CC7" s="198"/>
      <c r="CD7" s="198"/>
      <c r="CE7" s="198"/>
      <c r="CF7" s="198"/>
      <c r="CG7" s="198"/>
      <c r="CH7" s="198"/>
      <c r="CI7" s="198"/>
      <c r="CJ7" s="198"/>
      <c r="CK7" s="198"/>
      <c r="CL7" s="198"/>
      <c r="CM7" s="198"/>
      <c r="CN7" s="198"/>
      <c r="CO7" s="198"/>
      <c r="CP7" s="198"/>
      <c r="CQ7" s="198"/>
      <c r="CR7" s="198"/>
      <c r="CS7" s="198"/>
      <c r="CT7" s="198"/>
      <c r="CU7" s="198"/>
      <c r="CV7" s="198"/>
      <c r="CW7" s="198"/>
      <c r="CX7" s="198"/>
      <c r="CY7" s="198"/>
      <c r="CZ7" s="198"/>
      <c r="DA7" s="198"/>
      <c r="DB7" s="198"/>
      <c r="DC7" s="198"/>
      <c r="DD7" s="198"/>
      <c r="DE7" s="198"/>
      <c r="DF7" s="198"/>
      <c r="DG7" s="198"/>
      <c r="DH7" s="198"/>
      <c r="DI7" s="198"/>
      <c r="DJ7" s="198"/>
      <c r="DK7" s="198"/>
      <c r="DL7" s="198"/>
      <c r="DM7" s="198"/>
      <c r="DN7" s="198"/>
      <c r="DO7" s="198"/>
      <c r="DP7" s="198"/>
      <c r="DQ7" s="198"/>
      <c r="DR7" s="198"/>
      <c r="DS7" s="198"/>
      <c r="DT7" s="198"/>
      <c r="DU7" s="198"/>
      <c r="DV7" s="198"/>
      <c r="DW7" s="198"/>
      <c r="DX7" s="198"/>
      <c r="DY7" s="198"/>
      <c r="DZ7" s="198"/>
      <c r="EA7" s="198"/>
      <c r="EB7" s="198"/>
      <c r="EC7" s="198"/>
      <c r="ED7" s="198"/>
      <c r="EE7" s="198"/>
      <c r="EF7" s="198"/>
      <c r="EG7" s="198"/>
      <c r="EH7" s="198"/>
      <c r="EI7" s="198"/>
      <c r="EJ7" s="198"/>
      <c r="EK7" s="198"/>
      <c r="EL7" s="198"/>
      <c r="EM7" s="198"/>
      <c r="EN7" s="198"/>
      <c r="EO7" s="198"/>
      <c r="EP7" s="540"/>
      <c r="EQ7" s="540"/>
      <c r="ER7" s="540"/>
      <c r="ES7" s="540"/>
      <c r="ET7" s="540"/>
      <c r="EU7" s="540"/>
      <c r="EV7" s="540"/>
      <c r="EW7" s="198"/>
      <c r="EX7" s="198"/>
      <c r="EY7" s="198"/>
      <c r="EZ7" s="198"/>
      <c r="FA7" s="198"/>
      <c r="FB7" s="198"/>
      <c r="FC7" s="198"/>
      <c r="FD7" s="198"/>
      <c r="FE7" s="198"/>
      <c r="FF7" s="198"/>
      <c r="FG7" s="198"/>
      <c r="FH7" s="198"/>
      <c r="FI7" s="198"/>
      <c r="FJ7" s="198"/>
      <c r="FK7" s="198"/>
      <c r="FL7" s="198"/>
      <c r="FM7" s="198"/>
      <c r="FN7" s="198"/>
      <c r="FO7" s="198"/>
      <c r="FP7" s="198"/>
      <c r="FQ7" s="198"/>
      <c r="FR7" s="198"/>
      <c r="FS7" s="198"/>
      <c r="FT7" s="198"/>
      <c r="FU7" s="198"/>
      <c r="FV7" s="198"/>
      <c r="FW7" s="198"/>
      <c r="FX7" s="198"/>
      <c r="FY7" s="198"/>
      <c r="FZ7" s="198"/>
      <c r="GA7" s="198"/>
      <c r="GB7" s="198"/>
      <c r="GC7" s="198"/>
      <c r="GD7" s="198"/>
      <c r="GE7" s="198"/>
      <c r="GF7" s="198"/>
      <c r="GG7" s="198"/>
      <c r="GH7" s="198"/>
      <c r="GI7" s="198"/>
      <c r="GJ7" s="198"/>
      <c r="GK7" s="198"/>
      <c r="GL7" s="198"/>
      <c r="GM7" s="198"/>
      <c r="GN7" s="198"/>
      <c r="GO7" s="198"/>
      <c r="GP7" s="198"/>
      <c r="GQ7" s="198"/>
      <c r="GR7" s="198"/>
      <c r="GS7" s="198"/>
      <c r="GT7" s="198"/>
      <c r="GU7" s="198"/>
      <c r="GV7" s="198"/>
      <c r="GW7" s="198"/>
      <c r="GX7" s="198"/>
      <c r="GY7" s="198"/>
      <c r="GZ7" s="198"/>
      <c r="HA7" s="198"/>
      <c r="HB7" s="198"/>
      <c r="HC7" s="198"/>
      <c r="HD7" s="198"/>
      <c r="HE7" s="198"/>
      <c r="HF7" s="198"/>
      <c r="HG7" s="198"/>
      <c r="HH7" s="198"/>
      <c r="HI7" s="198"/>
      <c r="HJ7" s="198"/>
      <c r="HK7" s="198"/>
      <c r="HL7" s="198"/>
      <c r="HM7" s="198"/>
      <c r="HN7" s="198"/>
      <c r="HO7" s="198"/>
      <c r="HP7" s="198"/>
      <c r="HQ7" s="198"/>
      <c r="HR7" s="198"/>
      <c r="HS7" s="198"/>
      <c r="HT7" s="198"/>
      <c r="HU7" s="198"/>
      <c r="HV7" s="198"/>
      <c r="HW7" s="198"/>
      <c r="HX7" s="198"/>
      <c r="HY7" s="198"/>
      <c r="HZ7" s="198"/>
      <c r="IA7" s="445"/>
      <c r="IB7" s="748" t="s">
        <v>77</v>
      </c>
      <c r="IC7" s="198"/>
      <c r="ID7" s="198"/>
      <c r="IE7" s="198"/>
      <c r="IF7" s="198"/>
      <c r="IG7" s="198"/>
      <c r="IH7" s="198"/>
      <c r="II7" s="198"/>
      <c r="IJ7" s="198"/>
      <c r="IK7" s="198"/>
      <c r="IL7" s="198"/>
      <c r="IM7" s="198"/>
      <c r="IN7" s="748">
        <v>5</v>
      </c>
      <c r="IO7" s="2041"/>
      <c r="IP7" s="431" t="s">
        <v>2287</v>
      </c>
      <c r="IQ7" s="216" t="s">
        <v>2300</v>
      </c>
      <c r="IR7" s="554">
        <f>$IR$3</f>
        <v>0</v>
      </c>
      <c r="IS7" s="552">
        <f>$IS$3</f>
        <v>0</v>
      </c>
      <c r="IT7" s="211"/>
      <c r="IU7" s="445">
        <v>5</v>
      </c>
      <c r="IV7" s="211"/>
      <c r="IW7" s="211"/>
      <c r="IX7" s="198"/>
      <c r="IY7" s="256" t="s">
        <v>2330</v>
      </c>
      <c r="IZ7" s="198"/>
      <c r="JA7" s="198"/>
      <c r="JB7" s="198"/>
      <c r="JC7" s="198"/>
      <c r="JD7" s="198"/>
      <c r="JE7" s="198"/>
      <c r="JF7" s="198"/>
      <c r="JG7" s="198"/>
      <c r="JH7" s="198"/>
      <c r="JI7" s="198"/>
      <c r="JJ7" s="198"/>
      <c r="JK7" s="198"/>
      <c r="JL7" s="198"/>
      <c r="JM7" s="198"/>
      <c r="JN7" s="198"/>
      <c r="JO7" s="198"/>
      <c r="JP7" s="198"/>
      <c r="JQ7" s="198"/>
      <c r="JR7" s="198"/>
      <c r="JS7" s="748">
        <f>IF(COUNTIFS($EW$64:$EW$114,5)&gt;0,1,0)</f>
        <v>0</v>
      </c>
      <c r="JT7" s="199" t="s">
        <v>2295</v>
      </c>
      <c r="JU7" s="199"/>
      <c r="JV7" s="199"/>
      <c r="JW7" s="198"/>
      <c r="JX7" s="198"/>
      <c r="JY7" s="199"/>
      <c r="JZ7" s="198"/>
      <c r="KA7" s="198"/>
      <c r="KB7" s="748" t="s">
        <v>111</v>
      </c>
      <c r="KC7" s="198"/>
      <c r="KD7" s="198"/>
      <c r="KE7" s="198"/>
      <c r="KF7" s="198"/>
      <c r="KG7" s="198"/>
      <c r="KH7" s="198"/>
      <c r="KI7" s="198"/>
      <c r="KJ7" s="198"/>
      <c r="KK7" s="198"/>
      <c r="KL7" s="198"/>
      <c r="KM7" s="198"/>
      <c r="KN7" s="198"/>
      <c r="KO7" s="198"/>
      <c r="KP7" s="198"/>
      <c r="KQ7" s="198"/>
      <c r="KR7" s="198"/>
      <c r="KS7" s="198"/>
      <c r="KT7" s="198"/>
      <c r="KU7" s="198"/>
      <c r="KV7" s="198"/>
      <c r="KW7" s="198"/>
      <c r="KX7" s="198"/>
      <c r="KY7" s="198"/>
      <c r="KZ7" s="198"/>
      <c r="LA7" s="198"/>
      <c r="LB7" s="198"/>
      <c r="LC7" s="198"/>
      <c r="LD7" s="198"/>
      <c r="LE7" s="198"/>
      <c r="LF7" s="198"/>
      <c r="LG7" s="198"/>
      <c r="LH7" s="198"/>
      <c r="LI7" s="198"/>
      <c r="LJ7" s="198"/>
      <c r="LK7" s="198"/>
      <c r="LL7" s="198"/>
      <c r="LM7" s="198"/>
      <c r="LN7" s="198"/>
      <c r="LO7" s="198"/>
      <c r="LP7" s="198"/>
      <c r="LQ7" s="198"/>
      <c r="LR7" s="198"/>
      <c r="LS7" s="198"/>
      <c r="LT7" s="198"/>
      <c r="LU7" s="198"/>
      <c r="LV7" s="198"/>
      <c r="LW7" s="198"/>
      <c r="LX7" s="198"/>
      <c r="LY7" s="198"/>
      <c r="LZ7" s="198"/>
      <c r="MA7" s="198"/>
      <c r="MB7" s="198"/>
      <c r="MC7" s="198"/>
      <c r="MD7" s="198"/>
      <c r="ME7" s="198"/>
      <c r="MF7" s="198"/>
      <c r="MG7" s="198"/>
      <c r="MH7" s="198"/>
      <c r="MI7" s="198"/>
      <c r="MJ7" s="198"/>
      <c r="MK7" s="198"/>
      <c r="ML7" s="198"/>
      <c r="MM7" s="198"/>
      <c r="MN7" s="198"/>
      <c r="MO7" s="198"/>
      <c r="MP7" s="198"/>
      <c r="MQ7" s="198"/>
      <c r="MR7" s="198"/>
      <c r="MS7" s="198"/>
      <c r="MT7" s="198"/>
      <c r="MU7" s="198"/>
      <c r="MV7" s="198"/>
      <c r="MW7" s="198"/>
      <c r="MX7" s="198"/>
      <c r="MY7" s="198"/>
      <c r="MZ7" s="198"/>
      <c r="NA7" s="198"/>
      <c r="NB7" s="198"/>
      <c r="NC7" s="198"/>
      <c r="ND7" s="256" t="s">
        <v>3349</v>
      </c>
      <c r="NE7" s="198"/>
      <c r="NF7" s="198"/>
      <c r="NG7" s="2750" t="s">
        <v>3362</v>
      </c>
      <c r="NH7" s="198"/>
      <c r="NI7" s="198"/>
      <c r="NJ7" s="198"/>
      <c r="NK7" s="198"/>
      <c r="NL7" s="198"/>
      <c r="NM7" s="198"/>
      <c r="NN7" s="198"/>
      <c r="NO7" s="198"/>
      <c r="NP7" s="198"/>
      <c r="NQ7" s="198"/>
    </row>
    <row r="8" spans="1:381" ht="14.25" hidden="1" customHeight="1" x14ac:dyDescent="0.25">
      <c r="A8" s="198"/>
      <c r="B8" s="198"/>
      <c r="C8" s="198"/>
      <c r="D8" s="198"/>
      <c r="E8" s="198"/>
      <c r="F8" s="198"/>
      <c r="G8" s="198"/>
      <c r="H8" s="198"/>
      <c r="I8" s="198"/>
      <c r="J8" s="198"/>
      <c r="K8" s="198"/>
      <c r="L8" s="198"/>
      <c r="M8" s="198"/>
      <c r="N8" s="198"/>
      <c r="O8" s="198"/>
      <c r="P8" s="198"/>
      <c r="Q8" s="198"/>
      <c r="R8" s="198"/>
      <c r="S8" s="198"/>
      <c r="T8" s="198"/>
      <c r="U8" s="198"/>
      <c r="V8" s="198"/>
      <c r="W8" s="198"/>
      <c r="X8" s="198"/>
      <c r="Y8" s="198"/>
      <c r="Z8" s="198"/>
      <c r="AA8" s="198"/>
      <c r="AB8" s="198"/>
      <c r="AC8" s="198"/>
      <c r="AD8" s="198"/>
      <c r="AE8" s="198"/>
      <c r="AF8" s="198"/>
      <c r="AG8" s="198"/>
      <c r="AH8" s="198"/>
      <c r="AI8" s="198"/>
      <c r="AJ8" s="198"/>
      <c r="AK8" s="198"/>
      <c r="AL8" s="198"/>
      <c r="AM8" s="198"/>
      <c r="AN8" s="198"/>
      <c r="AO8" s="198"/>
      <c r="AP8" s="198"/>
      <c r="AQ8" s="198"/>
      <c r="AR8" s="198"/>
      <c r="AS8" s="198"/>
      <c r="AT8" s="198"/>
      <c r="AU8" s="198"/>
      <c r="AV8" s="198"/>
      <c r="AW8" s="198"/>
      <c r="AX8" s="198"/>
      <c r="AY8" s="198"/>
      <c r="AZ8" s="198"/>
      <c r="BA8" s="198"/>
      <c r="BB8" s="198"/>
      <c r="BC8" s="198"/>
      <c r="BD8" s="198"/>
      <c r="BE8" s="198"/>
      <c r="BF8" s="198"/>
      <c r="BG8" s="198"/>
      <c r="BH8" s="198"/>
      <c r="BI8" s="198"/>
      <c r="BJ8" s="198"/>
      <c r="BK8" s="198"/>
      <c r="BL8" s="198"/>
      <c r="BM8" s="198"/>
      <c r="BN8" s="198"/>
      <c r="BO8" s="198"/>
      <c r="BP8" s="198"/>
      <c r="BQ8" s="198"/>
      <c r="BR8" s="198"/>
      <c r="BS8" s="198"/>
      <c r="BT8" s="198"/>
      <c r="BU8" s="198"/>
      <c r="BV8" s="198"/>
      <c r="BW8" s="198"/>
      <c r="BX8" s="198"/>
      <c r="BY8" s="198"/>
      <c r="BZ8" s="198"/>
      <c r="CA8" s="198"/>
      <c r="CB8" s="198"/>
      <c r="CC8" s="198"/>
      <c r="CD8" s="198"/>
      <c r="CE8" s="198"/>
      <c r="CF8" s="198"/>
      <c r="CG8" s="198"/>
      <c r="CH8" s="198"/>
      <c r="CI8" s="198"/>
      <c r="CJ8" s="198"/>
      <c r="CK8" s="198"/>
      <c r="CL8" s="198"/>
      <c r="CM8" s="198"/>
      <c r="CN8" s="198"/>
      <c r="CO8" s="198"/>
      <c r="CP8" s="198"/>
      <c r="CQ8" s="198"/>
      <c r="CR8" s="198"/>
      <c r="CS8" s="198"/>
      <c r="CT8" s="198"/>
      <c r="CU8" s="198"/>
      <c r="CV8" s="198"/>
      <c r="CW8" s="198"/>
      <c r="CX8" s="198"/>
      <c r="CY8" s="198"/>
      <c r="CZ8" s="198"/>
      <c r="DA8" s="198"/>
      <c r="DB8" s="198"/>
      <c r="DC8" s="198"/>
      <c r="DD8" s="198"/>
      <c r="DE8" s="198"/>
      <c r="DF8" s="198"/>
      <c r="DG8" s="198"/>
      <c r="DH8" s="198"/>
      <c r="DI8" s="198"/>
      <c r="DJ8" s="198"/>
      <c r="DK8" s="198"/>
      <c r="DL8" s="198"/>
      <c r="DM8" s="198"/>
      <c r="DN8" s="198"/>
      <c r="DO8" s="198"/>
      <c r="DP8" s="198"/>
      <c r="DQ8" s="198"/>
      <c r="DR8" s="198"/>
      <c r="DS8" s="198"/>
      <c r="DT8" s="198"/>
      <c r="DU8" s="198"/>
      <c r="DV8" s="198"/>
      <c r="DW8" s="198"/>
      <c r="DX8" s="198"/>
      <c r="DY8" s="198"/>
      <c r="DZ8" s="198"/>
      <c r="EA8" s="198"/>
      <c r="EB8" s="198"/>
      <c r="EC8" s="198"/>
      <c r="ED8" s="198"/>
      <c r="EE8" s="198"/>
      <c r="EF8" s="198"/>
      <c r="EG8" s="198"/>
      <c r="EH8" s="198"/>
      <c r="EI8" s="198"/>
      <c r="EJ8" s="198"/>
      <c r="EK8" s="198"/>
      <c r="EL8" s="198"/>
      <c r="EM8" s="198"/>
      <c r="EN8" s="198"/>
      <c r="EO8" s="198"/>
      <c r="EP8" s="540"/>
      <c r="EQ8" s="540"/>
      <c r="ER8" s="540"/>
      <c r="ES8" s="540"/>
      <c r="ET8" s="540"/>
      <c r="EU8" s="540"/>
      <c r="EV8" s="540"/>
      <c r="EW8" s="198"/>
      <c r="EX8" s="198"/>
      <c r="EY8" s="198"/>
      <c r="EZ8" s="198"/>
      <c r="FA8" s="198"/>
      <c r="FB8" s="198"/>
      <c r="FC8" s="198"/>
      <c r="FD8" s="198"/>
      <c r="FE8" s="198"/>
      <c r="FF8" s="198"/>
      <c r="FG8" s="198"/>
      <c r="FH8" s="198"/>
      <c r="FI8" s="198"/>
      <c r="FJ8" s="198"/>
      <c r="FK8" s="198"/>
      <c r="FL8" s="198"/>
      <c r="FM8" s="198"/>
      <c r="FN8" s="198"/>
      <c r="FO8" s="198"/>
      <c r="FP8" s="198"/>
      <c r="FQ8" s="198"/>
      <c r="FR8" s="198"/>
      <c r="FS8" s="198"/>
      <c r="FT8" s="198"/>
      <c r="FU8" s="198"/>
      <c r="FV8" s="198"/>
      <c r="FW8" s="198"/>
      <c r="FX8" s="198"/>
      <c r="FY8" s="198"/>
      <c r="FZ8" s="198"/>
      <c r="GA8" s="198"/>
      <c r="GB8" s="198"/>
      <c r="GC8" s="198"/>
      <c r="GD8" s="198"/>
      <c r="GE8" s="198"/>
      <c r="GF8" s="198"/>
      <c r="GG8" s="198"/>
      <c r="GH8" s="198"/>
      <c r="GI8" s="198"/>
      <c r="GJ8" s="198"/>
      <c r="GK8" s="198"/>
      <c r="GL8" s="198"/>
      <c r="GM8" s="198"/>
      <c r="GN8" s="198"/>
      <c r="GO8" s="198"/>
      <c r="GP8" s="198"/>
      <c r="GQ8" s="198"/>
      <c r="GR8" s="198"/>
      <c r="GS8" s="198"/>
      <c r="GT8" s="198"/>
      <c r="GU8" s="198"/>
      <c r="GV8" s="198"/>
      <c r="GW8" s="198"/>
      <c r="GX8" s="198"/>
      <c r="GY8" s="198"/>
      <c r="GZ8" s="198"/>
      <c r="HA8" s="198"/>
      <c r="HB8" s="198"/>
      <c r="HC8" s="198"/>
      <c r="HD8" s="198"/>
      <c r="HE8" s="198"/>
      <c r="HF8" s="198"/>
      <c r="HG8" s="198"/>
      <c r="HH8" s="198"/>
      <c r="HI8" s="198"/>
      <c r="HJ8" s="198"/>
      <c r="HK8" s="198"/>
      <c r="HL8" s="198"/>
      <c r="HM8" s="198"/>
      <c r="HN8" s="198"/>
      <c r="HO8" s="198"/>
      <c r="HP8" s="198"/>
      <c r="HQ8" s="198"/>
      <c r="HR8" s="198"/>
      <c r="HS8" s="198"/>
      <c r="HT8" s="198"/>
      <c r="HU8" s="198"/>
      <c r="HV8" s="198"/>
      <c r="HW8" s="198"/>
      <c r="HX8" s="198"/>
      <c r="HY8" s="198"/>
      <c r="HZ8" s="198"/>
      <c r="IA8" s="445"/>
      <c r="IB8" s="198"/>
      <c r="IC8" s="198"/>
      <c r="ID8" s="198"/>
      <c r="IE8" s="198"/>
      <c r="IF8" s="198"/>
      <c r="IG8" s="198"/>
      <c r="IH8" s="198"/>
      <c r="II8" s="198"/>
      <c r="IJ8" s="198"/>
      <c r="IK8" s="198"/>
      <c r="IL8" s="198"/>
      <c r="IM8" s="198"/>
      <c r="IN8" s="748">
        <v>6</v>
      </c>
      <c r="IO8" s="2041"/>
      <c r="IP8" s="431" t="s">
        <v>2888</v>
      </c>
      <c r="IQ8" s="216" t="s">
        <v>2301</v>
      </c>
      <c r="IR8" s="554">
        <f t="shared" ref="IR8:IR11" si="1">$IR$3</f>
        <v>0</v>
      </c>
      <c r="IS8" s="552">
        <f t="shared" ref="IS8:IS11" si="2">$IS$3</f>
        <v>0</v>
      </c>
      <c r="IT8" s="211"/>
      <c r="IU8" s="445">
        <v>6</v>
      </c>
      <c r="IV8" s="211"/>
      <c r="IW8" s="211"/>
      <c r="IX8" s="198"/>
      <c r="IY8" s="256" t="str">
        <f>'1 Setup'!H13</f>
        <v>-- OTHER METHODS (Non Linear) --</v>
      </c>
      <c r="IZ8" s="198"/>
      <c r="JA8" s="198"/>
      <c r="JB8" s="198"/>
      <c r="JC8" s="198"/>
      <c r="JD8" s="198"/>
      <c r="JE8" s="198"/>
      <c r="JF8" s="198"/>
      <c r="JG8" s="198"/>
      <c r="JH8" s="198"/>
      <c r="JI8" s="198"/>
      <c r="JJ8" s="198"/>
      <c r="JK8" s="198"/>
      <c r="JL8" s="198"/>
      <c r="JM8" s="198"/>
      <c r="JN8" s="198"/>
      <c r="JO8" s="198"/>
      <c r="JP8" s="198"/>
      <c r="JQ8" s="198"/>
      <c r="JR8" s="198"/>
      <c r="JS8" s="748">
        <f>IF(COUNTIFS($EW$64:$EW$114,7)&gt;0,1,0)</f>
        <v>0</v>
      </c>
      <c r="JT8" s="199" t="s">
        <v>2296</v>
      </c>
      <c r="JU8" s="199"/>
      <c r="JV8" s="199"/>
      <c r="JW8" s="198"/>
      <c r="JX8" s="198"/>
      <c r="JY8" s="199"/>
      <c r="JZ8" s="198"/>
      <c r="KA8" s="198"/>
      <c r="KB8" s="748" t="s">
        <v>370</v>
      </c>
      <c r="KC8" s="198"/>
      <c r="KD8" s="198"/>
      <c r="KE8" s="198"/>
      <c r="KF8" s="198"/>
      <c r="KG8" s="198"/>
      <c r="KH8" s="198"/>
      <c r="KI8" s="198"/>
      <c r="KJ8" s="198"/>
      <c r="KK8" s="198"/>
      <c r="KL8" s="198"/>
      <c r="KM8" s="198"/>
      <c r="KN8" s="198"/>
      <c r="KO8" s="198"/>
      <c r="KP8" s="198"/>
      <c r="KQ8" s="198"/>
      <c r="KR8" s="198"/>
      <c r="KS8" s="198"/>
      <c r="KT8" s="198"/>
      <c r="KU8" s="198"/>
      <c r="KV8" s="198"/>
      <c r="KW8" s="198"/>
      <c r="KX8" s="198"/>
      <c r="KY8" s="198"/>
      <c r="KZ8" s="198"/>
      <c r="LA8" s="198"/>
      <c r="LB8" s="198"/>
      <c r="LC8" s="198"/>
      <c r="LD8" s="198"/>
      <c r="LE8" s="198"/>
      <c r="LF8" s="198"/>
      <c r="LG8" s="198"/>
      <c r="LH8" s="198"/>
      <c r="LI8" s="198"/>
      <c r="LJ8" s="198"/>
      <c r="LK8" s="198"/>
      <c r="LL8" s="198"/>
      <c r="LM8" s="198"/>
      <c r="LN8" s="198"/>
      <c r="LO8" s="198"/>
      <c r="LP8" s="198"/>
      <c r="LQ8" s="198"/>
      <c r="LR8" s="198"/>
      <c r="LS8" s="198"/>
      <c r="LT8" s="198"/>
      <c r="LU8" s="198"/>
      <c r="LV8" s="198"/>
      <c r="LW8" s="198"/>
      <c r="LX8" s="198"/>
      <c r="LY8" s="198"/>
      <c r="LZ8" s="198"/>
      <c r="MA8" s="198"/>
      <c r="MB8" s="198"/>
      <c r="MC8" s="198"/>
      <c r="MD8" s="198"/>
      <c r="ME8" s="198"/>
      <c r="MF8" s="198"/>
      <c r="MG8" s="198"/>
      <c r="MH8" s="198"/>
      <c r="MI8" s="198"/>
      <c r="MJ8" s="198"/>
      <c r="MK8" s="198"/>
      <c r="ML8" s="198"/>
      <c r="MM8" s="198"/>
      <c r="MN8" s="198"/>
      <c r="MO8" s="198"/>
      <c r="MP8" s="198"/>
      <c r="MQ8" s="198"/>
      <c r="MR8" s="198"/>
      <c r="MS8" s="198"/>
      <c r="MT8" s="198"/>
      <c r="MU8" s="198"/>
      <c r="MV8" s="198"/>
      <c r="MW8" s="198"/>
      <c r="MX8" s="198"/>
      <c r="MY8" s="198"/>
      <c r="MZ8" s="198"/>
      <c r="NA8" s="198"/>
      <c r="NB8" s="198"/>
      <c r="NC8" s="198"/>
      <c r="ND8" s="1589"/>
      <c r="NE8" s="198"/>
      <c r="NF8" s="198"/>
      <c r="NG8" s="198"/>
      <c r="NH8" s="198"/>
      <c r="NI8" s="198"/>
      <c r="NJ8" s="198"/>
      <c r="NK8" s="198"/>
      <c r="NL8" s="198"/>
      <c r="NM8" s="198"/>
      <c r="NN8" s="198"/>
      <c r="NO8" s="198"/>
      <c r="NP8" s="198"/>
      <c r="NQ8" s="198"/>
    </row>
    <row r="9" spans="1:381" ht="14.25" hidden="1" customHeight="1" x14ac:dyDescent="0.25">
      <c r="A9" s="198"/>
      <c r="B9" s="198"/>
      <c r="C9" s="198"/>
      <c r="D9" s="198"/>
      <c r="E9" s="198"/>
      <c r="F9" s="198"/>
      <c r="G9" s="198"/>
      <c r="H9" s="198"/>
      <c r="I9" s="198"/>
      <c r="J9" s="198"/>
      <c r="K9" s="198"/>
      <c r="L9" s="198"/>
      <c r="M9" s="198"/>
      <c r="N9" s="198"/>
      <c r="O9" s="198"/>
      <c r="P9" s="198"/>
      <c r="Q9" s="198"/>
      <c r="R9" s="198"/>
      <c r="S9" s="198"/>
      <c r="T9" s="198"/>
      <c r="U9" s="198"/>
      <c r="V9" s="198"/>
      <c r="W9" s="198"/>
      <c r="X9" s="198"/>
      <c r="Y9" s="198"/>
      <c r="Z9" s="198"/>
      <c r="AA9" s="198"/>
      <c r="AB9" s="198"/>
      <c r="AC9" s="198"/>
      <c r="AD9" s="198"/>
      <c r="AE9" s="198"/>
      <c r="AF9" s="198"/>
      <c r="AG9" s="198"/>
      <c r="AH9" s="198"/>
      <c r="AI9" s="198"/>
      <c r="AJ9" s="198"/>
      <c r="AK9" s="198"/>
      <c r="AL9" s="198"/>
      <c r="AM9" s="198"/>
      <c r="AN9" s="198"/>
      <c r="AO9" s="198"/>
      <c r="AP9" s="198"/>
      <c r="AQ9" s="198"/>
      <c r="AR9" s="198"/>
      <c r="AS9" s="198"/>
      <c r="AT9" s="198"/>
      <c r="AU9" s="198"/>
      <c r="AV9" s="198"/>
      <c r="AW9" s="198"/>
      <c r="AX9" s="198"/>
      <c r="AY9" s="198"/>
      <c r="AZ9" s="198"/>
      <c r="BA9" s="198"/>
      <c r="BB9" s="198"/>
      <c r="BC9" s="198"/>
      <c r="BD9" s="198"/>
      <c r="BE9" s="198"/>
      <c r="BF9" s="198"/>
      <c r="BG9" s="198"/>
      <c r="BH9" s="198"/>
      <c r="BI9" s="198"/>
      <c r="BJ9" s="198"/>
      <c r="BK9" s="198"/>
      <c r="BL9" s="198"/>
      <c r="BM9" s="198"/>
      <c r="BN9" s="198"/>
      <c r="BO9" s="198"/>
      <c r="BP9" s="198"/>
      <c r="BQ9" s="198"/>
      <c r="BR9" s="198"/>
      <c r="BS9" s="198"/>
      <c r="BT9" s="198"/>
      <c r="BU9" s="198"/>
      <c r="BV9" s="198"/>
      <c r="BW9" s="198"/>
      <c r="BX9" s="198"/>
      <c r="BY9" s="198"/>
      <c r="BZ9" s="198"/>
      <c r="CA9" s="198"/>
      <c r="CB9" s="198"/>
      <c r="CC9" s="198"/>
      <c r="CD9" s="198"/>
      <c r="CE9" s="198"/>
      <c r="CF9" s="198"/>
      <c r="CG9" s="198"/>
      <c r="CH9" s="198"/>
      <c r="CI9" s="198"/>
      <c r="CJ9" s="198"/>
      <c r="CK9" s="198"/>
      <c r="CL9" s="198"/>
      <c r="CM9" s="198"/>
      <c r="CN9" s="198"/>
      <c r="CO9" s="198"/>
      <c r="CP9" s="198"/>
      <c r="CQ9" s="198"/>
      <c r="CR9" s="198"/>
      <c r="CS9" s="198"/>
      <c r="CT9" s="198"/>
      <c r="CU9" s="198"/>
      <c r="CV9" s="198"/>
      <c r="CW9" s="198"/>
      <c r="CX9" s="198"/>
      <c r="CY9" s="198"/>
      <c r="CZ9" s="198"/>
      <c r="DA9" s="198"/>
      <c r="DB9" s="198"/>
      <c r="DC9" s="198"/>
      <c r="DD9" s="198"/>
      <c r="DE9" s="198"/>
      <c r="DF9" s="198"/>
      <c r="DG9" s="198"/>
      <c r="DH9" s="198"/>
      <c r="DI9" s="198"/>
      <c r="DJ9" s="198"/>
      <c r="DK9" s="198"/>
      <c r="DL9" s="198"/>
      <c r="DM9" s="198"/>
      <c r="DN9" s="198"/>
      <c r="DO9" s="198"/>
      <c r="DP9" s="198"/>
      <c r="DQ9" s="198"/>
      <c r="DR9" s="198"/>
      <c r="DS9" s="198"/>
      <c r="DT9" s="198"/>
      <c r="DU9" s="198"/>
      <c r="DV9" s="198"/>
      <c r="DW9" s="198"/>
      <c r="DX9" s="198"/>
      <c r="DY9" s="198"/>
      <c r="DZ9" s="198"/>
      <c r="EA9" s="198"/>
      <c r="EB9" s="198"/>
      <c r="EC9" s="198"/>
      <c r="ED9" s="198"/>
      <c r="EE9" s="198"/>
      <c r="EF9" s="198"/>
      <c r="EG9" s="198"/>
      <c r="EH9" s="198"/>
      <c r="EI9" s="198"/>
      <c r="EJ9" s="198"/>
      <c r="EK9" s="198"/>
      <c r="EL9" s="198"/>
      <c r="EM9" s="198"/>
      <c r="EN9" s="198"/>
      <c r="EO9" s="198"/>
      <c r="EP9" s="540"/>
      <c r="EQ9" s="540"/>
      <c r="ER9" s="540"/>
      <c r="ES9" s="540"/>
      <c r="ET9" s="540"/>
      <c r="EU9" s="540"/>
      <c r="EV9" s="540"/>
      <c r="EW9" s="198"/>
      <c r="EX9" s="198"/>
      <c r="EY9" s="198"/>
      <c r="EZ9" s="198"/>
      <c r="FA9" s="198"/>
      <c r="FB9" s="198"/>
      <c r="FC9" s="198"/>
      <c r="FD9" s="198"/>
      <c r="FE9" s="198"/>
      <c r="FF9" s="198"/>
      <c r="FG9" s="198"/>
      <c r="FH9" s="198"/>
      <c r="FI9" s="198"/>
      <c r="FJ9" s="198"/>
      <c r="FK9" s="198"/>
      <c r="FL9" s="198"/>
      <c r="FM9" s="198"/>
      <c r="FN9" s="198"/>
      <c r="FO9" s="198"/>
      <c r="FP9" s="198"/>
      <c r="FQ9" s="198"/>
      <c r="FR9" s="198"/>
      <c r="FS9" s="198"/>
      <c r="FT9" s="198"/>
      <c r="FU9" s="198"/>
      <c r="FV9" s="198"/>
      <c r="FW9" s="198"/>
      <c r="FX9" s="198"/>
      <c r="FY9" s="198"/>
      <c r="FZ9" s="198"/>
      <c r="GA9" s="198"/>
      <c r="GB9" s="198"/>
      <c r="GC9" s="198"/>
      <c r="GD9" s="198"/>
      <c r="GE9" s="198"/>
      <c r="GF9" s="198"/>
      <c r="GG9" s="198"/>
      <c r="GH9" s="198"/>
      <c r="GI9" s="198"/>
      <c r="GJ9" s="198"/>
      <c r="GK9" s="198"/>
      <c r="GL9" s="198"/>
      <c r="GM9" s="198"/>
      <c r="GN9" s="198"/>
      <c r="GO9" s="198"/>
      <c r="GP9" s="198"/>
      <c r="GQ9" s="198"/>
      <c r="GR9" s="198"/>
      <c r="GS9" s="198"/>
      <c r="GT9" s="198"/>
      <c r="GU9" s="198"/>
      <c r="GV9" s="198"/>
      <c r="GW9" s="198"/>
      <c r="GX9" s="198"/>
      <c r="GY9" s="198"/>
      <c r="GZ9" s="198"/>
      <c r="HA9" s="198"/>
      <c r="HB9" s="198"/>
      <c r="HC9" s="198"/>
      <c r="HD9" s="198"/>
      <c r="HE9" s="198"/>
      <c r="HF9" s="198"/>
      <c r="HG9" s="198"/>
      <c r="HH9" s="198"/>
      <c r="HI9" s="198"/>
      <c r="HJ9" s="198"/>
      <c r="HK9" s="198"/>
      <c r="HL9" s="198"/>
      <c r="HM9" s="198"/>
      <c r="HN9" s="198"/>
      <c r="HO9" s="198"/>
      <c r="HP9" s="198"/>
      <c r="HQ9" s="198"/>
      <c r="HR9" s="198"/>
      <c r="HS9" s="198"/>
      <c r="HT9" s="198"/>
      <c r="HU9" s="198"/>
      <c r="HV9" s="198"/>
      <c r="HW9" s="198"/>
      <c r="HX9" s="198"/>
      <c r="HY9" s="198"/>
      <c r="HZ9" s="198"/>
      <c r="IA9" s="445"/>
      <c r="IB9" s="198"/>
      <c r="IC9" s="198"/>
      <c r="ID9" s="198"/>
      <c r="IE9" s="198"/>
      <c r="IF9" s="198"/>
      <c r="IG9" s="198"/>
      <c r="IH9" s="198"/>
      <c r="II9" s="198"/>
      <c r="IJ9" s="198"/>
      <c r="IK9" s="198"/>
      <c r="IL9" s="198"/>
      <c r="IM9" s="198"/>
      <c r="IN9" s="748">
        <v>7</v>
      </c>
      <c r="IO9" s="2041"/>
      <c r="IP9" s="431" t="s">
        <v>2889</v>
      </c>
      <c r="IQ9" s="216" t="s">
        <v>2302</v>
      </c>
      <c r="IR9" s="554">
        <f t="shared" si="1"/>
        <v>0</v>
      </c>
      <c r="IS9" s="552">
        <f t="shared" si="2"/>
        <v>0</v>
      </c>
      <c r="IT9" s="198"/>
      <c r="IU9" s="445">
        <v>7</v>
      </c>
      <c r="IV9" s="211"/>
      <c r="IW9" s="211"/>
      <c r="IX9" s="198"/>
      <c r="IY9" s="256" t="str">
        <f>'1 Setup'!H14</f>
        <v>5.  Cost-Plus (generic with add-on component)</v>
      </c>
      <c r="IZ9" s="198"/>
      <c r="JA9" s="198"/>
      <c r="JB9" s="198"/>
      <c r="JC9" s="198"/>
      <c r="JD9" s="198"/>
      <c r="JE9" s="198"/>
      <c r="JF9" s="198"/>
      <c r="JG9" s="198"/>
      <c r="JH9" s="198"/>
      <c r="JI9" s="198"/>
      <c r="JJ9" s="198"/>
      <c r="JK9" s="198"/>
      <c r="JL9" s="198"/>
      <c r="JM9" s="198"/>
      <c r="JN9" s="198"/>
      <c r="JO9" s="198"/>
      <c r="JP9" s="198"/>
      <c r="JQ9" s="198"/>
      <c r="JR9" s="198"/>
      <c r="JS9" s="198"/>
      <c r="JT9" s="198"/>
      <c r="JU9" s="198"/>
      <c r="JV9" s="198"/>
      <c r="JW9" s="198"/>
      <c r="JX9" s="198"/>
      <c r="JY9" s="198"/>
      <c r="JZ9" s="198"/>
      <c r="KA9" s="198"/>
      <c r="KB9" s="198"/>
      <c r="KC9" s="198"/>
      <c r="KD9" s="198"/>
      <c r="KE9" s="198"/>
      <c r="KF9" s="198"/>
      <c r="KG9" s="198"/>
      <c r="KH9" s="198"/>
      <c r="KI9" s="198"/>
      <c r="KJ9" s="198"/>
      <c r="KK9" s="198"/>
      <c r="KL9" s="198"/>
      <c r="KM9" s="198"/>
      <c r="KN9" s="198"/>
      <c r="KO9" s="198"/>
      <c r="KP9" s="198"/>
      <c r="KQ9" s="198"/>
      <c r="KR9" s="198"/>
      <c r="KS9" s="198"/>
      <c r="KT9" s="198"/>
      <c r="KU9" s="198"/>
      <c r="KV9" s="198"/>
      <c r="KW9" s="198"/>
      <c r="KX9" s="198"/>
      <c r="KY9" s="198"/>
      <c r="KZ9" s="198"/>
      <c r="LA9" s="198"/>
      <c r="LB9" s="198"/>
      <c r="LC9" s="198"/>
      <c r="LD9" s="198"/>
      <c r="LE9" s="198"/>
      <c r="LF9" s="198"/>
      <c r="LG9" s="198"/>
      <c r="LH9" s="198"/>
      <c r="LI9" s="198"/>
      <c r="LJ9" s="198"/>
      <c r="LK9" s="198"/>
      <c r="LL9" s="198"/>
      <c r="LM9" s="198"/>
      <c r="LN9" s="198"/>
      <c r="LO9" s="198"/>
      <c r="LP9" s="198"/>
      <c r="LQ9" s="198"/>
      <c r="LR9" s="198"/>
      <c r="LS9" s="198"/>
      <c r="LT9" s="198"/>
      <c r="LU9" s="198"/>
      <c r="LV9" s="198"/>
      <c r="LW9" s="198"/>
      <c r="LX9" s="198"/>
      <c r="LY9" s="198"/>
      <c r="LZ9" s="198"/>
      <c r="MA9" s="198"/>
      <c r="MB9" s="198"/>
      <c r="MC9" s="198"/>
      <c r="MD9" s="198"/>
      <c r="ME9" s="198"/>
      <c r="MF9" s="198"/>
      <c r="MG9" s="198"/>
      <c r="MH9" s="198"/>
      <c r="MI9" s="198"/>
      <c r="MJ9" s="198"/>
      <c r="MK9" s="198"/>
      <c r="ML9" s="198"/>
      <c r="MM9" s="198"/>
      <c r="MN9" s="198"/>
      <c r="MO9" s="198"/>
      <c r="MP9" s="198"/>
      <c r="MQ9" s="198"/>
      <c r="MR9" s="198"/>
      <c r="MS9" s="198"/>
      <c r="MT9" s="198"/>
      <c r="MU9" s="198"/>
      <c r="MV9" s="198"/>
      <c r="MW9" s="198"/>
      <c r="MX9" s="198"/>
      <c r="MY9" s="198"/>
      <c r="MZ9" s="198"/>
      <c r="NA9" s="198"/>
      <c r="NB9" s="198"/>
      <c r="NC9" s="198"/>
      <c r="ND9" s="256" t="s">
        <v>3344</v>
      </c>
      <c r="NE9" s="198"/>
      <c r="NF9" s="198"/>
      <c r="NG9" s="198"/>
      <c r="NH9" s="198"/>
      <c r="NI9" s="198"/>
      <c r="NJ9" s="198"/>
      <c r="NK9" s="198"/>
      <c r="NL9" s="198"/>
      <c r="NM9" s="198"/>
      <c r="NN9" s="198"/>
      <c r="NO9" s="198"/>
      <c r="NP9" s="198"/>
      <c r="NQ9" s="198"/>
    </row>
    <row r="10" spans="1:381" ht="14.25" hidden="1" customHeight="1" x14ac:dyDescent="0.25">
      <c r="A10" s="198"/>
      <c r="B10" s="198"/>
      <c r="C10" s="198"/>
      <c r="D10" s="198"/>
      <c r="E10" s="198"/>
      <c r="F10" s="198"/>
      <c r="G10" s="198"/>
      <c r="H10" s="198"/>
      <c r="I10" s="3548" t="s">
        <v>1470</v>
      </c>
      <c r="J10" s="3237"/>
      <c r="K10" s="198"/>
      <c r="L10" s="3548" t="s">
        <v>2085</v>
      </c>
      <c r="M10" s="198"/>
      <c r="N10" s="198"/>
      <c r="O10" s="198"/>
      <c r="P10" s="198"/>
      <c r="Q10" s="198"/>
      <c r="R10" s="198"/>
      <c r="S10" s="198"/>
      <c r="T10" s="198"/>
      <c r="U10" s="198"/>
      <c r="V10" s="198"/>
      <c r="W10" s="198"/>
      <c r="X10" s="198"/>
      <c r="Y10" s="198"/>
      <c r="Z10" s="198"/>
      <c r="AA10" s="198"/>
      <c r="AB10" s="198"/>
      <c r="AC10" s="198"/>
      <c r="AD10" s="198"/>
      <c r="AE10" s="198"/>
      <c r="AF10" s="198"/>
      <c r="AG10" s="198"/>
      <c r="AH10" s="198"/>
      <c r="AI10" s="198"/>
      <c r="AJ10" s="198"/>
      <c r="AK10" s="198"/>
      <c r="AL10" s="198"/>
      <c r="AM10" s="198"/>
      <c r="AN10" s="198"/>
      <c r="AO10" s="198"/>
      <c r="AP10" s="198"/>
      <c r="AQ10" s="198"/>
      <c r="AR10" s="198"/>
      <c r="AS10" s="198"/>
      <c r="AT10" s="198"/>
      <c r="AU10" s="198"/>
      <c r="AV10" s="198"/>
      <c r="AW10" s="198"/>
      <c r="AX10" s="198"/>
      <c r="AY10" s="198"/>
      <c r="AZ10" s="198"/>
      <c r="BA10" s="198"/>
      <c r="BB10" s="198"/>
      <c r="BC10" s="198"/>
      <c r="BD10" s="198"/>
      <c r="BE10" s="198"/>
      <c r="BF10" s="198"/>
      <c r="BG10" s="198"/>
      <c r="BH10" s="198"/>
      <c r="BI10" s="198"/>
      <c r="BJ10" s="198"/>
      <c r="BK10" s="198"/>
      <c r="BL10" s="198"/>
      <c r="BM10" s="198"/>
      <c r="BN10" s="198"/>
      <c r="BO10" s="198"/>
      <c r="BP10" s="198"/>
      <c r="BQ10" s="198"/>
      <c r="BR10" s="198"/>
      <c r="BS10" s="198"/>
      <c r="BT10" s="198"/>
      <c r="BU10" s="198"/>
      <c r="BV10" s="198"/>
      <c r="BW10" s="198"/>
      <c r="BX10" s="198"/>
      <c r="BY10" s="198"/>
      <c r="BZ10" s="198"/>
      <c r="CA10" s="198"/>
      <c r="CB10" s="198"/>
      <c r="CC10" s="198"/>
      <c r="CD10" s="198"/>
      <c r="CE10" s="198"/>
      <c r="CF10" s="198"/>
      <c r="CG10" s="198"/>
      <c r="CH10" s="198"/>
      <c r="CI10" s="198"/>
      <c r="CJ10" s="198"/>
      <c r="CK10" s="198"/>
      <c r="CL10" s="198"/>
      <c r="CM10" s="198"/>
      <c r="CN10" s="198"/>
      <c r="CO10" s="198"/>
      <c r="CP10" s="198"/>
      <c r="CQ10" s="198"/>
      <c r="CR10" s="198"/>
      <c r="CS10" s="198"/>
      <c r="CT10" s="198"/>
      <c r="CU10" s="198"/>
      <c r="CV10" s="198"/>
      <c r="CW10" s="198"/>
      <c r="CX10" s="198"/>
      <c r="CY10" s="198"/>
      <c r="CZ10" s="198"/>
      <c r="DA10" s="198"/>
      <c r="DB10" s="198"/>
      <c r="DC10" s="198"/>
      <c r="DD10" s="198"/>
      <c r="DE10" s="198"/>
      <c r="DF10" s="198"/>
      <c r="DG10" s="198"/>
      <c r="DH10" s="198"/>
      <c r="DI10" s="198"/>
      <c r="DJ10" s="198"/>
      <c r="DK10" s="198"/>
      <c r="DL10" s="198"/>
      <c r="DM10" s="198"/>
      <c r="DN10" s="198"/>
      <c r="DO10" s="198"/>
      <c r="DP10" s="198"/>
      <c r="DQ10" s="198"/>
      <c r="DR10" s="198"/>
      <c r="DS10" s="198"/>
      <c r="DT10" s="198"/>
      <c r="DU10" s="198"/>
      <c r="DV10" s="198"/>
      <c r="DW10" s="198"/>
      <c r="DX10" s="198"/>
      <c r="DY10" s="198"/>
      <c r="DZ10" s="198"/>
      <c r="EA10" s="198"/>
      <c r="EB10" s="198"/>
      <c r="EC10" s="198"/>
      <c r="ED10" s="198"/>
      <c r="EE10" s="198"/>
      <c r="EF10" s="198"/>
      <c r="EG10" s="198"/>
      <c r="EH10" s="198"/>
      <c r="EI10" s="198"/>
      <c r="EJ10" s="198"/>
      <c r="EK10" s="198"/>
      <c r="EL10" s="198"/>
      <c r="EM10" s="198"/>
      <c r="EN10" s="198"/>
      <c r="EO10" s="198"/>
      <c r="EP10" s="540"/>
      <c r="EQ10" s="540"/>
      <c r="ER10" s="540"/>
      <c r="ES10" s="540"/>
      <c r="ET10" s="540"/>
      <c r="EU10" s="540"/>
      <c r="EV10" s="540"/>
      <c r="EW10" s="198"/>
      <c r="EX10" s="198"/>
      <c r="EY10" s="198"/>
      <c r="EZ10" s="198"/>
      <c r="FA10" s="198"/>
      <c r="FB10" s="198"/>
      <c r="FC10" s="198"/>
      <c r="FD10" s="198"/>
      <c r="FE10" s="198"/>
      <c r="FF10" s="198"/>
      <c r="FG10" s="198"/>
      <c r="FH10" s="198"/>
      <c r="FI10" s="198"/>
      <c r="FJ10" s="198"/>
      <c r="FK10" s="198"/>
      <c r="FL10" s="198"/>
      <c r="FM10" s="198"/>
      <c r="FN10" s="198"/>
      <c r="FO10" s="198"/>
      <c r="FP10" s="198"/>
      <c r="FQ10" s="198"/>
      <c r="FR10" s="198"/>
      <c r="FS10" s="198"/>
      <c r="FT10" s="198"/>
      <c r="FU10" s="198"/>
      <c r="FV10" s="198"/>
      <c r="FW10" s="198"/>
      <c r="FX10" s="198"/>
      <c r="FY10" s="198"/>
      <c r="FZ10" s="198"/>
      <c r="GA10" s="198"/>
      <c r="GB10" s="198"/>
      <c r="GC10" s="198"/>
      <c r="GD10" s="198"/>
      <c r="GE10" s="198"/>
      <c r="GF10" s="198"/>
      <c r="GG10" s="198"/>
      <c r="GH10" s="198"/>
      <c r="GI10" s="198"/>
      <c r="GJ10" s="198"/>
      <c r="GK10" s="198"/>
      <c r="GL10" s="198"/>
      <c r="GM10" s="198"/>
      <c r="GN10" s="198"/>
      <c r="GO10" s="198"/>
      <c r="GP10" s="198"/>
      <c r="GQ10" s="198"/>
      <c r="GR10" s="198"/>
      <c r="GS10" s="198"/>
      <c r="GT10" s="198"/>
      <c r="GU10" s="198"/>
      <c r="GV10" s="198"/>
      <c r="GW10" s="198"/>
      <c r="GX10" s="198"/>
      <c r="GY10" s="198"/>
      <c r="GZ10" s="198"/>
      <c r="HA10" s="198"/>
      <c r="HB10" s="198"/>
      <c r="HC10" s="198"/>
      <c r="HD10" s="198"/>
      <c r="HE10" s="198"/>
      <c r="HF10" s="198"/>
      <c r="HG10" s="198"/>
      <c r="HH10" s="198"/>
      <c r="HI10" s="211" t="s">
        <v>2367</v>
      </c>
      <c r="HJ10" s="198"/>
      <c r="HK10" s="198"/>
      <c r="HL10" s="198"/>
      <c r="HM10" s="198"/>
      <c r="HN10" s="198"/>
      <c r="HO10" s="198"/>
      <c r="HP10" s="198"/>
      <c r="HQ10" s="198"/>
      <c r="HR10" s="198"/>
      <c r="HS10" s="198"/>
      <c r="HT10" s="198"/>
      <c r="HU10" s="198"/>
      <c r="HV10" s="198"/>
      <c r="HW10" s="198"/>
      <c r="HX10" s="198"/>
      <c r="HY10" s="198"/>
      <c r="HZ10" s="198"/>
      <c r="IA10" s="445"/>
      <c r="IB10" s="198"/>
      <c r="IC10" s="198"/>
      <c r="ID10" s="198"/>
      <c r="IE10" s="198"/>
      <c r="IF10" s="198"/>
      <c r="IG10" s="198"/>
      <c r="IH10" s="198"/>
      <c r="II10" s="198"/>
      <c r="IJ10" s="198"/>
      <c r="IK10" s="198"/>
      <c r="IL10" s="198"/>
      <c r="IM10" s="198"/>
      <c r="IN10" s="748">
        <v>8</v>
      </c>
      <c r="IO10" s="2041"/>
      <c r="IP10" s="431" t="s">
        <v>4129</v>
      </c>
      <c r="IQ10" s="216" t="s">
        <v>2890</v>
      </c>
      <c r="IR10" s="554">
        <f t="shared" si="1"/>
        <v>0</v>
      </c>
      <c r="IS10" s="552">
        <f t="shared" si="2"/>
        <v>0</v>
      </c>
      <c r="IT10" s="198"/>
      <c r="IU10" s="445">
        <v>8</v>
      </c>
      <c r="IV10" s="211"/>
      <c r="IW10" s="211"/>
      <c r="IX10" s="198"/>
      <c r="IY10" s="256" t="str">
        <f>'1 Setup'!H15</f>
        <v>6.  Constant Gross Margin</v>
      </c>
      <c r="IZ10" s="198" t="s">
        <v>5</v>
      </c>
      <c r="JA10" s="198"/>
      <c r="JB10" s="198"/>
      <c r="JC10" s="198"/>
      <c r="JD10" s="198"/>
      <c r="JE10" s="198"/>
      <c r="JF10" s="198"/>
      <c r="JG10" s="198"/>
      <c r="JH10" s="198"/>
      <c r="JI10" s="198"/>
      <c r="JJ10" s="198"/>
      <c r="JK10" s="198"/>
      <c r="JL10" s="198"/>
      <c r="JM10" s="198"/>
      <c r="JN10" s="198"/>
      <c r="JO10" s="198"/>
      <c r="JP10" s="198"/>
      <c r="JQ10" s="198"/>
      <c r="JR10" s="198"/>
      <c r="JS10" s="198"/>
      <c r="JT10" s="198"/>
      <c r="JU10" s="198"/>
      <c r="JV10" s="198"/>
      <c r="JW10" s="198"/>
      <c r="JX10" s="198"/>
      <c r="JY10" s="198"/>
      <c r="JZ10" s="198"/>
      <c r="KA10" s="198"/>
      <c r="KB10" s="198"/>
      <c r="KC10" s="198"/>
      <c r="KD10" s="198"/>
      <c r="KE10" s="198"/>
      <c r="KF10" s="198"/>
      <c r="KG10" s="198"/>
      <c r="KH10" s="198"/>
      <c r="KI10" s="198"/>
      <c r="KJ10" s="198"/>
      <c r="KK10" s="198"/>
      <c r="KL10" s="198"/>
      <c r="KM10" s="198"/>
      <c r="KN10" s="198"/>
      <c r="KO10" s="198"/>
      <c r="KP10" s="198"/>
      <c r="KQ10" s="198"/>
      <c r="KR10" s="198"/>
      <c r="KS10" s="198"/>
      <c r="KT10" s="198"/>
      <c r="KU10" s="198"/>
      <c r="KV10" s="198"/>
      <c r="KW10" s="198"/>
      <c r="KX10" s="198"/>
      <c r="KY10" s="198"/>
      <c r="KZ10" s="198"/>
      <c r="LA10" s="198"/>
      <c r="LB10" s="198"/>
      <c r="LC10" s="198"/>
      <c r="LD10" s="198"/>
      <c r="LE10" s="198"/>
      <c r="LF10" s="198"/>
      <c r="LG10" s="198"/>
      <c r="LH10" s="198"/>
      <c r="LI10" s="198"/>
      <c r="LJ10" s="198"/>
      <c r="LK10" s="198"/>
      <c r="LL10" s="198"/>
      <c r="LM10" s="198"/>
      <c r="LN10" s="198"/>
      <c r="LO10" s="198"/>
      <c r="LP10" s="198"/>
      <c r="LQ10" s="198"/>
      <c r="LR10" s="198"/>
      <c r="LS10" s="198"/>
      <c r="LT10" s="198"/>
      <c r="LU10" s="198"/>
      <c r="LV10" s="198"/>
      <c r="LW10" s="198"/>
      <c r="LX10" s="198"/>
      <c r="LY10" s="198"/>
      <c r="LZ10" s="198"/>
      <c r="MA10" s="198"/>
      <c r="MB10" s="198"/>
      <c r="MC10" s="198"/>
      <c r="MD10" s="198"/>
      <c r="ME10" s="198"/>
      <c r="MF10" s="198"/>
      <c r="MG10" s="198"/>
      <c r="MH10" s="198"/>
      <c r="MI10" s="198"/>
      <c r="MJ10" s="198"/>
      <c r="MK10" s="198"/>
      <c r="ML10" s="198"/>
      <c r="MM10" s="198"/>
      <c r="MN10" s="198"/>
      <c r="MO10" s="198"/>
      <c r="MP10" s="198"/>
      <c r="MQ10" s="198"/>
      <c r="MR10" s="198"/>
      <c r="MS10" s="198"/>
      <c r="MT10" s="198"/>
      <c r="MU10" s="198"/>
      <c r="MV10" s="198"/>
      <c r="MW10" s="198"/>
      <c r="MX10" s="198"/>
      <c r="MY10" s="198"/>
      <c r="MZ10" s="198"/>
      <c r="NA10" s="198"/>
      <c r="NB10" s="198"/>
      <c r="NC10" s="198"/>
      <c r="ND10" s="256" t="s">
        <v>3367</v>
      </c>
      <c r="NE10" s="198"/>
      <c r="NF10" s="198"/>
      <c r="NG10" s="198"/>
      <c r="NH10" s="198"/>
      <c r="NI10" s="198"/>
      <c r="NJ10" s="198"/>
      <c r="NK10" s="198"/>
      <c r="NL10" s="198"/>
      <c r="NM10" s="198"/>
      <c r="NN10" s="198"/>
      <c r="NO10" s="198"/>
      <c r="NP10" s="198"/>
      <c r="NQ10" s="198"/>
    </row>
    <row r="11" spans="1:381" ht="13.8" hidden="1" x14ac:dyDescent="0.25">
      <c r="A11" s="198"/>
      <c r="B11" s="198"/>
      <c r="C11" s="198"/>
      <c r="D11" s="198"/>
      <c r="E11" s="198"/>
      <c r="F11" s="198"/>
      <c r="G11" s="198"/>
      <c r="H11" s="198"/>
      <c r="I11" s="3549"/>
      <c r="J11" s="3237"/>
      <c r="K11" s="198"/>
      <c r="L11" s="3549"/>
      <c r="M11" s="198"/>
      <c r="N11" s="198"/>
      <c r="O11" s="198"/>
      <c r="P11" s="198"/>
      <c r="Q11" s="198"/>
      <c r="R11" s="198"/>
      <c r="S11" s="198"/>
      <c r="T11" s="198"/>
      <c r="U11" s="198"/>
      <c r="V11" s="198"/>
      <c r="W11" s="198"/>
      <c r="X11" s="198"/>
      <c r="Y11" s="198"/>
      <c r="Z11" s="198"/>
      <c r="AA11" s="198"/>
      <c r="AB11" s="198"/>
      <c r="AC11" s="198"/>
      <c r="AD11" s="198"/>
      <c r="AE11" s="198"/>
      <c r="AF11" s="198"/>
      <c r="AG11" s="198"/>
      <c r="AH11" s="198"/>
      <c r="AI11" s="198"/>
      <c r="AJ11" s="198"/>
      <c r="AK11" s="198"/>
      <c r="AL11" s="198"/>
      <c r="AM11" s="198"/>
      <c r="AN11" s="198"/>
      <c r="AO11" s="198"/>
      <c r="AP11" s="198"/>
      <c r="AQ11" s="198"/>
      <c r="AR11" s="198"/>
      <c r="AS11" s="198"/>
      <c r="AT11" s="198"/>
      <c r="AU11" s="198"/>
      <c r="AV11" s="198"/>
      <c r="AW11" s="198"/>
      <c r="AX11" s="198"/>
      <c r="AY11" s="198"/>
      <c r="AZ11" s="198"/>
      <c r="BA11" s="198"/>
      <c r="BB11" s="198"/>
      <c r="BC11" s="198"/>
      <c r="BD11" s="198"/>
      <c r="BE11" s="198"/>
      <c r="BF11" s="198"/>
      <c r="BG11" s="198"/>
      <c r="BH11" s="198"/>
      <c r="BI11" s="198"/>
      <c r="BJ11" s="198"/>
      <c r="BK11" s="198"/>
      <c r="BL11" s="198"/>
      <c r="BM11" s="198"/>
      <c r="BN11" s="198"/>
      <c r="BO11" s="198"/>
      <c r="BP11" s="198"/>
      <c r="BQ11" s="198"/>
      <c r="BR11" s="198"/>
      <c r="BS11" s="198"/>
      <c r="BT11" s="198"/>
      <c r="BU11" s="198"/>
      <c r="BV11" s="198"/>
      <c r="BW11" s="198"/>
      <c r="BX11" s="198"/>
      <c r="BY11" s="198"/>
      <c r="BZ11" s="198"/>
      <c r="CA11" s="198"/>
      <c r="CB11" s="198"/>
      <c r="CC11" s="198"/>
      <c r="CD11" s="198"/>
      <c r="CE11" s="198"/>
      <c r="CF11" s="198"/>
      <c r="CG11" s="198"/>
      <c r="CH11" s="198"/>
      <c r="CI11" s="198"/>
      <c r="CJ11" s="198"/>
      <c r="CK11" s="198"/>
      <c r="CL11" s="198"/>
      <c r="CM11" s="198"/>
      <c r="CN11" s="198"/>
      <c r="CO11" s="198"/>
      <c r="CP11" s="198"/>
      <c r="CQ11" s="198"/>
      <c r="CR11" s="198"/>
      <c r="CS11" s="198"/>
      <c r="CT11" s="198"/>
      <c r="CU11" s="198"/>
      <c r="CV11" s="198"/>
      <c r="CW11" s="198"/>
      <c r="CX11" s="198"/>
      <c r="CY11" s="198"/>
      <c r="CZ11" s="198"/>
      <c r="DA11" s="198"/>
      <c r="DB11" s="198"/>
      <c r="DC11" s="198"/>
      <c r="DD11" s="198"/>
      <c r="DE11" s="198"/>
      <c r="DF11" s="198"/>
      <c r="DG11" s="198"/>
      <c r="DH11" s="198"/>
      <c r="DI11" s="198"/>
      <c r="DJ11" s="198"/>
      <c r="DK11" s="198"/>
      <c r="DL11" s="198"/>
      <c r="DM11" s="198"/>
      <c r="DN11" s="198"/>
      <c r="DO11" s="198"/>
      <c r="DP11" s="198"/>
      <c r="DQ11" s="198"/>
      <c r="DR11" s="198"/>
      <c r="DS11" s="198"/>
      <c r="DT11" s="198"/>
      <c r="DU11" s="198"/>
      <c r="DV11" s="198"/>
      <c r="DW11" s="198"/>
      <c r="DX11" s="198"/>
      <c r="DY11" s="198"/>
      <c r="DZ11" s="198"/>
      <c r="EA11" s="198"/>
      <c r="EB11" s="198"/>
      <c r="EC11" s="198"/>
      <c r="ED11" s="198"/>
      <c r="EE11" s="198"/>
      <c r="EF11" s="198"/>
      <c r="EG11" s="198"/>
      <c r="EH11" s="198"/>
      <c r="EI11" s="198"/>
      <c r="EJ11" s="198"/>
      <c r="EK11" s="198"/>
      <c r="EL11" s="198"/>
      <c r="EM11" s="198"/>
      <c r="EN11" s="198"/>
      <c r="EO11" s="198"/>
      <c r="EP11" s="540"/>
      <c r="EQ11" s="540"/>
      <c r="ER11" s="540"/>
      <c r="ES11" s="540"/>
      <c r="ET11" s="540"/>
      <c r="EU11" s="540"/>
      <c r="EV11" s="540"/>
      <c r="EW11" s="198"/>
      <c r="EX11" s="198"/>
      <c r="EY11" s="198"/>
      <c r="EZ11" s="198"/>
      <c r="FA11" s="198"/>
      <c r="FB11" s="198"/>
      <c r="FC11" s="198"/>
      <c r="FD11" s="198"/>
      <c r="FE11" s="198"/>
      <c r="FF11" s="198"/>
      <c r="FG11" s="198"/>
      <c r="FH11" s="198"/>
      <c r="FI11" s="198"/>
      <c r="FJ11" s="198"/>
      <c r="FK11" s="198"/>
      <c r="FL11" s="198"/>
      <c r="FM11" s="198"/>
      <c r="FN11" s="198"/>
      <c r="FO11" s="198"/>
      <c r="FP11" s="198"/>
      <c r="FQ11" s="198"/>
      <c r="FR11" s="198"/>
      <c r="FS11" s="198"/>
      <c r="FT11" s="198"/>
      <c r="FU11" s="198"/>
      <c r="FV11" s="198"/>
      <c r="FW11" s="198"/>
      <c r="FX11" s="198"/>
      <c r="FY11" s="198"/>
      <c r="FZ11" s="198"/>
      <c r="GA11" s="198"/>
      <c r="GB11" s="198"/>
      <c r="GC11" s="198"/>
      <c r="GD11" s="198"/>
      <c r="GE11" s="198"/>
      <c r="GF11" s="198"/>
      <c r="GG11" s="198"/>
      <c r="GH11" s="198"/>
      <c r="GI11" s="198"/>
      <c r="GJ11" s="198"/>
      <c r="GK11" s="198"/>
      <c r="GL11" s="198"/>
      <c r="GM11" s="198"/>
      <c r="GN11" s="198"/>
      <c r="GO11" s="198"/>
      <c r="GP11" s="198"/>
      <c r="GQ11" s="198"/>
      <c r="GR11" s="198"/>
      <c r="GS11" s="198"/>
      <c r="GT11" s="198"/>
      <c r="GU11" s="198"/>
      <c r="GV11" s="198"/>
      <c r="GW11" s="198"/>
      <c r="GX11" s="198"/>
      <c r="GY11" s="198"/>
      <c r="GZ11" s="198"/>
      <c r="HA11" s="198"/>
      <c r="HB11" s="198"/>
      <c r="HC11" s="198"/>
      <c r="HD11" s="198"/>
      <c r="HE11" s="198"/>
      <c r="HF11" s="198"/>
      <c r="HG11" s="198"/>
      <c r="HH11" s="198"/>
      <c r="HI11" s="2068">
        <f>IF(OR('1 Setup'!G8=4,'1 Setup'!G8=5),1,0)</f>
        <v>0</v>
      </c>
      <c r="HJ11" s="198"/>
      <c r="HK11" s="198"/>
      <c r="HL11" s="198"/>
      <c r="HM11" s="198"/>
      <c r="HN11" s="198"/>
      <c r="HO11" s="198"/>
      <c r="HP11" s="198"/>
      <c r="HQ11" s="198"/>
      <c r="HR11" s="198"/>
      <c r="HS11" s="198"/>
      <c r="HT11" s="198"/>
      <c r="HU11" s="198"/>
      <c r="HV11" s="198"/>
      <c r="HW11" s="198"/>
      <c r="HX11" s="198"/>
      <c r="HY11" s="198"/>
      <c r="HZ11" s="198"/>
      <c r="IA11" s="445"/>
      <c r="IB11" s="198"/>
      <c r="IC11" s="198"/>
      <c r="ID11" s="198"/>
      <c r="IE11" s="198"/>
      <c r="IF11" s="198"/>
      <c r="IG11" s="198"/>
      <c r="IH11" s="198"/>
      <c r="II11" s="198"/>
      <c r="IJ11" s="198"/>
      <c r="IK11" s="198"/>
      <c r="IL11" s="198"/>
      <c r="IM11" s="198"/>
      <c r="IN11" s="748">
        <v>9</v>
      </c>
      <c r="IO11" s="2041"/>
      <c r="IP11" s="431" t="s">
        <v>4087</v>
      </c>
      <c r="IQ11" s="216" t="s">
        <v>2891</v>
      </c>
      <c r="IR11" s="554">
        <f t="shared" si="1"/>
        <v>0</v>
      </c>
      <c r="IS11" s="552">
        <f t="shared" si="2"/>
        <v>0</v>
      </c>
      <c r="IT11" s="198"/>
      <c r="IU11" s="445">
        <v>9</v>
      </c>
      <c r="IV11" s="211"/>
      <c r="IW11" s="211"/>
      <c r="IX11" s="198"/>
      <c r="IY11" s="256" t="str">
        <f>'1 Setup'!H16</f>
        <v>7.  Direct Entry Rates</v>
      </c>
      <c r="IZ11" s="198"/>
      <c r="JA11" s="198"/>
      <c r="JB11" s="198"/>
      <c r="JC11" s="198"/>
      <c r="JD11" s="198"/>
      <c r="JE11" s="198"/>
      <c r="JF11" s="198"/>
      <c r="JG11" s="198"/>
      <c r="JH11" s="198"/>
      <c r="JI11" s="198"/>
      <c r="JJ11" s="198"/>
      <c r="JK11" s="198"/>
      <c r="JL11" s="198"/>
      <c r="JM11" s="198"/>
      <c r="JN11" s="198"/>
      <c r="JO11" s="198"/>
      <c r="JP11" s="198"/>
      <c r="JQ11" s="198"/>
      <c r="JR11" s="198"/>
      <c r="JS11" s="198"/>
      <c r="JT11" s="198"/>
      <c r="JU11" s="198"/>
      <c r="JV11" s="198"/>
      <c r="JW11" s="198"/>
      <c r="JX11" s="198"/>
      <c r="JY11" s="198"/>
      <c r="JZ11" s="198"/>
      <c r="KA11" s="198"/>
      <c r="KB11" s="198"/>
      <c r="KC11" s="198"/>
      <c r="KD11" s="198"/>
      <c r="KE11" s="198"/>
      <c r="KF11" s="198"/>
      <c r="KG11" s="198"/>
      <c r="KH11" s="198"/>
      <c r="KI11" s="198"/>
      <c r="KJ11" s="198"/>
      <c r="KK11" s="198"/>
      <c r="KL11" s="198"/>
      <c r="KM11" s="198"/>
      <c r="KN11" s="198"/>
      <c r="KO11" s="198"/>
      <c r="KP11" s="198"/>
      <c r="KQ11" s="198"/>
      <c r="KR11" s="198"/>
      <c r="KS11" s="198"/>
      <c r="KT11" s="198"/>
      <c r="KU11" s="198"/>
      <c r="KV11" s="198"/>
      <c r="KW11" s="198"/>
      <c r="KX11" s="198"/>
      <c r="KY11" s="198"/>
      <c r="KZ11" s="198"/>
      <c r="LA11" s="198"/>
      <c r="LB11" s="198"/>
      <c r="LC11" s="198"/>
      <c r="LD11" s="198"/>
      <c r="LE11" s="198"/>
      <c r="LF11" s="198"/>
      <c r="LG11" s="198"/>
      <c r="LH11" s="198"/>
      <c r="LI11" s="198"/>
      <c r="LJ11" s="198"/>
      <c r="LK11" s="198"/>
      <c r="LL11" s="198"/>
      <c r="LM11" s="198"/>
      <c r="LN11" s="198"/>
      <c r="LO11" s="198"/>
      <c r="LP11" s="198"/>
      <c r="LQ11" s="198"/>
      <c r="LR11" s="198"/>
      <c r="LS11" s="198"/>
      <c r="LT11" s="198"/>
      <c r="LU11" s="198"/>
      <c r="LV11" s="198"/>
      <c r="LW11" s="198"/>
      <c r="LX11" s="198"/>
      <c r="LY11" s="198"/>
      <c r="LZ11" s="198"/>
      <c r="MA11" s="198"/>
      <c r="MB11" s="198"/>
      <c r="MC11" s="198"/>
      <c r="MD11" s="198"/>
      <c r="ME11" s="198"/>
      <c r="MF11" s="198"/>
      <c r="MG11" s="198"/>
      <c r="MH11" s="198"/>
      <c r="MI11" s="198"/>
      <c r="MJ11" s="198"/>
      <c r="MK11" s="198"/>
      <c r="ML11" s="198"/>
      <c r="MM11" s="198"/>
      <c r="MN11" s="198"/>
      <c r="MO11" s="198"/>
      <c r="MP11" s="198"/>
      <c r="MQ11" s="198"/>
      <c r="MR11" s="198"/>
      <c r="MS11" s="198"/>
      <c r="MT11" s="198"/>
      <c r="MU11" s="198"/>
      <c r="MV11" s="198"/>
      <c r="MW11" s="198"/>
      <c r="MX11" s="198"/>
      <c r="MY11" s="198"/>
      <c r="MZ11" s="198"/>
      <c r="NA11" s="198"/>
      <c r="NB11" s="198"/>
      <c r="NC11" s="198"/>
      <c r="ND11" s="256" t="s">
        <v>3360</v>
      </c>
      <c r="NE11" s="198"/>
      <c r="NF11" s="198"/>
      <c r="NG11" s="198"/>
      <c r="NH11" s="198"/>
      <c r="NI11" s="198"/>
      <c r="NJ11" s="198"/>
      <c r="NK11" s="198"/>
      <c r="NL11" s="198"/>
      <c r="NM11" s="198"/>
      <c r="NN11" s="198"/>
      <c r="NO11" s="198"/>
      <c r="NP11" s="198"/>
      <c r="NQ11" s="198"/>
    </row>
    <row r="12" spans="1:381" ht="13.8" hidden="1" x14ac:dyDescent="0.25">
      <c r="A12" s="198"/>
      <c r="B12" s="198"/>
      <c r="C12" s="198"/>
      <c r="D12" s="198"/>
      <c r="E12" s="198"/>
      <c r="F12" s="198"/>
      <c r="G12" s="198"/>
      <c r="H12" s="211" t="s">
        <v>1477</v>
      </c>
      <c r="I12" s="211" t="s">
        <v>1476</v>
      </c>
      <c r="J12" s="211"/>
      <c r="K12" s="211"/>
      <c r="L12" s="211" t="s">
        <v>1478</v>
      </c>
      <c r="M12" s="1446" t="s">
        <v>31</v>
      </c>
      <c r="N12" s="1446" t="s">
        <v>1383</v>
      </c>
      <c r="O12" s="198"/>
      <c r="P12" s="198"/>
      <c r="Q12" s="198"/>
      <c r="R12" s="198"/>
      <c r="S12" s="198"/>
      <c r="T12" s="198"/>
      <c r="U12" s="198"/>
      <c r="V12" s="198"/>
      <c r="W12" s="198"/>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c r="BS12" s="198"/>
      <c r="BT12" s="198"/>
      <c r="BU12" s="198"/>
      <c r="BV12" s="198"/>
      <c r="BW12" s="198"/>
      <c r="BX12" s="198"/>
      <c r="BY12" s="198"/>
      <c r="BZ12" s="198"/>
      <c r="CA12" s="198"/>
      <c r="CB12" s="198"/>
      <c r="CC12" s="198"/>
      <c r="CD12" s="198"/>
      <c r="CE12" s="198"/>
      <c r="CF12" s="198"/>
      <c r="CG12" s="198"/>
      <c r="CH12" s="198"/>
      <c r="CI12" s="198"/>
      <c r="CJ12" s="198"/>
      <c r="CK12" s="198"/>
      <c r="CL12" s="198"/>
      <c r="CM12" s="198"/>
      <c r="CN12" s="198"/>
      <c r="CO12" s="198"/>
      <c r="CP12" s="198"/>
      <c r="CQ12" s="198"/>
      <c r="CR12" s="198"/>
      <c r="CS12" s="198"/>
      <c r="CT12" s="198"/>
      <c r="CU12" s="198"/>
      <c r="CV12" s="198"/>
      <c r="CW12" s="198"/>
      <c r="CX12" s="198"/>
      <c r="CY12" s="198"/>
      <c r="CZ12" s="198"/>
      <c r="DA12" s="198"/>
      <c r="DB12" s="198"/>
      <c r="DC12" s="198"/>
      <c r="DD12" s="198"/>
      <c r="DE12" s="198"/>
      <c r="DF12" s="198"/>
      <c r="DG12" s="198"/>
      <c r="DH12" s="198"/>
      <c r="DI12" s="198"/>
      <c r="DJ12" s="198"/>
      <c r="DK12" s="198"/>
      <c r="DL12" s="198"/>
      <c r="DM12" s="198"/>
      <c r="DN12" s="198"/>
      <c r="DO12" s="198"/>
      <c r="DP12" s="198"/>
      <c r="DQ12" s="198"/>
      <c r="DR12" s="198"/>
      <c r="DS12" s="198"/>
      <c r="DT12" s="198"/>
      <c r="DU12" s="198"/>
      <c r="DV12" s="198"/>
      <c r="DW12" s="198"/>
      <c r="DX12" s="198"/>
      <c r="DY12" s="198"/>
      <c r="DZ12" s="198"/>
      <c r="EA12" s="198"/>
      <c r="EB12" s="198"/>
      <c r="EC12" s="198"/>
      <c r="ED12" s="198"/>
      <c r="EE12" s="198"/>
      <c r="EF12" s="198"/>
      <c r="EG12" s="198"/>
      <c r="EH12" s="198"/>
      <c r="EI12" s="198"/>
      <c r="EJ12" s="198"/>
      <c r="EK12" s="198"/>
      <c r="EL12" s="198"/>
      <c r="EM12" s="198"/>
      <c r="EN12" s="198"/>
      <c r="EO12" s="198"/>
      <c r="EP12" s="540"/>
      <c r="EQ12" s="540"/>
      <c r="ER12" s="540"/>
      <c r="ES12" s="540"/>
      <c r="ET12" s="540"/>
      <c r="EU12" s="540"/>
      <c r="EV12" s="540"/>
      <c r="EW12" s="198"/>
      <c r="EX12" s="198"/>
      <c r="EY12" s="198"/>
      <c r="EZ12" s="198"/>
      <c r="FA12" s="198"/>
      <c r="FB12" s="198"/>
      <c r="FC12" s="198"/>
      <c r="FD12" s="198"/>
      <c r="FE12" s="198"/>
      <c r="FF12" s="198"/>
      <c r="FG12" s="198"/>
      <c r="FH12" s="198"/>
      <c r="FI12" s="198"/>
      <c r="FJ12" s="198"/>
      <c r="FK12" s="198"/>
      <c r="FL12" s="198"/>
      <c r="FM12" s="198"/>
      <c r="FN12" s="198"/>
      <c r="FO12" s="198"/>
      <c r="FP12" s="198"/>
      <c r="FQ12" s="198"/>
      <c r="FR12" s="198"/>
      <c r="FS12" s="198"/>
      <c r="FT12" s="198"/>
      <c r="FU12" s="198"/>
      <c r="FV12" s="198"/>
      <c r="FW12" s="198"/>
      <c r="FX12" s="198"/>
      <c r="FY12" s="198"/>
      <c r="FZ12" s="198"/>
      <c r="GA12" s="198"/>
      <c r="GB12" s="198"/>
      <c r="GC12" s="198"/>
      <c r="GD12" s="198"/>
      <c r="GE12" s="198"/>
      <c r="GF12" s="198"/>
      <c r="GG12" s="198"/>
      <c r="GH12" s="198"/>
      <c r="GI12" s="198"/>
      <c r="GJ12" s="198"/>
      <c r="GK12" s="198"/>
      <c r="GL12" s="198"/>
      <c r="GM12" s="198"/>
      <c r="GN12" s="198"/>
      <c r="GO12" s="198"/>
      <c r="GP12" s="198"/>
      <c r="GQ12" s="198"/>
      <c r="GR12" s="198"/>
      <c r="GS12" s="198"/>
      <c r="GT12" s="198"/>
      <c r="GU12" s="198"/>
      <c r="GV12" s="198"/>
      <c r="GW12" s="198"/>
      <c r="GX12" s="198"/>
      <c r="GY12" s="198"/>
      <c r="GZ12" s="198"/>
      <c r="HA12" s="198"/>
      <c r="HB12" s="198"/>
      <c r="HC12" s="198"/>
      <c r="HD12" s="198"/>
      <c r="HE12" s="198"/>
      <c r="HF12" s="198"/>
      <c r="HG12" s="198"/>
      <c r="HH12" s="198"/>
      <c r="HI12" s="2068">
        <f>'3a Staff Plan'!W119*'4 Sign-off'!F17*HI11</f>
        <v>0</v>
      </c>
      <c r="HJ12" s="199" t="s">
        <v>2570</v>
      </c>
      <c r="HK12" s="198"/>
      <c r="HL12" s="198"/>
      <c r="HM12" s="199"/>
      <c r="HN12" s="198"/>
      <c r="HO12" s="198"/>
      <c r="HP12" s="198"/>
      <c r="HQ12" s="198"/>
      <c r="HR12" s="198"/>
      <c r="HS12" s="198"/>
      <c r="HT12" s="198"/>
      <c r="HU12" s="198"/>
      <c r="HV12" s="198"/>
      <c r="HW12" s="198"/>
      <c r="HX12" s="198"/>
      <c r="HY12" s="198"/>
      <c r="HZ12" s="198"/>
      <c r="IA12" s="445"/>
      <c r="IB12" s="198"/>
      <c r="IC12" s="198"/>
      <c r="ID12" s="198"/>
      <c r="IE12" s="198"/>
      <c r="IF12" s="198"/>
      <c r="IG12" s="198"/>
      <c r="IH12" s="198"/>
      <c r="II12" s="198"/>
      <c r="IJ12" s="198"/>
      <c r="IK12" s="198"/>
      <c r="IL12" s="198"/>
      <c r="IM12" s="198"/>
      <c r="IN12" s="748">
        <v>10</v>
      </c>
      <c r="IO12" s="2041"/>
      <c r="IP12" s="431" t="s">
        <v>389</v>
      </c>
      <c r="IQ12" s="216" t="s">
        <v>389</v>
      </c>
      <c r="IR12" s="554">
        <v>1</v>
      </c>
      <c r="IS12" s="552">
        <v>0</v>
      </c>
      <c r="IT12" s="211"/>
      <c r="IU12" s="445">
        <v>10</v>
      </c>
      <c r="IV12" s="211"/>
      <c r="IW12" s="211"/>
      <c r="IX12" s="198"/>
      <c r="IY12" s="256" t="str">
        <f>'1 Setup'!H17</f>
        <v>8.  Direct Entry Rates with Scaling Factor</v>
      </c>
      <c r="IZ12" s="198" t="s">
        <v>5</v>
      </c>
      <c r="JA12" s="198"/>
      <c r="JB12" s="198"/>
      <c r="JC12" s="198"/>
      <c r="JD12" s="198"/>
      <c r="JE12" s="198"/>
      <c r="JF12" s="198"/>
      <c r="JG12" s="198"/>
      <c r="JH12" s="198"/>
      <c r="JI12" s="198"/>
      <c r="JJ12" s="198"/>
      <c r="JK12" s="198"/>
      <c r="JL12" s="198"/>
      <c r="JM12" s="198"/>
      <c r="JN12" s="198"/>
      <c r="JO12" s="198"/>
      <c r="JP12" s="198"/>
      <c r="JQ12" s="198"/>
      <c r="JR12" s="198"/>
      <c r="JS12" s="198"/>
      <c r="JT12" s="198"/>
      <c r="JU12" s="198"/>
      <c r="JV12" s="198"/>
      <c r="JW12" s="198"/>
      <c r="JX12" s="198"/>
      <c r="JY12" s="198"/>
      <c r="JZ12" s="198"/>
      <c r="KA12" s="198"/>
      <c r="KB12" s="198"/>
      <c r="KC12" s="198"/>
      <c r="KD12" s="198"/>
      <c r="KE12" s="198"/>
      <c r="KF12" s="198"/>
      <c r="KG12" s="198"/>
      <c r="KH12" s="198"/>
      <c r="KI12" s="198"/>
      <c r="KJ12" s="198"/>
      <c r="KK12" s="198"/>
      <c r="KL12" s="198"/>
      <c r="KM12" s="198"/>
      <c r="KN12" s="198"/>
      <c r="KO12" s="198"/>
      <c r="KP12" s="198"/>
      <c r="KQ12" s="198"/>
      <c r="KR12" s="198"/>
      <c r="KS12" s="201" t="s">
        <v>2530</v>
      </c>
      <c r="KT12" s="198"/>
      <c r="KU12" s="198"/>
      <c r="KV12" s="198"/>
      <c r="KW12" s="198"/>
      <c r="KX12" s="198"/>
      <c r="KY12" s="198"/>
      <c r="KZ12" s="198"/>
      <c r="LA12" s="198"/>
      <c r="LB12" s="198"/>
      <c r="LC12" s="198"/>
      <c r="LD12" s="198"/>
      <c r="LE12" s="198"/>
      <c r="LF12" s="198"/>
      <c r="LG12" s="198"/>
      <c r="LH12" s="198"/>
      <c r="LI12" s="198"/>
      <c r="LJ12" s="198"/>
      <c r="LK12" s="198"/>
      <c r="LL12" s="198"/>
      <c r="LM12" s="198"/>
      <c r="LN12" s="198"/>
      <c r="LO12" s="198"/>
      <c r="LP12" s="198"/>
      <c r="LQ12" s="198"/>
      <c r="LR12" s="198"/>
      <c r="LS12" s="198"/>
      <c r="LT12" s="198"/>
      <c r="LU12" s="198"/>
      <c r="LV12" s="198"/>
      <c r="LW12" s="198"/>
      <c r="LX12" s="198"/>
      <c r="LY12" s="198"/>
      <c r="LZ12" s="198"/>
      <c r="MA12" s="198"/>
      <c r="MB12" s="198"/>
      <c r="MC12" s="198"/>
      <c r="MD12" s="198"/>
      <c r="ME12" s="198"/>
      <c r="MF12" s="198"/>
      <c r="MG12" s="198"/>
      <c r="MH12" s="198"/>
      <c r="MI12" s="198"/>
      <c r="MJ12" s="198"/>
      <c r="MK12" s="198"/>
      <c r="ML12" s="198"/>
      <c r="MM12" s="198"/>
      <c r="MN12" s="198"/>
      <c r="MO12" s="198"/>
      <c r="MP12" s="198"/>
      <c r="MQ12" s="198"/>
      <c r="MR12" s="198"/>
      <c r="MS12" s="198"/>
      <c r="MT12" s="198"/>
      <c r="MU12" s="198"/>
      <c r="MV12" s="198"/>
      <c r="MW12" s="198"/>
      <c r="MX12" s="198"/>
      <c r="MY12" s="198"/>
      <c r="MZ12" s="198"/>
      <c r="NA12" s="198"/>
      <c r="NB12" s="198"/>
      <c r="NC12" s="198"/>
      <c r="ND12" s="198"/>
      <c r="NE12" s="198"/>
      <c r="NF12" s="198"/>
      <c r="NG12" s="198"/>
      <c r="NH12" s="198"/>
      <c r="NI12" s="198"/>
      <c r="NJ12" s="198"/>
      <c r="NK12" s="198"/>
      <c r="NL12" s="198"/>
      <c r="NM12" s="198"/>
      <c r="NN12" s="198"/>
      <c r="NO12" s="198"/>
      <c r="NP12" s="198"/>
      <c r="NQ12" s="198"/>
    </row>
    <row r="13" spans="1:381" ht="13.8" hidden="1" x14ac:dyDescent="0.25">
      <c r="A13" s="198"/>
      <c r="B13" s="198"/>
      <c r="C13" s="198"/>
      <c r="D13" s="198"/>
      <c r="E13" s="1791" t="s">
        <v>1471</v>
      </c>
      <c r="F13" s="479"/>
      <c r="G13" s="198"/>
      <c r="H13" s="1447">
        <f ca="1">IFERROR(M13/N13,0)</f>
        <v>2.784878764968914</v>
      </c>
      <c r="I13" s="1447">
        <f ca="1">H13/(1+$Q$51)</f>
        <v>2.784878764968914</v>
      </c>
      <c r="J13" s="3245"/>
      <c r="K13" s="214"/>
      <c r="L13" s="1447">
        <f ca="1">I13</f>
        <v>2.784878764968914</v>
      </c>
      <c r="M13" s="809">
        <f ca="1">SUMIFS($DU$64:$DU$114,$GM$64:$GM$114,1)</f>
        <v>68492.781825000013</v>
      </c>
      <c r="N13" s="809">
        <f>SUMIFS($DW$64:$DW$114,$GM$64:$GM$114,1)</f>
        <v>24594.5291</v>
      </c>
      <c r="O13" s="1842">
        <f ca="1">M13/N13</f>
        <v>2.784878764968914</v>
      </c>
      <c r="P13" s="198"/>
      <c r="Q13" s="198"/>
      <c r="R13" s="198"/>
      <c r="S13" s="198"/>
      <c r="T13" s="198"/>
      <c r="U13" s="198"/>
      <c r="V13" s="198"/>
      <c r="W13" s="198"/>
      <c r="X13" s="198"/>
      <c r="Y13" s="198"/>
      <c r="Z13" s="198"/>
      <c r="AA13" s="198"/>
      <c r="AB13" s="198"/>
      <c r="AC13" s="198"/>
      <c r="AD13" s="198"/>
      <c r="AE13" s="198"/>
      <c r="AF13" s="198"/>
      <c r="AG13" s="198"/>
      <c r="AH13" s="198"/>
      <c r="AI13" s="198"/>
      <c r="AJ13" s="198"/>
      <c r="AK13" s="198"/>
      <c r="AL13" s="198"/>
      <c r="AM13" s="198"/>
      <c r="AN13" s="198"/>
      <c r="AO13" s="198"/>
      <c r="AP13" s="198"/>
      <c r="AQ13" s="198"/>
      <c r="AR13" s="198"/>
      <c r="AS13" s="198"/>
      <c r="AT13" s="198"/>
      <c r="AU13" s="198"/>
      <c r="AV13" s="198"/>
      <c r="AW13" s="198"/>
      <c r="AX13" s="198"/>
      <c r="AY13" s="198"/>
      <c r="AZ13" s="198"/>
      <c r="BA13" s="198"/>
      <c r="BB13" s="198"/>
      <c r="BC13" s="198"/>
      <c r="BD13" s="198"/>
      <c r="BE13" s="198"/>
      <c r="BF13" s="198"/>
      <c r="BG13" s="198"/>
      <c r="BH13" s="198"/>
      <c r="BI13" s="198"/>
      <c r="BJ13" s="198"/>
      <c r="BK13" s="198"/>
      <c r="BL13" s="198"/>
      <c r="BM13" s="198"/>
      <c r="BN13" s="198"/>
      <c r="BO13" s="198"/>
      <c r="BP13" s="198"/>
      <c r="BQ13" s="198"/>
      <c r="BR13" s="198"/>
      <c r="BS13" s="198"/>
      <c r="BT13" s="198"/>
      <c r="BU13" s="198"/>
      <c r="BV13" s="198"/>
      <c r="BW13" s="198"/>
      <c r="BX13" s="198"/>
      <c r="BY13" s="198"/>
      <c r="BZ13" s="198"/>
      <c r="CA13" s="198"/>
      <c r="CB13" s="198"/>
      <c r="CC13" s="198"/>
      <c r="CD13" s="198"/>
      <c r="CE13" s="198"/>
      <c r="CF13" s="198"/>
      <c r="CG13" s="198"/>
      <c r="CH13" s="198"/>
      <c r="CI13" s="198"/>
      <c r="CJ13" s="198"/>
      <c r="CK13" s="198"/>
      <c r="CL13" s="198"/>
      <c r="CM13" s="198"/>
      <c r="CN13" s="198"/>
      <c r="CO13" s="198"/>
      <c r="CP13" s="198"/>
      <c r="CQ13" s="198"/>
      <c r="CR13" s="198"/>
      <c r="CS13" s="198"/>
      <c r="CT13" s="198"/>
      <c r="CU13" s="198"/>
      <c r="CV13" s="198"/>
      <c r="CW13" s="198"/>
      <c r="CX13" s="198"/>
      <c r="CY13" s="198"/>
      <c r="CZ13" s="198"/>
      <c r="DA13" s="198"/>
      <c r="DB13" s="198"/>
      <c r="DC13" s="198"/>
      <c r="DD13" s="198"/>
      <c r="DE13" s="198"/>
      <c r="DF13" s="198"/>
      <c r="DG13" s="198"/>
      <c r="DH13" s="198"/>
      <c r="DI13" s="198"/>
      <c r="DJ13" s="198"/>
      <c r="DK13" s="198"/>
      <c r="DL13" s="198"/>
      <c r="DM13" s="198"/>
      <c r="DN13" s="198"/>
      <c r="DO13" s="198"/>
      <c r="DP13" s="198"/>
      <c r="DQ13" s="198"/>
      <c r="DR13" s="198"/>
      <c r="DS13" s="198"/>
      <c r="DT13" s="198"/>
      <c r="DU13" s="198"/>
      <c r="DV13" s="198"/>
      <c r="DW13" s="198"/>
      <c r="DX13" s="198"/>
      <c r="DY13" s="198"/>
      <c r="DZ13" s="198"/>
      <c r="EA13" s="198"/>
      <c r="EB13" s="198"/>
      <c r="EC13" s="198"/>
      <c r="ED13" s="198"/>
      <c r="EE13" s="198"/>
      <c r="EF13" s="198"/>
      <c r="EG13" s="198"/>
      <c r="EH13" s="198"/>
      <c r="EI13" s="198"/>
      <c r="EJ13" s="198"/>
      <c r="EK13" s="198"/>
      <c r="EL13" s="198"/>
      <c r="EM13" s="198"/>
      <c r="EN13" s="198"/>
      <c r="EO13" s="198"/>
      <c r="EP13" s="540"/>
      <c r="EQ13" s="540"/>
      <c r="ER13" s="540"/>
      <c r="ES13" s="540"/>
      <c r="ET13" s="540"/>
      <c r="EU13" s="540"/>
      <c r="EV13" s="540"/>
      <c r="EW13" s="198"/>
      <c r="EX13" s="198"/>
      <c r="EY13" s="198"/>
      <c r="EZ13" s="198"/>
      <c r="FA13" s="198"/>
      <c r="FB13" s="198"/>
      <c r="FC13" s="198"/>
      <c r="FD13" s="198"/>
      <c r="FE13" s="198"/>
      <c r="FF13" s="198"/>
      <c r="FG13" s="198"/>
      <c r="FH13" s="198"/>
      <c r="FI13" s="198"/>
      <c r="FJ13" s="198"/>
      <c r="FK13" s="198"/>
      <c r="FL13" s="198"/>
      <c r="FM13" s="198"/>
      <c r="FN13" s="198"/>
      <c r="FO13" s="198"/>
      <c r="FP13" s="198"/>
      <c r="FQ13" s="198"/>
      <c r="FR13" s="198"/>
      <c r="FS13" s="198"/>
      <c r="FT13" s="198"/>
      <c r="FU13" s="198"/>
      <c r="FV13" s="198"/>
      <c r="FW13" s="198"/>
      <c r="FX13" s="198"/>
      <c r="FY13" s="198"/>
      <c r="FZ13" s="198"/>
      <c r="GA13" s="198"/>
      <c r="GB13" s="198"/>
      <c r="GC13" s="198"/>
      <c r="GD13" s="198"/>
      <c r="GE13" s="198"/>
      <c r="GF13" s="198"/>
      <c r="GG13" s="198"/>
      <c r="GH13" s="198"/>
      <c r="GI13" s="198"/>
      <c r="GJ13" s="198"/>
      <c r="GK13" s="198"/>
      <c r="GL13" s="198"/>
      <c r="GM13" s="198"/>
      <c r="GN13" s="198"/>
      <c r="GO13" s="198"/>
      <c r="GP13" s="198"/>
      <c r="GQ13" s="198"/>
      <c r="GR13" s="198"/>
      <c r="GS13" s="198"/>
      <c r="GT13" s="198"/>
      <c r="GU13" s="198"/>
      <c r="GV13" s="198"/>
      <c r="GW13" s="198"/>
      <c r="GX13" s="198"/>
      <c r="GY13" s="198"/>
      <c r="GZ13" s="198"/>
      <c r="HA13" s="198"/>
      <c r="HB13" s="198"/>
      <c r="HC13" s="198"/>
      <c r="HD13" s="198"/>
      <c r="HE13" s="198"/>
      <c r="HF13" s="198"/>
      <c r="HG13" s="198"/>
      <c r="HH13" s="198"/>
      <c r="HI13" s="2068">
        <f>'3b Activity Plan'!W163*'4 Sign-off'!F18*HI11</f>
        <v>0</v>
      </c>
      <c r="HJ13" s="199" t="s">
        <v>2571</v>
      </c>
      <c r="HK13" s="198"/>
      <c r="HL13" s="198"/>
      <c r="HM13" s="198"/>
      <c r="HN13" s="198"/>
      <c r="HO13" s="198"/>
      <c r="HP13" s="198"/>
      <c r="HQ13" s="198"/>
      <c r="HR13" s="198"/>
      <c r="HS13" s="198"/>
      <c r="HT13" s="198"/>
      <c r="HU13" s="198"/>
      <c r="HV13" s="198"/>
      <c r="HW13" s="198"/>
      <c r="HX13" s="198"/>
      <c r="HY13" s="198"/>
      <c r="HZ13" s="198"/>
      <c r="IA13" s="445"/>
      <c r="IB13" s="198"/>
      <c r="IC13" s="198"/>
      <c r="ID13" s="198"/>
      <c r="IE13" s="198"/>
      <c r="IF13" s="198"/>
      <c r="IG13" s="198"/>
      <c r="IH13" s="216" t="s">
        <v>390</v>
      </c>
      <c r="II13" s="12">
        <f>COUNTIF(HX64:HX113,HX4)</f>
        <v>0</v>
      </c>
      <c r="IJ13" s="198"/>
      <c r="IK13" s="198"/>
      <c r="IL13" s="198"/>
      <c r="IM13" s="198"/>
      <c r="IN13" s="198"/>
      <c r="IO13" s="198"/>
      <c r="IP13" s="198"/>
      <c r="IQ13" s="198"/>
      <c r="IR13" s="211"/>
      <c r="IS13" s="211"/>
      <c r="IT13" s="211"/>
      <c r="IU13" s="211"/>
      <c r="IV13" s="211"/>
      <c r="IW13" s="211"/>
      <c r="IX13" s="198"/>
      <c r="IY13" s="256" t="str">
        <f>'1 Setup'!H18</f>
        <v>9.  Category Rates</v>
      </c>
      <c r="IZ13" s="198"/>
      <c r="JA13" s="198"/>
      <c r="JB13" s="198"/>
      <c r="JC13" s="198"/>
      <c r="JD13" s="198"/>
      <c r="JE13" s="198"/>
      <c r="JF13" s="198"/>
      <c r="JG13" s="198"/>
      <c r="JH13" s="198"/>
      <c r="JI13" s="198"/>
      <c r="JJ13" s="198"/>
      <c r="JK13" s="198"/>
      <c r="JL13" s="198"/>
      <c r="JM13" s="198"/>
      <c r="JN13" s="198"/>
      <c r="JO13" s="198"/>
      <c r="JP13" s="198"/>
      <c r="JQ13" s="198"/>
      <c r="JR13" s="198"/>
      <c r="JS13" s="198"/>
      <c r="JT13" s="198"/>
      <c r="JU13" s="198"/>
      <c r="JV13" s="198"/>
      <c r="JW13" s="198"/>
      <c r="JX13" s="198"/>
      <c r="JY13" s="198"/>
      <c r="JZ13" s="198"/>
      <c r="KA13" s="198"/>
      <c r="KB13" s="198"/>
      <c r="KC13" s="198"/>
      <c r="KD13" s="198"/>
      <c r="KE13" s="198"/>
      <c r="KF13" s="198"/>
      <c r="KG13" s="198"/>
      <c r="KH13" s="198"/>
      <c r="KI13" s="198"/>
      <c r="KJ13" s="198"/>
      <c r="KK13" s="198"/>
      <c r="KL13" s="198"/>
      <c r="KM13" s="198"/>
      <c r="KN13" s="198"/>
      <c r="KO13" s="198"/>
      <c r="KP13" s="198"/>
      <c r="KQ13" s="198"/>
      <c r="KR13" s="216" t="s">
        <v>475</v>
      </c>
      <c r="KS13" s="537">
        <f>'3a Staff Plan'!EB34</f>
        <v>0</v>
      </c>
      <c r="KT13" s="198"/>
      <c r="KU13" s="198"/>
      <c r="KV13" s="198"/>
      <c r="KW13" s="198"/>
      <c r="KX13" s="198"/>
      <c r="KY13" s="198"/>
      <c r="KZ13" s="198"/>
      <c r="LA13" s="198"/>
      <c r="LB13" s="198"/>
      <c r="LC13" s="198"/>
      <c r="LD13" s="198"/>
      <c r="LE13" s="198"/>
      <c r="LF13" s="198"/>
      <c r="LG13" s="198"/>
      <c r="LH13" s="198"/>
      <c r="LI13" s="198"/>
      <c r="LJ13" s="198"/>
      <c r="LK13" s="198"/>
      <c r="LL13" s="198"/>
      <c r="LM13" s="198"/>
      <c r="LN13" s="198"/>
      <c r="LO13" s="201" t="s">
        <v>2529</v>
      </c>
      <c r="LP13" s="198"/>
      <c r="LQ13" s="198"/>
      <c r="LR13" s="198"/>
      <c r="LS13" s="198"/>
      <c r="LT13" s="198"/>
      <c r="LU13" s="198"/>
      <c r="LV13" s="198"/>
      <c r="LW13" s="198"/>
      <c r="LX13" s="198"/>
      <c r="LY13" s="198"/>
      <c r="LZ13" s="198"/>
      <c r="MA13" s="198"/>
      <c r="MB13" s="198"/>
      <c r="MC13" s="198"/>
      <c r="MD13" s="198"/>
      <c r="ME13" s="198"/>
      <c r="MF13" s="198"/>
      <c r="MG13" s="198"/>
      <c r="MH13" s="198"/>
      <c r="MI13" s="198"/>
      <c r="MJ13" s="198"/>
      <c r="MK13" s="198"/>
      <c r="ML13" s="198"/>
      <c r="MM13" s="198"/>
      <c r="MN13" s="198"/>
      <c r="MO13" s="198"/>
      <c r="MP13" s="198"/>
      <c r="MQ13" s="198"/>
      <c r="MR13" s="198"/>
      <c r="MS13" s="198"/>
      <c r="MT13" s="198"/>
      <c r="MU13" s="198"/>
      <c r="MV13" s="198"/>
      <c r="MW13" s="198"/>
      <c r="MX13" s="198"/>
      <c r="MY13" s="198"/>
      <c r="MZ13" s="198"/>
      <c r="NA13" s="198"/>
      <c r="NB13" s="2710">
        <f>'4 Sign-off'!C14</f>
        <v>2</v>
      </c>
      <c r="NC13" s="198"/>
      <c r="ND13" s="256" t="s">
        <v>477</v>
      </c>
      <c r="NE13" s="198"/>
      <c r="NF13" s="198"/>
      <c r="NG13" s="198"/>
      <c r="NH13" s="198"/>
      <c r="NI13" s="198"/>
      <c r="NJ13" s="198"/>
      <c r="NK13" s="198"/>
      <c r="NL13" s="198"/>
      <c r="NM13" s="198"/>
      <c r="NN13" s="198"/>
      <c r="NO13" s="198"/>
      <c r="NP13" s="198"/>
      <c r="NQ13" s="198"/>
    </row>
    <row r="14" spans="1:381" hidden="1" thickBot="1" x14ac:dyDescent="0.3">
      <c r="A14" s="198"/>
      <c r="B14" s="198"/>
      <c r="C14" s="198"/>
      <c r="D14" s="198"/>
      <c r="E14" s="1791" t="s">
        <v>301</v>
      </c>
      <c r="F14" s="479"/>
      <c r="G14" s="198"/>
      <c r="H14" s="1447">
        <f>IFERROR(M14/N14,0)</f>
        <v>0</v>
      </c>
      <c r="I14" s="1447">
        <f>H14/(1+$Q$51)</f>
        <v>0</v>
      </c>
      <c r="J14" s="3245"/>
      <c r="K14" s="214"/>
      <c r="L14" s="1447">
        <f>I14</f>
        <v>0</v>
      </c>
      <c r="M14" s="809">
        <f>SUMIFS($DU$64:$DU$114,$IP$64:$IP$114,"Field",$GL$64:$GL$114,1)</f>
        <v>0</v>
      </c>
      <c r="N14" s="809">
        <f>SUMIFS($DW$64:$DW$114,$IP$64:$IP$114,"Field",$GL$64:$GL$114,1)</f>
        <v>0</v>
      </c>
      <c r="O14" s="1842" t="e">
        <f t="shared" ref="O14:O16" si="3">M14/N14</f>
        <v>#DIV/0!</v>
      </c>
      <c r="P14" s="198"/>
      <c r="Q14" s="198"/>
      <c r="R14" s="198"/>
      <c r="S14" s="198"/>
      <c r="T14" s="198"/>
      <c r="U14" s="198"/>
      <c r="V14" s="198"/>
      <c r="W14" s="198"/>
      <c r="X14" s="198"/>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c r="AU14" s="198"/>
      <c r="AV14" s="198"/>
      <c r="AW14" s="198"/>
      <c r="AX14" s="198"/>
      <c r="AY14" s="198"/>
      <c r="AZ14" s="198"/>
      <c r="BA14" s="198"/>
      <c r="BB14" s="198"/>
      <c r="BC14" s="198"/>
      <c r="BD14" s="198"/>
      <c r="BE14" s="198"/>
      <c r="BF14" s="198"/>
      <c r="BG14" s="198"/>
      <c r="BH14" s="198"/>
      <c r="BI14" s="198"/>
      <c r="BJ14" s="198"/>
      <c r="BK14" s="198"/>
      <c r="BL14" s="198"/>
      <c r="BM14" s="198"/>
      <c r="BN14" s="198"/>
      <c r="BO14" s="198"/>
      <c r="BP14" s="198"/>
      <c r="BQ14" s="198"/>
      <c r="BR14" s="198"/>
      <c r="BS14" s="198"/>
      <c r="BT14" s="198"/>
      <c r="BU14" s="198"/>
      <c r="BV14" s="198"/>
      <c r="BW14" s="198"/>
      <c r="BX14" s="198"/>
      <c r="BY14" s="198"/>
      <c r="BZ14" s="198"/>
      <c r="CA14" s="198"/>
      <c r="CB14" s="198"/>
      <c r="CC14" s="198"/>
      <c r="CD14" s="198"/>
      <c r="CE14" s="198"/>
      <c r="CF14" s="198"/>
      <c r="CG14" s="198"/>
      <c r="CH14" s="198"/>
      <c r="CI14" s="198"/>
      <c r="CJ14" s="198"/>
      <c r="CK14" s="198"/>
      <c r="CL14" s="198"/>
      <c r="CM14" s="198"/>
      <c r="CN14" s="198"/>
      <c r="CO14" s="198"/>
      <c r="CP14" s="198"/>
      <c r="CQ14" s="198"/>
      <c r="CR14" s="198"/>
      <c r="CS14" s="198"/>
      <c r="CT14" s="198"/>
      <c r="CU14" s="198"/>
      <c r="CV14" s="198"/>
      <c r="CW14" s="198"/>
      <c r="CX14" s="198"/>
      <c r="CY14" s="198"/>
      <c r="CZ14" s="198"/>
      <c r="DA14" s="198"/>
      <c r="DB14" s="198"/>
      <c r="DC14" s="198"/>
      <c r="DD14" s="198"/>
      <c r="DE14" s="198"/>
      <c r="DF14" s="198"/>
      <c r="DG14" s="198"/>
      <c r="DH14" s="198"/>
      <c r="DI14" s="198"/>
      <c r="DJ14" s="198"/>
      <c r="DK14" s="198"/>
      <c r="DL14" s="198"/>
      <c r="DM14" s="198"/>
      <c r="DN14" s="198"/>
      <c r="DO14" s="198"/>
      <c r="DP14" s="198"/>
      <c r="DQ14" s="198"/>
      <c r="DR14" s="198"/>
      <c r="DS14" s="198"/>
      <c r="DT14" s="198"/>
      <c r="DU14" s="198"/>
      <c r="DV14" s="198"/>
      <c r="DW14" s="198"/>
      <c r="DX14" s="198"/>
      <c r="DY14" s="198"/>
      <c r="DZ14" s="198"/>
      <c r="EA14" s="198"/>
      <c r="EB14" s="198"/>
      <c r="EC14" s="198"/>
      <c r="ED14" s="198"/>
      <c r="EE14" s="198"/>
      <c r="EF14" s="198"/>
      <c r="EG14" s="198"/>
      <c r="EH14" s="198"/>
      <c r="EI14" s="198"/>
      <c r="EJ14" s="198"/>
      <c r="EK14" s="198"/>
      <c r="EL14" s="198"/>
      <c r="EM14" s="198"/>
      <c r="EN14" s="198"/>
      <c r="EO14" s="198"/>
      <c r="EP14" s="540"/>
      <c r="EQ14" s="540"/>
      <c r="ER14" s="540"/>
      <c r="ES14" s="540"/>
      <c r="ET14" s="540"/>
      <c r="EU14" s="540"/>
      <c r="EV14" s="540"/>
      <c r="EW14" s="198"/>
      <c r="EX14" s="198"/>
      <c r="EY14" s="198"/>
      <c r="EZ14" s="198"/>
      <c r="FA14" s="198"/>
      <c r="FB14" s="198"/>
      <c r="FC14" s="198"/>
      <c r="FD14" s="198"/>
      <c r="FE14" s="198"/>
      <c r="FF14" s="198"/>
      <c r="FG14" s="198"/>
      <c r="FH14" s="198"/>
      <c r="FI14" s="198"/>
      <c r="FJ14" s="198"/>
      <c r="FK14" s="198"/>
      <c r="FL14" s="198"/>
      <c r="FM14" s="198"/>
      <c r="FN14" s="198"/>
      <c r="FO14" s="198"/>
      <c r="FP14" s="198"/>
      <c r="FQ14" s="198"/>
      <c r="FR14" s="198"/>
      <c r="FS14" s="198"/>
      <c r="FT14" s="198"/>
      <c r="FU14" s="198"/>
      <c r="FV14" s="198"/>
      <c r="FW14" s="198"/>
      <c r="FX14" s="198"/>
      <c r="FY14" s="198"/>
      <c r="FZ14" s="198"/>
      <c r="GA14" s="198"/>
      <c r="GB14" s="198"/>
      <c r="GC14" s="198"/>
      <c r="GD14" s="198"/>
      <c r="GE14" s="198"/>
      <c r="GF14" s="198"/>
      <c r="GG14" s="198"/>
      <c r="GH14" s="198"/>
      <c r="GI14" s="198"/>
      <c r="GJ14" s="198"/>
      <c r="GK14" s="198"/>
      <c r="GL14" s="198"/>
      <c r="GM14" s="198"/>
      <c r="GN14" s="198"/>
      <c r="GO14" s="198"/>
      <c r="GP14" s="198"/>
      <c r="GQ14" s="198"/>
      <c r="GR14" s="198"/>
      <c r="GS14" s="198"/>
      <c r="GT14" s="198"/>
      <c r="GU14" s="198"/>
      <c r="GV14" s="198"/>
      <c r="GW14" s="198"/>
      <c r="GX14" s="198"/>
      <c r="GY14" s="198"/>
      <c r="GZ14" s="198"/>
      <c r="HA14" s="198"/>
      <c r="HB14" s="198"/>
      <c r="HC14" s="198"/>
      <c r="HD14" s="198"/>
      <c r="HE14" s="198"/>
      <c r="HF14" s="198"/>
      <c r="HG14" s="198"/>
      <c r="HH14" s="198"/>
      <c r="HI14" s="198"/>
      <c r="HJ14" s="199"/>
      <c r="HK14" s="198"/>
      <c r="HL14" s="198"/>
      <c r="HM14" s="199"/>
      <c r="HN14" s="198"/>
      <c r="HO14" s="198"/>
      <c r="HP14" s="198"/>
      <c r="HQ14" s="198"/>
      <c r="HR14" s="198"/>
      <c r="HS14" s="198"/>
      <c r="HT14" s="198"/>
      <c r="HU14" s="198"/>
      <c r="HV14" s="198"/>
      <c r="HW14" s="198"/>
      <c r="HX14" s="198"/>
      <c r="HY14" s="198"/>
      <c r="HZ14" s="198"/>
      <c r="IA14" s="445"/>
      <c r="IB14" s="198"/>
      <c r="IC14" s="198"/>
      <c r="ID14" s="198"/>
      <c r="IE14" s="198"/>
      <c r="IF14" s="198"/>
      <c r="IG14" s="198"/>
      <c r="IH14" s="198"/>
      <c r="II14" s="198"/>
      <c r="IJ14" s="198"/>
      <c r="IK14" s="198"/>
      <c r="IL14" s="198"/>
      <c r="IM14" s="198"/>
      <c r="IN14" s="198"/>
      <c r="IO14" s="198"/>
      <c r="IP14" s="198"/>
      <c r="IQ14" s="198"/>
      <c r="IR14" s="198"/>
      <c r="IS14" s="199"/>
      <c r="IT14" s="211"/>
      <c r="IU14" s="211"/>
      <c r="IV14" s="211"/>
      <c r="IW14" s="211"/>
      <c r="IX14" s="198"/>
      <c r="IY14" s="256" t="str">
        <f>'1 Setup'!H19</f>
        <v>10.  Category Rates with Scaling Factor</v>
      </c>
      <c r="IZ14" s="198"/>
      <c r="JA14" s="198"/>
      <c r="JB14" s="198"/>
      <c r="JC14" s="198"/>
      <c r="JD14" s="198"/>
      <c r="JE14" s="198"/>
      <c r="JF14" s="198"/>
      <c r="JG14" s="198"/>
      <c r="JH14" s="198"/>
      <c r="JI14" s="198"/>
      <c r="JJ14" s="198"/>
      <c r="JK14" s="198"/>
      <c r="JL14" s="198"/>
      <c r="JM14" s="198"/>
      <c r="JN14" s="198"/>
      <c r="JO14" s="198"/>
      <c r="JP14" s="198"/>
      <c r="JQ14" s="198"/>
      <c r="JR14" s="198"/>
      <c r="JS14" s="198"/>
      <c r="JT14" s="198"/>
      <c r="JU14" s="198"/>
      <c r="JV14" s="198"/>
      <c r="JW14" s="198"/>
      <c r="JX14" s="198"/>
      <c r="JY14" s="198"/>
      <c r="JZ14" s="198"/>
      <c r="KA14" s="198"/>
      <c r="KB14" s="198"/>
      <c r="KC14" s="198"/>
      <c r="KD14" s="198"/>
      <c r="KE14" s="198"/>
      <c r="KF14" s="198"/>
      <c r="KG14" s="198"/>
      <c r="KH14" s="198"/>
      <c r="KI14" s="198"/>
      <c r="KJ14" s="198"/>
      <c r="KK14" s="198"/>
      <c r="KL14" s="198"/>
      <c r="KM14" s="198"/>
      <c r="KN14" s="198"/>
      <c r="KO14" s="198"/>
      <c r="KP14" s="198"/>
      <c r="KQ14" s="198"/>
      <c r="KR14" s="216" t="s">
        <v>611</v>
      </c>
      <c r="KS14" s="2138">
        <f>'3b Activity Plan'!GO42</f>
        <v>1</v>
      </c>
      <c r="KT14" s="198"/>
      <c r="KU14" s="198"/>
      <c r="KV14" s="198"/>
      <c r="KW14" s="198"/>
      <c r="KX14" s="198"/>
      <c r="KY14" s="198"/>
      <c r="KZ14" s="198"/>
      <c r="LA14" s="198"/>
      <c r="LB14" s="198"/>
      <c r="LC14" s="198"/>
      <c r="LD14" s="198"/>
      <c r="LE14" s="198"/>
      <c r="LF14" s="198"/>
      <c r="LG14" s="198"/>
      <c r="LH14" s="198"/>
      <c r="LI14" s="198"/>
      <c r="LJ14" s="198"/>
      <c r="LK14" s="198"/>
      <c r="LL14" s="198"/>
      <c r="LM14" s="198"/>
      <c r="LN14" s="216" t="s">
        <v>475</v>
      </c>
      <c r="LO14" s="537">
        <f>'3a Staff Plan'!EB33</f>
        <v>0</v>
      </c>
      <c r="LP14" s="198"/>
      <c r="LQ14" s="198"/>
      <c r="LR14" s="198"/>
      <c r="LS14" s="198"/>
      <c r="LT14" s="198"/>
      <c r="LU14" s="198"/>
      <c r="LV14" s="198"/>
      <c r="LW14" s="198"/>
      <c r="LX14" s="198"/>
      <c r="LY14" s="198"/>
      <c r="LZ14" s="198"/>
      <c r="MA14" s="198"/>
      <c r="MB14" s="198"/>
      <c r="MC14" s="198"/>
      <c r="MD14" s="198"/>
      <c r="ME14" s="198"/>
      <c r="MF14" s="198"/>
      <c r="MG14" s="198"/>
      <c r="MH14" s="198"/>
      <c r="MI14" s="198"/>
      <c r="MJ14" s="198"/>
      <c r="MK14" s="198"/>
      <c r="ML14" s="198"/>
      <c r="MM14" s="198"/>
      <c r="MN14" s="198"/>
      <c r="MO14" s="198"/>
      <c r="MP14" s="198"/>
      <c r="MQ14" s="198"/>
      <c r="MR14" s="198"/>
      <c r="MS14" s="198"/>
      <c r="MT14" s="198"/>
      <c r="MU14" s="198"/>
      <c r="MV14" s="198"/>
      <c r="MW14" s="198"/>
      <c r="MX14" s="198"/>
      <c r="MY14" s="198"/>
      <c r="MZ14" s="198"/>
      <c r="NA14" s="198"/>
      <c r="NB14" s="198"/>
      <c r="NC14" s="198"/>
      <c r="ND14" s="256" t="s">
        <v>2525</v>
      </c>
      <c r="NE14" s="198"/>
      <c r="NF14" s="198"/>
      <c r="NG14" s="198"/>
      <c r="NH14" s="198"/>
      <c r="NI14" s="198"/>
      <c r="NJ14" s="198"/>
      <c r="NK14" s="198"/>
      <c r="NL14" s="198"/>
      <c r="NM14" s="198"/>
      <c r="NN14" s="198"/>
      <c r="NO14" s="198"/>
      <c r="NP14" s="198"/>
      <c r="NQ14" s="198"/>
    </row>
    <row r="15" spans="1:381" hidden="1" thickBot="1" x14ac:dyDescent="0.3">
      <c r="A15" s="198"/>
      <c r="B15" s="198"/>
      <c r="C15" s="198"/>
      <c r="D15" s="198"/>
      <c r="E15" s="1791" t="s">
        <v>332</v>
      </c>
      <c r="F15" s="479"/>
      <c r="G15" s="198"/>
      <c r="H15" s="1447">
        <f>IFERROR(M15/N15,0)</f>
        <v>0</v>
      </c>
      <c r="I15" s="1447">
        <f>H15/(1+$Q$51)</f>
        <v>0</v>
      </c>
      <c r="J15" s="3245"/>
      <c r="K15" s="214"/>
      <c r="L15" s="1447">
        <f>I15</f>
        <v>0</v>
      </c>
      <c r="M15" s="809">
        <f>SUMIFS($DU$64:$DU$114,$IP$64:$IP$114,"Jobshopper",$GL$64:$GL$114,1)</f>
        <v>0</v>
      </c>
      <c r="N15" s="809">
        <f>SUMIFS($DW$64:$DW$114,$IP$64:$IP$114,"Jobshopper",$GL$64:$GL$114,1)</f>
        <v>0</v>
      </c>
      <c r="O15" s="1842" t="e">
        <f t="shared" si="3"/>
        <v>#DIV/0!</v>
      </c>
      <c r="P15" s="198"/>
      <c r="Q15" s="198"/>
      <c r="R15" s="198"/>
      <c r="S15" s="198"/>
      <c r="T15" s="198"/>
      <c r="U15" s="198"/>
      <c r="V15" s="198"/>
      <c r="W15" s="198"/>
      <c r="X15" s="198"/>
      <c r="Y15" s="198"/>
      <c r="Z15" s="198"/>
      <c r="AA15" s="198"/>
      <c r="AB15" s="198"/>
      <c r="AC15" s="198"/>
      <c r="AD15" s="198"/>
      <c r="AE15" s="198"/>
      <c r="AF15" s="198"/>
      <c r="AG15" s="198"/>
      <c r="AH15" s="198"/>
      <c r="AI15" s="198"/>
      <c r="AJ15" s="198"/>
      <c r="AK15" s="198"/>
      <c r="AL15" s="198"/>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K15" s="198"/>
      <c r="BL15" s="198"/>
      <c r="BM15" s="198"/>
      <c r="BN15" s="198"/>
      <c r="BO15" s="198"/>
      <c r="BP15" s="198"/>
      <c r="BQ15" s="198"/>
      <c r="BR15" s="198"/>
      <c r="BS15" s="198"/>
      <c r="BT15" s="198"/>
      <c r="BU15" s="198"/>
      <c r="BV15" s="198"/>
      <c r="BW15" s="198"/>
      <c r="BX15" s="198"/>
      <c r="BY15" s="198"/>
      <c r="BZ15" s="198"/>
      <c r="CA15" s="198"/>
      <c r="CB15" s="198"/>
      <c r="CC15" s="198"/>
      <c r="CD15" s="198"/>
      <c r="CE15" s="198"/>
      <c r="CF15" s="198"/>
      <c r="CG15" s="198"/>
      <c r="CH15" s="198"/>
      <c r="CI15" s="198"/>
      <c r="CJ15" s="198"/>
      <c r="CK15" s="198"/>
      <c r="CL15" s="198"/>
      <c r="CM15" s="198"/>
      <c r="CN15" s="198"/>
      <c r="CO15" s="198"/>
      <c r="CP15" s="198"/>
      <c r="CQ15" s="198"/>
      <c r="CR15" s="198"/>
      <c r="CS15" s="198"/>
      <c r="CT15" s="198"/>
      <c r="CU15" s="198"/>
      <c r="CV15" s="198"/>
      <c r="CW15" s="198"/>
      <c r="CX15" s="198"/>
      <c r="CY15" s="198"/>
      <c r="CZ15" s="198"/>
      <c r="DA15" s="198"/>
      <c r="DB15" s="198"/>
      <c r="DC15" s="198"/>
      <c r="DD15" s="198"/>
      <c r="DE15" s="198"/>
      <c r="DF15" s="198"/>
      <c r="DG15" s="198"/>
      <c r="DH15" s="198"/>
      <c r="DI15" s="198"/>
      <c r="DJ15" s="198"/>
      <c r="DK15" s="198"/>
      <c r="DL15" s="198"/>
      <c r="DM15" s="198"/>
      <c r="DN15" s="198"/>
      <c r="DO15" s="198"/>
      <c r="DP15" s="198"/>
      <c r="DQ15" s="198"/>
      <c r="DR15" s="198"/>
      <c r="DS15" s="198"/>
      <c r="DT15" s="198"/>
      <c r="DU15" s="198"/>
      <c r="DV15" s="198"/>
      <c r="DW15" s="198"/>
      <c r="DX15" s="198"/>
      <c r="DY15" s="198"/>
      <c r="DZ15" s="198"/>
      <c r="EA15" s="198"/>
      <c r="EB15" s="198"/>
      <c r="EC15" s="198"/>
      <c r="ED15" s="198"/>
      <c r="EE15" s="198"/>
      <c r="EF15" s="198"/>
      <c r="EG15" s="198"/>
      <c r="EH15" s="198"/>
      <c r="EI15" s="198"/>
      <c r="EJ15" s="198"/>
      <c r="EK15" s="198"/>
      <c r="EL15" s="198"/>
      <c r="EM15" s="198"/>
      <c r="EN15" s="198"/>
      <c r="EO15" s="198"/>
      <c r="EP15" s="540"/>
      <c r="EQ15" s="540"/>
      <c r="ER15" s="540"/>
      <c r="ES15" s="540"/>
      <c r="ET15" s="540"/>
      <c r="EU15" s="540"/>
      <c r="EV15" s="540"/>
      <c r="EW15" s="198"/>
      <c r="EX15" s="198"/>
      <c r="EY15" s="198"/>
      <c r="EZ15" s="198"/>
      <c r="FA15" s="198"/>
      <c r="FB15" s="198"/>
      <c r="FC15" s="198"/>
      <c r="FD15" s="198"/>
      <c r="FE15" s="198"/>
      <c r="FF15" s="198"/>
      <c r="FG15" s="198"/>
      <c r="FH15" s="198"/>
      <c r="FI15" s="198"/>
      <c r="FJ15" s="198"/>
      <c r="FK15" s="198"/>
      <c r="FL15" s="198"/>
      <c r="FM15" s="198"/>
      <c r="FN15" s="198"/>
      <c r="FO15" s="198"/>
      <c r="FP15" s="198"/>
      <c r="FQ15" s="198"/>
      <c r="FR15" s="198"/>
      <c r="FS15" s="198"/>
      <c r="FT15" s="198"/>
      <c r="FU15" s="198"/>
      <c r="FV15" s="198"/>
      <c r="FW15" s="198"/>
      <c r="FX15" s="198"/>
      <c r="FY15" s="198"/>
      <c r="FZ15" s="198"/>
      <c r="GA15" s="198"/>
      <c r="GB15" s="198"/>
      <c r="GC15" s="198"/>
      <c r="GD15" s="198"/>
      <c r="GE15" s="198"/>
      <c r="GF15" s="198"/>
      <c r="GG15" s="198"/>
      <c r="GH15" s="198"/>
      <c r="GI15" s="198"/>
      <c r="GJ15" s="198"/>
      <c r="GK15" s="198"/>
      <c r="GL15" s="198"/>
      <c r="GM15" s="198"/>
      <c r="GN15" s="198"/>
      <c r="GO15" s="198"/>
      <c r="GP15" s="198"/>
      <c r="GQ15" s="198"/>
      <c r="GR15" s="198"/>
      <c r="GS15" s="198"/>
      <c r="GT15" s="198"/>
      <c r="GU15" s="198"/>
      <c r="GV15" s="198"/>
      <c r="GW15" s="198"/>
      <c r="GX15" s="198"/>
      <c r="GY15" s="198"/>
      <c r="GZ15" s="198"/>
      <c r="HA15" s="198"/>
      <c r="HB15" s="198"/>
      <c r="HC15" s="198"/>
      <c r="HD15" s="198"/>
      <c r="HE15" s="198"/>
      <c r="HF15" s="198"/>
      <c r="HG15" s="198"/>
      <c r="HH15" s="198"/>
      <c r="HI15" s="198"/>
      <c r="HJ15" s="199"/>
      <c r="HK15" s="198"/>
      <c r="HL15" s="198"/>
      <c r="HM15" s="198"/>
      <c r="HN15" s="198"/>
      <c r="HO15" s="198"/>
      <c r="HP15" s="198"/>
      <c r="HQ15" s="198"/>
      <c r="HR15" s="198"/>
      <c r="HS15" s="198"/>
      <c r="HT15" s="198"/>
      <c r="HU15" s="198"/>
      <c r="HV15" s="198"/>
      <c r="HW15" s="198"/>
      <c r="HX15" s="198"/>
      <c r="HY15" s="198"/>
      <c r="HZ15" s="198"/>
      <c r="IA15" s="445"/>
      <c r="IB15" s="198"/>
      <c r="IC15" s="198"/>
      <c r="ID15" s="198"/>
      <c r="IE15" s="198"/>
      <c r="IF15" s="198"/>
      <c r="IG15" s="198"/>
      <c r="IH15" s="198"/>
      <c r="II15" s="198"/>
      <c r="IJ15" s="198"/>
      <c r="IK15" s="198"/>
      <c r="IL15" s="198"/>
      <c r="IM15" s="198"/>
      <c r="IN15" s="198"/>
      <c r="IO15" s="198"/>
      <c r="IP15" s="198"/>
      <c r="IQ15" s="198"/>
      <c r="IR15" s="198"/>
      <c r="IS15" s="199"/>
      <c r="IT15" s="199"/>
      <c r="IU15" s="198"/>
      <c r="IV15" s="198"/>
      <c r="IW15" s="198"/>
      <c r="IX15" s="198"/>
      <c r="IY15" s="256" t="s">
        <v>319</v>
      </c>
      <c r="IZ15" s="198"/>
      <c r="JA15" s="198"/>
      <c r="JB15" s="198"/>
      <c r="JC15" s="198"/>
      <c r="JD15" s="198"/>
      <c r="JE15" s="198"/>
      <c r="JF15" s="198"/>
      <c r="JG15" s="198"/>
      <c r="JH15" s="198"/>
      <c r="JI15" s="198"/>
      <c r="JJ15" s="198"/>
      <c r="JK15" s="198"/>
      <c r="JL15" s="198"/>
      <c r="JM15" s="198"/>
      <c r="JN15" s="198"/>
      <c r="JO15" s="198"/>
      <c r="JP15" s="198"/>
      <c r="JQ15" s="198"/>
      <c r="JR15" s="198"/>
      <c r="JS15" s="198"/>
      <c r="JT15" s="198"/>
      <c r="JU15" s="198"/>
      <c r="JV15" s="198"/>
      <c r="JW15" s="198"/>
      <c r="JX15" s="198"/>
      <c r="JY15" s="198"/>
      <c r="JZ15" s="198"/>
      <c r="KA15" s="198"/>
      <c r="KB15" s="198"/>
      <c r="KC15" s="198"/>
      <c r="KD15" s="198"/>
      <c r="KE15" s="198"/>
      <c r="KF15" s="198"/>
      <c r="KG15" s="198"/>
      <c r="KH15" s="198"/>
      <c r="KI15" s="198"/>
      <c r="KJ15" s="198"/>
      <c r="KK15" s="198"/>
      <c r="KL15" s="198"/>
      <c r="KM15" s="198"/>
      <c r="KN15" s="198"/>
      <c r="KO15" s="198"/>
      <c r="KP15" s="198"/>
      <c r="KQ15" s="198"/>
      <c r="KR15" s="216" t="s">
        <v>1516</v>
      </c>
      <c r="KS15" s="2139">
        <f>CHOOSE('1 Setup'!$L$2,MAX(KS13:KS14),KS13,KS14)</f>
        <v>1</v>
      </c>
      <c r="KT15" s="198"/>
      <c r="KU15" s="198"/>
      <c r="KV15" s="198"/>
      <c r="KW15" s="198"/>
      <c r="KX15" s="198"/>
      <c r="KY15" s="198"/>
      <c r="KZ15" s="198"/>
      <c r="LA15" s="198"/>
      <c r="LB15" s="198"/>
      <c r="LC15" s="198"/>
      <c r="LD15" s="198"/>
      <c r="LE15" s="198"/>
      <c r="LF15" s="198"/>
      <c r="LG15" s="198"/>
      <c r="LH15" s="198"/>
      <c r="LI15" s="198"/>
      <c r="LJ15" s="198"/>
      <c r="LK15" s="198"/>
      <c r="LL15" s="198"/>
      <c r="LM15" s="198"/>
      <c r="LN15" s="216" t="s">
        <v>611</v>
      </c>
      <c r="LO15" s="2138">
        <f>'3b Activity Plan'!GO41</f>
        <v>1</v>
      </c>
      <c r="LP15" s="198"/>
      <c r="LQ15" s="198"/>
      <c r="LR15" s="198"/>
      <c r="LS15" s="198"/>
      <c r="LT15" s="198"/>
      <c r="LU15" s="198"/>
      <c r="LV15" s="198"/>
      <c r="LW15" s="198"/>
      <c r="LX15" s="198"/>
      <c r="LY15" s="198"/>
      <c r="LZ15" s="198"/>
      <c r="MA15" s="198"/>
      <c r="MB15" s="198"/>
      <c r="MC15" s="198"/>
      <c r="MD15" s="198"/>
      <c r="ME15" s="198"/>
      <c r="MF15" s="198"/>
      <c r="MG15" s="198"/>
      <c r="MH15" s="198"/>
      <c r="MI15" s="198"/>
      <c r="MJ15" s="198"/>
      <c r="MK15" s="198"/>
      <c r="ML15" s="198"/>
      <c r="MM15" s="198"/>
      <c r="MN15" s="198"/>
      <c r="MO15" s="198"/>
      <c r="MP15" s="198"/>
      <c r="MQ15" s="198"/>
      <c r="MR15" s="198"/>
      <c r="MS15" s="198"/>
      <c r="MT15" s="198"/>
      <c r="MU15" s="198"/>
      <c r="MV15" s="198"/>
      <c r="MW15" s="198"/>
      <c r="MX15" s="198"/>
      <c r="MY15" s="198"/>
      <c r="MZ15" s="198"/>
      <c r="NA15" s="198"/>
      <c r="NB15" s="198"/>
      <c r="NC15" s="198"/>
      <c r="ND15" s="198"/>
      <c r="NE15" s="198"/>
      <c r="NF15" s="198"/>
      <c r="NG15" s="198"/>
      <c r="NH15" s="198"/>
      <c r="NI15" s="198"/>
      <c r="NJ15" s="198"/>
      <c r="NK15" s="198"/>
      <c r="NL15" s="198"/>
      <c r="NM15" s="198"/>
      <c r="NN15" s="198"/>
      <c r="NO15" s="198"/>
      <c r="NP15" s="198"/>
      <c r="NQ15" s="198"/>
    </row>
    <row r="16" spans="1:381" hidden="1" thickBot="1" x14ac:dyDescent="0.3">
      <c r="A16" s="198"/>
      <c r="B16" s="198"/>
      <c r="C16" s="198"/>
      <c r="D16" s="198"/>
      <c r="E16" s="1791" t="s">
        <v>109</v>
      </c>
      <c r="F16" s="479"/>
      <c r="G16" s="198"/>
      <c r="H16" s="1447">
        <f>IFERROR(M16/N16,0)</f>
        <v>0</v>
      </c>
      <c r="I16" s="1447">
        <f>H16/(1+$Q$51)</f>
        <v>0</v>
      </c>
      <c r="J16" s="3245"/>
      <c r="K16" s="214"/>
      <c r="L16" s="1447">
        <f>I16</f>
        <v>0</v>
      </c>
      <c r="M16" s="809">
        <f>SUMIFS($DU$64:$DU$114,$IP$64:$IP$114,"LBO",$GL$64:$GL$114,1)</f>
        <v>0</v>
      </c>
      <c r="N16" s="809">
        <f>SUMIFS($DW$64:$DW$114,$IP$64:$IP$114,"LBO",$GL$64:$GL$114,1)</f>
        <v>0</v>
      </c>
      <c r="O16" s="1842" t="e">
        <f t="shared" si="3"/>
        <v>#DIV/0!</v>
      </c>
      <c r="P16" s="198"/>
      <c r="Q16" s="198"/>
      <c r="R16" s="198"/>
      <c r="S16" s="198"/>
      <c r="T16" s="198"/>
      <c r="U16" s="198"/>
      <c r="V16" s="198"/>
      <c r="W16" s="198"/>
      <c r="X16" s="198"/>
      <c r="Y16" s="198"/>
      <c r="Z16" s="198"/>
      <c r="AA16" s="198"/>
      <c r="AB16" s="198"/>
      <c r="AC16" s="198"/>
      <c r="AD16" s="198"/>
      <c r="AE16" s="198"/>
      <c r="AF16" s="198"/>
      <c r="AG16" s="198"/>
      <c r="AH16" s="198"/>
      <c r="AI16" s="198"/>
      <c r="AJ16" s="198"/>
      <c r="AK16" s="198"/>
      <c r="AL16" s="198"/>
      <c r="AM16" s="198"/>
      <c r="AN16" s="198"/>
      <c r="AO16" s="198"/>
      <c r="AP16" s="198"/>
      <c r="AQ16" s="198"/>
      <c r="AR16" s="198"/>
      <c r="AS16" s="198"/>
      <c r="AT16" s="198"/>
      <c r="AU16" s="198"/>
      <c r="AV16" s="198"/>
      <c r="AW16" s="198"/>
      <c r="AX16" s="198"/>
      <c r="AY16" s="198"/>
      <c r="AZ16" s="198"/>
      <c r="BA16" s="198"/>
      <c r="BB16" s="198"/>
      <c r="BC16" s="198"/>
      <c r="BD16" s="198"/>
      <c r="BE16" s="198"/>
      <c r="BF16" s="198"/>
      <c r="BG16" s="198"/>
      <c r="BH16" s="198"/>
      <c r="BI16" s="198"/>
      <c r="BJ16" s="198"/>
      <c r="BK16" s="198"/>
      <c r="BL16" s="198"/>
      <c r="BM16" s="198"/>
      <c r="BN16" s="198"/>
      <c r="BO16" s="198"/>
      <c r="BP16" s="198"/>
      <c r="BQ16" s="198"/>
      <c r="BR16" s="198"/>
      <c r="BS16" s="198"/>
      <c r="BT16" s="198"/>
      <c r="BU16" s="198"/>
      <c r="BV16" s="198"/>
      <c r="BW16" s="198"/>
      <c r="BX16" s="198"/>
      <c r="BY16" s="198"/>
      <c r="BZ16" s="198"/>
      <c r="CA16" s="198"/>
      <c r="CB16" s="198"/>
      <c r="CC16" s="198"/>
      <c r="CD16" s="198"/>
      <c r="CE16" s="198"/>
      <c r="CF16" s="198"/>
      <c r="CG16" s="198"/>
      <c r="CH16" s="198"/>
      <c r="CI16" s="198"/>
      <c r="CJ16" s="198"/>
      <c r="CK16" s="198"/>
      <c r="CL16" s="198"/>
      <c r="CM16" s="198"/>
      <c r="CN16" s="198"/>
      <c r="CO16" s="198"/>
      <c r="CP16" s="198"/>
      <c r="CQ16" s="198"/>
      <c r="CR16" s="198"/>
      <c r="CS16" s="198"/>
      <c r="CT16" s="198"/>
      <c r="CU16" s="198"/>
      <c r="CV16" s="198"/>
      <c r="CW16" s="198"/>
      <c r="CX16" s="198"/>
      <c r="CY16" s="198"/>
      <c r="CZ16" s="198"/>
      <c r="DA16" s="198"/>
      <c r="DB16" s="198"/>
      <c r="DC16" s="198"/>
      <c r="DD16" s="198"/>
      <c r="DE16" s="198"/>
      <c r="DF16" s="198"/>
      <c r="DG16" s="198"/>
      <c r="DH16" s="198"/>
      <c r="DI16" s="198"/>
      <c r="DJ16" s="198"/>
      <c r="DK16" s="198"/>
      <c r="DL16" s="198"/>
      <c r="DM16" s="198"/>
      <c r="DN16" s="198"/>
      <c r="DO16" s="198"/>
      <c r="DP16" s="198"/>
      <c r="DQ16" s="198"/>
      <c r="DR16" s="198"/>
      <c r="DS16" s="198"/>
      <c r="DT16" s="198"/>
      <c r="DU16" s="198"/>
      <c r="DV16" s="198"/>
      <c r="DW16" s="198"/>
      <c r="DX16" s="198"/>
      <c r="DY16" s="198"/>
      <c r="DZ16" s="198"/>
      <c r="EA16" s="198"/>
      <c r="EB16" s="198"/>
      <c r="EC16" s="198"/>
      <c r="ED16" s="198"/>
      <c r="EE16" s="198"/>
      <c r="EF16" s="198"/>
      <c r="EG16" s="198"/>
      <c r="EH16" s="198"/>
      <c r="EI16" s="198"/>
      <c r="EJ16" s="198"/>
      <c r="EK16" s="198"/>
      <c r="EL16" s="198"/>
      <c r="EM16" s="198"/>
      <c r="EN16" s="198"/>
      <c r="EO16" s="198"/>
      <c r="EP16" s="540"/>
      <c r="EQ16" s="540"/>
      <c r="ER16" s="540"/>
      <c r="ES16" s="540"/>
      <c r="ET16" s="540"/>
      <c r="EU16" s="540"/>
      <c r="EV16" s="540"/>
      <c r="EW16" s="198"/>
      <c r="EX16" s="198"/>
      <c r="EY16" s="198"/>
      <c r="EZ16" s="198"/>
      <c r="FA16" s="198"/>
      <c r="FB16" s="198"/>
      <c r="FC16" s="198"/>
      <c r="FD16" s="198"/>
      <c r="FE16" s="198"/>
      <c r="FF16" s="198"/>
      <c r="FG16" s="198"/>
      <c r="FH16" s="198"/>
      <c r="FI16" s="198"/>
      <c r="FJ16" s="198"/>
      <c r="FK16" s="198"/>
      <c r="FL16" s="198"/>
      <c r="FM16" s="198"/>
      <c r="FN16" s="198"/>
      <c r="FO16" s="198"/>
      <c r="FP16" s="198"/>
      <c r="FQ16" s="198"/>
      <c r="FR16" s="198"/>
      <c r="FS16" s="198"/>
      <c r="FT16" s="198"/>
      <c r="FU16" s="198"/>
      <c r="FV16" s="198"/>
      <c r="FW16" s="198"/>
      <c r="FX16" s="198"/>
      <c r="FY16" s="198"/>
      <c r="FZ16" s="198"/>
      <c r="GA16" s="198"/>
      <c r="GB16" s="198"/>
      <c r="GC16" s="198"/>
      <c r="GD16" s="198"/>
      <c r="GE16" s="198"/>
      <c r="GF16" s="198"/>
      <c r="GG16" s="198"/>
      <c r="GH16" s="198"/>
      <c r="GI16" s="198"/>
      <c r="GJ16" s="198"/>
      <c r="GK16" s="198"/>
      <c r="GL16" s="198"/>
      <c r="GM16" s="198"/>
      <c r="GN16" s="198"/>
      <c r="GO16" s="198"/>
      <c r="GP16" s="198"/>
      <c r="GQ16" s="198"/>
      <c r="GR16" s="198"/>
      <c r="GS16" s="198"/>
      <c r="GT16" s="198"/>
      <c r="GU16" s="198"/>
      <c r="GV16" s="198"/>
      <c r="GW16" s="198"/>
      <c r="GX16" s="198"/>
      <c r="GY16" s="198"/>
      <c r="GZ16" s="198"/>
      <c r="HA16" s="198"/>
      <c r="HB16" s="198"/>
      <c r="HC16" s="198"/>
      <c r="HD16" s="198"/>
      <c r="HE16" s="198"/>
      <c r="HF16" s="198"/>
      <c r="HG16" s="198"/>
      <c r="HH16" s="198"/>
      <c r="HI16" s="198"/>
      <c r="HJ16" s="198"/>
      <c r="HK16" s="198"/>
      <c r="HL16" s="198"/>
      <c r="HM16" s="198"/>
      <c r="HN16" s="198"/>
      <c r="HO16" s="198"/>
      <c r="HP16" s="198"/>
      <c r="HQ16" s="198"/>
      <c r="HR16" s="198"/>
      <c r="HS16" s="198"/>
      <c r="HT16" s="198"/>
      <c r="HU16" s="198"/>
      <c r="HV16" s="198"/>
      <c r="HW16" s="198"/>
      <c r="HX16" s="198"/>
      <c r="HY16" s="198"/>
      <c r="HZ16" s="198"/>
      <c r="IA16" s="445"/>
      <c r="IB16" s="198"/>
      <c r="IC16" s="198"/>
      <c r="ID16" s="198"/>
      <c r="IE16" s="198"/>
      <c r="IF16" s="198"/>
      <c r="IG16" s="198"/>
      <c r="IH16" s="198"/>
      <c r="II16" s="198"/>
      <c r="IJ16" s="198"/>
      <c r="IK16" s="198"/>
      <c r="IL16" s="198"/>
      <c r="IM16" s="198"/>
      <c r="IN16" s="198"/>
      <c r="IO16" s="198"/>
      <c r="IP16" s="198"/>
      <c r="IQ16" s="198"/>
      <c r="IR16" s="198"/>
      <c r="IS16" s="199"/>
      <c r="IT16" s="199"/>
      <c r="IU16" s="214" t="s">
        <v>3363</v>
      </c>
      <c r="IV16" s="198"/>
      <c r="IW16" s="198"/>
      <c r="IX16" s="198"/>
      <c r="IY16" s="198"/>
      <c r="IZ16" s="198" t="s">
        <v>5</v>
      </c>
      <c r="JA16" s="198"/>
      <c r="JB16" s="198"/>
      <c r="JC16" s="198"/>
      <c r="JD16" s="198"/>
      <c r="JE16" s="198"/>
      <c r="JF16" s="198"/>
      <c r="JG16" s="198"/>
      <c r="JH16" s="198"/>
      <c r="JI16" s="198"/>
      <c r="JJ16" s="198"/>
      <c r="JK16" s="198"/>
      <c r="JL16" s="198"/>
      <c r="JM16" s="198"/>
      <c r="JN16" s="198"/>
      <c r="JO16" s="198"/>
      <c r="JP16" s="198"/>
      <c r="JQ16" s="198"/>
      <c r="JR16" s="198"/>
      <c r="JS16" s="198"/>
      <c r="JT16" s="198"/>
      <c r="JU16" s="198"/>
      <c r="JV16" s="198"/>
      <c r="JW16" s="198"/>
      <c r="JX16" s="198"/>
      <c r="JY16" s="198"/>
      <c r="JZ16" s="198"/>
      <c r="KA16" s="198"/>
      <c r="KB16" s="198"/>
      <c r="KC16" s="198"/>
      <c r="KD16" s="198"/>
      <c r="KE16" s="198"/>
      <c r="KF16" s="198"/>
      <c r="KG16" s="198"/>
      <c r="KH16" s="198"/>
      <c r="KI16" s="198"/>
      <c r="KJ16" s="198"/>
      <c r="KK16" s="198"/>
      <c r="KL16" s="198"/>
      <c r="KM16" s="198"/>
      <c r="KN16" s="198"/>
      <c r="KO16" s="198"/>
      <c r="KP16" s="198"/>
      <c r="KQ16" s="198"/>
      <c r="KR16" s="198"/>
      <c r="KS16" s="198"/>
      <c r="KT16" s="198"/>
      <c r="KU16" s="198"/>
      <c r="KV16" s="198"/>
      <c r="KW16" s="198"/>
      <c r="KX16" s="198"/>
      <c r="KY16" s="198"/>
      <c r="KZ16" s="198"/>
      <c r="LA16" s="198"/>
      <c r="LB16" s="198"/>
      <c r="LC16" s="198"/>
      <c r="LD16" s="198"/>
      <c r="LE16" s="198"/>
      <c r="LF16" s="198"/>
      <c r="LG16" s="198"/>
      <c r="LH16" s="198"/>
      <c r="LI16" s="198"/>
      <c r="LJ16" s="198"/>
      <c r="LK16" s="198"/>
      <c r="LL16" s="198"/>
      <c r="LM16" s="198"/>
      <c r="LN16" s="216" t="s">
        <v>1516</v>
      </c>
      <c r="LO16" s="2139">
        <f>CHOOSE('1 Setup'!$L$2,MAX(LO14:LO15),LO14,LO15)</f>
        <v>1</v>
      </c>
      <c r="LP16" s="198"/>
      <c r="LQ16" s="198"/>
      <c r="LR16" s="198"/>
      <c r="LS16" s="198"/>
      <c r="LT16" s="198"/>
      <c r="LU16" s="198"/>
      <c r="LV16" s="198"/>
      <c r="LW16" s="198"/>
      <c r="LX16" s="198"/>
      <c r="LY16" s="198"/>
      <c r="LZ16" s="198"/>
      <c r="MA16" s="198"/>
      <c r="MB16" s="198"/>
      <c r="MC16" s="198"/>
      <c r="MD16" s="198"/>
      <c r="ME16" s="198"/>
      <c r="MF16" s="198"/>
      <c r="MG16" s="198"/>
      <c r="MH16" s="198"/>
      <c r="MI16" s="198"/>
      <c r="MJ16" s="198"/>
      <c r="MK16" s="198"/>
      <c r="ML16" s="198"/>
      <c r="MM16" s="198"/>
      <c r="MN16" s="198"/>
      <c r="MO16" s="198"/>
      <c r="MP16" s="198"/>
      <c r="MQ16" s="198"/>
      <c r="MR16" s="198"/>
      <c r="MS16" s="198"/>
      <c r="MT16" s="198"/>
      <c r="MU16" s="198"/>
      <c r="MV16" s="198"/>
      <c r="MW16" s="198"/>
      <c r="MX16" s="198"/>
      <c r="MY16" s="198"/>
      <c r="MZ16" s="198"/>
      <c r="NA16" s="198"/>
      <c r="NB16" s="198"/>
      <c r="NC16" s="198"/>
      <c r="ND16" s="198"/>
      <c r="NE16" s="198"/>
      <c r="NF16" s="198"/>
      <c r="NG16" s="198"/>
      <c r="NH16" s="198"/>
      <c r="NI16" s="198"/>
      <c r="NJ16" s="198"/>
      <c r="NK16" s="198"/>
      <c r="NL16" s="198"/>
      <c r="NM16" s="198"/>
      <c r="NN16" s="198"/>
      <c r="NO16" s="198"/>
      <c r="NP16" s="198"/>
      <c r="NQ16" s="198"/>
    </row>
    <row r="17" spans="1:381" hidden="1" thickBot="1" x14ac:dyDescent="0.3">
      <c r="A17" s="198"/>
      <c r="B17" s="198"/>
      <c r="C17" s="198"/>
      <c r="D17" s="198"/>
      <c r="E17" s="198"/>
      <c r="F17" s="198"/>
      <c r="G17" s="198"/>
      <c r="H17" s="198"/>
      <c r="I17" s="198"/>
      <c r="J17" s="198"/>
      <c r="K17" s="198"/>
      <c r="L17" s="198"/>
      <c r="M17" s="198"/>
      <c r="N17" s="198"/>
      <c r="O17" s="198"/>
      <c r="P17" s="198"/>
      <c r="Q17" s="198"/>
      <c r="R17" s="198"/>
      <c r="S17" s="198"/>
      <c r="T17" s="198"/>
      <c r="U17" s="198"/>
      <c r="V17" s="198"/>
      <c r="W17" s="198"/>
      <c r="X17" s="198"/>
      <c r="Y17" s="198"/>
      <c r="Z17" s="198"/>
      <c r="AA17" s="198"/>
      <c r="AB17" s="198"/>
      <c r="AC17" s="198"/>
      <c r="AD17" s="198"/>
      <c r="AE17" s="198"/>
      <c r="AF17" s="198"/>
      <c r="AG17" s="198"/>
      <c r="AH17" s="198"/>
      <c r="AI17" s="198"/>
      <c r="AJ17" s="198"/>
      <c r="AK17" s="198"/>
      <c r="AL17" s="198"/>
      <c r="AM17" s="198"/>
      <c r="AN17" s="198"/>
      <c r="AO17" s="198"/>
      <c r="AP17" s="198"/>
      <c r="AQ17" s="198"/>
      <c r="AR17" s="198"/>
      <c r="AS17" s="198"/>
      <c r="AT17" s="198"/>
      <c r="AU17" s="198"/>
      <c r="AV17" s="198"/>
      <c r="AW17" s="198"/>
      <c r="AX17" s="198"/>
      <c r="AY17" s="198"/>
      <c r="AZ17" s="198"/>
      <c r="BA17" s="198"/>
      <c r="BB17" s="198"/>
      <c r="BC17" s="198"/>
      <c r="BD17" s="198"/>
      <c r="BE17" s="198"/>
      <c r="BF17" s="198"/>
      <c r="BG17" s="198"/>
      <c r="BH17" s="198"/>
      <c r="BI17" s="198"/>
      <c r="BJ17" s="198"/>
      <c r="BK17" s="198"/>
      <c r="BL17" s="198"/>
      <c r="BM17" s="198"/>
      <c r="BN17" s="198"/>
      <c r="BO17" s="198"/>
      <c r="BP17" s="198"/>
      <c r="BQ17" s="198"/>
      <c r="BR17" s="198"/>
      <c r="BS17" s="198"/>
      <c r="BT17" s="198"/>
      <c r="BU17" s="198"/>
      <c r="BV17" s="198"/>
      <c r="BW17" s="198"/>
      <c r="BX17" s="198"/>
      <c r="BY17" s="198"/>
      <c r="BZ17" s="198"/>
      <c r="CA17" s="198"/>
      <c r="CB17" s="198"/>
      <c r="CC17" s="198"/>
      <c r="CD17" s="198"/>
      <c r="CE17" s="198"/>
      <c r="CF17" s="198"/>
      <c r="CG17" s="198"/>
      <c r="CH17" s="198"/>
      <c r="CI17" s="198"/>
      <c r="CJ17" s="198"/>
      <c r="CK17" s="198"/>
      <c r="CL17" s="198"/>
      <c r="CM17" s="198"/>
      <c r="CN17" s="198"/>
      <c r="CO17" s="198"/>
      <c r="CP17" s="198"/>
      <c r="CQ17" s="198"/>
      <c r="CR17" s="198"/>
      <c r="CS17" s="198"/>
      <c r="CT17" s="198"/>
      <c r="CU17" s="198"/>
      <c r="CV17" s="198"/>
      <c r="CW17" s="198"/>
      <c r="CX17" s="198"/>
      <c r="CY17" s="198"/>
      <c r="CZ17" s="198"/>
      <c r="DA17" s="198"/>
      <c r="DB17" s="198"/>
      <c r="DC17" s="198"/>
      <c r="DD17" s="198"/>
      <c r="DE17" s="198"/>
      <c r="DF17" s="198"/>
      <c r="DG17" s="198"/>
      <c r="DH17" s="198"/>
      <c r="DI17" s="198"/>
      <c r="DJ17" s="198"/>
      <c r="DK17" s="198"/>
      <c r="DL17" s="198"/>
      <c r="DM17" s="198"/>
      <c r="DN17" s="198"/>
      <c r="DO17" s="198"/>
      <c r="DP17" s="198"/>
      <c r="DQ17" s="198"/>
      <c r="DR17" s="198"/>
      <c r="DS17" s="198"/>
      <c r="DT17" s="198"/>
      <c r="DU17" s="198"/>
      <c r="DV17" s="198"/>
      <c r="DW17" s="198"/>
      <c r="DX17" s="198"/>
      <c r="DY17" s="198"/>
      <c r="DZ17" s="198"/>
      <c r="EA17" s="198"/>
      <c r="EB17" s="198"/>
      <c r="EC17" s="198"/>
      <c r="ED17" s="198"/>
      <c r="EE17" s="198"/>
      <c r="EF17" s="198"/>
      <c r="EG17" s="198"/>
      <c r="EH17" s="198"/>
      <c r="EI17" s="198"/>
      <c r="EJ17" s="198"/>
      <c r="EK17" s="198"/>
      <c r="EL17" s="198"/>
      <c r="EM17" s="198"/>
      <c r="EN17" s="198"/>
      <c r="EO17" s="198"/>
      <c r="EP17" s="540"/>
      <c r="EQ17" s="540"/>
      <c r="ER17" s="540"/>
      <c r="ES17" s="540"/>
      <c r="ET17" s="540"/>
      <c r="EU17" s="540"/>
      <c r="EV17" s="540"/>
      <c r="EW17" s="198"/>
      <c r="EX17" s="198"/>
      <c r="EY17" s="198"/>
      <c r="EZ17" s="198"/>
      <c r="FA17" s="198"/>
      <c r="FB17" s="198"/>
      <c r="FC17" s="198"/>
      <c r="FD17" s="198"/>
      <c r="FE17" s="198"/>
      <c r="FF17" s="198"/>
      <c r="FG17" s="198"/>
      <c r="FH17" s="198"/>
      <c r="FI17" s="198"/>
      <c r="FJ17" s="198"/>
      <c r="FK17" s="198"/>
      <c r="FL17" s="198"/>
      <c r="FM17" s="198"/>
      <c r="FN17" s="198"/>
      <c r="FO17" s="198"/>
      <c r="FP17" s="198"/>
      <c r="FQ17" s="198"/>
      <c r="FR17" s="198"/>
      <c r="FS17" s="198"/>
      <c r="FT17" s="198"/>
      <c r="FU17" s="198"/>
      <c r="FV17" s="198"/>
      <c r="FW17" s="198"/>
      <c r="FX17" s="198"/>
      <c r="FY17" s="198"/>
      <c r="FZ17" s="198"/>
      <c r="GA17" s="198"/>
      <c r="GB17" s="198"/>
      <c r="GC17" s="198"/>
      <c r="GD17" s="198"/>
      <c r="GE17" s="198"/>
      <c r="GF17" s="198"/>
      <c r="GG17" s="198"/>
      <c r="GH17" s="198"/>
      <c r="GI17" s="198"/>
      <c r="GJ17" s="198"/>
      <c r="GK17" s="198"/>
      <c r="GL17" s="198"/>
      <c r="GM17" s="198"/>
      <c r="GN17" s="198"/>
      <c r="GO17" s="198"/>
      <c r="GP17" s="198"/>
      <c r="GQ17" s="198"/>
      <c r="GR17" s="198"/>
      <c r="GS17" s="198"/>
      <c r="GT17" s="198"/>
      <c r="GU17" s="198"/>
      <c r="GV17" s="198"/>
      <c r="GW17" s="198"/>
      <c r="GX17" s="198"/>
      <c r="GY17" s="198"/>
      <c r="GZ17" s="198"/>
      <c r="HA17" s="198"/>
      <c r="HB17" s="198"/>
      <c r="HC17" s="198"/>
      <c r="HD17" s="198"/>
      <c r="HE17" s="198"/>
      <c r="HF17" s="198"/>
      <c r="HG17" s="198"/>
      <c r="HH17" s="198"/>
      <c r="HI17" s="238" t="str">
        <f>'1 Setup'!I60</f>
        <v>GBP</v>
      </c>
      <c r="HJ17" s="199" t="s">
        <v>168</v>
      </c>
      <c r="HK17" s="198"/>
      <c r="HL17" s="198"/>
      <c r="HM17" s="198"/>
      <c r="HN17" s="198"/>
      <c r="HO17" s="198"/>
      <c r="HP17" s="198"/>
      <c r="HQ17" s="198"/>
      <c r="HR17" s="198"/>
      <c r="HS17" s="198"/>
      <c r="HT17" s="198"/>
      <c r="HU17" s="198"/>
      <c r="HV17" s="198"/>
      <c r="HW17" s="198"/>
      <c r="HX17" s="198"/>
      <c r="HY17" s="198"/>
      <c r="HZ17" s="198"/>
      <c r="IA17" s="445"/>
      <c r="IB17" s="198"/>
      <c r="IC17" s="198"/>
      <c r="ID17" s="198"/>
      <c r="IE17" s="198"/>
      <c r="IF17" s="198"/>
      <c r="IG17" s="198"/>
      <c r="IH17" s="198"/>
      <c r="II17" s="198"/>
      <c r="IJ17" s="198"/>
      <c r="IK17" s="198"/>
      <c r="IL17" s="198"/>
      <c r="IM17" s="198"/>
      <c r="IN17" s="198"/>
      <c r="IO17" s="198"/>
      <c r="IP17" s="198"/>
      <c r="IQ17" s="198"/>
      <c r="IR17" s="198"/>
      <c r="IS17" s="199"/>
      <c r="IT17" s="199"/>
      <c r="IU17" s="256" t="s">
        <v>2797</v>
      </c>
      <c r="IV17" s="198" t="s">
        <v>5</v>
      </c>
      <c r="IW17" s="198"/>
      <c r="IX17" s="198"/>
      <c r="IY17" s="256" t="s">
        <v>1647</v>
      </c>
      <c r="IZ17" s="198" t="s">
        <v>5</v>
      </c>
      <c r="JA17" s="198"/>
      <c r="JB17" s="198"/>
      <c r="JC17" s="198"/>
      <c r="JD17" s="198"/>
      <c r="JE17" s="198"/>
      <c r="JF17" s="198"/>
      <c r="JG17" s="198"/>
      <c r="JH17" s="198"/>
      <c r="JI17" s="198"/>
      <c r="JJ17" s="198"/>
      <c r="JK17" s="198"/>
      <c r="JL17" s="198"/>
      <c r="JM17" s="198"/>
      <c r="JN17" s="198"/>
      <c r="JO17" s="198"/>
      <c r="JP17" s="198"/>
      <c r="JQ17" s="198"/>
      <c r="JR17" s="198"/>
      <c r="JS17" s="198"/>
      <c r="JT17" s="198"/>
      <c r="JU17" s="198"/>
      <c r="JV17" s="198"/>
      <c r="JW17" s="198"/>
      <c r="JX17" s="198"/>
      <c r="JY17" s="198"/>
      <c r="JZ17" s="198"/>
      <c r="KA17" s="198"/>
      <c r="KB17" s="198"/>
      <c r="KC17" s="198"/>
      <c r="KD17" s="198"/>
      <c r="KE17" s="198"/>
      <c r="KF17" s="198"/>
      <c r="KG17" s="198"/>
      <c r="KH17" s="198"/>
      <c r="KI17" s="198"/>
      <c r="KJ17" s="198"/>
      <c r="KK17" s="198"/>
      <c r="KL17" s="198"/>
      <c r="KM17" s="198"/>
      <c r="KN17" s="198"/>
      <c r="KO17" s="198"/>
      <c r="KP17" s="198"/>
      <c r="KQ17" s="198"/>
      <c r="KR17" s="216" t="s">
        <v>2532</v>
      </c>
      <c r="KS17" s="537">
        <v>1</v>
      </c>
      <c r="KT17" s="537">
        <v>2</v>
      </c>
      <c r="KU17" s="537">
        <v>3</v>
      </c>
      <c r="KV17" s="537">
        <v>4</v>
      </c>
      <c r="KW17" s="537">
        <v>5</v>
      </c>
      <c r="KX17" s="537">
        <v>6</v>
      </c>
      <c r="KY17" s="537">
        <v>7</v>
      </c>
      <c r="KZ17" s="537">
        <v>8</v>
      </c>
      <c r="LA17" s="537">
        <v>9</v>
      </c>
      <c r="LB17" s="537">
        <v>10</v>
      </c>
      <c r="LC17" s="198"/>
      <c r="LD17" s="198"/>
      <c r="LE17" s="198"/>
      <c r="LF17" s="198"/>
      <c r="LG17" s="198"/>
      <c r="LH17" s="198"/>
      <c r="LI17" s="198"/>
      <c r="LJ17" s="198"/>
      <c r="LK17" s="198"/>
      <c r="LL17" s="198"/>
      <c r="LM17" s="198"/>
      <c r="LN17" s="216" t="s">
        <v>2532</v>
      </c>
      <c r="LO17" s="537">
        <v>1</v>
      </c>
      <c r="LP17" s="537">
        <v>2</v>
      </c>
      <c r="LQ17" s="537">
        <v>3</v>
      </c>
      <c r="LR17" s="537">
        <v>4</v>
      </c>
      <c r="LS17" s="537">
        <v>5</v>
      </c>
      <c r="LT17" s="537">
        <v>6</v>
      </c>
      <c r="LU17" s="537">
        <v>7</v>
      </c>
      <c r="LV17" s="537">
        <v>8</v>
      </c>
      <c r="LW17" s="537">
        <v>9</v>
      </c>
      <c r="LX17" s="537">
        <v>10</v>
      </c>
      <c r="LY17" s="198"/>
      <c r="LZ17" s="198"/>
      <c r="MA17" s="198"/>
      <c r="MB17" s="198"/>
      <c r="MC17" s="198"/>
      <c r="MD17" s="198"/>
      <c r="ME17" s="198"/>
      <c r="MF17" s="198"/>
      <c r="MG17" s="198"/>
      <c r="MH17" s="198"/>
      <c r="MI17" s="198"/>
      <c r="MJ17" s="198"/>
      <c r="MK17" s="198"/>
      <c r="ML17" s="198"/>
      <c r="MM17" s="198"/>
      <c r="MN17" s="198"/>
      <c r="MO17" s="198"/>
      <c r="MP17" s="198"/>
      <c r="MQ17" s="198"/>
      <c r="MR17" s="198"/>
      <c r="MS17" s="198"/>
      <c r="MT17" s="198"/>
      <c r="MU17" s="198"/>
      <c r="MV17" s="198"/>
      <c r="MW17" s="198"/>
      <c r="MX17" s="198"/>
      <c r="MY17" s="198"/>
      <c r="MZ17" s="198"/>
      <c r="NA17" s="198"/>
      <c r="NB17" s="198"/>
      <c r="NC17" s="198"/>
      <c r="ND17" s="198"/>
      <c r="NE17" s="198"/>
      <c r="NF17" s="198"/>
      <c r="NG17" s="198"/>
      <c r="NH17" s="198"/>
      <c r="NI17" s="198"/>
      <c r="NJ17" s="198"/>
      <c r="NK17" s="198"/>
      <c r="NL17" s="198"/>
      <c r="NM17" s="198"/>
      <c r="NN17" s="198"/>
      <c r="NO17" s="198"/>
      <c r="NP17" s="198"/>
      <c r="NQ17" s="198"/>
    </row>
    <row r="18" spans="1:381" s="272" customFormat="1" ht="13.8" hidden="1" x14ac:dyDescent="0.25">
      <c r="A18" s="198"/>
      <c r="B18" s="198"/>
      <c r="C18" s="198"/>
      <c r="D18" s="198"/>
      <c r="E18" s="198"/>
      <c r="F18" s="198"/>
      <c r="G18" s="198"/>
      <c r="H18" s="198"/>
      <c r="I18" s="198"/>
      <c r="J18" s="198"/>
      <c r="K18" s="198"/>
      <c r="L18" s="198"/>
      <c r="M18" s="198"/>
      <c r="N18" s="198"/>
      <c r="O18" s="198"/>
      <c r="P18" s="198"/>
      <c r="Q18" s="198"/>
      <c r="R18" s="198"/>
      <c r="S18" s="198"/>
      <c r="T18" s="198"/>
      <c r="U18" s="198"/>
      <c r="V18" s="198"/>
      <c r="W18" s="198"/>
      <c r="X18" s="198"/>
      <c r="Y18" s="198"/>
      <c r="Z18" s="198"/>
      <c r="AA18" s="198"/>
      <c r="AB18" s="198"/>
      <c r="AC18" s="198"/>
      <c r="AD18" s="198"/>
      <c r="AE18" s="198"/>
      <c r="AF18" s="198"/>
      <c r="AG18" s="198"/>
      <c r="AH18" s="198"/>
      <c r="AI18" s="198"/>
      <c r="AJ18" s="198"/>
      <c r="AK18" s="198"/>
      <c r="AL18" s="198"/>
      <c r="AM18" s="198"/>
      <c r="AN18" s="198"/>
      <c r="AO18" s="198"/>
      <c r="AP18" s="198"/>
      <c r="AQ18" s="198"/>
      <c r="AR18" s="198"/>
      <c r="AS18" s="198"/>
      <c r="AT18" s="198"/>
      <c r="AU18" s="198"/>
      <c r="AV18" s="198"/>
      <c r="AW18" s="198"/>
      <c r="AX18" s="198"/>
      <c r="AY18" s="198"/>
      <c r="AZ18" s="198"/>
      <c r="BA18" s="198"/>
      <c r="BB18" s="198"/>
      <c r="BC18" s="198"/>
      <c r="BD18" s="198"/>
      <c r="BE18" s="198"/>
      <c r="BF18" s="198"/>
      <c r="BG18" s="198"/>
      <c r="BH18" s="198"/>
      <c r="BI18" s="198"/>
      <c r="BJ18" s="198"/>
      <c r="BK18" s="198"/>
      <c r="BL18" s="198"/>
      <c r="BM18" s="198"/>
      <c r="BN18" s="198"/>
      <c r="BO18" s="198"/>
      <c r="BP18" s="198"/>
      <c r="BQ18" s="198"/>
      <c r="BR18" s="198"/>
      <c r="BS18" s="198"/>
      <c r="BT18" s="198"/>
      <c r="BU18" s="198"/>
      <c r="BV18" s="198"/>
      <c r="BW18" s="198"/>
      <c r="BX18" s="198"/>
      <c r="BY18" s="198"/>
      <c r="BZ18" s="198"/>
      <c r="CA18" s="198"/>
      <c r="CB18" s="198"/>
      <c r="CC18" s="198"/>
      <c r="CD18" s="198"/>
      <c r="CE18" s="198"/>
      <c r="CF18" s="198"/>
      <c r="CG18" s="198"/>
      <c r="CH18" s="198"/>
      <c r="CI18" s="198"/>
      <c r="CJ18" s="198"/>
      <c r="CK18" s="198"/>
      <c r="CL18" s="198"/>
      <c r="CM18" s="198"/>
      <c r="CN18" s="198"/>
      <c r="CO18" s="198"/>
      <c r="CP18" s="198"/>
      <c r="CQ18" s="198"/>
      <c r="CR18" s="198"/>
      <c r="CS18" s="198"/>
      <c r="CT18" s="198"/>
      <c r="CU18" s="198"/>
      <c r="CV18" s="198"/>
      <c r="CW18" s="198"/>
      <c r="CX18" s="198"/>
      <c r="CY18" s="198"/>
      <c r="CZ18" s="198"/>
      <c r="DA18" s="198"/>
      <c r="DB18" s="198"/>
      <c r="DC18" s="198"/>
      <c r="DD18" s="198"/>
      <c r="DE18" s="198"/>
      <c r="DF18" s="198"/>
      <c r="DG18" s="198"/>
      <c r="DH18" s="198"/>
      <c r="DI18" s="198"/>
      <c r="DJ18" s="198"/>
      <c r="DK18" s="198"/>
      <c r="DL18" s="198"/>
      <c r="DM18" s="198"/>
      <c r="DN18" s="198"/>
      <c r="DO18" s="198"/>
      <c r="DP18" s="198"/>
      <c r="DQ18" s="198"/>
      <c r="DR18" s="198"/>
      <c r="DS18" s="198"/>
      <c r="DT18" s="198"/>
      <c r="DU18" s="198"/>
      <c r="DV18" s="198"/>
      <c r="DW18" s="198"/>
      <c r="DX18" s="198"/>
      <c r="DY18" s="198"/>
      <c r="DZ18" s="198"/>
      <c r="EA18" s="198"/>
      <c r="EB18" s="198"/>
      <c r="EC18" s="198"/>
      <c r="ED18" s="198"/>
      <c r="EE18" s="198"/>
      <c r="EF18" s="198"/>
      <c r="EG18" s="198"/>
      <c r="EH18" s="198"/>
      <c r="EI18" s="198"/>
      <c r="EJ18" s="198"/>
      <c r="EK18" s="198"/>
      <c r="EL18" s="198"/>
      <c r="EM18" s="198"/>
      <c r="EN18" s="198"/>
      <c r="EO18" s="198"/>
      <c r="EP18" s="540"/>
      <c r="EQ18" s="540"/>
      <c r="ER18" s="540"/>
      <c r="ES18" s="540"/>
      <c r="ET18" s="540"/>
      <c r="EU18" s="540"/>
      <c r="EV18" s="540"/>
      <c r="EW18" s="198"/>
      <c r="EX18" s="198"/>
      <c r="EY18" s="198"/>
      <c r="EZ18" s="198"/>
      <c r="FA18" s="198"/>
      <c r="FB18" s="198"/>
      <c r="FC18" s="198"/>
      <c r="FD18" s="198"/>
      <c r="FE18" s="198"/>
      <c r="FF18" s="198"/>
      <c r="FG18" s="198"/>
      <c r="FH18" s="198"/>
      <c r="FI18" s="198"/>
      <c r="FJ18" s="198"/>
      <c r="FK18" s="198"/>
      <c r="FL18" s="198"/>
      <c r="FM18" s="198"/>
      <c r="FN18" s="198"/>
      <c r="FO18" s="198"/>
      <c r="FP18" s="198"/>
      <c r="FQ18" s="198"/>
      <c r="FR18" s="198"/>
      <c r="FS18" s="198"/>
      <c r="FT18" s="198"/>
      <c r="FU18" s="198"/>
      <c r="FV18" s="198"/>
      <c r="FW18" s="198"/>
      <c r="FX18" s="198"/>
      <c r="FY18" s="198"/>
      <c r="FZ18" s="198"/>
      <c r="GA18" s="198"/>
      <c r="GB18" s="198"/>
      <c r="GC18" s="198"/>
      <c r="GD18" s="198"/>
      <c r="GE18" s="198"/>
      <c r="GF18" s="198"/>
      <c r="GG18" s="198"/>
      <c r="GH18" s="198"/>
      <c r="GI18" s="198"/>
      <c r="GJ18" s="198"/>
      <c r="GK18" s="198"/>
      <c r="GL18" s="198"/>
      <c r="GM18" s="198"/>
      <c r="GN18" s="198"/>
      <c r="GO18" s="198"/>
      <c r="GP18" s="198"/>
      <c r="GQ18" s="198"/>
      <c r="GR18" s="198"/>
      <c r="GS18" s="198"/>
      <c r="GT18" s="198"/>
      <c r="GU18" s="198"/>
      <c r="GV18" s="198"/>
      <c r="GW18" s="198"/>
      <c r="GX18" s="198"/>
      <c r="GY18" s="198"/>
      <c r="GZ18" s="198"/>
      <c r="HA18" s="198"/>
      <c r="HB18" s="198"/>
      <c r="HC18" s="198"/>
      <c r="HD18" s="198"/>
      <c r="HE18" s="3252" t="s">
        <v>4183</v>
      </c>
      <c r="HF18" s="198"/>
      <c r="HG18" s="1544">
        <f ca="1">HG60+HG43+HG38+HG39+HG40</f>
        <v>73862.781825000013</v>
      </c>
      <c r="HH18" s="198"/>
      <c r="HI18" s="499" t="s">
        <v>2</v>
      </c>
      <c r="HJ18" s="198"/>
      <c r="HK18" s="198"/>
      <c r="HL18" s="198"/>
      <c r="HM18" s="198"/>
      <c r="HN18" s="198"/>
      <c r="HO18" s="198"/>
      <c r="HP18" s="198"/>
      <c r="HQ18" s="198"/>
      <c r="HR18" s="198"/>
      <c r="HS18" s="198"/>
      <c r="HT18" s="198"/>
      <c r="HU18" s="198"/>
      <c r="HV18" s="198"/>
      <c r="HW18" s="198"/>
      <c r="HX18" s="198"/>
      <c r="HY18" s="198"/>
      <c r="HZ18" s="198"/>
      <c r="IA18" s="445"/>
      <c r="IB18" s="198"/>
      <c r="IC18" s="198"/>
      <c r="ID18" s="198"/>
      <c r="IE18" s="198"/>
      <c r="IF18" s="198"/>
      <c r="IG18" s="198"/>
      <c r="IH18" s="198"/>
      <c r="II18" s="198"/>
      <c r="IJ18" s="198"/>
      <c r="IK18" s="198"/>
      <c r="IL18" s="198"/>
      <c r="IM18" s="198"/>
      <c r="IN18" s="198"/>
      <c r="IO18" s="198"/>
      <c r="IP18" s="198"/>
      <c r="IQ18" s="198"/>
      <c r="IR18" s="198"/>
      <c r="IS18" s="199"/>
      <c r="IT18" s="199"/>
      <c r="IU18" s="256" t="s">
        <v>4115</v>
      </c>
      <c r="IV18" s="198" t="s">
        <v>5</v>
      </c>
      <c r="IW18" s="198"/>
      <c r="IX18" s="198"/>
      <c r="IY18" s="256" t="s">
        <v>665</v>
      </c>
      <c r="IZ18" s="198"/>
      <c r="JA18" s="198"/>
      <c r="JB18" s="198"/>
      <c r="JC18" s="198"/>
      <c r="JD18" s="198"/>
      <c r="JE18" s="198"/>
      <c r="JF18" s="198"/>
      <c r="JG18" s="198"/>
      <c r="JH18" s="198"/>
      <c r="JI18" s="198"/>
      <c r="JJ18" s="198"/>
      <c r="JK18" s="198"/>
      <c r="JL18" s="198"/>
      <c r="JM18" s="198"/>
      <c r="JN18" s="198"/>
      <c r="JO18" s="198"/>
      <c r="JP18" s="198"/>
      <c r="JQ18" s="198"/>
      <c r="JR18" s="198"/>
      <c r="JS18" s="198"/>
      <c r="JT18" s="198"/>
      <c r="JU18" s="198"/>
      <c r="JV18" s="198"/>
      <c r="JW18" s="198"/>
      <c r="JX18" s="198"/>
      <c r="JY18" s="198"/>
      <c r="JZ18" s="198"/>
      <c r="KA18" s="198"/>
      <c r="KB18" s="198"/>
      <c r="KC18" s="198"/>
      <c r="KD18" s="198"/>
      <c r="KE18" s="198"/>
      <c r="KF18" s="198"/>
      <c r="KG18" s="198"/>
      <c r="KH18" s="198"/>
      <c r="KI18" s="198"/>
      <c r="KJ18" s="198"/>
      <c r="KK18" s="198"/>
      <c r="KL18" s="198"/>
      <c r="KM18" s="198"/>
      <c r="KN18" s="198"/>
      <c r="KO18" s="198"/>
      <c r="KP18" s="198"/>
      <c r="KQ18" s="198"/>
      <c r="KR18" s="216" t="s">
        <v>2531</v>
      </c>
      <c r="KS18" s="537"/>
      <c r="KT18" s="537">
        <f>IF(KT17&gt;$KS$15,1,0)</f>
        <v>1</v>
      </c>
      <c r="KU18" s="537">
        <f t="shared" ref="KU18:LB18" si="4">IF(KU17&gt;$KS$15,1,0)</f>
        <v>1</v>
      </c>
      <c r="KV18" s="537">
        <f t="shared" si="4"/>
        <v>1</v>
      </c>
      <c r="KW18" s="537">
        <f t="shared" si="4"/>
        <v>1</v>
      </c>
      <c r="KX18" s="537">
        <f t="shared" si="4"/>
        <v>1</v>
      </c>
      <c r="KY18" s="537">
        <f t="shared" si="4"/>
        <v>1</v>
      </c>
      <c r="KZ18" s="537">
        <f t="shared" si="4"/>
        <v>1</v>
      </c>
      <c r="LA18" s="537">
        <f t="shared" si="4"/>
        <v>1</v>
      </c>
      <c r="LB18" s="537">
        <f t="shared" si="4"/>
        <v>1</v>
      </c>
      <c r="LC18" s="198"/>
      <c r="LD18" s="198"/>
      <c r="LE18" s="198"/>
      <c r="LF18" s="198"/>
      <c r="LG18" s="198"/>
      <c r="LH18" s="198"/>
      <c r="LI18" s="198"/>
      <c r="LJ18" s="198"/>
      <c r="LK18" s="198"/>
      <c r="LL18" s="198"/>
      <c r="LM18" s="198"/>
      <c r="LN18" s="216" t="s">
        <v>2531</v>
      </c>
      <c r="LO18" s="537"/>
      <c r="LP18" s="537">
        <f>IF(LP17&gt;$LO$16,1,0)</f>
        <v>1</v>
      </c>
      <c r="LQ18" s="537">
        <f t="shared" ref="LQ18:LX18" si="5">IF(LQ17&gt;$LO$16,1,0)</f>
        <v>1</v>
      </c>
      <c r="LR18" s="537">
        <f t="shared" si="5"/>
        <v>1</v>
      </c>
      <c r="LS18" s="537">
        <f t="shared" si="5"/>
        <v>1</v>
      </c>
      <c r="LT18" s="537">
        <f t="shared" si="5"/>
        <v>1</v>
      </c>
      <c r="LU18" s="537">
        <f t="shared" si="5"/>
        <v>1</v>
      </c>
      <c r="LV18" s="537">
        <f t="shared" si="5"/>
        <v>1</v>
      </c>
      <c r="LW18" s="537">
        <f t="shared" si="5"/>
        <v>1</v>
      </c>
      <c r="LX18" s="537">
        <f t="shared" si="5"/>
        <v>1</v>
      </c>
      <c r="LY18" s="198"/>
      <c r="LZ18" s="198"/>
      <c r="MA18" s="198"/>
      <c r="MB18" s="198"/>
      <c r="MC18" s="198"/>
      <c r="MD18" s="198"/>
      <c r="ME18" s="198"/>
      <c r="MF18" s="198"/>
      <c r="MG18" s="198"/>
      <c r="MH18" s="198"/>
      <c r="MI18" s="198"/>
      <c r="MJ18" s="198"/>
      <c r="MK18" s="198"/>
      <c r="ML18" s="198"/>
      <c r="MM18" s="198"/>
      <c r="MN18" s="198"/>
      <c r="MO18" s="198"/>
      <c r="MP18" s="198"/>
      <c r="MQ18" s="198"/>
      <c r="MR18" s="198"/>
      <c r="MS18" s="198"/>
      <c r="MT18" s="198"/>
      <c r="MU18" s="198"/>
      <c r="MV18" s="198"/>
      <c r="MW18" s="198"/>
      <c r="MX18" s="198"/>
      <c r="MY18" s="198"/>
      <c r="MZ18" s="198"/>
      <c r="NA18" s="198"/>
      <c r="NB18" s="198"/>
      <c r="NC18" s="198"/>
      <c r="ND18" s="198"/>
      <c r="NE18" s="198"/>
      <c r="NF18" s="198"/>
      <c r="NG18" s="198"/>
      <c r="NH18" s="198"/>
      <c r="NI18" s="198"/>
      <c r="NJ18" s="198"/>
      <c r="NK18" s="198"/>
      <c r="NL18" s="198"/>
      <c r="NM18" s="198"/>
      <c r="NN18" s="198"/>
      <c r="NO18" s="198"/>
      <c r="NP18" s="198"/>
      <c r="NQ18" s="198"/>
    </row>
    <row r="19" spans="1:381" s="272" customFormat="1" ht="13.8" hidden="1" x14ac:dyDescent="0.25">
      <c r="A19" s="198"/>
      <c r="B19" s="198"/>
      <c r="C19" s="198"/>
      <c r="D19" s="198"/>
      <c r="E19" s="198"/>
      <c r="F19" s="198"/>
      <c r="G19" s="198"/>
      <c r="H19" s="198"/>
      <c r="I19" s="198"/>
      <c r="J19" s="198"/>
      <c r="K19" s="198"/>
      <c r="L19" s="198"/>
      <c r="M19" s="198"/>
      <c r="N19" s="198"/>
      <c r="O19" s="198"/>
      <c r="P19" s="198"/>
      <c r="Q19" s="198"/>
      <c r="R19" s="198"/>
      <c r="S19" s="198"/>
      <c r="T19" s="198"/>
      <c r="U19" s="198"/>
      <c r="V19" s="198"/>
      <c r="W19" s="198"/>
      <c r="X19" s="198"/>
      <c r="Y19" s="198"/>
      <c r="Z19" s="198"/>
      <c r="AA19" s="198"/>
      <c r="AB19" s="198"/>
      <c r="AC19" s="198"/>
      <c r="AD19" s="198"/>
      <c r="AE19" s="198"/>
      <c r="AF19" s="198"/>
      <c r="AG19" s="198"/>
      <c r="AH19" s="198"/>
      <c r="AI19" s="198"/>
      <c r="AJ19" s="198"/>
      <c r="AK19" s="198"/>
      <c r="AL19" s="198"/>
      <c r="AM19" s="198"/>
      <c r="AN19" s="198"/>
      <c r="AO19" s="198"/>
      <c r="AP19" s="198"/>
      <c r="AQ19" s="198"/>
      <c r="AR19" s="198"/>
      <c r="AS19" s="198"/>
      <c r="AT19" s="198"/>
      <c r="AU19" s="198"/>
      <c r="AV19" s="198"/>
      <c r="AW19" s="198"/>
      <c r="AX19" s="198"/>
      <c r="AY19" s="198"/>
      <c r="AZ19" s="198"/>
      <c r="BA19" s="198"/>
      <c r="BB19" s="198"/>
      <c r="BC19" s="198"/>
      <c r="BD19" s="198"/>
      <c r="BE19" s="198"/>
      <c r="BF19" s="198"/>
      <c r="BG19" s="198"/>
      <c r="BH19" s="198"/>
      <c r="BI19" s="198"/>
      <c r="BJ19" s="198"/>
      <c r="BK19" s="198"/>
      <c r="BL19" s="198"/>
      <c r="BM19" s="198"/>
      <c r="BN19" s="198"/>
      <c r="BO19" s="198"/>
      <c r="BP19" s="198"/>
      <c r="BQ19" s="198"/>
      <c r="BR19" s="198"/>
      <c r="BS19" s="198"/>
      <c r="BT19" s="198"/>
      <c r="BU19" s="198"/>
      <c r="BV19" s="198"/>
      <c r="BW19" s="198"/>
      <c r="BX19" s="198"/>
      <c r="BY19" s="198"/>
      <c r="BZ19" s="198"/>
      <c r="CA19" s="198"/>
      <c r="CB19" s="198"/>
      <c r="CC19" s="198"/>
      <c r="CD19" s="198"/>
      <c r="CE19" s="198"/>
      <c r="CF19" s="198"/>
      <c r="CG19" s="198"/>
      <c r="CH19" s="198"/>
      <c r="CI19" s="198"/>
      <c r="CJ19" s="198"/>
      <c r="CK19" s="198"/>
      <c r="CL19" s="198"/>
      <c r="CM19" s="198"/>
      <c r="CN19" s="198"/>
      <c r="CO19" s="198"/>
      <c r="CP19" s="198"/>
      <c r="CQ19" s="198"/>
      <c r="CR19" s="198"/>
      <c r="CS19" s="198"/>
      <c r="CT19" s="198"/>
      <c r="CU19" s="198"/>
      <c r="CV19" s="198"/>
      <c r="CW19" s="198"/>
      <c r="CX19" s="198"/>
      <c r="CY19" s="198"/>
      <c r="CZ19" s="198"/>
      <c r="DA19" s="198"/>
      <c r="DB19" s="198"/>
      <c r="DC19" s="198"/>
      <c r="DD19" s="198"/>
      <c r="DE19" s="198"/>
      <c r="DF19" s="198"/>
      <c r="DG19" s="198"/>
      <c r="DH19" s="198"/>
      <c r="DI19" s="198"/>
      <c r="DJ19" s="198"/>
      <c r="DK19" s="198"/>
      <c r="DL19" s="198"/>
      <c r="DM19" s="198"/>
      <c r="DN19" s="198"/>
      <c r="DO19" s="198"/>
      <c r="DP19" s="198"/>
      <c r="DQ19" s="198"/>
      <c r="DR19" s="198"/>
      <c r="DS19" s="198"/>
      <c r="DT19" s="198"/>
      <c r="DU19" s="198"/>
      <c r="DV19" s="198"/>
      <c r="DW19" s="198"/>
      <c r="DX19" s="198"/>
      <c r="DY19" s="198"/>
      <c r="DZ19" s="198"/>
      <c r="EA19" s="198"/>
      <c r="EB19" s="198"/>
      <c r="EC19" s="198"/>
      <c r="ED19" s="198"/>
      <c r="EE19" s="198"/>
      <c r="EF19" s="198"/>
      <c r="EG19" s="198"/>
      <c r="EH19" s="198"/>
      <c r="EI19" s="198"/>
      <c r="EJ19" s="198"/>
      <c r="EK19" s="198"/>
      <c r="EL19" s="198"/>
      <c r="EM19" s="198"/>
      <c r="EN19" s="198"/>
      <c r="EO19" s="198"/>
      <c r="EP19" s="540"/>
      <c r="EQ19" s="540"/>
      <c r="ER19" s="540"/>
      <c r="ES19" s="540"/>
      <c r="ET19" s="540"/>
      <c r="EU19" s="540"/>
      <c r="EV19" s="540"/>
      <c r="EW19" s="198"/>
      <c r="EX19" s="198"/>
      <c r="EY19" s="198"/>
      <c r="EZ19" s="198"/>
      <c r="FA19" s="198"/>
      <c r="FB19" s="198"/>
      <c r="FC19" s="198"/>
      <c r="FD19" s="198"/>
      <c r="FE19" s="198"/>
      <c r="FF19" s="198"/>
      <c r="FG19" s="198"/>
      <c r="FH19" s="198"/>
      <c r="FI19" s="198"/>
      <c r="FJ19" s="198"/>
      <c r="FK19" s="198"/>
      <c r="FL19" s="198"/>
      <c r="FM19" s="198"/>
      <c r="FN19" s="198"/>
      <c r="FO19" s="198"/>
      <c r="FP19" s="198"/>
      <c r="FQ19" s="198"/>
      <c r="FR19" s="198"/>
      <c r="FS19" s="198"/>
      <c r="FT19" s="198"/>
      <c r="FU19" s="198"/>
      <c r="FV19" s="198"/>
      <c r="FW19" s="198"/>
      <c r="FX19" s="198"/>
      <c r="FY19" s="198"/>
      <c r="FZ19" s="198"/>
      <c r="GA19" s="198"/>
      <c r="GB19" s="198"/>
      <c r="GC19" s="198"/>
      <c r="GD19" s="198"/>
      <c r="GE19" s="198"/>
      <c r="GF19" s="198"/>
      <c r="GG19" s="198"/>
      <c r="GH19" s="198"/>
      <c r="GI19" s="198"/>
      <c r="GJ19" s="198"/>
      <c r="GK19" s="198"/>
      <c r="GL19" s="198"/>
      <c r="GM19" s="198"/>
      <c r="GN19" s="198"/>
      <c r="GO19" s="198"/>
      <c r="GP19" s="198"/>
      <c r="GQ19" s="198"/>
      <c r="GR19" s="198"/>
      <c r="GS19" s="198"/>
      <c r="GT19" s="198"/>
      <c r="GU19" s="198"/>
      <c r="GV19" s="198"/>
      <c r="GW19" s="198"/>
      <c r="GX19" s="198"/>
      <c r="GY19" s="198"/>
      <c r="GZ19" s="198"/>
      <c r="HA19" s="198"/>
      <c r="HB19" s="198"/>
      <c r="HC19" s="198"/>
      <c r="HD19" s="198"/>
      <c r="HE19" s="3252" t="s">
        <v>4184</v>
      </c>
      <c r="HF19" s="198"/>
      <c r="HG19" s="1544">
        <f>HH60+HH43+HH39+HH38+HH40</f>
        <v>45111.674231999998</v>
      </c>
      <c r="HH19" s="198"/>
      <c r="HJ19" s="199" t="s">
        <v>1601</v>
      </c>
      <c r="HK19" s="198"/>
      <c r="HL19" s="198"/>
      <c r="HM19" s="198"/>
      <c r="HN19" s="198"/>
      <c r="HO19" s="198"/>
      <c r="HP19" s="198"/>
      <c r="HQ19" s="198"/>
      <c r="HR19" s="198"/>
      <c r="HS19" s="198"/>
      <c r="HT19" s="198"/>
      <c r="HU19" s="198"/>
      <c r="HV19" s="198"/>
      <c r="HW19" s="198"/>
      <c r="HX19" s="198"/>
      <c r="HY19" s="198"/>
      <c r="HZ19" s="198"/>
      <c r="IA19" s="198"/>
      <c r="IB19" s="198"/>
      <c r="IC19" s="198"/>
      <c r="ID19" s="198"/>
      <c r="IE19" s="198"/>
      <c r="IF19" s="198"/>
      <c r="IG19" s="198"/>
      <c r="IH19" s="198"/>
      <c r="II19" s="198"/>
      <c r="IJ19" s="198"/>
      <c r="IK19" s="198"/>
      <c r="IL19" s="198"/>
      <c r="IM19" s="198"/>
      <c r="IN19" s="198"/>
      <c r="IO19" s="198"/>
      <c r="IP19" s="198"/>
      <c r="IQ19" s="198"/>
      <c r="IR19" s="198"/>
      <c r="IS19" s="199"/>
      <c r="IT19" s="199"/>
      <c r="IU19" s="198"/>
      <c r="IV19" s="198"/>
      <c r="IW19" s="198"/>
      <c r="IX19" s="198"/>
      <c r="IY19" s="256" t="str">
        <f>IF('4 Sign-off'!D28=1,IY17,IF(AND(IX4=10,SUM(II64:IJ114)&gt;0),IY18,""))</f>
        <v>You must select a price Calculation Method on the "Setup" tab</v>
      </c>
      <c r="IZ19" s="198"/>
      <c r="JA19" s="198"/>
      <c r="JB19" s="198"/>
      <c r="JC19" s="198"/>
      <c r="JD19" s="198"/>
      <c r="JE19" s="198"/>
      <c r="JF19" s="198"/>
      <c r="JG19" s="198"/>
      <c r="JH19" s="198"/>
      <c r="JI19" s="198"/>
      <c r="JJ19" s="198"/>
      <c r="JK19" s="198"/>
      <c r="JL19" s="198"/>
      <c r="JM19" s="198"/>
      <c r="JN19" s="198"/>
      <c r="JO19" s="198"/>
      <c r="JP19" s="198"/>
      <c r="JQ19" s="198"/>
      <c r="JR19" s="198"/>
      <c r="JS19" s="198"/>
      <c r="JT19" s="198"/>
      <c r="JU19" s="198"/>
      <c r="JV19" s="198"/>
      <c r="JW19" s="198"/>
      <c r="JX19" s="198"/>
      <c r="JY19" s="198"/>
      <c r="JZ19" s="198"/>
      <c r="KA19" s="198"/>
      <c r="KB19" s="198"/>
      <c r="KC19" s="198"/>
      <c r="KD19" s="198"/>
      <c r="KE19" s="198"/>
      <c r="KF19" s="198"/>
      <c r="KG19" s="198"/>
      <c r="KH19" s="198"/>
      <c r="KI19" s="198"/>
      <c r="KJ19" s="198"/>
      <c r="KK19" s="198"/>
      <c r="KL19" s="198"/>
      <c r="KM19" s="198"/>
      <c r="KN19" s="198"/>
      <c r="KO19" s="198"/>
      <c r="KP19" s="198"/>
      <c r="KQ19" s="198"/>
      <c r="KR19" s="216" t="s">
        <v>2321</v>
      </c>
      <c r="KS19" s="537">
        <f>CHOOSE('1 Setup'!$L$2,MAX('3a Staff Plan'!$EB$19,'3b Activity Plan'!$GO$27),'3a Staff Plan'!$EB$19,'3b Activity Plan'!$GO$27)</f>
        <v>1</v>
      </c>
      <c r="KT19" s="198"/>
      <c r="KU19" s="198"/>
      <c r="KV19" s="198"/>
      <c r="KW19" s="198"/>
      <c r="KX19" s="198"/>
      <c r="KY19" s="198"/>
      <c r="KZ19" s="198"/>
      <c r="LA19" s="198"/>
      <c r="LB19" s="198"/>
      <c r="LC19" s="198"/>
      <c r="LD19" s="198"/>
      <c r="LE19" s="198"/>
      <c r="LF19" s="198"/>
      <c r="LG19" s="198"/>
      <c r="LH19" s="198"/>
      <c r="LI19" s="198"/>
      <c r="LJ19" s="198"/>
      <c r="LK19" s="198"/>
      <c r="LL19" s="198"/>
      <c r="LM19" s="198"/>
      <c r="LN19" s="216" t="s">
        <v>2320</v>
      </c>
      <c r="LO19" s="537">
        <f>CHOOSE('1 Setup'!$L$2,MAX('3a Staff Plan'!$EB$18,'3b Activity Plan'!$GO$26),'3a Staff Plan'!$EB$18,'3b Activity Plan'!$GO$26)</f>
        <v>1</v>
      </c>
      <c r="LP19" s="198"/>
      <c r="LQ19" s="198"/>
      <c r="LR19" s="198"/>
      <c r="LS19" s="198"/>
      <c r="LT19" s="198"/>
      <c r="LU19" s="198"/>
      <c r="LV19" s="198"/>
      <c r="LW19" s="198"/>
      <c r="LX19" s="198"/>
      <c r="LY19" s="198"/>
      <c r="LZ19" s="198"/>
      <c r="MA19" s="198"/>
      <c r="MB19" s="198"/>
      <c r="MC19" s="198"/>
      <c r="MD19" s="198"/>
      <c r="ME19" s="198"/>
      <c r="MF19" s="198"/>
      <c r="MG19" s="198"/>
      <c r="MH19" s="198"/>
      <c r="MI19" s="198"/>
      <c r="MJ19" s="198"/>
      <c r="MK19" s="198"/>
      <c r="ML19" s="198"/>
      <c r="MM19" s="198"/>
      <c r="MN19" s="198"/>
      <c r="MO19" s="198"/>
      <c r="MP19" s="198"/>
      <c r="MQ19" s="198"/>
      <c r="MR19" s="198"/>
      <c r="MS19" s="198"/>
      <c r="MT19" s="198"/>
      <c r="MU19" s="198"/>
      <c r="MV19" s="198"/>
      <c r="MW19" s="198"/>
      <c r="MX19" s="198"/>
      <c r="MY19" s="198"/>
      <c r="MZ19" s="198"/>
      <c r="NA19" s="198"/>
      <c r="NB19" s="198"/>
      <c r="NC19" s="198"/>
      <c r="ND19" s="198"/>
      <c r="NE19" s="198"/>
      <c r="NF19" s="198"/>
      <c r="NG19" s="198"/>
      <c r="NH19" s="198"/>
      <c r="NI19" s="198"/>
      <c r="NJ19" s="198"/>
      <c r="NK19" s="198"/>
      <c r="NL19" s="198"/>
      <c r="NM19" s="198"/>
      <c r="NN19" s="198"/>
      <c r="NO19" s="198"/>
      <c r="NP19" s="198"/>
      <c r="NQ19" s="198"/>
    </row>
    <row r="20" spans="1:381" s="272" customFormat="1" ht="13.8" hidden="1" x14ac:dyDescent="0.25">
      <c r="A20" s="198"/>
      <c r="B20" s="198"/>
      <c r="C20" s="198"/>
      <c r="D20" s="198"/>
      <c r="E20" s="198"/>
      <c r="F20" s="198"/>
      <c r="G20" s="198"/>
      <c r="H20" s="198"/>
      <c r="I20" s="198"/>
      <c r="J20" s="198"/>
      <c r="K20" s="198"/>
      <c r="L20" s="198"/>
      <c r="M20" s="198"/>
      <c r="N20" s="198"/>
      <c r="O20" s="198"/>
      <c r="P20" s="198"/>
      <c r="Q20" s="198"/>
      <c r="R20" s="198"/>
      <c r="S20" s="198"/>
      <c r="T20" s="198"/>
      <c r="U20" s="198"/>
      <c r="V20" s="198"/>
      <c r="W20" s="198"/>
      <c r="X20" s="198"/>
      <c r="Y20" s="198"/>
      <c r="Z20" s="198"/>
      <c r="AA20" s="198"/>
      <c r="AB20" s="198"/>
      <c r="AC20" s="198"/>
      <c r="AD20" s="198"/>
      <c r="AE20" s="198"/>
      <c r="AF20" s="198"/>
      <c r="AG20" s="198"/>
      <c r="AH20" s="198"/>
      <c r="AI20" s="198"/>
      <c r="AJ20" s="198"/>
      <c r="AK20" s="198"/>
      <c r="AL20" s="198"/>
      <c r="AM20" s="198"/>
      <c r="AN20" s="198"/>
      <c r="AO20" s="198"/>
      <c r="AP20" s="198"/>
      <c r="AQ20" s="198"/>
      <c r="AR20" s="198"/>
      <c r="AS20" s="198"/>
      <c r="AT20" s="198"/>
      <c r="AU20" s="198"/>
      <c r="AV20" s="198"/>
      <c r="AW20" s="198"/>
      <c r="AX20" s="198"/>
      <c r="AY20" s="198"/>
      <c r="AZ20" s="198"/>
      <c r="BA20" s="198"/>
      <c r="BB20" s="198"/>
      <c r="BC20" s="198"/>
      <c r="BD20" s="198"/>
      <c r="BE20" s="198"/>
      <c r="BF20" s="198"/>
      <c r="BG20" s="198"/>
      <c r="BH20" s="198"/>
      <c r="BI20" s="198"/>
      <c r="BJ20" s="198"/>
      <c r="BK20" s="198"/>
      <c r="BL20" s="198"/>
      <c r="BM20" s="198"/>
      <c r="BN20" s="198"/>
      <c r="BO20" s="198"/>
      <c r="BP20" s="198"/>
      <c r="BQ20" s="198"/>
      <c r="BR20" s="198"/>
      <c r="BS20" s="198"/>
      <c r="BT20" s="198"/>
      <c r="BU20" s="198"/>
      <c r="BV20" s="198"/>
      <c r="BW20" s="198"/>
      <c r="BX20" s="198"/>
      <c r="BY20" s="198"/>
      <c r="BZ20" s="198"/>
      <c r="CA20" s="198"/>
      <c r="CB20" s="198"/>
      <c r="CC20" s="198"/>
      <c r="CD20" s="198"/>
      <c r="CE20" s="198"/>
      <c r="CF20" s="198"/>
      <c r="CG20" s="198"/>
      <c r="CH20" s="198"/>
      <c r="CI20" s="198"/>
      <c r="CJ20" s="198"/>
      <c r="CK20" s="198"/>
      <c r="CL20" s="198"/>
      <c r="CM20" s="198"/>
      <c r="CN20" s="198"/>
      <c r="CO20" s="198"/>
      <c r="CP20" s="198"/>
      <c r="CQ20" s="198"/>
      <c r="CR20" s="198"/>
      <c r="CS20" s="198"/>
      <c r="CT20" s="198"/>
      <c r="CU20" s="198"/>
      <c r="CV20" s="198"/>
      <c r="CW20" s="198"/>
      <c r="CX20" s="198"/>
      <c r="CY20" s="198"/>
      <c r="CZ20" s="198"/>
      <c r="DA20" s="198"/>
      <c r="DB20" s="198"/>
      <c r="DC20" s="198"/>
      <c r="DD20" s="198"/>
      <c r="DE20" s="198"/>
      <c r="DF20" s="198"/>
      <c r="DG20" s="198"/>
      <c r="DH20" s="198"/>
      <c r="DI20" s="198"/>
      <c r="DJ20" s="198"/>
      <c r="DK20" s="198"/>
      <c r="DL20" s="198"/>
      <c r="DM20" s="198"/>
      <c r="DN20" s="198"/>
      <c r="DO20" s="198"/>
      <c r="DP20" s="198"/>
      <c r="DQ20" s="198"/>
      <c r="DR20" s="198"/>
      <c r="DS20" s="198"/>
      <c r="DT20" s="198"/>
      <c r="DU20" s="198"/>
      <c r="DV20" s="198"/>
      <c r="DW20" s="198"/>
      <c r="DX20" s="198"/>
      <c r="DY20" s="198"/>
      <c r="DZ20" s="198"/>
      <c r="EA20" s="198"/>
      <c r="EB20" s="198"/>
      <c r="EC20" s="198"/>
      <c r="ED20" s="198"/>
      <c r="EE20" s="198"/>
      <c r="EF20" s="198"/>
      <c r="EG20" s="198"/>
      <c r="EH20" s="198"/>
      <c r="EI20" s="198"/>
      <c r="EJ20" s="198"/>
      <c r="EK20" s="198"/>
      <c r="EL20" s="198"/>
      <c r="EM20" s="198"/>
      <c r="EN20" s="198"/>
      <c r="EO20" s="198"/>
      <c r="EP20" s="540"/>
      <c r="EQ20" s="540"/>
      <c r="ER20" s="540"/>
      <c r="ES20" s="540"/>
      <c r="ET20" s="540"/>
      <c r="EU20" s="540"/>
      <c r="EV20" s="540"/>
      <c r="EW20" s="198"/>
      <c r="EX20" s="198"/>
      <c r="EY20" s="198"/>
      <c r="EZ20" s="198"/>
      <c r="FA20" s="198"/>
      <c r="FB20" s="198"/>
      <c r="FC20" s="198"/>
      <c r="FD20" s="198"/>
      <c r="FE20" s="198"/>
      <c r="FF20" s="198"/>
      <c r="FG20" s="198"/>
      <c r="FH20" s="198"/>
      <c r="FI20" s="198"/>
      <c r="FJ20" s="198"/>
      <c r="FK20" s="198"/>
      <c r="FL20" s="198"/>
      <c r="FM20" s="198"/>
      <c r="FN20" s="198"/>
      <c r="FO20" s="198"/>
      <c r="FP20" s="198"/>
      <c r="FQ20" s="198"/>
      <c r="FR20" s="198"/>
      <c r="FS20" s="198"/>
      <c r="FT20" s="198"/>
      <c r="FU20" s="198"/>
      <c r="FV20" s="198"/>
      <c r="FW20" s="198"/>
      <c r="FX20" s="198"/>
      <c r="FY20" s="198"/>
      <c r="FZ20" s="198"/>
      <c r="GA20" s="198"/>
      <c r="GB20" s="198"/>
      <c r="GC20" s="198"/>
      <c r="GD20" s="198"/>
      <c r="GE20" s="198"/>
      <c r="GF20" s="198"/>
      <c r="GG20" s="198"/>
      <c r="GH20" s="198"/>
      <c r="GI20" s="198"/>
      <c r="GJ20" s="198"/>
      <c r="GK20" s="198"/>
      <c r="GL20" s="198"/>
      <c r="GM20" s="198"/>
      <c r="GN20" s="198"/>
      <c r="GO20" s="198"/>
      <c r="GP20" s="198"/>
      <c r="GQ20" s="198"/>
      <c r="GR20" s="198"/>
      <c r="GS20" s="198"/>
      <c r="GT20" s="198"/>
      <c r="GU20" s="198"/>
      <c r="GV20" s="198"/>
      <c r="GW20" s="198"/>
      <c r="GX20" s="198"/>
      <c r="GY20" s="198"/>
      <c r="GZ20" s="198"/>
      <c r="HA20" s="198"/>
      <c r="HB20" s="198"/>
      <c r="HC20" s="198"/>
      <c r="HD20" s="198"/>
      <c r="HE20" s="198"/>
      <c r="HF20" s="198"/>
      <c r="HG20" s="198"/>
      <c r="HH20" s="198"/>
      <c r="HI20" s="198"/>
      <c r="HJ20" s="198"/>
      <c r="HK20" s="198"/>
      <c r="HL20" s="198"/>
      <c r="HM20" s="198"/>
      <c r="HN20" s="198"/>
      <c r="HO20" s="198"/>
      <c r="HP20" s="198"/>
      <c r="HQ20" s="198"/>
      <c r="HR20" s="198"/>
      <c r="HS20" s="198"/>
      <c r="HT20" s="198"/>
      <c r="HU20" s="198"/>
      <c r="HV20" s="198"/>
      <c r="HW20" s="198" t="s">
        <v>5</v>
      </c>
      <c r="HX20" s="198"/>
      <c r="HY20" s="198"/>
      <c r="HZ20" s="198" t="s">
        <v>5</v>
      </c>
      <c r="IA20" s="198" t="s">
        <v>5</v>
      </c>
      <c r="IB20" s="198"/>
      <c r="IC20" s="198"/>
      <c r="ID20" s="198"/>
      <c r="IE20" s="198"/>
      <c r="IF20" s="198"/>
      <c r="IG20" s="198"/>
      <c r="IH20" s="198"/>
      <c r="II20" s="198"/>
      <c r="IJ20" s="198"/>
      <c r="IK20" s="198"/>
      <c r="IL20" s="198"/>
      <c r="IM20" s="198"/>
      <c r="IN20" s="198"/>
      <c r="IO20" s="198"/>
      <c r="IP20" s="198"/>
      <c r="IQ20" s="198"/>
      <c r="IR20" s="198"/>
      <c r="IS20" s="199"/>
      <c r="IT20" s="199"/>
      <c r="IU20" s="198"/>
      <c r="IV20" s="198"/>
      <c r="IW20" s="198"/>
      <c r="IX20" s="198"/>
      <c r="IY20" s="198"/>
      <c r="IZ20" s="198"/>
      <c r="JA20" s="198"/>
      <c r="JB20" s="198"/>
      <c r="JC20" s="198"/>
      <c r="JD20" s="198"/>
      <c r="JE20" s="198"/>
      <c r="JF20" s="198"/>
      <c r="JG20" s="198"/>
      <c r="JH20" s="198"/>
      <c r="JI20" s="198"/>
      <c r="JJ20" s="198"/>
      <c r="JK20" s="198"/>
      <c r="JL20" s="198"/>
      <c r="JM20" s="198"/>
      <c r="JN20" s="198"/>
      <c r="JO20" s="198"/>
      <c r="JP20" s="198"/>
      <c r="JQ20" s="198"/>
      <c r="JR20" s="198"/>
      <c r="JS20" s="198"/>
      <c r="JT20" s="198"/>
      <c r="JU20" s="198"/>
      <c r="JV20" s="198"/>
      <c r="JW20" s="198"/>
      <c r="JX20" s="198"/>
      <c r="JY20" s="198"/>
      <c r="JZ20" s="198"/>
      <c r="KA20" s="198"/>
      <c r="KB20" s="198"/>
      <c r="KC20" s="198"/>
      <c r="KD20" s="198"/>
      <c r="KE20" s="198"/>
      <c r="KF20" s="198"/>
      <c r="KG20" s="198"/>
      <c r="KH20" s="198"/>
      <c r="KI20" s="198"/>
      <c r="KJ20" s="198"/>
      <c r="KK20" s="198"/>
      <c r="KL20" s="198"/>
      <c r="KM20" s="198"/>
      <c r="KN20" s="198"/>
      <c r="KO20" s="198"/>
      <c r="KP20" s="198"/>
      <c r="KQ20" s="198"/>
      <c r="KR20" s="216" t="s">
        <v>2224</v>
      </c>
      <c r="KS20" s="537">
        <f>IF($KS$19=KS17,1,0)</f>
        <v>1</v>
      </c>
      <c r="KT20" s="537">
        <f t="shared" ref="KT20:LB20" si="6">IF($KS$19=KT17,1,0)</f>
        <v>0</v>
      </c>
      <c r="KU20" s="537">
        <f t="shared" si="6"/>
        <v>0</v>
      </c>
      <c r="KV20" s="537">
        <f t="shared" si="6"/>
        <v>0</v>
      </c>
      <c r="KW20" s="537">
        <f t="shared" si="6"/>
        <v>0</v>
      </c>
      <c r="KX20" s="537">
        <f t="shared" si="6"/>
        <v>0</v>
      </c>
      <c r="KY20" s="537">
        <f t="shared" si="6"/>
        <v>0</v>
      </c>
      <c r="KZ20" s="537">
        <f t="shared" si="6"/>
        <v>0</v>
      </c>
      <c r="LA20" s="537">
        <f t="shared" si="6"/>
        <v>0</v>
      </c>
      <c r="LB20" s="537">
        <f t="shared" si="6"/>
        <v>0</v>
      </c>
      <c r="LC20" s="198"/>
      <c r="LD20" s="198"/>
      <c r="LE20" s="198"/>
      <c r="LF20" s="198"/>
      <c r="LG20" s="198"/>
      <c r="LH20" s="198"/>
      <c r="LI20" s="198"/>
      <c r="LJ20" s="198"/>
      <c r="LK20" s="198"/>
      <c r="LL20" s="198"/>
      <c r="LM20" s="198"/>
      <c r="LN20" s="216" t="s">
        <v>2224</v>
      </c>
      <c r="LO20" s="537">
        <f>IF($LO$19=LO17,1,0)</f>
        <v>1</v>
      </c>
      <c r="LP20" s="537">
        <f t="shared" ref="LP20:LX20" si="7">IF($LO$19=LP17,1,0)</f>
        <v>0</v>
      </c>
      <c r="LQ20" s="537">
        <f t="shared" si="7"/>
        <v>0</v>
      </c>
      <c r="LR20" s="537">
        <f t="shared" si="7"/>
        <v>0</v>
      </c>
      <c r="LS20" s="537">
        <f t="shared" si="7"/>
        <v>0</v>
      </c>
      <c r="LT20" s="537">
        <f t="shared" si="7"/>
        <v>0</v>
      </c>
      <c r="LU20" s="537">
        <f t="shared" si="7"/>
        <v>0</v>
      </c>
      <c r="LV20" s="537">
        <f t="shared" si="7"/>
        <v>0</v>
      </c>
      <c r="LW20" s="537">
        <f t="shared" si="7"/>
        <v>0</v>
      </c>
      <c r="LX20" s="537">
        <f t="shared" si="7"/>
        <v>0</v>
      </c>
      <c r="LY20" s="198"/>
      <c r="LZ20" s="198"/>
      <c r="MA20" s="198"/>
      <c r="MB20" s="198"/>
      <c r="MC20" s="198"/>
      <c r="MD20" s="198"/>
      <c r="ME20" s="198"/>
      <c r="MF20" s="198"/>
      <c r="MG20" s="198"/>
      <c r="MH20" s="198"/>
      <c r="MI20" s="198"/>
      <c r="MJ20" s="198"/>
      <c r="MK20" s="198"/>
      <c r="ML20" s="198"/>
      <c r="MM20" s="198"/>
      <c r="MN20" s="198"/>
      <c r="MO20" s="198"/>
      <c r="MP20" s="198"/>
      <c r="MQ20" s="198"/>
      <c r="MR20" s="198"/>
      <c r="MS20" s="198"/>
      <c r="MT20" s="198"/>
      <c r="MU20" s="198"/>
      <c r="MV20" s="198"/>
      <c r="MW20" s="198"/>
      <c r="MX20" s="198"/>
      <c r="MY20" s="198"/>
      <c r="MZ20" s="198"/>
      <c r="NA20" s="198"/>
      <c r="NB20" s="198"/>
      <c r="NC20" s="198"/>
      <c r="ND20" s="198"/>
      <c r="NE20" s="198"/>
      <c r="NF20" s="198"/>
      <c r="NG20" s="198"/>
      <c r="NH20" s="198"/>
      <c r="NI20" s="198"/>
      <c r="NJ20" s="198"/>
      <c r="NK20" s="198"/>
      <c r="NL20" s="198"/>
      <c r="NM20" s="198"/>
      <c r="NN20" s="198"/>
      <c r="NO20" s="198"/>
      <c r="NP20" s="198"/>
      <c r="NQ20" s="198"/>
    </row>
    <row r="21" spans="1:381" s="272" customFormat="1" ht="13.8" hidden="1" x14ac:dyDescent="0.25">
      <c r="A21" s="198"/>
      <c r="B21" s="198"/>
      <c r="C21" s="198"/>
      <c r="D21" s="198"/>
      <c r="E21" s="198"/>
      <c r="F21" s="198"/>
      <c r="G21" s="198"/>
      <c r="H21" s="198"/>
      <c r="I21" s="198"/>
      <c r="J21" s="198"/>
      <c r="K21" s="198"/>
      <c r="L21" s="198"/>
      <c r="M21" s="198"/>
      <c r="N21" s="198"/>
      <c r="O21" s="198"/>
      <c r="P21" s="198"/>
      <c r="Q21" s="198"/>
      <c r="R21" s="198"/>
      <c r="S21" s="198"/>
      <c r="T21" s="198"/>
      <c r="U21" s="198"/>
      <c r="V21" s="198"/>
      <c r="W21" s="198"/>
      <c r="X21" s="198"/>
      <c r="Y21" s="198"/>
      <c r="Z21" s="198"/>
      <c r="AA21" s="198"/>
      <c r="AB21" s="198"/>
      <c r="AC21" s="198"/>
      <c r="AD21" s="198"/>
      <c r="AE21" s="198"/>
      <c r="AF21" s="198"/>
      <c r="AG21" s="198"/>
      <c r="AH21" s="198"/>
      <c r="AI21" s="198"/>
      <c r="AJ21" s="198"/>
      <c r="AK21" s="198"/>
      <c r="AL21" s="198"/>
      <c r="AM21" s="198"/>
      <c r="AN21" s="198"/>
      <c r="AO21" s="198"/>
      <c r="AP21" s="198"/>
      <c r="AQ21" s="198"/>
      <c r="AR21" s="198"/>
      <c r="AS21" s="198"/>
      <c r="AT21" s="198"/>
      <c r="AU21" s="198"/>
      <c r="AV21" s="198"/>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c r="CA21" s="198"/>
      <c r="CB21" s="198"/>
      <c r="CC21" s="198"/>
      <c r="CD21" s="198"/>
      <c r="CE21" s="198"/>
      <c r="CF21" s="198"/>
      <c r="CG21" s="198"/>
      <c r="CH21" s="198"/>
      <c r="CI21" s="198"/>
      <c r="CJ21" s="198"/>
      <c r="CK21" s="198"/>
      <c r="CL21" s="198"/>
      <c r="CM21" s="198"/>
      <c r="CN21" s="198"/>
      <c r="CO21" s="198"/>
      <c r="CP21" s="198"/>
      <c r="CQ21" s="198"/>
      <c r="CR21" s="198"/>
      <c r="CS21" s="198"/>
      <c r="CT21" s="198"/>
      <c r="CU21" s="198"/>
      <c r="CV21" s="198"/>
      <c r="CW21" s="198"/>
      <c r="CX21" s="198"/>
      <c r="CY21" s="198"/>
      <c r="CZ21" s="198"/>
      <c r="DA21" s="198"/>
      <c r="DB21" s="198"/>
      <c r="DC21" s="198"/>
      <c r="DD21" s="198"/>
      <c r="DE21" s="198"/>
      <c r="DF21" s="198"/>
      <c r="DG21" s="198"/>
      <c r="DH21" s="198"/>
      <c r="DI21" s="198"/>
      <c r="DJ21" s="198"/>
      <c r="DK21" s="198"/>
      <c r="DL21" s="198"/>
      <c r="DM21" s="198"/>
      <c r="DN21" s="198"/>
      <c r="DO21" s="198"/>
      <c r="DP21" s="198"/>
      <c r="DQ21" s="198"/>
      <c r="DR21" s="198"/>
      <c r="DS21" s="198"/>
      <c r="DT21" s="198"/>
      <c r="DU21" s="198"/>
      <c r="DV21" s="198"/>
      <c r="DW21" s="198"/>
      <c r="DX21" s="198"/>
      <c r="DY21" s="198"/>
      <c r="DZ21" s="198"/>
      <c r="EA21" s="198"/>
      <c r="EB21" s="198"/>
      <c r="EC21" s="198"/>
      <c r="ED21" s="198"/>
      <c r="EE21" s="198"/>
      <c r="EF21" s="198"/>
      <c r="EG21" s="198"/>
      <c r="EH21" s="198"/>
      <c r="EI21" s="198"/>
      <c r="EJ21" s="198"/>
      <c r="EK21" s="198"/>
      <c r="EL21" s="198"/>
      <c r="EM21" s="198"/>
      <c r="EN21" s="198"/>
      <c r="EO21" s="198"/>
      <c r="EP21" s="540"/>
      <c r="EQ21" s="540"/>
      <c r="ER21" s="540"/>
      <c r="ES21" s="540"/>
      <c r="ET21" s="540"/>
      <c r="EU21" s="540"/>
      <c r="EV21" s="540"/>
      <c r="EW21" s="198"/>
      <c r="EX21" s="198"/>
      <c r="EY21" s="198"/>
      <c r="EZ21" s="198"/>
      <c r="FA21" s="198"/>
      <c r="FB21" s="198"/>
      <c r="FC21" s="198"/>
      <c r="FD21" s="198"/>
      <c r="FE21" s="198"/>
      <c r="FF21" s="198"/>
      <c r="FG21" s="198"/>
      <c r="FH21" s="198"/>
      <c r="FI21" s="198"/>
      <c r="FJ21" s="198"/>
      <c r="FK21" s="198"/>
      <c r="FL21" s="198"/>
      <c r="FM21" s="198"/>
      <c r="FN21" s="198"/>
      <c r="FO21" s="198"/>
      <c r="FP21" s="198"/>
      <c r="FQ21" s="198"/>
      <c r="FR21" s="198"/>
      <c r="FS21" s="198"/>
      <c r="FT21" s="198"/>
      <c r="FU21" s="198"/>
      <c r="FV21" s="198"/>
      <c r="FW21" s="198"/>
      <c r="FX21" s="198"/>
      <c r="FY21" s="198"/>
      <c r="FZ21" s="198"/>
      <c r="GA21" s="198"/>
      <c r="GB21" s="198"/>
      <c r="GC21" s="198"/>
      <c r="GD21" s="198"/>
      <c r="GE21" s="198"/>
      <c r="GF21" s="198"/>
      <c r="GG21" s="198"/>
      <c r="GH21" s="198"/>
      <c r="GI21" s="198"/>
      <c r="GJ21" s="198"/>
      <c r="GK21" s="198"/>
      <c r="GL21" s="198"/>
      <c r="GM21" s="198"/>
      <c r="GN21" s="198"/>
      <c r="GO21" s="198"/>
      <c r="GP21" s="198"/>
      <c r="GQ21" s="198"/>
      <c r="GR21" s="198"/>
      <c r="GS21" s="198"/>
      <c r="GT21" s="198"/>
      <c r="GU21" s="198"/>
      <c r="GV21" s="198"/>
      <c r="GW21" s="198"/>
      <c r="GX21" s="198"/>
      <c r="GY21" s="198"/>
      <c r="GZ21" s="198"/>
      <c r="HA21" s="198"/>
      <c r="HB21" s="198"/>
      <c r="HC21" s="198"/>
      <c r="HD21" s="198"/>
      <c r="HE21" s="198"/>
      <c r="HF21" s="198"/>
      <c r="HG21" s="198"/>
      <c r="HH21" s="198"/>
      <c r="HI21" s="1544" t="str">
        <f>'1 Setup'!G3</f>
        <v>B</v>
      </c>
      <c r="HJ21" s="199" t="s">
        <v>60</v>
      </c>
      <c r="HK21" s="198"/>
      <c r="HL21" s="198"/>
      <c r="HM21" s="198"/>
      <c r="HN21" s="198"/>
      <c r="HO21" s="198"/>
      <c r="HP21" s="198"/>
      <c r="HQ21" s="198"/>
      <c r="HR21" s="198"/>
      <c r="HS21" s="198"/>
      <c r="HT21" s="198"/>
      <c r="HU21" s="198"/>
      <c r="HV21" s="198"/>
      <c r="HW21" s="198" t="s">
        <v>5</v>
      </c>
      <c r="HX21" s="198"/>
      <c r="HY21" s="198"/>
      <c r="HZ21" s="198"/>
      <c r="IA21" s="198"/>
      <c r="IB21" s="198"/>
      <c r="IC21" s="198"/>
      <c r="ID21" s="198"/>
      <c r="IE21" s="198"/>
      <c r="IF21" s="198"/>
      <c r="IG21" s="198"/>
      <c r="IH21" s="198"/>
      <c r="II21" s="198"/>
      <c r="IJ21" s="198"/>
      <c r="IK21" s="198"/>
      <c r="IL21" s="198"/>
      <c r="IM21" s="198"/>
      <c r="IN21" s="198"/>
      <c r="IO21" s="198"/>
      <c r="IP21" s="198"/>
      <c r="IQ21" s="198"/>
      <c r="IR21" s="198"/>
      <c r="IS21" s="199"/>
      <c r="IT21" s="199"/>
      <c r="IU21" s="198"/>
      <c r="IV21" s="198"/>
      <c r="IW21" s="198"/>
      <c r="IX21" s="198"/>
      <c r="IY21" s="198"/>
      <c r="IZ21" s="198"/>
      <c r="JA21" s="198"/>
      <c r="JB21" s="198"/>
      <c r="JC21" s="198"/>
      <c r="JD21" s="198"/>
      <c r="JE21" s="198"/>
      <c r="JF21" s="198"/>
      <c r="JG21" s="198"/>
      <c r="JH21" s="198"/>
      <c r="JI21" s="198"/>
      <c r="JJ21" s="198"/>
      <c r="JK21" s="198"/>
      <c r="JL21" s="198"/>
      <c r="JM21" s="198"/>
      <c r="JN21" s="198"/>
      <c r="JO21" s="198"/>
      <c r="JP21" s="198"/>
      <c r="JQ21" s="198"/>
      <c r="JR21" s="198"/>
      <c r="JS21" s="198"/>
      <c r="JT21" s="198"/>
      <c r="JU21" s="198"/>
      <c r="JV21" s="198"/>
      <c r="JW21" s="198"/>
      <c r="JX21" s="198"/>
      <c r="JY21" s="198"/>
      <c r="JZ21" s="198"/>
      <c r="KA21" s="198"/>
      <c r="KB21" s="198"/>
      <c r="KC21" s="198"/>
      <c r="KD21" s="198"/>
      <c r="KE21" s="198"/>
      <c r="KF21" s="198"/>
      <c r="KG21" s="198"/>
      <c r="KH21" s="198"/>
      <c r="KI21" s="198"/>
      <c r="KJ21" s="198"/>
      <c r="KK21" s="198"/>
      <c r="KL21" s="198"/>
      <c r="KM21" s="198"/>
      <c r="KN21" s="198"/>
      <c r="KO21" s="198"/>
      <c r="KP21" s="198"/>
      <c r="KQ21" s="198"/>
      <c r="KR21" s="198"/>
      <c r="KS21" s="198"/>
      <c r="KT21" s="198"/>
      <c r="KU21" s="198"/>
      <c r="KV21" s="198"/>
      <c r="KW21" s="198"/>
      <c r="KX21" s="198"/>
      <c r="KY21" s="198"/>
      <c r="KZ21" s="198"/>
      <c r="LA21" s="198"/>
      <c r="LB21" s="198"/>
      <c r="LC21" s="198"/>
      <c r="LD21" s="198"/>
      <c r="LE21" s="198"/>
      <c r="LF21" s="198"/>
      <c r="LG21" s="198"/>
      <c r="LH21" s="198"/>
      <c r="LI21" s="198"/>
      <c r="LJ21" s="198"/>
      <c r="LK21" s="198"/>
      <c r="LL21" s="198"/>
      <c r="LM21" s="198"/>
      <c r="LN21" s="198"/>
      <c r="LO21" s="198"/>
      <c r="LP21" s="198"/>
      <c r="LQ21" s="198"/>
      <c r="LR21" s="198"/>
      <c r="LS21" s="198"/>
      <c r="LT21" s="198"/>
      <c r="LU21" s="198"/>
      <c r="LV21" s="198"/>
      <c r="LW21" s="198"/>
      <c r="LX21" s="198"/>
      <c r="LY21" s="198"/>
      <c r="LZ21" s="198"/>
      <c r="MA21" s="198"/>
      <c r="MB21" s="198"/>
      <c r="MC21" s="198"/>
      <c r="MD21" s="198"/>
      <c r="ME21" s="198"/>
      <c r="MF21" s="198"/>
      <c r="MG21" s="198"/>
      <c r="MH21" s="198"/>
      <c r="MI21" s="198"/>
      <c r="MJ21" s="198"/>
      <c r="MK21" s="198"/>
      <c r="ML21" s="198"/>
      <c r="MM21" s="198"/>
      <c r="MN21" s="198"/>
      <c r="MO21" s="198"/>
      <c r="MP21" s="198"/>
      <c r="MQ21" s="198"/>
      <c r="MR21" s="198"/>
      <c r="MS21" s="198"/>
      <c r="MT21" s="198"/>
      <c r="MU21" s="198"/>
      <c r="MV21" s="198"/>
      <c r="MW21" s="198"/>
      <c r="MX21" s="198"/>
      <c r="MY21" s="198"/>
      <c r="MZ21" s="198"/>
      <c r="NA21" s="198"/>
      <c r="NB21" s="198"/>
      <c r="NC21" s="198"/>
      <c r="ND21" s="198"/>
      <c r="NE21" s="198"/>
      <c r="NF21" s="198"/>
      <c r="NG21" s="198"/>
      <c r="NH21" s="198"/>
      <c r="NI21" s="198"/>
      <c r="NJ21" s="198"/>
      <c r="NK21" s="198"/>
      <c r="NL21" s="198"/>
      <c r="NM21" s="198"/>
      <c r="NN21" s="198"/>
      <c r="NO21" s="198"/>
      <c r="NP21" s="198"/>
      <c r="NQ21" s="198"/>
    </row>
    <row r="22" spans="1:381" ht="13.8" hidden="1" x14ac:dyDescent="0.25">
      <c r="A22" s="198"/>
      <c r="B22" s="198"/>
      <c r="C22" s="198"/>
      <c r="D22" s="198"/>
      <c r="E22" s="198"/>
      <c r="F22" s="198"/>
      <c r="G22" s="198"/>
      <c r="H22" s="198"/>
      <c r="I22" s="198"/>
      <c r="J22" s="198"/>
      <c r="K22" s="198"/>
      <c r="L22" s="198"/>
      <c r="M22" s="198"/>
      <c r="N22" s="198"/>
      <c r="O22" s="198"/>
      <c r="P22" s="198"/>
      <c r="Q22" s="198"/>
      <c r="R22" s="198"/>
      <c r="S22" s="198"/>
      <c r="T22" s="198"/>
      <c r="U22" s="198"/>
      <c r="V22" s="198"/>
      <c r="W22" s="198"/>
      <c r="X22" s="198"/>
      <c r="Y22" s="198"/>
      <c r="Z22" s="198"/>
      <c r="AA22" s="198"/>
      <c r="AB22" s="198"/>
      <c r="AC22" s="198"/>
      <c r="AD22" s="198"/>
      <c r="AE22" s="198"/>
      <c r="AF22" s="198"/>
      <c r="AG22" s="198"/>
      <c r="AH22" s="198"/>
      <c r="AI22" s="198"/>
      <c r="AJ22" s="198"/>
      <c r="AK22" s="198"/>
      <c r="AL22" s="198"/>
      <c r="AM22" s="198"/>
      <c r="AN22" s="198"/>
      <c r="AO22" s="198"/>
      <c r="AP22" s="198"/>
      <c r="AQ22" s="198"/>
      <c r="AR22" s="198"/>
      <c r="AS22" s="198"/>
      <c r="AT22" s="198"/>
      <c r="AU22" s="198"/>
      <c r="AV22" s="198"/>
      <c r="AW22" s="198"/>
      <c r="AX22" s="198"/>
      <c r="AY22" s="198"/>
      <c r="AZ22" s="198"/>
      <c r="BA22" s="198"/>
      <c r="BB22" s="198"/>
      <c r="BC22" s="198"/>
      <c r="BD22" s="198"/>
      <c r="BE22" s="198"/>
      <c r="BF22" s="198"/>
      <c r="BG22" s="198"/>
      <c r="BH22" s="198"/>
      <c r="BI22" s="198"/>
      <c r="BJ22" s="198"/>
      <c r="BK22" s="198"/>
      <c r="BL22" s="198"/>
      <c r="BM22" s="198"/>
      <c r="BN22" s="198"/>
      <c r="BO22" s="198"/>
      <c r="BP22" s="198"/>
      <c r="BQ22" s="198"/>
      <c r="BR22" s="198"/>
      <c r="BS22" s="198"/>
      <c r="BT22" s="198"/>
      <c r="BU22" s="198"/>
      <c r="BV22" s="198"/>
      <c r="BW22" s="198"/>
      <c r="BX22" s="198"/>
      <c r="BY22" s="198"/>
      <c r="BZ22" s="198"/>
      <c r="CA22" s="198"/>
      <c r="CB22" s="198"/>
      <c r="CC22" s="198"/>
      <c r="CD22" s="198"/>
      <c r="CE22" s="198"/>
      <c r="CF22" s="198"/>
      <c r="CG22" s="198"/>
      <c r="CH22" s="198"/>
      <c r="CI22" s="198"/>
      <c r="CJ22" s="198"/>
      <c r="CK22" s="198"/>
      <c r="CL22" s="198"/>
      <c r="CM22" s="198"/>
      <c r="CN22" s="198"/>
      <c r="CO22" s="198"/>
      <c r="CP22" s="198"/>
      <c r="CQ22" s="198"/>
      <c r="CR22" s="198"/>
      <c r="CS22" s="198"/>
      <c r="CT22" s="198"/>
      <c r="CU22" s="198"/>
      <c r="CV22" s="198"/>
      <c r="CW22" s="198"/>
      <c r="CX22" s="198"/>
      <c r="CY22" s="198"/>
      <c r="CZ22" s="198"/>
      <c r="DA22" s="198"/>
      <c r="DB22" s="198"/>
      <c r="DC22" s="198"/>
      <c r="DD22" s="198"/>
      <c r="DE22" s="198"/>
      <c r="DF22" s="198"/>
      <c r="DG22" s="198"/>
      <c r="DH22" s="198"/>
      <c r="DI22" s="198"/>
      <c r="DJ22" s="198"/>
      <c r="DK22" s="198"/>
      <c r="DL22" s="198"/>
      <c r="DM22" s="198"/>
      <c r="DN22" s="198"/>
      <c r="DO22" s="198"/>
      <c r="DP22" s="198"/>
      <c r="DQ22" s="198"/>
      <c r="DR22" s="198"/>
      <c r="DS22" s="198"/>
      <c r="DT22" s="198"/>
      <c r="DU22" s="198"/>
      <c r="DV22" s="198"/>
      <c r="DW22" s="198"/>
      <c r="DX22" s="198"/>
      <c r="DY22" s="198"/>
      <c r="DZ22" s="198"/>
      <c r="EA22" s="198"/>
      <c r="EB22" s="198"/>
      <c r="EC22" s="198"/>
      <c r="ED22" s="198"/>
      <c r="EE22" s="198"/>
      <c r="EF22" s="198"/>
      <c r="EG22" s="198"/>
      <c r="EH22" s="198"/>
      <c r="EI22" s="198"/>
      <c r="EJ22" s="198"/>
      <c r="EK22" s="198"/>
      <c r="EL22" s="198"/>
      <c r="EM22" s="198"/>
      <c r="EN22" s="198"/>
      <c r="EO22" s="198"/>
      <c r="EP22" s="540"/>
      <c r="EQ22" s="540"/>
      <c r="ER22" s="540"/>
      <c r="ES22" s="540"/>
      <c r="ET22" s="540"/>
      <c r="EU22" s="540"/>
      <c r="EV22" s="540"/>
      <c r="EW22" s="198"/>
      <c r="EX22" s="198"/>
      <c r="EY22" s="198"/>
      <c r="EZ22" s="198"/>
      <c r="FA22" s="198"/>
      <c r="FB22" s="198"/>
      <c r="FC22" s="198"/>
      <c r="FD22" s="198"/>
      <c r="FE22" s="198"/>
      <c r="FF22" s="198"/>
      <c r="FG22" s="198"/>
      <c r="FH22" s="198"/>
      <c r="FI22" s="198"/>
      <c r="FJ22" s="198"/>
      <c r="FK22" s="198"/>
      <c r="FL22" s="198"/>
      <c r="FM22" s="198"/>
      <c r="FN22" s="198"/>
      <c r="FO22" s="198"/>
      <c r="FP22" s="198"/>
      <c r="FQ22" s="198"/>
      <c r="FR22" s="198"/>
      <c r="FS22" s="198"/>
      <c r="FT22" s="198"/>
      <c r="FU22" s="198"/>
      <c r="FV22" s="198"/>
      <c r="FW22" s="198"/>
      <c r="FX22" s="198"/>
      <c r="FY22" s="198"/>
      <c r="FZ22" s="198"/>
      <c r="GA22" s="198"/>
      <c r="GB22" s="198"/>
      <c r="GC22" s="198"/>
      <c r="GD22" s="198"/>
      <c r="GE22" s="198"/>
      <c r="GF22" s="198"/>
      <c r="GG22" s="198"/>
      <c r="GH22" s="198"/>
      <c r="GI22" s="198"/>
      <c r="GJ22" s="198"/>
      <c r="GK22" s="198"/>
      <c r="GL22" s="198"/>
      <c r="GM22" s="198"/>
      <c r="GN22" s="198"/>
      <c r="GO22" s="198"/>
      <c r="GP22" s="198"/>
      <c r="GQ22" s="198"/>
      <c r="GR22" s="198"/>
      <c r="GS22" s="198"/>
      <c r="GT22" s="198"/>
      <c r="GU22" s="198"/>
      <c r="GV22" s="198"/>
      <c r="GW22" s="198"/>
      <c r="GX22" s="198"/>
      <c r="GY22" s="198"/>
      <c r="GZ22" s="198"/>
      <c r="HA22" s="198"/>
      <c r="HB22" s="198"/>
      <c r="HC22" s="198"/>
      <c r="HD22" s="198"/>
      <c r="HE22" s="198"/>
      <c r="HF22" s="198"/>
      <c r="HG22" s="198"/>
      <c r="HH22" s="198"/>
      <c r="HI22" s="198"/>
      <c r="HJ22" s="198"/>
      <c r="HK22" s="198"/>
      <c r="HL22" s="198"/>
      <c r="HM22" s="198"/>
      <c r="HN22" s="198"/>
      <c r="HO22" s="198"/>
      <c r="HP22" s="198"/>
      <c r="HQ22" s="198"/>
      <c r="HR22" s="198"/>
      <c r="HS22" s="198"/>
      <c r="HT22" s="198"/>
      <c r="HU22" s="198"/>
      <c r="HV22" s="198"/>
      <c r="HW22" s="198"/>
      <c r="HX22" s="198"/>
      <c r="HY22" s="198"/>
      <c r="HZ22" s="198"/>
      <c r="IA22" s="198"/>
      <c r="IB22" s="198"/>
      <c r="IC22" s="198"/>
      <c r="ID22" s="198"/>
      <c r="IE22" s="198"/>
      <c r="IF22" s="198"/>
      <c r="IG22" s="198"/>
      <c r="IH22" s="198"/>
      <c r="II22" s="198"/>
      <c r="IJ22" s="198"/>
      <c r="IK22" s="198"/>
      <c r="IL22" s="198"/>
      <c r="IM22" s="198"/>
      <c r="IN22" s="198"/>
      <c r="IO22" s="198"/>
      <c r="IP22" s="198"/>
      <c r="IQ22" s="198"/>
      <c r="IR22" s="198"/>
      <c r="IS22" s="198"/>
      <c r="IT22" s="198"/>
      <c r="IU22" s="198"/>
      <c r="IV22" s="198"/>
      <c r="IW22" s="198"/>
      <c r="IX22" s="198"/>
      <c r="IY22" s="198"/>
      <c r="IZ22" s="198"/>
      <c r="JA22" s="198"/>
      <c r="JB22" s="198"/>
      <c r="JC22" s="198"/>
      <c r="JD22" s="198"/>
      <c r="JE22" s="198"/>
      <c r="JF22" s="198"/>
      <c r="JG22" s="198"/>
      <c r="JH22" s="198"/>
      <c r="JI22" s="198"/>
      <c r="JJ22" s="198"/>
      <c r="JK22" s="198"/>
      <c r="JL22" s="198"/>
      <c r="JM22" s="198"/>
      <c r="JN22" s="198"/>
      <c r="JO22" s="198"/>
      <c r="JP22" s="198"/>
      <c r="JQ22" s="198"/>
      <c r="JR22" s="198"/>
      <c r="JS22" s="198"/>
      <c r="JT22" s="198"/>
      <c r="JU22" s="198"/>
      <c r="JV22" s="198"/>
      <c r="JW22" s="198"/>
      <c r="JX22" s="198"/>
      <c r="JY22" s="198"/>
      <c r="JZ22" s="198"/>
      <c r="KA22" s="198"/>
      <c r="KB22" s="198"/>
      <c r="KC22" s="198"/>
      <c r="KD22" s="198"/>
      <c r="KE22" s="198"/>
      <c r="KF22" s="198"/>
      <c r="KG22" s="198"/>
      <c r="KH22" s="198"/>
      <c r="KI22" s="198"/>
      <c r="KJ22" s="198"/>
      <c r="KK22" s="198"/>
      <c r="KL22" s="198"/>
      <c r="KM22" s="198"/>
      <c r="KN22" s="198"/>
      <c r="KO22" s="198"/>
      <c r="KP22" s="198"/>
      <c r="KQ22" s="198"/>
      <c r="KR22" s="198"/>
      <c r="KS22" s="198"/>
      <c r="KT22" s="198"/>
      <c r="KU22" s="198"/>
      <c r="KV22" s="198"/>
      <c r="KW22" s="198"/>
      <c r="KX22" s="198"/>
      <c r="KY22" s="198"/>
      <c r="KZ22" s="198"/>
      <c r="LA22" s="198"/>
      <c r="LB22" s="198"/>
      <c r="LC22" s="198"/>
      <c r="LD22" s="198"/>
      <c r="LE22" s="198"/>
      <c r="LF22" s="198"/>
      <c r="LG22" s="198"/>
      <c r="LH22" s="198"/>
      <c r="LI22" s="198"/>
      <c r="LJ22" s="198"/>
      <c r="LK22" s="198"/>
      <c r="LL22" s="198"/>
      <c r="LM22" s="198"/>
      <c r="LN22" s="198"/>
      <c r="LO22" s="198"/>
      <c r="LP22" s="198"/>
      <c r="LQ22" s="198"/>
      <c r="LR22" s="198"/>
      <c r="LS22" s="198"/>
      <c r="LT22" s="198"/>
      <c r="LU22" s="198"/>
      <c r="LV22" s="198"/>
      <c r="LW22" s="198"/>
      <c r="LX22" s="198"/>
      <c r="LY22" s="198"/>
      <c r="LZ22" s="198"/>
      <c r="MA22" s="198"/>
      <c r="MB22" s="198"/>
      <c r="MC22" s="198"/>
      <c r="MD22" s="198"/>
      <c r="ME22" s="198"/>
      <c r="MF22" s="198"/>
      <c r="MG22" s="198"/>
      <c r="MH22" s="198"/>
      <c r="MI22" s="198"/>
      <c r="MJ22" s="198"/>
      <c r="MK22" s="198"/>
      <c r="ML22" s="198"/>
      <c r="MM22" s="198"/>
      <c r="MN22" s="198"/>
      <c r="MO22" s="198"/>
      <c r="MP22" s="198"/>
      <c r="MQ22" s="198"/>
      <c r="MR22" s="198"/>
      <c r="MS22" s="198"/>
      <c r="MT22" s="198"/>
      <c r="MU22" s="198"/>
      <c r="MV22" s="198"/>
      <c r="MW22" s="198"/>
      <c r="MX22" s="198"/>
      <c r="MY22" s="198"/>
      <c r="MZ22" s="198"/>
      <c r="NA22" s="198"/>
      <c r="NB22" s="198"/>
      <c r="NC22" s="198"/>
      <c r="ND22" s="198"/>
      <c r="NE22" s="198"/>
      <c r="NF22" s="198"/>
      <c r="NG22" s="198"/>
      <c r="NH22" s="198"/>
      <c r="NI22" s="198"/>
      <c r="NJ22" s="198"/>
      <c r="NK22" s="198"/>
      <c r="NL22" s="198"/>
      <c r="NM22" s="198"/>
      <c r="NN22" s="198"/>
      <c r="NO22" s="198"/>
      <c r="NP22" s="198"/>
      <c r="NQ22" s="198"/>
    </row>
    <row r="23" spans="1:381" ht="13.8" hidden="1" x14ac:dyDescent="0.25">
      <c r="A23" s="198"/>
      <c r="B23" s="198"/>
      <c r="C23" s="198"/>
      <c r="D23" s="1598" t="s">
        <v>1628</v>
      </c>
      <c r="E23" s="3246"/>
      <c r="F23" s="685"/>
      <c r="G23" s="235"/>
      <c r="H23" s="1597" t="s">
        <v>475</v>
      </c>
      <c r="I23" s="3247"/>
      <c r="J23" s="686"/>
      <c r="K23" s="235"/>
      <c r="L23" s="1596" t="s">
        <v>474</v>
      </c>
      <c r="M23" s="3248"/>
      <c r="N23" s="687"/>
      <c r="O23" s="198"/>
      <c r="P23" s="198"/>
      <c r="Q23" s="198"/>
      <c r="R23" s="198"/>
      <c r="S23" s="198"/>
      <c r="T23" s="198"/>
      <c r="U23" s="198"/>
      <c r="V23" s="198"/>
      <c r="W23" s="198"/>
      <c r="X23" s="198"/>
      <c r="Y23" s="198"/>
      <c r="Z23" s="198"/>
      <c r="AA23" s="198"/>
      <c r="AB23" s="198"/>
      <c r="AC23" s="198"/>
      <c r="AD23" s="198"/>
      <c r="AE23" s="198"/>
      <c r="AF23" s="198"/>
      <c r="AG23" s="198"/>
      <c r="AH23" s="198"/>
      <c r="AI23" s="198"/>
      <c r="AJ23" s="198"/>
      <c r="AK23" s="198"/>
      <c r="AL23" s="198"/>
      <c r="AM23" s="198"/>
      <c r="AN23" s="198"/>
      <c r="AO23" s="198"/>
      <c r="AP23" s="198"/>
      <c r="AQ23" s="198"/>
      <c r="AR23" s="198"/>
      <c r="AS23" s="198"/>
      <c r="AT23" s="198"/>
      <c r="AU23" s="198"/>
      <c r="AV23" s="198"/>
      <c r="AW23" s="198"/>
      <c r="AX23" s="198"/>
      <c r="AY23" s="198"/>
      <c r="AZ23" s="198"/>
      <c r="BA23" s="198"/>
      <c r="BB23" s="198"/>
      <c r="BC23" s="198"/>
      <c r="BD23" s="198"/>
      <c r="BE23" s="198"/>
      <c r="BF23" s="198"/>
      <c r="BG23" s="198"/>
      <c r="BH23" s="198"/>
      <c r="BI23" s="198"/>
      <c r="BJ23" s="198"/>
      <c r="BK23" s="198"/>
      <c r="BL23" s="198"/>
      <c r="BM23" s="198"/>
      <c r="BN23" s="198"/>
      <c r="BO23" s="198"/>
      <c r="BP23" s="198"/>
      <c r="BQ23" s="198"/>
      <c r="BR23" s="198"/>
      <c r="BS23" s="198"/>
      <c r="BT23" s="198"/>
      <c r="BU23" s="198"/>
      <c r="BV23" s="198"/>
      <c r="BW23" s="198"/>
      <c r="BX23" s="198"/>
      <c r="BY23" s="198"/>
      <c r="BZ23" s="198"/>
      <c r="CA23" s="198"/>
      <c r="CB23" s="198"/>
      <c r="CC23" s="198"/>
      <c r="CD23" s="198"/>
      <c r="CE23" s="198"/>
      <c r="CF23" s="198"/>
      <c r="CG23" s="198"/>
      <c r="CH23" s="198"/>
      <c r="CI23" s="198"/>
      <c r="CJ23" s="198"/>
      <c r="CK23" s="198"/>
      <c r="CL23" s="198"/>
      <c r="CM23" s="198"/>
      <c r="CN23" s="198"/>
      <c r="CO23" s="198"/>
      <c r="CP23" s="198"/>
      <c r="CQ23" s="198"/>
      <c r="CR23" s="198"/>
      <c r="CS23" s="198"/>
      <c r="CT23" s="198"/>
      <c r="CU23" s="198"/>
      <c r="CV23" s="198"/>
      <c r="CW23" s="198"/>
      <c r="CX23" s="198"/>
      <c r="CY23" s="198"/>
      <c r="CZ23" s="198"/>
      <c r="DA23" s="198"/>
      <c r="DB23" s="198"/>
      <c r="DC23" s="198"/>
      <c r="DD23" s="198"/>
      <c r="DE23" s="198"/>
      <c r="DF23" s="198"/>
      <c r="DG23" s="198"/>
      <c r="DH23" s="198"/>
      <c r="DI23" s="198"/>
      <c r="DJ23" s="198"/>
      <c r="DK23" s="198"/>
      <c r="DL23" s="198"/>
      <c r="DM23" s="198"/>
      <c r="DN23" s="198"/>
      <c r="DO23" s="198"/>
      <c r="DP23" s="198"/>
      <c r="DQ23" s="198"/>
      <c r="DR23" s="198"/>
      <c r="DS23" s="198"/>
      <c r="DT23" s="198"/>
      <c r="DU23" s="198"/>
      <c r="DV23" s="198"/>
      <c r="DW23" s="198"/>
      <c r="DX23" s="198"/>
      <c r="DY23" s="198"/>
      <c r="DZ23" s="198"/>
      <c r="EA23" s="198"/>
      <c r="EB23" s="198"/>
      <c r="EC23" s="198"/>
      <c r="ED23" s="198"/>
      <c r="EE23" s="198"/>
      <c r="EF23" s="198"/>
      <c r="EG23" s="198"/>
      <c r="EH23" s="198"/>
      <c r="EI23" s="198"/>
      <c r="EJ23" s="198"/>
      <c r="EK23" s="198"/>
      <c r="EL23" s="198"/>
      <c r="EM23" s="198"/>
      <c r="EN23" s="198"/>
      <c r="EO23" s="198"/>
      <c r="EP23" s="540"/>
      <c r="EQ23" s="540"/>
      <c r="ER23" s="540"/>
      <c r="ES23" s="540"/>
      <c r="ET23" s="540"/>
      <c r="EU23" s="540"/>
      <c r="EV23" s="540"/>
      <c r="EW23" s="198"/>
      <c r="EX23" s="198"/>
      <c r="EY23" s="198"/>
      <c r="EZ23" s="198"/>
      <c r="FA23" s="198"/>
      <c r="FB23" s="198"/>
      <c r="FC23" s="198"/>
      <c r="FD23" s="198"/>
      <c r="FE23" s="198"/>
      <c r="FF23" s="198"/>
      <c r="FG23" s="198"/>
      <c r="FH23" s="198"/>
      <c r="FI23" s="198"/>
      <c r="FJ23" s="198"/>
      <c r="FK23" s="198"/>
      <c r="FL23" s="198"/>
      <c r="FM23" s="198"/>
      <c r="FN23" s="198"/>
      <c r="FO23" s="198"/>
      <c r="FP23" s="198"/>
      <c r="FQ23" s="198"/>
      <c r="FR23" s="198"/>
      <c r="FS23" s="198"/>
      <c r="FT23" s="198"/>
      <c r="FU23" s="198"/>
      <c r="FV23" s="198"/>
      <c r="FW23" s="198"/>
      <c r="FX23" s="198"/>
      <c r="FY23" s="198"/>
      <c r="FZ23" s="198"/>
      <c r="GA23" s="198"/>
      <c r="GB23" s="198"/>
      <c r="GC23" s="198"/>
      <c r="GD23" s="198"/>
      <c r="GE23" s="198"/>
      <c r="GF23" s="198"/>
      <c r="GG23" s="198"/>
      <c r="GH23" s="198"/>
      <c r="GI23" s="198"/>
      <c r="GJ23" s="198"/>
      <c r="GK23" s="198"/>
      <c r="GL23" s="198"/>
      <c r="GM23" s="198"/>
      <c r="GN23" s="198"/>
      <c r="GO23" s="198"/>
      <c r="GP23" s="198"/>
      <c r="GQ23" s="198"/>
      <c r="GR23" s="198"/>
      <c r="GS23" s="198"/>
      <c r="GT23" s="198"/>
      <c r="GU23" s="198"/>
      <c r="GV23" s="198"/>
      <c r="GW23" s="198"/>
      <c r="GX23" s="198"/>
      <c r="GY23" s="198"/>
      <c r="GZ23" s="198"/>
      <c r="HA23" s="198"/>
      <c r="HB23" s="198"/>
      <c r="HC23" s="198"/>
      <c r="HD23" s="198"/>
      <c r="HE23" s="198"/>
      <c r="HF23" s="198"/>
      <c r="HG23" s="198"/>
      <c r="HH23" s="198"/>
      <c r="HI23" s="198"/>
      <c r="HJ23" s="198"/>
      <c r="HK23" s="198"/>
      <c r="HL23" s="198"/>
      <c r="HM23" s="198"/>
      <c r="HN23" s="198"/>
      <c r="HO23" s="198"/>
      <c r="HP23" s="198"/>
      <c r="HQ23" s="198"/>
      <c r="HR23" s="198"/>
      <c r="HS23" s="198"/>
      <c r="HT23" s="198"/>
      <c r="HU23" s="198"/>
      <c r="HV23" s="198"/>
      <c r="HW23" s="198"/>
      <c r="HX23" s="198"/>
      <c r="HY23" s="198"/>
      <c r="HZ23" s="198"/>
      <c r="IA23" s="198"/>
      <c r="IB23" s="198"/>
      <c r="IC23" s="198"/>
      <c r="ID23" s="198"/>
      <c r="IE23" s="198"/>
      <c r="IF23" s="198"/>
      <c r="IG23" s="198"/>
      <c r="IH23" s="198"/>
      <c r="II23" s="198"/>
      <c r="IJ23" s="198"/>
      <c r="IK23" s="198"/>
      <c r="IL23" s="198"/>
      <c r="IM23" s="198"/>
      <c r="IN23" s="198"/>
      <c r="IO23" s="198"/>
      <c r="IP23" s="198"/>
      <c r="IQ23" s="198"/>
      <c r="IR23" s="198"/>
      <c r="IS23" s="198"/>
      <c r="IT23" s="198"/>
      <c r="IU23" s="198"/>
      <c r="IV23" s="198"/>
      <c r="IW23" s="198"/>
      <c r="IX23" s="198"/>
      <c r="IY23" s="198"/>
      <c r="IZ23" s="198"/>
      <c r="JA23" s="198"/>
      <c r="JB23" s="198"/>
      <c r="JC23" s="198"/>
      <c r="JD23" s="198"/>
      <c r="JE23" s="198"/>
      <c r="JF23" s="198"/>
      <c r="JG23" s="198"/>
      <c r="JH23" s="198"/>
      <c r="JI23" s="198"/>
      <c r="JJ23" s="198"/>
      <c r="JK23" s="198"/>
      <c r="JL23" s="198"/>
      <c r="JM23" s="198"/>
      <c r="JN23" s="198"/>
      <c r="JO23" s="198"/>
      <c r="JP23" s="198"/>
      <c r="JQ23" s="198"/>
      <c r="JR23" s="198"/>
      <c r="JS23" s="198"/>
      <c r="JT23" s="198"/>
      <c r="JU23" s="198"/>
      <c r="JV23" s="198"/>
      <c r="JW23" s="198"/>
      <c r="JX23" s="198"/>
      <c r="JY23" s="198"/>
      <c r="JZ23" s="198"/>
      <c r="KA23" s="198"/>
      <c r="KB23" s="198"/>
      <c r="KC23" s="198"/>
      <c r="KD23" s="198"/>
      <c r="KE23" s="198"/>
      <c r="KF23" s="198"/>
      <c r="KG23" s="198"/>
      <c r="KH23" s="198"/>
      <c r="KI23" s="198"/>
      <c r="KJ23" s="198"/>
      <c r="KK23" s="198"/>
      <c r="KL23" s="198"/>
      <c r="KM23" s="198"/>
      <c r="KN23" s="198"/>
      <c r="KO23" s="198"/>
      <c r="KP23" s="198"/>
      <c r="KQ23" s="198"/>
      <c r="KR23" s="198"/>
      <c r="KS23" s="198"/>
      <c r="KT23" s="198"/>
      <c r="KU23" s="198"/>
      <c r="KV23" s="198"/>
      <c r="KW23" s="198"/>
      <c r="KX23" s="198"/>
      <c r="KY23" s="198"/>
      <c r="KZ23" s="198"/>
      <c r="LA23" s="198"/>
      <c r="LB23" s="198"/>
      <c r="LC23" s="198"/>
      <c r="LD23" s="198"/>
      <c r="LE23" s="198"/>
      <c r="LF23" s="198"/>
      <c r="LG23" s="198"/>
      <c r="LH23" s="198"/>
      <c r="LI23" s="198"/>
      <c r="LJ23" s="198"/>
      <c r="LK23" s="198"/>
      <c r="LL23" s="198"/>
      <c r="LM23" s="198"/>
      <c r="LN23" s="198"/>
      <c r="LO23" s="198"/>
      <c r="LP23" s="198"/>
      <c r="LQ23" s="198"/>
      <c r="LR23" s="198"/>
      <c r="LS23" s="198"/>
      <c r="LT23" s="198"/>
      <c r="LU23" s="198"/>
      <c r="LV23" s="198"/>
      <c r="LW23" s="198"/>
      <c r="LX23" s="198"/>
      <c r="LY23" s="198"/>
      <c r="LZ23" s="198"/>
      <c r="MA23" s="198"/>
      <c r="MB23" s="198"/>
      <c r="MC23" s="198"/>
      <c r="MD23" s="198"/>
      <c r="ME23" s="198"/>
      <c r="MF23" s="198"/>
      <c r="MG23" s="198"/>
      <c r="MH23" s="198"/>
      <c r="MI23" s="198"/>
      <c r="MJ23" s="198"/>
      <c r="MK23" s="198"/>
      <c r="ML23" s="198"/>
      <c r="MM23" s="198"/>
      <c r="MN23" s="198"/>
      <c r="MO23" s="198"/>
      <c r="MP23" s="198"/>
      <c r="MQ23" s="198"/>
      <c r="MR23" s="198"/>
      <c r="MS23" s="198"/>
      <c r="MT23" s="198"/>
      <c r="MU23" s="198"/>
      <c r="MV23" s="198"/>
      <c r="MW23" s="198"/>
      <c r="MX23" s="198"/>
      <c r="MY23" s="198"/>
      <c r="MZ23" s="198"/>
      <c r="NA23" s="198"/>
      <c r="NB23" s="198"/>
      <c r="NC23" s="198"/>
      <c r="ND23" s="198"/>
      <c r="NE23" s="198"/>
      <c r="NF23" s="198"/>
      <c r="NG23" s="198"/>
      <c r="NH23" s="198"/>
      <c r="NI23" s="198"/>
      <c r="NJ23" s="198"/>
      <c r="NK23" s="198"/>
      <c r="NL23" s="198"/>
      <c r="NM23" s="198"/>
      <c r="NN23" s="198"/>
      <c r="NO23" s="198"/>
      <c r="NP23" s="198"/>
      <c r="NQ23" s="198"/>
    </row>
    <row r="24" spans="1:381" ht="13.5" customHeight="1" thickBot="1" x14ac:dyDescent="0.35">
      <c r="A24" s="198"/>
      <c r="B24" s="198"/>
      <c r="C24" s="198"/>
      <c r="D24" s="198"/>
      <c r="E24" s="198"/>
      <c r="F24" s="198"/>
      <c r="G24" s="198"/>
      <c r="H24" s="198"/>
      <c r="I24" s="198"/>
      <c r="J24" s="198"/>
      <c r="K24" s="198"/>
      <c r="L24" s="198"/>
      <c r="M24" s="198"/>
      <c r="N24" s="198"/>
      <c r="O24" s="198"/>
      <c r="P24" s="198"/>
      <c r="Q24" s="198"/>
      <c r="R24" s="198"/>
      <c r="S24" s="198"/>
      <c r="T24" s="198"/>
      <c r="U24" s="198"/>
      <c r="V24" s="198"/>
      <c r="W24" s="198"/>
      <c r="X24" s="198"/>
      <c r="Y24" s="198"/>
      <c r="Z24" s="198"/>
      <c r="AA24" s="198"/>
      <c r="AB24" s="198"/>
      <c r="AC24" s="198"/>
      <c r="AD24" s="198"/>
      <c r="AE24" s="198"/>
      <c r="AF24" s="198"/>
      <c r="AG24" s="198"/>
      <c r="AH24" s="198"/>
      <c r="AI24" s="198"/>
      <c r="AJ24" s="198"/>
      <c r="AK24" s="198"/>
      <c r="AL24" s="198"/>
      <c r="AM24" s="198"/>
      <c r="AN24" s="198"/>
      <c r="AO24" s="198"/>
      <c r="AP24" s="198"/>
      <c r="AQ24" s="198"/>
      <c r="AR24" s="198"/>
      <c r="AS24" s="198"/>
      <c r="AT24" s="198"/>
      <c r="AU24" s="198"/>
      <c r="AV24" s="198"/>
      <c r="AW24" s="198"/>
      <c r="AX24" s="198"/>
      <c r="AY24" s="198"/>
      <c r="AZ24" s="198"/>
      <c r="BA24" s="198"/>
      <c r="BB24" s="198"/>
      <c r="BC24" s="198"/>
      <c r="BD24" s="198"/>
      <c r="BE24" s="198"/>
      <c r="BF24" s="198"/>
      <c r="BG24" s="198"/>
      <c r="BH24" s="198"/>
      <c r="BI24" s="198"/>
      <c r="BJ24" s="198"/>
      <c r="BK24" s="198"/>
      <c r="BL24" s="198"/>
      <c r="BM24" s="198"/>
      <c r="BN24" s="198"/>
      <c r="BO24" s="198"/>
      <c r="BP24" s="198"/>
      <c r="BQ24" s="198"/>
      <c r="BR24" s="198"/>
      <c r="BS24" s="198"/>
      <c r="BT24" s="198"/>
      <c r="BU24" s="198"/>
      <c r="BV24" s="198"/>
      <c r="BW24" s="198"/>
      <c r="BX24" s="198"/>
      <c r="BY24" s="198"/>
      <c r="BZ24" s="198"/>
      <c r="CA24" s="198"/>
      <c r="CB24" s="198"/>
      <c r="CC24" s="198"/>
      <c r="CD24" s="198"/>
      <c r="CE24" s="198"/>
      <c r="CF24" s="198"/>
      <c r="CG24" s="198"/>
      <c r="CH24" s="198"/>
      <c r="CI24" s="198"/>
      <c r="CJ24" s="198"/>
      <c r="CK24" s="198"/>
      <c r="CL24" s="198"/>
      <c r="CM24" s="198"/>
      <c r="CN24" s="198"/>
      <c r="CO24" s="198"/>
      <c r="CP24" s="198"/>
      <c r="CQ24" s="198"/>
      <c r="CR24" s="198"/>
      <c r="CS24" s="198"/>
      <c r="CT24" s="198"/>
      <c r="CU24" s="198"/>
      <c r="CV24" s="198"/>
      <c r="CW24" s="198"/>
      <c r="CX24" s="198"/>
      <c r="CY24" s="198"/>
      <c r="CZ24" s="198"/>
      <c r="DA24" s="198"/>
      <c r="DB24" s="198"/>
      <c r="DC24" s="198"/>
      <c r="DD24" s="198"/>
      <c r="DE24" s="198"/>
      <c r="DF24" s="198"/>
      <c r="DG24" s="198"/>
      <c r="DH24" s="198"/>
      <c r="DI24" s="198"/>
      <c r="DJ24" s="198"/>
      <c r="DK24" s="198"/>
      <c r="DL24" s="198"/>
      <c r="DM24" s="198"/>
      <c r="DN24" s="198"/>
      <c r="DO24" s="198"/>
      <c r="DP24" s="198"/>
      <c r="DQ24" s="198"/>
      <c r="DR24" s="198"/>
      <c r="DS24" s="198"/>
      <c r="DT24" s="198"/>
      <c r="DU24" s="198"/>
      <c r="DV24" s="198"/>
      <c r="DW24" s="198"/>
      <c r="DX24" s="198"/>
      <c r="DY24" s="198"/>
      <c r="DZ24" s="198"/>
      <c r="EA24" s="198"/>
      <c r="EB24" s="198"/>
      <c r="EC24" s="198"/>
      <c r="ED24" s="198"/>
      <c r="EE24" s="198"/>
      <c r="EF24" s="198"/>
      <c r="EG24" s="198"/>
      <c r="EH24" s="198"/>
      <c r="EI24" s="198"/>
      <c r="EJ24" s="198"/>
      <c r="EK24" s="198"/>
      <c r="EL24" s="198"/>
      <c r="EM24" s="198"/>
      <c r="EN24" s="198"/>
      <c r="EO24" s="198"/>
      <c r="EP24" s="540"/>
      <c r="EQ24" s="540"/>
      <c r="ER24" s="540"/>
      <c r="ES24" s="540"/>
      <c r="ET24" s="540"/>
      <c r="EU24" s="540"/>
      <c r="EV24" s="540"/>
      <c r="EW24" s="198"/>
      <c r="EX24" s="198"/>
      <c r="EY24" s="198"/>
      <c r="EZ24" s="198"/>
      <c r="FA24" s="198"/>
      <c r="FB24" s="198"/>
      <c r="FC24" s="198"/>
      <c r="FD24" s="198"/>
      <c r="FE24" s="198"/>
      <c r="FF24" s="198"/>
      <c r="FG24" s="198"/>
      <c r="FH24" s="198"/>
      <c r="FI24" s="198"/>
      <c r="FJ24" s="198"/>
      <c r="FK24" s="198"/>
      <c r="FL24" s="198"/>
      <c r="FM24" s="198"/>
      <c r="FN24" s="198"/>
      <c r="FO24" s="198"/>
      <c r="FP24" s="198"/>
      <c r="FQ24" s="198"/>
      <c r="FR24" s="198"/>
      <c r="FS24" s="198"/>
      <c r="FT24" s="198"/>
      <c r="FU24" s="198"/>
      <c r="FV24" s="198"/>
      <c r="FW24" s="198"/>
      <c r="FX24" s="198"/>
      <c r="FY24" s="198"/>
      <c r="FZ24" s="198"/>
      <c r="GA24" s="198"/>
      <c r="GB24" s="198"/>
      <c r="GC24" s="198"/>
      <c r="GD24" s="198"/>
      <c r="GE24" s="198"/>
      <c r="GF24" s="198"/>
      <c r="GG24" s="198"/>
      <c r="GH24" s="198"/>
      <c r="GI24" s="198"/>
      <c r="GJ24" s="198"/>
      <c r="GK24" s="198"/>
      <c r="GL24" s="198"/>
      <c r="GM24" s="198"/>
      <c r="GN24" s="198"/>
      <c r="GO24" s="198"/>
      <c r="GP24" s="198"/>
      <c r="GQ24" s="198"/>
      <c r="GR24" s="198"/>
      <c r="GS24" s="198"/>
      <c r="GT24" s="198"/>
      <c r="GU24" s="198"/>
      <c r="GV24" s="198"/>
      <c r="GW24" s="198"/>
      <c r="GX24" s="198"/>
      <c r="GY24" s="764"/>
      <c r="GZ24" s="764"/>
      <c r="HA24" s="764"/>
      <c r="HB24" s="764"/>
      <c r="HC24" s="764"/>
      <c r="HD24" s="764"/>
      <c r="HE24" s="764"/>
      <c r="HF24" s="764"/>
      <c r="HG24" s="764"/>
      <c r="HH24" s="764"/>
      <c r="HI24" s="764"/>
      <c r="HJ24" s="764"/>
      <c r="HK24" s="764"/>
      <c r="HL24" s="764"/>
      <c r="HM24" s="764"/>
      <c r="HN24" s="764"/>
      <c r="HO24" s="764"/>
      <c r="HP24" s="764"/>
      <c r="HQ24" s="764"/>
      <c r="HR24" s="764"/>
      <c r="HS24" s="1975"/>
      <c r="HT24" s="764"/>
      <c r="HU24" s="764"/>
      <c r="HV24" s="1975"/>
      <c r="HW24" s="764"/>
      <c r="HX24" s="764"/>
      <c r="HY24" s="764"/>
      <c r="HZ24" s="764"/>
      <c r="IA24" s="764"/>
      <c r="IB24" s="764"/>
      <c r="IC24" s="764"/>
      <c r="ID24" s="764"/>
      <c r="IE24" s="764"/>
      <c r="IF24" s="764"/>
      <c r="IG24" s="764"/>
      <c r="IH24" s="764"/>
      <c r="II24" s="764"/>
      <c r="IJ24" s="764"/>
      <c r="IK24" s="764"/>
      <c r="IL24" s="764"/>
      <c r="IM24" s="764"/>
      <c r="IN24" s="764"/>
      <c r="IO24" s="764"/>
      <c r="IP24" s="764"/>
      <c r="IQ24" s="764"/>
      <c r="IR24" s="764"/>
      <c r="IS24" s="764"/>
      <c r="IT24" s="764"/>
      <c r="IU24" s="764"/>
      <c r="IV24" s="764"/>
      <c r="IW24" s="764"/>
      <c r="IX24" s="764"/>
      <c r="IY24" s="764"/>
      <c r="IZ24" s="1974"/>
      <c r="JA24" s="1974"/>
      <c r="JB24" s="764"/>
      <c r="JC24" s="764"/>
      <c r="JD24" s="764"/>
      <c r="JE24" s="764"/>
      <c r="JF24" s="764"/>
      <c r="JG24" s="764"/>
      <c r="JH24" s="764"/>
      <c r="JI24" s="764"/>
      <c r="JJ24" s="764"/>
      <c r="JK24" s="764"/>
      <c r="JL24" s="764"/>
      <c r="JM24" s="764"/>
      <c r="JN24" s="764"/>
      <c r="JO24" s="764"/>
      <c r="JP24" s="764"/>
      <c r="JQ24" s="764"/>
      <c r="JR24" s="764"/>
      <c r="JS24" s="764"/>
      <c r="JT24" s="764"/>
      <c r="JU24" s="764"/>
      <c r="JV24" s="764"/>
      <c r="JW24" s="764"/>
      <c r="JX24" s="764"/>
      <c r="JY24" s="764"/>
      <c r="JZ24" s="764"/>
      <c r="KA24" s="764"/>
      <c r="KB24" s="764"/>
      <c r="KC24" s="764"/>
      <c r="KD24" s="764"/>
      <c r="KE24" s="764"/>
      <c r="KF24" s="764"/>
      <c r="KG24" s="764"/>
      <c r="KH24" s="764"/>
      <c r="KI24" s="764"/>
      <c r="KJ24" s="764"/>
      <c r="KK24" s="764"/>
      <c r="KL24" s="764"/>
      <c r="KM24" s="764"/>
      <c r="KN24" s="764"/>
      <c r="KO24" s="764"/>
      <c r="KP24" s="764"/>
      <c r="KQ24" s="764"/>
      <c r="KR24" s="764"/>
      <c r="KS24" s="764"/>
      <c r="KT24" s="764"/>
      <c r="KU24" s="764"/>
      <c r="KV24" s="764"/>
      <c r="KW24" s="764"/>
      <c r="KX24" s="764"/>
      <c r="KY24" s="764"/>
      <c r="KZ24" s="764"/>
      <c r="LA24" s="764"/>
      <c r="LB24" s="764"/>
      <c r="LC24" s="764"/>
      <c r="LD24" s="764"/>
      <c r="LE24" s="764"/>
      <c r="LF24" s="764"/>
      <c r="LG24" s="764"/>
      <c r="LH24" s="764"/>
      <c r="LI24" s="764"/>
      <c r="LJ24" s="764"/>
      <c r="LK24" s="764"/>
      <c r="LL24" s="764"/>
      <c r="LM24" s="764"/>
      <c r="LN24" s="764"/>
      <c r="LO24" s="764"/>
      <c r="LP24" s="1975"/>
      <c r="LQ24" s="1975"/>
      <c r="LR24" s="1975"/>
      <c r="LS24" s="1975"/>
      <c r="LT24" s="1975"/>
      <c r="LU24" s="1975"/>
      <c r="LV24" s="1975"/>
      <c r="LW24" s="1975"/>
      <c r="LX24" s="1975"/>
      <c r="LY24" s="1975"/>
      <c r="LZ24" s="1975"/>
      <c r="MA24" s="1975"/>
      <c r="MB24" s="1975"/>
      <c r="MC24" s="1975"/>
      <c r="MD24" s="1975"/>
      <c r="ME24" s="1975"/>
      <c r="MF24" s="1975"/>
      <c r="MG24" s="1975"/>
      <c r="MH24" s="1975"/>
      <c r="MI24" s="1975"/>
      <c r="MJ24" s="1975"/>
      <c r="MK24" s="1975"/>
      <c r="ML24" s="1975"/>
      <c r="MM24" s="1975"/>
      <c r="MN24" s="1975"/>
      <c r="MO24" s="1975"/>
      <c r="MP24" s="1975"/>
      <c r="MQ24" s="1975"/>
      <c r="MR24" s="1975"/>
      <c r="MS24" s="1975"/>
      <c r="MT24" s="1975"/>
      <c r="MU24" s="1975"/>
      <c r="MV24" s="1975"/>
      <c r="MW24" s="1975"/>
      <c r="MX24" s="1975"/>
      <c r="MY24" s="1975"/>
      <c r="MZ24" s="1975"/>
      <c r="NA24" s="1975"/>
      <c r="NB24" s="1975"/>
      <c r="NC24" s="1975"/>
      <c r="ND24" s="1975"/>
      <c r="NE24" s="1975"/>
      <c r="NF24" s="1975"/>
      <c r="NG24" s="1975"/>
      <c r="NH24" s="1975"/>
      <c r="NI24" s="1975"/>
    </row>
    <row r="25" spans="1:381" ht="13.5" customHeight="1" thickTop="1" x14ac:dyDescent="0.3">
      <c r="A25" s="198"/>
      <c r="B25" s="256" t="s">
        <v>4301</v>
      </c>
      <c r="C25" s="198"/>
      <c r="D25" s="3340">
        <f>SUMIFS('3b Activity Plan'!$AA$173:$AA$365,'3b Activity Plan'!$CY$173:$CY$365,1,'3b Activity Plan'!$CQ$173:$CQ$365,1,'3b Activity Plan'!$AI$173:$AI$365,"")+SUMIFS('3b Activity Plan'!$AA$173:$AA$365,'3b Activity Plan'!$CY$173:$CY$365,1,'3b Activity Plan'!$CQ$173:$CQ$365,1,'3b Activity Plan'!$AI$173:$AI$365,"B")</f>
        <v>0</v>
      </c>
      <c r="E25" s="198"/>
      <c r="F25" s="198"/>
      <c r="G25" s="198"/>
      <c r="H25" s="3340">
        <f>SUMIFS('3a Staff Plan'!$AA$129:$AA$305,'3a Staff Plan'!$DF$129:$DF$305,1,'3a Staff Plan'!$CX$129:$CX$305,1,'3a Staff Plan'!$DG$129:$DG$305,"")+SUMIFS('3a Staff Plan'!$AA$129:$AA$305,'3a Staff Plan'!$DF$129:$DF$305,1,'3a Staff Plan'!$CX$129:$CX$305,1,'3a Staff Plan'!$DG$129:$DG$305,"B")</f>
        <v>0</v>
      </c>
      <c r="I25" s="198"/>
      <c r="J25" s="198"/>
      <c r="K25" s="198"/>
      <c r="L25" s="198"/>
      <c r="M25" s="198"/>
      <c r="N25" s="198"/>
      <c r="O25" s="198"/>
      <c r="P25" s="198"/>
      <c r="Q25" s="198"/>
      <c r="R25" s="198"/>
      <c r="S25" s="198"/>
      <c r="T25" s="198"/>
      <c r="U25" s="198"/>
      <c r="V25" s="198"/>
      <c r="W25" s="198"/>
      <c r="X25" s="198"/>
      <c r="Y25" s="198"/>
      <c r="Z25" s="198"/>
      <c r="AA25" s="198"/>
      <c r="AB25" s="198"/>
      <c r="AC25" s="198"/>
      <c r="AD25" s="198"/>
      <c r="AE25" s="198"/>
      <c r="AF25" s="198"/>
      <c r="AG25" s="198"/>
      <c r="AH25" s="198"/>
      <c r="AI25" s="198"/>
      <c r="AJ25" s="198"/>
      <c r="AK25" s="198"/>
      <c r="AL25" s="198"/>
      <c r="AM25" s="198"/>
      <c r="AN25" s="198"/>
      <c r="AO25" s="198"/>
      <c r="AP25" s="198"/>
      <c r="AQ25" s="198"/>
      <c r="AR25" s="198"/>
      <c r="AS25" s="198"/>
      <c r="AT25" s="198"/>
      <c r="AU25" s="198"/>
      <c r="AV25" s="198"/>
      <c r="AW25" s="198"/>
      <c r="AX25" s="198"/>
      <c r="AY25" s="198"/>
      <c r="AZ25" s="198"/>
      <c r="BA25" s="198"/>
      <c r="BB25" s="198"/>
      <c r="BC25" s="198"/>
      <c r="BD25" s="198"/>
      <c r="BE25" s="198"/>
      <c r="BF25" s="198"/>
      <c r="BG25" s="198"/>
      <c r="BH25" s="198"/>
      <c r="BI25" s="198"/>
      <c r="BJ25" s="198"/>
      <c r="BK25" s="198"/>
      <c r="BL25" s="198"/>
      <c r="BM25" s="198"/>
      <c r="BN25" s="198"/>
      <c r="BO25" s="198"/>
      <c r="BP25" s="198"/>
      <c r="BQ25" s="198"/>
      <c r="BR25" s="198"/>
      <c r="BS25" s="198"/>
      <c r="BT25" s="198"/>
      <c r="BU25" s="198"/>
      <c r="BV25" s="198"/>
      <c r="BW25" s="198"/>
      <c r="BX25" s="198"/>
      <c r="BY25" s="198"/>
      <c r="BZ25" s="198"/>
      <c r="CA25" s="198"/>
      <c r="CB25" s="198"/>
      <c r="CC25" s="198"/>
      <c r="CD25" s="198"/>
      <c r="CE25" s="198"/>
      <c r="CF25" s="198"/>
      <c r="CG25" s="198"/>
      <c r="CH25" s="198"/>
      <c r="CI25" s="198"/>
      <c r="CJ25" s="198"/>
      <c r="CK25" s="198"/>
      <c r="CL25" s="198"/>
      <c r="CM25" s="198"/>
      <c r="CN25" s="198"/>
      <c r="CO25" s="198"/>
      <c r="CP25" s="198"/>
      <c r="CQ25" s="198"/>
      <c r="CR25" s="198"/>
      <c r="CS25" s="198"/>
      <c r="CT25" s="198"/>
      <c r="CU25" s="198"/>
      <c r="CV25" s="198"/>
      <c r="CW25" s="198"/>
      <c r="CX25" s="198"/>
      <c r="CY25" s="198"/>
      <c r="CZ25" s="198"/>
      <c r="DA25" s="198"/>
      <c r="DB25" s="198"/>
      <c r="DC25" s="198"/>
      <c r="DD25" s="198"/>
      <c r="DE25" s="198"/>
      <c r="DF25" s="198"/>
      <c r="DG25" s="198"/>
      <c r="DH25" s="198"/>
      <c r="DI25" s="198"/>
      <c r="DJ25" s="198"/>
      <c r="DK25" s="198"/>
      <c r="DL25" s="198"/>
      <c r="DM25" s="198"/>
      <c r="DN25" s="198"/>
      <c r="DO25" s="198"/>
      <c r="DP25" s="198"/>
      <c r="DQ25" s="198"/>
      <c r="DR25" s="198"/>
      <c r="DS25" s="198"/>
      <c r="DT25" s="198"/>
      <c r="DU25" s="198"/>
      <c r="DV25" s="198"/>
      <c r="DW25" s="198"/>
      <c r="DX25" s="198"/>
      <c r="DY25" s="198"/>
      <c r="DZ25" s="198"/>
      <c r="EA25" s="198"/>
      <c r="EB25" s="198"/>
      <c r="EC25" s="198"/>
      <c r="ED25" s="198"/>
      <c r="EE25" s="198"/>
      <c r="EF25" s="198"/>
      <c r="EG25" s="198"/>
      <c r="EH25" s="198"/>
      <c r="EI25" s="198"/>
      <c r="EJ25" s="198"/>
      <c r="EK25" s="198"/>
      <c r="EL25" s="198"/>
      <c r="EM25" s="198"/>
      <c r="EN25" s="198"/>
      <c r="EO25" s="198"/>
      <c r="EP25" s="540"/>
      <c r="EQ25" s="540"/>
      <c r="ER25" s="540"/>
      <c r="ES25" s="540"/>
      <c r="ET25" s="540"/>
      <c r="EU25" s="540"/>
      <c r="EV25" s="540"/>
      <c r="EW25" s="198"/>
      <c r="EX25" s="198"/>
      <c r="EY25" s="198"/>
      <c r="EZ25" s="198"/>
      <c r="FA25" s="198"/>
      <c r="FB25" s="198"/>
      <c r="FC25" s="198"/>
      <c r="FD25" s="198"/>
      <c r="FE25" s="198"/>
      <c r="FF25" s="198"/>
      <c r="FG25" s="198"/>
      <c r="FH25" s="198"/>
      <c r="FI25" s="198"/>
      <c r="FJ25" s="198"/>
      <c r="FK25" s="198"/>
      <c r="FL25" s="198"/>
      <c r="FM25" s="198"/>
      <c r="FN25" s="198"/>
      <c r="FO25" s="198"/>
      <c r="FP25" s="198"/>
      <c r="FQ25" s="198"/>
      <c r="FR25" s="198"/>
      <c r="FS25" s="198"/>
      <c r="FT25" s="198"/>
      <c r="FU25" s="198"/>
      <c r="FV25" s="198"/>
      <c r="FW25" s="198"/>
      <c r="FX25" s="198"/>
      <c r="FY25" s="198"/>
      <c r="FZ25" s="198"/>
      <c r="GA25" s="198"/>
      <c r="GB25" s="198"/>
      <c r="GC25" s="198"/>
      <c r="GD25" s="198"/>
      <c r="GE25" s="198"/>
      <c r="GF25" s="198"/>
      <c r="GG25" s="198"/>
      <c r="GH25" s="198"/>
      <c r="GI25" s="198"/>
      <c r="GJ25" s="198"/>
      <c r="GK25" s="198"/>
      <c r="GL25" s="198"/>
      <c r="GM25" s="198"/>
      <c r="GN25" s="198"/>
      <c r="GO25" s="198"/>
      <c r="GP25" s="198"/>
      <c r="GQ25" s="198"/>
      <c r="GR25" s="198"/>
      <c r="GS25" s="198"/>
      <c r="GT25" s="198"/>
      <c r="GU25" s="198"/>
      <c r="GV25" s="198"/>
      <c r="GW25" s="198"/>
      <c r="GX25" s="198"/>
      <c r="GY25" s="764"/>
      <c r="GZ25" s="242"/>
      <c r="HA25" s="243"/>
      <c r="HB25" s="243"/>
      <c r="HC25" s="243"/>
      <c r="HD25" s="243"/>
      <c r="HE25" s="243"/>
      <c r="HF25" s="243"/>
      <c r="HG25" s="243"/>
      <c r="HH25" s="243"/>
      <c r="HI25" s="243"/>
      <c r="HJ25" s="243"/>
      <c r="HK25" s="243"/>
      <c r="HL25" s="243"/>
      <c r="HM25" s="243"/>
      <c r="HN25" s="244"/>
      <c r="HO25" s="764"/>
      <c r="HP25" s="764"/>
      <c r="HQ25" s="764"/>
      <c r="HR25" s="764"/>
      <c r="HS25" s="1975"/>
      <c r="HT25" s="764"/>
      <c r="HU25" s="764"/>
      <c r="HV25" s="1975"/>
      <c r="HW25" s="764"/>
      <c r="HX25" s="764"/>
      <c r="HY25" s="764"/>
      <c r="HZ25" s="764"/>
      <c r="IA25" s="764"/>
      <c r="IB25" s="764"/>
      <c r="IC25" s="764"/>
      <c r="ID25" s="764"/>
      <c r="IE25" s="764"/>
      <c r="IF25" s="764"/>
      <c r="IG25" s="764"/>
      <c r="IH25" s="764"/>
      <c r="II25" s="764"/>
      <c r="IJ25" s="764"/>
      <c r="IK25" s="764"/>
      <c r="IL25" s="764"/>
      <c r="IM25" s="764"/>
      <c r="IN25" s="764"/>
      <c r="IO25" s="764"/>
      <c r="IP25" s="764"/>
      <c r="IQ25" s="764"/>
      <c r="IR25" s="764"/>
      <c r="IS25" s="764"/>
      <c r="IT25" s="764"/>
      <c r="IU25" s="764"/>
      <c r="IV25" s="764"/>
      <c r="IW25" s="764"/>
      <c r="IX25" s="764"/>
      <c r="IY25" s="764"/>
      <c r="IZ25" s="1974"/>
      <c r="JA25" s="1974"/>
      <c r="JB25" s="764"/>
      <c r="JC25" s="764"/>
      <c r="JD25" s="764"/>
      <c r="JE25" s="764"/>
      <c r="JF25" s="764"/>
      <c r="JG25" s="764"/>
      <c r="JH25" s="764"/>
      <c r="JI25" s="764"/>
      <c r="JJ25" s="764"/>
      <c r="JK25" s="764"/>
      <c r="JL25" s="764"/>
      <c r="JM25" s="764"/>
      <c r="JN25" s="764"/>
      <c r="JO25" s="764"/>
      <c r="JP25" s="764"/>
      <c r="JQ25" s="764"/>
      <c r="JR25" s="764"/>
      <c r="JS25" s="764"/>
      <c r="JT25" s="764"/>
      <c r="JU25" s="764"/>
      <c r="JV25" s="764"/>
      <c r="JW25" s="764"/>
      <c r="JX25" s="764"/>
      <c r="JY25" s="764"/>
      <c r="JZ25" s="764"/>
      <c r="KA25" s="764"/>
      <c r="KB25" s="764"/>
      <c r="KC25" s="764"/>
      <c r="KD25" s="764"/>
      <c r="KE25" s="764"/>
      <c r="KF25" s="764"/>
      <c r="KG25" s="764"/>
      <c r="KH25" s="764"/>
      <c r="KI25" s="764"/>
      <c r="KJ25" s="764"/>
      <c r="KK25" s="764"/>
      <c r="KL25" s="764"/>
      <c r="KM25" s="764"/>
      <c r="KN25" s="764"/>
      <c r="KO25" s="764"/>
      <c r="KP25" s="764"/>
      <c r="KQ25" s="764"/>
      <c r="KR25" s="764"/>
      <c r="KS25" s="764"/>
      <c r="KT25" s="764"/>
      <c r="KU25" s="764"/>
      <c r="KV25" s="764"/>
      <c r="KW25" s="764"/>
      <c r="KX25" s="764"/>
      <c r="KY25" s="764"/>
      <c r="KZ25" s="764"/>
      <c r="LA25" s="764"/>
      <c r="LB25" s="764"/>
      <c r="LC25" s="764"/>
      <c r="LD25" s="764"/>
      <c r="LE25" s="764"/>
      <c r="LF25" s="764"/>
      <c r="LG25" s="764"/>
      <c r="LH25" s="764"/>
      <c r="LI25" s="764"/>
      <c r="LJ25" s="764"/>
      <c r="LK25" s="764"/>
      <c r="LL25" s="764"/>
      <c r="LM25" s="764"/>
      <c r="LN25" s="764"/>
      <c r="LO25" s="764"/>
      <c r="LP25" s="1975"/>
      <c r="LQ25" s="1975"/>
      <c r="LR25" s="1975"/>
      <c r="LS25" s="1975"/>
      <c r="LT25" s="1975"/>
      <c r="LU25" s="1975"/>
      <c r="LV25" s="1975"/>
      <c r="LW25" s="1975"/>
      <c r="LX25" s="1975"/>
      <c r="LY25" s="1975"/>
      <c r="LZ25" s="1975"/>
      <c r="MA25" s="1975"/>
      <c r="MB25" s="1975"/>
      <c r="MC25" s="1975"/>
      <c r="MD25" s="1975"/>
      <c r="ME25" s="1975"/>
      <c r="MF25" s="1975"/>
      <c r="MG25" s="1975"/>
      <c r="MH25" s="1975"/>
      <c r="MI25" s="1975"/>
      <c r="MJ25" s="1975"/>
      <c r="MK25" s="1975"/>
      <c r="ML25" s="1975"/>
      <c r="MM25" s="1975"/>
      <c r="MN25" s="1975"/>
      <c r="MO25" s="1975"/>
      <c r="MP25" s="1975"/>
      <c r="MQ25" s="1975"/>
      <c r="MR25" s="1975"/>
      <c r="MS25" s="1975"/>
      <c r="MT25" s="1975"/>
      <c r="MU25" s="1975"/>
      <c r="MV25" s="1975"/>
      <c r="MW25" s="1975"/>
      <c r="MX25" s="1975"/>
      <c r="MY25" s="1975"/>
      <c r="MZ25" s="1975"/>
      <c r="NA25" s="1975"/>
      <c r="NB25" s="1975"/>
      <c r="NC25" s="1975"/>
      <c r="ND25" s="1975"/>
      <c r="NE25" s="1975"/>
      <c r="NF25" s="1975"/>
      <c r="NG25" s="1975"/>
      <c r="NH25" s="1975"/>
      <c r="NI25" s="1975"/>
    </row>
    <row r="26" spans="1:381" ht="31.5" customHeight="1" x14ac:dyDescent="0.4">
      <c r="A26" s="198"/>
      <c r="B26" s="198"/>
      <c r="C26" s="198"/>
      <c r="D26" s="198"/>
      <c r="E26" s="198"/>
      <c r="F26" s="198"/>
      <c r="G26" s="198"/>
      <c r="H26" s="198"/>
      <c r="I26" s="198"/>
      <c r="J26" s="198"/>
      <c r="K26" s="198"/>
      <c r="L26" s="198"/>
      <c r="M26" s="198"/>
      <c r="N26" s="198"/>
      <c r="O26" s="198"/>
      <c r="P26" s="198"/>
      <c r="Q26" s="198"/>
      <c r="R26" s="198"/>
      <c r="S26" s="198"/>
      <c r="T26" s="198"/>
      <c r="U26" s="198"/>
      <c r="V26" s="198"/>
      <c r="W26" s="198"/>
      <c r="X26" s="198"/>
      <c r="Y26" s="198"/>
      <c r="Z26" s="198"/>
      <c r="AA26" s="198"/>
      <c r="AB26" s="198"/>
      <c r="AC26" s="198"/>
      <c r="AD26" s="198"/>
      <c r="AE26" s="198"/>
      <c r="AF26" s="198"/>
      <c r="AG26" s="198"/>
      <c r="AH26" s="198"/>
      <c r="AI26" s="198"/>
      <c r="AJ26" s="198"/>
      <c r="AK26" s="198"/>
      <c r="AL26" s="198"/>
      <c r="AM26" s="198"/>
      <c r="AN26" s="198"/>
      <c r="AO26" s="198"/>
      <c r="AP26" s="198"/>
      <c r="AQ26" s="198"/>
      <c r="AR26" s="198"/>
      <c r="AS26" s="198"/>
      <c r="AT26" s="198"/>
      <c r="AU26" s="198"/>
      <c r="AV26" s="198"/>
      <c r="AW26" s="198"/>
      <c r="AX26" s="198"/>
      <c r="AY26" s="198"/>
      <c r="AZ26" s="198"/>
      <c r="BA26" s="198"/>
      <c r="BB26" s="198"/>
      <c r="BC26" s="198"/>
      <c r="BD26" s="198"/>
      <c r="BE26" s="198"/>
      <c r="BF26" s="198"/>
      <c r="BG26" s="198"/>
      <c r="BH26" s="198"/>
      <c r="BI26" s="198"/>
      <c r="BJ26" s="198"/>
      <c r="BK26" s="198"/>
      <c r="BL26" s="198"/>
      <c r="BM26" s="198"/>
      <c r="BN26" s="198"/>
      <c r="BO26" s="198"/>
      <c r="BP26" s="198"/>
      <c r="BQ26" s="198"/>
      <c r="BR26" s="198"/>
      <c r="BS26" s="198"/>
      <c r="BT26" s="198"/>
      <c r="BU26" s="198"/>
      <c r="BV26" s="198"/>
      <c r="BW26" s="198"/>
      <c r="BX26" s="198"/>
      <c r="BY26" s="198"/>
      <c r="BZ26" s="198"/>
      <c r="CA26" s="198"/>
      <c r="CB26" s="198"/>
      <c r="CC26" s="198"/>
      <c r="CD26" s="198"/>
      <c r="CE26" s="198"/>
      <c r="CF26" s="198"/>
      <c r="CG26" s="198"/>
      <c r="CH26" s="198"/>
      <c r="CI26" s="198"/>
      <c r="CJ26" s="198"/>
      <c r="CK26" s="198"/>
      <c r="CL26" s="198"/>
      <c r="CM26" s="198"/>
      <c r="CN26" s="198"/>
      <c r="CO26" s="198"/>
      <c r="CP26" s="198"/>
      <c r="CQ26" s="198"/>
      <c r="CR26" s="198"/>
      <c r="CS26" s="198"/>
      <c r="CT26" s="198"/>
      <c r="CU26" s="198"/>
      <c r="CV26" s="198"/>
      <c r="CW26" s="198"/>
      <c r="CX26" s="198"/>
      <c r="CY26" s="198"/>
      <c r="CZ26" s="198"/>
      <c r="DA26" s="198"/>
      <c r="DB26" s="198"/>
      <c r="DC26" s="198"/>
      <c r="DD26" s="198"/>
      <c r="DE26" s="198"/>
      <c r="DF26" s="198"/>
      <c r="DG26" s="198"/>
      <c r="DH26" s="198"/>
      <c r="DI26" s="198"/>
      <c r="DJ26" s="198"/>
      <c r="DK26" s="198"/>
      <c r="DL26" s="198"/>
      <c r="DM26" s="198"/>
      <c r="DN26" s="198"/>
      <c r="DO26" s="198"/>
      <c r="DP26" s="198"/>
      <c r="DQ26" s="198"/>
      <c r="DR26" s="198"/>
      <c r="DS26" s="198"/>
      <c r="DT26" s="198"/>
      <c r="DU26" s="198"/>
      <c r="DV26" s="198"/>
      <c r="DW26" s="198"/>
      <c r="DX26" s="198"/>
      <c r="DY26" s="198"/>
      <c r="DZ26" s="198"/>
      <c r="EA26" s="198"/>
      <c r="EB26" s="198"/>
      <c r="EC26" s="198"/>
      <c r="ED26" s="198"/>
      <c r="EE26" s="198"/>
      <c r="EF26" s="198"/>
      <c r="EG26" s="198"/>
      <c r="EH26" s="198"/>
      <c r="EI26" s="198"/>
      <c r="EJ26" s="198"/>
      <c r="EK26" s="198"/>
      <c r="EL26" s="198"/>
      <c r="EM26" s="198"/>
      <c r="EN26" s="198"/>
      <c r="EO26" s="198"/>
      <c r="EP26" s="540"/>
      <c r="EQ26" s="540"/>
      <c r="ER26" s="540"/>
      <c r="ES26" s="540"/>
      <c r="ET26" s="540"/>
      <c r="EU26" s="540"/>
      <c r="EV26" s="540"/>
      <c r="EW26" s="198"/>
      <c r="EX26" s="198"/>
      <c r="EY26" s="198"/>
      <c r="EZ26" s="198"/>
      <c r="FA26" s="198"/>
      <c r="FB26" s="198"/>
      <c r="FC26" s="198"/>
      <c r="FD26" s="198"/>
      <c r="FE26" s="198"/>
      <c r="FF26" s="198"/>
      <c r="FG26" s="198"/>
      <c r="FH26" s="198"/>
      <c r="FI26" s="198"/>
      <c r="FJ26" s="198"/>
      <c r="FK26" s="198"/>
      <c r="FL26" s="198"/>
      <c r="FM26" s="198"/>
      <c r="FN26" s="198"/>
      <c r="FO26" s="198"/>
      <c r="FP26" s="198"/>
      <c r="FQ26" s="198"/>
      <c r="FR26" s="198"/>
      <c r="FS26" s="198"/>
      <c r="FT26" s="198"/>
      <c r="FU26" s="198"/>
      <c r="FV26" s="198"/>
      <c r="FW26" s="198"/>
      <c r="FX26" s="198"/>
      <c r="FY26" s="198"/>
      <c r="FZ26" s="198"/>
      <c r="GA26" s="198"/>
      <c r="GB26" s="198"/>
      <c r="GC26" s="198"/>
      <c r="GD26" s="198"/>
      <c r="GE26" s="198"/>
      <c r="GF26" s="198"/>
      <c r="GG26" s="198"/>
      <c r="GH26" s="198"/>
      <c r="GI26" s="198"/>
      <c r="GJ26" s="198"/>
      <c r="GK26" s="198"/>
      <c r="GL26" s="198"/>
      <c r="GM26" s="198"/>
      <c r="GN26" s="198"/>
      <c r="GO26" s="198"/>
      <c r="GP26" s="198"/>
      <c r="GQ26" s="198"/>
      <c r="GR26" s="198"/>
      <c r="GS26" s="198"/>
      <c r="GT26" s="198"/>
      <c r="GU26" s="198"/>
      <c r="GV26" s="198"/>
      <c r="GW26" s="198"/>
      <c r="GX26" s="198"/>
      <c r="GY26" s="764"/>
      <c r="GZ26" s="245"/>
      <c r="HA26" s="246"/>
      <c r="HB26" s="246"/>
      <c r="HC26" s="246"/>
      <c r="HD26" s="246"/>
      <c r="HE26" s="246"/>
      <c r="HF26" s="246"/>
      <c r="HG26" s="246"/>
      <c r="HH26" s="246"/>
      <c r="HI26" s="246"/>
      <c r="HJ26" s="246"/>
      <c r="HK26" s="246"/>
      <c r="HL26" s="246"/>
      <c r="HM26" s="585" t="s">
        <v>1715</v>
      </c>
      <c r="HN26" s="247"/>
      <c r="HO26" s="764"/>
      <c r="HP26" s="764"/>
      <c r="HQ26" s="764"/>
      <c r="HR26" s="764"/>
      <c r="HS26" s="1975"/>
      <c r="HT26" s="764"/>
      <c r="HU26" s="764"/>
      <c r="HV26" s="1975"/>
      <c r="HW26" s="2004"/>
      <c r="HX26" s="764"/>
      <c r="HY26" s="764"/>
      <c r="HZ26" s="764"/>
      <c r="IA26" s="764"/>
      <c r="IB26" s="764"/>
      <c r="IC26" s="764"/>
      <c r="ID26" s="764"/>
      <c r="IE26" s="764"/>
      <c r="IF26" s="764"/>
      <c r="IG26" s="764"/>
      <c r="IH26" s="764"/>
      <c r="II26" s="764"/>
      <c r="IJ26" s="764"/>
      <c r="IK26" s="764"/>
      <c r="IL26" s="764"/>
      <c r="IM26" s="764"/>
      <c r="IN26" s="764"/>
      <c r="IO26" s="764"/>
      <c r="IP26" s="764"/>
      <c r="IQ26" s="764"/>
      <c r="IR26" s="764"/>
      <c r="IS26" s="764"/>
      <c r="IT26" s="764"/>
      <c r="IU26" s="764"/>
      <c r="IV26" s="764"/>
      <c r="IW26" s="764"/>
      <c r="IX26" s="764"/>
      <c r="IY26" s="764"/>
      <c r="IZ26" s="1974"/>
      <c r="JA26" s="1974"/>
      <c r="JB26" s="764"/>
      <c r="JC26" s="764"/>
      <c r="JD26" s="764"/>
      <c r="JE26" s="764"/>
      <c r="JF26" s="764"/>
      <c r="JG26" s="764"/>
      <c r="JH26" s="764"/>
      <c r="JI26" s="764"/>
      <c r="JJ26" s="764"/>
      <c r="JK26" s="764"/>
      <c r="JL26" s="764"/>
      <c r="JM26" s="764"/>
      <c r="JN26" s="764"/>
      <c r="JO26" s="764"/>
      <c r="JP26" s="764"/>
      <c r="JQ26" s="764"/>
      <c r="JR26" s="764"/>
      <c r="JS26" s="764"/>
      <c r="JT26" s="764"/>
      <c r="JU26" s="764"/>
      <c r="JV26" s="764"/>
      <c r="JW26" s="764"/>
      <c r="JX26" s="764"/>
      <c r="JY26" s="764"/>
      <c r="JZ26" s="764"/>
      <c r="KA26" s="764"/>
      <c r="KB26" s="764"/>
      <c r="KC26" s="764"/>
      <c r="KD26" s="764"/>
      <c r="KE26" s="764"/>
      <c r="KF26" s="764"/>
      <c r="KG26" s="764"/>
      <c r="KH26" s="764"/>
      <c r="KI26" s="764"/>
      <c r="KJ26" s="764"/>
      <c r="KK26" s="764"/>
      <c r="KL26" s="764"/>
      <c r="KM26" s="764"/>
      <c r="KN26" s="764"/>
      <c r="KO26" s="764"/>
      <c r="KP26" s="764"/>
      <c r="KQ26" s="764"/>
      <c r="KR26" s="764"/>
      <c r="KS26" s="764"/>
      <c r="KT26" s="764"/>
      <c r="KU26" s="764"/>
      <c r="KV26" s="764"/>
      <c r="KW26" s="764"/>
      <c r="KX26" s="764"/>
      <c r="KY26" s="764"/>
      <c r="KZ26" s="764"/>
      <c r="LA26" s="764"/>
      <c r="LB26" s="764"/>
      <c r="LC26" s="764"/>
      <c r="LD26" s="764"/>
      <c r="LE26" s="764"/>
      <c r="LF26" s="764"/>
      <c r="LG26" s="764"/>
      <c r="LH26" s="764"/>
      <c r="LI26" s="764"/>
      <c r="LJ26" s="764"/>
      <c r="LK26" s="764"/>
      <c r="LL26" s="764"/>
      <c r="LM26" s="764"/>
      <c r="LN26" s="764"/>
      <c r="LO26" s="764"/>
      <c r="LP26" s="1975"/>
      <c r="LQ26" s="1975"/>
      <c r="LR26" s="1975"/>
      <c r="LS26" s="1975"/>
      <c r="LT26" s="1975"/>
      <c r="LU26" s="1975"/>
      <c r="LV26" s="1975"/>
      <c r="LW26" s="1975"/>
      <c r="LX26" s="1975"/>
      <c r="LY26" s="1975"/>
      <c r="LZ26" s="1975"/>
      <c r="MA26" s="1975"/>
      <c r="MB26" s="1975"/>
      <c r="MC26" s="1975"/>
      <c r="MD26" s="1975"/>
      <c r="ME26" s="1975"/>
      <c r="MF26" s="1975"/>
      <c r="MG26" s="1975"/>
      <c r="MH26" s="1975"/>
      <c r="MI26" s="1975"/>
      <c r="MJ26" s="1975"/>
      <c r="MK26" s="1975"/>
      <c r="ML26" s="1975"/>
      <c r="MM26" s="1975"/>
      <c r="MN26" s="1975"/>
      <c r="MO26" s="1975"/>
      <c r="MP26" s="1975"/>
      <c r="MQ26" s="1975"/>
      <c r="MR26" s="1975"/>
      <c r="MS26" s="1975"/>
      <c r="MT26" s="1975"/>
      <c r="MU26" s="1975"/>
      <c r="MV26" s="1975"/>
      <c r="MW26" s="1975"/>
      <c r="MX26" s="1975"/>
      <c r="MY26" s="1975"/>
      <c r="MZ26" s="1975"/>
      <c r="NA26" s="1975"/>
      <c r="NB26" s="1975"/>
      <c r="NC26" s="1975"/>
      <c r="ND26" s="1975"/>
      <c r="NE26" s="1975"/>
      <c r="NF26" s="1975"/>
      <c r="NG26" s="1975"/>
      <c r="NH26" s="1975"/>
      <c r="NI26" s="1975"/>
    </row>
    <row r="27" spans="1:381" ht="12.75" customHeight="1" x14ac:dyDescent="0.4">
      <c r="A27" s="216" t="s">
        <v>641</v>
      </c>
      <c r="B27" s="256" t="s">
        <v>4187</v>
      </c>
      <c r="C27" s="198"/>
      <c r="D27" s="314">
        <f>'3b Activity Plan'!CZ166</f>
        <v>0</v>
      </c>
      <c r="E27" s="198"/>
      <c r="F27" s="198"/>
      <c r="G27" s="198"/>
      <c r="H27" s="314">
        <f>'3a Staff Plan'!DP122</f>
        <v>0</v>
      </c>
      <c r="I27" s="198"/>
      <c r="J27" s="198"/>
      <c r="K27" s="198"/>
      <c r="L27" s="314">
        <f>(D27*$V$51)+(H27*$AL$51)</f>
        <v>0</v>
      </c>
      <c r="M27" s="198"/>
      <c r="N27" s="214" t="s">
        <v>4188</v>
      </c>
      <c r="O27" s="198"/>
      <c r="P27" s="198"/>
      <c r="Q27" s="198"/>
      <c r="R27" s="198"/>
      <c r="S27" s="198"/>
      <c r="T27" s="198"/>
      <c r="U27" s="198"/>
      <c r="V27" s="198"/>
      <c r="W27" s="198"/>
      <c r="X27" s="198"/>
      <c r="Y27" s="198"/>
      <c r="Z27" s="198"/>
      <c r="AA27" s="198"/>
      <c r="AB27" s="198"/>
      <c r="AC27" s="198"/>
      <c r="AD27" s="198"/>
      <c r="AE27" s="198"/>
      <c r="AF27" s="198"/>
      <c r="AG27" s="198"/>
      <c r="AH27" s="198"/>
      <c r="AI27" s="198"/>
      <c r="AJ27" s="198"/>
      <c r="AK27" s="198"/>
      <c r="AL27" s="198"/>
      <c r="AM27" s="198"/>
      <c r="AN27" s="198"/>
      <c r="AO27" s="198"/>
      <c r="AP27" s="198"/>
      <c r="AQ27" s="198"/>
      <c r="AR27" s="198"/>
      <c r="AS27" s="198"/>
      <c r="AT27" s="198"/>
      <c r="AU27" s="198"/>
      <c r="AV27" s="198"/>
      <c r="AW27" s="198"/>
      <c r="AX27" s="198"/>
      <c r="AY27" s="198"/>
      <c r="AZ27" s="198"/>
      <c r="BA27" s="198"/>
      <c r="BB27" s="198"/>
      <c r="BC27" s="198"/>
      <c r="BD27" s="198"/>
      <c r="BE27" s="198"/>
      <c r="BF27" s="198"/>
      <c r="BG27" s="198"/>
      <c r="BH27" s="198"/>
      <c r="BI27" s="198"/>
      <c r="BJ27" s="198"/>
      <c r="BK27" s="198"/>
      <c r="BL27" s="198"/>
      <c r="BM27" s="198"/>
      <c r="BN27" s="198"/>
      <c r="BO27" s="198"/>
      <c r="BP27" s="198"/>
      <c r="BQ27" s="198"/>
      <c r="BR27" s="198"/>
      <c r="BS27" s="198"/>
      <c r="BT27" s="198"/>
      <c r="BU27" s="198"/>
      <c r="BV27" s="198"/>
      <c r="BW27" s="198"/>
      <c r="BX27" s="198"/>
      <c r="BY27" s="198"/>
      <c r="BZ27" s="198"/>
      <c r="CA27" s="198"/>
      <c r="CB27" s="198"/>
      <c r="CC27" s="198"/>
      <c r="CD27" s="198"/>
      <c r="CE27" s="198"/>
      <c r="CF27" s="198"/>
      <c r="CG27" s="198"/>
      <c r="CH27" s="198"/>
      <c r="CI27" s="198"/>
      <c r="CJ27" s="198"/>
      <c r="CK27" s="198"/>
      <c r="CL27" s="198"/>
      <c r="CM27" s="198"/>
      <c r="CN27" s="198"/>
      <c r="CO27" s="198"/>
      <c r="CP27" s="198"/>
      <c r="CQ27" s="198"/>
      <c r="CR27" s="198"/>
      <c r="CS27" s="198"/>
      <c r="CT27" s="198"/>
      <c r="CU27" s="198"/>
      <c r="CV27" s="198"/>
      <c r="CW27" s="198"/>
      <c r="CX27" s="198"/>
      <c r="CY27" s="198"/>
      <c r="CZ27" s="198"/>
      <c r="DA27" s="198"/>
      <c r="DB27" s="198"/>
      <c r="DC27" s="198"/>
      <c r="DD27" s="198"/>
      <c r="DE27" s="198"/>
      <c r="DF27" s="198"/>
      <c r="DG27" s="198"/>
      <c r="DH27" s="198"/>
      <c r="DI27" s="198"/>
      <c r="DJ27" s="198"/>
      <c r="DK27" s="198"/>
      <c r="DL27" s="198"/>
      <c r="DM27" s="198"/>
      <c r="DN27" s="198"/>
      <c r="DO27" s="198"/>
      <c r="DP27" s="198"/>
      <c r="DQ27" s="198"/>
      <c r="DR27" s="198"/>
      <c r="DS27" s="198"/>
      <c r="DT27" s="198"/>
      <c r="DU27" s="198"/>
      <c r="DV27" s="198"/>
      <c r="DW27" s="198"/>
      <c r="DX27" s="198"/>
      <c r="DY27" s="198"/>
      <c r="DZ27" s="198"/>
      <c r="EA27" s="198"/>
      <c r="EB27" s="198"/>
      <c r="EC27" s="198"/>
      <c r="ED27" s="198"/>
      <c r="EE27" s="198"/>
      <c r="EF27" s="198"/>
      <c r="EG27" s="198"/>
      <c r="EH27" s="198"/>
      <c r="EI27" s="198"/>
      <c r="EJ27" s="198"/>
      <c r="EK27" s="198"/>
      <c r="EL27" s="198"/>
      <c r="EM27" s="198"/>
      <c r="EN27" s="198"/>
      <c r="EO27" s="198"/>
      <c r="EP27" s="540"/>
      <c r="EQ27" s="540"/>
      <c r="ER27" s="540"/>
      <c r="ES27" s="540"/>
      <c r="ET27" s="540"/>
      <c r="EU27" s="540"/>
      <c r="EV27" s="540"/>
      <c r="EW27" s="198"/>
      <c r="EX27" s="198"/>
      <c r="EY27" s="198"/>
      <c r="EZ27" s="198"/>
      <c r="FA27" s="198"/>
      <c r="FB27" s="198"/>
      <c r="FC27" s="198"/>
      <c r="FD27" s="198"/>
      <c r="FE27" s="198"/>
      <c r="FF27" s="198"/>
      <c r="FG27" s="198"/>
      <c r="FH27" s="198"/>
      <c r="FI27" s="198"/>
      <c r="FJ27" s="198"/>
      <c r="FK27" s="198"/>
      <c r="FL27" s="198"/>
      <c r="FM27" s="198"/>
      <c r="FN27" s="198"/>
      <c r="FO27" s="198"/>
      <c r="FP27" s="198"/>
      <c r="FQ27" s="198"/>
      <c r="FR27" s="198"/>
      <c r="FS27" s="198"/>
      <c r="FT27" s="198"/>
      <c r="FU27" s="198"/>
      <c r="FV27" s="198"/>
      <c r="FW27" s="198"/>
      <c r="FX27" s="198"/>
      <c r="FY27" s="198"/>
      <c r="FZ27" s="198"/>
      <c r="GA27" s="198"/>
      <c r="GB27" s="198"/>
      <c r="GC27" s="198"/>
      <c r="GD27" s="198"/>
      <c r="GE27" s="198"/>
      <c r="GF27" s="198"/>
      <c r="GG27" s="198"/>
      <c r="GH27" s="198"/>
      <c r="GI27" s="198"/>
      <c r="GJ27" s="198"/>
      <c r="GK27" s="198"/>
      <c r="GL27" s="198"/>
      <c r="GM27" s="198"/>
      <c r="GN27" s="198"/>
      <c r="GO27" s="198"/>
      <c r="GP27" s="198"/>
      <c r="GQ27" s="198"/>
      <c r="GR27" s="198"/>
      <c r="GS27" s="198"/>
      <c r="GT27" s="198"/>
      <c r="GU27" s="198"/>
      <c r="GV27" s="198"/>
      <c r="GW27" s="198"/>
      <c r="GX27" s="198"/>
      <c r="GY27" s="764"/>
      <c r="GZ27" s="245"/>
      <c r="HA27" s="246"/>
      <c r="HB27" s="246"/>
      <c r="HC27" s="246"/>
      <c r="HD27" s="246"/>
      <c r="HE27" s="246"/>
      <c r="HF27" s="246"/>
      <c r="HG27" s="246"/>
      <c r="HH27" s="246"/>
      <c r="HI27" s="246"/>
      <c r="HJ27" s="246"/>
      <c r="HK27" s="246"/>
      <c r="HL27" s="246"/>
      <c r="HM27" s="246"/>
      <c r="HN27" s="247"/>
      <c r="HO27" s="764"/>
      <c r="HP27" s="764"/>
      <c r="HQ27" s="764"/>
      <c r="HR27" s="764"/>
      <c r="HS27" s="1975"/>
      <c r="HT27" s="764"/>
      <c r="HU27" s="764"/>
      <c r="HV27" s="1975"/>
      <c r="HW27" s="2004"/>
      <c r="HX27" s="764"/>
      <c r="HY27" s="764"/>
      <c r="HZ27" s="764"/>
      <c r="IA27" s="764"/>
      <c r="IB27" s="764"/>
      <c r="IC27" s="764"/>
      <c r="ID27" s="764"/>
      <c r="IE27" s="764"/>
      <c r="IF27" s="764"/>
      <c r="IG27" s="764"/>
      <c r="IH27" s="764"/>
      <c r="II27" s="764"/>
      <c r="IJ27" s="764"/>
      <c r="IK27" s="764"/>
      <c r="IL27" s="764"/>
      <c r="IM27" s="764"/>
      <c r="IN27" s="764"/>
      <c r="IO27" s="764"/>
      <c r="IP27" s="764"/>
      <c r="IQ27" s="764"/>
      <c r="IR27" s="764"/>
      <c r="IS27" s="764"/>
      <c r="IT27" s="764"/>
      <c r="IU27" s="764"/>
      <c r="IV27" s="764"/>
      <c r="IW27" s="764"/>
      <c r="IX27" s="764"/>
      <c r="IY27" s="764"/>
      <c r="IZ27" s="1974"/>
      <c r="JA27" s="1974"/>
      <c r="JB27" s="764"/>
      <c r="JC27" s="764"/>
      <c r="JD27" s="764"/>
      <c r="JE27" s="764"/>
      <c r="JF27" s="764"/>
      <c r="JG27" s="764"/>
      <c r="JH27" s="764"/>
      <c r="JI27" s="764"/>
      <c r="JJ27" s="764"/>
      <c r="JK27" s="764"/>
      <c r="JL27" s="764"/>
      <c r="JM27" s="764"/>
      <c r="JN27" s="764"/>
      <c r="JO27" s="764"/>
      <c r="JP27" s="764"/>
      <c r="JQ27" s="764"/>
      <c r="JR27" s="764"/>
      <c r="JS27" s="764"/>
      <c r="JT27" s="764"/>
      <c r="JU27" s="764"/>
      <c r="JV27" s="764"/>
      <c r="JW27" s="764"/>
      <c r="JX27" s="764"/>
      <c r="JY27" s="764"/>
      <c r="JZ27" s="764"/>
      <c r="KA27" s="764"/>
      <c r="KB27" s="764"/>
      <c r="KC27" s="764"/>
      <c r="KD27" s="764"/>
      <c r="KE27" s="764"/>
      <c r="KF27" s="764"/>
      <c r="KG27" s="764"/>
      <c r="KH27" s="764"/>
      <c r="KI27" s="764"/>
      <c r="KJ27" s="764"/>
      <c r="KK27" s="764"/>
      <c r="KL27" s="764"/>
      <c r="KM27" s="764"/>
      <c r="KN27" s="764"/>
      <c r="KO27" s="764"/>
      <c r="KP27" s="764"/>
      <c r="KQ27" s="764"/>
      <c r="KR27" s="764"/>
      <c r="KS27" s="764"/>
      <c r="KT27" s="764"/>
      <c r="KU27" s="764"/>
      <c r="KV27" s="764"/>
      <c r="KW27" s="764"/>
      <c r="KX27" s="764"/>
      <c r="KY27" s="764"/>
      <c r="KZ27" s="764"/>
      <c r="LA27" s="764"/>
      <c r="LB27" s="764"/>
      <c r="LC27" s="764"/>
      <c r="LD27" s="764"/>
      <c r="LE27" s="764"/>
      <c r="LF27" s="764"/>
      <c r="LG27" s="764"/>
      <c r="LH27" s="764"/>
      <c r="LI27" s="764"/>
      <c r="LJ27" s="764"/>
      <c r="LK27" s="764"/>
      <c r="LL27" s="764"/>
      <c r="LM27" s="764"/>
      <c r="LN27" s="764"/>
      <c r="LO27" s="764"/>
      <c r="LP27" s="1975"/>
      <c r="LQ27" s="1975"/>
      <c r="LR27" s="1975"/>
      <c r="LS27" s="1975"/>
      <c r="LT27" s="1975"/>
      <c r="LU27" s="1975"/>
      <c r="LV27" s="1975"/>
      <c r="LW27" s="1975"/>
      <c r="LX27" s="1975"/>
      <c r="LY27" s="1975"/>
      <c r="LZ27" s="1975"/>
      <c r="MA27" s="1975"/>
      <c r="MB27" s="1975"/>
      <c r="MC27" s="1975"/>
      <c r="MD27" s="1975"/>
      <c r="ME27" s="1975"/>
      <c r="MF27" s="1975"/>
      <c r="MG27" s="1975"/>
      <c r="MH27" s="1975"/>
      <c r="MI27" s="1975"/>
      <c r="MJ27" s="1975"/>
      <c r="MK27" s="1975"/>
      <c r="ML27" s="1975"/>
      <c r="MM27" s="1975"/>
      <c r="MN27" s="1975"/>
      <c r="MO27" s="1975"/>
      <c r="MP27" s="1975"/>
      <c r="MQ27" s="1975"/>
      <c r="MR27" s="1975"/>
      <c r="MS27" s="1975"/>
      <c r="MT27" s="1975"/>
      <c r="MU27" s="1975"/>
      <c r="MV27" s="1975"/>
      <c r="MW27" s="1975"/>
      <c r="MX27" s="1975"/>
      <c r="MY27" s="1975"/>
      <c r="MZ27" s="1975"/>
      <c r="NA27" s="1975"/>
      <c r="NB27" s="1975"/>
      <c r="NC27" s="1975"/>
      <c r="ND27" s="1975"/>
      <c r="NE27" s="1975"/>
      <c r="NF27" s="1975"/>
      <c r="NG27" s="1975"/>
      <c r="NH27" s="1975"/>
      <c r="NI27" s="1975"/>
    </row>
    <row r="28" spans="1:381" ht="21.75" customHeight="1" x14ac:dyDescent="0.4">
      <c r="A28" s="216" t="s">
        <v>641</v>
      </c>
      <c r="B28" s="256" t="s">
        <v>4194</v>
      </c>
      <c r="C28" s="198"/>
      <c r="D28" s="314">
        <f>SUMIFS('3b Activity Plan'!$AA$173:$AA$364,'3b Activity Plan'!$CY$173:$CY$364,1,'3b Activity Plan'!$AI$173:$AI$364,"V")-'5  Control Accounts'!R14</f>
        <v>0</v>
      </c>
      <c r="E28" s="198"/>
      <c r="F28" s="198"/>
      <c r="G28" s="198"/>
      <c r="H28" s="314">
        <f>SUMIFS('3a Staff Plan'!$AA$129:$AA$305,'3a Staff Plan'!$DF$129:$DF$305,1,'3a Staff Plan'!$DG$129:$DG$305,"V")-'5  Control Accounts'!G14</f>
        <v>0</v>
      </c>
      <c r="I28" s="198"/>
      <c r="J28" s="198"/>
      <c r="K28" s="198"/>
      <c r="L28" s="314">
        <f>(D28*$V$51)+(H28*$AL$51)</f>
        <v>0</v>
      </c>
      <c r="M28" s="198"/>
      <c r="N28" s="314">
        <f>IF('1 Setup'!G3="B",0,1)</f>
        <v>0</v>
      </c>
      <c r="O28" s="198"/>
      <c r="P28" s="198"/>
      <c r="Q28" s="198"/>
      <c r="R28" s="198"/>
      <c r="S28" s="198"/>
      <c r="T28" s="198"/>
      <c r="U28" s="198"/>
      <c r="V28" s="198"/>
      <c r="W28" s="198"/>
      <c r="X28" s="198"/>
      <c r="Y28" s="198"/>
      <c r="Z28" s="198"/>
      <c r="AA28" s="198"/>
      <c r="AB28" s="198"/>
      <c r="AC28" s="198"/>
      <c r="AD28" s="198"/>
      <c r="AE28" s="198"/>
      <c r="AF28" s="198"/>
      <c r="AG28" s="198"/>
      <c r="AH28" s="198"/>
      <c r="AI28" s="198"/>
      <c r="AJ28" s="198"/>
      <c r="AK28" s="198"/>
      <c r="AL28" s="198"/>
      <c r="AM28" s="198"/>
      <c r="AN28" s="198"/>
      <c r="AO28" s="198"/>
      <c r="AP28" s="198"/>
      <c r="AQ28" s="198"/>
      <c r="AR28" s="198"/>
      <c r="AS28" s="198"/>
      <c r="AT28" s="198"/>
      <c r="AU28" s="198"/>
      <c r="AV28" s="198"/>
      <c r="AW28" s="198"/>
      <c r="AX28" s="198"/>
      <c r="AY28" s="198"/>
      <c r="AZ28" s="198"/>
      <c r="BA28" s="198"/>
      <c r="BB28" s="198"/>
      <c r="BC28" s="198"/>
      <c r="BD28" s="198"/>
      <c r="BE28" s="198"/>
      <c r="BF28" s="198"/>
      <c r="BG28" s="198"/>
      <c r="BH28" s="198"/>
      <c r="BI28" s="198"/>
      <c r="BJ28" s="198"/>
      <c r="BK28" s="198"/>
      <c r="BL28" s="198"/>
      <c r="BM28" s="198"/>
      <c r="BN28" s="198"/>
      <c r="BO28" s="198"/>
      <c r="BP28" s="198"/>
      <c r="BQ28" s="198"/>
      <c r="BR28" s="198"/>
      <c r="BS28" s="198"/>
      <c r="BT28" s="198"/>
      <c r="BU28" s="198"/>
      <c r="BV28" s="198"/>
      <c r="BW28" s="198"/>
      <c r="BX28" s="198"/>
      <c r="BY28" s="198"/>
      <c r="BZ28" s="198"/>
      <c r="CA28" s="198"/>
      <c r="CB28" s="198"/>
      <c r="CC28" s="198"/>
      <c r="CD28" s="198"/>
      <c r="CE28" s="198"/>
      <c r="CF28" s="198"/>
      <c r="CG28" s="198"/>
      <c r="CH28" s="198"/>
      <c r="CI28" s="198"/>
      <c r="CJ28" s="198"/>
      <c r="CK28" s="198"/>
      <c r="CL28" s="198"/>
      <c r="CM28" s="198"/>
      <c r="CN28" s="198"/>
      <c r="CO28" s="198"/>
      <c r="CP28" s="198"/>
      <c r="CQ28" s="198"/>
      <c r="CR28" s="198"/>
      <c r="CS28" s="198"/>
      <c r="CT28" s="198"/>
      <c r="CU28" s="198"/>
      <c r="CV28" s="198"/>
      <c r="CW28" s="198"/>
      <c r="CX28" s="198"/>
      <c r="CY28" s="198"/>
      <c r="CZ28" s="198"/>
      <c r="DA28" s="198"/>
      <c r="DB28" s="198"/>
      <c r="DC28" s="198"/>
      <c r="DD28" s="198"/>
      <c r="DE28" s="198"/>
      <c r="DF28" s="198"/>
      <c r="DG28" s="198"/>
      <c r="DH28" s="198"/>
      <c r="DI28" s="198"/>
      <c r="DJ28" s="198"/>
      <c r="DK28" s="198"/>
      <c r="DL28" s="198"/>
      <c r="DM28" s="198"/>
      <c r="DN28" s="198"/>
      <c r="DO28" s="198"/>
      <c r="DP28" s="198"/>
      <c r="DQ28" s="198"/>
      <c r="DR28" s="198"/>
      <c r="DS28" s="198"/>
      <c r="DT28" s="198"/>
      <c r="DU28" s="198"/>
      <c r="DV28" s="198"/>
      <c r="DW28" s="198"/>
      <c r="DX28" s="198"/>
      <c r="DY28" s="198"/>
      <c r="DZ28" s="198"/>
      <c r="EA28" s="198"/>
      <c r="EB28" s="198"/>
      <c r="EC28" s="198"/>
      <c r="ED28" s="198"/>
      <c r="EE28" s="198"/>
      <c r="EF28" s="198"/>
      <c r="EG28" s="198"/>
      <c r="EH28" s="198"/>
      <c r="EI28" s="198"/>
      <c r="EJ28" s="198"/>
      <c r="EK28" s="198"/>
      <c r="EL28" s="198"/>
      <c r="EM28" s="198"/>
      <c r="EN28" s="198"/>
      <c r="EO28" s="198"/>
      <c r="EP28" s="540"/>
      <c r="EQ28" s="540"/>
      <c r="ER28" s="540"/>
      <c r="ES28" s="540"/>
      <c r="ET28" s="540"/>
      <c r="EU28" s="540"/>
      <c r="EV28" s="540"/>
      <c r="EW28" s="198"/>
      <c r="EX28" s="198"/>
      <c r="EY28" s="198"/>
      <c r="EZ28" s="198"/>
      <c r="FA28" s="198"/>
      <c r="FB28" s="198"/>
      <c r="FC28" s="198"/>
      <c r="FD28" s="198"/>
      <c r="FE28" s="198"/>
      <c r="FF28" s="198"/>
      <c r="FG28" s="198"/>
      <c r="FH28" s="198"/>
      <c r="FI28" s="198"/>
      <c r="FJ28" s="198"/>
      <c r="FK28" s="198"/>
      <c r="FL28" s="198"/>
      <c r="FM28" s="198"/>
      <c r="FN28" s="198"/>
      <c r="FO28" s="198"/>
      <c r="FP28" s="198"/>
      <c r="FQ28" s="198"/>
      <c r="FR28" s="198"/>
      <c r="FS28" s="198"/>
      <c r="FT28" s="198"/>
      <c r="FU28" s="198"/>
      <c r="FV28" s="198"/>
      <c r="FW28" s="198"/>
      <c r="FX28" s="198"/>
      <c r="FY28" s="198"/>
      <c r="FZ28" s="198"/>
      <c r="GA28" s="198"/>
      <c r="GB28" s="198"/>
      <c r="GC28" s="198"/>
      <c r="GD28" s="198"/>
      <c r="GE28" s="198"/>
      <c r="GF28" s="198"/>
      <c r="GG28" s="198"/>
      <c r="GH28" s="198"/>
      <c r="GI28" s="198"/>
      <c r="GJ28" s="198"/>
      <c r="GK28" s="198"/>
      <c r="GL28" s="198"/>
      <c r="GM28" s="198"/>
      <c r="GN28" s="198"/>
      <c r="GO28" s="198"/>
      <c r="GP28" s="198"/>
      <c r="GQ28" s="198"/>
      <c r="GR28" s="198"/>
      <c r="GS28" s="198"/>
      <c r="GT28" s="198"/>
      <c r="GU28" s="198"/>
      <c r="GV28" s="198"/>
      <c r="GW28" s="198"/>
      <c r="GX28" s="198"/>
      <c r="GY28" s="764"/>
      <c r="GZ28" s="245"/>
      <c r="HA28" s="43" t="s">
        <v>97</v>
      </c>
      <c r="HB28" s="3550" t="str">
        <f>'1 Setup'!I39</f>
        <v>Client PM's, Secondments &amp; Construction Support</v>
      </c>
      <c r="HC28" s="3551"/>
      <c r="HD28" s="3551"/>
      <c r="HE28" s="3551"/>
      <c r="HF28" s="3551"/>
      <c r="HG28" s="3552"/>
      <c r="HH28" s="246"/>
      <c r="HI28" s="43" t="s">
        <v>658</v>
      </c>
      <c r="HJ28" s="3582">
        <f>'1 Setup'!I47</f>
        <v>0</v>
      </c>
      <c r="HK28" s="3583"/>
      <c r="HL28" s="3584"/>
      <c r="HM28" s="43"/>
      <c r="HN28" s="247"/>
      <c r="HO28" s="764"/>
      <c r="HP28" s="1997"/>
      <c r="HQ28" s="1997"/>
      <c r="HR28" s="1997"/>
      <c r="HS28" s="1975"/>
      <c r="HT28" s="1997"/>
      <c r="HU28" s="1997"/>
      <c r="HV28" s="1975"/>
      <c r="HW28" s="2004"/>
      <c r="HX28" s="764"/>
      <c r="HY28" s="764"/>
      <c r="HZ28" s="2005"/>
      <c r="IA28" s="2005"/>
      <c r="IB28" s="764"/>
      <c r="IC28" s="2005"/>
      <c r="ID28" s="2005"/>
      <c r="IE28" s="2005"/>
      <c r="IF28" s="2005"/>
      <c r="IG28" s="2005"/>
      <c r="IH28" s="1974"/>
      <c r="II28" s="1974"/>
      <c r="IJ28" s="1974"/>
      <c r="IK28" s="1974"/>
      <c r="IL28" s="1974"/>
      <c r="IM28" s="1974"/>
      <c r="IN28" s="1974"/>
      <c r="IO28" s="1974"/>
      <c r="IP28" s="1974"/>
      <c r="IQ28" s="1974"/>
      <c r="IR28" s="1974"/>
      <c r="IS28" s="1974"/>
      <c r="IT28" s="1974"/>
      <c r="IU28" s="764"/>
      <c r="IV28" s="764"/>
      <c r="IW28" s="764"/>
      <c r="IX28" s="764"/>
      <c r="IY28" s="764"/>
      <c r="IZ28" s="1974"/>
      <c r="JA28" s="1974"/>
      <c r="JB28" s="764"/>
      <c r="JC28" s="764"/>
      <c r="JD28" s="764"/>
      <c r="JE28" s="764"/>
      <c r="JF28" s="764"/>
      <c r="JG28" s="764"/>
      <c r="JH28" s="764"/>
      <c r="JI28" s="764"/>
      <c r="JJ28" s="764"/>
      <c r="JK28" s="764"/>
      <c r="JL28" s="764"/>
      <c r="JM28" s="764"/>
      <c r="JN28" s="764"/>
      <c r="JO28" s="764"/>
      <c r="JP28" s="764"/>
      <c r="JQ28" s="764"/>
      <c r="JR28" s="764"/>
      <c r="JS28" s="764"/>
      <c r="JT28" s="764"/>
      <c r="JU28" s="764"/>
      <c r="JV28" s="764"/>
      <c r="JW28" s="764"/>
      <c r="JX28" s="764"/>
      <c r="JY28" s="764"/>
      <c r="JZ28" s="764"/>
      <c r="KA28" s="764"/>
      <c r="KB28" s="764"/>
      <c r="KC28" s="764"/>
      <c r="KD28" s="764"/>
      <c r="KE28" s="764"/>
      <c r="KF28" s="764"/>
      <c r="KG28" s="764"/>
      <c r="KH28" s="764"/>
      <c r="KI28" s="764"/>
      <c r="KJ28" s="764"/>
      <c r="KK28" s="764"/>
      <c r="KL28" s="764"/>
      <c r="KM28" s="764"/>
      <c r="KN28" s="764"/>
      <c r="KO28" s="764"/>
      <c r="KP28" s="764"/>
      <c r="KQ28" s="764"/>
      <c r="KR28" s="764"/>
      <c r="KS28" s="764"/>
      <c r="KT28" s="764"/>
      <c r="KU28" s="764"/>
      <c r="KV28" s="764"/>
      <c r="KW28" s="764"/>
      <c r="KX28" s="764"/>
      <c r="KY28" s="764"/>
      <c r="KZ28" s="764"/>
      <c r="LA28" s="764"/>
      <c r="LB28" s="764"/>
      <c r="LC28" s="764"/>
      <c r="LD28" s="764"/>
      <c r="LE28" s="764"/>
      <c r="LF28" s="764"/>
      <c r="LG28" s="764"/>
      <c r="LH28" s="764"/>
      <c r="LI28" s="764"/>
      <c r="LJ28" s="764"/>
      <c r="LK28" s="764"/>
      <c r="LL28" s="764"/>
      <c r="LM28" s="764"/>
      <c r="LN28" s="764"/>
      <c r="LO28" s="764"/>
      <c r="LP28" s="1975"/>
      <c r="LQ28" s="1975"/>
      <c r="LR28" s="1975"/>
      <c r="LS28" s="1975"/>
      <c r="LT28" s="1975"/>
      <c r="LU28" s="1975"/>
      <c r="LV28" s="1975"/>
      <c r="LW28" s="1975"/>
      <c r="LX28" s="1975"/>
      <c r="LY28" s="1975"/>
      <c r="LZ28" s="1975"/>
      <c r="MA28" s="1975"/>
      <c r="MB28" s="1975"/>
      <c r="MC28" s="1975"/>
      <c r="MD28" s="1975"/>
      <c r="ME28" s="1975"/>
      <c r="MF28" s="1975"/>
      <c r="MG28" s="1975"/>
      <c r="MH28" s="1975"/>
      <c r="MI28" s="1975"/>
      <c r="MJ28" s="1975"/>
      <c r="MK28" s="1975"/>
      <c r="ML28" s="1975"/>
      <c r="MM28" s="1975"/>
      <c r="MN28" s="1975"/>
      <c r="MO28" s="1975"/>
      <c r="MP28" s="1975"/>
      <c r="MQ28" s="1975"/>
      <c r="MR28" s="1975"/>
      <c r="MS28" s="1975"/>
      <c r="MT28" s="1975"/>
      <c r="MU28" s="1975"/>
      <c r="MV28" s="1975"/>
      <c r="MW28" s="1975"/>
      <c r="MX28" s="1975"/>
      <c r="MY28" s="1975"/>
      <c r="MZ28" s="1975"/>
      <c r="NA28" s="1975"/>
      <c r="NB28" s="1975"/>
      <c r="NC28" s="1975"/>
      <c r="ND28" s="1975"/>
      <c r="NE28" s="1975"/>
      <c r="NF28" s="1975"/>
      <c r="NG28" s="1975"/>
      <c r="NH28" s="1975"/>
      <c r="NI28" s="1975"/>
    </row>
    <row r="29" spans="1:381" ht="4.5" customHeight="1" x14ac:dyDescent="0.4">
      <c r="A29" s="198"/>
      <c r="B29" s="198"/>
      <c r="C29" s="198"/>
      <c r="D29" s="198"/>
      <c r="E29" s="198"/>
      <c r="F29" s="198"/>
      <c r="G29" s="198"/>
      <c r="H29" s="198"/>
      <c r="I29" s="198"/>
      <c r="J29" s="198"/>
      <c r="K29" s="198"/>
      <c r="L29" s="198"/>
      <c r="M29" s="198"/>
      <c r="N29" s="198"/>
      <c r="O29" s="198"/>
      <c r="P29" s="198"/>
      <c r="Q29" s="198"/>
      <c r="R29" s="198"/>
      <c r="S29" s="198"/>
      <c r="T29" s="198"/>
      <c r="U29" s="198"/>
      <c r="V29" s="198"/>
      <c r="W29" s="198"/>
      <c r="X29" s="198"/>
      <c r="Y29" s="198"/>
      <c r="Z29" s="198"/>
      <c r="AA29" s="198"/>
      <c r="AB29" s="198"/>
      <c r="AC29" s="198"/>
      <c r="AD29" s="198"/>
      <c r="AE29" s="198"/>
      <c r="AF29" s="198"/>
      <c r="AG29" s="198"/>
      <c r="AH29" s="198"/>
      <c r="AI29" s="198"/>
      <c r="AJ29" s="198"/>
      <c r="AK29" s="198"/>
      <c r="AL29" s="198"/>
      <c r="AM29" s="198"/>
      <c r="AN29" s="198"/>
      <c r="AO29" s="198"/>
      <c r="AP29" s="198"/>
      <c r="AQ29" s="198"/>
      <c r="AR29" s="198"/>
      <c r="AS29" s="198"/>
      <c r="AT29" s="198"/>
      <c r="AU29" s="198"/>
      <c r="AV29" s="198"/>
      <c r="AW29" s="198"/>
      <c r="AX29" s="198"/>
      <c r="AY29" s="198"/>
      <c r="AZ29" s="198"/>
      <c r="BA29" s="198"/>
      <c r="BB29" s="198"/>
      <c r="BC29" s="198"/>
      <c r="BD29" s="198"/>
      <c r="BE29" s="198"/>
      <c r="BF29" s="198"/>
      <c r="BG29" s="198"/>
      <c r="BH29" s="198"/>
      <c r="BI29" s="198"/>
      <c r="BJ29" s="198"/>
      <c r="BK29" s="198"/>
      <c r="BL29" s="198"/>
      <c r="BM29" s="198"/>
      <c r="BN29" s="198"/>
      <c r="BO29" s="198"/>
      <c r="BP29" s="198"/>
      <c r="BQ29" s="198"/>
      <c r="BR29" s="198"/>
      <c r="BS29" s="198"/>
      <c r="BT29" s="198"/>
      <c r="BU29" s="198"/>
      <c r="BV29" s="198"/>
      <c r="BW29" s="198"/>
      <c r="BX29" s="198"/>
      <c r="BY29" s="198"/>
      <c r="BZ29" s="198"/>
      <c r="CA29" s="198"/>
      <c r="CB29" s="198"/>
      <c r="CC29" s="198"/>
      <c r="CD29" s="198"/>
      <c r="CE29" s="198"/>
      <c r="CF29" s="198"/>
      <c r="CG29" s="198"/>
      <c r="CH29" s="198"/>
      <c r="CI29" s="198"/>
      <c r="CJ29" s="198"/>
      <c r="CK29" s="198"/>
      <c r="CL29" s="198"/>
      <c r="CM29" s="198"/>
      <c r="CN29" s="198"/>
      <c r="CO29" s="198"/>
      <c r="CP29" s="198"/>
      <c r="CQ29" s="198"/>
      <c r="CR29" s="198"/>
      <c r="CS29" s="198"/>
      <c r="CT29" s="198"/>
      <c r="CU29" s="198"/>
      <c r="CV29" s="198"/>
      <c r="CW29" s="198"/>
      <c r="CX29" s="198"/>
      <c r="CY29" s="198"/>
      <c r="CZ29" s="198"/>
      <c r="DA29" s="198"/>
      <c r="DB29" s="198"/>
      <c r="DC29" s="198"/>
      <c r="DD29" s="198"/>
      <c r="DE29" s="198"/>
      <c r="DF29" s="198"/>
      <c r="DG29" s="198"/>
      <c r="DH29" s="198"/>
      <c r="DI29" s="198"/>
      <c r="DJ29" s="198"/>
      <c r="DK29" s="198"/>
      <c r="DL29" s="198"/>
      <c r="DM29" s="198"/>
      <c r="DN29" s="198"/>
      <c r="DO29" s="198"/>
      <c r="DP29" s="198"/>
      <c r="DQ29" s="198"/>
      <c r="DR29" s="198"/>
      <c r="DS29" s="198"/>
      <c r="DT29" s="198"/>
      <c r="DU29" s="198"/>
      <c r="DV29" s="198"/>
      <c r="DW29" s="198"/>
      <c r="DX29" s="198"/>
      <c r="DY29" s="198"/>
      <c r="DZ29" s="198"/>
      <c r="EA29" s="198"/>
      <c r="EB29" s="198"/>
      <c r="EC29" s="198"/>
      <c r="ED29" s="198"/>
      <c r="EE29" s="198"/>
      <c r="EF29" s="198"/>
      <c r="EG29" s="198"/>
      <c r="EH29" s="198"/>
      <c r="EI29" s="198"/>
      <c r="EJ29" s="198"/>
      <c r="EK29" s="198"/>
      <c r="EL29" s="198"/>
      <c r="EM29" s="198"/>
      <c r="EN29" s="198"/>
      <c r="EO29" s="198"/>
      <c r="EP29" s="540"/>
      <c r="EQ29" s="540"/>
      <c r="ER29" s="540"/>
      <c r="ES29" s="540"/>
      <c r="ET29" s="540"/>
      <c r="EU29" s="540"/>
      <c r="EV29" s="540"/>
      <c r="EW29" s="198"/>
      <c r="EX29" s="198"/>
      <c r="EY29" s="198"/>
      <c r="EZ29" s="198"/>
      <c r="FA29" s="198"/>
      <c r="FB29" s="198"/>
      <c r="FC29" s="198"/>
      <c r="FD29" s="198"/>
      <c r="FE29" s="198"/>
      <c r="FF29" s="198"/>
      <c r="FG29" s="198"/>
      <c r="FH29" s="198"/>
      <c r="FI29" s="198"/>
      <c r="FJ29" s="198"/>
      <c r="FK29" s="198"/>
      <c r="FL29" s="198"/>
      <c r="FM29" s="198"/>
      <c r="FN29" s="198"/>
      <c r="FO29" s="198"/>
      <c r="FP29" s="198"/>
      <c r="FQ29" s="198"/>
      <c r="FR29" s="198"/>
      <c r="FS29" s="198"/>
      <c r="FT29" s="198"/>
      <c r="FU29" s="198"/>
      <c r="FV29" s="198"/>
      <c r="FW29" s="198"/>
      <c r="FX29" s="198"/>
      <c r="FY29" s="198"/>
      <c r="FZ29" s="198"/>
      <c r="GA29" s="198"/>
      <c r="GB29" s="198"/>
      <c r="GC29" s="198"/>
      <c r="GD29" s="198"/>
      <c r="GE29" s="198"/>
      <c r="GF29" s="198"/>
      <c r="GG29" s="198"/>
      <c r="GH29" s="198"/>
      <c r="GI29" s="198"/>
      <c r="GJ29" s="198"/>
      <c r="GK29" s="198"/>
      <c r="GL29" s="198"/>
      <c r="GM29" s="198"/>
      <c r="GN29" s="198"/>
      <c r="GO29" s="198"/>
      <c r="GP29" s="198"/>
      <c r="GQ29" s="198"/>
      <c r="GR29" s="198"/>
      <c r="GS29" s="198"/>
      <c r="GT29" s="198"/>
      <c r="GU29" s="198"/>
      <c r="GV29" s="198"/>
      <c r="GW29" s="198"/>
      <c r="GX29" s="198"/>
      <c r="GY29" s="764"/>
      <c r="GZ29" s="245"/>
      <c r="HA29" s="43"/>
      <c r="HB29" s="248"/>
      <c r="HC29" s="248"/>
      <c r="HD29" s="248"/>
      <c r="HE29" s="248"/>
      <c r="HF29" s="248"/>
      <c r="HG29" s="248"/>
      <c r="HH29" s="248"/>
      <c r="HI29" s="248"/>
      <c r="HJ29" s="248"/>
      <c r="HK29" s="248"/>
      <c r="HL29" s="248"/>
      <c r="HM29" s="790"/>
      <c r="HN29" s="247"/>
      <c r="HO29" s="764"/>
      <c r="HP29" s="764"/>
      <c r="HQ29" s="764"/>
      <c r="HR29" s="764"/>
      <c r="HS29" s="1975"/>
      <c r="HT29" s="764"/>
      <c r="HU29" s="764"/>
      <c r="HV29" s="1975"/>
      <c r="HW29" s="2004"/>
      <c r="HX29" s="764"/>
      <c r="HY29" s="764"/>
      <c r="HZ29" s="1974"/>
      <c r="IA29" s="1974"/>
      <c r="IB29" s="764"/>
      <c r="IC29" s="1974"/>
      <c r="ID29" s="1974"/>
      <c r="IE29" s="1974"/>
      <c r="IF29" s="1974"/>
      <c r="IG29" s="1974"/>
      <c r="IH29" s="1974"/>
      <c r="II29" s="1974"/>
      <c r="IJ29" s="1974"/>
      <c r="IK29" s="1974"/>
      <c r="IL29" s="1974"/>
      <c r="IM29" s="1974"/>
      <c r="IN29" s="1974"/>
      <c r="IO29" s="1974"/>
      <c r="IP29" s="1974"/>
      <c r="IQ29" s="1974"/>
      <c r="IR29" s="1974"/>
      <c r="IS29" s="1974"/>
      <c r="IT29" s="1974"/>
      <c r="IU29" s="764"/>
      <c r="IV29" s="764"/>
      <c r="IW29" s="764"/>
      <c r="IX29" s="764"/>
      <c r="IY29" s="764"/>
      <c r="IZ29" s="1974"/>
      <c r="JA29" s="1974"/>
      <c r="JB29" s="764"/>
      <c r="JC29" s="764"/>
      <c r="JD29" s="764"/>
      <c r="JE29" s="764"/>
      <c r="JF29" s="764"/>
      <c r="JG29" s="764"/>
      <c r="JH29" s="764"/>
      <c r="JI29" s="764"/>
      <c r="JJ29" s="764"/>
      <c r="JK29" s="764"/>
      <c r="JL29" s="764"/>
      <c r="JM29" s="764"/>
      <c r="JN29" s="764"/>
      <c r="JO29" s="764"/>
      <c r="JP29" s="764"/>
      <c r="JQ29" s="764"/>
      <c r="JR29" s="764"/>
      <c r="JS29" s="764"/>
      <c r="JT29" s="764"/>
      <c r="JU29" s="764"/>
      <c r="JV29" s="764"/>
      <c r="JW29" s="764"/>
      <c r="JX29" s="764"/>
      <c r="JY29" s="764"/>
      <c r="JZ29" s="764"/>
      <c r="KA29" s="764"/>
      <c r="KB29" s="764"/>
      <c r="KC29" s="764"/>
      <c r="KD29" s="764"/>
      <c r="KE29" s="764"/>
      <c r="KF29" s="764"/>
      <c r="KG29" s="764"/>
      <c r="KH29" s="764"/>
      <c r="KI29" s="764"/>
      <c r="KJ29" s="764"/>
      <c r="KK29" s="764"/>
      <c r="KL29" s="764"/>
      <c r="KM29" s="764"/>
      <c r="KN29" s="764"/>
      <c r="KO29" s="764"/>
      <c r="KP29" s="764"/>
      <c r="KQ29" s="764"/>
      <c r="KR29" s="764"/>
      <c r="KS29" s="764"/>
      <c r="KT29" s="764"/>
      <c r="KU29" s="764"/>
      <c r="KV29" s="764"/>
      <c r="KW29" s="764"/>
      <c r="KX29" s="764"/>
      <c r="KY29" s="764"/>
      <c r="KZ29" s="764"/>
      <c r="LA29" s="764"/>
      <c r="LB29" s="764"/>
      <c r="LC29" s="764"/>
      <c r="LD29" s="764"/>
      <c r="LE29" s="764"/>
      <c r="LF29" s="764"/>
      <c r="LG29" s="764"/>
      <c r="LH29" s="764"/>
      <c r="LI29" s="764"/>
      <c r="LJ29" s="764"/>
      <c r="LK29" s="764"/>
      <c r="LL29" s="764"/>
      <c r="LM29" s="764"/>
      <c r="LN29" s="764"/>
      <c r="LO29" s="764"/>
      <c r="LP29" s="1975"/>
      <c r="LQ29" s="1975"/>
      <c r="LR29" s="1975"/>
      <c r="LS29" s="1975"/>
      <c r="LT29" s="1975"/>
      <c r="LU29" s="1975"/>
      <c r="LV29" s="1975"/>
      <c r="LW29" s="1975"/>
      <c r="LX29" s="1975"/>
      <c r="LY29" s="1975"/>
      <c r="LZ29" s="1975"/>
      <c r="MA29" s="1975"/>
      <c r="MB29" s="1975"/>
      <c r="MC29" s="1975"/>
      <c r="MD29" s="1975"/>
      <c r="ME29" s="1975"/>
      <c r="MF29" s="1975"/>
      <c r="MG29" s="1975"/>
      <c r="MH29" s="1975"/>
      <c r="MI29" s="1975"/>
      <c r="MJ29" s="1975"/>
      <c r="MK29" s="1975"/>
      <c r="ML29" s="1975"/>
      <c r="MM29" s="1975"/>
      <c r="MN29" s="1975"/>
      <c r="MO29" s="1975"/>
      <c r="MP29" s="1975"/>
      <c r="MQ29" s="1975"/>
      <c r="MR29" s="1975"/>
      <c r="MS29" s="1975"/>
      <c r="MT29" s="1975"/>
      <c r="MU29" s="1975"/>
      <c r="MV29" s="1975"/>
      <c r="MW29" s="1975"/>
      <c r="MX29" s="1975"/>
      <c r="MY29" s="1975"/>
      <c r="MZ29" s="1975"/>
      <c r="NA29" s="1975"/>
      <c r="NB29" s="1975"/>
      <c r="NC29" s="1975"/>
      <c r="ND29" s="1975"/>
      <c r="NE29" s="1975"/>
      <c r="NF29" s="1975"/>
      <c r="NG29" s="1975"/>
      <c r="NH29" s="1975"/>
      <c r="NI29" s="1975"/>
    </row>
    <row r="30" spans="1:381" ht="21.75" customHeight="1" x14ac:dyDescent="0.4">
      <c r="A30" s="216" t="s">
        <v>640</v>
      </c>
      <c r="B30" s="256" t="s">
        <v>4195</v>
      </c>
      <c r="C30" s="198"/>
      <c r="D30" s="314">
        <f>SUMIFS('3b Activity Plan'!$AA$173:$AA$364,'3b Activity Plan'!$CY$173:$CY$364,1,'3b Activity Plan'!$AI$173:$AI$364,"U")</f>
        <v>0</v>
      </c>
      <c r="E30" s="314">
        <f>SUMIFS('3b Activity Plan'!$AB$173:$AB$364,'3b Activity Plan'!$CY$173:$CY$364,1,'3b Activity Plan'!$AI$173:$AI$364,"U")</f>
        <v>0</v>
      </c>
      <c r="F30" s="198"/>
      <c r="G30" s="198"/>
      <c r="H30" s="314">
        <f>SUMIFS('3a Staff Plan'!$AA$129:$AA$305,'3a Staff Plan'!$DF$129:$DF$305,1,'3a Staff Plan'!$DG$129:$DG$305,"U")</f>
        <v>0</v>
      </c>
      <c r="I30" s="314">
        <f>SUMIFS('3a Staff Plan'!$AB$129:$AB$305,'3a Staff Plan'!$DF$129:$DF$305,1,'3a Staff Plan'!$DG$129:$DG$305,"U")</f>
        <v>0</v>
      </c>
      <c r="J30" s="198"/>
      <c r="K30" s="198"/>
      <c r="L30" s="314">
        <f>(D30*$V$51)+(H30*$AL$51)</f>
        <v>0</v>
      </c>
      <c r="M30" s="314">
        <f>(E30*$V$51)+(I30*$AL$51)</f>
        <v>0</v>
      </c>
      <c r="N30" s="198"/>
      <c r="O30" s="198"/>
      <c r="P30" s="198"/>
      <c r="Q30" s="198"/>
      <c r="R30" s="198"/>
      <c r="S30" s="198"/>
      <c r="T30" s="198"/>
      <c r="U30" s="198"/>
      <c r="V30" s="198"/>
      <c r="W30" s="198"/>
      <c r="X30" s="198"/>
      <c r="Y30" s="198"/>
      <c r="Z30" s="198"/>
      <c r="AA30" s="198"/>
      <c r="AB30" s="198"/>
      <c r="AC30" s="198"/>
      <c r="AD30" s="198"/>
      <c r="AE30" s="198"/>
      <c r="AF30" s="198"/>
      <c r="AG30" s="198"/>
      <c r="AH30" s="198"/>
      <c r="AI30" s="198"/>
      <c r="AJ30" s="198"/>
      <c r="AK30" s="198"/>
      <c r="AL30" s="198"/>
      <c r="AM30" s="198"/>
      <c r="AN30" s="198"/>
      <c r="AO30" s="198"/>
      <c r="AP30" s="198"/>
      <c r="AQ30" s="198"/>
      <c r="AR30" s="198"/>
      <c r="AS30" s="198"/>
      <c r="AT30" s="198"/>
      <c r="AU30" s="198"/>
      <c r="AV30" s="198"/>
      <c r="AW30" s="198"/>
      <c r="AX30" s="198"/>
      <c r="AY30" s="198"/>
      <c r="AZ30" s="198"/>
      <c r="BA30" s="198"/>
      <c r="BB30" s="198"/>
      <c r="BC30" s="198"/>
      <c r="BD30" s="198"/>
      <c r="BE30" s="198"/>
      <c r="BF30" s="198"/>
      <c r="BG30" s="198"/>
      <c r="BH30" s="198"/>
      <c r="BI30" s="198"/>
      <c r="BJ30" s="198"/>
      <c r="BK30" s="198"/>
      <c r="BL30" s="198"/>
      <c r="BM30" s="198"/>
      <c r="BN30" s="198"/>
      <c r="BO30" s="198"/>
      <c r="BP30" s="198"/>
      <c r="BQ30" s="198"/>
      <c r="BR30" s="198"/>
      <c r="BS30" s="198"/>
      <c r="BT30" s="198"/>
      <c r="BU30" s="198"/>
      <c r="BV30" s="198"/>
      <c r="BW30" s="198"/>
      <c r="BX30" s="198"/>
      <c r="BY30" s="198"/>
      <c r="BZ30" s="198"/>
      <c r="CA30" s="198"/>
      <c r="CB30" s="198"/>
      <c r="CC30" s="198"/>
      <c r="CD30" s="198"/>
      <c r="CE30" s="198"/>
      <c r="CF30" s="198"/>
      <c r="CG30" s="198"/>
      <c r="CH30" s="198"/>
      <c r="CI30" s="198"/>
      <c r="CJ30" s="198"/>
      <c r="CK30" s="198"/>
      <c r="CL30" s="198"/>
      <c r="CM30" s="198"/>
      <c r="CN30" s="198"/>
      <c r="CO30" s="198"/>
      <c r="CP30" s="198"/>
      <c r="CQ30" s="198"/>
      <c r="CR30" s="198"/>
      <c r="CS30" s="198"/>
      <c r="CT30" s="198"/>
      <c r="CU30" s="198"/>
      <c r="CV30" s="198"/>
      <c r="CW30" s="198"/>
      <c r="CX30" s="198"/>
      <c r="CY30" s="198"/>
      <c r="CZ30" s="198"/>
      <c r="DA30" s="198"/>
      <c r="DB30" s="198"/>
      <c r="DC30" s="198"/>
      <c r="DD30" s="198"/>
      <c r="DE30" s="198"/>
      <c r="DF30" s="198"/>
      <c r="DG30" s="198"/>
      <c r="DH30" s="198"/>
      <c r="DI30" s="198"/>
      <c r="DJ30" s="198"/>
      <c r="DK30" s="198"/>
      <c r="DL30" s="198"/>
      <c r="DM30" s="198"/>
      <c r="DN30" s="198"/>
      <c r="DO30" s="198"/>
      <c r="DP30" s="198"/>
      <c r="DQ30" s="198"/>
      <c r="DR30" s="198"/>
      <c r="DS30" s="198"/>
      <c r="DT30" s="198"/>
      <c r="DU30" s="198"/>
      <c r="DV30" s="198"/>
      <c r="DW30" s="198"/>
      <c r="DX30" s="198"/>
      <c r="DY30" s="198"/>
      <c r="DZ30" s="198"/>
      <c r="EA30" s="198"/>
      <c r="EB30" s="198"/>
      <c r="EC30" s="198"/>
      <c r="ED30" s="198"/>
      <c r="EE30" s="198"/>
      <c r="EF30" s="198"/>
      <c r="EG30" s="198"/>
      <c r="EH30" s="198"/>
      <c r="EI30" s="198"/>
      <c r="EJ30" s="198"/>
      <c r="EK30" s="198"/>
      <c r="EL30" s="198"/>
      <c r="EM30" s="198"/>
      <c r="EN30" s="198"/>
      <c r="EO30" s="198"/>
      <c r="EP30" s="540"/>
      <c r="EQ30" s="540"/>
      <c r="ER30" s="540"/>
      <c r="ES30" s="540"/>
      <c r="ET30" s="540"/>
      <c r="EU30" s="540"/>
      <c r="EV30" s="540"/>
      <c r="EW30" s="198"/>
      <c r="EX30" s="198"/>
      <c r="EY30" s="198"/>
      <c r="EZ30" s="198"/>
      <c r="FA30" s="198"/>
      <c r="FB30" s="198"/>
      <c r="FC30" s="198"/>
      <c r="FD30" s="198"/>
      <c r="FE30" s="198"/>
      <c r="FF30" s="198"/>
      <c r="FG30" s="198"/>
      <c r="FH30" s="198"/>
      <c r="FI30" s="198"/>
      <c r="FJ30" s="198"/>
      <c r="FK30" s="198"/>
      <c r="FL30" s="198"/>
      <c r="FM30" s="198"/>
      <c r="FN30" s="198"/>
      <c r="FO30" s="198"/>
      <c r="FP30" s="198"/>
      <c r="FQ30" s="198"/>
      <c r="FR30" s="198"/>
      <c r="FS30" s="198"/>
      <c r="FT30" s="198"/>
      <c r="FU30" s="198"/>
      <c r="FV30" s="198"/>
      <c r="FW30" s="198"/>
      <c r="FX30" s="198"/>
      <c r="FY30" s="198"/>
      <c r="FZ30" s="198"/>
      <c r="GA30" s="198"/>
      <c r="GB30" s="198"/>
      <c r="GC30" s="198"/>
      <c r="GD30" s="198"/>
      <c r="GE30" s="198"/>
      <c r="GF30" s="198"/>
      <c r="GG30" s="198"/>
      <c r="GH30" s="198"/>
      <c r="GI30" s="198"/>
      <c r="GJ30" s="198"/>
      <c r="GK30" s="198"/>
      <c r="GL30" s="198"/>
      <c r="GM30" s="198"/>
      <c r="GN30" s="198"/>
      <c r="GO30" s="198"/>
      <c r="GP30" s="198"/>
      <c r="GQ30" s="198"/>
      <c r="GR30" s="198"/>
      <c r="GS30" s="198"/>
      <c r="GT30" s="198"/>
      <c r="GU30" s="198"/>
      <c r="GV30" s="198"/>
      <c r="GW30" s="198"/>
      <c r="GX30" s="198"/>
      <c r="GY30" s="764"/>
      <c r="GZ30" s="245"/>
      <c r="HA30" s="43" t="s">
        <v>4</v>
      </c>
      <c r="HB30" s="3550" t="str">
        <f>'1 Setup'!I41</f>
        <v>WORCESTERSHIRE COUNTY COUNCIL</v>
      </c>
      <c r="HC30" s="3551"/>
      <c r="HD30" s="3551"/>
      <c r="HE30" s="3551"/>
      <c r="HF30" s="3551"/>
      <c r="HG30" s="3552"/>
      <c r="HH30" s="502"/>
      <c r="HI30" s="43" t="s">
        <v>2173</v>
      </c>
      <c r="HJ30" s="3553" t="str">
        <f>'1 Setup'!I51</f>
        <v>B2367205</v>
      </c>
      <c r="HK30" s="3554"/>
      <c r="HL30" s="3555"/>
      <c r="HM30" s="790"/>
      <c r="HN30" s="247"/>
      <c r="HO30" s="764"/>
      <c r="HP30" s="1997"/>
      <c r="HQ30" s="1997"/>
      <c r="HR30" s="1997"/>
      <c r="HS30" s="1975"/>
      <c r="HT30" s="1997"/>
      <c r="HU30" s="1997"/>
      <c r="HV30" s="1975"/>
      <c r="HW30" s="2004"/>
      <c r="HX30" s="764"/>
      <c r="HY30" s="764"/>
      <c r="HZ30" s="1994"/>
      <c r="IA30" s="1994"/>
      <c r="IB30" s="764"/>
      <c r="IC30" s="1994"/>
      <c r="ID30" s="1994"/>
      <c r="IE30" s="1994"/>
      <c r="IF30" s="1994"/>
      <c r="IG30" s="1994"/>
      <c r="IH30" s="1974"/>
      <c r="II30" s="1974"/>
      <c r="IJ30" s="1974"/>
      <c r="IK30" s="1974"/>
      <c r="IL30" s="1974"/>
      <c r="IM30" s="1974"/>
      <c r="IN30" s="1974"/>
      <c r="IO30" s="1974"/>
      <c r="IP30" s="1974"/>
      <c r="IQ30" s="1974"/>
      <c r="IR30" s="1974"/>
      <c r="IS30" s="1974"/>
      <c r="IT30" s="1974"/>
      <c r="IU30" s="764"/>
      <c r="IV30" s="764"/>
      <c r="IW30" s="764"/>
      <c r="IX30" s="764"/>
      <c r="IY30" s="764"/>
      <c r="IZ30" s="1974"/>
      <c r="JA30" s="1974"/>
      <c r="JB30" s="764"/>
      <c r="JC30" s="764"/>
      <c r="JD30" s="764"/>
      <c r="JE30" s="764"/>
      <c r="JF30" s="764"/>
      <c r="JG30" s="764"/>
      <c r="JH30" s="764"/>
      <c r="JI30" s="764"/>
      <c r="JJ30" s="764"/>
      <c r="JK30" s="764"/>
      <c r="JL30" s="764"/>
      <c r="JM30" s="764"/>
      <c r="JN30" s="764"/>
      <c r="JO30" s="764"/>
      <c r="JP30" s="764"/>
      <c r="JQ30" s="764"/>
      <c r="JR30" s="764"/>
      <c r="JS30" s="764"/>
      <c r="JT30" s="764"/>
      <c r="JU30" s="764"/>
      <c r="JV30" s="764"/>
      <c r="JW30" s="764"/>
      <c r="JX30" s="764"/>
      <c r="JY30" s="764"/>
      <c r="JZ30" s="764"/>
      <c r="KA30" s="764"/>
      <c r="KB30" s="764"/>
      <c r="KC30" s="764"/>
      <c r="KD30" s="764"/>
      <c r="KE30" s="764"/>
      <c r="KF30" s="764"/>
      <c r="KG30" s="764"/>
      <c r="KH30" s="764"/>
      <c r="KI30" s="764"/>
      <c r="KJ30" s="764"/>
      <c r="KK30" s="764"/>
      <c r="KL30" s="764"/>
      <c r="KM30" s="764"/>
      <c r="KN30" s="764"/>
      <c r="KO30" s="764"/>
      <c r="KP30" s="764"/>
      <c r="KQ30" s="764"/>
      <c r="KR30" s="764"/>
      <c r="KS30" s="764"/>
      <c r="KT30" s="764"/>
      <c r="KU30" s="764"/>
      <c r="KV30" s="764"/>
      <c r="KW30" s="764"/>
      <c r="KX30" s="764"/>
      <c r="KY30" s="764"/>
      <c r="KZ30" s="764"/>
      <c r="LA30" s="764"/>
      <c r="LB30" s="764"/>
      <c r="LC30" s="764"/>
      <c r="LD30" s="764"/>
      <c r="LE30" s="764"/>
      <c r="LF30" s="764"/>
      <c r="LG30" s="764"/>
      <c r="LH30" s="764"/>
      <c r="LI30" s="764"/>
      <c r="LJ30" s="764"/>
      <c r="LK30" s="764"/>
      <c r="LL30" s="764"/>
      <c r="LM30" s="764"/>
      <c r="LN30" s="764"/>
      <c r="LO30" s="764"/>
      <c r="LP30" s="1975"/>
      <c r="LQ30" s="1975"/>
      <c r="LR30" s="1975"/>
      <c r="LS30" s="1975"/>
      <c r="LT30" s="1975"/>
      <c r="LU30" s="1975"/>
      <c r="LV30" s="1975"/>
      <c r="LW30" s="1975"/>
      <c r="LX30" s="1975"/>
      <c r="LY30" s="1975"/>
      <c r="LZ30" s="1975"/>
      <c r="MA30" s="1975"/>
      <c r="MB30" s="1975"/>
      <c r="MC30" s="1975"/>
      <c r="MD30" s="1975"/>
      <c r="ME30" s="1975"/>
      <c r="MF30" s="1975"/>
      <c r="MG30" s="1975"/>
      <c r="MH30" s="1975"/>
      <c r="MI30" s="1975"/>
      <c r="MJ30" s="1975"/>
      <c r="MK30" s="1975"/>
      <c r="ML30" s="1975"/>
      <c r="MM30" s="1975"/>
      <c r="MN30" s="1975"/>
      <c r="MO30" s="1975"/>
      <c r="MP30" s="1975"/>
      <c r="MQ30" s="1975"/>
      <c r="MR30" s="1975"/>
      <c r="MS30" s="1975"/>
      <c r="MT30" s="1975"/>
      <c r="MU30" s="1975"/>
      <c r="MV30" s="1975"/>
      <c r="MW30" s="1975"/>
      <c r="MX30" s="1975"/>
      <c r="MY30" s="1975"/>
      <c r="MZ30" s="1975"/>
      <c r="NA30" s="1975"/>
      <c r="NB30" s="1975"/>
      <c r="NC30" s="1975"/>
      <c r="ND30" s="1975"/>
      <c r="NE30" s="1975"/>
      <c r="NF30" s="1975"/>
      <c r="NG30" s="1975"/>
      <c r="NH30" s="1975"/>
      <c r="NI30" s="1975"/>
    </row>
    <row r="31" spans="1:381" ht="4.5" customHeight="1" x14ac:dyDescent="0.4">
      <c r="A31" s="198"/>
      <c r="B31" s="198"/>
      <c r="C31" s="198"/>
      <c r="D31" s="198"/>
      <c r="E31" s="198"/>
      <c r="F31" s="198"/>
      <c r="G31" s="198"/>
      <c r="H31" s="198"/>
      <c r="I31" s="198"/>
      <c r="J31" s="198"/>
      <c r="K31" s="198"/>
      <c r="L31" s="198"/>
      <c r="M31" s="198"/>
      <c r="N31" s="198"/>
      <c r="O31" s="198"/>
      <c r="P31" s="198"/>
      <c r="Q31" s="198"/>
      <c r="R31" s="198"/>
      <c r="S31" s="198"/>
      <c r="T31" s="198"/>
      <c r="U31" s="198"/>
      <c r="V31" s="198"/>
      <c r="W31" s="198"/>
      <c r="X31" s="198"/>
      <c r="Y31" s="198"/>
      <c r="Z31" s="198"/>
      <c r="AA31" s="198"/>
      <c r="AB31" s="198"/>
      <c r="AC31" s="198"/>
      <c r="AD31" s="198"/>
      <c r="AE31" s="198"/>
      <c r="AF31" s="198"/>
      <c r="AG31" s="198"/>
      <c r="AH31" s="198"/>
      <c r="AI31" s="198"/>
      <c r="AJ31" s="198"/>
      <c r="AK31" s="198"/>
      <c r="AL31" s="198"/>
      <c r="AM31" s="198"/>
      <c r="AN31" s="198"/>
      <c r="AO31" s="198"/>
      <c r="AP31" s="198"/>
      <c r="AQ31" s="198"/>
      <c r="AR31" s="198"/>
      <c r="AS31" s="198"/>
      <c r="AT31" s="198"/>
      <c r="AU31" s="198"/>
      <c r="AV31" s="198"/>
      <c r="AW31" s="198"/>
      <c r="AX31" s="198"/>
      <c r="AY31" s="198"/>
      <c r="AZ31" s="198"/>
      <c r="BA31" s="198"/>
      <c r="BB31" s="198"/>
      <c r="BC31" s="198"/>
      <c r="BD31" s="198"/>
      <c r="BE31" s="198"/>
      <c r="BF31" s="198"/>
      <c r="BG31" s="198"/>
      <c r="BH31" s="198"/>
      <c r="BI31" s="198"/>
      <c r="BJ31" s="198"/>
      <c r="BK31" s="198"/>
      <c r="BL31" s="198"/>
      <c r="BM31" s="198"/>
      <c r="BN31" s="198"/>
      <c r="BO31" s="198"/>
      <c r="BP31" s="198"/>
      <c r="BQ31" s="198"/>
      <c r="BR31" s="198"/>
      <c r="BS31" s="198"/>
      <c r="BT31" s="198"/>
      <c r="BU31" s="198"/>
      <c r="BV31" s="198"/>
      <c r="BW31" s="198"/>
      <c r="BX31" s="198"/>
      <c r="BY31" s="198"/>
      <c r="BZ31" s="198"/>
      <c r="CA31" s="198"/>
      <c r="CB31" s="198"/>
      <c r="CC31" s="198"/>
      <c r="CD31" s="198"/>
      <c r="CE31" s="198"/>
      <c r="CF31" s="198"/>
      <c r="CG31" s="198"/>
      <c r="CH31" s="198"/>
      <c r="CI31" s="198"/>
      <c r="CJ31" s="198"/>
      <c r="CK31" s="198"/>
      <c r="CL31" s="198"/>
      <c r="CM31" s="198"/>
      <c r="CN31" s="198"/>
      <c r="CO31" s="198"/>
      <c r="CP31" s="198"/>
      <c r="CQ31" s="198"/>
      <c r="CR31" s="198"/>
      <c r="CS31" s="198"/>
      <c r="CT31" s="198"/>
      <c r="CU31" s="198"/>
      <c r="CV31" s="198"/>
      <c r="CW31" s="198"/>
      <c r="CX31" s="198"/>
      <c r="CY31" s="198"/>
      <c r="CZ31" s="198"/>
      <c r="DA31" s="198"/>
      <c r="DB31" s="198"/>
      <c r="DC31" s="198"/>
      <c r="DD31" s="198"/>
      <c r="DE31" s="198"/>
      <c r="DF31" s="198"/>
      <c r="DG31" s="198"/>
      <c r="DH31" s="198"/>
      <c r="DI31" s="198"/>
      <c r="DJ31" s="198"/>
      <c r="DK31" s="198"/>
      <c r="DL31" s="198"/>
      <c r="DM31" s="198"/>
      <c r="DN31" s="198"/>
      <c r="DO31" s="198"/>
      <c r="DP31" s="198"/>
      <c r="DQ31" s="198"/>
      <c r="DR31" s="198"/>
      <c r="DS31" s="198"/>
      <c r="DT31" s="198"/>
      <c r="DU31" s="198"/>
      <c r="DV31" s="198"/>
      <c r="DW31" s="198"/>
      <c r="DX31" s="198"/>
      <c r="DY31" s="198"/>
      <c r="DZ31" s="198"/>
      <c r="EA31" s="198"/>
      <c r="EB31" s="198"/>
      <c r="EC31" s="198"/>
      <c r="ED31" s="198"/>
      <c r="EE31" s="198"/>
      <c r="EF31" s="198"/>
      <c r="EG31" s="198"/>
      <c r="EH31" s="198"/>
      <c r="EI31" s="198"/>
      <c r="EJ31" s="198"/>
      <c r="EK31" s="198"/>
      <c r="EL31" s="198"/>
      <c r="EM31" s="198"/>
      <c r="EN31" s="198"/>
      <c r="EO31" s="198"/>
      <c r="EP31" s="540"/>
      <c r="EQ31" s="540"/>
      <c r="ER31" s="540"/>
      <c r="ES31" s="540"/>
      <c r="ET31" s="540"/>
      <c r="EU31" s="540"/>
      <c r="EV31" s="540"/>
      <c r="EW31" s="198"/>
      <c r="EX31" s="198"/>
      <c r="EY31" s="198"/>
      <c r="EZ31" s="198"/>
      <c r="FA31" s="198"/>
      <c r="FB31" s="198"/>
      <c r="FC31" s="198"/>
      <c r="FD31" s="198"/>
      <c r="FE31" s="198"/>
      <c r="FF31" s="198"/>
      <c r="FG31" s="198"/>
      <c r="FH31" s="198"/>
      <c r="FI31" s="198"/>
      <c r="FJ31" s="198"/>
      <c r="FK31" s="198"/>
      <c r="FL31" s="198"/>
      <c r="FM31" s="198"/>
      <c r="FN31" s="198"/>
      <c r="FO31" s="198"/>
      <c r="FP31" s="198"/>
      <c r="FQ31" s="198"/>
      <c r="FR31" s="198"/>
      <c r="FS31" s="198"/>
      <c r="FT31" s="198"/>
      <c r="FU31" s="198"/>
      <c r="FV31" s="198"/>
      <c r="FW31" s="198"/>
      <c r="FX31" s="198"/>
      <c r="FY31" s="198"/>
      <c r="FZ31" s="198"/>
      <c r="GA31" s="198"/>
      <c r="GB31" s="198"/>
      <c r="GC31" s="198"/>
      <c r="GD31" s="198"/>
      <c r="GE31" s="198"/>
      <c r="GF31" s="198"/>
      <c r="GG31" s="198"/>
      <c r="GH31" s="198"/>
      <c r="GI31" s="198"/>
      <c r="GJ31" s="198"/>
      <c r="GK31" s="198"/>
      <c r="GL31" s="198"/>
      <c r="GM31" s="198"/>
      <c r="GN31" s="198"/>
      <c r="GO31" s="198"/>
      <c r="GP31" s="198"/>
      <c r="GQ31" s="198"/>
      <c r="GR31" s="198"/>
      <c r="GS31" s="198"/>
      <c r="GT31" s="198"/>
      <c r="GU31" s="198"/>
      <c r="GV31" s="198"/>
      <c r="GW31" s="198"/>
      <c r="GX31" s="198"/>
      <c r="GY31" s="764"/>
      <c r="GZ31" s="245"/>
      <c r="HA31" s="43"/>
      <c r="HB31" s="249"/>
      <c r="HC31" s="249"/>
      <c r="HD31" s="249"/>
      <c r="HE31" s="249"/>
      <c r="HF31" s="249"/>
      <c r="HG31" s="249"/>
      <c r="HH31" s="502"/>
      <c r="HI31" s="43"/>
      <c r="HJ31" s="3527"/>
      <c r="HK31" s="3527"/>
      <c r="HL31" s="3527"/>
      <c r="HM31" s="790"/>
      <c r="HN31" s="247"/>
      <c r="HO31" s="764"/>
      <c r="HP31" s="764"/>
      <c r="HQ31" s="764"/>
      <c r="HR31" s="764"/>
      <c r="HS31" s="1975"/>
      <c r="HT31" s="764"/>
      <c r="HU31" s="764"/>
      <c r="HV31" s="1975"/>
      <c r="HW31" s="2004"/>
      <c r="HX31" s="764"/>
      <c r="HY31" s="764"/>
      <c r="HZ31" s="2006"/>
      <c r="IA31" s="2006"/>
      <c r="IB31" s="764"/>
      <c r="IC31" s="2006"/>
      <c r="ID31" s="2006"/>
      <c r="IE31" s="2006"/>
      <c r="IF31" s="2006"/>
      <c r="IG31" s="2006"/>
      <c r="IH31" s="1974"/>
      <c r="II31" s="1974"/>
      <c r="IJ31" s="1974"/>
      <c r="IK31" s="1974"/>
      <c r="IL31" s="1974"/>
      <c r="IM31" s="1974"/>
      <c r="IN31" s="1974"/>
      <c r="IO31" s="1974"/>
      <c r="IP31" s="1974"/>
      <c r="IQ31" s="1974"/>
      <c r="IR31" s="1974"/>
      <c r="IS31" s="1974"/>
      <c r="IT31" s="1974"/>
      <c r="IU31" s="764"/>
      <c r="IV31" s="764"/>
      <c r="IW31" s="764"/>
      <c r="IX31" s="764"/>
      <c r="IY31" s="764"/>
      <c r="IZ31" s="1974"/>
      <c r="JA31" s="1974"/>
      <c r="JB31" s="764"/>
      <c r="JC31" s="764"/>
      <c r="JD31" s="764"/>
      <c r="JE31" s="764"/>
      <c r="JF31" s="764"/>
      <c r="JG31" s="764"/>
      <c r="JH31" s="764"/>
      <c r="JI31" s="764"/>
      <c r="JJ31" s="764"/>
      <c r="JK31" s="764"/>
      <c r="JL31" s="764"/>
      <c r="JM31" s="764"/>
      <c r="JN31" s="764"/>
      <c r="JO31" s="764"/>
      <c r="JP31" s="764"/>
      <c r="JQ31" s="764"/>
      <c r="JR31" s="764"/>
      <c r="JS31" s="764"/>
      <c r="JT31" s="764"/>
      <c r="JU31" s="764"/>
      <c r="JV31" s="764"/>
      <c r="JW31" s="764"/>
      <c r="JX31" s="764"/>
      <c r="JY31" s="764"/>
      <c r="JZ31" s="764"/>
      <c r="KA31" s="764"/>
      <c r="KB31" s="764"/>
      <c r="KC31" s="764"/>
      <c r="KD31" s="764"/>
      <c r="KE31" s="764"/>
      <c r="KF31" s="764"/>
      <c r="KG31" s="764"/>
      <c r="KH31" s="764"/>
      <c r="KI31" s="764"/>
      <c r="KJ31" s="764"/>
      <c r="KK31" s="764"/>
      <c r="KL31" s="764"/>
      <c r="KM31" s="764"/>
      <c r="KN31" s="764"/>
      <c r="KO31" s="764"/>
      <c r="KP31" s="764"/>
      <c r="KQ31" s="764"/>
      <c r="KR31" s="764"/>
      <c r="KS31" s="764"/>
      <c r="KT31" s="764"/>
      <c r="KU31" s="764"/>
      <c r="KV31" s="764"/>
      <c r="KW31" s="764"/>
      <c r="KX31" s="764"/>
      <c r="KY31" s="764"/>
      <c r="KZ31" s="764"/>
      <c r="LA31" s="764"/>
      <c r="LB31" s="764"/>
      <c r="LC31" s="764"/>
      <c r="LD31" s="764"/>
      <c r="LE31" s="764"/>
      <c r="LF31" s="764"/>
      <c r="LG31" s="764"/>
      <c r="LH31" s="764"/>
      <c r="LI31" s="764"/>
      <c r="LJ31" s="764"/>
      <c r="LK31" s="764"/>
      <c r="LL31" s="764"/>
      <c r="LM31" s="764"/>
      <c r="LN31" s="764"/>
      <c r="LO31" s="764"/>
      <c r="LP31" s="1975"/>
      <c r="LQ31" s="1975"/>
      <c r="LR31" s="1975"/>
      <c r="LS31" s="1975"/>
      <c r="LT31" s="1975"/>
      <c r="LU31" s="1975"/>
      <c r="LV31" s="1975"/>
      <c r="LW31" s="1975"/>
      <c r="LX31" s="1975"/>
      <c r="LY31" s="1975"/>
      <c r="LZ31" s="1975"/>
      <c r="MA31" s="1975"/>
      <c r="MB31" s="1975"/>
      <c r="MC31" s="1975"/>
      <c r="MD31" s="1975"/>
      <c r="ME31" s="1975"/>
      <c r="MF31" s="1975"/>
      <c r="MG31" s="1975"/>
      <c r="MH31" s="1975"/>
      <c r="MI31" s="1975"/>
      <c r="MJ31" s="1975"/>
      <c r="MK31" s="1975"/>
      <c r="ML31" s="1975"/>
      <c r="MM31" s="1975"/>
      <c r="MN31" s="1975"/>
      <c r="MO31" s="1975"/>
      <c r="MP31" s="1975"/>
      <c r="MQ31" s="1975"/>
      <c r="MR31" s="1975"/>
      <c r="MS31" s="1975"/>
      <c r="MT31" s="1975"/>
      <c r="MU31" s="1975"/>
      <c r="MV31" s="1975"/>
      <c r="MW31" s="1975"/>
      <c r="MX31" s="1975"/>
      <c r="MY31" s="1975"/>
      <c r="MZ31" s="1975"/>
      <c r="NA31" s="1975"/>
      <c r="NB31" s="1975"/>
      <c r="NC31" s="1975"/>
      <c r="ND31" s="1975"/>
      <c r="NE31" s="1975"/>
      <c r="NF31" s="1975"/>
      <c r="NG31" s="1975"/>
      <c r="NH31" s="1975"/>
      <c r="NI31" s="1975"/>
    </row>
    <row r="32" spans="1:381" ht="12.75" customHeight="1" x14ac:dyDescent="0.4">
      <c r="A32" s="216" t="s">
        <v>643</v>
      </c>
      <c r="B32" s="256" t="s">
        <v>4195</v>
      </c>
      <c r="C32" s="198"/>
      <c r="D32" s="314">
        <f>SUMIFS('3b Activity Plan'!$AA$173:$AA$364,'3b Activity Plan'!$CY$173:$CY$364,1,'3b Activity Plan'!$AI$173:$AI$364,"W")</f>
        <v>0</v>
      </c>
      <c r="E32" s="314">
        <f>SUMIFS('3b Activity Plan'!$AB$173:$AB$364,'3b Activity Plan'!$CY$173:$CY$364,1,'3b Activity Plan'!$AI$173:$AI$364,"W")</f>
        <v>0</v>
      </c>
      <c r="F32" s="198"/>
      <c r="G32" s="198"/>
      <c r="H32" s="314">
        <f>SUMIFS('3a Staff Plan'!$AA$129:$AA$305,'3a Staff Plan'!$DF$129:$DF$305,1,'3a Staff Plan'!$DG$129:$DG$305,"W")</f>
        <v>0</v>
      </c>
      <c r="I32" s="314">
        <f>SUMIFS('3a Staff Plan'!$AB$129:$AB$305,'3a Staff Plan'!$DF$129:$DF$305,1,'3a Staff Plan'!$DG$129:$DG$305,"W")</f>
        <v>0</v>
      </c>
      <c r="J32" s="198"/>
      <c r="K32" s="198"/>
      <c r="L32" s="314">
        <f>(D32*$V$51)+(H32*$AL$51)</f>
        <v>0</v>
      </c>
      <c r="M32" s="314">
        <f>(E32*$V$51)+(I32*$AL$51)</f>
        <v>0</v>
      </c>
      <c r="N32" s="198"/>
      <c r="O32" s="198"/>
      <c r="P32" s="198"/>
      <c r="Q32" s="198"/>
      <c r="R32" s="198"/>
      <c r="S32" s="198"/>
      <c r="T32" s="198"/>
      <c r="U32" s="198"/>
      <c r="V32" s="198"/>
      <c r="W32" s="198"/>
      <c r="X32" s="198"/>
      <c r="Y32" s="198"/>
      <c r="Z32" s="198"/>
      <c r="AA32" s="198"/>
      <c r="AB32" s="198"/>
      <c r="AC32" s="198"/>
      <c r="AD32" s="198"/>
      <c r="AE32" s="198"/>
      <c r="AF32" s="198"/>
      <c r="AG32" s="198"/>
      <c r="AH32" s="198"/>
      <c r="AI32" s="198"/>
      <c r="AJ32" s="198"/>
      <c r="AK32" s="198"/>
      <c r="AL32" s="198"/>
      <c r="AM32" s="198"/>
      <c r="AN32" s="198"/>
      <c r="AO32" s="198"/>
      <c r="AP32" s="198"/>
      <c r="AQ32" s="198"/>
      <c r="AR32" s="198"/>
      <c r="AS32" s="198"/>
      <c r="AT32" s="198"/>
      <c r="AU32" s="198"/>
      <c r="AV32" s="198"/>
      <c r="AW32" s="198"/>
      <c r="AX32" s="198"/>
      <c r="AY32" s="198"/>
      <c r="AZ32" s="198"/>
      <c r="BA32" s="198"/>
      <c r="BB32" s="198"/>
      <c r="BC32" s="198"/>
      <c r="BD32" s="198"/>
      <c r="BE32" s="198"/>
      <c r="BF32" s="198"/>
      <c r="BG32" s="198"/>
      <c r="BH32" s="198"/>
      <c r="BI32" s="198"/>
      <c r="BJ32" s="198"/>
      <c r="BK32" s="198"/>
      <c r="BL32" s="198"/>
      <c r="BM32" s="198"/>
      <c r="BN32" s="198"/>
      <c r="BO32" s="198"/>
      <c r="BP32" s="198"/>
      <c r="BQ32" s="198"/>
      <c r="BR32" s="198"/>
      <c r="BS32" s="198"/>
      <c r="BT32" s="198"/>
      <c r="BU32" s="198"/>
      <c r="BV32" s="198"/>
      <c r="BW32" s="198"/>
      <c r="BX32" s="198"/>
      <c r="BY32" s="198"/>
      <c r="BZ32" s="198"/>
      <c r="CA32" s="198"/>
      <c r="CB32" s="198"/>
      <c r="CC32" s="198"/>
      <c r="CD32" s="198"/>
      <c r="CE32" s="198"/>
      <c r="CF32" s="198"/>
      <c r="CG32" s="198"/>
      <c r="CH32" s="198"/>
      <c r="CI32" s="198"/>
      <c r="CJ32" s="198"/>
      <c r="CK32" s="198"/>
      <c r="CL32" s="198"/>
      <c r="CM32" s="198"/>
      <c r="CN32" s="198"/>
      <c r="CO32" s="198"/>
      <c r="CP32" s="198"/>
      <c r="CQ32" s="198"/>
      <c r="CR32" s="198"/>
      <c r="CS32" s="198"/>
      <c r="CT32" s="198"/>
      <c r="CU32" s="198"/>
      <c r="CV32" s="198"/>
      <c r="CW32" s="198"/>
      <c r="CX32" s="198"/>
      <c r="CY32" s="198"/>
      <c r="CZ32" s="198"/>
      <c r="DA32" s="198"/>
      <c r="DB32" s="198"/>
      <c r="DC32" s="198"/>
      <c r="DD32" s="198"/>
      <c r="DE32" s="198"/>
      <c r="DF32" s="198"/>
      <c r="DG32" s="198"/>
      <c r="DH32" s="198"/>
      <c r="DI32" s="198"/>
      <c r="DJ32" s="198"/>
      <c r="DK32" s="198"/>
      <c r="DL32" s="198"/>
      <c r="DM32" s="198"/>
      <c r="DN32" s="198"/>
      <c r="DO32" s="198"/>
      <c r="DP32" s="198"/>
      <c r="DQ32" s="198"/>
      <c r="DR32" s="198"/>
      <c r="DS32" s="198"/>
      <c r="DT32" s="198"/>
      <c r="DU32" s="198"/>
      <c r="DV32" s="198"/>
      <c r="DW32" s="198"/>
      <c r="DX32" s="198"/>
      <c r="DY32" s="198"/>
      <c r="DZ32" s="198"/>
      <c r="EA32" s="198"/>
      <c r="EB32" s="198"/>
      <c r="EC32" s="198"/>
      <c r="ED32" s="198"/>
      <c r="EE32" s="198"/>
      <c r="EF32" s="198"/>
      <c r="EG32" s="198"/>
      <c r="EH32" s="198"/>
      <c r="EI32" s="198"/>
      <c r="EJ32" s="198"/>
      <c r="EK32" s="198"/>
      <c r="EL32" s="198"/>
      <c r="EM32" s="198"/>
      <c r="EN32" s="198"/>
      <c r="EO32" s="198"/>
      <c r="EP32" s="540"/>
      <c r="EQ32" s="540"/>
      <c r="ER32" s="540"/>
      <c r="ES32" s="540"/>
      <c r="ET32" s="540"/>
      <c r="EU32" s="540"/>
      <c r="EV32" s="540"/>
      <c r="EW32" s="198"/>
      <c r="EX32" s="198"/>
      <c r="EY32" s="198"/>
      <c r="EZ32" s="198"/>
      <c r="FA32" s="198"/>
      <c r="FB32" s="198"/>
      <c r="FC32" s="198"/>
      <c r="FD32" s="198"/>
      <c r="FE32" s="198"/>
      <c r="FF32" s="198"/>
      <c r="FG32" s="198"/>
      <c r="FH32" s="198"/>
      <c r="FI32" s="198"/>
      <c r="FJ32" s="198"/>
      <c r="FK32" s="198"/>
      <c r="FL32" s="198"/>
      <c r="FM32" s="198"/>
      <c r="FN32" s="198"/>
      <c r="FO32" s="198"/>
      <c r="FP32" s="198"/>
      <c r="FQ32" s="198"/>
      <c r="FR32" s="198"/>
      <c r="FS32" s="198"/>
      <c r="FT32" s="198"/>
      <c r="FU32" s="198"/>
      <c r="FV32" s="198"/>
      <c r="FW32" s="198"/>
      <c r="FX32" s="198"/>
      <c r="FY32" s="198"/>
      <c r="FZ32" s="198"/>
      <c r="GA32" s="198"/>
      <c r="GB32" s="198"/>
      <c r="GC32" s="198"/>
      <c r="GD32" s="198"/>
      <c r="GE32" s="198"/>
      <c r="GF32" s="198"/>
      <c r="GG32" s="198"/>
      <c r="GH32" s="198"/>
      <c r="GI32" s="198"/>
      <c r="GJ32" s="198"/>
      <c r="GK32" s="198"/>
      <c r="GL32" s="198"/>
      <c r="GM32" s="198"/>
      <c r="GN32" s="198"/>
      <c r="GO32" s="198"/>
      <c r="GP32" s="198"/>
      <c r="GQ32" s="198"/>
      <c r="GR32" s="198"/>
      <c r="GS32" s="198"/>
      <c r="GT32" s="198"/>
      <c r="GU32" s="198"/>
      <c r="GV32" s="198"/>
      <c r="GW32" s="198"/>
      <c r="GX32" s="198"/>
      <c r="GY32" s="764"/>
      <c r="GZ32" s="245"/>
      <c r="HA32" s="246"/>
      <c r="HB32" s="246"/>
      <c r="HC32" s="246"/>
      <c r="HD32" s="246"/>
      <c r="HE32" s="246"/>
      <c r="HF32" s="246"/>
      <c r="HG32" s="258"/>
      <c r="HH32" s="258"/>
      <c r="HI32" s="258"/>
      <c r="HJ32" s="3528"/>
      <c r="HK32" s="3528"/>
      <c r="HL32" s="3528"/>
      <c r="HM32" s="449"/>
      <c r="HN32" s="247"/>
      <c r="HO32" s="764"/>
      <c r="HP32" s="764"/>
      <c r="HQ32" s="764"/>
      <c r="HR32" s="764"/>
      <c r="HS32" s="1975"/>
      <c r="HT32" s="764"/>
      <c r="HU32" s="764"/>
      <c r="HV32" s="1975"/>
      <c r="HW32" s="2004"/>
      <c r="HX32" s="764"/>
      <c r="HY32" s="764"/>
      <c r="HZ32" s="1974"/>
      <c r="IA32" s="2007"/>
      <c r="IB32" s="764"/>
      <c r="IC32" s="2007"/>
      <c r="ID32" s="2008"/>
      <c r="IE32" s="2008"/>
      <c r="IF32" s="2008"/>
      <c r="IG32" s="2008"/>
      <c r="IH32" s="2009"/>
      <c r="II32" s="2009"/>
      <c r="IJ32" s="2009"/>
      <c r="IK32" s="2009"/>
      <c r="IL32" s="2009"/>
      <c r="IM32" s="3477"/>
      <c r="IN32" s="3477"/>
      <c r="IO32" s="2010"/>
      <c r="IP32" s="1974"/>
      <c r="IQ32" s="1974"/>
      <c r="IR32" s="1974"/>
      <c r="IS32" s="1974"/>
      <c r="IT32" s="1974"/>
      <c r="IU32" s="764"/>
      <c r="IV32" s="764"/>
      <c r="IW32" s="764"/>
      <c r="IX32" s="764"/>
      <c r="IY32" s="764"/>
      <c r="IZ32" s="1974"/>
      <c r="JA32" s="1974"/>
      <c r="JB32" s="764"/>
      <c r="JC32" s="764"/>
      <c r="JD32" s="764"/>
      <c r="JE32" s="764"/>
      <c r="JF32" s="764"/>
      <c r="JG32" s="764"/>
      <c r="JH32" s="764"/>
      <c r="JI32" s="764"/>
      <c r="JJ32" s="764"/>
      <c r="JK32" s="764"/>
      <c r="JL32" s="764"/>
      <c r="JM32" s="764"/>
      <c r="JN32" s="764"/>
      <c r="JO32" s="764"/>
      <c r="JP32" s="764"/>
      <c r="JQ32" s="764"/>
      <c r="JR32" s="764"/>
      <c r="JS32" s="764"/>
      <c r="JT32" s="764"/>
      <c r="JU32" s="764"/>
      <c r="JV32" s="764"/>
      <c r="JW32" s="764"/>
      <c r="JX32" s="764"/>
      <c r="JY32" s="764"/>
      <c r="JZ32" s="764"/>
      <c r="KA32" s="764"/>
      <c r="KB32" s="764"/>
      <c r="KC32" s="764"/>
      <c r="KD32" s="764"/>
      <c r="KE32" s="764"/>
      <c r="KF32" s="764"/>
      <c r="KG32" s="764"/>
      <c r="KH32" s="764"/>
      <c r="KI32" s="764"/>
      <c r="KJ32" s="764"/>
      <c r="KK32" s="764"/>
      <c r="KL32" s="764"/>
      <c r="KM32" s="764"/>
      <c r="KN32" s="764"/>
      <c r="KO32" s="764"/>
      <c r="KP32" s="764"/>
      <c r="KQ32" s="764"/>
      <c r="KR32" s="764"/>
      <c r="KS32" s="764"/>
      <c r="KT32" s="764"/>
      <c r="KU32" s="764"/>
      <c r="KV32" s="764"/>
      <c r="KW32" s="764"/>
      <c r="KX32" s="764"/>
      <c r="KY32" s="764"/>
      <c r="KZ32" s="764"/>
      <c r="LA32" s="764"/>
      <c r="LB32" s="764"/>
      <c r="LC32" s="764"/>
      <c r="LD32" s="764"/>
      <c r="LE32" s="764"/>
      <c r="LF32" s="764"/>
      <c r="LG32" s="764"/>
      <c r="LH32" s="764"/>
      <c r="LI32" s="764"/>
      <c r="LJ32" s="764"/>
      <c r="LK32" s="764"/>
      <c r="LL32" s="764"/>
      <c r="LM32" s="764"/>
      <c r="LN32" s="764"/>
      <c r="LO32" s="764"/>
      <c r="LP32" s="1975"/>
      <c r="LQ32" s="1975"/>
      <c r="LR32" s="1975"/>
      <c r="LS32" s="1975"/>
      <c r="LT32" s="1975"/>
      <c r="LU32" s="1975"/>
      <c r="LV32" s="1975"/>
      <c r="LW32" s="1975"/>
      <c r="LX32" s="1975"/>
      <c r="LY32" s="1975"/>
      <c r="LZ32" s="1975"/>
      <c r="MA32" s="1975"/>
      <c r="MB32" s="1975"/>
      <c r="MC32" s="1975"/>
      <c r="MD32" s="1975"/>
      <c r="ME32" s="1975"/>
      <c r="MF32" s="1975"/>
      <c r="MG32" s="1975"/>
      <c r="MH32" s="1975"/>
      <c r="MI32" s="1975"/>
      <c r="MJ32" s="1975"/>
      <c r="MK32" s="1975"/>
      <c r="ML32" s="1975"/>
      <c r="MM32" s="1975"/>
      <c r="MN32" s="1975"/>
      <c r="MO32" s="1975"/>
      <c r="MP32" s="1975"/>
      <c r="MQ32" s="1975"/>
      <c r="MR32" s="1975"/>
      <c r="MS32" s="1975"/>
      <c r="MT32" s="1975"/>
      <c r="MU32" s="1975"/>
      <c r="MV32" s="1975"/>
      <c r="MW32" s="1975"/>
      <c r="MX32" s="1975"/>
      <c r="MY32" s="1975"/>
      <c r="MZ32" s="1975"/>
      <c r="NA32" s="1975"/>
      <c r="NB32" s="1975"/>
      <c r="NC32" s="1975"/>
      <c r="ND32" s="1975"/>
      <c r="NE32" s="1975"/>
      <c r="NF32" s="1975"/>
      <c r="NG32" s="1975"/>
      <c r="NH32" s="1975"/>
      <c r="NI32" s="1975"/>
    </row>
    <row r="33" spans="1:373" ht="19.5" customHeight="1" x14ac:dyDescent="0.3">
      <c r="A33" s="216" t="s">
        <v>274</v>
      </c>
      <c r="B33" s="256" t="s">
        <v>4195</v>
      </c>
      <c r="C33" s="198"/>
      <c r="D33" s="314">
        <f>SUMIFS('3b Activity Plan'!$AA$173:$AA$364,'3b Activity Plan'!$CY$173:$CY$364,1,'3b Activity Plan'!$AI$173:$AI$364,"Z")</f>
        <v>0</v>
      </c>
      <c r="E33" s="314">
        <f>SUMIFS('3b Activity Plan'!$AB$173:$AB$364,'3b Activity Plan'!$CY$173:$CY$364,1,'3b Activity Plan'!$AI$173:$AI$364,"Z")</f>
        <v>0</v>
      </c>
      <c r="F33" s="198"/>
      <c r="G33" s="198"/>
      <c r="H33" s="314">
        <f>SUMIFS('3a Staff Plan'!$AA$129:$AA$305,'3a Staff Plan'!$DF$129:$DF$305,1,'3a Staff Plan'!$DG$129:$DG$305,"Z")</f>
        <v>0</v>
      </c>
      <c r="I33" s="314">
        <f>SUMIFS('3a Staff Plan'!$AB$129:$AB$305,'3a Staff Plan'!$DF$129:$DF$305,1,'3a Staff Plan'!$DG$129:$DG$305,"Z")</f>
        <v>0</v>
      </c>
      <c r="J33" s="198"/>
      <c r="K33" s="198"/>
      <c r="L33" s="314">
        <f>(D33*$V$51)+(H33*$AL$51)</f>
        <v>0</v>
      </c>
      <c r="M33" s="314">
        <f>(E33*$V$51)+(I33*$AL$51)</f>
        <v>0</v>
      </c>
      <c r="N33" s="198"/>
      <c r="O33" s="198"/>
      <c r="P33" s="198"/>
      <c r="Q33" s="198"/>
      <c r="R33" s="198"/>
      <c r="S33" s="198"/>
      <c r="T33" s="198"/>
      <c r="U33" s="198"/>
      <c r="V33" s="198"/>
      <c r="W33" s="198"/>
      <c r="X33" s="198"/>
      <c r="Y33" s="198"/>
      <c r="Z33" s="198"/>
      <c r="AA33" s="198"/>
      <c r="AB33" s="198"/>
      <c r="AC33" s="198"/>
      <c r="AD33" s="198"/>
      <c r="AE33" s="198"/>
      <c r="AF33" s="198"/>
      <c r="AG33" s="198"/>
      <c r="AH33" s="198"/>
      <c r="AI33" s="198"/>
      <c r="AJ33" s="198"/>
      <c r="AK33" s="198"/>
      <c r="AL33" s="198"/>
      <c r="AM33" s="198"/>
      <c r="AN33" s="198"/>
      <c r="AO33" s="198"/>
      <c r="AP33" s="198"/>
      <c r="AQ33" s="198"/>
      <c r="AR33" s="198"/>
      <c r="AS33" s="198"/>
      <c r="AT33" s="198"/>
      <c r="AU33" s="198"/>
      <c r="AV33" s="198"/>
      <c r="AW33" s="198"/>
      <c r="AX33" s="198"/>
      <c r="AY33" s="198"/>
      <c r="AZ33" s="198"/>
      <c r="BA33" s="198"/>
      <c r="BB33" s="198"/>
      <c r="BC33" s="198"/>
      <c r="BD33" s="198"/>
      <c r="BE33" s="198"/>
      <c r="BF33" s="198"/>
      <c r="BG33" s="198"/>
      <c r="BH33" s="198"/>
      <c r="BI33" s="198"/>
      <c r="BJ33" s="198"/>
      <c r="BK33" s="198"/>
      <c r="BL33" s="198"/>
      <c r="BM33" s="198"/>
      <c r="BN33" s="198"/>
      <c r="BO33" s="198"/>
      <c r="BP33" s="198"/>
      <c r="BQ33" s="198"/>
      <c r="BR33" s="198"/>
      <c r="BS33" s="198"/>
      <c r="BT33" s="198"/>
      <c r="BU33" s="198"/>
      <c r="BV33" s="198"/>
      <c r="BW33" s="198"/>
      <c r="BX33" s="198"/>
      <c r="BY33" s="198"/>
      <c r="BZ33" s="198"/>
      <c r="CA33" s="198"/>
      <c r="CB33" s="198"/>
      <c r="CC33" s="198"/>
      <c r="CD33" s="198"/>
      <c r="CE33" s="198"/>
      <c r="CF33" s="198"/>
      <c r="CG33" s="198"/>
      <c r="CH33" s="198"/>
      <c r="CI33" s="198"/>
      <c r="CJ33" s="198"/>
      <c r="CK33" s="198"/>
      <c r="CL33" s="198"/>
      <c r="CM33" s="198"/>
      <c r="CN33" s="198"/>
      <c r="CO33" s="198"/>
      <c r="CP33" s="198"/>
      <c r="CQ33" s="198"/>
      <c r="CR33" s="198"/>
      <c r="CS33" s="198"/>
      <c r="CT33" s="198"/>
      <c r="CU33" s="198"/>
      <c r="CV33" s="198"/>
      <c r="CW33" s="198"/>
      <c r="CX33" s="198"/>
      <c r="CY33" s="198"/>
      <c r="CZ33" s="198"/>
      <c r="DA33" s="198"/>
      <c r="DB33" s="198"/>
      <c r="DC33" s="198"/>
      <c r="DD33" s="198"/>
      <c r="DE33" s="198"/>
      <c r="DF33" s="198"/>
      <c r="DG33" s="198"/>
      <c r="DH33" s="198"/>
      <c r="DI33" s="198"/>
      <c r="DJ33" s="198"/>
      <c r="DK33" s="198"/>
      <c r="DL33" s="198"/>
      <c r="DM33" s="198"/>
      <c r="DN33" s="198"/>
      <c r="DO33" s="198"/>
      <c r="DP33" s="198"/>
      <c r="DQ33" s="198"/>
      <c r="DR33" s="198"/>
      <c r="DS33" s="198"/>
      <c r="DT33" s="198"/>
      <c r="DU33" s="198"/>
      <c r="DV33" s="198"/>
      <c r="DW33" s="198"/>
      <c r="DX33" s="198"/>
      <c r="DY33" s="198"/>
      <c r="DZ33" s="198"/>
      <c r="EA33" s="198"/>
      <c r="EB33" s="198"/>
      <c r="EC33" s="198"/>
      <c r="ED33" s="198"/>
      <c r="EE33" s="198"/>
      <c r="EF33" s="198"/>
      <c r="EG33" s="198"/>
      <c r="EH33" s="198"/>
      <c r="EI33" s="198"/>
      <c r="EJ33" s="198"/>
      <c r="EK33" s="198"/>
      <c r="EL33" s="198"/>
      <c r="EM33" s="198"/>
      <c r="EN33" s="198"/>
      <c r="EO33" s="198"/>
      <c r="EP33" s="540"/>
      <c r="EQ33" s="540"/>
      <c r="ER33" s="540"/>
      <c r="ES33" s="540"/>
      <c r="ET33" s="540"/>
      <c r="EU33" s="540"/>
      <c r="EV33" s="540"/>
      <c r="EW33" s="198"/>
      <c r="EX33" s="198"/>
      <c r="EY33" s="198"/>
      <c r="EZ33" s="198"/>
      <c r="FA33" s="198"/>
      <c r="FB33" s="198"/>
      <c r="FC33" s="198"/>
      <c r="FD33" s="198"/>
      <c r="FE33" s="198"/>
      <c r="FF33" s="198"/>
      <c r="FG33" s="198"/>
      <c r="FH33" s="198"/>
      <c r="FI33" s="198"/>
      <c r="FJ33" s="198"/>
      <c r="FK33" s="198"/>
      <c r="FL33" s="198"/>
      <c r="FM33" s="198"/>
      <c r="FN33" s="198"/>
      <c r="FO33" s="198"/>
      <c r="FP33" s="198"/>
      <c r="FQ33" s="198"/>
      <c r="FR33" s="198"/>
      <c r="FS33" s="198"/>
      <c r="FT33" s="198"/>
      <c r="FU33" s="198"/>
      <c r="FV33" s="198"/>
      <c r="FW33" s="198"/>
      <c r="FX33" s="198"/>
      <c r="FY33" s="198"/>
      <c r="FZ33" s="198"/>
      <c r="GA33" s="198"/>
      <c r="GB33" s="198"/>
      <c r="GC33" s="198"/>
      <c r="GD33" s="198"/>
      <c r="GE33" s="198"/>
      <c r="GF33" s="198"/>
      <c r="GG33" s="198"/>
      <c r="GH33" s="198"/>
      <c r="GI33" s="198"/>
      <c r="GJ33" s="198"/>
      <c r="GK33" s="198"/>
      <c r="GL33" s="198"/>
      <c r="GM33" s="198"/>
      <c r="GN33" s="198"/>
      <c r="GO33" s="198"/>
      <c r="GP33" s="198"/>
      <c r="GQ33" s="198"/>
      <c r="GR33" s="198"/>
      <c r="GS33" s="198"/>
      <c r="GT33" s="198"/>
      <c r="GU33" s="198"/>
      <c r="GV33" s="198"/>
      <c r="GW33" s="198"/>
      <c r="GX33" s="198"/>
      <c r="GY33" s="764"/>
      <c r="GZ33" s="245"/>
      <c r="HA33" s="370"/>
      <c r="HB33" s="246"/>
      <c r="HC33" s="369"/>
      <c r="HD33" s="246"/>
      <c r="HE33" s="793" t="s">
        <v>1</v>
      </c>
      <c r="HF33" s="246"/>
      <c r="HG33" s="581" t="str">
        <f>IF($HI$21="F","Revenue","Price")</f>
        <v>Price</v>
      </c>
      <c r="HH33" s="3607" t="s">
        <v>39</v>
      </c>
      <c r="HI33" s="3607"/>
      <c r="HJ33" s="3587" t="s">
        <v>30</v>
      </c>
      <c r="HK33" s="3587"/>
      <c r="HL33" s="3587"/>
      <c r="HM33" s="3587"/>
      <c r="HN33" s="247"/>
      <c r="HO33" s="764"/>
      <c r="HP33" s="764"/>
      <c r="HQ33" s="764"/>
      <c r="HR33" s="764"/>
      <c r="HS33" s="1975"/>
      <c r="HT33" s="764"/>
      <c r="HU33" s="764"/>
      <c r="HV33" s="1975"/>
      <c r="HW33" s="1974"/>
      <c r="HX33" s="2006"/>
      <c r="HY33" s="2006"/>
      <c r="HZ33" s="1974"/>
      <c r="IA33" s="1974"/>
      <c r="IB33" s="1974"/>
      <c r="IC33" s="1974"/>
      <c r="ID33" s="1974"/>
      <c r="IE33" s="1974"/>
      <c r="IF33" s="1974"/>
      <c r="IG33" s="1974"/>
      <c r="IH33" s="1974"/>
      <c r="II33" s="1974"/>
      <c r="IJ33" s="1974"/>
      <c r="IK33" s="1974"/>
      <c r="IL33" s="1974"/>
      <c r="IM33" s="1974"/>
      <c r="IN33" s="1974"/>
      <c r="IO33" s="1974"/>
      <c r="IP33" s="1974"/>
      <c r="IQ33" s="1974"/>
      <c r="IR33" s="1974"/>
      <c r="IS33" s="1974"/>
      <c r="IT33" s="1974"/>
      <c r="IU33" s="764"/>
      <c r="IV33" s="764"/>
      <c r="IW33" s="764"/>
      <c r="IX33" s="764"/>
      <c r="IY33" s="764"/>
      <c r="IZ33" s="1974"/>
      <c r="JA33" s="1974"/>
      <c r="JB33" s="764"/>
      <c r="JC33" s="764"/>
      <c r="JD33" s="764"/>
      <c r="JE33" s="764"/>
      <c r="JF33" s="764"/>
      <c r="JG33" s="764"/>
      <c r="JH33" s="764"/>
      <c r="JI33" s="764"/>
      <c r="JJ33" s="764"/>
      <c r="JK33" s="764"/>
      <c r="JL33" s="764"/>
      <c r="JM33" s="764"/>
      <c r="JN33" s="764"/>
      <c r="JO33" s="764"/>
      <c r="JP33" s="764"/>
      <c r="JQ33" s="764"/>
      <c r="JR33" s="764"/>
      <c r="JS33" s="764"/>
      <c r="JT33" s="764"/>
      <c r="JU33" s="764"/>
      <c r="JV33" s="764"/>
      <c r="JW33" s="764"/>
      <c r="JX33" s="764"/>
      <c r="JY33" s="764"/>
      <c r="JZ33" s="764"/>
      <c r="KA33" s="764"/>
      <c r="KB33" s="764"/>
      <c r="KC33" s="764"/>
      <c r="KD33" s="764"/>
      <c r="KE33" s="764"/>
      <c r="KF33" s="764"/>
      <c r="KG33" s="764"/>
      <c r="KH33" s="764"/>
      <c r="KI33" s="764"/>
      <c r="KJ33" s="764"/>
      <c r="KK33" s="764"/>
      <c r="KL33" s="764"/>
      <c r="KM33" s="764"/>
      <c r="KN33" s="764"/>
      <c r="KO33" s="764"/>
      <c r="KP33" s="764"/>
      <c r="KQ33" s="764"/>
      <c r="KR33" s="764"/>
      <c r="KS33" s="764"/>
      <c r="KT33" s="764"/>
      <c r="KU33" s="764"/>
      <c r="KV33" s="764"/>
      <c r="KW33" s="764"/>
      <c r="KX33" s="764"/>
      <c r="KY33" s="764"/>
      <c r="KZ33" s="764"/>
      <c r="LA33" s="764"/>
      <c r="LB33" s="764"/>
      <c r="LC33" s="764"/>
      <c r="LD33" s="764"/>
      <c r="LE33" s="764"/>
      <c r="LF33" s="764"/>
      <c r="LG33" s="764"/>
      <c r="LH33" s="764"/>
      <c r="LI33" s="764"/>
      <c r="LJ33" s="764"/>
      <c r="LK33" s="764"/>
      <c r="LL33" s="764"/>
      <c r="LM33" s="764"/>
      <c r="LN33" s="764"/>
      <c r="LO33" s="764"/>
      <c r="LP33" s="1975"/>
      <c r="LQ33" s="1975"/>
      <c r="LR33" s="1975"/>
      <c r="LS33" s="1975"/>
      <c r="LT33" s="1975"/>
      <c r="LU33" s="1975"/>
      <c r="LV33" s="1975"/>
      <c r="LW33" s="1975"/>
      <c r="LX33" s="1975"/>
      <c r="LY33" s="1975"/>
      <c r="LZ33" s="1975"/>
      <c r="MA33" s="1975"/>
      <c r="MB33" s="1975"/>
      <c r="MC33" s="1975"/>
      <c r="MD33" s="1975"/>
      <c r="ME33" s="1975"/>
      <c r="MF33" s="1975"/>
      <c r="MG33" s="1975"/>
      <c r="MH33" s="1975"/>
      <c r="MI33" s="1975"/>
      <c r="MJ33" s="1975"/>
      <c r="MK33" s="1975"/>
      <c r="ML33" s="1975"/>
      <c r="MM33" s="1975"/>
      <c r="MN33" s="1975"/>
      <c r="MO33" s="1975"/>
      <c r="MP33" s="1975"/>
      <c r="MQ33" s="1975"/>
      <c r="MR33" s="1975"/>
      <c r="MS33" s="1975"/>
      <c r="MT33" s="1975"/>
      <c r="MU33" s="1975"/>
      <c r="MV33" s="1975"/>
      <c r="MW33" s="1975"/>
      <c r="MX33" s="1975"/>
      <c r="MY33" s="1975"/>
      <c r="MZ33" s="1975"/>
      <c r="NA33" s="1975"/>
      <c r="NB33" s="1975"/>
      <c r="NC33" s="1975"/>
      <c r="ND33" s="1975"/>
      <c r="NE33" s="1975"/>
      <c r="NF33" s="1975"/>
      <c r="NG33" s="1975"/>
      <c r="NH33" s="1975"/>
      <c r="NI33" s="1975"/>
    </row>
    <row r="34" spans="1:373" s="272" customFormat="1" ht="14.25" customHeight="1" thickBot="1" x14ac:dyDescent="0.35">
      <c r="A34" s="198"/>
      <c r="B34" s="198"/>
      <c r="C34" s="198"/>
      <c r="D34" s="198"/>
      <c r="E34" s="198"/>
      <c r="F34" s="198"/>
      <c r="G34" s="198"/>
      <c r="H34" s="198"/>
      <c r="I34" s="198"/>
      <c r="J34" s="198"/>
      <c r="K34" s="198"/>
      <c r="L34" s="198"/>
      <c r="M34" s="198"/>
      <c r="N34" s="198"/>
      <c r="O34" s="198"/>
      <c r="P34" s="198"/>
      <c r="Q34" s="198"/>
      <c r="R34" s="198"/>
      <c r="S34" s="198"/>
      <c r="T34" s="198"/>
      <c r="U34" s="198"/>
      <c r="V34" s="198"/>
      <c r="W34" s="198"/>
      <c r="X34" s="198"/>
      <c r="Y34" s="198"/>
      <c r="Z34" s="198"/>
      <c r="AA34" s="198"/>
      <c r="AB34" s="198"/>
      <c r="AC34" s="198"/>
      <c r="AD34" s="198"/>
      <c r="AE34" s="198"/>
      <c r="AF34" s="198"/>
      <c r="AG34" s="198"/>
      <c r="AH34" s="198"/>
      <c r="AI34" s="198"/>
      <c r="AJ34" s="198"/>
      <c r="AK34" s="198"/>
      <c r="AL34" s="198"/>
      <c r="AM34" s="198"/>
      <c r="AN34" s="198"/>
      <c r="AO34" s="198"/>
      <c r="AP34" s="198"/>
      <c r="AQ34" s="198"/>
      <c r="AR34" s="198"/>
      <c r="AS34" s="198"/>
      <c r="AT34" s="198"/>
      <c r="AU34" s="198"/>
      <c r="AV34" s="198"/>
      <c r="AW34" s="198"/>
      <c r="AX34" s="198"/>
      <c r="AY34" s="198"/>
      <c r="AZ34" s="198"/>
      <c r="BA34" s="198"/>
      <c r="BB34" s="198"/>
      <c r="BC34" s="198"/>
      <c r="BD34" s="198"/>
      <c r="BE34" s="198"/>
      <c r="BF34" s="198"/>
      <c r="BG34" s="198"/>
      <c r="BH34" s="198"/>
      <c r="BI34" s="198"/>
      <c r="BJ34" s="198"/>
      <c r="BK34" s="198"/>
      <c r="BL34" s="198"/>
      <c r="BM34" s="198"/>
      <c r="BN34" s="198"/>
      <c r="BO34" s="198"/>
      <c r="BP34" s="198"/>
      <c r="BQ34" s="198"/>
      <c r="BR34" s="198"/>
      <c r="BS34" s="198"/>
      <c r="BT34" s="198"/>
      <c r="BU34" s="198"/>
      <c r="BV34" s="198"/>
      <c r="BW34" s="198"/>
      <c r="BX34" s="198"/>
      <c r="BY34" s="198"/>
      <c r="BZ34" s="198"/>
      <c r="CA34" s="198"/>
      <c r="CB34" s="198"/>
      <c r="CC34" s="198"/>
      <c r="CD34" s="198"/>
      <c r="CE34" s="198"/>
      <c r="CF34" s="198"/>
      <c r="CG34" s="198"/>
      <c r="CH34" s="198"/>
      <c r="CI34" s="198"/>
      <c r="CJ34" s="198"/>
      <c r="CK34" s="198"/>
      <c r="CL34" s="198"/>
      <c r="CM34" s="198"/>
      <c r="CN34" s="198"/>
      <c r="CO34" s="198"/>
      <c r="CP34" s="198"/>
      <c r="CQ34" s="198"/>
      <c r="CR34" s="198"/>
      <c r="CS34" s="198"/>
      <c r="CT34" s="198"/>
      <c r="CU34" s="198"/>
      <c r="CV34" s="198"/>
      <c r="CW34" s="198"/>
      <c r="CX34" s="198"/>
      <c r="CY34" s="198"/>
      <c r="CZ34" s="198"/>
      <c r="DA34" s="198"/>
      <c r="DB34" s="198"/>
      <c r="DC34" s="198"/>
      <c r="DD34" s="198"/>
      <c r="DE34" s="198"/>
      <c r="DF34" s="198"/>
      <c r="DG34" s="198"/>
      <c r="DH34" s="198"/>
      <c r="DI34" s="198"/>
      <c r="DJ34" s="198"/>
      <c r="DK34" s="198"/>
      <c r="DL34" s="198"/>
      <c r="DM34" s="198"/>
      <c r="DN34" s="198"/>
      <c r="DO34" s="198"/>
      <c r="DP34" s="198"/>
      <c r="DQ34" s="198"/>
      <c r="DR34" s="198"/>
      <c r="DS34" s="198"/>
      <c r="DT34" s="198"/>
      <c r="DU34" s="198"/>
      <c r="DV34" s="198"/>
      <c r="DW34" s="198"/>
      <c r="DX34" s="198"/>
      <c r="DY34" s="198"/>
      <c r="DZ34" s="198"/>
      <c r="EA34" s="198"/>
      <c r="EB34" s="198"/>
      <c r="EC34" s="198"/>
      <c r="ED34" s="198"/>
      <c r="EE34" s="198"/>
      <c r="EF34" s="198"/>
      <c r="EG34" s="198"/>
      <c r="EH34" s="198"/>
      <c r="EI34" s="198"/>
      <c r="EJ34" s="198"/>
      <c r="EK34" s="198"/>
      <c r="EL34" s="198"/>
      <c r="EM34" s="198"/>
      <c r="EN34" s="198"/>
      <c r="EO34" s="198"/>
      <c r="EP34" s="540"/>
      <c r="EQ34" s="540"/>
      <c r="ER34" s="540"/>
      <c r="ES34" s="540"/>
      <c r="ET34" s="540"/>
      <c r="EU34" s="540"/>
      <c r="EV34" s="540"/>
      <c r="EW34" s="198"/>
      <c r="EX34" s="198"/>
      <c r="EY34" s="198"/>
      <c r="EZ34" s="198"/>
      <c r="FA34" s="198"/>
      <c r="FB34" s="198"/>
      <c r="FC34" s="198"/>
      <c r="FD34" s="198"/>
      <c r="FE34" s="198"/>
      <c r="FF34" s="198"/>
      <c r="FG34" s="198"/>
      <c r="FH34" s="198"/>
      <c r="FI34" s="198"/>
      <c r="FJ34" s="198"/>
      <c r="FK34" s="198"/>
      <c r="FL34" s="198"/>
      <c r="FM34" s="198"/>
      <c r="FN34" s="198"/>
      <c r="FO34" s="198"/>
      <c r="FP34" s="198"/>
      <c r="FQ34" s="198"/>
      <c r="FR34" s="198"/>
      <c r="FS34" s="198"/>
      <c r="FT34" s="198"/>
      <c r="FU34" s="198"/>
      <c r="FV34" s="198"/>
      <c r="FW34" s="198"/>
      <c r="FX34" s="198"/>
      <c r="FY34" s="198"/>
      <c r="FZ34" s="198"/>
      <c r="GA34" s="198"/>
      <c r="GB34" s="198"/>
      <c r="GC34" s="198"/>
      <c r="GD34" s="198"/>
      <c r="GE34" s="198"/>
      <c r="GF34" s="198"/>
      <c r="GG34" s="198"/>
      <c r="GH34" s="198"/>
      <c r="GI34" s="198"/>
      <c r="GJ34" s="198"/>
      <c r="GK34" s="198"/>
      <c r="GL34" s="198"/>
      <c r="GM34" s="198"/>
      <c r="GN34" s="198"/>
      <c r="GO34" s="198"/>
      <c r="GP34" s="198"/>
      <c r="GQ34" s="198"/>
      <c r="GR34" s="198"/>
      <c r="GS34" s="198"/>
      <c r="GT34" s="198"/>
      <c r="GU34" s="198"/>
      <c r="GV34" s="198"/>
      <c r="GW34" s="198"/>
      <c r="GX34" s="198"/>
      <c r="GY34" s="764"/>
      <c r="GZ34" s="245"/>
      <c r="HA34" s="370"/>
      <c r="HB34" s="246"/>
      <c r="HC34" s="369"/>
      <c r="HD34" s="246"/>
      <c r="HE34" s="792" t="s">
        <v>1381</v>
      </c>
      <c r="HF34" s="368"/>
      <c r="HG34" s="791" t="str">
        <f>'1 Setup'!$I$60</f>
        <v>GBP</v>
      </c>
      <c r="HH34" s="3567" t="str">
        <f>'1 Setup'!$I$60</f>
        <v>GBP</v>
      </c>
      <c r="HI34" s="3567"/>
      <c r="HJ34" s="791" t="str">
        <f>'1 Setup'!$I$60</f>
        <v>GBP</v>
      </c>
      <c r="HK34" s="454" t="s">
        <v>316</v>
      </c>
      <c r="HL34" s="3566" t="str">
        <f>HI17&amp;"/BH"</f>
        <v>GBP/BH</v>
      </c>
      <c r="HM34" s="3566"/>
      <c r="HN34" s="247"/>
      <c r="HO34" s="764"/>
      <c r="HP34" s="764"/>
      <c r="HQ34" s="764"/>
      <c r="HR34" s="764"/>
      <c r="HS34" s="764"/>
      <c r="HT34" s="764"/>
      <c r="HU34" s="764"/>
      <c r="HV34" s="764"/>
      <c r="HW34" s="1974"/>
      <c r="HX34" s="2006"/>
      <c r="HY34" s="2006"/>
      <c r="HZ34" s="1974"/>
      <c r="IA34" s="1974"/>
      <c r="IB34" s="1974"/>
      <c r="IC34" s="1974"/>
      <c r="ID34" s="1974"/>
      <c r="IE34" s="1974"/>
      <c r="IF34" s="1974"/>
      <c r="IG34" s="1974"/>
      <c r="IH34" s="1974"/>
      <c r="II34" s="1974"/>
      <c r="IJ34" s="1974"/>
      <c r="IK34" s="1974"/>
      <c r="IL34" s="1974"/>
      <c r="IM34" s="1974"/>
      <c r="IN34" s="1974"/>
      <c r="IO34" s="1974"/>
      <c r="IP34" s="1974"/>
      <c r="IQ34" s="1974"/>
      <c r="IR34" s="1974"/>
      <c r="IS34" s="1974"/>
      <c r="IT34" s="1974"/>
      <c r="IU34" s="764"/>
      <c r="IV34" s="764"/>
      <c r="IW34" s="764"/>
      <c r="IX34" s="764"/>
      <c r="IY34" s="764"/>
      <c r="IZ34" s="1974"/>
      <c r="JA34" s="1974"/>
      <c r="JB34" s="764"/>
      <c r="JC34" s="764"/>
      <c r="JD34" s="764"/>
      <c r="JE34" s="764"/>
      <c r="JF34" s="764"/>
      <c r="JG34" s="764"/>
      <c r="JH34" s="764"/>
      <c r="JI34" s="764"/>
      <c r="JJ34" s="764"/>
      <c r="JK34" s="764"/>
      <c r="JL34" s="764"/>
      <c r="JM34" s="764"/>
      <c r="JN34" s="764"/>
      <c r="JO34" s="764"/>
      <c r="JP34" s="764"/>
      <c r="JQ34" s="764"/>
      <c r="JR34" s="764"/>
      <c r="JS34" s="764"/>
      <c r="JT34" s="764"/>
      <c r="JU34" s="764"/>
      <c r="JV34" s="764"/>
      <c r="JW34" s="764"/>
      <c r="JX34" s="764"/>
      <c r="JY34" s="764"/>
      <c r="JZ34" s="764"/>
      <c r="KA34" s="764"/>
      <c r="KB34" s="764"/>
      <c r="KC34" s="764"/>
      <c r="KD34" s="764"/>
      <c r="KE34" s="764"/>
      <c r="KF34" s="764"/>
      <c r="KG34" s="764"/>
      <c r="KH34" s="764"/>
      <c r="KI34" s="764"/>
      <c r="KJ34" s="764"/>
      <c r="KK34" s="764"/>
      <c r="KL34" s="764"/>
      <c r="KM34" s="764"/>
      <c r="KN34" s="764"/>
      <c r="KO34" s="764"/>
      <c r="KP34" s="764"/>
      <c r="KQ34" s="764"/>
      <c r="KR34" s="764"/>
      <c r="KS34" s="764"/>
      <c r="KT34" s="764"/>
      <c r="KU34" s="764"/>
      <c r="KV34" s="764"/>
      <c r="KW34" s="764"/>
      <c r="KX34" s="764"/>
      <c r="KY34" s="764"/>
      <c r="KZ34" s="764"/>
      <c r="LA34" s="764"/>
      <c r="LB34" s="764"/>
      <c r="LC34" s="764"/>
      <c r="LD34" s="764"/>
      <c r="LE34" s="764"/>
      <c r="LF34" s="764"/>
      <c r="LG34" s="764"/>
      <c r="LH34" s="764"/>
      <c r="LI34" s="764"/>
      <c r="LJ34" s="764"/>
      <c r="LK34" s="764"/>
      <c r="LL34" s="764"/>
      <c r="LM34" s="764"/>
      <c r="LN34" s="764"/>
      <c r="LO34" s="764"/>
      <c r="LP34" s="764"/>
      <c r="LQ34" s="764"/>
      <c r="LR34" s="764"/>
      <c r="LS34" s="764"/>
      <c r="LT34" s="764"/>
      <c r="LU34" s="764"/>
      <c r="LV34" s="764"/>
      <c r="LW34" s="1975"/>
      <c r="LX34" s="1975"/>
      <c r="LY34" s="1975"/>
      <c r="LZ34" s="1975"/>
      <c r="MA34" s="1975"/>
      <c r="MB34" s="1975"/>
      <c r="MC34" s="1975"/>
      <c r="MD34" s="1975"/>
      <c r="ME34" s="1975"/>
      <c r="MF34" s="1975"/>
      <c r="MG34" s="1975"/>
      <c r="MH34" s="1975"/>
      <c r="MI34" s="1975"/>
      <c r="MJ34" s="1975"/>
      <c r="MK34" s="1975"/>
      <c r="ML34" s="1975"/>
      <c r="MM34" s="1975"/>
      <c r="MN34" s="1975"/>
      <c r="MO34" s="1975"/>
      <c r="MP34" s="1975"/>
      <c r="MQ34" s="1975"/>
      <c r="MR34" s="1975"/>
      <c r="MS34" s="1975"/>
      <c r="MT34" s="1975"/>
      <c r="MU34" s="1975"/>
      <c r="MV34" s="1975"/>
      <c r="MW34" s="1975"/>
      <c r="MX34" s="1975"/>
      <c r="MY34" s="1975"/>
      <c r="MZ34" s="1975"/>
      <c r="NA34" s="1975"/>
      <c r="NB34" s="1975"/>
      <c r="NC34" s="1975"/>
      <c r="ND34" s="1975"/>
      <c r="NE34" s="1975"/>
      <c r="NF34" s="1975"/>
      <c r="NG34" s="1975"/>
      <c r="NH34" s="1975"/>
      <c r="NI34" s="1975"/>
    </row>
    <row r="35" spans="1:373" ht="25.5" customHeight="1" thickTop="1" thickBot="1" x14ac:dyDescent="0.35">
      <c r="A35" s="198"/>
      <c r="B35" s="235"/>
      <c r="C35" s="235"/>
      <c r="D35" s="586" t="s">
        <v>155</v>
      </c>
      <c r="E35" s="586" t="s">
        <v>39</v>
      </c>
      <c r="F35" s="586" t="s">
        <v>1</v>
      </c>
      <c r="G35" s="235"/>
      <c r="H35" s="586" t="s">
        <v>155</v>
      </c>
      <c r="I35" s="586" t="s">
        <v>39</v>
      </c>
      <c r="J35" s="586" t="s">
        <v>1</v>
      </c>
      <c r="K35" s="235"/>
      <c r="L35" s="586" t="s">
        <v>155</v>
      </c>
      <c r="M35" s="586" t="s">
        <v>39</v>
      </c>
      <c r="N35" s="586" t="s">
        <v>1</v>
      </c>
      <c r="O35" s="198"/>
      <c r="P35" s="198"/>
      <c r="Q35" s="198"/>
      <c r="R35" s="198"/>
      <c r="S35" s="198"/>
      <c r="T35" s="198"/>
      <c r="U35" s="198"/>
      <c r="V35" s="198"/>
      <c r="W35" s="198"/>
      <c r="X35" s="198"/>
      <c r="Y35" s="198"/>
      <c r="Z35" s="198"/>
      <c r="AA35" s="198"/>
      <c r="AB35" s="198"/>
      <c r="AC35" s="198"/>
      <c r="AD35" s="198"/>
      <c r="AE35" s="198"/>
      <c r="AF35" s="198"/>
      <c r="AG35" s="198"/>
      <c r="AH35" s="198"/>
      <c r="AI35" s="198"/>
      <c r="AJ35" s="198"/>
      <c r="AK35" s="198"/>
      <c r="AL35" s="198"/>
      <c r="AM35" s="198"/>
      <c r="AN35" s="198"/>
      <c r="AO35" s="198"/>
      <c r="AP35" s="198"/>
      <c r="AQ35" s="198"/>
      <c r="AR35" s="198"/>
      <c r="AS35" s="198"/>
      <c r="AT35" s="198"/>
      <c r="AU35" s="198"/>
      <c r="AV35" s="198"/>
      <c r="AW35" s="198"/>
      <c r="AX35" s="198"/>
      <c r="AY35" s="198"/>
      <c r="AZ35" s="198"/>
      <c r="BA35" s="198"/>
      <c r="BB35" s="198"/>
      <c r="BC35" s="198"/>
      <c r="BD35" s="198"/>
      <c r="BE35" s="198"/>
      <c r="BF35" s="198"/>
      <c r="BG35" s="198"/>
      <c r="BH35" s="198"/>
      <c r="BI35" s="198"/>
      <c r="BJ35" s="198"/>
      <c r="BK35" s="198"/>
      <c r="BL35" s="198"/>
      <c r="BM35" s="198"/>
      <c r="BN35" s="198"/>
      <c r="BO35" s="198"/>
      <c r="BP35" s="198"/>
      <c r="BQ35" s="198"/>
      <c r="BR35" s="198"/>
      <c r="BS35" s="198"/>
      <c r="BT35" s="198"/>
      <c r="BU35" s="198"/>
      <c r="BV35" s="198"/>
      <c r="BW35" s="198"/>
      <c r="BX35" s="198"/>
      <c r="BY35" s="198"/>
      <c r="BZ35" s="198"/>
      <c r="CA35" s="198"/>
      <c r="CB35" s="198"/>
      <c r="CC35" s="198"/>
      <c r="CD35" s="198"/>
      <c r="CE35" s="198"/>
      <c r="CF35" s="198"/>
      <c r="CG35" s="198"/>
      <c r="CH35" s="198"/>
      <c r="CI35" s="198"/>
      <c r="CJ35" s="198"/>
      <c r="CK35" s="198"/>
      <c r="CL35" s="198"/>
      <c r="CM35" s="198"/>
      <c r="CN35" s="198"/>
      <c r="CO35" s="198"/>
      <c r="CP35" s="198"/>
      <c r="CQ35" s="198"/>
      <c r="CR35" s="198"/>
      <c r="CS35" s="198"/>
      <c r="CT35" s="198"/>
      <c r="CU35" s="198"/>
      <c r="CV35" s="198"/>
      <c r="CW35" s="198"/>
      <c r="CX35" s="198"/>
      <c r="CY35" s="198"/>
      <c r="CZ35" s="198"/>
      <c r="DA35" s="198"/>
      <c r="DB35" s="198"/>
      <c r="DC35" s="198"/>
      <c r="DD35" s="198"/>
      <c r="DE35" s="198"/>
      <c r="DF35" s="198"/>
      <c r="DG35" s="198"/>
      <c r="DH35" s="198"/>
      <c r="DI35" s="198"/>
      <c r="DJ35" s="198"/>
      <c r="DK35" s="198"/>
      <c r="DL35" s="198"/>
      <c r="DM35" s="198"/>
      <c r="DN35" s="198"/>
      <c r="DO35" s="198"/>
      <c r="DP35" s="198"/>
      <c r="DQ35" s="198"/>
      <c r="DR35" s="198"/>
      <c r="DS35" s="198"/>
      <c r="DT35" s="198"/>
      <c r="DU35" s="198"/>
      <c r="DV35" s="198"/>
      <c r="DW35" s="198"/>
      <c r="DX35" s="198"/>
      <c r="DY35" s="198"/>
      <c r="DZ35" s="198"/>
      <c r="EA35" s="198"/>
      <c r="EB35" s="198"/>
      <c r="EC35" s="198"/>
      <c r="ED35" s="198"/>
      <c r="EE35" s="198"/>
      <c r="EF35" s="198"/>
      <c r="EG35" s="198"/>
      <c r="EH35" s="198"/>
      <c r="EI35" s="198"/>
      <c r="EJ35" s="198"/>
      <c r="EK35" s="198"/>
      <c r="EL35" s="198"/>
      <c r="EM35" s="198"/>
      <c r="EN35" s="198"/>
      <c r="EO35" s="198"/>
      <c r="EP35" s="540"/>
      <c r="EQ35" s="540"/>
      <c r="ER35" s="540"/>
      <c r="ES35" s="540"/>
      <c r="ET35" s="540"/>
      <c r="EU35" s="540"/>
      <c r="EV35" s="540"/>
      <c r="EW35" s="198"/>
      <c r="EX35" s="198"/>
      <c r="EY35" s="198"/>
      <c r="EZ35" s="198"/>
      <c r="FA35" s="198"/>
      <c r="FB35" s="198"/>
      <c r="FC35" s="198"/>
      <c r="FD35" s="198"/>
      <c r="FE35" s="198"/>
      <c r="FF35" s="198"/>
      <c r="FG35" s="198"/>
      <c r="FH35" s="198"/>
      <c r="FI35" s="198"/>
      <c r="FJ35" s="198"/>
      <c r="FK35" s="198"/>
      <c r="FL35" s="198"/>
      <c r="FM35" s="198"/>
      <c r="FN35" s="198"/>
      <c r="FO35" s="198"/>
      <c r="FP35" s="198"/>
      <c r="FQ35" s="198"/>
      <c r="FR35" s="198"/>
      <c r="FS35" s="198"/>
      <c r="FT35" s="198"/>
      <c r="FU35" s="198"/>
      <c r="FV35" s="198"/>
      <c r="FW35" s="198"/>
      <c r="FX35" s="198"/>
      <c r="FY35" s="198"/>
      <c r="FZ35" s="198"/>
      <c r="GA35" s="198"/>
      <c r="GB35" s="198"/>
      <c r="GC35" s="198"/>
      <c r="GD35" s="198"/>
      <c r="GE35" s="198"/>
      <c r="GF35" s="198"/>
      <c r="GG35" s="198"/>
      <c r="GH35" s="198"/>
      <c r="GI35" s="198"/>
      <c r="GJ35" s="198"/>
      <c r="GK35" s="198"/>
      <c r="GL35" s="198"/>
      <c r="GM35" s="198"/>
      <c r="GN35" s="198"/>
      <c r="GO35" s="198"/>
      <c r="GP35" s="198"/>
      <c r="GQ35" s="198"/>
      <c r="GR35" s="198"/>
      <c r="GS35" s="198"/>
      <c r="GT35" s="198"/>
      <c r="GU35" s="198"/>
      <c r="GV35" s="198"/>
      <c r="GW35" s="198"/>
      <c r="GX35" s="198"/>
      <c r="GY35" s="764"/>
      <c r="GZ35" s="245"/>
      <c r="HA35" s="370"/>
      <c r="HB35" s="246"/>
      <c r="HC35" s="258"/>
      <c r="HD35" s="416" t="str">
        <f>CHOOSE('1 Setup'!$G$2,"Proposal Estimate:","ETC:","Changes:")</f>
        <v>Changes:</v>
      </c>
      <c r="HE35" s="778">
        <f>HE39+HE60</f>
        <v>1363</v>
      </c>
      <c r="HF35" s="368"/>
      <c r="HG35" s="3251">
        <f ca="1">'4 Sign-off'!I116</f>
        <v>73862.781824999998</v>
      </c>
      <c r="HH35" s="3605">
        <f>'4 Sign-off'!J116</f>
        <v>45111.674231999998</v>
      </c>
      <c r="HI35" s="3606"/>
      <c r="HJ35" s="777">
        <f ca="1">HG35-HH35</f>
        <v>28751.107593000001</v>
      </c>
      <c r="HK35" s="1902">
        <f ca="1">'4 Sign-off'!O116</f>
        <v>0.38925026762624237</v>
      </c>
      <c r="HL35" s="3529">
        <f ca="1">'4 Sign-off'!M116</f>
        <v>21.09398942993397</v>
      </c>
      <c r="HM35" s="3530"/>
      <c r="HN35" s="247"/>
      <c r="HO35" s="1995" t="str">
        <f>'4 Sign-off'!H118</f>
        <v/>
      </c>
      <c r="HP35" s="764"/>
      <c r="HQ35" s="1662"/>
      <c r="HR35" s="1662"/>
      <c r="HS35" s="1975"/>
      <c r="HT35" s="764"/>
      <c r="HU35" s="764"/>
      <c r="HV35" s="2011"/>
      <c r="HW35" s="1974"/>
      <c r="HX35" s="2006"/>
      <c r="HY35" s="2006"/>
      <c r="HZ35" s="2012"/>
      <c r="IA35" s="1974"/>
      <c r="IB35" s="1974"/>
      <c r="IC35" s="1988"/>
      <c r="ID35" s="2017" t="s">
        <v>2310</v>
      </c>
      <c r="IE35" s="2013"/>
      <c r="IF35" s="2013"/>
      <c r="IG35" s="2013"/>
      <c r="IH35" s="1984"/>
      <c r="II35" s="1984"/>
      <c r="IJ35" s="1984"/>
      <c r="IK35" s="1984"/>
      <c r="IL35" s="1984"/>
      <c r="IM35" s="1984"/>
      <c r="IN35" s="1984"/>
      <c r="IO35" s="1984"/>
      <c r="IP35" s="1984"/>
      <c r="IQ35" s="1985"/>
      <c r="IR35" s="1974"/>
      <c r="IS35" s="1974"/>
      <c r="IT35" s="1974"/>
      <c r="IU35" s="764"/>
      <c r="IV35" s="764"/>
      <c r="IW35" s="764"/>
      <c r="IX35" s="764"/>
      <c r="IY35" s="764"/>
      <c r="IZ35" s="1974"/>
      <c r="JA35" s="1974"/>
      <c r="JB35" s="764"/>
      <c r="JC35" s="764"/>
      <c r="JD35" s="764"/>
      <c r="JE35" s="764"/>
      <c r="JF35" s="764"/>
      <c r="JG35" s="764"/>
      <c r="JH35" s="764"/>
      <c r="JI35" s="764"/>
      <c r="JJ35" s="764"/>
      <c r="JK35" s="764"/>
      <c r="JL35" s="764"/>
      <c r="JM35" s="764"/>
      <c r="JN35" s="764"/>
      <c r="JO35" s="764"/>
      <c r="JP35" s="764"/>
      <c r="JQ35" s="764"/>
      <c r="JR35" s="764"/>
      <c r="JS35" s="764"/>
      <c r="JT35" s="764"/>
      <c r="JU35" s="764"/>
      <c r="JV35" s="764"/>
      <c r="JW35" s="764"/>
      <c r="JX35" s="764"/>
      <c r="JY35" s="764"/>
      <c r="JZ35" s="764"/>
      <c r="KA35" s="764"/>
      <c r="KB35" s="764"/>
      <c r="KC35" s="764"/>
      <c r="KD35" s="764"/>
      <c r="KE35" s="764"/>
      <c r="KF35" s="764"/>
      <c r="KG35" s="764"/>
      <c r="KH35" s="764"/>
      <c r="KI35" s="764"/>
      <c r="KJ35" s="764"/>
      <c r="KK35" s="764"/>
      <c r="KL35" s="764"/>
      <c r="KM35" s="764"/>
      <c r="KN35" s="764"/>
      <c r="KO35" s="764"/>
      <c r="KP35" s="764"/>
      <c r="KQ35" s="764"/>
      <c r="KR35" s="764"/>
      <c r="KS35" s="764"/>
      <c r="KT35" s="764"/>
      <c r="KU35" s="764"/>
      <c r="KV35" s="764"/>
      <c r="KW35" s="764"/>
      <c r="KX35" s="764"/>
      <c r="KY35" s="764"/>
      <c r="KZ35" s="764"/>
      <c r="LA35" s="764"/>
      <c r="LB35" s="764"/>
      <c r="LC35" s="764"/>
      <c r="LD35" s="764"/>
      <c r="LE35" s="764"/>
      <c r="LF35" s="764"/>
      <c r="LG35" s="764"/>
      <c r="LH35" s="764"/>
      <c r="LI35" s="764"/>
      <c r="LJ35" s="764"/>
      <c r="LK35" s="764"/>
      <c r="LL35" s="764"/>
      <c r="LM35" s="764"/>
      <c r="LN35" s="764"/>
      <c r="LO35" s="764"/>
      <c r="LP35" s="1975"/>
      <c r="LQ35" s="1975"/>
      <c r="LR35" s="1975"/>
      <c r="LS35" s="1975"/>
      <c r="LT35" s="1975"/>
      <c r="LU35" s="1975"/>
      <c r="LV35" s="1975"/>
      <c r="LW35" s="1975"/>
      <c r="LX35" s="1975"/>
      <c r="LY35" s="1975"/>
      <c r="LZ35" s="1975"/>
      <c r="MA35" s="1975"/>
      <c r="MB35" s="1975"/>
      <c r="MC35" s="1975"/>
      <c r="MD35" s="1975"/>
      <c r="ME35" s="1975"/>
      <c r="MF35" s="1975"/>
      <c r="MG35" s="1975"/>
      <c r="MH35" s="1975"/>
      <c r="MI35" s="1975"/>
      <c r="MJ35" s="1975"/>
      <c r="MK35" s="1975"/>
      <c r="ML35" s="1975"/>
      <c r="MM35" s="1975"/>
      <c r="MN35" s="1975"/>
      <c r="MO35" s="1975"/>
      <c r="MP35" s="1975"/>
      <c r="MQ35" s="1975"/>
      <c r="MR35" s="1975"/>
      <c r="MS35" s="1975"/>
      <c r="MT35" s="1975"/>
      <c r="MU35" s="1975"/>
      <c r="MV35" s="1975"/>
      <c r="MW35" s="1975"/>
      <c r="MX35" s="1975"/>
      <c r="MY35" s="1975"/>
      <c r="MZ35" s="1975"/>
      <c r="NA35" s="1975"/>
      <c r="NB35" s="1975"/>
      <c r="NC35" s="1975"/>
      <c r="ND35" s="1975"/>
      <c r="NE35" s="1975"/>
      <c r="NF35" s="1975"/>
      <c r="NG35" s="1975"/>
      <c r="NH35" s="1975"/>
      <c r="NI35" s="1975"/>
    </row>
    <row r="36" spans="1:373" s="272" customFormat="1" ht="15" customHeight="1" thickTop="1" x14ac:dyDescent="0.3">
      <c r="A36" s="216" t="s">
        <v>822</v>
      </c>
      <c r="B36" s="256" t="s">
        <v>3992</v>
      </c>
      <c r="C36" s="236"/>
      <c r="D36" s="314">
        <f>'3b Activity Plan'!CZ163</f>
        <v>0</v>
      </c>
      <c r="E36" s="314">
        <f>'3b Activity Plan'!S163</f>
        <v>0</v>
      </c>
      <c r="F36" s="314">
        <f>'3b Activity Plan'!R163</f>
        <v>0</v>
      </c>
      <c r="G36" s="236"/>
      <c r="H36" s="314">
        <f>'3a Staff Plan'!DP119</f>
        <v>0</v>
      </c>
      <c r="I36" s="314">
        <f>'3a Staff Plan'!S119</f>
        <v>0</v>
      </c>
      <c r="J36" s="314">
        <f>'3a Staff Plan'!R119</f>
        <v>0</v>
      </c>
      <c r="K36" s="236"/>
      <c r="L36" s="314">
        <f>(D36*$V$51)+(H36*$AL$51)</f>
        <v>0</v>
      </c>
      <c r="M36" s="314">
        <f t="shared" ref="M36" si="8">(E36*$V$51)+(I36*$AL$51)</f>
        <v>0</v>
      </c>
      <c r="N36" s="314">
        <f t="shared" ref="N36" si="9">(F36*$V$51)+(J36*$AL$51)</f>
        <v>0</v>
      </c>
      <c r="O36" s="198"/>
      <c r="P36" s="198"/>
      <c r="Q36" s="198"/>
      <c r="R36" s="198"/>
      <c r="S36" s="198"/>
      <c r="T36" s="198"/>
      <c r="U36" s="198"/>
      <c r="V36" s="662"/>
      <c r="W36" s="662"/>
      <c r="X36" s="662"/>
      <c r="Y36" s="662"/>
      <c r="Z36" s="662"/>
      <c r="AA36" s="662"/>
      <c r="AB36" s="662"/>
      <c r="AC36" s="662"/>
      <c r="AD36" s="662"/>
      <c r="AE36" s="662"/>
      <c r="AF36" s="662"/>
      <c r="AG36" s="662"/>
      <c r="AH36" s="662"/>
      <c r="AI36" s="662"/>
      <c r="AJ36" s="662"/>
      <c r="AK36" s="198"/>
      <c r="AL36" s="662"/>
      <c r="AM36" s="662"/>
      <c r="AN36" s="662"/>
      <c r="AO36" s="662"/>
      <c r="AP36" s="662"/>
      <c r="AQ36" s="662"/>
      <c r="AR36" s="662"/>
      <c r="AS36" s="662"/>
      <c r="AT36" s="662"/>
      <c r="AU36" s="662"/>
      <c r="AV36" s="662"/>
      <c r="AW36" s="662"/>
      <c r="AX36" s="662"/>
      <c r="AY36" s="662"/>
      <c r="AZ36" s="198"/>
      <c r="BA36" s="662"/>
      <c r="BB36" s="662"/>
      <c r="BC36" s="662"/>
      <c r="BD36" s="662"/>
      <c r="BE36" s="662"/>
      <c r="BF36" s="662"/>
      <c r="BG36" s="662"/>
      <c r="BH36" s="662"/>
      <c r="BI36" s="662"/>
      <c r="BJ36" s="662"/>
      <c r="BK36" s="662"/>
      <c r="BL36" s="662"/>
      <c r="BM36" s="662"/>
      <c r="BN36" s="662"/>
      <c r="BO36" s="198"/>
      <c r="BP36" s="662"/>
      <c r="BQ36" s="662"/>
      <c r="BR36" s="662"/>
      <c r="BS36" s="662"/>
      <c r="BT36" s="662"/>
      <c r="BU36" s="662"/>
      <c r="BV36" s="662"/>
      <c r="BW36" s="662"/>
      <c r="BX36" s="662"/>
      <c r="BY36" s="662"/>
      <c r="BZ36" s="662"/>
      <c r="CA36" s="662"/>
      <c r="CB36" s="662"/>
      <c r="CC36" s="662"/>
      <c r="CD36" s="662"/>
      <c r="CE36" s="198"/>
      <c r="CF36" s="662"/>
      <c r="CG36" s="662"/>
      <c r="CH36" s="662"/>
      <c r="CI36" s="662"/>
      <c r="CJ36" s="662"/>
      <c r="CK36" s="662"/>
      <c r="CL36" s="662"/>
      <c r="CM36" s="662"/>
      <c r="CN36" s="662"/>
      <c r="CO36" s="662"/>
      <c r="CP36" s="662"/>
      <c r="CQ36" s="662"/>
      <c r="CR36" s="662"/>
      <c r="CS36" s="662"/>
      <c r="CT36" s="198"/>
      <c r="CU36" s="662"/>
      <c r="CV36" s="662"/>
      <c r="CW36" s="662"/>
      <c r="CX36" s="662"/>
      <c r="CY36" s="662"/>
      <c r="CZ36" s="662"/>
      <c r="DA36" s="662"/>
      <c r="DB36" s="662"/>
      <c r="DC36" s="662"/>
      <c r="DD36" s="662"/>
      <c r="DE36" s="662"/>
      <c r="DF36" s="662"/>
      <c r="DG36" s="662"/>
      <c r="DH36" s="662"/>
      <c r="DI36" s="198"/>
      <c r="DJ36" s="198"/>
      <c r="DK36" s="662"/>
      <c r="DL36" s="198"/>
      <c r="DM36" s="198"/>
      <c r="DN36" s="198"/>
      <c r="DO36" s="198"/>
      <c r="DP36" s="198"/>
      <c r="DQ36" s="198"/>
      <c r="DR36" s="198"/>
      <c r="DS36" s="198"/>
      <c r="DT36" s="198"/>
      <c r="DU36" s="198"/>
      <c r="DV36" s="198"/>
      <c r="DW36" s="198"/>
      <c r="DX36" s="198"/>
      <c r="DY36" s="198"/>
      <c r="DZ36" s="198"/>
      <c r="EA36" s="198"/>
      <c r="EB36" s="198"/>
      <c r="EC36" s="198"/>
      <c r="ED36" s="198"/>
      <c r="EE36" s="198"/>
      <c r="EF36" s="198"/>
      <c r="EG36" s="198"/>
      <c r="EH36" s="198"/>
      <c r="EI36" s="198"/>
      <c r="EJ36" s="198"/>
      <c r="EK36" s="198"/>
      <c r="EL36" s="198"/>
      <c r="EM36" s="198"/>
      <c r="EN36" s="198"/>
      <c r="EO36" s="198"/>
      <c r="EP36" s="540"/>
      <c r="EQ36" s="540"/>
      <c r="ER36" s="540"/>
      <c r="ES36" s="540"/>
      <c r="ET36" s="540"/>
      <c r="EU36" s="540"/>
      <c r="EV36" s="540"/>
      <c r="EW36" s="198"/>
      <c r="EX36" s="198"/>
      <c r="EY36" s="198"/>
      <c r="EZ36" s="198"/>
      <c r="FA36" s="198"/>
      <c r="FB36" s="198"/>
      <c r="FC36" s="198"/>
      <c r="FD36" s="198"/>
      <c r="FE36" s="198"/>
      <c r="FF36" s="198"/>
      <c r="FG36" s="198"/>
      <c r="FH36" s="198"/>
      <c r="FI36" s="198"/>
      <c r="FJ36" s="198"/>
      <c r="FK36" s="198"/>
      <c r="FL36" s="198"/>
      <c r="FM36" s="198"/>
      <c r="FN36" s="198"/>
      <c r="FO36" s="198"/>
      <c r="FP36" s="198"/>
      <c r="FQ36" s="198"/>
      <c r="FR36" s="198"/>
      <c r="FS36" s="198"/>
      <c r="FT36" s="198"/>
      <c r="FU36" s="198"/>
      <c r="FV36" s="198"/>
      <c r="FW36" s="198"/>
      <c r="FX36" s="198"/>
      <c r="FY36" s="198"/>
      <c r="FZ36" s="198"/>
      <c r="GA36" s="198"/>
      <c r="GB36" s="198"/>
      <c r="GC36" s="198"/>
      <c r="GD36" s="198"/>
      <c r="GE36" s="198"/>
      <c r="GF36" s="198"/>
      <c r="GG36" s="198"/>
      <c r="GH36" s="198"/>
      <c r="GI36" s="198"/>
      <c r="GJ36" s="198"/>
      <c r="GK36" s="198"/>
      <c r="GL36" s="198"/>
      <c r="GM36" s="198"/>
      <c r="GN36" s="198"/>
      <c r="GO36" s="198"/>
      <c r="GP36" s="198"/>
      <c r="GQ36" s="198"/>
      <c r="GR36" s="198"/>
      <c r="GS36" s="198"/>
      <c r="GT36" s="198"/>
      <c r="GU36" s="198"/>
      <c r="GV36" s="198"/>
      <c r="GW36" s="198"/>
      <c r="GX36" s="198"/>
      <c r="GY36" s="764"/>
      <c r="GZ36" s="245"/>
      <c r="HA36" s="370"/>
      <c r="HB36" s="246"/>
      <c r="HC36" s="258"/>
      <c r="HD36" s="401"/>
      <c r="HE36" s="401"/>
      <c r="HF36" s="401"/>
      <c r="HG36" s="401"/>
      <c r="HH36" s="401"/>
      <c r="HI36" s="401"/>
      <c r="HJ36" s="401"/>
      <c r="HK36" s="401"/>
      <c r="HL36" s="401"/>
      <c r="HM36" s="401"/>
      <c r="HN36" s="247"/>
      <c r="HO36" s="764"/>
      <c r="HP36" s="764"/>
      <c r="HQ36" s="764"/>
      <c r="HR36" s="764"/>
      <c r="HS36" s="764"/>
      <c r="HT36" s="764"/>
      <c r="HU36" s="764"/>
      <c r="HV36" s="764"/>
      <c r="HW36" s="764"/>
      <c r="HX36" s="2006"/>
      <c r="HY36" s="2006"/>
      <c r="HZ36" s="2012"/>
      <c r="IA36" s="1974"/>
      <c r="IB36" s="1974"/>
      <c r="IC36" s="2014"/>
      <c r="ID36" s="494" t="s">
        <v>2308</v>
      </c>
      <c r="IE36" s="754"/>
      <c r="IF36" s="358"/>
      <c r="IG36" s="358"/>
      <c r="IH36" s="277"/>
      <c r="II36" s="277"/>
      <c r="IJ36" s="494" t="s">
        <v>2309</v>
      </c>
      <c r="IK36" s="277"/>
      <c r="IL36" s="277"/>
      <c r="IM36" s="277"/>
      <c r="IN36" s="277"/>
      <c r="IO36" s="277"/>
      <c r="IP36" s="277"/>
      <c r="IQ36" s="1981"/>
      <c r="IR36" s="1974"/>
      <c r="IS36" s="1974"/>
      <c r="IT36" s="1974"/>
      <c r="IU36" s="764"/>
      <c r="IV36" s="764"/>
      <c r="IW36" s="764"/>
      <c r="IX36" s="764"/>
      <c r="IY36" s="764"/>
      <c r="IZ36" s="1974"/>
      <c r="JA36" s="1974"/>
      <c r="JB36" s="764"/>
      <c r="JC36" s="764"/>
      <c r="JD36" s="764"/>
      <c r="JE36" s="764"/>
      <c r="JF36" s="764"/>
      <c r="JG36" s="764"/>
      <c r="JH36" s="764"/>
      <c r="JI36" s="764"/>
      <c r="JJ36" s="764"/>
      <c r="JK36" s="764"/>
      <c r="JL36" s="764"/>
      <c r="JM36" s="764"/>
      <c r="JN36" s="764"/>
      <c r="JO36" s="764"/>
      <c r="JP36" s="764"/>
      <c r="JQ36" s="764"/>
      <c r="JR36" s="764"/>
      <c r="JS36" s="764"/>
      <c r="JT36" s="764"/>
      <c r="JU36" s="764"/>
      <c r="JV36" s="764"/>
      <c r="JW36" s="764"/>
      <c r="JX36" s="764"/>
      <c r="JY36" s="764"/>
      <c r="JZ36" s="764"/>
      <c r="KA36" s="764"/>
      <c r="KB36" s="764"/>
      <c r="KC36" s="764"/>
      <c r="KD36" s="764"/>
      <c r="KE36" s="764"/>
      <c r="KF36" s="764"/>
      <c r="KG36" s="764"/>
      <c r="KH36" s="764"/>
      <c r="KI36" s="764"/>
      <c r="KJ36" s="764"/>
      <c r="KK36" s="764"/>
      <c r="KL36" s="764"/>
      <c r="KM36" s="764"/>
      <c r="KN36" s="764"/>
      <c r="KO36" s="764"/>
      <c r="KP36" s="764"/>
      <c r="KQ36" s="764"/>
      <c r="KR36" s="764"/>
      <c r="KS36" s="764"/>
      <c r="KT36" s="764"/>
      <c r="KU36" s="764"/>
      <c r="KV36" s="764"/>
      <c r="KW36" s="764"/>
      <c r="KX36" s="764"/>
      <c r="KY36" s="764"/>
      <c r="KZ36" s="764"/>
      <c r="LA36" s="764"/>
      <c r="LB36" s="764"/>
      <c r="LC36" s="764"/>
      <c r="LD36" s="764"/>
      <c r="LE36" s="764"/>
      <c r="LF36" s="764"/>
      <c r="LG36" s="764"/>
      <c r="LH36" s="764"/>
      <c r="LI36" s="764"/>
      <c r="LJ36" s="764"/>
      <c r="LK36" s="764"/>
      <c r="LL36" s="764"/>
      <c r="LM36" s="764"/>
      <c r="LN36" s="764"/>
      <c r="LO36" s="764"/>
      <c r="LP36" s="764"/>
      <c r="LQ36" s="764"/>
      <c r="LR36" s="764"/>
      <c r="LS36" s="764"/>
      <c r="LT36" s="764"/>
      <c r="LU36" s="764"/>
      <c r="LV36" s="764"/>
      <c r="LW36" s="1975"/>
      <c r="LX36" s="1975"/>
      <c r="LY36" s="1975"/>
      <c r="LZ36" s="1975"/>
      <c r="MA36" s="1975"/>
      <c r="MB36" s="1975"/>
      <c r="MC36" s="1975"/>
      <c r="MD36" s="1975"/>
      <c r="ME36" s="1975"/>
      <c r="MF36" s="1975"/>
      <c r="MG36" s="1975"/>
      <c r="MH36" s="1975"/>
      <c r="MI36" s="1975"/>
      <c r="MJ36" s="1975"/>
      <c r="MK36" s="1975"/>
      <c r="ML36" s="1975"/>
      <c r="MM36" s="1975"/>
      <c r="MN36" s="1975"/>
      <c r="MO36" s="1975"/>
      <c r="MP36" s="1975"/>
      <c r="MQ36" s="1975"/>
      <c r="MR36" s="1975"/>
      <c r="MS36" s="1975"/>
      <c r="MT36" s="1975"/>
      <c r="MU36" s="1975"/>
      <c r="MV36" s="1975"/>
      <c r="MW36" s="1975"/>
      <c r="MX36" s="1975"/>
      <c r="MY36" s="1975"/>
      <c r="MZ36" s="1975"/>
      <c r="NA36" s="1975"/>
      <c r="NB36" s="1975"/>
      <c r="NC36" s="1975"/>
      <c r="ND36" s="1975"/>
      <c r="NE36" s="1975"/>
      <c r="NF36" s="1975"/>
      <c r="NG36" s="1975"/>
      <c r="NH36" s="1975"/>
      <c r="NI36" s="1975"/>
    </row>
    <row r="37" spans="1:373" s="272" customFormat="1" ht="15" customHeight="1" x14ac:dyDescent="0.3">
      <c r="A37" s="216" t="s">
        <v>822</v>
      </c>
      <c r="B37" s="256" t="s">
        <v>3993</v>
      </c>
      <c r="C37" s="236"/>
      <c r="D37" s="314">
        <f>'3b Activity Plan'!CZ164</f>
        <v>0</v>
      </c>
      <c r="E37" s="314">
        <f>'3b Activity Plan'!S164</f>
        <v>0</v>
      </c>
      <c r="F37" s="3236"/>
      <c r="G37" s="236"/>
      <c r="H37" s="314">
        <f>'3a Staff Plan'!DP120</f>
        <v>0</v>
      </c>
      <c r="I37" s="314">
        <f>'3a Staff Plan'!S120</f>
        <v>0</v>
      </c>
      <c r="J37" s="235"/>
      <c r="K37" s="236"/>
      <c r="L37" s="314">
        <f>((D37*$V$51)+(H37*$AL$51))*N28</f>
        <v>0</v>
      </c>
      <c r="M37" s="314">
        <f>((E37*$V$51)+(I37*$AL$51))*N28</f>
        <v>0</v>
      </c>
      <c r="N37" s="2033"/>
      <c r="O37" s="198"/>
      <c r="P37" s="198"/>
      <c r="Q37" s="198"/>
      <c r="R37" s="198"/>
      <c r="S37" s="198"/>
      <c r="T37" s="198"/>
      <c r="U37" s="198"/>
      <c r="V37" s="662"/>
      <c r="W37" s="662"/>
      <c r="X37" s="662"/>
      <c r="Y37" s="662"/>
      <c r="Z37" s="662"/>
      <c r="AA37" s="662"/>
      <c r="AB37" s="662"/>
      <c r="AC37" s="662"/>
      <c r="AD37" s="662"/>
      <c r="AE37" s="662"/>
      <c r="AF37" s="662"/>
      <c r="AG37" s="662"/>
      <c r="AH37" s="662"/>
      <c r="AI37" s="662"/>
      <c r="AJ37" s="662"/>
      <c r="AK37" s="198"/>
      <c r="AL37" s="662"/>
      <c r="AM37" s="662"/>
      <c r="AN37" s="662"/>
      <c r="AO37" s="662"/>
      <c r="AP37" s="662"/>
      <c r="AQ37" s="662"/>
      <c r="AR37" s="662"/>
      <c r="AS37" s="662"/>
      <c r="AT37" s="662"/>
      <c r="AU37" s="662"/>
      <c r="AV37" s="662"/>
      <c r="AW37" s="662"/>
      <c r="AX37" s="662"/>
      <c r="AY37" s="662"/>
      <c r="AZ37" s="198"/>
      <c r="BA37" s="662"/>
      <c r="BB37" s="662"/>
      <c r="BC37" s="662"/>
      <c r="BD37" s="662"/>
      <c r="BE37" s="662"/>
      <c r="BF37" s="662"/>
      <c r="BG37" s="662"/>
      <c r="BH37" s="662"/>
      <c r="BI37" s="662"/>
      <c r="BJ37" s="662"/>
      <c r="BK37" s="662"/>
      <c r="BL37" s="662"/>
      <c r="BM37" s="662"/>
      <c r="BN37" s="662"/>
      <c r="BO37" s="198"/>
      <c r="BP37" s="662"/>
      <c r="BQ37" s="662"/>
      <c r="BR37" s="662"/>
      <c r="BS37" s="662"/>
      <c r="BT37" s="662"/>
      <c r="BU37" s="662"/>
      <c r="BV37" s="662"/>
      <c r="BW37" s="662"/>
      <c r="BX37" s="662"/>
      <c r="BY37" s="662"/>
      <c r="BZ37" s="662"/>
      <c r="CA37" s="662"/>
      <c r="CB37" s="662"/>
      <c r="CC37" s="662"/>
      <c r="CD37" s="662"/>
      <c r="CE37" s="198"/>
      <c r="CF37" s="662"/>
      <c r="CG37" s="662"/>
      <c r="CH37" s="662"/>
      <c r="CI37" s="662"/>
      <c r="CJ37" s="662"/>
      <c r="CK37" s="662"/>
      <c r="CL37" s="662"/>
      <c r="CM37" s="662"/>
      <c r="CN37" s="662"/>
      <c r="CO37" s="662"/>
      <c r="CP37" s="662"/>
      <c r="CQ37" s="662"/>
      <c r="CR37" s="662"/>
      <c r="CS37" s="662"/>
      <c r="CT37" s="198"/>
      <c r="CU37" s="662"/>
      <c r="CV37" s="662"/>
      <c r="CW37" s="662"/>
      <c r="CX37" s="662"/>
      <c r="CY37" s="662"/>
      <c r="CZ37" s="662"/>
      <c r="DA37" s="662"/>
      <c r="DB37" s="662"/>
      <c r="DC37" s="662"/>
      <c r="DD37" s="662"/>
      <c r="DE37" s="662"/>
      <c r="DF37" s="662"/>
      <c r="DG37" s="662"/>
      <c r="DH37" s="662"/>
      <c r="DI37" s="198"/>
      <c r="DJ37" s="198"/>
      <c r="DK37" s="662"/>
      <c r="DL37" s="198"/>
      <c r="DM37" s="198"/>
      <c r="DN37" s="198"/>
      <c r="DO37" s="198"/>
      <c r="DP37" s="198"/>
      <c r="DQ37" s="198"/>
      <c r="DR37" s="198"/>
      <c r="DS37" s="198"/>
      <c r="DT37" s="198"/>
      <c r="DU37" s="198"/>
      <c r="DV37" s="198"/>
      <c r="DW37" s="198"/>
      <c r="DX37" s="198"/>
      <c r="DY37" s="198"/>
      <c r="DZ37" s="198"/>
      <c r="EA37" s="198"/>
      <c r="EB37" s="198"/>
      <c r="EC37" s="198"/>
      <c r="ED37" s="198"/>
      <c r="EE37" s="198"/>
      <c r="EF37" s="198"/>
      <c r="EG37" s="198"/>
      <c r="EH37" s="198"/>
      <c r="EI37" s="198"/>
      <c r="EJ37" s="198"/>
      <c r="EK37" s="198"/>
      <c r="EL37" s="198"/>
      <c r="EM37" s="198"/>
      <c r="EN37" s="198"/>
      <c r="EO37" s="198"/>
      <c r="EP37" s="540"/>
      <c r="EQ37" s="540"/>
      <c r="ER37" s="540"/>
      <c r="ES37" s="540"/>
      <c r="ET37" s="540"/>
      <c r="EU37" s="540"/>
      <c r="EV37" s="540"/>
      <c r="EW37" s="198"/>
      <c r="EX37" s="198"/>
      <c r="EY37" s="198"/>
      <c r="EZ37" s="198"/>
      <c r="FA37" s="198"/>
      <c r="FB37" s="198"/>
      <c r="FC37" s="198"/>
      <c r="FD37" s="198"/>
      <c r="FE37" s="198"/>
      <c r="FF37" s="198"/>
      <c r="FG37" s="198"/>
      <c r="FH37" s="198"/>
      <c r="FI37" s="198"/>
      <c r="FJ37" s="198"/>
      <c r="FK37" s="198"/>
      <c r="FL37" s="198"/>
      <c r="FM37" s="198"/>
      <c r="FN37" s="198"/>
      <c r="FO37" s="198"/>
      <c r="FP37" s="198"/>
      <c r="FQ37" s="198"/>
      <c r="FR37" s="198"/>
      <c r="FS37" s="198"/>
      <c r="FT37" s="198"/>
      <c r="FU37" s="198"/>
      <c r="FV37" s="198"/>
      <c r="FW37" s="198"/>
      <c r="FX37" s="198"/>
      <c r="FY37" s="198"/>
      <c r="FZ37" s="198"/>
      <c r="GA37" s="198"/>
      <c r="GB37" s="198"/>
      <c r="GC37" s="198"/>
      <c r="GD37" s="198"/>
      <c r="GE37" s="198"/>
      <c r="GF37" s="198"/>
      <c r="GG37" s="198"/>
      <c r="GH37" s="198"/>
      <c r="GI37" s="198"/>
      <c r="GJ37" s="198"/>
      <c r="GK37" s="198"/>
      <c r="GL37" s="198"/>
      <c r="GM37" s="198"/>
      <c r="GN37" s="198"/>
      <c r="GO37" s="198"/>
      <c r="GP37" s="198"/>
      <c r="GQ37" s="198"/>
      <c r="GR37" s="198"/>
      <c r="GS37" s="198"/>
      <c r="GT37" s="198"/>
      <c r="GU37" s="198"/>
      <c r="GV37" s="198"/>
      <c r="GW37" s="198"/>
      <c r="GX37" s="198"/>
      <c r="GY37" s="764"/>
      <c r="GZ37" s="245"/>
      <c r="HA37" s="246"/>
      <c r="HB37" s="581" t="s">
        <v>265</v>
      </c>
      <c r="HC37" s="401"/>
      <c r="HD37" s="401"/>
      <c r="HE37" s="378" t="s">
        <v>1</v>
      </c>
      <c r="HF37" s="251"/>
      <c r="HG37" s="378" t="str">
        <f>IF($HI$21="F","Revenue","Price")</f>
        <v>Price</v>
      </c>
      <c r="HH37" s="3557" t="s">
        <v>39</v>
      </c>
      <c r="HI37" s="3557"/>
      <c r="HJ37" s="378" t="s">
        <v>154</v>
      </c>
      <c r="HK37" s="259"/>
      <c r="HL37" s="259"/>
      <c r="HM37" s="259"/>
      <c r="HN37" s="247"/>
      <c r="HO37" s="764"/>
      <c r="HP37" s="764"/>
      <c r="HQ37" s="764"/>
      <c r="HR37" s="764"/>
      <c r="HS37" s="764"/>
      <c r="HT37" s="764"/>
      <c r="HU37" s="764"/>
      <c r="HV37" s="764"/>
      <c r="HW37" s="764"/>
      <c r="HX37" s="764"/>
      <c r="HY37" s="764"/>
      <c r="HZ37" s="2020"/>
      <c r="IA37" s="1974"/>
      <c r="IB37" s="1974"/>
      <c r="IC37" s="2014"/>
      <c r="ID37" s="905"/>
      <c r="IE37" s="1972" t="s">
        <v>1177</v>
      </c>
      <c r="IF37" s="754"/>
      <c r="IG37" s="754"/>
      <c r="IH37" s="277"/>
      <c r="II37" s="277"/>
      <c r="IJ37" s="1166"/>
      <c r="IK37" s="1972" t="s">
        <v>2315</v>
      </c>
      <c r="IL37" s="1972"/>
      <c r="IM37" s="277"/>
      <c r="IN37" s="754"/>
      <c r="IO37" s="754"/>
      <c r="IP37" s="754"/>
      <c r="IQ37" s="1981"/>
      <c r="IR37" s="764"/>
      <c r="IS37" s="764"/>
      <c r="IT37" s="764"/>
      <c r="IU37" s="764"/>
      <c r="IV37" s="764"/>
      <c r="IW37" s="764"/>
      <c r="IX37" s="764"/>
      <c r="IY37" s="764"/>
      <c r="IZ37" s="1974"/>
      <c r="JA37" s="1974"/>
      <c r="JB37" s="764"/>
      <c r="JC37" s="764"/>
      <c r="JD37" s="764"/>
      <c r="JE37" s="764"/>
      <c r="JF37" s="764"/>
      <c r="JG37" s="764"/>
      <c r="JH37" s="764"/>
      <c r="JI37" s="764"/>
      <c r="JJ37" s="764"/>
      <c r="JK37" s="764"/>
      <c r="JL37" s="764"/>
      <c r="JM37" s="764"/>
      <c r="JN37" s="764"/>
      <c r="JO37" s="764"/>
      <c r="JP37" s="764"/>
      <c r="JQ37" s="764"/>
      <c r="JR37" s="764"/>
      <c r="JS37" s="764"/>
      <c r="JT37" s="764"/>
      <c r="JU37" s="764"/>
      <c r="JV37" s="764"/>
      <c r="JW37" s="764"/>
      <c r="JX37" s="764"/>
      <c r="JY37" s="764"/>
      <c r="JZ37" s="764"/>
      <c r="KA37" s="764"/>
      <c r="KB37" s="764"/>
      <c r="KC37" s="764"/>
      <c r="KD37" s="764"/>
      <c r="KE37" s="764"/>
      <c r="KF37" s="764"/>
      <c r="KG37" s="764"/>
      <c r="KH37" s="764"/>
      <c r="KI37" s="764"/>
      <c r="KJ37" s="764"/>
      <c r="KK37" s="764"/>
      <c r="KL37" s="764"/>
      <c r="KM37" s="764"/>
      <c r="KN37" s="764"/>
      <c r="KO37" s="764"/>
      <c r="KP37" s="764"/>
      <c r="KQ37" s="764"/>
      <c r="KR37" s="764"/>
      <c r="KS37" s="764"/>
      <c r="KT37" s="764"/>
      <c r="KU37" s="764"/>
      <c r="KV37" s="764"/>
      <c r="KW37" s="764"/>
      <c r="KX37" s="764"/>
      <c r="KY37" s="764"/>
      <c r="KZ37" s="764"/>
      <c r="LA37" s="764"/>
      <c r="LB37" s="764"/>
      <c r="LC37" s="764"/>
      <c r="LD37" s="764"/>
      <c r="LE37" s="764"/>
      <c r="LF37" s="764"/>
      <c r="LG37" s="764"/>
      <c r="LH37" s="764"/>
      <c r="LI37" s="764"/>
      <c r="LJ37" s="764"/>
      <c r="LK37" s="764"/>
      <c r="LL37" s="764"/>
      <c r="LM37" s="764"/>
      <c r="LN37" s="764"/>
      <c r="LO37" s="764"/>
      <c r="LP37" s="764"/>
      <c r="LQ37" s="764"/>
      <c r="LR37" s="764"/>
      <c r="LS37" s="764"/>
      <c r="LT37" s="764"/>
      <c r="LU37" s="764"/>
      <c r="LV37" s="764"/>
      <c r="LW37" s="1975"/>
      <c r="LX37" s="1975"/>
      <c r="LY37" s="1975"/>
      <c r="LZ37" s="1975"/>
      <c r="MA37" s="1975"/>
      <c r="MB37" s="1975"/>
      <c r="MC37" s="1975"/>
      <c r="MD37" s="1975"/>
      <c r="ME37" s="1975"/>
      <c r="MF37" s="1975"/>
      <c r="MG37" s="1975"/>
      <c r="MH37" s="1975"/>
      <c r="MI37" s="1975"/>
      <c r="MJ37" s="1975"/>
      <c r="MK37" s="1975"/>
      <c r="ML37" s="1975"/>
      <c r="MM37" s="1975"/>
      <c r="MN37" s="1975"/>
      <c r="MO37" s="1975"/>
      <c r="MP37" s="1975"/>
      <c r="MQ37" s="1975"/>
      <c r="MR37" s="1975"/>
      <c r="MS37" s="1975"/>
      <c r="MT37" s="1975"/>
      <c r="MU37" s="1975"/>
      <c r="MV37" s="1975"/>
      <c r="MW37" s="1975"/>
      <c r="MX37" s="1975"/>
      <c r="MY37" s="1975"/>
      <c r="MZ37" s="1975"/>
      <c r="NA37" s="1975"/>
      <c r="NB37" s="1975"/>
      <c r="NC37" s="1975"/>
      <c r="ND37" s="1975"/>
      <c r="NE37" s="1975"/>
      <c r="NF37" s="1975"/>
      <c r="NG37" s="1975"/>
      <c r="NH37" s="1975"/>
      <c r="NI37" s="1975"/>
    </row>
    <row r="38" spans="1:373" ht="15" customHeight="1" x14ac:dyDescent="0.3">
      <c r="A38" s="216" t="s">
        <v>822</v>
      </c>
      <c r="B38" s="256" t="s">
        <v>4211</v>
      </c>
      <c r="C38" s="236"/>
      <c r="D38" s="314">
        <f>SUMIFS('3b Activity Plan'!$X$173:$X$364,'3b Activity Plan'!$CY$173:$CY$364,1,'3b Activity Plan'!$AI$173:$AI$364,"s")</f>
        <v>0</v>
      </c>
      <c r="E38" s="314">
        <f>SUMIFS('3b Activity Plan'!$Y$173:$Y$364,'3b Activity Plan'!$CY$173:$CY$364,1,'3b Activity Plan'!$AI$173:$AI$364,"s")</f>
        <v>0</v>
      </c>
      <c r="F38" s="314">
        <f>SUMIFS('3b Activity Plan'!$T$173:$T$364,'3b Activity Plan'!$CY$173:$CY$364,1,'3b Activity Plan'!$AI$173:$AI$364,"s")</f>
        <v>0</v>
      </c>
      <c r="G38" s="236"/>
      <c r="H38" s="314">
        <f>SUMIFS('3a Staff Plan'!$X$129:$X$305,'3a Staff Plan'!$DF$129:$DF$305,1,'3a Staff Plan'!$DG$129:$DG$305,"S")</f>
        <v>0</v>
      </c>
      <c r="I38" s="314">
        <f>SUMIFS('3a Staff Plan'!$Y$129:$Y$305,'3a Staff Plan'!$DF$129:$DF$305,1,'3a Staff Plan'!$DG$129:$DG$305,"S")</f>
        <v>0</v>
      </c>
      <c r="J38" s="314">
        <f>SUMIFS('3a Staff Plan'!$T$129:$T$305,'3a Staff Plan'!$DF$129:$DF$305,1,'3a Staff Plan'!$DG$129:$DG$305,"S")</f>
        <v>0</v>
      </c>
      <c r="K38" s="236"/>
      <c r="L38" s="314">
        <f>(D38*$V$51)+(H38*$AL$51)</f>
        <v>0</v>
      </c>
      <c r="M38" s="314">
        <f t="shared" ref="M38" si="10">(E38*$V$51)+(I38*$AL$51)</f>
        <v>0</v>
      </c>
      <c r="N38" s="314">
        <f t="shared" ref="N38" si="11">(F38*$V$51)+(J38*$AL$51)</f>
        <v>0</v>
      </c>
      <c r="O38" s="1834"/>
      <c r="P38" s="1837"/>
      <c r="Q38" s="198"/>
      <c r="R38" s="198"/>
      <c r="S38" s="198"/>
      <c r="T38" s="879"/>
      <c r="U38" s="265"/>
      <c r="V38" s="663"/>
      <c r="W38" s="662"/>
      <c r="X38" s="662"/>
      <c r="Y38" s="662"/>
      <c r="Z38" s="663"/>
      <c r="AA38" s="663"/>
      <c r="AB38" s="663"/>
      <c r="AC38" s="663"/>
      <c r="AD38" s="663"/>
      <c r="AE38" s="663"/>
      <c r="AF38" s="663"/>
      <c r="AG38" s="663"/>
      <c r="AH38" s="663"/>
      <c r="AI38" s="663"/>
      <c r="AJ38" s="663"/>
      <c r="AK38" s="265"/>
      <c r="AL38" s="662"/>
      <c r="AM38" s="662"/>
      <c r="AN38" s="662"/>
      <c r="AO38" s="663"/>
      <c r="AP38" s="663"/>
      <c r="AQ38" s="663"/>
      <c r="AR38" s="663"/>
      <c r="AS38" s="663"/>
      <c r="AT38" s="663"/>
      <c r="AU38" s="663"/>
      <c r="AV38" s="663"/>
      <c r="AW38" s="663"/>
      <c r="AX38" s="663"/>
      <c r="AY38" s="663"/>
      <c r="AZ38" s="658"/>
      <c r="BA38" s="662"/>
      <c r="BB38" s="662"/>
      <c r="BC38" s="662"/>
      <c r="BD38" s="663"/>
      <c r="BE38" s="663"/>
      <c r="BF38" s="663"/>
      <c r="BG38" s="663"/>
      <c r="BH38" s="663"/>
      <c r="BI38" s="663"/>
      <c r="BJ38" s="663"/>
      <c r="BK38" s="663"/>
      <c r="BL38" s="663"/>
      <c r="BM38" s="663"/>
      <c r="BN38" s="663"/>
      <c r="BO38" s="658"/>
      <c r="BP38" s="663"/>
      <c r="BQ38" s="662"/>
      <c r="BR38" s="662"/>
      <c r="BS38" s="662"/>
      <c r="BT38" s="663"/>
      <c r="BU38" s="663"/>
      <c r="BV38" s="663"/>
      <c r="BW38" s="663"/>
      <c r="BX38" s="663"/>
      <c r="BY38" s="663"/>
      <c r="BZ38" s="663"/>
      <c r="CA38" s="663"/>
      <c r="CB38" s="663"/>
      <c r="CC38" s="663"/>
      <c r="CD38" s="663"/>
      <c r="CE38" s="1751"/>
      <c r="CF38" s="662"/>
      <c r="CG38" s="662"/>
      <c r="CH38" s="662"/>
      <c r="CI38" s="663"/>
      <c r="CJ38" s="663"/>
      <c r="CK38" s="663"/>
      <c r="CL38" s="663"/>
      <c r="CM38" s="663"/>
      <c r="CN38" s="663"/>
      <c r="CO38" s="663"/>
      <c r="CP38" s="663"/>
      <c r="CQ38" s="663"/>
      <c r="CR38" s="663"/>
      <c r="CS38" s="663"/>
      <c r="CT38" s="1751"/>
      <c r="CU38" s="662"/>
      <c r="CV38" s="662"/>
      <c r="CW38" s="662"/>
      <c r="CX38" s="663"/>
      <c r="CY38" s="663"/>
      <c r="CZ38" s="663"/>
      <c r="DA38" s="663"/>
      <c r="DB38" s="663"/>
      <c r="DC38" s="663"/>
      <c r="DD38" s="663"/>
      <c r="DE38" s="663"/>
      <c r="DF38" s="663"/>
      <c r="DG38" s="663"/>
      <c r="DH38" s="663"/>
      <c r="DI38" s="1751"/>
      <c r="DJ38" s="1751"/>
      <c r="DK38" s="663"/>
      <c r="DL38" s="1017"/>
      <c r="DM38" s="198"/>
      <c r="DN38" s="198"/>
      <c r="DO38" s="198"/>
      <c r="DP38" s="198"/>
      <c r="DQ38" s="198"/>
      <c r="DR38" s="198"/>
      <c r="DS38" s="198"/>
      <c r="DT38" s="198"/>
      <c r="DU38" s="198"/>
      <c r="DV38" s="198"/>
      <c r="DW38" s="198"/>
      <c r="DX38" s="198"/>
      <c r="DY38" s="198"/>
      <c r="DZ38" s="198"/>
      <c r="EA38" s="265"/>
      <c r="EB38" s="3526" t="s">
        <v>664</v>
      </c>
      <c r="EC38" s="3526" t="s">
        <v>1163</v>
      </c>
      <c r="ED38" s="198"/>
      <c r="EE38" s="198"/>
      <c r="EF38" s="198"/>
      <c r="EG38" s="198"/>
      <c r="EH38" s="3563" t="s">
        <v>386</v>
      </c>
      <c r="EI38" s="235"/>
      <c r="EJ38" s="198"/>
      <c r="EK38" s="198"/>
      <c r="EL38" s="198"/>
      <c r="EM38" s="198"/>
      <c r="EN38" s="198"/>
      <c r="EO38" s="198"/>
      <c r="EP38" s="540"/>
      <c r="EQ38" s="540"/>
      <c r="ER38" s="540"/>
      <c r="ES38" s="540"/>
      <c r="ET38" s="540"/>
      <c r="EU38" s="540"/>
      <c r="EV38" s="1956"/>
      <c r="EW38" s="198"/>
      <c r="EX38" s="198"/>
      <c r="EY38" s="198"/>
      <c r="EZ38" s="521"/>
      <c r="FA38" s="3563" t="s">
        <v>2857</v>
      </c>
      <c r="FB38" s="3563" t="s">
        <v>2858</v>
      </c>
      <c r="FC38" s="419"/>
      <c r="FD38" s="419"/>
      <c r="FE38" s="419"/>
      <c r="FF38" s="422"/>
      <c r="FG38" s="198"/>
      <c r="FH38" s="235"/>
      <c r="FI38" s="235"/>
      <c r="FJ38" s="420"/>
      <c r="FK38" s="1162"/>
      <c r="FL38" s="1162"/>
      <c r="FM38" s="1162"/>
      <c r="FN38" s="1162"/>
      <c r="FO38" s="1162"/>
      <c r="FP38" s="1620"/>
      <c r="FQ38" s="1620"/>
      <c r="FR38" s="1620"/>
      <c r="FS38" s="235"/>
      <c r="FT38" s="235"/>
      <c r="FU38" s="235"/>
      <c r="FV38" s="235"/>
      <c r="FW38" s="235"/>
      <c r="FX38" s="235"/>
      <c r="FY38" s="235"/>
      <c r="FZ38" s="235"/>
      <c r="GA38" s="235"/>
      <c r="GB38" s="235"/>
      <c r="GC38" s="235"/>
      <c r="GD38" s="235"/>
      <c r="GE38" s="235"/>
      <c r="GF38" s="3526" t="s">
        <v>134</v>
      </c>
      <c r="GG38" s="808"/>
      <c r="GH38" s="808"/>
      <c r="GI38" s="1540"/>
      <c r="GJ38" s="1711"/>
      <c r="GK38" s="1711"/>
      <c r="GL38" s="688"/>
      <c r="GM38" s="1841"/>
      <c r="GN38" s="1841"/>
      <c r="GO38" s="1841"/>
      <c r="GP38" s="1521"/>
      <c r="GQ38" s="688"/>
      <c r="GR38" s="690"/>
      <c r="GS38" s="3546"/>
      <c r="GT38" s="1528"/>
      <c r="GU38" s="3526" t="s">
        <v>107</v>
      </c>
      <c r="GV38" s="3526" t="s">
        <v>1512</v>
      </c>
      <c r="GW38" s="235"/>
      <c r="GX38" s="198"/>
      <c r="GY38" s="764"/>
      <c r="GZ38" s="245"/>
      <c r="HA38" s="26"/>
      <c r="HB38" s="3331" t="s">
        <v>4260</v>
      </c>
      <c r="HC38" s="582"/>
      <c r="HD38" s="583"/>
      <c r="HE38" s="2067"/>
      <c r="HF38" s="26"/>
      <c r="HG38" s="3249"/>
      <c r="HH38" s="3467">
        <f>M40+M41</f>
        <v>0</v>
      </c>
      <c r="HI38" s="3468"/>
      <c r="HJ38" s="505">
        <f>HG38-HH38</f>
        <v>0</v>
      </c>
      <c r="HK38" s="259"/>
      <c r="HL38" s="259"/>
      <c r="HM38" s="259"/>
      <c r="HN38" s="247"/>
      <c r="HO38" s="764"/>
      <c r="HP38" s="764"/>
      <c r="HQ38" s="764"/>
      <c r="HR38" s="764"/>
      <c r="HS38" s="1975"/>
      <c r="HT38" s="764"/>
      <c r="HU38" s="764"/>
      <c r="HV38" s="1975"/>
      <c r="HW38" s="764"/>
      <c r="HX38" s="2006"/>
      <c r="HY38" s="2006"/>
      <c r="HZ38" s="2021"/>
      <c r="IA38" s="1974"/>
      <c r="IB38" s="2018"/>
      <c r="IC38" s="2014"/>
      <c r="ID38" s="544"/>
      <c r="IE38" s="1972" t="s">
        <v>1174</v>
      </c>
      <c r="IF38" s="767"/>
      <c r="IG38" s="767"/>
      <c r="IH38" s="754"/>
      <c r="II38" s="754"/>
      <c r="IJ38" s="780"/>
      <c r="IK38" s="1972" t="s">
        <v>2314</v>
      </c>
      <c r="IL38" s="1972"/>
      <c r="IM38" s="754"/>
      <c r="IN38" s="754"/>
      <c r="IO38" s="754"/>
      <c r="IP38" s="754"/>
      <c r="IQ38" s="1981"/>
      <c r="IR38" s="764"/>
      <c r="IS38" s="764"/>
      <c r="IT38" s="764"/>
      <c r="IU38" s="764"/>
      <c r="IV38" s="764"/>
      <c r="IW38" s="764"/>
      <c r="IX38" s="764"/>
      <c r="IY38" s="764"/>
      <c r="IZ38" s="1974"/>
      <c r="JA38" s="1974"/>
      <c r="JB38" s="764"/>
      <c r="JC38" s="764"/>
      <c r="JD38" s="764"/>
      <c r="JE38" s="764"/>
      <c r="JF38" s="764"/>
      <c r="JG38" s="764"/>
      <c r="JH38" s="764"/>
      <c r="JI38" s="764"/>
      <c r="JJ38" s="764"/>
      <c r="JK38" s="764"/>
      <c r="JL38" s="764"/>
      <c r="JM38" s="764"/>
      <c r="JN38" s="764"/>
      <c r="JO38" s="764"/>
      <c r="JP38" s="764"/>
      <c r="JQ38" s="764"/>
      <c r="JR38" s="764"/>
      <c r="JS38" s="764"/>
      <c r="JT38" s="764"/>
      <c r="JU38" s="764"/>
      <c r="JV38" s="764"/>
      <c r="JW38" s="764"/>
      <c r="JX38" s="764"/>
      <c r="JY38" s="764"/>
      <c r="JZ38" s="764"/>
      <c r="KA38" s="764"/>
      <c r="KB38" s="764"/>
      <c r="KC38" s="764"/>
      <c r="KD38" s="764"/>
      <c r="KE38" s="764"/>
      <c r="KF38" s="764"/>
      <c r="KG38" s="764"/>
      <c r="KH38" s="764"/>
      <c r="KI38" s="764"/>
      <c r="KJ38" s="764"/>
      <c r="KK38" s="764"/>
      <c r="KL38" s="764"/>
      <c r="KM38" s="764"/>
      <c r="KN38" s="764"/>
      <c r="KO38" s="764"/>
      <c r="KP38" s="764"/>
      <c r="KQ38" s="764"/>
      <c r="KR38" s="764"/>
      <c r="KS38" s="764"/>
      <c r="KT38" s="764"/>
      <c r="KU38" s="764"/>
      <c r="KV38" s="764"/>
      <c r="KW38" s="764"/>
      <c r="KX38" s="764"/>
      <c r="KY38" s="764"/>
      <c r="KZ38" s="764"/>
      <c r="LA38" s="764"/>
      <c r="LB38" s="764"/>
      <c r="LC38" s="764"/>
      <c r="LD38" s="764"/>
      <c r="LE38" s="764"/>
      <c r="LF38" s="764"/>
      <c r="LG38" s="764"/>
      <c r="LH38" s="764"/>
      <c r="LI38" s="764"/>
      <c r="LJ38" s="764"/>
      <c r="LK38" s="764"/>
      <c r="LL38" s="764"/>
      <c r="LM38" s="764"/>
      <c r="LN38" s="764"/>
      <c r="LO38" s="764"/>
      <c r="LP38" s="1975"/>
      <c r="LQ38" s="1975"/>
      <c r="LR38" s="1975"/>
      <c r="LS38" s="1975"/>
      <c r="LT38" s="1975"/>
      <c r="LU38" s="1975"/>
      <c r="LV38" s="1975"/>
      <c r="LW38" s="1975"/>
      <c r="LX38" s="1975"/>
      <c r="LY38" s="1975"/>
      <c r="LZ38" s="1975"/>
      <c r="MA38" s="1975"/>
      <c r="MB38" s="1975"/>
      <c r="MC38" s="1975"/>
      <c r="MD38" s="1975"/>
      <c r="ME38" s="1975"/>
      <c r="MF38" s="1975"/>
      <c r="MG38" s="1975"/>
      <c r="MH38" s="1975"/>
      <c r="MI38" s="1975"/>
      <c r="MJ38" s="1975"/>
      <c r="MK38" s="1975"/>
      <c r="ML38" s="1975"/>
      <c r="MM38" s="1975"/>
      <c r="MN38" s="1975"/>
      <c r="MO38" s="1975"/>
      <c r="MP38" s="1975"/>
      <c r="MQ38" s="1975"/>
      <c r="MR38" s="1975"/>
      <c r="MS38" s="1975"/>
      <c r="MT38" s="1975"/>
      <c r="MU38" s="1975"/>
      <c r="MV38" s="1975"/>
      <c r="MW38" s="1975"/>
      <c r="MX38" s="1975"/>
      <c r="MY38" s="1975"/>
      <c r="MZ38" s="1975"/>
      <c r="NA38" s="1975"/>
      <c r="NB38" s="1975"/>
      <c r="NC38" s="1975"/>
      <c r="ND38" s="1975"/>
      <c r="NE38" s="1975"/>
      <c r="NF38" s="1975"/>
      <c r="NG38" s="1975"/>
      <c r="NH38" s="1975"/>
      <c r="NI38" s="1975"/>
    </row>
    <row r="39" spans="1:373" s="272" customFormat="1" ht="15" customHeight="1" x14ac:dyDescent="0.3">
      <c r="A39" s="216" t="s">
        <v>822</v>
      </c>
      <c r="B39" s="256" t="s">
        <v>4182</v>
      </c>
      <c r="C39" s="235"/>
      <c r="D39" s="314">
        <f>SUMIFS('3b Activity Plan'!$AA$173:$AA$364,'3b Activity Plan'!$CY$173:$CY$364,1,'3b Activity Plan'!$AI$173:$AI$364,"s")</f>
        <v>0</v>
      </c>
      <c r="E39" s="314">
        <f>SUMIFS('3b Activity Plan'!$AB$173:$AB$364,'3b Activity Plan'!$CY$173:$CY$364,1,'3b Activity Plan'!$AI$173:$AI$364,"s")</f>
        <v>0</v>
      </c>
      <c r="F39" s="684"/>
      <c r="G39" s="235"/>
      <c r="H39" s="314">
        <f>SUMIFS('3a Staff Plan'!$AA$129:$AA$305,'3a Staff Plan'!$DF$129:$DF$305,1,'3a Staff Plan'!$DG$129:$DG$305,"S")</f>
        <v>0</v>
      </c>
      <c r="I39" s="314">
        <f>SUMIFS('3a Staff Plan'!$AB$129:$AB$305,'3a Staff Plan'!$DF$129:$DF$305,1,'3a Staff Plan'!$DG$129:$DG$305,"S")</f>
        <v>0</v>
      </c>
      <c r="J39" s="684"/>
      <c r="K39" s="235"/>
      <c r="L39" s="314">
        <f t="shared" ref="L39" si="12">(D39*$V$51)+(H39*$AL$51)</f>
        <v>0</v>
      </c>
      <c r="M39" s="314">
        <f t="shared" ref="M39" si="13">(E39*$V$51)+(I39*$AL$51)</f>
        <v>0</v>
      </c>
      <c r="N39" s="235"/>
      <c r="O39" s="1834"/>
      <c r="P39" s="1837"/>
      <c r="Q39" s="198"/>
      <c r="R39" s="198"/>
      <c r="S39" s="198"/>
      <c r="T39" s="879"/>
      <c r="U39" s="359"/>
      <c r="V39" s="663"/>
      <c r="W39" s="538"/>
      <c r="X39" s="538"/>
      <c r="Y39" s="538"/>
      <c r="Z39" s="663"/>
      <c r="AA39" s="663"/>
      <c r="AB39" s="663"/>
      <c r="AC39" s="663"/>
      <c r="AD39" s="663"/>
      <c r="AE39" s="663"/>
      <c r="AF39" s="663"/>
      <c r="AG39" s="663"/>
      <c r="AH39" s="663"/>
      <c r="AI39" s="663"/>
      <c r="AJ39" s="663"/>
      <c r="AK39" s="359"/>
      <c r="AL39" s="538"/>
      <c r="AM39" s="538"/>
      <c r="AN39" s="538"/>
      <c r="AO39" s="663"/>
      <c r="AP39" s="663"/>
      <c r="AQ39" s="663"/>
      <c r="AR39" s="663"/>
      <c r="AS39" s="663"/>
      <c r="AT39" s="663"/>
      <c r="AU39" s="663"/>
      <c r="AV39" s="663"/>
      <c r="AW39" s="663"/>
      <c r="AX39" s="663"/>
      <c r="AY39" s="663"/>
      <c r="AZ39" s="658"/>
      <c r="BA39" s="538"/>
      <c r="BB39" s="538"/>
      <c r="BC39" s="538"/>
      <c r="BD39" s="663"/>
      <c r="BE39" s="663"/>
      <c r="BF39" s="663"/>
      <c r="BG39" s="663"/>
      <c r="BH39" s="663"/>
      <c r="BI39" s="663"/>
      <c r="BJ39" s="663"/>
      <c r="BK39" s="663"/>
      <c r="BL39" s="663"/>
      <c r="BM39" s="663"/>
      <c r="BN39" s="663"/>
      <c r="BO39" s="658"/>
      <c r="BP39" s="663"/>
      <c r="BQ39" s="538"/>
      <c r="BR39" s="538"/>
      <c r="BS39" s="538"/>
      <c r="BT39" s="663"/>
      <c r="BU39" s="663"/>
      <c r="BV39" s="663"/>
      <c r="BW39" s="663"/>
      <c r="BX39" s="663"/>
      <c r="BY39" s="663"/>
      <c r="BZ39" s="663"/>
      <c r="CA39" s="663"/>
      <c r="CB39" s="663"/>
      <c r="CC39" s="663"/>
      <c r="CD39" s="663"/>
      <c r="CE39" s="1751"/>
      <c r="CF39" s="538"/>
      <c r="CG39" s="538"/>
      <c r="CH39" s="538"/>
      <c r="CI39" s="663"/>
      <c r="CJ39" s="663"/>
      <c r="CK39" s="663"/>
      <c r="CL39" s="663"/>
      <c r="CM39" s="663"/>
      <c r="CN39" s="663"/>
      <c r="CO39" s="663"/>
      <c r="CP39" s="663"/>
      <c r="CQ39" s="663"/>
      <c r="CR39" s="663"/>
      <c r="CS39" s="663"/>
      <c r="CT39" s="1751"/>
      <c r="CU39" s="538"/>
      <c r="CV39" s="538"/>
      <c r="CW39" s="538"/>
      <c r="CX39" s="663"/>
      <c r="CY39" s="663"/>
      <c r="CZ39" s="663"/>
      <c r="DA39" s="663"/>
      <c r="DB39" s="663"/>
      <c r="DC39" s="663"/>
      <c r="DD39" s="663"/>
      <c r="DE39" s="663"/>
      <c r="DF39" s="663"/>
      <c r="DG39" s="663"/>
      <c r="DH39" s="663"/>
      <c r="DI39" s="1751"/>
      <c r="DJ39" s="1751"/>
      <c r="DK39" s="663"/>
      <c r="DL39" s="1017"/>
      <c r="DM39" s="235"/>
      <c r="DN39" s="235"/>
      <c r="DO39" s="235"/>
      <c r="DP39" s="1050"/>
      <c r="DQ39" s="235"/>
      <c r="DR39" s="235"/>
      <c r="DS39" s="235"/>
      <c r="DT39" s="1050"/>
      <c r="DU39" s="235"/>
      <c r="DV39" s="235"/>
      <c r="DW39" s="235"/>
      <c r="DX39" s="198"/>
      <c r="DY39" s="235"/>
      <c r="DZ39" s="235"/>
      <c r="EA39" s="359"/>
      <c r="EB39" s="3526"/>
      <c r="EC39" s="3526"/>
      <c r="ED39" s="1626"/>
      <c r="EE39" s="1626"/>
      <c r="EF39" s="1626"/>
      <c r="EG39" s="198"/>
      <c r="EH39" s="3563"/>
      <c r="EI39" s="235"/>
      <c r="EJ39" s="422"/>
      <c r="EK39" s="422"/>
      <c r="EL39" s="422"/>
      <c r="EM39" s="422"/>
      <c r="EN39" s="422"/>
      <c r="EO39" s="422"/>
      <c r="EP39" s="422"/>
      <c r="EQ39" s="422"/>
      <c r="ER39" s="422"/>
      <c r="ES39" s="422"/>
      <c r="ET39" s="422"/>
      <c r="EU39" s="422"/>
      <c r="EV39" s="1956"/>
      <c r="EW39" s="235"/>
      <c r="EX39" s="1525"/>
      <c r="EY39" s="1525"/>
      <c r="EZ39" s="521"/>
      <c r="FA39" s="3563"/>
      <c r="FB39" s="3563"/>
      <c r="FC39" s="419"/>
      <c r="FD39" s="419"/>
      <c r="FE39" s="419"/>
      <c r="FF39" s="422"/>
      <c r="FG39" s="198"/>
      <c r="FH39" s="235"/>
      <c r="FI39" s="235"/>
      <c r="FJ39" s="420"/>
      <c r="FK39" s="1162"/>
      <c r="FL39" s="1162"/>
      <c r="FM39" s="1162"/>
      <c r="FN39" s="1162"/>
      <c r="FO39" s="1162"/>
      <c r="FP39" s="1620"/>
      <c r="FQ39" s="1620"/>
      <c r="FR39" s="1620"/>
      <c r="FS39" s="235"/>
      <c r="FT39" s="235"/>
      <c r="FU39" s="235"/>
      <c r="FV39" s="235"/>
      <c r="FW39" s="235"/>
      <c r="FX39" s="235"/>
      <c r="FY39" s="235"/>
      <c r="FZ39" s="235"/>
      <c r="GA39" s="235"/>
      <c r="GB39" s="235"/>
      <c r="GC39" s="235"/>
      <c r="GD39" s="235"/>
      <c r="GE39" s="235"/>
      <c r="GF39" s="3526"/>
      <c r="GG39" s="808"/>
      <c r="GH39" s="808"/>
      <c r="GI39" s="1540"/>
      <c r="GJ39" s="1711"/>
      <c r="GK39" s="1711"/>
      <c r="GL39" s="688"/>
      <c r="GM39" s="1841"/>
      <c r="GN39" s="1841"/>
      <c r="GO39" s="1841"/>
      <c r="GP39" s="1521"/>
      <c r="GQ39" s="688"/>
      <c r="GR39" s="690"/>
      <c r="GS39" s="3546"/>
      <c r="GT39" s="1528"/>
      <c r="GU39" s="3526"/>
      <c r="GV39" s="3526"/>
      <c r="GW39" s="235"/>
      <c r="GX39" s="198"/>
      <c r="GY39" s="764"/>
      <c r="GZ39" s="245"/>
      <c r="HA39" s="26"/>
      <c r="HB39" s="584" t="s">
        <v>4259</v>
      </c>
      <c r="HC39" s="582"/>
      <c r="HD39" s="583"/>
      <c r="HE39" s="415">
        <f>N36</f>
        <v>0</v>
      </c>
      <c r="HF39" s="26"/>
      <c r="HG39" s="1177">
        <f>L36+L37+L39</f>
        <v>0</v>
      </c>
      <c r="HH39" s="3467">
        <f>M36+M37+M39</f>
        <v>0</v>
      </c>
      <c r="HI39" s="3468"/>
      <c r="HJ39" s="505">
        <f>HG39-HH39</f>
        <v>0</v>
      </c>
      <c r="HK39" s="259"/>
      <c r="HL39" s="259"/>
      <c r="HM39" s="259"/>
      <c r="HN39" s="247"/>
      <c r="HO39" s="764"/>
      <c r="HP39" s="764"/>
      <c r="HQ39" s="764"/>
      <c r="HR39" s="764"/>
      <c r="HS39" s="764"/>
      <c r="HT39" s="764"/>
      <c r="HU39" s="764"/>
      <c r="HV39" s="764"/>
      <c r="HW39" s="764"/>
      <c r="HX39" s="2006"/>
      <c r="HY39" s="2006"/>
      <c r="HZ39" s="2021"/>
      <c r="IA39" s="1974"/>
      <c r="IB39" s="2018"/>
      <c r="IC39" s="2014"/>
      <c r="ID39" s="741">
        <v>1.23</v>
      </c>
      <c r="IE39" s="1972" t="s">
        <v>1175</v>
      </c>
      <c r="IF39" s="767"/>
      <c r="IG39" s="767"/>
      <c r="IH39" s="754"/>
      <c r="II39" s="754"/>
      <c r="IJ39" s="779"/>
      <c r="IK39" s="1972" t="s">
        <v>2316</v>
      </c>
      <c r="IL39" s="1972"/>
      <c r="IM39" s="754"/>
      <c r="IN39" s="754"/>
      <c r="IO39" s="754"/>
      <c r="IP39" s="754"/>
      <c r="IQ39" s="1981"/>
      <c r="IR39" s="764"/>
      <c r="IS39" s="764"/>
      <c r="IT39" s="764"/>
      <c r="IU39" s="764"/>
      <c r="IV39" s="764"/>
      <c r="IW39" s="764"/>
      <c r="IX39" s="764"/>
      <c r="IY39" s="764"/>
      <c r="IZ39" s="1974"/>
      <c r="JA39" s="1974"/>
      <c r="JB39" s="1974"/>
      <c r="JC39" s="764"/>
      <c r="JD39" s="764"/>
      <c r="JE39" s="764"/>
      <c r="JF39" s="764"/>
      <c r="JG39" s="764"/>
      <c r="JH39" s="764"/>
      <c r="JI39" s="764"/>
      <c r="JJ39" s="764"/>
      <c r="JK39" s="764"/>
      <c r="JL39" s="764"/>
      <c r="JM39" s="764"/>
      <c r="JN39" s="764"/>
      <c r="JO39" s="764"/>
      <c r="JP39" s="764"/>
      <c r="JQ39" s="764"/>
      <c r="JR39" s="764"/>
      <c r="JS39" s="764"/>
      <c r="JT39" s="764"/>
      <c r="JU39" s="764"/>
      <c r="JV39" s="764"/>
      <c r="JW39" s="764"/>
      <c r="JX39" s="764"/>
      <c r="JY39" s="764"/>
      <c r="JZ39" s="764"/>
      <c r="KA39" s="764"/>
      <c r="KB39" s="764"/>
      <c r="KC39" s="764"/>
      <c r="KD39" s="764"/>
      <c r="KE39" s="764"/>
      <c r="KF39" s="764"/>
      <c r="KG39" s="764"/>
      <c r="KH39" s="764"/>
      <c r="KI39" s="764"/>
      <c r="KJ39" s="764"/>
      <c r="KK39" s="764"/>
      <c r="KL39" s="764"/>
      <c r="KM39" s="764"/>
      <c r="KN39" s="764"/>
      <c r="KO39" s="764"/>
      <c r="KP39" s="764"/>
      <c r="KQ39" s="764"/>
      <c r="KR39" s="764"/>
      <c r="KS39" s="764"/>
      <c r="KT39" s="764"/>
      <c r="KU39" s="764"/>
      <c r="KV39" s="764"/>
      <c r="KW39" s="764"/>
      <c r="KX39" s="764"/>
      <c r="KY39" s="764"/>
      <c r="KZ39" s="764"/>
      <c r="LA39" s="764"/>
      <c r="LB39" s="764"/>
      <c r="LC39" s="764"/>
      <c r="LD39" s="764"/>
      <c r="LE39" s="764"/>
      <c r="LF39" s="764"/>
      <c r="LG39" s="764"/>
      <c r="LH39" s="764"/>
      <c r="LI39" s="764"/>
      <c r="LJ39" s="764"/>
      <c r="LK39" s="764"/>
      <c r="LL39" s="764"/>
      <c r="LM39" s="764"/>
      <c r="LN39" s="764"/>
      <c r="LO39" s="764"/>
      <c r="LP39" s="764"/>
      <c r="LQ39" s="764"/>
      <c r="LR39" s="764"/>
      <c r="LS39" s="764"/>
      <c r="LT39" s="764"/>
      <c r="LU39" s="764"/>
      <c r="LV39" s="764"/>
      <c r="LW39" s="1975"/>
      <c r="LX39" s="1975"/>
      <c r="LY39" s="1975"/>
      <c r="LZ39" s="1975"/>
      <c r="MA39" s="1975"/>
      <c r="MB39" s="1975"/>
      <c r="MC39" s="1975"/>
      <c r="MD39" s="1975"/>
      <c r="ME39" s="1975"/>
      <c r="MF39" s="1975"/>
      <c r="MG39" s="1975"/>
      <c r="MH39" s="1975"/>
      <c r="MI39" s="1975"/>
      <c r="MJ39" s="1975"/>
      <c r="MK39" s="1975"/>
      <c r="ML39" s="1975"/>
      <c r="MM39" s="1975"/>
      <c r="MN39" s="1975"/>
      <c r="MO39" s="1975"/>
      <c r="MP39" s="1975"/>
      <c r="MQ39" s="1975"/>
      <c r="MR39" s="1975"/>
      <c r="MS39" s="1975"/>
      <c r="MT39" s="1975"/>
      <c r="MU39" s="1975"/>
      <c r="MV39" s="1975"/>
      <c r="MW39" s="1975"/>
      <c r="MX39" s="1975"/>
      <c r="MY39" s="1975"/>
      <c r="MZ39" s="1975"/>
      <c r="NA39" s="1975"/>
      <c r="NB39" s="1975"/>
      <c r="NC39" s="1975"/>
      <c r="ND39" s="1975"/>
      <c r="NE39" s="1975"/>
      <c r="NF39" s="1975"/>
      <c r="NG39" s="1975"/>
      <c r="NH39" s="1975"/>
      <c r="NI39" s="1975"/>
    </row>
    <row r="40" spans="1:373" s="272" customFormat="1" ht="15" customHeight="1" x14ac:dyDescent="0.3">
      <c r="A40" s="216" t="s">
        <v>269</v>
      </c>
      <c r="B40" s="256" t="s">
        <v>3994</v>
      </c>
      <c r="C40" s="235"/>
      <c r="D40" s="235"/>
      <c r="E40" s="314">
        <f>'3b Activity Plan'!S165</f>
        <v>0</v>
      </c>
      <c r="F40" s="235"/>
      <c r="G40" s="235"/>
      <c r="H40" s="235"/>
      <c r="I40" s="314">
        <f>'3a Staff Plan'!S121</f>
        <v>0</v>
      </c>
      <c r="J40" s="235"/>
      <c r="K40" s="235"/>
      <c r="L40" s="235"/>
      <c r="M40" s="314">
        <f>((E40*$V$51)+(I40*$AL$51))*N28</f>
        <v>0</v>
      </c>
      <c r="N40" s="3236"/>
      <c r="O40" s="1834"/>
      <c r="P40" s="1837"/>
      <c r="Q40" s="198"/>
      <c r="R40" s="198"/>
      <c r="S40" s="198"/>
      <c r="T40" s="879"/>
      <c r="U40" s="311"/>
      <c r="V40" s="663"/>
      <c r="W40" s="538"/>
      <c r="X40" s="538"/>
      <c r="Y40" s="538"/>
      <c r="Z40" s="663"/>
      <c r="AA40" s="663"/>
      <c r="AB40" s="663"/>
      <c r="AC40" s="663"/>
      <c r="AD40" s="663"/>
      <c r="AE40" s="663"/>
      <c r="AF40" s="663"/>
      <c r="AG40" s="663"/>
      <c r="AH40" s="663"/>
      <c r="AI40" s="663"/>
      <c r="AJ40" s="663"/>
      <c r="AK40" s="311"/>
      <c r="AL40" s="538"/>
      <c r="AM40" s="538"/>
      <c r="AN40" s="538"/>
      <c r="AO40" s="663"/>
      <c r="AP40" s="663"/>
      <c r="AQ40" s="663"/>
      <c r="AR40" s="663"/>
      <c r="AS40" s="663"/>
      <c r="AT40" s="663"/>
      <c r="AU40" s="663"/>
      <c r="AV40" s="663"/>
      <c r="AW40" s="663"/>
      <c r="AX40" s="663"/>
      <c r="AY40" s="663"/>
      <c r="AZ40" s="658"/>
      <c r="BA40" s="538"/>
      <c r="BB40" s="538"/>
      <c r="BC40" s="538"/>
      <c r="BD40" s="663"/>
      <c r="BE40" s="663"/>
      <c r="BF40" s="663"/>
      <c r="BG40" s="663"/>
      <c r="BH40" s="663"/>
      <c r="BI40" s="663"/>
      <c r="BJ40" s="663"/>
      <c r="BK40" s="663"/>
      <c r="BL40" s="663"/>
      <c r="BM40" s="663"/>
      <c r="BN40" s="663"/>
      <c r="BO40" s="658"/>
      <c r="BP40" s="663"/>
      <c r="BQ40" s="538"/>
      <c r="BR40" s="538"/>
      <c r="BS40" s="538"/>
      <c r="BT40" s="663"/>
      <c r="BU40" s="663"/>
      <c r="BV40" s="663"/>
      <c r="BW40" s="663"/>
      <c r="BX40" s="663"/>
      <c r="BY40" s="663"/>
      <c r="BZ40" s="663"/>
      <c r="CA40" s="663"/>
      <c r="CB40" s="663"/>
      <c r="CC40" s="663"/>
      <c r="CD40" s="663"/>
      <c r="CE40" s="1751"/>
      <c r="CF40" s="538"/>
      <c r="CG40" s="538"/>
      <c r="CH40" s="538"/>
      <c r="CI40" s="663"/>
      <c r="CJ40" s="663"/>
      <c r="CK40" s="663"/>
      <c r="CL40" s="663"/>
      <c r="CM40" s="663"/>
      <c r="CN40" s="663"/>
      <c r="CO40" s="663"/>
      <c r="CP40" s="663"/>
      <c r="CQ40" s="663"/>
      <c r="CR40" s="663"/>
      <c r="CS40" s="663"/>
      <c r="CT40" s="1751"/>
      <c r="CU40" s="538"/>
      <c r="CV40" s="538"/>
      <c r="CW40" s="538"/>
      <c r="CX40" s="663"/>
      <c r="CY40" s="663"/>
      <c r="CZ40" s="663"/>
      <c r="DA40" s="663"/>
      <c r="DB40" s="663"/>
      <c r="DC40" s="663"/>
      <c r="DD40" s="663"/>
      <c r="DE40" s="663"/>
      <c r="DF40" s="663"/>
      <c r="DG40" s="663"/>
      <c r="DH40" s="663"/>
      <c r="DI40" s="1751"/>
      <c r="DJ40" s="1751"/>
      <c r="DK40" s="663"/>
      <c r="DL40" s="1017"/>
      <c r="DM40" s="235"/>
      <c r="DN40" s="235"/>
      <c r="DO40" s="235"/>
      <c r="DP40" s="1050"/>
      <c r="DQ40" s="235"/>
      <c r="DR40" s="235"/>
      <c r="DS40" s="235"/>
      <c r="DT40" s="1050"/>
      <c r="DU40" s="235"/>
      <c r="DV40" s="235"/>
      <c r="DW40" s="235"/>
      <c r="DX40" s="198"/>
      <c r="DY40" s="235"/>
      <c r="DZ40" s="235"/>
      <c r="EA40" s="311"/>
      <c r="EB40" s="3526"/>
      <c r="EC40" s="3526"/>
      <c r="ED40" s="1626"/>
      <c r="EE40" s="1626"/>
      <c r="EF40" s="1626"/>
      <c r="EG40" s="198"/>
      <c r="EH40" s="3563"/>
      <c r="EI40" s="235"/>
      <c r="EJ40" s="422"/>
      <c r="EK40" s="422"/>
      <c r="EL40" s="422"/>
      <c r="EM40" s="422"/>
      <c r="EN40" s="422"/>
      <c r="EO40" s="422"/>
      <c r="EP40" s="422"/>
      <c r="EQ40" s="422"/>
      <c r="ER40" s="422"/>
      <c r="ES40" s="422"/>
      <c r="ET40" s="422"/>
      <c r="EU40" s="422"/>
      <c r="EV40" s="1956"/>
      <c r="EW40" s="266" t="s">
        <v>2895</v>
      </c>
      <c r="EX40" s="1525"/>
      <c r="EY40" s="1525"/>
      <c r="EZ40" s="521"/>
      <c r="FA40" s="3563"/>
      <c r="FB40" s="3563"/>
      <c r="FC40" s="419"/>
      <c r="FD40" s="419"/>
      <c r="FE40" s="419"/>
      <c r="FF40" s="422"/>
      <c r="FG40" s="198"/>
      <c r="FH40" s="235"/>
      <c r="FI40" s="235"/>
      <c r="FJ40" s="420"/>
      <c r="FK40" s="1162"/>
      <c r="FL40" s="1162"/>
      <c r="FM40" s="1162"/>
      <c r="FN40" s="1162"/>
      <c r="FO40" s="1162"/>
      <c r="FP40" s="1620"/>
      <c r="FQ40" s="1620"/>
      <c r="FR40" s="1620"/>
      <c r="FS40" s="235"/>
      <c r="FT40" s="235"/>
      <c r="FU40" s="235"/>
      <c r="FV40" s="235"/>
      <c r="FW40" s="235"/>
      <c r="FX40" s="235"/>
      <c r="FY40" s="235"/>
      <c r="FZ40" s="235"/>
      <c r="GA40" s="235"/>
      <c r="GB40" s="235"/>
      <c r="GC40" s="235"/>
      <c r="GD40" s="235"/>
      <c r="GE40" s="235"/>
      <c r="GF40" s="3526"/>
      <c r="GG40" s="808"/>
      <c r="GH40" s="808"/>
      <c r="GI40" s="1540"/>
      <c r="GJ40" s="1711"/>
      <c r="GK40" s="1711"/>
      <c r="GL40" s="688"/>
      <c r="GM40" s="1841"/>
      <c r="GN40" s="1841"/>
      <c r="GO40" s="1841"/>
      <c r="GP40" s="1521"/>
      <c r="GQ40" s="688"/>
      <c r="GR40" s="690"/>
      <c r="GS40" s="3546"/>
      <c r="GT40" s="1528"/>
      <c r="GU40" s="3526"/>
      <c r="GV40" s="3526"/>
      <c r="GW40" s="235"/>
      <c r="GX40" s="198"/>
      <c r="GY40" s="764"/>
      <c r="GZ40" s="245"/>
      <c r="HA40" s="26"/>
      <c r="HB40" s="584" t="s">
        <v>4292</v>
      </c>
      <c r="HC40" s="582"/>
      <c r="HD40" s="583"/>
      <c r="HE40" s="2067"/>
      <c r="HF40" s="26"/>
      <c r="HG40" s="1177">
        <f>L28+L30+L32+L33+'4 Sign-off'!I87</f>
        <v>0</v>
      </c>
      <c r="HH40" s="3467">
        <f>M30+M32+M33</f>
        <v>0</v>
      </c>
      <c r="HI40" s="3468"/>
      <c r="HJ40" s="505">
        <f>HG40-HH40</f>
        <v>0</v>
      </c>
      <c r="HK40" s="259"/>
      <c r="HL40" s="259"/>
      <c r="HM40" s="259"/>
      <c r="HN40" s="247"/>
      <c r="HO40" s="764"/>
      <c r="HP40" s="764"/>
      <c r="HQ40" s="764"/>
      <c r="HR40" s="764"/>
      <c r="HS40" s="764"/>
      <c r="HT40" s="764"/>
      <c r="HU40" s="764"/>
      <c r="HV40" s="764"/>
      <c r="HW40" s="764"/>
      <c r="HX40" s="2006"/>
      <c r="HY40" s="2006"/>
      <c r="HZ40" s="2021"/>
      <c r="IA40" s="1974"/>
      <c r="IB40" s="2018"/>
      <c r="IC40" s="2014"/>
      <c r="ID40" s="2260">
        <v>4.5599999999999996</v>
      </c>
      <c r="IE40" s="1972" t="s">
        <v>1176</v>
      </c>
      <c r="IF40" s="767"/>
      <c r="IG40" s="767"/>
      <c r="IH40" s="754"/>
      <c r="II40" s="754"/>
      <c r="IJ40" s="754"/>
      <c r="IK40" s="754"/>
      <c r="IL40" s="754"/>
      <c r="IM40" s="754"/>
      <c r="IN40" s="754"/>
      <c r="IO40" s="754"/>
      <c r="IP40" s="754"/>
      <c r="IQ40" s="1981"/>
      <c r="IR40" s="764"/>
      <c r="IS40" s="764"/>
      <c r="IT40" s="764"/>
      <c r="IU40" s="764"/>
      <c r="IV40" s="764"/>
      <c r="IW40" s="764"/>
      <c r="IX40" s="764"/>
      <c r="IY40" s="764"/>
      <c r="IZ40" s="1974"/>
      <c r="JA40" s="1974"/>
      <c r="JB40" s="1974"/>
      <c r="JC40" s="764"/>
      <c r="JD40" s="764"/>
      <c r="JE40" s="764"/>
      <c r="JF40" s="764"/>
      <c r="JG40" s="764"/>
      <c r="JH40" s="764"/>
      <c r="JI40" s="764"/>
      <c r="JJ40" s="764"/>
      <c r="JK40" s="764"/>
      <c r="JL40" s="764"/>
      <c r="JM40" s="764"/>
      <c r="JN40" s="764"/>
      <c r="JO40" s="764"/>
      <c r="JP40" s="764"/>
      <c r="JQ40" s="764"/>
      <c r="JR40" s="764"/>
      <c r="JS40" s="764"/>
      <c r="JT40" s="764"/>
      <c r="JU40" s="764"/>
      <c r="JV40" s="764"/>
      <c r="JW40" s="764"/>
      <c r="JX40" s="764"/>
      <c r="JY40" s="764"/>
      <c r="JZ40" s="764"/>
      <c r="KA40" s="764"/>
      <c r="KB40" s="764"/>
      <c r="KC40" s="764"/>
      <c r="KD40" s="764"/>
      <c r="KE40" s="764"/>
      <c r="KF40" s="764"/>
      <c r="KG40" s="764"/>
      <c r="KH40" s="764"/>
      <c r="KI40" s="764"/>
      <c r="KJ40" s="764"/>
      <c r="KK40" s="764"/>
      <c r="KL40" s="764"/>
      <c r="KM40" s="764"/>
      <c r="KN40" s="764"/>
      <c r="KO40" s="764"/>
      <c r="KP40" s="764"/>
      <c r="KQ40" s="764"/>
      <c r="KR40" s="764"/>
      <c r="KS40" s="764"/>
      <c r="KT40" s="764"/>
      <c r="KU40" s="764"/>
      <c r="KV40" s="764"/>
      <c r="KW40" s="764"/>
      <c r="KX40" s="764"/>
      <c r="KY40" s="764"/>
      <c r="KZ40" s="764"/>
      <c r="LA40" s="764"/>
      <c r="LB40" s="764"/>
      <c r="LC40" s="764"/>
      <c r="LD40" s="764"/>
      <c r="LE40" s="764"/>
      <c r="LF40" s="764"/>
      <c r="LG40" s="764"/>
      <c r="LH40" s="764"/>
      <c r="LI40" s="764"/>
      <c r="LJ40" s="764"/>
      <c r="LK40" s="764"/>
      <c r="LL40" s="764"/>
      <c r="LM40" s="764"/>
      <c r="LN40" s="764"/>
      <c r="LO40" s="764"/>
      <c r="LP40" s="764"/>
      <c r="LQ40" s="764"/>
      <c r="LR40" s="764"/>
      <c r="LS40" s="764"/>
      <c r="LT40" s="764"/>
      <c r="LU40" s="764"/>
      <c r="LV40" s="764"/>
      <c r="LW40" s="1975"/>
      <c r="LX40" s="1975"/>
      <c r="LY40" s="1975"/>
      <c r="LZ40" s="1975"/>
      <c r="MA40" s="1975"/>
      <c r="MB40" s="1975"/>
      <c r="MC40" s="1975"/>
      <c r="MD40" s="1975"/>
      <c r="ME40" s="1975"/>
      <c r="MF40" s="1975"/>
      <c r="MG40" s="1975"/>
      <c r="MH40" s="1975"/>
      <c r="MI40" s="1975"/>
      <c r="MJ40" s="1975"/>
      <c r="MK40" s="1975"/>
      <c r="ML40" s="1975"/>
      <c r="MM40" s="1975"/>
      <c r="MN40" s="1975"/>
      <c r="MO40" s="1975"/>
      <c r="MP40" s="1975"/>
      <c r="MQ40" s="1975"/>
      <c r="MR40" s="1975"/>
      <c r="MS40" s="1975"/>
      <c r="MT40" s="1975"/>
      <c r="MU40" s="1975"/>
      <c r="MV40" s="1975"/>
      <c r="MW40" s="1975"/>
      <c r="MX40" s="1975"/>
      <c r="MY40" s="1975"/>
      <c r="MZ40" s="1975"/>
      <c r="NA40" s="1975"/>
      <c r="NB40" s="1975"/>
      <c r="NC40" s="1975"/>
      <c r="ND40" s="1975"/>
      <c r="NE40" s="1975"/>
      <c r="NF40" s="1975"/>
      <c r="NG40" s="1975"/>
      <c r="NH40" s="1975"/>
      <c r="NI40" s="1975"/>
    </row>
    <row r="41" spans="1:373" s="272" customFormat="1" ht="18.75" customHeight="1" x14ac:dyDescent="0.3">
      <c r="A41" s="216" t="s">
        <v>269</v>
      </c>
      <c r="B41" s="256" t="s">
        <v>4181</v>
      </c>
      <c r="C41" s="235"/>
      <c r="D41" s="3236"/>
      <c r="E41" s="314">
        <f>SUMIFS('3b Activity Plan'!$AB$173:$AB$364,'3b Activity Plan'!$CY$173:$CY$364,1,'3b Activity Plan'!$AI$173:$AI$364,"R")</f>
        <v>0</v>
      </c>
      <c r="F41" s="684"/>
      <c r="G41" s="235"/>
      <c r="H41" s="3236"/>
      <c r="I41" s="314">
        <f>SUMIFS('3a Staff Plan'!$AB$129:$AB$305,'3a Staff Plan'!$DF$129:$DF$305,1,'3a Staff Plan'!$DG$129:$DG$305,"R")</f>
        <v>0</v>
      </c>
      <c r="J41" s="684"/>
      <c r="K41" s="235"/>
      <c r="L41" s="3236"/>
      <c r="M41" s="314">
        <f>(E41*$V$51)+(I41*$AL$51)</f>
        <v>0</v>
      </c>
      <c r="N41" s="410"/>
      <c r="O41" s="1834"/>
      <c r="P41" s="1837"/>
      <c r="Q41" s="198"/>
      <c r="R41" s="198"/>
      <c r="S41" s="198"/>
      <c r="T41" s="879"/>
      <c r="U41" s="410"/>
      <c r="V41" s="663"/>
      <c r="W41" s="538"/>
      <c r="X41" s="538"/>
      <c r="Y41" s="538"/>
      <c r="Z41" s="663"/>
      <c r="AA41" s="663"/>
      <c r="AB41" s="663"/>
      <c r="AC41" s="663"/>
      <c r="AD41" s="663"/>
      <c r="AE41" s="663"/>
      <c r="AF41" s="663"/>
      <c r="AG41" s="663"/>
      <c r="AH41" s="663"/>
      <c r="AI41" s="663"/>
      <c r="AJ41" s="663"/>
      <c r="AK41" s="410"/>
      <c r="AL41" s="538"/>
      <c r="AM41" s="538"/>
      <c r="AN41" s="538"/>
      <c r="AO41" s="663"/>
      <c r="AP41" s="663"/>
      <c r="AQ41" s="663"/>
      <c r="AR41" s="663"/>
      <c r="AS41" s="663"/>
      <c r="AT41" s="663"/>
      <c r="AU41" s="663"/>
      <c r="AV41" s="663"/>
      <c r="AW41" s="663"/>
      <c r="AX41" s="663"/>
      <c r="AY41" s="663"/>
      <c r="AZ41" s="658"/>
      <c r="BA41" s="538"/>
      <c r="BB41" s="538"/>
      <c r="BC41" s="538"/>
      <c r="BD41" s="663"/>
      <c r="BE41" s="663"/>
      <c r="BF41" s="663"/>
      <c r="BG41" s="663"/>
      <c r="BH41" s="663"/>
      <c r="BI41" s="663"/>
      <c r="BJ41" s="663"/>
      <c r="BK41" s="663"/>
      <c r="BL41" s="663"/>
      <c r="BM41" s="663"/>
      <c r="BN41" s="663"/>
      <c r="BO41" s="658"/>
      <c r="BP41" s="663"/>
      <c r="BQ41" s="538"/>
      <c r="BR41" s="538"/>
      <c r="BS41" s="538"/>
      <c r="BT41" s="663"/>
      <c r="BU41" s="663"/>
      <c r="BV41" s="663"/>
      <c r="BW41" s="663"/>
      <c r="BX41" s="663"/>
      <c r="BY41" s="663"/>
      <c r="BZ41" s="663"/>
      <c r="CA41" s="663"/>
      <c r="CB41" s="663"/>
      <c r="CC41" s="663"/>
      <c r="CD41" s="663"/>
      <c r="CE41" s="1751"/>
      <c r="CF41" s="538"/>
      <c r="CG41" s="538"/>
      <c r="CH41" s="538"/>
      <c r="CI41" s="663"/>
      <c r="CJ41" s="663"/>
      <c r="CK41" s="663"/>
      <c r="CL41" s="663"/>
      <c r="CM41" s="663"/>
      <c r="CN41" s="663"/>
      <c r="CO41" s="663"/>
      <c r="CP41" s="663"/>
      <c r="CQ41" s="663"/>
      <c r="CR41" s="663"/>
      <c r="CS41" s="663"/>
      <c r="CT41" s="1751"/>
      <c r="CU41" s="538"/>
      <c r="CV41" s="538"/>
      <c r="CW41" s="538"/>
      <c r="CX41" s="663"/>
      <c r="CY41" s="663"/>
      <c r="CZ41" s="663"/>
      <c r="DA41" s="663"/>
      <c r="DB41" s="663"/>
      <c r="DC41" s="663"/>
      <c r="DD41" s="663"/>
      <c r="DE41" s="663"/>
      <c r="DF41" s="663"/>
      <c r="DG41" s="663"/>
      <c r="DH41" s="663"/>
      <c r="DI41" s="1751"/>
      <c r="DJ41" s="1751"/>
      <c r="DK41" s="663"/>
      <c r="DL41" s="1017"/>
      <c r="DM41" s="235"/>
      <c r="DN41" s="235"/>
      <c r="DO41" s="235"/>
      <c r="DP41" s="1050"/>
      <c r="DQ41" s="235"/>
      <c r="DR41" s="235"/>
      <c r="DS41" s="235"/>
      <c r="DT41" s="1050"/>
      <c r="DU41" s="235"/>
      <c r="DV41" s="235"/>
      <c r="DW41" s="235"/>
      <c r="DX41" s="198"/>
      <c r="DY41" s="235"/>
      <c r="DZ41" s="235"/>
      <c r="EA41" s="410"/>
      <c r="EB41" s="3526"/>
      <c r="EC41" s="3526"/>
      <c r="ED41" s="1626"/>
      <c r="EE41" s="1626"/>
      <c r="EF41" s="1626"/>
      <c r="EG41" s="198"/>
      <c r="EH41" s="3563"/>
      <c r="EI41" s="235"/>
      <c r="EJ41" s="422"/>
      <c r="EK41" s="422"/>
      <c r="EL41" s="422"/>
      <c r="EM41" s="422"/>
      <c r="EN41" s="422"/>
      <c r="EO41" s="422"/>
      <c r="EP41" s="422"/>
      <c r="EQ41" s="422"/>
      <c r="ER41" s="422"/>
      <c r="ES41" s="422"/>
      <c r="ET41" s="422"/>
      <c r="EU41" s="422"/>
      <c r="EV41" s="2665"/>
      <c r="EW41" s="266" t="s">
        <v>4088</v>
      </c>
      <c r="EX41" s="1525"/>
      <c r="EY41" s="1525"/>
      <c r="EZ41" s="521"/>
      <c r="FA41" s="3563"/>
      <c r="FB41" s="3563"/>
      <c r="FC41" s="419"/>
      <c r="FD41" s="419"/>
      <c r="FE41" s="419"/>
      <c r="FF41" s="422"/>
      <c r="FG41" s="198"/>
      <c r="FH41" s="235"/>
      <c r="FI41" s="235"/>
      <c r="FJ41" s="420"/>
      <c r="FK41" s="1162"/>
      <c r="FL41" s="1162"/>
      <c r="FM41" s="1162"/>
      <c r="FN41" s="1162"/>
      <c r="FO41" s="1162"/>
      <c r="FP41" s="1620"/>
      <c r="FQ41" s="1620"/>
      <c r="FR41" s="1620"/>
      <c r="FS41" s="235"/>
      <c r="FT41" s="235"/>
      <c r="FU41" s="235"/>
      <c r="FV41" s="235"/>
      <c r="FW41" s="235"/>
      <c r="FX41" s="235"/>
      <c r="FY41" s="235"/>
      <c r="FZ41" s="235"/>
      <c r="GA41" s="235"/>
      <c r="GB41" s="235"/>
      <c r="GC41" s="235"/>
      <c r="GD41" s="235"/>
      <c r="GE41" s="235"/>
      <c r="GF41" s="3526"/>
      <c r="GG41" s="808"/>
      <c r="GH41" s="808"/>
      <c r="GI41" s="1540"/>
      <c r="GJ41" s="1711"/>
      <c r="GK41" s="1711"/>
      <c r="GL41" s="688"/>
      <c r="GM41" s="1841"/>
      <c r="GN41" s="1841"/>
      <c r="GO41" s="1841"/>
      <c r="GP41" s="1521"/>
      <c r="GQ41" s="688"/>
      <c r="GR41" s="690"/>
      <c r="GS41" s="3546"/>
      <c r="GT41" s="1528"/>
      <c r="GU41" s="3526"/>
      <c r="GV41" s="3526"/>
      <c r="GW41" s="235"/>
      <c r="GX41" s="198"/>
      <c r="GY41" s="764"/>
      <c r="GZ41" s="245"/>
      <c r="HA41" s="26"/>
      <c r="HB41" s="367"/>
      <c r="HC41" s="246"/>
      <c r="HD41" s="246"/>
      <c r="HE41" s="246"/>
      <c r="HF41" s="246"/>
      <c r="HG41" s="246"/>
      <c r="HH41" s="246"/>
      <c r="HI41" s="246"/>
      <c r="HJ41" s="246"/>
      <c r="HK41" s="259"/>
      <c r="HL41" s="259"/>
      <c r="HM41" s="259"/>
      <c r="HN41" s="247"/>
      <c r="HO41" s="764"/>
      <c r="HP41" s="764"/>
      <c r="HQ41" s="764"/>
      <c r="HR41" s="764"/>
      <c r="HS41" s="764"/>
      <c r="HT41" s="764"/>
      <c r="HU41" s="764"/>
      <c r="HV41" s="1997"/>
      <c r="HW41" s="2022"/>
      <c r="HX41" s="2006"/>
      <c r="HY41" s="2006"/>
      <c r="HZ41" s="2021"/>
      <c r="IA41" s="1974"/>
      <c r="IB41" s="1974"/>
      <c r="IC41" s="2015"/>
      <c r="ID41" s="2016"/>
      <c r="IE41" s="2016"/>
      <c r="IF41" s="2016"/>
      <c r="IG41" s="2016"/>
      <c r="IH41" s="398"/>
      <c r="II41" s="398"/>
      <c r="IJ41" s="398"/>
      <c r="IK41" s="398"/>
      <c r="IL41" s="398"/>
      <c r="IM41" s="398"/>
      <c r="IN41" s="398"/>
      <c r="IO41" s="398"/>
      <c r="IP41" s="398"/>
      <c r="IQ41" s="2024"/>
      <c r="IR41" s="764"/>
      <c r="IS41" s="764"/>
      <c r="IT41" s="764"/>
      <c r="IU41" s="764"/>
      <c r="IV41" s="764"/>
      <c r="IW41" s="764"/>
      <c r="IX41" s="764"/>
      <c r="IY41" s="764"/>
      <c r="IZ41" s="1974"/>
      <c r="JA41" s="1974"/>
      <c r="JB41" s="1974"/>
      <c r="JC41" s="764"/>
      <c r="JD41" s="764"/>
      <c r="JE41" s="764"/>
      <c r="JF41" s="764"/>
      <c r="JG41" s="764"/>
      <c r="JH41" s="764"/>
      <c r="JI41" s="764"/>
      <c r="JJ41" s="764"/>
      <c r="JK41" s="764"/>
      <c r="JL41" s="764"/>
      <c r="JM41" s="764"/>
      <c r="JN41" s="764"/>
      <c r="JO41" s="764"/>
      <c r="JP41" s="764"/>
      <c r="JQ41" s="764"/>
      <c r="JR41" s="764"/>
      <c r="JS41" s="764"/>
      <c r="JT41" s="764"/>
      <c r="JU41" s="764"/>
      <c r="JV41" s="764"/>
      <c r="JW41" s="764"/>
      <c r="JX41" s="764"/>
      <c r="JY41" s="764"/>
      <c r="JZ41" s="764"/>
      <c r="KA41" s="764"/>
      <c r="KB41" s="764"/>
      <c r="KC41" s="764"/>
      <c r="KD41" s="764"/>
      <c r="KE41" s="764"/>
      <c r="KF41" s="764"/>
      <c r="KG41" s="764"/>
      <c r="KH41" s="764"/>
      <c r="KI41" s="764"/>
      <c r="KJ41" s="764"/>
      <c r="KK41" s="764"/>
      <c r="KL41" s="764"/>
      <c r="KM41" s="764"/>
      <c r="KN41" s="764"/>
      <c r="KO41" s="764"/>
      <c r="KP41" s="764"/>
      <c r="KQ41" s="764"/>
      <c r="KR41" s="764"/>
      <c r="KS41" s="764"/>
      <c r="KT41" s="764"/>
      <c r="KU41" s="764"/>
      <c r="KV41" s="764"/>
      <c r="KW41" s="764"/>
      <c r="KX41" s="764"/>
      <c r="KY41" s="764"/>
      <c r="KZ41" s="764"/>
      <c r="LA41" s="764"/>
      <c r="LB41" s="764"/>
      <c r="LC41" s="764"/>
      <c r="LD41" s="764"/>
      <c r="LE41" s="764"/>
      <c r="LF41" s="764"/>
      <c r="LG41" s="764"/>
      <c r="LH41" s="764"/>
      <c r="LI41" s="764"/>
      <c r="LJ41" s="764"/>
      <c r="LK41" s="764"/>
      <c r="LL41" s="764"/>
      <c r="LM41" s="764"/>
      <c r="LN41" s="764"/>
      <c r="LO41" s="764"/>
      <c r="LP41" s="764"/>
      <c r="LQ41" s="764"/>
      <c r="LR41" s="764"/>
      <c r="LS41" s="764"/>
      <c r="LT41" s="764"/>
      <c r="LU41" s="764"/>
      <c r="LV41" s="764"/>
      <c r="LW41" s="1975"/>
      <c r="LX41" s="1975"/>
      <c r="LY41" s="1975"/>
      <c r="LZ41" s="1975"/>
      <c r="MA41" s="1975"/>
      <c r="MB41" s="1975"/>
      <c r="MC41" s="1975"/>
      <c r="MD41" s="1975"/>
      <c r="ME41" s="1975"/>
      <c r="MF41" s="1975"/>
      <c r="MG41" s="1975"/>
      <c r="MH41" s="1975"/>
      <c r="MI41" s="1975"/>
      <c r="MJ41" s="1975"/>
      <c r="MK41" s="1975"/>
      <c r="ML41" s="1975"/>
      <c r="MM41" s="1975"/>
      <c r="MN41" s="1975"/>
      <c r="MO41" s="1975"/>
      <c r="MP41" s="1975"/>
      <c r="MQ41" s="1975"/>
      <c r="MR41" s="1975"/>
      <c r="MS41" s="1975"/>
      <c r="MT41" s="1975"/>
      <c r="MU41" s="1975"/>
      <c r="MV41" s="1975"/>
      <c r="MW41" s="1975"/>
      <c r="MX41" s="1975"/>
      <c r="MY41" s="1975"/>
      <c r="MZ41" s="1975"/>
      <c r="NA41" s="1975"/>
      <c r="NB41" s="1975"/>
      <c r="NC41" s="1975"/>
      <c r="ND41" s="1975"/>
      <c r="NE41" s="1975"/>
      <c r="NF41" s="1975"/>
      <c r="NG41" s="1975"/>
      <c r="NH41" s="1975"/>
      <c r="NI41" s="1975"/>
    </row>
    <row r="42" spans="1:373" ht="22.5" customHeight="1" thickBot="1" x14ac:dyDescent="0.35">
      <c r="A42" s="235"/>
      <c r="B42" s="235"/>
      <c r="C42" s="235"/>
      <c r="D42" s="586" t="s">
        <v>155</v>
      </c>
      <c r="E42" s="586" t="s">
        <v>39</v>
      </c>
      <c r="F42" s="586"/>
      <c r="G42" s="235"/>
      <c r="H42" s="586" t="s">
        <v>155</v>
      </c>
      <c r="I42" s="586" t="s">
        <v>39</v>
      </c>
      <c r="J42" s="586"/>
      <c r="K42" s="235"/>
      <c r="L42" s="586" t="s">
        <v>155</v>
      </c>
      <c r="M42" s="586" t="s">
        <v>39</v>
      </c>
      <c r="N42" s="220"/>
      <c r="O42" s="1834"/>
      <c r="P42" s="1837"/>
      <c r="Q42" s="198"/>
      <c r="R42" s="198"/>
      <c r="S42" s="198"/>
      <c r="T42" s="879"/>
      <c r="U42" s="222"/>
      <c r="V42" s="663"/>
      <c r="W42" s="538"/>
      <c r="X42" s="538"/>
      <c r="Y42" s="538"/>
      <c r="Z42" s="663"/>
      <c r="AA42" s="663"/>
      <c r="AB42" s="663"/>
      <c r="AC42" s="663"/>
      <c r="AD42" s="663"/>
      <c r="AE42" s="663"/>
      <c r="AF42" s="663"/>
      <c r="AG42" s="663"/>
      <c r="AH42" s="663"/>
      <c r="AI42" s="663"/>
      <c r="AJ42" s="663"/>
      <c r="AK42" s="203"/>
      <c r="AL42" s="538"/>
      <c r="AM42" s="538"/>
      <c r="AN42" s="538"/>
      <c r="AO42" s="663"/>
      <c r="AP42" s="663"/>
      <c r="AQ42" s="663"/>
      <c r="AR42" s="663"/>
      <c r="AS42" s="663"/>
      <c r="AT42" s="663"/>
      <c r="AU42" s="663"/>
      <c r="AV42" s="663"/>
      <c r="AW42" s="663"/>
      <c r="AX42" s="663"/>
      <c r="AY42" s="663"/>
      <c r="AZ42" s="658"/>
      <c r="BA42" s="538"/>
      <c r="BB42" s="538"/>
      <c r="BC42" s="538"/>
      <c r="BD42" s="663"/>
      <c r="BE42" s="663"/>
      <c r="BF42" s="663"/>
      <c r="BG42" s="663"/>
      <c r="BH42" s="663"/>
      <c r="BI42" s="663"/>
      <c r="BJ42" s="663"/>
      <c r="BK42" s="663"/>
      <c r="BL42" s="663"/>
      <c r="BM42" s="663"/>
      <c r="BN42" s="663"/>
      <c r="BO42" s="658"/>
      <c r="BP42" s="663"/>
      <c r="BQ42" s="538"/>
      <c r="BR42" s="538"/>
      <c r="BS42" s="538"/>
      <c r="BT42" s="663"/>
      <c r="BU42" s="663"/>
      <c r="BV42" s="663"/>
      <c r="BW42" s="663"/>
      <c r="BX42" s="663"/>
      <c r="BY42" s="663"/>
      <c r="BZ42" s="663"/>
      <c r="CA42" s="663"/>
      <c r="CB42" s="663"/>
      <c r="CC42" s="663"/>
      <c r="CD42" s="663"/>
      <c r="CE42" s="1751"/>
      <c r="CF42" s="538"/>
      <c r="CG42" s="538"/>
      <c r="CH42" s="538"/>
      <c r="CI42" s="663"/>
      <c r="CJ42" s="663"/>
      <c r="CK42" s="663"/>
      <c r="CL42" s="663"/>
      <c r="CM42" s="663"/>
      <c r="CN42" s="663"/>
      <c r="CO42" s="663"/>
      <c r="CP42" s="663"/>
      <c r="CQ42" s="663"/>
      <c r="CR42" s="663"/>
      <c r="CS42" s="663"/>
      <c r="CT42" s="1751"/>
      <c r="CU42" s="538"/>
      <c r="CV42" s="538"/>
      <c r="CW42" s="538"/>
      <c r="CX42" s="663"/>
      <c r="CY42" s="663"/>
      <c r="CZ42" s="663"/>
      <c r="DA42" s="663"/>
      <c r="DB42" s="663"/>
      <c r="DC42" s="663"/>
      <c r="DD42" s="663"/>
      <c r="DE42" s="663"/>
      <c r="DF42" s="663"/>
      <c r="DG42" s="663"/>
      <c r="DH42" s="663"/>
      <c r="DI42" s="1751"/>
      <c r="DJ42" s="1751"/>
      <c r="DK42" s="663"/>
      <c r="DL42" s="1017"/>
      <c r="DM42" s="235"/>
      <c r="DN42" s="235"/>
      <c r="DO42" s="235"/>
      <c r="DP42" s="1050"/>
      <c r="DQ42" s="235"/>
      <c r="DR42" s="235"/>
      <c r="DS42" s="235"/>
      <c r="DT42" s="1050"/>
      <c r="DU42" s="235"/>
      <c r="DV42" s="235"/>
      <c r="DW42" s="235"/>
      <c r="DX42" s="198"/>
      <c r="DY42" s="235"/>
      <c r="DZ42" s="235"/>
      <c r="EA42" s="203"/>
      <c r="EB42" s="3526"/>
      <c r="EC42" s="3526"/>
      <c r="ED42" s="1626"/>
      <c r="EE42" s="1626"/>
      <c r="EF42" s="1626"/>
      <c r="EG42" s="235"/>
      <c r="EH42" s="3563"/>
      <c r="EI42" s="235"/>
      <c r="EJ42" s="422"/>
      <c r="EK42" s="422"/>
      <c r="EL42" s="422"/>
      <c r="EM42" s="422"/>
      <c r="EN42" s="422"/>
      <c r="EO42" s="422"/>
      <c r="EP42" s="422"/>
      <c r="EQ42" s="422"/>
      <c r="ER42" s="422"/>
      <c r="ES42" s="422"/>
      <c r="ET42" s="422"/>
      <c r="EU42" s="422"/>
      <c r="EV42" s="2665"/>
      <c r="EW42" s="266" t="s">
        <v>4089</v>
      </c>
      <c r="EX42" s="1525"/>
      <c r="EY42" s="1525"/>
      <c r="EZ42" s="521"/>
      <c r="FA42" s="3563"/>
      <c r="FB42" s="3563"/>
      <c r="FC42" s="419"/>
      <c r="FD42" s="419"/>
      <c r="FE42" s="419"/>
      <c r="FF42" s="422"/>
      <c r="FG42" s="198"/>
      <c r="FH42" s="235"/>
      <c r="FI42" s="235"/>
      <c r="FJ42" s="420"/>
      <c r="FK42" s="1162"/>
      <c r="FL42" s="1162"/>
      <c r="FM42" s="1162"/>
      <c r="FN42" s="1162"/>
      <c r="FO42" s="1162"/>
      <c r="FP42" s="1620"/>
      <c r="FQ42" s="1620"/>
      <c r="FR42" s="1620"/>
      <c r="FS42" s="235"/>
      <c r="FT42" s="235"/>
      <c r="FU42" s="235"/>
      <c r="FV42" s="235"/>
      <c r="FW42" s="235"/>
      <c r="FX42" s="235"/>
      <c r="FY42" s="235"/>
      <c r="FZ42" s="235"/>
      <c r="GA42" s="235"/>
      <c r="GB42" s="235"/>
      <c r="GC42" s="235"/>
      <c r="GD42" s="235"/>
      <c r="GE42" s="235"/>
      <c r="GF42" s="3526"/>
      <c r="GG42" s="808"/>
      <c r="GH42" s="808"/>
      <c r="GI42" s="1540"/>
      <c r="GJ42" s="1711"/>
      <c r="GK42" s="1711"/>
      <c r="GL42" s="688"/>
      <c r="GM42" s="1841"/>
      <c r="GN42" s="1841"/>
      <c r="GO42" s="1841"/>
      <c r="GP42" s="1521"/>
      <c r="GQ42" s="688"/>
      <c r="GR42" s="690"/>
      <c r="GS42" s="3546"/>
      <c r="GT42" s="690"/>
      <c r="GU42" s="3526"/>
      <c r="GV42" s="3526"/>
      <c r="GW42" s="235"/>
      <c r="GX42" s="198"/>
      <c r="GY42" s="764"/>
      <c r="GZ42" s="245"/>
      <c r="HA42" s="1156" t="s">
        <v>117</v>
      </c>
      <c r="HB42" s="17"/>
      <c r="HC42" s="17"/>
      <c r="HD42" s="17"/>
      <c r="HE42" s="246"/>
      <c r="HF42" s="246"/>
      <c r="HG42" s="250" t="str">
        <f>IF($HI$21="F","Revenue","Price")</f>
        <v>Price</v>
      </c>
      <c r="HH42" s="3587" t="s">
        <v>39</v>
      </c>
      <c r="HI42" s="3587"/>
      <c r="HJ42" s="449" t="str">
        <f>"GM ("&amp;$HI$17&amp;")"</f>
        <v>GM (GBP)</v>
      </c>
      <c r="HK42" s="454"/>
      <c r="HL42" s="466"/>
      <c r="HM42" s="449"/>
      <c r="HN42" s="247"/>
      <c r="HO42" s="764"/>
      <c r="HP42" s="764"/>
      <c r="HQ42" s="764"/>
      <c r="HR42" s="764"/>
      <c r="HS42" s="1975"/>
      <c r="HT42" s="764"/>
      <c r="HU42" s="764"/>
      <c r="HV42" s="1975"/>
      <c r="HW42" s="764"/>
      <c r="HX42" s="2006"/>
      <c r="HY42" s="2006"/>
      <c r="HZ42" s="1974"/>
      <c r="IA42" s="1974"/>
      <c r="IB42" s="1974"/>
      <c r="IC42" s="1974"/>
      <c r="ID42" s="764"/>
      <c r="IE42" s="764"/>
      <c r="IF42" s="764"/>
      <c r="IG42" s="764"/>
      <c r="IH42" s="764"/>
      <c r="II42" s="764"/>
      <c r="IJ42" s="764"/>
      <c r="IK42" s="764"/>
      <c r="IL42" s="764"/>
      <c r="IM42" s="764"/>
      <c r="IN42" s="764"/>
      <c r="IO42" s="764"/>
      <c r="IP42" s="764"/>
      <c r="IQ42" s="764"/>
      <c r="IR42" s="764"/>
      <c r="IS42" s="764"/>
      <c r="IT42" s="764"/>
      <c r="IU42" s="764"/>
      <c r="IV42" s="764"/>
      <c r="IW42" s="764"/>
      <c r="IX42" s="764"/>
      <c r="IY42" s="2019"/>
      <c r="IZ42" s="1974"/>
      <c r="JA42" s="1974"/>
      <c r="JB42" s="1974"/>
      <c r="JC42" s="1976"/>
      <c r="JD42" s="1976"/>
      <c r="JE42" s="1976"/>
      <c r="JF42" s="764"/>
      <c r="JG42" s="764"/>
      <c r="JH42" s="764"/>
      <c r="JI42" s="764"/>
      <c r="JJ42" s="764"/>
      <c r="JK42" s="764"/>
      <c r="JL42" s="764"/>
      <c r="JM42" s="764"/>
      <c r="JN42" s="764"/>
      <c r="JO42" s="764"/>
      <c r="JP42" s="764"/>
      <c r="JQ42" s="764"/>
      <c r="JR42" s="764"/>
      <c r="JS42" s="764"/>
      <c r="JT42" s="764"/>
      <c r="JU42" s="764"/>
      <c r="JV42" s="764"/>
      <c r="JW42" s="764"/>
      <c r="JX42" s="764"/>
      <c r="JY42" s="764"/>
      <c r="JZ42" s="764"/>
      <c r="KA42" s="764"/>
      <c r="KB42" s="764"/>
      <c r="KC42" s="764"/>
      <c r="KD42" s="764"/>
      <c r="KE42" s="764"/>
      <c r="KF42" s="764"/>
      <c r="KG42" s="764"/>
      <c r="KH42" s="764"/>
      <c r="KI42" s="764"/>
      <c r="KJ42" s="764"/>
      <c r="KK42" s="764"/>
      <c r="KL42" s="764"/>
      <c r="KM42" s="764"/>
      <c r="KN42" s="764"/>
      <c r="KO42" s="764"/>
      <c r="KP42" s="764"/>
      <c r="KQ42" s="764"/>
      <c r="KR42" s="764"/>
      <c r="KS42" s="764"/>
      <c r="KT42" s="764"/>
      <c r="KU42" s="764"/>
      <c r="KV42" s="764"/>
      <c r="KW42" s="764"/>
      <c r="KX42" s="764"/>
      <c r="KY42" s="764"/>
      <c r="KZ42" s="764"/>
      <c r="LA42" s="764"/>
      <c r="LB42" s="764"/>
      <c r="LC42" s="764"/>
      <c r="LD42" s="764"/>
      <c r="LE42" s="764"/>
      <c r="LF42" s="764"/>
      <c r="LG42" s="764"/>
      <c r="LH42" s="764"/>
      <c r="LI42" s="764"/>
      <c r="LJ42" s="764"/>
      <c r="LK42" s="764"/>
      <c r="LL42" s="764"/>
      <c r="LM42" s="764"/>
      <c r="LN42" s="764"/>
      <c r="LO42" s="764"/>
      <c r="LP42" s="1975"/>
      <c r="LQ42" s="1975"/>
      <c r="LR42" s="1975"/>
      <c r="LS42" s="1975"/>
      <c r="LT42" s="1975"/>
      <c r="LU42" s="1975"/>
      <c r="LV42" s="1975"/>
      <c r="LW42" s="1975"/>
      <c r="LX42" s="1975"/>
      <c r="LY42" s="1975"/>
      <c r="LZ42" s="1975"/>
      <c r="MA42" s="1975"/>
      <c r="MB42" s="1975"/>
      <c r="MC42" s="1975"/>
      <c r="MD42" s="1975"/>
      <c r="ME42" s="1975"/>
      <c r="MF42" s="1975"/>
      <c r="MG42" s="1975"/>
      <c r="MH42" s="1975"/>
      <c r="MI42" s="1975"/>
      <c r="MJ42" s="1975"/>
      <c r="MK42" s="1975"/>
      <c r="ML42" s="1975"/>
      <c r="MM42" s="1975"/>
      <c r="MN42" s="1975"/>
      <c r="MO42" s="1975"/>
      <c r="MP42" s="1975"/>
      <c r="MQ42" s="1975"/>
      <c r="MR42" s="1975"/>
      <c r="MS42" s="1975"/>
      <c r="MT42" s="1975"/>
      <c r="MU42" s="1975"/>
      <c r="MV42" s="1975"/>
      <c r="MW42" s="1975"/>
      <c r="MX42" s="1975"/>
      <c r="MY42" s="1975"/>
      <c r="MZ42" s="1975"/>
      <c r="NA42" s="1975"/>
      <c r="NB42" s="1975"/>
      <c r="NC42" s="1975"/>
      <c r="ND42" s="1975"/>
      <c r="NE42" s="1975"/>
      <c r="NF42" s="1975"/>
      <c r="NG42" s="1975"/>
      <c r="NH42" s="1975"/>
      <c r="NI42" s="1975"/>
    </row>
    <row r="43" spans="1:373" ht="20.100000000000001" customHeight="1" thickBot="1" x14ac:dyDescent="0.35">
      <c r="A43" s="235"/>
      <c r="B43" s="235"/>
      <c r="C43" s="235"/>
      <c r="D43" s="314">
        <f>SUM(D45:D55)</f>
        <v>5370</v>
      </c>
      <c r="E43" s="314">
        <f>SUM(E45:E55)</f>
        <v>5370</v>
      </c>
      <c r="F43" s="586"/>
      <c r="G43" s="235"/>
      <c r="H43" s="314">
        <f>SUM(H45:H55)</f>
        <v>0</v>
      </c>
      <c r="I43" s="314">
        <f>SUM(I45:I55)</f>
        <v>0</v>
      </c>
      <c r="J43" s="586"/>
      <c r="K43" s="235"/>
      <c r="L43" s="314">
        <f>SUM(L45:L55)</f>
        <v>5370</v>
      </c>
      <c r="M43" s="314">
        <f>SUM(M45:M55)</f>
        <v>5370</v>
      </c>
      <c r="N43" s="220"/>
      <c r="O43" s="1834"/>
      <c r="P43" s="1837"/>
      <c r="Q43" s="198"/>
      <c r="R43" s="198"/>
      <c r="S43" s="198"/>
      <c r="T43" s="879"/>
      <c r="U43" s="222"/>
      <c r="V43" s="663"/>
      <c r="W43" s="538"/>
      <c r="X43" s="538"/>
      <c r="Y43" s="538"/>
      <c r="Z43" s="663"/>
      <c r="AA43" s="663"/>
      <c r="AB43" s="663"/>
      <c r="AC43" s="663"/>
      <c r="AD43" s="663"/>
      <c r="AE43" s="663"/>
      <c r="AF43" s="663"/>
      <c r="AG43" s="663"/>
      <c r="AH43" s="663"/>
      <c r="AI43" s="663"/>
      <c r="AJ43" s="663"/>
      <c r="AK43" s="203"/>
      <c r="AL43" s="538"/>
      <c r="AM43" s="538"/>
      <c r="AN43" s="538"/>
      <c r="AO43" s="663"/>
      <c r="AP43" s="663"/>
      <c r="AQ43" s="663"/>
      <c r="AR43" s="663"/>
      <c r="AS43" s="663"/>
      <c r="AT43" s="663"/>
      <c r="AU43" s="663"/>
      <c r="AV43" s="663"/>
      <c r="AW43" s="663"/>
      <c r="AX43" s="663"/>
      <c r="AY43" s="663"/>
      <c r="AZ43" s="658"/>
      <c r="BA43" s="538"/>
      <c r="BB43" s="538"/>
      <c r="BC43" s="538"/>
      <c r="BD43" s="663"/>
      <c r="BE43" s="663"/>
      <c r="BF43" s="663"/>
      <c r="BG43" s="663"/>
      <c r="BH43" s="663"/>
      <c r="BI43" s="663"/>
      <c r="BJ43" s="663"/>
      <c r="BK43" s="663"/>
      <c r="BL43" s="663"/>
      <c r="BM43" s="663"/>
      <c r="BN43" s="663"/>
      <c r="BO43" s="658"/>
      <c r="BP43" s="663"/>
      <c r="BQ43" s="538"/>
      <c r="BR43" s="538"/>
      <c r="BS43" s="538"/>
      <c r="BT43" s="663"/>
      <c r="BU43" s="663"/>
      <c r="BV43" s="663"/>
      <c r="BW43" s="663"/>
      <c r="BX43" s="663"/>
      <c r="BY43" s="663"/>
      <c r="BZ43" s="663"/>
      <c r="CA43" s="663"/>
      <c r="CB43" s="663"/>
      <c r="CC43" s="663"/>
      <c r="CD43" s="663"/>
      <c r="CE43" s="1751"/>
      <c r="CF43" s="538"/>
      <c r="CG43" s="538"/>
      <c r="CH43" s="538"/>
      <c r="CI43" s="663"/>
      <c r="CJ43" s="663"/>
      <c r="CK43" s="663"/>
      <c r="CL43" s="663"/>
      <c r="CM43" s="663"/>
      <c r="CN43" s="663"/>
      <c r="CO43" s="663"/>
      <c r="CP43" s="663"/>
      <c r="CQ43" s="663"/>
      <c r="CR43" s="663"/>
      <c r="CS43" s="663"/>
      <c r="CT43" s="1751"/>
      <c r="CU43" s="538"/>
      <c r="CV43" s="538"/>
      <c r="CW43" s="538"/>
      <c r="CX43" s="663"/>
      <c r="CY43" s="663"/>
      <c r="CZ43" s="663"/>
      <c r="DA43" s="663"/>
      <c r="DB43" s="663"/>
      <c r="DC43" s="663"/>
      <c r="DD43" s="663"/>
      <c r="DE43" s="663"/>
      <c r="DF43" s="663"/>
      <c r="DG43" s="663"/>
      <c r="DH43" s="663"/>
      <c r="DI43" s="1751"/>
      <c r="DJ43" s="1751"/>
      <c r="DK43" s="663"/>
      <c r="DL43" s="1017"/>
      <c r="DM43" s="235"/>
      <c r="DN43" s="235"/>
      <c r="DO43" s="235"/>
      <c r="DP43" s="1050"/>
      <c r="DQ43" s="235"/>
      <c r="DR43" s="235"/>
      <c r="DS43" s="235"/>
      <c r="DT43" s="1050"/>
      <c r="DU43" s="235"/>
      <c r="DV43" s="1933" t="s">
        <v>2829</v>
      </c>
      <c r="DW43" s="314">
        <f>SUMIFS($DW$64:$DW$114,$GL$64:$GL$114,1)</f>
        <v>24594.5291</v>
      </c>
      <c r="DX43" s="198"/>
      <c r="DY43" s="235"/>
      <c r="DZ43" s="235"/>
      <c r="EA43" s="203"/>
      <c r="EB43" s="3526"/>
      <c r="EC43" s="3526"/>
      <c r="ED43" s="1626"/>
      <c r="EE43" s="1626"/>
      <c r="EF43" s="1626"/>
      <c r="EG43" s="235"/>
      <c r="EH43" s="3563"/>
      <c r="EI43" s="235"/>
      <c r="EJ43" s="422"/>
      <c r="EK43" s="422"/>
      <c r="EL43" s="422"/>
      <c r="EM43" s="422"/>
      <c r="EN43" s="422"/>
      <c r="EO43" s="422"/>
      <c r="EP43" s="422"/>
      <c r="EQ43" s="422"/>
      <c r="ER43" s="422"/>
      <c r="ES43" s="422"/>
      <c r="ET43" s="422"/>
      <c r="EU43" s="422"/>
      <c r="EV43" s="2665"/>
      <c r="EW43" s="266" t="s">
        <v>2894</v>
      </c>
      <c r="EX43" s="1525"/>
      <c r="EY43" s="1525"/>
      <c r="EZ43" s="521"/>
      <c r="FA43" s="3563"/>
      <c r="FB43" s="3563"/>
      <c r="FC43" s="419"/>
      <c r="FD43" s="419"/>
      <c r="FE43" s="419"/>
      <c r="FF43" s="422"/>
      <c r="FG43" s="198"/>
      <c r="FH43" s="235"/>
      <c r="FI43" s="235"/>
      <c r="FJ43" s="420"/>
      <c r="FK43" s="1162"/>
      <c r="FL43" s="1162"/>
      <c r="FM43" s="1162"/>
      <c r="FN43" s="1162"/>
      <c r="FO43" s="1162"/>
      <c r="FP43" s="1620"/>
      <c r="FQ43" s="1620"/>
      <c r="FR43" s="1620"/>
      <c r="FS43" s="235"/>
      <c r="FT43" s="235"/>
      <c r="FU43" s="235"/>
      <c r="FV43" s="235"/>
      <c r="FW43" s="235"/>
      <c r="FX43" s="235"/>
      <c r="FY43" s="235"/>
      <c r="FZ43" s="235"/>
      <c r="GA43" s="235"/>
      <c r="GB43" s="235"/>
      <c r="GC43" s="235"/>
      <c r="GD43" s="235"/>
      <c r="GE43" s="235"/>
      <c r="GF43" s="3526"/>
      <c r="GG43" s="808"/>
      <c r="GH43" s="808"/>
      <c r="GI43" s="1540"/>
      <c r="GJ43" s="1711"/>
      <c r="GK43" s="1711"/>
      <c r="GL43" s="688"/>
      <c r="GM43" s="1841"/>
      <c r="GN43" s="1841"/>
      <c r="GO43" s="1841"/>
      <c r="GP43" s="1521"/>
      <c r="GQ43" s="688"/>
      <c r="GR43" s="690"/>
      <c r="GS43" s="3546"/>
      <c r="GT43" s="690"/>
      <c r="GU43" s="3526"/>
      <c r="GV43" s="3526"/>
      <c r="GW43" s="235"/>
      <c r="GX43" s="198"/>
      <c r="GY43" s="764"/>
      <c r="GZ43" s="245"/>
      <c r="HA43" s="17" t="s">
        <v>1079</v>
      </c>
      <c r="HB43" s="17" t="s">
        <v>16</v>
      </c>
      <c r="HC43" s="27"/>
      <c r="HD43" s="27"/>
      <c r="HE43" s="246"/>
      <c r="HF43" s="246"/>
      <c r="HG43" s="511">
        <f>IFERROR(SUM(HG45:HG55),0)</f>
        <v>5370</v>
      </c>
      <c r="HH43" s="3611">
        <f>IFERROR(SUM(HH45:HH55),0)</f>
        <v>5370</v>
      </c>
      <c r="HI43" s="3612"/>
      <c r="HJ43" s="514">
        <f>IFERROR(SUM(HJ45:HJ55),0)</f>
        <v>0</v>
      </c>
      <c r="HK43" s="3599" t="s">
        <v>314</v>
      </c>
      <c r="HL43" s="3599"/>
      <c r="HM43" s="449"/>
      <c r="HN43" s="247"/>
      <c r="HO43" s="764"/>
      <c r="HP43" s="764"/>
      <c r="HQ43" s="764"/>
      <c r="HR43" s="764"/>
      <c r="HS43" s="1975"/>
      <c r="HT43" s="764"/>
      <c r="HU43" s="764"/>
      <c r="HV43" s="1975"/>
      <c r="HW43" s="764"/>
      <c r="HX43" s="2023"/>
      <c r="HY43" s="2023"/>
      <c r="HZ43" s="1974"/>
      <c r="IA43" s="1974"/>
      <c r="IB43" s="1974"/>
      <c r="IC43" s="1974"/>
      <c r="ID43" s="764"/>
      <c r="IE43" s="764"/>
      <c r="IF43" s="764"/>
      <c r="IG43" s="764"/>
      <c r="IH43" s="764"/>
      <c r="II43" s="764"/>
      <c r="IJ43" s="764"/>
      <c r="IK43" s="764"/>
      <c r="IL43" s="764"/>
      <c r="IM43" s="764"/>
      <c r="IN43" s="764"/>
      <c r="IO43" s="764"/>
      <c r="IP43" s="764"/>
      <c r="IQ43" s="764"/>
      <c r="IR43" s="764"/>
      <c r="IS43" s="764"/>
      <c r="IT43" s="764"/>
      <c r="IU43" s="764"/>
      <c r="IV43" s="764"/>
      <c r="IW43" s="764"/>
      <c r="IX43" s="764"/>
      <c r="IY43" s="764"/>
      <c r="IZ43" s="1974"/>
      <c r="JA43" s="1974"/>
      <c r="JB43" s="1974"/>
      <c r="JC43" s="1977"/>
      <c r="JD43" s="1977"/>
      <c r="JE43" s="1977"/>
      <c r="JF43" s="1978"/>
      <c r="JG43" s="1978"/>
      <c r="JH43" s="764"/>
      <c r="JI43" s="764"/>
      <c r="JJ43" s="764"/>
      <c r="JK43" s="764"/>
      <c r="JL43" s="764"/>
      <c r="JM43" s="764"/>
      <c r="JN43" s="764"/>
      <c r="JO43" s="764"/>
      <c r="JP43" s="764"/>
      <c r="JQ43" s="764"/>
      <c r="JR43" s="764"/>
      <c r="JS43" s="764"/>
      <c r="JT43" s="764"/>
      <c r="JU43" s="764"/>
      <c r="JV43" s="764"/>
      <c r="JW43" s="764"/>
      <c r="JX43" s="764"/>
      <c r="JY43" s="764"/>
      <c r="JZ43" s="764"/>
      <c r="KA43" s="764"/>
      <c r="KB43" s="764"/>
      <c r="KC43" s="764"/>
      <c r="KD43" s="764"/>
      <c r="KE43" s="764"/>
      <c r="KF43" s="764"/>
      <c r="KG43" s="764"/>
      <c r="KH43" s="764"/>
      <c r="KI43" s="764"/>
      <c r="KJ43" s="764"/>
      <c r="KK43" s="764"/>
      <c r="KL43" s="764"/>
      <c r="KM43" s="764"/>
      <c r="KN43" s="764"/>
      <c r="KO43" s="764"/>
      <c r="KP43" s="764"/>
      <c r="KQ43" s="764"/>
      <c r="KR43" s="764"/>
      <c r="KS43" s="764"/>
      <c r="KT43" s="764"/>
      <c r="KU43" s="764"/>
      <c r="KV43" s="764"/>
      <c r="KW43" s="764"/>
      <c r="KX43" s="764"/>
      <c r="KY43" s="764"/>
      <c r="KZ43" s="764"/>
      <c r="LA43" s="764"/>
      <c r="LB43" s="764"/>
      <c r="LC43" s="764"/>
      <c r="LD43" s="764"/>
      <c r="LE43" s="764"/>
      <c r="LF43" s="764"/>
      <c r="LG43" s="764"/>
      <c r="LH43" s="764"/>
      <c r="LI43" s="764"/>
      <c r="LJ43" s="764"/>
      <c r="LK43" s="764"/>
      <c r="LL43" s="764"/>
      <c r="LM43" s="764"/>
      <c r="LN43" s="764"/>
      <c r="LO43" s="764"/>
      <c r="LP43" s="1975"/>
      <c r="LQ43" s="1975"/>
      <c r="LR43" s="1975"/>
      <c r="LS43" s="1975"/>
      <c r="LT43" s="1975"/>
      <c r="LU43" s="1975"/>
      <c r="LV43" s="1975"/>
      <c r="LW43" s="1975"/>
      <c r="LX43" s="1975"/>
      <c r="LY43" s="1975"/>
      <c r="LZ43" s="1975"/>
      <c r="MA43" s="1975"/>
      <c r="MB43" s="1975"/>
      <c r="MC43" s="1975"/>
      <c r="MD43" s="1975"/>
      <c r="ME43" s="1975"/>
      <c r="MF43" s="1975"/>
      <c r="MG43" s="1975"/>
      <c r="MH43" s="1975"/>
      <c r="MI43" s="1975"/>
      <c r="MJ43" s="1975"/>
      <c r="MK43" s="1975"/>
      <c r="ML43" s="1975"/>
      <c r="MM43" s="1975"/>
      <c r="MN43" s="1975"/>
      <c r="MO43" s="1975"/>
      <c r="MP43" s="1975"/>
      <c r="MQ43" s="1975"/>
      <c r="MR43" s="1975"/>
      <c r="MS43" s="1975"/>
      <c r="MT43" s="1975"/>
      <c r="MU43" s="1975"/>
      <c r="MV43" s="1975"/>
      <c r="MW43" s="1975"/>
      <c r="MX43" s="1975"/>
      <c r="MY43" s="1975"/>
      <c r="MZ43" s="1975"/>
      <c r="NA43" s="1975"/>
      <c r="NB43" s="1975"/>
      <c r="NC43" s="1975"/>
      <c r="ND43" s="1975"/>
      <c r="NE43" s="1975"/>
      <c r="NF43" s="1975"/>
      <c r="NG43" s="1975"/>
      <c r="NH43" s="1975"/>
      <c r="NI43" s="1975"/>
    </row>
    <row r="44" spans="1:373" ht="3.9" customHeight="1" x14ac:dyDescent="0.3">
      <c r="A44" s="235"/>
      <c r="B44" s="235"/>
      <c r="C44" s="235"/>
      <c r="D44" s="658"/>
      <c r="E44" s="658"/>
      <c r="F44" s="586"/>
      <c r="G44" s="235"/>
      <c r="H44" s="658"/>
      <c r="I44" s="658"/>
      <c r="J44" s="586"/>
      <c r="K44" s="235"/>
      <c r="L44" s="220"/>
      <c r="M44" s="220"/>
      <c r="N44" s="220"/>
      <c r="O44" s="1834"/>
      <c r="P44" s="1837"/>
      <c r="Q44" s="198"/>
      <c r="R44" s="198"/>
      <c r="S44" s="198"/>
      <c r="T44" s="879"/>
      <c r="U44" s="222"/>
      <c r="V44" s="663"/>
      <c r="W44" s="538"/>
      <c r="X44" s="538"/>
      <c r="Y44" s="538"/>
      <c r="Z44" s="663"/>
      <c r="AA44" s="663"/>
      <c r="AB44" s="663"/>
      <c r="AC44" s="663"/>
      <c r="AD44" s="663"/>
      <c r="AE44" s="663"/>
      <c r="AF44" s="663"/>
      <c r="AG44" s="663"/>
      <c r="AH44" s="663"/>
      <c r="AI44" s="663"/>
      <c r="AJ44" s="663"/>
      <c r="AK44" s="203"/>
      <c r="AL44" s="538"/>
      <c r="AM44" s="538"/>
      <c r="AN44" s="538"/>
      <c r="AO44" s="663"/>
      <c r="AP44" s="663"/>
      <c r="AQ44" s="663"/>
      <c r="AR44" s="663"/>
      <c r="AS44" s="663"/>
      <c r="AT44" s="663"/>
      <c r="AU44" s="663"/>
      <c r="AV44" s="663"/>
      <c r="AW44" s="663"/>
      <c r="AX44" s="663"/>
      <c r="AY44" s="663"/>
      <c r="AZ44" s="658"/>
      <c r="BA44" s="538"/>
      <c r="BB44" s="538"/>
      <c r="BC44" s="538"/>
      <c r="BD44" s="663"/>
      <c r="BE44" s="663"/>
      <c r="BF44" s="663"/>
      <c r="BG44" s="663"/>
      <c r="BH44" s="663"/>
      <c r="BI44" s="663"/>
      <c r="BJ44" s="663"/>
      <c r="BK44" s="663"/>
      <c r="BL44" s="663"/>
      <c r="BM44" s="663"/>
      <c r="BN44" s="663"/>
      <c r="BO44" s="658"/>
      <c r="BP44" s="663"/>
      <c r="BQ44" s="538"/>
      <c r="BR44" s="538"/>
      <c r="BS44" s="538"/>
      <c r="BT44" s="663"/>
      <c r="BU44" s="663"/>
      <c r="BV44" s="663"/>
      <c r="BW44" s="663"/>
      <c r="BX44" s="663"/>
      <c r="BY44" s="663"/>
      <c r="BZ44" s="663"/>
      <c r="CA44" s="663"/>
      <c r="CB44" s="663"/>
      <c r="CC44" s="663"/>
      <c r="CD44" s="663"/>
      <c r="CE44" s="1751"/>
      <c r="CF44" s="538"/>
      <c r="CG44" s="538"/>
      <c r="CH44" s="538"/>
      <c r="CI44" s="663"/>
      <c r="CJ44" s="663"/>
      <c r="CK44" s="663"/>
      <c r="CL44" s="663"/>
      <c r="CM44" s="663"/>
      <c r="CN44" s="663"/>
      <c r="CO44" s="663"/>
      <c r="CP44" s="663"/>
      <c r="CQ44" s="663"/>
      <c r="CR44" s="663"/>
      <c r="CS44" s="663"/>
      <c r="CT44" s="1751"/>
      <c r="CU44" s="538"/>
      <c r="CV44" s="538"/>
      <c r="CW44" s="538"/>
      <c r="CX44" s="663"/>
      <c r="CY44" s="663"/>
      <c r="CZ44" s="663"/>
      <c r="DA44" s="663"/>
      <c r="DB44" s="663"/>
      <c r="DC44" s="663"/>
      <c r="DD44" s="663"/>
      <c r="DE44" s="663"/>
      <c r="DF44" s="663"/>
      <c r="DG44" s="663"/>
      <c r="DH44" s="663"/>
      <c r="DI44" s="1751"/>
      <c r="DJ44" s="1751"/>
      <c r="DK44" s="663"/>
      <c r="DL44" s="1017"/>
      <c r="DM44" s="235"/>
      <c r="DN44" s="235"/>
      <c r="DO44" s="235"/>
      <c r="DP44" s="1050"/>
      <c r="DQ44" s="235"/>
      <c r="DR44" s="235"/>
      <c r="DS44" s="235"/>
      <c r="DT44" s="1050"/>
      <c r="DU44" s="235"/>
      <c r="DV44" s="235"/>
      <c r="DW44" s="235"/>
      <c r="DX44" s="198"/>
      <c r="DY44" s="235"/>
      <c r="DZ44" s="235"/>
      <c r="EA44" s="203"/>
      <c r="EB44" s="3526"/>
      <c r="EC44" s="3526"/>
      <c r="ED44" s="1626"/>
      <c r="EE44" s="1626"/>
      <c r="EF44" s="1626"/>
      <c r="EG44" s="235"/>
      <c r="EH44" s="3563"/>
      <c r="EI44" s="235"/>
      <c r="EJ44" s="422"/>
      <c r="EK44" s="422"/>
      <c r="EL44" s="422"/>
      <c r="EM44" s="422"/>
      <c r="EN44" s="422"/>
      <c r="EO44" s="422"/>
      <c r="EP44" s="422"/>
      <c r="EQ44" s="422"/>
      <c r="ER44" s="422"/>
      <c r="ES44" s="422"/>
      <c r="ET44" s="422"/>
      <c r="EU44" s="422"/>
      <c r="EV44" s="2665"/>
      <c r="EW44" s="235"/>
      <c r="EX44" s="1525"/>
      <c r="EY44" s="1525"/>
      <c r="EZ44" s="521"/>
      <c r="FA44" s="3563"/>
      <c r="FB44" s="3563"/>
      <c r="FC44" s="419"/>
      <c r="FD44" s="419"/>
      <c r="FE44" s="419"/>
      <c r="FF44" s="422"/>
      <c r="FG44" s="198"/>
      <c r="FH44" s="235"/>
      <c r="FI44" s="235"/>
      <c r="FJ44" s="420"/>
      <c r="FK44" s="1162"/>
      <c r="FL44" s="1162"/>
      <c r="FM44" s="1162"/>
      <c r="FN44" s="1162"/>
      <c r="FO44" s="1162"/>
      <c r="FP44" s="1620"/>
      <c r="FQ44" s="1620"/>
      <c r="FR44" s="1620"/>
      <c r="FS44" s="235"/>
      <c r="FT44" s="235"/>
      <c r="FU44" s="235"/>
      <c r="FV44" s="235"/>
      <c r="FW44" s="235"/>
      <c r="FX44" s="235"/>
      <c r="FY44" s="235"/>
      <c r="FZ44" s="235"/>
      <c r="GA44" s="235"/>
      <c r="GB44" s="235"/>
      <c r="GC44" s="235"/>
      <c r="GD44" s="235"/>
      <c r="GE44" s="235"/>
      <c r="GF44" s="3526"/>
      <c r="GG44" s="808"/>
      <c r="GH44" s="808"/>
      <c r="GI44" s="1540"/>
      <c r="GJ44" s="1711"/>
      <c r="GK44" s="1711"/>
      <c r="GL44" s="688"/>
      <c r="GM44" s="1841"/>
      <c r="GN44" s="1841"/>
      <c r="GO44" s="1841"/>
      <c r="GP44" s="1521"/>
      <c r="GQ44" s="688"/>
      <c r="GR44" s="690"/>
      <c r="GS44" s="3546"/>
      <c r="GT44" s="690"/>
      <c r="GU44" s="3526"/>
      <c r="GV44" s="3526"/>
      <c r="GW44" s="235"/>
      <c r="GX44" s="198"/>
      <c r="GY44" s="764"/>
      <c r="GZ44" s="245"/>
      <c r="HA44" s="17"/>
      <c r="HB44" s="17"/>
      <c r="HC44" s="17"/>
      <c r="HD44" s="17"/>
      <c r="HE44" s="252"/>
      <c r="HF44" s="252"/>
      <c r="HG44" s="506" t="s">
        <v>5</v>
      </c>
      <c r="HH44" s="506" t="s">
        <v>5</v>
      </c>
      <c r="HI44" s="506" t="s">
        <v>5</v>
      </c>
      <c r="HJ44" s="506" t="s">
        <v>5</v>
      </c>
      <c r="HK44" s="3599"/>
      <c r="HL44" s="3599"/>
      <c r="HM44" s="449"/>
      <c r="HN44" s="247"/>
      <c r="HO44" s="764"/>
      <c r="HP44" s="764"/>
      <c r="HQ44" s="764"/>
      <c r="HR44" s="764"/>
      <c r="HS44" s="1975"/>
      <c r="HT44" s="764"/>
      <c r="HU44" s="764"/>
      <c r="HV44" s="1975"/>
      <c r="HW44" s="1974"/>
      <c r="HX44" s="1974"/>
      <c r="HY44" s="1974"/>
      <c r="HZ44" s="1974"/>
      <c r="IA44" s="1974"/>
      <c r="IB44" s="1974"/>
      <c r="IC44" s="1974"/>
      <c r="ID44" s="764"/>
      <c r="IE44" s="764"/>
      <c r="IF44" s="764"/>
      <c r="IG44" s="764"/>
      <c r="IH44" s="764"/>
      <c r="II44" s="764"/>
      <c r="IJ44" s="764"/>
      <c r="IK44" s="764"/>
      <c r="IL44" s="764"/>
      <c r="IM44" s="764"/>
      <c r="IN44" s="764"/>
      <c r="IO44" s="764"/>
      <c r="IP44" s="764"/>
      <c r="IQ44" s="764"/>
      <c r="IR44" s="764"/>
      <c r="IS44" s="764"/>
      <c r="IT44" s="764"/>
      <c r="IU44" s="764"/>
      <c r="IV44" s="764"/>
      <c r="IW44" s="764"/>
      <c r="IX44" s="764"/>
      <c r="IY44" s="764"/>
      <c r="IZ44" s="1974"/>
      <c r="JA44" s="1974"/>
      <c r="JB44" s="1974"/>
      <c r="JC44" s="1978"/>
      <c r="JD44" s="1978"/>
      <c r="JE44" s="1978"/>
      <c r="JF44" s="1978"/>
      <c r="JG44" s="1978"/>
      <c r="JH44" s="764"/>
      <c r="JI44" s="764"/>
      <c r="JJ44" s="764"/>
      <c r="JK44" s="764"/>
      <c r="JL44" s="764"/>
      <c r="JM44" s="764"/>
      <c r="JN44" s="764"/>
      <c r="JO44" s="764"/>
      <c r="JP44" s="764"/>
      <c r="JQ44" s="764"/>
      <c r="JR44" s="764"/>
      <c r="JS44" s="764"/>
      <c r="JT44" s="764"/>
      <c r="JU44" s="764"/>
      <c r="JV44" s="764"/>
      <c r="JW44" s="764"/>
      <c r="JX44" s="764"/>
      <c r="JY44" s="764"/>
      <c r="JZ44" s="764"/>
      <c r="KA44" s="764"/>
      <c r="KB44" s="764"/>
      <c r="KC44" s="764"/>
      <c r="KD44" s="764"/>
      <c r="KE44" s="764"/>
      <c r="KF44" s="764"/>
      <c r="KG44" s="764"/>
      <c r="KH44" s="764"/>
      <c r="KI44" s="764"/>
      <c r="KJ44" s="764"/>
      <c r="KK44" s="764"/>
      <c r="KL44" s="764"/>
      <c r="KM44" s="764"/>
      <c r="KN44" s="764"/>
      <c r="KO44" s="764"/>
      <c r="KP44" s="764"/>
      <c r="KQ44" s="764"/>
      <c r="KR44" s="764"/>
      <c r="KS44" s="764"/>
      <c r="KT44" s="764"/>
      <c r="KU44" s="764"/>
      <c r="KV44" s="764"/>
      <c r="KW44" s="764"/>
      <c r="KX44" s="764"/>
      <c r="KY44" s="764"/>
      <c r="KZ44" s="764"/>
      <c r="LA44" s="764"/>
      <c r="LB44" s="764"/>
      <c r="LC44" s="764"/>
      <c r="LD44" s="764"/>
      <c r="LE44" s="764"/>
      <c r="LF44" s="764"/>
      <c r="LG44" s="764"/>
      <c r="LH44" s="764"/>
      <c r="LI44" s="764"/>
      <c r="LJ44" s="764"/>
      <c r="LK44" s="764"/>
      <c r="LL44" s="764"/>
      <c r="LM44" s="764"/>
      <c r="LN44" s="764"/>
      <c r="LO44" s="764"/>
      <c r="LP44" s="1975"/>
      <c r="LQ44" s="1975"/>
      <c r="LR44" s="1975"/>
      <c r="LS44" s="1975"/>
      <c r="LT44" s="1975"/>
      <c r="LU44" s="1975"/>
      <c r="LV44" s="1975"/>
      <c r="LW44" s="1975"/>
      <c r="LX44" s="1975"/>
      <c r="LY44" s="1975"/>
      <c r="LZ44" s="1975"/>
      <c r="MA44" s="1975"/>
      <c r="MB44" s="1975"/>
      <c r="MC44" s="1975"/>
      <c r="MD44" s="1975"/>
      <c r="ME44" s="1975"/>
      <c r="MF44" s="1975"/>
      <c r="MG44" s="1975"/>
      <c r="MH44" s="1975"/>
      <c r="MI44" s="1975"/>
      <c r="MJ44" s="1975"/>
      <c r="MK44" s="1975"/>
      <c r="ML44" s="1975"/>
      <c r="MM44" s="1975"/>
      <c r="MN44" s="1975"/>
      <c r="MO44" s="1975"/>
      <c r="MP44" s="1975"/>
      <c r="MQ44" s="1975"/>
      <c r="MR44" s="1975"/>
      <c r="MS44" s="1975"/>
      <c r="MT44" s="1975"/>
      <c r="MU44" s="1975"/>
      <c r="MV44" s="1975"/>
      <c r="MW44" s="1975"/>
      <c r="MX44" s="1975"/>
      <c r="MY44" s="1975"/>
      <c r="MZ44" s="1975"/>
      <c r="NA44" s="1975"/>
      <c r="NB44" s="1975"/>
      <c r="NC44" s="1975"/>
      <c r="ND44" s="1975"/>
      <c r="NE44" s="1975"/>
      <c r="NF44" s="1975"/>
      <c r="NG44" s="1975"/>
      <c r="NH44" s="1975"/>
      <c r="NI44" s="1975"/>
    </row>
    <row r="45" spans="1:373" ht="15.9" customHeight="1" x14ac:dyDescent="0.3">
      <c r="A45" s="235"/>
      <c r="B45" s="256" t="s">
        <v>631</v>
      </c>
      <c r="C45" s="236"/>
      <c r="D45" s="314">
        <f>SUMIFS('3b Activity Plan'!$AA$173:$AA$364,'3b Activity Plan'!$DC$173:$DC$364,"",'3b Activity Plan'!$CY$173:$CY$364,1,'3b Activity Plan'!$AH$173:$AH$364,1,'3b Activity Plan'!$CR$173:$CR$364,0)+SUMIFS('3b Activity Plan'!$AA$173:$AA$364,'3b Activity Plan'!$DC$173:$DC$364,B45,'3b Activity Plan'!$CY$173:$CY$364,1,'3b Activity Plan'!$AH$173:$AH$364,1,'3b Activity Plan'!$CR$173:$CR$364,0)-D25</f>
        <v>5370</v>
      </c>
      <c r="E45" s="314">
        <f>SUMIFS('3b Activity Plan'!$AB$173:$AB$364,'3b Activity Plan'!$DC$173:$DC$364,"",'3b Activity Plan'!$CY$173:$CY$364,1,'3b Activity Plan'!$CR$173:$CR$364,0)+SUMIFS('3b Activity Plan'!$AB$173:$AB$364,'3b Activity Plan'!$DC$173:$DC$364,B45,'3b Activity Plan'!$CY$173:$CY$364,1,'3b Activity Plan'!$CR$173:$CR$364,0)</f>
        <v>5370</v>
      </c>
      <c r="F45" s="586"/>
      <c r="G45" s="236"/>
      <c r="H45" s="314">
        <f>SUMIFS('3a Staff Plan'!$AA$129:$AA$305,'3a Staff Plan'!$DT$129:$DT$305,"",'3a Staff Plan'!$DF$129:$DF$305,1,'3a Staff Plan'!$AG$129:$AG$305,1,'3a Staff Plan'!$CY$129:$CY$305,0)+SUMIFS('3a Staff Plan'!$AA$129:$AA$305,'3a Staff Plan'!$DT$129:$DT$305,B45,'3a Staff Plan'!$DF$129:$DF$305,1,'3a Staff Plan'!$AG$129:$AG$305,1,'3a Staff Plan'!$CY$129:$CY$305,0)-H25</f>
        <v>0</v>
      </c>
      <c r="I45" s="314">
        <f>SUMIFS('3a Staff Plan'!$AB$129:$AB$305,'3a Staff Plan'!$DT$129:$DT$305,"",'3a Staff Plan'!$DF$129:$DF$305,1,'3a Staff Plan'!$CY$129:$CY$305,0)+SUMIFS('3a Staff Plan'!$AB$129:$AB$305,'3a Staff Plan'!$DT$129:$DT$305,B45,'3a Staff Plan'!$DF$129:$DF$305,1,'3a Staff Plan'!$CY$129:$CY$305,0)</f>
        <v>0</v>
      </c>
      <c r="J45" s="586"/>
      <c r="K45" s="236"/>
      <c r="L45" s="314">
        <f t="shared" ref="L45:L55" si="14">(D45*$V$51)+(H45*$AL$51)</f>
        <v>5370</v>
      </c>
      <c r="M45" s="314">
        <f t="shared" ref="M45:M55" si="15">(E45*$V$51)+(I45*$AL$51)</f>
        <v>5370</v>
      </c>
      <c r="N45" s="222"/>
      <c r="O45" s="1834"/>
      <c r="P45" s="1837"/>
      <c r="Q45" s="198"/>
      <c r="R45" s="198"/>
      <c r="S45" s="198"/>
      <c r="T45" s="879"/>
      <c r="U45" s="222"/>
      <c r="V45" s="663"/>
      <c r="W45" s="538"/>
      <c r="X45" s="538"/>
      <c r="Y45" s="538"/>
      <c r="Z45" s="663"/>
      <c r="AA45" s="663"/>
      <c r="AB45" s="663"/>
      <c r="AC45" s="663"/>
      <c r="AD45" s="663"/>
      <c r="AE45" s="663"/>
      <c r="AF45" s="663"/>
      <c r="AG45" s="663"/>
      <c r="AH45" s="663"/>
      <c r="AI45" s="663"/>
      <c r="AJ45" s="663"/>
      <c r="AK45" s="222"/>
      <c r="AL45" s="538"/>
      <c r="AM45" s="538"/>
      <c r="AN45" s="538"/>
      <c r="AO45" s="663"/>
      <c r="AP45" s="663"/>
      <c r="AQ45" s="663"/>
      <c r="AR45" s="663"/>
      <c r="AS45" s="663"/>
      <c r="AT45" s="663"/>
      <c r="AU45" s="663"/>
      <c r="AV45" s="663"/>
      <c r="AW45" s="663"/>
      <c r="AX45" s="663"/>
      <c r="AY45" s="663"/>
      <c r="AZ45" s="658"/>
      <c r="BA45" s="538"/>
      <c r="BB45" s="538"/>
      <c r="BC45" s="538"/>
      <c r="BD45" s="663"/>
      <c r="BE45" s="663"/>
      <c r="BF45" s="663"/>
      <c r="BG45" s="663"/>
      <c r="BH45" s="663"/>
      <c r="BI45" s="663"/>
      <c r="BJ45" s="663"/>
      <c r="BK45" s="663"/>
      <c r="BL45" s="663"/>
      <c r="BM45" s="663"/>
      <c r="BN45" s="663"/>
      <c r="BO45" s="658"/>
      <c r="BP45" s="663"/>
      <c r="BQ45" s="538"/>
      <c r="BR45" s="538"/>
      <c r="BS45" s="538"/>
      <c r="BT45" s="663"/>
      <c r="BU45" s="663"/>
      <c r="BV45" s="663"/>
      <c r="BW45" s="663"/>
      <c r="BX45" s="663"/>
      <c r="BY45" s="663"/>
      <c r="BZ45" s="663"/>
      <c r="CA45" s="663"/>
      <c r="CB45" s="663"/>
      <c r="CC45" s="663"/>
      <c r="CD45" s="663"/>
      <c r="CE45" s="1751"/>
      <c r="CF45" s="538"/>
      <c r="CG45" s="538"/>
      <c r="CH45" s="538"/>
      <c r="CI45" s="663"/>
      <c r="CJ45" s="663"/>
      <c r="CK45" s="663"/>
      <c r="CL45" s="663"/>
      <c r="CM45" s="663"/>
      <c r="CN45" s="663"/>
      <c r="CO45" s="663"/>
      <c r="CP45" s="663"/>
      <c r="CQ45" s="663"/>
      <c r="CR45" s="663"/>
      <c r="CS45" s="663"/>
      <c r="CT45" s="1751"/>
      <c r="CU45" s="538"/>
      <c r="CV45" s="538"/>
      <c r="CW45" s="538"/>
      <c r="CX45" s="663"/>
      <c r="CY45" s="663"/>
      <c r="CZ45" s="663"/>
      <c r="DA45" s="663"/>
      <c r="DB45" s="663"/>
      <c r="DC45" s="663"/>
      <c r="DD45" s="663"/>
      <c r="DE45" s="663"/>
      <c r="DF45" s="663"/>
      <c r="DG45" s="663"/>
      <c r="DH45" s="663"/>
      <c r="DI45" s="1751"/>
      <c r="DJ45" s="1751"/>
      <c r="DK45" s="663"/>
      <c r="DL45" s="1017"/>
      <c r="DM45" s="235"/>
      <c r="DN45" s="235"/>
      <c r="DO45" s="235"/>
      <c r="DP45" s="1050"/>
      <c r="DQ45" s="235"/>
      <c r="DR45" s="235"/>
      <c r="DS45" s="2761"/>
      <c r="DT45" s="2762" t="str">
        <f>IP12</f>
        <v>Non-Jacobs</v>
      </c>
      <c r="DU45" s="314">
        <f t="shared" ref="DU45:DV50" si="16">SUMIFS(DU$64:DU$114,$IP$64:$IP$114,$DT45)</f>
        <v>0</v>
      </c>
      <c r="DV45" s="314">
        <f t="shared" si="16"/>
        <v>0</v>
      </c>
      <c r="DW45" s="314">
        <f t="shared" ref="DW45:DW49" si="17">SUMIFS($DW$64:$DW$114,$IP$64:$IP$114,DT45)</f>
        <v>0</v>
      </c>
      <c r="DX45" s="198"/>
      <c r="DY45" s="235"/>
      <c r="DZ45" s="235"/>
      <c r="EA45" s="222"/>
      <c r="EB45" s="3526"/>
      <c r="EC45" s="3526"/>
      <c r="ED45" s="1626"/>
      <c r="EE45" s="1626"/>
      <c r="EF45" s="1626"/>
      <c r="EG45" s="235"/>
      <c r="EH45" s="3563"/>
      <c r="EI45" s="235"/>
      <c r="EJ45" s="422"/>
      <c r="EK45" s="422"/>
      <c r="EL45" s="422"/>
      <c r="EM45" s="422"/>
      <c r="EN45" s="422"/>
      <c r="EO45" s="422"/>
      <c r="EP45" s="422"/>
      <c r="EQ45" s="422"/>
      <c r="ER45" s="422"/>
      <c r="ES45" s="422"/>
      <c r="ET45" s="422"/>
      <c r="EU45" s="422"/>
      <c r="EV45" s="2665"/>
      <c r="EW45" s="266" t="s">
        <v>2893</v>
      </c>
      <c r="EX45" s="1525"/>
      <c r="EY45" s="1525"/>
      <c r="EZ45" s="521"/>
      <c r="FA45" s="3563"/>
      <c r="FB45" s="3563"/>
      <c r="FC45" s="419"/>
      <c r="FD45" s="419"/>
      <c r="FE45" s="419"/>
      <c r="FF45" s="422"/>
      <c r="FG45" s="198"/>
      <c r="FH45" s="235"/>
      <c r="FI45" s="235"/>
      <c r="FJ45" s="420"/>
      <c r="FK45" s="1162"/>
      <c r="FL45" s="1162"/>
      <c r="FM45" s="1162"/>
      <c r="FN45" s="1162"/>
      <c r="FO45" s="1162"/>
      <c r="FP45" s="1620"/>
      <c r="FQ45" s="1620"/>
      <c r="FR45" s="1620"/>
      <c r="FS45" s="235"/>
      <c r="FT45" s="235"/>
      <c r="FU45" s="235"/>
      <c r="FV45" s="235"/>
      <c r="FW45" s="235"/>
      <c r="FX45" s="235"/>
      <c r="FY45" s="235"/>
      <c r="FZ45" s="235"/>
      <c r="GA45" s="235"/>
      <c r="GB45" s="235"/>
      <c r="GC45" s="235"/>
      <c r="GD45" s="235"/>
      <c r="GE45" s="235"/>
      <c r="GF45" s="3526"/>
      <c r="GG45" s="808"/>
      <c r="GH45" s="808"/>
      <c r="GI45" s="1540"/>
      <c r="GJ45" s="1711"/>
      <c r="GK45" s="1711"/>
      <c r="GL45" s="688"/>
      <c r="GM45" s="1841"/>
      <c r="GN45" s="1841"/>
      <c r="GO45" s="1841"/>
      <c r="GP45" s="1521"/>
      <c r="GQ45" s="688"/>
      <c r="GR45" s="690"/>
      <c r="GS45" s="3546"/>
      <c r="GT45" s="690"/>
      <c r="GU45" s="3526"/>
      <c r="GV45" s="3526"/>
      <c r="GW45" s="235"/>
      <c r="GX45" s="198"/>
      <c r="GY45" s="764"/>
      <c r="GZ45" s="245"/>
      <c r="HA45" s="1153" t="s">
        <v>630</v>
      </c>
      <c r="HB45" s="1195" t="s">
        <v>631</v>
      </c>
      <c r="HC45" s="1196"/>
      <c r="HD45" s="1618" t="s">
        <v>1659</v>
      </c>
      <c r="HE45" s="1197"/>
      <c r="HF45" s="246"/>
      <c r="HG45" s="503">
        <f t="shared" ref="HG45:HH52" si="18">L45</f>
        <v>5370</v>
      </c>
      <c r="HH45" s="3585">
        <f t="shared" si="18"/>
        <v>5370</v>
      </c>
      <c r="HI45" s="3586"/>
      <c r="HJ45" s="503">
        <f>HG45-HH45</f>
        <v>0</v>
      </c>
      <c r="HK45" s="1155">
        <f t="shared" ref="HK45:HK52" si="19">IFERROR(HJ45/HH45,0)</f>
        <v>0</v>
      </c>
      <c r="HL45" s="466"/>
      <c r="HM45" s="449"/>
      <c r="HN45" s="247"/>
      <c r="HO45" s="764"/>
      <c r="HP45" s="1974"/>
      <c r="HQ45" s="1974"/>
      <c r="HR45" s="1974"/>
      <c r="HS45" s="1974"/>
      <c r="HT45" s="1974"/>
      <c r="HU45" s="1974"/>
      <c r="HV45" s="1974"/>
      <c r="HW45" s="1974"/>
      <c r="HX45" s="1974"/>
      <c r="HY45" s="1974"/>
      <c r="HZ45" s="1974"/>
      <c r="IA45" s="1974"/>
      <c r="IB45" s="1974"/>
      <c r="IC45" s="1974"/>
      <c r="ID45" s="1974"/>
      <c r="IE45" s="1974"/>
      <c r="IF45" s="1974"/>
      <c r="IG45" s="1974"/>
      <c r="IH45" s="1974"/>
      <c r="II45" s="1974"/>
      <c r="IJ45" s="1974"/>
      <c r="IK45" s="1974"/>
      <c r="IL45" s="1974"/>
      <c r="IM45" s="1974"/>
      <c r="IN45" s="1974"/>
      <c r="IO45" s="1974"/>
      <c r="IP45" s="1974"/>
      <c r="IQ45" s="1974"/>
      <c r="IR45" s="1974"/>
      <c r="IS45" s="1974"/>
      <c r="IT45" s="1974"/>
      <c r="IU45" s="1974"/>
      <c r="IV45" s="1974"/>
      <c r="IW45" s="1974"/>
      <c r="IX45" s="1974"/>
      <c r="IY45" s="1974"/>
      <c r="IZ45" s="1974"/>
      <c r="JA45" s="1974"/>
      <c r="JB45" s="1974"/>
      <c r="JC45" s="764"/>
      <c r="JD45" s="764"/>
      <c r="JE45" s="764"/>
      <c r="JF45" s="764"/>
      <c r="JG45" s="764"/>
      <c r="JH45" s="764"/>
      <c r="JI45" s="764"/>
      <c r="JJ45" s="764"/>
      <c r="JK45" s="764"/>
      <c r="JL45" s="764"/>
      <c r="JM45" s="764"/>
      <c r="JN45" s="764"/>
      <c r="JO45" s="764"/>
      <c r="JP45" s="764"/>
      <c r="JQ45" s="764"/>
      <c r="JR45" s="764"/>
      <c r="JS45" s="764"/>
      <c r="JT45" s="764"/>
      <c r="JU45" s="764"/>
      <c r="JV45" s="764"/>
      <c r="JW45" s="764"/>
      <c r="JX45" s="764"/>
      <c r="JY45" s="764"/>
      <c r="JZ45" s="764"/>
      <c r="KA45" s="764"/>
      <c r="KB45" s="764"/>
      <c r="KC45" s="764"/>
      <c r="KD45" s="764"/>
      <c r="KE45" s="764"/>
      <c r="KF45" s="764"/>
      <c r="KG45" s="764"/>
      <c r="KH45" s="764"/>
      <c r="KI45" s="764"/>
      <c r="KJ45" s="764"/>
      <c r="KK45" s="764"/>
      <c r="KL45" s="764"/>
      <c r="KM45" s="764"/>
      <c r="KN45" s="764"/>
      <c r="KO45" s="764"/>
      <c r="KP45" s="764"/>
      <c r="KQ45" s="764"/>
      <c r="KR45" s="764"/>
      <c r="KS45" s="764"/>
      <c r="KT45" s="764"/>
      <c r="KU45" s="764"/>
      <c r="KV45" s="764"/>
      <c r="KW45" s="764"/>
      <c r="KX45" s="764"/>
      <c r="KY45" s="764"/>
      <c r="KZ45" s="764"/>
      <c r="LA45" s="764"/>
      <c r="LB45" s="764"/>
      <c r="LC45" s="764"/>
      <c r="LD45" s="764"/>
      <c r="LE45" s="764"/>
      <c r="LF45" s="764"/>
      <c r="LG45" s="764"/>
      <c r="LH45" s="764"/>
      <c r="LI45" s="764"/>
      <c r="LJ45" s="764"/>
      <c r="LK45" s="764"/>
      <c r="LL45" s="764"/>
      <c r="LM45" s="764"/>
      <c r="LN45" s="764"/>
      <c r="LO45" s="764"/>
      <c r="LP45" s="1975"/>
      <c r="LQ45" s="1975"/>
      <c r="LR45" s="1975"/>
      <c r="LS45" s="1975"/>
      <c r="LT45" s="1975"/>
      <c r="LU45" s="1975"/>
      <c r="LV45" s="1975"/>
      <c r="LW45" s="1975"/>
      <c r="LX45" s="1975"/>
      <c r="LY45" s="1975"/>
      <c r="LZ45" s="1975"/>
      <c r="MA45" s="1975"/>
      <c r="MB45" s="1975"/>
      <c r="MC45" s="1975"/>
      <c r="MD45" s="1975"/>
      <c r="ME45" s="1975"/>
      <c r="MF45" s="1975"/>
      <c r="MG45" s="1975"/>
      <c r="MH45" s="1975"/>
      <c r="MI45" s="1975"/>
      <c r="MJ45" s="1975"/>
      <c r="MK45" s="1975"/>
      <c r="ML45" s="1975"/>
      <c r="MM45" s="1975"/>
      <c r="MN45" s="1975"/>
      <c r="MO45" s="1975"/>
      <c r="MP45" s="1975"/>
      <c r="MQ45" s="1975"/>
      <c r="MR45" s="1975"/>
      <c r="MS45" s="1975"/>
      <c r="MT45" s="1975"/>
      <c r="MU45" s="1975"/>
      <c r="MV45" s="1975"/>
      <c r="MW45" s="1975"/>
      <c r="MX45" s="1975"/>
      <c r="MY45" s="1975"/>
      <c r="MZ45" s="1975"/>
      <c r="NA45" s="1975"/>
      <c r="NB45" s="1975"/>
      <c r="NC45" s="1975"/>
      <c r="ND45" s="1975"/>
      <c r="NE45" s="1975"/>
      <c r="NF45" s="1975"/>
      <c r="NG45" s="1975"/>
      <c r="NH45" s="1975"/>
      <c r="NI45" s="1975"/>
    </row>
    <row r="46" spans="1:373" ht="15.9" customHeight="1" x14ac:dyDescent="0.3">
      <c r="A46" s="266">
        <v>1</v>
      </c>
      <c r="B46" s="587" t="str">
        <f>HB46</f>
        <v>3rd PARTY SERVICES</v>
      </c>
      <c r="C46" s="236"/>
      <c r="D46" s="314">
        <f>SUMIFS('3b Activity Plan'!$AA$173:$AA$364,'3b Activity Plan'!$DC$173:$DC$364,B46,'3b Activity Plan'!$CY$173:$CY$364,1,'3b Activity Plan'!$AH$173:$AH$364,1,'3b Activity Plan'!$CR$173:$CR$364,0)</f>
        <v>0</v>
      </c>
      <c r="E46" s="314">
        <f>SUMIFS('3b Activity Plan'!$AB$173:$AB$364,'3b Activity Plan'!$DC$173:$DC$364,$B46,'3b Activity Plan'!$CY$173:$CY$364,1,'3b Activity Plan'!$CT$173:$CT$364,1,'3b Activity Plan'!$CR$173:$CR$364,0)</f>
        <v>0</v>
      </c>
      <c r="F46" s="586"/>
      <c r="G46" s="236"/>
      <c r="H46" s="314">
        <f>SUMIFS('3a Staff Plan'!$AA$129:$AA$305,'3a Staff Plan'!$DT$129:$DT$305,B46,'3a Staff Plan'!$DF$129:$DF$305,1,'3a Staff Plan'!$AG$129:$AG$305,1,'3a Staff Plan'!$CY$129:$CY$305,0)</f>
        <v>0</v>
      </c>
      <c r="I46" s="314">
        <f>SUMIFS('3a Staff Plan'!$AB$129:$AB$305,'3a Staff Plan'!$DT$129:$DT$305,$B46,'3a Staff Plan'!$DF$129:$DF$305,1,'3a Staff Plan'!$DA$129:$DA$305,1,'3a Staff Plan'!$CY$129:$CY$305,0)</f>
        <v>0</v>
      </c>
      <c r="J46" s="586"/>
      <c r="K46" s="236"/>
      <c r="L46" s="314">
        <f t="shared" si="14"/>
        <v>0</v>
      </c>
      <c r="M46" s="314">
        <f t="shared" si="15"/>
        <v>0</v>
      </c>
      <c r="N46" s="220"/>
      <c r="O46" s="1834"/>
      <c r="P46" s="1837"/>
      <c r="Q46" s="198"/>
      <c r="R46" s="198"/>
      <c r="S46" s="198"/>
      <c r="T46" s="879"/>
      <c r="U46" s="222"/>
      <c r="V46" s="663"/>
      <c r="W46" s="538"/>
      <c r="X46" s="538"/>
      <c r="Y46" s="538"/>
      <c r="Z46" s="663"/>
      <c r="AA46" s="663"/>
      <c r="AB46" s="663"/>
      <c r="AC46" s="663"/>
      <c r="AD46" s="663"/>
      <c r="AE46" s="663"/>
      <c r="AF46" s="663"/>
      <c r="AG46" s="663"/>
      <c r="AH46" s="663"/>
      <c r="AI46" s="663"/>
      <c r="AJ46" s="663"/>
      <c r="AK46" s="203"/>
      <c r="AL46" s="538"/>
      <c r="AM46" s="538"/>
      <c r="AN46" s="538"/>
      <c r="AO46" s="663"/>
      <c r="AP46" s="663"/>
      <c r="AQ46" s="663"/>
      <c r="AR46" s="663"/>
      <c r="AS46" s="663"/>
      <c r="AT46" s="663"/>
      <c r="AU46" s="663"/>
      <c r="AV46" s="663"/>
      <c r="AW46" s="663"/>
      <c r="AX46" s="663"/>
      <c r="AY46" s="663"/>
      <c r="AZ46" s="658"/>
      <c r="BA46" s="538"/>
      <c r="BB46" s="538"/>
      <c r="BC46" s="538"/>
      <c r="BD46" s="663"/>
      <c r="BE46" s="663"/>
      <c r="BF46" s="663"/>
      <c r="BG46" s="663"/>
      <c r="BH46" s="663"/>
      <c r="BI46" s="663"/>
      <c r="BJ46" s="663"/>
      <c r="BK46" s="663"/>
      <c r="BL46" s="663"/>
      <c r="BM46" s="663"/>
      <c r="BN46" s="663"/>
      <c r="BO46" s="658"/>
      <c r="BP46" s="663"/>
      <c r="BQ46" s="538"/>
      <c r="BR46" s="538"/>
      <c r="BS46" s="538"/>
      <c r="BT46" s="663"/>
      <c r="BU46" s="663"/>
      <c r="BV46" s="663"/>
      <c r="BW46" s="663"/>
      <c r="BX46" s="663"/>
      <c r="BY46" s="663"/>
      <c r="BZ46" s="663"/>
      <c r="CA46" s="663"/>
      <c r="CB46" s="663"/>
      <c r="CC46" s="663"/>
      <c r="CD46" s="663"/>
      <c r="CE46" s="1751"/>
      <c r="CF46" s="538"/>
      <c r="CG46" s="538"/>
      <c r="CH46" s="538"/>
      <c r="CI46" s="663"/>
      <c r="CJ46" s="663"/>
      <c r="CK46" s="663"/>
      <c r="CL46" s="663"/>
      <c r="CM46" s="663"/>
      <c r="CN46" s="663"/>
      <c r="CO46" s="663"/>
      <c r="CP46" s="663"/>
      <c r="CQ46" s="663"/>
      <c r="CR46" s="663"/>
      <c r="CS46" s="663"/>
      <c r="CT46" s="1751"/>
      <c r="CU46" s="538"/>
      <c r="CV46" s="538"/>
      <c r="CW46" s="538"/>
      <c r="CX46" s="663"/>
      <c r="CY46" s="663"/>
      <c r="CZ46" s="663"/>
      <c r="DA46" s="663"/>
      <c r="DB46" s="663"/>
      <c r="DC46" s="663"/>
      <c r="DD46" s="663"/>
      <c r="DE46" s="663"/>
      <c r="DF46" s="663"/>
      <c r="DG46" s="663"/>
      <c r="DH46" s="663"/>
      <c r="DI46" s="1751"/>
      <c r="DJ46" s="1751"/>
      <c r="DK46" s="663"/>
      <c r="DL46" s="1017"/>
      <c r="DM46" s="235"/>
      <c r="DN46" s="235"/>
      <c r="DO46" s="235"/>
      <c r="DP46" s="1050"/>
      <c r="DQ46" s="235"/>
      <c r="DR46" s="235"/>
      <c r="DS46" s="2761"/>
      <c r="DT46" s="2762" t="str">
        <f>IP11</f>
        <v>GID (Other)</v>
      </c>
      <c r="DU46" s="314">
        <f t="shared" si="16"/>
        <v>0</v>
      </c>
      <c r="DV46" s="314">
        <f t="shared" si="16"/>
        <v>0</v>
      </c>
      <c r="DW46" s="314">
        <f t="shared" si="17"/>
        <v>0</v>
      </c>
      <c r="DX46" s="198"/>
      <c r="DY46" s="235"/>
      <c r="DZ46" s="235"/>
      <c r="EA46" s="203"/>
      <c r="EB46" s="3526"/>
      <c r="EC46" s="3526"/>
      <c r="ED46" s="1626"/>
      <c r="EE46" s="1626"/>
      <c r="EF46" s="1626"/>
      <c r="EG46" s="235"/>
      <c r="EH46" s="3563"/>
      <c r="EI46" s="235"/>
      <c r="EJ46" s="422"/>
      <c r="EK46" s="422"/>
      <c r="EL46" s="422"/>
      <c r="EM46" s="422"/>
      <c r="EN46" s="422"/>
      <c r="EO46" s="422"/>
      <c r="EP46" s="422"/>
      <c r="EQ46" s="422"/>
      <c r="ER46" s="422"/>
      <c r="ES46" s="422"/>
      <c r="ET46" s="422"/>
      <c r="EU46" s="422"/>
      <c r="EV46" s="2665"/>
      <c r="EW46" s="266" t="s">
        <v>2892</v>
      </c>
      <c r="EX46" s="1525"/>
      <c r="EY46" s="1525"/>
      <c r="EZ46" s="521"/>
      <c r="FA46" s="3563"/>
      <c r="FB46" s="3563"/>
      <c r="FC46" s="419"/>
      <c r="FD46" s="419"/>
      <c r="FE46" s="419"/>
      <c r="FF46" s="422"/>
      <c r="FG46" s="198"/>
      <c r="FH46" s="235"/>
      <c r="FI46" s="235"/>
      <c r="FJ46" s="420"/>
      <c r="FK46" s="1162"/>
      <c r="FL46" s="1162"/>
      <c r="FM46" s="1162"/>
      <c r="FN46" s="1162"/>
      <c r="FO46" s="1162"/>
      <c r="FP46" s="1620"/>
      <c r="FQ46" s="1620"/>
      <c r="FR46" s="1620"/>
      <c r="FS46" s="235"/>
      <c r="FT46" s="235"/>
      <c r="FU46" s="235"/>
      <c r="FV46" s="235"/>
      <c r="FW46" s="235"/>
      <c r="FX46" s="235"/>
      <c r="FY46" s="235"/>
      <c r="FZ46" s="235"/>
      <c r="GA46" s="235"/>
      <c r="GB46" s="235"/>
      <c r="GC46" s="235"/>
      <c r="GD46" s="235"/>
      <c r="GE46" s="235"/>
      <c r="GF46" s="3526"/>
      <c r="GG46" s="808"/>
      <c r="GH46" s="808"/>
      <c r="GI46" s="1540"/>
      <c r="GJ46" s="1711"/>
      <c r="GK46" s="1711"/>
      <c r="GL46" s="688"/>
      <c r="GM46" s="1841"/>
      <c r="GN46" s="1841"/>
      <c r="GO46" s="1841"/>
      <c r="GP46" s="1521"/>
      <c r="GQ46" s="688"/>
      <c r="GR46" s="690"/>
      <c r="GS46" s="3546"/>
      <c r="GT46" s="690"/>
      <c r="GU46" s="3526"/>
      <c r="GV46" s="3526"/>
      <c r="GW46" s="235"/>
      <c r="GX46" s="198"/>
      <c r="GY46" s="764"/>
      <c r="GZ46" s="245"/>
      <c r="HA46" s="1153" t="s">
        <v>627</v>
      </c>
      <c r="HB46" s="3602" t="s">
        <v>936</v>
      </c>
      <c r="HC46" s="3603"/>
      <c r="HD46" s="3603"/>
      <c r="HE46" s="3604"/>
      <c r="HF46" s="246"/>
      <c r="HG46" s="503">
        <f t="shared" si="18"/>
        <v>0</v>
      </c>
      <c r="HH46" s="3585">
        <f t="shared" si="18"/>
        <v>0</v>
      </c>
      <c r="HI46" s="3586"/>
      <c r="HJ46" s="503">
        <f t="shared" ref="HJ46:HJ52" si="20">HG46-HH46</f>
        <v>0</v>
      </c>
      <c r="HK46" s="1155">
        <f t="shared" si="19"/>
        <v>0</v>
      </c>
      <c r="HL46" s="466"/>
      <c r="HM46" s="449"/>
      <c r="HN46" s="247"/>
      <c r="HO46" s="764"/>
      <c r="HP46" s="467"/>
      <c r="HQ46" s="261"/>
      <c r="HR46" s="261"/>
      <c r="HS46" s="1999"/>
      <c r="HT46" s="261"/>
      <c r="HU46" s="261"/>
      <c r="HV46" s="1999"/>
      <c r="HW46" s="1984"/>
      <c r="HX46" s="261"/>
      <c r="HY46" s="261"/>
      <c r="HZ46" s="1984"/>
      <c r="IA46" s="1984"/>
      <c r="IB46" s="261"/>
      <c r="IC46" s="1984"/>
      <c r="ID46" s="2000"/>
      <c r="IE46" s="2000"/>
      <c r="IF46" s="2000"/>
      <c r="IG46" s="2000"/>
      <c r="IH46" s="2001"/>
      <c r="II46" s="2002"/>
      <c r="IJ46" s="2002"/>
      <c r="IK46" s="261"/>
      <c r="IL46" s="261"/>
      <c r="IM46" s="261"/>
      <c r="IN46" s="261"/>
      <c r="IO46" s="261"/>
      <c r="IP46" s="261"/>
      <c r="IQ46" s="261"/>
      <c r="IR46" s="261"/>
      <c r="IS46" s="261"/>
      <c r="IT46" s="261"/>
      <c r="IU46" s="2001"/>
      <c r="IV46" s="261"/>
      <c r="IW46" s="261"/>
      <c r="IX46" s="261"/>
      <c r="IY46" s="261"/>
      <c r="IZ46" s="1867"/>
      <c r="JA46" s="1974"/>
      <c r="JB46" s="1988"/>
      <c r="JC46" s="1984"/>
      <c r="JD46" s="1984"/>
      <c r="JE46" s="1984"/>
      <c r="JF46" s="1984"/>
      <c r="JG46" s="1984"/>
      <c r="JH46" s="1984"/>
      <c r="JI46" s="1984"/>
      <c r="JJ46" s="1984"/>
      <c r="JK46" s="1984"/>
      <c r="JL46" s="1984"/>
      <c r="JM46" s="1984"/>
      <c r="JN46" s="1984"/>
      <c r="JO46" s="1984"/>
      <c r="JP46" s="1984"/>
      <c r="JQ46" s="1984"/>
      <c r="JR46" s="1984"/>
      <c r="JS46" s="1984"/>
      <c r="JT46" s="1984"/>
      <c r="JU46" s="1984"/>
      <c r="JV46" s="1984"/>
      <c r="JW46" s="1984"/>
      <c r="JX46" s="1984"/>
      <c r="JY46" s="1984"/>
      <c r="JZ46" s="1984"/>
      <c r="KA46" s="1984"/>
      <c r="KB46" s="1984"/>
      <c r="KC46" s="1985"/>
      <c r="KD46" s="1974"/>
      <c r="KE46" s="1988"/>
      <c r="KF46" s="1984"/>
      <c r="KG46" s="1984"/>
      <c r="KH46" s="1984"/>
      <c r="KI46" s="1984"/>
      <c r="KJ46" s="1984"/>
      <c r="KK46" s="1984"/>
      <c r="KL46" s="1984"/>
      <c r="KM46" s="1984"/>
      <c r="KN46" s="1984"/>
      <c r="KO46" s="1984"/>
      <c r="KP46" s="1984"/>
      <c r="KQ46" s="1984"/>
      <c r="KR46" s="1984"/>
      <c r="KS46" s="1984"/>
      <c r="KT46" s="1984"/>
      <c r="KU46" s="1984"/>
      <c r="KV46" s="1984"/>
      <c r="KW46" s="1984"/>
      <c r="KX46" s="1984"/>
      <c r="KY46" s="1984"/>
      <c r="KZ46" s="1984"/>
      <c r="LA46" s="1984"/>
      <c r="LB46" s="1984"/>
      <c r="LC46" s="1984"/>
      <c r="LD46" s="1984"/>
      <c r="LE46" s="1984"/>
      <c r="LF46" s="1984"/>
      <c r="LG46" s="1984"/>
      <c r="LH46" s="1984"/>
      <c r="LI46" s="1984"/>
      <c r="LJ46" s="1984"/>
      <c r="LK46" s="1984"/>
      <c r="LL46" s="1984"/>
      <c r="LM46" s="1984"/>
      <c r="LN46" s="1984"/>
      <c r="LO46" s="1984"/>
      <c r="LP46" s="1984"/>
      <c r="LQ46" s="1984"/>
      <c r="LR46" s="1984"/>
      <c r="LS46" s="1984"/>
      <c r="LT46" s="1984"/>
      <c r="LU46" s="1984"/>
      <c r="LV46" s="1984"/>
      <c r="LW46" s="1984"/>
      <c r="LX46" s="1984"/>
      <c r="LY46" s="1984"/>
      <c r="LZ46" s="1984"/>
      <c r="MA46" s="1984"/>
      <c r="MB46" s="1984"/>
      <c r="MC46" s="1984"/>
      <c r="MD46" s="1984"/>
      <c r="ME46" s="1984"/>
      <c r="MF46" s="1984"/>
      <c r="MG46" s="1984"/>
      <c r="MH46" s="1984"/>
      <c r="MI46" s="1984"/>
      <c r="MJ46" s="1984"/>
      <c r="MK46" s="1984"/>
      <c r="ML46" s="1984"/>
      <c r="MM46" s="1984"/>
      <c r="MN46" s="1984"/>
      <c r="MO46" s="1984"/>
      <c r="MP46" s="1984"/>
      <c r="MQ46" s="1984"/>
      <c r="MR46" s="1984"/>
      <c r="MS46" s="1984"/>
      <c r="MT46" s="1984"/>
      <c r="MU46" s="1985"/>
      <c r="MV46" s="1975"/>
      <c r="MW46" s="467"/>
      <c r="MX46" s="3501" t="s">
        <v>4245</v>
      </c>
      <c r="MY46" s="3501"/>
      <c r="MZ46" s="3501"/>
      <c r="NA46" s="3501"/>
      <c r="NB46" s="3501"/>
      <c r="NC46" s="3501"/>
      <c r="ND46" s="3501"/>
      <c r="NE46" s="1867"/>
      <c r="NF46" s="1975"/>
      <c r="NG46" s="1975"/>
      <c r="NH46" s="1975"/>
      <c r="NI46" s="1975"/>
    </row>
    <row r="47" spans="1:373" ht="15.9" customHeight="1" x14ac:dyDescent="0.3">
      <c r="A47" s="266">
        <v>2</v>
      </c>
      <c r="B47" s="256" t="str">
        <f t="shared" ref="B47:B53" si="21">HB47</f>
        <v>TRAVEL</v>
      </c>
      <c r="C47" s="236"/>
      <c r="D47" s="314">
        <f>SUMIFS('3b Activity Plan'!$AA$173:$AA$364,'3b Activity Plan'!$DC$173:$DC$364,B47,'3b Activity Plan'!$CY$173:$CY$364,1,'3b Activity Plan'!$AH$173:$AH$364,1,'3b Activity Plan'!$CR$173:$CR$364,0)</f>
        <v>0</v>
      </c>
      <c r="E47" s="314">
        <f>SUMIFS('3b Activity Plan'!$AB$173:$AB$364,'3b Activity Plan'!$DC$173:$DC$364,$B47,'3b Activity Plan'!$CY$173:$CY$364,1,'3b Activity Plan'!$CT$173:$CT$364,1,'3b Activity Plan'!$CR$173:$CR$364,0)</f>
        <v>0</v>
      </c>
      <c r="F47" s="586"/>
      <c r="G47" s="236"/>
      <c r="H47" s="314">
        <f>SUMIFS('3a Staff Plan'!$AA$129:$AA$305,'3a Staff Plan'!$DT$129:$DT$305,B47,'3a Staff Plan'!$DF$129:$DF$305,1,'3a Staff Plan'!$AG$129:$AG$305,1,'3a Staff Plan'!$CY$129:$CY$305,0)</f>
        <v>0</v>
      </c>
      <c r="I47" s="314">
        <f>SUMIFS('3a Staff Plan'!$AB$129:$AB$305,'3a Staff Plan'!$DT$129:$DT$305,$B47,'3a Staff Plan'!$DF$129:$DF$305,1,'3a Staff Plan'!$DA$129:$DA$305,1,'3a Staff Plan'!$CY$129:$CY$305,0)</f>
        <v>0</v>
      </c>
      <c r="J47" s="586"/>
      <c r="K47" s="236"/>
      <c r="L47" s="314">
        <f t="shared" si="14"/>
        <v>0</v>
      </c>
      <c r="M47" s="314">
        <f t="shared" si="15"/>
        <v>0</v>
      </c>
      <c r="N47" s="220"/>
      <c r="O47" s="1834"/>
      <c r="P47" s="1837"/>
      <c r="Q47" s="198"/>
      <c r="R47" s="198"/>
      <c r="S47" s="198"/>
      <c r="T47" s="879"/>
      <c r="U47" s="222"/>
      <c r="V47" s="663"/>
      <c r="W47" s="538"/>
      <c r="X47" s="538"/>
      <c r="Y47" s="538"/>
      <c r="Z47" s="663"/>
      <c r="AA47" s="663"/>
      <c r="AB47" s="663"/>
      <c r="AC47" s="663"/>
      <c r="AD47" s="663"/>
      <c r="AE47" s="663"/>
      <c r="AF47" s="663"/>
      <c r="AG47" s="663"/>
      <c r="AH47" s="663"/>
      <c r="AI47" s="663"/>
      <c r="AJ47" s="663"/>
      <c r="AK47" s="203"/>
      <c r="AL47" s="538"/>
      <c r="AM47" s="538"/>
      <c r="AN47" s="538"/>
      <c r="AO47" s="663"/>
      <c r="AP47" s="663"/>
      <c r="AQ47" s="663"/>
      <c r="AR47" s="663"/>
      <c r="AS47" s="663"/>
      <c r="AT47" s="663"/>
      <c r="AU47" s="663"/>
      <c r="AV47" s="663"/>
      <c r="AW47" s="663"/>
      <c r="AX47" s="663"/>
      <c r="AY47" s="663"/>
      <c r="AZ47" s="658"/>
      <c r="BA47" s="538"/>
      <c r="BB47" s="538"/>
      <c r="BC47" s="538"/>
      <c r="BD47" s="663"/>
      <c r="BE47" s="663"/>
      <c r="BF47" s="663"/>
      <c r="BG47" s="663"/>
      <c r="BH47" s="663"/>
      <c r="BI47" s="663"/>
      <c r="BJ47" s="663"/>
      <c r="BK47" s="663"/>
      <c r="BL47" s="663"/>
      <c r="BM47" s="663"/>
      <c r="BN47" s="663"/>
      <c r="BO47" s="658"/>
      <c r="BP47" s="663"/>
      <c r="BQ47" s="538"/>
      <c r="BR47" s="538"/>
      <c r="BS47" s="538"/>
      <c r="BT47" s="663"/>
      <c r="BU47" s="663"/>
      <c r="BV47" s="663"/>
      <c r="BW47" s="663"/>
      <c r="BX47" s="663"/>
      <c r="BY47" s="663"/>
      <c r="BZ47" s="663"/>
      <c r="CA47" s="663"/>
      <c r="CB47" s="663"/>
      <c r="CC47" s="663"/>
      <c r="CD47" s="663"/>
      <c r="CE47" s="1751"/>
      <c r="CF47" s="538"/>
      <c r="CG47" s="538"/>
      <c r="CH47" s="538"/>
      <c r="CI47" s="663"/>
      <c r="CJ47" s="663"/>
      <c r="CK47" s="663"/>
      <c r="CL47" s="663"/>
      <c r="CM47" s="663"/>
      <c r="CN47" s="663"/>
      <c r="CO47" s="663"/>
      <c r="CP47" s="663"/>
      <c r="CQ47" s="663"/>
      <c r="CR47" s="663"/>
      <c r="CS47" s="663"/>
      <c r="CT47" s="1751"/>
      <c r="CU47" s="538"/>
      <c r="CV47" s="538"/>
      <c r="CW47" s="538"/>
      <c r="CX47" s="663"/>
      <c r="CY47" s="663"/>
      <c r="CZ47" s="663"/>
      <c r="DA47" s="663"/>
      <c r="DB47" s="663"/>
      <c r="DC47" s="663"/>
      <c r="DD47" s="663"/>
      <c r="DE47" s="663"/>
      <c r="DF47" s="663"/>
      <c r="DG47" s="663"/>
      <c r="DH47" s="663"/>
      <c r="DI47" s="1751"/>
      <c r="DJ47" s="1751"/>
      <c r="DK47" s="663"/>
      <c r="DL47" s="1017"/>
      <c r="DM47" s="235"/>
      <c r="DN47" s="235"/>
      <c r="DO47" s="235"/>
      <c r="DP47" s="1050"/>
      <c r="DQ47" s="235"/>
      <c r="DR47" s="235"/>
      <c r="DS47" s="2761"/>
      <c r="DT47" s="2762" t="str">
        <f>IP10</f>
        <v>GID (Std Rate)</v>
      </c>
      <c r="DU47" s="314">
        <f t="shared" si="16"/>
        <v>0</v>
      </c>
      <c r="DV47" s="314">
        <f t="shared" si="16"/>
        <v>0</v>
      </c>
      <c r="DW47" s="314">
        <f t="shared" si="17"/>
        <v>0</v>
      </c>
      <c r="DX47" s="198"/>
      <c r="DY47" s="235"/>
      <c r="DZ47" s="235"/>
      <c r="EA47" s="203"/>
      <c r="EB47" s="3526"/>
      <c r="EC47" s="3526"/>
      <c r="ED47" s="1626"/>
      <c r="EE47" s="1626"/>
      <c r="EF47" s="1626"/>
      <c r="EG47" s="235"/>
      <c r="EH47" s="3563"/>
      <c r="EI47" s="235"/>
      <c r="EJ47" s="422"/>
      <c r="EK47" s="422"/>
      <c r="EL47" s="422"/>
      <c r="EM47" s="422"/>
      <c r="EN47" s="422"/>
      <c r="EO47" s="422"/>
      <c r="EP47" s="722">
        <v>1</v>
      </c>
      <c r="EQ47" s="722">
        <v>2</v>
      </c>
      <c r="ER47" s="722">
        <v>3</v>
      </c>
      <c r="ES47" s="722">
        <v>4</v>
      </c>
      <c r="ET47" s="722">
        <v>5</v>
      </c>
      <c r="EU47" s="722" t="s">
        <v>2897</v>
      </c>
      <c r="EV47" s="2665"/>
      <c r="EW47" s="266" t="s">
        <v>1564</v>
      </c>
      <c r="EX47" s="1525"/>
      <c r="EY47" s="1525"/>
      <c r="EZ47" s="521"/>
      <c r="FA47" s="3563"/>
      <c r="FB47" s="3563"/>
      <c r="FC47" s="419"/>
      <c r="FD47" s="419"/>
      <c r="FE47" s="419"/>
      <c r="FF47" s="422"/>
      <c r="FG47" s="198"/>
      <c r="FH47" s="235"/>
      <c r="FI47" s="235"/>
      <c r="FJ47" s="420"/>
      <c r="FK47" s="1162"/>
      <c r="FL47" s="1162"/>
      <c r="FM47" s="1162"/>
      <c r="FN47" s="1162"/>
      <c r="FO47" s="1162"/>
      <c r="FP47" s="1620"/>
      <c r="FQ47" s="1620"/>
      <c r="FR47" s="1620"/>
      <c r="FS47" s="235"/>
      <c r="FT47" s="235"/>
      <c r="FU47" s="235"/>
      <c r="FV47" s="235"/>
      <c r="FW47" s="235"/>
      <c r="FX47" s="235"/>
      <c r="FY47" s="235"/>
      <c r="FZ47" s="235"/>
      <c r="GA47" s="235"/>
      <c r="GB47" s="235"/>
      <c r="GC47" s="235"/>
      <c r="GD47" s="235"/>
      <c r="GE47" s="235"/>
      <c r="GF47" s="3526"/>
      <c r="GG47" s="808"/>
      <c r="GH47" s="808"/>
      <c r="GI47" s="1540"/>
      <c r="GJ47" s="1711"/>
      <c r="GK47" s="1711"/>
      <c r="GL47" s="688"/>
      <c r="GM47" s="1841"/>
      <c r="GN47" s="1841"/>
      <c r="GO47" s="1841"/>
      <c r="GP47" s="1521"/>
      <c r="GQ47" s="688"/>
      <c r="GR47" s="690"/>
      <c r="GS47" s="3546"/>
      <c r="GT47" s="690"/>
      <c r="GU47" s="3526"/>
      <c r="GV47" s="3526"/>
      <c r="GW47" s="235"/>
      <c r="GX47" s="198"/>
      <c r="GY47" s="764"/>
      <c r="GZ47" s="245"/>
      <c r="HA47" s="1153" t="s">
        <v>637</v>
      </c>
      <c r="HB47" s="3558" t="s">
        <v>638</v>
      </c>
      <c r="HC47" s="3559"/>
      <c r="HD47" s="3559"/>
      <c r="HE47" s="3560"/>
      <c r="HF47" s="246"/>
      <c r="HG47" s="503">
        <f t="shared" si="18"/>
        <v>0</v>
      </c>
      <c r="HH47" s="3585">
        <f t="shared" si="18"/>
        <v>0</v>
      </c>
      <c r="HI47" s="3586"/>
      <c r="HJ47" s="503">
        <f t="shared" si="20"/>
        <v>0</v>
      </c>
      <c r="HK47" s="1155">
        <f t="shared" si="19"/>
        <v>0</v>
      </c>
      <c r="HL47" s="466"/>
      <c r="HM47" s="449"/>
      <c r="HN47" s="247"/>
      <c r="HO47" s="764"/>
      <c r="HP47" s="765"/>
      <c r="HQ47" s="3518" t="s">
        <v>551</v>
      </c>
      <c r="HR47" s="3518"/>
      <c r="HS47" s="3518"/>
      <c r="HT47" s="3518"/>
      <c r="HU47" s="3518"/>
      <c r="HV47" s="3518"/>
      <c r="HW47" s="3518"/>
      <c r="HZ47" s="277"/>
      <c r="IA47" s="277"/>
      <c r="IC47" s="277"/>
      <c r="ID47" s="434"/>
      <c r="IE47" s="434"/>
      <c r="IF47" s="434"/>
      <c r="IG47" s="434"/>
      <c r="IJ47" s="1969"/>
      <c r="IK47" s="272"/>
      <c r="IM47" s="272"/>
      <c r="IN47" s="272"/>
      <c r="IV47" s="272"/>
      <c r="IW47" s="272"/>
      <c r="IZ47" s="766"/>
      <c r="JA47" s="1974"/>
      <c r="JB47" s="765"/>
      <c r="JD47" s="3478" t="s">
        <v>2778</v>
      </c>
      <c r="JE47" s="3478"/>
      <c r="JF47" s="3478"/>
      <c r="JG47" s="3478"/>
      <c r="JH47" s="3478"/>
      <c r="JI47" s="3478"/>
      <c r="JJ47" s="3478"/>
      <c r="JK47" s="3478"/>
      <c r="JL47" s="3478"/>
      <c r="KC47" s="766"/>
      <c r="KD47" s="1974"/>
      <c r="KE47" s="765"/>
      <c r="KF47" s="3518" t="s">
        <v>4112</v>
      </c>
      <c r="KG47" s="3518"/>
      <c r="KH47" s="3518"/>
      <c r="KI47" s="3518"/>
      <c r="KJ47" s="3518"/>
      <c r="KK47" s="3518"/>
      <c r="KL47" s="3518"/>
      <c r="KM47" s="3518"/>
      <c r="KN47" s="3518"/>
      <c r="KO47" s="3518"/>
      <c r="KP47" s="3518"/>
      <c r="KQ47" s="3518"/>
      <c r="KR47" s="3518"/>
      <c r="KS47" s="3518"/>
      <c r="KT47" s="1973"/>
      <c r="KU47" s="1973"/>
      <c r="KV47" s="1973"/>
      <c r="KW47" s="1973"/>
      <c r="KX47" s="754"/>
      <c r="KY47" s="754"/>
      <c r="KZ47" s="754"/>
      <c r="LA47" s="754"/>
      <c r="LB47" s="754"/>
      <c r="LC47" s="754"/>
      <c r="LD47" s="1986"/>
      <c r="LE47" s="768"/>
      <c r="LF47" s="754"/>
      <c r="LG47" s="754"/>
      <c r="LH47" s="754"/>
      <c r="LI47" s="754"/>
      <c r="LJ47" s="754"/>
      <c r="LK47" s="754"/>
      <c r="LL47" s="754"/>
      <c r="LM47" s="754"/>
      <c r="LN47" s="754"/>
      <c r="LO47" s="754"/>
      <c r="LP47" s="1987"/>
      <c r="LQ47" s="1987"/>
      <c r="LR47" s="1987"/>
      <c r="LS47" s="1987"/>
      <c r="LT47" s="1987"/>
      <c r="LU47" s="1987"/>
      <c r="LV47" s="1987"/>
      <c r="LW47" s="1987"/>
      <c r="LX47" s="1987"/>
      <c r="LY47" s="1987"/>
      <c r="LZ47" s="1987"/>
      <c r="MA47" s="1987"/>
      <c r="MB47" s="1987"/>
      <c r="MC47" s="1987"/>
      <c r="MD47" s="1987"/>
      <c r="ME47" s="1987"/>
      <c r="MF47" s="1987"/>
      <c r="MG47" s="1987"/>
      <c r="MH47" s="1987"/>
      <c r="MI47" s="1987"/>
      <c r="MJ47" s="1987"/>
      <c r="MK47" s="1987"/>
      <c r="ML47" s="1987"/>
      <c r="MM47" s="1987"/>
      <c r="MN47" s="1987"/>
      <c r="MO47" s="1987"/>
      <c r="MP47" s="1987"/>
      <c r="MQ47" s="1987"/>
      <c r="MR47" s="1987"/>
      <c r="MS47" s="1987"/>
      <c r="MT47" s="1987"/>
      <c r="MU47" s="1982"/>
      <c r="MV47" s="1975"/>
      <c r="MW47" s="765"/>
      <c r="MX47" s="3502"/>
      <c r="MY47" s="3502"/>
      <c r="MZ47" s="3502"/>
      <c r="NA47" s="3502"/>
      <c r="NB47" s="3502"/>
      <c r="NC47" s="3502"/>
      <c r="ND47" s="3502"/>
      <c r="NE47" s="766"/>
      <c r="NF47" s="1975"/>
      <c r="NG47" s="1975"/>
      <c r="NH47" s="1975"/>
      <c r="NI47" s="1975"/>
    </row>
    <row r="48" spans="1:373" ht="15.9" customHeight="1" x14ac:dyDescent="0.3">
      <c r="A48" s="266">
        <v>3</v>
      </c>
      <c r="B48" s="256" t="str">
        <f t="shared" si="21"/>
        <v>ASSIGNMENT &amp; PER DIEM</v>
      </c>
      <c r="C48" s="236"/>
      <c r="D48" s="314">
        <f>SUMIFS('3b Activity Plan'!$AA$173:$AA$364,'3b Activity Plan'!$DC$173:$DC$364,B48,'3b Activity Plan'!$CY$173:$CY$364,1,'3b Activity Plan'!$AH$173:$AH$364,1,'3b Activity Plan'!$CR$173:$CR$364,0)</f>
        <v>0</v>
      </c>
      <c r="E48" s="314">
        <f>SUMIFS('3b Activity Plan'!$AB$173:$AB$364,'3b Activity Plan'!$DC$173:$DC$364,$B48,'3b Activity Plan'!$CY$173:$CY$364,1,'3b Activity Plan'!$CT$173:$CT$364,1,'3b Activity Plan'!$CR$173:$CR$364,0)</f>
        <v>0</v>
      </c>
      <c r="F48" s="586"/>
      <c r="G48" s="236"/>
      <c r="H48" s="314">
        <f>SUMIFS('3a Staff Plan'!$AA$129:$AA$305,'3a Staff Plan'!$DT$129:$DT$305,B48,'3a Staff Plan'!$DF$129:$DF$305,1,'3a Staff Plan'!$AG$129:$AG$305,1,'3a Staff Plan'!$CY$129:$CY$305,0)</f>
        <v>0</v>
      </c>
      <c r="I48" s="314">
        <f>SUMIFS('3a Staff Plan'!$AB$129:$AB$305,'3a Staff Plan'!$DT$129:$DT$305,$B48,'3a Staff Plan'!$DF$129:$DF$305,1,'3a Staff Plan'!$DA$129:$DA$305,1,'3a Staff Plan'!$CY$129:$CY$305,0)</f>
        <v>0</v>
      </c>
      <c r="J48" s="586"/>
      <c r="K48" s="236"/>
      <c r="L48" s="314">
        <f t="shared" si="14"/>
        <v>0</v>
      </c>
      <c r="M48" s="314">
        <f t="shared" si="15"/>
        <v>0</v>
      </c>
      <c r="N48" s="220"/>
      <c r="O48" s="1834"/>
      <c r="P48" s="1837"/>
      <c r="Q48" s="198"/>
      <c r="R48" s="198"/>
      <c r="S48" s="198"/>
      <c r="T48" s="879"/>
      <c r="U48" s="222"/>
      <c r="V48" s="663"/>
      <c r="W48" s="538"/>
      <c r="X48" s="538"/>
      <c r="Y48" s="538"/>
      <c r="Z48" s="663"/>
      <c r="AA48" s="663"/>
      <c r="AB48" s="663"/>
      <c r="AC48" s="663"/>
      <c r="AD48" s="663"/>
      <c r="AE48" s="663"/>
      <c r="AF48" s="663"/>
      <c r="AG48" s="663"/>
      <c r="AH48" s="663"/>
      <c r="AI48" s="663"/>
      <c r="AJ48" s="663"/>
      <c r="AK48" s="203"/>
      <c r="AL48" s="538"/>
      <c r="AM48" s="538"/>
      <c r="AN48" s="538"/>
      <c r="AO48" s="663"/>
      <c r="AP48" s="663"/>
      <c r="AQ48" s="663"/>
      <c r="AR48" s="663"/>
      <c r="AS48" s="663"/>
      <c r="AT48" s="663"/>
      <c r="AU48" s="663"/>
      <c r="AV48" s="663"/>
      <c r="AW48" s="663"/>
      <c r="AX48" s="663"/>
      <c r="AY48" s="663"/>
      <c r="AZ48" s="658"/>
      <c r="BA48" s="538"/>
      <c r="BB48" s="538"/>
      <c r="BC48" s="538"/>
      <c r="BD48" s="663"/>
      <c r="BE48" s="663"/>
      <c r="BF48" s="663"/>
      <c r="BG48" s="663"/>
      <c r="BH48" s="663"/>
      <c r="BI48" s="663"/>
      <c r="BJ48" s="663"/>
      <c r="BK48" s="663"/>
      <c r="BL48" s="663"/>
      <c r="BM48" s="663"/>
      <c r="BN48" s="663"/>
      <c r="BO48" s="658"/>
      <c r="BP48" s="663"/>
      <c r="BQ48" s="538"/>
      <c r="BR48" s="538"/>
      <c r="BS48" s="538"/>
      <c r="BT48" s="663"/>
      <c r="BU48" s="663"/>
      <c r="BV48" s="663"/>
      <c r="BW48" s="663"/>
      <c r="BX48" s="663"/>
      <c r="BY48" s="663"/>
      <c r="BZ48" s="663"/>
      <c r="CA48" s="663"/>
      <c r="CB48" s="663"/>
      <c r="CC48" s="663"/>
      <c r="CD48" s="663"/>
      <c r="CE48" s="1751"/>
      <c r="CF48" s="538"/>
      <c r="CG48" s="538"/>
      <c r="CH48" s="538"/>
      <c r="CI48" s="663"/>
      <c r="CJ48" s="663"/>
      <c r="CK48" s="663"/>
      <c r="CL48" s="663"/>
      <c r="CM48" s="663"/>
      <c r="CN48" s="663"/>
      <c r="CO48" s="663"/>
      <c r="CP48" s="663"/>
      <c r="CQ48" s="663"/>
      <c r="CR48" s="663"/>
      <c r="CS48" s="663"/>
      <c r="CT48" s="1751"/>
      <c r="CU48" s="538"/>
      <c r="CV48" s="538"/>
      <c r="CW48" s="538"/>
      <c r="CX48" s="663"/>
      <c r="CY48" s="663"/>
      <c r="CZ48" s="663"/>
      <c r="DA48" s="663"/>
      <c r="DB48" s="663"/>
      <c r="DC48" s="663"/>
      <c r="DD48" s="663"/>
      <c r="DE48" s="663"/>
      <c r="DF48" s="663"/>
      <c r="DG48" s="663"/>
      <c r="DH48" s="663"/>
      <c r="DI48" s="1751"/>
      <c r="DJ48" s="1751"/>
      <c r="DK48" s="663"/>
      <c r="DL48" s="1017"/>
      <c r="DM48" s="235"/>
      <c r="DN48" s="235"/>
      <c r="DO48" s="235"/>
      <c r="DP48" s="1050"/>
      <c r="DQ48" s="538"/>
      <c r="DR48" s="538"/>
      <c r="DS48" s="2763"/>
      <c r="DT48" s="2762" t="str">
        <f>IP5</f>
        <v>Field</v>
      </c>
      <c r="DU48" s="314">
        <f t="shared" si="16"/>
        <v>0</v>
      </c>
      <c r="DV48" s="314">
        <f t="shared" si="16"/>
        <v>0</v>
      </c>
      <c r="DW48" s="314">
        <f t="shared" si="17"/>
        <v>0</v>
      </c>
      <c r="DX48" s="198"/>
      <c r="DY48" s="235"/>
      <c r="DZ48" s="235"/>
      <c r="EA48" s="203"/>
      <c r="EB48" s="3526"/>
      <c r="EC48" s="3526"/>
      <c r="ED48" s="1626"/>
      <c r="EE48" s="1626"/>
      <c r="EF48" s="1626"/>
      <c r="EG48" s="235"/>
      <c r="EH48" s="3563"/>
      <c r="EI48" s="235"/>
      <c r="EJ48" s="422"/>
      <c r="EK48" s="422"/>
      <c r="EL48" s="422"/>
      <c r="EM48" s="422"/>
      <c r="EN48" s="422"/>
      <c r="EO48" s="422"/>
      <c r="EP48" s="722" t="s">
        <v>489</v>
      </c>
      <c r="EQ48" s="722" t="s">
        <v>489</v>
      </c>
      <c r="ER48" s="722" t="s">
        <v>489</v>
      </c>
      <c r="ES48" s="722" t="s">
        <v>489</v>
      </c>
      <c r="ET48" s="722" t="s">
        <v>489</v>
      </c>
      <c r="EU48" s="722" t="s">
        <v>489</v>
      </c>
      <c r="EV48" s="2665"/>
      <c r="EW48" s="266" t="s">
        <v>1563</v>
      </c>
      <c r="EX48" s="1525"/>
      <c r="EY48" s="1525"/>
      <c r="EZ48" s="521"/>
      <c r="FA48" s="3563"/>
      <c r="FB48" s="3563"/>
      <c r="FC48" s="419"/>
      <c r="FD48" s="419"/>
      <c r="FE48" s="419"/>
      <c r="FF48" s="422"/>
      <c r="FG48" s="198"/>
      <c r="FH48" s="235"/>
      <c r="FI48" s="235"/>
      <c r="FJ48" s="420"/>
      <c r="FK48" s="1162"/>
      <c r="FL48" s="1162"/>
      <c r="FM48" s="1162"/>
      <c r="FN48" s="1162"/>
      <c r="FO48" s="1162"/>
      <c r="FP48" s="1620"/>
      <c r="FQ48" s="1620"/>
      <c r="FR48" s="1620"/>
      <c r="FS48" s="235"/>
      <c r="FT48" s="235"/>
      <c r="FU48" s="235"/>
      <c r="FV48" s="235"/>
      <c r="FW48" s="235"/>
      <c r="FX48" s="235"/>
      <c r="FY48" s="235"/>
      <c r="FZ48" s="235"/>
      <c r="GA48" s="235"/>
      <c r="GB48" s="235"/>
      <c r="GC48" s="235"/>
      <c r="GD48" s="235"/>
      <c r="GE48" s="235"/>
      <c r="GF48" s="3526"/>
      <c r="GG48" s="808"/>
      <c r="GH48" s="808"/>
      <c r="GI48" s="1540"/>
      <c r="GJ48" s="1711"/>
      <c r="GK48" s="1711"/>
      <c r="GL48" s="688"/>
      <c r="GM48" s="1841"/>
      <c r="GN48" s="1841"/>
      <c r="GO48" s="1841"/>
      <c r="GP48" s="1521"/>
      <c r="GQ48" s="688"/>
      <c r="GR48" s="690"/>
      <c r="GS48" s="3546"/>
      <c r="GT48" s="690"/>
      <c r="GU48" s="3526"/>
      <c r="GV48" s="3526"/>
      <c r="GW48" s="235"/>
      <c r="GX48" s="198"/>
      <c r="GY48" s="764"/>
      <c r="GZ48" s="245"/>
      <c r="HA48" s="1153" t="s">
        <v>931</v>
      </c>
      <c r="HB48" s="3558" t="s">
        <v>932</v>
      </c>
      <c r="HC48" s="3559"/>
      <c r="HD48" s="3559"/>
      <c r="HE48" s="3560"/>
      <c r="HF48" s="246"/>
      <c r="HG48" s="503">
        <f t="shared" si="18"/>
        <v>0</v>
      </c>
      <c r="HH48" s="3585">
        <f t="shared" si="18"/>
        <v>0</v>
      </c>
      <c r="HI48" s="3586"/>
      <c r="HJ48" s="503">
        <f t="shared" si="20"/>
        <v>0</v>
      </c>
      <c r="HK48" s="1155">
        <f t="shared" si="19"/>
        <v>0</v>
      </c>
      <c r="HL48" s="466"/>
      <c r="HM48" s="449"/>
      <c r="HN48" s="247"/>
      <c r="HO48" s="764"/>
      <c r="HP48" s="765"/>
      <c r="HQ48" s="3518"/>
      <c r="HR48" s="3518"/>
      <c r="HS48" s="3518"/>
      <c r="HT48" s="3518"/>
      <c r="HU48" s="3518"/>
      <c r="HV48" s="3518"/>
      <c r="HW48" s="3518"/>
      <c r="HZ48" s="277"/>
      <c r="IA48" s="277"/>
      <c r="IB48" s="756"/>
      <c r="IC48" s="277"/>
      <c r="ID48" s="434"/>
      <c r="IE48" s="434"/>
      <c r="IF48" s="434"/>
      <c r="IG48" s="434"/>
      <c r="IJ48" s="1969"/>
      <c r="IK48" s="272"/>
      <c r="IM48" s="272"/>
      <c r="IN48" s="272"/>
      <c r="IV48" s="272"/>
      <c r="IW48" s="272"/>
      <c r="IZ48" s="766"/>
      <c r="JA48" s="1974"/>
      <c r="JB48" s="765"/>
      <c r="JD48" s="3478"/>
      <c r="JE48" s="3478"/>
      <c r="JF48" s="3478"/>
      <c r="JG48" s="3478"/>
      <c r="JH48" s="3478"/>
      <c r="JI48" s="3478"/>
      <c r="JJ48" s="3478"/>
      <c r="JK48" s="3478"/>
      <c r="JL48" s="3478"/>
      <c r="JM48" s="418"/>
      <c r="JN48" s="418"/>
      <c r="JO48" s="418"/>
      <c r="JP48" s="418"/>
      <c r="JQ48" s="418"/>
      <c r="JR48" s="418"/>
      <c r="KC48" s="766"/>
      <c r="KD48" s="1974"/>
      <c r="KE48" s="765"/>
      <c r="KF48" s="3518"/>
      <c r="KG48" s="3518"/>
      <c r="KH48" s="3518"/>
      <c r="KI48" s="3518"/>
      <c r="KJ48" s="3518"/>
      <c r="KK48" s="3518"/>
      <c r="KL48" s="3518"/>
      <c r="KM48" s="3518"/>
      <c r="KN48" s="3518"/>
      <c r="KO48" s="3518"/>
      <c r="KP48" s="3518"/>
      <c r="KQ48" s="3518"/>
      <c r="KR48" s="3518"/>
      <c r="KS48" s="3518"/>
      <c r="KT48" s="1973"/>
      <c r="KU48" s="1973"/>
      <c r="KV48" s="1973"/>
      <c r="KW48" s="1973"/>
      <c r="LD48" s="561"/>
      <c r="LE48" s="756"/>
      <c r="LY48" s="1987"/>
      <c r="LZ48" s="1987"/>
      <c r="MA48" s="1987"/>
      <c r="MB48" s="1987"/>
      <c r="MC48" s="1987"/>
      <c r="MD48" s="1987"/>
      <c r="ME48" s="1987"/>
      <c r="MF48" s="1987"/>
      <c r="MG48" s="1987"/>
      <c r="MH48" s="1987"/>
      <c r="MI48" s="1987"/>
      <c r="MJ48" s="1987"/>
      <c r="MK48" s="1987"/>
      <c r="ML48" s="1987"/>
      <c r="MM48" s="1987"/>
      <c r="MN48" s="1987"/>
      <c r="MO48" s="1987"/>
      <c r="MP48" s="1987"/>
      <c r="MQ48" s="1987"/>
      <c r="MR48" s="1987"/>
      <c r="MS48" s="1987"/>
      <c r="MT48" s="1987"/>
      <c r="MU48" s="1982"/>
      <c r="MV48" s="1975"/>
      <c r="MW48" s="765"/>
      <c r="MX48" s="3502"/>
      <c r="MY48" s="3502"/>
      <c r="MZ48" s="3502"/>
      <c r="NA48" s="3502"/>
      <c r="NB48" s="3502"/>
      <c r="NC48" s="3502"/>
      <c r="ND48" s="3502"/>
      <c r="NE48" s="766"/>
      <c r="NF48" s="1975"/>
      <c r="NG48" s="1975"/>
      <c r="NH48" s="1975"/>
      <c r="NI48" s="1975"/>
    </row>
    <row r="49" spans="1:373" ht="15.9" customHeight="1" x14ac:dyDescent="0.3">
      <c r="A49" s="266">
        <v>4</v>
      </c>
      <c r="B49" s="256" t="str">
        <f t="shared" si="21"/>
        <v>REPRODUCTION</v>
      </c>
      <c r="C49" s="236"/>
      <c r="D49" s="314">
        <f>SUMIFS('3b Activity Plan'!$AA$173:$AA$364,'3b Activity Plan'!$DC$173:$DC$364,B49,'3b Activity Plan'!$CY$173:$CY$364,1,'3b Activity Plan'!$AH$173:$AH$364,1,'3b Activity Plan'!$CR$173:$CR$364,0)</f>
        <v>0</v>
      </c>
      <c r="E49" s="314">
        <f>SUMIFS('3b Activity Plan'!$AB$173:$AB$364,'3b Activity Plan'!$DC$173:$DC$364,$B49,'3b Activity Plan'!$CY$173:$CY$364,1,'3b Activity Plan'!$CT$173:$CT$364,1,'3b Activity Plan'!$CR$173:$CR$364,0)</f>
        <v>0</v>
      </c>
      <c r="F49" s="586"/>
      <c r="G49" s="236"/>
      <c r="H49" s="314">
        <f>SUMIFS('3a Staff Plan'!$AA$129:$AA$305,'3a Staff Plan'!$DT$129:$DT$305,B49,'3a Staff Plan'!$DF$129:$DF$305,1,'3a Staff Plan'!$AG$129:$AG$305,1,'3a Staff Plan'!$CY$129:$CY$305,0)</f>
        <v>0</v>
      </c>
      <c r="I49" s="314">
        <f>SUMIFS('3a Staff Plan'!$AB$129:$AB$305,'3a Staff Plan'!$DT$129:$DT$305,$B49,'3a Staff Plan'!$DF$129:$DF$305,1,'3a Staff Plan'!$DA$129:$DA$305,1,'3a Staff Plan'!$CY$129:$CY$305,0)</f>
        <v>0</v>
      </c>
      <c r="J49" s="586"/>
      <c r="K49" s="236"/>
      <c r="L49" s="314">
        <f t="shared" si="14"/>
        <v>0</v>
      </c>
      <c r="M49" s="314">
        <f t="shared" si="15"/>
        <v>0</v>
      </c>
      <c r="N49" s="220"/>
      <c r="O49" s="1834"/>
      <c r="P49" s="1837"/>
      <c r="Q49" s="198"/>
      <c r="R49" s="198"/>
      <c r="S49" s="198"/>
      <c r="T49" s="879"/>
      <c r="U49" s="222"/>
      <c r="V49" s="663"/>
      <c r="W49" s="538"/>
      <c r="X49" s="538"/>
      <c r="Y49" s="538"/>
      <c r="Z49" s="663"/>
      <c r="AA49" s="663"/>
      <c r="AB49" s="663"/>
      <c r="AC49" s="663"/>
      <c r="AD49" s="663"/>
      <c r="AE49" s="663"/>
      <c r="AF49" s="663"/>
      <c r="AG49" s="663"/>
      <c r="AH49" s="663"/>
      <c r="AI49" s="663"/>
      <c r="AJ49" s="663"/>
      <c r="AK49" s="203"/>
      <c r="AL49" s="538"/>
      <c r="AM49" s="538"/>
      <c r="AN49" s="538"/>
      <c r="AO49" s="663"/>
      <c r="AP49" s="663"/>
      <c r="AQ49" s="663"/>
      <c r="AR49" s="663"/>
      <c r="AS49" s="663"/>
      <c r="AT49" s="663"/>
      <c r="AU49" s="663"/>
      <c r="AV49" s="663"/>
      <c r="AW49" s="663"/>
      <c r="AX49" s="663"/>
      <c r="AY49" s="663"/>
      <c r="AZ49" s="658"/>
      <c r="BA49" s="538"/>
      <c r="BB49" s="538"/>
      <c r="BC49" s="538"/>
      <c r="BD49" s="663"/>
      <c r="BE49" s="663"/>
      <c r="BF49" s="663"/>
      <c r="BG49" s="663"/>
      <c r="BH49" s="663"/>
      <c r="BI49" s="663"/>
      <c r="BJ49" s="663"/>
      <c r="BK49" s="663"/>
      <c r="BL49" s="663"/>
      <c r="BM49" s="663"/>
      <c r="BN49" s="663"/>
      <c r="BO49" s="658"/>
      <c r="BP49" s="663"/>
      <c r="BQ49" s="538"/>
      <c r="BR49" s="538"/>
      <c r="BS49" s="538"/>
      <c r="BT49" s="663"/>
      <c r="BU49" s="663"/>
      <c r="BV49" s="663"/>
      <c r="BW49" s="663"/>
      <c r="BX49" s="663"/>
      <c r="BY49" s="663"/>
      <c r="BZ49" s="663"/>
      <c r="CA49" s="663"/>
      <c r="CB49" s="663"/>
      <c r="CC49" s="663"/>
      <c r="CD49" s="663"/>
      <c r="CE49" s="1751"/>
      <c r="CF49" s="538"/>
      <c r="CG49" s="538"/>
      <c r="CH49" s="538"/>
      <c r="CI49" s="663"/>
      <c r="CJ49" s="663"/>
      <c r="CK49" s="663"/>
      <c r="CL49" s="663"/>
      <c r="CM49" s="663"/>
      <c r="CN49" s="663"/>
      <c r="CO49" s="663"/>
      <c r="CP49" s="663"/>
      <c r="CQ49" s="663"/>
      <c r="CR49" s="663"/>
      <c r="CS49" s="663"/>
      <c r="CT49" s="1751"/>
      <c r="CU49" s="538"/>
      <c r="CV49" s="538"/>
      <c r="CW49" s="538"/>
      <c r="CX49" s="663"/>
      <c r="CY49" s="663"/>
      <c r="CZ49" s="663"/>
      <c r="DA49" s="663"/>
      <c r="DB49" s="663"/>
      <c r="DC49" s="663"/>
      <c r="DD49" s="663"/>
      <c r="DE49" s="663"/>
      <c r="DF49" s="663"/>
      <c r="DG49" s="663"/>
      <c r="DH49" s="663"/>
      <c r="DI49" s="1751"/>
      <c r="DJ49" s="1751"/>
      <c r="DK49" s="663"/>
      <c r="DL49" s="1017"/>
      <c r="DM49" s="235"/>
      <c r="DN49" s="235"/>
      <c r="DO49" s="235"/>
      <c r="DP49" s="1050"/>
      <c r="DQ49" s="538"/>
      <c r="DR49" s="538"/>
      <c r="DS49" s="2763"/>
      <c r="DT49" s="2762" t="str">
        <f>IP6</f>
        <v>LBO</v>
      </c>
      <c r="DU49" s="314">
        <f t="shared" si="16"/>
        <v>0</v>
      </c>
      <c r="DV49" s="314">
        <f t="shared" si="16"/>
        <v>0</v>
      </c>
      <c r="DW49" s="314">
        <f t="shared" si="17"/>
        <v>0</v>
      </c>
      <c r="DX49" s="198"/>
      <c r="DY49" s="235"/>
      <c r="DZ49" s="235"/>
      <c r="EA49" s="203"/>
      <c r="EB49" s="3526"/>
      <c r="EC49" s="3526"/>
      <c r="ED49" s="1626"/>
      <c r="EE49" s="1626"/>
      <c r="EF49" s="1626"/>
      <c r="EG49" s="235"/>
      <c r="EH49" s="3563"/>
      <c r="EI49" s="235"/>
      <c r="EJ49" s="422"/>
      <c r="EK49" s="422"/>
      <c r="EL49" s="422"/>
      <c r="EM49" s="422"/>
      <c r="EN49" s="422"/>
      <c r="EO49" s="422"/>
      <c r="EP49" s="2072">
        <f>'1 Setup'!I66</f>
        <v>0.52</v>
      </c>
      <c r="EQ49" s="2072">
        <f>'1 Setup'!I68</f>
        <v>1.8499999999999999E-2</v>
      </c>
      <c r="ER49" s="2072">
        <f>'1 Setup'!I70</f>
        <v>0.43430000000000002</v>
      </c>
      <c r="ES49" s="2072">
        <f>'1 Setup'!I72</f>
        <v>0.1565</v>
      </c>
      <c r="ET49" s="2072">
        <f>'1 Setup'!I76</f>
        <v>0.33450000000000002</v>
      </c>
      <c r="EU49" s="2072">
        <f>'1 Setup'!I74</f>
        <v>0.1565</v>
      </c>
      <c r="EV49" s="2665"/>
      <c r="EW49" s="266" t="s">
        <v>1562</v>
      </c>
      <c r="EX49" s="1525"/>
      <c r="EY49" s="1525"/>
      <c r="EZ49" s="3526" t="s">
        <v>2586</v>
      </c>
      <c r="FA49" s="3563"/>
      <c r="FB49" s="3563"/>
      <c r="FC49" s="419"/>
      <c r="FD49" s="419"/>
      <c r="FE49" s="419"/>
      <c r="FF49" s="427" t="s">
        <v>329</v>
      </c>
      <c r="FG49" s="198"/>
      <c r="FH49" s="235"/>
      <c r="FI49" s="235"/>
      <c r="FJ49" s="1619"/>
      <c r="FK49" s="427"/>
      <c r="FL49" s="427"/>
      <c r="FM49" s="427"/>
      <c r="FN49" s="1162"/>
      <c r="FO49" s="427"/>
      <c r="FP49" s="1620"/>
      <c r="FQ49" s="1627"/>
      <c r="FR49" s="1627"/>
      <c r="FS49" s="1627"/>
      <c r="FT49" s="235"/>
      <c r="FU49" s="235"/>
      <c r="FV49" s="235"/>
      <c r="FW49" s="235"/>
      <c r="FX49" s="235"/>
      <c r="FY49" s="235"/>
      <c r="FZ49" s="235"/>
      <c r="GA49" s="235"/>
      <c r="GB49" s="235"/>
      <c r="GC49" s="235"/>
      <c r="GD49" s="235"/>
      <c r="GE49" s="235"/>
      <c r="GF49" s="3526"/>
      <c r="GG49" s="808"/>
      <c r="GH49" s="808"/>
      <c r="GI49" s="1540"/>
      <c r="GJ49" s="1711"/>
      <c r="GK49" s="1711"/>
      <c r="GL49" s="688"/>
      <c r="GM49" s="1841"/>
      <c r="GN49" s="1841"/>
      <c r="GO49" s="1841"/>
      <c r="GP49" s="1521"/>
      <c r="GQ49" s="688"/>
      <c r="GR49" s="690"/>
      <c r="GS49" s="3546"/>
      <c r="GT49" s="690"/>
      <c r="GU49" s="3526"/>
      <c r="GV49" s="3526"/>
      <c r="GW49" s="235"/>
      <c r="GX49" s="198"/>
      <c r="GY49" s="764"/>
      <c r="GZ49" s="245"/>
      <c r="HA49" s="1153" t="s">
        <v>633</v>
      </c>
      <c r="HB49" s="3558" t="s">
        <v>634</v>
      </c>
      <c r="HC49" s="3559"/>
      <c r="HD49" s="3559"/>
      <c r="HE49" s="3560"/>
      <c r="HF49" s="246"/>
      <c r="HG49" s="503">
        <f t="shared" si="18"/>
        <v>0</v>
      </c>
      <c r="HH49" s="3585">
        <f t="shared" si="18"/>
        <v>0</v>
      </c>
      <c r="HI49" s="3586"/>
      <c r="HJ49" s="503">
        <f t="shared" si="20"/>
        <v>0</v>
      </c>
      <c r="HK49" s="1155">
        <f t="shared" si="19"/>
        <v>0</v>
      </c>
      <c r="HL49" s="466"/>
      <c r="HM49" s="449"/>
      <c r="HN49" s="247"/>
      <c r="HO49" s="764"/>
      <c r="HP49" s="765"/>
      <c r="HQ49" s="3518"/>
      <c r="HR49" s="3518"/>
      <c r="HS49" s="3518"/>
      <c r="HT49" s="3518"/>
      <c r="HU49" s="3518"/>
      <c r="HV49" s="3518"/>
      <c r="HW49" s="3518"/>
      <c r="HZ49" s="277"/>
      <c r="IA49" s="277"/>
      <c r="IB49" s="756"/>
      <c r="IC49" s="277"/>
      <c r="ID49" s="434"/>
      <c r="IE49" s="434"/>
      <c r="IF49" s="434"/>
      <c r="IG49" s="434"/>
      <c r="IJ49" s="1969"/>
      <c r="IK49" s="272"/>
      <c r="IM49" s="272"/>
      <c r="IN49" s="272"/>
      <c r="IP49" s="197"/>
      <c r="IQ49" s="197"/>
      <c r="IS49" s="197"/>
      <c r="IT49" s="754"/>
      <c r="IV49" s="272"/>
      <c r="IW49" s="272"/>
      <c r="IZ49" s="766"/>
      <c r="JA49" s="1974"/>
      <c r="JB49" s="765"/>
      <c r="JC49" s="1979"/>
      <c r="JD49" s="3478"/>
      <c r="JE49" s="3478"/>
      <c r="JF49" s="3478"/>
      <c r="JG49" s="3478"/>
      <c r="JH49" s="3478"/>
      <c r="JI49" s="3478"/>
      <c r="JJ49" s="3478"/>
      <c r="JK49" s="3478"/>
      <c r="JL49" s="3478"/>
      <c r="JM49" s="418"/>
      <c r="JN49" s="418"/>
      <c r="JO49" s="418"/>
      <c r="JP49" s="418"/>
      <c r="JQ49" s="418"/>
      <c r="JR49" s="418"/>
      <c r="KC49" s="766"/>
      <c r="KD49" s="1974"/>
      <c r="KE49" s="765"/>
      <c r="KF49" s="3518"/>
      <c r="KG49" s="3518"/>
      <c r="KH49" s="3518"/>
      <c r="KI49" s="3518"/>
      <c r="KJ49" s="3518"/>
      <c r="KK49" s="3518"/>
      <c r="KL49" s="3518"/>
      <c r="KM49" s="3518"/>
      <c r="KN49" s="3518"/>
      <c r="KO49" s="3518"/>
      <c r="KP49" s="3518"/>
      <c r="KQ49" s="3518"/>
      <c r="KR49" s="3518"/>
      <c r="KS49" s="3518"/>
      <c r="KT49" s="1973"/>
      <c r="KU49" s="1973"/>
      <c r="KV49" s="1973"/>
      <c r="KW49" s="1973"/>
      <c r="LC49" s="749"/>
      <c r="LY49" s="1987"/>
      <c r="LZ49" s="1987"/>
      <c r="MA49" s="1987"/>
      <c r="MB49" s="1987"/>
      <c r="MC49" s="1987"/>
      <c r="MD49" s="1987"/>
      <c r="ME49" s="1987"/>
      <c r="MF49" s="1987"/>
      <c r="MG49" s="1987"/>
      <c r="MH49" s="1987"/>
      <c r="MI49" s="1987"/>
      <c r="MJ49" s="1987"/>
      <c r="MK49" s="1987"/>
      <c r="ML49" s="1987"/>
      <c r="MM49" s="1987"/>
      <c r="MN49" s="1987"/>
      <c r="MO49" s="1987"/>
      <c r="MP49" s="1987"/>
      <c r="MQ49" s="1987"/>
      <c r="MR49" s="1987"/>
      <c r="MS49" s="1987"/>
      <c r="MT49" s="1987"/>
      <c r="MU49" s="1982"/>
      <c r="MV49" s="1975"/>
      <c r="MW49" s="765"/>
      <c r="ND49" s="132"/>
      <c r="NE49" s="766"/>
      <c r="NF49" s="1975"/>
      <c r="NG49" s="1975"/>
      <c r="NH49" s="1975"/>
      <c r="NI49" s="1975"/>
    </row>
    <row r="50" spans="1:373" ht="15.9" customHeight="1" thickBot="1" x14ac:dyDescent="0.35">
      <c r="A50" s="266">
        <v>5</v>
      </c>
      <c r="B50" s="256" t="str">
        <f t="shared" si="21"/>
        <v>SPECIAL COMPUTER SYS</v>
      </c>
      <c r="C50" s="236"/>
      <c r="D50" s="314">
        <f>SUMIFS('3b Activity Plan'!$AA$173:$AA$364,'3b Activity Plan'!$DC$173:$DC$364,B50,'3b Activity Plan'!$CY$173:$CY$364,1,'3b Activity Plan'!$AH$173:$AH$364,1,'3b Activity Plan'!$CR$173:$CR$364,0)</f>
        <v>0</v>
      </c>
      <c r="E50" s="314">
        <f>SUMIFS('3b Activity Plan'!$AB$173:$AB$364,'3b Activity Plan'!$DC$173:$DC$364,$B50,'3b Activity Plan'!$CY$173:$CY$364,1,'3b Activity Plan'!$CT$173:$CT$364,1,'3b Activity Plan'!$CR$173:$CR$364,0)</f>
        <v>0</v>
      </c>
      <c r="F50" s="586"/>
      <c r="G50" s="236"/>
      <c r="H50" s="314">
        <f>SUMIFS('3a Staff Plan'!$AA$129:$AA$305,'3a Staff Plan'!$DT$129:$DT$305,B50,'3a Staff Plan'!$DF$129:$DF$305,1,'3a Staff Plan'!$AG$129:$AG$305,1,'3a Staff Plan'!$CY$129:$CY$305,0)</f>
        <v>0</v>
      </c>
      <c r="I50" s="314">
        <f>SUMIFS('3a Staff Plan'!$AB$129:$AB$305,'3a Staff Plan'!$DT$129:$DT$305,$B50,'3a Staff Plan'!$DF$129:$DF$305,1,'3a Staff Plan'!$DA$129:$DA$305,1,'3a Staff Plan'!$CY$129:$CY$305,0)</f>
        <v>0</v>
      </c>
      <c r="J50" s="586"/>
      <c r="K50" s="236"/>
      <c r="L50" s="314">
        <f t="shared" si="14"/>
        <v>0</v>
      </c>
      <c r="M50" s="314">
        <f t="shared" si="15"/>
        <v>0</v>
      </c>
      <c r="N50" s="220"/>
      <c r="O50" s="1834"/>
      <c r="P50" s="1837"/>
      <c r="Q50" s="211" t="s">
        <v>488</v>
      </c>
      <c r="R50" s="198"/>
      <c r="S50" s="198"/>
      <c r="T50" s="879"/>
      <c r="U50" s="222"/>
      <c r="V50" s="2477" t="s">
        <v>471</v>
      </c>
      <c r="W50" s="538"/>
      <c r="X50" s="538"/>
      <c r="Y50" s="538"/>
      <c r="Z50" s="663"/>
      <c r="AA50" s="663"/>
      <c r="AB50" s="663"/>
      <c r="AC50" s="663"/>
      <c r="AD50" s="663"/>
      <c r="AE50" s="663"/>
      <c r="AF50" s="663"/>
      <c r="AG50" s="663"/>
      <c r="AH50" s="663"/>
      <c r="AI50" s="663"/>
      <c r="AJ50" s="663"/>
      <c r="AK50" s="203"/>
      <c r="AL50" s="2477" t="s">
        <v>471</v>
      </c>
      <c r="AM50" s="538"/>
      <c r="AN50" s="538"/>
      <c r="AO50" s="663"/>
      <c r="AP50" s="663"/>
      <c r="AQ50" s="663"/>
      <c r="AR50" s="663"/>
      <c r="AS50" s="663"/>
      <c r="AT50" s="663"/>
      <c r="AU50" s="663"/>
      <c r="AV50" s="663"/>
      <c r="AW50" s="663"/>
      <c r="AX50" s="663"/>
      <c r="AY50" s="663"/>
      <c r="AZ50" s="658"/>
      <c r="BA50" s="538"/>
      <c r="BB50" s="538"/>
      <c r="BC50" s="538"/>
      <c r="BD50" s="663"/>
      <c r="BE50" s="663"/>
      <c r="BF50" s="663"/>
      <c r="BG50" s="663"/>
      <c r="BH50" s="663"/>
      <c r="BI50" s="663"/>
      <c r="BJ50" s="663"/>
      <c r="BK50" s="663"/>
      <c r="BL50" s="663"/>
      <c r="BM50" s="663"/>
      <c r="BN50" s="663"/>
      <c r="BO50" s="658"/>
      <c r="BP50" s="663"/>
      <c r="BQ50" s="538"/>
      <c r="BR50" s="538"/>
      <c r="BS50" s="538"/>
      <c r="BT50" s="663"/>
      <c r="BU50" s="663"/>
      <c r="BV50" s="663"/>
      <c r="BW50" s="663"/>
      <c r="BX50" s="663"/>
      <c r="BY50" s="663"/>
      <c r="BZ50" s="663"/>
      <c r="CA50" s="663"/>
      <c r="CB50" s="663"/>
      <c r="CC50" s="663"/>
      <c r="CD50" s="663"/>
      <c r="CE50" s="1751"/>
      <c r="CF50" s="538"/>
      <c r="CG50" s="538"/>
      <c r="CH50" s="538"/>
      <c r="CI50" s="663"/>
      <c r="CJ50" s="663"/>
      <c r="CK50" s="663"/>
      <c r="CL50" s="663"/>
      <c r="CM50" s="663"/>
      <c r="CN50" s="663"/>
      <c r="CO50" s="663"/>
      <c r="CP50" s="663"/>
      <c r="CQ50" s="663"/>
      <c r="CR50" s="663"/>
      <c r="CS50" s="663"/>
      <c r="CT50" s="1751"/>
      <c r="CU50" s="538"/>
      <c r="CV50" s="538"/>
      <c r="CW50" s="538"/>
      <c r="CX50" s="663"/>
      <c r="CY50" s="663"/>
      <c r="CZ50" s="663"/>
      <c r="DA50" s="663"/>
      <c r="DB50" s="663"/>
      <c r="DC50" s="663"/>
      <c r="DD50" s="663"/>
      <c r="DE50" s="663"/>
      <c r="DF50" s="663"/>
      <c r="DG50" s="663"/>
      <c r="DH50" s="663"/>
      <c r="DI50" s="1751"/>
      <c r="DJ50" s="1751"/>
      <c r="DK50" s="663"/>
      <c r="DL50" s="1017"/>
      <c r="DM50" s="235"/>
      <c r="DN50" s="235"/>
      <c r="DO50" s="235"/>
      <c r="DP50" s="1050"/>
      <c r="DQ50" s="538"/>
      <c r="DR50" s="538"/>
      <c r="DS50" s="2763"/>
      <c r="DT50" s="2762" t="str">
        <f>IP4</f>
        <v>Jobshopper</v>
      </c>
      <c r="DU50" s="314">
        <f t="shared" si="16"/>
        <v>0</v>
      </c>
      <c r="DV50" s="314">
        <f t="shared" si="16"/>
        <v>0</v>
      </c>
      <c r="DW50" s="314">
        <f>SUMIFS($DW$64:$DW$114,$IP$64:$IP$114,DT50)</f>
        <v>0</v>
      </c>
      <c r="DX50" s="198"/>
      <c r="DY50" s="235"/>
      <c r="DZ50" s="235"/>
      <c r="EA50" s="203"/>
      <c r="EB50" s="3526"/>
      <c r="EC50" s="3526"/>
      <c r="ED50" s="1626"/>
      <c r="EE50" s="1626"/>
      <c r="EF50" s="1626"/>
      <c r="EG50" s="235"/>
      <c r="EH50" s="3563"/>
      <c r="EI50" s="235"/>
      <c r="EJ50" s="422"/>
      <c r="EK50" s="422"/>
      <c r="EL50" s="435" t="str">
        <f>'1 Setup'!U66</f>
        <v>GBP</v>
      </c>
      <c r="EM50" s="2819" t="s">
        <v>3491</v>
      </c>
      <c r="EN50" s="422"/>
      <c r="EO50" s="422"/>
      <c r="EP50" s="3598" t="s">
        <v>2298</v>
      </c>
      <c r="EQ50" s="3598" t="s">
        <v>381</v>
      </c>
      <c r="ER50" s="3598" t="s">
        <v>382</v>
      </c>
      <c r="ES50" s="3598" t="s">
        <v>383</v>
      </c>
      <c r="ET50" s="3563" t="s">
        <v>2864</v>
      </c>
      <c r="EU50" s="3563" t="s">
        <v>2865</v>
      </c>
      <c r="EV50" s="2665"/>
      <c r="EW50" s="266" t="s">
        <v>1561</v>
      </c>
      <c r="EX50" s="1525"/>
      <c r="EY50" s="1525"/>
      <c r="EZ50" s="3526"/>
      <c r="FA50" s="3563"/>
      <c r="FB50" s="3563"/>
      <c r="FC50" s="419"/>
      <c r="FD50" s="419"/>
      <c r="FE50" s="419"/>
      <c r="FF50" s="318">
        <f>CHOOSE($IX$4,1,1,2,2,2,3,3,3,3,3,3)</f>
        <v>3</v>
      </c>
      <c r="FG50" s="198"/>
      <c r="FH50" s="235"/>
      <c r="FI50" s="235"/>
      <c r="FJ50" s="3568" t="s">
        <v>832</v>
      </c>
      <c r="FK50" s="427"/>
      <c r="FL50" s="427"/>
      <c r="FM50" s="427"/>
      <c r="FN50" s="1162"/>
      <c r="FO50" s="427"/>
      <c r="FP50" s="1620"/>
      <c r="FQ50" s="1627"/>
      <c r="FR50" s="1627"/>
      <c r="FS50" s="1627"/>
      <c r="FT50" s="235"/>
      <c r="FU50" s="235"/>
      <c r="FV50" s="235"/>
      <c r="FW50" s="235"/>
      <c r="FX50" s="235"/>
      <c r="FY50" s="235"/>
      <c r="FZ50" s="235"/>
      <c r="GA50" s="235"/>
      <c r="GB50" s="235"/>
      <c r="GC50" s="235"/>
      <c r="GD50" s="235"/>
      <c r="GE50" s="235"/>
      <c r="GF50" s="3526"/>
      <c r="GG50" s="808"/>
      <c r="GH50" s="808"/>
      <c r="GI50" s="1540"/>
      <c r="GJ50" s="1711"/>
      <c r="GK50" s="1711"/>
      <c r="GL50" s="688"/>
      <c r="GM50" s="1841"/>
      <c r="GN50" s="1841"/>
      <c r="GO50" s="1841"/>
      <c r="GP50" s="1521"/>
      <c r="GQ50" s="688"/>
      <c r="GR50" s="690"/>
      <c r="GS50" s="3546"/>
      <c r="GT50" s="690"/>
      <c r="GU50" s="3526"/>
      <c r="GV50" s="3526"/>
      <c r="GW50" s="235"/>
      <c r="GX50" s="198"/>
      <c r="GY50" s="764"/>
      <c r="GZ50" s="245"/>
      <c r="HA50" s="1153" t="s">
        <v>934</v>
      </c>
      <c r="HB50" s="3558" t="s">
        <v>935</v>
      </c>
      <c r="HC50" s="3559"/>
      <c r="HD50" s="3559"/>
      <c r="HE50" s="3560"/>
      <c r="HF50" s="246"/>
      <c r="HG50" s="503">
        <f t="shared" si="18"/>
        <v>0</v>
      </c>
      <c r="HH50" s="3585">
        <f t="shared" si="18"/>
        <v>0</v>
      </c>
      <c r="HI50" s="3586"/>
      <c r="HJ50" s="503">
        <f t="shared" si="20"/>
        <v>0</v>
      </c>
      <c r="HK50" s="1155">
        <f t="shared" si="19"/>
        <v>0</v>
      </c>
      <c r="HL50" s="466"/>
      <c r="HM50" s="449"/>
      <c r="HN50" s="247"/>
      <c r="HO50" s="1996"/>
      <c r="HP50" s="765"/>
      <c r="HQ50" s="752" t="s">
        <v>2308</v>
      </c>
      <c r="HW50" s="1971" t="s">
        <v>2305</v>
      </c>
      <c r="HZ50" s="277"/>
      <c r="IA50" s="277"/>
      <c r="IB50" s="756"/>
      <c r="IC50" s="277"/>
      <c r="ID50" s="434"/>
      <c r="IE50" s="434"/>
      <c r="IF50" s="434"/>
      <c r="IG50" s="434"/>
      <c r="IH50" s="1970">
        <v>1</v>
      </c>
      <c r="II50" s="1971" t="s">
        <v>2557</v>
      </c>
      <c r="IJ50" s="1969"/>
      <c r="IM50" s="197"/>
      <c r="IN50" s="197"/>
      <c r="IO50" s="754"/>
      <c r="IP50" s="197"/>
      <c r="IQ50" s="197"/>
      <c r="IS50" s="197"/>
      <c r="IT50" s="754"/>
      <c r="IU50" s="1971" t="s">
        <v>2107</v>
      </c>
      <c r="IZ50" s="766"/>
      <c r="JA50" s="1974"/>
      <c r="JB50" s="765"/>
      <c r="JG50" s="1969"/>
      <c r="JI50" s="418"/>
      <c r="JJ50" s="418"/>
      <c r="JK50" s="418"/>
      <c r="JL50" s="418"/>
      <c r="JM50" s="418"/>
      <c r="JN50" s="418"/>
      <c r="JO50" s="418"/>
      <c r="JP50" s="418"/>
      <c r="JQ50" s="418"/>
      <c r="JR50" s="418"/>
      <c r="KC50" s="766"/>
      <c r="KD50" s="1974"/>
      <c r="KE50" s="2031">
        <v>1</v>
      </c>
      <c r="KF50" s="1898" t="s">
        <v>2572</v>
      </c>
      <c r="KG50" s="754"/>
      <c r="KH50" s="1968"/>
      <c r="KI50" s="1971"/>
      <c r="KJ50" s="591"/>
      <c r="KK50" s="591"/>
      <c r="KL50" s="593"/>
      <c r="KM50" s="593"/>
      <c r="KN50" s="593"/>
      <c r="KO50" s="593"/>
      <c r="KP50" s="593"/>
      <c r="KQ50" s="593"/>
      <c r="KY50" s="593"/>
      <c r="KZ50" s="593"/>
      <c r="LA50" s="593"/>
      <c r="LB50" s="593"/>
      <c r="LC50" s="593"/>
      <c r="LD50" s="561"/>
      <c r="LE50" s="756"/>
      <c r="LF50" s="593"/>
      <c r="LG50" s="593"/>
      <c r="LH50" s="593"/>
      <c r="LI50" s="593"/>
      <c r="LJ50" s="593"/>
      <c r="LK50" s="593"/>
      <c r="LL50" s="593"/>
      <c r="LM50" s="593"/>
      <c r="LP50" s="1485" t="s">
        <v>2331</v>
      </c>
      <c r="LQ50" s="2163" t="str">
        <f>'1 Setup'!I33</f>
        <v>Changes Mode</v>
      </c>
      <c r="LR50" s="2046"/>
      <c r="LS50" s="2046"/>
      <c r="LT50" s="2046"/>
      <c r="LU50" s="2046"/>
      <c r="LV50" s="2046"/>
      <c r="LW50" s="2046"/>
      <c r="LX50" s="2047"/>
      <c r="LY50" s="1987"/>
      <c r="LZ50" s="1987"/>
      <c r="MA50" s="1987"/>
      <c r="MB50" s="1987"/>
      <c r="MC50" s="1987"/>
      <c r="MD50" s="1987"/>
      <c r="ME50" s="1987"/>
      <c r="MF50" s="1987"/>
      <c r="MG50" s="1987"/>
      <c r="MH50" s="1987"/>
      <c r="MI50" s="1987"/>
      <c r="MJ50" s="1987"/>
      <c r="MK50" s="1987"/>
      <c r="ML50" s="1987"/>
      <c r="MM50" s="1987"/>
      <c r="MN50" s="1987"/>
      <c r="MO50" s="1987"/>
      <c r="MP50" s="1987"/>
      <c r="MQ50" s="1987"/>
      <c r="MR50" s="1987"/>
      <c r="MS50" s="1987"/>
      <c r="MT50" s="1987"/>
      <c r="MU50" s="1982"/>
      <c r="MV50" s="1975"/>
      <c r="MW50" s="765"/>
      <c r="MX50" s="2716"/>
      <c r="MY50" s="2716"/>
      <c r="MZ50" s="2716"/>
      <c r="NA50" s="2716"/>
      <c r="NB50" s="2716"/>
      <c r="ND50" s="132"/>
      <c r="NE50" s="766"/>
      <c r="NF50" s="1975"/>
      <c r="NG50" s="1975"/>
      <c r="NH50" s="1975"/>
      <c r="NI50" s="1975"/>
    </row>
    <row r="51" spans="1:373" ht="15.9" customHeight="1" thickBot="1" x14ac:dyDescent="0.35">
      <c r="A51" s="266">
        <v>6</v>
      </c>
      <c r="B51" s="256" t="str">
        <f t="shared" si="21"/>
        <v>INSURANCE</v>
      </c>
      <c r="C51" s="236"/>
      <c r="D51" s="314">
        <f>SUMIFS('3b Activity Plan'!$AA$173:$AA$364,'3b Activity Plan'!$DC$173:$DC$364,B51,'3b Activity Plan'!$CY$173:$CY$364,1,'3b Activity Plan'!$AH$173:$AH$364,1,'3b Activity Plan'!$CR$173:$CR$364,0)</f>
        <v>0</v>
      </c>
      <c r="E51" s="314">
        <f>SUMIFS('3b Activity Plan'!$AB$173:$AB$364,'3b Activity Plan'!$DC$173:$DC$364,$B51,'3b Activity Plan'!$CY$173:$CY$364,1,'3b Activity Plan'!$CT$173:$CT$364,1,'3b Activity Plan'!$CR$173:$CR$364,0)</f>
        <v>0</v>
      </c>
      <c r="F51" s="586"/>
      <c r="G51" s="236"/>
      <c r="H51" s="314">
        <f>SUMIFS('3a Staff Plan'!$AA$129:$AA$305,'3a Staff Plan'!$DT$129:$DT$305,B51,'3a Staff Plan'!$DF$129:$DF$305,1,'3a Staff Plan'!$AG$129:$AG$305,1,'3a Staff Plan'!$CY$129:$CY$305,0)</f>
        <v>0</v>
      </c>
      <c r="I51" s="314">
        <f>SUMIFS('3a Staff Plan'!$AB$129:$AB$305,'3a Staff Plan'!$DT$129:$DT$305,$B51,'3a Staff Plan'!$DF$129:$DF$305,1,'3a Staff Plan'!$DA$129:$DA$305,1,'3a Staff Plan'!$CY$129:$CY$305,0)</f>
        <v>0</v>
      </c>
      <c r="J51" s="586"/>
      <c r="K51" s="236"/>
      <c r="L51" s="314">
        <f t="shared" si="14"/>
        <v>0</v>
      </c>
      <c r="M51" s="314">
        <f t="shared" si="15"/>
        <v>0</v>
      </c>
      <c r="N51" s="220"/>
      <c r="O51" s="1834"/>
      <c r="P51" s="1837"/>
      <c r="Q51" s="1836">
        <f>IF(OR('1 Setup'!G8=4,'1 Setup'!G8=5),'1 Setup'!W96,0)</f>
        <v>0</v>
      </c>
      <c r="R51" s="198"/>
      <c r="S51" s="198"/>
      <c r="T51" s="879"/>
      <c r="U51" s="222"/>
      <c r="V51" s="1880">
        <f>'1 Setup'!N4</f>
        <v>1</v>
      </c>
      <c r="W51" s="666"/>
      <c r="X51" s="666"/>
      <c r="Y51" s="666"/>
      <c r="Z51" s="667" t="s">
        <v>2041</v>
      </c>
      <c r="AA51" s="667"/>
      <c r="AB51" s="667"/>
      <c r="AC51" s="667"/>
      <c r="AD51" s="667"/>
      <c r="AE51" s="667"/>
      <c r="AF51" s="667"/>
      <c r="AG51" s="667"/>
      <c r="AH51" s="667"/>
      <c r="AI51" s="667"/>
      <c r="AJ51" s="668"/>
      <c r="AK51" s="203"/>
      <c r="AL51" s="1880">
        <f>'1 Setup'!N3</f>
        <v>0</v>
      </c>
      <c r="AM51" s="669"/>
      <c r="AN51" s="669"/>
      <c r="AO51" s="669"/>
      <c r="AP51" s="670" t="s">
        <v>2042</v>
      </c>
      <c r="AQ51" s="670"/>
      <c r="AR51" s="670"/>
      <c r="AS51" s="670"/>
      <c r="AT51" s="670"/>
      <c r="AU51" s="670"/>
      <c r="AV51" s="670"/>
      <c r="AW51" s="670"/>
      <c r="AX51" s="670"/>
      <c r="AY51" s="671"/>
      <c r="AZ51" s="658"/>
      <c r="BA51" s="672"/>
      <c r="BB51" s="673"/>
      <c r="BC51" s="673"/>
      <c r="BD51" s="673"/>
      <c r="BE51" s="674" t="s">
        <v>2043</v>
      </c>
      <c r="BF51" s="674"/>
      <c r="BG51" s="674"/>
      <c r="BH51" s="674"/>
      <c r="BI51" s="674"/>
      <c r="BJ51" s="674"/>
      <c r="BK51" s="674"/>
      <c r="BL51" s="674"/>
      <c r="BM51" s="674"/>
      <c r="BN51" s="675"/>
      <c r="BO51" s="658"/>
      <c r="BP51" s="663"/>
      <c r="BQ51" s="538"/>
      <c r="BR51" s="538"/>
      <c r="BS51" s="538"/>
      <c r="BT51" s="663"/>
      <c r="BU51" s="677">
        <f>V51</f>
        <v>1</v>
      </c>
      <c r="BV51" s="1766" t="s">
        <v>2044</v>
      </c>
      <c r="BW51" s="667"/>
      <c r="BX51" s="667"/>
      <c r="BY51" s="667"/>
      <c r="BZ51" s="667"/>
      <c r="CA51" s="667"/>
      <c r="CB51" s="667"/>
      <c r="CC51" s="667"/>
      <c r="CD51" s="668"/>
      <c r="CE51" s="1751"/>
      <c r="CF51" s="538"/>
      <c r="CG51" s="538"/>
      <c r="CH51" s="538"/>
      <c r="CI51" s="663"/>
      <c r="CJ51" s="676">
        <f>AL51</f>
        <v>0</v>
      </c>
      <c r="CK51" s="1769" t="s">
        <v>2045</v>
      </c>
      <c r="CL51" s="670"/>
      <c r="CM51" s="670"/>
      <c r="CN51" s="670"/>
      <c r="CO51" s="670"/>
      <c r="CP51" s="670"/>
      <c r="CQ51" s="670"/>
      <c r="CR51" s="670"/>
      <c r="CS51" s="671"/>
      <c r="CT51" s="1751"/>
      <c r="CU51" s="538"/>
      <c r="CV51" s="538"/>
      <c r="CW51" s="538"/>
      <c r="CX51" s="663"/>
      <c r="CY51" s="1770" t="s">
        <v>2046</v>
      </c>
      <c r="CZ51" s="674"/>
      <c r="DA51" s="674"/>
      <c r="DB51" s="674"/>
      <c r="DC51" s="674"/>
      <c r="DD51" s="674"/>
      <c r="DE51" s="674"/>
      <c r="DF51" s="674"/>
      <c r="DG51" s="674"/>
      <c r="DH51" s="675"/>
      <c r="DI51" s="1751"/>
      <c r="DJ51" s="1751"/>
      <c r="DK51" s="663"/>
      <c r="DL51" s="1017"/>
      <c r="DM51" s="235"/>
      <c r="DN51" s="235"/>
      <c r="DO51" s="235"/>
      <c r="DP51" s="1050"/>
      <c r="DQ51" s="538"/>
      <c r="DR51" s="538"/>
      <c r="DS51" s="538"/>
      <c r="DT51" s="1933" t="s">
        <v>3375</v>
      </c>
      <c r="DU51" s="314">
        <f ca="1">DU62-SUM(DU45:DU50)</f>
        <v>68492.781825000013</v>
      </c>
      <c r="DV51" s="314">
        <f>DV62-SUM(DV45:DV50)</f>
        <v>37383.684232</v>
      </c>
      <c r="DW51" s="314">
        <f>DW62-SUM(DW45:DW50)</f>
        <v>24594.5291</v>
      </c>
      <c r="DX51" s="198"/>
      <c r="DY51" s="235"/>
      <c r="DZ51" s="235"/>
      <c r="EA51" s="203"/>
      <c r="EB51" s="3526"/>
      <c r="EC51" s="3526"/>
      <c r="ED51" s="1626"/>
      <c r="EE51" s="1626"/>
      <c r="EF51" s="1626"/>
      <c r="EG51" s="235"/>
      <c r="EH51" s="3563"/>
      <c r="EI51" s="235"/>
      <c r="EJ51" s="422"/>
      <c r="EK51" s="422"/>
      <c r="EL51" s="435">
        <f>IFERROR(INDEX('Fringe Data'!#REF!,MATCH(EJ53,'Fringe Data'!#REF!,0))/INDEX('Fringe Data'!#REF!,MATCH(EL50,'Fringe Data'!#REF!,0)),1)</f>
        <v>1</v>
      </c>
      <c r="EM51" s="2819" t="s">
        <v>3490</v>
      </c>
      <c r="EN51" s="422"/>
      <c r="EO51" s="422"/>
      <c r="EP51" s="3563"/>
      <c r="EQ51" s="3563"/>
      <c r="ER51" s="3563"/>
      <c r="ES51" s="3563"/>
      <c r="ET51" s="3563"/>
      <c r="EU51" s="3563"/>
      <c r="EV51" s="1956"/>
      <c r="EW51" s="235"/>
      <c r="EX51" s="427" t="s">
        <v>1519</v>
      </c>
      <c r="EY51" s="427"/>
      <c r="EZ51" s="3526"/>
      <c r="FA51" s="3563"/>
      <c r="FB51" s="3563"/>
      <c r="FC51" s="419"/>
      <c r="FD51" s="427" t="s">
        <v>471</v>
      </c>
      <c r="FE51" s="427" t="s">
        <v>471</v>
      </c>
      <c r="FF51" s="1620"/>
      <c r="FG51" s="427" t="s">
        <v>471</v>
      </c>
      <c r="FH51" s="427" t="s">
        <v>471</v>
      </c>
      <c r="FI51" s="235"/>
      <c r="FJ51" s="3569"/>
      <c r="FK51" s="427"/>
      <c r="FL51" s="427"/>
      <c r="FM51" s="427"/>
      <c r="FN51" s="1162"/>
      <c r="FO51" s="427"/>
      <c r="FP51" s="1620"/>
      <c r="FQ51" s="1627"/>
      <c r="FR51" s="1627"/>
      <c r="FS51" s="1627"/>
      <c r="FT51" s="235"/>
      <c r="FU51" s="235"/>
      <c r="FV51" s="235"/>
      <c r="FW51" s="235"/>
      <c r="FX51" s="235"/>
      <c r="FY51" s="235"/>
      <c r="FZ51" s="235"/>
      <c r="GA51" s="235"/>
      <c r="GB51" s="235"/>
      <c r="GC51" s="235"/>
      <c r="GD51" s="235"/>
      <c r="GE51" s="235"/>
      <c r="GF51" s="3526"/>
      <c r="GG51" s="808"/>
      <c r="GH51" s="808"/>
      <c r="GI51" s="1540"/>
      <c r="GJ51" s="1711"/>
      <c r="GK51" s="1711"/>
      <c r="GL51" s="688"/>
      <c r="GM51" s="1841"/>
      <c r="GN51" s="1841"/>
      <c r="GO51" s="1841"/>
      <c r="GP51" s="1521"/>
      <c r="GQ51" s="688"/>
      <c r="GR51" s="690"/>
      <c r="GS51" s="3546"/>
      <c r="GT51" s="690"/>
      <c r="GU51" s="3526"/>
      <c r="GV51" s="3526"/>
      <c r="GW51" s="235"/>
      <c r="GX51" s="198"/>
      <c r="GY51" s="764"/>
      <c r="GZ51" s="245"/>
      <c r="HA51" s="1153" t="s">
        <v>635</v>
      </c>
      <c r="HB51" s="3558" t="s">
        <v>636</v>
      </c>
      <c r="HC51" s="3559"/>
      <c r="HD51" s="3559"/>
      <c r="HE51" s="3560"/>
      <c r="HF51" s="246"/>
      <c r="HG51" s="503">
        <f t="shared" si="18"/>
        <v>0</v>
      </c>
      <c r="HH51" s="3585">
        <f t="shared" si="18"/>
        <v>0</v>
      </c>
      <c r="HI51" s="3586"/>
      <c r="HJ51" s="503">
        <f t="shared" si="20"/>
        <v>0</v>
      </c>
      <c r="HK51" s="1155">
        <f t="shared" si="19"/>
        <v>0</v>
      </c>
      <c r="HL51" s="466"/>
      <c r="HM51" s="449"/>
      <c r="HN51" s="247"/>
      <c r="HO51" s="1997"/>
      <c r="HP51" s="765"/>
      <c r="HQ51" s="905"/>
      <c r="HR51" s="1972" t="s">
        <v>1177</v>
      </c>
      <c r="HW51" s="1971" t="s">
        <v>2306</v>
      </c>
      <c r="HZ51" s="277"/>
      <c r="IA51" s="277"/>
      <c r="IB51" s="756"/>
      <c r="IC51" s="277"/>
      <c r="ID51" s="434"/>
      <c r="IE51" s="434"/>
      <c r="IF51" s="434"/>
      <c r="IG51" s="434"/>
      <c r="IH51" s="1970">
        <v>2</v>
      </c>
      <c r="II51" s="1971" t="s">
        <v>2558</v>
      </c>
      <c r="IJ51" s="1969"/>
      <c r="IN51" s="197"/>
      <c r="IO51" s="754"/>
      <c r="IP51" s="197"/>
      <c r="IQ51" s="197"/>
      <c r="IS51" s="197"/>
      <c r="IT51" s="754"/>
      <c r="IU51" s="1971" t="s">
        <v>3364</v>
      </c>
      <c r="IZ51" s="766"/>
      <c r="JA51" s="1974"/>
      <c r="JB51" s="765"/>
      <c r="JC51" s="1980">
        <v>1</v>
      </c>
      <c r="JD51" s="1971" t="s">
        <v>2554</v>
      </c>
      <c r="JH51" s="749"/>
      <c r="JI51" s="749"/>
      <c r="JN51" s="749"/>
      <c r="JP51" s="418"/>
      <c r="JQ51" s="418"/>
      <c r="JR51" s="418"/>
      <c r="KC51" s="766"/>
      <c r="KD51" s="1974"/>
      <c r="KE51" s="2031">
        <v>2</v>
      </c>
      <c r="KF51" s="1898" t="s">
        <v>2613</v>
      </c>
      <c r="KG51" s="754"/>
      <c r="KJ51" s="591"/>
      <c r="KK51" s="591"/>
      <c r="KL51" s="593"/>
      <c r="KY51" s="593"/>
      <c r="KZ51" s="593"/>
      <c r="LA51" s="593"/>
      <c r="LB51" s="593"/>
      <c r="LC51" s="593"/>
      <c r="LN51" s="593"/>
      <c r="LO51" s="593"/>
      <c r="LP51" s="1485" t="s">
        <v>2291</v>
      </c>
      <c r="LQ51" s="2055" t="str">
        <f>JH56</f>
        <v>10.  Category Rates with Scaling Factor</v>
      </c>
      <c r="LR51" s="2057"/>
      <c r="LS51" s="2057"/>
      <c r="LT51" s="2057"/>
      <c r="LU51" s="2057"/>
      <c r="LV51" s="2057"/>
      <c r="LW51" s="2057"/>
      <c r="LX51" s="2058"/>
      <c r="LY51" s="1987"/>
      <c r="LZ51" s="1987"/>
      <c r="MA51" s="1987"/>
      <c r="MB51" s="1987"/>
      <c r="MC51" s="1987"/>
      <c r="MD51" s="1987"/>
      <c r="ME51" s="1987"/>
      <c r="MF51" s="1987"/>
      <c r="MG51" s="1987"/>
      <c r="MH51" s="1987"/>
      <c r="MI51" s="1987"/>
      <c r="MJ51" s="1987"/>
      <c r="MK51" s="1987"/>
      <c r="ML51" s="1987"/>
      <c r="MM51" s="1987"/>
      <c r="MN51" s="1987"/>
      <c r="MO51" s="1987"/>
      <c r="MP51" s="1987"/>
      <c r="MQ51" s="1987"/>
      <c r="MR51" s="1987"/>
      <c r="MS51" s="1987"/>
      <c r="MT51" s="1987"/>
      <c r="MU51" s="1982"/>
      <c r="MV51" s="1975"/>
      <c r="MW51" s="765"/>
      <c r="MX51" s="2721" t="s">
        <v>3347</v>
      </c>
      <c r="MY51" s="2716"/>
      <c r="MZ51" s="2716"/>
      <c r="NA51" s="2716"/>
      <c r="NB51" s="2736" t="s">
        <v>193</v>
      </c>
      <c r="ND51" s="132"/>
      <c r="NE51" s="766"/>
      <c r="NF51" s="1975"/>
      <c r="NG51" s="1975"/>
      <c r="NH51" s="1975"/>
      <c r="NI51" s="1975"/>
    </row>
    <row r="52" spans="1:373" ht="15.9" customHeight="1" x14ac:dyDescent="0.4">
      <c r="A52" s="266">
        <v>7</v>
      </c>
      <c r="B52" s="256" t="str">
        <f t="shared" si="21"/>
        <v>OTHER DIRECT COST</v>
      </c>
      <c r="C52" s="236"/>
      <c r="D52" s="314">
        <f>SUMIFS('3b Activity Plan'!$AA$173:$AA$364,'3b Activity Plan'!$DC$173:$DC$364,B52,'3b Activity Plan'!$CY$173:$CY$364,1,'3b Activity Plan'!$AH$173:$AH$364,1,'3b Activity Plan'!$CR$173:$CR$364,0)</f>
        <v>0</v>
      </c>
      <c r="E52" s="314">
        <f>SUMIFS('3b Activity Plan'!$AB$173:$AB$364,'3b Activity Plan'!$DC$173:$DC$364,$B52,'3b Activity Plan'!$CY$173:$CY$364,1,'3b Activity Plan'!$CT$173:$CT$364,1,'3b Activity Plan'!$CR$173:$CR$364,0)</f>
        <v>0</v>
      </c>
      <c r="F52" s="586"/>
      <c r="G52" s="236"/>
      <c r="H52" s="314">
        <f>SUMIFS('3a Staff Plan'!$AA$129:$AA$305,'3a Staff Plan'!$DT$129:$DT$305,B52,'3a Staff Plan'!$DF$129:$DF$305,1,'3a Staff Plan'!$AG$129:$AG$305,1,'3a Staff Plan'!$CY$129:$CY$305,0)</f>
        <v>0</v>
      </c>
      <c r="I52" s="314">
        <f>SUMIFS('3a Staff Plan'!$AB$129:$AB$305,'3a Staff Plan'!$DT$129:$DT$305,$B52,'3a Staff Plan'!$DF$129:$DF$305,1,'3a Staff Plan'!$DA$129:$DA$305,1,'3a Staff Plan'!$CY$129:$CY$305,0)</f>
        <v>0</v>
      </c>
      <c r="J52" s="586"/>
      <c r="K52" s="236"/>
      <c r="L52" s="314">
        <f t="shared" si="14"/>
        <v>0</v>
      </c>
      <c r="M52" s="314">
        <f t="shared" si="15"/>
        <v>0</v>
      </c>
      <c r="N52" s="220"/>
      <c r="O52" s="1834"/>
      <c r="P52" s="3556"/>
      <c r="Q52" s="3556"/>
      <c r="R52" s="3556"/>
      <c r="S52" s="3556"/>
      <c r="T52" s="879"/>
      <c r="U52" s="222"/>
      <c r="V52" s="3526" t="s">
        <v>121</v>
      </c>
      <c r="W52" s="3526" t="s">
        <v>2186</v>
      </c>
      <c r="X52" s="3546"/>
      <c r="Y52" s="3546" t="s">
        <v>2040</v>
      </c>
      <c r="Z52" s="592"/>
      <c r="AA52" s="3526" t="s">
        <v>1998</v>
      </c>
      <c r="AB52" s="3526" t="s">
        <v>1999</v>
      </c>
      <c r="AC52" s="3526" t="s">
        <v>2000</v>
      </c>
      <c r="AD52" s="3526" t="s">
        <v>2001</v>
      </c>
      <c r="AE52" s="3526" t="s">
        <v>2002</v>
      </c>
      <c r="AF52" s="3526" t="s">
        <v>2003</v>
      </c>
      <c r="AG52" s="3526" t="s">
        <v>2004</v>
      </c>
      <c r="AH52" s="3526" t="s">
        <v>2005</v>
      </c>
      <c r="AI52" s="3526" t="s">
        <v>2006</v>
      </c>
      <c r="AJ52" s="3526" t="s">
        <v>2007</v>
      </c>
      <c r="AK52" s="203"/>
      <c r="AL52" s="3526" t="s">
        <v>2186</v>
      </c>
      <c r="AM52" s="3546"/>
      <c r="AN52" s="3546" t="s">
        <v>2040</v>
      </c>
      <c r="AO52" s="658"/>
      <c r="AP52" s="3526" t="s">
        <v>1998</v>
      </c>
      <c r="AQ52" s="3526" t="s">
        <v>1999</v>
      </c>
      <c r="AR52" s="3526" t="s">
        <v>2000</v>
      </c>
      <c r="AS52" s="3526" t="s">
        <v>2001</v>
      </c>
      <c r="AT52" s="3526" t="s">
        <v>2002</v>
      </c>
      <c r="AU52" s="3526" t="s">
        <v>2003</v>
      </c>
      <c r="AV52" s="3526" t="s">
        <v>2004</v>
      </c>
      <c r="AW52" s="3526" t="s">
        <v>2005</v>
      </c>
      <c r="AX52" s="3526" t="s">
        <v>2006</v>
      </c>
      <c r="AY52" s="3526" t="s">
        <v>2007</v>
      </c>
      <c r="AZ52" s="658"/>
      <c r="BA52" s="3526" t="s">
        <v>2186</v>
      </c>
      <c r="BB52" s="3546"/>
      <c r="BC52" s="3546" t="s">
        <v>2040</v>
      </c>
      <c r="BD52" s="658"/>
      <c r="BE52" s="3526" t="s">
        <v>1998</v>
      </c>
      <c r="BF52" s="3526" t="s">
        <v>1999</v>
      </c>
      <c r="BG52" s="3526" t="s">
        <v>2000</v>
      </c>
      <c r="BH52" s="3526" t="s">
        <v>2001</v>
      </c>
      <c r="BI52" s="3526" t="s">
        <v>2002</v>
      </c>
      <c r="BJ52" s="3526" t="s">
        <v>2003</v>
      </c>
      <c r="BK52" s="3526" t="s">
        <v>2004</v>
      </c>
      <c r="BL52" s="3526" t="s">
        <v>2005</v>
      </c>
      <c r="BM52" s="3526" t="s">
        <v>2006</v>
      </c>
      <c r="BN52" s="3526" t="s">
        <v>2007</v>
      </c>
      <c r="BO52" s="658"/>
      <c r="BP52" s="3547" t="s">
        <v>121</v>
      </c>
      <c r="BQ52" s="3547" t="s">
        <v>2189</v>
      </c>
      <c r="BR52" s="3546"/>
      <c r="BS52" s="3546" t="s">
        <v>2048</v>
      </c>
      <c r="BT52" s="1751"/>
      <c r="BU52" s="3526" t="s">
        <v>2176</v>
      </c>
      <c r="BV52" s="3526" t="s">
        <v>2177</v>
      </c>
      <c r="BW52" s="3526" t="s">
        <v>2178</v>
      </c>
      <c r="BX52" s="3526" t="s">
        <v>2179</v>
      </c>
      <c r="BY52" s="3526" t="s">
        <v>2180</v>
      </c>
      <c r="BZ52" s="3526" t="s">
        <v>2181</v>
      </c>
      <c r="CA52" s="3526" t="s">
        <v>2182</v>
      </c>
      <c r="CB52" s="3526" t="s">
        <v>2183</v>
      </c>
      <c r="CC52" s="3526" t="s">
        <v>2184</v>
      </c>
      <c r="CD52" s="3526" t="s">
        <v>2185</v>
      </c>
      <c r="CE52" s="1751"/>
      <c r="CF52" s="3547" t="s">
        <v>2189</v>
      </c>
      <c r="CG52" s="3546" t="s">
        <v>2047</v>
      </c>
      <c r="CH52" s="3546" t="s">
        <v>2048</v>
      </c>
      <c r="CI52" s="1751"/>
      <c r="CJ52" s="3526" t="s">
        <v>2176</v>
      </c>
      <c r="CK52" s="3526" t="s">
        <v>2177</v>
      </c>
      <c r="CL52" s="3526" t="s">
        <v>2178</v>
      </c>
      <c r="CM52" s="3526" t="s">
        <v>2179</v>
      </c>
      <c r="CN52" s="3526" t="s">
        <v>2180</v>
      </c>
      <c r="CO52" s="3526" t="s">
        <v>2181</v>
      </c>
      <c r="CP52" s="3526" t="s">
        <v>2182</v>
      </c>
      <c r="CQ52" s="3526" t="s">
        <v>2183</v>
      </c>
      <c r="CR52" s="3526" t="s">
        <v>2184</v>
      </c>
      <c r="CS52" s="3526" t="s">
        <v>2185</v>
      </c>
      <c r="CT52" s="1751"/>
      <c r="CU52" s="3547" t="s">
        <v>4046</v>
      </c>
      <c r="CV52" s="3546"/>
      <c r="CW52" s="3546" t="s">
        <v>4045</v>
      </c>
      <c r="CX52" s="1751"/>
      <c r="CY52" s="3526" t="s">
        <v>2176</v>
      </c>
      <c r="CZ52" s="3526" t="s">
        <v>2177</v>
      </c>
      <c r="DA52" s="3526" t="s">
        <v>2178</v>
      </c>
      <c r="DB52" s="3526" t="s">
        <v>2179</v>
      </c>
      <c r="DC52" s="3526" t="s">
        <v>2180</v>
      </c>
      <c r="DD52" s="3526" t="s">
        <v>2181</v>
      </c>
      <c r="DE52" s="3526" t="s">
        <v>2182</v>
      </c>
      <c r="DF52" s="3526" t="s">
        <v>2183</v>
      </c>
      <c r="DG52" s="3526" t="s">
        <v>2184</v>
      </c>
      <c r="DH52" s="3526" t="s">
        <v>2185</v>
      </c>
      <c r="DI52" s="1751"/>
      <c r="DJ52" s="1751"/>
      <c r="DK52" s="3526"/>
      <c r="DL52" s="1017"/>
      <c r="DM52" s="235"/>
      <c r="DN52" s="235"/>
      <c r="DO52" s="235"/>
      <c r="DP52" s="1050"/>
      <c r="DQ52" s="235"/>
      <c r="DR52" s="235"/>
      <c r="DS52" s="235"/>
      <c r="DT52" s="1050"/>
      <c r="DU52" s="235"/>
      <c r="DV52" s="235"/>
      <c r="DW52" s="235"/>
      <c r="DX52" s="198"/>
      <c r="DY52" s="235"/>
      <c r="DZ52" s="235"/>
      <c r="EA52" s="203"/>
      <c r="EB52" s="3526"/>
      <c r="EC52" s="3526"/>
      <c r="ED52" s="1627" t="s">
        <v>1682</v>
      </c>
      <c r="EE52" s="722" t="s">
        <v>1636</v>
      </c>
      <c r="EF52" s="1627"/>
      <c r="EG52" s="722" t="s">
        <v>374</v>
      </c>
      <c r="EH52" s="3563"/>
      <c r="EI52" s="722" t="s">
        <v>2399</v>
      </c>
      <c r="EJ52" s="722" t="s">
        <v>3398</v>
      </c>
      <c r="EK52" s="722" t="s">
        <v>1523</v>
      </c>
      <c r="EL52" s="722" t="s">
        <v>489</v>
      </c>
      <c r="EM52" s="422"/>
      <c r="EN52" s="422"/>
      <c r="EO52" s="722" t="s">
        <v>489</v>
      </c>
      <c r="EP52" s="3563"/>
      <c r="EQ52" s="3563"/>
      <c r="ER52" s="3563"/>
      <c r="ES52" s="3563"/>
      <c r="ET52" s="3563"/>
      <c r="EU52" s="3563"/>
      <c r="EV52" s="1956"/>
      <c r="EW52" s="235"/>
      <c r="EX52" s="1526">
        <f>'1 Setup'!I66</f>
        <v>0.52</v>
      </c>
      <c r="EY52" s="427"/>
      <c r="EZ52" s="3526"/>
      <c r="FA52" s="3563"/>
      <c r="FB52" s="3563"/>
      <c r="FC52" s="419"/>
      <c r="FD52" s="753">
        <f>OR($FJ$52=1,$FJ$52=2)*1</f>
        <v>0</v>
      </c>
      <c r="FE52" s="753">
        <f>OR($FJ$52=3,$FJ$52=4,$FJ$52=5)*1</f>
        <v>0</v>
      </c>
      <c r="FF52" s="1620"/>
      <c r="FG52" s="753">
        <f>OR($FJ$52=3,$FJ$52=4,$FJ$52=5)*1</f>
        <v>0</v>
      </c>
      <c r="FH52" s="753">
        <f>($FJ$52=5)*1</f>
        <v>0</v>
      </c>
      <c r="FI52" s="235"/>
      <c r="FJ52" s="318">
        <f>IX4</f>
        <v>10</v>
      </c>
      <c r="FK52" s="427"/>
      <c r="FL52" s="427"/>
      <c r="FM52" s="427"/>
      <c r="FN52" s="1162"/>
      <c r="FO52" s="427"/>
      <c r="FP52" s="1620"/>
      <c r="FQ52" s="1627"/>
      <c r="FR52" s="1627"/>
      <c r="FS52" s="1627"/>
      <c r="FT52" s="538" t="s">
        <v>1578</v>
      </c>
      <c r="FU52" s="235"/>
      <c r="FV52" s="235"/>
      <c r="FW52" s="235"/>
      <c r="FX52" s="235"/>
      <c r="FY52" s="235"/>
      <c r="FZ52" s="235"/>
      <c r="GA52" s="235"/>
      <c r="GB52" s="235"/>
      <c r="GC52" s="235"/>
      <c r="GD52" s="235"/>
      <c r="GE52" s="235"/>
      <c r="GF52" s="3526"/>
      <c r="GG52" s="808"/>
      <c r="GH52" s="808"/>
      <c r="GI52" s="1540"/>
      <c r="GJ52" s="1711"/>
      <c r="GK52" s="1711"/>
      <c r="GL52" s="688"/>
      <c r="GM52" s="1841"/>
      <c r="GN52" s="1841"/>
      <c r="GO52" s="1841"/>
      <c r="GP52" s="1521"/>
      <c r="GQ52" s="2669"/>
      <c r="GR52" s="690"/>
      <c r="GS52" s="3546"/>
      <c r="GT52" s="3526" t="s">
        <v>1606</v>
      </c>
      <c r="GU52" s="3526"/>
      <c r="GV52" s="3526"/>
      <c r="GW52" s="3526" t="s">
        <v>2792</v>
      </c>
      <c r="GX52" s="3526" t="s">
        <v>2803</v>
      </c>
      <c r="GY52" s="764"/>
      <c r="GZ52" s="245"/>
      <c r="HA52" s="1153" t="s">
        <v>628</v>
      </c>
      <c r="HB52" s="3558" t="s">
        <v>629</v>
      </c>
      <c r="HC52" s="3559"/>
      <c r="HD52" s="3559"/>
      <c r="HE52" s="3560"/>
      <c r="HF52" s="246"/>
      <c r="HG52" s="503">
        <f t="shared" si="18"/>
        <v>0</v>
      </c>
      <c r="HH52" s="3585">
        <f t="shared" si="18"/>
        <v>0</v>
      </c>
      <c r="HI52" s="3586"/>
      <c r="HJ52" s="503">
        <f t="shared" si="20"/>
        <v>0</v>
      </c>
      <c r="HK52" s="1155">
        <f t="shared" si="19"/>
        <v>0</v>
      </c>
      <c r="HL52" s="466"/>
      <c r="HM52" s="449"/>
      <c r="HN52" s="247"/>
      <c r="HO52" s="1997"/>
      <c r="HP52" s="765"/>
      <c r="HQ52" s="544"/>
      <c r="HR52" s="1972" t="s">
        <v>1174</v>
      </c>
      <c r="HW52" s="1971" t="s">
        <v>2560</v>
      </c>
      <c r="HZ52" s="277"/>
      <c r="IA52" s="277"/>
      <c r="IB52" s="756"/>
      <c r="IC52" s="277"/>
      <c r="ID52" s="434"/>
      <c r="IE52" s="434"/>
      <c r="IF52" s="434"/>
      <c r="IG52" s="434"/>
      <c r="IH52" s="1970">
        <v>3</v>
      </c>
      <c r="II52" s="1971" t="s">
        <v>2559</v>
      </c>
      <c r="IJ52" s="1969"/>
      <c r="IM52" s="197"/>
      <c r="IN52" s="197"/>
      <c r="IO52" s="754"/>
      <c r="IP52" s="197"/>
      <c r="IQ52" s="197"/>
      <c r="IS52" s="197"/>
      <c r="IT52" s="754"/>
      <c r="IU52" s="1971" t="s">
        <v>3366</v>
      </c>
      <c r="IV52" s="377"/>
      <c r="IW52" s="377"/>
      <c r="IZ52" s="766"/>
      <c r="JA52" s="1974"/>
      <c r="JB52" s="765"/>
      <c r="JC52" s="1980">
        <v>2</v>
      </c>
      <c r="JD52" s="1971" t="s">
        <v>2556</v>
      </c>
      <c r="JI52" s="418"/>
      <c r="JJ52" s="418"/>
      <c r="JK52" s="418"/>
      <c r="JL52" s="418"/>
      <c r="JM52" s="418"/>
      <c r="JN52" s="418"/>
      <c r="JO52" s="418"/>
      <c r="JP52" s="418"/>
      <c r="JQ52" s="418"/>
      <c r="JR52" s="418"/>
      <c r="KC52" s="766"/>
      <c r="KD52" s="1974"/>
      <c r="KE52" s="2031">
        <v>3</v>
      </c>
      <c r="KF52" s="1898" t="s">
        <v>2612</v>
      </c>
      <c r="KG52" s="754"/>
      <c r="KL52" s="749"/>
      <c r="KT52" s="749"/>
      <c r="LD52" s="561"/>
      <c r="LE52" s="532"/>
      <c r="LY52" s="1987"/>
      <c r="LZ52" s="1987"/>
      <c r="MA52" s="1987"/>
      <c r="MB52" s="1987"/>
      <c r="MC52" s="1987"/>
      <c r="MD52" s="1987"/>
      <c r="ME52" s="1987"/>
      <c r="MF52" s="1987"/>
      <c r="MG52" s="1987"/>
      <c r="MH52" s="1987"/>
      <c r="MI52" s="1987"/>
      <c r="MJ52" s="1987"/>
      <c r="MK52" s="1987"/>
      <c r="ML52" s="1987"/>
      <c r="MM52" s="1987"/>
      <c r="MN52" s="1987"/>
      <c r="MO52" s="1987"/>
      <c r="MP52" s="1987"/>
      <c r="MQ52" s="1987"/>
      <c r="MR52" s="1987"/>
      <c r="MS52" s="1987"/>
      <c r="MT52" s="1987"/>
      <c r="MU52" s="1982"/>
      <c r="MV52" s="1975"/>
      <c r="MW52" s="765"/>
      <c r="MZ52" s="3505" t="s">
        <v>2879</v>
      </c>
      <c r="NA52" s="2654"/>
      <c r="NB52" s="3492" t="str">
        <f>CHOOSE(NB13,ND13,ND14)</f>
        <v>Reimbursable</v>
      </c>
      <c r="NC52" s="3493"/>
      <c r="ND52" s="3494"/>
      <c r="NE52" s="766"/>
      <c r="NF52" s="1975"/>
      <c r="NG52" s="1975"/>
      <c r="NH52" s="1975"/>
      <c r="NI52" s="1975"/>
    </row>
    <row r="53" spans="1:373" ht="15.9" customHeight="1" x14ac:dyDescent="0.4">
      <c r="A53" s="266">
        <v>8</v>
      </c>
      <c r="B53" s="256">
        <f t="shared" si="21"/>
        <v>0</v>
      </c>
      <c r="C53" s="236"/>
      <c r="D53" s="314">
        <f>SUMIFS('3b Activity Plan'!$AA$173:$AA$364,'3b Activity Plan'!$DC$173:$DC$364,B53,'3b Activity Plan'!$CY$173:$CY$364,1,'3b Activity Plan'!$AH$173:$AH$364,1,'3b Activity Plan'!$CR$173:$CR$364,0)</f>
        <v>0</v>
      </c>
      <c r="E53" s="314">
        <f>SUMIFS('3b Activity Plan'!$AB$173:$AB$364,'3b Activity Plan'!$DC$173:$DC$364,$B53,'3b Activity Plan'!$CY$173:$CY$364,1,'3b Activity Plan'!$CT$173:$CT$364,1,'3b Activity Plan'!$CR$173:$CR$364,0)</f>
        <v>0</v>
      </c>
      <c r="F53" s="586"/>
      <c r="G53" s="236"/>
      <c r="H53" s="314">
        <f>SUMIFS('3a Staff Plan'!$AA$129:$AA$305,'3a Staff Plan'!$DT$129:$DT$305,B53,'3a Staff Plan'!$DF$129:$DF$305,1,'3a Staff Plan'!$AG$129:$AG$305,1,'3a Staff Plan'!$CY$129:$CY$305,0)</f>
        <v>0</v>
      </c>
      <c r="I53" s="314">
        <f>SUMIFS('3a Staff Plan'!$AB$129:$AB$305,'3a Staff Plan'!$DT$129:$DT$305,$B53,'3a Staff Plan'!$DF$129:$DF$305,1,'3a Staff Plan'!$DA$129:$DA$305,1,'3a Staff Plan'!$CY$129:$CY$305,0)</f>
        <v>0</v>
      </c>
      <c r="J53" s="586"/>
      <c r="K53" s="236"/>
      <c r="L53" s="314">
        <f t="shared" si="14"/>
        <v>0</v>
      </c>
      <c r="M53" s="314">
        <f t="shared" si="15"/>
        <v>0</v>
      </c>
      <c r="N53" s="220"/>
      <c r="O53" s="1834"/>
      <c r="P53" s="3556"/>
      <c r="Q53" s="3556"/>
      <c r="R53" s="3556"/>
      <c r="S53" s="3556"/>
      <c r="T53" s="879"/>
      <c r="U53" s="222"/>
      <c r="V53" s="3526"/>
      <c r="W53" s="3526"/>
      <c r="X53" s="3546"/>
      <c r="Y53" s="3546"/>
      <c r="Z53" s="592"/>
      <c r="AA53" s="3526"/>
      <c r="AB53" s="3526"/>
      <c r="AC53" s="3526"/>
      <c r="AD53" s="3526"/>
      <c r="AE53" s="3526"/>
      <c r="AF53" s="3526"/>
      <c r="AG53" s="3526"/>
      <c r="AH53" s="3526"/>
      <c r="AI53" s="3526"/>
      <c r="AJ53" s="3526"/>
      <c r="AK53" s="203"/>
      <c r="AL53" s="3526"/>
      <c r="AM53" s="3546"/>
      <c r="AN53" s="3546"/>
      <c r="AO53" s="658"/>
      <c r="AP53" s="3526"/>
      <c r="AQ53" s="3526"/>
      <c r="AR53" s="3526"/>
      <c r="AS53" s="3526"/>
      <c r="AT53" s="3526"/>
      <c r="AU53" s="3526"/>
      <c r="AV53" s="3526"/>
      <c r="AW53" s="3526"/>
      <c r="AX53" s="3526"/>
      <c r="AY53" s="3526"/>
      <c r="AZ53" s="658"/>
      <c r="BA53" s="3526"/>
      <c r="BB53" s="3546"/>
      <c r="BC53" s="3546"/>
      <c r="BD53" s="658"/>
      <c r="BE53" s="3526"/>
      <c r="BF53" s="3526"/>
      <c r="BG53" s="3526"/>
      <c r="BH53" s="3526"/>
      <c r="BI53" s="3526"/>
      <c r="BJ53" s="3526"/>
      <c r="BK53" s="3526"/>
      <c r="BL53" s="3526"/>
      <c r="BM53" s="3526"/>
      <c r="BN53" s="3526"/>
      <c r="BO53" s="658"/>
      <c r="BP53" s="3547"/>
      <c r="BQ53" s="3547"/>
      <c r="BR53" s="3546"/>
      <c r="BS53" s="3546"/>
      <c r="BT53" s="1751"/>
      <c r="BU53" s="3526"/>
      <c r="BV53" s="3526"/>
      <c r="BW53" s="3526"/>
      <c r="BX53" s="3526"/>
      <c r="BY53" s="3526"/>
      <c r="BZ53" s="3526"/>
      <c r="CA53" s="3526"/>
      <c r="CB53" s="3526"/>
      <c r="CC53" s="3526"/>
      <c r="CD53" s="3526"/>
      <c r="CE53" s="1751"/>
      <c r="CF53" s="3547"/>
      <c r="CG53" s="3546"/>
      <c r="CH53" s="3546"/>
      <c r="CI53" s="1751"/>
      <c r="CJ53" s="3526"/>
      <c r="CK53" s="3526"/>
      <c r="CL53" s="3526"/>
      <c r="CM53" s="3526"/>
      <c r="CN53" s="3526"/>
      <c r="CO53" s="3526"/>
      <c r="CP53" s="3526"/>
      <c r="CQ53" s="3526"/>
      <c r="CR53" s="3526"/>
      <c r="CS53" s="3526"/>
      <c r="CT53" s="1751"/>
      <c r="CU53" s="3547"/>
      <c r="CV53" s="3546"/>
      <c r="CW53" s="3546"/>
      <c r="CX53" s="1751"/>
      <c r="CY53" s="3526"/>
      <c r="CZ53" s="3526"/>
      <c r="DA53" s="3526"/>
      <c r="DB53" s="3526"/>
      <c r="DC53" s="3526"/>
      <c r="DD53" s="3526"/>
      <c r="DE53" s="3526"/>
      <c r="DF53" s="3526"/>
      <c r="DG53" s="3526"/>
      <c r="DH53" s="3526"/>
      <c r="DI53" s="1751"/>
      <c r="DJ53" s="1751"/>
      <c r="DK53" s="3526"/>
      <c r="DL53" s="1017"/>
      <c r="DM53" s="3526" t="s">
        <v>2190</v>
      </c>
      <c r="DN53" s="3526" t="s">
        <v>2191</v>
      </c>
      <c r="DO53" s="3526" t="s">
        <v>2192</v>
      </c>
      <c r="DP53" s="1050"/>
      <c r="DQ53" s="3526" t="s">
        <v>2193</v>
      </c>
      <c r="DR53" s="3526" t="s">
        <v>2194</v>
      </c>
      <c r="DS53" s="3526" t="s">
        <v>2195</v>
      </c>
      <c r="DT53" s="1050"/>
      <c r="DU53" s="3526" t="s">
        <v>2196</v>
      </c>
      <c r="DV53" s="3526" t="s">
        <v>2197</v>
      </c>
      <c r="DW53" s="3526" t="s">
        <v>2198</v>
      </c>
      <c r="DX53" s="198"/>
      <c r="DY53" s="3526" t="s">
        <v>2303</v>
      </c>
      <c r="DZ53" s="3526" t="s">
        <v>2304</v>
      </c>
      <c r="EA53" s="203"/>
      <c r="EB53" s="3526"/>
      <c r="EC53" s="3526"/>
      <c r="ED53" s="1628">
        <f>IF(ISBLANK('User Guide'!$K$22),1,'User Guide'!$K$22)</f>
        <v>1</v>
      </c>
      <c r="EE53" s="2038">
        <f>KS19</f>
        <v>1</v>
      </c>
      <c r="EF53" s="1627"/>
      <c r="EG53" s="748" t="str">
        <f>IF('1 Setup'!S58&lt;&gt;"",'1 Setup'!S58,'1 Setup'!S55)</f>
        <v>031500 - Highways UK</v>
      </c>
      <c r="EH53" s="3563"/>
      <c r="EI53" s="748" t="str">
        <f>'1 Setup'!I58</f>
        <v>GB - BIAF</v>
      </c>
      <c r="EJ53" s="435" t="str">
        <f>'1 Setup'!I60</f>
        <v>GBP</v>
      </c>
      <c r="EK53" s="435">
        <f>IFERROR(EL51,1)</f>
        <v>1</v>
      </c>
      <c r="EL53" s="435">
        <f>'1 Setup'!T66*EL51</f>
        <v>1.73</v>
      </c>
      <c r="EM53" s="422"/>
      <c r="EN53" s="422"/>
      <c r="EO53" s="435" t="str">
        <f>'1 Setup'!I60</f>
        <v>GBP</v>
      </c>
      <c r="EP53" s="3563"/>
      <c r="EQ53" s="3563"/>
      <c r="ER53" s="3563"/>
      <c r="ES53" s="3563"/>
      <c r="ET53" s="3563"/>
      <c r="EU53" s="3563"/>
      <c r="EV53" s="1956"/>
      <c r="EW53" s="3597" t="s">
        <v>2293</v>
      </c>
      <c r="EX53" s="1525"/>
      <c r="EY53" s="1525"/>
      <c r="EZ53" s="3526"/>
      <c r="FA53" s="3563"/>
      <c r="FB53" s="3563"/>
      <c r="FC53" s="3526" t="s">
        <v>2336</v>
      </c>
      <c r="FD53" s="3563" t="s">
        <v>320</v>
      </c>
      <c r="FE53" s="3563" t="s">
        <v>321</v>
      </c>
      <c r="FF53" s="3563" t="s">
        <v>322</v>
      </c>
      <c r="FG53" s="3563" t="s">
        <v>323</v>
      </c>
      <c r="FH53" s="3563" t="s">
        <v>2098</v>
      </c>
      <c r="FI53" s="3563" t="s">
        <v>437</v>
      </c>
      <c r="FJ53" s="3570" t="s">
        <v>3355</v>
      </c>
      <c r="FK53" s="3563" t="s">
        <v>1082</v>
      </c>
      <c r="FL53" s="3563" t="s">
        <v>1084</v>
      </c>
      <c r="FM53" s="3563" t="s">
        <v>1085</v>
      </c>
      <c r="FN53" s="3570" t="s">
        <v>1081</v>
      </c>
      <c r="FO53" s="3563" t="s">
        <v>1083</v>
      </c>
      <c r="FP53" s="3563" t="s">
        <v>3353</v>
      </c>
      <c r="FQ53" s="3563" t="s">
        <v>3354</v>
      </c>
      <c r="FR53" s="3571" t="s">
        <v>2901</v>
      </c>
      <c r="FS53" s="1535"/>
      <c r="FT53" s="3563" t="s">
        <v>1579</v>
      </c>
      <c r="FU53" s="3563" t="s">
        <v>1580</v>
      </c>
      <c r="FV53" s="3563" t="s">
        <v>1581</v>
      </c>
      <c r="FW53" s="3563" t="s">
        <v>1582</v>
      </c>
      <c r="FX53" s="3563" t="s">
        <v>1583</v>
      </c>
      <c r="FY53" s="3563" t="s">
        <v>1584</v>
      </c>
      <c r="FZ53" s="3563" t="s">
        <v>1585</v>
      </c>
      <c r="GA53" s="3563" t="s">
        <v>1586</v>
      </c>
      <c r="GB53" s="3563" t="s">
        <v>1587</v>
      </c>
      <c r="GC53" s="3563" t="s">
        <v>1588</v>
      </c>
      <c r="GD53" s="1535"/>
      <c r="GE53" s="235"/>
      <c r="GF53" s="3526"/>
      <c r="GG53" s="3563" t="s">
        <v>622</v>
      </c>
      <c r="GH53" s="3563" t="s">
        <v>1804</v>
      </c>
      <c r="GI53" s="3563" t="s">
        <v>1600</v>
      </c>
      <c r="GJ53" s="3563" t="s">
        <v>1800</v>
      </c>
      <c r="GK53" s="3563" t="s">
        <v>1805</v>
      </c>
      <c r="GL53" s="3563" t="s">
        <v>2144</v>
      </c>
      <c r="GM53" s="3563" t="s">
        <v>2145</v>
      </c>
      <c r="GN53" s="3563"/>
      <c r="GO53" s="1840"/>
      <c r="GP53" s="2669"/>
      <c r="GQ53" s="2669"/>
      <c r="GR53" s="690"/>
      <c r="GS53" s="3546"/>
      <c r="GT53" s="3526"/>
      <c r="GU53" s="3526"/>
      <c r="GV53" s="3526"/>
      <c r="GW53" s="3526"/>
      <c r="GX53" s="3526"/>
      <c r="GY53" s="764"/>
      <c r="GZ53" s="245"/>
      <c r="HA53" s="3337" t="s">
        <v>4295</v>
      </c>
      <c r="HB53" s="740"/>
      <c r="HC53" s="740"/>
      <c r="HD53" s="740"/>
      <c r="HE53" s="740"/>
      <c r="HF53" s="740"/>
      <c r="HG53" s="740"/>
      <c r="HH53" s="740"/>
      <c r="HI53" s="740"/>
      <c r="HJ53" s="740"/>
      <c r="HK53" s="740"/>
      <c r="HL53" s="466"/>
      <c r="HM53" s="449"/>
      <c r="HN53" s="247"/>
      <c r="HO53" s="1997"/>
      <c r="HP53" s="765"/>
      <c r="HQ53" s="741">
        <v>1.23</v>
      </c>
      <c r="HR53" s="1972" t="s">
        <v>1175</v>
      </c>
      <c r="HW53" s="1971" t="s">
        <v>2563</v>
      </c>
      <c r="HZ53" s="277"/>
      <c r="IA53" s="277"/>
      <c r="IB53" s="756"/>
      <c r="IC53" s="277"/>
      <c r="ID53" s="434"/>
      <c r="IE53" s="434"/>
      <c r="IF53" s="434"/>
      <c r="IG53" s="434"/>
      <c r="IH53" s="1970">
        <v>3</v>
      </c>
      <c r="II53" s="1971" t="s">
        <v>2573</v>
      </c>
      <c r="IJ53" s="1969"/>
      <c r="IS53" s="197"/>
      <c r="IT53" s="754"/>
      <c r="IU53" s="1971" t="s">
        <v>3365</v>
      </c>
      <c r="IV53" s="377"/>
      <c r="IW53" s="377"/>
      <c r="IX53" s="377"/>
      <c r="IZ53" s="766"/>
      <c r="JA53" s="1974"/>
      <c r="JB53" s="765"/>
      <c r="JC53" s="1980">
        <v>3</v>
      </c>
      <c r="JD53" s="1971" t="s">
        <v>2555</v>
      </c>
      <c r="JI53" s="418"/>
      <c r="JJ53" s="418"/>
      <c r="JK53" s="418"/>
      <c r="JL53" s="418"/>
      <c r="JM53" s="418"/>
      <c r="JN53" s="418"/>
      <c r="JO53" s="418"/>
      <c r="JP53" s="418"/>
      <c r="JQ53" s="418"/>
      <c r="JR53" s="418"/>
      <c r="KC53" s="766"/>
      <c r="KD53" s="1974"/>
      <c r="KE53" s="2031"/>
      <c r="KF53" s="1898"/>
      <c r="KM53" s="1973"/>
      <c r="KN53" s="1973"/>
      <c r="KO53" s="1973"/>
      <c r="KP53" s="1973"/>
      <c r="KQ53" s="1973"/>
      <c r="KR53" s="1973"/>
      <c r="KS53" s="1973"/>
      <c r="LC53" s="749"/>
      <c r="LY53" s="1987"/>
      <c r="LZ53" s="1987"/>
      <c r="MA53" s="1987"/>
      <c r="MB53" s="1987"/>
      <c r="MC53" s="1987"/>
      <c r="MD53" s="1987"/>
      <c r="ME53" s="1987"/>
      <c r="MF53" s="1987"/>
      <c r="MG53" s="1987"/>
      <c r="MH53" s="1987"/>
      <c r="MI53" s="1987"/>
      <c r="MJ53" s="1987"/>
      <c r="MK53" s="1987"/>
      <c r="ML53" s="1987"/>
      <c r="MM53" s="1987"/>
      <c r="MN53" s="1987"/>
      <c r="MO53" s="1987"/>
      <c r="MP53" s="1987"/>
      <c r="MQ53" s="1987"/>
      <c r="MR53" s="1987"/>
      <c r="MS53" s="1987"/>
      <c r="MT53" s="1987"/>
      <c r="MU53" s="1982"/>
      <c r="MV53" s="1975"/>
      <c r="MW53" s="765"/>
      <c r="MX53" s="2032" t="s">
        <v>2869</v>
      </c>
      <c r="MY53" s="2653"/>
      <c r="MZ53" s="3504"/>
      <c r="NA53" s="2654"/>
      <c r="NB53" s="2736" t="s">
        <v>832</v>
      </c>
      <c r="NC53" s="2714"/>
      <c r="ND53" s="2714"/>
      <c r="NE53" s="766"/>
      <c r="NF53" s="1975"/>
      <c r="NG53" s="2777" t="s">
        <v>3397</v>
      </c>
      <c r="NH53" s="1975"/>
      <c r="NI53" s="1975"/>
    </row>
    <row r="54" spans="1:373" ht="15.9" customHeight="1" x14ac:dyDescent="0.4">
      <c r="A54" s="266">
        <v>9</v>
      </c>
      <c r="B54" s="256">
        <f t="shared" ref="B54:B55" si="22">HB54</f>
        <v>0</v>
      </c>
      <c r="C54" s="236"/>
      <c r="D54" s="314">
        <f>SUMIFS('3b Activity Plan'!$AA$173:$AA$364,'3b Activity Plan'!$DC$173:$DC$364,B54,'3b Activity Plan'!$CY$173:$CY$364,1,'3b Activity Plan'!$AH$173:$AH$364,1,'3b Activity Plan'!$CR$173:$CR$364,0)</f>
        <v>0</v>
      </c>
      <c r="E54" s="314">
        <f>SUMIFS('3b Activity Plan'!$AB$173:$AB$364,'3b Activity Plan'!$DC$173:$DC$364,$B54,'3b Activity Plan'!$CY$173:$CY$364,1,'3b Activity Plan'!$CT$173:$CT$364,1,'3b Activity Plan'!$CR$173:$CR$364,0)</f>
        <v>0</v>
      </c>
      <c r="F54" s="586"/>
      <c r="G54" s="236"/>
      <c r="H54" s="314">
        <f>SUMIFS('3a Staff Plan'!$AA$129:$AA$305,'3a Staff Plan'!$DT$129:$DT$305,B54,'3a Staff Plan'!$DF$129:$DF$305,1,'3a Staff Plan'!$AG$129:$AG$305,1,'3a Staff Plan'!$CY$129:$CY$305,0)</f>
        <v>0</v>
      </c>
      <c r="I54" s="314">
        <f>SUMIFS('3a Staff Plan'!$AB$129:$AB$305,'3a Staff Plan'!$DT$129:$DT$305,$B54,'3a Staff Plan'!$DF$129:$DF$305,1,'3a Staff Plan'!$DA$129:$DA$305,1,'3a Staff Plan'!$CY$129:$CY$305,0)</f>
        <v>0</v>
      </c>
      <c r="J54" s="586"/>
      <c r="K54" s="236"/>
      <c r="L54" s="314">
        <f t="shared" si="14"/>
        <v>0</v>
      </c>
      <c r="M54" s="314">
        <f t="shared" si="15"/>
        <v>0</v>
      </c>
      <c r="N54" s="220"/>
      <c r="O54" s="1834"/>
      <c r="P54" s="3556"/>
      <c r="Q54" s="3556"/>
      <c r="R54" s="3556"/>
      <c r="S54" s="3556"/>
      <c r="T54" s="879"/>
      <c r="U54" s="222"/>
      <c r="V54" s="3526"/>
      <c r="W54" s="3526"/>
      <c r="X54" s="3546"/>
      <c r="Y54" s="3546"/>
      <c r="Z54" s="592"/>
      <c r="AA54" s="3526"/>
      <c r="AB54" s="3526"/>
      <c r="AC54" s="3526"/>
      <c r="AD54" s="3526"/>
      <c r="AE54" s="3526"/>
      <c r="AF54" s="3526"/>
      <c r="AG54" s="3526"/>
      <c r="AH54" s="3526"/>
      <c r="AI54" s="3526"/>
      <c r="AJ54" s="3526"/>
      <c r="AK54" s="203"/>
      <c r="AL54" s="3526"/>
      <c r="AM54" s="3546"/>
      <c r="AN54" s="3546"/>
      <c r="AO54" s="658"/>
      <c r="AP54" s="3526"/>
      <c r="AQ54" s="3526"/>
      <c r="AR54" s="3526"/>
      <c r="AS54" s="3526"/>
      <c r="AT54" s="3526"/>
      <c r="AU54" s="3526"/>
      <c r="AV54" s="3526"/>
      <c r="AW54" s="3526"/>
      <c r="AX54" s="3526"/>
      <c r="AY54" s="3526"/>
      <c r="AZ54" s="658"/>
      <c r="BA54" s="3526"/>
      <c r="BB54" s="3546"/>
      <c r="BC54" s="3546"/>
      <c r="BD54" s="658"/>
      <c r="BE54" s="3526"/>
      <c r="BF54" s="3526"/>
      <c r="BG54" s="3526"/>
      <c r="BH54" s="3526"/>
      <c r="BI54" s="3526"/>
      <c r="BJ54" s="3526"/>
      <c r="BK54" s="3526"/>
      <c r="BL54" s="3526"/>
      <c r="BM54" s="3526"/>
      <c r="BN54" s="3526"/>
      <c r="BO54" s="658"/>
      <c r="BP54" s="3547"/>
      <c r="BQ54" s="3547"/>
      <c r="BR54" s="3546"/>
      <c r="BS54" s="3546"/>
      <c r="BT54" s="1751"/>
      <c r="BU54" s="3526"/>
      <c r="BV54" s="3526"/>
      <c r="BW54" s="3526"/>
      <c r="BX54" s="3526"/>
      <c r="BY54" s="3526"/>
      <c r="BZ54" s="3526"/>
      <c r="CA54" s="3526"/>
      <c r="CB54" s="3526"/>
      <c r="CC54" s="3526"/>
      <c r="CD54" s="3526"/>
      <c r="CE54" s="1751"/>
      <c r="CF54" s="3547"/>
      <c r="CG54" s="3546"/>
      <c r="CH54" s="3546"/>
      <c r="CI54" s="1751"/>
      <c r="CJ54" s="3526"/>
      <c r="CK54" s="3526"/>
      <c r="CL54" s="3526"/>
      <c r="CM54" s="3526"/>
      <c r="CN54" s="3526"/>
      <c r="CO54" s="3526"/>
      <c r="CP54" s="3526"/>
      <c r="CQ54" s="3526"/>
      <c r="CR54" s="3526"/>
      <c r="CS54" s="3526"/>
      <c r="CT54" s="1751"/>
      <c r="CU54" s="3547"/>
      <c r="CV54" s="3546"/>
      <c r="CW54" s="3546"/>
      <c r="CX54" s="1751"/>
      <c r="CY54" s="3526"/>
      <c r="CZ54" s="3526"/>
      <c r="DA54" s="3526"/>
      <c r="DB54" s="3526"/>
      <c r="DC54" s="3526"/>
      <c r="DD54" s="3526"/>
      <c r="DE54" s="3526"/>
      <c r="DF54" s="3526"/>
      <c r="DG54" s="3526"/>
      <c r="DH54" s="3526"/>
      <c r="DI54" s="1751"/>
      <c r="DJ54" s="1751"/>
      <c r="DK54" s="3526"/>
      <c r="DL54" s="1017"/>
      <c r="DM54" s="3526"/>
      <c r="DN54" s="3526"/>
      <c r="DO54" s="3526"/>
      <c r="DP54" s="1050"/>
      <c r="DQ54" s="3526"/>
      <c r="DR54" s="3526"/>
      <c r="DS54" s="3526"/>
      <c r="DT54" s="1050"/>
      <c r="DU54" s="3526"/>
      <c r="DV54" s="3526"/>
      <c r="DW54" s="3526"/>
      <c r="DX54" s="198"/>
      <c r="DY54" s="3526"/>
      <c r="DZ54" s="3526"/>
      <c r="EA54" s="203"/>
      <c r="EB54" s="3526"/>
      <c r="EC54" s="3526"/>
      <c r="ED54" s="3570" t="str">
        <f>"Year 1 Raw rate in "&amp;'1 Setup'!I60</f>
        <v>Year 1 Raw rate in GBP</v>
      </c>
      <c r="EE54" s="3570" t="s">
        <v>2322</v>
      </c>
      <c r="EF54" s="1957"/>
      <c r="EG54" s="235"/>
      <c r="EH54" s="3563"/>
      <c r="EI54" s="235"/>
      <c r="EJ54" s="235"/>
      <c r="EK54" s="235"/>
      <c r="EL54" s="235"/>
      <c r="EM54" s="3563" t="s">
        <v>1604</v>
      </c>
      <c r="EN54" s="422"/>
      <c r="EO54" s="422"/>
      <c r="EP54" s="3563"/>
      <c r="EQ54" s="3563"/>
      <c r="ER54" s="3563"/>
      <c r="ES54" s="3563"/>
      <c r="ET54" s="3563"/>
      <c r="EU54" s="3563"/>
      <c r="EV54" s="1956"/>
      <c r="EW54" s="3597"/>
      <c r="EX54" s="3526" t="s">
        <v>2299</v>
      </c>
      <c r="EY54" s="3526" t="s">
        <v>2896</v>
      </c>
      <c r="EZ54" s="3526"/>
      <c r="FA54" s="3563"/>
      <c r="FB54" s="3563"/>
      <c r="FC54" s="3526"/>
      <c r="FD54" s="3563"/>
      <c r="FE54" s="3563"/>
      <c r="FF54" s="3563"/>
      <c r="FG54" s="3563"/>
      <c r="FH54" s="3563"/>
      <c r="FI54" s="3563"/>
      <c r="FJ54" s="3570"/>
      <c r="FK54" s="3563"/>
      <c r="FL54" s="3563"/>
      <c r="FM54" s="3563"/>
      <c r="FN54" s="3570"/>
      <c r="FO54" s="3563"/>
      <c r="FP54" s="3563"/>
      <c r="FQ54" s="3563"/>
      <c r="FR54" s="3571"/>
      <c r="FS54" s="1535"/>
      <c r="FT54" s="3563"/>
      <c r="FU54" s="3563"/>
      <c r="FV54" s="3563"/>
      <c r="FW54" s="3563"/>
      <c r="FX54" s="3563"/>
      <c r="FY54" s="3563"/>
      <c r="FZ54" s="3563"/>
      <c r="GA54" s="3563"/>
      <c r="GB54" s="3563"/>
      <c r="GC54" s="3563"/>
      <c r="GD54" s="1535"/>
      <c r="GE54" s="235"/>
      <c r="GF54" s="3526"/>
      <c r="GG54" s="3563"/>
      <c r="GH54" s="3563"/>
      <c r="GI54" s="3563"/>
      <c r="GJ54" s="3563"/>
      <c r="GK54" s="3563"/>
      <c r="GL54" s="3563"/>
      <c r="GM54" s="3563"/>
      <c r="GN54" s="3563"/>
      <c r="GO54" s="1840"/>
      <c r="GP54" s="2669"/>
      <c r="GQ54" s="2669"/>
      <c r="GR54" s="422"/>
      <c r="GS54" s="3546"/>
      <c r="GT54" s="3526"/>
      <c r="GU54" s="3526"/>
      <c r="GV54" s="3526"/>
      <c r="GW54" s="3526"/>
      <c r="GX54" s="3526"/>
      <c r="GY54" s="764"/>
      <c r="GZ54" s="245"/>
      <c r="HA54" s="740"/>
      <c r="HB54" s="740"/>
      <c r="HC54" s="740"/>
      <c r="HD54" s="740"/>
      <c r="HE54" s="740"/>
      <c r="HF54" s="740"/>
      <c r="HG54" s="740"/>
      <c r="HH54" s="740"/>
      <c r="HI54" s="740"/>
      <c r="HJ54" s="740"/>
      <c r="HK54" s="740"/>
      <c r="HL54" s="466"/>
      <c r="HM54" s="449"/>
      <c r="HN54" s="247"/>
      <c r="HO54" s="1997"/>
      <c r="HP54" s="765"/>
      <c r="HQ54" s="2260">
        <v>4.5599999999999996</v>
      </c>
      <c r="HR54" s="1972" t="s">
        <v>1176</v>
      </c>
      <c r="HW54" s="1971" t="s">
        <v>2561</v>
      </c>
      <c r="HZ54" s="277"/>
      <c r="IA54" s="277"/>
      <c r="IB54" s="756"/>
      <c r="IC54" s="277"/>
      <c r="ID54" s="434"/>
      <c r="IE54" s="434"/>
      <c r="IF54" s="434"/>
      <c r="IG54" s="434"/>
      <c r="IH54" s="1970">
        <v>4</v>
      </c>
      <c r="II54" s="1971" t="s">
        <v>2574</v>
      </c>
      <c r="IP54" s="272"/>
      <c r="IQ54" s="272"/>
      <c r="IS54" s="197"/>
      <c r="IT54" s="754"/>
      <c r="IV54" s="377"/>
      <c r="IW54" s="377"/>
      <c r="IX54" s="377"/>
      <c r="IY54" s="272"/>
      <c r="IZ54" s="766"/>
      <c r="JA54" s="1974"/>
      <c r="JB54" s="765"/>
      <c r="JF54" s="1183"/>
      <c r="JI54" s="1164"/>
      <c r="JJ54" s="1164"/>
      <c r="JK54" s="1164"/>
      <c r="JL54" s="1164"/>
      <c r="JM54" s="1164"/>
      <c r="JN54" s="1164"/>
      <c r="JO54" s="1164"/>
      <c r="JP54" s="1164"/>
      <c r="JQ54" s="1164"/>
      <c r="JR54" s="1164"/>
      <c r="KC54" s="1992"/>
      <c r="KD54" s="1974"/>
      <c r="KE54" s="2031"/>
      <c r="KF54" s="1898"/>
      <c r="KG54" s="639"/>
      <c r="KH54" s="3483" t="s">
        <v>4111</v>
      </c>
      <c r="KI54" s="3483"/>
      <c r="KJ54" s="3483"/>
      <c r="KK54" s="3483"/>
      <c r="KL54" s="3483"/>
      <c r="KM54" s="3483"/>
      <c r="KN54" s="3483"/>
      <c r="KO54" s="3483"/>
      <c r="KP54" s="3483"/>
      <c r="KQ54" s="3483"/>
      <c r="KR54" s="1973"/>
      <c r="KS54" s="3483" t="s">
        <v>4110</v>
      </c>
      <c r="KT54" s="3483"/>
      <c r="KU54" s="3483"/>
      <c r="KV54" s="3483"/>
      <c r="KW54" s="3483"/>
      <c r="KX54" s="3483"/>
      <c r="KY54" s="3483"/>
      <c r="KZ54" s="3483"/>
      <c r="LA54" s="3483"/>
      <c r="LB54" s="3483"/>
      <c r="LD54" s="3483" t="s">
        <v>4109</v>
      </c>
      <c r="LE54" s="3483"/>
      <c r="LF54" s="3483"/>
      <c r="LG54" s="3483"/>
      <c r="LH54" s="3483"/>
      <c r="LI54" s="3483"/>
      <c r="LJ54" s="3483"/>
      <c r="LK54" s="3483"/>
      <c r="LL54" s="3483"/>
      <c r="LM54" s="3483"/>
      <c r="LO54" s="3483" t="s">
        <v>4107</v>
      </c>
      <c r="LP54" s="3483"/>
      <c r="LQ54" s="3483"/>
      <c r="LR54" s="3483"/>
      <c r="LS54" s="3483"/>
      <c r="LT54" s="3483"/>
      <c r="LU54" s="3483"/>
      <c r="LV54" s="3483"/>
      <c r="LW54" s="3483"/>
      <c r="LX54" s="3483"/>
      <c r="LY54" s="1987"/>
      <c r="MU54" s="1982"/>
      <c r="MV54" s="1975"/>
      <c r="MW54" s="765"/>
      <c r="MX54" s="1930" t="s">
        <v>301</v>
      </c>
      <c r="MZ54" s="2817">
        <f>IF($IX$4&lt;5,'1 Setup'!W13,IFERROR(DU48/DW48,0))</f>
        <v>0</v>
      </c>
      <c r="NA54" s="2039"/>
      <c r="NB54" s="3492" t="str">
        <f>CHOOSE(NB5,ND5,ND6,ND7)</f>
        <v>Non-Linear pricing method</v>
      </c>
      <c r="NC54" s="3493"/>
      <c r="ND54" s="3494"/>
      <c r="NE54" s="2712"/>
      <c r="NF54" s="1975"/>
      <c r="NG54" s="3469" t="str">
        <f>CHOOSE(NB5,NG5,NG5,NG7)</f>
        <v>Non-Linear Pricing Methods
The sell rate is not a constant multiplier on the raw rate.  Special Billing Rates are preferred because taximeter based revenue accrual will create a mis-match between the sell rate and the accrual rate.</v>
      </c>
      <c r="NH54" s="3470"/>
      <c r="NI54" s="1975"/>
    </row>
    <row r="55" spans="1:373" ht="15.9" customHeight="1" x14ac:dyDescent="0.3">
      <c r="A55" s="266">
        <v>10</v>
      </c>
      <c r="B55" s="256">
        <f t="shared" si="22"/>
        <v>0</v>
      </c>
      <c r="C55" s="236"/>
      <c r="D55" s="314">
        <f>SUMIFS('3b Activity Plan'!$AA$173:$AA$364,'3b Activity Plan'!$DC$173:$DC$364,B55,'3b Activity Plan'!$CY$173:$CY$364,1,'3b Activity Plan'!$AH$173:$AH$364,1,'3b Activity Plan'!$CR$173:$CR$364,0)</f>
        <v>0</v>
      </c>
      <c r="E55" s="314">
        <f>SUMIFS('3b Activity Plan'!$AB$173:$AB$364,'3b Activity Plan'!$DC$173:$DC$364,$B55,'3b Activity Plan'!$CY$173:$CY$364,1,'3b Activity Plan'!$CT$173:$CT$364,1,'3b Activity Plan'!$CR$173:$CR$364,0)</f>
        <v>0</v>
      </c>
      <c r="F55" s="586"/>
      <c r="G55" s="236"/>
      <c r="H55" s="314">
        <f>SUMIFS('3a Staff Plan'!$AA$129:$AA$305,'3a Staff Plan'!$DT$129:$DT$305,B55,'3a Staff Plan'!$DF$129:$DF$305,1,'3a Staff Plan'!$AG$129:$AG$305,1,'3a Staff Plan'!$CY$129:$CY$305,0)</f>
        <v>0</v>
      </c>
      <c r="I55" s="314">
        <f>SUMIFS('3a Staff Plan'!$AB$129:$AB$305,'3a Staff Plan'!$DT$129:$DT$305,$B55,'3a Staff Plan'!$DF$129:$DF$305,1,'3a Staff Plan'!$DA$129:$DA$305,1,'3a Staff Plan'!$CY$129:$CY$305,0)</f>
        <v>0</v>
      </c>
      <c r="J55" s="586"/>
      <c r="K55" s="236"/>
      <c r="L55" s="314">
        <f t="shared" si="14"/>
        <v>0</v>
      </c>
      <c r="M55" s="314">
        <f t="shared" si="15"/>
        <v>0</v>
      </c>
      <c r="N55" s="220"/>
      <c r="O55" s="1834"/>
      <c r="P55" s="3556"/>
      <c r="Q55" s="3556"/>
      <c r="R55" s="3556"/>
      <c r="S55" s="3556"/>
      <c r="T55" s="879"/>
      <c r="U55" s="222"/>
      <c r="V55" s="3526"/>
      <c r="W55" s="3526"/>
      <c r="X55" s="3546"/>
      <c r="Y55" s="3546"/>
      <c r="Z55" s="592"/>
      <c r="AA55" s="3526"/>
      <c r="AB55" s="3526"/>
      <c r="AC55" s="3526"/>
      <c r="AD55" s="3526"/>
      <c r="AE55" s="3526"/>
      <c r="AF55" s="3526"/>
      <c r="AG55" s="3526"/>
      <c r="AH55" s="3526"/>
      <c r="AI55" s="3526"/>
      <c r="AJ55" s="3526"/>
      <c r="AK55" s="203"/>
      <c r="AL55" s="3526"/>
      <c r="AM55" s="3546"/>
      <c r="AN55" s="3546"/>
      <c r="AO55" s="658"/>
      <c r="AP55" s="3526"/>
      <c r="AQ55" s="3526"/>
      <c r="AR55" s="3526"/>
      <c r="AS55" s="3526"/>
      <c r="AT55" s="3526"/>
      <c r="AU55" s="3526"/>
      <c r="AV55" s="3526"/>
      <c r="AW55" s="3526"/>
      <c r="AX55" s="3526"/>
      <c r="AY55" s="3526"/>
      <c r="AZ55" s="658"/>
      <c r="BA55" s="3526"/>
      <c r="BB55" s="3546"/>
      <c r="BC55" s="3546"/>
      <c r="BD55" s="658"/>
      <c r="BE55" s="3526"/>
      <c r="BF55" s="3526"/>
      <c r="BG55" s="3526"/>
      <c r="BH55" s="3526"/>
      <c r="BI55" s="3526"/>
      <c r="BJ55" s="3526"/>
      <c r="BK55" s="3526"/>
      <c r="BL55" s="3526"/>
      <c r="BM55" s="3526"/>
      <c r="BN55" s="3526"/>
      <c r="BO55" s="658"/>
      <c r="BP55" s="3547"/>
      <c r="BQ55" s="3547"/>
      <c r="BR55" s="3546"/>
      <c r="BS55" s="3546"/>
      <c r="BT55" s="1751"/>
      <c r="BU55" s="3526"/>
      <c r="BV55" s="3526"/>
      <c r="BW55" s="3526"/>
      <c r="BX55" s="3526"/>
      <c r="BY55" s="3526"/>
      <c r="BZ55" s="3526"/>
      <c r="CA55" s="3526"/>
      <c r="CB55" s="3526"/>
      <c r="CC55" s="3526"/>
      <c r="CD55" s="3526"/>
      <c r="CE55" s="1751"/>
      <c r="CF55" s="3547"/>
      <c r="CG55" s="3546"/>
      <c r="CH55" s="3546"/>
      <c r="CI55" s="1751"/>
      <c r="CJ55" s="3526"/>
      <c r="CK55" s="3526"/>
      <c r="CL55" s="3526"/>
      <c r="CM55" s="3526"/>
      <c r="CN55" s="3526"/>
      <c r="CO55" s="3526"/>
      <c r="CP55" s="3526"/>
      <c r="CQ55" s="3526"/>
      <c r="CR55" s="3526"/>
      <c r="CS55" s="3526"/>
      <c r="CT55" s="1751"/>
      <c r="CU55" s="3547"/>
      <c r="CV55" s="3546"/>
      <c r="CW55" s="3546"/>
      <c r="CX55" s="1751"/>
      <c r="CY55" s="3526"/>
      <c r="CZ55" s="3526"/>
      <c r="DA55" s="3526"/>
      <c r="DB55" s="3526"/>
      <c r="DC55" s="3526"/>
      <c r="DD55" s="3526"/>
      <c r="DE55" s="3526"/>
      <c r="DF55" s="3526"/>
      <c r="DG55" s="3526"/>
      <c r="DH55" s="3526"/>
      <c r="DI55" s="1751"/>
      <c r="DJ55" s="1751"/>
      <c r="DK55" s="3526"/>
      <c r="DL55" s="1017"/>
      <c r="DM55" s="3526"/>
      <c r="DN55" s="3526"/>
      <c r="DO55" s="3526"/>
      <c r="DP55" s="1050"/>
      <c r="DQ55" s="3526"/>
      <c r="DR55" s="3526"/>
      <c r="DS55" s="3526"/>
      <c r="DT55" s="1050"/>
      <c r="DU55" s="3526"/>
      <c r="DV55" s="3526"/>
      <c r="DW55" s="3526"/>
      <c r="DX55" s="198"/>
      <c r="DY55" s="3526"/>
      <c r="DZ55" s="3526"/>
      <c r="EA55" s="203"/>
      <c r="EB55" s="3526"/>
      <c r="EC55" s="3526"/>
      <c r="ED55" s="3570"/>
      <c r="EE55" s="3570"/>
      <c r="EF55" s="3563"/>
      <c r="EG55" s="235"/>
      <c r="EH55" s="3563"/>
      <c r="EI55" s="235"/>
      <c r="EJ55" s="2772"/>
      <c r="EK55" s="3589"/>
      <c r="EL55" s="3563" t="s">
        <v>1629</v>
      </c>
      <c r="EM55" s="3563"/>
      <c r="EN55" s="3563" t="s">
        <v>384</v>
      </c>
      <c r="EO55" s="3563" t="s">
        <v>1162</v>
      </c>
      <c r="EP55" s="3563"/>
      <c r="EQ55" s="3563"/>
      <c r="ER55" s="3563"/>
      <c r="ES55" s="3563"/>
      <c r="ET55" s="3563"/>
      <c r="EU55" s="3563"/>
      <c r="EV55" s="1956"/>
      <c r="EW55" s="3597"/>
      <c r="EX55" s="3526"/>
      <c r="EY55" s="3526"/>
      <c r="EZ55" s="3526"/>
      <c r="FA55" s="3563"/>
      <c r="FB55" s="3563"/>
      <c r="FC55" s="3526"/>
      <c r="FD55" s="3563"/>
      <c r="FE55" s="3563"/>
      <c r="FF55" s="3563"/>
      <c r="FG55" s="3563"/>
      <c r="FH55" s="3563"/>
      <c r="FI55" s="3563"/>
      <c r="FJ55" s="3570"/>
      <c r="FK55" s="3563"/>
      <c r="FL55" s="3563"/>
      <c r="FM55" s="3563"/>
      <c r="FN55" s="3570"/>
      <c r="FO55" s="3563"/>
      <c r="FP55" s="3563"/>
      <c r="FQ55" s="3563"/>
      <c r="FR55" s="3571"/>
      <c r="FS55" s="1535"/>
      <c r="FT55" s="3563"/>
      <c r="FU55" s="3563"/>
      <c r="FV55" s="3563"/>
      <c r="FW55" s="3563"/>
      <c r="FX55" s="3563"/>
      <c r="FY55" s="3563"/>
      <c r="FZ55" s="3563"/>
      <c r="GA55" s="3563"/>
      <c r="GB55" s="3563"/>
      <c r="GC55" s="3563"/>
      <c r="GD55" s="1535"/>
      <c r="GE55" s="235"/>
      <c r="GF55" s="3526"/>
      <c r="GG55" s="3563"/>
      <c r="GH55" s="3563"/>
      <c r="GI55" s="3563"/>
      <c r="GJ55" s="3563"/>
      <c r="GK55" s="3563"/>
      <c r="GL55" s="3563"/>
      <c r="GM55" s="3563"/>
      <c r="GN55" s="3563"/>
      <c r="GO55" s="1840"/>
      <c r="GP55" s="2670" t="str">
        <f>IP11</f>
        <v>GID (Other)</v>
      </c>
      <c r="GQ55" s="2670" t="str">
        <f>IP10</f>
        <v>GID (Std Rate)</v>
      </c>
      <c r="GR55" s="2670" t="str">
        <f>IP12</f>
        <v>Non-Jacobs</v>
      </c>
      <c r="GS55" s="3546"/>
      <c r="GT55" s="3526"/>
      <c r="GU55" s="3526"/>
      <c r="GV55" s="3526"/>
      <c r="GW55" s="3526"/>
      <c r="GX55" s="3526"/>
      <c r="GY55" s="764"/>
      <c r="GZ55" s="245"/>
      <c r="HA55" s="740"/>
      <c r="HB55" s="740"/>
      <c r="HC55" s="740"/>
      <c r="HD55" s="740"/>
      <c r="HE55" s="740"/>
      <c r="HF55" s="740"/>
      <c r="HG55" s="740"/>
      <c r="HH55" s="740"/>
      <c r="HI55" s="740"/>
      <c r="HJ55" s="740"/>
      <c r="HK55" s="740"/>
      <c r="HL55" s="466"/>
      <c r="HM55" s="449"/>
      <c r="HN55" s="247"/>
      <c r="HO55" s="1997"/>
      <c r="HP55" s="2003"/>
      <c r="HQ55" s="1019"/>
      <c r="HR55" s="1019"/>
      <c r="HS55" s="1019"/>
      <c r="HT55" s="756"/>
      <c r="HU55" s="756"/>
      <c r="HW55" s="1971" t="s">
        <v>2562</v>
      </c>
      <c r="HZ55" s="277"/>
      <c r="IA55" s="277"/>
      <c r="IC55" s="277"/>
      <c r="ID55" s="434"/>
      <c r="IE55" s="434"/>
      <c r="IF55" s="434"/>
      <c r="IG55" s="434"/>
      <c r="IH55" s="1970">
        <v>5</v>
      </c>
      <c r="II55" s="1971" t="s">
        <v>2575</v>
      </c>
      <c r="IK55" s="197"/>
      <c r="IL55" s="754"/>
      <c r="IQ55" s="197"/>
      <c r="IS55" s="197"/>
      <c r="IT55" s="754"/>
      <c r="IU55" s="1960"/>
      <c r="IV55" s="1960"/>
      <c r="IW55" s="1960"/>
      <c r="IX55" s="1960"/>
      <c r="IY55" s="1960"/>
      <c r="IZ55" s="766"/>
      <c r="JA55" s="1974"/>
      <c r="JB55" s="765"/>
      <c r="JD55" s="1971"/>
      <c r="JG55" s="749"/>
      <c r="JH55" s="749"/>
      <c r="JI55" s="1164"/>
      <c r="JJ55" s="1164"/>
      <c r="JL55" s="426"/>
      <c r="JM55" s="426"/>
      <c r="JN55" s="426"/>
      <c r="JO55" s="426"/>
      <c r="JP55" s="426"/>
      <c r="JZ55" s="754"/>
      <c r="KA55" s="754"/>
      <c r="KB55" s="3516" t="s">
        <v>2863</v>
      </c>
      <c r="KC55" s="1992"/>
      <c r="KD55" s="1974"/>
      <c r="KE55" s="1989"/>
      <c r="KF55" s="1898"/>
      <c r="KG55" s="639"/>
      <c r="KH55" s="3483"/>
      <c r="KI55" s="3483"/>
      <c r="KJ55" s="3483"/>
      <c r="KK55" s="3483"/>
      <c r="KL55" s="3483"/>
      <c r="KM55" s="3483"/>
      <c r="KN55" s="3483"/>
      <c r="KO55" s="3483"/>
      <c r="KP55" s="3483"/>
      <c r="KQ55" s="3483"/>
      <c r="KR55" s="639"/>
      <c r="KS55" s="3483"/>
      <c r="KT55" s="3483"/>
      <c r="KU55" s="3483"/>
      <c r="KV55" s="3483"/>
      <c r="KW55" s="3483"/>
      <c r="KX55" s="3483"/>
      <c r="KY55" s="3483"/>
      <c r="KZ55" s="3483"/>
      <c r="LA55" s="3483"/>
      <c r="LB55" s="3483"/>
      <c r="LC55" s="749"/>
      <c r="LD55" s="3483"/>
      <c r="LE55" s="3483"/>
      <c r="LF55" s="3483"/>
      <c r="LG55" s="3483"/>
      <c r="LH55" s="3483"/>
      <c r="LI55" s="3483"/>
      <c r="LJ55" s="3483"/>
      <c r="LK55" s="3483"/>
      <c r="LL55" s="3483"/>
      <c r="LM55" s="3483"/>
      <c r="LO55" s="3483"/>
      <c r="LP55" s="3483"/>
      <c r="LQ55" s="3483"/>
      <c r="LR55" s="3483"/>
      <c r="LS55" s="3483"/>
      <c r="LT55" s="3483"/>
      <c r="LU55" s="3483"/>
      <c r="LV55" s="3483"/>
      <c r="LW55" s="3483"/>
      <c r="LX55" s="3483"/>
      <c r="LY55" s="1987"/>
      <c r="MU55" s="1982"/>
      <c r="MV55" s="1975"/>
      <c r="MW55" s="765"/>
      <c r="MX55" s="1930" t="s">
        <v>109</v>
      </c>
      <c r="MZ55" s="2817">
        <f>IF($IX$4&lt;5,'1 Setup'!W14,IFERROR(DU49/DW49,0))</f>
        <v>0</v>
      </c>
      <c r="NA55" s="2039"/>
      <c r="NB55" s="2713" t="s">
        <v>3345</v>
      </c>
      <c r="NC55" s="754"/>
      <c r="ND55" s="2711"/>
      <c r="NE55" s="766"/>
      <c r="NF55" s="1975"/>
      <c r="NG55" s="3471"/>
      <c r="NH55" s="3472"/>
      <c r="NI55" s="1975"/>
    </row>
    <row r="56" spans="1:373" ht="16.5" customHeight="1" x14ac:dyDescent="0.4">
      <c r="A56" s="235"/>
      <c r="B56" s="235"/>
      <c r="C56" s="235"/>
      <c r="D56" s="658"/>
      <c r="E56" s="658"/>
      <c r="F56" s="586"/>
      <c r="G56" s="235"/>
      <c r="H56" s="658"/>
      <c r="I56" s="658"/>
      <c r="J56" s="586"/>
      <c r="K56" s="235"/>
      <c r="L56" s="220"/>
      <c r="M56" s="220"/>
      <c r="N56" s="586"/>
      <c r="O56" s="1834"/>
      <c r="P56" s="3556"/>
      <c r="Q56" s="3556"/>
      <c r="R56" s="3556"/>
      <c r="S56" s="3556"/>
      <c r="T56" s="879"/>
      <c r="U56" s="222"/>
      <c r="V56" s="3526"/>
      <c r="W56" s="3526"/>
      <c r="X56" s="3546"/>
      <c r="Y56" s="3546"/>
      <c r="Z56" s="592"/>
      <c r="AA56" s="3526"/>
      <c r="AB56" s="3526"/>
      <c r="AC56" s="3526"/>
      <c r="AD56" s="3526"/>
      <c r="AE56" s="3526"/>
      <c r="AF56" s="3526"/>
      <c r="AG56" s="3526"/>
      <c r="AH56" s="3526"/>
      <c r="AI56" s="3526"/>
      <c r="AJ56" s="3526"/>
      <c r="AK56" s="203"/>
      <c r="AL56" s="3526"/>
      <c r="AM56" s="3546"/>
      <c r="AN56" s="3546"/>
      <c r="AO56" s="658"/>
      <c r="AP56" s="3526"/>
      <c r="AQ56" s="3526"/>
      <c r="AR56" s="3526"/>
      <c r="AS56" s="3526"/>
      <c r="AT56" s="3526"/>
      <c r="AU56" s="3526"/>
      <c r="AV56" s="3526"/>
      <c r="AW56" s="3526"/>
      <c r="AX56" s="3526"/>
      <c r="AY56" s="3526"/>
      <c r="AZ56" s="658"/>
      <c r="BA56" s="3526"/>
      <c r="BB56" s="3546"/>
      <c r="BC56" s="3546"/>
      <c r="BD56" s="658"/>
      <c r="BE56" s="3526"/>
      <c r="BF56" s="3526"/>
      <c r="BG56" s="3526"/>
      <c r="BH56" s="3526"/>
      <c r="BI56" s="3526"/>
      <c r="BJ56" s="3526"/>
      <c r="BK56" s="3526"/>
      <c r="BL56" s="3526"/>
      <c r="BM56" s="3526"/>
      <c r="BN56" s="3526"/>
      <c r="BO56" s="658"/>
      <c r="BP56" s="3547"/>
      <c r="BQ56" s="3547"/>
      <c r="BR56" s="3546"/>
      <c r="BS56" s="3546"/>
      <c r="BT56" s="1751"/>
      <c r="BU56" s="3526"/>
      <c r="BV56" s="3526"/>
      <c r="BW56" s="3526"/>
      <c r="BX56" s="3526"/>
      <c r="BY56" s="3526"/>
      <c r="BZ56" s="3526"/>
      <c r="CA56" s="3526"/>
      <c r="CB56" s="3526"/>
      <c r="CC56" s="3526"/>
      <c r="CD56" s="3526"/>
      <c r="CE56" s="1751"/>
      <c r="CF56" s="3547"/>
      <c r="CG56" s="3546"/>
      <c r="CH56" s="3546"/>
      <c r="CI56" s="1751"/>
      <c r="CJ56" s="3526"/>
      <c r="CK56" s="3526"/>
      <c r="CL56" s="3526"/>
      <c r="CM56" s="3526"/>
      <c r="CN56" s="3526"/>
      <c r="CO56" s="3526"/>
      <c r="CP56" s="3526"/>
      <c r="CQ56" s="3526"/>
      <c r="CR56" s="3526"/>
      <c r="CS56" s="3526"/>
      <c r="CT56" s="1751"/>
      <c r="CU56" s="3547"/>
      <c r="CV56" s="3546"/>
      <c r="CW56" s="3546"/>
      <c r="CX56" s="1751"/>
      <c r="CY56" s="3526"/>
      <c r="CZ56" s="3526"/>
      <c r="DA56" s="3526"/>
      <c r="DB56" s="3526"/>
      <c r="DC56" s="3526"/>
      <c r="DD56" s="3526"/>
      <c r="DE56" s="3526"/>
      <c r="DF56" s="3526"/>
      <c r="DG56" s="3526"/>
      <c r="DH56" s="3526"/>
      <c r="DI56" s="1751"/>
      <c r="DJ56" s="1751"/>
      <c r="DK56" s="3526"/>
      <c r="DL56" s="1017"/>
      <c r="DM56" s="3526"/>
      <c r="DN56" s="3526"/>
      <c r="DO56" s="3526"/>
      <c r="DP56" s="1050"/>
      <c r="DQ56" s="3526"/>
      <c r="DR56" s="3526"/>
      <c r="DS56" s="3526"/>
      <c r="DT56" s="1050"/>
      <c r="DU56" s="3526"/>
      <c r="DV56" s="3526"/>
      <c r="DW56" s="3526"/>
      <c r="DX56" s="198"/>
      <c r="DY56" s="3526"/>
      <c r="DZ56" s="3526"/>
      <c r="EA56" s="203"/>
      <c r="EB56" s="3526"/>
      <c r="EC56" s="3526"/>
      <c r="ED56" s="3570"/>
      <c r="EE56" s="3570"/>
      <c r="EF56" s="3563"/>
      <c r="EG56" s="235"/>
      <c r="EH56" s="3563"/>
      <c r="EI56" s="235"/>
      <c r="EJ56" s="2772"/>
      <c r="EK56" s="3589"/>
      <c r="EL56" s="3563"/>
      <c r="EM56" s="3563"/>
      <c r="EN56" s="3563"/>
      <c r="EO56" s="3563"/>
      <c r="EP56" s="3563"/>
      <c r="EQ56" s="3563"/>
      <c r="ER56" s="3563"/>
      <c r="ES56" s="3563"/>
      <c r="ET56" s="3563"/>
      <c r="EU56" s="3563"/>
      <c r="EV56" s="3597"/>
      <c r="EW56" s="3597"/>
      <c r="EX56" s="3526"/>
      <c r="EY56" s="3526"/>
      <c r="EZ56" s="3526"/>
      <c r="FA56" s="3563"/>
      <c r="FB56" s="3563"/>
      <c r="FC56" s="3526"/>
      <c r="FD56" s="3563"/>
      <c r="FE56" s="3563"/>
      <c r="FF56" s="3563"/>
      <c r="FG56" s="3563"/>
      <c r="FH56" s="3563"/>
      <c r="FI56" s="3563"/>
      <c r="FJ56" s="3570"/>
      <c r="FK56" s="3563"/>
      <c r="FL56" s="3563"/>
      <c r="FM56" s="3563"/>
      <c r="FN56" s="3570"/>
      <c r="FO56" s="3563"/>
      <c r="FP56" s="3563"/>
      <c r="FQ56" s="3563"/>
      <c r="FR56" s="3571"/>
      <c r="FS56" s="1535"/>
      <c r="FT56" s="3563"/>
      <c r="FU56" s="3563"/>
      <c r="FV56" s="3563"/>
      <c r="FW56" s="3563"/>
      <c r="FX56" s="3563"/>
      <c r="FY56" s="3563"/>
      <c r="FZ56" s="3563"/>
      <c r="GA56" s="3563"/>
      <c r="GB56" s="3563"/>
      <c r="GC56" s="3563"/>
      <c r="GD56" s="1535"/>
      <c r="GE56" s="235"/>
      <c r="GF56" s="3526"/>
      <c r="GG56" s="3563"/>
      <c r="GH56" s="3563"/>
      <c r="GI56" s="3563"/>
      <c r="GJ56" s="3563"/>
      <c r="GK56" s="3563"/>
      <c r="GL56" s="3563"/>
      <c r="GM56" s="3563"/>
      <c r="GN56" s="3563"/>
      <c r="GO56" s="1840"/>
      <c r="GP56" s="3563" t="s">
        <v>2900</v>
      </c>
      <c r="GQ56" s="3563" t="s">
        <v>2899</v>
      </c>
      <c r="GR56" s="690"/>
      <c r="GS56" s="3546"/>
      <c r="GT56" s="3526"/>
      <c r="GU56" s="3526"/>
      <c r="GV56" s="3526"/>
      <c r="GW56" s="3526"/>
      <c r="GX56" s="3526"/>
      <c r="GY56" s="764"/>
      <c r="GZ56" s="245"/>
      <c r="HA56" s="246"/>
      <c r="HB56" s="246"/>
      <c r="HC56" s="246"/>
      <c r="HD56" s="246"/>
      <c r="HE56" s="246"/>
      <c r="HF56" s="246"/>
      <c r="HG56" s="246"/>
      <c r="HH56" s="246"/>
      <c r="HI56" s="246"/>
      <c r="HJ56" s="246"/>
      <c r="HK56" s="246"/>
      <c r="HL56" s="246"/>
      <c r="HM56" s="246"/>
      <c r="HN56" s="247"/>
      <c r="HO56" s="1996"/>
      <c r="HP56" s="765"/>
      <c r="HQ56" s="738"/>
      <c r="HR56" s="738"/>
      <c r="HS56" s="738"/>
      <c r="HT56" s="738"/>
      <c r="HU56" s="738"/>
      <c r="HZ56" s="277"/>
      <c r="IA56" s="277"/>
      <c r="IB56" s="277"/>
      <c r="IC56" s="277"/>
      <c r="IH56" s="2263" t="str">
        <f>IF($HI$21="E","","6")</f>
        <v>6</v>
      </c>
      <c r="II56" s="2263" t="str">
        <f>IF($HI$21="E","","During execution, raw rates for year 2 onwards are maintained using the Future Rates and Escalation table on the right")</f>
        <v>During execution, raw rates for year 2 onwards are maintained using the Future Rates and Escalation table on the right</v>
      </c>
      <c r="IJ56" s="477"/>
      <c r="IK56" s="377"/>
      <c r="IL56" s="377"/>
      <c r="IM56" s="377"/>
      <c r="IN56" s="377"/>
      <c r="IO56" s="377"/>
      <c r="IP56" s="377"/>
      <c r="IQ56" s="377"/>
      <c r="IR56" s="197"/>
      <c r="IS56" s="197"/>
      <c r="IT56" s="754"/>
      <c r="IV56" s="1960"/>
      <c r="IW56" s="1960"/>
      <c r="IX56" s="1960"/>
      <c r="IY56" s="1960"/>
      <c r="IZ56" s="766"/>
      <c r="JA56" s="1974"/>
      <c r="JB56" s="765"/>
      <c r="JG56" s="480" t="s">
        <v>2779</v>
      </c>
      <c r="JH56" s="975" t="str">
        <f>IF('1 Setup'!I84='1 Setup'!H7,"",'1 Setup'!I84)</f>
        <v>10.  Category Rates with Scaling Factor</v>
      </c>
      <c r="JI56" s="2045"/>
      <c r="JJ56" s="2100"/>
      <c r="JK56" s="1903"/>
      <c r="JL56" s="1904"/>
      <c r="JR56" s="430"/>
      <c r="JZ56" s="754"/>
      <c r="KA56" s="754"/>
      <c r="KB56" s="3516"/>
      <c r="KC56" s="766"/>
      <c r="KD56" s="1974"/>
      <c r="KE56" s="765"/>
      <c r="KF56" s="754"/>
      <c r="KG56" s="754"/>
      <c r="KH56" s="3519">
        <v>42736</v>
      </c>
      <c r="KI56" s="3520"/>
      <c r="KJ56" s="2290" t="s">
        <v>2610</v>
      </c>
      <c r="KL56" s="2288"/>
      <c r="KM56" s="2288"/>
      <c r="KN56" s="2288"/>
      <c r="KO56" s="2288"/>
      <c r="KP56" s="2288"/>
      <c r="KQ56" s="2288"/>
      <c r="KS56" s="2288"/>
      <c r="KT56" s="2258" t="s">
        <v>2553</v>
      </c>
      <c r="KU56" s="2291">
        <v>126.52</v>
      </c>
      <c r="KV56" s="576" t="s">
        <v>2605</v>
      </c>
      <c r="KW56" s="1670"/>
      <c r="KY56" s="2292">
        <v>126.52</v>
      </c>
      <c r="KZ56" s="576" t="s">
        <v>2606</v>
      </c>
      <c r="LA56" s="2288"/>
      <c r="LB56" s="2288"/>
      <c r="LD56" s="3521">
        <v>43556</v>
      </c>
      <c r="LE56" s="3522"/>
      <c r="LF56" s="79" t="s">
        <v>2611</v>
      </c>
      <c r="LG56" s="2288"/>
      <c r="LH56" s="2288"/>
      <c r="LI56" s="2288"/>
      <c r="LJ56" s="2288"/>
      <c r="LK56" s="2288"/>
      <c r="LL56" s="2288"/>
      <c r="LM56" s="2288"/>
      <c r="LO56" s="2288"/>
      <c r="LQ56" s="1485" t="s">
        <v>2587</v>
      </c>
      <c r="LR56" s="3511" t="s">
        <v>2794</v>
      </c>
      <c r="LS56" s="3512"/>
      <c r="LT56" s="3512"/>
      <c r="LU56" s="3512"/>
      <c r="LV56" s="3512"/>
      <c r="LW56" s="3513"/>
      <c r="LX56" s="1869" t="str">
        <f>HYPERLINK("#"&amp;ADDRESS(ROW(),COLUMN()-1),CHAR(128))</f>
        <v>€</v>
      </c>
      <c r="LY56" s="1987"/>
      <c r="LZ56" s="1987"/>
      <c r="MA56" s="1987"/>
      <c r="MB56" s="1987"/>
      <c r="MC56" s="1987"/>
      <c r="MD56" s="1987"/>
      <c r="ME56" s="1987"/>
      <c r="MF56" s="1987"/>
      <c r="MG56" s="1987"/>
      <c r="MH56" s="1987"/>
      <c r="MI56" s="1987"/>
      <c r="MJ56" s="1987"/>
      <c r="MK56" s="1987"/>
      <c r="ML56" s="1987"/>
      <c r="MM56" s="1987"/>
      <c r="MN56" s="1987"/>
      <c r="MO56" s="1987"/>
      <c r="MP56" s="1987"/>
      <c r="MQ56" s="1987"/>
      <c r="MR56" s="1987"/>
      <c r="MS56" s="1987"/>
      <c r="MT56" s="1987"/>
      <c r="MU56" s="1982"/>
      <c r="MV56" s="1975"/>
      <c r="MW56" s="765"/>
      <c r="MX56" s="1932" t="s">
        <v>332</v>
      </c>
      <c r="MZ56" s="2817">
        <f>IF($IX$4&lt;5,'1 Setup'!W15,IFERROR(DU50/DW50,0))</f>
        <v>0</v>
      </c>
      <c r="NA56" s="2039"/>
      <c r="NB56" s="3495" t="str">
        <f>CHOOSE(NB5,ND9,ND10,ND11)</f>
        <v>Use Special Billing Rates
(For Lump Sum, consider a 'safety net' average taximeter in addition)</v>
      </c>
      <c r="NC56" s="3496"/>
      <c r="ND56" s="3497"/>
      <c r="NE56" s="2712"/>
      <c r="NF56" s="1975"/>
      <c r="NG56" s="3471"/>
      <c r="NH56" s="3472"/>
      <c r="NI56" s="1975"/>
    </row>
    <row r="57" spans="1:373" ht="18.600000000000001" customHeight="1" x14ac:dyDescent="0.5">
      <c r="A57" s="235"/>
      <c r="B57" s="198"/>
      <c r="C57" s="198"/>
      <c r="D57" s="198"/>
      <c r="E57" s="198"/>
      <c r="F57" s="198"/>
      <c r="G57" s="198"/>
      <c r="H57" s="198"/>
      <c r="I57" s="198"/>
      <c r="J57" s="198"/>
      <c r="K57" s="198"/>
      <c r="L57" s="198"/>
      <c r="M57" s="198"/>
      <c r="N57" s="198"/>
      <c r="O57" s="1834"/>
      <c r="P57" s="3556"/>
      <c r="Q57" s="3556"/>
      <c r="R57" s="3556"/>
      <c r="S57" s="3556"/>
      <c r="T57" s="880"/>
      <c r="U57" s="222"/>
      <c r="V57" s="3526"/>
      <c r="W57" s="3526"/>
      <c r="X57" s="3546"/>
      <c r="Y57" s="3546"/>
      <c r="Z57" s="592"/>
      <c r="AA57" s="3526"/>
      <c r="AB57" s="3526"/>
      <c r="AC57" s="3526"/>
      <c r="AD57" s="3526"/>
      <c r="AE57" s="3526"/>
      <c r="AF57" s="3526"/>
      <c r="AG57" s="3526"/>
      <c r="AH57" s="3526"/>
      <c r="AI57" s="3526"/>
      <c r="AJ57" s="3526"/>
      <c r="AK57" s="203"/>
      <c r="AL57" s="3526"/>
      <c r="AM57" s="3546"/>
      <c r="AN57" s="3546"/>
      <c r="AO57" s="658"/>
      <c r="AP57" s="3526"/>
      <c r="AQ57" s="3526"/>
      <c r="AR57" s="3526"/>
      <c r="AS57" s="3526"/>
      <c r="AT57" s="3526"/>
      <c r="AU57" s="3526"/>
      <c r="AV57" s="3526"/>
      <c r="AW57" s="3526"/>
      <c r="AX57" s="3526"/>
      <c r="AY57" s="3526"/>
      <c r="AZ57" s="658"/>
      <c r="BA57" s="3526"/>
      <c r="BB57" s="3546"/>
      <c r="BC57" s="3546"/>
      <c r="BD57" s="658"/>
      <c r="BE57" s="3526"/>
      <c r="BF57" s="3526"/>
      <c r="BG57" s="3526"/>
      <c r="BH57" s="3526"/>
      <c r="BI57" s="3526"/>
      <c r="BJ57" s="3526"/>
      <c r="BK57" s="3526"/>
      <c r="BL57" s="3526"/>
      <c r="BM57" s="3526"/>
      <c r="BN57" s="3526"/>
      <c r="BO57" s="658"/>
      <c r="BP57" s="3547"/>
      <c r="BQ57" s="3547"/>
      <c r="BR57" s="3546"/>
      <c r="BS57" s="3546"/>
      <c r="BT57" s="1751"/>
      <c r="BU57" s="3526"/>
      <c r="BV57" s="3526"/>
      <c r="BW57" s="3526"/>
      <c r="BX57" s="3526"/>
      <c r="BY57" s="3526"/>
      <c r="BZ57" s="3526"/>
      <c r="CA57" s="3526"/>
      <c r="CB57" s="3526"/>
      <c r="CC57" s="3526"/>
      <c r="CD57" s="3526"/>
      <c r="CE57" s="1751"/>
      <c r="CF57" s="3547"/>
      <c r="CG57" s="3546"/>
      <c r="CH57" s="3546"/>
      <c r="CI57" s="1751"/>
      <c r="CJ57" s="3526"/>
      <c r="CK57" s="3526"/>
      <c r="CL57" s="3526"/>
      <c r="CM57" s="3526"/>
      <c r="CN57" s="3526"/>
      <c r="CO57" s="3526"/>
      <c r="CP57" s="3526"/>
      <c r="CQ57" s="3526"/>
      <c r="CR57" s="3526"/>
      <c r="CS57" s="3526"/>
      <c r="CT57" s="1751"/>
      <c r="CU57" s="3547"/>
      <c r="CV57" s="3546"/>
      <c r="CW57" s="3546"/>
      <c r="CX57" s="1751"/>
      <c r="CY57" s="3526"/>
      <c r="CZ57" s="3526"/>
      <c r="DA57" s="3526"/>
      <c r="DB57" s="3526"/>
      <c r="DC57" s="3526"/>
      <c r="DD57" s="3526"/>
      <c r="DE57" s="3526"/>
      <c r="DF57" s="3526"/>
      <c r="DG57" s="3526"/>
      <c r="DH57" s="3526"/>
      <c r="DI57" s="1751"/>
      <c r="DJ57" s="1751"/>
      <c r="DK57" s="3526"/>
      <c r="DL57" s="1017"/>
      <c r="DM57" s="3526"/>
      <c r="DN57" s="3526"/>
      <c r="DO57" s="3526"/>
      <c r="DP57" s="1050"/>
      <c r="DQ57" s="3526"/>
      <c r="DR57" s="3526"/>
      <c r="DS57" s="3526"/>
      <c r="DT57" s="1050"/>
      <c r="DU57" s="3526"/>
      <c r="DV57" s="3526"/>
      <c r="DW57" s="3526"/>
      <c r="DX57" s="198"/>
      <c r="DY57" s="3526"/>
      <c r="DZ57" s="3526"/>
      <c r="EA57" s="203"/>
      <c r="EB57" s="3526"/>
      <c r="EC57" s="3526"/>
      <c r="ED57" s="3570"/>
      <c r="EE57" s="3570"/>
      <c r="EF57" s="3563"/>
      <c r="EG57" s="235"/>
      <c r="EH57" s="3563"/>
      <c r="EI57" s="235"/>
      <c r="EJ57" s="2772"/>
      <c r="EK57" s="3589"/>
      <c r="EL57" s="3563"/>
      <c r="EM57" s="3563"/>
      <c r="EN57" s="3563"/>
      <c r="EO57" s="3563"/>
      <c r="EP57" s="3563"/>
      <c r="EQ57" s="3563"/>
      <c r="ER57" s="3563"/>
      <c r="ES57" s="3563"/>
      <c r="ET57" s="3563"/>
      <c r="EU57" s="3563"/>
      <c r="EV57" s="3597"/>
      <c r="EW57" s="3597"/>
      <c r="EX57" s="3526"/>
      <c r="EY57" s="3526"/>
      <c r="EZ57" s="3526"/>
      <c r="FA57" s="3563"/>
      <c r="FB57" s="3563"/>
      <c r="FC57" s="3526"/>
      <c r="FD57" s="3563"/>
      <c r="FE57" s="3563"/>
      <c r="FF57" s="3563"/>
      <c r="FG57" s="3563"/>
      <c r="FH57" s="3563"/>
      <c r="FI57" s="3563"/>
      <c r="FJ57" s="3570"/>
      <c r="FK57" s="3563"/>
      <c r="FL57" s="3563"/>
      <c r="FM57" s="3563"/>
      <c r="FN57" s="3570"/>
      <c r="FO57" s="3563"/>
      <c r="FP57" s="3563"/>
      <c r="FQ57" s="3563"/>
      <c r="FR57" s="3571"/>
      <c r="FS57" s="1535"/>
      <c r="FT57" s="3563"/>
      <c r="FU57" s="3563"/>
      <c r="FV57" s="3563"/>
      <c r="FW57" s="3563"/>
      <c r="FX57" s="3563"/>
      <c r="FY57" s="3563"/>
      <c r="FZ57" s="3563"/>
      <c r="GA57" s="3563"/>
      <c r="GB57" s="3563"/>
      <c r="GC57" s="3563"/>
      <c r="GD57" s="1535"/>
      <c r="GE57" s="235"/>
      <c r="GF57" s="3526"/>
      <c r="GG57" s="3563"/>
      <c r="GH57" s="3563"/>
      <c r="GI57" s="3563"/>
      <c r="GJ57" s="3563"/>
      <c r="GK57" s="3563"/>
      <c r="GL57" s="3563"/>
      <c r="GM57" s="3563"/>
      <c r="GN57" s="3563"/>
      <c r="GO57" s="1840"/>
      <c r="GP57" s="3563"/>
      <c r="GQ57" s="3563"/>
      <c r="GR57" s="3563" t="s">
        <v>389</v>
      </c>
      <c r="GS57" s="3546"/>
      <c r="GT57" s="3526"/>
      <c r="GU57" s="3526"/>
      <c r="GV57" s="3526"/>
      <c r="GW57" s="3526"/>
      <c r="GX57" s="3526"/>
      <c r="GY57" s="764"/>
      <c r="GZ57" s="245"/>
      <c r="HA57" s="3615" t="s">
        <v>93</v>
      </c>
      <c r="HB57" s="26"/>
      <c r="HC57" s="26"/>
      <c r="HD57" s="26"/>
      <c r="HE57" s="246"/>
      <c r="HF57" s="1178"/>
      <c r="HG57" s="2066" t="str">
        <f>IF(OR('1 Setup'!G8=3,'1 Setup'!G8=4,'1 Setup'!G8=5),"(Includes Fee)","")</f>
        <v/>
      </c>
      <c r="HH57" s="3620" t="str">
        <f>IF('1 Setup'!T66=0,"","(Includes PC Alloc)")</f>
        <v>(Includes PC Alloc)</v>
      </c>
      <c r="HI57" s="3620"/>
      <c r="HJ57" s="3587" t="str">
        <f>"GM ("&amp;$HI$17&amp;")"</f>
        <v>GM (GBP)</v>
      </c>
      <c r="HK57" s="3566" t="s">
        <v>316</v>
      </c>
      <c r="HL57" s="3566" t="str">
        <f>$HI$17&amp;"/BH"</f>
        <v>GBP/BH</v>
      </c>
      <c r="HM57" s="3566"/>
      <c r="HN57" s="247"/>
      <c r="HO57" s="764"/>
      <c r="HP57" s="765"/>
      <c r="HQ57" s="3543" t="s">
        <v>3399</v>
      </c>
      <c r="HR57" s="3543"/>
      <c r="HS57" s="3543"/>
      <c r="HT57" s="3543"/>
      <c r="HU57" s="3543"/>
      <c r="HX57" s="3601" t="s">
        <v>2307</v>
      </c>
      <c r="HY57" s="2509"/>
      <c r="HZ57" s="413"/>
      <c r="IC57" s="3577" t="s">
        <v>1339</v>
      </c>
      <c r="ID57" s="448"/>
      <c r="IE57" s="3581" t="str">
        <f>CHOOSE('1 Setup'!G2,"Hours","ETC Hours","Change Hours")</f>
        <v>Change Hours</v>
      </c>
      <c r="IF57" s="3581"/>
      <c r="IG57" s="448"/>
      <c r="IJ57" s="3536"/>
      <c r="IK57" s="3536"/>
      <c r="IL57" s="3536"/>
      <c r="IM57" s="3536"/>
      <c r="IN57" s="3536"/>
      <c r="IO57" s="3536"/>
      <c r="IP57" s="3536"/>
      <c r="IQ57" s="3536"/>
      <c r="IR57" s="2037"/>
      <c r="IU57" s="3535" t="str">
        <f>IF(GP62,IU18,IF(COUNT(IU64:IU113)&gt;4,IU17,""))</f>
        <v>For GID you must specify a price over-ride</v>
      </c>
      <c r="IV57" s="2511"/>
      <c r="IW57" s="2511"/>
      <c r="IX57" s="2511"/>
      <c r="IY57" s="2511"/>
      <c r="IZ57" s="766"/>
      <c r="JA57" s="1974"/>
      <c r="JB57" s="765"/>
      <c r="JG57" s="421"/>
      <c r="JI57" s="421"/>
      <c r="JJ57" s="421"/>
      <c r="JM57" s="421"/>
      <c r="JN57" s="421"/>
      <c r="JO57" s="421"/>
      <c r="JS57" s="1954"/>
      <c r="JT57" s="1954"/>
      <c r="JU57" s="1954"/>
      <c r="JV57" s="1954"/>
      <c r="JW57" s="3200"/>
      <c r="JX57" s="3164"/>
      <c r="JY57" s="1954"/>
      <c r="JZ57" s="3217"/>
      <c r="KA57" s="3217"/>
      <c r="KB57" s="3516"/>
      <c r="KC57" s="766"/>
      <c r="KD57" s="1974"/>
      <c r="KE57" s="765"/>
      <c r="KF57" s="754"/>
      <c r="KG57" s="754"/>
      <c r="KH57" s="2289"/>
      <c r="KI57" s="2289" t="s">
        <v>2224</v>
      </c>
      <c r="KJ57" s="2289" t="s">
        <v>2224</v>
      </c>
      <c r="KK57" s="2289" t="s">
        <v>2224</v>
      </c>
      <c r="KL57" s="2289" t="s">
        <v>2224</v>
      </c>
      <c r="KM57" s="2289" t="s">
        <v>2224</v>
      </c>
      <c r="KN57" s="2289" t="s">
        <v>2224</v>
      </c>
      <c r="KO57" s="2289" t="s">
        <v>2224</v>
      </c>
      <c r="KP57" s="2289" t="s">
        <v>2224</v>
      </c>
      <c r="KQ57" s="2289" t="s">
        <v>2224</v>
      </c>
      <c r="KS57" s="2289"/>
      <c r="KT57" s="2289" t="s">
        <v>2224</v>
      </c>
      <c r="KU57" s="2289" t="s">
        <v>2224</v>
      </c>
      <c r="KV57" s="2289" t="s">
        <v>2224</v>
      </c>
      <c r="KW57" s="2289" t="s">
        <v>2224</v>
      </c>
      <c r="KX57" s="2289" t="s">
        <v>2224</v>
      </c>
      <c r="KY57" s="2289" t="s">
        <v>2224</v>
      </c>
      <c r="KZ57" s="2289" t="s">
        <v>2224</v>
      </c>
      <c r="LA57" s="2289" t="s">
        <v>2224</v>
      </c>
      <c r="LB57" s="2289" t="s">
        <v>2224</v>
      </c>
      <c r="LD57" s="3631" t="s">
        <v>4174</v>
      </c>
      <c r="LE57" s="3631"/>
      <c r="LF57" s="3631"/>
      <c r="LG57" s="3631"/>
      <c r="LH57" s="3631"/>
      <c r="LI57" s="3631"/>
      <c r="LJ57" s="3631"/>
      <c r="LK57" s="3631"/>
      <c r="LL57" s="3631"/>
      <c r="LM57" s="3631"/>
      <c r="LO57" s="2289"/>
      <c r="LP57" s="2289" t="s">
        <v>2224</v>
      </c>
      <c r="LQ57" s="2289" t="s">
        <v>2224</v>
      </c>
      <c r="LR57" s="2289" t="s">
        <v>2224</v>
      </c>
      <c r="LS57" s="2289" t="s">
        <v>2224</v>
      </c>
      <c r="LT57" s="2289" t="s">
        <v>2224</v>
      </c>
      <c r="LU57" s="2289" t="s">
        <v>2224</v>
      </c>
      <c r="LV57" s="2289" t="s">
        <v>2224</v>
      </c>
      <c r="LW57" s="2289" t="s">
        <v>2224</v>
      </c>
      <c r="LX57" s="2289" t="s">
        <v>2224</v>
      </c>
      <c r="LY57" s="1987"/>
      <c r="LZ57" s="1987"/>
      <c r="MA57" s="1987"/>
      <c r="MB57" s="1987"/>
      <c r="MC57" s="1987"/>
      <c r="MD57" s="1987"/>
      <c r="ME57" s="1987"/>
      <c r="MF57" s="1987"/>
      <c r="MG57" s="1987"/>
      <c r="MH57" s="1987"/>
      <c r="MI57" s="1987"/>
      <c r="MJ57" s="1987"/>
      <c r="MK57" s="1987"/>
      <c r="ML57" s="1987"/>
      <c r="MM57" s="1987"/>
      <c r="MN57" s="1987"/>
      <c r="MO57" s="1987"/>
      <c r="MP57" s="1987"/>
      <c r="MQ57" s="1987"/>
      <c r="MR57" s="1987"/>
      <c r="MS57" s="1987"/>
      <c r="MT57" s="1987"/>
      <c r="MU57" s="1982"/>
      <c r="MV57" s="1975"/>
      <c r="MW57" s="765"/>
      <c r="MX57" s="1930" t="s">
        <v>1471</v>
      </c>
      <c r="MZ57" s="2817">
        <f ca="1">IF($IX$4&lt;5,'1 Setup'!W16,IFERROR(DU51/DW51,0))</f>
        <v>2.784878764968914</v>
      </c>
      <c r="NB57" s="3498"/>
      <c r="NC57" s="3499"/>
      <c r="ND57" s="3500"/>
      <c r="NE57" s="2712"/>
      <c r="NF57" s="1975"/>
      <c r="NG57" s="3473"/>
      <c r="NH57" s="3474"/>
      <c r="NI57" s="1975"/>
    </row>
    <row r="58" spans="1:373" s="749" customFormat="1" ht="19.350000000000001" customHeight="1" x14ac:dyDescent="0.5">
      <c r="A58" s="235"/>
      <c r="B58" s="198"/>
      <c r="C58" s="198"/>
      <c r="D58" s="198"/>
      <c r="E58" s="198"/>
      <c r="F58" s="198"/>
      <c r="G58" s="198"/>
      <c r="H58" s="198"/>
      <c r="I58" s="198"/>
      <c r="J58" s="198"/>
      <c r="K58" s="198"/>
      <c r="L58" s="198"/>
      <c r="M58" s="198"/>
      <c r="N58" s="198"/>
      <c r="O58" s="2033"/>
      <c r="P58" s="3556"/>
      <c r="Q58" s="3556"/>
      <c r="R58" s="3556"/>
      <c r="S58" s="3556"/>
      <c r="T58" s="880"/>
      <c r="U58" s="2033"/>
      <c r="V58" s="3526"/>
      <c r="W58" s="3526"/>
      <c r="X58" s="3546"/>
      <c r="Y58" s="3546"/>
      <c r="Z58" s="2033"/>
      <c r="AA58" s="3526"/>
      <c r="AB58" s="3526"/>
      <c r="AC58" s="3526"/>
      <c r="AD58" s="3526"/>
      <c r="AE58" s="3526"/>
      <c r="AF58" s="3526"/>
      <c r="AG58" s="3526"/>
      <c r="AH58" s="3526"/>
      <c r="AI58" s="3526"/>
      <c r="AJ58" s="3526"/>
      <c r="AK58" s="2033"/>
      <c r="AL58" s="3526"/>
      <c r="AM58" s="3546"/>
      <c r="AN58" s="3546"/>
      <c r="AO58" s="2033"/>
      <c r="AP58" s="3526"/>
      <c r="AQ58" s="3526"/>
      <c r="AR58" s="3526"/>
      <c r="AS58" s="3526"/>
      <c r="AT58" s="3526"/>
      <c r="AU58" s="3526"/>
      <c r="AV58" s="3526"/>
      <c r="AW58" s="3526"/>
      <c r="AX58" s="3526"/>
      <c r="AY58" s="3526"/>
      <c r="AZ58" s="2033"/>
      <c r="BA58" s="3526"/>
      <c r="BB58" s="3546"/>
      <c r="BC58" s="3546"/>
      <c r="BD58" s="2033"/>
      <c r="BE58" s="3526"/>
      <c r="BF58" s="3526"/>
      <c r="BG58" s="3526"/>
      <c r="BH58" s="3526"/>
      <c r="BI58" s="3526"/>
      <c r="BJ58" s="3526"/>
      <c r="BK58" s="3526"/>
      <c r="BL58" s="3526"/>
      <c r="BM58" s="3526"/>
      <c r="BN58" s="3526"/>
      <c r="BO58" s="2033"/>
      <c r="BP58" s="3547"/>
      <c r="BQ58" s="3547"/>
      <c r="BR58" s="3546"/>
      <c r="BS58" s="3546"/>
      <c r="BT58" s="2033"/>
      <c r="BU58" s="3526"/>
      <c r="BV58" s="3526"/>
      <c r="BW58" s="3526"/>
      <c r="BX58" s="3526"/>
      <c r="BY58" s="3526"/>
      <c r="BZ58" s="3526"/>
      <c r="CA58" s="3526"/>
      <c r="CB58" s="3526"/>
      <c r="CC58" s="3526"/>
      <c r="CD58" s="3526"/>
      <c r="CE58" s="2033"/>
      <c r="CF58" s="3547"/>
      <c r="CG58" s="3546"/>
      <c r="CH58" s="3546"/>
      <c r="CI58" s="2033"/>
      <c r="CJ58" s="3526"/>
      <c r="CK58" s="3526"/>
      <c r="CL58" s="3526"/>
      <c r="CM58" s="3526"/>
      <c r="CN58" s="3526"/>
      <c r="CO58" s="3526"/>
      <c r="CP58" s="3526"/>
      <c r="CQ58" s="3526"/>
      <c r="CR58" s="3526"/>
      <c r="CS58" s="3526"/>
      <c r="CT58" s="2033"/>
      <c r="CU58" s="3547"/>
      <c r="CV58" s="3546"/>
      <c r="CW58" s="3546"/>
      <c r="CX58" s="2033"/>
      <c r="CY58" s="3526"/>
      <c r="CZ58" s="3526"/>
      <c r="DA58" s="3526"/>
      <c r="DB58" s="3526"/>
      <c r="DC58" s="3526"/>
      <c r="DD58" s="3526"/>
      <c r="DE58" s="3526"/>
      <c r="DF58" s="3526"/>
      <c r="DG58" s="3526"/>
      <c r="DH58" s="3526"/>
      <c r="DI58" s="2033"/>
      <c r="DJ58" s="2033"/>
      <c r="DK58" s="3526"/>
      <c r="DL58" s="2033"/>
      <c r="DM58" s="3526"/>
      <c r="DN58" s="3526"/>
      <c r="DO58" s="3526"/>
      <c r="DP58" s="2033"/>
      <c r="DQ58" s="3526"/>
      <c r="DR58" s="3526"/>
      <c r="DS58" s="3526"/>
      <c r="DT58" s="2033"/>
      <c r="DU58" s="3526"/>
      <c r="DV58" s="3526"/>
      <c r="DW58" s="3526"/>
      <c r="DX58" s="198"/>
      <c r="DY58" s="3526"/>
      <c r="DZ58" s="3526"/>
      <c r="EA58" s="2033"/>
      <c r="EB58" s="3526"/>
      <c r="EC58" s="3526"/>
      <c r="ED58" s="3570"/>
      <c r="EE58" s="3570"/>
      <c r="EF58" s="3563"/>
      <c r="EG58" s="235"/>
      <c r="EH58" s="3563"/>
      <c r="EI58" s="235"/>
      <c r="EJ58" s="2772"/>
      <c r="EK58" s="3589"/>
      <c r="EL58" s="3563"/>
      <c r="EM58" s="3563"/>
      <c r="EN58" s="3563"/>
      <c r="EO58" s="3563"/>
      <c r="EP58" s="3563"/>
      <c r="EQ58" s="3563"/>
      <c r="ER58" s="3563"/>
      <c r="ES58" s="3563"/>
      <c r="ET58" s="3563"/>
      <c r="EU58" s="3563"/>
      <c r="EV58" s="3597"/>
      <c r="EW58" s="3597"/>
      <c r="EX58" s="3526"/>
      <c r="EY58" s="3526"/>
      <c r="EZ58" s="3526"/>
      <c r="FA58" s="3563"/>
      <c r="FB58" s="3563"/>
      <c r="FC58" s="3526"/>
      <c r="FD58" s="3563"/>
      <c r="FE58" s="3563"/>
      <c r="FF58" s="3563"/>
      <c r="FG58" s="3563"/>
      <c r="FH58" s="3563"/>
      <c r="FI58" s="3563"/>
      <c r="FJ58" s="3570"/>
      <c r="FK58" s="3563"/>
      <c r="FL58" s="3563"/>
      <c r="FM58" s="3563"/>
      <c r="FN58" s="3570"/>
      <c r="FO58" s="3563"/>
      <c r="FP58" s="3563"/>
      <c r="FQ58" s="3563"/>
      <c r="FR58" s="3571"/>
      <c r="FS58" s="2034"/>
      <c r="FT58" s="3563"/>
      <c r="FU58" s="3563"/>
      <c r="FV58" s="3563"/>
      <c r="FW58" s="3563"/>
      <c r="FX58" s="3563"/>
      <c r="FY58" s="3563"/>
      <c r="FZ58" s="3563"/>
      <c r="GA58" s="3563"/>
      <c r="GB58" s="3563"/>
      <c r="GC58" s="3563"/>
      <c r="GD58" s="2034"/>
      <c r="GE58" s="235"/>
      <c r="GF58" s="3526"/>
      <c r="GG58" s="3563"/>
      <c r="GH58" s="3563"/>
      <c r="GI58" s="3563"/>
      <c r="GJ58" s="3563"/>
      <c r="GK58" s="3563"/>
      <c r="GL58" s="3563"/>
      <c r="GM58" s="3563"/>
      <c r="GN58" s="3563"/>
      <c r="GO58" s="2034"/>
      <c r="GP58" s="3563"/>
      <c r="GQ58" s="3563"/>
      <c r="GR58" s="3563"/>
      <c r="GS58" s="3546"/>
      <c r="GT58" s="3526"/>
      <c r="GU58" s="3526"/>
      <c r="GV58" s="3526"/>
      <c r="GW58" s="3526"/>
      <c r="GX58" s="3526"/>
      <c r="GY58" s="764"/>
      <c r="GZ58" s="245"/>
      <c r="HA58" s="3615"/>
      <c r="HB58" s="26"/>
      <c r="HC58" s="26"/>
      <c r="HD58" s="26"/>
      <c r="HE58" s="3622" t="s">
        <v>3393</v>
      </c>
      <c r="HF58" s="2035"/>
      <c r="HG58" s="3587" t="str">
        <f>IF($HI$21="F","Revenue","Price")</f>
        <v>Price</v>
      </c>
      <c r="HH58" s="3618" t="s">
        <v>39</v>
      </c>
      <c r="HI58" s="3618"/>
      <c r="HJ58" s="3587"/>
      <c r="HK58" s="3566"/>
      <c r="HL58" s="3566"/>
      <c r="HM58" s="3566"/>
      <c r="HN58" s="247"/>
      <c r="HO58" s="764"/>
      <c r="HP58" s="765"/>
      <c r="HQ58" s="3543"/>
      <c r="HR58" s="3543"/>
      <c r="HS58" s="3543"/>
      <c r="HT58" s="3543"/>
      <c r="HU58" s="3543"/>
      <c r="HV58" s="1356"/>
      <c r="HX58" s="3601"/>
      <c r="HY58" s="2509"/>
      <c r="HZ58" s="413"/>
      <c r="IC58" s="3577"/>
      <c r="ID58" s="448"/>
      <c r="IE58" s="3581"/>
      <c r="IF58" s="3581"/>
      <c r="IG58" s="448"/>
      <c r="IJ58" s="3609" t="str">
        <f>"Cost Rates ("&amp;HI17&amp;"/Hr)"</f>
        <v>Cost Rates (GBP/Hr)</v>
      </c>
      <c r="IK58" s="3610"/>
      <c r="IL58" s="3610"/>
      <c r="IM58" s="3610"/>
      <c r="IN58" s="3610"/>
      <c r="IO58" s="3610"/>
      <c r="IP58" s="3610"/>
      <c r="IQ58" s="3610"/>
      <c r="IR58" s="2037"/>
      <c r="IU58" s="3535"/>
      <c r="IV58" s="2510"/>
      <c r="IW58" s="3486" t="str">
        <f>"Sell Rates ("&amp;$HI$17&amp;"/Hr)"</f>
        <v>Sell Rates (GBP/Hr)</v>
      </c>
      <c r="IX58" s="3486"/>
      <c r="IY58" s="3486"/>
      <c r="IZ58" s="766"/>
      <c r="JA58" s="1974"/>
      <c r="JB58" s="765"/>
      <c r="JG58" s="421"/>
      <c r="JI58" s="421"/>
      <c r="JJ58" s="421"/>
      <c r="JM58" s="421"/>
      <c r="JN58" s="421"/>
      <c r="JO58" s="421"/>
      <c r="JP58" s="2040">
        <v>1.0075000000000001</v>
      </c>
      <c r="JQ58" s="430" t="str">
        <f>IF(OR($IX$4=8,$IX$4=10),"Scaling Factor","")</f>
        <v>Scaling Factor</v>
      </c>
      <c r="JS58" s="3491" t="s">
        <v>1572</v>
      </c>
      <c r="JT58" s="3491"/>
      <c r="JU58" s="3491"/>
      <c r="JV58" s="1954"/>
      <c r="JW58" s="3491" t="s">
        <v>513</v>
      </c>
      <c r="JX58" s="3491"/>
      <c r="JY58" s="1954"/>
      <c r="JZ58" s="3523" t="s">
        <v>4105</v>
      </c>
      <c r="KA58" s="3523"/>
      <c r="KB58" s="3516"/>
      <c r="KC58" s="766"/>
      <c r="KD58" s="1974"/>
      <c r="KE58" s="765"/>
      <c r="KF58" s="754"/>
      <c r="KG58" s="754"/>
      <c r="KH58" s="2287"/>
      <c r="KI58" s="2287" t="s">
        <v>2604</v>
      </c>
      <c r="KJ58" s="2287" t="s">
        <v>2604</v>
      </c>
      <c r="KK58" s="2287" t="s">
        <v>2604</v>
      </c>
      <c r="KL58" s="2287" t="s">
        <v>2604</v>
      </c>
      <c r="KM58" s="2287" t="s">
        <v>2604</v>
      </c>
      <c r="KN58" s="2287" t="s">
        <v>2604</v>
      </c>
      <c r="KO58" s="2287" t="s">
        <v>2604</v>
      </c>
      <c r="KP58" s="2287" t="s">
        <v>2604</v>
      </c>
      <c r="KQ58" s="2287" t="s">
        <v>2604</v>
      </c>
      <c r="KS58" s="2287"/>
      <c r="KT58" s="2287" t="s">
        <v>2604</v>
      </c>
      <c r="KU58" s="2287" t="s">
        <v>2604</v>
      </c>
      <c r="KV58" s="2287" t="s">
        <v>2604</v>
      </c>
      <c r="KW58" s="2287" t="s">
        <v>2604</v>
      </c>
      <c r="KX58" s="2287" t="s">
        <v>2604</v>
      </c>
      <c r="KY58" s="2287" t="s">
        <v>2604</v>
      </c>
      <c r="KZ58" s="2287" t="s">
        <v>2604</v>
      </c>
      <c r="LA58" s="2287" t="s">
        <v>2604</v>
      </c>
      <c r="LB58" s="2287" t="s">
        <v>2604</v>
      </c>
      <c r="LD58" s="3631"/>
      <c r="LE58" s="3631"/>
      <c r="LF58" s="3631"/>
      <c r="LG58" s="3631"/>
      <c r="LH58" s="3631"/>
      <c r="LI58" s="3631"/>
      <c r="LJ58" s="3631"/>
      <c r="LK58" s="3631"/>
      <c r="LL58" s="3631"/>
      <c r="LM58" s="3631"/>
      <c r="LO58" s="2287"/>
      <c r="LP58" s="2287" t="s">
        <v>2604</v>
      </c>
      <c r="LQ58" s="2287" t="s">
        <v>2604</v>
      </c>
      <c r="LR58" s="2287" t="s">
        <v>2604</v>
      </c>
      <c r="LS58" s="2287" t="s">
        <v>2604</v>
      </c>
      <c r="LT58" s="2287" t="s">
        <v>2604</v>
      </c>
      <c r="LU58" s="2287" t="s">
        <v>2604</v>
      </c>
      <c r="LV58" s="2287" t="s">
        <v>2604</v>
      </c>
      <c r="LW58" s="2287" t="s">
        <v>2604</v>
      </c>
      <c r="LX58" s="2287" t="s">
        <v>2604</v>
      </c>
      <c r="LY58" s="1987"/>
      <c r="LZ58" s="1987"/>
      <c r="MA58" s="1987"/>
      <c r="MB58" s="1987"/>
      <c r="MC58" s="1987"/>
      <c r="MD58" s="1987"/>
      <c r="ME58" s="1987"/>
      <c r="MF58" s="1987"/>
      <c r="MG58" s="1987"/>
      <c r="MH58" s="1987"/>
      <c r="MI58" s="1987"/>
      <c r="MJ58" s="1987"/>
      <c r="MK58" s="1987"/>
      <c r="ML58" s="1987"/>
      <c r="MM58" s="1987"/>
      <c r="MN58" s="1987"/>
      <c r="MO58" s="1987"/>
      <c r="MP58" s="1987"/>
      <c r="MQ58" s="1987"/>
      <c r="MR58" s="1987"/>
      <c r="MS58" s="1987"/>
      <c r="MT58" s="1987"/>
      <c r="MU58" s="1982"/>
      <c r="MV58" s="1975"/>
      <c r="MW58" s="765"/>
      <c r="NC58" s="754"/>
      <c r="ND58" s="2711"/>
      <c r="NE58" s="2718"/>
      <c r="NF58" s="1975"/>
      <c r="NG58" s="1975"/>
      <c r="NH58" s="1975"/>
      <c r="NI58" s="1975"/>
    </row>
    <row r="59" spans="1:373" s="272" customFormat="1" ht="9.75" customHeight="1" thickBot="1" x14ac:dyDescent="0.45">
      <c r="A59" s="235"/>
      <c r="B59" s="198"/>
      <c r="C59" s="198"/>
      <c r="D59" s="198"/>
      <c r="E59" s="198"/>
      <c r="F59" s="198"/>
      <c r="G59" s="198"/>
      <c r="H59" s="198"/>
      <c r="I59" s="198"/>
      <c r="J59" s="198"/>
      <c r="K59" s="198"/>
      <c r="L59" s="198"/>
      <c r="M59" s="198"/>
      <c r="N59" s="198"/>
      <c r="O59" s="1834"/>
      <c r="P59" s="3556"/>
      <c r="Q59" s="3556"/>
      <c r="R59" s="3556"/>
      <c r="S59" s="3556"/>
      <c r="T59" s="880"/>
      <c r="U59" s="403"/>
      <c r="V59" s="3526"/>
      <c r="W59" s="3526"/>
      <c r="X59" s="3546"/>
      <c r="Y59" s="3546"/>
      <c r="Z59" s="592"/>
      <c r="AA59" s="3526"/>
      <c r="AB59" s="3526"/>
      <c r="AC59" s="3526"/>
      <c r="AD59" s="3526"/>
      <c r="AE59" s="3526"/>
      <c r="AF59" s="3526"/>
      <c r="AG59" s="3526"/>
      <c r="AH59" s="3526"/>
      <c r="AI59" s="3526"/>
      <c r="AJ59" s="3526"/>
      <c r="AK59" s="403"/>
      <c r="AL59" s="3526"/>
      <c r="AM59" s="3546"/>
      <c r="AN59" s="3546"/>
      <c r="AO59" s="658"/>
      <c r="AP59" s="3526"/>
      <c r="AQ59" s="3526"/>
      <c r="AR59" s="3526"/>
      <c r="AS59" s="3526"/>
      <c r="AT59" s="3526"/>
      <c r="AU59" s="3526"/>
      <c r="AV59" s="3526"/>
      <c r="AW59" s="3526"/>
      <c r="AX59" s="3526"/>
      <c r="AY59" s="3526"/>
      <c r="AZ59" s="658"/>
      <c r="BA59" s="3526"/>
      <c r="BB59" s="3546"/>
      <c r="BC59" s="3546"/>
      <c r="BD59" s="658"/>
      <c r="BE59" s="3526"/>
      <c r="BF59" s="3526"/>
      <c r="BG59" s="3526"/>
      <c r="BH59" s="3526"/>
      <c r="BI59" s="3526"/>
      <c r="BJ59" s="3526"/>
      <c r="BK59" s="3526"/>
      <c r="BL59" s="3526"/>
      <c r="BM59" s="3526"/>
      <c r="BN59" s="3526"/>
      <c r="BO59" s="658"/>
      <c r="BP59" s="3547"/>
      <c r="BQ59" s="3547"/>
      <c r="BR59" s="3546"/>
      <c r="BS59" s="3546"/>
      <c r="BT59" s="1751"/>
      <c r="BU59" s="3526"/>
      <c r="BV59" s="3526"/>
      <c r="BW59" s="3526"/>
      <c r="BX59" s="3526"/>
      <c r="BY59" s="3526"/>
      <c r="BZ59" s="3526"/>
      <c r="CA59" s="3526"/>
      <c r="CB59" s="3526"/>
      <c r="CC59" s="3526"/>
      <c r="CD59" s="3526"/>
      <c r="CE59" s="1751"/>
      <c r="CF59" s="3547"/>
      <c r="CG59" s="3546"/>
      <c r="CH59" s="3546"/>
      <c r="CI59" s="1751"/>
      <c r="CJ59" s="3526"/>
      <c r="CK59" s="3526"/>
      <c r="CL59" s="3526"/>
      <c r="CM59" s="3526"/>
      <c r="CN59" s="3526"/>
      <c r="CO59" s="3526"/>
      <c r="CP59" s="3526"/>
      <c r="CQ59" s="3526"/>
      <c r="CR59" s="3526"/>
      <c r="CS59" s="3526"/>
      <c r="CT59" s="1751"/>
      <c r="CU59" s="3547"/>
      <c r="CV59" s="3546"/>
      <c r="CW59" s="3546"/>
      <c r="CX59" s="1751"/>
      <c r="CY59" s="3526"/>
      <c r="CZ59" s="3526"/>
      <c r="DA59" s="3526"/>
      <c r="DB59" s="3526"/>
      <c r="DC59" s="3526"/>
      <c r="DD59" s="3526"/>
      <c r="DE59" s="3526"/>
      <c r="DF59" s="3526"/>
      <c r="DG59" s="3526"/>
      <c r="DH59" s="3526"/>
      <c r="DI59" s="1751"/>
      <c r="DJ59" s="1751"/>
      <c r="DK59" s="3526"/>
      <c r="DL59" s="1017"/>
      <c r="DM59" s="3526"/>
      <c r="DN59" s="3526"/>
      <c r="DO59" s="3526"/>
      <c r="DP59" s="1050"/>
      <c r="DQ59" s="3526"/>
      <c r="DR59" s="3526"/>
      <c r="DS59" s="3526"/>
      <c r="DT59" s="1050"/>
      <c r="DU59" s="3526"/>
      <c r="DV59" s="3526"/>
      <c r="DW59" s="3526"/>
      <c r="DX59" s="198"/>
      <c r="DY59" s="3526"/>
      <c r="DZ59" s="3526"/>
      <c r="EA59" s="403"/>
      <c r="EB59" s="3526"/>
      <c r="EC59" s="3526"/>
      <c r="ED59" s="3570"/>
      <c r="EE59" s="3570"/>
      <c r="EF59" s="3563"/>
      <c r="EG59" s="235"/>
      <c r="EH59" s="3563"/>
      <c r="EI59" s="3541" t="s">
        <v>3395</v>
      </c>
      <c r="EJ59" s="3541" t="s">
        <v>3396</v>
      </c>
      <c r="EK59" s="3589"/>
      <c r="EL59" s="3563"/>
      <c r="EM59" s="3563"/>
      <c r="EN59" s="3563"/>
      <c r="EO59" s="3563"/>
      <c r="EP59" s="3563"/>
      <c r="EQ59" s="3563"/>
      <c r="ER59" s="3563"/>
      <c r="ES59" s="3563"/>
      <c r="ET59" s="3563"/>
      <c r="EU59" s="3563"/>
      <c r="EV59" s="3597"/>
      <c r="EW59" s="3597"/>
      <c r="EX59" s="3526"/>
      <c r="EY59" s="3526"/>
      <c r="EZ59" s="3526"/>
      <c r="FA59" s="3563"/>
      <c r="FB59" s="3563"/>
      <c r="FC59" s="3526"/>
      <c r="FD59" s="3563"/>
      <c r="FE59" s="3563"/>
      <c r="FF59" s="3563"/>
      <c r="FG59" s="3563"/>
      <c r="FH59" s="3563"/>
      <c r="FI59" s="3563"/>
      <c r="FJ59" s="3570"/>
      <c r="FK59" s="3563"/>
      <c r="FL59" s="3563"/>
      <c r="FM59" s="3563"/>
      <c r="FN59" s="3570"/>
      <c r="FO59" s="3563"/>
      <c r="FP59" s="3563"/>
      <c r="FQ59" s="3563"/>
      <c r="FR59" s="3571"/>
      <c r="FS59" s="1535"/>
      <c r="FT59" s="3563"/>
      <c r="FU59" s="3563"/>
      <c r="FV59" s="3563"/>
      <c r="FW59" s="3563"/>
      <c r="FX59" s="3563"/>
      <c r="FY59" s="3563"/>
      <c r="FZ59" s="3563"/>
      <c r="GA59" s="3563"/>
      <c r="GB59" s="3563"/>
      <c r="GC59" s="3563"/>
      <c r="GD59" s="1535"/>
      <c r="GE59" s="235"/>
      <c r="GF59" s="3526"/>
      <c r="GG59" s="3563"/>
      <c r="GH59" s="3563"/>
      <c r="GI59" s="3563"/>
      <c r="GJ59" s="3563"/>
      <c r="GK59" s="3563"/>
      <c r="GL59" s="3563"/>
      <c r="GM59" s="3563"/>
      <c r="GN59" s="3563"/>
      <c r="GO59" s="1840"/>
      <c r="GP59" s="3563"/>
      <c r="GQ59" s="3563"/>
      <c r="GR59" s="3563"/>
      <c r="GS59" s="3546"/>
      <c r="GT59" s="3526"/>
      <c r="GU59" s="3526"/>
      <c r="GV59" s="3526"/>
      <c r="GW59" s="3526"/>
      <c r="GX59" s="3526"/>
      <c r="GY59" s="764"/>
      <c r="GZ59" s="245"/>
      <c r="HA59" s="3615"/>
      <c r="HB59" s="26"/>
      <c r="HC59" s="26"/>
      <c r="HD59" s="26"/>
      <c r="HE59" s="3622"/>
      <c r="HF59" s="26"/>
      <c r="HG59" s="3621"/>
      <c r="HH59" s="3619"/>
      <c r="HI59" s="3619"/>
      <c r="HJ59" s="3588"/>
      <c r="HK59" s="3567"/>
      <c r="HL59" s="3567"/>
      <c r="HM59" s="3567"/>
      <c r="HN59" s="247"/>
      <c r="HO59" s="764"/>
      <c r="HP59" s="765"/>
      <c r="HQ59" s="3543"/>
      <c r="HR59" s="3543"/>
      <c r="HS59" s="3543"/>
      <c r="HT59" s="3543"/>
      <c r="HU59" s="3543"/>
      <c r="HY59" s="749"/>
      <c r="IB59" s="1217"/>
      <c r="IC59" s="3577"/>
      <c r="ID59" s="448"/>
      <c r="IE59" s="3600" t="s">
        <v>1382</v>
      </c>
      <c r="IF59" s="3600"/>
      <c r="IG59" s="448"/>
      <c r="II59" s="3616" t="s">
        <v>1691</v>
      </c>
      <c r="IJ59" s="2037"/>
      <c r="IK59" s="2037"/>
      <c r="IL59" s="2037"/>
      <c r="IM59" s="2037"/>
      <c r="IN59" s="2037"/>
      <c r="IO59" s="2037"/>
      <c r="IP59" s="2037"/>
      <c r="IQ59" s="2037"/>
      <c r="IT59" s="749"/>
      <c r="IU59" s="3535"/>
      <c r="IV59" s="2037"/>
      <c r="IW59" s="2037"/>
      <c r="IX59" s="2037"/>
      <c r="IY59" s="2037"/>
      <c r="IZ59" s="766"/>
      <c r="JA59" s="1974"/>
      <c r="JB59" s="765"/>
      <c r="JC59" s="1951"/>
      <c r="JD59" s="1951"/>
      <c r="JE59" s="1951"/>
      <c r="JF59" s="3572" t="s">
        <v>2282</v>
      </c>
      <c r="JG59" s="3573"/>
      <c r="JH59" s="3573"/>
      <c r="JI59" s="421"/>
      <c r="JJ59" s="3484" t="s">
        <v>2099</v>
      </c>
      <c r="JK59" s="3485"/>
      <c r="JL59" s="3485"/>
      <c r="JM59" s="3489" t="s">
        <v>2290</v>
      </c>
      <c r="JN59" s="3489"/>
      <c r="JO59" s="3489"/>
      <c r="JP59" s="3524" t="s">
        <v>2363</v>
      </c>
      <c r="JQ59" s="3525"/>
      <c r="JR59" s="1948"/>
      <c r="JS59" s="3491"/>
      <c r="JT59" s="3491"/>
      <c r="JU59" s="3491"/>
      <c r="JV59" s="3199"/>
      <c r="JW59" s="3491"/>
      <c r="JX59" s="3491"/>
      <c r="JY59" s="3199"/>
      <c r="JZ59" s="3523"/>
      <c r="KA59" s="3523"/>
      <c r="KB59" s="3516"/>
      <c r="KC59" s="1993"/>
      <c r="KD59" s="1974"/>
      <c r="KE59" s="1990"/>
      <c r="KF59" s="2027"/>
      <c r="KG59" s="2027"/>
      <c r="KH59" s="478" t="s">
        <v>4108</v>
      </c>
      <c r="KI59" s="597"/>
      <c r="KJ59" s="597"/>
      <c r="KK59" s="597"/>
      <c r="KL59" s="597"/>
      <c r="KM59" s="597"/>
      <c r="KN59" s="597"/>
      <c r="KO59" s="597"/>
      <c r="KP59" s="597"/>
      <c r="KQ59" s="597"/>
      <c r="KR59" s="754"/>
      <c r="KS59" s="478" t="s">
        <v>2602</v>
      </c>
      <c r="KU59" s="197"/>
      <c r="KV59" s="197"/>
      <c r="KW59" s="197"/>
      <c r="KX59" s="754"/>
      <c r="KY59" s="754"/>
      <c r="KZ59" s="754"/>
      <c r="LA59" s="754"/>
      <c r="LB59" s="754"/>
      <c r="LD59" s="478" t="s">
        <v>4108</v>
      </c>
      <c r="LE59" s="597"/>
      <c r="LF59" s="597"/>
      <c r="LG59" s="597"/>
      <c r="LH59" s="597"/>
      <c r="LI59" s="597"/>
      <c r="LJ59" s="597"/>
      <c r="LK59" s="597"/>
      <c r="LL59" s="597"/>
      <c r="LM59" s="597"/>
      <c r="LN59" s="749"/>
      <c r="LO59" s="478" t="s">
        <v>2603</v>
      </c>
      <c r="LR59" s="1663"/>
      <c r="LS59" s="754"/>
      <c r="LT59" s="754"/>
      <c r="LU59" s="754"/>
      <c r="LV59" s="754"/>
      <c r="LW59" s="754"/>
      <c r="LX59" s="754"/>
      <c r="LY59" s="754"/>
      <c r="MA59" s="2288"/>
      <c r="MB59" s="2288"/>
      <c r="MC59" s="2288"/>
      <c r="MD59" s="2288"/>
      <c r="ME59" s="2288"/>
      <c r="MF59" s="2288"/>
      <c r="MG59" s="2288"/>
      <c r="MH59" s="2288"/>
      <c r="MI59" s="2288"/>
      <c r="MJ59" s="2288"/>
      <c r="MK59" s="749"/>
      <c r="ML59" s="2288"/>
      <c r="MM59" s="2288"/>
      <c r="MN59" s="2288"/>
      <c r="MO59" s="2288"/>
      <c r="MP59" s="2288"/>
      <c r="MQ59" s="2288"/>
      <c r="MR59" s="2288"/>
      <c r="MS59" s="2288"/>
      <c r="MT59" s="2288"/>
      <c r="MU59" s="766"/>
      <c r="MV59" s="1975"/>
      <c r="MW59" s="765"/>
      <c r="MY59" s="749"/>
      <c r="NA59" s="749"/>
      <c r="NB59" s="749"/>
      <c r="NC59" s="754"/>
      <c r="ND59" s="868"/>
      <c r="NE59" s="2717"/>
      <c r="NF59" s="1975"/>
      <c r="NG59" s="1975"/>
      <c r="NH59" s="1975"/>
      <c r="NI59" s="1975"/>
    </row>
    <row r="60" spans="1:373" ht="21.75" customHeight="1" thickBot="1" x14ac:dyDescent="0.35">
      <c r="A60" s="235"/>
      <c r="B60" s="198"/>
      <c r="C60" s="198"/>
      <c r="D60" s="198"/>
      <c r="E60" s="198"/>
      <c r="F60" s="198"/>
      <c r="G60" s="198"/>
      <c r="H60" s="198"/>
      <c r="I60" s="198"/>
      <c r="J60" s="198"/>
      <c r="K60" s="198"/>
      <c r="L60" s="198"/>
      <c r="M60" s="198"/>
      <c r="N60" s="198"/>
      <c r="O60" s="1834"/>
      <c r="P60" s="3556"/>
      <c r="Q60" s="3556"/>
      <c r="R60" s="3556"/>
      <c r="S60" s="3556"/>
      <c r="T60" s="880"/>
      <c r="U60" s="222"/>
      <c r="V60" s="3526"/>
      <c r="W60" s="3526"/>
      <c r="X60" s="3546"/>
      <c r="Y60" s="3546"/>
      <c r="Z60" s="592"/>
      <c r="AA60" s="3526"/>
      <c r="AB60" s="3526"/>
      <c r="AC60" s="3526"/>
      <c r="AD60" s="3526"/>
      <c r="AE60" s="3526"/>
      <c r="AF60" s="3526"/>
      <c r="AG60" s="3526"/>
      <c r="AH60" s="3526"/>
      <c r="AI60" s="3526"/>
      <c r="AJ60" s="3526"/>
      <c r="AK60" s="203"/>
      <c r="AL60" s="3526"/>
      <c r="AM60" s="3546"/>
      <c r="AN60" s="3546"/>
      <c r="AO60" s="658"/>
      <c r="AP60" s="3526"/>
      <c r="AQ60" s="3526"/>
      <c r="AR60" s="3526"/>
      <c r="AS60" s="3526"/>
      <c r="AT60" s="3526"/>
      <c r="AU60" s="3526"/>
      <c r="AV60" s="3526"/>
      <c r="AW60" s="3526"/>
      <c r="AX60" s="3526"/>
      <c r="AY60" s="3526"/>
      <c r="AZ60" s="658"/>
      <c r="BA60" s="3526"/>
      <c r="BB60" s="3546"/>
      <c r="BC60" s="3546"/>
      <c r="BD60" s="658"/>
      <c r="BE60" s="3526"/>
      <c r="BF60" s="3526"/>
      <c r="BG60" s="3526"/>
      <c r="BH60" s="3526"/>
      <c r="BI60" s="3526"/>
      <c r="BJ60" s="3526"/>
      <c r="BK60" s="3526"/>
      <c r="BL60" s="3526"/>
      <c r="BM60" s="3526"/>
      <c r="BN60" s="3526"/>
      <c r="BO60" s="658"/>
      <c r="BP60" s="3547"/>
      <c r="BQ60" s="3547"/>
      <c r="BR60" s="3546"/>
      <c r="BS60" s="3546"/>
      <c r="BT60" s="1751"/>
      <c r="BU60" s="3526"/>
      <c r="BV60" s="3526"/>
      <c r="BW60" s="3526"/>
      <c r="BX60" s="3526"/>
      <c r="BY60" s="3526"/>
      <c r="BZ60" s="3526"/>
      <c r="CA60" s="3526"/>
      <c r="CB60" s="3526"/>
      <c r="CC60" s="3526"/>
      <c r="CD60" s="3526"/>
      <c r="CE60" s="1751"/>
      <c r="CF60" s="3547"/>
      <c r="CG60" s="3546"/>
      <c r="CH60" s="3546"/>
      <c r="CI60" s="1751"/>
      <c r="CJ60" s="3526"/>
      <c r="CK60" s="3526"/>
      <c r="CL60" s="3526"/>
      <c r="CM60" s="3526"/>
      <c r="CN60" s="3526"/>
      <c r="CO60" s="3526"/>
      <c r="CP60" s="3526"/>
      <c r="CQ60" s="3526"/>
      <c r="CR60" s="3526"/>
      <c r="CS60" s="3526"/>
      <c r="CT60" s="1751"/>
      <c r="CU60" s="3547"/>
      <c r="CV60" s="3546"/>
      <c r="CW60" s="3546"/>
      <c r="CX60" s="1751"/>
      <c r="CY60" s="3526"/>
      <c r="CZ60" s="3526"/>
      <c r="DA60" s="3526"/>
      <c r="DB60" s="3526"/>
      <c r="DC60" s="3526"/>
      <c r="DD60" s="3526"/>
      <c r="DE60" s="3526"/>
      <c r="DF60" s="3526"/>
      <c r="DG60" s="3526"/>
      <c r="DH60" s="3526"/>
      <c r="DI60" s="1751"/>
      <c r="DJ60" s="1751"/>
      <c r="DK60" s="3526"/>
      <c r="DL60" s="1017"/>
      <c r="DM60" s="3526"/>
      <c r="DN60" s="3526"/>
      <c r="DO60" s="3526"/>
      <c r="DP60" s="1050"/>
      <c r="DQ60" s="3526"/>
      <c r="DR60" s="3526"/>
      <c r="DS60" s="3526"/>
      <c r="DT60" s="1050"/>
      <c r="DU60" s="3526"/>
      <c r="DV60" s="3526"/>
      <c r="DW60" s="3526"/>
      <c r="DX60" s="198"/>
      <c r="DY60" s="3526"/>
      <c r="DZ60" s="3526"/>
      <c r="EA60" s="203"/>
      <c r="EB60" s="3526"/>
      <c r="EC60" s="3526"/>
      <c r="ED60" s="3570"/>
      <c r="EE60" s="3570"/>
      <c r="EF60" s="3563"/>
      <c r="EG60" s="1966" t="s">
        <v>380</v>
      </c>
      <c r="EH60" s="3563"/>
      <c r="EI60" s="3541"/>
      <c r="EJ60" s="3541"/>
      <c r="EK60" s="3589"/>
      <c r="EL60" s="3563"/>
      <c r="EM60" s="3563"/>
      <c r="EN60" s="3563"/>
      <c r="EO60" s="3563"/>
      <c r="EP60" s="3563"/>
      <c r="EQ60" s="3563"/>
      <c r="ER60" s="3563"/>
      <c r="ES60" s="3563"/>
      <c r="ET60" s="3563"/>
      <c r="EU60" s="3563"/>
      <c r="EV60" s="3597"/>
      <c r="EW60" s="3597"/>
      <c r="EX60" s="3526"/>
      <c r="EY60" s="3526"/>
      <c r="EZ60" s="3526"/>
      <c r="FA60" s="3563"/>
      <c r="FB60" s="3563"/>
      <c r="FC60" s="3526"/>
      <c r="FD60" s="3563"/>
      <c r="FE60" s="3563"/>
      <c r="FF60" s="3563"/>
      <c r="FG60" s="3563"/>
      <c r="FH60" s="3563"/>
      <c r="FI60" s="3563"/>
      <c r="FJ60" s="3570"/>
      <c r="FK60" s="3563"/>
      <c r="FL60" s="3563"/>
      <c r="FM60" s="3563"/>
      <c r="FN60" s="3570"/>
      <c r="FO60" s="3563"/>
      <c r="FP60" s="3563"/>
      <c r="FQ60" s="3563"/>
      <c r="FR60" s="3571"/>
      <c r="FS60" s="1535"/>
      <c r="FT60" s="3563"/>
      <c r="FU60" s="3563"/>
      <c r="FV60" s="3563"/>
      <c r="FW60" s="3563"/>
      <c r="FX60" s="3563"/>
      <c r="FY60" s="3563"/>
      <c r="FZ60" s="3563"/>
      <c r="GA60" s="3563"/>
      <c r="GB60" s="3563"/>
      <c r="GC60" s="3563"/>
      <c r="GD60" s="1535"/>
      <c r="GE60" s="235"/>
      <c r="GF60" s="3526"/>
      <c r="GG60" s="3563"/>
      <c r="GH60" s="3563"/>
      <c r="GI60" s="3563"/>
      <c r="GJ60" s="3563"/>
      <c r="GK60" s="3563"/>
      <c r="GL60" s="3563"/>
      <c r="GM60" s="3563"/>
      <c r="GN60" s="3563"/>
      <c r="GO60" s="1840"/>
      <c r="GP60" s="3563"/>
      <c r="GQ60" s="3563"/>
      <c r="GR60" s="3563"/>
      <c r="GS60" s="3546"/>
      <c r="GT60" s="3526"/>
      <c r="GU60" s="3526"/>
      <c r="GV60" s="3526"/>
      <c r="GW60" s="3526"/>
      <c r="GX60" s="3526"/>
      <c r="GY60" s="764"/>
      <c r="GZ60" s="245"/>
      <c r="HA60" s="3615"/>
      <c r="HB60" s="26"/>
      <c r="HC60" s="26"/>
      <c r="HD60" s="515" t="s">
        <v>1117</v>
      </c>
      <c r="HE60" s="414">
        <f>SUMIFS(HE64:HE114,GR64:GR114,0)</f>
        <v>1363</v>
      </c>
      <c r="HF60" s="360"/>
      <c r="HG60" s="511">
        <f ca="1">SUM(HG64:HG114)</f>
        <v>68492.781825000013</v>
      </c>
      <c r="HH60" s="3611">
        <f>SUM(HH64:HH114)</f>
        <v>39741.674231999998</v>
      </c>
      <c r="HI60" s="3612"/>
      <c r="HJ60" s="512">
        <f ca="1">HG60-HH60</f>
        <v>28751.107593000015</v>
      </c>
      <c r="HK60" s="455">
        <f ca="1">IFERROR(HJ60/HG60,0)</f>
        <v>0.41976843145982135</v>
      </c>
      <c r="HL60" s="3613">
        <f ca="1">IFERROR(HJ60/HE60,0)</f>
        <v>21.093989429933981</v>
      </c>
      <c r="HM60" s="3614"/>
      <c r="HN60" s="247"/>
      <c r="HO60" s="764"/>
      <c r="HP60" s="765"/>
      <c r="HQ60" s="1546" t="s">
        <v>3394</v>
      </c>
      <c r="HR60" s="1547"/>
      <c r="HS60" s="1547"/>
      <c r="HT60" s="1545"/>
      <c r="HU60" s="1545"/>
      <c r="HW60" s="1216"/>
      <c r="HX60" s="721" t="s">
        <v>3338</v>
      </c>
      <c r="HY60" s="2508"/>
      <c r="IA60" s="3608" t="s">
        <v>1806</v>
      </c>
      <c r="IB60" s="3579" t="s">
        <v>1190</v>
      </c>
      <c r="IC60" s="3577"/>
      <c r="IE60" s="1284">
        <f>SUM(IE64:IE114)</f>
        <v>1363</v>
      </c>
      <c r="IF60" s="1284">
        <f>SUM(IF64:IF114)</f>
        <v>0</v>
      </c>
      <c r="II60" s="3616"/>
      <c r="IJ60" s="208" t="s">
        <v>2546</v>
      </c>
      <c r="IK60" s="208"/>
      <c r="IL60" s="208"/>
      <c r="IM60" s="2262" t="str">
        <f>"("&amp;$HI$17&amp;"/Hr)"</f>
        <v>(GBP/Hr)</v>
      </c>
      <c r="IP60" s="3617" t="s">
        <v>2565</v>
      </c>
      <c r="IQ60" s="3617"/>
      <c r="IR60" s="2262" t="str">
        <f>"("&amp;$HI$17&amp;"/Hr)"</f>
        <v>(GBP/Hr)</v>
      </c>
      <c r="IU60" s="3535"/>
      <c r="IW60" s="1961" t="s">
        <v>2328</v>
      </c>
      <c r="IX60" s="2064" t="str">
        <f>'1 Setup'!I84</f>
        <v>10.  Category Rates with Scaling Factor</v>
      </c>
      <c r="IY60" s="754"/>
      <c r="IZ60" s="766"/>
      <c r="JA60" s="1974"/>
      <c r="JB60" s="765"/>
      <c r="JC60" s="1951"/>
      <c r="JD60" s="1951"/>
      <c r="JE60" s="1951"/>
      <c r="JF60" s="3573"/>
      <c r="JG60" s="3573"/>
      <c r="JH60" s="3573"/>
      <c r="JJ60" s="3485"/>
      <c r="JK60" s="3485"/>
      <c r="JL60" s="3485"/>
      <c r="JM60" s="3489"/>
      <c r="JN60" s="3489"/>
      <c r="JO60" s="3489"/>
      <c r="JP60" s="3525"/>
      <c r="JQ60" s="3525"/>
      <c r="JR60" s="1948"/>
      <c r="JS60" s="3630" t="s">
        <v>4302</v>
      </c>
      <c r="JT60" s="3630"/>
      <c r="JU60" s="3199"/>
      <c r="JV60" s="3199"/>
      <c r="JW60" s="1963">
        <v>1.5</v>
      </c>
      <c r="JX60" s="3164"/>
      <c r="JY60" s="3199"/>
      <c r="JZ60" s="3218"/>
      <c r="KA60" s="3218"/>
      <c r="KB60" s="3516"/>
      <c r="KC60" s="1993"/>
      <c r="KD60" s="1974"/>
      <c r="KE60" s="1990"/>
      <c r="KF60" s="2027"/>
      <c r="KG60" s="2027"/>
      <c r="KH60" s="2504">
        <f t="shared" ref="KH60:KQ60" si="23">BE62</f>
        <v>1363</v>
      </c>
      <c r="KI60" s="2504">
        <f t="shared" si="23"/>
        <v>0</v>
      </c>
      <c r="KJ60" s="2504">
        <f t="shared" si="23"/>
        <v>0</v>
      </c>
      <c r="KK60" s="2504">
        <f t="shared" si="23"/>
        <v>0</v>
      </c>
      <c r="KL60" s="2504">
        <f t="shared" si="23"/>
        <v>0</v>
      </c>
      <c r="KM60" s="2504">
        <f t="shared" si="23"/>
        <v>0</v>
      </c>
      <c r="KN60" s="2504">
        <f t="shared" si="23"/>
        <v>0</v>
      </c>
      <c r="KO60" s="2504">
        <f t="shared" si="23"/>
        <v>0</v>
      </c>
      <c r="KP60" s="2504">
        <f t="shared" si="23"/>
        <v>0</v>
      </c>
      <c r="KQ60" s="2504">
        <f t="shared" si="23"/>
        <v>0</v>
      </c>
      <c r="KR60" s="569"/>
      <c r="KS60" s="2141" t="s">
        <v>5</v>
      </c>
      <c r="KT60" s="2140"/>
      <c r="KU60" s="2140"/>
      <c r="KV60" s="2140"/>
      <c r="KW60" s="2140"/>
      <c r="KX60" s="2140"/>
      <c r="KY60" s="2140"/>
      <c r="KZ60" s="2140"/>
      <c r="LA60" s="2140"/>
      <c r="LB60" s="2140"/>
      <c r="LD60" s="2504">
        <f t="shared" ref="LD60:LM60" si="24">CY62</f>
        <v>1363</v>
      </c>
      <c r="LE60" s="2504">
        <f t="shared" si="24"/>
        <v>0</v>
      </c>
      <c r="LF60" s="2504">
        <f t="shared" si="24"/>
        <v>0</v>
      </c>
      <c r="LG60" s="2504">
        <f t="shared" si="24"/>
        <v>0</v>
      </c>
      <c r="LH60" s="2504">
        <f t="shared" si="24"/>
        <v>0</v>
      </c>
      <c r="LI60" s="2504">
        <f t="shared" si="24"/>
        <v>0</v>
      </c>
      <c r="LJ60" s="2504">
        <f t="shared" si="24"/>
        <v>0</v>
      </c>
      <c r="LK60" s="2504">
        <f t="shared" si="24"/>
        <v>0</v>
      </c>
      <c r="LL60" s="2504">
        <f t="shared" si="24"/>
        <v>0</v>
      </c>
      <c r="LM60" s="2504">
        <f t="shared" si="24"/>
        <v>0</v>
      </c>
      <c r="LO60" s="2141" t="s">
        <v>5</v>
      </c>
      <c r="LP60" s="2259">
        <f>KT60</f>
        <v>0</v>
      </c>
      <c r="LQ60" s="2259">
        <f t="shared" ref="LQ60:LX60" si="25">KU60</f>
        <v>0</v>
      </c>
      <c r="LR60" s="2259">
        <f t="shared" si="25"/>
        <v>0</v>
      </c>
      <c r="LS60" s="2259">
        <f t="shared" si="25"/>
        <v>0</v>
      </c>
      <c r="LT60" s="2259">
        <f t="shared" si="25"/>
        <v>0</v>
      </c>
      <c r="LU60" s="2259">
        <f t="shared" si="25"/>
        <v>0</v>
      </c>
      <c r="LV60" s="2259">
        <f t="shared" si="25"/>
        <v>0</v>
      </c>
      <c r="LW60" s="2259">
        <f t="shared" si="25"/>
        <v>0</v>
      </c>
      <c r="LX60" s="2259">
        <f t="shared" si="25"/>
        <v>0</v>
      </c>
      <c r="LY60" s="1987"/>
      <c r="LZ60" s="2288" t="s">
        <v>4113</v>
      </c>
      <c r="MA60" s="2288"/>
      <c r="MB60" s="2288"/>
      <c r="MC60" s="2288"/>
      <c r="MD60" s="2288"/>
      <c r="ME60" s="2288"/>
      <c r="MF60" s="2288"/>
      <c r="MG60" s="2288"/>
      <c r="MH60" s="2288"/>
      <c r="MI60" s="2288"/>
      <c r="MJ60" s="2288"/>
      <c r="MK60" s="2288" t="s">
        <v>4114</v>
      </c>
      <c r="ML60" s="2288"/>
      <c r="MM60" s="2288"/>
      <c r="MN60" s="2288"/>
      <c r="MO60" s="2288"/>
      <c r="MP60" s="2288"/>
      <c r="MQ60" s="2288"/>
      <c r="MR60" s="2288"/>
      <c r="MS60" s="2288"/>
      <c r="MT60" s="2288"/>
      <c r="MU60" s="1982"/>
      <c r="MV60" s="1975"/>
      <c r="MW60" s="765"/>
      <c r="MX60" s="2722" t="s">
        <v>2311</v>
      </c>
      <c r="MY60" s="2715"/>
      <c r="MZ60" s="2173"/>
      <c r="NA60" s="2715"/>
      <c r="NB60" s="2173" t="str">
        <f ca="1">IF(FQ62=0,"",IF(FQ62=1,"(Needed for 1 person as shown below)","(Needed for "&amp;FQ62&amp;" people as shown below)"))</f>
        <v>(Needed for 10 people as shown below)</v>
      </c>
      <c r="NC60" s="754"/>
      <c r="ND60" s="868"/>
      <c r="NE60" s="2717"/>
      <c r="NF60" s="1975"/>
      <c r="NG60" s="1975"/>
      <c r="NH60" s="1975"/>
      <c r="NI60" s="1975"/>
    </row>
    <row r="61" spans="1:373" ht="3.9" customHeight="1" x14ac:dyDescent="0.3">
      <c r="A61" s="198"/>
      <c r="B61" s="198"/>
      <c r="C61" s="198"/>
      <c r="D61" s="198"/>
      <c r="E61" s="198"/>
      <c r="F61" s="198"/>
      <c r="G61" s="198"/>
      <c r="H61" s="198"/>
      <c r="I61" s="198"/>
      <c r="J61" s="198"/>
      <c r="K61" s="198"/>
      <c r="L61" s="198"/>
      <c r="M61" s="198"/>
      <c r="N61" s="198"/>
      <c r="O61" s="198"/>
      <c r="P61" s="198"/>
      <c r="Q61" s="198"/>
      <c r="R61" s="198"/>
      <c r="S61" s="198"/>
      <c r="T61" s="198"/>
      <c r="U61" s="198"/>
      <c r="V61" s="198"/>
      <c r="W61" s="198"/>
      <c r="X61" s="198"/>
      <c r="Y61" s="198"/>
      <c r="Z61" s="592"/>
      <c r="AA61" s="198"/>
      <c r="AB61" s="198"/>
      <c r="AC61" s="198"/>
      <c r="AD61" s="198"/>
      <c r="AE61" s="198"/>
      <c r="AF61" s="198"/>
      <c r="AG61" s="198"/>
      <c r="AH61" s="198"/>
      <c r="AI61" s="198"/>
      <c r="AJ61" s="198"/>
      <c r="AK61" s="198"/>
      <c r="AL61" s="198"/>
      <c r="AM61" s="198"/>
      <c r="AN61" s="198"/>
      <c r="AO61" s="658"/>
      <c r="AP61" s="198"/>
      <c r="AQ61" s="198"/>
      <c r="AR61" s="198"/>
      <c r="AS61" s="198"/>
      <c r="AT61" s="198"/>
      <c r="AU61" s="198"/>
      <c r="AV61" s="198"/>
      <c r="AW61" s="198"/>
      <c r="AX61" s="198"/>
      <c r="AY61" s="198"/>
      <c r="AZ61" s="198"/>
      <c r="BA61" s="198"/>
      <c r="BB61" s="198"/>
      <c r="BC61" s="198"/>
      <c r="BD61" s="658"/>
      <c r="BE61" s="198"/>
      <c r="BF61" s="198"/>
      <c r="BG61" s="198"/>
      <c r="BH61" s="198"/>
      <c r="BI61" s="198"/>
      <c r="BJ61" s="198"/>
      <c r="BK61" s="198"/>
      <c r="BL61" s="198"/>
      <c r="BM61" s="198"/>
      <c r="BN61" s="198"/>
      <c r="BO61" s="198"/>
      <c r="BP61" s="1767"/>
      <c r="BQ61" s="1767"/>
      <c r="BR61" s="1767"/>
      <c r="BS61" s="1767"/>
      <c r="BT61" s="1751"/>
      <c r="BU61" s="198"/>
      <c r="BV61" s="198"/>
      <c r="BW61" s="198"/>
      <c r="BX61" s="198"/>
      <c r="BY61" s="198"/>
      <c r="BZ61" s="198"/>
      <c r="CA61" s="198"/>
      <c r="CB61" s="198"/>
      <c r="CC61" s="198"/>
      <c r="CD61" s="198"/>
      <c r="CE61" s="198"/>
      <c r="CF61" s="1817"/>
      <c r="CG61" s="1817"/>
      <c r="CH61" s="1817"/>
      <c r="CI61" s="1751"/>
      <c r="CJ61" s="198"/>
      <c r="CK61" s="198"/>
      <c r="CL61" s="198"/>
      <c r="CM61" s="198"/>
      <c r="CN61" s="198"/>
      <c r="CO61" s="198"/>
      <c r="CP61" s="198"/>
      <c r="CQ61" s="198"/>
      <c r="CR61" s="198"/>
      <c r="CS61" s="198"/>
      <c r="CT61" s="198"/>
      <c r="CU61" s="1817"/>
      <c r="CV61" s="1767"/>
      <c r="CW61" s="1767"/>
      <c r="CX61" s="1751"/>
      <c r="CY61" s="198"/>
      <c r="CZ61" s="198"/>
      <c r="DA61" s="198"/>
      <c r="DB61" s="198"/>
      <c r="DC61" s="198"/>
      <c r="DD61" s="198"/>
      <c r="DE61" s="198"/>
      <c r="DF61" s="198"/>
      <c r="DG61" s="198"/>
      <c r="DH61" s="198"/>
      <c r="DI61" s="198"/>
      <c r="DJ61" s="198"/>
      <c r="DK61" s="198"/>
      <c r="DL61" s="198"/>
      <c r="DM61" s="198"/>
      <c r="DN61" s="198"/>
      <c r="DO61" s="198"/>
      <c r="DP61" s="198"/>
      <c r="DQ61" s="198"/>
      <c r="DR61" s="198"/>
      <c r="DS61" s="198"/>
      <c r="DT61" s="198"/>
      <c r="DU61" s="198"/>
      <c r="DV61" s="198"/>
      <c r="DW61" s="198"/>
      <c r="DX61" s="198"/>
      <c r="DY61" s="198"/>
      <c r="DZ61" s="198"/>
      <c r="EA61" s="202"/>
      <c r="EB61" s="202"/>
      <c r="EC61" s="202"/>
      <c r="ED61" s="198"/>
      <c r="EE61" s="198"/>
      <c r="EF61" s="198"/>
      <c r="EG61" s="198"/>
      <c r="EH61" s="202"/>
      <c r="EI61" s="202"/>
      <c r="EJ61" s="1815"/>
      <c r="EK61" s="1815"/>
      <c r="EL61" s="202"/>
      <c r="EM61" s="202"/>
      <c r="EN61" s="202"/>
      <c r="EO61" s="202"/>
      <c r="EP61" s="540"/>
      <c r="EQ61" s="540"/>
      <c r="ER61" s="540"/>
      <c r="ES61" s="540"/>
      <c r="ET61" s="540"/>
      <c r="EU61" s="540"/>
      <c r="EV61" s="1962"/>
      <c r="EW61" s="202"/>
      <c r="EX61" s="202"/>
      <c r="EY61" s="202"/>
      <c r="EZ61" s="202"/>
      <c r="FA61" s="202"/>
      <c r="FB61" s="202"/>
      <c r="FC61" s="198"/>
      <c r="FD61" s="198"/>
      <c r="FE61" s="198"/>
      <c r="FF61" s="198"/>
      <c r="FG61" s="198"/>
      <c r="FH61" s="198"/>
      <c r="FI61" s="198"/>
      <c r="FJ61" s="198"/>
      <c r="FK61" s="198"/>
      <c r="FL61" s="198"/>
      <c r="FM61" s="198"/>
      <c r="FN61" s="198"/>
      <c r="FO61" s="198"/>
      <c r="FP61" s="1528"/>
      <c r="FQ61" s="198"/>
      <c r="FR61" s="1528"/>
      <c r="FS61" s="198"/>
      <c r="FT61" s="198"/>
      <c r="FU61" s="198"/>
      <c r="FV61" s="198"/>
      <c r="FW61" s="198"/>
      <c r="FX61" s="198"/>
      <c r="FY61" s="198"/>
      <c r="FZ61" s="198"/>
      <c r="GA61" s="198"/>
      <c r="GB61" s="198"/>
      <c r="GC61" s="198"/>
      <c r="GD61" s="198"/>
      <c r="GE61" s="198"/>
      <c r="GF61" s="202"/>
      <c r="GG61" s="202"/>
      <c r="GH61" s="202"/>
      <c r="GI61" s="202"/>
      <c r="GJ61" s="202"/>
      <c r="GK61" s="202"/>
      <c r="GL61" s="202"/>
      <c r="GM61" s="202"/>
      <c r="GN61" s="202"/>
      <c r="GO61" s="202"/>
      <c r="GP61" s="202"/>
      <c r="GQ61" s="202"/>
      <c r="GR61" s="202"/>
      <c r="GS61" s="1815"/>
      <c r="GT61" s="198"/>
      <c r="GU61" s="198"/>
      <c r="GV61" s="198"/>
      <c r="GW61" s="198"/>
      <c r="GX61" s="198"/>
      <c r="GY61" s="764"/>
      <c r="GZ61" s="245"/>
      <c r="HA61" s="246"/>
      <c r="HB61" s="246"/>
      <c r="HC61" s="246"/>
      <c r="HD61" s="246"/>
      <c r="HE61" s="246"/>
      <c r="HF61" s="360"/>
      <c r="HG61" s="513"/>
      <c r="HH61" s="513"/>
      <c r="HI61" s="513"/>
      <c r="HJ61" s="513"/>
      <c r="HK61" s="246"/>
      <c r="HL61" s="246"/>
      <c r="HM61" s="246"/>
      <c r="HN61" s="247"/>
      <c r="HO61" s="764"/>
      <c r="HP61" s="765"/>
      <c r="HQ61" s="721"/>
      <c r="HR61" s="721"/>
      <c r="HT61" s="448" t="s">
        <v>1178</v>
      </c>
      <c r="HU61" s="448"/>
      <c r="HW61" s="3544" t="s">
        <v>1722</v>
      </c>
      <c r="HX61" s="3561" t="s">
        <v>3356</v>
      </c>
      <c r="HY61" s="3544" t="s">
        <v>2801</v>
      </c>
      <c r="HZ61" s="3544" t="s">
        <v>1189</v>
      </c>
      <c r="IA61" s="3608"/>
      <c r="IB61" s="3579"/>
      <c r="IC61" s="3577"/>
      <c r="IE61" s="3537" t="s">
        <v>133</v>
      </c>
      <c r="IF61" s="3537" t="s">
        <v>139</v>
      </c>
      <c r="IJ61" s="208"/>
      <c r="IM61" s="3534" t="s">
        <v>2551</v>
      </c>
      <c r="IU61" s="3488" t="s">
        <v>2100</v>
      </c>
      <c r="IV61" s="215"/>
      <c r="IW61" s="3534" t="s">
        <v>2550</v>
      </c>
      <c r="IX61" s="3487" t="s">
        <v>9</v>
      </c>
      <c r="IY61" s="3531" t="s">
        <v>14</v>
      </c>
      <c r="IZ61" s="766"/>
      <c r="JA61" s="1974"/>
      <c r="JB61" s="765"/>
      <c r="JF61" s="1165"/>
      <c r="JS61" s="3630"/>
      <c r="JT61" s="3630"/>
      <c r="JU61" s="1712"/>
      <c r="JV61" s="3199"/>
      <c r="JW61" s="481"/>
      <c r="JX61" s="3164"/>
      <c r="JY61" s="3199"/>
      <c r="JZ61" s="754"/>
      <c r="KA61" s="754"/>
      <c r="KB61" s="3516"/>
      <c r="KC61" s="766"/>
      <c r="KD61" s="1974"/>
      <c r="KE61" s="765"/>
      <c r="KF61" s="754"/>
      <c r="KG61" s="754"/>
      <c r="LY61" s="1987"/>
      <c r="LZ61" s="1987"/>
      <c r="MA61" s="1987"/>
      <c r="MB61" s="1987"/>
      <c r="MC61" s="1987"/>
      <c r="MD61" s="1987"/>
      <c r="ME61" s="1987"/>
      <c r="MF61" s="1987"/>
      <c r="MG61" s="1987"/>
      <c r="MH61" s="1987"/>
      <c r="MI61" s="1987"/>
      <c r="MJ61" s="1987"/>
      <c r="MK61" s="1987"/>
      <c r="ML61" s="1987"/>
      <c r="MM61" s="1987"/>
      <c r="MN61" s="1987"/>
      <c r="MO61" s="1987"/>
      <c r="MP61" s="1987"/>
      <c r="MQ61" s="1987"/>
      <c r="MR61" s="1987"/>
      <c r="MS61" s="1987"/>
      <c r="MT61" s="1987"/>
      <c r="MU61" s="1982"/>
      <c r="MV61" s="1975"/>
      <c r="MW61" s="765"/>
      <c r="MZ61" s="3506" t="s">
        <v>3348</v>
      </c>
      <c r="NA61" s="2032"/>
      <c r="NB61" s="3503" t="s">
        <v>3346</v>
      </c>
      <c r="NC61" s="754"/>
      <c r="ND61" s="3475" t="s">
        <v>2293</v>
      </c>
      <c r="NE61" s="2717"/>
      <c r="NF61" s="1975"/>
      <c r="NG61" s="1975"/>
      <c r="NH61" s="1975"/>
      <c r="NI61" s="1975"/>
    </row>
    <row r="62" spans="1:373" ht="15.9" customHeight="1" x14ac:dyDescent="0.3">
      <c r="A62" s="198"/>
      <c r="B62" s="198"/>
      <c r="C62" s="198"/>
      <c r="D62" s="198"/>
      <c r="E62" s="198"/>
      <c r="F62" s="198"/>
      <c r="G62" s="198"/>
      <c r="H62" s="198"/>
      <c r="I62" s="198"/>
      <c r="J62" s="198"/>
      <c r="K62" s="198"/>
      <c r="L62" s="198"/>
      <c r="M62" s="198"/>
      <c r="N62" s="198"/>
      <c r="O62" s="198"/>
      <c r="P62" s="198"/>
      <c r="Q62" s="198"/>
      <c r="R62" s="198"/>
      <c r="S62" s="198"/>
      <c r="T62" s="198"/>
      <c r="U62" s="198"/>
      <c r="V62" s="661"/>
      <c r="W62" s="661">
        <f>SUM(W64:W114)</f>
        <v>1363</v>
      </c>
      <c r="X62" s="661"/>
      <c r="Y62" s="661">
        <f>SUM(Y64:Y114)</f>
        <v>1363</v>
      </c>
      <c r="Z62" s="592"/>
      <c r="AA62" s="661">
        <f t="shared" ref="AA62:AJ62" si="26">SUM(AA64:AA114)</f>
        <v>1363</v>
      </c>
      <c r="AB62" s="661">
        <f t="shared" si="26"/>
        <v>0</v>
      </c>
      <c r="AC62" s="661">
        <f t="shared" si="26"/>
        <v>0</v>
      </c>
      <c r="AD62" s="661">
        <f t="shared" si="26"/>
        <v>0</v>
      </c>
      <c r="AE62" s="661">
        <f t="shared" si="26"/>
        <v>0</v>
      </c>
      <c r="AF62" s="661">
        <f t="shared" si="26"/>
        <v>0</v>
      </c>
      <c r="AG62" s="661">
        <f t="shared" si="26"/>
        <v>0</v>
      </c>
      <c r="AH62" s="661">
        <f t="shared" si="26"/>
        <v>0</v>
      </c>
      <c r="AI62" s="661">
        <f t="shared" si="26"/>
        <v>0</v>
      </c>
      <c r="AJ62" s="661">
        <f t="shared" si="26"/>
        <v>0</v>
      </c>
      <c r="AK62" s="212"/>
      <c r="AL62" s="664">
        <f>SUM(AL64:AL114)</f>
        <v>0</v>
      </c>
      <c r="AM62" s="664"/>
      <c r="AN62" s="664">
        <f>SUM(AN64:AN114)</f>
        <v>0</v>
      </c>
      <c r="AO62" s="658"/>
      <c r="AP62" s="664">
        <f t="shared" ref="AP62:AY62" si="27">SUM(AP64:AP114)</f>
        <v>0</v>
      </c>
      <c r="AQ62" s="664">
        <f t="shared" si="27"/>
        <v>0</v>
      </c>
      <c r="AR62" s="664">
        <f t="shared" si="27"/>
        <v>0</v>
      </c>
      <c r="AS62" s="664">
        <f t="shared" si="27"/>
        <v>0</v>
      </c>
      <c r="AT62" s="664">
        <f t="shared" si="27"/>
        <v>0</v>
      </c>
      <c r="AU62" s="664">
        <f t="shared" si="27"/>
        <v>0</v>
      </c>
      <c r="AV62" s="664">
        <f t="shared" si="27"/>
        <v>0</v>
      </c>
      <c r="AW62" s="664">
        <f t="shared" si="27"/>
        <v>0</v>
      </c>
      <c r="AX62" s="664">
        <f t="shared" si="27"/>
        <v>0</v>
      </c>
      <c r="AY62" s="664">
        <f t="shared" si="27"/>
        <v>0</v>
      </c>
      <c r="AZ62" s="212"/>
      <c r="BA62" s="665">
        <f>SUM(BA64:BA114)</f>
        <v>1363</v>
      </c>
      <c r="BB62" s="665"/>
      <c r="BC62" s="665">
        <f>SUM(BC64:BC114)</f>
        <v>1363</v>
      </c>
      <c r="BD62" s="658"/>
      <c r="BE62" s="665">
        <f t="shared" ref="BE62:BN62" si="28">SUM(BE64:BE114)</f>
        <v>1363</v>
      </c>
      <c r="BF62" s="665">
        <f t="shared" si="28"/>
        <v>0</v>
      </c>
      <c r="BG62" s="665">
        <f t="shared" si="28"/>
        <v>0</v>
      </c>
      <c r="BH62" s="665">
        <f t="shared" si="28"/>
        <v>0</v>
      </c>
      <c r="BI62" s="665">
        <f t="shared" si="28"/>
        <v>0</v>
      </c>
      <c r="BJ62" s="665">
        <f t="shared" si="28"/>
        <v>0</v>
      </c>
      <c r="BK62" s="665">
        <f t="shared" si="28"/>
        <v>0</v>
      </c>
      <c r="BL62" s="665">
        <f t="shared" si="28"/>
        <v>0</v>
      </c>
      <c r="BM62" s="665">
        <f t="shared" si="28"/>
        <v>0</v>
      </c>
      <c r="BN62" s="665">
        <f t="shared" si="28"/>
        <v>0</v>
      </c>
      <c r="BO62" s="212"/>
      <c r="BP62" s="1816"/>
      <c r="BQ62" s="1816">
        <f>SUM(BQ64:BQ114)</f>
        <v>1363</v>
      </c>
      <c r="BR62" s="1893"/>
      <c r="BS62" s="1893">
        <f>SUM(BS64:BS114)</f>
        <v>1363</v>
      </c>
      <c r="BT62" s="1751"/>
      <c r="BU62" s="661">
        <f t="shared" ref="BU62:CD62" si="29">SUM(BU64:BU114)</f>
        <v>1363</v>
      </c>
      <c r="BV62" s="661">
        <f t="shared" si="29"/>
        <v>0</v>
      </c>
      <c r="BW62" s="661">
        <f t="shared" si="29"/>
        <v>0</v>
      </c>
      <c r="BX62" s="661">
        <f t="shared" si="29"/>
        <v>0</v>
      </c>
      <c r="BY62" s="661">
        <f t="shared" si="29"/>
        <v>0</v>
      </c>
      <c r="BZ62" s="661">
        <f t="shared" si="29"/>
        <v>0</v>
      </c>
      <c r="CA62" s="661">
        <f t="shared" si="29"/>
        <v>0</v>
      </c>
      <c r="CB62" s="661">
        <f t="shared" si="29"/>
        <v>0</v>
      </c>
      <c r="CC62" s="661">
        <f t="shared" si="29"/>
        <v>0</v>
      </c>
      <c r="CD62" s="661">
        <f t="shared" si="29"/>
        <v>0</v>
      </c>
      <c r="CE62" s="212"/>
      <c r="CF62" s="1819">
        <f>SUM(CF64:CF114)</f>
        <v>0</v>
      </c>
      <c r="CG62" s="1819">
        <f>SUM(CG64:CG114)</f>
        <v>0</v>
      </c>
      <c r="CH62" s="1819">
        <f>SUM(CH64:CH114)</f>
        <v>0</v>
      </c>
      <c r="CI62" s="1751"/>
      <c r="CJ62" s="664">
        <f t="shared" ref="CJ62:CS62" si="30">SUM(CJ64:CJ114)</f>
        <v>0</v>
      </c>
      <c r="CK62" s="664">
        <f t="shared" si="30"/>
        <v>0</v>
      </c>
      <c r="CL62" s="664">
        <f t="shared" si="30"/>
        <v>0</v>
      </c>
      <c r="CM62" s="664">
        <f t="shared" si="30"/>
        <v>0</v>
      </c>
      <c r="CN62" s="664">
        <f t="shared" si="30"/>
        <v>0</v>
      </c>
      <c r="CO62" s="664">
        <f t="shared" si="30"/>
        <v>0</v>
      </c>
      <c r="CP62" s="664">
        <f t="shared" si="30"/>
        <v>0</v>
      </c>
      <c r="CQ62" s="664">
        <f t="shared" si="30"/>
        <v>0</v>
      </c>
      <c r="CR62" s="664">
        <f t="shared" si="30"/>
        <v>0</v>
      </c>
      <c r="CS62" s="664">
        <f t="shared" si="30"/>
        <v>0</v>
      </c>
      <c r="CT62" s="212"/>
      <c r="CU62" s="1820">
        <f>SUM(CU64:CU114)</f>
        <v>1363</v>
      </c>
      <c r="CV62" s="1894"/>
      <c r="CW62" s="1894">
        <f>SUM(CW64:CW114)</f>
        <v>1363</v>
      </c>
      <c r="CX62" s="1751"/>
      <c r="CY62" s="665">
        <f t="shared" ref="CY62:DH62" si="31">SUM(CY64:CY114)</f>
        <v>1363</v>
      </c>
      <c r="CZ62" s="665">
        <f t="shared" si="31"/>
        <v>0</v>
      </c>
      <c r="DA62" s="665">
        <f t="shared" si="31"/>
        <v>0</v>
      </c>
      <c r="DB62" s="665">
        <f t="shared" si="31"/>
        <v>0</v>
      </c>
      <c r="DC62" s="665">
        <f t="shared" si="31"/>
        <v>0</v>
      </c>
      <c r="DD62" s="665">
        <f t="shared" si="31"/>
        <v>0</v>
      </c>
      <c r="DE62" s="665">
        <f t="shared" si="31"/>
        <v>0</v>
      </c>
      <c r="DF62" s="665">
        <f t="shared" si="31"/>
        <v>0</v>
      </c>
      <c r="DG62" s="665">
        <f t="shared" si="31"/>
        <v>0</v>
      </c>
      <c r="DH62" s="665">
        <f t="shared" si="31"/>
        <v>0</v>
      </c>
      <c r="DI62" s="212"/>
      <c r="DJ62" s="212"/>
      <c r="DK62" s="263"/>
      <c r="DL62" s="212"/>
      <c r="DM62" s="916">
        <f ca="1">IFERROR(SUM(DM64:DM114),0)</f>
        <v>68492.781825000013</v>
      </c>
      <c r="DN62" s="916">
        <f>SUM(DN64:DN114)</f>
        <v>37383.684232</v>
      </c>
      <c r="DO62" s="916">
        <f>SUM(DO64:DO114)</f>
        <v>24594.5291</v>
      </c>
      <c r="DP62" s="212"/>
      <c r="DQ62" s="917">
        <f ca="1">IFERROR(SUM(DQ64:DQ114),0)</f>
        <v>0</v>
      </c>
      <c r="DR62" s="917">
        <f>SUM(DR64:DR114)</f>
        <v>0</v>
      </c>
      <c r="DS62" s="917">
        <f>SUM(DS64:DS114)</f>
        <v>0</v>
      </c>
      <c r="DT62" s="212"/>
      <c r="DU62" s="915">
        <f ca="1">IFERROR(SUM(DU64:DU114),0)</f>
        <v>68492.781825000013</v>
      </c>
      <c r="DV62" s="915">
        <f>SUM(DV64:DV114)</f>
        <v>37383.684232</v>
      </c>
      <c r="DW62" s="915">
        <f>SUM(DW64:DW114)</f>
        <v>24594.5291</v>
      </c>
      <c r="DX62" s="198"/>
      <c r="DY62" s="915">
        <f>SUM(DY64:DY114)</f>
        <v>0</v>
      </c>
      <c r="DZ62" s="915">
        <f ca="1">SUM(DZ64:DZ114)</f>
        <v>0</v>
      </c>
      <c r="EA62" s="202"/>
      <c r="EB62" s="213">
        <f>COUNTIFS(EB64:EB114,0)</f>
        <v>0</v>
      </c>
      <c r="EC62" s="202"/>
      <c r="ED62" s="198"/>
      <c r="EE62" s="198"/>
      <c r="EF62" s="198"/>
      <c r="EG62" s="198"/>
      <c r="EH62" s="202"/>
      <c r="EI62" s="202"/>
      <c r="EJ62" s="1815"/>
      <c r="EK62" s="1815"/>
      <c r="EL62" s="202"/>
      <c r="EM62" s="372">
        <f>SUM(EM64:EM114)</f>
        <v>2357.9899999999998</v>
      </c>
      <c r="EN62" s="202"/>
      <c r="EO62" s="202"/>
      <c r="EP62" s="540"/>
      <c r="EQ62" s="540"/>
      <c r="ER62" s="540"/>
      <c r="ES62" s="540"/>
      <c r="ET62" s="540"/>
      <c r="EU62" s="540"/>
      <c r="EV62" s="1962"/>
      <c r="EW62" s="202"/>
      <c r="EX62" s="202"/>
      <c r="EY62" s="202"/>
      <c r="EZ62" s="202"/>
      <c r="FA62" s="372">
        <f>SUM(FA64:FA114)</f>
        <v>0</v>
      </c>
      <c r="FB62" s="372">
        <f>SUM(FB64:FB114)</f>
        <v>0</v>
      </c>
      <c r="FC62" s="2059">
        <f ca="1">SUM(FC64:FC114)</f>
        <v>0</v>
      </c>
      <c r="FD62" s="198"/>
      <c r="FE62" s="198"/>
      <c r="FF62" s="198"/>
      <c r="FG62" s="198"/>
      <c r="FH62" s="198"/>
      <c r="FI62" s="198"/>
      <c r="FJ62" s="198"/>
      <c r="FK62" s="372">
        <f ca="1">SUM(FK64:FK114)</f>
        <v>68492.781825000013</v>
      </c>
      <c r="FL62" s="372"/>
      <c r="FM62" s="372"/>
      <c r="FN62" s="198"/>
      <c r="FO62" s="372">
        <f ca="1">SUM(FO64:FO114)</f>
        <v>68492.781825000013</v>
      </c>
      <c r="FP62" s="372"/>
      <c r="FQ62" s="2724">
        <f ca="1">COUNTIFS(FQ64:FQ113,1)</f>
        <v>10</v>
      </c>
      <c r="FR62" s="2671"/>
      <c r="FS62" s="1169"/>
      <c r="FT62" s="1541">
        <v>1</v>
      </c>
      <c r="FU62" s="1541">
        <f>1+KT60</f>
        <v>1</v>
      </c>
      <c r="FV62" s="1541">
        <f t="shared" ref="FV62:GC62" si="32">FU62*(1+KU60)</f>
        <v>1</v>
      </c>
      <c r="FW62" s="1541">
        <f t="shared" si="32"/>
        <v>1</v>
      </c>
      <c r="FX62" s="1541">
        <f t="shared" si="32"/>
        <v>1</v>
      </c>
      <c r="FY62" s="1541">
        <f t="shared" si="32"/>
        <v>1</v>
      </c>
      <c r="FZ62" s="1541">
        <f t="shared" si="32"/>
        <v>1</v>
      </c>
      <c r="GA62" s="1541">
        <f t="shared" si="32"/>
        <v>1</v>
      </c>
      <c r="GB62" s="1541">
        <f t="shared" si="32"/>
        <v>1</v>
      </c>
      <c r="GC62" s="1541">
        <f t="shared" si="32"/>
        <v>1</v>
      </c>
      <c r="GD62" s="1169"/>
      <c r="GE62" s="198"/>
      <c r="GF62" s="202"/>
      <c r="GG62" s="812">
        <f>SUM(GG64:GG114)</f>
        <v>0</v>
      </c>
      <c r="GH62" s="812">
        <f>SUM(GH64:GH114)</f>
        <v>0</v>
      </c>
      <c r="GI62" s="812">
        <f ca="1">SUM(GI64:GI114)</f>
        <v>0</v>
      </c>
      <c r="GJ62" s="812">
        <f>SUM(GJ64:GJ114)</f>
        <v>0</v>
      </c>
      <c r="GK62" s="812">
        <f>SUM(GK64:GK114)</f>
        <v>0</v>
      </c>
      <c r="GL62" s="202"/>
      <c r="GM62" s="202"/>
      <c r="GN62" s="202"/>
      <c r="GO62" s="202"/>
      <c r="GP62" s="2044" t="b">
        <f>(SUM(GP64:GP113)&gt;0)</f>
        <v>1</v>
      </c>
      <c r="GQ62" s="2044" t="b">
        <f>(SUM(GQ64:GQ113)&gt;0)</f>
        <v>1</v>
      </c>
      <c r="GR62" s="202"/>
      <c r="GS62" s="1815"/>
      <c r="GT62" s="198"/>
      <c r="GU62" s="198"/>
      <c r="GV62" s="264">
        <f>MAX(GV64:GV114)</f>
        <v>10</v>
      </c>
      <c r="GW62" s="264">
        <f>LQ3</f>
        <v>3</v>
      </c>
      <c r="GX62" s="198"/>
      <c r="GY62" s="764"/>
      <c r="GZ62" s="245"/>
      <c r="HA62" s="17" t="s">
        <v>98</v>
      </c>
      <c r="HB62" s="19"/>
      <c r="HC62" s="19"/>
      <c r="HD62" s="26"/>
      <c r="HE62" s="3564" t="s">
        <v>1</v>
      </c>
      <c r="HF62" s="1179"/>
      <c r="HG62" s="3628" t="str">
        <f>IF($HI$21="F","Revenue","Price")</f>
        <v>Price</v>
      </c>
      <c r="HH62" s="3628" t="s">
        <v>39</v>
      </c>
      <c r="HI62" s="3628"/>
      <c r="HJ62" s="3564" t="str">
        <f>"GM ("&amp;$HI$17&amp;")"</f>
        <v>GM (GBP)</v>
      </c>
      <c r="HK62" s="3566" t="s">
        <v>316</v>
      </c>
      <c r="HL62" s="3566" t="str">
        <f>$HI$17&amp;"/BH"</f>
        <v>GBP/BH</v>
      </c>
      <c r="HM62" s="3566"/>
      <c r="HN62" s="247"/>
      <c r="HO62" s="764"/>
      <c r="HP62" s="765"/>
      <c r="HQ62" s="3479" t="s">
        <v>3337</v>
      </c>
      <c r="HR62" s="3479" t="s">
        <v>1605</v>
      </c>
      <c r="HS62" s="3479" t="str">
        <f>"X-rate
to "&amp;'1 Setup'!I60</f>
        <v>X-rate
to GBP</v>
      </c>
      <c r="HT62" s="3488"/>
      <c r="HU62" s="3479" t="str">
        <f>"PC Alloc "
&amp;'1 Setup'!I60&amp;" /Hr"</f>
        <v>PC Alloc GBP /Hr</v>
      </c>
      <c r="HW62" s="3544"/>
      <c r="HX62" s="3561"/>
      <c r="HY62" s="3544"/>
      <c r="HZ62" s="3544"/>
      <c r="IA62" s="3574" t="s">
        <v>9</v>
      </c>
      <c r="IB62" s="3579"/>
      <c r="IC62" s="3577"/>
      <c r="IE62" s="3537"/>
      <c r="IF62" s="3537"/>
      <c r="II62" s="3488" t="s">
        <v>378</v>
      </c>
      <c r="IJ62" s="3539" t="s">
        <v>379</v>
      </c>
      <c r="IK62" s="3505" t="s">
        <v>1694</v>
      </c>
      <c r="IL62" s="2148"/>
      <c r="IM62" s="3534"/>
      <c r="IP62" s="3539" t="s">
        <v>2293</v>
      </c>
      <c r="IQ62" s="3488" t="s">
        <v>2286</v>
      </c>
      <c r="IR62" s="3532" t="s">
        <v>2564</v>
      </c>
      <c r="IU62" s="3488"/>
      <c r="IV62" s="221"/>
      <c r="IW62" s="3534"/>
      <c r="IX62" s="3487"/>
      <c r="IY62" s="3531"/>
      <c r="IZ62" s="766"/>
      <c r="JA62" s="1974"/>
      <c r="JB62" s="765"/>
      <c r="JF62" s="3479" t="str">
        <f>IF(IX4&gt;5,"",IF(OR(IX4=1,IX4=2),"Multiplier 
on Raw","Percent Overhead"))</f>
        <v/>
      </c>
      <c r="JG62" s="3479" t="str">
        <f>IF(IX4=5,"Fixed 
Add-on",IF(IX4=6,"Nominated Margin",""))</f>
        <v/>
      </c>
      <c r="JH62" s="3479" t="str">
        <f>IF(OR(IX4=3,IX4=4,IX4=5),"Percent
Fee","")</f>
        <v/>
      </c>
      <c r="JI62" s="750"/>
      <c r="JJ62" s="3479" t="str">
        <f>IF($JJ$4=0,"","Before Banding")</f>
        <v/>
      </c>
      <c r="JK62" s="3479" t="str">
        <f>IF($JJ$4=0,"","After Banding")</f>
        <v/>
      </c>
      <c r="JL62" s="3503" t="str">
        <f>IF($JJ$4=0,"","Project-defined Bands")</f>
        <v/>
      </c>
      <c r="JN62" s="3479" t="str">
        <f>IF(OR(IX4=7,IX4=8),"Direct 
Entry","")</f>
        <v/>
      </c>
      <c r="JO62" s="1161"/>
      <c r="JP62" s="3479" t="str">
        <f>IF(OR($IX$4=9,$IX$4=10),"Sell 
Rate","")</f>
        <v>Sell 
Rate</v>
      </c>
      <c r="JQ62" s="3481" t="str">
        <f>IF(OR($IX$4=9,$IX$4=10),"Select Category","")</f>
        <v>Select Category</v>
      </c>
      <c r="JR62" s="1947"/>
      <c r="JS62" s="3514" t="s">
        <v>2535</v>
      </c>
      <c r="JT62" s="3514" t="s">
        <v>2534</v>
      </c>
      <c r="JU62" s="3514" t="s">
        <v>2297</v>
      </c>
      <c r="JV62" s="3199"/>
      <c r="JW62" s="3489" t="s">
        <v>2288</v>
      </c>
      <c r="JX62" s="3489" t="s">
        <v>4104</v>
      </c>
      <c r="JY62" s="3199"/>
      <c r="JZ62" s="3489" t="s">
        <v>4106</v>
      </c>
      <c r="KA62" s="3489"/>
      <c r="KB62" s="3516"/>
      <c r="KC62" s="766"/>
      <c r="KD62" s="1974"/>
      <c r="KE62" s="765"/>
      <c r="KF62" s="754"/>
      <c r="KG62" s="754"/>
      <c r="KH62" s="3479" t="s">
        <v>2552</v>
      </c>
      <c r="KI62" s="3479" t="s">
        <v>462</v>
      </c>
      <c r="KJ62" s="3479" t="s">
        <v>463</v>
      </c>
      <c r="KK62" s="3479" t="s">
        <v>464</v>
      </c>
      <c r="KL62" s="3479" t="s">
        <v>465</v>
      </c>
      <c r="KM62" s="3479" t="s">
        <v>786</v>
      </c>
      <c r="KN62" s="3479" t="s">
        <v>787</v>
      </c>
      <c r="KO62" s="3479" t="s">
        <v>788</v>
      </c>
      <c r="KP62" s="3479" t="s">
        <v>789</v>
      </c>
      <c r="KQ62" s="3479" t="s">
        <v>790</v>
      </c>
      <c r="KR62" s="750"/>
      <c r="KS62" s="3479" t="s">
        <v>2552</v>
      </c>
      <c r="KT62" s="3479" t="s">
        <v>462</v>
      </c>
      <c r="KU62" s="3479" t="s">
        <v>463</v>
      </c>
      <c r="KV62" s="3479" t="s">
        <v>464</v>
      </c>
      <c r="KW62" s="3479" t="s">
        <v>465</v>
      </c>
      <c r="KX62" s="3479" t="s">
        <v>786</v>
      </c>
      <c r="KY62" s="3479" t="s">
        <v>787</v>
      </c>
      <c r="KZ62" s="3479" t="s">
        <v>788</v>
      </c>
      <c r="LA62" s="3479" t="s">
        <v>789</v>
      </c>
      <c r="LB62" s="3479" t="s">
        <v>790</v>
      </c>
      <c r="LC62" s="750"/>
      <c r="LD62" s="3479" t="s">
        <v>2552</v>
      </c>
      <c r="LE62" s="3479" t="s">
        <v>462</v>
      </c>
      <c r="LF62" s="3479" t="s">
        <v>463</v>
      </c>
      <c r="LG62" s="3479" t="s">
        <v>464</v>
      </c>
      <c r="LH62" s="3479" t="s">
        <v>465</v>
      </c>
      <c r="LI62" s="3479" t="s">
        <v>786</v>
      </c>
      <c r="LJ62" s="3479" t="s">
        <v>787</v>
      </c>
      <c r="LK62" s="3479" t="s">
        <v>788</v>
      </c>
      <c r="LL62" s="3479" t="s">
        <v>789</v>
      </c>
      <c r="LM62" s="3479" t="s">
        <v>790</v>
      </c>
      <c r="LN62" s="750"/>
      <c r="LO62" s="3479" t="s">
        <v>2552</v>
      </c>
      <c r="LP62" s="3479" t="s">
        <v>462</v>
      </c>
      <c r="LQ62" s="3479" t="s">
        <v>463</v>
      </c>
      <c r="LR62" s="3479" t="s">
        <v>464</v>
      </c>
      <c r="LS62" s="3479" t="s">
        <v>465</v>
      </c>
      <c r="LT62" s="3479" t="s">
        <v>786</v>
      </c>
      <c r="LU62" s="3479" t="s">
        <v>787</v>
      </c>
      <c r="LV62" s="3479" t="s">
        <v>788</v>
      </c>
      <c r="LW62" s="3479" t="s">
        <v>789</v>
      </c>
      <c r="LX62" s="3479" t="s">
        <v>790</v>
      </c>
      <c r="LY62" s="1987"/>
      <c r="LZ62" s="3479" t="s">
        <v>2552</v>
      </c>
      <c r="MA62" s="3479" t="s">
        <v>462</v>
      </c>
      <c r="MB62" s="3479" t="s">
        <v>463</v>
      </c>
      <c r="MC62" s="3479" t="s">
        <v>464</v>
      </c>
      <c r="MD62" s="3479" t="s">
        <v>465</v>
      </c>
      <c r="ME62" s="3479" t="s">
        <v>786</v>
      </c>
      <c r="MF62" s="3479" t="s">
        <v>787</v>
      </c>
      <c r="MG62" s="3479" t="s">
        <v>788</v>
      </c>
      <c r="MH62" s="3479" t="s">
        <v>789</v>
      </c>
      <c r="MI62" s="3479" t="s">
        <v>790</v>
      </c>
      <c r="MJ62" s="3162"/>
      <c r="MK62" s="3479" t="s">
        <v>2552</v>
      </c>
      <c r="ML62" s="3479" t="s">
        <v>462</v>
      </c>
      <c r="MM62" s="3479" t="s">
        <v>463</v>
      </c>
      <c r="MN62" s="3479" t="s">
        <v>464</v>
      </c>
      <c r="MO62" s="3479" t="s">
        <v>465</v>
      </c>
      <c r="MP62" s="3479" t="s">
        <v>786</v>
      </c>
      <c r="MQ62" s="3479" t="s">
        <v>787</v>
      </c>
      <c r="MR62" s="3479" t="s">
        <v>788</v>
      </c>
      <c r="MS62" s="3479" t="s">
        <v>789</v>
      </c>
      <c r="MT62" s="3479" t="s">
        <v>790</v>
      </c>
      <c r="MU62" s="1982"/>
      <c r="MV62" s="1975"/>
      <c r="MW62" s="765"/>
      <c r="MZ62" s="3506"/>
      <c r="NA62" s="2032"/>
      <c r="NB62" s="3503"/>
      <c r="NC62" s="754"/>
      <c r="ND62" s="3475"/>
      <c r="NE62" s="2717"/>
      <c r="NF62" s="1975"/>
      <c r="NG62" s="1975"/>
      <c r="NH62" s="1975"/>
      <c r="NI62" s="1975"/>
    </row>
    <row r="63" spans="1:373" ht="5.25" customHeight="1" thickBot="1" x14ac:dyDescent="0.35">
      <c r="A63" s="198"/>
      <c r="B63" s="198"/>
      <c r="C63" s="198"/>
      <c r="D63" s="198"/>
      <c r="E63" s="198"/>
      <c r="F63" s="198"/>
      <c r="G63" s="198"/>
      <c r="H63" s="198"/>
      <c r="I63" s="198"/>
      <c r="J63" s="198"/>
      <c r="K63" s="198"/>
      <c r="L63" s="198"/>
      <c r="M63" s="198"/>
      <c r="N63" s="198"/>
      <c r="O63" s="198"/>
      <c r="P63" s="198"/>
      <c r="Q63" s="198"/>
      <c r="R63" s="198"/>
      <c r="S63" s="198"/>
      <c r="T63" s="198"/>
      <c r="U63" s="198"/>
      <c r="V63" s="198"/>
      <c r="W63" s="198"/>
      <c r="X63" s="198"/>
      <c r="Y63" s="198"/>
      <c r="Z63" s="592"/>
      <c r="AA63" s="198"/>
      <c r="AB63" s="198"/>
      <c r="AC63" s="198"/>
      <c r="AD63" s="198"/>
      <c r="AE63" s="198"/>
      <c r="AF63" s="198"/>
      <c r="AG63" s="198"/>
      <c r="AH63" s="198"/>
      <c r="AI63" s="198"/>
      <c r="AJ63" s="198"/>
      <c r="AK63" s="198"/>
      <c r="AL63" s="198"/>
      <c r="AM63" s="198"/>
      <c r="AN63" s="198"/>
      <c r="AO63" s="658"/>
      <c r="AP63" s="198"/>
      <c r="AQ63" s="198"/>
      <c r="AR63" s="198"/>
      <c r="AS63" s="198"/>
      <c r="AT63" s="198"/>
      <c r="AU63" s="198"/>
      <c r="AV63" s="198"/>
      <c r="AW63" s="198"/>
      <c r="AX63" s="198"/>
      <c r="AY63" s="198"/>
      <c r="AZ63" s="198"/>
      <c r="BA63" s="198"/>
      <c r="BB63" s="198"/>
      <c r="BC63" s="198"/>
      <c r="BD63" s="658"/>
      <c r="BE63" s="198"/>
      <c r="BF63" s="198"/>
      <c r="BG63" s="198"/>
      <c r="BH63" s="198"/>
      <c r="BI63" s="198"/>
      <c r="BJ63" s="198"/>
      <c r="BK63" s="198"/>
      <c r="BL63" s="198"/>
      <c r="BM63" s="198"/>
      <c r="BN63" s="198"/>
      <c r="BO63" s="198"/>
      <c r="BP63" s="1817"/>
      <c r="BQ63" s="1817"/>
      <c r="BR63" s="1767"/>
      <c r="BS63" s="1767"/>
      <c r="BT63" s="1751"/>
      <c r="BU63" s="198"/>
      <c r="BV63" s="198"/>
      <c r="BW63" s="198"/>
      <c r="BX63" s="198"/>
      <c r="BY63" s="198"/>
      <c r="BZ63" s="198"/>
      <c r="CA63" s="198"/>
      <c r="CB63" s="198"/>
      <c r="CC63" s="198"/>
      <c r="CD63" s="198"/>
      <c r="CE63" s="198"/>
      <c r="CF63" s="1817"/>
      <c r="CG63" s="1817"/>
      <c r="CH63" s="1817"/>
      <c r="CI63" s="1751"/>
      <c r="CJ63" s="198"/>
      <c r="CK63" s="198"/>
      <c r="CL63" s="198"/>
      <c r="CM63" s="198"/>
      <c r="CN63" s="198"/>
      <c r="CO63" s="198"/>
      <c r="CP63" s="198"/>
      <c r="CQ63" s="198"/>
      <c r="CR63" s="198"/>
      <c r="CS63" s="198"/>
      <c r="CT63" s="198"/>
      <c r="CU63" s="1817"/>
      <c r="CV63" s="1767"/>
      <c r="CW63" s="1767"/>
      <c r="CX63" s="1751"/>
      <c r="CY63" s="198"/>
      <c r="CZ63" s="198"/>
      <c r="DA63" s="198"/>
      <c r="DB63" s="198"/>
      <c r="DC63" s="198"/>
      <c r="DD63" s="198"/>
      <c r="DE63" s="198"/>
      <c r="DF63" s="198"/>
      <c r="DG63" s="198"/>
      <c r="DH63" s="198"/>
      <c r="DI63" s="198"/>
      <c r="DJ63" s="198"/>
      <c r="DK63" s="263"/>
      <c r="DL63" s="198"/>
      <c r="DM63" s="198"/>
      <c r="DN63" s="198"/>
      <c r="DO63" s="198"/>
      <c r="DP63" s="198"/>
      <c r="DQ63" s="198"/>
      <c r="DR63" s="198"/>
      <c r="DS63" s="198"/>
      <c r="DT63" s="198"/>
      <c r="DU63" s="198"/>
      <c r="DV63" s="198"/>
      <c r="DW63" s="198"/>
      <c r="DX63" s="198"/>
      <c r="DY63" s="198"/>
      <c r="DZ63" s="198"/>
      <c r="EA63" s="198"/>
      <c r="EB63" s="198"/>
      <c r="EC63" s="198"/>
      <c r="ED63" s="198"/>
      <c r="EE63" s="198"/>
      <c r="EF63" s="198"/>
      <c r="EG63" s="198"/>
      <c r="EH63" s="198"/>
      <c r="EI63" s="198"/>
      <c r="EJ63" s="1767"/>
      <c r="EK63" s="1767"/>
      <c r="EL63" s="198"/>
      <c r="EM63" s="198"/>
      <c r="EN63" s="198"/>
      <c r="EO63" s="198"/>
      <c r="EP63" s="540"/>
      <c r="EQ63" s="540"/>
      <c r="ER63" s="540"/>
      <c r="ES63" s="540"/>
      <c r="ET63" s="540"/>
      <c r="EU63" s="540"/>
      <c r="EV63" s="540"/>
      <c r="EW63" s="198"/>
      <c r="EX63" s="198"/>
      <c r="EY63" s="198"/>
      <c r="EZ63" s="198"/>
      <c r="FA63" s="1967"/>
      <c r="FB63" s="1967"/>
      <c r="FC63" s="198"/>
      <c r="FD63" s="198"/>
      <c r="FE63" s="198"/>
      <c r="FF63" s="198"/>
      <c r="FG63" s="198"/>
      <c r="FH63" s="198"/>
      <c r="FI63" s="198"/>
      <c r="FJ63" s="198"/>
      <c r="FK63" s="198"/>
      <c r="FL63" s="198"/>
      <c r="FM63" s="198"/>
      <c r="FN63" s="198"/>
      <c r="FO63" s="198"/>
      <c r="FP63" s="1528"/>
      <c r="FQ63" s="198"/>
      <c r="FR63" s="1528"/>
      <c r="FS63" s="198"/>
      <c r="FT63" s="198"/>
      <c r="FU63" s="198"/>
      <c r="FV63" s="198"/>
      <c r="FW63" s="198"/>
      <c r="FX63" s="198"/>
      <c r="FY63" s="198"/>
      <c r="FZ63" s="198"/>
      <c r="GA63" s="198"/>
      <c r="GB63" s="198"/>
      <c r="GC63" s="198"/>
      <c r="GD63" s="198"/>
      <c r="GE63" s="198"/>
      <c r="GF63" s="198"/>
      <c r="GG63" s="198"/>
      <c r="GH63" s="198"/>
      <c r="GI63" s="198"/>
      <c r="GJ63" s="198"/>
      <c r="GK63" s="198"/>
      <c r="GL63" s="198"/>
      <c r="GM63" s="198"/>
      <c r="GN63" s="198"/>
      <c r="GO63" s="198"/>
      <c r="GP63" s="198"/>
      <c r="GQ63" s="198"/>
      <c r="GR63" s="198"/>
      <c r="GS63" s="1767"/>
      <c r="GT63" s="198"/>
      <c r="GU63" s="198"/>
      <c r="GV63" s="198"/>
      <c r="GW63" s="198"/>
      <c r="GX63" s="198"/>
      <c r="GY63" s="764"/>
      <c r="GZ63" s="245"/>
      <c r="HA63" s="17"/>
      <c r="HB63" s="17"/>
      <c r="HC63" s="17"/>
      <c r="HD63" s="17"/>
      <c r="HE63" s="3565"/>
      <c r="HF63" s="43"/>
      <c r="HG63" s="3565"/>
      <c r="HH63" s="3629"/>
      <c r="HI63" s="3629"/>
      <c r="HJ63" s="3565"/>
      <c r="HK63" s="3567"/>
      <c r="HL63" s="3567"/>
      <c r="HM63" s="3567"/>
      <c r="HN63" s="247"/>
      <c r="HO63" s="764"/>
      <c r="HP63" s="765"/>
      <c r="HQ63" s="3542"/>
      <c r="HR63" s="3542"/>
      <c r="HS63" s="3542"/>
      <c r="HT63" s="3623"/>
      <c r="HU63" s="3542"/>
      <c r="HW63" s="3545"/>
      <c r="HX63" s="3562"/>
      <c r="HY63" s="3545"/>
      <c r="HZ63" s="3545"/>
      <c r="IA63" s="3575"/>
      <c r="IB63" s="3580"/>
      <c r="IC63" s="3578"/>
      <c r="IE63" s="3533"/>
      <c r="IF63" s="3533"/>
      <c r="II63" s="3480"/>
      <c r="IJ63" s="3540"/>
      <c r="IK63" s="3538"/>
      <c r="IL63" s="2148"/>
      <c r="IM63" s="3576"/>
      <c r="IP63" s="3540"/>
      <c r="IQ63" s="3480"/>
      <c r="IR63" s="3533"/>
      <c r="IU63" s="3480"/>
      <c r="IV63" s="215"/>
      <c r="IW63" s="3534"/>
      <c r="IX63" s="3487"/>
      <c r="IY63" s="3531"/>
      <c r="IZ63" s="766"/>
      <c r="JA63" s="1974"/>
      <c r="JB63" s="765"/>
      <c r="JF63" s="3480"/>
      <c r="JG63" s="3480"/>
      <c r="JH63" s="3480"/>
      <c r="JI63" s="750"/>
      <c r="JJ63" s="3480"/>
      <c r="JK63" s="3480"/>
      <c r="JL63" s="3538"/>
      <c r="JN63" s="3480"/>
      <c r="JO63" s="1161"/>
      <c r="JP63" s="3480"/>
      <c r="JQ63" s="3482"/>
      <c r="JR63" s="1952"/>
      <c r="JS63" s="3515"/>
      <c r="JT63" s="3515"/>
      <c r="JU63" s="3515"/>
      <c r="JV63" s="3199"/>
      <c r="JW63" s="3490"/>
      <c r="JX63" s="3490"/>
      <c r="JY63" s="3199"/>
      <c r="JZ63" s="3490"/>
      <c r="KA63" s="3490"/>
      <c r="KB63" s="3517"/>
      <c r="KC63" s="766"/>
      <c r="KD63" s="1974"/>
      <c r="KE63" s="765"/>
      <c r="KF63" s="754"/>
      <c r="KG63" s="754"/>
      <c r="KH63" s="3480"/>
      <c r="KI63" s="3480"/>
      <c r="KJ63" s="3480"/>
      <c r="KK63" s="3480"/>
      <c r="KL63" s="3480"/>
      <c r="KM63" s="3488"/>
      <c r="KN63" s="3488"/>
      <c r="KO63" s="3488"/>
      <c r="KP63" s="3488"/>
      <c r="KQ63" s="3488"/>
      <c r="KR63" s="750"/>
      <c r="KS63" s="3480"/>
      <c r="KT63" s="3480"/>
      <c r="KU63" s="3480"/>
      <c r="KV63" s="3480"/>
      <c r="KW63" s="3480"/>
      <c r="KX63" s="3488"/>
      <c r="KY63" s="3488"/>
      <c r="KZ63" s="3488"/>
      <c r="LA63" s="3488"/>
      <c r="LB63" s="3488"/>
      <c r="LC63" s="750"/>
      <c r="LD63" s="3480"/>
      <c r="LE63" s="3480"/>
      <c r="LF63" s="3480"/>
      <c r="LG63" s="3480"/>
      <c r="LH63" s="3480"/>
      <c r="LI63" s="3488"/>
      <c r="LJ63" s="3488"/>
      <c r="LK63" s="3488"/>
      <c r="LL63" s="3488"/>
      <c r="LM63" s="3488"/>
      <c r="LN63" s="750"/>
      <c r="LO63" s="3480"/>
      <c r="LP63" s="3480"/>
      <c r="LQ63" s="3480"/>
      <c r="LR63" s="3480"/>
      <c r="LS63" s="3480"/>
      <c r="LT63" s="3488"/>
      <c r="LU63" s="3488"/>
      <c r="LV63" s="3488"/>
      <c r="LW63" s="3488"/>
      <c r="LX63" s="3488"/>
      <c r="LY63" s="1987"/>
      <c r="LZ63" s="3480"/>
      <c r="MA63" s="3480"/>
      <c r="MB63" s="3480"/>
      <c r="MC63" s="3480"/>
      <c r="MD63" s="3480"/>
      <c r="ME63" s="3488"/>
      <c r="MF63" s="3488"/>
      <c r="MG63" s="3488"/>
      <c r="MH63" s="3488"/>
      <c r="MI63" s="3488"/>
      <c r="MJ63" s="3163"/>
      <c r="MK63" s="3480"/>
      <c r="ML63" s="3480"/>
      <c r="MM63" s="3480"/>
      <c r="MN63" s="3480"/>
      <c r="MO63" s="3480"/>
      <c r="MP63" s="3488"/>
      <c r="MQ63" s="3488"/>
      <c r="MR63" s="3488"/>
      <c r="MS63" s="3488"/>
      <c r="MT63" s="3488"/>
      <c r="MU63" s="1982"/>
      <c r="MV63" s="1975"/>
      <c r="MW63" s="765"/>
      <c r="MZ63" s="3507"/>
      <c r="NA63" s="2032"/>
      <c r="NB63" s="3504"/>
      <c r="NC63" s="754"/>
      <c r="ND63" s="3476"/>
      <c r="NE63" s="2717"/>
      <c r="NF63" s="1975"/>
      <c r="NG63" s="1975"/>
      <c r="NH63" s="1975"/>
      <c r="NI63" s="1975"/>
    </row>
    <row r="64" spans="1:373" s="192" customFormat="1" ht="15.9" customHeight="1" x14ac:dyDescent="0.3">
      <c r="A64" s="200"/>
      <c r="B64" s="200"/>
      <c r="C64" s="200"/>
      <c r="D64" s="200"/>
      <c r="E64" s="200"/>
      <c r="F64" s="200"/>
      <c r="G64" s="200"/>
      <c r="H64" s="200"/>
      <c r="I64" s="200"/>
      <c r="J64" s="200"/>
      <c r="K64" s="200"/>
      <c r="L64" s="200"/>
      <c r="M64" s="200"/>
      <c r="N64" s="200"/>
      <c r="O64" s="200"/>
      <c r="P64" s="1539"/>
      <c r="Q64" s="1539"/>
      <c r="R64" s="198"/>
      <c r="S64" s="1539"/>
      <c r="T64" s="201"/>
      <c r="U64" s="200"/>
      <c r="V64" s="201">
        <f>MATCH($IC64,'3b Activity Plan'!$DJ$171:$FH$171,0)</f>
        <v>1</v>
      </c>
      <c r="W64" s="201">
        <f>IFERROR(INDEX('3b Activity Plan'!$DJ$6:$FH$6,V64),0)</f>
        <v>0</v>
      </c>
      <c r="X64" s="1768"/>
      <c r="Y64" s="1768">
        <f>IFERROR(INDEX('3b Activity Plan'!$DJ$7:$FH$7,V64),0)</f>
        <v>0</v>
      </c>
      <c r="Z64" s="592"/>
      <c r="AA64" s="201">
        <f>IFERROR(INDEX('3b Activity Plan'!$DJ$34:$FH$34,$V64),0)</f>
        <v>0</v>
      </c>
      <c r="AB64" s="201">
        <f>IFERROR(INDEX('3b Activity Plan'!$DJ$35:$FH$35,$V64),0)</f>
        <v>0</v>
      </c>
      <c r="AC64" s="201">
        <f>IFERROR(INDEX('3b Activity Plan'!$DJ$36:$FH$36,$V64),0)</f>
        <v>0</v>
      </c>
      <c r="AD64" s="201">
        <f>IFERROR(INDEX('3b Activity Plan'!$DJ$37:$FH$37,$V64),0)</f>
        <v>0</v>
      </c>
      <c r="AE64" s="201">
        <f>IFERROR(INDEX('3b Activity Plan'!$DJ$38:$FH$38,$V64),0)</f>
        <v>0</v>
      </c>
      <c r="AF64" s="201">
        <f>IFERROR(INDEX('3b Activity Plan'!$DJ$39:$FH$39,$V64),0)</f>
        <v>0</v>
      </c>
      <c r="AG64" s="201">
        <f>IFERROR(INDEX('3b Activity Plan'!$DJ$40:$FH$40,$V64),0)</f>
        <v>0</v>
      </c>
      <c r="AH64" s="201">
        <f>IFERROR(INDEX('3b Activity Plan'!$DJ$41:$FH$41,$V64),0)</f>
        <v>0</v>
      </c>
      <c r="AI64" s="201">
        <f>IFERROR(INDEX('3b Activity Plan'!$DJ$42:$FH$42,$V64),0)</f>
        <v>0</v>
      </c>
      <c r="AJ64" s="201">
        <f>IFERROR(INDEX('3b Activity Plan'!$DJ$43:$FH$43,$V64),0)</f>
        <v>0</v>
      </c>
      <c r="AK64" s="201"/>
      <c r="AL64" s="201">
        <f>SUMIFS('3a Staff Plan'!$AR$129:$AR$305,'3a Staff Plan'!$DY$129:$DY$305,$IA64,'3a Staff Plan'!$DF$129:$DF$305,1)</f>
        <v>0</v>
      </c>
      <c r="AM64" s="1768"/>
      <c r="AN64" s="1768">
        <f>SUMIFS('3a Staff Plan'!$AR$129:$AR$305,'3a Staff Plan'!$DY$129:$DY$305,$IA64,'3a Staff Plan'!$CV$129:$CV$305,1)</f>
        <v>0</v>
      </c>
      <c r="AO64" s="658"/>
      <c r="AP64" s="201">
        <f>SUMIFS('3a Staff Plan'!$AS$129:$AS$305,'3a Staff Plan'!$DY$129:$DY$305,$IA64,'3a Staff Plan'!$DF$129:$DF$305,1)</f>
        <v>0</v>
      </c>
      <c r="AQ64" s="201">
        <f>SUMIFS('3a Staff Plan'!$AT$129:$AT$305,'3a Staff Plan'!$DY$129:$DY$305,$IA64,'3a Staff Plan'!$DF$129:$DF$305,1)</f>
        <v>0</v>
      </c>
      <c r="AR64" s="201">
        <f>SUMIFS('3a Staff Plan'!$AU$129:$AU$305,'3a Staff Plan'!$DY$129:$DY$305,$IA64,'3a Staff Plan'!$DF$129:$DF$305,1)</f>
        <v>0</v>
      </c>
      <c r="AS64" s="201">
        <f>SUMIFS('3a Staff Plan'!$AV$129:$AV$305,'3a Staff Plan'!$DY$129:$DY$305,$IA64,'3a Staff Plan'!$DF$129:$DF$305,1)</f>
        <v>0</v>
      </c>
      <c r="AT64" s="201">
        <f>SUMIFS('3a Staff Plan'!$AW$129:$AW$305,'3a Staff Plan'!$DY$129:$DY$305,$IA64,'3a Staff Plan'!$DF$129:$DF$305,1)</f>
        <v>0</v>
      </c>
      <c r="AU64" s="201">
        <f>SUMIFS('3a Staff Plan'!$AX$129:$AX$305,'3a Staff Plan'!$DY$129:$DY$305,$IA64,'3a Staff Plan'!$DF$129:$DF$305,1)</f>
        <v>0</v>
      </c>
      <c r="AV64" s="201">
        <f>SUMIFS('3a Staff Plan'!$AY$129:$AY$305,'3a Staff Plan'!$DY$129:$DY$305,$IA64,'3a Staff Plan'!$DF$129:$DF$305,1)</f>
        <v>0</v>
      </c>
      <c r="AW64" s="201">
        <f>SUMIFS('3a Staff Plan'!$AZ$129:$AZ$305,'3a Staff Plan'!$DY$129:$DY$305,$IA64,'3a Staff Plan'!$DF$129:$DF$305,1)</f>
        <v>0</v>
      </c>
      <c r="AX64" s="201">
        <f>SUMIFS('3a Staff Plan'!$BA$129:$BA$305,'3a Staff Plan'!$DY$129:$DY$305,$IA64,'3a Staff Plan'!$DF$129:$DF$305,1)</f>
        <v>0</v>
      </c>
      <c r="AY64" s="201">
        <f>SUMIFS('3a Staff Plan'!$BB$129:$BB$305,'3a Staff Plan'!$DY$129:$DY$305,$IA64,'3a Staff Plan'!$DF$129:$DF$305,1)</f>
        <v>0</v>
      </c>
      <c r="AZ64" s="201"/>
      <c r="BA64" s="201">
        <f t="shared" ref="BA64:BC69" si="33">(W64*$V$51)+(AL64*$AL$51)</f>
        <v>0</v>
      </c>
      <c r="BB64" s="1768"/>
      <c r="BC64" s="1768">
        <f t="shared" si="33"/>
        <v>0</v>
      </c>
      <c r="BD64" s="201"/>
      <c r="BE64" s="201">
        <f t="shared" ref="BE64:BN69" si="34">(AA64*$V$51)+(AP64*$AL$51)</f>
        <v>0</v>
      </c>
      <c r="BF64" s="201">
        <f t="shared" si="34"/>
        <v>0</v>
      </c>
      <c r="BG64" s="201">
        <f t="shared" si="34"/>
        <v>0</v>
      </c>
      <c r="BH64" s="201">
        <f t="shared" si="34"/>
        <v>0</v>
      </c>
      <c r="BI64" s="201">
        <f t="shared" si="34"/>
        <v>0</v>
      </c>
      <c r="BJ64" s="201">
        <f t="shared" si="34"/>
        <v>0</v>
      </c>
      <c r="BK64" s="201">
        <f t="shared" si="34"/>
        <v>0</v>
      </c>
      <c r="BL64" s="201">
        <f t="shared" si="34"/>
        <v>0</v>
      </c>
      <c r="BM64" s="201">
        <f t="shared" si="34"/>
        <v>0</v>
      </c>
      <c r="BN64" s="201">
        <f t="shared" si="34"/>
        <v>0</v>
      </c>
      <c r="BO64" s="201"/>
      <c r="BP64" s="1818">
        <f>V64</f>
        <v>1</v>
      </c>
      <c r="BQ64" s="1818">
        <f>IFERROR(INDEX('3b Activity Plan'!$DJ$15:$FH$15,BP64),0)</f>
        <v>0</v>
      </c>
      <c r="BR64" s="1768"/>
      <c r="BS64" s="1768">
        <f>IFERROR(INDEX('3b Activity Plan'!$DJ$16:$FH$16,BP64),0)</f>
        <v>0</v>
      </c>
      <c r="BT64" s="1751"/>
      <c r="BU64" s="201">
        <f>IFERROR(INDEX('3b Activity Plan'!$DJ$67:$FH$67,$V64),0)</f>
        <v>0</v>
      </c>
      <c r="BV64" s="201">
        <f>IFERROR(INDEX('3b Activity Plan'!$DJ$68:$FH$68,$V64),0)</f>
        <v>0</v>
      </c>
      <c r="BW64" s="201">
        <f>IFERROR(INDEX('3b Activity Plan'!$DJ$69:$FH$69,$V64),0)</f>
        <v>0</v>
      </c>
      <c r="BX64" s="201">
        <f>IFERROR(INDEX('3b Activity Plan'!$DJ$70:$FH$70,$V64),0)</f>
        <v>0</v>
      </c>
      <c r="BY64" s="201">
        <f>IFERROR(INDEX('3b Activity Plan'!$DJ$71:$FH$71,$V64),0)</f>
        <v>0</v>
      </c>
      <c r="BZ64" s="201">
        <f>IFERROR(INDEX('3b Activity Plan'!$DJ$72:$FH$72,$V64),0)</f>
        <v>0</v>
      </c>
      <c r="CA64" s="201">
        <f>IFERROR(INDEX('3b Activity Plan'!$DJ$73:$FH$73,$V64),0)</f>
        <v>0</v>
      </c>
      <c r="CB64" s="201">
        <f>IFERROR(INDEX('3b Activity Plan'!$DJ$74:$FH$74,$V64),0)</f>
        <v>0</v>
      </c>
      <c r="CC64" s="201">
        <f>IFERROR(INDEX('3b Activity Plan'!$DJ$75:$FH$75,$V64),0)</f>
        <v>0</v>
      </c>
      <c r="CD64" s="201">
        <f>IFERROR(INDEX('3b Activity Plan'!$DJ$76:$FH$76,$V64),0)</f>
        <v>0</v>
      </c>
      <c r="CE64" s="201"/>
      <c r="CF64" s="1818">
        <f>SUMIFS('3a Staff Plan'!$AR$129:$AR$305,'3a Staff Plan'!$DY$129:$DY$305,$IA64,'3a Staff Plan'!$AG$129:$AG$305,1,'3a Staff Plan'!$DF$129:$DF$305,1)</f>
        <v>0</v>
      </c>
      <c r="CG64" s="1768">
        <f>SUMIFS('3a Staff Plan'!$AR$129:$AR$305,'3a Staff Plan'!$DY$129:$DY$305,$IA64,'3a Staff Plan'!$AG$129:$AG$305,1,'3a Staff Plan'!$CX$129:$CX$305,1)</f>
        <v>0</v>
      </c>
      <c r="CH64" s="1768">
        <f>SUMIFS('3a Staff Plan'!$AR$129:$AR$305,'3a Staff Plan'!$DY$129:$DY$305,$IA64,'3a Staff Plan'!$AG$129:$AG$305,1,'3a Staff Plan'!$CV$129:$CV$305,1)</f>
        <v>0</v>
      </c>
      <c r="CI64" s="1751"/>
      <c r="CJ64" s="201">
        <f>SUMIFS('3a Staff Plan'!$BX$129:$BX$305,'3a Staff Plan'!$DY$129:$DY$305,$IA64,'3a Staff Plan'!$DF$129:$DF$305,1,'3a Staff Plan'!$AG$129:$AG$305,1)</f>
        <v>0</v>
      </c>
      <c r="CK64" s="201">
        <f>SUMIFS('3a Staff Plan'!$BY$129:$BY$305,'3a Staff Plan'!$DY$129:$DY$305,$IA64,'3a Staff Plan'!$DF$129:$DF$305,1,'3a Staff Plan'!$AG$129:$AG$305,1)</f>
        <v>0</v>
      </c>
      <c r="CL64" s="201">
        <f>SUMIFS('3a Staff Plan'!$BZ$129:$BZ$305,'3a Staff Plan'!$DY$129:$DY$305,$IA64,'3a Staff Plan'!$DF$129:$DF$305,1,'3a Staff Plan'!$AG$129:$AG$305,1)</f>
        <v>0</v>
      </c>
      <c r="CM64" s="201">
        <f>SUMIFS('3a Staff Plan'!$CA$129:$CA$305,'3a Staff Plan'!$DY$129:$DY$305,$IA64,'3a Staff Plan'!$DF$129:$DF$305,1,'3a Staff Plan'!$AG$129:$AG$305,1)</f>
        <v>0</v>
      </c>
      <c r="CN64" s="201">
        <f>SUMIFS('3a Staff Plan'!$CB$129:$CB$305,'3a Staff Plan'!$DY$129:$DY$305,$IA64,'3a Staff Plan'!$DF$129:$DF$305,1,'3a Staff Plan'!$AG$129:$AG$305,1)</f>
        <v>0</v>
      </c>
      <c r="CO64" s="201">
        <f>SUMIFS('3a Staff Plan'!$CC$129:$CC$305,'3a Staff Plan'!$DY$129:$DY$305,$IA64,'3a Staff Plan'!$DF$129:$DF$305,1,'3a Staff Plan'!$AG$129:$AG$305,1)</f>
        <v>0</v>
      </c>
      <c r="CP64" s="201">
        <f>SUMIFS('3a Staff Plan'!$CD$129:$CD$305,'3a Staff Plan'!$DY$129:$DY$305,$IA64,'3a Staff Plan'!$DF$129:$DF$305,1,'3a Staff Plan'!$AG$129:$AG$305,1)</f>
        <v>0</v>
      </c>
      <c r="CQ64" s="201">
        <f>SUMIFS('3a Staff Plan'!$CE$129:$CE$305,'3a Staff Plan'!$DY$129:$DY$305,$IA64,'3a Staff Plan'!$DF$129:$DF$305,1,'3a Staff Plan'!$AG$129:$AG$305,1)</f>
        <v>0</v>
      </c>
      <c r="CR64" s="201">
        <f>SUMIFS('3a Staff Plan'!$CF$129:$CF$305,'3a Staff Plan'!$DY$129:$DY$305,$IA64,'3a Staff Plan'!$DF$129:$DF$305,1,'3a Staff Plan'!$AG$129:$AG$305,1)</f>
        <v>0</v>
      </c>
      <c r="CS64" s="201">
        <f>SUMIFS('3a Staff Plan'!$CG$129:$CG$305,'3a Staff Plan'!$DY$129:$DY$305,$IA64,'3a Staff Plan'!$DF$129:$DF$305,1,'3a Staff Plan'!$AG$129:$AG$305,1)</f>
        <v>0</v>
      </c>
      <c r="CT64" s="201"/>
      <c r="CU64" s="1818">
        <f t="shared" ref="CU64:CW69" si="35">(BQ64*$V$51)+(CF64*$AL$51)</f>
        <v>0</v>
      </c>
      <c r="CV64" s="1768"/>
      <c r="CW64" s="1768">
        <f t="shared" si="35"/>
        <v>0</v>
      </c>
      <c r="CX64" s="201"/>
      <c r="CY64" s="201">
        <f t="shared" ref="CY64:DH69" si="36">(BU64*$V$51)+(CJ64*$AL$51)</f>
        <v>0</v>
      </c>
      <c r="CZ64" s="201">
        <f t="shared" si="36"/>
        <v>0</v>
      </c>
      <c r="DA64" s="201">
        <f t="shared" si="36"/>
        <v>0</v>
      </c>
      <c r="DB64" s="201">
        <f t="shared" si="36"/>
        <v>0</v>
      </c>
      <c r="DC64" s="201">
        <f t="shared" si="36"/>
        <v>0</v>
      </c>
      <c r="DD64" s="201">
        <f t="shared" si="36"/>
        <v>0</v>
      </c>
      <c r="DE64" s="201">
        <f t="shared" si="36"/>
        <v>0</v>
      </c>
      <c r="DF64" s="201">
        <f t="shared" si="36"/>
        <v>0</v>
      </c>
      <c r="DG64" s="201">
        <f t="shared" si="36"/>
        <v>0</v>
      </c>
      <c r="DH64" s="201">
        <f t="shared" si="36"/>
        <v>0</v>
      </c>
      <c r="DI64" s="201"/>
      <c r="DJ64" s="201"/>
      <c r="DK64" s="201"/>
      <c r="DL64" s="201"/>
      <c r="DM64" s="372">
        <f t="shared" ref="DM64:DM95" ca="1" si="37">SUMPRODUCT($BU64:$CD64,$LO64:$LX64)</f>
        <v>0</v>
      </c>
      <c r="DN64" s="1185">
        <f t="shared" ref="DN64:DN95" si="38">SUMPRODUCT($AA64:$AJ64,$FT64:$GC64)</f>
        <v>0</v>
      </c>
      <c r="DO64" s="1185">
        <f t="shared" ref="DO64:DO95" si="39">SUMPRODUCT($AA64:$AJ64,$KS64:$LB64)</f>
        <v>0</v>
      </c>
      <c r="DP64" s="201"/>
      <c r="DQ64" s="372">
        <f t="shared" ref="DQ64:DQ95" ca="1" si="40">SUMPRODUCT($CJ64:$CS64,$LO64:$LX64)</f>
        <v>0</v>
      </c>
      <c r="DR64" s="1185">
        <f t="shared" ref="DR64:DR95" si="41">SUMPRODUCT($AP64:$AY64,$FT64:$GC64)</f>
        <v>0</v>
      </c>
      <c r="DS64" s="1185">
        <f t="shared" ref="DS64:DS95" si="42">SUMPRODUCT($AP64:$AY64,$KS64:$LB64)</f>
        <v>0</v>
      </c>
      <c r="DT64" s="201"/>
      <c r="DU64" s="372">
        <f t="shared" ref="DU64:DW69" ca="1" si="43">(DM64*$V$51)+(DQ64*$AL$51)</f>
        <v>0</v>
      </c>
      <c r="DV64" s="372">
        <f t="shared" si="43"/>
        <v>0</v>
      </c>
      <c r="DW64" s="372">
        <f t="shared" si="43"/>
        <v>0</v>
      </c>
      <c r="DX64" s="201"/>
      <c r="DY64" s="372">
        <f t="shared" ref="DY64:DY95" si="44">IFERROR(SUMPRODUCT($FT64:$GC64,$KH64:$KQ64)-(SUM(KH64:KQ64)*IR64),0)</f>
        <v>0</v>
      </c>
      <c r="DZ64" s="372">
        <f t="shared" ref="DZ64:DZ95" ca="1" si="45">IF($KH$4=1,0,IFERROR(SUMPRODUCT($LO64:$LX64,$LD64:$LM64)-(SUM(LD64:LM64)*LO64),0))</f>
        <v>0</v>
      </c>
      <c r="EA64" s="201"/>
      <c r="EB64" s="2776">
        <f>IF(EO64=$EO$53,1,IFERROR(INDEX('Currency Data'!$L$8:$L$41,MATCH(EO64,'Currency Data'!$H$8:$H$41,0)),1))</f>
        <v>1</v>
      </c>
      <c r="EC64" s="2776">
        <f>IF(HS64=0,1,HS64)</f>
        <v>1</v>
      </c>
      <c r="ED64" s="428">
        <f>IF(GQ64=1,'1 Setup'!$T$68,IF(ISBLANK(IJ64),II64/EC64*IF(GL64=1,$ED$53,1),IJ64/EC64)*IF($EW64=7,JW64,1))</f>
        <v>38.179600000000001</v>
      </c>
      <c r="EE64" s="428">
        <f t="shared" ref="EE64:EE95" si="46">INDEX(KS64:LB64,$EE$53)</f>
        <v>38.179600000000001</v>
      </c>
      <c r="EF64" s="428"/>
      <c r="EG64" s="1965" t="str">
        <f>IF(HX64&lt;&gt;"",HX64,IF(EW64&gt;7,IP64,$EG$53))</f>
        <v>031500 - Highways UK</v>
      </c>
      <c r="EH64" s="201">
        <f>IF(EG64=$EG$53,1,0)</f>
        <v>1</v>
      </c>
      <c r="EI64" s="445" t="str">
        <f>IF(EH64=1,$EI$53,IF(GQ64=1,$GQ$55,IFERROR(IF($EG64=$EG$53,$EI$53,INDEX('PU List'!$G$6:$G$413,MATCH($EG64,'PU List'!$D$6:$D$413,0))),$EI$53)))</f>
        <v>GB - BIAF</v>
      </c>
      <c r="EJ64" s="2773" t="str">
        <f>HQ64</f>
        <v>GB - BIAF</v>
      </c>
      <c r="EK64" s="1768"/>
      <c r="EL64" s="3283">
        <f>IF(OR(EW64&gt;7,$EL$53=0),0,IF(EJ64=$EI$53,$EL$53,IFERROR(INDEX('Fringe Data'!$U$8:$U$129,MATCH($EJ64,'Fringe Data'!$F$8:$F$129,0)),0)))</f>
        <v>1.73</v>
      </c>
      <c r="EM64" s="372">
        <f t="shared" ref="EM64:EM95" si="47">CU64*HU64</f>
        <v>0</v>
      </c>
      <c r="EN64" s="201" t="str">
        <f>IFERROR(INDEX('Fringe Data'!$G$8:$G$64,MATCH($EJ64,'Fringe Data'!$F$8:$F$64,0)),$EO$53)</f>
        <v>GBP</v>
      </c>
      <c r="EO64" s="201" t="str">
        <f>HR64</f>
        <v>GBP</v>
      </c>
      <c r="EP64" s="263">
        <f>IF(EI64=$EI$53,$EP$49,IF(GP64=1,0,IFERROR(INDEX('Fringe Data'!$K$8:$K$64,MATCH($EI64,'Fringe Data'!$F$8:$F$64,0)),0)))</f>
        <v>0.52</v>
      </c>
      <c r="EQ64" s="263">
        <f>IF(EI64=$EI$53,$EQ$49,IF(GP64=1,0,IFERROR(INDEX('Fringe Data'!$L$8:$L$64,MATCH($EI64,'Fringe Data'!$F$8:$F$64,0)),0)))</f>
        <v>1.8499999999999999E-2</v>
      </c>
      <c r="ER64" s="263">
        <f>IF(EI64=$EI$53,$ER$49,IF(GP64=1,0,IFERROR(INDEX('Fringe Data'!$M$8:$M$64,MATCH($EI64,'Fringe Data'!$F$8:$F$64,0)),0)))</f>
        <v>0.43430000000000002</v>
      </c>
      <c r="ES64" s="263">
        <f>IF(EI64=$EI$53,$ES$49,IF(GP64=1,0,IFERROR(INDEX('Fringe Data'!$N$8:$N$64,MATCH($EI64,'Fringe Data'!$F$8:$F$64,0)),0)))</f>
        <v>0.1565</v>
      </c>
      <c r="ET64" s="263">
        <f>IF(EI64=$EI$53,$ET$49,IF(GP64=1,0,IFERROR(INDEX('Fringe Data'!$O$8:$O$64,MATCH($EI64,'Fringe Data'!$F$8:$F$64,0)),0)))</f>
        <v>0.33450000000000002</v>
      </c>
      <c r="EU64" s="263">
        <f>IF(EI64=$EI$53,$EU$49,IF(GP64=1,0,IFERROR(INDEX('Fringe Data'!$P$8:$P$64,MATCH($EI64,'Fringe Data'!$F$8:$F$64,0)),0)))</f>
        <v>0.1565</v>
      </c>
      <c r="EV64" s="201"/>
      <c r="EW64" s="1530">
        <f t="shared" ref="EW64:EW95" si="48">IFERROR(INDEX($IN$3:$IN$12,MATCH(IP64,$IP$3:$IP$12,0)),1)</f>
        <v>1</v>
      </c>
      <c r="EX64" s="1534">
        <f>IFERROR(CHOOSE(EW64,EP64,EQ64,ER64,ES64,EP64,EP64,EU64,0,0,0),$EX$52)</f>
        <v>0.52</v>
      </c>
      <c r="EY64" s="321">
        <f>IF(EW64=5,1,0)</f>
        <v>0</v>
      </c>
      <c r="EZ64" s="201">
        <f>IF(EW64=5,(ED64*(1+IQ64))+JZ64,IF(EW64=7,JZ64,ED64*(1+IQ64)))</f>
        <v>58.032992</v>
      </c>
      <c r="FA64" s="372">
        <f t="shared" ref="FA64:FA95" si="49">CHOOSE(EW64,0,0,0,0,0,BA64*(JS64+(EE64*JT64))*(1+JU64),HH64,HH64,0,0,0)</f>
        <v>0</v>
      </c>
      <c r="FB64" s="372">
        <f t="shared" ref="FB64:FB95" si="50">CHOOSE(EW64,0,0,0,0,0,HG64*JS64/IM64,HG64,HG64,0,0,0)</f>
        <v>0</v>
      </c>
      <c r="FC64" s="201">
        <f ca="1">DU64*FG64/(1+FG64)</f>
        <v>0</v>
      </c>
      <c r="FD64" s="423">
        <f t="shared" ref="FD64:FD95" si="51">INDEX($IR$3:$IR$17,EW64)</f>
        <v>0</v>
      </c>
      <c r="FE64" s="423">
        <f t="shared" ref="FE64:FE95" si="52">INDEX($IS$3:$IS$17,EW64)</f>
        <v>0</v>
      </c>
      <c r="FF64" s="201">
        <f>IF(EW64=7,0,IF($FF$50=1,FD64,IF($FF$50=2,FE64,0)))</f>
        <v>0</v>
      </c>
      <c r="FG64" s="425">
        <f>IF(OR($FJ$52=3,$FJ$52=4,$FJ$52=5),'1 Setup'!$W$96,0)</f>
        <v>0</v>
      </c>
      <c r="FH64" s="428">
        <f>IF($FJ$52=5,'1 Setup'!$W$98,IF($FJ$52=6,'1 Setup'!$S$86,0))</f>
        <v>0</v>
      </c>
      <c r="FI64" s="321">
        <f t="shared" ref="FI64:FI95" ca="1" si="53">IFERROR(INDEX(GradeRates,MATCH(JQ64,GradeDescriptions,0)),0)</f>
        <v>90.61</v>
      </c>
      <c r="FJ64" s="263">
        <f ca="1">IF(EW64=7,0,CHOOSE($FJ$52,ED64*JF64,ED64*JF64,ED64*(1+JF64)*(1+JH64),ED64*(1+JF64),(ED64*(1+JF64)+JG64),IR64+EL64+JG64,JN64,JN64*$JP$6,JP64,JP64*$JP$6,0))</f>
        <v>91.289574999999999</v>
      </c>
      <c r="FK64" s="372">
        <f t="shared" ref="FK64:FK95" ca="1" si="54">$BA64*FJ64</f>
        <v>0</v>
      </c>
      <c r="FL64" s="372">
        <f t="shared" ref="FL64:FL95" si="55">IF(OR(ISBLANK($JL64),$GQ64=1,COUNTIFS($JL$64:$JL$113,$JL64)&lt;2,$BA64=0),0,1)</f>
        <v>0</v>
      </c>
      <c r="FM64" s="372">
        <f t="shared" ref="FM64:FM95" si="56">IF(OR(ISBLANK($JL64),$GQ64=1,COUNTIFS($JL$64:$JL$113,$JL64)&lt;2),0,1)</f>
        <v>0</v>
      </c>
      <c r="FN64" s="2036">
        <f t="shared" ref="FN64:FN95" ca="1" si="57">IF(FM64=0,FJ64,SUMIFS($FK$64:$FK$114,$JL$64:$JL$114,JL64,$FL$64:$FL$114,1)/SUMIFS($BA$64:$BA$114,$JL$64:$JL$114,JL64,$FL$64:$FL$114,1))</f>
        <v>91.289574999999999</v>
      </c>
      <c r="FO64" s="372">
        <f t="shared" ref="FO64:FO69" ca="1" si="58">$BA64*FN64</f>
        <v>0</v>
      </c>
      <c r="FP64" s="2723">
        <f>CHOOSE($FJ$52,JF64,JF64,(1+JF64)*(1+JH64),(1+JF64),0,0,0,0,0,0)</f>
        <v>0</v>
      </c>
      <c r="FQ64" s="372">
        <f t="shared" ref="FQ64:FQ95" ca="1" si="59">IF(OR(GP64=1,AND(FP64&lt;&gt;NB64,GF64=1)),1,0)</f>
        <v>1</v>
      </c>
      <c r="FR64" s="2671">
        <f>EE64*FP64</f>
        <v>0</v>
      </c>
      <c r="FS64" s="1168"/>
      <c r="FT64" s="1168">
        <f t="shared" ref="FT64:FT95" si="60">(KS64*(1+$IQ64))+($EY64*($JS64+(KS64*$JT64))*(1+$JU64))</f>
        <v>58.032992</v>
      </c>
      <c r="FU64" s="1168">
        <f t="shared" ref="FU64:FU95" si="61">(KT64*(1+$IQ64))+($EY64*($JS64+(KT64*$JT64))*(1+$JU64))</f>
        <v>58.032992</v>
      </c>
      <c r="FV64" s="1168">
        <f t="shared" ref="FV64:FV95" si="62">(KU64*(1+$IQ64))+($EY64*($JS64+(KU64*$JT64))*(1+$JU64))</f>
        <v>58.032992</v>
      </c>
      <c r="FW64" s="1168">
        <f t="shared" ref="FW64:FW95" si="63">(KV64*(1+$IQ64))+($EY64*($JS64+(KV64*$JT64))*(1+$JU64))</f>
        <v>58.032992</v>
      </c>
      <c r="FX64" s="1168">
        <f t="shared" ref="FX64:FX95" si="64">(KW64*(1+$IQ64))+($EY64*($JS64+(KW64*$JT64))*(1+$JU64))</f>
        <v>58.032992</v>
      </c>
      <c r="FY64" s="1168">
        <f t="shared" ref="FY64:FY95" si="65">(KX64*(1+$IQ64))+($EY64*($JS64+(KX64*$JT64))*(1+$JU64))</f>
        <v>58.032992</v>
      </c>
      <c r="FZ64" s="1168">
        <f t="shared" ref="FZ64:FZ95" si="66">(KY64*(1+$IQ64))+($EY64*($JS64+(KY64*$JT64))*(1+$JU64))</f>
        <v>58.032992</v>
      </c>
      <c r="GA64" s="1168">
        <f t="shared" ref="GA64:GA95" si="67">(KZ64*(1+$IQ64))+($EY64*($JS64+(KZ64*$JT64))*(1+$JU64))</f>
        <v>58.032992</v>
      </c>
      <c r="GB64" s="1168">
        <f t="shared" ref="GB64:GB95" si="68">(LA64*(1+$IQ64))+($EY64*($JS64+(LA64*$JT64))*(1+$JU64))</f>
        <v>58.032992</v>
      </c>
      <c r="GC64" s="1168">
        <f t="shared" ref="GC64:GC95" si="69">(LB64*(1+$IQ64))+($EY64*($JS64+(LB64*$JT64))*(1+$JU64))</f>
        <v>58.032992</v>
      </c>
      <c r="GD64" s="1168"/>
      <c r="GE64" s="199"/>
      <c r="GF64" s="201">
        <f t="shared" ref="GF64:GF95" si="70">IF(AND(ISBLANK(IA64),ISBLANK(HZ64)),0,1)</f>
        <v>1</v>
      </c>
      <c r="GG64" s="201">
        <f t="shared" ref="GG64:GG95" si="71">IF(AND(ISBLANK($II64),ISBLANK($IJ64),$BA64&gt;0,GQ64=0),1,0)</f>
        <v>0</v>
      </c>
      <c r="GH64" s="201">
        <f t="shared" ref="GH64:GH95" si="72">IF(AND(ISBLANK($IJ64),$BA64&gt;0,GQ64=0),1,0)</f>
        <v>0</v>
      </c>
      <c r="GI64" s="201">
        <f ca="1">IF(AND(W64&gt;0,IW64=0),1,0)</f>
        <v>0</v>
      </c>
      <c r="GJ64" s="201">
        <f t="shared" ref="GJ64:GJ95" si="73">IF(AND($GF64=1,COUNTIFS($IA$64:$IA$114,IA64)&gt;1),1,0)</f>
        <v>0</v>
      </c>
      <c r="GK64" s="201">
        <f t="shared" ref="GK64:GK95" si="74">IF(AND($GF64=1,COUNTIFS($IC$64:$IC$114,IC64)&gt;1),1,0)</f>
        <v>0</v>
      </c>
      <c r="GL64" s="201">
        <f t="shared" ref="GL64:GL95" si="75">1-GP64-GR64</f>
        <v>1</v>
      </c>
      <c r="GM64" s="201">
        <f t="shared" ref="GM64:GM95" si="76">IF(AND(IP64="",GQ64=0,GR64=0),1,0)</f>
        <v>1</v>
      </c>
      <c r="GN64" s="201"/>
      <c r="GO64" s="201"/>
      <c r="GP64" s="201">
        <f t="shared" ref="GP64:GP95" si="77">IF(OR(IP64=$GP$55,IP64=$GQ$55),1,0)</f>
        <v>0</v>
      </c>
      <c r="GQ64" s="201">
        <f t="shared" ref="GQ64:GQ95" si="78">IF(IP64=$GQ$55,1,0)</f>
        <v>0</v>
      </c>
      <c r="GR64" s="201">
        <f>IF(IP64=$GR$55,1,0)</f>
        <v>0</v>
      </c>
      <c r="GS64" s="1768"/>
      <c r="GT64" s="201">
        <f t="shared" ref="GT64:GT95" si="79">IF(OR(GQ64=1,GR64=1),0,1)</f>
        <v>1</v>
      </c>
      <c r="GU64" s="201">
        <v>1</v>
      </c>
      <c r="GV64" s="201">
        <f t="shared" ref="GV64:GV95" si="80">IF(GF64=1,GU64,0)</f>
        <v>1</v>
      </c>
      <c r="GW64" s="201">
        <f t="shared" ref="GW64:GW95" si="81">IF($GW$62&gt;1,$GW$62,IF(AND($FJ$52&lt;6,ISBLANK(IU64),ISBLANK(JL64)),1,3))</f>
        <v>3</v>
      </c>
      <c r="GX64" s="201">
        <f>AND(OR($FJ$52=7,$FJ$52=8),ISBLANK(IU64),IE64&gt;0,ISBLANK(JN64))*1</f>
        <v>0</v>
      </c>
      <c r="GY64" s="1998"/>
      <c r="GZ64" s="253"/>
      <c r="HA64" s="195" t="str">
        <f>IA64</f>
        <v>Waite Andy</v>
      </c>
      <c r="HB64" s="3558" t="str">
        <f t="shared" ref="HB64:HB101" si="82">HZ64</f>
        <v>L1A Designated Project Executive</v>
      </c>
      <c r="HC64" s="3590"/>
      <c r="HD64" s="257" t="str">
        <f t="shared" ref="HD64:HD95" si="83">IF(GP64=1,"IWA",IF(GR64=1,"NJ",""))</f>
        <v/>
      </c>
      <c r="HE64" s="825">
        <f t="shared" ref="HE64:HE95" si="84">CU64</f>
        <v>0</v>
      </c>
      <c r="HF64" s="506" t="s">
        <v>5</v>
      </c>
      <c r="HG64" s="1180">
        <f t="shared" ref="HG64:HG95" ca="1" si="85">DU64*(1+(JH64*$HI$11))</f>
        <v>0</v>
      </c>
      <c r="HH64" s="3624">
        <f t="shared" ref="HH64:HH95" si="86">DV64+EM64</f>
        <v>0</v>
      </c>
      <c r="HI64" s="3625"/>
      <c r="HJ64" s="507">
        <f t="shared" ref="HJ64:HJ69" ca="1" si="87">HG64-HH64</f>
        <v>0</v>
      </c>
      <c r="HK64" s="500">
        <f t="shared" ref="HK64:HK69" ca="1" si="88">IF(HG64&lt;0.1,0,IFERROR(HJ64/HG64,0))</f>
        <v>0</v>
      </c>
      <c r="HL64" s="3626">
        <f t="shared" ref="HL64:HL69" ca="1" si="89">IFERROR(HJ64/HE64,0)</f>
        <v>0</v>
      </c>
      <c r="HM64" s="3627"/>
      <c r="HN64" s="240"/>
      <c r="HO64" s="1998"/>
      <c r="HP64" s="1991"/>
      <c r="HQ64" s="2770" t="str">
        <f t="shared" ref="HQ64:HQ95" si="90">EI64</f>
        <v>GB - BIAF</v>
      </c>
      <c r="HR64" s="2770" t="str">
        <f t="shared" ref="HR64:HR95" si="91">EN64</f>
        <v>GBP</v>
      </c>
      <c r="HS64" s="2771">
        <f t="shared" ref="HS64:HS95" si="92">EB64</f>
        <v>1</v>
      </c>
      <c r="HT64" s="3488"/>
      <c r="HU64" s="2771">
        <f t="shared" ref="HU64:HU95" si="93">EL64</f>
        <v>1.73</v>
      </c>
      <c r="HW64" s="1218"/>
      <c r="HX64" s="520"/>
      <c r="HY64" s="2523"/>
      <c r="HZ64" s="194" t="s">
        <v>4371</v>
      </c>
      <c r="IA64" s="1013" t="s">
        <v>4350</v>
      </c>
      <c r="IB64" s="193"/>
      <c r="IC64" s="3276">
        <v>1</v>
      </c>
      <c r="ID64" s="986"/>
      <c r="IE64" s="938">
        <f>CW64</f>
        <v>0</v>
      </c>
      <c r="IF64" s="938">
        <f>BC64-CW64</f>
        <v>0</v>
      </c>
      <c r="IG64" s="432"/>
      <c r="II64" s="405"/>
      <c r="IJ64" s="239">
        <v>38.179600000000001</v>
      </c>
      <c r="IK64" s="2774" t="str">
        <f>HR64</f>
        <v>GBP</v>
      </c>
      <c r="IL64" s="2148"/>
      <c r="IM64" s="1936">
        <f t="shared" ref="IM64:IM95" si="94">ED64</f>
        <v>38.179600000000001</v>
      </c>
      <c r="IO64" s="1959" t="str">
        <f t="shared" ref="IO64:IO95" si="95">IF(GF64=0,"",IF(GQ64=1," "&amp;$IP$7,IF(GR64=1," "&amp;$IP$8," "&amp;$IP$3)))</f>
        <v xml:space="preserve"> Staff (Normal)</v>
      </c>
      <c r="IP64" s="1958"/>
      <c r="IQ64" s="543">
        <f t="shared" ref="IQ64:IQ95" si="96">EX64</f>
        <v>0.52</v>
      </c>
      <c r="IR64" s="1936">
        <f t="shared" ref="IR64:IR95" si="97">EZ64</f>
        <v>58.032992</v>
      </c>
      <c r="IT64" s="1364"/>
      <c r="IU64" s="210"/>
      <c r="IV64" s="218"/>
      <c r="IW64" s="1937">
        <f ca="1">IF(NOT(ISBLANK(IU64)),IU64,IF('1 Setup'!$G$8&lt;7,JK64,FJ64))+KA64</f>
        <v>91.289574999999999</v>
      </c>
      <c r="IX64" s="409" t="str">
        <f t="shared" ref="IX64:IX95" si="98">IA64</f>
        <v>Waite Andy</v>
      </c>
      <c r="IY64" s="408" t="str">
        <f t="shared" ref="IY64:IY95" si="99">HZ64</f>
        <v>L1A Designated Project Executive</v>
      </c>
      <c r="IZ64" s="1983"/>
      <c r="JA64" s="1994"/>
      <c r="JB64" s="1991"/>
      <c r="JD64" s="2028" t="str">
        <f>$IX64</f>
        <v>Waite Andy</v>
      </c>
      <c r="JE64" s="479"/>
      <c r="JF64" s="2025">
        <f t="shared" ref="JF64:JF95" si="100">FF64</f>
        <v>0</v>
      </c>
      <c r="JG64" s="429">
        <f t="shared" ref="JG64:JG95" si="101">FH64</f>
        <v>0</v>
      </c>
      <c r="JH64" s="1667">
        <f t="shared" ref="JH64:JH95" si="102">FG64</f>
        <v>0</v>
      </c>
      <c r="JJ64" s="1163">
        <f t="shared" ref="JJ64:JJ95" ca="1" si="103">FJ64</f>
        <v>91.289574999999999</v>
      </c>
      <c r="JK64" s="1163">
        <f t="shared" ref="JK64:JK95" ca="1" si="104">FN64</f>
        <v>91.289574999999999</v>
      </c>
      <c r="JL64" s="1795"/>
      <c r="JN64" s="2505"/>
      <c r="JO64" s="1161"/>
      <c r="JP64" s="571">
        <f t="shared" ref="JP64:JP97" ca="1" si="105">FI64</f>
        <v>90.61</v>
      </c>
      <c r="JQ64" s="2506" t="s">
        <v>4315</v>
      </c>
      <c r="JR64" s="1953"/>
      <c r="JS64" s="2650"/>
      <c r="JT64" s="2507"/>
      <c r="JU64" s="1964">
        <f t="shared" ref="JU64:JU95" si="106">ET64</f>
        <v>0.33450000000000002</v>
      </c>
      <c r="JV64" s="3199"/>
      <c r="JW64" s="3215">
        <f t="shared" ref="JW64:JW95" si="107">$JW$60</f>
        <v>1.5</v>
      </c>
      <c r="JX64" s="3216">
        <f>EU64</f>
        <v>0.1565</v>
      </c>
      <c r="JY64" s="3199"/>
      <c r="JZ64" s="3215">
        <f>IF(EW64=5,(JS64+JT64*ED64)*(1+JU64),IF(EW64=7,IM64*(1+JX64),0))</f>
        <v>0</v>
      </c>
      <c r="KA64" s="3215">
        <f>IF(OR(EW64=5,EW64=7),IF(KB64="Y",JZ64,0),0)</f>
        <v>0</v>
      </c>
      <c r="KB64" s="3215" t="s">
        <v>111</v>
      </c>
      <c r="KC64" s="1983"/>
      <c r="KD64" s="1974"/>
      <c r="KE64" s="1991"/>
      <c r="KF64" s="2028" t="str">
        <f>$IX64</f>
        <v>Waite Andy</v>
      </c>
      <c r="KG64" s="1991"/>
      <c r="KH64" s="2120">
        <f t="shared" ref="KH64:KH95" si="108">BE64</f>
        <v>0</v>
      </c>
      <c r="KI64" s="2126">
        <f t="shared" ref="KI64:KI95" si="109">BF64</f>
        <v>0</v>
      </c>
      <c r="KJ64" s="2126">
        <f t="shared" ref="KJ64:KJ95" si="110">BG64</f>
        <v>0</v>
      </c>
      <c r="KK64" s="2126">
        <f t="shared" ref="KK64:KK95" si="111">BH64</f>
        <v>0</v>
      </c>
      <c r="KL64" s="2127">
        <f t="shared" ref="KL64:KL95" si="112">BI64</f>
        <v>0</v>
      </c>
      <c r="KM64" s="2128">
        <f t="shared" ref="KM64:KM95" si="113">BJ64</f>
        <v>0</v>
      </c>
      <c r="KN64" s="2128">
        <f t="shared" ref="KN64:KN95" si="114">BK64</f>
        <v>0</v>
      </c>
      <c r="KO64" s="2128">
        <f t="shared" ref="KO64:KO95" si="115">BL64</f>
        <v>0</v>
      </c>
      <c r="KP64" s="2128">
        <f t="shared" ref="KP64:KP95" si="116">BM64</f>
        <v>0</v>
      </c>
      <c r="KQ64" s="2129">
        <f t="shared" ref="KQ64:KQ95" si="117">BN64</f>
        <v>0</v>
      </c>
      <c r="KS64" s="2252">
        <f t="shared" ref="KS64:KS95" si="118">ED64</f>
        <v>38.179600000000001</v>
      </c>
      <c r="KT64" s="2266">
        <f t="shared" ref="KT64:LB64" si="119">KS64*(1+(KT$60))</f>
        <v>38.179600000000001</v>
      </c>
      <c r="KU64" s="2267">
        <f t="shared" si="119"/>
        <v>38.179600000000001</v>
      </c>
      <c r="KV64" s="2267">
        <f t="shared" si="119"/>
        <v>38.179600000000001</v>
      </c>
      <c r="KW64" s="2268">
        <f t="shared" si="119"/>
        <v>38.179600000000001</v>
      </c>
      <c r="KX64" s="2267">
        <f t="shared" si="119"/>
        <v>38.179600000000001</v>
      </c>
      <c r="KY64" s="2267">
        <f t="shared" si="119"/>
        <v>38.179600000000001</v>
      </c>
      <c r="KZ64" s="2267">
        <f t="shared" si="119"/>
        <v>38.179600000000001</v>
      </c>
      <c r="LA64" s="2267">
        <f t="shared" si="119"/>
        <v>38.179600000000001</v>
      </c>
      <c r="LB64" s="2269">
        <f t="shared" si="119"/>
        <v>38.179600000000001</v>
      </c>
      <c r="LC64" s="272"/>
      <c r="LD64" s="2123">
        <f t="shared" ref="LD64:LD95" si="120">CY64</f>
        <v>0</v>
      </c>
      <c r="LE64" s="2089">
        <f t="shared" ref="LE64:LE95" si="121">CZ64</f>
        <v>0</v>
      </c>
      <c r="LF64" s="2089">
        <f t="shared" ref="LF64:LF95" si="122">DA64</f>
        <v>0</v>
      </c>
      <c r="LG64" s="2089">
        <f t="shared" ref="LG64:LG95" si="123">DB64</f>
        <v>0</v>
      </c>
      <c r="LH64" s="2090">
        <f t="shared" ref="LH64:LH95" si="124">DC64</f>
        <v>0</v>
      </c>
      <c r="LI64" s="2091">
        <f t="shared" ref="LI64:LI95" si="125">DD64</f>
        <v>0</v>
      </c>
      <c r="LJ64" s="2091">
        <f t="shared" ref="LJ64:LJ95" si="126">DE64</f>
        <v>0</v>
      </c>
      <c r="LK64" s="2091">
        <f t="shared" ref="LK64:LK95" si="127">DF64</f>
        <v>0</v>
      </c>
      <c r="LL64" s="2091">
        <f t="shared" ref="LL64:LL95" si="128">DG64</f>
        <v>0</v>
      </c>
      <c r="LM64" s="2092">
        <f t="shared" ref="LM64:LM95" si="129">DH64</f>
        <v>0</v>
      </c>
      <c r="LN64" s="749"/>
      <c r="LO64" s="2255">
        <f t="shared" ref="LO64:LO95" ca="1" si="130">IW64</f>
        <v>91.289574999999999</v>
      </c>
      <c r="LP64" s="2266">
        <f t="shared" ref="LP64:LP95" ca="1" si="131">CHOOSE($GW64,CHOOSE($FJ$52,KT64*$JF64,KT64*$JF64,KT64*(1+$JF64)*(1+$JH64),KT64*(1+$JF64),(KT64*(1+$JF64)+$JG64),FU64+$EL64+$JG64,$JN64,$JN64*$JP$6,$JP64,$JP64*$JP$6,0),$LO64,LO64*(1+LP$60))+$KA64</f>
        <v>91.289574999999999</v>
      </c>
      <c r="LQ64" s="2267">
        <f t="shared" ref="LQ64:LQ95" ca="1" si="132">CHOOSE($GW64,CHOOSE($FJ$52,KU64*$JF64,KU64*$JF64,KU64*(1+$JF64)*(1+$JH64),KU64*(1+$JF64),(KU64*(1+$JF64)+$JG64),FV64+$EL64+$JG64,$JN64,$JN64*$JP$6,$JP64,$JP64*$JP$6,0),$LO64,LP64*(1+LQ$60))+$KA64</f>
        <v>91.289574999999999</v>
      </c>
      <c r="LR64" s="2267">
        <f t="shared" ref="LR64:LR95" ca="1" si="133">CHOOSE($GW64,CHOOSE($FJ$52,KV64*$JF64,KV64*$JF64,KV64*(1+$JF64)*(1+$JH64),KV64*(1+$JF64),(KV64*(1+$JF64)+$JG64),FW64+$EL64+$JG64,$JN64,$JN64*$JP$6,$JP64,$JP64*$JP$6,0),$LO64,LQ64*(1+LR$60))+$KA64</f>
        <v>91.289574999999999</v>
      </c>
      <c r="LS64" s="2268">
        <f t="shared" ref="LS64:LS95" ca="1" si="134">CHOOSE($GW64,CHOOSE($FJ$52,KW64*$JF64,KW64*$JF64,KW64*(1+$JF64)*(1+$JH64),KW64*(1+$JF64),(KW64*(1+$JF64)+$JG64),FX64+$EL64+$JG64,$JN64,$JN64*$JP$6,$JP64,$JP64*$JP$6,0),$LO64,LR64*(1+LS$60))+$KA64</f>
        <v>91.289574999999999</v>
      </c>
      <c r="LT64" s="2267">
        <f t="shared" ref="LT64:LT95" ca="1" si="135">CHOOSE($GW64,CHOOSE($FJ$52,KX64*$JF64,KX64*$JF64,KX64*(1+$JF64)*(1+$JH64),KX64*(1+$JF64),(KX64*(1+$JF64)+$JG64),FY64+$EL64+$JG64,$JN64,$JN64*$JP$6,$JP64,$JP64*$JP$6,0),$LO64,LS64*(1+LT$60))+$KA64</f>
        <v>91.289574999999999</v>
      </c>
      <c r="LU64" s="2267">
        <f t="shared" ref="LU64:LU95" ca="1" si="136">CHOOSE($GW64,CHOOSE($FJ$52,KY64*$JF64,KY64*$JF64,KY64*(1+$JF64)*(1+$JH64),KY64*(1+$JF64),(KY64*(1+$JF64)+$JG64),FZ64+$EL64+$JG64,$JN64,$JN64*$JP$6,$JP64,$JP64*$JP$6,0),$LO64,LT64*(1+LU$60))+$KA64</f>
        <v>91.289574999999999</v>
      </c>
      <c r="LV64" s="2267">
        <f t="shared" ref="LV64:LV95" ca="1" si="137">CHOOSE($GW64,CHOOSE($FJ$52,KZ64*$JF64,KZ64*$JF64,KZ64*(1+$JF64)*(1+$JH64),KZ64*(1+$JF64),(KZ64*(1+$JF64)+$JG64),GA64+$EL64+$JG64,$JN64,$JN64*$JP$6,$JP64,$JP64*$JP$6,0),$LO64,LU64*(1+LV$60))+$KA64</f>
        <v>91.289574999999999</v>
      </c>
      <c r="LW64" s="2267">
        <f t="shared" ref="LW64:LW95" ca="1" si="138">CHOOSE($GW64,CHOOSE($FJ$52,LA64*$JF64,LA64*$JF64,LA64*(1+$JF64)*(1+$JH64),LA64*(1+$JF64),(LA64*(1+$JF64)+$JG64),GB64+$EL64+$JG64,$JN64,$JN64*$JP$6,$JP64,$JP64*$JP$6,0),$LO64,LV64*(1+LW$60))+$KA64</f>
        <v>91.289574999999999</v>
      </c>
      <c r="LX64" s="2269">
        <f t="shared" ref="LX64:LX95" ca="1" si="139">CHOOSE($GW64,CHOOSE($FJ$52,LB64*$JF64,LB64*$JF64,LB64*(1+$JF64)*(1+$JH64),LB64*(1+$JF64),(LB64*(1+$JF64)+$JG64),GC64+$EL64+$JG64,$JN64,$JN64*$JP$6,$JP64,$JP64*$JP$6,0),$LO64,LW64*(1+LX$60))+$KA64</f>
        <v>91.289574999999999</v>
      </c>
      <c r="LY64" s="479"/>
      <c r="LZ64" s="3124">
        <f ca="1">LO64-(KS64*(1+$IQ64))-$HU64</f>
        <v>31.526582999999999</v>
      </c>
      <c r="MA64" s="3125">
        <f t="shared" ref="MA64:MI64" ca="1" si="140">LP64-(KT64*(1+$IQ64))-$HU64</f>
        <v>31.526582999999999</v>
      </c>
      <c r="MB64" s="3125">
        <f t="shared" ca="1" si="140"/>
        <v>31.526582999999999</v>
      </c>
      <c r="MC64" s="3125">
        <f t="shared" ca="1" si="140"/>
        <v>31.526582999999999</v>
      </c>
      <c r="MD64" s="3126">
        <f t="shared" ca="1" si="140"/>
        <v>31.526582999999999</v>
      </c>
      <c r="ME64" s="3125">
        <f t="shared" ca="1" si="140"/>
        <v>31.526582999999999</v>
      </c>
      <c r="MF64" s="3125">
        <f t="shared" ca="1" si="140"/>
        <v>31.526582999999999</v>
      </c>
      <c r="MG64" s="3125">
        <f t="shared" ca="1" si="140"/>
        <v>31.526582999999999</v>
      </c>
      <c r="MH64" s="3125">
        <f t="shared" ca="1" si="140"/>
        <v>31.526582999999999</v>
      </c>
      <c r="MI64" s="3127">
        <f t="shared" ca="1" si="140"/>
        <v>31.526582999999999</v>
      </c>
      <c r="MJ64" s="3201"/>
      <c r="MK64" s="3202">
        <f ca="1">LZ64*LD64</f>
        <v>0</v>
      </c>
      <c r="ML64" s="3203">
        <f t="shared" ref="ML64:MT64" ca="1" si="141">MA64*LE64</f>
        <v>0</v>
      </c>
      <c r="MM64" s="3203">
        <f t="shared" ca="1" si="141"/>
        <v>0</v>
      </c>
      <c r="MN64" s="3203">
        <f t="shared" ca="1" si="141"/>
        <v>0</v>
      </c>
      <c r="MO64" s="3204">
        <f t="shared" ca="1" si="141"/>
        <v>0</v>
      </c>
      <c r="MP64" s="3203">
        <f t="shared" ca="1" si="141"/>
        <v>0</v>
      </c>
      <c r="MQ64" s="3203">
        <f t="shared" ca="1" si="141"/>
        <v>0</v>
      </c>
      <c r="MR64" s="3203">
        <f t="shared" ca="1" si="141"/>
        <v>0</v>
      </c>
      <c r="MS64" s="3203">
        <f t="shared" ca="1" si="141"/>
        <v>0</v>
      </c>
      <c r="MT64" s="3205">
        <f t="shared" ca="1" si="141"/>
        <v>0</v>
      </c>
      <c r="MU64" s="1983"/>
      <c r="MV64" s="1975"/>
      <c r="MW64" s="1991"/>
      <c r="MX64" s="1931" t="str">
        <f t="shared" ref="MX64:MX95" si="142">IA64</f>
        <v>Waite Andy</v>
      </c>
      <c r="MY64" s="749"/>
      <c r="MZ64" s="1934">
        <f t="shared" ref="MZ64:MZ95" ca="1" si="143">IF(GF64=1,IW64,0)</f>
        <v>91.289574999999999</v>
      </c>
      <c r="NA64" s="1935"/>
      <c r="NB64" s="2652">
        <f t="shared" ref="NB64:NB95" ca="1" si="144">IFERROR(MZ64/IM64,0)</f>
        <v>2.3910563494641117</v>
      </c>
      <c r="NC64" s="479"/>
      <c r="ND64" s="2749" t="str">
        <f t="shared" ref="ND64:ND95" si="145">IF(ISBLANK(IP64),IO64,IP64)</f>
        <v xml:space="preserve"> Staff (Normal)</v>
      </c>
      <c r="NE64" s="2717"/>
      <c r="NF64" s="1975"/>
      <c r="NG64" s="1975"/>
      <c r="NH64" s="1975"/>
      <c r="NI64" s="1975"/>
    </row>
    <row r="65" spans="1:373" s="192" customFormat="1" ht="15.9" customHeight="1" x14ac:dyDescent="0.3">
      <c r="A65" s="200"/>
      <c r="B65" s="200"/>
      <c r="C65" s="200"/>
      <c r="D65" s="200"/>
      <c r="E65" s="200"/>
      <c r="F65" s="200"/>
      <c r="G65" s="200"/>
      <c r="H65" s="200"/>
      <c r="I65" s="200"/>
      <c r="J65" s="200"/>
      <c r="K65" s="200"/>
      <c r="L65" s="200"/>
      <c r="M65" s="200"/>
      <c r="N65" s="200"/>
      <c r="O65" s="200"/>
      <c r="P65" s="1539"/>
      <c r="Q65" s="1539"/>
      <c r="R65" s="198"/>
      <c r="S65" s="1539"/>
      <c r="T65" s="201"/>
      <c r="U65" s="200"/>
      <c r="V65" s="201">
        <f>MATCH($IC65,'3b Activity Plan'!$DJ$171:$FH$171,0)</f>
        <v>2</v>
      </c>
      <c r="W65" s="201">
        <f>IFERROR(INDEX('3b Activity Plan'!$DJ$6:$FH$6,V65),0)</f>
        <v>64</v>
      </c>
      <c r="X65" s="1768"/>
      <c r="Y65" s="1768">
        <f>IFERROR(INDEX('3b Activity Plan'!$DJ$7:$FH$7,V65),0)</f>
        <v>64</v>
      </c>
      <c r="Z65" s="201"/>
      <c r="AA65" s="201">
        <f>IFERROR(INDEX('3b Activity Plan'!$DJ$34:$FH$34,$V65),0)</f>
        <v>64</v>
      </c>
      <c r="AB65" s="201">
        <f>IFERROR(INDEX('3b Activity Plan'!$DJ$35:$FH$35,$V65),0)</f>
        <v>0</v>
      </c>
      <c r="AC65" s="201">
        <f>IFERROR(INDEX('3b Activity Plan'!$DJ$36:$FH$36,$V65),0)</f>
        <v>0</v>
      </c>
      <c r="AD65" s="201">
        <f>IFERROR(INDEX('3b Activity Plan'!$DJ$37:$FH$37,$V65),0)</f>
        <v>0</v>
      </c>
      <c r="AE65" s="201">
        <f>IFERROR(INDEX('3b Activity Plan'!$DJ$38:$FH$38,$V65),0)</f>
        <v>0</v>
      </c>
      <c r="AF65" s="201">
        <f>IFERROR(INDEX('3b Activity Plan'!$DJ$39:$FH$39,$V65),0)</f>
        <v>0</v>
      </c>
      <c r="AG65" s="201">
        <f>IFERROR(INDEX('3b Activity Plan'!$DJ$40:$FH$40,$V65),0)</f>
        <v>0</v>
      </c>
      <c r="AH65" s="201">
        <f>IFERROR(INDEX('3b Activity Plan'!$DJ$41:$FH$41,$V65),0)</f>
        <v>0</v>
      </c>
      <c r="AI65" s="201">
        <f>IFERROR(INDEX('3b Activity Plan'!$DJ$42:$FH$42,$V65),0)</f>
        <v>0</v>
      </c>
      <c r="AJ65" s="201">
        <f>IFERROR(INDEX('3b Activity Plan'!$DJ$43:$FH$43,$V65),0)</f>
        <v>0</v>
      </c>
      <c r="AK65" s="201"/>
      <c r="AL65" s="201">
        <f>SUMIFS('3a Staff Plan'!$AR$129:$AR$305,'3a Staff Plan'!$DY$129:$DY$305,$IA65,'3a Staff Plan'!$DF$129:$DF$305,1)</f>
        <v>0</v>
      </c>
      <c r="AM65" s="1768"/>
      <c r="AN65" s="1768">
        <f>SUMIFS('3a Staff Plan'!$AR$129:$AR$305,'3a Staff Plan'!$DY$129:$DY$305,$IA65,'3a Staff Plan'!$CV$129:$CV$305,1)</f>
        <v>0</v>
      </c>
      <c r="AO65" s="201"/>
      <c r="AP65" s="201">
        <f>SUMIFS('3a Staff Plan'!$AS$129:$AS$305,'3a Staff Plan'!$DY$129:$DY$305,$IA65,'3a Staff Plan'!$DF$129:$DF$305,1)</f>
        <v>0</v>
      </c>
      <c r="AQ65" s="201">
        <f>SUMIFS('3a Staff Plan'!$AT$129:$AT$305,'3a Staff Plan'!$DY$129:$DY$305,$IA65,'3a Staff Plan'!$DF$129:$DF$305,1)</f>
        <v>0</v>
      </c>
      <c r="AR65" s="201">
        <f>SUMIFS('3a Staff Plan'!$AU$129:$AU$305,'3a Staff Plan'!$DY$129:$DY$305,$IA65,'3a Staff Plan'!$DF$129:$DF$305,1)</f>
        <v>0</v>
      </c>
      <c r="AS65" s="201">
        <f>SUMIFS('3a Staff Plan'!$AV$129:$AV$305,'3a Staff Plan'!$DY$129:$DY$305,$IA65,'3a Staff Plan'!$DF$129:$DF$305,1)</f>
        <v>0</v>
      </c>
      <c r="AT65" s="201">
        <f>SUMIFS('3a Staff Plan'!$AW$129:$AW$305,'3a Staff Plan'!$DY$129:$DY$305,$IA65,'3a Staff Plan'!$DF$129:$DF$305,1)</f>
        <v>0</v>
      </c>
      <c r="AU65" s="201">
        <f>SUMIFS('3a Staff Plan'!$AX$129:$AX$305,'3a Staff Plan'!$DY$129:$DY$305,$IA65,'3a Staff Plan'!$DF$129:$DF$305,1)</f>
        <v>0</v>
      </c>
      <c r="AV65" s="201">
        <f>SUMIFS('3a Staff Plan'!$AY$129:$AY$305,'3a Staff Plan'!$DY$129:$DY$305,$IA65,'3a Staff Plan'!$DF$129:$DF$305,1)</f>
        <v>0</v>
      </c>
      <c r="AW65" s="201">
        <f>SUMIFS('3a Staff Plan'!$AZ$129:$AZ$305,'3a Staff Plan'!$DY$129:$DY$305,$IA65,'3a Staff Plan'!$DF$129:$DF$305,1)</f>
        <v>0</v>
      </c>
      <c r="AX65" s="201">
        <f>SUMIFS('3a Staff Plan'!$BA$129:$BA$305,'3a Staff Plan'!$DY$129:$DY$305,$IA65,'3a Staff Plan'!$DF$129:$DF$305,1)</f>
        <v>0</v>
      </c>
      <c r="AY65" s="201">
        <f>SUMIFS('3a Staff Plan'!$BB$129:$BB$305,'3a Staff Plan'!$DY$129:$DY$305,$IA65,'3a Staff Plan'!$DF$129:$DF$305,1)</f>
        <v>0</v>
      </c>
      <c r="AZ65" s="201"/>
      <c r="BA65" s="201">
        <f t="shared" si="33"/>
        <v>64</v>
      </c>
      <c r="BB65" s="1768"/>
      <c r="BC65" s="1768">
        <f t="shared" si="33"/>
        <v>64</v>
      </c>
      <c r="BD65" s="201"/>
      <c r="BE65" s="201">
        <f t="shared" si="34"/>
        <v>64</v>
      </c>
      <c r="BF65" s="201">
        <f t="shared" si="34"/>
        <v>0</v>
      </c>
      <c r="BG65" s="201">
        <f t="shared" si="34"/>
        <v>0</v>
      </c>
      <c r="BH65" s="201">
        <f t="shared" si="34"/>
        <v>0</v>
      </c>
      <c r="BI65" s="201">
        <f t="shared" si="34"/>
        <v>0</v>
      </c>
      <c r="BJ65" s="201">
        <f t="shared" si="34"/>
        <v>0</v>
      </c>
      <c r="BK65" s="201">
        <f t="shared" si="34"/>
        <v>0</v>
      </c>
      <c r="BL65" s="201">
        <f t="shared" si="34"/>
        <v>0</v>
      </c>
      <c r="BM65" s="201">
        <f t="shared" si="34"/>
        <v>0</v>
      </c>
      <c r="BN65" s="201">
        <f t="shared" si="34"/>
        <v>0</v>
      </c>
      <c r="BO65" s="201"/>
      <c r="BP65" s="1818">
        <f t="shared" ref="BP65:BP113" si="146">V65</f>
        <v>2</v>
      </c>
      <c r="BQ65" s="1818">
        <f>IFERROR(INDEX('3b Activity Plan'!$DJ$15:$FH$15,BP65),0)</f>
        <v>64</v>
      </c>
      <c r="BR65" s="1768"/>
      <c r="BS65" s="1768">
        <f>IFERROR(INDEX('3b Activity Plan'!$DJ$16:$FH$16,BP65),0)</f>
        <v>64</v>
      </c>
      <c r="BT65" s="201"/>
      <c r="BU65" s="201">
        <f>IFERROR(INDEX('3b Activity Plan'!$DJ$67:$FH$67,$V65),0)</f>
        <v>64</v>
      </c>
      <c r="BV65" s="201">
        <f>IFERROR(INDEX('3b Activity Plan'!$DJ$68:$FH$68,$V65),0)</f>
        <v>0</v>
      </c>
      <c r="BW65" s="201">
        <f>IFERROR(INDEX('3b Activity Plan'!$DJ$69:$FH$69,$V65),0)</f>
        <v>0</v>
      </c>
      <c r="BX65" s="201">
        <f>IFERROR(INDEX('3b Activity Plan'!$DJ$70:$FH$70,$V65),0)</f>
        <v>0</v>
      </c>
      <c r="BY65" s="201">
        <f>IFERROR(INDEX('3b Activity Plan'!$DJ$71:$FH$71,$V65),0)</f>
        <v>0</v>
      </c>
      <c r="BZ65" s="201">
        <f>IFERROR(INDEX('3b Activity Plan'!$DJ$72:$FH$72,$V65),0)</f>
        <v>0</v>
      </c>
      <c r="CA65" s="201">
        <f>IFERROR(INDEX('3b Activity Plan'!$DJ$73:$FH$73,$V65),0)</f>
        <v>0</v>
      </c>
      <c r="CB65" s="201">
        <f>IFERROR(INDEX('3b Activity Plan'!$DJ$74:$FH$74,$V65),0)</f>
        <v>0</v>
      </c>
      <c r="CC65" s="201">
        <f>IFERROR(INDEX('3b Activity Plan'!$DJ$75:$FH$75,$V65),0)</f>
        <v>0</v>
      </c>
      <c r="CD65" s="201">
        <f>IFERROR(INDEX('3b Activity Plan'!$DJ$76:$FH$76,$V65),0)</f>
        <v>0</v>
      </c>
      <c r="CE65" s="201"/>
      <c r="CF65" s="1818">
        <f>SUMIFS('3a Staff Plan'!$AR$129:$AR$305,'3a Staff Plan'!$DY$129:$DY$305,$IA65,'3a Staff Plan'!$AG$129:$AG$305,1,'3a Staff Plan'!$DF$129:$DF$305,1)</f>
        <v>0</v>
      </c>
      <c r="CG65" s="1768">
        <f>SUMIFS('3a Staff Plan'!$AR$129:$AR$305,'3a Staff Plan'!$DY$129:$DY$305,$IA65,'3a Staff Plan'!$AG$129:$AG$305,1,'3a Staff Plan'!$CX$129:$CX$305,1)</f>
        <v>0</v>
      </c>
      <c r="CH65" s="1768">
        <f>SUMIFS('3a Staff Plan'!$AR$129:$AR$305,'3a Staff Plan'!$DY$129:$DY$305,$IA65,'3a Staff Plan'!$AG$129:$AG$305,1,'3a Staff Plan'!$CV$129:$CV$305,1)</f>
        <v>0</v>
      </c>
      <c r="CI65" s="201"/>
      <c r="CJ65" s="201">
        <f>SUMIFS('3a Staff Plan'!$BX$129:$BX$305,'3a Staff Plan'!$DY$129:$DY$305,$IA65,'3a Staff Plan'!$DF$129:$DF$305,1,'3a Staff Plan'!$AG$129:$AG$305,1)</f>
        <v>0</v>
      </c>
      <c r="CK65" s="201">
        <f>SUMIFS('3a Staff Plan'!$BY$129:$BY$305,'3a Staff Plan'!$DY$129:$DY$305,$IA65,'3a Staff Plan'!$DF$129:$DF$305,1,'3a Staff Plan'!$AG$129:$AG$305,1)</f>
        <v>0</v>
      </c>
      <c r="CL65" s="201">
        <f>SUMIFS('3a Staff Plan'!$BZ$129:$BZ$305,'3a Staff Plan'!$DY$129:$DY$305,$IA65,'3a Staff Plan'!$DF$129:$DF$305,1,'3a Staff Plan'!$AG$129:$AG$305,1)</f>
        <v>0</v>
      </c>
      <c r="CM65" s="201">
        <f>SUMIFS('3a Staff Plan'!$CA$129:$CA$305,'3a Staff Plan'!$DY$129:$DY$305,$IA65,'3a Staff Plan'!$DF$129:$DF$305,1,'3a Staff Plan'!$AG$129:$AG$305,1)</f>
        <v>0</v>
      </c>
      <c r="CN65" s="201">
        <f>SUMIFS('3a Staff Plan'!$CB$129:$CB$305,'3a Staff Plan'!$DY$129:$DY$305,$IA65,'3a Staff Plan'!$DF$129:$DF$305,1,'3a Staff Plan'!$AG$129:$AG$305,1)</f>
        <v>0</v>
      </c>
      <c r="CO65" s="201">
        <f>SUMIFS('3a Staff Plan'!$CC$129:$CC$305,'3a Staff Plan'!$DY$129:$DY$305,$IA65,'3a Staff Plan'!$DF$129:$DF$305,1,'3a Staff Plan'!$AG$129:$AG$305,1)</f>
        <v>0</v>
      </c>
      <c r="CP65" s="201">
        <f>SUMIFS('3a Staff Plan'!$CD$129:$CD$305,'3a Staff Plan'!$DY$129:$DY$305,$IA65,'3a Staff Plan'!$DF$129:$DF$305,1,'3a Staff Plan'!$AG$129:$AG$305,1)</f>
        <v>0</v>
      </c>
      <c r="CQ65" s="201">
        <f>SUMIFS('3a Staff Plan'!$CE$129:$CE$305,'3a Staff Plan'!$DY$129:$DY$305,$IA65,'3a Staff Plan'!$DF$129:$DF$305,1,'3a Staff Plan'!$AG$129:$AG$305,1)</f>
        <v>0</v>
      </c>
      <c r="CR65" s="201">
        <f>SUMIFS('3a Staff Plan'!$CF$129:$CF$305,'3a Staff Plan'!$DY$129:$DY$305,$IA65,'3a Staff Plan'!$DF$129:$DF$305,1,'3a Staff Plan'!$AG$129:$AG$305,1)</f>
        <v>0</v>
      </c>
      <c r="CS65" s="201">
        <f>SUMIFS('3a Staff Plan'!$CG$129:$CG$305,'3a Staff Plan'!$DY$129:$DY$305,$IA65,'3a Staff Plan'!$DF$129:$DF$305,1,'3a Staff Plan'!$AG$129:$AG$305,1)</f>
        <v>0</v>
      </c>
      <c r="CT65" s="201"/>
      <c r="CU65" s="1818">
        <f t="shared" si="35"/>
        <v>64</v>
      </c>
      <c r="CV65" s="1768"/>
      <c r="CW65" s="1768">
        <f t="shared" si="35"/>
        <v>64</v>
      </c>
      <c r="CX65" s="201"/>
      <c r="CY65" s="201">
        <f t="shared" si="36"/>
        <v>64</v>
      </c>
      <c r="CZ65" s="201">
        <f t="shared" si="36"/>
        <v>0</v>
      </c>
      <c r="DA65" s="201">
        <f t="shared" si="36"/>
        <v>0</v>
      </c>
      <c r="DB65" s="201">
        <f t="shared" si="36"/>
        <v>0</v>
      </c>
      <c r="DC65" s="201">
        <f t="shared" si="36"/>
        <v>0</v>
      </c>
      <c r="DD65" s="201">
        <f t="shared" si="36"/>
        <v>0</v>
      </c>
      <c r="DE65" s="201">
        <f t="shared" si="36"/>
        <v>0</v>
      </c>
      <c r="DF65" s="201">
        <f t="shared" si="36"/>
        <v>0</v>
      </c>
      <c r="DG65" s="201">
        <f t="shared" si="36"/>
        <v>0</v>
      </c>
      <c r="DH65" s="201">
        <f t="shared" si="36"/>
        <v>0</v>
      </c>
      <c r="DI65" s="201"/>
      <c r="DJ65" s="201"/>
      <c r="DK65" s="201"/>
      <c r="DL65" s="201"/>
      <c r="DM65" s="372">
        <f t="shared" ca="1" si="37"/>
        <v>2917.0752000000002</v>
      </c>
      <c r="DN65" s="1185">
        <f t="shared" si="38"/>
        <v>1105.2175360000001</v>
      </c>
      <c r="DO65" s="1185">
        <f t="shared" si="39"/>
        <v>727.11680000000001</v>
      </c>
      <c r="DP65" s="201"/>
      <c r="DQ65" s="372">
        <f t="shared" ca="1" si="40"/>
        <v>0</v>
      </c>
      <c r="DR65" s="1185">
        <f t="shared" si="41"/>
        <v>0</v>
      </c>
      <c r="DS65" s="1185">
        <f t="shared" si="42"/>
        <v>0</v>
      </c>
      <c r="DT65" s="201"/>
      <c r="DU65" s="372">
        <f t="shared" ca="1" si="43"/>
        <v>2917.0752000000002</v>
      </c>
      <c r="DV65" s="372">
        <f t="shared" si="43"/>
        <v>1105.2175360000001</v>
      </c>
      <c r="DW65" s="372">
        <f t="shared" si="43"/>
        <v>727.11680000000001</v>
      </c>
      <c r="DX65" s="201"/>
      <c r="DY65" s="372">
        <f t="shared" si="44"/>
        <v>0</v>
      </c>
      <c r="DZ65" s="372">
        <f t="shared" ca="1" si="45"/>
        <v>0</v>
      </c>
      <c r="EA65" s="201"/>
      <c r="EB65" s="2776">
        <f>IF(EO65=$EO$53,1,IFERROR(INDEX('Currency Data'!$L$8:$L$41,MATCH(EO65,'Currency Data'!$H$8:$H$41,0)),1))</f>
        <v>1</v>
      </c>
      <c r="EC65" s="2776">
        <f t="shared" ref="EC65:EC113" si="147">IF(HS65=0,1,HS65)</f>
        <v>1</v>
      </c>
      <c r="ED65" s="428">
        <f>IF(GQ65=1,'1 Setup'!$T$68,IF(ISBLANK(IJ65),II65/EC65*IF(GL65=1,$ED$53,1),IJ65/EC65)*IF($EW65=7,JW65,1))</f>
        <v>11.3612</v>
      </c>
      <c r="EE65" s="428">
        <f t="shared" si="46"/>
        <v>11.3612</v>
      </c>
      <c r="EF65" s="428"/>
      <c r="EG65" s="1965" t="str">
        <f t="shared" ref="EG65:EG113" si="148">IF(HX65&lt;&gt;"",HX65,IF(EW65&gt;7,IP65,$EG$53))</f>
        <v>031500 - Highways UK</v>
      </c>
      <c r="EH65" s="201">
        <f t="shared" ref="EH65:EH113" si="149">IF(EG65=$EG$53,1,0)</f>
        <v>1</v>
      </c>
      <c r="EI65" s="445" t="str">
        <f>IF(EH65=1,$EI$53,IF(GQ65=1,$GQ$55,IFERROR(IF($EG65=$EG$53,$EI$53,INDEX('PU List'!$G$6:$G$413,MATCH($EG65,'PU List'!$D$6:$D$413,0))),$EI$53)))</f>
        <v>GB - BIAF</v>
      </c>
      <c r="EJ65" s="2773" t="str">
        <f t="shared" ref="EJ65:EJ113" si="150">HQ65</f>
        <v>GB - BIAF</v>
      </c>
      <c r="EK65" s="1768"/>
      <c r="EL65" s="3283">
        <f>IF(OR(EW65&gt;7,$EL$53=0),0,IF(EJ65=$EI$53,$EL$53,IFERROR(INDEX('Fringe Data'!$U$8:$U$129,MATCH($EJ65,'Fringe Data'!$F$8:$F$129,0)),0)))</f>
        <v>1.73</v>
      </c>
      <c r="EM65" s="372">
        <f t="shared" si="47"/>
        <v>110.72</v>
      </c>
      <c r="EN65" s="201" t="str">
        <f>IFERROR(INDEX('Fringe Data'!$G$8:$G$64,MATCH($EJ65,'Fringe Data'!$F$8:$F$64,0)),$EO$53)</f>
        <v>GBP</v>
      </c>
      <c r="EO65" s="201" t="str">
        <f t="shared" ref="EO65:EO113" si="151">HR65</f>
        <v>GBP</v>
      </c>
      <c r="EP65" s="201">
        <f>IF(EI65=$EI$53,$EP$49,IF(GP65=1,0,IFERROR(INDEX('Fringe Data'!$K$8:$K$64,MATCH($EI65,'Fringe Data'!$F$8:$F$64,0)),0)))</f>
        <v>0.52</v>
      </c>
      <c r="EQ65" s="201">
        <f>IF(EI65=$EI$53,$EQ$49,IF(GP65=1,0,IFERROR(INDEX('Fringe Data'!$L$8:$L$64,MATCH($EI65,'Fringe Data'!$F$8:$F$64,0)),0)))</f>
        <v>1.8499999999999999E-2</v>
      </c>
      <c r="ER65" s="201">
        <f>IF(EI65=$EI$53,$ER$49,IF(GP65=1,0,IFERROR(INDEX('Fringe Data'!$M$8:$M$64,MATCH($EI65,'Fringe Data'!$F$8:$F$64,0)),0)))</f>
        <v>0.43430000000000002</v>
      </c>
      <c r="ES65" s="201">
        <f>IF(EI65=$EI$53,$ES$49,IF(GP65=1,0,IFERROR(INDEX('Fringe Data'!$N$8:$N$64,MATCH($EI65,'Fringe Data'!$F$8:$F$64,0)),0)))</f>
        <v>0.1565</v>
      </c>
      <c r="ET65" s="201">
        <f>IF(EI65=$EI$53,$ET$49,IF(GP65=1,0,IFERROR(INDEX('Fringe Data'!$O$8:$O$64,MATCH($EI65,'Fringe Data'!$F$8:$F$64,0)),0)))</f>
        <v>0.33450000000000002</v>
      </c>
      <c r="EU65" s="263">
        <f>IF(EI65=$EI$53,$EU$49,IF(GP65=1,0,IFERROR(INDEX('Fringe Data'!$P$8:$P$64,MATCH($EI65,'Fringe Data'!$F$8:$F$64,0)),0)))</f>
        <v>0.1565</v>
      </c>
      <c r="EV65" s="201"/>
      <c r="EW65" s="1530">
        <f t="shared" si="48"/>
        <v>1</v>
      </c>
      <c r="EX65" s="1534">
        <f t="shared" ref="EX65:EX113" si="152">IFERROR(CHOOSE(EW65,EP65,EQ65,ER65,ES65,EP65,EP65,EU65,0,0,0),$EX$52)</f>
        <v>0.52</v>
      </c>
      <c r="EY65" s="321">
        <f t="shared" ref="EY65:EY113" si="153">IF(EW65=5,1,0)</f>
        <v>0</v>
      </c>
      <c r="EZ65" s="201">
        <f t="shared" ref="EZ65:EZ113" si="154">IF(EW65=5,(ED65*(1+IQ65))+JZ65,IF(EW65=7,JZ65,ED65*(1+IQ65)))</f>
        <v>17.269024000000002</v>
      </c>
      <c r="FA65" s="372">
        <f t="shared" si="49"/>
        <v>0</v>
      </c>
      <c r="FB65" s="372">
        <f t="shared" si="50"/>
        <v>0</v>
      </c>
      <c r="FC65" s="201">
        <f t="shared" ref="FC65:FC113" ca="1" si="155">DU65*FG65/(1+FG65)</f>
        <v>0</v>
      </c>
      <c r="FD65" s="423">
        <f t="shared" si="51"/>
        <v>0</v>
      </c>
      <c r="FE65" s="423">
        <f t="shared" si="52"/>
        <v>0</v>
      </c>
      <c r="FF65" s="201">
        <f t="shared" ref="FF65:FF113" si="156">IF(EW65=7,0,IF($FF$50=1,FD65,IF($FF$50=2,FE65,0)))</f>
        <v>0</v>
      </c>
      <c r="FG65" s="425">
        <f>IF(OR($FJ$52=3,$FJ$52=4,$FJ$52=5),'1 Setup'!$W$96,0)</f>
        <v>0</v>
      </c>
      <c r="FH65" s="428">
        <f>IF($FJ$52=5,'1 Setup'!$W$98,IF($FJ$52=6,'1 Setup'!$S$86,0))</f>
        <v>0</v>
      </c>
      <c r="FI65" s="321">
        <f t="shared" ca="1" si="53"/>
        <v>45.24</v>
      </c>
      <c r="FJ65" s="263">
        <f t="shared" ref="FJ65:FJ113" ca="1" si="157">IF(EW65=7,0,CHOOSE($FJ$52,ED65*JF65,ED65*JF65,ED65*(1+JF65)*(1+JH65),ED65*(1+JF65),(ED65*(1+JF65)+JG65),IR65+EL65+JG65,JN65,JN65*$JP$6,JP65,JP65*$JP$6,0))</f>
        <v>45.579300000000003</v>
      </c>
      <c r="FK65" s="372">
        <f t="shared" ca="1" si="54"/>
        <v>2917.0752000000002</v>
      </c>
      <c r="FL65" s="372">
        <f t="shared" si="55"/>
        <v>0</v>
      </c>
      <c r="FM65" s="372">
        <f t="shared" si="56"/>
        <v>0</v>
      </c>
      <c r="FN65" s="2036">
        <f t="shared" ca="1" si="57"/>
        <v>45.579300000000003</v>
      </c>
      <c r="FO65" s="372">
        <f t="shared" ca="1" si="58"/>
        <v>2917.0752000000002</v>
      </c>
      <c r="FP65" s="2723">
        <f t="shared" ref="FP65:FP113" si="158">CHOOSE($FJ$52,JF65,JF65,(1+JF65)*(1+JH65),(1+JF65),0,0,0,0,0,0)</f>
        <v>0</v>
      </c>
      <c r="FQ65" s="372">
        <f t="shared" ca="1" si="59"/>
        <v>1</v>
      </c>
      <c r="FR65" s="2671">
        <f t="shared" ref="FR65:FR113" si="159">EE65*FP65</f>
        <v>0</v>
      </c>
      <c r="FS65" s="1168"/>
      <c r="FT65" s="1168">
        <f t="shared" si="60"/>
        <v>17.269024000000002</v>
      </c>
      <c r="FU65" s="1168">
        <f t="shared" si="61"/>
        <v>17.269024000000002</v>
      </c>
      <c r="FV65" s="1168">
        <f t="shared" si="62"/>
        <v>17.269024000000002</v>
      </c>
      <c r="FW65" s="1168">
        <f t="shared" si="63"/>
        <v>17.269024000000002</v>
      </c>
      <c r="FX65" s="1168">
        <f t="shared" si="64"/>
        <v>17.269024000000002</v>
      </c>
      <c r="FY65" s="1168">
        <f t="shared" si="65"/>
        <v>17.269024000000002</v>
      </c>
      <c r="FZ65" s="1168">
        <f t="shared" si="66"/>
        <v>17.269024000000002</v>
      </c>
      <c r="GA65" s="1168">
        <f t="shared" si="67"/>
        <v>17.269024000000002</v>
      </c>
      <c r="GB65" s="1168">
        <f t="shared" si="68"/>
        <v>17.269024000000002</v>
      </c>
      <c r="GC65" s="1168">
        <f t="shared" si="69"/>
        <v>17.269024000000002</v>
      </c>
      <c r="GD65" s="1168"/>
      <c r="GE65" s="199"/>
      <c r="GF65" s="201">
        <f t="shared" si="70"/>
        <v>1</v>
      </c>
      <c r="GG65" s="201">
        <f t="shared" si="71"/>
        <v>0</v>
      </c>
      <c r="GH65" s="201">
        <f t="shared" si="72"/>
        <v>0</v>
      </c>
      <c r="GI65" s="201">
        <f t="shared" ref="GI65:GI113" ca="1" si="160">IF(AND(W65&gt;0,IW65=0),1,0)</f>
        <v>0</v>
      </c>
      <c r="GJ65" s="201">
        <f t="shared" si="73"/>
        <v>0</v>
      </c>
      <c r="GK65" s="201">
        <f t="shared" si="74"/>
        <v>0</v>
      </c>
      <c r="GL65" s="201">
        <f t="shared" si="75"/>
        <v>1</v>
      </c>
      <c r="GM65" s="201">
        <f t="shared" si="76"/>
        <v>1</v>
      </c>
      <c r="GN65" s="201"/>
      <c r="GO65" s="201"/>
      <c r="GP65" s="201">
        <f t="shared" si="77"/>
        <v>0</v>
      </c>
      <c r="GQ65" s="201">
        <f t="shared" si="78"/>
        <v>0</v>
      </c>
      <c r="GR65" s="201">
        <f t="shared" ref="GR65:GR113" si="161">IF(IP65=$GR$55,1,0)</f>
        <v>0</v>
      </c>
      <c r="GS65" s="1768"/>
      <c r="GT65" s="201">
        <f t="shared" si="79"/>
        <v>1</v>
      </c>
      <c r="GU65" s="201">
        <f>ROW()-ROW($GU$64)+1</f>
        <v>2</v>
      </c>
      <c r="GV65" s="201">
        <f t="shared" si="80"/>
        <v>2</v>
      </c>
      <c r="GW65" s="201">
        <f t="shared" si="81"/>
        <v>3</v>
      </c>
      <c r="GX65" s="201">
        <f t="shared" ref="GX65:GX113" si="162">AND(OR($FJ$52=7,$FJ$52=8),ISBLANK(IU65),IE65&gt;0,ISBLANK(JN65))*1</f>
        <v>0</v>
      </c>
      <c r="GY65" s="1998"/>
      <c r="GZ65" s="253"/>
      <c r="HA65" s="195" t="str">
        <f t="shared" ref="HA65:HA113" si="163">IA65</f>
        <v>Hutchinson Amanda</v>
      </c>
      <c r="HB65" s="3558" t="str">
        <f t="shared" si="82"/>
        <v>L4A Senior Administrator</v>
      </c>
      <c r="HC65" s="3590"/>
      <c r="HD65" s="257" t="str">
        <f t="shared" si="83"/>
        <v/>
      </c>
      <c r="HE65" s="825">
        <f t="shared" si="84"/>
        <v>64</v>
      </c>
      <c r="HF65" s="506" t="s">
        <v>5</v>
      </c>
      <c r="HG65" s="508">
        <f t="shared" ca="1" si="85"/>
        <v>2917.0752000000002</v>
      </c>
      <c r="HH65" s="3585">
        <f t="shared" si="86"/>
        <v>1215.9375360000001</v>
      </c>
      <c r="HI65" s="3586"/>
      <c r="HJ65" s="504">
        <f t="shared" ca="1" si="87"/>
        <v>1701.1376640000001</v>
      </c>
      <c r="HK65" s="456">
        <f t="shared" ca="1" si="88"/>
        <v>0.58316551592499222</v>
      </c>
      <c r="HL65" s="3591">
        <f t="shared" ca="1" si="89"/>
        <v>26.580276000000001</v>
      </c>
      <c r="HM65" s="3592"/>
      <c r="HN65" s="240"/>
      <c r="HO65" s="1998"/>
      <c r="HP65" s="1991"/>
      <c r="HQ65" s="2770" t="str">
        <f t="shared" si="90"/>
        <v>GB - BIAF</v>
      </c>
      <c r="HR65" s="2770" t="str">
        <f t="shared" si="91"/>
        <v>GBP</v>
      </c>
      <c r="HS65" s="2771">
        <f t="shared" si="92"/>
        <v>1</v>
      </c>
      <c r="HT65" s="3623"/>
      <c r="HU65" s="2771">
        <f t="shared" si="93"/>
        <v>1.73</v>
      </c>
      <c r="HW65" s="1218"/>
      <c r="HX65" s="520"/>
      <c r="HY65" s="2523"/>
      <c r="HZ65" s="194" t="s">
        <v>4372</v>
      </c>
      <c r="IA65" s="1013" t="s">
        <v>4351</v>
      </c>
      <c r="IB65" s="193"/>
      <c r="IC65" s="3276">
        <v>2</v>
      </c>
      <c r="ID65" s="986"/>
      <c r="IE65" s="938">
        <f t="shared" ref="IE65:IE113" si="164">CW65</f>
        <v>64</v>
      </c>
      <c r="IF65" s="938">
        <f t="shared" ref="IF65:IF113" si="165">BC65-CW65</f>
        <v>0</v>
      </c>
      <c r="IG65" s="432"/>
      <c r="II65" s="405"/>
      <c r="IJ65" s="239">
        <v>11.3612</v>
      </c>
      <c r="IK65" s="2774" t="str">
        <f t="shared" ref="IK65:IK113" si="166">HR65</f>
        <v>GBP</v>
      </c>
      <c r="IL65" s="2148"/>
      <c r="IM65" s="1936">
        <f t="shared" si="94"/>
        <v>11.3612</v>
      </c>
      <c r="IO65" s="1959" t="str">
        <f t="shared" si="95"/>
        <v xml:space="preserve"> Staff (Normal)</v>
      </c>
      <c r="IP65" s="1958"/>
      <c r="IQ65" s="543">
        <f t="shared" si="96"/>
        <v>0.52</v>
      </c>
      <c r="IR65" s="1936">
        <f t="shared" si="97"/>
        <v>17.269024000000002</v>
      </c>
      <c r="IT65" s="1364"/>
      <c r="IU65" s="210"/>
      <c r="IV65" s="218"/>
      <c r="IW65" s="1938">
        <f ca="1">IF(NOT(ISBLANK(IU65)),IU65,IF('1 Setup'!$G$8&lt;7,JK65,FJ65))+KA65</f>
        <v>45.579300000000003</v>
      </c>
      <c r="IX65" s="409" t="str">
        <f t="shared" si="98"/>
        <v>Hutchinson Amanda</v>
      </c>
      <c r="IY65" s="408" t="str">
        <f t="shared" si="99"/>
        <v>L4A Senior Administrator</v>
      </c>
      <c r="IZ65" s="1983"/>
      <c r="JA65" s="1994"/>
      <c r="JB65" s="1991"/>
      <c r="JD65" s="2029" t="str">
        <f t="shared" ref="JD65:JD113" si="167">$IX65</f>
        <v>Hutchinson Amanda</v>
      </c>
      <c r="JE65" s="479"/>
      <c r="JF65" s="2025">
        <f t="shared" si="100"/>
        <v>0</v>
      </c>
      <c r="JG65" s="429">
        <f t="shared" si="101"/>
        <v>0</v>
      </c>
      <c r="JH65" s="1667">
        <f t="shared" si="102"/>
        <v>0</v>
      </c>
      <c r="JJ65" s="1163">
        <f t="shared" ca="1" si="103"/>
        <v>45.579300000000003</v>
      </c>
      <c r="JK65" s="1163">
        <f t="shared" ca="1" si="104"/>
        <v>45.579300000000003</v>
      </c>
      <c r="JL65" s="1795"/>
      <c r="JN65" s="2505"/>
      <c r="JO65" s="1161"/>
      <c r="JP65" s="571">
        <f t="shared" ca="1" si="105"/>
        <v>45.24</v>
      </c>
      <c r="JQ65" s="2506" t="s">
        <v>4330</v>
      </c>
      <c r="JR65" s="1953"/>
      <c r="JS65" s="2650"/>
      <c r="JT65" s="2507"/>
      <c r="JU65" s="1964">
        <f t="shared" si="106"/>
        <v>0.33450000000000002</v>
      </c>
      <c r="JV65" s="3199"/>
      <c r="JW65" s="2649">
        <f t="shared" si="107"/>
        <v>1.5</v>
      </c>
      <c r="JX65" s="1964">
        <f t="shared" ref="JX65:JX113" si="168">EU65</f>
        <v>0.1565</v>
      </c>
      <c r="JY65" s="3199"/>
      <c r="JZ65" s="2649">
        <f t="shared" ref="JZ65:JZ113" si="169">IF(EW65=5,(JS65+JT65*ED65)*(1+JU65),IF(EW65=7,IM65*(1+JX65),0))</f>
        <v>0</v>
      </c>
      <c r="KA65" s="2649">
        <f t="shared" ref="KA65:KA113" si="170">IF(OR(EW65=5,EW65=7),IF(KB65="Y",JZ65,0),0)</f>
        <v>0</v>
      </c>
      <c r="KB65" s="2649" t="s">
        <v>111</v>
      </c>
      <c r="KC65" s="1983"/>
      <c r="KD65" s="1974"/>
      <c r="KE65" s="1991"/>
      <c r="KF65" s="2029" t="str">
        <f t="shared" ref="KF65:KF113" si="171">$IX65</f>
        <v>Hutchinson Amanda</v>
      </c>
      <c r="KG65" s="1991"/>
      <c r="KH65" s="2121">
        <f t="shared" si="108"/>
        <v>64</v>
      </c>
      <c r="KI65" s="2130">
        <f t="shared" si="109"/>
        <v>0</v>
      </c>
      <c r="KJ65" s="2130">
        <f t="shared" si="110"/>
        <v>0</v>
      </c>
      <c r="KK65" s="2130">
        <f t="shared" si="111"/>
        <v>0</v>
      </c>
      <c r="KL65" s="2131">
        <f t="shared" si="112"/>
        <v>0</v>
      </c>
      <c r="KM65" s="2132">
        <f t="shared" si="113"/>
        <v>0</v>
      </c>
      <c r="KN65" s="2132">
        <f t="shared" si="114"/>
        <v>0</v>
      </c>
      <c r="KO65" s="2132">
        <f t="shared" si="115"/>
        <v>0</v>
      </c>
      <c r="KP65" s="2132">
        <f t="shared" si="116"/>
        <v>0</v>
      </c>
      <c r="KQ65" s="2133">
        <f t="shared" si="117"/>
        <v>0</v>
      </c>
      <c r="KS65" s="2253">
        <f t="shared" si="118"/>
        <v>11.3612</v>
      </c>
      <c r="KT65" s="2270">
        <f t="shared" ref="KT65:LB65" si="172">KS65*(1+(KT$60))</f>
        <v>11.3612</v>
      </c>
      <c r="KU65" s="2271">
        <f t="shared" si="172"/>
        <v>11.3612</v>
      </c>
      <c r="KV65" s="2271">
        <f t="shared" si="172"/>
        <v>11.3612</v>
      </c>
      <c r="KW65" s="2272">
        <f t="shared" si="172"/>
        <v>11.3612</v>
      </c>
      <c r="KX65" s="2271">
        <f t="shared" si="172"/>
        <v>11.3612</v>
      </c>
      <c r="KY65" s="2271">
        <f t="shared" si="172"/>
        <v>11.3612</v>
      </c>
      <c r="KZ65" s="2271">
        <f t="shared" si="172"/>
        <v>11.3612</v>
      </c>
      <c r="LA65" s="2271">
        <f t="shared" si="172"/>
        <v>11.3612</v>
      </c>
      <c r="LB65" s="2273">
        <f t="shared" si="172"/>
        <v>11.3612</v>
      </c>
      <c r="LC65" s="272"/>
      <c r="LD65" s="2124">
        <f t="shared" si="120"/>
        <v>64</v>
      </c>
      <c r="LE65" s="2093">
        <f t="shared" si="121"/>
        <v>0</v>
      </c>
      <c r="LF65" s="2093">
        <f t="shared" si="122"/>
        <v>0</v>
      </c>
      <c r="LG65" s="2093">
        <f t="shared" si="123"/>
        <v>0</v>
      </c>
      <c r="LH65" s="2094">
        <f t="shared" si="124"/>
        <v>0</v>
      </c>
      <c r="LI65" s="2095">
        <f t="shared" si="125"/>
        <v>0</v>
      </c>
      <c r="LJ65" s="2095">
        <f t="shared" si="126"/>
        <v>0</v>
      </c>
      <c r="LK65" s="2095">
        <f t="shared" si="127"/>
        <v>0</v>
      </c>
      <c r="LL65" s="2095">
        <f t="shared" si="128"/>
        <v>0</v>
      </c>
      <c r="LM65" s="2096">
        <f t="shared" si="129"/>
        <v>0</v>
      </c>
      <c r="LN65" s="749"/>
      <c r="LO65" s="2256">
        <f t="shared" ca="1" si="130"/>
        <v>45.579300000000003</v>
      </c>
      <c r="LP65" s="2270">
        <f t="shared" ca="1" si="131"/>
        <v>45.579300000000003</v>
      </c>
      <c r="LQ65" s="2271">
        <f t="shared" ca="1" si="132"/>
        <v>45.579300000000003</v>
      </c>
      <c r="LR65" s="2271">
        <f t="shared" ca="1" si="133"/>
        <v>45.579300000000003</v>
      </c>
      <c r="LS65" s="2272">
        <f t="shared" ca="1" si="134"/>
        <v>45.579300000000003</v>
      </c>
      <c r="LT65" s="2271">
        <f t="shared" ca="1" si="135"/>
        <v>45.579300000000003</v>
      </c>
      <c r="LU65" s="2271">
        <f t="shared" ca="1" si="136"/>
        <v>45.579300000000003</v>
      </c>
      <c r="LV65" s="2271">
        <f t="shared" ca="1" si="137"/>
        <v>45.579300000000003</v>
      </c>
      <c r="LW65" s="2271">
        <f t="shared" ca="1" si="138"/>
        <v>45.579300000000003</v>
      </c>
      <c r="LX65" s="2273">
        <f t="shared" ca="1" si="139"/>
        <v>45.579300000000003</v>
      </c>
      <c r="LY65" s="479"/>
      <c r="LZ65" s="3128">
        <f t="shared" ref="LZ65:LZ113" ca="1" si="173">LO65-(KS65*(1+$IQ65))-$HU65</f>
        <v>26.580276000000001</v>
      </c>
      <c r="MA65" s="3129">
        <f t="shared" ref="MA65:MA113" ca="1" si="174">LP65-(KT65*(1+$IQ65))-$HU65</f>
        <v>26.580276000000001</v>
      </c>
      <c r="MB65" s="3129">
        <f t="shared" ref="MB65:MB113" ca="1" si="175">LQ65-(KU65*(1+$IQ65))-$HU65</f>
        <v>26.580276000000001</v>
      </c>
      <c r="MC65" s="3129">
        <f t="shared" ref="MC65:MC113" ca="1" si="176">LR65-(KV65*(1+$IQ65))-$HU65</f>
        <v>26.580276000000001</v>
      </c>
      <c r="MD65" s="3130">
        <f t="shared" ref="MD65:MD113" ca="1" si="177">LS65-(KW65*(1+$IQ65))-$HU65</f>
        <v>26.580276000000001</v>
      </c>
      <c r="ME65" s="3129">
        <f t="shared" ref="ME65:ME113" ca="1" si="178">LT65-(KX65*(1+$IQ65))-$HU65</f>
        <v>26.580276000000001</v>
      </c>
      <c r="MF65" s="3129">
        <f t="shared" ref="MF65:MF113" ca="1" si="179">LU65-(KY65*(1+$IQ65))-$HU65</f>
        <v>26.580276000000001</v>
      </c>
      <c r="MG65" s="3129">
        <f t="shared" ref="MG65:MG113" ca="1" si="180">LV65-(KZ65*(1+$IQ65))-$HU65</f>
        <v>26.580276000000001</v>
      </c>
      <c r="MH65" s="3129">
        <f t="shared" ref="MH65:MH113" ca="1" si="181">LW65-(LA65*(1+$IQ65))-$HU65</f>
        <v>26.580276000000001</v>
      </c>
      <c r="MI65" s="3131">
        <f t="shared" ref="MI65:MI113" ca="1" si="182">LX65-(LB65*(1+$IQ65))-$HU65</f>
        <v>26.580276000000001</v>
      </c>
      <c r="MJ65" s="3201"/>
      <c r="MK65" s="3206">
        <f t="shared" ref="MK65:MK113" ca="1" si="183">LZ65*LD65</f>
        <v>1701.1376640000001</v>
      </c>
      <c r="ML65" s="3207">
        <f t="shared" ref="ML65:ML113" ca="1" si="184">MA65*LE65</f>
        <v>0</v>
      </c>
      <c r="MM65" s="3207">
        <f t="shared" ref="MM65:MM113" ca="1" si="185">MB65*LF65</f>
        <v>0</v>
      </c>
      <c r="MN65" s="3207">
        <f t="shared" ref="MN65:MN113" ca="1" si="186">MC65*LG65</f>
        <v>0</v>
      </c>
      <c r="MO65" s="3208">
        <f t="shared" ref="MO65:MO113" ca="1" si="187">MD65*LH65</f>
        <v>0</v>
      </c>
      <c r="MP65" s="3207">
        <f t="shared" ref="MP65:MP113" ca="1" si="188">ME65*LI65</f>
        <v>0</v>
      </c>
      <c r="MQ65" s="3207">
        <f t="shared" ref="MQ65:MQ113" ca="1" si="189">MF65*LJ65</f>
        <v>0</v>
      </c>
      <c r="MR65" s="3207">
        <f t="shared" ref="MR65:MR113" ca="1" si="190">MG65*LK65</f>
        <v>0</v>
      </c>
      <c r="MS65" s="3207">
        <f t="shared" ref="MS65:MS113" ca="1" si="191">MH65*LL65</f>
        <v>0</v>
      </c>
      <c r="MT65" s="3209">
        <f t="shared" ref="MT65:MT113" ca="1" si="192">MI65*LM65</f>
        <v>0</v>
      </c>
      <c r="MU65" s="1983"/>
      <c r="MV65" s="1975"/>
      <c r="MW65" s="1991"/>
      <c r="MX65" s="1931" t="str">
        <f t="shared" si="142"/>
        <v>Hutchinson Amanda</v>
      </c>
      <c r="MY65" s="749"/>
      <c r="MZ65" s="1934">
        <f t="shared" ca="1" si="143"/>
        <v>45.579300000000003</v>
      </c>
      <c r="NA65" s="1935"/>
      <c r="NB65" s="2652">
        <f t="shared" ca="1" si="144"/>
        <v>4.0118385381825865</v>
      </c>
      <c r="NC65" s="479"/>
      <c r="ND65" s="2749" t="str">
        <f t="shared" si="145"/>
        <v xml:space="preserve"> Staff (Normal)</v>
      </c>
      <c r="NE65" s="2717"/>
      <c r="NF65" s="1975"/>
      <c r="NG65" s="1975"/>
      <c r="NH65" s="1975"/>
      <c r="NI65" s="1975"/>
    </row>
    <row r="66" spans="1:373" s="192" customFormat="1" ht="15.9" customHeight="1" x14ac:dyDescent="0.3">
      <c r="A66" s="200"/>
      <c r="B66" s="200"/>
      <c r="C66" s="200"/>
      <c r="D66" s="200"/>
      <c r="E66" s="200"/>
      <c r="F66" s="200"/>
      <c r="G66" s="200"/>
      <c r="H66" s="200"/>
      <c r="I66" s="200"/>
      <c r="J66" s="200"/>
      <c r="K66" s="200"/>
      <c r="L66" s="200"/>
      <c r="M66" s="200"/>
      <c r="N66" s="200"/>
      <c r="O66" s="200"/>
      <c r="P66" s="1539"/>
      <c r="Q66" s="1539"/>
      <c r="R66" s="198"/>
      <c r="S66" s="1539"/>
      <c r="T66" s="201"/>
      <c r="U66" s="200"/>
      <c r="V66" s="201">
        <f>MATCH($IC66,'3b Activity Plan'!$DJ$171:$FH$171,0)</f>
        <v>3</v>
      </c>
      <c r="W66" s="201">
        <f>IFERROR(INDEX('3b Activity Plan'!$DJ$6:$FH$6,V66),0)</f>
        <v>39</v>
      </c>
      <c r="X66" s="1768"/>
      <c r="Y66" s="1768">
        <f>IFERROR(INDEX('3b Activity Plan'!$DJ$7:$FH$7,V66),0)</f>
        <v>39</v>
      </c>
      <c r="Z66" s="201"/>
      <c r="AA66" s="201">
        <f>IFERROR(INDEX('3b Activity Plan'!$DJ$34:$FH$34,$V66),0)</f>
        <v>39</v>
      </c>
      <c r="AB66" s="201">
        <f>IFERROR(INDEX('3b Activity Plan'!$DJ$35:$FH$35,$V66),0)</f>
        <v>0</v>
      </c>
      <c r="AC66" s="201">
        <f>IFERROR(INDEX('3b Activity Plan'!$DJ$36:$FH$36,$V66),0)</f>
        <v>0</v>
      </c>
      <c r="AD66" s="201">
        <f>IFERROR(INDEX('3b Activity Plan'!$DJ$37:$FH$37,$V66),0)</f>
        <v>0</v>
      </c>
      <c r="AE66" s="201">
        <f>IFERROR(INDEX('3b Activity Plan'!$DJ$38:$FH$38,$V66),0)</f>
        <v>0</v>
      </c>
      <c r="AF66" s="201">
        <f>IFERROR(INDEX('3b Activity Plan'!$DJ$39:$FH$39,$V66),0)</f>
        <v>0</v>
      </c>
      <c r="AG66" s="201">
        <f>IFERROR(INDEX('3b Activity Plan'!$DJ$40:$FH$40,$V66),0)</f>
        <v>0</v>
      </c>
      <c r="AH66" s="201">
        <f>IFERROR(INDEX('3b Activity Plan'!$DJ$41:$FH$41,$V66),0)</f>
        <v>0</v>
      </c>
      <c r="AI66" s="201">
        <f>IFERROR(INDEX('3b Activity Plan'!$DJ$42:$FH$42,$V66),0)</f>
        <v>0</v>
      </c>
      <c r="AJ66" s="201">
        <f>IFERROR(INDEX('3b Activity Plan'!$DJ$43:$FH$43,$V66),0)</f>
        <v>0</v>
      </c>
      <c r="AK66" s="201"/>
      <c r="AL66" s="201">
        <f>SUMIFS('3a Staff Plan'!$AR$129:$AR$305,'3a Staff Plan'!$DY$129:$DY$305,$IA66,'3a Staff Plan'!$DF$129:$DF$305,1)</f>
        <v>0</v>
      </c>
      <c r="AM66" s="1768"/>
      <c r="AN66" s="1768">
        <f>SUMIFS('3a Staff Plan'!$AR$129:$AR$305,'3a Staff Plan'!$DY$129:$DY$305,$IA66,'3a Staff Plan'!$CV$129:$CV$305,1)</f>
        <v>0</v>
      </c>
      <c r="AO66" s="201"/>
      <c r="AP66" s="201">
        <f>SUMIFS('3a Staff Plan'!$AS$129:$AS$305,'3a Staff Plan'!$DY$129:$DY$305,$IA66,'3a Staff Plan'!$DF$129:$DF$305,1)</f>
        <v>0</v>
      </c>
      <c r="AQ66" s="201">
        <f>SUMIFS('3a Staff Plan'!$AT$129:$AT$305,'3a Staff Plan'!$DY$129:$DY$305,$IA66,'3a Staff Plan'!$DF$129:$DF$305,1)</f>
        <v>0</v>
      </c>
      <c r="AR66" s="201">
        <f>SUMIFS('3a Staff Plan'!$AU$129:$AU$305,'3a Staff Plan'!$DY$129:$DY$305,$IA66,'3a Staff Plan'!$DF$129:$DF$305,1)</f>
        <v>0</v>
      </c>
      <c r="AS66" s="201">
        <f>SUMIFS('3a Staff Plan'!$AV$129:$AV$305,'3a Staff Plan'!$DY$129:$DY$305,$IA66,'3a Staff Plan'!$DF$129:$DF$305,1)</f>
        <v>0</v>
      </c>
      <c r="AT66" s="201">
        <f>SUMIFS('3a Staff Plan'!$AW$129:$AW$305,'3a Staff Plan'!$DY$129:$DY$305,$IA66,'3a Staff Plan'!$DF$129:$DF$305,1)</f>
        <v>0</v>
      </c>
      <c r="AU66" s="201">
        <f>SUMIFS('3a Staff Plan'!$AX$129:$AX$305,'3a Staff Plan'!$DY$129:$DY$305,$IA66,'3a Staff Plan'!$DF$129:$DF$305,1)</f>
        <v>0</v>
      </c>
      <c r="AV66" s="201">
        <f>SUMIFS('3a Staff Plan'!$AY$129:$AY$305,'3a Staff Plan'!$DY$129:$DY$305,$IA66,'3a Staff Plan'!$DF$129:$DF$305,1)</f>
        <v>0</v>
      </c>
      <c r="AW66" s="201">
        <f>SUMIFS('3a Staff Plan'!$AZ$129:$AZ$305,'3a Staff Plan'!$DY$129:$DY$305,$IA66,'3a Staff Plan'!$DF$129:$DF$305,1)</f>
        <v>0</v>
      </c>
      <c r="AX66" s="201">
        <f>SUMIFS('3a Staff Plan'!$BA$129:$BA$305,'3a Staff Plan'!$DY$129:$DY$305,$IA66,'3a Staff Plan'!$DF$129:$DF$305,1)</f>
        <v>0</v>
      </c>
      <c r="AY66" s="201">
        <f>SUMIFS('3a Staff Plan'!$BB$129:$BB$305,'3a Staff Plan'!$DY$129:$DY$305,$IA66,'3a Staff Plan'!$DF$129:$DF$305,1)</f>
        <v>0</v>
      </c>
      <c r="AZ66" s="201"/>
      <c r="BA66" s="201">
        <f t="shared" si="33"/>
        <v>39</v>
      </c>
      <c r="BB66" s="1768"/>
      <c r="BC66" s="1768">
        <f t="shared" si="33"/>
        <v>39</v>
      </c>
      <c r="BD66" s="201"/>
      <c r="BE66" s="201">
        <f t="shared" si="34"/>
        <v>39</v>
      </c>
      <c r="BF66" s="201">
        <f t="shared" si="34"/>
        <v>0</v>
      </c>
      <c r="BG66" s="201">
        <f t="shared" si="34"/>
        <v>0</v>
      </c>
      <c r="BH66" s="201">
        <f t="shared" si="34"/>
        <v>0</v>
      </c>
      <c r="BI66" s="201">
        <f t="shared" si="34"/>
        <v>0</v>
      </c>
      <c r="BJ66" s="201">
        <f t="shared" si="34"/>
        <v>0</v>
      </c>
      <c r="BK66" s="201">
        <f t="shared" si="34"/>
        <v>0</v>
      </c>
      <c r="BL66" s="201">
        <f t="shared" si="34"/>
        <v>0</v>
      </c>
      <c r="BM66" s="201">
        <f t="shared" si="34"/>
        <v>0</v>
      </c>
      <c r="BN66" s="201">
        <f t="shared" si="34"/>
        <v>0</v>
      </c>
      <c r="BO66" s="201"/>
      <c r="BP66" s="1818">
        <f t="shared" si="146"/>
        <v>3</v>
      </c>
      <c r="BQ66" s="1818">
        <f>IFERROR(INDEX('3b Activity Plan'!$DJ$15:$FH$15,BP66),0)</f>
        <v>39</v>
      </c>
      <c r="BR66" s="1768"/>
      <c r="BS66" s="1768">
        <f>IFERROR(INDEX('3b Activity Plan'!$DJ$16:$FH$16,BP66),0)</f>
        <v>39</v>
      </c>
      <c r="BT66" s="201"/>
      <c r="BU66" s="201">
        <f>IFERROR(INDEX('3b Activity Plan'!$DJ$67:$FH$67,$V66),0)</f>
        <v>39</v>
      </c>
      <c r="BV66" s="201">
        <f>IFERROR(INDEX('3b Activity Plan'!$DJ$68:$FH$68,$V66),0)</f>
        <v>0</v>
      </c>
      <c r="BW66" s="201">
        <f>IFERROR(INDEX('3b Activity Plan'!$DJ$69:$FH$69,$V66),0)</f>
        <v>0</v>
      </c>
      <c r="BX66" s="201">
        <f>IFERROR(INDEX('3b Activity Plan'!$DJ$70:$FH$70,$V66),0)</f>
        <v>0</v>
      </c>
      <c r="BY66" s="201">
        <f>IFERROR(INDEX('3b Activity Plan'!$DJ$71:$FH$71,$V66),0)</f>
        <v>0</v>
      </c>
      <c r="BZ66" s="201">
        <f>IFERROR(INDEX('3b Activity Plan'!$DJ$72:$FH$72,$V66),0)</f>
        <v>0</v>
      </c>
      <c r="CA66" s="201">
        <f>IFERROR(INDEX('3b Activity Plan'!$DJ$73:$FH$73,$V66),0)</f>
        <v>0</v>
      </c>
      <c r="CB66" s="201">
        <f>IFERROR(INDEX('3b Activity Plan'!$DJ$74:$FH$74,$V66),0)</f>
        <v>0</v>
      </c>
      <c r="CC66" s="201">
        <f>IFERROR(INDEX('3b Activity Plan'!$DJ$75:$FH$75,$V66),0)</f>
        <v>0</v>
      </c>
      <c r="CD66" s="201">
        <f>IFERROR(INDEX('3b Activity Plan'!$DJ$76:$FH$76,$V66),0)</f>
        <v>0</v>
      </c>
      <c r="CE66" s="201"/>
      <c r="CF66" s="1818">
        <f>SUMIFS('3a Staff Plan'!$AR$129:$AR$305,'3a Staff Plan'!$DY$129:$DY$305,$IA66,'3a Staff Plan'!$AG$129:$AG$305,1,'3a Staff Plan'!$DF$129:$DF$305,1)</f>
        <v>0</v>
      </c>
      <c r="CG66" s="1768">
        <f>SUMIFS('3a Staff Plan'!$AR$129:$AR$305,'3a Staff Plan'!$DY$129:$DY$305,$IA66,'3a Staff Plan'!$AG$129:$AG$305,1,'3a Staff Plan'!$CX$129:$CX$305,1)</f>
        <v>0</v>
      </c>
      <c r="CH66" s="1768">
        <f>SUMIFS('3a Staff Plan'!$AR$129:$AR$305,'3a Staff Plan'!$DY$129:$DY$305,$IA66,'3a Staff Plan'!$AG$129:$AG$305,1,'3a Staff Plan'!$CV$129:$CV$305,1)</f>
        <v>0</v>
      </c>
      <c r="CI66" s="201"/>
      <c r="CJ66" s="201">
        <f>SUMIFS('3a Staff Plan'!$BX$129:$BX$305,'3a Staff Plan'!$DY$129:$DY$305,$IA66,'3a Staff Plan'!$DF$129:$DF$305,1,'3a Staff Plan'!$AG$129:$AG$305,1)</f>
        <v>0</v>
      </c>
      <c r="CK66" s="201">
        <f>SUMIFS('3a Staff Plan'!$BY$129:$BY$305,'3a Staff Plan'!$DY$129:$DY$305,$IA66,'3a Staff Plan'!$DF$129:$DF$305,1,'3a Staff Plan'!$AG$129:$AG$305,1)</f>
        <v>0</v>
      </c>
      <c r="CL66" s="201">
        <f>SUMIFS('3a Staff Plan'!$BZ$129:$BZ$305,'3a Staff Plan'!$DY$129:$DY$305,$IA66,'3a Staff Plan'!$DF$129:$DF$305,1,'3a Staff Plan'!$AG$129:$AG$305,1)</f>
        <v>0</v>
      </c>
      <c r="CM66" s="201">
        <f>SUMIFS('3a Staff Plan'!$CA$129:$CA$305,'3a Staff Plan'!$DY$129:$DY$305,$IA66,'3a Staff Plan'!$DF$129:$DF$305,1,'3a Staff Plan'!$AG$129:$AG$305,1)</f>
        <v>0</v>
      </c>
      <c r="CN66" s="201">
        <f>SUMIFS('3a Staff Plan'!$CB$129:$CB$305,'3a Staff Plan'!$DY$129:$DY$305,$IA66,'3a Staff Plan'!$DF$129:$DF$305,1,'3a Staff Plan'!$AG$129:$AG$305,1)</f>
        <v>0</v>
      </c>
      <c r="CO66" s="201">
        <f>SUMIFS('3a Staff Plan'!$CC$129:$CC$305,'3a Staff Plan'!$DY$129:$DY$305,$IA66,'3a Staff Plan'!$DF$129:$DF$305,1,'3a Staff Plan'!$AG$129:$AG$305,1)</f>
        <v>0</v>
      </c>
      <c r="CP66" s="201">
        <f>SUMIFS('3a Staff Plan'!$CD$129:$CD$305,'3a Staff Plan'!$DY$129:$DY$305,$IA66,'3a Staff Plan'!$DF$129:$DF$305,1,'3a Staff Plan'!$AG$129:$AG$305,1)</f>
        <v>0</v>
      </c>
      <c r="CQ66" s="201">
        <f>SUMIFS('3a Staff Plan'!$CE$129:$CE$305,'3a Staff Plan'!$DY$129:$DY$305,$IA66,'3a Staff Plan'!$DF$129:$DF$305,1,'3a Staff Plan'!$AG$129:$AG$305,1)</f>
        <v>0</v>
      </c>
      <c r="CR66" s="201">
        <f>SUMIFS('3a Staff Plan'!$CF$129:$CF$305,'3a Staff Plan'!$DY$129:$DY$305,$IA66,'3a Staff Plan'!$DF$129:$DF$305,1,'3a Staff Plan'!$AG$129:$AG$305,1)</f>
        <v>0</v>
      </c>
      <c r="CS66" s="201">
        <f>SUMIFS('3a Staff Plan'!$CG$129:$CG$305,'3a Staff Plan'!$DY$129:$DY$305,$IA66,'3a Staff Plan'!$DF$129:$DF$305,1,'3a Staff Plan'!$AG$129:$AG$305,1)</f>
        <v>0</v>
      </c>
      <c r="CT66" s="201"/>
      <c r="CU66" s="1818">
        <f t="shared" si="35"/>
        <v>39</v>
      </c>
      <c r="CV66" s="1768"/>
      <c r="CW66" s="1768">
        <f t="shared" si="35"/>
        <v>39</v>
      </c>
      <c r="CX66" s="201"/>
      <c r="CY66" s="201">
        <f t="shared" si="36"/>
        <v>39</v>
      </c>
      <c r="CZ66" s="201">
        <f t="shared" si="36"/>
        <v>0</v>
      </c>
      <c r="DA66" s="201">
        <f t="shared" si="36"/>
        <v>0</v>
      </c>
      <c r="DB66" s="201">
        <f t="shared" si="36"/>
        <v>0</v>
      </c>
      <c r="DC66" s="201">
        <f t="shared" si="36"/>
        <v>0</v>
      </c>
      <c r="DD66" s="201">
        <f t="shared" si="36"/>
        <v>0</v>
      </c>
      <c r="DE66" s="201">
        <f t="shared" si="36"/>
        <v>0</v>
      </c>
      <c r="DF66" s="201">
        <f t="shared" si="36"/>
        <v>0</v>
      </c>
      <c r="DG66" s="201">
        <f t="shared" si="36"/>
        <v>0</v>
      </c>
      <c r="DH66" s="201">
        <f t="shared" si="36"/>
        <v>0</v>
      </c>
      <c r="DI66" s="201"/>
      <c r="DJ66" s="201"/>
      <c r="DK66" s="201"/>
      <c r="DL66" s="201"/>
      <c r="DM66" s="372">
        <f t="shared" ca="1" si="37"/>
        <v>3560.2934249999998</v>
      </c>
      <c r="DN66" s="1185">
        <f t="shared" si="38"/>
        <v>2444.4522960000004</v>
      </c>
      <c r="DO66" s="1185">
        <f t="shared" si="39"/>
        <v>1608.1923000000002</v>
      </c>
      <c r="DP66" s="201"/>
      <c r="DQ66" s="372">
        <f t="shared" ca="1" si="40"/>
        <v>0</v>
      </c>
      <c r="DR66" s="1185">
        <f t="shared" si="41"/>
        <v>0</v>
      </c>
      <c r="DS66" s="1185">
        <f t="shared" si="42"/>
        <v>0</v>
      </c>
      <c r="DT66" s="201"/>
      <c r="DU66" s="372">
        <f t="shared" ca="1" si="43"/>
        <v>3560.2934249999998</v>
      </c>
      <c r="DV66" s="372">
        <f t="shared" si="43"/>
        <v>2444.4522960000004</v>
      </c>
      <c r="DW66" s="372">
        <f t="shared" si="43"/>
        <v>1608.1923000000002</v>
      </c>
      <c r="DX66" s="201"/>
      <c r="DY66" s="372">
        <f t="shared" si="44"/>
        <v>0</v>
      </c>
      <c r="DZ66" s="372">
        <f t="shared" ca="1" si="45"/>
        <v>0</v>
      </c>
      <c r="EA66" s="201"/>
      <c r="EB66" s="2776">
        <f>IF(EO66=$EO$53,1,IFERROR(INDEX('Currency Data'!$L$8:$L$41,MATCH(EO66,'Currency Data'!$H$8:$H$41,0)),1))</f>
        <v>1</v>
      </c>
      <c r="EC66" s="2776">
        <f t="shared" si="147"/>
        <v>1</v>
      </c>
      <c r="ED66" s="428">
        <f>IF(GQ66=1,'1 Setup'!$T$68,IF(ISBLANK(IJ66),II66/EC66*IF(GL66=1,$ED$53,1),IJ66/EC66)*IF($EW66=7,JW66,1))</f>
        <v>41.235700000000001</v>
      </c>
      <c r="EE66" s="428">
        <f t="shared" si="46"/>
        <v>41.235700000000001</v>
      </c>
      <c r="EF66" s="428"/>
      <c r="EG66" s="1965" t="str">
        <f t="shared" si="148"/>
        <v>031500 - Highways UK</v>
      </c>
      <c r="EH66" s="201">
        <f t="shared" si="149"/>
        <v>1</v>
      </c>
      <c r="EI66" s="445" t="str">
        <f>IF(EH66=1,$EI$53,IF(GQ66=1,$GQ$55,IFERROR(IF($EG66=$EG$53,$EI$53,INDEX('PU List'!$G$6:$G$413,MATCH($EG66,'PU List'!$D$6:$D$413,0))),$EI$53)))</f>
        <v>GB - BIAF</v>
      </c>
      <c r="EJ66" s="2773" t="str">
        <f t="shared" si="150"/>
        <v>GB - BIAF</v>
      </c>
      <c r="EK66" s="1768"/>
      <c r="EL66" s="3283">
        <f>IF(OR(EW66&gt;7,$EL$53=0),0,IF(EJ66=$EI$53,$EL$53,IFERROR(INDEX('Fringe Data'!$U$8:$U$129,MATCH($EJ66,'Fringe Data'!$F$8:$F$129,0)),0)))</f>
        <v>1.73</v>
      </c>
      <c r="EM66" s="372">
        <f t="shared" si="47"/>
        <v>67.47</v>
      </c>
      <c r="EN66" s="201" t="str">
        <f>IFERROR(INDEX('Fringe Data'!$G$8:$G$64,MATCH($EJ66,'Fringe Data'!$F$8:$F$64,0)),$EO$53)</f>
        <v>GBP</v>
      </c>
      <c r="EO66" s="201" t="str">
        <f t="shared" si="151"/>
        <v>GBP</v>
      </c>
      <c r="EP66" s="201">
        <f>IF(EI66=$EI$53,$EP$49,IF(GP66=1,0,IFERROR(INDEX('Fringe Data'!$K$8:$K$64,MATCH($EI66,'Fringe Data'!$F$8:$F$64,0)),0)))</f>
        <v>0.52</v>
      </c>
      <c r="EQ66" s="201">
        <f>IF(EI66=$EI$53,$EQ$49,IF(GP66=1,0,IFERROR(INDEX('Fringe Data'!$L$8:$L$64,MATCH($EI66,'Fringe Data'!$F$8:$F$64,0)),0)))</f>
        <v>1.8499999999999999E-2</v>
      </c>
      <c r="ER66" s="201">
        <f>IF(EI66=$EI$53,$ER$49,IF(GP66=1,0,IFERROR(INDEX('Fringe Data'!$M$8:$M$64,MATCH($EI66,'Fringe Data'!$F$8:$F$64,0)),0)))</f>
        <v>0.43430000000000002</v>
      </c>
      <c r="ES66" s="201">
        <f>IF(EI66=$EI$53,$ES$49,IF(GP66=1,0,IFERROR(INDEX('Fringe Data'!$N$8:$N$64,MATCH($EI66,'Fringe Data'!$F$8:$F$64,0)),0)))</f>
        <v>0.1565</v>
      </c>
      <c r="ET66" s="201">
        <f>IF(EI66=$EI$53,$ET$49,IF(GP66=1,0,IFERROR(INDEX('Fringe Data'!$O$8:$O$64,MATCH($EI66,'Fringe Data'!$F$8:$F$64,0)),0)))</f>
        <v>0.33450000000000002</v>
      </c>
      <c r="EU66" s="263">
        <f>IF(EI66=$EI$53,$EU$49,IF(GP66=1,0,IFERROR(INDEX('Fringe Data'!$P$8:$P$64,MATCH($EI66,'Fringe Data'!$F$8:$F$64,0)),0)))</f>
        <v>0.1565</v>
      </c>
      <c r="EV66" s="201"/>
      <c r="EW66" s="1530">
        <f t="shared" si="48"/>
        <v>1</v>
      </c>
      <c r="EX66" s="1534">
        <f t="shared" si="152"/>
        <v>0.52</v>
      </c>
      <c r="EY66" s="321">
        <f t="shared" si="153"/>
        <v>0</v>
      </c>
      <c r="EZ66" s="201">
        <f t="shared" si="154"/>
        <v>62.678264000000006</v>
      </c>
      <c r="FA66" s="372">
        <f t="shared" si="49"/>
        <v>0</v>
      </c>
      <c r="FB66" s="372">
        <f t="shared" si="50"/>
        <v>0</v>
      </c>
      <c r="FC66" s="201">
        <f t="shared" ca="1" si="155"/>
        <v>0</v>
      </c>
      <c r="FD66" s="423">
        <f t="shared" si="51"/>
        <v>0</v>
      </c>
      <c r="FE66" s="423">
        <f t="shared" si="52"/>
        <v>0</v>
      </c>
      <c r="FF66" s="201">
        <f t="shared" si="156"/>
        <v>0</v>
      </c>
      <c r="FG66" s="425">
        <f>IF(OR($FJ$52=3,$FJ$52=4,$FJ$52=5),'1 Setup'!$W$96,0)</f>
        <v>0</v>
      </c>
      <c r="FH66" s="428">
        <f>IF($FJ$52=5,'1 Setup'!$W$98,IF($FJ$52=6,'1 Setup'!$S$86,0))</f>
        <v>0</v>
      </c>
      <c r="FI66" s="321">
        <f t="shared" ca="1" si="53"/>
        <v>90.61</v>
      </c>
      <c r="FJ66" s="263">
        <f t="shared" ca="1" si="157"/>
        <v>91.289574999999999</v>
      </c>
      <c r="FK66" s="372">
        <f t="shared" ca="1" si="54"/>
        <v>3560.2934249999998</v>
      </c>
      <c r="FL66" s="372">
        <f t="shared" si="55"/>
        <v>0</v>
      </c>
      <c r="FM66" s="372">
        <f t="shared" si="56"/>
        <v>0</v>
      </c>
      <c r="FN66" s="2036">
        <f t="shared" ca="1" si="57"/>
        <v>91.289574999999999</v>
      </c>
      <c r="FO66" s="372">
        <f t="shared" ca="1" si="58"/>
        <v>3560.2934249999998</v>
      </c>
      <c r="FP66" s="2723">
        <f t="shared" si="158"/>
        <v>0</v>
      </c>
      <c r="FQ66" s="372">
        <f t="shared" ca="1" si="59"/>
        <v>1</v>
      </c>
      <c r="FR66" s="2671">
        <f t="shared" si="159"/>
        <v>0</v>
      </c>
      <c r="FS66" s="1168"/>
      <c r="FT66" s="1168">
        <f t="shared" si="60"/>
        <v>62.678264000000006</v>
      </c>
      <c r="FU66" s="1168">
        <f t="shared" si="61"/>
        <v>62.678264000000006</v>
      </c>
      <c r="FV66" s="1168">
        <f t="shared" si="62"/>
        <v>62.678264000000006</v>
      </c>
      <c r="FW66" s="1168">
        <f t="shared" si="63"/>
        <v>62.678264000000006</v>
      </c>
      <c r="FX66" s="1168">
        <f t="shared" si="64"/>
        <v>62.678264000000006</v>
      </c>
      <c r="FY66" s="1168">
        <f t="shared" si="65"/>
        <v>62.678264000000006</v>
      </c>
      <c r="FZ66" s="1168">
        <f t="shared" si="66"/>
        <v>62.678264000000006</v>
      </c>
      <c r="GA66" s="1168">
        <f t="shared" si="67"/>
        <v>62.678264000000006</v>
      </c>
      <c r="GB66" s="1168">
        <f t="shared" si="68"/>
        <v>62.678264000000006</v>
      </c>
      <c r="GC66" s="1168">
        <f t="shared" si="69"/>
        <v>62.678264000000006</v>
      </c>
      <c r="GD66" s="1168"/>
      <c r="GE66" s="199"/>
      <c r="GF66" s="201">
        <f t="shared" si="70"/>
        <v>1</v>
      </c>
      <c r="GG66" s="201">
        <f t="shared" si="71"/>
        <v>0</v>
      </c>
      <c r="GH66" s="201">
        <f t="shared" si="72"/>
        <v>0</v>
      </c>
      <c r="GI66" s="201">
        <f t="shared" ca="1" si="160"/>
        <v>0</v>
      </c>
      <c r="GJ66" s="201">
        <f t="shared" si="73"/>
        <v>0</v>
      </c>
      <c r="GK66" s="201">
        <f t="shared" si="74"/>
        <v>0</v>
      </c>
      <c r="GL66" s="201">
        <f t="shared" si="75"/>
        <v>1</v>
      </c>
      <c r="GM66" s="201">
        <f t="shared" si="76"/>
        <v>1</v>
      </c>
      <c r="GN66" s="201"/>
      <c r="GO66" s="201"/>
      <c r="GP66" s="201">
        <f t="shared" si="77"/>
        <v>0</v>
      </c>
      <c r="GQ66" s="201">
        <f t="shared" si="78"/>
        <v>0</v>
      </c>
      <c r="GR66" s="201">
        <f t="shared" si="161"/>
        <v>0</v>
      </c>
      <c r="GS66" s="1768"/>
      <c r="GT66" s="201">
        <f t="shared" si="79"/>
        <v>1</v>
      </c>
      <c r="GU66" s="201">
        <f t="shared" ref="GU66:GU113" si="193">ROW()-ROW($GU$64)+1</f>
        <v>3</v>
      </c>
      <c r="GV66" s="201">
        <f t="shared" si="80"/>
        <v>3</v>
      </c>
      <c r="GW66" s="201">
        <f t="shared" si="81"/>
        <v>3</v>
      </c>
      <c r="GX66" s="201">
        <f t="shared" si="162"/>
        <v>0</v>
      </c>
      <c r="GY66" s="1998"/>
      <c r="GZ66" s="253"/>
      <c r="HA66" s="195" t="str">
        <f t="shared" si="163"/>
        <v>Spencer Peter</v>
      </c>
      <c r="HB66" s="3558" t="str">
        <f t="shared" si="82"/>
        <v>L1A Operational Manager</v>
      </c>
      <c r="HC66" s="3590"/>
      <c r="HD66" s="257" t="str">
        <f t="shared" si="83"/>
        <v/>
      </c>
      <c r="HE66" s="825">
        <f t="shared" si="84"/>
        <v>39</v>
      </c>
      <c r="HF66" s="506" t="s">
        <v>5</v>
      </c>
      <c r="HG66" s="508">
        <f t="shared" ca="1" si="85"/>
        <v>3560.2934249999998</v>
      </c>
      <c r="HH66" s="3585">
        <f t="shared" si="86"/>
        <v>2511.9222960000002</v>
      </c>
      <c r="HI66" s="3586"/>
      <c r="HJ66" s="504">
        <f t="shared" ca="1" si="87"/>
        <v>1048.3711289999997</v>
      </c>
      <c r="HK66" s="456">
        <f t="shared" ca="1" si="88"/>
        <v>0.29446200182222332</v>
      </c>
      <c r="HL66" s="3591">
        <f t="shared" ca="1" si="89"/>
        <v>26.88131099999999</v>
      </c>
      <c r="HM66" s="3592"/>
      <c r="HN66" s="240"/>
      <c r="HO66" s="1998"/>
      <c r="HP66" s="1991"/>
      <c r="HQ66" s="2770" t="str">
        <f t="shared" si="90"/>
        <v>GB - BIAF</v>
      </c>
      <c r="HR66" s="2770" t="str">
        <f t="shared" si="91"/>
        <v>GBP</v>
      </c>
      <c r="HS66" s="2771">
        <f t="shared" si="92"/>
        <v>1</v>
      </c>
      <c r="HT66" s="3488"/>
      <c r="HU66" s="2771">
        <f t="shared" si="93"/>
        <v>1.73</v>
      </c>
      <c r="HW66" s="1218"/>
      <c r="HX66" s="520"/>
      <c r="HY66" s="2523"/>
      <c r="HZ66" s="194" t="s">
        <v>4352</v>
      </c>
      <c r="IA66" s="1013" t="s">
        <v>4353</v>
      </c>
      <c r="IB66" s="193"/>
      <c r="IC66" s="3276">
        <v>3</v>
      </c>
      <c r="ID66" s="986"/>
      <c r="IE66" s="938">
        <f t="shared" si="164"/>
        <v>39</v>
      </c>
      <c r="IF66" s="938">
        <f t="shared" si="165"/>
        <v>0</v>
      </c>
      <c r="IG66" s="432"/>
      <c r="II66" s="405"/>
      <c r="IJ66" s="239">
        <v>41.235700000000001</v>
      </c>
      <c r="IK66" s="2774" t="str">
        <f t="shared" si="166"/>
        <v>GBP</v>
      </c>
      <c r="IL66" s="2148"/>
      <c r="IM66" s="1936">
        <f t="shared" si="94"/>
        <v>41.235700000000001</v>
      </c>
      <c r="IO66" s="1959" t="str">
        <f t="shared" si="95"/>
        <v xml:space="preserve"> Staff (Normal)</v>
      </c>
      <c r="IP66" s="1958"/>
      <c r="IQ66" s="543">
        <f t="shared" si="96"/>
        <v>0.52</v>
      </c>
      <c r="IR66" s="1936">
        <f t="shared" si="97"/>
        <v>62.678264000000006</v>
      </c>
      <c r="IT66" s="1364"/>
      <c r="IU66" s="210"/>
      <c r="IV66" s="218"/>
      <c r="IW66" s="1938">
        <f ca="1">IF(NOT(ISBLANK(IU66)),IU66,IF('1 Setup'!$G$8&lt;7,JK66,FJ66))+KA66</f>
        <v>91.289574999999999</v>
      </c>
      <c r="IX66" s="409" t="str">
        <f t="shared" si="98"/>
        <v>Spencer Peter</v>
      </c>
      <c r="IY66" s="408" t="str">
        <f t="shared" si="99"/>
        <v>L1A Operational Manager</v>
      </c>
      <c r="IZ66" s="1983"/>
      <c r="JA66" s="1994"/>
      <c r="JB66" s="1991"/>
      <c r="JD66" s="2029" t="str">
        <f t="shared" si="167"/>
        <v>Spencer Peter</v>
      </c>
      <c r="JE66" s="479"/>
      <c r="JF66" s="2025">
        <f t="shared" si="100"/>
        <v>0</v>
      </c>
      <c r="JG66" s="429">
        <f t="shared" si="101"/>
        <v>0</v>
      </c>
      <c r="JH66" s="1667">
        <f t="shared" si="102"/>
        <v>0</v>
      </c>
      <c r="JJ66" s="1163">
        <f t="shared" ca="1" si="103"/>
        <v>91.289574999999999</v>
      </c>
      <c r="JK66" s="1163">
        <f t="shared" ca="1" si="104"/>
        <v>91.289574999999999</v>
      </c>
      <c r="JL66" s="1795"/>
      <c r="JN66" s="2505"/>
      <c r="JO66" s="1161"/>
      <c r="JP66" s="571">
        <f t="shared" ca="1" si="105"/>
        <v>90.61</v>
      </c>
      <c r="JQ66" s="2506" t="s">
        <v>4315</v>
      </c>
      <c r="JR66" s="1953"/>
      <c r="JS66" s="2650"/>
      <c r="JT66" s="2507"/>
      <c r="JU66" s="1964">
        <f t="shared" si="106"/>
        <v>0.33450000000000002</v>
      </c>
      <c r="JV66" s="3199"/>
      <c r="JW66" s="2649">
        <f t="shared" si="107"/>
        <v>1.5</v>
      </c>
      <c r="JX66" s="1964">
        <f t="shared" si="168"/>
        <v>0.1565</v>
      </c>
      <c r="JY66" s="3199"/>
      <c r="JZ66" s="2649">
        <f t="shared" si="169"/>
        <v>0</v>
      </c>
      <c r="KA66" s="2649">
        <f t="shared" si="170"/>
        <v>0</v>
      </c>
      <c r="KB66" s="2649" t="s">
        <v>111</v>
      </c>
      <c r="KC66" s="1983"/>
      <c r="KD66" s="1974"/>
      <c r="KE66" s="1991"/>
      <c r="KF66" s="2029" t="str">
        <f t="shared" si="171"/>
        <v>Spencer Peter</v>
      </c>
      <c r="KG66" s="1991"/>
      <c r="KH66" s="2121">
        <f t="shared" si="108"/>
        <v>39</v>
      </c>
      <c r="KI66" s="2130">
        <f t="shared" si="109"/>
        <v>0</v>
      </c>
      <c r="KJ66" s="2130">
        <f t="shared" si="110"/>
        <v>0</v>
      </c>
      <c r="KK66" s="2130">
        <f t="shared" si="111"/>
        <v>0</v>
      </c>
      <c r="KL66" s="2131">
        <f t="shared" si="112"/>
        <v>0</v>
      </c>
      <c r="KM66" s="2132">
        <f t="shared" si="113"/>
        <v>0</v>
      </c>
      <c r="KN66" s="2132">
        <f t="shared" si="114"/>
        <v>0</v>
      </c>
      <c r="KO66" s="2132">
        <f t="shared" si="115"/>
        <v>0</v>
      </c>
      <c r="KP66" s="2132">
        <f t="shared" si="116"/>
        <v>0</v>
      </c>
      <c r="KQ66" s="2133">
        <f t="shared" si="117"/>
        <v>0</v>
      </c>
      <c r="KS66" s="2253">
        <f t="shared" si="118"/>
        <v>41.235700000000001</v>
      </c>
      <c r="KT66" s="2270">
        <f t="shared" ref="KT66:LB66" si="194">KS66*(1+(KT$60))</f>
        <v>41.235700000000001</v>
      </c>
      <c r="KU66" s="2271">
        <f t="shared" si="194"/>
        <v>41.235700000000001</v>
      </c>
      <c r="KV66" s="2271">
        <f t="shared" si="194"/>
        <v>41.235700000000001</v>
      </c>
      <c r="KW66" s="2272">
        <f t="shared" si="194"/>
        <v>41.235700000000001</v>
      </c>
      <c r="KX66" s="2271">
        <f t="shared" si="194"/>
        <v>41.235700000000001</v>
      </c>
      <c r="KY66" s="2271">
        <f t="shared" si="194"/>
        <v>41.235700000000001</v>
      </c>
      <c r="KZ66" s="2271">
        <f t="shared" si="194"/>
        <v>41.235700000000001</v>
      </c>
      <c r="LA66" s="2271">
        <f t="shared" si="194"/>
        <v>41.235700000000001</v>
      </c>
      <c r="LB66" s="2273">
        <f t="shared" si="194"/>
        <v>41.235700000000001</v>
      </c>
      <c r="LC66" s="272"/>
      <c r="LD66" s="2124">
        <f t="shared" si="120"/>
        <v>39</v>
      </c>
      <c r="LE66" s="2093">
        <f t="shared" si="121"/>
        <v>0</v>
      </c>
      <c r="LF66" s="2093">
        <f t="shared" si="122"/>
        <v>0</v>
      </c>
      <c r="LG66" s="2093">
        <f t="shared" si="123"/>
        <v>0</v>
      </c>
      <c r="LH66" s="2094">
        <f t="shared" si="124"/>
        <v>0</v>
      </c>
      <c r="LI66" s="2095">
        <f t="shared" si="125"/>
        <v>0</v>
      </c>
      <c r="LJ66" s="2095">
        <f t="shared" si="126"/>
        <v>0</v>
      </c>
      <c r="LK66" s="2095">
        <f t="shared" si="127"/>
        <v>0</v>
      </c>
      <c r="LL66" s="2095">
        <f t="shared" si="128"/>
        <v>0</v>
      </c>
      <c r="LM66" s="2096">
        <f t="shared" si="129"/>
        <v>0</v>
      </c>
      <c r="LN66" s="749"/>
      <c r="LO66" s="2256">
        <f t="shared" ca="1" si="130"/>
        <v>91.289574999999999</v>
      </c>
      <c r="LP66" s="2270">
        <f t="shared" ca="1" si="131"/>
        <v>91.289574999999999</v>
      </c>
      <c r="LQ66" s="2271">
        <f t="shared" ca="1" si="132"/>
        <v>91.289574999999999</v>
      </c>
      <c r="LR66" s="2271">
        <f t="shared" ca="1" si="133"/>
        <v>91.289574999999999</v>
      </c>
      <c r="LS66" s="2272">
        <f t="shared" ca="1" si="134"/>
        <v>91.289574999999999</v>
      </c>
      <c r="LT66" s="2271">
        <f t="shared" ca="1" si="135"/>
        <v>91.289574999999999</v>
      </c>
      <c r="LU66" s="2271">
        <f t="shared" ca="1" si="136"/>
        <v>91.289574999999999</v>
      </c>
      <c r="LV66" s="2271">
        <f t="shared" ca="1" si="137"/>
        <v>91.289574999999999</v>
      </c>
      <c r="LW66" s="2271">
        <f t="shared" ca="1" si="138"/>
        <v>91.289574999999999</v>
      </c>
      <c r="LX66" s="2273">
        <f t="shared" ca="1" si="139"/>
        <v>91.289574999999999</v>
      </c>
      <c r="LY66" s="479"/>
      <c r="LZ66" s="3128">
        <f t="shared" ca="1" si="173"/>
        <v>26.881310999999993</v>
      </c>
      <c r="MA66" s="3129">
        <f t="shared" ca="1" si="174"/>
        <v>26.881310999999993</v>
      </c>
      <c r="MB66" s="3129">
        <f t="shared" ca="1" si="175"/>
        <v>26.881310999999993</v>
      </c>
      <c r="MC66" s="3129">
        <f t="shared" ca="1" si="176"/>
        <v>26.881310999999993</v>
      </c>
      <c r="MD66" s="3130">
        <f t="shared" ca="1" si="177"/>
        <v>26.881310999999993</v>
      </c>
      <c r="ME66" s="3129">
        <f t="shared" ca="1" si="178"/>
        <v>26.881310999999993</v>
      </c>
      <c r="MF66" s="3129">
        <f t="shared" ca="1" si="179"/>
        <v>26.881310999999993</v>
      </c>
      <c r="MG66" s="3129">
        <f t="shared" ca="1" si="180"/>
        <v>26.881310999999993</v>
      </c>
      <c r="MH66" s="3129">
        <f t="shared" ca="1" si="181"/>
        <v>26.881310999999993</v>
      </c>
      <c r="MI66" s="3131">
        <f t="shared" ca="1" si="182"/>
        <v>26.881310999999993</v>
      </c>
      <c r="MJ66" s="3201"/>
      <c r="MK66" s="3206">
        <f t="shared" ca="1" si="183"/>
        <v>1048.3711289999997</v>
      </c>
      <c r="ML66" s="3207">
        <f t="shared" ca="1" si="184"/>
        <v>0</v>
      </c>
      <c r="MM66" s="3207">
        <f t="shared" ca="1" si="185"/>
        <v>0</v>
      </c>
      <c r="MN66" s="3207">
        <f t="shared" ca="1" si="186"/>
        <v>0</v>
      </c>
      <c r="MO66" s="3208">
        <f t="shared" ca="1" si="187"/>
        <v>0</v>
      </c>
      <c r="MP66" s="3207">
        <f t="shared" ca="1" si="188"/>
        <v>0</v>
      </c>
      <c r="MQ66" s="3207">
        <f t="shared" ca="1" si="189"/>
        <v>0</v>
      </c>
      <c r="MR66" s="3207">
        <f t="shared" ca="1" si="190"/>
        <v>0</v>
      </c>
      <c r="MS66" s="3207">
        <f t="shared" ca="1" si="191"/>
        <v>0</v>
      </c>
      <c r="MT66" s="3209">
        <f t="shared" ca="1" si="192"/>
        <v>0</v>
      </c>
      <c r="MU66" s="1983"/>
      <c r="MV66" s="1975"/>
      <c r="MW66" s="1991"/>
      <c r="MX66" s="1931" t="str">
        <f t="shared" si="142"/>
        <v>Spencer Peter</v>
      </c>
      <c r="MY66" s="749"/>
      <c r="MZ66" s="1934">
        <f t="shared" ca="1" si="143"/>
        <v>91.289574999999999</v>
      </c>
      <c r="NA66" s="1935"/>
      <c r="NB66" s="2652">
        <f t="shared" ca="1" si="144"/>
        <v>2.2138480733927155</v>
      </c>
      <c r="NC66" s="479"/>
      <c r="ND66" s="2749" t="str">
        <f t="shared" si="145"/>
        <v xml:space="preserve"> Staff (Normal)</v>
      </c>
      <c r="NE66" s="2717"/>
      <c r="NF66" s="1975"/>
      <c r="NG66" s="1975"/>
      <c r="NH66" s="1975"/>
      <c r="NI66" s="1975"/>
    </row>
    <row r="67" spans="1:373" s="192" customFormat="1" ht="15.9" customHeight="1" x14ac:dyDescent="0.3">
      <c r="A67" s="200"/>
      <c r="B67" s="200"/>
      <c r="C67" s="200"/>
      <c r="D67" s="200"/>
      <c r="E67" s="200"/>
      <c r="F67" s="200"/>
      <c r="G67" s="200"/>
      <c r="H67" s="200"/>
      <c r="I67" s="200"/>
      <c r="J67" s="200"/>
      <c r="K67" s="200"/>
      <c r="L67" s="200"/>
      <c r="M67" s="200"/>
      <c r="N67" s="200"/>
      <c r="O67" s="200"/>
      <c r="P67" s="1539"/>
      <c r="Q67" s="1539"/>
      <c r="R67" s="198"/>
      <c r="S67" s="1539"/>
      <c r="T67" s="201"/>
      <c r="U67" s="200"/>
      <c r="V67" s="201">
        <f>MATCH($IC67,'3b Activity Plan'!$DJ$171:$FH$171,0)</f>
        <v>4</v>
      </c>
      <c r="W67" s="201">
        <f>IFERROR(INDEX('3b Activity Plan'!$DJ$6:$FH$6,V67),0)</f>
        <v>0</v>
      </c>
      <c r="X67" s="1768"/>
      <c r="Y67" s="1768">
        <f>IFERROR(INDEX('3b Activity Plan'!$DJ$7:$FH$7,V67),0)</f>
        <v>0</v>
      </c>
      <c r="Z67" s="201"/>
      <c r="AA67" s="201">
        <f>IFERROR(INDEX('3b Activity Plan'!$DJ$34:$FH$34,$V67),0)</f>
        <v>0</v>
      </c>
      <c r="AB67" s="201">
        <f>IFERROR(INDEX('3b Activity Plan'!$DJ$35:$FH$35,$V67),0)</f>
        <v>0</v>
      </c>
      <c r="AC67" s="201">
        <f>IFERROR(INDEX('3b Activity Plan'!$DJ$36:$FH$36,$V67),0)</f>
        <v>0</v>
      </c>
      <c r="AD67" s="201">
        <f>IFERROR(INDEX('3b Activity Plan'!$DJ$37:$FH$37,$V67),0)</f>
        <v>0</v>
      </c>
      <c r="AE67" s="201">
        <f>IFERROR(INDEX('3b Activity Plan'!$DJ$38:$FH$38,$V67),0)</f>
        <v>0</v>
      </c>
      <c r="AF67" s="201">
        <f>IFERROR(INDEX('3b Activity Plan'!$DJ$39:$FH$39,$V67),0)</f>
        <v>0</v>
      </c>
      <c r="AG67" s="201">
        <f>IFERROR(INDEX('3b Activity Plan'!$DJ$40:$FH$40,$V67),0)</f>
        <v>0</v>
      </c>
      <c r="AH67" s="201">
        <f>IFERROR(INDEX('3b Activity Plan'!$DJ$41:$FH$41,$V67),0)</f>
        <v>0</v>
      </c>
      <c r="AI67" s="201">
        <f>IFERROR(INDEX('3b Activity Plan'!$DJ$42:$FH$42,$V67),0)</f>
        <v>0</v>
      </c>
      <c r="AJ67" s="201">
        <f>IFERROR(INDEX('3b Activity Plan'!$DJ$43:$FH$43,$V67),0)</f>
        <v>0</v>
      </c>
      <c r="AK67" s="201"/>
      <c r="AL67" s="201">
        <f>SUMIFS('3a Staff Plan'!$AR$129:$AR$305,'3a Staff Plan'!$DY$129:$DY$305,$IA67,'3a Staff Plan'!$DF$129:$DF$305,1)</f>
        <v>0</v>
      </c>
      <c r="AM67" s="1768"/>
      <c r="AN67" s="1768">
        <f>SUMIFS('3a Staff Plan'!$AR$129:$AR$305,'3a Staff Plan'!$DY$129:$DY$305,$IA67,'3a Staff Plan'!$CV$129:$CV$305,1)</f>
        <v>0</v>
      </c>
      <c r="AO67" s="201"/>
      <c r="AP67" s="201">
        <f>SUMIFS('3a Staff Plan'!$AS$129:$AS$305,'3a Staff Plan'!$DY$129:$DY$305,$IA67,'3a Staff Plan'!$DF$129:$DF$305,1)</f>
        <v>0</v>
      </c>
      <c r="AQ67" s="201">
        <f>SUMIFS('3a Staff Plan'!$AT$129:$AT$305,'3a Staff Plan'!$DY$129:$DY$305,$IA67,'3a Staff Plan'!$DF$129:$DF$305,1)</f>
        <v>0</v>
      </c>
      <c r="AR67" s="201">
        <f>SUMIFS('3a Staff Plan'!$AU$129:$AU$305,'3a Staff Plan'!$DY$129:$DY$305,$IA67,'3a Staff Plan'!$DF$129:$DF$305,1)</f>
        <v>0</v>
      </c>
      <c r="AS67" s="201">
        <f>SUMIFS('3a Staff Plan'!$AV$129:$AV$305,'3a Staff Plan'!$DY$129:$DY$305,$IA67,'3a Staff Plan'!$DF$129:$DF$305,1)</f>
        <v>0</v>
      </c>
      <c r="AT67" s="201">
        <f>SUMIFS('3a Staff Plan'!$AW$129:$AW$305,'3a Staff Plan'!$DY$129:$DY$305,$IA67,'3a Staff Plan'!$DF$129:$DF$305,1)</f>
        <v>0</v>
      </c>
      <c r="AU67" s="201">
        <f>SUMIFS('3a Staff Plan'!$AX$129:$AX$305,'3a Staff Plan'!$DY$129:$DY$305,$IA67,'3a Staff Plan'!$DF$129:$DF$305,1)</f>
        <v>0</v>
      </c>
      <c r="AV67" s="201">
        <f>SUMIFS('3a Staff Plan'!$AY$129:$AY$305,'3a Staff Plan'!$DY$129:$DY$305,$IA67,'3a Staff Plan'!$DF$129:$DF$305,1)</f>
        <v>0</v>
      </c>
      <c r="AW67" s="201">
        <f>SUMIFS('3a Staff Plan'!$AZ$129:$AZ$305,'3a Staff Plan'!$DY$129:$DY$305,$IA67,'3a Staff Plan'!$DF$129:$DF$305,1)</f>
        <v>0</v>
      </c>
      <c r="AX67" s="201">
        <f>SUMIFS('3a Staff Plan'!$BA$129:$BA$305,'3a Staff Plan'!$DY$129:$DY$305,$IA67,'3a Staff Plan'!$DF$129:$DF$305,1)</f>
        <v>0</v>
      </c>
      <c r="AY67" s="201">
        <f>SUMIFS('3a Staff Plan'!$BB$129:$BB$305,'3a Staff Plan'!$DY$129:$DY$305,$IA67,'3a Staff Plan'!$DF$129:$DF$305,1)</f>
        <v>0</v>
      </c>
      <c r="AZ67" s="201"/>
      <c r="BA67" s="201">
        <f t="shared" si="33"/>
        <v>0</v>
      </c>
      <c r="BB67" s="1768"/>
      <c r="BC67" s="1768">
        <f t="shared" si="33"/>
        <v>0</v>
      </c>
      <c r="BD67" s="201"/>
      <c r="BE67" s="201">
        <f t="shared" si="34"/>
        <v>0</v>
      </c>
      <c r="BF67" s="201">
        <f t="shared" si="34"/>
        <v>0</v>
      </c>
      <c r="BG67" s="201">
        <f t="shared" si="34"/>
        <v>0</v>
      </c>
      <c r="BH67" s="201">
        <f t="shared" si="34"/>
        <v>0</v>
      </c>
      <c r="BI67" s="201">
        <f t="shared" si="34"/>
        <v>0</v>
      </c>
      <c r="BJ67" s="201">
        <f t="shared" si="34"/>
        <v>0</v>
      </c>
      <c r="BK67" s="201">
        <f t="shared" si="34"/>
        <v>0</v>
      </c>
      <c r="BL67" s="201">
        <f t="shared" si="34"/>
        <v>0</v>
      </c>
      <c r="BM67" s="201">
        <f t="shared" si="34"/>
        <v>0</v>
      </c>
      <c r="BN67" s="201">
        <f t="shared" si="34"/>
        <v>0</v>
      </c>
      <c r="BO67" s="201"/>
      <c r="BP67" s="1818">
        <f t="shared" si="146"/>
        <v>4</v>
      </c>
      <c r="BQ67" s="1818">
        <f>IFERROR(INDEX('3b Activity Plan'!$DJ$15:$FH$15,BP67),0)</f>
        <v>0</v>
      </c>
      <c r="BR67" s="1768"/>
      <c r="BS67" s="1768">
        <f>IFERROR(INDEX('3b Activity Plan'!$DJ$16:$FH$16,BP67),0)</f>
        <v>0</v>
      </c>
      <c r="BT67" s="201"/>
      <c r="BU67" s="201">
        <f>IFERROR(INDEX('3b Activity Plan'!$DJ$67:$FH$67,$V67),0)</f>
        <v>0</v>
      </c>
      <c r="BV67" s="201">
        <f>IFERROR(INDEX('3b Activity Plan'!$DJ$68:$FH$68,$V67),0)</f>
        <v>0</v>
      </c>
      <c r="BW67" s="201">
        <f>IFERROR(INDEX('3b Activity Plan'!$DJ$69:$FH$69,$V67),0)</f>
        <v>0</v>
      </c>
      <c r="BX67" s="201">
        <f>IFERROR(INDEX('3b Activity Plan'!$DJ$70:$FH$70,$V67),0)</f>
        <v>0</v>
      </c>
      <c r="BY67" s="201">
        <f>IFERROR(INDEX('3b Activity Plan'!$DJ$71:$FH$71,$V67),0)</f>
        <v>0</v>
      </c>
      <c r="BZ67" s="201">
        <f>IFERROR(INDEX('3b Activity Plan'!$DJ$72:$FH$72,$V67),0)</f>
        <v>0</v>
      </c>
      <c r="CA67" s="201">
        <f>IFERROR(INDEX('3b Activity Plan'!$DJ$73:$FH$73,$V67),0)</f>
        <v>0</v>
      </c>
      <c r="CB67" s="201">
        <f>IFERROR(INDEX('3b Activity Plan'!$DJ$74:$FH$74,$V67),0)</f>
        <v>0</v>
      </c>
      <c r="CC67" s="201">
        <f>IFERROR(INDEX('3b Activity Plan'!$DJ$75:$FH$75,$V67),0)</f>
        <v>0</v>
      </c>
      <c r="CD67" s="201">
        <f>IFERROR(INDEX('3b Activity Plan'!$DJ$76:$FH$76,$V67),0)</f>
        <v>0</v>
      </c>
      <c r="CE67" s="201"/>
      <c r="CF67" s="1818">
        <f>SUMIFS('3a Staff Plan'!$AR$129:$AR$305,'3a Staff Plan'!$DY$129:$DY$305,$IA67,'3a Staff Plan'!$AG$129:$AG$305,1,'3a Staff Plan'!$DF$129:$DF$305,1)</f>
        <v>0</v>
      </c>
      <c r="CG67" s="1768">
        <f>SUMIFS('3a Staff Plan'!$AR$129:$AR$305,'3a Staff Plan'!$DY$129:$DY$305,$IA67,'3a Staff Plan'!$AG$129:$AG$305,1,'3a Staff Plan'!$CX$129:$CX$305,1)</f>
        <v>0</v>
      </c>
      <c r="CH67" s="1768">
        <f>SUMIFS('3a Staff Plan'!$AR$129:$AR$305,'3a Staff Plan'!$DY$129:$DY$305,$IA67,'3a Staff Plan'!$AG$129:$AG$305,1,'3a Staff Plan'!$CV$129:$CV$305,1)</f>
        <v>0</v>
      </c>
      <c r="CI67" s="201"/>
      <c r="CJ67" s="201">
        <f>SUMIFS('3a Staff Plan'!$BX$129:$BX$305,'3a Staff Plan'!$DY$129:$DY$305,$IA67,'3a Staff Plan'!$DF$129:$DF$305,1,'3a Staff Plan'!$AG$129:$AG$305,1)</f>
        <v>0</v>
      </c>
      <c r="CK67" s="201">
        <f>SUMIFS('3a Staff Plan'!$BY$129:$BY$305,'3a Staff Plan'!$DY$129:$DY$305,$IA67,'3a Staff Plan'!$DF$129:$DF$305,1,'3a Staff Plan'!$AG$129:$AG$305,1)</f>
        <v>0</v>
      </c>
      <c r="CL67" s="201">
        <f>SUMIFS('3a Staff Plan'!$BZ$129:$BZ$305,'3a Staff Plan'!$DY$129:$DY$305,$IA67,'3a Staff Plan'!$DF$129:$DF$305,1,'3a Staff Plan'!$AG$129:$AG$305,1)</f>
        <v>0</v>
      </c>
      <c r="CM67" s="201">
        <f>SUMIFS('3a Staff Plan'!$CA$129:$CA$305,'3a Staff Plan'!$DY$129:$DY$305,$IA67,'3a Staff Plan'!$DF$129:$DF$305,1,'3a Staff Plan'!$AG$129:$AG$305,1)</f>
        <v>0</v>
      </c>
      <c r="CN67" s="201">
        <f>SUMIFS('3a Staff Plan'!$CB$129:$CB$305,'3a Staff Plan'!$DY$129:$DY$305,$IA67,'3a Staff Plan'!$DF$129:$DF$305,1,'3a Staff Plan'!$AG$129:$AG$305,1)</f>
        <v>0</v>
      </c>
      <c r="CO67" s="201">
        <f>SUMIFS('3a Staff Plan'!$CC$129:$CC$305,'3a Staff Plan'!$DY$129:$DY$305,$IA67,'3a Staff Plan'!$DF$129:$DF$305,1,'3a Staff Plan'!$AG$129:$AG$305,1)</f>
        <v>0</v>
      </c>
      <c r="CP67" s="201">
        <f>SUMIFS('3a Staff Plan'!$CD$129:$CD$305,'3a Staff Plan'!$DY$129:$DY$305,$IA67,'3a Staff Plan'!$DF$129:$DF$305,1,'3a Staff Plan'!$AG$129:$AG$305,1)</f>
        <v>0</v>
      </c>
      <c r="CQ67" s="201">
        <f>SUMIFS('3a Staff Plan'!$CE$129:$CE$305,'3a Staff Plan'!$DY$129:$DY$305,$IA67,'3a Staff Plan'!$DF$129:$DF$305,1,'3a Staff Plan'!$AG$129:$AG$305,1)</f>
        <v>0</v>
      </c>
      <c r="CR67" s="201">
        <f>SUMIFS('3a Staff Plan'!$CF$129:$CF$305,'3a Staff Plan'!$DY$129:$DY$305,$IA67,'3a Staff Plan'!$DF$129:$DF$305,1,'3a Staff Plan'!$AG$129:$AG$305,1)</f>
        <v>0</v>
      </c>
      <c r="CS67" s="201">
        <f>SUMIFS('3a Staff Plan'!$CG$129:$CG$305,'3a Staff Plan'!$DY$129:$DY$305,$IA67,'3a Staff Plan'!$DF$129:$DF$305,1,'3a Staff Plan'!$AG$129:$AG$305,1)</f>
        <v>0</v>
      </c>
      <c r="CT67" s="201"/>
      <c r="CU67" s="1818">
        <f t="shared" si="35"/>
        <v>0</v>
      </c>
      <c r="CV67" s="1768"/>
      <c r="CW67" s="1768">
        <f t="shared" si="35"/>
        <v>0</v>
      </c>
      <c r="CX67" s="201"/>
      <c r="CY67" s="201">
        <f t="shared" si="36"/>
        <v>0</v>
      </c>
      <c r="CZ67" s="201">
        <f t="shared" si="36"/>
        <v>0</v>
      </c>
      <c r="DA67" s="201">
        <f t="shared" si="36"/>
        <v>0</v>
      </c>
      <c r="DB67" s="201">
        <f t="shared" si="36"/>
        <v>0</v>
      </c>
      <c r="DC67" s="201">
        <f t="shared" si="36"/>
        <v>0</v>
      </c>
      <c r="DD67" s="201">
        <f t="shared" si="36"/>
        <v>0</v>
      </c>
      <c r="DE67" s="201">
        <f t="shared" si="36"/>
        <v>0</v>
      </c>
      <c r="DF67" s="201">
        <f t="shared" si="36"/>
        <v>0</v>
      </c>
      <c r="DG67" s="201">
        <f t="shared" si="36"/>
        <v>0</v>
      </c>
      <c r="DH67" s="201">
        <f t="shared" si="36"/>
        <v>0</v>
      </c>
      <c r="DI67" s="201"/>
      <c r="DJ67" s="201"/>
      <c r="DK67" s="201"/>
      <c r="DL67" s="201"/>
      <c r="DM67" s="372">
        <f t="shared" si="37"/>
        <v>0</v>
      </c>
      <c r="DN67" s="1185">
        <f t="shared" si="38"/>
        <v>0</v>
      </c>
      <c r="DO67" s="1185">
        <f t="shared" si="39"/>
        <v>0</v>
      </c>
      <c r="DP67" s="201"/>
      <c r="DQ67" s="372">
        <f t="shared" si="40"/>
        <v>0</v>
      </c>
      <c r="DR67" s="1185">
        <f t="shared" si="41"/>
        <v>0</v>
      </c>
      <c r="DS67" s="1185">
        <f t="shared" si="42"/>
        <v>0</v>
      </c>
      <c r="DT67" s="201"/>
      <c r="DU67" s="372">
        <f t="shared" si="43"/>
        <v>0</v>
      </c>
      <c r="DV67" s="372">
        <f t="shared" si="43"/>
        <v>0</v>
      </c>
      <c r="DW67" s="372">
        <f t="shared" si="43"/>
        <v>0</v>
      </c>
      <c r="DX67" s="201"/>
      <c r="DY67" s="372">
        <f t="shared" si="44"/>
        <v>0</v>
      </c>
      <c r="DZ67" s="372">
        <f t="shared" si="45"/>
        <v>0</v>
      </c>
      <c r="EA67" s="201"/>
      <c r="EB67" s="2776">
        <f>IF(EO67=$EO$53,1,IFERROR(INDEX('Currency Data'!$L$8:$L$41,MATCH(EO67,'Currency Data'!$H$8:$H$41,0)),1))</f>
        <v>1</v>
      </c>
      <c r="EC67" s="2776">
        <f t="shared" si="147"/>
        <v>1</v>
      </c>
      <c r="ED67" s="428">
        <f>IF(GQ67=1,'1 Setup'!$T$68,IF(ISBLANK(IJ67),II67/EC67*IF(GL67=1,$ED$53,1),IJ67/EC67)*IF($EW67=7,JW67,1))</f>
        <v>23</v>
      </c>
      <c r="EE67" s="428">
        <f t="shared" si="46"/>
        <v>23</v>
      </c>
      <c r="EF67" s="428"/>
      <c r="EG67" s="1965" t="str">
        <f t="shared" si="148"/>
        <v>GID (Std Rate)</v>
      </c>
      <c r="EH67" s="201">
        <f t="shared" si="149"/>
        <v>0</v>
      </c>
      <c r="EI67" s="445" t="str">
        <f>IF(EH67=1,$EI$53,IF(GQ67=1,$GQ$55,IFERROR(IF($EG67=$EG$53,$EI$53,INDEX('PU List'!$G$6:$G$413,MATCH($EG67,'PU List'!$D$6:$D$413,0))),$EI$53)))</f>
        <v>GID (Std Rate)</v>
      </c>
      <c r="EJ67" s="2773" t="str">
        <f t="shared" si="150"/>
        <v>GID (Std Rate)</v>
      </c>
      <c r="EK67" s="1768"/>
      <c r="EL67" s="3283">
        <f>IF(OR(EW67&gt;7,$EL$53=0),0,IF(EJ67=$EI$53,$EL$53,IFERROR(INDEX('Fringe Data'!$U$8:$U$129,MATCH($EJ67,'Fringe Data'!$F$8:$F$129,0)),0)))</f>
        <v>0</v>
      </c>
      <c r="EM67" s="372">
        <f t="shared" si="47"/>
        <v>0</v>
      </c>
      <c r="EN67" s="201" t="str">
        <f>IFERROR(INDEX('Fringe Data'!$G$8:$G$64,MATCH($EJ67,'Fringe Data'!$F$8:$F$64,0)),$EO$53)</f>
        <v>GBP</v>
      </c>
      <c r="EO67" s="201" t="str">
        <f t="shared" si="151"/>
        <v>GBP</v>
      </c>
      <c r="EP67" s="201">
        <f>IF(EI67=$EI$53,$EP$49,IF(GP67=1,0,IFERROR(INDEX('Fringe Data'!$K$8:$K$64,MATCH($EI67,'Fringe Data'!$F$8:$F$64,0)),0)))</f>
        <v>0</v>
      </c>
      <c r="EQ67" s="201">
        <f>IF(EI67=$EI$53,$EQ$49,IF(GP67=1,0,IFERROR(INDEX('Fringe Data'!$L$8:$L$64,MATCH($EI67,'Fringe Data'!$F$8:$F$64,0)),0)))</f>
        <v>0</v>
      </c>
      <c r="ER67" s="201">
        <f>IF(EI67=$EI$53,$ER$49,IF(GP67=1,0,IFERROR(INDEX('Fringe Data'!$M$8:$M$64,MATCH($EI67,'Fringe Data'!$F$8:$F$64,0)),0)))</f>
        <v>0</v>
      </c>
      <c r="ES67" s="201">
        <f>IF(EI67=$EI$53,$ES$49,IF(GP67=1,0,IFERROR(INDEX('Fringe Data'!$N$8:$N$64,MATCH($EI67,'Fringe Data'!$F$8:$F$64,0)),0)))</f>
        <v>0</v>
      </c>
      <c r="ET67" s="201">
        <f>IF(EI67=$EI$53,$ET$49,IF(GP67=1,0,IFERROR(INDEX('Fringe Data'!$O$8:$O$64,MATCH($EI67,'Fringe Data'!$F$8:$F$64,0)),0)))</f>
        <v>0</v>
      </c>
      <c r="EU67" s="263">
        <f>IF(EI67=$EI$53,$EU$49,IF(GP67=1,0,IFERROR(INDEX('Fringe Data'!$P$8:$P$64,MATCH($EI67,'Fringe Data'!$F$8:$F$64,0)),0)))</f>
        <v>0</v>
      </c>
      <c r="EV67" s="201"/>
      <c r="EW67" s="1530">
        <f t="shared" si="48"/>
        <v>8</v>
      </c>
      <c r="EX67" s="1534">
        <f t="shared" si="152"/>
        <v>0</v>
      </c>
      <c r="EY67" s="321">
        <f t="shared" si="153"/>
        <v>0</v>
      </c>
      <c r="EZ67" s="201">
        <f t="shared" si="154"/>
        <v>23</v>
      </c>
      <c r="FA67" s="372">
        <f t="shared" si="49"/>
        <v>0</v>
      </c>
      <c r="FB67" s="372">
        <f t="shared" si="50"/>
        <v>0</v>
      </c>
      <c r="FC67" s="201">
        <f t="shared" si="155"/>
        <v>0</v>
      </c>
      <c r="FD67" s="423">
        <f t="shared" si="51"/>
        <v>0</v>
      </c>
      <c r="FE67" s="423">
        <f t="shared" si="52"/>
        <v>0</v>
      </c>
      <c r="FF67" s="201">
        <f t="shared" si="156"/>
        <v>0</v>
      </c>
      <c r="FG67" s="425">
        <f>IF(OR($FJ$52=3,$FJ$52=4,$FJ$52=5),'1 Setup'!$W$96,0)</f>
        <v>0</v>
      </c>
      <c r="FH67" s="428">
        <f>IF($FJ$52=5,'1 Setup'!$W$98,IF($FJ$52=6,'1 Setup'!$S$86,0))</f>
        <v>0</v>
      </c>
      <c r="FI67" s="321">
        <f t="shared" ca="1" si="53"/>
        <v>45.24</v>
      </c>
      <c r="FJ67" s="263">
        <f t="shared" ca="1" si="157"/>
        <v>45.579300000000003</v>
      </c>
      <c r="FK67" s="372">
        <f t="shared" ca="1" si="54"/>
        <v>0</v>
      </c>
      <c r="FL67" s="372">
        <f t="shared" si="55"/>
        <v>0</v>
      </c>
      <c r="FM67" s="372">
        <f t="shared" si="56"/>
        <v>0</v>
      </c>
      <c r="FN67" s="2036">
        <f t="shared" ca="1" si="57"/>
        <v>45.579300000000003</v>
      </c>
      <c r="FO67" s="372">
        <f t="shared" ca="1" si="58"/>
        <v>0</v>
      </c>
      <c r="FP67" s="2723">
        <f t="shared" si="158"/>
        <v>0</v>
      </c>
      <c r="FQ67" s="372">
        <f t="shared" si="59"/>
        <v>1</v>
      </c>
      <c r="FR67" s="2671">
        <f t="shared" si="159"/>
        <v>0</v>
      </c>
      <c r="FS67" s="1168"/>
      <c r="FT67" s="1168">
        <f t="shared" si="60"/>
        <v>23</v>
      </c>
      <c r="FU67" s="1168">
        <f t="shared" si="61"/>
        <v>23</v>
      </c>
      <c r="FV67" s="1168">
        <f t="shared" si="62"/>
        <v>23</v>
      </c>
      <c r="FW67" s="1168">
        <f t="shared" si="63"/>
        <v>23</v>
      </c>
      <c r="FX67" s="1168">
        <f t="shared" si="64"/>
        <v>23</v>
      </c>
      <c r="FY67" s="1168">
        <f t="shared" si="65"/>
        <v>23</v>
      </c>
      <c r="FZ67" s="1168">
        <f t="shared" si="66"/>
        <v>23</v>
      </c>
      <c r="GA67" s="1168">
        <f t="shared" si="67"/>
        <v>23</v>
      </c>
      <c r="GB67" s="1168">
        <f t="shared" si="68"/>
        <v>23</v>
      </c>
      <c r="GC67" s="1168">
        <f t="shared" si="69"/>
        <v>23</v>
      </c>
      <c r="GD67" s="1168"/>
      <c r="GE67" s="199"/>
      <c r="GF67" s="201">
        <f t="shared" si="70"/>
        <v>1</v>
      </c>
      <c r="GG67" s="201">
        <f t="shared" si="71"/>
        <v>0</v>
      </c>
      <c r="GH67" s="201">
        <f t="shared" si="72"/>
        <v>0</v>
      </c>
      <c r="GI67" s="201">
        <f t="shared" si="160"/>
        <v>0</v>
      </c>
      <c r="GJ67" s="201">
        <f t="shared" si="73"/>
        <v>0</v>
      </c>
      <c r="GK67" s="201">
        <f t="shared" si="74"/>
        <v>0</v>
      </c>
      <c r="GL67" s="201">
        <f t="shared" si="75"/>
        <v>0</v>
      </c>
      <c r="GM67" s="201">
        <f t="shared" si="76"/>
        <v>0</v>
      </c>
      <c r="GN67" s="201"/>
      <c r="GO67" s="201"/>
      <c r="GP67" s="201">
        <f t="shared" si="77"/>
        <v>1</v>
      </c>
      <c r="GQ67" s="201">
        <f t="shared" si="78"/>
        <v>1</v>
      </c>
      <c r="GR67" s="201">
        <f t="shared" si="161"/>
        <v>0</v>
      </c>
      <c r="GS67" s="1768"/>
      <c r="GT67" s="201">
        <f t="shared" si="79"/>
        <v>0</v>
      </c>
      <c r="GU67" s="201">
        <f t="shared" si="193"/>
        <v>4</v>
      </c>
      <c r="GV67" s="201">
        <f t="shared" si="80"/>
        <v>4</v>
      </c>
      <c r="GW67" s="201">
        <f t="shared" si="81"/>
        <v>3</v>
      </c>
      <c r="GX67" s="201">
        <f t="shared" si="162"/>
        <v>0</v>
      </c>
      <c r="GY67" s="1998"/>
      <c r="GZ67" s="253"/>
      <c r="HA67" s="195" t="str">
        <f t="shared" si="163"/>
        <v>Mhatre, Rajesh Ramchandra</v>
      </c>
      <c r="HB67" s="3558" t="str">
        <f t="shared" si="82"/>
        <v>GDC PC Support</v>
      </c>
      <c r="HC67" s="3590"/>
      <c r="HD67" s="257" t="str">
        <f t="shared" si="83"/>
        <v>IWA</v>
      </c>
      <c r="HE67" s="825">
        <f t="shared" si="84"/>
        <v>0</v>
      </c>
      <c r="HF67" s="506" t="s">
        <v>5</v>
      </c>
      <c r="HG67" s="508">
        <f t="shared" si="85"/>
        <v>0</v>
      </c>
      <c r="HH67" s="3585">
        <f t="shared" si="86"/>
        <v>0</v>
      </c>
      <c r="HI67" s="3586"/>
      <c r="HJ67" s="504">
        <f t="shared" si="87"/>
        <v>0</v>
      </c>
      <c r="HK67" s="456">
        <f t="shared" si="88"/>
        <v>0</v>
      </c>
      <c r="HL67" s="3591">
        <f t="shared" si="89"/>
        <v>0</v>
      </c>
      <c r="HM67" s="3592"/>
      <c r="HN67" s="240"/>
      <c r="HO67" s="1998"/>
      <c r="HP67" s="1991"/>
      <c r="HQ67" s="2770" t="str">
        <f t="shared" si="90"/>
        <v>GID (Std Rate)</v>
      </c>
      <c r="HR67" s="2770" t="str">
        <f t="shared" si="91"/>
        <v>GBP</v>
      </c>
      <c r="HS67" s="2771">
        <f t="shared" si="92"/>
        <v>1</v>
      </c>
      <c r="HT67" s="3623"/>
      <c r="HU67" s="2771">
        <f t="shared" si="93"/>
        <v>0</v>
      </c>
      <c r="HW67" s="1218"/>
      <c r="HX67" s="520"/>
      <c r="HY67" s="2523"/>
      <c r="HZ67" s="194" t="s">
        <v>4355</v>
      </c>
      <c r="IA67" s="1013" t="s">
        <v>4356</v>
      </c>
      <c r="IB67" s="193"/>
      <c r="IC67" s="3276">
        <v>4</v>
      </c>
      <c r="ID67" s="986"/>
      <c r="IE67" s="938">
        <f t="shared" si="164"/>
        <v>0</v>
      </c>
      <c r="IF67" s="938">
        <f t="shared" si="165"/>
        <v>0</v>
      </c>
      <c r="IG67" s="432"/>
      <c r="II67" s="405"/>
      <c r="IJ67" s="239">
        <v>23.57</v>
      </c>
      <c r="IK67" s="2774" t="str">
        <f t="shared" si="166"/>
        <v>GBP</v>
      </c>
      <c r="IL67" s="2148"/>
      <c r="IM67" s="1936">
        <f t="shared" si="94"/>
        <v>23</v>
      </c>
      <c r="IO67" s="1959" t="str">
        <f t="shared" si="95"/>
        <v xml:space="preserve"> Staff with Allowance</v>
      </c>
      <c r="IP67" s="1958" t="s">
        <v>4129</v>
      </c>
      <c r="IQ67" s="543">
        <f t="shared" si="96"/>
        <v>0</v>
      </c>
      <c r="IR67" s="1936">
        <f t="shared" si="97"/>
        <v>23</v>
      </c>
      <c r="IS67" s="1800"/>
      <c r="IT67" s="1364"/>
      <c r="IU67" s="210">
        <v>44.405940594059409</v>
      </c>
      <c r="IV67" s="218"/>
      <c r="IW67" s="1938">
        <f>IF(NOT(ISBLANK(IU67)),IU67,IF('1 Setup'!$G$8&lt;7,JK67,FJ67))+KA67</f>
        <v>44.405940594059409</v>
      </c>
      <c r="IX67" s="409" t="str">
        <f t="shared" si="98"/>
        <v>Mhatre, Rajesh Ramchandra</v>
      </c>
      <c r="IY67" s="408" t="str">
        <f t="shared" si="99"/>
        <v>GDC PC Support</v>
      </c>
      <c r="IZ67" s="1983"/>
      <c r="JA67" s="1994"/>
      <c r="JB67" s="1991"/>
      <c r="JD67" s="2029" t="str">
        <f t="shared" si="167"/>
        <v>Mhatre, Rajesh Ramchandra</v>
      </c>
      <c r="JE67" s="479"/>
      <c r="JF67" s="2025">
        <f t="shared" si="100"/>
        <v>0</v>
      </c>
      <c r="JG67" s="429">
        <f t="shared" si="101"/>
        <v>0</v>
      </c>
      <c r="JH67" s="1667">
        <f t="shared" si="102"/>
        <v>0</v>
      </c>
      <c r="JJ67" s="1163">
        <f t="shared" ca="1" si="103"/>
        <v>45.579300000000003</v>
      </c>
      <c r="JK67" s="1163">
        <f t="shared" ca="1" si="104"/>
        <v>45.579300000000003</v>
      </c>
      <c r="JL67" s="1795"/>
      <c r="JN67" s="2505"/>
      <c r="JO67" s="1161"/>
      <c r="JP67" s="571">
        <f t="shared" ca="1" si="105"/>
        <v>45.24</v>
      </c>
      <c r="JQ67" s="2506" t="s">
        <v>4330</v>
      </c>
      <c r="JR67" s="1953"/>
      <c r="JS67" s="2650"/>
      <c r="JT67" s="2507"/>
      <c r="JU67" s="1964">
        <f t="shared" si="106"/>
        <v>0</v>
      </c>
      <c r="JV67" s="3199"/>
      <c r="JW67" s="2649">
        <f t="shared" si="107"/>
        <v>1.5</v>
      </c>
      <c r="JX67" s="1964">
        <f t="shared" si="168"/>
        <v>0</v>
      </c>
      <c r="JY67" s="3199"/>
      <c r="JZ67" s="2649">
        <f t="shared" si="169"/>
        <v>0</v>
      </c>
      <c r="KA67" s="2649">
        <f t="shared" si="170"/>
        <v>0</v>
      </c>
      <c r="KB67" s="2649" t="s">
        <v>111</v>
      </c>
      <c r="KC67" s="1983"/>
      <c r="KD67" s="1974"/>
      <c r="KE67" s="1991"/>
      <c r="KF67" s="2029" t="str">
        <f t="shared" si="171"/>
        <v>Mhatre, Rajesh Ramchandra</v>
      </c>
      <c r="KG67" s="1991"/>
      <c r="KH67" s="2121">
        <f t="shared" si="108"/>
        <v>0</v>
      </c>
      <c r="KI67" s="2130">
        <f t="shared" si="109"/>
        <v>0</v>
      </c>
      <c r="KJ67" s="2130">
        <f t="shared" si="110"/>
        <v>0</v>
      </c>
      <c r="KK67" s="2130">
        <f t="shared" si="111"/>
        <v>0</v>
      </c>
      <c r="KL67" s="2131">
        <f t="shared" si="112"/>
        <v>0</v>
      </c>
      <c r="KM67" s="2132">
        <f t="shared" si="113"/>
        <v>0</v>
      </c>
      <c r="KN67" s="2132">
        <f t="shared" si="114"/>
        <v>0</v>
      </c>
      <c r="KO67" s="2132">
        <f t="shared" si="115"/>
        <v>0</v>
      </c>
      <c r="KP67" s="2132">
        <f t="shared" si="116"/>
        <v>0</v>
      </c>
      <c r="KQ67" s="2133">
        <f t="shared" si="117"/>
        <v>0</v>
      </c>
      <c r="KS67" s="2253">
        <f t="shared" si="118"/>
        <v>23</v>
      </c>
      <c r="KT67" s="2270">
        <f t="shared" ref="KT67:LB67" si="195">KS67*(1+(KT$60))</f>
        <v>23</v>
      </c>
      <c r="KU67" s="2271">
        <f t="shared" si="195"/>
        <v>23</v>
      </c>
      <c r="KV67" s="2271">
        <f t="shared" si="195"/>
        <v>23</v>
      </c>
      <c r="KW67" s="2272">
        <f t="shared" si="195"/>
        <v>23</v>
      </c>
      <c r="KX67" s="2271">
        <f t="shared" si="195"/>
        <v>23</v>
      </c>
      <c r="KY67" s="2271">
        <f t="shared" si="195"/>
        <v>23</v>
      </c>
      <c r="KZ67" s="2271">
        <f t="shared" si="195"/>
        <v>23</v>
      </c>
      <c r="LA67" s="2271">
        <f t="shared" si="195"/>
        <v>23</v>
      </c>
      <c r="LB67" s="2273">
        <f t="shared" si="195"/>
        <v>23</v>
      </c>
      <c r="LC67" s="272"/>
      <c r="LD67" s="2124">
        <f t="shared" si="120"/>
        <v>0</v>
      </c>
      <c r="LE67" s="2093">
        <f t="shared" si="121"/>
        <v>0</v>
      </c>
      <c r="LF67" s="2093">
        <f t="shared" si="122"/>
        <v>0</v>
      </c>
      <c r="LG67" s="2093">
        <f t="shared" si="123"/>
        <v>0</v>
      </c>
      <c r="LH67" s="2094">
        <f t="shared" si="124"/>
        <v>0</v>
      </c>
      <c r="LI67" s="2095">
        <f t="shared" si="125"/>
        <v>0</v>
      </c>
      <c r="LJ67" s="2095">
        <f t="shared" si="126"/>
        <v>0</v>
      </c>
      <c r="LK67" s="2095">
        <f t="shared" si="127"/>
        <v>0</v>
      </c>
      <c r="LL67" s="2095">
        <f t="shared" si="128"/>
        <v>0</v>
      </c>
      <c r="LM67" s="2096">
        <f t="shared" si="129"/>
        <v>0</v>
      </c>
      <c r="LN67" s="749"/>
      <c r="LO67" s="2256">
        <f t="shared" si="130"/>
        <v>44.405940594059409</v>
      </c>
      <c r="LP67" s="2270">
        <f t="shared" si="131"/>
        <v>44.405940594059409</v>
      </c>
      <c r="LQ67" s="2271">
        <f t="shared" si="132"/>
        <v>44.405940594059409</v>
      </c>
      <c r="LR67" s="2271">
        <f t="shared" si="133"/>
        <v>44.405940594059409</v>
      </c>
      <c r="LS67" s="2272">
        <f t="shared" si="134"/>
        <v>44.405940594059409</v>
      </c>
      <c r="LT67" s="2271">
        <f t="shared" si="135"/>
        <v>44.405940594059409</v>
      </c>
      <c r="LU67" s="2271">
        <f t="shared" si="136"/>
        <v>44.405940594059409</v>
      </c>
      <c r="LV67" s="2271">
        <f t="shared" si="137"/>
        <v>44.405940594059409</v>
      </c>
      <c r="LW67" s="2271">
        <f t="shared" si="138"/>
        <v>44.405940594059409</v>
      </c>
      <c r="LX67" s="2273">
        <f t="shared" si="139"/>
        <v>44.405940594059409</v>
      </c>
      <c r="LY67" s="479"/>
      <c r="LZ67" s="3128">
        <f t="shared" si="173"/>
        <v>21.405940594059409</v>
      </c>
      <c r="MA67" s="3129">
        <f t="shared" si="174"/>
        <v>21.405940594059409</v>
      </c>
      <c r="MB67" s="3129">
        <f t="shared" si="175"/>
        <v>21.405940594059409</v>
      </c>
      <c r="MC67" s="3129">
        <f t="shared" si="176"/>
        <v>21.405940594059409</v>
      </c>
      <c r="MD67" s="3130">
        <f t="shared" si="177"/>
        <v>21.405940594059409</v>
      </c>
      <c r="ME67" s="3129">
        <f t="shared" si="178"/>
        <v>21.405940594059409</v>
      </c>
      <c r="MF67" s="3129">
        <f t="shared" si="179"/>
        <v>21.405940594059409</v>
      </c>
      <c r="MG67" s="3129">
        <f t="shared" si="180"/>
        <v>21.405940594059409</v>
      </c>
      <c r="MH67" s="3129">
        <f t="shared" si="181"/>
        <v>21.405940594059409</v>
      </c>
      <c r="MI67" s="3131">
        <f t="shared" si="182"/>
        <v>21.405940594059409</v>
      </c>
      <c r="MJ67" s="3201"/>
      <c r="MK67" s="3206">
        <f t="shared" si="183"/>
        <v>0</v>
      </c>
      <c r="ML67" s="3207">
        <f t="shared" si="184"/>
        <v>0</v>
      </c>
      <c r="MM67" s="3207">
        <f t="shared" si="185"/>
        <v>0</v>
      </c>
      <c r="MN67" s="3207">
        <f t="shared" si="186"/>
        <v>0</v>
      </c>
      <c r="MO67" s="3208">
        <f t="shared" si="187"/>
        <v>0</v>
      </c>
      <c r="MP67" s="3207">
        <f t="shared" si="188"/>
        <v>0</v>
      </c>
      <c r="MQ67" s="3207">
        <f t="shared" si="189"/>
        <v>0</v>
      </c>
      <c r="MR67" s="3207">
        <f t="shared" si="190"/>
        <v>0</v>
      </c>
      <c r="MS67" s="3207">
        <f t="shared" si="191"/>
        <v>0</v>
      </c>
      <c r="MT67" s="3209">
        <f t="shared" si="192"/>
        <v>0</v>
      </c>
      <c r="MU67" s="1983"/>
      <c r="MV67" s="1975"/>
      <c r="MW67" s="1991"/>
      <c r="MX67" s="1931" t="str">
        <f t="shared" si="142"/>
        <v>Mhatre, Rajesh Ramchandra</v>
      </c>
      <c r="MY67" s="749"/>
      <c r="MZ67" s="1934">
        <f t="shared" si="143"/>
        <v>44.405940594059409</v>
      </c>
      <c r="NA67" s="1935"/>
      <c r="NB67" s="2652">
        <f t="shared" si="144"/>
        <v>1.9306930693069309</v>
      </c>
      <c r="NC67" s="479"/>
      <c r="ND67" s="2749" t="str">
        <f t="shared" si="145"/>
        <v>GID (Std Rate)</v>
      </c>
      <c r="NE67" s="2717"/>
      <c r="NF67" s="1975"/>
      <c r="NG67" s="1975"/>
      <c r="NH67" s="1975"/>
      <c r="NI67" s="1975"/>
    </row>
    <row r="68" spans="1:373" s="192" customFormat="1" ht="15.9" customHeight="1" x14ac:dyDescent="0.3">
      <c r="A68" s="200"/>
      <c r="B68" s="200"/>
      <c r="C68" s="200"/>
      <c r="D68" s="200"/>
      <c r="E68" s="200"/>
      <c r="F68" s="200"/>
      <c r="G68" s="200"/>
      <c r="H68" s="200"/>
      <c r="I68" s="200"/>
      <c r="J68" s="200"/>
      <c r="K68" s="200"/>
      <c r="L68" s="200"/>
      <c r="M68" s="200"/>
      <c r="N68" s="200"/>
      <c r="O68" s="200"/>
      <c r="P68" s="1539"/>
      <c r="Q68" s="1539"/>
      <c r="R68" s="198"/>
      <c r="S68" s="1539"/>
      <c r="T68" s="201"/>
      <c r="U68" s="200"/>
      <c r="V68" s="201">
        <f>MATCH($IC68,'3b Activity Plan'!$DJ$171:$FH$171,0)</f>
        <v>5</v>
      </c>
      <c r="W68" s="201">
        <f>IFERROR(INDEX('3b Activity Plan'!$DJ$6:$FH$6,V68),0)</f>
        <v>6</v>
      </c>
      <c r="X68" s="1768"/>
      <c r="Y68" s="1768">
        <f>IFERROR(INDEX('3b Activity Plan'!$DJ$7:$FH$7,V68),0)</f>
        <v>6</v>
      </c>
      <c r="Z68" s="201"/>
      <c r="AA68" s="201">
        <f>IFERROR(INDEX('3b Activity Plan'!$DJ$34:$FH$34,$V68),0)</f>
        <v>6</v>
      </c>
      <c r="AB68" s="201">
        <f>IFERROR(INDEX('3b Activity Plan'!$DJ$35:$FH$35,$V68),0)</f>
        <v>0</v>
      </c>
      <c r="AC68" s="201">
        <f>IFERROR(INDEX('3b Activity Plan'!$DJ$36:$FH$36,$V68),0)</f>
        <v>0</v>
      </c>
      <c r="AD68" s="201">
        <f>IFERROR(INDEX('3b Activity Plan'!$DJ$37:$FH$37,$V68),0)</f>
        <v>0</v>
      </c>
      <c r="AE68" s="201">
        <f>IFERROR(INDEX('3b Activity Plan'!$DJ$38:$FH$38,$V68),0)</f>
        <v>0</v>
      </c>
      <c r="AF68" s="201">
        <f>IFERROR(INDEX('3b Activity Plan'!$DJ$39:$FH$39,$V68),0)</f>
        <v>0</v>
      </c>
      <c r="AG68" s="201">
        <f>IFERROR(INDEX('3b Activity Plan'!$DJ$40:$FH$40,$V68),0)</f>
        <v>0</v>
      </c>
      <c r="AH68" s="201">
        <f>IFERROR(INDEX('3b Activity Plan'!$DJ$41:$FH$41,$V68),0)</f>
        <v>0</v>
      </c>
      <c r="AI68" s="201">
        <f>IFERROR(INDEX('3b Activity Plan'!$DJ$42:$FH$42,$V68),0)</f>
        <v>0</v>
      </c>
      <c r="AJ68" s="201">
        <f>IFERROR(INDEX('3b Activity Plan'!$DJ$43:$FH$43,$V68),0)</f>
        <v>0</v>
      </c>
      <c r="AK68" s="201"/>
      <c r="AL68" s="201">
        <f>SUMIFS('3a Staff Plan'!$AR$129:$AR$305,'3a Staff Plan'!$DY$129:$DY$305,$IA68,'3a Staff Plan'!$DF$129:$DF$305,1)</f>
        <v>0</v>
      </c>
      <c r="AM68" s="1768"/>
      <c r="AN68" s="1768">
        <f>SUMIFS('3a Staff Plan'!$AR$129:$AR$305,'3a Staff Plan'!$DY$129:$DY$305,$IA68,'3a Staff Plan'!$CV$129:$CV$305,1)</f>
        <v>0</v>
      </c>
      <c r="AO68" s="201"/>
      <c r="AP68" s="201">
        <f>SUMIFS('3a Staff Plan'!$AS$129:$AS$305,'3a Staff Plan'!$DY$129:$DY$305,$IA68,'3a Staff Plan'!$DF$129:$DF$305,1)</f>
        <v>0</v>
      </c>
      <c r="AQ68" s="201">
        <f>SUMIFS('3a Staff Plan'!$AT$129:$AT$305,'3a Staff Plan'!$DY$129:$DY$305,$IA68,'3a Staff Plan'!$DF$129:$DF$305,1)</f>
        <v>0</v>
      </c>
      <c r="AR68" s="201">
        <f>SUMIFS('3a Staff Plan'!$AU$129:$AU$305,'3a Staff Plan'!$DY$129:$DY$305,$IA68,'3a Staff Plan'!$DF$129:$DF$305,1)</f>
        <v>0</v>
      </c>
      <c r="AS68" s="201">
        <f>SUMIFS('3a Staff Plan'!$AV$129:$AV$305,'3a Staff Plan'!$DY$129:$DY$305,$IA68,'3a Staff Plan'!$DF$129:$DF$305,1)</f>
        <v>0</v>
      </c>
      <c r="AT68" s="201">
        <f>SUMIFS('3a Staff Plan'!$AW$129:$AW$305,'3a Staff Plan'!$DY$129:$DY$305,$IA68,'3a Staff Plan'!$DF$129:$DF$305,1)</f>
        <v>0</v>
      </c>
      <c r="AU68" s="201">
        <f>SUMIFS('3a Staff Plan'!$AX$129:$AX$305,'3a Staff Plan'!$DY$129:$DY$305,$IA68,'3a Staff Plan'!$DF$129:$DF$305,1)</f>
        <v>0</v>
      </c>
      <c r="AV68" s="201">
        <f>SUMIFS('3a Staff Plan'!$AY$129:$AY$305,'3a Staff Plan'!$DY$129:$DY$305,$IA68,'3a Staff Plan'!$DF$129:$DF$305,1)</f>
        <v>0</v>
      </c>
      <c r="AW68" s="201">
        <f>SUMIFS('3a Staff Plan'!$AZ$129:$AZ$305,'3a Staff Plan'!$DY$129:$DY$305,$IA68,'3a Staff Plan'!$DF$129:$DF$305,1)</f>
        <v>0</v>
      </c>
      <c r="AX68" s="201">
        <f>SUMIFS('3a Staff Plan'!$BA$129:$BA$305,'3a Staff Plan'!$DY$129:$DY$305,$IA68,'3a Staff Plan'!$DF$129:$DF$305,1)</f>
        <v>0</v>
      </c>
      <c r="AY68" s="201">
        <f>SUMIFS('3a Staff Plan'!$BB$129:$BB$305,'3a Staff Plan'!$DY$129:$DY$305,$IA68,'3a Staff Plan'!$DF$129:$DF$305,1)</f>
        <v>0</v>
      </c>
      <c r="AZ68" s="201"/>
      <c r="BA68" s="201">
        <f t="shared" si="33"/>
        <v>6</v>
      </c>
      <c r="BB68" s="1768"/>
      <c r="BC68" s="1768">
        <f t="shared" si="33"/>
        <v>6</v>
      </c>
      <c r="BD68" s="201"/>
      <c r="BE68" s="201">
        <f t="shared" si="34"/>
        <v>6</v>
      </c>
      <c r="BF68" s="201">
        <f t="shared" si="34"/>
        <v>0</v>
      </c>
      <c r="BG68" s="201">
        <f t="shared" si="34"/>
        <v>0</v>
      </c>
      <c r="BH68" s="201">
        <f t="shared" si="34"/>
        <v>0</v>
      </c>
      <c r="BI68" s="201">
        <f t="shared" si="34"/>
        <v>0</v>
      </c>
      <c r="BJ68" s="201">
        <f t="shared" si="34"/>
        <v>0</v>
      </c>
      <c r="BK68" s="201">
        <f t="shared" si="34"/>
        <v>0</v>
      </c>
      <c r="BL68" s="201">
        <f t="shared" si="34"/>
        <v>0</v>
      </c>
      <c r="BM68" s="201">
        <f t="shared" si="34"/>
        <v>0</v>
      </c>
      <c r="BN68" s="201">
        <f t="shared" si="34"/>
        <v>0</v>
      </c>
      <c r="BO68" s="201"/>
      <c r="BP68" s="1818">
        <f t="shared" si="146"/>
        <v>5</v>
      </c>
      <c r="BQ68" s="1818">
        <f>IFERROR(INDEX('3b Activity Plan'!$DJ$15:$FH$15,BP68),0)</f>
        <v>6</v>
      </c>
      <c r="BR68" s="1768"/>
      <c r="BS68" s="1768">
        <f>IFERROR(INDEX('3b Activity Plan'!$DJ$16:$FH$16,BP68),0)</f>
        <v>6</v>
      </c>
      <c r="BT68" s="201"/>
      <c r="BU68" s="201">
        <f>IFERROR(INDEX('3b Activity Plan'!$DJ$67:$FH$67,$V68),0)</f>
        <v>6</v>
      </c>
      <c r="BV68" s="201">
        <f>IFERROR(INDEX('3b Activity Plan'!$DJ$68:$FH$68,$V68),0)</f>
        <v>0</v>
      </c>
      <c r="BW68" s="201">
        <f>IFERROR(INDEX('3b Activity Plan'!$DJ$69:$FH$69,$V68),0)</f>
        <v>0</v>
      </c>
      <c r="BX68" s="201">
        <f>IFERROR(INDEX('3b Activity Plan'!$DJ$70:$FH$70,$V68),0)</f>
        <v>0</v>
      </c>
      <c r="BY68" s="201">
        <f>IFERROR(INDEX('3b Activity Plan'!$DJ$71:$FH$71,$V68),0)</f>
        <v>0</v>
      </c>
      <c r="BZ68" s="201">
        <f>IFERROR(INDEX('3b Activity Plan'!$DJ$72:$FH$72,$V68),0)</f>
        <v>0</v>
      </c>
      <c r="CA68" s="201">
        <f>IFERROR(INDEX('3b Activity Plan'!$DJ$73:$FH$73,$V68),0)</f>
        <v>0</v>
      </c>
      <c r="CB68" s="201">
        <f>IFERROR(INDEX('3b Activity Plan'!$DJ$74:$FH$74,$V68),0)</f>
        <v>0</v>
      </c>
      <c r="CC68" s="201">
        <f>IFERROR(INDEX('3b Activity Plan'!$DJ$75:$FH$75,$V68),0)</f>
        <v>0</v>
      </c>
      <c r="CD68" s="201">
        <f>IFERROR(INDEX('3b Activity Plan'!$DJ$76:$FH$76,$V68),0)</f>
        <v>0</v>
      </c>
      <c r="CE68" s="201"/>
      <c r="CF68" s="1818">
        <f>SUMIFS('3a Staff Plan'!$AR$129:$AR$305,'3a Staff Plan'!$DY$129:$DY$305,$IA68,'3a Staff Plan'!$AG$129:$AG$305,1,'3a Staff Plan'!$DF$129:$DF$305,1)</f>
        <v>0</v>
      </c>
      <c r="CG68" s="1768">
        <f>SUMIFS('3a Staff Plan'!$AR$129:$AR$305,'3a Staff Plan'!$DY$129:$DY$305,$IA68,'3a Staff Plan'!$AG$129:$AG$305,1,'3a Staff Plan'!$CX$129:$CX$305,1)</f>
        <v>0</v>
      </c>
      <c r="CH68" s="1768">
        <f>SUMIFS('3a Staff Plan'!$AR$129:$AR$305,'3a Staff Plan'!$DY$129:$DY$305,$IA68,'3a Staff Plan'!$AG$129:$AG$305,1,'3a Staff Plan'!$CV$129:$CV$305,1)</f>
        <v>0</v>
      </c>
      <c r="CI68" s="201"/>
      <c r="CJ68" s="201">
        <f>SUMIFS('3a Staff Plan'!$BX$129:$BX$305,'3a Staff Plan'!$DY$129:$DY$305,$IA68,'3a Staff Plan'!$DF$129:$DF$305,1,'3a Staff Plan'!$AG$129:$AG$305,1)</f>
        <v>0</v>
      </c>
      <c r="CK68" s="201">
        <f>SUMIFS('3a Staff Plan'!$BY$129:$BY$305,'3a Staff Plan'!$DY$129:$DY$305,$IA68,'3a Staff Plan'!$DF$129:$DF$305,1,'3a Staff Plan'!$AG$129:$AG$305,1)</f>
        <v>0</v>
      </c>
      <c r="CL68" s="201">
        <f>SUMIFS('3a Staff Plan'!$BZ$129:$BZ$305,'3a Staff Plan'!$DY$129:$DY$305,$IA68,'3a Staff Plan'!$DF$129:$DF$305,1,'3a Staff Plan'!$AG$129:$AG$305,1)</f>
        <v>0</v>
      </c>
      <c r="CM68" s="201">
        <f>SUMIFS('3a Staff Plan'!$CA$129:$CA$305,'3a Staff Plan'!$DY$129:$DY$305,$IA68,'3a Staff Plan'!$DF$129:$DF$305,1,'3a Staff Plan'!$AG$129:$AG$305,1)</f>
        <v>0</v>
      </c>
      <c r="CN68" s="201">
        <f>SUMIFS('3a Staff Plan'!$CB$129:$CB$305,'3a Staff Plan'!$DY$129:$DY$305,$IA68,'3a Staff Plan'!$DF$129:$DF$305,1,'3a Staff Plan'!$AG$129:$AG$305,1)</f>
        <v>0</v>
      </c>
      <c r="CO68" s="201">
        <f>SUMIFS('3a Staff Plan'!$CC$129:$CC$305,'3a Staff Plan'!$DY$129:$DY$305,$IA68,'3a Staff Plan'!$DF$129:$DF$305,1,'3a Staff Plan'!$AG$129:$AG$305,1)</f>
        <v>0</v>
      </c>
      <c r="CP68" s="201">
        <f>SUMIFS('3a Staff Plan'!$CD$129:$CD$305,'3a Staff Plan'!$DY$129:$DY$305,$IA68,'3a Staff Plan'!$DF$129:$DF$305,1,'3a Staff Plan'!$AG$129:$AG$305,1)</f>
        <v>0</v>
      </c>
      <c r="CQ68" s="201">
        <f>SUMIFS('3a Staff Plan'!$CE$129:$CE$305,'3a Staff Plan'!$DY$129:$DY$305,$IA68,'3a Staff Plan'!$DF$129:$DF$305,1,'3a Staff Plan'!$AG$129:$AG$305,1)</f>
        <v>0</v>
      </c>
      <c r="CR68" s="201">
        <f>SUMIFS('3a Staff Plan'!$CF$129:$CF$305,'3a Staff Plan'!$DY$129:$DY$305,$IA68,'3a Staff Plan'!$DF$129:$DF$305,1,'3a Staff Plan'!$AG$129:$AG$305,1)</f>
        <v>0</v>
      </c>
      <c r="CS68" s="201">
        <f>SUMIFS('3a Staff Plan'!$CG$129:$CG$305,'3a Staff Plan'!$DY$129:$DY$305,$IA68,'3a Staff Plan'!$DF$129:$DF$305,1,'3a Staff Plan'!$AG$129:$AG$305,1)</f>
        <v>0</v>
      </c>
      <c r="CT68" s="201"/>
      <c r="CU68" s="1818">
        <f t="shared" si="35"/>
        <v>6</v>
      </c>
      <c r="CV68" s="1768"/>
      <c r="CW68" s="1768">
        <f t="shared" si="35"/>
        <v>6</v>
      </c>
      <c r="CX68" s="201"/>
      <c r="CY68" s="201">
        <f t="shared" si="36"/>
        <v>6</v>
      </c>
      <c r="CZ68" s="201">
        <f t="shared" si="36"/>
        <v>0</v>
      </c>
      <c r="DA68" s="201">
        <f t="shared" si="36"/>
        <v>0</v>
      </c>
      <c r="DB68" s="201">
        <f t="shared" si="36"/>
        <v>0</v>
      </c>
      <c r="DC68" s="201">
        <f t="shared" si="36"/>
        <v>0</v>
      </c>
      <c r="DD68" s="201">
        <f t="shared" si="36"/>
        <v>0</v>
      </c>
      <c r="DE68" s="201">
        <f t="shared" si="36"/>
        <v>0</v>
      </c>
      <c r="DF68" s="201">
        <f t="shared" si="36"/>
        <v>0</v>
      </c>
      <c r="DG68" s="201">
        <f t="shared" si="36"/>
        <v>0</v>
      </c>
      <c r="DH68" s="201">
        <f t="shared" si="36"/>
        <v>0</v>
      </c>
      <c r="DI68" s="201"/>
      <c r="DJ68" s="201"/>
      <c r="DK68" s="201"/>
      <c r="DL68" s="201"/>
      <c r="DM68" s="372">
        <f t="shared" ca="1" si="37"/>
        <v>376.05945000000003</v>
      </c>
      <c r="DN68" s="1185">
        <f t="shared" si="38"/>
        <v>183.2208</v>
      </c>
      <c r="DO68" s="1185">
        <f t="shared" si="39"/>
        <v>120.53999999999999</v>
      </c>
      <c r="DP68" s="201"/>
      <c r="DQ68" s="372">
        <f t="shared" ca="1" si="40"/>
        <v>0</v>
      </c>
      <c r="DR68" s="1185">
        <f t="shared" si="41"/>
        <v>0</v>
      </c>
      <c r="DS68" s="1185">
        <f t="shared" si="42"/>
        <v>0</v>
      </c>
      <c r="DT68" s="201"/>
      <c r="DU68" s="372">
        <f t="shared" ca="1" si="43"/>
        <v>376.05945000000003</v>
      </c>
      <c r="DV68" s="372">
        <f t="shared" si="43"/>
        <v>183.2208</v>
      </c>
      <c r="DW68" s="372">
        <f t="shared" si="43"/>
        <v>120.53999999999999</v>
      </c>
      <c r="DX68" s="201"/>
      <c r="DY68" s="372">
        <f t="shared" si="44"/>
        <v>0</v>
      </c>
      <c r="DZ68" s="372">
        <f t="shared" ca="1" si="45"/>
        <v>0</v>
      </c>
      <c r="EA68" s="201"/>
      <c r="EB68" s="2776">
        <f>IF(EO68=$EO$53,1,IFERROR(INDEX('Currency Data'!$L$8:$L$41,MATCH(EO68,'Currency Data'!$H$8:$H$41,0)),1))</f>
        <v>1</v>
      </c>
      <c r="EC68" s="2776">
        <f t="shared" si="147"/>
        <v>1</v>
      </c>
      <c r="ED68" s="428">
        <f>IF(GQ68=1,'1 Setup'!$T$68,IF(ISBLANK(IJ68),II68/EC68*IF(GL68=1,$ED$53,1),IJ68/EC68)*IF($EW68=7,JW68,1))</f>
        <v>20.09</v>
      </c>
      <c r="EE68" s="428">
        <f t="shared" si="46"/>
        <v>20.09</v>
      </c>
      <c r="EF68" s="428"/>
      <c r="EG68" s="1965" t="str">
        <f t="shared" si="148"/>
        <v>031500 - Highways UK</v>
      </c>
      <c r="EH68" s="201">
        <f t="shared" si="149"/>
        <v>1</v>
      </c>
      <c r="EI68" s="445" t="str">
        <f>IF(EH68=1,$EI$53,IF(GQ68=1,$GQ$55,IFERROR(IF($EG68=$EG$53,$EI$53,INDEX('PU List'!$G$6:$G$413,MATCH($EG68,'PU List'!$D$6:$D$413,0))),$EI$53)))</f>
        <v>GB - BIAF</v>
      </c>
      <c r="EJ68" s="2773" t="str">
        <f t="shared" si="150"/>
        <v>GB - BIAF</v>
      </c>
      <c r="EK68" s="1768"/>
      <c r="EL68" s="3283">
        <f>IF(OR(EW68&gt;7,$EL$53=0),0,IF(EJ68=$EI$53,$EL$53,IFERROR(INDEX('Fringe Data'!$U$8:$U$129,MATCH($EJ68,'Fringe Data'!$F$8:$F$129,0)),0)))</f>
        <v>1.73</v>
      </c>
      <c r="EM68" s="372">
        <f t="shared" si="47"/>
        <v>10.379999999999999</v>
      </c>
      <c r="EN68" s="201" t="str">
        <f>IFERROR(INDEX('Fringe Data'!$G$8:$G$64,MATCH($EJ68,'Fringe Data'!$F$8:$F$64,0)),$EO$53)</f>
        <v>GBP</v>
      </c>
      <c r="EO68" s="201" t="str">
        <f t="shared" si="151"/>
        <v>GBP</v>
      </c>
      <c r="EP68" s="201">
        <f>IF(EI68=$EI$53,$EP$49,IF(GP68=1,0,IFERROR(INDEX('Fringe Data'!$K$8:$K$64,MATCH($EI68,'Fringe Data'!$F$8:$F$64,0)),0)))</f>
        <v>0.52</v>
      </c>
      <c r="EQ68" s="201">
        <f>IF(EI68=$EI$53,$EQ$49,IF(GP68=1,0,IFERROR(INDEX('Fringe Data'!$L$8:$L$64,MATCH($EI68,'Fringe Data'!$F$8:$F$64,0)),0)))</f>
        <v>1.8499999999999999E-2</v>
      </c>
      <c r="ER68" s="201">
        <f>IF(EI68=$EI$53,$ER$49,IF(GP68=1,0,IFERROR(INDEX('Fringe Data'!$M$8:$M$64,MATCH($EI68,'Fringe Data'!$F$8:$F$64,0)),0)))</f>
        <v>0.43430000000000002</v>
      </c>
      <c r="ES68" s="201">
        <f>IF(EI68=$EI$53,$ES$49,IF(GP68=1,0,IFERROR(INDEX('Fringe Data'!$N$8:$N$64,MATCH($EI68,'Fringe Data'!$F$8:$F$64,0)),0)))</f>
        <v>0.1565</v>
      </c>
      <c r="ET68" s="201">
        <f>IF(EI68=$EI$53,$ET$49,IF(GP68=1,0,IFERROR(INDEX('Fringe Data'!$O$8:$O$64,MATCH($EI68,'Fringe Data'!$F$8:$F$64,0)),0)))</f>
        <v>0.33450000000000002</v>
      </c>
      <c r="EU68" s="263">
        <f>IF(EI68=$EI$53,$EU$49,IF(GP68=1,0,IFERROR(INDEX('Fringe Data'!$P$8:$P$64,MATCH($EI68,'Fringe Data'!$F$8:$F$64,0)),0)))</f>
        <v>0.1565</v>
      </c>
      <c r="EV68" s="201"/>
      <c r="EW68" s="1530">
        <f t="shared" si="48"/>
        <v>1</v>
      </c>
      <c r="EX68" s="1534">
        <f t="shared" si="152"/>
        <v>0.52</v>
      </c>
      <c r="EY68" s="321">
        <f t="shared" si="153"/>
        <v>0</v>
      </c>
      <c r="EZ68" s="201">
        <f t="shared" si="154"/>
        <v>30.536799999999999</v>
      </c>
      <c r="FA68" s="372">
        <f t="shared" si="49"/>
        <v>0</v>
      </c>
      <c r="FB68" s="372">
        <f t="shared" si="50"/>
        <v>0</v>
      </c>
      <c r="FC68" s="201">
        <f t="shared" ca="1" si="155"/>
        <v>0</v>
      </c>
      <c r="FD68" s="423">
        <f t="shared" si="51"/>
        <v>0</v>
      </c>
      <c r="FE68" s="423">
        <f t="shared" si="52"/>
        <v>0</v>
      </c>
      <c r="FF68" s="201">
        <f t="shared" si="156"/>
        <v>0</v>
      </c>
      <c r="FG68" s="425">
        <f>IF(OR($FJ$52=3,$FJ$52=4,$FJ$52=5),'1 Setup'!$W$96,0)</f>
        <v>0</v>
      </c>
      <c r="FH68" s="428">
        <f>IF($FJ$52=5,'1 Setup'!$W$98,IF($FJ$52=6,'1 Setup'!$S$86,0))</f>
        <v>0</v>
      </c>
      <c r="FI68" s="321">
        <f t="shared" ca="1" si="53"/>
        <v>62.21</v>
      </c>
      <c r="FJ68" s="263">
        <f t="shared" ca="1" si="157"/>
        <v>62.676575000000007</v>
      </c>
      <c r="FK68" s="372">
        <f t="shared" ca="1" si="54"/>
        <v>376.05945000000003</v>
      </c>
      <c r="FL68" s="372">
        <f t="shared" si="55"/>
        <v>0</v>
      </c>
      <c r="FM68" s="372">
        <f t="shared" si="56"/>
        <v>0</v>
      </c>
      <c r="FN68" s="2036">
        <f t="shared" ca="1" si="57"/>
        <v>62.676575000000007</v>
      </c>
      <c r="FO68" s="372">
        <f t="shared" ca="1" si="58"/>
        <v>376.05945000000003</v>
      </c>
      <c r="FP68" s="2723">
        <f t="shared" si="158"/>
        <v>0</v>
      </c>
      <c r="FQ68" s="372">
        <f t="shared" ca="1" si="59"/>
        <v>1</v>
      </c>
      <c r="FR68" s="372">
        <f t="shared" si="159"/>
        <v>0</v>
      </c>
      <c r="FS68" s="1168"/>
      <c r="FT68" s="1168">
        <f t="shared" si="60"/>
        <v>30.536799999999999</v>
      </c>
      <c r="FU68" s="1168">
        <f t="shared" si="61"/>
        <v>30.536799999999999</v>
      </c>
      <c r="FV68" s="1168">
        <f t="shared" si="62"/>
        <v>30.536799999999999</v>
      </c>
      <c r="FW68" s="1168">
        <f t="shared" si="63"/>
        <v>30.536799999999999</v>
      </c>
      <c r="FX68" s="1168">
        <f t="shared" si="64"/>
        <v>30.536799999999999</v>
      </c>
      <c r="FY68" s="1168">
        <f t="shared" si="65"/>
        <v>30.536799999999999</v>
      </c>
      <c r="FZ68" s="1168">
        <f t="shared" si="66"/>
        <v>30.536799999999999</v>
      </c>
      <c r="GA68" s="1168">
        <f t="shared" si="67"/>
        <v>30.536799999999999</v>
      </c>
      <c r="GB68" s="1168">
        <f t="shared" si="68"/>
        <v>30.536799999999999</v>
      </c>
      <c r="GC68" s="1168">
        <f t="shared" si="69"/>
        <v>30.536799999999999</v>
      </c>
      <c r="GD68" s="1168"/>
      <c r="GE68" s="199"/>
      <c r="GF68" s="201">
        <f t="shared" si="70"/>
        <v>1</v>
      </c>
      <c r="GG68" s="201">
        <f t="shared" si="71"/>
        <v>0</v>
      </c>
      <c r="GH68" s="201">
        <f t="shared" si="72"/>
        <v>0</v>
      </c>
      <c r="GI68" s="201">
        <f t="shared" ca="1" si="160"/>
        <v>0</v>
      </c>
      <c r="GJ68" s="201">
        <f t="shared" si="73"/>
        <v>0</v>
      </c>
      <c r="GK68" s="201">
        <f t="shared" si="74"/>
        <v>0</v>
      </c>
      <c r="GL68" s="201">
        <f t="shared" si="75"/>
        <v>1</v>
      </c>
      <c r="GM68" s="201">
        <f t="shared" si="76"/>
        <v>1</v>
      </c>
      <c r="GN68" s="201"/>
      <c r="GO68" s="201"/>
      <c r="GP68" s="201">
        <f t="shared" si="77"/>
        <v>0</v>
      </c>
      <c r="GQ68" s="201">
        <f t="shared" si="78"/>
        <v>0</v>
      </c>
      <c r="GR68" s="201">
        <f t="shared" si="161"/>
        <v>0</v>
      </c>
      <c r="GS68" s="1768"/>
      <c r="GT68" s="201">
        <f t="shared" si="79"/>
        <v>1</v>
      </c>
      <c r="GU68" s="201">
        <f t="shared" si="193"/>
        <v>5</v>
      </c>
      <c r="GV68" s="201">
        <f t="shared" si="80"/>
        <v>5</v>
      </c>
      <c r="GW68" s="201">
        <f t="shared" si="81"/>
        <v>3</v>
      </c>
      <c r="GX68" s="201">
        <f t="shared" si="162"/>
        <v>0</v>
      </c>
      <c r="GY68" s="1998"/>
      <c r="GZ68" s="253"/>
      <c r="HA68" s="195" t="str">
        <f t="shared" si="163"/>
        <v>Thompson Vicky</v>
      </c>
      <c r="HB68" s="3558" t="str">
        <f t="shared" si="82"/>
        <v>L2B Project Manager</v>
      </c>
      <c r="HC68" s="3590"/>
      <c r="HD68" s="257" t="str">
        <f t="shared" si="83"/>
        <v/>
      </c>
      <c r="HE68" s="825">
        <f t="shared" si="84"/>
        <v>6</v>
      </c>
      <c r="HF68" s="506" t="s">
        <v>5</v>
      </c>
      <c r="HG68" s="508">
        <f t="shared" ca="1" si="85"/>
        <v>376.05945000000003</v>
      </c>
      <c r="HH68" s="3585">
        <f t="shared" si="86"/>
        <v>193.60079999999999</v>
      </c>
      <c r="HI68" s="3586"/>
      <c r="HJ68" s="504">
        <f t="shared" ca="1" si="87"/>
        <v>182.45865000000003</v>
      </c>
      <c r="HK68" s="456">
        <f t="shared" ca="1" si="88"/>
        <v>0.48518565349175513</v>
      </c>
      <c r="HL68" s="3591">
        <f t="shared" ca="1" si="89"/>
        <v>30.409775000000007</v>
      </c>
      <c r="HM68" s="3592"/>
      <c r="HN68" s="240"/>
      <c r="HO68" s="1998"/>
      <c r="HP68" s="1991"/>
      <c r="HQ68" s="2770" t="str">
        <f t="shared" si="90"/>
        <v>GB - BIAF</v>
      </c>
      <c r="HR68" s="2770" t="str">
        <f t="shared" si="91"/>
        <v>GBP</v>
      </c>
      <c r="HS68" s="2771">
        <f t="shared" si="92"/>
        <v>1</v>
      </c>
      <c r="HT68" s="3488"/>
      <c r="HU68" s="2771">
        <f t="shared" si="93"/>
        <v>1.73</v>
      </c>
      <c r="HW68" s="1218"/>
      <c r="HX68" s="520"/>
      <c r="HY68" s="2523"/>
      <c r="HZ68" s="194" t="s">
        <v>4405</v>
      </c>
      <c r="IA68" s="1013" t="s">
        <v>4406</v>
      </c>
      <c r="IB68" s="193"/>
      <c r="IC68" s="3276">
        <v>5</v>
      </c>
      <c r="ID68" s="986"/>
      <c r="IE68" s="938">
        <f t="shared" si="164"/>
        <v>6</v>
      </c>
      <c r="IF68" s="938">
        <f t="shared" si="165"/>
        <v>0</v>
      </c>
      <c r="IG68" s="432"/>
      <c r="II68" s="405"/>
      <c r="IJ68" s="239">
        <v>20.09</v>
      </c>
      <c r="IK68" s="2774" t="str">
        <f t="shared" si="166"/>
        <v>GBP</v>
      </c>
      <c r="IL68" s="2148"/>
      <c r="IM68" s="1936">
        <f t="shared" si="94"/>
        <v>20.09</v>
      </c>
      <c r="IO68" s="1959" t="str">
        <f t="shared" si="95"/>
        <v xml:space="preserve"> Staff (Normal)</v>
      </c>
      <c r="IP68" s="1958"/>
      <c r="IQ68" s="543">
        <f t="shared" si="96"/>
        <v>0.52</v>
      </c>
      <c r="IR68" s="1936">
        <f t="shared" si="97"/>
        <v>30.536799999999999</v>
      </c>
      <c r="IT68" s="1364"/>
      <c r="IU68" s="210"/>
      <c r="IV68" s="218"/>
      <c r="IW68" s="1938">
        <f ca="1">IF(NOT(ISBLANK(IU68)),IU68,IF('1 Setup'!$G$8&lt;7,JK68,FJ68))+KA68</f>
        <v>62.676575000000007</v>
      </c>
      <c r="IX68" s="409" t="str">
        <f t="shared" si="98"/>
        <v>Thompson Vicky</v>
      </c>
      <c r="IY68" s="408" t="str">
        <f t="shared" si="99"/>
        <v>L2B Project Manager</v>
      </c>
      <c r="IZ68" s="1983"/>
      <c r="JA68" s="1994"/>
      <c r="JB68" s="1991"/>
      <c r="JD68" s="2029" t="str">
        <f t="shared" si="167"/>
        <v>Thompson Vicky</v>
      </c>
      <c r="JE68" s="479"/>
      <c r="JF68" s="2025">
        <f t="shared" si="100"/>
        <v>0</v>
      </c>
      <c r="JG68" s="429">
        <f t="shared" si="101"/>
        <v>0</v>
      </c>
      <c r="JH68" s="1667">
        <f t="shared" si="102"/>
        <v>0</v>
      </c>
      <c r="JJ68" s="1163">
        <f t="shared" ca="1" si="103"/>
        <v>62.676575000000007</v>
      </c>
      <c r="JK68" s="1163">
        <f t="shared" ca="1" si="104"/>
        <v>62.676575000000007</v>
      </c>
      <c r="JL68" s="1795"/>
      <c r="JN68" s="2505"/>
      <c r="JO68" s="1161"/>
      <c r="JP68" s="571">
        <f t="shared" ca="1" si="105"/>
        <v>62.21</v>
      </c>
      <c r="JQ68" s="2506" t="s">
        <v>4321</v>
      </c>
      <c r="JR68" s="1953"/>
      <c r="JS68" s="2650"/>
      <c r="JT68" s="2507"/>
      <c r="JU68" s="1964">
        <f t="shared" si="106"/>
        <v>0.33450000000000002</v>
      </c>
      <c r="JV68" s="3199"/>
      <c r="JW68" s="2649">
        <f t="shared" si="107"/>
        <v>1.5</v>
      </c>
      <c r="JX68" s="1964">
        <f t="shared" si="168"/>
        <v>0.1565</v>
      </c>
      <c r="JY68" s="3199"/>
      <c r="JZ68" s="2649">
        <f t="shared" si="169"/>
        <v>0</v>
      </c>
      <c r="KA68" s="2649">
        <f t="shared" si="170"/>
        <v>0</v>
      </c>
      <c r="KB68" s="2649" t="s">
        <v>111</v>
      </c>
      <c r="KC68" s="1983"/>
      <c r="KD68" s="1974"/>
      <c r="KE68" s="1991"/>
      <c r="KF68" s="2029" t="str">
        <f t="shared" si="171"/>
        <v>Thompson Vicky</v>
      </c>
      <c r="KG68" s="1991"/>
      <c r="KH68" s="2121">
        <f t="shared" si="108"/>
        <v>6</v>
      </c>
      <c r="KI68" s="2130">
        <f t="shared" si="109"/>
        <v>0</v>
      </c>
      <c r="KJ68" s="2130">
        <f t="shared" si="110"/>
        <v>0</v>
      </c>
      <c r="KK68" s="2130">
        <f t="shared" si="111"/>
        <v>0</v>
      </c>
      <c r="KL68" s="2131">
        <f t="shared" si="112"/>
        <v>0</v>
      </c>
      <c r="KM68" s="2132">
        <f t="shared" si="113"/>
        <v>0</v>
      </c>
      <c r="KN68" s="2132">
        <f t="shared" si="114"/>
        <v>0</v>
      </c>
      <c r="KO68" s="2132">
        <f t="shared" si="115"/>
        <v>0</v>
      </c>
      <c r="KP68" s="2132">
        <f t="shared" si="116"/>
        <v>0</v>
      </c>
      <c r="KQ68" s="2133">
        <f t="shared" si="117"/>
        <v>0</v>
      </c>
      <c r="KS68" s="2253">
        <f t="shared" si="118"/>
        <v>20.09</v>
      </c>
      <c r="KT68" s="2270">
        <f t="shared" ref="KT68:LB68" si="196">KS68*(1+(KT$60))</f>
        <v>20.09</v>
      </c>
      <c r="KU68" s="2271">
        <f t="shared" si="196"/>
        <v>20.09</v>
      </c>
      <c r="KV68" s="2271">
        <f t="shared" si="196"/>
        <v>20.09</v>
      </c>
      <c r="KW68" s="2272">
        <f t="shared" si="196"/>
        <v>20.09</v>
      </c>
      <c r="KX68" s="2271">
        <f t="shared" si="196"/>
        <v>20.09</v>
      </c>
      <c r="KY68" s="2271">
        <f t="shared" si="196"/>
        <v>20.09</v>
      </c>
      <c r="KZ68" s="2271">
        <f t="shared" si="196"/>
        <v>20.09</v>
      </c>
      <c r="LA68" s="2271">
        <f t="shared" si="196"/>
        <v>20.09</v>
      </c>
      <c r="LB68" s="2273">
        <f t="shared" si="196"/>
        <v>20.09</v>
      </c>
      <c r="LC68" s="272"/>
      <c r="LD68" s="2124">
        <f t="shared" si="120"/>
        <v>6</v>
      </c>
      <c r="LE68" s="2093">
        <f t="shared" si="121"/>
        <v>0</v>
      </c>
      <c r="LF68" s="2093">
        <f t="shared" si="122"/>
        <v>0</v>
      </c>
      <c r="LG68" s="2093">
        <f t="shared" si="123"/>
        <v>0</v>
      </c>
      <c r="LH68" s="2094">
        <f t="shared" si="124"/>
        <v>0</v>
      </c>
      <c r="LI68" s="2095">
        <f t="shared" si="125"/>
        <v>0</v>
      </c>
      <c r="LJ68" s="2095">
        <f t="shared" si="126"/>
        <v>0</v>
      </c>
      <c r="LK68" s="2095">
        <f t="shared" si="127"/>
        <v>0</v>
      </c>
      <c r="LL68" s="2095">
        <f t="shared" si="128"/>
        <v>0</v>
      </c>
      <c r="LM68" s="2096">
        <f t="shared" si="129"/>
        <v>0</v>
      </c>
      <c r="LN68" s="749"/>
      <c r="LO68" s="2256">
        <f t="shared" ca="1" si="130"/>
        <v>62.676575000000007</v>
      </c>
      <c r="LP68" s="2270">
        <f t="shared" ca="1" si="131"/>
        <v>62.676575000000007</v>
      </c>
      <c r="LQ68" s="2271">
        <f t="shared" ca="1" si="132"/>
        <v>62.676575000000007</v>
      </c>
      <c r="LR68" s="2271">
        <f t="shared" ca="1" si="133"/>
        <v>62.676575000000007</v>
      </c>
      <c r="LS68" s="2272">
        <f t="shared" ca="1" si="134"/>
        <v>62.676575000000007</v>
      </c>
      <c r="LT68" s="2271">
        <f t="shared" ca="1" si="135"/>
        <v>62.676575000000007</v>
      </c>
      <c r="LU68" s="2271">
        <f t="shared" ca="1" si="136"/>
        <v>62.676575000000007</v>
      </c>
      <c r="LV68" s="2271">
        <f t="shared" ca="1" si="137"/>
        <v>62.676575000000007</v>
      </c>
      <c r="LW68" s="2271">
        <f t="shared" ca="1" si="138"/>
        <v>62.676575000000007</v>
      </c>
      <c r="LX68" s="2273">
        <f t="shared" ca="1" si="139"/>
        <v>62.676575000000007</v>
      </c>
      <c r="LY68" s="479"/>
      <c r="LZ68" s="3128">
        <f t="shared" ca="1" si="173"/>
        <v>30.409775000000007</v>
      </c>
      <c r="MA68" s="3129">
        <f t="shared" ca="1" si="174"/>
        <v>30.409775000000007</v>
      </c>
      <c r="MB68" s="3129">
        <f t="shared" ca="1" si="175"/>
        <v>30.409775000000007</v>
      </c>
      <c r="MC68" s="3129">
        <f t="shared" ca="1" si="176"/>
        <v>30.409775000000007</v>
      </c>
      <c r="MD68" s="3130">
        <f t="shared" ca="1" si="177"/>
        <v>30.409775000000007</v>
      </c>
      <c r="ME68" s="3129">
        <f t="shared" ca="1" si="178"/>
        <v>30.409775000000007</v>
      </c>
      <c r="MF68" s="3129">
        <f t="shared" ca="1" si="179"/>
        <v>30.409775000000007</v>
      </c>
      <c r="MG68" s="3129">
        <f t="shared" ca="1" si="180"/>
        <v>30.409775000000007</v>
      </c>
      <c r="MH68" s="3129">
        <f t="shared" ca="1" si="181"/>
        <v>30.409775000000007</v>
      </c>
      <c r="MI68" s="3131">
        <f t="shared" ca="1" si="182"/>
        <v>30.409775000000007</v>
      </c>
      <c r="MJ68" s="3201"/>
      <c r="MK68" s="3206">
        <f t="shared" ca="1" si="183"/>
        <v>182.45865000000003</v>
      </c>
      <c r="ML68" s="3207">
        <f t="shared" ca="1" si="184"/>
        <v>0</v>
      </c>
      <c r="MM68" s="3207">
        <f t="shared" ca="1" si="185"/>
        <v>0</v>
      </c>
      <c r="MN68" s="3207">
        <f t="shared" ca="1" si="186"/>
        <v>0</v>
      </c>
      <c r="MO68" s="3208">
        <f t="shared" ca="1" si="187"/>
        <v>0</v>
      </c>
      <c r="MP68" s="3207">
        <f t="shared" ca="1" si="188"/>
        <v>0</v>
      </c>
      <c r="MQ68" s="3207">
        <f t="shared" ca="1" si="189"/>
        <v>0</v>
      </c>
      <c r="MR68" s="3207">
        <f t="shared" ca="1" si="190"/>
        <v>0</v>
      </c>
      <c r="MS68" s="3207">
        <f t="shared" ca="1" si="191"/>
        <v>0</v>
      </c>
      <c r="MT68" s="3209">
        <f t="shared" ca="1" si="192"/>
        <v>0</v>
      </c>
      <c r="MU68" s="1983"/>
      <c r="MV68" s="1975"/>
      <c r="MW68" s="1991"/>
      <c r="MX68" s="1931" t="str">
        <f t="shared" si="142"/>
        <v>Thompson Vicky</v>
      </c>
      <c r="MY68" s="749"/>
      <c r="MZ68" s="1934">
        <f t="shared" ca="1" si="143"/>
        <v>62.676575000000007</v>
      </c>
      <c r="NA68" s="1935"/>
      <c r="NB68" s="2652">
        <f t="shared" ca="1" si="144"/>
        <v>3.1197896963663516</v>
      </c>
      <c r="NC68" s="479"/>
      <c r="ND68" s="2749" t="str">
        <f t="shared" si="145"/>
        <v xml:space="preserve"> Staff (Normal)</v>
      </c>
      <c r="NE68" s="2717"/>
      <c r="NF68" s="1975"/>
      <c r="NG68" s="1975"/>
      <c r="NH68" s="1975"/>
      <c r="NI68" s="1975"/>
    </row>
    <row r="69" spans="1:373" s="192" customFormat="1" ht="15.9" customHeight="1" x14ac:dyDescent="0.3">
      <c r="A69" s="200"/>
      <c r="B69" s="200"/>
      <c r="C69" s="200"/>
      <c r="D69" s="200"/>
      <c r="E69" s="200"/>
      <c r="F69" s="200"/>
      <c r="G69" s="200"/>
      <c r="H69" s="200"/>
      <c r="I69" s="200"/>
      <c r="J69" s="200"/>
      <c r="K69" s="200"/>
      <c r="L69" s="200"/>
      <c r="M69" s="200"/>
      <c r="N69" s="200"/>
      <c r="O69" s="200"/>
      <c r="P69" s="1539"/>
      <c r="Q69" s="1539"/>
      <c r="R69" s="198"/>
      <c r="S69" s="1539"/>
      <c r="T69" s="201"/>
      <c r="U69" s="200"/>
      <c r="V69" s="201">
        <f>MATCH($IC69,'3b Activity Plan'!$DJ$171:$FH$171,0)</f>
        <v>6</v>
      </c>
      <c r="W69" s="201">
        <f>IFERROR(INDEX('3b Activity Plan'!$DJ$6:$FH$6,V69),0)</f>
        <v>0</v>
      </c>
      <c r="X69" s="1768"/>
      <c r="Y69" s="1768">
        <f>IFERROR(INDEX('3b Activity Plan'!$DJ$7:$FH$7,V69),0)</f>
        <v>0</v>
      </c>
      <c r="Z69" s="201"/>
      <c r="AA69" s="201">
        <f>IFERROR(INDEX('3b Activity Plan'!$DJ$34:$FH$34,$V69),0)</f>
        <v>0</v>
      </c>
      <c r="AB69" s="201">
        <f>IFERROR(INDEX('3b Activity Plan'!$DJ$35:$FH$35,$V69),0)</f>
        <v>0</v>
      </c>
      <c r="AC69" s="201">
        <f>IFERROR(INDEX('3b Activity Plan'!$DJ$36:$FH$36,$V69),0)</f>
        <v>0</v>
      </c>
      <c r="AD69" s="201">
        <f>IFERROR(INDEX('3b Activity Plan'!$DJ$37:$FH$37,$V69),0)</f>
        <v>0</v>
      </c>
      <c r="AE69" s="201">
        <f>IFERROR(INDEX('3b Activity Plan'!$DJ$38:$FH$38,$V69),0)</f>
        <v>0</v>
      </c>
      <c r="AF69" s="201">
        <f>IFERROR(INDEX('3b Activity Plan'!$DJ$39:$FH$39,$V69),0)</f>
        <v>0</v>
      </c>
      <c r="AG69" s="201">
        <f>IFERROR(INDEX('3b Activity Plan'!$DJ$40:$FH$40,$V69),0)</f>
        <v>0</v>
      </c>
      <c r="AH69" s="201">
        <f>IFERROR(INDEX('3b Activity Plan'!$DJ$41:$FH$41,$V69),0)</f>
        <v>0</v>
      </c>
      <c r="AI69" s="201">
        <f>IFERROR(INDEX('3b Activity Plan'!$DJ$42:$FH$42,$V69),0)</f>
        <v>0</v>
      </c>
      <c r="AJ69" s="201">
        <f>IFERROR(INDEX('3b Activity Plan'!$DJ$43:$FH$43,$V69),0)</f>
        <v>0</v>
      </c>
      <c r="AK69" s="201"/>
      <c r="AL69" s="201">
        <f>SUMIFS('3a Staff Plan'!$AR$129:$AR$305,'3a Staff Plan'!$DY$129:$DY$305,$IA69,'3a Staff Plan'!$DF$129:$DF$305,1)</f>
        <v>0</v>
      </c>
      <c r="AM69" s="1768"/>
      <c r="AN69" s="1768">
        <f>SUMIFS('3a Staff Plan'!$AR$129:$AR$305,'3a Staff Plan'!$DY$129:$DY$305,$IA69,'3a Staff Plan'!$CV$129:$CV$305,1)</f>
        <v>0</v>
      </c>
      <c r="AO69" s="201"/>
      <c r="AP69" s="201">
        <f>SUMIFS('3a Staff Plan'!$AS$129:$AS$305,'3a Staff Plan'!$DY$129:$DY$305,$IA69,'3a Staff Plan'!$DF$129:$DF$305,1)</f>
        <v>0</v>
      </c>
      <c r="AQ69" s="201">
        <f>SUMIFS('3a Staff Plan'!$AT$129:$AT$305,'3a Staff Plan'!$DY$129:$DY$305,$IA69,'3a Staff Plan'!$DF$129:$DF$305,1)</f>
        <v>0</v>
      </c>
      <c r="AR69" s="201">
        <f>SUMIFS('3a Staff Plan'!$AU$129:$AU$305,'3a Staff Plan'!$DY$129:$DY$305,$IA69,'3a Staff Plan'!$DF$129:$DF$305,1)</f>
        <v>0</v>
      </c>
      <c r="AS69" s="201">
        <f>SUMIFS('3a Staff Plan'!$AV$129:$AV$305,'3a Staff Plan'!$DY$129:$DY$305,$IA69,'3a Staff Plan'!$DF$129:$DF$305,1)</f>
        <v>0</v>
      </c>
      <c r="AT69" s="201">
        <f>SUMIFS('3a Staff Plan'!$AW$129:$AW$305,'3a Staff Plan'!$DY$129:$DY$305,$IA69,'3a Staff Plan'!$DF$129:$DF$305,1)</f>
        <v>0</v>
      </c>
      <c r="AU69" s="201">
        <f>SUMIFS('3a Staff Plan'!$AX$129:$AX$305,'3a Staff Plan'!$DY$129:$DY$305,$IA69,'3a Staff Plan'!$DF$129:$DF$305,1)</f>
        <v>0</v>
      </c>
      <c r="AV69" s="201">
        <f>SUMIFS('3a Staff Plan'!$AY$129:$AY$305,'3a Staff Plan'!$DY$129:$DY$305,$IA69,'3a Staff Plan'!$DF$129:$DF$305,1)</f>
        <v>0</v>
      </c>
      <c r="AW69" s="201">
        <f>SUMIFS('3a Staff Plan'!$AZ$129:$AZ$305,'3a Staff Plan'!$DY$129:$DY$305,$IA69,'3a Staff Plan'!$DF$129:$DF$305,1)</f>
        <v>0</v>
      </c>
      <c r="AX69" s="201">
        <f>SUMIFS('3a Staff Plan'!$BA$129:$BA$305,'3a Staff Plan'!$DY$129:$DY$305,$IA69,'3a Staff Plan'!$DF$129:$DF$305,1)</f>
        <v>0</v>
      </c>
      <c r="AY69" s="201">
        <f>SUMIFS('3a Staff Plan'!$BB$129:$BB$305,'3a Staff Plan'!$DY$129:$DY$305,$IA69,'3a Staff Plan'!$DF$129:$DF$305,1)</f>
        <v>0</v>
      </c>
      <c r="AZ69" s="201"/>
      <c r="BA69" s="201">
        <f t="shared" si="33"/>
        <v>0</v>
      </c>
      <c r="BB69" s="1768"/>
      <c r="BC69" s="1768">
        <f t="shared" si="33"/>
        <v>0</v>
      </c>
      <c r="BD69" s="201"/>
      <c r="BE69" s="201">
        <f t="shared" si="34"/>
        <v>0</v>
      </c>
      <c r="BF69" s="201">
        <f t="shared" si="34"/>
        <v>0</v>
      </c>
      <c r="BG69" s="201">
        <f t="shared" si="34"/>
        <v>0</v>
      </c>
      <c r="BH69" s="201">
        <f t="shared" si="34"/>
        <v>0</v>
      </c>
      <c r="BI69" s="201">
        <f t="shared" si="34"/>
        <v>0</v>
      </c>
      <c r="BJ69" s="201">
        <f t="shared" si="34"/>
        <v>0</v>
      </c>
      <c r="BK69" s="201">
        <f t="shared" si="34"/>
        <v>0</v>
      </c>
      <c r="BL69" s="201">
        <f t="shared" si="34"/>
        <v>0</v>
      </c>
      <c r="BM69" s="201">
        <f t="shared" si="34"/>
        <v>0</v>
      </c>
      <c r="BN69" s="201">
        <f t="shared" si="34"/>
        <v>0</v>
      </c>
      <c r="BO69" s="201"/>
      <c r="BP69" s="1818">
        <f t="shared" si="146"/>
        <v>6</v>
      </c>
      <c r="BQ69" s="1818">
        <f>IFERROR(INDEX('3b Activity Plan'!$DJ$15:$FH$15,BP69),0)</f>
        <v>0</v>
      </c>
      <c r="BR69" s="1768"/>
      <c r="BS69" s="1768">
        <f>IFERROR(INDEX('3b Activity Plan'!$DJ$16:$FH$16,BP69),0)</f>
        <v>0</v>
      </c>
      <c r="BT69" s="201"/>
      <c r="BU69" s="201">
        <f>IFERROR(INDEX('3b Activity Plan'!$DJ$67:$FH$67,$V69),0)</f>
        <v>0</v>
      </c>
      <c r="BV69" s="201">
        <f>IFERROR(INDEX('3b Activity Plan'!$DJ$68:$FH$68,$V69),0)</f>
        <v>0</v>
      </c>
      <c r="BW69" s="201">
        <f>IFERROR(INDEX('3b Activity Plan'!$DJ$69:$FH$69,$V69),0)</f>
        <v>0</v>
      </c>
      <c r="BX69" s="201">
        <f>IFERROR(INDEX('3b Activity Plan'!$DJ$70:$FH$70,$V69),0)</f>
        <v>0</v>
      </c>
      <c r="BY69" s="201">
        <f>IFERROR(INDEX('3b Activity Plan'!$DJ$71:$FH$71,$V69),0)</f>
        <v>0</v>
      </c>
      <c r="BZ69" s="201">
        <f>IFERROR(INDEX('3b Activity Plan'!$DJ$72:$FH$72,$V69),0)</f>
        <v>0</v>
      </c>
      <c r="CA69" s="201">
        <f>IFERROR(INDEX('3b Activity Plan'!$DJ$73:$FH$73,$V69),0)</f>
        <v>0</v>
      </c>
      <c r="CB69" s="201">
        <f>IFERROR(INDEX('3b Activity Plan'!$DJ$74:$FH$74,$V69),0)</f>
        <v>0</v>
      </c>
      <c r="CC69" s="201">
        <f>IFERROR(INDEX('3b Activity Plan'!$DJ$75:$FH$75,$V69),0)</f>
        <v>0</v>
      </c>
      <c r="CD69" s="201">
        <f>IFERROR(INDEX('3b Activity Plan'!$DJ$76:$FH$76,$V69),0)</f>
        <v>0</v>
      </c>
      <c r="CE69" s="201"/>
      <c r="CF69" s="1818">
        <f>SUMIFS('3a Staff Plan'!$AR$129:$AR$305,'3a Staff Plan'!$DY$129:$DY$305,$IA69,'3a Staff Plan'!$AG$129:$AG$305,1,'3a Staff Plan'!$DF$129:$DF$305,1)</f>
        <v>0</v>
      </c>
      <c r="CG69" s="1768">
        <f>SUMIFS('3a Staff Plan'!$AR$129:$AR$305,'3a Staff Plan'!$DY$129:$DY$305,$IA69,'3a Staff Plan'!$AG$129:$AG$305,1,'3a Staff Plan'!$CX$129:$CX$305,1)</f>
        <v>0</v>
      </c>
      <c r="CH69" s="1768">
        <f>SUMIFS('3a Staff Plan'!$AR$129:$AR$305,'3a Staff Plan'!$DY$129:$DY$305,$IA69,'3a Staff Plan'!$AG$129:$AG$305,1,'3a Staff Plan'!$CV$129:$CV$305,1)</f>
        <v>0</v>
      </c>
      <c r="CI69" s="201"/>
      <c r="CJ69" s="201">
        <f>SUMIFS('3a Staff Plan'!$BX$129:$BX$305,'3a Staff Plan'!$DY$129:$DY$305,$IA69,'3a Staff Plan'!$DF$129:$DF$305,1,'3a Staff Plan'!$AG$129:$AG$305,1)</f>
        <v>0</v>
      </c>
      <c r="CK69" s="201">
        <f>SUMIFS('3a Staff Plan'!$BY$129:$BY$305,'3a Staff Plan'!$DY$129:$DY$305,$IA69,'3a Staff Plan'!$DF$129:$DF$305,1,'3a Staff Plan'!$AG$129:$AG$305,1)</f>
        <v>0</v>
      </c>
      <c r="CL69" s="201">
        <f>SUMIFS('3a Staff Plan'!$BZ$129:$BZ$305,'3a Staff Plan'!$DY$129:$DY$305,$IA69,'3a Staff Plan'!$DF$129:$DF$305,1,'3a Staff Plan'!$AG$129:$AG$305,1)</f>
        <v>0</v>
      </c>
      <c r="CM69" s="201">
        <f>SUMIFS('3a Staff Plan'!$CA$129:$CA$305,'3a Staff Plan'!$DY$129:$DY$305,$IA69,'3a Staff Plan'!$DF$129:$DF$305,1,'3a Staff Plan'!$AG$129:$AG$305,1)</f>
        <v>0</v>
      </c>
      <c r="CN69" s="201">
        <f>SUMIFS('3a Staff Plan'!$CB$129:$CB$305,'3a Staff Plan'!$DY$129:$DY$305,$IA69,'3a Staff Plan'!$DF$129:$DF$305,1,'3a Staff Plan'!$AG$129:$AG$305,1)</f>
        <v>0</v>
      </c>
      <c r="CO69" s="201">
        <f>SUMIFS('3a Staff Plan'!$CC$129:$CC$305,'3a Staff Plan'!$DY$129:$DY$305,$IA69,'3a Staff Plan'!$DF$129:$DF$305,1,'3a Staff Plan'!$AG$129:$AG$305,1)</f>
        <v>0</v>
      </c>
      <c r="CP69" s="201">
        <f>SUMIFS('3a Staff Plan'!$CD$129:$CD$305,'3a Staff Plan'!$DY$129:$DY$305,$IA69,'3a Staff Plan'!$DF$129:$DF$305,1,'3a Staff Plan'!$AG$129:$AG$305,1)</f>
        <v>0</v>
      </c>
      <c r="CQ69" s="201">
        <f>SUMIFS('3a Staff Plan'!$CE$129:$CE$305,'3a Staff Plan'!$DY$129:$DY$305,$IA69,'3a Staff Plan'!$DF$129:$DF$305,1,'3a Staff Plan'!$AG$129:$AG$305,1)</f>
        <v>0</v>
      </c>
      <c r="CR69" s="201">
        <f>SUMIFS('3a Staff Plan'!$CF$129:$CF$305,'3a Staff Plan'!$DY$129:$DY$305,$IA69,'3a Staff Plan'!$DF$129:$DF$305,1,'3a Staff Plan'!$AG$129:$AG$305,1)</f>
        <v>0</v>
      </c>
      <c r="CS69" s="201">
        <f>SUMIFS('3a Staff Plan'!$CG$129:$CG$305,'3a Staff Plan'!$DY$129:$DY$305,$IA69,'3a Staff Plan'!$DF$129:$DF$305,1,'3a Staff Plan'!$AG$129:$AG$305,1)</f>
        <v>0</v>
      </c>
      <c r="CT69" s="201"/>
      <c r="CU69" s="1818">
        <f t="shared" si="35"/>
        <v>0</v>
      </c>
      <c r="CV69" s="1768"/>
      <c r="CW69" s="1768">
        <f t="shared" si="35"/>
        <v>0</v>
      </c>
      <c r="CX69" s="201"/>
      <c r="CY69" s="201">
        <f t="shared" si="36"/>
        <v>0</v>
      </c>
      <c r="CZ69" s="201">
        <f t="shared" si="36"/>
        <v>0</v>
      </c>
      <c r="DA69" s="201">
        <f t="shared" si="36"/>
        <v>0</v>
      </c>
      <c r="DB69" s="201">
        <f t="shared" si="36"/>
        <v>0</v>
      </c>
      <c r="DC69" s="201">
        <f t="shared" si="36"/>
        <v>0</v>
      </c>
      <c r="DD69" s="201">
        <f t="shared" si="36"/>
        <v>0</v>
      </c>
      <c r="DE69" s="201">
        <f t="shared" si="36"/>
        <v>0</v>
      </c>
      <c r="DF69" s="201">
        <f t="shared" si="36"/>
        <v>0</v>
      </c>
      <c r="DG69" s="201">
        <f t="shared" si="36"/>
        <v>0</v>
      </c>
      <c r="DH69" s="201">
        <f t="shared" si="36"/>
        <v>0</v>
      </c>
      <c r="DI69" s="201"/>
      <c r="DJ69" s="201"/>
      <c r="DK69" s="201"/>
      <c r="DL69" s="201"/>
      <c r="DM69" s="372">
        <f t="shared" ca="1" si="37"/>
        <v>0</v>
      </c>
      <c r="DN69" s="1185">
        <f t="shared" si="38"/>
        <v>0</v>
      </c>
      <c r="DO69" s="1185">
        <f t="shared" si="39"/>
        <v>0</v>
      </c>
      <c r="DP69" s="201"/>
      <c r="DQ69" s="372">
        <f t="shared" ca="1" si="40"/>
        <v>0</v>
      </c>
      <c r="DR69" s="1185">
        <f t="shared" si="41"/>
        <v>0</v>
      </c>
      <c r="DS69" s="1185">
        <f t="shared" si="42"/>
        <v>0</v>
      </c>
      <c r="DT69" s="201"/>
      <c r="DU69" s="372">
        <f t="shared" ca="1" si="43"/>
        <v>0</v>
      </c>
      <c r="DV69" s="372">
        <f t="shared" si="43"/>
        <v>0</v>
      </c>
      <c r="DW69" s="372">
        <f t="shared" si="43"/>
        <v>0</v>
      </c>
      <c r="DX69" s="201"/>
      <c r="DY69" s="372">
        <f t="shared" si="44"/>
        <v>0</v>
      </c>
      <c r="DZ69" s="372">
        <f t="shared" ca="1" si="45"/>
        <v>0</v>
      </c>
      <c r="EA69" s="201"/>
      <c r="EB69" s="2776">
        <f>IF(EO69=$EO$53,1,IFERROR(INDEX('Currency Data'!$L$8:$L$41,MATCH(EO69,'Currency Data'!$H$8:$H$41,0)),1))</f>
        <v>1</v>
      </c>
      <c r="EC69" s="2776">
        <f t="shared" si="147"/>
        <v>1</v>
      </c>
      <c r="ED69" s="428">
        <f>IF(GQ69=1,'1 Setup'!$T$68,IF(ISBLANK(IJ69),II69/EC69*IF(GL69=1,$ED$53,1),IJ69/EC69)*IF($EW69=7,JW69,1))</f>
        <v>34.729999999999997</v>
      </c>
      <c r="EE69" s="428">
        <f t="shared" si="46"/>
        <v>34.729999999999997</v>
      </c>
      <c r="EF69" s="428"/>
      <c r="EG69" s="1965" t="str">
        <f t="shared" si="148"/>
        <v>031500 - Highways UK</v>
      </c>
      <c r="EH69" s="201">
        <f t="shared" si="149"/>
        <v>1</v>
      </c>
      <c r="EI69" s="445" t="str">
        <f>IF(EH69=1,$EI$53,IF(GQ69=1,$GQ$55,IFERROR(IF($EG69=$EG$53,$EI$53,INDEX('PU List'!$G$6:$G$413,MATCH($EG69,'PU List'!$D$6:$D$413,0))),$EI$53)))</f>
        <v>GB - BIAF</v>
      </c>
      <c r="EJ69" s="2773" t="str">
        <f t="shared" si="150"/>
        <v>GB - BIAF</v>
      </c>
      <c r="EK69" s="1768"/>
      <c r="EL69" s="3283">
        <f>IF(OR(EW69&gt;7,$EL$53=0),0,IF(EJ69=$EI$53,$EL$53,IFERROR(INDEX('Fringe Data'!$U$8:$U$129,MATCH($EJ69,'Fringe Data'!$F$8:$F$129,0)),0)))</f>
        <v>1.73</v>
      </c>
      <c r="EM69" s="372">
        <f t="shared" si="47"/>
        <v>0</v>
      </c>
      <c r="EN69" s="201" t="str">
        <f>IFERROR(INDEX('Fringe Data'!$G$8:$G$64,MATCH($EJ69,'Fringe Data'!$F$8:$F$64,0)),$EO$53)</f>
        <v>GBP</v>
      </c>
      <c r="EO69" s="201" t="str">
        <f t="shared" si="151"/>
        <v>GBP</v>
      </c>
      <c r="EP69" s="201">
        <f>IF(EI69=$EI$53,$EP$49,IF(GP69=1,0,IFERROR(INDEX('Fringe Data'!$K$8:$K$64,MATCH($EI69,'Fringe Data'!$F$8:$F$64,0)),0)))</f>
        <v>0.52</v>
      </c>
      <c r="EQ69" s="201">
        <f>IF(EI69=$EI$53,$EQ$49,IF(GP69=1,0,IFERROR(INDEX('Fringe Data'!$L$8:$L$64,MATCH($EI69,'Fringe Data'!$F$8:$F$64,0)),0)))</f>
        <v>1.8499999999999999E-2</v>
      </c>
      <c r="ER69" s="201">
        <f>IF(EI69=$EI$53,$ER$49,IF(GP69=1,0,IFERROR(INDEX('Fringe Data'!$M$8:$M$64,MATCH($EI69,'Fringe Data'!$F$8:$F$64,0)),0)))</f>
        <v>0.43430000000000002</v>
      </c>
      <c r="ES69" s="201">
        <f>IF(EI69=$EI$53,$ES$49,IF(GP69=1,0,IFERROR(INDEX('Fringe Data'!$N$8:$N$64,MATCH($EI69,'Fringe Data'!$F$8:$F$64,0)),0)))</f>
        <v>0.1565</v>
      </c>
      <c r="ET69" s="201">
        <f>IF(EI69=$EI$53,$ET$49,IF(GP69=1,0,IFERROR(INDEX('Fringe Data'!$O$8:$O$64,MATCH($EI69,'Fringe Data'!$F$8:$F$64,0)),0)))</f>
        <v>0.33450000000000002</v>
      </c>
      <c r="EU69" s="263">
        <f>IF(EI69=$EI$53,$EU$49,IF(GP69=1,0,IFERROR(INDEX('Fringe Data'!$P$8:$P$64,MATCH($EI69,'Fringe Data'!$F$8:$F$64,0)),0)))</f>
        <v>0.1565</v>
      </c>
      <c r="EV69" s="201"/>
      <c r="EW69" s="1530">
        <f t="shared" si="48"/>
        <v>1</v>
      </c>
      <c r="EX69" s="1534">
        <f t="shared" si="152"/>
        <v>0.52</v>
      </c>
      <c r="EY69" s="321">
        <f t="shared" si="153"/>
        <v>0</v>
      </c>
      <c r="EZ69" s="201">
        <f t="shared" si="154"/>
        <v>52.789599999999993</v>
      </c>
      <c r="FA69" s="372">
        <f t="shared" si="49"/>
        <v>0</v>
      </c>
      <c r="FB69" s="372">
        <f t="shared" si="50"/>
        <v>0</v>
      </c>
      <c r="FC69" s="201">
        <f t="shared" ca="1" si="155"/>
        <v>0</v>
      </c>
      <c r="FD69" s="423">
        <f t="shared" si="51"/>
        <v>0</v>
      </c>
      <c r="FE69" s="423">
        <f t="shared" si="52"/>
        <v>0</v>
      </c>
      <c r="FF69" s="201">
        <f t="shared" si="156"/>
        <v>0</v>
      </c>
      <c r="FG69" s="425">
        <f>IF(OR($FJ$52=3,$FJ$52=4,$FJ$52=5),'1 Setup'!$W$96,0)</f>
        <v>0</v>
      </c>
      <c r="FH69" s="428">
        <f>IF($FJ$52=5,'1 Setup'!$W$98,IF($FJ$52=6,'1 Setup'!$S$86,0))</f>
        <v>0</v>
      </c>
      <c r="FI69" s="321">
        <f t="shared" ca="1" si="53"/>
        <v>90.61</v>
      </c>
      <c r="FJ69" s="263">
        <f t="shared" ca="1" si="157"/>
        <v>91.289574999999999</v>
      </c>
      <c r="FK69" s="372">
        <f t="shared" ca="1" si="54"/>
        <v>0</v>
      </c>
      <c r="FL69" s="372">
        <f t="shared" si="55"/>
        <v>0</v>
      </c>
      <c r="FM69" s="372">
        <f t="shared" si="56"/>
        <v>0</v>
      </c>
      <c r="FN69" s="2036">
        <f t="shared" ca="1" si="57"/>
        <v>91.289574999999999</v>
      </c>
      <c r="FO69" s="372">
        <f t="shared" ca="1" si="58"/>
        <v>0</v>
      </c>
      <c r="FP69" s="2723">
        <f t="shared" si="158"/>
        <v>0</v>
      </c>
      <c r="FQ69" s="372">
        <f t="shared" ca="1" si="59"/>
        <v>1</v>
      </c>
      <c r="FR69" s="372">
        <f t="shared" si="159"/>
        <v>0</v>
      </c>
      <c r="FS69" s="1168"/>
      <c r="FT69" s="1168">
        <f t="shared" si="60"/>
        <v>52.789599999999993</v>
      </c>
      <c r="FU69" s="1168">
        <f t="shared" si="61"/>
        <v>52.789599999999993</v>
      </c>
      <c r="FV69" s="1168">
        <f t="shared" si="62"/>
        <v>52.789599999999993</v>
      </c>
      <c r="FW69" s="1168">
        <f t="shared" si="63"/>
        <v>52.789599999999993</v>
      </c>
      <c r="FX69" s="1168">
        <f t="shared" si="64"/>
        <v>52.789599999999993</v>
      </c>
      <c r="FY69" s="1168">
        <f t="shared" si="65"/>
        <v>52.789599999999993</v>
      </c>
      <c r="FZ69" s="1168">
        <f t="shared" si="66"/>
        <v>52.789599999999993</v>
      </c>
      <c r="GA69" s="1168">
        <f t="shared" si="67"/>
        <v>52.789599999999993</v>
      </c>
      <c r="GB69" s="1168">
        <f t="shared" si="68"/>
        <v>52.789599999999993</v>
      </c>
      <c r="GC69" s="1168">
        <f t="shared" si="69"/>
        <v>52.789599999999993</v>
      </c>
      <c r="GD69" s="1168"/>
      <c r="GE69" s="199"/>
      <c r="GF69" s="201">
        <f t="shared" si="70"/>
        <v>1</v>
      </c>
      <c r="GG69" s="201">
        <f t="shared" si="71"/>
        <v>0</v>
      </c>
      <c r="GH69" s="201">
        <f t="shared" si="72"/>
        <v>0</v>
      </c>
      <c r="GI69" s="201">
        <f t="shared" ca="1" si="160"/>
        <v>0</v>
      </c>
      <c r="GJ69" s="201">
        <f t="shared" si="73"/>
        <v>0</v>
      </c>
      <c r="GK69" s="201">
        <f t="shared" si="74"/>
        <v>0</v>
      </c>
      <c r="GL69" s="201">
        <f t="shared" si="75"/>
        <v>1</v>
      </c>
      <c r="GM69" s="201">
        <f t="shared" si="76"/>
        <v>1</v>
      </c>
      <c r="GN69" s="201"/>
      <c r="GO69" s="201"/>
      <c r="GP69" s="201">
        <f t="shared" si="77"/>
        <v>0</v>
      </c>
      <c r="GQ69" s="201">
        <f t="shared" si="78"/>
        <v>0</v>
      </c>
      <c r="GR69" s="201">
        <f t="shared" si="161"/>
        <v>0</v>
      </c>
      <c r="GS69" s="1768"/>
      <c r="GT69" s="201">
        <f t="shared" si="79"/>
        <v>1</v>
      </c>
      <c r="GU69" s="201">
        <f t="shared" si="193"/>
        <v>6</v>
      </c>
      <c r="GV69" s="201">
        <f t="shared" si="80"/>
        <v>6</v>
      </c>
      <c r="GW69" s="201">
        <f t="shared" si="81"/>
        <v>3</v>
      </c>
      <c r="GX69" s="201">
        <f t="shared" si="162"/>
        <v>0</v>
      </c>
      <c r="GY69" s="1998"/>
      <c r="GZ69" s="253"/>
      <c r="HA69" s="195" t="str">
        <f t="shared" si="163"/>
        <v>Tipton Catherine</v>
      </c>
      <c r="HB69" s="3558" t="str">
        <f t="shared" si="82"/>
        <v>L1A Operational Manager</v>
      </c>
      <c r="HC69" s="3590"/>
      <c r="HD69" s="257" t="str">
        <f t="shared" si="83"/>
        <v/>
      </c>
      <c r="HE69" s="825">
        <f t="shared" si="84"/>
        <v>0</v>
      </c>
      <c r="HF69" s="506" t="s">
        <v>5</v>
      </c>
      <c r="HG69" s="508">
        <f t="shared" ca="1" si="85"/>
        <v>0</v>
      </c>
      <c r="HH69" s="3585">
        <f t="shared" si="86"/>
        <v>0</v>
      </c>
      <c r="HI69" s="3586"/>
      <c r="HJ69" s="504">
        <f t="shared" ca="1" si="87"/>
        <v>0</v>
      </c>
      <c r="HK69" s="456">
        <f t="shared" ca="1" si="88"/>
        <v>0</v>
      </c>
      <c r="HL69" s="3591">
        <f t="shared" ca="1" si="89"/>
        <v>0</v>
      </c>
      <c r="HM69" s="3592"/>
      <c r="HN69" s="240"/>
      <c r="HO69" s="1998"/>
      <c r="HP69" s="1991"/>
      <c r="HQ69" s="2770" t="str">
        <f t="shared" si="90"/>
        <v>GB - BIAF</v>
      </c>
      <c r="HR69" s="2770" t="str">
        <f t="shared" si="91"/>
        <v>GBP</v>
      </c>
      <c r="HS69" s="2771">
        <f t="shared" si="92"/>
        <v>1</v>
      </c>
      <c r="HT69" s="3623"/>
      <c r="HU69" s="2771">
        <f t="shared" si="93"/>
        <v>1.73</v>
      </c>
      <c r="HW69" s="1218"/>
      <c r="HX69" s="520"/>
      <c r="HY69" s="2523"/>
      <c r="HZ69" s="194" t="s">
        <v>4352</v>
      </c>
      <c r="IA69" s="1013" t="s">
        <v>4407</v>
      </c>
      <c r="IB69" s="193"/>
      <c r="IC69" s="3276">
        <v>6</v>
      </c>
      <c r="ID69" s="986"/>
      <c r="IE69" s="938">
        <f t="shared" si="164"/>
        <v>0</v>
      </c>
      <c r="IF69" s="938">
        <f t="shared" si="165"/>
        <v>0</v>
      </c>
      <c r="IG69" s="432"/>
      <c r="II69" s="405"/>
      <c r="IJ69" s="239">
        <v>34.729999999999997</v>
      </c>
      <c r="IK69" s="2774" t="str">
        <f t="shared" si="166"/>
        <v>GBP</v>
      </c>
      <c r="IL69" s="2148"/>
      <c r="IM69" s="1936">
        <f t="shared" si="94"/>
        <v>34.729999999999997</v>
      </c>
      <c r="IO69" s="1959" t="str">
        <f t="shared" si="95"/>
        <v xml:space="preserve"> Staff (Normal)</v>
      </c>
      <c r="IP69" s="1958"/>
      <c r="IQ69" s="543">
        <f t="shared" si="96"/>
        <v>0.52</v>
      </c>
      <c r="IR69" s="1936">
        <f t="shared" si="97"/>
        <v>52.789599999999993</v>
      </c>
      <c r="IT69" s="1364"/>
      <c r="IU69" s="210"/>
      <c r="IV69" s="218"/>
      <c r="IW69" s="1938">
        <f ca="1">IF(NOT(ISBLANK(IU69)),IU69,IF('1 Setup'!$G$8&lt;7,JK69,FJ69))+KA69</f>
        <v>91.289574999999999</v>
      </c>
      <c r="IX69" s="409" t="str">
        <f t="shared" si="98"/>
        <v>Tipton Catherine</v>
      </c>
      <c r="IY69" s="408" t="str">
        <f t="shared" si="99"/>
        <v>L1A Operational Manager</v>
      </c>
      <c r="IZ69" s="1983"/>
      <c r="JA69" s="1994"/>
      <c r="JB69" s="1991"/>
      <c r="JD69" s="2029" t="str">
        <f t="shared" si="167"/>
        <v>Tipton Catherine</v>
      </c>
      <c r="JE69" s="479"/>
      <c r="JF69" s="2025">
        <f t="shared" si="100"/>
        <v>0</v>
      </c>
      <c r="JG69" s="429">
        <f t="shared" si="101"/>
        <v>0</v>
      </c>
      <c r="JH69" s="1667">
        <f t="shared" si="102"/>
        <v>0</v>
      </c>
      <c r="JJ69" s="1163">
        <f t="shared" ca="1" si="103"/>
        <v>91.289574999999999</v>
      </c>
      <c r="JK69" s="1163">
        <f t="shared" ca="1" si="104"/>
        <v>91.289574999999999</v>
      </c>
      <c r="JL69" s="1795"/>
      <c r="JN69" s="2505"/>
      <c r="JO69" s="1161"/>
      <c r="JP69" s="571">
        <f t="shared" ca="1" si="105"/>
        <v>90.61</v>
      </c>
      <c r="JQ69" s="2506" t="s">
        <v>4315</v>
      </c>
      <c r="JR69" s="1953"/>
      <c r="JS69" s="2650"/>
      <c r="JT69" s="2507"/>
      <c r="JU69" s="1964">
        <f t="shared" si="106"/>
        <v>0.33450000000000002</v>
      </c>
      <c r="JV69" s="3199"/>
      <c r="JW69" s="2649">
        <f t="shared" si="107"/>
        <v>1.5</v>
      </c>
      <c r="JX69" s="1964">
        <f t="shared" si="168"/>
        <v>0.1565</v>
      </c>
      <c r="JY69" s="3199"/>
      <c r="JZ69" s="2649">
        <f t="shared" si="169"/>
        <v>0</v>
      </c>
      <c r="KA69" s="2649">
        <f t="shared" si="170"/>
        <v>0</v>
      </c>
      <c r="KB69" s="2649" t="s">
        <v>111</v>
      </c>
      <c r="KC69" s="1983"/>
      <c r="KD69" s="1974"/>
      <c r="KE69" s="1991"/>
      <c r="KF69" s="2029" t="str">
        <f t="shared" si="171"/>
        <v>Tipton Catherine</v>
      </c>
      <c r="KG69" s="1991"/>
      <c r="KH69" s="2121">
        <f t="shared" si="108"/>
        <v>0</v>
      </c>
      <c r="KI69" s="2130">
        <f t="shared" si="109"/>
        <v>0</v>
      </c>
      <c r="KJ69" s="2130">
        <f t="shared" si="110"/>
        <v>0</v>
      </c>
      <c r="KK69" s="2130">
        <f t="shared" si="111"/>
        <v>0</v>
      </c>
      <c r="KL69" s="2131">
        <f t="shared" si="112"/>
        <v>0</v>
      </c>
      <c r="KM69" s="2132">
        <f t="shared" si="113"/>
        <v>0</v>
      </c>
      <c r="KN69" s="2132">
        <f t="shared" si="114"/>
        <v>0</v>
      </c>
      <c r="KO69" s="2132">
        <f t="shared" si="115"/>
        <v>0</v>
      </c>
      <c r="KP69" s="2132">
        <f t="shared" si="116"/>
        <v>0</v>
      </c>
      <c r="KQ69" s="2133">
        <f t="shared" si="117"/>
        <v>0</v>
      </c>
      <c r="KS69" s="2253">
        <f t="shared" si="118"/>
        <v>34.729999999999997</v>
      </c>
      <c r="KT69" s="2270">
        <f t="shared" ref="KT69:LB69" si="197">KS69*(1+(KT$60))</f>
        <v>34.729999999999997</v>
      </c>
      <c r="KU69" s="2271">
        <f t="shared" si="197"/>
        <v>34.729999999999997</v>
      </c>
      <c r="KV69" s="2271">
        <f t="shared" si="197"/>
        <v>34.729999999999997</v>
      </c>
      <c r="KW69" s="2272">
        <f t="shared" si="197"/>
        <v>34.729999999999997</v>
      </c>
      <c r="KX69" s="2271">
        <f t="shared" si="197"/>
        <v>34.729999999999997</v>
      </c>
      <c r="KY69" s="2271">
        <f t="shared" si="197"/>
        <v>34.729999999999997</v>
      </c>
      <c r="KZ69" s="2271">
        <f t="shared" si="197"/>
        <v>34.729999999999997</v>
      </c>
      <c r="LA69" s="2271">
        <f t="shared" si="197"/>
        <v>34.729999999999997</v>
      </c>
      <c r="LB69" s="2273">
        <f t="shared" si="197"/>
        <v>34.729999999999997</v>
      </c>
      <c r="LC69" s="272"/>
      <c r="LD69" s="2124">
        <f t="shared" si="120"/>
        <v>0</v>
      </c>
      <c r="LE69" s="2093">
        <f t="shared" si="121"/>
        <v>0</v>
      </c>
      <c r="LF69" s="2093">
        <f t="shared" si="122"/>
        <v>0</v>
      </c>
      <c r="LG69" s="2093">
        <f t="shared" si="123"/>
        <v>0</v>
      </c>
      <c r="LH69" s="2094">
        <f t="shared" si="124"/>
        <v>0</v>
      </c>
      <c r="LI69" s="2095">
        <f t="shared" si="125"/>
        <v>0</v>
      </c>
      <c r="LJ69" s="2095">
        <f t="shared" si="126"/>
        <v>0</v>
      </c>
      <c r="LK69" s="2095">
        <f t="shared" si="127"/>
        <v>0</v>
      </c>
      <c r="LL69" s="2095">
        <f t="shared" si="128"/>
        <v>0</v>
      </c>
      <c r="LM69" s="2096">
        <f t="shared" si="129"/>
        <v>0</v>
      </c>
      <c r="LN69" s="749"/>
      <c r="LO69" s="2256">
        <f t="shared" ca="1" si="130"/>
        <v>91.289574999999999</v>
      </c>
      <c r="LP69" s="2270">
        <f t="shared" ca="1" si="131"/>
        <v>91.289574999999999</v>
      </c>
      <c r="LQ69" s="2271">
        <f t="shared" ca="1" si="132"/>
        <v>91.289574999999999</v>
      </c>
      <c r="LR69" s="2271">
        <f t="shared" ca="1" si="133"/>
        <v>91.289574999999999</v>
      </c>
      <c r="LS69" s="2272">
        <f t="shared" ca="1" si="134"/>
        <v>91.289574999999999</v>
      </c>
      <c r="LT69" s="2271">
        <f t="shared" ca="1" si="135"/>
        <v>91.289574999999999</v>
      </c>
      <c r="LU69" s="2271">
        <f t="shared" ca="1" si="136"/>
        <v>91.289574999999999</v>
      </c>
      <c r="LV69" s="2271">
        <f t="shared" ca="1" si="137"/>
        <v>91.289574999999999</v>
      </c>
      <c r="LW69" s="2271">
        <f t="shared" ca="1" si="138"/>
        <v>91.289574999999999</v>
      </c>
      <c r="LX69" s="2273">
        <f t="shared" ca="1" si="139"/>
        <v>91.289574999999999</v>
      </c>
      <c r="LY69" s="479"/>
      <c r="LZ69" s="3128">
        <f t="shared" ca="1" si="173"/>
        <v>36.769975000000009</v>
      </c>
      <c r="MA69" s="3129">
        <f t="shared" ca="1" si="174"/>
        <v>36.769975000000009</v>
      </c>
      <c r="MB69" s="3129">
        <f t="shared" ca="1" si="175"/>
        <v>36.769975000000009</v>
      </c>
      <c r="MC69" s="3129">
        <f t="shared" ca="1" si="176"/>
        <v>36.769975000000009</v>
      </c>
      <c r="MD69" s="3130">
        <f t="shared" ca="1" si="177"/>
        <v>36.769975000000009</v>
      </c>
      <c r="ME69" s="3129">
        <f t="shared" ca="1" si="178"/>
        <v>36.769975000000009</v>
      </c>
      <c r="MF69" s="3129">
        <f t="shared" ca="1" si="179"/>
        <v>36.769975000000009</v>
      </c>
      <c r="MG69" s="3129">
        <f t="shared" ca="1" si="180"/>
        <v>36.769975000000009</v>
      </c>
      <c r="MH69" s="3129">
        <f t="shared" ca="1" si="181"/>
        <v>36.769975000000009</v>
      </c>
      <c r="MI69" s="3131">
        <f t="shared" ca="1" si="182"/>
        <v>36.769975000000009</v>
      </c>
      <c r="MJ69" s="3201"/>
      <c r="MK69" s="3206">
        <f t="shared" ca="1" si="183"/>
        <v>0</v>
      </c>
      <c r="ML69" s="3207">
        <f t="shared" ca="1" si="184"/>
        <v>0</v>
      </c>
      <c r="MM69" s="3207">
        <f t="shared" ca="1" si="185"/>
        <v>0</v>
      </c>
      <c r="MN69" s="3207">
        <f t="shared" ca="1" si="186"/>
        <v>0</v>
      </c>
      <c r="MO69" s="3208">
        <f t="shared" ca="1" si="187"/>
        <v>0</v>
      </c>
      <c r="MP69" s="3207">
        <f t="shared" ca="1" si="188"/>
        <v>0</v>
      </c>
      <c r="MQ69" s="3207">
        <f t="shared" ca="1" si="189"/>
        <v>0</v>
      </c>
      <c r="MR69" s="3207">
        <f t="shared" ca="1" si="190"/>
        <v>0</v>
      </c>
      <c r="MS69" s="3207">
        <f t="shared" ca="1" si="191"/>
        <v>0</v>
      </c>
      <c r="MT69" s="3209">
        <f t="shared" ca="1" si="192"/>
        <v>0</v>
      </c>
      <c r="MU69" s="1983"/>
      <c r="MV69" s="1975"/>
      <c r="MW69" s="1991"/>
      <c r="MX69" s="1931" t="str">
        <f t="shared" si="142"/>
        <v>Tipton Catherine</v>
      </c>
      <c r="MY69" s="749"/>
      <c r="MZ69" s="1934">
        <f t="shared" ca="1" si="143"/>
        <v>91.289574999999999</v>
      </c>
      <c r="NA69" s="1935"/>
      <c r="NB69" s="2652">
        <f t="shared" ca="1" si="144"/>
        <v>2.6285509645839333</v>
      </c>
      <c r="NC69" s="479"/>
      <c r="ND69" s="2749" t="str">
        <f t="shared" si="145"/>
        <v xml:space="preserve"> Staff (Normal)</v>
      </c>
      <c r="NE69" s="2717"/>
      <c r="NF69" s="1975"/>
      <c r="NG69" s="1975"/>
      <c r="NH69" s="1975"/>
      <c r="NI69" s="1975"/>
    </row>
    <row r="70" spans="1:373" s="192" customFormat="1" ht="15.9" customHeight="1" x14ac:dyDescent="0.3">
      <c r="A70" s="200"/>
      <c r="B70" s="200"/>
      <c r="C70" s="200"/>
      <c r="D70" s="200"/>
      <c r="E70" s="200"/>
      <c r="F70" s="200"/>
      <c r="G70" s="200"/>
      <c r="H70" s="200"/>
      <c r="I70" s="200"/>
      <c r="J70" s="200"/>
      <c r="K70" s="200"/>
      <c r="L70" s="200"/>
      <c r="M70" s="200"/>
      <c r="N70" s="200"/>
      <c r="O70" s="200"/>
      <c r="P70" s="1539"/>
      <c r="Q70" s="1539"/>
      <c r="R70" s="198"/>
      <c r="S70" s="1539"/>
      <c r="T70" s="201"/>
      <c r="U70" s="200"/>
      <c r="V70" s="201">
        <f>MATCH($IC70,'3b Activity Plan'!$DJ$171:$FH$171,0)</f>
        <v>7</v>
      </c>
      <c r="W70" s="201">
        <f>IFERROR(INDEX('3b Activity Plan'!$DJ$6:$FH$6,V70),0)</f>
        <v>6</v>
      </c>
      <c r="X70" s="1768"/>
      <c r="Y70" s="1768">
        <f>IFERROR(INDEX('3b Activity Plan'!$DJ$7:$FH$7,V70),0)</f>
        <v>6</v>
      </c>
      <c r="Z70" s="201"/>
      <c r="AA70" s="201">
        <f>IFERROR(INDEX('3b Activity Plan'!$DJ$34:$FH$34,$V70),0)</f>
        <v>6</v>
      </c>
      <c r="AB70" s="201">
        <f>IFERROR(INDEX('3b Activity Plan'!$DJ$35:$FH$35,$V70),0)</f>
        <v>0</v>
      </c>
      <c r="AC70" s="201">
        <f>IFERROR(INDEX('3b Activity Plan'!$DJ$36:$FH$36,$V70),0)</f>
        <v>0</v>
      </c>
      <c r="AD70" s="201">
        <f>IFERROR(INDEX('3b Activity Plan'!$DJ$37:$FH$37,$V70),0)</f>
        <v>0</v>
      </c>
      <c r="AE70" s="201">
        <f>IFERROR(INDEX('3b Activity Plan'!$DJ$38:$FH$38,$V70),0)</f>
        <v>0</v>
      </c>
      <c r="AF70" s="201">
        <f>IFERROR(INDEX('3b Activity Plan'!$DJ$39:$FH$39,$V70),0)</f>
        <v>0</v>
      </c>
      <c r="AG70" s="201">
        <f>IFERROR(INDEX('3b Activity Plan'!$DJ$40:$FH$40,$V70),0)</f>
        <v>0</v>
      </c>
      <c r="AH70" s="201">
        <f>IFERROR(INDEX('3b Activity Plan'!$DJ$41:$FH$41,$V70),0)</f>
        <v>0</v>
      </c>
      <c r="AI70" s="201">
        <f>IFERROR(INDEX('3b Activity Plan'!$DJ$42:$FH$42,$V70),0)</f>
        <v>0</v>
      </c>
      <c r="AJ70" s="201">
        <f>IFERROR(INDEX('3b Activity Plan'!$DJ$43:$FH$43,$V70),0)</f>
        <v>0</v>
      </c>
      <c r="AK70" s="201"/>
      <c r="AL70" s="201">
        <f>SUMIFS('3a Staff Plan'!$AR$129:$AR$305,'3a Staff Plan'!$DY$129:$DY$305,$IA70,'3a Staff Plan'!$DF$129:$DF$305,1)</f>
        <v>0</v>
      </c>
      <c r="AM70" s="1768"/>
      <c r="AN70" s="1768">
        <f>SUMIFS('3a Staff Plan'!$AR$129:$AR$305,'3a Staff Plan'!$DY$129:$DY$305,$IA70,'3a Staff Plan'!$CV$129:$CV$305,1)</f>
        <v>0</v>
      </c>
      <c r="AO70" s="201"/>
      <c r="AP70" s="201">
        <f>SUMIFS('3a Staff Plan'!$AS$129:$AS$305,'3a Staff Plan'!$DY$129:$DY$305,$IA70,'3a Staff Plan'!$DF$129:$DF$305,1)</f>
        <v>0</v>
      </c>
      <c r="AQ70" s="201">
        <f>SUMIFS('3a Staff Plan'!$AT$129:$AT$305,'3a Staff Plan'!$DY$129:$DY$305,$IA70,'3a Staff Plan'!$DF$129:$DF$305,1)</f>
        <v>0</v>
      </c>
      <c r="AR70" s="201">
        <f>SUMIFS('3a Staff Plan'!$AU$129:$AU$305,'3a Staff Plan'!$DY$129:$DY$305,$IA70,'3a Staff Plan'!$DF$129:$DF$305,1)</f>
        <v>0</v>
      </c>
      <c r="AS70" s="201">
        <f>SUMIFS('3a Staff Plan'!$AV$129:$AV$305,'3a Staff Plan'!$DY$129:$DY$305,$IA70,'3a Staff Plan'!$DF$129:$DF$305,1)</f>
        <v>0</v>
      </c>
      <c r="AT70" s="201">
        <f>SUMIFS('3a Staff Plan'!$AW$129:$AW$305,'3a Staff Plan'!$DY$129:$DY$305,$IA70,'3a Staff Plan'!$DF$129:$DF$305,1)</f>
        <v>0</v>
      </c>
      <c r="AU70" s="201">
        <f>SUMIFS('3a Staff Plan'!$AX$129:$AX$305,'3a Staff Plan'!$DY$129:$DY$305,$IA70,'3a Staff Plan'!$DF$129:$DF$305,1)</f>
        <v>0</v>
      </c>
      <c r="AV70" s="201">
        <f>SUMIFS('3a Staff Plan'!$AY$129:$AY$305,'3a Staff Plan'!$DY$129:$DY$305,$IA70,'3a Staff Plan'!$DF$129:$DF$305,1)</f>
        <v>0</v>
      </c>
      <c r="AW70" s="201">
        <f>SUMIFS('3a Staff Plan'!$AZ$129:$AZ$305,'3a Staff Plan'!$DY$129:$DY$305,$IA70,'3a Staff Plan'!$DF$129:$DF$305,1)</f>
        <v>0</v>
      </c>
      <c r="AX70" s="201">
        <f>SUMIFS('3a Staff Plan'!$BA$129:$BA$305,'3a Staff Plan'!$DY$129:$DY$305,$IA70,'3a Staff Plan'!$DF$129:$DF$305,1)</f>
        <v>0</v>
      </c>
      <c r="AY70" s="201">
        <f>SUMIFS('3a Staff Plan'!$BB$129:$BB$305,'3a Staff Plan'!$DY$129:$DY$305,$IA70,'3a Staff Plan'!$DF$129:$DF$305,1)</f>
        <v>0</v>
      </c>
      <c r="AZ70" s="201"/>
      <c r="BA70" s="201">
        <f t="shared" ref="BA70:BA113" si="198">(W70*$V$51)+(AL70*$AL$51)</f>
        <v>6</v>
      </c>
      <c r="BB70" s="1768"/>
      <c r="BC70" s="1768">
        <f t="shared" ref="BC70:BC113" si="199">(Y70*$V$51)+(AN70*$AL$51)</f>
        <v>6</v>
      </c>
      <c r="BD70" s="201"/>
      <c r="BE70" s="201">
        <f t="shared" ref="BE70:BE113" si="200">(AA70*$V$51)+(AP70*$AL$51)</f>
        <v>6</v>
      </c>
      <c r="BF70" s="201">
        <f t="shared" ref="BF70:BF113" si="201">(AB70*$V$51)+(AQ70*$AL$51)</f>
        <v>0</v>
      </c>
      <c r="BG70" s="201">
        <f t="shared" ref="BG70:BG113" si="202">(AC70*$V$51)+(AR70*$AL$51)</f>
        <v>0</v>
      </c>
      <c r="BH70" s="201">
        <f t="shared" ref="BH70:BH113" si="203">(AD70*$V$51)+(AS70*$AL$51)</f>
        <v>0</v>
      </c>
      <c r="BI70" s="201">
        <f t="shared" ref="BI70:BI113" si="204">(AE70*$V$51)+(AT70*$AL$51)</f>
        <v>0</v>
      </c>
      <c r="BJ70" s="201">
        <f t="shared" ref="BJ70:BJ113" si="205">(AF70*$V$51)+(AU70*$AL$51)</f>
        <v>0</v>
      </c>
      <c r="BK70" s="201">
        <f t="shared" ref="BK70:BK113" si="206">(AG70*$V$51)+(AV70*$AL$51)</f>
        <v>0</v>
      </c>
      <c r="BL70" s="201">
        <f t="shared" ref="BL70:BL113" si="207">(AH70*$V$51)+(AW70*$AL$51)</f>
        <v>0</v>
      </c>
      <c r="BM70" s="201">
        <f t="shared" ref="BM70:BM113" si="208">(AI70*$V$51)+(AX70*$AL$51)</f>
        <v>0</v>
      </c>
      <c r="BN70" s="201">
        <f t="shared" ref="BN70:BN113" si="209">(AJ70*$V$51)+(AY70*$AL$51)</f>
        <v>0</v>
      </c>
      <c r="BO70" s="201"/>
      <c r="BP70" s="1818">
        <f t="shared" si="146"/>
        <v>7</v>
      </c>
      <c r="BQ70" s="1818">
        <f>IFERROR(INDEX('3b Activity Plan'!$DJ$15:$FH$15,BP70),0)</f>
        <v>6</v>
      </c>
      <c r="BR70" s="1768"/>
      <c r="BS70" s="1768">
        <f>IFERROR(INDEX('3b Activity Plan'!$DJ$16:$FH$16,BP70),0)</f>
        <v>6</v>
      </c>
      <c r="BT70" s="201"/>
      <c r="BU70" s="201">
        <f>IFERROR(INDEX('3b Activity Plan'!$DJ$67:$FH$67,$V70),0)</f>
        <v>6</v>
      </c>
      <c r="BV70" s="201">
        <f>IFERROR(INDEX('3b Activity Plan'!$DJ$68:$FH$68,$V70),0)</f>
        <v>0</v>
      </c>
      <c r="BW70" s="201">
        <f>IFERROR(INDEX('3b Activity Plan'!$DJ$69:$FH$69,$V70),0)</f>
        <v>0</v>
      </c>
      <c r="BX70" s="201">
        <f>IFERROR(INDEX('3b Activity Plan'!$DJ$70:$FH$70,$V70),0)</f>
        <v>0</v>
      </c>
      <c r="BY70" s="201">
        <f>IFERROR(INDEX('3b Activity Plan'!$DJ$71:$FH$71,$V70),0)</f>
        <v>0</v>
      </c>
      <c r="BZ70" s="201">
        <f>IFERROR(INDEX('3b Activity Plan'!$DJ$72:$FH$72,$V70),0)</f>
        <v>0</v>
      </c>
      <c r="CA70" s="201">
        <f>IFERROR(INDEX('3b Activity Plan'!$DJ$73:$FH$73,$V70),0)</f>
        <v>0</v>
      </c>
      <c r="CB70" s="201">
        <f>IFERROR(INDEX('3b Activity Plan'!$DJ$74:$FH$74,$V70),0)</f>
        <v>0</v>
      </c>
      <c r="CC70" s="201">
        <f>IFERROR(INDEX('3b Activity Plan'!$DJ$75:$FH$75,$V70),0)</f>
        <v>0</v>
      </c>
      <c r="CD70" s="201">
        <f>IFERROR(INDEX('3b Activity Plan'!$DJ$76:$FH$76,$V70),0)</f>
        <v>0</v>
      </c>
      <c r="CE70" s="201"/>
      <c r="CF70" s="1818">
        <f>SUMIFS('3a Staff Plan'!$AR$129:$AR$305,'3a Staff Plan'!$DY$129:$DY$305,$IA70,'3a Staff Plan'!$AG$129:$AG$305,1,'3a Staff Plan'!$DF$129:$DF$305,1)</f>
        <v>0</v>
      </c>
      <c r="CG70" s="1768">
        <f>SUMIFS('3a Staff Plan'!$AR$129:$AR$305,'3a Staff Plan'!$DY$129:$DY$305,$IA70,'3a Staff Plan'!$AG$129:$AG$305,1,'3a Staff Plan'!$CX$129:$CX$305,1)</f>
        <v>0</v>
      </c>
      <c r="CH70" s="1768">
        <f>SUMIFS('3a Staff Plan'!$AR$129:$AR$305,'3a Staff Plan'!$DY$129:$DY$305,$IA70,'3a Staff Plan'!$AG$129:$AG$305,1,'3a Staff Plan'!$CV$129:$CV$305,1)</f>
        <v>0</v>
      </c>
      <c r="CI70" s="201"/>
      <c r="CJ70" s="201">
        <f>SUMIFS('3a Staff Plan'!$BX$129:$BX$305,'3a Staff Plan'!$DY$129:$DY$305,$IA70,'3a Staff Plan'!$DF$129:$DF$305,1,'3a Staff Plan'!$AG$129:$AG$305,1)</f>
        <v>0</v>
      </c>
      <c r="CK70" s="201">
        <f>SUMIFS('3a Staff Plan'!$BY$129:$BY$305,'3a Staff Plan'!$DY$129:$DY$305,$IA70,'3a Staff Plan'!$DF$129:$DF$305,1,'3a Staff Plan'!$AG$129:$AG$305,1)</f>
        <v>0</v>
      </c>
      <c r="CL70" s="201">
        <f>SUMIFS('3a Staff Plan'!$BZ$129:$BZ$305,'3a Staff Plan'!$DY$129:$DY$305,$IA70,'3a Staff Plan'!$DF$129:$DF$305,1,'3a Staff Plan'!$AG$129:$AG$305,1)</f>
        <v>0</v>
      </c>
      <c r="CM70" s="201">
        <f>SUMIFS('3a Staff Plan'!$CA$129:$CA$305,'3a Staff Plan'!$DY$129:$DY$305,$IA70,'3a Staff Plan'!$DF$129:$DF$305,1,'3a Staff Plan'!$AG$129:$AG$305,1)</f>
        <v>0</v>
      </c>
      <c r="CN70" s="201">
        <f>SUMIFS('3a Staff Plan'!$CB$129:$CB$305,'3a Staff Plan'!$DY$129:$DY$305,$IA70,'3a Staff Plan'!$DF$129:$DF$305,1,'3a Staff Plan'!$AG$129:$AG$305,1)</f>
        <v>0</v>
      </c>
      <c r="CO70" s="201">
        <f>SUMIFS('3a Staff Plan'!$CC$129:$CC$305,'3a Staff Plan'!$DY$129:$DY$305,$IA70,'3a Staff Plan'!$DF$129:$DF$305,1,'3a Staff Plan'!$AG$129:$AG$305,1)</f>
        <v>0</v>
      </c>
      <c r="CP70" s="201">
        <f>SUMIFS('3a Staff Plan'!$CD$129:$CD$305,'3a Staff Plan'!$DY$129:$DY$305,$IA70,'3a Staff Plan'!$DF$129:$DF$305,1,'3a Staff Plan'!$AG$129:$AG$305,1)</f>
        <v>0</v>
      </c>
      <c r="CQ70" s="201">
        <f>SUMIFS('3a Staff Plan'!$CE$129:$CE$305,'3a Staff Plan'!$DY$129:$DY$305,$IA70,'3a Staff Plan'!$DF$129:$DF$305,1,'3a Staff Plan'!$AG$129:$AG$305,1)</f>
        <v>0</v>
      </c>
      <c r="CR70" s="201">
        <f>SUMIFS('3a Staff Plan'!$CF$129:$CF$305,'3a Staff Plan'!$DY$129:$DY$305,$IA70,'3a Staff Plan'!$DF$129:$DF$305,1,'3a Staff Plan'!$AG$129:$AG$305,1)</f>
        <v>0</v>
      </c>
      <c r="CS70" s="201">
        <f>SUMIFS('3a Staff Plan'!$CG$129:$CG$305,'3a Staff Plan'!$DY$129:$DY$305,$IA70,'3a Staff Plan'!$DF$129:$DF$305,1,'3a Staff Plan'!$AG$129:$AG$305,1)</f>
        <v>0</v>
      </c>
      <c r="CT70" s="201"/>
      <c r="CU70" s="1818">
        <f t="shared" ref="CU70:CU113" si="210">(BQ70*$V$51)+(CF70*$AL$51)</f>
        <v>6</v>
      </c>
      <c r="CV70" s="1768"/>
      <c r="CW70" s="1768">
        <f t="shared" ref="CW70:CW113" si="211">(BS70*$V$51)+(CH70*$AL$51)</f>
        <v>6</v>
      </c>
      <c r="CX70" s="201"/>
      <c r="CY70" s="201">
        <f t="shared" ref="CY70:CY113" si="212">(BU70*$V$51)+(CJ70*$AL$51)</f>
        <v>6</v>
      </c>
      <c r="CZ70" s="201">
        <f t="shared" ref="CZ70:CZ113" si="213">(BV70*$V$51)+(CK70*$AL$51)</f>
        <v>0</v>
      </c>
      <c r="DA70" s="201">
        <f t="shared" ref="DA70:DA113" si="214">(BW70*$V$51)+(CL70*$AL$51)</f>
        <v>0</v>
      </c>
      <c r="DB70" s="201">
        <f t="shared" ref="DB70:DB113" si="215">(BX70*$V$51)+(CM70*$AL$51)</f>
        <v>0</v>
      </c>
      <c r="DC70" s="201">
        <f t="shared" ref="DC70:DC113" si="216">(BY70*$V$51)+(CN70*$AL$51)</f>
        <v>0</v>
      </c>
      <c r="DD70" s="201">
        <f t="shared" ref="DD70:DD113" si="217">(BZ70*$V$51)+(CO70*$AL$51)</f>
        <v>0</v>
      </c>
      <c r="DE70" s="201">
        <f t="shared" ref="DE70:DE113" si="218">(CA70*$V$51)+(CP70*$AL$51)</f>
        <v>0</v>
      </c>
      <c r="DF70" s="201">
        <f t="shared" ref="DF70:DF113" si="219">(CB70*$V$51)+(CQ70*$AL$51)</f>
        <v>0</v>
      </c>
      <c r="DG70" s="201">
        <f t="shared" ref="DG70:DG113" si="220">(CC70*$V$51)+(CR70*$AL$51)</f>
        <v>0</v>
      </c>
      <c r="DH70" s="201">
        <f t="shared" ref="DH70:DH113" si="221">(CD70*$V$51)+(CS70*$AL$51)</f>
        <v>0</v>
      </c>
      <c r="DI70" s="201"/>
      <c r="DJ70" s="201"/>
      <c r="DK70" s="201"/>
      <c r="DL70" s="201"/>
      <c r="DM70" s="372">
        <f t="shared" ca="1" si="37"/>
        <v>484.26495</v>
      </c>
      <c r="DN70" s="1185">
        <f t="shared" si="38"/>
        <v>227.8176</v>
      </c>
      <c r="DO70" s="1185">
        <f t="shared" si="39"/>
        <v>149.88</v>
      </c>
      <c r="DP70" s="201"/>
      <c r="DQ70" s="372">
        <f t="shared" ca="1" si="40"/>
        <v>0</v>
      </c>
      <c r="DR70" s="1185">
        <f t="shared" si="41"/>
        <v>0</v>
      </c>
      <c r="DS70" s="1185">
        <f t="shared" si="42"/>
        <v>0</v>
      </c>
      <c r="DT70" s="201"/>
      <c r="DU70" s="372">
        <f t="shared" ref="DU70:DU95" ca="1" si="222">(DM70*$V$51)+(DQ70*$AL$51)</f>
        <v>484.26495</v>
      </c>
      <c r="DV70" s="372">
        <f t="shared" ref="DV70:DW95" si="223">(DN70*$V$51)+(DR70*$AL$51)</f>
        <v>227.8176</v>
      </c>
      <c r="DW70" s="372">
        <f t="shared" si="223"/>
        <v>149.88</v>
      </c>
      <c r="DX70" s="201"/>
      <c r="DY70" s="372">
        <f t="shared" si="44"/>
        <v>0</v>
      </c>
      <c r="DZ70" s="372">
        <f t="shared" ca="1" si="45"/>
        <v>0</v>
      </c>
      <c r="EA70" s="201"/>
      <c r="EB70" s="2776">
        <f>IF(EO70=$EO$53,1,IFERROR(INDEX('Currency Data'!$L$8:$L$41,MATCH(EO70,'Currency Data'!$H$8:$H$41,0)),1))</f>
        <v>1</v>
      </c>
      <c r="EC70" s="2776">
        <f t="shared" si="147"/>
        <v>1</v>
      </c>
      <c r="ED70" s="428">
        <f>IF(GQ70=1,'1 Setup'!$T$68,IF(ISBLANK(IJ70),II70/EC70*IF(GL70=1,$ED$53,1),IJ70/EC70)*IF($EW70=7,JW70,1))</f>
        <v>24.98</v>
      </c>
      <c r="EE70" s="428">
        <f t="shared" si="46"/>
        <v>24.98</v>
      </c>
      <c r="EF70" s="428"/>
      <c r="EG70" s="1965" t="str">
        <f t="shared" si="148"/>
        <v>031500 - Highways UK</v>
      </c>
      <c r="EH70" s="201">
        <f t="shared" si="149"/>
        <v>1</v>
      </c>
      <c r="EI70" s="445" t="str">
        <f>IF(EH70=1,$EI$53,IF(GQ70=1,$GQ$55,IFERROR(IF($EG70=$EG$53,$EI$53,INDEX('PU List'!$G$6:$G$413,MATCH($EG70,'PU List'!$D$6:$D$413,0))),$EI$53)))</f>
        <v>GB - BIAF</v>
      </c>
      <c r="EJ70" s="2773" t="str">
        <f t="shared" si="150"/>
        <v>GB - BIAF</v>
      </c>
      <c r="EK70" s="1768"/>
      <c r="EL70" s="3283">
        <f>IF(OR(EW70&gt;7,$EL$53=0),0,IF(EJ70=$EI$53,$EL$53,IFERROR(INDEX('Fringe Data'!$U$8:$U$129,MATCH($EJ70,'Fringe Data'!$F$8:$F$129,0)),0)))</f>
        <v>1.73</v>
      </c>
      <c r="EM70" s="372">
        <f t="shared" si="47"/>
        <v>10.379999999999999</v>
      </c>
      <c r="EN70" s="201" t="str">
        <f>IFERROR(INDEX('Fringe Data'!$G$8:$G$64,MATCH($EJ70,'Fringe Data'!$F$8:$F$64,0)),$EO$53)</f>
        <v>GBP</v>
      </c>
      <c r="EO70" s="201" t="str">
        <f t="shared" si="151"/>
        <v>GBP</v>
      </c>
      <c r="EP70" s="201">
        <f>IF(EI70=$EI$53,$EP$49,IF(GP70=1,0,IFERROR(INDEX('Fringe Data'!$K$8:$K$64,MATCH($EI70,'Fringe Data'!$F$8:$F$64,0)),0)))</f>
        <v>0.52</v>
      </c>
      <c r="EQ70" s="201">
        <f>IF(EI70=$EI$53,$EQ$49,IF(GP70=1,0,IFERROR(INDEX('Fringe Data'!$L$8:$L$64,MATCH($EI70,'Fringe Data'!$F$8:$F$64,0)),0)))</f>
        <v>1.8499999999999999E-2</v>
      </c>
      <c r="ER70" s="201">
        <f>IF(EI70=$EI$53,$ER$49,IF(GP70=1,0,IFERROR(INDEX('Fringe Data'!$M$8:$M$64,MATCH($EI70,'Fringe Data'!$F$8:$F$64,0)),0)))</f>
        <v>0.43430000000000002</v>
      </c>
      <c r="ES70" s="201">
        <f>IF(EI70=$EI$53,$ES$49,IF(GP70=1,0,IFERROR(INDEX('Fringe Data'!$N$8:$N$64,MATCH($EI70,'Fringe Data'!$F$8:$F$64,0)),0)))</f>
        <v>0.1565</v>
      </c>
      <c r="ET70" s="201">
        <f>IF(EI70=$EI$53,$ET$49,IF(GP70=1,0,IFERROR(INDEX('Fringe Data'!$O$8:$O$64,MATCH($EI70,'Fringe Data'!$F$8:$F$64,0)),0)))</f>
        <v>0.33450000000000002</v>
      </c>
      <c r="EU70" s="263">
        <f>IF(EI70=$EI$53,$EU$49,IF(GP70=1,0,IFERROR(INDEX('Fringe Data'!$P$8:$P$64,MATCH($EI70,'Fringe Data'!$F$8:$F$64,0)),0)))</f>
        <v>0.1565</v>
      </c>
      <c r="EV70" s="201"/>
      <c r="EW70" s="1530">
        <f t="shared" si="48"/>
        <v>1</v>
      </c>
      <c r="EX70" s="1534">
        <f t="shared" si="152"/>
        <v>0.52</v>
      </c>
      <c r="EY70" s="321">
        <f t="shared" si="153"/>
        <v>0</v>
      </c>
      <c r="EZ70" s="201">
        <f t="shared" si="154"/>
        <v>37.9696</v>
      </c>
      <c r="FA70" s="372">
        <f t="shared" si="49"/>
        <v>0</v>
      </c>
      <c r="FB70" s="372">
        <f t="shared" si="50"/>
        <v>0</v>
      </c>
      <c r="FC70" s="201">
        <f t="shared" ca="1" si="155"/>
        <v>0</v>
      </c>
      <c r="FD70" s="423">
        <f t="shared" si="51"/>
        <v>0</v>
      </c>
      <c r="FE70" s="423">
        <f t="shared" si="52"/>
        <v>0</v>
      </c>
      <c r="FF70" s="201">
        <f t="shared" si="156"/>
        <v>0</v>
      </c>
      <c r="FG70" s="425">
        <f>IF(OR($FJ$52=3,$FJ$52=4,$FJ$52=5),'1 Setup'!$W$96,0)</f>
        <v>0</v>
      </c>
      <c r="FH70" s="428">
        <f>IF($FJ$52=5,'1 Setup'!$W$98,IF($FJ$52=6,'1 Setup'!$S$86,0))</f>
        <v>0</v>
      </c>
      <c r="FI70" s="321">
        <f t="shared" ca="1" si="53"/>
        <v>80.11</v>
      </c>
      <c r="FJ70" s="263">
        <f t="shared" ca="1" si="157"/>
        <v>80.710825</v>
      </c>
      <c r="FK70" s="372">
        <f t="shared" ca="1" si="54"/>
        <v>484.26495</v>
      </c>
      <c r="FL70" s="372">
        <f t="shared" si="55"/>
        <v>0</v>
      </c>
      <c r="FM70" s="372">
        <f t="shared" si="56"/>
        <v>0</v>
      </c>
      <c r="FN70" s="2036">
        <f t="shared" ca="1" si="57"/>
        <v>80.710825</v>
      </c>
      <c r="FO70" s="372">
        <f t="shared" ref="FO70:FO113" ca="1" si="224">$BA70*FN70</f>
        <v>484.26495</v>
      </c>
      <c r="FP70" s="2723">
        <f t="shared" si="158"/>
        <v>0</v>
      </c>
      <c r="FQ70" s="372">
        <f t="shared" ca="1" si="59"/>
        <v>1</v>
      </c>
      <c r="FR70" s="372">
        <f t="shared" si="159"/>
        <v>0</v>
      </c>
      <c r="FS70" s="1168"/>
      <c r="FT70" s="1168">
        <f t="shared" si="60"/>
        <v>37.9696</v>
      </c>
      <c r="FU70" s="1168">
        <f t="shared" si="61"/>
        <v>37.9696</v>
      </c>
      <c r="FV70" s="1168">
        <f t="shared" si="62"/>
        <v>37.9696</v>
      </c>
      <c r="FW70" s="1168">
        <f t="shared" si="63"/>
        <v>37.9696</v>
      </c>
      <c r="FX70" s="1168">
        <f t="shared" si="64"/>
        <v>37.9696</v>
      </c>
      <c r="FY70" s="1168">
        <f t="shared" si="65"/>
        <v>37.9696</v>
      </c>
      <c r="FZ70" s="1168">
        <f t="shared" si="66"/>
        <v>37.9696</v>
      </c>
      <c r="GA70" s="1168">
        <f t="shared" si="67"/>
        <v>37.9696</v>
      </c>
      <c r="GB70" s="1168">
        <f t="shared" si="68"/>
        <v>37.9696</v>
      </c>
      <c r="GC70" s="1168">
        <f t="shared" si="69"/>
        <v>37.9696</v>
      </c>
      <c r="GD70" s="1168"/>
      <c r="GE70" s="199"/>
      <c r="GF70" s="201">
        <f t="shared" si="70"/>
        <v>1</v>
      </c>
      <c r="GG70" s="201">
        <f t="shared" si="71"/>
        <v>0</v>
      </c>
      <c r="GH70" s="201">
        <f t="shared" si="72"/>
        <v>0</v>
      </c>
      <c r="GI70" s="201">
        <f t="shared" ca="1" si="160"/>
        <v>0</v>
      </c>
      <c r="GJ70" s="201">
        <f t="shared" si="73"/>
        <v>0</v>
      </c>
      <c r="GK70" s="201">
        <f t="shared" si="74"/>
        <v>0</v>
      </c>
      <c r="GL70" s="201">
        <f t="shared" si="75"/>
        <v>1</v>
      </c>
      <c r="GM70" s="201">
        <f t="shared" si="76"/>
        <v>1</v>
      </c>
      <c r="GN70" s="201"/>
      <c r="GO70" s="201"/>
      <c r="GP70" s="201">
        <f t="shared" si="77"/>
        <v>0</v>
      </c>
      <c r="GQ70" s="201">
        <f t="shared" si="78"/>
        <v>0</v>
      </c>
      <c r="GR70" s="201">
        <f t="shared" si="161"/>
        <v>0</v>
      </c>
      <c r="GS70" s="1768"/>
      <c r="GT70" s="201">
        <f t="shared" si="79"/>
        <v>1</v>
      </c>
      <c r="GU70" s="201">
        <f t="shared" si="193"/>
        <v>7</v>
      </c>
      <c r="GV70" s="201">
        <f t="shared" si="80"/>
        <v>7</v>
      </c>
      <c r="GW70" s="201">
        <f t="shared" si="81"/>
        <v>3</v>
      </c>
      <c r="GX70" s="201">
        <f t="shared" si="162"/>
        <v>0</v>
      </c>
      <c r="GY70" s="1998"/>
      <c r="GZ70" s="253"/>
      <c r="HA70" s="195" t="str">
        <f t="shared" si="163"/>
        <v>Robinson Emma</v>
      </c>
      <c r="HB70" s="3558" t="str">
        <f t="shared" si="82"/>
        <v>L1B Service Lead</v>
      </c>
      <c r="HC70" s="3590"/>
      <c r="HD70" s="257" t="str">
        <f t="shared" si="83"/>
        <v/>
      </c>
      <c r="HE70" s="825">
        <f t="shared" si="84"/>
        <v>6</v>
      </c>
      <c r="HF70" s="506" t="s">
        <v>5</v>
      </c>
      <c r="HG70" s="508">
        <f t="shared" ca="1" si="85"/>
        <v>484.26495</v>
      </c>
      <c r="HH70" s="3585">
        <f t="shared" si="86"/>
        <v>238.19759999999999</v>
      </c>
      <c r="HI70" s="3586"/>
      <c r="HJ70" s="504">
        <f t="shared" ref="HJ70:HJ113" ca="1" si="225">HG70-HH70</f>
        <v>246.06735</v>
      </c>
      <c r="HK70" s="456">
        <f t="shared" ref="HK70:HK113" ca="1" si="226">IF(HG70&lt;0.1,0,IFERROR(HJ70/HG70,0))</f>
        <v>0.50812545900751227</v>
      </c>
      <c r="HL70" s="3591">
        <f t="shared" ref="HL70:HL112" ca="1" si="227">IFERROR(HJ70/HE70,0)</f>
        <v>41.011225000000003</v>
      </c>
      <c r="HM70" s="3592"/>
      <c r="HN70" s="240"/>
      <c r="HO70" s="1998"/>
      <c r="HP70" s="1991"/>
      <c r="HQ70" s="2770" t="str">
        <f t="shared" si="90"/>
        <v>GB - BIAF</v>
      </c>
      <c r="HR70" s="2770" t="str">
        <f t="shared" si="91"/>
        <v>GBP</v>
      </c>
      <c r="HS70" s="2771">
        <f t="shared" si="92"/>
        <v>1</v>
      </c>
      <c r="HT70" s="3488"/>
      <c r="HU70" s="2771">
        <f t="shared" si="93"/>
        <v>1.73</v>
      </c>
      <c r="HW70" s="1218"/>
      <c r="HX70" s="520"/>
      <c r="HY70" s="2523"/>
      <c r="HZ70" s="194" t="s">
        <v>4374</v>
      </c>
      <c r="IA70" s="1013" t="s">
        <v>4373</v>
      </c>
      <c r="IB70" s="193"/>
      <c r="IC70" s="3276">
        <v>7</v>
      </c>
      <c r="ID70" s="986"/>
      <c r="IE70" s="938">
        <f t="shared" si="164"/>
        <v>6</v>
      </c>
      <c r="IF70" s="938">
        <f t="shared" si="165"/>
        <v>0</v>
      </c>
      <c r="IG70" s="432"/>
      <c r="II70" s="405"/>
      <c r="IJ70" s="239">
        <v>24.98</v>
      </c>
      <c r="IK70" s="2774" t="str">
        <f t="shared" si="166"/>
        <v>GBP</v>
      </c>
      <c r="IL70" s="2148"/>
      <c r="IM70" s="1936">
        <f t="shared" si="94"/>
        <v>24.98</v>
      </c>
      <c r="IO70" s="1959" t="str">
        <f t="shared" si="95"/>
        <v xml:space="preserve"> Staff (Normal)</v>
      </c>
      <c r="IP70" s="1958"/>
      <c r="IQ70" s="543">
        <f t="shared" si="96"/>
        <v>0.52</v>
      </c>
      <c r="IR70" s="1936">
        <f t="shared" si="97"/>
        <v>37.9696</v>
      </c>
      <c r="IT70" s="1364"/>
      <c r="IU70" s="210"/>
      <c r="IV70" s="218"/>
      <c r="IW70" s="1938">
        <f ca="1">IF(NOT(ISBLANK(IU70)),IU70,IF('1 Setup'!$G$8&lt;7,JK70,FJ70))+KA70</f>
        <v>80.710825</v>
      </c>
      <c r="IX70" s="409" t="str">
        <f t="shared" si="98"/>
        <v>Robinson Emma</v>
      </c>
      <c r="IY70" s="408" t="str">
        <f t="shared" si="99"/>
        <v>L1B Service Lead</v>
      </c>
      <c r="IZ70" s="1983"/>
      <c r="JA70" s="1994"/>
      <c r="JB70" s="1991"/>
      <c r="JD70" s="2029" t="str">
        <f t="shared" si="167"/>
        <v>Robinson Emma</v>
      </c>
      <c r="JE70" s="479"/>
      <c r="JF70" s="2025">
        <f t="shared" si="100"/>
        <v>0</v>
      </c>
      <c r="JG70" s="429">
        <f t="shared" si="101"/>
        <v>0</v>
      </c>
      <c r="JH70" s="1667">
        <f t="shared" si="102"/>
        <v>0</v>
      </c>
      <c r="JJ70" s="1163">
        <f t="shared" ca="1" si="103"/>
        <v>80.710825</v>
      </c>
      <c r="JK70" s="1163">
        <f t="shared" ca="1" si="104"/>
        <v>80.710825</v>
      </c>
      <c r="JL70" s="1795"/>
      <c r="JN70" s="2505"/>
      <c r="JO70" s="1161"/>
      <c r="JP70" s="571">
        <f t="shared" ca="1" si="105"/>
        <v>80.11</v>
      </c>
      <c r="JQ70" s="2506" t="s">
        <v>4316</v>
      </c>
      <c r="JR70" s="1953"/>
      <c r="JS70" s="2650"/>
      <c r="JT70" s="2507"/>
      <c r="JU70" s="1964">
        <f t="shared" si="106"/>
        <v>0.33450000000000002</v>
      </c>
      <c r="JV70" s="3199"/>
      <c r="JW70" s="2649">
        <f t="shared" si="107"/>
        <v>1.5</v>
      </c>
      <c r="JX70" s="1964">
        <f t="shared" si="168"/>
        <v>0.1565</v>
      </c>
      <c r="JY70" s="3199"/>
      <c r="JZ70" s="2649">
        <f t="shared" si="169"/>
        <v>0</v>
      </c>
      <c r="KA70" s="2649">
        <f t="shared" si="170"/>
        <v>0</v>
      </c>
      <c r="KB70" s="2649" t="s">
        <v>111</v>
      </c>
      <c r="KC70" s="1983"/>
      <c r="KD70" s="1974"/>
      <c r="KE70" s="1991"/>
      <c r="KF70" s="2029" t="str">
        <f t="shared" si="171"/>
        <v>Robinson Emma</v>
      </c>
      <c r="KG70" s="1991"/>
      <c r="KH70" s="2121">
        <f t="shared" si="108"/>
        <v>6</v>
      </c>
      <c r="KI70" s="2130">
        <f t="shared" si="109"/>
        <v>0</v>
      </c>
      <c r="KJ70" s="2130">
        <f t="shared" si="110"/>
        <v>0</v>
      </c>
      <c r="KK70" s="2130">
        <f t="shared" si="111"/>
        <v>0</v>
      </c>
      <c r="KL70" s="2131">
        <f t="shared" si="112"/>
        <v>0</v>
      </c>
      <c r="KM70" s="2132">
        <f t="shared" si="113"/>
        <v>0</v>
      </c>
      <c r="KN70" s="2132">
        <f t="shared" si="114"/>
        <v>0</v>
      </c>
      <c r="KO70" s="2132">
        <f t="shared" si="115"/>
        <v>0</v>
      </c>
      <c r="KP70" s="2132">
        <f t="shared" si="116"/>
        <v>0</v>
      </c>
      <c r="KQ70" s="2133">
        <f t="shared" si="117"/>
        <v>0</v>
      </c>
      <c r="KS70" s="2253">
        <f t="shared" si="118"/>
        <v>24.98</v>
      </c>
      <c r="KT70" s="2270">
        <f t="shared" ref="KT70:LB70" si="228">KS70*(1+(KT$60))</f>
        <v>24.98</v>
      </c>
      <c r="KU70" s="2271">
        <f t="shared" si="228"/>
        <v>24.98</v>
      </c>
      <c r="KV70" s="2271">
        <f t="shared" si="228"/>
        <v>24.98</v>
      </c>
      <c r="KW70" s="2272">
        <f t="shared" si="228"/>
        <v>24.98</v>
      </c>
      <c r="KX70" s="2271">
        <f t="shared" si="228"/>
        <v>24.98</v>
      </c>
      <c r="KY70" s="2271">
        <f t="shared" si="228"/>
        <v>24.98</v>
      </c>
      <c r="KZ70" s="2271">
        <f t="shared" si="228"/>
        <v>24.98</v>
      </c>
      <c r="LA70" s="2271">
        <f t="shared" si="228"/>
        <v>24.98</v>
      </c>
      <c r="LB70" s="2273">
        <f t="shared" si="228"/>
        <v>24.98</v>
      </c>
      <c r="LC70" s="272"/>
      <c r="LD70" s="2124">
        <f t="shared" si="120"/>
        <v>6</v>
      </c>
      <c r="LE70" s="2093">
        <f t="shared" si="121"/>
        <v>0</v>
      </c>
      <c r="LF70" s="2093">
        <f t="shared" si="122"/>
        <v>0</v>
      </c>
      <c r="LG70" s="2093">
        <f t="shared" si="123"/>
        <v>0</v>
      </c>
      <c r="LH70" s="2094">
        <f t="shared" si="124"/>
        <v>0</v>
      </c>
      <c r="LI70" s="2095">
        <f t="shared" si="125"/>
        <v>0</v>
      </c>
      <c r="LJ70" s="2095">
        <f t="shared" si="126"/>
        <v>0</v>
      </c>
      <c r="LK70" s="2095">
        <f t="shared" si="127"/>
        <v>0</v>
      </c>
      <c r="LL70" s="2095">
        <f t="shared" si="128"/>
        <v>0</v>
      </c>
      <c r="LM70" s="2096">
        <f t="shared" si="129"/>
        <v>0</v>
      </c>
      <c r="LN70" s="749"/>
      <c r="LO70" s="2256">
        <f t="shared" ca="1" si="130"/>
        <v>80.710825</v>
      </c>
      <c r="LP70" s="2270">
        <f t="shared" ca="1" si="131"/>
        <v>80.710825</v>
      </c>
      <c r="LQ70" s="2271">
        <f t="shared" ca="1" si="132"/>
        <v>80.710825</v>
      </c>
      <c r="LR70" s="2271">
        <f t="shared" ca="1" si="133"/>
        <v>80.710825</v>
      </c>
      <c r="LS70" s="2272">
        <f t="shared" ca="1" si="134"/>
        <v>80.710825</v>
      </c>
      <c r="LT70" s="2271">
        <f t="shared" ca="1" si="135"/>
        <v>80.710825</v>
      </c>
      <c r="LU70" s="2271">
        <f t="shared" ca="1" si="136"/>
        <v>80.710825</v>
      </c>
      <c r="LV70" s="2271">
        <f t="shared" ca="1" si="137"/>
        <v>80.710825</v>
      </c>
      <c r="LW70" s="2271">
        <f t="shared" ca="1" si="138"/>
        <v>80.710825</v>
      </c>
      <c r="LX70" s="2273">
        <f t="shared" ca="1" si="139"/>
        <v>80.710825</v>
      </c>
      <c r="LY70" s="479"/>
      <c r="LZ70" s="3128">
        <f t="shared" ca="1" si="173"/>
        <v>41.011225000000003</v>
      </c>
      <c r="MA70" s="3129">
        <f t="shared" ca="1" si="174"/>
        <v>41.011225000000003</v>
      </c>
      <c r="MB70" s="3129">
        <f t="shared" ca="1" si="175"/>
        <v>41.011225000000003</v>
      </c>
      <c r="MC70" s="3129">
        <f t="shared" ca="1" si="176"/>
        <v>41.011225000000003</v>
      </c>
      <c r="MD70" s="3130">
        <f t="shared" ca="1" si="177"/>
        <v>41.011225000000003</v>
      </c>
      <c r="ME70" s="3129">
        <f t="shared" ca="1" si="178"/>
        <v>41.011225000000003</v>
      </c>
      <c r="MF70" s="3129">
        <f t="shared" ca="1" si="179"/>
        <v>41.011225000000003</v>
      </c>
      <c r="MG70" s="3129">
        <f t="shared" ca="1" si="180"/>
        <v>41.011225000000003</v>
      </c>
      <c r="MH70" s="3129">
        <f t="shared" ca="1" si="181"/>
        <v>41.011225000000003</v>
      </c>
      <c r="MI70" s="3131">
        <f t="shared" ca="1" si="182"/>
        <v>41.011225000000003</v>
      </c>
      <c r="MJ70" s="3201"/>
      <c r="MK70" s="3206">
        <f t="shared" ca="1" si="183"/>
        <v>246.06735000000003</v>
      </c>
      <c r="ML70" s="3207">
        <f t="shared" ca="1" si="184"/>
        <v>0</v>
      </c>
      <c r="MM70" s="3207">
        <f t="shared" ca="1" si="185"/>
        <v>0</v>
      </c>
      <c r="MN70" s="3207">
        <f t="shared" ca="1" si="186"/>
        <v>0</v>
      </c>
      <c r="MO70" s="3208">
        <f t="shared" ca="1" si="187"/>
        <v>0</v>
      </c>
      <c r="MP70" s="3207">
        <f t="shared" ca="1" si="188"/>
        <v>0</v>
      </c>
      <c r="MQ70" s="3207">
        <f t="shared" ca="1" si="189"/>
        <v>0</v>
      </c>
      <c r="MR70" s="3207">
        <f t="shared" ca="1" si="190"/>
        <v>0</v>
      </c>
      <c r="MS70" s="3207">
        <f t="shared" ca="1" si="191"/>
        <v>0</v>
      </c>
      <c r="MT70" s="3209">
        <f t="shared" ca="1" si="192"/>
        <v>0</v>
      </c>
      <c r="MU70" s="1983"/>
      <c r="MV70" s="1975"/>
      <c r="MW70" s="1991"/>
      <c r="MX70" s="1931" t="str">
        <f t="shared" si="142"/>
        <v>Robinson Emma</v>
      </c>
      <c r="MY70" s="749"/>
      <c r="MZ70" s="1934">
        <f t="shared" ca="1" si="143"/>
        <v>80.710825</v>
      </c>
      <c r="NA70" s="1935"/>
      <c r="NB70" s="2652">
        <f t="shared" ca="1" si="144"/>
        <v>3.231017814251401</v>
      </c>
      <c r="NC70" s="479"/>
      <c r="ND70" s="2749" t="str">
        <f t="shared" si="145"/>
        <v xml:space="preserve"> Staff (Normal)</v>
      </c>
      <c r="NE70" s="2717"/>
      <c r="NF70" s="1975"/>
      <c r="NG70" s="1975"/>
      <c r="NH70" s="1975"/>
      <c r="NI70" s="1975"/>
    </row>
    <row r="71" spans="1:373" s="192" customFormat="1" ht="15.9" customHeight="1" x14ac:dyDescent="0.3">
      <c r="A71" s="200"/>
      <c r="B71" s="200"/>
      <c r="C71" s="200"/>
      <c r="D71" s="200"/>
      <c r="E71" s="200"/>
      <c r="F71" s="200"/>
      <c r="G71" s="200"/>
      <c r="H71" s="200"/>
      <c r="I71" s="200"/>
      <c r="J71" s="200"/>
      <c r="K71" s="200"/>
      <c r="L71" s="200"/>
      <c r="M71" s="200"/>
      <c r="N71" s="200"/>
      <c r="O71" s="200"/>
      <c r="P71" s="1539"/>
      <c r="Q71" s="1539"/>
      <c r="R71" s="198"/>
      <c r="S71" s="1539"/>
      <c r="T71" s="201"/>
      <c r="U71" s="200"/>
      <c r="V71" s="201">
        <f>MATCH($IC71,'3b Activity Plan'!$DJ$171:$FH$171,0)</f>
        <v>8</v>
      </c>
      <c r="W71" s="201">
        <f>IFERROR(INDEX('3b Activity Plan'!$DJ$6:$FH$6,V71),0)</f>
        <v>384</v>
      </c>
      <c r="X71" s="1768"/>
      <c r="Y71" s="1768">
        <f>IFERROR(INDEX('3b Activity Plan'!$DJ$7:$FH$7,V71),0)</f>
        <v>384</v>
      </c>
      <c r="Z71" s="201"/>
      <c r="AA71" s="201">
        <f>IFERROR(INDEX('3b Activity Plan'!$DJ$34:$FH$34,$V71),0)</f>
        <v>384</v>
      </c>
      <c r="AB71" s="201">
        <f>IFERROR(INDEX('3b Activity Plan'!$DJ$35:$FH$35,$V71),0)</f>
        <v>0</v>
      </c>
      <c r="AC71" s="201">
        <f>IFERROR(INDEX('3b Activity Plan'!$DJ$36:$FH$36,$V71),0)</f>
        <v>0</v>
      </c>
      <c r="AD71" s="201">
        <f>IFERROR(INDEX('3b Activity Plan'!$DJ$37:$FH$37,$V71),0)</f>
        <v>0</v>
      </c>
      <c r="AE71" s="201">
        <f>IFERROR(INDEX('3b Activity Plan'!$DJ$38:$FH$38,$V71),0)</f>
        <v>0</v>
      </c>
      <c r="AF71" s="201">
        <f>IFERROR(INDEX('3b Activity Plan'!$DJ$39:$FH$39,$V71),0)</f>
        <v>0</v>
      </c>
      <c r="AG71" s="201">
        <f>IFERROR(INDEX('3b Activity Plan'!$DJ$40:$FH$40,$V71),0)</f>
        <v>0</v>
      </c>
      <c r="AH71" s="201">
        <f>IFERROR(INDEX('3b Activity Plan'!$DJ$41:$FH$41,$V71),0)</f>
        <v>0</v>
      </c>
      <c r="AI71" s="201">
        <f>IFERROR(INDEX('3b Activity Plan'!$DJ$42:$FH$42,$V71),0)</f>
        <v>0</v>
      </c>
      <c r="AJ71" s="201">
        <f>IFERROR(INDEX('3b Activity Plan'!$DJ$43:$FH$43,$V71),0)</f>
        <v>0</v>
      </c>
      <c r="AK71" s="201"/>
      <c r="AL71" s="201">
        <f>SUMIFS('3a Staff Plan'!$AR$129:$AR$305,'3a Staff Plan'!$DY$129:$DY$305,$IA71,'3a Staff Plan'!$DF$129:$DF$305,1)</f>
        <v>0</v>
      </c>
      <c r="AM71" s="1768"/>
      <c r="AN71" s="1768">
        <f>SUMIFS('3a Staff Plan'!$AR$129:$AR$305,'3a Staff Plan'!$DY$129:$DY$305,$IA71,'3a Staff Plan'!$CV$129:$CV$305,1)</f>
        <v>0</v>
      </c>
      <c r="AO71" s="201"/>
      <c r="AP71" s="201">
        <f>SUMIFS('3a Staff Plan'!$AS$129:$AS$305,'3a Staff Plan'!$DY$129:$DY$305,$IA71,'3a Staff Plan'!$DF$129:$DF$305,1)</f>
        <v>0</v>
      </c>
      <c r="AQ71" s="201">
        <f>SUMIFS('3a Staff Plan'!$AT$129:$AT$305,'3a Staff Plan'!$DY$129:$DY$305,$IA71,'3a Staff Plan'!$DF$129:$DF$305,1)</f>
        <v>0</v>
      </c>
      <c r="AR71" s="201">
        <f>SUMIFS('3a Staff Plan'!$AU$129:$AU$305,'3a Staff Plan'!$DY$129:$DY$305,$IA71,'3a Staff Plan'!$DF$129:$DF$305,1)</f>
        <v>0</v>
      </c>
      <c r="AS71" s="201">
        <f>SUMIFS('3a Staff Plan'!$AV$129:$AV$305,'3a Staff Plan'!$DY$129:$DY$305,$IA71,'3a Staff Plan'!$DF$129:$DF$305,1)</f>
        <v>0</v>
      </c>
      <c r="AT71" s="201">
        <f>SUMIFS('3a Staff Plan'!$AW$129:$AW$305,'3a Staff Plan'!$DY$129:$DY$305,$IA71,'3a Staff Plan'!$DF$129:$DF$305,1)</f>
        <v>0</v>
      </c>
      <c r="AU71" s="201">
        <f>SUMIFS('3a Staff Plan'!$AX$129:$AX$305,'3a Staff Plan'!$DY$129:$DY$305,$IA71,'3a Staff Plan'!$DF$129:$DF$305,1)</f>
        <v>0</v>
      </c>
      <c r="AV71" s="201">
        <f>SUMIFS('3a Staff Plan'!$AY$129:$AY$305,'3a Staff Plan'!$DY$129:$DY$305,$IA71,'3a Staff Plan'!$DF$129:$DF$305,1)</f>
        <v>0</v>
      </c>
      <c r="AW71" s="201">
        <f>SUMIFS('3a Staff Plan'!$AZ$129:$AZ$305,'3a Staff Plan'!$DY$129:$DY$305,$IA71,'3a Staff Plan'!$DF$129:$DF$305,1)</f>
        <v>0</v>
      </c>
      <c r="AX71" s="201">
        <f>SUMIFS('3a Staff Plan'!$BA$129:$BA$305,'3a Staff Plan'!$DY$129:$DY$305,$IA71,'3a Staff Plan'!$DF$129:$DF$305,1)</f>
        <v>0</v>
      </c>
      <c r="AY71" s="201">
        <f>SUMIFS('3a Staff Plan'!$BB$129:$BB$305,'3a Staff Plan'!$DY$129:$DY$305,$IA71,'3a Staff Plan'!$DF$129:$DF$305,1)</f>
        <v>0</v>
      </c>
      <c r="AZ71" s="201"/>
      <c r="BA71" s="201">
        <f t="shared" ref="BA71:BC75" si="229">(W71*$V$51)+(AL71*$AL$51)</f>
        <v>384</v>
      </c>
      <c r="BB71" s="1768"/>
      <c r="BC71" s="1768">
        <f t="shared" si="229"/>
        <v>384</v>
      </c>
      <c r="BD71" s="201"/>
      <c r="BE71" s="201">
        <f t="shared" ref="BE71:BN75" si="230">(AA71*$V$51)+(AP71*$AL$51)</f>
        <v>384</v>
      </c>
      <c r="BF71" s="201">
        <f t="shared" si="230"/>
        <v>0</v>
      </c>
      <c r="BG71" s="201">
        <f t="shared" si="230"/>
        <v>0</v>
      </c>
      <c r="BH71" s="201">
        <f t="shared" si="230"/>
        <v>0</v>
      </c>
      <c r="BI71" s="201">
        <f t="shared" si="230"/>
        <v>0</v>
      </c>
      <c r="BJ71" s="201">
        <f t="shared" si="230"/>
        <v>0</v>
      </c>
      <c r="BK71" s="201">
        <f t="shared" si="230"/>
        <v>0</v>
      </c>
      <c r="BL71" s="201">
        <f t="shared" si="230"/>
        <v>0</v>
      </c>
      <c r="BM71" s="201">
        <f t="shared" si="230"/>
        <v>0</v>
      </c>
      <c r="BN71" s="201">
        <f t="shared" si="230"/>
        <v>0</v>
      </c>
      <c r="BO71" s="201"/>
      <c r="BP71" s="1818">
        <f t="shared" si="146"/>
        <v>8</v>
      </c>
      <c r="BQ71" s="1818">
        <f>IFERROR(INDEX('3b Activity Plan'!$DJ$15:$FH$15,BP71),0)</f>
        <v>384</v>
      </c>
      <c r="BR71" s="1768"/>
      <c r="BS71" s="1768">
        <f>IFERROR(INDEX('3b Activity Plan'!$DJ$16:$FH$16,BP71),0)</f>
        <v>384</v>
      </c>
      <c r="BT71" s="201"/>
      <c r="BU71" s="201">
        <f>IFERROR(INDEX('3b Activity Plan'!$DJ$67:$FH$67,$V71),0)</f>
        <v>384</v>
      </c>
      <c r="BV71" s="201">
        <f>IFERROR(INDEX('3b Activity Plan'!$DJ$68:$FH$68,$V71),0)</f>
        <v>0</v>
      </c>
      <c r="BW71" s="201">
        <f>IFERROR(INDEX('3b Activity Plan'!$DJ$69:$FH$69,$V71),0)</f>
        <v>0</v>
      </c>
      <c r="BX71" s="201">
        <f>IFERROR(INDEX('3b Activity Plan'!$DJ$70:$FH$70,$V71),0)</f>
        <v>0</v>
      </c>
      <c r="BY71" s="201">
        <f>IFERROR(INDEX('3b Activity Plan'!$DJ$71:$FH$71,$V71),0)</f>
        <v>0</v>
      </c>
      <c r="BZ71" s="201">
        <f>IFERROR(INDEX('3b Activity Plan'!$DJ$72:$FH$72,$V71),0)</f>
        <v>0</v>
      </c>
      <c r="CA71" s="201">
        <f>IFERROR(INDEX('3b Activity Plan'!$DJ$73:$FH$73,$V71),0)</f>
        <v>0</v>
      </c>
      <c r="CB71" s="201">
        <f>IFERROR(INDEX('3b Activity Plan'!$DJ$74:$FH$74,$V71),0)</f>
        <v>0</v>
      </c>
      <c r="CC71" s="201">
        <f>IFERROR(INDEX('3b Activity Plan'!$DJ$75:$FH$75,$V71),0)</f>
        <v>0</v>
      </c>
      <c r="CD71" s="201">
        <f>IFERROR(INDEX('3b Activity Plan'!$DJ$76:$FH$76,$V71),0)</f>
        <v>0</v>
      </c>
      <c r="CE71" s="201"/>
      <c r="CF71" s="1818">
        <f>SUMIFS('3a Staff Plan'!$AR$129:$AR$305,'3a Staff Plan'!$DY$129:$DY$305,$IA71,'3a Staff Plan'!$AG$129:$AG$305,1,'3a Staff Plan'!$DF$129:$DF$305,1)</f>
        <v>0</v>
      </c>
      <c r="CG71" s="1768">
        <f>SUMIFS('3a Staff Plan'!$AR$129:$AR$305,'3a Staff Plan'!$DY$129:$DY$305,$IA71,'3a Staff Plan'!$AG$129:$AG$305,1,'3a Staff Plan'!$CX$129:$CX$305,1)</f>
        <v>0</v>
      </c>
      <c r="CH71" s="1768">
        <f>SUMIFS('3a Staff Plan'!$AR$129:$AR$305,'3a Staff Plan'!$DY$129:$DY$305,$IA71,'3a Staff Plan'!$AG$129:$AG$305,1,'3a Staff Plan'!$CV$129:$CV$305,1)</f>
        <v>0</v>
      </c>
      <c r="CI71" s="201"/>
      <c r="CJ71" s="201">
        <f>SUMIFS('3a Staff Plan'!$BX$129:$BX$305,'3a Staff Plan'!$DY$129:$DY$305,$IA71,'3a Staff Plan'!$DF$129:$DF$305,1,'3a Staff Plan'!$AG$129:$AG$305,1)</f>
        <v>0</v>
      </c>
      <c r="CK71" s="201">
        <f>SUMIFS('3a Staff Plan'!$BY$129:$BY$305,'3a Staff Plan'!$DY$129:$DY$305,$IA71,'3a Staff Plan'!$DF$129:$DF$305,1,'3a Staff Plan'!$AG$129:$AG$305,1)</f>
        <v>0</v>
      </c>
      <c r="CL71" s="201">
        <f>SUMIFS('3a Staff Plan'!$BZ$129:$BZ$305,'3a Staff Plan'!$DY$129:$DY$305,$IA71,'3a Staff Plan'!$DF$129:$DF$305,1,'3a Staff Plan'!$AG$129:$AG$305,1)</f>
        <v>0</v>
      </c>
      <c r="CM71" s="201">
        <f>SUMIFS('3a Staff Plan'!$CA$129:$CA$305,'3a Staff Plan'!$DY$129:$DY$305,$IA71,'3a Staff Plan'!$DF$129:$DF$305,1,'3a Staff Plan'!$AG$129:$AG$305,1)</f>
        <v>0</v>
      </c>
      <c r="CN71" s="201">
        <f>SUMIFS('3a Staff Plan'!$CB$129:$CB$305,'3a Staff Plan'!$DY$129:$DY$305,$IA71,'3a Staff Plan'!$DF$129:$DF$305,1,'3a Staff Plan'!$AG$129:$AG$305,1)</f>
        <v>0</v>
      </c>
      <c r="CO71" s="201">
        <f>SUMIFS('3a Staff Plan'!$CC$129:$CC$305,'3a Staff Plan'!$DY$129:$DY$305,$IA71,'3a Staff Plan'!$DF$129:$DF$305,1,'3a Staff Plan'!$AG$129:$AG$305,1)</f>
        <v>0</v>
      </c>
      <c r="CP71" s="201">
        <f>SUMIFS('3a Staff Plan'!$CD$129:$CD$305,'3a Staff Plan'!$DY$129:$DY$305,$IA71,'3a Staff Plan'!$DF$129:$DF$305,1,'3a Staff Plan'!$AG$129:$AG$305,1)</f>
        <v>0</v>
      </c>
      <c r="CQ71" s="201">
        <f>SUMIFS('3a Staff Plan'!$CE$129:$CE$305,'3a Staff Plan'!$DY$129:$DY$305,$IA71,'3a Staff Plan'!$DF$129:$DF$305,1,'3a Staff Plan'!$AG$129:$AG$305,1)</f>
        <v>0</v>
      </c>
      <c r="CR71" s="201">
        <f>SUMIFS('3a Staff Plan'!$CF$129:$CF$305,'3a Staff Plan'!$DY$129:$DY$305,$IA71,'3a Staff Plan'!$DF$129:$DF$305,1,'3a Staff Plan'!$AG$129:$AG$305,1)</f>
        <v>0</v>
      </c>
      <c r="CS71" s="201">
        <f>SUMIFS('3a Staff Plan'!$CG$129:$CG$305,'3a Staff Plan'!$DY$129:$DY$305,$IA71,'3a Staff Plan'!$DF$129:$DF$305,1,'3a Staff Plan'!$AG$129:$AG$305,1)</f>
        <v>0</v>
      </c>
      <c r="CT71" s="201"/>
      <c r="CU71" s="1818">
        <f t="shared" ref="CU71:CW75" si="231">(BQ71*$V$51)+(CF71*$AL$51)</f>
        <v>384</v>
      </c>
      <c r="CV71" s="1768"/>
      <c r="CW71" s="1768">
        <f t="shared" si="231"/>
        <v>384</v>
      </c>
      <c r="CX71" s="201"/>
      <c r="CY71" s="201">
        <f t="shared" ref="CY71:DH75" si="232">(BU71*$V$51)+(CJ71*$AL$51)</f>
        <v>384</v>
      </c>
      <c r="CZ71" s="201">
        <f t="shared" si="232"/>
        <v>0</v>
      </c>
      <c r="DA71" s="201">
        <f t="shared" si="232"/>
        <v>0</v>
      </c>
      <c r="DB71" s="201">
        <f t="shared" si="232"/>
        <v>0</v>
      </c>
      <c r="DC71" s="201">
        <f t="shared" si="232"/>
        <v>0</v>
      </c>
      <c r="DD71" s="201">
        <f t="shared" si="232"/>
        <v>0</v>
      </c>
      <c r="DE71" s="201">
        <f t="shared" si="232"/>
        <v>0</v>
      </c>
      <c r="DF71" s="201">
        <f t="shared" si="232"/>
        <v>0</v>
      </c>
      <c r="DG71" s="201">
        <f t="shared" si="232"/>
        <v>0</v>
      </c>
      <c r="DH71" s="201">
        <f t="shared" si="232"/>
        <v>0</v>
      </c>
      <c r="DI71" s="201"/>
      <c r="DJ71" s="201"/>
      <c r="DK71" s="201"/>
      <c r="DL71" s="201"/>
      <c r="DM71" s="372">
        <f t="shared" ca="1" si="37"/>
        <v>20338.281600000002</v>
      </c>
      <c r="DN71" s="1185">
        <f t="shared" si="38"/>
        <v>11130.777599999999</v>
      </c>
      <c r="DO71" s="1185">
        <f t="shared" si="39"/>
        <v>7322.88</v>
      </c>
      <c r="DP71" s="201"/>
      <c r="DQ71" s="372">
        <f t="shared" ca="1" si="40"/>
        <v>0</v>
      </c>
      <c r="DR71" s="1185">
        <f t="shared" si="41"/>
        <v>0</v>
      </c>
      <c r="DS71" s="1185">
        <f t="shared" si="42"/>
        <v>0</v>
      </c>
      <c r="DT71" s="201"/>
      <c r="DU71" s="372">
        <f t="shared" ref="DU71:DW75" ca="1" si="233">(DM71*$V$51)+(DQ71*$AL$51)</f>
        <v>20338.281600000002</v>
      </c>
      <c r="DV71" s="372">
        <f t="shared" si="233"/>
        <v>11130.777599999999</v>
      </c>
      <c r="DW71" s="372">
        <f t="shared" si="233"/>
        <v>7322.88</v>
      </c>
      <c r="DX71" s="201"/>
      <c r="DY71" s="372">
        <f t="shared" si="44"/>
        <v>0</v>
      </c>
      <c r="DZ71" s="372">
        <f t="shared" ca="1" si="45"/>
        <v>0</v>
      </c>
      <c r="EA71" s="201"/>
      <c r="EB71" s="2776">
        <f>IF(EO71=$EO$53,1,IFERROR(INDEX('Currency Data'!$L$8:$L$41,MATCH(EO71,'Currency Data'!$H$8:$H$41,0)),1))</f>
        <v>1</v>
      </c>
      <c r="EC71" s="2776">
        <f t="shared" si="147"/>
        <v>1</v>
      </c>
      <c r="ED71" s="428">
        <f>IF(GQ71=1,'1 Setup'!$T$68,IF(ISBLANK(IJ71),II71/EC71*IF(GL71=1,$ED$53,1),IJ71/EC71)*IF($EW71=7,JW71,1))</f>
        <v>19.07</v>
      </c>
      <c r="EE71" s="428">
        <f t="shared" si="46"/>
        <v>19.07</v>
      </c>
      <c r="EF71" s="428"/>
      <c r="EG71" s="1965" t="str">
        <f t="shared" si="148"/>
        <v>031500 - Highways UK</v>
      </c>
      <c r="EH71" s="201">
        <f t="shared" si="149"/>
        <v>1</v>
      </c>
      <c r="EI71" s="445" t="str">
        <f>IF(EH71=1,$EI$53,IF(GQ71=1,$GQ$55,IFERROR(IF($EG71=$EG$53,$EI$53,INDEX('PU List'!$G$6:$G$413,MATCH($EG71,'PU List'!$D$6:$D$413,0))),$EI$53)))</f>
        <v>GB - BIAF</v>
      </c>
      <c r="EJ71" s="2773" t="str">
        <f t="shared" si="150"/>
        <v>GB - BIAF</v>
      </c>
      <c r="EK71" s="1768"/>
      <c r="EL71" s="3283">
        <f>IF(OR(EW71&gt;7,$EL$53=0),0,IF(EJ71=$EI$53,$EL$53,IFERROR(INDEX('Fringe Data'!$U$8:$U$129,MATCH($EJ71,'Fringe Data'!$F$8:$F$129,0)),0)))</f>
        <v>1.73</v>
      </c>
      <c r="EM71" s="372">
        <f t="shared" si="47"/>
        <v>664.31999999999994</v>
      </c>
      <c r="EN71" s="201" t="str">
        <f>IFERROR(INDEX('Fringe Data'!$G$8:$G$64,MATCH($EJ71,'Fringe Data'!$F$8:$F$64,0)),$EO$53)</f>
        <v>GBP</v>
      </c>
      <c r="EO71" s="201" t="str">
        <f t="shared" si="151"/>
        <v>GBP</v>
      </c>
      <c r="EP71" s="201">
        <f>IF(EI71=$EI$53,$EP$49,IF(GP71=1,0,IFERROR(INDEX('Fringe Data'!$K$8:$K$64,MATCH($EI71,'Fringe Data'!$F$8:$F$64,0)),0)))</f>
        <v>0.52</v>
      </c>
      <c r="EQ71" s="201">
        <f>IF(EI71=$EI$53,$EQ$49,IF(GP71=1,0,IFERROR(INDEX('Fringe Data'!$L$8:$L$64,MATCH($EI71,'Fringe Data'!$F$8:$F$64,0)),0)))</f>
        <v>1.8499999999999999E-2</v>
      </c>
      <c r="ER71" s="201">
        <f>IF(EI71=$EI$53,$ER$49,IF(GP71=1,0,IFERROR(INDEX('Fringe Data'!$M$8:$M$64,MATCH($EI71,'Fringe Data'!$F$8:$F$64,0)),0)))</f>
        <v>0.43430000000000002</v>
      </c>
      <c r="ES71" s="201">
        <f>IF(EI71=$EI$53,$ES$49,IF(GP71=1,0,IFERROR(INDEX('Fringe Data'!$N$8:$N$64,MATCH($EI71,'Fringe Data'!$F$8:$F$64,0)),0)))</f>
        <v>0.1565</v>
      </c>
      <c r="ET71" s="201">
        <f>IF(EI71=$EI$53,$ET$49,IF(GP71=1,0,IFERROR(INDEX('Fringe Data'!$O$8:$O$64,MATCH($EI71,'Fringe Data'!$F$8:$F$64,0)),0)))</f>
        <v>0.33450000000000002</v>
      </c>
      <c r="EU71" s="263">
        <f>IF(EI71=$EI$53,$EU$49,IF(GP71=1,0,IFERROR(INDEX('Fringe Data'!$P$8:$P$64,MATCH($EI71,'Fringe Data'!$F$8:$F$64,0)),0)))</f>
        <v>0.1565</v>
      </c>
      <c r="EV71" s="201"/>
      <c r="EW71" s="1530">
        <f t="shared" si="48"/>
        <v>1</v>
      </c>
      <c r="EX71" s="1534">
        <f t="shared" si="152"/>
        <v>0.52</v>
      </c>
      <c r="EY71" s="321">
        <f t="shared" si="153"/>
        <v>0</v>
      </c>
      <c r="EZ71" s="201">
        <f t="shared" si="154"/>
        <v>28.9864</v>
      </c>
      <c r="FA71" s="372">
        <f t="shared" si="49"/>
        <v>0</v>
      </c>
      <c r="FB71" s="372">
        <f t="shared" si="50"/>
        <v>0</v>
      </c>
      <c r="FC71" s="201">
        <f t="shared" ca="1" si="155"/>
        <v>0</v>
      </c>
      <c r="FD71" s="423">
        <f t="shared" si="51"/>
        <v>0</v>
      </c>
      <c r="FE71" s="423">
        <f t="shared" si="52"/>
        <v>0</v>
      </c>
      <c r="FF71" s="201">
        <f t="shared" si="156"/>
        <v>0</v>
      </c>
      <c r="FG71" s="425">
        <f>IF(OR($FJ$52=3,$FJ$52=4,$FJ$52=5),'1 Setup'!$W$96,0)</f>
        <v>0</v>
      </c>
      <c r="FH71" s="428">
        <f>IF($FJ$52=5,'1 Setup'!$W$98,IF($FJ$52=6,'1 Setup'!$S$86,0))</f>
        <v>0</v>
      </c>
      <c r="FI71" s="321">
        <f t="shared" ca="1" si="53"/>
        <v>52.57</v>
      </c>
      <c r="FJ71" s="263">
        <f t="shared" ca="1" si="157"/>
        <v>52.964275000000001</v>
      </c>
      <c r="FK71" s="372">
        <f t="shared" ca="1" si="54"/>
        <v>20338.281600000002</v>
      </c>
      <c r="FL71" s="372">
        <f t="shared" si="55"/>
        <v>0</v>
      </c>
      <c r="FM71" s="372">
        <f t="shared" si="56"/>
        <v>0</v>
      </c>
      <c r="FN71" s="2036">
        <f t="shared" ca="1" si="57"/>
        <v>52.964275000000001</v>
      </c>
      <c r="FO71" s="372">
        <f ca="1">$BA71*FN71</f>
        <v>20338.281600000002</v>
      </c>
      <c r="FP71" s="2723">
        <f t="shared" si="158"/>
        <v>0</v>
      </c>
      <c r="FQ71" s="372">
        <f t="shared" ca="1" si="59"/>
        <v>1</v>
      </c>
      <c r="FR71" s="372">
        <f t="shared" si="159"/>
        <v>0</v>
      </c>
      <c r="FS71" s="1168"/>
      <c r="FT71" s="1168">
        <f t="shared" si="60"/>
        <v>28.9864</v>
      </c>
      <c r="FU71" s="1168">
        <f t="shared" si="61"/>
        <v>28.9864</v>
      </c>
      <c r="FV71" s="1168">
        <f t="shared" si="62"/>
        <v>28.9864</v>
      </c>
      <c r="FW71" s="1168">
        <f t="shared" si="63"/>
        <v>28.9864</v>
      </c>
      <c r="FX71" s="1168">
        <f t="shared" si="64"/>
        <v>28.9864</v>
      </c>
      <c r="FY71" s="1168">
        <f t="shared" si="65"/>
        <v>28.9864</v>
      </c>
      <c r="FZ71" s="1168">
        <f t="shared" si="66"/>
        <v>28.9864</v>
      </c>
      <c r="GA71" s="1168">
        <f t="shared" si="67"/>
        <v>28.9864</v>
      </c>
      <c r="GB71" s="1168">
        <f t="shared" si="68"/>
        <v>28.9864</v>
      </c>
      <c r="GC71" s="1168">
        <f t="shared" si="69"/>
        <v>28.9864</v>
      </c>
      <c r="GD71" s="1168"/>
      <c r="GE71" s="199"/>
      <c r="GF71" s="201">
        <f t="shared" si="70"/>
        <v>1</v>
      </c>
      <c r="GG71" s="201">
        <f t="shared" si="71"/>
        <v>0</v>
      </c>
      <c r="GH71" s="201">
        <f t="shared" si="72"/>
        <v>0</v>
      </c>
      <c r="GI71" s="201">
        <f t="shared" ca="1" si="160"/>
        <v>0</v>
      </c>
      <c r="GJ71" s="201">
        <f t="shared" si="73"/>
        <v>0</v>
      </c>
      <c r="GK71" s="201">
        <f t="shared" si="74"/>
        <v>0</v>
      </c>
      <c r="GL71" s="201">
        <f t="shared" si="75"/>
        <v>1</v>
      </c>
      <c r="GM71" s="201">
        <f t="shared" si="76"/>
        <v>1</v>
      </c>
      <c r="GN71" s="201"/>
      <c r="GO71" s="201"/>
      <c r="GP71" s="201">
        <f t="shared" si="77"/>
        <v>0</v>
      </c>
      <c r="GQ71" s="201">
        <f t="shared" si="78"/>
        <v>0</v>
      </c>
      <c r="GR71" s="201">
        <f t="shared" si="161"/>
        <v>0</v>
      </c>
      <c r="GS71" s="1768"/>
      <c r="GT71" s="201">
        <f t="shared" si="79"/>
        <v>1</v>
      </c>
      <c r="GU71" s="201">
        <f t="shared" si="193"/>
        <v>8</v>
      </c>
      <c r="GV71" s="201">
        <f t="shared" si="80"/>
        <v>8</v>
      </c>
      <c r="GW71" s="201">
        <f t="shared" si="81"/>
        <v>3</v>
      </c>
      <c r="GX71" s="201">
        <f t="shared" si="162"/>
        <v>0</v>
      </c>
      <c r="GY71" s="1998"/>
      <c r="GZ71" s="253"/>
      <c r="HA71" s="195" t="str">
        <f t="shared" si="163"/>
        <v>Phillips, Stephen</v>
      </c>
      <c r="HB71" s="3558" t="str">
        <f t="shared" si="82"/>
        <v>L3A Project Manager</v>
      </c>
      <c r="HC71" s="3590"/>
      <c r="HD71" s="257" t="str">
        <f t="shared" si="83"/>
        <v/>
      </c>
      <c r="HE71" s="825">
        <f t="shared" si="84"/>
        <v>384</v>
      </c>
      <c r="HF71" s="506" t="s">
        <v>5</v>
      </c>
      <c r="HG71" s="508">
        <f t="shared" ca="1" si="85"/>
        <v>20338.281600000002</v>
      </c>
      <c r="HH71" s="3585">
        <f t="shared" si="86"/>
        <v>11795.097599999999</v>
      </c>
      <c r="HI71" s="3586"/>
      <c r="HJ71" s="504">
        <f ca="1">HG71-HH71</f>
        <v>8543.1840000000029</v>
      </c>
      <c r="HK71" s="456">
        <f ca="1">IF(HG71&lt;0.1,0,IFERROR(HJ71/HG71,0))</f>
        <v>0.42005436683500352</v>
      </c>
      <c r="HL71" s="3591">
        <f ca="1">IFERROR(HJ71/HE71,0)</f>
        <v>22.247875000000008</v>
      </c>
      <c r="HM71" s="3592"/>
      <c r="HN71" s="240"/>
      <c r="HO71" s="1998"/>
      <c r="HP71" s="1991"/>
      <c r="HQ71" s="2770" t="str">
        <f t="shared" si="90"/>
        <v>GB - BIAF</v>
      </c>
      <c r="HR71" s="2770" t="str">
        <f t="shared" si="91"/>
        <v>GBP</v>
      </c>
      <c r="HS71" s="2771">
        <f t="shared" si="92"/>
        <v>1</v>
      </c>
      <c r="HT71" s="3623"/>
      <c r="HU71" s="2771">
        <f t="shared" si="93"/>
        <v>1.73</v>
      </c>
      <c r="HW71" s="1218"/>
      <c r="HX71" s="520"/>
      <c r="HY71" s="2523"/>
      <c r="HZ71" s="194" t="s">
        <v>4408</v>
      </c>
      <c r="IA71" s="1013" t="s">
        <v>4409</v>
      </c>
      <c r="IB71" s="193"/>
      <c r="IC71" s="3276">
        <v>8</v>
      </c>
      <c r="ID71" s="986"/>
      <c r="IE71" s="938">
        <f t="shared" si="164"/>
        <v>384</v>
      </c>
      <c r="IF71" s="938">
        <f t="shared" si="165"/>
        <v>0</v>
      </c>
      <c r="IG71" s="432"/>
      <c r="II71" s="405"/>
      <c r="IJ71" s="239">
        <v>19.07</v>
      </c>
      <c r="IK71" s="2774" t="str">
        <f t="shared" si="166"/>
        <v>GBP</v>
      </c>
      <c r="IL71" s="2148"/>
      <c r="IM71" s="1936">
        <f t="shared" si="94"/>
        <v>19.07</v>
      </c>
      <c r="IO71" s="1959" t="str">
        <f t="shared" si="95"/>
        <v xml:space="preserve"> Staff (Normal)</v>
      </c>
      <c r="IP71" s="1958"/>
      <c r="IQ71" s="543">
        <f t="shared" si="96"/>
        <v>0.52</v>
      </c>
      <c r="IR71" s="1936">
        <f t="shared" si="97"/>
        <v>28.9864</v>
      </c>
      <c r="IT71" s="1364"/>
      <c r="IU71" s="210"/>
      <c r="IV71" s="218"/>
      <c r="IW71" s="1938">
        <f ca="1">IF(NOT(ISBLANK(IU71)),IU71,IF('1 Setup'!$G$8&lt;7,JK71,FJ71))+KA71</f>
        <v>52.964275000000001</v>
      </c>
      <c r="IX71" s="409" t="str">
        <f t="shared" si="98"/>
        <v>Phillips, Stephen</v>
      </c>
      <c r="IY71" s="408" t="str">
        <f t="shared" si="99"/>
        <v>L3A Project Manager</v>
      </c>
      <c r="IZ71" s="1983"/>
      <c r="JA71" s="1994"/>
      <c r="JB71" s="1991"/>
      <c r="JD71" s="2029" t="str">
        <f t="shared" si="167"/>
        <v>Phillips, Stephen</v>
      </c>
      <c r="JE71" s="479"/>
      <c r="JF71" s="2025">
        <f t="shared" si="100"/>
        <v>0</v>
      </c>
      <c r="JG71" s="429">
        <f t="shared" si="101"/>
        <v>0</v>
      </c>
      <c r="JH71" s="1667">
        <f t="shared" si="102"/>
        <v>0</v>
      </c>
      <c r="JJ71" s="1163">
        <f t="shared" ca="1" si="103"/>
        <v>52.964275000000001</v>
      </c>
      <c r="JK71" s="1163">
        <f t="shared" ca="1" si="104"/>
        <v>52.964275000000001</v>
      </c>
      <c r="JL71" s="1795"/>
      <c r="JN71" s="2505"/>
      <c r="JO71" s="1161"/>
      <c r="JP71" s="571">
        <f t="shared" ca="1" si="105"/>
        <v>52.57</v>
      </c>
      <c r="JQ71" s="2506" t="s">
        <v>4325</v>
      </c>
      <c r="JR71" s="1953"/>
      <c r="JS71" s="2650"/>
      <c r="JT71" s="2507"/>
      <c r="JU71" s="1964">
        <f t="shared" si="106"/>
        <v>0.33450000000000002</v>
      </c>
      <c r="JV71" s="3199"/>
      <c r="JW71" s="2649">
        <f t="shared" si="107"/>
        <v>1.5</v>
      </c>
      <c r="JX71" s="1964">
        <f t="shared" si="168"/>
        <v>0.1565</v>
      </c>
      <c r="JY71" s="3199"/>
      <c r="JZ71" s="2649">
        <f t="shared" si="169"/>
        <v>0</v>
      </c>
      <c r="KA71" s="2649">
        <f t="shared" si="170"/>
        <v>0</v>
      </c>
      <c r="KB71" s="2649" t="s">
        <v>111</v>
      </c>
      <c r="KC71" s="1983"/>
      <c r="KD71" s="1974"/>
      <c r="KE71" s="1991"/>
      <c r="KF71" s="2029" t="str">
        <f t="shared" si="171"/>
        <v>Phillips, Stephen</v>
      </c>
      <c r="KG71" s="1991"/>
      <c r="KH71" s="2121">
        <f t="shared" si="108"/>
        <v>384</v>
      </c>
      <c r="KI71" s="2130">
        <f t="shared" si="109"/>
        <v>0</v>
      </c>
      <c r="KJ71" s="2130">
        <f t="shared" si="110"/>
        <v>0</v>
      </c>
      <c r="KK71" s="2130">
        <f t="shared" si="111"/>
        <v>0</v>
      </c>
      <c r="KL71" s="2131">
        <f t="shared" si="112"/>
        <v>0</v>
      </c>
      <c r="KM71" s="2132">
        <f t="shared" si="113"/>
        <v>0</v>
      </c>
      <c r="KN71" s="2132">
        <f t="shared" si="114"/>
        <v>0</v>
      </c>
      <c r="KO71" s="2132">
        <f t="shared" si="115"/>
        <v>0</v>
      </c>
      <c r="KP71" s="2132">
        <f t="shared" si="116"/>
        <v>0</v>
      </c>
      <c r="KQ71" s="2133">
        <f t="shared" si="117"/>
        <v>0</v>
      </c>
      <c r="KS71" s="2253">
        <f t="shared" si="118"/>
        <v>19.07</v>
      </c>
      <c r="KT71" s="2270">
        <f t="shared" ref="KT71:LB71" si="234">KS71*(1+(KT$60))</f>
        <v>19.07</v>
      </c>
      <c r="KU71" s="2271">
        <f t="shared" si="234"/>
        <v>19.07</v>
      </c>
      <c r="KV71" s="2271">
        <f t="shared" si="234"/>
        <v>19.07</v>
      </c>
      <c r="KW71" s="2272">
        <f t="shared" si="234"/>
        <v>19.07</v>
      </c>
      <c r="KX71" s="2271">
        <f t="shared" si="234"/>
        <v>19.07</v>
      </c>
      <c r="KY71" s="2271">
        <f t="shared" si="234"/>
        <v>19.07</v>
      </c>
      <c r="KZ71" s="2271">
        <f t="shared" si="234"/>
        <v>19.07</v>
      </c>
      <c r="LA71" s="2271">
        <f t="shared" si="234"/>
        <v>19.07</v>
      </c>
      <c r="LB71" s="2273">
        <f t="shared" si="234"/>
        <v>19.07</v>
      </c>
      <c r="LC71" s="272"/>
      <c r="LD71" s="2124">
        <f t="shared" si="120"/>
        <v>384</v>
      </c>
      <c r="LE71" s="2093">
        <f t="shared" si="121"/>
        <v>0</v>
      </c>
      <c r="LF71" s="2093">
        <f t="shared" si="122"/>
        <v>0</v>
      </c>
      <c r="LG71" s="2093">
        <f t="shared" si="123"/>
        <v>0</v>
      </c>
      <c r="LH71" s="2094">
        <f t="shared" si="124"/>
        <v>0</v>
      </c>
      <c r="LI71" s="2095">
        <f t="shared" si="125"/>
        <v>0</v>
      </c>
      <c r="LJ71" s="2095">
        <f t="shared" si="126"/>
        <v>0</v>
      </c>
      <c r="LK71" s="2095">
        <f t="shared" si="127"/>
        <v>0</v>
      </c>
      <c r="LL71" s="2095">
        <f t="shared" si="128"/>
        <v>0</v>
      </c>
      <c r="LM71" s="2096">
        <f t="shared" si="129"/>
        <v>0</v>
      </c>
      <c r="LN71" s="749"/>
      <c r="LO71" s="2256">
        <f t="shared" ca="1" si="130"/>
        <v>52.964275000000001</v>
      </c>
      <c r="LP71" s="2270">
        <f t="shared" ca="1" si="131"/>
        <v>52.964275000000001</v>
      </c>
      <c r="LQ71" s="2271">
        <f t="shared" ca="1" si="132"/>
        <v>52.964275000000001</v>
      </c>
      <c r="LR71" s="2271">
        <f t="shared" ca="1" si="133"/>
        <v>52.964275000000001</v>
      </c>
      <c r="LS71" s="2272">
        <f t="shared" ca="1" si="134"/>
        <v>52.964275000000001</v>
      </c>
      <c r="LT71" s="2271">
        <f t="shared" ca="1" si="135"/>
        <v>52.964275000000001</v>
      </c>
      <c r="LU71" s="2271">
        <f t="shared" ca="1" si="136"/>
        <v>52.964275000000001</v>
      </c>
      <c r="LV71" s="2271">
        <f t="shared" ca="1" si="137"/>
        <v>52.964275000000001</v>
      </c>
      <c r="LW71" s="2271">
        <f t="shared" ca="1" si="138"/>
        <v>52.964275000000001</v>
      </c>
      <c r="LX71" s="2273">
        <f t="shared" ca="1" si="139"/>
        <v>52.964275000000001</v>
      </c>
      <c r="LY71" s="479"/>
      <c r="LZ71" s="3128">
        <f t="shared" ca="1" si="173"/>
        <v>22.247875000000001</v>
      </c>
      <c r="MA71" s="3129">
        <f t="shared" ca="1" si="174"/>
        <v>22.247875000000001</v>
      </c>
      <c r="MB71" s="3129">
        <f t="shared" ca="1" si="175"/>
        <v>22.247875000000001</v>
      </c>
      <c r="MC71" s="3129">
        <f t="shared" ca="1" si="176"/>
        <v>22.247875000000001</v>
      </c>
      <c r="MD71" s="3130">
        <f t="shared" ca="1" si="177"/>
        <v>22.247875000000001</v>
      </c>
      <c r="ME71" s="3129">
        <f t="shared" ca="1" si="178"/>
        <v>22.247875000000001</v>
      </c>
      <c r="MF71" s="3129">
        <f t="shared" ca="1" si="179"/>
        <v>22.247875000000001</v>
      </c>
      <c r="MG71" s="3129">
        <f t="shared" ca="1" si="180"/>
        <v>22.247875000000001</v>
      </c>
      <c r="MH71" s="3129">
        <f t="shared" ca="1" si="181"/>
        <v>22.247875000000001</v>
      </c>
      <c r="MI71" s="3131">
        <f t="shared" ca="1" si="182"/>
        <v>22.247875000000001</v>
      </c>
      <c r="MJ71" s="3201"/>
      <c r="MK71" s="3206">
        <f t="shared" ca="1" si="183"/>
        <v>8543.1840000000011</v>
      </c>
      <c r="ML71" s="3207">
        <f t="shared" ca="1" si="184"/>
        <v>0</v>
      </c>
      <c r="MM71" s="3207">
        <f t="shared" ca="1" si="185"/>
        <v>0</v>
      </c>
      <c r="MN71" s="3207">
        <f t="shared" ca="1" si="186"/>
        <v>0</v>
      </c>
      <c r="MO71" s="3208">
        <f t="shared" ca="1" si="187"/>
        <v>0</v>
      </c>
      <c r="MP71" s="3207">
        <f t="shared" ca="1" si="188"/>
        <v>0</v>
      </c>
      <c r="MQ71" s="3207">
        <f t="shared" ca="1" si="189"/>
        <v>0</v>
      </c>
      <c r="MR71" s="3207">
        <f t="shared" ca="1" si="190"/>
        <v>0</v>
      </c>
      <c r="MS71" s="3207">
        <f t="shared" ca="1" si="191"/>
        <v>0</v>
      </c>
      <c r="MT71" s="3209">
        <f t="shared" ca="1" si="192"/>
        <v>0</v>
      </c>
      <c r="MU71" s="1983"/>
      <c r="MV71" s="1975"/>
      <c r="MW71" s="1991"/>
      <c r="MX71" s="1931" t="str">
        <f t="shared" si="142"/>
        <v>Phillips, Stephen</v>
      </c>
      <c r="MY71" s="749"/>
      <c r="MZ71" s="1934">
        <f t="shared" ca="1" si="143"/>
        <v>52.964275000000001</v>
      </c>
      <c r="NA71" s="1935"/>
      <c r="NB71" s="2652">
        <f t="shared" ca="1" si="144"/>
        <v>2.7773610382800209</v>
      </c>
      <c r="NC71" s="479"/>
      <c r="ND71" s="2749" t="str">
        <f t="shared" si="145"/>
        <v xml:space="preserve"> Staff (Normal)</v>
      </c>
      <c r="NE71" s="2717"/>
      <c r="NF71" s="1975"/>
      <c r="NG71" s="1975"/>
      <c r="NH71" s="1975"/>
      <c r="NI71" s="1975"/>
    </row>
    <row r="72" spans="1:373" s="192" customFormat="1" ht="15.9" customHeight="1" x14ac:dyDescent="0.3">
      <c r="A72" s="200"/>
      <c r="B72" s="200"/>
      <c r="C72" s="200"/>
      <c r="D72" s="200"/>
      <c r="E72" s="200"/>
      <c r="F72" s="200"/>
      <c r="G72" s="200"/>
      <c r="H72" s="200"/>
      <c r="I72" s="200"/>
      <c r="J72" s="200"/>
      <c r="K72" s="200"/>
      <c r="L72" s="200"/>
      <c r="M72" s="200"/>
      <c r="N72" s="200"/>
      <c r="O72" s="200"/>
      <c r="P72" s="1539"/>
      <c r="Q72" s="1539"/>
      <c r="R72" s="198"/>
      <c r="S72" s="1539"/>
      <c r="T72" s="201"/>
      <c r="U72" s="200"/>
      <c r="V72" s="201">
        <f>MATCH($IC72,'3b Activity Plan'!$DJ$171:$FH$171,0)</f>
        <v>9</v>
      </c>
      <c r="W72" s="201">
        <f>IFERROR(INDEX('3b Activity Plan'!$DJ$6:$FH$6,V72),0)</f>
        <v>384</v>
      </c>
      <c r="X72" s="1768"/>
      <c r="Y72" s="1768">
        <f>IFERROR(INDEX('3b Activity Plan'!$DJ$7:$FH$7,V72),0)</f>
        <v>384</v>
      </c>
      <c r="Z72" s="201"/>
      <c r="AA72" s="201">
        <f>IFERROR(INDEX('3b Activity Plan'!$DJ$34:$FH$34,$V72),0)</f>
        <v>384</v>
      </c>
      <c r="AB72" s="201">
        <f>IFERROR(INDEX('3b Activity Plan'!$DJ$35:$FH$35,$V72),0)</f>
        <v>0</v>
      </c>
      <c r="AC72" s="201">
        <f>IFERROR(INDEX('3b Activity Plan'!$DJ$36:$FH$36,$V72),0)</f>
        <v>0</v>
      </c>
      <c r="AD72" s="201">
        <f>IFERROR(INDEX('3b Activity Plan'!$DJ$37:$FH$37,$V72),0)</f>
        <v>0</v>
      </c>
      <c r="AE72" s="201">
        <f>IFERROR(INDEX('3b Activity Plan'!$DJ$38:$FH$38,$V72),0)</f>
        <v>0</v>
      </c>
      <c r="AF72" s="201">
        <f>IFERROR(INDEX('3b Activity Plan'!$DJ$39:$FH$39,$V72),0)</f>
        <v>0</v>
      </c>
      <c r="AG72" s="201">
        <f>IFERROR(INDEX('3b Activity Plan'!$DJ$40:$FH$40,$V72),0)</f>
        <v>0</v>
      </c>
      <c r="AH72" s="201">
        <f>IFERROR(INDEX('3b Activity Plan'!$DJ$41:$FH$41,$V72),0)</f>
        <v>0</v>
      </c>
      <c r="AI72" s="201">
        <f>IFERROR(INDEX('3b Activity Plan'!$DJ$42:$FH$42,$V72),0)</f>
        <v>0</v>
      </c>
      <c r="AJ72" s="201">
        <f>IFERROR(INDEX('3b Activity Plan'!$DJ$43:$FH$43,$V72),0)</f>
        <v>0</v>
      </c>
      <c r="AK72" s="201"/>
      <c r="AL72" s="201">
        <f>SUMIFS('3a Staff Plan'!$AR$129:$AR$305,'3a Staff Plan'!$DY$129:$DY$305,$IA72,'3a Staff Plan'!$DF$129:$DF$305,1)</f>
        <v>0</v>
      </c>
      <c r="AM72" s="1768"/>
      <c r="AN72" s="1768">
        <f>SUMIFS('3a Staff Plan'!$AR$129:$AR$305,'3a Staff Plan'!$DY$129:$DY$305,$IA72,'3a Staff Plan'!$CV$129:$CV$305,1)</f>
        <v>0</v>
      </c>
      <c r="AO72" s="201"/>
      <c r="AP72" s="201">
        <f>SUMIFS('3a Staff Plan'!$AS$129:$AS$305,'3a Staff Plan'!$DY$129:$DY$305,$IA72,'3a Staff Plan'!$DF$129:$DF$305,1)</f>
        <v>0</v>
      </c>
      <c r="AQ72" s="201">
        <f>SUMIFS('3a Staff Plan'!$AT$129:$AT$305,'3a Staff Plan'!$DY$129:$DY$305,$IA72,'3a Staff Plan'!$DF$129:$DF$305,1)</f>
        <v>0</v>
      </c>
      <c r="AR72" s="201">
        <f>SUMIFS('3a Staff Plan'!$AU$129:$AU$305,'3a Staff Plan'!$DY$129:$DY$305,$IA72,'3a Staff Plan'!$DF$129:$DF$305,1)</f>
        <v>0</v>
      </c>
      <c r="AS72" s="201">
        <f>SUMIFS('3a Staff Plan'!$AV$129:$AV$305,'3a Staff Plan'!$DY$129:$DY$305,$IA72,'3a Staff Plan'!$DF$129:$DF$305,1)</f>
        <v>0</v>
      </c>
      <c r="AT72" s="201">
        <f>SUMIFS('3a Staff Plan'!$AW$129:$AW$305,'3a Staff Plan'!$DY$129:$DY$305,$IA72,'3a Staff Plan'!$DF$129:$DF$305,1)</f>
        <v>0</v>
      </c>
      <c r="AU72" s="201">
        <f>SUMIFS('3a Staff Plan'!$AX$129:$AX$305,'3a Staff Plan'!$DY$129:$DY$305,$IA72,'3a Staff Plan'!$DF$129:$DF$305,1)</f>
        <v>0</v>
      </c>
      <c r="AV72" s="201">
        <f>SUMIFS('3a Staff Plan'!$AY$129:$AY$305,'3a Staff Plan'!$DY$129:$DY$305,$IA72,'3a Staff Plan'!$DF$129:$DF$305,1)</f>
        <v>0</v>
      </c>
      <c r="AW72" s="201">
        <f>SUMIFS('3a Staff Plan'!$AZ$129:$AZ$305,'3a Staff Plan'!$DY$129:$DY$305,$IA72,'3a Staff Plan'!$DF$129:$DF$305,1)</f>
        <v>0</v>
      </c>
      <c r="AX72" s="201">
        <f>SUMIFS('3a Staff Plan'!$BA$129:$BA$305,'3a Staff Plan'!$DY$129:$DY$305,$IA72,'3a Staff Plan'!$DF$129:$DF$305,1)</f>
        <v>0</v>
      </c>
      <c r="AY72" s="201">
        <f>SUMIFS('3a Staff Plan'!$BB$129:$BB$305,'3a Staff Plan'!$DY$129:$DY$305,$IA72,'3a Staff Plan'!$DF$129:$DF$305,1)</f>
        <v>0</v>
      </c>
      <c r="AZ72" s="201"/>
      <c r="BA72" s="201">
        <f t="shared" si="229"/>
        <v>384</v>
      </c>
      <c r="BB72" s="1768"/>
      <c r="BC72" s="1768">
        <f t="shared" si="229"/>
        <v>384</v>
      </c>
      <c r="BD72" s="201"/>
      <c r="BE72" s="201">
        <f t="shared" si="230"/>
        <v>384</v>
      </c>
      <c r="BF72" s="201">
        <f t="shared" si="230"/>
        <v>0</v>
      </c>
      <c r="BG72" s="201">
        <f t="shared" si="230"/>
        <v>0</v>
      </c>
      <c r="BH72" s="201">
        <f t="shared" si="230"/>
        <v>0</v>
      </c>
      <c r="BI72" s="201">
        <f t="shared" si="230"/>
        <v>0</v>
      </c>
      <c r="BJ72" s="201">
        <f t="shared" si="230"/>
        <v>0</v>
      </c>
      <c r="BK72" s="201">
        <f t="shared" si="230"/>
        <v>0</v>
      </c>
      <c r="BL72" s="201">
        <f t="shared" si="230"/>
        <v>0</v>
      </c>
      <c r="BM72" s="201">
        <f t="shared" si="230"/>
        <v>0</v>
      </c>
      <c r="BN72" s="201">
        <f t="shared" si="230"/>
        <v>0</v>
      </c>
      <c r="BO72" s="201"/>
      <c r="BP72" s="1818">
        <f t="shared" si="146"/>
        <v>9</v>
      </c>
      <c r="BQ72" s="1818">
        <f>IFERROR(INDEX('3b Activity Plan'!$DJ$15:$FH$15,BP72),0)</f>
        <v>384</v>
      </c>
      <c r="BR72" s="1768"/>
      <c r="BS72" s="1768">
        <f>IFERROR(INDEX('3b Activity Plan'!$DJ$16:$FH$16,BP72),0)</f>
        <v>384</v>
      </c>
      <c r="BT72" s="201"/>
      <c r="BU72" s="201">
        <f>IFERROR(INDEX('3b Activity Plan'!$DJ$67:$FH$67,$V72),0)</f>
        <v>384</v>
      </c>
      <c r="BV72" s="201">
        <f>IFERROR(INDEX('3b Activity Plan'!$DJ$68:$FH$68,$V72),0)</f>
        <v>0</v>
      </c>
      <c r="BW72" s="201">
        <f>IFERROR(INDEX('3b Activity Plan'!$DJ$69:$FH$69,$V72),0)</f>
        <v>0</v>
      </c>
      <c r="BX72" s="201">
        <f>IFERROR(INDEX('3b Activity Plan'!$DJ$70:$FH$70,$V72),0)</f>
        <v>0</v>
      </c>
      <c r="BY72" s="201">
        <f>IFERROR(INDEX('3b Activity Plan'!$DJ$71:$FH$71,$V72),0)</f>
        <v>0</v>
      </c>
      <c r="BZ72" s="201">
        <f>IFERROR(INDEX('3b Activity Plan'!$DJ$72:$FH$72,$V72),0)</f>
        <v>0</v>
      </c>
      <c r="CA72" s="201">
        <f>IFERROR(INDEX('3b Activity Plan'!$DJ$73:$FH$73,$V72),0)</f>
        <v>0</v>
      </c>
      <c r="CB72" s="201">
        <f>IFERROR(INDEX('3b Activity Plan'!$DJ$74:$FH$74,$V72),0)</f>
        <v>0</v>
      </c>
      <c r="CC72" s="201">
        <f>IFERROR(INDEX('3b Activity Plan'!$DJ$75:$FH$75,$V72),0)</f>
        <v>0</v>
      </c>
      <c r="CD72" s="201">
        <f>IFERROR(INDEX('3b Activity Plan'!$DJ$76:$FH$76,$V72),0)</f>
        <v>0</v>
      </c>
      <c r="CE72" s="201"/>
      <c r="CF72" s="1818">
        <f>SUMIFS('3a Staff Plan'!$AR$129:$AR$305,'3a Staff Plan'!$DY$129:$DY$305,$IA72,'3a Staff Plan'!$AG$129:$AG$305,1,'3a Staff Plan'!$DF$129:$DF$305,1)</f>
        <v>0</v>
      </c>
      <c r="CG72" s="1768">
        <f>SUMIFS('3a Staff Plan'!$AR$129:$AR$305,'3a Staff Plan'!$DY$129:$DY$305,$IA72,'3a Staff Plan'!$AG$129:$AG$305,1,'3a Staff Plan'!$CX$129:$CX$305,1)</f>
        <v>0</v>
      </c>
      <c r="CH72" s="1768">
        <f>SUMIFS('3a Staff Plan'!$AR$129:$AR$305,'3a Staff Plan'!$DY$129:$DY$305,$IA72,'3a Staff Plan'!$AG$129:$AG$305,1,'3a Staff Plan'!$CV$129:$CV$305,1)</f>
        <v>0</v>
      </c>
      <c r="CI72" s="201"/>
      <c r="CJ72" s="201">
        <f>SUMIFS('3a Staff Plan'!$BX$129:$BX$305,'3a Staff Plan'!$DY$129:$DY$305,$IA72,'3a Staff Plan'!$DF$129:$DF$305,1,'3a Staff Plan'!$AG$129:$AG$305,1)</f>
        <v>0</v>
      </c>
      <c r="CK72" s="201">
        <f>SUMIFS('3a Staff Plan'!$BY$129:$BY$305,'3a Staff Plan'!$DY$129:$DY$305,$IA72,'3a Staff Plan'!$DF$129:$DF$305,1,'3a Staff Plan'!$AG$129:$AG$305,1)</f>
        <v>0</v>
      </c>
      <c r="CL72" s="201">
        <f>SUMIFS('3a Staff Plan'!$BZ$129:$BZ$305,'3a Staff Plan'!$DY$129:$DY$305,$IA72,'3a Staff Plan'!$DF$129:$DF$305,1,'3a Staff Plan'!$AG$129:$AG$305,1)</f>
        <v>0</v>
      </c>
      <c r="CM72" s="201">
        <f>SUMIFS('3a Staff Plan'!$CA$129:$CA$305,'3a Staff Plan'!$DY$129:$DY$305,$IA72,'3a Staff Plan'!$DF$129:$DF$305,1,'3a Staff Plan'!$AG$129:$AG$305,1)</f>
        <v>0</v>
      </c>
      <c r="CN72" s="201">
        <f>SUMIFS('3a Staff Plan'!$CB$129:$CB$305,'3a Staff Plan'!$DY$129:$DY$305,$IA72,'3a Staff Plan'!$DF$129:$DF$305,1,'3a Staff Plan'!$AG$129:$AG$305,1)</f>
        <v>0</v>
      </c>
      <c r="CO72" s="201">
        <f>SUMIFS('3a Staff Plan'!$CC$129:$CC$305,'3a Staff Plan'!$DY$129:$DY$305,$IA72,'3a Staff Plan'!$DF$129:$DF$305,1,'3a Staff Plan'!$AG$129:$AG$305,1)</f>
        <v>0</v>
      </c>
      <c r="CP72" s="201">
        <f>SUMIFS('3a Staff Plan'!$CD$129:$CD$305,'3a Staff Plan'!$DY$129:$DY$305,$IA72,'3a Staff Plan'!$DF$129:$DF$305,1,'3a Staff Plan'!$AG$129:$AG$305,1)</f>
        <v>0</v>
      </c>
      <c r="CQ72" s="201">
        <f>SUMIFS('3a Staff Plan'!$CE$129:$CE$305,'3a Staff Plan'!$DY$129:$DY$305,$IA72,'3a Staff Plan'!$DF$129:$DF$305,1,'3a Staff Plan'!$AG$129:$AG$305,1)</f>
        <v>0</v>
      </c>
      <c r="CR72" s="201">
        <f>SUMIFS('3a Staff Plan'!$CF$129:$CF$305,'3a Staff Plan'!$DY$129:$DY$305,$IA72,'3a Staff Plan'!$DF$129:$DF$305,1,'3a Staff Plan'!$AG$129:$AG$305,1)</f>
        <v>0</v>
      </c>
      <c r="CS72" s="201">
        <f>SUMIFS('3a Staff Plan'!$CG$129:$CG$305,'3a Staff Plan'!$DY$129:$DY$305,$IA72,'3a Staff Plan'!$DF$129:$DF$305,1,'3a Staff Plan'!$AG$129:$AG$305,1)</f>
        <v>0</v>
      </c>
      <c r="CT72" s="201"/>
      <c r="CU72" s="1818">
        <f t="shared" si="231"/>
        <v>384</v>
      </c>
      <c r="CV72" s="1768"/>
      <c r="CW72" s="1768">
        <f t="shared" si="231"/>
        <v>384</v>
      </c>
      <c r="CX72" s="201"/>
      <c r="CY72" s="201">
        <f t="shared" si="232"/>
        <v>384</v>
      </c>
      <c r="CZ72" s="201">
        <f t="shared" si="232"/>
        <v>0</v>
      </c>
      <c r="DA72" s="201">
        <f t="shared" si="232"/>
        <v>0</v>
      </c>
      <c r="DB72" s="201">
        <f t="shared" si="232"/>
        <v>0</v>
      </c>
      <c r="DC72" s="201">
        <f t="shared" si="232"/>
        <v>0</v>
      </c>
      <c r="DD72" s="201">
        <f t="shared" si="232"/>
        <v>0</v>
      </c>
      <c r="DE72" s="201">
        <f t="shared" si="232"/>
        <v>0</v>
      </c>
      <c r="DF72" s="201">
        <f t="shared" si="232"/>
        <v>0</v>
      </c>
      <c r="DG72" s="201">
        <f t="shared" si="232"/>
        <v>0</v>
      </c>
      <c r="DH72" s="201">
        <f t="shared" si="232"/>
        <v>0</v>
      </c>
      <c r="DI72" s="201"/>
      <c r="DJ72" s="201"/>
      <c r="DK72" s="201"/>
      <c r="DL72" s="201"/>
      <c r="DM72" s="372">
        <f t="shared" ca="1" si="37"/>
        <v>18140.803200000002</v>
      </c>
      <c r="DN72" s="1185">
        <f t="shared" si="38"/>
        <v>10494.5664</v>
      </c>
      <c r="DO72" s="1185">
        <f t="shared" si="39"/>
        <v>6904.32</v>
      </c>
      <c r="DP72" s="201"/>
      <c r="DQ72" s="372">
        <f t="shared" ca="1" si="40"/>
        <v>0</v>
      </c>
      <c r="DR72" s="1185">
        <f t="shared" si="41"/>
        <v>0</v>
      </c>
      <c r="DS72" s="1185">
        <f t="shared" si="42"/>
        <v>0</v>
      </c>
      <c r="DT72" s="201"/>
      <c r="DU72" s="372">
        <f t="shared" ca="1" si="233"/>
        <v>18140.803200000002</v>
      </c>
      <c r="DV72" s="372">
        <f t="shared" si="233"/>
        <v>10494.5664</v>
      </c>
      <c r="DW72" s="372">
        <f t="shared" si="233"/>
        <v>6904.32</v>
      </c>
      <c r="DX72" s="201"/>
      <c r="DY72" s="372">
        <f t="shared" si="44"/>
        <v>0</v>
      </c>
      <c r="DZ72" s="372">
        <f t="shared" ca="1" si="45"/>
        <v>0</v>
      </c>
      <c r="EA72" s="201"/>
      <c r="EB72" s="2776">
        <f>IF(EO72=$EO$53,1,IFERROR(INDEX('Currency Data'!$L$8:$L$41,MATCH(EO72,'Currency Data'!$H$8:$H$41,0)),1))</f>
        <v>1</v>
      </c>
      <c r="EC72" s="2776">
        <f t="shared" si="147"/>
        <v>1</v>
      </c>
      <c r="ED72" s="428">
        <f>IF(GQ72=1,'1 Setup'!$T$68,IF(ISBLANK(IJ72),II72/EC72*IF(GL72=1,$ED$53,1),IJ72/EC72)*IF($EW72=7,JW72,1))</f>
        <v>17.98</v>
      </c>
      <c r="EE72" s="428">
        <f t="shared" si="46"/>
        <v>17.98</v>
      </c>
      <c r="EF72" s="428"/>
      <c r="EG72" s="1965" t="str">
        <f t="shared" si="148"/>
        <v>031500 - Highways UK</v>
      </c>
      <c r="EH72" s="201">
        <f t="shared" si="149"/>
        <v>1</v>
      </c>
      <c r="EI72" s="445" t="str">
        <f>IF(EH72=1,$EI$53,IF(GQ72=1,$GQ$55,IFERROR(IF($EG72=$EG$53,$EI$53,INDEX('PU List'!$G$6:$G$413,MATCH($EG72,'PU List'!$D$6:$D$413,0))),$EI$53)))</f>
        <v>GB - BIAF</v>
      </c>
      <c r="EJ72" s="2773" t="str">
        <f t="shared" si="150"/>
        <v>GB - BIAF</v>
      </c>
      <c r="EK72" s="1768"/>
      <c r="EL72" s="3283">
        <f>IF(OR(EW72&gt;7,$EL$53=0),0,IF(EJ72=$EI$53,$EL$53,IFERROR(INDEX('Fringe Data'!$U$8:$U$129,MATCH($EJ72,'Fringe Data'!$F$8:$F$129,0)),0)))</f>
        <v>1.73</v>
      </c>
      <c r="EM72" s="372">
        <f t="shared" si="47"/>
        <v>664.31999999999994</v>
      </c>
      <c r="EN72" s="201" t="str">
        <f>IFERROR(INDEX('Fringe Data'!$G$8:$G$64,MATCH($EJ72,'Fringe Data'!$F$8:$F$64,0)),$EO$53)</f>
        <v>GBP</v>
      </c>
      <c r="EO72" s="201" t="str">
        <f t="shared" si="151"/>
        <v>GBP</v>
      </c>
      <c r="EP72" s="201">
        <f>IF(EI72=$EI$53,$EP$49,IF(GP72=1,0,IFERROR(INDEX('Fringe Data'!$K$8:$K$64,MATCH($EI72,'Fringe Data'!$F$8:$F$64,0)),0)))</f>
        <v>0.52</v>
      </c>
      <c r="EQ72" s="201">
        <f>IF(EI72=$EI$53,$EQ$49,IF(GP72=1,0,IFERROR(INDEX('Fringe Data'!$L$8:$L$64,MATCH($EI72,'Fringe Data'!$F$8:$F$64,0)),0)))</f>
        <v>1.8499999999999999E-2</v>
      </c>
      <c r="ER72" s="201">
        <f>IF(EI72=$EI$53,$ER$49,IF(GP72=1,0,IFERROR(INDEX('Fringe Data'!$M$8:$M$64,MATCH($EI72,'Fringe Data'!$F$8:$F$64,0)),0)))</f>
        <v>0.43430000000000002</v>
      </c>
      <c r="ES72" s="201">
        <f>IF(EI72=$EI$53,$ES$49,IF(GP72=1,0,IFERROR(INDEX('Fringe Data'!$N$8:$N$64,MATCH($EI72,'Fringe Data'!$F$8:$F$64,0)),0)))</f>
        <v>0.1565</v>
      </c>
      <c r="ET72" s="201">
        <f>IF(EI72=$EI$53,$ET$49,IF(GP72=1,0,IFERROR(INDEX('Fringe Data'!$O$8:$O$64,MATCH($EI72,'Fringe Data'!$F$8:$F$64,0)),0)))</f>
        <v>0.33450000000000002</v>
      </c>
      <c r="EU72" s="263">
        <f>IF(EI72=$EI$53,$EU$49,IF(GP72=1,0,IFERROR(INDEX('Fringe Data'!$P$8:$P$64,MATCH($EI72,'Fringe Data'!$F$8:$F$64,0)),0)))</f>
        <v>0.1565</v>
      </c>
      <c r="EV72" s="201"/>
      <c r="EW72" s="1530">
        <f t="shared" si="48"/>
        <v>1</v>
      </c>
      <c r="EX72" s="1534">
        <f t="shared" si="152"/>
        <v>0.52</v>
      </c>
      <c r="EY72" s="321">
        <f t="shared" si="153"/>
        <v>0</v>
      </c>
      <c r="EZ72" s="201">
        <f t="shared" si="154"/>
        <v>27.329599999999999</v>
      </c>
      <c r="FA72" s="372">
        <f t="shared" si="49"/>
        <v>0</v>
      </c>
      <c r="FB72" s="372">
        <f t="shared" si="50"/>
        <v>0</v>
      </c>
      <c r="FC72" s="201">
        <f t="shared" ca="1" si="155"/>
        <v>0</v>
      </c>
      <c r="FD72" s="423">
        <f t="shared" si="51"/>
        <v>0</v>
      </c>
      <c r="FE72" s="423">
        <f t="shared" si="52"/>
        <v>0</v>
      </c>
      <c r="FF72" s="201">
        <f t="shared" si="156"/>
        <v>0</v>
      </c>
      <c r="FG72" s="425">
        <f>IF(OR($FJ$52=3,$FJ$52=4,$FJ$52=5),'1 Setup'!$W$96,0)</f>
        <v>0</v>
      </c>
      <c r="FH72" s="428">
        <f>IF($FJ$52=5,'1 Setup'!$W$98,IF($FJ$52=6,'1 Setup'!$S$86,0))</f>
        <v>0</v>
      </c>
      <c r="FI72" s="321">
        <f t="shared" ca="1" si="53"/>
        <v>46.89</v>
      </c>
      <c r="FJ72" s="263">
        <f t="shared" ca="1" si="157"/>
        <v>47.241675000000001</v>
      </c>
      <c r="FK72" s="372">
        <f t="shared" ca="1" si="54"/>
        <v>18140.803200000002</v>
      </c>
      <c r="FL72" s="372">
        <f t="shared" si="55"/>
        <v>0</v>
      </c>
      <c r="FM72" s="372">
        <f t="shared" si="56"/>
        <v>0</v>
      </c>
      <c r="FN72" s="2036">
        <f t="shared" ca="1" si="57"/>
        <v>47.241675000000001</v>
      </c>
      <c r="FO72" s="372">
        <f ca="1">$BA72*FN72</f>
        <v>18140.803200000002</v>
      </c>
      <c r="FP72" s="2723">
        <f t="shared" si="158"/>
        <v>0</v>
      </c>
      <c r="FQ72" s="372">
        <f t="shared" ca="1" si="59"/>
        <v>1</v>
      </c>
      <c r="FR72" s="372">
        <f t="shared" si="159"/>
        <v>0</v>
      </c>
      <c r="FS72" s="1168"/>
      <c r="FT72" s="1168">
        <f t="shared" si="60"/>
        <v>27.329599999999999</v>
      </c>
      <c r="FU72" s="1168">
        <f t="shared" si="61"/>
        <v>27.329599999999999</v>
      </c>
      <c r="FV72" s="1168">
        <f t="shared" si="62"/>
        <v>27.329599999999999</v>
      </c>
      <c r="FW72" s="1168">
        <f t="shared" si="63"/>
        <v>27.329599999999999</v>
      </c>
      <c r="FX72" s="1168">
        <f t="shared" si="64"/>
        <v>27.329599999999999</v>
      </c>
      <c r="FY72" s="1168">
        <f t="shared" si="65"/>
        <v>27.329599999999999</v>
      </c>
      <c r="FZ72" s="1168">
        <f t="shared" si="66"/>
        <v>27.329599999999999</v>
      </c>
      <c r="GA72" s="1168">
        <f t="shared" si="67"/>
        <v>27.329599999999999</v>
      </c>
      <c r="GB72" s="1168">
        <f t="shared" si="68"/>
        <v>27.329599999999999</v>
      </c>
      <c r="GC72" s="1168">
        <f t="shared" si="69"/>
        <v>27.329599999999999</v>
      </c>
      <c r="GD72" s="1168"/>
      <c r="GE72" s="199"/>
      <c r="GF72" s="201">
        <f t="shared" si="70"/>
        <v>1</v>
      </c>
      <c r="GG72" s="201">
        <f t="shared" si="71"/>
        <v>0</v>
      </c>
      <c r="GH72" s="201">
        <f t="shared" si="72"/>
        <v>0</v>
      </c>
      <c r="GI72" s="201">
        <f t="shared" ca="1" si="160"/>
        <v>0</v>
      </c>
      <c r="GJ72" s="201">
        <f t="shared" si="73"/>
        <v>0</v>
      </c>
      <c r="GK72" s="201">
        <f t="shared" si="74"/>
        <v>0</v>
      </c>
      <c r="GL72" s="201">
        <f t="shared" si="75"/>
        <v>1</v>
      </c>
      <c r="GM72" s="201">
        <f t="shared" si="76"/>
        <v>1</v>
      </c>
      <c r="GN72" s="201"/>
      <c r="GO72" s="201"/>
      <c r="GP72" s="201">
        <f t="shared" si="77"/>
        <v>0</v>
      </c>
      <c r="GQ72" s="201">
        <f t="shared" si="78"/>
        <v>0</v>
      </c>
      <c r="GR72" s="201">
        <f t="shared" si="161"/>
        <v>0</v>
      </c>
      <c r="GS72" s="1768"/>
      <c r="GT72" s="201">
        <f t="shared" si="79"/>
        <v>1</v>
      </c>
      <c r="GU72" s="201">
        <f t="shared" si="193"/>
        <v>9</v>
      </c>
      <c r="GV72" s="201">
        <f t="shared" si="80"/>
        <v>9</v>
      </c>
      <c r="GW72" s="201">
        <f t="shared" si="81"/>
        <v>3</v>
      </c>
      <c r="GX72" s="201">
        <f t="shared" si="162"/>
        <v>0</v>
      </c>
      <c r="GY72" s="1998"/>
      <c r="GZ72" s="253"/>
      <c r="HA72" s="195" t="str">
        <f t="shared" si="163"/>
        <v>Parsons, Jenny</v>
      </c>
      <c r="HB72" s="3558" t="str">
        <f t="shared" si="82"/>
        <v>L3B Senior Engineer</v>
      </c>
      <c r="HC72" s="3590"/>
      <c r="HD72" s="257" t="str">
        <f t="shared" si="83"/>
        <v/>
      </c>
      <c r="HE72" s="825">
        <f t="shared" si="84"/>
        <v>384</v>
      </c>
      <c r="HF72" s="506" t="s">
        <v>5</v>
      </c>
      <c r="HG72" s="508">
        <f t="shared" ca="1" si="85"/>
        <v>18140.803200000002</v>
      </c>
      <c r="HH72" s="3585">
        <f t="shared" si="86"/>
        <v>11158.886399999999</v>
      </c>
      <c r="HI72" s="3586"/>
      <c r="HJ72" s="504">
        <f ca="1">HG72-HH72</f>
        <v>6981.9168000000027</v>
      </c>
      <c r="HK72" s="456">
        <f ca="1">IF(HG72&lt;0.1,0,IFERROR(HJ72/HG72,0))</f>
        <v>0.38487363117416995</v>
      </c>
      <c r="HL72" s="3591">
        <f ca="1">IFERROR(HJ72/HE72,0)</f>
        <v>18.182075000000008</v>
      </c>
      <c r="HM72" s="3592"/>
      <c r="HN72" s="240"/>
      <c r="HO72" s="1998"/>
      <c r="HP72" s="1991"/>
      <c r="HQ72" s="2770" t="str">
        <f t="shared" si="90"/>
        <v>GB - BIAF</v>
      </c>
      <c r="HR72" s="2770" t="str">
        <f t="shared" si="91"/>
        <v>GBP</v>
      </c>
      <c r="HS72" s="2771">
        <f t="shared" si="92"/>
        <v>1</v>
      </c>
      <c r="HT72" s="3488"/>
      <c r="HU72" s="2771">
        <f t="shared" si="93"/>
        <v>1.73</v>
      </c>
      <c r="HW72" s="1218"/>
      <c r="HX72" s="520"/>
      <c r="HY72" s="2523"/>
      <c r="HZ72" s="194" t="s">
        <v>4354</v>
      </c>
      <c r="IA72" s="1013" t="s">
        <v>4410</v>
      </c>
      <c r="IB72" s="193"/>
      <c r="IC72" s="3276">
        <v>9</v>
      </c>
      <c r="ID72" s="986"/>
      <c r="IE72" s="938">
        <f t="shared" si="164"/>
        <v>384</v>
      </c>
      <c r="IF72" s="938">
        <f t="shared" si="165"/>
        <v>0</v>
      </c>
      <c r="IG72" s="432"/>
      <c r="II72" s="405"/>
      <c r="IJ72" s="239">
        <v>17.98</v>
      </c>
      <c r="IK72" s="2774" t="str">
        <f t="shared" si="166"/>
        <v>GBP</v>
      </c>
      <c r="IL72" s="2148"/>
      <c r="IM72" s="1936">
        <f t="shared" si="94"/>
        <v>17.98</v>
      </c>
      <c r="IO72" s="1959" t="str">
        <f t="shared" si="95"/>
        <v xml:space="preserve"> Staff (Normal)</v>
      </c>
      <c r="IP72" s="1958"/>
      <c r="IQ72" s="543">
        <f t="shared" si="96"/>
        <v>0.52</v>
      </c>
      <c r="IR72" s="1936">
        <f t="shared" si="97"/>
        <v>27.329599999999999</v>
      </c>
      <c r="IT72" s="1364"/>
      <c r="IU72" s="210"/>
      <c r="IV72" s="218"/>
      <c r="IW72" s="1938">
        <f ca="1">IF(NOT(ISBLANK(IU72)),IU72,IF('1 Setup'!$G$8&lt;7,JK72,FJ72))+KA72</f>
        <v>47.241675000000001</v>
      </c>
      <c r="IX72" s="409" t="str">
        <f t="shared" si="98"/>
        <v>Parsons, Jenny</v>
      </c>
      <c r="IY72" s="408" t="str">
        <f t="shared" si="99"/>
        <v>L3B Senior Engineer</v>
      </c>
      <c r="IZ72" s="1983"/>
      <c r="JA72" s="1994"/>
      <c r="JB72" s="1991"/>
      <c r="JD72" s="2029" t="str">
        <f t="shared" si="167"/>
        <v>Parsons, Jenny</v>
      </c>
      <c r="JE72" s="479"/>
      <c r="JF72" s="2025">
        <f t="shared" si="100"/>
        <v>0</v>
      </c>
      <c r="JG72" s="429">
        <f t="shared" si="101"/>
        <v>0</v>
      </c>
      <c r="JH72" s="1667">
        <f t="shared" si="102"/>
        <v>0</v>
      </c>
      <c r="JJ72" s="1163">
        <f t="shared" ca="1" si="103"/>
        <v>47.241675000000001</v>
      </c>
      <c r="JK72" s="1163">
        <f t="shared" ca="1" si="104"/>
        <v>47.241675000000001</v>
      </c>
      <c r="JL72" s="1795"/>
      <c r="JN72" s="2505"/>
      <c r="JO72" s="1161"/>
      <c r="JP72" s="571">
        <f t="shared" ca="1" si="105"/>
        <v>46.89</v>
      </c>
      <c r="JQ72" s="2506" t="s">
        <v>4326</v>
      </c>
      <c r="JR72" s="1953"/>
      <c r="JS72" s="2650"/>
      <c r="JT72" s="2507"/>
      <c r="JU72" s="1964">
        <f t="shared" si="106"/>
        <v>0.33450000000000002</v>
      </c>
      <c r="JV72" s="3199"/>
      <c r="JW72" s="2649">
        <f t="shared" si="107"/>
        <v>1.5</v>
      </c>
      <c r="JX72" s="1964">
        <f t="shared" si="168"/>
        <v>0.1565</v>
      </c>
      <c r="JY72" s="3199"/>
      <c r="JZ72" s="2649">
        <f t="shared" si="169"/>
        <v>0</v>
      </c>
      <c r="KA72" s="2649">
        <f t="shared" si="170"/>
        <v>0</v>
      </c>
      <c r="KB72" s="2649" t="s">
        <v>111</v>
      </c>
      <c r="KC72" s="1983"/>
      <c r="KD72" s="1974"/>
      <c r="KE72" s="1991"/>
      <c r="KF72" s="2029" t="str">
        <f t="shared" si="171"/>
        <v>Parsons, Jenny</v>
      </c>
      <c r="KG72" s="1991"/>
      <c r="KH72" s="2121">
        <f t="shared" si="108"/>
        <v>384</v>
      </c>
      <c r="KI72" s="2130">
        <f t="shared" si="109"/>
        <v>0</v>
      </c>
      <c r="KJ72" s="2130">
        <f t="shared" si="110"/>
        <v>0</v>
      </c>
      <c r="KK72" s="2130">
        <f t="shared" si="111"/>
        <v>0</v>
      </c>
      <c r="KL72" s="2131">
        <f t="shared" si="112"/>
        <v>0</v>
      </c>
      <c r="KM72" s="2132">
        <f t="shared" si="113"/>
        <v>0</v>
      </c>
      <c r="KN72" s="2132">
        <f t="shared" si="114"/>
        <v>0</v>
      </c>
      <c r="KO72" s="2132">
        <f t="shared" si="115"/>
        <v>0</v>
      </c>
      <c r="KP72" s="2132">
        <f t="shared" si="116"/>
        <v>0</v>
      </c>
      <c r="KQ72" s="2133">
        <f t="shared" si="117"/>
        <v>0</v>
      </c>
      <c r="KS72" s="2253">
        <f t="shared" si="118"/>
        <v>17.98</v>
      </c>
      <c r="KT72" s="2270">
        <f t="shared" ref="KT72:LB72" si="235">KS72*(1+(KT$60))</f>
        <v>17.98</v>
      </c>
      <c r="KU72" s="2271">
        <f t="shared" si="235"/>
        <v>17.98</v>
      </c>
      <c r="KV72" s="2271">
        <f t="shared" si="235"/>
        <v>17.98</v>
      </c>
      <c r="KW72" s="2272">
        <f t="shared" si="235"/>
        <v>17.98</v>
      </c>
      <c r="KX72" s="2271">
        <f t="shared" si="235"/>
        <v>17.98</v>
      </c>
      <c r="KY72" s="2271">
        <f t="shared" si="235"/>
        <v>17.98</v>
      </c>
      <c r="KZ72" s="2271">
        <f t="shared" si="235"/>
        <v>17.98</v>
      </c>
      <c r="LA72" s="2271">
        <f t="shared" si="235"/>
        <v>17.98</v>
      </c>
      <c r="LB72" s="2273">
        <f t="shared" si="235"/>
        <v>17.98</v>
      </c>
      <c r="LC72" s="272"/>
      <c r="LD72" s="2124">
        <f t="shared" si="120"/>
        <v>384</v>
      </c>
      <c r="LE72" s="2093">
        <f t="shared" si="121"/>
        <v>0</v>
      </c>
      <c r="LF72" s="2093">
        <f t="shared" si="122"/>
        <v>0</v>
      </c>
      <c r="LG72" s="2093">
        <f t="shared" si="123"/>
        <v>0</v>
      </c>
      <c r="LH72" s="2094">
        <f t="shared" si="124"/>
        <v>0</v>
      </c>
      <c r="LI72" s="2095">
        <f t="shared" si="125"/>
        <v>0</v>
      </c>
      <c r="LJ72" s="2095">
        <f t="shared" si="126"/>
        <v>0</v>
      </c>
      <c r="LK72" s="2095">
        <f t="shared" si="127"/>
        <v>0</v>
      </c>
      <c r="LL72" s="2095">
        <f t="shared" si="128"/>
        <v>0</v>
      </c>
      <c r="LM72" s="2096">
        <f t="shared" si="129"/>
        <v>0</v>
      </c>
      <c r="LN72" s="749"/>
      <c r="LO72" s="2256">
        <f t="shared" ca="1" si="130"/>
        <v>47.241675000000001</v>
      </c>
      <c r="LP72" s="2270">
        <f t="shared" ca="1" si="131"/>
        <v>47.241675000000001</v>
      </c>
      <c r="LQ72" s="2271">
        <f t="shared" ca="1" si="132"/>
        <v>47.241675000000001</v>
      </c>
      <c r="LR72" s="2271">
        <f t="shared" ca="1" si="133"/>
        <v>47.241675000000001</v>
      </c>
      <c r="LS72" s="2272">
        <f t="shared" ca="1" si="134"/>
        <v>47.241675000000001</v>
      </c>
      <c r="LT72" s="2271">
        <f t="shared" ca="1" si="135"/>
        <v>47.241675000000001</v>
      </c>
      <c r="LU72" s="2271">
        <f t="shared" ca="1" si="136"/>
        <v>47.241675000000001</v>
      </c>
      <c r="LV72" s="2271">
        <f t="shared" ca="1" si="137"/>
        <v>47.241675000000001</v>
      </c>
      <c r="LW72" s="2271">
        <f t="shared" ca="1" si="138"/>
        <v>47.241675000000001</v>
      </c>
      <c r="LX72" s="2273">
        <f t="shared" ca="1" si="139"/>
        <v>47.241675000000001</v>
      </c>
      <c r="LY72" s="479"/>
      <c r="LZ72" s="3128">
        <f t="shared" ca="1" si="173"/>
        <v>18.182075000000001</v>
      </c>
      <c r="MA72" s="3129">
        <f t="shared" ca="1" si="174"/>
        <v>18.182075000000001</v>
      </c>
      <c r="MB72" s="3129">
        <f t="shared" ca="1" si="175"/>
        <v>18.182075000000001</v>
      </c>
      <c r="MC72" s="3129">
        <f t="shared" ca="1" si="176"/>
        <v>18.182075000000001</v>
      </c>
      <c r="MD72" s="3130">
        <f t="shared" ca="1" si="177"/>
        <v>18.182075000000001</v>
      </c>
      <c r="ME72" s="3129">
        <f t="shared" ca="1" si="178"/>
        <v>18.182075000000001</v>
      </c>
      <c r="MF72" s="3129">
        <f t="shared" ca="1" si="179"/>
        <v>18.182075000000001</v>
      </c>
      <c r="MG72" s="3129">
        <f t="shared" ca="1" si="180"/>
        <v>18.182075000000001</v>
      </c>
      <c r="MH72" s="3129">
        <f t="shared" ca="1" si="181"/>
        <v>18.182075000000001</v>
      </c>
      <c r="MI72" s="3131">
        <f t="shared" ca="1" si="182"/>
        <v>18.182075000000001</v>
      </c>
      <c r="MJ72" s="3201"/>
      <c r="MK72" s="3206">
        <f t="shared" ca="1" si="183"/>
        <v>6981.9168000000009</v>
      </c>
      <c r="ML72" s="3207">
        <f t="shared" ca="1" si="184"/>
        <v>0</v>
      </c>
      <c r="MM72" s="3207">
        <f t="shared" ca="1" si="185"/>
        <v>0</v>
      </c>
      <c r="MN72" s="3207">
        <f t="shared" ca="1" si="186"/>
        <v>0</v>
      </c>
      <c r="MO72" s="3208">
        <f t="shared" ca="1" si="187"/>
        <v>0</v>
      </c>
      <c r="MP72" s="3207">
        <f t="shared" ca="1" si="188"/>
        <v>0</v>
      </c>
      <c r="MQ72" s="3207">
        <f t="shared" ca="1" si="189"/>
        <v>0</v>
      </c>
      <c r="MR72" s="3207">
        <f t="shared" ca="1" si="190"/>
        <v>0</v>
      </c>
      <c r="MS72" s="3207">
        <f t="shared" ca="1" si="191"/>
        <v>0</v>
      </c>
      <c r="MT72" s="3209">
        <f t="shared" ca="1" si="192"/>
        <v>0</v>
      </c>
      <c r="MU72" s="1983"/>
      <c r="MV72" s="1975"/>
      <c r="MW72" s="1991"/>
      <c r="MX72" s="1931" t="str">
        <f t="shared" si="142"/>
        <v>Parsons, Jenny</v>
      </c>
      <c r="MY72" s="749"/>
      <c r="MZ72" s="1934">
        <f t="shared" ca="1" si="143"/>
        <v>47.241675000000001</v>
      </c>
      <c r="NA72" s="1935"/>
      <c r="NB72" s="2652">
        <f t="shared" ca="1" si="144"/>
        <v>2.627456896551724</v>
      </c>
      <c r="NC72" s="479"/>
      <c r="ND72" s="2749" t="str">
        <f t="shared" si="145"/>
        <v xml:space="preserve"> Staff (Normal)</v>
      </c>
      <c r="NE72" s="2717"/>
      <c r="NF72" s="1975"/>
      <c r="NG72" s="1975"/>
      <c r="NH72" s="1975"/>
      <c r="NI72" s="1975"/>
    </row>
    <row r="73" spans="1:373" s="192" customFormat="1" ht="15.9" customHeight="1" x14ac:dyDescent="0.3">
      <c r="A73" s="200"/>
      <c r="B73" s="200"/>
      <c r="C73" s="200"/>
      <c r="D73" s="200"/>
      <c r="E73" s="200"/>
      <c r="F73" s="200"/>
      <c r="G73" s="200"/>
      <c r="H73" s="200"/>
      <c r="I73" s="200"/>
      <c r="J73" s="200"/>
      <c r="K73" s="200"/>
      <c r="L73" s="200"/>
      <c r="M73" s="200"/>
      <c r="N73" s="200"/>
      <c r="O73" s="200"/>
      <c r="P73" s="1539"/>
      <c r="Q73" s="1539"/>
      <c r="R73" s="198"/>
      <c r="S73" s="1539"/>
      <c r="T73" s="201"/>
      <c r="U73" s="200"/>
      <c r="V73" s="201">
        <f>MATCH($IC73,'3b Activity Plan'!$DJ$171:$FH$171,0)</f>
        <v>10</v>
      </c>
      <c r="W73" s="201">
        <f>IFERROR(INDEX('3b Activity Plan'!$DJ$6:$FH$6,V73),0)</f>
        <v>480</v>
      </c>
      <c r="X73" s="1768"/>
      <c r="Y73" s="1768">
        <f>IFERROR(INDEX('3b Activity Plan'!$DJ$7:$FH$7,V73),0)</f>
        <v>480</v>
      </c>
      <c r="Z73" s="201"/>
      <c r="AA73" s="201">
        <f>IFERROR(INDEX('3b Activity Plan'!$DJ$34:$FH$34,$V73),0)</f>
        <v>480</v>
      </c>
      <c r="AB73" s="201">
        <f>IFERROR(INDEX('3b Activity Plan'!$DJ$35:$FH$35,$V73),0)</f>
        <v>0</v>
      </c>
      <c r="AC73" s="201">
        <f>IFERROR(INDEX('3b Activity Plan'!$DJ$36:$FH$36,$V73),0)</f>
        <v>0</v>
      </c>
      <c r="AD73" s="201">
        <f>IFERROR(INDEX('3b Activity Plan'!$DJ$37:$FH$37,$V73),0)</f>
        <v>0</v>
      </c>
      <c r="AE73" s="201">
        <f>IFERROR(INDEX('3b Activity Plan'!$DJ$38:$FH$38,$V73),0)</f>
        <v>0</v>
      </c>
      <c r="AF73" s="201">
        <f>IFERROR(INDEX('3b Activity Plan'!$DJ$39:$FH$39,$V73),0)</f>
        <v>0</v>
      </c>
      <c r="AG73" s="201">
        <f>IFERROR(INDEX('3b Activity Plan'!$DJ$40:$FH$40,$V73),0)</f>
        <v>0</v>
      </c>
      <c r="AH73" s="201">
        <f>IFERROR(INDEX('3b Activity Plan'!$DJ$41:$FH$41,$V73),0)</f>
        <v>0</v>
      </c>
      <c r="AI73" s="201">
        <f>IFERROR(INDEX('3b Activity Plan'!$DJ$42:$FH$42,$V73),0)</f>
        <v>0</v>
      </c>
      <c r="AJ73" s="201">
        <f>IFERROR(INDEX('3b Activity Plan'!$DJ$43:$FH$43,$V73),0)</f>
        <v>0</v>
      </c>
      <c r="AK73" s="201"/>
      <c r="AL73" s="201">
        <f>SUMIFS('3a Staff Plan'!$AR$129:$AR$305,'3a Staff Plan'!$DY$129:$DY$305,$IA73,'3a Staff Plan'!$DF$129:$DF$305,1)</f>
        <v>0</v>
      </c>
      <c r="AM73" s="1768"/>
      <c r="AN73" s="1768">
        <f>SUMIFS('3a Staff Plan'!$AR$129:$AR$305,'3a Staff Plan'!$DY$129:$DY$305,$IA73,'3a Staff Plan'!$CV$129:$CV$305,1)</f>
        <v>0</v>
      </c>
      <c r="AO73" s="201"/>
      <c r="AP73" s="201">
        <f>SUMIFS('3a Staff Plan'!$AS$129:$AS$305,'3a Staff Plan'!$DY$129:$DY$305,$IA73,'3a Staff Plan'!$DF$129:$DF$305,1)</f>
        <v>0</v>
      </c>
      <c r="AQ73" s="201">
        <f>SUMIFS('3a Staff Plan'!$AT$129:$AT$305,'3a Staff Plan'!$DY$129:$DY$305,$IA73,'3a Staff Plan'!$DF$129:$DF$305,1)</f>
        <v>0</v>
      </c>
      <c r="AR73" s="201">
        <f>SUMIFS('3a Staff Plan'!$AU$129:$AU$305,'3a Staff Plan'!$DY$129:$DY$305,$IA73,'3a Staff Plan'!$DF$129:$DF$305,1)</f>
        <v>0</v>
      </c>
      <c r="AS73" s="201">
        <f>SUMIFS('3a Staff Plan'!$AV$129:$AV$305,'3a Staff Plan'!$DY$129:$DY$305,$IA73,'3a Staff Plan'!$DF$129:$DF$305,1)</f>
        <v>0</v>
      </c>
      <c r="AT73" s="201">
        <f>SUMIFS('3a Staff Plan'!$AW$129:$AW$305,'3a Staff Plan'!$DY$129:$DY$305,$IA73,'3a Staff Plan'!$DF$129:$DF$305,1)</f>
        <v>0</v>
      </c>
      <c r="AU73" s="201">
        <f>SUMIFS('3a Staff Plan'!$AX$129:$AX$305,'3a Staff Plan'!$DY$129:$DY$305,$IA73,'3a Staff Plan'!$DF$129:$DF$305,1)</f>
        <v>0</v>
      </c>
      <c r="AV73" s="201">
        <f>SUMIFS('3a Staff Plan'!$AY$129:$AY$305,'3a Staff Plan'!$DY$129:$DY$305,$IA73,'3a Staff Plan'!$DF$129:$DF$305,1)</f>
        <v>0</v>
      </c>
      <c r="AW73" s="201">
        <f>SUMIFS('3a Staff Plan'!$AZ$129:$AZ$305,'3a Staff Plan'!$DY$129:$DY$305,$IA73,'3a Staff Plan'!$DF$129:$DF$305,1)</f>
        <v>0</v>
      </c>
      <c r="AX73" s="201">
        <f>SUMIFS('3a Staff Plan'!$BA$129:$BA$305,'3a Staff Plan'!$DY$129:$DY$305,$IA73,'3a Staff Plan'!$DF$129:$DF$305,1)</f>
        <v>0</v>
      </c>
      <c r="AY73" s="201">
        <f>SUMIFS('3a Staff Plan'!$BB$129:$BB$305,'3a Staff Plan'!$DY$129:$DY$305,$IA73,'3a Staff Plan'!$DF$129:$DF$305,1)</f>
        <v>0</v>
      </c>
      <c r="AZ73" s="201"/>
      <c r="BA73" s="201">
        <f t="shared" si="229"/>
        <v>480</v>
      </c>
      <c r="BB73" s="1768"/>
      <c r="BC73" s="1768">
        <f t="shared" si="229"/>
        <v>480</v>
      </c>
      <c r="BD73" s="201"/>
      <c r="BE73" s="201">
        <f t="shared" si="230"/>
        <v>480</v>
      </c>
      <c r="BF73" s="201">
        <f t="shared" si="230"/>
        <v>0</v>
      </c>
      <c r="BG73" s="201">
        <f t="shared" si="230"/>
        <v>0</v>
      </c>
      <c r="BH73" s="201">
        <f t="shared" si="230"/>
        <v>0</v>
      </c>
      <c r="BI73" s="201">
        <f t="shared" si="230"/>
        <v>0</v>
      </c>
      <c r="BJ73" s="201">
        <f t="shared" si="230"/>
        <v>0</v>
      </c>
      <c r="BK73" s="201">
        <f t="shared" si="230"/>
        <v>0</v>
      </c>
      <c r="BL73" s="201">
        <f t="shared" si="230"/>
        <v>0</v>
      </c>
      <c r="BM73" s="201">
        <f t="shared" si="230"/>
        <v>0</v>
      </c>
      <c r="BN73" s="201">
        <f t="shared" si="230"/>
        <v>0</v>
      </c>
      <c r="BO73" s="201"/>
      <c r="BP73" s="1818">
        <f t="shared" si="146"/>
        <v>10</v>
      </c>
      <c r="BQ73" s="1818">
        <f>IFERROR(INDEX('3b Activity Plan'!$DJ$15:$FH$15,BP73),0)</f>
        <v>480</v>
      </c>
      <c r="BR73" s="1768"/>
      <c r="BS73" s="1768">
        <f>IFERROR(INDEX('3b Activity Plan'!$DJ$16:$FH$16,BP73),0)</f>
        <v>480</v>
      </c>
      <c r="BT73" s="201"/>
      <c r="BU73" s="201">
        <f>IFERROR(INDEX('3b Activity Plan'!$DJ$67:$FH$67,$V73),0)</f>
        <v>480</v>
      </c>
      <c r="BV73" s="201">
        <f>IFERROR(INDEX('3b Activity Plan'!$DJ$68:$FH$68,$V73),0)</f>
        <v>0</v>
      </c>
      <c r="BW73" s="201">
        <f>IFERROR(INDEX('3b Activity Plan'!$DJ$69:$FH$69,$V73),0)</f>
        <v>0</v>
      </c>
      <c r="BX73" s="201">
        <f>IFERROR(INDEX('3b Activity Plan'!$DJ$70:$FH$70,$V73),0)</f>
        <v>0</v>
      </c>
      <c r="BY73" s="201">
        <f>IFERROR(INDEX('3b Activity Plan'!$DJ$71:$FH$71,$V73),0)</f>
        <v>0</v>
      </c>
      <c r="BZ73" s="201">
        <f>IFERROR(INDEX('3b Activity Plan'!$DJ$72:$FH$72,$V73),0)</f>
        <v>0</v>
      </c>
      <c r="CA73" s="201">
        <f>IFERROR(INDEX('3b Activity Plan'!$DJ$73:$FH$73,$V73),0)</f>
        <v>0</v>
      </c>
      <c r="CB73" s="201">
        <f>IFERROR(INDEX('3b Activity Plan'!$DJ$74:$FH$74,$V73),0)</f>
        <v>0</v>
      </c>
      <c r="CC73" s="201">
        <f>IFERROR(INDEX('3b Activity Plan'!$DJ$75:$FH$75,$V73),0)</f>
        <v>0</v>
      </c>
      <c r="CD73" s="201">
        <f>IFERROR(INDEX('3b Activity Plan'!$DJ$76:$FH$76,$V73),0)</f>
        <v>0</v>
      </c>
      <c r="CE73" s="201"/>
      <c r="CF73" s="1818">
        <f>SUMIFS('3a Staff Plan'!$AR$129:$AR$305,'3a Staff Plan'!$DY$129:$DY$305,$IA73,'3a Staff Plan'!$AG$129:$AG$305,1,'3a Staff Plan'!$DF$129:$DF$305,1)</f>
        <v>0</v>
      </c>
      <c r="CG73" s="1768">
        <f>SUMIFS('3a Staff Plan'!$AR$129:$AR$305,'3a Staff Plan'!$DY$129:$DY$305,$IA73,'3a Staff Plan'!$AG$129:$AG$305,1,'3a Staff Plan'!$CX$129:$CX$305,1)</f>
        <v>0</v>
      </c>
      <c r="CH73" s="1768">
        <f>SUMIFS('3a Staff Plan'!$AR$129:$AR$305,'3a Staff Plan'!$DY$129:$DY$305,$IA73,'3a Staff Plan'!$AG$129:$AG$305,1,'3a Staff Plan'!$CV$129:$CV$305,1)</f>
        <v>0</v>
      </c>
      <c r="CI73" s="201"/>
      <c r="CJ73" s="201">
        <f>SUMIFS('3a Staff Plan'!$BX$129:$BX$305,'3a Staff Plan'!$DY$129:$DY$305,$IA73,'3a Staff Plan'!$DF$129:$DF$305,1,'3a Staff Plan'!$AG$129:$AG$305,1)</f>
        <v>0</v>
      </c>
      <c r="CK73" s="201">
        <f>SUMIFS('3a Staff Plan'!$BY$129:$BY$305,'3a Staff Plan'!$DY$129:$DY$305,$IA73,'3a Staff Plan'!$DF$129:$DF$305,1,'3a Staff Plan'!$AG$129:$AG$305,1)</f>
        <v>0</v>
      </c>
      <c r="CL73" s="201">
        <f>SUMIFS('3a Staff Plan'!$BZ$129:$BZ$305,'3a Staff Plan'!$DY$129:$DY$305,$IA73,'3a Staff Plan'!$DF$129:$DF$305,1,'3a Staff Plan'!$AG$129:$AG$305,1)</f>
        <v>0</v>
      </c>
      <c r="CM73" s="201">
        <f>SUMIFS('3a Staff Plan'!$CA$129:$CA$305,'3a Staff Plan'!$DY$129:$DY$305,$IA73,'3a Staff Plan'!$DF$129:$DF$305,1,'3a Staff Plan'!$AG$129:$AG$305,1)</f>
        <v>0</v>
      </c>
      <c r="CN73" s="201">
        <f>SUMIFS('3a Staff Plan'!$CB$129:$CB$305,'3a Staff Plan'!$DY$129:$DY$305,$IA73,'3a Staff Plan'!$DF$129:$DF$305,1,'3a Staff Plan'!$AG$129:$AG$305,1)</f>
        <v>0</v>
      </c>
      <c r="CO73" s="201">
        <f>SUMIFS('3a Staff Plan'!$CC$129:$CC$305,'3a Staff Plan'!$DY$129:$DY$305,$IA73,'3a Staff Plan'!$DF$129:$DF$305,1,'3a Staff Plan'!$AG$129:$AG$305,1)</f>
        <v>0</v>
      </c>
      <c r="CP73" s="201">
        <f>SUMIFS('3a Staff Plan'!$CD$129:$CD$305,'3a Staff Plan'!$DY$129:$DY$305,$IA73,'3a Staff Plan'!$DF$129:$DF$305,1,'3a Staff Plan'!$AG$129:$AG$305,1)</f>
        <v>0</v>
      </c>
      <c r="CQ73" s="201">
        <f>SUMIFS('3a Staff Plan'!$CE$129:$CE$305,'3a Staff Plan'!$DY$129:$DY$305,$IA73,'3a Staff Plan'!$DF$129:$DF$305,1,'3a Staff Plan'!$AG$129:$AG$305,1)</f>
        <v>0</v>
      </c>
      <c r="CR73" s="201">
        <f>SUMIFS('3a Staff Plan'!$CF$129:$CF$305,'3a Staff Plan'!$DY$129:$DY$305,$IA73,'3a Staff Plan'!$DF$129:$DF$305,1,'3a Staff Plan'!$AG$129:$AG$305,1)</f>
        <v>0</v>
      </c>
      <c r="CS73" s="201">
        <f>SUMIFS('3a Staff Plan'!$CG$129:$CG$305,'3a Staff Plan'!$DY$129:$DY$305,$IA73,'3a Staff Plan'!$DF$129:$DF$305,1,'3a Staff Plan'!$AG$129:$AG$305,1)</f>
        <v>0</v>
      </c>
      <c r="CT73" s="201"/>
      <c r="CU73" s="1818">
        <f t="shared" si="231"/>
        <v>480</v>
      </c>
      <c r="CV73" s="1768"/>
      <c r="CW73" s="1768">
        <f t="shared" si="231"/>
        <v>480</v>
      </c>
      <c r="CX73" s="201"/>
      <c r="CY73" s="201">
        <f t="shared" si="232"/>
        <v>480</v>
      </c>
      <c r="CZ73" s="201">
        <f t="shared" si="232"/>
        <v>0</v>
      </c>
      <c r="DA73" s="201">
        <f t="shared" si="232"/>
        <v>0</v>
      </c>
      <c r="DB73" s="201">
        <f t="shared" si="232"/>
        <v>0</v>
      </c>
      <c r="DC73" s="201">
        <f t="shared" si="232"/>
        <v>0</v>
      </c>
      <c r="DD73" s="201">
        <f t="shared" si="232"/>
        <v>0</v>
      </c>
      <c r="DE73" s="201">
        <f t="shared" si="232"/>
        <v>0</v>
      </c>
      <c r="DF73" s="201">
        <f t="shared" si="232"/>
        <v>0</v>
      </c>
      <c r="DG73" s="201">
        <f t="shared" si="232"/>
        <v>0</v>
      </c>
      <c r="DH73" s="201">
        <f t="shared" si="232"/>
        <v>0</v>
      </c>
      <c r="DI73" s="201"/>
      <c r="DJ73" s="201"/>
      <c r="DK73" s="201"/>
      <c r="DL73" s="201"/>
      <c r="DM73" s="372">
        <f t="shared" ca="1" si="37"/>
        <v>22676.004000000001</v>
      </c>
      <c r="DN73" s="1185">
        <f t="shared" si="38"/>
        <v>11797.632000000001</v>
      </c>
      <c r="DO73" s="1185">
        <f t="shared" si="39"/>
        <v>7761.6</v>
      </c>
      <c r="DP73" s="201"/>
      <c r="DQ73" s="372">
        <f t="shared" ca="1" si="40"/>
        <v>0</v>
      </c>
      <c r="DR73" s="1185">
        <f t="shared" si="41"/>
        <v>0</v>
      </c>
      <c r="DS73" s="1185">
        <f t="shared" si="42"/>
        <v>0</v>
      </c>
      <c r="DT73" s="201"/>
      <c r="DU73" s="372">
        <f t="shared" ca="1" si="233"/>
        <v>22676.004000000001</v>
      </c>
      <c r="DV73" s="372">
        <f t="shared" si="233"/>
        <v>11797.632000000001</v>
      </c>
      <c r="DW73" s="372">
        <f t="shared" si="233"/>
        <v>7761.6</v>
      </c>
      <c r="DX73" s="201"/>
      <c r="DY73" s="372">
        <f t="shared" si="44"/>
        <v>0</v>
      </c>
      <c r="DZ73" s="372">
        <f t="shared" ca="1" si="45"/>
        <v>0</v>
      </c>
      <c r="EA73" s="201"/>
      <c r="EB73" s="2776">
        <f>IF(EO73=$EO$53,1,IFERROR(INDEX('Currency Data'!$L$8:$L$41,MATCH(EO73,'Currency Data'!$H$8:$H$41,0)),1))</f>
        <v>1</v>
      </c>
      <c r="EC73" s="2776">
        <f t="shared" si="147"/>
        <v>1</v>
      </c>
      <c r="ED73" s="428">
        <f>IF(GQ73=1,'1 Setup'!$T$68,IF(ISBLANK(IJ73),II73/EC73*IF(GL73=1,$ED$53,1),IJ73/EC73)*IF($EW73=7,JW73,1))</f>
        <v>16.170000000000002</v>
      </c>
      <c r="EE73" s="428">
        <f t="shared" si="46"/>
        <v>16.170000000000002</v>
      </c>
      <c r="EF73" s="428"/>
      <c r="EG73" s="1965" t="str">
        <f t="shared" si="148"/>
        <v>031500 - Highways UK</v>
      </c>
      <c r="EH73" s="201">
        <f t="shared" si="149"/>
        <v>1</v>
      </c>
      <c r="EI73" s="445" t="str">
        <f>IF(EH73=1,$EI$53,IF(GQ73=1,$GQ$55,IFERROR(IF($EG73=$EG$53,$EI$53,INDEX('PU List'!$G$6:$G$413,MATCH($EG73,'PU List'!$D$6:$D$413,0))),$EI$53)))</f>
        <v>GB - BIAF</v>
      </c>
      <c r="EJ73" s="2773" t="str">
        <f t="shared" si="150"/>
        <v>GB - BIAF</v>
      </c>
      <c r="EK73" s="1768"/>
      <c r="EL73" s="3283">
        <f>IF(OR(EW73&gt;7,$EL$53=0),0,IF(EJ73=$EI$53,$EL$53,IFERROR(INDEX('Fringe Data'!$U$8:$U$129,MATCH($EJ73,'Fringe Data'!$F$8:$F$129,0)),0)))</f>
        <v>1.73</v>
      </c>
      <c r="EM73" s="372">
        <f t="shared" si="47"/>
        <v>830.4</v>
      </c>
      <c r="EN73" s="201" t="str">
        <f>IFERROR(INDEX('Fringe Data'!$G$8:$G$64,MATCH($EJ73,'Fringe Data'!$F$8:$F$64,0)),$EO$53)</f>
        <v>GBP</v>
      </c>
      <c r="EO73" s="201" t="str">
        <f t="shared" si="151"/>
        <v>GBP</v>
      </c>
      <c r="EP73" s="201">
        <f>IF(EI73=$EI$53,$EP$49,IF(GP73=1,0,IFERROR(INDEX('Fringe Data'!$K$8:$K$64,MATCH($EI73,'Fringe Data'!$F$8:$F$64,0)),0)))</f>
        <v>0.52</v>
      </c>
      <c r="EQ73" s="201">
        <f>IF(EI73=$EI$53,$EQ$49,IF(GP73=1,0,IFERROR(INDEX('Fringe Data'!$L$8:$L$64,MATCH($EI73,'Fringe Data'!$F$8:$F$64,0)),0)))</f>
        <v>1.8499999999999999E-2</v>
      </c>
      <c r="ER73" s="201">
        <f>IF(EI73=$EI$53,$ER$49,IF(GP73=1,0,IFERROR(INDEX('Fringe Data'!$M$8:$M$64,MATCH($EI73,'Fringe Data'!$F$8:$F$64,0)),0)))</f>
        <v>0.43430000000000002</v>
      </c>
      <c r="ES73" s="201">
        <f>IF(EI73=$EI$53,$ES$49,IF(GP73=1,0,IFERROR(INDEX('Fringe Data'!$N$8:$N$64,MATCH($EI73,'Fringe Data'!$F$8:$F$64,0)),0)))</f>
        <v>0.1565</v>
      </c>
      <c r="ET73" s="201">
        <f>IF(EI73=$EI$53,$ET$49,IF(GP73=1,0,IFERROR(INDEX('Fringe Data'!$O$8:$O$64,MATCH($EI73,'Fringe Data'!$F$8:$F$64,0)),0)))</f>
        <v>0.33450000000000002</v>
      </c>
      <c r="EU73" s="263">
        <f>IF(EI73=$EI$53,$EU$49,IF(GP73=1,0,IFERROR(INDEX('Fringe Data'!$P$8:$P$64,MATCH($EI73,'Fringe Data'!$F$8:$F$64,0)),0)))</f>
        <v>0.1565</v>
      </c>
      <c r="EV73" s="201"/>
      <c r="EW73" s="1530">
        <f t="shared" si="48"/>
        <v>1</v>
      </c>
      <c r="EX73" s="1534">
        <f t="shared" si="152"/>
        <v>0.52</v>
      </c>
      <c r="EY73" s="321">
        <f t="shared" si="153"/>
        <v>0</v>
      </c>
      <c r="EZ73" s="201">
        <f t="shared" si="154"/>
        <v>24.578400000000002</v>
      </c>
      <c r="FA73" s="372">
        <f t="shared" si="49"/>
        <v>0</v>
      </c>
      <c r="FB73" s="372">
        <f t="shared" si="50"/>
        <v>0</v>
      </c>
      <c r="FC73" s="201">
        <f t="shared" ca="1" si="155"/>
        <v>0</v>
      </c>
      <c r="FD73" s="423">
        <f t="shared" si="51"/>
        <v>0</v>
      </c>
      <c r="FE73" s="423">
        <f t="shared" si="52"/>
        <v>0</v>
      </c>
      <c r="FF73" s="201">
        <f t="shared" si="156"/>
        <v>0</v>
      </c>
      <c r="FG73" s="425">
        <f>IF(OR($FJ$52=3,$FJ$52=4,$FJ$52=5),'1 Setup'!$W$96,0)</f>
        <v>0</v>
      </c>
      <c r="FH73" s="428">
        <f>IF($FJ$52=5,'1 Setup'!$W$98,IF($FJ$52=6,'1 Setup'!$S$86,0))</f>
        <v>0</v>
      </c>
      <c r="FI73" s="321">
        <f t="shared" ca="1" si="53"/>
        <v>46.89</v>
      </c>
      <c r="FJ73" s="263">
        <f t="shared" ca="1" si="157"/>
        <v>47.241675000000001</v>
      </c>
      <c r="FK73" s="372">
        <f t="shared" ca="1" si="54"/>
        <v>22676.004000000001</v>
      </c>
      <c r="FL73" s="372">
        <f t="shared" si="55"/>
        <v>0</v>
      </c>
      <c r="FM73" s="372">
        <f t="shared" si="56"/>
        <v>0</v>
      </c>
      <c r="FN73" s="2036">
        <f t="shared" ca="1" si="57"/>
        <v>47.241675000000001</v>
      </c>
      <c r="FO73" s="372">
        <f ca="1">$BA73*FN73</f>
        <v>22676.004000000001</v>
      </c>
      <c r="FP73" s="2723">
        <f t="shared" si="158"/>
        <v>0</v>
      </c>
      <c r="FQ73" s="372">
        <f t="shared" ca="1" si="59"/>
        <v>1</v>
      </c>
      <c r="FR73" s="372">
        <f t="shared" si="159"/>
        <v>0</v>
      </c>
      <c r="FS73" s="1168"/>
      <c r="FT73" s="1168">
        <f t="shared" si="60"/>
        <v>24.578400000000002</v>
      </c>
      <c r="FU73" s="1168">
        <f t="shared" si="61"/>
        <v>24.578400000000002</v>
      </c>
      <c r="FV73" s="1168">
        <f t="shared" si="62"/>
        <v>24.578400000000002</v>
      </c>
      <c r="FW73" s="1168">
        <f t="shared" si="63"/>
        <v>24.578400000000002</v>
      </c>
      <c r="FX73" s="1168">
        <f t="shared" si="64"/>
        <v>24.578400000000002</v>
      </c>
      <c r="FY73" s="1168">
        <f t="shared" si="65"/>
        <v>24.578400000000002</v>
      </c>
      <c r="FZ73" s="1168">
        <f t="shared" si="66"/>
        <v>24.578400000000002</v>
      </c>
      <c r="GA73" s="1168">
        <f t="shared" si="67"/>
        <v>24.578400000000002</v>
      </c>
      <c r="GB73" s="1168">
        <f t="shared" si="68"/>
        <v>24.578400000000002</v>
      </c>
      <c r="GC73" s="1168">
        <f t="shared" si="69"/>
        <v>24.578400000000002</v>
      </c>
      <c r="GD73" s="1168"/>
      <c r="GE73" s="199"/>
      <c r="GF73" s="201">
        <f t="shared" si="70"/>
        <v>1</v>
      </c>
      <c r="GG73" s="201">
        <f t="shared" si="71"/>
        <v>0</v>
      </c>
      <c r="GH73" s="201">
        <f t="shared" si="72"/>
        <v>0</v>
      </c>
      <c r="GI73" s="201">
        <f t="shared" ca="1" si="160"/>
        <v>0</v>
      </c>
      <c r="GJ73" s="201">
        <f t="shared" si="73"/>
        <v>0</v>
      </c>
      <c r="GK73" s="201">
        <f t="shared" si="74"/>
        <v>0</v>
      </c>
      <c r="GL73" s="201">
        <f t="shared" si="75"/>
        <v>1</v>
      </c>
      <c r="GM73" s="201">
        <f t="shared" si="76"/>
        <v>1</v>
      </c>
      <c r="GN73" s="201"/>
      <c r="GO73" s="201"/>
      <c r="GP73" s="201">
        <f t="shared" si="77"/>
        <v>0</v>
      </c>
      <c r="GQ73" s="201">
        <f t="shared" si="78"/>
        <v>0</v>
      </c>
      <c r="GR73" s="201">
        <f t="shared" si="161"/>
        <v>0</v>
      </c>
      <c r="GS73" s="1768"/>
      <c r="GT73" s="201">
        <f t="shared" si="79"/>
        <v>1</v>
      </c>
      <c r="GU73" s="201">
        <f t="shared" si="193"/>
        <v>10</v>
      </c>
      <c r="GV73" s="201">
        <f t="shared" si="80"/>
        <v>10</v>
      </c>
      <c r="GW73" s="201">
        <f t="shared" si="81"/>
        <v>3</v>
      </c>
      <c r="GX73" s="201">
        <f t="shared" si="162"/>
        <v>0</v>
      </c>
      <c r="GY73" s="1998"/>
      <c r="GZ73" s="253"/>
      <c r="HA73" s="195" t="str">
        <f t="shared" si="163"/>
        <v>Cooper, Lucy</v>
      </c>
      <c r="HB73" s="3558" t="str">
        <f t="shared" si="82"/>
        <v>L3B Engineer</v>
      </c>
      <c r="HC73" s="3590"/>
      <c r="HD73" s="257" t="str">
        <f t="shared" si="83"/>
        <v/>
      </c>
      <c r="HE73" s="825">
        <f t="shared" si="84"/>
        <v>480</v>
      </c>
      <c r="HF73" s="506" t="s">
        <v>5</v>
      </c>
      <c r="HG73" s="508">
        <f t="shared" ca="1" si="85"/>
        <v>22676.004000000001</v>
      </c>
      <c r="HH73" s="3585">
        <f t="shared" si="86"/>
        <v>12628.032000000001</v>
      </c>
      <c r="HI73" s="3586"/>
      <c r="HJ73" s="504">
        <f ca="1">HG73-HH73</f>
        <v>10047.972</v>
      </c>
      <c r="HK73" s="456">
        <f ca="1">IF(HG73&lt;0.1,0,IFERROR(HJ73/HG73,0))</f>
        <v>0.4431103469553101</v>
      </c>
      <c r="HL73" s="3591">
        <f ca="1">IFERROR(HJ73/HE73,0)</f>
        <v>20.933274999999998</v>
      </c>
      <c r="HM73" s="3592"/>
      <c r="HN73" s="240"/>
      <c r="HO73" s="1998"/>
      <c r="HP73" s="1991"/>
      <c r="HQ73" s="2770" t="str">
        <f t="shared" si="90"/>
        <v>GB - BIAF</v>
      </c>
      <c r="HR73" s="2770" t="str">
        <f t="shared" si="91"/>
        <v>GBP</v>
      </c>
      <c r="HS73" s="2771">
        <f t="shared" si="92"/>
        <v>1</v>
      </c>
      <c r="HT73" s="3623"/>
      <c r="HU73" s="2771">
        <f t="shared" si="93"/>
        <v>1.73</v>
      </c>
      <c r="HW73" s="1218"/>
      <c r="HX73" s="520"/>
      <c r="HY73" s="2523"/>
      <c r="HZ73" s="194" t="s">
        <v>4411</v>
      </c>
      <c r="IA73" s="1013" t="s">
        <v>4412</v>
      </c>
      <c r="IB73" s="193"/>
      <c r="IC73" s="3276">
        <v>10</v>
      </c>
      <c r="ID73" s="986"/>
      <c r="IE73" s="938">
        <f t="shared" si="164"/>
        <v>480</v>
      </c>
      <c r="IF73" s="938">
        <f t="shared" si="165"/>
        <v>0</v>
      </c>
      <c r="IG73" s="432"/>
      <c r="II73" s="405"/>
      <c r="IJ73" s="239">
        <v>16.170000000000002</v>
      </c>
      <c r="IK73" s="2774" t="str">
        <f t="shared" si="166"/>
        <v>GBP</v>
      </c>
      <c r="IL73" s="2148"/>
      <c r="IM73" s="1936">
        <f t="shared" si="94"/>
        <v>16.170000000000002</v>
      </c>
      <c r="IO73" s="1959" t="str">
        <f t="shared" si="95"/>
        <v xml:space="preserve"> Staff (Normal)</v>
      </c>
      <c r="IP73" s="1958"/>
      <c r="IQ73" s="543">
        <f t="shared" si="96"/>
        <v>0.52</v>
      </c>
      <c r="IR73" s="1936">
        <f t="shared" si="97"/>
        <v>24.578400000000002</v>
      </c>
      <c r="IT73" s="1364"/>
      <c r="IU73" s="210"/>
      <c r="IV73" s="218"/>
      <c r="IW73" s="1938">
        <f ca="1">IF(NOT(ISBLANK(IU73)),IU73,IF('1 Setup'!$G$8&lt;7,JK73,FJ73))+KA73</f>
        <v>47.241675000000001</v>
      </c>
      <c r="IX73" s="409" t="str">
        <f t="shared" si="98"/>
        <v>Cooper, Lucy</v>
      </c>
      <c r="IY73" s="408" t="str">
        <f t="shared" si="99"/>
        <v>L3B Engineer</v>
      </c>
      <c r="IZ73" s="1983"/>
      <c r="JA73" s="1994"/>
      <c r="JB73" s="1991"/>
      <c r="JD73" s="2029" t="str">
        <f t="shared" si="167"/>
        <v>Cooper, Lucy</v>
      </c>
      <c r="JE73" s="479"/>
      <c r="JF73" s="2025">
        <f t="shared" si="100"/>
        <v>0</v>
      </c>
      <c r="JG73" s="429">
        <f t="shared" si="101"/>
        <v>0</v>
      </c>
      <c r="JH73" s="1667">
        <f t="shared" si="102"/>
        <v>0</v>
      </c>
      <c r="JJ73" s="1163">
        <f t="shared" ca="1" si="103"/>
        <v>47.241675000000001</v>
      </c>
      <c r="JK73" s="1163">
        <f t="shared" ca="1" si="104"/>
        <v>47.241675000000001</v>
      </c>
      <c r="JL73" s="1795"/>
      <c r="JN73" s="2505"/>
      <c r="JO73" s="1161"/>
      <c r="JP73" s="571">
        <f t="shared" ca="1" si="105"/>
        <v>46.89</v>
      </c>
      <c r="JQ73" s="2506" t="s">
        <v>4326</v>
      </c>
      <c r="JR73" s="1953"/>
      <c r="JS73" s="2650"/>
      <c r="JT73" s="2507"/>
      <c r="JU73" s="1964">
        <f t="shared" si="106"/>
        <v>0.33450000000000002</v>
      </c>
      <c r="JV73" s="3199"/>
      <c r="JW73" s="2649">
        <f t="shared" si="107"/>
        <v>1.5</v>
      </c>
      <c r="JX73" s="1964">
        <f t="shared" si="168"/>
        <v>0.1565</v>
      </c>
      <c r="JY73" s="3199"/>
      <c r="JZ73" s="2649">
        <f t="shared" si="169"/>
        <v>0</v>
      </c>
      <c r="KA73" s="2649">
        <f t="shared" si="170"/>
        <v>0</v>
      </c>
      <c r="KB73" s="2649" t="s">
        <v>111</v>
      </c>
      <c r="KC73" s="1983"/>
      <c r="KD73" s="1974"/>
      <c r="KE73" s="1991"/>
      <c r="KF73" s="2029" t="str">
        <f t="shared" si="171"/>
        <v>Cooper, Lucy</v>
      </c>
      <c r="KG73" s="1991"/>
      <c r="KH73" s="2121">
        <f t="shared" si="108"/>
        <v>480</v>
      </c>
      <c r="KI73" s="2130">
        <f t="shared" si="109"/>
        <v>0</v>
      </c>
      <c r="KJ73" s="2130">
        <f t="shared" si="110"/>
        <v>0</v>
      </c>
      <c r="KK73" s="2130">
        <f t="shared" si="111"/>
        <v>0</v>
      </c>
      <c r="KL73" s="2131">
        <f t="shared" si="112"/>
        <v>0</v>
      </c>
      <c r="KM73" s="2132">
        <f t="shared" si="113"/>
        <v>0</v>
      </c>
      <c r="KN73" s="2132">
        <f t="shared" si="114"/>
        <v>0</v>
      </c>
      <c r="KO73" s="2132">
        <f t="shared" si="115"/>
        <v>0</v>
      </c>
      <c r="KP73" s="2132">
        <f t="shared" si="116"/>
        <v>0</v>
      </c>
      <c r="KQ73" s="2133">
        <f t="shared" si="117"/>
        <v>0</v>
      </c>
      <c r="KS73" s="2253">
        <f t="shared" si="118"/>
        <v>16.170000000000002</v>
      </c>
      <c r="KT73" s="2270">
        <f t="shared" ref="KT73:LB73" si="236">KS73*(1+(KT$60))</f>
        <v>16.170000000000002</v>
      </c>
      <c r="KU73" s="2271">
        <f t="shared" si="236"/>
        <v>16.170000000000002</v>
      </c>
      <c r="KV73" s="2271">
        <f t="shared" si="236"/>
        <v>16.170000000000002</v>
      </c>
      <c r="KW73" s="2272">
        <f t="shared" si="236"/>
        <v>16.170000000000002</v>
      </c>
      <c r="KX73" s="2271">
        <f t="shared" si="236"/>
        <v>16.170000000000002</v>
      </c>
      <c r="KY73" s="2271">
        <f t="shared" si="236"/>
        <v>16.170000000000002</v>
      </c>
      <c r="KZ73" s="2271">
        <f t="shared" si="236"/>
        <v>16.170000000000002</v>
      </c>
      <c r="LA73" s="2271">
        <f t="shared" si="236"/>
        <v>16.170000000000002</v>
      </c>
      <c r="LB73" s="2273">
        <f t="shared" si="236"/>
        <v>16.170000000000002</v>
      </c>
      <c r="LC73" s="272"/>
      <c r="LD73" s="2124">
        <f t="shared" si="120"/>
        <v>480</v>
      </c>
      <c r="LE73" s="2093">
        <f t="shared" si="121"/>
        <v>0</v>
      </c>
      <c r="LF73" s="2093">
        <f t="shared" si="122"/>
        <v>0</v>
      </c>
      <c r="LG73" s="2093">
        <f t="shared" si="123"/>
        <v>0</v>
      </c>
      <c r="LH73" s="2094">
        <f t="shared" si="124"/>
        <v>0</v>
      </c>
      <c r="LI73" s="2095">
        <f t="shared" si="125"/>
        <v>0</v>
      </c>
      <c r="LJ73" s="2095">
        <f t="shared" si="126"/>
        <v>0</v>
      </c>
      <c r="LK73" s="2095">
        <f t="shared" si="127"/>
        <v>0</v>
      </c>
      <c r="LL73" s="2095">
        <f t="shared" si="128"/>
        <v>0</v>
      </c>
      <c r="LM73" s="2096">
        <f t="shared" si="129"/>
        <v>0</v>
      </c>
      <c r="LN73" s="749"/>
      <c r="LO73" s="2256">
        <f t="shared" ca="1" si="130"/>
        <v>47.241675000000001</v>
      </c>
      <c r="LP73" s="2270">
        <f t="shared" ca="1" si="131"/>
        <v>47.241675000000001</v>
      </c>
      <c r="LQ73" s="2271">
        <f t="shared" ca="1" si="132"/>
        <v>47.241675000000001</v>
      </c>
      <c r="LR73" s="2271">
        <f t="shared" ca="1" si="133"/>
        <v>47.241675000000001</v>
      </c>
      <c r="LS73" s="2272">
        <f t="shared" ca="1" si="134"/>
        <v>47.241675000000001</v>
      </c>
      <c r="LT73" s="2271">
        <f t="shared" ca="1" si="135"/>
        <v>47.241675000000001</v>
      </c>
      <c r="LU73" s="2271">
        <f t="shared" ca="1" si="136"/>
        <v>47.241675000000001</v>
      </c>
      <c r="LV73" s="2271">
        <f t="shared" ca="1" si="137"/>
        <v>47.241675000000001</v>
      </c>
      <c r="LW73" s="2271">
        <f t="shared" ca="1" si="138"/>
        <v>47.241675000000001</v>
      </c>
      <c r="LX73" s="2273">
        <f t="shared" ca="1" si="139"/>
        <v>47.241675000000001</v>
      </c>
      <c r="LY73" s="479"/>
      <c r="LZ73" s="3128">
        <f t="shared" ca="1" si="173"/>
        <v>20.933274999999998</v>
      </c>
      <c r="MA73" s="3129">
        <f t="shared" ca="1" si="174"/>
        <v>20.933274999999998</v>
      </c>
      <c r="MB73" s="3129">
        <f t="shared" ca="1" si="175"/>
        <v>20.933274999999998</v>
      </c>
      <c r="MC73" s="3129">
        <f t="shared" ca="1" si="176"/>
        <v>20.933274999999998</v>
      </c>
      <c r="MD73" s="3130">
        <f t="shared" ca="1" si="177"/>
        <v>20.933274999999998</v>
      </c>
      <c r="ME73" s="3129">
        <f t="shared" ca="1" si="178"/>
        <v>20.933274999999998</v>
      </c>
      <c r="MF73" s="3129">
        <f t="shared" ca="1" si="179"/>
        <v>20.933274999999998</v>
      </c>
      <c r="MG73" s="3129">
        <f t="shared" ca="1" si="180"/>
        <v>20.933274999999998</v>
      </c>
      <c r="MH73" s="3129">
        <f t="shared" ca="1" si="181"/>
        <v>20.933274999999998</v>
      </c>
      <c r="MI73" s="3131">
        <f t="shared" ca="1" si="182"/>
        <v>20.933274999999998</v>
      </c>
      <c r="MJ73" s="3201"/>
      <c r="MK73" s="3206">
        <f t="shared" ca="1" si="183"/>
        <v>10047.972</v>
      </c>
      <c r="ML73" s="3207">
        <f t="shared" ca="1" si="184"/>
        <v>0</v>
      </c>
      <c r="MM73" s="3207">
        <f t="shared" ca="1" si="185"/>
        <v>0</v>
      </c>
      <c r="MN73" s="3207">
        <f t="shared" ca="1" si="186"/>
        <v>0</v>
      </c>
      <c r="MO73" s="3208">
        <f t="shared" ca="1" si="187"/>
        <v>0</v>
      </c>
      <c r="MP73" s="3207">
        <f t="shared" ca="1" si="188"/>
        <v>0</v>
      </c>
      <c r="MQ73" s="3207">
        <f t="shared" ca="1" si="189"/>
        <v>0</v>
      </c>
      <c r="MR73" s="3207">
        <f t="shared" ca="1" si="190"/>
        <v>0</v>
      </c>
      <c r="MS73" s="3207">
        <f t="shared" ca="1" si="191"/>
        <v>0</v>
      </c>
      <c r="MT73" s="3209">
        <f t="shared" ca="1" si="192"/>
        <v>0</v>
      </c>
      <c r="MU73" s="1983"/>
      <c r="MV73" s="1975"/>
      <c r="MW73" s="1991"/>
      <c r="MX73" s="1931" t="str">
        <f t="shared" si="142"/>
        <v>Cooper, Lucy</v>
      </c>
      <c r="MY73" s="749"/>
      <c r="MZ73" s="1934">
        <f t="shared" ca="1" si="143"/>
        <v>47.241675000000001</v>
      </c>
      <c r="NA73" s="1935"/>
      <c r="NB73" s="2652">
        <f t="shared" ca="1" si="144"/>
        <v>2.9215630797773651</v>
      </c>
      <c r="NC73" s="479"/>
      <c r="ND73" s="2749" t="str">
        <f t="shared" si="145"/>
        <v xml:space="preserve"> Staff (Normal)</v>
      </c>
      <c r="NE73" s="2717"/>
      <c r="NF73" s="1975"/>
      <c r="NG73" s="1975"/>
      <c r="NH73" s="1975"/>
      <c r="NI73" s="1975"/>
    </row>
    <row r="74" spans="1:373" s="192" customFormat="1" ht="15.9" customHeight="1" x14ac:dyDescent="0.3">
      <c r="A74" s="200"/>
      <c r="B74" s="200"/>
      <c r="C74" s="200"/>
      <c r="D74" s="200"/>
      <c r="E74" s="200"/>
      <c r="F74" s="200"/>
      <c r="G74" s="200"/>
      <c r="H74" s="200"/>
      <c r="I74" s="200"/>
      <c r="J74" s="200"/>
      <c r="K74" s="200"/>
      <c r="L74" s="200"/>
      <c r="M74" s="200"/>
      <c r="N74" s="200"/>
      <c r="O74" s="200"/>
      <c r="P74" s="1539"/>
      <c r="Q74" s="1539"/>
      <c r="R74" s="198"/>
      <c r="S74" s="1539"/>
      <c r="T74" s="201"/>
      <c r="U74" s="200"/>
      <c r="V74" s="201">
        <f>MATCH($IC74,'3b Activity Plan'!$DJ$171:$FH$171,0)</f>
        <v>11</v>
      </c>
      <c r="W74" s="201">
        <f>IFERROR(INDEX('3b Activity Plan'!$DJ$6:$FH$6,V74),0)</f>
        <v>0</v>
      </c>
      <c r="X74" s="1768"/>
      <c r="Y74" s="1768">
        <f>IFERROR(INDEX('3b Activity Plan'!$DJ$7:$FH$7,V74),0)</f>
        <v>0</v>
      </c>
      <c r="Z74" s="201"/>
      <c r="AA74" s="201">
        <f>IFERROR(INDEX('3b Activity Plan'!$DJ$34:$FH$34,$V74),0)</f>
        <v>0</v>
      </c>
      <c r="AB74" s="201">
        <f>IFERROR(INDEX('3b Activity Plan'!$DJ$35:$FH$35,$V74),0)</f>
        <v>0</v>
      </c>
      <c r="AC74" s="201">
        <f>IFERROR(INDEX('3b Activity Plan'!$DJ$36:$FH$36,$V74),0)</f>
        <v>0</v>
      </c>
      <c r="AD74" s="201">
        <f>IFERROR(INDEX('3b Activity Plan'!$DJ$37:$FH$37,$V74),0)</f>
        <v>0</v>
      </c>
      <c r="AE74" s="201">
        <f>IFERROR(INDEX('3b Activity Plan'!$DJ$38:$FH$38,$V74),0)</f>
        <v>0</v>
      </c>
      <c r="AF74" s="201">
        <f>IFERROR(INDEX('3b Activity Plan'!$DJ$39:$FH$39,$V74),0)</f>
        <v>0</v>
      </c>
      <c r="AG74" s="201">
        <f>IFERROR(INDEX('3b Activity Plan'!$DJ$40:$FH$40,$V74),0)</f>
        <v>0</v>
      </c>
      <c r="AH74" s="201">
        <f>IFERROR(INDEX('3b Activity Plan'!$DJ$41:$FH$41,$V74),0)</f>
        <v>0</v>
      </c>
      <c r="AI74" s="201">
        <f>IFERROR(INDEX('3b Activity Plan'!$DJ$42:$FH$42,$V74),0)</f>
        <v>0</v>
      </c>
      <c r="AJ74" s="201">
        <f>IFERROR(INDEX('3b Activity Plan'!$DJ$43:$FH$43,$V74),0)</f>
        <v>0</v>
      </c>
      <c r="AK74" s="201"/>
      <c r="AL74" s="201">
        <f>SUMIFS('3a Staff Plan'!$AR$129:$AR$305,'3a Staff Plan'!$DY$129:$DY$305,$IA74,'3a Staff Plan'!$DF$129:$DF$305,1)</f>
        <v>0</v>
      </c>
      <c r="AM74" s="1768"/>
      <c r="AN74" s="1768">
        <f>SUMIFS('3a Staff Plan'!$AR$129:$AR$305,'3a Staff Plan'!$DY$129:$DY$305,$IA74,'3a Staff Plan'!$CV$129:$CV$305,1)</f>
        <v>0</v>
      </c>
      <c r="AO74" s="201"/>
      <c r="AP74" s="201">
        <f>SUMIFS('3a Staff Plan'!$AS$129:$AS$305,'3a Staff Plan'!$DY$129:$DY$305,$IA74,'3a Staff Plan'!$DF$129:$DF$305,1)</f>
        <v>0</v>
      </c>
      <c r="AQ74" s="201">
        <f>SUMIFS('3a Staff Plan'!$AT$129:$AT$305,'3a Staff Plan'!$DY$129:$DY$305,$IA74,'3a Staff Plan'!$DF$129:$DF$305,1)</f>
        <v>0</v>
      </c>
      <c r="AR74" s="201">
        <f>SUMIFS('3a Staff Plan'!$AU$129:$AU$305,'3a Staff Plan'!$DY$129:$DY$305,$IA74,'3a Staff Plan'!$DF$129:$DF$305,1)</f>
        <v>0</v>
      </c>
      <c r="AS74" s="201">
        <f>SUMIFS('3a Staff Plan'!$AV$129:$AV$305,'3a Staff Plan'!$DY$129:$DY$305,$IA74,'3a Staff Plan'!$DF$129:$DF$305,1)</f>
        <v>0</v>
      </c>
      <c r="AT74" s="201">
        <f>SUMIFS('3a Staff Plan'!$AW$129:$AW$305,'3a Staff Plan'!$DY$129:$DY$305,$IA74,'3a Staff Plan'!$DF$129:$DF$305,1)</f>
        <v>0</v>
      </c>
      <c r="AU74" s="201">
        <f>SUMIFS('3a Staff Plan'!$AX$129:$AX$305,'3a Staff Plan'!$DY$129:$DY$305,$IA74,'3a Staff Plan'!$DF$129:$DF$305,1)</f>
        <v>0</v>
      </c>
      <c r="AV74" s="201">
        <f>SUMIFS('3a Staff Plan'!$AY$129:$AY$305,'3a Staff Plan'!$DY$129:$DY$305,$IA74,'3a Staff Plan'!$DF$129:$DF$305,1)</f>
        <v>0</v>
      </c>
      <c r="AW74" s="201">
        <f>SUMIFS('3a Staff Plan'!$AZ$129:$AZ$305,'3a Staff Plan'!$DY$129:$DY$305,$IA74,'3a Staff Plan'!$DF$129:$DF$305,1)</f>
        <v>0</v>
      </c>
      <c r="AX74" s="201">
        <f>SUMIFS('3a Staff Plan'!$BA$129:$BA$305,'3a Staff Plan'!$DY$129:$DY$305,$IA74,'3a Staff Plan'!$DF$129:$DF$305,1)</f>
        <v>0</v>
      </c>
      <c r="AY74" s="201">
        <f>SUMIFS('3a Staff Plan'!$BB$129:$BB$305,'3a Staff Plan'!$DY$129:$DY$305,$IA74,'3a Staff Plan'!$DF$129:$DF$305,1)</f>
        <v>0</v>
      </c>
      <c r="AZ74" s="201"/>
      <c r="BA74" s="201">
        <f t="shared" si="229"/>
        <v>0</v>
      </c>
      <c r="BB74" s="1768"/>
      <c r="BC74" s="1768">
        <f t="shared" si="229"/>
        <v>0</v>
      </c>
      <c r="BD74" s="201"/>
      <c r="BE74" s="201">
        <f t="shared" si="230"/>
        <v>0</v>
      </c>
      <c r="BF74" s="201">
        <f t="shared" si="230"/>
        <v>0</v>
      </c>
      <c r="BG74" s="201">
        <f t="shared" si="230"/>
        <v>0</v>
      </c>
      <c r="BH74" s="201">
        <f t="shared" si="230"/>
        <v>0</v>
      </c>
      <c r="BI74" s="201">
        <f t="shared" si="230"/>
        <v>0</v>
      </c>
      <c r="BJ74" s="201">
        <f t="shared" si="230"/>
        <v>0</v>
      </c>
      <c r="BK74" s="201">
        <f t="shared" si="230"/>
        <v>0</v>
      </c>
      <c r="BL74" s="201">
        <f t="shared" si="230"/>
        <v>0</v>
      </c>
      <c r="BM74" s="201">
        <f t="shared" si="230"/>
        <v>0</v>
      </c>
      <c r="BN74" s="201">
        <f t="shared" si="230"/>
        <v>0</v>
      </c>
      <c r="BO74" s="201"/>
      <c r="BP74" s="1818">
        <f t="shared" si="146"/>
        <v>11</v>
      </c>
      <c r="BQ74" s="1818">
        <f>IFERROR(INDEX('3b Activity Plan'!$DJ$15:$FH$15,BP74),0)</f>
        <v>0</v>
      </c>
      <c r="BR74" s="1768"/>
      <c r="BS74" s="1768">
        <f>IFERROR(INDEX('3b Activity Plan'!$DJ$16:$FH$16,BP74),0)</f>
        <v>0</v>
      </c>
      <c r="BT74" s="201"/>
      <c r="BU74" s="201">
        <f>IFERROR(INDEX('3b Activity Plan'!$DJ$67:$FH$67,$V74),0)</f>
        <v>0</v>
      </c>
      <c r="BV74" s="201">
        <f>IFERROR(INDEX('3b Activity Plan'!$DJ$68:$FH$68,$V74),0)</f>
        <v>0</v>
      </c>
      <c r="BW74" s="201">
        <f>IFERROR(INDEX('3b Activity Plan'!$DJ$69:$FH$69,$V74),0)</f>
        <v>0</v>
      </c>
      <c r="BX74" s="201">
        <f>IFERROR(INDEX('3b Activity Plan'!$DJ$70:$FH$70,$V74),0)</f>
        <v>0</v>
      </c>
      <c r="BY74" s="201">
        <f>IFERROR(INDEX('3b Activity Plan'!$DJ$71:$FH$71,$V74),0)</f>
        <v>0</v>
      </c>
      <c r="BZ74" s="201">
        <f>IFERROR(INDEX('3b Activity Plan'!$DJ$72:$FH$72,$V74),0)</f>
        <v>0</v>
      </c>
      <c r="CA74" s="201">
        <f>IFERROR(INDEX('3b Activity Plan'!$DJ$73:$FH$73,$V74),0)</f>
        <v>0</v>
      </c>
      <c r="CB74" s="201">
        <f>IFERROR(INDEX('3b Activity Plan'!$DJ$74:$FH$74,$V74),0)</f>
        <v>0</v>
      </c>
      <c r="CC74" s="201">
        <f>IFERROR(INDEX('3b Activity Plan'!$DJ$75:$FH$75,$V74),0)</f>
        <v>0</v>
      </c>
      <c r="CD74" s="201">
        <f>IFERROR(INDEX('3b Activity Plan'!$DJ$76:$FH$76,$V74),0)</f>
        <v>0</v>
      </c>
      <c r="CE74" s="201"/>
      <c r="CF74" s="1818">
        <f>SUMIFS('3a Staff Plan'!$AR$129:$AR$305,'3a Staff Plan'!$DY$129:$DY$305,$IA74,'3a Staff Plan'!$AG$129:$AG$305,1,'3a Staff Plan'!$DF$129:$DF$305,1)</f>
        <v>0</v>
      </c>
      <c r="CG74" s="1768">
        <f>SUMIFS('3a Staff Plan'!$AR$129:$AR$305,'3a Staff Plan'!$DY$129:$DY$305,$IA74,'3a Staff Plan'!$AG$129:$AG$305,1,'3a Staff Plan'!$CX$129:$CX$305,1)</f>
        <v>0</v>
      </c>
      <c r="CH74" s="1768">
        <f>SUMIFS('3a Staff Plan'!$AR$129:$AR$305,'3a Staff Plan'!$DY$129:$DY$305,$IA74,'3a Staff Plan'!$AG$129:$AG$305,1,'3a Staff Plan'!$CV$129:$CV$305,1)</f>
        <v>0</v>
      </c>
      <c r="CI74" s="201"/>
      <c r="CJ74" s="201">
        <f>SUMIFS('3a Staff Plan'!$BX$129:$BX$305,'3a Staff Plan'!$DY$129:$DY$305,$IA74,'3a Staff Plan'!$DF$129:$DF$305,1,'3a Staff Plan'!$AG$129:$AG$305,1)</f>
        <v>0</v>
      </c>
      <c r="CK74" s="201">
        <f>SUMIFS('3a Staff Plan'!$BY$129:$BY$305,'3a Staff Plan'!$DY$129:$DY$305,$IA74,'3a Staff Plan'!$DF$129:$DF$305,1,'3a Staff Plan'!$AG$129:$AG$305,1)</f>
        <v>0</v>
      </c>
      <c r="CL74" s="201">
        <f>SUMIFS('3a Staff Plan'!$BZ$129:$BZ$305,'3a Staff Plan'!$DY$129:$DY$305,$IA74,'3a Staff Plan'!$DF$129:$DF$305,1,'3a Staff Plan'!$AG$129:$AG$305,1)</f>
        <v>0</v>
      </c>
      <c r="CM74" s="201">
        <f>SUMIFS('3a Staff Plan'!$CA$129:$CA$305,'3a Staff Plan'!$DY$129:$DY$305,$IA74,'3a Staff Plan'!$DF$129:$DF$305,1,'3a Staff Plan'!$AG$129:$AG$305,1)</f>
        <v>0</v>
      </c>
      <c r="CN74" s="201">
        <f>SUMIFS('3a Staff Plan'!$CB$129:$CB$305,'3a Staff Plan'!$DY$129:$DY$305,$IA74,'3a Staff Plan'!$DF$129:$DF$305,1,'3a Staff Plan'!$AG$129:$AG$305,1)</f>
        <v>0</v>
      </c>
      <c r="CO74" s="201">
        <f>SUMIFS('3a Staff Plan'!$CC$129:$CC$305,'3a Staff Plan'!$DY$129:$DY$305,$IA74,'3a Staff Plan'!$DF$129:$DF$305,1,'3a Staff Plan'!$AG$129:$AG$305,1)</f>
        <v>0</v>
      </c>
      <c r="CP74" s="201">
        <f>SUMIFS('3a Staff Plan'!$CD$129:$CD$305,'3a Staff Plan'!$DY$129:$DY$305,$IA74,'3a Staff Plan'!$DF$129:$DF$305,1,'3a Staff Plan'!$AG$129:$AG$305,1)</f>
        <v>0</v>
      </c>
      <c r="CQ74" s="201">
        <f>SUMIFS('3a Staff Plan'!$CE$129:$CE$305,'3a Staff Plan'!$DY$129:$DY$305,$IA74,'3a Staff Plan'!$DF$129:$DF$305,1,'3a Staff Plan'!$AG$129:$AG$305,1)</f>
        <v>0</v>
      </c>
      <c r="CR74" s="201">
        <f>SUMIFS('3a Staff Plan'!$CF$129:$CF$305,'3a Staff Plan'!$DY$129:$DY$305,$IA74,'3a Staff Plan'!$DF$129:$DF$305,1,'3a Staff Plan'!$AG$129:$AG$305,1)</f>
        <v>0</v>
      </c>
      <c r="CS74" s="201">
        <f>SUMIFS('3a Staff Plan'!$CG$129:$CG$305,'3a Staff Plan'!$DY$129:$DY$305,$IA74,'3a Staff Plan'!$DF$129:$DF$305,1,'3a Staff Plan'!$AG$129:$AG$305,1)</f>
        <v>0</v>
      </c>
      <c r="CT74" s="201"/>
      <c r="CU74" s="1818">
        <f t="shared" si="231"/>
        <v>0</v>
      </c>
      <c r="CV74" s="1768"/>
      <c r="CW74" s="1768">
        <f t="shared" si="231"/>
        <v>0</v>
      </c>
      <c r="CX74" s="201"/>
      <c r="CY74" s="201">
        <f t="shared" si="232"/>
        <v>0</v>
      </c>
      <c r="CZ74" s="201">
        <f t="shared" si="232"/>
        <v>0</v>
      </c>
      <c r="DA74" s="201">
        <f t="shared" si="232"/>
        <v>0</v>
      </c>
      <c r="DB74" s="201">
        <f t="shared" si="232"/>
        <v>0</v>
      </c>
      <c r="DC74" s="201">
        <f t="shared" si="232"/>
        <v>0</v>
      </c>
      <c r="DD74" s="201">
        <f t="shared" si="232"/>
        <v>0</v>
      </c>
      <c r="DE74" s="201">
        <f t="shared" si="232"/>
        <v>0</v>
      </c>
      <c r="DF74" s="201">
        <f t="shared" si="232"/>
        <v>0</v>
      </c>
      <c r="DG74" s="201">
        <f t="shared" si="232"/>
        <v>0</v>
      </c>
      <c r="DH74" s="201">
        <f t="shared" si="232"/>
        <v>0</v>
      </c>
      <c r="DI74" s="201"/>
      <c r="DJ74" s="201"/>
      <c r="DK74" s="201"/>
      <c r="DL74" s="201"/>
      <c r="DM74" s="372">
        <f t="shared" ca="1" si="37"/>
        <v>0</v>
      </c>
      <c r="DN74" s="1185">
        <f t="shared" si="38"/>
        <v>0</v>
      </c>
      <c r="DO74" s="1185">
        <f t="shared" si="39"/>
        <v>0</v>
      </c>
      <c r="DP74" s="201"/>
      <c r="DQ74" s="372">
        <f t="shared" ca="1" si="40"/>
        <v>0</v>
      </c>
      <c r="DR74" s="1185">
        <f t="shared" si="41"/>
        <v>0</v>
      </c>
      <c r="DS74" s="1185">
        <f t="shared" si="42"/>
        <v>0</v>
      </c>
      <c r="DT74" s="201"/>
      <c r="DU74" s="372">
        <f t="shared" ca="1" si="233"/>
        <v>0</v>
      </c>
      <c r="DV74" s="372">
        <f t="shared" si="233"/>
        <v>0</v>
      </c>
      <c r="DW74" s="372">
        <f t="shared" si="233"/>
        <v>0</v>
      </c>
      <c r="DX74" s="201"/>
      <c r="DY74" s="372">
        <f t="shared" si="44"/>
        <v>0</v>
      </c>
      <c r="DZ74" s="372">
        <f t="shared" ca="1" si="45"/>
        <v>0</v>
      </c>
      <c r="EA74" s="201"/>
      <c r="EB74" s="2776">
        <f>IF(EO74=$EO$53,1,IFERROR(INDEX('Currency Data'!$L$8:$L$41,MATCH(EO74,'Currency Data'!$H$8:$H$41,0)),1))</f>
        <v>1</v>
      </c>
      <c r="EC74" s="2776">
        <f t="shared" si="147"/>
        <v>1</v>
      </c>
      <c r="ED74" s="428">
        <f>IF(GQ74=1,'1 Setup'!$T$68,IF(ISBLANK(IJ74),II74/EC74*IF(GL74=1,$ED$53,1),IJ74/EC74)*IF($EW74=7,JW74,1))</f>
        <v>0</v>
      </c>
      <c r="EE74" s="428">
        <f t="shared" si="46"/>
        <v>0</v>
      </c>
      <c r="EF74" s="428"/>
      <c r="EG74" s="1965" t="str">
        <f t="shared" si="148"/>
        <v>031500 - Highways UK</v>
      </c>
      <c r="EH74" s="201">
        <f t="shared" si="149"/>
        <v>1</v>
      </c>
      <c r="EI74" s="445" t="str">
        <f>IF(EH74=1,$EI$53,IF(GQ74=1,$GQ$55,IFERROR(IF($EG74=$EG$53,$EI$53,INDEX('PU List'!$G$6:$G$413,MATCH($EG74,'PU List'!$D$6:$D$413,0))),$EI$53)))</f>
        <v>GB - BIAF</v>
      </c>
      <c r="EJ74" s="2773" t="str">
        <f t="shared" si="150"/>
        <v>GB - BIAF</v>
      </c>
      <c r="EK74" s="1768"/>
      <c r="EL74" s="3283">
        <f>IF(OR(EW74&gt;7,$EL$53=0),0,IF(EJ74=$EI$53,$EL$53,IFERROR(INDEX('Fringe Data'!$U$8:$U$129,MATCH($EJ74,'Fringe Data'!$F$8:$F$129,0)),0)))</f>
        <v>1.73</v>
      </c>
      <c r="EM74" s="372">
        <f t="shared" si="47"/>
        <v>0</v>
      </c>
      <c r="EN74" s="201" t="str">
        <f>IFERROR(INDEX('Fringe Data'!$G$8:$G$64,MATCH($EJ74,'Fringe Data'!$F$8:$F$64,0)),$EO$53)</f>
        <v>GBP</v>
      </c>
      <c r="EO74" s="201" t="str">
        <f t="shared" si="151"/>
        <v>GBP</v>
      </c>
      <c r="EP74" s="201">
        <f>IF(EI74=$EI$53,$EP$49,IF(GP74=1,0,IFERROR(INDEX('Fringe Data'!$K$8:$K$64,MATCH($EI74,'Fringe Data'!$F$8:$F$64,0)),0)))</f>
        <v>0.52</v>
      </c>
      <c r="EQ74" s="201">
        <f>IF(EI74=$EI$53,$EQ$49,IF(GP74=1,0,IFERROR(INDEX('Fringe Data'!$L$8:$L$64,MATCH($EI74,'Fringe Data'!$F$8:$F$64,0)),0)))</f>
        <v>1.8499999999999999E-2</v>
      </c>
      <c r="ER74" s="201">
        <f>IF(EI74=$EI$53,$ER$49,IF(GP74=1,0,IFERROR(INDEX('Fringe Data'!$M$8:$M$64,MATCH($EI74,'Fringe Data'!$F$8:$F$64,0)),0)))</f>
        <v>0.43430000000000002</v>
      </c>
      <c r="ES74" s="201">
        <f>IF(EI74=$EI$53,$ES$49,IF(GP74=1,0,IFERROR(INDEX('Fringe Data'!$N$8:$N$64,MATCH($EI74,'Fringe Data'!$F$8:$F$64,0)),0)))</f>
        <v>0.1565</v>
      </c>
      <c r="ET74" s="201">
        <f>IF(EI74=$EI$53,$ET$49,IF(GP74=1,0,IFERROR(INDEX('Fringe Data'!$O$8:$O$64,MATCH($EI74,'Fringe Data'!$F$8:$F$64,0)),0)))</f>
        <v>0.33450000000000002</v>
      </c>
      <c r="EU74" s="263">
        <f>IF(EI74=$EI$53,$EU$49,IF(GP74=1,0,IFERROR(INDEX('Fringe Data'!$P$8:$P$64,MATCH($EI74,'Fringe Data'!$F$8:$F$64,0)),0)))</f>
        <v>0.1565</v>
      </c>
      <c r="EV74" s="201"/>
      <c r="EW74" s="1530">
        <f t="shared" si="48"/>
        <v>1</v>
      </c>
      <c r="EX74" s="1534">
        <f t="shared" si="152"/>
        <v>0.52</v>
      </c>
      <c r="EY74" s="321">
        <f t="shared" si="153"/>
        <v>0</v>
      </c>
      <c r="EZ74" s="201">
        <f t="shared" si="154"/>
        <v>0</v>
      </c>
      <c r="FA74" s="372">
        <f t="shared" si="49"/>
        <v>0</v>
      </c>
      <c r="FB74" s="372">
        <f t="shared" si="50"/>
        <v>0</v>
      </c>
      <c r="FC74" s="201">
        <f t="shared" ca="1" si="155"/>
        <v>0</v>
      </c>
      <c r="FD74" s="423">
        <f t="shared" si="51"/>
        <v>0</v>
      </c>
      <c r="FE74" s="423">
        <f t="shared" si="52"/>
        <v>0</v>
      </c>
      <c r="FF74" s="201">
        <f t="shared" si="156"/>
        <v>0</v>
      </c>
      <c r="FG74" s="425">
        <f>IF(OR($FJ$52=3,$FJ$52=4,$FJ$52=5),'1 Setup'!$W$96,0)</f>
        <v>0</v>
      </c>
      <c r="FH74" s="428">
        <f>IF($FJ$52=5,'1 Setup'!$W$98,IF($FJ$52=6,'1 Setup'!$S$86,0))</f>
        <v>0</v>
      </c>
      <c r="FI74" s="321">
        <f t="shared" ca="1" si="53"/>
        <v>0</v>
      </c>
      <c r="FJ74" s="263">
        <f t="shared" ca="1" si="157"/>
        <v>0</v>
      </c>
      <c r="FK74" s="372">
        <f t="shared" ca="1" si="54"/>
        <v>0</v>
      </c>
      <c r="FL74" s="372">
        <f t="shared" si="55"/>
        <v>0</v>
      </c>
      <c r="FM74" s="372">
        <f t="shared" si="56"/>
        <v>0</v>
      </c>
      <c r="FN74" s="2036">
        <f t="shared" ca="1" si="57"/>
        <v>0</v>
      </c>
      <c r="FO74" s="372">
        <f ca="1">$BA74*FN74</f>
        <v>0</v>
      </c>
      <c r="FP74" s="2723">
        <f t="shared" si="158"/>
        <v>0</v>
      </c>
      <c r="FQ74" s="372">
        <f t="shared" si="59"/>
        <v>0</v>
      </c>
      <c r="FR74" s="372">
        <f t="shared" si="159"/>
        <v>0</v>
      </c>
      <c r="FS74" s="1168"/>
      <c r="FT74" s="1168">
        <f t="shared" si="60"/>
        <v>0</v>
      </c>
      <c r="FU74" s="1168">
        <f t="shared" si="61"/>
        <v>0</v>
      </c>
      <c r="FV74" s="1168">
        <f t="shared" si="62"/>
        <v>0</v>
      </c>
      <c r="FW74" s="1168">
        <f t="shared" si="63"/>
        <v>0</v>
      </c>
      <c r="FX74" s="1168">
        <f t="shared" si="64"/>
        <v>0</v>
      </c>
      <c r="FY74" s="1168">
        <f t="shared" si="65"/>
        <v>0</v>
      </c>
      <c r="FZ74" s="1168">
        <f t="shared" si="66"/>
        <v>0</v>
      </c>
      <c r="GA74" s="1168">
        <f t="shared" si="67"/>
        <v>0</v>
      </c>
      <c r="GB74" s="1168">
        <f t="shared" si="68"/>
        <v>0</v>
      </c>
      <c r="GC74" s="1168">
        <f t="shared" si="69"/>
        <v>0</v>
      </c>
      <c r="GD74" s="1168"/>
      <c r="GE74" s="199"/>
      <c r="GF74" s="201">
        <f t="shared" si="70"/>
        <v>0</v>
      </c>
      <c r="GG74" s="201">
        <f t="shared" si="71"/>
        <v>0</v>
      </c>
      <c r="GH74" s="201">
        <f t="shared" si="72"/>
        <v>0</v>
      </c>
      <c r="GI74" s="201">
        <f t="shared" ca="1" si="160"/>
        <v>0</v>
      </c>
      <c r="GJ74" s="201">
        <f t="shared" si="73"/>
        <v>0</v>
      </c>
      <c r="GK74" s="201">
        <f t="shared" si="74"/>
        <v>0</v>
      </c>
      <c r="GL74" s="201">
        <f t="shared" si="75"/>
        <v>1</v>
      </c>
      <c r="GM74" s="201">
        <f t="shared" si="76"/>
        <v>1</v>
      </c>
      <c r="GN74" s="201"/>
      <c r="GO74" s="201"/>
      <c r="GP74" s="201">
        <f t="shared" si="77"/>
        <v>0</v>
      </c>
      <c r="GQ74" s="201">
        <f t="shared" si="78"/>
        <v>0</v>
      </c>
      <c r="GR74" s="201">
        <f t="shared" si="161"/>
        <v>0</v>
      </c>
      <c r="GS74" s="1768"/>
      <c r="GT74" s="201">
        <f t="shared" si="79"/>
        <v>1</v>
      </c>
      <c r="GU74" s="201">
        <f t="shared" si="193"/>
        <v>11</v>
      </c>
      <c r="GV74" s="201">
        <f t="shared" si="80"/>
        <v>0</v>
      </c>
      <c r="GW74" s="201">
        <f t="shared" si="81"/>
        <v>3</v>
      </c>
      <c r="GX74" s="201">
        <f t="shared" si="162"/>
        <v>0</v>
      </c>
      <c r="GY74" s="1998"/>
      <c r="GZ74" s="253"/>
      <c r="HA74" s="195">
        <f t="shared" si="163"/>
        <v>0</v>
      </c>
      <c r="HB74" s="3558">
        <f t="shared" si="82"/>
        <v>0</v>
      </c>
      <c r="HC74" s="3590"/>
      <c r="HD74" s="257" t="str">
        <f t="shared" si="83"/>
        <v/>
      </c>
      <c r="HE74" s="825">
        <f t="shared" si="84"/>
        <v>0</v>
      </c>
      <c r="HF74" s="506" t="s">
        <v>5</v>
      </c>
      <c r="HG74" s="508">
        <f t="shared" ca="1" si="85"/>
        <v>0</v>
      </c>
      <c r="HH74" s="3585">
        <f t="shared" si="86"/>
        <v>0</v>
      </c>
      <c r="HI74" s="3586"/>
      <c r="HJ74" s="504">
        <f ca="1">HG74-HH74</f>
        <v>0</v>
      </c>
      <c r="HK74" s="456">
        <f ca="1">IF(HG74&lt;0.1,0,IFERROR(HJ74/HG74,0))</f>
        <v>0</v>
      </c>
      <c r="HL74" s="3591">
        <f ca="1">IFERROR(HJ74/HE74,0)</f>
        <v>0</v>
      </c>
      <c r="HM74" s="3592"/>
      <c r="HN74" s="240"/>
      <c r="HO74" s="1998"/>
      <c r="HP74" s="1991"/>
      <c r="HQ74" s="2770" t="str">
        <f t="shared" si="90"/>
        <v>GB - BIAF</v>
      </c>
      <c r="HR74" s="2770" t="str">
        <f t="shared" si="91"/>
        <v>GBP</v>
      </c>
      <c r="HS74" s="2771">
        <f t="shared" si="92"/>
        <v>1</v>
      </c>
      <c r="HT74" s="3488"/>
      <c r="HU74" s="2771">
        <f t="shared" si="93"/>
        <v>1.73</v>
      </c>
      <c r="HW74" s="1218"/>
      <c r="HX74" s="520"/>
      <c r="HY74" s="2523"/>
      <c r="HZ74" s="194"/>
      <c r="IA74" s="1013"/>
      <c r="IB74" s="193"/>
      <c r="IC74" s="3276">
        <v>11</v>
      </c>
      <c r="ID74" s="986"/>
      <c r="IE74" s="938">
        <f t="shared" si="164"/>
        <v>0</v>
      </c>
      <c r="IF74" s="938">
        <f t="shared" si="165"/>
        <v>0</v>
      </c>
      <c r="IG74" s="432"/>
      <c r="II74" s="405"/>
      <c r="IJ74" s="239"/>
      <c r="IK74" s="2774" t="str">
        <f t="shared" si="166"/>
        <v>GBP</v>
      </c>
      <c r="IL74" s="2148"/>
      <c r="IM74" s="1936">
        <f t="shared" si="94"/>
        <v>0</v>
      </c>
      <c r="IO74" s="1959" t="str">
        <f t="shared" si="95"/>
        <v/>
      </c>
      <c r="IP74" s="1958"/>
      <c r="IQ74" s="543">
        <f t="shared" si="96"/>
        <v>0.52</v>
      </c>
      <c r="IR74" s="1936">
        <f t="shared" si="97"/>
        <v>0</v>
      </c>
      <c r="IT74" s="1364"/>
      <c r="IU74" s="210"/>
      <c r="IV74" s="218"/>
      <c r="IW74" s="1938">
        <f ca="1">IF(NOT(ISBLANK(IU74)),IU74,IF('1 Setup'!$G$8&lt;7,JK74,FJ74))+KA74</f>
        <v>0</v>
      </c>
      <c r="IX74" s="409">
        <f t="shared" si="98"/>
        <v>0</v>
      </c>
      <c r="IY74" s="408">
        <f t="shared" si="99"/>
        <v>0</v>
      </c>
      <c r="IZ74" s="1983"/>
      <c r="JA74" s="1994"/>
      <c r="JB74" s="1991"/>
      <c r="JD74" s="2029">
        <f t="shared" si="167"/>
        <v>0</v>
      </c>
      <c r="JE74" s="479"/>
      <c r="JF74" s="2025">
        <f t="shared" si="100"/>
        <v>0</v>
      </c>
      <c r="JG74" s="429">
        <f t="shared" si="101"/>
        <v>0</v>
      </c>
      <c r="JH74" s="1667">
        <f t="shared" si="102"/>
        <v>0</v>
      </c>
      <c r="JJ74" s="1163">
        <f t="shared" ca="1" si="103"/>
        <v>0</v>
      </c>
      <c r="JK74" s="1163">
        <f t="shared" ca="1" si="104"/>
        <v>0</v>
      </c>
      <c r="JL74" s="1795"/>
      <c r="JN74" s="2505"/>
      <c r="JO74" s="1161"/>
      <c r="JP74" s="571">
        <f t="shared" ca="1" si="105"/>
        <v>0</v>
      </c>
      <c r="JQ74" s="2506"/>
      <c r="JR74" s="1953"/>
      <c r="JS74" s="2650"/>
      <c r="JT74" s="2507"/>
      <c r="JU74" s="1964">
        <f t="shared" si="106"/>
        <v>0.33450000000000002</v>
      </c>
      <c r="JV74" s="3199"/>
      <c r="JW74" s="2649">
        <f t="shared" si="107"/>
        <v>1.5</v>
      </c>
      <c r="JX74" s="1964">
        <f t="shared" si="168"/>
        <v>0.1565</v>
      </c>
      <c r="JY74" s="3199"/>
      <c r="JZ74" s="2649">
        <f t="shared" si="169"/>
        <v>0</v>
      </c>
      <c r="KA74" s="2649">
        <f t="shared" si="170"/>
        <v>0</v>
      </c>
      <c r="KB74" s="2649" t="s">
        <v>111</v>
      </c>
      <c r="KC74" s="1983"/>
      <c r="KD74" s="1974"/>
      <c r="KE74" s="1991"/>
      <c r="KF74" s="2029">
        <f t="shared" si="171"/>
        <v>0</v>
      </c>
      <c r="KG74" s="1991"/>
      <c r="KH74" s="2121">
        <f t="shared" si="108"/>
        <v>0</v>
      </c>
      <c r="KI74" s="2130">
        <f t="shared" si="109"/>
        <v>0</v>
      </c>
      <c r="KJ74" s="2130">
        <f t="shared" si="110"/>
        <v>0</v>
      </c>
      <c r="KK74" s="2130">
        <f t="shared" si="111"/>
        <v>0</v>
      </c>
      <c r="KL74" s="2131">
        <f t="shared" si="112"/>
        <v>0</v>
      </c>
      <c r="KM74" s="2132">
        <f t="shared" si="113"/>
        <v>0</v>
      </c>
      <c r="KN74" s="2132">
        <f t="shared" si="114"/>
        <v>0</v>
      </c>
      <c r="KO74" s="2132">
        <f t="shared" si="115"/>
        <v>0</v>
      </c>
      <c r="KP74" s="2132">
        <f t="shared" si="116"/>
        <v>0</v>
      </c>
      <c r="KQ74" s="2133">
        <f t="shared" si="117"/>
        <v>0</v>
      </c>
      <c r="KS74" s="2253">
        <f t="shared" si="118"/>
        <v>0</v>
      </c>
      <c r="KT74" s="2270">
        <f t="shared" ref="KT74:LB74" si="237">KS74*(1+(KT$60))</f>
        <v>0</v>
      </c>
      <c r="KU74" s="2271">
        <f t="shared" si="237"/>
        <v>0</v>
      </c>
      <c r="KV74" s="2271">
        <f t="shared" si="237"/>
        <v>0</v>
      </c>
      <c r="KW74" s="2272">
        <f t="shared" si="237"/>
        <v>0</v>
      </c>
      <c r="KX74" s="2271">
        <f t="shared" si="237"/>
        <v>0</v>
      </c>
      <c r="KY74" s="2271">
        <f t="shared" si="237"/>
        <v>0</v>
      </c>
      <c r="KZ74" s="2271">
        <f t="shared" si="237"/>
        <v>0</v>
      </c>
      <c r="LA74" s="2271">
        <f t="shared" si="237"/>
        <v>0</v>
      </c>
      <c r="LB74" s="2273">
        <f t="shared" si="237"/>
        <v>0</v>
      </c>
      <c r="LC74" s="272"/>
      <c r="LD74" s="2124">
        <f t="shared" si="120"/>
        <v>0</v>
      </c>
      <c r="LE74" s="2093">
        <f t="shared" si="121"/>
        <v>0</v>
      </c>
      <c r="LF74" s="2093">
        <f t="shared" si="122"/>
        <v>0</v>
      </c>
      <c r="LG74" s="2093">
        <f t="shared" si="123"/>
        <v>0</v>
      </c>
      <c r="LH74" s="2094">
        <f t="shared" si="124"/>
        <v>0</v>
      </c>
      <c r="LI74" s="2095">
        <f t="shared" si="125"/>
        <v>0</v>
      </c>
      <c r="LJ74" s="2095">
        <f t="shared" si="126"/>
        <v>0</v>
      </c>
      <c r="LK74" s="2095">
        <f t="shared" si="127"/>
        <v>0</v>
      </c>
      <c r="LL74" s="2095">
        <f t="shared" si="128"/>
        <v>0</v>
      </c>
      <c r="LM74" s="2096">
        <f t="shared" si="129"/>
        <v>0</v>
      </c>
      <c r="LN74" s="749"/>
      <c r="LO74" s="2256">
        <f t="shared" ca="1" si="130"/>
        <v>0</v>
      </c>
      <c r="LP74" s="2270">
        <f t="shared" ca="1" si="131"/>
        <v>0</v>
      </c>
      <c r="LQ74" s="2271">
        <f t="shared" ca="1" si="132"/>
        <v>0</v>
      </c>
      <c r="LR74" s="2271">
        <f t="shared" ca="1" si="133"/>
        <v>0</v>
      </c>
      <c r="LS74" s="2272">
        <f t="shared" ca="1" si="134"/>
        <v>0</v>
      </c>
      <c r="LT74" s="2271">
        <f t="shared" ca="1" si="135"/>
        <v>0</v>
      </c>
      <c r="LU74" s="2271">
        <f t="shared" ca="1" si="136"/>
        <v>0</v>
      </c>
      <c r="LV74" s="2271">
        <f t="shared" ca="1" si="137"/>
        <v>0</v>
      </c>
      <c r="LW74" s="2271">
        <f t="shared" ca="1" si="138"/>
        <v>0</v>
      </c>
      <c r="LX74" s="2273">
        <f t="shared" ca="1" si="139"/>
        <v>0</v>
      </c>
      <c r="LY74" s="479"/>
      <c r="LZ74" s="3128">
        <f t="shared" ca="1" si="173"/>
        <v>-1.73</v>
      </c>
      <c r="MA74" s="3129">
        <f t="shared" ca="1" si="174"/>
        <v>-1.73</v>
      </c>
      <c r="MB74" s="3129">
        <f t="shared" ca="1" si="175"/>
        <v>-1.73</v>
      </c>
      <c r="MC74" s="3129">
        <f t="shared" ca="1" si="176"/>
        <v>-1.73</v>
      </c>
      <c r="MD74" s="3130">
        <f t="shared" ca="1" si="177"/>
        <v>-1.73</v>
      </c>
      <c r="ME74" s="3129">
        <f t="shared" ca="1" si="178"/>
        <v>-1.73</v>
      </c>
      <c r="MF74" s="3129">
        <f t="shared" ca="1" si="179"/>
        <v>-1.73</v>
      </c>
      <c r="MG74" s="3129">
        <f t="shared" ca="1" si="180"/>
        <v>-1.73</v>
      </c>
      <c r="MH74" s="3129">
        <f t="shared" ca="1" si="181"/>
        <v>-1.73</v>
      </c>
      <c r="MI74" s="3131">
        <f t="shared" ca="1" si="182"/>
        <v>-1.73</v>
      </c>
      <c r="MJ74" s="3201"/>
      <c r="MK74" s="3206">
        <f t="shared" ca="1" si="183"/>
        <v>0</v>
      </c>
      <c r="ML74" s="3207">
        <f t="shared" ca="1" si="184"/>
        <v>0</v>
      </c>
      <c r="MM74" s="3207">
        <f t="shared" ca="1" si="185"/>
        <v>0</v>
      </c>
      <c r="MN74" s="3207">
        <f t="shared" ca="1" si="186"/>
        <v>0</v>
      </c>
      <c r="MO74" s="3208">
        <f t="shared" ca="1" si="187"/>
        <v>0</v>
      </c>
      <c r="MP74" s="3207">
        <f t="shared" ca="1" si="188"/>
        <v>0</v>
      </c>
      <c r="MQ74" s="3207">
        <f t="shared" ca="1" si="189"/>
        <v>0</v>
      </c>
      <c r="MR74" s="3207">
        <f t="shared" ca="1" si="190"/>
        <v>0</v>
      </c>
      <c r="MS74" s="3207">
        <f t="shared" ca="1" si="191"/>
        <v>0</v>
      </c>
      <c r="MT74" s="3209">
        <f t="shared" ca="1" si="192"/>
        <v>0</v>
      </c>
      <c r="MU74" s="1983"/>
      <c r="MV74" s="1975"/>
      <c r="MW74" s="1991"/>
      <c r="MX74" s="1931">
        <f t="shared" si="142"/>
        <v>0</v>
      </c>
      <c r="MY74" s="749"/>
      <c r="MZ74" s="1934">
        <f t="shared" si="143"/>
        <v>0</v>
      </c>
      <c r="NA74" s="1935"/>
      <c r="NB74" s="2652">
        <f t="shared" si="144"/>
        <v>0</v>
      </c>
      <c r="NC74" s="479"/>
      <c r="ND74" s="2749" t="str">
        <f t="shared" si="145"/>
        <v/>
      </c>
      <c r="NE74" s="2717"/>
      <c r="NF74" s="1975"/>
      <c r="NG74" s="1975"/>
      <c r="NH74" s="1975"/>
      <c r="NI74" s="1975"/>
    </row>
    <row r="75" spans="1:373" s="192" customFormat="1" ht="15.9" customHeight="1" x14ac:dyDescent="0.3">
      <c r="A75" s="200"/>
      <c r="B75" s="200"/>
      <c r="C75" s="200"/>
      <c r="D75" s="200"/>
      <c r="E75" s="200"/>
      <c r="F75" s="200"/>
      <c r="G75" s="200"/>
      <c r="H75" s="200"/>
      <c r="I75" s="200"/>
      <c r="J75" s="200"/>
      <c r="K75" s="200"/>
      <c r="L75" s="200"/>
      <c r="M75" s="200"/>
      <c r="N75" s="200"/>
      <c r="O75" s="200"/>
      <c r="P75" s="1539"/>
      <c r="Q75" s="1539"/>
      <c r="R75" s="198"/>
      <c r="S75" s="1539"/>
      <c r="T75" s="201"/>
      <c r="U75" s="200"/>
      <c r="V75" s="201">
        <f>MATCH($IC75,'3b Activity Plan'!$DJ$171:$FH$171,0)</f>
        <v>12</v>
      </c>
      <c r="W75" s="201">
        <f>IFERROR(INDEX('3b Activity Plan'!$DJ$6:$FH$6,V75),0)</f>
        <v>0</v>
      </c>
      <c r="X75" s="1768"/>
      <c r="Y75" s="1768">
        <f>IFERROR(INDEX('3b Activity Plan'!$DJ$7:$FH$7,V75),0)</f>
        <v>0</v>
      </c>
      <c r="Z75" s="201"/>
      <c r="AA75" s="201">
        <f>IFERROR(INDEX('3b Activity Plan'!$DJ$34:$FH$34,$V75),0)</f>
        <v>0</v>
      </c>
      <c r="AB75" s="201">
        <f>IFERROR(INDEX('3b Activity Plan'!$DJ$35:$FH$35,$V75),0)</f>
        <v>0</v>
      </c>
      <c r="AC75" s="201">
        <f>IFERROR(INDEX('3b Activity Plan'!$DJ$36:$FH$36,$V75),0)</f>
        <v>0</v>
      </c>
      <c r="AD75" s="201">
        <f>IFERROR(INDEX('3b Activity Plan'!$DJ$37:$FH$37,$V75),0)</f>
        <v>0</v>
      </c>
      <c r="AE75" s="201">
        <f>IFERROR(INDEX('3b Activity Plan'!$DJ$38:$FH$38,$V75),0)</f>
        <v>0</v>
      </c>
      <c r="AF75" s="201">
        <f>IFERROR(INDEX('3b Activity Plan'!$DJ$39:$FH$39,$V75),0)</f>
        <v>0</v>
      </c>
      <c r="AG75" s="201">
        <f>IFERROR(INDEX('3b Activity Plan'!$DJ$40:$FH$40,$V75),0)</f>
        <v>0</v>
      </c>
      <c r="AH75" s="201">
        <f>IFERROR(INDEX('3b Activity Plan'!$DJ$41:$FH$41,$V75),0)</f>
        <v>0</v>
      </c>
      <c r="AI75" s="201">
        <f>IFERROR(INDEX('3b Activity Plan'!$DJ$42:$FH$42,$V75),0)</f>
        <v>0</v>
      </c>
      <c r="AJ75" s="201">
        <f>IFERROR(INDEX('3b Activity Plan'!$DJ$43:$FH$43,$V75),0)</f>
        <v>0</v>
      </c>
      <c r="AK75" s="201"/>
      <c r="AL75" s="201">
        <f>SUMIFS('3a Staff Plan'!$AR$129:$AR$305,'3a Staff Plan'!$DY$129:$DY$305,$IA75,'3a Staff Plan'!$DF$129:$DF$305,1)</f>
        <v>0</v>
      </c>
      <c r="AM75" s="1768"/>
      <c r="AN75" s="1768">
        <f>SUMIFS('3a Staff Plan'!$AR$129:$AR$305,'3a Staff Plan'!$DY$129:$DY$305,$IA75,'3a Staff Plan'!$CV$129:$CV$305,1)</f>
        <v>0</v>
      </c>
      <c r="AO75" s="201"/>
      <c r="AP75" s="201">
        <f>SUMIFS('3a Staff Plan'!$AS$129:$AS$305,'3a Staff Plan'!$DY$129:$DY$305,$IA75,'3a Staff Plan'!$DF$129:$DF$305,1)</f>
        <v>0</v>
      </c>
      <c r="AQ75" s="201">
        <f>SUMIFS('3a Staff Plan'!$AT$129:$AT$305,'3a Staff Plan'!$DY$129:$DY$305,$IA75,'3a Staff Plan'!$DF$129:$DF$305,1)</f>
        <v>0</v>
      </c>
      <c r="AR75" s="201">
        <f>SUMIFS('3a Staff Plan'!$AU$129:$AU$305,'3a Staff Plan'!$DY$129:$DY$305,$IA75,'3a Staff Plan'!$DF$129:$DF$305,1)</f>
        <v>0</v>
      </c>
      <c r="AS75" s="201">
        <f>SUMIFS('3a Staff Plan'!$AV$129:$AV$305,'3a Staff Plan'!$DY$129:$DY$305,$IA75,'3a Staff Plan'!$DF$129:$DF$305,1)</f>
        <v>0</v>
      </c>
      <c r="AT75" s="201">
        <f>SUMIFS('3a Staff Plan'!$AW$129:$AW$305,'3a Staff Plan'!$DY$129:$DY$305,$IA75,'3a Staff Plan'!$DF$129:$DF$305,1)</f>
        <v>0</v>
      </c>
      <c r="AU75" s="201">
        <f>SUMIFS('3a Staff Plan'!$AX$129:$AX$305,'3a Staff Plan'!$DY$129:$DY$305,$IA75,'3a Staff Plan'!$DF$129:$DF$305,1)</f>
        <v>0</v>
      </c>
      <c r="AV75" s="201">
        <f>SUMIFS('3a Staff Plan'!$AY$129:$AY$305,'3a Staff Plan'!$DY$129:$DY$305,$IA75,'3a Staff Plan'!$DF$129:$DF$305,1)</f>
        <v>0</v>
      </c>
      <c r="AW75" s="201">
        <f>SUMIFS('3a Staff Plan'!$AZ$129:$AZ$305,'3a Staff Plan'!$DY$129:$DY$305,$IA75,'3a Staff Plan'!$DF$129:$DF$305,1)</f>
        <v>0</v>
      </c>
      <c r="AX75" s="201">
        <f>SUMIFS('3a Staff Plan'!$BA$129:$BA$305,'3a Staff Plan'!$DY$129:$DY$305,$IA75,'3a Staff Plan'!$DF$129:$DF$305,1)</f>
        <v>0</v>
      </c>
      <c r="AY75" s="201">
        <f>SUMIFS('3a Staff Plan'!$BB$129:$BB$305,'3a Staff Plan'!$DY$129:$DY$305,$IA75,'3a Staff Plan'!$DF$129:$DF$305,1)</f>
        <v>0</v>
      </c>
      <c r="AZ75" s="201"/>
      <c r="BA75" s="201">
        <f t="shared" si="229"/>
        <v>0</v>
      </c>
      <c r="BB75" s="1768"/>
      <c r="BC75" s="1768">
        <f t="shared" si="229"/>
        <v>0</v>
      </c>
      <c r="BD75" s="201"/>
      <c r="BE75" s="201">
        <f t="shared" si="230"/>
        <v>0</v>
      </c>
      <c r="BF75" s="201">
        <f t="shared" si="230"/>
        <v>0</v>
      </c>
      <c r="BG75" s="201">
        <f t="shared" si="230"/>
        <v>0</v>
      </c>
      <c r="BH75" s="201">
        <f t="shared" si="230"/>
        <v>0</v>
      </c>
      <c r="BI75" s="201">
        <f t="shared" si="230"/>
        <v>0</v>
      </c>
      <c r="BJ75" s="201">
        <f t="shared" si="230"/>
        <v>0</v>
      </c>
      <c r="BK75" s="201">
        <f t="shared" si="230"/>
        <v>0</v>
      </c>
      <c r="BL75" s="201">
        <f t="shared" si="230"/>
        <v>0</v>
      </c>
      <c r="BM75" s="201">
        <f t="shared" si="230"/>
        <v>0</v>
      </c>
      <c r="BN75" s="201">
        <f t="shared" si="230"/>
        <v>0</v>
      </c>
      <c r="BO75" s="201"/>
      <c r="BP75" s="1818">
        <f t="shared" si="146"/>
        <v>12</v>
      </c>
      <c r="BQ75" s="1818">
        <f>IFERROR(INDEX('3b Activity Plan'!$DJ$15:$FH$15,BP75),0)</f>
        <v>0</v>
      </c>
      <c r="BR75" s="1768"/>
      <c r="BS75" s="1768">
        <f>IFERROR(INDEX('3b Activity Plan'!$DJ$16:$FH$16,BP75),0)</f>
        <v>0</v>
      </c>
      <c r="BT75" s="201"/>
      <c r="BU75" s="201">
        <f>IFERROR(INDEX('3b Activity Plan'!$DJ$67:$FH$67,$V75),0)</f>
        <v>0</v>
      </c>
      <c r="BV75" s="201">
        <f>IFERROR(INDEX('3b Activity Plan'!$DJ$68:$FH$68,$V75),0)</f>
        <v>0</v>
      </c>
      <c r="BW75" s="201">
        <f>IFERROR(INDEX('3b Activity Plan'!$DJ$69:$FH$69,$V75),0)</f>
        <v>0</v>
      </c>
      <c r="BX75" s="201">
        <f>IFERROR(INDEX('3b Activity Plan'!$DJ$70:$FH$70,$V75),0)</f>
        <v>0</v>
      </c>
      <c r="BY75" s="201">
        <f>IFERROR(INDEX('3b Activity Plan'!$DJ$71:$FH$71,$V75),0)</f>
        <v>0</v>
      </c>
      <c r="BZ75" s="201">
        <f>IFERROR(INDEX('3b Activity Plan'!$DJ$72:$FH$72,$V75),0)</f>
        <v>0</v>
      </c>
      <c r="CA75" s="201">
        <f>IFERROR(INDEX('3b Activity Plan'!$DJ$73:$FH$73,$V75),0)</f>
        <v>0</v>
      </c>
      <c r="CB75" s="201">
        <f>IFERROR(INDEX('3b Activity Plan'!$DJ$74:$FH$74,$V75),0)</f>
        <v>0</v>
      </c>
      <c r="CC75" s="201">
        <f>IFERROR(INDEX('3b Activity Plan'!$DJ$75:$FH$75,$V75),0)</f>
        <v>0</v>
      </c>
      <c r="CD75" s="201">
        <f>IFERROR(INDEX('3b Activity Plan'!$DJ$76:$FH$76,$V75),0)</f>
        <v>0</v>
      </c>
      <c r="CE75" s="201"/>
      <c r="CF75" s="1818">
        <f>SUMIFS('3a Staff Plan'!$AR$129:$AR$305,'3a Staff Plan'!$DY$129:$DY$305,$IA75,'3a Staff Plan'!$AG$129:$AG$305,1,'3a Staff Plan'!$DF$129:$DF$305,1)</f>
        <v>0</v>
      </c>
      <c r="CG75" s="1768">
        <f>SUMIFS('3a Staff Plan'!$AR$129:$AR$305,'3a Staff Plan'!$DY$129:$DY$305,$IA75,'3a Staff Plan'!$AG$129:$AG$305,1,'3a Staff Plan'!$CX$129:$CX$305,1)</f>
        <v>0</v>
      </c>
      <c r="CH75" s="1768">
        <f>SUMIFS('3a Staff Plan'!$AR$129:$AR$305,'3a Staff Plan'!$DY$129:$DY$305,$IA75,'3a Staff Plan'!$AG$129:$AG$305,1,'3a Staff Plan'!$CV$129:$CV$305,1)</f>
        <v>0</v>
      </c>
      <c r="CI75" s="201"/>
      <c r="CJ75" s="201">
        <f>SUMIFS('3a Staff Plan'!$BX$129:$BX$305,'3a Staff Plan'!$DY$129:$DY$305,$IA75,'3a Staff Plan'!$DF$129:$DF$305,1,'3a Staff Plan'!$AG$129:$AG$305,1)</f>
        <v>0</v>
      </c>
      <c r="CK75" s="201">
        <f>SUMIFS('3a Staff Plan'!$BY$129:$BY$305,'3a Staff Plan'!$DY$129:$DY$305,$IA75,'3a Staff Plan'!$DF$129:$DF$305,1,'3a Staff Plan'!$AG$129:$AG$305,1)</f>
        <v>0</v>
      </c>
      <c r="CL75" s="201">
        <f>SUMIFS('3a Staff Plan'!$BZ$129:$BZ$305,'3a Staff Plan'!$DY$129:$DY$305,$IA75,'3a Staff Plan'!$DF$129:$DF$305,1,'3a Staff Plan'!$AG$129:$AG$305,1)</f>
        <v>0</v>
      </c>
      <c r="CM75" s="201">
        <f>SUMIFS('3a Staff Plan'!$CA$129:$CA$305,'3a Staff Plan'!$DY$129:$DY$305,$IA75,'3a Staff Plan'!$DF$129:$DF$305,1,'3a Staff Plan'!$AG$129:$AG$305,1)</f>
        <v>0</v>
      </c>
      <c r="CN75" s="201">
        <f>SUMIFS('3a Staff Plan'!$CB$129:$CB$305,'3a Staff Plan'!$DY$129:$DY$305,$IA75,'3a Staff Plan'!$DF$129:$DF$305,1,'3a Staff Plan'!$AG$129:$AG$305,1)</f>
        <v>0</v>
      </c>
      <c r="CO75" s="201">
        <f>SUMIFS('3a Staff Plan'!$CC$129:$CC$305,'3a Staff Plan'!$DY$129:$DY$305,$IA75,'3a Staff Plan'!$DF$129:$DF$305,1,'3a Staff Plan'!$AG$129:$AG$305,1)</f>
        <v>0</v>
      </c>
      <c r="CP75" s="201">
        <f>SUMIFS('3a Staff Plan'!$CD$129:$CD$305,'3a Staff Plan'!$DY$129:$DY$305,$IA75,'3a Staff Plan'!$DF$129:$DF$305,1,'3a Staff Plan'!$AG$129:$AG$305,1)</f>
        <v>0</v>
      </c>
      <c r="CQ75" s="201">
        <f>SUMIFS('3a Staff Plan'!$CE$129:$CE$305,'3a Staff Plan'!$DY$129:$DY$305,$IA75,'3a Staff Plan'!$DF$129:$DF$305,1,'3a Staff Plan'!$AG$129:$AG$305,1)</f>
        <v>0</v>
      </c>
      <c r="CR75" s="201">
        <f>SUMIFS('3a Staff Plan'!$CF$129:$CF$305,'3a Staff Plan'!$DY$129:$DY$305,$IA75,'3a Staff Plan'!$DF$129:$DF$305,1,'3a Staff Plan'!$AG$129:$AG$305,1)</f>
        <v>0</v>
      </c>
      <c r="CS75" s="201">
        <f>SUMIFS('3a Staff Plan'!$CG$129:$CG$305,'3a Staff Plan'!$DY$129:$DY$305,$IA75,'3a Staff Plan'!$DF$129:$DF$305,1,'3a Staff Plan'!$AG$129:$AG$305,1)</f>
        <v>0</v>
      </c>
      <c r="CT75" s="201"/>
      <c r="CU75" s="1818">
        <f t="shared" si="231"/>
        <v>0</v>
      </c>
      <c r="CV75" s="1768"/>
      <c r="CW75" s="1768">
        <f t="shared" si="231"/>
        <v>0</v>
      </c>
      <c r="CX75" s="201"/>
      <c r="CY75" s="201">
        <f t="shared" si="232"/>
        <v>0</v>
      </c>
      <c r="CZ75" s="201">
        <f t="shared" si="232"/>
        <v>0</v>
      </c>
      <c r="DA75" s="201">
        <f t="shared" si="232"/>
        <v>0</v>
      </c>
      <c r="DB75" s="201">
        <f t="shared" si="232"/>
        <v>0</v>
      </c>
      <c r="DC75" s="201">
        <f t="shared" si="232"/>
        <v>0</v>
      </c>
      <c r="DD75" s="201">
        <f t="shared" si="232"/>
        <v>0</v>
      </c>
      <c r="DE75" s="201">
        <f t="shared" si="232"/>
        <v>0</v>
      </c>
      <c r="DF75" s="201">
        <f t="shared" si="232"/>
        <v>0</v>
      </c>
      <c r="DG75" s="201">
        <f t="shared" si="232"/>
        <v>0</v>
      </c>
      <c r="DH75" s="201">
        <f t="shared" si="232"/>
        <v>0</v>
      </c>
      <c r="DI75" s="201"/>
      <c r="DJ75" s="201"/>
      <c r="DK75" s="201"/>
      <c r="DL75" s="201"/>
      <c r="DM75" s="372">
        <f t="shared" ca="1" si="37"/>
        <v>0</v>
      </c>
      <c r="DN75" s="1185">
        <f t="shared" si="38"/>
        <v>0</v>
      </c>
      <c r="DO75" s="1185">
        <f t="shared" si="39"/>
        <v>0</v>
      </c>
      <c r="DP75" s="201"/>
      <c r="DQ75" s="372">
        <f t="shared" ca="1" si="40"/>
        <v>0</v>
      </c>
      <c r="DR75" s="1185">
        <f t="shared" si="41"/>
        <v>0</v>
      </c>
      <c r="DS75" s="1185">
        <f t="shared" si="42"/>
        <v>0</v>
      </c>
      <c r="DT75" s="201"/>
      <c r="DU75" s="372">
        <f t="shared" ca="1" si="233"/>
        <v>0</v>
      </c>
      <c r="DV75" s="372">
        <f t="shared" si="233"/>
        <v>0</v>
      </c>
      <c r="DW75" s="372">
        <f t="shared" si="233"/>
        <v>0</v>
      </c>
      <c r="DX75" s="201"/>
      <c r="DY75" s="372">
        <f t="shared" si="44"/>
        <v>0</v>
      </c>
      <c r="DZ75" s="372">
        <f t="shared" ca="1" si="45"/>
        <v>0</v>
      </c>
      <c r="EA75" s="201"/>
      <c r="EB75" s="2776">
        <f>IF(EO75=$EO$53,1,IFERROR(INDEX('Currency Data'!$L$8:$L$41,MATCH(EO75,'Currency Data'!$H$8:$H$41,0)),1))</f>
        <v>1</v>
      </c>
      <c r="EC75" s="2776">
        <f t="shared" si="147"/>
        <v>1</v>
      </c>
      <c r="ED75" s="428">
        <f>IF(GQ75=1,'1 Setup'!$T$68,IF(ISBLANK(IJ75),II75/EC75*IF(GL75=1,$ED$53,1),IJ75/EC75)*IF($EW75=7,JW75,1))</f>
        <v>0</v>
      </c>
      <c r="EE75" s="428">
        <f t="shared" si="46"/>
        <v>0</v>
      </c>
      <c r="EF75" s="428"/>
      <c r="EG75" s="1965" t="str">
        <f t="shared" si="148"/>
        <v>031500 - Highways UK</v>
      </c>
      <c r="EH75" s="201">
        <f t="shared" si="149"/>
        <v>1</v>
      </c>
      <c r="EI75" s="445" t="str">
        <f>IF(EH75=1,$EI$53,IF(GQ75=1,$GQ$55,IFERROR(IF($EG75=$EG$53,$EI$53,INDEX('PU List'!$G$6:$G$413,MATCH($EG75,'PU List'!$D$6:$D$413,0))),$EI$53)))</f>
        <v>GB - BIAF</v>
      </c>
      <c r="EJ75" s="2773" t="str">
        <f t="shared" si="150"/>
        <v>GB - BIAF</v>
      </c>
      <c r="EK75" s="1768"/>
      <c r="EL75" s="3283">
        <f>IF(OR(EW75&gt;7,$EL$53=0),0,IF(EJ75=$EI$53,$EL$53,IFERROR(INDEX('Fringe Data'!$U$8:$U$129,MATCH($EJ75,'Fringe Data'!$F$8:$F$129,0)),0)))</f>
        <v>1.73</v>
      </c>
      <c r="EM75" s="372">
        <f t="shared" si="47"/>
        <v>0</v>
      </c>
      <c r="EN75" s="201" t="str">
        <f>IFERROR(INDEX('Fringe Data'!$G$8:$G$64,MATCH($EJ75,'Fringe Data'!$F$8:$F$64,0)),$EO$53)</f>
        <v>GBP</v>
      </c>
      <c r="EO75" s="201" t="str">
        <f t="shared" si="151"/>
        <v>GBP</v>
      </c>
      <c r="EP75" s="201">
        <f>IF(EI75=$EI$53,$EP$49,IF(GP75=1,0,IFERROR(INDEX('Fringe Data'!$K$8:$K$64,MATCH($EI75,'Fringe Data'!$F$8:$F$64,0)),0)))</f>
        <v>0.52</v>
      </c>
      <c r="EQ75" s="201">
        <f>IF(EI75=$EI$53,$EQ$49,IF(GP75=1,0,IFERROR(INDEX('Fringe Data'!$L$8:$L$64,MATCH($EI75,'Fringe Data'!$F$8:$F$64,0)),0)))</f>
        <v>1.8499999999999999E-2</v>
      </c>
      <c r="ER75" s="201">
        <f>IF(EI75=$EI$53,$ER$49,IF(GP75=1,0,IFERROR(INDEX('Fringe Data'!$M$8:$M$64,MATCH($EI75,'Fringe Data'!$F$8:$F$64,0)),0)))</f>
        <v>0.43430000000000002</v>
      </c>
      <c r="ES75" s="201">
        <f>IF(EI75=$EI$53,$ES$49,IF(GP75=1,0,IFERROR(INDEX('Fringe Data'!$N$8:$N$64,MATCH($EI75,'Fringe Data'!$F$8:$F$64,0)),0)))</f>
        <v>0.1565</v>
      </c>
      <c r="ET75" s="201">
        <f>IF(EI75=$EI$53,$ET$49,IF(GP75=1,0,IFERROR(INDEX('Fringe Data'!$O$8:$O$64,MATCH($EI75,'Fringe Data'!$F$8:$F$64,0)),0)))</f>
        <v>0.33450000000000002</v>
      </c>
      <c r="EU75" s="263">
        <f>IF(EI75=$EI$53,$EU$49,IF(GP75=1,0,IFERROR(INDEX('Fringe Data'!$P$8:$P$64,MATCH($EI75,'Fringe Data'!$F$8:$F$64,0)),0)))</f>
        <v>0.1565</v>
      </c>
      <c r="EV75" s="201"/>
      <c r="EW75" s="1530">
        <f t="shared" si="48"/>
        <v>1</v>
      </c>
      <c r="EX75" s="1534">
        <f t="shared" si="152"/>
        <v>0.52</v>
      </c>
      <c r="EY75" s="321">
        <f t="shared" si="153"/>
        <v>0</v>
      </c>
      <c r="EZ75" s="201">
        <f t="shared" si="154"/>
        <v>0</v>
      </c>
      <c r="FA75" s="372">
        <f t="shared" si="49"/>
        <v>0</v>
      </c>
      <c r="FB75" s="372">
        <f t="shared" si="50"/>
        <v>0</v>
      </c>
      <c r="FC75" s="201">
        <f t="shared" ca="1" si="155"/>
        <v>0</v>
      </c>
      <c r="FD75" s="423">
        <f t="shared" si="51"/>
        <v>0</v>
      </c>
      <c r="FE75" s="423">
        <f t="shared" si="52"/>
        <v>0</v>
      </c>
      <c r="FF75" s="201">
        <f t="shared" si="156"/>
        <v>0</v>
      </c>
      <c r="FG75" s="425">
        <f>IF(OR($FJ$52=3,$FJ$52=4,$FJ$52=5),'1 Setup'!$W$96,0)</f>
        <v>0</v>
      </c>
      <c r="FH75" s="428">
        <f>IF($FJ$52=5,'1 Setup'!$W$98,IF($FJ$52=6,'1 Setup'!$S$86,0))</f>
        <v>0</v>
      </c>
      <c r="FI75" s="321">
        <f t="shared" ca="1" si="53"/>
        <v>0</v>
      </c>
      <c r="FJ75" s="263">
        <f t="shared" ca="1" si="157"/>
        <v>0</v>
      </c>
      <c r="FK75" s="372">
        <f t="shared" ca="1" si="54"/>
        <v>0</v>
      </c>
      <c r="FL75" s="372">
        <f t="shared" si="55"/>
        <v>0</v>
      </c>
      <c r="FM75" s="372">
        <f t="shared" si="56"/>
        <v>0</v>
      </c>
      <c r="FN75" s="2036">
        <f t="shared" ca="1" si="57"/>
        <v>0</v>
      </c>
      <c r="FO75" s="372">
        <f ca="1">$BA75*FN75</f>
        <v>0</v>
      </c>
      <c r="FP75" s="2723">
        <f t="shared" si="158"/>
        <v>0</v>
      </c>
      <c r="FQ75" s="372">
        <f t="shared" si="59"/>
        <v>0</v>
      </c>
      <c r="FR75" s="372">
        <f t="shared" si="159"/>
        <v>0</v>
      </c>
      <c r="FS75" s="1168"/>
      <c r="FT75" s="1168">
        <f t="shared" si="60"/>
        <v>0</v>
      </c>
      <c r="FU75" s="1168">
        <f t="shared" si="61"/>
        <v>0</v>
      </c>
      <c r="FV75" s="1168">
        <f t="shared" si="62"/>
        <v>0</v>
      </c>
      <c r="FW75" s="1168">
        <f t="shared" si="63"/>
        <v>0</v>
      </c>
      <c r="FX75" s="1168">
        <f t="shared" si="64"/>
        <v>0</v>
      </c>
      <c r="FY75" s="1168">
        <f t="shared" si="65"/>
        <v>0</v>
      </c>
      <c r="FZ75" s="1168">
        <f t="shared" si="66"/>
        <v>0</v>
      </c>
      <c r="GA75" s="1168">
        <f t="shared" si="67"/>
        <v>0</v>
      </c>
      <c r="GB75" s="1168">
        <f t="shared" si="68"/>
        <v>0</v>
      </c>
      <c r="GC75" s="1168">
        <f t="shared" si="69"/>
        <v>0</v>
      </c>
      <c r="GD75" s="1168"/>
      <c r="GE75" s="199"/>
      <c r="GF75" s="201">
        <f t="shared" si="70"/>
        <v>0</v>
      </c>
      <c r="GG75" s="201">
        <f t="shared" si="71"/>
        <v>0</v>
      </c>
      <c r="GH75" s="201">
        <f t="shared" si="72"/>
        <v>0</v>
      </c>
      <c r="GI75" s="201">
        <f t="shared" ca="1" si="160"/>
        <v>0</v>
      </c>
      <c r="GJ75" s="201">
        <f t="shared" si="73"/>
        <v>0</v>
      </c>
      <c r="GK75" s="201">
        <f t="shared" si="74"/>
        <v>0</v>
      </c>
      <c r="GL75" s="201">
        <f t="shared" si="75"/>
        <v>1</v>
      </c>
      <c r="GM75" s="201">
        <f t="shared" si="76"/>
        <v>1</v>
      </c>
      <c r="GN75" s="201"/>
      <c r="GO75" s="201"/>
      <c r="GP75" s="201">
        <f t="shared" si="77"/>
        <v>0</v>
      </c>
      <c r="GQ75" s="201">
        <f t="shared" si="78"/>
        <v>0</v>
      </c>
      <c r="GR75" s="201">
        <f t="shared" si="161"/>
        <v>0</v>
      </c>
      <c r="GS75" s="1768"/>
      <c r="GT75" s="201">
        <f t="shared" si="79"/>
        <v>1</v>
      </c>
      <c r="GU75" s="201">
        <f t="shared" si="193"/>
        <v>12</v>
      </c>
      <c r="GV75" s="201">
        <f t="shared" si="80"/>
        <v>0</v>
      </c>
      <c r="GW75" s="201">
        <f t="shared" si="81"/>
        <v>3</v>
      </c>
      <c r="GX75" s="201">
        <f t="shared" si="162"/>
        <v>0</v>
      </c>
      <c r="GY75" s="1998"/>
      <c r="GZ75" s="253"/>
      <c r="HA75" s="195">
        <f t="shared" si="163"/>
        <v>0</v>
      </c>
      <c r="HB75" s="3558">
        <f t="shared" si="82"/>
        <v>0</v>
      </c>
      <c r="HC75" s="3590"/>
      <c r="HD75" s="257" t="str">
        <f t="shared" si="83"/>
        <v/>
      </c>
      <c r="HE75" s="825">
        <f t="shared" si="84"/>
        <v>0</v>
      </c>
      <c r="HF75" s="506" t="s">
        <v>5</v>
      </c>
      <c r="HG75" s="508">
        <f t="shared" ca="1" si="85"/>
        <v>0</v>
      </c>
      <c r="HH75" s="3585">
        <f t="shared" si="86"/>
        <v>0</v>
      </c>
      <c r="HI75" s="3586"/>
      <c r="HJ75" s="504">
        <f ca="1">HG75-HH75</f>
        <v>0</v>
      </c>
      <c r="HK75" s="456">
        <f ca="1">IF(HG75&lt;0.1,0,IFERROR(HJ75/HG75,0))</f>
        <v>0</v>
      </c>
      <c r="HL75" s="3591">
        <f ca="1">IFERROR(HJ75/HE75,0)</f>
        <v>0</v>
      </c>
      <c r="HM75" s="3592"/>
      <c r="HN75" s="240"/>
      <c r="HO75" s="1998"/>
      <c r="HP75" s="1991"/>
      <c r="HQ75" s="2770" t="str">
        <f t="shared" si="90"/>
        <v>GB - BIAF</v>
      </c>
      <c r="HR75" s="2770" t="str">
        <f t="shared" si="91"/>
        <v>GBP</v>
      </c>
      <c r="HS75" s="2771">
        <f t="shared" si="92"/>
        <v>1</v>
      </c>
      <c r="HT75" s="3623"/>
      <c r="HU75" s="2771">
        <f t="shared" si="93"/>
        <v>1.73</v>
      </c>
      <c r="HW75" s="1218"/>
      <c r="HX75" s="520"/>
      <c r="HY75" s="2523"/>
      <c r="HZ75" s="194"/>
      <c r="IA75" s="1013"/>
      <c r="IB75" s="193"/>
      <c r="IC75" s="3276">
        <v>12</v>
      </c>
      <c r="ID75" s="986"/>
      <c r="IE75" s="938">
        <f t="shared" si="164"/>
        <v>0</v>
      </c>
      <c r="IF75" s="938">
        <f t="shared" si="165"/>
        <v>0</v>
      </c>
      <c r="IG75" s="432"/>
      <c r="II75" s="405"/>
      <c r="IJ75" s="239"/>
      <c r="IK75" s="2774" t="str">
        <f t="shared" si="166"/>
        <v>GBP</v>
      </c>
      <c r="IL75" s="2148"/>
      <c r="IM75" s="1936">
        <f t="shared" si="94"/>
        <v>0</v>
      </c>
      <c r="IO75" s="1959" t="str">
        <f t="shared" si="95"/>
        <v/>
      </c>
      <c r="IP75" s="1958"/>
      <c r="IQ75" s="543">
        <f t="shared" si="96"/>
        <v>0.52</v>
      </c>
      <c r="IR75" s="1936">
        <f t="shared" si="97"/>
        <v>0</v>
      </c>
      <c r="IT75" s="1364"/>
      <c r="IU75" s="210"/>
      <c r="IV75" s="218"/>
      <c r="IW75" s="1938">
        <f ca="1">IF(NOT(ISBLANK(IU75)),IU75,IF('1 Setup'!$G$8&lt;7,JK75,FJ75))+KA75</f>
        <v>0</v>
      </c>
      <c r="IX75" s="409">
        <f t="shared" si="98"/>
        <v>0</v>
      </c>
      <c r="IY75" s="408">
        <f t="shared" si="99"/>
        <v>0</v>
      </c>
      <c r="IZ75" s="1983"/>
      <c r="JA75" s="1994"/>
      <c r="JB75" s="1991"/>
      <c r="JD75" s="2029">
        <f t="shared" si="167"/>
        <v>0</v>
      </c>
      <c r="JE75" s="479"/>
      <c r="JF75" s="2025">
        <f t="shared" si="100"/>
        <v>0</v>
      </c>
      <c r="JG75" s="429">
        <f t="shared" si="101"/>
        <v>0</v>
      </c>
      <c r="JH75" s="1667">
        <f t="shared" si="102"/>
        <v>0</v>
      </c>
      <c r="JJ75" s="1163">
        <f t="shared" ca="1" si="103"/>
        <v>0</v>
      </c>
      <c r="JK75" s="1163">
        <f t="shared" ca="1" si="104"/>
        <v>0</v>
      </c>
      <c r="JL75" s="1795"/>
      <c r="JN75" s="2505"/>
      <c r="JO75" s="1161"/>
      <c r="JP75" s="571">
        <f t="shared" ca="1" si="105"/>
        <v>0</v>
      </c>
      <c r="JQ75" s="2506"/>
      <c r="JR75" s="1953"/>
      <c r="JS75" s="2650"/>
      <c r="JT75" s="2507"/>
      <c r="JU75" s="1964">
        <f t="shared" si="106"/>
        <v>0.33450000000000002</v>
      </c>
      <c r="JV75" s="3199"/>
      <c r="JW75" s="2649">
        <f t="shared" si="107"/>
        <v>1.5</v>
      </c>
      <c r="JX75" s="1964">
        <f t="shared" si="168"/>
        <v>0.1565</v>
      </c>
      <c r="JY75" s="3199"/>
      <c r="JZ75" s="2649">
        <f t="shared" si="169"/>
        <v>0</v>
      </c>
      <c r="KA75" s="2649">
        <f t="shared" si="170"/>
        <v>0</v>
      </c>
      <c r="KB75" s="2649" t="s">
        <v>111</v>
      </c>
      <c r="KC75" s="1983"/>
      <c r="KD75" s="1974"/>
      <c r="KE75" s="1991"/>
      <c r="KF75" s="2029">
        <f t="shared" si="171"/>
        <v>0</v>
      </c>
      <c r="KG75" s="1991"/>
      <c r="KH75" s="2121">
        <f t="shared" si="108"/>
        <v>0</v>
      </c>
      <c r="KI75" s="2130">
        <f t="shared" si="109"/>
        <v>0</v>
      </c>
      <c r="KJ75" s="2130">
        <f t="shared" si="110"/>
        <v>0</v>
      </c>
      <c r="KK75" s="2130">
        <f t="shared" si="111"/>
        <v>0</v>
      </c>
      <c r="KL75" s="2131">
        <f t="shared" si="112"/>
        <v>0</v>
      </c>
      <c r="KM75" s="2132">
        <f t="shared" si="113"/>
        <v>0</v>
      </c>
      <c r="KN75" s="2132">
        <f t="shared" si="114"/>
        <v>0</v>
      </c>
      <c r="KO75" s="2132">
        <f t="shared" si="115"/>
        <v>0</v>
      </c>
      <c r="KP75" s="2132">
        <f t="shared" si="116"/>
        <v>0</v>
      </c>
      <c r="KQ75" s="2133">
        <f t="shared" si="117"/>
        <v>0</v>
      </c>
      <c r="KS75" s="2253">
        <f t="shared" si="118"/>
        <v>0</v>
      </c>
      <c r="KT75" s="2270">
        <f t="shared" ref="KT75:LB75" si="238">KS75*(1+(KT$60))</f>
        <v>0</v>
      </c>
      <c r="KU75" s="2271">
        <f t="shared" si="238"/>
        <v>0</v>
      </c>
      <c r="KV75" s="2271">
        <f t="shared" si="238"/>
        <v>0</v>
      </c>
      <c r="KW75" s="2272">
        <f t="shared" si="238"/>
        <v>0</v>
      </c>
      <c r="KX75" s="2271">
        <f t="shared" si="238"/>
        <v>0</v>
      </c>
      <c r="KY75" s="2271">
        <f t="shared" si="238"/>
        <v>0</v>
      </c>
      <c r="KZ75" s="2271">
        <f t="shared" si="238"/>
        <v>0</v>
      </c>
      <c r="LA75" s="2271">
        <f t="shared" si="238"/>
        <v>0</v>
      </c>
      <c r="LB75" s="2273">
        <f t="shared" si="238"/>
        <v>0</v>
      </c>
      <c r="LC75" s="272"/>
      <c r="LD75" s="2124">
        <f t="shared" si="120"/>
        <v>0</v>
      </c>
      <c r="LE75" s="2093">
        <f t="shared" si="121"/>
        <v>0</v>
      </c>
      <c r="LF75" s="2093">
        <f t="shared" si="122"/>
        <v>0</v>
      </c>
      <c r="LG75" s="2093">
        <f t="shared" si="123"/>
        <v>0</v>
      </c>
      <c r="LH75" s="2094">
        <f t="shared" si="124"/>
        <v>0</v>
      </c>
      <c r="LI75" s="2095">
        <f t="shared" si="125"/>
        <v>0</v>
      </c>
      <c r="LJ75" s="2095">
        <f t="shared" si="126"/>
        <v>0</v>
      </c>
      <c r="LK75" s="2095">
        <f t="shared" si="127"/>
        <v>0</v>
      </c>
      <c r="LL75" s="2095">
        <f t="shared" si="128"/>
        <v>0</v>
      </c>
      <c r="LM75" s="2096">
        <f t="shared" si="129"/>
        <v>0</v>
      </c>
      <c r="LN75" s="749"/>
      <c r="LO75" s="2256">
        <f t="shared" ca="1" si="130"/>
        <v>0</v>
      </c>
      <c r="LP75" s="2270">
        <f t="shared" ca="1" si="131"/>
        <v>0</v>
      </c>
      <c r="LQ75" s="2271">
        <f t="shared" ca="1" si="132"/>
        <v>0</v>
      </c>
      <c r="LR75" s="2271">
        <f t="shared" ca="1" si="133"/>
        <v>0</v>
      </c>
      <c r="LS75" s="2272">
        <f t="shared" ca="1" si="134"/>
        <v>0</v>
      </c>
      <c r="LT75" s="2271">
        <f t="shared" ca="1" si="135"/>
        <v>0</v>
      </c>
      <c r="LU75" s="2271">
        <f t="shared" ca="1" si="136"/>
        <v>0</v>
      </c>
      <c r="LV75" s="2271">
        <f t="shared" ca="1" si="137"/>
        <v>0</v>
      </c>
      <c r="LW75" s="2271">
        <f t="shared" ca="1" si="138"/>
        <v>0</v>
      </c>
      <c r="LX75" s="2273">
        <f t="shared" ca="1" si="139"/>
        <v>0</v>
      </c>
      <c r="LY75" s="479"/>
      <c r="LZ75" s="3128">
        <f t="shared" ca="1" si="173"/>
        <v>-1.73</v>
      </c>
      <c r="MA75" s="3129">
        <f t="shared" ca="1" si="174"/>
        <v>-1.73</v>
      </c>
      <c r="MB75" s="3129">
        <f t="shared" ca="1" si="175"/>
        <v>-1.73</v>
      </c>
      <c r="MC75" s="3129">
        <f t="shared" ca="1" si="176"/>
        <v>-1.73</v>
      </c>
      <c r="MD75" s="3130">
        <f t="shared" ca="1" si="177"/>
        <v>-1.73</v>
      </c>
      <c r="ME75" s="3129">
        <f t="shared" ca="1" si="178"/>
        <v>-1.73</v>
      </c>
      <c r="MF75" s="3129">
        <f t="shared" ca="1" si="179"/>
        <v>-1.73</v>
      </c>
      <c r="MG75" s="3129">
        <f t="shared" ca="1" si="180"/>
        <v>-1.73</v>
      </c>
      <c r="MH75" s="3129">
        <f t="shared" ca="1" si="181"/>
        <v>-1.73</v>
      </c>
      <c r="MI75" s="3131">
        <f t="shared" ca="1" si="182"/>
        <v>-1.73</v>
      </c>
      <c r="MJ75" s="3201"/>
      <c r="MK75" s="3206">
        <f t="shared" ca="1" si="183"/>
        <v>0</v>
      </c>
      <c r="ML75" s="3207">
        <f t="shared" ca="1" si="184"/>
        <v>0</v>
      </c>
      <c r="MM75" s="3207">
        <f t="shared" ca="1" si="185"/>
        <v>0</v>
      </c>
      <c r="MN75" s="3207">
        <f t="shared" ca="1" si="186"/>
        <v>0</v>
      </c>
      <c r="MO75" s="3208">
        <f t="shared" ca="1" si="187"/>
        <v>0</v>
      </c>
      <c r="MP75" s="3207">
        <f t="shared" ca="1" si="188"/>
        <v>0</v>
      </c>
      <c r="MQ75" s="3207">
        <f t="shared" ca="1" si="189"/>
        <v>0</v>
      </c>
      <c r="MR75" s="3207">
        <f t="shared" ca="1" si="190"/>
        <v>0</v>
      </c>
      <c r="MS75" s="3207">
        <f t="shared" ca="1" si="191"/>
        <v>0</v>
      </c>
      <c r="MT75" s="3209">
        <f t="shared" ca="1" si="192"/>
        <v>0</v>
      </c>
      <c r="MU75" s="1983"/>
      <c r="MV75" s="1975"/>
      <c r="MW75" s="1991"/>
      <c r="MX75" s="1931">
        <f t="shared" si="142"/>
        <v>0</v>
      </c>
      <c r="MY75" s="749"/>
      <c r="MZ75" s="1934">
        <f t="shared" si="143"/>
        <v>0</v>
      </c>
      <c r="NA75" s="1935"/>
      <c r="NB75" s="2652">
        <f t="shared" si="144"/>
        <v>0</v>
      </c>
      <c r="NC75" s="479"/>
      <c r="ND75" s="2749" t="str">
        <f t="shared" si="145"/>
        <v/>
      </c>
      <c r="NE75" s="2717"/>
      <c r="NF75" s="1975"/>
      <c r="NG75" s="1975"/>
      <c r="NH75" s="1975"/>
      <c r="NI75" s="1975"/>
    </row>
    <row r="76" spans="1:373" s="192" customFormat="1" ht="15.9" customHeight="1" x14ac:dyDescent="0.3">
      <c r="A76" s="200"/>
      <c r="B76" s="200"/>
      <c r="C76" s="200"/>
      <c r="D76" s="200"/>
      <c r="E76" s="200"/>
      <c r="F76" s="200"/>
      <c r="G76" s="200"/>
      <c r="H76" s="200"/>
      <c r="I76" s="200"/>
      <c r="J76" s="200"/>
      <c r="K76" s="200"/>
      <c r="L76" s="200"/>
      <c r="M76" s="200"/>
      <c r="N76" s="200"/>
      <c r="O76" s="200"/>
      <c r="P76" s="1539"/>
      <c r="Q76" s="1539"/>
      <c r="R76" s="198"/>
      <c r="S76" s="1539"/>
      <c r="T76" s="201"/>
      <c r="U76" s="200"/>
      <c r="V76" s="201">
        <f>MATCH($IC76,'3b Activity Plan'!$DJ$171:$FH$171,0)</f>
        <v>13</v>
      </c>
      <c r="W76" s="201">
        <f>IFERROR(INDEX('3b Activity Plan'!$DJ$6:$FH$6,V76),0)</f>
        <v>0</v>
      </c>
      <c r="X76" s="1768"/>
      <c r="Y76" s="1768">
        <f>IFERROR(INDEX('3b Activity Plan'!$DJ$7:$FH$7,V76),0)</f>
        <v>0</v>
      </c>
      <c r="Z76" s="201"/>
      <c r="AA76" s="201">
        <f>IFERROR(INDEX('3b Activity Plan'!$DJ$34:$FH$34,$V76),0)</f>
        <v>0</v>
      </c>
      <c r="AB76" s="201">
        <f>IFERROR(INDEX('3b Activity Plan'!$DJ$35:$FH$35,$V76),0)</f>
        <v>0</v>
      </c>
      <c r="AC76" s="201">
        <f>IFERROR(INDEX('3b Activity Plan'!$DJ$36:$FH$36,$V76),0)</f>
        <v>0</v>
      </c>
      <c r="AD76" s="201">
        <f>IFERROR(INDEX('3b Activity Plan'!$DJ$37:$FH$37,$V76),0)</f>
        <v>0</v>
      </c>
      <c r="AE76" s="201">
        <f>IFERROR(INDEX('3b Activity Plan'!$DJ$38:$FH$38,$V76),0)</f>
        <v>0</v>
      </c>
      <c r="AF76" s="201">
        <f>IFERROR(INDEX('3b Activity Plan'!$DJ$39:$FH$39,$V76),0)</f>
        <v>0</v>
      </c>
      <c r="AG76" s="201">
        <f>IFERROR(INDEX('3b Activity Plan'!$DJ$40:$FH$40,$V76),0)</f>
        <v>0</v>
      </c>
      <c r="AH76" s="201">
        <f>IFERROR(INDEX('3b Activity Plan'!$DJ$41:$FH$41,$V76),0)</f>
        <v>0</v>
      </c>
      <c r="AI76" s="201">
        <f>IFERROR(INDEX('3b Activity Plan'!$DJ$42:$FH$42,$V76),0)</f>
        <v>0</v>
      </c>
      <c r="AJ76" s="201">
        <f>IFERROR(INDEX('3b Activity Plan'!$DJ$43:$FH$43,$V76),0)</f>
        <v>0</v>
      </c>
      <c r="AK76" s="201"/>
      <c r="AL76" s="201">
        <f>SUMIFS('3a Staff Plan'!$AR$129:$AR$305,'3a Staff Plan'!$DY$129:$DY$305,$IA76,'3a Staff Plan'!$DF$129:$DF$305,1)</f>
        <v>0</v>
      </c>
      <c r="AM76" s="1768"/>
      <c r="AN76" s="1768">
        <f>SUMIFS('3a Staff Plan'!$AR$129:$AR$305,'3a Staff Plan'!$DY$129:$DY$305,$IA76,'3a Staff Plan'!$CV$129:$CV$305,1)</f>
        <v>0</v>
      </c>
      <c r="AO76" s="201"/>
      <c r="AP76" s="201">
        <f>SUMIFS('3a Staff Plan'!$AS$129:$AS$305,'3a Staff Plan'!$DY$129:$DY$305,$IA76,'3a Staff Plan'!$DF$129:$DF$305,1)</f>
        <v>0</v>
      </c>
      <c r="AQ76" s="201">
        <f>SUMIFS('3a Staff Plan'!$AT$129:$AT$305,'3a Staff Plan'!$DY$129:$DY$305,$IA76,'3a Staff Plan'!$DF$129:$DF$305,1)</f>
        <v>0</v>
      </c>
      <c r="AR76" s="201">
        <f>SUMIFS('3a Staff Plan'!$AU$129:$AU$305,'3a Staff Plan'!$DY$129:$DY$305,$IA76,'3a Staff Plan'!$DF$129:$DF$305,1)</f>
        <v>0</v>
      </c>
      <c r="AS76" s="201">
        <f>SUMIFS('3a Staff Plan'!$AV$129:$AV$305,'3a Staff Plan'!$DY$129:$DY$305,$IA76,'3a Staff Plan'!$DF$129:$DF$305,1)</f>
        <v>0</v>
      </c>
      <c r="AT76" s="201">
        <f>SUMIFS('3a Staff Plan'!$AW$129:$AW$305,'3a Staff Plan'!$DY$129:$DY$305,$IA76,'3a Staff Plan'!$DF$129:$DF$305,1)</f>
        <v>0</v>
      </c>
      <c r="AU76" s="201">
        <f>SUMIFS('3a Staff Plan'!$AX$129:$AX$305,'3a Staff Plan'!$DY$129:$DY$305,$IA76,'3a Staff Plan'!$DF$129:$DF$305,1)</f>
        <v>0</v>
      </c>
      <c r="AV76" s="201">
        <f>SUMIFS('3a Staff Plan'!$AY$129:$AY$305,'3a Staff Plan'!$DY$129:$DY$305,$IA76,'3a Staff Plan'!$DF$129:$DF$305,1)</f>
        <v>0</v>
      </c>
      <c r="AW76" s="201">
        <f>SUMIFS('3a Staff Plan'!$AZ$129:$AZ$305,'3a Staff Plan'!$DY$129:$DY$305,$IA76,'3a Staff Plan'!$DF$129:$DF$305,1)</f>
        <v>0</v>
      </c>
      <c r="AX76" s="201">
        <f>SUMIFS('3a Staff Plan'!$BA$129:$BA$305,'3a Staff Plan'!$DY$129:$DY$305,$IA76,'3a Staff Plan'!$DF$129:$DF$305,1)</f>
        <v>0</v>
      </c>
      <c r="AY76" s="201">
        <f>SUMIFS('3a Staff Plan'!$BB$129:$BB$305,'3a Staff Plan'!$DY$129:$DY$305,$IA76,'3a Staff Plan'!$DF$129:$DF$305,1)</f>
        <v>0</v>
      </c>
      <c r="AZ76" s="201"/>
      <c r="BA76" s="201">
        <f t="shared" si="198"/>
        <v>0</v>
      </c>
      <c r="BB76" s="1768"/>
      <c r="BC76" s="1768">
        <f t="shared" si="199"/>
        <v>0</v>
      </c>
      <c r="BD76" s="201"/>
      <c r="BE76" s="201">
        <f t="shared" si="200"/>
        <v>0</v>
      </c>
      <c r="BF76" s="201">
        <f t="shared" si="201"/>
        <v>0</v>
      </c>
      <c r="BG76" s="201">
        <f t="shared" si="202"/>
        <v>0</v>
      </c>
      <c r="BH76" s="201">
        <f t="shared" si="203"/>
        <v>0</v>
      </c>
      <c r="BI76" s="201">
        <f t="shared" si="204"/>
        <v>0</v>
      </c>
      <c r="BJ76" s="201">
        <f t="shared" si="205"/>
        <v>0</v>
      </c>
      <c r="BK76" s="201">
        <f t="shared" si="206"/>
        <v>0</v>
      </c>
      <c r="BL76" s="201">
        <f t="shared" si="207"/>
        <v>0</v>
      </c>
      <c r="BM76" s="201">
        <f t="shared" si="208"/>
        <v>0</v>
      </c>
      <c r="BN76" s="201">
        <f t="shared" si="209"/>
        <v>0</v>
      </c>
      <c r="BO76" s="201"/>
      <c r="BP76" s="1818">
        <f t="shared" si="146"/>
        <v>13</v>
      </c>
      <c r="BQ76" s="1818">
        <f>IFERROR(INDEX('3b Activity Plan'!$DJ$15:$FH$15,BP76),0)</f>
        <v>0</v>
      </c>
      <c r="BR76" s="1768"/>
      <c r="BS76" s="1768">
        <f>IFERROR(INDEX('3b Activity Plan'!$DJ$16:$FH$16,BP76),0)</f>
        <v>0</v>
      </c>
      <c r="BT76" s="201"/>
      <c r="BU76" s="201">
        <f>IFERROR(INDEX('3b Activity Plan'!$DJ$67:$FH$67,$V76),0)</f>
        <v>0</v>
      </c>
      <c r="BV76" s="201">
        <f>IFERROR(INDEX('3b Activity Plan'!$DJ$68:$FH$68,$V76),0)</f>
        <v>0</v>
      </c>
      <c r="BW76" s="201">
        <f>IFERROR(INDEX('3b Activity Plan'!$DJ$69:$FH$69,$V76),0)</f>
        <v>0</v>
      </c>
      <c r="BX76" s="201">
        <f>IFERROR(INDEX('3b Activity Plan'!$DJ$70:$FH$70,$V76),0)</f>
        <v>0</v>
      </c>
      <c r="BY76" s="201">
        <f>IFERROR(INDEX('3b Activity Plan'!$DJ$71:$FH$71,$V76),0)</f>
        <v>0</v>
      </c>
      <c r="BZ76" s="201">
        <f>IFERROR(INDEX('3b Activity Plan'!$DJ$72:$FH$72,$V76),0)</f>
        <v>0</v>
      </c>
      <c r="CA76" s="201">
        <f>IFERROR(INDEX('3b Activity Plan'!$DJ$73:$FH$73,$V76),0)</f>
        <v>0</v>
      </c>
      <c r="CB76" s="201">
        <f>IFERROR(INDEX('3b Activity Plan'!$DJ$74:$FH$74,$V76),0)</f>
        <v>0</v>
      </c>
      <c r="CC76" s="201">
        <f>IFERROR(INDEX('3b Activity Plan'!$DJ$75:$FH$75,$V76),0)</f>
        <v>0</v>
      </c>
      <c r="CD76" s="201">
        <f>IFERROR(INDEX('3b Activity Plan'!$DJ$76:$FH$76,$V76),0)</f>
        <v>0</v>
      </c>
      <c r="CE76" s="201"/>
      <c r="CF76" s="1818">
        <f>SUMIFS('3a Staff Plan'!$AR$129:$AR$305,'3a Staff Plan'!$DY$129:$DY$305,$IA76,'3a Staff Plan'!$AG$129:$AG$305,1,'3a Staff Plan'!$DF$129:$DF$305,1)</f>
        <v>0</v>
      </c>
      <c r="CG76" s="1768">
        <f>SUMIFS('3a Staff Plan'!$AR$129:$AR$305,'3a Staff Plan'!$DY$129:$DY$305,$IA76,'3a Staff Plan'!$AG$129:$AG$305,1,'3a Staff Plan'!$CX$129:$CX$305,1)</f>
        <v>0</v>
      </c>
      <c r="CH76" s="1768">
        <f>SUMIFS('3a Staff Plan'!$AR$129:$AR$305,'3a Staff Plan'!$DY$129:$DY$305,$IA76,'3a Staff Plan'!$AG$129:$AG$305,1,'3a Staff Plan'!$CV$129:$CV$305,1)</f>
        <v>0</v>
      </c>
      <c r="CI76" s="201"/>
      <c r="CJ76" s="201">
        <f>SUMIFS('3a Staff Plan'!$BX$129:$BX$305,'3a Staff Plan'!$DY$129:$DY$305,$IA76,'3a Staff Plan'!$DF$129:$DF$305,1,'3a Staff Plan'!$AG$129:$AG$305,1)</f>
        <v>0</v>
      </c>
      <c r="CK76" s="201">
        <f>SUMIFS('3a Staff Plan'!$BY$129:$BY$305,'3a Staff Plan'!$DY$129:$DY$305,$IA76,'3a Staff Plan'!$DF$129:$DF$305,1,'3a Staff Plan'!$AG$129:$AG$305,1)</f>
        <v>0</v>
      </c>
      <c r="CL76" s="201">
        <f>SUMIFS('3a Staff Plan'!$BZ$129:$BZ$305,'3a Staff Plan'!$DY$129:$DY$305,$IA76,'3a Staff Plan'!$DF$129:$DF$305,1,'3a Staff Plan'!$AG$129:$AG$305,1)</f>
        <v>0</v>
      </c>
      <c r="CM76" s="201">
        <f>SUMIFS('3a Staff Plan'!$CA$129:$CA$305,'3a Staff Plan'!$DY$129:$DY$305,$IA76,'3a Staff Plan'!$DF$129:$DF$305,1,'3a Staff Plan'!$AG$129:$AG$305,1)</f>
        <v>0</v>
      </c>
      <c r="CN76" s="201">
        <f>SUMIFS('3a Staff Plan'!$CB$129:$CB$305,'3a Staff Plan'!$DY$129:$DY$305,$IA76,'3a Staff Plan'!$DF$129:$DF$305,1,'3a Staff Plan'!$AG$129:$AG$305,1)</f>
        <v>0</v>
      </c>
      <c r="CO76" s="201">
        <f>SUMIFS('3a Staff Plan'!$CC$129:$CC$305,'3a Staff Plan'!$DY$129:$DY$305,$IA76,'3a Staff Plan'!$DF$129:$DF$305,1,'3a Staff Plan'!$AG$129:$AG$305,1)</f>
        <v>0</v>
      </c>
      <c r="CP76" s="201">
        <f>SUMIFS('3a Staff Plan'!$CD$129:$CD$305,'3a Staff Plan'!$DY$129:$DY$305,$IA76,'3a Staff Plan'!$DF$129:$DF$305,1,'3a Staff Plan'!$AG$129:$AG$305,1)</f>
        <v>0</v>
      </c>
      <c r="CQ76" s="201">
        <f>SUMIFS('3a Staff Plan'!$CE$129:$CE$305,'3a Staff Plan'!$DY$129:$DY$305,$IA76,'3a Staff Plan'!$DF$129:$DF$305,1,'3a Staff Plan'!$AG$129:$AG$305,1)</f>
        <v>0</v>
      </c>
      <c r="CR76" s="201">
        <f>SUMIFS('3a Staff Plan'!$CF$129:$CF$305,'3a Staff Plan'!$DY$129:$DY$305,$IA76,'3a Staff Plan'!$DF$129:$DF$305,1,'3a Staff Plan'!$AG$129:$AG$305,1)</f>
        <v>0</v>
      </c>
      <c r="CS76" s="201">
        <f>SUMIFS('3a Staff Plan'!$CG$129:$CG$305,'3a Staff Plan'!$DY$129:$DY$305,$IA76,'3a Staff Plan'!$DF$129:$DF$305,1,'3a Staff Plan'!$AG$129:$AG$305,1)</f>
        <v>0</v>
      </c>
      <c r="CT76" s="201"/>
      <c r="CU76" s="1818">
        <f t="shared" si="210"/>
        <v>0</v>
      </c>
      <c r="CV76" s="1768"/>
      <c r="CW76" s="1768">
        <f t="shared" si="211"/>
        <v>0</v>
      </c>
      <c r="CX76" s="201"/>
      <c r="CY76" s="201">
        <f t="shared" si="212"/>
        <v>0</v>
      </c>
      <c r="CZ76" s="201">
        <f t="shared" si="213"/>
        <v>0</v>
      </c>
      <c r="DA76" s="201">
        <f t="shared" si="214"/>
        <v>0</v>
      </c>
      <c r="DB76" s="201">
        <f t="shared" si="215"/>
        <v>0</v>
      </c>
      <c r="DC76" s="201">
        <f t="shared" si="216"/>
        <v>0</v>
      </c>
      <c r="DD76" s="201">
        <f t="shared" si="217"/>
        <v>0</v>
      </c>
      <c r="DE76" s="201">
        <f t="shared" si="218"/>
        <v>0</v>
      </c>
      <c r="DF76" s="201">
        <f t="shared" si="219"/>
        <v>0</v>
      </c>
      <c r="DG76" s="201">
        <f t="shared" si="220"/>
        <v>0</v>
      </c>
      <c r="DH76" s="201">
        <f t="shared" si="221"/>
        <v>0</v>
      </c>
      <c r="DI76" s="201"/>
      <c r="DJ76" s="201"/>
      <c r="DK76" s="201"/>
      <c r="DL76" s="201"/>
      <c r="DM76" s="372">
        <f t="shared" ca="1" si="37"/>
        <v>0</v>
      </c>
      <c r="DN76" s="1185">
        <f t="shared" si="38"/>
        <v>0</v>
      </c>
      <c r="DO76" s="1185">
        <f t="shared" si="39"/>
        <v>0</v>
      </c>
      <c r="DP76" s="201"/>
      <c r="DQ76" s="372">
        <f t="shared" ca="1" si="40"/>
        <v>0</v>
      </c>
      <c r="DR76" s="1185">
        <f t="shared" si="41"/>
        <v>0</v>
      </c>
      <c r="DS76" s="1185">
        <f t="shared" si="42"/>
        <v>0</v>
      </c>
      <c r="DT76" s="201"/>
      <c r="DU76" s="372">
        <f t="shared" ca="1" si="222"/>
        <v>0</v>
      </c>
      <c r="DV76" s="372">
        <f t="shared" si="223"/>
        <v>0</v>
      </c>
      <c r="DW76" s="372">
        <f t="shared" si="223"/>
        <v>0</v>
      </c>
      <c r="DX76" s="201"/>
      <c r="DY76" s="372">
        <f t="shared" si="44"/>
        <v>0</v>
      </c>
      <c r="DZ76" s="372">
        <f t="shared" ca="1" si="45"/>
        <v>0</v>
      </c>
      <c r="EA76" s="201"/>
      <c r="EB76" s="2776">
        <f>IF(EO76=$EO$53,1,IFERROR(INDEX('Currency Data'!$L$8:$L$41,MATCH(EO76,'Currency Data'!$H$8:$H$41,0)),1))</f>
        <v>1</v>
      </c>
      <c r="EC76" s="2776">
        <f t="shared" si="147"/>
        <v>1</v>
      </c>
      <c r="ED76" s="428">
        <f>IF(GQ76=1,'1 Setup'!$T$68,IF(ISBLANK(IJ76),II76/EC76*IF(GL76=1,$ED$53,1),IJ76/EC76)*IF($EW76=7,JW76,1))</f>
        <v>0</v>
      </c>
      <c r="EE76" s="428">
        <f t="shared" si="46"/>
        <v>0</v>
      </c>
      <c r="EF76" s="428"/>
      <c r="EG76" s="1965" t="str">
        <f t="shared" si="148"/>
        <v>031500 - Highways UK</v>
      </c>
      <c r="EH76" s="201">
        <f t="shared" si="149"/>
        <v>1</v>
      </c>
      <c r="EI76" s="445" t="str">
        <f>IF(EH76=1,$EI$53,IF(GQ76=1,$GQ$55,IFERROR(IF($EG76=$EG$53,$EI$53,INDEX('PU List'!$G$6:$G$413,MATCH($EG76,'PU List'!$D$6:$D$413,0))),$EI$53)))</f>
        <v>GB - BIAF</v>
      </c>
      <c r="EJ76" s="2773" t="str">
        <f t="shared" si="150"/>
        <v>GB - BIAF</v>
      </c>
      <c r="EK76" s="1768"/>
      <c r="EL76" s="3283">
        <f>IF(OR(EW76&gt;7,$EL$53=0),0,IF(EJ76=$EI$53,$EL$53,IFERROR(INDEX('Fringe Data'!$U$8:$U$129,MATCH($EJ76,'Fringe Data'!$F$8:$F$129,0)),0)))</f>
        <v>1.73</v>
      </c>
      <c r="EM76" s="372">
        <f t="shared" si="47"/>
        <v>0</v>
      </c>
      <c r="EN76" s="201" t="str">
        <f>IFERROR(INDEX('Fringe Data'!$G$8:$G$64,MATCH($EJ76,'Fringe Data'!$F$8:$F$64,0)),$EO$53)</f>
        <v>GBP</v>
      </c>
      <c r="EO76" s="201" t="str">
        <f t="shared" si="151"/>
        <v>GBP</v>
      </c>
      <c r="EP76" s="201">
        <f>IF(EI76=$EI$53,$EP$49,IF(GP76=1,0,IFERROR(INDEX('Fringe Data'!$K$8:$K$64,MATCH($EI76,'Fringe Data'!$F$8:$F$64,0)),0)))</f>
        <v>0.52</v>
      </c>
      <c r="EQ76" s="201">
        <f>IF(EI76=$EI$53,$EQ$49,IF(GP76=1,0,IFERROR(INDEX('Fringe Data'!$L$8:$L$64,MATCH($EI76,'Fringe Data'!$F$8:$F$64,0)),0)))</f>
        <v>1.8499999999999999E-2</v>
      </c>
      <c r="ER76" s="201">
        <f>IF(EI76=$EI$53,$ER$49,IF(GP76=1,0,IFERROR(INDEX('Fringe Data'!$M$8:$M$64,MATCH($EI76,'Fringe Data'!$F$8:$F$64,0)),0)))</f>
        <v>0.43430000000000002</v>
      </c>
      <c r="ES76" s="201">
        <f>IF(EI76=$EI$53,$ES$49,IF(GP76=1,0,IFERROR(INDEX('Fringe Data'!$N$8:$N$64,MATCH($EI76,'Fringe Data'!$F$8:$F$64,0)),0)))</f>
        <v>0.1565</v>
      </c>
      <c r="ET76" s="201">
        <f>IF(EI76=$EI$53,$ET$49,IF(GP76=1,0,IFERROR(INDEX('Fringe Data'!$O$8:$O$64,MATCH($EI76,'Fringe Data'!$F$8:$F$64,0)),0)))</f>
        <v>0.33450000000000002</v>
      </c>
      <c r="EU76" s="263">
        <f>IF(EI76=$EI$53,$EU$49,IF(GP76=1,0,IFERROR(INDEX('Fringe Data'!$P$8:$P$64,MATCH($EI76,'Fringe Data'!$F$8:$F$64,0)),0)))</f>
        <v>0.1565</v>
      </c>
      <c r="EV76" s="201"/>
      <c r="EW76" s="1530">
        <f t="shared" si="48"/>
        <v>1</v>
      </c>
      <c r="EX76" s="1534">
        <f t="shared" si="152"/>
        <v>0.52</v>
      </c>
      <c r="EY76" s="321">
        <f t="shared" si="153"/>
        <v>0</v>
      </c>
      <c r="EZ76" s="201">
        <f t="shared" si="154"/>
        <v>0</v>
      </c>
      <c r="FA76" s="372">
        <f t="shared" si="49"/>
        <v>0</v>
      </c>
      <c r="FB76" s="372">
        <f t="shared" si="50"/>
        <v>0</v>
      </c>
      <c r="FC76" s="201">
        <f t="shared" ca="1" si="155"/>
        <v>0</v>
      </c>
      <c r="FD76" s="423">
        <f t="shared" si="51"/>
        <v>0</v>
      </c>
      <c r="FE76" s="423">
        <f t="shared" si="52"/>
        <v>0</v>
      </c>
      <c r="FF76" s="201">
        <f t="shared" si="156"/>
        <v>0</v>
      </c>
      <c r="FG76" s="425">
        <f>IF(OR($FJ$52=3,$FJ$52=4,$FJ$52=5),'1 Setup'!$W$96,0)</f>
        <v>0</v>
      </c>
      <c r="FH76" s="428">
        <f>IF($FJ$52=5,'1 Setup'!$W$98,IF($FJ$52=6,'1 Setup'!$S$86,0))</f>
        <v>0</v>
      </c>
      <c r="FI76" s="321">
        <f t="shared" ca="1" si="53"/>
        <v>0</v>
      </c>
      <c r="FJ76" s="263">
        <f t="shared" ca="1" si="157"/>
        <v>0</v>
      </c>
      <c r="FK76" s="372">
        <f t="shared" ca="1" si="54"/>
        <v>0</v>
      </c>
      <c r="FL76" s="372">
        <f t="shared" si="55"/>
        <v>0</v>
      </c>
      <c r="FM76" s="372">
        <f t="shared" si="56"/>
        <v>0</v>
      </c>
      <c r="FN76" s="2036">
        <f t="shared" ca="1" si="57"/>
        <v>0</v>
      </c>
      <c r="FO76" s="372">
        <f t="shared" ca="1" si="224"/>
        <v>0</v>
      </c>
      <c r="FP76" s="2723">
        <f t="shared" si="158"/>
        <v>0</v>
      </c>
      <c r="FQ76" s="372">
        <f t="shared" si="59"/>
        <v>0</v>
      </c>
      <c r="FR76" s="372">
        <f t="shared" si="159"/>
        <v>0</v>
      </c>
      <c r="FS76" s="1168"/>
      <c r="FT76" s="1168">
        <f t="shared" si="60"/>
        <v>0</v>
      </c>
      <c r="FU76" s="1168">
        <f t="shared" si="61"/>
        <v>0</v>
      </c>
      <c r="FV76" s="1168">
        <f t="shared" si="62"/>
        <v>0</v>
      </c>
      <c r="FW76" s="1168">
        <f t="shared" si="63"/>
        <v>0</v>
      </c>
      <c r="FX76" s="1168">
        <f t="shared" si="64"/>
        <v>0</v>
      </c>
      <c r="FY76" s="1168">
        <f t="shared" si="65"/>
        <v>0</v>
      </c>
      <c r="FZ76" s="1168">
        <f t="shared" si="66"/>
        <v>0</v>
      </c>
      <c r="GA76" s="1168">
        <f t="shared" si="67"/>
        <v>0</v>
      </c>
      <c r="GB76" s="1168">
        <f t="shared" si="68"/>
        <v>0</v>
      </c>
      <c r="GC76" s="1168">
        <f t="shared" si="69"/>
        <v>0</v>
      </c>
      <c r="GD76" s="1168"/>
      <c r="GE76" s="199"/>
      <c r="GF76" s="201">
        <f t="shared" si="70"/>
        <v>0</v>
      </c>
      <c r="GG76" s="201">
        <f t="shared" si="71"/>
        <v>0</v>
      </c>
      <c r="GH76" s="201">
        <f t="shared" si="72"/>
        <v>0</v>
      </c>
      <c r="GI76" s="201">
        <f t="shared" ca="1" si="160"/>
        <v>0</v>
      </c>
      <c r="GJ76" s="201">
        <f t="shared" si="73"/>
        <v>0</v>
      </c>
      <c r="GK76" s="201">
        <f t="shared" si="74"/>
        <v>0</v>
      </c>
      <c r="GL76" s="201">
        <f t="shared" si="75"/>
        <v>1</v>
      </c>
      <c r="GM76" s="201">
        <f t="shared" si="76"/>
        <v>1</v>
      </c>
      <c r="GN76" s="201"/>
      <c r="GO76" s="201"/>
      <c r="GP76" s="201">
        <f t="shared" si="77"/>
        <v>0</v>
      </c>
      <c r="GQ76" s="201">
        <f t="shared" si="78"/>
        <v>0</v>
      </c>
      <c r="GR76" s="201">
        <f t="shared" si="161"/>
        <v>0</v>
      </c>
      <c r="GS76" s="1768"/>
      <c r="GT76" s="201">
        <f t="shared" si="79"/>
        <v>1</v>
      </c>
      <c r="GU76" s="201">
        <f t="shared" si="193"/>
        <v>13</v>
      </c>
      <c r="GV76" s="201">
        <f t="shared" si="80"/>
        <v>0</v>
      </c>
      <c r="GW76" s="201">
        <f t="shared" si="81"/>
        <v>3</v>
      </c>
      <c r="GX76" s="201">
        <f t="shared" si="162"/>
        <v>0</v>
      </c>
      <c r="GY76" s="1998"/>
      <c r="GZ76" s="253"/>
      <c r="HA76" s="195">
        <f t="shared" si="163"/>
        <v>0</v>
      </c>
      <c r="HB76" s="3558">
        <f t="shared" si="82"/>
        <v>0</v>
      </c>
      <c r="HC76" s="3590"/>
      <c r="HD76" s="257" t="str">
        <f t="shared" si="83"/>
        <v/>
      </c>
      <c r="HE76" s="825">
        <f t="shared" si="84"/>
        <v>0</v>
      </c>
      <c r="HF76" s="506" t="s">
        <v>5</v>
      </c>
      <c r="HG76" s="508">
        <f t="shared" ca="1" si="85"/>
        <v>0</v>
      </c>
      <c r="HH76" s="3585">
        <f t="shared" si="86"/>
        <v>0</v>
      </c>
      <c r="HI76" s="3586"/>
      <c r="HJ76" s="504">
        <f t="shared" ca="1" si="225"/>
        <v>0</v>
      </c>
      <c r="HK76" s="456">
        <f t="shared" ca="1" si="226"/>
        <v>0</v>
      </c>
      <c r="HL76" s="3591">
        <f t="shared" ca="1" si="227"/>
        <v>0</v>
      </c>
      <c r="HM76" s="3592"/>
      <c r="HN76" s="240"/>
      <c r="HO76" s="1998"/>
      <c r="HP76" s="1991"/>
      <c r="HQ76" s="2770" t="str">
        <f t="shared" si="90"/>
        <v>GB - BIAF</v>
      </c>
      <c r="HR76" s="2770" t="str">
        <f t="shared" si="91"/>
        <v>GBP</v>
      </c>
      <c r="HS76" s="2771">
        <f t="shared" si="92"/>
        <v>1</v>
      </c>
      <c r="HT76" s="3488"/>
      <c r="HU76" s="2771">
        <f t="shared" si="93"/>
        <v>1.73</v>
      </c>
      <c r="HW76" s="1218"/>
      <c r="HX76" s="520"/>
      <c r="HY76" s="2523"/>
      <c r="HZ76" s="194"/>
      <c r="IA76" s="1013"/>
      <c r="IB76" s="193"/>
      <c r="IC76" s="3276">
        <v>13</v>
      </c>
      <c r="ID76" s="986"/>
      <c r="IE76" s="938">
        <f t="shared" si="164"/>
        <v>0</v>
      </c>
      <c r="IF76" s="938">
        <f t="shared" si="165"/>
        <v>0</v>
      </c>
      <c r="IG76" s="432"/>
      <c r="II76" s="405"/>
      <c r="IJ76" s="239"/>
      <c r="IK76" s="2774" t="str">
        <f t="shared" si="166"/>
        <v>GBP</v>
      </c>
      <c r="IL76" s="2148"/>
      <c r="IM76" s="1936">
        <f t="shared" si="94"/>
        <v>0</v>
      </c>
      <c r="IO76" s="1959" t="str">
        <f t="shared" si="95"/>
        <v/>
      </c>
      <c r="IP76" s="1958"/>
      <c r="IQ76" s="543">
        <f t="shared" si="96"/>
        <v>0.52</v>
      </c>
      <c r="IR76" s="1936">
        <f t="shared" si="97"/>
        <v>0</v>
      </c>
      <c r="IT76" s="1364"/>
      <c r="IU76" s="210"/>
      <c r="IV76" s="218"/>
      <c r="IW76" s="1938">
        <f ca="1">IF(NOT(ISBLANK(IU76)),IU76,IF('1 Setup'!$G$8&lt;7,JK76,FJ76))+KA76</f>
        <v>0</v>
      </c>
      <c r="IX76" s="409">
        <f t="shared" si="98"/>
        <v>0</v>
      </c>
      <c r="IY76" s="408">
        <f t="shared" si="99"/>
        <v>0</v>
      </c>
      <c r="IZ76" s="1983"/>
      <c r="JA76" s="1994"/>
      <c r="JB76" s="1991"/>
      <c r="JD76" s="2029">
        <f t="shared" si="167"/>
        <v>0</v>
      </c>
      <c r="JE76" s="479"/>
      <c r="JF76" s="2025">
        <f t="shared" si="100"/>
        <v>0</v>
      </c>
      <c r="JG76" s="429">
        <f t="shared" si="101"/>
        <v>0</v>
      </c>
      <c r="JH76" s="1667">
        <f t="shared" si="102"/>
        <v>0</v>
      </c>
      <c r="JJ76" s="1163">
        <f t="shared" ca="1" si="103"/>
        <v>0</v>
      </c>
      <c r="JK76" s="1163">
        <f t="shared" ca="1" si="104"/>
        <v>0</v>
      </c>
      <c r="JL76" s="1795"/>
      <c r="JN76" s="2505"/>
      <c r="JO76" s="1161"/>
      <c r="JP76" s="571">
        <f t="shared" ca="1" si="105"/>
        <v>0</v>
      </c>
      <c r="JQ76" s="2506"/>
      <c r="JR76" s="1953"/>
      <c r="JS76" s="2650"/>
      <c r="JT76" s="2507"/>
      <c r="JU76" s="1964">
        <f t="shared" si="106"/>
        <v>0.33450000000000002</v>
      </c>
      <c r="JV76" s="3199"/>
      <c r="JW76" s="2649">
        <f t="shared" si="107"/>
        <v>1.5</v>
      </c>
      <c r="JX76" s="1964">
        <f t="shared" si="168"/>
        <v>0.1565</v>
      </c>
      <c r="JY76" s="3199"/>
      <c r="JZ76" s="2649">
        <f t="shared" si="169"/>
        <v>0</v>
      </c>
      <c r="KA76" s="2649">
        <f t="shared" si="170"/>
        <v>0</v>
      </c>
      <c r="KB76" s="2649" t="s">
        <v>111</v>
      </c>
      <c r="KC76" s="1983"/>
      <c r="KD76" s="1974"/>
      <c r="KE76" s="1991"/>
      <c r="KF76" s="2029">
        <f t="shared" si="171"/>
        <v>0</v>
      </c>
      <c r="KG76" s="1991"/>
      <c r="KH76" s="2121">
        <f t="shared" si="108"/>
        <v>0</v>
      </c>
      <c r="KI76" s="2130">
        <f t="shared" si="109"/>
        <v>0</v>
      </c>
      <c r="KJ76" s="2130">
        <f t="shared" si="110"/>
        <v>0</v>
      </c>
      <c r="KK76" s="2130">
        <f t="shared" si="111"/>
        <v>0</v>
      </c>
      <c r="KL76" s="2131">
        <f t="shared" si="112"/>
        <v>0</v>
      </c>
      <c r="KM76" s="2132">
        <f t="shared" si="113"/>
        <v>0</v>
      </c>
      <c r="KN76" s="2132">
        <f t="shared" si="114"/>
        <v>0</v>
      </c>
      <c r="KO76" s="2132">
        <f t="shared" si="115"/>
        <v>0</v>
      </c>
      <c r="KP76" s="2132">
        <f t="shared" si="116"/>
        <v>0</v>
      </c>
      <c r="KQ76" s="2133">
        <f t="shared" si="117"/>
        <v>0</v>
      </c>
      <c r="KS76" s="2253">
        <f t="shared" si="118"/>
        <v>0</v>
      </c>
      <c r="KT76" s="2270">
        <f t="shared" ref="KT76:LB76" si="239">KS76*(1+(KT$60))</f>
        <v>0</v>
      </c>
      <c r="KU76" s="2271">
        <f t="shared" si="239"/>
        <v>0</v>
      </c>
      <c r="KV76" s="2271">
        <f t="shared" si="239"/>
        <v>0</v>
      </c>
      <c r="KW76" s="2272">
        <f t="shared" si="239"/>
        <v>0</v>
      </c>
      <c r="KX76" s="2271">
        <f t="shared" si="239"/>
        <v>0</v>
      </c>
      <c r="KY76" s="2271">
        <f t="shared" si="239"/>
        <v>0</v>
      </c>
      <c r="KZ76" s="2271">
        <f t="shared" si="239"/>
        <v>0</v>
      </c>
      <c r="LA76" s="2271">
        <f t="shared" si="239"/>
        <v>0</v>
      </c>
      <c r="LB76" s="2273">
        <f t="shared" si="239"/>
        <v>0</v>
      </c>
      <c r="LC76" s="272"/>
      <c r="LD76" s="2124">
        <f t="shared" si="120"/>
        <v>0</v>
      </c>
      <c r="LE76" s="2093">
        <f t="shared" si="121"/>
        <v>0</v>
      </c>
      <c r="LF76" s="2093">
        <f t="shared" si="122"/>
        <v>0</v>
      </c>
      <c r="LG76" s="2093">
        <f t="shared" si="123"/>
        <v>0</v>
      </c>
      <c r="LH76" s="2094">
        <f t="shared" si="124"/>
        <v>0</v>
      </c>
      <c r="LI76" s="2095">
        <f t="shared" si="125"/>
        <v>0</v>
      </c>
      <c r="LJ76" s="2095">
        <f t="shared" si="126"/>
        <v>0</v>
      </c>
      <c r="LK76" s="2095">
        <f t="shared" si="127"/>
        <v>0</v>
      </c>
      <c r="LL76" s="2095">
        <f t="shared" si="128"/>
        <v>0</v>
      </c>
      <c r="LM76" s="2096">
        <f t="shared" si="129"/>
        <v>0</v>
      </c>
      <c r="LN76" s="749"/>
      <c r="LO76" s="2256">
        <f t="shared" ca="1" si="130"/>
        <v>0</v>
      </c>
      <c r="LP76" s="2270">
        <f t="shared" ca="1" si="131"/>
        <v>0</v>
      </c>
      <c r="LQ76" s="2271">
        <f t="shared" ca="1" si="132"/>
        <v>0</v>
      </c>
      <c r="LR76" s="2271">
        <f t="shared" ca="1" si="133"/>
        <v>0</v>
      </c>
      <c r="LS76" s="2272">
        <f t="shared" ca="1" si="134"/>
        <v>0</v>
      </c>
      <c r="LT76" s="2271">
        <f t="shared" ca="1" si="135"/>
        <v>0</v>
      </c>
      <c r="LU76" s="2271">
        <f t="shared" ca="1" si="136"/>
        <v>0</v>
      </c>
      <c r="LV76" s="2271">
        <f t="shared" ca="1" si="137"/>
        <v>0</v>
      </c>
      <c r="LW76" s="2271">
        <f t="shared" ca="1" si="138"/>
        <v>0</v>
      </c>
      <c r="LX76" s="2273">
        <f t="shared" ca="1" si="139"/>
        <v>0</v>
      </c>
      <c r="LY76" s="479"/>
      <c r="LZ76" s="3128">
        <f t="shared" ca="1" si="173"/>
        <v>-1.73</v>
      </c>
      <c r="MA76" s="3129">
        <f t="shared" ca="1" si="174"/>
        <v>-1.73</v>
      </c>
      <c r="MB76" s="3129">
        <f t="shared" ca="1" si="175"/>
        <v>-1.73</v>
      </c>
      <c r="MC76" s="3129">
        <f t="shared" ca="1" si="176"/>
        <v>-1.73</v>
      </c>
      <c r="MD76" s="3130">
        <f t="shared" ca="1" si="177"/>
        <v>-1.73</v>
      </c>
      <c r="ME76" s="3129">
        <f t="shared" ca="1" si="178"/>
        <v>-1.73</v>
      </c>
      <c r="MF76" s="3129">
        <f t="shared" ca="1" si="179"/>
        <v>-1.73</v>
      </c>
      <c r="MG76" s="3129">
        <f t="shared" ca="1" si="180"/>
        <v>-1.73</v>
      </c>
      <c r="MH76" s="3129">
        <f t="shared" ca="1" si="181"/>
        <v>-1.73</v>
      </c>
      <c r="MI76" s="3131">
        <f t="shared" ca="1" si="182"/>
        <v>-1.73</v>
      </c>
      <c r="MJ76" s="3201"/>
      <c r="MK76" s="3206">
        <f t="shared" ca="1" si="183"/>
        <v>0</v>
      </c>
      <c r="ML76" s="3207">
        <f t="shared" ca="1" si="184"/>
        <v>0</v>
      </c>
      <c r="MM76" s="3207">
        <f t="shared" ca="1" si="185"/>
        <v>0</v>
      </c>
      <c r="MN76" s="3207">
        <f t="shared" ca="1" si="186"/>
        <v>0</v>
      </c>
      <c r="MO76" s="3208">
        <f t="shared" ca="1" si="187"/>
        <v>0</v>
      </c>
      <c r="MP76" s="3207">
        <f t="shared" ca="1" si="188"/>
        <v>0</v>
      </c>
      <c r="MQ76" s="3207">
        <f t="shared" ca="1" si="189"/>
        <v>0</v>
      </c>
      <c r="MR76" s="3207">
        <f t="shared" ca="1" si="190"/>
        <v>0</v>
      </c>
      <c r="MS76" s="3207">
        <f t="shared" ca="1" si="191"/>
        <v>0</v>
      </c>
      <c r="MT76" s="3209">
        <f t="shared" ca="1" si="192"/>
        <v>0</v>
      </c>
      <c r="MU76" s="1983"/>
      <c r="MV76" s="1975"/>
      <c r="MW76" s="1991"/>
      <c r="MX76" s="1931">
        <f t="shared" si="142"/>
        <v>0</v>
      </c>
      <c r="MY76" s="749"/>
      <c r="MZ76" s="1934">
        <f t="shared" si="143"/>
        <v>0</v>
      </c>
      <c r="NA76" s="1935"/>
      <c r="NB76" s="2652">
        <f t="shared" si="144"/>
        <v>0</v>
      </c>
      <c r="NC76" s="479"/>
      <c r="ND76" s="2749" t="str">
        <f t="shared" si="145"/>
        <v/>
      </c>
      <c r="NE76" s="2717"/>
      <c r="NF76" s="1975"/>
      <c r="NG76" s="1975"/>
      <c r="NH76" s="1975"/>
      <c r="NI76" s="1975"/>
    </row>
    <row r="77" spans="1:373" s="192" customFormat="1" ht="15.9" customHeight="1" x14ac:dyDescent="0.3">
      <c r="A77" s="200"/>
      <c r="B77" s="200"/>
      <c r="C77" s="200"/>
      <c r="D77" s="200"/>
      <c r="E77" s="200"/>
      <c r="F77" s="200"/>
      <c r="G77" s="200"/>
      <c r="H77" s="200"/>
      <c r="I77" s="200"/>
      <c r="J77" s="200"/>
      <c r="K77" s="200"/>
      <c r="L77" s="200"/>
      <c r="M77" s="200"/>
      <c r="N77" s="200"/>
      <c r="O77" s="200"/>
      <c r="P77" s="1539"/>
      <c r="Q77" s="1539"/>
      <c r="R77" s="198"/>
      <c r="S77" s="1539"/>
      <c r="T77" s="201"/>
      <c r="U77" s="200"/>
      <c r="V77" s="201">
        <f>MATCH($IC77,'3b Activity Plan'!$DJ$171:$FH$171,0)</f>
        <v>14</v>
      </c>
      <c r="W77" s="201">
        <f>IFERROR(INDEX('3b Activity Plan'!$DJ$6:$FH$6,V77),0)</f>
        <v>0</v>
      </c>
      <c r="X77" s="1768"/>
      <c r="Y77" s="1768">
        <f>IFERROR(INDEX('3b Activity Plan'!$DJ$7:$FH$7,V77),0)</f>
        <v>0</v>
      </c>
      <c r="Z77" s="201"/>
      <c r="AA77" s="201">
        <f>IFERROR(INDEX('3b Activity Plan'!$DJ$34:$FH$34,$V77),0)</f>
        <v>0</v>
      </c>
      <c r="AB77" s="201">
        <f>IFERROR(INDEX('3b Activity Plan'!$DJ$35:$FH$35,$V77),0)</f>
        <v>0</v>
      </c>
      <c r="AC77" s="201">
        <f>IFERROR(INDEX('3b Activity Plan'!$DJ$36:$FH$36,$V77),0)</f>
        <v>0</v>
      </c>
      <c r="AD77" s="201">
        <f>IFERROR(INDEX('3b Activity Plan'!$DJ$37:$FH$37,$V77),0)</f>
        <v>0</v>
      </c>
      <c r="AE77" s="201">
        <f>IFERROR(INDEX('3b Activity Plan'!$DJ$38:$FH$38,$V77),0)</f>
        <v>0</v>
      </c>
      <c r="AF77" s="201">
        <f>IFERROR(INDEX('3b Activity Plan'!$DJ$39:$FH$39,$V77),0)</f>
        <v>0</v>
      </c>
      <c r="AG77" s="201">
        <f>IFERROR(INDEX('3b Activity Plan'!$DJ$40:$FH$40,$V77),0)</f>
        <v>0</v>
      </c>
      <c r="AH77" s="201">
        <f>IFERROR(INDEX('3b Activity Plan'!$DJ$41:$FH$41,$V77),0)</f>
        <v>0</v>
      </c>
      <c r="AI77" s="201">
        <f>IFERROR(INDEX('3b Activity Plan'!$DJ$42:$FH$42,$V77),0)</f>
        <v>0</v>
      </c>
      <c r="AJ77" s="201">
        <f>IFERROR(INDEX('3b Activity Plan'!$DJ$43:$FH$43,$V77),0)</f>
        <v>0</v>
      </c>
      <c r="AK77" s="201"/>
      <c r="AL77" s="201">
        <f>SUMIFS('3a Staff Plan'!$AR$129:$AR$305,'3a Staff Plan'!$DY$129:$DY$305,$IA77,'3a Staff Plan'!$DF$129:$DF$305,1)</f>
        <v>0</v>
      </c>
      <c r="AM77" s="1768"/>
      <c r="AN77" s="1768">
        <f>SUMIFS('3a Staff Plan'!$AR$129:$AR$305,'3a Staff Plan'!$DY$129:$DY$305,$IA77,'3a Staff Plan'!$CV$129:$CV$305,1)</f>
        <v>0</v>
      </c>
      <c r="AO77" s="201"/>
      <c r="AP77" s="201">
        <f>SUMIFS('3a Staff Plan'!$AS$129:$AS$305,'3a Staff Plan'!$DY$129:$DY$305,$IA77,'3a Staff Plan'!$DF$129:$DF$305,1)</f>
        <v>0</v>
      </c>
      <c r="AQ77" s="201">
        <f>SUMIFS('3a Staff Plan'!$AT$129:$AT$305,'3a Staff Plan'!$DY$129:$DY$305,$IA77,'3a Staff Plan'!$DF$129:$DF$305,1)</f>
        <v>0</v>
      </c>
      <c r="AR77" s="201">
        <f>SUMIFS('3a Staff Plan'!$AU$129:$AU$305,'3a Staff Plan'!$DY$129:$DY$305,$IA77,'3a Staff Plan'!$DF$129:$DF$305,1)</f>
        <v>0</v>
      </c>
      <c r="AS77" s="201">
        <f>SUMIFS('3a Staff Plan'!$AV$129:$AV$305,'3a Staff Plan'!$DY$129:$DY$305,$IA77,'3a Staff Plan'!$DF$129:$DF$305,1)</f>
        <v>0</v>
      </c>
      <c r="AT77" s="201">
        <f>SUMIFS('3a Staff Plan'!$AW$129:$AW$305,'3a Staff Plan'!$DY$129:$DY$305,$IA77,'3a Staff Plan'!$DF$129:$DF$305,1)</f>
        <v>0</v>
      </c>
      <c r="AU77" s="201">
        <f>SUMIFS('3a Staff Plan'!$AX$129:$AX$305,'3a Staff Plan'!$DY$129:$DY$305,$IA77,'3a Staff Plan'!$DF$129:$DF$305,1)</f>
        <v>0</v>
      </c>
      <c r="AV77" s="201">
        <f>SUMIFS('3a Staff Plan'!$AY$129:$AY$305,'3a Staff Plan'!$DY$129:$DY$305,$IA77,'3a Staff Plan'!$DF$129:$DF$305,1)</f>
        <v>0</v>
      </c>
      <c r="AW77" s="201">
        <f>SUMIFS('3a Staff Plan'!$AZ$129:$AZ$305,'3a Staff Plan'!$DY$129:$DY$305,$IA77,'3a Staff Plan'!$DF$129:$DF$305,1)</f>
        <v>0</v>
      </c>
      <c r="AX77" s="201">
        <f>SUMIFS('3a Staff Plan'!$BA$129:$BA$305,'3a Staff Plan'!$DY$129:$DY$305,$IA77,'3a Staff Plan'!$DF$129:$DF$305,1)</f>
        <v>0</v>
      </c>
      <c r="AY77" s="201">
        <f>SUMIFS('3a Staff Plan'!$BB$129:$BB$305,'3a Staff Plan'!$DY$129:$DY$305,$IA77,'3a Staff Plan'!$DF$129:$DF$305,1)</f>
        <v>0</v>
      </c>
      <c r="AZ77" s="201"/>
      <c r="BA77" s="201">
        <f t="shared" ref="BA77:BC82" si="240">(W77*$V$51)+(AL77*$AL$51)</f>
        <v>0</v>
      </c>
      <c r="BB77" s="1768"/>
      <c r="BC77" s="1768">
        <f t="shared" si="240"/>
        <v>0</v>
      </c>
      <c r="BD77" s="201"/>
      <c r="BE77" s="201">
        <f t="shared" ref="BE77:BN82" si="241">(AA77*$V$51)+(AP77*$AL$51)</f>
        <v>0</v>
      </c>
      <c r="BF77" s="201">
        <f t="shared" si="241"/>
        <v>0</v>
      </c>
      <c r="BG77" s="201">
        <f t="shared" si="241"/>
        <v>0</v>
      </c>
      <c r="BH77" s="201">
        <f t="shared" si="241"/>
        <v>0</v>
      </c>
      <c r="BI77" s="201">
        <f t="shared" si="241"/>
        <v>0</v>
      </c>
      <c r="BJ77" s="201">
        <f t="shared" si="241"/>
        <v>0</v>
      </c>
      <c r="BK77" s="201">
        <f t="shared" si="241"/>
        <v>0</v>
      </c>
      <c r="BL77" s="201">
        <f t="shared" si="241"/>
        <v>0</v>
      </c>
      <c r="BM77" s="201">
        <f t="shared" si="241"/>
        <v>0</v>
      </c>
      <c r="BN77" s="201">
        <f t="shared" si="241"/>
        <v>0</v>
      </c>
      <c r="BO77" s="201"/>
      <c r="BP77" s="1818">
        <f t="shared" si="146"/>
        <v>14</v>
      </c>
      <c r="BQ77" s="1818">
        <f>IFERROR(INDEX('3b Activity Plan'!$DJ$15:$FH$15,BP77),0)</f>
        <v>0</v>
      </c>
      <c r="BR77" s="1768"/>
      <c r="BS77" s="1768">
        <f>IFERROR(INDEX('3b Activity Plan'!$DJ$16:$FH$16,BP77),0)</f>
        <v>0</v>
      </c>
      <c r="BT77" s="201"/>
      <c r="BU77" s="201">
        <f>IFERROR(INDEX('3b Activity Plan'!$DJ$67:$FH$67,$V77),0)</f>
        <v>0</v>
      </c>
      <c r="BV77" s="201">
        <f>IFERROR(INDEX('3b Activity Plan'!$DJ$68:$FH$68,$V77),0)</f>
        <v>0</v>
      </c>
      <c r="BW77" s="201">
        <f>IFERROR(INDEX('3b Activity Plan'!$DJ$69:$FH$69,$V77),0)</f>
        <v>0</v>
      </c>
      <c r="BX77" s="201">
        <f>IFERROR(INDEX('3b Activity Plan'!$DJ$70:$FH$70,$V77),0)</f>
        <v>0</v>
      </c>
      <c r="BY77" s="201">
        <f>IFERROR(INDEX('3b Activity Plan'!$DJ$71:$FH$71,$V77),0)</f>
        <v>0</v>
      </c>
      <c r="BZ77" s="201">
        <f>IFERROR(INDEX('3b Activity Plan'!$DJ$72:$FH$72,$V77),0)</f>
        <v>0</v>
      </c>
      <c r="CA77" s="201">
        <f>IFERROR(INDEX('3b Activity Plan'!$DJ$73:$FH$73,$V77),0)</f>
        <v>0</v>
      </c>
      <c r="CB77" s="201">
        <f>IFERROR(INDEX('3b Activity Plan'!$DJ$74:$FH$74,$V77),0)</f>
        <v>0</v>
      </c>
      <c r="CC77" s="201">
        <f>IFERROR(INDEX('3b Activity Plan'!$DJ$75:$FH$75,$V77),0)</f>
        <v>0</v>
      </c>
      <c r="CD77" s="201">
        <f>IFERROR(INDEX('3b Activity Plan'!$DJ$76:$FH$76,$V77),0)</f>
        <v>0</v>
      </c>
      <c r="CE77" s="201"/>
      <c r="CF77" s="1818">
        <f>SUMIFS('3a Staff Plan'!$AR$129:$AR$305,'3a Staff Plan'!$DY$129:$DY$305,$IA77,'3a Staff Plan'!$AG$129:$AG$305,1,'3a Staff Plan'!$DF$129:$DF$305,1)</f>
        <v>0</v>
      </c>
      <c r="CG77" s="1768">
        <f>SUMIFS('3a Staff Plan'!$AR$129:$AR$305,'3a Staff Plan'!$DY$129:$DY$305,$IA77,'3a Staff Plan'!$AG$129:$AG$305,1,'3a Staff Plan'!$CX$129:$CX$305,1)</f>
        <v>0</v>
      </c>
      <c r="CH77" s="1768">
        <f>SUMIFS('3a Staff Plan'!$AR$129:$AR$305,'3a Staff Plan'!$DY$129:$DY$305,$IA77,'3a Staff Plan'!$AG$129:$AG$305,1,'3a Staff Plan'!$CV$129:$CV$305,1)</f>
        <v>0</v>
      </c>
      <c r="CI77" s="201"/>
      <c r="CJ77" s="201">
        <f>SUMIFS('3a Staff Plan'!$BX$129:$BX$305,'3a Staff Plan'!$DY$129:$DY$305,$IA77,'3a Staff Plan'!$DF$129:$DF$305,1,'3a Staff Plan'!$AG$129:$AG$305,1)</f>
        <v>0</v>
      </c>
      <c r="CK77" s="201">
        <f>SUMIFS('3a Staff Plan'!$BY$129:$BY$305,'3a Staff Plan'!$DY$129:$DY$305,$IA77,'3a Staff Plan'!$DF$129:$DF$305,1,'3a Staff Plan'!$AG$129:$AG$305,1)</f>
        <v>0</v>
      </c>
      <c r="CL77" s="201">
        <f>SUMIFS('3a Staff Plan'!$BZ$129:$BZ$305,'3a Staff Plan'!$DY$129:$DY$305,$IA77,'3a Staff Plan'!$DF$129:$DF$305,1,'3a Staff Plan'!$AG$129:$AG$305,1)</f>
        <v>0</v>
      </c>
      <c r="CM77" s="201">
        <f>SUMIFS('3a Staff Plan'!$CA$129:$CA$305,'3a Staff Plan'!$DY$129:$DY$305,$IA77,'3a Staff Plan'!$DF$129:$DF$305,1,'3a Staff Plan'!$AG$129:$AG$305,1)</f>
        <v>0</v>
      </c>
      <c r="CN77" s="201">
        <f>SUMIFS('3a Staff Plan'!$CB$129:$CB$305,'3a Staff Plan'!$DY$129:$DY$305,$IA77,'3a Staff Plan'!$DF$129:$DF$305,1,'3a Staff Plan'!$AG$129:$AG$305,1)</f>
        <v>0</v>
      </c>
      <c r="CO77" s="201">
        <f>SUMIFS('3a Staff Plan'!$CC$129:$CC$305,'3a Staff Plan'!$DY$129:$DY$305,$IA77,'3a Staff Plan'!$DF$129:$DF$305,1,'3a Staff Plan'!$AG$129:$AG$305,1)</f>
        <v>0</v>
      </c>
      <c r="CP77" s="201">
        <f>SUMIFS('3a Staff Plan'!$CD$129:$CD$305,'3a Staff Plan'!$DY$129:$DY$305,$IA77,'3a Staff Plan'!$DF$129:$DF$305,1,'3a Staff Plan'!$AG$129:$AG$305,1)</f>
        <v>0</v>
      </c>
      <c r="CQ77" s="201">
        <f>SUMIFS('3a Staff Plan'!$CE$129:$CE$305,'3a Staff Plan'!$DY$129:$DY$305,$IA77,'3a Staff Plan'!$DF$129:$DF$305,1,'3a Staff Plan'!$AG$129:$AG$305,1)</f>
        <v>0</v>
      </c>
      <c r="CR77" s="201">
        <f>SUMIFS('3a Staff Plan'!$CF$129:$CF$305,'3a Staff Plan'!$DY$129:$DY$305,$IA77,'3a Staff Plan'!$DF$129:$DF$305,1,'3a Staff Plan'!$AG$129:$AG$305,1)</f>
        <v>0</v>
      </c>
      <c r="CS77" s="201">
        <f>SUMIFS('3a Staff Plan'!$CG$129:$CG$305,'3a Staff Plan'!$DY$129:$DY$305,$IA77,'3a Staff Plan'!$DF$129:$DF$305,1,'3a Staff Plan'!$AG$129:$AG$305,1)</f>
        <v>0</v>
      </c>
      <c r="CT77" s="201"/>
      <c r="CU77" s="1818">
        <f t="shared" ref="CU77:CW82" si="242">(BQ77*$V$51)+(CF77*$AL$51)</f>
        <v>0</v>
      </c>
      <c r="CV77" s="1768"/>
      <c r="CW77" s="1768">
        <f t="shared" si="242"/>
        <v>0</v>
      </c>
      <c r="CX77" s="201"/>
      <c r="CY77" s="201">
        <f t="shared" ref="CY77:DH82" si="243">(BU77*$V$51)+(CJ77*$AL$51)</f>
        <v>0</v>
      </c>
      <c r="CZ77" s="201">
        <f t="shared" si="243"/>
        <v>0</v>
      </c>
      <c r="DA77" s="201">
        <f t="shared" si="243"/>
        <v>0</v>
      </c>
      <c r="DB77" s="201">
        <f t="shared" si="243"/>
        <v>0</v>
      </c>
      <c r="DC77" s="201">
        <f t="shared" si="243"/>
        <v>0</v>
      </c>
      <c r="DD77" s="201">
        <f t="shared" si="243"/>
        <v>0</v>
      </c>
      <c r="DE77" s="201">
        <f t="shared" si="243"/>
        <v>0</v>
      </c>
      <c r="DF77" s="201">
        <f t="shared" si="243"/>
        <v>0</v>
      </c>
      <c r="DG77" s="201">
        <f t="shared" si="243"/>
        <v>0</v>
      </c>
      <c r="DH77" s="201">
        <f t="shared" si="243"/>
        <v>0</v>
      </c>
      <c r="DI77" s="201"/>
      <c r="DJ77" s="201"/>
      <c r="DK77" s="201"/>
      <c r="DL77" s="201"/>
      <c r="DM77" s="372">
        <f t="shared" ca="1" si="37"/>
        <v>0</v>
      </c>
      <c r="DN77" s="1185">
        <f t="shared" si="38"/>
        <v>0</v>
      </c>
      <c r="DO77" s="1185">
        <f t="shared" si="39"/>
        <v>0</v>
      </c>
      <c r="DP77" s="201"/>
      <c r="DQ77" s="372">
        <f t="shared" ca="1" si="40"/>
        <v>0</v>
      </c>
      <c r="DR77" s="1185">
        <f t="shared" si="41"/>
        <v>0</v>
      </c>
      <c r="DS77" s="1185">
        <f t="shared" si="42"/>
        <v>0</v>
      </c>
      <c r="DT77" s="201"/>
      <c r="DU77" s="372">
        <f t="shared" ref="DU77:DW82" ca="1" si="244">(DM77*$V$51)+(DQ77*$AL$51)</f>
        <v>0</v>
      </c>
      <c r="DV77" s="372">
        <f t="shared" si="244"/>
        <v>0</v>
      </c>
      <c r="DW77" s="372">
        <f t="shared" si="244"/>
        <v>0</v>
      </c>
      <c r="DX77" s="201"/>
      <c r="DY77" s="372">
        <f t="shared" si="44"/>
        <v>0</v>
      </c>
      <c r="DZ77" s="372">
        <f t="shared" ca="1" si="45"/>
        <v>0</v>
      </c>
      <c r="EA77" s="201"/>
      <c r="EB77" s="2776">
        <f>IF(EO77=$EO$53,1,IFERROR(INDEX('Currency Data'!$L$8:$L$41,MATCH(EO77,'Currency Data'!$H$8:$H$41,0)),1))</f>
        <v>1</v>
      </c>
      <c r="EC77" s="2776">
        <f t="shared" si="147"/>
        <v>1</v>
      </c>
      <c r="ED77" s="428">
        <f>IF(GQ77=1,'1 Setup'!$T$68,IF(ISBLANK(IJ77),II77/EC77*IF(GL77=1,$ED$53,1),IJ77/EC77)*IF($EW77=7,JW77,1))</f>
        <v>0</v>
      </c>
      <c r="EE77" s="428">
        <f t="shared" si="46"/>
        <v>0</v>
      </c>
      <c r="EF77" s="428"/>
      <c r="EG77" s="1965" t="str">
        <f t="shared" si="148"/>
        <v>031500 - Highways UK</v>
      </c>
      <c r="EH77" s="201">
        <f t="shared" si="149"/>
        <v>1</v>
      </c>
      <c r="EI77" s="445" t="str">
        <f>IF(EH77=1,$EI$53,IF(GQ77=1,$GQ$55,IFERROR(IF($EG77=$EG$53,$EI$53,INDEX('PU List'!$G$6:$G$413,MATCH($EG77,'PU List'!$D$6:$D$413,0))),$EI$53)))</f>
        <v>GB - BIAF</v>
      </c>
      <c r="EJ77" s="2773" t="str">
        <f t="shared" si="150"/>
        <v>GB - BIAF</v>
      </c>
      <c r="EK77" s="1768"/>
      <c r="EL77" s="3283">
        <f>IF(OR(EW77&gt;7,$EL$53=0),0,IF(EJ77=$EI$53,$EL$53,IFERROR(INDEX('Fringe Data'!$U$8:$U$129,MATCH($EJ77,'Fringe Data'!$F$8:$F$129,0)),0)))</f>
        <v>1.73</v>
      </c>
      <c r="EM77" s="372">
        <f t="shared" si="47"/>
        <v>0</v>
      </c>
      <c r="EN77" s="201" t="str">
        <f>IFERROR(INDEX('Fringe Data'!$G$8:$G$64,MATCH($EJ77,'Fringe Data'!$F$8:$F$64,0)),$EO$53)</f>
        <v>GBP</v>
      </c>
      <c r="EO77" s="201" t="str">
        <f t="shared" si="151"/>
        <v>GBP</v>
      </c>
      <c r="EP77" s="201">
        <f>IF(EI77=$EI$53,$EP$49,IF(GP77=1,0,IFERROR(INDEX('Fringe Data'!$K$8:$K$64,MATCH($EI77,'Fringe Data'!$F$8:$F$64,0)),0)))</f>
        <v>0.52</v>
      </c>
      <c r="EQ77" s="201">
        <f>IF(EI77=$EI$53,$EQ$49,IF(GP77=1,0,IFERROR(INDEX('Fringe Data'!$L$8:$L$64,MATCH($EI77,'Fringe Data'!$F$8:$F$64,0)),0)))</f>
        <v>1.8499999999999999E-2</v>
      </c>
      <c r="ER77" s="201">
        <f>IF(EI77=$EI$53,$ER$49,IF(GP77=1,0,IFERROR(INDEX('Fringe Data'!$M$8:$M$64,MATCH($EI77,'Fringe Data'!$F$8:$F$64,0)),0)))</f>
        <v>0.43430000000000002</v>
      </c>
      <c r="ES77" s="201">
        <f>IF(EI77=$EI$53,$ES$49,IF(GP77=1,0,IFERROR(INDEX('Fringe Data'!$N$8:$N$64,MATCH($EI77,'Fringe Data'!$F$8:$F$64,0)),0)))</f>
        <v>0.1565</v>
      </c>
      <c r="ET77" s="201">
        <f>IF(EI77=$EI$53,$ET$49,IF(GP77=1,0,IFERROR(INDEX('Fringe Data'!$O$8:$O$64,MATCH($EI77,'Fringe Data'!$F$8:$F$64,0)),0)))</f>
        <v>0.33450000000000002</v>
      </c>
      <c r="EU77" s="263">
        <f>IF(EI77=$EI$53,$EU$49,IF(GP77=1,0,IFERROR(INDEX('Fringe Data'!$P$8:$P$64,MATCH($EI77,'Fringe Data'!$F$8:$F$64,0)),0)))</f>
        <v>0.1565</v>
      </c>
      <c r="EV77" s="201"/>
      <c r="EW77" s="1530">
        <f t="shared" si="48"/>
        <v>1</v>
      </c>
      <c r="EX77" s="1534">
        <f t="shared" si="152"/>
        <v>0.52</v>
      </c>
      <c r="EY77" s="321">
        <f t="shared" si="153"/>
        <v>0</v>
      </c>
      <c r="EZ77" s="201">
        <f t="shared" si="154"/>
        <v>0</v>
      </c>
      <c r="FA77" s="372">
        <f t="shared" si="49"/>
        <v>0</v>
      </c>
      <c r="FB77" s="372">
        <f t="shared" si="50"/>
        <v>0</v>
      </c>
      <c r="FC77" s="201">
        <f t="shared" ca="1" si="155"/>
        <v>0</v>
      </c>
      <c r="FD77" s="423">
        <f t="shared" si="51"/>
        <v>0</v>
      </c>
      <c r="FE77" s="423">
        <f t="shared" si="52"/>
        <v>0</v>
      </c>
      <c r="FF77" s="201">
        <f t="shared" si="156"/>
        <v>0</v>
      </c>
      <c r="FG77" s="425">
        <f>IF(OR($FJ$52=3,$FJ$52=4,$FJ$52=5),'1 Setup'!$W$96,0)</f>
        <v>0</v>
      </c>
      <c r="FH77" s="428">
        <f>IF($FJ$52=5,'1 Setup'!$W$98,IF($FJ$52=6,'1 Setup'!$S$86,0))</f>
        <v>0</v>
      </c>
      <c r="FI77" s="321">
        <f t="shared" ca="1" si="53"/>
        <v>0</v>
      </c>
      <c r="FJ77" s="263">
        <f t="shared" ca="1" si="157"/>
        <v>0</v>
      </c>
      <c r="FK77" s="372">
        <f t="shared" ca="1" si="54"/>
        <v>0</v>
      </c>
      <c r="FL77" s="372">
        <f t="shared" si="55"/>
        <v>0</v>
      </c>
      <c r="FM77" s="372">
        <f t="shared" si="56"/>
        <v>0</v>
      </c>
      <c r="FN77" s="2036">
        <f t="shared" ca="1" si="57"/>
        <v>0</v>
      </c>
      <c r="FO77" s="372">
        <f t="shared" ref="FO77:FO82" ca="1" si="245">$BA77*FN77</f>
        <v>0</v>
      </c>
      <c r="FP77" s="2723">
        <f t="shared" si="158"/>
        <v>0</v>
      </c>
      <c r="FQ77" s="372">
        <f t="shared" si="59"/>
        <v>0</v>
      </c>
      <c r="FR77" s="372">
        <f t="shared" si="159"/>
        <v>0</v>
      </c>
      <c r="FS77" s="1168"/>
      <c r="FT77" s="1168">
        <f t="shared" si="60"/>
        <v>0</v>
      </c>
      <c r="FU77" s="1168">
        <f t="shared" si="61"/>
        <v>0</v>
      </c>
      <c r="FV77" s="1168">
        <f t="shared" si="62"/>
        <v>0</v>
      </c>
      <c r="FW77" s="1168">
        <f t="shared" si="63"/>
        <v>0</v>
      </c>
      <c r="FX77" s="1168">
        <f t="shared" si="64"/>
        <v>0</v>
      </c>
      <c r="FY77" s="1168">
        <f t="shared" si="65"/>
        <v>0</v>
      </c>
      <c r="FZ77" s="1168">
        <f t="shared" si="66"/>
        <v>0</v>
      </c>
      <c r="GA77" s="1168">
        <f t="shared" si="67"/>
        <v>0</v>
      </c>
      <c r="GB77" s="1168">
        <f t="shared" si="68"/>
        <v>0</v>
      </c>
      <c r="GC77" s="1168">
        <f t="shared" si="69"/>
        <v>0</v>
      </c>
      <c r="GD77" s="1168"/>
      <c r="GE77" s="199"/>
      <c r="GF77" s="201">
        <f t="shared" si="70"/>
        <v>0</v>
      </c>
      <c r="GG77" s="201">
        <f t="shared" si="71"/>
        <v>0</v>
      </c>
      <c r="GH77" s="201">
        <f t="shared" si="72"/>
        <v>0</v>
      </c>
      <c r="GI77" s="201">
        <f t="shared" ca="1" si="160"/>
        <v>0</v>
      </c>
      <c r="GJ77" s="201">
        <f t="shared" si="73"/>
        <v>0</v>
      </c>
      <c r="GK77" s="201">
        <f t="shared" si="74"/>
        <v>0</v>
      </c>
      <c r="GL77" s="201">
        <f t="shared" si="75"/>
        <v>1</v>
      </c>
      <c r="GM77" s="201">
        <f t="shared" si="76"/>
        <v>1</v>
      </c>
      <c r="GN77" s="201"/>
      <c r="GO77" s="201"/>
      <c r="GP77" s="201">
        <f t="shared" si="77"/>
        <v>0</v>
      </c>
      <c r="GQ77" s="201">
        <f t="shared" si="78"/>
        <v>0</v>
      </c>
      <c r="GR77" s="201">
        <f t="shared" si="161"/>
        <v>0</v>
      </c>
      <c r="GS77" s="1768"/>
      <c r="GT77" s="201">
        <f t="shared" si="79"/>
        <v>1</v>
      </c>
      <c r="GU77" s="201">
        <f t="shared" si="193"/>
        <v>14</v>
      </c>
      <c r="GV77" s="201">
        <f t="shared" si="80"/>
        <v>0</v>
      </c>
      <c r="GW77" s="201">
        <f t="shared" si="81"/>
        <v>3</v>
      </c>
      <c r="GX77" s="201">
        <f t="shared" si="162"/>
        <v>0</v>
      </c>
      <c r="GY77" s="1998"/>
      <c r="GZ77" s="253"/>
      <c r="HA77" s="195">
        <f t="shared" si="163"/>
        <v>0</v>
      </c>
      <c r="HB77" s="3558">
        <f t="shared" si="82"/>
        <v>0</v>
      </c>
      <c r="HC77" s="3590"/>
      <c r="HD77" s="257" t="str">
        <f t="shared" si="83"/>
        <v/>
      </c>
      <c r="HE77" s="825">
        <f t="shared" si="84"/>
        <v>0</v>
      </c>
      <c r="HF77" s="506" t="s">
        <v>5</v>
      </c>
      <c r="HG77" s="508">
        <f t="shared" ca="1" si="85"/>
        <v>0</v>
      </c>
      <c r="HH77" s="3585">
        <f t="shared" si="86"/>
        <v>0</v>
      </c>
      <c r="HI77" s="3586"/>
      <c r="HJ77" s="504">
        <f t="shared" ref="HJ77:HJ82" ca="1" si="246">HG77-HH77</f>
        <v>0</v>
      </c>
      <c r="HK77" s="456">
        <f t="shared" ref="HK77:HK82" ca="1" si="247">IF(HG77&lt;0.1,0,IFERROR(HJ77/HG77,0))</f>
        <v>0</v>
      </c>
      <c r="HL77" s="3591">
        <f t="shared" ref="HL77:HL82" ca="1" si="248">IFERROR(HJ77/HE77,0)</f>
        <v>0</v>
      </c>
      <c r="HM77" s="3592"/>
      <c r="HN77" s="240"/>
      <c r="HO77" s="1998"/>
      <c r="HP77" s="1991"/>
      <c r="HQ77" s="2770" t="str">
        <f t="shared" si="90"/>
        <v>GB - BIAF</v>
      </c>
      <c r="HR77" s="2770" t="str">
        <f t="shared" si="91"/>
        <v>GBP</v>
      </c>
      <c r="HS77" s="2771">
        <f t="shared" si="92"/>
        <v>1</v>
      </c>
      <c r="HT77" s="3623"/>
      <c r="HU77" s="2771">
        <f t="shared" si="93"/>
        <v>1.73</v>
      </c>
      <c r="HW77" s="1218"/>
      <c r="HX77" s="520"/>
      <c r="HY77" s="2523"/>
      <c r="HZ77" s="194"/>
      <c r="IA77" s="1013"/>
      <c r="IB77" s="193"/>
      <c r="IC77" s="3276">
        <v>14</v>
      </c>
      <c r="ID77" s="986"/>
      <c r="IE77" s="938">
        <f t="shared" si="164"/>
        <v>0</v>
      </c>
      <c r="IF77" s="938">
        <f t="shared" si="165"/>
        <v>0</v>
      </c>
      <c r="IG77" s="432"/>
      <c r="II77" s="405"/>
      <c r="IJ77" s="239"/>
      <c r="IK77" s="2774" t="str">
        <f t="shared" si="166"/>
        <v>GBP</v>
      </c>
      <c r="IL77" s="2148"/>
      <c r="IM77" s="1936">
        <f t="shared" si="94"/>
        <v>0</v>
      </c>
      <c r="IO77" s="1959" t="str">
        <f t="shared" si="95"/>
        <v/>
      </c>
      <c r="IP77" s="1958"/>
      <c r="IQ77" s="543">
        <f t="shared" si="96"/>
        <v>0.52</v>
      </c>
      <c r="IR77" s="1936">
        <f t="shared" si="97"/>
        <v>0</v>
      </c>
      <c r="IT77" s="1364"/>
      <c r="IU77" s="210"/>
      <c r="IV77" s="218"/>
      <c r="IW77" s="1938">
        <f ca="1">IF(NOT(ISBLANK(IU77)),IU77,IF('1 Setup'!$G$8&lt;7,JK77,FJ77))+KA77</f>
        <v>0</v>
      </c>
      <c r="IX77" s="409">
        <f t="shared" si="98"/>
        <v>0</v>
      </c>
      <c r="IY77" s="408">
        <f t="shared" si="99"/>
        <v>0</v>
      </c>
      <c r="IZ77" s="1983"/>
      <c r="JA77" s="1994"/>
      <c r="JB77" s="1991"/>
      <c r="JD77" s="2029">
        <f t="shared" si="167"/>
        <v>0</v>
      </c>
      <c r="JE77" s="479"/>
      <c r="JF77" s="2025">
        <f t="shared" si="100"/>
        <v>0</v>
      </c>
      <c r="JG77" s="429">
        <f t="shared" si="101"/>
        <v>0</v>
      </c>
      <c r="JH77" s="1667">
        <f t="shared" si="102"/>
        <v>0</v>
      </c>
      <c r="JJ77" s="1163">
        <f t="shared" ca="1" si="103"/>
        <v>0</v>
      </c>
      <c r="JK77" s="1163">
        <f t="shared" ca="1" si="104"/>
        <v>0</v>
      </c>
      <c r="JL77" s="1795"/>
      <c r="JN77" s="2505"/>
      <c r="JO77" s="1161"/>
      <c r="JP77" s="571">
        <f t="shared" ca="1" si="105"/>
        <v>0</v>
      </c>
      <c r="JQ77" s="2506"/>
      <c r="JR77" s="1953"/>
      <c r="JS77" s="2650"/>
      <c r="JT77" s="2507"/>
      <c r="JU77" s="1964">
        <f t="shared" si="106"/>
        <v>0.33450000000000002</v>
      </c>
      <c r="JV77" s="3199"/>
      <c r="JW77" s="2649">
        <f t="shared" si="107"/>
        <v>1.5</v>
      </c>
      <c r="JX77" s="1964">
        <f t="shared" si="168"/>
        <v>0.1565</v>
      </c>
      <c r="JY77" s="3199"/>
      <c r="JZ77" s="2649">
        <f t="shared" si="169"/>
        <v>0</v>
      </c>
      <c r="KA77" s="2649">
        <f t="shared" si="170"/>
        <v>0</v>
      </c>
      <c r="KB77" s="2649" t="s">
        <v>111</v>
      </c>
      <c r="KC77" s="1983"/>
      <c r="KD77" s="1974"/>
      <c r="KE77" s="1991"/>
      <c r="KF77" s="2029">
        <f t="shared" si="171"/>
        <v>0</v>
      </c>
      <c r="KG77" s="1991"/>
      <c r="KH77" s="2121">
        <f t="shared" si="108"/>
        <v>0</v>
      </c>
      <c r="KI77" s="2130">
        <f t="shared" si="109"/>
        <v>0</v>
      </c>
      <c r="KJ77" s="2130">
        <f t="shared" si="110"/>
        <v>0</v>
      </c>
      <c r="KK77" s="2130">
        <f t="shared" si="111"/>
        <v>0</v>
      </c>
      <c r="KL77" s="2131">
        <f t="shared" si="112"/>
        <v>0</v>
      </c>
      <c r="KM77" s="2132">
        <f t="shared" si="113"/>
        <v>0</v>
      </c>
      <c r="KN77" s="2132">
        <f t="shared" si="114"/>
        <v>0</v>
      </c>
      <c r="KO77" s="2132">
        <f t="shared" si="115"/>
        <v>0</v>
      </c>
      <c r="KP77" s="2132">
        <f t="shared" si="116"/>
        <v>0</v>
      </c>
      <c r="KQ77" s="2133">
        <f t="shared" si="117"/>
        <v>0</v>
      </c>
      <c r="KS77" s="2253">
        <f t="shared" si="118"/>
        <v>0</v>
      </c>
      <c r="KT77" s="2270">
        <f t="shared" ref="KT77:LB77" si="249">KS77*(1+(KT$60))</f>
        <v>0</v>
      </c>
      <c r="KU77" s="2271">
        <f t="shared" si="249"/>
        <v>0</v>
      </c>
      <c r="KV77" s="2271">
        <f t="shared" si="249"/>
        <v>0</v>
      </c>
      <c r="KW77" s="2272">
        <f t="shared" si="249"/>
        <v>0</v>
      </c>
      <c r="KX77" s="2271">
        <f t="shared" si="249"/>
        <v>0</v>
      </c>
      <c r="KY77" s="2271">
        <f t="shared" si="249"/>
        <v>0</v>
      </c>
      <c r="KZ77" s="2271">
        <f t="shared" si="249"/>
        <v>0</v>
      </c>
      <c r="LA77" s="2271">
        <f t="shared" si="249"/>
        <v>0</v>
      </c>
      <c r="LB77" s="2273">
        <f t="shared" si="249"/>
        <v>0</v>
      </c>
      <c r="LC77" s="272"/>
      <c r="LD77" s="2124">
        <f t="shared" si="120"/>
        <v>0</v>
      </c>
      <c r="LE77" s="2093">
        <f t="shared" si="121"/>
        <v>0</v>
      </c>
      <c r="LF77" s="2093">
        <f t="shared" si="122"/>
        <v>0</v>
      </c>
      <c r="LG77" s="2093">
        <f t="shared" si="123"/>
        <v>0</v>
      </c>
      <c r="LH77" s="2094">
        <f t="shared" si="124"/>
        <v>0</v>
      </c>
      <c r="LI77" s="2095">
        <f t="shared" si="125"/>
        <v>0</v>
      </c>
      <c r="LJ77" s="2095">
        <f t="shared" si="126"/>
        <v>0</v>
      </c>
      <c r="LK77" s="2095">
        <f t="shared" si="127"/>
        <v>0</v>
      </c>
      <c r="LL77" s="2095">
        <f t="shared" si="128"/>
        <v>0</v>
      </c>
      <c r="LM77" s="2096">
        <f t="shared" si="129"/>
        <v>0</v>
      </c>
      <c r="LN77" s="749"/>
      <c r="LO77" s="2256">
        <f t="shared" ca="1" si="130"/>
        <v>0</v>
      </c>
      <c r="LP77" s="2270">
        <f t="shared" ca="1" si="131"/>
        <v>0</v>
      </c>
      <c r="LQ77" s="2271">
        <f t="shared" ca="1" si="132"/>
        <v>0</v>
      </c>
      <c r="LR77" s="2271">
        <f t="shared" ca="1" si="133"/>
        <v>0</v>
      </c>
      <c r="LS77" s="2272">
        <f t="shared" ca="1" si="134"/>
        <v>0</v>
      </c>
      <c r="LT77" s="2271">
        <f t="shared" ca="1" si="135"/>
        <v>0</v>
      </c>
      <c r="LU77" s="2271">
        <f t="shared" ca="1" si="136"/>
        <v>0</v>
      </c>
      <c r="LV77" s="2271">
        <f t="shared" ca="1" si="137"/>
        <v>0</v>
      </c>
      <c r="LW77" s="2271">
        <f t="shared" ca="1" si="138"/>
        <v>0</v>
      </c>
      <c r="LX77" s="2273">
        <f t="shared" ca="1" si="139"/>
        <v>0</v>
      </c>
      <c r="LY77" s="479"/>
      <c r="LZ77" s="3128">
        <f t="shared" ca="1" si="173"/>
        <v>-1.73</v>
      </c>
      <c r="MA77" s="3129">
        <f t="shared" ca="1" si="174"/>
        <v>-1.73</v>
      </c>
      <c r="MB77" s="3129">
        <f t="shared" ca="1" si="175"/>
        <v>-1.73</v>
      </c>
      <c r="MC77" s="3129">
        <f t="shared" ca="1" si="176"/>
        <v>-1.73</v>
      </c>
      <c r="MD77" s="3130">
        <f t="shared" ca="1" si="177"/>
        <v>-1.73</v>
      </c>
      <c r="ME77" s="3129">
        <f t="shared" ca="1" si="178"/>
        <v>-1.73</v>
      </c>
      <c r="MF77" s="3129">
        <f t="shared" ca="1" si="179"/>
        <v>-1.73</v>
      </c>
      <c r="MG77" s="3129">
        <f t="shared" ca="1" si="180"/>
        <v>-1.73</v>
      </c>
      <c r="MH77" s="3129">
        <f t="shared" ca="1" si="181"/>
        <v>-1.73</v>
      </c>
      <c r="MI77" s="3131">
        <f t="shared" ca="1" si="182"/>
        <v>-1.73</v>
      </c>
      <c r="MJ77" s="3201"/>
      <c r="MK77" s="3206">
        <f t="shared" ca="1" si="183"/>
        <v>0</v>
      </c>
      <c r="ML77" s="3207">
        <f t="shared" ca="1" si="184"/>
        <v>0</v>
      </c>
      <c r="MM77" s="3207">
        <f t="shared" ca="1" si="185"/>
        <v>0</v>
      </c>
      <c r="MN77" s="3207">
        <f t="shared" ca="1" si="186"/>
        <v>0</v>
      </c>
      <c r="MO77" s="3208">
        <f t="shared" ca="1" si="187"/>
        <v>0</v>
      </c>
      <c r="MP77" s="3207">
        <f t="shared" ca="1" si="188"/>
        <v>0</v>
      </c>
      <c r="MQ77" s="3207">
        <f t="shared" ca="1" si="189"/>
        <v>0</v>
      </c>
      <c r="MR77" s="3207">
        <f t="shared" ca="1" si="190"/>
        <v>0</v>
      </c>
      <c r="MS77" s="3207">
        <f t="shared" ca="1" si="191"/>
        <v>0</v>
      </c>
      <c r="MT77" s="3209">
        <f t="shared" ca="1" si="192"/>
        <v>0</v>
      </c>
      <c r="MU77" s="1983"/>
      <c r="MV77" s="1975"/>
      <c r="MW77" s="1991"/>
      <c r="MX77" s="1931">
        <f t="shared" si="142"/>
        <v>0</v>
      </c>
      <c r="MY77" s="749"/>
      <c r="MZ77" s="1934">
        <f t="shared" si="143"/>
        <v>0</v>
      </c>
      <c r="NA77" s="1935"/>
      <c r="NB77" s="2652">
        <f t="shared" si="144"/>
        <v>0</v>
      </c>
      <c r="NC77" s="479"/>
      <c r="ND77" s="2749" t="str">
        <f t="shared" si="145"/>
        <v/>
      </c>
      <c r="NE77" s="2717"/>
      <c r="NF77" s="1975"/>
      <c r="NG77" s="1975"/>
      <c r="NH77" s="1975"/>
      <c r="NI77" s="1975"/>
    </row>
    <row r="78" spans="1:373" s="192" customFormat="1" ht="15.9" customHeight="1" x14ac:dyDescent="0.3">
      <c r="A78" s="200"/>
      <c r="B78" s="200"/>
      <c r="C78" s="200"/>
      <c r="D78" s="200"/>
      <c r="E78" s="200"/>
      <c r="F78" s="200"/>
      <c r="G78" s="200"/>
      <c r="H78" s="200"/>
      <c r="I78" s="200"/>
      <c r="J78" s="200"/>
      <c r="K78" s="200"/>
      <c r="L78" s="200"/>
      <c r="M78" s="200"/>
      <c r="N78" s="200"/>
      <c r="O78" s="200"/>
      <c r="P78" s="1539"/>
      <c r="Q78" s="1539"/>
      <c r="R78" s="198"/>
      <c r="S78" s="1539"/>
      <c r="T78" s="201"/>
      <c r="U78" s="200"/>
      <c r="V78" s="201">
        <f>MATCH($IC78,'3b Activity Plan'!$DJ$171:$FH$171,0)</f>
        <v>15</v>
      </c>
      <c r="W78" s="201">
        <f>IFERROR(INDEX('3b Activity Plan'!$DJ$6:$FH$6,V78),0)</f>
        <v>0</v>
      </c>
      <c r="X78" s="1768"/>
      <c r="Y78" s="1768">
        <f>IFERROR(INDEX('3b Activity Plan'!$DJ$7:$FH$7,V78),0)</f>
        <v>0</v>
      </c>
      <c r="Z78" s="201"/>
      <c r="AA78" s="201">
        <f>IFERROR(INDEX('3b Activity Plan'!$DJ$34:$FH$34,$V78),0)</f>
        <v>0</v>
      </c>
      <c r="AB78" s="201">
        <f>IFERROR(INDEX('3b Activity Plan'!$DJ$35:$FH$35,$V78),0)</f>
        <v>0</v>
      </c>
      <c r="AC78" s="201">
        <f>IFERROR(INDEX('3b Activity Plan'!$DJ$36:$FH$36,$V78),0)</f>
        <v>0</v>
      </c>
      <c r="AD78" s="201">
        <f>IFERROR(INDEX('3b Activity Plan'!$DJ$37:$FH$37,$V78),0)</f>
        <v>0</v>
      </c>
      <c r="AE78" s="201">
        <f>IFERROR(INDEX('3b Activity Plan'!$DJ$38:$FH$38,$V78),0)</f>
        <v>0</v>
      </c>
      <c r="AF78" s="201">
        <f>IFERROR(INDEX('3b Activity Plan'!$DJ$39:$FH$39,$V78),0)</f>
        <v>0</v>
      </c>
      <c r="AG78" s="201">
        <f>IFERROR(INDEX('3b Activity Plan'!$DJ$40:$FH$40,$V78),0)</f>
        <v>0</v>
      </c>
      <c r="AH78" s="201">
        <f>IFERROR(INDEX('3b Activity Plan'!$DJ$41:$FH$41,$V78),0)</f>
        <v>0</v>
      </c>
      <c r="AI78" s="201">
        <f>IFERROR(INDEX('3b Activity Plan'!$DJ$42:$FH$42,$V78),0)</f>
        <v>0</v>
      </c>
      <c r="AJ78" s="201">
        <f>IFERROR(INDEX('3b Activity Plan'!$DJ$43:$FH$43,$V78),0)</f>
        <v>0</v>
      </c>
      <c r="AK78" s="201"/>
      <c r="AL78" s="201">
        <f>SUMIFS('3a Staff Plan'!$AR$129:$AR$305,'3a Staff Plan'!$DY$129:$DY$305,$IA78,'3a Staff Plan'!$DF$129:$DF$305,1)</f>
        <v>0</v>
      </c>
      <c r="AM78" s="1768"/>
      <c r="AN78" s="1768">
        <f>SUMIFS('3a Staff Plan'!$AR$129:$AR$305,'3a Staff Plan'!$DY$129:$DY$305,$IA78,'3a Staff Plan'!$CV$129:$CV$305,1)</f>
        <v>0</v>
      </c>
      <c r="AO78" s="201"/>
      <c r="AP78" s="201">
        <f>SUMIFS('3a Staff Plan'!$AS$129:$AS$305,'3a Staff Plan'!$DY$129:$DY$305,$IA78,'3a Staff Plan'!$DF$129:$DF$305,1)</f>
        <v>0</v>
      </c>
      <c r="AQ78" s="201">
        <f>SUMIFS('3a Staff Plan'!$AT$129:$AT$305,'3a Staff Plan'!$DY$129:$DY$305,$IA78,'3a Staff Plan'!$DF$129:$DF$305,1)</f>
        <v>0</v>
      </c>
      <c r="AR78" s="201">
        <f>SUMIFS('3a Staff Plan'!$AU$129:$AU$305,'3a Staff Plan'!$DY$129:$DY$305,$IA78,'3a Staff Plan'!$DF$129:$DF$305,1)</f>
        <v>0</v>
      </c>
      <c r="AS78" s="201">
        <f>SUMIFS('3a Staff Plan'!$AV$129:$AV$305,'3a Staff Plan'!$DY$129:$DY$305,$IA78,'3a Staff Plan'!$DF$129:$DF$305,1)</f>
        <v>0</v>
      </c>
      <c r="AT78" s="201">
        <f>SUMIFS('3a Staff Plan'!$AW$129:$AW$305,'3a Staff Plan'!$DY$129:$DY$305,$IA78,'3a Staff Plan'!$DF$129:$DF$305,1)</f>
        <v>0</v>
      </c>
      <c r="AU78" s="201">
        <f>SUMIFS('3a Staff Plan'!$AX$129:$AX$305,'3a Staff Plan'!$DY$129:$DY$305,$IA78,'3a Staff Plan'!$DF$129:$DF$305,1)</f>
        <v>0</v>
      </c>
      <c r="AV78" s="201">
        <f>SUMIFS('3a Staff Plan'!$AY$129:$AY$305,'3a Staff Plan'!$DY$129:$DY$305,$IA78,'3a Staff Plan'!$DF$129:$DF$305,1)</f>
        <v>0</v>
      </c>
      <c r="AW78" s="201">
        <f>SUMIFS('3a Staff Plan'!$AZ$129:$AZ$305,'3a Staff Plan'!$DY$129:$DY$305,$IA78,'3a Staff Plan'!$DF$129:$DF$305,1)</f>
        <v>0</v>
      </c>
      <c r="AX78" s="201">
        <f>SUMIFS('3a Staff Plan'!$BA$129:$BA$305,'3a Staff Plan'!$DY$129:$DY$305,$IA78,'3a Staff Plan'!$DF$129:$DF$305,1)</f>
        <v>0</v>
      </c>
      <c r="AY78" s="201">
        <f>SUMIFS('3a Staff Plan'!$BB$129:$BB$305,'3a Staff Plan'!$DY$129:$DY$305,$IA78,'3a Staff Plan'!$DF$129:$DF$305,1)</f>
        <v>0</v>
      </c>
      <c r="AZ78" s="201"/>
      <c r="BA78" s="201">
        <f t="shared" si="240"/>
        <v>0</v>
      </c>
      <c r="BB78" s="1768"/>
      <c r="BC78" s="1768">
        <f t="shared" si="240"/>
        <v>0</v>
      </c>
      <c r="BD78" s="201"/>
      <c r="BE78" s="201">
        <f t="shared" si="241"/>
        <v>0</v>
      </c>
      <c r="BF78" s="201">
        <f t="shared" si="241"/>
        <v>0</v>
      </c>
      <c r="BG78" s="201">
        <f t="shared" si="241"/>
        <v>0</v>
      </c>
      <c r="BH78" s="201">
        <f t="shared" si="241"/>
        <v>0</v>
      </c>
      <c r="BI78" s="201">
        <f t="shared" si="241"/>
        <v>0</v>
      </c>
      <c r="BJ78" s="201">
        <f t="shared" si="241"/>
        <v>0</v>
      </c>
      <c r="BK78" s="201">
        <f t="shared" si="241"/>
        <v>0</v>
      </c>
      <c r="BL78" s="201">
        <f t="shared" si="241"/>
        <v>0</v>
      </c>
      <c r="BM78" s="201">
        <f t="shared" si="241"/>
        <v>0</v>
      </c>
      <c r="BN78" s="201">
        <f t="shared" si="241"/>
        <v>0</v>
      </c>
      <c r="BO78" s="201"/>
      <c r="BP78" s="1818">
        <f t="shared" si="146"/>
        <v>15</v>
      </c>
      <c r="BQ78" s="1818">
        <f>IFERROR(INDEX('3b Activity Plan'!$DJ$15:$FH$15,BP78),0)</f>
        <v>0</v>
      </c>
      <c r="BR78" s="1768"/>
      <c r="BS78" s="1768">
        <f>IFERROR(INDEX('3b Activity Plan'!$DJ$16:$FH$16,BP78),0)</f>
        <v>0</v>
      </c>
      <c r="BT78" s="201"/>
      <c r="BU78" s="201">
        <f>IFERROR(INDEX('3b Activity Plan'!$DJ$67:$FH$67,$V78),0)</f>
        <v>0</v>
      </c>
      <c r="BV78" s="201">
        <f>IFERROR(INDEX('3b Activity Plan'!$DJ$68:$FH$68,$V78),0)</f>
        <v>0</v>
      </c>
      <c r="BW78" s="201">
        <f>IFERROR(INDEX('3b Activity Plan'!$DJ$69:$FH$69,$V78),0)</f>
        <v>0</v>
      </c>
      <c r="BX78" s="201">
        <f>IFERROR(INDEX('3b Activity Plan'!$DJ$70:$FH$70,$V78),0)</f>
        <v>0</v>
      </c>
      <c r="BY78" s="201">
        <f>IFERROR(INDEX('3b Activity Plan'!$DJ$71:$FH$71,$V78),0)</f>
        <v>0</v>
      </c>
      <c r="BZ78" s="201">
        <f>IFERROR(INDEX('3b Activity Plan'!$DJ$72:$FH$72,$V78),0)</f>
        <v>0</v>
      </c>
      <c r="CA78" s="201">
        <f>IFERROR(INDEX('3b Activity Plan'!$DJ$73:$FH$73,$V78),0)</f>
        <v>0</v>
      </c>
      <c r="CB78" s="201">
        <f>IFERROR(INDEX('3b Activity Plan'!$DJ$74:$FH$74,$V78),0)</f>
        <v>0</v>
      </c>
      <c r="CC78" s="201">
        <f>IFERROR(INDEX('3b Activity Plan'!$DJ$75:$FH$75,$V78),0)</f>
        <v>0</v>
      </c>
      <c r="CD78" s="201">
        <f>IFERROR(INDEX('3b Activity Plan'!$DJ$76:$FH$76,$V78),0)</f>
        <v>0</v>
      </c>
      <c r="CE78" s="201"/>
      <c r="CF78" s="1818">
        <f>SUMIFS('3a Staff Plan'!$AR$129:$AR$305,'3a Staff Plan'!$DY$129:$DY$305,$IA78,'3a Staff Plan'!$AG$129:$AG$305,1,'3a Staff Plan'!$DF$129:$DF$305,1)</f>
        <v>0</v>
      </c>
      <c r="CG78" s="1768">
        <f>SUMIFS('3a Staff Plan'!$AR$129:$AR$305,'3a Staff Plan'!$DY$129:$DY$305,$IA78,'3a Staff Plan'!$AG$129:$AG$305,1,'3a Staff Plan'!$CX$129:$CX$305,1)</f>
        <v>0</v>
      </c>
      <c r="CH78" s="1768">
        <f>SUMIFS('3a Staff Plan'!$AR$129:$AR$305,'3a Staff Plan'!$DY$129:$DY$305,$IA78,'3a Staff Plan'!$AG$129:$AG$305,1,'3a Staff Plan'!$CV$129:$CV$305,1)</f>
        <v>0</v>
      </c>
      <c r="CI78" s="201"/>
      <c r="CJ78" s="201">
        <f>SUMIFS('3a Staff Plan'!$BX$129:$BX$305,'3a Staff Plan'!$DY$129:$DY$305,$IA78,'3a Staff Plan'!$DF$129:$DF$305,1,'3a Staff Plan'!$AG$129:$AG$305,1)</f>
        <v>0</v>
      </c>
      <c r="CK78" s="201">
        <f>SUMIFS('3a Staff Plan'!$BY$129:$BY$305,'3a Staff Plan'!$DY$129:$DY$305,$IA78,'3a Staff Plan'!$DF$129:$DF$305,1,'3a Staff Plan'!$AG$129:$AG$305,1)</f>
        <v>0</v>
      </c>
      <c r="CL78" s="201">
        <f>SUMIFS('3a Staff Plan'!$BZ$129:$BZ$305,'3a Staff Plan'!$DY$129:$DY$305,$IA78,'3a Staff Plan'!$DF$129:$DF$305,1,'3a Staff Plan'!$AG$129:$AG$305,1)</f>
        <v>0</v>
      </c>
      <c r="CM78" s="201">
        <f>SUMIFS('3a Staff Plan'!$CA$129:$CA$305,'3a Staff Plan'!$DY$129:$DY$305,$IA78,'3a Staff Plan'!$DF$129:$DF$305,1,'3a Staff Plan'!$AG$129:$AG$305,1)</f>
        <v>0</v>
      </c>
      <c r="CN78" s="201">
        <f>SUMIFS('3a Staff Plan'!$CB$129:$CB$305,'3a Staff Plan'!$DY$129:$DY$305,$IA78,'3a Staff Plan'!$DF$129:$DF$305,1,'3a Staff Plan'!$AG$129:$AG$305,1)</f>
        <v>0</v>
      </c>
      <c r="CO78" s="201">
        <f>SUMIFS('3a Staff Plan'!$CC$129:$CC$305,'3a Staff Plan'!$DY$129:$DY$305,$IA78,'3a Staff Plan'!$DF$129:$DF$305,1,'3a Staff Plan'!$AG$129:$AG$305,1)</f>
        <v>0</v>
      </c>
      <c r="CP78" s="201">
        <f>SUMIFS('3a Staff Plan'!$CD$129:$CD$305,'3a Staff Plan'!$DY$129:$DY$305,$IA78,'3a Staff Plan'!$DF$129:$DF$305,1,'3a Staff Plan'!$AG$129:$AG$305,1)</f>
        <v>0</v>
      </c>
      <c r="CQ78" s="201">
        <f>SUMIFS('3a Staff Plan'!$CE$129:$CE$305,'3a Staff Plan'!$DY$129:$DY$305,$IA78,'3a Staff Plan'!$DF$129:$DF$305,1,'3a Staff Plan'!$AG$129:$AG$305,1)</f>
        <v>0</v>
      </c>
      <c r="CR78" s="201">
        <f>SUMIFS('3a Staff Plan'!$CF$129:$CF$305,'3a Staff Plan'!$DY$129:$DY$305,$IA78,'3a Staff Plan'!$DF$129:$DF$305,1,'3a Staff Plan'!$AG$129:$AG$305,1)</f>
        <v>0</v>
      </c>
      <c r="CS78" s="201">
        <f>SUMIFS('3a Staff Plan'!$CG$129:$CG$305,'3a Staff Plan'!$DY$129:$DY$305,$IA78,'3a Staff Plan'!$DF$129:$DF$305,1,'3a Staff Plan'!$AG$129:$AG$305,1)</f>
        <v>0</v>
      </c>
      <c r="CT78" s="201"/>
      <c r="CU78" s="1818">
        <f t="shared" si="242"/>
        <v>0</v>
      </c>
      <c r="CV78" s="1768"/>
      <c r="CW78" s="1768">
        <f t="shared" si="242"/>
        <v>0</v>
      </c>
      <c r="CX78" s="201"/>
      <c r="CY78" s="201">
        <f t="shared" si="243"/>
        <v>0</v>
      </c>
      <c r="CZ78" s="201">
        <f t="shared" si="243"/>
        <v>0</v>
      </c>
      <c r="DA78" s="201">
        <f t="shared" si="243"/>
        <v>0</v>
      </c>
      <c r="DB78" s="201">
        <f t="shared" si="243"/>
        <v>0</v>
      </c>
      <c r="DC78" s="201">
        <f t="shared" si="243"/>
        <v>0</v>
      </c>
      <c r="DD78" s="201">
        <f t="shared" si="243"/>
        <v>0</v>
      </c>
      <c r="DE78" s="201">
        <f t="shared" si="243"/>
        <v>0</v>
      </c>
      <c r="DF78" s="201">
        <f t="shared" si="243"/>
        <v>0</v>
      </c>
      <c r="DG78" s="201">
        <f t="shared" si="243"/>
        <v>0</v>
      </c>
      <c r="DH78" s="201">
        <f t="shared" si="243"/>
        <v>0</v>
      </c>
      <c r="DI78" s="201"/>
      <c r="DJ78" s="201"/>
      <c r="DK78" s="201"/>
      <c r="DL78" s="201"/>
      <c r="DM78" s="372">
        <f t="shared" ca="1" si="37"/>
        <v>0</v>
      </c>
      <c r="DN78" s="1185">
        <f t="shared" si="38"/>
        <v>0</v>
      </c>
      <c r="DO78" s="1185">
        <f t="shared" si="39"/>
        <v>0</v>
      </c>
      <c r="DP78" s="201"/>
      <c r="DQ78" s="372">
        <f t="shared" ca="1" si="40"/>
        <v>0</v>
      </c>
      <c r="DR78" s="1185">
        <f t="shared" si="41"/>
        <v>0</v>
      </c>
      <c r="DS78" s="1185">
        <f t="shared" si="42"/>
        <v>0</v>
      </c>
      <c r="DT78" s="201"/>
      <c r="DU78" s="372">
        <f t="shared" ca="1" si="244"/>
        <v>0</v>
      </c>
      <c r="DV78" s="372">
        <f t="shared" si="244"/>
        <v>0</v>
      </c>
      <c r="DW78" s="372">
        <f t="shared" si="244"/>
        <v>0</v>
      </c>
      <c r="DX78" s="201"/>
      <c r="DY78" s="372">
        <f t="shared" si="44"/>
        <v>0</v>
      </c>
      <c r="DZ78" s="372">
        <f t="shared" ca="1" si="45"/>
        <v>0</v>
      </c>
      <c r="EA78" s="201"/>
      <c r="EB78" s="2776">
        <f>IF(EO78=$EO$53,1,IFERROR(INDEX('Currency Data'!$L$8:$L$41,MATCH(EO78,'Currency Data'!$H$8:$H$41,0)),1))</f>
        <v>1</v>
      </c>
      <c r="EC78" s="2776">
        <f t="shared" si="147"/>
        <v>1</v>
      </c>
      <c r="ED78" s="428">
        <f>IF(GQ78=1,'1 Setup'!$T$68,IF(ISBLANK(IJ78),II78/EC78*IF(GL78=1,$ED$53,1),IJ78/EC78)*IF($EW78=7,JW78,1))</f>
        <v>0</v>
      </c>
      <c r="EE78" s="428">
        <f t="shared" si="46"/>
        <v>0</v>
      </c>
      <c r="EF78" s="428"/>
      <c r="EG78" s="1965" t="str">
        <f t="shared" si="148"/>
        <v>031500 - Highways UK</v>
      </c>
      <c r="EH78" s="201">
        <f t="shared" si="149"/>
        <v>1</v>
      </c>
      <c r="EI78" s="445" t="str">
        <f>IF(EH78=1,$EI$53,IF(GQ78=1,$GQ$55,IFERROR(IF($EG78=$EG$53,$EI$53,INDEX('PU List'!$G$6:$G$413,MATCH($EG78,'PU List'!$D$6:$D$413,0))),$EI$53)))</f>
        <v>GB - BIAF</v>
      </c>
      <c r="EJ78" s="2773" t="str">
        <f t="shared" si="150"/>
        <v>GB - BIAF</v>
      </c>
      <c r="EK78" s="1768"/>
      <c r="EL78" s="3283">
        <f>IF(OR(EW78&gt;7,$EL$53=0),0,IF(EJ78=$EI$53,$EL$53,IFERROR(INDEX('Fringe Data'!$U$8:$U$129,MATCH($EJ78,'Fringe Data'!$F$8:$F$129,0)),0)))</f>
        <v>1.73</v>
      </c>
      <c r="EM78" s="372">
        <f t="shared" si="47"/>
        <v>0</v>
      </c>
      <c r="EN78" s="201" t="str">
        <f>IFERROR(INDEX('Fringe Data'!$G$8:$G$64,MATCH($EJ78,'Fringe Data'!$F$8:$F$64,0)),$EO$53)</f>
        <v>GBP</v>
      </c>
      <c r="EO78" s="201" t="str">
        <f t="shared" si="151"/>
        <v>GBP</v>
      </c>
      <c r="EP78" s="201">
        <f>IF(EI78=$EI$53,$EP$49,IF(GP78=1,0,IFERROR(INDEX('Fringe Data'!$K$8:$K$64,MATCH($EI78,'Fringe Data'!$F$8:$F$64,0)),0)))</f>
        <v>0.52</v>
      </c>
      <c r="EQ78" s="201">
        <f>IF(EI78=$EI$53,$EQ$49,IF(GP78=1,0,IFERROR(INDEX('Fringe Data'!$L$8:$L$64,MATCH($EI78,'Fringe Data'!$F$8:$F$64,0)),0)))</f>
        <v>1.8499999999999999E-2</v>
      </c>
      <c r="ER78" s="201">
        <f>IF(EI78=$EI$53,$ER$49,IF(GP78=1,0,IFERROR(INDEX('Fringe Data'!$M$8:$M$64,MATCH($EI78,'Fringe Data'!$F$8:$F$64,0)),0)))</f>
        <v>0.43430000000000002</v>
      </c>
      <c r="ES78" s="201">
        <f>IF(EI78=$EI$53,$ES$49,IF(GP78=1,0,IFERROR(INDEX('Fringe Data'!$N$8:$N$64,MATCH($EI78,'Fringe Data'!$F$8:$F$64,0)),0)))</f>
        <v>0.1565</v>
      </c>
      <c r="ET78" s="201">
        <f>IF(EI78=$EI$53,$ET$49,IF(GP78=1,0,IFERROR(INDEX('Fringe Data'!$O$8:$O$64,MATCH($EI78,'Fringe Data'!$F$8:$F$64,0)),0)))</f>
        <v>0.33450000000000002</v>
      </c>
      <c r="EU78" s="263">
        <f>IF(EI78=$EI$53,$EU$49,IF(GP78=1,0,IFERROR(INDEX('Fringe Data'!$P$8:$P$64,MATCH($EI78,'Fringe Data'!$F$8:$F$64,0)),0)))</f>
        <v>0.1565</v>
      </c>
      <c r="EV78" s="201"/>
      <c r="EW78" s="1530">
        <f t="shared" si="48"/>
        <v>1</v>
      </c>
      <c r="EX78" s="1534">
        <f t="shared" si="152"/>
        <v>0.52</v>
      </c>
      <c r="EY78" s="321">
        <f t="shared" si="153"/>
        <v>0</v>
      </c>
      <c r="EZ78" s="201">
        <f t="shared" si="154"/>
        <v>0</v>
      </c>
      <c r="FA78" s="372">
        <f t="shared" si="49"/>
        <v>0</v>
      </c>
      <c r="FB78" s="372">
        <f t="shared" si="50"/>
        <v>0</v>
      </c>
      <c r="FC78" s="201">
        <f t="shared" ca="1" si="155"/>
        <v>0</v>
      </c>
      <c r="FD78" s="423">
        <f t="shared" si="51"/>
        <v>0</v>
      </c>
      <c r="FE78" s="423">
        <f t="shared" si="52"/>
        <v>0</v>
      </c>
      <c r="FF78" s="201">
        <f t="shared" si="156"/>
        <v>0</v>
      </c>
      <c r="FG78" s="425">
        <f>IF(OR($FJ$52=3,$FJ$52=4,$FJ$52=5),'1 Setup'!$W$96,0)</f>
        <v>0</v>
      </c>
      <c r="FH78" s="428">
        <f>IF($FJ$52=5,'1 Setup'!$W$98,IF($FJ$52=6,'1 Setup'!$S$86,0))</f>
        <v>0</v>
      </c>
      <c r="FI78" s="321">
        <f t="shared" ca="1" si="53"/>
        <v>0</v>
      </c>
      <c r="FJ78" s="263">
        <f t="shared" ca="1" si="157"/>
        <v>0</v>
      </c>
      <c r="FK78" s="372">
        <f t="shared" ca="1" si="54"/>
        <v>0</v>
      </c>
      <c r="FL78" s="372">
        <f t="shared" si="55"/>
        <v>0</v>
      </c>
      <c r="FM78" s="372">
        <f t="shared" si="56"/>
        <v>0</v>
      </c>
      <c r="FN78" s="2036">
        <f t="shared" ca="1" si="57"/>
        <v>0</v>
      </c>
      <c r="FO78" s="372">
        <f t="shared" ca="1" si="245"/>
        <v>0</v>
      </c>
      <c r="FP78" s="2723">
        <f t="shared" si="158"/>
        <v>0</v>
      </c>
      <c r="FQ78" s="372">
        <f t="shared" si="59"/>
        <v>0</v>
      </c>
      <c r="FR78" s="372">
        <f t="shared" si="159"/>
        <v>0</v>
      </c>
      <c r="FS78" s="1168"/>
      <c r="FT78" s="1168">
        <f t="shared" si="60"/>
        <v>0</v>
      </c>
      <c r="FU78" s="1168">
        <f t="shared" si="61"/>
        <v>0</v>
      </c>
      <c r="FV78" s="1168">
        <f t="shared" si="62"/>
        <v>0</v>
      </c>
      <c r="FW78" s="1168">
        <f t="shared" si="63"/>
        <v>0</v>
      </c>
      <c r="FX78" s="1168">
        <f t="shared" si="64"/>
        <v>0</v>
      </c>
      <c r="FY78" s="1168">
        <f t="shared" si="65"/>
        <v>0</v>
      </c>
      <c r="FZ78" s="1168">
        <f t="shared" si="66"/>
        <v>0</v>
      </c>
      <c r="GA78" s="1168">
        <f t="shared" si="67"/>
        <v>0</v>
      </c>
      <c r="GB78" s="1168">
        <f t="shared" si="68"/>
        <v>0</v>
      </c>
      <c r="GC78" s="1168">
        <f t="shared" si="69"/>
        <v>0</v>
      </c>
      <c r="GD78" s="1168"/>
      <c r="GE78" s="199"/>
      <c r="GF78" s="201">
        <f t="shared" si="70"/>
        <v>0</v>
      </c>
      <c r="GG78" s="201">
        <f t="shared" si="71"/>
        <v>0</v>
      </c>
      <c r="GH78" s="201">
        <f t="shared" si="72"/>
        <v>0</v>
      </c>
      <c r="GI78" s="201">
        <f t="shared" ca="1" si="160"/>
        <v>0</v>
      </c>
      <c r="GJ78" s="201">
        <f t="shared" si="73"/>
        <v>0</v>
      </c>
      <c r="GK78" s="201">
        <f t="shared" si="74"/>
        <v>0</v>
      </c>
      <c r="GL78" s="201">
        <f t="shared" si="75"/>
        <v>1</v>
      </c>
      <c r="GM78" s="201">
        <f t="shared" si="76"/>
        <v>1</v>
      </c>
      <c r="GN78" s="201"/>
      <c r="GO78" s="201"/>
      <c r="GP78" s="201">
        <f t="shared" si="77"/>
        <v>0</v>
      </c>
      <c r="GQ78" s="201">
        <f t="shared" si="78"/>
        <v>0</v>
      </c>
      <c r="GR78" s="201">
        <f t="shared" si="161"/>
        <v>0</v>
      </c>
      <c r="GS78" s="1768"/>
      <c r="GT78" s="201">
        <f t="shared" si="79"/>
        <v>1</v>
      </c>
      <c r="GU78" s="201">
        <f t="shared" si="193"/>
        <v>15</v>
      </c>
      <c r="GV78" s="201">
        <f t="shared" si="80"/>
        <v>0</v>
      </c>
      <c r="GW78" s="201">
        <f t="shared" si="81"/>
        <v>3</v>
      </c>
      <c r="GX78" s="201">
        <f t="shared" si="162"/>
        <v>0</v>
      </c>
      <c r="GY78" s="1998"/>
      <c r="GZ78" s="253"/>
      <c r="HA78" s="195">
        <f t="shared" si="163"/>
        <v>0</v>
      </c>
      <c r="HB78" s="3558">
        <f t="shared" si="82"/>
        <v>0</v>
      </c>
      <c r="HC78" s="3590"/>
      <c r="HD78" s="257" t="str">
        <f t="shared" si="83"/>
        <v/>
      </c>
      <c r="HE78" s="825">
        <f t="shared" si="84"/>
        <v>0</v>
      </c>
      <c r="HF78" s="506" t="s">
        <v>5</v>
      </c>
      <c r="HG78" s="508">
        <f t="shared" ca="1" si="85"/>
        <v>0</v>
      </c>
      <c r="HH78" s="3585">
        <f t="shared" si="86"/>
        <v>0</v>
      </c>
      <c r="HI78" s="3586"/>
      <c r="HJ78" s="504">
        <f t="shared" ca="1" si="246"/>
        <v>0</v>
      </c>
      <c r="HK78" s="456">
        <f t="shared" ca="1" si="247"/>
        <v>0</v>
      </c>
      <c r="HL78" s="3591">
        <f t="shared" ca="1" si="248"/>
        <v>0</v>
      </c>
      <c r="HM78" s="3592"/>
      <c r="HN78" s="240"/>
      <c r="HO78" s="1998"/>
      <c r="HP78" s="1991"/>
      <c r="HQ78" s="2770" t="str">
        <f t="shared" si="90"/>
        <v>GB - BIAF</v>
      </c>
      <c r="HR78" s="2770" t="str">
        <f t="shared" si="91"/>
        <v>GBP</v>
      </c>
      <c r="HS78" s="2771">
        <f t="shared" si="92"/>
        <v>1</v>
      </c>
      <c r="HT78" s="3488"/>
      <c r="HU78" s="2771">
        <f t="shared" si="93"/>
        <v>1.73</v>
      </c>
      <c r="HW78" s="1218"/>
      <c r="HX78" s="520"/>
      <c r="HY78" s="2523"/>
      <c r="HZ78" s="194"/>
      <c r="IA78" s="1013"/>
      <c r="IB78" s="193"/>
      <c r="IC78" s="3276">
        <v>15</v>
      </c>
      <c r="ID78" s="986"/>
      <c r="IE78" s="938">
        <f t="shared" si="164"/>
        <v>0</v>
      </c>
      <c r="IF78" s="938">
        <f t="shared" si="165"/>
        <v>0</v>
      </c>
      <c r="IG78" s="432"/>
      <c r="II78" s="405"/>
      <c r="IJ78" s="239"/>
      <c r="IK78" s="2774" t="str">
        <f t="shared" si="166"/>
        <v>GBP</v>
      </c>
      <c r="IL78" s="2148"/>
      <c r="IM78" s="1936">
        <f t="shared" si="94"/>
        <v>0</v>
      </c>
      <c r="IO78" s="1959" t="str">
        <f t="shared" si="95"/>
        <v/>
      </c>
      <c r="IP78" s="1958"/>
      <c r="IQ78" s="543">
        <f t="shared" si="96"/>
        <v>0.52</v>
      </c>
      <c r="IR78" s="1936">
        <f t="shared" si="97"/>
        <v>0</v>
      </c>
      <c r="IT78" s="1364"/>
      <c r="IU78" s="210"/>
      <c r="IV78" s="218"/>
      <c r="IW78" s="1938">
        <f ca="1">IF(NOT(ISBLANK(IU78)),IU78,IF('1 Setup'!$G$8&lt;7,JK78,FJ78))+KA78</f>
        <v>0</v>
      </c>
      <c r="IX78" s="409">
        <f t="shared" si="98"/>
        <v>0</v>
      </c>
      <c r="IY78" s="408">
        <f t="shared" si="99"/>
        <v>0</v>
      </c>
      <c r="IZ78" s="1983"/>
      <c r="JA78" s="1994"/>
      <c r="JB78" s="1991"/>
      <c r="JD78" s="2029">
        <f t="shared" si="167"/>
        <v>0</v>
      </c>
      <c r="JE78" s="479"/>
      <c r="JF78" s="2025">
        <f t="shared" si="100"/>
        <v>0</v>
      </c>
      <c r="JG78" s="429">
        <f t="shared" si="101"/>
        <v>0</v>
      </c>
      <c r="JH78" s="1667">
        <f t="shared" si="102"/>
        <v>0</v>
      </c>
      <c r="JJ78" s="1163">
        <f t="shared" ca="1" si="103"/>
        <v>0</v>
      </c>
      <c r="JK78" s="1163">
        <f t="shared" ca="1" si="104"/>
        <v>0</v>
      </c>
      <c r="JL78" s="1795"/>
      <c r="JN78" s="2505"/>
      <c r="JO78" s="1161"/>
      <c r="JP78" s="571">
        <f t="shared" ca="1" si="105"/>
        <v>0</v>
      </c>
      <c r="JQ78" s="2506"/>
      <c r="JR78" s="1953"/>
      <c r="JS78" s="2650"/>
      <c r="JT78" s="2507"/>
      <c r="JU78" s="1964">
        <f t="shared" si="106"/>
        <v>0.33450000000000002</v>
      </c>
      <c r="JV78" s="3199"/>
      <c r="JW78" s="2649">
        <f t="shared" si="107"/>
        <v>1.5</v>
      </c>
      <c r="JX78" s="1964">
        <f t="shared" si="168"/>
        <v>0.1565</v>
      </c>
      <c r="JY78" s="3199"/>
      <c r="JZ78" s="2649">
        <f t="shared" si="169"/>
        <v>0</v>
      </c>
      <c r="KA78" s="2649">
        <f t="shared" si="170"/>
        <v>0</v>
      </c>
      <c r="KB78" s="2649" t="s">
        <v>111</v>
      </c>
      <c r="KC78" s="1983"/>
      <c r="KD78" s="1974"/>
      <c r="KE78" s="1991"/>
      <c r="KF78" s="2029">
        <f t="shared" si="171"/>
        <v>0</v>
      </c>
      <c r="KG78" s="1991"/>
      <c r="KH78" s="2121">
        <f t="shared" si="108"/>
        <v>0</v>
      </c>
      <c r="KI78" s="2130">
        <f t="shared" si="109"/>
        <v>0</v>
      </c>
      <c r="KJ78" s="2130">
        <f t="shared" si="110"/>
        <v>0</v>
      </c>
      <c r="KK78" s="2130">
        <f t="shared" si="111"/>
        <v>0</v>
      </c>
      <c r="KL78" s="2131">
        <f t="shared" si="112"/>
        <v>0</v>
      </c>
      <c r="KM78" s="2132">
        <f t="shared" si="113"/>
        <v>0</v>
      </c>
      <c r="KN78" s="2132">
        <f t="shared" si="114"/>
        <v>0</v>
      </c>
      <c r="KO78" s="2132">
        <f t="shared" si="115"/>
        <v>0</v>
      </c>
      <c r="KP78" s="2132">
        <f t="shared" si="116"/>
        <v>0</v>
      </c>
      <c r="KQ78" s="2133">
        <f t="shared" si="117"/>
        <v>0</v>
      </c>
      <c r="KS78" s="2253">
        <f t="shared" si="118"/>
        <v>0</v>
      </c>
      <c r="KT78" s="2270">
        <f t="shared" ref="KT78:LB78" si="250">KS78*(1+(KT$60))</f>
        <v>0</v>
      </c>
      <c r="KU78" s="2271">
        <f t="shared" si="250"/>
        <v>0</v>
      </c>
      <c r="KV78" s="2271">
        <f t="shared" si="250"/>
        <v>0</v>
      </c>
      <c r="KW78" s="2272">
        <f t="shared" si="250"/>
        <v>0</v>
      </c>
      <c r="KX78" s="2271">
        <f t="shared" si="250"/>
        <v>0</v>
      </c>
      <c r="KY78" s="2271">
        <f t="shared" si="250"/>
        <v>0</v>
      </c>
      <c r="KZ78" s="2271">
        <f t="shared" si="250"/>
        <v>0</v>
      </c>
      <c r="LA78" s="2271">
        <f t="shared" si="250"/>
        <v>0</v>
      </c>
      <c r="LB78" s="2273">
        <f t="shared" si="250"/>
        <v>0</v>
      </c>
      <c r="LC78" s="272"/>
      <c r="LD78" s="2124">
        <f t="shared" si="120"/>
        <v>0</v>
      </c>
      <c r="LE78" s="2093">
        <f t="shared" si="121"/>
        <v>0</v>
      </c>
      <c r="LF78" s="2093">
        <f t="shared" si="122"/>
        <v>0</v>
      </c>
      <c r="LG78" s="2093">
        <f t="shared" si="123"/>
        <v>0</v>
      </c>
      <c r="LH78" s="2094">
        <f t="shared" si="124"/>
        <v>0</v>
      </c>
      <c r="LI78" s="2095">
        <f t="shared" si="125"/>
        <v>0</v>
      </c>
      <c r="LJ78" s="2095">
        <f t="shared" si="126"/>
        <v>0</v>
      </c>
      <c r="LK78" s="2095">
        <f t="shared" si="127"/>
        <v>0</v>
      </c>
      <c r="LL78" s="2095">
        <f t="shared" si="128"/>
        <v>0</v>
      </c>
      <c r="LM78" s="2096">
        <f t="shared" si="129"/>
        <v>0</v>
      </c>
      <c r="LN78" s="749"/>
      <c r="LO78" s="2256">
        <f t="shared" ca="1" si="130"/>
        <v>0</v>
      </c>
      <c r="LP78" s="2270">
        <f t="shared" ca="1" si="131"/>
        <v>0</v>
      </c>
      <c r="LQ78" s="2271">
        <f t="shared" ca="1" si="132"/>
        <v>0</v>
      </c>
      <c r="LR78" s="2271">
        <f t="shared" ca="1" si="133"/>
        <v>0</v>
      </c>
      <c r="LS78" s="2272">
        <f t="shared" ca="1" si="134"/>
        <v>0</v>
      </c>
      <c r="LT78" s="2271">
        <f t="shared" ca="1" si="135"/>
        <v>0</v>
      </c>
      <c r="LU78" s="2271">
        <f t="shared" ca="1" si="136"/>
        <v>0</v>
      </c>
      <c r="LV78" s="2271">
        <f t="shared" ca="1" si="137"/>
        <v>0</v>
      </c>
      <c r="LW78" s="2271">
        <f t="shared" ca="1" si="138"/>
        <v>0</v>
      </c>
      <c r="LX78" s="2273">
        <f t="shared" ca="1" si="139"/>
        <v>0</v>
      </c>
      <c r="LY78" s="479"/>
      <c r="LZ78" s="3128">
        <f t="shared" ca="1" si="173"/>
        <v>-1.73</v>
      </c>
      <c r="MA78" s="3129">
        <f t="shared" ca="1" si="174"/>
        <v>-1.73</v>
      </c>
      <c r="MB78" s="3129">
        <f t="shared" ca="1" si="175"/>
        <v>-1.73</v>
      </c>
      <c r="MC78" s="3129">
        <f t="shared" ca="1" si="176"/>
        <v>-1.73</v>
      </c>
      <c r="MD78" s="3130">
        <f t="shared" ca="1" si="177"/>
        <v>-1.73</v>
      </c>
      <c r="ME78" s="3129">
        <f t="shared" ca="1" si="178"/>
        <v>-1.73</v>
      </c>
      <c r="MF78" s="3129">
        <f t="shared" ca="1" si="179"/>
        <v>-1.73</v>
      </c>
      <c r="MG78" s="3129">
        <f t="shared" ca="1" si="180"/>
        <v>-1.73</v>
      </c>
      <c r="MH78" s="3129">
        <f t="shared" ca="1" si="181"/>
        <v>-1.73</v>
      </c>
      <c r="MI78" s="3131">
        <f t="shared" ca="1" si="182"/>
        <v>-1.73</v>
      </c>
      <c r="MJ78" s="3201"/>
      <c r="MK78" s="3206">
        <f t="shared" ca="1" si="183"/>
        <v>0</v>
      </c>
      <c r="ML78" s="3207">
        <f t="shared" ca="1" si="184"/>
        <v>0</v>
      </c>
      <c r="MM78" s="3207">
        <f t="shared" ca="1" si="185"/>
        <v>0</v>
      </c>
      <c r="MN78" s="3207">
        <f t="shared" ca="1" si="186"/>
        <v>0</v>
      </c>
      <c r="MO78" s="3208">
        <f t="shared" ca="1" si="187"/>
        <v>0</v>
      </c>
      <c r="MP78" s="3207">
        <f t="shared" ca="1" si="188"/>
        <v>0</v>
      </c>
      <c r="MQ78" s="3207">
        <f t="shared" ca="1" si="189"/>
        <v>0</v>
      </c>
      <c r="MR78" s="3207">
        <f t="shared" ca="1" si="190"/>
        <v>0</v>
      </c>
      <c r="MS78" s="3207">
        <f t="shared" ca="1" si="191"/>
        <v>0</v>
      </c>
      <c r="MT78" s="3209">
        <f t="shared" ca="1" si="192"/>
        <v>0</v>
      </c>
      <c r="MU78" s="1983"/>
      <c r="MV78" s="1975"/>
      <c r="MW78" s="1991"/>
      <c r="MX78" s="1931">
        <f t="shared" si="142"/>
        <v>0</v>
      </c>
      <c r="MY78" s="749"/>
      <c r="MZ78" s="1934">
        <f t="shared" si="143"/>
        <v>0</v>
      </c>
      <c r="NA78" s="1935"/>
      <c r="NB78" s="2652">
        <f t="shared" si="144"/>
        <v>0</v>
      </c>
      <c r="NC78" s="479"/>
      <c r="ND78" s="2749" t="str">
        <f t="shared" si="145"/>
        <v/>
      </c>
      <c r="NE78" s="2717"/>
      <c r="NF78" s="1975"/>
      <c r="NG78" s="1975"/>
      <c r="NH78" s="1975"/>
      <c r="NI78" s="1975"/>
    </row>
    <row r="79" spans="1:373" s="192" customFormat="1" ht="15.9" customHeight="1" x14ac:dyDescent="0.3">
      <c r="A79" s="200"/>
      <c r="B79" s="200"/>
      <c r="C79" s="200"/>
      <c r="D79" s="200"/>
      <c r="E79" s="200"/>
      <c r="F79" s="200"/>
      <c r="G79" s="200"/>
      <c r="H79" s="200"/>
      <c r="I79" s="200"/>
      <c r="J79" s="200"/>
      <c r="K79" s="200"/>
      <c r="L79" s="200"/>
      <c r="M79" s="200"/>
      <c r="N79" s="200"/>
      <c r="O79" s="200"/>
      <c r="P79" s="1539"/>
      <c r="Q79" s="1539"/>
      <c r="R79" s="198"/>
      <c r="S79" s="1539"/>
      <c r="T79" s="201"/>
      <c r="U79" s="200"/>
      <c r="V79" s="201">
        <f>MATCH($IC79,'3b Activity Plan'!$DJ$171:$FH$171,0)</f>
        <v>16</v>
      </c>
      <c r="W79" s="201">
        <f>IFERROR(INDEX('3b Activity Plan'!$DJ$6:$FH$6,V79),0)</f>
        <v>0</v>
      </c>
      <c r="X79" s="1768"/>
      <c r="Y79" s="1768">
        <f>IFERROR(INDEX('3b Activity Plan'!$DJ$7:$FH$7,V79),0)</f>
        <v>0</v>
      </c>
      <c r="Z79" s="201"/>
      <c r="AA79" s="201">
        <f>IFERROR(INDEX('3b Activity Plan'!$DJ$34:$FH$34,$V79),0)</f>
        <v>0</v>
      </c>
      <c r="AB79" s="201">
        <f>IFERROR(INDEX('3b Activity Plan'!$DJ$35:$FH$35,$V79),0)</f>
        <v>0</v>
      </c>
      <c r="AC79" s="201">
        <f>IFERROR(INDEX('3b Activity Plan'!$DJ$36:$FH$36,$V79),0)</f>
        <v>0</v>
      </c>
      <c r="AD79" s="201">
        <f>IFERROR(INDEX('3b Activity Plan'!$DJ$37:$FH$37,$V79),0)</f>
        <v>0</v>
      </c>
      <c r="AE79" s="201">
        <f>IFERROR(INDEX('3b Activity Plan'!$DJ$38:$FH$38,$V79),0)</f>
        <v>0</v>
      </c>
      <c r="AF79" s="201">
        <f>IFERROR(INDEX('3b Activity Plan'!$DJ$39:$FH$39,$V79),0)</f>
        <v>0</v>
      </c>
      <c r="AG79" s="201">
        <f>IFERROR(INDEX('3b Activity Plan'!$DJ$40:$FH$40,$V79),0)</f>
        <v>0</v>
      </c>
      <c r="AH79" s="201">
        <f>IFERROR(INDEX('3b Activity Plan'!$DJ$41:$FH$41,$V79),0)</f>
        <v>0</v>
      </c>
      <c r="AI79" s="201">
        <f>IFERROR(INDEX('3b Activity Plan'!$DJ$42:$FH$42,$V79),0)</f>
        <v>0</v>
      </c>
      <c r="AJ79" s="201">
        <f>IFERROR(INDEX('3b Activity Plan'!$DJ$43:$FH$43,$V79),0)</f>
        <v>0</v>
      </c>
      <c r="AK79" s="201"/>
      <c r="AL79" s="201">
        <f>SUMIFS('3a Staff Plan'!$AR$129:$AR$305,'3a Staff Plan'!$DY$129:$DY$305,$IA79,'3a Staff Plan'!$DF$129:$DF$305,1)</f>
        <v>0</v>
      </c>
      <c r="AM79" s="1768"/>
      <c r="AN79" s="1768">
        <f>SUMIFS('3a Staff Plan'!$AR$129:$AR$305,'3a Staff Plan'!$DY$129:$DY$305,$IA79,'3a Staff Plan'!$CV$129:$CV$305,1)</f>
        <v>0</v>
      </c>
      <c r="AO79" s="201"/>
      <c r="AP79" s="201">
        <f>SUMIFS('3a Staff Plan'!$AS$129:$AS$305,'3a Staff Plan'!$DY$129:$DY$305,$IA79,'3a Staff Plan'!$DF$129:$DF$305,1)</f>
        <v>0</v>
      </c>
      <c r="AQ79" s="201">
        <f>SUMIFS('3a Staff Plan'!$AT$129:$AT$305,'3a Staff Plan'!$DY$129:$DY$305,$IA79,'3a Staff Plan'!$DF$129:$DF$305,1)</f>
        <v>0</v>
      </c>
      <c r="AR79" s="201">
        <f>SUMIFS('3a Staff Plan'!$AU$129:$AU$305,'3a Staff Plan'!$DY$129:$DY$305,$IA79,'3a Staff Plan'!$DF$129:$DF$305,1)</f>
        <v>0</v>
      </c>
      <c r="AS79" s="201">
        <f>SUMIFS('3a Staff Plan'!$AV$129:$AV$305,'3a Staff Plan'!$DY$129:$DY$305,$IA79,'3a Staff Plan'!$DF$129:$DF$305,1)</f>
        <v>0</v>
      </c>
      <c r="AT79" s="201">
        <f>SUMIFS('3a Staff Plan'!$AW$129:$AW$305,'3a Staff Plan'!$DY$129:$DY$305,$IA79,'3a Staff Plan'!$DF$129:$DF$305,1)</f>
        <v>0</v>
      </c>
      <c r="AU79" s="201">
        <f>SUMIFS('3a Staff Plan'!$AX$129:$AX$305,'3a Staff Plan'!$DY$129:$DY$305,$IA79,'3a Staff Plan'!$DF$129:$DF$305,1)</f>
        <v>0</v>
      </c>
      <c r="AV79" s="201">
        <f>SUMIFS('3a Staff Plan'!$AY$129:$AY$305,'3a Staff Plan'!$DY$129:$DY$305,$IA79,'3a Staff Plan'!$DF$129:$DF$305,1)</f>
        <v>0</v>
      </c>
      <c r="AW79" s="201">
        <f>SUMIFS('3a Staff Plan'!$AZ$129:$AZ$305,'3a Staff Plan'!$DY$129:$DY$305,$IA79,'3a Staff Plan'!$DF$129:$DF$305,1)</f>
        <v>0</v>
      </c>
      <c r="AX79" s="201">
        <f>SUMIFS('3a Staff Plan'!$BA$129:$BA$305,'3a Staff Plan'!$DY$129:$DY$305,$IA79,'3a Staff Plan'!$DF$129:$DF$305,1)</f>
        <v>0</v>
      </c>
      <c r="AY79" s="201">
        <f>SUMIFS('3a Staff Plan'!$BB$129:$BB$305,'3a Staff Plan'!$DY$129:$DY$305,$IA79,'3a Staff Plan'!$DF$129:$DF$305,1)</f>
        <v>0</v>
      </c>
      <c r="AZ79" s="201"/>
      <c r="BA79" s="201">
        <f t="shared" si="240"/>
        <v>0</v>
      </c>
      <c r="BB79" s="1768"/>
      <c r="BC79" s="1768">
        <f t="shared" si="240"/>
        <v>0</v>
      </c>
      <c r="BD79" s="201"/>
      <c r="BE79" s="201">
        <f t="shared" si="241"/>
        <v>0</v>
      </c>
      <c r="BF79" s="201">
        <f t="shared" si="241"/>
        <v>0</v>
      </c>
      <c r="BG79" s="201">
        <f t="shared" si="241"/>
        <v>0</v>
      </c>
      <c r="BH79" s="201">
        <f t="shared" si="241"/>
        <v>0</v>
      </c>
      <c r="BI79" s="201">
        <f t="shared" si="241"/>
        <v>0</v>
      </c>
      <c r="BJ79" s="201">
        <f t="shared" si="241"/>
        <v>0</v>
      </c>
      <c r="BK79" s="201">
        <f t="shared" si="241"/>
        <v>0</v>
      </c>
      <c r="BL79" s="201">
        <f t="shared" si="241"/>
        <v>0</v>
      </c>
      <c r="BM79" s="201">
        <f t="shared" si="241"/>
        <v>0</v>
      </c>
      <c r="BN79" s="201">
        <f t="shared" si="241"/>
        <v>0</v>
      </c>
      <c r="BO79" s="201"/>
      <c r="BP79" s="1818">
        <f t="shared" si="146"/>
        <v>16</v>
      </c>
      <c r="BQ79" s="1818">
        <f>IFERROR(INDEX('3b Activity Plan'!$DJ$15:$FH$15,BP79),0)</f>
        <v>0</v>
      </c>
      <c r="BR79" s="1768"/>
      <c r="BS79" s="1768">
        <f>IFERROR(INDEX('3b Activity Plan'!$DJ$16:$FH$16,BP79),0)</f>
        <v>0</v>
      </c>
      <c r="BT79" s="201"/>
      <c r="BU79" s="201">
        <f>IFERROR(INDEX('3b Activity Plan'!$DJ$67:$FH$67,$V79),0)</f>
        <v>0</v>
      </c>
      <c r="BV79" s="201">
        <f>IFERROR(INDEX('3b Activity Plan'!$DJ$68:$FH$68,$V79),0)</f>
        <v>0</v>
      </c>
      <c r="BW79" s="201">
        <f>IFERROR(INDEX('3b Activity Plan'!$DJ$69:$FH$69,$V79),0)</f>
        <v>0</v>
      </c>
      <c r="BX79" s="201">
        <f>IFERROR(INDEX('3b Activity Plan'!$DJ$70:$FH$70,$V79),0)</f>
        <v>0</v>
      </c>
      <c r="BY79" s="201">
        <f>IFERROR(INDEX('3b Activity Plan'!$DJ$71:$FH$71,$V79),0)</f>
        <v>0</v>
      </c>
      <c r="BZ79" s="201">
        <f>IFERROR(INDEX('3b Activity Plan'!$DJ$72:$FH$72,$V79),0)</f>
        <v>0</v>
      </c>
      <c r="CA79" s="201">
        <f>IFERROR(INDEX('3b Activity Plan'!$DJ$73:$FH$73,$V79),0)</f>
        <v>0</v>
      </c>
      <c r="CB79" s="201">
        <f>IFERROR(INDEX('3b Activity Plan'!$DJ$74:$FH$74,$V79),0)</f>
        <v>0</v>
      </c>
      <c r="CC79" s="201">
        <f>IFERROR(INDEX('3b Activity Plan'!$DJ$75:$FH$75,$V79),0)</f>
        <v>0</v>
      </c>
      <c r="CD79" s="201">
        <f>IFERROR(INDEX('3b Activity Plan'!$DJ$76:$FH$76,$V79),0)</f>
        <v>0</v>
      </c>
      <c r="CE79" s="201"/>
      <c r="CF79" s="1818">
        <f>SUMIFS('3a Staff Plan'!$AR$129:$AR$305,'3a Staff Plan'!$DY$129:$DY$305,$IA79,'3a Staff Plan'!$AG$129:$AG$305,1,'3a Staff Plan'!$DF$129:$DF$305,1)</f>
        <v>0</v>
      </c>
      <c r="CG79" s="1768">
        <f>SUMIFS('3a Staff Plan'!$AR$129:$AR$305,'3a Staff Plan'!$DY$129:$DY$305,$IA79,'3a Staff Plan'!$AG$129:$AG$305,1,'3a Staff Plan'!$CX$129:$CX$305,1)</f>
        <v>0</v>
      </c>
      <c r="CH79" s="1768">
        <f>SUMIFS('3a Staff Plan'!$AR$129:$AR$305,'3a Staff Plan'!$DY$129:$DY$305,$IA79,'3a Staff Plan'!$AG$129:$AG$305,1,'3a Staff Plan'!$CV$129:$CV$305,1)</f>
        <v>0</v>
      </c>
      <c r="CI79" s="201"/>
      <c r="CJ79" s="201">
        <f>SUMIFS('3a Staff Plan'!$BX$129:$BX$305,'3a Staff Plan'!$DY$129:$DY$305,$IA79,'3a Staff Plan'!$DF$129:$DF$305,1,'3a Staff Plan'!$AG$129:$AG$305,1)</f>
        <v>0</v>
      </c>
      <c r="CK79" s="201">
        <f>SUMIFS('3a Staff Plan'!$BY$129:$BY$305,'3a Staff Plan'!$DY$129:$DY$305,$IA79,'3a Staff Plan'!$DF$129:$DF$305,1,'3a Staff Plan'!$AG$129:$AG$305,1)</f>
        <v>0</v>
      </c>
      <c r="CL79" s="201">
        <f>SUMIFS('3a Staff Plan'!$BZ$129:$BZ$305,'3a Staff Plan'!$DY$129:$DY$305,$IA79,'3a Staff Plan'!$DF$129:$DF$305,1,'3a Staff Plan'!$AG$129:$AG$305,1)</f>
        <v>0</v>
      </c>
      <c r="CM79" s="201">
        <f>SUMIFS('3a Staff Plan'!$CA$129:$CA$305,'3a Staff Plan'!$DY$129:$DY$305,$IA79,'3a Staff Plan'!$DF$129:$DF$305,1,'3a Staff Plan'!$AG$129:$AG$305,1)</f>
        <v>0</v>
      </c>
      <c r="CN79" s="201">
        <f>SUMIFS('3a Staff Plan'!$CB$129:$CB$305,'3a Staff Plan'!$DY$129:$DY$305,$IA79,'3a Staff Plan'!$DF$129:$DF$305,1,'3a Staff Plan'!$AG$129:$AG$305,1)</f>
        <v>0</v>
      </c>
      <c r="CO79" s="201">
        <f>SUMIFS('3a Staff Plan'!$CC$129:$CC$305,'3a Staff Plan'!$DY$129:$DY$305,$IA79,'3a Staff Plan'!$DF$129:$DF$305,1,'3a Staff Plan'!$AG$129:$AG$305,1)</f>
        <v>0</v>
      </c>
      <c r="CP79" s="201">
        <f>SUMIFS('3a Staff Plan'!$CD$129:$CD$305,'3a Staff Plan'!$DY$129:$DY$305,$IA79,'3a Staff Plan'!$DF$129:$DF$305,1,'3a Staff Plan'!$AG$129:$AG$305,1)</f>
        <v>0</v>
      </c>
      <c r="CQ79" s="201">
        <f>SUMIFS('3a Staff Plan'!$CE$129:$CE$305,'3a Staff Plan'!$DY$129:$DY$305,$IA79,'3a Staff Plan'!$DF$129:$DF$305,1,'3a Staff Plan'!$AG$129:$AG$305,1)</f>
        <v>0</v>
      </c>
      <c r="CR79" s="201">
        <f>SUMIFS('3a Staff Plan'!$CF$129:$CF$305,'3a Staff Plan'!$DY$129:$DY$305,$IA79,'3a Staff Plan'!$DF$129:$DF$305,1,'3a Staff Plan'!$AG$129:$AG$305,1)</f>
        <v>0</v>
      </c>
      <c r="CS79" s="201">
        <f>SUMIFS('3a Staff Plan'!$CG$129:$CG$305,'3a Staff Plan'!$DY$129:$DY$305,$IA79,'3a Staff Plan'!$DF$129:$DF$305,1,'3a Staff Plan'!$AG$129:$AG$305,1)</f>
        <v>0</v>
      </c>
      <c r="CT79" s="201"/>
      <c r="CU79" s="1818">
        <f t="shared" si="242"/>
        <v>0</v>
      </c>
      <c r="CV79" s="1768"/>
      <c r="CW79" s="1768">
        <f t="shared" si="242"/>
        <v>0</v>
      </c>
      <c r="CX79" s="201"/>
      <c r="CY79" s="201">
        <f t="shared" si="243"/>
        <v>0</v>
      </c>
      <c r="CZ79" s="201">
        <f t="shared" si="243"/>
        <v>0</v>
      </c>
      <c r="DA79" s="201">
        <f t="shared" si="243"/>
        <v>0</v>
      </c>
      <c r="DB79" s="201">
        <f t="shared" si="243"/>
        <v>0</v>
      </c>
      <c r="DC79" s="201">
        <f t="shared" si="243"/>
        <v>0</v>
      </c>
      <c r="DD79" s="201">
        <f t="shared" si="243"/>
        <v>0</v>
      </c>
      <c r="DE79" s="201">
        <f t="shared" si="243"/>
        <v>0</v>
      </c>
      <c r="DF79" s="201">
        <f t="shared" si="243"/>
        <v>0</v>
      </c>
      <c r="DG79" s="201">
        <f t="shared" si="243"/>
        <v>0</v>
      </c>
      <c r="DH79" s="201">
        <f t="shared" si="243"/>
        <v>0</v>
      </c>
      <c r="DI79" s="201"/>
      <c r="DJ79" s="201"/>
      <c r="DK79" s="201"/>
      <c r="DL79" s="201"/>
      <c r="DM79" s="372">
        <f t="shared" ca="1" si="37"/>
        <v>0</v>
      </c>
      <c r="DN79" s="1185">
        <f t="shared" si="38"/>
        <v>0</v>
      </c>
      <c r="DO79" s="1185">
        <f t="shared" si="39"/>
        <v>0</v>
      </c>
      <c r="DP79" s="201"/>
      <c r="DQ79" s="372">
        <f t="shared" ca="1" si="40"/>
        <v>0</v>
      </c>
      <c r="DR79" s="1185">
        <f t="shared" si="41"/>
        <v>0</v>
      </c>
      <c r="DS79" s="1185">
        <f t="shared" si="42"/>
        <v>0</v>
      </c>
      <c r="DT79" s="201"/>
      <c r="DU79" s="372">
        <f t="shared" ca="1" si="244"/>
        <v>0</v>
      </c>
      <c r="DV79" s="372">
        <f t="shared" si="244"/>
        <v>0</v>
      </c>
      <c r="DW79" s="372">
        <f t="shared" si="244"/>
        <v>0</v>
      </c>
      <c r="DX79" s="201"/>
      <c r="DY79" s="372">
        <f t="shared" si="44"/>
        <v>0</v>
      </c>
      <c r="DZ79" s="372">
        <f t="shared" ca="1" si="45"/>
        <v>0</v>
      </c>
      <c r="EA79" s="201"/>
      <c r="EB79" s="2776">
        <f>IF(EO79=$EO$53,1,IFERROR(INDEX('Currency Data'!$L$8:$L$41,MATCH(EO79,'Currency Data'!$H$8:$H$41,0)),1))</f>
        <v>1</v>
      </c>
      <c r="EC79" s="2776">
        <f t="shared" si="147"/>
        <v>1</v>
      </c>
      <c r="ED79" s="428">
        <f>IF(GQ79=1,'1 Setup'!$T$68,IF(ISBLANK(IJ79),II79/EC79*IF(GL79=1,$ED$53,1),IJ79/EC79)*IF($EW79=7,JW79,1))</f>
        <v>0</v>
      </c>
      <c r="EE79" s="428">
        <f t="shared" si="46"/>
        <v>0</v>
      </c>
      <c r="EF79" s="428"/>
      <c r="EG79" s="1965" t="str">
        <f t="shared" si="148"/>
        <v>031500 - Highways UK</v>
      </c>
      <c r="EH79" s="201">
        <f t="shared" si="149"/>
        <v>1</v>
      </c>
      <c r="EI79" s="445" t="str">
        <f>IF(EH79=1,$EI$53,IF(GQ79=1,$GQ$55,IFERROR(IF($EG79=$EG$53,$EI$53,INDEX('PU List'!$G$6:$G$413,MATCH($EG79,'PU List'!$D$6:$D$413,0))),$EI$53)))</f>
        <v>GB - BIAF</v>
      </c>
      <c r="EJ79" s="2773" t="str">
        <f t="shared" si="150"/>
        <v>GB - BIAF</v>
      </c>
      <c r="EK79" s="1768"/>
      <c r="EL79" s="3283">
        <f>IF(OR(EW79&gt;7,$EL$53=0),0,IF(EJ79=$EI$53,$EL$53,IFERROR(INDEX('Fringe Data'!$U$8:$U$129,MATCH($EJ79,'Fringe Data'!$F$8:$F$129,0)),0)))</f>
        <v>1.73</v>
      </c>
      <c r="EM79" s="372">
        <f t="shared" si="47"/>
        <v>0</v>
      </c>
      <c r="EN79" s="201" t="str">
        <f>IFERROR(INDEX('Fringe Data'!$G$8:$G$64,MATCH($EJ79,'Fringe Data'!$F$8:$F$64,0)),$EO$53)</f>
        <v>GBP</v>
      </c>
      <c r="EO79" s="201" t="str">
        <f t="shared" si="151"/>
        <v>GBP</v>
      </c>
      <c r="EP79" s="201">
        <f>IF(EI79=$EI$53,$EP$49,IF(GP79=1,0,IFERROR(INDEX('Fringe Data'!$K$8:$K$64,MATCH($EI79,'Fringe Data'!$F$8:$F$64,0)),0)))</f>
        <v>0.52</v>
      </c>
      <c r="EQ79" s="201">
        <f>IF(EI79=$EI$53,$EQ$49,IF(GP79=1,0,IFERROR(INDEX('Fringe Data'!$L$8:$L$64,MATCH($EI79,'Fringe Data'!$F$8:$F$64,0)),0)))</f>
        <v>1.8499999999999999E-2</v>
      </c>
      <c r="ER79" s="201">
        <f>IF(EI79=$EI$53,$ER$49,IF(GP79=1,0,IFERROR(INDEX('Fringe Data'!$M$8:$M$64,MATCH($EI79,'Fringe Data'!$F$8:$F$64,0)),0)))</f>
        <v>0.43430000000000002</v>
      </c>
      <c r="ES79" s="201">
        <f>IF(EI79=$EI$53,$ES$49,IF(GP79=1,0,IFERROR(INDEX('Fringe Data'!$N$8:$N$64,MATCH($EI79,'Fringe Data'!$F$8:$F$64,0)),0)))</f>
        <v>0.1565</v>
      </c>
      <c r="ET79" s="201">
        <f>IF(EI79=$EI$53,$ET$49,IF(GP79=1,0,IFERROR(INDEX('Fringe Data'!$O$8:$O$64,MATCH($EI79,'Fringe Data'!$F$8:$F$64,0)),0)))</f>
        <v>0.33450000000000002</v>
      </c>
      <c r="EU79" s="263">
        <f>IF(EI79=$EI$53,$EU$49,IF(GP79=1,0,IFERROR(INDEX('Fringe Data'!$P$8:$P$64,MATCH($EI79,'Fringe Data'!$F$8:$F$64,0)),0)))</f>
        <v>0.1565</v>
      </c>
      <c r="EV79" s="201"/>
      <c r="EW79" s="1530">
        <f t="shared" si="48"/>
        <v>1</v>
      </c>
      <c r="EX79" s="1534">
        <f t="shared" si="152"/>
        <v>0.52</v>
      </c>
      <c r="EY79" s="321">
        <f t="shared" si="153"/>
        <v>0</v>
      </c>
      <c r="EZ79" s="201">
        <f t="shared" si="154"/>
        <v>0</v>
      </c>
      <c r="FA79" s="372">
        <f t="shared" si="49"/>
        <v>0</v>
      </c>
      <c r="FB79" s="372">
        <f t="shared" si="50"/>
        <v>0</v>
      </c>
      <c r="FC79" s="201">
        <f t="shared" ca="1" si="155"/>
        <v>0</v>
      </c>
      <c r="FD79" s="423">
        <f t="shared" si="51"/>
        <v>0</v>
      </c>
      <c r="FE79" s="423">
        <f t="shared" si="52"/>
        <v>0</v>
      </c>
      <c r="FF79" s="201">
        <f t="shared" si="156"/>
        <v>0</v>
      </c>
      <c r="FG79" s="425">
        <f>IF(OR($FJ$52=3,$FJ$52=4,$FJ$52=5),'1 Setup'!$W$96,0)</f>
        <v>0</v>
      </c>
      <c r="FH79" s="428">
        <f>IF($FJ$52=5,'1 Setup'!$W$98,IF($FJ$52=6,'1 Setup'!$S$86,0))</f>
        <v>0</v>
      </c>
      <c r="FI79" s="321">
        <f t="shared" ca="1" si="53"/>
        <v>0</v>
      </c>
      <c r="FJ79" s="263">
        <f t="shared" ca="1" si="157"/>
        <v>0</v>
      </c>
      <c r="FK79" s="372">
        <f t="shared" ca="1" si="54"/>
        <v>0</v>
      </c>
      <c r="FL79" s="372">
        <f t="shared" si="55"/>
        <v>0</v>
      </c>
      <c r="FM79" s="372">
        <f t="shared" si="56"/>
        <v>0</v>
      </c>
      <c r="FN79" s="2036">
        <f t="shared" ca="1" si="57"/>
        <v>0</v>
      </c>
      <c r="FO79" s="372">
        <f t="shared" ca="1" si="245"/>
        <v>0</v>
      </c>
      <c r="FP79" s="2723">
        <f t="shared" si="158"/>
        <v>0</v>
      </c>
      <c r="FQ79" s="372">
        <f t="shared" si="59"/>
        <v>0</v>
      </c>
      <c r="FR79" s="372">
        <f t="shared" si="159"/>
        <v>0</v>
      </c>
      <c r="FS79" s="1168"/>
      <c r="FT79" s="1168">
        <f t="shared" si="60"/>
        <v>0</v>
      </c>
      <c r="FU79" s="1168">
        <f t="shared" si="61"/>
        <v>0</v>
      </c>
      <c r="FV79" s="1168">
        <f t="shared" si="62"/>
        <v>0</v>
      </c>
      <c r="FW79" s="1168">
        <f t="shared" si="63"/>
        <v>0</v>
      </c>
      <c r="FX79" s="1168">
        <f t="shared" si="64"/>
        <v>0</v>
      </c>
      <c r="FY79" s="1168">
        <f t="shared" si="65"/>
        <v>0</v>
      </c>
      <c r="FZ79" s="1168">
        <f t="shared" si="66"/>
        <v>0</v>
      </c>
      <c r="GA79" s="1168">
        <f t="shared" si="67"/>
        <v>0</v>
      </c>
      <c r="GB79" s="1168">
        <f t="shared" si="68"/>
        <v>0</v>
      </c>
      <c r="GC79" s="1168">
        <f t="shared" si="69"/>
        <v>0</v>
      </c>
      <c r="GD79" s="1168"/>
      <c r="GE79" s="199"/>
      <c r="GF79" s="201">
        <f t="shared" si="70"/>
        <v>0</v>
      </c>
      <c r="GG79" s="201">
        <f t="shared" si="71"/>
        <v>0</v>
      </c>
      <c r="GH79" s="201">
        <f t="shared" si="72"/>
        <v>0</v>
      </c>
      <c r="GI79" s="201">
        <f t="shared" ca="1" si="160"/>
        <v>0</v>
      </c>
      <c r="GJ79" s="201">
        <f t="shared" si="73"/>
        <v>0</v>
      </c>
      <c r="GK79" s="201">
        <f t="shared" si="74"/>
        <v>0</v>
      </c>
      <c r="GL79" s="201">
        <f t="shared" si="75"/>
        <v>1</v>
      </c>
      <c r="GM79" s="201">
        <f t="shared" si="76"/>
        <v>1</v>
      </c>
      <c r="GN79" s="201"/>
      <c r="GO79" s="201"/>
      <c r="GP79" s="201">
        <f t="shared" si="77"/>
        <v>0</v>
      </c>
      <c r="GQ79" s="201">
        <f t="shared" si="78"/>
        <v>0</v>
      </c>
      <c r="GR79" s="201">
        <f t="shared" si="161"/>
        <v>0</v>
      </c>
      <c r="GS79" s="1768"/>
      <c r="GT79" s="201">
        <f t="shared" si="79"/>
        <v>1</v>
      </c>
      <c r="GU79" s="201">
        <f t="shared" si="193"/>
        <v>16</v>
      </c>
      <c r="GV79" s="201">
        <f t="shared" si="80"/>
        <v>0</v>
      </c>
      <c r="GW79" s="201">
        <f t="shared" si="81"/>
        <v>3</v>
      </c>
      <c r="GX79" s="201">
        <f t="shared" si="162"/>
        <v>0</v>
      </c>
      <c r="GY79" s="1998"/>
      <c r="GZ79" s="253"/>
      <c r="HA79" s="195">
        <f t="shared" si="163"/>
        <v>0</v>
      </c>
      <c r="HB79" s="3558">
        <f t="shared" si="82"/>
        <v>0</v>
      </c>
      <c r="HC79" s="3590"/>
      <c r="HD79" s="257" t="str">
        <f t="shared" si="83"/>
        <v/>
      </c>
      <c r="HE79" s="825">
        <f t="shared" si="84"/>
        <v>0</v>
      </c>
      <c r="HF79" s="506" t="s">
        <v>5</v>
      </c>
      <c r="HG79" s="508">
        <f t="shared" ca="1" si="85"/>
        <v>0</v>
      </c>
      <c r="HH79" s="3585">
        <f t="shared" si="86"/>
        <v>0</v>
      </c>
      <c r="HI79" s="3586"/>
      <c r="HJ79" s="504">
        <f t="shared" ca="1" si="246"/>
        <v>0</v>
      </c>
      <c r="HK79" s="456">
        <f t="shared" ca="1" si="247"/>
        <v>0</v>
      </c>
      <c r="HL79" s="3591">
        <f t="shared" ca="1" si="248"/>
        <v>0</v>
      </c>
      <c r="HM79" s="3592"/>
      <c r="HN79" s="240"/>
      <c r="HO79" s="1998"/>
      <c r="HP79" s="1991"/>
      <c r="HQ79" s="2770" t="str">
        <f t="shared" si="90"/>
        <v>GB - BIAF</v>
      </c>
      <c r="HR79" s="2770" t="str">
        <f t="shared" si="91"/>
        <v>GBP</v>
      </c>
      <c r="HS79" s="2771">
        <f t="shared" si="92"/>
        <v>1</v>
      </c>
      <c r="HT79" s="3623"/>
      <c r="HU79" s="2771">
        <f t="shared" si="93"/>
        <v>1.73</v>
      </c>
      <c r="HW79" s="1218"/>
      <c r="HX79" s="520"/>
      <c r="HY79" s="2523"/>
      <c r="HZ79" s="194"/>
      <c r="IA79" s="1013"/>
      <c r="IB79" s="193"/>
      <c r="IC79" s="3276">
        <v>16</v>
      </c>
      <c r="ID79" s="986"/>
      <c r="IE79" s="938">
        <f t="shared" si="164"/>
        <v>0</v>
      </c>
      <c r="IF79" s="938">
        <f t="shared" si="165"/>
        <v>0</v>
      </c>
      <c r="IG79" s="432"/>
      <c r="II79" s="405"/>
      <c r="IJ79" s="239"/>
      <c r="IK79" s="2774" t="str">
        <f t="shared" si="166"/>
        <v>GBP</v>
      </c>
      <c r="IL79" s="2148"/>
      <c r="IM79" s="1936">
        <f t="shared" si="94"/>
        <v>0</v>
      </c>
      <c r="IO79" s="1959" t="str">
        <f t="shared" si="95"/>
        <v/>
      </c>
      <c r="IP79" s="1958"/>
      <c r="IQ79" s="543">
        <f t="shared" si="96"/>
        <v>0.52</v>
      </c>
      <c r="IR79" s="1936">
        <f t="shared" si="97"/>
        <v>0</v>
      </c>
      <c r="IT79" s="1364"/>
      <c r="IU79" s="210"/>
      <c r="IV79" s="218"/>
      <c r="IW79" s="1938">
        <f ca="1">IF(NOT(ISBLANK(IU79)),IU79,IF('1 Setup'!$G$8&lt;7,JK79,FJ79))+KA79</f>
        <v>0</v>
      </c>
      <c r="IX79" s="409">
        <f t="shared" si="98"/>
        <v>0</v>
      </c>
      <c r="IY79" s="408">
        <f t="shared" si="99"/>
        <v>0</v>
      </c>
      <c r="IZ79" s="1983"/>
      <c r="JA79" s="1994"/>
      <c r="JB79" s="1991"/>
      <c r="JD79" s="2029">
        <f t="shared" si="167"/>
        <v>0</v>
      </c>
      <c r="JE79" s="479"/>
      <c r="JF79" s="2025">
        <f t="shared" si="100"/>
        <v>0</v>
      </c>
      <c r="JG79" s="429">
        <f t="shared" si="101"/>
        <v>0</v>
      </c>
      <c r="JH79" s="1667">
        <f t="shared" si="102"/>
        <v>0</v>
      </c>
      <c r="JJ79" s="1163">
        <f t="shared" ca="1" si="103"/>
        <v>0</v>
      </c>
      <c r="JK79" s="1163">
        <f t="shared" ca="1" si="104"/>
        <v>0</v>
      </c>
      <c r="JL79" s="1795"/>
      <c r="JN79" s="2505"/>
      <c r="JO79" s="1161"/>
      <c r="JP79" s="571">
        <f t="shared" ca="1" si="105"/>
        <v>0</v>
      </c>
      <c r="JQ79" s="2506"/>
      <c r="JR79" s="1953"/>
      <c r="JS79" s="2650"/>
      <c r="JT79" s="2507"/>
      <c r="JU79" s="1964">
        <f t="shared" si="106"/>
        <v>0.33450000000000002</v>
      </c>
      <c r="JV79" s="3199"/>
      <c r="JW79" s="2649">
        <f t="shared" si="107"/>
        <v>1.5</v>
      </c>
      <c r="JX79" s="1964">
        <f t="shared" si="168"/>
        <v>0.1565</v>
      </c>
      <c r="JY79" s="3199"/>
      <c r="JZ79" s="2649">
        <f t="shared" si="169"/>
        <v>0</v>
      </c>
      <c r="KA79" s="2649">
        <f t="shared" si="170"/>
        <v>0</v>
      </c>
      <c r="KB79" s="2649" t="s">
        <v>111</v>
      </c>
      <c r="KC79" s="1983"/>
      <c r="KD79" s="1974"/>
      <c r="KE79" s="1991"/>
      <c r="KF79" s="2029">
        <f t="shared" si="171"/>
        <v>0</v>
      </c>
      <c r="KG79" s="1991"/>
      <c r="KH79" s="2121">
        <f t="shared" si="108"/>
        <v>0</v>
      </c>
      <c r="KI79" s="2130">
        <f t="shared" si="109"/>
        <v>0</v>
      </c>
      <c r="KJ79" s="2130">
        <f t="shared" si="110"/>
        <v>0</v>
      </c>
      <c r="KK79" s="2130">
        <f t="shared" si="111"/>
        <v>0</v>
      </c>
      <c r="KL79" s="2131">
        <f t="shared" si="112"/>
        <v>0</v>
      </c>
      <c r="KM79" s="2132">
        <f t="shared" si="113"/>
        <v>0</v>
      </c>
      <c r="KN79" s="2132">
        <f t="shared" si="114"/>
        <v>0</v>
      </c>
      <c r="KO79" s="2132">
        <f t="shared" si="115"/>
        <v>0</v>
      </c>
      <c r="KP79" s="2132">
        <f t="shared" si="116"/>
        <v>0</v>
      </c>
      <c r="KQ79" s="2133">
        <f t="shared" si="117"/>
        <v>0</v>
      </c>
      <c r="KS79" s="2253">
        <f t="shared" si="118"/>
        <v>0</v>
      </c>
      <c r="KT79" s="2270">
        <f t="shared" ref="KT79:LB79" si="251">KS79*(1+(KT$60))</f>
        <v>0</v>
      </c>
      <c r="KU79" s="2271">
        <f t="shared" si="251"/>
        <v>0</v>
      </c>
      <c r="KV79" s="2271">
        <f t="shared" si="251"/>
        <v>0</v>
      </c>
      <c r="KW79" s="2272">
        <f t="shared" si="251"/>
        <v>0</v>
      </c>
      <c r="KX79" s="2271">
        <f t="shared" si="251"/>
        <v>0</v>
      </c>
      <c r="KY79" s="2271">
        <f t="shared" si="251"/>
        <v>0</v>
      </c>
      <c r="KZ79" s="2271">
        <f t="shared" si="251"/>
        <v>0</v>
      </c>
      <c r="LA79" s="2271">
        <f t="shared" si="251"/>
        <v>0</v>
      </c>
      <c r="LB79" s="2273">
        <f t="shared" si="251"/>
        <v>0</v>
      </c>
      <c r="LC79" s="272"/>
      <c r="LD79" s="2124">
        <f t="shared" si="120"/>
        <v>0</v>
      </c>
      <c r="LE79" s="2093">
        <f t="shared" si="121"/>
        <v>0</v>
      </c>
      <c r="LF79" s="2093">
        <f t="shared" si="122"/>
        <v>0</v>
      </c>
      <c r="LG79" s="2093">
        <f t="shared" si="123"/>
        <v>0</v>
      </c>
      <c r="LH79" s="2094">
        <f t="shared" si="124"/>
        <v>0</v>
      </c>
      <c r="LI79" s="2095">
        <f t="shared" si="125"/>
        <v>0</v>
      </c>
      <c r="LJ79" s="2095">
        <f t="shared" si="126"/>
        <v>0</v>
      </c>
      <c r="LK79" s="2095">
        <f t="shared" si="127"/>
        <v>0</v>
      </c>
      <c r="LL79" s="2095">
        <f t="shared" si="128"/>
        <v>0</v>
      </c>
      <c r="LM79" s="2096">
        <f t="shared" si="129"/>
        <v>0</v>
      </c>
      <c r="LN79" s="749"/>
      <c r="LO79" s="2256">
        <f t="shared" ca="1" si="130"/>
        <v>0</v>
      </c>
      <c r="LP79" s="2270">
        <f t="shared" ca="1" si="131"/>
        <v>0</v>
      </c>
      <c r="LQ79" s="2271">
        <f t="shared" ca="1" si="132"/>
        <v>0</v>
      </c>
      <c r="LR79" s="2271">
        <f t="shared" ca="1" si="133"/>
        <v>0</v>
      </c>
      <c r="LS79" s="2272">
        <f t="shared" ca="1" si="134"/>
        <v>0</v>
      </c>
      <c r="LT79" s="2271">
        <f t="shared" ca="1" si="135"/>
        <v>0</v>
      </c>
      <c r="LU79" s="2271">
        <f t="shared" ca="1" si="136"/>
        <v>0</v>
      </c>
      <c r="LV79" s="2271">
        <f t="shared" ca="1" si="137"/>
        <v>0</v>
      </c>
      <c r="LW79" s="2271">
        <f t="shared" ca="1" si="138"/>
        <v>0</v>
      </c>
      <c r="LX79" s="2273">
        <f t="shared" ca="1" si="139"/>
        <v>0</v>
      </c>
      <c r="LY79" s="479"/>
      <c r="LZ79" s="3128">
        <f t="shared" ca="1" si="173"/>
        <v>-1.73</v>
      </c>
      <c r="MA79" s="3129">
        <f t="shared" ca="1" si="174"/>
        <v>-1.73</v>
      </c>
      <c r="MB79" s="3129">
        <f t="shared" ca="1" si="175"/>
        <v>-1.73</v>
      </c>
      <c r="MC79" s="3129">
        <f t="shared" ca="1" si="176"/>
        <v>-1.73</v>
      </c>
      <c r="MD79" s="3130">
        <f t="shared" ca="1" si="177"/>
        <v>-1.73</v>
      </c>
      <c r="ME79" s="3129">
        <f t="shared" ca="1" si="178"/>
        <v>-1.73</v>
      </c>
      <c r="MF79" s="3129">
        <f t="shared" ca="1" si="179"/>
        <v>-1.73</v>
      </c>
      <c r="MG79" s="3129">
        <f t="shared" ca="1" si="180"/>
        <v>-1.73</v>
      </c>
      <c r="MH79" s="3129">
        <f t="shared" ca="1" si="181"/>
        <v>-1.73</v>
      </c>
      <c r="MI79" s="3131">
        <f t="shared" ca="1" si="182"/>
        <v>-1.73</v>
      </c>
      <c r="MJ79" s="3201"/>
      <c r="MK79" s="3206">
        <f t="shared" ca="1" si="183"/>
        <v>0</v>
      </c>
      <c r="ML79" s="3207">
        <f t="shared" ca="1" si="184"/>
        <v>0</v>
      </c>
      <c r="MM79" s="3207">
        <f t="shared" ca="1" si="185"/>
        <v>0</v>
      </c>
      <c r="MN79" s="3207">
        <f t="shared" ca="1" si="186"/>
        <v>0</v>
      </c>
      <c r="MO79" s="3208">
        <f t="shared" ca="1" si="187"/>
        <v>0</v>
      </c>
      <c r="MP79" s="3207">
        <f t="shared" ca="1" si="188"/>
        <v>0</v>
      </c>
      <c r="MQ79" s="3207">
        <f t="shared" ca="1" si="189"/>
        <v>0</v>
      </c>
      <c r="MR79" s="3207">
        <f t="shared" ca="1" si="190"/>
        <v>0</v>
      </c>
      <c r="MS79" s="3207">
        <f t="shared" ca="1" si="191"/>
        <v>0</v>
      </c>
      <c r="MT79" s="3209">
        <f t="shared" ca="1" si="192"/>
        <v>0</v>
      </c>
      <c r="MU79" s="1983"/>
      <c r="MV79" s="1975"/>
      <c r="MW79" s="1991"/>
      <c r="MX79" s="1931">
        <f t="shared" si="142"/>
        <v>0</v>
      </c>
      <c r="MY79" s="749"/>
      <c r="MZ79" s="1934">
        <f t="shared" si="143"/>
        <v>0</v>
      </c>
      <c r="NA79" s="1935"/>
      <c r="NB79" s="2652">
        <f t="shared" si="144"/>
        <v>0</v>
      </c>
      <c r="NC79" s="479"/>
      <c r="ND79" s="2749" t="str">
        <f t="shared" si="145"/>
        <v/>
      </c>
      <c r="NE79" s="2717"/>
      <c r="NF79" s="1975"/>
      <c r="NG79" s="1975"/>
      <c r="NH79" s="1975"/>
      <c r="NI79" s="1975"/>
    </row>
    <row r="80" spans="1:373" s="192" customFormat="1" ht="15.9" customHeight="1" x14ac:dyDescent="0.3">
      <c r="A80" s="200"/>
      <c r="B80" s="200"/>
      <c r="C80" s="200"/>
      <c r="D80" s="200"/>
      <c r="E80" s="200"/>
      <c r="F80" s="200"/>
      <c r="G80" s="200"/>
      <c r="H80" s="200"/>
      <c r="I80" s="200"/>
      <c r="J80" s="200"/>
      <c r="K80" s="200"/>
      <c r="L80" s="200"/>
      <c r="M80" s="200"/>
      <c r="N80" s="200"/>
      <c r="O80" s="200"/>
      <c r="P80" s="1539"/>
      <c r="Q80" s="1539"/>
      <c r="R80" s="198"/>
      <c r="S80" s="1539"/>
      <c r="T80" s="201"/>
      <c r="U80" s="200"/>
      <c r="V80" s="201">
        <f>MATCH($IC80,'3b Activity Plan'!$DJ$171:$FH$171,0)</f>
        <v>17</v>
      </c>
      <c r="W80" s="201">
        <f>IFERROR(INDEX('3b Activity Plan'!$DJ$6:$FH$6,V80),0)</f>
        <v>0</v>
      </c>
      <c r="X80" s="1768"/>
      <c r="Y80" s="1768">
        <f>IFERROR(INDEX('3b Activity Plan'!$DJ$7:$FH$7,V80),0)</f>
        <v>0</v>
      </c>
      <c r="Z80" s="201"/>
      <c r="AA80" s="201">
        <f>IFERROR(INDEX('3b Activity Plan'!$DJ$34:$FH$34,$V80),0)</f>
        <v>0</v>
      </c>
      <c r="AB80" s="201">
        <f>IFERROR(INDEX('3b Activity Plan'!$DJ$35:$FH$35,$V80),0)</f>
        <v>0</v>
      </c>
      <c r="AC80" s="201">
        <f>IFERROR(INDEX('3b Activity Plan'!$DJ$36:$FH$36,$V80),0)</f>
        <v>0</v>
      </c>
      <c r="AD80" s="201">
        <f>IFERROR(INDEX('3b Activity Plan'!$DJ$37:$FH$37,$V80),0)</f>
        <v>0</v>
      </c>
      <c r="AE80" s="201">
        <f>IFERROR(INDEX('3b Activity Plan'!$DJ$38:$FH$38,$V80),0)</f>
        <v>0</v>
      </c>
      <c r="AF80" s="201">
        <f>IFERROR(INDEX('3b Activity Plan'!$DJ$39:$FH$39,$V80),0)</f>
        <v>0</v>
      </c>
      <c r="AG80" s="201">
        <f>IFERROR(INDEX('3b Activity Plan'!$DJ$40:$FH$40,$V80),0)</f>
        <v>0</v>
      </c>
      <c r="AH80" s="201">
        <f>IFERROR(INDEX('3b Activity Plan'!$DJ$41:$FH$41,$V80),0)</f>
        <v>0</v>
      </c>
      <c r="AI80" s="201">
        <f>IFERROR(INDEX('3b Activity Plan'!$DJ$42:$FH$42,$V80),0)</f>
        <v>0</v>
      </c>
      <c r="AJ80" s="201">
        <f>IFERROR(INDEX('3b Activity Plan'!$DJ$43:$FH$43,$V80),0)</f>
        <v>0</v>
      </c>
      <c r="AK80" s="201"/>
      <c r="AL80" s="201">
        <f>SUMIFS('3a Staff Plan'!$AR$129:$AR$305,'3a Staff Plan'!$DY$129:$DY$305,$IA80,'3a Staff Plan'!$DF$129:$DF$305,1)</f>
        <v>0</v>
      </c>
      <c r="AM80" s="1768"/>
      <c r="AN80" s="1768">
        <f>SUMIFS('3a Staff Plan'!$AR$129:$AR$305,'3a Staff Plan'!$DY$129:$DY$305,$IA80,'3a Staff Plan'!$CV$129:$CV$305,1)</f>
        <v>0</v>
      </c>
      <c r="AO80" s="201"/>
      <c r="AP80" s="201">
        <f>SUMIFS('3a Staff Plan'!$AS$129:$AS$305,'3a Staff Plan'!$DY$129:$DY$305,$IA80,'3a Staff Plan'!$DF$129:$DF$305,1)</f>
        <v>0</v>
      </c>
      <c r="AQ80" s="201">
        <f>SUMIFS('3a Staff Plan'!$AT$129:$AT$305,'3a Staff Plan'!$DY$129:$DY$305,$IA80,'3a Staff Plan'!$DF$129:$DF$305,1)</f>
        <v>0</v>
      </c>
      <c r="AR80" s="201">
        <f>SUMIFS('3a Staff Plan'!$AU$129:$AU$305,'3a Staff Plan'!$DY$129:$DY$305,$IA80,'3a Staff Plan'!$DF$129:$DF$305,1)</f>
        <v>0</v>
      </c>
      <c r="AS80" s="201">
        <f>SUMIFS('3a Staff Plan'!$AV$129:$AV$305,'3a Staff Plan'!$DY$129:$DY$305,$IA80,'3a Staff Plan'!$DF$129:$DF$305,1)</f>
        <v>0</v>
      </c>
      <c r="AT80" s="201">
        <f>SUMIFS('3a Staff Plan'!$AW$129:$AW$305,'3a Staff Plan'!$DY$129:$DY$305,$IA80,'3a Staff Plan'!$DF$129:$DF$305,1)</f>
        <v>0</v>
      </c>
      <c r="AU80" s="201">
        <f>SUMIFS('3a Staff Plan'!$AX$129:$AX$305,'3a Staff Plan'!$DY$129:$DY$305,$IA80,'3a Staff Plan'!$DF$129:$DF$305,1)</f>
        <v>0</v>
      </c>
      <c r="AV80" s="201">
        <f>SUMIFS('3a Staff Plan'!$AY$129:$AY$305,'3a Staff Plan'!$DY$129:$DY$305,$IA80,'3a Staff Plan'!$DF$129:$DF$305,1)</f>
        <v>0</v>
      </c>
      <c r="AW80" s="201">
        <f>SUMIFS('3a Staff Plan'!$AZ$129:$AZ$305,'3a Staff Plan'!$DY$129:$DY$305,$IA80,'3a Staff Plan'!$DF$129:$DF$305,1)</f>
        <v>0</v>
      </c>
      <c r="AX80" s="201">
        <f>SUMIFS('3a Staff Plan'!$BA$129:$BA$305,'3a Staff Plan'!$DY$129:$DY$305,$IA80,'3a Staff Plan'!$DF$129:$DF$305,1)</f>
        <v>0</v>
      </c>
      <c r="AY80" s="201">
        <f>SUMIFS('3a Staff Plan'!$BB$129:$BB$305,'3a Staff Plan'!$DY$129:$DY$305,$IA80,'3a Staff Plan'!$DF$129:$DF$305,1)</f>
        <v>0</v>
      </c>
      <c r="AZ80" s="201"/>
      <c r="BA80" s="201">
        <f t="shared" si="240"/>
        <v>0</v>
      </c>
      <c r="BB80" s="1768"/>
      <c r="BC80" s="1768">
        <f t="shared" si="240"/>
        <v>0</v>
      </c>
      <c r="BD80" s="201"/>
      <c r="BE80" s="201">
        <f t="shared" si="241"/>
        <v>0</v>
      </c>
      <c r="BF80" s="201">
        <f t="shared" si="241"/>
        <v>0</v>
      </c>
      <c r="BG80" s="201">
        <f t="shared" si="241"/>
        <v>0</v>
      </c>
      <c r="BH80" s="201">
        <f t="shared" si="241"/>
        <v>0</v>
      </c>
      <c r="BI80" s="201">
        <f t="shared" si="241"/>
        <v>0</v>
      </c>
      <c r="BJ80" s="201">
        <f t="shared" si="241"/>
        <v>0</v>
      </c>
      <c r="BK80" s="201">
        <f t="shared" si="241"/>
        <v>0</v>
      </c>
      <c r="BL80" s="201">
        <f t="shared" si="241"/>
        <v>0</v>
      </c>
      <c r="BM80" s="201">
        <f t="shared" si="241"/>
        <v>0</v>
      </c>
      <c r="BN80" s="201">
        <f t="shared" si="241"/>
        <v>0</v>
      </c>
      <c r="BO80" s="201"/>
      <c r="BP80" s="1818">
        <f t="shared" si="146"/>
        <v>17</v>
      </c>
      <c r="BQ80" s="1818">
        <f>IFERROR(INDEX('3b Activity Plan'!$DJ$15:$FH$15,BP80),0)</f>
        <v>0</v>
      </c>
      <c r="BR80" s="1768"/>
      <c r="BS80" s="1768">
        <f>IFERROR(INDEX('3b Activity Plan'!$DJ$16:$FH$16,BP80),0)</f>
        <v>0</v>
      </c>
      <c r="BT80" s="201"/>
      <c r="BU80" s="201">
        <f>IFERROR(INDEX('3b Activity Plan'!$DJ$67:$FH$67,$V80),0)</f>
        <v>0</v>
      </c>
      <c r="BV80" s="201">
        <f>IFERROR(INDEX('3b Activity Plan'!$DJ$68:$FH$68,$V80),0)</f>
        <v>0</v>
      </c>
      <c r="BW80" s="201">
        <f>IFERROR(INDEX('3b Activity Plan'!$DJ$69:$FH$69,$V80),0)</f>
        <v>0</v>
      </c>
      <c r="BX80" s="201">
        <f>IFERROR(INDEX('3b Activity Plan'!$DJ$70:$FH$70,$V80),0)</f>
        <v>0</v>
      </c>
      <c r="BY80" s="201">
        <f>IFERROR(INDEX('3b Activity Plan'!$DJ$71:$FH$71,$V80),0)</f>
        <v>0</v>
      </c>
      <c r="BZ80" s="201">
        <f>IFERROR(INDEX('3b Activity Plan'!$DJ$72:$FH$72,$V80),0)</f>
        <v>0</v>
      </c>
      <c r="CA80" s="201">
        <f>IFERROR(INDEX('3b Activity Plan'!$DJ$73:$FH$73,$V80),0)</f>
        <v>0</v>
      </c>
      <c r="CB80" s="201">
        <f>IFERROR(INDEX('3b Activity Plan'!$DJ$74:$FH$74,$V80),0)</f>
        <v>0</v>
      </c>
      <c r="CC80" s="201">
        <f>IFERROR(INDEX('3b Activity Plan'!$DJ$75:$FH$75,$V80),0)</f>
        <v>0</v>
      </c>
      <c r="CD80" s="201">
        <f>IFERROR(INDEX('3b Activity Plan'!$DJ$76:$FH$76,$V80),0)</f>
        <v>0</v>
      </c>
      <c r="CE80" s="201"/>
      <c r="CF80" s="1818">
        <f>SUMIFS('3a Staff Plan'!$AR$129:$AR$305,'3a Staff Plan'!$DY$129:$DY$305,$IA80,'3a Staff Plan'!$AG$129:$AG$305,1,'3a Staff Plan'!$DF$129:$DF$305,1)</f>
        <v>0</v>
      </c>
      <c r="CG80" s="1768">
        <f>SUMIFS('3a Staff Plan'!$AR$129:$AR$305,'3a Staff Plan'!$DY$129:$DY$305,$IA80,'3a Staff Plan'!$AG$129:$AG$305,1,'3a Staff Plan'!$CX$129:$CX$305,1)</f>
        <v>0</v>
      </c>
      <c r="CH80" s="1768">
        <f>SUMIFS('3a Staff Plan'!$AR$129:$AR$305,'3a Staff Plan'!$DY$129:$DY$305,$IA80,'3a Staff Plan'!$AG$129:$AG$305,1,'3a Staff Plan'!$CV$129:$CV$305,1)</f>
        <v>0</v>
      </c>
      <c r="CI80" s="201"/>
      <c r="CJ80" s="201">
        <f>SUMIFS('3a Staff Plan'!$BX$129:$BX$305,'3a Staff Plan'!$DY$129:$DY$305,$IA80,'3a Staff Plan'!$DF$129:$DF$305,1,'3a Staff Plan'!$AG$129:$AG$305,1)</f>
        <v>0</v>
      </c>
      <c r="CK80" s="201">
        <f>SUMIFS('3a Staff Plan'!$BY$129:$BY$305,'3a Staff Plan'!$DY$129:$DY$305,$IA80,'3a Staff Plan'!$DF$129:$DF$305,1,'3a Staff Plan'!$AG$129:$AG$305,1)</f>
        <v>0</v>
      </c>
      <c r="CL80" s="201">
        <f>SUMIFS('3a Staff Plan'!$BZ$129:$BZ$305,'3a Staff Plan'!$DY$129:$DY$305,$IA80,'3a Staff Plan'!$DF$129:$DF$305,1,'3a Staff Plan'!$AG$129:$AG$305,1)</f>
        <v>0</v>
      </c>
      <c r="CM80" s="201">
        <f>SUMIFS('3a Staff Plan'!$CA$129:$CA$305,'3a Staff Plan'!$DY$129:$DY$305,$IA80,'3a Staff Plan'!$DF$129:$DF$305,1,'3a Staff Plan'!$AG$129:$AG$305,1)</f>
        <v>0</v>
      </c>
      <c r="CN80" s="201">
        <f>SUMIFS('3a Staff Plan'!$CB$129:$CB$305,'3a Staff Plan'!$DY$129:$DY$305,$IA80,'3a Staff Plan'!$DF$129:$DF$305,1,'3a Staff Plan'!$AG$129:$AG$305,1)</f>
        <v>0</v>
      </c>
      <c r="CO80" s="201">
        <f>SUMIFS('3a Staff Plan'!$CC$129:$CC$305,'3a Staff Plan'!$DY$129:$DY$305,$IA80,'3a Staff Plan'!$DF$129:$DF$305,1,'3a Staff Plan'!$AG$129:$AG$305,1)</f>
        <v>0</v>
      </c>
      <c r="CP80" s="201">
        <f>SUMIFS('3a Staff Plan'!$CD$129:$CD$305,'3a Staff Plan'!$DY$129:$DY$305,$IA80,'3a Staff Plan'!$DF$129:$DF$305,1,'3a Staff Plan'!$AG$129:$AG$305,1)</f>
        <v>0</v>
      </c>
      <c r="CQ80" s="201">
        <f>SUMIFS('3a Staff Plan'!$CE$129:$CE$305,'3a Staff Plan'!$DY$129:$DY$305,$IA80,'3a Staff Plan'!$DF$129:$DF$305,1,'3a Staff Plan'!$AG$129:$AG$305,1)</f>
        <v>0</v>
      </c>
      <c r="CR80" s="201">
        <f>SUMIFS('3a Staff Plan'!$CF$129:$CF$305,'3a Staff Plan'!$DY$129:$DY$305,$IA80,'3a Staff Plan'!$DF$129:$DF$305,1,'3a Staff Plan'!$AG$129:$AG$305,1)</f>
        <v>0</v>
      </c>
      <c r="CS80" s="201">
        <f>SUMIFS('3a Staff Plan'!$CG$129:$CG$305,'3a Staff Plan'!$DY$129:$DY$305,$IA80,'3a Staff Plan'!$DF$129:$DF$305,1,'3a Staff Plan'!$AG$129:$AG$305,1)</f>
        <v>0</v>
      </c>
      <c r="CT80" s="201"/>
      <c r="CU80" s="1818">
        <f t="shared" si="242"/>
        <v>0</v>
      </c>
      <c r="CV80" s="1768"/>
      <c r="CW80" s="1768">
        <f t="shared" si="242"/>
        <v>0</v>
      </c>
      <c r="CX80" s="201"/>
      <c r="CY80" s="201">
        <f t="shared" si="243"/>
        <v>0</v>
      </c>
      <c r="CZ80" s="201">
        <f t="shared" si="243"/>
        <v>0</v>
      </c>
      <c r="DA80" s="201">
        <f t="shared" si="243"/>
        <v>0</v>
      </c>
      <c r="DB80" s="201">
        <f t="shared" si="243"/>
        <v>0</v>
      </c>
      <c r="DC80" s="201">
        <f t="shared" si="243"/>
        <v>0</v>
      </c>
      <c r="DD80" s="201">
        <f t="shared" si="243"/>
        <v>0</v>
      </c>
      <c r="DE80" s="201">
        <f t="shared" si="243"/>
        <v>0</v>
      </c>
      <c r="DF80" s="201">
        <f t="shared" si="243"/>
        <v>0</v>
      </c>
      <c r="DG80" s="201">
        <f t="shared" si="243"/>
        <v>0</v>
      </c>
      <c r="DH80" s="201">
        <f t="shared" si="243"/>
        <v>0</v>
      </c>
      <c r="DI80" s="201"/>
      <c r="DJ80" s="201"/>
      <c r="DK80" s="201"/>
      <c r="DL80" s="201"/>
      <c r="DM80" s="372">
        <f t="shared" ca="1" si="37"/>
        <v>0</v>
      </c>
      <c r="DN80" s="1185">
        <f t="shared" si="38"/>
        <v>0</v>
      </c>
      <c r="DO80" s="1185">
        <f t="shared" si="39"/>
        <v>0</v>
      </c>
      <c r="DP80" s="201"/>
      <c r="DQ80" s="372">
        <f t="shared" ca="1" si="40"/>
        <v>0</v>
      </c>
      <c r="DR80" s="1185">
        <f t="shared" si="41"/>
        <v>0</v>
      </c>
      <c r="DS80" s="1185">
        <f t="shared" si="42"/>
        <v>0</v>
      </c>
      <c r="DT80" s="201"/>
      <c r="DU80" s="372">
        <f t="shared" ca="1" si="244"/>
        <v>0</v>
      </c>
      <c r="DV80" s="372">
        <f t="shared" si="244"/>
        <v>0</v>
      </c>
      <c r="DW80" s="372">
        <f t="shared" si="244"/>
        <v>0</v>
      </c>
      <c r="DX80" s="201"/>
      <c r="DY80" s="372">
        <f t="shared" si="44"/>
        <v>0</v>
      </c>
      <c r="DZ80" s="372">
        <f t="shared" ca="1" si="45"/>
        <v>0</v>
      </c>
      <c r="EA80" s="201"/>
      <c r="EB80" s="2776">
        <f>IF(EO80=$EO$53,1,IFERROR(INDEX('Currency Data'!$L$8:$L$41,MATCH(EO80,'Currency Data'!$H$8:$H$41,0)),1))</f>
        <v>1</v>
      </c>
      <c r="EC80" s="2776">
        <f t="shared" si="147"/>
        <v>1</v>
      </c>
      <c r="ED80" s="428">
        <f>IF(GQ80=1,'1 Setup'!$T$68,IF(ISBLANK(IJ80),II80/EC80*IF(GL80=1,$ED$53,1),IJ80/EC80)*IF($EW80=7,JW80,1))</f>
        <v>0</v>
      </c>
      <c r="EE80" s="428">
        <f t="shared" si="46"/>
        <v>0</v>
      </c>
      <c r="EF80" s="428"/>
      <c r="EG80" s="1965" t="str">
        <f t="shared" si="148"/>
        <v>031500 - Highways UK</v>
      </c>
      <c r="EH80" s="201">
        <f t="shared" si="149"/>
        <v>1</v>
      </c>
      <c r="EI80" s="445" t="str">
        <f>IF(EH80=1,$EI$53,IF(GQ80=1,$GQ$55,IFERROR(IF($EG80=$EG$53,$EI$53,INDEX('PU List'!$G$6:$G$413,MATCH($EG80,'PU List'!$D$6:$D$413,0))),$EI$53)))</f>
        <v>GB - BIAF</v>
      </c>
      <c r="EJ80" s="2773" t="str">
        <f t="shared" si="150"/>
        <v>GB - BIAF</v>
      </c>
      <c r="EK80" s="1768"/>
      <c r="EL80" s="3283">
        <f>IF(OR(EW80&gt;7,$EL$53=0),0,IF(EJ80=$EI$53,$EL$53,IFERROR(INDEX('Fringe Data'!$U$8:$U$129,MATCH($EJ80,'Fringe Data'!$F$8:$F$129,0)),0)))</f>
        <v>1.73</v>
      </c>
      <c r="EM80" s="372">
        <f t="shared" si="47"/>
        <v>0</v>
      </c>
      <c r="EN80" s="201" t="str">
        <f>IFERROR(INDEX('Fringe Data'!$G$8:$G$64,MATCH($EJ80,'Fringe Data'!$F$8:$F$64,0)),$EO$53)</f>
        <v>GBP</v>
      </c>
      <c r="EO80" s="201" t="str">
        <f t="shared" si="151"/>
        <v>GBP</v>
      </c>
      <c r="EP80" s="201">
        <f>IF(EI80=$EI$53,$EP$49,IF(GP80=1,0,IFERROR(INDEX('Fringe Data'!$K$8:$K$64,MATCH($EI80,'Fringe Data'!$F$8:$F$64,0)),0)))</f>
        <v>0.52</v>
      </c>
      <c r="EQ80" s="201">
        <f>IF(EI80=$EI$53,$EQ$49,IF(GP80=1,0,IFERROR(INDEX('Fringe Data'!$L$8:$L$64,MATCH($EI80,'Fringe Data'!$F$8:$F$64,0)),0)))</f>
        <v>1.8499999999999999E-2</v>
      </c>
      <c r="ER80" s="201">
        <f>IF(EI80=$EI$53,$ER$49,IF(GP80=1,0,IFERROR(INDEX('Fringe Data'!$M$8:$M$64,MATCH($EI80,'Fringe Data'!$F$8:$F$64,0)),0)))</f>
        <v>0.43430000000000002</v>
      </c>
      <c r="ES80" s="201">
        <f>IF(EI80=$EI$53,$ES$49,IF(GP80=1,0,IFERROR(INDEX('Fringe Data'!$N$8:$N$64,MATCH($EI80,'Fringe Data'!$F$8:$F$64,0)),0)))</f>
        <v>0.1565</v>
      </c>
      <c r="ET80" s="201">
        <f>IF(EI80=$EI$53,$ET$49,IF(GP80=1,0,IFERROR(INDEX('Fringe Data'!$O$8:$O$64,MATCH($EI80,'Fringe Data'!$F$8:$F$64,0)),0)))</f>
        <v>0.33450000000000002</v>
      </c>
      <c r="EU80" s="263">
        <f>IF(EI80=$EI$53,$EU$49,IF(GP80=1,0,IFERROR(INDEX('Fringe Data'!$P$8:$P$64,MATCH($EI80,'Fringe Data'!$F$8:$F$64,0)),0)))</f>
        <v>0.1565</v>
      </c>
      <c r="EV80" s="201"/>
      <c r="EW80" s="1530">
        <f t="shared" si="48"/>
        <v>1</v>
      </c>
      <c r="EX80" s="1534">
        <f t="shared" si="152"/>
        <v>0.52</v>
      </c>
      <c r="EY80" s="321">
        <f t="shared" si="153"/>
        <v>0</v>
      </c>
      <c r="EZ80" s="201">
        <f t="shared" si="154"/>
        <v>0</v>
      </c>
      <c r="FA80" s="372">
        <f t="shared" si="49"/>
        <v>0</v>
      </c>
      <c r="FB80" s="372">
        <f t="shared" si="50"/>
        <v>0</v>
      </c>
      <c r="FC80" s="201">
        <f t="shared" ca="1" si="155"/>
        <v>0</v>
      </c>
      <c r="FD80" s="423">
        <f t="shared" si="51"/>
        <v>0</v>
      </c>
      <c r="FE80" s="423">
        <f t="shared" si="52"/>
        <v>0</v>
      </c>
      <c r="FF80" s="201">
        <f t="shared" si="156"/>
        <v>0</v>
      </c>
      <c r="FG80" s="425">
        <f>IF(OR($FJ$52=3,$FJ$52=4,$FJ$52=5),'1 Setup'!$W$96,0)</f>
        <v>0</v>
      </c>
      <c r="FH80" s="428">
        <f>IF($FJ$52=5,'1 Setup'!$W$98,IF($FJ$52=6,'1 Setup'!$S$86,0))</f>
        <v>0</v>
      </c>
      <c r="FI80" s="321">
        <f t="shared" ca="1" si="53"/>
        <v>0</v>
      </c>
      <c r="FJ80" s="263">
        <f t="shared" ca="1" si="157"/>
        <v>0</v>
      </c>
      <c r="FK80" s="372">
        <f t="shared" ca="1" si="54"/>
        <v>0</v>
      </c>
      <c r="FL80" s="372">
        <f t="shared" si="55"/>
        <v>0</v>
      </c>
      <c r="FM80" s="372">
        <f t="shared" si="56"/>
        <v>0</v>
      </c>
      <c r="FN80" s="2036">
        <f t="shared" ca="1" si="57"/>
        <v>0</v>
      </c>
      <c r="FO80" s="372">
        <f t="shared" ca="1" si="245"/>
        <v>0</v>
      </c>
      <c r="FP80" s="2723">
        <f t="shared" si="158"/>
        <v>0</v>
      </c>
      <c r="FQ80" s="372">
        <f t="shared" si="59"/>
        <v>0</v>
      </c>
      <c r="FR80" s="372">
        <f t="shared" si="159"/>
        <v>0</v>
      </c>
      <c r="FS80" s="1168"/>
      <c r="FT80" s="1168">
        <f t="shared" si="60"/>
        <v>0</v>
      </c>
      <c r="FU80" s="1168">
        <f t="shared" si="61"/>
        <v>0</v>
      </c>
      <c r="FV80" s="1168">
        <f t="shared" si="62"/>
        <v>0</v>
      </c>
      <c r="FW80" s="1168">
        <f t="shared" si="63"/>
        <v>0</v>
      </c>
      <c r="FX80" s="1168">
        <f t="shared" si="64"/>
        <v>0</v>
      </c>
      <c r="FY80" s="1168">
        <f t="shared" si="65"/>
        <v>0</v>
      </c>
      <c r="FZ80" s="1168">
        <f t="shared" si="66"/>
        <v>0</v>
      </c>
      <c r="GA80" s="1168">
        <f t="shared" si="67"/>
        <v>0</v>
      </c>
      <c r="GB80" s="1168">
        <f t="shared" si="68"/>
        <v>0</v>
      </c>
      <c r="GC80" s="1168">
        <f t="shared" si="69"/>
        <v>0</v>
      </c>
      <c r="GD80" s="1168"/>
      <c r="GE80" s="199"/>
      <c r="GF80" s="201">
        <f t="shared" si="70"/>
        <v>0</v>
      </c>
      <c r="GG80" s="201">
        <f t="shared" si="71"/>
        <v>0</v>
      </c>
      <c r="GH80" s="201">
        <f t="shared" si="72"/>
        <v>0</v>
      </c>
      <c r="GI80" s="201">
        <f t="shared" ca="1" si="160"/>
        <v>0</v>
      </c>
      <c r="GJ80" s="201">
        <f t="shared" si="73"/>
        <v>0</v>
      </c>
      <c r="GK80" s="201">
        <f t="shared" si="74"/>
        <v>0</v>
      </c>
      <c r="GL80" s="201">
        <f t="shared" si="75"/>
        <v>1</v>
      </c>
      <c r="GM80" s="201">
        <f t="shared" si="76"/>
        <v>1</v>
      </c>
      <c r="GN80" s="201"/>
      <c r="GO80" s="201"/>
      <c r="GP80" s="201">
        <f t="shared" si="77"/>
        <v>0</v>
      </c>
      <c r="GQ80" s="201">
        <f t="shared" si="78"/>
        <v>0</v>
      </c>
      <c r="GR80" s="201">
        <f t="shared" si="161"/>
        <v>0</v>
      </c>
      <c r="GS80" s="1768"/>
      <c r="GT80" s="201">
        <f t="shared" si="79"/>
        <v>1</v>
      </c>
      <c r="GU80" s="201">
        <f t="shared" si="193"/>
        <v>17</v>
      </c>
      <c r="GV80" s="201">
        <f t="shared" si="80"/>
        <v>0</v>
      </c>
      <c r="GW80" s="201">
        <f t="shared" si="81"/>
        <v>3</v>
      </c>
      <c r="GX80" s="201">
        <f t="shared" si="162"/>
        <v>0</v>
      </c>
      <c r="GY80" s="1998"/>
      <c r="GZ80" s="253"/>
      <c r="HA80" s="195">
        <f t="shared" si="163"/>
        <v>0</v>
      </c>
      <c r="HB80" s="3558">
        <f t="shared" si="82"/>
        <v>0</v>
      </c>
      <c r="HC80" s="3590"/>
      <c r="HD80" s="257" t="str">
        <f t="shared" si="83"/>
        <v/>
      </c>
      <c r="HE80" s="825">
        <f t="shared" si="84"/>
        <v>0</v>
      </c>
      <c r="HF80" s="506" t="s">
        <v>5</v>
      </c>
      <c r="HG80" s="508">
        <f t="shared" ca="1" si="85"/>
        <v>0</v>
      </c>
      <c r="HH80" s="3585">
        <f t="shared" si="86"/>
        <v>0</v>
      </c>
      <c r="HI80" s="3586"/>
      <c r="HJ80" s="504">
        <f t="shared" ca="1" si="246"/>
        <v>0</v>
      </c>
      <c r="HK80" s="456">
        <f t="shared" ca="1" si="247"/>
        <v>0</v>
      </c>
      <c r="HL80" s="3591">
        <f t="shared" ca="1" si="248"/>
        <v>0</v>
      </c>
      <c r="HM80" s="3592"/>
      <c r="HN80" s="240"/>
      <c r="HO80" s="1998"/>
      <c r="HP80" s="1991"/>
      <c r="HQ80" s="2770" t="str">
        <f t="shared" si="90"/>
        <v>GB - BIAF</v>
      </c>
      <c r="HR80" s="2770" t="str">
        <f t="shared" si="91"/>
        <v>GBP</v>
      </c>
      <c r="HS80" s="2771">
        <f t="shared" si="92"/>
        <v>1</v>
      </c>
      <c r="HT80" s="3488"/>
      <c r="HU80" s="2771">
        <f t="shared" si="93"/>
        <v>1.73</v>
      </c>
      <c r="HW80" s="1218"/>
      <c r="HX80" s="520"/>
      <c r="HY80" s="2523"/>
      <c r="HZ80" s="194"/>
      <c r="IA80" s="1013"/>
      <c r="IB80" s="193"/>
      <c r="IC80" s="3276">
        <v>17</v>
      </c>
      <c r="ID80" s="986"/>
      <c r="IE80" s="938">
        <f t="shared" si="164"/>
        <v>0</v>
      </c>
      <c r="IF80" s="938">
        <f t="shared" si="165"/>
        <v>0</v>
      </c>
      <c r="IG80" s="432"/>
      <c r="II80" s="405"/>
      <c r="IJ80" s="239"/>
      <c r="IK80" s="2774" t="str">
        <f t="shared" si="166"/>
        <v>GBP</v>
      </c>
      <c r="IL80" s="2148"/>
      <c r="IM80" s="1936">
        <f t="shared" si="94"/>
        <v>0</v>
      </c>
      <c r="IO80" s="1959" t="str">
        <f t="shared" si="95"/>
        <v/>
      </c>
      <c r="IP80" s="1958"/>
      <c r="IQ80" s="543">
        <f t="shared" si="96"/>
        <v>0.52</v>
      </c>
      <c r="IR80" s="1936">
        <f t="shared" si="97"/>
        <v>0</v>
      </c>
      <c r="IT80" s="1364"/>
      <c r="IU80" s="210"/>
      <c r="IV80" s="218"/>
      <c r="IW80" s="1938">
        <f ca="1">IF(NOT(ISBLANK(IU80)),IU80,IF('1 Setup'!$G$8&lt;7,JK80,FJ80))+KA80</f>
        <v>0</v>
      </c>
      <c r="IX80" s="409">
        <f t="shared" si="98"/>
        <v>0</v>
      </c>
      <c r="IY80" s="408">
        <f t="shared" si="99"/>
        <v>0</v>
      </c>
      <c r="IZ80" s="1983"/>
      <c r="JA80" s="1994"/>
      <c r="JB80" s="1991"/>
      <c r="JD80" s="2029">
        <f t="shared" si="167"/>
        <v>0</v>
      </c>
      <c r="JE80" s="479"/>
      <c r="JF80" s="2025">
        <f t="shared" si="100"/>
        <v>0</v>
      </c>
      <c r="JG80" s="429">
        <f t="shared" si="101"/>
        <v>0</v>
      </c>
      <c r="JH80" s="1667">
        <f t="shared" si="102"/>
        <v>0</v>
      </c>
      <c r="JJ80" s="1163">
        <f t="shared" ca="1" si="103"/>
        <v>0</v>
      </c>
      <c r="JK80" s="1163">
        <f t="shared" ca="1" si="104"/>
        <v>0</v>
      </c>
      <c r="JL80" s="1795"/>
      <c r="JN80" s="2505"/>
      <c r="JO80" s="1161"/>
      <c r="JP80" s="571">
        <f t="shared" ca="1" si="105"/>
        <v>0</v>
      </c>
      <c r="JQ80" s="2506"/>
      <c r="JR80" s="1953"/>
      <c r="JS80" s="2650"/>
      <c r="JT80" s="2507"/>
      <c r="JU80" s="1964">
        <f t="shared" si="106"/>
        <v>0.33450000000000002</v>
      </c>
      <c r="JV80" s="3199"/>
      <c r="JW80" s="2649">
        <f t="shared" si="107"/>
        <v>1.5</v>
      </c>
      <c r="JX80" s="1964">
        <f t="shared" si="168"/>
        <v>0.1565</v>
      </c>
      <c r="JY80" s="3199"/>
      <c r="JZ80" s="2649">
        <f t="shared" si="169"/>
        <v>0</v>
      </c>
      <c r="KA80" s="2649">
        <f t="shared" si="170"/>
        <v>0</v>
      </c>
      <c r="KB80" s="2649" t="s">
        <v>111</v>
      </c>
      <c r="KC80" s="1983"/>
      <c r="KD80" s="1974"/>
      <c r="KE80" s="1991"/>
      <c r="KF80" s="2029">
        <f t="shared" si="171"/>
        <v>0</v>
      </c>
      <c r="KG80" s="1991"/>
      <c r="KH80" s="2121">
        <f t="shared" si="108"/>
        <v>0</v>
      </c>
      <c r="KI80" s="2130">
        <f t="shared" si="109"/>
        <v>0</v>
      </c>
      <c r="KJ80" s="2130">
        <f t="shared" si="110"/>
        <v>0</v>
      </c>
      <c r="KK80" s="2130">
        <f t="shared" si="111"/>
        <v>0</v>
      </c>
      <c r="KL80" s="2131">
        <f t="shared" si="112"/>
        <v>0</v>
      </c>
      <c r="KM80" s="2132">
        <f t="shared" si="113"/>
        <v>0</v>
      </c>
      <c r="KN80" s="2132">
        <f t="shared" si="114"/>
        <v>0</v>
      </c>
      <c r="KO80" s="2132">
        <f t="shared" si="115"/>
        <v>0</v>
      </c>
      <c r="KP80" s="2132">
        <f t="shared" si="116"/>
        <v>0</v>
      </c>
      <c r="KQ80" s="2133">
        <f t="shared" si="117"/>
        <v>0</v>
      </c>
      <c r="KS80" s="2253">
        <f t="shared" si="118"/>
        <v>0</v>
      </c>
      <c r="KT80" s="2270">
        <f t="shared" ref="KT80:LB80" si="252">KS80*(1+(KT$60))</f>
        <v>0</v>
      </c>
      <c r="KU80" s="2271">
        <f t="shared" si="252"/>
        <v>0</v>
      </c>
      <c r="KV80" s="2271">
        <f t="shared" si="252"/>
        <v>0</v>
      </c>
      <c r="KW80" s="2272">
        <f t="shared" si="252"/>
        <v>0</v>
      </c>
      <c r="KX80" s="2271">
        <f t="shared" si="252"/>
        <v>0</v>
      </c>
      <c r="KY80" s="2271">
        <f t="shared" si="252"/>
        <v>0</v>
      </c>
      <c r="KZ80" s="2271">
        <f t="shared" si="252"/>
        <v>0</v>
      </c>
      <c r="LA80" s="2271">
        <f t="shared" si="252"/>
        <v>0</v>
      </c>
      <c r="LB80" s="2273">
        <f t="shared" si="252"/>
        <v>0</v>
      </c>
      <c r="LC80" s="272"/>
      <c r="LD80" s="2124">
        <f t="shared" si="120"/>
        <v>0</v>
      </c>
      <c r="LE80" s="2093">
        <f t="shared" si="121"/>
        <v>0</v>
      </c>
      <c r="LF80" s="2093">
        <f t="shared" si="122"/>
        <v>0</v>
      </c>
      <c r="LG80" s="2093">
        <f t="shared" si="123"/>
        <v>0</v>
      </c>
      <c r="LH80" s="2094">
        <f t="shared" si="124"/>
        <v>0</v>
      </c>
      <c r="LI80" s="2095">
        <f t="shared" si="125"/>
        <v>0</v>
      </c>
      <c r="LJ80" s="2095">
        <f t="shared" si="126"/>
        <v>0</v>
      </c>
      <c r="LK80" s="2095">
        <f t="shared" si="127"/>
        <v>0</v>
      </c>
      <c r="LL80" s="2095">
        <f t="shared" si="128"/>
        <v>0</v>
      </c>
      <c r="LM80" s="2096">
        <f t="shared" si="129"/>
        <v>0</v>
      </c>
      <c r="LN80" s="749"/>
      <c r="LO80" s="2256">
        <f t="shared" ca="1" si="130"/>
        <v>0</v>
      </c>
      <c r="LP80" s="2270">
        <f t="shared" ca="1" si="131"/>
        <v>0</v>
      </c>
      <c r="LQ80" s="2271">
        <f t="shared" ca="1" si="132"/>
        <v>0</v>
      </c>
      <c r="LR80" s="2271">
        <f t="shared" ca="1" si="133"/>
        <v>0</v>
      </c>
      <c r="LS80" s="2272">
        <f t="shared" ca="1" si="134"/>
        <v>0</v>
      </c>
      <c r="LT80" s="2271">
        <f t="shared" ca="1" si="135"/>
        <v>0</v>
      </c>
      <c r="LU80" s="2271">
        <f t="shared" ca="1" si="136"/>
        <v>0</v>
      </c>
      <c r="LV80" s="2271">
        <f t="shared" ca="1" si="137"/>
        <v>0</v>
      </c>
      <c r="LW80" s="2271">
        <f t="shared" ca="1" si="138"/>
        <v>0</v>
      </c>
      <c r="LX80" s="2273">
        <f t="shared" ca="1" si="139"/>
        <v>0</v>
      </c>
      <c r="LY80" s="479"/>
      <c r="LZ80" s="3128">
        <f t="shared" ca="1" si="173"/>
        <v>-1.73</v>
      </c>
      <c r="MA80" s="3129">
        <f t="shared" ca="1" si="174"/>
        <v>-1.73</v>
      </c>
      <c r="MB80" s="3129">
        <f t="shared" ca="1" si="175"/>
        <v>-1.73</v>
      </c>
      <c r="MC80" s="3129">
        <f t="shared" ca="1" si="176"/>
        <v>-1.73</v>
      </c>
      <c r="MD80" s="3130">
        <f t="shared" ca="1" si="177"/>
        <v>-1.73</v>
      </c>
      <c r="ME80" s="3129">
        <f t="shared" ca="1" si="178"/>
        <v>-1.73</v>
      </c>
      <c r="MF80" s="3129">
        <f t="shared" ca="1" si="179"/>
        <v>-1.73</v>
      </c>
      <c r="MG80" s="3129">
        <f t="shared" ca="1" si="180"/>
        <v>-1.73</v>
      </c>
      <c r="MH80" s="3129">
        <f t="shared" ca="1" si="181"/>
        <v>-1.73</v>
      </c>
      <c r="MI80" s="3131">
        <f t="shared" ca="1" si="182"/>
        <v>-1.73</v>
      </c>
      <c r="MJ80" s="3201"/>
      <c r="MK80" s="3206">
        <f t="shared" ca="1" si="183"/>
        <v>0</v>
      </c>
      <c r="ML80" s="3207">
        <f t="shared" ca="1" si="184"/>
        <v>0</v>
      </c>
      <c r="MM80" s="3207">
        <f t="shared" ca="1" si="185"/>
        <v>0</v>
      </c>
      <c r="MN80" s="3207">
        <f t="shared" ca="1" si="186"/>
        <v>0</v>
      </c>
      <c r="MO80" s="3208">
        <f t="shared" ca="1" si="187"/>
        <v>0</v>
      </c>
      <c r="MP80" s="3207">
        <f t="shared" ca="1" si="188"/>
        <v>0</v>
      </c>
      <c r="MQ80" s="3207">
        <f t="shared" ca="1" si="189"/>
        <v>0</v>
      </c>
      <c r="MR80" s="3207">
        <f t="shared" ca="1" si="190"/>
        <v>0</v>
      </c>
      <c r="MS80" s="3207">
        <f t="shared" ca="1" si="191"/>
        <v>0</v>
      </c>
      <c r="MT80" s="3209">
        <f t="shared" ca="1" si="192"/>
        <v>0</v>
      </c>
      <c r="MU80" s="1983"/>
      <c r="MV80" s="1975"/>
      <c r="MW80" s="1991"/>
      <c r="MX80" s="1931">
        <f t="shared" si="142"/>
        <v>0</v>
      </c>
      <c r="MY80" s="749"/>
      <c r="MZ80" s="1934">
        <f t="shared" si="143"/>
        <v>0</v>
      </c>
      <c r="NA80" s="1935"/>
      <c r="NB80" s="2652">
        <f t="shared" si="144"/>
        <v>0</v>
      </c>
      <c r="NC80" s="479"/>
      <c r="ND80" s="2749" t="str">
        <f t="shared" si="145"/>
        <v/>
      </c>
      <c r="NE80" s="2717"/>
      <c r="NF80" s="1975"/>
      <c r="NG80" s="1975"/>
      <c r="NH80" s="1975"/>
      <c r="NI80" s="1975"/>
    </row>
    <row r="81" spans="1:373" s="192" customFormat="1" ht="15.9" customHeight="1" x14ac:dyDescent="0.3">
      <c r="A81" s="200"/>
      <c r="B81" s="200"/>
      <c r="C81" s="200"/>
      <c r="D81" s="200"/>
      <c r="E81" s="200"/>
      <c r="F81" s="200"/>
      <c r="G81" s="200"/>
      <c r="H81" s="200"/>
      <c r="I81" s="200"/>
      <c r="J81" s="200"/>
      <c r="K81" s="200"/>
      <c r="L81" s="200"/>
      <c r="M81" s="200"/>
      <c r="N81" s="200"/>
      <c r="O81" s="200"/>
      <c r="P81" s="1539"/>
      <c r="Q81" s="1539"/>
      <c r="R81" s="198"/>
      <c r="S81" s="1539"/>
      <c r="T81" s="201"/>
      <c r="U81" s="200"/>
      <c r="V81" s="201">
        <f>MATCH($IC81,'3b Activity Plan'!$DJ$171:$FH$171,0)</f>
        <v>18</v>
      </c>
      <c r="W81" s="201">
        <f>IFERROR(INDEX('3b Activity Plan'!$DJ$6:$FH$6,V81),0)</f>
        <v>0</v>
      </c>
      <c r="X81" s="1768"/>
      <c r="Y81" s="1768">
        <f>IFERROR(INDEX('3b Activity Plan'!$DJ$7:$FH$7,V81),0)</f>
        <v>0</v>
      </c>
      <c r="Z81" s="201"/>
      <c r="AA81" s="201">
        <f>IFERROR(INDEX('3b Activity Plan'!$DJ$34:$FH$34,$V81),0)</f>
        <v>0</v>
      </c>
      <c r="AB81" s="201">
        <f>IFERROR(INDEX('3b Activity Plan'!$DJ$35:$FH$35,$V81),0)</f>
        <v>0</v>
      </c>
      <c r="AC81" s="201">
        <f>IFERROR(INDEX('3b Activity Plan'!$DJ$36:$FH$36,$V81),0)</f>
        <v>0</v>
      </c>
      <c r="AD81" s="201">
        <f>IFERROR(INDEX('3b Activity Plan'!$DJ$37:$FH$37,$V81),0)</f>
        <v>0</v>
      </c>
      <c r="AE81" s="201">
        <f>IFERROR(INDEX('3b Activity Plan'!$DJ$38:$FH$38,$V81),0)</f>
        <v>0</v>
      </c>
      <c r="AF81" s="201">
        <f>IFERROR(INDEX('3b Activity Plan'!$DJ$39:$FH$39,$V81),0)</f>
        <v>0</v>
      </c>
      <c r="AG81" s="201">
        <f>IFERROR(INDEX('3b Activity Plan'!$DJ$40:$FH$40,$V81),0)</f>
        <v>0</v>
      </c>
      <c r="AH81" s="201">
        <f>IFERROR(INDEX('3b Activity Plan'!$DJ$41:$FH$41,$V81),0)</f>
        <v>0</v>
      </c>
      <c r="AI81" s="201">
        <f>IFERROR(INDEX('3b Activity Plan'!$DJ$42:$FH$42,$V81),0)</f>
        <v>0</v>
      </c>
      <c r="AJ81" s="201">
        <f>IFERROR(INDEX('3b Activity Plan'!$DJ$43:$FH$43,$V81),0)</f>
        <v>0</v>
      </c>
      <c r="AK81" s="201"/>
      <c r="AL81" s="201">
        <f>SUMIFS('3a Staff Plan'!$AR$129:$AR$305,'3a Staff Plan'!$DY$129:$DY$305,$IA81,'3a Staff Plan'!$DF$129:$DF$305,1)</f>
        <v>0</v>
      </c>
      <c r="AM81" s="1768"/>
      <c r="AN81" s="1768">
        <f>SUMIFS('3a Staff Plan'!$AR$129:$AR$305,'3a Staff Plan'!$DY$129:$DY$305,$IA81,'3a Staff Plan'!$CV$129:$CV$305,1)</f>
        <v>0</v>
      </c>
      <c r="AO81" s="201"/>
      <c r="AP81" s="201">
        <f>SUMIFS('3a Staff Plan'!$AS$129:$AS$305,'3a Staff Plan'!$DY$129:$DY$305,$IA81,'3a Staff Plan'!$DF$129:$DF$305,1)</f>
        <v>0</v>
      </c>
      <c r="AQ81" s="201">
        <f>SUMIFS('3a Staff Plan'!$AT$129:$AT$305,'3a Staff Plan'!$DY$129:$DY$305,$IA81,'3a Staff Plan'!$DF$129:$DF$305,1)</f>
        <v>0</v>
      </c>
      <c r="AR81" s="201">
        <f>SUMIFS('3a Staff Plan'!$AU$129:$AU$305,'3a Staff Plan'!$DY$129:$DY$305,$IA81,'3a Staff Plan'!$DF$129:$DF$305,1)</f>
        <v>0</v>
      </c>
      <c r="AS81" s="201">
        <f>SUMIFS('3a Staff Plan'!$AV$129:$AV$305,'3a Staff Plan'!$DY$129:$DY$305,$IA81,'3a Staff Plan'!$DF$129:$DF$305,1)</f>
        <v>0</v>
      </c>
      <c r="AT81" s="201">
        <f>SUMIFS('3a Staff Plan'!$AW$129:$AW$305,'3a Staff Plan'!$DY$129:$DY$305,$IA81,'3a Staff Plan'!$DF$129:$DF$305,1)</f>
        <v>0</v>
      </c>
      <c r="AU81" s="201">
        <f>SUMIFS('3a Staff Plan'!$AX$129:$AX$305,'3a Staff Plan'!$DY$129:$DY$305,$IA81,'3a Staff Plan'!$DF$129:$DF$305,1)</f>
        <v>0</v>
      </c>
      <c r="AV81" s="201">
        <f>SUMIFS('3a Staff Plan'!$AY$129:$AY$305,'3a Staff Plan'!$DY$129:$DY$305,$IA81,'3a Staff Plan'!$DF$129:$DF$305,1)</f>
        <v>0</v>
      </c>
      <c r="AW81" s="201">
        <f>SUMIFS('3a Staff Plan'!$AZ$129:$AZ$305,'3a Staff Plan'!$DY$129:$DY$305,$IA81,'3a Staff Plan'!$DF$129:$DF$305,1)</f>
        <v>0</v>
      </c>
      <c r="AX81" s="201">
        <f>SUMIFS('3a Staff Plan'!$BA$129:$BA$305,'3a Staff Plan'!$DY$129:$DY$305,$IA81,'3a Staff Plan'!$DF$129:$DF$305,1)</f>
        <v>0</v>
      </c>
      <c r="AY81" s="201">
        <f>SUMIFS('3a Staff Plan'!$BB$129:$BB$305,'3a Staff Plan'!$DY$129:$DY$305,$IA81,'3a Staff Plan'!$DF$129:$DF$305,1)</f>
        <v>0</v>
      </c>
      <c r="AZ81" s="201"/>
      <c r="BA81" s="201">
        <f t="shared" si="240"/>
        <v>0</v>
      </c>
      <c r="BB81" s="1768"/>
      <c r="BC81" s="1768">
        <f t="shared" si="240"/>
        <v>0</v>
      </c>
      <c r="BD81" s="201"/>
      <c r="BE81" s="201">
        <f t="shared" si="241"/>
        <v>0</v>
      </c>
      <c r="BF81" s="201">
        <f t="shared" si="241"/>
        <v>0</v>
      </c>
      <c r="BG81" s="201">
        <f t="shared" si="241"/>
        <v>0</v>
      </c>
      <c r="BH81" s="201">
        <f t="shared" si="241"/>
        <v>0</v>
      </c>
      <c r="BI81" s="201">
        <f t="shared" si="241"/>
        <v>0</v>
      </c>
      <c r="BJ81" s="201">
        <f t="shared" si="241"/>
        <v>0</v>
      </c>
      <c r="BK81" s="201">
        <f t="shared" si="241"/>
        <v>0</v>
      </c>
      <c r="BL81" s="201">
        <f t="shared" si="241"/>
        <v>0</v>
      </c>
      <c r="BM81" s="201">
        <f t="shared" si="241"/>
        <v>0</v>
      </c>
      <c r="BN81" s="201">
        <f t="shared" si="241"/>
        <v>0</v>
      </c>
      <c r="BO81" s="201"/>
      <c r="BP81" s="1818">
        <f t="shared" si="146"/>
        <v>18</v>
      </c>
      <c r="BQ81" s="1818">
        <f>IFERROR(INDEX('3b Activity Plan'!$DJ$15:$FH$15,BP81),0)</f>
        <v>0</v>
      </c>
      <c r="BR81" s="1768"/>
      <c r="BS81" s="1768">
        <f>IFERROR(INDEX('3b Activity Plan'!$DJ$16:$FH$16,BP81),0)</f>
        <v>0</v>
      </c>
      <c r="BT81" s="201"/>
      <c r="BU81" s="201">
        <f>IFERROR(INDEX('3b Activity Plan'!$DJ$67:$FH$67,$V81),0)</f>
        <v>0</v>
      </c>
      <c r="BV81" s="201">
        <f>IFERROR(INDEX('3b Activity Plan'!$DJ$68:$FH$68,$V81),0)</f>
        <v>0</v>
      </c>
      <c r="BW81" s="201">
        <f>IFERROR(INDEX('3b Activity Plan'!$DJ$69:$FH$69,$V81),0)</f>
        <v>0</v>
      </c>
      <c r="BX81" s="201">
        <f>IFERROR(INDEX('3b Activity Plan'!$DJ$70:$FH$70,$V81),0)</f>
        <v>0</v>
      </c>
      <c r="BY81" s="201">
        <f>IFERROR(INDEX('3b Activity Plan'!$DJ$71:$FH$71,$V81),0)</f>
        <v>0</v>
      </c>
      <c r="BZ81" s="201">
        <f>IFERROR(INDEX('3b Activity Plan'!$DJ$72:$FH$72,$V81),0)</f>
        <v>0</v>
      </c>
      <c r="CA81" s="201">
        <f>IFERROR(INDEX('3b Activity Plan'!$DJ$73:$FH$73,$V81),0)</f>
        <v>0</v>
      </c>
      <c r="CB81" s="201">
        <f>IFERROR(INDEX('3b Activity Plan'!$DJ$74:$FH$74,$V81),0)</f>
        <v>0</v>
      </c>
      <c r="CC81" s="201">
        <f>IFERROR(INDEX('3b Activity Plan'!$DJ$75:$FH$75,$V81),0)</f>
        <v>0</v>
      </c>
      <c r="CD81" s="201">
        <f>IFERROR(INDEX('3b Activity Plan'!$DJ$76:$FH$76,$V81),0)</f>
        <v>0</v>
      </c>
      <c r="CE81" s="201"/>
      <c r="CF81" s="1818">
        <f>SUMIFS('3a Staff Plan'!$AR$129:$AR$305,'3a Staff Plan'!$DY$129:$DY$305,$IA81,'3a Staff Plan'!$AG$129:$AG$305,1,'3a Staff Plan'!$DF$129:$DF$305,1)</f>
        <v>0</v>
      </c>
      <c r="CG81" s="1768">
        <f>SUMIFS('3a Staff Plan'!$AR$129:$AR$305,'3a Staff Plan'!$DY$129:$DY$305,$IA81,'3a Staff Plan'!$AG$129:$AG$305,1,'3a Staff Plan'!$CX$129:$CX$305,1)</f>
        <v>0</v>
      </c>
      <c r="CH81" s="1768">
        <f>SUMIFS('3a Staff Plan'!$AR$129:$AR$305,'3a Staff Plan'!$DY$129:$DY$305,$IA81,'3a Staff Plan'!$AG$129:$AG$305,1,'3a Staff Plan'!$CV$129:$CV$305,1)</f>
        <v>0</v>
      </c>
      <c r="CI81" s="201"/>
      <c r="CJ81" s="201">
        <f>SUMIFS('3a Staff Plan'!$BX$129:$BX$305,'3a Staff Plan'!$DY$129:$DY$305,$IA81,'3a Staff Plan'!$DF$129:$DF$305,1,'3a Staff Plan'!$AG$129:$AG$305,1)</f>
        <v>0</v>
      </c>
      <c r="CK81" s="201">
        <f>SUMIFS('3a Staff Plan'!$BY$129:$BY$305,'3a Staff Plan'!$DY$129:$DY$305,$IA81,'3a Staff Plan'!$DF$129:$DF$305,1,'3a Staff Plan'!$AG$129:$AG$305,1)</f>
        <v>0</v>
      </c>
      <c r="CL81" s="201">
        <f>SUMIFS('3a Staff Plan'!$BZ$129:$BZ$305,'3a Staff Plan'!$DY$129:$DY$305,$IA81,'3a Staff Plan'!$DF$129:$DF$305,1,'3a Staff Plan'!$AG$129:$AG$305,1)</f>
        <v>0</v>
      </c>
      <c r="CM81" s="201">
        <f>SUMIFS('3a Staff Plan'!$CA$129:$CA$305,'3a Staff Plan'!$DY$129:$DY$305,$IA81,'3a Staff Plan'!$DF$129:$DF$305,1,'3a Staff Plan'!$AG$129:$AG$305,1)</f>
        <v>0</v>
      </c>
      <c r="CN81" s="201">
        <f>SUMIFS('3a Staff Plan'!$CB$129:$CB$305,'3a Staff Plan'!$DY$129:$DY$305,$IA81,'3a Staff Plan'!$DF$129:$DF$305,1,'3a Staff Plan'!$AG$129:$AG$305,1)</f>
        <v>0</v>
      </c>
      <c r="CO81" s="201">
        <f>SUMIFS('3a Staff Plan'!$CC$129:$CC$305,'3a Staff Plan'!$DY$129:$DY$305,$IA81,'3a Staff Plan'!$DF$129:$DF$305,1,'3a Staff Plan'!$AG$129:$AG$305,1)</f>
        <v>0</v>
      </c>
      <c r="CP81" s="201">
        <f>SUMIFS('3a Staff Plan'!$CD$129:$CD$305,'3a Staff Plan'!$DY$129:$DY$305,$IA81,'3a Staff Plan'!$DF$129:$DF$305,1,'3a Staff Plan'!$AG$129:$AG$305,1)</f>
        <v>0</v>
      </c>
      <c r="CQ81" s="201">
        <f>SUMIFS('3a Staff Plan'!$CE$129:$CE$305,'3a Staff Plan'!$DY$129:$DY$305,$IA81,'3a Staff Plan'!$DF$129:$DF$305,1,'3a Staff Plan'!$AG$129:$AG$305,1)</f>
        <v>0</v>
      </c>
      <c r="CR81" s="201">
        <f>SUMIFS('3a Staff Plan'!$CF$129:$CF$305,'3a Staff Plan'!$DY$129:$DY$305,$IA81,'3a Staff Plan'!$DF$129:$DF$305,1,'3a Staff Plan'!$AG$129:$AG$305,1)</f>
        <v>0</v>
      </c>
      <c r="CS81" s="201">
        <f>SUMIFS('3a Staff Plan'!$CG$129:$CG$305,'3a Staff Plan'!$DY$129:$DY$305,$IA81,'3a Staff Plan'!$DF$129:$DF$305,1,'3a Staff Plan'!$AG$129:$AG$305,1)</f>
        <v>0</v>
      </c>
      <c r="CT81" s="201"/>
      <c r="CU81" s="1818">
        <f t="shared" si="242"/>
        <v>0</v>
      </c>
      <c r="CV81" s="1768"/>
      <c r="CW81" s="1768">
        <f t="shared" si="242"/>
        <v>0</v>
      </c>
      <c r="CX81" s="201"/>
      <c r="CY81" s="201">
        <f t="shared" si="243"/>
        <v>0</v>
      </c>
      <c r="CZ81" s="201">
        <f t="shared" si="243"/>
        <v>0</v>
      </c>
      <c r="DA81" s="201">
        <f t="shared" si="243"/>
        <v>0</v>
      </c>
      <c r="DB81" s="201">
        <f t="shared" si="243"/>
        <v>0</v>
      </c>
      <c r="DC81" s="201">
        <f t="shared" si="243"/>
        <v>0</v>
      </c>
      <c r="DD81" s="201">
        <f t="shared" si="243"/>
        <v>0</v>
      </c>
      <c r="DE81" s="201">
        <f t="shared" si="243"/>
        <v>0</v>
      </c>
      <c r="DF81" s="201">
        <f t="shared" si="243"/>
        <v>0</v>
      </c>
      <c r="DG81" s="201">
        <f t="shared" si="243"/>
        <v>0</v>
      </c>
      <c r="DH81" s="201">
        <f t="shared" si="243"/>
        <v>0</v>
      </c>
      <c r="DI81" s="201"/>
      <c r="DJ81" s="201"/>
      <c r="DK81" s="201"/>
      <c r="DL81" s="201"/>
      <c r="DM81" s="372">
        <f t="shared" ca="1" si="37"/>
        <v>0</v>
      </c>
      <c r="DN81" s="1185">
        <f t="shared" si="38"/>
        <v>0</v>
      </c>
      <c r="DO81" s="1185">
        <f t="shared" si="39"/>
        <v>0</v>
      </c>
      <c r="DP81" s="201"/>
      <c r="DQ81" s="372">
        <f t="shared" ca="1" si="40"/>
        <v>0</v>
      </c>
      <c r="DR81" s="1185">
        <f t="shared" si="41"/>
        <v>0</v>
      </c>
      <c r="DS81" s="1185">
        <f t="shared" si="42"/>
        <v>0</v>
      </c>
      <c r="DT81" s="201"/>
      <c r="DU81" s="372">
        <f t="shared" ca="1" si="244"/>
        <v>0</v>
      </c>
      <c r="DV81" s="372">
        <f t="shared" si="244"/>
        <v>0</v>
      </c>
      <c r="DW81" s="372">
        <f t="shared" si="244"/>
        <v>0</v>
      </c>
      <c r="DX81" s="201"/>
      <c r="DY81" s="372">
        <f t="shared" si="44"/>
        <v>0</v>
      </c>
      <c r="DZ81" s="372">
        <f t="shared" ca="1" si="45"/>
        <v>0</v>
      </c>
      <c r="EA81" s="201"/>
      <c r="EB81" s="2776">
        <f>IF(EO81=$EO$53,1,IFERROR(INDEX('Currency Data'!$L$8:$L$41,MATCH(EO81,'Currency Data'!$H$8:$H$41,0)),1))</f>
        <v>1</v>
      </c>
      <c r="EC81" s="2776">
        <f t="shared" si="147"/>
        <v>1</v>
      </c>
      <c r="ED81" s="428">
        <f>IF(GQ81=1,'1 Setup'!$T$68,IF(ISBLANK(IJ81),II81/EC81*IF(GL81=1,$ED$53,1),IJ81/EC81)*IF($EW81=7,JW81,1))</f>
        <v>0</v>
      </c>
      <c r="EE81" s="428">
        <f t="shared" si="46"/>
        <v>0</v>
      </c>
      <c r="EF81" s="428"/>
      <c r="EG81" s="1965" t="str">
        <f t="shared" si="148"/>
        <v>031500 - Highways UK</v>
      </c>
      <c r="EH81" s="201">
        <f t="shared" si="149"/>
        <v>1</v>
      </c>
      <c r="EI81" s="445" t="str">
        <f>IF(EH81=1,$EI$53,IF(GQ81=1,$GQ$55,IFERROR(IF($EG81=$EG$53,$EI$53,INDEX('PU List'!$G$6:$G$413,MATCH($EG81,'PU List'!$D$6:$D$413,0))),$EI$53)))</f>
        <v>GB - BIAF</v>
      </c>
      <c r="EJ81" s="2773" t="str">
        <f t="shared" si="150"/>
        <v>GB - BIAF</v>
      </c>
      <c r="EK81" s="1768"/>
      <c r="EL81" s="3283">
        <f>IF(OR(EW81&gt;7,$EL$53=0),0,IF(EJ81=$EI$53,$EL$53,IFERROR(INDEX('Fringe Data'!$U$8:$U$129,MATCH($EJ81,'Fringe Data'!$F$8:$F$129,0)),0)))</f>
        <v>1.73</v>
      </c>
      <c r="EM81" s="372">
        <f t="shared" si="47"/>
        <v>0</v>
      </c>
      <c r="EN81" s="201" t="str">
        <f>IFERROR(INDEX('Fringe Data'!$G$8:$G$64,MATCH($EJ81,'Fringe Data'!$F$8:$F$64,0)),$EO$53)</f>
        <v>GBP</v>
      </c>
      <c r="EO81" s="201" t="str">
        <f t="shared" si="151"/>
        <v>GBP</v>
      </c>
      <c r="EP81" s="201">
        <f>IF(EI81=$EI$53,$EP$49,IF(GP81=1,0,IFERROR(INDEX('Fringe Data'!$K$8:$K$64,MATCH($EI81,'Fringe Data'!$F$8:$F$64,0)),0)))</f>
        <v>0.52</v>
      </c>
      <c r="EQ81" s="201">
        <f>IF(EI81=$EI$53,$EQ$49,IF(GP81=1,0,IFERROR(INDEX('Fringe Data'!$L$8:$L$64,MATCH($EI81,'Fringe Data'!$F$8:$F$64,0)),0)))</f>
        <v>1.8499999999999999E-2</v>
      </c>
      <c r="ER81" s="201">
        <f>IF(EI81=$EI$53,$ER$49,IF(GP81=1,0,IFERROR(INDEX('Fringe Data'!$M$8:$M$64,MATCH($EI81,'Fringe Data'!$F$8:$F$64,0)),0)))</f>
        <v>0.43430000000000002</v>
      </c>
      <c r="ES81" s="201">
        <f>IF(EI81=$EI$53,$ES$49,IF(GP81=1,0,IFERROR(INDEX('Fringe Data'!$N$8:$N$64,MATCH($EI81,'Fringe Data'!$F$8:$F$64,0)),0)))</f>
        <v>0.1565</v>
      </c>
      <c r="ET81" s="201">
        <f>IF(EI81=$EI$53,$ET$49,IF(GP81=1,0,IFERROR(INDEX('Fringe Data'!$O$8:$O$64,MATCH($EI81,'Fringe Data'!$F$8:$F$64,0)),0)))</f>
        <v>0.33450000000000002</v>
      </c>
      <c r="EU81" s="263">
        <f>IF(EI81=$EI$53,$EU$49,IF(GP81=1,0,IFERROR(INDEX('Fringe Data'!$P$8:$P$64,MATCH($EI81,'Fringe Data'!$F$8:$F$64,0)),0)))</f>
        <v>0.1565</v>
      </c>
      <c r="EV81" s="201"/>
      <c r="EW81" s="1530">
        <f t="shared" si="48"/>
        <v>1</v>
      </c>
      <c r="EX81" s="1534">
        <f t="shared" si="152"/>
        <v>0.52</v>
      </c>
      <c r="EY81" s="321">
        <f t="shared" si="153"/>
        <v>0</v>
      </c>
      <c r="EZ81" s="201">
        <f t="shared" si="154"/>
        <v>0</v>
      </c>
      <c r="FA81" s="372">
        <f t="shared" si="49"/>
        <v>0</v>
      </c>
      <c r="FB81" s="372">
        <f t="shared" si="50"/>
        <v>0</v>
      </c>
      <c r="FC81" s="201">
        <f t="shared" ca="1" si="155"/>
        <v>0</v>
      </c>
      <c r="FD81" s="423">
        <f t="shared" si="51"/>
        <v>0</v>
      </c>
      <c r="FE81" s="423">
        <f t="shared" si="52"/>
        <v>0</v>
      </c>
      <c r="FF81" s="201">
        <f t="shared" si="156"/>
        <v>0</v>
      </c>
      <c r="FG81" s="425">
        <f>IF(OR($FJ$52=3,$FJ$52=4,$FJ$52=5),'1 Setup'!$W$96,0)</f>
        <v>0</v>
      </c>
      <c r="FH81" s="428">
        <f>IF($FJ$52=5,'1 Setup'!$W$98,IF($FJ$52=6,'1 Setup'!$S$86,0))</f>
        <v>0</v>
      </c>
      <c r="FI81" s="321">
        <f t="shared" ca="1" si="53"/>
        <v>0</v>
      </c>
      <c r="FJ81" s="263">
        <f t="shared" ca="1" si="157"/>
        <v>0</v>
      </c>
      <c r="FK81" s="372">
        <f t="shared" ca="1" si="54"/>
        <v>0</v>
      </c>
      <c r="FL81" s="372">
        <f t="shared" si="55"/>
        <v>0</v>
      </c>
      <c r="FM81" s="372">
        <f t="shared" si="56"/>
        <v>0</v>
      </c>
      <c r="FN81" s="2036">
        <f t="shared" ca="1" si="57"/>
        <v>0</v>
      </c>
      <c r="FO81" s="372">
        <f t="shared" ca="1" si="245"/>
        <v>0</v>
      </c>
      <c r="FP81" s="2723">
        <f t="shared" si="158"/>
        <v>0</v>
      </c>
      <c r="FQ81" s="372">
        <f t="shared" si="59"/>
        <v>0</v>
      </c>
      <c r="FR81" s="372">
        <f t="shared" si="159"/>
        <v>0</v>
      </c>
      <c r="FS81" s="1168"/>
      <c r="FT81" s="1168">
        <f t="shared" si="60"/>
        <v>0</v>
      </c>
      <c r="FU81" s="1168">
        <f t="shared" si="61"/>
        <v>0</v>
      </c>
      <c r="FV81" s="1168">
        <f t="shared" si="62"/>
        <v>0</v>
      </c>
      <c r="FW81" s="1168">
        <f t="shared" si="63"/>
        <v>0</v>
      </c>
      <c r="FX81" s="1168">
        <f t="shared" si="64"/>
        <v>0</v>
      </c>
      <c r="FY81" s="1168">
        <f t="shared" si="65"/>
        <v>0</v>
      </c>
      <c r="FZ81" s="1168">
        <f t="shared" si="66"/>
        <v>0</v>
      </c>
      <c r="GA81" s="1168">
        <f t="shared" si="67"/>
        <v>0</v>
      </c>
      <c r="GB81" s="1168">
        <f t="shared" si="68"/>
        <v>0</v>
      </c>
      <c r="GC81" s="1168">
        <f t="shared" si="69"/>
        <v>0</v>
      </c>
      <c r="GD81" s="1168"/>
      <c r="GE81" s="199"/>
      <c r="GF81" s="201">
        <f t="shared" si="70"/>
        <v>0</v>
      </c>
      <c r="GG81" s="201">
        <f t="shared" si="71"/>
        <v>0</v>
      </c>
      <c r="GH81" s="201">
        <f t="shared" si="72"/>
        <v>0</v>
      </c>
      <c r="GI81" s="201">
        <f t="shared" ca="1" si="160"/>
        <v>0</v>
      </c>
      <c r="GJ81" s="201">
        <f t="shared" si="73"/>
        <v>0</v>
      </c>
      <c r="GK81" s="201">
        <f t="shared" si="74"/>
        <v>0</v>
      </c>
      <c r="GL81" s="201">
        <f t="shared" si="75"/>
        <v>1</v>
      </c>
      <c r="GM81" s="201">
        <f t="shared" si="76"/>
        <v>1</v>
      </c>
      <c r="GN81" s="201"/>
      <c r="GO81" s="201"/>
      <c r="GP81" s="201">
        <f t="shared" si="77"/>
        <v>0</v>
      </c>
      <c r="GQ81" s="201">
        <f t="shared" si="78"/>
        <v>0</v>
      </c>
      <c r="GR81" s="201">
        <f t="shared" si="161"/>
        <v>0</v>
      </c>
      <c r="GS81" s="1768"/>
      <c r="GT81" s="201">
        <f t="shared" si="79"/>
        <v>1</v>
      </c>
      <c r="GU81" s="201">
        <f t="shared" si="193"/>
        <v>18</v>
      </c>
      <c r="GV81" s="201">
        <f t="shared" si="80"/>
        <v>0</v>
      </c>
      <c r="GW81" s="201">
        <f t="shared" si="81"/>
        <v>3</v>
      </c>
      <c r="GX81" s="201">
        <f t="shared" si="162"/>
        <v>0</v>
      </c>
      <c r="GY81" s="1998"/>
      <c r="GZ81" s="253"/>
      <c r="HA81" s="195">
        <f t="shared" si="163"/>
        <v>0</v>
      </c>
      <c r="HB81" s="3558">
        <f t="shared" si="82"/>
        <v>0</v>
      </c>
      <c r="HC81" s="3590"/>
      <c r="HD81" s="257" t="str">
        <f t="shared" si="83"/>
        <v/>
      </c>
      <c r="HE81" s="825">
        <f t="shared" si="84"/>
        <v>0</v>
      </c>
      <c r="HF81" s="506" t="s">
        <v>5</v>
      </c>
      <c r="HG81" s="508">
        <f t="shared" ca="1" si="85"/>
        <v>0</v>
      </c>
      <c r="HH81" s="3585">
        <f t="shared" si="86"/>
        <v>0</v>
      </c>
      <c r="HI81" s="3586"/>
      <c r="HJ81" s="504">
        <f t="shared" ca="1" si="246"/>
        <v>0</v>
      </c>
      <c r="HK81" s="456">
        <f t="shared" ca="1" si="247"/>
        <v>0</v>
      </c>
      <c r="HL81" s="3591">
        <f t="shared" ca="1" si="248"/>
        <v>0</v>
      </c>
      <c r="HM81" s="3592"/>
      <c r="HN81" s="240"/>
      <c r="HO81" s="1998"/>
      <c r="HP81" s="1991"/>
      <c r="HQ81" s="2770" t="str">
        <f t="shared" si="90"/>
        <v>GB - BIAF</v>
      </c>
      <c r="HR81" s="2770" t="str">
        <f t="shared" si="91"/>
        <v>GBP</v>
      </c>
      <c r="HS81" s="2771">
        <f t="shared" si="92"/>
        <v>1</v>
      </c>
      <c r="HT81" s="3623"/>
      <c r="HU81" s="2771">
        <f t="shared" si="93"/>
        <v>1.73</v>
      </c>
      <c r="HW81" s="1218"/>
      <c r="HX81" s="520"/>
      <c r="HY81" s="2523"/>
      <c r="HZ81" s="194"/>
      <c r="IA81" s="1013"/>
      <c r="IB81" s="193"/>
      <c r="IC81" s="3276">
        <v>18</v>
      </c>
      <c r="ID81" s="986"/>
      <c r="IE81" s="938">
        <f t="shared" si="164"/>
        <v>0</v>
      </c>
      <c r="IF81" s="938">
        <f t="shared" si="165"/>
        <v>0</v>
      </c>
      <c r="IG81" s="432"/>
      <c r="II81" s="405"/>
      <c r="IJ81" s="239"/>
      <c r="IK81" s="2774" t="str">
        <f t="shared" si="166"/>
        <v>GBP</v>
      </c>
      <c r="IL81" s="2148"/>
      <c r="IM81" s="1936">
        <f t="shared" si="94"/>
        <v>0</v>
      </c>
      <c r="IO81" s="1959" t="str">
        <f t="shared" si="95"/>
        <v/>
      </c>
      <c r="IP81" s="1958"/>
      <c r="IQ81" s="543">
        <f t="shared" si="96"/>
        <v>0.52</v>
      </c>
      <c r="IR81" s="1936">
        <f t="shared" si="97"/>
        <v>0</v>
      </c>
      <c r="IT81" s="1364"/>
      <c r="IU81" s="210"/>
      <c r="IV81" s="218"/>
      <c r="IW81" s="1938">
        <f ca="1">IF(NOT(ISBLANK(IU81)),IU81,IF('1 Setup'!$G$8&lt;7,JK81,FJ81))+KA81</f>
        <v>0</v>
      </c>
      <c r="IX81" s="409">
        <f t="shared" si="98"/>
        <v>0</v>
      </c>
      <c r="IY81" s="408">
        <f t="shared" si="99"/>
        <v>0</v>
      </c>
      <c r="IZ81" s="1983"/>
      <c r="JA81" s="1994"/>
      <c r="JB81" s="1991"/>
      <c r="JD81" s="2029">
        <f t="shared" si="167"/>
        <v>0</v>
      </c>
      <c r="JE81" s="479"/>
      <c r="JF81" s="2025">
        <f t="shared" si="100"/>
        <v>0</v>
      </c>
      <c r="JG81" s="429">
        <f t="shared" si="101"/>
        <v>0</v>
      </c>
      <c r="JH81" s="1667">
        <f t="shared" si="102"/>
        <v>0</v>
      </c>
      <c r="JJ81" s="1163">
        <f t="shared" ca="1" si="103"/>
        <v>0</v>
      </c>
      <c r="JK81" s="1163">
        <f t="shared" ca="1" si="104"/>
        <v>0</v>
      </c>
      <c r="JL81" s="1795"/>
      <c r="JN81" s="2505"/>
      <c r="JO81" s="1161"/>
      <c r="JP81" s="571">
        <f t="shared" ca="1" si="105"/>
        <v>0</v>
      </c>
      <c r="JQ81" s="2506"/>
      <c r="JR81" s="1953"/>
      <c r="JS81" s="2650"/>
      <c r="JT81" s="2507"/>
      <c r="JU81" s="1964">
        <f t="shared" si="106"/>
        <v>0.33450000000000002</v>
      </c>
      <c r="JV81" s="3199"/>
      <c r="JW81" s="2649">
        <f t="shared" si="107"/>
        <v>1.5</v>
      </c>
      <c r="JX81" s="1964">
        <f t="shared" si="168"/>
        <v>0.1565</v>
      </c>
      <c r="JY81" s="3199"/>
      <c r="JZ81" s="2649">
        <f t="shared" si="169"/>
        <v>0</v>
      </c>
      <c r="KA81" s="2649">
        <f t="shared" si="170"/>
        <v>0</v>
      </c>
      <c r="KB81" s="2649" t="s">
        <v>111</v>
      </c>
      <c r="KC81" s="1983"/>
      <c r="KD81" s="1974"/>
      <c r="KE81" s="1991"/>
      <c r="KF81" s="2029">
        <f t="shared" si="171"/>
        <v>0</v>
      </c>
      <c r="KG81" s="1991"/>
      <c r="KH81" s="2121">
        <f t="shared" si="108"/>
        <v>0</v>
      </c>
      <c r="KI81" s="2130">
        <f t="shared" si="109"/>
        <v>0</v>
      </c>
      <c r="KJ81" s="2130">
        <f t="shared" si="110"/>
        <v>0</v>
      </c>
      <c r="KK81" s="2130">
        <f t="shared" si="111"/>
        <v>0</v>
      </c>
      <c r="KL81" s="2131">
        <f t="shared" si="112"/>
        <v>0</v>
      </c>
      <c r="KM81" s="2132">
        <f t="shared" si="113"/>
        <v>0</v>
      </c>
      <c r="KN81" s="2132">
        <f t="shared" si="114"/>
        <v>0</v>
      </c>
      <c r="KO81" s="2132">
        <f t="shared" si="115"/>
        <v>0</v>
      </c>
      <c r="KP81" s="2132">
        <f t="shared" si="116"/>
        <v>0</v>
      </c>
      <c r="KQ81" s="2133">
        <f t="shared" si="117"/>
        <v>0</v>
      </c>
      <c r="KS81" s="2253">
        <f t="shared" si="118"/>
        <v>0</v>
      </c>
      <c r="KT81" s="2270">
        <f t="shared" ref="KT81:LB81" si="253">KS81*(1+(KT$60))</f>
        <v>0</v>
      </c>
      <c r="KU81" s="2271">
        <f t="shared" si="253"/>
        <v>0</v>
      </c>
      <c r="KV81" s="2271">
        <f t="shared" si="253"/>
        <v>0</v>
      </c>
      <c r="KW81" s="2272">
        <f t="shared" si="253"/>
        <v>0</v>
      </c>
      <c r="KX81" s="2271">
        <f t="shared" si="253"/>
        <v>0</v>
      </c>
      <c r="KY81" s="2271">
        <f t="shared" si="253"/>
        <v>0</v>
      </c>
      <c r="KZ81" s="2271">
        <f t="shared" si="253"/>
        <v>0</v>
      </c>
      <c r="LA81" s="2271">
        <f t="shared" si="253"/>
        <v>0</v>
      </c>
      <c r="LB81" s="2273">
        <f t="shared" si="253"/>
        <v>0</v>
      </c>
      <c r="LC81" s="272"/>
      <c r="LD81" s="2124">
        <f t="shared" si="120"/>
        <v>0</v>
      </c>
      <c r="LE81" s="2093">
        <f t="shared" si="121"/>
        <v>0</v>
      </c>
      <c r="LF81" s="2093">
        <f t="shared" si="122"/>
        <v>0</v>
      </c>
      <c r="LG81" s="2093">
        <f t="shared" si="123"/>
        <v>0</v>
      </c>
      <c r="LH81" s="2094">
        <f t="shared" si="124"/>
        <v>0</v>
      </c>
      <c r="LI81" s="2095">
        <f t="shared" si="125"/>
        <v>0</v>
      </c>
      <c r="LJ81" s="2095">
        <f t="shared" si="126"/>
        <v>0</v>
      </c>
      <c r="LK81" s="2095">
        <f t="shared" si="127"/>
        <v>0</v>
      </c>
      <c r="LL81" s="2095">
        <f t="shared" si="128"/>
        <v>0</v>
      </c>
      <c r="LM81" s="2096">
        <f t="shared" si="129"/>
        <v>0</v>
      </c>
      <c r="LN81" s="749"/>
      <c r="LO81" s="2256">
        <f t="shared" ca="1" si="130"/>
        <v>0</v>
      </c>
      <c r="LP81" s="2270">
        <f t="shared" ca="1" si="131"/>
        <v>0</v>
      </c>
      <c r="LQ81" s="2271">
        <f t="shared" ca="1" si="132"/>
        <v>0</v>
      </c>
      <c r="LR81" s="2271">
        <f t="shared" ca="1" si="133"/>
        <v>0</v>
      </c>
      <c r="LS81" s="2272">
        <f t="shared" ca="1" si="134"/>
        <v>0</v>
      </c>
      <c r="LT81" s="2271">
        <f t="shared" ca="1" si="135"/>
        <v>0</v>
      </c>
      <c r="LU81" s="2271">
        <f t="shared" ca="1" si="136"/>
        <v>0</v>
      </c>
      <c r="LV81" s="2271">
        <f t="shared" ca="1" si="137"/>
        <v>0</v>
      </c>
      <c r="LW81" s="2271">
        <f t="shared" ca="1" si="138"/>
        <v>0</v>
      </c>
      <c r="LX81" s="2273">
        <f t="shared" ca="1" si="139"/>
        <v>0</v>
      </c>
      <c r="LY81" s="479"/>
      <c r="LZ81" s="3128">
        <f t="shared" ca="1" si="173"/>
        <v>-1.73</v>
      </c>
      <c r="MA81" s="3129">
        <f t="shared" ca="1" si="174"/>
        <v>-1.73</v>
      </c>
      <c r="MB81" s="3129">
        <f t="shared" ca="1" si="175"/>
        <v>-1.73</v>
      </c>
      <c r="MC81" s="3129">
        <f t="shared" ca="1" si="176"/>
        <v>-1.73</v>
      </c>
      <c r="MD81" s="3130">
        <f t="shared" ca="1" si="177"/>
        <v>-1.73</v>
      </c>
      <c r="ME81" s="3129">
        <f t="shared" ca="1" si="178"/>
        <v>-1.73</v>
      </c>
      <c r="MF81" s="3129">
        <f t="shared" ca="1" si="179"/>
        <v>-1.73</v>
      </c>
      <c r="MG81" s="3129">
        <f t="shared" ca="1" si="180"/>
        <v>-1.73</v>
      </c>
      <c r="MH81" s="3129">
        <f t="shared" ca="1" si="181"/>
        <v>-1.73</v>
      </c>
      <c r="MI81" s="3131">
        <f t="shared" ca="1" si="182"/>
        <v>-1.73</v>
      </c>
      <c r="MJ81" s="3201"/>
      <c r="MK81" s="3206">
        <f t="shared" ca="1" si="183"/>
        <v>0</v>
      </c>
      <c r="ML81" s="3207">
        <f t="shared" ca="1" si="184"/>
        <v>0</v>
      </c>
      <c r="MM81" s="3207">
        <f t="shared" ca="1" si="185"/>
        <v>0</v>
      </c>
      <c r="MN81" s="3207">
        <f t="shared" ca="1" si="186"/>
        <v>0</v>
      </c>
      <c r="MO81" s="3208">
        <f t="shared" ca="1" si="187"/>
        <v>0</v>
      </c>
      <c r="MP81" s="3207">
        <f t="shared" ca="1" si="188"/>
        <v>0</v>
      </c>
      <c r="MQ81" s="3207">
        <f t="shared" ca="1" si="189"/>
        <v>0</v>
      </c>
      <c r="MR81" s="3207">
        <f t="shared" ca="1" si="190"/>
        <v>0</v>
      </c>
      <c r="MS81" s="3207">
        <f t="shared" ca="1" si="191"/>
        <v>0</v>
      </c>
      <c r="MT81" s="3209">
        <f t="shared" ca="1" si="192"/>
        <v>0</v>
      </c>
      <c r="MU81" s="1983"/>
      <c r="MV81" s="1975"/>
      <c r="MW81" s="1991"/>
      <c r="MX81" s="1931">
        <f t="shared" si="142"/>
        <v>0</v>
      </c>
      <c r="MY81" s="749"/>
      <c r="MZ81" s="1934">
        <f t="shared" si="143"/>
        <v>0</v>
      </c>
      <c r="NA81" s="1935"/>
      <c r="NB81" s="2652">
        <f t="shared" si="144"/>
        <v>0</v>
      </c>
      <c r="NC81" s="479"/>
      <c r="ND81" s="2749" t="str">
        <f t="shared" si="145"/>
        <v/>
      </c>
      <c r="NE81" s="2717"/>
      <c r="NF81" s="1975"/>
      <c r="NG81" s="1975"/>
      <c r="NH81" s="1975"/>
      <c r="NI81" s="1975"/>
    </row>
    <row r="82" spans="1:373" s="192" customFormat="1" ht="15.9" customHeight="1" x14ac:dyDescent="0.3">
      <c r="A82" s="200"/>
      <c r="B82" s="200"/>
      <c r="C82" s="200"/>
      <c r="D82" s="200"/>
      <c r="E82" s="200"/>
      <c r="F82" s="200"/>
      <c r="G82" s="200"/>
      <c r="H82" s="200"/>
      <c r="I82" s="200"/>
      <c r="J82" s="200"/>
      <c r="K82" s="200"/>
      <c r="L82" s="200"/>
      <c r="M82" s="200"/>
      <c r="N82" s="200"/>
      <c r="O82" s="200"/>
      <c r="P82" s="1539"/>
      <c r="Q82" s="1539"/>
      <c r="R82" s="198"/>
      <c r="S82" s="1539"/>
      <c r="T82" s="201"/>
      <c r="U82" s="200"/>
      <c r="V82" s="201">
        <f>MATCH($IC82,'3b Activity Plan'!$DJ$171:$FH$171,0)</f>
        <v>19</v>
      </c>
      <c r="W82" s="201">
        <f>IFERROR(INDEX('3b Activity Plan'!$DJ$6:$FH$6,V82),0)</f>
        <v>0</v>
      </c>
      <c r="X82" s="1768"/>
      <c r="Y82" s="1768">
        <f>IFERROR(INDEX('3b Activity Plan'!$DJ$7:$FH$7,V82),0)</f>
        <v>0</v>
      </c>
      <c r="Z82" s="201"/>
      <c r="AA82" s="201">
        <f>IFERROR(INDEX('3b Activity Plan'!$DJ$34:$FH$34,$V82),0)</f>
        <v>0</v>
      </c>
      <c r="AB82" s="201">
        <f>IFERROR(INDEX('3b Activity Plan'!$DJ$35:$FH$35,$V82),0)</f>
        <v>0</v>
      </c>
      <c r="AC82" s="201">
        <f>IFERROR(INDEX('3b Activity Plan'!$DJ$36:$FH$36,$V82),0)</f>
        <v>0</v>
      </c>
      <c r="AD82" s="201">
        <f>IFERROR(INDEX('3b Activity Plan'!$DJ$37:$FH$37,$V82),0)</f>
        <v>0</v>
      </c>
      <c r="AE82" s="201">
        <f>IFERROR(INDEX('3b Activity Plan'!$DJ$38:$FH$38,$V82),0)</f>
        <v>0</v>
      </c>
      <c r="AF82" s="201">
        <f>IFERROR(INDEX('3b Activity Plan'!$DJ$39:$FH$39,$V82),0)</f>
        <v>0</v>
      </c>
      <c r="AG82" s="201">
        <f>IFERROR(INDEX('3b Activity Plan'!$DJ$40:$FH$40,$V82),0)</f>
        <v>0</v>
      </c>
      <c r="AH82" s="201">
        <f>IFERROR(INDEX('3b Activity Plan'!$DJ$41:$FH$41,$V82),0)</f>
        <v>0</v>
      </c>
      <c r="AI82" s="201">
        <f>IFERROR(INDEX('3b Activity Plan'!$DJ$42:$FH$42,$V82),0)</f>
        <v>0</v>
      </c>
      <c r="AJ82" s="201">
        <f>IFERROR(INDEX('3b Activity Plan'!$DJ$43:$FH$43,$V82),0)</f>
        <v>0</v>
      </c>
      <c r="AK82" s="201"/>
      <c r="AL82" s="201">
        <f>SUMIFS('3a Staff Plan'!$AR$129:$AR$305,'3a Staff Plan'!$DY$129:$DY$305,$IA82,'3a Staff Plan'!$DF$129:$DF$305,1)</f>
        <v>0</v>
      </c>
      <c r="AM82" s="1768"/>
      <c r="AN82" s="1768">
        <f>SUMIFS('3a Staff Plan'!$AR$129:$AR$305,'3a Staff Plan'!$DY$129:$DY$305,$IA82,'3a Staff Plan'!$CV$129:$CV$305,1)</f>
        <v>0</v>
      </c>
      <c r="AO82" s="201"/>
      <c r="AP82" s="201">
        <f>SUMIFS('3a Staff Plan'!$AS$129:$AS$305,'3a Staff Plan'!$DY$129:$DY$305,$IA82,'3a Staff Plan'!$DF$129:$DF$305,1)</f>
        <v>0</v>
      </c>
      <c r="AQ82" s="201">
        <f>SUMIFS('3a Staff Plan'!$AT$129:$AT$305,'3a Staff Plan'!$DY$129:$DY$305,$IA82,'3a Staff Plan'!$DF$129:$DF$305,1)</f>
        <v>0</v>
      </c>
      <c r="AR82" s="201">
        <f>SUMIFS('3a Staff Plan'!$AU$129:$AU$305,'3a Staff Plan'!$DY$129:$DY$305,$IA82,'3a Staff Plan'!$DF$129:$DF$305,1)</f>
        <v>0</v>
      </c>
      <c r="AS82" s="201">
        <f>SUMIFS('3a Staff Plan'!$AV$129:$AV$305,'3a Staff Plan'!$DY$129:$DY$305,$IA82,'3a Staff Plan'!$DF$129:$DF$305,1)</f>
        <v>0</v>
      </c>
      <c r="AT82" s="201">
        <f>SUMIFS('3a Staff Plan'!$AW$129:$AW$305,'3a Staff Plan'!$DY$129:$DY$305,$IA82,'3a Staff Plan'!$DF$129:$DF$305,1)</f>
        <v>0</v>
      </c>
      <c r="AU82" s="201">
        <f>SUMIFS('3a Staff Plan'!$AX$129:$AX$305,'3a Staff Plan'!$DY$129:$DY$305,$IA82,'3a Staff Plan'!$DF$129:$DF$305,1)</f>
        <v>0</v>
      </c>
      <c r="AV82" s="201">
        <f>SUMIFS('3a Staff Plan'!$AY$129:$AY$305,'3a Staff Plan'!$DY$129:$DY$305,$IA82,'3a Staff Plan'!$DF$129:$DF$305,1)</f>
        <v>0</v>
      </c>
      <c r="AW82" s="201">
        <f>SUMIFS('3a Staff Plan'!$AZ$129:$AZ$305,'3a Staff Plan'!$DY$129:$DY$305,$IA82,'3a Staff Plan'!$DF$129:$DF$305,1)</f>
        <v>0</v>
      </c>
      <c r="AX82" s="201">
        <f>SUMIFS('3a Staff Plan'!$BA$129:$BA$305,'3a Staff Plan'!$DY$129:$DY$305,$IA82,'3a Staff Plan'!$DF$129:$DF$305,1)</f>
        <v>0</v>
      </c>
      <c r="AY82" s="201">
        <f>SUMIFS('3a Staff Plan'!$BB$129:$BB$305,'3a Staff Plan'!$DY$129:$DY$305,$IA82,'3a Staff Plan'!$DF$129:$DF$305,1)</f>
        <v>0</v>
      </c>
      <c r="AZ82" s="201"/>
      <c r="BA82" s="201">
        <f t="shared" si="240"/>
        <v>0</v>
      </c>
      <c r="BB82" s="1768"/>
      <c r="BC82" s="1768">
        <f t="shared" si="240"/>
        <v>0</v>
      </c>
      <c r="BD82" s="201"/>
      <c r="BE82" s="201">
        <f t="shared" si="241"/>
        <v>0</v>
      </c>
      <c r="BF82" s="201">
        <f t="shared" si="241"/>
        <v>0</v>
      </c>
      <c r="BG82" s="201">
        <f t="shared" si="241"/>
        <v>0</v>
      </c>
      <c r="BH82" s="201">
        <f t="shared" si="241"/>
        <v>0</v>
      </c>
      <c r="BI82" s="201">
        <f t="shared" si="241"/>
        <v>0</v>
      </c>
      <c r="BJ82" s="201">
        <f t="shared" si="241"/>
        <v>0</v>
      </c>
      <c r="BK82" s="201">
        <f t="shared" si="241"/>
        <v>0</v>
      </c>
      <c r="BL82" s="201">
        <f t="shared" si="241"/>
        <v>0</v>
      </c>
      <c r="BM82" s="201">
        <f t="shared" si="241"/>
        <v>0</v>
      </c>
      <c r="BN82" s="201">
        <f t="shared" si="241"/>
        <v>0</v>
      </c>
      <c r="BO82" s="201"/>
      <c r="BP82" s="1818">
        <f t="shared" si="146"/>
        <v>19</v>
      </c>
      <c r="BQ82" s="1818">
        <f>IFERROR(INDEX('3b Activity Plan'!$DJ$15:$FH$15,BP82),0)</f>
        <v>0</v>
      </c>
      <c r="BR82" s="1768"/>
      <c r="BS82" s="1768">
        <f>IFERROR(INDEX('3b Activity Plan'!$DJ$16:$FH$16,BP82),0)</f>
        <v>0</v>
      </c>
      <c r="BT82" s="201"/>
      <c r="BU82" s="201">
        <f>IFERROR(INDEX('3b Activity Plan'!$DJ$67:$FH$67,$V82),0)</f>
        <v>0</v>
      </c>
      <c r="BV82" s="201">
        <f>IFERROR(INDEX('3b Activity Plan'!$DJ$68:$FH$68,$V82),0)</f>
        <v>0</v>
      </c>
      <c r="BW82" s="201">
        <f>IFERROR(INDEX('3b Activity Plan'!$DJ$69:$FH$69,$V82),0)</f>
        <v>0</v>
      </c>
      <c r="BX82" s="201">
        <f>IFERROR(INDEX('3b Activity Plan'!$DJ$70:$FH$70,$V82),0)</f>
        <v>0</v>
      </c>
      <c r="BY82" s="201">
        <f>IFERROR(INDEX('3b Activity Plan'!$DJ$71:$FH$71,$V82),0)</f>
        <v>0</v>
      </c>
      <c r="BZ82" s="201">
        <f>IFERROR(INDEX('3b Activity Plan'!$DJ$72:$FH$72,$V82),0)</f>
        <v>0</v>
      </c>
      <c r="CA82" s="201">
        <f>IFERROR(INDEX('3b Activity Plan'!$DJ$73:$FH$73,$V82),0)</f>
        <v>0</v>
      </c>
      <c r="CB82" s="201">
        <f>IFERROR(INDEX('3b Activity Plan'!$DJ$74:$FH$74,$V82),0)</f>
        <v>0</v>
      </c>
      <c r="CC82" s="201">
        <f>IFERROR(INDEX('3b Activity Plan'!$DJ$75:$FH$75,$V82),0)</f>
        <v>0</v>
      </c>
      <c r="CD82" s="201">
        <f>IFERROR(INDEX('3b Activity Plan'!$DJ$76:$FH$76,$V82),0)</f>
        <v>0</v>
      </c>
      <c r="CE82" s="201"/>
      <c r="CF82" s="1818">
        <f>SUMIFS('3a Staff Plan'!$AR$129:$AR$305,'3a Staff Plan'!$DY$129:$DY$305,$IA82,'3a Staff Plan'!$AG$129:$AG$305,1,'3a Staff Plan'!$DF$129:$DF$305,1)</f>
        <v>0</v>
      </c>
      <c r="CG82" s="1768">
        <f>SUMIFS('3a Staff Plan'!$AR$129:$AR$305,'3a Staff Plan'!$DY$129:$DY$305,$IA82,'3a Staff Plan'!$AG$129:$AG$305,1,'3a Staff Plan'!$CX$129:$CX$305,1)</f>
        <v>0</v>
      </c>
      <c r="CH82" s="1768">
        <f>SUMIFS('3a Staff Plan'!$AR$129:$AR$305,'3a Staff Plan'!$DY$129:$DY$305,$IA82,'3a Staff Plan'!$AG$129:$AG$305,1,'3a Staff Plan'!$CV$129:$CV$305,1)</f>
        <v>0</v>
      </c>
      <c r="CI82" s="201"/>
      <c r="CJ82" s="201">
        <f>SUMIFS('3a Staff Plan'!$BX$129:$BX$305,'3a Staff Plan'!$DY$129:$DY$305,$IA82,'3a Staff Plan'!$DF$129:$DF$305,1,'3a Staff Plan'!$AG$129:$AG$305,1)</f>
        <v>0</v>
      </c>
      <c r="CK82" s="201">
        <f>SUMIFS('3a Staff Plan'!$BY$129:$BY$305,'3a Staff Plan'!$DY$129:$DY$305,$IA82,'3a Staff Plan'!$DF$129:$DF$305,1,'3a Staff Plan'!$AG$129:$AG$305,1)</f>
        <v>0</v>
      </c>
      <c r="CL82" s="201">
        <f>SUMIFS('3a Staff Plan'!$BZ$129:$BZ$305,'3a Staff Plan'!$DY$129:$DY$305,$IA82,'3a Staff Plan'!$DF$129:$DF$305,1,'3a Staff Plan'!$AG$129:$AG$305,1)</f>
        <v>0</v>
      </c>
      <c r="CM82" s="201">
        <f>SUMIFS('3a Staff Plan'!$CA$129:$CA$305,'3a Staff Plan'!$DY$129:$DY$305,$IA82,'3a Staff Plan'!$DF$129:$DF$305,1,'3a Staff Plan'!$AG$129:$AG$305,1)</f>
        <v>0</v>
      </c>
      <c r="CN82" s="201">
        <f>SUMIFS('3a Staff Plan'!$CB$129:$CB$305,'3a Staff Plan'!$DY$129:$DY$305,$IA82,'3a Staff Plan'!$DF$129:$DF$305,1,'3a Staff Plan'!$AG$129:$AG$305,1)</f>
        <v>0</v>
      </c>
      <c r="CO82" s="201">
        <f>SUMIFS('3a Staff Plan'!$CC$129:$CC$305,'3a Staff Plan'!$DY$129:$DY$305,$IA82,'3a Staff Plan'!$DF$129:$DF$305,1,'3a Staff Plan'!$AG$129:$AG$305,1)</f>
        <v>0</v>
      </c>
      <c r="CP82" s="201">
        <f>SUMIFS('3a Staff Plan'!$CD$129:$CD$305,'3a Staff Plan'!$DY$129:$DY$305,$IA82,'3a Staff Plan'!$DF$129:$DF$305,1,'3a Staff Plan'!$AG$129:$AG$305,1)</f>
        <v>0</v>
      </c>
      <c r="CQ82" s="201">
        <f>SUMIFS('3a Staff Plan'!$CE$129:$CE$305,'3a Staff Plan'!$DY$129:$DY$305,$IA82,'3a Staff Plan'!$DF$129:$DF$305,1,'3a Staff Plan'!$AG$129:$AG$305,1)</f>
        <v>0</v>
      </c>
      <c r="CR82" s="201">
        <f>SUMIFS('3a Staff Plan'!$CF$129:$CF$305,'3a Staff Plan'!$DY$129:$DY$305,$IA82,'3a Staff Plan'!$DF$129:$DF$305,1,'3a Staff Plan'!$AG$129:$AG$305,1)</f>
        <v>0</v>
      </c>
      <c r="CS82" s="201">
        <f>SUMIFS('3a Staff Plan'!$CG$129:$CG$305,'3a Staff Plan'!$DY$129:$DY$305,$IA82,'3a Staff Plan'!$DF$129:$DF$305,1,'3a Staff Plan'!$AG$129:$AG$305,1)</f>
        <v>0</v>
      </c>
      <c r="CT82" s="201"/>
      <c r="CU82" s="1818">
        <f t="shared" si="242"/>
        <v>0</v>
      </c>
      <c r="CV82" s="1768"/>
      <c r="CW82" s="1768">
        <f t="shared" si="242"/>
        <v>0</v>
      </c>
      <c r="CX82" s="201"/>
      <c r="CY82" s="201">
        <f t="shared" si="243"/>
        <v>0</v>
      </c>
      <c r="CZ82" s="201">
        <f t="shared" si="243"/>
        <v>0</v>
      </c>
      <c r="DA82" s="201">
        <f t="shared" si="243"/>
        <v>0</v>
      </c>
      <c r="DB82" s="201">
        <f t="shared" si="243"/>
        <v>0</v>
      </c>
      <c r="DC82" s="201">
        <f t="shared" si="243"/>
        <v>0</v>
      </c>
      <c r="DD82" s="201">
        <f t="shared" si="243"/>
        <v>0</v>
      </c>
      <c r="DE82" s="201">
        <f t="shared" si="243"/>
        <v>0</v>
      </c>
      <c r="DF82" s="201">
        <f t="shared" si="243"/>
        <v>0</v>
      </c>
      <c r="DG82" s="201">
        <f t="shared" si="243"/>
        <v>0</v>
      </c>
      <c r="DH82" s="201">
        <f t="shared" si="243"/>
        <v>0</v>
      </c>
      <c r="DI82" s="201"/>
      <c r="DJ82" s="201"/>
      <c r="DK82" s="201"/>
      <c r="DL82" s="201"/>
      <c r="DM82" s="372">
        <f t="shared" ca="1" si="37"/>
        <v>0</v>
      </c>
      <c r="DN82" s="1185">
        <f t="shared" si="38"/>
        <v>0</v>
      </c>
      <c r="DO82" s="1185">
        <f t="shared" si="39"/>
        <v>0</v>
      </c>
      <c r="DP82" s="201"/>
      <c r="DQ82" s="372">
        <f t="shared" ca="1" si="40"/>
        <v>0</v>
      </c>
      <c r="DR82" s="1185">
        <f t="shared" si="41"/>
        <v>0</v>
      </c>
      <c r="DS82" s="1185">
        <f t="shared" si="42"/>
        <v>0</v>
      </c>
      <c r="DT82" s="201"/>
      <c r="DU82" s="372">
        <f t="shared" ca="1" si="244"/>
        <v>0</v>
      </c>
      <c r="DV82" s="372">
        <f t="shared" si="244"/>
        <v>0</v>
      </c>
      <c r="DW82" s="372">
        <f t="shared" si="244"/>
        <v>0</v>
      </c>
      <c r="DX82" s="201"/>
      <c r="DY82" s="372">
        <f t="shared" si="44"/>
        <v>0</v>
      </c>
      <c r="DZ82" s="372">
        <f t="shared" ca="1" si="45"/>
        <v>0</v>
      </c>
      <c r="EA82" s="201"/>
      <c r="EB82" s="2776">
        <f>IF(EO82=$EO$53,1,IFERROR(INDEX('Currency Data'!$L$8:$L$41,MATCH(EO82,'Currency Data'!$H$8:$H$41,0)),1))</f>
        <v>1</v>
      </c>
      <c r="EC82" s="2776">
        <f t="shared" si="147"/>
        <v>1</v>
      </c>
      <c r="ED82" s="428">
        <f>IF(GQ82=1,'1 Setup'!$T$68,IF(ISBLANK(IJ82),II82/EC82*IF(GL82=1,$ED$53,1),IJ82/EC82)*IF($EW82=7,JW82,1))</f>
        <v>0</v>
      </c>
      <c r="EE82" s="428">
        <f t="shared" si="46"/>
        <v>0</v>
      </c>
      <c r="EF82" s="428"/>
      <c r="EG82" s="1965" t="str">
        <f t="shared" si="148"/>
        <v>031500 - Highways UK</v>
      </c>
      <c r="EH82" s="201">
        <f t="shared" si="149"/>
        <v>1</v>
      </c>
      <c r="EI82" s="445" t="str">
        <f>IF(EH82=1,$EI$53,IF(GQ82=1,$GQ$55,IFERROR(IF($EG82=$EG$53,$EI$53,INDEX('PU List'!$G$6:$G$413,MATCH($EG82,'PU List'!$D$6:$D$413,0))),$EI$53)))</f>
        <v>GB - BIAF</v>
      </c>
      <c r="EJ82" s="2773" t="str">
        <f t="shared" si="150"/>
        <v>GB - BIAF</v>
      </c>
      <c r="EK82" s="1768"/>
      <c r="EL82" s="3283">
        <f>IF(OR(EW82&gt;7,$EL$53=0),0,IF(EJ82=$EI$53,$EL$53,IFERROR(INDEX('Fringe Data'!$U$8:$U$129,MATCH($EJ82,'Fringe Data'!$F$8:$F$129,0)),0)))</f>
        <v>1.73</v>
      </c>
      <c r="EM82" s="372">
        <f t="shared" si="47"/>
        <v>0</v>
      </c>
      <c r="EN82" s="201" t="str">
        <f>IFERROR(INDEX('Fringe Data'!$G$8:$G$64,MATCH($EJ82,'Fringe Data'!$F$8:$F$64,0)),$EO$53)</f>
        <v>GBP</v>
      </c>
      <c r="EO82" s="201" t="str">
        <f t="shared" si="151"/>
        <v>GBP</v>
      </c>
      <c r="EP82" s="201">
        <f>IF(EI82=$EI$53,$EP$49,IF(GP82=1,0,IFERROR(INDEX('Fringe Data'!$K$8:$K$64,MATCH($EI82,'Fringe Data'!$F$8:$F$64,0)),0)))</f>
        <v>0.52</v>
      </c>
      <c r="EQ82" s="201">
        <f>IF(EI82=$EI$53,$EQ$49,IF(GP82=1,0,IFERROR(INDEX('Fringe Data'!$L$8:$L$64,MATCH($EI82,'Fringe Data'!$F$8:$F$64,0)),0)))</f>
        <v>1.8499999999999999E-2</v>
      </c>
      <c r="ER82" s="201">
        <f>IF(EI82=$EI$53,$ER$49,IF(GP82=1,0,IFERROR(INDEX('Fringe Data'!$M$8:$M$64,MATCH($EI82,'Fringe Data'!$F$8:$F$64,0)),0)))</f>
        <v>0.43430000000000002</v>
      </c>
      <c r="ES82" s="201">
        <f>IF(EI82=$EI$53,$ES$49,IF(GP82=1,0,IFERROR(INDEX('Fringe Data'!$N$8:$N$64,MATCH($EI82,'Fringe Data'!$F$8:$F$64,0)),0)))</f>
        <v>0.1565</v>
      </c>
      <c r="ET82" s="201">
        <f>IF(EI82=$EI$53,$ET$49,IF(GP82=1,0,IFERROR(INDEX('Fringe Data'!$O$8:$O$64,MATCH($EI82,'Fringe Data'!$F$8:$F$64,0)),0)))</f>
        <v>0.33450000000000002</v>
      </c>
      <c r="EU82" s="263">
        <f>IF(EI82=$EI$53,$EU$49,IF(GP82=1,0,IFERROR(INDEX('Fringe Data'!$P$8:$P$64,MATCH($EI82,'Fringe Data'!$F$8:$F$64,0)),0)))</f>
        <v>0.1565</v>
      </c>
      <c r="EV82" s="201"/>
      <c r="EW82" s="1530">
        <f t="shared" si="48"/>
        <v>1</v>
      </c>
      <c r="EX82" s="1534">
        <f t="shared" si="152"/>
        <v>0.52</v>
      </c>
      <c r="EY82" s="321">
        <f t="shared" si="153"/>
        <v>0</v>
      </c>
      <c r="EZ82" s="201">
        <f t="shared" si="154"/>
        <v>0</v>
      </c>
      <c r="FA82" s="372">
        <f t="shared" si="49"/>
        <v>0</v>
      </c>
      <c r="FB82" s="372">
        <f t="shared" si="50"/>
        <v>0</v>
      </c>
      <c r="FC82" s="201">
        <f t="shared" ca="1" si="155"/>
        <v>0</v>
      </c>
      <c r="FD82" s="423">
        <f t="shared" si="51"/>
        <v>0</v>
      </c>
      <c r="FE82" s="423">
        <f t="shared" si="52"/>
        <v>0</v>
      </c>
      <c r="FF82" s="201">
        <f t="shared" si="156"/>
        <v>0</v>
      </c>
      <c r="FG82" s="425">
        <f>IF(OR($FJ$52=3,$FJ$52=4,$FJ$52=5),'1 Setup'!$W$96,0)</f>
        <v>0</v>
      </c>
      <c r="FH82" s="428">
        <f>IF($FJ$52=5,'1 Setup'!$W$98,IF($FJ$52=6,'1 Setup'!$S$86,0))</f>
        <v>0</v>
      </c>
      <c r="FI82" s="321">
        <f t="shared" ca="1" si="53"/>
        <v>0</v>
      </c>
      <c r="FJ82" s="263">
        <f t="shared" ca="1" si="157"/>
        <v>0</v>
      </c>
      <c r="FK82" s="372">
        <f t="shared" ca="1" si="54"/>
        <v>0</v>
      </c>
      <c r="FL82" s="372">
        <f t="shared" si="55"/>
        <v>0</v>
      </c>
      <c r="FM82" s="372">
        <f t="shared" si="56"/>
        <v>0</v>
      </c>
      <c r="FN82" s="2036">
        <f t="shared" ca="1" si="57"/>
        <v>0</v>
      </c>
      <c r="FO82" s="372">
        <f t="shared" ca="1" si="245"/>
        <v>0</v>
      </c>
      <c r="FP82" s="2723">
        <f t="shared" si="158"/>
        <v>0</v>
      </c>
      <c r="FQ82" s="372">
        <f t="shared" si="59"/>
        <v>0</v>
      </c>
      <c r="FR82" s="372">
        <f t="shared" si="159"/>
        <v>0</v>
      </c>
      <c r="FS82" s="1168"/>
      <c r="FT82" s="1168">
        <f t="shared" si="60"/>
        <v>0</v>
      </c>
      <c r="FU82" s="1168">
        <f t="shared" si="61"/>
        <v>0</v>
      </c>
      <c r="FV82" s="1168">
        <f t="shared" si="62"/>
        <v>0</v>
      </c>
      <c r="FW82" s="1168">
        <f t="shared" si="63"/>
        <v>0</v>
      </c>
      <c r="FX82" s="1168">
        <f t="shared" si="64"/>
        <v>0</v>
      </c>
      <c r="FY82" s="1168">
        <f t="shared" si="65"/>
        <v>0</v>
      </c>
      <c r="FZ82" s="1168">
        <f t="shared" si="66"/>
        <v>0</v>
      </c>
      <c r="GA82" s="1168">
        <f t="shared" si="67"/>
        <v>0</v>
      </c>
      <c r="GB82" s="1168">
        <f t="shared" si="68"/>
        <v>0</v>
      </c>
      <c r="GC82" s="1168">
        <f t="shared" si="69"/>
        <v>0</v>
      </c>
      <c r="GD82" s="1168"/>
      <c r="GE82" s="199"/>
      <c r="GF82" s="201">
        <f t="shared" si="70"/>
        <v>0</v>
      </c>
      <c r="GG82" s="201">
        <f t="shared" si="71"/>
        <v>0</v>
      </c>
      <c r="GH82" s="201">
        <f t="shared" si="72"/>
        <v>0</v>
      </c>
      <c r="GI82" s="201">
        <f t="shared" ca="1" si="160"/>
        <v>0</v>
      </c>
      <c r="GJ82" s="201">
        <f t="shared" si="73"/>
        <v>0</v>
      </c>
      <c r="GK82" s="201">
        <f t="shared" si="74"/>
        <v>0</v>
      </c>
      <c r="GL82" s="201">
        <f t="shared" si="75"/>
        <v>1</v>
      </c>
      <c r="GM82" s="201">
        <f t="shared" si="76"/>
        <v>1</v>
      </c>
      <c r="GN82" s="201"/>
      <c r="GO82" s="201"/>
      <c r="GP82" s="201">
        <f t="shared" si="77"/>
        <v>0</v>
      </c>
      <c r="GQ82" s="201">
        <f t="shared" si="78"/>
        <v>0</v>
      </c>
      <c r="GR82" s="201">
        <f t="shared" si="161"/>
        <v>0</v>
      </c>
      <c r="GS82" s="1768"/>
      <c r="GT82" s="201">
        <f t="shared" si="79"/>
        <v>1</v>
      </c>
      <c r="GU82" s="201">
        <f t="shared" si="193"/>
        <v>19</v>
      </c>
      <c r="GV82" s="201">
        <f t="shared" si="80"/>
        <v>0</v>
      </c>
      <c r="GW82" s="201">
        <f t="shared" si="81"/>
        <v>3</v>
      </c>
      <c r="GX82" s="201">
        <f t="shared" si="162"/>
        <v>0</v>
      </c>
      <c r="GY82" s="1998"/>
      <c r="GZ82" s="253"/>
      <c r="HA82" s="195">
        <f t="shared" si="163"/>
        <v>0</v>
      </c>
      <c r="HB82" s="3558">
        <f t="shared" si="82"/>
        <v>0</v>
      </c>
      <c r="HC82" s="3590"/>
      <c r="HD82" s="257" t="str">
        <f t="shared" si="83"/>
        <v/>
      </c>
      <c r="HE82" s="825">
        <f t="shared" si="84"/>
        <v>0</v>
      </c>
      <c r="HF82" s="506" t="s">
        <v>5</v>
      </c>
      <c r="HG82" s="508">
        <f t="shared" ca="1" si="85"/>
        <v>0</v>
      </c>
      <c r="HH82" s="3585">
        <f t="shared" si="86"/>
        <v>0</v>
      </c>
      <c r="HI82" s="3586"/>
      <c r="HJ82" s="504">
        <f t="shared" ca="1" si="246"/>
        <v>0</v>
      </c>
      <c r="HK82" s="456">
        <f t="shared" ca="1" si="247"/>
        <v>0</v>
      </c>
      <c r="HL82" s="3591">
        <f t="shared" ca="1" si="248"/>
        <v>0</v>
      </c>
      <c r="HM82" s="3592"/>
      <c r="HN82" s="240"/>
      <c r="HO82" s="1998"/>
      <c r="HP82" s="1991"/>
      <c r="HQ82" s="2770" t="str">
        <f t="shared" si="90"/>
        <v>GB - BIAF</v>
      </c>
      <c r="HR82" s="2770" t="str">
        <f t="shared" si="91"/>
        <v>GBP</v>
      </c>
      <c r="HS82" s="2771">
        <f t="shared" si="92"/>
        <v>1</v>
      </c>
      <c r="HT82" s="3488"/>
      <c r="HU82" s="2771">
        <f t="shared" si="93"/>
        <v>1.73</v>
      </c>
      <c r="HW82" s="1218"/>
      <c r="HX82" s="520"/>
      <c r="HY82" s="2523"/>
      <c r="HZ82" s="194"/>
      <c r="IA82" s="1013"/>
      <c r="IB82" s="193"/>
      <c r="IC82" s="3276">
        <v>19</v>
      </c>
      <c r="ID82" s="986"/>
      <c r="IE82" s="938">
        <f t="shared" si="164"/>
        <v>0</v>
      </c>
      <c r="IF82" s="938">
        <f t="shared" si="165"/>
        <v>0</v>
      </c>
      <c r="IG82" s="432"/>
      <c r="II82" s="405"/>
      <c r="IJ82" s="239"/>
      <c r="IK82" s="2774" t="str">
        <f t="shared" si="166"/>
        <v>GBP</v>
      </c>
      <c r="IL82" s="2148"/>
      <c r="IM82" s="1936">
        <f t="shared" si="94"/>
        <v>0</v>
      </c>
      <c r="IO82" s="1959" t="str">
        <f t="shared" si="95"/>
        <v/>
      </c>
      <c r="IP82" s="1958"/>
      <c r="IQ82" s="543">
        <f t="shared" si="96"/>
        <v>0.52</v>
      </c>
      <c r="IR82" s="1936">
        <f t="shared" si="97"/>
        <v>0</v>
      </c>
      <c r="IT82" s="1364"/>
      <c r="IU82" s="210"/>
      <c r="IV82" s="218"/>
      <c r="IW82" s="1938">
        <f ca="1">IF(NOT(ISBLANK(IU82)),IU82,IF('1 Setup'!$G$8&lt;7,JK82,FJ82))+KA82</f>
        <v>0</v>
      </c>
      <c r="IX82" s="409">
        <f t="shared" si="98"/>
        <v>0</v>
      </c>
      <c r="IY82" s="408">
        <f t="shared" si="99"/>
        <v>0</v>
      </c>
      <c r="IZ82" s="1983"/>
      <c r="JA82" s="1994"/>
      <c r="JB82" s="1991"/>
      <c r="JD82" s="2029">
        <f t="shared" si="167"/>
        <v>0</v>
      </c>
      <c r="JE82" s="479"/>
      <c r="JF82" s="2025">
        <f t="shared" si="100"/>
        <v>0</v>
      </c>
      <c r="JG82" s="429">
        <f t="shared" si="101"/>
        <v>0</v>
      </c>
      <c r="JH82" s="1667">
        <f t="shared" si="102"/>
        <v>0</v>
      </c>
      <c r="JJ82" s="1163">
        <f t="shared" ca="1" si="103"/>
        <v>0</v>
      </c>
      <c r="JK82" s="1163">
        <f t="shared" ca="1" si="104"/>
        <v>0</v>
      </c>
      <c r="JL82" s="1795"/>
      <c r="JN82" s="2505"/>
      <c r="JO82" s="1161"/>
      <c r="JP82" s="571">
        <f t="shared" ca="1" si="105"/>
        <v>0</v>
      </c>
      <c r="JQ82" s="2506"/>
      <c r="JR82" s="1953"/>
      <c r="JS82" s="2650"/>
      <c r="JT82" s="2507"/>
      <c r="JU82" s="1964">
        <f t="shared" si="106"/>
        <v>0.33450000000000002</v>
      </c>
      <c r="JV82" s="3199"/>
      <c r="JW82" s="2649">
        <f t="shared" si="107"/>
        <v>1.5</v>
      </c>
      <c r="JX82" s="1964">
        <f t="shared" si="168"/>
        <v>0.1565</v>
      </c>
      <c r="JY82" s="3199"/>
      <c r="JZ82" s="2649">
        <f t="shared" si="169"/>
        <v>0</v>
      </c>
      <c r="KA82" s="2649">
        <f t="shared" si="170"/>
        <v>0</v>
      </c>
      <c r="KB82" s="2649" t="s">
        <v>111</v>
      </c>
      <c r="KC82" s="1983"/>
      <c r="KD82" s="1974"/>
      <c r="KE82" s="1991"/>
      <c r="KF82" s="2029">
        <f t="shared" si="171"/>
        <v>0</v>
      </c>
      <c r="KG82" s="1991"/>
      <c r="KH82" s="2121">
        <f t="shared" si="108"/>
        <v>0</v>
      </c>
      <c r="KI82" s="2130">
        <f t="shared" si="109"/>
        <v>0</v>
      </c>
      <c r="KJ82" s="2130">
        <f t="shared" si="110"/>
        <v>0</v>
      </c>
      <c r="KK82" s="2130">
        <f t="shared" si="111"/>
        <v>0</v>
      </c>
      <c r="KL82" s="2131">
        <f t="shared" si="112"/>
        <v>0</v>
      </c>
      <c r="KM82" s="2132">
        <f t="shared" si="113"/>
        <v>0</v>
      </c>
      <c r="KN82" s="2132">
        <f t="shared" si="114"/>
        <v>0</v>
      </c>
      <c r="KO82" s="2132">
        <f t="shared" si="115"/>
        <v>0</v>
      </c>
      <c r="KP82" s="2132">
        <f t="shared" si="116"/>
        <v>0</v>
      </c>
      <c r="KQ82" s="2133">
        <f t="shared" si="117"/>
        <v>0</v>
      </c>
      <c r="KS82" s="2253">
        <f t="shared" si="118"/>
        <v>0</v>
      </c>
      <c r="KT82" s="2270">
        <f t="shared" ref="KT82:LB82" si="254">KS82*(1+(KT$60))</f>
        <v>0</v>
      </c>
      <c r="KU82" s="2271">
        <f t="shared" si="254"/>
        <v>0</v>
      </c>
      <c r="KV82" s="2271">
        <f t="shared" si="254"/>
        <v>0</v>
      </c>
      <c r="KW82" s="2272">
        <f t="shared" si="254"/>
        <v>0</v>
      </c>
      <c r="KX82" s="2271">
        <f t="shared" si="254"/>
        <v>0</v>
      </c>
      <c r="KY82" s="2271">
        <f t="shared" si="254"/>
        <v>0</v>
      </c>
      <c r="KZ82" s="2271">
        <f t="shared" si="254"/>
        <v>0</v>
      </c>
      <c r="LA82" s="2271">
        <f t="shared" si="254"/>
        <v>0</v>
      </c>
      <c r="LB82" s="2273">
        <f t="shared" si="254"/>
        <v>0</v>
      </c>
      <c r="LC82" s="272"/>
      <c r="LD82" s="2124">
        <f t="shared" si="120"/>
        <v>0</v>
      </c>
      <c r="LE82" s="2093">
        <f t="shared" si="121"/>
        <v>0</v>
      </c>
      <c r="LF82" s="2093">
        <f t="shared" si="122"/>
        <v>0</v>
      </c>
      <c r="LG82" s="2093">
        <f t="shared" si="123"/>
        <v>0</v>
      </c>
      <c r="LH82" s="2094">
        <f t="shared" si="124"/>
        <v>0</v>
      </c>
      <c r="LI82" s="2095">
        <f t="shared" si="125"/>
        <v>0</v>
      </c>
      <c r="LJ82" s="2095">
        <f t="shared" si="126"/>
        <v>0</v>
      </c>
      <c r="LK82" s="2095">
        <f t="shared" si="127"/>
        <v>0</v>
      </c>
      <c r="LL82" s="2095">
        <f t="shared" si="128"/>
        <v>0</v>
      </c>
      <c r="LM82" s="2096">
        <f t="shared" si="129"/>
        <v>0</v>
      </c>
      <c r="LN82" s="749"/>
      <c r="LO82" s="2256">
        <f t="shared" ca="1" si="130"/>
        <v>0</v>
      </c>
      <c r="LP82" s="2270">
        <f t="shared" ca="1" si="131"/>
        <v>0</v>
      </c>
      <c r="LQ82" s="2271">
        <f t="shared" ca="1" si="132"/>
        <v>0</v>
      </c>
      <c r="LR82" s="2271">
        <f t="shared" ca="1" si="133"/>
        <v>0</v>
      </c>
      <c r="LS82" s="2272">
        <f t="shared" ca="1" si="134"/>
        <v>0</v>
      </c>
      <c r="LT82" s="2271">
        <f t="shared" ca="1" si="135"/>
        <v>0</v>
      </c>
      <c r="LU82" s="2271">
        <f t="shared" ca="1" si="136"/>
        <v>0</v>
      </c>
      <c r="LV82" s="2271">
        <f t="shared" ca="1" si="137"/>
        <v>0</v>
      </c>
      <c r="LW82" s="2271">
        <f t="shared" ca="1" si="138"/>
        <v>0</v>
      </c>
      <c r="LX82" s="2273">
        <f t="shared" ca="1" si="139"/>
        <v>0</v>
      </c>
      <c r="LY82" s="479"/>
      <c r="LZ82" s="3128">
        <f t="shared" ca="1" si="173"/>
        <v>-1.73</v>
      </c>
      <c r="MA82" s="3129">
        <f t="shared" ca="1" si="174"/>
        <v>-1.73</v>
      </c>
      <c r="MB82" s="3129">
        <f t="shared" ca="1" si="175"/>
        <v>-1.73</v>
      </c>
      <c r="MC82" s="3129">
        <f t="shared" ca="1" si="176"/>
        <v>-1.73</v>
      </c>
      <c r="MD82" s="3130">
        <f t="shared" ca="1" si="177"/>
        <v>-1.73</v>
      </c>
      <c r="ME82" s="3129">
        <f t="shared" ca="1" si="178"/>
        <v>-1.73</v>
      </c>
      <c r="MF82" s="3129">
        <f t="shared" ca="1" si="179"/>
        <v>-1.73</v>
      </c>
      <c r="MG82" s="3129">
        <f t="shared" ca="1" si="180"/>
        <v>-1.73</v>
      </c>
      <c r="MH82" s="3129">
        <f t="shared" ca="1" si="181"/>
        <v>-1.73</v>
      </c>
      <c r="MI82" s="3131">
        <f t="shared" ca="1" si="182"/>
        <v>-1.73</v>
      </c>
      <c r="MJ82" s="3201"/>
      <c r="MK82" s="3206">
        <f t="shared" ca="1" si="183"/>
        <v>0</v>
      </c>
      <c r="ML82" s="3207">
        <f t="shared" ca="1" si="184"/>
        <v>0</v>
      </c>
      <c r="MM82" s="3207">
        <f t="shared" ca="1" si="185"/>
        <v>0</v>
      </c>
      <c r="MN82" s="3207">
        <f t="shared" ca="1" si="186"/>
        <v>0</v>
      </c>
      <c r="MO82" s="3208">
        <f t="shared" ca="1" si="187"/>
        <v>0</v>
      </c>
      <c r="MP82" s="3207">
        <f t="shared" ca="1" si="188"/>
        <v>0</v>
      </c>
      <c r="MQ82" s="3207">
        <f t="shared" ca="1" si="189"/>
        <v>0</v>
      </c>
      <c r="MR82" s="3207">
        <f t="shared" ca="1" si="190"/>
        <v>0</v>
      </c>
      <c r="MS82" s="3207">
        <f t="shared" ca="1" si="191"/>
        <v>0</v>
      </c>
      <c r="MT82" s="3209">
        <f t="shared" ca="1" si="192"/>
        <v>0</v>
      </c>
      <c r="MU82" s="1983"/>
      <c r="MV82" s="1975"/>
      <c r="MW82" s="1991"/>
      <c r="MX82" s="1931">
        <f t="shared" si="142"/>
        <v>0</v>
      </c>
      <c r="MY82" s="749"/>
      <c r="MZ82" s="1934">
        <f t="shared" si="143"/>
        <v>0</v>
      </c>
      <c r="NA82" s="1935"/>
      <c r="NB82" s="2652">
        <f t="shared" si="144"/>
        <v>0</v>
      </c>
      <c r="NC82" s="479"/>
      <c r="ND82" s="2749" t="str">
        <f t="shared" si="145"/>
        <v/>
      </c>
      <c r="NE82" s="2717"/>
      <c r="NF82" s="1975"/>
      <c r="NG82" s="1975"/>
      <c r="NH82" s="1975"/>
      <c r="NI82" s="1975"/>
    </row>
    <row r="83" spans="1:373" s="192" customFormat="1" ht="15.9" customHeight="1" x14ac:dyDescent="0.3">
      <c r="A83" s="200"/>
      <c r="B83" s="200"/>
      <c r="C83" s="200"/>
      <c r="D83" s="200"/>
      <c r="E83" s="200"/>
      <c r="F83" s="200"/>
      <c r="G83" s="200"/>
      <c r="H83" s="200"/>
      <c r="I83" s="200"/>
      <c r="J83" s="200"/>
      <c r="K83" s="200"/>
      <c r="L83" s="200"/>
      <c r="M83" s="200"/>
      <c r="N83" s="200"/>
      <c r="O83" s="200"/>
      <c r="P83" s="1539"/>
      <c r="Q83" s="1539"/>
      <c r="R83" s="198"/>
      <c r="S83" s="1539"/>
      <c r="T83" s="201"/>
      <c r="U83" s="200"/>
      <c r="V83" s="201">
        <f>MATCH($IC83,'3b Activity Plan'!$DJ$171:$FH$171,0)</f>
        <v>20</v>
      </c>
      <c r="W83" s="201">
        <f>IFERROR(INDEX('3b Activity Plan'!$DJ$6:$FH$6,V83),0)</f>
        <v>0</v>
      </c>
      <c r="X83" s="1768"/>
      <c r="Y83" s="1768">
        <f>IFERROR(INDEX('3b Activity Plan'!$DJ$7:$FH$7,V83),0)</f>
        <v>0</v>
      </c>
      <c r="Z83" s="201"/>
      <c r="AA83" s="201">
        <f>IFERROR(INDEX('3b Activity Plan'!$DJ$34:$FH$34,$V83),0)</f>
        <v>0</v>
      </c>
      <c r="AB83" s="201">
        <f>IFERROR(INDEX('3b Activity Plan'!$DJ$35:$FH$35,$V83),0)</f>
        <v>0</v>
      </c>
      <c r="AC83" s="201">
        <f>IFERROR(INDEX('3b Activity Plan'!$DJ$36:$FH$36,$V83),0)</f>
        <v>0</v>
      </c>
      <c r="AD83" s="201">
        <f>IFERROR(INDEX('3b Activity Plan'!$DJ$37:$FH$37,$V83),0)</f>
        <v>0</v>
      </c>
      <c r="AE83" s="201">
        <f>IFERROR(INDEX('3b Activity Plan'!$DJ$38:$FH$38,$V83),0)</f>
        <v>0</v>
      </c>
      <c r="AF83" s="201">
        <f>IFERROR(INDEX('3b Activity Plan'!$DJ$39:$FH$39,$V83),0)</f>
        <v>0</v>
      </c>
      <c r="AG83" s="201">
        <f>IFERROR(INDEX('3b Activity Plan'!$DJ$40:$FH$40,$V83),0)</f>
        <v>0</v>
      </c>
      <c r="AH83" s="201">
        <f>IFERROR(INDEX('3b Activity Plan'!$DJ$41:$FH$41,$V83),0)</f>
        <v>0</v>
      </c>
      <c r="AI83" s="201">
        <f>IFERROR(INDEX('3b Activity Plan'!$DJ$42:$FH$42,$V83),0)</f>
        <v>0</v>
      </c>
      <c r="AJ83" s="201">
        <f>IFERROR(INDEX('3b Activity Plan'!$DJ$43:$FH$43,$V83),0)</f>
        <v>0</v>
      </c>
      <c r="AK83" s="201"/>
      <c r="AL83" s="201">
        <f>SUMIFS('3a Staff Plan'!$AR$129:$AR$305,'3a Staff Plan'!$DY$129:$DY$305,$IA83,'3a Staff Plan'!$DF$129:$DF$305,1)</f>
        <v>0</v>
      </c>
      <c r="AM83" s="1768"/>
      <c r="AN83" s="1768">
        <f>SUMIFS('3a Staff Plan'!$AR$129:$AR$305,'3a Staff Plan'!$DY$129:$DY$305,$IA83,'3a Staff Plan'!$CV$129:$CV$305,1)</f>
        <v>0</v>
      </c>
      <c r="AO83" s="201"/>
      <c r="AP83" s="201">
        <f>SUMIFS('3a Staff Plan'!$AS$129:$AS$305,'3a Staff Plan'!$DY$129:$DY$305,$IA83,'3a Staff Plan'!$DF$129:$DF$305,1)</f>
        <v>0</v>
      </c>
      <c r="AQ83" s="201">
        <f>SUMIFS('3a Staff Plan'!$AT$129:$AT$305,'3a Staff Plan'!$DY$129:$DY$305,$IA83,'3a Staff Plan'!$DF$129:$DF$305,1)</f>
        <v>0</v>
      </c>
      <c r="AR83" s="201">
        <f>SUMIFS('3a Staff Plan'!$AU$129:$AU$305,'3a Staff Plan'!$DY$129:$DY$305,$IA83,'3a Staff Plan'!$DF$129:$DF$305,1)</f>
        <v>0</v>
      </c>
      <c r="AS83" s="201">
        <f>SUMIFS('3a Staff Plan'!$AV$129:$AV$305,'3a Staff Plan'!$DY$129:$DY$305,$IA83,'3a Staff Plan'!$DF$129:$DF$305,1)</f>
        <v>0</v>
      </c>
      <c r="AT83" s="201">
        <f>SUMIFS('3a Staff Plan'!$AW$129:$AW$305,'3a Staff Plan'!$DY$129:$DY$305,$IA83,'3a Staff Plan'!$DF$129:$DF$305,1)</f>
        <v>0</v>
      </c>
      <c r="AU83" s="201">
        <f>SUMIFS('3a Staff Plan'!$AX$129:$AX$305,'3a Staff Plan'!$DY$129:$DY$305,$IA83,'3a Staff Plan'!$DF$129:$DF$305,1)</f>
        <v>0</v>
      </c>
      <c r="AV83" s="201">
        <f>SUMIFS('3a Staff Plan'!$AY$129:$AY$305,'3a Staff Plan'!$DY$129:$DY$305,$IA83,'3a Staff Plan'!$DF$129:$DF$305,1)</f>
        <v>0</v>
      </c>
      <c r="AW83" s="201">
        <f>SUMIFS('3a Staff Plan'!$AZ$129:$AZ$305,'3a Staff Plan'!$DY$129:$DY$305,$IA83,'3a Staff Plan'!$DF$129:$DF$305,1)</f>
        <v>0</v>
      </c>
      <c r="AX83" s="201">
        <f>SUMIFS('3a Staff Plan'!$BA$129:$BA$305,'3a Staff Plan'!$DY$129:$DY$305,$IA83,'3a Staff Plan'!$DF$129:$DF$305,1)</f>
        <v>0</v>
      </c>
      <c r="AY83" s="201">
        <f>SUMIFS('3a Staff Plan'!$BB$129:$BB$305,'3a Staff Plan'!$DY$129:$DY$305,$IA83,'3a Staff Plan'!$DF$129:$DF$305,1)</f>
        <v>0</v>
      </c>
      <c r="AZ83" s="201"/>
      <c r="BA83" s="201">
        <f t="shared" si="198"/>
        <v>0</v>
      </c>
      <c r="BB83" s="1768"/>
      <c r="BC83" s="1768">
        <f t="shared" si="199"/>
        <v>0</v>
      </c>
      <c r="BD83" s="201"/>
      <c r="BE83" s="201">
        <f t="shared" si="200"/>
        <v>0</v>
      </c>
      <c r="BF83" s="201">
        <f t="shared" si="201"/>
        <v>0</v>
      </c>
      <c r="BG83" s="201">
        <f t="shared" si="202"/>
        <v>0</v>
      </c>
      <c r="BH83" s="201">
        <f t="shared" si="203"/>
        <v>0</v>
      </c>
      <c r="BI83" s="201">
        <f t="shared" si="204"/>
        <v>0</v>
      </c>
      <c r="BJ83" s="201">
        <f t="shared" si="205"/>
        <v>0</v>
      </c>
      <c r="BK83" s="201">
        <f t="shared" si="206"/>
        <v>0</v>
      </c>
      <c r="BL83" s="201">
        <f t="shared" si="207"/>
        <v>0</v>
      </c>
      <c r="BM83" s="201">
        <f t="shared" si="208"/>
        <v>0</v>
      </c>
      <c r="BN83" s="201">
        <f t="shared" si="209"/>
        <v>0</v>
      </c>
      <c r="BO83" s="201"/>
      <c r="BP83" s="1818">
        <f t="shared" si="146"/>
        <v>20</v>
      </c>
      <c r="BQ83" s="1818">
        <f>IFERROR(INDEX('3b Activity Plan'!$DJ$15:$FH$15,BP83),0)</f>
        <v>0</v>
      </c>
      <c r="BR83" s="1768"/>
      <c r="BS83" s="1768">
        <f>IFERROR(INDEX('3b Activity Plan'!$DJ$16:$FH$16,BP83),0)</f>
        <v>0</v>
      </c>
      <c r="BT83" s="201"/>
      <c r="BU83" s="201">
        <f>IFERROR(INDEX('3b Activity Plan'!$DJ$67:$FH$67,$V83),0)</f>
        <v>0</v>
      </c>
      <c r="BV83" s="201">
        <f>IFERROR(INDEX('3b Activity Plan'!$DJ$68:$FH$68,$V83),0)</f>
        <v>0</v>
      </c>
      <c r="BW83" s="201">
        <f>IFERROR(INDEX('3b Activity Plan'!$DJ$69:$FH$69,$V83),0)</f>
        <v>0</v>
      </c>
      <c r="BX83" s="201">
        <f>IFERROR(INDEX('3b Activity Plan'!$DJ$70:$FH$70,$V83),0)</f>
        <v>0</v>
      </c>
      <c r="BY83" s="201">
        <f>IFERROR(INDEX('3b Activity Plan'!$DJ$71:$FH$71,$V83),0)</f>
        <v>0</v>
      </c>
      <c r="BZ83" s="201">
        <f>IFERROR(INDEX('3b Activity Plan'!$DJ$72:$FH$72,$V83),0)</f>
        <v>0</v>
      </c>
      <c r="CA83" s="201">
        <f>IFERROR(INDEX('3b Activity Plan'!$DJ$73:$FH$73,$V83),0)</f>
        <v>0</v>
      </c>
      <c r="CB83" s="201">
        <f>IFERROR(INDEX('3b Activity Plan'!$DJ$74:$FH$74,$V83),0)</f>
        <v>0</v>
      </c>
      <c r="CC83" s="201">
        <f>IFERROR(INDEX('3b Activity Plan'!$DJ$75:$FH$75,$V83),0)</f>
        <v>0</v>
      </c>
      <c r="CD83" s="201">
        <f>IFERROR(INDEX('3b Activity Plan'!$DJ$76:$FH$76,$V83),0)</f>
        <v>0</v>
      </c>
      <c r="CE83" s="201"/>
      <c r="CF83" s="1818">
        <f>SUMIFS('3a Staff Plan'!$AR$129:$AR$305,'3a Staff Plan'!$DY$129:$DY$305,$IA83,'3a Staff Plan'!$AG$129:$AG$305,1,'3a Staff Plan'!$DF$129:$DF$305,1)</f>
        <v>0</v>
      </c>
      <c r="CG83" s="1768">
        <f>SUMIFS('3a Staff Plan'!$AR$129:$AR$305,'3a Staff Plan'!$DY$129:$DY$305,$IA83,'3a Staff Plan'!$AG$129:$AG$305,1,'3a Staff Plan'!$CX$129:$CX$305,1)</f>
        <v>0</v>
      </c>
      <c r="CH83" s="1768">
        <f>SUMIFS('3a Staff Plan'!$AR$129:$AR$305,'3a Staff Plan'!$DY$129:$DY$305,$IA83,'3a Staff Plan'!$AG$129:$AG$305,1,'3a Staff Plan'!$CV$129:$CV$305,1)</f>
        <v>0</v>
      </c>
      <c r="CI83" s="201"/>
      <c r="CJ83" s="201">
        <f>SUMIFS('3a Staff Plan'!$BX$129:$BX$305,'3a Staff Plan'!$DY$129:$DY$305,$IA83,'3a Staff Plan'!$DF$129:$DF$305,1,'3a Staff Plan'!$AG$129:$AG$305,1)</f>
        <v>0</v>
      </c>
      <c r="CK83" s="201">
        <f>SUMIFS('3a Staff Plan'!$BY$129:$BY$305,'3a Staff Plan'!$DY$129:$DY$305,$IA83,'3a Staff Plan'!$DF$129:$DF$305,1,'3a Staff Plan'!$AG$129:$AG$305,1)</f>
        <v>0</v>
      </c>
      <c r="CL83" s="201">
        <f>SUMIFS('3a Staff Plan'!$BZ$129:$BZ$305,'3a Staff Plan'!$DY$129:$DY$305,$IA83,'3a Staff Plan'!$DF$129:$DF$305,1,'3a Staff Plan'!$AG$129:$AG$305,1)</f>
        <v>0</v>
      </c>
      <c r="CM83" s="201">
        <f>SUMIFS('3a Staff Plan'!$CA$129:$CA$305,'3a Staff Plan'!$DY$129:$DY$305,$IA83,'3a Staff Plan'!$DF$129:$DF$305,1,'3a Staff Plan'!$AG$129:$AG$305,1)</f>
        <v>0</v>
      </c>
      <c r="CN83" s="201">
        <f>SUMIFS('3a Staff Plan'!$CB$129:$CB$305,'3a Staff Plan'!$DY$129:$DY$305,$IA83,'3a Staff Plan'!$DF$129:$DF$305,1,'3a Staff Plan'!$AG$129:$AG$305,1)</f>
        <v>0</v>
      </c>
      <c r="CO83" s="201">
        <f>SUMIFS('3a Staff Plan'!$CC$129:$CC$305,'3a Staff Plan'!$DY$129:$DY$305,$IA83,'3a Staff Plan'!$DF$129:$DF$305,1,'3a Staff Plan'!$AG$129:$AG$305,1)</f>
        <v>0</v>
      </c>
      <c r="CP83" s="201">
        <f>SUMIFS('3a Staff Plan'!$CD$129:$CD$305,'3a Staff Plan'!$DY$129:$DY$305,$IA83,'3a Staff Plan'!$DF$129:$DF$305,1,'3a Staff Plan'!$AG$129:$AG$305,1)</f>
        <v>0</v>
      </c>
      <c r="CQ83" s="201">
        <f>SUMIFS('3a Staff Plan'!$CE$129:$CE$305,'3a Staff Plan'!$DY$129:$DY$305,$IA83,'3a Staff Plan'!$DF$129:$DF$305,1,'3a Staff Plan'!$AG$129:$AG$305,1)</f>
        <v>0</v>
      </c>
      <c r="CR83" s="201">
        <f>SUMIFS('3a Staff Plan'!$CF$129:$CF$305,'3a Staff Plan'!$DY$129:$DY$305,$IA83,'3a Staff Plan'!$DF$129:$DF$305,1,'3a Staff Plan'!$AG$129:$AG$305,1)</f>
        <v>0</v>
      </c>
      <c r="CS83" s="201">
        <f>SUMIFS('3a Staff Plan'!$CG$129:$CG$305,'3a Staff Plan'!$DY$129:$DY$305,$IA83,'3a Staff Plan'!$DF$129:$DF$305,1,'3a Staff Plan'!$AG$129:$AG$305,1)</f>
        <v>0</v>
      </c>
      <c r="CT83" s="201"/>
      <c r="CU83" s="1818">
        <f t="shared" si="210"/>
        <v>0</v>
      </c>
      <c r="CV83" s="1768"/>
      <c r="CW83" s="1768">
        <f t="shared" si="211"/>
        <v>0</v>
      </c>
      <c r="CX83" s="201"/>
      <c r="CY83" s="201">
        <f t="shared" si="212"/>
        <v>0</v>
      </c>
      <c r="CZ83" s="201">
        <f t="shared" si="213"/>
        <v>0</v>
      </c>
      <c r="DA83" s="201">
        <f t="shared" si="214"/>
        <v>0</v>
      </c>
      <c r="DB83" s="201">
        <f t="shared" si="215"/>
        <v>0</v>
      </c>
      <c r="DC83" s="201">
        <f t="shared" si="216"/>
        <v>0</v>
      </c>
      <c r="DD83" s="201">
        <f t="shared" si="217"/>
        <v>0</v>
      </c>
      <c r="DE83" s="201">
        <f t="shared" si="218"/>
        <v>0</v>
      </c>
      <c r="DF83" s="201">
        <f t="shared" si="219"/>
        <v>0</v>
      </c>
      <c r="DG83" s="201">
        <f t="shared" si="220"/>
        <v>0</v>
      </c>
      <c r="DH83" s="201">
        <f t="shared" si="221"/>
        <v>0</v>
      </c>
      <c r="DI83" s="201"/>
      <c r="DJ83" s="201"/>
      <c r="DK83" s="201"/>
      <c r="DL83" s="201"/>
      <c r="DM83" s="372">
        <f t="shared" ca="1" si="37"/>
        <v>0</v>
      </c>
      <c r="DN83" s="1185">
        <f t="shared" si="38"/>
        <v>0</v>
      </c>
      <c r="DO83" s="1185">
        <f t="shared" si="39"/>
        <v>0</v>
      </c>
      <c r="DP83" s="201"/>
      <c r="DQ83" s="372">
        <f t="shared" ca="1" si="40"/>
        <v>0</v>
      </c>
      <c r="DR83" s="1185">
        <f t="shared" si="41"/>
        <v>0</v>
      </c>
      <c r="DS83" s="1185">
        <f t="shared" si="42"/>
        <v>0</v>
      </c>
      <c r="DT83" s="201"/>
      <c r="DU83" s="372">
        <f t="shared" ca="1" si="222"/>
        <v>0</v>
      </c>
      <c r="DV83" s="372">
        <f t="shared" si="223"/>
        <v>0</v>
      </c>
      <c r="DW83" s="372">
        <f t="shared" si="223"/>
        <v>0</v>
      </c>
      <c r="DX83" s="201"/>
      <c r="DY83" s="372">
        <f t="shared" si="44"/>
        <v>0</v>
      </c>
      <c r="DZ83" s="372">
        <f t="shared" ca="1" si="45"/>
        <v>0</v>
      </c>
      <c r="EA83" s="201"/>
      <c r="EB83" s="2776">
        <f>IF(EO83=$EO$53,1,IFERROR(INDEX('Currency Data'!$L$8:$L$41,MATCH(EO83,'Currency Data'!$H$8:$H$41,0)),1))</f>
        <v>1</v>
      </c>
      <c r="EC83" s="2776">
        <f t="shared" si="147"/>
        <v>1</v>
      </c>
      <c r="ED83" s="428">
        <f>IF(GQ83=1,'1 Setup'!$T$68,IF(ISBLANK(IJ83),II83/EC83*IF(GL83=1,$ED$53,1),IJ83/EC83)*IF($EW83=7,JW83,1))</f>
        <v>0</v>
      </c>
      <c r="EE83" s="428">
        <f t="shared" si="46"/>
        <v>0</v>
      </c>
      <c r="EF83" s="428"/>
      <c r="EG83" s="1965" t="str">
        <f t="shared" si="148"/>
        <v>031500 - Highways UK</v>
      </c>
      <c r="EH83" s="201">
        <f t="shared" si="149"/>
        <v>1</v>
      </c>
      <c r="EI83" s="445" t="str">
        <f>IF(EH83=1,$EI$53,IF(GQ83=1,$GQ$55,IFERROR(IF($EG83=$EG$53,$EI$53,INDEX('PU List'!$G$6:$G$413,MATCH($EG83,'PU List'!$D$6:$D$413,0))),$EI$53)))</f>
        <v>GB - BIAF</v>
      </c>
      <c r="EJ83" s="2773" t="str">
        <f t="shared" si="150"/>
        <v>GB - BIAF</v>
      </c>
      <c r="EK83" s="1768"/>
      <c r="EL83" s="3283">
        <f>IF(OR(EW83&gt;7,$EL$53=0),0,IF(EJ83=$EI$53,$EL$53,IFERROR(INDEX('Fringe Data'!$U$8:$U$129,MATCH($EJ83,'Fringe Data'!$F$8:$F$129,0)),0)))</f>
        <v>1.73</v>
      </c>
      <c r="EM83" s="372">
        <f t="shared" si="47"/>
        <v>0</v>
      </c>
      <c r="EN83" s="201" t="str">
        <f>IFERROR(INDEX('Fringe Data'!$G$8:$G$64,MATCH($EJ83,'Fringe Data'!$F$8:$F$64,0)),$EO$53)</f>
        <v>GBP</v>
      </c>
      <c r="EO83" s="201" t="str">
        <f t="shared" si="151"/>
        <v>GBP</v>
      </c>
      <c r="EP83" s="201">
        <f>IF(EI83=$EI$53,$EP$49,IF(GP83=1,0,IFERROR(INDEX('Fringe Data'!$K$8:$K$64,MATCH($EI83,'Fringe Data'!$F$8:$F$64,0)),0)))</f>
        <v>0.52</v>
      </c>
      <c r="EQ83" s="201">
        <f>IF(EI83=$EI$53,$EQ$49,IF(GP83=1,0,IFERROR(INDEX('Fringe Data'!$L$8:$L$64,MATCH($EI83,'Fringe Data'!$F$8:$F$64,0)),0)))</f>
        <v>1.8499999999999999E-2</v>
      </c>
      <c r="ER83" s="201">
        <f>IF(EI83=$EI$53,$ER$49,IF(GP83=1,0,IFERROR(INDEX('Fringe Data'!$M$8:$M$64,MATCH($EI83,'Fringe Data'!$F$8:$F$64,0)),0)))</f>
        <v>0.43430000000000002</v>
      </c>
      <c r="ES83" s="201">
        <f>IF(EI83=$EI$53,$ES$49,IF(GP83=1,0,IFERROR(INDEX('Fringe Data'!$N$8:$N$64,MATCH($EI83,'Fringe Data'!$F$8:$F$64,0)),0)))</f>
        <v>0.1565</v>
      </c>
      <c r="ET83" s="201">
        <f>IF(EI83=$EI$53,$ET$49,IF(GP83=1,0,IFERROR(INDEX('Fringe Data'!$O$8:$O$64,MATCH($EI83,'Fringe Data'!$F$8:$F$64,0)),0)))</f>
        <v>0.33450000000000002</v>
      </c>
      <c r="EU83" s="263">
        <f>IF(EI83=$EI$53,$EU$49,IF(GP83=1,0,IFERROR(INDEX('Fringe Data'!$P$8:$P$64,MATCH($EI83,'Fringe Data'!$F$8:$F$64,0)),0)))</f>
        <v>0.1565</v>
      </c>
      <c r="EV83" s="201"/>
      <c r="EW83" s="1530">
        <f t="shared" si="48"/>
        <v>1</v>
      </c>
      <c r="EX83" s="1534">
        <f t="shared" si="152"/>
        <v>0.52</v>
      </c>
      <c r="EY83" s="321">
        <f t="shared" si="153"/>
        <v>0</v>
      </c>
      <c r="EZ83" s="201">
        <f t="shared" si="154"/>
        <v>0</v>
      </c>
      <c r="FA83" s="372">
        <f t="shared" si="49"/>
        <v>0</v>
      </c>
      <c r="FB83" s="372">
        <f t="shared" si="50"/>
        <v>0</v>
      </c>
      <c r="FC83" s="201">
        <f t="shared" ca="1" si="155"/>
        <v>0</v>
      </c>
      <c r="FD83" s="423">
        <f t="shared" si="51"/>
        <v>0</v>
      </c>
      <c r="FE83" s="423">
        <f t="shared" si="52"/>
        <v>0</v>
      </c>
      <c r="FF83" s="201">
        <f t="shared" si="156"/>
        <v>0</v>
      </c>
      <c r="FG83" s="425">
        <f>IF(OR($FJ$52=3,$FJ$52=4,$FJ$52=5),'1 Setup'!$W$96,0)</f>
        <v>0</v>
      </c>
      <c r="FH83" s="428">
        <f>IF($FJ$52=5,'1 Setup'!$W$98,IF($FJ$52=6,'1 Setup'!$S$86,0))</f>
        <v>0</v>
      </c>
      <c r="FI83" s="321">
        <f t="shared" ca="1" si="53"/>
        <v>0</v>
      </c>
      <c r="FJ83" s="263">
        <f t="shared" ca="1" si="157"/>
        <v>0</v>
      </c>
      <c r="FK83" s="372">
        <f t="shared" ca="1" si="54"/>
        <v>0</v>
      </c>
      <c r="FL83" s="372">
        <f t="shared" si="55"/>
        <v>0</v>
      </c>
      <c r="FM83" s="372">
        <f t="shared" si="56"/>
        <v>0</v>
      </c>
      <c r="FN83" s="2036">
        <f t="shared" ca="1" si="57"/>
        <v>0</v>
      </c>
      <c r="FO83" s="372">
        <f t="shared" ca="1" si="224"/>
        <v>0</v>
      </c>
      <c r="FP83" s="2723">
        <f t="shared" si="158"/>
        <v>0</v>
      </c>
      <c r="FQ83" s="372">
        <f t="shared" si="59"/>
        <v>0</v>
      </c>
      <c r="FR83" s="372">
        <f t="shared" si="159"/>
        <v>0</v>
      </c>
      <c r="FS83" s="1168"/>
      <c r="FT83" s="1168">
        <f t="shared" si="60"/>
        <v>0</v>
      </c>
      <c r="FU83" s="1168">
        <f t="shared" si="61"/>
        <v>0</v>
      </c>
      <c r="FV83" s="1168">
        <f t="shared" si="62"/>
        <v>0</v>
      </c>
      <c r="FW83" s="1168">
        <f t="shared" si="63"/>
        <v>0</v>
      </c>
      <c r="FX83" s="1168">
        <f t="shared" si="64"/>
        <v>0</v>
      </c>
      <c r="FY83" s="1168">
        <f t="shared" si="65"/>
        <v>0</v>
      </c>
      <c r="FZ83" s="1168">
        <f t="shared" si="66"/>
        <v>0</v>
      </c>
      <c r="GA83" s="1168">
        <f t="shared" si="67"/>
        <v>0</v>
      </c>
      <c r="GB83" s="1168">
        <f t="shared" si="68"/>
        <v>0</v>
      </c>
      <c r="GC83" s="1168">
        <f t="shared" si="69"/>
        <v>0</v>
      </c>
      <c r="GD83" s="1168"/>
      <c r="GE83" s="199"/>
      <c r="GF83" s="201">
        <f t="shared" si="70"/>
        <v>0</v>
      </c>
      <c r="GG83" s="201">
        <f t="shared" si="71"/>
        <v>0</v>
      </c>
      <c r="GH83" s="201">
        <f t="shared" si="72"/>
        <v>0</v>
      </c>
      <c r="GI83" s="201">
        <f t="shared" ca="1" si="160"/>
        <v>0</v>
      </c>
      <c r="GJ83" s="201">
        <f t="shared" si="73"/>
        <v>0</v>
      </c>
      <c r="GK83" s="201">
        <f t="shared" si="74"/>
        <v>0</v>
      </c>
      <c r="GL83" s="201">
        <f t="shared" si="75"/>
        <v>1</v>
      </c>
      <c r="GM83" s="201">
        <f t="shared" si="76"/>
        <v>1</v>
      </c>
      <c r="GN83" s="201"/>
      <c r="GO83" s="201"/>
      <c r="GP83" s="201">
        <f t="shared" si="77"/>
        <v>0</v>
      </c>
      <c r="GQ83" s="201">
        <f t="shared" si="78"/>
        <v>0</v>
      </c>
      <c r="GR83" s="201">
        <f t="shared" si="161"/>
        <v>0</v>
      </c>
      <c r="GS83" s="1768"/>
      <c r="GT83" s="201">
        <f t="shared" si="79"/>
        <v>1</v>
      </c>
      <c r="GU83" s="201">
        <f t="shared" si="193"/>
        <v>20</v>
      </c>
      <c r="GV83" s="201">
        <f t="shared" si="80"/>
        <v>0</v>
      </c>
      <c r="GW83" s="201">
        <f t="shared" si="81"/>
        <v>3</v>
      </c>
      <c r="GX83" s="201">
        <f t="shared" si="162"/>
        <v>0</v>
      </c>
      <c r="GY83" s="1998"/>
      <c r="GZ83" s="253"/>
      <c r="HA83" s="195">
        <f t="shared" si="163"/>
        <v>0</v>
      </c>
      <c r="HB83" s="3558">
        <f t="shared" si="82"/>
        <v>0</v>
      </c>
      <c r="HC83" s="3590"/>
      <c r="HD83" s="257" t="str">
        <f t="shared" si="83"/>
        <v/>
      </c>
      <c r="HE83" s="825">
        <f t="shared" si="84"/>
        <v>0</v>
      </c>
      <c r="HF83" s="506" t="s">
        <v>5</v>
      </c>
      <c r="HG83" s="508">
        <f t="shared" ca="1" si="85"/>
        <v>0</v>
      </c>
      <c r="HH83" s="3585">
        <f t="shared" si="86"/>
        <v>0</v>
      </c>
      <c r="HI83" s="3586"/>
      <c r="HJ83" s="504">
        <f t="shared" ca="1" si="225"/>
        <v>0</v>
      </c>
      <c r="HK83" s="456">
        <f t="shared" ca="1" si="226"/>
        <v>0</v>
      </c>
      <c r="HL83" s="3591">
        <f t="shared" ca="1" si="227"/>
        <v>0</v>
      </c>
      <c r="HM83" s="3592"/>
      <c r="HN83" s="240"/>
      <c r="HO83" s="1998"/>
      <c r="HP83" s="1991"/>
      <c r="HQ83" s="2770" t="str">
        <f t="shared" si="90"/>
        <v>GB - BIAF</v>
      </c>
      <c r="HR83" s="2770" t="str">
        <f t="shared" si="91"/>
        <v>GBP</v>
      </c>
      <c r="HS83" s="2771">
        <f t="shared" si="92"/>
        <v>1</v>
      </c>
      <c r="HT83" s="3623"/>
      <c r="HU83" s="2771">
        <f t="shared" si="93"/>
        <v>1.73</v>
      </c>
      <c r="HW83" s="1218"/>
      <c r="HX83" s="520"/>
      <c r="HY83" s="2523"/>
      <c r="HZ83" s="194"/>
      <c r="IA83" s="1013"/>
      <c r="IB83" s="193"/>
      <c r="IC83" s="3276">
        <v>20</v>
      </c>
      <c r="ID83" s="986"/>
      <c r="IE83" s="938">
        <f t="shared" si="164"/>
        <v>0</v>
      </c>
      <c r="IF83" s="938">
        <f t="shared" si="165"/>
        <v>0</v>
      </c>
      <c r="IG83" s="432"/>
      <c r="II83" s="405"/>
      <c r="IJ83" s="239"/>
      <c r="IK83" s="2774" t="str">
        <f t="shared" si="166"/>
        <v>GBP</v>
      </c>
      <c r="IL83" s="2148"/>
      <c r="IM83" s="1936">
        <f t="shared" si="94"/>
        <v>0</v>
      </c>
      <c r="IO83" s="1959" t="str">
        <f t="shared" si="95"/>
        <v/>
      </c>
      <c r="IP83" s="1958"/>
      <c r="IQ83" s="543">
        <f t="shared" si="96"/>
        <v>0.52</v>
      </c>
      <c r="IR83" s="1936">
        <f t="shared" si="97"/>
        <v>0</v>
      </c>
      <c r="IT83" s="1364"/>
      <c r="IU83" s="210"/>
      <c r="IV83" s="218"/>
      <c r="IW83" s="1938">
        <f ca="1">IF(NOT(ISBLANK(IU83)),IU83,IF('1 Setup'!$G$8&lt;7,JK83,FJ83))+KA83</f>
        <v>0</v>
      </c>
      <c r="IX83" s="409">
        <f t="shared" si="98"/>
        <v>0</v>
      </c>
      <c r="IY83" s="408">
        <f t="shared" si="99"/>
        <v>0</v>
      </c>
      <c r="IZ83" s="1983"/>
      <c r="JA83" s="1994"/>
      <c r="JB83" s="1991"/>
      <c r="JD83" s="2029">
        <f t="shared" si="167"/>
        <v>0</v>
      </c>
      <c r="JE83" s="479"/>
      <c r="JF83" s="2025">
        <f t="shared" si="100"/>
        <v>0</v>
      </c>
      <c r="JG83" s="429">
        <f t="shared" si="101"/>
        <v>0</v>
      </c>
      <c r="JH83" s="1667">
        <f t="shared" si="102"/>
        <v>0</v>
      </c>
      <c r="JJ83" s="1163">
        <f t="shared" ca="1" si="103"/>
        <v>0</v>
      </c>
      <c r="JK83" s="1163">
        <f t="shared" ca="1" si="104"/>
        <v>0</v>
      </c>
      <c r="JL83" s="1795"/>
      <c r="JN83" s="2505"/>
      <c r="JO83" s="1161"/>
      <c r="JP83" s="571">
        <f t="shared" ca="1" si="105"/>
        <v>0</v>
      </c>
      <c r="JQ83" s="2506"/>
      <c r="JR83" s="1953"/>
      <c r="JS83" s="2650"/>
      <c r="JT83" s="2507"/>
      <c r="JU83" s="1964">
        <f t="shared" si="106"/>
        <v>0.33450000000000002</v>
      </c>
      <c r="JV83" s="3199"/>
      <c r="JW83" s="2649">
        <f t="shared" si="107"/>
        <v>1.5</v>
      </c>
      <c r="JX83" s="1964">
        <f t="shared" si="168"/>
        <v>0.1565</v>
      </c>
      <c r="JY83" s="3199"/>
      <c r="JZ83" s="2649">
        <f t="shared" si="169"/>
        <v>0</v>
      </c>
      <c r="KA83" s="2649">
        <f t="shared" si="170"/>
        <v>0</v>
      </c>
      <c r="KB83" s="2649" t="s">
        <v>111</v>
      </c>
      <c r="KC83" s="1983"/>
      <c r="KD83" s="1974"/>
      <c r="KE83" s="1991"/>
      <c r="KF83" s="2029">
        <f t="shared" si="171"/>
        <v>0</v>
      </c>
      <c r="KG83" s="1991"/>
      <c r="KH83" s="2121">
        <f t="shared" si="108"/>
        <v>0</v>
      </c>
      <c r="KI83" s="2130">
        <f t="shared" si="109"/>
        <v>0</v>
      </c>
      <c r="KJ83" s="2130">
        <f t="shared" si="110"/>
        <v>0</v>
      </c>
      <c r="KK83" s="2130">
        <f t="shared" si="111"/>
        <v>0</v>
      </c>
      <c r="KL83" s="2131">
        <f t="shared" si="112"/>
        <v>0</v>
      </c>
      <c r="KM83" s="2132">
        <f t="shared" si="113"/>
        <v>0</v>
      </c>
      <c r="KN83" s="2132">
        <f t="shared" si="114"/>
        <v>0</v>
      </c>
      <c r="KO83" s="2132">
        <f t="shared" si="115"/>
        <v>0</v>
      </c>
      <c r="KP83" s="2132">
        <f t="shared" si="116"/>
        <v>0</v>
      </c>
      <c r="KQ83" s="2133">
        <f t="shared" si="117"/>
        <v>0</v>
      </c>
      <c r="KS83" s="2253">
        <f t="shared" si="118"/>
        <v>0</v>
      </c>
      <c r="KT83" s="2270">
        <f t="shared" ref="KT83:LB83" si="255">KS83*(1+(KT$60))</f>
        <v>0</v>
      </c>
      <c r="KU83" s="2271">
        <f t="shared" si="255"/>
        <v>0</v>
      </c>
      <c r="KV83" s="2271">
        <f t="shared" si="255"/>
        <v>0</v>
      </c>
      <c r="KW83" s="2272">
        <f t="shared" si="255"/>
        <v>0</v>
      </c>
      <c r="KX83" s="2271">
        <f t="shared" si="255"/>
        <v>0</v>
      </c>
      <c r="KY83" s="2271">
        <f t="shared" si="255"/>
        <v>0</v>
      </c>
      <c r="KZ83" s="2271">
        <f t="shared" si="255"/>
        <v>0</v>
      </c>
      <c r="LA83" s="2271">
        <f t="shared" si="255"/>
        <v>0</v>
      </c>
      <c r="LB83" s="2273">
        <f t="shared" si="255"/>
        <v>0</v>
      </c>
      <c r="LC83" s="272"/>
      <c r="LD83" s="2124">
        <f t="shared" si="120"/>
        <v>0</v>
      </c>
      <c r="LE83" s="2093">
        <f t="shared" si="121"/>
        <v>0</v>
      </c>
      <c r="LF83" s="2093">
        <f t="shared" si="122"/>
        <v>0</v>
      </c>
      <c r="LG83" s="2093">
        <f t="shared" si="123"/>
        <v>0</v>
      </c>
      <c r="LH83" s="2094">
        <f t="shared" si="124"/>
        <v>0</v>
      </c>
      <c r="LI83" s="2095">
        <f t="shared" si="125"/>
        <v>0</v>
      </c>
      <c r="LJ83" s="2095">
        <f t="shared" si="126"/>
        <v>0</v>
      </c>
      <c r="LK83" s="2095">
        <f t="shared" si="127"/>
        <v>0</v>
      </c>
      <c r="LL83" s="2095">
        <f t="shared" si="128"/>
        <v>0</v>
      </c>
      <c r="LM83" s="2096">
        <f t="shared" si="129"/>
        <v>0</v>
      </c>
      <c r="LN83" s="749"/>
      <c r="LO83" s="2256">
        <f t="shared" ca="1" si="130"/>
        <v>0</v>
      </c>
      <c r="LP83" s="2270">
        <f t="shared" ca="1" si="131"/>
        <v>0</v>
      </c>
      <c r="LQ83" s="2271">
        <f t="shared" ca="1" si="132"/>
        <v>0</v>
      </c>
      <c r="LR83" s="2271">
        <f t="shared" ca="1" si="133"/>
        <v>0</v>
      </c>
      <c r="LS83" s="2272">
        <f t="shared" ca="1" si="134"/>
        <v>0</v>
      </c>
      <c r="LT83" s="2271">
        <f t="shared" ca="1" si="135"/>
        <v>0</v>
      </c>
      <c r="LU83" s="2271">
        <f t="shared" ca="1" si="136"/>
        <v>0</v>
      </c>
      <c r="LV83" s="2271">
        <f t="shared" ca="1" si="137"/>
        <v>0</v>
      </c>
      <c r="LW83" s="2271">
        <f t="shared" ca="1" si="138"/>
        <v>0</v>
      </c>
      <c r="LX83" s="2273">
        <f t="shared" ca="1" si="139"/>
        <v>0</v>
      </c>
      <c r="LY83" s="479"/>
      <c r="LZ83" s="3128">
        <f t="shared" ca="1" si="173"/>
        <v>-1.73</v>
      </c>
      <c r="MA83" s="3129">
        <f t="shared" ca="1" si="174"/>
        <v>-1.73</v>
      </c>
      <c r="MB83" s="3129">
        <f t="shared" ca="1" si="175"/>
        <v>-1.73</v>
      </c>
      <c r="MC83" s="3129">
        <f t="shared" ca="1" si="176"/>
        <v>-1.73</v>
      </c>
      <c r="MD83" s="3130">
        <f t="shared" ca="1" si="177"/>
        <v>-1.73</v>
      </c>
      <c r="ME83" s="3129">
        <f t="shared" ca="1" si="178"/>
        <v>-1.73</v>
      </c>
      <c r="MF83" s="3129">
        <f t="shared" ca="1" si="179"/>
        <v>-1.73</v>
      </c>
      <c r="MG83" s="3129">
        <f t="shared" ca="1" si="180"/>
        <v>-1.73</v>
      </c>
      <c r="MH83" s="3129">
        <f t="shared" ca="1" si="181"/>
        <v>-1.73</v>
      </c>
      <c r="MI83" s="3131">
        <f t="shared" ca="1" si="182"/>
        <v>-1.73</v>
      </c>
      <c r="MJ83" s="3201"/>
      <c r="MK83" s="3206">
        <f t="shared" ca="1" si="183"/>
        <v>0</v>
      </c>
      <c r="ML83" s="3207">
        <f t="shared" ca="1" si="184"/>
        <v>0</v>
      </c>
      <c r="MM83" s="3207">
        <f t="shared" ca="1" si="185"/>
        <v>0</v>
      </c>
      <c r="MN83" s="3207">
        <f t="shared" ca="1" si="186"/>
        <v>0</v>
      </c>
      <c r="MO83" s="3208">
        <f t="shared" ca="1" si="187"/>
        <v>0</v>
      </c>
      <c r="MP83" s="3207">
        <f t="shared" ca="1" si="188"/>
        <v>0</v>
      </c>
      <c r="MQ83" s="3207">
        <f t="shared" ca="1" si="189"/>
        <v>0</v>
      </c>
      <c r="MR83" s="3207">
        <f t="shared" ca="1" si="190"/>
        <v>0</v>
      </c>
      <c r="MS83" s="3207">
        <f t="shared" ca="1" si="191"/>
        <v>0</v>
      </c>
      <c r="MT83" s="3209">
        <f t="shared" ca="1" si="192"/>
        <v>0</v>
      </c>
      <c r="MU83" s="1983"/>
      <c r="MV83" s="1975"/>
      <c r="MW83" s="1991"/>
      <c r="MX83" s="1931">
        <f t="shared" si="142"/>
        <v>0</v>
      </c>
      <c r="MY83" s="749"/>
      <c r="MZ83" s="1934">
        <f t="shared" si="143"/>
        <v>0</v>
      </c>
      <c r="NA83" s="1935"/>
      <c r="NB83" s="2652">
        <f t="shared" si="144"/>
        <v>0</v>
      </c>
      <c r="NC83" s="479"/>
      <c r="ND83" s="2749" t="str">
        <f t="shared" si="145"/>
        <v/>
      </c>
      <c r="NE83" s="2717"/>
      <c r="NF83" s="1975"/>
      <c r="NG83" s="1975"/>
      <c r="NH83" s="1975"/>
      <c r="NI83" s="1975"/>
    </row>
    <row r="84" spans="1:373" s="192" customFormat="1" ht="15.9" customHeight="1" x14ac:dyDescent="0.3">
      <c r="A84" s="200"/>
      <c r="B84" s="200"/>
      <c r="C84" s="200"/>
      <c r="D84" s="200"/>
      <c r="E84" s="200"/>
      <c r="F84" s="200"/>
      <c r="G84" s="200"/>
      <c r="H84" s="200"/>
      <c r="I84" s="200"/>
      <c r="J84" s="200"/>
      <c r="K84" s="200"/>
      <c r="L84" s="200"/>
      <c r="M84" s="200"/>
      <c r="N84" s="200"/>
      <c r="O84" s="200"/>
      <c r="P84" s="1539"/>
      <c r="Q84" s="1539"/>
      <c r="R84" s="198"/>
      <c r="S84" s="1539"/>
      <c r="T84" s="201"/>
      <c r="U84" s="200"/>
      <c r="V84" s="201">
        <f>MATCH($IC84,'3b Activity Plan'!$DJ$171:$FH$171,0)</f>
        <v>21</v>
      </c>
      <c r="W84" s="201">
        <f>IFERROR(INDEX('3b Activity Plan'!$DJ$6:$FH$6,V84),0)</f>
        <v>0</v>
      </c>
      <c r="X84" s="1768"/>
      <c r="Y84" s="1768">
        <f>IFERROR(INDEX('3b Activity Plan'!$DJ$7:$FH$7,V84),0)</f>
        <v>0</v>
      </c>
      <c r="Z84" s="201"/>
      <c r="AA84" s="201">
        <f>IFERROR(INDEX('3b Activity Plan'!$DJ$34:$FH$34,$V84),0)</f>
        <v>0</v>
      </c>
      <c r="AB84" s="201">
        <f>IFERROR(INDEX('3b Activity Plan'!$DJ$35:$FH$35,$V84),0)</f>
        <v>0</v>
      </c>
      <c r="AC84" s="201">
        <f>IFERROR(INDEX('3b Activity Plan'!$DJ$36:$FH$36,$V84),0)</f>
        <v>0</v>
      </c>
      <c r="AD84" s="201">
        <f>IFERROR(INDEX('3b Activity Plan'!$DJ$37:$FH$37,$V84),0)</f>
        <v>0</v>
      </c>
      <c r="AE84" s="201">
        <f>IFERROR(INDEX('3b Activity Plan'!$DJ$38:$FH$38,$V84),0)</f>
        <v>0</v>
      </c>
      <c r="AF84" s="201">
        <f>IFERROR(INDEX('3b Activity Plan'!$DJ$39:$FH$39,$V84),0)</f>
        <v>0</v>
      </c>
      <c r="AG84" s="201">
        <f>IFERROR(INDEX('3b Activity Plan'!$DJ$40:$FH$40,$V84),0)</f>
        <v>0</v>
      </c>
      <c r="AH84" s="201">
        <f>IFERROR(INDEX('3b Activity Plan'!$DJ$41:$FH$41,$V84),0)</f>
        <v>0</v>
      </c>
      <c r="AI84" s="201">
        <f>IFERROR(INDEX('3b Activity Plan'!$DJ$42:$FH$42,$V84),0)</f>
        <v>0</v>
      </c>
      <c r="AJ84" s="201">
        <f>IFERROR(INDEX('3b Activity Plan'!$DJ$43:$FH$43,$V84),0)</f>
        <v>0</v>
      </c>
      <c r="AK84" s="201"/>
      <c r="AL84" s="201">
        <f>SUMIFS('3a Staff Plan'!$AR$129:$AR$305,'3a Staff Plan'!$DY$129:$DY$305,$IA84,'3a Staff Plan'!$DF$129:$DF$305,1)</f>
        <v>0</v>
      </c>
      <c r="AM84" s="1768"/>
      <c r="AN84" s="1768">
        <f>SUMIFS('3a Staff Plan'!$AR$129:$AR$305,'3a Staff Plan'!$DY$129:$DY$305,$IA84,'3a Staff Plan'!$CV$129:$CV$305,1)</f>
        <v>0</v>
      </c>
      <c r="AO84" s="201"/>
      <c r="AP84" s="201">
        <f>SUMIFS('3a Staff Plan'!$AS$129:$AS$305,'3a Staff Plan'!$DY$129:$DY$305,$IA84,'3a Staff Plan'!$DF$129:$DF$305,1)</f>
        <v>0</v>
      </c>
      <c r="AQ84" s="201">
        <f>SUMIFS('3a Staff Plan'!$AT$129:$AT$305,'3a Staff Plan'!$DY$129:$DY$305,$IA84,'3a Staff Plan'!$DF$129:$DF$305,1)</f>
        <v>0</v>
      </c>
      <c r="AR84" s="201">
        <f>SUMIFS('3a Staff Plan'!$AU$129:$AU$305,'3a Staff Plan'!$DY$129:$DY$305,$IA84,'3a Staff Plan'!$DF$129:$DF$305,1)</f>
        <v>0</v>
      </c>
      <c r="AS84" s="201">
        <f>SUMIFS('3a Staff Plan'!$AV$129:$AV$305,'3a Staff Plan'!$DY$129:$DY$305,$IA84,'3a Staff Plan'!$DF$129:$DF$305,1)</f>
        <v>0</v>
      </c>
      <c r="AT84" s="201">
        <f>SUMIFS('3a Staff Plan'!$AW$129:$AW$305,'3a Staff Plan'!$DY$129:$DY$305,$IA84,'3a Staff Plan'!$DF$129:$DF$305,1)</f>
        <v>0</v>
      </c>
      <c r="AU84" s="201">
        <f>SUMIFS('3a Staff Plan'!$AX$129:$AX$305,'3a Staff Plan'!$DY$129:$DY$305,$IA84,'3a Staff Plan'!$DF$129:$DF$305,1)</f>
        <v>0</v>
      </c>
      <c r="AV84" s="201">
        <f>SUMIFS('3a Staff Plan'!$AY$129:$AY$305,'3a Staff Plan'!$DY$129:$DY$305,$IA84,'3a Staff Plan'!$DF$129:$DF$305,1)</f>
        <v>0</v>
      </c>
      <c r="AW84" s="201">
        <f>SUMIFS('3a Staff Plan'!$AZ$129:$AZ$305,'3a Staff Plan'!$DY$129:$DY$305,$IA84,'3a Staff Plan'!$DF$129:$DF$305,1)</f>
        <v>0</v>
      </c>
      <c r="AX84" s="201">
        <f>SUMIFS('3a Staff Plan'!$BA$129:$BA$305,'3a Staff Plan'!$DY$129:$DY$305,$IA84,'3a Staff Plan'!$DF$129:$DF$305,1)</f>
        <v>0</v>
      </c>
      <c r="AY84" s="201">
        <f>SUMIFS('3a Staff Plan'!$BB$129:$BB$305,'3a Staff Plan'!$DY$129:$DY$305,$IA84,'3a Staff Plan'!$DF$129:$DF$305,1)</f>
        <v>0</v>
      </c>
      <c r="AZ84" s="201"/>
      <c r="BA84" s="201">
        <f t="shared" si="198"/>
        <v>0</v>
      </c>
      <c r="BB84" s="1768"/>
      <c r="BC84" s="1768">
        <f t="shared" si="199"/>
        <v>0</v>
      </c>
      <c r="BD84" s="201"/>
      <c r="BE84" s="201">
        <f t="shared" si="200"/>
        <v>0</v>
      </c>
      <c r="BF84" s="201">
        <f t="shared" si="201"/>
        <v>0</v>
      </c>
      <c r="BG84" s="201">
        <f t="shared" si="202"/>
        <v>0</v>
      </c>
      <c r="BH84" s="201">
        <f t="shared" si="203"/>
        <v>0</v>
      </c>
      <c r="BI84" s="201">
        <f t="shared" si="204"/>
        <v>0</v>
      </c>
      <c r="BJ84" s="201">
        <f t="shared" si="205"/>
        <v>0</v>
      </c>
      <c r="BK84" s="201">
        <f t="shared" si="206"/>
        <v>0</v>
      </c>
      <c r="BL84" s="201">
        <f t="shared" si="207"/>
        <v>0</v>
      </c>
      <c r="BM84" s="201">
        <f t="shared" si="208"/>
        <v>0</v>
      </c>
      <c r="BN84" s="201">
        <f t="shared" si="209"/>
        <v>0</v>
      </c>
      <c r="BO84" s="201"/>
      <c r="BP84" s="1818">
        <f t="shared" si="146"/>
        <v>21</v>
      </c>
      <c r="BQ84" s="1818">
        <f>IFERROR(INDEX('3b Activity Plan'!$DJ$15:$FH$15,BP84),0)</f>
        <v>0</v>
      </c>
      <c r="BR84" s="1768"/>
      <c r="BS84" s="1768">
        <f>IFERROR(INDEX('3b Activity Plan'!$DJ$16:$FH$16,BP84),0)</f>
        <v>0</v>
      </c>
      <c r="BT84" s="201"/>
      <c r="BU84" s="201">
        <f>IFERROR(INDEX('3b Activity Plan'!$DJ$67:$FH$67,$V84),0)</f>
        <v>0</v>
      </c>
      <c r="BV84" s="201">
        <f>IFERROR(INDEX('3b Activity Plan'!$DJ$68:$FH$68,$V84),0)</f>
        <v>0</v>
      </c>
      <c r="BW84" s="201">
        <f>IFERROR(INDEX('3b Activity Plan'!$DJ$69:$FH$69,$V84),0)</f>
        <v>0</v>
      </c>
      <c r="BX84" s="201">
        <f>IFERROR(INDEX('3b Activity Plan'!$DJ$70:$FH$70,$V84),0)</f>
        <v>0</v>
      </c>
      <c r="BY84" s="201">
        <f>IFERROR(INDEX('3b Activity Plan'!$DJ$71:$FH$71,$V84),0)</f>
        <v>0</v>
      </c>
      <c r="BZ84" s="201">
        <f>IFERROR(INDEX('3b Activity Plan'!$DJ$72:$FH$72,$V84),0)</f>
        <v>0</v>
      </c>
      <c r="CA84" s="201">
        <f>IFERROR(INDEX('3b Activity Plan'!$DJ$73:$FH$73,$V84),0)</f>
        <v>0</v>
      </c>
      <c r="CB84" s="201">
        <f>IFERROR(INDEX('3b Activity Plan'!$DJ$74:$FH$74,$V84),0)</f>
        <v>0</v>
      </c>
      <c r="CC84" s="201">
        <f>IFERROR(INDEX('3b Activity Plan'!$DJ$75:$FH$75,$V84),0)</f>
        <v>0</v>
      </c>
      <c r="CD84" s="201">
        <f>IFERROR(INDEX('3b Activity Plan'!$DJ$76:$FH$76,$V84),0)</f>
        <v>0</v>
      </c>
      <c r="CE84" s="201"/>
      <c r="CF84" s="1818">
        <f>SUMIFS('3a Staff Plan'!$AR$129:$AR$305,'3a Staff Plan'!$DY$129:$DY$305,$IA84,'3a Staff Plan'!$AG$129:$AG$305,1,'3a Staff Plan'!$DF$129:$DF$305,1)</f>
        <v>0</v>
      </c>
      <c r="CG84" s="1768">
        <f>SUMIFS('3a Staff Plan'!$AR$129:$AR$305,'3a Staff Plan'!$DY$129:$DY$305,$IA84,'3a Staff Plan'!$AG$129:$AG$305,1,'3a Staff Plan'!$CX$129:$CX$305,1)</f>
        <v>0</v>
      </c>
      <c r="CH84" s="1768">
        <f>SUMIFS('3a Staff Plan'!$AR$129:$AR$305,'3a Staff Plan'!$DY$129:$DY$305,$IA84,'3a Staff Plan'!$AG$129:$AG$305,1,'3a Staff Plan'!$CV$129:$CV$305,1)</f>
        <v>0</v>
      </c>
      <c r="CI84" s="201"/>
      <c r="CJ84" s="201">
        <f>SUMIFS('3a Staff Plan'!$BX$129:$BX$305,'3a Staff Plan'!$DY$129:$DY$305,$IA84,'3a Staff Plan'!$DF$129:$DF$305,1,'3a Staff Plan'!$AG$129:$AG$305,1)</f>
        <v>0</v>
      </c>
      <c r="CK84" s="201">
        <f>SUMIFS('3a Staff Plan'!$BY$129:$BY$305,'3a Staff Plan'!$DY$129:$DY$305,$IA84,'3a Staff Plan'!$DF$129:$DF$305,1,'3a Staff Plan'!$AG$129:$AG$305,1)</f>
        <v>0</v>
      </c>
      <c r="CL84" s="201">
        <f>SUMIFS('3a Staff Plan'!$BZ$129:$BZ$305,'3a Staff Plan'!$DY$129:$DY$305,$IA84,'3a Staff Plan'!$DF$129:$DF$305,1,'3a Staff Plan'!$AG$129:$AG$305,1)</f>
        <v>0</v>
      </c>
      <c r="CM84" s="201">
        <f>SUMIFS('3a Staff Plan'!$CA$129:$CA$305,'3a Staff Plan'!$DY$129:$DY$305,$IA84,'3a Staff Plan'!$DF$129:$DF$305,1,'3a Staff Plan'!$AG$129:$AG$305,1)</f>
        <v>0</v>
      </c>
      <c r="CN84" s="201">
        <f>SUMIFS('3a Staff Plan'!$CB$129:$CB$305,'3a Staff Plan'!$DY$129:$DY$305,$IA84,'3a Staff Plan'!$DF$129:$DF$305,1,'3a Staff Plan'!$AG$129:$AG$305,1)</f>
        <v>0</v>
      </c>
      <c r="CO84" s="201">
        <f>SUMIFS('3a Staff Plan'!$CC$129:$CC$305,'3a Staff Plan'!$DY$129:$DY$305,$IA84,'3a Staff Plan'!$DF$129:$DF$305,1,'3a Staff Plan'!$AG$129:$AG$305,1)</f>
        <v>0</v>
      </c>
      <c r="CP84" s="201">
        <f>SUMIFS('3a Staff Plan'!$CD$129:$CD$305,'3a Staff Plan'!$DY$129:$DY$305,$IA84,'3a Staff Plan'!$DF$129:$DF$305,1,'3a Staff Plan'!$AG$129:$AG$305,1)</f>
        <v>0</v>
      </c>
      <c r="CQ84" s="201">
        <f>SUMIFS('3a Staff Plan'!$CE$129:$CE$305,'3a Staff Plan'!$DY$129:$DY$305,$IA84,'3a Staff Plan'!$DF$129:$DF$305,1,'3a Staff Plan'!$AG$129:$AG$305,1)</f>
        <v>0</v>
      </c>
      <c r="CR84" s="201">
        <f>SUMIFS('3a Staff Plan'!$CF$129:$CF$305,'3a Staff Plan'!$DY$129:$DY$305,$IA84,'3a Staff Plan'!$DF$129:$DF$305,1,'3a Staff Plan'!$AG$129:$AG$305,1)</f>
        <v>0</v>
      </c>
      <c r="CS84" s="201">
        <f>SUMIFS('3a Staff Plan'!$CG$129:$CG$305,'3a Staff Plan'!$DY$129:$DY$305,$IA84,'3a Staff Plan'!$DF$129:$DF$305,1,'3a Staff Plan'!$AG$129:$AG$305,1)</f>
        <v>0</v>
      </c>
      <c r="CT84" s="201"/>
      <c r="CU84" s="1818">
        <f t="shared" si="210"/>
        <v>0</v>
      </c>
      <c r="CV84" s="1768"/>
      <c r="CW84" s="1768">
        <f t="shared" si="211"/>
        <v>0</v>
      </c>
      <c r="CX84" s="201"/>
      <c r="CY84" s="201">
        <f t="shared" si="212"/>
        <v>0</v>
      </c>
      <c r="CZ84" s="201">
        <f t="shared" si="213"/>
        <v>0</v>
      </c>
      <c r="DA84" s="201">
        <f t="shared" si="214"/>
        <v>0</v>
      </c>
      <c r="DB84" s="201">
        <f t="shared" si="215"/>
        <v>0</v>
      </c>
      <c r="DC84" s="201">
        <f t="shared" si="216"/>
        <v>0</v>
      </c>
      <c r="DD84" s="201">
        <f t="shared" si="217"/>
        <v>0</v>
      </c>
      <c r="DE84" s="201">
        <f t="shared" si="218"/>
        <v>0</v>
      </c>
      <c r="DF84" s="201">
        <f t="shared" si="219"/>
        <v>0</v>
      </c>
      <c r="DG84" s="201">
        <f t="shared" si="220"/>
        <v>0</v>
      </c>
      <c r="DH84" s="201">
        <f t="shared" si="221"/>
        <v>0</v>
      </c>
      <c r="DI84" s="201"/>
      <c r="DJ84" s="201"/>
      <c r="DK84" s="201"/>
      <c r="DL84" s="201"/>
      <c r="DM84" s="372">
        <f t="shared" ca="1" si="37"/>
        <v>0</v>
      </c>
      <c r="DN84" s="1185">
        <f t="shared" si="38"/>
        <v>0</v>
      </c>
      <c r="DO84" s="1185">
        <f t="shared" si="39"/>
        <v>0</v>
      </c>
      <c r="DP84" s="201"/>
      <c r="DQ84" s="372">
        <f t="shared" ca="1" si="40"/>
        <v>0</v>
      </c>
      <c r="DR84" s="1185">
        <f t="shared" si="41"/>
        <v>0</v>
      </c>
      <c r="DS84" s="1185">
        <f t="shared" si="42"/>
        <v>0</v>
      </c>
      <c r="DT84" s="201"/>
      <c r="DU84" s="372">
        <f t="shared" ca="1" si="222"/>
        <v>0</v>
      </c>
      <c r="DV84" s="372">
        <f t="shared" si="223"/>
        <v>0</v>
      </c>
      <c r="DW84" s="372">
        <f t="shared" si="223"/>
        <v>0</v>
      </c>
      <c r="DX84" s="201"/>
      <c r="DY84" s="372">
        <f t="shared" si="44"/>
        <v>0</v>
      </c>
      <c r="DZ84" s="372">
        <f t="shared" ca="1" si="45"/>
        <v>0</v>
      </c>
      <c r="EA84" s="201"/>
      <c r="EB84" s="2776">
        <f>IF(EO84=$EO$53,1,IFERROR(INDEX('Currency Data'!$L$8:$L$41,MATCH(EO84,'Currency Data'!$H$8:$H$41,0)),1))</f>
        <v>1</v>
      </c>
      <c r="EC84" s="2776">
        <f t="shared" si="147"/>
        <v>1</v>
      </c>
      <c r="ED84" s="428">
        <f>IF(GQ84=1,'1 Setup'!$T$68,IF(ISBLANK(IJ84),II84/EC84*IF(GL84=1,$ED$53,1),IJ84/EC84)*IF($EW84=7,JW84,1))</f>
        <v>0</v>
      </c>
      <c r="EE84" s="428">
        <f t="shared" si="46"/>
        <v>0</v>
      </c>
      <c r="EF84" s="428"/>
      <c r="EG84" s="1965" t="str">
        <f t="shared" si="148"/>
        <v>031500 - Highways UK</v>
      </c>
      <c r="EH84" s="201">
        <f t="shared" si="149"/>
        <v>1</v>
      </c>
      <c r="EI84" s="445" t="str">
        <f>IF(EH84=1,$EI$53,IF(GQ84=1,$GQ$55,IFERROR(IF($EG84=$EG$53,$EI$53,INDEX('PU List'!$G$6:$G$413,MATCH($EG84,'PU List'!$D$6:$D$413,0))),$EI$53)))</f>
        <v>GB - BIAF</v>
      </c>
      <c r="EJ84" s="2773" t="str">
        <f t="shared" si="150"/>
        <v>GB - BIAF</v>
      </c>
      <c r="EK84" s="1768"/>
      <c r="EL84" s="3283">
        <f>IF(OR(EW84&gt;7,$EL$53=0),0,IF(EJ84=$EI$53,$EL$53,IFERROR(INDEX('Fringe Data'!$U$8:$U$129,MATCH($EJ84,'Fringe Data'!$F$8:$F$129,0)),0)))</f>
        <v>1.73</v>
      </c>
      <c r="EM84" s="372">
        <f t="shared" si="47"/>
        <v>0</v>
      </c>
      <c r="EN84" s="201" t="str">
        <f>IFERROR(INDEX('Fringe Data'!$G$8:$G$64,MATCH($EJ84,'Fringe Data'!$F$8:$F$64,0)),$EO$53)</f>
        <v>GBP</v>
      </c>
      <c r="EO84" s="201" t="str">
        <f t="shared" si="151"/>
        <v>GBP</v>
      </c>
      <c r="EP84" s="201">
        <f>IF(EI84=$EI$53,$EP$49,IF(GP84=1,0,IFERROR(INDEX('Fringe Data'!$K$8:$K$64,MATCH($EI84,'Fringe Data'!$F$8:$F$64,0)),0)))</f>
        <v>0.52</v>
      </c>
      <c r="EQ84" s="201">
        <f>IF(EI84=$EI$53,$EQ$49,IF(GP84=1,0,IFERROR(INDEX('Fringe Data'!$L$8:$L$64,MATCH($EI84,'Fringe Data'!$F$8:$F$64,0)),0)))</f>
        <v>1.8499999999999999E-2</v>
      </c>
      <c r="ER84" s="201">
        <f>IF(EI84=$EI$53,$ER$49,IF(GP84=1,0,IFERROR(INDEX('Fringe Data'!$M$8:$M$64,MATCH($EI84,'Fringe Data'!$F$8:$F$64,0)),0)))</f>
        <v>0.43430000000000002</v>
      </c>
      <c r="ES84" s="201">
        <f>IF(EI84=$EI$53,$ES$49,IF(GP84=1,0,IFERROR(INDEX('Fringe Data'!$N$8:$N$64,MATCH($EI84,'Fringe Data'!$F$8:$F$64,0)),0)))</f>
        <v>0.1565</v>
      </c>
      <c r="ET84" s="201">
        <f>IF(EI84=$EI$53,$ET$49,IF(GP84=1,0,IFERROR(INDEX('Fringe Data'!$O$8:$O$64,MATCH($EI84,'Fringe Data'!$F$8:$F$64,0)),0)))</f>
        <v>0.33450000000000002</v>
      </c>
      <c r="EU84" s="263">
        <f>IF(EI84=$EI$53,$EU$49,IF(GP84=1,0,IFERROR(INDEX('Fringe Data'!$P$8:$P$64,MATCH($EI84,'Fringe Data'!$F$8:$F$64,0)),0)))</f>
        <v>0.1565</v>
      </c>
      <c r="EV84" s="201"/>
      <c r="EW84" s="1530">
        <f t="shared" si="48"/>
        <v>1</v>
      </c>
      <c r="EX84" s="1534">
        <f t="shared" si="152"/>
        <v>0.52</v>
      </c>
      <c r="EY84" s="321">
        <f t="shared" si="153"/>
        <v>0</v>
      </c>
      <c r="EZ84" s="201">
        <f t="shared" si="154"/>
        <v>0</v>
      </c>
      <c r="FA84" s="372">
        <f t="shared" si="49"/>
        <v>0</v>
      </c>
      <c r="FB84" s="372">
        <f t="shared" si="50"/>
        <v>0</v>
      </c>
      <c r="FC84" s="201">
        <f t="shared" ca="1" si="155"/>
        <v>0</v>
      </c>
      <c r="FD84" s="423">
        <f t="shared" si="51"/>
        <v>0</v>
      </c>
      <c r="FE84" s="423">
        <f t="shared" si="52"/>
        <v>0</v>
      </c>
      <c r="FF84" s="201">
        <f t="shared" si="156"/>
        <v>0</v>
      </c>
      <c r="FG84" s="425">
        <f>IF(OR($FJ$52=3,$FJ$52=4,$FJ$52=5),'1 Setup'!$W$96,0)</f>
        <v>0</v>
      </c>
      <c r="FH84" s="428">
        <f>IF($FJ$52=5,'1 Setup'!$W$98,IF($FJ$52=6,'1 Setup'!$S$86,0))</f>
        <v>0</v>
      </c>
      <c r="FI84" s="321">
        <f t="shared" ca="1" si="53"/>
        <v>0</v>
      </c>
      <c r="FJ84" s="263">
        <f t="shared" ca="1" si="157"/>
        <v>0</v>
      </c>
      <c r="FK84" s="372">
        <f t="shared" ca="1" si="54"/>
        <v>0</v>
      </c>
      <c r="FL84" s="372">
        <f t="shared" si="55"/>
        <v>0</v>
      </c>
      <c r="FM84" s="372">
        <f t="shared" si="56"/>
        <v>0</v>
      </c>
      <c r="FN84" s="2036">
        <f t="shared" ca="1" si="57"/>
        <v>0</v>
      </c>
      <c r="FO84" s="372">
        <f t="shared" ca="1" si="224"/>
        <v>0</v>
      </c>
      <c r="FP84" s="2723">
        <f t="shared" si="158"/>
        <v>0</v>
      </c>
      <c r="FQ84" s="372">
        <f t="shared" si="59"/>
        <v>0</v>
      </c>
      <c r="FR84" s="372">
        <f t="shared" si="159"/>
        <v>0</v>
      </c>
      <c r="FS84" s="1168"/>
      <c r="FT84" s="1168">
        <f t="shared" si="60"/>
        <v>0</v>
      </c>
      <c r="FU84" s="1168">
        <f t="shared" si="61"/>
        <v>0</v>
      </c>
      <c r="FV84" s="1168">
        <f t="shared" si="62"/>
        <v>0</v>
      </c>
      <c r="FW84" s="1168">
        <f t="shared" si="63"/>
        <v>0</v>
      </c>
      <c r="FX84" s="1168">
        <f t="shared" si="64"/>
        <v>0</v>
      </c>
      <c r="FY84" s="1168">
        <f t="shared" si="65"/>
        <v>0</v>
      </c>
      <c r="FZ84" s="1168">
        <f t="shared" si="66"/>
        <v>0</v>
      </c>
      <c r="GA84" s="1168">
        <f t="shared" si="67"/>
        <v>0</v>
      </c>
      <c r="GB84" s="1168">
        <f t="shared" si="68"/>
        <v>0</v>
      </c>
      <c r="GC84" s="1168">
        <f t="shared" si="69"/>
        <v>0</v>
      </c>
      <c r="GD84" s="1168"/>
      <c r="GE84" s="199"/>
      <c r="GF84" s="201">
        <f t="shared" si="70"/>
        <v>0</v>
      </c>
      <c r="GG84" s="201">
        <f t="shared" si="71"/>
        <v>0</v>
      </c>
      <c r="GH84" s="201">
        <f t="shared" si="72"/>
        <v>0</v>
      </c>
      <c r="GI84" s="201">
        <f t="shared" ca="1" si="160"/>
        <v>0</v>
      </c>
      <c r="GJ84" s="201">
        <f t="shared" si="73"/>
        <v>0</v>
      </c>
      <c r="GK84" s="201">
        <f t="shared" si="74"/>
        <v>0</v>
      </c>
      <c r="GL84" s="201">
        <f t="shared" si="75"/>
        <v>1</v>
      </c>
      <c r="GM84" s="201">
        <f t="shared" si="76"/>
        <v>1</v>
      </c>
      <c r="GN84" s="201"/>
      <c r="GO84" s="201"/>
      <c r="GP84" s="201">
        <f t="shared" si="77"/>
        <v>0</v>
      </c>
      <c r="GQ84" s="201">
        <f t="shared" si="78"/>
        <v>0</v>
      </c>
      <c r="GR84" s="201">
        <f t="shared" si="161"/>
        <v>0</v>
      </c>
      <c r="GS84" s="1768"/>
      <c r="GT84" s="201">
        <f t="shared" si="79"/>
        <v>1</v>
      </c>
      <c r="GU84" s="201">
        <f t="shared" si="193"/>
        <v>21</v>
      </c>
      <c r="GV84" s="201">
        <f t="shared" si="80"/>
        <v>0</v>
      </c>
      <c r="GW84" s="201">
        <f t="shared" si="81"/>
        <v>3</v>
      </c>
      <c r="GX84" s="201">
        <f t="shared" si="162"/>
        <v>0</v>
      </c>
      <c r="GY84" s="1998"/>
      <c r="GZ84" s="253"/>
      <c r="HA84" s="195">
        <f t="shared" si="163"/>
        <v>0</v>
      </c>
      <c r="HB84" s="3558">
        <f t="shared" si="82"/>
        <v>0</v>
      </c>
      <c r="HC84" s="3590"/>
      <c r="HD84" s="257" t="str">
        <f t="shared" si="83"/>
        <v/>
      </c>
      <c r="HE84" s="825">
        <f t="shared" si="84"/>
        <v>0</v>
      </c>
      <c r="HF84" s="506" t="s">
        <v>5</v>
      </c>
      <c r="HG84" s="508">
        <f t="shared" ca="1" si="85"/>
        <v>0</v>
      </c>
      <c r="HH84" s="3585">
        <f t="shared" si="86"/>
        <v>0</v>
      </c>
      <c r="HI84" s="3586"/>
      <c r="HJ84" s="504">
        <f t="shared" ca="1" si="225"/>
        <v>0</v>
      </c>
      <c r="HK84" s="456">
        <f t="shared" ca="1" si="226"/>
        <v>0</v>
      </c>
      <c r="HL84" s="3591">
        <f t="shared" ca="1" si="227"/>
        <v>0</v>
      </c>
      <c r="HM84" s="3592"/>
      <c r="HN84" s="240"/>
      <c r="HO84" s="1998"/>
      <c r="HP84" s="1991"/>
      <c r="HQ84" s="2770" t="str">
        <f t="shared" si="90"/>
        <v>GB - BIAF</v>
      </c>
      <c r="HR84" s="2770" t="str">
        <f t="shared" si="91"/>
        <v>GBP</v>
      </c>
      <c r="HS84" s="2771">
        <f t="shared" si="92"/>
        <v>1</v>
      </c>
      <c r="HT84" s="3488"/>
      <c r="HU84" s="2771">
        <f t="shared" si="93"/>
        <v>1.73</v>
      </c>
      <c r="HW84" s="1218"/>
      <c r="HX84" s="520"/>
      <c r="HY84" s="2523"/>
      <c r="HZ84" s="194"/>
      <c r="IA84" s="1013"/>
      <c r="IB84" s="193"/>
      <c r="IC84" s="3276">
        <v>21</v>
      </c>
      <c r="ID84" s="986"/>
      <c r="IE84" s="938">
        <f t="shared" si="164"/>
        <v>0</v>
      </c>
      <c r="IF84" s="938">
        <f t="shared" si="165"/>
        <v>0</v>
      </c>
      <c r="IG84" s="432"/>
      <c r="II84" s="405"/>
      <c r="IJ84" s="239"/>
      <c r="IK84" s="2774" t="str">
        <f t="shared" si="166"/>
        <v>GBP</v>
      </c>
      <c r="IL84" s="2148"/>
      <c r="IM84" s="1936">
        <f t="shared" si="94"/>
        <v>0</v>
      </c>
      <c r="IO84" s="1959" t="str">
        <f t="shared" si="95"/>
        <v/>
      </c>
      <c r="IP84" s="1958"/>
      <c r="IQ84" s="543">
        <f t="shared" si="96"/>
        <v>0.52</v>
      </c>
      <c r="IR84" s="1936">
        <f t="shared" si="97"/>
        <v>0</v>
      </c>
      <c r="IT84" s="1364"/>
      <c r="IU84" s="210"/>
      <c r="IV84" s="218"/>
      <c r="IW84" s="1938">
        <f ca="1">IF(NOT(ISBLANK(IU84)),IU84,IF('1 Setup'!$G$8&lt;7,JK84,FJ84))+KA84</f>
        <v>0</v>
      </c>
      <c r="IX84" s="409">
        <f t="shared" si="98"/>
        <v>0</v>
      </c>
      <c r="IY84" s="408">
        <f t="shared" si="99"/>
        <v>0</v>
      </c>
      <c r="IZ84" s="1983"/>
      <c r="JA84" s="1994"/>
      <c r="JB84" s="1991"/>
      <c r="JD84" s="2029">
        <f t="shared" si="167"/>
        <v>0</v>
      </c>
      <c r="JE84" s="479"/>
      <c r="JF84" s="2025">
        <f t="shared" si="100"/>
        <v>0</v>
      </c>
      <c r="JG84" s="429">
        <f t="shared" si="101"/>
        <v>0</v>
      </c>
      <c r="JH84" s="1667">
        <f t="shared" si="102"/>
        <v>0</v>
      </c>
      <c r="JJ84" s="1163">
        <f t="shared" ca="1" si="103"/>
        <v>0</v>
      </c>
      <c r="JK84" s="1163">
        <f t="shared" ca="1" si="104"/>
        <v>0</v>
      </c>
      <c r="JL84" s="1795"/>
      <c r="JN84" s="2505"/>
      <c r="JO84" s="1161"/>
      <c r="JP84" s="571">
        <f t="shared" ca="1" si="105"/>
        <v>0</v>
      </c>
      <c r="JQ84" s="2506"/>
      <c r="JR84" s="1953"/>
      <c r="JS84" s="2650"/>
      <c r="JT84" s="2507"/>
      <c r="JU84" s="1964">
        <f t="shared" si="106"/>
        <v>0.33450000000000002</v>
      </c>
      <c r="JV84" s="3199"/>
      <c r="JW84" s="2649">
        <f t="shared" si="107"/>
        <v>1.5</v>
      </c>
      <c r="JX84" s="1964">
        <f t="shared" si="168"/>
        <v>0.1565</v>
      </c>
      <c r="JY84" s="3199"/>
      <c r="JZ84" s="2649">
        <f t="shared" si="169"/>
        <v>0</v>
      </c>
      <c r="KA84" s="2649">
        <f t="shared" si="170"/>
        <v>0</v>
      </c>
      <c r="KB84" s="2649" t="s">
        <v>111</v>
      </c>
      <c r="KC84" s="1983"/>
      <c r="KD84" s="1974"/>
      <c r="KE84" s="1991"/>
      <c r="KF84" s="2029">
        <f t="shared" si="171"/>
        <v>0</v>
      </c>
      <c r="KG84" s="1991"/>
      <c r="KH84" s="2121">
        <f t="shared" si="108"/>
        <v>0</v>
      </c>
      <c r="KI84" s="2130">
        <f t="shared" si="109"/>
        <v>0</v>
      </c>
      <c r="KJ84" s="2130">
        <f t="shared" si="110"/>
        <v>0</v>
      </c>
      <c r="KK84" s="2130">
        <f t="shared" si="111"/>
        <v>0</v>
      </c>
      <c r="KL84" s="2131">
        <f t="shared" si="112"/>
        <v>0</v>
      </c>
      <c r="KM84" s="2132">
        <f t="shared" si="113"/>
        <v>0</v>
      </c>
      <c r="KN84" s="2132">
        <f t="shared" si="114"/>
        <v>0</v>
      </c>
      <c r="KO84" s="2132">
        <f t="shared" si="115"/>
        <v>0</v>
      </c>
      <c r="KP84" s="2132">
        <f t="shared" si="116"/>
        <v>0</v>
      </c>
      <c r="KQ84" s="2133">
        <f t="shared" si="117"/>
        <v>0</v>
      </c>
      <c r="KS84" s="2253">
        <f t="shared" si="118"/>
        <v>0</v>
      </c>
      <c r="KT84" s="2270">
        <f t="shared" ref="KT84:LB84" si="256">KS84*(1+(KT$60))</f>
        <v>0</v>
      </c>
      <c r="KU84" s="2271">
        <f t="shared" si="256"/>
        <v>0</v>
      </c>
      <c r="KV84" s="2271">
        <f t="shared" si="256"/>
        <v>0</v>
      </c>
      <c r="KW84" s="2272">
        <f t="shared" si="256"/>
        <v>0</v>
      </c>
      <c r="KX84" s="2271">
        <f t="shared" si="256"/>
        <v>0</v>
      </c>
      <c r="KY84" s="2271">
        <f t="shared" si="256"/>
        <v>0</v>
      </c>
      <c r="KZ84" s="2271">
        <f t="shared" si="256"/>
        <v>0</v>
      </c>
      <c r="LA84" s="2271">
        <f t="shared" si="256"/>
        <v>0</v>
      </c>
      <c r="LB84" s="2273">
        <f t="shared" si="256"/>
        <v>0</v>
      </c>
      <c r="LC84" s="272"/>
      <c r="LD84" s="2124">
        <f t="shared" si="120"/>
        <v>0</v>
      </c>
      <c r="LE84" s="2093">
        <f t="shared" si="121"/>
        <v>0</v>
      </c>
      <c r="LF84" s="2093">
        <f t="shared" si="122"/>
        <v>0</v>
      </c>
      <c r="LG84" s="2093">
        <f t="shared" si="123"/>
        <v>0</v>
      </c>
      <c r="LH84" s="2094">
        <f t="shared" si="124"/>
        <v>0</v>
      </c>
      <c r="LI84" s="2095">
        <f t="shared" si="125"/>
        <v>0</v>
      </c>
      <c r="LJ84" s="2095">
        <f t="shared" si="126"/>
        <v>0</v>
      </c>
      <c r="LK84" s="2095">
        <f t="shared" si="127"/>
        <v>0</v>
      </c>
      <c r="LL84" s="2095">
        <f t="shared" si="128"/>
        <v>0</v>
      </c>
      <c r="LM84" s="2096">
        <f t="shared" si="129"/>
        <v>0</v>
      </c>
      <c r="LN84" s="749"/>
      <c r="LO84" s="2256">
        <f t="shared" ca="1" si="130"/>
        <v>0</v>
      </c>
      <c r="LP84" s="2270">
        <f t="shared" ca="1" si="131"/>
        <v>0</v>
      </c>
      <c r="LQ84" s="2271">
        <f t="shared" ca="1" si="132"/>
        <v>0</v>
      </c>
      <c r="LR84" s="2271">
        <f t="shared" ca="1" si="133"/>
        <v>0</v>
      </c>
      <c r="LS84" s="2272">
        <f t="shared" ca="1" si="134"/>
        <v>0</v>
      </c>
      <c r="LT84" s="2271">
        <f t="shared" ca="1" si="135"/>
        <v>0</v>
      </c>
      <c r="LU84" s="2271">
        <f t="shared" ca="1" si="136"/>
        <v>0</v>
      </c>
      <c r="LV84" s="2271">
        <f t="shared" ca="1" si="137"/>
        <v>0</v>
      </c>
      <c r="LW84" s="2271">
        <f t="shared" ca="1" si="138"/>
        <v>0</v>
      </c>
      <c r="LX84" s="2273">
        <f t="shared" ca="1" si="139"/>
        <v>0</v>
      </c>
      <c r="LY84" s="479"/>
      <c r="LZ84" s="3128">
        <f t="shared" ca="1" si="173"/>
        <v>-1.73</v>
      </c>
      <c r="MA84" s="3129">
        <f t="shared" ca="1" si="174"/>
        <v>-1.73</v>
      </c>
      <c r="MB84" s="3129">
        <f t="shared" ca="1" si="175"/>
        <v>-1.73</v>
      </c>
      <c r="MC84" s="3129">
        <f t="shared" ca="1" si="176"/>
        <v>-1.73</v>
      </c>
      <c r="MD84" s="3130">
        <f t="shared" ca="1" si="177"/>
        <v>-1.73</v>
      </c>
      <c r="ME84" s="3129">
        <f t="shared" ca="1" si="178"/>
        <v>-1.73</v>
      </c>
      <c r="MF84" s="3129">
        <f t="shared" ca="1" si="179"/>
        <v>-1.73</v>
      </c>
      <c r="MG84" s="3129">
        <f t="shared" ca="1" si="180"/>
        <v>-1.73</v>
      </c>
      <c r="MH84" s="3129">
        <f t="shared" ca="1" si="181"/>
        <v>-1.73</v>
      </c>
      <c r="MI84" s="3131">
        <f t="shared" ca="1" si="182"/>
        <v>-1.73</v>
      </c>
      <c r="MJ84" s="3201"/>
      <c r="MK84" s="3206">
        <f t="shared" ca="1" si="183"/>
        <v>0</v>
      </c>
      <c r="ML84" s="3207">
        <f t="shared" ca="1" si="184"/>
        <v>0</v>
      </c>
      <c r="MM84" s="3207">
        <f t="shared" ca="1" si="185"/>
        <v>0</v>
      </c>
      <c r="MN84" s="3207">
        <f t="shared" ca="1" si="186"/>
        <v>0</v>
      </c>
      <c r="MO84" s="3208">
        <f t="shared" ca="1" si="187"/>
        <v>0</v>
      </c>
      <c r="MP84" s="3207">
        <f t="shared" ca="1" si="188"/>
        <v>0</v>
      </c>
      <c r="MQ84" s="3207">
        <f t="shared" ca="1" si="189"/>
        <v>0</v>
      </c>
      <c r="MR84" s="3207">
        <f t="shared" ca="1" si="190"/>
        <v>0</v>
      </c>
      <c r="MS84" s="3207">
        <f t="shared" ca="1" si="191"/>
        <v>0</v>
      </c>
      <c r="MT84" s="3209">
        <f t="shared" ca="1" si="192"/>
        <v>0</v>
      </c>
      <c r="MU84" s="1983"/>
      <c r="MV84" s="1975"/>
      <c r="MW84" s="1991"/>
      <c r="MX84" s="1931">
        <f t="shared" si="142"/>
        <v>0</v>
      </c>
      <c r="MY84" s="749"/>
      <c r="MZ84" s="1934">
        <f t="shared" si="143"/>
        <v>0</v>
      </c>
      <c r="NA84" s="1935"/>
      <c r="NB84" s="2652">
        <f t="shared" si="144"/>
        <v>0</v>
      </c>
      <c r="NC84" s="479"/>
      <c r="ND84" s="2749" t="str">
        <f t="shared" si="145"/>
        <v/>
      </c>
      <c r="NE84" s="2717"/>
      <c r="NF84" s="1975"/>
      <c r="NG84" s="1975"/>
      <c r="NH84" s="1975"/>
      <c r="NI84" s="1975"/>
    </row>
    <row r="85" spans="1:373" s="192" customFormat="1" ht="15.9" customHeight="1" x14ac:dyDescent="0.3">
      <c r="A85" s="200"/>
      <c r="B85" s="200"/>
      <c r="C85" s="200"/>
      <c r="D85" s="200"/>
      <c r="E85" s="200"/>
      <c r="F85" s="200"/>
      <c r="G85" s="200"/>
      <c r="H85" s="200"/>
      <c r="I85" s="200"/>
      <c r="J85" s="200"/>
      <c r="K85" s="200"/>
      <c r="L85" s="200"/>
      <c r="M85" s="200"/>
      <c r="N85" s="200"/>
      <c r="O85" s="200"/>
      <c r="P85" s="1539"/>
      <c r="Q85" s="1539"/>
      <c r="R85" s="198"/>
      <c r="S85" s="1539"/>
      <c r="T85" s="201"/>
      <c r="U85" s="200"/>
      <c r="V85" s="201">
        <f>MATCH($IC85,'3b Activity Plan'!$DJ$171:$FH$171,0)</f>
        <v>22</v>
      </c>
      <c r="W85" s="201">
        <f>IFERROR(INDEX('3b Activity Plan'!$DJ$6:$FH$6,V85),0)</f>
        <v>0</v>
      </c>
      <c r="X85" s="1768"/>
      <c r="Y85" s="1768">
        <f>IFERROR(INDEX('3b Activity Plan'!$DJ$7:$FH$7,V85),0)</f>
        <v>0</v>
      </c>
      <c r="Z85" s="201"/>
      <c r="AA85" s="201">
        <f>IFERROR(INDEX('3b Activity Plan'!$DJ$34:$FH$34,$V85),0)</f>
        <v>0</v>
      </c>
      <c r="AB85" s="201">
        <f>IFERROR(INDEX('3b Activity Plan'!$DJ$35:$FH$35,$V85),0)</f>
        <v>0</v>
      </c>
      <c r="AC85" s="201">
        <f>IFERROR(INDEX('3b Activity Plan'!$DJ$36:$FH$36,$V85),0)</f>
        <v>0</v>
      </c>
      <c r="AD85" s="201">
        <f>IFERROR(INDEX('3b Activity Plan'!$DJ$37:$FH$37,$V85),0)</f>
        <v>0</v>
      </c>
      <c r="AE85" s="201">
        <f>IFERROR(INDEX('3b Activity Plan'!$DJ$38:$FH$38,$V85),0)</f>
        <v>0</v>
      </c>
      <c r="AF85" s="201">
        <f>IFERROR(INDEX('3b Activity Plan'!$DJ$39:$FH$39,$V85),0)</f>
        <v>0</v>
      </c>
      <c r="AG85" s="201">
        <f>IFERROR(INDEX('3b Activity Plan'!$DJ$40:$FH$40,$V85),0)</f>
        <v>0</v>
      </c>
      <c r="AH85" s="201">
        <f>IFERROR(INDEX('3b Activity Plan'!$DJ$41:$FH$41,$V85),0)</f>
        <v>0</v>
      </c>
      <c r="AI85" s="201">
        <f>IFERROR(INDEX('3b Activity Plan'!$DJ$42:$FH$42,$V85),0)</f>
        <v>0</v>
      </c>
      <c r="AJ85" s="201">
        <f>IFERROR(INDEX('3b Activity Plan'!$DJ$43:$FH$43,$V85),0)</f>
        <v>0</v>
      </c>
      <c r="AK85" s="201"/>
      <c r="AL85" s="201">
        <f>SUMIFS('3a Staff Plan'!$AR$129:$AR$305,'3a Staff Plan'!$DY$129:$DY$305,$IA85,'3a Staff Plan'!$DF$129:$DF$305,1)</f>
        <v>0</v>
      </c>
      <c r="AM85" s="1768"/>
      <c r="AN85" s="1768">
        <f>SUMIFS('3a Staff Plan'!$AR$129:$AR$305,'3a Staff Plan'!$DY$129:$DY$305,$IA85,'3a Staff Plan'!$CV$129:$CV$305,1)</f>
        <v>0</v>
      </c>
      <c r="AO85" s="201"/>
      <c r="AP85" s="201">
        <f>SUMIFS('3a Staff Plan'!$AS$129:$AS$305,'3a Staff Plan'!$DY$129:$DY$305,$IA85,'3a Staff Plan'!$DF$129:$DF$305,1)</f>
        <v>0</v>
      </c>
      <c r="AQ85" s="201">
        <f>SUMIFS('3a Staff Plan'!$AT$129:$AT$305,'3a Staff Plan'!$DY$129:$DY$305,$IA85,'3a Staff Plan'!$DF$129:$DF$305,1)</f>
        <v>0</v>
      </c>
      <c r="AR85" s="201">
        <f>SUMIFS('3a Staff Plan'!$AU$129:$AU$305,'3a Staff Plan'!$DY$129:$DY$305,$IA85,'3a Staff Plan'!$DF$129:$DF$305,1)</f>
        <v>0</v>
      </c>
      <c r="AS85" s="201">
        <f>SUMIFS('3a Staff Plan'!$AV$129:$AV$305,'3a Staff Plan'!$DY$129:$DY$305,$IA85,'3a Staff Plan'!$DF$129:$DF$305,1)</f>
        <v>0</v>
      </c>
      <c r="AT85" s="201">
        <f>SUMIFS('3a Staff Plan'!$AW$129:$AW$305,'3a Staff Plan'!$DY$129:$DY$305,$IA85,'3a Staff Plan'!$DF$129:$DF$305,1)</f>
        <v>0</v>
      </c>
      <c r="AU85" s="201">
        <f>SUMIFS('3a Staff Plan'!$AX$129:$AX$305,'3a Staff Plan'!$DY$129:$DY$305,$IA85,'3a Staff Plan'!$DF$129:$DF$305,1)</f>
        <v>0</v>
      </c>
      <c r="AV85" s="201">
        <f>SUMIFS('3a Staff Plan'!$AY$129:$AY$305,'3a Staff Plan'!$DY$129:$DY$305,$IA85,'3a Staff Plan'!$DF$129:$DF$305,1)</f>
        <v>0</v>
      </c>
      <c r="AW85" s="201">
        <f>SUMIFS('3a Staff Plan'!$AZ$129:$AZ$305,'3a Staff Plan'!$DY$129:$DY$305,$IA85,'3a Staff Plan'!$DF$129:$DF$305,1)</f>
        <v>0</v>
      </c>
      <c r="AX85" s="201">
        <f>SUMIFS('3a Staff Plan'!$BA$129:$BA$305,'3a Staff Plan'!$DY$129:$DY$305,$IA85,'3a Staff Plan'!$DF$129:$DF$305,1)</f>
        <v>0</v>
      </c>
      <c r="AY85" s="201">
        <f>SUMIFS('3a Staff Plan'!$BB$129:$BB$305,'3a Staff Plan'!$DY$129:$DY$305,$IA85,'3a Staff Plan'!$DF$129:$DF$305,1)</f>
        <v>0</v>
      </c>
      <c r="AZ85" s="201"/>
      <c r="BA85" s="201">
        <f t="shared" ref="BA85:BC87" si="257">(W85*$V$51)+(AL85*$AL$51)</f>
        <v>0</v>
      </c>
      <c r="BB85" s="1768"/>
      <c r="BC85" s="1768">
        <f t="shared" si="257"/>
        <v>0</v>
      </c>
      <c r="BD85" s="201"/>
      <c r="BE85" s="201">
        <f t="shared" ref="BE85:BN87" si="258">(AA85*$V$51)+(AP85*$AL$51)</f>
        <v>0</v>
      </c>
      <c r="BF85" s="201">
        <f t="shared" si="258"/>
        <v>0</v>
      </c>
      <c r="BG85" s="201">
        <f t="shared" si="258"/>
        <v>0</v>
      </c>
      <c r="BH85" s="201">
        <f t="shared" si="258"/>
        <v>0</v>
      </c>
      <c r="BI85" s="201">
        <f t="shared" si="258"/>
        <v>0</v>
      </c>
      <c r="BJ85" s="201">
        <f t="shared" si="258"/>
        <v>0</v>
      </c>
      <c r="BK85" s="201">
        <f t="shared" si="258"/>
        <v>0</v>
      </c>
      <c r="BL85" s="201">
        <f t="shared" si="258"/>
        <v>0</v>
      </c>
      <c r="BM85" s="201">
        <f t="shared" si="258"/>
        <v>0</v>
      </c>
      <c r="BN85" s="201">
        <f t="shared" si="258"/>
        <v>0</v>
      </c>
      <c r="BO85" s="201"/>
      <c r="BP85" s="1818">
        <f t="shared" si="146"/>
        <v>22</v>
      </c>
      <c r="BQ85" s="1818">
        <f>IFERROR(INDEX('3b Activity Plan'!$DJ$15:$FH$15,BP85),0)</f>
        <v>0</v>
      </c>
      <c r="BR85" s="1768"/>
      <c r="BS85" s="1768">
        <f>IFERROR(INDEX('3b Activity Plan'!$DJ$16:$FH$16,BP85),0)</f>
        <v>0</v>
      </c>
      <c r="BT85" s="201"/>
      <c r="BU85" s="201">
        <f>IFERROR(INDEX('3b Activity Plan'!$DJ$67:$FH$67,$V85),0)</f>
        <v>0</v>
      </c>
      <c r="BV85" s="201">
        <f>IFERROR(INDEX('3b Activity Plan'!$DJ$68:$FH$68,$V85),0)</f>
        <v>0</v>
      </c>
      <c r="BW85" s="201">
        <f>IFERROR(INDEX('3b Activity Plan'!$DJ$69:$FH$69,$V85),0)</f>
        <v>0</v>
      </c>
      <c r="BX85" s="201">
        <f>IFERROR(INDEX('3b Activity Plan'!$DJ$70:$FH$70,$V85),0)</f>
        <v>0</v>
      </c>
      <c r="BY85" s="201">
        <f>IFERROR(INDEX('3b Activity Plan'!$DJ$71:$FH$71,$V85),0)</f>
        <v>0</v>
      </c>
      <c r="BZ85" s="201">
        <f>IFERROR(INDEX('3b Activity Plan'!$DJ$72:$FH$72,$V85),0)</f>
        <v>0</v>
      </c>
      <c r="CA85" s="201">
        <f>IFERROR(INDEX('3b Activity Plan'!$DJ$73:$FH$73,$V85),0)</f>
        <v>0</v>
      </c>
      <c r="CB85" s="201">
        <f>IFERROR(INDEX('3b Activity Plan'!$DJ$74:$FH$74,$V85),0)</f>
        <v>0</v>
      </c>
      <c r="CC85" s="201">
        <f>IFERROR(INDEX('3b Activity Plan'!$DJ$75:$FH$75,$V85),0)</f>
        <v>0</v>
      </c>
      <c r="CD85" s="201">
        <f>IFERROR(INDEX('3b Activity Plan'!$DJ$76:$FH$76,$V85),0)</f>
        <v>0</v>
      </c>
      <c r="CE85" s="201"/>
      <c r="CF85" s="1818">
        <f>SUMIFS('3a Staff Plan'!$AR$129:$AR$305,'3a Staff Plan'!$DY$129:$DY$305,$IA85,'3a Staff Plan'!$AG$129:$AG$305,1,'3a Staff Plan'!$DF$129:$DF$305,1)</f>
        <v>0</v>
      </c>
      <c r="CG85" s="1768">
        <f>SUMIFS('3a Staff Plan'!$AR$129:$AR$305,'3a Staff Plan'!$DY$129:$DY$305,$IA85,'3a Staff Plan'!$AG$129:$AG$305,1,'3a Staff Plan'!$CX$129:$CX$305,1)</f>
        <v>0</v>
      </c>
      <c r="CH85" s="1768">
        <f>SUMIFS('3a Staff Plan'!$AR$129:$AR$305,'3a Staff Plan'!$DY$129:$DY$305,$IA85,'3a Staff Plan'!$AG$129:$AG$305,1,'3a Staff Plan'!$CV$129:$CV$305,1)</f>
        <v>0</v>
      </c>
      <c r="CI85" s="201"/>
      <c r="CJ85" s="201">
        <f>SUMIFS('3a Staff Plan'!$BX$129:$BX$305,'3a Staff Plan'!$DY$129:$DY$305,$IA85,'3a Staff Plan'!$DF$129:$DF$305,1,'3a Staff Plan'!$AG$129:$AG$305,1)</f>
        <v>0</v>
      </c>
      <c r="CK85" s="201">
        <f>SUMIFS('3a Staff Plan'!$BY$129:$BY$305,'3a Staff Plan'!$DY$129:$DY$305,$IA85,'3a Staff Plan'!$DF$129:$DF$305,1,'3a Staff Plan'!$AG$129:$AG$305,1)</f>
        <v>0</v>
      </c>
      <c r="CL85" s="201">
        <f>SUMIFS('3a Staff Plan'!$BZ$129:$BZ$305,'3a Staff Plan'!$DY$129:$DY$305,$IA85,'3a Staff Plan'!$DF$129:$DF$305,1,'3a Staff Plan'!$AG$129:$AG$305,1)</f>
        <v>0</v>
      </c>
      <c r="CM85" s="201">
        <f>SUMIFS('3a Staff Plan'!$CA$129:$CA$305,'3a Staff Plan'!$DY$129:$DY$305,$IA85,'3a Staff Plan'!$DF$129:$DF$305,1,'3a Staff Plan'!$AG$129:$AG$305,1)</f>
        <v>0</v>
      </c>
      <c r="CN85" s="201">
        <f>SUMIFS('3a Staff Plan'!$CB$129:$CB$305,'3a Staff Plan'!$DY$129:$DY$305,$IA85,'3a Staff Plan'!$DF$129:$DF$305,1,'3a Staff Plan'!$AG$129:$AG$305,1)</f>
        <v>0</v>
      </c>
      <c r="CO85" s="201">
        <f>SUMIFS('3a Staff Plan'!$CC$129:$CC$305,'3a Staff Plan'!$DY$129:$DY$305,$IA85,'3a Staff Plan'!$DF$129:$DF$305,1,'3a Staff Plan'!$AG$129:$AG$305,1)</f>
        <v>0</v>
      </c>
      <c r="CP85" s="201">
        <f>SUMIFS('3a Staff Plan'!$CD$129:$CD$305,'3a Staff Plan'!$DY$129:$DY$305,$IA85,'3a Staff Plan'!$DF$129:$DF$305,1,'3a Staff Plan'!$AG$129:$AG$305,1)</f>
        <v>0</v>
      </c>
      <c r="CQ85" s="201">
        <f>SUMIFS('3a Staff Plan'!$CE$129:$CE$305,'3a Staff Plan'!$DY$129:$DY$305,$IA85,'3a Staff Plan'!$DF$129:$DF$305,1,'3a Staff Plan'!$AG$129:$AG$305,1)</f>
        <v>0</v>
      </c>
      <c r="CR85" s="201">
        <f>SUMIFS('3a Staff Plan'!$CF$129:$CF$305,'3a Staff Plan'!$DY$129:$DY$305,$IA85,'3a Staff Plan'!$DF$129:$DF$305,1,'3a Staff Plan'!$AG$129:$AG$305,1)</f>
        <v>0</v>
      </c>
      <c r="CS85" s="201">
        <f>SUMIFS('3a Staff Plan'!$CG$129:$CG$305,'3a Staff Plan'!$DY$129:$DY$305,$IA85,'3a Staff Plan'!$DF$129:$DF$305,1,'3a Staff Plan'!$AG$129:$AG$305,1)</f>
        <v>0</v>
      </c>
      <c r="CT85" s="201"/>
      <c r="CU85" s="1818">
        <f t="shared" ref="CU85:CW87" si="259">(BQ85*$V$51)+(CF85*$AL$51)</f>
        <v>0</v>
      </c>
      <c r="CV85" s="1768"/>
      <c r="CW85" s="1768">
        <f t="shared" si="259"/>
        <v>0</v>
      </c>
      <c r="CX85" s="201"/>
      <c r="CY85" s="201">
        <f t="shared" ref="CY85:DH87" si="260">(BU85*$V$51)+(CJ85*$AL$51)</f>
        <v>0</v>
      </c>
      <c r="CZ85" s="201">
        <f t="shared" si="260"/>
        <v>0</v>
      </c>
      <c r="DA85" s="201">
        <f t="shared" si="260"/>
        <v>0</v>
      </c>
      <c r="DB85" s="201">
        <f t="shared" si="260"/>
        <v>0</v>
      </c>
      <c r="DC85" s="201">
        <f t="shared" si="260"/>
        <v>0</v>
      </c>
      <c r="DD85" s="201">
        <f t="shared" si="260"/>
        <v>0</v>
      </c>
      <c r="DE85" s="201">
        <f t="shared" si="260"/>
        <v>0</v>
      </c>
      <c r="DF85" s="201">
        <f t="shared" si="260"/>
        <v>0</v>
      </c>
      <c r="DG85" s="201">
        <f t="shared" si="260"/>
        <v>0</v>
      </c>
      <c r="DH85" s="201">
        <f t="shared" si="260"/>
        <v>0</v>
      </c>
      <c r="DI85" s="201"/>
      <c r="DJ85" s="201"/>
      <c r="DK85" s="201"/>
      <c r="DL85" s="201"/>
      <c r="DM85" s="372">
        <f t="shared" ca="1" si="37"/>
        <v>0</v>
      </c>
      <c r="DN85" s="1185">
        <f t="shared" si="38"/>
        <v>0</v>
      </c>
      <c r="DO85" s="1185">
        <f t="shared" si="39"/>
        <v>0</v>
      </c>
      <c r="DP85" s="201"/>
      <c r="DQ85" s="372">
        <f t="shared" ca="1" si="40"/>
        <v>0</v>
      </c>
      <c r="DR85" s="1185">
        <f t="shared" si="41"/>
        <v>0</v>
      </c>
      <c r="DS85" s="1185">
        <f t="shared" si="42"/>
        <v>0</v>
      </c>
      <c r="DT85" s="201"/>
      <c r="DU85" s="372">
        <f t="shared" ref="DU85:DW87" ca="1" si="261">(DM85*$V$51)+(DQ85*$AL$51)</f>
        <v>0</v>
      </c>
      <c r="DV85" s="372">
        <f t="shared" si="261"/>
        <v>0</v>
      </c>
      <c r="DW85" s="372">
        <f t="shared" si="261"/>
        <v>0</v>
      </c>
      <c r="DX85" s="201"/>
      <c r="DY85" s="372">
        <f t="shared" si="44"/>
        <v>0</v>
      </c>
      <c r="DZ85" s="372">
        <f t="shared" ca="1" si="45"/>
        <v>0</v>
      </c>
      <c r="EA85" s="201"/>
      <c r="EB85" s="2776">
        <f>IF(EO85=$EO$53,1,IFERROR(INDEX('Currency Data'!$L$8:$L$41,MATCH(EO85,'Currency Data'!$H$8:$H$41,0)),1))</f>
        <v>1</v>
      </c>
      <c r="EC85" s="2776">
        <f t="shared" si="147"/>
        <v>1</v>
      </c>
      <c r="ED85" s="428">
        <f>IF(GQ85=1,'1 Setup'!$T$68,IF(ISBLANK(IJ85),II85/EC85*IF(GL85=1,$ED$53,1),IJ85/EC85)*IF($EW85=7,JW85,1))</f>
        <v>0</v>
      </c>
      <c r="EE85" s="428">
        <f t="shared" si="46"/>
        <v>0</v>
      </c>
      <c r="EF85" s="428"/>
      <c r="EG85" s="1965" t="str">
        <f t="shared" si="148"/>
        <v>031500 - Highways UK</v>
      </c>
      <c r="EH85" s="201">
        <f t="shared" si="149"/>
        <v>1</v>
      </c>
      <c r="EI85" s="445" t="str">
        <f>IF(EH85=1,$EI$53,IF(GQ85=1,$GQ$55,IFERROR(IF($EG85=$EG$53,$EI$53,INDEX('PU List'!$G$6:$G$413,MATCH($EG85,'PU List'!$D$6:$D$413,0))),$EI$53)))</f>
        <v>GB - BIAF</v>
      </c>
      <c r="EJ85" s="2773" t="str">
        <f t="shared" si="150"/>
        <v>GB - BIAF</v>
      </c>
      <c r="EK85" s="1768"/>
      <c r="EL85" s="3283">
        <f>IF(OR(EW85&gt;7,$EL$53=0),0,IF(EJ85=$EI$53,$EL$53,IFERROR(INDEX('Fringe Data'!$U$8:$U$129,MATCH($EJ85,'Fringe Data'!$F$8:$F$129,0)),0)))</f>
        <v>1.73</v>
      </c>
      <c r="EM85" s="372">
        <f t="shared" si="47"/>
        <v>0</v>
      </c>
      <c r="EN85" s="201" t="str">
        <f>IFERROR(INDEX('Fringe Data'!$G$8:$G$64,MATCH($EJ85,'Fringe Data'!$F$8:$F$64,0)),$EO$53)</f>
        <v>GBP</v>
      </c>
      <c r="EO85" s="201" t="str">
        <f t="shared" si="151"/>
        <v>GBP</v>
      </c>
      <c r="EP85" s="201">
        <f>IF(EI85=$EI$53,$EP$49,IF(GP85=1,0,IFERROR(INDEX('Fringe Data'!$K$8:$K$64,MATCH($EI85,'Fringe Data'!$F$8:$F$64,0)),0)))</f>
        <v>0.52</v>
      </c>
      <c r="EQ85" s="201">
        <f>IF(EI85=$EI$53,$EQ$49,IF(GP85=1,0,IFERROR(INDEX('Fringe Data'!$L$8:$L$64,MATCH($EI85,'Fringe Data'!$F$8:$F$64,0)),0)))</f>
        <v>1.8499999999999999E-2</v>
      </c>
      <c r="ER85" s="201">
        <f>IF(EI85=$EI$53,$ER$49,IF(GP85=1,0,IFERROR(INDEX('Fringe Data'!$M$8:$M$64,MATCH($EI85,'Fringe Data'!$F$8:$F$64,0)),0)))</f>
        <v>0.43430000000000002</v>
      </c>
      <c r="ES85" s="201">
        <f>IF(EI85=$EI$53,$ES$49,IF(GP85=1,0,IFERROR(INDEX('Fringe Data'!$N$8:$N$64,MATCH($EI85,'Fringe Data'!$F$8:$F$64,0)),0)))</f>
        <v>0.1565</v>
      </c>
      <c r="ET85" s="201">
        <f>IF(EI85=$EI$53,$ET$49,IF(GP85=1,0,IFERROR(INDEX('Fringe Data'!$O$8:$O$64,MATCH($EI85,'Fringe Data'!$F$8:$F$64,0)),0)))</f>
        <v>0.33450000000000002</v>
      </c>
      <c r="EU85" s="263">
        <f>IF(EI85=$EI$53,$EU$49,IF(GP85=1,0,IFERROR(INDEX('Fringe Data'!$P$8:$P$64,MATCH($EI85,'Fringe Data'!$F$8:$F$64,0)),0)))</f>
        <v>0.1565</v>
      </c>
      <c r="EV85" s="201"/>
      <c r="EW85" s="1530">
        <f t="shared" si="48"/>
        <v>1</v>
      </c>
      <c r="EX85" s="1534">
        <f t="shared" si="152"/>
        <v>0.52</v>
      </c>
      <c r="EY85" s="321">
        <f t="shared" si="153"/>
        <v>0</v>
      </c>
      <c r="EZ85" s="201">
        <f t="shared" si="154"/>
        <v>0</v>
      </c>
      <c r="FA85" s="372">
        <f t="shared" si="49"/>
        <v>0</v>
      </c>
      <c r="FB85" s="372">
        <f t="shared" si="50"/>
        <v>0</v>
      </c>
      <c r="FC85" s="201">
        <f t="shared" ca="1" si="155"/>
        <v>0</v>
      </c>
      <c r="FD85" s="423">
        <f t="shared" si="51"/>
        <v>0</v>
      </c>
      <c r="FE85" s="423">
        <f t="shared" si="52"/>
        <v>0</v>
      </c>
      <c r="FF85" s="201">
        <f t="shared" si="156"/>
        <v>0</v>
      </c>
      <c r="FG85" s="425">
        <f>IF(OR($FJ$52=3,$FJ$52=4,$FJ$52=5),'1 Setup'!$W$96,0)</f>
        <v>0</v>
      </c>
      <c r="FH85" s="428">
        <f>IF($FJ$52=5,'1 Setup'!$W$98,IF($FJ$52=6,'1 Setup'!$S$86,0))</f>
        <v>0</v>
      </c>
      <c r="FI85" s="321">
        <f t="shared" ca="1" si="53"/>
        <v>0</v>
      </c>
      <c r="FJ85" s="263">
        <f t="shared" ca="1" si="157"/>
        <v>0</v>
      </c>
      <c r="FK85" s="372">
        <f t="shared" ca="1" si="54"/>
        <v>0</v>
      </c>
      <c r="FL85" s="372">
        <f t="shared" si="55"/>
        <v>0</v>
      </c>
      <c r="FM85" s="372">
        <f t="shared" si="56"/>
        <v>0</v>
      </c>
      <c r="FN85" s="2036">
        <f t="shared" ca="1" si="57"/>
        <v>0</v>
      </c>
      <c r="FO85" s="372">
        <f ca="1">$BA85*FN85</f>
        <v>0</v>
      </c>
      <c r="FP85" s="2723">
        <f t="shared" si="158"/>
        <v>0</v>
      </c>
      <c r="FQ85" s="372">
        <f t="shared" si="59"/>
        <v>0</v>
      </c>
      <c r="FR85" s="372">
        <f t="shared" si="159"/>
        <v>0</v>
      </c>
      <c r="FS85" s="1168"/>
      <c r="FT85" s="1168">
        <f t="shared" si="60"/>
        <v>0</v>
      </c>
      <c r="FU85" s="1168">
        <f t="shared" si="61"/>
        <v>0</v>
      </c>
      <c r="FV85" s="1168">
        <f t="shared" si="62"/>
        <v>0</v>
      </c>
      <c r="FW85" s="1168">
        <f t="shared" si="63"/>
        <v>0</v>
      </c>
      <c r="FX85" s="1168">
        <f t="shared" si="64"/>
        <v>0</v>
      </c>
      <c r="FY85" s="1168">
        <f t="shared" si="65"/>
        <v>0</v>
      </c>
      <c r="FZ85" s="1168">
        <f t="shared" si="66"/>
        <v>0</v>
      </c>
      <c r="GA85" s="1168">
        <f t="shared" si="67"/>
        <v>0</v>
      </c>
      <c r="GB85" s="1168">
        <f t="shared" si="68"/>
        <v>0</v>
      </c>
      <c r="GC85" s="1168">
        <f t="shared" si="69"/>
        <v>0</v>
      </c>
      <c r="GD85" s="1168"/>
      <c r="GE85" s="199"/>
      <c r="GF85" s="201">
        <f t="shared" si="70"/>
        <v>0</v>
      </c>
      <c r="GG85" s="201">
        <f t="shared" si="71"/>
        <v>0</v>
      </c>
      <c r="GH85" s="201">
        <f t="shared" si="72"/>
        <v>0</v>
      </c>
      <c r="GI85" s="201">
        <f t="shared" ca="1" si="160"/>
        <v>0</v>
      </c>
      <c r="GJ85" s="201">
        <f t="shared" si="73"/>
        <v>0</v>
      </c>
      <c r="GK85" s="201">
        <f t="shared" si="74"/>
        <v>0</v>
      </c>
      <c r="GL85" s="201">
        <f t="shared" si="75"/>
        <v>1</v>
      </c>
      <c r="GM85" s="201">
        <f t="shared" si="76"/>
        <v>1</v>
      </c>
      <c r="GN85" s="201"/>
      <c r="GO85" s="201"/>
      <c r="GP85" s="201">
        <f t="shared" si="77"/>
        <v>0</v>
      </c>
      <c r="GQ85" s="201">
        <f t="shared" si="78"/>
        <v>0</v>
      </c>
      <c r="GR85" s="201">
        <f t="shared" si="161"/>
        <v>0</v>
      </c>
      <c r="GS85" s="1768"/>
      <c r="GT85" s="201">
        <f t="shared" si="79"/>
        <v>1</v>
      </c>
      <c r="GU85" s="201">
        <f t="shared" si="193"/>
        <v>22</v>
      </c>
      <c r="GV85" s="201">
        <f t="shared" si="80"/>
        <v>0</v>
      </c>
      <c r="GW85" s="201">
        <f t="shared" si="81"/>
        <v>3</v>
      </c>
      <c r="GX85" s="201">
        <f t="shared" si="162"/>
        <v>0</v>
      </c>
      <c r="GY85" s="1998"/>
      <c r="GZ85" s="253"/>
      <c r="HA85" s="195">
        <f t="shared" si="163"/>
        <v>0</v>
      </c>
      <c r="HB85" s="3558">
        <f t="shared" si="82"/>
        <v>0</v>
      </c>
      <c r="HC85" s="3590"/>
      <c r="HD85" s="257" t="str">
        <f t="shared" si="83"/>
        <v/>
      </c>
      <c r="HE85" s="825">
        <f t="shared" si="84"/>
        <v>0</v>
      </c>
      <c r="HF85" s="506" t="s">
        <v>5</v>
      </c>
      <c r="HG85" s="508">
        <f t="shared" ca="1" si="85"/>
        <v>0</v>
      </c>
      <c r="HH85" s="3585">
        <f t="shared" si="86"/>
        <v>0</v>
      </c>
      <c r="HI85" s="3586"/>
      <c r="HJ85" s="504">
        <f ca="1">HG85-HH85</f>
        <v>0</v>
      </c>
      <c r="HK85" s="456">
        <f ca="1">IF(HG85&lt;0.1,0,IFERROR(HJ85/HG85,0))</f>
        <v>0</v>
      </c>
      <c r="HL85" s="3591">
        <f ca="1">IFERROR(HJ85/HE85,0)</f>
        <v>0</v>
      </c>
      <c r="HM85" s="3592"/>
      <c r="HN85" s="240"/>
      <c r="HO85" s="1998"/>
      <c r="HP85" s="1991"/>
      <c r="HQ85" s="2770" t="str">
        <f t="shared" si="90"/>
        <v>GB - BIAF</v>
      </c>
      <c r="HR85" s="2770" t="str">
        <f t="shared" si="91"/>
        <v>GBP</v>
      </c>
      <c r="HS85" s="2771">
        <f t="shared" si="92"/>
        <v>1</v>
      </c>
      <c r="HT85" s="3623"/>
      <c r="HU85" s="2771">
        <f t="shared" si="93"/>
        <v>1.73</v>
      </c>
      <c r="HW85" s="1218"/>
      <c r="HX85" s="520"/>
      <c r="HY85" s="2523"/>
      <c r="HZ85" s="194"/>
      <c r="IA85" s="1013"/>
      <c r="IB85" s="193"/>
      <c r="IC85" s="3276">
        <v>22</v>
      </c>
      <c r="ID85" s="986"/>
      <c r="IE85" s="938">
        <f t="shared" si="164"/>
        <v>0</v>
      </c>
      <c r="IF85" s="938">
        <f t="shared" si="165"/>
        <v>0</v>
      </c>
      <c r="IG85" s="432"/>
      <c r="II85" s="405"/>
      <c r="IJ85" s="239"/>
      <c r="IK85" s="2774" t="str">
        <f t="shared" si="166"/>
        <v>GBP</v>
      </c>
      <c r="IL85" s="2148"/>
      <c r="IM85" s="1936">
        <f t="shared" si="94"/>
        <v>0</v>
      </c>
      <c r="IO85" s="1959" t="str">
        <f t="shared" si="95"/>
        <v/>
      </c>
      <c r="IP85" s="1958"/>
      <c r="IQ85" s="543">
        <f t="shared" si="96"/>
        <v>0.52</v>
      </c>
      <c r="IR85" s="1936">
        <f t="shared" si="97"/>
        <v>0</v>
      </c>
      <c r="IT85" s="1364"/>
      <c r="IU85" s="210"/>
      <c r="IV85" s="218"/>
      <c r="IW85" s="1938">
        <f ca="1">IF(NOT(ISBLANK(IU85)),IU85,IF('1 Setup'!$G$8&lt;7,JK85,FJ85))+KA85</f>
        <v>0</v>
      </c>
      <c r="IX85" s="409">
        <f t="shared" si="98"/>
        <v>0</v>
      </c>
      <c r="IY85" s="408">
        <f t="shared" si="99"/>
        <v>0</v>
      </c>
      <c r="IZ85" s="1983"/>
      <c r="JA85" s="1994"/>
      <c r="JB85" s="1991"/>
      <c r="JD85" s="2029">
        <f t="shared" si="167"/>
        <v>0</v>
      </c>
      <c r="JE85" s="479"/>
      <c r="JF85" s="2025">
        <f t="shared" si="100"/>
        <v>0</v>
      </c>
      <c r="JG85" s="429">
        <f t="shared" si="101"/>
        <v>0</v>
      </c>
      <c r="JH85" s="1667">
        <f t="shared" si="102"/>
        <v>0</v>
      </c>
      <c r="JJ85" s="1163">
        <f t="shared" ca="1" si="103"/>
        <v>0</v>
      </c>
      <c r="JK85" s="1163">
        <f t="shared" ca="1" si="104"/>
        <v>0</v>
      </c>
      <c r="JL85" s="1795"/>
      <c r="JN85" s="2505"/>
      <c r="JO85" s="1161"/>
      <c r="JP85" s="571">
        <f t="shared" ca="1" si="105"/>
        <v>0</v>
      </c>
      <c r="JQ85" s="2506"/>
      <c r="JR85" s="1953"/>
      <c r="JS85" s="2650"/>
      <c r="JT85" s="2507"/>
      <c r="JU85" s="1964">
        <f t="shared" si="106"/>
        <v>0.33450000000000002</v>
      </c>
      <c r="JV85" s="3199"/>
      <c r="JW85" s="2649">
        <f t="shared" si="107"/>
        <v>1.5</v>
      </c>
      <c r="JX85" s="1964">
        <f t="shared" si="168"/>
        <v>0.1565</v>
      </c>
      <c r="JY85" s="3199"/>
      <c r="JZ85" s="2649">
        <f t="shared" si="169"/>
        <v>0</v>
      </c>
      <c r="KA85" s="2649">
        <f t="shared" si="170"/>
        <v>0</v>
      </c>
      <c r="KB85" s="2649" t="s">
        <v>111</v>
      </c>
      <c r="KC85" s="1983"/>
      <c r="KD85" s="1974"/>
      <c r="KE85" s="1991"/>
      <c r="KF85" s="2029">
        <f t="shared" si="171"/>
        <v>0</v>
      </c>
      <c r="KG85" s="1991"/>
      <c r="KH85" s="2121">
        <f t="shared" si="108"/>
        <v>0</v>
      </c>
      <c r="KI85" s="2130">
        <f t="shared" si="109"/>
        <v>0</v>
      </c>
      <c r="KJ85" s="2130">
        <f t="shared" si="110"/>
        <v>0</v>
      </c>
      <c r="KK85" s="2130">
        <f t="shared" si="111"/>
        <v>0</v>
      </c>
      <c r="KL85" s="2131">
        <f t="shared" si="112"/>
        <v>0</v>
      </c>
      <c r="KM85" s="2132">
        <f t="shared" si="113"/>
        <v>0</v>
      </c>
      <c r="KN85" s="2132">
        <f t="shared" si="114"/>
        <v>0</v>
      </c>
      <c r="KO85" s="2132">
        <f t="shared" si="115"/>
        <v>0</v>
      </c>
      <c r="KP85" s="2132">
        <f t="shared" si="116"/>
        <v>0</v>
      </c>
      <c r="KQ85" s="2133">
        <f t="shared" si="117"/>
        <v>0</v>
      </c>
      <c r="KS85" s="2253">
        <f t="shared" si="118"/>
        <v>0</v>
      </c>
      <c r="KT85" s="2270">
        <f t="shared" ref="KT85:LB85" si="262">KS85*(1+(KT$60))</f>
        <v>0</v>
      </c>
      <c r="KU85" s="2271">
        <f t="shared" si="262"/>
        <v>0</v>
      </c>
      <c r="KV85" s="2271">
        <f t="shared" si="262"/>
        <v>0</v>
      </c>
      <c r="KW85" s="2272">
        <f t="shared" si="262"/>
        <v>0</v>
      </c>
      <c r="KX85" s="2271">
        <f t="shared" si="262"/>
        <v>0</v>
      </c>
      <c r="KY85" s="2271">
        <f t="shared" si="262"/>
        <v>0</v>
      </c>
      <c r="KZ85" s="2271">
        <f t="shared" si="262"/>
        <v>0</v>
      </c>
      <c r="LA85" s="2271">
        <f t="shared" si="262"/>
        <v>0</v>
      </c>
      <c r="LB85" s="2273">
        <f t="shared" si="262"/>
        <v>0</v>
      </c>
      <c r="LC85" s="272"/>
      <c r="LD85" s="2124">
        <f t="shared" si="120"/>
        <v>0</v>
      </c>
      <c r="LE85" s="2093">
        <f t="shared" si="121"/>
        <v>0</v>
      </c>
      <c r="LF85" s="2093">
        <f t="shared" si="122"/>
        <v>0</v>
      </c>
      <c r="LG85" s="2093">
        <f t="shared" si="123"/>
        <v>0</v>
      </c>
      <c r="LH85" s="2094">
        <f t="shared" si="124"/>
        <v>0</v>
      </c>
      <c r="LI85" s="2095">
        <f t="shared" si="125"/>
        <v>0</v>
      </c>
      <c r="LJ85" s="2095">
        <f t="shared" si="126"/>
        <v>0</v>
      </c>
      <c r="LK85" s="2095">
        <f t="shared" si="127"/>
        <v>0</v>
      </c>
      <c r="LL85" s="2095">
        <f t="shared" si="128"/>
        <v>0</v>
      </c>
      <c r="LM85" s="2096">
        <f t="shared" si="129"/>
        <v>0</v>
      </c>
      <c r="LN85" s="749"/>
      <c r="LO85" s="2256">
        <f t="shared" ca="1" si="130"/>
        <v>0</v>
      </c>
      <c r="LP85" s="2270">
        <f t="shared" ca="1" si="131"/>
        <v>0</v>
      </c>
      <c r="LQ85" s="2271">
        <f t="shared" ca="1" si="132"/>
        <v>0</v>
      </c>
      <c r="LR85" s="2271">
        <f t="shared" ca="1" si="133"/>
        <v>0</v>
      </c>
      <c r="LS85" s="2272">
        <f t="shared" ca="1" si="134"/>
        <v>0</v>
      </c>
      <c r="LT85" s="2271">
        <f t="shared" ca="1" si="135"/>
        <v>0</v>
      </c>
      <c r="LU85" s="2271">
        <f t="shared" ca="1" si="136"/>
        <v>0</v>
      </c>
      <c r="LV85" s="2271">
        <f t="shared" ca="1" si="137"/>
        <v>0</v>
      </c>
      <c r="LW85" s="2271">
        <f t="shared" ca="1" si="138"/>
        <v>0</v>
      </c>
      <c r="LX85" s="2273">
        <f t="shared" ca="1" si="139"/>
        <v>0</v>
      </c>
      <c r="LY85" s="479"/>
      <c r="LZ85" s="3128">
        <f t="shared" ca="1" si="173"/>
        <v>-1.73</v>
      </c>
      <c r="MA85" s="3129">
        <f t="shared" ca="1" si="174"/>
        <v>-1.73</v>
      </c>
      <c r="MB85" s="3129">
        <f t="shared" ca="1" si="175"/>
        <v>-1.73</v>
      </c>
      <c r="MC85" s="3129">
        <f t="shared" ca="1" si="176"/>
        <v>-1.73</v>
      </c>
      <c r="MD85" s="3130">
        <f t="shared" ca="1" si="177"/>
        <v>-1.73</v>
      </c>
      <c r="ME85" s="3129">
        <f t="shared" ca="1" si="178"/>
        <v>-1.73</v>
      </c>
      <c r="MF85" s="3129">
        <f t="shared" ca="1" si="179"/>
        <v>-1.73</v>
      </c>
      <c r="MG85" s="3129">
        <f t="shared" ca="1" si="180"/>
        <v>-1.73</v>
      </c>
      <c r="MH85" s="3129">
        <f t="shared" ca="1" si="181"/>
        <v>-1.73</v>
      </c>
      <c r="MI85" s="3131">
        <f t="shared" ca="1" si="182"/>
        <v>-1.73</v>
      </c>
      <c r="MJ85" s="3201"/>
      <c r="MK85" s="3206">
        <f t="shared" ca="1" si="183"/>
        <v>0</v>
      </c>
      <c r="ML85" s="3207">
        <f t="shared" ca="1" si="184"/>
        <v>0</v>
      </c>
      <c r="MM85" s="3207">
        <f t="shared" ca="1" si="185"/>
        <v>0</v>
      </c>
      <c r="MN85" s="3207">
        <f t="shared" ca="1" si="186"/>
        <v>0</v>
      </c>
      <c r="MO85" s="3208">
        <f t="shared" ca="1" si="187"/>
        <v>0</v>
      </c>
      <c r="MP85" s="3207">
        <f t="shared" ca="1" si="188"/>
        <v>0</v>
      </c>
      <c r="MQ85" s="3207">
        <f t="shared" ca="1" si="189"/>
        <v>0</v>
      </c>
      <c r="MR85" s="3207">
        <f t="shared" ca="1" si="190"/>
        <v>0</v>
      </c>
      <c r="MS85" s="3207">
        <f t="shared" ca="1" si="191"/>
        <v>0</v>
      </c>
      <c r="MT85" s="3209">
        <f t="shared" ca="1" si="192"/>
        <v>0</v>
      </c>
      <c r="MU85" s="1983"/>
      <c r="MV85" s="1975"/>
      <c r="MW85" s="1991"/>
      <c r="MX85" s="1931">
        <f t="shared" si="142"/>
        <v>0</v>
      </c>
      <c r="MY85" s="749"/>
      <c r="MZ85" s="1934">
        <f t="shared" si="143"/>
        <v>0</v>
      </c>
      <c r="NA85" s="1935"/>
      <c r="NB85" s="2652">
        <f t="shared" si="144"/>
        <v>0</v>
      </c>
      <c r="NC85" s="479"/>
      <c r="ND85" s="2749" t="str">
        <f t="shared" si="145"/>
        <v/>
      </c>
      <c r="NE85" s="2717"/>
      <c r="NF85" s="1975"/>
      <c r="NG85" s="1975"/>
      <c r="NH85" s="1975"/>
      <c r="NI85" s="1975"/>
    </row>
    <row r="86" spans="1:373" s="192" customFormat="1" ht="15.9" customHeight="1" x14ac:dyDescent="0.3">
      <c r="A86" s="200"/>
      <c r="B86" s="200"/>
      <c r="C86" s="200"/>
      <c r="D86" s="200"/>
      <c r="E86" s="200"/>
      <c r="F86" s="200"/>
      <c r="G86" s="200"/>
      <c r="H86" s="200"/>
      <c r="I86" s="200"/>
      <c r="J86" s="200"/>
      <c r="K86" s="200"/>
      <c r="L86" s="200"/>
      <c r="M86" s="200"/>
      <c r="N86" s="200"/>
      <c r="O86" s="200"/>
      <c r="P86" s="1539"/>
      <c r="Q86" s="1539"/>
      <c r="R86" s="198"/>
      <c r="S86" s="1539"/>
      <c r="T86" s="201"/>
      <c r="U86" s="200"/>
      <c r="V86" s="201">
        <f>MATCH($IC86,'3b Activity Plan'!$DJ$171:$FH$171,0)</f>
        <v>23</v>
      </c>
      <c r="W86" s="201">
        <f>IFERROR(INDEX('3b Activity Plan'!$DJ$6:$FH$6,V86),0)</f>
        <v>0</v>
      </c>
      <c r="X86" s="1768"/>
      <c r="Y86" s="1768">
        <f>IFERROR(INDEX('3b Activity Plan'!$DJ$7:$FH$7,V86),0)</f>
        <v>0</v>
      </c>
      <c r="Z86" s="201"/>
      <c r="AA86" s="201">
        <f>IFERROR(INDEX('3b Activity Plan'!$DJ$34:$FH$34,$V86),0)</f>
        <v>0</v>
      </c>
      <c r="AB86" s="201">
        <f>IFERROR(INDEX('3b Activity Plan'!$DJ$35:$FH$35,$V86),0)</f>
        <v>0</v>
      </c>
      <c r="AC86" s="201">
        <f>IFERROR(INDEX('3b Activity Plan'!$DJ$36:$FH$36,$V86),0)</f>
        <v>0</v>
      </c>
      <c r="AD86" s="201">
        <f>IFERROR(INDEX('3b Activity Plan'!$DJ$37:$FH$37,$V86),0)</f>
        <v>0</v>
      </c>
      <c r="AE86" s="201">
        <f>IFERROR(INDEX('3b Activity Plan'!$DJ$38:$FH$38,$V86),0)</f>
        <v>0</v>
      </c>
      <c r="AF86" s="201">
        <f>IFERROR(INDEX('3b Activity Plan'!$DJ$39:$FH$39,$V86),0)</f>
        <v>0</v>
      </c>
      <c r="AG86" s="201">
        <f>IFERROR(INDEX('3b Activity Plan'!$DJ$40:$FH$40,$V86),0)</f>
        <v>0</v>
      </c>
      <c r="AH86" s="201">
        <f>IFERROR(INDEX('3b Activity Plan'!$DJ$41:$FH$41,$V86),0)</f>
        <v>0</v>
      </c>
      <c r="AI86" s="201">
        <f>IFERROR(INDEX('3b Activity Plan'!$DJ$42:$FH$42,$V86),0)</f>
        <v>0</v>
      </c>
      <c r="AJ86" s="201">
        <f>IFERROR(INDEX('3b Activity Plan'!$DJ$43:$FH$43,$V86),0)</f>
        <v>0</v>
      </c>
      <c r="AK86" s="201"/>
      <c r="AL86" s="201">
        <f>SUMIFS('3a Staff Plan'!$AR$129:$AR$305,'3a Staff Plan'!$DY$129:$DY$305,$IA86,'3a Staff Plan'!$DF$129:$DF$305,1)</f>
        <v>0</v>
      </c>
      <c r="AM86" s="1768"/>
      <c r="AN86" s="1768">
        <f>SUMIFS('3a Staff Plan'!$AR$129:$AR$305,'3a Staff Plan'!$DY$129:$DY$305,$IA86,'3a Staff Plan'!$CV$129:$CV$305,1)</f>
        <v>0</v>
      </c>
      <c r="AO86" s="201"/>
      <c r="AP86" s="201">
        <f>SUMIFS('3a Staff Plan'!$AS$129:$AS$305,'3a Staff Plan'!$DY$129:$DY$305,$IA86,'3a Staff Plan'!$DF$129:$DF$305,1)</f>
        <v>0</v>
      </c>
      <c r="AQ86" s="201">
        <f>SUMIFS('3a Staff Plan'!$AT$129:$AT$305,'3a Staff Plan'!$DY$129:$DY$305,$IA86,'3a Staff Plan'!$DF$129:$DF$305,1)</f>
        <v>0</v>
      </c>
      <c r="AR86" s="201">
        <f>SUMIFS('3a Staff Plan'!$AU$129:$AU$305,'3a Staff Plan'!$DY$129:$DY$305,$IA86,'3a Staff Plan'!$DF$129:$DF$305,1)</f>
        <v>0</v>
      </c>
      <c r="AS86" s="201">
        <f>SUMIFS('3a Staff Plan'!$AV$129:$AV$305,'3a Staff Plan'!$DY$129:$DY$305,$IA86,'3a Staff Plan'!$DF$129:$DF$305,1)</f>
        <v>0</v>
      </c>
      <c r="AT86" s="201">
        <f>SUMIFS('3a Staff Plan'!$AW$129:$AW$305,'3a Staff Plan'!$DY$129:$DY$305,$IA86,'3a Staff Plan'!$DF$129:$DF$305,1)</f>
        <v>0</v>
      </c>
      <c r="AU86" s="201">
        <f>SUMIFS('3a Staff Plan'!$AX$129:$AX$305,'3a Staff Plan'!$DY$129:$DY$305,$IA86,'3a Staff Plan'!$DF$129:$DF$305,1)</f>
        <v>0</v>
      </c>
      <c r="AV86" s="201">
        <f>SUMIFS('3a Staff Plan'!$AY$129:$AY$305,'3a Staff Plan'!$DY$129:$DY$305,$IA86,'3a Staff Plan'!$DF$129:$DF$305,1)</f>
        <v>0</v>
      </c>
      <c r="AW86" s="201">
        <f>SUMIFS('3a Staff Plan'!$AZ$129:$AZ$305,'3a Staff Plan'!$DY$129:$DY$305,$IA86,'3a Staff Plan'!$DF$129:$DF$305,1)</f>
        <v>0</v>
      </c>
      <c r="AX86" s="201">
        <f>SUMIFS('3a Staff Plan'!$BA$129:$BA$305,'3a Staff Plan'!$DY$129:$DY$305,$IA86,'3a Staff Plan'!$DF$129:$DF$305,1)</f>
        <v>0</v>
      </c>
      <c r="AY86" s="201">
        <f>SUMIFS('3a Staff Plan'!$BB$129:$BB$305,'3a Staff Plan'!$DY$129:$DY$305,$IA86,'3a Staff Plan'!$DF$129:$DF$305,1)</f>
        <v>0</v>
      </c>
      <c r="AZ86" s="201"/>
      <c r="BA86" s="201">
        <f t="shared" si="257"/>
        <v>0</v>
      </c>
      <c r="BB86" s="1768"/>
      <c r="BC86" s="1768">
        <f t="shared" si="257"/>
        <v>0</v>
      </c>
      <c r="BD86" s="201"/>
      <c r="BE86" s="201">
        <f t="shared" si="258"/>
        <v>0</v>
      </c>
      <c r="BF86" s="201">
        <f t="shared" si="258"/>
        <v>0</v>
      </c>
      <c r="BG86" s="201">
        <f t="shared" si="258"/>
        <v>0</v>
      </c>
      <c r="BH86" s="201">
        <f t="shared" si="258"/>
        <v>0</v>
      </c>
      <c r="BI86" s="201">
        <f t="shared" si="258"/>
        <v>0</v>
      </c>
      <c r="BJ86" s="201">
        <f t="shared" si="258"/>
        <v>0</v>
      </c>
      <c r="BK86" s="201">
        <f t="shared" si="258"/>
        <v>0</v>
      </c>
      <c r="BL86" s="201">
        <f t="shared" si="258"/>
        <v>0</v>
      </c>
      <c r="BM86" s="201">
        <f t="shared" si="258"/>
        <v>0</v>
      </c>
      <c r="BN86" s="201">
        <f t="shared" si="258"/>
        <v>0</v>
      </c>
      <c r="BO86" s="201"/>
      <c r="BP86" s="1818">
        <f t="shared" si="146"/>
        <v>23</v>
      </c>
      <c r="BQ86" s="1818">
        <f>IFERROR(INDEX('3b Activity Plan'!$DJ$15:$FH$15,BP86),0)</f>
        <v>0</v>
      </c>
      <c r="BR86" s="1768"/>
      <c r="BS86" s="1768">
        <f>IFERROR(INDEX('3b Activity Plan'!$DJ$16:$FH$16,BP86),0)</f>
        <v>0</v>
      </c>
      <c r="BT86" s="201"/>
      <c r="BU86" s="201">
        <f>IFERROR(INDEX('3b Activity Plan'!$DJ$67:$FH$67,$V86),0)</f>
        <v>0</v>
      </c>
      <c r="BV86" s="201">
        <f>IFERROR(INDEX('3b Activity Plan'!$DJ$68:$FH$68,$V86),0)</f>
        <v>0</v>
      </c>
      <c r="BW86" s="201">
        <f>IFERROR(INDEX('3b Activity Plan'!$DJ$69:$FH$69,$V86),0)</f>
        <v>0</v>
      </c>
      <c r="BX86" s="201">
        <f>IFERROR(INDEX('3b Activity Plan'!$DJ$70:$FH$70,$V86),0)</f>
        <v>0</v>
      </c>
      <c r="BY86" s="201">
        <f>IFERROR(INDEX('3b Activity Plan'!$DJ$71:$FH$71,$V86),0)</f>
        <v>0</v>
      </c>
      <c r="BZ86" s="201">
        <f>IFERROR(INDEX('3b Activity Plan'!$DJ$72:$FH$72,$V86),0)</f>
        <v>0</v>
      </c>
      <c r="CA86" s="201">
        <f>IFERROR(INDEX('3b Activity Plan'!$DJ$73:$FH$73,$V86),0)</f>
        <v>0</v>
      </c>
      <c r="CB86" s="201">
        <f>IFERROR(INDEX('3b Activity Plan'!$DJ$74:$FH$74,$V86),0)</f>
        <v>0</v>
      </c>
      <c r="CC86" s="201">
        <f>IFERROR(INDEX('3b Activity Plan'!$DJ$75:$FH$75,$V86),0)</f>
        <v>0</v>
      </c>
      <c r="CD86" s="201">
        <f>IFERROR(INDEX('3b Activity Plan'!$DJ$76:$FH$76,$V86),0)</f>
        <v>0</v>
      </c>
      <c r="CE86" s="201"/>
      <c r="CF86" s="1818">
        <f>SUMIFS('3a Staff Plan'!$AR$129:$AR$305,'3a Staff Plan'!$DY$129:$DY$305,$IA86,'3a Staff Plan'!$AG$129:$AG$305,1,'3a Staff Plan'!$DF$129:$DF$305,1)</f>
        <v>0</v>
      </c>
      <c r="CG86" s="1768">
        <f>SUMIFS('3a Staff Plan'!$AR$129:$AR$305,'3a Staff Plan'!$DY$129:$DY$305,$IA86,'3a Staff Plan'!$AG$129:$AG$305,1,'3a Staff Plan'!$CX$129:$CX$305,1)</f>
        <v>0</v>
      </c>
      <c r="CH86" s="1768">
        <f>SUMIFS('3a Staff Plan'!$AR$129:$AR$305,'3a Staff Plan'!$DY$129:$DY$305,$IA86,'3a Staff Plan'!$AG$129:$AG$305,1,'3a Staff Plan'!$CV$129:$CV$305,1)</f>
        <v>0</v>
      </c>
      <c r="CI86" s="201"/>
      <c r="CJ86" s="201">
        <f>SUMIFS('3a Staff Plan'!$BX$129:$BX$305,'3a Staff Plan'!$DY$129:$DY$305,$IA86,'3a Staff Plan'!$DF$129:$DF$305,1,'3a Staff Plan'!$AG$129:$AG$305,1)</f>
        <v>0</v>
      </c>
      <c r="CK86" s="201">
        <f>SUMIFS('3a Staff Plan'!$BY$129:$BY$305,'3a Staff Plan'!$DY$129:$DY$305,$IA86,'3a Staff Plan'!$DF$129:$DF$305,1,'3a Staff Plan'!$AG$129:$AG$305,1)</f>
        <v>0</v>
      </c>
      <c r="CL86" s="201">
        <f>SUMIFS('3a Staff Plan'!$BZ$129:$BZ$305,'3a Staff Plan'!$DY$129:$DY$305,$IA86,'3a Staff Plan'!$DF$129:$DF$305,1,'3a Staff Plan'!$AG$129:$AG$305,1)</f>
        <v>0</v>
      </c>
      <c r="CM86" s="201">
        <f>SUMIFS('3a Staff Plan'!$CA$129:$CA$305,'3a Staff Plan'!$DY$129:$DY$305,$IA86,'3a Staff Plan'!$DF$129:$DF$305,1,'3a Staff Plan'!$AG$129:$AG$305,1)</f>
        <v>0</v>
      </c>
      <c r="CN86" s="201">
        <f>SUMIFS('3a Staff Plan'!$CB$129:$CB$305,'3a Staff Plan'!$DY$129:$DY$305,$IA86,'3a Staff Plan'!$DF$129:$DF$305,1,'3a Staff Plan'!$AG$129:$AG$305,1)</f>
        <v>0</v>
      </c>
      <c r="CO86" s="201">
        <f>SUMIFS('3a Staff Plan'!$CC$129:$CC$305,'3a Staff Plan'!$DY$129:$DY$305,$IA86,'3a Staff Plan'!$DF$129:$DF$305,1,'3a Staff Plan'!$AG$129:$AG$305,1)</f>
        <v>0</v>
      </c>
      <c r="CP86" s="201">
        <f>SUMIFS('3a Staff Plan'!$CD$129:$CD$305,'3a Staff Plan'!$DY$129:$DY$305,$IA86,'3a Staff Plan'!$DF$129:$DF$305,1,'3a Staff Plan'!$AG$129:$AG$305,1)</f>
        <v>0</v>
      </c>
      <c r="CQ86" s="201">
        <f>SUMIFS('3a Staff Plan'!$CE$129:$CE$305,'3a Staff Plan'!$DY$129:$DY$305,$IA86,'3a Staff Plan'!$DF$129:$DF$305,1,'3a Staff Plan'!$AG$129:$AG$305,1)</f>
        <v>0</v>
      </c>
      <c r="CR86" s="201">
        <f>SUMIFS('3a Staff Plan'!$CF$129:$CF$305,'3a Staff Plan'!$DY$129:$DY$305,$IA86,'3a Staff Plan'!$DF$129:$DF$305,1,'3a Staff Plan'!$AG$129:$AG$305,1)</f>
        <v>0</v>
      </c>
      <c r="CS86" s="201">
        <f>SUMIFS('3a Staff Plan'!$CG$129:$CG$305,'3a Staff Plan'!$DY$129:$DY$305,$IA86,'3a Staff Plan'!$DF$129:$DF$305,1,'3a Staff Plan'!$AG$129:$AG$305,1)</f>
        <v>0</v>
      </c>
      <c r="CT86" s="201"/>
      <c r="CU86" s="1818">
        <f t="shared" si="259"/>
        <v>0</v>
      </c>
      <c r="CV86" s="1768"/>
      <c r="CW86" s="1768">
        <f t="shared" si="259"/>
        <v>0</v>
      </c>
      <c r="CX86" s="201"/>
      <c r="CY86" s="201">
        <f t="shared" si="260"/>
        <v>0</v>
      </c>
      <c r="CZ86" s="201">
        <f t="shared" si="260"/>
        <v>0</v>
      </c>
      <c r="DA86" s="201">
        <f t="shared" si="260"/>
        <v>0</v>
      </c>
      <c r="DB86" s="201">
        <f t="shared" si="260"/>
        <v>0</v>
      </c>
      <c r="DC86" s="201">
        <f t="shared" si="260"/>
        <v>0</v>
      </c>
      <c r="DD86" s="201">
        <f t="shared" si="260"/>
        <v>0</v>
      </c>
      <c r="DE86" s="201">
        <f t="shared" si="260"/>
        <v>0</v>
      </c>
      <c r="DF86" s="201">
        <f t="shared" si="260"/>
        <v>0</v>
      </c>
      <c r="DG86" s="201">
        <f t="shared" si="260"/>
        <v>0</v>
      </c>
      <c r="DH86" s="201">
        <f t="shared" si="260"/>
        <v>0</v>
      </c>
      <c r="DI86" s="201"/>
      <c r="DJ86" s="201"/>
      <c r="DK86" s="201"/>
      <c r="DL86" s="201"/>
      <c r="DM86" s="372">
        <f t="shared" ca="1" si="37"/>
        <v>0</v>
      </c>
      <c r="DN86" s="1185">
        <f t="shared" si="38"/>
        <v>0</v>
      </c>
      <c r="DO86" s="1185">
        <f t="shared" si="39"/>
        <v>0</v>
      </c>
      <c r="DP86" s="201"/>
      <c r="DQ86" s="372">
        <f t="shared" ca="1" si="40"/>
        <v>0</v>
      </c>
      <c r="DR86" s="1185">
        <f t="shared" si="41"/>
        <v>0</v>
      </c>
      <c r="DS86" s="1185">
        <f t="shared" si="42"/>
        <v>0</v>
      </c>
      <c r="DT86" s="201"/>
      <c r="DU86" s="372">
        <f t="shared" ca="1" si="261"/>
        <v>0</v>
      </c>
      <c r="DV86" s="372">
        <f t="shared" si="261"/>
        <v>0</v>
      </c>
      <c r="DW86" s="372">
        <f t="shared" si="261"/>
        <v>0</v>
      </c>
      <c r="DX86" s="201"/>
      <c r="DY86" s="372">
        <f t="shared" si="44"/>
        <v>0</v>
      </c>
      <c r="DZ86" s="372">
        <f t="shared" ca="1" si="45"/>
        <v>0</v>
      </c>
      <c r="EA86" s="201"/>
      <c r="EB86" s="2776">
        <f>IF(EO86=$EO$53,1,IFERROR(INDEX('Currency Data'!$L$8:$L$41,MATCH(EO86,'Currency Data'!$H$8:$H$41,0)),1))</f>
        <v>1</v>
      </c>
      <c r="EC86" s="2776">
        <f t="shared" si="147"/>
        <v>1</v>
      </c>
      <c r="ED86" s="428">
        <f>IF(GQ86=1,'1 Setup'!$T$68,IF(ISBLANK(IJ86),II86/EC86*IF(GL86=1,$ED$53,1),IJ86/EC86)*IF($EW86=7,JW86,1))</f>
        <v>0</v>
      </c>
      <c r="EE86" s="428">
        <f t="shared" si="46"/>
        <v>0</v>
      </c>
      <c r="EF86" s="428"/>
      <c r="EG86" s="1965" t="str">
        <f t="shared" si="148"/>
        <v>031500 - Highways UK</v>
      </c>
      <c r="EH86" s="201">
        <f t="shared" si="149"/>
        <v>1</v>
      </c>
      <c r="EI86" s="445" t="str">
        <f>IF(EH86=1,$EI$53,IF(GQ86=1,$GQ$55,IFERROR(IF($EG86=$EG$53,$EI$53,INDEX('PU List'!$G$6:$G$413,MATCH($EG86,'PU List'!$D$6:$D$413,0))),$EI$53)))</f>
        <v>GB - BIAF</v>
      </c>
      <c r="EJ86" s="2773" t="str">
        <f t="shared" si="150"/>
        <v>GB - BIAF</v>
      </c>
      <c r="EK86" s="1768"/>
      <c r="EL86" s="3283">
        <f>IF(OR(EW86&gt;7,$EL$53=0),0,IF(EJ86=$EI$53,$EL$53,IFERROR(INDEX('Fringe Data'!$U$8:$U$129,MATCH($EJ86,'Fringe Data'!$F$8:$F$129,0)),0)))</f>
        <v>1.73</v>
      </c>
      <c r="EM86" s="372">
        <f t="shared" si="47"/>
        <v>0</v>
      </c>
      <c r="EN86" s="201" t="str">
        <f>IFERROR(INDEX('Fringe Data'!$G$8:$G$64,MATCH($EJ86,'Fringe Data'!$F$8:$F$64,0)),$EO$53)</f>
        <v>GBP</v>
      </c>
      <c r="EO86" s="201" t="str">
        <f t="shared" si="151"/>
        <v>GBP</v>
      </c>
      <c r="EP86" s="201">
        <f>IF(EI86=$EI$53,$EP$49,IF(GP86=1,0,IFERROR(INDEX('Fringe Data'!$K$8:$K$64,MATCH($EI86,'Fringe Data'!$F$8:$F$64,0)),0)))</f>
        <v>0.52</v>
      </c>
      <c r="EQ86" s="201">
        <f>IF(EI86=$EI$53,$EQ$49,IF(GP86=1,0,IFERROR(INDEX('Fringe Data'!$L$8:$L$64,MATCH($EI86,'Fringe Data'!$F$8:$F$64,0)),0)))</f>
        <v>1.8499999999999999E-2</v>
      </c>
      <c r="ER86" s="201">
        <f>IF(EI86=$EI$53,$ER$49,IF(GP86=1,0,IFERROR(INDEX('Fringe Data'!$M$8:$M$64,MATCH($EI86,'Fringe Data'!$F$8:$F$64,0)),0)))</f>
        <v>0.43430000000000002</v>
      </c>
      <c r="ES86" s="201">
        <f>IF(EI86=$EI$53,$ES$49,IF(GP86=1,0,IFERROR(INDEX('Fringe Data'!$N$8:$N$64,MATCH($EI86,'Fringe Data'!$F$8:$F$64,0)),0)))</f>
        <v>0.1565</v>
      </c>
      <c r="ET86" s="201">
        <f>IF(EI86=$EI$53,$ET$49,IF(GP86=1,0,IFERROR(INDEX('Fringe Data'!$O$8:$O$64,MATCH($EI86,'Fringe Data'!$F$8:$F$64,0)),0)))</f>
        <v>0.33450000000000002</v>
      </c>
      <c r="EU86" s="263">
        <f>IF(EI86=$EI$53,$EU$49,IF(GP86=1,0,IFERROR(INDEX('Fringe Data'!$P$8:$P$64,MATCH($EI86,'Fringe Data'!$F$8:$F$64,0)),0)))</f>
        <v>0.1565</v>
      </c>
      <c r="EV86" s="201"/>
      <c r="EW86" s="1530">
        <f t="shared" si="48"/>
        <v>1</v>
      </c>
      <c r="EX86" s="1534">
        <f t="shared" si="152"/>
        <v>0.52</v>
      </c>
      <c r="EY86" s="321">
        <f t="shared" si="153"/>
        <v>0</v>
      </c>
      <c r="EZ86" s="201">
        <f t="shared" si="154"/>
        <v>0</v>
      </c>
      <c r="FA86" s="372">
        <f t="shared" si="49"/>
        <v>0</v>
      </c>
      <c r="FB86" s="372">
        <f t="shared" si="50"/>
        <v>0</v>
      </c>
      <c r="FC86" s="201">
        <f t="shared" ca="1" si="155"/>
        <v>0</v>
      </c>
      <c r="FD86" s="423">
        <f t="shared" si="51"/>
        <v>0</v>
      </c>
      <c r="FE86" s="423">
        <f t="shared" si="52"/>
        <v>0</v>
      </c>
      <c r="FF86" s="201">
        <f t="shared" si="156"/>
        <v>0</v>
      </c>
      <c r="FG86" s="425">
        <f>IF(OR($FJ$52=3,$FJ$52=4,$FJ$52=5),'1 Setup'!$W$96,0)</f>
        <v>0</v>
      </c>
      <c r="FH86" s="428">
        <f>IF($FJ$52=5,'1 Setup'!$W$98,IF($FJ$52=6,'1 Setup'!$S$86,0))</f>
        <v>0</v>
      </c>
      <c r="FI86" s="321">
        <f t="shared" ca="1" si="53"/>
        <v>0</v>
      </c>
      <c r="FJ86" s="263">
        <f t="shared" ca="1" si="157"/>
        <v>0</v>
      </c>
      <c r="FK86" s="372">
        <f t="shared" ca="1" si="54"/>
        <v>0</v>
      </c>
      <c r="FL86" s="372">
        <f t="shared" si="55"/>
        <v>0</v>
      </c>
      <c r="FM86" s="372">
        <f t="shared" si="56"/>
        <v>0</v>
      </c>
      <c r="FN86" s="2036">
        <f t="shared" ca="1" si="57"/>
        <v>0</v>
      </c>
      <c r="FO86" s="372">
        <f ca="1">$BA86*FN86</f>
        <v>0</v>
      </c>
      <c r="FP86" s="2723">
        <f t="shared" si="158"/>
        <v>0</v>
      </c>
      <c r="FQ86" s="372">
        <f t="shared" si="59"/>
        <v>0</v>
      </c>
      <c r="FR86" s="372">
        <f t="shared" si="159"/>
        <v>0</v>
      </c>
      <c r="FS86" s="1168"/>
      <c r="FT86" s="1168">
        <f t="shared" si="60"/>
        <v>0</v>
      </c>
      <c r="FU86" s="1168">
        <f t="shared" si="61"/>
        <v>0</v>
      </c>
      <c r="FV86" s="1168">
        <f t="shared" si="62"/>
        <v>0</v>
      </c>
      <c r="FW86" s="1168">
        <f t="shared" si="63"/>
        <v>0</v>
      </c>
      <c r="FX86" s="1168">
        <f t="shared" si="64"/>
        <v>0</v>
      </c>
      <c r="FY86" s="1168">
        <f t="shared" si="65"/>
        <v>0</v>
      </c>
      <c r="FZ86" s="1168">
        <f t="shared" si="66"/>
        <v>0</v>
      </c>
      <c r="GA86" s="1168">
        <f t="shared" si="67"/>
        <v>0</v>
      </c>
      <c r="GB86" s="1168">
        <f t="shared" si="68"/>
        <v>0</v>
      </c>
      <c r="GC86" s="1168">
        <f t="shared" si="69"/>
        <v>0</v>
      </c>
      <c r="GD86" s="1168"/>
      <c r="GE86" s="199"/>
      <c r="GF86" s="201">
        <f t="shared" si="70"/>
        <v>0</v>
      </c>
      <c r="GG86" s="201">
        <f t="shared" si="71"/>
        <v>0</v>
      </c>
      <c r="GH86" s="201">
        <f t="shared" si="72"/>
        <v>0</v>
      </c>
      <c r="GI86" s="201">
        <f t="shared" ca="1" si="160"/>
        <v>0</v>
      </c>
      <c r="GJ86" s="201">
        <f t="shared" si="73"/>
        <v>0</v>
      </c>
      <c r="GK86" s="201">
        <f t="shared" si="74"/>
        <v>0</v>
      </c>
      <c r="GL86" s="201">
        <f t="shared" si="75"/>
        <v>1</v>
      </c>
      <c r="GM86" s="201">
        <f t="shared" si="76"/>
        <v>1</v>
      </c>
      <c r="GN86" s="201"/>
      <c r="GO86" s="201"/>
      <c r="GP86" s="201">
        <f t="shared" si="77"/>
        <v>0</v>
      </c>
      <c r="GQ86" s="201">
        <f t="shared" si="78"/>
        <v>0</v>
      </c>
      <c r="GR86" s="201">
        <f t="shared" si="161"/>
        <v>0</v>
      </c>
      <c r="GS86" s="1768"/>
      <c r="GT86" s="201">
        <f t="shared" si="79"/>
        <v>1</v>
      </c>
      <c r="GU86" s="201">
        <f t="shared" si="193"/>
        <v>23</v>
      </c>
      <c r="GV86" s="201">
        <f t="shared" si="80"/>
        <v>0</v>
      </c>
      <c r="GW86" s="201">
        <f t="shared" si="81"/>
        <v>3</v>
      </c>
      <c r="GX86" s="201">
        <f t="shared" si="162"/>
        <v>0</v>
      </c>
      <c r="GY86" s="1998"/>
      <c r="GZ86" s="253"/>
      <c r="HA86" s="195">
        <f t="shared" si="163"/>
        <v>0</v>
      </c>
      <c r="HB86" s="3558">
        <f t="shared" si="82"/>
        <v>0</v>
      </c>
      <c r="HC86" s="3590"/>
      <c r="HD86" s="257" t="str">
        <f t="shared" si="83"/>
        <v/>
      </c>
      <c r="HE86" s="825">
        <f t="shared" si="84"/>
        <v>0</v>
      </c>
      <c r="HF86" s="506" t="s">
        <v>5</v>
      </c>
      <c r="HG86" s="508">
        <f t="shared" ca="1" si="85"/>
        <v>0</v>
      </c>
      <c r="HH86" s="3585">
        <f t="shared" si="86"/>
        <v>0</v>
      </c>
      <c r="HI86" s="3586"/>
      <c r="HJ86" s="504">
        <f ca="1">HG86-HH86</f>
        <v>0</v>
      </c>
      <c r="HK86" s="456">
        <f ca="1">IF(HG86&lt;0.1,0,IFERROR(HJ86/HG86,0))</f>
        <v>0</v>
      </c>
      <c r="HL86" s="3591">
        <f ca="1">IFERROR(HJ86/HE86,0)</f>
        <v>0</v>
      </c>
      <c r="HM86" s="3592"/>
      <c r="HN86" s="240"/>
      <c r="HO86" s="1998"/>
      <c r="HP86" s="1991"/>
      <c r="HQ86" s="2770" t="str">
        <f t="shared" si="90"/>
        <v>GB - BIAF</v>
      </c>
      <c r="HR86" s="2770" t="str">
        <f t="shared" si="91"/>
        <v>GBP</v>
      </c>
      <c r="HS86" s="2771">
        <f t="shared" si="92"/>
        <v>1</v>
      </c>
      <c r="HT86" s="3488"/>
      <c r="HU86" s="2771">
        <f t="shared" si="93"/>
        <v>1.73</v>
      </c>
      <c r="HW86" s="1218"/>
      <c r="HX86" s="520"/>
      <c r="HY86" s="2523"/>
      <c r="HZ86" s="194"/>
      <c r="IA86" s="1013"/>
      <c r="IB86" s="193"/>
      <c r="IC86" s="3276">
        <v>23</v>
      </c>
      <c r="ID86" s="986"/>
      <c r="IE86" s="938">
        <f t="shared" si="164"/>
        <v>0</v>
      </c>
      <c r="IF86" s="938">
        <f t="shared" si="165"/>
        <v>0</v>
      </c>
      <c r="IG86" s="432"/>
      <c r="II86" s="405"/>
      <c r="IJ86" s="239"/>
      <c r="IK86" s="2774" t="str">
        <f t="shared" si="166"/>
        <v>GBP</v>
      </c>
      <c r="IL86" s="2148"/>
      <c r="IM86" s="1936">
        <f t="shared" si="94"/>
        <v>0</v>
      </c>
      <c r="IO86" s="1959" t="str">
        <f t="shared" si="95"/>
        <v/>
      </c>
      <c r="IP86" s="1958"/>
      <c r="IQ86" s="543">
        <f t="shared" si="96"/>
        <v>0.52</v>
      </c>
      <c r="IR86" s="1936">
        <f t="shared" si="97"/>
        <v>0</v>
      </c>
      <c r="IT86" s="1364"/>
      <c r="IU86" s="210"/>
      <c r="IV86" s="218"/>
      <c r="IW86" s="1938">
        <f ca="1">IF(NOT(ISBLANK(IU86)),IU86,IF('1 Setup'!$G$8&lt;7,JK86,FJ86))+KA86</f>
        <v>0</v>
      </c>
      <c r="IX86" s="409">
        <f t="shared" si="98"/>
        <v>0</v>
      </c>
      <c r="IY86" s="408">
        <f t="shared" si="99"/>
        <v>0</v>
      </c>
      <c r="IZ86" s="1983"/>
      <c r="JA86" s="1994"/>
      <c r="JB86" s="1991"/>
      <c r="JD86" s="2029">
        <f t="shared" si="167"/>
        <v>0</v>
      </c>
      <c r="JE86" s="479"/>
      <c r="JF86" s="2025">
        <f t="shared" si="100"/>
        <v>0</v>
      </c>
      <c r="JG86" s="429">
        <f t="shared" si="101"/>
        <v>0</v>
      </c>
      <c r="JH86" s="1667">
        <f t="shared" si="102"/>
        <v>0</v>
      </c>
      <c r="JJ86" s="1163">
        <f t="shared" ca="1" si="103"/>
        <v>0</v>
      </c>
      <c r="JK86" s="1163">
        <f t="shared" ca="1" si="104"/>
        <v>0</v>
      </c>
      <c r="JL86" s="1795"/>
      <c r="JN86" s="2505"/>
      <c r="JO86" s="1161"/>
      <c r="JP86" s="571">
        <f t="shared" ca="1" si="105"/>
        <v>0</v>
      </c>
      <c r="JQ86" s="2506"/>
      <c r="JR86" s="1953"/>
      <c r="JS86" s="2650"/>
      <c r="JT86" s="2507"/>
      <c r="JU86" s="1964">
        <f t="shared" si="106"/>
        <v>0.33450000000000002</v>
      </c>
      <c r="JV86" s="3199"/>
      <c r="JW86" s="2649">
        <f t="shared" si="107"/>
        <v>1.5</v>
      </c>
      <c r="JX86" s="1964">
        <f t="shared" si="168"/>
        <v>0.1565</v>
      </c>
      <c r="JY86" s="3199"/>
      <c r="JZ86" s="2649">
        <f t="shared" si="169"/>
        <v>0</v>
      </c>
      <c r="KA86" s="2649">
        <f t="shared" si="170"/>
        <v>0</v>
      </c>
      <c r="KB86" s="2649" t="s">
        <v>111</v>
      </c>
      <c r="KC86" s="1983"/>
      <c r="KD86" s="1974"/>
      <c r="KE86" s="1991"/>
      <c r="KF86" s="2029">
        <f t="shared" si="171"/>
        <v>0</v>
      </c>
      <c r="KG86" s="1991"/>
      <c r="KH86" s="2121">
        <f t="shared" si="108"/>
        <v>0</v>
      </c>
      <c r="KI86" s="2130">
        <f t="shared" si="109"/>
        <v>0</v>
      </c>
      <c r="KJ86" s="2130">
        <f t="shared" si="110"/>
        <v>0</v>
      </c>
      <c r="KK86" s="2130">
        <f t="shared" si="111"/>
        <v>0</v>
      </c>
      <c r="KL86" s="2131">
        <f t="shared" si="112"/>
        <v>0</v>
      </c>
      <c r="KM86" s="2132">
        <f t="shared" si="113"/>
        <v>0</v>
      </c>
      <c r="KN86" s="2132">
        <f t="shared" si="114"/>
        <v>0</v>
      </c>
      <c r="KO86" s="2132">
        <f t="shared" si="115"/>
        <v>0</v>
      </c>
      <c r="KP86" s="2132">
        <f t="shared" si="116"/>
        <v>0</v>
      </c>
      <c r="KQ86" s="2133">
        <f t="shared" si="117"/>
        <v>0</v>
      </c>
      <c r="KS86" s="2253">
        <f t="shared" si="118"/>
        <v>0</v>
      </c>
      <c r="KT86" s="2270">
        <f t="shared" ref="KT86:LB86" si="263">KS86*(1+(KT$60))</f>
        <v>0</v>
      </c>
      <c r="KU86" s="2271">
        <f t="shared" si="263"/>
        <v>0</v>
      </c>
      <c r="KV86" s="2271">
        <f t="shared" si="263"/>
        <v>0</v>
      </c>
      <c r="KW86" s="2272">
        <f t="shared" si="263"/>
        <v>0</v>
      </c>
      <c r="KX86" s="2271">
        <f t="shared" si="263"/>
        <v>0</v>
      </c>
      <c r="KY86" s="2271">
        <f t="shared" si="263"/>
        <v>0</v>
      </c>
      <c r="KZ86" s="2271">
        <f t="shared" si="263"/>
        <v>0</v>
      </c>
      <c r="LA86" s="2271">
        <f t="shared" si="263"/>
        <v>0</v>
      </c>
      <c r="LB86" s="2273">
        <f t="shared" si="263"/>
        <v>0</v>
      </c>
      <c r="LC86" s="272"/>
      <c r="LD86" s="2124">
        <f t="shared" si="120"/>
        <v>0</v>
      </c>
      <c r="LE86" s="2093">
        <f t="shared" si="121"/>
        <v>0</v>
      </c>
      <c r="LF86" s="2093">
        <f t="shared" si="122"/>
        <v>0</v>
      </c>
      <c r="LG86" s="2093">
        <f t="shared" si="123"/>
        <v>0</v>
      </c>
      <c r="LH86" s="2094">
        <f t="shared" si="124"/>
        <v>0</v>
      </c>
      <c r="LI86" s="2095">
        <f t="shared" si="125"/>
        <v>0</v>
      </c>
      <c r="LJ86" s="2095">
        <f t="shared" si="126"/>
        <v>0</v>
      </c>
      <c r="LK86" s="2095">
        <f t="shared" si="127"/>
        <v>0</v>
      </c>
      <c r="LL86" s="2095">
        <f t="shared" si="128"/>
        <v>0</v>
      </c>
      <c r="LM86" s="2096">
        <f t="shared" si="129"/>
        <v>0</v>
      </c>
      <c r="LN86" s="749"/>
      <c r="LO86" s="2256">
        <f t="shared" ca="1" si="130"/>
        <v>0</v>
      </c>
      <c r="LP86" s="2270">
        <f t="shared" ca="1" si="131"/>
        <v>0</v>
      </c>
      <c r="LQ86" s="2271">
        <f t="shared" ca="1" si="132"/>
        <v>0</v>
      </c>
      <c r="LR86" s="2271">
        <f t="shared" ca="1" si="133"/>
        <v>0</v>
      </c>
      <c r="LS86" s="2272">
        <f t="shared" ca="1" si="134"/>
        <v>0</v>
      </c>
      <c r="LT86" s="2271">
        <f t="shared" ca="1" si="135"/>
        <v>0</v>
      </c>
      <c r="LU86" s="2271">
        <f t="shared" ca="1" si="136"/>
        <v>0</v>
      </c>
      <c r="LV86" s="2271">
        <f t="shared" ca="1" si="137"/>
        <v>0</v>
      </c>
      <c r="LW86" s="2271">
        <f t="shared" ca="1" si="138"/>
        <v>0</v>
      </c>
      <c r="LX86" s="2273">
        <f t="shared" ca="1" si="139"/>
        <v>0</v>
      </c>
      <c r="LY86" s="479"/>
      <c r="LZ86" s="3128">
        <f t="shared" ca="1" si="173"/>
        <v>-1.73</v>
      </c>
      <c r="MA86" s="3129">
        <f t="shared" ca="1" si="174"/>
        <v>-1.73</v>
      </c>
      <c r="MB86" s="3129">
        <f t="shared" ca="1" si="175"/>
        <v>-1.73</v>
      </c>
      <c r="MC86" s="3129">
        <f t="shared" ca="1" si="176"/>
        <v>-1.73</v>
      </c>
      <c r="MD86" s="3130">
        <f t="shared" ca="1" si="177"/>
        <v>-1.73</v>
      </c>
      <c r="ME86" s="3129">
        <f t="shared" ca="1" si="178"/>
        <v>-1.73</v>
      </c>
      <c r="MF86" s="3129">
        <f t="shared" ca="1" si="179"/>
        <v>-1.73</v>
      </c>
      <c r="MG86" s="3129">
        <f t="shared" ca="1" si="180"/>
        <v>-1.73</v>
      </c>
      <c r="MH86" s="3129">
        <f t="shared" ca="1" si="181"/>
        <v>-1.73</v>
      </c>
      <c r="MI86" s="3131">
        <f t="shared" ca="1" si="182"/>
        <v>-1.73</v>
      </c>
      <c r="MJ86" s="3201"/>
      <c r="MK86" s="3206">
        <f t="shared" ca="1" si="183"/>
        <v>0</v>
      </c>
      <c r="ML86" s="3207">
        <f t="shared" ca="1" si="184"/>
        <v>0</v>
      </c>
      <c r="MM86" s="3207">
        <f t="shared" ca="1" si="185"/>
        <v>0</v>
      </c>
      <c r="MN86" s="3207">
        <f t="shared" ca="1" si="186"/>
        <v>0</v>
      </c>
      <c r="MO86" s="3208">
        <f t="shared" ca="1" si="187"/>
        <v>0</v>
      </c>
      <c r="MP86" s="3207">
        <f t="shared" ca="1" si="188"/>
        <v>0</v>
      </c>
      <c r="MQ86" s="3207">
        <f t="shared" ca="1" si="189"/>
        <v>0</v>
      </c>
      <c r="MR86" s="3207">
        <f t="shared" ca="1" si="190"/>
        <v>0</v>
      </c>
      <c r="MS86" s="3207">
        <f t="shared" ca="1" si="191"/>
        <v>0</v>
      </c>
      <c r="MT86" s="3209">
        <f t="shared" ca="1" si="192"/>
        <v>0</v>
      </c>
      <c r="MU86" s="1983"/>
      <c r="MV86" s="1975"/>
      <c r="MW86" s="1991"/>
      <c r="MX86" s="1931">
        <f t="shared" si="142"/>
        <v>0</v>
      </c>
      <c r="MY86" s="749"/>
      <c r="MZ86" s="1934">
        <f t="shared" si="143"/>
        <v>0</v>
      </c>
      <c r="NA86" s="1935"/>
      <c r="NB86" s="2652">
        <f t="shared" si="144"/>
        <v>0</v>
      </c>
      <c r="NC86" s="479"/>
      <c r="ND86" s="2749" t="str">
        <f t="shared" si="145"/>
        <v/>
      </c>
      <c r="NE86" s="2717"/>
      <c r="NF86" s="1975"/>
      <c r="NG86" s="1975"/>
      <c r="NH86" s="1975"/>
      <c r="NI86" s="1975"/>
    </row>
    <row r="87" spans="1:373" s="192" customFormat="1" ht="15.9" customHeight="1" x14ac:dyDescent="0.3">
      <c r="A87" s="200"/>
      <c r="B87" s="200"/>
      <c r="C87" s="200"/>
      <c r="D87" s="200"/>
      <c r="E87" s="200"/>
      <c r="F87" s="200"/>
      <c r="G87" s="200"/>
      <c r="H87" s="200"/>
      <c r="I87" s="200"/>
      <c r="J87" s="200"/>
      <c r="K87" s="200"/>
      <c r="L87" s="200"/>
      <c r="M87" s="200"/>
      <c r="N87" s="200"/>
      <c r="O87" s="200"/>
      <c r="P87" s="1539"/>
      <c r="Q87" s="1539"/>
      <c r="R87" s="198"/>
      <c r="S87" s="1539"/>
      <c r="T87" s="201"/>
      <c r="U87" s="200"/>
      <c r="V87" s="201">
        <f>MATCH($IC87,'3b Activity Plan'!$DJ$171:$FH$171,0)</f>
        <v>24</v>
      </c>
      <c r="W87" s="201">
        <f>IFERROR(INDEX('3b Activity Plan'!$DJ$6:$FH$6,V87),0)</f>
        <v>0</v>
      </c>
      <c r="X87" s="1768"/>
      <c r="Y87" s="1768">
        <f>IFERROR(INDEX('3b Activity Plan'!$DJ$7:$FH$7,V87),0)</f>
        <v>0</v>
      </c>
      <c r="Z87" s="201"/>
      <c r="AA87" s="201">
        <f>IFERROR(INDEX('3b Activity Plan'!$DJ$34:$FH$34,$V87),0)</f>
        <v>0</v>
      </c>
      <c r="AB87" s="201">
        <f>IFERROR(INDEX('3b Activity Plan'!$DJ$35:$FH$35,$V87),0)</f>
        <v>0</v>
      </c>
      <c r="AC87" s="201">
        <f>IFERROR(INDEX('3b Activity Plan'!$DJ$36:$FH$36,$V87),0)</f>
        <v>0</v>
      </c>
      <c r="AD87" s="201">
        <f>IFERROR(INDEX('3b Activity Plan'!$DJ$37:$FH$37,$V87),0)</f>
        <v>0</v>
      </c>
      <c r="AE87" s="201">
        <f>IFERROR(INDEX('3b Activity Plan'!$DJ$38:$FH$38,$V87),0)</f>
        <v>0</v>
      </c>
      <c r="AF87" s="201">
        <f>IFERROR(INDEX('3b Activity Plan'!$DJ$39:$FH$39,$V87),0)</f>
        <v>0</v>
      </c>
      <c r="AG87" s="201">
        <f>IFERROR(INDEX('3b Activity Plan'!$DJ$40:$FH$40,$V87),0)</f>
        <v>0</v>
      </c>
      <c r="AH87" s="201">
        <f>IFERROR(INDEX('3b Activity Plan'!$DJ$41:$FH$41,$V87),0)</f>
        <v>0</v>
      </c>
      <c r="AI87" s="201">
        <f>IFERROR(INDEX('3b Activity Plan'!$DJ$42:$FH$42,$V87),0)</f>
        <v>0</v>
      </c>
      <c r="AJ87" s="201">
        <f>IFERROR(INDEX('3b Activity Plan'!$DJ$43:$FH$43,$V87),0)</f>
        <v>0</v>
      </c>
      <c r="AK87" s="201"/>
      <c r="AL87" s="201">
        <f>SUMIFS('3a Staff Plan'!$AR$129:$AR$305,'3a Staff Plan'!$DY$129:$DY$305,$IA87,'3a Staff Plan'!$DF$129:$DF$305,1)</f>
        <v>0</v>
      </c>
      <c r="AM87" s="1768"/>
      <c r="AN87" s="1768">
        <f>SUMIFS('3a Staff Plan'!$AR$129:$AR$305,'3a Staff Plan'!$DY$129:$DY$305,$IA87,'3a Staff Plan'!$CV$129:$CV$305,1)</f>
        <v>0</v>
      </c>
      <c r="AO87" s="201"/>
      <c r="AP87" s="201">
        <f>SUMIFS('3a Staff Plan'!$AS$129:$AS$305,'3a Staff Plan'!$DY$129:$DY$305,$IA87,'3a Staff Plan'!$DF$129:$DF$305,1)</f>
        <v>0</v>
      </c>
      <c r="AQ87" s="201">
        <f>SUMIFS('3a Staff Plan'!$AT$129:$AT$305,'3a Staff Plan'!$DY$129:$DY$305,$IA87,'3a Staff Plan'!$DF$129:$DF$305,1)</f>
        <v>0</v>
      </c>
      <c r="AR87" s="201">
        <f>SUMIFS('3a Staff Plan'!$AU$129:$AU$305,'3a Staff Plan'!$DY$129:$DY$305,$IA87,'3a Staff Plan'!$DF$129:$DF$305,1)</f>
        <v>0</v>
      </c>
      <c r="AS87" s="201">
        <f>SUMIFS('3a Staff Plan'!$AV$129:$AV$305,'3a Staff Plan'!$DY$129:$DY$305,$IA87,'3a Staff Plan'!$DF$129:$DF$305,1)</f>
        <v>0</v>
      </c>
      <c r="AT87" s="201">
        <f>SUMIFS('3a Staff Plan'!$AW$129:$AW$305,'3a Staff Plan'!$DY$129:$DY$305,$IA87,'3a Staff Plan'!$DF$129:$DF$305,1)</f>
        <v>0</v>
      </c>
      <c r="AU87" s="201">
        <f>SUMIFS('3a Staff Plan'!$AX$129:$AX$305,'3a Staff Plan'!$DY$129:$DY$305,$IA87,'3a Staff Plan'!$DF$129:$DF$305,1)</f>
        <v>0</v>
      </c>
      <c r="AV87" s="201">
        <f>SUMIFS('3a Staff Plan'!$AY$129:$AY$305,'3a Staff Plan'!$DY$129:$DY$305,$IA87,'3a Staff Plan'!$DF$129:$DF$305,1)</f>
        <v>0</v>
      </c>
      <c r="AW87" s="201">
        <f>SUMIFS('3a Staff Plan'!$AZ$129:$AZ$305,'3a Staff Plan'!$DY$129:$DY$305,$IA87,'3a Staff Plan'!$DF$129:$DF$305,1)</f>
        <v>0</v>
      </c>
      <c r="AX87" s="201">
        <f>SUMIFS('3a Staff Plan'!$BA$129:$BA$305,'3a Staff Plan'!$DY$129:$DY$305,$IA87,'3a Staff Plan'!$DF$129:$DF$305,1)</f>
        <v>0</v>
      </c>
      <c r="AY87" s="201">
        <f>SUMIFS('3a Staff Plan'!$BB$129:$BB$305,'3a Staff Plan'!$DY$129:$DY$305,$IA87,'3a Staff Plan'!$DF$129:$DF$305,1)</f>
        <v>0</v>
      </c>
      <c r="AZ87" s="201"/>
      <c r="BA87" s="201">
        <f t="shared" si="257"/>
        <v>0</v>
      </c>
      <c r="BB87" s="1768"/>
      <c r="BC87" s="1768">
        <f t="shared" si="257"/>
        <v>0</v>
      </c>
      <c r="BD87" s="201"/>
      <c r="BE87" s="201">
        <f t="shared" si="258"/>
        <v>0</v>
      </c>
      <c r="BF87" s="201">
        <f t="shared" si="258"/>
        <v>0</v>
      </c>
      <c r="BG87" s="201">
        <f t="shared" si="258"/>
        <v>0</v>
      </c>
      <c r="BH87" s="201">
        <f t="shared" si="258"/>
        <v>0</v>
      </c>
      <c r="BI87" s="201">
        <f t="shared" si="258"/>
        <v>0</v>
      </c>
      <c r="BJ87" s="201">
        <f t="shared" si="258"/>
        <v>0</v>
      </c>
      <c r="BK87" s="201">
        <f t="shared" si="258"/>
        <v>0</v>
      </c>
      <c r="BL87" s="201">
        <f t="shared" si="258"/>
        <v>0</v>
      </c>
      <c r="BM87" s="201">
        <f t="shared" si="258"/>
        <v>0</v>
      </c>
      <c r="BN87" s="201">
        <f t="shared" si="258"/>
        <v>0</v>
      </c>
      <c r="BO87" s="201"/>
      <c r="BP87" s="1818">
        <f t="shared" si="146"/>
        <v>24</v>
      </c>
      <c r="BQ87" s="1818">
        <f>IFERROR(INDEX('3b Activity Plan'!$DJ$15:$FH$15,BP87),0)</f>
        <v>0</v>
      </c>
      <c r="BR87" s="1768"/>
      <c r="BS87" s="1768">
        <f>IFERROR(INDEX('3b Activity Plan'!$DJ$16:$FH$16,BP87),0)</f>
        <v>0</v>
      </c>
      <c r="BT87" s="201"/>
      <c r="BU87" s="201">
        <f>IFERROR(INDEX('3b Activity Plan'!$DJ$67:$FH$67,$V87),0)</f>
        <v>0</v>
      </c>
      <c r="BV87" s="201">
        <f>IFERROR(INDEX('3b Activity Plan'!$DJ$68:$FH$68,$V87),0)</f>
        <v>0</v>
      </c>
      <c r="BW87" s="201">
        <f>IFERROR(INDEX('3b Activity Plan'!$DJ$69:$FH$69,$V87),0)</f>
        <v>0</v>
      </c>
      <c r="BX87" s="201">
        <f>IFERROR(INDEX('3b Activity Plan'!$DJ$70:$FH$70,$V87),0)</f>
        <v>0</v>
      </c>
      <c r="BY87" s="201">
        <f>IFERROR(INDEX('3b Activity Plan'!$DJ$71:$FH$71,$V87),0)</f>
        <v>0</v>
      </c>
      <c r="BZ87" s="201">
        <f>IFERROR(INDEX('3b Activity Plan'!$DJ$72:$FH$72,$V87),0)</f>
        <v>0</v>
      </c>
      <c r="CA87" s="201">
        <f>IFERROR(INDEX('3b Activity Plan'!$DJ$73:$FH$73,$V87),0)</f>
        <v>0</v>
      </c>
      <c r="CB87" s="201">
        <f>IFERROR(INDEX('3b Activity Plan'!$DJ$74:$FH$74,$V87),0)</f>
        <v>0</v>
      </c>
      <c r="CC87" s="201">
        <f>IFERROR(INDEX('3b Activity Plan'!$DJ$75:$FH$75,$V87),0)</f>
        <v>0</v>
      </c>
      <c r="CD87" s="201">
        <f>IFERROR(INDEX('3b Activity Plan'!$DJ$76:$FH$76,$V87),0)</f>
        <v>0</v>
      </c>
      <c r="CE87" s="201"/>
      <c r="CF87" s="1818">
        <f>SUMIFS('3a Staff Plan'!$AR$129:$AR$305,'3a Staff Plan'!$DY$129:$DY$305,$IA87,'3a Staff Plan'!$AG$129:$AG$305,1,'3a Staff Plan'!$DF$129:$DF$305,1)</f>
        <v>0</v>
      </c>
      <c r="CG87" s="1768">
        <f>SUMIFS('3a Staff Plan'!$AR$129:$AR$305,'3a Staff Plan'!$DY$129:$DY$305,$IA87,'3a Staff Plan'!$AG$129:$AG$305,1,'3a Staff Plan'!$CX$129:$CX$305,1)</f>
        <v>0</v>
      </c>
      <c r="CH87" s="1768">
        <f>SUMIFS('3a Staff Plan'!$AR$129:$AR$305,'3a Staff Plan'!$DY$129:$DY$305,$IA87,'3a Staff Plan'!$AG$129:$AG$305,1,'3a Staff Plan'!$CV$129:$CV$305,1)</f>
        <v>0</v>
      </c>
      <c r="CI87" s="201"/>
      <c r="CJ87" s="201">
        <f>SUMIFS('3a Staff Plan'!$BX$129:$BX$305,'3a Staff Plan'!$DY$129:$DY$305,$IA87,'3a Staff Plan'!$DF$129:$DF$305,1,'3a Staff Plan'!$AG$129:$AG$305,1)</f>
        <v>0</v>
      </c>
      <c r="CK87" s="201">
        <f>SUMIFS('3a Staff Plan'!$BY$129:$BY$305,'3a Staff Plan'!$DY$129:$DY$305,$IA87,'3a Staff Plan'!$DF$129:$DF$305,1,'3a Staff Plan'!$AG$129:$AG$305,1)</f>
        <v>0</v>
      </c>
      <c r="CL87" s="201">
        <f>SUMIFS('3a Staff Plan'!$BZ$129:$BZ$305,'3a Staff Plan'!$DY$129:$DY$305,$IA87,'3a Staff Plan'!$DF$129:$DF$305,1,'3a Staff Plan'!$AG$129:$AG$305,1)</f>
        <v>0</v>
      </c>
      <c r="CM87" s="201">
        <f>SUMIFS('3a Staff Plan'!$CA$129:$CA$305,'3a Staff Plan'!$DY$129:$DY$305,$IA87,'3a Staff Plan'!$DF$129:$DF$305,1,'3a Staff Plan'!$AG$129:$AG$305,1)</f>
        <v>0</v>
      </c>
      <c r="CN87" s="201">
        <f>SUMIFS('3a Staff Plan'!$CB$129:$CB$305,'3a Staff Plan'!$DY$129:$DY$305,$IA87,'3a Staff Plan'!$DF$129:$DF$305,1,'3a Staff Plan'!$AG$129:$AG$305,1)</f>
        <v>0</v>
      </c>
      <c r="CO87" s="201">
        <f>SUMIFS('3a Staff Plan'!$CC$129:$CC$305,'3a Staff Plan'!$DY$129:$DY$305,$IA87,'3a Staff Plan'!$DF$129:$DF$305,1,'3a Staff Plan'!$AG$129:$AG$305,1)</f>
        <v>0</v>
      </c>
      <c r="CP87" s="201">
        <f>SUMIFS('3a Staff Plan'!$CD$129:$CD$305,'3a Staff Plan'!$DY$129:$DY$305,$IA87,'3a Staff Plan'!$DF$129:$DF$305,1,'3a Staff Plan'!$AG$129:$AG$305,1)</f>
        <v>0</v>
      </c>
      <c r="CQ87" s="201">
        <f>SUMIFS('3a Staff Plan'!$CE$129:$CE$305,'3a Staff Plan'!$DY$129:$DY$305,$IA87,'3a Staff Plan'!$DF$129:$DF$305,1,'3a Staff Plan'!$AG$129:$AG$305,1)</f>
        <v>0</v>
      </c>
      <c r="CR87" s="201">
        <f>SUMIFS('3a Staff Plan'!$CF$129:$CF$305,'3a Staff Plan'!$DY$129:$DY$305,$IA87,'3a Staff Plan'!$DF$129:$DF$305,1,'3a Staff Plan'!$AG$129:$AG$305,1)</f>
        <v>0</v>
      </c>
      <c r="CS87" s="201">
        <f>SUMIFS('3a Staff Plan'!$CG$129:$CG$305,'3a Staff Plan'!$DY$129:$DY$305,$IA87,'3a Staff Plan'!$DF$129:$DF$305,1,'3a Staff Plan'!$AG$129:$AG$305,1)</f>
        <v>0</v>
      </c>
      <c r="CT87" s="201"/>
      <c r="CU87" s="1818">
        <f t="shared" si="259"/>
        <v>0</v>
      </c>
      <c r="CV87" s="1768"/>
      <c r="CW87" s="1768">
        <f t="shared" si="259"/>
        <v>0</v>
      </c>
      <c r="CX87" s="201"/>
      <c r="CY87" s="201">
        <f t="shared" si="260"/>
        <v>0</v>
      </c>
      <c r="CZ87" s="201">
        <f t="shared" si="260"/>
        <v>0</v>
      </c>
      <c r="DA87" s="201">
        <f t="shared" si="260"/>
        <v>0</v>
      </c>
      <c r="DB87" s="201">
        <f t="shared" si="260"/>
        <v>0</v>
      </c>
      <c r="DC87" s="201">
        <f t="shared" si="260"/>
        <v>0</v>
      </c>
      <c r="DD87" s="201">
        <f t="shared" si="260"/>
        <v>0</v>
      </c>
      <c r="DE87" s="201">
        <f t="shared" si="260"/>
        <v>0</v>
      </c>
      <c r="DF87" s="201">
        <f t="shared" si="260"/>
        <v>0</v>
      </c>
      <c r="DG87" s="201">
        <f t="shared" si="260"/>
        <v>0</v>
      </c>
      <c r="DH87" s="201">
        <f t="shared" si="260"/>
        <v>0</v>
      </c>
      <c r="DI87" s="201"/>
      <c r="DJ87" s="201"/>
      <c r="DK87" s="201"/>
      <c r="DL87" s="201"/>
      <c r="DM87" s="372">
        <f t="shared" ca="1" si="37"/>
        <v>0</v>
      </c>
      <c r="DN87" s="1185">
        <f t="shared" si="38"/>
        <v>0</v>
      </c>
      <c r="DO87" s="1185">
        <f t="shared" si="39"/>
        <v>0</v>
      </c>
      <c r="DP87" s="201"/>
      <c r="DQ87" s="372">
        <f t="shared" ca="1" si="40"/>
        <v>0</v>
      </c>
      <c r="DR87" s="1185">
        <f t="shared" si="41"/>
        <v>0</v>
      </c>
      <c r="DS87" s="1185">
        <f t="shared" si="42"/>
        <v>0</v>
      </c>
      <c r="DT87" s="201"/>
      <c r="DU87" s="372">
        <f t="shared" ca="1" si="261"/>
        <v>0</v>
      </c>
      <c r="DV87" s="372">
        <f t="shared" si="261"/>
        <v>0</v>
      </c>
      <c r="DW87" s="372">
        <f t="shared" si="261"/>
        <v>0</v>
      </c>
      <c r="DX87" s="201"/>
      <c r="DY87" s="372">
        <f t="shared" si="44"/>
        <v>0</v>
      </c>
      <c r="DZ87" s="372">
        <f t="shared" ca="1" si="45"/>
        <v>0</v>
      </c>
      <c r="EA87" s="201"/>
      <c r="EB87" s="2776">
        <f>IF(EO87=$EO$53,1,IFERROR(INDEX('Currency Data'!$L$8:$L$41,MATCH(EO87,'Currency Data'!$H$8:$H$41,0)),1))</f>
        <v>1</v>
      </c>
      <c r="EC87" s="2776">
        <f t="shared" si="147"/>
        <v>1</v>
      </c>
      <c r="ED87" s="428">
        <f>IF(GQ87=1,'1 Setup'!$T$68,IF(ISBLANK(IJ87),II87/EC87*IF(GL87=1,$ED$53,1),IJ87/EC87)*IF($EW87=7,JW87,1))</f>
        <v>0</v>
      </c>
      <c r="EE87" s="428">
        <f t="shared" si="46"/>
        <v>0</v>
      </c>
      <c r="EF87" s="428"/>
      <c r="EG87" s="1965" t="str">
        <f t="shared" si="148"/>
        <v>031500 - Highways UK</v>
      </c>
      <c r="EH87" s="201">
        <f t="shared" si="149"/>
        <v>1</v>
      </c>
      <c r="EI87" s="445" t="str">
        <f>IF(EH87=1,$EI$53,IF(GQ87=1,$GQ$55,IFERROR(IF($EG87=$EG$53,$EI$53,INDEX('PU List'!$G$6:$G$413,MATCH($EG87,'PU List'!$D$6:$D$413,0))),$EI$53)))</f>
        <v>GB - BIAF</v>
      </c>
      <c r="EJ87" s="2773" t="str">
        <f t="shared" si="150"/>
        <v>GB - BIAF</v>
      </c>
      <c r="EK87" s="1768"/>
      <c r="EL87" s="3283">
        <f>IF(OR(EW87&gt;7,$EL$53=0),0,IF(EJ87=$EI$53,$EL$53,IFERROR(INDEX('Fringe Data'!$U$8:$U$129,MATCH($EJ87,'Fringe Data'!$F$8:$F$129,0)),0)))</f>
        <v>1.73</v>
      </c>
      <c r="EM87" s="372">
        <f t="shared" si="47"/>
        <v>0</v>
      </c>
      <c r="EN87" s="201" t="str">
        <f>IFERROR(INDEX('Fringe Data'!$G$8:$G$64,MATCH($EJ87,'Fringe Data'!$F$8:$F$64,0)),$EO$53)</f>
        <v>GBP</v>
      </c>
      <c r="EO87" s="201" t="str">
        <f t="shared" si="151"/>
        <v>GBP</v>
      </c>
      <c r="EP87" s="201">
        <f>IF(EI87=$EI$53,$EP$49,IF(GP87=1,0,IFERROR(INDEX('Fringe Data'!$K$8:$K$64,MATCH($EI87,'Fringe Data'!$F$8:$F$64,0)),0)))</f>
        <v>0.52</v>
      </c>
      <c r="EQ87" s="201">
        <f>IF(EI87=$EI$53,$EQ$49,IF(GP87=1,0,IFERROR(INDEX('Fringe Data'!$L$8:$L$64,MATCH($EI87,'Fringe Data'!$F$8:$F$64,0)),0)))</f>
        <v>1.8499999999999999E-2</v>
      </c>
      <c r="ER87" s="201">
        <f>IF(EI87=$EI$53,$ER$49,IF(GP87=1,0,IFERROR(INDEX('Fringe Data'!$M$8:$M$64,MATCH($EI87,'Fringe Data'!$F$8:$F$64,0)),0)))</f>
        <v>0.43430000000000002</v>
      </c>
      <c r="ES87" s="201">
        <f>IF(EI87=$EI$53,$ES$49,IF(GP87=1,0,IFERROR(INDEX('Fringe Data'!$N$8:$N$64,MATCH($EI87,'Fringe Data'!$F$8:$F$64,0)),0)))</f>
        <v>0.1565</v>
      </c>
      <c r="ET87" s="201">
        <f>IF(EI87=$EI$53,$ET$49,IF(GP87=1,0,IFERROR(INDEX('Fringe Data'!$O$8:$O$64,MATCH($EI87,'Fringe Data'!$F$8:$F$64,0)),0)))</f>
        <v>0.33450000000000002</v>
      </c>
      <c r="EU87" s="263">
        <f>IF(EI87=$EI$53,$EU$49,IF(GP87=1,0,IFERROR(INDEX('Fringe Data'!$P$8:$P$64,MATCH($EI87,'Fringe Data'!$F$8:$F$64,0)),0)))</f>
        <v>0.1565</v>
      </c>
      <c r="EV87" s="201"/>
      <c r="EW87" s="1530">
        <f t="shared" si="48"/>
        <v>1</v>
      </c>
      <c r="EX87" s="1534">
        <f t="shared" si="152"/>
        <v>0.52</v>
      </c>
      <c r="EY87" s="321">
        <f t="shared" si="153"/>
        <v>0</v>
      </c>
      <c r="EZ87" s="201">
        <f t="shared" si="154"/>
        <v>0</v>
      </c>
      <c r="FA87" s="372">
        <f t="shared" si="49"/>
        <v>0</v>
      </c>
      <c r="FB87" s="372">
        <f t="shared" si="50"/>
        <v>0</v>
      </c>
      <c r="FC87" s="201">
        <f t="shared" ca="1" si="155"/>
        <v>0</v>
      </c>
      <c r="FD87" s="423">
        <f t="shared" si="51"/>
        <v>0</v>
      </c>
      <c r="FE87" s="423">
        <f t="shared" si="52"/>
        <v>0</v>
      </c>
      <c r="FF87" s="201">
        <f t="shared" si="156"/>
        <v>0</v>
      </c>
      <c r="FG87" s="425">
        <f>IF(OR($FJ$52=3,$FJ$52=4,$FJ$52=5),'1 Setup'!$W$96,0)</f>
        <v>0</v>
      </c>
      <c r="FH87" s="428">
        <f>IF($FJ$52=5,'1 Setup'!$W$98,IF($FJ$52=6,'1 Setup'!$S$86,0))</f>
        <v>0</v>
      </c>
      <c r="FI87" s="321">
        <f t="shared" ca="1" si="53"/>
        <v>0</v>
      </c>
      <c r="FJ87" s="263">
        <f t="shared" ca="1" si="157"/>
        <v>0</v>
      </c>
      <c r="FK87" s="372">
        <f t="shared" ca="1" si="54"/>
        <v>0</v>
      </c>
      <c r="FL87" s="372">
        <f t="shared" si="55"/>
        <v>0</v>
      </c>
      <c r="FM87" s="372">
        <f t="shared" si="56"/>
        <v>0</v>
      </c>
      <c r="FN87" s="2036">
        <f t="shared" ca="1" si="57"/>
        <v>0</v>
      </c>
      <c r="FO87" s="372">
        <f ca="1">$BA87*FN87</f>
        <v>0</v>
      </c>
      <c r="FP87" s="2723">
        <f t="shared" si="158"/>
        <v>0</v>
      </c>
      <c r="FQ87" s="372">
        <f t="shared" si="59"/>
        <v>0</v>
      </c>
      <c r="FR87" s="372">
        <f t="shared" si="159"/>
        <v>0</v>
      </c>
      <c r="FS87" s="1168"/>
      <c r="FT87" s="1168">
        <f t="shared" si="60"/>
        <v>0</v>
      </c>
      <c r="FU87" s="1168">
        <f t="shared" si="61"/>
        <v>0</v>
      </c>
      <c r="FV87" s="1168">
        <f t="shared" si="62"/>
        <v>0</v>
      </c>
      <c r="FW87" s="1168">
        <f t="shared" si="63"/>
        <v>0</v>
      </c>
      <c r="FX87" s="1168">
        <f t="shared" si="64"/>
        <v>0</v>
      </c>
      <c r="FY87" s="1168">
        <f t="shared" si="65"/>
        <v>0</v>
      </c>
      <c r="FZ87" s="1168">
        <f t="shared" si="66"/>
        <v>0</v>
      </c>
      <c r="GA87" s="1168">
        <f t="shared" si="67"/>
        <v>0</v>
      </c>
      <c r="GB87" s="1168">
        <f t="shared" si="68"/>
        <v>0</v>
      </c>
      <c r="GC87" s="1168">
        <f t="shared" si="69"/>
        <v>0</v>
      </c>
      <c r="GD87" s="1168"/>
      <c r="GE87" s="199"/>
      <c r="GF87" s="201">
        <f t="shared" si="70"/>
        <v>0</v>
      </c>
      <c r="GG87" s="201">
        <f t="shared" si="71"/>
        <v>0</v>
      </c>
      <c r="GH87" s="201">
        <f t="shared" si="72"/>
        <v>0</v>
      </c>
      <c r="GI87" s="201">
        <f t="shared" ca="1" si="160"/>
        <v>0</v>
      </c>
      <c r="GJ87" s="201">
        <f t="shared" si="73"/>
        <v>0</v>
      </c>
      <c r="GK87" s="201">
        <f t="shared" si="74"/>
        <v>0</v>
      </c>
      <c r="GL87" s="201">
        <f t="shared" si="75"/>
        <v>1</v>
      </c>
      <c r="GM87" s="201">
        <f t="shared" si="76"/>
        <v>1</v>
      </c>
      <c r="GN87" s="201"/>
      <c r="GO87" s="201"/>
      <c r="GP87" s="201">
        <f t="shared" si="77"/>
        <v>0</v>
      </c>
      <c r="GQ87" s="201">
        <f t="shared" si="78"/>
        <v>0</v>
      </c>
      <c r="GR87" s="201">
        <f t="shared" si="161"/>
        <v>0</v>
      </c>
      <c r="GS87" s="1768"/>
      <c r="GT87" s="201">
        <f t="shared" si="79"/>
        <v>1</v>
      </c>
      <c r="GU87" s="201">
        <f t="shared" si="193"/>
        <v>24</v>
      </c>
      <c r="GV87" s="201">
        <f t="shared" si="80"/>
        <v>0</v>
      </c>
      <c r="GW87" s="201">
        <f t="shared" si="81"/>
        <v>3</v>
      </c>
      <c r="GX87" s="201">
        <f t="shared" si="162"/>
        <v>0</v>
      </c>
      <c r="GY87" s="1998"/>
      <c r="GZ87" s="253"/>
      <c r="HA87" s="195">
        <f t="shared" si="163"/>
        <v>0</v>
      </c>
      <c r="HB87" s="3558">
        <f t="shared" si="82"/>
        <v>0</v>
      </c>
      <c r="HC87" s="3590"/>
      <c r="HD87" s="257" t="str">
        <f t="shared" si="83"/>
        <v/>
      </c>
      <c r="HE87" s="825">
        <f t="shared" si="84"/>
        <v>0</v>
      </c>
      <c r="HF87" s="506" t="s">
        <v>5</v>
      </c>
      <c r="HG87" s="508">
        <f t="shared" ca="1" si="85"/>
        <v>0</v>
      </c>
      <c r="HH87" s="3585">
        <f t="shared" si="86"/>
        <v>0</v>
      </c>
      <c r="HI87" s="3586"/>
      <c r="HJ87" s="504">
        <f ca="1">HG87-HH87</f>
        <v>0</v>
      </c>
      <c r="HK87" s="456">
        <f ca="1">IF(HG87&lt;0.1,0,IFERROR(HJ87/HG87,0))</f>
        <v>0</v>
      </c>
      <c r="HL87" s="3591">
        <f ca="1">IFERROR(HJ87/HE87,0)</f>
        <v>0</v>
      </c>
      <c r="HM87" s="3592"/>
      <c r="HN87" s="240"/>
      <c r="HO87" s="1998"/>
      <c r="HP87" s="1991"/>
      <c r="HQ87" s="2770" t="str">
        <f t="shared" si="90"/>
        <v>GB - BIAF</v>
      </c>
      <c r="HR87" s="2770" t="str">
        <f t="shared" si="91"/>
        <v>GBP</v>
      </c>
      <c r="HS87" s="2771">
        <f t="shared" si="92"/>
        <v>1</v>
      </c>
      <c r="HT87" s="3623"/>
      <c r="HU87" s="2771">
        <f t="shared" si="93"/>
        <v>1.73</v>
      </c>
      <c r="HW87" s="1218"/>
      <c r="HX87" s="520"/>
      <c r="HY87" s="2523"/>
      <c r="HZ87" s="194"/>
      <c r="IA87" s="1013"/>
      <c r="IB87" s="193"/>
      <c r="IC87" s="3276">
        <v>24</v>
      </c>
      <c r="ID87" s="986"/>
      <c r="IE87" s="938">
        <f t="shared" si="164"/>
        <v>0</v>
      </c>
      <c r="IF87" s="938">
        <f t="shared" si="165"/>
        <v>0</v>
      </c>
      <c r="IG87" s="432"/>
      <c r="II87" s="405"/>
      <c r="IJ87" s="239"/>
      <c r="IK87" s="2774" t="str">
        <f t="shared" si="166"/>
        <v>GBP</v>
      </c>
      <c r="IL87" s="2148"/>
      <c r="IM87" s="1936">
        <f t="shared" si="94"/>
        <v>0</v>
      </c>
      <c r="IO87" s="1959" t="str">
        <f t="shared" si="95"/>
        <v/>
      </c>
      <c r="IP87" s="1958"/>
      <c r="IQ87" s="543">
        <f t="shared" si="96"/>
        <v>0.52</v>
      </c>
      <c r="IR87" s="1936">
        <f t="shared" si="97"/>
        <v>0</v>
      </c>
      <c r="IT87" s="1364"/>
      <c r="IU87" s="210"/>
      <c r="IV87" s="218"/>
      <c r="IW87" s="1938">
        <f ca="1">IF(NOT(ISBLANK(IU87)),IU87,IF('1 Setup'!$G$8&lt;7,JK87,FJ87))+KA87</f>
        <v>0</v>
      </c>
      <c r="IX87" s="409">
        <f t="shared" si="98"/>
        <v>0</v>
      </c>
      <c r="IY87" s="408">
        <f t="shared" si="99"/>
        <v>0</v>
      </c>
      <c r="IZ87" s="1983"/>
      <c r="JA87" s="1994"/>
      <c r="JB87" s="1991"/>
      <c r="JD87" s="2029">
        <f t="shared" si="167"/>
        <v>0</v>
      </c>
      <c r="JE87" s="479"/>
      <c r="JF87" s="2025">
        <f t="shared" si="100"/>
        <v>0</v>
      </c>
      <c r="JG87" s="429">
        <f t="shared" si="101"/>
        <v>0</v>
      </c>
      <c r="JH87" s="1667">
        <f t="shared" si="102"/>
        <v>0</v>
      </c>
      <c r="JJ87" s="1163">
        <f t="shared" ca="1" si="103"/>
        <v>0</v>
      </c>
      <c r="JK87" s="1163">
        <f t="shared" ca="1" si="104"/>
        <v>0</v>
      </c>
      <c r="JL87" s="1795"/>
      <c r="JN87" s="2505"/>
      <c r="JO87" s="1161"/>
      <c r="JP87" s="571">
        <f t="shared" ca="1" si="105"/>
        <v>0</v>
      </c>
      <c r="JQ87" s="2506"/>
      <c r="JR87" s="1953"/>
      <c r="JS87" s="2650"/>
      <c r="JT87" s="2507"/>
      <c r="JU87" s="1964">
        <f t="shared" si="106"/>
        <v>0.33450000000000002</v>
      </c>
      <c r="JV87" s="3199"/>
      <c r="JW87" s="2649">
        <f t="shared" si="107"/>
        <v>1.5</v>
      </c>
      <c r="JX87" s="1964">
        <f t="shared" si="168"/>
        <v>0.1565</v>
      </c>
      <c r="JY87" s="3199"/>
      <c r="JZ87" s="2649">
        <f t="shared" si="169"/>
        <v>0</v>
      </c>
      <c r="KA87" s="2649">
        <f t="shared" si="170"/>
        <v>0</v>
      </c>
      <c r="KB87" s="2649" t="s">
        <v>111</v>
      </c>
      <c r="KC87" s="1983"/>
      <c r="KD87" s="1974"/>
      <c r="KE87" s="1991"/>
      <c r="KF87" s="2029">
        <f t="shared" si="171"/>
        <v>0</v>
      </c>
      <c r="KG87" s="1991"/>
      <c r="KH87" s="2121">
        <f t="shared" si="108"/>
        <v>0</v>
      </c>
      <c r="KI87" s="2130">
        <f t="shared" si="109"/>
        <v>0</v>
      </c>
      <c r="KJ87" s="2130">
        <f t="shared" si="110"/>
        <v>0</v>
      </c>
      <c r="KK87" s="2130">
        <f t="shared" si="111"/>
        <v>0</v>
      </c>
      <c r="KL87" s="2131">
        <f t="shared" si="112"/>
        <v>0</v>
      </c>
      <c r="KM87" s="2132">
        <f t="shared" si="113"/>
        <v>0</v>
      </c>
      <c r="KN87" s="2132">
        <f t="shared" si="114"/>
        <v>0</v>
      </c>
      <c r="KO87" s="2132">
        <f t="shared" si="115"/>
        <v>0</v>
      </c>
      <c r="KP87" s="2132">
        <f t="shared" si="116"/>
        <v>0</v>
      </c>
      <c r="KQ87" s="2133">
        <f t="shared" si="117"/>
        <v>0</v>
      </c>
      <c r="KS87" s="2253">
        <f t="shared" si="118"/>
        <v>0</v>
      </c>
      <c r="KT87" s="2270">
        <f t="shared" ref="KT87:LB87" si="264">KS87*(1+(KT$60))</f>
        <v>0</v>
      </c>
      <c r="KU87" s="2271">
        <f t="shared" si="264"/>
        <v>0</v>
      </c>
      <c r="KV87" s="2271">
        <f t="shared" si="264"/>
        <v>0</v>
      </c>
      <c r="KW87" s="2272">
        <f t="shared" si="264"/>
        <v>0</v>
      </c>
      <c r="KX87" s="2271">
        <f t="shared" si="264"/>
        <v>0</v>
      </c>
      <c r="KY87" s="2271">
        <f t="shared" si="264"/>
        <v>0</v>
      </c>
      <c r="KZ87" s="2271">
        <f t="shared" si="264"/>
        <v>0</v>
      </c>
      <c r="LA87" s="2271">
        <f t="shared" si="264"/>
        <v>0</v>
      </c>
      <c r="LB87" s="2273">
        <f t="shared" si="264"/>
        <v>0</v>
      </c>
      <c r="LC87" s="272"/>
      <c r="LD87" s="2124">
        <f t="shared" si="120"/>
        <v>0</v>
      </c>
      <c r="LE87" s="2093">
        <f t="shared" si="121"/>
        <v>0</v>
      </c>
      <c r="LF87" s="2093">
        <f t="shared" si="122"/>
        <v>0</v>
      </c>
      <c r="LG87" s="2093">
        <f t="shared" si="123"/>
        <v>0</v>
      </c>
      <c r="LH87" s="2094">
        <f t="shared" si="124"/>
        <v>0</v>
      </c>
      <c r="LI87" s="2095">
        <f t="shared" si="125"/>
        <v>0</v>
      </c>
      <c r="LJ87" s="2095">
        <f t="shared" si="126"/>
        <v>0</v>
      </c>
      <c r="LK87" s="2095">
        <f t="shared" si="127"/>
        <v>0</v>
      </c>
      <c r="LL87" s="2095">
        <f t="shared" si="128"/>
        <v>0</v>
      </c>
      <c r="LM87" s="2096">
        <f t="shared" si="129"/>
        <v>0</v>
      </c>
      <c r="LN87" s="749"/>
      <c r="LO87" s="2256">
        <f t="shared" ca="1" si="130"/>
        <v>0</v>
      </c>
      <c r="LP87" s="2270">
        <f t="shared" ca="1" si="131"/>
        <v>0</v>
      </c>
      <c r="LQ87" s="2271">
        <f t="shared" ca="1" si="132"/>
        <v>0</v>
      </c>
      <c r="LR87" s="2271">
        <f t="shared" ca="1" si="133"/>
        <v>0</v>
      </c>
      <c r="LS87" s="2272">
        <f t="shared" ca="1" si="134"/>
        <v>0</v>
      </c>
      <c r="LT87" s="2271">
        <f t="shared" ca="1" si="135"/>
        <v>0</v>
      </c>
      <c r="LU87" s="2271">
        <f t="shared" ca="1" si="136"/>
        <v>0</v>
      </c>
      <c r="LV87" s="2271">
        <f t="shared" ca="1" si="137"/>
        <v>0</v>
      </c>
      <c r="LW87" s="2271">
        <f t="shared" ca="1" si="138"/>
        <v>0</v>
      </c>
      <c r="LX87" s="2273">
        <f t="shared" ca="1" si="139"/>
        <v>0</v>
      </c>
      <c r="LY87" s="479"/>
      <c r="LZ87" s="3128">
        <f t="shared" ca="1" si="173"/>
        <v>-1.73</v>
      </c>
      <c r="MA87" s="3129">
        <f t="shared" ca="1" si="174"/>
        <v>-1.73</v>
      </c>
      <c r="MB87" s="3129">
        <f t="shared" ca="1" si="175"/>
        <v>-1.73</v>
      </c>
      <c r="MC87" s="3129">
        <f t="shared" ca="1" si="176"/>
        <v>-1.73</v>
      </c>
      <c r="MD87" s="3130">
        <f t="shared" ca="1" si="177"/>
        <v>-1.73</v>
      </c>
      <c r="ME87" s="3129">
        <f t="shared" ca="1" si="178"/>
        <v>-1.73</v>
      </c>
      <c r="MF87" s="3129">
        <f t="shared" ca="1" si="179"/>
        <v>-1.73</v>
      </c>
      <c r="MG87" s="3129">
        <f t="shared" ca="1" si="180"/>
        <v>-1.73</v>
      </c>
      <c r="MH87" s="3129">
        <f t="shared" ca="1" si="181"/>
        <v>-1.73</v>
      </c>
      <c r="MI87" s="3131">
        <f t="shared" ca="1" si="182"/>
        <v>-1.73</v>
      </c>
      <c r="MJ87" s="3201"/>
      <c r="MK87" s="3206">
        <f t="shared" ca="1" si="183"/>
        <v>0</v>
      </c>
      <c r="ML87" s="3207">
        <f t="shared" ca="1" si="184"/>
        <v>0</v>
      </c>
      <c r="MM87" s="3207">
        <f t="shared" ca="1" si="185"/>
        <v>0</v>
      </c>
      <c r="MN87" s="3207">
        <f t="shared" ca="1" si="186"/>
        <v>0</v>
      </c>
      <c r="MO87" s="3208">
        <f t="shared" ca="1" si="187"/>
        <v>0</v>
      </c>
      <c r="MP87" s="3207">
        <f t="shared" ca="1" si="188"/>
        <v>0</v>
      </c>
      <c r="MQ87" s="3207">
        <f t="shared" ca="1" si="189"/>
        <v>0</v>
      </c>
      <c r="MR87" s="3207">
        <f t="shared" ca="1" si="190"/>
        <v>0</v>
      </c>
      <c r="MS87" s="3207">
        <f t="shared" ca="1" si="191"/>
        <v>0</v>
      </c>
      <c r="MT87" s="3209">
        <f t="shared" ca="1" si="192"/>
        <v>0</v>
      </c>
      <c r="MU87" s="1983"/>
      <c r="MV87" s="1975"/>
      <c r="MW87" s="1991"/>
      <c r="MX87" s="1931">
        <f t="shared" si="142"/>
        <v>0</v>
      </c>
      <c r="MY87" s="749"/>
      <c r="MZ87" s="1934">
        <f t="shared" si="143"/>
        <v>0</v>
      </c>
      <c r="NA87" s="1935"/>
      <c r="NB87" s="2652">
        <f t="shared" si="144"/>
        <v>0</v>
      </c>
      <c r="NC87" s="479"/>
      <c r="ND87" s="2749" t="str">
        <f t="shared" si="145"/>
        <v/>
      </c>
      <c r="NE87" s="2717"/>
      <c r="NF87" s="1975"/>
      <c r="NG87" s="1975"/>
      <c r="NH87" s="1975"/>
      <c r="NI87" s="1975"/>
    </row>
    <row r="88" spans="1:373" s="192" customFormat="1" ht="15.9" customHeight="1" x14ac:dyDescent="0.3">
      <c r="A88" s="200"/>
      <c r="B88" s="200"/>
      <c r="C88" s="200"/>
      <c r="D88" s="200"/>
      <c r="E88" s="200"/>
      <c r="F88" s="200"/>
      <c r="G88" s="200"/>
      <c r="H88" s="200"/>
      <c r="I88" s="200"/>
      <c r="J88" s="200"/>
      <c r="K88" s="200"/>
      <c r="L88" s="200"/>
      <c r="M88" s="200"/>
      <c r="N88" s="200"/>
      <c r="O88" s="200"/>
      <c r="P88" s="1539"/>
      <c r="Q88" s="1539"/>
      <c r="R88" s="198"/>
      <c r="S88" s="1539"/>
      <c r="T88" s="201"/>
      <c r="U88" s="200"/>
      <c r="V88" s="201">
        <f>MATCH($IC88,'3b Activity Plan'!$DJ$171:$FH$171,0)</f>
        <v>25</v>
      </c>
      <c r="W88" s="201">
        <f>IFERROR(INDEX('3b Activity Plan'!$DJ$6:$FH$6,V88),0)</f>
        <v>0</v>
      </c>
      <c r="X88" s="1768"/>
      <c r="Y88" s="1768">
        <f>IFERROR(INDEX('3b Activity Plan'!$DJ$7:$FH$7,V88),0)</f>
        <v>0</v>
      </c>
      <c r="Z88" s="201"/>
      <c r="AA88" s="201">
        <f>IFERROR(INDEX('3b Activity Plan'!$DJ$34:$FH$34,$V88),0)</f>
        <v>0</v>
      </c>
      <c r="AB88" s="201">
        <f>IFERROR(INDEX('3b Activity Plan'!$DJ$35:$FH$35,$V88),0)</f>
        <v>0</v>
      </c>
      <c r="AC88" s="201">
        <f>IFERROR(INDEX('3b Activity Plan'!$DJ$36:$FH$36,$V88),0)</f>
        <v>0</v>
      </c>
      <c r="AD88" s="201">
        <f>IFERROR(INDEX('3b Activity Plan'!$DJ$37:$FH$37,$V88),0)</f>
        <v>0</v>
      </c>
      <c r="AE88" s="201">
        <f>IFERROR(INDEX('3b Activity Plan'!$DJ$38:$FH$38,$V88),0)</f>
        <v>0</v>
      </c>
      <c r="AF88" s="201">
        <f>IFERROR(INDEX('3b Activity Plan'!$DJ$39:$FH$39,$V88),0)</f>
        <v>0</v>
      </c>
      <c r="AG88" s="201">
        <f>IFERROR(INDEX('3b Activity Plan'!$DJ$40:$FH$40,$V88),0)</f>
        <v>0</v>
      </c>
      <c r="AH88" s="201">
        <f>IFERROR(INDEX('3b Activity Plan'!$DJ$41:$FH$41,$V88),0)</f>
        <v>0</v>
      </c>
      <c r="AI88" s="201">
        <f>IFERROR(INDEX('3b Activity Plan'!$DJ$42:$FH$42,$V88),0)</f>
        <v>0</v>
      </c>
      <c r="AJ88" s="201">
        <f>IFERROR(INDEX('3b Activity Plan'!$DJ$43:$FH$43,$V88),0)</f>
        <v>0</v>
      </c>
      <c r="AK88" s="201"/>
      <c r="AL88" s="201">
        <f>SUMIFS('3a Staff Plan'!$AR$129:$AR$305,'3a Staff Plan'!$DY$129:$DY$305,$IA88,'3a Staff Plan'!$DF$129:$DF$305,1)</f>
        <v>0</v>
      </c>
      <c r="AM88" s="1768"/>
      <c r="AN88" s="1768">
        <f>SUMIFS('3a Staff Plan'!$AR$129:$AR$305,'3a Staff Plan'!$DY$129:$DY$305,$IA88,'3a Staff Plan'!$CV$129:$CV$305,1)</f>
        <v>0</v>
      </c>
      <c r="AO88" s="201"/>
      <c r="AP88" s="201">
        <f>SUMIFS('3a Staff Plan'!$AS$129:$AS$305,'3a Staff Plan'!$DY$129:$DY$305,$IA88,'3a Staff Plan'!$DF$129:$DF$305,1)</f>
        <v>0</v>
      </c>
      <c r="AQ88" s="201">
        <f>SUMIFS('3a Staff Plan'!$AT$129:$AT$305,'3a Staff Plan'!$DY$129:$DY$305,$IA88,'3a Staff Plan'!$DF$129:$DF$305,1)</f>
        <v>0</v>
      </c>
      <c r="AR88" s="201">
        <f>SUMIFS('3a Staff Plan'!$AU$129:$AU$305,'3a Staff Plan'!$DY$129:$DY$305,$IA88,'3a Staff Plan'!$DF$129:$DF$305,1)</f>
        <v>0</v>
      </c>
      <c r="AS88" s="201">
        <f>SUMIFS('3a Staff Plan'!$AV$129:$AV$305,'3a Staff Plan'!$DY$129:$DY$305,$IA88,'3a Staff Plan'!$DF$129:$DF$305,1)</f>
        <v>0</v>
      </c>
      <c r="AT88" s="201">
        <f>SUMIFS('3a Staff Plan'!$AW$129:$AW$305,'3a Staff Plan'!$DY$129:$DY$305,$IA88,'3a Staff Plan'!$DF$129:$DF$305,1)</f>
        <v>0</v>
      </c>
      <c r="AU88" s="201">
        <f>SUMIFS('3a Staff Plan'!$AX$129:$AX$305,'3a Staff Plan'!$DY$129:$DY$305,$IA88,'3a Staff Plan'!$DF$129:$DF$305,1)</f>
        <v>0</v>
      </c>
      <c r="AV88" s="201">
        <f>SUMIFS('3a Staff Plan'!$AY$129:$AY$305,'3a Staff Plan'!$DY$129:$DY$305,$IA88,'3a Staff Plan'!$DF$129:$DF$305,1)</f>
        <v>0</v>
      </c>
      <c r="AW88" s="201">
        <f>SUMIFS('3a Staff Plan'!$AZ$129:$AZ$305,'3a Staff Plan'!$DY$129:$DY$305,$IA88,'3a Staff Plan'!$DF$129:$DF$305,1)</f>
        <v>0</v>
      </c>
      <c r="AX88" s="201">
        <f>SUMIFS('3a Staff Plan'!$BA$129:$BA$305,'3a Staff Plan'!$DY$129:$DY$305,$IA88,'3a Staff Plan'!$DF$129:$DF$305,1)</f>
        <v>0</v>
      </c>
      <c r="AY88" s="201">
        <f>SUMIFS('3a Staff Plan'!$BB$129:$BB$305,'3a Staff Plan'!$DY$129:$DY$305,$IA88,'3a Staff Plan'!$DF$129:$DF$305,1)</f>
        <v>0</v>
      </c>
      <c r="AZ88" s="201"/>
      <c r="BA88" s="201">
        <f t="shared" si="198"/>
        <v>0</v>
      </c>
      <c r="BB88" s="1768"/>
      <c r="BC88" s="1768">
        <f t="shared" si="199"/>
        <v>0</v>
      </c>
      <c r="BD88" s="201"/>
      <c r="BE88" s="201">
        <f t="shared" si="200"/>
        <v>0</v>
      </c>
      <c r="BF88" s="201">
        <f t="shared" si="201"/>
        <v>0</v>
      </c>
      <c r="BG88" s="201">
        <f t="shared" si="202"/>
        <v>0</v>
      </c>
      <c r="BH88" s="201">
        <f t="shared" si="203"/>
        <v>0</v>
      </c>
      <c r="BI88" s="201">
        <f t="shared" si="204"/>
        <v>0</v>
      </c>
      <c r="BJ88" s="201">
        <f t="shared" si="205"/>
        <v>0</v>
      </c>
      <c r="BK88" s="201">
        <f t="shared" si="206"/>
        <v>0</v>
      </c>
      <c r="BL88" s="201">
        <f t="shared" si="207"/>
        <v>0</v>
      </c>
      <c r="BM88" s="201">
        <f t="shared" si="208"/>
        <v>0</v>
      </c>
      <c r="BN88" s="201">
        <f t="shared" si="209"/>
        <v>0</v>
      </c>
      <c r="BO88" s="201"/>
      <c r="BP88" s="1818">
        <f t="shared" si="146"/>
        <v>25</v>
      </c>
      <c r="BQ88" s="1818">
        <f>IFERROR(INDEX('3b Activity Plan'!$DJ$15:$FH$15,BP88),0)</f>
        <v>0</v>
      </c>
      <c r="BR88" s="1768"/>
      <c r="BS88" s="1768">
        <f>IFERROR(INDEX('3b Activity Plan'!$DJ$16:$FH$16,BP88),0)</f>
        <v>0</v>
      </c>
      <c r="BT88" s="201"/>
      <c r="BU88" s="201">
        <f>IFERROR(INDEX('3b Activity Plan'!$DJ$67:$FH$67,$V88),0)</f>
        <v>0</v>
      </c>
      <c r="BV88" s="201">
        <f>IFERROR(INDEX('3b Activity Plan'!$DJ$68:$FH$68,$V88),0)</f>
        <v>0</v>
      </c>
      <c r="BW88" s="201">
        <f>IFERROR(INDEX('3b Activity Plan'!$DJ$69:$FH$69,$V88),0)</f>
        <v>0</v>
      </c>
      <c r="BX88" s="201">
        <f>IFERROR(INDEX('3b Activity Plan'!$DJ$70:$FH$70,$V88),0)</f>
        <v>0</v>
      </c>
      <c r="BY88" s="201">
        <f>IFERROR(INDEX('3b Activity Plan'!$DJ$71:$FH$71,$V88),0)</f>
        <v>0</v>
      </c>
      <c r="BZ88" s="201">
        <f>IFERROR(INDEX('3b Activity Plan'!$DJ$72:$FH$72,$V88),0)</f>
        <v>0</v>
      </c>
      <c r="CA88" s="201">
        <f>IFERROR(INDEX('3b Activity Plan'!$DJ$73:$FH$73,$V88),0)</f>
        <v>0</v>
      </c>
      <c r="CB88" s="201">
        <f>IFERROR(INDEX('3b Activity Plan'!$DJ$74:$FH$74,$V88),0)</f>
        <v>0</v>
      </c>
      <c r="CC88" s="201">
        <f>IFERROR(INDEX('3b Activity Plan'!$DJ$75:$FH$75,$V88),0)</f>
        <v>0</v>
      </c>
      <c r="CD88" s="201">
        <f>IFERROR(INDEX('3b Activity Plan'!$DJ$76:$FH$76,$V88),0)</f>
        <v>0</v>
      </c>
      <c r="CE88" s="201"/>
      <c r="CF88" s="1818">
        <f>SUMIFS('3a Staff Plan'!$AR$129:$AR$305,'3a Staff Plan'!$DY$129:$DY$305,$IA88,'3a Staff Plan'!$AG$129:$AG$305,1,'3a Staff Plan'!$DF$129:$DF$305,1)</f>
        <v>0</v>
      </c>
      <c r="CG88" s="1768">
        <f>SUMIFS('3a Staff Plan'!$AR$129:$AR$305,'3a Staff Plan'!$DY$129:$DY$305,$IA88,'3a Staff Plan'!$AG$129:$AG$305,1,'3a Staff Plan'!$CX$129:$CX$305,1)</f>
        <v>0</v>
      </c>
      <c r="CH88" s="1768">
        <f>SUMIFS('3a Staff Plan'!$AR$129:$AR$305,'3a Staff Plan'!$DY$129:$DY$305,$IA88,'3a Staff Plan'!$AG$129:$AG$305,1,'3a Staff Plan'!$CV$129:$CV$305,1)</f>
        <v>0</v>
      </c>
      <c r="CI88" s="201"/>
      <c r="CJ88" s="201">
        <f>SUMIFS('3a Staff Plan'!$BX$129:$BX$305,'3a Staff Plan'!$DY$129:$DY$305,$IA88,'3a Staff Plan'!$DF$129:$DF$305,1,'3a Staff Plan'!$AG$129:$AG$305,1)</f>
        <v>0</v>
      </c>
      <c r="CK88" s="201">
        <f>SUMIFS('3a Staff Plan'!$BY$129:$BY$305,'3a Staff Plan'!$DY$129:$DY$305,$IA88,'3a Staff Plan'!$DF$129:$DF$305,1,'3a Staff Plan'!$AG$129:$AG$305,1)</f>
        <v>0</v>
      </c>
      <c r="CL88" s="201">
        <f>SUMIFS('3a Staff Plan'!$BZ$129:$BZ$305,'3a Staff Plan'!$DY$129:$DY$305,$IA88,'3a Staff Plan'!$DF$129:$DF$305,1,'3a Staff Plan'!$AG$129:$AG$305,1)</f>
        <v>0</v>
      </c>
      <c r="CM88" s="201">
        <f>SUMIFS('3a Staff Plan'!$CA$129:$CA$305,'3a Staff Plan'!$DY$129:$DY$305,$IA88,'3a Staff Plan'!$DF$129:$DF$305,1,'3a Staff Plan'!$AG$129:$AG$305,1)</f>
        <v>0</v>
      </c>
      <c r="CN88" s="201">
        <f>SUMIFS('3a Staff Plan'!$CB$129:$CB$305,'3a Staff Plan'!$DY$129:$DY$305,$IA88,'3a Staff Plan'!$DF$129:$DF$305,1,'3a Staff Plan'!$AG$129:$AG$305,1)</f>
        <v>0</v>
      </c>
      <c r="CO88" s="201">
        <f>SUMIFS('3a Staff Plan'!$CC$129:$CC$305,'3a Staff Plan'!$DY$129:$DY$305,$IA88,'3a Staff Plan'!$DF$129:$DF$305,1,'3a Staff Plan'!$AG$129:$AG$305,1)</f>
        <v>0</v>
      </c>
      <c r="CP88" s="201">
        <f>SUMIFS('3a Staff Plan'!$CD$129:$CD$305,'3a Staff Plan'!$DY$129:$DY$305,$IA88,'3a Staff Plan'!$DF$129:$DF$305,1,'3a Staff Plan'!$AG$129:$AG$305,1)</f>
        <v>0</v>
      </c>
      <c r="CQ88" s="201">
        <f>SUMIFS('3a Staff Plan'!$CE$129:$CE$305,'3a Staff Plan'!$DY$129:$DY$305,$IA88,'3a Staff Plan'!$DF$129:$DF$305,1,'3a Staff Plan'!$AG$129:$AG$305,1)</f>
        <v>0</v>
      </c>
      <c r="CR88" s="201">
        <f>SUMIFS('3a Staff Plan'!$CF$129:$CF$305,'3a Staff Plan'!$DY$129:$DY$305,$IA88,'3a Staff Plan'!$DF$129:$DF$305,1,'3a Staff Plan'!$AG$129:$AG$305,1)</f>
        <v>0</v>
      </c>
      <c r="CS88" s="201">
        <f>SUMIFS('3a Staff Plan'!$CG$129:$CG$305,'3a Staff Plan'!$DY$129:$DY$305,$IA88,'3a Staff Plan'!$DF$129:$DF$305,1,'3a Staff Plan'!$AG$129:$AG$305,1)</f>
        <v>0</v>
      </c>
      <c r="CT88" s="201"/>
      <c r="CU88" s="1818">
        <f t="shared" si="210"/>
        <v>0</v>
      </c>
      <c r="CV88" s="1768"/>
      <c r="CW88" s="1768">
        <f t="shared" si="211"/>
        <v>0</v>
      </c>
      <c r="CX88" s="201"/>
      <c r="CY88" s="201">
        <f t="shared" si="212"/>
        <v>0</v>
      </c>
      <c r="CZ88" s="201">
        <f t="shared" si="213"/>
        <v>0</v>
      </c>
      <c r="DA88" s="201">
        <f t="shared" si="214"/>
        <v>0</v>
      </c>
      <c r="DB88" s="201">
        <f t="shared" si="215"/>
        <v>0</v>
      </c>
      <c r="DC88" s="201">
        <f t="shared" si="216"/>
        <v>0</v>
      </c>
      <c r="DD88" s="201">
        <f t="shared" si="217"/>
        <v>0</v>
      </c>
      <c r="DE88" s="201">
        <f t="shared" si="218"/>
        <v>0</v>
      </c>
      <c r="DF88" s="201">
        <f t="shared" si="219"/>
        <v>0</v>
      </c>
      <c r="DG88" s="201">
        <f t="shared" si="220"/>
        <v>0</v>
      </c>
      <c r="DH88" s="201">
        <f t="shared" si="221"/>
        <v>0</v>
      </c>
      <c r="DI88" s="201"/>
      <c r="DJ88" s="201"/>
      <c r="DK88" s="201"/>
      <c r="DL88" s="201"/>
      <c r="DM88" s="372">
        <f t="shared" ca="1" si="37"/>
        <v>0</v>
      </c>
      <c r="DN88" s="1185">
        <f t="shared" si="38"/>
        <v>0</v>
      </c>
      <c r="DO88" s="1185">
        <f t="shared" si="39"/>
        <v>0</v>
      </c>
      <c r="DP88" s="201"/>
      <c r="DQ88" s="372">
        <f t="shared" ca="1" si="40"/>
        <v>0</v>
      </c>
      <c r="DR88" s="1185">
        <f t="shared" si="41"/>
        <v>0</v>
      </c>
      <c r="DS88" s="1185">
        <f t="shared" si="42"/>
        <v>0</v>
      </c>
      <c r="DT88" s="201"/>
      <c r="DU88" s="372">
        <f t="shared" ca="1" si="222"/>
        <v>0</v>
      </c>
      <c r="DV88" s="372">
        <f t="shared" si="223"/>
        <v>0</v>
      </c>
      <c r="DW88" s="372">
        <f t="shared" si="223"/>
        <v>0</v>
      </c>
      <c r="DX88" s="201"/>
      <c r="DY88" s="372">
        <f t="shared" si="44"/>
        <v>0</v>
      </c>
      <c r="DZ88" s="372">
        <f t="shared" ca="1" si="45"/>
        <v>0</v>
      </c>
      <c r="EA88" s="201"/>
      <c r="EB88" s="2776">
        <f>IF(EO88=$EO$53,1,IFERROR(INDEX('Currency Data'!$L$8:$L$41,MATCH(EO88,'Currency Data'!$H$8:$H$41,0)),1))</f>
        <v>1</v>
      </c>
      <c r="EC88" s="2776">
        <f t="shared" si="147"/>
        <v>1</v>
      </c>
      <c r="ED88" s="428">
        <f>IF(GQ88=1,'1 Setup'!$T$68,IF(ISBLANK(IJ88),II88/EC88*IF(GL88=1,$ED$53,1),IJ88/EC88)*IF($EW88=7,JW88,1))</f>
        <v>0</v>
      </c>
      <c r="EE88" s="428">
        <f t="shared" si="46"/>
        <v>0</v>
      </c>
      <c r="EF88" s="428"/>
      <c r="EG88" s="1965" t="str">
        <f t="shared" si="148"/>
        <v>031500 - Highways UK</v>
      </c>
      <c r="EH88" s="201">
        <f t="shared" si="149"/>
        <v>1</v>
      </c>
      <c r="EI88" s="445" t="str">
        <f>IF(EH88=1,$EI$53,IF(GQ88=1,$GQ$55,IFERROR(IF($EG88=$EG$53,$EI$53,INDEX('PU List'!$G$6:$G$413,MATCH($EG88,'PU List'!$D$6:$D$413,0))),$EI$53)))</f>
        <v>GB - BIAF</v>
      </c>
      <c r="EJ88" s="2773" t="str">
        <f t="shared" si="150"/>
        <v>GB - BIAF</v>
      </c>
      <c r="EK88" s="1768"/>
      <c r="EL88" s="3283">
        <f>IF(OR(EW88&gt;7,$EL$53=0),0,IF(EJ88=$EI$53,$EL$53,IFERROR(INDEX('Fringe Data'!$U$8:$U$129,MATCH($EJ88,'Fringe Data'!$F$8:$F$129,0)),0)))</f>
        <v>1.73</v>
      </c>
      <c r="EM88" s="372">
        <f t="shared" si="47"/>
        <v>0</v>
      </c>
      <c r="EN88" s="201" t="str">
        <f>IFERROR(INDEX('Fringe Data'!$G$8:$G$64,MATCH($EJ88,'Fringe Data'!$F$8:$F$64,0)),$EO$53)</f>
        <v>GBP</v>
      </c>
      <c r="EO88" s="201" t="str">
        <f t="shared" si="151"/>
        <v>GBP</v>
      </c>
      <c r="EP88" s="201">
        <f>IF(EI88=$EI$53,$EP$49,IF(GP88=1,0,IFERROR(INDEX('Fringe Data'!$K$8:$K$64,MATCH($EI88,'Fringe Data'!$F$8:$F$64,0)),0)))</f>
        <v>0.52</v>
      </c>
      <c r="EQ88" s="201">
        <f>IF(EI88=$EI$53,$EQ$49,IF(GP88=1,0,IFERROR(INDEX('Fringe Data'!$L$8:$L$64,MATCH($EI88,'Fringe Data'!$F$8:$F$64,0)),0)))</f>
        <v>1.8499999999999999E-2</v>
      </c>
      <c r="ER88" s="201">
        <f>IF(EI88=$EI$53,$ER$49,IF(GP88=1,0,IFERROR(INDEX('Fringe Data'!$M$8:$M$64,MATCH($EI88,'Fringe Data'!$F$8:$F$64,0)),0)))</f>
        <v>0.43430000000000002</v>
      </c>
      <c r="ES88" s="201">
        <f>IF(EI88=$EI$53,$ES$49,IF(GP88=1,0,IFERROR(INDEX('Fringe Data'!$N$8:$N$64,MATCH($EI88,'Fringe Data'!$F$8:$F$64,0)),0)))</f>
        <v>0.1565</v>
      </c>
      <c r="ET88" s="201">
        <f>IF(EI88=$EI$53,$ET$49,IF(GP88=1,0,IFERROR(INDEX('Fringe Data'!$O$8:$O$64,MATCH($EI88,'Fringe Data'!$F$8:$F$64,0)),0)))</f>
        <v>0.33450000000000002</v>
      </c>
      <c r="EU88" s="263">
        <f>IF(EI88=$EI$53,$EU$49,IF(GP88=1,0,IFERROR(INDEX('Fringe Data'!$P$8:$P$64,MATCH($EI88,'Fringe Data'!$F$8:$F$64,0)),0)))</f>
        <v>0.1565</v>
      </c>
      <c r="EV88" s="201"/>
      <c r="EW88" s="1530">
        <f t="shared" si="48"/>
        <v>1</v>
      </c>
      <c r="EX88" s="1534">
        <f t="shared" si="152"/>
        <v>0.52</v>
      </c>
      <c r="EY88" s="321">
        <f t="shared" si="153"/>
        <v>0</v>
      </c>
      <c r="EZ88" s="201">
        <f t="shared" si="154"/>
        <v>0</v>
      </c>
      <c r="FA88" s="372">
        <f t="shared" si="49"/>
        <v>0</v>
      </c>
      <c r="FB88" s="372">
        <f t="shared" si="50"/>
        <v>0</v>
      </c>
      <c r="FC88" s="201">
        <f t="shared" ca="1" si="155"/>
        <v>0</v>
      </c>
      <c r="FD88" s="423">
        <f t="shared" si="51"/>
        <v>0</v>
      </c>
      <c r="FE88" s="423">
        <f t="shared" si="52"/>
        <v>0</v>
      </c>
      <c r="FF88" s="201">
        <f t="shared" si="156"/>
        <v>0</v>
      </c>
      <c r="FG88" s="425">
        <f>IF(OR($FJ$52=3,$FJ$52=4,$FJ$52=5),'1 Setup'!$W$96,0)</f>
        <v>0</v>
      </c>
      <c r="FH88" s="428">
        <f>IF($FJ$52=5,'1 Setup'!$W$98,IF($FJ$52=6,'1 Setup'!$S$86,0))</f>
        <v>0</v>
      </c>
      <c r="FI88" s="321">
        <f t="shared" ca="1" si="53"/>
        <v>0</v>
      </c>
      <c r="FJ88" s="263">
        <f t="shared" ca="1" si="157"/>
        <v>0</v>
      </c>
      <c r="FK88" s="372">
        <f t="shared" ca="1" si="54"/>
        <v>0</v>
      </c>
      <c r="FL88" s="372">
        <f t="shared" si="55"/>
        <v>0</v>
      </c>
      <c r="FM88" s="372">
        <f t="shared" si="56"/>
        <v>0</v>
      </c>
      <c r="FN88" s="2036">
        <f t="shared" ca="1" si="57"/>
        <v>0</v>
      </c>
      <c r="FO88" s="372">
        <f t="shared" ca="1" si="224"/>
        <v>0</v>
      </c>
      <c r="FP88" s="2723">
        <f t="shared" si="158"/>
        <v>0</v>
      </c>
      <c r="FQ88" s="372">
        <f t="shared" si="59"/>
        <v>0</v>
      </c>
      <c r="FR88" s="372">
        <f t="shared" si="159"/>
        <v>0</v>
      </c>
      <c r="FS88" s="1168"/>
      <c r="FT88" s="1168">
        <f t="shared" si="60"/>
        <v>0</v>
      </c>
      <c r="FU88" s="1168">
        <f t="shared" si="61"/>
        <v>0</v>
      </c>
      <c r="FV88" s="1168">
        <f t="shared" si="62"/>
        <v>0</v>
      </c>
      <c r="FW88" s="1168">
        <f t="shared" si="63"/>
        <v>0</v>
      </c>
      <c r="FX88" s="1168">
        <f t="shared" si="64"/>
        <v>0</v>
      </c>
      <c r="FY88" s="1168">
        <f t="shared" si="65"/>
        <v>0</v>
      </c>
      <c r="FZ88" s="1168">
        <f t="shared" si="66"/>
        <v>0</v>
      </c>
      <c r="GA88" s="1168">
        <f t="shared" si="67"/>
        <v>0</v>
      </c>
      <c r="GB88" s="1168">
        <f t="shared" si="68"/>
        <v>0</v>
      </c>
      <c r="GC88" s="1168">
        <f t="shared" si="69"/>
        <v>0</v>
      </c>
      <c r="GD88" s="1168"/>
      <c r="GE88" s="199"/>
      <c r="GF88" s="201">
        <f t="shared" si="70"/>
        <v>0</v>
      </c>
      <c r="GG88" s="201">
        <f t="shared" si="71"/>
        <v>0</v>
      </c>
      <c r="GH88" s="201">
        <f t="shared" si="72"/>
        <v>0</v>
      </c>
      <c r="GI88" s="201">
        <f t="shared" ca="1" si="160"/>
        <v>0</v>
      </c>
      <c r="GJ88" s="201">
        <f t="shared" si="73"/>
        <v>0</v>
      </c>
      <c r="GK88" s="201">
        <f t="shared" si="74"/>
        <v>0</v>
      </c>
      <c r="GL88" s="201">
        <f t="shared" si="75"/>
        <v>1</v>
      </c>
      <c r="GM88" s="201">
        <f t="shared" si="76"/>
        <v>1</v>
      </c>
      <c r="GN88" s="201"/>
      <c r="GO88" s="201"/>
      <c r="GP88" s="201">
        <f t="shared" si="77"/>
        <v>0</v>
      </c>
      <c r="GQ88" s="201">
        <f t="shared" si="78"/>
        <v>0</v>
      </c>
      <c r="GR88" s="201">
        <f t="shared" si="161"/>
        <v>0</v>
      </c>
      <c r="GS88" s="1768"/>
      <c r="GT88" s="201">
        <f t="shared" si="79"/>
        <v>1</v>
      </c>
      <c r="GU88" s="201">
        <f t="shared" si="193"/>
        <v>25</v>
      </c>
      <c r="GV88" s="201">
        <f t="shared" si="80"/>
        <v>0</v>
      </c>
      <c r="GW88" s="201">
        <f t="shared" si="81"/>
        <v>3</v>
      </c>
      <c r="GX88" s="201">
        <f t="shared" si="162"/>
        <v>0</v>
      </c>
      <c r="GY88" s="1998"/>
      <c r="GZ88" s="253"/>
      <c r="HA88" s="195">
        <f t="shared" si="163"/>
        <v>0</v>
      </c>
      <c r="HB88" s="3558">
        <f t="shared" si="82"/>
        <v>0</v>
      </c>
      <c r="HC88" s="3590"/>
      <c r="HD88" s="257" t="str">
        <f t="shared" si="83"/>
        <v/>
      </c>
      <c r="HE88" s="825">
        <f t="shared" si="84"/>
        <v>0</v>
      </c>
      <c r="HF88" s="506" t="s">
        <v>5</v>
      </c>
      <c r="HG88" s="508">
        <f t="shared" ca="1" si="85"/>
        <v>0</v>
      </c>
      <c r="HH88" s="3585">
        <f t="shared" si="86"/>
        <v>0</v>
      </c>
      <c r="HI88" s="3586"/>
      <c r="HJ88" s="504">
        <f t="shared" ca="1" si="225"/>
        <v>0</v>
      </c>
      <c r="HK88" s="456">
        <f t="shared" ca="1" si="226"/>
        <v>0</v>
      </c>
      <c r="HL88" s="3591">
        <f t="shared" ca="1" si="227"/>
        <v>0</v>
      </c>
      <c r="HM88" s="3592"/>
      <c r="HN88" s="240"/>
      <c r="HO88" s="1998"/>
      <c r="HP88" s="1991"/>
      <c r="HQ88" s="2770" t="str">
        <f t="shared" si="90"/>
        <v>GB - BIAF</v>
      </c>
      <c r="HR88" s="2770" t="str">
        <f t="shared" si="91"/>
        <v>GBP</v>
      </c>
      <c r="HS88" s="2771">
        <f t="shared" si="92"/>
        <v>1</v>
      </c>
      <c r="HT88" s="3488"/>
      <c r="HU88" s="2771">
        <f t="shared" si="93"/>
        <v>1.73</v>
      </c>
      <c r="HW88" s="1218"/>
      <c r="HX88" s="520"/>
      <c r="HY88" s="2523"/>
      <c r="HZ88" s="194"/>
      <c r="IA88" s="1013"/>
      <c r="IB88" s="193"/>
      <c r="IC88" s="3276">
        <v>25</v>
      </c>
      <c r="ID88" s="986"/>
      <c r="IE88" s="938">
        <f t="shared" si="164"/>
        <v>0</v>
      </c>
      <c r="IF88" s="938">
        <f t="shared" si="165"/>
        <v>0</v>
      </c>
      <c r="IG88" s="432"/>
      <c r="II88" s="405"/>
      <c r="IJ88" s="239"/>
      <c r="IK88" s="2774" t="str">
        <f t="shared" si="166"/>
        <v>GBP</v>
      </c>
      <c r="IL88" s="2148"/>
      <c r="IM88" s="1936">
        <f t="shared" si="94"/>
        <v>0</v>
      </c>
      <c r="IO88" s="1959" t="str">
        <f t="shared" si="95"/>
        <v/>
      </c>
      <c r="IP88" s="1958"/>
      <c r="IQ88" s="543">
        <f t="shared" si="96"/>
        <v>0.52</v>
      </c>
      <c r="IR88" s="1936">
        <f t="shared" si="97"/>
        <v>0</v>
      </c>
      <c r="IT88" s="1364"/>
      <c r="IU88" s="210"/>
      <c r="IV88" s="218"/>
      <c r="IW88" s="1938">
        <f ca="1">IF(NOT(ISBLANK(IU88)),IU88,IF('1 Setup'!$G$8&lt;7,JK88,FJ88))+KA88</f>
        <v>0</v>
      </c>
      <c r="IX88" s="409">
        <f t="shared" si="98"/>
        <v>0</v>
      </c>
      <c r="IY88" s="408">
        <f t="shared" si="99"/>
        <v>0</v>
      </c>
      <c r="IZ88" s="1983"/>
      <c r="JA88" s="1994"/>
      <c r="JB88" s="1991"/>
      <c r="JD88" s="2029">
        <f t="shared" si="167"/>
        <v>0</v>
      </c>
      <c r="JE88" s="479"/>
      <c r="JF88" s="2025">
        <f t="shared" si="100"/>
        <v>0</v>
      </c>
      <c r="JG88" s="429">
        <f t="shared" si="101"/>
        <v>0</v>
      </c>
      <c r="JH88" s="1667">
        <f t="shared" si="102"/>
        <v>0</v>
      </c>
      <c r="JJ88" s="1163">
        <f t="shared" ca="1" si="103"/>
        <v>0</v>
      </c>
      <c r="JK88" s="1163">
        <f t="shared" ca="1" si="104"/>
        <v>0</v>
      </c>
      <c r="JL88" s="1795"/>
      <c r="JN88" s="2505"/>
      <c r="JO88" s="1161"/>
      <c r="JP88" s="571">
        <f t="shared" ca="1" si="105"/>
        <v>0</v>
      </c>
      <c r="JQ88" s="2506"/>
      <c r="JR88" s="1953"/>
      <c r="JS88" s="2650"/>
      <c r="JT88" s="2507"/>
      <c r="JU88" s="1964">
        <f t="shared" si="106"/>
        <v>0.33450000000000002</v>
      </c>
      <c r="JV88" s="3199"/>
      <c r="JW88" s="2649">
        <f t="shared" si="107"/>
        <v>1.5</v>
      </c>
      <c r="JX88" s="1964">
        <f t="shared" si="168"/>
        <v>0.1565</v>
      </c>
      <c r="JY88" s="3199"/>
      <c r="JZ88" s="2649">
        <f t="shared" si="169"/>
        <v>0</v>
      </c>
      <c r="KA88" s="2649">
        <f t="shared" si="170"/>
        <v>0</v>
      </c>
      <c r="KB88" s="2649" t="s">
        <v>111</v>
      </c>
      <c r="KC88" s="1983"/>
      <c r="KD88" s="1974"/>
      <c r="KE88" s="1991"/>
      <c r="KF88" s="2029">
        <f t="shared" si="171"/>
        <v>0</v>
      </c>
      <c r="KG88" s="1991"/>
      <c r="KH88" s="2121">
        <f t="shared" si="108"/>
        <v>0</v>
      </c>
      <c r="KI88" s="2130">
        <f t="shared" si="109"/>
        <v>0</v>
      </c>
      <c r="KJ88" s="2130">
        <f t="shared" si="110"/>
        <v>0</v>
      </c>
      <c r="KK88" s="2130">
        <f t="shared" si="111"/>
        <v>0</v>
      </c>
      <c r="KL88" s="2131">
        <f t="shared" si="112"/>
        <v>0</v>
      </c>
      <c r="KM88" s="2132">
        <f t="shared" si="113"/>
        <v>0</v>
      </c>
      <c r="KN88" s="2132">
        <f t="shared" si="114"/>
        <v>0</v>
      </c>
      <c r="KO88" s="2132">
        <f t="shared" si="115"/>
        <v>0</v>
      </c>
      <c r="KP88" s="2132">
        <f t="shared" si="116"/>
        <v>0</v>
      </c>
      <c r="KQ88" s="2133">
        <f t="shared" si="117"/>
        <v>0</v>
      </c>
      <c r="KS88" s="2253">
        <f t="shared" si="118"/>
        <v>0</v>
      </c>
      <c r="KT88" s="2270">
        <f t="shared" ref="KT88:LB88" si="265">KS88*(1+(KT$60))</f>
        <v>0</v>
      </c>
      <c r="KU88" s="2271">
        <f t="shared" si="265"/>
        <v>0</v>
      </c>
      <c r="KV88" s="2271">
        <f t="shared" si="265"/>
        <v>0</v>
      </c>
      <c r="KW88" s="2272">
        <f t="shared" si="265"/>
        <v>0</v>
      </c>
      <c r="KX88" s="2271">
        <f t="shared" si="265"/>
        <v>0</v>
      </c>
      <c r="KY88" s="2271">
        <f t="shared" si="265"/>
        <v>0</v>
      </c>
      <c r="KZ88" s="2271">
        <f t="shared" si="265"/>
        <v>0</v>
      </c>
      <c r="LA88" s="2271">
        <f t="shared" si="265"/>
        <v>0</v>
      </c>
      <c r="LB88" s="2273">
        <f t="shared" si="265"/>
        <v>0</v>
      </c>
      <c r="LC88" s="272"/>
      <c r="LD88" s="2124">
        <f t="shared" si="120"/>
        <v>0</v>
      </c>
      <c r="LE88" s="2093">
        <f t="shared" si="121"/>
        <v>0</v>
      </c>
      <c r="LF88" s="2093">
        <f t="shared" si="122"/>
        <v>0</v>
      </c>
      <c r="LG88" s="2093">
        <f t="shared" si="123"/>
        <v>0</v>
      </c>
      <c r="LH88" s="2094">
        <f t="shared" si="124"/>
        <v>0</v>
      </c>
      <c r="LI88" s="2095">
        <f t="shared" si="125"/>
        <v>0</v>
      </c>
      <c r="LJ88" s="2095">
        <f t="shared" si="126"/>
        <v>0</v>
      </c>
      <c r="LK88" s="2095">
        <f t="shared" si="127"/>
        <v>0</v>
      </c>
      <c r="LL88" s="2095">
        <f t="shared" si="128"/>
        <v>0</v>
      </c>
      <c r="LM88" s="2096">
        <f t="shared" si="129"/>
        <v>0</v>
      </c>
      <c r="LN88" s="749"/>
      <c r="LO88" s="2256">
        <f t="shared" ca="1" si="130"/>
        <v>0</v>
      </c>
      <c r="LP88" s="2270">
        <f t="shared" ca="1" si="131"/>
        <v>0</v>
      </c>
      <c r="LQ88" s="2271">
        <f t="shared" ca="1" si="132"/>
        <v>0</v>
      </c>
      <c r="LR88" s="2271">
        <f t="shared" ca="1" si="133"/>
        <v>0</v>
      </c>
      <c r="LS88" s="2272">
        <f t="shared" ca="1" si="134"/>
        <v>0</v>
      </c>
      <c r="LT88" s="2271">
        <f t="shared" ca="1" si="135"/>
        <v>0</v>
      </c>
      <c r="LU88" s="2271">
        <f t="shared" ca="1" si="136"/>
        <v>0</v>
      </c>
      <c r="LV88" s="2271">
        <f t="shared" ca="1" si="137"/>
        <v>0</v>
      </c>
      <c r="LW88" s="2271">
        <f t="shared" ca="1" si="138"/>
        <v>0</v>
      </c>
      <c r="LX88" s="2273">
        <f t="shared" ca="1" si="139"/>
        <v>0</v>
      </c>
      <c r="LY88" s="479"/>
      <c r="LZ88" s="3128">
        <f t="shared" ca="1" si="173"/>
        <v>-1.73</v>
      </c>
      <c r="MA88" s="3129">
        <f t="shared" ca="1" si="174"/>
        <v>-1.73</v>
      </c>
      <c r="MB88" s="3129">
        <f t="shared" ca="1" si="175"/>
        <v>-1.73</v>
      </c>
      <c r="MC88" s="3129">
        <f t="shared" ca="1" si="176"/>
        <v>-1.73</v>
      </c>
      <c r="MD88" s="3130">
        <f t="shared" ca="1" si="177"/>
        <v>-1.73</v>
      </c>
      <c r="ME88" s="3129">
        <f t="shared" ca="1" si="178"/>
        <v>-1.73</v>
      </c>
      <c r="MF88" s="3129">
        <f t="shared" ca="1" si="179"/>
        <v>-1.73</v>
      </c>
      <c r="MG88" s="3129">
        <f t="shared" ca="1" si="180"/>
        <v>-1.73</v>
      </c>
      <c r="MH88" s="3129">
        <f t="shared" ca="1" si="181"/>
        <v>-1.73</v>
      </c>
      <c r="MI88" s="3131">
        <f t="shared" ca="1" si="182"/>
        <v>-1.73</v>
      </c>
      <c r="MJ88" s="3201"/>
      <c r="MK88" s="3206">
        <f t="shared" ca="1" si="183"/>
        <v>0</v>
      </c>
      <c r="ML88" s="3207">
        <f t="shared" ca="1" si="184"/>
        <v>0</v>
      </c>
      <c r="MM88" s="3207">
        <f t="shared" ca="1" si="185"/>
        <v>0</v>
      </c>
      <c r="MN88" s="3207">
        <f t="shared" ca="1" si="186"/>
        <v>0</v>
      </c>
      <c r="MO88" s="3208">
        <f t="shared" ca="1" si="187"/>
        <v>0</v>
      </c>
      <c r="MP88" s="3207">
        <f t="shared" ca="1" si="188"/>
        <v>0</v>
      </c>
      <c r="MQ88" s="3207">
        <f t="shared" ca="1" si="189"/>
        <v>0</v>
      </c>
      <c r="MR88" s="3207">
        <f t="shared" ca="1" si="190"/>
        <v>0</v>
      </c>
      <c r="MS88" s="3207">
        <f t="shared" ca="1" si="191"/>
        <v>0</v>
      </c>
      <c r="MT88" s="3209">
        <f t="shared" ca="1" si="192"/>
        <v>0</v>
      </c>
      <c r="MU88" s="1983"/>
      <c r="MV88" s="1975"/>
      <c r="MW88" s="1991"/>
      <c r="MX88" s="1931">
        <f t="shared" si="142"/>
        <v>0</v>
      </c>
      <c r="MY88" s="749"/>
      <c r="MZ88" s="1934">
        <f t="shared" si="143"/>
        <v>0</v>
      </c>
      <c r="NA88" s="1935"/>
      <c r="NB88" s="2652">
        <f t="shared" si="144"/>
        <v>0</v>
      </c>
      <c r="NC88" s="479"/>
      <c r="ND88" s="2749" t="str">
        <f t="shared" si="145"/>
        <v/>
      </c>
      <c r="NE88" s="2717"/>
      <c r="NF88" s="1975"/>
      <c r="NG88" s="1975"/>
      <c r="NH88" s="1975"/>
      <c r="NI88" s="1975"/>
    </row>
    <row r="89" spans="1:373" s="192" customFormat="1" ht="15.9" customHeight="1" x14ac:dyDescent="0.3">
      <c r="A89" s="200"/>
      <c r="B89" s="200"/>
      <c r="C89" s="200"/>
      <c r="D89" s="200"/>
      <c r="E89" s="200"/>
      <c r="F89" s="200"/>
      <c r="G89" s="200"/>
      <c r="H89" s="200"/>
      <c r="I89" s="200"/>
      <c r="J89" s="200"/>
      <c r="K89" s="200"/>
      <c r="L89" s="200"/>
      <c r="M89" s="200"/>
      <c r="N89" s="200"/>
      <c r="O89" s="200"/>
      <c r="P89" s="1539"/>
      <c r="Q89" s="1539"/>
      <c r="R89" s="198"/>
      <c r="S89" s="1539"/>
      <c r="T89" s="201"/>
      <c r="U89" s="200"/>
      <c r="V89" s="201">
        <f>MATCH($IC89,'3b Activity Plan'!$DJ$171:$FH$171,0)</f>
        <v>26</v>
      </c>
      <c r="W89" s="201">
        <f>IFERROR(INDEX('3b Activity Plan'!$DJ$6:$FH$6,V89),0)</f>
        <v>0</v>
      </c>
      <c r="X89" s="1768"/>
      <c r="Y89" s="1768">
        <f>IFERROR(INDEX('3b Activity Plan'!$DJ$7:$FH$7,V89),0)</f>
        <v>0</v>
      </c>
      <c r="Z89" s="201"/>
      <c r="AA89" s="201">
        <f>IFERROR(INDEX('3b Activity Plan'!$DJ$34:$FH$34,$V89),0)</f>
        <v>0</v>
      </c>
      <c r="AB89" s="201">
        <f>IFERROR(INDEX('3b Activity Plan'!$DJ$35:$FH$35,$V89),0)</f>
        <v>0</v>
      </c>
      <c r="AC89" s="201">
        <f>IFERROR(INDEX('3b Activity Plan'!$DJ$36:$FH$36,$V89),0)</f>
        <v>0</v>
      </c>
      <c r="AD89" s="201">
        <f>IFERROR(INDEX('3b Activity Plan'!$DJ$37:$FH$37,$V89),0)</f>
        <v>0</v>
      </c>
      <c r="AE89" s="201">
        <f>IFERROR(INDEX('3b Activity Plan'!$DJ$38:$FH$38,$V89),0)</f>
        <v>0</v>
      </c>
      <c r="AF89" s="201">
        <f>IFERROR(INDEX('3b Activity Plan'!$DJ$39:$FH$39,$V89),0)</f>
        <v>0</v>
      </c>
      <c r="AG89" s="201">
        <f>IFERROR(INDEX('3b Activity Plan'!$DJ$40:$FH$40,$V89),0)</f>
        <v>0</v>
      </c>
      <c r="AH89" s="201">
        <f>IFERROR(INDEX('3b Activity Plan'!$DJ$41:$FH$41,$V89),0)</f>
        <v>0</v>
      </c>
      <c r="AI89" s="201">
        <f>IFERROR(INDEX('3b Activity Plan'!$DJ$42:$FH$42,$V89),0)</f>
        <v>0</v>
      </c>
      <c r="AJ89" s="201">
        <f>IFERROR(INDEX('3b Activity Plan'!$DJ$43:$FH$43,$V89),0)</f>
        <v>0</v>
      </c>
      <c r="AK89" s="201"/>
      <c r="AL89" s="201">
        <f>SUMIFS('3a Staff Plan'!$AR$129:$AR$305,'3a Staff Plan'!$DY$129:$DY$305,$IA89,'3a Staff Plan'!$DF$129:$DF$305,1)</f>
        <v>0</v>
      </c>
      <c r="AM89" s="1768"/>
      <c r="AN89" s="1768">
        <f>SUMIFS('3a Staff Plan'!$AR$129:$AR$305,'3a Staff Plan'!$DY$129:$DY$305,$IA89,'3a Staff Plan'!$CV$129:$CV$305,1)</f>
        <v>0</v>
      </c>
      <c r="AO89" s="201"/>
      <c r="AP89" s="201">
        <f>SUMIFS('3a Staff Plan'!$AS$129:$AS$305,'3a Staff Plan'!$DY$129:$DY$305,$IA89,'3a Staff Plan'!$DF$129:$DF$305,1)</f>
        <v>0</v>
      </c>
      <c r="AQ89" s="201">
        <f>SUMIFS('3a Staff Plan'!$AT$129:$AT$305,'3a Staff Plan'!$DY$129:$DY$305,$IA89,'3a Staff Plan'!$DF$129:$DF$305,1)</f>
        <v>0</v>
      </c>
      <c r="AR89" s="201">
        <f>SUMIFS('3a Staff Plan'!$AU$129:$AU$305,'3a Staff Plan'!$DY$129:$DY$305,$IA89,'3a Staff Plan'!$DF$129:$DF$305,1)</f>
        <v>0</v>
      </c>
      <c r="AS89" s="201">
        <f>SUMIFS('3a Staff Plan'!$AV$129:$AV$305,'3a Staff Plan'!$DY$129:$DY$305,$IA89,'3a Staff Plan'!$DF$129:$DF$305,1)</f>
        <v>0</v>
      </c>
      <c r="AT89" s="201">
        <f>SUMIFS('3a Staff Plan'!$AW$129:$AW$305,'3a Staff Plan'!$DY$129:$DY$305,$IA89,'3a Staff Plan'!$DF$129:$DF$305,1)</f>
        <v>0</v>
      </c>
      <c r="AU89" s="201">
        <f>SUMIFS('3a Staff Plan'!$AX$129:$AX$305,'3a Staff Plan'!$DY$129:$DY$305,$IA89,'3a Staff Plan'!$DF$129:$DF$305,1)</f>
        <v>0</v>
      </c>
      <c r="AV89" s="201">
        <f>SUMIFS('3a Staff Plan'!$AY$129:$AY$305,'3a Staff Plan'!$DY$129:$DY$305,$IA89,'3a Staff Plan'!$DF$129:$DF$305,1)</f>
        <v>0</v>
      </c>
      <c r="AW89" s="201">
        <f>SUMIFS('3a Staff Plan'!$AZ$129:$AZ$305,'3a Staff Plan'!$DY$129:$DY$305,$IA89,'3a Staff Plan'!$DF$129:$DF$305,1)</f>
        <v>0</v>
      </c>
      <c r="AX89" s="201">
        <f>SUMIFS('3a Staff Plan'!$BA$129:$BA$305,'3a Staff Plan'!$DY$129:$DY$305,$IA89,'3a Staff Plan'!$DF$129:$DF$305,1)</f>
        <v>0</v>
      </c>
      <c r="AY89" s="201">
        <f>SUMIFS('3a Staff Plan'!$BB$129:$BB$305,'3a Staff Plan'!$DY$129:$DY$305,$IA89,'3a Staff Plan'!$DF$129:$DF$305,1)</f>
        <v>0</v>
      </c>
      <c r="AZ89" s="201"/>
      <c r="BA89" s="201">
        <f t="shared" ref="BA89:BC90" si="266">(W89*$V$51)+(AL89*$AL$51)</f>
        <v>0</v>
      </c>
      <c r="BB89" s="1768"/>
      <c r="BC89" s="1768">
        <f t="shared" si="266"/>
        <v>0</v>
      </c>
      <c r="BD89" s="201"/>
      <c r="BE89" s="201">
        <f t="shared" ref="BE89:BN90" si="267">(AA89*$V$51)+(AP89*$AL$51)</f>
        <v>0</v>
      </c>
      <c r="BF89" s="201">
        <f t="shared" si="267"/>
        <v>0</v>
      </c>
      <c r="BG89" s="201">
        <f t="shared" si="267"/>
        <v>0</v>
      </c>
      <c r="BH89" s="201">
        <f t="shared" si="267"/>
        <v>0</v>
      </c>
      <c r="BI89" s="201">
        <f t="shared" si="267"/>
        <v>0</v>
      </c>
      <c r="BJ89" s="201">
        <f t="shared" si="267"/>
        <v>0</v>
      </c>
      <c r="BK89" s="201">
        <f t="shared" si="267"/>
        <v>0</v>
      </c>
      <c r="BL89" s="201">
        <f t="shared" si="267"/>
        <v>0</v>
      </c>
      <c r="BM89" s="201">
        <f t="shared" si="267"/>
        <v>0</v>
      </c>
      <c r="BN89" s="201">
        <f t="shared" si="267"/>
        <v>0</v>
      </c>
      <c r="BO89" s="201"/>
      <c r="BP89" s="1818">
        <f t="shared" si="146"/>
        <v>26</v>
      </c>
      <c r="BQ89" s="1818">
        <f>IFERROR(INDEX('3b Activity Plan'!$DJ$15:$FH$15,BP89),0)</f>
        <v>0</v>
      </c>
      <c r="BR89" s="1768"/>
      <c r="BS89" s="1768">
        <f>IFERROR(INDEX('3b Activity Plan'!$DJ$16:$FH$16,BP89),0)</f>
        <v>0</v>
      </c>
      <c r="BT89" s="201"/>
      <c r="BU89" s="201">
        <f>IFERROR(INDEX('3b Activity Plan'!$DJ$67:$FH$67,$V89),0)</f>
        <v>0</v>
      </c>
      <c r="BV89" s="201">
        <f>IFERROR(INDEX('3b Activity Plan'!$DJ$68:$FH$68,$V89),0)</f>
        <v>0</v>
      </c>
      <c r="BW89" s="201">
        <f>IFERROR(INDEX('3b Activity Plan'!$DJ$69:$FH$69,$V89),0)</f>
        <v>0</v>
      </c>
      <c r="BX89" s="201">
        <f>IFERROR(INDEX('3b Activity Plan'!$DJ$70:$FH$70,$V89),0)</f>
        <v>0</v>
      </c>
      <c r="BY89" s="201">
        <f>IFERROR(INDEX('3b Activity Plan'!$DJ$71:$FH$71,$V89),0)</f>
        <v>0</v>
      </c>
      <c r="BZ89" s="201">
        <f>IFERROR(INDEX('3b Activity Plan'!$DJ$72:$FH$72,$V89),0)</f>
        <v>0</v>
      </c>
      <c r="CA89" s="201">
        <f>IFERROR(INDEX('3b Activity Plan'!$DJ$73:$FH$73,$V89),0)</f>
        <v>0</v>
      </c>
      <c r="CB89" s="201">
        <f>IFERROR(INDEX('3b Activity Plan'!$DJ$74:$FH$74,$V89),0)</f>
        <v>0</v>
      </c>
      <c r="CC89" s="201">
        <f>IFERROR(INDEX('3b Activity Plan'!$DJ$75:$FH$75,$V89),0)</f>
        <v>0</v>
      </c>
      <c r="CD89" s="201">
        <f>IFERROR(INDEX('3b Activity Plan'!$DJ$76:$FH$76,$V89),0)</f>
        <v>0</v>
      </c>
      <c r="CE89" s="201"/>
      <c r="CF89" s="1818">
        <f>SUMIFS('3a Staff Plan'!$AR$129:$AR$305,'3a Staff Plan'!$DY$129:$DY$305,$IA89,'3a Staff Plan'!$AG$129:$AG$305,1,'3a Staff Plan'!$DF$129:$DF$305,1)</f>
        <v>0</v>
      </c>
      <c r="CG89" s="1768">
        <f>SUMIFS('3a Staff Plan'!$AR$129:$AR$305,'3a Staff Plan'!$DY$129:$DY$305,$IA89,'3a Staff Plan'!$AG$129:$AG$305,1,'3a Staff Plan'!$CX$129:$CX$305,1)</f>
        <v>0</v>
      </c>
      <c r="CH89" s="1768">
        <f>SUMIFS('3a Staff Plan'!$AR$129:$AR$305,'3a Staff Plan'!$DY$129:$DY$305,$IA89,'3a Staff Plan'!$AG$129:$AG$305,1,'3a Staff Plan'!$CV$129:$CV$305,1)</f>
        <v>0</v>
      </c>
      <c r="CI89" s="201"/>
      <c r="CJ89" s="201">
        <f>SUMIFS('3a Staff Plan'!$BX$129:$BX$305,'3a Staff Plan'!$DY$129:$DY$305,$IA89,'3a Staff Plan'!$DF$129:$DF$305,1,'3a Staff Plan'!$AG$129:$AG$305,1)</f>
        <v>0</v>
      </c>
      <c r="CK89" s="201">
        <f>SUMIFS('3a Staff Plan'!$BY$129:$BY$305,'3a Staff Plan'!$DY$129:$DY$305,$IA89,'3a Staff Plan'!$DF$129:$DF$305,1,'3a Staff Plan'!$AG$129:$AG$305,1)</f>
        <v>0</v>
      </c>
      <c r="CL89" s="201">
        <f>SUMIFS('3a Staff Plan'!$BZ$129:$BZ$305,'3a Staff Plan'!$DY$129:$DY$305,$IA89,'3a Staff Plan'!$DF$129:$DF$305,1,'3a Staff Plan'!$AG$129:$AG$305,1)</f>
        <v>0</v>
      </c>
      <c r="CM89" s="201">
        <f>SUMIFS('3a Staff Plan'!$CA$129:$CA$305,'3a Staff Plan'!$DY$129:$DY$305,$IA89,'3a Staff Plan'!$DF$129:$DF$305,1,'3a Staff Plan'!$AG$129:$AG$305,1)</f>
        <v>0</v>
      </c>
      <c r="CN89" s="201">
        <f>SUMIFS('3a Staff Plan'!$CB$129:$CB$305,'3a Staff Plan'!$DY$129:$DY$305,$IA89,'3a Staff Plan'!$DF$129:$DF$305,1,'3a Staff Plan'!$AG$129:$AG$305,1)</f>
        <v>0</v>
      </c>
      <c r="CO89" s="201">
        <f>SUMIFS('3a Staff Plan'!$CC$129:$CC$305,'3a Staff Plan'!$DY$129:$DY$305,$IA89,'3a Staff Plan'!$DF$129:$DF$305,1,'3a Staff Plan'!$AG$129:$AG$305,1)</f>
        <v>0</v>
      </c>
      <c r="CP89" s="201">
        <f>SUMIFS('3a Staff Plan'!$CD$129:$CD$305,'3a Staff Plan'!$DY$129:$DY$305,$IA89,'3a Staff Plan'!$DF$129:$DF$305,1,'3a Staff Plan'!$AG$129:$AG$305,1)</f>
        <v>0</v>
      </c>
      <c r="CQ89" s="201">
        <f>SUMIFS('3a Staff Plan'!$CE$129:$CE$305,'3a Staff Plan'!$DY$129:$DY$305,$IA89,'3a Staff Plan'!$DF$129:$DF$305,1,'3a Staff Plan'!$AG$129:$AG$305,1)</f>
        <v>0</v>
      </c>
      <c r="CR89" s="201">
        <f>SUMIFS('3a Staff Plan'!$CF$129:$CF$305,'3a Staff Plan'!$DY$129:$DY$305,$IA89,'3a Staff Plan'!$DF$129:$DF$305,1,'3a Staff Plan'!$AG$129:$AG$305,1)</f>
        <v>0</v>
      </c>
      <c r="CS89" s="201">
        <f>SUMIFS('3a Staff Plan'!$CG$129:$CG$305,'3a Staff Plan'!$DY$129:$DY$305,$IA89,'3a Staff Plan'!$DF$129:$DF$305,1,'3a Staff Plan'!$AG$129:$AG$305,1)</f>
        <v>0</v>
      </c>
      <c r="CT89" s="201"/>
      <c r="CU89" s="1818">
        <f t="shared" ref="CU89:CW90" si="268">(BQ89*$V$51)+(CF89*$AL$51)</f>
        <v>0</v>
      </c>
      <c r="CV89" s="1768"/>
      <c r="CW89" s="1768">
        <f t="shared" si="268"/>
        <v>0</v>
      </c>
      <c r="CX89" s="201"/>
      <c r="CY89" s="201">
        <f t="shared" ref="CY89:DH90" si="269">(BU89*$V$51)+(CJ89*$AL$51)</f>
        <v>0</v>
      </c>
      <c r="CZ89" s="201">
        <f t="shared" si="269"/>
        <v>0</v>
      </c>
      <c r="DA89" s="201">
        <f t="shared" si="269"/>
        <v>0</v>
      </c>
      <c r="DB89" s="201">
        <f t="shared" si="269"/>
        <v>0</v>
      </c>
      <c r="DC89" s="201">
        <f t="shared" si="269"/>
        <v>0</v>
      </c>
      <c r="DD89" s="201">
        <f t="shared" si="269"/>
        <v>0</v>
      </c>
      <c r="DE89" s="201">
        <f t="shared" si="269"/>
        <v>0</v>
      </c>
      <c r="DF89" s="201">
        <f t="shared" si="269"/>
        <v>0</v>
      </c>
      <c r="DG89" s="201">
        <f t="shared" si="269"/>
        <v>0</v>
      </c>
      <c r="DH89" s="201">
        <f t="shared" si="269"/>
        <v>0</v>
      </c>
      <c r="DI89" s="201"/>
      <c r="DJ89" s="201"/>
      <c r="DK89" s="201"/>
      <c r="DL89" s="201"/>
      <c r="DM89" s="372">
        <f t="shared" ca="1" si="37"/>
        <v>0</v>
      </c>
      <c r="DN89" s="1185">
        <f t="shared" si="38"/>
        <v>0</v>
      </c>
      <c r="DO89" s="1185">
        <f t="shared" si="39"/>
        <v>0</v>
      </c>
      <c r="DP89" s="201"/>
      <c r="DQ89" s="372">
        <f t="shared" ca="1" si="40"/>
        <v>0</v>
      </c>
      <c r="DR89" s="1185">
        <f t="shared" si="41"/>
        <v>0</v>
      </c>
      <c r="DS89" s="1185">
        <f t="shared" si="42"/>
        <v>0</v>
      </c>
      <c r="DT89" s="201"/>
      <c r="DU89" s="372">
        <f t="shared" ref="DU89:DW90" ca="1" si="270">(DM89*$V$51)+(DQ89*$AL$51)</f>
        <v>0</v>
      </c>
      <c r="DV89" s="372">
        <f t="shared" si="270"/>
        <v>0</v>
      </c>
      <c r="DW89" s="372">
        <f t="shared" si="270"/>
        <v>0</v>
      </c>
      <c r="DX89" s="201"/>
      <c r="DY89" s="372">
        <f t="shared" si="44"/>
        <v>0</v>
      </c>
      <c r="DZ89" s="372">
        <f t="shared" ca="1" si="45"/>
        <v>0</v>
      </c>
      <c r="EA89" s="201"/>
      <c r="EB89" s="2776">
        <f>IF(EO89=$EO$53,1,IFERROR(INDEX('Currency Data'!$L$8:$L$41,MATCH(EO89,'Currency Data'!$H$8:$H$41,0)),1))</f>
        <v>1</v>
      </c>
      <c r="EC89" s="2776">
        <f t="shared" si="147"/>
        <v>1</v>
      </c>
      <c r="ED89" s="428">
        <f>IF(GQ89=1,'1 Setup'!$T$68,IF(ISBLANK(IJ89),II89/EC89*IF(GL89=1,$ED$53,1),IJ89/EC89)*IF($EW89=7,JW89,1))</f>
        <v>0</v>
      </c>
      <c r="EE89" s="428">
        <f t="shared" si="46"/>
        <v>0</v>
      </c>
      <c r="EF89" s="428"/>
      <c r="EG89" s="1965" t="str">
        <f t="shared" si="148"/>
        <v>031500 - Highways UK</v>
      </c>
      <c r="EH89" s="201">
        <f t="shared" si="149"/>
        <v>1</v>
      </c>
      <c r="EI89" s="445" t="str">
        <f>IF(EH89=1,$EI$53,IF(GQ89=1,$GQ$55,IFERROR(IF($EG89=$EG$53,$EI$53,INDEX('PU List'!$G$6:$G$413,MATCH($EG89,'PU List'!$D$6:$D$413,0))),$EI$53)))</f>
        <v>GB - BIAF</v>
      </c>
      <c r="EJ89" s="2773" t="str">
        <f t="shared" si="150"/>
        <v>GB - BIAF</v>
      </c>
      <c r="EK89" s="1768"/>
      <c r="EL89" s="3283">
        <f>IF(OR(EW89&gt;7,$EL$53=0),0,IF(EJ89=$EI$53,$EL$53,IFERROR(INDEX('Fringe Data'!$U$8:$U$129,MATCH($EJ89,'Fringe Data'!$F$8:$F$129,0)),0)))</f>
        <v>1.73</v>
      </c>
      <c r="EM89" s="372">
        <f t="shared" si="47"/>
        <v>0</v>
      </c>
      <c r="EN89" s="201" t="str">
        <f>IFERROR(INDEX('Fringe Data'!$G$8:$G$64,MATCH($EJ89,'Fringe Data'!$F$8:$F$64,0)),$EO$53)</f>
        <v>GBP</v>
      </c>
      <c r="EO89" s="201" t="str">
        <f t="shared" si="151"/>
        <v>GBP</v>
      </c>
      <c r="EP89" s="201">
        <f>IF(EI89=$EI$53,$EP$49,IF(GP89=1,0,IFERROR(INDEX('Fringe Data'!$K$8:$K$64,MATCH($EI89,'Fringe Data'!$F$8:$F$64,0)),0)))</f>
        <v>0.52</v>
      </c>
      <c r="EQ89" s="201">
        <f>IF(EI89=$EI$53,$EQ$49,IF(GP89=1,0,IFERROR(INDEX('Fringe Data'!$L$8:$L$64,MATCH($EI89,'Fringe Data'!$F$8:$F$64,0)),0)))</f>
        <v>1.8499999999999999E-2</v>
      </c>
      <c r="ER89" s="201">
        <f>IF(EI89=$EI$53,$ER$49,IF(GP89=1,0,IFERROR(INDEX('Fringe Data'!$M$8:$M$64,MATCH($EI89,'Fringe Data'!$F$8:$F$64,0)),0)))</f>
        <v>0.43430000000000002</v>
      </c>
      <c r="ES89" s="201">
        <f>IF(EI89=$EI$53,$ES$49,IF(GP89=1,0,IFERROR(INDEX('Fringe Data'!$N$8:$N$64,MATCH($EI89,'Fringe Data'!$F$8:$F$64,0)),0)))</f>
        <v>0.1565</v>
      </c>
      <c r="ET89" s="201">
        <f>IF(EI89=$EI$53,$ET$49,IF(GP89=1,0,IFERROR(INDEX('Fringe Data'!$O$8:$O$64,MATCH($EI89,'Fringe Data'!$F$8:$F$64,0)),0)))</f>
        <v>0.33450000000000002</v>
      </c>
      <c r="EU89" s="263">
        <f>IF(EI89=$EI$53,$EU$49,IF(GP89=1,0,IFERROR(INDEX('Fringe Data'!$P$8:$P$64,MATCH($EI89,'Fringe Data'!$F$8:$F$64,0)),0)))</f>
        <v>0.1565</v>
      </c>
      <c r="EV89" s="201"/>
      <c r="EW89" s="1530">
        <f t="shared" si="48"/>
        <v>1</v>
      </c>
      <c r="EX89" s="1534">
        <f t="shared" si="152"/>
        <v>0.52</v>
      </c>
      <c r="EY89" s="321">
        <f t="shared" si="153"/>
        <v>0</v>
      </c>
      <c r="EZ89" s="201">
        <f t="shared" si="154"/>
        <v>0</v>
      </c>
      <c r="FA89" s="372">
        <f t="shared" si="49"/>
        <v>0</v>
      </c>
      <c r="FB89" s="372">
        <f t="shared" si="50"/>
        <v>0</v>
      </c>
      <c r="FC89" s="201">
        <f t="shared" ca="1" si="155"/>
        <v>0</v>
      </c>
      <c r="FD89" s="423">
        <f t="shared" si="51"/>
        <v>0</v>
      </c>
      <c r="FE89" s="423">
        <f t="shared" si="52"/>
        <v>0</v>
      </c>
      <c r="FF89" s="201">
        <f t="shared" si="156"/>
        <v>0</v>
      </c>
      <c r="FG89" s="425">
        <f>IF(OR($FJ$52=3,$FJ$52=4,$FJ$52=5),'1 Setup'!$W$96,0)</f>
        <v>0</v>
      </c>
      <c r="FH89" s="428">
        <f>IF($FJ$52=5,'1 Setup'!$W$98,IF($FJ$52=6,'1 Setup'!$S$86,0))</f>
        <v>0</v>
      </c>
      <c r="FI89" s="321">
        <f t="shared" ca="1" si="53"/>
        <v>0</v>
      </c>
      <c r="FJ89" s="263">
        <f t="shared" ca="1" si="157"/>
        <v>0</v>
      </c>
      <c r="FK89" s="372">
        <f t="shared" ca="1" si="54"/>
        <v>0</v>
      </c>
      <c r="FL89" s="372">
        <f t="shared" si="55"/>
        <v>0</v>
      </c>
      <c r="FM89" s="372">
        <f t="shared" si="56"/>
        <v>0</v>
      </c>
      <c r="FN89" s="2036">
        <f t="shared" ca="1" si="57"/>
        <v>0</v>
      </c>
      <c r="FO89" s="372">
        <f ca="1">$BA89*FN89</f>
        <v>0</v>
      </c>
      <c r="FP89" s="2723">
        <f t="shared" si="158"/>
        <v>0</v>
      </c>
      <c r="FQ89" s="372">
        <f t="shared" si="59"/>
        <v>0</v>
      </c>
      <c r="FR89" s="372">
        <f t="shared" si="159"/>
        <v>0</v>
      </c>
      <c r="FS89" s="1168"/>
      <c r="FT89" s="1168">
        <f t="shared" si="60"/>
        <v>0</v>
      </c>
      <c r="FU89" s="1168">
        <f t="shared" si="61"/>
        <v>0</v>
      </c>
      <c r="FV89" s="1168">
        <f t="shared" si="62"/>
        <v>0</v>
      </c>
      <c r="FW89" s="1168">
        <f t="shared" si="63"/>
        <v>0</v>
      </c>
      <c r="FX89" s="1168">
        <f t="shared" si="64"/>
        <v>0</v>
      </c>
      <c r="FY89" s="1168">
        <f t="shared" si="65"/>
        <v>0</v>
      </c>
      <c r="FZ89" s="1168">
        <f t="shared" si="66"/>
        <v>0</v>
      </c>
      <c r="GA89" s="1168">
        <f t="shared" si="67"/>
        <v>0</v>
      </c>
      <c r="GB89" s="1168">
        <f t="shared" si="68"/>
        <v>0</v>
      </c>
      <c r="GC89" s="1168">
        <f t="shared" si="69"/>
        <v>0</v>
      </c>
      <c r="GD89" s="1168"/>
      <c r="GE89" s="199"/>
      <c r="GF89" s="201">
        <f t="shared" si="70"/>
        <v>0</v>
      </c>
      <c r="GG89" s="201">
        <f t="shared" si="71"/>
        <v>0</v>
      </c>
      <c r="GH89" s="201">
        <f t="shared" si="72"/>
        <v>0</v>
      </c>
      <c r="GI89" s="201">
        <f t="shared" ca="1" si="160"/>
        <v>0</v>
      </c>
      <c r="GJ89" s="201">
        <f t="shared" si="73"/>
        <v>0</v>
      </c>
      <c r="GK89" s="201">
        <f t="shared" si="74"/>
        <v>0</v>
      </c>
      <c r="GL89" s="201">
        <f t="shared" si="75"/>
        <v>1</v>
      </c>
      <c r="GM89" s="201">
        <f t="shared" si="76"/>
        <v>1</v>
      </c>
      <c r="GN89" s="201"/>
      <c r="GO89" s="201"/>
      <c r="GP89" s="201">
        <f t="shared" si="77"/>
        <v>0</v>
      </c>
      <c r="GQ89" s="201">
        <f t="shared" si="78"/>
        <v>0</v>
      </c>
      <c r="GR89" s="201">
        <f t="shared" si="161"/>
        <v>0</v>
      </c>
      <c r="GS89" s="1768"/>
      <c r="GT89" s="201">
        <f t="shared" si="79"/>
        <v>1</v>
      </c>
      <c r="GU89" s="201">
        <f t="shared" si="193"/>
        <v>26</v>
      </c>
      <c r="GV89" s="201">
        <f t="shared" si="80"/>
        <v>0</v>
      </c>
      <c r="GW89" s="201">
        <f t="shared" si="81"/>
        <v>3</v>
      </c>
      <c r="GX89" s="201">
        <f t="shared" si="162"/>
        <v>0</v>
      </c>
      <c r="GY89" s="1998"/>
      <c r="GZ89" s="253"/>
      <c r="HA89" s="195">
        <f t="shared" si="163"/>
        <v>0</v>
      </c>
      <c r="HB89" s="3558">
        <f t="shared" si="82"/>
        <v>0</v>
      </c>
      <c r="HC89" s="3590"/>
      <c r="HD89" s="257" t="str">
        <f t="shared" si="83"/>
        <v/>
      </c>
      <c r="HE89" s="825">
        <f t="shared" si="84"/>
        <v>0</v>
      </c>
      <c r="HF89" s="506" t="s">
        <v>5</v>
      </c>
      <c r="HG89" s="508">
        <f t="shared" ca="1" si="85"/>
        <v>0</v>
      </c>
      <c r="HH89" s="3585">
        <f t="shared" si="86"/>
        <v>0</v>
      </c>
      <c r="HI89" s="3586"/>
      <c r="HJ89" s="504">
        <f ca="1">HG89-HH89</f>
        <v>0</v>
      </c>
      <c r="HK89" s="456">
        <f ca="1">IF(HG89&lt;0.1,0,IFERROR(HJ89/HG89,0))</f>
        <v>0</v>
      </c>
      <c r="HL89" s="3591">
        <f ca="1">IFERROR(HJ89/HE89,0)</f>
        <v>0</v>
      </c>
      <c r="HM89" s="3592"/>
      <c r="HN89" s="240"/>
      <c r="HO89" s="1998"/>
      <c r="HP89" s="1991"/>
      <c r="HQ89" s="2770" t="str">
        <f t="shared" si="90"/>
        <v>GB - BIAF</v>
      </c>
      <c r="HR89" s="2770" t="str">
        <f t="shared" si="91"/>
        <v>GBP</v>
      </c>
      <c r="HS89" s="2771">
        <f t="shared" si="92"/>
        <v>1</v>
      </c>
      <c r="HT89" s="3623"/>
      <c r="HU89" s="2771">
        <f t="shared" si="93"/>
        <v>1.73</v>
      </c>
      <c r="HW89" s="1218"/>
      <c r="HX89" s="520"/>
      <c r="HY89" s="2523"/>
      <c r="HZ89" s="194"/>
      <c r="IA89" s="1013"/>
      <c r="IB89" s="193"/>
      <c r="IC89" s="3276">
        <v>26</v>
      </c>
      <c r="ID89" s="986"/>
      <c r="IE89" s="938">
        <f t="shared" si="164"/>
        <v>0</v>
      </c>
      <c r="IF89" s="938">
        <f t="shared" si="165"/>
        <v>0</v>
      </c>
      <c r="IG89" s="432"/>
      <c r="II89" s="405"/>
      <c r="IJ89" s="239"/>
      <c r="IK89" s="2774" t="str">
        <f t="shared" si="166"/>
        <v>GBP</v>
      </c>
      <c r="IL89" s="2148"/>
      <c r="IM89" s="1936">
        <f t="shared" si="94"/>
        <v>0</v>
      </c>
      <c r="IO89" s="1959" t="str">
        <f t="shared" si="95"/>
        <v/>
      </c>
      <c r="IP89" s="1958"/>
      <c r="IQ89" s="543">
        <f t="shared" si="96"/>
        <v>0.52</v>
      </c>
      <c r="IR89" s="1936">
        <f t="shared" si="97"/>
        <v>0</v>
      </c>
      <c r="IT89" s="1364"/>
      <c r="IU89" s="210"/>
      <c r="IV89" s="218"/>
      <c r="IW89" s="1938">
        <f ca="1">IF(NOT(ISBLANK(IU89)),IU89,IF('1 Setup'!$G$8&lt;7,JK89,FJ89))+KA89</f>
        <v>0</v>
      </c>
      <c r="IX89" s="409">
        <f t="shared" si="98"/>
        <v>0</v>
      </c>
      <c r="IY89" s="408">
        <f t="shared" si="99"/>
        <v>0</v>
      </c>
      <c r="IZ89" s="1983"/>
      <c r="JA89" s="1994"/>
      <c r="JB89" s="1991"/>
      <c r="JD89" s="2029">
        <f t="shared" si="167"/>
        <v>0</v>
      </c>
      <c r="JE89" s="479"/>
      <c r="JF89" s="2025">
        <f t="shared" si="100"/>
        <v>0</v>
      </c>
      <c r="JG89" s="429">
        <f t="shared" si="101"/>
        <v>0</v>
      </c>
      <c r="JH89" s="1667">
        <f t="shared" si="102"/>
        <v>0</v>
      </c>
      <c r="JJ89" s="1163">
        <f t="shared" ca="1" si="103"/>
        <v>0</v>
      </c>
      <c r="JK89" s="1163">
        <f t="shared" ca="1" si="104"/>
        <v>0</v>
      </c>
      <c r="JL89" s="1795"/>
      <c r="JN89" s="2505"/>
      <c r="JO89" s="1161"/>
      <c r="JP89" s="571">
        <f t="shared" ca="1" si="105"/>
        <v>0</v>
      </c>
      <c r="JQ89" s="2506"/>
      <c r="JR89" s="1953"/>
      <c r="JS89" s="2650"/>
      <c r="JT89" s="2507"/>
      <c r="JU89" s="1964">
        <f t="shared" si="106"/>
        <v>0.33450000000000002</v>
      </c>
      <c r="JV89" s="3199"/>
      <c r="JW89" s="2649">
        <f t="shared" si="107"/>
        <v>1.5</v>
      </c>
      <c r="JX89" s="1964">
        <f t="shared" si="168"/>
        <v>0.1565</v>
      </c>
      <c r="JY89" s="3199"/>
      <c r="JZ89" s="2649">
        <f t="shared" si="169"/>
        <v>0</v>
      </c>
      <c r="KA89" s="2649">
        <f t="shared" si="170"/>
        <v>0</v>
      </c>
      <c r="KB89" s="2649" t="s">
        <v>111</v>
      </c>
      <c r="KC89" s="1983"/>
      <c r="KD89" s="1974"/>
      <c r="KE89" s="1991"/>
      <c r="KF89" s="2029">
        <f t="shared" si="171"/>
        <v>0</v>
      </c>
      <c r="KG89" s="1991"/>
      <c r="KH89" s="2121">
        <f t="shared" si="108"/>
        <v>0</v>
      </c>
      <c r="KI89" s="2130">
        <f t="shared" si="109"/>
        <v>0</v>
      </c>
      <c r="KJ89" s="2130">
        <f t="shared" si="110"/>
        <v>0</v>
      </c>
      <c r="KK89" s="2130">
        <f t="shared" si="111"/>
        <v>0</v>
      </c>
      <c r="KL89" s="2131">
        <f t="shared" si="112"/>
        <v>0</v>
      </c>
      <c r="KM89" s="2132">
        <f t="shared" si="113"/>
        <v>0</v>
      </c>
      <c r="KN89" s="2132">
        <f t="shared" si="114"/>
        <v>0</v>
      </c>
      <c r="KO89" s="2132">
        <f t="shared" si="115"/>
        <v>0</v>
      </c>
      <c r="KP89" s="2132">
        <f t="shared" si="116"/>
        <v>0</v>
      </c>
      <c r="KQ89" s="2133">
        <f t="shared" si="117"/>
        <v>0</v>
      </c>
      <c r="KS89" s="2253">
        <f t="shared" si="118"/>
        <v>0</v>
      </c>
      <c r="KT89" s="2270">
        <f t="shared" ref="KT89:LB89" si="271">KS89*(1+(KT$60))</f>
        <v>0</v>
      </c>
      <c r="KU89" s="2271">
        <f t="shared" si="271"/>
        <v>0</v>
      </c>
      <c r="KV89" s="2271">
        <f t="shared" si="271"/>
        <v>0</v>
      </c>
      <c r="KW89" s="2272">
        <f t="shared" si="271"/>
        <v>0</v>
      </c>
      <c r="KX89" s="2271">
        <f t="shared" si="271"/>
        <v>0</v>
      </c>
      <c r="KY89" s="2271">
        <f t="shared" si="271"/>
        <v>0</v>
      </c>
      <c r="KZ89" s="2271">
        <f t="shared" si="271"/>
        <v>0</v>
      </c>
      <c r="LA89" s="2271">
        <f t="shared" si="271"/>
        <v>0</v>
      </c>
      <c r="LB89" s="2273">
        <f t="shared" si="271"/>
        <v>0</v>
      </c>
      <c r="LC89" s="272"/>
      <c r="LD89" s="2124">
        <f t="shared" si="120"/>
        <v>0</v>
      </c>
      <c r="LE89" s="2093">
        <f t="shared" si="121"/>
        <v>0</v>
      </c>
      <c r="LF89" s="2093">
        <f t="shared" si="122"/>
        <v>0</v>
      </c>
      <c r="LG89" s="2093">
        <f t="shared" si="123"/>
        <v>0</v>
      </c>
      <c r="LH89" s="2094">
        <f t="shared" si="124"/>
        <v>0</v>
      </c>
      <c r="LI89" s="2095">
        <f t="shared" si="125"/>
        <v>0</v>
      </c>
      <c r="LJ89" s="2095">
        <f t="shared" si="126"/>
        <v>0</v>
      </c>
      <c r="LK89" s="2095">
        <f t="shared" si="127"/>
        <v>0</v>
      </c>
      <c r="LL89" s="2095">
        <f t="shared" si="128"/>
        <v>0</v>
      </c>
      <c r="LM89" s="2096">
        <f t="shared" si="129"/>
        <v>0</v>
      </c>
      <c r="LN89" s="749"/>
      <c r="LO89" s="2256">
        <f t="shared" ca="1" si="130"/>
        <v>0</v>
      </c>
      <c r="LP89" s="2270">
        <f t="shared" ca="1" si="131"/>
        <v>0</v>
      </c>
      <c r="LQ89" s="2271">
        <f t="shared" ca="1" si="132"/>
        <v>0</v>
      </c>
      <c r="LR89" s="2271">
        <f t="shared" ca="1" si="133"/>
        <v>0</v>
      </c>
      <c r="LS89" s="2272">
        <f t="shared" ca="1" si="134"/>
        <v>0</v>
      </c>
      <c r="LT89" s="2271">
        <f t="shared" ca="1" si="135"/>
        <v>0</v>
      </c>
      <c r="LU89" s="2271">
        <f t="shared" ca="1" si="136"/>
        <v>0</v>
      </c>
      <c r="LV89" s="2271">
        <f t="shared" ca="1" si="137"/>
        <v>0</v>
      </c>
      <c r="LW89" s="2271">
        <f t="shared" ca="1" si="138"/>
        <v>0</v>
      </c>
      <c r="LX89" s="2273">
        <f t="shared" ca="1" si="139"/>
        <v>0</v>
      </c>
      <c r="LY89" s="479"/>
      <c r="LZ89" s="3128">
        <f t="shared" ca="1" si="173"/>
        <v>-1.73</v>
      </c>
      <c r="MA89" s="3129">
        <f t="shared" ca="1" si="174"/>
        <v>-1.73</v>
      </c>
      <c r="MB89" s="3129">
        <f t="shared" ca="1" si="175"/>
        <v>-1.73</v>
      </c>
      <c r="MC89" s="3129">
        <f t="shared" ca="1" si="176"/>
        <v>-1.73</v>
      </c>
      <c r="MD89" s="3130">
        <f t="shared" ca="1" si="177"/>
        <v>-1.73</v>
      </c>
      <c r="ME89" s="3129">
        <f t="shared" ca="1" si="178"/>
        <v>-1.73</v>
      </c>
      <c r="MF89" s="3129">
        <f t="shared" ca="1" si="179"/>
        <v>-1.73</v>
      </c>
      <c r="MG89" s="3129">
        <f t="shared" ca="1" si="180"/>
        <v>-1.73</v>
      </c>
      <c r="MH89" s="3129">
        <f t="shared" ca="1" si="181"/>
        <v>-1.73</v>
      </c>
      <c r="MI89" s="3131">
        <f t="shared" ca="1" si="182"/>
        <v>-1.73</v>
      </c>
      <c r="MJ89" s="3201"/>
      <c r="MK89" s="3206">
        <f t="shared" ca="1" si="183"/>
        <v>0</v>
      </c>
      <c r="ML89" s="3207">
        <f t="shared" ca="1" si="184"/>
        <v>0</v>
      </c>
      <c r="MM89" s="3207">
        <f t="shared" ca="1" si="185"/>
        <v>0</v>
      </c>
      <c r="MN89" s="3207">
        <f t="shared" ca="1" si="186"/>
        <v>0</v>
      </c>
      <c r="MO89" s="3208">
        <f t="shared" ca="1" si="187"/>
        <v>0</v>
      </c>
      <c r="MP89" s="3207">
        <f t="shared" ca="1" si="188"/>
        <v>0</v>
      </c>
      <c r="MQ89" s="3207">
        <f t="shared" ca="1" si="189"/>
        <v>0</v>
      </c>
      <c r="MR89" s="3207">
        <f t="shared" ca="1" si="190"/>
        <v>0</v>
      </c>
      <c r="MS89" s="3207">
        <f t="shared" ca="1" si="191"/>
        <v>0</v>
      </c>
      <c r="MT89" s="3209">
        <f t="shared" ca="1" si="192"/>
        <v>0</v>
      </c>
      <c r="MU89" s="1983"/>
      <c r="MV89" s="1975"/>
      <c r="MW89" s="1991"/>
      <c r="MX89" s="1931">
        <f t="shared" si="142"/>
        <v>0</v>
      </c>
      <c r="MY89" s="749"/>
      <c r="MZ89" s="1934">
        <f t="shared" si="143"/>
        <v>0</v>
      </c>
      <c r="NA89" s="1935"/>
      <c r="NB89" s="2652">
        <f t="shared" si="144"/>
        <v>0</v>
      </c>
      <c r="NC89" s="479"/>
      <c r="ND89" s="2749" t="str">
        <f t="shared" si="145"/>
        <v/>
      </c>
      <c r="NE89" s="2717"/>
      <c r="NF89" s="1975"/>
      <c r="NG89" s="1975"/>
      <c r="NH89" s="1975"/>
      <c r="NI89" s="1975"/>
    </row>
    <row r="90" spans="1:373" s="192" customFormat="1" ht="15.9" customHeight="1" x14ac:dyDescent="0.3">
      <c r="A90" s="200"/>
      <c r="B90" s="200"/>
      <c r="C90" s="200"/>
      <c r="D90" s="200"/>
      <c r="E90" s="200"/>
      <c r="F90" s="200"/>
      <c r="G90" s="200"/>
      <c r="H90" s="200"/>
      <c r="I90" s="200"/>
      <c r="J90" s="200"/>
      <c r="K90" s="200"/>
      <c r="L90" s="200"/>
      <c r="M90" s="200"/>
      <c r="N90" s="200"/>
      <c r="O90" s="200"/>
      <c r="P90" s="1539"/>
      <c r="Q90" s="1539"/>
      <c r="R90" s="198"/>
      <c r="S90" s="1539"/>
      <c r="T90" s="201"/>
      <c r="U90" s="200"/>
      <c r="V90" s="201">
        <f>MATCH($IC90,'3b Activity Plan'!$DJ$171:$FH$171,0)</f>
        <v>27</v>
      </c>
      <c r="W90" s="201">
        <f>IFERROR(INDEX('3b Activity Plan'!$DJ$6:$FH$6,V90),0)</f>
        <v>0</v>
      </c>
      <c r="X90" s="1768"/>
      <c r="Y90" s="1768">
        <f>IFERROR(INDEX('3b Activity Plan'!$DJ$7:$FH$7,V90),0)</f>
        <v>0</v>
      </c>
      <c r="Z90" s="201"/>
      <c r="AA90" s="201">
        <f>IFERROR(INDEX('3b Activity Plan'!$DJ$34:$FH$34,$V90),0)</f>
        <v>0</v>
      </c>
      <c r="AB90" s="201">
        <f>IFERROR(INDEX('3b Activity Plan'!$DJ$35:$FH$35,$V90),0)</f>
        <v>0</v>
      </c>
      <c r="AC90" s="201">
        <f>IFERROR(INDEX('3b Activity Plan'!$DJ$36:$FH$36,$V90),0)</f>
        <v>0</v>
      </c>
      <c r="AD90" s="201">
        <f>IFERROR(INDEX('3b Activity Plan'!$DJ$37:$FH$37,$V90),0)</f>
        <v>0</v>
      </c>
      <c r="AE90" s="201">
        <f>IFERROR(INDEX('3b Activity Plan'!$DJ$38:$FH$38,$V90),0)</f>
        <v>0</v>
      </c>
      <c r="AF90" s="201">
        <f>IFERROR(INDEX('3b Activity Plan'!$DJ$39:$FH$39,$V90),0)</f>
        <v>0</v>
      </c>
      <c r="AG90" s="201">
        <f>IFERROR(INDEX('3b Activity Plan'!$DJ$40:$FH$40,$V90),0)</f>
        <v>0</v>
      </c>
      <c r="AH90" s="201">
        <f>IFERROR(INDEX('3b Activity Plan'!$DJ$41:$FH$41,$V90),0)</f>
        <v>0</v>
      </c>
      <c r="AI90" s="201">
        <f>IFERROR(INDEX('3b Activity Plan'!$DJ$42:$FH$42,$V90),0)</f>
        <v>0</v>
      </c>
      <c r="AJ90" s="201">
        <f>IFERROR(INDEX('3b Activity Plan'!$DJ$43:$FH$43,$V90),0)</f>
        <v>0</v>
      </c>
      <c r="AK90" s="201"/>
      <c r="AL90" s="201">
        <f>SUMIFS('3a Staff Plan'!$AR$129:$AR$305,'3a Staff Plan'!$DY$129:$DY$305,$IA90,'3a Staff Plan'!$DF$129:$DF$305,1)</f>
        <v>0</v>
      </c>
      <c r="AM90" s="1768"/>
      <c r="AN90" s="1768">
        <f>SUMIFS('3a Staff Plan'!$AR$129:$AR$305,'3a Staff Plan'!$DY$129:$DY$305,$IA90,'3a Staff Plan'!$CV$129:$CV$305,1)</f>
        <v>0</v>
      </c>
      <c r="AO90" s="201"/>
      <c r="AP90" s="201">
        <f>SUMIFS('3a Staff Plan'!$AS$129:$AS$305,'3a Staff Plan'!$DY$129:$DY$305,$IA90,'3a Staff Plan'!$DF$129:$DF$305,1)</f>
        <v>0</v>
      </c>
      <c r="AQ90" s="201">
        <f>SUMIFS('3a Staff Plan'!$AT$129:$AT$305,'3a Staff Plan'!$DY$129:$DY$305,$IA90,'3a Staff Plan'!$DF$129:$DF$305,1)</f>
        <v>0</v>
      </c>
      <c r="AR90" s="201">
        <f>SUMIFS('3a Staff Plan'!$AU$129:$AU$305,'3a Staff Plan'!$DY$129:$DY$305,$IA90,'3a Staff Plan'!$DF$129:$DF$305,1)</f>
        <v>0</v>
      </c>
      <c r="AS90" s="201">
        <f>SUMIFS('3a Staff Plan'!$AV$129:$AV$305,'3a Staff Plan'!$DY$129:$DY$305,$IA90,'3a Staff Plan'!$DF$129:$DF$305,1)</f>
        <v>0</v>
      </c>
      <c r="AT90" s="201">
        <f>SUMIFS('3a Staff Plan'!$AW$129:$AW$305,'3a Staff Plan'!$DY$129:$DY$305,$IA90,'3a Staff Plan'!$DF$129:$DF$305,1)</f>
        <v>0</v>
      </c>
      <c r="AU90" s="201">
        <f>SUMIFS('3a Staff Plan'!$AX$129:$AX$305,'3a Staff Plan'!$DY$129:$DY$305,$IA90,'3a Staff Plan'!$DF$129:$DF$305,1)</f>
        <v>0</v>
      </c>
      <c r="AV90" s="201">
        <f>SUMIFS('3a Staff Plan'!$AY$129:$AY$305,'3a Staff Plan'!$DY$129:$DY$305,$IA90,'3a Staff Plan'!$DF$129:$DF$305,1)</f>
        <v>0</v>
      </c>
      <c r="AW90" s="201">
        <f>SUMIFS('3a Staff Plan'!$AZ$129:$AZ$305,'3a Staff Plan'!$DY$129:$DY$305,$IA90,'3a Staff Plan'!$DF$129:$DF$305,1)</f>
        <v>0</v>
      </c>
      <c r="AX90" s="201">
        <f>SUMIFS('3a Staff Plan'!$BA$129:$BA$305,'3a Staff Plan'!$DY$129:$DY$305,$IA90,'3a Staff Plan'!$DF$129:$DF$305,1)</f>
        <v>0</v>
      </c>
      <c r="AY90" s="201">
        <f>SUMIFS('3a Staff Plan'!$BB$129:$BB$305,'3a Staff Plan'!$DY$129:$DY$305,$IA90,'3a Staff Plan'!$DF$129:$DF$305,1)</f>
        <v>0</v>
      </c>
      <c r="AZ90" s="201"/>
      <c r="BA90" s="201">
        <f t="shared" si="266"/>
        <v>0</v>
      </c>
      <c r="BB90" s="1768"/>
      <c r="BC90" s="1768">
        <f t="shared" si="266"/>
        <v>0</v>
      </c>
      <c r="BD90" s="201"/>
      <c r="BE90" s="201">
        <f t="shared" si="267"/>
        <v>0</v>
      </c>
      <c r="BF90" s="201">
        <f t="shared" si="267"/>
        <v>0</v>
      </c>
      <c r="BG90" s="201">
        <f t="shared" si="267"/>
        <v>0</v>
      </c>
      <c r="BH90" s="201">
        <f t="shared" si="267"/>
        <v>0</v>
      </c>
      <c r="BI90" s="201">
        <f t="shared" si="267"/>
        <v>0</v>
      </c>
      <c r="BJ90" s="201">
        <f t="shared" si="267"/>
        <v>0</v>
      </c>
      <c r="BK90" s="201">
        <f t="shared" si="267"/>
        <v>0</v>
      </c>
      <c r="BL90" s="201">
        <f t="shared" si="267"/>
        <v>0</v>
      </c>
      <c r="BM90" s="201">
        <f t="shared" si="267"/>
        <v>0</v>
      </c>
      <c r="BN90" s="201">
        <f t="shared" si="267"/>
        <v>0</v>
      </c>
      <c r="BO90" s="201"/>
      <c r="BP90" s="1818">
        <f t="shared" si="146"/>
        <v>27</v>
      </c>
      <c r="BQ90" s="1818">
        <f>IFERROR(INDEX('3b Activity Plan'!$DJ$15:$FH$15,BP90),0)</f>
        <v>0</v>
      </c>
      <c r="BR90" s="1768"/>
      <c r="BS90" s="1768">
        <f>IFERROR(INDEX('3b Activity Plan'!$DJ$16:$FH$16,BP90),0)</f>
        <v>0</v>
      </c>
      <c r="BT90" s="201"/>
      <c r="BU90" s="201">
        <f>IFERROR(INDEX('3b Activity Plan'!$DJ$67:$FH$67,$V90),0)</f>
        <v>0</v>
      </c>
      <c r="BV90" s="201">
        <f>IFERROR(INDEX('3b Activity Plan'!$DJ$68:$FH$68,$V90),0)</f>
        <v>0</v>
      </c>
      <c r="BW90" s="201">
        <f>IFERROR(INDEX('3b Activity Plan'!$DJ$69:$FH$69,$V90),0)</f>
        <v>0</v>
      </c>
      <c r="BX90" s="201">
        <f>IFERROR(INDEX('3b Activity Plan'!$DJ$70:$FH$70,$V90),0)</f>
        <v>0</v>
      </c>
      <c r="BY90" s="201">
        <f>IFERROR(INDEX('3b Activity Plan'!$DJ$71:$FH$71,$V90),0)</f>
        <v>0</v>
      </c>
      <c r="BZ90" s="201">
        <f>IFERROR(INDEX('3b Activity Plan'!$DJ$72:$FH$72,$V90),0)</f>
        <v>0</v>
      </c>
      <c r="CA90" s="201">
        <f>IFERROR(INDEX('3b Activity Plan'!$DJ$73:$FH$73,$V90),0)</f>
        <v>0</v>
      </c>
      <c r="CB90" s="201">
        <f>IFERROR(INDEX('3b Activity Plan'!$DJ$74:$FH$74,$V90),0)</f>
        <v>0</v>
      </c>
      <c r="CC90" s="201">
        <f>IFERROR(INDEX('3b Activity Plan'!$DJ$75:$FH$75,$V90),0)</f>
        <v>0</v>
      </c>
      <c r="CD90" s="201">
        <f>IFERROR(INDEX('3b Activity Plan'!$DJ$76:$FH$76,$V90),0)</f>
        <v>0</v>
      </c>
      <c r="CE90" s="201"/>
      <c r="CF90" s="1818">
        <f>SUMIFS('3a Staff Plan'!$AR$129:$AR$305,'3a Staff Plan'!$DY$129:$DY$305,$IA90,'3a Staff Plan'!$AG$129:$AG$305,1,'3a Staff Plan'!$DF$129:$DF$305,1)</f>
        <v>0</v>
      </c>
      <c r="CG90" s="1768">
        <f>SUMIFS('3a Staff Plan'!$AR$129:$AR$305,'3a Staff Plan'!$DY$129:$DY$305,$IA90,'3a Staff Plan'!$AG$129:$AG$305,1,'3a Staff Plan'!$CX$129:$CX$305,1)</f>
        <v>0</v>
      </c>
      <c r="CH90" s="1768">
        <f>SUMIFS('3a Staff Plan'!$AR$129:$AR$305,'3a Staff Plan'!$DY$129:$DY$305,$IA90,'3a Staff Plan'!$AG$129:$AG$305,1,'3a Staff Plan'!$CV$129:$CV$305,1)</f>
        <v>0</v>
      </c>
      <c r="CI90" s="201"/>
      <c r="CJ90" s="201">
        <f>SUMIFS('3a Staff Plan'!$BX$129:$BX$305,'3a Staff Plan'!$DY$129:$DY$305,$IA90,'3a Staff Plan'!$DF$129:$DF$305,1,'3a Staff Plan'!$AG$129:$AG$305,1)</f>
        <v>0</v>
      </c>
      <c r="CK90" s="201">
        <f>SUMIFS('3a Staff Plan'!$BY$129:$BY$305,'3a Staff Plan'!$DY$129:$DY$305,$IA90,'3a Staff Plan'!$DF$129:$DF$305,1,'3a Staff Plan'!$AG$129:$AG$305,1)</f>
        <v>0</v>
      </c>
      <c r="CL90" s="201">
        <f>SUMIFS('3a Staff Plan'!$BZ$129:$BZ$305,'3a Staff Plan'!$DY$129:$DY$305,$IA90,'3a Staff Plan'!$DF$129:$DF$305,1,'3a Staff Plan'!$AG$129:$AG$305,1)</f>
        <v>0</v>
      </c>
      <c r="CM90" s="201">
        <f>SUMIFS('3a Staff Plan'!$CA$129:$CA$305,'3a Staff Plan'!$DY$129:$DY$305,$IA90,'3a Staff Plan'!$DF$129:$DF$305,1,'3a Staff Plan'!$AG$129:$AG$305,1)</f>
        <v>0</v>
      </c>
      <c r="CN90" s="201">
        <f>SUMIFS('3a Staff Plan'!$CB$129:$CB$305,'3a Staff Plan'!$DY$129:$DY$305,$IA90,'3a Staff Plan'!$DF$129:$DF$305,1,'3a Staff Plan'!$AG$129:$AG$305,1)</f>
        <v>0</v>
      </c>
      <c r="CO90" s="201">
        <f>SUMIFS('3a Staff Plan'!$CC$129:$CC$305,'3a Staff Plan'!$DY$129:$DY$305,$IA90,'3a Staff Plan'!$DF$129:$DF$305,1,'3a Staff Plan'!$AG$129:$AG$305,1)</f>
        <v>0</v>
      </c>
      <c r="CP90" s="201">
        <f>SUMIFS('3a Staff Plan'!$CD$129:$CD$305,'3a Staff Plan'!$DY$129:$DY$305,$IA90,'3a Staff Plan'!$DF$129:$DF$305,1,'3a Staff Plan'!$AG$129:$AG$305,1)</f>
        <v>0</v>
      </c>
      <c r="CQ90" s="201">
        <f>SUMIFS('3a Staff Plan'!$CE$129:$CE$305,'3a Staff Plan'!$DY$129:$DY$305,$IA90,'3a Staff Plan'!$DF$129:$DF$305,1,'3a Staff Plan'!$AG$129:$AG$305,1)</f>
        <v>0</v>
      </c>
      <c r="CR90" s="201">
        <f>SUMIFS('3a Staff Plan'!$CF$129:$CF$305,'3a Staff Plan'!$DY$129:$DY$305,$IA90,'3a Staff Plan'!$DF$129:$DF$305,1,'3a Staff Plan'!$AG$129:$AG$305,1)</f>
        <v>0</v>
      </c>
      <c r="CS90" s="201">
        <f>SUMIFS('3a Staff Plan'!$CG$129:$CG$305,'3a Staff Plan'!$DY$129:$DY$305,$IA90,'3a Staff Plan'!$DF$129:$DF$305,1,'3a Staff Plan'!$AG$129:$AG$305,1)</f>
        <v>0</v>
      </c>
      <c r="CT90" s="201"/>
      <c r="CU90" s="1818">
        <f t="shared" si="268"/>
        <v>0</v>
      </c>
      <c r="CV90" s="1768"/>
      <c r="CW90" s="1768">
        <f t="shared" si="268"/>
        <v>0</v>
      </c>
      <c r="CX90" s="201"/>
      <c r="CY90" s="201">
        <f t="shared" si="269"/>
        <v>0</v>
      </c>
      <c r="CZ90" s="201">
        <f t="shared" si="269"/>
        <v>0</v>
      </c>
      <c r="DA90" s="201">
        <f t="shared" si="269"/>
        <v>0</v>
      </c>
      <c r="DB90" s="201">
        <f t="shared" si="269"/>
        <v>0</v>
      </c>
      <c r="DC90" s="201">
        <f t="shared" si="269"/>
        <v>0</v>
      </c>
      <c r="DD90" s="201">
        <f t="shared" si="269"/>
        <v>0</v>
      </c>
      <c r="DE90" s="201">
        <f t="shared" si="269"/>
        <v>0</v>
      </c>
      <c r="DF90" s="201">
        <f t="shared" si="269"/>
        <v>0</v>
      </c>
      <c r="DG90" s="201">
        <f t="shared" si="269"/>
        <v>0</v>
      </c>
      <c r="DH90" s="201">
        <f t="shared" si="269"/>
        <v>0</v>
      </c>
      <c r="DI90" s="201"/>
      <c r="DJ90" s="201"/>
      <c r="DK90" s="201"/>
      <c r="DL90" s="201"/>
      <c r="DM90" s="372">
        <f t="shared" ca="1" si="37"/>
        <v>0</v>
      </c>
      <c r="DN90" s="1185">
        <f t="shared" si="38"/>
        <v>0</v>
      </c>
      <c r="DO90" s="1185">
        <f t="shared" si="39"/>
        <v>0</v>
      </c>
      <c r="DP90" s="201"/>
      <c r="DQ90" s="372">
        <f t="shared" ca="1" si="40"/>
        <v>0</v>
      </c>
      <c r="DR90" s="1185">
        <f t="shared" si="41"/>
        <v>0</v>
      </c>
      <c r="DS90" s="1185">
        <f t="shared" si="42"/>
        <v>0</v>
      </c>
      <c r="DT90" s="201"/>
      <c r="DU90" s="372">
        <f t="shared" ca="1" si="270"/>
        <v>0</v>
      </c>
      <c r="DV90" s="372">
        <f t="shared" si="270"/>
        <v>0</v>
      </c>
      <c r="DW90" s="372">
        <f t="shared" si="270"/>
        <v>0</v>
      </c>
      <c r="DX90" s="201"/>
      <c r="DY90" s="372">
        <f t="shared" si="44"/>
        <v>0</v>
      </c>
      <c r="DZ90" s="372">
        <f t="shared" ca="1" si="45"/>
        <v>0</v>
      </c>
      <c r="EA90" s="201"/>
      <c r="EB90" s="2776">
        <f>IF(EO90=$EO$53,1,IFERROR(INDEX('Currency Data'!$L$8:$L$41,MATCH(EO90,'Currency Data'!$H$8:$H$41,0)),1))</f>
        <v>1</v>
      </c>
      <c r="EC90" s="2776">
        <f t="shared" si="147"/>
        <v>1</v>
      </c>
      <c r="ED90" s="428">
        <f>IF(GQ90=1,'1 Setup'!$T$68,IF(ISBLANK(IJ90),II90/EC90*IF(GL90=1,$ED$53,1),IJ90/EC90)*IF($EW90=7,JW90,1))</f>
        <v>0</v>
      </c>
      <c r="EE90" s="428">
        <f t="shared" si="46"/>
        <v>0</v>
      </c>
      <c r="EF90" s="428"/>
      <c r="EG90" s="1965" t="str">
        <f t="shared" si="148"/>
        <v>031500 - Highways UK</v>
      </c>
      <c r="EH90" s="201">
        <f t="shared" si="149"/>
        <v>1</v>
      </c>
      <c r="EI90" s="445" t="str">
        <f>IF(EH90=1,$EI$53,IF(GQ90=1,$GQ$55,IFERROR(IF($EG90=$EG$53,$EI$53,INDEX('PU List'!$G$6:$G$413,MATCH($EG90,'PU List'!$D$6:$D$413,0))),$EI$53)))</f>
        <v>GB - BIAF</v>
      </c>
      <c r="EJ90" s="2773" t="str">
        <f t="shared" si="150"/>
        <v>GB - BIAF</v>
      </c>
      <c r="EK90" s="1768"/>
      <c r="EL90" s="3283">
        <f>IF(OR(EW90&gt;7,$EL$53=0),0,IF(EJ90=$EI$53,$EL$53,IFERROR(INDEX('Fringe Data'!$U$8:$U$129,MATCH($EJ90,'Fringe Data'!$F$8:$F$129,0)),0)))</f>
        <v>1.73</v>
      </c>
      <c r="EM90" s="372">
        <f t="shared" si="47"/>
        <v>0</v>
      </c>
      <c r="EN90" s="201" t="str">
        <f>IFERROR(INDEX('Fringe Data'!$G$8:$G$64,MATCH($EJ90,'Fringe Data'!$F$8:$F$64,0)),$EO$53)</f>
        <v>GBP</v>
      </c>
      <c r="EO90" s="201" t="str">
        <f t="shared" si="151"/>
        <v>GBP</v>
      </c>
      <c r="EP90" s="201">
        <f>IF(EI90=$EI$53,$EP$49,IF(GP90=1,0,IFERROR(INDEX('Fringe Data'!$K$8:$K$64,MATCH($EI90,'Fringe Data'!$F$8:$F$64,0)),0)))</f>
        <v>0.52</v>
      </c>
      <c r="EQ90" s="201">
        <f>IF(EI90=$EI$53,$EQ$49,IF(GP90=1,0,IFERROR(INDEX('Fringe Data'!$L$8:$L$64,MATCH($EI90,'Fringe Data'!$F$8:$F$64,0)),0)))</f>
        <v>1.8499999999999999E-2</v>
      </c>
      <c r="ER90" s="201">
        <f>IF(EI90=$EI$53,$ER$49,IF(GP90=1,0,IFERROR(INDEX('Fringe Data'!$M$8:$M$64,MATCH($EI90,'Fringe Data'!$F$8:$F$64,0)),0)))</f>
        <v>0.43430000000000002</v>
      </c>
      <c r="ES90" s="201">
        <f>IF(EI90=$EI$53,$ES$49,IF(GP90=1,0,IFERROR(INDEX('Fringe Data'!$N$8:$N$64,MATCH($EI90,'Fringe Data'!$F$8:$F$64,0)),0)))</f>
        <v>0.1565</v>
      </c>
      <c r="ET90" s="201">
        <f>IF(EI90=$EI$53,$ET$49,IF(GP90=1,0,IFERROR(INDEX('Fringe Data'!$O$8:$O$64,MATCH($EI90,'Fringe Data'!$F$8:$F$64,0)),0)))</f>
        <v>0.33450000000000002</v>
      </c>
      <c r="EU90" s="263">
        <f>IF(EI90=$EI$53,$EU$49,IF(GP90=1,0,IFERROR(INDEX('Fringe Data'!$P$8:$P$64,MATCH($EI90,'Fringe Data'!$F$8:$F$64,0)),0)))</f>
        <v>0.1565</v>
      </c>
      <c r="EV90" s="201"/>
      <c r="EW90" s="1530">
        <f t="shared" si="48"/>
        <v>1</v>
      </c>
      <c r="EX90" s="1534">
        <f t="shared" si="152"/>
        <v>0.52</v>
      </c>
      <c r="EY90" s="321">
        <f t="shared" si="153"/>
        <v>0</v>
      </c>
      <c r="EZ90" s="201">
        <f t="shared" si="154"/>
        <v>0</v>
      </c>
      <c r="FA90" s="372">
        <f t="shared" si="49"/>
        <v>0</v>
      </c>
      <c r="FB90" s="372">
        <f t="shared" si="50"/>
        <v>0</v>
      </c>
      <c r="FC90" s="201">
        <f t="shared" ca="1" si="155"/>
        <v>0</v>
      </c>
      <c r="FD90" s="423">
        <f t="shared" si="51"/>
        <v>0</v>
      </c>
      <c r="FE90" s="423">
        <f t="shared" si="52"/>
        <v>0</v>
      </c>
      <c r="FF90" s="201">
        <f t="shared" si="156"/>
        <v>0</v>
      </c>
      <c r="FG90" s="425">
        <f>IF(OR($FJ$52=3,$FJ$52=4,$FJ$52=5),'1 Setup'!$W$96,0)</f>
        <v>0</v>
      </c>
      <c r="FH90" s="428">
        <f>IF($FJ$52=5,'1 Setup'!$W$98,IF($FJ$52=6,'1 Setup'!$S$86,0))</f>
        <v>0</v>
      </c>
      <c r="FI90" s="321">
        <f t="shared" ca="1" si="53"/>
        <v>0</v>
      </c>
      <c r="FJ90" s="263">
        <f t="shared" ca="1" si="157"/>
        <v>0</v>
      </c>
      <c r="FK90" s="372">
        <f t="shared" ca="1" si="54"/>
        <v>0</v>
      </c>
      <c r="FL90" s="372">
        <f t="shared" si="55"/>
        <v>0</v>
      </c>
      <c r="FM90" s="372">
        <f t="shared" si="56"/>
        <v>0</v>
      </c>
      <c r="FN90" s="2036">
        <f t="shared" ca="1" si="57"/>
        <v>0</v>
      </c>
      <c r="FO90" s="372">
        <f ca="1">$BA90*FN90</f>
        <v>0</v>
      </c>
      <c r="FP90" s="2723">
        <f t="shared" si="158"/>
        <v>0</v>
      </c>
      <c r="FQ90" s="372">
        <f t="shared" si="59"/>
        <v>0</v>
      </c>
      <c r="FR90" s="372">
        <f t="shared" si="159"/>
        <v>0</v>
      </c>
      <c r="FS90" s="1168"/>
      <c r="FT90" s="1168">
        <f t="shared" si="60"/>
        <v>0</v>
      </c>
      <c r="FU90" s="1168">
        <f t="shared" si="61"/>
        <v>0</v>
      </c>
      <c r="FV90" s="1168">
        <f t="shared" si="62"/>
        <v>0</v>
      </c>
      <c r="FW90" s="1168">
        <f t="shared" si="63"/>
        <v>0</v>
      </c>
      <c r="FX90" s="1168">
        <f t="shared" si="64"/>
        <v>0</v>
      </c>
      <c r="FY90" s="1168">
        <f t="shared" si="65"/>
        <v>0</v>
      </c>
      <c r="FZ90" s="1168">
        <f t="shared" si="66"/>
        <v>0</v>
      </c>
      <c r="GA90" s="1168">
        <f t="shared" si="67"/>
        <v>0</v>
      </c>
      <c r="GB90" s="1168">
        <f t="shared" si="68"/>
        <v>0</v>
      </c>
      <c r="GC90" s="1168">
        <f t="shared" si="69"/>
        <v>0</v>
      </c>
      <c r="GD90" s="1168"/>
      <c r="GE90" s="199"/>
      <c r="GF90" s="201">
        <f t="shared" si="70"/>
        <v>0</v>
      </c>
      <c r="GG90" s="201">
        <f t="shared" si="71"/>
        <v>0</v>
      </c>
      <c r="GH90" s="201">
        <f t="shared" si="72"/>
        <v>0</v>
      </c>
      <c r="GI90" s="201">
        <f t="shared" ca="1" si="160"/>
        <v>0</v>
      </c>
      <c r="GJ90" s="201">
        <f t="shared" si="73"/>
        <v>0</v>
      </c>
      <c r="GK90" s="201">
        <f t="shared" si="74"/>
        <v>0</v>
      </c>
      <c r="GL90" s="201">
        <f t="shared" si="75"/>
        <v>1</v>
      </c>
      <c r="GM90" s="201">
        <f t="shared" si="76"/>
        <v>1</v>
      </c>
      <c r="GN90" s="201"/>
      <c r="GO90" s="201"/>
      <c r="GP90" s="201">
        <f t="shared" si="77"/>
        <v>0</v>
      </c>
      <c r="GQ90" s="201">
        <f t="shared" si="78"/>
        <v>0</v>
      </c>
      <c r="GR90" s="201">
        <f t="shared" si="161"/>
        <v>0</v>
      </c>
      <c r="GS90" s="1768"/>
      <c r="GT90" s="201">
        <f t="shared" si="79"/>
        <v>1</v>
      </c>
      <c r="GU90" s="201">
        <f t="shared" si="193"/>
        <v>27</v>
      </c>
      <c r="GV90" s="201">
        <f t="shared" si="80"/>
        <v>0</v>
      </c>
      <c r="GW90" s="201">
        <f t="shared" si="81"/>
        <v>3</v>
      </c>
      <c r="GX90" s="201">
        <f t="shared" si="162"/>
        <v>0</v>
      </c>
      <c r="GY90" s="1998"/>
      <c r="GZ90" s="253"/>
      <c r="HA90" s="195">
        <f t="shared" si="163"/>
        <v>0</v>
      </c>
      <c r="HB90" s="3558">
        <f t="shared" si="82"/>
        <v>0</v>
      </c>
      <c r="HC90" s="3590"/>
      <c r="HD90" s="257" t="str">
        <f t="shared" si="83"/>
        <v/>
      </c>
      <c r="HE90" s="825">
        <f t="shared" si="84"/>
        <v>0</v>
      </c>
      <c r="HF90" s="506" t="s">
        <v>5</v>
      </c>
      <c r="HG90" s="508">
        <f t="shared" ca="1" si="85"/>
        <v>0</v>
      </c>
      <c r="HH90" s="3585">
        <f t="shared" si="86"/>
        <v>0</v>
      </c>
      <c r="HI90" s="3586"/>
      <c r="HJ90" s="504">
        <f ca="1">HG90-HH90</f>
        <v>0</v>
      </c>
      <c r="HK90" s="456">
        <f ca="1">IF(HG90&lt;0.1,0,IFERROR(HJ90/HG90,0))</f>
        <v>0</v>
      </c>
      <c r="HL90" s="3591">
        <f ca="1">IFERROR(HJ90/HE90,0)</f>
        <v>0</v>
      </c>
      <c r="HM90" s="3592"/>
      <c r="HN90" s="240"/>
      <c r="HO90" s="1998"/>
      <c r="HP90" s="1991"/>
      <c r="HQ90" s="2770" t="str">
        <f t="shared" si="90"/>
        <v>GB - BIAF</v>
      </c>
      <c r="HR90" s="2770" t="str">
        <f t="shared" si="91"/>
        <v>GBP</v>
      </c>
      <c r="HS90" s="2771">
        <f t="shared" si="92"/>
        <v>1</v>
      </c>
      <c r="HT90" s="3488"/>
      <c r="HU90" s="2771">
        <f t="shared" si="93"/>
        <v>1.73</v>
      </c>
      <c r="HW90" s="1218"/>
      <c r="HX90" s="520"/>
      <c r="HY90" s="2523"/>
      <c r="HZ90" s="194"/>
      <c r="IA90" s="1013"/>
      <c r="IB90" s="193"/>
      <c r="IC90" s="3276">
        <v>27</v>
      </c>
      <c r="ID90" s="986"/>
      <c r="IE90" s="938">
        <f t="shared" si="164"/>
        <v>0</v>
      </c>
      <c r="IF90" s="938">
        <f t="shared" si="165"/>
        <v>0</v>
      </c>
      <c r="IG90" s="432"/>
      <c r="II90" s="405"/>
      <c r="IJ90" s="239"/>
      <c r="IK90" s="2774" t="str">
        <f t="shared" si="166"/>
        <v>GBP</v>
      </c>
      <c r="IL90" s="2148"/>
      <c r="IM90" s="1936">
        <f t="shared" si="94"/>
        <v>0</v>
      </c>
      <c r="IO90" s="1959" t="str">
        <f t="shared" si="95"/>
        <v/>
      </c>
      <c r="IP90" s="1958"/>
      <c r="IQ90" s="543">
        <f t="shared" si="96"/>
        <v>0.52</v>
      </c>
      <c r="IR90" s="1936">
        <f t="shared" si="97"/>
        <v>0</v>
      </c>
      <c r="IT90" s="1364"/>
      <c r="IU90" s="210"/>
      <c r="IV90" s="218"/>
      <c r="IW90" s="1938">
        <f ca="1">IF(NOT(ISBLANK(IU90)),IU90,IF('1 Setup'!$G$8&lt;7,JK90,FJ90))+KA90</f>
        <v>0</v>
      </c>
      <c r="IX90" s="409">
        <f t="shared" si="98"/>
        <v>0</v>
      </c>
      <c r="IY90" s="408">
        <f t="shared" si="99"/>
        <v>0</v>
      </c>
      <c r="IZ90" s="1983"/>
      <c r="JA90" s="1994"/>
      <c r="JB90" s="1991"/>
      <c r="JD90" s="2029">
        <f t="shared" si="167"/>
        <v>0</v>
      </c>
      <c r="JE90" s="479"/>
      <c r="JF90" s="2025">
        <f t="shared" si="100"/>
        <v>0</v>
      </c>
      <c r="JG90" s="429">
        <f t="shared" si="101"/>
        <v>0</v>
      </c>
      <c r="JH90" s="1667">
        <f t="shared" si="102"/>
        <v>0</v>
      </c>
      <c r="JJ90" s="1163">
        <f t="shared" ca="1" si="103"/>
        <v>0</v>
      </c>
      <c r="JK90" s="1163">
        <f t="shared" ca="1" si="104"/>
        <v>0</v>
      </c>
      <c r="JL90" s="1795"/>
      <c r="JN90" s="2505"/>
      <c r="JO90" s="1161"/>
      <c r="JP90" s="571">
        <f t="shared" ca="1" si="105"/>
        <v>0</v>
      </c>
      <c r="JQ90" s="2506"/>
      <c r="JR90" s="1953"/>
      <c r="JS90" s="2650"/>
      <c r="JT90" s="2507"/>
      <c r="JU90" s="1964">
        <f t="shared" si="106"/>
        <v>0.33450000000000002</v>
      </c>
      <c r="JV90" s="3199"/>
      <c r="JW90" s="2649">
        <f t="shared" si="107"/>
        <v>1.5</v>
      </c>
      <c r="JX90" s="1964">
        <f t="shared" si="168"/>
        <v>0.1565</v>
      </c>
      <c r="JY90" s="3199"/>
      <c r="JZ90" s="2649">
        <f t="shared" si="169"/>
        <v>0</v>
      </c>
      <c r="KA90" s="2649">
        <f t="shared" si="170"/>
        <v>0</v>
      </c>
      <c r="KB90" s="2649" t="s">
        <v>111</v>
      </c>
      <c r="KC90" s="1983"/>
      <c r="KD90" s="1974"/>
      <c r="KE90" s="1991"/>
      <c r="KF90" s="2029">
        <f t="shared" si="171"/>
        <v>0</v>
      </c>
      <c r="KG90" s="1991"/>
      <c r="KH90" s="2121">
        <f t="shared" si="108"/>
        <v>0</v>
      </c>
      <c r="KI90" s="2130">
        <f t="shared" si="109"/>
        <v>0</v>
      </c>
      <c r="KJ90" s="2130">
        <f t="shared" si="110"/>
        <v>0</v>
      </c>
      <c r="KK90" s="2130">
        <f t="shared" si="111"/>
        <v>0</v>
      </c>
      <c r="KL90" s="2131">
        <f t="shared" si="112"/>
        <v>0</v>
      </c>
      <c r="KM90" s="2132">
        <f t="shared" si="113"/>
        <v>0</v>
      </c>
      <c r="KN90" s="2132">
        <f t="shared" si="114"/>
        <v>0</v>
      </c>
      <c r="KO90" s="2132">
        <f t="shared" si="115"/>
        <v>0</v>
      </c>
      <c r="KP90" s="2132">
        <f t="shared" si="116"/>
        <v>0</v>
      </c>
      <c r="KQ90" s="2133">
        <f t="shared" si="117"/>
        <v>0</v>
      </c>
      <c r="KS90" s="2253">
        <f t="shared" si="118"/>
        <v>0</v>
      </c>
      <c r="KT90" s="2270">
        <f t="shared" ref="KT90:LB90" si="272">KS90*(1+(KT$60))</f>
        <v>0</v>
      </c>
      <c r="KU90" s="2271">
        <f t="shared" si="272"/>
        <v>0</v>
      </c>
      <c r="KV90" s="2271">
        <f t="shared" si="272"/>
        <v>0</v>
      </c>
      <c r="KW90" s="2272">
        <f t="shared" si="272"/>
        <v>0</v>
      </c>
      <c r="KX90" s="2271">
        <f t="shared" si="272"/>
        <v>0</v>
      </c>
      <c r="KY90" s="2271">
        <f t="shared" si="272"/>
        <v>0</v>
      </c>
      <c r="KZ90" s="2271">
        <f t="shared" si="272"/>
        <v>0</v>
      </c>
      <c r="LA90" s="2271">
        <f t="shared" si="272"/>
        <v>0</v>
      </c>
      <c r="LB90" s="2273">
        <f t="shared" si="272"/>
        <v>0</v>
      </c>
      <c r="LC90" s="272"/>
      <c r="LD90" s="2124">
        <f t="shared" si="120"/>
        <v>0</v>
      </c>
      <c r="LE90" s="2093">
        <f t="shared" si="121"/>
        <v>0</v>
      </c>
      <c r="LF90" s="2093">
        <f t="shared" si="122"/>
        <v>0</v>
      </c>
      <c r="LG90" s="2093">
        <f t="shared" si="123"/>
        <v>0</v>
      </c>
      <c r="LH90" s="2094">
        <f t="shared" si="124"/>
        <v>0</v>
      </c>
      <c r="LI90" s="2095">
        <f t="shared" si="125"/>
        <v>0</v>
      </c>
      <c r="LJ90" s="2095">
        <f t="shared" si="126"/>
        <v>0</v>
      </c>
      <c r="LK90" s="2095">
        <f t="shared" si="127"/>
        <v>0</v>
      </c>
      <c r="LL90" s="2095">
        <f t="shared" si="128"/>
        <v>0</v>
      </c>
      <c r="LM90" s="2096">
        <f t="shared" si="129"/>
        <v>0</v>
      </c>
      <c r="LN90" s="749"/>
      <c r="LO90" s="2256">
        <f t="shared" ca="1" si="130"/>
        <v>0</v>
      </c>
      <c r="LP90" s="2270">
        <f t="shared" ca="1" si="131"/>
        <v>0</v>
      </c>
      <c r="LQ90" s="2271">
        <f t="shared" ca="1" si="132"/>
        <v>0</v>
      </c>
      <c r="LR90" s="2271">
        <f t="shared" ca="1" si="133"/>
        <v>0</v>
      </c>
      <c r="LS90" s="2272">
        <f t="shared" ca="1" si="134"/>
        <v>0</v>
      </c>
      <c r="LT90" s="2271">
        <f t="shared" ca="1" si="135"/>
        <v>0</v>
      </c>
      <c r="LU90" s="2271">
        <f t="shared" ca="1" si="136"/>
        <v>0</v>
      </c>
      <c r="LV90" s="2271">
        <f t="shared" ca="1" si="137"/>
        <v>0</v>
      </c>
      <c r="LW90" s="2271">
        <f t="shared" ca="1" si="138"/>
        <v>0</v>
      </c>
      <c r="LX90" s="2273">
        <f t="shared" ca="1" si="139"/>
        <v>0</v>
      </c>
      <c r="LY90" s="479"/>
      <c r="LZ90" s="3128">
        <f t="shared" ca="1" si="173"/>
        <v>-1.73</v>
      </c>
      <c r="MA90" s="3129">
        <f t="shared" ca="1" si="174"/>
        <v>-1.73</v>
      </c>
      <c r="MB90" s="3129">
        <f t="shared" ca="1" si="175"/>
        <v>-1.73</v>
      </c>
      <c r="MC90" s="3129">
        <f t="shared" ca="1" si="176"/>
        <v>-1.73</v>
      </c>
      <c r="MD90" s="3130">
        <f t="shared" ca="1" si="177"/>
        <v>-1.73</v>
      </c>
      <c r="ME90" s="3129">
        <f t="shared" ca="1" si="178"/>
        <v>-1.73</v>
      </c>
      <c r="MF90" s="3129">
        <f t="shared" ca="1" si="179"/>
        <v>-1.73</v>
      </c>
      <c r="MG90" s="3129">
        <f t="shared" ca="1" si="180"/>
        <v>-1.73</v>
      </c>
      <c r="MH90" s="3129">
        <f t="shared" ca="1" si="181"/>
        <v>-1.73</v>
      </c>
      <c r="MI90" s="3131">
        <f t="shared" ca="1" si="182"/>
        <v>-1.73</v>
      </c>
      <c r="MJ90" s="3201"/>
      <c r="MK90" s="3206">
        <f t="shared" ca="1" si="183"/>
        <v>0</v>
      </c>
      <c r="ML90" s="3207">
        <f t="shared" ca="1" si="184"/>
        <v>0</v>
      </c>
      <c r="MM90" s="3207">
        <f t="shared" ca="1" si="185"/>
        <v>0</v>
      </c>
      <c r="MN90" s="3207">
        <f t="shared" ca="1" si="186"/>
        <v>0</v>
      </c>
      <c r="MO90" s="3208">
        <f t="shared" ca="1" si="187"/>
        <v>0</v>
      </c>
      <c r="MP90" s="3207">
        <f t="shared" ca="1" si="188"/>
        <v>0</v>
      </c>
      <c r="MQ90" s="3207">
        <f t="shared" ca="1" si="189"/>
        <v>0</v>
      </c>
      <c r="MR90" s="3207">
        <f t="shared" ca="1" si="190"/>
        <v>0</v>
      </c>
      <c r="MS90" s="3207">
        <f t="shared" ca="1" si="191"/>
        <v>0</v>
      </c>
      <c r="MT90" s="3209">
        <f t="shared" ca="1" si="192"/>
        <v>0</v>
      </c>
      <c r="MU90" s="1983"/>
      <c r="MV90" s="1975"/>
      <c r="MW90" s="1991"/>
      <c r="MX90" s="1931">
        <f t="shared" si="142"/>
        <v>0</v>
      </c>
      <c r="MY90" s="749"/>
      <c r="MZ90" s="1934">
        <f t="shared" si="143"/>
        <v>0</v>
      </c>
      <c r="NA90" s="1935"/>
      <c r="NB90" s="2652">
        <f t="shared" si="144"/>
        <v>0</v>
      </c>
      <c r="NC90" s="479"/>
      <c r="ND90" s="2749" t="str">
        <f t="shared" si="145"/>
        <v/>
      </c>
      <c r="NE90" s="2717"/>
      <c r="NF90" s="1975"/>
      <c r="NG90" s="1975"/>
      <c r="NH90" s="1975"/>
      <c r="NI90" s="1975"/>
    </row>
    <row r="91" spans="1:373" s="192" customFormat="1" ht="15.9" customHeight="1" x14ac:dyDescent="0.3">
      <c r="A91" s="200"/>
      <c r="B91" s="200"/>
      <c r="C91" s="200"/>
      <c r="D91" s="200"/>
      <c r="E91" s="200"/>
      <c r="F91" s="200"/>
      <c r="G91" s="200"/>
      <c r="H91" s="200"/>
      <c r="I91" s="200"/>
      <c r="J91" s="200"/>
      <c r="K91" s="200"/>
      <c r="L91" s="200"/>
      <c r="M91" s="200"/>
      <c r="N91" s="200"/>
      <c r="O91" s="200"/>
      <c r="P91" s="1539"/>
      <c r="Q91" s="1539"/>
      <c r="R91" s="198"/>
      <c r="S91" s="1539"/>
      <c r="T91" s="201"/>
      <c r="U91" s="200"/>
      <c r="V91" s="201">
        <f>MATCH($IC91,'3b Activity Plan'!$DJ$171:$FH$171,0)</f>
        <v>28</v>
      </c>
      <c r="W91" s="201">
        <f>IFERROR(INDEX('3b Activity Plan'!$DJ$6:$FH$6,V91),0)</f>
        <v>0</v>
      </c>
      <c r="X91" s="1768"/>
      <c r="Y91" s="1768">
        <f>IFERROR(INDEX('3b Activity Plan'!$DJ$7:$FH$7,V91),0)</f>
        <v>0</v>
      </c>
      <c r="Z91" s="201"/>
      <c r="AA91" s="201">
        <f>IFERROR(INDEX('3b Activity Plan'!$DJ$34:$FH$34,$V91),0)</f>
        <v>0</v>
      </c>
      <c r="AB91" s="201">
        <f>IFERROR(INDEX('3b Activity Plan'!$DJ$35:$FH$35,$V91),0)</f>
        <v>0</v>
      </c>
      <c r="AC91" s="201">
        <f>IFERROR(INDEX('3b Activity Plan'!$DJ$36:$FH$36,$V91),0)</f>
        <v>0</v>
      </c>
      <c r="AD91" s="201">
        <f>IFERROR(INDEX('3b Activity Plan'!$DJ$37:$FH$37,$V91),0)</f>
        <v>0</v>
      </c>
      <c r="AE91" s="201">
        <f>IFERROR(INDEX('3b Activity Plan'!$DJ$38:$FH$38,$V91),0)</f>
        <v>0</v>
      </c>
      <c r="AF91" s="201">
        <f>IFERROR(INDEX('3b Activity Plan'!$DJ$39:$FH$39,$V91),0)</f>
        <v>0</v>
      </c>
      <c r="AG91" s="201">
        <f>IFERROR(INDEX('3b Activity Plan'!$DJ$40:$FH$40,$V91),0)</f>
        <v>0</v>
      </c>
      <c r="AH91" s="201">
        <f>IFERROR(INDEX('3b Activity Plan'!$DJ$41:$FH$41,$V91),0)</f>
        <v>0</v>
      </c>
      <c r="AI91" s="201">
        <f>IFERROR(INDEX('3b Activity Plan'!$DJ$42:$FH$42,$V91),0)</f>
        <v>0</v>
      </c>
      <c r="AJ91" s="201">
        <f>IFERROR(INDEX('3b Activity Plan'!$DJ$43:$FH$43,$V91),0)</f>
        <v>0</v>
      </c>
      <c r="AK91" s="201"/>
      <c r="AL91" s="201">
        <f>SUMIFS('3a Staff Plan'!$AR$129:$AR$305,'3a Staff Plan'!$DY$129:$DY$305,$IA91,'3a Staff Plan'!$DF$129:$DF$305,1)</f>
        <v>0</v>
      </c>
      <c r="AM91" s="1768"/>
      <c r="AN91" s="1768">
        <f>SUMIFS('3a Staff Plan'!$AR$129:$AR$305,'3a Staff Plan'!$DY$129:$DY$305,$IA91,'3a Staff Plan'!$CV$129:$CV$305,1)</f>
        <v>0</v>
      </c>
      <c r="AO91" s="201"/>
      <c r="AP91" s="201">
        <f>SUMIFS('3a Staff Plan'!$AS$129:$AS$305,'3a Staff Plan'!$DY$129:$DY$305,$IA91,'3a Staff Plan'!$DF$129:$DF$305,1)</f>
        <v>0</v>
      </c>
      <c r="AQ91" s="201">
        <f>SUMIFS('3a Staff Plan'!$AT$129:$AT$305,'3a Staff Plan'!$DY$129:$DY$305,$IA91,'3a Staff Plan'!$DF$129:$DF$305,1)</f>
        <v>0</v>
      </c>
      <c r="AR91" s="201">
        <f>SUMIFS('3a Staff Plan'!$AU$129:$AU$305,'3a Staff Plan'!$DY$129:$DY$305,$IA91,'3a Staff Plan'!$DF$129:$DF$305,1)</f>
        <v>0</v>
      </c>
      <c r="AS91" s="201">
        <f>SUMIFS('3a Staff Plan'!$AV$129:$AV$305,'3a Staff Plan'!$DY$129:$DY$305,$IA91,'3a Staff Plan'!$DF$129:$DF$305,1)</f>
        <v>0</v>
      </c>
      <c r="AT91" s="201">
        <f>SUMIFS('3a Staff Plan'!$AW$129:$AW$305,'3a Staff Plan'!$DY$129:$DY$305,$IA91,'3a Staff Plan'!$DF$129:$DF$305,1)</f>
        <v>0</v>
      </c>
      <c r="AU91" s="201">
        <f>SUMIFS('3a Staff Plan'!$AX$129:$AX$305,'3a Staff Plan'!$DY$129:$DY$305,$IA91,'3a Staff Plan'!$DF$129:$DF$305,1)</f>
        <v>0</v>
      </c>
      <c r="AV91" s="201">
        <f>SUMIFS('3a Staff Plan'!$AY$129:$AY$305,'3a Staff Plan'!$DY$129:$DY$305,$IA91,'3a Staff Plan'!$DF$129:$DF$305,1)</f>
        <v>0</v>
      </c>
      <c r="AW91" s="201">
        <f>SUMIFS('3a Staff Plan'!$AZ$129:$AZ$305,'3a Staff Plan'!$DY$129:$DY$305,$IA91,'3a Staff Plan'!$DF$129:$DF$305,1)</f>
        <v>0</v>
      </c>
      <c r="AX91" s="201">
        <f>SUMIFS('3a Staff Plan'!$BA$129:$BA$305,'3a Staff Plan'!$DY$129:$DY$305,$IA91,'3a Staff Plan'!$DF$129:$DF$305,1)</f>
        <v>0</v>
      </c>
      <c r="AY91" s="201">
        <f>SUMIFS('3a Staff Plan'!$BB$129:$BB$305,'3a Staff Plan'!$DY$129:$DY$305,$IA91,'3a Staff Plan'!$DF$129:$DF$305,1)</f>
        <v>0</v>
      </c>
      <c r="AZ91" s="201"/>
      <c r="BA91" s="201">
        <f t="shared" si="198"/>
        <v>0</v>
      </c>
      <c r="BB91" s="1768"/>
      <c r="BC91" s="1768">
        <f t="shared" si="199"/>
        <v>0</v>
      </c>
      <c r="BD91" s="201"/>
      <c r="BE91" s="201">
        <f t="shared" si="200"/>
        <v>0</v>
      </c>
      <c r="BF91" s="201">
        <f t="shared" si="201"/>
        <v>0</v>
      </c>
      <c r="BG91" s="201">
        <f t="shared" si="202"/>
        <v>0</v>
      </c>
      <c r="BH91" s="201">
        <f t="shared" si="203"/>
        <v>0</v>
      </c>
      <c r="BI91" s="201">
        <f t="shared" si="204"/>
        <v>0</v>
      </c>
      <c r="BJ91" s="201">
        <f t="shared" si="205"/>
        <v>0</v>
      </c>
      <c r="BK91" s="201">
        <f t="shared" si="206"/>
        <v>0</v>
      </c>
      <c r="BL91" s="201">
        <f t="shared" si="207"/>
        <v>0</v>
      </c>
      <c r="BM91" s="201">
        <f t="shared" si="208"/>
        <v>0</v>
      </c>
      <c r="BN91" s="201">
        <f t="shared" si="209"/>
        <v>0</v>
      </c>
      <c r="BO91" s="201"/>
      <c r="BP91" s="1818">
        <f t="shared" si="146"/>
        <v>28</v>
      </c>
      <c r="BQ91" s="1818">
        <f>IFERROR(INDEX('3b Activity Plan'!$DJ$15:$FH$15,BP91),0)</f>
        <v>0</v>
      </c>
      <c r="BR91" s="1768"/>
      <c r="BS91" s="1768">
        <f>IFERROR(INDEX('3b Activity Plan'!$DJ$16:$FH$16,BP91),0)</f>
        <v>0</v>
      </c>
      <c r="BT91" s="201"/>
      <c r="BU91" s="201">
        <f>IFERROR(INDEX('3b Activity Plan'!$DJ$67:$FH$67,$V91),0)</f>
        <v>0</v>
      </c>
      <c r="BV91" s="201">
        <f>IFERROR(INDEX('3b Activity Plan'!$DJ$68:$FH$68,$V91),0)</f>
        <v>0</v>
      </c>
      <c r="BW91" s="201">
        <f>IFERROR(INDEX('3b Activity Plan'!$DJ$69:$FH$69,$V91),0)</f>
        <v>0</v>
      </c>
      <c r="BX91" s="201">
        <f>IFERROR(INDEX('3b Activity Plan'!$DJ$70:$FH$70,$V91),0)</f>
        <v>0</v>
      </c>
      <c r="BY91" s="201">
        <f>IFERROR(INDEX('3b Activity Plan'!$DJ$71:$FH$71,$V91),0)</f>
        <v>0</v>
      </c>
      <c r="BZ91" s="201">
        <f>IFERROR(INDEX('3b Activity Plan'!$DJ$72:$FH$72,$V91),0)</f>
        <v>0</v>
      </c>
      <c r="CA91" s="201">
        <f>IFERROR(INDEX('3b Activity Plan'!$DJ$73:$FH$73,$V91),0)</f>
        <v>0</v>
      </c>
      <c r="CB91" s="201">
        <f>IFERROR(INDEX('3b Activity Plan'!$DJ$74:$FH$74,$V91),0)</f>
        <v>0</v>
      </c>
      <c r="CC91" s="201">
        <f>IFERROR(INDEX('3b Activity Plan'!$DJ$75:$FH$75,$V91),0)</f>
        <v>0</v>
      </c>
      <c r="CD91" s="201">
        <f>IFERROR(INDEX('3b Activity Plan'!$DJ$76:$FH$76,$V91),0)</f>
        <v>0</v>
      </c>
      <c r="CE91" s="201"/>
      <c r="CF91" s="1818">
        <f>SUMIFS('3a Staff Plan'!$AR$129:$AR$305,'3a Staff Plan'!$DY$129:$DY$305,$IA91,'3a Staff Plan'!$AG$129:$AG$305,1,'3a Staff Plan'!$DF$129:$DF$305,1)</f>
        <v>0</v>
      </c>
      <c r="CG91" s="1768">
        <f>SUMIFS('3a Staff Plan'!$AR$129:$AR$305,'3a Staff Plan'!$DY$129:$DY$305,$IA91,'3a Staff Plan'!$AG$129:$AG$305,1,'3a Staff Plan'!$CX$129:$CX$305,1)</f>
        <v>0</v>
      </c>
      <c r="CH91" s="1768">
        <f>SUMIFS('3a Staff Plan'!$AR$129:$AR$305,'3a Staff Plan'!$DY$129:$DY$305,$IA91,'3a Staff Plan'!$AG$129:$AG$305,1,'3a Staff Plan'!$CV$129:$CV$305,1)</f>
        <v>0</v>
      </c>
      <c r="CI91" s="201"/>
      <c r="CJ91" s="201">
        <f>SUMIFS('3a Staff Plan'!$BX$129:$BX$305,'3a Staff Plan'!$DY$129:$DY$305,$IA91,'3a Staff Plan'!$DF$129:$DF$305,1,'3a Staff Plan'!$AG$129:$AG$305,1)</f>
        <v>0</v>
      </c>
      <c r="CK91" s="201">
        <f>SUMIFS('3a Staff Plan'!$BY$129:$BY$305,'3a Staff Plan'!$DY$129:$DY$305,$IA91,'3a Staff Plan'!$DF$129:$DF$305,1,'3a Staff Plan'!$AG$129:$AG$305,1)</f>
        <v>0</v>
      </c>
      <c r="CL91" s="201">
        <f>SUMIFS('3a Staff Plan'!$BZ$129:$BZ$305,'3a Staff Plan'!$DY$129:$DY$305,$IA91,'3a Staff Plan'!$DF$129:$DF$305,1,'3a Staff Plan'!$AG$129:$AG$305,1)</f>
        <v>0</v>
      </c>
      <c r="CM91" s="201">
        <f>SUMIFS('3a Staff Plan'!$CA$129:$CA$305,'3a Staff Plan'!$DY$129:$DY$305,$IA91,'3a Staff Plan'!$DF$129:$DF$305,1,'3a Staff Plan'!$AG$129:$AG$305,1)</f>
        <v>0</v>
      </c>
      <c r="CN91" s="201">
        <f>SUMIFS('3a Staff Plan'!$CB$129:$CB$305,'3a Staff Plan'!$DY$129:$DY$305,$IA91,'3a Staff Plan'!$DF$129:$DF$305,1,'3a Staff Plan'!$AG$129:$AG$305,1)</f>
        <v>0</v>
      </c>
      <c r="CO91" s="201">
        <f>SUMIFS('3a Staff Plan'!$CC$129:$CC$305,'3a Staff Plan'!$DY$129:$DY$305,$IA91,'3a Staff Plan'!$DF$129:$DF$305,1,'3a Staff Plan'!$AG$129:$AG$305,1)</f>
        <v>0</v>
      </c>
      <c r="CP91" s="201">
        <f>SUMIFS('3a Staff Plan'!$CD$129:$CD$305,'3a Staff Plan'!$DY$129:$DY$305,$IA91,'3a Staff Plan'!$DF$129:$DF$305,1,'3a Staff Plan'!$AG$129:$AG$305,1)</f>
        <v>0</v>
      </c>
      <c r="CQ91" s="201">
        <f>SUMIFS('3a Staff Plan'!$CE$129:$CE$305,'3a Staff Plan'!$DY$129:$DY$305,$IA91,'3a Staff Plan'!$DF$129:$DF$305,1,'3a Staff Plan'!$AG$129:$AG$305,1)</f>
        <v>0</v>
      </c>
      <c r="CR91" s="201">
        <f>SUMIFS('3a Staff Plan'!$CF$129:$CF$305,'3a Staff Plan'!$DY$129:$DY$305,$IA91,'3a Staff Plan'!$DF$129:$DF$305,1,'3a Staff Plan'!$AG$129:$AG$305,1)</f>
        <v>0</v>
      </c>
      <c r="CS91" s="201">
        <f>SUMIFS('3a Staff Plan'!$CG$129:$CG$305,'3a Staff Plan'!$DY$129:$DY$305,$IA91,'3a Staff Plan'!$DF$129:$DF$305,1,'3a Staff Plan'!$AG$129:$AG$305,1)</f>
        <v>0</v>
      </c>
      <c r="CT91" s="201"/>
      <c r="CU91" s="1818">
        <f t="shared" si="210"/>
        <v>0</v>
      </c>
      <c r="CV91" s="1768"/>
      <c r="CW91" s="1768">
        <f t="shared" si="211"/>
        <v>0</v>
      </c>
      <c r="CX91" s="201"/>
      <c r="CY91" s="201">
        <f t="shared" si="212"/>
        <v>0</v>
      </c>
      <c r="CZ91" s="201">
        <f t="shared" si="213"/>
        <v>0</v>
      </c>
      <c r="DA91" s="201">
        <f t="shared" si="214"/>
        <v>0</v>
      </c>
      <c r="DB91" s="201">
        <f t="shared" si="215"/>
        <v>0</v>
      </c>
      <c r="DC91" s="201">
        <f t="shared" si="216"/>
        <v>0</v>
      </c>
      <c r="DD91" s="201">
        <f t="shared" si="217"/>
        <v>0</v>
      </c>
      <c r="DE91" s="201">
        <f t="shared" si="218"/>
        <v>0</v>
      </c>
      <c r="DF91" s="201">
        <f t="shared" si="219"/>
        <v>0</v>
      </c>
      <c r="DG91" s="201">
        <f t="shared" si="220"/>
        <v>0</v>
      </c>
      <c r="DH91" s="201">
        <f t="shared" si="221"/>
        <v>0</v>
      </c>
      <c r="DI91" s="201"/>
      <c r="DJ91" s="201"/>
      <c r="DK91" s="201"/>
      <c r="DL91" s="201"/>
      <c r="DM91" s="372">
        <f t="shared" ca="1" si="37"/>
        <v>0</v>
      </c>
      <c r="DN91" s="1185">
        <f t="shared" si="38"/>
        <v>0</v>
      </c>
      <c r="DO91" s="1185">
        <f t="shared" si="39"/>
        <v>0</v>
      </c>
      <c r="DP91" s="201"/>
      <c r="DQ91" s="372">
        <f t="shared" ca="1" si="40"/>
        <v>0</v>
      </c>
      <c r="DR91" s="1185">
        <f t="shared" si="41"/>
        <v>0</v>
      </c>
      <c r="DS91" s="1185">
        <f t="shared" si="42"/>
        <v>0</v>
      </c>
      <c r="DT91" s="201"/>
      <c r="DU91" s="372">
        <f t="shared" ca="1" si="222"/>
        <v>0</v>
      </c>
      <c r="DV91" s="372">
        <f t="shared" si="223"/>
        <v>0</v>
      </c>
      <c r="DW91" s="372">
        <f t="shared" si="223"/>
        <v>0</v>
      </c>
      <c r="DX91" s="201"/>
      <c r="DY91" s="372">
        <f t="shared" si="44"/>
        <v>0</v>
      </c>
      <c r="DZ91" s="372">
        <f t="shared" ca="1" si="45"/>
        <v>0</v>
      </c>
      <c r="EA91" s="201"/>
      <c r="EB91" s="2776">
        <f>IF(EO91=$EO$53,1,IFERROR(INDEX('Currency Data'!$L$8:$L$41,MATCH(EO91,'Currency Data'!$H$8:$H$41,0)),1))</f>
        <v>1</v>
      </c>
      <c r="EC91" s="2776">
        <f t="shared" si="147"/>
        <v>1</v>
      </c>
      <c r="ED91" s="428">
        <f>IF(GQ91=1,'1 Setup'!$T$68,IF(ISBLANK(IJ91),II91/EC91*IF(GL91=1,$ED$53,1),IJ91/EC91)*IF($EW91=7,JW91,1))</f>
        <v>0</v>
      </c>
      <c r="EE91" s="428">
        <f t="shared" si="46"/>
        <v>0</v>
      </c>
      <c r="EF91" s="428"/>
      <c r="EG91" s="1965" t="str">
        <f t="shared" si="148"/>
        <v>031500 - Highways UK</v>
      </c>
      <c r="EH91" s="201">
        <f t="shared" si="149"/>
        <v>1</v>
      </c>
      <c r="EI91" s="445" t="str">
        <f>IF(EH91=1,$EI$53,IF(GQ91=1,$GQ$55,IFERROR(IF($EG91=$EG$53,$EI$53,INDEX('PU List'!$G$6:$G$413,MATCH($EG91,'PU List'!$D$6:$D$413,0))),$EI$53)))</f>
        <v>GB - BIAF</v>
      </c>
      <c r="EJ91" s="2773" t="str">
        <f t="shared" si="150"/>
        <v>GB - BIAF</v>
      </c>
      <c r="EK91" s="1768"/>
      <c r="EL91" s="3283">
        <f>IF(OR(EW91&gt;7,$EL$53=0),0,IF(EJ91=$EI$53,$EL$53,IFERROR(INDEX('Fringe Data'!$U$8:$U$129,MATCH($EJ91,'Fringe Data'!$F$8:$F$129,0)),0)))</f>
        <v>1.73</v>
      </c>
      <c r="EM91" s="372">
        <f t="shared" si="47"/>
        <v>0</v>
      </c>
      <c r="EN91" s="201" t="str">
        <f>IFERROR(INDEX('Fringe Data'!$G$8:$G$64,MATCH($EJ91,'Fringe Data'!$F$8:$F$64,0)),$EO$53)</f>
        <v>GBP</v>
      </c>
      <c r="EO91" s="201" t="str">
        <f t="shared" si="151"/>
        <v>GBP</v>
      </c>
      <c r="EP91" s="201">
        <f>IF(EI91=$EI$53,$EP$49,IF(GP91=1,0,IFERROR(INDEX('Fringe Data'!$K$8:$K$64,MATCH($EI91,'Fringe Data'!$F$8:$F$64,0)),0)))</f>
        <v>0.52</v>
      </c>
      <c r="EQ91" s="201">
        <f>IF(EI91=$EI$53,$EQ$49,IF(GP91=1,0,IFERROR(INDEX('Fringe Data'!$L$8:$L$64,MATCH($EI91,'Fringe Data'!$F$8:$F$64,0)),0)))</f>
        <v>1.8499999999999999E-2</v>
      </c>
      <c r="ER91" s="201">
        <f>IF(EI91=$EI$53,$ER$49,IF(GP91=1,0,IFERROR(INDEX('Fringe Data'!$M$8:$M$64,MATCH($EI91,'Fringe Data'!$F$8:$F$64,0)),0)))</f>
        <v>0.43430000000000002</v>
      </c>
      <c r="ES91" s="201">
        <f>IF(EI91=$EI$53,$ES$49,IF(GP91=1,0,IFERROR(INDEX('Fringe Data'!$N$8:$N$64,MATCH($EI91,'Fringe Data'!$F$8:$F$64,0)),0)))</f>
        <v>0.1565</v>
      </c>
      <c r="ET91" s="201">
        <f>IF(EI91=$EI$53,$ET$49,IF(GP91=1,0,IFERROR(INDEX('Fringe Data'!$O$8:$O$64,MATCH($EI91,'Fringe Data'!$F$8:$F$64,0)),0)))</f>
        <v>0.33450000000000002</v>
      </c>
      <c r="EU91" s="263">
        <f>IF(EI91=$EI$53,$EU$49,IF(GP91=1,0,IFERROR(INDEX('Fringe Data'!$P$8:$P$64,MATCH($EI91,'Fringe Data'!$F$8:$F$64,0)),0)))</f>
        <v>0.1565</v>
      </c>
      <c r="EV91" s="201"/>
      <c r="EW91" s="1530">
        <f t="shared" si="48"/>
        <v>1</v>
      </c>
      <c r="EX91" s="1534">
        <f t="shared" si="152"/>
        <v>0.52</v>
      </c>
      <c r="EY91" s="321">
        <f t="shared" si="153"/>
        <v>0</v>
      </c>
      <c r="EZ91" s="201">
        <f t="shared" si="154"/>
        <v>0</v>
      </c>
      <c r="FA91" s="372">
        <f t="shared" si="49"/>
        <v>0</v>
      </c>
      <c r="FB91" s="372">
        <f t="shared" si="50"/>
        <v>0</v>
      </c>
      <c r="FC91" s="201">
        <f t="shared" ca="1" si="155"/>
        <v>0</v>
      </c>
      <c r="FD91" s="423">
        <f t="shared" si="51"/>
        <v>0</v>
      </c>
      <c r="FE91" s="423">
        <f t="shared" si="52"/>
        <v>0</v>
      </c>
      <c r="FF91" s="201">
        <f t="shared" si="156"/>
        <v>0</v>
      </c>
      <c r="FG91" s="425">
        <f>IF(OR($FJ$52=3,$FJ$52=4,$FJ$52=5),'1 Setup'!$W$96,0)</f>
        <v>0</v>
      </c>
      <c r="FH91" s="428">
        <f>IF($FJ$52=5,'1 Setup'!$W$98,IF($FJ$52=6,'1 Setup'!$S$86,0))</f>
        <v>0</v>
      </c>
      <c r="FI91" s="321">
        <f t="shared" ca="1" si="53"/>
        <v>0</v>
      </c>
      <c r="FJ91" s="263">
        <f t="shared" ca="1" si="157"/>
        <v>0</v>
      </c>
      <c r="FK91" s="372">
        <f t="shared" ca="1" si="54"/>
        <v>0</v>
      </c>
      <c r="FL91" s="372">
        <f t="shared" si="55"/>
        <v>0</v>
      </c>
      <c r="FM91" s="372">
        <f t="shared" si="56"/>
        <v>0</v>
      </c>
      <c r="FN91" s="2036">
        <f t="shared" ca="1" si="57"/>
        <v>0</v>
      </c>
      <c r="FO91" s="372">
        <f t="shared" ca="1" si="224"/>
        <v>0</v>
      </c>
      <c r="FP91" s="2723">
        <f t="shared" si="158"/>
        <v>0</v>
      </c>
      <c r="FQ91" s="372">
        <f t="shared" si="59"/>
        <v>0</v>
      </c>
      <c r="FR91" s="372">
        <f t="shared" si="159"/>
        <v>0</v>
      </c>
      <c r="FS91" s="1168"/>
      <c r="FT91" s="1168">
        <f t="shared" si="60"/>
        <v>0</v>
      </c>
      <c r="FU91" s="1168">
        <f t="shared" si="61"/>
        <v>0</v>
      </c>
      <c r="FV91" s="1168">
        <f t="shared" si="62"/>
        <v>0</v>
      </c>
      <c r="FW91" s="1168">
        <f t="shared" si="63"/>
        <v>0</v>
      </c>
      <c r="FX91" s="1168">
        <f t="shared" si="64"/>
        <v>0</v>
      </c>
      <c r="FY91" s="1168">
        <f t="shared" si="65"/>
        <v>0</v>
      </c>
      <c r="FZ91" s="1168">
        <f t="shared" si="66"/>
        <v>0</v>
      </c>
      <c r="GA91" s="1168">
        <f t="shared" si="67"/>
        <v>0</v>
      </c>
      <c r="GB91" s="1168">
        <f t="shared" si="68"/>
        <v>0</v>
      </c>
      <c r="GC91" s="1168">
        <f t="shared" si="69"/>
        <v>0</v>
      </c>
      <c r="GD91" s="1168"/>
      <c r="GE91" s="199"/>
      <c r="GF91" s="201">
        <f t="shared" si="70"/>
        <v>0</v>
      </c>
      <c r="GG91" s="201">
        <f t="shared" si="71"/>
        <v>0</v>
      </c>
      <c r="GH91" s="201">
        <f t="shared" si="72"/>
        <v>0</v>
      </c>
      <c r="GI91" s="201">
        <f t="shared" ca="1" si="160"/>
        <v>0</v>
      </c>
      <c r="GJ91" s="201">
        <f t="shared" si="73"/>
        <v>0</v>
      </c>
      <c r="GK91" s="201">
        <f t="shared" si="74"/>
        <v>0</v>
      </c>
      <c r="GL91" s="201">
        <f t="shared" si="75"/>
        <v>1</v>
      </c>
      <c r="GM91" s="201">
        <f t="shared" si="76"/>
        <v>1</v>
      </c>
      <c r="GN91" s="201"/>
      <c r="GO91" s="201"/>
      <c r="GP91" s="201">
        <f t="shared" si="77"/>
        <v>0</v>
      </c>
      <c r="GQ91" s="201">
        <f t="shared" si="78"/>
        <v>0</v>
      </c>
      <c r="GR91" s="201">
        <f t="shared" si="161"/>
        <v>0</v>
      </c>
      <c r="GS91" s="1768"/>
      <c r="GT91" s="201">
        <f t="shared" si="79"/>
        <v>1</v>
      </c>
      <c r="GU91" s="201">
        <f t="shared" si="193"/>
        <v>28</v>
      </c>
      <c r="GV91" s="201">
        <f t="shared" si="80"/>
        <v>0</v>
      </c>
      <c r="GW91" s="201">
        <f t="shared" si="81"/>
        <v>3</v>
      </c>
      <c r="GX91" s="201">
        <f t="shared" si="162"/>
        <v>0</v>
      </c>
      <c r="GY91" s="1998"/>
      <c r="GZ91" s="253"/>
      <c r="HA91" s="195">
        <f t="shared" si="163"/>
        <v>0</v>
      </c>
      <c r="HB91" s="3558">
        <f t="shared" si="82"/>
        <v>0</v>
      </c>
      <c r="HC91" s="3590"/>
      <c r="HD91" s="257" t="str">
        <f t="shared" si="83"/>
        <v/>
      </c>
      <c r="HE91" s="825">
        <f t="shared" si="84"/>
        <v>0</v>
      </c>
      <c r="HF91" s="506" t="s">
        <v>5</v>
      </c>
      <c r="HG91" s="508">
        <f t="shared" ca="1" si="85"/>
        <v>0</v>
      </c>
      <c r="HH91" s="3585">
        <f t="shared" si="86"/>
        <v>0</v>
      </c>
      <c r="HI91" s="3586"/>
      <c r="HJ91" s="504">
        <f t="shared" ca="1" si="225"/>
        <v>0</v>
      </c>
      <c r="HK91" s="456">
        <f t="shared" ca="1" si="226"/>
        <v>0</v>
      </c>
      <c r="HL91" s="3591">
        <f t="shared" ca="1" si="227"/>
        <v>0</v>
      </c>
      <c r="HM91" s="3592"/>
      <c r="HN91" s="240"/>
      <c r="HO91" s="1998"/>
      <c r="HP91" s="1991"/>
      <c r="HQ91" s="2770" t="str">
        <f t="shared" si="90"/>
        <v>GB - BIAF</v>
      </c>
      <c r="HR91" s="2770" t="str">
        <f t="shared" si="91"/>
        <v>GBP</v>
      </c>
      <c r="HS91" s="2771">
        <f t="shared" si="92"/>
        <v>1</v>
      </c>
      <c r="HT91" s="3623"/>
      <c r="HU91" s="2771">
        <f t="shared" si="93"/>
        <v>1.73</v>
      </c>
      <c r="HW91" s="1218"/>
      <c r="HX91" s="520"/>
      <c r="HY91" s="2523"/>
      <c r="HZ91" s="194"/>
      <c r="IA91" s="1013"/>
      <c r="IB91" s="193"/>
      <c r="IC91" s="3276">
        <v>28</v>
      </c>
      <c r="ID91" s="986"/>
      <c r="IE91" s="938">
        <f t="shared" si="164"/>
        <v>0</v>
      </c>
      <c r="IF91" s="938">
        <f t="shared" si="165"/>
        <v>0</v>
      </c>
      <c r="IG91" s="432"/>
      <c r="II91" s="405"/>
      <c r="IJ91" s="239"/>
      <c r="IK91" s="2774" t="str">
        <f t="shared" si="166"/>
        <v>GBP</v>
      </c>
      <c r="IL91" s="2148"/>
      <c r="IM91" s="1936">
        <f t="shared" si="94"/>
        <v>0</v>
      </c>
      <c r="IO91" s="1959" t="str">
        <f t="shared" si="95"/>
        <v/>
      </c>
      <c r="IP91" s="1958"/>
      <c r="IQ91" s="543">
        <f t="shared" si="96"/>
        <v>0.52</v>
      </c>
      <c r="IR91" s="1936">
        <f t="shared" si="97"/>
        <v>0</v>
      </c>
      <c r="IT91" s="1364"/>
      <c r="IU91" s="210"/>
      <c r="IV91" s="218"/>
      <c r="IW91" s="1938">
        <f ca="1">IF(NOT(ISBLANK(IU91)),IU91,IF('1 Setup'!$G$8&lt;7,JK91,FJ91))+KA91</f>
        <v>0</v>
      </c>
      <c r="IX91" s="409">
        <f t="shared" si="98"/>
        <v>0</v>
      </c>
      <c r="IY91" s="408">
        <f t="shared" si="99"/>
        <v>0</v>
      </c>
      <c r="IZ91" s="1983"/>
      <c r="JA91" s="1994"/>
      <c r="JB91" s="1991"/>
      <c r="JD91" s="2029">
        <f t="shared" si="167"/>
        <v>0</v>
      </c>
      <c r="JE91" s="479"/>
      <c r="JF91" s="2025">
        <f t="shared" si="100"/>
        <v>0</v>
      </c>
      <c r="JG91" s="429">
        <f t="shared" si="101"/>
        <v>0</v>
      </c>
      <c r="JH91" s="1667">
        <f t="shared" si="102"/>
        <v>0</v>
      </c>
      <c r="JJ91" s="1163">
        <f t="shared" ca="1" si="103"/>
        <v>0</v>
      </c>
      <c r="JK91" s="1163">
        <f t="shared" ca="1" si="104"/>
        <v>0</v>
      </c>
      <c r="JL91" s="1795"/>
      <c r="JN91" s="2505"/>
      <c r="JO91" s="1161"/>
      <c r="JP91" s="571">
        <f t="shared" ca="1" si="105"/>
        <v>0</v>
      </c>
      <c r="JQ91" s="2506"/>
      <c r="JR91" s="1953"/>
      <c r="JS91" s="2650"/>
      <c r="JT91" s="2507"/>
      <c r="JU91" s="1964">
        <f t="shared" si="106"/>
        <v>0.33450000000000002</v>
      </c>
      <c r="JV91" s="3199"/>
      <c r="JW91" s="2649">
        <f t="shared" si="107"/>
        <v>1.5</v>
      </c>
      <c r="JX91" s="1964">
        <f t="shared" si="168"/>
        <v>0.1565</v>
      </c>
      <c r="JY91" s="3199"/>
      <c r="JZ91" s="2649">
        <f t="shared" si="169"/>
        <v>0</v>
      </c>
      <c r="KA91" s="2649">
        <f t="shared" si="170"/>
        <v>0</v>
      </c>
      <c r="KB91" s="2649" t="s">
        <v>111</v>
      </c>
      <c r="KC91" s="1983"/>
      <c r="KD91" s="1974"/>
      <c r="KE91" s="1991"/>
      <c r="KF91" s="2029">
        <f t="shared" si="171"/>
        <v>0</v>
      </c>
      <c r="KG91" s="1991"/>
      <c r="KH91" s="2121">
        <f t="shared" si="108"/>
        <v>0</v>
      </c>
      <c r="KI91" s="2130">
        <f t="shared" si="109"/>
        <v>0</v>
      </c>
      <c r="KJ91" s="2130">
        <f t="shared" si="110"/>
        <v>0</v>
      </c>
      <c r="KK91" s="2130">
        <f t="shared" si="111"/>
        <v>0</v>
      </c>
      <c r="KL91" s="2131">
        <f t="shared" si="112"/>
        <v>0</v>
      </c>
      <c r="KM91" s="2132">
        <f t="shared" si="113"/>
        <v>0</v>
      </c>
      <c r="KN91" s="2132">
        <f t="shared" si="114"/>
        <v>0</v>
      </c>
      <c r="KO91" s="2132">
        <f t="shared" si="115"/>
        <v>0</v>
      </c>
      <c r="KP91" s="2132">
        <f t="shared" si="116"/>
        <v>0</v>
      </c>
      <c r="KQ91" s="2133">
        <f t="shared" si="117"/>
        <v>0</v>
      </c>
      <c r="KS91" s="2253">
        <f t="shared" si="118"/>
        <v>0</v>
      </c>
      <c r="KT91" s="2270">
        <f t="shared" ref="KT91:LB91" si="273">KS91*(1+(KT$60))</f>
        <v>0</v>
      </c>
      <c r="KU91" s="2271">
        <f t="shared" si="273"/>
        <v>0</v>
      </c>
      <c r="KV91" s="2271">
        <f t="shared" si="273"/>
        <v>0</v>
      </c>
      <c r="KW91" s="2272">
        <f t="shared" si="273"/>
        <v>0</v>
      </c>
      <c r="KX91" s="2271">
        <f t="shared" si="273"/>
        <v>0</v>
      </c>
      <c r="KY91" s="2271">
        <f t="shared" si="273"/>
        <v>0</v>
      </c>
      <c r="KZ91" s="2271">
        <f t="shared" si="273"/>
        <v>0</v>
      </c>
      <c r="LA91" s="2271">
        <f t="shared" si="273"/>
        <v>0</v>
      </c>
      <c r="LB91" s="2273">
        <f t="shared" si="273"/>
        <v>0</v>
      </c>
      <c r="LC91" s="272"/>
      <c r="LD91" s="2124">
        <f t="shared" si="120"/>
        <v>0</v>
      </c>
      <c r="LE91" s="2093">
        <f t="shared" si="121"/>
        <v>0</v>
      </c>
      <c r="LF91" s="2093">
        <f t="shared" si="122"/>
        <v>0</v>
      </c>
      <c r="LG91" s="2093">
        <f t="shared" si="123"/>
        <v>0</v>
      </c>
      <c r="LH91" s="2094">
        <f t="shared" si="124"/>
        <v>0</v>
      </c>
      <c r="LI91" s="2095">
        <f t="shared" si="125"/>
        <v>0</v>
      </c>
      <c r="LJ91" s="2095">
        <f t="shared" si="126"/>
        <v>0</v>
      </c>
      <c r="LK91" s="2095">
        <f t="shared" si="127"/>
        <v>0</v>
      </c>
      <c r="LL91" s="2095">
        <f t="shared" si="128"/>
        <v>0</v>
      </c>
      <c r="LM91" s="2096">
        <f t="shared" si="129"/>
        <v>0</v>
      </c>
      <c r="LN91" s="749"/>
      <c r="LO91" s="2256">
        <f t="shared" ca="1" si="130"/>
        <v>0</v>
      </c>
      <c r="LP91" s="2270">
        <f t="shared" ca="1" si="131"/>
        <v>0</v>
      </c>
      <c r="LQ91" s="2271">
        <f t="shared" ca="1" si="132"/>
        <v>0</v>
      </c>
      <c r="LR91" s="2271">
        <f t="shared" ca="1" si="133"/>
        <v>0</v>
      </c>
      <c r="LS91" s="2272">
        <f t="shared" ca="1" si="134"/>
        <v>0</v>
      </c>
      <c r="LT91" s="2271">
        <f t="shared" ca="1" si="135"/>
        <v>0</v>
      </c>
      <c r="LU91" s="2271">
        <f t="shared" ca="1" si="136"/>
        <v>0</v>
      </c>
      <c r="LV91" s="2271">
        <f t="shared" ca="1" si="137"/>
        <v>0</v>
      </c>
      <c r="LW91" s="2271">
        <f t="shared" ca="1" si="138"/>
        <v>0</v>
      </c>
      <c r="LX91" s="2273">
        <f t="shared" ca="1" si="139"/>
        <v>0</v>
      </c>
      <c r="LY91" s="479"/>
      <c r="LZ91" s="3128">
        <f t="shared" ca="1" si="173"/>
        <v>-1.73</v>
      </c>
      <c r="MA91" s="3129">
        <f t="shared" ca="1" si="174"/>
        <v>-1.73</v>
      </c>
      <c r="MB91" s="3129">
        <f t="shared" ca="1" si="175"/>
        <v>-1.73</v>
      </c>
      <c r="MC91" s="3129">
        <f t="shared" ca="1" si="176"/>
        <v>-1.73</v>
      </c>
      <c r="MD91" s="3130">
        <f t="shared" ca="1" si="177"/>
        <v>-1.73</v>
      </c>
      <c r="ME91" s="3129">
        <f t="shared" ca="1" si="178"/>
        <v>-1.73</v>
      </c>
      <c r="MF91" s="3129">
        <f t="shared" ca="1" si="179"/>
        <v>-1.73</v>
      </c>
      <c r="MG91" s="3129">
        <f t="shared" ca="1" si="180"/>
        <v>-1.73</v>
      </c>
      <c r="MH91" s="3129">
        <f t="shared" ca="1" si="181"/>
        <v>-1.73</v>
      </c>
      <c r="MI91" s="3131">
        <f t="shared" ca="1" si="182"/>
        <v>-1.73</v>
      </c>
      <c r="MJ91" s="3201"/>
      <c r="MK91" s="3206">
        <f t="shared" ca="1" si="183"/>
        <v>0</v>
      </c>
      <c r="ML91" s="3207">
        <f t="shared" ca="1" si="184"/>
        <v>0</v>
      </c>
      <c r="MM91" s="3207">
        <f t="shared" ca="1" si="185"/>
        <v>0</v>
      </c>
      <c r="MN91" s="3207">
        <f t="shared" ca="1" si="186"/>
        <v>0</v>
      </c>
      <c r="MO91" s="3208">
        <f t="shared" ca="1" si="187"/>
        <v>0</v>
      </c>
      <c r="MP91" s="3207">
        <f t="shared" ca="1" si="188"/>
        <v>0</v>
      </c>
      <c r="MQ91" s="3207">
        <f t="shared" ca="1" si="189"/>
        <v>0</v>
      </c>
      <c r="MR91" s="3207">
        <f t="shared" ca="1" si="190"/>
        <v>0</v>
      </c>
      <c r="MS91" s="3207">
        <f t="shared" ca="1" si="191"/>
        <v>0</v>
      </c>
      <c r="MT91" s="3209">
        <f t="shared" ca="1" si="192"/>
        <v>0</v>
      </c>
      <c r="MU91" s="1983"/>
      <c r="MV91" s="1975"/>
      <c r="MW91" s="1991"/>
      <c r="MX91" s="1931">
        <f t="shared" si="142"/>
        <v>0</v>
      </c>
      <c r="MY91" s="749"/>
      <c r="MZ91" s="1934">
        <f t="shared" si="143"/>
        <v>0</v>
      </c>
      <c r="NA91" s="1935"/>
      <c r="NB91" s="2652">
        <f t="shared" si="144"/>
        <v>0</v>
      </c>
      <c r="NC91" s="479"/>
      <c r="ND91" s="2749" t="str">
        <f t="shared" si="145"/>
        <v/>
      </c>
      <c r="NE91" s="2717"/>
      <c r="NF91" s="1975"/>
      <c r="NG91" s="1975"/>
      <c r="NH91" s="1975"/>
      <c r="NI91" s="1975"/>
    </row>
    <row r="92" spans="1:373" s="192" customFormat="1" ht="15.9" customHeight="1" x14ac:dyDescent="0.3">
      <c r="A92" s="200"/>
      <c r="B92" s="200"/>
      <c r="C92" s="200"/>
      <c r="D92" s="200"/>
      <c r="E92" s="200"/>
      <c r="F92" s="200"/>
      <c r="G92" s="200"/>
      <c r="H92" s="200"/>
      <c r="I92" s="200"/>
      <c r="J92" s="200"/>
      <c r="K92" s="200"/>
      <c r="L92" s="200"/>
      <c r="M92" s="200"/>
      <c r="N92" s="200"/>
      <c r="O92" s="200"/>
      <c r="P92" s="1539"/>
      <c r="Q92" s="1539"/>
      <c r="R92" s="198"/>
      <c r="S92" s="1539"/>
      <c r="T92" s="201"/>
      <c r="U92" s="200"/>
      <c r="V92" s="201">
        <f>MATCH($IC92,'3b Activity Plan'!$DJ$171:$FH$171,0)</f>
        <v>29</v>
      </c>
      <c r="W92" s="201">
        <f>IFERROR(INDEX('3b Activity Plan'!$DJ$6:$FH$6,V92),0)</f>
        <v>0</v>
      </c>
      <c r="X92" s="1768"/>
      <c r="Y92" s="1768">
        <f>IFERROR(INDEX('3b Activity Plan'!$DJ$7:$FH$7,V92),0)</f>
        <v>0</v>
      </c>
      <c r="Z92" s="201"/>
      <c r="AA92" s="201">
        <f>IFERROR(INDEX('3b Activity Plan'!$DJ$34:$FH$34,$V92),0)</f>
        <v>0</v>
      </c>
      <c r="AB92" s="201">
        <f>IFERROR(INDEX('3b Activity Plan'!$DJ$35:$FH$35,$V92),0)</f>
        <v>0</v>
      </c>
      <c r="AC92" s="201">
        <f>IFERROR(INDEX('3b Activity Plan'!$DJ$36:$FH$36,$V92),0)</f>
        <v>0</v>
      </c>
      <c r="AD92" s="201">
        <f>IFERROR(INDEX('3b Activity Plan'!$DJ$37:$FH$37,$V92),0)</f>
        <v>0</v>
      </c>
      <c r="AE92" s="201">
        <f>IFERROR(INDEX('3b Activity Plan'!$DJ$38:$FH$38,$V92),0)</f>
        <v>0</v>
      </c>
      <c r="AF92" s="201">
        <f>IFERROR(INDEX('3b Activity Plan'!$DJ$39:$FH$39,$V92),0)</f>
        <v>0</v>
      </c>
      <c r="AG92" s="201">
        <f>IFERROR(INDEX('3b Activity Plan'!$DJ$40:$FH$40,$V92),0)</f>
        <v>0</v>
      </c>
      <c r="AH92" s="201">
        <f>IFERROR(INDEX('3b Activity Plan'!$DJ$41:$FH$41,$V92),0)</f>
        <v>0</v>
      </c>
      <c r="AI92" s="201">
        <f>IFERROR(INDEX('3b Activity Plan'!$DJ$42:$FH$42,$V92),0)</f>
        <v>0</v>
      </c>
      <c r="AJ92" s="201">
        <f>IFERROR(INDEX('3b Activity Plan'!$DJ$43:$FH$43,$V92),0)</f>
        <v>0</v>
      </c>
      <c r="AK92" s="201"/>
      <c r="AL92" s="201">
        <f>SUMIFS('3a Staff Plan'!$AR$129:$AR$305,'3a Staff Plan'!$DY$129:$DY$305,$IA92,'3a Staff Plan'!$DF$129:$DF$305,1)</f>
        <v>0</v>
      </c>
      <c r="AM92" s="1768"/>
      <c r="AN92" s="1768">
        <f>SUMIFS('3a Staff Plan'!$AR$129:$AR$305,'3a Staff Plan'!$DY$129:$DY$305,$IA92,'3a Staff Plan'!$CV$129:$CV$305,1)</f>
        <v>0</v>
      </c>
      <c r="AO92" s="201"/>
      <c r="AP92" s="201">
        <f>SUMIFS('3a Staff Plan'!$AS$129:$AS$305,'3a Staff Plan'!$DY$129:$DY$305,$IA92,'3a Staff Plan'!$DF$129:$DF$305,1)</f>
        <v>0</v>
      </c>
      <c r="AQ92" s="201">
        <f>SUMIFS('3a Staff Plan'!$AT$129:$AT$305,'3a Staff Plan'!$DY$129:$DY$305,$IA92,'3a Staff Plan'!$DF$129:$DF$305,1)</f>
        <v>0</v>
      </c>
      <c r="AR92" s="201">
        <f>SUMIFS('3a Staff Plan'!$AU$129:$AU$305,'3a Staff Plan'!$DY$129:$DY$305,$IA92,'3a Staff Plan'!$DF$129:$DF$305,1)</f>
        <v>0</v>
      </c>
      <c r="AS92" s="201">
        <f>SUMIFS('3a Staff Plan'!$AV$129:$AV$305,'3a Staff Plan'!$DY$129:$DY$305,$IA92,'3a Staff Plan'!$DF$129:$DF$305,1)</f>
        <v>0</v>
      </c>
      <c r="AT92" s="201">
        <f>SUMIFS('3a Staff Plan'!$AW$129:$AW$305,'3a Staff Plan'!$DY$129:$DY$305,$IA92,'3a Staff Plan'!$DF$129:$DF$305,1)</f>
        <v>0</v>
      </c>
      <c r="AU92" s="201">
        <f>SUMIFS('3a Staff Plan'!$AX$129:$AX$305,'3a Staff Plan'!$DY$129:$DY$305,$IA92,'3a Staff Plan'!$DF$129:$DF$305,1)</f>
        <v>0</v>
      </c>
      <c r="AV92" s="201">
        <f>SUMIFS('3a Staff Plan'!$AY$129:$AY$305,'3a Staff Plan'!$DY$129:$DY$305,$IA92,'3a Staff Plan'!$DF$129:$DF$305,1)</f>
        <v>0</v>
      </c>
      <c r="AW92" s="201">
        <f>SUMIFS('3a Staff Plan'!$AZ$129:$AZ$305,'3a Staff Plan'!$DY$129:$DY$305,$IA92,'3a Staff Plan'!$DF$129:$DF$305,1)</f>
        <v>0</v>
      </c>
      <c r="AX92" s="201">
        <f>SUMIFS('3a Staff Plan'!$BA$129:$BA$305,'3a Staff Plan'!$DY$129:$DY$305,$IA92,'3a Staff Plan'!$DF$129:$DF$305,1)</f>
        <v>0</v>
      </c>
      <c r="AY92" s="201">
        <f>SUMIFS('3a Staff Plan'!$BB$129:$BB$305,'3a Staff Plan'!$DY$129:$DY$305,$IA92,'3a Staff Plan'!$DF$129:$DF$305,1)</f>
        <v>0</v>
      </c>
      <c r="AZ92" s="201"/>
      <c r="BA92" s="201">
        <f t="shared" ref="BA92:BC93" si="274">(W92*$V$51)+(AL92*$AL$51)</f>
        <v>0</v>
      </c>
      <c r="BB92" s="1768"/>
      <c r="BC92" s="1768">
        <f t="shared" si="274"/>
        <v>0</v>
      </c>
      <c r="BD92" s="201"/>
      <c r="BE92" s="201">
        <f t="shared" ref="BE92:BN93" si="275">(AA92*$V$51)+(AP92*$AL$51)</f>
        <v>0</v>
      </c>
      <c r="BF92" s="201">
        <f t="shared" si="275"/>
        <v>0</v>
      </c>
      <c r="BG92" s="201">
        <f t="shared" si="275"/>
        <v>0</v>
      </c>
      <c r="BH92" s="201">
        <f t="shared" si="275"/>
        <v>0</v>
      </c>
      <c r="BI92" s="201">
        <f t="shared" si="275"/>
        <v>0</v>
      </c>
      <c r="BJ92" s="201">
        <f t="shared" si="275"/>
        <v>0</v>
      </c>
      <c r="BK92" s="201">
        <f t="shared" si="275"/>
        <v>0</v>
      </c>
      <c r="BL92" s="201">
        <f t="shared" si="275"/>
        <v>0</v>
      </c>
      <c r="BM92" s="201">
        <f t="shared" si="275"/>
        <v>0</v>
      </c>
      <c r="BN92" s="201">
        <f t="shared" si="275"/>
        <v>0</v>
      </c>
      <c r="BO92" s="201"/>
      <c r="BP92" s="1818">
        <f t="shared" si="146"/>
        <v>29</v>
      </c>
      <c r="BQ92" s="1818">
        <f>IFERROR(INDEX('3b Activity Plan'!$DJ$15:$FH$15,BP92),0)</f>
        <v>0</v>
      </c>
      <c r="BR92" s="1768"/>
      <c r="BS92" s="1768">
        <f>IFERROR(INDEX('3b Activity Plan'!$DJ$16:$FH$16,BP92),0)</f>
        <v>0</v>
      </c>
      <c r="BT92" s="201"/>
      <c r="BU92" s="201">
        <f>IFERROR(INDEX('3b Activity Plan'!$DJ$67:$FH$67,$V92),0)</f>
        <v>0</v>
      </c>
      <c r="BV92" s="201">
        <f>IFERROR(INDEX('3b Activity Plan'!$DJ$68:$FH$68,$V92),0)</f>
        <v>0</v>
      </c>
      <c r="BW92" s="201">
        <f>IFERROR(INDEX('3b Activity Plan'!$DJ$69:$FH$69,$V92),0)</f>
        <v>0</v>
      </c>
      <c r="BX92" s="201">
        <f>IFERROR(INDEX('3b Activity Plan'!$DJ$70:$FH$70,$V92),0)</f>
        <v>0</v>
      </c>
      <c r="BY92" s="201">
        <f>IFERROR(INDEX('3b Activity Plan'!$DJ$71:$FH$71,$V92),0)</f>
        <v>0</v>
      </c>
      <c r="BZ92" s="201">
        <f>IFERROR(INDEX('3b Activity Plan'!$DJ$72:$FH$72,$V92),0)</f>
        <v>0</v>
      </c>
      <c r="CA92" s="201">
        <f>IFERROR(INDEX('3b Activity Plan'!$DJ$73:$FH$73,$V92),0)</f>
        <v>0</v>
      </c>
      <c r="CB92" s="201">
        <f>IFERROR(INDEX('3b Activity Plan'!$DJ$74:$FH$74,$V92),0)</f>
        <v>0</v>
      </c>
      <c r="CC92" s="201">
        <f>IFERROR(INDEX('3b Activity Plan'!$DJ$75:$FH$75,$V92),0)</f>
        <v>0</v>
      </c>
      <c r="CD92" s="201">
        <f>IFERROR(INDEX('3b Activity Plan'!$DJ$76:$FH$76,$V92),0)</f>
        <v>0</v>
      </c>
      <c r="CE92" s="201"/>
      <c r="CF92" s="1818">
        <f>SUMIFS('3a Staff Plan'!$AR$129:$AR$305,'3a Staff Plan'!$DY$129:$DY$305,$IA92,'3a Staff Plan'!$AG$129:$AG$305,1,'3a Staff Plan'!$DF$129:$DF$305,1)</f>
        <v>0</v>
      </c>
      <c r="CG92" s="1768">
        <f>SUMIFS('3a Staff Plan'!$AR$129:$AR$305,'3a Staff Plan'!$DY$129:$DY$305,$IA92,'3a Staff Plan'!$AG$129:$AG$305,1,'3a Staff Plan'!$CX$129:$CX$305,1)</f>
        <v>0</v>
      </c>
      <c r="CH92" s="1768">
        <f>SUMIFS('3a Staff Plan'!$AR$129:$AR$305,'3a Staff Plan'!$DY$129:$DY$305,$IA92,'3a Staff Plan'!$AG$129:$AG$305,1,'3a Staff Plan'!$CV$129:$CV$305,1)</f>
        <v>0</v>
      </c>
      <c r="CI92" s="201"/>
      <c r="CJ92" s="201">
        <f>SUMIFS('3a Staff Plan'!$BX$129:$BX$305,'3a Staff Plan'!$DY$129:$DY$305,$IA92,'3a Staff Plan'!$DF$129:$DF$305,1,'3a Staff Plan'!$AG$129:$AG$305,1)</f>
        <v>0</v>
      </c>
      <c r="CK92" s="201">
        <f>SUMIFS('3a Staff Plan'!$BY$129:$BY$305,'3a Staff Plan'!$DY$129:$DY$305,$IA92,'3a Staff Plan'!$DF$129:$DF$305,1,'3a Staff Plan'!$AG$129:$AG$305,1)</f>
        <v>0</v>
      </c>
      <c r="CL92" s="201">
        <f>SUMIFS('3a Staff Plan'!$BZ$129:$BZ$305,'3a Staff Plan'!$DY$129:$DY$305,$IA92,'3a Staff Plan'!$DF$129:$DF$305,1,'3a Staff Plan'!$AG$129:$AG$305,1)</f>
        <v>0</v>
      </c>
      <c r="CM92" s="201">
        <f>SUMIFS('3a Staff Plan'!$CA$129:$CA$305,'3a Staff Plan'!$DY$129:$DY$305,$IA92,'3a Staff Plan'!$DF$129:$DF$305,1,'3a Staff Plan'!$AG$129:$AG$305,1)</f>
        <v>0</v>
      </c>
      <c r="CN92" s="201">
        <f>SUMIFS('3a Staff Plan'!$CB$129:$CB$305,'3a Staff Plan'!$DY$129:$DY$305,$IA92,'3a Staff Plan'!$DF$129:$DF$305,1,'3a Staff Plan'!$AG$129:$AG$305,1)</f>
        <v>0</v>
      </c>
      <c r="CO92" s="201">
        <f>SUMIFS('3a Staff Plan'!$CC$129:$CC$305,'3a Staff Plan'!$DY$129:$DY$305,$IA92,'3a Staff Plan'!$DF$129:$DF$305,1,'3a Staff Plan'!$AG$129:$AG$305,1)</f>
        <v>0</v>
      </c>
      <c r="CP92" s="201">
        <f>SUMIFS('3a Staff Plan'!$CD$129:$CD$305,'3a Staff Plan'!$DY$129:$DY$305,$IA92,'3a Staff Plan'!$DF$129:$DF$305,1,'3a Staff Plan'!$AG$129:$AG$305,1)</f>
        <v>0</v>
      </c>
      <c r="CQ92" s="201">
        <f>SUMIFS('3a Staff Plan'!$CE$129:$CE$305,'3a Staff Plan'!$DY$129:$DY$305,$IA92,'3a Staff Plan'!$DF$129:$DF$305,1,'3a Staff Plan'!$AG$129:$AG$305,1)</f>
        <v>0</v>
      </c>
      <c r="CR92" s="201">
        <f>SUMIFS('3a Staff Plan'!$CF$129:$CF$305,'3a Staff Plan'!$DY$129:$DY$305,$IA92,'3a Staff Plan'!$DF$129:$DF$305,1,'3a Staff Plan'!$AG$129:$AG$305,1)</f>
        <v>0</v>
      </c>
      <c r="CS92" s="201">
        <f>SUMIFS('3a Staff Plan'!$CG$129:$CG$305,'3a Staff Plan'!$DY$129:$DY$305,$IA92,'3a Staff Plan'!$DF$129:$DF$305,1,'3a Staff Plan'!$AG$129:$AG$305,1)</f>
        <v>0</v>
      </c>
      <c r="CT92" s="201"/>
      <c r="CU92" s="1818">
        <f t="shared" ref="CU92:CW93" si="276">(BQ92*$V$51)+(CF92*$AL$51)</f>
        <v>0</v>
      </c>
      <c r="CV92" s="1768"/>
      <c r="CW92" s="1768">
        <f t="shared" si="276"/>
        <v>0</v>
      </c>
      <c r="CX92" s="201"/>
      <c r="CY92" s="201">
        <f t="shared" ref="CY92:DH93" si="277">(BU92*$V$51)+(CJ92*$AL$51)</f>
        <v>0</v>
      </c>
      <c r="CZ92" s="201">
        <f t="shared" si="277"/>
        <v>0</v>
      </c>
      <c r="DA92" s="201">
        <f t="shared" si="277"/>
        <v>0</v>
      </c>
      <c r="DB92" s="201">
        <f t="shared" si="277"/>
        <v>0</v>
      </c>
      <c r="DC92" s="201">
        <f t="shared" si="277"/>
        <v>0</v>
      </c>
      <c r="DD92" s="201">
        <f t="shared" si="277"/>
        <v>0</v>
      </c>
      <c r="DE92" s="201">
        <f t="shared" si="277"/>
        <v>0</v>
      </c>
      <c r="DF92" s="201">
        <f t="shared" si="277"/>
        <v>0</v>
      </c>
      <c r="DG92" s="201">
        <f t="shared" si="277"/>
        <v>0</v>
      </c>
      <c r="DH92" s="201">
        <f t="shared" si="277"/>
        <v>0</v>
      </c>
      <c r="DI92" s="201"/>
      <c r="DJ92" s="201"/>
      <c r="DK92" s="201"/>
      <c r="DL92" s="201"/>
      <c r="DM92" s="372">
        <f t="shared" ca="1" si="37"/>
        <v>0</v>
      </c>
      <c r="DN92" s="1185">
        <f t="shared" si="38"/>
        <v>0</v>
      </c>
      <c r="DO92" s="1185">
        <f t="shared" si="39"/>
        <v>0</v>
      </c>
      <c r="DP92" s="201"/>
      <c r="DQ92" s="372">
        <f t="shared" ca="1" si="40"/>
        <v>0</v>
      </c>
      <c r="DR92" s="1185">
        <f t="shared" si="41"/>
        <v>0</v>
      </c>
      <c r="DS92" s="1185">
        <f t="shared" si="42"/>
        <v>0</v>
      </c>
      <c r="DT92" s="201"/>
      <c r="DU92" s="372">
        <f t="shared" ref="DU92:DW93" ca="1" si="278">(DM92*$V$51)+(DQ92*$AL$51)</f>
        <v>0</v>
      </c>
      <c r="DV92" s="372">
        <f t="shared" si="278"/>
        <v>0</v>
      </c>
      <c r="DW92" s="372">
        <f t="shared" si="278"/>
        <v>0</v>
      </c>
      <c r="DX92" s="201"/>
      <c r="DY92" s="372">
        <f t="shared" si="44"/>
        <v>0</v>
      </c>
      <c r="DZ92" s="372">
        <f t="shared" ca="1" si="45"/>
        <v>0</v>
      </c>
      <c r="EA92" s="201"/>
      <c r="EB92" s="2776">
        <f>IF(EO92=$EO$53,1,IFERROR(INDEX('Currency Data'!$L$8:$L$41,MATCH(EO92,'Currency Data'!$H$8:$H$41,0)),1))</f>
        <v>1</v>
      </c>
      <c r="EC92" s="2776">
        <f t="shared" si="147"/>
        <v>1</v>
      </c>
      <c r="ED92" s="428">
        <f>IF(GQ92=1,'1 Setup'!$T$68,IF(ISBLANK(IJ92),II92/EC92*IF(GL92=1,$ED$53,1),IJ92/EC92)*IF($EW92=7,JW92,1))</f>
        <v>0</v>
      </c>
      <c r="EE92" s="428">
        <f t="shared" si="46"/>
        <v>0</v>
      </c>
      <c r="EF92" s="428"/>
      <c r="EG92" s="1965" t="str">
        <f t="shared" si="148"/>
        <v>031500 - Highways UK</v>
      </c>
      <c r="EH92" s="201">
        <f t="shared" si="149"/>
        <v>1</v>
      </c>
      <c r="EI92" s="445" t="str">
        <f>IF(EH92=1,$EI$53,IF(GQ92=1,$GQ$55,IFERROR(IF($EG92=$EG$53,$EI$53,INDEX('PU List'!$G$6:$G$413,MATCH($EG92,'PU List'!$D$6:$D$413,0))),$EI$53)))</f>
        <v>GB - BIAF</v>
      </c>
      <c r="EJ92" s="2773" t="str">
        <f t="shared" si="150"/>
        <v>GB - BIAF</v>
      </c>
      <c r="EK92" s="1768"/>
      <c r="EL92" s="3283">
        <f>IF(OR(EW92&gt;7,$EL$53=0),0,IF(EJ92=$EI$53,$EL$53,IFERROR(INDEX('Fringe Data'!$U$8:$U$129,MATCH($EJ92,'Fringe Data'!$F$8:$F$129,0)),0)))</f>
        <v>1.73</v>
      </c>
      <c r="EM92" s="372">
        <f t="shared" si="47"/>
        <v>0</v>
      </c>
      <c r="EN92" s="201" t="str">
        <f>IFERROR(INDEX('Fringe Data'!$G$8:$G$64,MATCH($EJ92,'Fringe Data'!$F$8:$F$64,0)),$EO$53)</f>
        <v>GBP</v>
      </c>
      <c r="EO92" s="201" t="str">
        <f t="shared" si="151"/>
        <v>GBP</v>
      </c>
      <c r="EP92" s="201">
        <f>IF(EI92=$EI$53,$EP$49,IF(GP92=1,0,IFERROR(INDEX('Fringe Data'!$K$8:$K$64,MATCH($EI92,'Fringe Data'!$F$8:$F$64,0)),0)))</f>
        <v>0.52</v>
      </c>
      <c r="EQ92" s="201">
        <f>IF(EI92=$EI$53,$EQ$49,IF(GP92=1,0,IFERROR(INDEX('Fringe Data'!$L$8:$L$64,MATCH($EI92,'Fringe Data'!$F$8:$F$64,0)),0)))</f>
        <v>1.8499999999999999E-2</v>
      </c>
      <c r="ER92" s="201">
        <f>IF(EI92=$EI$53,$ER$49,IF(GP92=1,0,IFERROR(INDEX('Fringe Data'!$M$8:$M$64,MATCH($EI92,'Fringe Data'!$F$8:$F$64,0)),0)))</f>
        <v>0.43430000000000002</v>
      </c>
      <c r="ES92" s="201">
        <f>IF(EI92=$EI$53,$ES$49,IF(GP92=1,0,IFERROR(INDEX('Fringe Data'!$N$8:$N$64,MATCH($EI92,'Fringe Data'!$F$8:$F$64,0)),0)))</f>
        <v>0.1565</v>
      </c>
      <c r="ET92" s="201">
        <f>IF(EI92=$EI$53,$ET$49,IF(GP92=1,0,IFERROR(INDEX('Fringe Data'!$O$8:$O$64,MATCH($EI92,'Fringe Data'!$F$8:$F$64,0)),0)))</f>
        <v>0.33450000000000002</v>
      </c>
      <c r="EU92" s="263">
        <f>IF(EI92=$EI$53,$EU$49,IF(GP92=1,0,IFERROR(INDEX('Fringe Data'!$P$8:$P$64,MATCH($EI92,'Fringe Data'!$F$8:$F$64,0)),0)))</f>
        <v>0.1565</v>
      </c>
      <c r="EV92" s="201"/>
      <c r="EW92" s="1530">
        <f t="shared" si="48"/>
        <v>1</v>
      </c>
      <c r="EX92" s="1534">
        <f t="shared" si="152"/>
        <v>0.52</v>
      </c>
      <c r="EY92" s="321">
        <f t="shared" si="153"/>
        <v>0</v>
      </c>
      <c r="EZ92" s="201">
        <f t="shared" si="154"/>
        <v>0</v>
      </c>
      <c r="FA92" s="372">
        <f t="shared" si="49"/>
        <v>0</v>
      </c>
      <c r="FB92" s="372">
        <f t="shared" si="50"/>
        <v>0</v>
      </c>
      <c r="FC92" s="201">
        <f t="shared" ca="1" si="155"/>
        <v>0</v>
      </c>
      <c r="FD92" s="423">
        <f t="shared" si="51"/>
        <v>0</v>
      </c>
      <c r="FE92" s="423">
        <f t="shared" si="52"/>
        <v>0</v>
      </c>
      <c r="FF92" s="201">
        <f t="shared" si="156"/>
        <v>0</v>
      </c>
      <c r="FG92" s="425">
        <f>IF(OR($FJ$52=3,$FJ$52=4,$FJ$52=5),'1 Setup'!$W$96,0)</f>
        <v>0</v>
      </c>
      <c r="FH92" s="428">
        <f>IF($FJ$52=5,'1 Setup'!$W$98,IF($FJ$52=6,'1 Setup'!$S$86,0))</f>
        <v>0</v>
      </c>
      <c r="FI92" s="321">
        <f t="shared" ca="1" si="53"/>
        <v>0</v>
      </c>
      <c r="FJ92" s="263">
        <f t="shared" ca="1" si="157"/>
        <v>0</v>
      </c>
      <c r="FK92" s="372">
        <f t="shared" ca="1" si="54"/>
        <v>0</v>
      </c>
      <c r="FL92" s="372">
        <f t="shared" si="55"/>
        <v>0</v>
      </c>
      <c r="FM92" s="372">
        <f t="shared" si="56"/>
        <v>0</v>
      </c>
      <c r="FN92" s="2036">
        <f t="shared" ca="1" si="57"/>
        <v>0</v>
      </c>
      <c r="FO92" s="372">
        <f ca="1">$BA92*FN92</f>
        <v>0</v>
      </c>
      <c r="FP92" s="2723">
        <f t="shared" si="158"/>
        <v>0</v>
      </c>
      <c r="FQ92" s="372">
        <f t="shared" si="59"/>
        <v>0</v>
      </c>
      <c r="FR92" s="372">
        <f t="shared" si="159"/>
        <v>0</v>
      </c>
      <c r="FS92" s="1168"/>
      <c r="FT92" s="1168">
        <f t="shared" si="60"/>
        <v>0</v>
      </c>
      <c r="FU92" s="1168">
        <f t="shared" si="61"/>
        <v>0</v>
      </c>
      <c r="FV92" s="1168">
        <f t="shared" si="62"/>
        <v>0</v>
      </c>
      <c r="FW92" s="1168">
        <f t="shared" si="63"/>
        <v>0</v>
      </c>
      <c r="FX92" s="1168">
        <f t="shared" si="64"/>
        <v>0</v>
      </c>
      <c r="FY92" s="1168">
        <f t="shared" si="65"/>
        <v>0</v>
      </c>
      <c r="FZ92" s="1168">
        <f t="shared" si="66"/>
        <v>0</v>
      </c>
      <c r="GA92" s="1168">
        <f t="shared" si="67"/>
        <v>0</v>
      </c>
      <c r="GB92" s="1168">
        <f t="shared" si="68"/>
        <v>0</v>
      </c>
      <c r="GC92" s="1168">
        <f t="shared" si="69"/>
        <v>0</v>
      </c>
      <c r="GD92" s="1168"/>
      <c r="GE92" s="199"/>
      <c r="GF92" s="201">
        <f t="shared" si="70"/>
        <v>0</v>
      </c>
      <c r="GG92" s="201">
        <f t="shared" si="71"/>
        <v>0</v>
      </c>
      <c r="GH92" s="201">
        <f t="shared" si="72"/>
        <v>0</v>
      </c>
      <c r="GI92" s="201">
        <f t="shared" ca="1" si="160"/>
        <v>0</v>
      </c>
      <c r="GJ92" s="201">
        <f t="shared" si="73"/>
        <v>0</v>
      </c>
      <c r="GK92" s="201">
        <f t="shared" si="74"/>
        <v>0</v>
      </c>
      <c r="GL92" s="201">
        <f t="shared" si="75"/>
        <v>1</v>
      </c>
      <c r="GM92" s="201">
        <f t="shared" si="76"/>
        <v>1</v>
      </c>
      <c r="GN92" s="201"/>
      <c r="GO92" s="201"/>
      <c r="GP92" s="201">
        <f t="shared" si="77"/>
        <v>0</v>
      </c>
      <c r="GQ92" s="201">
        <f t="shared" si="78"/>
        <v>0</v>
      </c>
      <c r="GR92" s="201">
        <f t="shared" si="161"/>
        <v>0</v>
      </c>
      <c r="GS92" s="1768"/>
      <c r="GT92" s="201">
        <f t="shared" si="79"/>
        <v>1</v>
      </c>
      <c r="GU92" s="201">
        <f t="shared" si="193"/>
        <v>29</v>
      </c>
      <c r="GV92" s="201">
        <f t="shared" si="80"/>
        <v>0</v>
      </c>
      <c r="GW92" s="201">
        <f t="shared" si="81"/>
        <v>3</v>
      </c>
      <c r="GX92" s="201">
        <f t="shared" si="162"/>
        <v>0</v>
      </c>
      <c r="GY92" s="1998"/>
      <c r="GZ92" s="253"/>
      <c r="HA92" s="195">
        <f t="shared" si="163"/>
        <v>0</v>
      </c>
      <c r="HB92" s="3558">
        <f t="shared" si="82"/>
        <v>0</v>
      </c>
      <c r="HC92" s="3590"/>
      <c r="HD92" s="257" t="str">
        <f t="shared" si="83"/>
        <v/>
      </c>
      <c r="HE92" s="825">
        <f t="shared" si="84"/>
        <v>0</v>
      </c>
      <c r="HF92" s="506" t="s">
        <v>5</v>
      </c>
      <c r="HG92" s="508">
        <f t="shared" ca="1" si="85"/>
        <v>0</v>
      </c>
      <c r="HH92" s="3585">
        <f t="shared" si="86"/>
        <v>0</v>
      </c>
      <c r="HI92" s="3586"/>
      <c r="HJ92" s="504">
        <f ca="1">HG92-HH92</f>
        <v>0</v>
      </c>
      <c r="HK92" s="456">
        <f ca="1">IF(HG92&lt;0.1,0,IFERROR(HJ92/HG92,0))</f>
        <v>0</v>
      </c>
      <c r="HL92" s="3591">
        <f ca="1">IFERROR(HJ92/HE92,0)</f>
        <v>0</v>
      </c>
      <c r="HM92" s="3592"/>
      <c r="HN92" s="240"/>
      <c r="HO92" s="1998"/>
      <c r="HP92" s="1991"/>
      <c r="HQ92" s="2770" t="str">
        <f t="shared" si="90"/>
        <v>GB - BIAF</v>
      </c>
      <c r="HR92" s="2770" t="str">
        <f t="shared" si="91"/>
        <v>GBP</v>
      </c>
      <c r="HS92" s="2771">
        <f t="shared" si="92"/>
        <v>1</v>
      </c>
      <c r="HT92" s="3488"/>
      <c r="HU92" s="2771">
        <f t="shared" si="93"/>
        <v>1.73</v>
      </c>
      <c r="HW92" s="1218"/>
      <c r="HX92" s="520"/>
      <c r="HY92" s="2523"/>
      <c r="HZ92" s="194"/>
      <c r="IA92" s="1013"/>
      <c r="IB92" s="193"/>
      <c r="IC92" s="3276">
        <v>29</v>
      </c>
      <c r="ID92" s="986"/>
      <c r="IE92" s="938">
        <f t="shared" si="164"/>
        <v>0</v>
      </c>
      <c r="IF92" s="938">
        <f t="shared" si="165"/>
        <v>0</v>
      </c>
      <c r="IG92" s="432"/>
      <c r="II92" s="405"/>
      <c r="IJ92" s="239"/>
      <c r="IK92" s="2774" t="str">
        <f t="shared" si="166"/>
        <v>GBP</v>
      </c>
      <c r="IL92" s="2148"/>
      <c r="IM92" s="1936">
        <f t="shared" si="94"/>
        <v>0</v>
      </c>
      <c r="IO92" s="1959" t="str">
        <f t="shared" si="95"/>
        <v/>
      </c>
      <c r="IP92" s="1958"/>
      <c r="IQ92" s="543">
        <f t="shared" si="96"/>
        <v>0.52</v>
      </c>
      <c r="IR92" s="1936">
        <f t="shared" si="97"/>
        <v>0</v>
      </c>
      <c r="IT92" s="1364"/>
      <c r="IU92" s="210"/>
      <c r="IV92" s="218"/>
      <c r="IW92" s="1938">
        <f ca="1">IF(NOT(ISBLANK(IU92)),IU92,IF('1 Setup'!$G$8&lt;7,JK92,FJ92))+KA92</f>
        <v>0</v>
      </c>
      <c r="IX92" s="409">
        <f t="shared" si="98"/>
        <v>0</v>
      </c>
      <c r="IY92" s="408">
        <f t="shared" si="99"/>
        <v>0</v>
      </c>
      <c r="IZ92" s="1983"/>
      <c r="JA92" s="1994"/>
      <c r="JB92" s="1991"/>
      <c r="JD92" s="2029">
        <f t="shared" si="167"/>
        <v>0</v>
      </c>
      <c r="JE92" s="479"/>
      <c r="JF92" s="2025">
        <f t="shared" si="100"/>
        <v>0</v>
      </c>
      <c r="JG92" s="429">
        <f t="shared" si="101"/>
        <v>0</v>
      </c>
      <c r="JH92" s="1667">
        <f t="shared" si="102"/>
        <v>0</v>
      </c>
      <c r="JJ92" s="1163">
        <f t="shared" ca="1" si="103"/>
        <v>0</v>
      </c>
      <c r="JK92" s="1163">
        <f t="shared" ca="1" si="104"/>
        <v>0</v>
      </c>
      <c r="JL92" s="1795"/>
      <c r="JN92" s="2505"/>
      <c r="JO92" s="1161"/>
      <c r="JP92" s="571">
        <f t="shared" ca="1" si="105"/>
        <v>0</v>
      </c>
      <c r="JQ92" s="2506"/>
      <c r="JR92" s="1953"/>
      <c r="JS92" s="2650"/>
      <c r="JT92" s="2507"/>
      <c r="JU92" s="1964">
        <f t="shared" si="106"/>
        <v>0.33450000000000002</v>
      </c>
      <c r="JV92" s="3199"/>
      <c r="JW92" s="2649">
        <f t="shared" si="107"/>
        <v>1.5</v>
      </c>
      <c r="JX92" s="1964">
        <f t="shared" si="168"/>
        <v>0.1565</v>
      </c>
      <c r="JY92" s="3199"/>
      <c r="JZ92" s="2649">
        <f t="shared" si="169"/>
        <v>0</v>
      </c>
      <c r="KA92" s="2649">
        <f t="shared" si="170"/>
        <v>0</v>
      </c>
      <c r="KB92" s="2649" t="s">
        <v>111</v>
      </c>
      <c r="KC92" s="1983"/>
      <c r="KD92" s="1974"/>
      <c r="KE92" s="1991"/>
      <c r="KF92" s="2029">
        <f t="shared" si="171"/>
        <v>0</v>
      </c>
      <c r="KG92" s="1991"/>
      <c r="KH92" s="2121">
        <f t="shared" si="108"/>
        <v>0</v>
      </c>
      <c r="KI92" s="2130">
        <f t="shared" si="109"/>
        <v>0</v>
      </c>
      <c r="KJ92" s="2130">
        <f t="shared" si="110"/>
        <v>0</v>
      </c>
      <c r="KK92" s="2130">
        <f t="shared" si="111"/>
        <v>0</v>
      </c>
      <c r="KL92" s="2131">
        <f t="shared" si="112"/>
        <v>0</v>
      </c>
      <c r="KM92" s="2132">
        <f t="shared" si="113"/>
        <v>0</v>
      </c>
      <c r="KN92" s="2132">
        <f t="shared" si="114"/>
        <v>0</v>
      </c>
      <c r="KO92" s="2132">
        <f t="shared" si="115"/>
        <v>0</v>
      </c>
      <c r="KP92" s="2132">
        <f t="shared" si="116"/>
        <v>0</v>
      </c>
      <c r="KQ92" s="2133">
        <f t="shared" si="117"/>
        <v>0</v>
      </c>
      <c r="KS92" s="2253">
        <f t="shared" si="118"/>
        <v>0</v>
      </c>
      <c r="KT92" s="2270">
        <f t="shared" ref="KT92:LB92" si="279">KS92*(1+(KT$60))</f>
        <v>0</v>
      </c>
      <c r="KU92" s="2271">
        <f t="shared" si="279"/>
        <v>0</v>
      </c>
      <c r="KV92" s="2271">
        <f t="shared" si="279"/>
        <v>0</v>
      </c>
      <c r="KW92" s="2272">
        <f t="shared" si="279"/>
        <v>0</v>
      </c>
      <c r="KX92" s="2271">
        <f t="shared" si="279"/>
        <v>0</v>
      </c>
      <c r="KY92" s="2271">
        <f t="shared" si="279"/>
        <v>0</v>
      </c>
      <c r="KZ92" s="2271">
        <f t="shared" si="279"/>
        <v>0</v>
      </c>
      <c r="LA92" s="2271">
        <f t="shared" si="279"/>
        <v>0</v>
      </c>
      <c r="LB92" s="2273">
        <f t="shared" si="279"/>
        <v>0</v>
      </c>
      <c r="LC92" s="272"/>
      <c r="LD92" s="2124">
        <f t="shared" si="120"/>
        <v>0</v>
      </c>
      <c r="LE92" s="2093">
        <f t="shared" si="121"/>
        <v>0</v>
      </c>
      <c r="LF92" s="2093">
        <f t="shared" si="122"/>
        <v>0</v>
      </c>
      <c r="LG92" s="2093">
        <f t="shared" si="123"/>
        <v>0</v>
      </c>
      <c r="LH92" s="2094">
        <f t="shared" si="124"/>
        <v>0</v>
      </c>
      <c r="LI92" s="2095">
        <f t="shared" si="125"/>
        <v>0</v>
      </c>
      <c r="LJ92" s="2095">
        <f t="shared" si="126"/>
        <v>0</v>
      </c>
      <c r="LK92" s="2095">
        <f t="shared" si="127"/>
        <v>0</v>
      </c>
      <c r="LL92" s="2095">
        <f t="shared" si="128"/>
        <v>0</v>
      </c>
      <c r="LM92" s="2096">
        <f t="shared" si="129"/>
        <v>0</v>
      </c>
      <c r="LN92" s="749"/>
      <c r="LO92" s="2256">
        <f t="shared" ca="1" si="130"/>
        <v>0</v>
      </c>
      <c r="LP92" s="2270">
        <f t="shared" ca="1" si="131"/>
        <v>0</v>
      </c>
      <c r="LQ92" s="2271">
        <f t="shared" ca="1" si="132"/>
        <v>0</v>
      </c>
      <c r="LR92" s="2271">
        <f t="shared" ca="1" si="133"/>
        <v>0</v>
      </c>
      <c r="LS92" s="2272">
        <f t="shared" ca="1" si="134"/>
        <v>0</v>
      </c>
      <c r="LT92" s="2271">
        <f t="shared" ca="1" si="135"/>
        <v>0</v>
      </c>
      <c r="LU92" s="2271">
        <f t="shared" ca="1" si="136"/>
        <v>0</v>
      </c>
      <c r="LV92" s="2271">
        <f t="shared" ca="1" si="137"/>
        <v>0</v>
      </c>
      <c r="LW92" s="2271">
        <f t="shared" ca="1" si="138"/>
        <v>0</v>
      </c>
      <c r="LX92" s="2273">
        <f t="shared" ca="1" si="139"/>
        <v>0</v>
      </c>
      <c r="LY92" s="479"/>
      <c r="LZ92" s="3128">
        <f t="shared" ca="1" si="173"/>
        <v>-1.73</v>
      </c>
      <c r="MA92" s="3129">
        <f t="shared" ca="1" si="174"/>
        <v>-1.73</v>
      </c>
      <c r="MB92" s="3129">
        <f t="shared" ca="1" si="175"/>
        <v>-1.73</v>
      </c>
      <c r="MC92" s="3129">
        <f t="shared" ca="1" si="176"/>
        <v>-1.73</v>
      </c>
      <c r="MD92" s="3130">
        <f t="shared" ca="1" si="177"/>
        <v>-1.73</v>
      </c>
      <c r="ME92" s="3129">
        <f t="shared" ca="1" si="178"/>
        <v>-1.73</v>
      </c>
      <c r="MF92" s="3129">
        <f t="shared" ca="1" si="179"/>
        <v>-1.73</v>
      </c>
      <c r="MG92" s="3129">
        <f t="shared" ca="1" si="180"/>
        <v>-1.73</v>
      </c>
      <c r="MH92" s="3129">
        <f t="shared" ca="1" si="181"/>
        <v>-1.73</v>
      </c>
      <c r="MI92" s="3131">
        <f t="shared" ca="1" si="182"/>
        <v>-1.73</v>
      </c>
      <c r="MJ92" s="3201"/>
      <c r="MK92" s="3206">
        <f t="shared" ca="1" si="183"/>
        <v>0</v>
      </c>
      <c r="ML92" s="3207">
        <f t="shared" ca="1" si="184"/>
        <v>0</v>
      </c>
      <c r="MM92" s="3207">
        <f t="shared" ca="1" si="185"/>
        <v>0</v>
      </c>
      <c r="MN92" s="3207">
        <f t="shared" ca="1" si="186"/>
        <v>0</v>
      </c>
      <c r="MO92" s="3208">
        <f t="shared" ca="1" si="187"/>
        <v>0</v>
      </c>
      <c r="MP92" s="3207">
        <f t="shared" ca="1" si="188"/>
        <v>0</v>
      </c>
      <c r="MQ92" s="3207">
        <f t="shared" ca="1" si="189"/>
        <v>0</v>
      </c>
      <c r="MR92" s="3207">
        <f t="shared" ca="1" si="190"/>
        <v>0</v>
      </c>
      <c r="MS92" s="3207">
        <f t="shared" ca="1" si="191"/>
        <v>0</v>
      </c>
      <c r="MT92" s="3209">
        <f t="shared" ca="1" si="192"/>
        <v>0</v>
      </c>
      <c r="MU92" s="1983"/>
      <c r="MV92" s="1975"/>
      <c r="MW92" s="1991"/>
      <c r="MX92" s="1931">
        <f t="shared" si="142"/>
        <v>0</v>
      </c>
      <c r="MY92" s="749"/>
      <c r="MZ92" s="1934">
        <f t="shared" si="143"/>
        <v>0</v>
      </c>
      <c r="NA92" s="1935"/>
      <c r="NB92" s="2652">
        <f t="shared" si="144"/>
        <v>0</v>
      </c>
      <c r="NC92" s="479"/>
      <c r="ND92" s="2749" t="str">
        <f t="shared" si="145"/>
        <v/>
      </c>
      <c r="NE92" s="2717"/>
      <c r="NF92" s="1975"/>
      <c r="NG92" s="1975"/>
      <c r="NH92" s="1975"/>
      <c r="NI92" s="1975"/>
    </row>
    <row r="93" spans="1:373" s="192" customFormat="1" ht="15.9" customHeight="1" x14ac:dyDescent="0.3">
      <c r="A93" s="200"/>
      <c r="B93" s="200"/>
      <c r="C93" s="200"/>
      <c r="D93" s="200"/>
      <c r="E93" s="200"/>
      <c r="F93" s="200"/>
      <c r="G93" s="200"/>
      <c r="H93" s="200"/>
      <c r="I93" s="200"/>
      <c r="J93" s="200"/>
      <c r="K93" s="200"/>
      <c r="L93" s="200"/>
      <c r="M93" s="200"/>
      <c r="N93" s="200"/>
      <c r="O93" s="200"/>
      <c r="P93" s="1539"/>
      <c r="Q93" s="1539"/>
      <c r="R93" s="198"/>
      <c r="S93" s="1539"/>
      <c r="T93" s="201"/>
      <c r="U93" s="200"/>
      <c r="V93" s="201">
        <f>MATCH($IC93,'3b Activity Plan'!$DJ$171:$FH$171,0)</f>
        <v>30</v>
      </c>
      <c r="W93" s="201">
        <f>IFERROR(INDEX('3b Activity Plan'!$DJ$6:$FH$6,V93),0)</f>
        <v>0</v>
      </c>
      <c r="X93" s="1768"/>
      <c r="Y93" s="1768">
        <f>IFERROR(INDEX('3b Activity Plan'!$DJ$7:$FH$7,V93),0)</f>
        <v>0</v>
      </c>
      <c r="Z93" s="201"/>
      <c r="AA93" s="201">
        <f>IFERROR(INDEX('3b Activity Plan'!$DJ$34:$FH$34,$V93),0)</f>
        <v>0</v>
      </c>
      <c r="AB93" s="201">
        <f>IFERROR(INDEX('3b Activity Plan'!$DJ$35:$FH$35,$V93),0)</f>
        <v>0</v>
      </c>
      <c r="AC93" s="201">
        <f>IFERROR(INDEX('3b Activity Plan'!$DJ$36:$FH$36,$V93),0)</f>
        <v>0</v>
      </c>
      <c r="AD93" s="201">
        <f>IFERROR(INDEX('3b Activity Plan'!$DJ$37:$FH$37,$V93),0)</f>
        <v>0</v>
      </c>
      <c r="AE93" s="201">
        <f>IFERROR(INDEX('3b Activity Plan'!$DJ$38:$FH$38,$V93),0)</f>
        <v>0</v>
      </c>
      <c r="AF93" s="201">
        <f>IFERROR(INDEX('3b Activity Plan'!$DJ$39:$FH$39,$V93),0)</f>
        <v>0</v>
      </c>
      <c r="AG93" s="201">
        <f>IFERROR(INDEX('3b Activity Plan'!$DJ$40:$FH$40,$V93),0)</f>
        <v>0</v>
      </c>
      <c r="AH93" s="201">
        <f>IFERROR(INDEX('3b Activity Plan'!$DJ$41:$FH$41,$V93),0)</f>
        <v>0</v>
      </c>
      <c r="AI93" s="201">
        <f>IFERROR(INDEX('3b Activity Plan'!$DJ$42:$FH$42,$V93),0)</f>
        <v>0</v>
      </c>
      <c r="AJ93" s="201">
        <f>IFERROR(INDEX('3b Activity Plan'!$DJ$43:$FH$43,$V93),0)</f>
        <v>0</v>
      </c>
      <c r="AK93" s="201"/>
      <c r="AL93" s="201">
        <f>SUMIFS('3a Staff Plan'!$AR$129:$AR$305,'3a Staff Plan'!$DY$129:$DY$305,$IA93,'3a Staff Plan'!$DF$129:$DF$305,1)</f>
        <v>0</v>
      </c>
      <c r="AM93" s="1768"/>
      <c r="AN93" s="1768">
        <f>SUMIFS('3a Staff Plan'!$AR$129:$AR$305,'3a Staff Plan'!$DY$129:$DY$305,$IA93,'3a Staff Plan'!$CV$129:$CV$305,1)</f>
        <v>0</v>
      </c>
      <c r="AO93" s="201"/>
      <c r="AP93" s="201">
        <f>SUMIFS('3a Staff Plan'!$AS$129:$AS$305,'3a Staff Plan'!$DY$129:$DY$305,$IA93,'3a Staff Plan'!$DF$129:$DF$305,1)</f>
        <v>0</v>
      </c>
      <c r="AQ93" s="201">
        <f>SUMIFS('3a Staff Plan'!$AT$129:$AT$305,'3a Staff Plan'!$DY$129:$DY$305,$IA93,'3a Staff Plan'!$DF$129:$DF$305,1)</f>
        <v>0</v>
      </c>
      <c r="AR93" s="201">
        <f>SUMIFS('3a Staff Plan'!$AU$129:$AU$305,'3a Staff Plan'!$DY$129:$DY$305,$IA93,'3a Staff Plan'!$DF$129:$DF$305,1)</f>
        <v>0</v>
      </c>
      <c r="AS93" s="201">
        <f>SUMIFS('3a Staff Plan'!$AV$129:$AV$305,'3a Staff Plan'!$DY$129:$DY$305,$IA93,'3a Staff Plan'!$DF$129:$DF$305,1)</f>
        <v>0</v>
      </c>
      <c r="AT93" s="201">
        <f>SUMIFS('3a Staff Plan'!$AW$129:$AW$305,'3a Staff Plan'!$DY$129:$DY$305,$IA93,'3a Staff Plan'!$DF$129:$DF$305,1)</f>
        <v>0</v>
      </c>
      <c r="AU93" s="201">
        <f>SUMIFS('3a Staff Plan'!$AX$129:$AX$305,'3a Staff Plan'!$DY$129:$DY$305,$IA93,'3a Staff Plan'!$DF$129:$DF$305,1)</f>
        <v>0</v>
      </c>
      <c r="AV93" s="201">
        <f>SUMIFS('3a Staff Plan'!$AY$129:$AY$305,'3a Staff Plan'!$DY$129:$DY$305,$IA93,'3a Staff Plan'!$DF$129:$DF$305,1)</f>
        <v>0</v>
      </c>
      <c r="AW93" s="201">
        <f>SUMIFS('3a Staff Plan'!$AZ$129:$AZ$305,'3a Staff Plan'!$DY$129:$DY$305,$IA93,'3a Staff Plan'!$DF$129:$DF$305,1)</f>
        <v>0</v>
      </c>
      <c r="AX93" s="201">
        <f>SUMIFS('3a Staff Plan'!$BA$129:$BA$305,'3a Staff Plan'!$DY$129:$DY$305,$IA93,'3a Staff Plan'!$DF$129:$DF$305,1)</f>
        <v>0</v>
      </c>
      <c r="AY93" s="201">
        <f>SUMIFS('3a Staff Plan'!$BB$129:$BB$305,'3a Staff Plan'!$DY$129:$DY$305,$IA93,'3a Staff Plan'!$DF$129:$DF$305,1)</f>
        <v>0</v>
      </c>
      <c r="AZ93" s="201"/>
      <c r="BA93" s="201">
        <f t="shared" si="274"/>
        <v>0</v>
      </c>
      <c r="BB93" s="1768"/>
      <c r="BC93" s="1768">
        <f t="shared" si="274"/>
        <v>0</v>
      </c>
      <c r="BD93" s="201"/>
      <c r="BE93" s="201">
        <f t="shared" si="275"/>
        <v>0</v>
      </c>
      <c r="BF93" s="201">
        <f t="shared" si="275"/>
        <v>0</v>
      </c>
      <c r="BG93" s="201">
        <f t="shared" si="275"/>
        <v>0</v>
      </c>
      <c r="BH93" s="201">
        <f t="shared" si="275"/>
        <v>0</v>
      </c>
      <c r="BI93" s="201">
        <f t="shared" si="275"/>
        <v>0</v>
      </c>
      <c r="BJ93" s="201">
        <f t="shared" si="275"/>
        <v>0</v>
      </c>
      <c r="BK93" s="201">
        <f t="shared" si="275"/>
        <v>0</v>
      </c>
      <c r="BL93" s="201">
        <f t="shared" si="275"/>
        <v>0</v>
      </c>
      <c r="BM93" s="201">
        <f t="shared" si="275"/>
        <v>0</v>
      </c>
      <c r="BN93" s="201">
        <f t="shared" si="275"/>
        <v>0</v>
      </c>
      <c r="BO93" s="201"/>
      <c r="BP93" s="1818">
        <f t="shared" si="146"/>
        <v>30</v>
      </c>
      <c r="BQ93" s="1818">
        <f>IFERROR(INDEX('3b Activity Plan'!$DJ$15:$FH$15,BP93),0)</f>
        <v>0</v>
      </c>
      <c r="BR93" s="1768"/>
      <c r="BS93" s="1768">
        <f>IFERROR(INDEX('3b Activity Plan'!$DJ$16:$FH$16,BP93),0)</f>
        <v>0</v>
      </c>
      <c r="BT93" s="201"/>
      <c r="BU93" s="201">
        <f>IFERROR(INDEX('3b Activity Plan'!$DJ$67:$FH$67,$V93),0)</f>
        <v>0</v>
      </c>
      <c r="BV93" s="201">
        <f>IFERROR(INDEX('3b Activity Plan'!$DJ$68:$FH$68,$V93),0)</f>
        <v>0</v>
      </c>
      <c r="BW93" s="201">
        <f>IFERROR(INDEX('3b Activity Plan'!$DJ$69:$FH$69,$V93),0)</f>
        <v>0</v>
      </c>
      <c r="BX93" s="201">
        <f>IFERROR(INDEX('3b Activity Plan'!$DJ$70:$FH$70,$V93),0)</f>
        <v>0</v>
      </c>
      <c r="BY93" s="201">
        <f>IFERROR(INDEX('3b Activity Plan'!$DJ$71:$FH$71,$V93),0)</f>
        <v>0</v>
      </c>
      <c r="BZ93" s="201">
        <f>IFERROR(INDEX('3b Activity Plan'!$DJ$72:$FH$72,$V93),0)</f>
        <v>0</v>
      </c>
      <c r="CA93" s="201">
        <f>IFERROR(INDEX('3b Activity Plan'!$DJ$73:$FH$73,$V93),0)</f>
        <v>0</v>
      </c>
      <c r="CB93" s="201">
        <f>IFERROR(INDEX('3b Activity Plan'!$DJ$74:$FH$74,$V93),0)</f>
        <v>0</v>
      </c>
      <c r="CC93" s="201">
        <f>IFERROR(INDEX('3b Activity Plan'!$DJ$75:$FH$75,$V93),0)</f>
        <v>0</v>
      </c>
      <c r="CD93" s="201">
        <f>IFERROR(INDEX('3b Activity Plan'!$DJ$76:$FH$76,$V93),0)</f>
        <v>0</v>
      </c>
      <c r="CE93" s="201"/>
      <c r="CF93" s="1818">
        <f>SUMIFS('3a Staff Plan'!$AR$129:$AR$305,'3a Staff Plan'!$DY$129:$DY$305,$IA93,'3a Staff Plan'!$AG$129:$AG$305,1,'3a Staff Plan'!$DF$129:$DF$305,1)</f>
        <v>0</v>
      </c>
      <c r="CG93" s="1768">
        <f>SUMIFS('3a Staff Plan'!$AR$129:$AR$305,'3a Staff Plan'!$DY$129:$DY$305,$IA93,'3a Staff Plan'!$AG$129:$AG$305,1,'3a Staff Plan'!$CX$129:$CX$305,1)</f>
        <v>0</v>
      </c>
      <c r="CH93" s="1768">
        <f>SUMIFS('3a Staff Plan'!$AR$129:$AR$305,'3a Staff Plan'!$DY$129:$DY$305,$IA93,'3a Staff Plan'!$AG$129:$AG$305,1,'3a Staff Plan'!$CV$129:$CV$305,1)</f>
        <v>0</v>
      </c>
      <c r="CI93" s="201"/>
      <c r="CJ93" s="201">
        <f>SUMIFS('3a Staff Plan'!$BX$129:$BX$305,'3a Staff Plan'!$DY$129:$DY$305,$IA93,'3a Staff Plan'!$DF$129:$DF$305,1,'3a Staff Plan'!$AG$129:$AG$305,1)</f>
        <v>0</v>
      </c>
      <c r="CK93" s="201">
        <f>SUMIFS('3a Staff Plan'!$BY$129:$BY$305,'3a Staff Plan'!$DY$129:$DY$305,$IA93,'3a Staff Plan'!$DF$129:$DF$305,1,'3a Staff Plan'!$AG$129:$AG$305,1)</f>
        <v>0</v>
      </c>
      <c r="CL93" s="201">
        <f>SUMIFS('3a Staff Plan'!$BZ$129:$BZ$305,'3a Staff Plan'!$DY$129:$DY$305,$IA93,'3a Staff Plan'!$DF$129:$DF$305,1,'3a Staff Plan'!$AG$129:$AG$305,1)</f>
        <v>0</v>
      </c>
      <c r="CM93" s="201">
        <f>SUMIFS('3a Staff Plan'!$CA$129:$CA$305,'3a Staff Plan'!$DY$129:$DY$305,$IA93,'3a Staff Plan'!$DF$129:$DF$305,1,'3a Staff Plan'!$AG$129:$AG$305,1)</f>
        <v>0</v>
      </c>
      <c r="CN93" s="201">
        <f>SUMIFS('3a Staff Plan'!$CB$129:$CB$305,'3a Staff Plan'!$DY$129:$DY$305,$IA93,'3a Staff Plan'!$DF$129:$DF$305,1,'3a Staff Plan'!$AG$129:$AG$305,1)</f>
        <v>0</v>
      </c>
      <c r="CO93" s="201">
        <f>SUMIFS('3a Staff Plan'!$CC$129:$CC$305,'3a Staff Plan'!$DY$129:$DY$305,$IA93,'3a Staff Plan'!$DF$129:$DF$305,1,'3a Staff Plan'!$AG$129:$AG$305,1)</f>
        <v>0</v>
      </c>
      <c r="CP93" s="201">
        <f>SUMIFS('3a Staff Plan'!$CD$129:$CD$305,'3a Staff Plan'!$DY$129:$DY$305,$IA93,'3a Staff Plan'!$DF$129:$DF$305,1,'3a Staff Plan'!$AG$129:$AG$305,1)</f>
        <v>0</v>
      </c>
      <c r="CQ93" s="201">
        <f>SUMIFS('3a Staff Plan'!$CE$129:$CE$305,'3a Staff Plan'!$DY$129:$DY$305,$IA93,'3a Staff Plan'!$DF$129:$DF$305,1,'3a Staff Plan'!$AG$129:$AG$305,1)</f>
        <v>0</v>
      </c>
      <c r="CR93" s="201">
        <f>SUMIFS('3a Staff Plan'!$CF$129:$CF$305,'3a Staff Plan'!$DY$129:$DY$305,$IA93,'3a Staff Plan'!$DF$129:$DF$305,1,'3a Staff Plan'!$AG$129:$AG$305,1)</f>
        <v>0</v>
      </c>
      <c r="CS93" s="201">
        <f>SUMIFS('3a Staff Plan'!$CG$129:$CG$305,'3a Staff Plan'!$DY$129:$DY$305,$IA93,'3a Staff Plan'!$DF$129:$DF$305,1,'3a Staff Plan'!$AG$129:$AG$305,1)</f>
        <v>0</v>
      </c>
      <c r="CT93" s="201"/>
      <c r="CU93" s="1818">
        <f t="shared" si="276"/>
        <v>0</v>
      </c>
      <c r="CV93" s="1768"/>
      <c r="CW93" s="1768">
        <f t="shared" si="276"/>
        <v>0</v>
      </c>
      <c r="CX93" s="201"/>
      <c r="CY93" s="201">
        <f t="shared" si="277"/>
        <v>0</v>
      </c>
      <c r="CZ93" s="201">
        <f t="shared" si="277"/>
        <v>0</v>
      </c>
      <c r="DA93" s="201">
        <f t="shared" si="277"/>
        <v>0</v>
      </c>
      <c r="DB93" s="201">
        <f t="shared" si="277"/>
        <v>0</v>
      </c>
      <c r="DC93" s="201">
        <f t="shared" si="277"/>
        <v>0</v>
      </c>
      <c r="DD93" s="201">
        <f t="shared" si="277"/>
        <v>0</v>
      </c>
      <c r="DE93" s="201">
        <f t="shared" si="277"/>
        <v>0</v>
      </c>
      <c r="DF93" s="201">
        <f t="shared" si="277"/>
        <v>0</v>
      </c>
      <c r="DG93" s="201">
        <f t="shared" si="277"/>
        <v>0</v>
      </c>
      <c r="DH93" s="201">
        <f t="shared" si="277"/>
        <v>0</v>
      </c>
      <c r="DI93" s="201"/>
      <c r="DJ93" s="201"/>
      <c r="DK93" s="201"/>
      <c r="DL93" s="201"/>
      <c r="DM93" s="372">
        <f t="shared" ca="1" si="37"/>
        <v>0</v>
      </c>
      <c r="DN93" s="1185">
        <f t="shared" si="38"/>
        <v>0</v>
      </c>
      <c r="DO93" s="1185">
        <f t="shared" si="39"/>
        <v>0</v>
      </c>
      <c r="DP93" s="201"/>
      <c r="DQ93" s="372">
        <f t="shared" ca="1" si="40"/>
        <v>0</v>
      </c>
      <c r="DR93" s="1185">
        <f t="shared" si="41"/>
        <v>0</v>
      </c>
      <c r="DS93" s="1185">
        <f t="shared" si="42"/>
        <v>0</v>
      </c>
      <c r="DT93" s="201"/>
      <c r="DU93" s="372">
        <f t="shared" ca="1" si="278"/>
        <v>0</v>
      </c>
      <c r="DV93" s="372">
        <f t="shared" si="278"/>
        <v>0</v>
      </c>
      <c r="DW93" s="372">
        <f t="shared" si="278"/>
        <v>0</v>
      </c>
      <c r="DX93" s="201"/>
      <c r="DY93" s="372">
        <f t="shared" si="44"/>
        <v>0</v>
      </c>
      <c r="DZ93" s="372">
        <f t="shared" ca="1" si="45"/>
        <v>0</v>
      </c>
      <c r="EA93" s="201"/>
      <c r="EB93" s="2776">
        <f>IF(EO93=$EO$53,1,IFERROR(INDEX('Currency Data'!$L$8:$L$41,MATCH(EO93,'Currency Data'!$H$8:$H$41,0)),1))</f>
        <v>1</v>
      </c>
      <c r="EC93" s="2776">
        <f t="shared" si="147"/>
        <v>1</v>
      </c>
      <c r="ED93" s="428">
        <f>IF(GQ93=1,'1 Setup'!$T$68,IF(ISBLANK(IJ93),II93/EC93*IF(GL93=1,$ED$53,1),IJ93/EC93)*IF($EW93=7,JW93,1))</f>
        <v>0</v>
      </c>
      <c r="EE93" s="428">
        <f t="shared" si="46"/>
        <v>0</v>
      </c>
      <c r="EF93" s="428"/>
      <c r="EG93" s="1965" t="str">
        <f t="shared" si="148"/>
        <v>031500 - Highways UK</v>
      </c>
      <c r="EH93" s="201">
        <f t="shared" si="149"/>
        <v>1</v>
      </c>
      <c r="EI93" s="445" t="str">
        <f>IF(EH93=1,$EI$53,IF(GQ93=1,$GQ$55,IFERROR(IF($EG93=$EG$53,$EI$53,INDEX('PU List'!$G$6:$G$413,MATCH($EG93,'PU List'!$D$6:$D$413,0))),$EI$53)))</f>
        <v>GB - BIAF</v>
      </c>
      <c r="EJ93" s="2773" t="str">
        <f t="shared" si="150"/>
        <v>GB - BIAF</v>
      </c>
      <c r="EK93" s="1768"/>
      <c r="EL93" s="3283">
        <f>IF(OR(EW93&gt;7,$EL$53=0),0,IF(EJ93=$EI$53,$EL$53,IFERROR(INDEX('Fringe Data'!$U$8:$U$129,MATCH($EJ93,'Fringe Data'!$F$8:$F$129,0)),0)))</f>
        <v>1.73</v>
      </c>
      <c r="EM93" s="372">
        <f t="shared" si="47"/>
        <v>0</v>
      </c>
      <c r="EN93" s="201" t="str">
        <f>IFERROR(INDEX('Fringe Data'!$G$8:$G$64,MATCH($EJ93,'Fringe Data'!$F$8:$F$64,0)),$EO$53)</f>
        <v>GBP</v>
      </c>
      <c r="EO93" s="201" t="str">
        <f t="shared" si="151"/>
        <v>GBP</v>
      </c>
      <c r="EP93" s="201">
        <f>IF(EI93=$EI$53,$EP$49,IF(GP93=1,0,IFERROR(INDEX('Fringe Data'!$K$8:$K$64,MATCH($EI93,'Fringe Data'!$F$8:$F$64,0)),0)))</f>
        <v>0.52</v>
      </c>
      <c r="EQ93" s="201">
        <f>IF(EI93=$EI$53,$EQ$49,IF(GP93=1,0,IFERROR(INDEX('Fringe Data'!$L$8:$L$64,MATCH($EI93,'Fringe Data'!$F$8:$F$64,0)),0)))</f>
        <v>1.8499999999999999E-2</v>
      </c>
      <c r="ER93" s="201">
        <f>IF(EI93=$EI$53,$ER$49,IF(GP93=1,0,IFERROR(INDEX('Fringe Data'!$M$8:$M$64,MATCH($EI93,'Fringe Data'!$F$8:$F$64,0)),0)))</f>
        <v>0.43430000000000002</v>
      </c>
      <c r="ES93" s="201">
        <f>IF(EI93=$EI$53,$ES$49,IF(GP93=1,0,IFERROR(INDEX('Fringe Data'!$N$8:$N$64,MATCH($EI93,'Fringe Data'!$F$8:$F$64,0)),0)))</f>
        <v>0.1565</v>
      </c>
      <c r="ET93" s="201">
        <f>IF(EI93=$EI$53,$ET$49,IF(GP93=1,0,IFERROR(INDEX('Fringe Data'!$O$8:$O$64,MATCH($EI93,'Fringe Data'!$F$8:$F$64,0)),0)))</f>
        <v>0.33450000000000002</v>
      </c>
      <c r="EU93" s="263">
        <f>IF(EI93=$EI$53,$EU$49,IF(GP93=1,0,IFERROR(INDEX('Fringe Data'!$P$8:$P$64,MATCH($EI93,'Fringe Data'!$F$8:$F$64,0)),0)))</f>
        <v>0.1565</v>
      </c>
      <c r="EV93" s="201"/>
      <c r="EW93" s="1530">
        <f t="shared" si="48"/>
        <v>1</v>
      </c>
      <c r="EX93" s="1534">
        <f t="shared" si="152"/>
        <v>0.52</v>
      </c>
      <c r="EY93" s="321">
        <f t="shared" si="153"/>
        <v>0</v>
      </c>
      <c r="EZ93" s="201">
        <f t="shared" si="154"/>
        <v>0</v>
      </c>
      <c r="FA93" s="372">
        <f t="shared" si="49"/>
        <v>0</v>
      </c>
      <c r="FB93" s="372">
        <f t="shared" si="50"/>
        <v>0</v>
      </c>
      <c r="FC93" s="201">
        <f t="shared" ca="1" si="155"/>
        <v>0</v>
      </c>
      <c r="FD93" s="423">
        <f t="shared" si="51"/>
        <v>0</v>
      </c>
      <c r="FE93" s="423">
        <f t="shared" si="52"/>
        <v>0</v>
      </c>
      <c r="FF93" s="201">
        <f t="shared" si="156"/>
        <v>0</v>
      </c>
      <c r="FG93" s="425">
        <f>IF(OR($FJ$52=3,$FJ$52=4,$FJ$52=5),'1 Setup'!$W$96,0)</f>
        <v>0</v>
      </c>
      <c r="FH93" s="428">
        <f>IF($FJ$52=5,'1 Setup'!$W$98,IF($FJ$52=6,'1 Setup'!$S$86,0))</f>
        <v>0</v>
      </c>
      <c r="FI93" s="321">
        <f t="shared" ca="1" si="53"/>
        <v>0</v>
      </c>
      <c r="FJ93" s="263">
        <f t="shared" ca="1" si="157"/>
        <v>0</v>
      </c>
      <c r="FK93" s="372">
        <f t="shared" ca="1" si="54"/>
        <v>0</v>
      </c>
      <c r="FL93" s="372">
        <f t="shared" si="55"/>
        <v>0</v>
      </c>
      <c r="FM93" s="372">
        <f t="shared" si="56"/>
        <v>0</v>
      </c>
      <c r="FN93" s="2036">
        <f t="shared" ca="1" si="57"/>
        <v>0</v>
      </c>
      <c r="FO93" s="372">
        <f ca="1">$BA93*FN93</f>
        <v>0</v>
      </c>
      <c r="FP93" s="2723">
        <f t="shared" si="158"/>
        <v>0</v>
      </c>
      <c r="FQ93" s="372">
        <f t="shared" si="59"/>
        <v>0</v>
      </c>
      <c r="FR93" s="372">
        <f t="shared" si="159"/>
        <v>0</v>
      </c>
      <c r="FS93" s="1168"/>
      <c r="FT93" s="1168">
        <f t="shared" si="60"/>
        <v>0</v>
      </c>
      <c r="FU93" s="1168">
        <f t="shared" si="61"/>
        <v>0</v>
      </c>
      <c r="FV93" s="1168">
        <f t="shared" si="62"/>
        <v>0</v>
      </c>
      <c r="FW93" s="1168">
        <f t="shared" si="63"/>
        <v>0</v>
      </c>
      <c r="FX93" s="1168">
        <f t="shared" si="64"/>
        <v>0</v>
      </c>
      <c r="FY93" s="1168">
        <f t="shared" si="65"/>
        <v>0</v>
      </c>
      <c r="FZ93" s="1168">
        <f t="shared" si="66"/>
        <v>0</v>
      </c>
      <c r="GA93" s="1168">
        <f t="shared" si="67"/>
        <v>0</v>
      </c>
      <c r="GB93" s="1168">
        <f t="shared" si="68"/>
        <v>0</v>
      </c>
      <c r="GC93" s="1168">
        <f t="shared" si="69"/>
        <v>0</v>
      </c>
      <c r="GD93" s="1168"/>
      <c r="GE93" s="199"/>
      <c r="GF93" s="201">
        <f t="shared" si="70"/>
        <v>0</v>
      </c>
      <c r="GG93" s="201">
        <f t="shared" si="71"/>
        <v>0</v>
      </c>
      <c r="GH93" s="201">
        <f t="shared" si="72"/>
        <v>0</v>
      </c>
      <c r="GI93" s="201">
        <f t="shared" ca="1" si="160"/>
        <v>0</v>
      </c>
      <c r="GJ93" s="201">
        <f t="shared" si="73"/>
        <v>0</v>
      </c>
      <c r="GK93" s="201">
        <f t="shared" si="74"/>
        <v>0</v>
      </c>
      <c r="GL93" s="201">
        <f t="shared" si="75"/>
        <v>1</v>
      </c>
      <c r="GM93" s="201">
        <f t="shared" si="76"/>
        <v>1</v>
      </c>
      <c r="GN93" s="201"/>
      <c r="GO93" s="201"/>
      <c r="GP93" s="201">
        <f t="shared" si="77"/>
        <v>0</v>
      </c>
      <c r="GQ93" s="201">
        <f t="shared" si="78"/>
        <v>0</v>
      </c>
      <c r="GR93" s="201">
        <f t="shared" si="161"/>
        <v>0</v>
      </c>
      <c r="GS93" s="1768"/>
      <c r="GT93" s="201">
        <f t="shared" si="79"/>
        <v>1</v>
      </c>
      <c r="GU93" s="201">
        <f t="shared" si="193"/>
        <v>30</v>
      </c>
      <c r="GV93" s="201">
        <f t="shared" si="80"/>
        <v>0</v>
      </c>
      <c r="GW93" s="201">
        <f t="shared" si="81"/>
        <v>3</v>
      </c>
      <c r="GX93" s="201">
        <f t="shared" si="162"/>
        <v>0</v>
      </c>
      <c r="GY93" s="1998"/>
      <c r="GZ93" s="253"/>
      <c r="HA93" s="195">
        <f t="shared" si="163"/>
        <v>0</v>
      </c>
      <c r="HB93" s="3558">
        <f t="shared" si="82"/>
        <v>0</v>
      </c>
      <c r="HC93" s="3590"/>
      <c r="HD93" s="257" t="str">
        <f t="shared" si="83"/>
        <v/>
      </c>
      <c r="HE93" s="825">
        <f t="shared" si="84"/>
        <v>0</v>
      </c>
      <c r="HF93" s="506" t="s">
        <v>5</v>
      </c>
      <c r="HG93" s="508">
        <f t="shared" ca="1" si="85"/>
        <v>0</v>
      </c>
      <c r="HH93" s="3585">
        <f t="shared" si="86"/>
        <v>0</v>
      </c>
      <c r="HI93" s="3586"/>
      <c r="HJ93" s="504">
        <f ca="1">HG93-HH93</f>
        <v>0</v>
      </c>
      <c r="HK93" s="456">
        <f ca="1">IF(HG93&lt;0.1,0,IFERROR(HJ93/HG93,0))</f>
        <v>0</v>
      </c>
      <c r="HL93" s="3591">
        <f ca="1">IFERROR(HJ93/HE93,0)</f>
        <v>0</v>
      </c>
      <c r="HM93" s="3592"/>
      <c r="HN93" s="240"/>
      <c r="HO93" s="1998"/>
      <c r="HP93" s="1991"/>
      <c r="HQ93" s="2770" t="str">
        <f t="shared" si="90"/>
        <v>GB - BIAF</v>
      </c>
      <c r="HR93" s="2770" t="str">
        <f t="shared" si="91"/>
        <v>GBP</v>
      </c>
      <c r="HS93" s="2771">
        <f t="shared" si="92"/>
        <v>1</v>
      </c>
      <c r="HT93" s="3623"/>
      <c r="HU93" s="2771">
        <f t="shared" si="93"/>
        <v>1.73</v>
      </c>
      <c r="HW93" s="1218"/>
      <c r="HX93" s="520"/>
      <c r="HY93" s="2523"/>
      <c r="HZ93" s="194"/>
      <c r="IA93" s="1013"/>
      <c r="IB93" s="193"/>
      <c r="IC93" s="3276">
        <v>30</v>
      </c>
      <c r="ID93" s="986"/>
      <c r="IE93" s="938">
        <f t="shared" si="164"/>
        <v>0</v>
      </c>
      <c r="IF93" s="938">
        <f t="shared" si="165"/>
        <v>0</v>
      </c>
      <c r="IG93" s="432"/>
      <c r="II93" s="405"/>
      <c r="IJ93" s="239"/>
      <c r="IK93" s="2774" t="str">
        <f t="shared" si="166"/>
        <v>GBP</v>
      </c>
      <c r="IL93" s="2148"/>
      <c r="IM93" s="1936">
        <f t="shared" si="94"/>
        <v>0</v>
      </c>
      <c r="IO93" s="1959" t="str">
        <f t="shared" si="95"/>
        <v/>
      </c>
      <c r="IP93" s="1958"/>
      <c r="IQ93" s="543">
        <f t="shared" si="96"/>
        <v>0.52</v>
      </c>
      <c r="IR93" s="1936">
        <f t="shared" si="97"/>
        <v>0</v>
      </c>
      <c r="IT93" s="1364"/>
      <c r="IU93" s="210"/>
      <c r="IV93" s="218"/>
      <c r="IW93" s="1938">
        <f ca="1">IF(NOT(ISBLANK(IU93)),IU93,IF('1 Setup'!$G$8&lt;7,JK93,FJ93))+KA93</f>
        <v>0</v>
      </c>
      <c r="IX93" s="409">
        <f t="shared" si="98"/>
        <v>0</v>
      </c>
      <c r="IY93" s="408">
        <f t="shared" si="99"/>
        <v>0</v>
      </c>
      <c r="IZ93" s="1983"/>
      <c r="JA93" s="1994"/>
      <c r="JB93" s="1991"/>
      <c r="JD93" s="2029">
        <f t="shared" si="167"/>
        <v>0</v>
      </c>
      <c r="JE93" s="479"/>
      <c r="JF93" s="2025">
        <f t="shared" si="100"/>
        <v>0</v>
      </c>
      <c r="JG93" s="429">
        <f t="shared" si="101"/>
        <v>0</v>
      </c>
      <c r="JH93" s="1667">
        <f t="shared" si="102"/>
        <v>0</v>
      </c>
      <c r="JJ93" s="1163">
        <f t="shared" ca="1" si="103"/>
        <v>0</v>
      </c>
      <c r="JK93" s="1163">
        <f t="shared" ca="1" si="104"/>
        <v>0</v>
      </c>
      <c r="JL93" s="1795"/>
      <c r="JN93" s="2505"/>
      <c r="JO93" s="1161"/>
      <c r="JP93" s="571">
        <f t="shared" ca="1" si="105"/>
        <v>0</v>
      </c>
      <c r="JQ93" s="2506"/>
      <c r="JR93" s="1953"/>
      <c r="JS93" s="2650"/>
      <c r="JT93" s="2507"/>
      <c r="JU93" s="1964">
        <f t="shared" si="106"/>
        <v>0.33450000000000002</v>
      </c>
      <c r="JV93" s="3199"/>
      <c r="JW93" s="2649">
        <f t="shared" si="107"/>
        <v>1.5</v>
      </c>
      <c r="JX93" s="1964">
        <f t="shared" si="168"/>
        <v>0.1565</v>
      </c>
      <c r="JY93" s="3199"/>
      <c r="JZ93" s="2649">
        <f t="shared" si="169"/>
        <v>0</v>
      </c>
      <c r="KA93" s="2649">
        <f t="shared" si="170"/>
        <v>0</v>
      </c>
      <c r="KB93" s="2649" t="s">
        <v>111</v>
      </c>
      <c r="KC93" s="1983"/>
      <c r="KD93" s="1974"/>
      <c r="KE93" s="1991"/>
      <c r="KF93" s="2029">
        <f t="shared" si="171"/>
        <v>0</v>
      </c>
      <c r="KG93" s="1991"/>
      <c r="KH93" s="2121">
        <f t="shared" si="108"/>
        <v>0</v>
      </c>
      <c r="KI93" s="2130">
        <f t="shared" si="109"/>
        <v>0</v>
      </c>
      <c r="KJ93" s="2130">
        <f t="shared" si="110"/>
        <v>0</v>
      </c>
      <c r="KK93" s="2130">
        <f t="shared" si="111"/>
        <v>0</v>
      </c>
      <c r="KL93" s="2131">
        <f t="shared" si="112"/>
        <v>0</v>
      </c>
      <c r="KM93" s="2132">
        <f t="shared" si="113"/>
        <v>0</v>
      </c>
      <c r="KN93" s="2132">
        <f t="shared" si="114"/>
        <v>0</v>
      </c>
      <c r="KO93" s="2132">
        <f t="shared" si="115"/>
        <v>0</v>
      </c>
      <c r="KP93" s="2132">
        <f t="shared" si="116"/>
        <v>0</v>
      </c>
      <c r="KQ93" s="2133">
        <f t="shared" si="117"/>
        <v>0</v>
      </c>
      <c r="KS93" s="2253">
        <f t="shared" si="118"/>
        <v>0</v>
      </c>
      <c r="KT93" s="2270">
        <f t="shared" ref="KT93:LB93" si="280">KS93*(1+(KT$60))</f>
        <v>0</v>
      </c>
      <c r="KU93" s="2271">
        <f t="shared" si="280"/>
        <v>0</v>
      </c>
      <c r="KV93" s="2271">
        <f t="shared" si="280"/>
        <v>0</v>
      </c>
      <c r="KW93" s="2272">
        <f t="shared" si="280"/>
        <v>0</v>
      </c>
      <c r="KX93" s="2271">
        <f t="shared" si="280"/>
        <v>0</v>
      </c>
      <c r="KY93" s="2271">
        <f t="shared" si="280"/>
        <v>0</v>
      </c>
      <c r="KZ93" s="2271">
        <f t="shared" si="280"/>
        <v>0</v>
      </c>
      <c r="LA93" s="2271">
        <f t="shared" si="280"/>
        <v>0</v>
      </c>
      <c r="LB93" s="2273">
        <f t="shared" si="280"/>
        <v>0</v>
      </c>
      <c r="LC93" s="272"/>
      <c r="LD93" s="2124">
        <f t="shared" si="120"/>
        <v>0</v>
      </c>
      <c r="LE93" s="2093">
        <f t="shared" si="121"/>
        <v>0</v>
      </c>
      <c r="LF93" s="2093">
        <f t="shared" si="122"/>
        <v>0</v>
      </c>
      <c r="LG93" s="2093">
        <f t="shared" si="123"/>
        <v>0</v>
      </c>
      <c r="LH93" s="2094">
        <f t="shared" si="124"/>
        <v>0</v>
      </c>
      <c r="LI93" s="2095">
        <f t="shared" si="125"/>
        <v>0</v>
      </c>
      <c r="LJ93" s="2095">
        <f t="shared" si="126"/>
        <v>0</v>
      </c>
      <c r="LK93" s="2095">
        <f t="shared" si="127"/>
        <v>0</v>
      </c>
      <c r="LL93" s="2095">
        <f t="shared" si="128"/>
        <v>0</v>
      </c>
      <c r="LM93" s="2096">
        <f t="shared" si="129"/>
        <v>0</v>
      </c>
      <c r="LN93" s="749"/>
      <c r="LO93" s="2256">
        <f t="shared" ca="1" si="130"/>
        <v>0</v>
      </c>
      <c r="LP93" s="2270">
        <f t="shared" ca="1" si="131"/>
        <v>0</v>
      </c>
      <c r="LQ93" s="2271">
        <f t="shared" ca="1" si="132"/>
        <v>0</v>
      </c>
      <c r="LR93" s="2271">
        <f t="shared" ca="1" si="133"/>
        <v>0</v>
      </c>
      <c r="LS93" s="2272">
        <f t="shared" ca="1" si="134"/>
        <v>0</v>
      </c>
      <c r="LT93" s="2271">
        <f t="shared" ca="1" si="135"/>
        <v>0</v>
      </c>
      <c r="LU93" s="2271">
        <f t="shared" ca="1" si="136"/>
        <v>0</v>
      </c>
      <c r="LV93" s="2271">
        <f t="shared" ca="1" si="137"/>
        <v>0</v>
      </c>
      <c r="LW93" s="2271">
        <f t="shared" ca="1" si="138"/>
        <v>0</v>
      </c>
      <c r="LX93" s="2273">
        <f t="shared" ca="1" si="139"/>
        <v>0</v>
      </c>
      <c r="LY93" s="479"/>
      <c r="LZ93" s="3128">
        <f t="shared" ca="1" si="173"/>
        <v>-1.73</v>
      </c>
      <c r="MA93" s="3129">
        <f t="shared" ca="1" si="174"/>
        <v>-1.73</v>
      </c>
      <c r="MB93" s="3129">
        <f t="shared" ca="1" si="175"/>
        <v>-1.73</v>
      </c>
      <c r="MC93" s="3129">
        <f t="shared" ca="1" si="176"/>
        <v>-1.73</v>
      </c>
      <c r="MD93" s="3130">
        <f t="shared" ca="1" si="177"/>
        <v>-1.73</v>
      </c>
      <c r="ME93" s="3129">
        <f t="shared" ca="1" si="178"/>
        <v>-1.73</v>
      </c>
      <c r="MF93" s="3129">
        <f t="shared" ca="1" si="179"/>
        <v>-1.73</v>
      </c>
      <c r="MG93" s="3129">
        <f t="shared" ca="1" si="180"/>
        <v>-1.73</v>
      </c>
      <c r="MH93" s="3129">
        <f t="shared" ca="1" si="181"/>
        <v>-1.73</v>
      </c>
      <c r="MI93" s="3131">
        <f t="shared" ca="1" si="182"/>
        <v>-1.73</v>
      </c>
      <c r="MJ93" s="3201"/>
      <c r="MK93" s="3206">
        <f t="shared" ca="1" si="183"/>
        <v>0</v>
      </c>
      <c r="ML93" s="3207">
        <f t="shared" ca="1" si="184"/>
        <v>0</v>
      </c>
      <c r="MM93" s="3207">
        <f t="shared" ca="1" si="185"/>
        <v>0</v>
      </c>
      <c r="MN93" s="3207">
        <f t="shared" ca="1" si="186"/>
        <v>0</v>
      </c>
      <c r="MO93" s="3208">
        <f t="shared" ca="1" si="187"/>
        <v>0</v>
      </c>
      <c r="MP93" s="3207">
        <f t="shared" ca="1" si="188"/>
        <v>0</v>
      </c>
      <c r="MQ93" s="3207">
        <f t="shared" ca="1" si="189"/>
        <v>0</v>
      </c>
      <c r="MR93" s="3207">
        <f t="shared" ca="1" si="190"/>
        <v>0</v>
      </c>
      <c r="MS93" s="3207">
        <f t="shared" ca="1" si="191"/>
        <v>0</v>
      </c>
      <c r="MT93" s="3209">
        <f t="shared" ca="1" si="192"/>
        <v>0</v>
      </c>
      <c r="MU93" s="1983"/>
      <c r="MV93" s="1975"/>
      <c r="MW93" s="1991"/>
      <c r="MX93" s="1931">
        <f t="shared" si="142"/>
        <v>0</v>
      </c>
      <c r="MY93" s="749"/>
      <c r="MZ93" s="1934">
        <f t="shared" si="143"/>
        <v>0</v>
      </c>
      <c r="NA93" s="1935"/>
      <c r="NB93" s="2652">
        <f t="shared" si="144"/>
        <v>0</v>
      </c>
      <c r="NC93" s="479"/>
      <c r="ND93" s="2749" t="str">
        <f t="shared" si="145"/>
        <v/>
      </c>
      <c r="NE93" s="2717"/>
      <c r="NF93" s="1975"/>
      <c r="NG93" s="1975"/>
      <c r="NH93" s="1975"/>
      <c r="NI93" s="1975"/>
    </row>
    <row r="94" spans="1:373" s="192" customFormat="1" ht="15.9" customHeight="1" x14ac:dyDescent="0.3">
      <c r="A94" s="200"/>
      <c r="B94" s="200"/>
      <c r="C94" s="200"/>
      <c r="D94" s="200"/>
      <c r="E94" s="200"/>
      <c r="F94" s="200"/>
      <c r="G94" s="200"/>
      <c r="H94" s="200"/>
      <c r="I94" s="200"/>
      <c r="J94" s="200"/>
      <c r="K94" s="200"/>
      <c r="L94" s="200"/>
      <c r="M94" s="200"/>
      <c r="N94" s="200"/>
      <c r="O94" s="200"/>
      <c r="P94" s="1539"/>
      <c r="Q94" s="1539"/>
      <c r="R94" s="198"/>
      <c r="S94" s="1539"/>
      <c r="T94" s="201"/>
      <c r="U94" s="200"/>
      <c r="V94" s="201">
        <f>MATCH($IC94,'3b Activity Plan'!$DJ$171:$FH$171,0)</f>
        <v>31</v>
      </c>
      <c r="W94" s="201">
        <f>IFERROR(INDEX('3b Activity Plan'!$DJ$6:$FH$6,V94),0)</f>
        <v>0</v>
      </c>
      <c r="X94" s="1768"/>
      <c r="Y94" s="1768">
        <f>IFERROR(INDEX('3b Activity Plan'!$DJ$7:$FH$7,V94),0)</f>
        <v>0</v>
      </c>
      <c r="Z94" s="201"/>
      <c r="AA94" s="201">
        <f>IFERROR(INDEX('3b Activity Plan'!$DJ$34:$FH$34,$V94),0)</f>
        <v>0</v>
      </c>
      <c r="AB94" s="201">
        <f>IFERROR(INDEX('3b Activity Plan'!$DJ$35:$FH$35,$V94),0)</f>
        <v>0</v>
      </c>
      <c r="AC94" s="201">
        <f>IFERROR(INDEX('3b Activity Plan'!$DJ$36:$FH$36,$V94),0)</f>
        <v>0</v>
      </c>
      <c r="AD94" s="201">
        <f>IFERROR(INDEX('3b Activity Plan'!$DJ$37:$FH$37,$V94),0)</f>
        <v>0</v>
      </c>
      <c r="AE94" s="201">
        <f>IFERROR(INDEX('3b Activity Plan'!$DJ$38:$FH$38,$V94),0)</f>
        <v>0</v>
      </c>
      <c r="AF94" s="201">
        <f>IFERROR(INDEX('3b Activity Plan'!$DJ$39:$FH$39,$V94),0)</f>
        <v>0</v>
      </c>
      <c r="AG94" s="201">
        <f>IFERROR(INDEX('3b Activity Plan'!$DJ$40:$FH$40,$V94),0)</f>
        <v>0</v>
      </c>
      <c r="AH94" s="201">
        <f>IFERROR(INDEX('3b Activity Plan'!$DJ$41:$FH$41,$V94),0)</f>
        <v>0</v>
      </c>
      <c r="AI94" s="201">
        <f>IFERROR(INDEX('3b Activity Plan'!$DJ$42:$FH$42,$V94),0)</f>
        <v>0</v>
      </c>
      <c r="AJ94" s="201">
        <f>IFERROR(INDEX('3b Activity Plan'!$DJ$43:$FH$43,$V94),0)</f>
        <v>0</v>
      </c>
      <c r="AK94" s="201"/>
      <c r="AL94" s="201">
        <f>SUMIFS('3a Staff Plan'!$AR$129:$AR$305,'3a Staff Plan'!$DY$129:$DY$305,$IA94,'3a Staff Plan'!$DF$129:$DF$305,1)</f>
        <v>0</v>
      </c>
      <c r="AM94" s="1768"/>
      <c r="AN94" s="1768">
        <f>SUMIFS('3a Staff Plan'!$AR$129:$AR$305,'3a Staff Plan'!$DY$129:$DY$305,$IA94,'3a Staff Plan'!$CV$129:$CV$305,1)</f>
        <v>0</v>
      </c>
      <c r="AO94" s="201"/>
      <c r="AP94" s="201">
        <f>SUMIFS('3a Staff Plan'!$AS$129:$AS$305,'3a Staff Plan'!$DY$129:$DY$305,$IA94,'3a Staff Plan'!$DF$129:$DF$305,1)</f>
        <v>0</v>
      </c>
      <c r="AQ94" s="201">
        <f>SUMIFS('3a Staff Plan'!$AT$129:$AT$305,'3a Staff Plan'!$DY$129:$DY$305,$IA94,'3a Staff Plan'!$DF$129:$DF$305,1)</f>
        <v>0</v>
      </c>
      <c r="AR94" s="201">
        <f>SUMIFS('3a Staff Plan'!$AU$129:$AU$305,'3a Staff Plan'!$DY$129:$DY$305,$IA94,'3a Staff Plan'!$DF$129:$DF$305,1)</f>
        <v>0</v>
      </c>
      <c r="AS94" s="201">
        <f>SUMIFS('3a Staff Plan'!$AV$129:$AV$305,'3a Staff Plan'!$DY$129:$DY$305,$IA94,'3a Staff Plan'!$DF$129:$DF$305,1)</f>
        <v>0</v>
      </c>
      <c r="AT94" s="201">
        <f>SUMIFS('3a Staff Plan'!$AW$129:$AW$305,'3a Staff Plan'!$DY$129:$DY$305,$IA94,'3a Staff Plan'!$DF$129:$DF$305,1)</f>
        <v>0</v>
      </c>
      <c r="AU94" s="201">
        <f>SUMIFS('3a Staff Plan'!$AX$129:$AX$305,'3a Staff Plan'!$DY$129:$DY$305,$IA94,'3a Staff Plan'!$DF$129:$DF$305,1)</f>
        <v>0</v>
      </c>
      <c r="AV94" s="201">
        <f>SUMIFS('3a Staff Plan'!$AY$129:$AY$305,'3a Staff Plan'!$DY$129:$DY$305,$IA94,'3a Staff Plan'!$DF$129:$DF$305,1)</f>
        <v>0</v>
      </c>
      <c r="AW94" s="201">
        <f>SUMIFS('3a Staff Plan'!$AZ$129:$AZ$305,'3a Staff Plan'!$DY$129:$DY$305,$IA94,'3a Staff Plan'!$DF$129:$DF$305,1)</f>
        <v>0</v>
      </c>
      <c r="AX94" s="201">
        <f>SUMIFS('3a Staff Plan'!$BA$129:$BA$305,'3a Staff Plan'!$DY$129:$DY$305,$IA94,'3a Staff Plan'!$DF$129:$DF$305,1)</f>
        <v>0</v>
      </c>
      <c r="AY94" s="201">
        <f>SUMIFS('3a Staff Plan'!$BB$129:$BB$305,'3a Staff Plan'!$DY$129:$DY$305,$IA94,'3a Staff Plan'!$DF$129:$DF$305,1)</f>
        <v>0</v>
      </c>
      <c r="AZ94" s="201"/>
      <c r="BA94" s="201">
        <f t="shared" si="198"/>
        <v>0</v>
      </c>
      <c r="BB94" s="1768"/>
      <c r="BC94" s="1768">
        <f t="shared" si="199"/>
        <v>0</v>
      </c>
      <c r="BD94" s="201"/>
      <c r="BE94" s="201">
        <f t="shared" si="200"/>
        <v>0</v>
      </c>
      <c r="BF94" s="201">
        <f t="shared" si="201"/>
        <v>0</v>
      </c>
      <c r="BG94" s="201">
        <f t="shared" si="202"/>
        <v>0</v>
      </c>
      <c r="BH94" s="201">
        <f t="shared" si="203"/>
        <v>0</v>
      </c>
      <c r="BI94" s="201">
        <f t="shared" si="204"/>
        <v>0</v>
      </c>
      <c r="BJ94" s="201">
        <f t="shared" si="205"/>
        <v>0</v>
      </c>
      <c r="BK94" s="201">
        <f t="shared" si="206"/>
        <v>0</v>
      </c>
      <c r="BL94" s="201">
        <f t="shared" si="207"/>
        <v>0</v>
      </c>
      <c r="BM94" s="201">
        <f t="shared" si="208"/>
        <v>0</v>
      </c>
      <c r="BN94" s="201">
        <f t="shared" si="209"/>
        <v>0</v>
      </c>
      <c r="BO94" s="201"/>
      <c r="BP94" s="1818">
        <f t="shared" si="146"/>
        <v>31</v>
      </c>
      <c r="BQ94" s="1818">
        <f>IFERROR(INDEX('3b Activity Plan'!$DJ$15:$FH$15,BP94),0)</f>
        <v>0</v>
      </c>
      <c r="BR94" s="1768"/>
      <c r="BS94" s="1768">
        <f>IFERROR(INDEX('3b Activity Plan'!$DJ$16:$FH$16,BP94),0)</f>
        <v>0</v>
      </c>
      <c r="BT94" s="201"/>
      <c r="BU94" s="201">
        <f>IFERROR(INDEX('3b Activity Plan'!$DJ$67:$FH$67,$V94),0)</f>
        <v>0</v>
      </c>
      <c r="BV94" s="201">
        <f>IFERROR(INDEX('3b Activity Plan'!$DJ$68:$FH$68,$V94),0)</f>
        <v>0</v>
      </c>
      <c r="BW94" s="201">
        <f>IFERROR(INDEX('3b Activity Plan'!$DJ$69:$FH$69,$V94),0)</f>
        <v>0</v>
      </c>
      <c r="BX94" s="201">
        <f>IFERROR(INDEX('3b Activity Plan'!$DJ$70:$FH$70,$V94),0)</f>
        <v>0</v>
      </c>
      <c r="BY94" s="201">
        <f>IFERROR(INDEX('3b Activity Plan'!$DJ$71:$FH$71,$V94),0)</f>
        <v>0</v>
      </c>
      <c r="BZ94" s="201">
        <f>IFERROR(INDEX('3b Activity Plan'!$DJ$72:$FH$72,$V94),0)</f>
        <v>0</v>
      </c>
      <c r="CA94" s="201">
        <f>IFERROR(INDEX('3b Activity Plan'!$DJ$73:$FH$73,$V94),0)</f>
        <v>0</v>
      </c>
      <c r="CB94" s="201">
        <f>IFERROR(INDEX('3b Activity Plan'!$DJ$74:$FH$74,$V94),0)</f>
        <v>0</v>
      </c>
      <c r="CC94" s="201">
        <f>IFERROR(INDEX('3b Activity Plan'!$DJ$75:$FH$75,$V94),0)</f>
        <v>0</v>
      </c>
      <c r="CD94" s="201">
        <f>IFERROR(INDEX('3b Activity Plan'!$DJ$76:$FH$76,$V94),0)</f>
        <v>0</v>
      </c>
      <c r="CE94" s="201"/>
      <c r="CF94" s="1818">
        <f>SUMIFS('3a Staff Plan'!$AR$129:$AR$305,'3a Staff Plan'!$DY$129:$DY$305,$IA94,'3a Staff Plan'!$AG$129:$AG$305,1,'3a Staff Plan'!$DF$129:$DF$305,1)</f>
        <v>0</v>
      </c>
      <c r="CG94" s="1768">
        <f>SUMIFS('3a Staff Plan'!$AR$129:$AR$305,'3a Staff Plan'!$DY$129:$DY$305,$IA94,'3a Staff Plan'!$AG$129:$AG$305,1,'3a Staff Plan'!$CX$129:$CX$305,1)</f>
        <v>0</v>
      </c>
      <c r="CH94" s="1768">
        <f>SUMIFS('3a Staff Plan'!$AR$129:$AR$305,'3a Staff Plan'!$DY$129:$DY$305,$IA94,'3a Staff Plan'!$AG$129:$AG$305,1,'3a Staff Plan'!$CV$129:$CV$305,1)</f>
        <v>0</v>
      </c>
      <c r="CI94" s="201"/>
      <c r="CJ94" s="201">
        <f>SUMIFS('3a Staff Plan'!$BX$129:$BX$305,'3a Staff Plan'!$DY$129:$DY$305,$IA94,'3a Staff Plan'!$DF$129:$DF$305,1,'3a Staff Plan'!$AG$129:$AG$305,1)</f>
        <v>0</v>
      </c>
      <c r="CK94" s="201">
        <f>SUMIFS('3a Staff Plan'!$BY$129:$BY$305,'3a Staff Plan'!$DY$129:$DY$305,$IA94,'3a Staff Plan'!$DF$129:$DF$305,1,'3a Staff Plan'!$AG$129:$AG$305,1)</f>
        <v>0</v>
      </c>
      <c r="CL94" s="201">
        <f>SUMIFS('3a Staff Plan'!$BZ$129:$BZ$305,'3a Staff Plan'!$DY$129:$DY$305,$IA94,'3a Staff Plan'!$DF$129:$DF$305,1,'3a Staff Plan'!$AG$129:$AG$305,1)</f>
        <v>0</v>
      </c>
      <c r="CM94" s="201">
        <f>SUMIFS('3a Staff Plan'!$CA$129:$CA$305,'3a Staff Plan'!$DY$129:$DY$305,$IA94,'3a Staff Plan'!$DF$129:$DF$305,1,'3a Staff Plan'!$AG$129:$AG$305,1)</f>
        <v>0</v>
      </c>
      <c r="CN94" s="201">
        <f>SUMIFS('3a Staff Plan'!$CB$129:$CB$305,'3a Staff Plan'!$DY$129:$DY$305,$IA94,'3a Staff Plan'!$DF$129:$DF$305,1,'3a Staff Plan'!$AG$129:$AG$305,1)</f>
        <v>0</v>
      </c>
      <c r="CO94" s="201">
        <f>SUMIFS('3a Staff Plan'!$CC$129:$CC$305,'3a Staff Plan'!$DY$129:$DY$305,$IA94,'3a Staff Plan'!$DF$129:$DF$305,1,'3a Staff Plan'!$AG$129:$AG$305,1)</f>
        <v>0</v>
      </c>
      <c r="CP94" s="201">
        <f>SUMIFS('3a Staff Plan'!$CD$129:$CD$305,'3a Staff Plan'!$DY$129:$DY$305,$IA94,'3a Staff Plan'!$DF$129:$DF$305,1,'3a Staff Plan'!$AG$129:$AG$305,1)</f>
        <v>0</v>
      </c>
      <c r="CQ94" s="201">
        <f>SUMIFS('3a Staff Plan'!$CE$129:$CE$305,'3a Staff Plan'!$DY$129:$DY$305,$IA94,'3a Staff Plan'!$DF$129:$DF$305,1,'3a Staff Plan'!$AG$129:$AG$305,1)</f>
        <v>0</v>
      </c>
      <c r="CR94" s="201">
        <f>SUMIFS('3a Staff Plan'!$CF$129:$CF$305,'3a Staff Plan'!$DY$129:$DY$305,$IA94,'3a Staff Plan'!$DF$129:$DF$305,1,'3a Staff Plan'!$AG$129:$AG$305,1)</f>
        <v>0</v>
      </c>
      <c r="CS94" s="201">
        <f>SUMIFS('3a Staff Plan'!$CG$129:$CG$305,'3a Staff Plan'!$DY$129:$DY$305,$IA94,'3a Staff Plan'!$DF$129:$DF$305,1,'3a Staff Plan'!$AG$129:$AG$305,1)</f>
        <v>0</v>
      </c>
      <c r="CT94" s="201"/>
      <c r="CU94" s="1818">
        <f t="shared" si="210"/>
        <v>0</v>
      </c>
      <c r="CV94" s="1768"/>
      <c r="CW94" s="1768">
        <f t="shared" si="211"/>
        <v>0</v>
      </c>
      <c r="CX94" s="201"/>
      <c r="CY94" s="201">
        <f t="shared" si="212"/>
        <v>0</v>
      </c>
      <c r="CZ94" s="201">
        <f t="shared" si="213"/>
        <v>0</v>
      </c>
      <c r="DA94" s="201">
        <f t="shared" si="214"/>
        <v>0</v>
      </c>
      <c r="DB94" s="201">
        <f t="shared" si="215"/>
        <v>0</v>
      </c>
      <c r="DC94" s="201">
        <f t="shared" si="216"/>
        <v>0</v>
      </c>
      <c r="DD94" s="201">
        <f t="shared" si="217"/>
        <v>0</v>
      </c>
      <c r="DE94" s="201">
        <f t="shared" si="218"/>
        <v>0</v>
      </c>
      <c r="DF94" s="201">
        <f t="shared" si="219"/>
        <v>0</v>
      </c>
      <c r="DG94" s="201">
        <f t="shared" si="220"/>
        <v>0</v>
      </c>
      <c r="DH94" s="201">
        <f t="shared" si="221"/>
        <v>0</v>
      </c>
      <c r="DI94" s="201"/>
      <c r="DJ94" s="201"/>
      <c r="DK94" s="201"/>
      <c r="DL94" s="201"/>
      <c r="DM94" s="372">
        <f t="shared" ca="1" si="37"/>
        <v>0</v>
      </c>
      <c r="DN94" s="1185">
        <f t="shared" si="38"/>
        <v>0</v>
      </c>
      <c r="DO94" s="1185">
        <f t="shared" si="39"/>
        <v>0</v>
      </c>
      <c r="DP94" s="201"/>
      <c r="DQ94" s="372">
        <f t="shared" ca="1" si="40"/>
        <v>0</v>
      </c>
      <c r="DR94" s="1185">
        <f t="shared" si="41"/>
        <v>0</v>
      </c>
      <c r="DS94" s="1185">
        <f t="shared" si="42"/>
        <v>0</v>
      </c>
      <c r="DT94" s="201"/>
      <c r="DU94" s="372">
        <f t="shared" ca="1" si="222"/>
        <v>0</v>
      </c>
      <c r="DV94" s="372">
        <f t="shared" si="223"/>
        <v>0</v>
      </c>
      <c r="DW94" s="372">
        <f t="shared" si="223"/>
        <v>0</v>
      </c>
      <c r="DX94" s="201"/>
      <c r="DY94" s="372">
        <f t="shared" si="44"/>
        <v>0</v>
      </c>
      <c r="DZ94" s="372">
        <f t="shared" ca="1" si="45"/>
        <v>0</v>
      </c>
      <c r="EA94" s="201"/>
      <c r="EB94" s="2776">
        <f>IF(EO94=$EO$53,1,IFERROR(INDEX('Currency Data'!$L$8:$L$41,MATCH(EO94,'Currency Data'!$H$8:$H$41,0)),1))</f>
        <v>1</v>
      </c>
      <c r="EC94" s="2776">
        <f t="shared" si="147"/>
        <v>1</v>
      </c>
      <c r="ED94" s="428">
        <f>IF(GQ94=1,'1 Setup'!$T$68,IF(ISBLANK(IJ94),II94/EC94*IF(GL94=1,$ED$53,1),IJ94/EC94)*IF($EW94=7,JW94,1))</f>
        <v>0</v>
      </c>
      <c r="EE94" s="428">
        <f t="shared" si="46"/>
        <v>0</v>
      </c>
      <c r="EF94" s="428"/>
      <c r="EG94" s="1965" t="str">
        <f t="shared" si="148"/>
        <v>031500 - Highways UK</v>
      </c>
      <c r="EH94" s="201">
        <f t="shared" si="149"/>
        <v>1</v>
      </c>
      <c r="EI94" s="445" t="str">
        <f>IF(EH94=1,$EI$53,IF(GQ94=1,$GQ$55,IFERROR(IF($EG94=$EG$53,$EI$53,INDEX('PU List'!$G$6:$G$413,MATCH($EG94,'PU List'!$D$6:$D$413,0))),$EI$53)))</f>
        <v>GB - BIAF</v>
      </c>
      <c r="EJ94" s="2773" t="str">
        <f t="shared" si="150"/>
        <v>GB - BIAF</v>
      </c>
      <c r="EK94" s="1768"/>
      <c r="EL94" s="3283">
        <f>IF(OR(EW94&gt;7,$EL$53=0),0,IF(EJ94=$EI$53,$EL$53,IFERROR(INDEX('Fringe Data'!$U$8:$U$129,MATCH($EJ94,'Fringe Data'!$F$8:$F$129,0)),0)))</f>
        <v>1.73</v>
      </c>
      <c r="EM94" s="372">
        <f t="shared" si="47"/>
        <v>0</v>
      </c>
      <c r="EN94" s="201" t="str">
        <f>IFERROR(INDEX('Fringe Data'!$G$8:$G$64,MATCH($EJ94,'Fringe Data'!$F$8:$F$64,0)),$EO$53)</f>
        <v>GBP</v>
      </c>
      <c r="EO94" s="201" t="str">
        <f t="shared" si="151"/>
        <v>GBP</v>
      </c>
      <c r="EP94" s="201">
        <f>IF(EI94=$EI$53,$EP$49,IF(GP94=1,0,IFERROR(INDEX('Fringe Data'!$K$8:$K$64,MATCH($EI94,'Fringe Data'!$F$8:$F$64,0)),0)))</f>
        <v>0.52</v>
      </c>
      <c r="EQ94" s="201">
        <f>IF(EI94=$EI$53,$EQ$49,IF(GP94=1,0,IFERROR(INDEX('Fringe Data'!$L$8:$L$64,MATCH($EI94,'Fringe Data'!$F$8:$F$64,0)),0)))</f>
        <v>1.8499999999999999E-2</v>
      </c>
      <c r="ER94" s="201">
        <f>IF(EI94=$EI$53,$ER$49,IF(GP94=1,0,IFERROR(INDEX('Fringe Data'!$M$8:$M$64,MATCH($EI94,'Fringe Data'!$F$8:$F$64,0)),0)))</f>
        <v>0.43430000000000002</v>
      </c>
      <c r="ES94" s="201">
        <f>IF(EI94=$EI$53,$ES$49,IF(GP94=1,0,IFERROR(INDEX('Fringe Data'!$N$8:$N$64,MATCH($EI94,'Fringe Data'!$F$8:$F$64,0)),0)))</f>
        <v>0.1565</v>
      </c>
      <c r="ET94" s="201">
        <f>IF(EI94=$EI$53,$ET$49,IF(GP94=1,0,IFERROR(INDEX('Fringe Data'!$O$8:$O$64,MATCH($EI94,'Fringe Data'!$F$8:$F$64,0)),0)))</f>
        <v>0.33450000000000002</v>
      </c>
      <c r="EU94" s="263">
        <f>IF(EI94=$EI$53,$EU$49,IF(GP94=1,0,IFERROR(INDEX('Fringe Data'!$P$8:$P$64,MATCH($EI94,'Fringe Data'!$F$8:$F$64,0)),0)))</f>
        <v>0.1565</v>
      </c>
      <c r="EV94" s="201"/>
      <c r="EW94" s="1530">
        <f t="shared" si="48"/>
        <v>1</v>
      </c>
      <c r="EX94" s="1534">
        <f t="shared" si="152"/>
        <v>0.52</v>
      </c>
      <c r="EY94" s="321">
        <f t="shared" si="153"/>
        <v>0</v>
      </c>
      <c r="EZ94" s="201">
        <f t="shared" si="154"/>
        <v>0</v>
      </c>
      <c r="FA94" s="372">
        <f t="shared" si="49"/>
        <v>0</v>
      </c>
      <c r="FB94" s="372">
        <f t="shared" si="50"/>
        <v>0</v>
      </c>
      <c r="FC94" s="201">
        <f t="shared" ca="1" si="155"/>
        <v>0</v>
      </c>
      <c r="FD94" s="423">
        <f t="shared" si="51"/>
        <v>0</v>
      </c>
      <c r="FE94" s="423">
        <f t="shared" si="52"/>
        <v>0</v>
      </c>
      <c r="FF94" s="201">
        <f t="shared" si="156"/>
        <v>0</v>
      </c>
      <c r="FG94" s="425">
        <f>IF(OR($FJ$52=3,$FJ$52=4,$FJ$52=5),'1 Setup'!$W$96,0)</f>
        <v>0</v>
      </c>
      <c r="FH94" s="428">
        <f>IF($FJ$52=5,'1 Setup'!$W$98,IF($FJ$52=6,'1 Setup'!$S$86,0))</f>
        <v>0</v>
      </c>
      <c r="FI94" s="321">
        <f t="shared" ca="1" si="53"/>
        <v>0</v>
      </c>
      <c r="FJ94" s="263">
        <f t="shared" ca="1" si="157"/>
        <v>0</v>
      </c>
      <c r="FK94" s="372">
        <f t="shared" ca="1" si="54"/>
        <v>0</v>
      </c>
      <c r="FL94" s="372">
        <f t="shared" si="55"/>
        <v>0</v>
      </c>
      <c r="FM94" s="372">
        <f t="shared" si="56"/>
        <v>0</v>
      </c>
      <c r="FN94" s="2036">
        <f t="shared" ca="1" si="57"/>
        <v>0</v>
      </c>
      <c r="FO94" s="372">
        <f t="shared" ca="1" si="224"/>
        <v>0</v>
      </c>
      <c r="FP94" s="2723">
        <f t="shared" si="158"/>
        <v>0</v>
      </c>
      <c r="FQ94" s="372">
        <f t="shared" si="59"/>
        <v>0</v>
      </c>
      <c r="FR94" s="372">
        <f t="shared" si="159"/>
        <v>0</v>
      </c>
      <c r="FS94" s="1168"/>
      <c r="FT94" s="1168">
        <f t="shared" si="60"/>
        <v>0</v>
      </c>
      <c r="FU94" s="1168">
        <f t="shared" si="61"/>
        <v>0</v>
      </c>
      <c r="FV94" s="1168">
        <f t="shared" si="62"/>
        <v>0</v>
      </c>
      <c r="FW94" s="1168">
        <f t="shared" si="63"/>
        <v>0</v>
      </c>
      <c r="FX94" s="1168">
        <f t="shared" si="64"/>
        <v>0</v>
      </c>
      <c r="FY94" s="1168">
        <f t="shared" si="65"/>
        <v>0</v>
      </c>
      <c r="FZ94" s="1168">
        <f t="shared" si="66"/>
        <v>0</v>
      </c>
      <c r="GA94" s="1168">
        <f t="shared" si="67"/>
        <v>0</v>
      </c>
      <c r="GB94" s="1168">
        <f t="shared" si="68"/>
        <v>0</v>
      </c>
      <c r="GC94" s="1168">
        <f t="shared" si="69"/>
        <v>0</v>
      </c>
      <c r="GD94" s="1168"/>
      <c r="GE94" s="199"/>
      <c r="GF94" s="201">
        <f t="shared" si="70"/>
        <v>0</v>
      </c>
      <c r="GG94" s="201">
        <f t="shared" si="71"/>
        <v>0</v>
      </c>
      <c r="GH94" s="201">
        <f t="shared" si="72"/>
        <v>0</v>
      </c>
      <c r="GI94" s="201">
        <f t="shared" ca="1" si="160"/>
        <v>0</v>
      </c>
      <c r="GJ94" s="201">
        <f t="shared" si="73"/>
        <v>0</v>
      </c>
      <c r="GK94" s="201">
        <f t="shared" si="74"/>
        <v>0</v>
      </c>
      <c r="GL94" s="201">
        <f t="shared" si="75"/>
        <v>1</v>
      </c>
      <c r="GM94" s="201">
        <f t="shared" si="76"/>
        <v>1</v>
      </c>
      <c r="GN94" s="201"/>
      <c r="GO94" s="201"/>
      <c r="GP94" s="201">
        <f t="shared" si="77"/>
        <v>0</v>
      </c>
      <c r="GQ94" s="201">
        <f t="shared" si="78"/>
        <v>0</v>
      </c>
      <c r="GR94" s="201">
        <f t="shared" si="161"/>
        <v>0</v>
      </c>
      <c r="GS94" s="1768"/>
      <c r="GT94" s="201">
        <f t="shared" si="79"/>
        <v>1</v>
      </c>
      <c r="GU94" s="201">
        <f t="shared" si="193"/>
        <v>31</v>
      </c>
      <c r="GV94" s="201">
        <f t="shared" si="80"/>
        <v>0</v>
      </c>
      <c r="GW94" s="201">
        <f t="shared" si="81"/>
        <v>3</v>
      </c>
      <c r="GX94" s="201">
        <f t="shared" si="162"/>
        <v>0</v>
      </c>
      <c r="GY94" s="1998"/>
      <c r="GZ94" s="253"/>
      <c r="HA94" s="195">
        <f t="shared" si="163"/>
        <v>0</v>
      </c>
      <c r="HB94" s="3558">
        <f t="shared" si="82"/>
        <v>0</v>
      </c>
      <c r="HC94" s="3590"/>
      <c r="HD94" s="257" t="str">
        <f t="shared" si="83"/>
        <v/>
      </c>
      <c r="HE94" s="825">
        <f t="shared" si="84"/>
        <v>0</v>
      </c>
      <c r="HF94" s="506" t="s">
        <v>5</v>
      </c>
      <c r="HG94" s="508">
        <f t="shared" ca="1" si="85"/>
        <v>0</v>
      </c>
      <c r="HH94" s="3585">
        <f t="shared" si="86"/>
        <v>0</v>
      </c>
      <c r="HI94" s="3586"/>
      <c r="HJ94" s="504">
        <f t="shared" ca="1" si="225"/>
        <v>0</v>
      </c>
      <c r="HK94" s="456">
        <f t="shared" ca="1" si="226"/>
        <v>0</v>
      </c>
      <c r="HL94" s="3591">
        <f t="shared" ca="1" si="227"/>
        <v>0</v>
      </c>
      <c r="HM94" s="3592"/>
      <c r="HN94" s="240"/>
      <c r="HO94" s="1998"/>
      <c r="HP94" s="1991"/>
      <c r="HQ94" s="2770" t="str">
        <f t="shared" si="90"/>
        <v>GB - BIAF</v>
      </c>
      <c r="HR94" s="2770" t="str">
        <f t="shared" si="91"/>
        <v>GBP</v>
      </c>
      <c r="HS94" s="2771">
        <f t="shared" si="92"/>
        <v>1</v>
      </c>
      <c r="HT94" s="3488"/>
      <c r="HU94" s="2771">
        <f t="shared" si="93"/>
        <v>1.73</v>
      </c>
      <c r="HW94" s="1218"/>
      <c r="HX94" s="520"/>
      <c r="HY94" s="2523"/>
      <c r="HZ94" s="194"/>
      <c r="IA94" s="1013"/>
      <c r="IB94" s="193"/>
      <c r="IC94" s="3276">
        <v>31</v>
      </c>
      <c r="ID94" s="986"/>
      <c r="IE94" s="938">
        <f t="shared" si="164"/>
        <v>0</v>
      </c>
      <c r="IF94" s="938">
        <f t="shared" si="165"/>
        <v>0</v>
      </c>
      <c r="IG94" s="432"/>
      <c r="II94" s="405"/>
      <c r="IJ94" s="239"/>
      <c r="IK94" s="2774" t="str">
        <f t="shared" si="166"/>
        <v>GBP</v>
      </c>
      <c r="IL94" s="2148"/>
      <c r="IM94" s="1936">
        <f t="shared" si="94"/>
        <v>0</v>
      </c>
      <c r="IO94" s="1959" t="str">
        <f t="shared" si="95"/>
        <v/>
      </c>
      <c r="IP94" s="1958"/>
      <c r="IQ94" s="543">
        <f t="shared" si="96"/>
        <v>0.52</v>
      </c>
      <c r="IR94" s="1936">
        <f t="shared" si="97"/>
        <v>0</v>
      </c>
      <c r="IT94" s="1364"/>
      <c r="IU94" s="210"/>
      <c r="IV94" s="218"/>
      <c r="IW94" s="1938">
        <f ca="1">IF(NOT(ISBLANK(IU94)),IU94,IF('1 Setup'!$G$8&lt;7,JK94,FJ94))+KA94</f>
        <v>0</v>
      </c>
      <c r="IX94" s="409">
        <f t="shared" si="98"/>
        <v>0</v>
      </c>
      <c r="IY94" s="408">
        <f t="shared" si="99"/>
        <v>0</v>
      </c>
      <c r="IZ94" s="1983"/>
      <c r="JA94" s="1994"/>
      <c r="JB94" s="1991"/>
      <c r="JD94" s="2029">
        <f t="shared" si="167"/>
        <v>0</v>
      </c>
      <c r="JE94" s="479"/>
      <c r="JF94" s="2025">
        <f t="shared" si="100"/>
        <v>0</v>
      </c>
      <c r="JG94" s="429">
        <f t="shared" si="101"/>
        <v>0</v>
      </c>
      <c r="JH94" s="1667">
        <f t="shared" si="102"/>
        <v>0</v>
      </c>
      <c r="JJ94" s="1163">
        <f t="shared" ca="1" si="103"/>
        <v>0</v>
      </c>
      <c r="JK94" s="1163">
        <f t="shared" ca="1" si="104"/>
        <v>0</v>
      </c>
      <c r="JL94" s="1795"/>
      <c r="JN94" s="2505"/>
      <c r="JO94" s="1161"/>
      <c r="JP94" s="571">
        <f t="shared" ca="1" si="105"/>
        <v>0</v>
      </c>
      <c r="JQ94" s="2506"/>
      <c r="JR94" s="1953"/>
      <c r="JS94" s="2650"/>
      <c r="JT94" s="2507"/>
      <c r="JU94" s="1964">
        <f t="shared" si="106"/>
        <v>0.33450000000000002</v>
      </c>
      <c r="JV94" s="3199"/>
      <c r="JW94" s="2649">
        <f t="shared" si="107"/>
        <v>1.5</v>
      </c>
      <c r="JX94" s="1964">
        <f t="shared" si="168"/>
        <v>0.1565</v>
      </c>
      <c r="JY94" s="3199"/>
      <c r="JZ94" s="2649">
        <f t="shared" si="169"/>
        <v>0</v>
      </c>
      <c r="KA94" s="2649">
        <f t="shared" si="170"/>
        <v>0</v>
      </c>
      <c r="KB94" s="2649" t="s">
        <v>111</v>
      </c>
      <c r="KC94" s="1983"/>
      <c r="KD94" s="1974"/>
      <c r="KE94" s="1991"/>
      <c r="KF94" s="2029">
        <f t="shared" si="171"/>
        <v>0</v>
      </c>
      <c r="KG94" s="1991"/>
      <c r="KH94" s="2121">
        <f t="shared" si="108"/>
        <v>0</v>
      </c>
      <c r="KI94" s="2130">
        <f t="shared" si="109"/>
        <v>0</v>
      </c>
      <c r="KJ94" s="2130">
        <f t="shared" si="110"/>
        <v>0</v>
      </c>
      <c r="KK94" s="2130">
        <f t="shared" si="111"/>
        <v>0</v>
      </c>
      <c r="KL94" s="2131">
        <f t="shared" si="112"/>
        <v>0</v>
      </c>
      <c r="KM94" s="2132">
        <f t="shared" si="113"/>
        <v>0</v>
      </c>
      <c r="KN94" s="2132">
        <f t="shared" si="114"/>
        <v>0</v>
      </c>
      <c r="KO94" s="2132">
        <f t="shared" si="115"/>
        <v>0</v>
      </c>
      <c r="KP94" s="2132">
        <f t="shared" si="116"/>
        <v>0</v>
      </c>
      <c r="KQ94" s="2133">
        <f t="shared" si="117"/>
        <v>0</v>
      </c>
      <c r="KS94" s="2253">
        <f t="shared" si="118"/>
        <v>0</v>
      </c>
      <c r="KT94" s="2270">
        <f t="shared" ref="KT94:LB94" si="281">KS94*(1+(KT$60))</f>
        <v>0</v>
      </c>
      <c r="KU94" s="2271">
        <f t="shared" si="281"/>
        <v>0</v>
      </c>
      <c r="KV94" s="2271">
        <f t="shared" si="281"/>
        <v>0</v>
      </c>
      <c r="KW94" s="2272">
        <f t="shared" si="281"/>
        <v>0</v>
      </c>
      <c r="KX94" s="2271">
        <f t="shared" si="281"/>
        <v>0</v>
      </c>
      <c r="KY94" s="2271">
        <f t="shared" si="281"/>
        <v>0</v>
      </c>
      <c r="KZ94" s="2271">
        <f t="shared" si="281"/>
        <v>0</v>
      </c>
      <c r="LA94" s="2271">
        <f t="shared" si="281"/>
        <v>0</v>
      </c>
      <c r="LB94" s="2273">
        <f t="shared" si="281"/>
        <v>0</v>
      </c>
      <c r="LC94" s="272"/>
      <c r="LD94" s="2124">
        <f t="shared" si="120"/>
        <v>0</v>
      </c>
      <c r="LE94" s="2093">
        <f t="shared" si="121"/>
        <v>0</v>
      </c>
      <c r="LF94" s="2093">
        <f t="shared" si="122"/>
        <v>0</v>
      </c>
      <c r="LG94" s="2093">
        <f t="shared" si="123"/>
        <v>0</v>
      </c>
      <c r="LH94" s="2094">
        <f t="shared" si="124"/>
        <v>0</v>
      </c>
      <c r="LI94" s="2095">
        <f t="shared" si="125"/>
        <v>0</v>
      </c>
      <c r="LJ94" s="2095">
        <f t="shared" si="126"/>
        <v>0</v>
      </c>
      <c r="LK94" s="2095">
        <f t="shared" si="127"/>
        <v>0</v>
      </c>
      <c r="LL94" s="2095">
        <f t="shared" si="128"/>
        <v>0</v>
      </c>
      <c r="LM94" s="2096">
        <f t="shared" si="129"/>
        <v>0</v>
      </c>
      <c r="LN94" s="749"/>
      <c r="LO94" s="2256">
        <f t="shared" ca="1" si="130"/>
        <v>0</v>
      </c>
      <c r="LP94" s="2270">
        <f t="shared" ca="1" si="131"/>
        <v>0</v>
      </c>
      <c r="LQ94" s="2271">
        <f t="shared" ca="1" si="132"/>
        <v>0</v>
      </c>
      <c r="LR94" s="2271">
        <f t="shared" ca="1" si="133"/>
        <v>0</v>
      </c>
      <c r="LS94" s="2272">
        <f t="shared" ca="1" si="134"/>
        <v>0</v>
      </c>
      <c r="LT94" s="2271">
        <f t="shared" ca="1" si="135"/>
        <v>0</v>
      </c>
      <c r="LU94" s="2271">
        <f t="shared" ca="1" si="136"/>
        <v>0</v>
      </c>
      <c r="LV94" s="2271">
        <f t="shared" ca="1" si="137"/>
        <v>0</v>
      </c>
      <c r="LW94" s="2271">
        <f t="shared" ca="1" si="138"/>
        <v>0</v>
      </c>
      <c r="LX94" s="2273">
        <f t="shared" ca="1" si="139"/>
        <v>0</v>
      </c>
      <c r="LY94" s="479"/>
      <c r="LZ94" s="3128">
        <f t="shared" ca="1" si="173"/>
        <v>-1.73</v>
      </c>
      <c r="MA94" s="3129">
        <f t="shared" ca="1" si="174"/>
        <v>-1.73</v>
      </c>
      <c r="MB94" s="3129">
        <f t="shared" ca="1" si="175"/>
        <v>-1.73</v>
      </c>
      <c r="MC94" s="3129">
        <f t="shared" ca="1" si="176"/>
        <v>-1.73</v>
      </c>
      <c r="MD94" s="3130">
        <f t="shared" ca="1" si="177"/>
        <v>-1.73</v>
      </c>
      <c r="ME94" s="3129">
        <f t="shared" ca="1" si="178"/>
        <v>-1.73</v>
      </c>
      <c r="MF94" s="3129">
        <f t="shared" ca="1" si="179"/>
        <v>-1.73</v>
      </c>
      <c r="MG94" s="3129">
        <f t="shared" ca="1" si="180"/>
        <v>-1.73</v>
      </c>
      <c r="MH94" s="3129">
        <f t="shared" ca="1" si="181"/>
        <v>-1.73</v>
      </c>
      <c r="MI94" s="3131">
        <f t="shared" ca="1" si="182"/>
        <v>-1.73</v>
      </c>
      <c r="MJ94" s="3201"/>
      <c r="MK94" s="3206">
        <f t="shared" ca="1" si="183"/>
        <v>0</v>
      </c>
      <c r="ML94" s="3207">
        <f t="shared" ca="1" si="184"/>
        <v>0</v>
      </c>
      <c r="MM94" s="3207">
        <f t="shared" ca="1" si="185"/>
        <v>0</v>
      </c>
      <c r="MN94" s="3207">
        <f t="shared" ca="1" si="186"/>
        <v>0</v>
      </c>
      <c r="MO94" s="3208">
        <f t="shared" ca="1" si="187"/>
        <v>0</v>
      </c>
      <c r="MP94" s="3207">
        <f t="shared" ca="1" si="188"/>
        <v>0</v>
      </c>
      <c r="MQ94" s="3207">
        <f t="shared" ca="1" si="189"/>
        <v>0</v>
      </c>
      <c r="MR94" s="3207">
        <f t="shared" ca="1" si="190"/>
        <v>0</v>
      </c>
      <c r="MS94" s="3207">
        <f t="shared" ca="1" si="191"/>
        <v>0</v>
      </c>
      <c r="MT94" s="3209">
        <f t="shared" ca="1" si="192"/>
        <v>0</v>
      </c>
      <c r="MU94" s="1983"/>
      <c r="MV94" s="1975"/>
      <c r="MW94" s="1991"/>
      <c r="MX94" s="1931">
        <f t="shared" si="142"/>
        <v>0</v>
      </c>
      <c r="MY94" s="749"/>
      <c r="MZ94" s="1934">
        <f t="shared" si="143"/>
        <v>0</v>
      </c>
      <c r="NA94" s="1935"/>
      <c r="NB94" s="2652">
        <f t="shared" si="144"/>
        <v>0</v>
      </c>
      <c r="NC94" s="479"/>
      <c r="ND94" s="2749" t="str">
        <f t="shared" si="145"/>
        <v/>
      </c>
      <c r="NE94" s="2717"/>
      <c r="NF94" s="1975"/>
      <c r="NG94" s="1975"/>
      <c r="NH94" s="1975"/>
      <c r="NI94" s="1975"/>
    </row>
    <row r="95" spans="1:373" s="192" customFormat="1" ht="15.9" customHeight="1" x14ac:dyDescent="0.3">
      <c r="A95" s="200"/>
      <c r="B95" s="200"/>
      <c r="C95" s="200"/>
      <c r="D95" s="200"/>
      <c r="E95" s="200"/>
      <c r="F95" s="200"/>
      <c r="G95" s="200"/>
      <c r="H95" s="200"/>
      <c r="I95" s="200"/>
      <c r="J95" s="200"/>
      <c r="K95" s="200"/>
      <c r="L95" s="200"/>
      <c r="M95" s="200"/>
      <c r="N95" s="200"/>
      <c r="O95" s="200"/>
      <c r="P95" s="1539"/>
      <c r="Q95" s="1539"/>
      <c r="R95" s="198"/>
      <c r="S95" s="1539"/>
      <c r="T95" s="201"/>
      <c r="U95" s="200"/>
      <c r="V95" s="201">
        <f>MATCH($IC95,'3b Activity Plan'!$DJ$171:$FH$171,0)</f>
        <v>32</v>
      </c>
      <c r="W95" s="201">
        <f>IFERROR(INDEX('3b Activity Plan'!$DJ$6:$FH$6,V95),0)</f>
        <v>0</v>
      </c>
      <c r="X95" s="1768"/>
      <c r="Y95" s="1768">
        <f>IFERROR(INDEX('3b Activity Plan'!$DJ$7:$FH$7,V95),0)</f>
        <v>0</v>
      </c>
      <c r="Z95" s="201"/>
      <c r="AA95" s="201">
        <f>IFERROR(INDEX('3b Activity Plan'!$DJ$34:$FH$34,$V95),0)</f>
        <v>0</v>
      </c>
      <c r="AB95" s="201">
        <f>IFERROR(INDEX('3b Activity Plan'!$DJ$35:$FH$35,$V95),0)</f>
        <v>0</v>
      </c>
      <c r="AC95" s="201">
        <f>IFERROR(INDEX('3b Activity Plan'!$DJ$36:$FH$36,$V95),0)</f>
        <v>0</v>
      </c>
      <c r="AD95" s="201">
        <f>IFERROR(INDEX('3b Activity Plan'!$DJ$37:$FH$37,$V95),0)</f>
        <v>0</v>
      </c>
      <c r="AE95" s="201">
        <f>IFERROR(INDEX('3b Activity Plan'!$DJ$38:$FH$38,$V95),0)</f>
        <v>0</v>
      </c>
      <c r="AF95" s="201">
        <f>IFERROR(INDEX('3b Activity Plan'!$DJ$39:$FH$39,$V95),0)</f>
        <v>0</v>
      </c>
      <c r="AG95" s="201">
        <f>IFERROR(INDEX('3b Activity Plan'!$DJ$40:$FH$40,$V95),0)</f>
        <v>0</v>
      </c>
      <c r="AH95" s="201">
        <f>IFERROR(INDEX('3b Activity Plan'!$DJ$41:$FH$41,$V95),0)</f>
        <v>0</v>
      </c>
      <c r="AI95" s="201">
        <f>IFERROR(INDEX('3b Activity Plan'!$DJ$42:$FH$42,$V95),0)</f>
        <v>0</v>
      </c>
      <c r="AJ95" s="201">
        <f>IFERROR(INDEX('3b Activity Plan'!$DJ$43:$FH$43,$V95),0)</f>
        <v>0</v>
      </c>
      <c r="AK95" s="201"/>
      <c r="AL95" s="201">
        <f>SUMIFS('3a Staff Plan'!$AR$129:$AR$305,'3a Staff Plan'!$DY$129:$DY$305,$IA95,'3a Staff Plan'!$DF$129:$DF$305,1)</f>
        <v>0</v>
      </c>
      <c r="AM95" s="1768"/>
      <c r="AN95" s="1768">
        <f>SUMIFS('3a Staff Plan'!$AR$129:$AR$305,'3a Staff Plan'!$DY$129:$DY$305,$IA95,'3a Staff Plan'!$CV$129:$CV$305,1)</f>
        <v>0</v>
      </c>
      <c r="AO95" s="201"/>
      <c r="AP95" s="201">
        <f>SUMIFS('3a Staff Plan'!$AS$129:$AS$305,'3a Staff Plan'!$DY$129:$DY$305,$IA95,'3a Staff Plan'!$DF$129:$DF$305,1)</f>
        <v>0</v>
      </c>
      <c r="AQ95" s="201">
        <f>SUMIFS('3a Staff Plan'!$AT$129:$AT$305,'3a Staff Plan'!$DY$129:$DY$305,$IA95,'3a Staff Plan'!$DF$129:$DF$305,1)</f>
        <v>0</v>
      </c>
      <c r="AR95" s="201">
        <f>SUMIFS('3a Staff Plan'!$AU$129:$AU$305,'3a Staff Plan'!$DY$129:$DY$305,$IA95,'3a Staff Plan'!$DF$129:$DF$305,1)</f>
        <v>0</v>
      </c>
      <c r="AS95" s="201">
        <f>SUMIFS('3a Staff Plan'!$AV$129:$AV$305,'3a Staff Plan'!$DY$129:$DY$305,$IA95,'3a Staff Plan'!$DF$129:$DF$305,1)</f>
        <v>0</v>
      </c>
      <c r="AT95" s="201">
        <f>SUMIFS('3a Staff Plan'!$AW$129:$AW$305,'3a Staff Plan'!$DY$129:$DY$305,$IA95,'3a Staff Plan'!$DF$129:$DF$305,1)</f>
        <v>0</v>
      </c>
      <c r="AU95" s="201">
        <f>SUMIFS('3a Staff Plan'!$AX$129:$AX$305,'3a Staff Plan'!$DY$129:$DY$305,$IA95,'3a Staff Plan'!$DF$129:$DF$305,1)</f>
        <v>0</v>
      </c>
      <c r="AV95" s="201">
        <f>SUMIFS('3a Staff Plan'!$AY$129:$AY$305,'3a Staff Plan'!$DY$129:$DY$305,$IA95,'3a Staff Plan'!$DF$129:$DF$305,1)</f>
        <v>0</v>
      </c>
      <c r="AW95" s="201">
        <f>SUMIFS('3a Staff Plan'!$AZ$129:$AZ$305,'3a Staff Plan'!$DY$129:$DY$305,$IA95,'3a Staff Plan'!$DF$129:$DF$305,1)</f>
        <v>0</v>
      </c>
      <c r="AX95" s="201">
        <f>SUMIFS('3a Staff Plan'!$BA$129:$BA$305,'3a Staff Plan'!$DY$129:$DY$305,$IA95,'3a Staff Plan'!$DF$129:$DF$305,1)</f>
        <v>0</v>
      </c>
      <c r="AY95" s="201">
        <f>SUMIFS('3a Staff Plan'!$BB$129:$BB$305,'3a Staff Plan'!$DY$129:$DY$305,$IA95,'3a Staff Plan'!$DF$129:$DF$305,1)</f>
        <v>0</v>
      </c>
      <c r="AZ95" s="201"/>
      <c r="BA95" s="201">
        <f t="shared" si="198"/>
        <v>0</v>
      </c>
      <c r="BB95" s="1768"/>
      <c r="BC95" s="1768">
        <f t="shared" si="199"/>
        <v>0</v>
      </c>
      <c r="BD95" s="201"/>
      <c r="BE95" s="201">
        <f t="shared" si="200"/>
        <v>0</v>
      </c>
      <c r="BF95" s="201">
        <f t="shared" si="201"/>
        <v>0</v>
      </c>
      <c r="BG95" s="201">
        <f t="shared" si="202"/>
        <v>0</v>
      </c>
      <c r="BH95" s="201">
        <f t="shared" si="203"/>
        <v>0</v>
      </c>
      <c r="BI95" s="201">
        <f t="shared" si="204"/>
        <v>0</v>
      </c>
      <c r="BJ95" s="201">
        <f t="shared" si="205"/>
        <v>0</v>
      </c>
      <c r="BK95" s="201">
        <f t="shared" si="206"/>
        <v>0</v>
      </c>
      <c r="BL95" s="201">
        <f t="shared" si="207"/>
        <v>0</v>
      </c>
      <c r="BM95" s="201">
        <f t="shared" si="208"/>
        <v>0</v>
      </c>
      <c r="BN95" s="201">
        <f t="shared" si="209"/>
        <v>0</v>
      </c>
      <c r="BO95" s="201"/>
      <c r="BP95" s="1818">
        <f t="shared" si="146"/>
        <v>32</v>
      </c>
      <c r="BQ95" s="1818">
        <f>IFERROR(INDEX('3b Activity Plan'!$DJ$15:$FH$15,BP95),0)</f>
        <v>0</v>
      </c>
      <c r="BR95" s="1768"/>
      <c r="BS95" s="1768">
        <f>IFERROR(INDEX('3b Activity Plan'!$DJ$16:$FH$16,BP95),0)</f>
        <v>0</v>
      </c>
      <c r="BT95" s="201"/>
      <c r="BU95" s="201">
        <f>IFERROR(INDEX('3b Activity Plan'!$DJ$67:$FH$67,$V95),0)</f>
        <v>0</v>
      </c>
      <c r="BV95" s="201">
        <f>IFERROR(INDEX('3b Activity Plan'!$DJ$68:$FH$68,$V95),0)</f>
        <v>0</v>
      </c>
      <c r="BW95" s="201">
        <f>IFERROR(INDEX('3b Activity Plan'!$DJ$69:$FH$69,$V95),0)</f>
        <v>0</v>
      </c>
      <c r="BX95" s="201">
        <f>IFERROR(INDEX('3b Activity Plan'!$DJ$70:$FH$70,$V95),0)</f>
        <v>0</v>
      </c>
      <c r="BY95" s="201">
        <f>IFERROR(INDEX('3b Activity Plan'!$DJ$71:$FH$71,$V95),0)</f>
        <v>0</v>
      </c>
      <c r="BZ95" s="201">
        <f>IFERROR(INDEX('3b Activity Plan'!$DJ$72:$FH$72,$V95),0)</f>
        <v>0</v>
      </c>
      <c r="CA95" s="201">
        <f>IFERROR(INDEX('3b Activity Plan'!$DJ$73:$FH$73,$V95),0)</f>
        <v>0</v>
      </c>
      <c r="CB95" s="201">
        <f>IFERROR(INDEX('3b Activity Plan'!$DJ$74:$FH$74,$V95),0)</f>
        <v>0</v>
      </c>
      <c r="CC95" s="201">
        <f>IFERROR(INDEX('3b Activity Plan'!$DJ$75:$FH$75,$V95),0)</f>
        <v>0</v>
      </c>
      <c r="CD95" s="201">
        <f>IFERROR(INDEX('3b Activity Plan'!$DJ$76:$FH$76,$V95),0)</f>
        <v>0</v>
      </c>
      <c r="CE95" s="201"/>
      <c r="CF95" s="1818">
        <f>SUMIFS('3a Staff Plan'!$AR$129:$AR$305,'3a Staff Plan'!$DY$129:$DY$305,$IA95,'3a Staff Plan'!$AG$129:$AG$305,1,'3a Staff Plan'!$DF$129:$DF$305,1)</f>
        <v>0</v>
      </c>
      <c r="CG95" s="1768">
        <f>SUMIFS('3a Staff Plan'!$AR$129:$AR$305,'3a Staff Plan'!$DY$129:$DY$305,$IA95,'3a Staff Plan'!$AG$129:$AG$305,1,'3a Staff Plan'!$CX$129:$CX$305,1)</f>
        <v>0</v>
      </c>
      <c r="CH95" s="1768">
        <f>SUMIFS('3a Staff Plan'!$AR$129:$AR$305,'3a Staff Plan'!$DY$129:$DY$305,$IA95,'3a Staff Plan'!$AG$129:$AG$305,1,'3a Staff Plan'!$CV$129:$CV$305,1)</f>
        <v>0</v>
      </c>
      <c r="CI95" s="201"/>
      <c r="CJ95" s="201">
        <f>SUMIFS('3a Staff Plan'!$BX$129:$BX$305,'3a Staff Plan'!$DY$129:$DY$305,$IA95,'3a Staff Plan'!$DF$129:$DF$305,1,'3a Staff Plan'!$AG$129:$AG$305,1)</f>
        <v>0</v>
      </c>
      <c r="CK95" s="201">
        <f>SUMIFS('3a Staff Plan'!$BY$129:$BY$305,'3a Staff Plan'!$DY$129:$DY$305,$IA95,'3a Staff Plan'!$DF$129:$DF$305,1,'3a Staff Plan'!$AG$129:$AG$305,1)</f>
        <v>0</v>
      </c>
      <c r="CL95" s="201">
        <f>SUMIFS('3a Staff Plan'!$BZ$129:$BZ$305,'3a Staff Plan'!$DY$129:$DY$305,$IA95,'3a Staff Plan'!$DF$129:$DF$305,1,'3a Staff Plan'!$AG$129:$AG$305,1)</f>
        <v>0</v>
      </c>
      <c r="CM95" s="201">
        <f>SUMIFS('3a Staff Plan'!$CA$129:$CA$305,'3a Staff Plan'!$DY$129:$DY$305,$IA95,'3a Staff Plan'!$DF$129:$DF$305,1,'3a Staff Plan'!$AG$129:$AG$305,1)</f>
        <v>0</v>
      </c>
      <c r="CN95" s="201">
        <f>SUMIFS('3a Staff Plan'!$CB$129:$CB$305,'3a Staff Plan'!$DY$129:$DY$305,$IA95,'3a Staff Plan'!$DF$129:$DF$305,1,'3a Staff Plan'!$AG$129:$AG$305,1)</f>
        <v>0</v>
      </c>
      <c r="CO95" s="201">
        <f>SUMIFS('3a Staff Plan'!$CC$129:$CC$305,'3a Staff Plan'!$DY$129:$DY$305,$IA95,'3a Staff Plan'!$DF$129:$DF$305,1,'3a Staff Plan'!$AG$129:$AG$305,1)</f>
        <v>0</v>
      </c>
      <c r="CP95" s="201">
        <f>SUMIFS('3a Staff Plan'!$CD$129:$CD$305,'3a Staff Plan'!$DY$129:$DY$305,$IA95,'3a Staff Plan'!$DF$129:$DF$305,1,'3a Staff Plan'!$AG$129:$AG$305,1)</f>
        <v>0</v>
      </c>
      <c r="CQ95" s="201">
        <f>SUMIFS('3a Staff Plan'!$CE$129:$CE$305,'3a Staff Plan'!$DY$129:$DY$305,$IA95,'3a Staff Plan'!$DF$129:$DF$305,1,'3a Staff Plan'!$AG$129:$AG$305,1)</f>
        <v>0</v>
      </c>
      <c r="CR95" s="201">
        <f>SUMIFS('3a Staff Plan'!$CF$129:$CF$305,'3a Staff Plan'!$DY$129:$DY$305,$IA95,'3a Staff Plan'!$DF$129:$DF$305,1,'3a Staff Plan'!$AG$129:$AG$305,1)</f>
        <v>0</v>
      </c>
      <c r="CS95" s="201">
        <f>SUMIFS('3a Staff Plan'!$CG$129:$CG$305,'3a Staff Plan'!$DY$129:$DY$305,$IA95,'3a Staff Plan'!$DF$129:$DF$305,1,'3a Staff Plan'!$AG$129:$AG$305,1)</f>
        <v>0</v>
      </c>
      <c r="CT95" s="201"/>
      <c r="CU95" s="1818">
        <f t="shared" si="210"/>
        <v>0</v>
      </c>
      <c r="CV95" s="1768"/>
      <c r="CW95" s="1768">
        <f t="shared" si="211"/>
        <v>0</v>
      </c>
      <c r="CX95" s="201"/>
      <c r="CY95" s="201">
        <f t="shared" si="212"/>
        <v>0</v>
      </c>
      <c r="CZ95" s="201">
        <f t="shared" si="213"/>
        <v>0</v>
      </c>
      <c r="DA95" s="201">
        <f t="shared" si="214"/>
        <v>0</v>
      </c>
      <c r="DB95" s="201">
        <f t="shared" si="215"/>
        <v>0</v>
      </c>
      <c r="DC95" s="201">
        <f t="shared" si="216"/>
        <v>0</v>
      </c>
      <c r="DD95" s="201">
        <f t="shared" si="217"/>
        <v>0</v>
      </c>
      <c r="DE95" s="201">
        <f t="shared" si="218"/>
        <v>0</v>
      </c>
      <c r="DF95" s="201">
        <f t="shared" si="219"/>
        <v>0</v>
      </c>
      <c r="DG95" s="201">
        <f t="shared" si="220"/>
        <v>0</v>
      </c>
      <c r="DH95" s="201">
        <f t="shared" si="221"/>
        <v>0</v>
      </c>
      <c r="DI95" s="201"/>
      <c r="DJ95" s="201"/>
      <c r="DK95" s="201"/>
      <c r="DL95" s="201"/>
      <c r="DM95" s="372">
        <f t="shared" ca="1" si="37"/>
        <v>0</v>
      </c>
      <c r="DN95" s="1185">
        <f t="shared" si="38"/>
        <v>0</v>
      </c>
      <c r="DO95" s="1185">
        <f t="shared" si="39"/>
        <v>0</v>
      </c>
      <c r="DP95" s="201"/>
      <c r="DQ95" s="372">
        <f t="shared" ca="1" si="40"/>
        <v>0</v>
      </c>
      <c r="DR95" s="1185">
        <f t="shared" si="41"/>
        <v>0</v>
      </c>
      <c r="DS95" s="1185">
        <f t="shared" si="42"/>
        <v>0</v>
      </c>
      <c r="DT95" s="201"/>
      <c r="DU95" s="372">
        <f t="shared" ca="1" si="222"/>
        <v>0</v>
      </c>
      <c r="DV95" s="372">
        <f t="shared" si="223"/>
        <v>0</v>
      </c>
      <c r="DW95" s="372">
        <f t="shared" si="223"/>
        <v>0</v>
      </c>
      <c r="DX95" s="201"/>
      <c r="DY95" s="372">
        <f t="shared" si="44"/>
        <v>0</v>
      </c>
      <c r="DZ95" s="372">
        <f t="shared" ca="1" si="45"/>
        <v>0</v>
      </c>
      <c r="EA95" s="201"/>
      <c r="EB95" s="2776">
        <f>IF(EO95=$EO$53,1,IFERROR(INDEX('Currency Data'!$L$8:$L$41,MATCH(EO95,'Currency Data'!$H$8:$H$41,0)),1))</f>
        <v>1</v>
      </c>
      <c r="EC95" s="2776">
        <f t="shared" si="147"/>
        <v>1</v>
      </c>
      <c r="ED95" s="428">
        <f>IF(GQ95=1,'1 Setup'!$T$68,IF(ISBLANK(IJ95),II95/EC95*IF(GL95=1,$ED$53,1),IJ95/EC95)*IF($EW95=7,JW95,1))</f>
        <v>0</v>
      </c>
      <c r="EE95" s="428">
        <f t="shared" si="46"/>
        <v>0</v>
      </c>
      <c r="EF95" s="428"/>
      <c r="EG95" s="1965" t="str">
        <f t="shared" si="148"/>
        <v>031500 - Highways UK</v>
      </c>
      <c r="EH95" s="201">
        <f t="shared" si="149"/>
        <v>1</v>
      </c>
      <c r="EI95" s="445" t="str">
        <f>IF(EH95=1,$EI$53,IF(GQ95=1,$GQ$55,IFERROR(IF($EG95=$EG$53,$EI$53,INDEX('PU List'!$G$6:$G$413,MATCH($EG95,'PU List'!$D$6:$D$413,0))),$EI$53)))</f>
        <v>GB - BIAF</v>
      </c>
      <c r="EJ95" s="2773" t="str">
        <f t="shared" si="150"/>
        <v>GB - BIAF</v>
      </c>
      <c r="EK95" s="1768"/>
      <c r="EL95" s="3283">
        <f>IF(OR(EW95&gt;7,$EL$53=0),0,IF(EJ95=$EI$53,$EL$53,IFERROR(INDEX('Fringe Data'!$U$8:$U$129,MATCH($EJ95,'Fringe Data'!$F$8:$F$129,0)),0)))</f>
        <v>1.73</v>
      </c>
      <c r="EM95" s="372">
        <f t="shared" si="47"/>
        <v>0</v>
      </c>
      <c r="EN95" s="201" t="str">
        <f>IFERROR(INDEX('Fringe Data'!$G$8:$G$64,MATCH($EJ95,'Fringe Data'!$F$8:$F$64,0)),$EO$53)</f>
        <v>GBP</v>
      </c>
      <c r="EO95" s="201" t="str">
        <f t="shared" si="151"/>
        <v>GBP</v>
      </c>
      <c r="EP95" s="201">
        <f>IF(EI95=$EI$53,$EP$49,IF(GP95=1,0,IFERROR(INDEX('Fringe Data'!$K$8:$K$64,MATCH($EI95,'Fringe Data'!$F$8:$F$64,0)),0)))</f>
        <v>0.52</v>
      </c>
      <c r="EQ95" s="201">
        <f>IF(EI95=$EI$53,$EQ$49,IF(GP95=1,0,IFERROR(INDEX('Fringe Data'!$L$8:$L$64,MATCH($EI95,'Fringe Data'!$F$8:$F$64,0)),0)))</f>
        <v>1.8499999999999999E-2</v>
      </c>
      <c r="ER95" s="201">
        <f>IF(EI95=$EI$53,$ER$49,IF(GP95=1,0,IFERROR(INDEX('Fringe Data'!$M$8:$M$64,MATCH($EI95,'Fringe Data'!$F$8:$F$64,0)),0)))</f>
        <v>0.43430000000000002</v>
      </c>
      <c r="ES95" s="201">
        <f>IF(EI95=$EI$53,$ES$49,IF(GP95=1,0,IFERROR(INDEX('Fringe Data'!$N$8:$N$64,MATCH($EI95,'Fringe Data'!$F$8:$F$64,0)),0)))</f>
        <v>0.1565</v>
      </c>
      <c r="ET95" s="201">
        <f>IF(EI95=$EI$53,$ET$49,IF(GP95=1,0,IFERROR(INDEX('Fringe Data'!$O$8:$O$64,MATCH($EI95,'Fringe Data'!$F$8:$F$64,0)),0)))</f>
        <v>0.33450000000000002</v>
      </c>
      <c r="EU95" s="263">
        <f>IF(EI95=$EI$53,$EU$49,IF(GP95=1,0,IFERROR(INDEX('Fringe Data'!$P$8:$P$64,MATCH($EI95,'Fringe Data'!$F$8:$F$64,0)),0)))</f>
        <v>0.1565</v>
      </c>
      <c r="EV95" s="201"/>
      <c r="EW95" s="1530">
        <f t="shared" si="48"/>
        <v>1</v>
      </c>
      <c r="EX95" s="1534">
        <f t="shared" si="152"/>
        <v>0.52</v>
      </c>
      <c r="EY95" s="321">
        <f t="shared" si="153"/>
        <v>0</v>
      </c>
      <c r="EZ95" s="201">
        <f t="shared" si="154"/>
        <v>0</v>
      </c>
      <c r="FA95" s="372">
        <f t="shared" si="49"/>
        <v>0</v>
      </c>
      <c r="FB95" s="372">
        <f t="shared" si="50"/>
        <v>0</v>
      </c>
      <c r="FC95" s="201">
        <f t="shared" ca="1" si="155"/>
        <v>0</v>
      </c>
      <c r="FD95" s="423">
        <f t="shared" si="51"/>
        <v>0</v>
      </c>
      <c r="FE95" s="423">
        <f t="shared" si="52"/>
        <v>0</v>
      </c>
      <c r="FF95" s="201">
        <f t="shared" si="156"/>
        <v>0</v>
      </c>
      <c r="FG95" s="425">
        <f>IF(OR($FJ$52=3,$FJ$52=4,$FJ$52=5),'1 Setup'!$W$96,0)</f>
        <v>0</v>
      </c>
      <c r="FH95" s="428">
        <f>IF($FJ$52=5,'1 Setup'!$W$98,IF($FJ$52=6,'1 Setup'!$S$86,0))</f>
        <v>0</v>
      </c>
      <c r="FI95" s="321">
        <f t="shared" ca="1" si="53"/>
        <v>0</v>
      </c>
      <c r="FJ95" s="263">
        <f t="shared" ca="1" si="157"/>
        <v>0</v>
      </c>
      <c r="FK95" s="372">
        <f t="shared" ca="1" si="54"/>
        <v>0</v>
      </c>
      <c r="FL95" s="372">
        <f t="shared" si="55"/>
        <v>0</v>
      </c>
      <c r="FM95" s="372">
        <f t="shared" si="56"/>
        <v>0</v>
      </c>
      <c r="FN95" s="2036">
        <f t="shared" ca="1" si="57"/>
        <v>0</v>
      </c>
      <c r="FO95" s="372">
        <f t="shared" ca="1" si="224"/>
        <v>0</v>
      </c>
      <c r="FP95" s="2723">
        <f t="shared" si="158"/>
        <v>0</v>
      </c>
      <c r="FQ95" s="372">
        <f t="shared" si="59"/>
        <v>0</v>
      </c>
      <c r="FR95" s="372">
        <f t="shared" si="159"/>
        <v>0</v>
      </c>
      <c r="FS95" s="1168"/>
      <c r="FT95" s="1168">
        <f t="shared" si="60"/>
        <v>0</v>
      </c>
      <c r="FU95" s="1168">
        <f t="shared" si="61"/>
        <v>0</v>
      </c>
      <c r="FV95" s="1168">
        <f t="shared" si="62"/>
        <v>0</v>
      </c>
      <c r="FW95" s="1168">
        <f t="shared" si="63"/>
        <v>0</v>
      </c>
      <c r="FX95" s="1168">
        <f t="shared" si="64"/>
        <v>0</v>
      </c>
      <c r="FY95" s="1168">
        <f t="shared" si="65"/>
        <v>0</v>
      </c>
      <c r="FZ95" s="1168">
        <f t="shared" si="66"/>
        <v>0</v>
      </c>
      <c r="GA95" s="1168">
        <f t="shared" si="67"/>
        <v>0</v>
      </c>
      <c r="GB95" s="1168">
        <f t="shared" si="68"/>
        <v>0</v>
      </c>
      <c r="GC95" s="1168">
        <f t="shared" si="69"/>
        <v>0</v>
      </c>
      <c r="GD95" s="1168"/>
      <c r="GE95" s="199"/>
      <c r="GF95" s="201">
        <f t="shared" si="70"/>
        <v>0</v>
      </c>
      <c r="GG95" s="201">
        <f t="shared" si="71"/>
        <v>0</v>
      </c>
      <c r="GH95" s="201">
        <f t="shared" si="72"/>
        <v>0</v>
      </c>
      <c r="GI95" s="201">
        <f t="shared" ca="1" si="160"/>
        <v>0</v>
      </c>
      <c r="GJ95" s="201">
        <f t="shared" si="73"/>
        <v>0</v>
      </c>
      <c r="GK95" s="201">
        <f t="shared" si="74"/>
        <v>0</v>
      </c>
      <c r="GL95" s="201">
        <f t="shared" si="75"/>
        <v>1</v>
      </c>
      <c r="GM95" s="201">
        <f t="shared" si="76"/>
        <v>1</v>
      </c>
      <c r="GN95" s="201"/>
      <c r="GO95" s="201"/>
      <c r="GP95" s="201">
        <f t="shared" si="77"/>
        <v>0</v>
      </c>
      <c r="GQ95" s="201">
        <f t="shared" si="78"/>
        <v>0</v>
      </c>
      <c r="GR95" s="201">
        <f t="shared" si="161"/>
        <v>0</v>
      </c>
      <c r="GS95" s="1768"/>
      <c r="GT95" s="201">
        <f t="shared" si="79"/>
        <v>1</v>
      </c>
      <c r="GU95" s="201">
        <f t="shared" si="193"/>
        <v>32</v>
      </c>
      <c r="GV95" s="201">
        <f t="shared" si="80"/>
        <v>0</v>
      </c>
      <c r="GW95" s="201">
        <f t="shared" si="81"/>
        <v>3</v>
      </c>
      <c r="GX95" s="201">
        <f t="shared" si="162"/>
        <v>0</v>
      </c>
      <c r="GY95" s="1998"/>
      <c r="GZ95" s="253"/>
      <c r="HA95" s="195">
        <f t="shared" si="163"/>
        <v>0</v>
      </c>
      <c r="HB95" s="3558">
        <f t="shared" si="82"/>
        <v>0</v>
      </c>
      <c r="HC95" s="3590"/>
      <c r="HD95" s="257" t="str">
        <f t="shared" si="83"/>
        <v/>
      </c>
      <c r="HE95" s="825">
        <f t="shared" si="84"/>
        <v>0</v>
      </c>
      <c r="HF95" s="506" t="s">
        <v>5</v>
      </c>
      <c r="HG95" s="508">
        <f t="shared" ca="1" si="85"/>
        <v>0</v>
      </c>
      <c r="HH95" s="3585">
        <f t="shared" si="86"/>
        <v>0</v>
      </c>
      <c r="HI95" s="3586"/>
      <c r="HJ95" s="504">
        <f t="shared" ca="1" si="225"/>
        <v>0</v>
      </c>
      <c r="HK95" s="456">
        <f t="shared" ca="1" si="226"/>
        <v>0</v>
      </c>
      <c r="HL95" s="3591">
        <f t="shared" ca="1" si="227"/>
        <v>0</v>
      </c>
      <c r="HM95" s="3592"/>
      <c r="HN95" s="240"/>
      <c r="HO95" s="1998"/>
      <c r="HP95" s="1991"/>
      <c r="HQ95" s="2770" t="str">
        <f t="shared" si="90"/>
        <v>GB - BIAF</v>
      </c>
      <c r="HR95" s="2770" t="str">
        <f t="shared" si="91"/>
        <v>GBP</v>
      </c>
      <c r="HS95" s="2771">
        <f t="shared" si="92"/>
        <v>1</v>
      </c>
      <c r="HT95" s="3623"/>
      <c r="HU95" s="2771">
        <f t="shared" si="93"/>
        <v>1.73</v>
      </c>
      <c r="HW95" s="1218"/>
      <c r="HX95" s="520"/>
      <c r="HY95" s="2523"/>
      <c r="HZ95" s="194"/>
      <c r="IA95" s="1013"/>
      <c r="IB95" s="193"/>
      <c r="IC95" s="3276">
        <v>32</v>
      </c>
      <c r="ID95" s="986"/>
      <c r="IE95" s="938">
        <f t="shared" si="164"/>
        <v>0</v>
      </c>
      <c r="IF95" s="938">
        <f t="shared" si="165"/>
        <v>0</v>
      </c>
      <c r="IG95" s="432"/>
      <c r="II95" s="405"/>
      <c r="IJ95" s="239"/>
      <c r="IK95" s="2774" t="str">
        <f t="shared" si="166"/>
        <v>GBP</v>
      </c>
      <c r="IL95" s="2148"/>
      <c r="IM95" s="1936">
        <f t="shared" si="94"/>
        <v>0</v>
      </c>
      <c r="IO95" s="1959" t="str">
        <f t="shared" si="95"/>
        <v/>
      </c>
      <c r="IP95" s="1958"/>
      <c r="IQ95" s="543">
        <f t="shared" si="96"/>
        <v>0.52</v>
      </c>
      <c r="IR95" s="1936">
        <f t="shared" si="97"/>
        <v>0</v>
      </c>
      <c r="IT95" s="1364"/>
      <c r="IU95" s="210"/>
      <c r="IV95" s="218"/>
      <c r="IW95" s="1938">
        <f ca="1">IF(NOT(ISBLANK(IU95)),IU95,IF('1 Setup'!$G$8&lt;7,JK95,FJ95))+KA95</f>
        <v>0</v>
      </c>
      <c r="IX95" s="409">
        <f t="shared" si="98"/>
        <v>0</v>
      </c>
      <c r="IY95" s="408">
        <f t="shared" si="99"/>
        <v>0</v>
      </c>
      <c r="IZ95" s="1983"/>
      <c r="JA95" s="1994"/>
      <c r="JB95" s="1991"/>
      <c r="JD95" s="2029">
        <f t="shared" si="167"/>
        <v>0</v>
      </c>
      <c r="JE95" s="479"/>
      <c r="JF95" s="2025">
        <f t="shared" si="100"/>
        <v>0</v>
      </c>
      <c r="JG95" s="429">
        <f t="shared" si="101"/>
        <v>0</v>
      </c>
      <c r="JH95" s="1667">
        <f t="shared" si="102"/>
        <v>0</v>
      </c>
      <c r="JJ95" s="1163">
        <f t="shared" ca="1" si="103"/>
        <v>0</v>
      </c>
      <c r="JK95" s="1163">
        <f t="shared" ca="1" si="104"/>
        <v>0</v>
      </c>
      <c r="JL95" s="1795"/>
      <c r="JN95" s="2505"/>
      <c r="JO95" s="1161"/>
      <c r="JP95" s="571">
        <f t="shared" ca="1" si="105"/>
        <v>0</v>
      </c>
      <c r="JQ95" s="2506"/>
      <c r="JR95" s="1953"/>
      <c r="JS95" s="2650"/>
      <c r="JT95" s="2507"/>
      <c r="JU95" s="1964">
        <f t="shared" si="106"/>
        <v>0.33450000000000002</v>
      </c>
      <c r="JV95" s="3199"/>
      <c r="JW95" s="2649">
        <f t="shared" si="107"/>
        <v>1.5</v>
      </c>
      <c r="JX95" s="1964">
        <f t="shared" si="168"/>
        <v>0.1565</v>
      </c>
      <c r="JY95" s="3199"/>
      <c r="JZ95" s="2649">
        <f t="shared" si="169"/>
        <v>0</v>
      </c>
      <c r="KA95" s="2649">
        <f t="shared" si="170"/>
        <v>0</v>
      </c>
      <c r="KB95" s="2649" t="s">
        <v>111</v>
      </c>
      <c r="KC95" s="1983"/>
      <c r="KD95" s="1974"/>
      <c r="KE95" s="1991"/>
      <c r="KF95" s="2029">
        <f t="shared" si="171"/>
        <v>0</v>
      </c>
      <c r="KG95" s="1991"/>
      <c r="KH95" s="2121">
        <f t="shared" si="108"/>
        <v>0</v>
      </c>
      <c r="KI95" s="2130">
        <f t="shared" si="109"/>
        <v>0</v>
      </c>
      <c r="KJ95" s="2130">
        <f t="shared" si="110"/>
        <v>0</v>
      </c>
      <c r="KK95" s="2130">
        <f t="shared" si="111"/>
        <v>0</v>
      </c>
      <c r="KL95" s="2131">
        <f t="shared" si="112"/>
        <v>0</v>
      </c>
      <c r="KM95" s="2132">
        <f t="shared" si="113"/>
        <v>0</v>
      </c>
      <c r="KN95" s="2132">
        <f t="shared" si="114"/>
        <v>0</v>
      </c>
      <c r="KO95" s="2132">
        <f t="shared" si="115"/>
        <v>0</v>
      </c>
      <c r="KP95" s="2132">
        <f t="shared" si="116"/>
        <v>0</v>
      </c>
      <c r="KQ95" s="2133">
        <f t="shared" si="117"/>
        <v>0</v>
      </c>
      <c r="KS95" s="2253">
        <f t="shared" si="118"/>
        <v>0</v>
      </c>
      <c r="KT95" s="2270">
        <f t="shared" ref="KT95:LB95" si="282">KS95*(1+(KT$60))</f>
        <v>0</v>
      </c>
      <c r="KU95" s="2271">
        <f t="shared" si="282"/>
        <v>0</v>
      </c>
      <c r="KV95" s="2271">
        <f t="shared" si="282"/>
        <v>0</v>
      </c>
      <c r="KW95" s="2272">
        <f t="shared" si="282"/>
        <v>0</v>
      </c>
      <c r="KX95" s="2271">
        <f t="shared" si="282"/>
        <v>0</v>
      </c>
      <c r="KY95" s="2271">
        <f t="shared" si="282"/>
        <v>0</v>
      </c>
      <c r="KZ95" s="2271">
        <f t="shared" si="282"/>
        <v>0</v>
      </c>
      <c r="LA95" s="2271">
        <f t="shared" si="282"/>
        <v>0</v>
      </c>
      <c r="LB95" s="2273">
        <f t="shared" si="282"/>
        <v>0</v>
      </c>
      <c r="LC95" s="272"/>
      <c r="LD95" s="2124">
        <f t="shared" si="120"/>
        <v>0</v>
      </c>
      <c r="LE95" s="2093">
        <f t="shared" si="121"/>
        <v>0</v>
      </c>
      <c r="LF95" s="2093">
        <f t="shared" si="122"/>
        <v>0</v>
      </c>
      <c r="LG95" s="2093">
        <f t="shared" si="123"/>
        <v>0</v>
      </c>
      <c r="LH95" s="2094">
        <f t="shared" si="124"/>
        <v>0</v>
      </c>
      <c r="LI95" s="2095">
        <f t="shared" si="125"/>
        <v>0</v>
      </c>
      <c r="LJ95" s="2095">
        <f t="shared" si="126"/>
        <v>0</v>
      </c>
      <c r="LK95" s="2095">
        <f t="shared" si="127"/>
        <v>0</v>
      </c>
      <c r="LL95" s="2095">
        <f t="shared" si="128"/>
        <v>0</v>
      </c>
      <c r="LM95" s="2096">
        <f t="shared" si="129"/>
        <v>0</v>
      </c>
      <c r="LN95" s="749"/>
      <c r="LO95" s="2256">
        <f t="shared" ca="1" si="130"/>
        <v>0</v>
      </c>
      <c r="LP95" s="2270">
        <f t="shared" ca="1" si="131"/>
        <v>0</v>
      </c>
      <c r="LQ95" s="2271">
        <f t="shared" ca="1" si="132"/>
        <v>0</v>
      </c>
      <c r="LR95" s="2271">
        <f t="shared" ca="1" si="133"/>
        <v>0</v>
      </c>
      <c r="LS95" s="2272">
        <f t="shared" ca="1" si="134"/>
        <v>0</v>
      </c>
      <c r="LT95" s="2271">
        <f t="shared" ca="1" si="135"/>
        <v>0</v>
      </c>
      <c r="LU95" s="2271">
        <f t="shared" ca="1" si="136"/>
        <v>0</v>
      </c>
      <c r="LV95" s="2271">
        <f t="shared" ca="1" si="137"/>
        <v>0</v>
      </c>
      <c r="LW95" s="2271">
        <f t="shared" ca="1" si="138"/>
        <v>0</v>
      </c>
      <c r="LX95" s="2273">
        <f t="shared" ca="1" si="139"/>
        <v>0</v>
      </c>
      <c r="LY95" s="479"/>
      <c r="LZ95" s="3128">
        <f t="shared" ca="1" si="173"/>
        <v>-1.73</v>
      </c>
      <c r="MA95" s="3129">
        <f t="shared" ca="1" si="174"/>
        <v>-1.73</v>
      </c>
      <c r="MB95" s="3129">
        <f t="shared" ca="1" si="175"/>
        <v>-1.73</v>
      </c>
      <c r="MC95" s="3129">
        <f t="shared" ca="1" si="176"/>
        <v>-1.73</v>
      </c>
      <c r="MD95" s="3130">
        <f t="shared" ca="1" si="177"/>
        <v>-1.73</v>
      </c>
      <c r="ME95" s="3129">
        <f t="shared" ca="1" si="178"/>
        <v>-1.73</v>
      </c>
      <c r="MF95" s="3129">
        <f t="shared" ca="1" si="179"/>
        <v>-1.73</v>
      </c>
      <c r="MG95" s="3129">
        <f t="shared" ca="1" si="180"/>
        <v>-1.73</v>
      </c>
      <c r="MH95" s="3129">
        <f t="shared" ca="1" si="181"/>
        <v>-1.73</v>
      </c>
      <c r="MI95" s="3131">
        <f t="shared" ca="1" si="182"/>
        <v>-1.73</v>
      </c>
      <c r="MJ95" s="3201"/>
      <c r="MK95" s="3206">
        <f t="shared" ca="1" si="183"/>
        <v>0</v>
      </c>
      <c r="ML95" s="3207">
        <f t="shared" ca="1" si="184"/>
        <v>0</v>
      </c>
      <c r="MM95" s="3207">
        <f t="shared" ca="1" si="185"/>
        <v>0</v>
      </c>
      <c r="MN95" s="3207">
        <f t="shared" ca="1" si="186"/>
        <v>0</v>
      </c>
      <c r="MO95" s="3208">
        <f t="shared" ca="1" si="187"/>
        <v>0</v>
      </c>
      <c r="MP95" s="3207">
        <f t="shared" ca="1" si="188"/>
        <v>0</v>
      </c>
      <c r="MQ95" s="3207">
        <f t="shared" ca="1" si="189"/>
        <v>0</v>
      </c>
      <c r="MR95" s="3207">
        <f t="shared" ca="1" si="190"/>
        <v>0</v>
      </c>
      <c r="MS95" s="3207">
        <f t="shared" ca="1" si="191"/>
        <v>0</v>
      </c>
      <c r="MT95" s="3209">
        <f t="shared" ca="1" si="192"/>
        <v>0</v>
      </c>
      <c r="MU95" s="1983"/>
      <c r="MV95" s="1975"/>
      <c r="MW95" s="1991"/>
      <c r="MX95" s="1931">
        <f t="shared" si="142"/>
        <v>0</v>
      </c>
      <c r="MY95" s="749"/>
      <c r="MZ95" s="1934">
        <f t="shared" si="143"/>
        <v>0</v>
      </c>
      <c r="NA95" s="1935"/>
      <c r="NB95" s="2652">
        <f t="shared" si="144"/>
        <v>0</v>
      </c>
      <c r="NC95" s="479"/>
      <c r="ND95" s="2749" t="str">
        <f t="shared" si="145"/>
        <v/>
      </c>
      <c r="NE95" s="2717"/>
      <c r="NF95" s="1975"/>
      <c r="NG95" s="1975"/>
      <c r="NH95" s="1975"/>
      <c r="NI95" s="1975"/>
    </row>
    <row r="96" spans="1:373" s="192" customFormat="1" ht="15.9" customHeight="1" x14ac:dyDescent="0.3">
      <c r="A96" s="200"/>
      <c r="B96" s="200"/>
      <c r="C96" s="200"/>
      <c r="D96" s="200"/>
      <c r="E96" s="200"/>
      <c r="F96" s="200"/>
      <c r="G96" s="200"/>
      <c r="H96" s="200"/>
      <c r="I96" s="200"/>
      <c r="J96" s="200"/>
      <c r="K96" s="200"/>
      <c r="L96" s="200"/>
      <c r="M96" s="200"/>
      <c r="N96" s="200"/>
      <c r="O96" s="200"/>
      <c r="P96" s="1539"/>
      <c r="Q96" s="1539"/>
      <c r="R96" s="198"/>
      <c r="S96" s="1539"/>
      <c r="T96" s="201"/>
      <c r="U96" s="200"/>
      <c r="V96" s="201">
        <f>MATCH($IC96,'3b Activity Plan'!$DJ$171:$FH$171,0)</f>
        <v>33</v>
      </c>
      <c r="W96" s="201">
        <f>IFERROR(INDEX('3b Activity Plan'!$DJ$6:$FH$6,V96),0)</f>
        <v>0</v>
      </c>
      <c r="X96" s="1768"/>
      <c r="Y96" s="1768">
        <f>IFERROR(INDEX('3b Activity Plan'!$DJ$7:$FH$7,V96),0)</f>
        <v>0</v>
      </c>
      <c r="Z96" s="201"/>
      <c r="AA96" s="201">
        <f>IFERROR(INDEX('3b Activity Plan'!$DJ$34:$FH$34,$V96),0)</f>
        <v>0</v>
      </c>
      <c r="AB96" s="201">
        <f>IFERROR(INDEX('3b Activity Plan'!$DJ$35:$FH$35,$V96),0)</f>
        <v>0</v>
      </c>
      <c r="AC96" s="201">
        <f>IFERROR(INDEX('3b Activity Plan'!$DJ$36:$FH$36,$V96),0)</f>
        <v>0</v>
      </c>
      <c r="AD96" s="201">
        <f>IFERROR(INDEX('3b Activity Plan'!$DJ$37:$FH$37,$V96),0)</f>
        <v>0</v>
      </c>
      <c r="AE96" s="201">
        <f>IFERROR(INDEX('3b Activity Plan'!$DJ$38:$FH$38,$V96),0)</f>
        <v>0</v>
      </c>
      <c r="AF96" s="201">
        <f>IFERROR(INDEX('3b Activity Plan'!$DJ$39:$FH$39,$V96),0)</f>
        <v>0</v>
      </c>
      <c r="AG96" s="201">
        <f>IFERROR(INDEX('3b Activity Plan'!$DJ$40:$FH$40,$V96),0)</f>
        <v>0</v>
      </c>
      <c r="AH96" s="201">
        <f>IFERROR(INDEX('3b Activity Plan'!$DJ$41:$FH$41,$V96),0)</f>
        <v>0</v>
      </c>
      <c r="AI96" s="201">
        <f>IFERROR(INDEX('3b Activity Plan'!$DJ$42:$FH$42,$V96),0)</f>
        <v>0</v>
      </c>
      <c r="AJ96" s="201">
        <f>IFERROR(INDEX('3b Activity Plan'!$DJ$43:$FH$43,$V96),0)</f>
        <v>0</v>
      </c>
      <c r="AK96" s="201"/>
      <c r="AL96" s="201">
        <f>SUMIFS('3a Staff Plan'!$AR$129:$AR$305,'3a Staff Plan'!$DY$129:$DY$305,$IA96,'3a Staff Plan'!$DF$129:$DF$305,1)</f>
        <v>0</v>
      </c>
      <c r="AM96" s="1768"/>
      <c r="AN96" s="1768">
        <f>SUMIFS('3a Staff Plan'!$AR$129:$AR$305,'3a Staff Plan'!$DY$129:$DY$305,$IA96,'3a Staff Plan'!$CV$129:$CV$305,1)</f>
        <v>0</v>
      </c>
      <c r="AO96" s="201"/>
      <c r="AP96" s="201">
        <f>SUMIFS('3a Staff Plan'!$AS$129:$AS$305,'3a Staff Plan'!$DY$129:$DY$305,$IA96,'3a Staff Plan'!$DF$129:$DF$305,1)</f>
        <v>0</v>
      </c>
      <c r="AQ96" s="201">
        <f>SUMIFS('3a Staff Plan'!$AT$129:$AT$305,'3a Staff Plan'!$DY$129:$DY$305,$IA96,'3a Staff Plan'!$DF$129:$DF$305,1)</f>
        <v>0</v>
      </c>
      <c r="AR96" s="201">
        <f>SUMIFS('3a Staff Plan'!$AU$129:$AU$305,'3a Staff Plan'!$DY$129:$DY$305,$IA96,'3a Staff Plan'!$DF$129:$DF$305,1)</f>
        <v>0</v>
      </c>
      <c r="AS96" s="201">
        <f>SUMIFS('3a Staff Plan'!$AV$129:$AV$305,'3a Staff Plan'!$DY$129:$DY$305,$IA96,'3a Staff Plan'!$DF$129:$DF$305,1)</f>
        <v>0</v>
      </c>
      <c r="AT96" s="201">
        <f>SUMIFS('3a Staff Plan'!$AW$129:$AW$305,'3a Staff Plan'!$DY$129:$DY$305,$IA96,'3a Staff Plan'!$DF$129:$DF$305,1)</f>
        <v>0</v>
      </c>
      <c r="AU96" s="201">
        <f>SUMIFS('3a Staff Plan'!$AX$129:$AX$305,'3a Staff Plan'!$DY$129:$DY$305,$IA96,'3a Staff Plan'!$DF$129:$DF$305,1)</f>
        <v>0</v>
      </c>
      <c r="AV96" s="201">
        <f>SUMIFS('3a Staff Plan'!$AY$129:$AY$305,'3a Staff Plan'!$DY$129:$DY$305,$IA96,'3a Staff Plan'!$DF$129:$DF$305,1)</f>
        <v>0</v>
      </c>
      <c r="AW96" s="201">
        <f>SUMIFS('3a Staff Plan'!$AZ$129:$AZ$305,'3a Staff Plan'!$DY$129:$DY$305,$IA96,'3a Staff Plan'!$DF$129:$DF$305,1)</f>
        <v>0</v>
      </c>
      <c r="AX96" s="201">
        <f>SUMIFS('3a Staff Plan'!$BA$129:$BA$305,'3a Staff Plan'!$DY$129:$DY$305,$IA96,'3a Staff Plan'!$DF$129:$DF$305,1)</f>
        <v>0</v>
      </c>
      <c r="AY96" s="201">
        <f>SUMIFS('3a Staff Plan'!$BB$129:$BB$305,'3a Staff Plan'!$DY$129:$DY$305,$IA96,'3a Staff Plan'!$DF$129:$DF$305,1)</f>
        <v>0</v>
      </c>
      <c r="AZ96" s="201"/>
      <c r="BA96" s="201">
        <f t="shared" si="198"/>
        <v>0</v>
      </c>
      <c r="BB96" s="1768"/>
      <c r="BC96" s="1768">
        <f t="shared" si="199"/>
        <v>0</v>
      </c>
      <c r="BD96" s="201"/>
      <c r="BE96" s="201">
        <f t="shared" si="200"/>
        <v>0</v>
      </c>
      <c r="BF96" s="201">
        <f t="shared" si="201"/>
        <v>0</v>
      </c>
      <c r="BG96" s="201">
        <f t="shared" si="202"/>
        <v>0</v>
      </c>
      <c r="BH96" s="201">
        <f t="shared" si="203"/>
        <v>0</v>
      </c>
      <c r="BI96" s="201">
        <f t="shared" si="204"/>
        <v>0</v>
      </c>
      <c r="BJ96" s="201">
        <f t="shared" si="205"/>
        <v>0</v>
      </c>
      <c r="BK96" s="201">
        <f t="shared" si="206"/>
        <v>0</v>
      </c>
      <c r="BL96" s="201">
        <f t="shared" si="207"/>
        <v>0</v>
      </c>
      <c r="BM96" s="201">
        <f t="shared" si="208"/>
        <v>0</v>
      </c>
      <c r="BN96" s="201">
        <f t="shared" si="209"/>
        <v>0</v>
      </c>
      <c r="BO96" s="201"/>
      <c r="BP96" s="1818">
        <f t="shared" si="146"/>
        <v>33</v>
      </c>
      <c r="BQ96" s="1818">
        <f>IFERROR(INDEX('3b Activity Plan'!$DJ$15:$FH$15,BP96),0)</f>
        <v>0</v>
      </c>
      <c r="BR96" s="1768"/>
      <c r="BS96" s="1768">
        <f>IFERROR(INDEX('3b Activity Plan'!$DJ$16:$FH$16,BP96),0)</f>
        <v>0</v>
      </c>
      <c r="BT96" s="201"/>
      <c r="BU96" s="201">
        <f>IFERROR(INDEX('3b Activity Plan'!$DJ$67:$FH$67,$V96),0)</f>
        <v>0</v>
      </c>
      <c r="BV96" s="201">
        <f>IFERROR(INDEX('3b Activity Plan'!$DJ$68:$FH$68,$V96),0)</f>
        <v>0</v>
      </c>
      <c r="BW96" s="201">
        <f>IFERROR(INDEX('3b Activity Plan'!$DJ$69:$FH$69,$V96),0)</f>
        <v>0</v>
      </c>
      <c r="BX96" s="201">
        <f>IFERROR(INDEX('3b Activity Plan'!$DJ$70:$FH$70,$V96),0)</f>
        <v>0</v>
      </c>
      <c r="BY96" s="201">
        <f>IFERROR(INDEX('3b Activity Plan'!$DJ$71:$FH$71,$V96),0)</f>
        <v>0</v>
      </c>
      <c r="BZ96" s="201">
        <f>IFERROR(INDEX('3b Activity Plan'!$DJ$72:$FH$72,$V96),0)</f>
        <v>0</v>
      </c>
      <c r="CA96" s="201">
        <f>IFERROR(INDEX('3b Activity Plan'!$DJ$73:$FH$73,$V96),0)</f>
        <v>0</v>
      </c>
      <c r="CB96" s="201">
        <f>IFERROR(INDEX('3b Activity Plan'!$DJ$74:$FH$74,$V96),0)</f>
        <v>0</v>
      </c>
      <c r="CC96" s="201">
        <f>IFERROR(INDEX('3b Activity Plan'!$DJ$75:$FH$75,$V96),0)</f>
        <v>0</v>
      </c>
      <c r="CD96" s="201">
        <f>IFERROR(INDEX('3b Activity Plan'!$DJ$76:$FH$76,$V96),0)</f>
        <v>0</v>
      </c>
      <c r="CE96" s="201"/>
      <c r="CF96" s="1818">
        <f>SUMIFS('3a Staff Plan'!$AR$129:$AR$305,'3a Staff Plan'!$DY$129:$DY$305,$IA96,'3a Staff Plan'!$AG$129:$AG$305,1,'3a Staff Plan'!$DF$129:$DF$305,1)</f>
        <v>0</v>
      </c>
      <c r="CG96" s="1768">
        <f>SUMIFS('3a Staff Plan'!$AR$129:$AR$305,'3a Staff Plan'!$DY$129:$DY$305,$IA96,'3a Staff Plan'!$AG$129:$AG$305,1,'3a Staff Plan'!$CX$129:$CX$305,1)</f>
        <v>0</v>
      </c>
      <c r="CH96" s="1768">
        <f>SUMIFS('3a Staff Plan'!$AR$129:$AR$305,'3a Staff Plan'!$DY$129:$DY$305,$IA96,'3a Staff Plan'!$AG$129:$AG$305,1,'3a Staff Plan'!$CV$129:$CV$305,1)</f>
        <v>0</v>
      </c>
      <c r="CI96" s="201"/>
      <c r="CJ96" s="201">
        <f>SUMIFS('3a Staff Plan'!$BX$129:$BX$305,'3a Staff Plan'!$DY$129:$DY$305,$IA96,'3a Staff Plan'!$DF$129:$DF$305,1,'3a Staff Plan'!$AG$129:$AG$305,1)</f>
        <v>0</v>
      </c>
      <c r="CK96" s="201">
        <f>SUMIFS('3a Staff Plan'!$BY$129:$BY$305,'3a Staff Plan'!$DY$129:$DY$305,$IA96,'3a Staff Plan'!$DF$129:$DF$305,1,'3a Staff Plan'!$AG$129:$AG$305,1)</f>
        <v>0</v>
      </c>
      <c r="CL96" s="201">
        <f>SUMIFS('3a Staff Plan'!$BZ$129:$BZ$305,'3a Staff Plan'!$DY$129:$DY$305,$IA96,'3a Staff Plan'!$DF$129:$DF$305,1,'3a Staff Plan'!$AG$129:$AG$305,1)</f>
        <v>0</v>
      </c>
      <c r="CM96" s="201">
        <f>SUMIFS('3a Staff Plan'!$CA$129:$CA$305,'3a Staff Plan'!$DY$129:$DY$305,$IA96,'3a Staff Plan'!$DF$129:$DF$305,1,'3a Staff Plan'!$AG$129:$AG$305,1)</f>
        <v>0</v>
      </c>
      <c r="CN96" s="201">
        <f>SUMIFS('3a Staff Plan'!$CB$129:$CB$305,'3a Staff Plan'!$DY$129:$DY$305,$IA96,'3a Staff Plan'!$DF$129:$DF$305,1,'3a Staff Plan'!$AG$129:$AG$305,1)</f>
        <v>0</v>
      </c>
      <c r="CO96" s="201">
        <f>SUMIFS('3a Staff Plan'!$CC$129:$CC$305,'3a Staff Plan'!$DY$129:$DY$305,$IA96,'3a Staff Plan'!$DF$129:$DF$305,1,'3a Staff Plan'!$AG$129:$AG$305,1)</f>
        <v>0</v>
      </c>
      <c r="CP96" s="201">
        <f>SUMIFS('3a Staff Plan'!$CD$129:$CD$305,'3a Staff Plan'!$DY$129:$DY$305,$IA96,'3a Staff Plan'!$DF$129:$DF$305,1,'3a Staff Plan'!$AG$129:$AG$305,1)</f>
        <v>0</v>
      </c>
      <c r="CQ96" s="201">
        <f>SUMIFS('3a Staff Plan'!$CE$129:$CE$305,'3a Staff Plan'!$DY$129:$DY$305,$IA96,'3a Staff Plan'!$DF$129:$DF$305,1,'3a Staff Plan'!$AG$129:$AG$305,1)</f>
        <v>0</v>
      </c>
      <c r="CR96" s="201">
        <f>SUMIFS('3a Staff Plan'!$CF$129:$CF$305,'3a Staff Plan'!$DY$129:$DY$305,$IA96,'3a Staff Plan'!$DF$129:$DF$305,1,'3a Staff Plan'!$AG$129:$AG$305,1)</f>
        <v>0</v>
      </c>
      <c r="CS96" s="201">
        <f>SUMIFS('3a Staff Plan'!$CG$129:$CG$305,'3a Staff Plan'!$DY$129:$DY$305,$IA96,'3a Staff Plan'!$DF$129:$DF$305,1,'3a Staff Plan'!$AG$129:$AG$305,1)</f>
        <v>0</v>
      </c>
      <c r="CT96" s="201"/>
      <c r="CU96" s="1818">
        <f t="shared" si="210"/>
        <v>0</v>
      </c>
      <c r="CV96" s="1768"/>
      <c r="CW96" s="1768">
        <f t="shared" si="211"/>
        <v>0</v>
      </c>
      <c r="CX96" s="201"/>
      <c r="CY96" s="201">
        <f t="shared" si="212"/>
        <v>0</v>
      </c>
      <c r="CZ96" s="201">
        <f t="shared" si="213"/>
        <v>0</v>
      </c>
      <c r="DA96" s="201">
        <f t="shared" si="214"/>
        <v>0</v>
      </c>
      <c r="DB96" s="201">
        <f t="shared" si="215"/>
        <v>0</v>
      </c>
      <c r="DC96" s="201">
        <f t="shared" si="216"/>
        <v>0</v>
      </c>
      <c r="DD96" s="201">
        <f t="shared" si="217"/>
        <v>0</v>
      </c>
      <c r="DE96" s="201">
        <f t="shared" si="218"/>
        <v>0</v>
      </c>
      <c r="DF96" s="201">
        <f t="shared" si="219"/>
        <v>0</v>
      </c>
      <c r="DG96" s="201">
        <f t="shared" si="220"/>
        <v>0</v>
      </c>
      <c r="DH96" s="201">
        <f t="shared" si="221"/>
        <v>0</v>
      </c>
      <c r="DI96" s="201"/>
      <c r="DJ96" s="201"/>
      <c r="DK96" s="201"/>
      <c r="DL96" s="201"/>
      <c r="DM96" s="372">
        <f t="shared" ref="DM96:DM113" ca="1" si="283">SUMPRODUCT($BU96:$CD96,$LO96:$LX96)</f>
        <v>0</v>
      </c>
      <c r="DN96" s="1185">
        <f t="shared" ref="DN96:DN113" si="284">SUMPRODUCT($AA96:$AJ96,$FT96:$GC96)</f>
        <v>0</v>
      </c>
      <c r="DO96" s="1185">
        <f t="shared" ref="DO96:DO113" si="285">SUMPRODUCT($AA96:$AJ96,$KS96:$LB96)</f>
        <v>0</v>
      </c>
      <c r="DP96" s="201"/>
      <c r="DQ96" s="372">
        <f t="shared" ref="DQ96:DQ113" ca="1" si="286">SUMPRODUCT($CJ96:$CS96,$LO96:$LX96)</f>
        <v>0</v>
      </c>
      <c r="DR96" s="1185">
        <f t="shared" ref="DR96:DR113" si="287">SUMPRODUCT($AP96:$AY96,$FT96:$GC96)</f>
        <v>0</v>
      </c>
      <c r="DS96" s="1185">
        <f t="shared" ref="DS96:DS113" si="288">SUMPRODUCT($AP96:$AY96,$KS96:$LB96)</f>
        <v>0</v>
      </c>
      <c r="DT96" s="201"/>
      <c r="DU96" s="372">
        <f t="shared" ref="DU96:DU113" ca="1" si="289">(DM96*$V$51)+(DQ96*$AL$51)</f>
        <v>0</v>
      </c>
      <c r="DV96" s="372">
        <f t="shared" ref="DV96:DW113" si="290">(DN96*$V$51)+(DR96*$AL$51)</f>
        <v>0</v>
      </c>
      <c r="DW96" s="372">
        <f t="shared" si="290"/>
        <v>0</v>
      </c>
      <c r="DX96" s="201"/>
      <c r="DY96" s="372">
        <f t="shared" ref="DY96:DY113" si="291">IFERROR(SUMPRODUCT($FT96:$GC96,$KH96:$KQ96)-(SUM(KH96:KQ96)*IR96),0)</f>
        <v>0</v>
      </c>
      <c r="DZ96" s="372">
        <f t="shared" ref="DZ96:DZ113" ca="1" si="292">IF($KH$4=1,0,IFERROR(SUMPRODUCT($LO96:$LX96,$LD96:$LM96)-(SUM(LD96:LM96)*LO96),0))</f>
        <v>0</v>
      </c>
      <c r="EA96" s="201"/>
      <c r="EB96" s="2776">
        <f>IF(EO96=$EO$53,1,IFERROR(INDEX('Currency Data'!$L$8:$L$41,MATCH(EO96,'Currency Data'!$H$8:$H$41,0)),1))</f>
        <v>1</v>
      </c>
      <c r="EC96" s="2776">
        <f t="shared" si="147"/>
        <v>1</v>
      </c>
      <c r="ED96" s="428">
        <f>IF(GQ96=1,'1 Setup'!$T$68,IF(ISBLANK(IJ96),II96/EC96*IF(GL96=1,$ED$53,1),IJ96/EC96)*IF($EW96=7,JW96,1))</f>
        <v>0</v>
      </c>
      <c r="EE96" s="428">
        <f t="shared" ref="EE96:EE113" si="293">INDEX(KS96:LB96,$EE$53)</f>
        <v>0</v>
      </c>
      <c r="EF96" s="428"/>
      <c r="EG96" s="1965" t="str">
        <f t="shared" si="148"/>
        <v>031500 - Highways UK</v>
      </c>
      <c r="EH96" s="201">
        <f t="shared" si="149"/>
        <v>1</v>
      </c>
      <c r="EI96" s="445" t="str">
        <f>IF(EH96=1,$EI$53,IF(GQ96=1,$GQ$55,IFERROR(IF($EG96=$EG$53,$EI$53,INDEX('PU List'!$G$6:$G$413,MATCH($EG96,'PU List'!$D$6:$D$413,0))),$EI$53)))</f>
        <v>GB - BIAF</v>
      </c>
      <c r="EJ96" s="2773" t="str">
        <f t="shared" si="150"/>
        <v>GB - BIAF</v>
      </c>
      <c r="EK96" s="1768"/>
      <c r="EL96" s="3283">
        <f>IF(OR(EW96&gt;7,$EL$53=0),0,IF(EJ96=$EI$53,$EL$53,IFERROR(INDEX('Fringe Data'!$U$8:$U$129,MATCH($EJ96,'Fringe Data'!$F$8:$F$129,0)),0)))</f>
        <v>1.73</v>
      </c>
      <c r="EM96" s="372">
        <f t="shared" ref="EM96:EM113" si="294">CU96*HU96</f>
        <v>0</v>
      </c>
      <c r="EN96" s="201" t="str">
        <f>IFERROR(INDEX('Fringe Data'!$G$8:$G$64,MATCH($EJ96,'Fringe Data'!$F$8:$F$64,0)),$EO$53)</f>
        <v>GBP</v>
      </c>
      <c r="EO96" s="201" t="str">
        <f t="shared" si="151"/>
        <v>GBP</v>
      </c>
      <c r="EP96" s="201">
        <f>IF(EI96=$EI$53,$EP$49,IF(GP96=1,0,IFERROR(INDEX('Fringe Data'!$K$8:$K$64,MATCH($EI96,'Fringe Data'!$F$8:$F$64,0)),0)))</f>
        <v>0.52</v>
      </c>
      <c r="EQ96" s="201">
        <f>IF(EI96=$EI$53,$EQ$49,IF(GP96=1,0,IFERROR(INDEX('Fringe Data'!$L$8:$L$64,MATCH($EI96,'Fringe Data'!$F$8:$F$64,0)),0)))</f>
        <v>1.8499999999999999E-2</v>
      </c>
      <c r="ER96" s="201">
        <f>IF(EI96=$EI$53,$ER$49,IF(GP96=1,0,IFERROR(INDEX('Fringe Data'!$M$8:$M$64,MATCH($EI96,'Fringe Data'!$F$8:$F$64,0)),0)))</f>
        <v>0.43430000000000002</v>
      </c>
      <c r="ES96" s="201">
        <f>IF(EI96=$EI$53,$ES$49,IF(GP96=1,0,IFERROR(INDEX('Fringe Data'!$N$8:$N$64,MATCH($EI96,'Fringe Data'!$F$8:$F$64,0)),0)))</f>
        <v>0.1565</v>
      </c>
      <c r="ET96" s="201">
        <f>IF(EI96=$EI$53,$ET$49,IF(GP96=1,0,IFERROR(INDEX('Fringe Data'!$O$8:$O$64,MATCH($EI96,'Fringe Data'!$F$8:$F$64,0)),0)))</f>
        <v>0.33450000000000002</v>
      </c>
      <c r="EU96" s="263">
        <f>IF(EI96=$EI$53,$EU$49,IF(GP96=1,0,IFERROR(INDEX('Fringe Data'!$P$8:$P$64,MATCH($EI96,'Fringe Data'!$F$8:$F$64,0)),0)))</f>
        <v>0.1565</v>
      </c>
      <c r="EV96" s="201"/>
      <c r="EW96" s="1530">
        <f t="shared" ref="EW96:EW113" si="295">IFERROR(INDEX($IN$3:$IN$12,MATCH(IP96,$IP$3:$IP$12,0)),1)</f>
        <v>1</v>
      </c>
      <c r="EX96" s="1534">
        <f t="shared" si="152"/>
        <v>0.52</v>
      </c>
      <c r="EY96" s="321">
        <f t="shared" si="153"/>
        <v>0</v>
      </c>
      <c r="EZ96" s="201">
        <f t="shared" si="154"/>
        <v>0</v>
      </c>
      <c r="FA96" s="372">
        <f t="shared" ref="FA96:FA113" si="296">CHOOSE(EW96,0,0,0,0,0,BA96*(JS96+(EE96*JT96))*(1+JU96),HH96,HH96,0,0,0)</f>
        <v>0</v>
      </c>
      <c r="FB96" s="372">
        <f t="shared" ref="FB96:FB113" si="297">CHOOSE(EW96,0,0,0,0,0,HG96*JS96/IM96,HG96,HG96,0,0,0)</f>
        <v>0</v>
      </c>
      <c r="FC96" s="201">
        <f t="shared" ca="1" si="155"/>
        <v>0</v>
      </c>
      <c r="FD96" s="423">
        <f t="shared" ref="FD96:FD113" si="298">INDEX($IR$3:$IR$17,EW96)</f>
        <v>0</v>
      </c>
      <c r="FE96" s="423">
        <f t="shared" ref="FE96:FE113" si="299">INDEX($IS$3:$IS$17,EW96)</f>
        <v>0</v>
      </c>
      <c r="FF96" s="201">
        <f t="shared" si="156"/>
        <v>0</v>
      </c>
      <c r="FG96" s="425">
        <f>IF(OR($FJ$52=3,$FJ$52=4,$FJ$52=5),'1 Setup'!$W$96,0)</f>
        <v>0</v>
      </c>
      <c r="FH96" s="428">
        <f>IF($FJ$52=5,'1 Setup'!$W$98,IF($FJ$52=6,'1 Setup'!$S$86,0))</f>
        <v>0</v>
      </c>
      <c r="FI96" s="321">
        <f t="shared" ref="FI96:FI113" ca="1" si="300">IFERROR(INDEX(GradeRates,MATCH(JQ96,GradeDescriptions,0)),0)</f>
        <v>0</v>
      </c>
      <c r="FJ96" s="263">
        <f t="shared" ca="1" si="157"/>
        <v>0</v>
      </c>
      <c r="FK96" s="372">
        <f t="shared" ref="FK96:FK113" ca="1" si="301">$BA96*FJ96</f>
        <v>0</v>
      </c>
      <c r="FL96" s="372">
        <f t="shared" ref="FL96:FL113" si="302">IF(OR(ISBLANK($JL96),$GQ96=1,COUNTIFS($JL$64:$JL$113,$JL96)&lt;2,$BA96=0),0,1)</f>
        <v>0</v>
      </c>
      <c r="FM96" s="372">
        <f t="shared" ref="FM96:FM113" si="303">IF(OR(ISBLANK($JL96),$GQ96=1,COUNTIFS($JL$64:$JL$113,$JL96)&lt;2),0,1)</f>
        <v>0</v>
      </c>
      <c r="FN96" s="2036">
        <f t="shared" ref="FN96:FN113" ca="1" si="304">IF(FM96=0,FJ96,SUMIFS($FK$64:$FK$114,$JL$64:$JL$114,JL96,$FL$64:$FL$114,1)/SUMIFS($BA$64:$BA$114,$JL$64:$JL$114,JL96,$FL$64:$FL$114,1))</f>
        <v>0</v>
      </c>
      <c r="FO96" s="372">
        <f t="shared" ca="1" si="224"/>
        <v>0</v>
      </c>
      <c r="FP96" s="2723">
        <f t="shared" si="158"/>
        <v>0</v>
      </c>
      <c r="FQ96" s="372">
        <f t="shared" ref="FQ96:FQ113" si="305">IF(OR(GP96=1,AND(FP96&lt;&gt;NB96,GF96=1)),1,0)</f>
        <v>0</v>
      </c>
      <c r="FR96" s="372">
        <f t="shared" si="159"/>
        <v>0</v>
      </c>
      <c r="FS96" s="1168"/>
      <c r="FT96" s="1168">
        <f t="shared" ref="FT96:FT113" si="306">(KS96*(1+$IQ96))+($EY96*($JS96+(KS96*$JT96))*(1+$JU96))</f>
        <v>0</v>
      </c>
      <c r="FU96" s="1168">
        <f t="shared" ref="FU96:FU113" si="307">(KT96*(1+$IQ96))+($EY96*($JS96+(KT96*$JT96))*(1+$JU96))</f>
        <v>0</v>
      </c>
      <c r="FV96" s="1168">
        <f t="shared" ref="FV96:FV113" si="308">(KU96*(1+$IQ96))+($EY96*($JS96+(KU96*$JT96))*(1+$JU96))</f>
        <v>0</v>
      </c>
      <c r="FW96" s="1168">
        <f t="shared" ref="FW96:FW113" si="309">(KV96*(1+$IQ96))+($EY96*($JS96+(KV96*$JT96))*(1+$JU96))</f>
        <v>0</v>
      </c>
      <c r="FX96" s="1168">
        <f t="shared" ref="FX96:FX113" si="310">(KW96*(1+$IQ96))+($EY96*($JS96+(KW96*$JT96))*(1+$JU96))</f>
        <v>0</v>
      </c>
      <c r="FY96" s="1168">
        <f t="shared" ref="FY96:FY113" si="311">(KX96*(1+$IQ96))+($EY96*($JS96+(KX96*$JT96))*(1+$JU96))</f>
        <v>0</v>
      </c>
      <c r="FZ96" s="1168">
        <f t="shared" ref="FZ96:FZ113" si="312">(KY96*(1+$IQ96))+($EY96*($JS96+(KY96*$JT96))*(1+$JU96))</f>
        <v>0</v>
      </c>
      <c r="GA96" s="1168">
        <f t="shared" ref="GA96:GA113" si="313">(KZ96*(1+$IQ96))+($EY96*($JS96+(KZ96*$JT96))*(1+$JU96))</f>
        <v>0</v>
      </c>
      <c r="GB96" s="1168">
        <f t="shared" ref="GB96:GB113" si="314">(LA96*(1+$IQ96))+($EY96*($JS96+(LA96*$JT96))*(1+$JU96))</f>
        <v>0</v>
      </c>
      <c r="GC96" s="1168">
        <f t="shared" ref="GC96:GC113" si="315">(LB96*(1+$IQ96))+($EY96*($JS96+(LB96*$JT96))*(1+$JU96))</f>
        <v>0</v>
      </c>
      <c r="GD96" s="1168"/>
      <c r="GE96" s="199"/>
      <c r="GF96" s="201">
        <f t="shared" ref="GF96:GF113" si="316">IF(AND(ISBLANK(IA96),ISBLANK(HZ96)),0,1)</f>
        <v>0</v>
      </c>
      <c r="GG96" s="201">
        <f t="shared" ref="GG96:GG113" si="317">IF(AND(ISBLANK($II96),ISBLANK($IJ96),$BA96&gt;0,GQ96=0),1,0)</f>
        <v>0</v>
      </c>
      <c r="GH96" s="201">
        <f t="shared" ref="GH96:GH113" si="318">IF(AND(ISBLANK($IJ96),$BA96&gt;0,GQ96=0),1,0)</f>
        <v>0</v>
      </c>
      <c r="GI96" s="201">
        <f t="shared" ca="1" si="160"/>
        <v>0</v>
      </c>
      <c r="GJ96" s="201">
        <f t="shared" ref="GJ96:GJ113" si="319">IF(AND($GF96=1,COUNTIFS($IA$64:$IA$114,IA96)&gt;1),1,0)</f>
        <v>0</v>
      </c>
      <c r="GK96" s="201">
        <f t="shared" ref="GK96:GK113" si="320">IF(AND($GF96=1,COUNTIFS($IC$64:$IC$114,IC96)&gt;1),1,0)</f>
        <v>0</v>
      </c>
      <c r="GL96" s="201">
        <f t="shared" ref="GL96:GL113" si="321">1-GP96-GR96</f>
        <v>1</v>
      </c>
      <c r="GM96" s="201">
        <f t="shared" ref="GM96:GM113" si="322">IF(AND(IP96="",GQ96=0,GR96=0),1,0)</f>
        <v>1</v>
      </c>
      <c r="GN96" s="201"/>
      <c r="GO96" s="201"/>
      <c r="GP96" s="201">
        <f t="shared" ref="GP96:GP113" si="323">IF(OR(IP96=$GP$55,IP96=$GQ$55),1,0)</f>
        <v>0</v>
      </c>
      <c r="GQ96" s="201">
        <f t="shared" ref="GQ96:GQ113" si="324">IF(IP96=$GQ$55,1,0)</f>
        <v>0</v>
      </c>
      <c r="GR96" s="201">
        <f t="shared" si="161"/>
        <v>0</v>
      </c>
      <c r="GS96" s="1768"/>
      <c r="GT96" s="201">
        <f t="shared" ref="GT96:GT113" si="325">IF(OR(GQ96=1,GR96=1),0,1)</f>
        <v>1</v>
      </c>
      <c r="GU96" s="201">
        <f t="shared" si="193"/>
        <v>33</v>
      </c>
      <c r="GV96" s="201">
        <f t="shared" ref="GV96:GV113" si="326">IF(GF96=1,GU96,0)</f>
        <v>0</v>
      </c>
      <c r="GW96" s="201">
        <f t="shared" ref="GW96:GW113" si="327">IF($GW$62&gt;1,$GW$62,IF(AND($FJ$52&lt;6,ISBLANK(IU96),ISBLANK(JL96)),1,3))</f>
        <v>3</v>
      </c>
      <c r="GX96" s="201">
        <f t="shared" si="162"/>
        <v>0</v>
      </c>
      <c r="GY96" s="1998"/>
      <c r="GZ96" s="253"/>
      <c r="HA96" s="195">
        <f t="shared" si="163"/>
        <v>0</v>
      </c>
      <c r="HB96" s="3558">
        <f t="shared" si="82"/>
        <v>0</v>
      </c>
      <c r="HC96" s="3590"/>
      <c r="HD96" s="257" t="str">
        <f t="shared" ref="HD96:HD113" si="328">IF(GP96=1,"IWA",IF(GR96=1,"NJ",""))</f>
        <v/>
      </c>
      <c r="HE96" s="825">
        <f t="shared" ref="HE96:HE113" si="329">CU96</f>
        <v>0</v>
      </c>
      <c r="HF96" s="506" t="s">
        <v>5</v>
      </c>
      <c r="HG96" s="508">
        <f t="shared" ref="HG96:HG113" ca="1" si="330">DU96*(1+(JH96*$HI$11))</f>
        <v>0</v>
      </c>
      <c r="HH96" s="3585">
        <f t="shared" ref="HH96:HH113" si="331">DV96+EM96</f>
        <v>0</v>
      </c>
      <c r="HI96" s="3586"/>
      <c r="HJ96" s="504">
        <f t="shared" ca="1" si="225"/>
        <v>0</v>
      </c>
      <c r="HK96" s="456">
        <f t="shared" ca="1" si="226"/>
        <v>0</v>
      </c>
      <c r="HL96" s="3591">
        <f t="shared" ca="1" si="227"/>
        <v>0</v>
      </c>
      <c r="HM96" s="3592"/>
      <c r="HN96" s="240"/>
      <c r="HO96" s="1998"/>
      <c r="HP96" s="1991"/>
      <c r="HQ96" s="2770" t="str">
        <f t="shared" ref="HQ96:HQ113" si="332">EI96</f>
        <v>GB - BIAF</v>
      </c>
      <c r="HR96" s="2770" t="str">
        <f t="shared" ref="HR96:HR113" si="333">EN96</f>
        <v>GBP</v>
      </c>
      <c r="HS96" s="2771">
        <f t="shared" ref="HS96:HS113" si="334">EB96</f>
        <v>1</v>
      </c>
      <c r="HT96" s="3488"/>
      <c r="HU96" s="2771">
        <f t="shared" ref="HU96:HU113" si="335">EL96</f>
        <v>1.73</v>
      </c>
      <c r="HW96" s="1218"/>
      <c r="HX96" s="520"/>
      <c r="HY96" s="2523"/>
      <c r="HZ96" s="194"/>
      <c r="IA96" s="1013"/>
      <c r="IB96" s="193"/>
      <c r="IC96" s="3276">
        <v>33</v>
      </c>
      <c r="ID96" s="986"/>
      <c r="IE96" s="938">
        <f t="shared" si="164"/>
        <v>0</v>
      </c>
      <c r="IF96" s="938">
        <f t="shared" si="165"/>
        <v>0</v>
      </c>
      <c r="IG96" s="432"/>
      <c r="II96" s="405"/>
      <c r="IJ96" s="239"/>
      <c r="IK96" s="2774" t="str">
        <f t="shared" si="166"/>
        <v>GBP</v>
      </c>
      <c r="IL96" s="2148"/>
      <c r="IM96" s="1936">
        <f t="shared" ref="IM96:IM113" si="336">ED96</f>
        <v>0</v>
      </c>
      <c r="IO96" s="1959" t="str">
        <f t="shared" ref="IO96:IO113" si="337">IF(GF96=0,"",IF(GQ96=1," "&amp;$IP$7,IF(GR96=1," "&amp;$IP$8," "&amp;$IP$3)))</f>
        <v/>
      </c>
      <c r="IP96" s="1958"/>
      <c r="IQ96" s="543">
        <f t="shared" ref="IQ96:IQ113" si="338">EX96</f>
        <v>0.52</v>
      </c>
      <c r="IR96" s="1936">
        <f t="shared" ref="IR96:IR113" si="339">EZ96</f>
        <v>0</v>
      </c>
      <c r="IT96" s="1364"/>
      <c r="IU96" s="210"/>
      <c r="IV96" s="218"/>
      <c r="IW96" s="1938">
        <f ca="1">IF(NOT(ISBLANK(IU96)),IU96,IF('1 Setup'!$G$8&lt;7,JK96,FJ96))+KA96</f>
        <v>0</v>
      </c>
      <c r="IX96" s="409">
        <f t="shared" ref="IX96:IX113" si="340">IA96</f>
        <v>0</v>
      </c>
      <c r="IY96" s="408">
        <f t="shared" ref="IY96:IY113" si="341">HZ96</f>
        <v>0</v>
      </c>
      <c r="IZ96" s="1983"/>
      <c r="JA96" s="1994"/>
      <c r="JB96" s="1991"/>
      <c r="JD96" s="2029">
        <f t="shared" si="167"/>
        <v>0</v>
      </c>
      <c r="JE96" s="479"/>
      <c r="JF96" s="2025">
        <f t="shared" ref="JF96:JF113" si="342">FF96</f>
        <v>0</v>
      </c>
      <c r="JG96" s="429">
        <f t="shared" ref="JG96:JG113" si="343">FH96</f>
        <v>0</v>
      </c>
      <c r="JH96" s="1667">
        <f t="shared" ref="JH96:JH113" si="344">FG96</f>
        <v>0</v>
      </c>
      <c r="JJ96" s="1163">
        <f t="shared" ref="JJ96:JJ113" ca="1" si="345">FJ96</f>
        <v>0</v>
      </c>
      <c r="JK96" s="1163">
        <f t="shared" ref="JK96:JK113" ca="1" si="346">FN96</f>
        <v>0</v>
      </c>
      <c r="JL96" s="1795"/>
      <c r="JN96" s="2505"/>
      <c r="JO96" s="1161"/>
      <c r="JP96" s="571">
        <f t="shared" ca="1" si="105"/>
        <v>0</v>
      </c>
      <c r="JQ96" s="2506"/>
      <c r="JR96" s="1953"/>
      <c r="JS96" s="2650"/>
      <c r="JT96" s="2507"/>
      <c r="JU96" s="1964">
        <f t="shared" ref="JU96:JU113" si="347">ET96</f>
        <v>0.33450000000000002</v>
      </c>
      <c r="JV96" s="3199"/>
      <c r="JW96" s="2649">
        <f t="shared" ref="JW96:JW113" si="348">$JW$60</f>
        <v>1.5</v>
      </c>
      <c r="JX96" s="1964">
        <f t="shared" si="168"/>
        <v>0.1565</v>
      </c>
      <c r="JY96" s="3199"/>
      <c r="JZ96" s="2649">
        <f t="shared" si="169"/>
        <v>0</v>
      </c>
      <c r="KA96" s="2649">
        <f t="shared" si="170"/>
        <v>0</v>
      </c>
      <c r="KB96" s="2649" t="s">
        <v>111</v>
      </c>
      <c r="KC96" s="1983"/>
      <c r="KD96" s="1974"/>
      <c r="KE96" s="1991"/>
      <c r="KF96" s="2029">
        <f t="shared" si="171"/>
        <v>0</v>
      </c>
      <c r="KG96" s="1991"/>
      <c r="KH96" s="2121">
        <f t="shared" ref="KH96:KH113" si="349">BE96</f>
        <v>0</v>
      </c>
      <c r="KI96" s="2130">
        <f t="shared" ref="KI96:KI113" si="350">BF96</f>
        <v>0</v>
      </c>
      <c r="KJ96" s="2130">
        <f t="shared" ref="KJ96:KJ113" si="351">BG96</f>
        <v>0</v>
      </c>
      <c r="KK96" s="2130">
        <f t="shared" ref="KK96:KK113" si="352">BH96</f>
        <v>0</v>
      </c>
      <c r="KL96" s="2131">
        <f t="shared" ref="KL96:KL113" si="353">BI96</f>
        <v>0</v>
      </c>
      <c r="KM96" s="2132">
        <f t="shared" ref="KM96:KM113" si="354">BJ96</f>
        <v>0</v>
      </c>
      <c r="KN96" s="2132">
        <f t="shared" ref="KN96:KN113" si="355">BK96</f>
        <v>0</v>
      </c>
      <c r="KO96" s="2132">
        <f t="shared" ref="KO96:KO113" si="356">BL96</f>
        <v>0</v>
      </c>
      <c r="KP96" s="2132">
        <f t="shared" ref="KP96:KP113" si="357">BM96</f>
        <v>0</v>
      </c>
      <c r="KQ96" s="2133">
        <f t="shared" ref="KQ96:KQ113" si="358">BN96</f>
        <v>0</v>
      </c>
      <c r="KS96" s="2253">
        <f t="shared" ref="KS96:KS113" si="359">ED96</f>
        <v>0</v>
      </c>
      <c r="KT96" s="2270">
        <f t="shared" ref="KT96:LB96" si="360">KS96*(1+(KT$60))</f>
        <v>0</v>
      </c>
      <c r="KU96" s="2271">
        <f t="shared" si="360"/>
        <v>0</v>
      </c>
      <c r="KV96" s="2271">
        <f t="shared" si="360"/>
        <v>0</v>
      </c>
      <c r="KW96" s="2272">
        <f t="shared" si="360"/>
        <v>0</v>
      </c>
      <c r="KX96" s="2271">
        <f t="shared" si="360"/>
        <v>0</v>
      </c>
      <c r="KY96" s="2271">
        <f t="shared" si="360"/>
        <v>0</v>
      </c>
      <c r="KZ96" s="2271">
        <f t="shared" si="360"/>
        <v>0</v>
      </c>
      <c r="LA96" s="2271">
        <f t="shared" si="360"/>
        <v>0</v>
      </c>
      <c r="LB96" s="2273">
        <f t="shared" si="360"/>
        <v>0</v>
      </c>
      <c r="LC96" s="272"/>
      <c r="LD96" s="2124">
        <f t="shared" ref="LD96:LD113" si="361">CY96</f>
        <v>0</v>
      </c>
      <c r="LE96" s="2093">
        <f t="shared" ref="LE96:LE113" si="362">CZ96</f>
        <v>0</v>
      </c>
      <c r="LF96" s="2093">
        <f t="shared" ref="LF96:LF113" si="363">DA96</f>
        <v>0</v>
      </c>
      <c r="LG96" s="2093">
        <f t="shared" ref="LG96:LG113" si="364">DB96</f>
        <v>0</v>
      </c>
      <c r="LH96" s="2094">
        <f t="shared" ref="LH96:LH113" si="365">DC96</f>
        <v>0</v>
      </c>
      <c r="LI96" s="2095">
        <f t="shared" ref="LI96:LI113" si="366">DD96</f>
        <v>0</v>
      </c>
      <c r="LJ96" s="2095">
        <f t="shared" ref="LJ96:LJ113" si="367">DE96</f>
        <v>0</v>
      </c>
      <c r="LK96" s="2095">
        <f t="shared" ref="LK96:LK113" si="368">DF96</f>
        <v>0</v>
      </c>
      <c r="LL96" s="2095">
        <f t="shared" ref="LL96:LL113" si="369">DG96</f>
        <v>0</v>
      </c>
      <c r="LM96" s="2096">
        <f t="shared" ref="LM96:LM113" si="370">DH96</f>
        <v>0</v>
      </c>
      <c r="LN96" s="749"/>
      <c r="LO96" s="2256">
        <f t="shared" ref="LO96:LO113" ca="1" si="371">IW96</f>
        <v>0</v>
      </c>
      <c r="LP96" s="2270">
        <f t="shared" ref="LP96:LP113" ca="1" si="372">CHOOSE($GW96,CHOOSE($FJ$52,KT96*$JF96,KT96*$JF96,KT96*(1+$JF96)*(1+$JH96),KT96*(1+$JF96),(KT96*(1+$JF96)+$JG96),FU96+$EL96+$JG96,$JN96,$JN96*$JP$6,$JP96,$JP96*$JP$6,0),$LO96,LO96*(1+LP$60))+$KA96</f>
        <v>0</v>
      </c>
      <c r="LQ96" s="2271">
        <f t="shared" ref="LQ96:LQ113" ca="1" si="373">CHOOSE($GW96,CHOOSE($FJ$52,KU96*$JF96,KU96*$JF96,KU96*(1+$JF96)*(1+$JH96),KU96*(1+$JF96),(KU96*(1+$JF96)+$JG96),FV96+$EL96+$JG96,$JN96,$JN96*$JP$6,$JP96,$JP96*$JP$6,0),$LO96,LP96*(1+LQ$60))+$KA96</f>
        <v>0</v>
      </c>
      <c r="LR96" s="2271">
        <f t="shared" ref="LR96:LR113" ca="1" si="374">CHOOSE($GW96,CHOOSE($FJ$52,KV96*$JF96,KV96*$JF96,KV96*(1+$JF96)*(1+$JH96),KV96*(1+$JF96),(KV96*(1+$JF96)+$JG96),FW96+$EL96+$JG96,$JN96,$JN96*$JP$6,$JP96,$JP96*$JP$6,0),$LO96,LQ96*(1+LR$60))+$KA96</f>
        <v>0</v>
      </c>
      <c r="LS96" s="2272">
        <f t="shared" ref="LS96:LS113" ca="1" si="375">CHOOSE($GW96,CHOOSE($FJ$52,KW96*$JF96,KW96*$JF96,KW96*(1+$JF96)*(1+$JH96),KW96*(1+$JF96),(KW96*(1+$JF96)+$JG96),FX96+$EL96+$JG96,$JN96,$JN96*$JP$6,$JP96,$JP96*$JP$6,0),$LO96,LR96*(1+LS$60))+$KA96</f>
        <v>0</v>
      </c>
      <c r="LT96" s="2271">
        <f t="shared" ref="LT96:LT113" ca="1" si="376">CHOOSE($GW96,CHOOSE($FJ$52,KX96*$JF96,KX96*$JF96,KX96*(1+$JF96)*(1+$JH96),KX96*(1+$JF96),(KX96*(1+$JF96)+$JG96),FY96+$EL96+$JG96,$JN96,$JN96*$JP$6,$JP96,$JP96*$JP$6,0),$LO96,LS96*(1+LT$60))+$KA96</f>
        <v>0</v>
      </c>
      <c r="LU96" s="2271">
        <f t="shared" ref="LU96:LU113" ca="1" si="377">CHOOSE($GW96,CHOOSE($FJ$52,KY96*$JF96,KY96*$JF96,KY96*(1+$JF96)*(1+$JH96),KY96*(1+$JF96),(KY96*(1+$JF96)+$JG96),FZ96+$EL96+$JG96,$JN96,$JN96*$JP$6,$JP96,$JP96*$JP$6,0),$LO96,LT96*(1+LU$60))+$KA96</f>
        <v>0</v>
      </c>
      <c r="LV96" s="2271">
        <f t="shared" ref="LV96:LV113" ca="1" si="378">CHOOSE($GW96,CHOOSE($FJ$52,KZ96*$JF96,KZ96*$JF96,KZ96*(1+$JF96)*(1+$JH96),KZ96*(1+$JF96),(KZ96*(1+$JF96)+$JG96),GA96+$EL96+$JG96,$JN96,$JN96*$JP$6,$JP96,$JP96*$JP$6,0),$LO96,LU96*(1+LV$60))+$KA96</f>
        <v>0</v>
      </c>
      <c r="LW96" s="2271">
        <f t="shared" ref="LW96:LW113" ca="1" si="379">CHOOSE($GW96,CHOOSE($FJ$52,LA96*$JF96,LA96*$JF96,LA96*(1+$JF96)*(1+$JH96),LA96*(1+$JF96),(LA96*(1+$JF96)+$JG96),GB96+$EL96+$JG96,$JN96,$JN96*$JP$6,$JP96,$JP96*$JP$6,0),$LO96,LV96*(1+LW$60))+$KA96</f>
        <v>0</v>
      </c>
      <c r="LX96" s="2273">
        <f t="shared" ref="LX96:LX113" ca="1" si="380">CHOOSE($GW96,CHOOSE($FJ$52,LB96*$JF96,LB96*$JF96,LB96*(1+$JF96)*(1+$JH96),LB96*(1+$JF96),(LB96*(1+$JF96)+$JG96),GC96+$EL96+$JG96,$JN96,$JN96*$JP$6,$JP96,$JP96*$JP$6,0),$LO96,LW96*(1+LX$60))+$KA96</f>
        <v>0</v>
      </c>
      <c r="LY96" s="479"/>
      <c r="LZ96" s="3128">
        <f t="shared" ca="1" si="173"/>
        <v>-1.73</v>
      </c>
      <c r="MA96" s="3129">
        <f t="shared" ca="1" si="174"/>
        <v>-1.73</v>
      </c>
      <c r="MB96" s="3129">
        <f t="shared" ca="1" si="175"/>
        <v>-1.73</v>
      </c>
      <c r="MC96" s="3129">
        <f t="shared" ca="1" si="176"/>
        <v>-1.73</v>
      </c>
      <c r="MD96" s="3130">
        <f t="shared" ca="1" si="177"/>
        <v>-1.73</v>
      </c>
      <c r="ME96" s="3129">
        <f t="shared" ca="1" si="178"/>
        <v>-1.73</v>
      </c>
      <c r="MF96" s="3129">
        <f t="shared" ca="1" si="179"/>
        <v>-1.73</v>
      </c>
      <c r="MG96" s="3129">
        <f t="shared" ca="1" si="180"/>
        <v>-1.73</v>
      </c>
      <c r="MH96" s="3129">
        <f t="shared" ca="1" si="181"/>
        <v>-1.73</v>
      </c>
      <c r="MI96" s="3131">
        <f t="shared" ca="1" si="182"/>
        <v>-1.73</v>
      </c>
      <c r="MJ96" s="3201"/>
      <c r="MK96" s="3206">
        <f t="shared" ca="1" si="183"/>
        <v>0</v>
      </c>
      <c r="ML96" s="3207">
        <f t="shared" ca="1" si="184"/>
        <v>0</v>
      </c>
      <c r="MM96" s="3207">
        <f t="shared" ca="1" si="185"/>
        <v>0</v>
      </c>
      <c r="MN96" s="3207">
        <f t="shared" ca="1" si="186"/>
        <v>0</v>
      </c>
      <c r="MO96" s="3208">
        <f t="shared" ca="1" si="187"/>
        <v>0</v>
      </c>
      <c r="MP96" s="3207">
        <f t="shared" ca="1" si="188"/>
        <v>0</v>
      </c>
      <c r="MQ96" s="3207">
        <f t="shared" ca="1" si="189"/>
        <v>0</v>
      </c>
      <c r="MR96" s="3207">
        <f t="shared" ca="1" si="190"/>
        <v>0</v>
      </c>
      <c r="MS96" s="3207">
        <f t="shared" ca="1" si="191"/>
        <v>0</v>
      </c>
      <c r="MT96" s="3209">
        <f t="shared" ca="1" si="192"/>
        <v>0</v>
      </c>
      <c r="MU96" s="1983"/>
      <c r="MV96" s="1975"/>
      <c r="MW96" s="1991"/>
      <c r="MX96" s="1931">
        <f t="shared" ref="MX96:MX113" si="381">IA96</f>
        <v>0</v>
      </c>
      <c r="MY96" s="749"/>
      <c r="MZ96" s="1934">
        <f t="shared" ref="MZ96:MZ113" si="382">IF(GF96=1,IW96,0)</f>
        <v>0</v>
      </c>
      <c r="NA96" s="1935"/>
      <c r="NB96" s="2652">
        <f t="shared" ref="NB96:NB113" si="383">IFERROR(MZ96/IM96,0)</f>
        <v>0</v>
      </c>
      <c r="NC96" s="479"/>
      <c r="ND96" s="2749" t="str">
        <f t="shared" ref="ND96:ND113" si="384">IF(ISBLANK(IP96),IO96,IP96)</f>
        <v/>
      </c>
      <c r="NE96" s="2717"/>
      <c r="NF96" s="1975"/>
      <c r="NG96" s="1975"/>
      <c r="NH96" s="1975"/>
      <c r="NI96" s="1975"/>
    </row>
    <row r="97" spans="1:373" s="192" customFormat="1" ht="15.9" customHeight="1" x14ac:dyDescent="0.3">
      <c r="A97" s="200"/>
      <c r="B97" s="200"/>
      <c r="C97" s="200"/>
      <c r="D97" s="200"/>
      <c r="E97" s="200"/>
      <c r="F97" s="200"/>
      <c r="G97" s="200"/>
      <c r="H97" s="200"/>
      <c r="I97" s="200"/>
      <c r="J97" s="200"/>
      <c r="K97" s="200"/>
      <c r="L97" s="200"/>
      <c r="M97" s="200"/>
      <c r="N97" s="200"/>
      <c r="O97" s="200"/>
      <c r="P97" s="1539"/>
      <c r="Q97" s="1539"/>
      <c r="R97" s="198"/>
      <c r="S97" s="1539"/>
      <c r="T97" s="201"/>
      <c r="U97" s="200"/>
      <c r="V97" s="201">
        <f>MATCH($IC97,'3b Activity Plan'!$DJ$171:$FH$171,0)</f>
        <v>34</v>
      </c>
      <c r="W97" s="201">
        <f>IFERROR(INDEX('3b Activity Plan'!$DJ$6:$FH$6,V97),0)</f>
        <v>0</v>
      </c>
      <c r="X97" s="1768"/>
      <c r="Y97" s="1768">
        <f>IFERROR(INDEX('3b Activity Plan'!$DJ$7:$FH$7,V97),0)</f>
        <v>0</v>
      </c>
      <c r="Z97" s="201"/>
      <c r="AA97" s="201">
        <f>IFERROR(INDEX('3b Activity Plan'!$DJ$34:$FH$34,$V97),0)</f>
        <v>0</v>
      </c>
      <c r="AB97" s="201">
        <f>IFERROR(INDEX('3b Activity Plan'!$DJ$35:$FH$35,$V97),0)</f>
        <v>0</v>
      </c>
      <c r="AC97" s="201">
        <f>IFERROR(INDEX('3b Activity Plan'!$DJ$36:$FH$36,$V97),0)</f>
        <v>0</v>
      </c>
      <c r="AD97" s="201">
        <f>IFERROR(INDEX('3b Activity Plan'!$DJ$37:$FH$37,$V97),0)</f>
        <v>0</v>
      </c>
      <c r="AE97" s="201">
        <f>IFERROR(INDEX('3b Activity Plan'!$DJ$38:$FH$38,$V97),0)</f>
        <v>0</v>
      </c>
      <c r="AF97" s="201">
        <f>IFERROR(INDEX('3b Activity Plan'!$DJ$39:$FH$39,$V97),0)</f>
        <v>0</v>
      </c>
      <c r="AG97" s="201">
        <f>IFERROR(INDEX('3b Activity Plan'!$DJ$40:$FH$40,$V97),0)</f>
        <v>0</v>
      </c>
      <c r="AH97" s="201">
        <f>IFERROR(INDEX('3b Activity Plan'!$DJ$41:$FH$41,$V97),0)</f>
        <v>0</v>
      </c>
      <c r="AI97" s="201">
        <f>IFERROR(INDEX('3b Activity Plan'!$DJ$42:$FH$42,$V97),0)</f>
        <v>0</v>
      </c>
      <c r="AJ97" s="201">
        <f>IFERROR(INDEX('3b Activity Plan'!$DJ$43:$FH$43,$V97),0)</f>
        <v>0</v>
      </c>
      <c r="AK97" s="201"/>
      <c r="AL97" s="201">
        <f>SUMIFS('3a Staff Plan'!$AR$129:$AR$305,'3a Staff Plan'!$DY$129:$DY$305,$IA97,'3a Staff Plan'!$DF$129:$DF$305,1)</f>
        <v>0</v>
      </c>
      <c r="AM97" s="1768"/>
      <c r="AN97" s="1768">
        <f>SUMIFS('3a Staff Plan'!$AR$129:$AR$305,'3a Staff Plan'!$DY$129:$DY$305,$IA97,'3a Staff Plan'!$CV$129:$CV$305,1)</f>
        <v>0</v>
      </c>
      <c r="AO97" s="201"/>
      <c r="AP97" s="201">
        <f>SUMIFS('3a Staff Plan'!$AS$129:$AS$305,'3a Staff Plan'!$DY$129:$DY$305,$IA97,'3a Staff Plan'!$DF$129:$DF$305,1)</f>
        <v>0</v>
      </c>
      <c r="AQ97" s="201">
        <f>SUMIFS('3a Staff Plan'!$AT$129:$AT$305,'3a Staff Plan'!$DY$129:$DY$305,$IA97,'3a Staff Plan'!$DF$129:$DF$305,1)</f>
        <v>0</v>
      </c>
      <c r="AR97" s="201">
        <f>SUMIFS('3a Staff Plan'!$AU$129:$AU$305,'3a Staff Plan'!$DY$129:$DY$305,$IA97,'3a Staff Plan'!$DF$129:$DF$305,1)</f>
        <v>0</v>
      </c>
      <c r="AS97" s="201">
        <f>SUMIFS('3a Staff Plan'!$AV$129:$AV$305,'3a Staff Plan'!$DY$129:$DY$305,$IA97,'3a Staff Plan'!$DF$129:$DF$305,1)</f>
        <v>0</v>
      </c>
      <c r="AT97" s="201">
        <f>SUMIFS('3a Staff Plan'!$AW$129:$AW$305,'3a Staff Plan'!$DY$129:$DY$305,$IA97,'3a Staff Plan'!$DF$129:$DF$305,1)</f>
        <v>0</v>
      </c>
      <c r="AU97" s="201">
        <f>SUMIFS('3a Staff Plan'!$AX$129:$AX$305,'3a Staff Plan'!$DY$129:$DY$305,$IA97,'3a Staff Plan'!$DF$129:$DF$305,1)</f>
        <v>0</v>
      </c>
      <c r="AV97" s="201">
        <f>SUMIFS('3a Staff Plan'!$AY$129:$AY$305,'3a Staff Plan'!$DY$129:$DY$305,$IA97,'3a Staff Plan'!$DF$129:$DF$305,1)</f>
        <v>0</v>
      </c>
      <c r="AW97" s="201">
        <f>SUMIFS('3a Staff Plan'!$AZ$129:$AZ$305,'3a Staff Plan'!$DY$129:$DY$305,$IA97,'3a Staff Plan'!$DF$129:$DF$305,1)</f>
        <v>0</v>
      </c>
      <c r="AX97" s="201">
        <f>SUMIFS('3a Staff Plan'!$BA$129:$BA$305,'3a Staff Plan'!$DY$129:$DY$305,$IA97,'3a Staff Plan'!$DF$129:$DF$305,1)</f>
        <v>0</v>
      </c>
      <c r="AY97" s="201">
        <f>SUMIFS('3a Staff Plan'!$BB$129:$BB$305,'3a Staff Plan'!$DY$129:$DY$305,$IA97,'3a Staff Plan'!$DF$129:$DF$305,1)</f>
        <v>0</v>
      </c>
      <c r="AZ97" s="201"/>
      <c r="BA97" s="201">
        <f t="shared" ref="BA97" si="385">(W97*$V$51)+(AL97*$AL$51)</f>
        <v>0</v>
      </c>
      <c r="BB97" s="1768"/>
      <c r="BC97" s="1768">
        <f t="shared" ref="BC97" si="386">(Y97*$V$51)+(AN97*$AL$51)</f>
        <v>0</v>
      </c>
      <c r="BD97" s="201"/>
      <c r="BE97" s="201">
        <f t="shared" ref="BE97" si="387">(AA97*$V$51)+(AP97*$AL$51)</f>
        <v>0</v>
      </c>
      <c r="BF97" s="201">
        <f t="shared" ref="BF97" si="388">(AB97*$V$51)+(AQ97*$AL$51)</f>
        <v>0</v>
      </c>
      <c r="BG97" s="201">
        <f t="shared" ref="BG97" si="389">(AC97*$V$51)+(AR97*$AL$51)</f>
        <v>0</v>
      </c>
      <c r="BH97" s="201">
        <f t="shared" ref="BH97" si="390">(AD97*$V$51)+(AS97*$AL$51)</f>
        <v>0</v>
      </c>
      <c r="BI97" s="201">
        <f t="shared" ref="BI97" si="391">(AE97*$V$51)+(AT97*$AL$51)</f>
        <v>0</v>
      </c>
      <c r="BJ97" s="201">
        <f t="shared" ref="BJ97" si="392">(AF97*$V$51)+(AU97*$AL$51)</f>
        <v>0</v>
      </c>
      <c r="BK97" s="201">
        <f t="shared" ref="BK97" si="393">(AG97*$V$51)+(AV97*$AL$51)</f>
        <v>0</v>
      </c>
      <c r="BL97" s="201">
        <f t="shared" ref="BL97" si="394">(AH97*$V$51)+(AW97*$AL$51)</f>
        <v>0</v>
      </c>
      <c r="BM97" s="201">
        <f t="shared" ref="BM97" si="395">(AI97*$V$51)+(AX97*$AL$51)</f>
        <v>0</v>
      </c>
      <c r="BN97" s="201">
        <f t="shared" ref="BN97" si="396">(AJ97*$V$51)+(AY97*$AL$51)</f>
        <v>0</v>
      </c>
      <c r="BO97" s="201"/>
      <c r="BP97" s="1818">
        <f t="shared" si="146"/>
        <v>34</v>
      </c>
      <c r="BQ97" s="1818">
        <f>IFERROR(INDEX('3b Activity Plan'!$DJ$15:$FH$15,BP97),0)</f>
        <v>0</v>
      </c>
      <c r="BR97" s="1768"/>
      <c r="BS97" s="1768">
        <f>IFERROR(INDEX('3b Activity Plan'!$DJ$16:$FH$16,BP97),0)</f>
        <v>0</v>
      </c>
      <c r="BT97" s="201"/>
      <c r="BU97" s="201">
        <f>IFERROR(INDEX('3b Activity Plan'!$DJ$67:$FH$67,$V97),0)</f>
        <v>0</v>
      </c>
      <c r="BV97" s="201">
        <f>IFERROR(INDEX('3b Activity Plan'!$DJ$68:$FH$68,$V97),0)</f>
        <v>0</v>
      </c>
      <c r="BW97" s="201">
        <f>IFERROR(INDEX('3b Activity Plan'!$DJ$69:$FH$69,$V97),0)</f>
        <v>0</v>
      </c>
      <c r="BX97" s="201">
        <f>IFERROR(INDEX('3b Activity Plan'!$DJ$70:$FH$70,$V97),0)</f>
        <v>0</v>
      </c>
      <c r="BY97" s="201">
        <f>IFERROR(INDEX('3b Activity Plan'!$DJ$71:$FH$71,$V97),0)</f>
        <v>0</v>
      </c>
      <c r="BZ97" s="201">
        <f>IFERROR(INDEX('3b Activity Plan'!$DJ$72:$FH$72,$V97),0)</f>
        <v>0</v>
      </c>
      <c r="CA97" s="201">
        <f>IFERROR(INDEX('3b Activity Plan'!$DJ$73:$FH$73,$V97),0)</f>
        <v>0</v>
      </c>
      <c r="CB97" s="201">
        <f>IFERROR(INDEX('3b Activity Plan'!$DJ$74:$FH$74,$V97),0)</f>
        <v>0</v>
      </c>
      <c r="CC97" s="201">
        <f>IFERROR(INDEX('3b Activity Plan'!$DJ$75:$FH$75,$V97),0)</f>
        <v>0</v>
      </c>
      <c r="CD97" s="201">
        <f>IFERROR(INDEX('3b Activity Plan'!$DJ$76:$FH$76,$V97),0)</f>
        <v>0</v>
      </c>
      <c r="CE97" s="201"/>
      <c r="CF97" s="1818">
        <f>SUMIFS('3a Staff Plan'!$AR$129:$AR$305,'3a Staff Plan'!$DY$129:$DY$305,$IA97,'3a Staff Plan'!$AG$129:$AG$305,1,'3a Staff Plan'!$DF$129:$DF$305,1)</f>
        <v>0</v>
      </c>
      <c r="CG97" s="1768">
        <f>SUMIFS('3a Staff Plan'!$AR$129:$AR$305,'3a Staff Plan'!$DY$129:$DY$305,$IA97,'3a Staff Plan'!$AG$129:$AG$305,1,'3a Staff Plan'!$CX$129:$CX$305,1)</f>
        <v>0</v>
      </c>
      <c r="CH97" s="1768">
        <f>SUMIFS('3a Staff Plan'!$AR$129:$AR$305,'3a Staff Plan'!$DY$129:$DY$305,$IA97,'3a Staff Plan'!$AG$129:$AG$305,1,'3a Staff Plan'!$CV$129:$CV$305,1)</f>
        <v>0</v>
      </c>
      <c r="CI97" s="201"/>
      <c r="CJ97" s="201">
        <f>SUMIFS('3a Staff Plan'!$BX$129:$BX$305,'3a Staff Plan'!$DY$129:$DY$305,$IA97,'3a Staff Plan'!$DF$129:$DF$305,1,'3a Staff Plan'!$AG$129:$AG$305,1)</f>
        <v>0</v>
      </c>
      <c r="CK97" s="201">
        <f>SUMIFS('3a Staff Plan'!$BY$129:$BY$305,'3a Staff Plan'!$DY$129:$DY$305,$IA97,'3a Staff Plan'!$DF$129:$DF$305,1,'3a Staff Plan'!$AG$129:$AG$305,1)</f>
        <v>0</v>
      </c>
      <c r="CL97" s="201">
        <f>SUMIFS('3a Staff Plan'!$BZ$129:$BZ$305,'3a Staff Plan'!$DY$129:$DY$305,$IA97,'3a Staff Plan'!$DF$129:$DF$305,1,'3a Staff Plan'!$AG$129:$AG$305,1)</f>
        <v>0</v>
      </c>
      <c r="CM97" s="201">
        <f>SUMIFS('3a Staff Plan'!$CA$129:$CA$305,'3a Staff Plan'!$DY$129:$DY$305,$IA97,'3a Staff Plan'!$DF$129:$DF$305,1,'3a Staff Plan'!$AG$129:$AG$305,1)</f>
        <v>0</v>
      </c>
      <c r="CN97" s="201">
        <f>SUMIFS('3a Staff Plan'!$CB$129:$CB$305,'3a Staff Plan'!$DY$129:$DY$305,$IA97,'3a Staff Plan'!$DF$129:$DF$305,1,'3a Staff Plan'!$AG$129:$AG$305,1)</f>
        <v>0</v>
      </c>
      <c r="CO97" s="201">
        <f>SUMIFS('3a Staff Plan'!$CC$129:$CC$305,'3a Staff Plan'!$DY$129:$DY$305,$IA97,'3a Staff Plan'!$DF$129:$DF$305,1,'3a Staff Plan'!$AG$129:$AG$305,1)</f>
        <v>0</v>
      </c>
      <c r="CP97" s="201">
        <f>SUMIFS('3a Staff Plan'!$CD$129:$CD$305,'3a Staff Plan'!$DY$129:$DY$305,$IA97,'3a Staff Plan'!$DF$129:$DF$305,1,'3a Staff Plan'!$AG$129:$AG$305,1)</f>
        <v>0</v>
      </c>
      <c r="CQ97" s="201">
        <f>SUMIFS('3a Staff Plan'!$CE$129:$CE$305,'3a Staff Plan'!$DY$129:$DY$305,$IA97,'3a Staff Plan'!$DF$129:$DF$305,1,'3a Staff Plan'!$AG$129:$AG$305,1)</f>
        <v>0</v>
      </c>
      <c r="CR97" s="201">
        <f>SUMIFS('3a Staff Plan'!$CF$129:$CF$305,'3a Staff Plan'!$DY$129:$DY$305,$IA97,'3a Staff Plan'!$DF$129:$DF$305,1,'3a Staff Plan'!$AG$129:$AG$305,1)</f>
        <v>0</v>
      </c>
      <c r="CS97" s="201">
        <f>SUMIFS('3a Staff Plan'!$CG$129:$CG$305,'3a Staff Plan'!$DY$129:$DY$305,$IA97,'3a Staff Plan'!$DF$129:$DF$305,1,'3a Staff Plan'!$AG$129:$AG$305,1)</f>
        <v>0</v>
      </c>
      <c r="CT97" s="201"/>
      <c r="CU97" s="1818">
        <f t="shared" si="210"/>
        <v>0</v>
      </c>
      <c r="CV97" s="1768"/>
      <c r="CW97" s="1768">
        <f t="shared" si="211"/>
        <v>0</v>
      </c>
      <c r="CX97" s="201"/>
      <c r="CY97" s="201">
        <f t="shared" si="212"/>
        <v>0</v>
      </c>
      <c r="CZ97" s="201">
        <f t="shared" si="213"/>
        <v>0</v>
      </c>
      <c r="DA97" s="201">
        <f t="shared" si="214"/>
        <v>0</v>
      </c>
      <c r="DB97" s="201">
        <f t="shared" si="215"/>
        <v>0</v>
      </c>
      <c r="DC97" s="201">
        <f t="shared" si="216"/>
        <v>0</v>
      </c>
      <c r="DD97" s="201">
        <f t="shared" si="217"/>
        <v>0</v>
      </c>
      <c r="DE97" s="201">
        <f t="shared" si="218"/>
        <v>0</v>
      </c>
      <c r="DF97" s="201">
        <f t="shared" si="219"/>
        <v>0</v>
      </c>
      <c r="DG97" s="201">
        <f t="shared" si="220"/>
        <v>0</v>
      </c>
      <c r="DH97" s="201">
        <f t="shared" si="221"/>
        <v>0</v>
      </c>
      <c r="DI97" s="201"/>
      <c r="DJ97" s="201"/>
      <c r="DK97" s="201"/>
      <c r="DL97" s="201"/>
      <c r="DM97" s="372">
        <f t="shared" ca="1" si="283"/>
        <v>0</v>
      </c>
      <c r="DN97" s="1185">
        <f t="shared" si="284"/>
        <v>0</v>
      </c>
      <c r="DO97" s="1185">
        <f t="shared" si="285"/>
        <v>0</v>
      </c>
      <c r="DP97" s="201"/>
      <c r="DQ97" s="372">
        <f t="shared" ca="1" si="286"/>
        <v>0</v>
      </c>
      <c r="DR97" s="1185">
        <f t="shared" si="287"/>
        <v>0</v>
      </c>
      <c r="DS97" s="1185">
        <f t="shared" si="288"/>
        <v>0</v>
      </c>
      <c r="DT97" s="201"/>
      <c r="DU97" s="372">
        <f t="shared" ref="DU97" ca="1" si="397">(DM97*$V$51)+(DQ97*$AL$51)</f>
        <v>0</v>
      </c>
      <c r="DV97" s="372">
        <f t="shared" ref="DV97" si="398">(DN97*$V$51)+(DR97*$AL$51)</f>
        <v>0</v>
      </c>
      <c r="DW97" s="372">
        <f t="shared" ref="DW97" si="399">(DO97*$V$51)+(DS97*$AL$51)</f>
        <v>0</v>
      </c>
      <c r="DX97" s="201"/>
      <c r="DY97" s="372">
        <f t="shared" si="291"/>
        <v>0</v>
      </c>
      <c r="DZ97" s="372">
        <f t="shared" ca="1" si="292"/>
        <v>0</v>
      </c>
      <c r="EA97" s="201"/>
      <c r="EB97" s="2776">
        <f>IF(EO97=$EO$53,1,IFERROR(INDEX('Currency Data'!$L$8:$L$41,MATCH(EO97,'Currency Data'!$H$8:$H$41,0)),1))</f>
        <v>1</v>
      </c>
      <c r="EC97" s="2776">
        <f t="shared" ref="EC97" si="400">IF(HS97=0,1,HS97)</f>
        <v>1</v>
      </c>
      <c r="ED97" s="428">
        <f>IF(GQ97=1,'1 Setup'!$T$68,IF(ISBLANK(IJ97),II97/EC97*IF(GL97=1,$ED$53,1),IJ97/EC97)*IF($EW97=7,JW97,1))</f>
        <v>0</v>
      </c>
      <c r="EE97" s="428">
        <f t="shared" si="293"/>
        <v>0</v>
      </c>
      <c r="EF97" s="428"/>
      <c r="EG97" s="1965" t="str">
        <f t="shared" si="148"/>
        <v>031500 - Highways UK</v>
      </c>
      <c r="EH97" s="201">
        <f t="shared" si="149"/>
        <v>1</v>
      </c>
      <c r="EI97" s="445" t="str">
        <f>IF(EH97=1,$EI$53,IF(GQ97=1,$GQ$55,IFERROR(IF($EG97=$EG$53,$EI$53,INDEX('PU List'!$G$6:$G$413,MATCH($EG97,'PU List'!$D$6:$D$413,0))),$EI$53)))</f>
        <v>GB - BIAF</v>
      </c>
      <c r="EJ97" s="2773" t="str">
        <f t="shared" si="150"/>
        <v>GB - BIAF</v>
      </c>
      <c r="EK97" s="1768"/>
      <c r="EL97" s="3283">
        <f>IF(OR(EW97&gt;7,$EL$53=0),0,IF(EJ97=$EI$53,$EL$53,IFERROR(INDEX('Fringe Data'!$U$8:$U$129,MATCH($EJ97,'Fringe Data'!$F$8:$F$129,0)),0)))</f>
        <v>1.73</v>
      </c>
      <c r="EM97" s="372">
        <f t="shared" si="294"/>
        <v>0</v>
      </c>
      <c r="EN97" s="201" t="str">
        <f>IFERROR(INDEX('Fringe Data'!$G$8:$G$64,MATCH($EJ97,'Fringe Data'!$F$8:$F$64,0)),$EO$53)</f>
        <v>GBP</v>
      </c>
      <c r="EO97" s="201" t="str">
        <f t="shared" si="151"/>
        <v>GBP</v>
      </c>
      <c r="EP97" s="201">
        <f>IF(EI97=$EI$53,$EP$49,IF(GP97=1,0,IFERROR(INDEX('Fringe Data'!$K$8:$K$64,MATCH($EI97,'Fringe Data'!$F$8:$F$64,0)),0)))</f>
        <v>0.52</v>
      </c>
      <c r="EQ97" s="201">
        <f>IF(EI97=$EI$53,$EQ$49,IF(GP97=1,0,IFERROR(INDEX('Fringe Data'!$L$8:$L$64,MATCH($EI97,'Fringe Data'!$F$8:$F$64,0)),0)))</f>
        <v>1.8499999999999999E-2</v>
      </c>
      <c r="ER97" s="201">
        <f>IF(EI97=$EI$53,$ER$49,IF(GP97=1,0,IFERROR(INDEX('Fringe Data'!$M$8:$M$64,MATCH($EI97,'Fringe Data'!$F$8:$F$64,0)),0)))</f>
        <v>0.43430000000000002</v>
      </c>
      <c r="ES97" s="201">
        <f>IF(EI97=$EI$53,$ES$49,IF(GP97=1,0,IFERROR(INDEX('Fringe Data'!$N$8:$N$64,MATCH($EI97,'Fringe Data'!$F$8:$F$64,0)),0)))</f>
        <v>0.1565</v>
      </c>
      <c r="ET97" s="201">
        <f>IF(EI97=$EI$53,$ET$49,IF(GP97=1,0,IFERROR(INDEX('Fringe Data'!$O$8:$O$64,MATCH($EI97,'Fringe Data'!$F$8:$F$64,0)),0)))</f>
        <v>0.33450000000000002</v>
      </c>
      <c r="EU97" s="263">
        <f>IF(EI97=$EI$53,$EU$49,IF(GP97=1,0,IFERROR(INDEX('Fringe Data'!$P$8:$P$64,MATCH($EI97,'Fringe Data'!$F$8:$F$64,0)),0)))</f>
        <v>0.1565</v>
      </c>
      <c r="EV97" s="201"/>
      <c r="EW97" s="1530">
        <f t="shared" si="295"/>
        <v>1</v>
      </c>
      <c r="EX97" s="1534">
        <f t="shared" si="152"/>
        <v>0.52</v>
      </c>
      <c r="EY97" s="321">
        <f t="shared" si="153"/>
        <v>0</v>
      </c>
      <c r="EZ97" s="201">
        <f t="shared" si="154"/>
        <v>0</v>
      </c>
      <c r="FA97" s="372">
        <f t="shared" si="296"/>
        <v>0</v>
      </c>
      <c r="FB97" s="372">
        <f t="shared" si="297"/>
        <v>0</v>
      </c>
      <c r="FC97" s="201">
        <f t="shared" ca="1" si="155"/>
        <v>0</v>
      </c>
      <c r="FD97" s="423">
        <f t="shared" si="298"/>
        <v>0</v>
      </c>
      <c r="FE97" s="423">
        <f t="shared" si="299"/>
        <v>0</v>
      </c>
      <c r="FF97" s="201">
        <f t="shared" si="156"/>
        <v>0</v>
      </c>
      <c r="FG97" s="425">
        <f>IF(OR($FJ$52=3,$FJ$52=4,$FJ$52=5),'1 Setup'!$W$96,0)</f>
        <v>0</v>
      </c>
      <c r="FH97" s="428">
        <f>IF($FJ$52=5,'1 Setup'!$W$98,IF($FJ$52=6,'1 Setup'!$S$86,0))</f>
        <v>0</v>
      </c>
      <c r="FI97" s="321">
        <f t="shared" ca="1" si="300"/>
        <v>0</v>
      </c>
      <c r="FJ97" s="263">
        <f t="shared" ca="1" si="157"/>
        <v>0</v>
      </c>
      <c r="FK97" s="372">
        <f t="shared" ca="1" si="301"/>
        <v>0</v>
      </c>
      <c r="FL97" s="372">
        <f t="shared" si="302"/>
        <v>0</v>
      </c>
      <c r="FM97" s="372">
        <f t="shared" si="303"/>
        <v>0</v>
      </c>
      <c r="FN97" s="2036">
        <f t="shared" ca="1" si="304"/>
        <v>0</v>
      </c>
      <c r="FO97" s="372">
        <f t="shared" ref="FO97" ca="1" si="401">$BA97*FN97</f>
        <v>0</v>
      </c>
      <c r="FP97" s="2723">
        <f t="shared" si="158"/>
        <v>0</v>
      </c>
      <c r="FQ97" s="372">
        <f t="shared" si="305"/>
        <v>0</v>
      </c>
      <c r="FR97" s="372">
        <f t="shared" si="159"/>
        <v>0</v>
      </c>
      <c r="FS97" s="1168"/>
      <c r="FT97" s="1168">
        <f t="shared" si="306"/>
        <v>0</v>
      </c>
      <c r="FU97" s="1168">
        <f t="shared" si="307"/>
        <v>0</v>
      </c>
      <c r="FV97" s="1168">
        <f t="shared" si="308"/>
        <v>0</v>
      </c>
      <c r="FW97" s="1168">
        <f t="shared" si="309"/>
        <v>0</v>
      </c>
      <c r="FX97" s="1168">
        <f t="shared" si="310"/>
        <v>0</v>
      </c>
      <c r="FY97" s="1168">
        <f t="shared" si="311"/>
        <v>0</v>
      </c>
      <c r="FZ97" s="1168">
        <f t="shared" si="312"/>
        <v>0</v>
      </c>
      <c r="GA97" s="1168">
        <f t="shared" si="313"/>
        <v>0</v>
      </c>
      <c r="GB97" s="1168">
        <f t="shared" si="314"/>
        <v>0</v>
      </c>
      <c r="GC97" s="1168">
        <f t="shared" si="315"/>
        <v>0</v>
      </c>
      <c r="GD97" s="1168"/>
      <c r="GE97" s="199"/>
      <c r="GF97" s="201">
        <f t="shared" si="316"/>
        <v>0</v>
      </c>
      <c r="GG97" s="201">
        <f t="shared" si="317"/>
        <v>0</v>
      </c>
      <c r="GH97" s="201">
        <f t="shared" si="318"/>
        <v>0</v>
      </c>
      <c r="GI97" s="201">
        <f t="shared" ca="1" si="160"/>
        <v>0</v>
      </c>
      <c r="GJ97" s="201">
        <f t="shared" si="319"/>
        <v>0</v>
      </c>
      <c r="GK97" s="201">
        <f t="shared" si="320"/>
        <v>0</v>
      </c>
      <c r="GL97" s="201">
        <f t="shared" si="321"/>
        <v>1</v>
      </c>
      <c r="GM97" s="201">
        <f t="shared" si="322"/>
        <v>1</v>
      </c>
      <c r="GN97" s="201"/>
      <c r="GO97" s="201"/>
      <c r="GP97" s="201">
        <f t="shared" si="323"/>
        <v>0</v>
      </c>
      <c r="GQ97" s="201">
        <f t="shared" si="324"/>
        <v>0</v>
      </c>
      <c r="GR97" s="201">
        <f t="shared" si="161"/>
        <v>0</v>
      </c>
      <c r="GS97" s="1768"/>
      <c r="GT97" s="201">
        <f t="shared" si="325"/>
        <v>1</v>
      </c>
      <c r="GU97" s="201">
        <f t="shared" si="193"/>
        <v>34</v>
      </c>
      <c r="GV97" s="201">
        <f t="shared" si="326"/>
        <v>0</v>
      </c>
      <c r="GW97" s="201">
        <f t="shared" si="327"/>
        <v>3</v>
      </c>
      <c r="GX97" s="201">
        <f t="shared" si="162"/>
        <v>0</v>
      </c>
      <c r="GY97" s="1998"/>
      <c r="GZ97" s="253"/>
      <c r="HA97" s="195">
        <f t="shared" ref="HA97" si="402">IA97</f>
        <v>0</v>
      </c>
      <c r="HB97" s="3558">
        <f t="shared" ref="HB97" si="403">HZ97</f>
        <v>0</v>
      </c>
      <c r="HC97" s="3590"/>
      <c r="HD97" s="257" t="str">
        <f t="shared" si="328"/>
        <v/>
      </c>
      <c r="HE97" s="825">
        <f t="shared" si="329"/>
        <v>0</v>
      </c>
      <c r="HF97" s="506" t="s">
        <v>5</v>
      </c>
      <c r="HG97" s="508">
        <f t="shared" ca="1" si="330"/>
        <v>0</v>
      </c>
      <c r="HH97" s="3585">
        <f t="shared" si="331"/>
        <v>0</v>
      </c>
      <c r="HI97" s="3586"/>
      <c r="HJ97" s="1233">
        <f t="shared" ref="HJ97" ca="1" si="404">HG97-HH97</f>
        <v>0</v>
      </c>
      <c r="HK97" s="456">
        <f t="shared" ca="1" si="226"/>
        <v>0</v>
      </c>
      <c r="HL97" s="3591">
        <f t="shared" ref="HL97" ca="1" si="405">IFERROR(HJ97/HE97,0)</f>
        <v>0</v>
      </c>
      <c r="HM97" s="3592"/>
      <c r="HN97" s="240"/>
      <c r="HO97" s="1998"/>
      <c r="HP97" s="1991"/>
      <c r="HQ97" s="2770" t="str">
        <f t="shared" si="332"/>
        <v>GB - BIAF</v>
      </c>
      <c r="HR97" s="2770" t="str">
        <f t="shared" si="333"/>
        <v>GBP</v>
      </c>
      <c r="HS97" s="2771">
        <f t="shared" si="334"/>
        <v>1</v>
      </c>
      <c r="HT97" s="3623"/>
      <c r="HU97" s="2771">
        <f t="shared" si="335"/>
        <v>1.73</v>
      </c>
      <c r="HW97" s="1218"/>
      <c r="HX97" s="520"/>
      <c r="HY97" s="2523"/>
      <c r="HZ97" s="194"/>
      <c r="IA97" s="1013"/>
      <c r="IB97" s="193"/>
      <c r="IC97" s="3276">
        <v>34</v>
      </c>
      <c r="ID97" s="986"/>
      <c r="IE97" s="938">
        <f t="shared" si="164"/>
        <v>0</v>
      </c>
      <c r="IF97" s="938">
        <f t="shared" si="165"/>
        <v>0</v>
      </c>
      <c r="IG97" s="432"/>
      <c r="II97" s="405"/>
      <c r="IJ97" s="239"/>
      <c r="IK97" s="2774" t="str">
        <f t="shared" si="166"/>
        <v>GBP</v>
      </c>
      <c r="IL97" s="2148"/>
      <c r="IM97" s="1936">
        <f t="shared" si="336"/>
        <v>0</v>
      </c>
      <c r="IO97" s="1959" t="str">
        <f t="shared" si="337"/>
        <v/>
      </c>
      <c r="IP97" s="1958"/>
      <c r="IQ97" s="543">
        <f t="shared" si="338"/>
        <v>0.52</v>
      </c>
      <c r="IR97" s="1936">
        <f t="shared" si="339"/>
        <v>0</v>
      </c>
      <c r="IT97" s="1364"/>
      <c r="IU97" s="210"/>
      <c r="IV97" s="218"/>
      <c r="IW97" s="1938">
        <f ca="1">IF(NOT(ISBLANK(IU97)),IU97,IF('1 Setup'!$G$8&lt;7,JK97,FJ97))+KA97</f>
        <v>0</v>
      </c>
      <c r="IX97" s="409">
        <f t="shared" si="340"/>
        <v>0</v>
      </c>
      <c r="IY97" s="408">
        <f t="shared" si="341"/>
        <v>0</v>
      </c>
      <c r="IZ97" s="1983"/>
      <c r="JA97" s="1994"/>
      <c r="JB97" s="1991"/>
      <c r="JD97" s="2029">
        <f t="shared" si="167"/>
        <v>0</v>
      </c>
      <c r="JE97" s="479"/>
      <c r="JF97" s="2025">
        <f t="shared" si="342"/>
        <v>0</v>
      </c>
      <c r="JG97" s="429">
        <f t="shared" si="343"/>
        <v>0</v>
      </c>
      <c r="JH97" s="1667">
        <f t="shared" si="344"/>
        <v>0</v>
      </c>
      <c r="JJ97" s="1163">
        <f t="shared" ca="1" si="345"/>
        <v>0</v>
      </c>
      <c r="JK97" s="1163">
        <f t="shared" ca="1" si="346"/>
        <v>0</v>
      </c>
      <c r="JL97" s="1795"/>
      <c r="JN97" s="2505"/>
      <c r="JO97" s="1234"/>
      <c r="JP97" s="571">
        <f t="shared" ca="1" si="105"/>
        <v>0</v>
      </c>
      <c r="JQ97" s="2506"/>
      <c r="JR97" s="1953"/>
      <c r="JS97" s="2650"/>
      <c r="JT97" s="2507"/>
      <c r="JU97" s="1964">
        <f t="shared" si="347"/>
        <v>0.33450000000000002</v>
      </c>
      <c r="JV97" s="3199"/>
      <c r="JW97" s="2649">
        <f t="shared" si="348"/>
        <v>1.5</v>
      </c>
      <c r="JX97" s="1964">
        <f t="shared" si="168"/>
        <v>0.1565</v>
      </c>
      <c r="JY97" s="3199"/>
      <c r="JZ97" s="2649">
        <f t="shared" si="169"/>
        <v>0</v>
      </c>
      <c r="KA97" s="2649">
        <f t="shared" si="170"/>
        <v>0</v>
      </c>
      <c r="KB97" s="2649" t="s">
        <v>111</v>
      </c>
      <c r="KC97" s="1983"/>
      <c r="KD97" s="1974"/>
      <c r="KE97" s="1991"/>
      <c r="KF97" s="2029">
        <f t="shared" si="171"/>
        <v>0</v>
      </c>
      <c r="KG97" s="1991"/>
      <c r="KH97" s="2121">
        <f t="shared" si="349"/>
        <v>0</v>
      </c>
      <c r="KI97" s="2130">
        <f t="shared" si="350"/>
        <v>0</v>
      </c>
      <c r="KJ97" s="2130">
        <f t="shared" si="351"/>
        <v>0</v>
      </c>
      <c r="KK97" s="2130">
        <f t="shared" si="352"/>
        <v>0</v>
      </c>
      <c r="KL97" s="2131">
        <f t="shared" si="353"/>
        <v>0</v>
      </c>
      <c r="KM97" s="2132">
        <f t="shared" si="354"/>
        <v>0</v>
      </c>
      <c r="KN97" s="2132">
        <f t="shared" si="355"/>
        <v>0</v>
      </c>
      <c r="KO97" s="2132">
        <f t="shared" si="356"/>
        <v>0</v>
      </c>
      <c r="KP97" s="2132">
        <f t="shared" si="357"/>
        <v>0</v>
      </c>
      <c r="KQ97" s="2133">
        <f t="shared" si="358"/>
        <v>0</v>
      </c>
      <c r="KS97" s="2253">
        <f t="shared" si="359"/>
        <v>0</v>
      </c>
      <c r="KT97" s="2270">
        <f t="shared" ref="KT97:LB97" si="406">KS97*(1+(KT$60))</f>
        <v>0</v>
      </c>
      <c r="KU97" s="2271">
        <f t="shared" si="406"/>
        <v>0</v>
      </c>
      <c r="KV97" s="2271">
        <f t="shared" si="406"/>
        <v>0</v>
      </c>
      <c r="KW97" s="2272">
        <f t="shared" si="406"/>
        <v>0</v>
      </c>
      <c r="KX97" s="2271">
        <f t="shared" si="406"/>
        <v>0</v>
      </c>
      <c r="KY97" s="2271">
        <f t="shared" si="406"/>
        <v>0</v>
      </c>
      <c r="KZ97" s="2271">
        <f t="shared" si="406"/>
        <v>0</v>
      </c>
      <c r="LA97" s="2271">
        <f t="shared" si="406"/>
        <v>0</v>
      </c>
      <c r="LB97" s="2273">
        <f t="shared" si="406"/>
        <v>0</v>
      </c>
      <c r="LC97" s="749"/>
      <c r="LD97" s="2124">
        <f t="shared" si="361"/>
        <v>0</v>
      </c>
      <c r="LE97" s="2093">
        <f t="shared" si="362"/>
        <v>0</v>
      </c>
      <c r="LF97" s="2093">
        <f t="shared" si="363"/>
        <v>0</v>
      </c>
      <c r="LG97" s="2093">
        <f t="shared" si="364"/>
        <v>0</v>
      </c>
      <c r="LH97" s="2094">
        <f t="shared" si="365"/>
        <v>0</v>
      </c>
      <c r="LI97" s="2095">
        <f t="shared" si="366"/>
        <v>0</v>
      </c>
      <c r="LJ97" s="2095">
        <f t="shared" si="367"/>
        <v>0</v>
      </c>
      <c r="LK97" s="2095">
        <f t="shared" si="368"/>
        <v>0</v>
      </c>
      <c r="LL97" s="2095">
        <f t="shared" si="369"/>
        <v>0</v>
      </c>
      <c r="LM97" s="2096">
        <f t="shared" si="370"/>
        <v>0</v>
      </c>
      <c r="LN97" s="749"/>
      <c r="LO97" s="2256">
        <f t="shared" ca="1" si="371"/>
        <v>0</v>
      </c>
      <c r="LP97" s="2270">
        <f t="shared" ca="1" si="372"/>
        <v>0</v>
      </c>
      <c r="LQ97" s="2271">
        <f t="shared" ca="1" si="373"/>
        <v>0</v>
      </c>
      <c r="LR97" s="2271">
        <f t="shared" ca="1" si="374"/>
        <v>0</v>
      </c>
      <c r="LS97" s="2272">
        <f t="shared" ca="1" si="375"/>
        <v>0</v>
      </c>
      <c r="LT97" s="2271">
        <f t="shared" ca="1" si="376"/>
        <v>0</v>
      </c>
      <c r="LU97" s="2271">
        <f t="shared" ca="1" si="377"/>
        <v>0</v>
      </c>
      <c r="LV97" s="2271">
        <f t="shared" ca="1" si="378"/>
        <v>0</v>
      </c>
      <c r="LW97" s="2271">
        <f t="shared" ca="1" si="379"/>
        <v>0</v>
      </c>
      <c r="LX97" s="2273">
        <f t="shared" ca="1" si="380"/>
        <v>0</v>
      </c>
      <c r="LY97" s="479"/>
      <c r="LZ97" s="3128">
        <f t="shared" ca="1" si="173"/>
        <v>-1.73</v>
      </c>
      <c r="MA97" s="3129">
        <f t="shared" ca="1" si="174"/>
        <v>-1.73</v>
      </c>
      <c r="MB97" s="3129">
        <f t="shared" ca="1" si="175"/>
        <v>-1.73</v>
      </c>
      <c r="MC97" s="3129">
        <f t="shared" ca="1" si="176"/>
        <v>-1.73</v>
      </c>
      <c r="MD97" s="3130">
        <f t="shared" ca="1" si="177"/>
        <v>-1.73</v>
      </c>
      <c r="ME97" s="3129">
        <f t="shared" ca="1" si="178"/>
        <v>-1.73</v>
      </c>
      <c r="MF97" s="3129">
        <f t="shared" ca="1" si="179"/>
        <v>-1.73</v>
      </c>
      <c r="MG97" s="3129">
        <f t="shared" ca="1" si="180"/>
        <v>-1.73</v>
      </c>
      <c r="MH97" s="3129">
        <f t="shared" ca="1" si="181"/>
        <v>-1.73</v>
      </c>
      <c r="MI97" s="3131">
        <f t="shared" ca="1" si="182"/>
        <v>-1.73</v>
      </c>
      <c r="MJ97" s="3201"/>
      <c r="MK97" s="3206">
        <f t="shared" ca="1" si="183"/>
        <v>0</v>
      </c>
      <c r="ML97" s="3207">
        <f t="shared" ca="1" si="184"/>
        <v>0</v>
      </c>
      <c r="MM97" s="3207">
        <f t="shared" ca="1" si="185"/>
        <v>0</v>
      </c>
      <c r="MN97" s="3207">
        <f t="shared" ca="1" si="186"/>
        <v>0</v>
      </c>
      <c r="MO97" s="3208">
        <f t="shared" ca="1" si="187"/>
        <v>0</v>
      </c>
      <c r="MP97" s="3207">
        <f t="shared" ca="1" si="188"/>
        <v>0</v>
      </c>
      <c r="MQ97" s="3207">
        <f t="shared" ca="1" si="189"/>
        <v>0</v>
      </c>
      <c r="MR97" s="3207">
        <f t="shared" ca="1" si="190"/>
        <v>0</v>
      </c>
      <c r="MS97" s="3207">
        <f t="shared" ca="1" si="191"/>
        <v>0</v>
      </c>
      <c r="MT97" s="3209">
        <f t="shared" ca="1" si="192"/>
        <v>0</v>
      </c>
      <c r="MU97" s="1983"/>
      <c r="MV97" s="1975"/>
      <c r="MW97" s="1991"/>
      <c r="MX97" s="1931">
        <f t="shared" si="381"/>
        <v>0</v>
      </c>
      <c r="MY97" s="749"/>
      <c r="MZ97" s="1934">
        <f t="shared" si="382"/>
        <v>0</v>
      </c>
      <c r="NA97" s="1935"/>
      <c r="NB97" s="2652">
        <f t="shared" si="383"/>
        <v>0</v>
      </c>
      <c r="NC97" s="479"/>
      <c r="ND97" s="2749" t="str">
        <f t="shared" si="384"/>
        <v/>
      </c>
      <c r="NE97" s="2717"/>
      <c r="NF97" s="1975"/>
      <c r="NG97" s="1975"/>
      <c r="NH97" s="1975"/>
      <c r="NI97" s="1975"/>
    </row>
    <row r="98" spans="1:373" s="192" customFormat="1" ht="15.9" customHeight="1" x14ac:dyDescent="0.3">
      <c r="A98" s="200"/>
      <c r="B98" s="200"/>
      <c r="C98" s="200"/>
      <c r="D98" s="200"/>
      <c r="E98" s="200"/>
      <c r="F98" s="200"/>
      <c r="G98" s="200"/>
      <c r="H98" s="200"/>
      <c r="I98" s="200"/>
      <c r="J98" s="200"/>
      <c r="K98" s="200"/>
      <c r="L98" s="200"/>
      <c r="M98" s="200"/>
      <c r="N98" s="200"/>
      <c r="O98" s="200"/>
      <c r="P98" s="1539"/>
      <c r="Q98" s="1539"/>
      <c r="R98" s="198"/>
      <c r="S98" s="1539"/>
      <c r="T98" s="201"/>
      <c r="U98" s="200"/>
      <c r="V98" s="201">
        <f>MATCH($IC98,'3b Activity Plan'!$DJ$171:$FH$171,0)</f>
        <v>35</v>
      </c>
      <c r="W98" s="201">
        <f>IFERROR(INDEX('3b Activity Plan'!$DJ$6:$FH$6,V98),0)</f>
        <v>0</v>
      </c>
      <c r="X98" s="1768"/>
      <c r="Y98" s="1768">
        <f>IFERROR(INDEX('3b Activity Plan'!$DJ$7:$FH$7,V98),0)</f>
        <v>0</v>
      </c>
      <c r="Z98" s="201"/>
      <c r="AA98" s="201">
        <f>IFERROR(INDEX('3b Activity Plan'!$DJ$34:$FH$34,$V98),0)</f>
        <v>0</v>
      </c>
      <c r="AB98" s="201">
        <f>IFERROR(INDEX('3b Activity Plan'!$DJ$35:$FH$35,$V98),0)</f>
        <v>0</v>
      </c>
      <c r="AC98" s="201">
        <f>IFERROR(INDEX('3b Activity Plan'!$DJ$36:$FH$36,$V98),0)</f>
        <v>0</v>
      </c>
      <c r="AD98" s="201">
        <f>IFERROR(INDEX('3b Activity Plan'!$DJ$37:$FH$37,$V98),0)</f>
        <v>0</v>
      </c>
      <c r="AE98" s="201">
        <f>IFERROR(INDEX('3b Activity Plan'!$DJ$38:$FH$38,$V98),0)</f>
        <v>0</v>
      </c>
      <c r="AF98" s="201">
        <f>IFERROR(INDEX('3b Activity Plan'!$DJ$39:$FH$39,$V98),0)</f>
        <v>0</v>
      </c>
      <c r="AG98" s="201">
        <f>IFERROR(INDEX('3b Activity Plan'!$DJ$40:$FH$40,$V98),0)</f>
        <v>0</v>
      </c>
      <c r="AH98" s="201">
        <f>IFERROR(INDEX('3b Activity Plan'!$DJ$41:$FH$41,$V98),0)</f>
        <v>0</v>
      </c>
      <c r="AI98" s="201">
        <f>IFERROR(INDEX('3b Activity Plan'!$DJ$42:$FH$42,$V98),0)</f>
        <v>0</v>
      </c>
      <c r="AJ98" s="201">
        <f>IFERROR(INDEX('3b Activity Plan'!$DJ$43:$FH$43,$V98),0)</f>
        <v>0</v>
      </c>
      <c r="AK98" s="201"/>
      <c r="AL98" s="201">
        <f>SUMIFS('3a Staff Plan'!$AR$129:$AR$305,'3a Staff Plan'!$DY$129:$DY$305,$IA98,'3a Staff Plan'!$DF$129:$DF$305,1)</f>
        <v>0</v>
      </c>
      <c r="AM98" s="1768"/>
      <c r="AN98" s="1768">
        <f>SUMIFS('3a Staff Plan'!$AR$129:$AR$305,'3a Staff Plan'!$DY$129:$DY$305,$IA98,'3a Staff Plan'!$CV$129:$CV$305,1)</f>
        <v>0</v>
      </c>
      <c r="AO98" s="201"/>
      <c r="AP98" s="201">
        <f>SUMIFS('3a Staff Plan'!$AS$129:$AS$305,'3a Staff Plan'!$DY$129:$DY$305,$IA98,'3a Staff Plan'!$DF$129:$DF$305,1)</f>
        <v>0</v>
      </c>
      <c r="AQ98" s="201">
        <f>SUMIFS('3a Staff Plan'!$AT$129:$AT$305,'3a Staff Plan'!$DY$129:$DY$305,$IA98,'3a Staff Plan'!$DF$129:$DF$305,1)</f>
        <v>0</v>
      </c>
      <c r="AR98" s="201">
        <f>SUMIFS('3a Staff Plan'!$AU$129:$AU$305,'3a Staff Plan'!$DY$129:$DY$305,$IA98,'3a Staff Plan'!$DF$129:$DF$305,1)</f>
        <v>0</v>
      </c>
      <c r="AS98" s="201">
        <f>SUMIFS('3a Staff Plan'!$AV$129:$AV$305,'3a Staff Plan'!$DY$129:$DY$305,$IA98,'3a Staff Plan'!$DF$129:$DF$305,1)</f>
        <v>0</v>
      </c>
      <c r="AT98" s="201">
        <f>SUMIFS('3a Staff Plan'!$AW$129:$AW$305,'3a Staff Plan'!$DY$129:$DY$305,$IA98,'3a Staff Plan'!$DF$129:$DF$305,1)</f>
        <v>0</v>
      </c>
      <c r="AU98" s="201">
        <f>SUMIFS('3a Staff Plan'!$AX$129:$AX$305,'3a Staff Plan'!$DY$129:$DY$305,$IA98,'3a Staff Plan'!$DF$129:$DF$305,1)</f>
        <v>0</v>
      </c>
      <c r="AV98" s="201">
        <f>SUMIFS('3a Staff Plan'!$AY$129:$AY$305,'3a Staff Plan'!$DY$129:$DY$305,$IA98,'3a Staff Plan'!$DF$129:$DF$305,1)</f>
        <v>0</v>
      </c>
      <c r="AW98" s="201">
        <f>SUMIFS('3a Staff Plan'!$AZ$129:$AZ$305,'3a Staff Plan'!$DY$129:$DY$305,$IA98,'3a Staff Plan'!$DF$129:$DF$305,1)</f>
        <v>0</v>
      </c>
      <c r="AX98" s="201">
        <f>SUMIFS('3a Staff Plan'!$BA$129:$BA$305,'3a Staff Plan'!$DY$129:$DY$305,$IA98,'3a Staff Plan'!$DF$129:$DF$305,1)</f>
        <v>0</v>
      </c>
      <c r="AY98" s="201">
        <f>SUMIFS('3a Staff Plan'!$BB$129:$BB$305,'3a Staff Plan'!$DY$129:$DY$305,$IA98,'3a Staff Plan'!$DF$129:$DF$305,1)</f>
        <v>0</v>
      </c>
      <c r="AZ98" s="201"/>
      <c r="BA98" s="201">
        <f t="shared" si="198"/>
        <v>0</v>
      </c>
      <c r="BB98" s="1768"/>
      <c r="BC98" s="1768">
        <f t="shared" si="199"/>
        <v>0</v>
      </c>
      <c r="BD98" s="201"/>
      <c r="BE98" s="201">
        <f t="shared" si="200"/>
        <v>0</v>
      </c>
      <c r="BF98" s="201">
        <f t="shared" si="201"/>
        <v>0</v>
      </c>
      <c r="BG98" s="201">
        <f t="shared" si="202"/>
        <v>0</v>
      </c>
      <c r="BH98" s="201">
        <f t="shared" si="203"/>
        <v>0</v>
      </c>
      <c r="BI98" s="201">
        <f t="shared" si="204"/>
        <v>0</v>
      </c>
      <c r="BJ98" s="201">
        <f t="shared" si="205"/>
        <v>0</v>
      </c>
      <c r="BK98" s="201">
        <f t="shared" si="206"/>
        <v>0</v>
      </c>
      <c r="BL98" s="201">
        <f t="shared" si="207"/>
        <v>0</v>
      </c>
      <c r="BM98" s="201">
        <f t="shared" si="208"/>
        <v>0</v>
      </c>
      <c r="BN98" s="201">
        <f t="shared" si="209"/>
        <v>0</v>
      </c>
      <c r="BO98" s="201"/>
      <c r="BP98" s="1818">
        <f t="shared" si="146"/>
        <v>35</v>
      </c>
      <c r="BQ98" s="1818">
        <f>IFERROR(INDEX('3b Activity Plan'!$DJ$15:$FH$15,BP98),0)</f>
        <v>0</v>
      </c>
      <c r="BR98" s="1768"/>
      <c r="BS98" s="1768">
        <f>IFERROR(INDEX('3b Activity Plan'!$DJ$16:$FH$16,BP98),0)</f>
        <v>0</v>
      </c>
      <c r="BT98" s="201"/>
      <c r="BU98" s="201">
        <f>IFERROR(INDEX('3b Activity Plan'!$DJ$67:$FH$67,$V98),0)</f>
        <v>0</v>
      </c>
      <c r="BV98" s="201">
        <f>IFERROR(INDEX('3b Activity Plan'!$DJ$68:$FH$68,$V98),0)</f>
        <v>0</v>
      </c>
      <c r="BW98" s="201">
        <f>IFERROR(INDEX('3b Activity Plan'!$DJ$69:$FH$69,$V98),0)</f>
        <v>0</v>
      </c>
      <c r="BX98" s="201">
        <f>IFERROR(INDEX('3b Activity Plan'!$DJ$70:$FH$70,$V98),0)</f>
        <v>0</v>
      </c>
      <c r="BY98" s="201">
        <f>IFERROR(INDEX('3b Activity Plan'!$DJ$71:$FH$71,$V98),0)</f>
        <v>0</v>
      </c>
      <c r="BZ98" s="201">
        <f>IFERROR(INDEX('3b Activity Plan'!$DJ$72:$FH$72,$V98),0)</f>
        <v>0</v>
      </c>
      <c r="CA98" s="201">
        <f>IFERROR(INDEX('3b Activity Plan'!$DJ$73:$FH$73,$V98),0)</f>
        <v>0</v>
      </c>
      <c r="CB98" s="201">
        <f>IFERROR(INDEX('3b Activity Plan'!$DJ$74:$FH$74,$V98),0)</f>
        <v>0</v>
      </c>
      <c r="CC98" s="201">
        <f>IFERROR(INDEX('3b Activity Plan'!$DJ$75:$FH$75,$V98),0)</f>
        <v>0</v>
      </c>
      <c r="CD98" s="201">
        <f>IFERROR(INDEX('3b Activity Plan'!$DJ$76:$FH$76,$V98),0)</f>
        <v>0</v>
      </c>
      <c r="CE98" s="201"/>
      <c r="CF98" s="1818">
        <f>SUMIFS('3a Staff Plan'!$AR$129:$AR$305,'3a Staff Plan'!$DY$129:$DY$305,$IA98,'3a Staff Plan'!$AG$129:$AG$305,1,'3a Staff Plan'!$DF$129:$DF$305,1)</f>
        <v>0</v>
      </c>
      <c r="CG98" s="1768">
        <f>SUMIFS('3a Staff Plan'!$AR$129:$AR$305,'3a Staff Plan'!$DY$129:$DY$305,$IA98,'3a Staff Plan'!$AG$129:$AG$305,1,'3a Staff Plan'!$CX$129:$CX$305,1)</f>
        <v>0</v>
      </c>
      <c r="CH98" s="1768">
        <f>SUMIFS('3a Staff Plan'!$AR$129:$AR$305,'3a Staff Plan'!$DY$129:$DY$305,$IA98,'3a Staff Plan'!$AG$129:$AG$305,1,'3a Staff Plan'!$CV$129:$CV$305,1)</f>
        <v>0</v>
      </c>
      <c r="CI98" s="201"/>
      <c r="CJ98" s="201">
        <f>SUMIFS('3a Staff Plan'!$BX$129:$BX$305,'3a Staff Plan'!$DY$129:$DY$305,$IA98,'3a Staff Plan'!$DF$129:$DF$305,1,'3a Staff Plan'!$AG$129:$AG$305,1)</f>
        <v>0</v>
      </c>
      <c r="CK98" s="201">
        <f>SUMIFS('3a Staff Plan'!$BY$129:$BY$305,'3a Staff Plan'!$DY$129:$DY$305,$IA98,'3a Staff Plan'!$DF$129:$DF$305,1,'3a Staff Plan'!$AG$129:$AG$305,1)</f>
        <v>0</v>
      </c>
      <c r="CL98" s="201">
        <f>SUMIFS('3a Staff Plan'!$BZ$129:$BZ$305,'3a Staff Plan'!$DY$129:$DY$305,$IA98,'3a Staff Plan'!$DF$129:$DF$305,1,'3a Staff Plan'!$AG$129:$AG$305,1)</f>
        <v>0</v>
      </c>
      <c r="CM98" s="201">
        <f>SUMIFS('3a Staff Plan'!$CA$129:$CA$305,'3a Staff Plan'!$DY$129:$DY$305,$IA98,'3a Staff Plan'!$DF$129:$DF$305,1,'3a Staff Plan'!$AG$129:$AG$305,1)</f>
        <v>0</v>
      </c>
      <c r="CN98" s="201">
        <f>SUMIFS('3a Staff Plan'!$CB$129:$CB$305,'3a Staff Plan'!$DY$129:$DY$305,$IA98,'3a Staff Plan'!$DF$129:$DF$305,1,'3a Staff Plan'!$AG$129:$AG$305,1)</f>
        <v>0</v>
      </c>
      <c r="CO98" s="201">
        <f>SUMIFS('3a Staff Plan'!$CC$129:$CC$305,'3a Staff Plan'!$DY$129:$DY$305,$IA98,'3a Staff Plan'!$DF$129:$DF$305,1,'3a Staff Plan'!$AG$129:$AG$305,1)</f>
        <v>0</v>
      </c>
      <c r="CP98" s="201">
        <f>SUMIFS('3a Staff Plan'!$CD$129:$CD$305,'3a Staff Plan'!$DY$129:$DY$305,$IA98,'3a Staff Plan'!$DF$129:$DF$305,1,'3a Staff Plan'!$AG$129:$AG$305,1)</f>
        <v>0</v>
      </c>
      <c r="CQ98" s="201">
        <f>SUMIFS('3a Staff Plan'!$CE$129:$CE$305,'3a Staff Plan'!$DY$129:$DY$305,$IA98,'3a Staff Plan'!$DF$129:$DF$305,1,'3a Staff Plan'!$AG$129:$AG$305,1)</f>
        <v>0</v>
      </c>
      <c r="CR98" s="201">
        <f>SUMIFS('3a Staff Plan'!$CF$129:$CF$305,'3a Staff Plan'!$DY$129:$DY$305,$IA98,'3a Staff Plan'!$DF$129:$DF$305,1,'3a Staff Plan'!$AG$129:$AG$305,1)</f>
        <v>0</v>
      </c>
      <c r="CS98" s="201">
        <f>SUMIFS('3a Staff Plan'!$CG$129:$CG$305,'3a Staff Plan'!$DY$129:$DY$305,$IA98,'3a Staff Plan'!$DF$129:$DF$305,1,'3a Staff Plan'!$AG$129:$AG$305,1)</f>
        <v>0</v>
      </c>
      <c r="CT98" s="201"/>
      <c r="CU98" s="1818">
        <f t="shared" si="210"/>
        <v>0</v>
      </c>
      <c r="CV98" s="1768"/>
      <c r="CW98" s="1768">
        <f t="shared" si="211"/>
        <v>0</v>
      </c>
      <c r="CX98" s="201"/>
      <c r="CY98" s="201">
        <f t="shared" si="212"/>
        <v>0</v>
      </c>
      <c r="CZ98" s="201">
        <f t="shared" si="213"/>
        <v>0</v>
      </c>
      <c r="DA98" s="201">
        <f t="shared" si="214"/>
        <v>0</v>
      </c>
      <c r="DB98" s="201">
        <f t="shared" si="215"/>
        <v>0</v>
      </c>
      <c r="DC98" s="201">
        <f t="shared" si="216"/>
        <v>0</v>
      </c>
      <c r="DD98" s="201">
        <f t="shared" si="217"/>
        <v>0</v>
      </c>
      <c r="DE98" s="201">
        <f t="shared" si="218"/>
        <v>0</v>
      </c>
      <c r="DF98" s="201">
        <f t="shared" si="219"/>
        <v>0</v>
      </c>
      <c r="DG98" s="201">
        <f t="shared" si="220"/>
        <v>0</v>
      </c>
      <c r="DH98" s="201">
        <f t="shared" si="221"/>
        <v>0</v>
      </c>
      <c r="DI98" s="201"/>
      <c r="DJ98" s="201"/>
      <c r="DK98" s="201"/>
      <c r="DL98" s="201"/>
      <c r="DM98" s="372">
        <f t="shared" ca="1" si="283"/>
        <v>0</v>
      </c>
      <c r="DN98" s="1185">
        <f t="shared" si="284"/>
        <v>0</v>
      </c>
      <c r="DO98" s="1185">
        <f t="shared" si="285"/>
        <v>0</v>
      </c>
      <c r="DP98" s="201"/>
      <c r="DQ98" s="372">
        <f t="shared" ca="1" si="286"/>
        <v>0</v>
      </c>
      <c r="DR98" s="1185">
        <f t="shared" si="287"/>
        <v>0</v>
      </c>
      <c r="DS98" s="1185">
        <f t="shared" si="288"/>
        <v>0</v>
      </c>
      <c r="DT98" s="201"/>
      <c r="DU98" s="372">
        <f t="shared" ca="1" si="289"/>
        <v>0</v>
      </c>
      <c r="DV98" s="372">
        <f t="shared" si="290"/>
        <v>0</v>
      </c>
      <c r="DW98" s="372">
        <f t="shared" si="290"/>
        <v>0</v>
      </c>
      <c r="DX98" s="201"/>
      <c r="DY98" s="372">
        <f t="shared" si="291"/>
        <v>0</v>
      </c>
      <c r="DZ98" s="372">
        <f t="shared" ca="1" si="292"/>
        <v>0</v>
      </c>
      <c r="EA98" s="201"/>
      <c r="EB98" s="2776">
        <f>IF(EO98=$EO$53,1,IFERROR(INDEX('Currency Data'!$L$8:$L$41,MATCH(EO98,'Currency Data'!$H$8:$H$41,0)),1))</f>
        <v>1</v>
      </c>
      <c r="EC98" s="2776">
        <f t="shared" si="147"/>
        <v>1</v>
      </c>
      <c r="ED98" s="428">
        <f>IF(GQ98=1,'1 Setup'!$T$68,IF(ISBLANK(IJ98),II98/EC98*IF(GL98=1,$ED$53,1),IJ98/EC98)*IF($EW98=7,JW98,1))</f>
        <v>0</v>
      </c>
      <c r="EE98" s="428">
        <f t="shared" si="293"/>
        <v>0</v>
      </c>
      <c r="EF98" s="428"/>
      <c r="EG98" s="1965" t="str">
        <f t="shared" si="148"/>
        <v>031500 - Highways UK</v>
      </c>
      <c r="EH98" s="201">
        <f t="shared" si="149"/>
        <v>1</v>
      </c>
      <c r="EI98" s="445" t="str">
        <f>IF(EH98=1,$EI$53,IF(GQ98=1,$GQ$55,IFERROR(IF($EG98=$EG$53,$EI$53,INDEX('PU List'!$G$6:$G$413,MATCH($EG98,'PU List'!$D$6:$D$413,0))),$EI$53)))</f>
        <v>GB - BIAF</v>
      </c>
      <c r="EJ98" s="2773" t="str">
        <f t="shared" si="150"/>
        <v>GB - BIAF</v>
      </c>
      <c r="EK98" s="1768"/>
      <c r="EL98" s="3283">
        <f>IF(OR(EW98&gt;7,$EL$53=0),0,IF(EJ98=$EI$53,$EL$53,IFERROR(INDEX('Fringe Data'!$U$8:$U$129,MATCH($EJ98,'Fringe Data'!$F$8:$F$129,0)),0)))</f>
        <v>1.73</v>
      </c>
      <c r="EM98" s="372">
        <f t="shared" si="294"/>
        <v>0</v>
      </c>
      <c r="EN98" s="201" t="str">
        <f>IFERROR(INDEX('Fringe Data'!$G$8:$G$64,MATCH($EJ98,'Fringe Data'!$F$8:$F$64,0)),$EO$53)</f>
        <v>GBP</v>
      </c>
      <c r="EO98" s="201" t="str">
        <f t="shared" si="151"/>
        <v>GBP</v>
      </c>
      <c r="EP98" s="201">
        <f>IF(EI98=$EI$53,$EP$49,IF(GP98=1,0,IFERROR(INDEX('Fringe Data'!$K$8:$K$64,MATCH($EI98,'Fringe Data'!$F$8:$F$64,0)),0)))</f>
        <v>0.52</v>
      </c>
      <c r="EQ98" s="201">
        <f>IF(EI98=$EI$53,$EQ$49,IF(GP98=1,0,IFERROR(INDEX('Fringe Data'!$L$8:$L$64,MATCH($EI98,'Fringe Data'!$F$8:$F$64,0)),0)))</f>
        <v>1.8499999999999999E-2</v>
      </c>
      <c r="ER98" s="201">
        <f>IF(EI98=$EI$53,$ER$49,IF(GP98=1,0,IFERROR(INDEX('Fringe Data'!$M$8:$M$64,MATCH($EI98,'Fringe Data'!$F$8:$F$64,0)),0)))</f>
        <v>0.43430000000000002</v>
      </c>
      <c r="ES98" s="201">
        <f>IF(EI98=$EI$53,$ES$49,IF(GP98=1,0,IFERROR(INDEX('Fringe Data'!$N$8:$N$64,MATCH($EI98,'Fringe Data'!$F$8:$F$64,0)),0)))</f>
        <v>0.1565</v>
      </c>
      <c r="ET98" s="201">
        <f>IF(EI98=$EI$53,$ET$49,IF(GP98=1,0,IFERROR(INDEX('Fringe Data'!$O$8:$O$64,MATCH($EI98,'Fringe Data'!$F$8:$F$64,0)),0)))</f>
        <v>0.33450000000000002</v>
      </c>
      <c r="EU98" s="263">
        <f>IF(EI98=$EI$53,$EU$49,IF(GP98=1,0,IFERROR(INDEX('Fringe Data'!$P$8:$P$64,MATCH($EI98,'Fringe Data'!$F$8:$F$64,0)),0)))</f>
        <v>0.1565</v>
      </c>
      <c r="EV98" s="201"/>
      <c r="EW98" s="1530">
        <f t="shared" si="295"/>
        <v>1</v>
      </c>
      <c r="EX98" s="1534">
        <f t="shared" si="152"/>
        <v>0.52</v>
      </c>
      <c r="EY98" s="321">
        <f t="shared" si="153"/>
        <v>0</v>
      </c>
      <c r="EZ98" s="201">
        <f t="shared" si="154"/>
        <v>0</v>
      </c>
      <c r="FA98" s="372">
        <f t="shared" si="296"/>
        <v>0</v>
      </c>
      <c r="FB98" s="372">
        <f t="shared" si="297"/>
        <v>0</v>
      </c>
      <c r="FC98" s="201">
        <f t="shared" ca="1" si="155"/>
        <v>0</v>
      </c>
      <c r="FD98" s="423">
        <f t="shared" si="298"/>
        <v>0</v>
      </c>
      <c r="FE98" s="423">
        <f t="shared" si="299"/>
        <v>0</v>
      </c>
      <c r="FF98" s="201">
        <f t="shared" si="156"/>
        <v>0</v>
      </c>
      <c r="FG98" s="425">
        <f>IF(OR($FJ$52=3,$FJ$52=4,$FJ$52=5),'1 Setup'!$W$96,0)</f>
        <v>0</v>
      </c>
      <c r="FH98" s="428">
        <f>IF($FJ$52=5,'1 Setup'!$W$98,IF($FJ$52=6,'1 Setup'!$S$86,0))</f>
        <v>0</v>
      </c>
      <c r="FI98" s="321">
        <f t="shared" ca="1" si="300"/>
        <v>0</v>
      </c>
      <c r="FJ98" s="263">
        <f t="shared" ca="1" si="157"/>
        <v>0</v>
      </c>
      <c r="FK98" s="372">
        <f t="shared" ca="1" si="301"/>
        <v>0</v>
      </c>
      <c r="FL98" s="372">
        <f t="shared" si="302"/>
        <v>0</v>
      </c>
      <c r="FM98" s="372">
        <f t="shared" si="303"/>
        <v>0</v>
      </c>
      <c r="FN98" s="2036">
        <f t="shared" ca="1" si="304"/>
        <v>0</v>
      </c>
      <c r="FO98" s="372">
        <f t="shared" ca="1" si="224"/>
        <v>0</v>
      </c>
      <c r="FP98" s="2723">
        <f t="shared" si="158"/>
        <v>0</v>
      </c>
      <c r="FQ98" s="372">
        <f t="shared" si="305"/>
        <v>0</v>
      </c>
      <c r="FR98" s="372">
        <f t="shared" si="159"/>
        <v>0</v>
      </c>
      <c r="FS98" s="1168"/>
      <c r="FT98" s="1168">
        <f t="shared" si="306"/>
        <v>0</v>
      </c>
      <c r="FU98" s="1168">
        <f t="shared" si="307"/>
        <v>0</v>
      </c>
      <c r="FV98" s="1168">
        <f t="shared" si="308"/>
        <v>0</v>
      </c>
      <c r="FW98" s="1168">
        <f t="shared" si="309"/>
        <v>0</v>
      </c>
      <c r="FX98" s="1168">
        <f t="shared" si="310"/>
        <v>0</v>
      </c>
      <c r="FY98" s="1168">
        <f t="shared" si="311"/>
        <v>0</v>
      </c>
      <c r="FZ98" s="1168">
        <f t="shared" si="312"/>
        <v>0</v>
      </c>
      <c r="GA98" s="1168">
        <f t="shared" si="313"/>
        <v>0</v>
      </c>
      <c r="GB98" s="1168">
        <f t="shared" si="314"/>
        <v>0</v>
      </c>
      <c r="GC98" s="1168">
        <f t="shared" si="315"/>
        <v>0</v>
      </c>
      <c r="GD98" s="1168"/>
      <c r="GE98" s="199"/>
      <c r="GF98" s="201">
        <f t="shared" si="316"/>
        <v>0</v>
      </c>
      <c r="GG98" s="201">
        <f t="shared" si="317"/>
        <v>0</v>
      </c>
      <c r="GH98" s="201">
        <f t="shared" si="318"/>
        <v>0</v>
      </c>
      <c r="GI98" s="201">
        <f t="shared" ca="1" si="160"/>
        <v>0</v>
      </c>
      <c r="GJ98" s="201">
        <f t="shared" si="319"/>
        <v>0</v>
      </c>
      <c r="GK98" s="201">
        <f t="shared" si="320"/>
        <v>0</v>
      </c>
      <c r="GL98" s="201">
        <f t="shared" si="321"/>
        <v>1</v>
      </c>
      <c r="GM98" s="201">
        <f t="shared" si="322"/>
        <v>1</v>
      </c>
      <c r="GN98" s="201"/>
      <c r="GO98" s="201"/>
      <c r="GP98" s="201">
        <f t="shared" si="323"/>
        <v>0</v>
      </c>
      <c r="GQ98" s="201">
        <f t="shared" si="324"/>
        <v>0</v>
      </c>
      <c r="GR98" s="201">
        <f t="shared" si="161"/>
        <v>0</v>
      </c>
      <c r="GS98" s="1768"/>
      <c r="GT98" s="201">
        <f t="shared" si="325"/>
        <v>1</v>
      </c>
      <c r="GU98" s="201">
        <f t="shared" si="193"/>
        <v>35</v>
      </c>
      <c r="GV98" s="201">
        <f t="shared" si="326"/>
        <v>0</v>
      </c>
      <c r="GW98" s="201">
        <f t="shared" si="327"/>
        <v>3</v>
      </c>
      <c r="GX98" s="201">
        <f t="shared" si="162"/>
        <v>0</v>
      </c>
      <c r="GY98" s="1998"/>
      <c r="GZ98" s="253"/>
      <c r="HA98" s="195">
        <f t="shared" ref="HA98:HA111" si="407">IA98</f>
        <v>0</v>
      </c>
      <c r="HB98" s="3558">
        <f t="shared" si="82"/>
        <v>0</v>
      </c>
      <c r="HC98" s="3590"/>
      <c r="HD98" s="257" t="str">
        <f t="shared" si="328"/>
        <v/>
      </c>
      <c r="HE98" s="825">
        <f t="shared" si="329"/>
        <v>0</v>
      </c>
      <c r="HF98" s="506" t="s">
        <v>5</v>
      </c>
      <c r="HG98" s="508">
        <f t="shared" ca="1" si="330"/>
        <v>0</v>
      </c>
      <c r="HH98" s="3585">
        <f t="shared" si="331"/>
        <v>0</v>
      </c>
      <c r="HI98" s="3586"/>
      <c r="HJ98" s="522">
        <f t="shared" ref="HJ98:HJ111" ca="1" si="408">HG98-HH98</f>
        <v>0</v>
      </c>
      <c r="HK98" s="456">
        <f t="shared" ca="1" si="226"/>
        <v>0</v>
      </c>
      <c r="HL98" s="3591">
        <f t="shared" ref="HL98:HL111" ca="1" si="409">IFERROR(HJ98/HE98,0)</f>
        <v>0</v>
      </c>
      <c r="HM98" s="3592"/>
      <c r="HN98" s="240"/>
      <c r="HO98" s="1998"/>
      <c r="HP98" s="1991"/>
      <c r="HQ98" s="2770" t="str">
        <f t="shared" si="332"/>
        <v>GB - BIAF</v>
      </c>
      <c r="HR98" s="2770" t="str">
        <f t="shared" si="333"/>
        <v>GBP</v>
      </c>
      <c r="HS98" s="2771">
        <f t="shared" si="334"/>
        <v>1</v>
      </c>
      <c r="HT98" s="3488"/>
      <c r="HU98" s="2771">
        <f t="shared" si="335"/>
        <v>1.73</v>
      </c>
      <c r="HW98" s="1218"/>
      <c r="HX98" s="520"/>
      <c r="HY98" s="2523"/>
      <c r="HZ98" s="194"/>
      <c r="IA98" s="1013"/>
      <c r="IB98" s="193"/>
      <c r="IC98" s="3276">
        <v>35</v>
      </c>
      <c r="ID98" s="986"/>
      <c r="IE98" s="938">
        <f t="shared" si="164"/>
        <v>0</v>
      </c>
      <c r="IF98" s="938">
        <f t="shared" si="165"/>
        <v>0</v>
      </c>
      <c r="IG98" s="432"/>
      <c r="II98" s="405"/>
      <c r="IJ98" s="239"/>
      <c r="IK98" s="2774" t="str">
        <f t="shared" si="166"/>
        <v>GBP</v>
      </c>
      <c r="IL98" s="2148"/>
      <c r="IM98" s="1936">
        <f t="shared" si="336"/>
        <v>0</v>
      </c>
      <c r="IO98" s="1959" t="str">
        <f t="shared" si="337"/>
        <v/>
      </c>
      <c r="IP98" s="1958"/>
      <c r="IQ98" s="543">
        <f t="shared" si="338"/>
        <v>0.52</v>
      </c>
      <c r="IR98" s="1936">
        <f t="shared" si="339"/>
        <v>0</v>
      </c>
      <c r="IT98" s="1364"/>
      <c r="IU98" s="210"/>
      <c r="IV98" s="218"/>
      <c r="IW98" s="1938">
        <f ca="1">IF(NOT(ISBLANK(IU98)),IU98,IF('1 Setup'!$G$8&lt;7,JK98,FJ98))+KA98</f>
        <v>0</v>
      </c>
      <c r="IX98" s="409">
        <f t="shared" si="340"/>
        <v>0</v>
      </c>
      <c r="IY98" s="408">
        <f t="shared" si="341"/>
        <v>0</v>
      </c>
      <c r="IZ98" s="1983"/>
      <c r="JA98" s="1994"/>
      <c r="JB98" s="1991"/>
      <c r="JD98" s="2029">
        <f t="shared" si="167"/>
        <v>0</v>
      </c>
      <c r="JE98" s="479"/>
      <c r="JF98" s="2025">
        <f t="shared" si="342"/>
        <v>0</v>
      </c>
      <c r="JG98" s="429">
        <f t="shared" si="343"/>
        <v>0</v>
      </c>
      <c r="JH98" s="1667">
        <f t="shared" si="344"/>
        <v>0</v>
      </c>
      <c r="JJ98" s="1163">
        <f t="shared" ca="1" si="345"/>
        <v>0</v>
      </c>
      <c r="JK98" s="1163">
        <f t="shared" ca="1" si="346"/>
        <v>0</v>
      </c>
      <c r="JL98" s="1795"/>
      <c r="JN98" s="2505"/>
      <c r="JO98" s="1161"/>
      <c r="JP98" s="571">
        <f t="shared" ref="JP98:JP113" ca="1" si="410">FI98</f>
        <v>0</v>
      </c>
      <c r="JQ98" s="2506"/>
      <c r="JR98" s="1953"/>
      <c r="JS98" s="2650"/>
      <c r="JT98" s="2507"/>
      <c r="JU98" s="1964">
        <f t="shared" si="347"/>
        <v>0.33450000000000002</v>
      </c>
      <c r="JV98" s="3199"/>
      <c r="JW98" s="2649">
        <f t="shared" si="348"/>
        <v>1.5</v>
      </c>
      <c r="JX98" s="1964">
        <f t="shared" si="168"/>
        <v>0.1565</v>
      </c>
      <c r="JY98" s="3199"/>
      <c r="JZ98" s="2649">
        <f t="shared" si="169"/>
        <v>0</v>
      </c>
      <c r="KA98" s="2649">
        <f t="shared" si="170"/>
        <v>0</v>
      </c>
      <c r="KB98" s="2649" t="s">
        <v>111</v>
      </c>
      <c r="KC98" s="1983"/>
      <c r="KD98" s="1974"/>
      <c r="KE98" s="1991"/>
      <c r="KF98" s="2029">
        <f t="shared" si="171"/>
        <v>0</v>
      </c>
      <c r="KG98" s="1991"/>
      <c r="KH98" s="2121">
        <f t="shared" si="349"/>
        <v>0</v>
      </c>
      <c r="KI98" s="2130">
        <f t="shared" si="350"/>
        <v>0</v>
      </c>
      <c r="KJ98" s="2130">
        <f t="shared" si="351"/>
        <v>0</v>
      </c>
      <c r="KK98" s="2130">
        <f t="shared" si="352"/>
        <v>0</v>
      </c>
      <c r="KL98" s="2131">
        <f t="shared" si="353"/>
        <v>0</v>
      </c>
      <c r="KM98" s="2132">
        <f t="shared" si="354"/>
        <v>0</v>
      </c>
      <c r="KN98" s="2132">
        <f t="shared" si="355"/>
        <v>0</v>
      </c>
      <c r="KO98" s="2132">
        <f t="shared" si="356"/>
        <v>0</v>
      </c>
      <c r="KP98" s="2132">
        <f t="shared" si="357"/>
        <v>0</v>
      </c>
      <c r="KQ98" s="2133">
        <f t="shared" si="358"/>
        <v>0</v>
      </c>
      <c r="KS98" s="2253">
        <f t="shared" si="359"/>
        <v>0</v>
      </c>
      <c r="KT98" s="2270">
        <f t="shared" ref="KT98:LB98" si="411">KS98*(1+(KT$60))</f>
        <v>0</v>
      </c>
      <c r="KU98" s="2271">
        <f t="shared" si="411"/>
        <v>0</v>
      </c>
      <c r="KV98" s="2271">
        <f t="shared" si="411"/>
        <v>0</v>
      </c>
      <c r="KW98" s="2272">
        <f t="shared" si="411"/>
        <v>0</v>
      </c>
      <c r="KX98" s="2271">
        <f t="shared" si="411"/>
        <v>0</v>
      </c>
      <c r="KY98" s="2271">
        <f t="shared" si="411"/>
        <v>0</v>
      </c>
      <c r="KZ98" s="2271">
        <f t="shared" si="411"/>
        <v>0</v>
      </c>
      <c r="LA98" s="2271">
        <f t="shared" si="411"/>
        <v>0</v>
      </c>
      <c r="LB98" s="2273">
        <f t="shared" si="411"/>
        <v>0</v>
      </c>
      <c r="LC98" s="272"/>
      <c r="LD98" s="2124">
        <f t="shared" si="361"/>
        <v>0</v>
      </c>
      <c r="LE98" s="2093">
        <f t="shared" si="362"/>
        <v>0</v>
      </c>
      <c r="LF98" s="2093">
        <f t="shared" si="363"/>
        <v>0</v>
      </c>
      <c r="LG98" s="2093">
        <f t="shared" si="364"/>
        <v>0</v>
      </c>
      <c r="LH98" s="2094">
        <f t="shared" si="365"/>
        <v>0</v>
      </c>
      <c r="LI98" s="2095">
        <f t="shared" si="366"/>
        <v>0</v>
      </c>
      <c r="LJ98" s="2095">
        <f t="shared" si="367"/>
        <v>0</v>
      </c>
      <c r="LK98" s="2095">
        <f t="shared" si="368"/>
        <v>0</v>
      </c>
      <c r="LL98" s="2095">
        <f t="shared" si="369"/>
        <v>0</v>
      </c>
      <c r="LM98" s="2096">
        <f t="shared" si="370"/>
        <v>0</v>
      </c>
      <c r="LN98" s="749"/>
      <c r="LO98" s="2256">
        <f t="shared" ca="1" si="371"/>
        <v>0</v>
      </c>
      <c r="LP98" s="2270">
        <f t="shared" ca="1" si="372"/>
        <v>0</v>
      </c>
      <c r="LQ98" s="2271">
        <f t="shared" ca="1" si="373"/>
        <v>0</v>
      </c>
      <c r="LR98" s="2271">
        <f t="shared" ca="1" si="374"/>
        <v>0</v>
      </c>
      <c r="LS98" s="2272">
        <f t="shared" ca="1" si="375"/>
        <v>0</v>
      </c>
      <c r="LT98" s="2271">
        <f t="shared" ca="1" si="376"/>
        <v>0</v>
      </c>
      <c r="LU98" s="2271">
        <f t="shared" ca="1" si="377"/>
        <v>0</v>
      </c>
      <c r="LV98" s="2271">
        <f t="shared" ca="1" si="378"/>
        <v>0</v>
      </c>
      <c r="LW98" s="2271">
        <f t="shared" ca="1" si="379"/>
        <v>0</v>
      </c>
      <c r="LX98" s="2273">
        <f t="shared" ca="1" si="380"/>
        <v>0</v>
      </c>
      <c r="LY98" s="479"/>
      <c r="LZ98" s="3128">
        <f t="shared" ca="1" si="173"/>
        <v>-1.73</v>
      </c>
      <c r="MA98" s="3129">
        <f t="shared" ca="1" si="174"/>
        <v>-1.73</v>
      </c>
      <c r="MB98" s="3129">
        <f t="shared" ca="1" si="175"/>
        <v>-1.73</v>
      </c>
      <c r="MC98" s="3129">
        <f t="shared" ca="1" si="176"/>
        <v>-1.73</v>
      </c>
      <c r="MD98" s="3130">
        <f t="shared" ca="1" si="177"/>
        <v>-1.73</v>
      </c>
      <c r="ME98" s="3129">
        <f t="shared" ca="1" si="178"/>
        <v>-1.73</v>
      </c>
      <c r="MF98" s="3129">
        <f t="shared" ca="1" si="179"/>
        <v>-1.73</v>
      </c>
      <c r="MG98" s="3129">
        <f t="shared" ca="1" si="180"/>
        <v>-1.73</v>
      </c>
      <c r="MH98" s="3129">
        <f t="shared" ca="1" si="181"/>
        <v>-1.73</v>
      </c>
      <c r="MI98" s="3131">
        <f t="shared" ca="1" si="182"/>
        <v>-1.73</v>
      </c>
      <c r="MJ98" s="3201"/>
      <c r="MK98" s="3206">
        <f t="shared" ca="1" si="183"/>
        <v>0</v>
      </c>
      <c r="ML98" s="3207">
        <f t="shared" ca="1" si="184"/>
        <v>0</v>
      </c>
      <c r="MM98" s="3207">
        <f t="shared" ca="1" si="185"/>
        <v>0</v>
      </c>
      <c r="MN98" s="3207">
        <f t="shared" ca="1" si="186"/>
        <v>0</v>
      </c>
      <c r="MO98" s="3208">
        <f t="shared" ca="1" si="187"/>
        <v>0</v>
      </c>
      <c r="MP98" s="3207">
        <f t="shared" ca="1" si="188"/>
        <v>0</v>
      </c>
      <c r="MQ98" s="3207">
        <f t="shared" ca="1" si="189"/>
        <v>0</v>
      </c>
      <c r="MR98" s="3207">
        <f t="shared" ca="1" si="190"/>
        <v>0</v>
      </c>
      <c r="MS98" s="3207">
        <f t="shared" ca="1" si="191"/>
        <v>0</v>
      </c>
      <c r="MT98" s="3209">
        <f t="shared" ca="1" si="192"/>
        <v>0</v>
      </c>
      <c r="MU98" s="1983"/>
      <c r="MV98" s="1975"/>
      <c r="MW98" s="1991"/>
      <c r="MX98" s="1931">
        <f t="shared" si="381"/>
        <v>0</v>
      </c>
      <c r="MY98" s="749"/>
      <c r="MZ98" s="1934">
        <f t="shared" si="382"/>
        <v>0</v>
      </c>
      <c r="NA98" s="1935"/>
      <c r="NB98" s="2652">
        <f t="shared" si="383"/>
        <v>0</v>
      </c>
      <c r="NC98" s="479"/>
      <c r="ND98" s="2749" t="str">
        <f t="shared" si="384"/>
        <v/>
      </c>
      <c r="NE98" s="2717"/>
      <c r="NF98" s="1975"/>
      <c r="NG98" s="1975"/>
      <c r="NH98" s="1975"/>
      <c r="NI98" s="1975"/>
    </row>
    <row r="99" spans="1:373" s="192" customFormat="1" ht="15.9" customHeight="1" x14ac:dyDescent="0.3">
      <c r="A99" s="200"/>
      <c r="B99" s="200"/>
      <c r="C99" s="200"/>
      <c r="D99" s="200"/>
      <c r="E99" s="200"/>
      <c r="F99" s="200"/>
      <c r="G99" s="200"/>
      <c r="H99" s="200"/>
      <c r="I99" s="200"/>
      <c r="J99" s="200"/>
      <c r="K99" s="200"/>
      <c r="L99" s="200"/>
      <c r="M99" s="200"/>
      <c r="N99" s="200"/>
      <c r="O99" s="200"/>
      <c r="P99" s="1539"/>
      <c r="Q99" s="1539"/>
      <c r="R99" s="198"/>
      <c r="S99" s="1539"/>
      <c r="T99" s="201"/>
      <c r="U99" s="200"/>
      <c r="V99" s="201">
        <f>MATCH($IC99,'3b Activity Plan'!$DJ$171:$FH$171,0)</f>
        <v>36</v>
      </c>
      <c r="W99" s="201">
        <f>IFERROR(INDEX('3b Activity Plan'!$DJ$6:$FH$6,V99),0)</f>
        <v>0</v>
      </c>
      <c r="X99" s="1768"/>
      <c r="Y99" s="1768">
        <f>IFERROR(INDEX('3b Activity Plan'!$DJ$7:$FH$7,V99),0)</f>
        <v>0</v>
      </c>
      <c r="Z99" s="201"/>
      <c r="AA99" s="201">
        <f>IFERROR(INDEX('3b Activity Plan'!$DJ$34:$FH$34,$V99),0)</f>
        <v>0</v>
      </c>
      <c r="AB99" s="201">
        <f>IFERROR(INDEX('3b Activity Plan'!$DJ$35:$FH$35,$V99),0)</f>
        <v>0</v>
      </c>
      <c r="AC99" s="201">
        <f>IFERROR(INDEX('3b Activity Plan'!$DJ$36:$FH$36,$V99),0)</f>
        <v>0</v>
      </c>
      <c r="AD99" s="201">
        <f>IFERROR(INDEX('3b Activity Plan'!$DJ$37:$FH$37,$V99),0)</f>
        <v>0</v>
      </c>
      <c r="AE99" s="201">
        <f>IFERROR(INDEX('3b Activity Plan'!$DJ$38:$FH$38,$V99),0)</f>
        <v>0</v>
      </c>
      <c r="AF99" s="201">
        <f>IFERROR(INDEX('3b Activity Plan'!$DJ$39:$FH$39,$V99),0)</f>
        <v>0</v>
      </c>
      <c r="AG99" s="201">
        <f>IFERROR(INDEX('3b Activity Plan'!$DJ$40:$FH$40,$V99),0)</f>
        <v>0</v>
      </c>
      <c r="AH99" s="201">
        <f>IFERROR(INDEX('3b Activity Plan'!$DJ$41:$FH$41,$V99),0)</f>
        <v>0</v>
      </c>
      <c r="AI99" s="201">
        <f>IFERROR(INDEX('3b Activity Plan'!$DJ$42:$FH$42,$V99),0)</f>
        <v>0</v>
      </c>
      <c r="AJ99" s="201">
        <f>IFERROR(INDEX('3b Activity Plan'!$DJ$43:$FH$43,$V99),0)</f>
        <v>0</v>
      </c>
      <c r="AK99" s="201"/>
      <c r="AL99" s="201">
        <f>SUMIFS('3a Staff Plan'!$AR$129:$AR$305,'3a Staff Plan'!$DY$129:$DY$305,$IA99,'3a Staff Plan'!$DF$129:$DF$305,1)</f>
        <v>0</v>
      </c>
      <c r="AM99" s="1768"/>
      <c r="AN99" s="1768">
        <f>SUMIFS('3a Staff Plan'!$AR$129:$AR$305,'3a Staff Plan'!$DY$129:$DY$305,$IA99,'3a Staff Plan'!$CV$129:$CV$305,1)</f>
        <v>0</v>
      </c>
      <c r="AO99" s="201"/>
      <c r="AP99" s="201">
        <f>SUMIFS('3a Staff Plan'!$AS$129:$AS$305,'3a Staff Plan'!$DY$129:$DY$305,$IA99,'3a Staff Plan'!$DF$129:$DF$305,1)</f>
        <v>0</v>
      </c>
      <c r="AQ99" s="201">
        <f>SUMIFS('3a Staff Plan'!$AT$129:$AT$305,'3a Staff Plan'!$DY$129:$DY$305,$IA99,'3a Staff Plan'!$DF$129:$DF$305,1)</f>
        <v>0</v>
      </c>
      <c r="AR99" s="201">
        <f>SUMIFS('3a Staff Plan'!$AU$129:$AU$305,'3a Staff Plan'!$DY$129:$DY$305,$IA99,'3a Staff Plan'!$DF$129:$DF$305,1)</f>
        <v>0</v>
      </c>
      <c r="AS99" s="201">
        <f>SUMIFS('3a Staff Plan'!$AV$129:$AV$305,'3a Staff Plan'!$DY$129:$DY$305,$IA99,'3a Staff Plan'!$DF$129:$DF$305,1)</f>
        <v>0</v>
      </c>
      <c r="AT99" s="201">
        <f>SUMIFS('3a Staff Plan'!$AW$129:$AW$305,'3a Staff Plan'!$DY$129:$DY$305,$IA99,'3a Staff Plan'!$DF$129:$DF$305,1)</f>
        <v>0</v>
      </c>
      <c r="AU99" s="201">
        <f>SUMIFS('3a Staff Plan'!$AX$129:$AX$305,'3a Staff Plan'!$DY$129:$DY$305,$IA99,'3a Staff Plan'!$DF$129:$DF$305,1)</f>
        <v>0</v>
      </c>
      <c r="AV99" s="201">
        <f>SUMIFS('3a Staff Plan'!$AY$129:$AY$305,'3a Staff Plan'!$DY$129:$DY$305,$IA99,'3a Staff Plan'!$DF$129:$DF$305,1)</f>
        <v>0</v>
      </c>
      <c r="AW99" s="201">
        <f>SUMIFS('3a Staff Plan'!$AZ$129:$AZ$305,'3a Staff Plan'!$DY$129:$DY$305,$IA99,'3a Staff Plan'!$DF$129:$DF$305,1)</f>
        <v>0</v>
      </c>
      <c r="AX99" s="201">
        <f>SUMIFS('3a Staff Plan'!$BA$129:$BA$305,'3a Staff Plan'!$DY$129:$DY$305,$IA99,'3a Staff Plan'!$DF$129:$DF$305,1)</f>
        <v>0</v>
      </c>
      <c r="AY99" s="201">
        <f>SUMIFS('3a Staff Plan'!$BB$129:$BB$305,'3a Staff Plan'!$DY$129:$DY$305,$IA99,'3a Staff Plan'!$DF$129:$DF$305,1)</f>
        <v>0</v>
      </c>
      <c r="AZ99" s="201"/>
      <c r="BA99" s="201">
        <f t="shared" si="198"/>
        <v>0</v>
      </c>
      <c r="BB99" s="1768"/>
      <c r="BC99" s="1768">
        <f t="shared" si="199"/>
        <v>0</v>
      </c>
      <c r="BD99" s="201"/>
      <c r="BE99" s="201">
        <f t="shared" si="200"/>
        <v>0</v>
      </c>
      <c r="BF99" s="201">
        <f t="shared" si="201"/>
        <v>0</v>
      </c>
      <c r="BG99" s="201">
        <f t="shared" si="202"/>
        <v>0</v>
      </c>
      <c r="BH99" s="201">
        <f t="shared" si="203"/>
        <v>0</v>
      </c>
      <c r="BI99" s="201">
        <f t="shared" si="204"/>
        <v>0</v>
      </c>
      <c r="BJ99" s="201">
        <f t="shared" si="205"/>
        <v>0</v>
      </c>
      <c r="BK99" s="201">
        <f t="shared" si="206"/>
        <v>0</v>
      </c>
      <c r="BL99" s="201">
        <f t="shared" si="207"/>
        <v>0</v>
      </c>
      <c r="BM99" s="201">
        <f t="shared" si="208"/>
        <v>0</v>
      </c>
      <c r="BN99" s="201">
        <f t="shared" si="209"/>
        <v>0</v>
      </c>
      <c r="BO99" s="201"/>
      <c r="BP99" s="1818">
        <f t="shared" si="146"/>
        <v>36</v>
      </c>
      <c r="BQ99" s="1818">
        <f>IFERROR(INDEX('3b Activity Plan'!$DJ$15:$FH$15,BP99),0)</f>
        <v>0</v>
      </c>
      <c r="BR99" s="1768"/>
      <c r="BS99" s="1768">
        <f>IFERROR(INDEX('3b Activity Plan'!$DJ$16:$FH$16,BP99),0)</f>
        <v>0</v>
      </c>
      <c r="BT99" s="201"/>
      <c r="BU99" s="201">
        <f>IFERROR(INDEX('3b Activity Plan'!$DJ$67:$FH$67,$V99),0)</f>
        <v>0</v>
      </c>
      <c r="BV99" s="201">
        <f>IFERROR(INDEX('3b Activity Plan'!$DJ$68:$FH$68,$V99),0)</f>
        <v>0</v>
      </c>
      <c r="BW99" s="201">
        <f>IFERROR(INDEX('3b Activity Plan'!$DJ$69:$FH$69,$V99),0)</f>
        <v>0</v>
      </c>
      <c r="BX99" s="201">
        <f>IFERROR(INDEX('3b Activity Plan'!$DJ$70:$FH$70,$V99),0)</f>
        <v>0</v>
      </c>
      <c r="BY99" s="201">
        <f>IFERROR(INDEX('3b Activity Plan'!$DJ$71:$FH$71,$V99),0)</f>
        <v>0</v>
      </c>
      <c r="BZ99" s="201">
        <f>IFERROR(INDEX('3b Activity Plan'!$DJ$72:$FH$72,$V99),0)</f>
        <v>0</v>
      </c>
      <c r="CA99" s="201">
        <f>IFERROR(INDEX('3b Activity Plan'!$DJ$73:$FH$73,$V99),0)</f>
        <v>0</v>
      </c>
      <c r="CB99" s="201">
        <f>IFERROR(INDEX('3b Activity Plan'!$DJ$74:$FH$74,$V99),0)</f>
        <v>0</v>
      </c>
      <c r="CC99" s="201">
        <f>IFERROR(INDEX('3b Activity Plan'!$DJ$75:$FH$75,$V99),0)</f>
        <v>0</v>
      </c>
      <c r="CD99" s="201">
        <f>IFERROR(INDEX('3b Activity Plan'!$DJ$76:$FH$76,$V99),0)</f>
        <v>0</v>
      </c>
      <c r="CE99" s="201"/>
      <c r="CF99" s="1818">
        <f>SUMIFS('3a Staff Plan'!$AR$129:$AR$305,'3a Staff Plan'!$DY$129:$DY$305,$IA99,'3a Staff Plan'!$AG$129:$AG$305,1,'3a Staff Plan'!$DF$129:$DF$305,1)</f>
        <v>0</v>
      </c>
      <c r="CG99" s="1768">
        <f>SUMIFS('3a Staff Plan'!$AR$129:$AR$305,'3a Staff Plan'!$DY$129:$DY$305,$IA99,'3a Staff Plan'!$AG$129:$AG$305,1,'3a Staff Plan'!$CX$129:$CX$305,1)</f>
        <v>0</v>
      </c>
      <c r="CH99" s="1768">
        <f>SUMIFS('3a Staff Plan'!$AR$129:$AR$305,'3a Staff Plan'!$DY$129:$DY$305,$IA99,'3a Staff Plan'!$AG$129:$AG$305,1,'3a Staff Plan'!$CV$129:$CV$305,1)</f>
        <v>0</v>
      </c>
      <c r="CI99" s="201"/>
      <c r="CJ99" s="201">
        <f>SUMIFS('3a Staff Plan'!$BX$129:$BX$305,'3a Staff Plan'!$DY$129:$DY$305,$IA99,'3a Staff Plan'!$DF$129:$DF$305,1,'3a Staff Plan'!$AG$129:$AG$305,1)</f>
        <v>0</v>
      </c>
      <c r="CK99" s="201">
        <f>SUMIFS('3a Staff Plan'!$BY$129:$BY$305,'3a Staff Plan'!$DY$129:$DY$305,$IA99,'3a Staff Plan'!$DF$129:$DF$305,1,'3a Staff Plan'!$AG$129:$AG$305,1)</f>
        <v>0</v>
      </c>
      <c r="CL99" s="201">
        <f>SUMIFS('3a Staff Plan'!$BZ$129:$BZ$305,'3a Staff Plan'!$DY$129:$DY$305,$IA99,'3a Staff Plan'!$DF$129:$DF$305,1,'3a Staff Plan'!$AG$129:$AG$305,1)</f>
        <v>0</v>
      </c>
      <c r="CM99" s="201">
        <f>SUMIFS('3a Staff Plan'!$CA$129:$CA$305,'3a Staff Plan'!$DY$129:$DY$305,$IA99,'3a Staff Plan'!$DF$129:$DF$305,1,'3a Staff Plan'!$AG$129:$AG$305,1)</f>
        <v>0</v>
      </c>
      <c r="CN99" s="201">
        <f>SUMIFS('3a Staff Plan'!$CB$129:$CB$305,'3a Staff Plan'!$DY$129:$DY$305,$IA99,'3a Staff Plan'!$DF$129:$DF$305,1,'3a Staff Plan'!$AG$129:$AG$305,1)</f>
        <v>0</v>
      </c>
      <c r="CO99" s="201">
        <f>SUMIFS('3a Staff Plan'!$CC$129:$CC$305,'3a Staff Plan'!$DY$129:$DY$305,$IA99,'3a Staff Plan'!$DF$129:$DF$305,1,'3a Staff Plan'!$AG$129:$AG$305,1)</f>
        <v>0</v>
      </c>
      <c r="CP99" s="201">
        <f>SUMIFS('3a Staff Plan'!$CD$129:$CD$305,'3a Staff Plan'!$DY$129:$DY$305,$IA99,'3a Staff Plan'!$DF$129:$DF$305,1,'3a Staff Plan'!$AG$129:$AG$305,1)</f>
        <v>0</v>
      </c>
      <c r="CQ99" s="201">
        <f>SUMIFS('3a Staff Plan'!$CE$129:$CE$305,'3a Staff Plan'!$DY$129:$DY$305,$IA99,'3a Staff Plan'!$DF$129:$DF$305,1,'3a Staff Plan'!$AG$129:$AG$305,1)</f>
        <v>0</v>
      </c>
      <c r="CR99" s="201">
        <f>SUMIFS('3a Staff Plan'!$CF$129:$CF$305,'3a Staff Plan'!$DY$129:$DY$305,$IA99,'3a Staff Plan'!$DF$129:$DF$305,1,'3a Staff Plan'!$AG$129:$AG$305,1)</f>
        <v>0</v>
      </c>
      <c r="CS99" s="201">
        <f>SUMIFS('3a Staff Plan'!$CG$129:$CG$305,'3a Staff Plan'!$DY$129:$DY$305,$IA99,'3a Staff Plan'!$DF$129:$DF$305,1,'3a Staff Plan'!$AG$129:$AG$305,1)</f>
        <v>0</v>
      </c>
      <c r="CT99" s="201"/>
      <c r="CU99" s="1818">
        <f t="shared" si="210"/>
        <v>0</v>
      </c>
      <c r="CV99" s="1768"/>
      <c r="CW99" s="1768">
        <f t="shared" si="211"/>
        <v>0</v>
      </c>
      <c r="CX99" s="201"/>
      <c r="CY99" s="201">
        <f t="shared" si="212"/>
        <v>0</v>
      </c>
      <c r="CZ99" s="201">
        <f t="shared" si="213"/>
        <v>0</v>
      </c>
      <c r="DA99" s="201">
        <f t="shared" si="214"/>
        <v>0</v>
      </c>
      <c r="DB99" s="201">
        <f t="shared" si="215"/>
        <v>0</v>
      </c>
      <c r="DC99" s="201">
        <f t="shared" si="216"/>
        <v>0</v>
      </c>
      <c r="DD99" s="201">
        <f t="shared" si="217"/>
        <v>0</v>
      </c>
      <c r="DE99" s="201">
        <f t="shared" si="218"/>
        <v>0</v>
      </c>
      <c r="DF99" s="201">
        <f t="shared" si="219"/>
        <v>0</v>
      </c>
      <c r="DG99" s="201">
        <f t="shared" si="220"/>
        <v>0</v>
      </c>
      <c r="DH99" s="201">
        <f t="shared" si="221"/>
        <v>0</v>
      </c>
      <c r="DI99" s="201"/>
      <c r="DJ99" s="201"/>
      <c r="DK99" s="201"/>
      <c r="DL99" s="201"/>
      <c r="DM99" s="372">
        <f t="shared" ca="1" si="283"/>
        <v>0</v>
      </c>
      <c r="DN99" s="1185">
        <f t="shared" si="284"/>
        <v>0</v>
      </c>
      <c r="DO99" s="1185">
        <f t="shared" si="285"/>
        <v>0</v>
      </c>
      <c r="DP99" s="201"/>
      <c r="DQ99" s="372">
        <f t="shared" ca="1" si="286"/>
        <v>0</v>
      </c>
      <c r="DR99" s="1185">
        <f t="shared" si="287"/>
        <v>0</v>
      </c>
      <c r="DS99" s="1185">
        <f t="shared" si="288"/>
        <v>0</v>
      </c>
      <c r="DT99" s="201"/>
      <c r="DU99" s="372">
        <f t="shared" ca="1" si="289"/>
        <v>0</v>
      </c>
      <c r="DV99" s="372">
        <f t="shared" si="290"/>
        <v>0</v>
      </c>
      <c r="DW99" s="372">
        <f t="shared" si="290"/>
        <v>0</v>
      </c>
      <c r="DX99" s="201"/>
      <c r="DY99" s="372">
        <f t="shared" si="291"/>
        <v>0</v>
      </c>
      <c r="DZ99" s="372">
        <f t="shared" ca="1" si="292"/>
        <v>0</v>
      </c>
      <c r="EA99" s="201"/>
      <c r="EB99" s="2776">
        <f>IF(EO99=$EO$53,1,IFERROR(INDEX('Currency Data'!$L$8:$L$41,MATCH(EO99,'Currency Data'!$H$8:$H$41,0)),1))</f>
        <v>1</v>
      </c>
      <c r="EC99" s="2776">
        <f t="shared" si="147"/>
        <v>1</v>
      </c>
      <c r="ED99" s="428">
        <f>IF(GQ99=1,'1 Setup'!$T$68,IF(ISBLANK(IJ99),II99/EC99*IF(GL99=1,$ED$53,1),IJ99/EC99)*IF($EW99=7,JW99,1))</f>
        <v>0</v>
      </c>
      <c r="EE99" s="428">
        <f t="shared" si="293"/>
        <v>0</v>
      </c>
      <c r="EF99" s="428"/>
      <c r="EG99" s="1965" t="str">
        <f t="shared" si="148"/>
        <v>031500 - Highways UK</v>
      </c>
      <c r="EH99" s="201">
        <f t="shared" si="149"/>
        <v>1</v>
      </c>
      <c r="EI99" s="445" t="str">
        <f>IF(EH99=1,$EI$53,IF(GQ99=1,$GQ$55,IFERROR(IF($EG99=$EG$53,$EI$53,INDEX('PU List'!$G$6:$G$413,MATCH($EG99,'PU List'!$D$6:$D$413,0))),$EI$53)))</f>
        <v>GB - BIAF</v>
      </c>
      <c r="EJ99" s="2773" t="str">
        <f t="shared" si="150"/>
        <v>GB - BIAF</v>
      </c>
      <c r="EK99" s="1768"/>
      <c r="EL99" s="3283">
        <f>IF(OR(EW99&gt;7,$EL$53=0),0,IF(EJ99=$EI$53,$EL$53,IFERROR(INDEX('Fringe Data'!$U$8:$U$129,MATCH($EJ99,'Fringe Data'!$F$8:$F$129,0)),0)))</f>
        <v>1.73</v>
      </c>
      <c r="EM99" s="372">
        <f t="shared" si="294"/>
        <v>0</v>
      </c>
      <c r="EN99" s="201" t="str">
        <f>IFERROR(INDEX('Fringe Data'!$G$8:$G$64,MATCH($EJ99,'Fringe Data'!$F$8:$F$64,0)),$EO$53)</f>
        <v>GBP</v>
      </c>
      <c r="EO99" s="201" t="str">
        <f t="shared" si="151"/>
        <v>GBP</v>
      </c>
      <c r="EP99" s="201">
        <f>IF(EI99=$EI$53,$EP$49,IF(GP99=1,0,IFERROR(INDEX('Fringe Data'!$K$8:$K$64,MATCH($EI99,'Fringe Data'!$F$8:$F$64,0)),0)))</f>
        <v>0.52</v>
      </c>
      <c r="EQ99" s="201">
        <f>IF(EI99=$EI$53,$EQ$49,IF(GP99=1,0,IFERROR(INDEX('Fringe Data'!$L$8:$L$64,MATCH($EI99,'Fringe Data'!$F$8:$F$64,0)),0)))</f>
        <v>1.8499999999999999E-2</v>
      </c>
      <c r="ER99" s="201">
        <f>IF(EI99=$EI$53,$ER$49,IF(GP99=1,0,IFERROR(INDEX('Fringe Data'!$M$8:$M$64,MATCH($EI99,'Fringe Data'!$F$8:$F$64,0)),0)))</f>
        <v>0.43430000000000002</v>
      </c>
      <c r="ES99" s="201">
        <f>IF(EI99=$EI$53,$ES$49,IF(GP99=1,0,IFERROR(INDEX('Fringe Data'!$N$8:$N$64,MATCH($EI99,'Fringe Data'!$F$8:$F$64,0)),0)))</f>
        <v>0.1565</v>
      </c>
      <c r="ET99" s="201">
        <f>IF(EI99=$EI$53,$ET$49,IF(GP99=1,0,IFERROR(INDEX('Fringe Data'!$O$8:$O$64,MATCH($EI99,'Fringe Data'!$F$8:$F$64,0)),0)))</f>
        <v>0.33450000000000002</v>
      </c>
      <c r="EU99" s="263">
        <f>IF(EI99=$EI$53,$EU$49,IF(GP99=1,0,IFERROR(INDEX('Fringe Data'!$P$8:$P$64,MATCH($EI99,'Fringe Data'!$F$8:$F$64,0)),0)))</f>
        <v>0.1565</v>
      </c>
      <c r="EV99" s="201"/>
      <c r="EW99" s="1530">
        <f t="shared" si="295"/>
        <v>1</v>
      </c>
      <c r="EX99" s="1534">
        <f t="shared" si="152"/>
        <v>0.52</v>
      </c>
      <c r="EY99" s="321">
        <f t="shared" si="153"/>
        <v>0</v>
      </c>
      <c r="EZ99" s="201">
        <f t="shared" si="154"/>
        <v>0</v>
      </c>
      <c r="FA99" s="372">
        <f t="shared" si="296"/>
        <v>0</v>
      </c>
      <c r="FB99" s="372">
        <f t="shared" si="297"/>
        <v>0</v>
      </c>
      <c r="FC99" s="201">
        <f t="shared" ca="1" si="155"/>
        <v>0</v>
      </c>
      <c r="FD99" s="423">
        <f t="shared" si="298"/>
        <v>0</v>
      </c>
      <c r="FE99" s="423">
        <f t="shared" si="299"/>
        <v>0</v>
      </c>
      <c r="FF99" s="201">
        <f t="shared" si="156"/>
        <v>0</v>
      </c>
      <c r="FG99" s="425">
        <f>IF(OR($FJ$52=3,$FJ$52=4,$FJ$52=5),'1 Setup'!$W$96,0)</f>
        <v>0</v>
      </c>
      <c r="FH99" s="428">
        <f>IF($FJ$52=5,'1 Setup'!$W$98,IF($FJ$52=6,'1 Setup'!$S$86,0))</f>
        <v>0</v>
      </c>
      <c r="FI99" s="321">
        <f t="shared" ca="1" si="300"/>
        <v>0</v>
      </c>
      <c r="FJ99" s="263">
        <f t="shared" ca="1" si="157"/>
        <v>0</v>
      </c>
      <c r="FK99" s="372">
        <f t="shared" ca="1" si="301"/>
        <v>0</v>
      </c>
      <c r="FL99" s="372">
        <f t="shared" si="302"/>
        <v>0</v>
      </c>
      <c r="FM99" s="372">
        <f t="shared" si="303"/>
        <v>0</v>
      </c>
      <c r="FN99" s="2036">
        <f t="shared" ca="1" si="304"/>
        <v>0</v>
      </c>
      <c r="FO99" s="372">
        <f t="shared" ca="1" si="224"/>
        <v>0</v>
      </c>
      <c r="FP99" s="2723">
        <f t="shared" si="158"/>
        <v>0</v>
      </c>
      <c r="FQ99" s="372">
        <f t="shared" si="305"/>
        <v>0</v>
      </c>
      <c r="FR99" s="372">
        <f t="shared" si="159"/>
        <v>0</v>
      </c>
      <c r="FS99" s="1168"/>
      <c r="FT99" s="1168">
        <f t="shared" si="306"/>
        <v>0</v>
      </c>
      <c r="FU99" s="1168">
        <f t="shared" si="307"/>
        <v>0</v>
      </c>
      <c r="FV99" s="1168">
        <f t="shared" si="308"/>
        <v>0</v>
      </c>
      <c r="FW99" s="1168">
        <f t="shared" si="309"/>
        <v>0</v>
      </c>
      <c r="FX99" s="1168">
        <f t="shared" si="310"/>
        <v>0</v>
      </c>
      <c r="FY99" s="1168">
        <f t="shared" si="311"/>
        <v>0</v>
      </c>
      <c r="FZ99" s="1168">
        <f t="shared" si="312"/>
        <v>0</v>
      </c>
      <c r="GA99" s="1168">
        <f t="shared" si="313"/>
        <v>0</v>
      </c>
      <c r="GB99" s="1168">
        <f t="shared" si="314"/>
        <v>0</v>
      </c>
      <c r="GC99" s="1168">
        <f t="shared" si="315"/>
        <v>0</v>
      </c>
      <c r="GD99" s="1168"/>
      <c r="GE99" s="199"/>
      <c r="GF99" s="201">
        <f t="shared" si="316"/>
        <v>0</v>
      </c>
      <c r="GG99" s="201">
        <f t="shared" si="317"/>
        <v>0</v>
      </c>
      <c r="GH99" s="201">
        <f t="shared" si="318"/>
        <v>0</v>
      </c>
      <c r="GI99" s="201">
        <f t="shared" ca="1" si="160"/>
        <v>0</v>
      </c>
      <c r="GJ99" s="201">
        <f t="shared" si="319"/>
        <v>0</v>
      </c>
      <c r="GK99" s="201">
        <f t="shared" si="320"/>
        <v>0</v>
      </c>
      <c r="GL99" s="201">
        <f t="shared" si="321"/>
        <v>1</v>
      </c>
      <c r="GM99" s="201">
        <f t="shared" si="322"/>
        <v>1</v>
      </c>
      <c r="GN99" s="201"/>
      <c r="GO99" s="201"/>
      <c r="GP99" s="201">
        <f t="shared" si="323"/>
        <v>0</v>
      </c>
      <c r="GQ99" s="201">
        <f t="shared" si="324"/>
        <v>0</v>
      </c>
      <c r="GR99" s="201">
        <f t="shared" si="161"/>
        <v>0</v>
      </c>
      <c r="GS99" s="1768"/>
      <c r="GT99" s="201">
        <f t="shared" si="325"/>
        <v>1</v>
      </c>
      <c r="GU99" s="201">
        <f t="shared" si="193"/>
        <v>36</v>
      </c>
      <c r="GV99" s="201">
        <f t="shared" si="326"/>
        <v>0</v>
      </c>
      <c r="GW99" s="201">
        <f t="shared" si="327"/>
        <v>3</v>
      </c>
      <c r="GX99" s="201">
        <f t="shared" si="162"/>
        <v>0</v>
      </c>
      <c r="GY99" s="1998"/>
      <c r="GZ99" s="253"/>
      <c r="HA99" s="195">
        <f t="shared" si="407"/>
        <v>0</v>
      </c>
      <c r="HB99" s="3558">
        <f t="shared" si="82"/>
        <v>0</v>
      </c>
      <c r="HC99" s="3590"/>
      <c r="HD99" s="257" t="str">
        <f t="shared" si="328"/>
        <v/>
      </c>
      <c r="HE99" s="825">
        <f t="shared" si="329"/>
        <v>0</v>
      </c>
      <c r="HF99" s="506" t="s">
        <v>5</v>
      </c>
      <c r="HG99" s="508">
        <f t="shared" ca="1" si="330"/>
        <v>0</v>
      </c>
      <c r="HH99" s="3585">
        <f t="shared" si="331"/>
        <v>0</v>
      </c>
      <c r="HI99" s="3586"/>
      <c r="HJ99" s="522">
        <f t="shared" ca="1" si="408"/>
        <v>0</v>
      </c>
      <c r="HK99" s="456">
        <f t="shared" ca="1" si="226"/>
        <v>0</v>
      </c>
      <c r="HL99" s="3591">
        <f t="shared" ca="1" si="409"/>
        <v>0</v>
      </c>
      <c r="HM99" s="3592"/>
      <c r="HN99" s="240"/>
      <c r="HO99" s="1998"/>
      <c r="HP99" s="1991"/>
      <c r="HQ99" s="2770" t="str">
        <f t="shared" si="332"/>
        <v>GB - BIAF</v>
      </c>
      <c r="HR99" s="2770" t="str">
        <f t="shared" si="333"/>
        <v>GBP</v>
      </c>
      <c r="HS99" s="2771">
        <f t="shared" si="334"/>
        <v>1</v>
      </c>
      <c r="HT99" s="3623"/>
      <c r="HU99" s="2771">
        <f t="shared" si="335"/>
        <v>1.73</v>
      </c>
      <c r="HW99" s="1218"/>
      <c r="HX99" s="520"/>
      <c r="HY99" s="2523"/>
      <c r="HZ99" s="194"/>
      <c r="IA99" s="1013"/>
      <c r="IB99" s="193"/>
      <c r="IC99" s="3276">
        <v>36</v>
      </c>
      <c r="ID99" s="986"/>
      <c r="IE99" s="938">
        <f t="shared" si="164"/>
        <v>0</v>
      </c>
      <c r="IF99" s="938">
        <f t="shared" si="165"/>
        <v>0</v>
      </c>
      <c r="IG99" s="432"/>
      <c r="II99" s="405"/>
      <c r="IJ99" s="239"/>
      <c r="IK99" s="2774" t="str">
        <f t="shared" si="166"/>
        <v>GBP</v>
      </c>
      <c r="IL99" s="2148"/>
      <c r="IM99" s="1936">
        <f t="shared" si="336"/>
        <v>0</v>
      </c>
      <c r="IO99" s="1959" t="str">
        <f t="shared" si="337"/>
        <v/>
      </c>
      <c r="IP99" s="1958"/>
      <c r="IQ99" s="543">
        <f t="shared" si="338"/>
        <v>0.52</v>
      </c>
      <c r="IR99" s="1936">
        <f t="shared" si="339"/>
        <v>0</v>
      </c>
      <c r="IT99" s="1364"/>
      <c r="IU99" s="210"/>
      <c r="IV99" s="218"/>
      <c r="IW99" s="1938">
        <f ca="1">IF(NOT(ISBLANK(IU99)),IU99,IF('1 Setup'!$G$8&lt;7,JK99,FJ99))+KA99</f>
        <v>0</v>
      </c>
      <c r="IX99" s="409">
        <f t="shared" si="340"/>
        <v>0</v>
      </c>
      <c r="IY99" s="408">
        <f t="shared" si="341"/>
        <v>0</v>
      </c>
      <c r="IZ99" s="1983"/>
      <c r="JA99" s="1994"/>
      <c r="JB99" s="1991"/>
      <c r="JD99" s="2029">
        <f t="shared" si="167"/>
        <v>0</v>
      </c>
      <c r="JE99" s="479"/>
      <c r="JF99" s="2025">
        <f t="shared" si="342"/>
        <v>0</v>
      </c>
      <c r="JG99" s="429">
        <f t="shared" si="343"/>
        <v>0</v>
      </c>
      <c r="JH99" s="1667">
        <f t="shared" si="344"/>
        <v>0</v>
      </c>
      <c r="JJ99" s="1163">
        <f t="shared" ca="1" si="345"/>
        <v>0</v>
      </c>
      <c r="JK99" s="1163">
        <f t="shared" ca="1" si="346"/>
        <v>0</v>
      </c>
      <c r="JL99" s="1795"/>
      <c r="JN99" s="2505"/>
      <c r="JO99" s="1161"/>
      <c r="JP99" s="571">
        <f t="shared" ca="1" si="410"/>
        <v>0</v>
      </c>
      <c r="JQ99" s="2506"/>
      <c r="JR99" s="1953"/>
      <c r="JS99" s="2650"/>
      <c r="JT99" s="2507"/>
      <c r="JU99" s="1964">
        <f t="shared" si="347"/>
        <v>0.33450000000000002</v>
      </c>
      <c r="JV99" s="3199"/>
      <c r="JW99" s="2649">
        <f t="shared" si="348"/>
        <v>1.5</v>
      </c>
      <c r="JX99" s="1964">
        <f t="shared" si="168"/>
        <v>0.1565</v>
      </c>
      <c r="JY99" s="3199"/>
      <c r="JZ99" s="2649">
        <f t="shared" si="169"/>
        <v>0</v>
      </c>
      <c r="KA99" s="2649">
        <f t="shared" si="170"/>
        <v>0</v>
      </c>
      <c r="KB99" s="2649" t="s">
        <v>111</v>
      </c>
      <c r="KC99" s="1983"/>
      <c r="KD99" s="1974"/>
      <c r="KE99" s="1991"/>
      <c r="KF99" s="2029">
        <f t="shared" si="171"/>
        <v>0</v>
      </c>
      <c r="KG99" s="1991"/>
      <c r="KH99" s="2121">
        <f t="shared" si="349"/>
        <v>0</v>
      </c>
      <c r="KI99" s="2130">
        <f t="shared" si="350"/>
        <v>0</v>
      </c>
      <c r="KJ99" s="2130">
        <f t="shared" si="351"/>
        <v>0</v>
      </c>
      <c r="KK99" s="2130">
        <f t="shared" si="352"/>
        <v>0</v>
      </c>
      <c r="KL99" s="2131">
        <f t="shared" si="353"/>
        <v>0</v>
      </c>
      <c r="KM99" s="2132">
        <f t="shared" si="354"/>
        <v>0</v>
      </c>
      <c r="KN99" s="2132">
        <f t="shared" si="355"/>
        <v>0</v>
      </c>
      <c r="KO99" s="2132">
        <f t="shared" si="356"/>
        <v>0</v>
      </c>
      <c r="KP99" s="2132">
        <f t="shared" si="357"/>
        <v>0</v>
      </c>
      <c r="KQ99" s="2133">
        <f t="shared" si="358"/>
        <v>0</v>
      </c>
      <c r="KS99" s="2253">
        <f t="shared" si="359"/>
        <v>0</v>
      </c>
      <c r="KT99" s="2270">
        <f t="shared" ref="KT99:LB99" si="412">KS99*(1+(KT$60))</f>
        <v>0</v>
      </c>
      <c r="KU99" s="2271">
        <f t="shared" si="412"/>
        <v>0</v>
      </c>
      <c r="KV99" s="2271">
        <f t="shared" si="412"/>
        <v>0</v>
      </c>
      <c r="KW99" s="2272">
        <f t="shared" si="412"/>
        <v>0</v>
      </c>
      <c r="KX99" s="2271">
        <f t="shared" si="412"/>
        <v>0</v>
      </c>
      <c r="KY99" s="2271">
        <f t="shared" si="412"/>
        <v>0</v>
      </c>
      <c r="KZ99" s="2271">
        <f t="shared" si="412"/>
        <v>0</v>
      </c>
      <c r="LA99" s="2271">
        <f t="shared" si="412"/>
        <v>0</v>
      </c>
      <c r="LB99" s="2273">
        <f t="shared" si="412"/>
        <v>0</v>
      </c>
      <c r="LC99" s="272"/>
      <c r="LD99" s="2124">
        <f t="shared" si="361"/>
        <v>0</v>
      </c>
      <c r="LE99" s="2093">
        <f t="shared" si="362"/>
        <v>0</v>
      </c>
      <c r="LF99" s="2093">
        <f t="shared" si="363"/>
        <v>0</v>
      </c>
      <c r="LG99" s="2093">
        <f t="shared" si="364"/>
        <v>0</v>
      </c>
      <c r="LH99" s="2094">
        <f t="shared" si="365"/>
        <v>0</v>
      </c>
      <c r="LI99" s="2095">
        <f t="shared" si="366"/>
        <v>0</v>
      </c>
      <c r="LJ99" s="2095">
        <f t="shared" si="367"/>
        <v>0</v>
      </c>
      <c r="LK99" s="2095">
        <f t="shared" si="368"/>
        <v>0</v>
      </c>
      <c r="LL99" s="2095">
        <f t="shared" si="369"/>
        <v>0</v>
      </c>
      <c r="LM99" s="2096">
        <f t="shared" si="370"/>
        <v>0</v>
      </c>
      <c r="LN99" s="749"/>
      <c r="LO99" s="2256">
        <f t="shared" ca="1" si="371"/>
        <v>0</v>
      </c>
      <c r="LP99" s="2270">
        <f t="shared" ca="1" si="372"/>
        <v>0</v>
      </c>
      <c r="LQ99" s="2271">
        <f t="shared" ca="1" si="373"/>
        <v>0</v>
      </c>
      <c r="LR99" s="2271">
        <f t="shared" ca="1" si="374"/>
        <v>0</v>
      </c>
      <c r="LS99" s="2272">
        <f t="shared" ca="1" si="375"/>
        <v>0</v>
      </c>
      <c r="LT99" s="2271">
        <f t="shared" ca="1" si="376"/>
        <v>0</v>
      </c>
      <c r="LU99" s="2271">
        <f t="shared" ca="1" si="377"/>
        <v>0</v>
      </c>
      <c r="LV99" s="2271">
        <f t="shared" ca="1" si="378"/>
        <v>0</v>
      </c>
      <c r="LW99" s="2271">
        <f t="shared" ca="1" si="379"/>
        <v>0</v>
      </c>
      <c r="LX99" s="2273">
        <f t="shared" ca="1" si="380"/>
        <v>0</v>
      </c>
      <c r="LY99" s="479"/>
      <c r="LZ99" s="3128">
        <f t="shared" ca="1" si="173"/>
        <v>-1.73</v>
      </c>
      <c r="MA99" s="3129">
        <f t="shared" ca="1" si="174"/>
        <v>-1.73</v>
      </c>
      <c r="MB99" s="3129">
        <f t="shared" ca="1" si="175"/>
        <v>-1.73</v>
      </c>
      <c r="MC99" s="3129">
        <f t="shared" ca="1" si="176"/>
        <v>-1.73</v>
      </c>
      <c r="MD99" s="3130">
        <f t="shared" ca="1" si="177"/>
        <v>-1.73</v>
      </c>
      <c r="ME99" s="3129">
        <f t="shared" ca="1" si="178"/>
        <v>-1.73</v>
      </c>
      <c r="MF99" s="3129">
        <f t="shared" ca="1" si="179"/>
        <v>-1.73</v>
      </c>
      <c r="MG99" s="3129">
        <f t="shared" ca="1" si="180"/>
        <v>-1.73</v>
      </c>
      <c r="MH99" s="3129">
        <f t="shared" ca="1" si="181"/>
        <v>-1.73</v>
      </c>
      <c r="MI99" s="3131">
        <f t="shared" ca="1" si="182"/>
        <v>-1.73</v>
      </c>
      <c r="MJ99" s="3201"/>
      <c r="MK99" s="3206">
        <f t="shared" ca="1" si="183"/>
        <v>0</v>
      </c>
      <c r="ML99" s="3207">
        <f t="shared" ca="1" si="184"/>
        <v>0</v>
      </c>
      <c r="MM99" s="3207">
        <f t="shared" ca="1" si="185"/>
        <v>0</v>
      </c>
      <c r="MN99" s="3207">
        <f t="shared" ca="1" si="186"/>
        <v>0</v>
      </c>
      <c r="MO99" s="3208">
        <f t="shared" ca="1" si="187"/>
        <v>0</v>
      </c>
      <c r="MP99" s="3207">
        <f t="shared" ca="1" si="188"/>
        <v>0</v>
      </c>
      <c r="MQ99" s="3207">
        <f t="shared" ca="1" si="189"/>
        <v>0</v>
      </c>
      <c r="MR99" s="3207">
        <f t="shared" ca="1" si="190"/>
        <v>0</v>
      </c>
      <c r="MS99" s="3207">
        <f t="shared" ca="1" si="191"/>
        <v>0</v>
      </c>
      <c r="MT99" s="3209">
        <f t="shared" ca="1" si="192"/>
        <v>0</v>
      </c>
      <c r="MU99" s="1983"/>
      <c r="MV99" s="1975"/>
      <c r="MW99" s="1991"/>
      <c r="MX99" s="1931">
        <f t="shared" si="381"/>
        <v>0</v>
      </c>
      <c r="MY99" s="749"/>
      <c r="MZ99" s="1934">
        <f t="shared" si="382"/>
        <v>0</v>
      </c>
      <c r="NA99" s="1935"/>
      <c r="NB99" s="2652">
        <f t="shared" si="383"/>
        <v>0</v>
      </c>
      <c r="NC99" s="479"/>
      <c r="ND99" s="2749" t="str">
        <f t="shared" si="384"/>
        <v/>
      </c>
      <c r="NE99" s="2717"/>
      <c r="NF99" s="1975"/>
      <c r="NG99" s="1975"/>
      <c r="NH99" s="1975"/>
      <c r="NI99" s="1975"/>
    </row>
    <row r="100" spans="1:373" s="192" customFormat="1" ht="15.9" customHeight="1" x14ac:dyDescent="0.3">
      <c r="A100" s="200"/>
      <c r="B100" s="200"/>
      <c r="C100" s="200"/>
      <c r="D100" s="200"/>
      <c r="E100" s="200"/>
      <c r="F100" s="200"/>
      <c r="G100" s="200"/>
      <c r="H100" s="200"/>
      <c r="I100" s="200"/>
      <c r="J100" s="200"/>
      <c r="K100" s="200"/>
      <c r="L100" s="200"/>
      <c r="M100" s="200"/>
      <c r="N100" s="200"/>
      <c r="O100" s="200"/>
      <c r="P100" s="1539"/>
      <c r="Q100" s="1539"/>
      <c r="R100" s="198"/>
      <c r="S100" s="1539"/>
      <c r="T100" s="201"/>
      <c r="U100" s="200"/>
      <c r="V100" s="201">
        <f>MATCH($IC100,'3b Activity Plan'!$DJ$171:$FH$171,0)</f>
        <v>37</v>
      </c>
      <c r="W100" s="201">
        <f>IFERROR(INDEX('3b Activity Plan'!$DJ$6:$FH$6,V100),0)</f>
        <v>0</v>
      </c>
      <c r="X100" s="1768"/>
      <c r="Y100" s="1768">
        <f>IFERROR(INDEX('3b Activity Plan'!$DJ$7:$FH$7,V100),0)</f>
        <v>0</v>
      </c>
      <c r="Z100" s="201"/>
      <c r="AA100" s="201">
        <f>IFERROR(INDEX('3b Activity Plan'!$DJ$34:$FH$34,$V100),0)</f>
        <v>0</v>
      </c>
      <c r="AB100" s="201">
        <f>IFERROR(INDEX('3b Activity Plan'!$DJ$35:$FH$35,$V100),0)</f>
        <v>0</v>
      </c>
      <c r="AC100" s="201">
        <f>IFERROR(INDEX('3b Activity Plan'!$DJ$36:$FH$36,$V100),0)</f>
        <v>0</v>
      </c>
      <c r="AD100" s="201">
        <f>IFERROR(INDEX('3b Activity Plan'!$DJ$37:$FH$37,$V100),0)</f>
        <v>0</v>
      </c>
      <c r="AE100" s="201">
        <f>IFERROR(INDEX('3b Activity Plan'!$DJ$38:$FH$38,$V100),0)</f>
        <v>0</v>
      </c>
      <c r="AF100" s="201">
        <f>IFERROR(INDEX('3b Activity Plan'!$DJ$39:$FH$39,$V100),0)</f>
        <v>0</v>
      </c>
      <c r="AG100" s="201">
        <f>IFERROR(INDEX('3b Activity Plan'!$DJ$40:$FH$40,$V100),0)</f>
        <v>0</v>
      </c>
      <c r="AH100" s="201">
        <f>IFERROR(INDEX('3b Activity Plan'!$DJ$41:$FH$41,$V100),0)</f>
        <v>0</v>
      </c>
      <c r="AI100" s="201">
        <f>IFERROR(INDEX('3b Activity Plan'!$DJ$42:$FH$42,$V100),0)</f>
        <v>0</v>
      </c>
      <c r="AJ100" s="201">
        <f>IFERROR(INDEX('3b Activity Plan'!$DJ$43:$FH$43,$V100),0)</f>
        <v>0</v>
      </c>
      <c r="AK100" s="201"/>
      <c r="AL100" s="201">
        <f>SUMIFS('3a Staff Plan'!$AR$129:$AR$305,'3a Staff Plan'!$DY$129:$DY$305,$IA100,'3a Staff Plan'!$DF$129:$DF$305,1)</f>
        <v>0</v>
      </c>
      <c r="AM100" s="1768"/>
      <c r="AN100" s="1768">
        <f>SUMIFS('3a Staff Plan'!$AR$129:$AR$305,'3a Staff Plan'!$DY$129:$DY$305,$IA100,'3a Staff Plan'!$CV$129:$CV$305,1)</f>
        <v>0</v>
      </c>
      <c r="AO100" s="201"/>
      <c r="AP100" s="201">
        <f>SUMIFS('3a Staff Plan'!$AS$129:$AS$305,'3a Staff Plan'!$DY$129:$DY$305,$IA100,'3a Staff Plan'!$DF$129:$DF$305,1)</f>
        <v>0</v>
      </c>
      <c r="AQ100" s="201">
        <f>SUMIFS('3a Staff Plan'!$AT$129:$AT$305,'3a Staff Plan'!$DY$129:$DY$305,$IA100,'3a Staff Plan'!$DF$129:$DF$305,1)</f>
        <v>0</v>
      </c>
      <c r="AR100" s="201">
        <f>SUMIFS('3a Staff Plan'!$AU$129:$AU$305,'3a Staff Plan'!$DY$129:$DY$305,$IA100,'3a Staff Plan'!$DF$129:$DF$305,1)</f>
        <v>0</v>
      </c>
      <c r="AS100" s="201">
        <f>SUMIFS('3a Staff Plan'!$AV$129:$AV$305,'3a Staff Plan'!$DY$129:$DY$305,$IA100,'3a Staff Plan'!$DF$129:$DF$305,1)</f>
        <v>0</v>
      </c>
      <c r="AT100" s="201">
        <f>SUMIFS('3a Staff Plan'!$AW$129:$AW$305,'3a Staff Plan'!$DY$129:$DY$305,$IA100,'3a Staff Plan'!$DF$129:$DF$305,1)</f>
        <v>0</v>
      </c>
      <c r="AU100" s="201">
        <f>SUMIFS('3a Staff Plan'!$AX$129:$AX$305,'3a Staff Plan'!$DY$129:$DY$305,$IA100,'3a Staff Plan'!$DF$129:$DF$305,1)</f>
        <v>0</v>
      </c>
      <c r="AV100" s="201">
        <f>SUMIFS('3a Staff Plan'!$AY$129:$AY$305,'3a Staff Plan'!$DY$129:$DY$305,$IA100,'3a Staff Plan'!$DF$129:$DF$305,1)</f>
        <v>0</v>
      </c>
      <c r="AW100" s="201">
        <f>SUMIFS('3a Staff Plan'!$AZ$129:$AZ$305,'3a Staff Plan'!$DY$129:$DY$305,$IA100,'3a Staff Plan'!$DF$129:$DF$305,1)</f>
        <v>0</v>
      </c>
      <c r="AX100" s="201">
        <f>SUMIFS('3a Staff Plan'!$BA$129:$BA$305,'3a Staff Plan'!$DY$129:$DY$305,$IA100,'3a Staff Plan'!$DF$129:$DF$305,1)</f>
        <v>0</v>
      </c>
      <c r="AY100" s="201">
        <f>SUMIFS('3a Staff Plan'!$BB$129:$BB$305,'3a Staff Plan'!$DY$129:$DY$305,$IA100,'3a Staff Plan'!$DF$129:$DF$305,1)</f>
        <v>0</v>
      </c>
      <c r="AZ100" s="201"/>
      <c r="BA100" s="201">
        <f t="shared" si="198"/>
        <v>0</v>
      </c>
      <c r="BB100" s="1768"/>
      <c r="BC100" s="1768">
        <f t="shared" si="199"/>
        <v>0</v>
      </c>
      <c r="BD100" s="201"/>
      <c r="BE100" s="201">
        <f t="shared" si="200"/>
        <v>0</v>
      </c>
      <c r="BF100" s="201">
        <f t="shared" si="201"/>
        <v>0</v>
      </c>
      <c r="BG100" s="201">
        <f t="shared" si="202"/>
        <v>0</v>
      </c>
      <c r="BH100" s="201">
        <f t="shared" si="203"/>
        <v>0</v>
      </c>
      <c r="BI100" s="201">
        <f t="shared" si="204"/>
        <v>0</v>
      </c>
      <c r="BJ100" s="201">
        <f t="shared" si="205"/>
        <v>0</v>
      </c>
      <c r="BK100" s="201">
        <f t="shared" si="206"/>
        <v>0</v>
      </c>
      <c r="BL100" s="201">
        <f t="shared" si="207"/>
        <v>0</v>
      </c>
      <c r="BM100" s="201">
        <f t="shared" si="208"/>
        <v>0</v>
      </c>
      <c r="BN100" s="201">
        <f t="shared" si="209"/>
        <v>0</v>
      </c>
      <c r="BO100" s="201"/>
      <c r="BP100" s="1818">
        <f t="shared" si="146"/>
        <v>37</v>
      </c>
      <c r="BQ100" s="1818">
        <f>IFERROR(INDEX('3b Activity Plan'!$DJ$15:$FH$15,BP100),0)</f>
        <v>0</v>
      </c>
      <c r="BR100" s="1768"/>
      <c r="BS100" s="1768">
        <f>IFERROR(INDEX('3b Activity Plan'!$DJ$16:$FH$16,BP100),0)</f>
        <v>0</v>
      </c>
      <c r="BT100" s="201"/>
      <c r="BU100" s="201">
        <f>IFERROR(INDEX('3b Activity Plan'!$DJ$67:$FH$67,$V100),0)</f>
        <v>0</v>
      </c>
      <c r="BV100" s="201">
        <f>IFERROR(INDEX('3b Activity Plan'!$DJ$68:$FH$68,$V100),0)</f>
        <v>0</v>
      </c>
      <c r="BW100" s="201">
        <f>IFERROR(INDEX('3b Activity Plan'!$DJ$69:$FH$69,$V100),0)</f>
        <v>0</v>
      </c>
      <c r="BX100" s="201">
        <f>IFERROR(INDEX('3b Activity Plan'!$DJ$70:$FH$70,$V100),0)</f>
        <v>0</v>
      </c>
      <c r="BY100" s="201">
        <f>IFERROR(INDEX('3b Activity Plan'!$DJ$71:$FH$71,$V100),0)</f>
        <v>0</v>
      </c>
      <c r="BZ100" s="201">
        <f>IFERROR(INDEX('3b Activity Plan'!$DJ$72:$FH$72,$V100),0)</f>
        <v>0</v>
      </c>
      <c r="CA100" s="201">
        <f>IFERROR(INDEX('3b Activity Plan'!$DJ$73:$FH$73,$V100),0)</f>
        <v>0</v>
      </c>
      <c r="CB100" s="201">
        <f>IFERROR(INDEX('3b Activity Plan'!$DJ$74:$FH$74,$V100),0)</f>
        <v>0</v>
      </c>
      <c r="CC100" s="201">
        <f>IFERROR(INDEX('3b Activity Plan'!$DJ$75:$FH$75,$V100),0)</f>
        <v>0</v>
      </c>
      <c r="CD100" s="201">
        <f>IFERROR(INDEX('3b Activity Plan'!$DJ$76:$FH$76,$V100),0)</f>
        <v>0</v>
      </c>
      <c r="CE100" s="201"/>
      <c r="CF100" s="1818">
        <f>SUMIFS('3a Staff Plan'!$AR$129:$AR$305,'3a Staff Plan'!$DY$129:$DY$305,$IA100,'3a Staff Plan'!$AG$129:$AG$305,1,'3a Staff Plan'!$DF$129:$DF$305,1)</f>
        <v>0</v>
      </c>
      <c r="CG100" s="1768">
        <f>SUMIFS('3a Staff Plan'!$AR$129:$AR$305,'3a Staff Plan'!$DY$129:$DY$305,$IA100,'3a Staff Plan'!$AG$129:$AG$305,1,'3a Staff Plan'!$CX$129:$CX$305,1)</f>
        <v>0</v>
      </c>
      <c r="CH100" s="1768">
        <f>SUMIFS('3a Staff Plan'!$AR$129:$AR$305,'3a Staff Plan'!$DY$129:$DY$305,$IA100,'3a Staff Plan'!$AG$129:$AG$305,1,'3a Staff Plan'!$CV$129:$CV$305,1)</f>
        <v>0</v>
      </c>
      <c r="CI100" s="201"/>
      <c r="CJ100" s="201">
        <f>SUMIFS('3a Staff Plan'!$BX$129:$BX$305,'3a Staff Plan'!$DY$129:$DY$305,$IA100,'3a Staff Plan'!$DF$129:$DF$305,1,'3a Staff Plan'!$AG$129:$AG$305,1)</f>
        <v>0</v>
      </c>
      <c r="CK100" s="201">
        <f>SUMIFS('3a Staff Plan'!$BY$129:$BY$305,'3a Staff Plan'!$DY$129:$DY$305,$IA100,'3a Staff Plan'!$DF$129:$DF$305,1,'3a Staff Plan'!$AG$129:$AG$305,1)</f>
        <v>0</v>
      </c>
      <c r="CL100" s="201">
        <f>SUMIFS('3a Staff Plan'!$BZ$129:$BZ$305,'3a Staff Plan'!$DY$129:$DY$305,$IA100,'3a Staff Plan'!$DF$129:$DF$305,1,'3a Staff Plan'!$AG$129:$AG$305,1)</f>
        <v>0</v>
      </c>
      <c r="CM100" s="201">
        <f>SUMIFS('3a Staff Plan'!$CA$129:$CA$305,'3a Staff Plan'!$DY$129:$DY$305,$IA100,'3a Staff Plan'!$DF$129:$DF$305,1,'3a Staff Plan'!$AG$129:$AG$305,1)</f>
        <v>0</v>
      </c>
      <c r="CN100" s="201">
        <f>SUMIFS('3a Staff Plan'!$CB$129:$CB$305,'3a Staff Plan'!$DY$129:$DY$305,$IA100,'3a Staff Plan'!$DF$129:$DF$305,1,'3a Staff Plan'!$AG$129:$AG$305,1)</f>
        <v>0</v>
      </c>
      <c r="CO100" s="201">
        <f>SUMIFS('3a Staff Plan'!$CC$129:$CC$305,'3a Staff Plan'!$DY$129:$DY$305,$IA100,'3a Staff Plan'!$DF$129:$DF$305,1,'3a Staff Plan'!$AG$129:$AG$305,1)</f>
        <v>0</v>
      </c>
      <c r="CP100" s="201">
        <f>SUMIFS('3a Staff Plan'!$CD$129:$CD$305,'3a Staff Plan'!$DY$129:$DY$305,$IA100,'3a Staff Plan'!$DF$129:$DF$305,1,'3a Staff Plan'!$AG$129:$AG$305,1)</f>
        <v>0</v>
      </c>
      <c r="CQ100" s="201">
        <f>SUMIFS('3a Staff Plan'!$CE$129:$CE$305,'3a Staff Plan'!$DY$129:$DY$305,$IA100,'3a Staff Plan'!$DF$129:$DF$305,1,'3a Staff Plan'!$AG$129:$AG$305,1)</f>
        <v>0</v>
      </c>
      <c r="CR100" s="201">
        <f>SUMIFS('3a Staff Plan'!$CF$129:$CF$305,'3a Staff Plan'!$DY$129:$DY$305,$IA100,'3a Staff Plan'!$DF$129:$DF$305,1,'3a Staff Plan'!$AG$129:$AG$305,1)</f>
        <v>0</v>
      </c>
      <c r="CS100" s="201">
        <f>SUMIFS('3a Staff Plan'!$CG$129:$CG$305,'3a Staff Plan'!$DY$129:$DY$305,$IA100,'3a Staff Plan'!$DF$129:$DF$305,1,'3a Staff Plan'!$AG$129:$AG$305,1)</f>
        <v>0</v>
      </c>
      <c r="CT100" s="201"/>
      <c r="CU100" s="1818">
        <f t="shared" si="210"/>
        <v>0</v>
      </c>
      <c r="CV100" s="1768"/>
      <c r="CW100" s="1768">
        <f t="shared" si="211"/>
        <v>0</v>
      </c>
      <c r="CX100" s="201"/>
      <c r="CY100" s="201">
        <f t="shared" si="212"/>
        <v>0</v>
      </c>
      <c r="CZ100" s="201">
        <f t="shared" si="213"/>
        <v>0</v>
      </c>
      <c r="DA100" s="201">
        <f t="shared" si="214"/>
        <v>0</v>
      </c>
      <c r="DB100" s="201">
        <f t="shared" si="215"/>
        <v>0</v>
      </c>
      <c r="DC100" s="201">
        <f t="shared" si="216"/>
        <v>0</v>
      </c>
      <c r="DD100" s="201">
        <f t="shared" si="217"/>
        <v>0</v>
      </c>
      <c r="DE100" s="201">
        <f t="shared" si="218"/>
        <v>0</v>
      </c>
      <c r="DF100" s="201">
        <f t="shared" si="219"/>
        <v>0</v>
      </c>
      <c r="DG100" s="201">
        <f t="shared" si="220"/>
        <v>0</v>
      </c>
      <c r="DH100" s="201">
        <f t="shared" si="221"/>
        <v>0</v>
      </c>
      <c r="DI100" s="201"/>
      <c r="DJ100" s="201"/>
      <c r="DK100" s="201"/>
      <c r="DL100" s="201"/>
      <c r="DM100" s="372">
        <f t="shared" ca="1" si="283"/>
        <v>0</v>
      </c>
      <c r="DN100" s="1185">
        <f t="shared" si="284"/>
        <v>0</v>
      </c>
      <c r="DO100" s="1185">
        <f t="shared" si="285"/>
        <v>0</v>
      </c>
      <c r="DP100" s="201"/>
      <c r="DQ100" s="372">
        <f t="shared" ca="1" si="286"/>
        <v>0</v>
      </c>
      <c r="DR100" s="1185">
        <f t="shared" si="287"/>
        <v>0</v>
      </c>
      <c r="DS100" s="1185">
        <f t="shared" si="288"/>
        <v>0</v>
      </c>
      <c r="DT100" s="201"/>
      <c r="DU100" s="372">
        <f t="shared" ca="1" si="289"/>
        <v>0</v>
      </c>
      <c r="DV100" s="372">
        <f t="shared" si="290"/>
        <v>0</v>
      </c>
      <c r="DW100" s="372">
        <f t="shared" si="290"/>
        <v>0</v>
      </c>
      <c r="DX100" s="201"/>
      <c r="DY100" s="372">
        <f t="shared" si="291"/>
        <v>0</v>
      </c>
      <c r="DZ100" s="372">
        <f t="shared" ca="1" si="292"/>
        <v>0</v>
      </c>
      <c r="EA100" s="201"/>
      <c r="EB100" s="2776">
        <f>IF(EO100=$EO$53,1,IFERROR(INDEX('Currency Data'!$L$8:$L$41,MATCH(EO100,'Currency Data'!$H$8:$H$41,0)),1))</f>
        <v>1</v>
      </c>
      <c r="EC100" s="2776">
        <f t="shared" si="147"/>
        <v>1</v>
      </c>
      <c r="ED100" s="428">
        <f>IF(GQ100=1,'1 Setup'!$T$68,IF(ISBLANK(IJ100),II100/EC100*IF(GL100=1,$ED$53,1),IJ100/EC100)*IF($EW100=7,JW100,1))</f>
        <v>0</v>
      </c>
      <c r="EE100" s="428">
        <f t="shared" si="293"/>
        <v>0</v>
      </c>
      <c r="EF100" s="428"/>
      <c r="EG100" s="1965" t="str">
        <f t="shared" si="148"/>
        <v>031500 - Highways UK</v>
      </c>
      <c r="EH100" s="201">
        <f t="shared" si="149"/>
        <v>1</v>
      </c>
      <c r="EI100" s="445" t="str">
        <f>IF(EH100=1,$EI$53,IF(GQ100=1,$GQ$55,IFERROR(IF($EG100=$EG$53,$EI$53,INDEX('PU List'!$G$6:$G$413,MATCH($EG100,'PU List'!$D$6:$D$413,0))),$EI$53)))</f>
        <v>GB - BIAF</v>
      </c>
      <c r="EJ100" s="2773" t="str">
        <f t="shared" si="150"/>
        <v>GB - BIAF</v>
      </c>
      <c r="EK100" s="1768"/>
      <c r="EL100" s="3283">
        <f>IF(OR(EW100&gt;7,$EL$53=0),0,IF(EJ100=$EI$53,$EL$53,IFERROR(INDEX('Fringe Data'!$U$8:$U$129,MATCH($EJ100,'Fringe Data'!$F$8:$F$129,0)),0)))</f>
        <v>1.73</v>
      </c>
      <c r="EM100" s="372">
        <f t="shared" si="294"/>
        <v>0</v>
      </c>
      <c r="EN100" s="201" t="str">
        <f>IFERROR(INDEX('Fringe Data'!$G$8:$G$64,MATCH($EJ100,'Fringe Data'!$F$8:$F$64,0)),$EO$53)</f>
        <v>GBP</v>
      </c>
      <c r="EO100" s="201" t="str">
        <f t="shared" si="151"/>
        <v>GBP</v>
      </c>
      <c r="EP100" s="201">
        <f>IF(EI100=$EI$53,$EP$49,IF(GP100=1,0,IFERROR(INDEX('Fringe Data'!$K$8:$K$64,MATCH($EI100,'Fringe Data'!$F$8:$F$64,0)),0)))</f>
        <v>0.52</v>
      </c>
      <c r="EQ100" s="201">
        <f>IF(EI100=$EI$53,$EQ$49,IF(GP100=1,0,IFERROR(INDEX('Fringe Data'!$L$8:$L$64,MATCH($EI100,'Fringe Data'!$F$8:$F$64,0)),0)))</f>
        <v>1.8499999999999999E-2</v>
      </c>
      <c r="ER100" s="201">
        <f>IF(EI100=$EI$53,$ER$49,IF(GP100=1,0,IFERROR(INDEX('Fringe Data'!$M$8:$M$64,MATCH($EI100,'Fringe Data'!$F$8:$F$64,0)),0)))</f>
        <v>0.43430000000000002</v>
      </c>
      <c r="ES100" s="201">
        <f>IF(EI100=$EI$53,$ES$49,IF(GP100=1,0,IFERROR(INDEX('Fringe Data'!$N$8:$N$64,MATCH($EI100,'Fringe Data'!$F$8:$F$64,0)),0)))</f>
        <v>0.1565</v>
      </c>
      <c r="ET100" s="201">
        <f>IF(EI100=$EI$53,$ET$49,IF(GP100=1,0,IFERROR(INDEX('Fringe Data'!$O$8:$O$64,MATCH($EI100,'Fringe Data'!$F$8:$F$64,0)),0)))</f>
        <v>0.33450000000000002</v>
      </c>
      <c r="EU100" s="263">
        <f>IF(EI100=$EI$53,$EU$49,IF(GP100=1,0,IFERROR(INDEX('Fringe Data'!$P$8:$P$64,MATCH($EI100,'Fringe Data'!$F$8:$F$64,0)),0)))</f>
        <v>0.1565</v>
      </c>
      <c r="EV100" s="201"/>
      <c r="EW100" s="1530">
        <f t="shared" si="295"/>
        <v>1</v>
      </c>
      <c r="EX100" s="1534">
        <f t="shared" si="152"/>
        <v>0.52</v>
      </c>
      <c r="EY100" s="321">
        <f t="shared" si="153"/>
        <v>0</v>
      </c>
      <c r="EZ100" s="201">
        <f t="shared" si="154"/>
        <v>0</v>
      </c>
      <c r="FA100" s="372">
        <f t="shared" si="296"/>
        <v>0</v>
      </c>
      <c r="FB100" s="372">
        <f t="shared" si="297"/>
        <v>0</v>
      </c>
      <c r="FC100" s="201">
        <f t="shared" ca="1" si="155"/>
        <v>0</v>
      </c>
      <c r="FD100" s="423">
        <f t="shared" si="298"/>
        <v>0</v>
      </c>
      <c r="FE100" s="423">
        <f t="shared" si="299"/>
        <v>0</v>
      </c>
      <c r="FF100" s="201">
        <f t="shared" si="156"/>
        <v>0</v>
      </c>
      <c r="FG100" s="425">
        <f>IF(OR($FJ$52=3,$FJ$52=4,$FJ$52=5),'1 Setup'!$W$96,0)</f>
        <v>0</v>
      </c>
      <c r="FH100" s="428">
        <f>IF($FJ$52=5,'1 Setup'!$W$98,IF($FJ$52=6,'1 Setup'!$S$86,0))</f>
        <v>0</v>
      </c>
      <c r="FI100" s="321">
        <f t="shared" ca="1" si="300"/>
        <v>0</v>
      </c>
      <c r="FJ100" s="263">
        <f t="shared" ca="1" si="157"/>
        <v>0</v>
      </c>
      <c r="FK100" s="372">
        <f t="shared" ca="1" si="301"/>
        <v>0</v>
      </c>
      <c r="FL100" s="372">
        <f t="shared" si="302"/>
        <v>0</v>
      </c>
      <c r="FM100" s="372">
        <f t="shared" si="303"/>
        <v>0</v>
      </c>
      <c r="FN100" s="2036">
        <f t="shared" ca="1" si="304"/>
        <v>0</v>
      </c>
      <c r="FO100" s="372">
        <f t="shared" ca="1" si="224"/>
        <v>0</v>
      </c>
      <c r="FP100" s="2723">
        <f t="shared" si="158"/>
        <v>0</v>
      </c>
      <c r="FQ100" s="372">
        <f t="shared" si="305"/>
        <v>0</v>
      </c>
      <c r="FR100" s="372">
        <f t="shared" si="159"/>
        <v>0</v>
      </c>
      <c r="FS100" s="1168"/>
      <c r="FT100" s="1168">
        <f t="shared" si="306"/>
        <v>0</v>
      </c>
      <c r="FU100" s="1168">
        <f t="shared" si="307"/>
        <v>0</v>
      </c>
      <c r="FV100" s="1168">
        <f t="shared" si="308"/>
        <v>0</v>
      </c>
      <c r="FW100" s="1168">
        <f t="shared" si="309"/>
        <v>0</v>
      </c>
      <c r="FX100" s="1168">
        <f t="shared" si="310"/>
        <v>0</v>
      </c>
      <c r="FY100" s="1168">
        <f t="shared" si="311"/>
        <v>0</v>
      </c>
      <c r="FZ100" s="1168">
        <f t="shared" si="312"/>
        <v>0</v>
      </c>
      <c r="GA100" s="1168">
        <f t="shared" si="313"/>
        <v>0</v>
      </c>
      <c r="GB100" s="1168">
        <f t="shared" si="314"/>
        <v>0</v>
      </c>
      <c r="GC100" s="1168">
        <f t="shared" si="315"/>
        <v>0</v>
      </c>
      <c r="GD100" s="1168"/>
      <c r="GE100" s="199"/>
      <c r="GF100" s="201">
        <f t="shared" si="316"/>
        <v>0</v>
      </c>
      <c r="GG100" s="201">
        <f t="shared" si="317"/>
        <v>0</v>
      </c>
      <c r="GH100" s="201">
        <f t="shared" si="318"/>
        <v>0</v>
      </c>
      <c r="GI100" s="201">
        <f t="shared" ca="1" si="160"/>
        <v>0</v>
      </c>
      <c r="GJ100" s="201">
        <f t="shared" si="319"/>
        <v>0</v>
      </c>
      <c r="GK100" s="201">
        <f t="shared" si="320"/>
        <v>0</v>
      </c>
      <c r="GL100" s="201">
        <f t="shared" si="321"/>
        <v>1</v>
      </c>
      <c r="GM100" s="201">
        <f t="shared" si="322"/>
        <v>1</v>
      </c>
      <c r="GN100" s="201"/>
      <c r="GO100" s="201"/>
      <c r="GP100" s="201">
        <f t="shared" si="323"/>
        <v>0</v>
      </c>
      <c r="GQ100" s="201">
        <f t="shared" si="324"/>
        <v>0</v>
      </c>
      <c r="GR100" s="201">
        <f t="shared" si="161"/>
        <v>0</v>
      </c>
      <c r="GS100" s="1768"/>
      <c r="GT100" s="201">
        <f t="shared" si="325"/>
        <v>1</v>
      </c>
      <c r="GU100" s="201">
        <f t="shared" si="193"/>
        <v>37</v>
      </c>
      <c r="GV100" s="201">
        <f t="shared" si="326"/>
        <v>0</v>
      </c>
      <c r="GW100" s="201">
        <f t="shared" si="327"/>
        <v>3</v>
      </c>
      <c r="GX100" s="201">
        <f t="shared" si="162"/>
        <v>0</v>
      </c>
      <c r="GY100" s="1998"/>
      <c r="GZ100" s="253"/>
      <c r="HA100" s="195">
        <f t="shared" si="407"/>
        <v>0</v>
      </c>
      <c r="HB100" s="3558">
        <f t="shared" si="82"/>
        <v>0</v>
      </c>
      <c r="HC100" s="3590"/>
      <c r="HD100" s="257" t="str">
        <f t="shared" si="328"/>
        <v/>
      </c>
      <c r="HE100" s="825">
        <f t="shared" si="329"/>
        <v>0</v>
      </c>
      <c r="HF100" s="506" t="s">
        <v>5</v>
      </c>
      <c r="HG100" s="508">
        <f t="shared" ca="1" si="330"/>
        <v>0</v>
      </c>
      <c r="HH100" s="3585">
        <f t="shared" si="331"/>
        <v>0</v>
      </c>
      <c r="HI100" s="3586"/>
      <c r="HJ100" s="522">
        <f t="shared" ca="1" si="408"/>
        <v>0</v>
      </c>
      <c r="HK100" s="456">
        <f t="shared" ca="1" si="226"/>
        <v>0</v>
      </c>
      <c r="HL100" s="3591">
        <f t="shared" ca="1" si="409"/>
        <v>0</v>
      </c>
      <c r="HM100" s="3592"/>
      <c r="HN100" s="240"/>
      <c r="HO100" s="1998"/>
      <c r="HP100" s="1991"/>
      <c r="HQ100" s="2770" t="str">
        <f t="shared" si="332"/>
        <v>GB - BIAF</v>
      </c>
      <c r="HR100" s="2770" t="str">
        <f t="shared" si="333"/>
        <v>GBP</v>
      </c>
      <c r="HS100" s="2771">
        <f t="shared" si="334"/>
        <v>1</v>
      </c>
      <c r="HT100" s="3488"/>
      <c r="HU100" s="2771">
        <f t="shared" si="335"/>
        <v>1.73</v>
      </c>
      <c r="HW100" s="1218"/>
      <c r="HX100" s="520"/>
      <c r="HY100" s="2523"/>
      <c r="HZ100" s="194"/>
      <c r="IA100" s="1013"/>
      <c r="IB100" s="193"/>
      <c r="IC100" s="3276">
        <v>37</v>
      </c>
      <c r="ID100" s="986"/>
      <c r="IE100" s="938">
        <f t="shared" si="164"/>
        <v>0</v>
      </c>
      <c r="IF100" s="938">
        <f t="shared" si="165"/>
        <v>0</v>
      </c>
      <c r="IG100" s="432"/>
      <c r="II100" s="405"/>
      <c r="IJ100" s="239"/>
      <c r="IK100" s="2774" t="str">
        <f t="shared" si="166"/>
        <v>GBP</v>
      </c>
      <c r="IL100" s="2148"/>
      <c r="IM100" s="1936">
        <f t="shared" si="336"/>
        <v>0</v>
      </c>
      <c r="IO100" s="1959" t="str">
        <f t="shared" si="337"/>
        <v/>
      </c>
      <c r="IP100" s="1958"/>
      <c r="IQ100" s="543">
        <f t="shared" si="338"/>
        <v>0.52</v>
      </c>
      <c r="IR100" s="1936">
        <f t="shared" si="339"/>
        <v>0</v>
      </c>
      <c r="IT100" s="1364"/>
      <c r="IU100" s="210"/>
      <c r="IV100" s="218"/>
      <c r="IW100" s="1938">
        <f ca="1">IF(NOT(ISBLANK(IU100)),IU100,IF('1 Setup'!$G$8&lt;7,JK100,FJ100))+KA100</f>
        <v>0</v>
      </c>
      <c r="IX100" s="409">
        <f t="shared" si="340"/>
        <v>0</v>
      </c>
      <c r="IY100" s="408">
        <f t="shared" si="341"/>
        <v>0</v>
      </c>
      <c r="IZ100" s="1983"/>
      <c r="JA100" s="1994"/>
      <c r="JB100" s="1991"/>
      <c r="JD100" s="2029">
        <f t="shared" si="167"/>
        <v>0</v>
      </c>
      <c r="JE100" s="479"/>
      <c r="JF100" s="2025">
        <f t="shared" si="342"/>
        <v>0</v>
      </c>
      <c r="JG100" s="429">
        <f t="shared" si="343"/>
        <v>0</v>
      </c>
      <c r="JH100" s="1667">
        <f t="shared" si="344"/>
        <v>0</v>
      </c>
      <c r="JJ100" s="1163">
        <f t="shared" ca="1" si="345"/>
        <v>0</v>
      </c>
      <c r="JK100" s="1163">
        <f t="shared" ca="1" si="346"/>
        <v>0</v>
      </c>
      <c r="JL100" s="1795"/>
      <c r="JN100" s="2505"/>
      <c r="JO100" s="1161"/>
      <c r="JP100" s="571">
        <f t="shared" ca="1" si="410"/>
        <v>0</v>
      </c>
      <c r="JQ100" s="2506"/>
      <c r="JR100" s="1953"/>
      <c r="JS100" s="2650"/>
      <c r="JT100" s="2507"/>
      <c r="JU100" s="1964">
        <f t="shared" si="347"/>
        <v>0.33450000000000002</v>
      </c>
      <c r="JV100" s="3199"/>
      <c r="JW100" s="2649">
        <f t="shared" si="348"/>
        <v>1.5</v>
      </c>
      <c r="JX100" s="1964">
        <f t="shared" si="168"/>
        <v>0.1565</v>
      </c>
      <c r="JY100" s="3199"/>
      <c r="JZ100" s="2649">
        <f t="shared" si="169"/>
        <v>0</v>
      </c>
      <c r="KA100" s="2649">
        <f t="shared" si="170"/>
        <v>0</v>
      </c>
      <c r="KB100" s="2649" t="s">
        <v>111</v>
      </c>
      <c r="KC100" s="1983"/>
      <c r="KD100" s="1974"/>
      <c r="KE100" s="1991"/>
      <c r="KF100" s="2029">
        <f t="shared" si="171"/>
        <v>0</v>
      </c>
      <c r="KG100" s="1991"/>
      <c r="KH100" s="2121">
        <f t="shared" si="349"/>
        <v>0</v>
      </c>
      <c r="KI100" s="2130">
        <f t="shared" si="350"/>
        <v>0</v>
      </c>
      <c r="KJ100" s="2130">
        <f t="shared" si="351"/>
        <v>0</v>
      </c>
      <c r="KK100" s="2130">
        <f t="shared" si="352"/>
        <v>0</v>
      </c>
      <c r="KL100" s="2131">
        <f t="shared" si="353"/>
        <v>0</v>
      </c>
      <c r="KM100" s="2132">
        <f t="shared" si="354"/>
        <v>0</v>
      </c>
      <c r="KN100" s="2132">
        <f t="shared" si="355"/>
        <v>0</v>
      </c>
      <c r="KO100" s="2132">
        <f t="shared" si="356"/>
        <v>0</v>
      </c>
      <c r="KP100" s="2132">
        <f t="shared" si="357"/>
        <v>0</v>
      </c>
      <c r="KQ100" s="2133">
        <f t="shared" si="358"/>
        <v>0</v>
      </c>
      <c r="KS100" s="2253">
        <f t="shared" si="359"/>
        <v>0</v>
      </c>
      <c r="KT100" s="2270">
        <f t="shared" ref="KT100:LB100" si="413">KS100*(1+(KT$60))</f>
        <v>0</v>
      </c>
      <c r="KU100" s="2271">
        <f t="shared" si="413"/>
        <v>0</v>
      </c>
      <c r="KV100" s="2271">
        <f t="shared" si="413"/>
        <v>0</v>
      </c>
      <c r="KW100" s="2272">
        <f t="shared" si="413"/>
        <v>0</v>
      </c>
      <c r="KX100" s="2271">
        <f t="shared" si="413"/>
        <v>0</v>
      </c>
      <c r="KY100" s="2271">
        <f t="shared" si="413"/>
        <v>0</v>
      </c>
      <c r="KZ100" s="2271">
        <f t="shared" si="413"/>
        <v>0</v>
      </c>
      <c r="LA100" s="2271">
        <f t="shared" si="413"/>
        <v>0</v>
      </c>
      <c r="LB100" s="2273">
        <f t="shared" si="413"/>
        <v>0</v>
      </c>
      <c r="LC100" s="272"/>
      <c r="LD100" s="2124">
        <f t="shared" si="361"/>
        <v>0</v>
      </c>
      <c r="LE100" s="2093">
        <f t="shared" si="362"/>
        <v>0</v>
      </c>
      <c r="LF100" s="2093">
        <f t="shared" si="363"/>
        <v>0</v>
      </c>
      <c r="LG100" s="2093">
        <f t="shared" si="364"/>
        <v>0</v>
      </c>
      <c r="LH100" s="2094">
        <f t="shared" si="365"/>
        <v>0</v>
      </c>
      <c r="LI100" s="2095">
        <f t="shared" si="366"/>
        <v>0</v>
      </c>
      <c r="LJ100" s="2095">
        <f t="shared" si="367"/>
        <v>0</v>
      </c>
      <c r="LK100" s="2095">
        <f t="shared" si="368"/>
        <v>0</v>
      </c>
      <c r="LL100" s="2095">
        <f t="shared" si="369"/>
        <v>0</v>
      </c>
      <c r="LM100" s="2096">
        <f t="shared" si="370"/>
        <v>0</v>
      </c>
      <c r="LN100" s="749"/>
      <c r="LO100" s="2256">
        <f t="shared" ca="1" si="371"/>
        <v>0</v>
      </c>
      <c r="LP100" s="2270">
        <f t="shared" ca="1" si="372"/>
        <v>0</v>
      </c>
      <c r="LQ100" s="2271">
        <f t="shared" ca="1" si="373"/>
        <v>0</v>
      </c>
      <c r="LR100" s="2271">
        <f t="shared" ca="1" si="374"/>
        <v>0</v>
      </c>
      <c r="LS100" s="2272">
        <f t="shared" ca="1" si="375"/>
        <v>0</v>
      </c>
      <c r="LT100" s="2271">
        <f t="shared" ca="1" si="376"/>
        <v>0</v>
      </c>
      <c r="LU100" s="2271">
        <f t="shared" ca="1" si="377"/>
        <v>0</v>
      </c>
      <c r="LV100" s="2271">
        <f t="shared" ca="1" si="378"/>
        <v>0</v>
      </c>
      <c r="LW100" s="2271">
        <f t="shared" ca="1" si="379"/>
        <v>0</v>
      </c>
      <c r="LX100" s="2273">
        <f t="shared" ca="1" si="380"/>
        <v>0</v>
      </c>
      <c r="LY100" s="479"/>
      <c r="LZ100" s="3128">
        <f t="shared" ca="1" si="173"/>
        <v>-1.73</v>
      </c>
      <c r="MA100" s="3129">
        <f t="shared" ca="1" si="174"/>
        <v>-1.73</v>
      </c>
      <c r="MB100" s="3129">
        <f t="shared" ca="1" si="175"/>
        <v>-1.73</v>
      </c>
      <c r="MC100" s="3129">
        <f t="shared" ca="1" si="176"/>
        <v>-1.73</v>
      </c>
      <c r="MD100" s="3130">
        <f t="shared" ca="1" si="177"/>
        <v>-1.73</v>
      </c>
      <c r="ME100" s="3129">
        <f t="shared" ca="1" si="178"/>
        <v>-1.73</v>
      </c>
      <c r="MF100" s="3129">
        <f t="shared" ca="1" si="179"/>
        <v>-1.73</v>
      </c>
      <c r="MG100" s="3129">
        <f t="shared" ca="1" si="180"/>
        <v>-1.73</v>
      </c>
      <c r="MH100" s="3129">
        <f t="shared" ca="1" si="181"/>
        <v>-1.73</v>
      </c>
      <c r="MI100" s="3131">
        <f t="shared" ca="1" si="182"/>
        <v>-1.73</v>
      </c>
      <c r="MJ100" s="3201"/>
      <c r="MK100" s="3206">
        <f t="shared" ca="1" si="183"/>
        <v>0</v>
      </c>
      <c r="ML100" s="3207">
        <f t="shared" ca="1" si="184"/>
        <v>0</v>
      </c>
      <c r="MM100" s="3207">
        <f t="shared" ca="1" si="185"/>
        <v>0</v>
      </c>
      <c r="MN100" s="3207">
        <f t="shared" ca="1" si="186"/>
        <v>0</v>
      </c>
      <c r="MO100" s="3208">
        <f t="shared" ca="1" si="187"/>
        <v>0</v>
      </c>
      <c r="MP100" s="3207">
        <f t="shared" ca="1" si="188"/>
        <v>0</v>
      </c>
      <c r="MQ100" s="3207">
        <f t="shared" ca="1" si="189"/>
        <v>0</v>
      </c>
      <c r="MR100" s="3207">
        <f t="shared" ca="1" si="190"/>
        <v>0</v>
      </c>
      <c r="MS100" s="3207">
        <f t="shared" ca="1" si="191"/>
        <v>0</v>
      </c>
      <c r="MT100" s="3209">
        <f t="shared" ca="1" si="192"/>
        <v>0</v>
      </c>
      <c r="MU100" s="1983"/>
      <c r="MV100" s="1975"/>
      <c r="MW100" s="1991"/>
      <c r="MX100" s="1931">
        <f t="shared" si="381"/>
        <v>0</v>
      </c>
      <c r="MY100" s="749"/>
      <c r="MZ100" s="1934">
        <f t="shared" si="382"/>
        <v>0</v>
      </c>
      <c r="NA100" s="1935"/>
      <c r="NB100" s="2652">
        <f t="shared" si="383"/>
        <v>0</v>
      </c>
      <c r="NC100" s="479"/>
      <c r="ND100" s="2749" t="str">
        <f t="shared" si="384"/>
        <v/>
      </c>
      <c r="NE100" s="2717"/>
      <c r="NF100" s="1975"/>
      <c r="NG100" s="1975"/>
      <c r="NH100" s="1975"/>
      <c r="NI100" s="1975"/>
    </row>
    <row r="101" spans="1:373" s="192" customFormat="1" ht="15.9" customHeight="1" x14ac:dyDescent="0.3">
      <c r="A101" s="200"/>
      <c r="B101" s="200"/>
      <c r="C101" s="200"/>
      <c r="D101" s="200"/>
      <c r="E101" s="200"/>
      <c r="F101" s="200"/>
      <c r="G101" s="200"/>
      <c r="H101" s="200"/>
      <c r="I101" s="200"/>
      <c r="J101" s="200"/>
      <c r="K101" s="200"/>
      <c r="L101" s="200"/>
      <c r="M101" s="200"/>
      <c r="N101" s="200"/>
      <c r="O101" s="200"/>
      <c r="P101" s="1539"/>
      <c r="Q101" s="1539"/>
      <c r="R101" s="198"/>
      <c r="S101" s="1539"/>
      <c r="T101" s="201"/>
      <c r="U101" s="200"/>
      <c r="V101" s="201">
        <f>MATCH($IC101,'3b Activity Plan'!$DJ$171:$FH$171,0)</f>
        <v>38</v>
      </c>
      <c r="W101" s="201">
        <f>IFERROR(INDEX('3b Activity Plan'!$DJ$6:$FH$6,V101),0)</f>
        <v>0</v>
      </c>
      <c r="X101" s="1768"/>
      <c r="Y101" s="1768">
        <f>IFERROR(INDEX('3b Activity Plan'!$DJ$7:$FH$7,V101),0)</f>
        <v>0</v>
      </c>
      <c r="Z101" s="201"/>
      <c r="AA101" s="201">
        <f>IFERROR(INDEX('3b Activity Plan'!$DJ$34:$FH$34,$V101),0)</f>
        <v>0</v>
      </c>
      <c r="AB101" s="201">
        <f>IFERROR(INDEX('3b Activity Plan'!$DJ$35:$FH$35,$V101),0)</f>
        <v>0</v>
      </c>
      <c r="AC101" s="201">
        <f>IFERROR(INDEX('3b Activity Plan'!$DJ$36:$FH$36,$V101),0)</f>
        <v>0</v>
      </c>
      <c r="AD101" s="201">
        <f>IFERROR(INDEX('3b Activity Plan'!$DJ$37:$FH$37,$V101),0)</f>
        <v>0</v>
      </c>
      <c r="AE101" s="201">
        <f>IFERROR(INDEX('3b Activity Plan'!$DJ$38:$FH$38,$V101),0)</f>
        <v>0</v>
      </c>
      <c r="AF101" s="201">
        <f>IFERROR(INDEX('3b Activity Plan'!$DJ$39:$FH$39,$V101),0)</f>
        <v>0</v>
      </c>
      <c r="AG101" s="201">
        <f>IFERROR(INDEX('3b Activity Plan'!$DJ$40:$FH$40,$V101),0)</f>
        <v>0</v>
      </c>
      <c r="AH101" s="201">
        <f>IFERROR(INDEX('3b Activity Plan'!$DJ$41:$FH$41,$V101),0)</f>
        <v>0</v>
      </c>
      <c r="AI101" s="201">
        <f>IFERROR(INDEX('3b Activity Plan'!$DJ$42:$FH$42,$V101),0)</f>
        <v>0</v>
      </c>
      <c r="AJ101" s="201">
        <f>IFERROR(INDEX('3b Activity Plan'!$DJ$43:$FH$43,$V101),0)</f>
        <v>0</v>
      </c>
      <c r="AK101" s="201"/>
      <c r="AL101" s="201">
        <f>SUMIFS('3a Staff Plan'!$AR$129:$AR$305,'3a Staff Plan'!$DY$129:$DY$305,$IA101,'3a Staff Plan'!$DF$129:$DF$305,1)</f>
        <v>0</v>
      </c>
      <c r="AM101" s="1768"/>
      <c r="AN101" s="1768">
        <f>SUMIFS('3a Staff Plan'!$AR$129:$AR$305,'3a Staff Plan'!$DY$129:$DY$305,$IA101,'3a Staff Plan'!$CV$129:$CV$305,1)</f>
        <v>0</v>
      </c>
      <c r="AO101" s="201"/>
      <c r="AP101" s="201">
        <f>SUMIFS('3a Staff Plan'!$AS$129:$AS$305,'3a Staff Plan'!$DY$129:$DY$305,$IA101,'3a Staff Plan'!$DF$129:$DF$305,1)</f>
        <v>0</v>
      </c>
      <c r="AQ101" s="201">
        <f>SUMIFS('3a Staff Plan'!$AT$129:$AT$305,'3a Staff Plan'!$DY$129:$DY$305,$IA101,'3a Staff Plan'!$DF$129:$DF$305,1)</f>
        <v>0</v>
      </c>
      <c r="AR101" s="201">
        <f>SUMIFS('3a Staff Plan'!$AU$129:$AU$305,'3a Staff Plan'!$DY$129:$DY$305,$IA101,'3a Staff Plan'!$DF$129:$DF$305,1)</f>
        <v>0</v>
      </c>
      <c r="AS101" s="201">
        <f>SUMIFS('3a Staff Plan'!$AV$129:$AV$305,'3a Staff Plan'!$DY$129:$DY$305,$IA101,'3a Staff Plan'!$DF$129:$DF$305,1)</f>
        <v>0</v>
      </c>
      <c r="AT101" s="201">
        <f>SUMIFS('3a Staff Plan'!$AW$129:$AW$305,'3a Staff Plan'!$DY$129:$DY$305,$IA101,'3a Staff Plan'!$DF$129:$DF$305,1)</f>
        <v>0</v>
      </c>
      <c r="AU101" s="201">
        <f>SUMIFS('3a Staff Plan'!$AX$129:$AX$305,'3a Staff Plan'!$DY$129:$DY$305,$IA101,'3a Staff Plan'!$DF$129:$DF$305,1)</f>
        <v>0</v>
      </c>
      <c r="AV101" s="201">
        <f>SUMIFS('3a Staff Plan'!$AY$129:$AY$305,'3a Staff Plan'!$DY$129:$DY$305,$IA101,'3a Staff Plan'!$DF$129:$DF$305,1)</f>
        <v>0</v>
      </c>
      <c r="AW101" s="201">
        <f>SUMIFS('3a Staff Plan'!$AZ$129:$AZ$305,'3a Staff Plan'!$DY$129:$DY$305,$IA101,'3a Staff Plan'!$DF$129:$DF$305,1)</f>
        <v>0</v>
      </c>
      <c r="AX101" s="201">
        <f>SUMIFS('3a Staff Plan'!$BA$129:$BA$305,'3a Staff Plan'!$DY$129:$DY$305,$IA101,'3a Staff Plan'!$DF$129:$DF$305,1)</f>
        <v>0</v>
      </c>
      <c r="AY101" s="201">
        <f>SUMIFS('3a Staff Plan'!$BB$129:$BB$305,'3a Staff Plan'!$DY$129:$DY$305,$IA101,'3a Staff Plan'!$DF$129:$DF$305,1)</f>
        <v>0</v>
      </c>
      <c r="AZ101" s="201"/>
      <c r="BA101" s="201">
        <f t="shared" si="198"/>
        <v>0</v>
      </c>
      <c r="BB101" s="1768"/>
      <c r="BC101" s="1768">
        <f t="shared" si="199"/>
        <v>0</v>
      </c>
      <c r="BD101" s="201"/>
      <c r="BE101" s="201">
        <f t="shared" si="200"/>
        <v>0</v>
      </c>
      <c r="BF101" s="201">
        <f t="shared" si="201"/>
        <v>0</v>
      </c>
      <c r="BG101" s="201">
        <f t="shared" si="202"/>
        <v>0</v>
      </c>
      <c r="BH101" s="201">
        <f t="shared" si="203"/>
        <v>0</v>
      </c>
      <c r="BI101" s="201">
        <f t="shared" si="204"/>
        <v>0</v>
      </c>
      <c r="BJ101" s="201">
        <f t="shared" si="205"/>
        <v>0</v>
      </c>
      <c r="BK101" s="201">
        <f t="shared" si="206"/>
        <v>0</v>
      </c>
      <c r="BL101" s="201">
        <f t="shared" si="207"/>
        <v>0</v>
      </c>
      <c r="BM101" s="201">
        <f t="shared" si="208"/>
        <v>0</v>
      </c>
      <c r="BN101" s="201">
        <f t="shared" si="209"/>
        <v>0</v>
      </c>
      <c r="BO101" s="201"/>
      <c r="BP101" s="1818">
        <f t="shared" si="146"/>
        <v>38</v>
      </c>
      <c r="BQ101" s="1818">
        <f>IFERROR(INDEX('3b Activity Plan'!$DJ$15:$FH$15,BP101),0)</f>
        <v>0</v>
      </c>
      <c r="BR101" s="1768"/>
      <c r="BS101" s="1768">
        <f>IFERROR(INDEX('3b Activity Plan'!$DJ$16:$FH$16,BP101),0)</f>
        <v>0</v>
      </c>
      <c r="BT101" s="201"/>
      <c r="BU101" s="201">
        <f>IFERROR(INDEX('3b Activity Plan'!$DJ$67:$FH$67,$V101),0)</f>
        <v>0</v>
      </c>
      <c r="BV101" s="201">
        <f>IFERROR(INDEX('3b Activity Plan'!$DJ$68:$FH$68,$V101),0)</f>
        <v>0</v>
      </c>
      <c r="BW101" s="201">
        <f>IFERROR(INDEX('3b Activity Plan'!$DJ$69:$FH$69,$V101),0)</f>
        <v>0</v>
      </c>
      <c r="BX101" s="201">
        <f>IFERROR(INDEX('3b Activity Plan'!$DJ$70:$FH$70,$V101),0)</f>
        <v>0</v>
      </c>
      <c r="BY101" s="201">
        <f>IFERROR(INDEX('3b Activity Plan'!$DJ$71:$FH$71,$V101),0)</f>
        <v>0</v>
      </c>
      <c r="BZ101" s="201">
        <f>IFERROR(INDEX('3b Activity Plan'!$DJ$72:$FH$72,$V101),0)</f>
        <v>0</v>
      </c>
      <c r="CA101" s="201">
        <f>IFERROR(INDEX('3b Activity Plan'!$DJ$73:$FH$73,$V101),0)</f>
        <v>0</v>
      </c>
      <c r="CB101" s="201">
        <f>IFERROR(INDEX('3b Activity Plan'!$DJ$74:$FH$74,$V101),0)</f>
        <v>0</v>
      </c>
      <c r="CC101" s="201">
        <f>IFERROR(INDEX('3b Activity Plan'!$DJ$75:$FH$75,$V101),0)</f>
        <v>0</v>
      </c>
      <c r="CD101" s="201">
        <f>IFERROR(INDEX('3b Activity Plan'!$DJ$76:$FH$76,$V101),0)</f>
        <v>0</v>
      </c>
      <c r="CE101" s="201"/>
      <c r="CF101" s="1818">
        <f>SUMIFS('3a Staff Plan'!$AR$129:$AR$305,'3a Staff Plan'!$DY$129:$DY$305,$IA101,'3a Staff Plan'!$AG$129:$AG$305,1,'3a Staff Plan'!$DF$129:$DF$305,1)</f>
        <v>0</v>
      </c>
      <c r="CG101" s="1768">
        <f>SUMIFS('3a Staff Plan'!$AR$129:$AR$305,'3a Staff Plan'!$DY$129:$DY$305,$IA101,'3a Staff Plan'!$AG$129:$AG$305,1,'3a Staff Plan'!$CX$129:$CX$305,1)</f>
        <v>0</v>
      </c>
      <c r="CH101" s="1768">
        <f>SUMIFS('3a Staff Plan'!$AR$129:$AR$305,'3a Staff Plan'!$DY$129:$DY$305,$IA101,'3a Staff Plan'!$AG$129:$AG$305,1,'3a Staff Plan'!$CV$129:$CV$305,1)</f>
        <v>0</v>
      </c>
      <c r="CI101" s="201"/>
      <c r="CJ101" s="201">
        <f>SUMIFS('3a Staff Plan'!$BX$129:$BX$305,'3a Staff Plan'!$DY$129:$DY$305,$IA101,'3a Staff Plan'!$DF$129:$DF$305,1,'3a Staff Plan'!$AG$129:$AG$305,1)</f>
        <v>0</v>
      </c>
      <c r="CK101" s="201">
        <f>SUMIFS('3a Staff Plan'!$BY$129:$BY$305,'3a Staff Plan'!$DY$129:$DY$305,$IA101,'3a Staff Plan'!$DF$129:$DF$305,1,'3a Staff Plan'!$AG$129:$AG$305,1)</f>
        <v>0</v>
      </c>
      <c r="CL101" s="201">
        <f>SUMIFS('3a Staff Plan'!$BZ$129:$BZ$305,'3a Staff Plan'!$DY$129:$DY$305,$IA101,'3a Staff Plan'!$DF$129:$DF$305,1,'3a Staff Plan'!$AG$129:$AG$305,1)</f>
        <v>0</v>
      </c>
      <c r="CM101" s="201">
        <f>SUMIFS('3a Staff Plan'!$CA$129:$CA$305,'3a Staff Plan'!$DY$129:$DY$305,$IA101,'3a Staff Plan'!$DF$129:$DF$305,1,'3a Staff Plan'!$AG$129:$AG$305,1)</f>
        <v>0</v>
      </c>
      <c r="CN101" s="201">
        <f>SUMIFS('3a Staff Plan'!$CB$129:$CB$305,'3a Staff Plan'!$DY$129:$DY$305,$IA101,'3a Staff Plan'!$DF$129:$DF$305,1,'3a Staff Plan'!$AG$129:$AG$305,1)</f>
        <v>0</v>
      </c>
      <c r="CO101" s="201">
        <f>SUMIFS('3a Staff Plan'!$CC$129:$CC$305,'3a Staff Plan'!$DY$129:$DY$305,$IA101,'3a Staff Plan'!$DF$129:$DF$305,1,'3a Staff Plan'!$AG$129:$AG$305,1)</f>
        <v>0</v>
      </c>
      <c r="CP101" s="201">
        <f>SUMIFS('3a Staff Plan'!$CD$129:$CD$305,'3a Staff Plan'!$DY$129:$DY$305,$IA101,'3a Staff Plan'!$DF$129:$DF$305,1,'3a Staff Plan'!$AG$129:$AG$305,1)</f>
        <v>0</v>
      </c>
      <c r="CQ101" s="201">
        <f>SUMIFS('3a Staff Plan'!$CE$129:$CE$305,'3a Staff Plan'!$DY$129:$DY$305,$IA101,'3a Staff Plan'!$DF$129:$DF$305,1,'3a Staff Plan'!$AG$129:$AG$305,1)</f>
        <v>0</v>
      </c>
      <c r="CR101" s="201">
        <f>SUMIFS('3a Staff Plan'!$CF$129:$CF$305,'3a Staff Plan'!$DY$129:$DY$305,$IA101,'3a Staff Plan'!$DF$129:$DF$305,1,'3a Staff Plan'!$AG$129:$AG$305,1)</f>
        <v>0</v>
      </c>
      <c r="CS101" s="201">
        <f>SUMIFS('3a Staff Plan'!$CG$129:$CG$305,'3a Staff Plan'!$DY$129:$DY$305,$IA101,'3a Staff Plan'!$DF$129:$DF$305,1,'3a Staff Plan'!$AG$129:$AG$305,1)</f>
        <v>0</v>
      </c>
      <c r="CT101" s="201"/>
      <c r="CU101" s="1818">
        <f t="shared" si="210"/>
        <v>0</v>
      </c>
      <c r="CV101" s="1768"/>
      <c r="CW101" s="1768">
        <f t="shared" si="211"/>
        <v>0</v>
      </c>
      <c r="CX101" s="201"/>
      <c r="CY101" s="201">
        <f t="shared" si="212"/>
        <v>0</v>
      </c>
      <c r="CZ101" s="201">
        <f t="shared" si="213"/>
        <v>0</v>
      </c>
      <c r="DA101" s="201">
        <f t="shared" si="214"/>
        <v>0</v>
      </c>
      <c r="DB101" s="201">
        <f t="shared" si="215"/>
        <v>0</v>
      </c>
      <c r="DC101" s="201">
        <f t="shared" si="216"/>
        <v>0</v>
      </c>
      <c r="DD101" s="201">
        <f t="shared" si="217"/>
        <v>0</v>
      </c>
      <c r="DE101" s="201">
        <f t="shared" si="218"/>
        <v>0</v>
      </c>
      <c r="DF101" s="201">
        <f t="shared" si="219"/>
        <v>0</v>
      </c>
      <c r="DG101" s="201">
        <f t="shared" si="220"/>
        <v>0</v>
      </c>
      <c r="DH101" s="201">
        <f t="shared" si="221"/>
        <v>0</v>
      </c>
      <c r="DI101" s="201"/>
      <c r="DJ101" s="201"/>
      <c r="DK101" s="201"/>
      <c r="DL101" s="201"/>
      <c r="DM101" s="372">
        <f t="shared" ca="1" si="283"/>
        <v>0</v>
      </c>
      <c r="DN101" s="1185">
        <f t="shared" si="284"/>
        <v>0</v>
      </c>
      <c r="DO101" s="1185">
        <f t="shared" si="285"/>
        <v>0</v>
      </c>
      <c r="DP101" s="201"/>
      <c r="DQ101" s="372">
        <f t="shared" ca="1" si="286"/>
        <v>0</v>
      </c>
      <c r="DR101" s="1185">
        <f t="shared" si="287"/>
        <v>0</v>
      </c>
      <c r="DS101" s="1185">
        <f t="shared" si="288"/>
        <v>0</v>
      </c>
      <c r="DT101" s="201"/>
      <c r="DU101" s="372">
        <f t="shared" ca="1" si="289"/>
        <v>0</v>
      </c>
      <c r="DV101" s="372">
        <f t="shared" si="290"/>
        <v>0</v>
      </c>
      <c r="DW101" s="372">
        <f t="shared" si="290"/>
        <v>0</v>
      </c>
      <c r="DX101" s="201"/>
      <c r="DY101" s="372">
        <f t="shared" si="291"/>
        <v>0</v>
      </c>
      <c r="DZ101" s="372">
        <f t="shared" ca="1" si="292"/>
        <v>0</v>
      </c>
      <c r="EA101" s="201"/>
      <c r="EB101" s="2776">
        <f>IF(EO101=$EO$53,1,IFERROR(INDEX('Currency Data'!$L$8:$L$41,MATCH(EO101,'Currency Data'!$H$8:$H$41,0)),1))</f>
        <v>1</v>
      </c>
      <c r="EC101" s="2776">
        <f t="shared" si="147"/>
        <v>1</v>
      </c>
      <c r="ED101" s="428">
        <f>IF(GQ101=1,'1 Setup'!$T$68,IF(ISBLANK(IJ101),II101/EC101*IF(GL101=1,$ED$53,1),IJ101/EC101)*IF($EW101=7,JW101,1))</f>
        <v>0</v>
      </c>
      <c r="EE101" s="428">
        <f t="shared" si="293"/>
        <v>0</v>
      </c>
      <c r="EF101" s="428"/>
      <c r="EG101" s="1965" t="str">
        <f t="shared" si="148"/>
        <v>031500 - Highways UK</v>
      </c>
      <c r="EH101" s="201">
        <f t="shared" si="149"/>
        <v>1</v>
      </c>
      <c r="EI101" s="445" t="str">
        <f>IF(EH101=1,$EI$53,IF(GQ101=1,$GQ$55,IFERROR(IF($EG101=$EG$53,$EI$53,INDEX('PU List'!$G$6:$G$413,MATCH($EG101,'PU List'!$D$6:$D$413,0))),$EI$53)))</f>
        <v>GB - BIAF</v>
      </c>
      <c r="EJ101" s="2773" t="str">
        <f t="shared" si="150"/>
        <v>GB - BIAF</v>
      </c>
      <c r="EK101" s="1768"/>
      <c r="EL101" s="3283">
        <f>IF(OR(EW101&gt;7,$EL$53=0),0,IF(EJ101=$EI$53,$EL$53,IFERROR(INDEX('Fringe Data'!$U$8:$U$129,MATCH($EJ101,'Fringe Data'!$F$8:$F$129,0)),0)))</f>
        <v>1.73</v>
      </c>
      <c r="EM101" s="372">
        <f t="shared" si="294"/>
        <v>0</v>
      </c>
      <c r="EN101" s="201" t="str">
        <f>IFERROR(INDEX('Fringe Data'!$G$8:$G$64,MATCH($EJ101,'Fringe Data'!$F$8:$F$64,0)),$EO$53)</f>
        <v>GBP</v>
      </c>
      <c r="EO101" s="201" t="str">
        <f t="shared" si="151"/>
        <v>GBP</v>
      </c>
      <c r="EP101" s="201">
        <f>IF(EI101=$EI$53,$EP$49,IF(GP101=1,0,IFERROR(INDEX('Fringe Data'!$K$8:$K$64,MATCH($EI101,'Fringe Data'!$F$8:$F$64,0)),0)))</f>
        <v>0.52</v>
      </c>
      <c r="EQ101" s="201">
        <f>IF(EI101=$EI$53,$EQ$49,IF(GP101=1,0,IFERROR(INDEX('Fringe Data'!$L$8:$L$64,MATCH($EI101,'Fringe Data'!$F$8:$F$64,0)),0)))</f>
        <v>1.8499999999999999E-2</v>
      </c>
      <c r="ER101" s="201">
        <f>IF(EI101=$EI$53,$ER$49,IF(GP101=1,0,IFERROR(INDEX('Fringe Data'!$M$8:$M$64,MATCH($EI101,'Fringe Data'!$F$8:$F$64,0)),0)))</f>
        <v>0.43430000000000002</v>
      </c>
      <c r="ES101" s="201">
        <f>IF(EI101=$EI$53,$ES$49,IF(GP101=1,0,IFERROR(INDEX('Fringe Data'!$N$8:$N$64,MATCH($EI101,'Fringe Data'!$F$8:$F$64,0)),0)))</f>
        <v>0.1565</v>
      </c>
      <c r="ET101" s="201">
        <f>IF(EI101=$EI$53,$ET$49,IF(GP101=1,0,IFERROR(INDEX('Fringe Data'!$O$8:$O$64,MATCH($EI101,'Fringe Data'!$F$8:$F$64,0)),0)))</f>
        <v>0.33450000000000002</v>
      </c>
      <c r="EU101" s="263">
        <f>IF(EI101=$EI$53,$EU$49,IF(GP101=1,0,IFERROR(INDEX('Fringe Data'!$P$8:$P$64,MATCH($EI101,'Fringe Data'!$F$8:$F$64,0)),0)))</f>
        <v>0.1565</v>
      </c>
      <c r="EV101" s="201"/>
      <c r="EW101" s="1530">
        <f t="shared" si="295"/>
        <v>1</v>
      </c>
      <c r="EX101" s="1534">
        <f t="shared" si="152"/>
        <v>0.52</v>
      </c>
      <c r="EY101" s="321">
        <f t="shared" si="153"/>
        <v>0</v>
      </c>
      <c r="EZ101" s="201">
        <f t="shared" si="154"/>
        <v>0</v>
      </c>
      <c r="FA101" s="372">
        <f t="shared" si="296"/>
        <v>0</v>
      </c>
      <c r="FB101" s="372">
        <f t="shared" si="297"/>
        <v>0</v>
      </c>
      <c r="FC101" s="201">
        <f t="shared" ca="1" si="155"/>
        <v>0</v>
      </c>
      <c r="FD101" s="423">
        <f t="shared" si="298"/>
        <v>0</v>
      </c>
      <c r="FE101" s="423">
        <f t="shared" si="299"/>
        <v>0</v>
      </c>
      <c r="FF101" s="201">
        <f t="shared" si="156"/>
        <v>0</v>
      </c>
      <c r="FG101" s="425">
        <f>IF(OR($FJ$52=3,$FJ$52=4,$FJ$52=5),'1 Setup'!$W$96,0)</f>
        <v>0</v>
      </c>
      <c r="FH101" s="428">
        <f>IF($FJ$52=5,'1 Setup'!$W$98,IF($FJ$52=6,'1 Setup'!$S$86,0))</f>
        <v>0</v>
      </c>
      <c r="FI101" s="321">
        <f t="shared" ca="1" si="300"/>
        <v>0</v>
      </c>
      <c r="FJ101" s="263">
        <f t="shared" ca="1" si="157"/>
        <v>0</v>
      </c>
      <c r="FK101" s="372">
        <f t="shared" ca="1" si="301"/>
        <v>0</v>
      </c>
      <c r="FL101" s="372">
        <f t="shared" si="302"/>
        <v>0</v>
      </c>
      <c r="FM101" s="372">
        <f t="shared" si="303"/>
        <v>0</v>
      </c>
      <c r="FN101" s="2036">
        <f t="shared" ca="1" si="304"/>
        <v>0</v>
      </c>
      <c r="FO101" s="372">
        <f t="shared" ca="1" si="224"/>
        <v>0</v>
      </c>
      <c r="FP101" s="2723">
        <f t="shared" si="158"/>
        <v>0</v>
      </c>
      <c r="FQ101" s="372">
        <f t="shared" si="305"/>
        <v>0</v>
      </c>
      <c r="FR101" s="372">
        <f t="shared" si="159"/>
        <v>0</v>
      </c>
      <c r="FS101" s="1168"/>
      <c r="FT101" s="1168">
        <f t="shared" si="306"/>
        <v>0</v>
      </c>
      <c r="FU101" s="1168">
        <f t="shared" si="307"/>
        <v>0</v>
      </c>
      <c r="FV101" s="1168">
        <f t="shared" si="308"/>
        <v>0</v>
      </c>
      <c r="FW101" s="1168">
        <f t="shared" si="309"/>
        <v>0</v>
      </c>
      <c r="FX101" s="1168">
        <f t="shared" si="310"/>
        <v>0</v>
      </c>
      <c r="FY101" s="1168">
        <f t="shared" si="311"/>
        <v>0</v>
      </c>
      <c r="FZ101" s="1168">
        <f t="shared" si="312"/>
        <v>0</v>
      </c>
      <c r="GA101" s="1168">
        <f t="shared" si="313"/>
        <v>0</v>
      </c>
      <c r="GB101" s="1168">
        <f t="shared" si="314"/>
        <v>0</v>
      </c>
      <c r="GC101" s="1168">
        <f t="shared" si="315"/>
        <v>0</v>
      </c>
      <c r="GD101" s="1168"/>
      <c r="GE101" s="199"/>
      <c r="GF101" s="201">
        <f t="shared" si="316"/>
        <v>0</v>
      </c>
      <c r="GG101" s="201">
        <f t="shared" si="317"/>
        <v>0</v>
      </c>
      <c r="GH101" s="201">
        <f t="shared" si="318"/>
        <v>0</v>
      </c>
      <c r="GI101" s="201">
        <f t="shared" ca="1" si="160"/>
        <v>0</v>
      </c>
      <c r="GJ101" s="201">
        <f t="shared" si="319"/>
        <v>0</v>
      </c>
      <c r="GK101" s="201">
        <f t="shared" si="320"/>
        <v>0</v>
      </c>
      <c r="GL101" s="201">
        <f t="shared" si="321"/>
        <v>1</v>
      </c>
      <c r="GM101" s="201">
        <f t="shared" si="322"/>
        <v>1</v>
      </c>
      <c r="GN101" s="201"/>
      <c r="GO101" s="201"/>
      <c r="GP101" s="201">
        <f t="shared" si="323"/>
        <v>0</v>
      </c>
      <c r="GQ101" s="201">
        <f t="shared" si="324"/>
        <v>0</v>
      </c>
      <c r="GR101" s="201">
        <f t="shared" si="161"/>
        <v>0</v>
      </c>
      <c r="GS101" s="1768"/>
      <c r="GT101" s="201">
        <f t="shared" si="325"/>
        <v>1</v>
      </c>
      <c r="GU101" s="201">
        <f t="shared" si="193"/>
        <v>38</v>
      </c>
      <c r="GV101" s="201">
        <f t="shared" si="326"/>
        <v>0</v>
      </c>
      <c r="GW101" s="201">
        <f t="shared" si="327"/>
        <v>3</v>
      </c>
      <c r="GX101" s="201">
        <f t="shared" si="162"/>
        <v>0</v>
      </c>
      <c r="GY101" s="1998"/>
      <c r="GZ101" s="253"/>
      <c r="HA101" s="195">
        <f t="shared" si="407"/>
        <v>0</v>
      </c>
      <c r="HB101" s="3558">
        <f t="shared" si="82"/>
        <v>0</v>
      </c>
      <c r="HC101" s="3590"/>
      <c r="HD101" s="257" t="str">
        <f t="shared" si="328"/>
        <v/>
      </c>
      <c r="HE101" s="825">
        <f t="shared" si="329"/>
        <v>0</v>
      </c>
      <c r="HF101" s="506" t="s">
        <v>5</v>
      </c>
      <c r="HG101" s="508">
        <f t="shared" ca="1" si="330"/>
        <v>0</v>
      </c>
      <c r="HH101" s="3585">
        <f t="shared" si="331"/>
        <v>0</v>
      </c>
      <c r="HI101" s="3586"/>
      <c r="HJ101" s="522">
        <f t="shared" ca="1" si="408"/>
        <v>0</v>
      </c>
      <c r="HK101" s="456">
        <f t="shared" ca="1" si="226"/>
        <v>0</v>
      </c>
      <c r="HL101" s="3591">
        <f t="shared" ca="1" si="409"/>
        <v>0</v>
      </c>
      <c r="HM101" s="3592"/>
      <c r="HN101" s="240"/>
      <c r="HO101" s="1998"/>
      <c r="HP101" s="1991"/>
      <c r="HQ101" s="2770" t="str">
        <f t="shared" si="332"/>
        <v>GB - BIAF</v>
      </c>
      <c r="HR101" s="2770" t="str">
        <f t="shared" si="333"/>
        <v>GBP</v>
      </c>
      <c r="HS101" s="2771">
        <f t="shared" si="334"/>
        <v>1</v>
      </c>
      <c r="HT101" s="3623"/>
      <c r="HU101" s="2771">
        <f t="shared" si="335"/>
        <v>1.73</v>
      </c>
      <c r="HW101" s="1218"/>
      <c r="HX101" s="520"/>
      <c r="HY101" s="2523"/>
      <c r="HZ101" s="194"/>
      <c r="IA101" s="1013"/>
      <c r="IB101" s="193"/>
      <c r="IC101" s="3276">
        <v>38</v>
      </c>
      <c r="ID101" s="986"/>
      <c r="IE101" s="938">
        <f t="shared" si="164"/>
        <v>0</v>
      </c>
      <c r="IF101" s="938">
        <f t="shared" si="165"/>
        <v>0</v>
      </c>
      <c r="IG101" s="432"/>
      <c r="II101" s="405"/>
      <c r="IJ101" s="239"/>
      <c r="IK101" s="2774" t="str">
        <f t="shared" si="166"/>
        <v>GBP</v>
      </c>
      <c r="IL101" s="2148"/>
      <c r="IM101" s="1936">
        <f t="shared" si="336"/>
        <v>0</v>
      </c>
      <c r="IO101" s="1959" t="str">
        <f t="shared" si="337"/>
        <v/>
      </c>
      <c r="IP101" s="1958"/>
      <c r="IQ101" s="543">
        <f t="shared" si="338"/>
        <v>0.52</v>
      </c>
      <c r="IR101" s="1936">
        <f t="shared" si="339"/>
        <v>0</v>
      </c>
      <c r="IT101" s="1364"/>
      <c r="IU101" s="210"/>
      <c r="IV101" s="218"/>
      <c r="IW101" s="1938">
        <f ca="1">IF(NOT(ISBLANK(IU101)),IU101,IF('1 Setup'!$G$8&lt;7,JK101,FJ101))+KA101</f>
        <v>0</v>
      </c>
      <c r="IX101" s="409">
        <f t="shared" si="340"/>
        <v>0</v>
      </c>
      <c r="IY101" s="408">
        <f t="shared" si="341"/>
        <v>0</v>
      </c>
      <c r="IZ101" s="1983"/>
      <c r="JA101" s="1994"/>
      <c r="JB101" s="1991"/>
      <c r="JD101" s="2029">
        <f t="shared" si="167"/>
        <v>0</v>
      </c>
      <c r="JE101" s="479"/>
      <c r="JF101" s="2025">
        <f t="shared" si="342"/>
        <v>0</v>
      </c>
      <c r="JG101" s="429">
        <f t="shared" si="343"/>
        <v>0</v>
      </c>
      <c r="JH101" s="1667">
        <f t="shared" si="344"/>
        <v>0</v>
      </c>
      <c r="JJ101" s="1163">
        <f t="shared" ca="1" si="345"/>
        <v>0</v>
      </c>
      <c r="JK101" s="1163">
        <f t="shared" ca="1" si="346"/>
        <v>0</v>
      </c>
      <c r="JL101" s="1795"/>
      <c r="JN101" s="2505"/>
      <c r="JO101" s="1161"/>
      <c r="JP101" s="571">
        <f t="shared" ca="1" si="410"/>
        <v>0</v>
      </c>
      <c r="JQ101" s="2506"/>
      <c r="JR101" s="1953"/>
      <c r="JS101" s="2650"/>
      <c r="JT101" s="2507"/>
      <c r="JU101" s="1964">
        <f t="shared" si="347"/>
        <v>0.33450000000000002</v>
      </c>
      <c r="JV101" s="3199"/>
      <c r="JW101" s="2649">
        <f t="shared" si="348"/>
        <v>1.5</v>
      </c>
      <c r="JX101" s="1964">
        <f t="shared" si="168"/>
        <v>0.1565</v>
      </c>
      <c r="JY101" s="3199"/>
      <c r="JZ101" s="2649">
        <f t="shared" si="169"/>
        <v>0</v>
      </c>
      <c r="KA101" s="2649">
        <f t="shared" si="170"/>
        <v>0</v>
      </c>
      <c r="KB101" s="2649" t="s">
        <v>111</v>
      </c>
      <c r="KC101" s="1983"/>
      <c r="KD101" s="1974"/>
      <c r="KE101" s="1991"/>
      <c r="KF101" s="2029">
        <f t="shared" si="171"/>
        <v>0</v>
      </c>
      <c r="KG101" s="1991"/>
      <c r="KH101" s="2121">
        <f t="shared" si="349"/>
        <v>0</v>
      </c>
      <c r="KI101" s="2130">
        <f t="shared" si="350"/>
        <v>0</v>
      </c>
      <c r="KJ101" s="2130">
        <f t="shared" si="351"/>
        <v>0</v>
      </c>
      <c r="KK101" s="2130">
        <f t="shared" si="352"/>
        <v>0</v>
      </c>
      <c r="KL101" s="2131">
        <f t="shared" si="353"/>
        <v>0</v>
      </c>
      <c r="KM101" s="2132">
        <f t="shared" si="354"/>
        <v>0</v>
      </c>
      <c r="KN101" s="2132">
        <f t="shared" si="355"/>
        <v>0</v>
      </c>
      <c r="KO101" s="2132">
        <f t="shared" si="356"/>
        <v>0</v>
      </c>
      <c r="KP101" s="2132">
        <f t="shared" si="357"/>
        <v>0</v>
      </c>
      <c r="KQ101" s="2133">
        <f t="shared" si="358"/>
        <v>0</v>
      </c>
      <c r="KS101" s="2253">
        <f t="shared" si="359"/>
        <v>0</v>
      </c>
      <c r="KT101" s="2270">
        <f t="shared" ref="KT101:LB101" si="414">KS101*(1+(KT$60))</f>
        <v>0</v>
      </c>
      <c r="KU101" s="2271">
        <f t="shared" si="414"/>
        <v>0</v>
      </c>
      <c r="KV101" s="2271">
        <f t="shared" si="414"/>
        <v>0</v>
      </c>
      <c r="KW101" s="2272">
        <f t="shared" si="414"/>
        <v>0</v>
      </c>
      <c r="KX101" s="2271">
        <f t="shared" si="414"/>
        <v>0</v>
      </c>
      <c r="KY101" s="2271">
        <f t="shared" si="414"/>
        <v>0</v>
      </c>
      <c r="KZ101" s="2271">
        <f t="shared" si="414"/>
        <v>0</v>
      </c>
      <c r="LA101" s="2271">
        <f t="shared" si="414"/>
        <v>0</v>
      </c>
      <c r="LB101" s="2273">
        <f t="shared" si="414"/>
        <v>0</v>
      </c>
      <c r="LC101" s="272"/>
      <c r="LD101" s="2124">
        <f t="shared" si="361"/>
        <v>0</v>
      </c>
      <c r="LE101" s="2093">
        <f t="shared" si="362"/>
        <v>0</v>
      </c>
      <c r="LF101" s="2093">
        <f t="shared" si="363"/>
        <v>0</v>
      </c>
      <c r="LG101" s="2093">
        <f t="shared" si="364"/>
        <v>0</v>
      </c>
      <c r="LH101" s="2094">
        <f t="shared" si="365"/>
        <v>0</v>
      </c>
      <c r="LI101" s="2095">
        <f t="shared" si="366"/>
        <v>0</v>
      </c>
      <c r="LJ101" s="2095">
        <f t="shared" si="367"/>
        <v>0</v>
      </c>
      <c r="LK101" s="2095">
        <f t="shared" si="368"/>
        <v>0</v>
      </c>
      <c r="LL101" s="2095">
        <f t="shared" si="369"/>
        <v>0</v>
      </c>
      <c r="LM101" s="2096">
        <f t="shared" si="370"/>
        <v>0</v>
      </c>
      <c r="LN101" s="749"/>
      <c r="LO101" s="2256">
        <f t="shared" ca="1" si="371"/>
        <v>0</v>
      </c>
      <c r="LP101" s="2270">
        <f t="shared" ca="1" si="372"/>
        <v>0</v>
      </c>
      <c r="LQ101" s="2271">
        <f t="shared" ca="1" si="373"/>
        <v>0</v>
      </c>
      <c r="LR101" s="2271">
        <f t="shared" ca="1" si="374"/>
        <v>0</v>
      </c>
      <c r="LS101" s="2272">
        <f t="shared" ca="1" si="375"/>
        <v>0</v>
      </c>
      <c r="LT101" s="2271">
        <f t="shared" ca="1" si="376"/>
        <v>0</v>
      </c>
      <c r="LU101" s="2271">
        <f t="shared" ca="1" si="377"/>
        <v>0</v>
      </c>
      <c r="LV101" s="2271">
        <f t="shared" ca="1" si="378"/>
        <v>0</v>
      </c>
      <c r="LW101" s="2271">
        <f t="shared" ca="1" si="379"/>
        <v>0</v>
      </c>
      <c r="LX101" s="2273">
        <f t="shared" ca="1" si="380"/>
        <v>0</v>
      </c>
      <c r="LY101" s="479"/>
      <c r="LZ101" s="3128">
        <f t="shared" ca="1" si="173"/>
        <v>-1.73</v>
      </c>
      <c r="MA101" s="3129">
        <f t="shared" ca="1" si="174"/>
        <v>-1.73</v>
      </c>
      <c r="MB101" s="3129">
        <f t="shared" ca="1" si="175"/>
        <v>-1.73</v>
      </c>
      <c r="MC101" s="3129">
        <f t="shared" ca="1" si="176"/>
        <v>-1.73</v>
      </c>
      <c r="MD101" s="3130">
        <f t="shared" ca="1" si="177"/>
        <v>-1.73</v>
      </c>
      <c r="ME101" s="3129">
        <f t="shared" ca="1" si="178"/>
        <v>-1.73</v>
      </c>
      <c r="MF101" s="3129">
        <f t="shared" ca="1" si="179"/>
        <v>-1.73</v>
      </c>
      <c r="MG101" s="3129">
        <f t="shared" ca="1" si="180"/>
        <v>-1.73</v>
      </c>
      <c r="MH101" s="3129">
        <f t="shared" ca="1" si="181"/>
        <v>-1.73</v>
      </c>
      <c r="MI101" s="3131">
        <f t="shared" ca="1" si="182"/>
        <v>-1.73</v>
      </c>
      <c r="MJ101" s="3201"/>
      <c r="MK101" s="3206">
        <f t="shared" ca="1" si="183"/>
        <v>0</v>
      </c>
      <c r="ML101" s="3207">
        <f t="shared" ca="1" si="184"/>
        <v>0</v>
      </c>
      <c r="MM101" s="3207">
        <f t="shared" ca="1" si="185"/>
        <v>0</v>
      </c>
      <c r="MN101" s="3207">
        <f t="shared" ca="1" si="186"/>
        <v>0</v>
      </c>
      <c r="MO101" s="3208">
        <f t="shared" ca="1" si="187"/>
        <v>0</v>
      </c>
      <c r="MP101" s="3207">
        <f t="shared" ca="1" si="188"/>
        <v>0</v>
      </c>
      <c r="MQ101" s="3207">
        <f t="shared" ca="1" si="189"/>
        <v>0</v>
      </c>
      <c r="MR101" s="3207">
        <f t="shared" ca="1" si="190"/>
        <v>0</v>
      </c>
      <c r="MS101" s="3207">
        <f t="shared" ca="1" si="191"/>
        <v>0</v>
      </c>
      <c r="MT101" s="3209">
        <f t="shared" ca="1" si="192"/>
        <v>0</v>
      </c>
      <c r="MU101" s="1983"/>
      <c r="MV101" s="1975"/>
      <c r="MW101" s="1991"/>
      <c r="MX101" s="1931">
        <f t="shared" si="381"/>
        <v>0</v>
      </c>
      <c r="MY101" s="749"/>
      <c r="MZ101" s="1934">
        <f t="shared" si="382"/>
        <v>0</v>
      </c>
      <c r="NA101" s="1935"/>
      <c r="NB101" s="2652">
        <f t="shared" si="383"/>
        <v>0</v>
      </c>
      <c r="NC101" s="479"/>
      <c r="ND101" s="2749" t="str">
        <f t="shared" si="384"/>
        <v/>
      </c>
      <c r="NE101" s="2717"/>
      <c r="NF101" s="1975"/>
      <c r="NG101" s="1975"/>
      <c r="NH101" s="1975"/>
      <c r="NI101" s="1975"/>
    </row>
    <row r="102" spans="1:373" s="192" customFormat="1" ht="15.9" customHeight="1" x14ac:dyDescent="0.3">
      <c r="A102" s="200"/>
      <c r="B102" s="200"/>
      <c r="C102" s="200"/>
      <c r="D102" s="200"/>
      <c r="E102" s="200"/>
      <c r="F102" s="200"/>
      <c r="G102" s="200"/>
      <c r="H102" s="200"/>
      <c r="I102" s="200"/>
      <c r="J102" s="200"/>
      <c r="K102" s="200"/>
      <c r="L102" s="200"/>
      <c r="M102" s="200"/>
      <c r="N102" s="200"/>
      <c r="O102" s="200"/>
      <c r="P102" s="1539"/>
      <c r="Q102" s="1539"/>
      <c r="R102" s="198"/>
      <c r="S102" s="1539"/>
      <c r="T102" s="201"/>
      <c r="U102" s="200"/>
      <c r="V102" s="201">
        <f>MATCH($IC102,'3b Activity Plan'!$DJ$171:$FH$171,0)</f>
        <v>39</v>
      </c>
      <c r="W102" s="201">
        <f>IFERROR(INDEX('3b Activity Plan'!$DJ$6:$FH$6,V102),0)</f>
        <v>0</v>
      </c>
      <c r="X102" s="1768"/>
      <c r="Y102" s="1768">
        <f>IFERROR(INDEX('3b Activity Plan'!$DJ$7:$FH$7,V102),0)</f>
        <v>0</v>
      </c>
      <c r="Z102" s="201"/>
      <c r="AA102" s="201">
        <f>IFERROR(INDEX('3b Activity Plan'!$DJ$34:$FH$34,$V102),0)</f>
        <v>0</v>
      </c>
      <c r="AB102" s="201">
        <f>IFERROR(INDEX('3b Activity Plan'!$DJ$35:$FH$35,$V102),0)</f>
        <v>0</v>
      </c>
      <c r="AC102" s="201">
        <f>IFERROR(INDEX('3b Activity Plan'!$DJ$36:$FH$36,$V102),0)</f>
        <v>0</v>
      </c>
      <c r="AD102" s="201">
        <f>IFERROR(INDEX('3b Activity Plan'!$DJ$37:$FH$37,$V102),0)</f>
        <v>0</v>
      </c>
      <c r="AE102" s="201">
        <f>IFERROR(INDEX('3b Activity Plan'!$DJ$38:$FH$38,$V102),0)</f>
        <v>0</v>
      </c>
      <c r="AF102" s="201">
        <f>IFERROR(INDEX('3b Activity Plan'!$DJ$39:$FH$39,$V102),0)</f>
        <v>0</v>
      </c>
      <c r="AG102" s="201">
        <f>IFERROR(INDEX('3b Activity Plan'!$DJ$40:$FH$40,$V102),0)</f>
        <v>0</v>
      </c>
      <c r="AH102" s="201">
        <f>IFERROR(INDEX('3b Activity Plan'!$DJ$41:$FH$41,$V102),0)</f>
        <v>0</v>
      </c>
      <c r="AI102" s="201">
        <f>IFERROR(INDEX('3b Activity Plan'!$DJ$42:$FH$42,$V102),0)</f>
        <v>0</v>
      </c>
      <c r="AJ102" s="201">
        <f>IFERROR(INDEX('3b Activity Plan'!$DJ$43:$FH$43,$V102),0)</f>
        <v>0</v>
      </c>
      <c r="AK102" s="201"/>
      <c r="AL102" s="201">
        <f>SUMIFS('3a Staff Plan'!$AR$129:$AR$305,'3a Staff Plan'!$DY$129:$DY$305,$IA102,'3a Staff Plan'!$DF$129:$DF$305,1)</f>
        <v>0</v>
      </c>
      <c r="AM102" s="1768"/>
      <c r="AN102" s="1768">
        <f>SUMIFS('3a Staff Plan'!$AR$129:$AR$305,'3a Staff Plan'!$DY$129:$DY$305,$IA102,'3a Staff Plan'!$CV$129:$CV$305,1)</f>
        <v>0</v>
      </c>
      <c r="AO102" s="201"/>
      <c r="AP102" s="201">
        <f>SUMIFS('3a Staff Plan'!$AS$129:$AS$305,'3a Staff Plan'!$DY$129:$DY$305,$IA102,'3a Staff Plan'!$DF$129:$DF$305,1)</f>
        <v>0</v>
      </c>
      <c r="AQ102" s="201">
        <f>SUMIFS('3a Staff Plan'!$AT$129:$AT$305,'3a Staff Plan'!$DY$129:$DY$305,$IA102,'3a Staff Plan'!$DF$129:$DF$305,1)</f>
        <v>0</v>
      </c>
      <c r="AR102" s="201">
        <f>SUMIFS('3a Staff Plan'!$AU$129:$AU$305,'3a Staff Plan'!$DY$129:$DY$305,$IA102,'3a Staff Plan'!$DF$129:$DF$305,1)</f>
        <v>0</v>
      </c>
      <c r="AS102" s="201">
        <f>SUMIFS('3a Staff Plan'!$AV$129:$AV$305,'3a Staff Plan'!$DY$129:$DY$305,$IA102,'3a Staff Plan'!$DF$129:$DF$305,1)</f>
        <v>0</v>
      </c>
      <c r="AT102" s="201">
        <f>SUMIFS('3a Staff Plan'!$AW$129:$AW$305,'3a Staff Plan'!$DY$129:$DY$305,$IA102,'3a Staff Plan'!$DF$129:$DF$305,1)</f>
        <v>0</v>
      </c>
      <c r="AU102" s="201">
        <f>SUMIFS('3a Staff Plan'!$AX$129:$AX$305,'3a Staff Plan'!$DY$129:$DY$305,$IA102,'3a Staff Plan'!$DF$129:$DF$305,1)</f>
        <v>0</v>
      </c>
      <c r="AV102" s="201">
        <f>SUMIFS('3a Staff Plan'!$AY$129:$AY$305,'3a Staff Plan'!$DY$129:$DY$305,$IA102,'3a Staff Plan'!$DF$129:$DF$305,1)</f>
        <v>0</v>
      </c>
      <c r="AW102" s="201">
        <f>SUMIFS('3a Staff Plan'!$AZ$129:$AZ$305,'3a Staff Plan'!$DY$129:$DY$305,$IA102,'3a Staff Plan'!$DF$129:$DF$305,1)</f>
        <v>0</v>
      </c>
      <c r="AX102" s="201">
        <f>SUMIFS('3a Staff Plan'!$BA$129:$BA$305,'3a Staff Plan'!$DY$129:$DY$305,$IA102,'3a Staff Plan'!$DF$129:$DF$305,1)</f>
        <v>0</v>
      </c>
      <c r="AY102" s="201">
        <f>SUMIFS('3a Staff Plan'!$BB$129:$BB$305,'3a Staff Plan'!$DY$129:$DY$305,$IA102,'3a Staff Plan'!$DF$129:$DF$305,1)</f>
        <v>0</v>
      </c>
      <c r="AZ102" s="201"/>
      <c r="BA102" s="201">
        <f t="shared" ref="BA102:BA109" si="415">(W102*$V$51)+(AL102*$AL$51)</f>
        <v>0</v>
      </c>
      <c r="BB102" s="1768"/>
      <c r="BC102" s="1768">
        <f t="shared" ref="BC102:BC109" si="416">(Y102*$V$51)+(AN102*$AL$51)</f>
        <v>0</v>
      </c>
      <c r="BD102" s="201"/>
      <c r="BE102" s="201">
        <f t="shared" ref="BE102:BE109" si="417">(AA102*$V$51)+(AP102*$AL$51)</f>
        <v>0</v>
      </c>
      <c r="BF102" s="201">
        <f t="shared" ref="BF102:BF109" si="418">(AB102*$V$51)+(AQ102*$AL$51)</f>
        <v>0</v>
      </c>
      <c r="BG102" s="201">
        <f t="shared" ref="BG102:BG109" si="419">(AC102*$V$51)+(AR102*$AL$51)</f>
        <v>0</v>
      </c>
      <c r="BH102" s="201">
        <f t="shared" ref="BH102:BH109" si="420">(AD102*$V$51)+(AS102*$AL$51)</f>
        <v>0</v>
      </c>
      <c r="BI102" s="201">
        <f t="shared" ref="BI102:BI109" si="421">(AE102*$V$51)+(AT102*$AL$51)</f>
        <v>0</v>
      </c>
      <c r="BJ102" s="201">
        <f t="shared" si="205"/>
        <v>0</v>
      </c>
      <c r="BK102" s="201">
        <f t="shared" si="206"/>
        <v>0</v>
      </c>
      <c r="BL102" s="201">
        <f t="shared" si="207"/>
        <v>0</v>
      </c>
      <c r="BM102" s="201">
        <f t="shared" si="208"/>
        <v>0</v>
      </c>
      <c r="BN102" s="201">
        <f t="shared" si="209"/>
        <v>0</v>
      </c>
      <c r="BO102" s="201"/>
      <c r="BP102" s="1818">
        <f t="shared" si="146"/>
        <v>39</v>
      </c>
      <c r="BQ102" s="1818">
        <f>IFERROR(INDEX('3b Activity Plan'!$DJ$15:$FH$15,BP102),0)</f>
        <v>0</v>
      </c>
      <c r="BR102" s="1768"/>
      <c r="BS102" s="1768">
        <f>IFERROR(INDEX('3b Activity Plan'!$DJ$16:$FH$16,BP102),0)</f>
        <v>0</v>
      </c>
      <c r="BT102" s="201"/>
      <c r="BU102" s="201">
        <f>IFERROR(INDEX('3b Activity Plan'!$DJ$67:$FH$67,$V102),0)</f>
        <v>0</v>
      </c>
      <c r="BV102" s="201">
        <f>IFERROR(INDEX('3b Activity Plan'!$DJ$68:$FH$68,$V102),0)</f>
        <v>0</v>
      </c>
      <c r="BW102" s="201">
        <f>IFERROR(INDEX('3b Activity Plan'!$DJ$69:$FH$69,$V102),0)</f>
        <v>0</v>
      </c>
      <c r="BX102" s="201">
        <f>IFERROR(INDEX('3b Activity Plan'!$DJ$70:$FH$70,$V102),0)</f>
        <v>0</v>
      </c>
      <c r="BY102" s="201">
        <f>IFERROR(INDEX('3b Activity Plan'!$DJ$71:$FH$71,$V102),0)</f>
        <v>0</v>
      </c>
      <c r="BZ102" s="201">
        <f>IFERROR(INDEX('3b Activity Plan'!$DJ$72:$FH$72,$V102),0)</f>
        <v>0</v>
      </c>
      <c r="CA102" s="201">
        <f>IFERROR(INDEX('3b Activity Plan'!$DJ$73:$FH$73,$V102),0)</f>
        <v>0</v>
      </c>
      <c r="CB102" s="201">
        <f>IFERROR(INDEX('3b Activity Plan'!$DJ$74:$FH$74,$V102),0)</f>
        <v>0</v>
      </c>
      <c r="CC102" s="201">
        <f>IFERROR(INDEX('3b Activity Plan'!$DJ$75:$FH$75,$V102),0)</f>
        <v>0</v>
      </c>
      <c r="CD102" s="201">
        <f>IFERROR(INDEX('3b Activity Plan'!$DJ$76:$FH$76,$V102),0)</f>
        <v>0</v>
      </c>
      <c r="CE102" s="201"/>
      <c r="CF102" s="1818">
        <f>SUMIFS('3a Staff Plan'!$AR$129:$AR$305,'3a Staff Plan'!$DY$129:$DY$305,$IA102,'3a Staff Plan'!$AG$129:$AG$305,1,'3a Staff Plan'!$DF$129:$DF$305,1)</f>
        <v>0</v>
      </c>
      <c r="CG102" s="1768">
        <f>SUMIFS('3a Staff Plan'!$AR$129:$AR$305,'3a Staff Plan'!$DY$129:$DY$305,$IA102,'3a Staff Plan'!$AG$129:$AG$305,1,'3a Staff Plan'!$CX$129:$CX$305,1)</f>
        <v>0</v>
      </c>
      <c r="CH102" s="1768">
        <f>SUMIFS('3a Staff Plan'!$AR$129:$AR$305,'3a Staff Plan'!$DY$129:$DY$305,$IA102,'3a Staff Plan'!$AG$129:$AG$305,1,'3a Staff Plan'!$CV$129:$CV$305,1)</f>
        <v>0</v>
      </c>
      <c r="CI102" s="201"/>
      <c r="CJ102" s="201">
        <f>SUMIFS('3a Staff Plan'!$BX$129:$BX$305,'3a Staff Plan'!$DY$129:$DY$305,$IA102,'3a Staff Plan'!$DF$129:$DF$305,1,'3a Staff Plan'!$AG$129:$AG$305,1)</f>
        <v>0</v>
      </c>
      <c r="CK102" s="201">
        <f>SUMIFS('3a Staff Plan'!$BY$129:$BY$305,'3a Staff Plan'!$DY$129:$DY$305,$IA102,'3a Staff Plan'!$DF$129:$DF$305,1,'3a Staff Plan'!$AG$129:$AG$305,1)</f>
        <v>0</v>
      </c>
      <c r="CL102" s="201">
        <f>SUMIFS('3a Staff Plan'!$BZ$129:$BZ$305,'3a Staff Plan'!$DY$129:$DY$305,$IA102,'3a Staff Plan'!$DF$129:$DF$305,1,'3a Staff Plan'!$AG$129:$AG$305,1)</f>
        <v>0</v>
      </c>
      <c r="CM102" s="201">
        <f>SUMIFS('3a Staff Plan'!$CA$129:$CA$305,'3a Staff Plan'!$DY$129:$DY$305,$IA102,'3a Staff Plan'!$DF$129:$DF$305,1,'3a Staff Plan'!$AG$129:$AG$305,1)</f>
        <v>0</v>
      </c>
      <c r="CN102" s="201">
        <f>SUMIFS('3a Staff Plan'!$CB$129:$CB$305,'3a Staff Plan'!$DY$129:$DY$305,$IA102,'3a Staff Plan'!$DF$129:$DF$305,1,'3a Staff Plan'!$AG$129:$AG$305,1)</f>
        <v>0</v>
      </c>
      <c r="CO102" s="201">
        <f>SUMIFS('3a Staff Plan'!$CC$129:$CC$305,'3a Staff Plan'!$DY$129:$DY$305,$IA102,'3a Staff Plan'!$DF$129:$DF$305,1,'3a Staff Plan'!$AG$129:$AG$305,1)</f>
        <v>0</v>
      </c>
      <c r="CP102" s="201">
        <f>SUMIFS('3a Staff Plan'!$CD$129:$CD$305,'3a Staff Plan'!$DY$129:$DY$305,$IA102,'3a Staff Plan'!$DF$129:$DF$305,1,'3a Staff Plan'!$AG$129:$AG$305,1)</f>
        <v>0</v>
      </c>
      <c r="CQ102" s="201">
        <f>SUMIFS('3a Staff Plan'!$CE$129:$CE$305,'3a Staff Plan'!$DY$129:$DY$305,$IA102,'3a Staff Plan'!$DF$129:$DF$305,1,'3a Staff Plan'!$AG$129:$AG$305,1)</f>
        <v>0</v>
      </c>
      <c r="CR102" s="201">
        <f>SUMIFS('3a Staff Plan'!$CF$129:$CF$305,'3a Staff Plan'!$DY$129:$DY$305,$IA102,'3a Staff Plan'!$DF$129:$DF$305,1,'3a Staff Plan'!$AG$129:$AG$305,1)</f>
        <v>0</v>
      </c>
      <c r="CS102" s="201">
        <f>SUMIFS('3a Staff Plan'!$CG$129:$CG$305,'3a Staff Plan'!$DY$129:$DY$305,$IA102,'3a Staff Plan'!$DF$129:$DF$305,1,'3a Staff Plan'!$AG$129:$AG$305,1)</f>
        <v>0</v>
      </c>
      <c r="CT102" s="201"/>
      <c r="CU102" s="1818">
        <f t="shared" si="210"/>
        <v>0</v>
      </c>
      <c r="CV102" s="1768"/>
      <c r="CW102" s="1768">
        <f t="shared" si="211"/>
        <v>0</v>
      </c>
      <c r="CX102" s="201"/>
      <c r="CY102" s="201">
        <f t="shared" si="212"/>
        <v>0</v>
      </c>
      <c r="CZ102" s="201">
        <f t="shared" si="213"/>
        <v>0</v>
      </c>
      <c r="DA102" s="201">
        <f t="shared" si="214"/>
        <v>0</v>
      </c>
      <c r="DB102" s="201">
        <f t="shared" si="215"/>
        <v>0</v>
      </c>
      <c r="DC102" s="201">
        <f t="shared" si="216"/>
        <v>0</v>
      </c>
      <c r="DD102" s="201">
        <f t="shared" si="217"/>
        <v>0</v>
      </c>
      <c r="DE102" s="201">
        <f t="shared" si="218"/>
        <v>0</v>
      </c>
      <c r="DF102" s="201">
        <f t="shared" si="219"/>
        <v>0</v>
      </c>
      <c r="DG102" s="201">
        <f t="shared" si="220"/>
        <v>0</v>
      </c>
      <c r="DH102" s="201">
        <f t="shared" si="221"/>
        <v>0</v>
      </c>
      <c r="DI102" s="201"/>
      <c r="DJ102" s="201"/>
      <c r="DK102" s="201"/>
      <c r="DL102" s="201"/>
      <c r="DM102" s="372">
        <f t="shared" ca="1" si="283"/>
        <v>0</v>
      </c>
      <c r="DN102" s="1185">
        <f t="shared" si="284"/>
        <v>0</v>
      </c>
      <c r="DO102" s="1185">
        <f t="shared" si="285"/>
        <v>0</v>
      </c>
      <c r="DP102" s="201"/>
      <c r="DQ102" s="372">
        <f t="shared" ca="1" si="286"/>
        <v>0</v>
      </c>
      <c r="DR102" s="1185">
        <f t="shared" si="287"/>
        <v>0</v>
      </c>
      <c r="DS102" s="1185">
        <f t="shared" si="288"/>
        <v>0</v>
      </c>
      <c r="DT102" s="201"/>
      <c r="DU102" s="372">
        <f t="shared" ca="1" si="289"/>
        <v>0</v>
      </c>
      <c r="DV102" s="372">
        <f t="shared" si="290"/>
        <v>0</v>
      </c>
      <c r="DW102" s="372">
        <f t="shared" si="290"/>
        <v>0</v>
      </c>
      <c r="DX102" s="201"/>
      <c r="DY102" s="372">
        <f t="shared" si="291"/>
        <v>0</v>
      </c>
      <c r="DZ102" s="372">
        <f t="shared" ca="1" si="292"/>
        <v>0</v>
      </c>
      <c r="EA102" s="201"/>
      <c r="EB102" s="2776">
        <f>IF(EO102=$EO$53,1,IFERROR(INDEX('Currency Data'!$L$8:$L$41,MATCH(EO102,'Currency Data'!$H$8:$H$41,0)),1))</f>
        <v>1</v>
      </c>
      <c r="EC102" s="2776">
        <f t="shared" ref="EC102:EC109" si="422">IF(HS102=0,1,HS102)</f>
        <v>1</v>
      </c>
      <c r="ED102" s="428">
        <f>IF(GQ102=1,'1 Setup'!$T$68,IF(ISBLANK(IJ102),II102/EC102*IF(GL102=1,$ED$53,1),IJ102/EC102)*IF($EW102=7,JW102,1))</f>
        <v>0</v>
      </c>
      <c r="EE102" s="428">
        <f t="shared" si="293"/>
        <v>0</v>
      </c>
      <c r="EF102" s="428"/>
      <c r="EG102" s="1965" t="str">
        <f t="shared" si="148"/>
        <v>031500 - Highways UK</v>
      </c>
      <c r="EH102" s="201">
        <f t="shared" si="149"/>
        <v>1</v>
      </c>
      <c r="EI102" s="445" t="str">
        <f>IF(EH102=1,$EI$53,IF(GQ102=1,$GQ$55,IFERROR(IF($EG102=$EG$53,$EI$53,INDEX('PU List'!$G$6:$G$413,MATCH($EG102,'PU List'!$D$6:$D$413,0))),$EI$53)))</f>
        <v>GB - BIAF</v>
      </c>
      <c r="EJ102" s="2773" t="str">
        <f t="shared" si="150"/>
        <v>GB - BIAF</v>
      </c>
      <c r="EK102" s="1768"/>
      <c r="EL102" s="3283">
        <f>IF(OR(EW102&gt;7,$EL$53=0),0,IF(EJ102=$EI$53,$EL$53,IFERROR(INDEX('Fringe Data'!$U$8:$U$129,MATCH($EJ102,'Fringe Data'!$F$8:$F$129,0)),0)))</f>
        <v>1.73</v>
      </c>
      <c r="EM102" s="372">
        <f t="shared" si="294"/>
        <v>0</v>
      </c>
      <c r="EN102" s="201" t="str">
        <f>IFERROR(INDEX('Fringe Data'!$G$8:$G$64,MATCH($EJ102,'Fringe Data'!$F$8:$F$64,0)),$EO$53)</f>
        <v>GBP</v>
      </c>
      <c r="EO102" s="201" t="str">
        <f t="shared" si="151"/>
        <v>GBP</v>
      </c>
      <c r="EP102" s="201">
        <f>IF(EI102=$EI$53,$EP$49,IF(GP102=1,0,IFERROR(INDEX('Fringe Data'!$K$8:$K$64,MATCH($EI102,'Fringe Data'!$F$8:$F$64,0)),0)))</f>
        <v>0.52</v>
      </c>
      <c r="EQ102" s="201">
        <f>IF(EI102=$EI$53,$EQ$49,IF(GP102=1,0,IFERROR(INDEX('Fringe Data'!$L$8:$L$64,MATCH($EI102,'Fringe Data'!$F$8:$F$64,0)),0)))</f>
        <v>1.8499999999999999E-2</v>
      </c>
      <c r="ER102" s="201">
        <f>IF(EI102=$EI$53,$ER$49,IF(GP102=1,0,IFERROR(INDEX('Fringe Data'!$M$8:$M$64,MATCH($EI102,'Fringe Data'!$F$8:$F$64,0)),0)))</f>
        <v>0.43430000000000002</v>
      </c>
      <c r="ES102" s="201">
        <f>IF(EI102=$EI$53,$ES$49,IF(GP102=1,0,IFERROR(INDEX('Fringe Data'!$N$8:$N$64,MATCH($EI102,'Fringe Data'!$F$8:$F$64,0)),0)))</f>
        <v>0.1565</v>
      </c>
      <c r="ET102" s="201">
        <f>IF(EI102=$EI$53,$ET$49,IF(GP102=1,0,IFERROR(INDEX('Fringe Data'!$O$8:$O$64,MATCH($EI102,'Fringe Data'!$F$8:$F$64,0)),0)))</f>
        <v>0.33450000000000002</v>
      </c>
      <c r="EU102" s="263">
        <f>IF(EI102=$EI$53,$EU$49,IF(GP102=1,0,IFERROR(INDEX('Fringe Data'!$P$8:$P$64,MATCH($EI102,'Fringe Data'!$F$8:$F$64,0)),0)))</f>
        <v>0.1565</v>
      </c>
      <c r="EV102" s="201"/>
      <c r="EW102" s="1530">
        <f t="shared" si="295"/>
        <v>1</v>
      </c>
      <c r="EX102" s="1534">
        <f t="shared" si="152"/>
        <v>0.52</v>
      </c>
      <c r="EY102" s="321">
        <f t="shared" si="153"/>
        <v>0</v>
      </c>
      <c r="EZ102" s="201">
        <f t="shared" si="154"/>
        <v>0</v>
      </c>
      <c r="FA102" s="372">
        <f t="shared" si="296"/>
        <v>0</v>
      </c>
      <c r="FB102" s="372">
        <f t="shared" si="297"/>
        <v>0</v>
      </c>
      <c r="FC102" s="201">
        <f t="shared" ca="1" si="155"/>
        <v>0</v>
      </c>
      <c r="FD102" s="423">
        <f t="shared" si="298"/>
        <v>0</v>
      </c>
      <c r="FE102" s="423">
        <f t="shared" si="299"/>
        <v>0</v>
      </c>
      <c r="FF102" s="201">
        <f t="shared" si="156"/>
        <v>0</v>
      </c>
      <c r="FG102" s="425">
        <f>IF(OR($FJ$52=3,$FJ$52=4,$FJ$52=5),'1 Setup'!$W$96,0)</f>
        <v>0</v>
      </c>
      <c r="FH102" s="428">
        <f>IF($FJ$52=5,'1 Setup'!$W$98,IF($FJ$52=6,'1 Setup'!$S$86,0))</f>
        <v>0</v>
      </c>
      <c r="FI102" s="321">
        <f t="shared" ca="1" si="300"/>
        <v>0</v>
      </c>
      <c r="FJ102" s="263">
        <f t="shared" ca="1" si="157"/>
        <v>0</v>
      </c>
      <c r="FK102" s="372">
        <f t="shared" ca="1" si="301"/>
        <v>0</v>
      </c>
      <c r="FL102" s="372">
        <f t="shared" si="302"/>
        <v>0</v>
      </c>
      <c r="FM102" s="372">
        <f t="shared" si="303"/>
        <v>0</v>
      </c>
      <c r="FN102" s="2036">
        <f t="shared" ca="1" si="304"/>
        <v>0</v>
      </c>
      <c r="FO102" s="372">
        <f t="shared" ca="1" si="224"/>
        <v>0</v>
      </c>
      <c r="FP102" s="2723">
        <f t="shared" si="158"/>
        <v>0</v>
      </c>
      <c r="FQ102" s="372">
        <f t="shared" si="305"/>
        <v>0</v>
      </c>
      <c r="FR102" s="372">
        <f t="shared" si="159"/>
        <v>0</v>
      </c>
      <c r="FS102" s="1168"/>
      <c r="FT102" s="1168">
        <f t="shared" si="306"/>
        <v>0</v>
      </c>
      <c r="FU102" s="1168">
        <f t="shared" si="307"/>
        <v>0</v>
      </c>
      <c r="FV102" s="1168">
        <f t="shared" si="308"/>
        <v>0</v>
      </c>
      <c r="FW102" s="1168">
        <f t="shared" si="309"/>
        <v>0</v>
      </c>
      <c r="FX102" s="1168">
        <f t="shared" si="310"/>
        <v>0</v>
      </c>
      <c r="FY102" s="1168">
        <f t="shared" si="311"/>
        <v>0</v>
      </c>
      <c r="FZ102" s="1168">
        <f t="shared" si="312"/>
        <v>0</v>
      </c>
      <c r="GA102" s="1168">
        <f t="shared" si="313"/>
        <v>0</v>
      </c>
      <c r="GB102" s="1168">
        <f t="shared" si="314"/>
        <v>0</v>
      </c>
      <c r="GC102" s="1168">
        <f t="shared" si="315"/>
        <v>0</v>
      </c>
      <c r="GD102" s="1168"/>
      <c r="GE102" s="199"/>
      <c r="GF102" s="201">
        <f t="shared" si="316"/>
        <v>0</v>
      </c>
      <c r="GG102" s="201">
        <f t="shared" si="317"/>
        <v>0</v>
      </c>
      <c r="GH102" s="201">
        <f t="shared" si="318"/>
        <v>0</v>
      </c>
      <c r="GI102" s="201">
        <f t="shared" ca="1" si="160"/>
        <v>0</v>
      </c>
      <c r="GJ102" s="201">
        <f t="shared" si="319"/>
        <v>0</v>
      </c>
      <c r="GK102" s="201">
        <f t="shared" si="320"/>
        <v>0</v>
      </c>
      <c r="GL102" s="201">
        <f t="shared" si="321"/>
        <v>1</v>
      </c>
      <c r="GM102" s="201">
        <f t="shared" si="322"/>
        <v>1</v>
      </c>
      <c r="GN102" s="201"/>
      <c r="GO102" s="201"/>
      <c r="GP102" s="201">
        <f t="shared" si="323"/>
        <v>0</v>
      </c>
      <c r="GQ102" s="201">
        <f t="shared" si="324"/>
        <v>0</v>
      </c>
      <c r="GR102" s="201">
        <f t="shared" si="161"/>
        <v>0</v>
      </c>
      <c r="GS102" s="1768"/>
      <c r="GT102" s="201">
        <f t="shared" si="325"/>
        <v>1</v>
      </c>
      <c r="GU102" s="201">
        <f t="shared" si="193"/>
        <v>39</v>
      </c>
      <c r="GV102" s="201">
        <f t="shared" si="326"/>
        <v>0</v>
      </c>
      <c r="GW102" s="201">
        <f t="shared" si="327"/>
        <v>3</v>
      </c>
      <c r="GX102" s="201">
        <f t="shared" si="162"/>
        <v>0</v>
      </c>
      <c r="GY102" s="1998"/>
      <c r="GZ102" s="253"/>
      <c r="HA102" s="195">
        <f t="shared" ref="HA102:HA109" si="423">IA102</f>
        <v>0</v>
      </c>
      <c r="HB102" s="3558">
        <f t="shared" ref="HB102:HB109" si="424">HZ102</f>
        <v>0</v>
      </c>
      <c r="HC102" s="3590"/>
      <c r="HD102" s="257" t="str">
        <f t="shared" si="328"/>
        <v/>
      </c>
      <c r="HE102" s="825">
        <f t="shared" si="329"/>
        <v>0</v>
      </c>
      <c r="HF102" s="506" t="s">
        <v>5</v>
      </c>
      <c r="HG102" s="508">
        <f t="shared" ca="1" si="330"/>
        <v>0</v>
      </c>
      <c r="HH102" s="3585">
        <f t="shared" si="331"/>
        <v>0</v>
      </c>
      <c r="HI102" s="3586"/>
      <c r="HJ102" s="967">
        <f t="shared" ref="HJ102:HJ109" ca="1" si="425">HG102-HH102</f>
        <v>0</v>
      </c>
      <c r="HK102" s="456">
        <f t="shared" ca="1" si="226"/>
        <v>0</v>
      </c>
      <c r="HL102" s="3591">
        <f t="shared" ref="HL102:HL109" ca="1" si="426">IFERROR(HJ102/HE102,0)</f>
        <v>0</v>
      </c>
      <c r="HM102" s="3592"/>
      <c r="HN102" s="240"/>
      <c r="HO102" s="1998"/>
      <c r="HP102" s="1991"/>
      <c r="HQ102" s="2770" t="str">
        <f t="shared" si="332"/>
        <v>GB - BIAF</v>
      </c>
      <c r="HR102" s="2770" t="str">
        <f t="shared" si="333"/>
        <v>GBP</v>
      </c>
      <c r="HS102" s="2771">
        <f t="shared" si="334"/>
        <v>1</v>
      </c>
      <c r="HT102" s="3488"/>
      <c r="HU102" s="2771">
        <f t="shared" si="335"/>
        <v>1.73</v>
      </c>
      <c r="HW102" s="1218"/>
      <c r="HX102" s="520"/>
      <c r="HY102" s="2523"/>
      <c r="HZ102" s="194"/>
      <c r="IA102" s="1013"/>
      <c r="IB102" s="193"/>
      <c r="IC102" s="3276">
        <v>39</v>
      </c>
      <c r="ID102" s="986"/>
      <c r="IE102" s="938">
        <f t="shared" si="164"/>
        <v>0</v>
      </c>
      <c r="IF102" s="938">
        <f t="shared" si="165"/>
        <v>0</v>
      </c>
      <c r="IG102" s="432"/>
      <c r="II102" s="405"/>
      <c r="IJ102" s="239"/>
      <c r="IK102" s="2774" t="str">
        <f t="shared" si="166"/>
        <v>GBP</v>
      </c>
      <c r="IL102" s="2148"/>
      <c r="IM102" s="1936">
        <f t="shared" si="336"/>
        <v>0</v>
      </c>
      <c r="IO102" s="1959" t="str">
        <f t="shared" si="337"/>
        <v/>
      </c>
      <c r="IP102" s="1958"/>
      <c r="IQ102" s="543">
        <f t="shared" si="338"/>
        <v>0.52</v>
      </c>
      <c r="IR102" s="1936">
        <f t="shared" si="339"/>
        <v>0</v>
      </c>
      <c r="IT102" s="1364"/>
      <c r="IU102" s="210"/>
      <c r="IV102" s="218"/>
      <c r="IW102" s="1938">
        <f ca="1">IF(NOT(ISBLANK(IU102)),IU102,IF('1 Setup'!$G$8&lt;7,JK102,FJ102))+KA102</f>
        <v>0</v>
      </c>
      <c r="IX102" s="409">
        <f t="shared" si="340"/>
        <v>0</v>
      </c>
      <c r="IY102" s="408">
        <f t="shared" si="341"/>
        <v>0</v>
      </c>
      <c r="IZ102" s="1983"/>
      <c r="JA102" s="1994"/>
      <c r="JB102" s="1991"/>
      <c r="JD102" s="2029">
        <f t="shared" si="167"/>
        <v>0</v>
      </c>
      <c r="JE102" s="479"/>
      <c r="JF102" s="2025">
        <f t="shared" si="342"/>
        <v>0</v>
      </c>
      <c r="JG102" s="429">
        <f t="shared" si="343"/>
        <v>0</v>
      </c>
      <c r="JH102" s="1667">
        <f t="shared" si="344"/>
        <v>0</v>
      </c>
      <c r="JJ102" s="1163">
        <f t="shared" ca="1" si="345"/>
        <v>0</v>
      </c>
      <c r="JK102" s="1163">
        <f t="shared" ca="1" si="346"/>
        <v>0</v>
      </c>
      <c r="JL102" s="1795"/>
      <c r="JN102" s="2505"/>
      <c r="JO102" s="1161"/>
      <c r="JP102" s="571">
        <f t="shared" ca="1" si="410"/>
        <v>0</v>
      </c>
      <c r="JQ102" s="2506"/>
      <c r="JR102" s="1953"/>
      <c r="JS102" s="2650"/>
      <c r="JT102" s="2507"/>
      <c r="JU102" s="1964">
        <f t="shared" si="347"/>
        <v>0.33450000000000002</v>
      </c>
      <c r="JV102" s="3199"/>
      <c r="JW102" s="2649">
        <f t="shared" si="348"/>
        <v>1.5</v>
      </c>
      <c r="JX102" s="1964">
        <f t="shared" si="168"/>
        <v>0.1565</v>
      </c>
      <c r="JY102" s="3199"/>
      <c r="JZ102" s="2649">
        <f t="shared" si="169"/>
        <v>0</v>
      </c>
      <c r="KA102" s="2649">
        <f t="shared" si="170"/>
        <v>0</v>
      </c>
      <c r="KB102" s="2649" t="s">
        <v>111</v>
      </c>
      <c r="KC102" s="1983"/>
      <c r="KD102" s="1974"/>
      <c r="KE102" s="1991"/>
      <c r="KF102" s="2029">
        <f t="shared" si="171"/>
        <v>0</v>
      </c>
      <c r="KG102" s="1991"/>
      <c r="KH102" s="2121">
        <f t="shared" si="349"/>
        <v>0</v>
      </c>
      <c r="KI102" s="2130">
        <f t="shared" si="350"/>
        <v>0</v>
      </c>
      <c r="KJ102" s="2130">
        <f t="shared" si="351"/>
        <v>0</v>
      </c>
      <c r="KK102" s="2130">
        <f t="shared" si="352"/>
        <v>0</v>
      </c>
      <c r="KL102" s="2131">
        <f t="shared" si="353"/>
        <v>0</v>
      </c>
      <c r="KM102" s="2132">
        <f t="shared" si="354"/>
        <v>0</v>
      </c>
      <c r="KN102" s="2132">
        <f t="shared" si="355"/>
        <v>0</v>
      </c>
      <c r="KO102" s="2132">
        <f t="shared" si="356"/>
        <v>0</v>
      </c>
      <c r="KP102" s="2132">
        <f t="shared" si="357"/>
        <v>0</v>
      </c>
      <c r="KQ102" s="2133">
        <f t="shared" si="358"/>
        <v>0</v>
      </c>
      <c r="KS102" s="2253">
        <f t="shared" si="359"/>
        <v>0</v>
      </c>
      <c r="KT102" s="2270">
        <f t="shared" ref="KT102:LB102" si="427">KS102*(1+(KT$60))</f>
        <v>0</v>
      </c>
      <c r="KU102" s="2271">
        <f t="shared" si="427"/>
        <v>0</v>
      </c>
      <c r="KV102" s="2271">
        <f t="shared" si="427"/>
        <v>0</v>
      </c>
      <c r="KW102" s="2272">
        <f t="shared" si="427"/>
        <v>0</v>
      </c>
      <c r="KX102" s="2271">
        <f t="shared" si="427"/>
        <v>0</v>
      </c>
      <c r="KY102" s="2271">
        <f t="shared" si="427"/>
        <v>0</v>
      </c>
      <c r="KZ102" s="2271">
        <f t="shared" si="427"/>
        <v>0</v>
      </c>
      <c r="LA102" s="2271">
        <f t="shared" si="427"/>
        <v>0</v>
      </c>
      <c r="LB102" s="2273">
        <f t="shared" si="427"/>
        <v>0</v>
      </c>
      <c r="LC102" s="749"/>
      <c r="LD102" s="2124">
        <f t="shared" si="361"/>
        <v>0</v>
      </c>
      <c r="LE102" s="2093">
        <f t="shared" si="362"/>
        <v>0</v>
      </c>
      <c r="LF102" s="2093">
        <f t="shared" si="363"/>
        <v>0</v>
      </c>
      <c r="LG102" s="2093">
        <f t="shared" si="364"/>
        <v>0</v>
      </c>
      <c r="LH102" s="2094">
        <f t="shared" si="365"/>
        <v>0</v>
      </c>
      <c r="LI102" s="2095">
        <f t="shared" si="366"/>
        <v>0</v>
      </c>
      <c r="LJ102" s="2095">
        <f t="shared" si="367"/>
        <v>0</v>
      </c>
      <c r="LK102" s="2095">
        <f t="shared" si="368"/>
        <v>0</v>
      </c>
      <c r="LL102" s="2095">
        <f t="shared" si="369"/>
        <v>0</v>
      </c>
      <c r="LM102" s="2096">
        <f t="shared" si="370"/>
        <v>0</v>
      </c>
      <c r="LN102" s="749"/>
      <c r="LO102" s="2256">
        <f t="shared" ca="1" si="371"/>
        <v>0</v>
      </c>
      <c r="LP102" s="2270">
        <f t="shared" ca="1" si="372"/>
        <v>0</v>
      </c>
      <c r="LQ102" s="2271">
        <f t="shared" ca="1" si="373"/>
        <v>0</v>
      </c>
      <c r="LR102" s="2271">
        <f t="shared" ca="1" si="374"/>
        <v>0</v>
      </c>
      <c r="LS102" s="2272">
        <f t="shared" ca="1" si="375"/>
        <v>0</v>
      </c>
      <c r="LT102" s="2271">
        <f t="shared" ca="1" si="376"/>
        <v>0</v>
      </c>
      <c r="LU102" s="2271">
        <f t="shared" ca="1" si="377"/>
        <v>0</v>
      </c>
      <c r="LV102" s="2271">
        <f t="shared" ca="1" si="378"/>
        <v>0</v>
      </c>
      <c r="LW102" s="2271">
        <f t="shared" ca="1" si="379"/>
        <v>0</v>
      </c>
      <c r="LX102" s="2273">
        <f t="shared" ca="1" si="380"/>
        <v>0</v>
      </c>
      <c r="LY102" s="479"/>
      <c r="LZ102" s="3128">
        <f t="shared" ca="1" si="173"/>
        <v>-1.73</v>
      </c>
      <c r="MA102" s="3129">
        <f t="shared" ca="1" si="174"/>
        <v>-1.73</v>
      </c>
      <c r="MB102" s="3129">
        <f t="shared" ca="1" si="175"/>
        <v>-1.73</v>
      </c>
      <c r="MC102" s="3129">
        <f t="shared" ca="1" si="176"/>
        <v>-1.73</v>
      </c>
      <c r="MD102" s="3130">
        <f t="shared" ca="1" si="177"/>
        <v>-1.73</v>
      </c>
      <c r="ME102" s="3129">
        <f t="shared" ca="1" si="178"/>
        <v>-1.73</v>
      </c>
      <c r="MF102" s="3129">
        <f t="shared" ca="1" si="179"/>
        <v>-1.73</v>
      </c>
      <c r="MG102" s="3129">
        <f t="shared" ca="1" si="180"/>
        <v>-1.73</v>
      </c>
      <c r="MH102" s="3129">
        <f t="shared" ca="1" si="181"/>
        <v>-1.73</v>
      </c>
      <c r="MI102" s="3131">
        <f t="shared" ca="1" si="182"/>
        <v>-1.73</v>
      </c>
      <c r="MJ102" s="3201"/>
      <c r="MK102" s="3206">
        <f t="shared" ca="1" si="183"/>
        <v>0</v>
      </c>
      <c r="ML102" s="3207">
        <f t="shared" ca="1" si="184"/>
        <v>0</v>
      </c>
      <c r="MM102" s="3207">
        <f t="shared" ca="1" si="185"/>
        <v>0</v>
      </c>
      <c r="MN102" s="3207">
        <f t="shared" ca="1" si="186"/>
        <v>0</v>
      </c>
      <c r="MO102" s="3208">
        <f t="shared" ca="1" si="187"/>
        <v>0</v>
      </c>
      <c r="MP102" s="3207">
        <f t="shared" ca="1" si="188"/>
        <v>0</v>
      </c>
      <c r="MQ102" s="3207">
        <f t="shared" ca="1" si="189"/>
        <v>0</v>
      </c>
      <c r="MR102" s="3207">
        <f t="shared" ca="1" si="190"/>
        <v>0</v>
      </c>
      <c r="MS102" s="3207">
        <f t="shared" ca="1" si="191"/>
        <v>0</v>
      </c>
      <c r="MT102" s="3209">
        <f t="shared" ca="1" si="192"/>
        <v>0</v>
      </c>
      <c r="MU102" s="1983"/>
      <c r="MV102" s="1975"/>
      <c r="MW102" s="1991"/>
      <c r="MX102" s="1931">
        <f t="shared" si="381"/>
        <v>0</v>
      </c>
      <c r="MY102" s="749"/>
      <c r="MZ102" s="1934">
        <f t="shared" si="382"/>
        <v>0</v>
      </c>
      <c r="NA102" s="1935"/>
      <c r="NB102" s="2652">
        <f t="shared" si="383"/>
        <v>0</v>
      </c>
      <c r="NC102" s="479"/>
      <c r="ND102" s="2749" t="str">
        <f t="shared" si="384"/>
        <v/>
      </c>
      <c r="NE102" s="2717"/>
      <c r="NF102" s="1975"/>
      <c r="NG102" s="1975"/>
      <c r="NH102" s="1975"/>
      <c r="NI102" s="1975"/>
    </row>
    <row r="103" spans="1:373" s="192" customFormat="1" ht="15.9" customHeight="1" x14ac:dyDescent="0.3">
      <c r="A103" s="200"/>
      <c r="B103" s="200"/>
      <c r="C103" s="200"/>
      <c r="D103" s="200"/>
      <c r="E103" s="200"/>
      <c r="F103" s="200"/>
      <c r="G103" s="200"/>
      <c r="H103" s="200"/>
      <c r="I103" s="200"/>
      <c r="J103" s="200"/>
      <c r="K103" s="200"/>
      <c r="L103" s="200"/>
      <c r="M103" s="200"/>
      <c r="N103" s="200"/>
      <c r="O103" s="200"/>
      <c r="P103" s="1539"/>
      <c r="Q103" s="1539"/>
      <c r="R103" s="198"/>
      <c r="S103" s="1539"/>
      <c r="T103" s="201"/>
      <c r="U103" s="200"/>
      <c r="V103" s="201">
        <f>MATCH($IC103,'3b Activity Plan'!$DJ$171:$FH$171,0)</f>
        <v>40</v>
      </c>
      <c r="W103" s="201">
        <f>IFERROR(INDEX('3b Activity Plan'!$DJ$6:$FH$6,V103),0)</f>
        <v>0</v>
      </c>
      <c r="X103" s="1768"/>
      <c r="Y103" s="1768">
        <f>IFERROR(INDEX('3b Activity Plan'!$DJ$7:$FH$7,V103),0)</f>
        <v>0</v>
      </c>
      <c r="Z103" s="201"/>
      <c r="AA103" s="201">
        <f>IFERROR(INDEX('3b Activity Plan'!$DJ$34:$FH$34,$V103),0)</f>
        <v>0</v>
      </c>
      <c r="AB103" s="201">
        <f>IFERROR(INDEX('3b Activity Plan'!$DJ$35:$FH$35,$V103),0)</f>
        <v>0</v>
      </c>
      <c r="AC103" s="201">
        <f>IFERROR(INDEX('3b Activity Plan'!$DJ$36:$FH$36,$V103),0)</f>
        <v>0</v>
      </c>
      <c r="AD103" s="201">
        <f>IFERROR(INDEX('3b Activity Plan'!$DJ$37:$FH$37,$V103),0)</f>
        <v>0</v>
      </c>
      <c r="AE103" s="201">
        <f>IFERROR(INDEX('3b Activity Plan'!$DJ$38:$FH$38,$V103),0)</f>
        <v>0</v>
      </c>
      <c r="AF103" s="201">
        <f>IFERROR(INDEX('3b Activity Plan'!$DJ$39:$FH$39,$V103),0)</f>
        <v>0</v>
      </c>
      <c r="AG103" s="201">
        <f>IFERROR(INDEX('3b Activity Plan'!$DJ$40:$FH$40,$V103),0)</f>
        <v>0</v>
      </c>
      <c r="AH103" s="201">
        <f>IFERROR(INDEX('3b Activity Plan'!$DJ$41:$FH$41,$V103),0)</f>
        <v>0</v>
      </c>
      <c r="AI103" s="201">
        <f>IFERROR(INDEX('3b Activity Plan'!$DJ$42:$FH$42,$V103),0)</f>
        <v>0</v>
      </c>
      <c r="AJ103" s="201">
        <f>IFERROR(INDEX('3b Activity Plan'!$DJ$43:$FH$43,$V103),0)</f>
        <v>0</v>
      </c>
      <c r="AK103" s="201"/>
      <c r="AL103" s="201">
        <f>SUMIFS('3a Staff Plan'!$AR$129:$AR$305,'3a Staff Plan'!$DY$129:$DY$305,$IA103,'3a Staff Plan'!$DF$129:$DF$305,1)</f>
        <v>0</v>
      </c>
      <c r="AM103" s="1768"/>
      <c r="AN103" s="1768">
        <f>SUMIFS('3a Staff Plan'!$AR$129:$AR$305,'3a Staff Plan'!$DY$129:$DY$305,$IA103,'3a Staff Plan'!$CV$129:$CV$305,1)</f>
        <v>0</v>
      </c>
      <c r="AO103" s="201"/>
      <c r="AP103" s="201">
        <f>SUMIFS('3a Staff Plan'!$AS$129:$AS$305,'3a Staff Plan'!$DY$129:$DY$305,$IA103,'3a Staff Plan'!$DF$129:$DF$305,1)</f>
        <v>0</v>
      </c>
      <c r="AQ103" s="201">
        <f>SUMIFS('3a Staff Plan'!$AT$129:$AT$305,'3a Staff Plan'!$DY$129:$DY$305,$IA103,'3a Staff Plan'!$DF$129:$DF$305,1)</f>
        <v>0</v>
      </c>
      <c r="AR103" s="201">
        <f>SUMIFS('3a Staff Plan'!$AU$129:$AU$305,'3a Staff Plan'!$DY$129:$DY$305,$IA103,'3a Staff Plan'!$DF$129:$DF$305,1)</f>
        <v>0</v>
      </c>
      <c r="AS103" s="201">
        <f>SUMIFS('3a Staff Plan'!$AV$129:$AV$305,'3a Staff Plan'!$DY$129:$DY$305,$IA103,'3a Staff Plan'!$DF$129:$DF$305,1)</f>
        <v>0</v>
      </c>
      <c r="AT103" s="201">
        <f>SUMIFS('3a Staff Plan'!$AW$129:$AW$305,'3a Staff Plan'!$DY$129:$DY$305,$IA103,'3a Staff Plan'!$DF$129:$DF$305,1)</f>
        <v>0</v>
      </c>
      <c r="AU103" s="201">
        <f>SUMIFS('3a Staff Plan'!$AX$129:$AX$305,'3a Staff Plan'!$DY$129:$DY$305,$IA103,'3a Staff Plan'!$DF$129:$DF$305,1)</f>
        <v>0</v>
      </c>
      <c r="AV103" s="201">
        <f>SUMIFS('3a Staff Plan'!$AY$129:$AY$305,'3a Staff Plan'!$DY$129:$DY$305,$IA103,'3a Staff Plan'!$DF$129:$DF$305,1)</f>
        <v>0</v>
      </c>
      <c r="AW103" s="201">
        <f>SUMIFS('3a Staff Plan'!$AZ$129:$AZ$305,'3a Staff Plan'!$DY$129:$DY$305,$IA103,'3a Staff Plan'!$DF$129:$DF$305,1)</f>
        <v>0</v>
      </c>
      <c r="AX103" s="201">
        <f>SUMIFS('3a Staff Plan'!$BA$129:$BA$305,'3a Staff Plan'!$DY$129:$DY$305,$IA103,'3a Staff Plan'!$DF$129:$DF$305,1)</f>
        <v>0</v>
      </c>
      <c r="AY103" s="201">
        <f>SUMIFS('3a Staff Plan'!$BB$129:$BB$305,'3a Staff Plan'!$DY$129:$DY$305,$IA103,'3a Staff Plan'!$DF$129:$DF$305,1)</f>
        <v>0</v>
      </c>
      <c r="AZ103" s="201"/>
      <c r="BA103" s="201">
        <f t="shared" si="415"/>
        <v>0</v>
      </c>
      <c r="BB103" s="1768"/>
      <c r="BC103" s="1768">
        <f t="shared" si="416"/>
        <v>0</v>
      </c>
      <c r="BD103" s="201"/>
      <c r="BE103" s="201">
        <f t="shared" si="417"/>
        <v>0</v>
      </c>
      <c r="BF103" s="201">
        <f t="shared" si="418"/>
        <v>0</v>
      </c>
      <c r="BG103" s="201">
        <f t="shared" si="419"/>
        <v>0</v>
      </c>
      <c r="BH103" s="201">
        <f t="shared" si="420"/>
        <v>0</v>
      </c>
      <c r="BI103" s="201">
        <f t="shared" si="421"/>
        <v>0</v>
      </c>
      <c r="BJ103" s="201">
        <f t="shared" si="205"/>
        <v>0</v>
      </c>
      <c r="BK103" s="201">
        <f t="shared" si="206"/>
        <v>0</v>
      </c>
      <c r="BL103" s="201">
        <f t="shared" si="207"/>
        <v>0</v>
      </c>
      <c r="BM103" s="201">
        <f t="shared" si="208"/>
        <v>0</v>
      </c>
      <c r="BN103" s="201">
        <f t="shared" si="209"/>
        <v>0</v>
      </c>
      <c r="BO103" s="201"/>
      <c r="BP103" s="1818">
        <f t="shared" si="146"/>
        <v>40</v>
      </c>
      <c r="BQ103" s="1818">
        <f>IFERROR(INDEX('3b Activity Plan'!$DJ$15:$FH$15,BP103),0)</f>
        <v>0</v>
      </c>
      <c r="BR103" s="1768"/>
      <c r="BS103" s="1768">
        <f>IFERROR(INDEX('3b Activity Plan'!$DJ$16:$FH$16,BP103),0)</f>
        <v>0</v>
      </c>
      <c r="BT103" s="201"/>
      <c r="BU103" s="201">
        <f>IFERROR(INDEX('3b Activity Plan'!$DJ$67:$FH$67,$V103),0)</f>
        <v>0</v>
      </c>
      <c r="BV103" s="201">
        <f>IFERROR(INDEX('3b Activity Plan'!$DJ$68:$FH$68,$V103),0)</f>
        <v>0</v>
      </c>
      <c r="BW103" s="201">
        <f>IFERROR(INDEX('3b Activity Plan'!$DJ$69:$FH$69,$V103),0)</f>
        <v>0</v>
      </c>
      <c r="BX103" s="201">
        <f>IFERROR(INDEX('3b Activity Plan'!$DJ$70:$FH$70,$V103),0)</f>
        <v>0</v>
      </c>
      <c r="BY103" s="201">
        <f>IFERROR(INDEX('3b Activity Plan'!$DJ$71:$FH$71,$V103),0)</f>
        <v>0</v>
      </c>
      <c r="BZ103" s="201">
        <f>IFERROR(INDEX('3b Activity Plan'!$DJ$72:$FH$72,$V103),0)</f>
        <v>0</v>
      </c>
      <c r="CA103" s="201">
        <f>IFERROR(INDEX('3b Activity Plan'!$DJ$73:$FH$73,$V103),0)</f>
        <v>0</v>
      </c>
      <c r="CB103" s="201">
        <f>IFERROR(INDEX('3b Activity Plan'!$DJ$74:$FH$74,$V103),0)</f>
        <v>0</v>
      </c>
      <c r="CC103" s="201">
        <f>IFERROR(INDEX('3b Activity Plan'!$DJ$75:$FH$75,$V103),0)</f>
        <v>0</v>
      </c>
      <c r="CD103" s="201">
        <f>IFERROR(INDEX('3b Activity Plan'!$DJ$76:$FH$76,$V103),0)</f>
        <v>0</v>
      </c>
      <c r="CE103" s="201"/>
      <c r="CF103" s="1818">
        <f>SUMIFS('3a Staff Plan'!$AR$129:$AR$305,'3a Staff Plan'!$DY$129:$DY$305,$IA103,'3a Staff Plan'!$AG$129:$AG$305,1,'3a Staff Plan'!$DF$129:$DF$305,1)</f>
        <v>0</v>
      </c>
      <c r="CG103" s="1768">
        <f>SUMIFS('3a Staff Plan'!$AR$129:$AR$305,'3a Staff Plan'!$DY$129:$DY$305,$IA103,'3a Staff Plan'!$AG$129:$AG$305,1,'3a Staff Plan'!$CX$129:$CX$305,1)</f>
        <v>0</v>
      </c>
      <c r="CH103" s="1768">
        <f>SUMIFS('3a Staff Plan'!$AR$129:$AR$305,'3a Staff Plan'!$DY$129:$DY$305,$IA103,'3a Staff Plan'!$AG$129:$AG$305,1,'3a Staff Plan'!$CV$129:$CV$305,1)</f>
        <v>0</v>
      </c>
      <c r="CI103" s="201"/>
      <c r="CJ103" s="201">
        <f>SUMIFS('3a Staff Plan'!$BX$129:$BX$305,'3a Staff Plan'!$DY$129:$DY$305,$IA103,'3a Staff Plan'!$DF$129:$DF$305,1,'3a Staff Plan'!$AG$129:$AG$305,1)</f>
        <v>0</v>
      </c>
      <c r="CK103" s="201">
        <f>SUMIFS('3a Staff Plan'!$BY$129:$BY$305,'3a Staff Plan'!$DY$129:$DY$305,$IA103,'3a Staff Plan'!$DF$129:$DF$305,1,'3a Staff Plan'!$AG$129:$AG$305,1)</f>
        <v>0</v>
      </c>
      <c r="CL103" s="201">
        <f>SUMIFS('3a Staff Plan'!$BZ$129:$BZ$305,'3a Staff Plan'!$DY$129:$DY$305,$IA103,'3a Staff Plan'!$DF$129:$DF$305,1,'3a Staff Plan'!$AG$129:$AG$305,1)</f>
        <v>0</v>
      </c>
      <c r="CM103" s="201">
        <f>SUMIFS('3a Staff Plan'!$CA$129:$CA$305,'3a Staff Plan'!$DY$129:$DY$305,$IA103,'3a Staff Plan'!$DF$129:$DF$305,1,'3a Staff Plan'!$AG$129:$AG$305,1)</f>
        <v>0</v>
      </c>
      <c r="CN103" s="201">
        <f>SUMIFS('3a Staff Plan'!$CB$129:$CB$305,'3a Staff Plan'!$DY$129:$DY$305,$IA103,'3a Staff Plan'!$DF$129:$DF$305,1,'3a Staff Plan'!$AG$129:$AG$305,1)</f>
        <v>0</v>
      </c>
      <c r="CO103" s="201">
        <f>SUMIFS('3a Staff Plan'!$CC$129:$CC$305,'3a Staff Plan'!$DY$129:$DY$305,$IA103,'3a Staff Plan'!$DF$129:$DF$305,1,'3a Staff Plan'!$AG$129:$AG$305,1)</f>
        <v>0</v>
      </c>
      <c r="CP103" s="201">
        <f>SUMIFS('3a Staff Plan'!$CD$129:$CD$305,'3a Staff Plan'!$DY$129:$DY$305,$IA103,'3a Staff Plan'!$DF$129:$DF$305,1,'3a Staff Plan'!$AG$129:$AG$305,1)</f>
        <v>0</v>
      </c>
      <c r="CQ103" s="201">
        <f>SUMIFS('3a Staff Plan'!$CE$129:$CE$305,'3a Staff Plan'!$DY$129:$DY$305,$IA103,'3a Staff Plan'!$DF$129:$DF$305,1,'3a Staff Plan'!$AG$129:$AG$305,1)</f>
        <v>0</v>
      </c>
      <c r="CR103" s="201">
        <f>SUMIFS('3a Staff Plan'!$CF$129:$CF$305,'3a Staff Plan'!$DY$129:$DY$305,$IA103,'3a Staff Plan'!$DF$129:$DF$305,1,'3a Staff Plan'!$AG$129:$AG$305,1)</f>
        <v>0</v>
      </c>
      <c r="CS103" s="201">
        <f>SUMIFS('3a Staff Plan'!$CG$129:$CG$305,'3a Staff Plan'!$DY$129:$DY$305,$IA103,'3a Staff Plan'!$DF$129:$DF$305,1,'3a Staff Plan'!$AG$129:$AG$305,1)</f>
        <v>0</v>
      </c>
      <c r="CT103" s="201"/>
      <c r="CU103" s="1818">
        <f t="shared" si="210"/>
        <v>0</v>
      </c>
      <c r="CV103" s="1768"/>
      <c r="CW103" s="1768">
        <f t="shared" si="211"/>
        <v>0</v>
      </c>
      <c r="CX103" s="201"/>
      <c r="CY103" s="201">
        <f t="shared" si="212"/>
        <v>0</v>
      </c>
      <c r="CZ103" s="201">
        <f t="shared" si="213"/>
        <v>0</v>
      </c>
      <c r="DA103" s="201">
        <f t="shared" si="214"/>
        <v>0</v>
      </c>
      <c r="DB103" s="201">
        <f t="shared" si="215"/>
        <v>0</v>
      </c>
      <c r="DC103" s="201">
        <f t="shared" si="216"/>
        <v>0</v>
      </c>
      <c r="DD103" s="201">
        <f t="shared" si="217"/>
        <v>0</v>
      </c>
      <c r="DE103" s="201">
        <f t="shared" si="218"/>
        <v>0</v>
      </c>
      <c r="DF103" s="201">
        <f t="shared" si="219"/>
        <v>0</v>
      </c>
      <c r="DG103" s="201">
        <f t="shared" si="220"/>
        <v>0</v>
      </c>
      <c r="DH103" s="201">
        <f t="shared" si="221"/>
        <v>0</v>
      </c>
      <c r="DI103" s="201"/>
      <c r="DJ103" s="201"/>
      <c r="DK103" s="201"/>
      <c r="DL103" s="201"/>
      <c r="DM103" s="372">
        <f t="shared" ca="1" si="283"/>
        <v>0</v>
      </c>
      <c r="DN103" s="1185">
        <f t="shared" si="284"/>
        <v>0</v>
      </c>
      <c r="DO103" s="1185">
        <f t="shared" si="285"/>
        <v>0</v>
      </c>
      <c r="DP103" s="201"/>
      <c r="DQ103" s="372">
        <f t="shared" ca="1" si="286"/>
        <v>0</v>
      </c>
      <c r="DR103" s="1185">
        <f t="shared" si="287"/>
        <v>0</v>
      </c>
      <c r="DS103" s="1185">
        <f t="shared" si="288"/>
        <v>0</v>
      </c>
      <c r="DT103" s="201"/>
      <c r="DU103" s="372">
        <f t="shared" ca="1" si="289"/>
        <v>0</v>
      </c>
      <c r="DV103" s="372">
        <f t="shared" si="290"/>
        <v>0</v>
      </c>
      <c r="DW103" s="372">
        <f t="shared" si="290"/>
        <v>0</v>
      </c>
      <c r="DX103" s="201"/>
      <c r="DY103" s="372">
        <f t="shared" si="291"/>
        <v>0</v>
      </c>
      <c r="DZ103" s="372">
        <f t="shared" ca="1" si="292"/>
        <v>0</v>
      </c>
      <c r="EA103" s="201"/>
      <c r="EB103" s="2776">
        <f>IF(EO103=$EO$53,1,IFERROR(INDEX('Currency Data'!$L$8:$L$41,MATCH(EO103,'Currency Data'!$H$8:$H$41,0)),1))</f>
        <v>1</v>
      </c>
      <c r="EC103" s="2776">
        <f t="shared" si="422"/>
        <v>1</v>
      </c>
      <c r="ED103" s="428">
        <f>IF(GQ103=1,'1 Setup'!$T$68,IF(ISBLANK(IJ103),II103/EC103*IF(GL103=1,$ED$53,1),IJ103/EC103)*IF($EW103=7,JW103,1))</f>
        <v>0</v>
      </c>
      <c r="EE103" s="428">
        <f t="shared" si="293"/>
        <v>0</v>
      </c>
      <c r="EF103" s="428"/>
      <c r="EG103" s="1965" t="str">
        <f t="shared" si="148"/>
        <v>031500 - Highways UK</v>
      </c>
      <c r="EH103" s="201">
        <f t="shared" si="149"/>
        <v>1</v>
      </c>
      <c r="EI103" s="445" t="str">
        <f>IF(EH103=1,$EI$53,IF(GQ103=1,$GQ$55,IFERROR(IF($EG103=$EG$53,$EI$53,INDEX('PU List'!$G$6:$G$413,MATCH($EG103,'PU List'!$D$6:$D$413,0))),$EI$53)))</f>
        <v>GB - BIAF</v>
      </c>
      <c r="EJ103" s="2773" t="str">
        <f t="shared" si="150"/>
        <v>GB - BIAF</v>
      </c>
      <c r="EK103" s="1768"/>
      <c r="EL103" s="3283">
        <f>IF(OR(EW103&gt;7,$EL$53=0),0,IF(EJ103=$EI$53,$EL$53,IFERROR(INDEX('Fringe Data'!$U$8:$U$129,MATCH($EJ103,'Fringe Data'!$F$8:$F$129,0)),0)))</f>
        <v>1.73</v>
      </c>
      <c r="EM103" s="372">
        <f t="shared" si="294"/>
        <v>0</v>
      </c>
      <c r="EN103" s="201" t="str">
        <f>IFERROR(INDEX('Fringe Data'!$G$8:$G$64,MATCH($EJ103,'Fringe Data'!$F$8:$F$64,0)),$EO$53)</f>
        <v>GBP</v>
      </c>
      <c r="EO103" s="201" t="str">
        <f t="shared" si="151"/>
        <v>GBP</v>
      </c>
      <c r="EP103" s="201">
        <f>IF(EI103=$EI$53,$EP$49,IF(GP103=1,0,IFERROR(INDEX('Fringe Data'!$K$8:$K$64,MATCH($EI103,'Fringe Data'!$F$8:$F$64,0)),0)))</f>
        <v>0.52</v>
      </c>
      <c r="EQ103" s="201">
        <f>IF(EI103=$EI$53,$EQ$49,IF(GP103=1,0,IFERROR(INDEX('Fringe Data'!$L$8:$L$64,MATCH($EI103,'Fringe Data'!$F$8:$F$64,0)),0)))</f>
        <v>1.8499999999999999E-2</v>
      </c>
      <c r="ER103" s="201">
        <f>IF(EI103=$EI$53,$ER$49,IF(GP103=1,0,IFERROR(INDEX('Fringe Data'!$M$8:$M$64,MATCH($EI103,'Fringe Data'!$F$8:$F$64,0)),0)))</f>
        <v>0.43430000000000002</v>
      </c>
      <c r="ES103" s="201">
        <f>IF(EI103=$EI$53,$ES$49,IF(GP103=1,0,IFERROR(INDEX('Fringe Data'!$N$8:$N$64,MATCH($EI103,'Fringe Data'!$F$8:$F$64,0)),0)))</f>
        <v>0.1565</v>
      </c>
      <c r="ET103" s="201">
        <f>IF(EI103=$EI$53,$ET$49,IF(GP103=1,0,IFERROR(INDEX('Fringe Data'!$O$8:$O$64,MATCH($EI103,'Fringe Data'!$F$8:$F$64,0)),0)))</f>
        <v>0.33450000000000002</v>
      </c>
      <c r="EU103" s="263">
        <f>IF(EI103=$EI$53,$EU$49,IF(GP103=1,0,IFERROR(INDEX('Fringe Data'!$P$8:$P$64,MATCH($EI103,'Fringe Data'!$F$8:$F$64,0)),0)))</f>
        <v>0.1565</v>
      </c>
      <c r="EV103" s="201"/>
      <c r="EW103" s="1530">
        <f t="shared" si="295"/>
        <v>1</v>
      </c>
      <c r="EX103" s="1534">
        <f t="shared" si="152"/>
        <v>0.52</v>
      </c>
      <c r="EY103" s="321">
        <f t="shared" si="153"/>
        <v>0</v>
      </c>
      <c r="EZ103" s="201">
        <f t="shared" si="154"/>
        <v>0</v>
      </c>
      <c r="FA103" s="372">
        <f t="shared" si="296"/>
        <v>0</v>
      </c>
      <c r="FB103" s="372">
        <f t="shared" si="297"/>
        <v>0</v>
      </c>
      <c r="FC103" s="201">
        <f t="shared" ca="1" si="155"/>
        <v>0</v>
      </c>
      <c r="FD103" s="423">
        <f t="shared" si="298"/>
        <v>0</v>
      </c>
      <c r="FE103" s="423">
        <f t="shared" si="299"/>
        <v>0</v>
      </c>
      <c r="FF103" s="201">
        <f t="shared" si="156"/>
        <v>0</v>
      </c>
      <c r="FG103" s="425">
        <f>IF(OR($FJ$52=3,$FJ$52=4,$FJ$52=5),'1 Setup'!$W$96,0)</f>
        <v>0</v>
      </c>
      <c r="FH103" s="428">
        <f>IF($FJ$52=5,'1 Setup'!$W$98,IF($FJ$52=6,'1 Setup'!$S$86,0))</f>
        <v>0</v>
      </c>
      <c r="FI103" s="321">
        <f t="shared" ca="1" si="300"/>
        <v>0</v>
      </c>
      <c r="FJ103" s="263">
        <f t="shared" ca="1" si="157"/>
        <v>0</v>
      </c>
      <c r="FK103" s="372">
        <f t="shared" ca="1" si="301"/>
        <v>0</v>
      </c>
      <c r="FL103" s="372">
        <f t="shared" si="302"/>
        <v>0</v>
      </c>
      <c r="FM103" s="372">
        <f t="shared" si="303"/>
        <v>0</v>
      </c>
      <c r="FN103" s="2036">
        <f t="shared" ca="1" si="304"/>
        <v>0</v>
      </c>
      <c r="FO103" s="372">
        <f t="shared" ca="1" si="224"/>
        <v>0</v>
      </c>
      <c r="FP103" s="2723">
        <f t="shared" si="158"/>
        <v>0</v>
      </c>
      <c r="FQ103" s="372">
        <f t="shared" si="305"/>
        <v>0</v>
      </c>
      <c r="FR103" s="372">
        <f t="shared" si="159"/>
        <v>0</v>
      </c>
      <c r="FS103" s="1168"/>
      <c r="FT103" s="1168">
        <f t="shared" si="306"/>
        <v>0</v>
      </c>
      <c r="FU103" s="1168">
        <f t="shared" si="307"/>
        <v>0</v>
      </c>
      <c r="FV103" s="1168">
        <f t="shared" si="308"/>
        <v>0</v>
      </c>
      <c r="FW103" s="1168">
        <f t="shared" si="309"/>
        <v>0</v>
      </c>
      <c r="FX103" s="1168">
        <f t="shared" si="310"/>
        <v>0</v>
      </c>
      <c r="FY103" s="1168">
        <f t="shared" si="311"/>
        <v>0</v>
      </c>
      <c r="FZ103" s="1168">
        <f t="shared" si="312"/>
        <v>0</v>
      </c>
      <c r="GA103" s="1168">
        <f t="shared" si="313"/>
        <v>0</v>
      </c>
      <c r="GB103" s="1168">
        <f t="shared" si="314"/>
        <v>0</v>
      </c>
      <c r="GC103" s="1168">
        <f t="shared" si="315"/>
        <v>0</v>
      </c>
      <c r="GD103" s="1168"/>
      <c r="GE103" s="199"/>
      <c r="GF103" s="201">
        <f t="shared" si="316"/>
        <v>0</v>
      </c>
      <c r="GG103" s="201">
        <f t="shared" si="317"/>
        <v>0</v>
      </c>
      <c r="GH103" s="201">
        <f t="shared" si="318"/>
        <v>0</v>
      </c>
      <c r="GI103" s="201">
        <f t="shared" ca="1" si="160"/>
        <v>0</v>
      </c>
      <c r="GJ103" s="201">
        <f t="shared" si="319"/>
        <v>0</v>
      </c>
      <c r="GK103" s="201">
        <f t="shared" si="320"/>
        <v>0</v>
      </c>
      <c r="GL103" s="201">
        <f t="shared" si="321"/>
        <v>1</v>
      </c>
      <c r="GM103" s="201">
        <f t="shared" si="322"/>
        <v>1</v>
      </c>
      <c r="GN103" s="201"/>
      <c r="GO103" s="201"/>
      <c r="GP103" s="201">
        <f t="shared" si="323"/>
        <v>0</v>
      </c>
      <c r="GQ103" s="201">
        <f t="shared" si="324"/>
        <v>0</v>
      </c>
      <c r="GR103" s="201">
        <f t="shared" si="161"/>
        <v>0</v>
      </c>
      <c r="GS103" s="1768"/>
      <c r="GT103" s="201">
        <f t="shared" si="325"/>
        <v>1</v>
      </c>
      <c r="GU103" s="201">
        <f t="shared" si="193"/>
        <v>40</v>
      </c>
      <c r="GV103" s="201">
        <f t="shared" si="326"/>
        <v>0</v>
      </c>
      <c r="GW103" s="201">
        <f t="shared" si="327"/>
        <v>3</v>
      </c>
      <c r="GX103" s="201">
        <f t="shared" si="162"/>
        <v>0</v>
      </c>
      <c r="GY103" s="1998"/>
      <c r="GZ103" s="253"/>
      <c r="HA103" s="195">
        <f t="shared" si="423"/>
        <v>0</v>
      </c>
      <c r="HB103" s="3558">
        <f t="shared" si="424"/>
        <v>0</v>
      </c>
      <c r="HC103" s="3590"/>
      <c r="HD103" s="257" t="str">
        <f t="shared" si="328"/>
        <v/>
      </c>
      <c r="HE103" s="825">
        <f t="shared" si="329"/>
        <v>0</v>
      </c>
      <c r="HF103" s="506" t="s">
        <v>5</v>
      </c>
      <c r="HG103" s="508">
        <f t="shared" ca="1" si="330"/>
        <v>0</v>
      </c>
      <c r="HH103" s="3585">
        <f t="shared" si="331"/>
        <v>0</v>
      </c>
      <c r="HI103" s="3586"/>
      <c r="HJ103" s="967">
        <f t="shared" ca="1" si="425"/>
        <v>0</v>
      </c>
      <c r="HK103" s="456">
        <f t="shared" ca="1" si="226"/>
        <v>0</v>
      </c>
      <c r="HL103" s="3591">
        <f t="shared" ca="1" si="426"/>
        <v>0</v>
      </c>
      <c r="HM103" s="3592"/>
      <c r="HN103" s="240"/>
      <c r="HO103" s="1998"/>
      <c r="HP103" s="1991"/>
      <c r="HQ103" s="2770" t="str">
        <f t="shared" si="332"/>
        <v>GB - BIAF</v>
      </c>
      <c r="HR103" s="2770" t="str">
        <f t="shared" si="333"/>
        <v>GBP</v>
      </c>
      <c r="HS103" s="2771">
        <f t="shared" si="334"/>
        <v>1</v>
      </c>
      <c r="HT103" s="3623"/>
      <c r="HU103" s="2771">
        <f t="shared" si="335"/>
        <v>1.73</v>
      </c>
      <c r="HW103" s="1218"/>
      <c r="HX103" s="520"/>
      <c r="HY103" s="2523"/>
      <c r="HZ103" s="194"/>
      <c r="IA103" s="1013"/>
      <c r="IB103" s="193"/>
      <c r="IC103" s="3276">
        <v>40</v>
      </c>
      <c r="ID103" s="986"/>
      <c r="IE103" s="938">
        <f t="shared" si="164"/>
        <v>0</v>
      </c>
      <c r="IF103" s="938">
        <f t="shared" si="165"/>
        <v>0</v>
      </c>
      <c r="IG103" s="432"/>
      <c r="II103" s="405"/>
      <c r="IJ103" s="239"/>
      <c r="IK103" s="2774" t="str">
        <f t="shared" si="166"/>
        <v>GBP</v>
      </c>
      <c r="IL103" s="2148"/>
      <c r="IM103" s="1936">
        <f t="shared" si="336"/>
        <v>0</v>
      </c>
      <c r="IO103" s="1959" t="str">
        <f t="shared" si="337"/>
        <v/>
      </c>
      <c r="IP103" s="1958"/>
      <c r="IQ103" s="543">
        <f t="shared" si="338"/>
        <v>0.52</v>
      </c>
      <c r="IR103" s="1936">
        <f t="shared" si="339"/>
        <v>0</v>
      </c>
      <c r="IT103" s="1364"/>
      <c r="IU103" s="210"/>
      <c r="IV103" s="218"/>
      <c r="IW103" s="1938">
        <f ca="1">IF(NOT(ISBLANK(IU103)),IU103,IF('1 Setup'!$G$8&lt;7,JK103,FJ103))+KA103</f>
        <v>0</v>
      </c>
      <c r="IX103" s="409">
        <f t="shared" si="340"/>
        <v>0</v>
      </c>
      <c r="IY103" s="408">
        <f t="shared" si="341"/>
        <v>0</v>
      </c>
      <c r="IZ103" s="1983"/>
      <c r="JA103" s="1994"/>
      <c r="JB103" s="1991"/>
      <c r="JD103" s="2029">
        <f t="shared" si="167"/>
        <v>0</v>
      </c>
      <c r="JE103" s="479"/>
      <c r="JF103" s="2025">
        <f t="shared" si="342"/>
        <v>0</v>
      </c>
      <c r="JG103" s="429">
        <f t="shared" si="343"/>
        <v>0</v>
      </c>
      <c r="JH103" s="1667">
        <f t="shared" si="344"/>
        <v>0</v>
      </c>
      <c r="JJ103" s="1163">
        <f t="shared" ca="1" si="345"/>
        <v>0</v>
      </c>
      <c r="JK103" s="1163">
        <f t="shared" ca="1" si="346"/>
        <v>0</v>
      </c>
      <c r="JL103" s="1795"/>
      <c r="JN103" s="2505"/>
      <c r="JO103" s="1161"/>
      <c r="JP103" s="571">
        <f t="shared" ca="1" si="410"/>
        <v>0</v>
      </c>
      <c r="JQ103" s="2506"/>
      <c r="JR103" s="1953"/>
      <c r="JS103" s="2650"/>
      <c r="JT103" s="2507"/>
      <c r="JU103" s="1964">
        <f t="shared" si="347"/>
        <v>0.33450000000000002</v>
      </c>
      <c r="JV103" s="3199"/>
      <c r="JW103" s="2649">
        <f t="shared" si="348"/>
        <v>1.5</v>
      </c>
      <c r="JX103" s="1964">
        <f t="shared" si="168"/>
        <v>0.1565</v>
      </c>
      <c r="JY103" s="3199"/>
      <c r="JZ103" s="2649">
        <f t="shared" si="169"/>
        <v>0</v>
      </c>
      <c r="KA103" s="2649">
        <f t="shared" si="170"/>
        <v>0</v>
      </c>
      <c r="KB103" s="2649" t="s">
        <v>111</v>
      </c>
      <c r="KC103" s="1983"/>
      <c r="KD103" s="1974"/>
      <c r="KE103" s="1991"/>
      <c r="KF103" s="2029">
        <f t="shared" si="171"/>
        <v>0</v>
      </c>
      <c r="KG103" s="1991"/>
      <c r="KH103" s="2121">
        <f t="shared" si="349"/>
        <v>0</v>
      </c>
      <c r="KI103" s="2130">
        <f t="shared" si="350"/>
        <v>0</v>
      </c>
      <c r="KJ103" s="2130">
        <f t="shared" si="351"/>
        <v>0</v>
      </c>
      <c r="KK103" s="2130">
        <f t="shared" si="352"/>
        <v>0</v>
      </c>
      <c r="KL103" s="2131">
        <f t="shared" si="353"/>
        <v>0</v>
      </c>
      <c r="KM103" s="2132">
        <f t="shared" si="354"/>
        <v>0</v>
      </c>
      <c r="KN103" s="2132">
        <f t="shared" si="355"/>
        <v>0</v>
      </c>
      <c r="KO103" s="2132">
        <f t="shared" si="356"/>
        <v>0</v>
      </c>
      <c r="KP103" s="2132">
        <f t="shared" si="357"/>
        <v>0</v>
      </c>
      <c r="KQ103" s="2133">
        <f t="shared" si="358"/>
        <v>0</v>
      </c>
      <c r="KS103" s="2253">
        <f t="shared" si="359"/>
        <v>0</v>
      </c>
      <c r="KT103" s="2270">
        <f t="shared" ref="KT103:LB103" si="428">KS103*(1+(KT$60))</f>
        <v>0</v>
      </c>
      <c r="KU103" s="2271">
        <f t="shared" si="428"/>
        <v>0</v>
      </c>
      <c r="KV103" s="2271">
        <f t="shared" si="428"/>
        <v>0</v>
      </c>
      <c r="KW103" s="2272">
        <f t="shared" si="428"/>
        <v>0</v>
      </c>
      <c r="KX103" s="2271">
        <f t="shared" si="428"/>
        <v>0</v>
      </c>
      <c r="KY103" s="2271">
        <f t="shared" si="428"/>
        <v>0</v>
      </c>
      <c r="KZ103" s="2271">
        <f t="shared" si="428"/>
        <v>0</v>
      </c>
      <c r="LA103" s="2271">
        <f t="shared" si="428"/>
        <v>0</v>
      </c>
      <c r="LB103" s="2273">
        <f t="shared" si="428"/>
        <v>0</v>
      </c>
      <c r="LC103" s="749"/>
      <c r="LD103" s="2124">
        <f t="shared" si="361"/>
        <v>0</v>
      </c>
      <c r="LE103" s="2093">
        <f t="shared" si="362"/>
        <v>0</v>
      </c>
      <c r="LF103" s="2093">
        <f t="shared" si="363"/>
        <v>0</v>
      </c>
      <c r="LG103" s="2093">
        <f t="shared" si="364"/>
        <v>0</v>
      </c>
      <c r="LH103" s="2094">
        <f t="shared" si="365"/>
        <v>0</v>
      </c>
      <c r="LI103" s="2095">
        <f t="shared" si="366"/>
        <v>0</v>
      </c>
      <c r="LJ103" s="2095">
        <f t="shared" si="367"/>
        <v>0</v>
      </c>
      <c r="LK103" s="2095">
        <f t="shared" si="368"/>
        <v>0</v>
      </c>
      <c r="LL103" s="2095">
        <f t="shared" si="369"/>
        <v>0</v>
      </c>
      <c r="LM103" s="2096">
        <f t="shared" si="370"/>
        <v>0</v>
      </c>
      <c r="LN103" s="749"/>
      <c r="LO103" s="2256">
        <f t="shared" ca="1" si="371"/>
        <v>0</v>
      </c>
      <c r="LP103" s="2270">
        <f t="shared" ca="1" si="372"/>
        <v>0</v>
      </c>
      <c r="LQ103" s="2271">
        <f t="shared" ca="1" si="373"/>
        <v>0</v>
      </c>
      <c r="LR103" s="2271">
        <f t="shared" ca="1" si="374"/>
        <v>0</v>
      </c>
      <c r="LS103" s="2272">
        <f t="shared" ca="1" si="375"/>
        <v>0</v>
      </c>
      <c r="LT103" s="2271">
        <f t="shared" ca="1" si="376"/>
        <v>0</v>
      </c>
      <c r="LU103" s="2271">
        <f t="shared" ca="1" si="377"/>
        <v>0</v>
      </c>
      <c r="LV103" s="2271">
        <f t="shared" ca="1" si="378"/>
        <v>0</v>
      </c>
      <c r="LW103" s="2271">
        <f t="shared" ca="1" si="379"/>
        <v>0</v>
      </c>
      <c r="LX103" s="2273">
        <f t="shared" ca="1" si="380"/>
        <v>0</v>
      </c>
      <c r="LY103" s="479"/>
      <c r="LZ103" s="3128">
        <f t="shared" ca="1" si="173"/>
        <v>-1.73</v>
      </c>
      <c r="MA103" s="3129">
        <f t="shared" ca="1" si="174"/>
        <v>-1.73</v>
      </c>
      <c r="MB103" s="3129">
        <f t="shared" ca="1" si="175"/>
        <v>-1.73</v>
      </c>
      <c r="MC103" s="3129">
        <f t="shared" ca="1" si="176"/>
        <v>-1.73</v>
      </c>
      <c r="MD103" s="3130">
        <f t="shared" ca="1" si="177"/>
        <v>-1.73</v>
      </c>
      <c r="ME103" s="3129">
        <f t="shared" ca="1" si="178"/>
        <v>-1.73</v>
      </c>
      <c r="MF103" s="3129">
        <f t="shared" ca="1" si="179"/>
        <v>-1.73</v>
      </c>
      <c r="MG103" s="3129">
        <f t="shared" ca="1" si="180"/>
        <v>-1.73</v>
      </c>
      <c r="MH103" s="3129">
        <f t="shared" ca="1" si="181"/>
        <v>-1.73</v>
      </c>
      <c r="MI103" s="3131">
        <f t="shared" ca="1" si="182"/>
        <v>-1.73</v>
      </c>
      <c r="MJ103" s="3201"/>
      <c r="MK103" s="3206">
        <f t="shared" ca="1" si="183"/>
        <v>0</v>
      </c>
      <c r="ML103" s="3207">
        <f t="shared" ca="1" si="184"/>
        <v>0</v>
      </c>
      <c r="MM103" s="3207">
        <f t="shared" ca="1" si="185"/>
        <v>0</v>
      </c>
      <c r="MN103" s="3207">
        <f t="shared" ca="1" si="186"/>
        <v>0</v>
      </c>
      <c r="MO103" s="3208">
        <f t="shared" ca="1" si="187"/>
        <v>0</v>
      </c>
      <c r="MP103" s="3207">
        <f t="shared" ca="1" si="188"/>
        <v>0</v>
      </c>
      <c r="MQ103" s="3207">
        <f t="shared" ca="1" si="189"/>
        <v>0</v>
      </c>
      <c r="MR103" s="3207">
        <f t="shared" ca="1" si="190"/>
        <v>0</v>
      </c>
      <c r="MS103" s="3207">
        <f t="shared" ca="1" si="191"/>
        <v>0</v>
      </c>
      <c r="MT103" s="3209">
        <f t="shared" ca="1" si="192"/>
        <v>0</v>
      </c>
      <c r="MU103" s="1983"/>
      <c r="MV103" s="1975"/>
      <c r="MW103" s="1991"/>
      <c r="MX103" s="1931">
        <f t="shared" si="381"/>
        <v>0</v>
      </c>
      <c r="MY103" s="749"/>
      <c r="MZ103" s="1934">
        <f t="shared" si="382"/>
        <v>0</v>
      </c>
      <c r="NA103" s="1935"/>
      <c r="NB103" s="2652">
        <f t="shared" si="383"/>
        <v>0</v>
      </c>
      <c r="NC103" s="479"/>
      <c r="ND103" s="2749" t="str">
        <f t="shared" si="384"/>
        <v/>
      </c>
      <c r="NE103" s="2717"/>
      <c r="NF103" s="1975"/>
      <c r="NG103" s="1975"/>
      <c r="NH103" s="1975"/>
      <c r="NI103" s="1975"/>
    </row>
    <row r="104" spans="1:373" s="192" customFormat="1" ht="15.9" customHeight="1" x14ac:dyDescent="0.3">
      <c r="A104" s="200"/>
      <c r="B104" s="200"/>
      <c r="C104" s="200"/>
      <c r="D104" s="200"/>
      <c r="E104" s="200"/>
      <c r="F104" s="200"/>
      <c r="G104" s="200"/>
      <c r="H104" s="200"/>
      <c r="I104" s="200"/>
      <c r="J104" s="200"/>
      <c r="K104" s="200"/>
      <c r="L104" s="200"/>
      <c r="M104" s="200"/>
      <c r="N104" s="200"/>
      <c r="O104" s="200"/>
      <c r="P104" s="1539"/>
      <c r="Q104" s="1539"/>
      <c r="R104" s="198"/>
      <c r="S104" s="1539"/>
      <c r="T104" s="201"/>
      <c r="U104" s="200"/>
      <c r="V104" s="201">
        <f>MATCH($IC104,'3b Activity Plan'!$DJ$171:$FH$171,0)</f>
        <v>41</v>
      </c>
      <c r="W104" s="201">
        <f>IFERROR(INDEX('3b Activity Plan'!$DJ$6:$FH$6,V104),0)</f>
        <v>0</v>
      </c>
      <c r="X104" s="1768"/>
      <c r="Y104" s="1768">
        <f>IFERROR(INDEX('3b Activity Plan'!$DJ$7:$FH$7,V104),0)</f>
        <v>0</v>
      </c>
      <c r="Z104" s="201"/>
      <c r="AA104" s="201">
        <f>IFERROR(INDEX('3b Activity Plan'!$DJ$34:$FH$34,$V104),0)</f>
        <v>0</v>
      </c>
      <c r="AB104" s="201">
        <f>IFERROR(INDEX('3b Activity Plan'!$DJ$35:$FH$35,$V104),0)</f>
        <v>0</v>
      </c>
      <c r="AC104" s="201">
        <f>IFERROR(INDEX('3b Activity Plan'!$DJ$36:$FH$36,$V104),0)</f>
        <v>0</v>
      </c>
      <c r="AD104" s="201">
        <f>IFERROR(INDEX('3b Activity Plan'!$DJ$37:$FH$37,$V104),0)</f>
        <v>0</v>
      </c>
      <c r="AE104" s="201">
        <f>IFERROR(INDEX('3b Activity Plan'!$DJ$38:$FH$38,$V104),0)</f>
        <v>0</v>
      </c>
      <c r="AF104" s="201">
        <f>IFERROR(INDEX('3b Activity Plan'!$DJ$39:$FH$39,$V104),0)</f>
        <v>0</v>
      </c>
      <c r="AG104" s="201">
        <f>IFERROR(INDEX('3b Activity Plan'!$DJ$40:$FH$40,$V104),0)</f>
        <v>0</v>
      </c>
      <c r="AH104" s="201">
        <f>IFERROR(INDEX('3b Activity Plan'!$DJ$41:$FH$41,$V104),0)</f>
        <v>0</v>
      </c>
      <c r="AI104" s="201">
        <f>IFERROR(INDEX('3b Activity Plan'!$DJ$42:$FH$42,$V104),0)</f>
        <v>0</v>
      </c>
      <c r="AJ104" s="201">
        <f>IFERROR(INDEX('3b Activity Plan'!$DJ$43:$FH$43,$V104),0)</f>
        <v>0</v>
      </c>
      <c r="AK104" s="201"/>
      <c r="AL104" s="201">
        <f>SUMIFS('3a Staff Plan'!$AR$129:$AR$305,'3a Staff Plan'!$DY$129:$DY$305,$IA104,'3a Staff Plan'!$DF$129:$DF$305,1)</f>
        <v>0</v>
      </c>
      <c r="AM104" s="1768"/>
      <c r="AN104" s="1768">
        <f>SUMIFS('3a Staff Plan'!$AR$129:$AR$305,'3a Staff Plan'!$DY$129:$DY$305,$IA104,'3a Staff Plan'!$CV$129:$CV$305,1)</f>
        <v>0</v>
      </c>
      <c r="AO104" s="201"/>
      <c r="AP104" s="201">
        <f>SUMIFS('3a Staff Plan'!$AS$129:$AS$305,'3a Staff Plan'!$DY$129:$DY$305,$IA104,'3a Staff Plan'!$DF$129:$DF$305,1)</f>
        <v>0</v>
      </c>
      <c r="AQ104" s="201">
        <f>SUMIFS('3a Staff Plan'!$AT$129:$AT$305,'3a Staff Plan'!$DY$129:$DY$305,$IA104,'3a Staff Plan'!$DF$129:$DF$305,1)</f>
        <v>0</v>
      </c>
      <c r="AR104" s="201">
        <f>SUMIFS('3a Staff Plan'!$AU$129:$AU$305,'3a Staff Plan'!$DY$129:$DY$305,$IA104,'3a Staff Plan'!$DF$129:$DF$305,1)</f>
        <v>0</v>
      </c>
      <c r="AS104" s="201">
        <f>SUMIFS('3a Staff Plan'!$AV$129:$AV$305,'3a Staff Plan'!$DY$129:$DY$305,$IA104,'3a Staff Plan'!$DF$129:$DF$305,1)</f>
        <v>0</v>
      </c>
      <c r="AT104" s="201">
        <f>SUMIFS('3a Staff Plan'!$AW$129:$AW$305,'3a Staff Plan'!$DY$129:$DY$305,$IA104,'3a Staff Plan'!$DF$129:$DF$305,1)</f>
        <v>0</v>
      </c>
      <c r="AU104" s="201">
        <f>SUMIFS('3a Staff Plan'!$AX$129:$AX$305,'3a Staff Plan'!$DY$129:$DY$305,$IA104,'3a Staff Plan'!$DF$129:$DF$305,1)</f>
        <v>0</v>
      </c>
      <c r="AV104" s="201">
        <f>SUMIFS('3a Staff Plan'!$AY$129:$AY$305,'3a Staff Plan'!$DY$129:$DY$305,$IA104,'3a Staff Plan'!$DF$129:$DF$305,1)</f>
        <v>0</v>
      </c>
      <c r="AW104" s="201">
        <f>SUMIFS('3a Staff Plan'!$AZ$129:$AZ$305,'3a Staff Plan'!$DY$129:$DY$305,$IA104,'3a Staff Plan'!$DF$129:$DF$305,1)</f>
        <v>0</v>
      </c>
      <c r="AX104" s="201">
        <f>SUMIFS('3a Staff Plan'!$BA$129:$BA$305,'3a Staff Plan'!$DY$129:$DY$305,$IA104,'3a Staff Plan'!$DF$129:$DF$305,1)</f>
        <v>0</v>
      </c>
      <c r="AY104" s="201">
        <f>SUMIFS('3a Staff Plan'!$BB$129:$BB$305,'3a Staff Plan'!$DY$129:$DY$305,$IA104,'3a Staff Plan'!$DF$129:$DF$305,1)</f>
        <v>0</v>
      </c>
      <c r="AZ104" s="201"/>
      <c r="BA104" s="201">
        <f t="shared" si="415"/>
        <v>0</v>
      </c>
      <c r="BB104" s="1768"/>
      <c r="BC104" s="1768">
        <f t="shared" si="416"/>
        <v>0</v>
      </c>
      <c r="BD104" s="201"/>
      <c r="BE104" s="201">
        <f t="shared" si="417"/>
        <v>0</v>
      </c>
      <c r="BF104" s="201">
        <f t="shared" si="418"/>
        <v>0</v>
      </c>
      <c r="BG104" s="201">
        <f t="shared" si="419"/>
        <v>0</v>
      </c>
      <c r="BH104" s="201">
        <f t="shared" si="420"/>
        <v>0</v>
      </c>
      <c r="BI104" s="201">
        <f t="shared" si="421"/>
        <v>0</v>
      </c>
      <c r="BJ104" s="201">
        <f t="shared" si="205"/>
        <v>0</v>
      </c>
      <c r="BK104" s="201">
        <f t="shared" si="206"/>
        <v>0</v>
      </c>
      <c r="BL104" s="201">
        <f t="shared" si="207"/>
        <v>0</v>
      </c>
      <c r="BM104" s="201">
        <f t="shared" si="208"/>
        <v>0</v>
      </c>
      <c r="BN104" s="201">
        <f t="shared" si="209"/>
        <v>0</v>
      </c>
      <c r="BO104" s="201"/>
      <c r="BP104" s="1818">
        <f t="shared" si="146"/>
        <v>41</v>
      </c>
      <c r="BQ104" s="1818">
        <f>IFERROR(INDEX('3b Activity Plan'!$DJ$15:$FH$15,BP104),0)</f>
        <v>0</v>
      </c>
      <c r="BR104" s="1768"/>
      <c r="BS104" s="1768">
        <f>IFERROR(INDEX('3b Activity Plan'!$DJ$16:$FH$16,BP104),0)</f>
        <v>0</v>
      </c>
      <c r="BT104" s="201"/>
      <c r="BU104" s="201">
        <f>IFERROR(INDEX('3b Activity Plan'!$DJ$67:$FH$67,$V104),0)</f>
        <v>0</v>
      </c>
      <c r="BV104" s="201">
        <f>IFERROR(INDEX('3b Activity Plan'!$DJ$68:$FH$68,$V104),0)</f>
        <v>0</v>
      </c>
      <c r="BW104" s="201">
        <f>IFERROR(INDEX('3b Activity Plan'!$DJ$69:$FH$69,$V104),0)</f>
        <v>0</v>
      </c>
      <c r="BX104" s="201">
        <f>IFERROR(INDEX('3b Activity Plan'!$DJ$70:$FH$70,$V104),0)</f>
        <v>0</v>
      </c>
      <c r="BY104" s="201">
        <f>IFERROR(INDEX('3b Activity Plan'!$DJ$71:$FH$71,$V104),0)</f>
        <v>0</v>
      </c>
      <c r="BZ104" s="201">
        <f>IFERROR(INDEX('3b Activity Plan'!$DJ$72:$FH$72,$V104),0)</f>
        <v>0</v>
      </c>
      <c r="CA104" s="201">
        <f>IFERROR(INDEX('3b Activity Plan'!$DJ$73:$FH$73,$V104),0)</f>
        <v>0</v>
      </c>
      <c r="CB104" s="201">
        <f>IFERROR(INDEX('3b Activity Plan'!$DJ$74:$FH$74,$V104),0)</f>
        <v>0</v>
      </c>
      <c r="CC104" s="201">
        <f>IFERROR(INDEX('3b Activity Plan'!$DJ$75:$FH$75,$V104),0)</f>
        <v>0</v>
      </c>
      <c r="CD104" s="201">
        <f>IFERROR(INDEX('3b Activity Plan'!$DJ$76:$FH$76,$V104),0)</f>
        <v>0</v>
      </c>
      <c r="CE104" s="201"/>
      <c r="CF104" s="1818">
        <f>SUMIFS('3a Staff Plan'!$AR$129:$AR$305,'3a Staff Plan'!$DY$129:$DY$305,$IA104,'3a Staff Plan'!$AG$129:$AG$305,1,'3a Staff Plan'!$DF$129:$DF$305,1)</f>
        <v>0</v>
      </c>
      <c r="CG104" s="1768">
        <f>SUMIFS('3a Staff Plan'!$AR$129:$AR$305,'3a Staff Plan'!$DY$129:$DY$305,$IA104,'3a Staff Plan'!$AG$129:$AG$305,1,'3a Staff Plan'!$CX$129:$CX$305,1)</f>
        <v>0</v>
      </c>
      <c r="CH104" s="1768">
        <f>SUMIFS('3a Staff Plan'!$AR$129:$AR$305,'3a Staff Plan'!$DY$129:$DY$305,$IA104,'3a Staff Plan'!$AG$129:$AG$305,1,'3a Staff Plan'!$CV$129:$CV$305,1)</f>
        <v>0</v>
      </c>
      <c r="CI104" s="201"/>
      <c r="CJ104" s="201">
        <f>SUMIFS('3a Staff Plan'!$BX$129:$BX$305,'3a Staff Plan'!$DY$129:$DY$305,$IA104,'3a Staff Plan'!$DF$129:$DF$305,1,'3a Staff Plan'!$AG$129:$AG$305,1)</f>
        <v>0</v>
      </c>
      <c r="CK104" s="201">
        <f>SUMIFS('3a Staff Plan'!$BY$129:$BY$305,'3a Staff Plan'!$DY$129:$DY$305,$IA104,'3a Staff Plan'!$DF$129:$DF$305,1,'3a Staff Plan'!$AG$129:$AG$305,1)</f>
        <v>0</v>
      </c>
      <c r="CL104" s="201">
        <f>SUMIFS('3a Staff Plan'!$BZ$129:$BZ$305,'3a Staff Plan'!$DY$129:$DY$305,$IA104,'3a Staff Plan'!$DF$129:$DF$305,1,'3a Staff Plan'!$AG$129:$AG$305,1)</f>
        <v>0</v>
      </c>
      <c r="CM104" s="201">
        <f>SUMIFS('3a Staff Plan'!$CA$129:$CA$305,'3a Staff Plan'!$DY$129:$DY$305,$IA104,'3a Staff Plan'!$DF$129:$DF$305,1,'3a Staff Plan'!$AG$129:$AG$305,1)</f>
        <v>0</v>
      </c>
      <c r="CN104" s="201">
        <f>SUMIFS('3a Staff Plan'!$CB$129:$CB$305,'3a Staff Plan'!$DY$129:$DY$305,$IA104,'3a Staff Plan'!$DF$129:$DF$305,1,'3a Staff Plan'!$AG$129:$AG$305,1)</f>
        <v>0</v>
      </c>
      <c r="CO104" s="201">
        <f>SUMIFS('3a Staff Plan'!$CC$129:$CC$305,'3a Staff Plan'!$DY$129:$DY$305,$IA104,'3a Staff Plan'!$DF$129:$DF$305,1,'3a Staff Plan'!$AG$129:$AG$305,1)</f>
        <v>0</v>
      </c>
      <c r="CP104" s="201">
        <f>SUMIFS('3a Staff Plan'!$CD$129:$CD$305,'3a Staff Plan'!$DY$129:$DY$305,$IA104,'3a Staff Plan'!$DF$129:$DF$305,1,'3a Staff Plan'!$AG$129:$AG$305,1)</f>
        <v>0</v>
      </c>
      <c r="CQ104" s="201">
        <f>SUMIFS('3a Staff Plan'!$CE$129:$CE$305,'3a Staff Plan'!$DY$129:$DY$305,$IA104,'3a Staff Plan'!$DF$129:$DF$305,1,'3a Staff Plan'!$AG$129:$AG$305,1)</f>
        <v>0</v>
      </c>
      <c r="CR104" s="201">
        <f>SUMIFS('3a Staff Plan'!$CF$129:$CF$305,'3a Staff Plan'!$DY$129:$DY$305,$IA104,'3a Staff Plan'!$DF$129:$DF$305,1,'3a Staff Plan'!$AG$129:$AG$305,1)</f>
        <v>0</v>
      </c>
      <c r="CS104" s="201">
        <f>SUMIFS('3a Staff Plan'!$CG$129:$CG$305,'3a Staff Plan'!$DY$129:$DY$305,$IA104,'3a Staff Plan'!$DF$129:$DF$305,1,'3a Staff Plan'!$AG$129:$AG$305,1)</f>
        <v>0</v>
      </c>
      <c r="CT104" s="201"/>
      <c r="CU104" s="1818">
        <f t="shared" si="210"/>
        <v>0</v>
      </c>
      <c r="CV104" s="1768"/>
      <c r="CW104" s="1768">
        <f t="shared" si="211"/>
        <v>0</v>
      </c>
      <c r="CX104" s="201"/>
      <c r="CY104" s="201">
        <f t="shared" si="212"/>
        <v>0</v>
      </c>
      <c r="CZ104" s="201">
        <f t="shared" si="213"/>
        <v>0</v>
      </c>
      <c r="DA104" s="201">
        <f t="shared" si="214"/>
        <v>0</v>
      </c>
      <c r="DB104" s="201">
        <f t="shared" si="215"/>
        <v>0</v>
      </c>
      <c r="DC104" s="201">
        <f t="shared" si="216"/>
        <v>0</v>
      </c>
      <c r="DD104" s="201">
        <f t="shared" si="217"/>
        <v>0</v>
      </c>
      <c r="DE104" s="201">
        <f t="shared" si="218"/>
        <v>0</v>
      </c>
      <c r="DF104" s="201">
        <f t="shared" si="219"/>
        <v>0</v>
      </c>
      <c r="DG104" s="201">
        <f t="shared" si="220"/>
        <v>0</v>
      </c>
      <c r="DH104" s="201">
        <f t="shared" si="221"/>
        <v>0</v>
      </c>
      <c r="DI104" s="201"/>
      <c r="DJ104" s="201"/>
      <c r="DK104" s="201"/>
      <c r="DL104" s="201"/>
      <c r="DM104" s="372">
        <f t="shared" ca="1" si="283"/>
        <v>0</v>
      </c>
      <c r="DN104" s="1185">
        <f t="shared" si="284"/>
        <v>0</v>
      </c>
      <c r="DO104" s="1185">
        <f t="shared" si="285"/>
        <v>0</v>
      </c>
      <c r="DP104" s="201"/>
      <c r="DQ104" s="372">
        <f t="shared" ca="1" si="286"/>
        <v>0</v>
      </c>
      <c r="DR104" s="1185">
        <f t="shared" si="287"/>
        <v>0</v>
      </c>
      <c r="DS104" s="1185">
        <f t="shared" si="288"/>
        <v>0</v>
      </c>
      <c r="DT104" s="201"/>
      <c r="DU104" s="372">
        <f t="shared" ca="1" si="289"/>
        <v>0</v>
      </c>
      <c r="DV104" s="372">
        <f t="shared" si="290"/>
        <v>0</v>
      </c>
      <c r="DW104" s="372">
        <f t="shared" si="290"/>
        <v>0</v>
      </c>
      <c r="DX104" s="201"/>
      <c r="DY104" s="372">
        <f t="shared" si="291"/>
        <v>0</v>
      </c>
      <c r="DZ104" s="372">
        <f t="shared" ca="1" si="292"/>
        <v>0</v>
      </c>
      <c r="EA104" s="201"/>
      <c r="EB104" s="2776">
        <f>IF(EO104=$EO$53,1,IFERROR(INDEX('Currency Data'!$L$8:$L$41,MATCH(EO104,'Currency Data'!$H$8:$H$41,0)),1))</f>
        <v>1</v>
      </c>
      <c r="EC104" s="2776">
        <f t="shared" si="422"/>
        <v>1</v>
      </c>
      <c r="ED104" s="428">
        <f>IF(GQ104=1,'1 Setup'!$T$68,IF(ISBLANK(IJ104),II104/EC104*IF(GL104=1,$ED$53,1),IJ104/EC104)*IF($EW104=7,JW104,1))</f>
        <v>0</v>
      </c>
      <c r="EE104" s="428">
        <f t="shared" si="293"/>
        <v>0</v>
      </c>
      <c r="EF104" s="428"/>
      <c r="EG104" s="1965" t="str">
        <f t="shared" si="148"/>
        <v>031500 - Highways UK</v>
      </c>
      <c r="EH104" s="201">
        <f t="shared" si="149"/>
        <v>1</v>
      </c>
      <c r="EI104" s="445" t="str">
        <f>IF(EH104=1,$EI$53,IF(GQ104=1,$GQ$55,IFERROR(IF($EG104=$EG$53,$EI$53,INDEX('PU List'!$G$6:$G$413,MATCH($EG104,'PU List'!$D$6:$D$413,0))),$EI$53)))</f>
        <v>GB - BIAF</v>
      </c>
      <c r="EJ104" s="2773" t="str">
        <f t="shared" si="150"/>
        <v>GB - BIAF</v>
      </c>
      <c r="EK104" s="1768"/>
      <c r="EL104" s="3283">
        <f>IF(OR(EW104&gt;7,$EL$53=0),0,IF(EJ104=$EI$53,$EL$53,IFERROR(INDEX('Fringe Data'!$U$8:$U$129,MATCH($EJ104,'Fringe Data'!$F$8:$F$129,0)),0)))</f>
        <v>1.73</v>
      </c>
      <c r="EM104" s="372">
        <f t="shared" si="294"/>
        <v>0</v>
      </c>
      <c r="EN104" s="201" t="str">
        <f>IFERROR(INDEX('Fringe Data'!$G$8:$G$64,MATCH($EJ104,'Fringe Data'!$F$8:$F$64,0)),$EO$53)</f>
        <v>GBP</v>
      </c>
      <c r="EO104" s="201" t="str">
        <f t="shared" si="151"/>
        <v>GBP</v>
      </c>
      <c r="EP104" s="201">
        <f>IF(EI104=$EI$53,$EP$49,IF(GP104=1,0,IFERROR(INDEX('Fringe Data'!$K$8:$K$64,MATCH($EI104,'Fringe Data'!$F$8:$F$64,0)),0)))</f>
        <v>0.52</v>
      </c>
      <c r="EQ104" s="201">
        <f>IF(EI104=$EI$53,$EQ$49,IF(GP104=1,0,IFERROR(INDEX('Fringe Data'!$L$8:$L$64,MATCH($EI104,'Fringe Data'!$F$8:$F$64,0)),0)))</f>
        <v>1.8499999999999999E-2</v>
      </c>
      <c r="ER104" s="201">
        <f>IF(EI104=$EI$53,$ER$49,IF(GP104=1,0,IFERROR(INDEX('Fringe Data'!$M$8:$M$64,MATCH($EI104,'Fringe Data'!$F$8:$F$64,0)),0)))</f>
        <v>0.43430000000000002</v>
      </c>
      <c r="ES104" s="201">
        <f>IF(EI104=$EI$53,$ES$49,IF(GP104=1,0,IFERROR(INDEX('Fringe Data'!$N$8:$N$64,MATCH($EI104,'Fringe Data'!$F$8:$F$64,0)),0)))</f>
        <v>0.1565</v>
      </c>
      <c r="ET104" s="201">
        <f>IF(EI104=$EI$53,$ET$49,IF(GP104=1,0,IFERROR(INDEX('Fringe Data'!$O$8:$O$64,MATCH($EI104,'Fringe Data'!$F$8:$F$64,0)),0)))</f>
        <v>0.33450000000000002</v>
      </c>
      <c r="EU104" s="263">
        <f>IF(EI104=$EI$53,$EU$49,IF(GP104=1,0,IFERROR(INDEX('Fringe Data'!$P$8:$P$64,MATCH($EI104,'Fringe Data'!$F$8:$F$64,0)),0)))</f>
        <v>0.1565</v>
      </c>
      <c r="EV104" s="201"/>
      <c r="EW104" s="1530">
        <f t="shared" si="295"/>
        <v>1</v>
      </c>
      <c r="EX104" s="1534">
        <f t="shared" si="152"/>
        <v>0.52</v>
      </c>
      <c r="EY104" s="321">
        <f t="shared" si="153"/>
        <v>0</v>
      </c>
      <c r="EZ104" s="201">
        <f t="shared" si="154"/>
        <v>0</v>
      </c>
      <c r="FA104" s="372">
        <f t="shared" si="296"/>
        <v>0</v>
      </c>
      <c r="FB104" s="372">
        <f t="shared" si="297"/>
        <v>0</v>
      </c>
      <c r="FC104" s="201">
        <f t="shared" ca="1" si="155"/>
        <v>0</v>
      </c>
      <c r="FD104" s="423">
        <f t="shared" si="298"/>
        <v>0</v>
      </c>
      <c r="FE104" s="423">
        <f t="shared" si="299"/>
        <v>0</v>
      </c>
      <c r="FF104" s="201">
        <f t="shared" si="156"/>
        <v>0</v>
      </c>
      <c r="FG104" s="425">
        <f>IF(OR($FJ$52=3,$FJ$52=4,$FJ$52=5),'1 Setup'!$W$96,0)</f>
        <v>0</v>
      </c>
      <c r="FH104" s="428">
        <f>IF($FJ$52=5,'1 Setup'!$W$98,IF($FJ$52=6,'1 Setup'!$S$86,0))</f>
        <v>0</v>
      </c>
      <c r="FI104" s="321">
        <f t="shared" ca="1" si="300"/>
        <v>0</v>
      </c>
      <c r="FJ104" s="263">
        <f t="shared" ca="1" si="157"/>
        <v>0</v>
      </c>
      <c r="FK104" s="372">
        <f t="shared" ca="1" si="301"/>
        <v>0</v>
      </c>
      <c r="FL104" s="372">
        <f t="shared" si="302"/>
        <v>0</v>
      </c>
      <c r="FM104" s="372">
        <f t="shared" si="303"/>
        <v>0</v>
      </c>
      <c r="FN104" s="2036">
        <f t="shared" ca="1" si="304"/>
        <v>0</v>
      </c>
      <c r="FO104" s="372">
        <f t="shared" ca="1" si="224"/>
        <v>0</v>
      </c>
      <c r="FP104" s="2723">
        <f t="shared" si="158"/>
        <v>0</v>
      </c>
      <c r="FQ104" s="372">
        <f t="shared" si="305"/>
        <v>0</v>
      </c>
      <c r="FR104" s="372">
        <f t="shared" si="159"/>
        <v>0</v>
      </c>
      <c r="FS104" s="1168"/>
      <c r="FT104" s="1168">
        <f t="shared" si="306"/>
        <v>0</v>
      </c>
      <c r="FU104" s="1168">
        <f t="shared" si="307"/>
        <v>0</v>
      </c>
      <c r="FV104" s="1168">
        <f t="shared" si="308"/>
        <v>0</v>
      </c>
      <c r="FW104" s="1168">
        <f t="shared" si="309"/>
        <v>0</v>
      </c>
      <c r="FX104" s="1168">
        <f t="shared" si="310"/>
        <v>0</v>
      </c>
      <c r="FY104" s="1168">
        <f t="shared" si="311"/>
        <v>0</v>
      </c>
      <c r="FZ104" s="1168">
        <f t="shared" si="312"/>
        <v>0</v>
      </c>
      <c r="GA104" s="1168">
        <f t="shared" si="313"/>
        <v>0</v>
      </c>
      <c r="GB104" s="1168">
        <f t="shared" si="314"/>
        <v>0</v>
      </c>
      <c r="GC104" s="1168">
        <f t="shared" si="315"/>
        <v>0</v>
      </c>
      <c r="GD104" s="1168"/>
      <c r="GE104" s="199"/>
      <c r="GF104" s="201">
        <f t="shared" si="316"/>
        <v>0</v>
      </c>
      <c r="GG104" s="201">
        <f t="shared" si="317"/>
        <v>0</v>
      </c>
      <c r="GH104" s="201">
        <f t="shared" si="318"/>
        <v>0</v>
      </c>
      <c r="GI104" s="201">
        <f t="shared" ca="1" si="160"/>
        <v>0</v>
      </c>
      <c r="GJ104" s="201">
        <f t="shared" si="319"/>
        <v>0</v>
      </c>
      <c r="GK104" s="201">
        <f t="shared" si="320"/>
        <v>0</v>
      </c>
      <c r="GL104" s="201">
        <f t="shared" si="321"/>
        <v>1</v>
      </c>
      <c r="GM104" s="201">
        <f t="shared" si="322"/>
        <v>1</v>
      </c>
      <c r="GN104" s="201"/>
      <c r="GO104" s="201"/>
      <c r="GP104" s="201">
        <f t="shared" si="323"/>
        <v>0</v>
      </c>
      <c r="GQ104" s="201">
        <f t="shared" si="324"/>
        <v>0</v>
      </c>
      <c r="GR104" s="201">
        <f t="shared" si="161"/>
        <v>0</v>
      </c>
      <c r="GS104" s="1768"/>
      <c r="GT104" s="201">
        <f t="shared" si="325"/>
        <v>1</v>
      </c>
      <c r="GU104" s="201">
        <f t="shared" si="193"/>
        <v>41</v>
      </c>
      <c r="GV104" s="201">
        <f t="shared" si="326"/>
        <v>0</v>
      </c>
      <c r="GW104" s="201">
        <f t="shared" si="327"/>
        <v>3</v>
      </c>
      <c r="GX104" s="201">
        <f t="shared" si="162"/>
        <v>0</v>
      </c>
      <c r="GY104" s="1998"/>
      <c r="GZ104" s="253"/>
      <c r="HA104" s="195">
        <f t="shared" si="423"/>
        <v>0</v>
      </c>
      <c r="HB104" s="3558">
        <f t="shared" si="424"/>
        <v>0</v>
      </c>
      <c r="HC104" s="3590"/>
      <c r="HD104" s="257" t="str">
        <f t="shared" si="328"/>
        <v/>
      </c>
      <c r="HE104" s="825">
        <f t="shared" si="329"/>
        <v>0</v>
      </c>
      <c r="HF104" s="506" t="s">
        <v>5</v>
      </c>
      <c r="HG104" s="508">
        <f t="shared" ca="1" si="330"/>
        <v>0</v>
      </c>
      <c r="HH104" s="3585">
        <f t="shared" si="331"/>
        <v>0</v>
      </c>
      <c r="HI104" s="3586"/>
      <c r="HJ104" s="967">
        <f t="shared" ca="1" si="425"/>
        <v>0</v>
      </c>
      <c r="HK104" s="456">
        <f t="shared" ca="1" si="226"/>
        <v>0</v>
      </c>
      <c r="HL104" s="3591">
        <f t="shared" ca="1" si="426"/>
        <v>0</v>
      </c>
      <c r="HM104" s="3592"/>
      <c r="HN104" s="240"/>
      <c r="HO104" s="1998"/>
      <c r="HP104" s="1991"/>
      <c r="HQ104" s="2770" t="str">
        <f t="shared" si="332"/>
        <v>GB - BIAF</v>
      </c>
      <c r="HR104" s="2770" t="str">
        <f t="shared" si="333"/>
        <v>GBP</v>
      </c>
      <c r="HS104" s="2771">
        <f t="shared" si="334"/>
        <v>1</v>
      </c>
      <c r="HT104" s="3488"/>
      <c r="HU104" s="2771">
        <f t="shared" si="335"/>
        <v>1.73</v>
      </c>
      <c r="HW104" s="1218"/>
      <c r="HX104" s="520"/>
      <c r="HY104" s="2523"/>
      <c r="HZ104" s="194"/>
      <c r="IA104" s="1013"/>
      <c r="IB104" s="193"/>
      <c r="IC104" s="3276">
        <v>41</v>
      </c>
      <c r="ID104" s="986"/>
      <c r="IE104" s="938">
        <f t="shared" si="164"/>
        <v>0</v>
      </c>
      <c r="IF104" s="938">
        <f t="shared" si="165"/>
        <v>0</v>
      </c>
      <c r="IG104" s="432"/>
      <c r="II104" s="405"/>
      <c r="IJ104" s="239"/>
      <c r="IK104" s="2774" t="str">
        <f t="shared" si="166"/>
        <v>GBP</v>
      </c>
      <c r="IL104" s="2148"/>
      <c r="IM104" s="1936">
        <f t="shared" si="336"/>
        <v>0</v>
      </c>
      <c r="IO104" s="1959" t="str">
        <f t="shared" si="337"/>
        <v/>
      </c>
      <c r="IP104" s="1958"/>
      <c r="IQ104" s="543">
        <f t="shared" si="338"/>
        <v>0.52</v>
      </c>
      <c r="IR104" s="1936">
        <f t="shared" si="339"/>
        <v>0</v>
      </c>
      <c r="IT104" s="1364"/>
      <c r="IU104" s="210"/>
      <c r="IV104" s="218"/>
      <c r="IW104" s="1938">
        <f ca="1">IF(NOT(ISBLANK(IU104)),IU104,IF('1 Setup'!$G$8&lt;7,JK104,FJ104))+KA104</f>
        <v>0</v>
      </c>
      <c r="IX104" s="409">
        <f t="shared" si="340"/>
        <v>0</v>
      </c>
      <c r="IY104" s="408">
        <f t="shared" si="341"/>
        <v>0</v>
      </c>
      <c r="IZ104" s="1983"/>
      <c r="JA104" s="1994"/>
      <c r="JB104" s="1991"/>
      <c r="JD104" s="2029">
        <f t="shared" si="167"/>
        <v>0</v>
      </c>
      <c r="JE104" s="479"/>
      <c r="JF104" s="2025">
        <f t="shared" si="342"/>
        <v>0</v>
      </c>
      <c r="JG104" s="429">
        <f t="shared" si="343"/>
        <v>0</v>
      </c>
      <c r="JH104" s="1667">
        <f t="shared" si="344"/>
        <v>0</v>
      </c>
      <c r="JJ104" s="1163">
        <f t="shared" ca="1" si="345"/>
        <v>0</v>
      </c>
      <c r="JK104" s="1163">
        <f t="shared" ca="1" si="346"/>
        <v>0</v>
      </c>
      <c r="JL104" s="1795"/>
      <c r="JN104" s="2505"/>
      <c r="JO104" s="1161"/>
      <c r="JP104" s="571">
        <f t="shared" ca="1" si="410"/>
        <v>0</v>
      </c>
      <c r="JQ104" s="2506"/>
      <c r="JR104" s="1953"/>
      <c r="JS104" s="2650"/>
      <c r="JT104" s="2507"/>
      <c r="JU104" s="1964">
        <f t="shared" si="347"/>
        <v>0.33450000000000002</v>
      </c>
      <c r="JV104" s="3199"/>
      <c r="JW104" s="2649">
        <f t="shared" si="348"/>
        <v>1.5</v>
      </c>
      <c r="JX104" s="1964">
        <f t="shared" si="168"/>
        <v>0.1565</v>
      </c>
      <c r="JY104" s="3199"/>
      <c r="JZ104" s="2649">
        <f t="shared" si="169"/>
        <v>0</v>
      </c>
      <c r="KA104" s="2649">
        <f t="shared" si="170"/>
        <v>0</v>
      </c>
      <c r="KB104" s="2649" t="s">
        <v>111</v>
      </c>
      <c r="KC104" s="1983"/>
      <c r="KD104" s="1974"/>
      <c r="KE104" s="1991"/>
      <c r="KF104" s="2029">
        <f t="shared" si="171"/>
        <v>0</v>
      </c>
      <c r="KG104" s="1991"/>
      <c r="KH104" s="2121">
        <f t="shared" si="349"/>
        <v>0</v>
      </c>
      <c r="KI104" s="2130">
        <f t="shared" si="350"/>
        <v>0</v>
      </c>
      <c r="KJ104" s="2130">
        <f t="shared" si="351"/>
        <v>0</v>
      </c>
      <c r="KK104" s="2130">
        <f t="shared" si="352"/>
        <v>0</v>
      </c>
      <c r="KL104" s="2131">
        <f t="shared" si="353"/>
        <v>0</v>
      </c>
      <c r="KM104" s="2132">
        <f t="shared" si="354"/>
        <v>0</v>
      </c>
      <c r="KN104" s="2132">
        <f t="shared" si="355"/>
        <v>0</v>
      </c>
      <c r="KO104" s="2132">
        <f t="shared" si="356"/>
        <v>0</v>
      </c>
      <c r="KP104" s="2132">
        <f t="shared" si="357"/>
        <v>0</v>
      </c>
      <c r="KQ104" s="2133">
        <f t="shared" si="358"/>
        <v>0</v>
      </c>
      <c r="KS104" s="2253">
        <f t="shared" si="359"/>
        <v>0</v>
      </c>
      <c r="KT104" s="2270">
        <f t="shared" ref="KT104:LB104" si="429">KS104*(1+(KT$60))</f>
        <v>0</v>
      </c>
      <c r="KU104" s="2271">
        <f t="shared" si="429"/>
        <v>0</v>
      </c>
      <c r="KV104" s="2271">
        <f t="shared" si="429"/>
        <v>0</v>
      </c>
      <c r="KW104" s="2272">
        <f t="shared" si="429"/>
        <v>0</v>
      </c>
      <c r="KX104" s="2271">
        <f t="shared" si="429"/>
        <v>0</v>
      </c>
      <c r="KY104" s="2271">
        <f t="shared" si="429"/>
        <v>0</v>
      </c>
      <c r="KZ104" s="2271">
        <f t="shared" si="429"/>
        <v>0</v>
      </c>
      <c r="LA104" s="2271">
        <f t="shared" si="429"/>
        <v>0</v>
      </c>
      <c r="LB104" s="2273">
        <f t="shared" si="429"/>
        <v>0</v>
      </c>
      <c r="LC104" s="749"/>
      <c r="LD104" s="2124">
        <f t="shared" si="361"/>
        <v>0</v>
      </c>
      <c r="LE104" s="2093">
        <f t="shared" si="362"/>
        <v>0</v>
      </c>
      <c r="LF104" s="2093">
        <f t="shared" si="363"/>
        <v>0</v>
      </c>
      <c r="LG104" s="2093">
        <f t="shared" si="364"/>
        <v>0</v>
      </c>
      <c r="LH104" s="2094">
        <f t="shared" si="365"/>
        <v>0</v>
      </c>
      <c r="LI104" s="2095">
        <f t="shared" si="366"/>
        <v>0</v>
      </c>
      <c r="LJ104" s="2095">
        <f t="shared" si="367"/>
        <v>0</v>
      </c>
      <c r="LK104" s="2095">
        <f t="shared" si="368"/>
        <v>0</v>
      </c>
      <c r="LL104" s="2095">
        <f t="shared" si="369"/>
        <v>0</v>
      </c>
      <c r="LM104" s="2096">
        <f t="shared" si="370"/>
        <v>0</v>
      </c>
      <c r="LN104" s="749"/>
      <c r="LO104" s="2256">
        <f t="shared" ca="1" si="371"/>
        <v>0</v>
      </c>
      <c r="LP104" s="2270">
        <f t="shared" ca="1" si="372"/>
        <v>0</v>
      </c>
      <c r="LQ104" s="2271">
        <f t="shared" ca="1" si="373"/>
        <v>0</v>
      </c>
      <c r="LR104" s="2271">
        <f t="shared" ca="1" si="374"/>
        <v>0</v>
      </c>
      <c r="LS104" s="2272">
        <f t="shared" ca="1" si="375"/>
        <v>0</v>
      </c>
      <c r="LT104" s="2271">
        <f t="shared" ca="1" si="376"/>
        <v>0</v>
      </c>
      <c r="LU104" s="2271">
        <f t="shared" ca="1" si="377"/>
        <v>0</v>
      </c>
      <c r="LV104" s="2271">
        <f t="shared" ca="1" si="378"/>
        <v>0</v>
      </c>
      <c r="LW104" s="2271">
        <f t="shared" ca="1" si="379"/>
        <v>0</v>
      </c>
      <c r="LX104" s="2273">
        <f t="shared" ca="1" si="380"/>
        <v>0</v>
      </c>
      <c r="LY104" s="479"/>
      <c r="LZ104" s="3128">
        <f t="shared" ca="1" si="173"/>
        <v>-1.73</v>
      </c>
      <c r="MA104" s="3129">
        <f t="shared" ca="1" si="174"/>
        <v>-1.73</v>
      </c>
      <c r="MB104" s="3129">
        <f t="shared" ca="1" si="175"/>
        <v>-1.73</v>
      </c>
      <c r="MC104" s="3129">
        <f t="shared" ca="1" si="176"/>
        <v>-1.73</v>
      </c>
      <c r="MD104" s="3130">
        <f t="shared" ca="1" si="177"/>
        <v>-1.73</v>
      </c>
      <c r="ME104" s="3129">
        <f t="shared" ca="1" si="178"/>
        <v>-1.73</v>
      </c>
      <c r="MF104" s="3129">
        <f t="shared" ca="1" si="179"/>
        <v>-1.73</v>
      </c>
      <c r="MG104" s="3129">
        <f t="shared" ca="1" si="180"/>
        <v>-1.73</v>
      </c>
      <c r="MH104" s="3129">
        <f t="shared" ca="1" si="181"/>
        <v>-1.73</v>
      </c>
      <c r="MI104" s="3131">
        <f t="shared" ca="1" si="182"/>
        <v>-1.73</v>
      </c>
      <c r="MJ104" s="3201"/>
      <c r="MK104" s="3206">
        <f t="shared" ca="1" si="183"/>
        <v>0</v>
      </c>
      <c r="ML104" s="3207">
        <f t="shared" ca="1" si="184"/>
        <v>0</v>
      </c>
      <c r="MM104" s="3207">
        <f t="shared" ca="1" si="185"/>
        <v>0</v>
      </c>
      <c r="MN104" s="3207">
        <f t="shared" ca="1" si="186"/>
        <v>0</v>
      </c>
      <c r="MO104" s="3208">
        <f t="shared" ca="1" si="187"/>
        <v>0</v>
      </c>
      <c r="MP104" s="3207">
        <f t="shared" ca="1" si="188"/>
        <v>0</v>
      </c>
      <c r="MQ104" s="3207">
        <f t="shared" ca="1" si="189"/>
        <v>0</v>
      </c>
      <c r="MR104" s="3207">
        <f t="shared" ca="1" si="190"/>
        <v>0</v>
      </c>
      <c r="MS104" s="3207">
        <f t="shared" ca="1" si="191"/>
        <v>0</v>
      </c>
      <c r="MT104" s="3209">
        <f t="shared" ca="1" si="192"/>
        <v>0</v>
      </c>
      <c r="MU104" s="1983"/>
      <c r="MV104" s="1975"/>
      <c r="MW104" s="1991"/>
      <c r="MX104" s="1931">
        <f t="shared" si="381"/>
        <v>0</v>
      </c>
      <c r="MY104" s="749"/>
      <c r="MZ104" s="1934">
        <f t="shared" si="382"/>
        <v>0</v>
      </c>
      <c r="NA104" s="1935"/>
      <c r="NB104" s="2652">
        <f t="shared" si="383"/>
        <v>0</v>
      </c>
      <c r="NC104" s="479"/>
      <c r="ND104" s="2749" t="str">
        <f t="shared" si="384"/>
        <v/>
      </c>
      <c r="NE104" s="2717"/>
      <c r="NF104" s="1975"/>
      <c r="NG104" s="1975"/>
      <c r="NH104" s="1975"/>
      <c r="NI104" s="1975"/>
    </row>
    <row r="105" spans="1:373" s="192" customFormat="1" ht="15.9" customHeight="1" x14ac:dyDescent="0.3">
      <c r="A105" s="200"/>
      <c r="B105" s="200"/>
      <c r="C105" s="200"/>
      <c r="D105" s="200"/>
      <c r="E105" s="200"/>
      <c r="F105" s="200"/>
      <c r="G105" s="200"/>
      <c r="H105" s="200"/>
      <c r="I105" s="200"/>
      <c r="J105" s="200"/>
      <c r="K105" s="200"/>
      <c r="L105" s="200"/>
      <c r="M105" s="200"/>
      <c r="N105" s="200"/>
      <c r="O105" s="200"/>
      <c r="P105" s="1539"/>
      <c r="Q105" s="1539"/>
      <c r="R105" s="198"/>
      <c r="S105" s="1539"/>
      <c r="T105" s="201"/>
      <c r="U105" s="200"/>
      <c r="V105" s="201">
        <f>MATCH($IC105,'3b Activity Plan'!$DJ$171:$FH$171,0)</f>
        <v>42</v>
      </c>
      <c r="W105" s="201">
        <f>IFERROR(INDEX('3b Activity Plan'!$DJ$6:$FH$6,V105),0)</f>
        <v>0</v>
      </c>
      <c r="X105" s="1768"/>
      <c r="Y105" s="1768">
        <f>IFERROR(INDEX('3b Activity Plan'!$DJ$7:$FH$7,V105),0)</f>
        <v>0</v>
      </c>
      <c r="Z105" s="201"/>
      <c r="AA105" s="201">
        <f>IFERROR(INDEX('3b Activity Plan'!$DJ$34:$FH$34,$V105),0)</f>
        <v>0</v>
      </c>
      <c r="AB105" s="201">
        <f>IFERROR(INDEX('3b Activity Plan'!$DJ$35:$FH$35,$V105),0)</f>
        <v>0</v>
      </c>
      <c r="AC105" s="201">
        <f>IFERROR(INDEX('3b Activity Plan'!$DJ$36:$FH$36,$V105),0)</f>
        <v>0</v>
      </c>
      <c r="AD105" s="201">
        <f>IFERROR(INDEX('3b Activity Plan'!$DJ$37:$FH$37,$V105),0)</f>
        <v>0</v>
      </c>
      <c r="AE105" s="201">
        <f>IFERROR(INDEX('3b Activity Plan'!$DJ$38:$FH$38,$V105),0)</f>
        <v>0</v>
      </c>
      <c r="AF105" s="201">
        <f>IFERROR(INDEX('3b Activity Plan'!$DJ$39:$FH$39,$V105),0)</f>
        <v>0</v>
      </c>
      <c r="AG105" s="201">
        <f>IFERROR(INDEX('3b Activity Plan'!$DJ$40:$FH$40,$V105),0)</f>
        <v>0</v>
      </c>
      <c r="AH105" s="201">
        <f>IFERROR(INDEX('3b Activity Plan'!$DJ$41:$FH$41,$V105),0)</f>
        <v>0</v>
      </c>
      <c r="AI105" s="201">
        <f>IFERROR(INDEX('3b Activity Plan'!$DJ$42:$FH$42,$V105),0)</f>
        <v>0</v>
      </c>
      <c r="AJ105" s="201">
        <f>IFERROR(INDEX('3b Activity Plan'!$DJ$43:$FH$43,$V105),0)</f>
        <v>0</v>
      </c>
      <c r="AK105" s="201"/>
      <c r="AL105" s="201">
        <f>SUMIFS('3a Staff Plan'!$AR$129:$AR$305,'3a Staff Plan'!$DY$129:$DY$305,$IA105,'3a Staff Plan'!$DF$129:$DF$305,1)</f>
        <v>0</v>
      </c>
      <c r="AM105" s="1768"/>
      <c r="AN105" s="1768">
        <f>SUMIFS('3a Staff Plan'!$AR$129:$AR$305,'3a Staff Plan'!$DY$129:$DY$305,$IA105,'3a Staff Plan'!$CV$129:$CV$305,1)</f>
        <v>0</v>
      </c>
      <c r="AO105" s="201"/>
      <c r="AP105" s="201">
        <f>SUMIFS('3a Staff Plan'!$AS$129:$AS$305,'3a Staff Plan'!$DY$129:$DY$305,$IA105,'3a Staff Plan'!$DF$129:$DF$305,1)</f>
        <v>0</v>
      </c>
      <c r="AQ105" s="201">
        <f>SUMIFS('3a Staff Plan'!$AT$129:$AT$305,'3a Staff Plan'!$DY$129:$DY$305,$IA105,'3a Staff Plan'!$DF$129:$DF$305,1)</f>
        <v>0</v>
      </c>
      <c r="AR105" s="201">
        <f>SUMIFS('3a Staff Plan'!$AU$129:$AU$305,'3a Staff Plan'!$DY$129:$DY$305,$IA105,'3a Staff Plan'!$DF$129:$DF$305,1)</f>
        <v>0</v>
      </c>
      <c r="AS105" s="201">
        <f>SUMIFS('3a Staff Plan'!$AV$129:$AV$305,'3a Staff Plan'!$DY$129:$DY$305,$IA105,'3a Staff Plan'!$DF$129:$DF$305,1)</f>
        <v>0</v>
      </c>
      <c r="AT105" s="201">
        <f>SUMIFS('3a Staff Plan'!$AW$129:$AW$305,'3a Staff Plan'!$DY$129:$DY$305,$IA105,'3a Staff Plan'!$DF$129:$DF$305,1)</f>
        <v>0</v>
      </c>
      <c r="AU105" s="201">
        <f>SUMIFS('3a Staff Plan'!$AX$129:$AX$305,'3a Staff Plan'!$DY$129:$DY$305,$IA105,'3a Staff Plan'!$DF$129:$DF$305,1)</f>
        <v>0</v>
      </c>
      <c r="AV105" s="201">
        <f>SUMIFS('3a Staff Plan'!$AY$129:$AY$305,'3a Staff Plan'!$DY$129:$DY$305,$IA105,'3a Staff Plan'!$DF$129:$DF$305,1)</f>
        <v>0</v>
      </c>
      <c r="AW105" s="201">
        <f>SUMIFS('3a Staff Plan'!$AZ$129:$AZ$305,'3a Staff Plan'!$DY$129:$DY$305,$IA105,'3a Staff Plan'!$DF$129:$DF$305,1)</f>
        <v>0</v>
      </c>
      <c r="AX105" s="201">
        <f>SUMIFS('3a Staff Plan'!$BA$129:$BA$305,'3a Staff Plan'!$DY$129:$DY$305,$IA105,'3a Staff Plan'!$DF$129:$DF$305,1)</f>
        <v>0</v>
      </c>
      <c r="AY105" s="201">
        <f>SUMIFS('3a Staff Plan'!$BB$129:$BB$305,'3a Staff Plan'!$DY$129:$DY$305,$IA105,'3a Staff Plan'!$DF$129:$DF$305,1)</f>
        <v>0</v>
      </c>
      <c r="AZ105" s="201"/>
      <c r="BA105" s="201">
        <f t="shared" si="415"/>
        <v>0</v>
      </c>
      <c r="BB105" s="1768"/>
      <c r="BC105" s="1768">
        <f t="shared" si="416"/>
        <v>0</v>
      </c>
      <c r="BD105" s="201"/>
      <c r="BE105" s="201">
        <f t="shared" si="417"/>
        <v>0</v>
      </c>
      <c r="BF105" s="201">
        <f t="shared" si="418"/>
        <v>0</v>
      </c>
      <c r="BG105" s="201">
        <f t="shared" si="419"/>
        <v>0</v>
      </c>
      <c r="BH105" s="201">
        <f t="shared" si="420"/>
        <v>0</v>
      </c>
      <c r="BI105" s="201">
        <f t="shared" si="421"/>
        <v>0</v>
      </c>
      <c r="BJ105" s="201">
        <f t="shared" si="205"/>
        <v>0</v>
      </c>
      <c r="BK105" s="201">
        <f t="shared" si="206"/>
        <v>0</v>
      </c>
      <c r="BL105" s="201">
        <f t="shared" si="207"/>
        <v>0</v>
      </c>
      <c r="BM105" s="201">
        <f t="shared" si="208"/>
        <v>0</v>
      </c>
      <c r="BN105" s="201">
        <f t="shared" si="209"/>
        <v>0</v>
      </c>
      <c r="BO105" s="201"/>
      <c r="BP105" s="1818">
        <f t="shared" si="146"/>
        <v>42</v>
      </c>
      <c r="BQ105" s="1818">
        <f>IFERROR(INDEX('3b Activity Plan'!$DJ$15:$FH$15,BP105),0)</f>
        <v>0</v>
      </c>
      <c r="BR105" s="1768"/>
      <c r="BS105" s="1768">
        <f>IFERROR(INDEX('3b Activity Plan'!$DJ$16:$FH$16,BP105),0)</f>
        <v>0</v>
      </c>
      <c r="BT105" s="201"/>
      <c r="BU105" s="201">
        <f>IFERROR(INDEX('3b Activity Plan'!$DJ$67:$FH$67,$V105),0)</f>
        <v>0</v>
      </c>
      <c r="BV105" s="201">
        <f>IFERROR(INDEX('3b Activity Plan'!$DJ$68:$FH$68,$V105),0)</f>
        <v>0</v>
      </c>
      <c r="BW105" s="201">
        <f>IFERROR(INDEX('3b Activity Plan'!$DJ$69:$FH$69,$V105),0)</f>
        <v>0</v>
      </c>
      <c r="BX105" s="201">
        <f>IFERROR(INDEX('3b Activity Plan'!$DJ$70:$FH$70,$V105),0)</f>
        <v>0</v>
      </c>
      <c r="BY105" s="201">
        <f>IFERROR(INDEX('3b Activity Plan'!$DJ$71:$FH$71,$V105),0)</f>
        <v>0</v>
      </c>
      <c r="BZ105" s="201">
        <f>IFERROR(INDEX('3b Activity Plan'!$DJ$72:$FH$72,$V105),0)</f>
        <v>0</v>
      </c>
      <c r="CA105" s="201">
        <f>IFERROR(INDEX('3b Activity Plan'!$DJ$73:$FH$73,$V105),0)</f>
        <v>0</v>
      </c>
      <c r="CB105" s="201">
        <f>IFERROR(INDEX('3b Activity Plan'!$DJ$74:$FH$74,$V105),0)</f>
        <v>0</v>
      </c>
      <c r="CC105" s="201">
        <f>IFERROR(INDEX('3b Activity Plan'!$DJ$75:$FH$75,$V105),0)</f>
        <v>0</v>
      </c>
      <c r="CD105" s="201">
        <f>IFERROR(INDEX('3b Activity Plan'!$DJ$76:$FH$76,$V105),0)</f>
        <v>0</v>
      </c>
      <c r="CE105" s="201"/>
      <c r="CF105" s="1818">
        <f>SUMIFS('3a Staff Plan'!$AR$129:$AR$305,'3a Staff Plan'!$DY$129:$DY$305,$IA105,'3a Staff Plan'!$AG$129:$AG$305,1,'3a Staff Plan'!$DF$129:$DF$305,1)</f>
        <v>0</v>
      </c>
      <c r="CG105" s="1768">
        <f>SUMIFS('3a Staff Plan'!$AR$129:$AR$305,'3a Staff Plan'!$DY$129:$DY$305,$IA105,'3a Staff Plan'!$AG$129:$AG$305,1,'3a Staff Plan'!$CX$129:$CX$305,1)</f>
        <v>0</v>
      </c>
      <c r="CH105" s="1768">
        <f>SUMIFS('3a Staff Plan'!$AR$129:$AR$305,'3a Staff Plan'!$DY$129:$DY$305,$IA105,'3a Staff Plan'!$AG$129:$AG$305,1,'3a Staff Plan'!$CV$129:$CV$305,1)</f>
        <v>0</v>
      </c>
      <c r="CI105" s="201"/>
      <c r="CJ105" s="201">
        <f>SUMIFS('3a Staff Plan'!$BX$129:$BX$305,'3a Staff Plan'!$DY$129:$DY$305,$IA105,'3a Staff Plan'!$DF$129:$DF$305,1,'3a Staff Plan'!$AG$129:$AG$305,1)</f>
        <v>0</v>
      </c>
      <c r="CK105" s="201">
        <f>SUMIFS('3a Staff Plan'!$BY$129:$BY$305,'3a Staff Plan'!$DY$129:$DY$305,$IA105,'3a Staff Plan'!$DF$129:$DF$305,1,'3a Staff Plan'!$AG$129:$AG$305,1)</f>
        <v>0</v>
      </c>
      <c r="CL105" s="201">
        <f>SUMIFS('3a Staff Plan'!$BZ$129:$BZ$305,'3a Staff Plan'!$DY$129:$DY$305,$IA105,'3a Staff Plan'!$DF$129:$DF$305,1,'3a Staff Plan'!$AG$129:$AG$305,1)</f>
        <v>0</v>
      </c>
      <c r="CM105" s="201">
        <f>SUMIFS('3a Staff Plan'!$CA$129:$CA$305,'3a Staff Plan'!$DY$129:$DY$305,$IA105,'3a Staff Plan'!$DF$129:$DF$305,1,'3a Staff Plan'!$AG$129:$AG$305,1)</f>
        <v>0</v>
      </c>
      <c r="CN105" s="201">
        <f>SUMIFS('3a Staff Plan'!$CB$129:$CB$305,'3a Staff Plan'!$DY$129:$DY$305,$IA105,'3a Staff Plan'!$DF$129:$DF$305,1,'3a Staff Plan'!$AG$129:$AG$305,1)</f>
        <v>0</v>
      </c>
      <c r="CO105" s="201">
        <f>SUMIFS('3a Staff Plan'!$CC$129:$CC$305,'3a Staff Plan'!$DY$129:$DY$305,$IA105,'3a Staff Plan'!$DF$129:$DF$305,1,'3a Staff Plan'!$AG$129:$AG$305,1)</f>
        <v>0</v>
      </c>
      <c r="CP105" s="201">
        <f>SUMIFS('3a Staff Plan'!$CD$129:$CD$305,'3a Staff Plan'!$DY$129:$DY$305,$IA105,'3a Staff Plan'!$DF$129:$DF$305,1,'3a Staff Plan'!$AG$129:$AG$305,1)</f>
        <v>0</v>
      </c>
      <c r="CQ105" s="201">
        <f>SUMIFS('3a Staff Plan'!$CE$129:$CE$305,'3a Staff Plan'!$DY$129:$DY$305,$IA105,'3a Staff Plan'!$DF$129:$DF$305,1,'3a Staff Plan'!$AG$129:$AG$305,1)</f>
        <v>0</v>
      </c>
      <c r="CR105" s="201">
        <f>SUMIFS('3a Staff Plan'!$CF$129:$CF$305,'3a Staff Plan'!$DY$129:$DY$305,$IA105,'3a Staff Plan'!$DF$129:$DF$305,1,'3a Staff Plan'!$AG$129:$AG$305,1)</f>
        <v>0</v>
      </c>
      <c r="CS105" s="201">
        <f>SUMIFS('3a Staff Plan'!$CG$129:$CG$305,'3a Staff Plan'!$DY$129:$DY$305,$IA105,'3a Staff Plan'!$DF$129:$DF$305,1,'3a Staff Plan'!$AG$129:$AG$305,1)</f>
        <v>0</v>
      </c>
      <c r="CT105" s="201"/>
      <c r="CU105" s="1818">
        <f t="shared" si="210"/>
        <v>0</v>
      </c>
      <c r="CV105" s="1768"/>
      <c r="CW105" s="1768">
        <f t="shared" si="211"/>
        <v>0</v>
      </c>
      <c r="CX105" s="201"/>
      <c r="CY105" s="201">
        <f t="shared" si="212"/>
        <v>0</v>
      </c>
      <c r="CZ105" s="201">
        <f t="shared" si="213"/>
        <v>0</v>
      </c>
      <c r="DA105" s="201">
        <f t="shared" si="214"/>
        <v>0</v>
      </c>
      <c r="DB105" s="201">
        <f t="shared" si="215"/>
        <v>0</v>
      </c>
      <c r="DC105" s="201">
        <f t="shared" si="216"/>
        <v>0</v>
      </c>
      <c r="DD105" s="201">
        <f t="shared" si="217"/>
        <v>0</v>
      </c>
      <c r="DE105" s="201">
        <f t="shared" si="218"/>
        <v>0</v>
      </c>
      <c r="DF105" s="201">
        <f t="shared" si="219"/>
        <v>0</v>
      </c>
      <c r="DG105" s="201">
        <f t="shared" si="220"/>
        <v>0</v>
      </c>
      <c r="DH105" s="201">
        <f t="shared" si="221"/>
        <v>0</v>
      </c>
      <c r="DI105" s="201"/>
      <c r="DJ105" s="201"/>
      <c r="DK105" s="201"/>
      <c r="DL105" s="201"/>
      <c r="DM105" s="372">
        <f t="shared" ca="1" si="283"/>
        <v>0</v>
      </c>
      <c r="DN105" s="1185">
        <f t="shared" si="284"/>
        <v>0</v>
      </c>
      <c r="DO105" s="1185">
        <f t="shared" si="285"/>
        <v>0</v>
      </c>
      <c r="DP105" s="201"/>
      <c r="DQ105" s="372">
        <f t="shared" ca="1" si="286"/>
        <v>0</v>
      </c>
      <c r="DR105" s="1185">
        <f t="shared" si="287"/>
        <v>0</v>
      </c>
      <c r="DS105" s="1185">
        <f t="shared" si="288"/>
        <v>0</v>
      </c>
      <c r="DT105" s="201"/>
      <c r="DU105" s="372">
        <f t="shared" ca="1" si="289"/>
        <v>0</v>
      </c>
      <c r="DV105" s="372">
        <f t="shared" si="290"/>
        <v>0</v>
      </c>
      <c r="DW105" s="372">
        <f t="shared" si="290"/>
        <v>0</v>
      </c>
      <c r="DX105" s="201"/>
      <c r="DY105" s="372">
        <f t="shared" si="291"/>
        <v>0</v>
      </c>
      <c r="DZ105" s="372">
        <f t="shared" ca="1" si="292"/>
        <v>0</v>
      </c>
      <c r="EA105" s="201"/>
      <c r="EB105" s="2776">
        <f>IF(EO105=$EO$53,1,IFERROR(INDEX('Currency Data'!$L$8:$L$41,MATCH(EO105,'Currency Data'!$H$8:$H$41,0)),1))</f>
        <v>1</v>
      </c>
      <c r="EC105" s="2776">
        <f t="shared" si="422"/>
        <v>1</v>
      </c>
      <c r="ED105" s="428">
        <f>IF(GQ105=1,'1 Setup'!$T$68,IF(ISBLANK(IJ105),II105/EC105*IF(GL105=1,$ED$53,1),IJ105/EC105)*IF($EW105=7,JW105,1))</f>
        <v>0</v>
      </c>
      <c r="EE105" s="428">
        <f t="shared" si="293"/>
        <v>0</v>
      </c>
      <c r="EF105" s="428"/>
      <c r="EG105" s="1965" t="str">
        <f t="shared" si="148"/>
        <v>031500 - Highways UK</v>
      </c>
      <c r="EH105" s="201">
        <f t="shared" si="149"/>
        <v>1</v>
      </c>
      <c r="EI105" s="445" t="str">
        <f>IF(EH105=1,$EI$53,IF(GQ105=1,$GQ$55,IFERROR(IF($EG105=$EG$53,$EI$53,INDEX('PU List'!$G$6:$G$413,MATCH($EG105,'PU List'!$D$6:$D$413,0))),$EI$53)))</f>
        <v>GB - BIAF</v>
      </c>
      <c r="EJ105" s="2773" t="str">
        <f t="shared" si="150"/>
        <v>GB - BIAF</v>
      </c>
      <c r="EK105" s="1768"/>
      <c r="EL105" s="3283">
        <f>IF(OR(EW105&gt;7,$EL$53=0),0,IF(EJ105=$EI$53,$EL$53,IFERROR(INDEX('Fringe Data'!$U$8:$U$129,MATCH($EJ105,'Fringe Data'!$F$8:$F$129,0)),0)))</f>
        <v>1.73</v>
      </c>
      <c r="EM105" s="372">
        <f t="shared" si="294"/>
        <v>0</v>
      </c>
      <c r="EN105" s="201" t="str">
        <f>IFERROR(INDEX('Fringe Data'!$G$8:$G$64,MATCH($EJ105,'Fringe Data'!$F$8:$F$64,0)),$EO$53)</f>
        <v>GBP</v>
      </c>
      <c r="EO105" s="201" t="str">
        <f t="shared" si="151"/>
        <v>GBP</v>
      </c>
      <c r="EP105" s="201">
        <f>IF(EI105=$EI$53,$EP$49,IF(GP105=1,0,IFERROR(INDEX('Fringe Data'!$K$8:$K$64,MATCH($EI105,'Fringe Data'!$F$8:$F$64,0)),0)))</f>
        <v>0.52</v>
      </c>
      <c r="EQ105" s="201">
        <f>IF(EI105=$EI$53,$EQ$49,IF(GP105=1,0,IFERROR(INDEX('Fringe Data'!$L$8:$L$64,MATCH($EI105,'Fringe Data'!$F$8:$F$64,0)),0)))</f>
        <v>1.8499999999999999E-2</v>
      </c>
      <c r="ER105" s="201">
        <f>IF(EI105=$EI$53,$ER$49,IF(GP105=1,0,IFERROR(INDEX('Fringe Data'!$M$8:$M$64,MATCH($EI105,'Fringe Data'!$F$8:$F$64,0)),0)))</f>
        <v>0.43430000000000002</v>
      </c>
      <c r="ES105" s="201">
        <f>IF(EI105=$EI$53,$ES$49,IF(GP105=1,0,IFERROR(INDEX('Fringe Data'!$N$8:$N$64,MATCH($EI105,'Fringe Data'!$F$8:$F$64,0)),0)))</f>
        <v>0.1565</v>
      </c>
      <c r="ET105" s="201">
        <f>IF(EI105=$EI$53,$ET$49,IF(GP105=1,0,IFERROR(INDEX('Fringe Data'!$O$8:$O$64,MATCH($EI105,'Fringe Data'!$F$8:$F$64,0)),0)))</f>
        <v>0.33450000000000002</v>
      </c>
      <c r="EU105" s="263">
        <f>IF(EI105=$EI$53,$EU$49,IF(GP105=1,0,IFERROR(INDEX('Fringe Data'!$P$8:$P$64,MATCH($EI105,'Fringe Data'!$F$8:$F$64,0)),0)))</f>
        <v>0.1565</v>
      </c>
      <c r="EV105" s="201"/>
      <c r="EW105" s="1530">
        <f t="shared" si="295"/>
        <v>1</v>
      </c>
      <c r="EX105" s="1534">
        <f t="shared" si="152"/>
        <v>0.52</v>
      </c>
      <c r="EY105" s="321">
        <f t="shared" si="153"/>
        <v>0</v>
      </c>
      <c r="EZ105" s="201">
        <f t="shared" si="154"/>
        <v>0</v>
      </c>
      <c r="FA105" s="372">
        <f t="shared" si="296"/>
        <v>0</v>
      </c>
      <c r="FB105" s="372">
        <f t="shared" si="297"/>
        <v>0</v>
      </c>
      <c r="FC105" s="201">
        <f t="shared" ca="1" si="155"/>
        <v>0</v>
      </c>
      <c r="FD105" s="423">
        <f t="shared" si="298"/>
        <v>0</v>
      </c>
      <c r="FE105" s="423">
        <f t="shared" si="299"/>
        <v>0</v>
      </c>
      <c r="FF105" s="201">
        <f t="shared" si="156"/>
        <v>0</v>
      </c>
      <c r="FG105" s="425">
        <f>IF(OR($FJ$52=3,$FJ$52=4,$FJ$52=5),'1 Setup'!$W$96,0)</f>
        <v>0</v>
      </c>
      <c r="FH105" s="428">
        <f>IF($FJ$52=5,'1 Setup'!$W$98,IF($FJ$52=6,'1 Setup'!$S$86,0))</f>
        <v>0</v>
      </c>
      <c r="FI105" s="321">
        <f t="shared" ca="1" si="300"/>
        <v>0</v>
      </c>
      <c r="FJ105" s="263">
        <f t="shared" ca="1" si="157"/>
        <v>0</v>
      </c>
      <c r="FK105" s="372">
        <f t="shared" ca="1" si="301"/>
        <v>0</v>
      </c>
      <c r="FL105" s="372">
        <f t="shared" si="302"/>
        <v>0</v>
      </c>
      <c r="FM105" s="372">
        <f t="shared" si="303"/>
        <v>0</v>
      </c>
      <c r="FN105" s="2036">
        <f t="shared" ca="1" si="304"/>
        <v>0</v>
      </c>
      <c r="FO105" s="372">
        <f t="shared" ca="1" si="224"/>
        <v>0</v>
      </c>
      <c r="FP105" s="2723">
        <f t="shared" si="158"/>
        <v>0</v>
      </c>
      <c r="FQ105" s="372">
        <f t="shared" si="305"/>
        <v>0</v>
      </c>
      <c r="FR105" s="372">
        <f t="shared" si="159"/>
        <v>0</v>
      </c>
      <c r="FS105" s="1168"/>
      <c r="FT105" s="1168">
        <f t="shared" si="306"/>
        <v>0</v>
      </c>
      <c r="FU105" s="1168">
        <f t="shared" si="307"/>
        <v>0</v>
      </c>
      <c r="FV105" s="1168">
        <f t="shared" si="308"/>
        <v>0</v>
      </c>
      <c r="FW105" s="1168">
        <f t="shared" si="309"/>
        <v>0</v>
      </c>
      <c r="FX105" s="1168">
        <f t="shared" si="310"/>
        <v>0</v>
      </c>
      <c r="FY105" s="1168">
        <f t="shared" si="311"/>
        <v>0</v>
      </c>
      <c r="FZ105" s="1168">
        <f t="shared" si="312"/>
        <v>0</v>
      </c>
      <c r="GA105" s="1168">
        <f t="shared" si="313"/>
        <v>0</v>
      </c>
      <c r="GB105" s="1168">
        <f t="shared" si="314"/>
        <v>0</v>
      </c>
      <c r="GC105" s="1168">
        <f t="shared" si="315"/>
        <v>0</v>
      </c>
      <c r="GD105" s="1168"/>
      <c r="GE105" s="199"/>
      <c r="GF105" s="201">
        <f t="shared" si="316"/>
        <v>0</v>
      </c>
      <c r="GG105" s="201">
        <f t="shared" si="317"/>
        <v>0</v>
      </c>
      <c r="GH105" s="201">
        <f t="shared" si="318"/>
        <v>0</v>
      </c>
      <c r="GI105" s="201">
        <f t="shared" ca="1" si="160"/>
        <v>0</v>
      </c>
      <c r="GJ105" s="201">
        <f t="shared" si="319"/>
        <v>0</v>
      </c>
      <c r="GK105" s="201">
        <f t="shared" si="320"/>
        <v>0</v>
      </c>
      <c r="GL105" s="201">
        <f t="shared" si="321"/>
        <v>1</v>
      </c>
      <c r="GM105" s="201">
        <f t="shared" si="322"/>
        <v>1</v>
      </c>
      <c r="GN105" s="201"/>
      <c r="GO105" s="201"/>
      <c r="GP105" s="201">
        <f t="shared" si="323"/>
        <v>0</v>
      </c>
      <c r="GQ105" s="201">
        <f t="shared" si="324"/>
        <v>0</v>
      </c>
      <c r="GR105" s="201">
        <f t="shared" si="161"/>
        <v>0</v>
      </c>
      <c r="GS105" s="1768"/>
      <c r="GT105" s="201">
        <f t="shared" si="325"/>
        <v>1</v>
      </c>
      <c r="GU105" s="201">
        <f t="shared" si="193"/>
        <v>42</v>
      </c>
      <c r="GV105" s="201">
        <f t="shared" si="326"/>
        <v>0</v>
      </c>
      <c r="GW105" s="201">
        <f t="shared" si="327"/>
        <v>3</v>
      </c>
      <c r="GX105" s="201">
        <f t="shared" si="162"/>
        <v>0</v>
      </c>
      <c r="GY105" s="1998"/>
      <c r="GZ105" s="253"/>
      <c r="HA105" s="195">
        <f t="shared" si="423"/>
        <v>0</v>
      </c>
      <c r="HB105" s="3558">
        <f t="shared" si="424"/>
        <v>0</v>
      </c>
      <c r="HC105" s="3590"/>
      <c r="HD105" s="257" t="str">
        <f t="shared" si="328"/>
        <v/>
      </c>
      <c r="HE105" s="825">
        <f t="shared" si="329"/>
        <v>0</v>
      </c>
      <c r="HF105" s="506" t="s">
        <v>5</v>
      </c>
      <c r="HG105" s="508">
        <f t="shared" ca="1" si="330"/>
        <v>0</v>
      </c>
      <c r="HH105" s="3585">
        <f t="shared" si="331"/>
        <v>0</v>
      </c>
      <c r="HI105" s="3586"/>
      <c r="HJ105" s="967">
        <f t="shared" ca="1" si="425"/>
        <v>0</v>
      </c>
      <c r="HK105" s="456">
        <f t="shared" ca="1" si="226"/>
        <v>0</v>
      </c>
      <c r="HL105" s="3591">
        <f t="shared" ca="1" si="426"/>
        <v>0</v>
      </c>
      <c r="HM105" s="3592"/>
      <c r="HN105" s="240"/>
      <c r="HO105" s="1998"/>
      <c r="HP105" s="1991"/>
      <c r="HQ105" s="2770" t="str">
        <f t="shared" si="332"/>
        <v>GB - BIAF</v>
      </c>
      <c r="HR105" s="2770" t="str">
        <f t="shared" si="333"/>
        <v>GBP</v>
      </c>
      <c r="HS105" s="2771">
        <f t="shared" si="334"/>
        <v>1</v>
      </c>
      <c r="HT105" s="3623"/>
      <c r="HU105" s="2771">
        <f t="shared" si="335"/>
        <v>1.73</v>
      </c>
      <c r="HW105" s="1218"/>
      <c r="HX105" s="520"/>
      <c r="HY105" s="2523"/>
      <c r="HZ105" s="194"/>
      <c r="IA105" s="1013"/>
      <c r="IB105" s="193"/>
      <c r="IC105" s="3276">
        <v>42</v>
      </c>
      <c r="ID105" s="986"/>
      <c r="IE105" s="938">
        <f t="shared" si="164"/>
        <v>0</v>
      </c>
      <c r="IF105" s="938">
        <f t="shared" si="165"/>
        <v>0</v>
      </c>
      <c r="IG105" s="432"/>
      <c r="II105" s="405"/>
      <c r="IJ105" s="239"/>
      <c r="IK105" s="2774" t="str">
        <f t="shared" si="166"/>
        <v>GBP</v>
      </c>
      <c r="IL105" s="2148"/>
      <c r="IM105" s="1936">
        <f t="shared" si="336"/>
        <v>0</v>
      </c>
      <c r="IO105" s="1959" t="str">
        <f t="shared" si="337"/>
        <v/>
      </c>
      <c r="IP105" s="1958"/>
      <c r="IQ105" s="543">
        <f t="shared" si="338"/>
        <v>0.52</v>
      </c>
      <c r="IR105" s="1936">
        <f t="shared" si="339"/>
        <v>0</v>
      </c>
      <c r="IT105" s="1364"/>
      <c r="IU105" s="210"/>
      <c r="IV105" s="218"/>
      <c r="IW105" s="1938">
        <f ca="1">IF(NOT(ISBLANK(IU105)),IU105,IF('1 Setup'!$G$8&lt;7,JK105,FJ105))+KA105</f>
        <v>0</v>
      </c>
      <c r="IX105" s="409">
        <f t="shared" si="340"/>
        <v>0</v>
      </c>
      <c r="IY105" s="408">
        <f t="shared" si="341"/>
        <v>0</v>
      </c>
      <c r="IZ105" s="1983"/>
      <c r="JA105" s="1994"/>
      <c r="JB105" s="1991"/>
      <c r="JD105" s="2029">
        <f t="shared" si="167"/>
        <v>0</v>
      </c>
      <c r="JE105" s="479"/>
      <c r="JF105" s="2025">
        <f t="shared" si="342"/>
        <v>0</v>
      </c>
      <c r="JG105" s="429">
        <f t="shared" si="343"/>
        <v>0</v>
      </c>
      <c r="JH105" s="1667">
        <f t="shared" si="344"/>
        <v>0</v>
      </c>
      <c r="JJ105" s="1163">
        <f t="shared" ca="1" si="345"/>
        <v>0</v>
      </c>
      <c r="JK105" s="1163">
        <f t="shared" ca="1" si="346"/>
        <v>0</v>
      </c>
      <c r="JL105" s="1795"/>
      <c r="JN105" s="2505"/>
      <c r="JO105" s="1161"/>
      <c r="JP105" s="571">
        <f t="shared" ca="1" si="410"/>
        <v>0</v>
      </c>
      <c r="JQ105" s="2506"/>
      <c r="JR105" s="1953"/>
      <c r="JS105" s="2650"/>
      <c r="JT105" s="2507"/>
      <c r="JU105" s="1964">
        <f t="shared" si="347"/>
        <v>0.33450000000000002</v>
      </c>
      <c r="JV105" s="3199"/>
      <c r="JW105" s="2649">
        <f t="shared" si="348"/>
        <v>1.5</v>
      </c>
      <c r="JX105" s="1964">
        <f t="shared" si="168"/>
        <v>0.1565</v>
      </c>
      <c r="JY105" s="3199"/>
      <c r="JZ105" s="2649">
        <f t="shared" si="169"/>
        <v>0</v>
      </c>
      <c r="KA105" s="2649">
        <f t="shared" si="170"/>
        <v>0</v>
      </c>
      <c r="KB105" s="2649" t="s">
        <v>111</v>
      </c>
      <c r="KC105" s="1983"/>
      <c r="KD105" s="1974"/>
      <c r="KE105" s="1991"/>
      <c r="KF105" s="2029">
        <f t="shared" si="171"/>
        <v>0</v>
      </c>
      <c r="KG105" s="1991"/>
      <c r="KH105" s="2121">
        <f t="shared" si="349"/>
        <v>0</v>
      </c>
      <c r="KI105" s="2130">
        <f t="shared" si="350"/>
        <v>0</v>
      </c>
      <c r="KJ105" s="2130">
        <f t="shared" si="351"/>
        <v>0</v>
      </c>
      <c r="KK105" s="2130">
        <f t="shared" si="352"/>
        <v>0</v>
      </c>
      <c r="KL105" s="2131">
        <f t="shared" si="353"/>
        <v>0</v>
      </c>
      <c r="KM105" s="2132">
        <f t="shared" si="354"/>
        <v>0</v>
      </c>
      <c r="KN105" s="2132">
        <f t="shared" si="355"/>
        <v>0</v>
      </c>
      <c r="KO105" s="2132">
        <f t="shared" si="356"/>
        <v>0</v>
      </c>
      <c r="KP105" s="2132">
        <f t="shared" si="357"/>
        <v>0</v>
      </c>
      <c r="KQ105" s="2133">
        <f t="shared" si="358"/>
        <v>0</v>
      </c>
      <c r="KS105" s="2253">
        <f t="shared" si="359"/>
        <v>0</v>
      </c>
      <c r="KT105" s="2270">
        <f t="shared" ref="KT105:LB105" si="430">KS105*(1+(KT$60))</f>
        <v>0</v>
      </c>
      <c r="KU105" s="2271">
        <f t="shared" si="430"/>
        <v>0</v>
      </c>
      <c r="KV105" s="2271">
        <f t="shared" si="430"/>
        <v>0</v>
      </c>
      <c r="KW105" s="2272">
        <f t="shared" si="430"/>
        <v>0</v>
      </c>
      <c r="KX105" s="2271">
        <f t="shared" si="430"/>
        <v>0</v>
      </c>
      <c r="KY105" s="2271">
        <f t="shared" si="430"/>
        <v>0</v>
      </c>
      <c r="KZ105" s="2271">
        <f t="shared" si="430"/>
        <v>0</v>
      </c>
      <c r="LA105" s="2271">
        <f t="shared" si="430"/>
        <v>0</v>
      </c>
      <c r="LB105" s="2273">
        <f t="shared" si="430"/>
        <v>0</v>
      </c>
      <c r="LC105" s="749"/>
      <c r="LD105" s="2124">
        <f t="shared" si="361"/>
        <v>0</v>
      </c>
      <c r="LE105" s="2093">
        <f t="shared" si="362"/>
        <v>0</v>
      </c>
      <c r="LF105" s="2093">
        <f t="shared" si="363"/>
        <v>0</v>
      </c>
      <c r="LG105" s="2093">
        <f t="shared" si="364"/>
        <v>0</v>
      </c>
      <c r="LH105" s="2094">
        <f t="shared" si="365"/>
        <v>0</v>
      </c>
      <c r="LI105" s="2095">
        <f t="shared" si="366"/>
        <v>0</v>
      </c>
      <c r="LJ105" s="2095">
        <f t="shared" si="367"/>
        <v>0</v>
      </c>
      <c r="LK105" s="2095">
        <f t="shared" si="368"/>
        <v>0</v>
      </c>
      <c r="LL105" s="2095">
        <f t="shared" si="369"/>
        <v>0</v>
      </c>
      <c r="LM105" s="2096">
        <f t="shared" si="370"/>
        <v>0</v>
      </c>
      <c r="LN105" s="749"/>
      <c r="LO105" s="2256">
        <f t="shared" ca="1" si="371"/>
        <v>0</v>
      </c>
      <c r="LP105" s="2270">
        <f t="shared" ca="1" si="372"/>
        <v>0</v>
      </c>
      <c r="LQ105" s="2271">
        <f t="shared" ca="1" si="373"/>
        <v>0</v>
      </c>
      <c r="LR105" s="2271">
        <f t="shared" ca="1" si="374"/>
        <v>0</v>
      </c>
      <c r="LS105" s="2272">
        <f t="shared" ca="1" si="375"/>
        <v>0</v>
      </c>
      <c r="LT105" s="2271">
        <f t="shared" ca="1" si="376"/>
        <v>0</v>
      </c>
      <c r="LU105" s="2271">
        <f t="shared" ca="1" si="377"/>
        <v>0</v>
      </c>
      <c r="LV105" s="2271">
        <f t="shared" ca="1" si="378"/>
        <v>0</v>
      </c>
      <c r="LW105" s="2271">
        <f t="shared" ca="1" si="379"/>
        <v>0</v>
      </c>
      <c r="LX105" s="2273">
        <f t="shared" ca="1" si="380"/>
        <v>0</v>
      </c>
      <c r="LY105" s="479"/>
      <c r="LZ105" s="3128">
        <f t="shared" ca="1" si="173"/>
        <v>-1.73</v>
      </c>
      <c r="MA105" s="3129">
        <f t="shared" ca="1" si="174"/>
        <v>-1.73</v>
      </c>
      <c r="MB105" s="3129">
        <f t="shared" ca="1" si="175"/>
        <v>-1.73</v>
      </c>
      <c r="MC105" s="3129">
        <f t="shared" ca="1" si="176"/>
        <v>-1.73</v>
      </c>
      <c r="MD105" s="3130">
        <f t="shared" ca="1" si="177"/>
        <v>-1.73</v>
      </c>
      <c r="ME105" s="3129">
        <f t="shared" ca="1" si="178"/>
        <v>-1.73</v>
      </c>
      <c r="MF105" s="3129">
        <f t="shared" ca="1" si="179"/>
        <v>-1.73</v>
      </c>
      <c r="MG105" s="3129">
        <f t="shared" ca="1" si="180"/>
        <v>-1.73</v>
      </c>
      <c r="MH105" s="3129">
        <f t="shared" ca="1" si="181"/>
        <v>-1.73</v>
      </c>
      <c r="MI105" s="3131">
        <f t="shared" ca="1" si="182"/>
        <v>-1.73</v>
      </c>
      <c r="MJ105" s="3201"/>
      <c r="MK105" s="3206">
        <f t="shared" ca="1" si="183"/>
        <v>0</v>
      </c>
      <c r="ML105" s="3207">
        <f t="shared" ca="1" si="184"/>
        <v>0</v>
      </c>
      <c r="MM105" s="3207">
        <f t="shared" ca="1" si="185"/>
        <v>0</v>
      </c>
      <c r="MN105" s="3207">
        <f t="shared" ca="1" si="186"/>
        <v>0</v>
      </c>
      <c r="MO105" s="3208">
        <f t="shared" ca="1" si="187"/>
        <v>0</v>
      </c>
      <c r="MP105" s="3207">
        <f t="shared" ca="1" si="188"/>
        <v>0</v>
      </c>
      <c r="MQ105" s="3207">
        <f t="shared" ca="1" si="189"/>
        <v>0</v>
      </c>
      <c r="MR105" s="3207">
        <f t="shared" ca="1" si="190"/>
        <v>0</v>
      </c>
      <c r="MS105" s="3207">
        <f t="shared" ca="1" si="191"/>
        <v>0</v>
      </c>
      <c r="MT105" s="3209">
        <f t="shared" ca="1" si="192"/>
        <v>0</v>
      </c>
      <c r="MU105" s="1983"/>
      <c r="MV105" s="1975"/>
      <c r="MW105" s="1991"/>
      <c r="MX105" s="1931">
        <f t="shared" si="381"/>
        <v>0</v>
      </c>
      <c r="MY105" s="749"/>
      <c r="MZ105" s="1934">
        <f t="shared" si="382"/>
        <v>0</v>
      </c>
      <c r="NA105" s="1935"/>
      <c r="NB105" s="2652">
        <f t="shared" si="383"/>
        <v>0</v>
      </c>
      <c r="NC105" s="479"/>
      <c r="ND105" s="2749" t="str">
        <f t="shared" si="384"/>
        <v/>
      </c>
      <c r="NE105" s="2717"/>
      <c r="NF105" s="1975"/>
      <c r="NG105" s="1975"/>
      <c r="NH105" s="1975"/>
      <c r="NI105" s="1975"/>
    </row>
    <row r="106" spans="1:373" s="192" customFormat="1" ht="15.9" customHeight="1" x14ac:dyDescent="0.3">
      <c r="A106" s="200"/>
      <c r="B106" s="200"/>
      <c r="C106" s="200"/>
      <c r="D106" s="200"/>
      <c r="E106" s="200"/>
      <c r="F106" s="200"/>
      <c r="G106" s="200"/>
      <c r="H106" s="200"/>
      <c r="I106" s="200"/>
      <c r="J106" s="200"/>
      <c r="K106" s="200"/>
      <c r="L106" s="200"/>
      <c r="M106" s="200"/>
      <c r="N106" s="200"/>
      <c r="O106" s="200"/>
      <c r="P106" s="1539"/>
      <c r="Q106" s="1539"/>
      <c r="R106" s="198"/>
      <c r="S106" s="1539"/>
      <c r="T106" s="201"/>
      <c r="U106" s="200"/>
      <c r="V106" s="201">
        <f>MATCH($IC106,'3b Activity Plan'!$DJ$171:$FH$171,0)</f>
        <v>43</v>
      </c>
      <c r="W106" s="201">
        <f>IFERROR(INDEX('3b Activity Plan'!$DJ$6:$FH$6,V106),0)</f>
        <v>0</v>
      </c>
      <c r="X106" s="1768"/>
      <c r="Y106" s="1768">
        <f>IFERROR(INDEX('3b Activity Plan'!$DJ$7:$FH$7,V106),0)</f>
        <v>0</v>
      </c>
      <c r="Z106" s="201"/>
      <c r="AA106" s="201">
        <f>IFERROR(INDEX('3b Activity Plan'!$DJ$34:$FH$34,$V106),0)</f>
        <v>0</v>
      </c>
      <c r="AB106" s="201">
        <f>IFERROR(INDEX('3b Activity Plan'!$DJ$35:$FH$35,$V106),0)</f>
        <v>0</v>
      </c>
      <c r="AC106" s="201">
        <f>IFERROR(INDEX('3b Activity Plan'!$DJ$36:$FH$36,$V106),0)</f>
        <v>0</v>
      </c>
      <c r="AD106" s="201">
        <f>IFERROR(INDEX('3b Activity Plan'!$DJ$37:$FH$37,$V106),0)</f>
        <v>0</v>
      </c>
      <c r="AE106" s="201">
        <f>IFERROR(INDEX('3b Activity Plan'!$DJ$38:$FH$38,$V106),0)</f>
        <v>0</v>
      </c>
      <c r="AF106" s="201">
        <f>IFERROR(INDEX('3b Activity Plan'!$DJ$39:$FH$39,$V106),0)</f>
        <v>0</v>
      </c>
      <c r="AG106" s="201">
        <f>IFERROR(INDEX('3b Activity Plan'!$DJ$40:$FH$40,$V106),0)</f>
        <v>0</v>
      </c>
      <c r="AH106" s="201">
        <f>IFERROR(INDEX('3b Activity Plan'!$DJ$41:$FH$41,$V106),0)</f>
        <v>0</v>
      </c>
      <c r="AI106" s="201">
        <f>IFERROR(INDEX('3b Activity Plan'!$DJ$42:$FH$42,$V106),0)</f>
        <v>0</v>
      </c>
      <c r="AJ106" s="201">
        <f>IFERROR(INDEX('3b Activity Plan'!$DJ$43:$FH$43,$V106),0)</f>
        <v>0</v>
      </c>
      <c r="AK106" s="201"/>
      <c r="AL106" s="201">
        <f>SUMIFS('3a Staff Plan'!$AR$129:$AR$305,'3a Staff Plan'!$DY$129:$DY$305,$IA106,'3a Staff Plan'!$DF$129:$DF$305,1)</f>
        <v>0</v>
      </c>
      <c r="AM106" s="1768"/>
      <c r="AN106" s="1768">
        <f>SUMIFS('3a Staff Plan'!$AR$129:$AR$305,'3a Staff Plan'!$DY$129:$DY$305,$IA106,'3a Staff Plan'!$CV$129:$CV$305,1)</f>
        <v>0</v>
      </c>
      <c r="AO106" s="201"/>
      <c r="AP106" s="201">
        <f>SUMIFS('3a Staff Plan'!$AS$129:$AS$305,'3a Staff Plan'!$DY$129:$DY$305,$IA106,'3a Staff Plan'!$DF$129:$DF$305,1)</f>
        <v>0</v>
      </c>
      <c r="AQ106" s="201">
        <f>SUMIFS('3a Staff Plan'!$AT$129:$AT$305,'3a Staff Plan'!$DY$129:$DY$305,$IA106,'3a Staff Plan'!$DF$129:$DF$305,1)</f>
        <v>0</v>
      </c>
      <c r="AR106" s="201">
        <f>SUMIFS('3a Staff Plan'!$AU$129:$AU$305,'3a Staff Plan'!$DY$129:$DY$305,$IA106,'3a Staff Plan'!$DF$129:$DF$305,1)</f>
        <v>0</v>
      </c>
      <c r="AS106" s="201">
        <f>SUMIFS('3a Staff Plan'!$AV$129:$AV$305,'3a Staff Plan'!$DY$129:$DY$305,$IA106,'3a Staff Plan'!$DF$129:$DF$305,1)</f>
        <v>0</v>
      </c>
      <c r="AT106" s="201">
        <f>SUMIFS('3a Staff Plan'!$AW$129:$AW$305,'3a Staff Plan'!$DY$129:$DY$305,$IA106,'3a Staff Plan'!$DF$129:$DF$305,1)</f>
        <v>0</v>
      </c>
      <c r="AU106" s="201">
        <f>SUMIFS('3a Staff Plan'!$AX$129:$AX$305,'3a Staff Plan'!$DY$129:$DY$305,$IA106,'3a Staff Plan'!$DF$129:$DF$305,1)</f>
        <v>0</v>
      </c>
      <c r="AV106" s="201">
        <f>SUMIFS('3a Staff Plan'!$AY$129:$AY$305,'3a Staff Plan'!$DY$129:$DY$305,$IA106,'3a Staff Plan'!$DF$129:$DF$305,1)</f>
        <v>0</v>
      </c>
      <c r="AW106" s="201">
        <f>SUMIFS('3a Staff Plan'!$AZ$129:$AZ$305,'3a Staff Plan'!$DY$129:$DY$305,$IA106,'3a Staff Plan'!$DF$129:$DF$305,1)</f>
        <v>0</v>
      </c>
      <c r="AX106" s="201">
        <f>SUMIFS('3a Staff Plan'!$BA$129:$BA$305,'3a Staff Plan'!$DY$129:$DY$305,$IA106,'3a Staff Plan'!$DF$129:$DF$305,1)</f>
        <v>0</v>
      </c>
      <c r="AY106" s="201">
        <f>SUMIFS('3a Staff Plan'!$BB$129:$BB$305,'3a Staff Plan'!$DY$129:$DY$305,$IA106,'3a Staff Plan'!$DF$129:$DF$305,1)</f>
        <v>0</v>
      </c>
      <c r="AZ106" s="201"/>
      <c r="BA106" s="201">
        <f t="shared" si="415"/>
        <v>0</v>
      </c>
      <c r="BB106" s="1768"/>
      <c r="BC106" s="1768">
        <f t="shared" si="416"/>
        <v>0</v>
      </c>
      <c r="BD106" s="201"/>
      <c r="BE106" s="201">
        <f t="shared" si="417"/>
        <v>0</v>
      </c>
      <c r="BF106" s="201">
        <f t="shared" si="418"/>
        <v>0</v>
      </c>
      <c r="BG106" s="201">
        <f t="shared" si="419"/>
        <v>0</v>
      </c>
      <c r="BH106" s="201">
        <f t="shared" si="420"/>
        <v>0</v>
      </c>
      <c r="BI106" s="201">
        <f t="shared" si="421"/>
        <v>0</v>
      </c>
      <c r="BJ106" s="201">
        <f t="shared" si="205"/>
        <v>0</v>
      </c>
      <c r="BK106" s="201">
        <f t="shared" si="206"/>
        <v>0</v>
      </c>
      <c r="BL106" s="201">
        <f t="shared" si="207"/>
        <v>0</v>
      </c>
      <c r="BM106" s="201">
        <f t="shared" si="208"/>
        <v>0</v>
      </c>
      <c r="BN106" s="201">
        <f t="shared" si="209"/>
        <v>0</v>
      </c>
      <c r="BO106" s="201"/>
      <c r="BP106" s="1818">
        <f t="shared" si="146"/>
        <v>43</v>
      </c>
      <c r="BQ106" s="1818">
        <f>IFERROR(INDEX('3b Activity Plan'!$DJ$15:$FH$15,BP106),0)</f>
        <v>0</v>
      </c>
      <c r="BR106" s="1768"/>
      <c r="BS106" s="1768">
        <f>IFERROR(INDEX('3b Activity Plan'!$DJ$16:$FH$16,BP106),0)</f>
        <v>0</v>
      </c>
      <c r="BT106" s="201"/>
      <c r="BU106" s="201">
        <f>IFERROR(INDEX('3b Activity Plan'!$DJ$67:$FH$67,$V106),0)</f>
        <v>0</v>
      </c>
      <c r="BV106" s="201">
        <f>IFERROR(INDEX('3b Activity Plan'!$DJ$68:$FH$68,$V106),0)</f>
        <v>0</v>
      </c>
      <c r="BW106" s="201">
        <f>IFERROR(INDEX('3b Activity Plan'!$DJ$69:$FH$69,$V106),0)</f>
        <v>0</v>
      </c>
      <c r="BX106" s="201">
        <f>IFERROR(INDEX('3b Activity Plan'!$DJ$70:$FH$70,$V106),0)</f>
        <v>0</v>
      </c>
      <c r="BY106" s="201">
        <f>IFERROR(INDEX('3b Activity Plan'!$DJ$71:$FH$71,$V106),0)</f>
        <v>0</v>
      </c>
      <c r="BZ106" s="201">
        <f>IFERROR(INDEX('3b Activity Plan'!$DJ$72:$FH$72,$V106),0)</f>
        <v>0</v>
      </c>
      <c r="CA106" s="201">
        <f>IFERROR(INDEX('3b Activity Plan'!$DJ$73:$FH$73,$V106),0)</f>
        <v>0</v>
      </c>
      <c r="CB106" s="201">
        <f>IFERROR(INDEX('3b Activity Plan'!$DJ$74:$FH$74,$V106),0)</f>
        <v>0</v>
      </c>
      <c r="CC106" s="201">
        <f>IFERROR(INDEX('3b Activity Plan'!$DJ$75:$FH$75,$V106),0)</f>
        <v>0</v>
      </c>
      <c r="CD106" s="201">
        <f>IFERROR(INDEX('3b Activity Plan'!$DJ$76:$FH$76,$V106),0)</f>
        <v>0</v>
      </c>
      <c r="CE106" s="201"/>
      <c r="CF106" s="1818">
        <f>SUMIFS('3a Staff Plan'!$AR$129:$AR$305,'3a Staff Plan'!$DY$129:$DY$305,$IA106,'3a Staff Plan'!$AG$129:$AG$305,1,'3a Staff Plan'!$DF$129:$DF$305,1)</f>
        <v>0</v>
      </c>
      <c r="CG106" s="1768">
        <f>SUMIFS('3a Staff Plan'!$AR$129:$AR$305,'3a Staff Plan'!$DY$129:$DY$305,$IA106,'3a Staff Plan'!$AG$129:$AG$305,1,'3a Staff Plan'!$CX$129:$CX$305,1)</f>
        <v>0</v>
      </c>
      <c r="CH106" s="1768">
        <f>SUMIFS('3a Staff Plan'!$AR$129:$AR$305,'3a Staff Plan'!$DY$129:$DY$305,$IA106,'3a Staff Plan'!$AG$129:$AG$305,1,'3a Staff Plan'!$CV$129:$CV$305,1)</f>
        <v>0</v>
      </c>
      <c r="CI106" s="201"/>
      <c r="CJ106" s="201">
        <f>SUMIFS('3a Staff Plan'!$BX$129:$BX$305,'3a Staff Plan'!$DY$129:$DY$305,$IA106,'3a Staff Plan'!$DF$129:$DF$305,1,'3a Staff Plan'!$AG$129:$AG$305,1)</f>
        <v>0</v>
      </c>
      <c r="CK106" s="201">
        <f>SUMIFS('3a Staff Plan'!$BY$129:$BY$305,'3a Staff Plan'!$DY$129:$DY$305,$IA106,'3a Staff Plan'!$DF$129:$DF$305,1,'3a Staff Plan'!$AG$129:$AG$305,1)</f>
        <v>0</v>
      </c>
      <c r="CL106" s="201">
        <f>SUMIFS('3a Staff Plan'!$BZ$129:$BZ$305,'3a Staff Plan'!$DY$129:$DY$305,$IA106,'3a Staff Plan'!$DF$129:$DF$305,1,'3a Staff Plan'!$AG$129:$AG$305,1)</f>
        <v>0</v>
      </c>
      <c r="CM106" s="201">
        <f>SUMIFS('3a Staff Plan'!$CA$129:$CA$305,'3a Staff Plan'!$DY$129:$DY$305,$IA106,'3a Staff Plan'!$DF$129:$DF$305,1,'3a Staff Plan'!$AG$129:$AG$305,1)</f>
        <v>0</v>
      </c>
      <c r="CN106" s="201">
        <f>SUMIFS('3a Staff Plan'!$CB$129:$CB$305,'3a Staff Plan'!$DY$129:$DY$305,$IA106,'3a Staff Plan'!$DF$129:$DF$305,1,'3a Staff Plan'!$AG$129:$AG$305,1)</f>
        <v>0</v>
      </c>
      <c r="CO106" s="201">
        <f>SUMIFS('3a Staff Plan'!$CC$129:$CC$305,'3a Staff Plan'!$DY$129:$DY$305,$IA106,'3a Staff Plan'!$DF$129:$DF$305,1,'3a Staff Plan'!$AG$129:$AG$305,1)</f>
        <v>0</v>
      </c>
      <c r="CP106" s="201">
        <f>SUMIFS('3a Staff Plan'!$CD$129:$CD$305,'3a Staff Plan'!$DY$129:$DY$305,$IA106,'3a Staff Plan'!$DF$129:$DF$305,1,'3a Staff Plan'!$AG$129:$AG$305,1)</f>
        <v>0</v>
      </c>
      <c r="CQ106" s="201">
        <f>SUMIFS('3a Staff Plan'!$CE$129:$CE$305,'3a Staff Plan'!$DY$129:$DY$305,$IA106,'3a Staff Plan'!$DF$129:$DF$305,1,'3a Staff Plan'!$AG$129:$AG$305,1)</f>
        <v>0</v>
      </c>
      <c r="CR106" s="201">
        <f>SUMIFS('3a Staff Plan'!$CF$129:$CF$305,'3a Staff Plan'!$DY$129:$DY$305,$IA106,'3a Staff Plan'!$DF$129:$DF$305,1,'3a Staff Plan'!$AG$129:$AG$305,1)</f>
        <v>0</v>
      </c>
      <c r="CS106" s="201">
        <f>SUMIFS('3a Staff Plan'!$CG$129:$CG$305,'3a Staff Plan'!$DY$129:$DY$305,$IA106,'3a Staff Plan'!$DF$129:$DF$305,1,'3a Staff Plan'!$AG$129:$AG$305,1)</f>
        <v>0</v>
      </c>
      <c r="CT106" s="201"/>
      <c r="CU106" s="1818">
        <f t="shared" si="210"/>
        <v>0</v>
      </c>
      <c r="CV106" s="1768"/>
      <c r="CW106" s="1768">
        <f t="shared" si="211"/>
        <v>0</v>
      </c>
      <c r="CX106" s="201"/>
      <c r="CY106" s="201">
        <f t="shared" si="212"/>
        <v>0</v>
      </c>
      <c r="CZ106" s="201">
        <f t="shared" si="213"/>
        <v>0</v>
      </c>
      <c r="DA106" s="201">
        <f t="shared" si="214"/>
        <v>0</v>
      </c>
      <c r="DB106" s="201">
        <f t="shared" si="215"/>
        <v>0</v>
      </c>
      <c r="DC106" s="201">
        <f t="shared" si="216"/>
        <v>0</v>
      </c>
      <c r="DD106" s="201">
        <f t="shared" si="217"/>
        <v>0</v>
      </c>
      <c r="DE106" s="201">
        <f t="shared" si="218"/>
        <v>0</v>
      </c>
      <c r="DF106" s="201">
        <f t="shared" si="219"/>
        <v>0</v>
      </c>
      <c r="DG106" s="201">
        <f t="shared" si="220"/>
        <v>0</v>
      </c>
      <c r="DH106" s="201">
        <f t="shared" si="221"/>
        <v>0</v>
      </c>
      <c r="DI106" s="201"/>
      <c r="DJ106" s="201"/>
      <c r="DK106" s="201"/>
      <c r="DL106" s="201"/>
      <c r="DM106" s="372">
        <f t="shared" ca="1" si="283"/>
        <v>0</v>
      </c>
      <c r="DN106" s="1185">
        <f t="shared" si="284"/>
        <v>0</v>
      </c>
      <c r="DO106" s="1185">
        <f t="shared" si="285"/>
        <v>0</v>
      </c>
      <c r="DP106" s="201"/>
      <c r="DQ106" s="372">
        <f t="shared" ca="1" si="286"/>
        <v>0</v>
      </c>
      <c r="DR106" s="1185">
        <f t="shared" si="287"/>
        <v>0</v>
      </c>
      <c r="DS106" s="1185">
        <f t="shared" si="288"/>
        <v>0</v>
      </c>
      <c r="DT106" s="201"/>
      <c r="DU106" s="372">
        <f t="shared" ca="1" si="289"/>
        <v>0</v>
      </c>
      <c r="DV106" s="372">
        <f t="shared" si="290"/>
        <v>0</v>
      </c>
      <c r="DW106" s="372">
        <f t="shared" si="290"/>
        <v>0</v>
      </c>
      <c r="DX106" s="201"/>
      <c r="DY106" s="372">
        <f t="shared" si="291"/>
        <v>0</v>
      </c>
      <c r="DZ106" s="372">
        <f t="shared" ca="1" si="292"/>
        <v>0</v>
      </c>
      <c r="EA106" s="201"/>
      <c r="EB106" s="2776">
        <f>IF(EO106=$EO$53,1,IFERROR(INDEX('Currency Data'!$L$8:$L$41,MATCH(EO106,'Currency Data'!$H$8:$H$41,0)),1))</f>
        <v>1</v>
      </c>
      <c r="EC106" s="2776">
        <f t="shared" si="422"/>
        <v>1</v>
      </c>
      <c r="ED106" s="428">
        <f>IF(GQ106=1,'1 Setup'!$T$68,IF(ISBLANK(IJ106),II106/EC106*IF(GL106=1,$ED$53,1),IJ106/EC106)*IF($EW106=7,JW106,1))</f>
        <v>0</v>
      </c>
      <c r="EE106" s="428">
        <f t="shared" si="293"/>
        <v>0</v>
      </c>
      <c r="EF106" s="428"/>
      <c r="EG106" s="1965" t="str">
        <f t="shared" si="148"/>
        <v>031500 - Highways UK</v>
      </c>
      <c r="EH106" s="201">
        <f t="shared" si="149"/>
        <v>1</v>
      </c>
      <c r="EI106" s="445" t="str">
        <f>IF(EH106=1,$EI$53,IF(GQ106=1,$GQ$55,IFERROR(IF($EG106=$EG$53,$EI$53,INDEX('PU List'!$G$6:$G$413,MATCH($EG106,'PU List'!$D$6:$D$413,0))),$EI$53)))</f>
        <v>GB - BIAF</v>
      </c>
      <c r="EJ106" s="2773" t="str">
        <f t="shared" si="150"/>
        <v>GB - BIAF</v>
      </c>
      <c r="EK106" s="1768"/>
      <c r="EL106" s="3283">
        <f>IF(OR(EW106&gt;7,$EL$53=0),0,IF(EJ106=$EI$53,$EL$53,IFERROR(INDEX('Fringe Data'!$U$8:$U$129,MATCH($EJ106,'Fringe Data'!$F$8:$F$129,0)),0)))</f>
        <v>1.73</v>
      </c>
      <c r="EM106" s="372">
        <f t="shared" si="294"/>
        <v>0</v>
      </c>
      <c r="EN106" s="201" t="str">
        <f>IFERROR(INDEX('Fringe Data'!$G$8:$G$64,MATCH($EJ106,'Fringe Data'!$F$8:$F$64,0)),$EO$53)</f>
        <v>GBP</v>
      </c>
      <c r="EO106" s="201" t="str">
        <f t="shared" si="151"/>
        <v>GBP</v>
      </c>
      <c r="EP106" s="201">
        <f>IF(EI106=$EI$53,$EP$49,IF(GP106=1,0,IFERROR(INDEX('Fringe Data'!$K$8:$K$64,MATCH($EI106,'Fringe Data'!$F$8:$F$64,0)),0)))</f>
        <v>0.52</v>
      </c>
      <c r="EQ106" s="201">
        <f>IF(EI106=$EI$53,$EQ$49,IF(GP106=1,0,IFERROR(INDEX('Fringe Data'!$L$8:$L$64,MATCH($EI106,'Fringe Data'!$F$8:$F$64,0)),0)))</f>
        <v>1.8499999999999999E-2</v>
      </c>
      <c r="ER106" s="201">
        <f>IF(EI106=$EI$53,$ER$49,IF(GP106=1,0,IFERROR(INDEX('Fringe Data'!$M$8:$M$64,MATCH($EI106,'Fringe Data'!$F$8:$F$64,0)),0)))</f>
        <v>0.43430000000000002</v>
      </c>
      <c r="ES106" s="201">
        <f>IF(EI106=$EI$53,$ES$49,IF(GP106=1,0,IFERROR(INDEX('Fringe Data'!$N$8:$N$64,MATCH($EI106,'Fringe Data'!$F$8:$F$64,0)),0)))</f>
        <v>0.1565</v>
      </c>
      <c r="ET106" s="201">
        <f>IF(EI106=$EI$53,$ET$49,IF(GP106=1,0,IFERROR(INDEX('Fringe Data'!$O$8:$O$64,MATCH($EI106,'Fringe Data'!$F$8:$F$64,0)),0)))</f>
        <v>0.33450000000000002</v>
      </c>
      <c r="EU106" s="263">
        <f>IF(EI106=$EI$53,$EU$49,IF(GP106=1,0,IFERROR(INDEX('Fringe Data'!$P$8:$P$64,MATCH($EI106,'Fringe Data'!$F$8:$F$64,0)),0)))</f>
        <v>0.1565</v>
      </c>
      <c r="EV106" s="201"/>
      <c r="EW106" s="1530">
        <f t="shared" si="295"/>
        <v>1</v>
      </c>
      <c r="EX106" s="1534">
        <f t="shared" si="152"/>
        <v>0.52</v>
      </c>
      <c r="EY106" s="321">
        <f t="shared" si="153"/>
        <v>0</v>
      </c>
      <c r="EZ106" s="201">
        <f t="shared" si="154"/>
        <v>0</v>
      </c>
      <c r="FA106" s="372">
        <f t="shared" si="296"/>
        <v>0</v>
      </c>
      <c r="FB106" s="372">
        <f t="shared" si="297"/>
        <v>0</v>
      </c>
      <c r="FC106" s="201">
        <f t="shared" ca="1" si="155"/>
        <v>0</v>
      </c>
      <c r="FD106" s="423">
        <f t="shared" si="298"/>
        <v>0</v>
      </c>
      <c r="FE106" s="423">
        <f t="shared" si="299"/>
        <v>0</v>
      </c>
      <c r="FF106" s="201">
        <f t="shared" si="156"/>
        <v>0</v>
      </c>
      <c r="FG106" s="425">
        <f>IF(OR($FJ$52=3,$FJ$52=4,$FJ$52=5),'1 Setup'!$W$96,0)</f>
        <v>0</v>
      </c>
      <c r="FH106" s="428">
        <f>IF($FJ$52=5,'1 Setup'!$W$98,IF($FJ$52=6,'1 Setup'!$S$86,0))</f>
        <v>0</v>
      </c>
      <c r="FI106" s="321">
        <f t="shared" ca="1" si="300"/>
        <v>0</v>
      </c>
      <c r="FJ106" s="263">
        <f t="shared" ca="1" si="157"/>
        <v>0</v>
      </c>
      <c r="FK106" s="372">
        <f t="shared" ca="1" si="301"/>
        <v>0</v>
      </c>
      <c r="FL106" s="372">
        <f t="shared" si="302"/>
        <v>0</v>
      </c>
      <c r="FM106" s="372">
        <f t="shared" si="303"/>
        <v>0</v>
      </c>
      <c r="FN106" s="2036">
        <f t="shared" ca="1" si="304"/>
        <v>0</v>
      </c>
      <c r="FO106" s="372">
        <f t="shared" ca="1" si="224"/>
        <v>0</v>
      </c>
      <c r="FP106" s="2723">
        <f t="shared" si="158"/>
        <v>0</v>
      </c>
      <c r="FQ106" s="372">
        <f t="shared" si="305"/>
        <v>0</v>
      </c>
      <c r="FR106" s="372">
        <f t="shared" si="159"/>
        <v>0</v>
      </c>
      <c r="FS106" s="1168"/>
      <c r="FT106" s="1168">
        <f t="shared" si="306"/>
        <v>0</v>
      </c>
      <c r="FU106" s="1168">
        <f t="shared" si="307"/>
        <v>0</v>
      </c>
      <c r="FV106" s="1168">
        <f t="shared" si="308"/>
        <v>0</v>
      </c>
      <c r="FW106" s="1168">
        <f t="shared" si="309"/>
        <v>0</v>
      </c>
      <c r="FX106" s="1168">
        <f t="shared" si="310"/>
        <v>0</v>
      </c>
      <c r="FY106" s="1168">
        <f t="shared" si="311"/>
        <v>0</v>
      </c>
      <c r="FZ106" s="1168">
        <f t="shared" si="312"/>
        <v>0</v>
      </c>
      <c r="GA106" s="1168">
        <f t="shared" si="313"/>
        <v>0</v>
      </c>
      <c r="GB106" s="1168">
        <f t="shared" si="314"/>
        <v>0</v>
      </c>
      <c r="GC106" s="1168">
        <f t="shared" si="315"/>
        <v>0</v>
      </c>
      <c r="GD106" s="1168"/>
      <c r="GE106" s="199"/>
      <c r="GF106" s="201">
        <f t="shared" si="316"/>
        <v>0</v>
      </c>
      <c r="GG106" s="201">
        <f t="shared" si="317"/>
        <v>0</v>
      </c>
      <c r="GH106" s="201">
        <f t="shared" si="318"/>
        <v>0</v>
      </c>
      <c r="GI106" s="201">
        <f t="shared" ca="1" si="160"/>
        <v>0</v>
      </c>
      <c r="GJ106" s="201">
        <f t="shared" si="319"/>
        <v>0</v>
      </c>
      <c r="GK106" s="201">
        <f t="shared" si="320"/>
        <v>0</v>
      </c>
      <c r="GL106" s="201">
        <f t="shared" si="321"/>
        <v>1</v>
      </c>
      <c r="GM106" s="201">
        <f t="shared" si="322"/>
        <v>1</v>
      </c>
      <c r="GN106" s="201"/>
      <c r="GO106" s="201"/>
      <c r="GP106" s="201">
        <f t="shared" si="323"/>
        <v>0</v>
      </c>
      <c r="GQ106" s="201">
        <f t="shared" si="324"/>
        <v>0</v>
      </c>
      <c r="GR106" s="201">
        <f t="shared" si="161"/>
        <v>0</v>
      </c>
      <c r="GS106" s="1768"/>
      <c r="GT106" s="201">
        <f t="shared" si="325"/>
        <v>1</v>
      </c>
      <c r="GU106" s="201">
        <f t="shared" si="193"/>
        <v>43</v>
      </c>
      <c r="GV106" s="201">
        <f t="shared" si="326"/>
        <v>0</v>
      </c>
      <c r="GW106" s="201">
        <f t="shared" si="327"/>
        <v>3</v>
      </c>
      <c r="GX106" s="201">
        <f t="shared" si="162"/>
        <v>0</v>
      </c>
      <c r="GY106" s="1998"/>
      <c r="GZ106" s="253"/>
      <c r="HA106" s="195">
        <f t="shared" si="423"/>
        <v>0</v>
      </c>
      <c r="HB106" s="3558">
        <f t="shared" si="424"/>
        <v>0</v>
      </c>
      <c r="HC106" s="3590"/>
      <c r="HD106" s="257" t="str">
        <f t="shared" si="328"/>
        <v/>
      </c>
      <c r="HE106" s="825">
        <f t="shared" si="329"/>
        <v>0</v>
      </c>
      <c r="HF106" s="506" t="s">
        <v>5</v>
      </c>
      <c r="HG106" s="508">
        <f t="shared" ca="1" si="330"/>
        <v>0</v>
      </c>
      <c r="HH106" s="3585">
        <f t="shared" si="331"/>
        <v>0</v>
      </c>
      <c r="HI106" s="3586"/>
      <c r="HJ106" s="967">
        <f t="shared" ca="1" si="425"/>
        <v>0</v>
      </c>
      <c r="HK106" s="456">
        <f t="shared" ca="1" si="226"/>
        <v>0</v>
      </c>
      <c r="HL106" s="3591">
        <f t="shared" ca="1" si="426"/>
        <v>0</v>
      </c>
      <c r="HM106" s="3592"/>
      <c r="HN106" s="240"/>
      <c r="HO106" s="1998"/>
      <c r="HP106" s="1991"/>
      <c r="HQ106" s="2770" t="str">
        <f t="shared" si="332"/>
        <v>GB - BIAF</v>
      </c>
      <c r="HR106" s="2770" t="str">
        <f t="shared" si="333"/>
        <v>GBP</v>
      </c>
      <c r="HS106" s="2771">
        <f t="shared" si="334"/>
        <v>1</v>
      </c>
      <c r="HT106" s="3488"/>
      <c r="HU106" s="2771">
        <f t="shared" si="335"/>
        <v>1.73</v>
      </c>
      <c r="HW106" s="1218"/>
      <c r="HX106" s="520"/>
      <c r="HY106" s="2523"/>
      <c r="HZ106" s="194"/>
      <c r="IA106" s="1013"/>
      <c r="IB106" s="193"/>
      <c r="IC106" s="3276">
        <v>43</v>
      </c>
      <c r="ID106" s="986"/>
      <c r="IE106" s="938">
        <f t="shared" si="164"/>
        <v>0</v>
      </c>
      <c r="IF106" s="938">
        <f t="shared" si="165"/>
        <v>0</v>
      </c>
      <c r="IG106" s="432"/>
      <c r="II106" s="405"/>
      <c r="IJ106" s="239"/>
      <c r="IK106" s="2774" t="str">
        <f t="shared" si="166"/>
        <v>GBP</v>
      </c>
      <c r="IL106" s="2148"/>
      <c r="IM106" s="1936">
        <f t="shared" si="336"/>
        <v>0</v>
      </c>
      <c r="IO106" s="1959" t="str">
        <f t="shared" si="337"/>
        <v/>
      </c>
      <c r="IP106" s="1958"/>
      <c r="IQ106" s="543">
        <f t="shared" si="338"/>
        <v>0.52</v>
      </c>
      <c r="IR106" s="1936">
        <f t="shared" si="339"/>
        <v>0</v>
      </c>
      <c r="IT106" s="1364"/>
      <c r="IU106" s="210"/>
      <c r="IV106" s="218"/>
      <c r="IW106" s="1938">
        <f ca="1">IF(NOT(ISBLANK(IU106)),IU106,IF('1 Setup'!$G$8&lt;7,JK106,FJ106))+KA106</f>
        <v>0</v>
      </c>
      <c r="IX106" s="409">
        <f t="shared" si="340"/>
        <v>0</v>
      </c>
      <c r="IY106" s="408">
        <f t="shared" si="341"/>
        <v>0</v>
      </c>
      <c r="IZ106" s="1983"/>
      <c r="JA106" s="1994"/>
      <c r="JB106" s="1991"/>
      <c r="JD106" s="2029">
        <f t="shared" si="167"/>
        <v>0</v>
      </c>
      <c r="JE106" s="479"/>
      <c r="JF106" s="2025">
        <f t="shared" si="342"/>
        <v>0</v>
      </c>
      <c r="JG106" s="429">
        <f t="shared" si="343"/>
        <v>0</v>
      </c>
      <c r="JH106" s="1667">
        <f t="shared" si="344"/>
        <v>0</v>
      </c>
      <c r="JJ106" s="1163">
        <f t="shared" ca="1" si="345"/>
        <v>0</v>
      </c>
      <c r="JK106" s="1163">
        <f t="shared" ca="1" si="346"/>
        <v>0</v>
      </c>
      <c r="JL106" s="1795"/>
      <c r="JN106" s="2505"/>
      <c r="JO106" s="1161"/>
      <c r="JP106" s="571">
        <f t="shared" ca="1" si="410"/>
        <v>0</v>
      </c>
      <c r="JQ106" s="2506"/>
      <c r="JR106" s="1953"/>
      <c r="JS106" s="2650"/>
      <c r="JT106" s="2507"/>
      <c r="JU106" s="1964">
        <f t="shared" si="347"/>
        <v>0.33450000000000002</v>
      </c>
      <c r="JV106" s="3199"/>
      <c r="JW106" s="2649">
        <f t="shared" si="348"/>
        <v>1.5</v>
      </c>
      <c r="JX106" s="1964">
        <f t="shared" si="168"/>
        <v>0.1565</v>
      </c>
      <c r="JY106" s="3199"/>
      <c r="JZ106" s="2649">
        <f t="shared" si="169"/>
        <v>0</v>
      </c>
      <c r="KA106" s="2649">
        <f t="shared" si="170"/>
        <v>0</v>
      </c>
      <c r="KB106" s="2649" t="s">
        <v>111</v>
      </c>
      <c r="KC106" s="1983"/>
      <c r="KD106" s="1974"/>
      <c r="KE106" s="1991"/>
      <c r="KF106" s="2029">
        <f t="shared" si="171"/>
        <v>0</v>
      </c>
      <c r="KG106" s="1991"/>
      <c r="KH106" s="2121">
        <f t="shared" si="349"/>
        <v>0</v>
      </c>
      <c r="KI106" s="2130">
        <f t="shared" si="350"/>
        <v>0</v>
      </c>
      <c r="KJ106" s="2130">
        <f t="shared" si="351"/>
        <v>0</v>
      </c>
      <c r="KK106" s="2130">
        <f t="shared" si="352"/>
        <v>0</v>
      </c>
      <c r="KL106" s="2131">
        <f t="shared" si="353"/>
        <v>0</v>
      </c>
      <c r="KM106" s="2132">
        <f t="shared" si="354"/>
        <v>0</v>
      </c>
      <c r="KN106" s="2132">
        <f t="shared" si="355"/>
        <v>0</v>
      </c>
      <c r="KO106" s="2132">
        <f t="shared" si="356"/>
        <v>0</v>
      </c>
      <c r="KP106" s="2132">
        <f t="shared" si="357"/>
        <v>0</v>
      </c>
      <c r="KQ106" s="2133">
        <f t="shared" si="358"/>
        <v>0</v>
      </c>
      <c r="KS106" s="2253">
        <f t="shared" si="359"/>
        <v>0</v>
      </c>
      <c r="KT106" s="2270">
        <f t="shared" ref="KT106:LB106" si="431">KS106*(1+(KT$60))</f>
        <v>0</v>
      </c>
      <c r="KU106" s="2271">
        <f t="shared" si="431"/>
        <v>0</v>
      </c>
      <c r="KV106" s="2271">
        <f t="shared" si="431"/>
        <v>0</v>
      </c>
      <c r="KW106" s="2272">
        <f t="shared" si="431"/>
        <v>0</v>
      </c>
      <c r="KX106" s="2271">
        <f t="shared" si="431"/>
        <v>0</v>
      </c>
      <c r="KY106" s="2271">
        <f t="shared" si="431"/>
        <v>0</v>
      </c>
      <c r="KZ106" s="2271">
        <f t="shared" si="431"/>
        <v>0</v>
      </c>
      <c r="LA106" s="2271">
        <f t="shared" si="431"/>
        <v>0</v>
      </c>
      <c r="LB106" s="2273">
        <f t="shared" si="431"/>
        <v>0</v>
      </c>
      <c r="LC106" s="749"/>
      <c r="LD106" s="2124">
        <f t="shared" si="361"/>
        <v>0</v>
      </c>
      <c r="LE106" s="2093">
        <f t="shared" si="362"/>
        <v>0</v>
      </c>
      <c r="LF106" s="2093">
        <f t="shared" si="363"/>
        <v>0</v>
      </c>
      <c r="LG106" s="2093">
        <f t="shared" si="364"/>
        <v>0</v>
      </c>
      <c r="LH106" s="2094">
        <f t="shared" si="365"/>
        <v>0</v>
      </c>
      <c r="LI106" s="2095">
        <f t="shared" si="366"/>
        <v>0</v>
      </c>
      <c r="LJ106" s="2095">
        <f t="shared" si="367"/>
        <v>0</v>
      </c>
      <c r="LK106" s="2095">
        <f t="shared" si="368"/>
        <v>0</v>
      </c>
      <c r="LL106" s="2095">
        <f t="shared" si="369"/>
        <v>0</v>
      </c>
      <c r="LM106" s="2096">
        <f t="shared" si="370"/>
        <v>0</v>
      </c>
      <c r="LN106" s="749"/>
      <c r="LO106" s="2256">
        <f t="shared" ca="1" si="371"/>
        <v>0</v>
      </c>
      <c r="LP106" s="2270">
        <f t="shared" ca="1" si="372"/>
        <v>0</v>
      </c>
      <c r="LQ106" s="2271">
        <f t="shared" ca="1" si="373"/>
        <v>0</v>
      </c>
      <c r="LR106" s="2271">
        <f t="shared" ca="1" si="374"/>
        <v>0</v>
      </c>
      <c r="LS106" s="2272">
        <f t="shared" ca="1" si="375"/>
        <v>0</v>
      </c>
      <c r="LT106" s="2271">
        <f t="shared" ca="1" si="376"/>
        <v>0</v>
      </c>
      <c r="LU106" s="2271">
        <f t="shared" ca="1" si="377"/>
        <v>0</v>
      </c>
      <c r="LV106" s="2271">
        <f t="shared" ca="1" si="378"/>
        <v>0</v>
      </c>
      <c r="LW106" s="2271">
        <f t="shared" ca="1" si="379"/>
        <v>0</v>
      </c>
      <c r="LX106" s="2273">
        <f t="shared" ca="1" si="380"/>
        <v>0</v>
      </c>
      <c r="LY106" s="479"/>
      <c r="LZ106" s="3128">
        <f t="shared" ca="1" si="173"/>
        <v>-1.73</v>
      </c>
      <c r="MA106" s="3129">
        <f t="shared" ca="1" si="174"/>
        <v>-1.73</v>
      </c>
      <c r="MB106" s="3129">
        <f t="shared" ca="1" si="175"/>
        <v>-1.73</v>
      </c>
      <c r="MC106" s="3129">
        <f t="shared" ca="1" si="176"/>
        <v>-1.73</v>
      </c>
      <c r="MD106" s="3130">
        <f t="shared" ca="1" si="177"/>
        <v>-1.73</v>
      </c>
      <c r="ME106" s="3129">
        <f t="shared" ca="1" si="178"/>
        <v>-1.73</v>
      </c>
      <c r="MF106" s="3129">
        <f t="shared" ca="1" si="179"/>
        <v>-1.73</v>
      </c>
      <c r="MG106" s="3129">
        <f t="shared" ca="1" si="180"/>
        <v>-1.73</v>
      </c>
      <c r="MH106" s="3129">
        <f t="shared" ca="1" si="181"/>
        <v>-1.73</v>
      </c>
      <c r="MI106" s="3131">
        <f t="shared" ca="1" si="182"/>
        <v>-1.73</v>
      </c>
      <c r="MJ106" s="3201"/>
      <c r="MK106" s="3206">
        <f t="shared" ca="1" si="183"/>
        <v>0</v>
      </c>
      <c r="ML106" s="3207">
        <f t="shared" ca="1" si="184"/>
        <v>0</v>
      </c>
      <c r="MM106" s="3207">
        <f t="shared" ca="1" si="185"/>
        <v>0</v>
      </c>
      <c r="MN106" s="3207">
        <f t="shared" ca="1" si="186"/>
        <v>0</v>
      </c>
      <c r="MO106" s="3208">
        <f t="shared" ca="1" si="187"/>
        <v>0</v>
      </c>
      <c r="MP106" s="3207">
        <f t="shared" ca="1" si="188"/>
        <v>0</v>
      </c>
      <c r="MQ106" s="3207">
        <f t="shared" ca="1" si="189"/>
        <v>0</v>
      </c>
      <c r="MR106" s="3207">
        <f t="shared" ca="1" si="190"/>
        <v>0</v>
      </c>
      <c r="MS106" s="3207">
        <f t="shared" ca="1" si="191"/>
        <v>0</v>
      </c>
      <c r="MT106" s="3209">
        <f t="shared" ca="1" si="192"/>
        <v>0</v>
      </c>
      <c r="MU106" s="1983"/>
      <c r="MV106" s="1975"/>
      <c r="MW106" s="1991"/>
      <c r="MX106" s="1931">
        <f t="shared" si="381"/>
        <v>0</v>
      </c>
      <c r="MY106" s="749"/>
      <c r="MZ106" s="1934">
        <f t="shared" si="382"/>
        <v>0</v>
      </c>
      <c r="NA106" s="1935"/>
      <c r="NB106" s="2652">
        <f t="shared" si="383"/>
        <v>0</v>
      </c>
      <c r="NC106" s="479"/>
      <c r="ND106" s="2749" t="str">
        <f t="shared" si="384"/>
        <v/>
      </c>
      <c r="NE106" s="2717"/>
      <c r="NF106" s="1975"/>
      <c r="NG106" s="1975"/>
      <c r="NH106" s="1975"/>
      <c r="NI106" s="1975"/>
    </row>
    <row r="107" spans="1:373" s="192" customFormat="1" ht="15.9" customHeight="1" x14ac:dyDescent="0.3">
      <c r="A107" s="200"/>
      <c r="B107" s="200"/>
      <c r="C107" s="200"/>
      <c r="D107" s="200"/>
      <c r="E107" s="200"/>
      <c r="F107" s="200"/>
      <c r="G107" s="200"/>
      <c r="H107" s="200"/>
      <c r="I107" s="200"/>
      <c r="J107" s="200"/>
      <c r="K107" s="200"/>
      <c r="L107" s="200"/>
      <c r="M107" s="200"/>
      <c r="N107" s="200"/>
      <c r="O107" s="200"/>
      <c r="P107" s="1539"/>
      <c r="Q107" s="1539"/>
      <c r="R107" s="198"/>
      <c r="S107" s="1539"/>
      <c r="T107" s="201"/>
      <c r="U107" s="200"/>
      <c r="V107" s="201">
        <f>MATCH($IC107,'3b Activity Plan'!$DJ$171:$FH$171,0)</f>
        <v>44</v>
      </c>
      <c r="W107" s="201">
        <f>IFERROR(INDEX('3b Activity Plan'!$DJ$6:$FH$6,V107),0)</f>
        <v>0</v>
      </c>
      <c r="X107" s="1768"/>
      <c r="Y107" s="1768">
        <f>IFERROR(INDEX('3b Activity Plan'!$DJ$7:$FH$7,V107),0)</f>
        <v>0</v>
      </c>
      <c r="Z107" s="201"/>
      <c r="AA107" s="201">
        <f>IFERROR(INDEX('3b Activity Plan'!$DJ$34:$FH$34,$V107),0)</f>
        <v>0</v>
      </c>
      <c r="AB107" s="201">
        <f>IFERROR(INDEX('3b Activity Plan'!$DJ$35:$FH$35,$V107),0)</f>
        <v>0</v>
      </c>
      <c r="AC107" s="201">
        <f>IFERROR(INDEX('3b Activity Plan'!$DJ$36:$FH$36,$V107),0)</f>
        <v>0</v>
      </c>
      <c r="AD107" s="201">
        <f>IFERROR(INDEX('3b Activity Plan'!$DJ$37:$FH$37,$V107),0)</f>
        <v>0</v>
      </c>
      <c r="AE107" s="201">
        <f>IFERROR(INDEX('3b Activity Plan'!$DJ$38:$FH$38,$V107),0)</f>
        <v>0</v>
      </c>
      <c r="AF107" s="201">
        <f>IFERROR(INDEX('3b Activity Plan'!$DJ$39:$FH$39,$V107),0)</f>
        <v>0</v>
      </c>
      <c r="AG107" s="201">
        <f>IFERROR(INDEX('3b Activity Plan'!$DJ$40:$FH$40,$V107),0)</f>
        <v>0</v>
      </c>
      <c r="AH107" s="201">
        <f>IFERROR(INDEX('3b Activity Plan'!$DJ$41:$FH$41,$V107),0)</f>
        <v>0</v>
      </c>
      <c r="AI107" s="201">
        <f>IFERROR(INDEX('3b Activity Plan'!$DJ$42:$FH$42,$V107),0)</f>
        <v>0</v>
      </c>
      <c r="AJ107" s="201">
        <f>IFERROR(INDEX('3b Activity Plan'!$DJ$43:$FH$43,$V107),0)</f>
        <v>0</v>
      </c>
      <c r="AK107" s="201"/>
      <c r="AL107" s="201">
        <f>SUMIFS('3a Staff Plan'!$AR$129:$AR$305,'3a Staff Plan'!$DY$129:$DY$305,$IA107,'3a Staff Plan'!$DF$129:$DF$305,1)</f>
        <v>0</v>
      </c>
      <c r="AM107" s="1768"/>
      <c r="AN107" s="1768">
        <f>SUMIFS('3a Staff Plan'!$AR$129:$AR$305,'3a Staff Plan'!$DY$129:$DY$305,$IA107,'3a Staff Plan'!$CV$129:$CV$305,1)</f>
        <v>0</v>
      </c>
      <c r="AO107" s="201"/>
      <c r="AP107" s="201">
        <f>SUMIFS('3a Staff Plan'!$AS$129:$AS$305,'3a Staff Plan'!$DY$129:$DY$305,$IA107,'3a Staff Plan'!$DF$129:$DF$305,1)</f>
        <v>0</v>
      </c>
      <c r="AQ107" s="201">
        <f>SUMIFS('3a Staff Plan'!$AT$129:$AT$305,'3a Staff Plan'!$DY$129:$DY$305,$IA107,'3a Staff Plan'!$DF$129:$DF$305,1)</f>
        <v>0</v>
      </c>
      <c r="AR107" s="201">
        <f>SUMIFS('3a Staff Plan'!$AU$129:$AU$305,'3a Staff Plan'!$DY$129:$DY$305,$IA107,'3a Staff Plan'!$DF$129:$DF$305,1)</f>
        <v>0</v>
      </c>
      <c r="AS107" s="201">
        <f>SUMIFS('3a Staff Plan'!$AV$129:$AV$305,'3a Staff Plan'!$DY$129:$DY$305,$IA107,'3a Staff Plan'!$DF$129:$DF$305,1)</f>
        <v>0</v>
      </c>
      <c r="AT107" s="201">
        <f>SUMIFS('3a Staff Plan'!$AW$129:$AW$305,'3a Staff Plan'!$DY$129:$DY$305,$IA107,'3a Staff Plan'!$DF$129:$DF$305,1)</f>
        <v>0</v>
      </c>
      <c r="AU107" s="201">
        <f>SUMIFS('3a Staff Plan'!$AX$129:$AX$305,'3a Staff Plan'!$DY$129:$DY$305,$IA107,'3a Staff Plan'!$DF$129:$DF$305,1)</f>
        <v>0</v>
      </c>
      <c r="AV107" s="201">
        <f>SUMIFS('3a Staff Plan'!$AY$129:$AY$305,'3a Staff Plan'!$DY$129:$DY$305,$IA107,'3a Staff Plan'!$DF$129:$DF$305,1)</f>
        <v>0</v>
      </c>
      <c r="AW107" s="201">
        <f>SUMIFS('3a Staff Plan'!$AZ$129:$AZ$305,'3a Staff Plan'!$DY$129:$DY$305,$IA107,'3a Staff Plan'!$DF$129:$DF$305,1)</f>
        <v>0</v>
      </c>
      <c r="AX107" s="201">
        <f>SUMIFS('3a Staff Plan'!$BA$129:$BA$305,'3a Staff Plan'!$DY$129:$DY$305,$IA107,'3a Staff Plan'!$DF$129:$DF$305,1)</f>
        <v>0</v>
      </c>
      <c r="AY107" s="201">
        <f>SUMIFS('3a Staff Plan'!$BB$129:$BB$305,'3a Staff Plan'!$DY$129:$DY$305,$IA107,'3a Staff Plan'!$DF$129:$DF$305,1)</f>
        <v>0</v>
      </c>
      <c r="AZ107" s="201"/>
      <c r="BA107" s="201">
        <f t="shared" si="415"/>
        <v>0</v>
      </c>
      <c r="BB107" s="1768"/>
      <c r="BC107" s="1768">
        <f t="shared" si="416"/>
        <v>0</v>
      </c>
      <c r="BD107" s="201"/>
      <c r="BE107" s="201">
        <f t="shared" si="417"/>
        <v>0</v>
      </c>
      <c r="BF107" s="201">
        <f t="shared" si="418"/>
        <v>0</v>
      </c>
      <c r="BG107" s="201">
        <f t="shared" si="419"/>
        <v>0</v>
      </c>
      <c r="BH107" s="201">
        <f t="shared" si="420"/>
        <v>0</v>
      </c>
      <c r="BI107" s="201">
        <f t="shared" si="421"/>
        <v>0</v>
      </c>
      <c r="BJ107" s="201">
        <f t="shared" si="205"/>
        <v>0</v>
      </c>
      <c r="BK107" s="201">
        <f t="shared" si="206"/>
        <v>0</v>
      </c>
      <c r="BL107" s="201">
        <f t="shared" si="207"/>
        <v>0</v>
      </c>
      <c r="BM107" s="201">
        <f t="shared" si="208"/>
        <v>0</v>
      </c>
      <c r="BN107" s="201">
        <f t="shared" si="209"/>
        <v>0</v>
      </c>
      <c r="BO107" s="201"/>
      <c r="BP107" s="1818">
        <f t="shared" si="146"/>
        <v>44</v>
      </c>
      <c r="BQ107" s="1818">
        <f>IFERROR(INDEX('3b Activity Plan'!$DJ$15:$FH$15,BP107),0)</f>
        <v>0</v>
      </c>
      <c r="BR107" s="1768"/>
      <c r="BS107" s="1768">
        <f>IFERROR(INDEX('3b Activity Plan'!$DJ$16:$FH$16,BP107),0)</f>
        <v>0</v>
      </c>
      <c r="BT107" s="201"/>
      <c r="BU107" s="201">
        <f>IFERROR(INDEX('3b Activity Plan'!$DJ$67:$FH$67,$V107),0)</f>
        <v>0</v>
      </c>
      <c r="BV107" s="201">
        <f>IFERROR(INDEX('3b Activity Plan'!$DJ$68:$FH$68,$V107),0)</f>
        <v>0</v>
      </c>
      <c r="BW107" s="201">
        <f>IFERROR(INDEX('3b Activity Plan'!$DJ$69:$FH$69,$V107),0)</f>
        <v>0</v>
      </c>
      <c r="BX107" s="201">
        <f>IFERROR(INDEX('3b Activity Plan'!$DJ$70:$FH$70,$V107),0)</f>
        <v>0</v>
      </c>
      <c r="BY107" s="201">
        <f>IFERROR(INDEX('3b Activity Plan'!$DJ$71:$FH$71,$V107),0)</f>
        <v>0</v>
      </c>
      <c r="BZ107" s="201">
        <f>IFERROR(INDEX('3b Activity Plan'!$DJ$72:$FH$72,$V107),0)</f>
        <v>0</v>
      </c>
      <c r="CA107" s="201">
        <f>IFERROR(INDEX('3b Activity Plan'!$DJ$73:$FH$73,$V107),0)</f>
        <v>0</v>
      </c>
      <c r="CB107" s="201">
        <f>IFERROR(INDEX('3b Activity Plan'!$DJ$74:$FH$74,$V107),0)</f>
        <v>0</v>
      </c>
      <c r="CC107" s="201">
        <f>IFERROR(INDEX('3b Activity Plan'!$DJ$75:$FH$75,$V107),0)</f>
        <v>0</v>
      </c>
      <c r="CD107" s="201">
        <f>IFERROR(INDEX('3b Activity Plan'!$DJ$76:$FH$76,$V107),0)</f>
        <v>0</v>
      </c>
      <c r="CE107" s="201"/>
      <c r="CF107" s="1818">
        <f>SUMIFS('3a Staff Plan'!$AR$129:$AR$305,'3a Staff Plan'!$DY$129:$DY$305,$IA107,'3a Staff Plan'!$AG$129:$AG$305,1,'3a Staff Plan'!$DF$129:$DF$305,1)</f>
        <v>0</v>
      </c>
      <c r="CG107" s="1768">
        <f>SUMIFS('3a Staff Plan'!$AR$129:$AR$305,'3a Staff Plan'!$DY$129:$DY$305,$IA107,'3a Staff Plan'!$AG$129:$AG$305,1,'3a Staff Plan'!$CX$129:$CX$305,1)</f>
        <v>0</v>
      </c>
      <c r="CH107" s="1768">
        <f>SUMIFS('3a Staff Plan'!$AR$129:$AR$305,'3a Staff Plan'!$DY$129:$DY$305,$IA107,'3a Staff Plan'!$AG$129:$AG$305,1,'3a Staff Plan'!$CV$129:$CV$305,1)</f>
        <v>0</v>
      </c>
      <c r="CI107" s="201"/>
      <c r="CJ107" s="201">
        <f>SUMIFS('3a Staff Plan'!$BX$129:$BX$305,'3a Staff Plan'!$DY$129:$DY$305,$IA107,'3a Staff Plan'!$DF$129:$DF$305,1,'3a Staff Plan'!$AG$129:$AG$305,1)</f>
        <v>0</v>
      </c>
      <c r="CK107" s="201">
        <f>SUMIFS('3a Staff Plan'!$BY$129:$BY$305,'3a Staff Plan'!$DY$129:$DY$305,$IA107,'3a Staff Plan'!$DF$129:$DF$305,1,'3a Staff Plan'!$AG$129:$AG$305,1)</f>
        <v>0</v>
      </c>
      <c r="CL107" s="201">
        <f>SUMIFS('3a Staff Plan'!$BZ$129:$BZ$305,'3a Staff Plan'!$DY$129:$DY$305,$IA107,'3a Staff Plan'!$DF$129:$DF$305,1,'3a Staff Plan'!$AG$129:$AG$305,1)</f>
        <v>0</v>
      </c>
      <c r="CM107" s="201">
        <f>SUMIFS('3a Staff Plan'!$CA$129:$CA$305,'3a Staff Plan'!$DY$129:$DY$305,$IA107,'3a Staff Plan'!$DF$129:$DF$305,1,'3a Staff Plan'!$AG$129:$AG$305,1)</f>
        <v>0</v>
      </c>
      <c r="CN107" s="201">
        <f>SUMIFS('3a Staff Plan'!$CB$129:$CB$305,'3a Staff Plan'!$DY$129:$DY$305,$IA107,'3a Staff Plan'!$DF$129:$DF$305,1,'3a Staff Plan'!$AG$129:$AG$305,1)</f>
        <v>0</v>
      </c>
      <c r="CO107" s="201">
        <f>SUMIFS('3a Staff Plan'!$CC$129:$CC$305,'3a Staff Plan'!$DY$129:$DY$305,$IA107,'3a Staff Plan'!$DF$129:$DF$305,1,'3a Staff Plan'!$AG$129:$AG$305,1)</f>
        <v>0</v>
      </c>
      <c r="CP107" s="201">
        <f>SUMIFS('3a Staff Plan'!$CD$129:$CD$305,'3a Staff Plan'!$DY$129:$DY$305,$IA107,'3a Staff Plan'!$DF$129:$DF$305,1,'3a Staff Plan'!$AG$129:$AG$305,1)</f>
        <v>0</v>
      </c>
      <c r="CQ107" s="201">
        <f>SUMIFS('3a Staff Plan'!$CE$129:$CE$305,'3a Staff Plan'!$DY$129:$DY$305,$IA107,'3a Staff Plan'!$DF$129:$DF$305,1,'3a Staff Plan'!$AG$129:$AG$305,1)</f>
        <v>0</v>
      </c>
      <c r="CR107" s="201">
        <f>SUMIFS('3a Staff Plan'!$CF$129:$CF$305,'3a Staff Plan'!$DY$129:$DY$305,$IA107,'3a Staff Plan'!$DF$129:$DF$305,1,'3a Staff Plan'!$AG$129:$AG$305,1)</f>
        <v>0</v>
      </c>
      <c r="CS107" s="201">
        <f>SUMIFS('3a Staff Plan'!$CG$129:$CG$305,'3a Staff Plan'!$DY$129:$DY$305,$IA107,'3a Staff Plan'!$DF$129:$DF$305,1,'3a Staff Plan'!$AG$129:$AG$305,1)</f>
        <v>0</v>
      </c>
      <c r="CT107" s="201"/>
      <c r="CU107" s="1818">
        <f t="shared" si="210"/>
        <v>0</v>
      </c>
      <c r="CV107" s="1768"/>
      <c r="CW107" s="1768">
        <f t="shared" si="211"/>
        <v>0</v>
      </c>
      <c r="CX107" s="201"/>
      <c r="CY107" s="201">
        <f t="shared" si="212"/>
        <v>0</v>
      </c>
      <c r="CZ107" s="201">
        <f t="shared" si="213"/>
        <v>0</v>
      </c>
      <c r="DA107" s="201">
        <f t="shared" si="214"/>
        <v>0</v>
      </c>
      <c r="DB107" s="201">
        <f t="shared" si="215"/>
        <v>0</v>
      </c>
      <c r="DC107" s="201">
        <f t="shared" si="216"/>
        <v>0</v>
      </c>
      <c r="DD107" s="201">
        <f t="shared" si="217"/>
        <v>0</v>
      </c>
      <c r="DE107" s="201">
        <f t="shared" si="218"/>
        <v>0</v>
      </c>
      <c r="DF107" s="201">
        <f t="shared" si="219"/>
        <v>0</v>
      </c>
      <c r="DG107" s="201">
        <f t="shared" si="220"/>
        <v>0</v>
      </c>
      <c r="DH107" s="201">
        <f t="shared" si="221"/>
        <v>0</v>
      </c>
      <c r="DI107" s="201"/>
      <c r="DJ107" s="201"/>
      <c r="DK107" s="201"/>
      <c r="DL107" s="201"/>
      <c r="DM107" s="372">
        <f t="shared" ca="1" si="283"/>
        <v>0</v>
      </c>
      <c r="DN107" s="1185">
        <f t="shared" si="284"/>
        <v>0</v>
      </c>
      <c r="DO107" s="1185">
        <f t="shared" si="285"/>
        <v>0</v>
      </c>
      <c r="DP107" s="201"/>
      <c r="DQ107" s="372">
        <f t="shared" ca="1" si="286"/>
        <v>0</v>
      </c>
      <c r="DR107" s="1185">
        <f t="shared" si="287"/>
        <v>0</v>
      </c>
      <c r="DS107" s="1185">
        <f t="shared" si="288"/>
        <v>0</v>
      </c>
      <c r="DT107" s="201"/>
      <c r="DU107" s="372">
        <f t="shared" ca="1" si="289"/>
        <v>0</v>
      </c>
      <c r="DV107" s="372">
        <f t="shared" si="290"/>
        <v>0</v>
      </c>
      <c r="DW107" s="372">
        <f t="shared" si="290"/>
        <v>0</v>
      </c>
      <c r="DX107" s="201"/>
      <c r="DY107" s="372">
        <f t="shared" si="291"/>
        <v>0</v>
      </c>
      <c r="DZ107" s="372">
        <f t="shared" ca="1" si="292"/>
        <v>0</v>
      </c>
      <c r="EA107" s="201"/>
      <c r="EB107" s="2776">
        <f>IF(EO107=$EO$53,1,IFERROR(INDEX('Currency Data'!$L$8:$L$41,MATCH(EO107,'Currency Data'!$H$8:$H$41,0)),1))</f>
        <v>1</v>
      </c>
      <c r="EC107" s="2776">
        <f t="shared" si="422"/>
        <v>1</v>
      </c>
      <c r="ED107" s="428">
        <f>IF(GQ107=1,'1 Setup'!$T$68,IF(ISBLANK(IJ107),II107/EC107*IF(GL107=1,$ED$53,1),IJ107/EC107)*IF($EW107=7,JW107,1))</f>
        <v>0</v>
      </c>
      <c r="EE107" s="428">
        <f t="shared" si="293"/>
        <v>0</v>
      </c>
      <c r="EF107" s="428"/>
      <c r="EG107" s="1965" t="str">
        <f t="shared" si="148"/>
        <v>031500 - Highways UK</v>
      </c>
      <c r="EH107" s="201">
        <f t="shared" si="149"/>
        <v>1</v>
      </c>
      <c r="EI107" s="445" t="str">
        <f>IF(EH107=1,$EI$53,IF(GQ107=1,$GQ$55,IFERROR(IF($EG107=$EG$53,$EI$53,INDEX('PU List'!$G$6:$G$413,MATCH($EG107,'PU List'!$D$6:$D$413,0))),$EI$53)))</f>
        <v>GB - BIAF</v>
      </c>
      <c r="EJ107" s="2773" t="str">
        <f t="shared" si="150"/>
        <v>GB - BIAF</v>
      </c>
      <c r="EK107" s="1768"/>
      <c r="EL107" s="3283">
        <f>IF(OR(EW107&gt;7,$EL$53=0),0,IF(EJ107=$EI$53,$EL$53,IFERROR(INDEX('Fringe Data'!$U$8:$U$129,MATCH($EJ107,'Fringe Data'!$F$8:$F$129,0)),0)))</f>
        <v>1.73</v>
      </c>
      <c r="EM107" s="372">
        <f t="shared" si="294"/>
        <v>0</v>
      </c>
      <c r="EN107" s="201" t="str">
        <f>IFERROR(INDEX('Fringe Data'!$G$8:$G$64,MATCH($EJ107,'Fringe Data'!$F$8:$F$64,0)),$EO$53)</f>
        <v>GBP</v>
      </c>
      <c r="EO107" s="201" t="str">
        <f t="shared" si="151"/>
        <v>GBP</v>
      </c>
      <c r="EP107" s="201">
        <f>IF(EI107=$EI$53,$EP$49,IF(GP107=1,0,IFERROR(INDEX('Fringe Data'!$K$8:$K$64,MATCH($EI107,'Fringe Data'!$F$8:$F$64,0)),0)))</f>
        <v>0.52</v>
      </c>
      <c r="EQ107" s="201">
        <f>IF(EI107=$EI$53,$EQ$49,IF(GP107=1,0,IFERROR(INDEX('Fringe Data'!$L$8:$L$64,MATCH($EI107,'Fringe Data'!$F$8:$F$64,0)),0)))</f>
        <v>1.8499999999999999E-2</v>
      </c>
      <c r="ER107" s="201">
        <f>IF(EI107=$EI$53,$ER$49,IF(GP107=1,0,IFERROR(INDEX('Fringe Data'!$M$8:$M$64,MATCH($EI107,'Fringe Data'!$F$8:$F$64,0)),0)))</f>
        <v>0.43430000000000002</v>
      </c>
      <c r="ES107" s="201">
        <f>IF(EI107=$EI$53,$ES$49,IF(GP107=1,0,IFERROR(INDEX('Fringe Data'!$N$8:$N$64,MATCH($EI107,'Fringe Data'!$F$8:$F$64,0)),0)))</f>
        <v>0.1565</v>
      </c>
      <c r="ET107" s="201">
        <f>IF(EI107=$EI$53,$ET$49,IF(GP107=1,0,IFERROR(INDEX('Fringe Data'!$O$8:$O$64,MATCH($EI107,'Fringe Data'!$F$8:$F$64,0)),0)))</f>
        <v>0.33450000000000002</v>
      </c>
      <c r="EU107" s="263">
        <f>IF(EI107=$EI$53,$EU$49,IF(GP107=1,0,IFERROR(INDEX('Fringe Data'!$P$8:$P$64,MATCH($EI107,'Fringe Data'!$F$8:$F$64,0)),0)))</f>
        <v>0.1565</v>
      </c>
      <c r="EV107" s="201"/>
      <c r="EW107" s="1530">
        <f t="shared" si="295"/>
        <v>1</v>
      </c>
      <c r="EX107" s="1534">
        <f t="shared" si="152"/>
        <v>0.52</v>
      </c>
      <c r="EY107" s="321">
        <f t="shared" si="153"/>
        <v>0</v>
      </c>
      <c r="EZ107" s="201">
        <f t="shared" si="154"/>
        <v>0</v>
      </c>
      <c r="FA107" s="372">
        <f t="shared" si="296"/>
        <v>0</v>
      </c>
      <c r="FB107" s="372">
        <f t="shared" si="297"/>
        <v>0</v>
      </c>
      <c r="FC107" s="201">
        <f t="shared" ca="1" si="155"/>
        <v>0</v>
      </c>
      <c r="FD107" s="423">
        <f t="shared" si="298"/>
        <v>0</v>
      </c>
      <c r="FE107" s="423">
        <f t="shared" si="299"/>
        <v>0</v>
      </c>
      <c r="FF107" s="201">
        <f t="shared" si="156"/>
        <v>0</v>
      </c>
      <c r="FG107" s="425">
        <f>IF(OR($FJ$52=3,$FJ$52=4,$FJ$52=5),'1 Setup'!$W$96,0)</f>
        <v>0</v>
      </c>
      <c r="FH107" s="428">
        <f>IF($FJ$52=5,'1 Setup'!$W$98,IF($FJ$52=6,'1 Setup'!$S$86,0))</f>
        <v>0</v>
      </c>
      <c r="FI107" s="321">
        <f t="shared" ca="1" si="300"/>
        <v>0</v>
      </c>
      <c r="FJ107" s="263">
        <f t="shared" ca="1" si="157"/>
        <v>0</v>
      </c>
      <c r="FK107" s="372">
        <f t="shared" ca="1" si="301"/>
        <v>0</v>
      </c>
      <c r="FL107" s="372">
        <f t="shared" si="302"/>
        <v>0</v>
      </c>
      <c r="FM107" s="372">
        <f t="shared" si="303"/>
        <v>0</v>
      </c>
      <c r="FN107" s="2036">
        <f t="shared" ca="1" si="304"/>
        <v>0</v>
      </c>
      <c r="FO107" s="372">
        <f t="shared" ca="1" si="224"/>
        <v>0</v>
      </c>
      <c r="FP107" s="2723">
        <f t="shared" si="158"/>
        <v>0</v>
      </c>
      <c r="FQ107" s="372">
        <f t="shared" si="305"/>
        <v>0</v>
      </c>
      <c r="FR107" s="372">
        <f t="shared" si="159"/>
        <v>0</v>
      </c>
      <c r="FS107" s="1168"/>
      <c r="FT107" s="1168">
        <f t="shared" si="306"/>
        <v>0</v>
      </c>
      <c r="FU107" s="1168">
        <f t="shared" si="307"/>
        <v>0</v>
      </c>
      <c r="FV107" s="1168">
        <f t="shared" si="308"/>
        <v>0</v>
      </c>
      <c r="FW107" s="1168">
        <f t="shared" si="309"/>
        <v>0</v>
      </c>
      <c r="FX107" s="1168">
        <f t="shared" si="310"/>
        <v>0</v>
      </c>
      <c r="FY107" s="1168">
        <f t="shared" si="311"/>
        <v>0</v>
      </c>
      <c r="FZ107" s="1168">
        <f t="shared" si="312"/>
        <v>0</v>
      </c>
      <c r="GA107" s="1168">
        <f t="shared" si="313"/>
        <v>0</v>
      </c>
      <c r="GB107" s="1168">
        <f t="shared" si="314"/>
        <v>0</v>
      </c>
      <c r="GC107" s="1168">
        <f t="shared" si="315"/>
        <v>0</v>
      </c>
      <c r="GD107" s="1168"/>
      <c r="GE107" s="199"/>
      <c r="GF107" s="201">
        <f t="shared" si="316"/>
        <v>0</v>
      </c>
      <c r="GG107" s="201">
        <f t="shared" si="317"/>
        <v>0</v>
      </c>
      <c r="GH107" s="201">
        <f t="shared" si="318"/>
        <v>0</v>
      </c>
      <c r="GI107" s="201">
        <f t="shared" ca="1" si="160"/>
        <v>0</v>
      </c>
      <c r="GJ107" s="201">
        <f t="shared" si="319"/>
        <v>0</v>
      </c>
      <c r="GK107" s="201">
        <f t="shared" si="320"/>
        <v>0</v>
      </c>
      <c r="GL107" s="201">
        <f t="shared" si="321"/>
        <v>1</v>
      </c>
      <c r="GM107" s="201">
        <f t="shared" si="322"/>
        <v>1</v>
      </c>
      <c r="GN107" s="201"/>
      <c r="GO107" s="201"/>
      <c r="GP107" s="201">
        <f t="shared" si="323"/>
        <v>0</v>
      </c>
      <c r="GQ107" s="201">
        <f t="shared" si="324"/>
        <v>0</v>
      </c>
      <c r="GR107" s="201">
        <f t="shared" si="161"/>
        <v>0</v>
      </c>
      <c r="GS107" s="1768"/>
      <c r="GT107" s="201">
        <f t="shared" si="325"/>
        <v>1</v>
      </c>
      <c r="GU107" s="201">
        <f t="shared" si="193"/>
        <v>44</v>
      </c>
      <c r="GV107" s="201">
        <f t="shared" si="326"/>
        <v>0</v>
      </c>
      <c r="GW107" s="201">
        <f t="shared" si="327"/>
        <v>3</v>
      </c>
      <c r="GX107" s="201">
        <f t="shared" si="162"/>
        <v>0</v>
      </c>
      <c r="GY107" s="1998"/>
      <c r="GZ107" s="253"/>
      <c r="HA107" s="195">
        <f t="shared" si="423"/>
        <v>0</v>
      </c>
      <c r="HB107" s="3558">
        <f t="shared" si="424"/>
        <v>0</v>
      </c>
      <c r="HC107" s="3590"/>
      <c r="HD107" s="257" t="str">
        <f t="shared" si="328"/>
        <v/>
      </c>
      <c r="HE107" s="825">
        <f t="shared" si="329"/>
        <v>0</v>
      </c>
      <c r="HF107" s="506" t="s">
        <v>5</v>
      </c>
      <c r="HG107" s="508">
        <f t="shared" ca="1" si="330"/>
        <v>0</v>
      </c>
      <c r="HH107" s="3585">
        <f t="shared" si="331"/>
        <v>0</v>
      </c>
      <c r="HI107" s="3586"/>
      <c r="HJ107" s="967">
        <f t="shared" ca="1" si="425"/>
        <v>0</v>
      </c>
      <c r="HK107" s="456">
        <f t="shared" ca="1" si="226"/>
        <v>0</v>
      </c>
      <c r="HL107" s="3591">
        <f t="shared" ca="1" si="426"/>
        <v>0</v>
      </c>
      <c r="HM107" s="3592"/>
      <c r="HN107" s="240"/>
      <c r="HO107" s="1998"/>
      <c r="HP107" s="1991"/>
      <c r="HQ107" s="2770" t="str">
        <f t="shared" si="332"/>
        <v>GB - BIAF</v>
      </c>
      <c r="HR107" s="2770" t="str">
        <f t="shared" si="333"/>
        <v>GBP</v>
      </c>
      <c r="HS107" s="2771">
        <f t="shared" si="334"/>
        <v>1</v>
      </c>
      <c r="HT107" s="3623"/>
      <c r="HU107" s="2771">
        <f t="shared" si="335"/>
        <v>1.73</v>
      </c>
      <c r="HW107" s="1218"/>
      <c r="HX107" s="520"/>
      <c r="HY107" s="2523"/>
      <c r="HZ107" s="194"/>
      <c r="IA107" s="1013"/>
      <c r="IB107" s="193"/>
      <c r="IC107" s="3276">
        <v>44</v>
      </c>
      <c r="ID107" s="986"/>
      <c r="IE107" s="938">
        <f t="shared" si="164"/>
        <v>0</v>
      </c>
      <c r="IF107" s="938">
        <f t="shared" si="165"/>
        <v>0</v>
      </c>
      <c r="IG107" s="432"/>
      <c r="II107" s="405"/>
      <c r="IJ107" s="239"/>
      <c r="IK107" s="2774" t="str">
        <f t="shared" si="166"/>
        <v>GBP</v>
      </c>
      <c r="IL107" s="2148"/>
      <c r="IM107" s="1936">
        <f t="shared" si="336"/>
        <v>0</v>
      </c>
      <c r="IO107" s="1959" t="str">
        <f t="shared" si="337"/>
        <v/>
      </c>
      <c r="IP107" s="1958"/>
      <c r="IQ107" s="543">
        <f t="shared" si="338"/>
        <v>0.52</v>
      </c>
      <c r="IR107" s="1936">
        <f t="shared" si="339"/>
        <v>0</v>
      </c>
      <c r="IT107" s="1364"/>
      <c r="IU107" s="210"/>
      <c r="IV107" s="218"/>
      <c r="IW107" s="1938">
        <f ca="1">IF(NOT(ISBLANK(IU107)),IU107,IF('1 Setup'!$G$8&lt;7,JK107,FJ107))+KA107</f>
        <v>0</v>
      </c>
      <c r="IX107" s="409">
        <f t="shared" si="340"/>
        <v>0</v>
      </c>
      <c r="IY107" s="408">
        <f t="shared" si="341"/>
        <v>0</v>
      </c>
      <c r="IZ107" s="1983"/>
      <c r="JA107" s="1994"/>
      <c r="JB107" s="1991"/>
      <c r="JD107" s="2029">
        <f t="shared" si="167"/>
        <v>0</v>
      </c>
      <c r="JE107" s="479"/>
      <c r="JF107" s="2025">
        <f t="shared" si="342"/>
        <v>0</v>
      </c>
      <c r="JG107" s="429">
        <f t="shared" si="343"/>
        <v>0</v>
      </c>
      <c r="JH107" s="1667">
        <f t="shared" si="344"/>
        <v>0</v>
      </c>
      <c r="JJ107" s="1163">
        <f t="shared" ca="1" si="345"/>
        <v>0</v>
      </c>
      <c r="JK107" s="1163">
        <f t="shared" ca="1" si="346"/>
        <v>0</v>
      </c>
      <c r="JL107" s="1795"/>
      <c r="JN107" s="2505"/>
      <c r="JO107" s="1161"/>
      <c r="JP107" s="571">
        <f t="shared" ca="1" si="410"/>
        <v>0</v>
      </c>
      <c r="JQ107" s="2506"/>
      <c r="JR107" s="1953"/>
      <c r="JS107" s="2650"/>
      <c r="JT107" s="2507"/>
      <c r="JU107" s="1964">
        <f t="shared" si="347"/>
        <v>0.33450000000000002</v>
      </c>
      <c r="JV107" s="3199"/>
      <c r="JW107" s="2649">
        <f t="shared" si="348"/>
        <v>1.5</v>
      </c>
      <c r="JX107" s="1964">
        <f t="shared" si="168"/>
        <v>0.1565</v>
      </c>
      <c r="JY107" s="3199"/>
      <c r="JZ107" s="2649">
        <f t="shared" si="169"/>
        <v>0</v>
      </c>
      <c r="KA107" s="2649">
        <f t="shared" si="170"/>
        <v>0</v>
      </c>
      <c r="KB107" s="2649" t="s">
        <v>111</v>
      </c>
      <c r="KC107" s="1983"/>
      <c r="KD107" s="1974"/>
      <c r="KE107" s="1991"/>
      <c r="KF107" s="2029">
        <f t="shared" si="171"/>
        <v>0</v>
      </c>
      <c r="KG107" s="1991"/>
      <c r="KH107" s="2121">
        <f t="shared" si="349"/>
        <v>0</v>
      </c>
      <c r="KI107" s="2130">
        <f t="shared" si="350"/>
        <v>0</v>
      </c>
      <c r="KJ107" s="2130">
        <f t="shared" si="351"/>
        <v>0</v>
      </c>
      <c r="KK107" s="2130">
        <f t="shared" si="352"/>
        <v>0</v>
      </c>
      <c r="KL107" s="2131">
        <f t="shared" si="353"/>
        <v>0</v>
      </c>
      <c r="KM107" s="2132">
        <f t="shared" si="354"/>
        <v>0</v>
      </c>
      <c r="KN107" s="2132">
        <f t="shared" si="355"/>
        <v>0</v>
      </c>
      <c r="KO107" s="2132">
        <f t="shared" si="356"/>
        <v>0</v>
      </c>
      <c r="KP107" s="2132">
        <f t="shared" si="357"/>
        <v>0</v>
      </c>
      <c r="KQ107" s="2133">
        <f t="shared" si="358"/>
        <v>0</v>
      </c>
      <c r="KS107" s="2253">
        <f t="shared" si="359"/>
        <v>0</v>
      </c>
      <c r="KT107" s="2270">
        <f t="shared" ref="KT107:LB107" si="432">KS107*(1+(KT$60))</f>
        <v>0</v>
      </c>
      <c r="KU107" s="2271">
        <f t="shared" si="432"/>
        <v>0</v>
      </c>
      <c r="KV107" s="2271">
        <f t="shared" si="432"/>
        <v>0</v>
      </c>
      <c r="KW107" s="2272">
        <f t="shared" si="432"/>
        <v>0</v>
      </c>
      <c r="KX107" s="2271">
        <f t="shared" si="432"/>
        <v>0</v>
      </c>
      <c r="KY107" s="2271">
        <f t="shared" si="432"/>
        <v>0</v>
      </c>
      <c r="KZ107" s="2271">
        <f t="shared" si="432"/>
        <v>0</v>
      </c>
      <c r="LA107" s="2271">
        <f t="shared" si="432"/>
        <v>0</v>
      </c>
      <c r="LB107" s="2273">
        <f t="shared" si="432"/>
        <v>0</v>
      </c>
      <c r="LC107" s="749"/>
      <c r="LD107" s="2124">
        <f t="shared" si="361"/>
        <v>0</v>
      </c>
      <c r="LE107" s="2093">
        <f t="shared" si="362"/>
        <v>0</v>
      </c>
      <c r="LF107" s="2093">
        <f t="shared" si="363"/>
        <v>0</v>
      </c>
      <c r="LG107" s="2093">
        <f t="shared" si="364"/>
        <v>0</v>
      </c>
      <c r="LH107" s="2094">
        <f t="shared" si="365"/>
        <v>0</v>
      </c>
      <c r="LI107" s="2095">
        <f t="shared" si="366"/>
        <v>0</v>
      </c>
      <c r="LJ107" s="2095">
        <f t="shared" si="367"/>
        <v>0</v>
      </c>
      <c r="LK107" s="2095">
        <f t="shared" si="368"/>
        <v>0</v>
      </c>
      <c r="LL107" s="2095">
        <f t="shared" si="369"/>
        <v>0</v>
      </c>
      <c r="LM107" s="2096">
        <f t="shared" si="370"/>
        <v>0</v>
      </c>
      <c r="LN107" s="749"/>
      <c r="LO107" s="2256">
        <f t="shared" ca="1" si="371"/>
        <v>0</v>
      </c>
      <c r="LP107" s="2270">
        <f t="shared" ca="1" si="372"/>
        <v>0</v>
      </c>
      <c r="LQ107" s="2271">
        <f t="shared" ca="1" si="373"/>
        <v>0</v>
      </c>
      <c r="LR107" s="2271">
        <f t="shared" ca="1" si="374"/>
        <v>0</v>
      </c>
      <c r="LS107" s="2272">
        <f t="shared" ca="1" si="375"/>
        <v>0</v>
      </c>
      <c r="LT107" s="2271">
        <f t="shared" ca="1" si="376"/>
        <v>0</v>
      </c>
      <c r="LU107" s="2271">
        <f t="shared" ca="1" si="377"/>
        <v>0</v>
      </c>
      <c r="LV107" s="2271">
        <f t="shared" ca="1" si="378"/>
        <v>0</v>
      </c>
      <c r="LW107" s="2271">
        <f t="shared" ca="1" si="379"/>
        <v>0</v>
      </c>
      <c r="LX107" s="2273">
        <f t="shared" ca="1" si="380"/>
        <v>0</v>
      </c>
      <c r="LY107" s="479"/>
      <c r="LZ107" s="3128">
        <f t="shared" ca="1" si="173"/>
        <v>-1.73</v>
      </c>
      <c r="MA107" s="3129">
        <f t="shared" ca="1" si="174"/>
        <v>-1.73</v>
      </c>
      <c r="MB107" s="3129">
        <f t="shared" ca="1" si="175"/>
        <v>-1.73</v>
      </c>
      <c r="MC107" s="3129">
        <f t="shared" ca="1" si="176"/>
        <v>-1.73</v>
      </c>
      <c r="MD107" s="3130">
        <f t="shared" ca="1" si="177"/>
        <v>-1.73</v>
      </c>
      <c r="ME107" s="3129">
        <f t="shared" ca="1" si="178"/>
        <v>-1.73</v>
      </c>
      <c r="MF107" s="3129">
        <f t="shared" ca="1" si="179"/>
        <v>-1.73</v>
      </c>
      <c r="MG107" s="3129">
        <f t="shared" ca="1" si="180"/>
        <v>-1.73</v>
      </c>
      <c r="MH107" s="3129">
        <f t="shared" ca="1" si="181"/>
        <v>-1.73</v>
      </c>
      <c r="MI107" s="3131">
        <f t="shared" ca="1" si="182"/>
        <v>-1.73</v>
      </c>
      <c r="MJ107" s="3201"/>
      <c r="MK107" s="3206">
        <f t="shared" ca="1" si="183"/>
        <v>0</v>
      </c>
      <c r="ML107" s="3207">
        <f t="shared" ca="1" si="184"/>
        <v>0</v>
      </c>
      <c r="MM107" s="3207">
        <f t="shared" ca="1" si="185"/>
        <v>0</v>
      </c>
      <c r="MN107" s="3207">
        <f t="shared" ca="1" si="186"/>
        <v>0</v>
      </c>
      <c r="MO107" s="3208">
        <f t="shared" ca="1" si="187"/>
        <v>0</v>
      </c>
      <c r="MP107" s="3207">
        <f t="shared" ca="1" si="188"/>
        <v>0</v>
      </c>
      <c r="MQ107" s="3207">
        <f t="shared" ca="1" si="189"/>
        <v>0</v>
      </c>
      <c r="MR107" s="3207">
        <f t="shared" ca="1" si="190"/>
        <v>0</v>
      </c>
      <c r="MS107" s="3207">
        <f t="shared" ca="1" si="191"/>
        <v>0</v>
      </c>
      <c r="MT107" s="3209">
        <f t="shared" ca="1" si="192"/>
        <v>0</v>
      </c>
      <c r="MU107" s="1983"/>
      <c r="MV107" s="1975"/>
      <c r="MW107" s="1991"/>
      <c r="MX107" s="1931">
        <f t="shared" si="381"/>
        <v>0</v>
      </c>
      <c r="MY107" s="749"/>
      <c r="MZ107" s="1934">
        <f t="shared" si="382"/>
        <v>0</v>
      </c>
      <c r="NA107" s="1935"/>
      <c r="NB107" s="2652">
        <f t="shared" si="383"/>
        <v>0</v>
      </c>
      <c r="NC107" s="479"/>
      <c r="ND107" s="2749" t="str">
        <f t="shared" si="384"/>
        <v/>
      </c>
      <c r="NE107" s="2717"/>
      <c r="NF107" s="1975"/>
      <c r="NG107" s="1975"/>
      <c r="NH107" s="1975"/>
      <c r="NI107" s="1975"/>
    </row>
    <row r="108" spans="1:373" s="192" customFormat="1" ht="15.9" customHeight="1" x14ac:dyDescent="0.3">
      <c r="A108" s="200"/>
      <c r="B108" s="200"/>
      <c r="C108" s="200"/>
      <c r="D108" s="200"/>
      <c r="E108" s="200"/>
      <c r="F108" s="200"/>
      <c r="G108" s="200"/>
      <c r="H108" s="200"/>
      <c r="I108" s="200"/>
      <c r="J108" s="200"/>
      <c r="K108" s="200"/>
      <c r="L108" s="200"/>
      <c r="M108" s="200"/>
      <c r="N108" s="200"/>
      <c r="O108" s="200"/>
      <c r="P108" s="1539"/>
      <c r="Q108" s="1539"/>
      <c r="R108" s="198"/>
      <c r="S108" s="1539"/>
      <c r="T108" s="201"/>
      <c r="U108" s="200"/>
      <c r="V108" s="201">
        <f>MATCH($IC108,'3b Activity Plan'!$DJ$171:$FH$171,0)</f>
        <v>45</v>
      </c>
      <c r="W108" s="201">
        <f>IFERROR(INDEX('3b Activity Plan'!$DJ$6:$FH$6,V108),0)</f>
        <v>0</v>
      </c>
      <c r="X108" s="1768"/>
      <c r="Y108" s="1768">
        <f>IFERROR(INDEX('3b Activity Plan'!$DJ$7:$FH$7,V108),0)</f>
        <v>0</v>
      </c>
      <c r="Z108" s="201"/>
      <c r="AA108" s="201">
        <f>IFERROR(INDEX('3b Activity Plan'!$DJ$34:$FH$34,$V108),0)</f>
        <v>0</v>
      </c>
      <c r="AB108" s="201">
        <f>IFERROR(INDEX('3b Activity Plan'!$DJ$35:$FH$35,$V108),0)</f>
        <v>0</v>
      </c>
      <c r="AC108" s="201">
        <f>IFERROR(INDEX('3b Activity Plan'!$DJ$36:$FH$36,$V108),0)</f>
        <v>0</v>
      </c>
      <c r="AD108" s="201">
        <f>IFERROR(INDEX('3b Activity Plan'!$DJ$37:$FH$37,$V108),0)</f>
        <v>0</v>
      </c>
      <c r="AE108" s="201">
        <f>IFERROR(INDEX('3b Activity Plan'!$DJ$38:$FH$38,$V108),0)</f>
        <v>0</v>
      </c>
      <c r="AF108" s="201">
        <f>IFERROR(INDEX('3b Activity Plan'!$DJ$39:$FH$39,$V108),0)</f>
        <v>0</v>
      </c>
      <c r="AG108" s="201">
        <f>IFERROR(INDEX('3b Activity Plan'!$DJ$40:$FH$40,$V108),0)</f>
        <v>0</v>
      </c>
      <c r="AH108" s="201">
        <f>IFERROR(INDEX('3b Activity Plan'!$DJ$41:$FH$41,$V108),0)</f>
        <v>0</v>
      </c>
      <c r="AI108" s="201">
        <f>IFERROR(INDEX('3b Activity Plan'!$DJ$42:$FH$42,$V108),0)</f>
        <v>0</v>
      </c>
      <c r="AJ108" s="201">
        <f>IFERROR(INDEX('3b Activity Plan'!$DJ$43:$FH$43,$V108),0)</f>
        <v>0</v>
      </c>
      <c r="AK108" s="201"/>
      <c r="AL108" s="201">
        <f>SUMIFS('3a Staff Plan'!$AR$129:$AR$305,'3a Staff Plan'!$DY$129:$DY$305,$IA108,'3a Staff Plan'!$DF$129:$DF$305,1)</f>
        <v>0</v>
      </c>
      <c r="AM108" s="1768"/>
      <c r="AN108" s="1768">
        <f>SUMIFS('3a Staff Plan'!$AR$129:$AR$305,'3a Staff Plan'!$DY$129:$DY$305,$IA108,'3a Staff Plan'!$CV$129:$CV$305,1)</f>
        <v>0</v>
      </c>
      <c r="AO108" s="201"/>
      <c r="AP108" s="201">
        <f>SUMIFS('3a Staff Plan'!$AS$129:$AS$305,'3a Staff Plan'!$DY$129:$DY$305,$IA108,'3a Staff Plan'!$DF$129:$DF$305,1)</f>
        <v>0</v>
      </c>
      <c r="AQ108" s="201">
        <f>SUMIFS('3a Staff Plan'!$AT$129:$AT$305,'3a Staff Plan'!$DY$129:$DY$305,$IA108,'3a Staff Plan'!$DF$129:$DF$305,1)</f>
        <v>0</v>
      </c>
      <c r="AR108" s="201">
        <f>SUMIFS('3a Staff Plan'!$AU$129:$AU$305,'3a Staff Plan'!$DY$129:$DY$305,$IA108,'3a Staff Plan'!$DF$129:$DF$305,1)</f>
        <v>0</v>
      </c>
      <c r="AS108" s="201">
        <f>SUMIFS('3a Staff Plan'!$AV$129:$AV$305,'3a Staff Plan'!$DY$129:$DY$305,$IA108,'3a Staff Plan'!$DF$129:$DF$305,1)</f>
        <v>0</v>
      </c>
      <c r="AT108" s="201">
        <f>SUMIFS('3a Staff Plan'!$AW$129:$AW$305,'3a Staff Plan'!$DY$129:$DY$305,$IA108,'3a Staff Plan'!$DF$129:$DF$305,1)</f>
        <v>0</v>
      </c>
      <c r="AU108" s="201">
        <f>SUMIFS('3a Staff Plan'!$AX$129:$AX$305,'3a Staff Plan'!$DY$129:$DY$305,$IA108,'3a Staff Plan'!$DF$129:$DF$305,1)</f>
        <v>0</v>
      </c>
      <c r="AV108" s="201">
        <f>SUMIFS('3a Staff Plan'!$AY$129:$AY$305,'3a Staff Plan'!$DY$129:$DY$305,$IA108,'3a Staff Plan'!$DF$129:$DF$305,1)</f>
        <v>0</v>
      </c>
      <c r="AW108" s="201">
        <f>SUMIFS('3a Staff Plan'!$AZ$129:$AZ$305,'3a Staff Plan'!$DY$129:$DY$305,$IA108,'3a Staff Plan'!$DF$129:$DF$305,1)</f>
        <v>0</v>
      </c>
      <c r="AX108" s="201">
        <f>SUMIFS('3a Staff Plan'!$BA$129:$BA$305,'3a Staff Plan'!$DY$129:$DY$305,$IA108,'3a Staff Plan'!$DF$129:$DF$305,1)</f>
        <v>0</v>
      </c>
      <c r="AY108" s="201">
        <f>SUMIFS('3a Staff Plan'!$BB$129:$BB$305,'3a Staff Plan'!$DY$129:$DY$305,$IA108,'3a Staff Plan'!$DF$129:$DF$305,1)</f>
        <v>0</v>
      </c>
      <c r="AZ108" s="201"/>
      <c r="BA108" s="201">
        <f t="shared" si="415"/>
        <v>0</v>
      </c>
      <c r="BB108" s="1768"/>
      <c r="BC108" s="1768">
        <f t="shared" si="416"/>
        <v>0</v>
      </c>
      <c r="BD108" s="201"/>
      <c r="BE108" s="201">
        <f t="shared" si="417"/>
        <v>0</v>
      </c>
      <c r="BF108" s="201">
        <f t="shared" si="418"/>
        <v>0</v>
      </c>
      <c r="BG108" s="201">
        <f t="shared" si="419"/>
        <v>0</v>
      </c>
      <c r="BH108" s="201">
        <f t="shared" si="420"/>
        <v>0</v>
      </c>
      <c r="BI108" s="201">
        <f t="shared" si="421"/>
        <v>0</v>
      </c>
      <c r="BJ108" s="201">
        <f t="shared" si="205"/>
        <v>0</v>
      </c>
      <c r="BK108" s="201">
        <f t="shared" si="206"/>
        <v>0</v>
      </c>
      <c r="BL108" s="201">
        <f t="shared" si="207"/>
        <v>0</v>
      </c>
      <c r="BM108" s="201">
        <f t="shared" si="208"/>
        <v>0</v>
      </c>
      <c r="BN108" s="201">
        <f t="shared" si="209"/>
        <v>0</v>
      </c>
      <c r="BO108" s="201"/>
      <c r="BP108" s="1818">
        <f t="shared" si="146"/>
        <v>45</v>
      </c>
      <c r="BQ108" s="1818">
        <f>IFERROR(INDEX('3b Activity Plan'!$DJ$15:$FH$15,BP108),0)</f>
        <v>0</v>
      </c>
      <c r="BR108" s="1768"/>
      <c r="BS108" s="1768">
        <f>IFERROR(INDEX('3b Activity Plan'!$DJ$16:$FH$16,BP108),0)</f>
        <v>0</v>
      </c>
      <c r="BT108" s="201"/>
      <c r="BU108" s="201">
        <f>IFERROR(INDEX('3b Activity Plan'!$DJ$67:$FH$67,$V108),0)</f>
        <v>0</v>
      </c>
      <c r="BV108" s="201">
        <f>IFERROR(INDEX('3b Activity Plan'!$DJ$68:$FH$68,$V108),0)</f>
        <v>0</v>
      </c>
      <c r="BW108" s="201">
        <f>IFERROR(INDEX('3b Activity Plan'!$DJ$69:$FH$69,$V108),0)</f>
        <v>0</v>
      </c>
      <c r="BX108" s="201">
        <f>IFERROR(INDEX('3b Activity Plan'!$DJ$70:$FH$70,$V108),0)</f>
        <v>0</v>
      </c>
      <c r="BY108" s="201">
        <f>IFERROR(INDEX('3b Activity Plan'!$DJ$71:$FH$71,$V108),0)</f>
        <v>0</v>
      </c>
      <c r="BZ108" s="201">
        <f>IFERROR(INDEX('3b Activity Plan'!$DJ$72:$FH$72,$V108),0)</f>
        <v>0</v>
      </c>
      <c r="CA108" s="201">
        <f>IFERROR(INDEX('3b Activity Plan'!$DJ$73:$FH$73,$V108),0)</f>
        <v>0</v>
      </c>
      <c r="CB108" s="201">
        <f>IFERROR(INDEX('3b Activity Plan'!$DJ$74:$FH$74,$V108),0)</f>
        <v>0</v>
      </c>
      <c r="CC108" s="201">
        <f>IFERROR(INDEX('3b Activity Plan'!$DJ$75:$FH$75,$V108),0)</f>
        <v>0</v>
      </c>
      <c r="CD108" s="201">
        <f>IFERROR(INDEX('3b Activity Plan'!$DJ$76:$FH$76,$V108),0)</f>
        <v>0</v>
      </c>
      <c r="CE108" s="201"/>
      <c r="CF108" s="1818">
        <f>SUMIFS('3a Staff Plan'!$AR$129:$AR$305,'3a Staff Plan'!$DY$129:$DY$305,$IA108,'3a Staff Plan'!$AG$129:$AG$305,1,'3a Staff Plan'!$DF$129:$DF$305,1)</f>
        <v>0</v>
      </c>
      <c r="CG108" s="1768">
        <f>SUMIFS('3a Staff Plan'!$AR$129:$AR$305,'3a Staff Plan'!$DY$129:$DY$305,$IA108,'3a Staff Plan'!$AG$129:$AG$305,1,'3a Staff Plan'!$CX$129:$CX$305,1)</f>
        <v>0</v>
      </c>
      <c r="CH108" s="1768">
        <f>SUMIFS('3a Staff Plan'!$AR$129:$AR$305,'3a Staff Plan'!$DY$129:$DY$305,$IA108,'3a Staff Plan'!$AG$129:$AG$305,1,'3a Staff Plan'!$CV$129:$CV$305,1)</f>
        <v>0</v>
      </c>
      <c r="CI108" s="201"/>
      <c r="CJ108" s="201">
        <f>SUMIFS('3a Staff Plan'!$BX$129:$BX$305,'3a Staff Plan'!$DY$129:$DY$305,$IA108,'3a Staff Plan'!$DF$129:$DF$305,1,'3a Staff Plan'!$AG$129:$AG$305,1)</f>
        <v>0</v>
      </c>
      <c r="CK108" s="201">
        <f>SUMIFS('3a Staff Plan'!$BY$129:$BY$305,'3a Staff Plan'!$DY$129:$DY$305,$IA108,'3a Staff Plan'!$DF$129:$DF$305,1,'3a Staff Plan'!$AG$129:$AG$305,1)</f>
        <v>0</v>
      </c>
      <c r="CL108" s="201">
        <f>SUMIFS('3a Staff Plan'!$BZ$129:$BZ$305,'3a Staff Plan'!$DY$129:$DY$305,$IA108,'3a Staff Plan'!$DF$129:$DF$305,1,'3a Staff Plan'!$AG$129:$AG$305,1)</f>
        <v>0</v>
      </c>
      <c r="CM108" s="201">
        <f>SUMIFS('3a Staff Plan'!$CA$129:$CA$305,'3a Staff Plan'!$DY$129:$DY$305,$IA108,'3a Staff Plan'!$DF$129:$DF$305,1,'3a Staff Plan'!$AG$129:$AG$305,1)</f>
        <v>0</v>
      </c>
      <c r="CN108" s="201">
        <f>SUMIFS('3a Staff Plan'!$CB$129:$CB$305,'3a Staff Plan'!$DY$129:$DY$305,$IA108,'3a Staff Plan'!$DF$129:$DF$305,1,'3a Staff Plan'!$AG$129:$AG$305,1)</f>
        <v>0</v>
      </c>
      <c r="CO108" s="201">
        <f>SUMIFS('3a Staff Plan'!$CC$129:$CC$305,'3a Staff Plan'!$DY$129:$DY$305,$IA108,'3a Staff Plan'!$DF$129:$DF$305,1,'3a Staff Plan'!$AG$129:$AG$305,1)</f>
        <v>0</v>
      </c>
      <c r="CP108" s="201">
        <f>SUMIFS('3a Staff Plan'!$CD$129:$CD$305,'3a Staff Plan'!$DY$129:$DY$305,$IA108,'3a Staff Plan'!$DF$129:$DF$305,1,'3a Staff Plan'!$AG$129:$AG$305,1)</f>
        <v>0</v>
      </c>
      <c r="CQ108" s="201">
        <f>SUMIFS('3a Staff Plan'!$CE$129:$CE$305,'3a Staff Plan'!$DY$129:$DY$305,$IA108,'3a Staff Plan'!$DF$129:$DF$305,1,'3a Staff Plan'!$AG$129:$AG$305,1)</f>
        <v>0</v>
      </c>
      <c r="CR108" s="201">
        <f>SUMIFS('3a Staff Plan'!$CF$129:$CF$305,'3a Staff Plan'!$DY$129:$DY$305,$IA108,'3a Staff Plan'!$DF$129:$DF$305,1,'3a Staff Plan'!$AG$129:$AG$305,1)</f>
        <v>0</v>
      </c>
      <c r="CS108" s="201">
        <f>SUMIFS('3a Staff Plan'!$CG$129:$CG$305,'3a Staff Plan'!$DY$129:$DY$305,$IA108,'3a Staff Plan'!$DF$129:$DF$305,1,'3a Staff Plan'!$AG$129:$AG$305,1)</f>
        <v>0</v>
      </c>
      <c r="CT108" s="201"/>
      <c r="CU108" s="1818">
        <f t="shared" si="210"/>
        <v>0</v>
      </c>
      <c r="CV108" s="1768"/>
      <c r="CW108" s="1768">
        <f t="shared" si="211"/>
        <v>0</v>
      </c>
      <c r="CX108" s="201"/>
      <c r="CY108" s="201">
        <f t="shared" si="212"/>
        <v>0</v>
      </c>
      <c r="CZ108" s="201">
        <f t="shared" si="213"/>
        <v>0</v>
      </c>
      <c r="DA108" s="201">
        <f t="shared" si="214"/>
        <v>0</v>
      </c>
      <c r="DB108" s="201">
        <f t="shared" si="215"/>
        <v>0</v>
      </c>
      <c r="DC108" s="201">
        <f t="shared" si="216"/>
        <v>0</v>
      </c>
      <c r="DD108" s="201">
        <f t="shared" si="217"/>
        <v>0</v>
      </c>
      <c r="DE108" s="201">
        <f t="shared" si="218"/>
        <v>0</v>
      </c>
      <c r="DF108" s="201">
        <f t="shared" si="219"/>
        <v>0</v>
      </c>
      <c r="DG108" s="201">
        <f t="shared" si="220"/>
        <v>0</v>
      </c>
      <c r="DH108" s="201">
        <f t="shared" si="221"/>
        <v>0</v>
      </c>
      <c r="DI108" s="201"/>
      <c r="DJ108" s="201"/>
      <c r="DK108" s="201"/>
      <c r="DL108" s="201"/>
      <c r="DM108" s="372">
        <f t="shared" ca="1" si="283"/>
        <v>0</v>
      </c>
      <c r="DN108" s="1185">
        <f t="shared" si="284"/>
        <v>0</v>
      </c>
      <c r="DO108" s="1185">
        <f t="shared" si="285"/>
        <v>0</v>
      </c>
      <c r="DP108" s="201"/>
      <c r="DQ108" s="372">
        <f t="shared" ca="1" si="286"/>
        <v>0</v>
      </c>
      <c r="DR108" s="1185">
        <f t="shared" si="287"/>
        <v>0</v>
      </c>
      <c r="DS108" s="1185">
        <f t="shared" si="288"/>
        <v>0</v>
      </c>
      <c r="DT108" s="201"/>
      <c r="DU108" s="372">
        <f t="shared" ca="1" si="289"/>
        <v>0</v>
      </c>
      <c r="DV108" s="372">
        <f t="shared" si="290"/>
        <v>0</v>
      </c>
      <c r="DW108" s="372">
        <f t="shared" si="290"/>
        <v>0</v>
      </c>
      <c r="DX108" s="201"/>
      <c r="DY108" s="372">
        <f t="shared" si="291"/>
        <v>0</v>
      </c>
      <c r="DZ108" s="372">
        <f t="shared" ca="1" si="292"/>
        <v>0</v>
      </c>
      <c r="EA108" s="201"/>
      <c r="EB108" s="2776">
        <f>IF(EO108=$EO$53,1,IFERROR(INDEX('Currency Data'!$L$8:$L$41,MATCH(EO108,'Currency Data'!$H$8:$H$41,0)),1))</f>
        <v>1</v>
      </c>
      <c r="EC108" s="2776">
        <f t="shared" si="422"/>
        <v>1</v>
      </c>
      <c r="ED108" s="428">
        <f>IF(GQ108=1,'1 Setup'!$T$68,IF(ISBLANK(IJ108),II108/EC108*IF(GL108=1,$ED$53,1),IJ108/EC108)*IF($EW108=7,JW108,1))</f>
        <v>0</v>
      </c>
      <c r="EE108" s="428">
        <f t="shared" si="293"/>
        <v>0</v>
      </c>
      <c r="EF108" s="428"/>
      <c r="EG108" s="1965" t="str">
        <f t="shared" si="148"/>
        <v>031500 - Highways UK</v>
      </c>
      <c r="EH108" s="201">
        <f t="shared" si="149"/>
        <v>1</v>
      </c>
      <c r="EI108" s="445" t="str">
        <f>IF(EH108=1,$EI$53,IF(GQ108=1,$GQ$55,IFERROR(IF($EG108=$EG$53,$EI$53,INDEX('PU List'!$G$6:$G$413,MATCH($EG108,'PU List'!$D$6:$D$413,0))),$EI$53)))</f>
        <v>GB - BIAF</v>
      </c>
      <c r="EJ108" s="2773" t="str">
        <f t="shared" si="150"/>
        <v>GB - BIAF</v>
      </c>
      <c r="EK108" s="1768"/>
      <c r="EL108" s="3283">
        <f>IF(OR(EW108&gt;7,$EL$53=0),0,IF(EJ108=$EI$53,$EL$53,IFERROR(INDEX('Fringe Data'!$U$8:$U$129,MATCH($EJ108,'Fringe Data'!$F$8:$F$129,0)),0)))</f>
        <v>1.73</v>
      </c>
      <c r="EM108" s="372">
        <f t="shared" si="294"/>
        <v>0</v>
      </c>
      <c r="EN108" s="201" t="str">
        <f>IFERROR(INDEX('Fringe Data'!$G$8:$G$64,MATCH($EJ108,'Fringe Data'!$F$8:$F$64,0)),$EO$53)</f>
        <v>GBP</v>
      </c>
      <c r="EO108" s="201" t="str">
        <f t="shared" si="151"/>
        <v>GBP</v>
      </c>
      <c r="EP108" s="201">
        <f>IF(EI108=$EI$53,$EP$49,IF(GP108=1,0,IFERROR(INDEX('Fringe Data'!$K$8:$K$64,MATCH($EI108,'Fringe Data'!$F$8:$F$64,0)),0)))</f>
        <v>0.52</v>
      </c>
      <c r="EQ108" s="201">
        <f>IF(EI108=$EI$53,$EQ$49,IF(GP108=1,0,IFERROR(INDEX('Fringe Data'!$L$8:$L$64,MATCH($EI108,'Fringe Data'!$F$8:$F$64,0)),0)))</f>
        <v>1.8499999999999999E-2</v>
      </c>
      <c r="ER108" s="201">
        <f>IF(EI108=$EI$53,$ER$49,IF(GP108=1,0,IFERROR(INDEX('Fringe Data'!$M$8:$M$64,MATCH($EI108,'Fringe Data'!$F$8:$F$64,0)),0)))</f>
        <v>0.43430000000000002</v>
      </c>
      <c r="ES108" s="201">
        <f>IF(EI108=$EI$53,$ES$49,IF(GP108=1,0,IFERROR(INDEX('Fringe Data'!$N$8:$N$64,MATCH($EI108,'Fringe Data'!$F$8:$F$64,0)),0)))</f>
        <v>0.1565</v>
      </c>
      <c r="ET108" s="201">
        <f>IF(EI108=$EI$53,$ET$49,IF(GP108=1,0,IFERROR(INDEX('Fringe Data'!$O$8:$O$64,MATCH($EI108,'Fringe Data'!$F$8:$F$64,0)),0)))</f>
        <v>0.33450000000000002</v>
      </c>
      <c r="EU108" s="263">
        <f>IF(EI108=$EI$53,$EU$49,IF(GP108=1,0,IFERROR(INDEX('Fringe Data'!$P$8:$P$64,MATCH($EI108,'Fringe Data'!$F$8:$F$64,0)),0)))</f>
        <v>0.1565</v>
      </c>
      <c r="EV108" s="201"/>
      <c r="EW108" s="1530">
        <f t="shared" si="295"/>
        <v>1</v>
      </c>
      <c r="EX108" s="1534">
        <f t="shared" si="152"/>
        <v>0.52</v>
      </c>
      <c r="EY108" s="321">
        <f t="shared" si="153"/>
        <v>0</v>
      </c>
      <c r="EZ108" s="201">
        <f t="shared" si="154"/>
        <v>0</v>
      </c>
      <c r="FA108" s="372">
        <f t="shared" si="296"/>
        <v>0</v>
      </c>
      <c r="FB108" s="372">
        <f t="shared" si="297"/>
        <v>0</v>
      </c>
      <c r="FC108" s="201">
        <f t="shared" ca="1" si="155"/>
        <v>0</v>
      </c>
      <c r="FD108" s="423">
        <f t="shared" si="298"/>
        <v>0</v>
      </c>
      <c r="FE108" s="423">
        <f t="shared" si="299"/>
        <v>0</v>
      </c>
      <c r="FF108" s="201">
        <f t="shared" si="156"/>
        <v>0</v>
      </c>
      <c r="FG108" s="425">
        <f>IF(OR($FJ$52=3,$FJ$52=4,$FJ$52=5),'1 Setup'!$W$96,0)</f>
        <v>0</v>
      </c>
      <c r="FH108" s="428">
        <f>IF($FJ$52=5,'1 Setup'!$W$98,IF($FJ$52=6,'1 Setup'!$S$86,0))</f>
        <v>0</v>
      </c>
      <c r="FI108" s="321">
        <f t="shared" ca="1" si="300"/>
        <v>0</v>
      </c>
      <c r="FJ108" s="263">
        <f t="shared" ca="1" si="157"/>
        <v>0</v>
      </c>
      <c r="FK108" s="372">
        <f t="shared" ca="1" si="301"/>
        <v>0</v>
      </c>
      <c r="FL108" s="372">
        <f t="shared" si="302"/>
        <v>0</v>
      </c>
      <c r="FM108" s="372">
        <f t="shared" si="303"/>
        <v>0</v>
      </c>
      <c r="FN108" s="2036">
        <f t="shared" ca="1" si="304"/>
        <v>0</v>
      </c>
      <c r="FO108" s="372">
        <f t="shared" ca="1" si="224"/>
        <v>0</v>
      </c>
      <c r="FP108" s="2723">
        <f t="shared" si="158"/>
        <v>0</v>
      </c>
      <c r="FQ108" s="372">
        <f t="shared" si="305"/>
        <v>0</v>
      </c>
      <c r="FR108" s="372">
        <f t="shared" si="159"/>
        <v>0</v>
      </c>
      <c r="FS108" s="1168"/>
      <c r="FT108" s="1168">
        <f t="shared" si="306"/>
        <v>0</v>
      </c>
      <c r="FU108" s="1168">
        <f t="shared" si="307"/>
        <v>0</v>
      </c>
      <c r="FV108" s="1168">
        <f t="shared" si="308"/>
        <v>0</v>
      </c>
      <c r="FW108" s="1168">
        <f t="shared" si="309"/>
        <v>0</v>
      </c>
      <c r="FX108" s="1168">
        <f t="shared" si="310"/>
        <v>0</v>
      </c>
      <c r="FY108" s="1168">
        <f t="shared" si="311"/>
        <v>0</v>
      </c>
      <c r="FZ108" s="1168">
        <f t="shared" si="312"/>
        <v>0</v>
      </c>
      <c r="GA108" s="1168">
        <f t="shared" si="313"/>
        <v>0</v>
      </c>
      <c r="GB108" s="1168">
        <f t="shared" si="314"/>
        <v>0</v>
      </c>
      <c r="GC108" s="1168">
        <f t="shared" si="315"/>
        <v>0</v>
      </c>
      <c r="GD108" s="1168"/>
      <c r="GE108" s="199"/>
      <c r="GF108" s="201">
        <f t="shared" si="316"/>
        <v>0</v>
      </c>
      <c r="GG108" s="201">
        <f t="shared" si="317"/>
        <v>0</v>
      </c>
      <c r="GH108" s="201">
        <f t="shared" si="318"/>
        <v>0</v>
      </c>
      <c r="GI108" s="201">
        <f t="shared" ca="1" si="160"/>
        <v>0</v>
      </c>
      <c r="GJ108" s="201">
        <f t="shared" si="319"/>
        <v>0</v>
      </c>
      <c r="GK108" s="201">
        <f t="shared" si="320"/>
        <v>0</v>
      </c>
      <c r="GL108" s="201">
        <f t="shared" si="321"/>
        <v>1</v>
      </c>
      <c r="GM108" s="201">
        <f t="shared" si="322"/>
        <v>1</v>
      </c>
      <c r="GN108" s="201"/>
      <c r="GO108" s="201"/>
      <c r="GP108" s="201">
        <f t="shared" si="323"/>
        <v>0</v>
      </c>
      <c r="GQ108" s="201">
        <f t="shared" si="324"/>
        <v>0</v>
      </c>
      <c r="GR108" s="201">
        <f t="shared" si="161"/>
        <v>0</v>
      </c>
      <c r="GS108" s="1768"/>
      <c r="GT108" s="201">
        <f t="shared" si="325"/>
        <v>1</v>
      </c>
      <c r="GU108" s="201">
        <f t="shared" si="193"/>
        <v>45</v>
      </c>
      <c r="GV108" s="201">
        <f t="shared" si="326"/>
        <v>0</v>
      </c>
      <c r="GW108" s="201">
        <f t="shared" si="327"/>
        <v>3</v>
      </c>
      <c r="GX108" s="201">
        <f t="shared" si="162"/>
        <v>0</v>
      </c>
      <c r="GY108" s="1998"/>
      <c r="GZ108" s="253"/>
      <c r="HA108" s="195">
        <f t="shared" si="423"/>
        <v>0</v>
      </c>
      <c r="HB108" s="3558">
        <f t="shared" si="424"/>
        <v>0</v>
      </c>
      <c r="HC108" s="3590"/>
      <c r="HD108" s="257" t="str">
        <f t="shared" si="328"/>
        <v/>
      </c>
      <c r="HE108" s="825">
        <f t="shared" si="329"/>
        <v>0</v>
      </c>
      <c r="HF108" s="506" t="s">
        <v>5</v>
      </c>
      <c r="HG108" s="508">
        <f t="shared" ca="1" si="330"/>
        <v>0</v>
      </c>
      <c r="HH108" s="3585">
        <f t="shared" si="331"/>
        <v>0</v>
      </c>
      <c r="HI108" s="3586"/>
      <c r="HJ108" s="967">
        <f t="shared" ca="1" si="425"/>
        <v>0</v>
      </c>
      <c r="HK108" s="456">
        <f t="shared" ca="1" si="226"/>
        <v>0</v>
      </c>
      <c r="HL108" s="3591">
        <f t="shared" ca="1" si="426"/>
        <v>0</v>
      </c>
      <c r="HM108" s="3592"/>
      <c r="HN108" s="240"/>
      <c r="HO108" s="1998"/>
      <c r="HP108" s="1991"/>
      <c r="HQ108" s="2770" t="str">
        <f t="shared" si="332"/>
        <v>GB - BIAF</v>
      </c>
      <c r="HR108" s="2770" t="str">
        <f t="shared" si="333"/>
        <v>GBP</v>
      </c>
      <c r="HS108" s="2771">
        <f t="shared" si="334"/>
        <v>1</v>
      </c>
      <c r="HT108" s="3488"/>
      <c r="HU108" s="2771">
        <f t="shared" si="335"/>
        <v>1.73</v>
      </c>
      <c r="HW108" s="1218"/>
      <c r="HX108" s="520"/>
      <c r="HY108" s="2523"/>
      <c r="HZ108" s="194"/>
      <c r="IA108" s="1013"/>
      <c r="IB108" s="193"/>
      <c r="IC108" s="3276">
        <v>45</v>
      </c>
      <c r="ID108" s="986"/>
      <c r="IE108" s="938">
        <f t="shared" si="164"/>
        <v>0</v>
      </c>
      <c r="IF108" s="938">
        <f t="shared" si="165"/>
        <v>0</v>
      </c>
      <c r="IG108" s="432"/>
      <c r="II108" s="405"/>
      <c r="IJ108" s="239"/>
      <c r="IK108" s="2774" t="str">
        <f t="shared" si="166"/>
        <v>GBP</v>
      </c>
      <c r="IL108" s="2148"/>
      <c r="IM108" s="1936">
        <f t="shared" si="336"/>
        <v>0</v>
      </c>
      <c r="IO108" s="1959" t="str">
        <f t="shared" si="337"/>
        <v/>
      </c>
      <c r="IP108" s="1958"/>
      <c r="IQ108" s="543">
        <f t="shared" si="338"/>
        <v>0.52</v>
      </c>
      <c r="IR108" s="1936">
        <f t="shared" si="339"/>
        <v>0</v>
      </c>
      <c r="IT108" s="1364"/>
      <c r="IU108" s="210"/>
      <c r="IV108" s="218"/>
      <c r="IW108" s="1938">
        <f ca="1">IF(NOT(ISBLANK(IU108)),IU108,IF('1 Setup'!$G$8&lt;7,JK108,FJ108))+KA108</f>
        <v>0</v>
      </c>
      <c r="IX108" s="409">
        <f t="shared" si="340"/>
        <v>0</v>
      </c>
      <c r="IY108" s="408">
        <f t="shared" si="341"/>
        <v>0</v>
      </c>
      <c r="IZ108" s="1983"/>
      <c r="JA108" s="1994"/>
      <c r="JB108" s="1991"/>
      <c r="JD108" s="2029">
        <f t="shared" si="167"/>
        <v>0</v>
      </c>
      <c r="JE108" s="479"/>
      <c r="JF108" s="2025">
        <f t="shared" si="342"/>
        <v>0</v>
      </c>
      <c r="JG108" s="429">
        <f t="shared" si="343"/>
        <v>0</v>
      </c>
      <c r="JH108" s="1667">
        <f t="shared" si="344"/>
        <v>0</v>
      </c>
      <c r="JJ108" s="1163">
        <f t="shared" ca="1" si="345"/>
        <v>0</v>
      </c>
      <c r="JK108" s="1163">
        <f t="shared" ca="1" si="346"/>
        <v>0</v>
      </c>
      <c r="JL108" s="1795"/>
      <c r="JN108" s="2505"/>
      <c r="JO108" s="1161"/>
      <c r="JP108" s="571">
        <f t="shared" ca="1" si="410"/>
        <v>0</v>
      </c>
      <c r="JQ108" s="2506"/>
      <c r="JR108" s="1953"/>
      <c r="JS108" s="2650"/>
      <c r="JT108" s="2507"/>
      <c r="JU108" s="1964">
        <f t="shared" si="347"/>
        <v>0.33450000000000002</v>
      </c>
      <c r="JV108" s="3199"/>
      <c r="JW108" s="2649">
        <f t="shared" si="348"/>
        <v>1.5</v>
      </c>
      <c r="JX108" s="1964">
        <f t="shared" si="168"/>
        <v>0.1565</v>
      </c>
      <c r="JY108" s="3199"/>
      <c r="JZ108" s="2649">
        <f t="shared" si="169"/>
        <v>0</v>
      </c>
      <c r="KA108" s="2649">
        <f t="shared" si="170"/>
        <v>0</v>
      </c>
      <c r="KB108" s="2649" t="s">
        <v>111</v>
      </c>
      <c r="KC108" s="1983"/>
      <c r="KD108" s="1974"/>
      <c r="KE108" s="1991"/>
      <c r="KF108" s="2029">
        <f t="shared" si="171"/>
        <v>0</v>
      </c>
      <c r="KG108" s="1991"/>
      <c r="KH108" s="2121">
        <f t="shared" si="349"/>
        <v>0</v>
      </c>
      <c r="KI108" s="2130">
        <f t="shared" si="350"/>
        <v>0</v>
      </c>
      <c r="KJ108" s="2130">
        <f t="shared" si="351"/>
        <v>0</v>
      </c>
      <c r="KK108" s="2130">
        <f t="shared" si="352"/>
        <v>0</v>
      </c>
      <c r="KL108" s="2131">
        <f t="shared" si="353"/>
        <v>0</v>
      </c>
      <c r="KM108" s="2132">
        <f t="shared" si="354"/>
        <v>0</v>
      </c>
      <c r="KN108" s="2132">
        <f t="shared" si="355"/>
        <v>0</v>
      </c>
      <c r="KO108" s="2132">
        <f t="shared" si="356"/>
        <v>0</v>
      </c>
      <c r="KP108" s="2132">
        <f t="shared" si="357"/>
        <v>0</v>
      </c>
      <c r="KQ108" s="2133">
        <f t="shared" si="358"/>
        <v>0</v>
      </c>
      <c r="KS108" s="2253">
        <f t="shared" si="359"/>
        <v>0</v>
      </c>
      <c r="KT108" s="2270">
        <f t="shared" ref="KT108:LB108" si="433">KS108*(1+(KT$60))</f>
        <v>0</v>
      </c>
      <c r="KU108" s="2271">
        <f t="shared" si="433"/>
        <v>0</v>
      </c>
      <c r="KV108" s="2271">
        <f t="shared" si="433"/>
        <v>0</v>
      </c>
      <c r="KW108" s="2272">
        <f t="shared" si="433"/>
        <v>0</v>
      </c>
      <c r="KX108" s="2271">
        <f t="shared" si="433"/>
        <v>0</v>
      </c>
      <c r="KY108" s="2271">
        <f t="shared" si="433"/>
        <v>0</v>
      </c>
      <c r="KZ108" s="2271">
        <f t="shared" si="433"/>
        <v>0</v>
      </c>
      <c r="LA108" s="2271">
        <f t="shared" si="433"/>
        <v>0</v>
      </c>
      <c r="LB108" s="2273">
        <f t="shared" si="433"/>
        <v>0</v>
      </c>
      <c r="LC108" s="749"/>
      <c r="LD108" s="2124">
        <f t="shared" si="361"/>
        <v>0</v>
      </c>
      <c r="LE108" s="2093">
        <f t="shared" si="362"/>
        <v>0</v>
      </c>
      <c r="LF108" s="2093">
        <f t="shared" si="363"/>
        <v>0</v>
      </c>
      <c r="LG108" s="2093">
        <f t="shared" si="364"/>
        <v>0</v>
      </c>
      <c r="LH108" s="2094">
        <f t="shared" si="365"/>
        <v>0</v>
      </c>
      <c r="LI108" s="2095">
        <f t="shared" si="366"/>
        <v>0</v>
      </c>
      <c r="LJ108" s="2095">
        <f t="shared" si="367"/>
        <v>0</v>
      </c>
      <c r="LK108" s="2095">
        <f t="shared" si="368"/>
        <v>0</v>
      </c>
      <c r="LL108" s="2095">
        <f t="shared" si="369"/>
        <v>0</v>
      </c>
      <c r="LM108" s="2096">
        <f t="shared" si="370"/>
        <v>0</v>
      </c>
      <c r="LN108" s="749"/>
      <c r="LO108" s="2256">
        <f t="shared" ca="1" si="371"/>
        <v>0</v>
      </c>
      <c r="LP108" s="2270">
        <f t="shared" ca="1" si="372"/>
        <v>0</v>
      </c>
      <c r="LQ108" s="2271">
        <f t="shared" ca="1" si="373"/>
        <v>0</v>
      </c>
      <c r="LR108" s="2271">
        <f t="shared" ca="1" si="374"/>
        <v>0</v>
      </c>
      <c r="LS108" s="2272">
        <f t="shared" ca="1" si="375"/>
        <v>0</v>
      </c>
      <c r="LT108" s="2271">
        <f t="shared" ca="1" si="376"/>
        <v>0</v>
      </c>
      <c r="LU108" s="2271">
        <f t="shared" ca="1" si="377"/>
        <v>0</v>
      </c>
      <c r="LV108" s="2271">
        <f t="shared" ca="1" si="378"/>
        <v>0</v>
      </c>
      <c r="LW108" s="2271">
        <f t="shared" ca="1" si="379"/>
        <v>0</v>
      </c>
      <c r="LX108" s="2273">
        <f t="shared" ca="1" si="380"/>
        <v>0</v>
      </c>
      <c r="LY108" s="479"/>
      <c r="LZ108" s="3128">
        <f t="shared" ca="1" si="173"/>
        <v>-1.73</v>
      </c>
      <c r="MA108" s="3129">
        <f t="shared" ca="1" si="174"/>
        <v>-1.73</v>
      </c>
      <c r="MB108" s="3129">
        <f t="shared" ca="1" si="175"/>
        <v>-1.73</v>
      </c>
      <c r="MC108" s="3129">
        <f t="shared" ca="1" si="176"/>
        <v>-1.73</v>
      </c>
      <c r="MD108" s="3130">
        <f t="shared" ca="1" si="177"/>
        <v>-1.73</v>
      </c>
      <c r="ME108" s="3129">
        <f t="shared" ca="1" si="178"/>
        <v>-1.73</v>
      </c>
      <c r="MF108" s="3129">
        <f t="shared" ca="1" si="179"/>
        <v>-1.73</v>
      </c>
      <c r="MG108" s="3129">
        <f t="shared" ca="1" si="180"/>
        <v>-1.73</v>
      </c>
      <c r="MH108" s="3129">
        <f t="shared" ca="1" si="181"/>
        <v>-1.73</v>
      </c>
      <c r="MI108" s="3131">
        <f t="shared" ca="1" si="182"/>
        <v>-1.73</v>
      </c>
      <c r="MJ108" s="3201"/>
      <c r="MK108" s="3206">
        <f t="shared" ca="1" si="183"/>
        <v>0</v>
      </c>
      <c r="ML108" s="3207">
        <f t="shared" ca="1" si="184"/>
        <v>0</v>
      </c>
      <c r="MM108" s="3207">
        <f t="shared" ca="1" si="185"/>
        <v>0</v>
      </c>
      <c r="MN108" s="3207">
        <f t="shared" ca="1" si="186"/>
        <v>0</v>
      </c>
      <c r="MO108" s="3208">
        <f t="shared" ca="1" si="187"/>
        <v>0</v>
      </c>
      <c r="MP108" s="3207">
        <f t="shared" ca="1" si="188"/>
        <v>0</v>
      </c>
      <c r="MQ108" s="3207">
        <f t="shared" ca="1" si="189"/>
        <v>0</v>
      </c>
      <c r="MR108" s="3207">
        <f t="shared" ca="1" si="190"/>
        <v>0</v>
      </c>
      <c r="MS108" s="3207">
        <f t="shared" ca="1" si="191"/>
        <v>0</v>
      </c>
      <c r="MT108" s="3209">
        <f t="shared" ca="1" si="192"/>
        <v>0</v>
      </c>
      <c r="MU108" s="1983"/>
      <c r="MV108" s="1975"/>
      <c r="MW108" s="1991"/>
      <c r="MX108" s="1931">
        <f t="shared" si="381"/>
        <v>0</v>
      </c>
      <c r="MY108" s="749"/>
      <c r="MZ108" s="1934">
        <f t="shared" si="382"/>
        <v>0</v>
      </c>
      <c r="NA108" s="1935"/>
      <c r="NB108" s="2652">
        <f t="shared" si="383"/>
        <v>0</v>
      </c>
      <c r="NC108" s="479"/>
      <c r="ND108" s="2749" t="str">
        <f t="shared" si="384"/>
        <v/>
      </c>
      <c r="NE108" s="2717"/>
      <c r="NF108" s="1975"/>
      <c r="NG108" s="1975"/>
      <c r="NH108" s="1975"/>
      <c r="NI108" s="1975"/>
    </row>
    <row r="109" spans="1:373" s="192" customFormat="1" ht="15.9" customHeight="1" x14ac:dyDescent="0.3">
      <c r="A109" s="200"/>
      <c r="B109" s="200"/>
      <c r="C109" s="200"/>
      <c r="D109" s="200"/>
      <c r="E109" s="200"/>
      <c r="F109" s="200"/>
      <c r="G109" s="200"/>
      <c r="H109" s="200"/>
      <c r="I109" s="200"/>
      <c r="J109" s="200"/>
      <c r="K109" s="200"/>
      <c r="L109" s="200"/>
      <c r="M109" s="200"/>
      <c r="N109" s="200"/>
      <c r="O109" s="200"/>
      <c r="P109" s="1539"/>
      <c r="Q109" s="1539"/>
      <c r="R109" s="198"/>
      <c r="S109" s="1539"/>
      <c r="T109" s="201"/>
      <c r="U109" s="200"/>
      <c r="V109" s="201">
        <f>MATCH($IC109,'3b Activity Plan'!$DJ$171:$FH$171,0)</f>
        <v>46</v>
      </c>
      <c r="W109" s="201">
        <f>IFERROR(INDEX('3b Activity Plan'!$DJ$6:$FH$6,V109),0)</f>
        <v>0</v>
      </c>
      <c r="X109" s="1768"/>
      <c r="Y109" s="1768">
        <f>IFERROR(INDEX('3b Activity Plan'!$DJ$7:$FH$7,V109),0)</f>
        <v>0</v>
      </c>
      <c r="Z109" s="201"/>
      <c r="AA109" s="201">
        <f>IFERROR(INDEX('3b Activity Plan'!$DJ$34:$FH$34,$V109),0)</f>
        <v>0</v>
      </c>
      <c r="AB109" s="201">
        <f>IFERROR(INDEX('3b Activity Plan'!$DJ$35:$FH$35,$V109),0)</f>
        <v>0</v>
      </c>
      <c r="AC109" s="201">
        <f>IFERROR(INDEX('3b Activity Plan'!$DJ$36:$FH$36,$V109),0)</f>
        <v>0</v>
      </c>
      <c r="AD109" s="201">
        <f>IFERROR(INDEX('3b Activity Plan'!$DJ$37:$FH$37,$V109),0)</f>
        <v>0</v>
      </c>
      <c r="AE109" s="201">
        <f>IFERROR(INDEX('3b Activity Plan'!$DJ$38:$FH$38,$V109),0)</f>
        <v>0</v>
      </c>
      <c r="AF109" s="201">
        <f>IFERROR(INDEX('3b Activity Plan'!$DJ$39:$FH$39,$V109),0)</f>
        <v>0</v>
      </c>
      <c r="AG109" s="201">
        <f>IFERROR(INDEX('3b Activity Plan'!$DJ$40:$FH$40,$V109),0)</f>
        <v>0</v>
      </c>
      <c r="AH109" s="201">
        <f>IFERROR(INDEX('3b Activity Plan'!$DJ$41:$FH$41,$V109),0)</f>
        <v>0</v>
      </c>
      <c r="AI109" s="201">
        <f>IFERROR(INDEX('3b Activity Plan'!$DJ$42:$FH$42,$V109),0)</f>
        <v>0</v>
      </c>
      <c r="AJ109" s="201">
        <f>IFERROR(INDEX('3b Activity Plan'!$DJ$43:$FH$43,$V109),0)</f>
        <v>0</v>
      </c>
      <c r="AK109" s="201"/>
      <c r="AL109" s="201">
        <f>SUMIFS('3a Staff Plan'!$AR$129:$AR$305,'3a Staff Plan'!$DY$129:$DY$305,$IA109,'3a Staff Plan'!$DF$129:$DF$305,1)</f>
        <v>0</v>
      </c>
      <c r="AM109" s="1768"/>
      <c r="AN109" s="1768">
        <f>SUMIFS('3a Staff Plan'!$AR$129:$AR$305,'3a Staff Plan'!$DY$129:$DY$305,$IA109,'3a Staff Plan'!$CV$129:$CV$305,1)</f>
        <v>0</v>
      </c>
      <c r="AO109" s="201"/>
      <c r="AP109" s="201">
        <f>SUMIFS('3a Staff Plan'!$AS$129:$AS$305,'3a Staff Plan'!$DY$129:$DY$305,$IA109,'3a Staff Plan'!$DF$129:$DF$305,1)</f>
        <v>0</v>
      </c>
      <c r="AQ109" s="201">
        <f>SUMIFS('3a Staff Plan'!$AT$129:$AT$305,'3a Staff Plan'!$DY$129:$DY$305,$IA109,'3a Staff Plan'!$DF$129:$DF$305,1)</f>
        <v>0</v>
      </c>
      <c r="AR109" s="201">
        <f>SUMIFS('3a Staff Plan'!$AU$129:$AU$305,'3a Staff Plan'!$DY$129:$DY$305,$IA109,'3a Staff Plan'!$DF$129:$DF$305,1)</f>
        <v>0</v>
      </c>
      <c r="AS109" s="201">
        <f>SUMIFS('3a Staff Plan'!$AV$129:$AV$305,'3a Staff Plan'!$DY$129:$DY$305,$IA109,'3a Staff Plan'!$DF$129:$DF$305,1)</f>
        <v>0</v>
      </c>
      <c r="AT109" s="201">
        <f>SUMIFS('3a Staff Plan'!$AW$129:$AW$305,'3a Staff Plan'!$DY$129:$DY$305,$IA109,'3a Staff Plan'!$DF$129:$DF$305,1)</f>
        <v>0</v>
      </c>
      <c r="AU109" s="201">
        <f>SUMIFS('3a Staff Plan'!$AX$129:$AX$305,'3a Staff Plan'!$DY$129:$DY$305,$IA109,'3a Staff Plan'!$DF$129:$DF$305,1)</f>
        <v>0</v>
      </c>
      <c r="AV109" s="201">
        <f>SUMIFS('3a Staff Plan'!$AY$129:$AY$305,'3a Staff Plan'!$DY$129:$DY$305,$IA109,'3a Staff Plan'!$DF$129:$DF$305,1)</f>
        <v>0</v>
      </c>
      <c r="AW109" s="201">
        <f>SUMIFS('3a Staff Plan'!$AZ$129:$AZ$305,'3a Staff Plan'!$DY$129:$DY$305,$IA109,'3a Staff Plan'!$DF$129:$DF$305,1)</f>
        <v>0</v>
      </c>
      <c r="AX109" s="201">
        <f>SUMIFS('3a Staff Plan'!$BA$129:$BA$305,'3a Staff Plan'!$DY$129:$DY$305,$IA109,'3a Staff Plan'!$DF$129:$DF$305,1)</f>
        <v>0</v>
      </c>
      <c r="AY109" s="201">
        <f>SUMIFS('3a Staff Plan'!$BB$129:$BB$305,'3a Staff Plan'!$DY$129:$DY$305,$IA109,'3a Staff Plan'!$DF$129:$DF$305,1)</f>
        <v>0</v>
      </c>
      <c r="AZ109" s="201"/>
      <c r="BA109" s="201">
        <f t="shared" si="415"/>
        <v>0</v>
      </c>
      <c r="BB109" s="1768"/>
      <c r="BC109" s="1768">
        <f t="shared" si="416"/>
        <v>0</v>
      </c>
      <c r="BD109" s="201"/>
      <c r="BE109" s="201">
        <f t="shared" si="417"/>
        <v>0</v>
      </c>
      <c r="BF109" s="201">
        <f t="shared" si="418"/>
        <v>0</v>
      </c>
      <c r="BG109" s="201">
        <f t="shared" si="419"/>
        <v>0</v>
      </c>
      <c r="BH109" s="201">
        <f t="shared" si="420"/>
        <v>0</v>
      </c>
      <c r="BI109" s="201">
        <f t="shared" si="421"/>
        <v>0</v>
      </c>
      <c r="BJ109" s="201">
        <f t="shared" si="205"/>
        <v>0</v>
      </c>
      <c r="BK109" s="201">
        <f t="shared" si="206"/>
        <v>0</v>
      </c>
      <c r="BL109" s="201">
        <f t="shared" si="207"/>
        <v>0</v>
      </c>
      <c r="BM109" s="201">
        <f t="shared" si="208"/>
        <v>0</v>
      </c>
      <c r="BN109" s="201">
        <f t="shared" si="209"/>
        <v>0</v>
      </c>
      <c r="BO109" s="201"/>
      <c r="BP109" s="1818">
        <f t="shared" si="146"/>
        <v>46</v>
      </c>
      <c r="BQ109" s="1818">
        <f>IFERROR(INDEX('3b Activity Plan'!$DJ$15:$FH$15,BP109),0)</f>
        <v>0</v>
      </c>
      <c r="BR109" s="1768"/>
      <c r="BS109" s="1768">
        <f>IFERROR(INDEX('3b Activity Plan'!$DJ$16:$FH$16,BP109),0)</f>
        <v>0</v>
      </c>
      <c r="BT109" s="201"/>
      <c r="BU109" s="201">
        <f>IFERROR(INDEX('3b Activity Plan'!$DJ$67:$FH$67,$V109),0)</f>
        <v>0</v>
      </c>
      <c r="BV109" s="201">
        <f>IFERROR(INDEX('3b Activity Plan'!$DJ$68:$FH$68,$V109),0)</f>
        <v>0</v>
      </c>
      <c r="BW109" s="201">
        <f>IFERROR(INDEX('3b Activity Plan'!$DJ$69:$FH$69,$V109),0)</f>
        <v>0</v>
      </c>
      <c r="BX109" s="201">
        <f>IFERROR(INDEX('3b Activity Plan'!$DJ$70:$FH$70,$V109),0)</f>
        <v>0</v>
      </c>
      <c r="BY109" s="201">
        <f>IFERROR(INDEX('3b Activity Plan'!$DJ$71:$FH$71,$V109),0)</f>
        <v>0</v>
      </c>
      <c r="BZ109" s="201">
        <f>IFERROR(INDEX('3b Activity Plan'!$DJ$72:$FH$72,$V109),0)</f>
        <v>0</v>
      </c>
      <c r="CA109" s="201">
        <f>IFERROR(INDEX('3b Activity Plan'!$DJ$73:$FH$73,$V109),0)</f>
        <v>0</v>
      </c>
      <c r="CB109" s="201">
        <f>IFERROR(INDEX('3b Activity Plan'!$DJ$74:$FH$74,$V109),0)</f>
        <v>0</v>
      </c>
      <c r="CC109" s="201">
        <f>IFERROR(INDEX('3b Activity Plan'!$DJ$75:$FH$75,$V109),0)</f>
        <v>0</v>
      </c>
      <c r="CD109" s="201">
        <f>IFERROR(INDEX('3b Activity Plan'!$DJ$76:$FH$76,$V109),0)</f>
        <v>0</v>
      </c>
      <c r="CE109" s="201"/>
      <c r="CF109" s="1818">
        <f>SUMIFS('3a Staff Plan'!$AR$129:$AR$305,'3a Staff Plan'!$DY$129:$DY$305,$IA109,'3a Staff Plan'!$AG$129:$AG$305,1,'3a Staff Plan'!$DF$129:$DF$305,1)</f>
        <v>0</v>
      </c>
      <c r="CG109" s="1768">
        <f>SUMIFS('3a Staff Plan'!$AR$129:$AR$305,'3a Staff Plan'!$DY$129:$DY$305,$IA109,'3a Staff Plan'!$AG$129:$AG$305,1,'3a Staff Plan'!$CX$129:$CX$305,1)</f>
        <v>0</v>
      </c>
      <c r="CH109" s="1768">
        <f>SUMIFS('3a Staff Plan'!$AR$129:$AR$305,'3a Staff Plan'!$DY$129:$DY$305,$IA109,'3a Staff Plan'!$AG$129:$AG$305,1,'3a Staff Plan'!$CV$129:$CV$305,1)</f>
        <v>0</v>
      </c>
      <c r="CI109" s="201"/>
      <c r="CJ109" s="201">
        <f>SUMIFS('3a Staff Plan'!$BX$129:$BX$305,'3a Staff Plan'!$DY$129:$DY$305,$IA109,'3a Staff Plan'!$DF$129:$DF$305,1,'3a Staff Plan'!$AG$129:$AG$305,1)</f>
        <v>0</v>
      </c>
      <c r="CK109" s="201">
        <f>SUMIFS('3a Staff Plan'!$BY$129:$BY$305,'3a Staff Plan'!$DY$129:$DY$305,$IA109,'3a Staff Plan'!$DF$129:$DF$305,1,'3a Staff Plan'!$AG$129:$AG$305,1)</f>
        <v>0</v>
      </c>
      <c r="CL109" s="201">
        <f>SUMIFS('3a Staff Plan'!$BZ$129:$BZ$305,'3a Staff Plan'!$DY$129:$DY$305,$IA109,'3a Staff Plan'!$DF$129:$DF$305,1,'3a Staff Plan'!$AG$129:$AG$305,1)</f>
        <v>0</v>
      </c>
      <c r="CM109" s="201">
        <f>SUMIFS('3a Staff Plan'!$CA$129:$CA$305,'3a Staff Plan'!$DY$129:$DY$305,$IA109,'3a Staff Plan'!$DF$129:$DF$305,1,'3a Staff Plan'!$AG$129:$AG$305,1)</f>
        <v>0</v>
      </c>
      <c r="CN109" s="201">
        <f>SUMIFS('3a Staff Plan'!$CB$129:$CB$305,'3a Staff Plan'!$DY$129:$DY$305,$IA109,'3a Staff Plan'!$DF$129:$DF$305,1,'3a Staff Plan'!$AG$129:$AG$305,1)</f>
        <v>0</v>
      </c>
      <c r="CO109" s="201">
        <f>SUMIFS('3a Staff Plan'!$CC$129:$CC$305,'3a Staff Plan'!$DY$129:$DY$305,$IA109,'3a Staff Plan'!$DF$129:$DF$305,1,'3a Staff Plan'!$AG$129:$AG$305,1)</f>
        <v>0</v>
      </c>
      <c r="CP109" s="201">
        <f>SUMIFS('3a Staff Plan'!$CD$129:$CD$305,'3a Staff Plan'!$DY$129:$DY$305,$IA109,'3a Staff Plan'!$DF$129:$DF$305,1,'3a Staff Plan'!$AG$129:$AG$305,1)</f>
        <v>0</v>
      </c>
      <c r="CQ109" s="201">
        <f>SUMIFS('3a Staff Plan'!$CE$129:$CE$305,'3a Staff Plan'!$DY$129:$DY$305,$IA109,'3a Staff Plan'!$DF$129:$DF$305,1,'3a Staff Plan'!$AG$129:$AG$305,1)</f>
        <v>0</v>
      </c>
      <c r="CR109" s="201">
        <f>SUMIFS('3a Staff Plan'!$CF$129:$CF$305,'3a Staff Plan'!$DY$129:$DY$305,$IA109,'3a Staff Plan'!$DF$129:$DF$305,1,'3a Staff Plan'!$AG$129:$AG$305,1)</f>
        <v>0</v>
      </c>
      <c r="CS109" s="201">
        <f>SUMIFS('3a Staff Plan'!$CG$129:$CG$305,'3a Staff Plan'!$DY$129:$DY$305,$IA109,'3a Staff Plan'!$DF$129:$DF$305,1,'3a Staff Plan'!$AG$129:$AG$305,1)</f>
        <v>0</v>
      </c>
      <c r="CT109" s="201"/>
      <c r="CU109" s="1818">
        <f t="shared" si="210"/>
        <v>0</v>
      </c>
      <c r="CV109" s="1768"/>
      <c r="CW109" s="1768">
        <f t="shared" si="211"/>
        <v>0</v>
      </c>
      <c r="CX109" s="201"/>
      <c r="CY109" s="201">
        <f t="shared" si="212"/>
        <v>0</v>
      </c>
      <c r="CZ109" s="201">
        <f t="shared" si="213"/>
        <v>0</v>
      </c>
      <c r="DA109" s="201">
        <f t="shared" si="214"/>
        <v>0</v>
      </c>
      <c r="DB109" s="201">
        <f t="shared" si="215"/>
        <v>0</v>
      </c>
      <c r="DC109" s="201">
        <f t="shared" si="216"/>
        <v>0</v>
      </c>
      <c r="DD109" s="201">
        <f t="shared" si="217"/>
        <v>0</v>
      </c>
      <c r="DE109" s="201">
        <f t="shared" si="218"/>
        <v>0</v>
      </c>
      <c r="DF109" s="201">
        <f t="shared" si="219"/>
        <v>0</v>
      </c>
      <c r="DG109" s="201">
        <f t="shared" si="220"/>
        <v>0</v>
      </c>
      <c r="DH109" s="201">
        <f t="shared" si="221"/>
        <v>0</v>
      </c>
      <c r="DI109" s="201"/>
      <c r="DJ109" s="201"/>
      <c r="DK109" s="201"/>
      <c r="DL109" s="201"/>
      <c r="DM109" s="372">
        <f t="shared" ca="1" si="283"/>
        <v>0</v>
      </c>
      <c r="DN109" s="1185">
        <f t="shared" si="284"/>
        <v>0</v>
      </c>
      <c r="DO109" s="1185">
        <f t="shared" si="285"/>
        <v>0</v>
      </c>
      <c r="DP109" s="201"/>
      <c r="DQ109" s="372">
        <f t="shared" ca="1" si="286"/>
        <v>0</v>
      </c>
      <c r="DR109" s="1185">
        <f t="shared" si="287"/>
        <v>0</v>
      </c>
      <c r="DS109" s="1185">
        <f t="shared" si="288"/>
        <v>0</v>
      </c>
      <c r="DT109" s="201"/>
      <c r="DU109" s="372">
        <f t="shared" ca="1" si="289"/>
        <v>0</v>
      </c>
      <c r="DV109" s="372">
        <f t="shared" si="290"/>
        <v>0</v>
      </c>
      <c r="DW109" s="372">
        <f t="shared" si="290"/>
        <v>0</v>
      </c>
      <c r="DX109" s="201"/>
      <c r="DY109" s="372">
        <f t="shared" si="291"/>
        <v>0</v>
      </c>
      <c r="DZ109" s="372">
        <f t="shared" ca="1" si="292"/>
        <v>0</v>
      </c>
      <c r="EA109" s="201"/>
      <c r="EB109" s="2776">
        <f>IF(EO109=$EO$53,1,IFERROR(INDEX('Currency Data'!$L$8:$L$41,MATCH(EO109,'Currency Data'!$H$8:$H$41,0)),1))</f>
        <v>1</v>
      </c>
      <c r="EC109" s="2776">
        <f t="shared" si="422"/>
        <v>1</v>
      </c>
      <c r="ED109" s="428">
        <f>IF(GQ109=1,'1 Setup'!$T$68,IF(ISBLANK(IJ109),II109/EC109*IF(GL109=1,$ED$53,1),IJ109/EC109)*IF($EW109=7,JW109,1))</f>
        <v>0</v>
      </c>
      <c r="EE109" s="428">
        <f t="shared" si="293"/>
        <v>0</v>
      </c>
      <c r="EF109" s="428"/>
      <c r="EG109" s="1965" t="str">
        <f t="shared" si="148"/>
        <v>031500 - Highways UK</v>
      </c>
      <c r="EH109" s="201">
        <f t="shared" si="149"/>
        <v>1</v>
      </c>
      <c r="EI109" s="445" t="str">
        <f>IF(EH109=1,$EI$53,IF(GQ109=1,$GQ$55,IFERROR(IF($EG109=$EG$53,$EI$53,INDEX('PU List'!$G$6:$G$413,MATCH($EG109,'PU List'!$D$6:$D$413,0))),$EI$53)))</f>
        <v>GB - BIAF</v>
      </c>
      <c r="EJ109" s="2773" t="str">
        <f t="shared" si="150"/>
        <v>GB - BIAF</v>
      </c>
      <c r="EK109" s="1768"/>
      <c r="EL109" s="3283">
        <f>IF(OR(EW109&gt;7,$EL$53=0),0,IF(EJ109=$EI$53,$EL$53,IFERROR(INDEX('Fringe Data'!$U$8:$U$129,MATCH($EJ109,'Fringe Data'!$F$8:$F$129,0)),0)))</f>
        <v>1.73</v>
      </c>
      <c r="EM109" s="372">
        <f t="shared" si="294"/>
        <v>0</v>
      </c>
      <c r="EN109" s="201" t="str">
        <f>IFERROR(INDEX('Fringe Data'!$G$8:$G$64,MATCH($EJ109,'Fringe Data'!$F$8:$F$64,0)),$EO$53)</f>
        <v>GBP</v>
      </c>
      <c r="EO109" s="201" t="str">
        <f t="shared" si="151"/>
        <v>GBP</v>
      </c>
      <c r="EP109" s="201">
        <f>IF(EI109=$EI$53,$EP$49,IF(GP109=1,0,IFERROR(INDEX('Fringe Data'!$K$8:$K$64,MATCH($EI109,'Fringe Data'!$F$8:$F$64,0)),0)))</f>
        <v>0.52</v>
      </c>
      <c r="EQ109" s="201">
        <f>IF(EI109=$EI$53,$EQ$49,IF(GP109=1,0,IFERROR(INDEX('Fringe Data'!$L$8:$L$64,MATCH($EI109,'Fringe Data'!$F$8:$F$64,0)),0)))</f>
        <v>1.8499999999999999E-2</v>
      </c>
      <c r="ER109" s="201">
        <f>IF(EI109=$EI$53,$ER$49,IF(GP109=1,0,IFERROR(INDEX('Fringe Data'!$M$8:$M$64,MATCH($EI109,'Fringe Data'!$F$8:$F$64,0)),0)))</f>
        <v>0.43430000000000002</v>
      </c>
      <c r="ES109" s="201">
        <f>IF(EI109=$EI$53,$ES$49,IF(GP109=1,0,IFERROR(INDEX('Fringe Data'!$N$8:$N$64,MATCH($EI109,'Fringe Data'!$F$8:$F$64,0)),0)))</f>
        <v>0.1565</v>
      </c>
      <c r="ET109" s="201">
        <f>IF(EI109=$EI$53,$ET$49,IF(GP109=1,0,IFERROR(INDEX('Fringe Data'!$O$8:$O$64,MATCH($EI109,'Fringe Data'!$F$8:$F$64,0)),0)))</f>
        <v>0.33450000000000002</v>
      </c>
      <c r="EU109" s="263">
        <f>IF(EI109=$EI$53,$EU$49,IF(GP109=1,0,IFERROR(INDEX('Fringe Data'!$P$8:$P$64,MATCH($EI109,'Fringe Data'!$F$8:$F$64,0)),0)))</f>
        <v>0.1565</v>
      </c>
      <c r="EV109" s="201"/>
      <c r="EW109" s="1530">
        <f t="shared" si="295"/>
        <v>1</v>
      </c>
      <c r="EX109" s="1534">
        <f t="shared" si="152"/>
        <v>0.52</v>
      </c>
      <c r="EY109" s="321">
        <f t="shared" si="153"/>
        <v>0</v>
      </c>
      <c r="EZ109" s="201">
        <f t="shared" si="154"/>
        <v>0</v>
      </c>
      <c r="FA109" s="372">
        <f t="shared" si="296"/>
        <v>0</v>
      </c>
      <c r="FB109" s="372">
        <f t="shared" si="297"/>
        <v>0</v>
      </c>
      <c r="FC109" s="201">
        <f t="shared" ca="1" si="155"/>
        <v>0</v>
      </c>
      <c r="FD109" s="423">
        <f t="shared" si="298"/>
        <v>0</v>
      </c>
      <c r="FE109" s="423">
        <f t="shared" si="299"/>
        <v>0</v>
      </c>
      <c r="FF109" s="201">
        <f t="shared" si="156"/>
        <v>0</v>
      </c>
      <c r="FG109" s="425">
        <f>IF(OR($FJ$52=3,$FJ$52=4,$FJ$52=5),'1 Setup'!$W$96,0)</f>
        <v>0</v>
      </c>
      <c r="FH109" s="428">
        <f>IF($FJ$52=5,'1 Setup'!$W$98,IF($FJ$52=6,'1 Setup'!$S$86,0))</f>
        <v>0</v>
      </c>
      <c r="FI109" s="321">
        <f t="shared" ca="1" si="300"/>
        <v>0</v>
      </c>
      <c r="FJ109" s="263">
        <f t="shared" ca="1" si="157"/>
        <v>0</v>
      </c>
      <c r="FK109" s="372">
        <f t="shared" ca="1" si="301"/>
        <v>0</v>
      </c>
      <c r="FL109" s="372">
        <f t="shared" si="302"/>
        <v>0</v>
      </c>
      <c r="FM109" s="372">
        <f t="shared" si="303"/>
        <v>0</v>
      </c>
      <c r="FN109" s="2036">
        <f t="shared" ca="1" si="304"/>
        <v>0</v>
      </c>
      <c r="FO109" s="372">
        <f t="shared" ca="1" si="224"/>
        <v>0</v>
      </c>
      <c r="FP109" s="2723">
        <f t="shared" si="158"/>
        <v>0</v>
      </c>
      <c r="FQ109" s="372">
        <f t="shared" si="305"/>
        <v>0</v>
      </c>
      <c r="FR109" s="372">
        <f t="shared" si="159"/>
        <v>0</v>
      </c>
      <c r="FS109" s="1168"/>
      <c r="FT109" s="1168">
        <f t="shared" si="306"/>
        <v>0</v>
      </c>
      <c r="FU109" s="1168">
        <f t="shared" si="307"/>
        <v>0</v>
      </c>
      <c r="FV109" s="1168">
        <f t="shared" si="308"/>
        <v>0</v>
      </c>
      <c r="FW109" s="1168">
        <f t="shared" si="309"/>
        <v>0</v>
      </c>
      <c r="FX109" s="1168">
        <f t="shared" si="310"/>
        <v>0</v>
      </c>
      <c r="FY109" s="1168">
        <f t="shared" si="311"/>
        <v>0</v>
      </c>
      <c r="FZ109" s="1168">
        <f t="shared" si="312"/>
        <v>0</v>
      </c>
      <c r="GA109" s="1168">
        <f t="shared" si="313"/>
        <v>0</v>
      </c>
      <c r="GB109" s="1168">
        <f t="shared" si="314"/>
        <v>0</v>
      </c>
      <c r="GC109" s="1168">
        <f t="shared" si="315"/>
        <v>0</v>
      </c>
      <c r="GD109" s="1168"/>
      <c r="GE109" s="199"/>
      <c r="GF109" s="201">
        <f t="shared" si="316"/>
        <v>0</v>
      </c>
      <c r="GG109" s="201">
        <f t="shared" si="317"/>
        <v>0</v>
      </c>
      <c r="GH109" s="201">
        <f t="shared" si="318"/>
        <v>0</v>
      </c>
      <c r="GI109" s="201">
        <f t="shared" ca="1" si="160"/>
        <v>0</v>
      </c>
      <c r="GJ109" s="201">
        <f t="shared" si="319"/>
        <v>0</v>
      </c>
      <c r="GK109" s="201">
        <f t="shared" si="320"/>
        <v>0</v>
      </c>
      <c r="GL109" s="201">
        <f t="shared" si="321"/>
        <v>1</v>
      </c>
      <c r="GM109" s="201">
        <f t="shared" si="322"/>
        <v>1</v>
      </c>
      <c r="GN109" s="201"/>
      <c r="GO109" s="201"/>
      <c r="GP109" s="201">
        <f t="shared" si="323"/>
        <v>0</v>
      </c>
      <c r="GQ109" s="201">
        <f t="shared" si="324"/>
        <v>0</v>
      </c>
      <c r="GR109" s="201">
        <f t="shared" si="161"/>
        <v>0</v>
      </c>
      <c r="GS109" s="1768"/>
      <c r="GT109" s="201">
        <f t="shared" si="325"/>
        <v>1</v>
      </c>
      <c r="GU109" s="201">
        <f t="shared" si="193"/>
        <v>46</v>
      </c>
      <c r="GV109" s="201">
        <f t="shared" si="326"/>
        <v>0</v>
      </c>
      <c r="GW109" s="201">
        <f t="shared" si="327"/>
        <v>3</v>
      </c>
      <c r="GX109" s="201">
        <f t="shared" si="162"/>
        <v>0</v>
      </c>
      <c r="GY109" s="1998"/>
      <c r="GZ109" s="253"/>
      <c r="HA109" s="195">
        <f t="shared" si="423"/>
        <v>0</v>
      </c>
      <c r="HB109" s="3558">
        <f t="shared" si="424"/>
        <v>0</v>
      </c>
      <c r="HC109" s="3590"/>
      <c r="HD109" s="257" t="str">
        <f t="shared" si="328"/>
        <v/>
      </c>
      <c r="HE109" s="825">
        <f t="shared" si="329"/>
        <v>0</v>
      </c>
      <c r="HF109" s="506" t="s">
        <v>5</v>
      </c>
      <c r="HG109" s="508">
        <f t="shared" ca="1" si="330"/>
        <v>0</v>
      </c>
      <c r="HH109" s="3585">
        <f t="shared" si="331"/>
        <v>0</v>
      </c>
      <c r="HI109" s="3586"/>
      <c r="HJ109" s="967">
        <f t="shared" ca="1" si="425"/>
        <v>0</v>
      </c>
      <c r="HK109" s="456">
        <f t="shared" ca="1" si="226"/>
        <v>0</v>
      </c>
      <c r="HL109" s="3591">
        <f t="shared" ca="1" si="426"/>
        <v>0</v>
      </c>
      <c r="HM109" s="3592"/>
      <c r="HN109" s="240"/>
      <c r="HO109" s="1998"/>
      <c r="HP109" s="1991"/>
      <c r="HQ109" s="2770" t="str">
        <f t="shared" si="332"/>
        <v>GB - BIAF</v>
      </c>
      <c r="HR109" s="2770" t="str">
        <f t="shared" si="333"/>
        <v>GBP</v>
      </c>
      <c r="HS109" s="2771">
        <f t="shared" si="334"/>
        <v>1</v>
      </c>
      <c r="HT109" s="3623"/>
      <c r="HU109" s="2771">
        <f t="shared" si="335"/>
        <v>1.73</v>
      </c>
      <c r="HW109" s="1218"/>
      <c r="HX109" s="520"/>
      <c r="HY109" s="2523"/>
      <c r="HZ109" s="194"/>
      <c r="IA109" s="1013"/>
      <c r="IB109" s="193"/>
      <c r="IC109" s="3276">
        <v>46</v>
      </c>
      <c r="ID109" s="986"/>
      <c r="IE109" s="938">
        <f t="shared" si="164"/>
        <v>0</v>
      </c>
      <c r="IF109" s="938">
        <f t="shared" si="165"/>
        <v>0</v>
      </c>
      <c r="IG109" s="432"/>
      <c r="II109" s="405"/>
      <c r="IJ109" s="239"/>
      <c r="IK109" s="2774" t="str">
        <f t="shared" si="166"/>
        <v>GBP</v>
      </c>
      <c r="IL109" s="2148"/>
      <c r="IM109" s="1936">
        <f t="shared" si="336"/>
        <v>0</v>
      </c>
      <c r="IO109" s="1959" t="str">
        <f t="shared" si="337"/>
        <v/>
      </c>
      <c r="IP109" s="1958"/>
      <c r="IQ109" s="543">
        <f t="shared" si="338"/>
        <v>0.52</v>
      </c>
      <c r="IR109" s="1936">
        <f t="shared" si="339"/>
        <v>0</v>
      </c>
      <c r="IT109" s="1364"/>
      <c r="IU109" s="210"/>
      <c r="IV109" s="218"/>
      <c r="IW109" s="1938">
        <f ca="1">IF(NOT(ISBLANK(IU109)),IU109,IF('1 Setup'!$G$8&lt;7,JK109,FJ109))+KA109</f>
        <v>0</v>
      </c>
      <c r="IX109" s="409">
        <f t="shared" si="340"/>
        <v>0</v>
      </c>
      <c r="IY109" s="408">
        <f t="shared" si="341"/>
        <v>0</v>
      </c>
      <c r="IZ109" s="1983"/>
      <c r="JA109" s="1994"/>
      <c r="JB109" s="1991"/>
      <c r="JD109" s="2029">
        <f t="shared" si="167"/>
        <v>0</v>
      </c>
      <c r="JE109" s="479"/>
      <c r="JF109" s="2025">
        <f t="shared" si="342"/>
        <v>0</v>
      </c>
      <c r="JG109" s="429">
        <f t="shared" si="343"/>
        <v>0</v>
      </c>
      <c r="JH109" s="1667">
        <f t="shared" si="344"/>
        <v>0</v>
      </c>
      <c r="JJ109" s="1163">
        <f t="shared" ca="1" si="345"/>
        <v>0</v>
      </c>
      <c r="JK109" s="1163">
        <f t="shared" ca="1" si="346"/>
        <v>0</v>
      </c>
      <c r="JL109" s="1795"/>
      <c r="JN109" s="2505"/>
      <c r="JO109" s="1161"/>
      <c r="JP109" s="571">
        <f t="shared" ca="1" si="410"/>
        <v>0</v>
      </c>
      <c r="JQ109" s="2506"/>
      <c r="JR109" s="1953"/>
      <c r="JS109" s="2650"/>
      <c r="JT109" s="2507"/>
      <c r="JU109" s="1964">
        <f t="shared" si="347"/>
        <v>0.33450000000000002</v>
      </c>
      <c r="JV109" s="3199"/>
      <c r="JW109" s="2649">
        <f t="shared" si="348"/>
        <v>1.5</v>
      </c>
      <c r="JX109" s="1964">
        <f t="shared" si="168"/>
        <v>0.1565</v>
      </c>
      <c r="JY109" s="3199"/>
      <c r="JZ109" s="2649">
        <f t="shared" si="169"/>
        <v>0</v>
      </c>
      <c r="KA109" s="2649">
        <f t="shared" si="170"/>
        <v>0</v>
      </c>
      <c r="KB109" s="2649" t="s">
        <v>111</v>
      </c>
      <c r="KC109" s="1983"/>
      <c r="KD109" s="1974"/>
      <c r="KE109" s="1991"/>
      <c r="KF109" s="2029">
        <f t="shared" si="171"/>
        <v>0</v>
      </c>
      <c r="KG109" s="1991"/>
      <c r="KH109" s="2121">
        <f t="shared" si="349"/>
        <v>0</v>
      </c>
      <c r="KI109" s="2130">
        <f t="shared" si="350"/>
        <v>0</v>
      </c>
      <c r="KJ109" s="2130">
        <f t="shared" si="351"/>
        <v>0</v>
      </c>
      <c r="KK109" s="2130">
        <f t="shared" si="352"/>
        <v>0</v>
      </c>
      <c r="KL109" s="2131">
        <f t="shared" si="353"/>
        <v>0</v>
      </c>
      <c r="KM109" s="2132">
        <f t="shared" si="354"/>
        <v>0</v>
      </c>
      <c r="KN109" s="2132">
        <f t="shared" si="355"/>
        <v>0</v>
      </c>
      <c r="KO109" s="2132">
        <f t="shared" si="356"/>
        <v>0</v>
      </c>
      <c r="KP109" s="2132">
        <f t="shared" si="357"/>
        <v>0</v>
      </c>
      <c r="KQ109" s="2133">
        <f t="shared" si="358"/>
        <v>0</v>
      </c>
      <c r="KS109" s="2253">
        <f t="shared" si="359"/>
        <v>0</v>
      </c>
      <c r="KT109" s="2270">
        <f t="shared" ref="KT109:LB109" si="434">KS109*(1+(KT$60))</f>
        <v>0</v>
      </c>
      <c r="KU109" s="2271">
        <f t="shared" si="434"/>
        <v>0</v>
      </c>
      <c r="KV109" s="2271">
        <f t="shared" si="434"/>
        <v>0</v>
      </c>
      <c r="KW109" s="2272">
        <f t="shared" si="434"/>
        <v>0</v>
      </c>
      <c r="KX109" s="2271">
        <f t="shared" si="434"/>
        <v>0</v>
      </c>
      <c r="KY109" s="2271">
        <f t="shared" si="434"/>
        <v>0</v>
      </c>
      <c r="KZ109" s="2271">
        <f t="shared" si="434"/>
        <v>0</v>
      </c>
      <c r="LA109" s="2271">
        <f t="shared" si="434"/>
        <v>0</v>
      </c>
      <c r="LB109" s="2273">
        <f t="shared" si="434"/>
        <v>0</v>
      </c>
      <c r="LC109" s="749"/>
      <c r="LD109" s="2124">
        <f t="shared" si="361"/>
        <v>0</v>
      </c>
      <c r="LE109" s="2093">
        <f t="shared" si="362"/>
        <v>0</v>
      </c>
      <c r="LF109" s="2093">
        <f t="shared" si="363"/>
        <v>0</v>
      </c>
      <c r="LG109" s="2093">
        <f t="shared" si="364"/>
        <v>0</v>
      </c>
      <c r="LH109" s="2094">
        <f t="shared" si="365"/>
        <v>0</v>
      </c>
      <c r="LI109" s="2095">
        <f t="shared" si="366"/>
        <v>0</v>
      </c>
      <c r="LJ109" s="2095">
        <f t="shared" si="367"/>
        <v>0</v>
      </c>
      <c r="LK109" s="2095">
        <f t="shared" si="368"/>
        <v>0</v>
      </c>
      <c r="LL109" s="2095">
        <f t="shared" si="369"/>
        <v>0</v>
      </c>
      <c r="LM109" s="2096">
        <f t="shared" si="370"/>
        <v>0</v>
      </c>
      <c r="LN109" s="749"/>
      <c r="LO109" s="2256">
        <f t="shared" ca="1" si="371"/>
        <v>0</v>
      </c>
      <c r="LP109" s="2270">
        <f t="shared" ca="1" si="372"/>
        <v>0</v>
      </c>
      <c r="LQ109" s="2271">
        <f t="shared" ca="1" si="373"/>
        <v>0</v>
      </c>
      <c r="LR109" s="2271">
        <f t="shared" ca="1" si="374"/>
        <v>0</v>
      </c>
      <c r="LS109" s="2272">
        <f t="shared" ca="1" si="375"/>
        <v>0</v>
      </c>
      <c r="LT109" s="2271">
        <f t="shared" ca="1" si="376"/>
        <v>0</v>
      </c>
      <c r="LU109" s="2271">
        <f t="shared" ca="1" si="377"/>
        <v>0</v>
      </c>
      <c r="LV109" s="2271">
        <f t="shared" ca="1" si="378"/>
        <v>0</v>
      </c>
      <c r="LW109" s="2271">
        <f t="shared" ca="1" si="379"/>
        <v>0</v>
      </c>
      <c r="LX109" s="2273">
        <f t="shared" ca="1" si="380"/>
        <v>0</v>
      </c>
      <c r="LY109" s="479"/>
      <c r="LZ109" s="3128">
        <f t="shared" ca="1" si="173"/>
        <v>-1.73</v>
      </c>
      <c r="MA109" s="3129">
        <f t="shared" ca="1" si="174"/>
        <v>-1.73</v>
      </c>
      <c r="MB109" s="3129">
        <f t="shared" ca="1" si="175"/>
        <v>-1.73</v>
      </c>
      <c r="MC109" s="3129">
        <f t="shared" ca="1" si="176"/>
        <v>-1.73</v>
      </c>
      <c r="MD109" s="3130">
        <f t="shared" ca="1" si="177"/>
        <v>-1.73</v>
      </c>
      <c r="ME109" s="3129">
        <f t="shared" ca="1" si="178"/>
        <v>-1.73</v>
      </c>
      <c r="MF109" s="3129">
        <f t="shared" ca="1" si="179"/>
        <v>-1.73</v>
      </c>
      <c r="MG109" s="3129">
        <f t="shared" ca="1" si="180"/>
        <v>-1.73</v>
      </c>
      <c r="MH109" s="3129">
        <f t="shared" ca="1" si="181"/>
        <v>-1.73</v>
      </c>
      <c r="MI109" s="3131">
        <f t="shared" ca="1" si="182"/>
        <v>-1.73</v>
      </c>
      <c r="MJ109" s="3201"/>
      <c r="MK109" s="3206">
        <f t="shared" ca="1" si="183"/>
        <v>0</v>
      </c>
      <c r="ML109" s="3207">
        <f t="shared" ca="1" si="184"/>
        <v>0</v>
      </c>
      <c r="MM109" s="3207">
        <f t="shared" ca="1" si="185"/>
        <v>0</v>
      </c>
      <c r="MN109" s="3207">
        <f t="shared" ca="1" si="186"/>
        <v>0</v>
      </c>
      <c r="MO109" s="3208">
        <f t="shared" ca="1" si="187"/>
        <v>0</v>
      </c>
      <c r="MP109" s="3207">
        <f t="shared" ca="1" si="188"/>
        <v>0</v>
      </c>
      <c r="MQ109" s="3207">
        <f t="shared" ca="1" si="189"/>
        <v>0</v>
      </c>
      <c r="MR109" s="3207">
        <f t="shared" ca="1" si="190"/>
        <v>0</v>
      </c>
      <c r="MS109" s="3207">
        <f t="shared" ca="1" si="191"/>
        <v>0</v>
      </c>
      <c r="MT109" s="3209">
        <f t="shared" ca="1" si="192"/>
        <v>0</v>
      </c>
      <c r="MU109" s="1983"/>
      <c r="MV109" s="1975"/>
      <c r="MW109" s="1991"/>
      <c r="MX109" s="1931">
        <f t="shared" si="381"/>
        <v>0</v>
      </c>
      <c r="MY109" s="749"/>
      <c r="MZ109" s="1934">
        <f t="shared" si="382"/>
        <v>0</v>
      </c>
      <c r="NA109" s="1935"/>
      <c r="NB109" s="2652">
        <f t="shared" si="383"/>
        <v>0</v>
      </c>
      <c r="NC109" s="479"/>
      <c r="ND109" s="2749" t="str">
        <f t="shared" si="384"/>
        <v/>
      </c>
      <c r="NE109" s="2717"/>
      <c r="NF109" s="1975"/>
      <c r="NG109" s="1975"/>
      <c r="NH109" s="1975"/>
      <c r="NI109" s="1975"/>
    </row>
    <row r="110" spans="1:373" s="192" customFormat="1" ht="15.9" customHeight="1" x14ac:dyDescent="0.3">
      <c r="A110" s="200"/>
      <c r="B110" s="200"/>
      <c r="C110" s="200"/>
      <c r="D110" s="200"/>
      <c r="E110" s="200"/>
      <c r="F110" s="200"/>
      <c r="G110" s="200"/>
      <c r="H110" s="200"/>
      <c r="I110" s="200"/>
      <c r="J110" s="200"/>
      <c r="K110" s="200"/>
      <c r="L110" s="200"/>
      <c r="M110" s="200"/>
      <c r="N110" s="200"/>
      <c r="O110" s="200"/>
      <c r="P110" s="1539"/>
      <c r="Q110" s="1539"/>
      <c r="R110" s="198"/>
      <c r="S110" s="1539"/>
      <c r="T110" s="201"/>
      <c r="U110" s="200"/>
      <c r="V110" s="201">
        <f>MATCH($IC110,'3b Activity Plan'!$DJ$171:$FH$171,0)</f>
        <v>47</v>
      </c>
      <c r="W110" s="201">
        <f>IFERROR(INDEX('3b Activity Plan'!$DJ$6:$FH$6,V110),0)</f>
        <v>0</v>
      </c>
      <c r="X110" s="1768"/>
      <c r="Y110" s="1768">
        <f>IFERROR(INDEX('3b Activity Plan'!$DJ$7:$FH$7,V110),0)</f>
        <v>0</v>
      </c>
      <c r="Z110" s="201"/>
      <c r="AA110" s="201">
        <f>IFERROR(INDEX('3b Activity Plan'!$DJ$34:$FH$34,$V110),0)</f>
        <v>0</v>
      </c>
      <c r="AB110" s="201">
        <f>IFERROR(INDEX('3b Activity Plan'!$DJ$35:$FH$35,$V110),0)</f>
        <v>0</v>
      </c>
      <c r="AC110" s="201">
        <f>IFERROR(INDEX('3b Activity Plan'!$DJ$36:$FH$36,$V110),0)</f>
        <v>0</v>
      </c>
      <c r="AD110" s="201">
        <f>IFERROR(INDEX('3b Activity Plan'!$DJ$37:$FH$37,$V110),0)</f>
        <v>0</v>
      </c>
      <c r="AE110" s="201">
        <f>IFERROR(INDEX('3b Activity Plan'!$DJ$38:$FH$38,$V110),0)</f>
        <v>0</v>
      </c>
      <c r="AF110" s="201">
        <f>IFERROR(INDEX('3b Activity Plan'!$DJ$39:$FH$39,$V110),0)</f>
        <v>0</v>
      </c>
      <c r="AG110" s="201">
        <f>IFERROR(INDEX('3b Activity Plan'!$DJ$40:$FH$40,$V110),0)</f>
        <v>0</v>
      </c>
      <c r="AH110" s="201">
        <f>IFERROR(INDEX('3b Activity Plan'!$DJ$41:$FH$41,$V110),0)</f>
        <v>0</v>
      </c>
      <c r="AI110" s="201">
        <f>IFERROR(INDEX('3b Activity Plan'!$DJ$42:$FH$42,$V110),0)</f>
        <v>0</v>
      </c>
      <c r="AJ110" s="201">
        <f>IFERROR(INDEX('3b Activity Plan'!$DJ$43:$FH$43,$V110),0)</f>
        <v>0</v>
      </c>
      <c r="AK110" s="201"/>
      <c r="AL110" s="201">
        <f>SUMIFS('3a Staff Plan'!$AR$129:$AR$305,'3a Staff Plan'!$DY$129:$DY$305,$IA110,'3a Staff Plan'!$DF$129:$DF$305,1)</f>
        <v>0</v>
      </c>
      <c r="AM110" s="1768"/>
      <c r="AN110" s="1768">
        <f>SUMIFS('3a Staff Plan'!$AR$129:$AR$305,'3a Staff Plan'!$DY$129:$DY$305,$IA110,'3a Staff Plan'!$CV$129:$CV$305,1)</f>
        <v>0</v>
      </c>
      <c r="AO110" s="201"/>
      <c r="AP110" s="201">
        <f>SUMIFS('3a Staff Plan'!$AS$129:$AS$305,'3a Staff Plan'!$DY$129:$DY$305,$IA110,'3a Staff Plan'!$DF$129:$DF$305,1)</f>
        <v>0</v>
      </c>
      <c r="AQ110" s="201">
        <f>SUMIFS('3a Staff Plan'!$AT$129:$AT$305,'3a Staff Plan'!$DY$129:$DY$305,$IA110,'3a Staff Plan'!$DF$129:$DF$305,1)</f>
        <v>0</v>
      </c>
      <c r="AR110" s="201">
        <f>SUMIFS('3a Staff Plan'!$AU$129:$AU$305,'3a Staff Plan'!$DY$129:$DY$305,$IA110,'3a Staff Plan'!$DF$129:$DF$305,1)</f>
        <v>0</v>
      </c>
      <c r="AS110" s="201">
        <f>SUMIFS('3a Staff Plan'!$AV$129:$AV$305,'3a Staff Plan'!$DY$129:$DY$305,$IA110,'3a Staff Plan'!$DF$129:$DF$305,1)</f>
        <v>0</v>
      </c>
      <c r="AT110" s="201">
        <f>SUMIFS('3a Staff Plan'!$AW$129:$AW$305,'3a Staff Plan'!$DY$129:$DY$305,$IA110,'3a Staff Plan'!$DF$129:$DF$305,1)</f>
        <v>0</v>
      </c>
      <c r="AU110" s="201">
        <f>SUMIFS('3a Staff Plan'!$AX$129:$AX$305,'3a Staff Plan'!$DY$129:$DY$305,$IA110,'3a Staff Plan'!$DF$129:$DF$305,1)</f>
        <v>0</v>
      </c>
      <c r="AV110" s="201">
        <f>SUMIFS('3a Staff Plan'!$AY$129:$AY$305,'3a Staff Plan'!$DY$129:$DY$305,$IA110,'3a Staff Plan'!$DF$129:$DF$305,1)</f>
        <v>0</v>
      </c>
      <c r="AW110" s="201">
        <f>SUMIFS('3a Staff Plan'!$AZ$129:$AZ$305,'3a Staff Plan'!$DY$129:$DY$305,$IA110,'3a Staff Plan'!$DF$129:$DF$305,1)</f>
        <v>0</v>
      </c>
      <c r="AX110" s="201">
        <f>SUMIFS('3a Staff Plan'!$BA$129:$BA$305,'3a Staff Plan'!$DY$129:$DY$305,$IA110,'3a Staff Plan'!$DF$129:$DF$305,1)</f>
        <v>0</v>
      </c>
      <c r="AY110" s="201">
        <f>SUMIFS('3a Staff Plan'!$BB$129:$BB$305,'3a Staff Plan'!$DY$129:$DY$305,$IA110,'3a Staff Plan'!$DF$129:$DF$305,1)</f>
        <v>0</v>
      </c>
      <c r="AZ110" s="201"/>
      <c r="BA110" s="201">
        <f t="shared" ref="BA110" si="435">(W110*$V$51)+(AL110*$AL$51)</f>
        <v>0</v>
      </c>
      <c r="BB110" s="1768"/>
      <c r="BC110" s="1768">
        <f t="shared" ref="BC110" si="436">(Y110*$V$51)+(AN110*$AL$51)</f>
        <v>0</v>
      </c>
      <c r="BD110" s="201"/>
      <c r="BE110" s="201">
        <f t="shared" ref="BE110" si="437">(AA110*$V$51)+(AP110*$AL$51)</f>
        <v>0</v>
      </c>
      <c r="BF110" s="201">
        <f t="shared" ref="BF110" si="438">(AB110*$V$51)+(AQ110*$AL$51)</f>
        <v>0</v>
      </c>
      <c r="BG110" s="201">
        <f t="shared" ref="BG110" si="439">(AC110*$V$51)+(AR110*$AL$51)</f>
        <v>0</v>
      </c>
      <c r="BH110" s="201">
        <f t="shared" ref="BH110" si="440">(AD110*$V$51)+(AS110*$AL$51)</f>
        <v>0</v>
      </c>
      <c r="BI110" s="201">
        <f t="shared" ref="BI110" si="441">(AE110*$V$51)+(AT110*$AL$51)</f>
        <v>0</v>
      </c>
      <c r="BJ110" s="201">
        <f t="shared" si="205"/>
        <v>0</v>
      </c>
      <c r="BK110" s="201">
        <f t="shared" si="206"/>
        <v>0</v>
      </c>
      <c r="BL110" s="201">
        <f t="shared" si="207"/>
        <v>0</v>
      </c>
      <c r="BM110" s="201">
        <f t="shared" si="208"/>
        <v>0</v>
      </c>
      <c r="BN110" s="201">
        <f t="shared" si="209"/>
        <v>0</v>
      </c>
      <c r="BO110" s="201"/>
      <c r="BP110" s="1818">
        <f t="shared" si="146"/>
        <v>47</v>
      </c>
      <c r="BQ110" s="1818">
        <f>IFERROR(INDEX('3b Activity Plan'!$DJ$15:$FH$15,BP110),0)</f>
        <v>0</v>
      </c>
      <c r="BR110" s="1768"/>
      <c r="BS110" s="1768">
        <f>IFERROR(INDEX('3b Activity Plan'!$DJ$16:$FH$16,BP110),0)</f>
        <v>0</v>
      </c>
      <c r="BT110" s="201"/>
      <c r="BU110" s="201">
        <f>IFERROR(INDEX('3b Activity Plan'!$DJ$67:$FH$67,$V110),0)</f>
        <v>0</v>
      </c>
      <c r="BV110" s="201">
        <f>IFERROR(INDEX('3b Activity Plan'!$DJ$68:$FH$68,$V110),0)</f>
        <v>0</v>
      </c>
      <c r="BW110" s="201">
        <f>IFERROR(INDEX('3b Activity Plan'!$DJ$69:$FH$69,$V110),0)</f>
        <v>0</v>
      </c>
      <c r="BX110" s="201">
        <f>IFERROR(INDEX('3b Activity Plan'!$DJ$70:$FH$70,$V110),0)</f>
        <v>0</v>
      </c>
      <c r="BY110" s="201">
        <f>IFERROR(INDEX('3b Activity Plan'!$DJ$71:$FH$71,$V110),0)</f>
        <v>0</v>
      </c>
      <c r="BZ110" s="201">
        <f>IFERROR(INDEX('3b Activity Plan'!$DJ$72:$FH$72,$V110),0)</f>
        <v>0</v>
      </c>
      <c r="CA110" s="201">
        <f>IFERROR(INDEX('3b Activity Plan'!$DJ$73:$FH$73,$V110),0)</f>
        <v>0</v>
      </c>
      <c r="CB110" s="201">
        <f>IFERROR(INDEX('3b Activity Plan'!$DJ$74:$FH$74,$V110),0)</f>
        <v>0</v>
      </c>
      <c r="CC110" s="201">
        <f>IFERROR(INDEX('3b Activity Plan'!$DJ$75:$FH$75,$V110),0)</f>
        <v>0</v>
      </c>
      <c r="CD110" s="201">
        <f>IFERROR(INDEX('3b Activity Plan'!$DJ$76:$FH$76,$V110),0)</f>
        <v>0</v>
      </c>
      <c r="CE110" s="201"/>
      <c r="CF110" s="1818">
        <f>SUMIFS('3a Staff Plan'!$AR$129:$AR$305,'3a Staff Plan'!$DY$129:$DY$305,$IA110,'3a Staff Plan'!$AG$129:$AG$305,1,'3a Staff Plan'!$DF$129:$DF$305,1)</f>
        <v>0</v>
      </c>
      <c r="CG110" s="1768">
        <f>SUMIFS('3a Staff Plan'!$AR$129:$AR$305,'3a Staff Plan'!$DY$129:$DY$305,$IA110,'3a Staff Plan'!$AG$129:$AG$305,1,'3a Staff Plan'!$CX$129:$CX$305,1)</f>
        <v>0</v>
      </c>
      <c r="CH110" s="1768">
        <f>SUMIFS('3a Staff Plan'!$AR$129:$AR$305,'3a Staff Plan'!$DY$129:$DY$305,$IA110,'3a Staff Plan'!$AG$129:$AG$305,1,'3a Staff Plan'!$CV$129:$CV$305,1)</f>
        <v>0</v>
      </c>
      <c r="CI110" s="201"/>
      <c r="CJ110" s="201">
        <f>SUMIFS('3a Staff Plan'!$BX$129:$BX$305,'3a Staff Plan'!$DY$129:$DY$305,$IA110,'3a Staff Plan'!$DF$129:$DF$305,1,'3a Staff Plan'!$AG$129:$AG$305,1)</f>
        <v>0</v>
      </c>
      <c r="CK110" s="201">
        <f>SUMIFS('3a Staff Plan'!$BY$129:$BY$305,'3a Staff Plan'!$DY$129:$DY$305,$IA110,'3a Staff Plan'!$DF$129:$DF$305,1,'3a Staff Plan'!$AG$129:$AG$305,1)</f>
        <v>0</v>
      </c>
      <c r="CL110" s="201">
        <f>SUMIFS('3a Staff Plan'!$BZ$129:$BZ$305,'3a Staff Plan'!$DY$129:$DY$305,$IA110,'3a Staff Plan'!$DF$129:$DF$305,1,'3a Staff Plan'!$AG$129:$AG$305,1)</f>
        <v>0</v>
      </c>
      <c r="CM110" s="201">
        <f>SUMIFS('3a Staff Plan'!$CA$129:$CA$305,'3a Staff Plan'!$DY$129:$DY$305,$IA110,'3a Staff Plan'!$DF$129:$DF$305,1,'3a Staff Plan'!$AG$129:$AG$305,1)</f>
        <v>0</v>
      </c>
      <c r="CN110" s="201">
        <f>SUMIFS('3a Staff Plan'!$CB$129:$CB$305,'3a Staff Plan'!$DY$129:$DY$305,$IA110,'3a Staff Plan'!$DF$129:$DF$305,1,'3a Staff Plan'!$AG$129:$AG$305,1)</f>
        <v>0</v>
      </c>
      <c r="CO110" s="201">
        <f>SUMIFS('3a Staff Plan'!$CC$129:$CC$305,'3a Staff Plan'!$DY$129:$DY$305,$IA110,'3a Staff Plan'!$DF$129:$DF$305,1,'3a Staff Plan'!$AG$129:$AG$305,1)</f>
        <v>0</v>
      </c>
      <c r="CP110" s="201">
        <f>SUMIFS('3a Staff Plan'!$CD$129:$CD$305,'3a Staff Plan'!$DY$129:$DY$305,$IA110,'3a Staff Plan'!$DF$129:$DF$305,1,'3a Staff Plan'!$AG$129:$AG$305,1)</f>
        <v>0</v>
      </c>
      <c r="CQ110" s="201">
        <f>SUMIFS('3a Staff Plan'!$CE$129:$CE$305,'3a Staff Plan'!$DY$129:$DY$305,$IA110,'3a Staff Plan'!$DF$129:$DF$305,1,'3a Staff Plan'!$AG$129:$AG$305,1)</f>
        <v>0</v>
      </c>
      <c r="CR110" s="201">
        <f>SUMIFS('3a Staff Plan'!$CF$129:$CF$305,'3a Staff Plan'!$DY$129:$DY$305,$IA110,'3a Staff Plan'!$DF$129:$DF$305,1,'3a Staff Plan'!$AG$129:$AG$305,1)</f>
        <v>0</v>
      </c>
      <c r="CS110" s="201">
        <f>SUMIFS('3a Staff Plan'!$CG$129:$CG$305,'3a Staff Plan'!$DY$129:$DY$305,$IA110,'3a Staff Plan'!$DF$129:$DF$305,1,'3a Staff Plan'!$AG$129:$AG$305,1)</f>
        <v>0</v>
      </c>
      <c r="CT110" s="201"/>
      <c r="CU110" s="1818">
        <f t="shared" si="210"/>
        <v>0</v>
      </c>
      <c r="CV110" s="1768"/>
      <c r="CW110" s="1768">
        <f t="shared" si="211"/>
        <v>0</v>
      </c>
      <c r="CX110" s="201"/>
      <c r="CY110" s="201">
        <f t="shared" si="212"/>
        <v>0</v>
      </c>
      <c r="CZ110" s="201">
        <f t="shared" si="213"/>
        <v>0</v>
      </c>
      <c r="DA110" s="201">
        <f t="shared" si="214"/>
        <v>0</v>
      </c>
      <c r="DB110" s="201">
        <f t="shared" si="215"/>
        <v>0</v>
      </c>
      <c r="DC110" s="201">
        <f t="shared" si="216"/>
        <v>0</v>
      </c>
      <c r="DD110" s="201">
        <f t="shared" si="217"/>
        <v>0</v>
      </c>
      <c r="DE110" s="201">
        <f t="shared" si="218"/>
        <v>0</v>
      </c>
      <c r="DF110" s="201">
        <f t="shared" si="219"/>
        <v>0</v>
      </c>
      <c r="DG110" s="201">
        <f t="shared" si="220"/>
        <v>0</v>
      </c>
      <c r="DH110" s="201">
        <f t="shared" si="221"/>
        <v>0</v>
      </c>
      <c r="DI110" s="201"/>
      <c r="DJ110" s="201"/>
      <c r="DK110" s="201"/>
      <c r="DL110" s="201"/>
      <c r="DM110" s="372">
        <f t="shared" ca="1" si="283"/>
        <v>0</v>
      </c>
      <c r="DN110" s="1185">
        <f t="shared" si="284"/>
        <v>0</v>
      </c>
      <c r="DO110" s="1185">
        <f t="shared" si="285"/>
        <v>0</v>
      </c>
      <c r="DP110" s="201"/>
      <c r="DQ110" s="372">
        <f t="shared" ca="1" si="286"/>
        <v>0</v>
      </c>
      <c r="DR110" s="1185">
        <f t="shared" si="287"/>
        <v>0</v>
      </c>
      <c r="DS110" s="1185">
        <f t="shared" si="288"/>
        <v>0</v>
      </c>
      <c r="DT110" s="201"/>
      <c r="DU110" s="372">
        <f t="shared" ca="1" si="289"/>
        <v>0</v>
      </c>
      <c r="DV110" s="372">
        <f t="shared" si="290"/>
        <v>0</v>
      </c>
      <c r="DW110" s="372">
        <f t="shared" si="290"/>
        <v>0</v>
      </c>
      <c r="DX110" s="201"/>
      <c r="DY110" s="372">
        <f t="shared" si="291"/>
        <v>0</v>
      </c>
      <c r="DZ110" s="372">
        <f t="shared" ca="1" si="292"/>
        <v>0</v>
      </c>
      <c r="EA110" s="201"/>
      <c r="EB110" s="2776">
        <f>IF(EO110=$EO$53,1,IFERROR(INDEX('Currency Data'!$L$8:$L$41,MATCH(EO110,'Currency Data'!$H$8:$H$41,0)),1))</f>
        <v>1</v>
      </c>
      <c r="EC110" s="2776">
        <f t="shared" ref="EC110" si="442">IF(HS110=0,1,HS110)</f>
        <v>1</v>
      </c>
      <c r="ED110" s="428">
        <f>IF(GQ110=1,'1 Setup'!$T$68,IF(ISBLANK(IJ110),II110/EC110*IF(GL110=1,$ED$53,1),IJ110/EC110)*IF($EW110=7,JW110,1))</f>
        <v>0</v>
      </c>
      <c r="EE110" s="428">
        <f t="shared" si="293"/>
        <v>0</v>
      </c>
      <c r="EF110" s="428"/>
      <c r="EG110" s="1965" t="str">
        <f t="shared" si="148"/>
        <v>031500 - Highways UK</v>
      </c>
      <c r="EH110" s="201">
        <f t="shared" si="149"/>
        <v>1</v>
      </c>
      <c r="EI110" s="445" t="str">
        <f>IF(EH110=1,$EI$53,IF(GQ110=1,$GQ$55,IFERROR(IF($EG110=$EG$53,$EI$53,INDEX('PU List'!$G$6:$G$413,MATCH($EG110,'PU List'!$D$6:$D$413,0))),$EI$53)))</f>
        <v>GB - BIAF</v>
      </c>
      <c r="EJ110" s="2773" t="str">
        <f t="shared" si="150"/>
        <v>GB - BIAF</v>
      </c>
      <c r="EK110" s="1768"/>
      <c r="EL110" s="3283">
        <f>IF(OR(EW110&gt;7,$EL$53=0),0,IF(EJ110=$EI$53,$EL$53,IFERROR(INDEX('Fringe Data'!$U$8:$U$129,MATCH($EJ110,'Fringe Data'!$F$8:$F$129,0)),0)))</f>
        <v>1.73</v>
      </c>
      <c r="EM110" s="372">
        <f t="shared" si="294"/>
        <v>0</v>
      </c>
      <c r="EN110" s="201" t="str">
        <f>IFERROR(INDEX('Fringe Data'!$G$8:$G$64,MATCH($EJ110,'Fringe Data'!$F$8:$F$64,0)),$EO$53)</f>
        <v>GBP</v>
      </c>
      <c r="EO110" s="201" t="str">
        <f t="shared" si="151"/>
        <v>GBP</v>
      </c>
      <c r="EP110" s="201">
        <f>IF(EI110=$EI$53,$EP$49,IF(GP110=1,0,IFERROR(INDEX('Fringe Data'!$K$8:$K$64,MATCH($EI110,'Fringe Data'!$F$8:$F$64,0)),0)))</f>
        <v>0.52</v>
      </c>
      <c r="EQ110" s="201">
        <f>IF(EI110=$EI$53,$EQ$49,IF(GP110=1,0,IFERROR(INDEX('Fringe Data'!$L$8:$L$64,MATCH($EI110,'Fringe Data'!$F$8:$F$64,0)),0)))</f>
        <v>1.8499999999999999E-2</v>
      </c>
      <c r="ER110" s="201">
        <f>IF(EI110=$EI$53,$ER$49,IF(GP110=1,0,IFERROR(INDEX('Fringe Data'!$M$8:$M$64,MATCH($EI110,'Fringe Data'!$F$8:$F$64,0)),0)))</f>
        <v>0.43430000000000002</v>
      </c>
      <c r="ES110" s="201">
        <f>IF(EI110=$EI$53,$ES$49,IF(GP110=1,0,IFERROR(INDEX('Fringe Data'!$N$8:$N$64,MATCH($EI110,'Fringe Data'!$F$8:$F$64,0)),0)))</f>
        <v>0.1565</v>
      </c>
      <c r="ET110" s="201">
        <f>IF(EI110=$EI$53,$ET$49,IF(GP110=1,0,IFERROR(INDEX('Fringe Data'!$O$8:$O$64,MATCH($EI110,'Fringe Data'!$F$8:$F$64,0)),0)))</f>
        <v>0.33450000000000002</v>
      </c>
      <c r="EU110" s="263">
        <f>IF(EI110=$EI$53,$EU$49,IF(GP110=1,0,IFERROR(INDEX('Fringe Data'!$P$8:$P$64,MATCH($EI110,'Fringe Data'!$F$8:$F$64,0)),0)))</f>
        <v>0.1565</v>
      </c>
      <c r="EV110" s="201"/>
      <c r="EW110" s="1530">
        <f t="shared" si="295"/>
        <v>1</v>
      </c>
      <c r="EX110" s="1534">
        <f t="shared" si="152"/>
        <v>0.52</v>
      </c>
      <c r="EY110" s="321">
        <f t="shared" si="153"/>
        <v>0</v>
      </c>
      <c r="EZ110" s="201">
        <f t="shared" si="154"/>
        <v>0</v>
      </c>
      <c r="FA110" s="372">
        <f t="shared" si="296"/>
        <v>0</v>
      </c>
      <c r="FB110" s="372">
        <f t="shared" si="297"/>
        <v>0</v>
      </c>
      <c r="FC110" s="201">
        <f t="shared" ca="1" si="155"/>
        <v>0</v>
      </c>
      <c r="FD110" s="423">
        <f t="shared" si="298"/>
        <v>0</v>
      </c>
      <c r="FE110" s="423">
        <f t="shared" si="299"/>
        <v>0</v>
      </c>
      <c r="FF110" s="201">
        <f t="shared" si="156"/>
        <v>0</v>
      </c>
      <c r="FG110" s="425">
        <f>IF(OR($FJ$52=3,$FJ$52=4,$FJ$52=5),'1 Setup'!$W$96,0)</f>
        <v>0</v>
      </c>
      <c r="FH110" s="428">
        <f>IF($FJ$52=5,'1 Setup'!$W$98,IF($FJ$52=6,'1 Setup'!$S$86,0))</f>
        <v>0</v>
      </c>
      <c r="FI110" s="321">
        <f t="shared" ca="1" si="300"/>
        <v>0</v>
      </c>
      <c r="FJ110" s="263">
        <f t="shared" ca="1" si="157"/>
        <v>0</v>
      </c>
      <c r="FK110" s="372">
        <f t="shared" ca="1" si="301"/>
        <v>0</v>
      </c>
      <c r="FL110" s="372">
        <f t="shared" si="302"/>
        <v>0</v>
      </c>
      <c r="FM110" s="372">
        <f t="shared" si="303"/>
        <v>0</v>
      </c>
      <c r="FN110" s="2036">
        <f t="shared" ca="1" si="304"/>
        <v>0</v>
      </c>
      <c r="FO110" s="372">
        <f t="shared" ca="1" si="224"/>
        <v>0</v>
      </c>
      <c r="FP110" s="2723">
        <f t="shared" si="158"/>
        <v>0</v>
      </c>
      <c r="FQ110" s="372">
        <f t="shared" si="305"/>
        <v>0</v>
      </c>
      <c r="FR110" s="372">
        <f t="shared" si="159"/>
        <v>0</v>
      </c>
      <c r="FS110" s="1168"/>
      <c r="FT110" s="1168">
        <f t="shared" si="306"/>
        <v>0</v>
      </c>
      <c r="FU110" s="1168">
        <f t="shared" si="307"/>
        <v>0</v>
      </c>
      <c r="FV110" s="1168">
        <f t="shared" si="308"/>
        <v>0</v>
      </c>
      <c r="FW110" s="1168">
        <f t="shared" si="309"/>
        <v>0</v>
      </c>
      <c r="FX110" s="1168">
        <f t="shared" si="310"/>
        <v>0</v>
      </c>
      <c r="FY110" s="1168">
        <f t="shared" si="311"/>
        <v>0</v>
      </c>
      <c r="FZ110" s="1168">
        <f t="shared" si="312"/>
        <v>0</v>
      </c>
      <c r="GA110" s="1168">
        <f t="shared" si="313"/>
        <v>0</v>
      </c>
      <c r="GB110" s="1168">
        <f t="shared" si="314"/>
        <v>0</v>
      </c>
      <c r="GC110" s="1168">
        <f t="shared" si="315"/>
        <v>0</v>
      </c>
      <c r="GD110" s="1168"/>
      <c r="GE110" s="199"/>
      <c r="GF110" s="201">
        <f t="shared" si="316"/>
        <v>0</v>
      </c>
      <c r="GG110" s="201">
        <f t="shared" si="317"/>
        <v>0</v>
      </c>
      <c r="GH110" s="201">
        <f t="shared" si="318"/>
        <v>0</v>
      </c>
      <c r="GI110" s="201">
        <f t="shared" ca="1" si="160"/>
        <v>0</v>
      </c>
      <c r="GJ110" s="201">
        <f t="shared" si="319"/>
        <v>0</v>
      </c>
      <c r="GK110" s="201">
        <f t="shared" si="320"/>
        <v>0</v>
      </c>
      <c r="GL110" s="201">
        <f t="shared" si="321"/>
        <v>1</v>
      </c>
      <c r="GM110" s="201">
        <f t="shared" si="322"/>
        <v>1</v>
      </c>
      <c r="GN110" s="201"/>
      <c r="GO110" s="201"/>
      <c r="GP110" s="201">
        <f t="shared" si="323"/>
        <v>0</v>
      </c>
      <c r="GQ110" s="201">
        <f t="shared" si="324"/>
        <v>0</v>
      </c>
      <c r="GR110" s="201">
        <f t="shared" si="161"/>
        <v>0</v>
      </c>
      <c r="GS110" s="1768"/>
      <c r="GT110" s="201">
        <f t="shared" si="325"/>
        <v>1</v>
      </c>
      <c r="GU110" s="201">
        <f t="shared" si="193"/>
        <v>47</v>
      </c>
      <c r="GV110" s="201">
        <f t="shared" si="326"/>
        <v>0</v>
      </c>
      <c r="GW110" s="201">
        <f t="shared" si="327"/>
        <v>3</v>
      </c>
      <c r="GX110" s="201">
        <f t="shared" si="162"/>
        <v>0</v>
      </c>
      <c r="GY110" s="1998"/>
      <c r="GZ110" s="253"/>
      <c r="HA110" s="195">
        <f t="shared" ref="HA110" si="443">IA110</f>
        <v>0</v>
      </c>
      <c r="HB110" s="3558">
        <f t="shared" ref="HB110" si="444">HZ110</f>
        <v>0</v>
      </c>
      <c r="HC110" s="3590"/>
      <c r="HD110" s="257" t="str">
        <f t="shared" si="328"/>
        <v/>
      </c>
      <c r="HE110" s="825">
        <f t="shared" si="329"/>
        <v>0</v>
      </c>
      <c r="HF110" s="506" t="s">
        <v>5</v>
      </c>
      <c r="HG110" s="508">
        <f t="shared" ca="1" si="330"/>
        <v>0</v>
      </c>
      <c r="HH110" s="3585">
        <f t="shared" si="331"/>
        <v>0</v>
      </c>
      <c r="HI110" s="3586"/>
      <c r="HJ110" s="967">
        <f t="shared" ref="HJ110" ca="1" si="445">HG110-HH110</f>
        <v>0</v>
      </c>
      <c r="HK110" s="456">
        <f t="shared" ca="1" si="226"/>
        <v>0</v>
      </c>
      <c r="HL110" s="3591">
        <f t="shared" ref="HL110" ca="1" si="446">IFERROR(HJ110/HE110,0)</f>
        <v>0</v>
      </c>
      <c r="HM110" s="3592"/>
      <c r="HN110" s="240"/>
      <c r="HO110" s="1998"/>
      <c r="HP110" s="1991"/>
      <c r="HQ110" s="2770" t="str">
        <f t="shared" si="332"/>
        <v>GB - BIAF</v>
      </c>
      <c r="HR110" s="2770" t="str">
        <f t="shared" si="333"/>
        <v>GBP</v>
      </c>
      <c r="HS110" s="2771">
        <f t="shared" si="334"/>
        <v>1</v>
      </c>
      <c r="HT110" s="3488"/>
      <c r="HU110" s="2771">
        <f t="shared" si="335"/>
        <v>1.73</v>
      </c>
      <c r="HW110" s="1218"/>
      <c r="HX110" s="520"/>
      <c r="HY110" s="2523"/>
      <c r="HZ110" s="194"/>
      <c r="IA110" s="1013"/>
      <c r="IB110" s="193"/>
      <c r="IC110" s="3276">
        <v>47</v>
      </c>
      <c r="ID110" s="986"/>
      <c r="IE110" s="938">
        <f t="shared" si="164"/>
        <v>0</v>
      </c>
      <c r="IF110" s="938">
        <f t="shared" si="165"/>
        <v>0</v>
      </c>
      <c r="IG110" s="432"/>
      <c r="II110" s="405"/>
      <c r="IJ110" s="239"/>
      <c r="IK110" s="2774" t="str">
        <f t="shared" si="166"/>
        <v>GBP</v>
      </c>
      <c r="IL110" s="2148"/>
      <c r="IM110" s="1936">
        <f t="shared" si="336"/>
        <v>0</v>
      </c>
      <c r="IO110" s="1959" t="str">
        <f t="shared" si="337"/>
        <v/>
      </c>
      <c r="IP110" s="1958"/>
      <c r="IQ110" s="543">
        <f t="shared" si="338"/>
        <v>0.52</v>
      </c>
      <c r="IR110" s="1936">
        <f t="shared" si="339"/>
        <v>0</v>
      </c>
      <c r="IT110" s="1364"/>
      <c r="IU110" s="210"/>
      <c r="IV110" s="218"/>
      <c r="IW110" s="1938">
        <f ca="1">IF(NOT(ISBLANK(IU110)),IU110,IF('1 Setup'!$G$8&lt;7,JK110,FJ110))+KA110</f>
        <v>0</v>
      </c>
      <c r="IX110" s="409">
        <f t="shared" si="340"/>
        <v>0</v>
      </c>
      <c r="IY110" s="408">
        <f t="shared" si="341"/>
        <v>0</v>
      </c>
      <c r="IZ110" s="1983"/>
      <c r="JA110" s="1994"/>
      <c r="JB110" s="1991"/>
      <c r="JD110" s="2029">
        <f t="shared" si="167"/>
        <v>0</v>
      </c>
      <c r="JE110" s="479"/>
      <c r="JF110" s="2025">
        <f t="shared" si="342"/>
        <v>0</v>
      </c>
      <c r="JG110" s="429">
        <f t="shared" si="343"/>
        <v>0</v>
      </c>
      <c r="JH110" s="1667">
        <f t="shared" si="344"/>
        <v>0</v>
      </c>
      <c r="JJ110" s="1163">
        <f t="shared" ca="1" si="345"/>
        <v>0</v>
      </c>
      <c r="JK110" s="1163">
        <f t="shared" ca="1" si="346"/>
        <v>0</v>
      </c>
      <c r="JL110" s="1795"/>
      <c r="JN110" s="2505"/>
      <c r="JO110" s="1161"/>
      <c r="JP110" s="571">
        <f t="shared" ca="1" si="410"/>
        <v>0</v>
      </c>
      <c r="JQ110" s="2506"/>
      <c r="JR110" s="1953"/>
      <c r="JS110" s="2650"/>
      <c r="JT110" s="2507"/>
      <c r="JU110" s="1964">
        <f t="shared" si="347"/>
        <v>0.33450000000000002</v>
      </c>
      <c r="JV110" s="3199"/>
      <c r="JW110" s="2649">
        <f t="shared" si="348"/>
        <v>1.5</v>
      </c>
      <c r="JX110" s="1964">
        <f t="shared" si="168"/>
        <v>0.1565</v>
      </c>
      <c r="JY110" s="3199"/>
      <c r="JZ110" s="2649">
        <f t="shared" si="169"/>
        <v>0</v>
      </c>
      <c r="KA110" s="2649">
        <f t="shared" si="170"/>
        <v>0</v>
      </c>
      <c r="KB110" s="2649" t="s">
        <v>111</v>
      </c>
      <c r="KC110" s="1983"/>
      <c r="KD110" s="1974"/>
      <c r="KE110" s="1991"/>
      <c r="KF110" s="2029">
        <f t="shared" si="171"/>
        <v>0</v>
      </c>
      <c r="KG110" s="1991"/>
      <c r="KH110" s="2121">
        <f t="shared" si="349"/>
        <v>0</v>
      </c>
      <c r="KI110" s="2130">
        <f t="shared" si="350"/>
        <v>0</v>
      </c>
      <c r="KJ110" s="2130">
        <f t="shared" si="351"/>
        <v>0</v>
      </c>
      <c r="KK110" s="2130">
        <f t="shared" si="352"/>
        <v>0</v>
      </c>
      <c r="KL110" s="2131">
        <f t="shared" si="353"/>
        <v>0</v>
      </c>
      <c r="KM110" s="2132">
        <f t="shared" si="354"/>
        <v>0</v>
      </c>
      <c r="KN110" s="2132">
        <f t="shared" si="355"/>
        <v>0</v>
      </c>
      <c r="KO110" s="2132">
        <f t="shared" si="356"/>
        <v>0</v>
      </c>
      <c r="KP110" s="2132">
        <f t="shared" si="357"/>
        <v>0</v>
      </c>
      <c r="KQ110" s="2133">
        <f t="shared" si="358"/>
        <v>0</v>
      </c>
      <c r="KS110" s="2253">
        <f t="shared" si="359"/>
        <v>0</v>
      </c>
      <c r="KT110" s="2270">
        <f t="shared" ref="KT110:LB110" si="447">KS110*(1+(KT$60))</f>
        <v>0</v>
      </c>
      <c r="KU110" s="2271">
        <f t="shared" si="447"/>
        <v>0</v>
      </c>
      <c r="KV110" s="2271">
        <f t="shared" si="447"/>
        <v>0</v>
      </c>
      <c r="KW110" s="2272">
        <f t="shared" si="447"/>
        <v>0</v>
      </c>
      <c r="KX110" s="2271">
        <f t="shared" si="447"/>
        <v>0</v>
      </c>
      <c r="KY110" s="2271">
        <f t="shared" si="447"/>
        <v>0</v>
      </c>
      <c r="KZ110" s="2271">
        <f t="shared" si="447"/>
        <v>0</v>
      </c>
      <c r="LA110" s="2271">
        <f t="shared" si="447"/>
        <v>0</v>
      </c>
      <c r="LB110" s="2273">
        <f t="shared" si="447"/>
        <v>0</v>
      </c>
      <c r="LC110" s="749"/>
      <c r="LD110" s="2124">
        <f t="shared" si="361"/>
        <v>0</v>
      </c>
      <c r="LE110" s="2093">
        <f t="shared" si="362"/>
        <v>0</v>
      </c>
      <c r="LF110" s="2093">
        <f t="shared" si="363"/>
        <v>0</v>
      </c>
      <c r="LG110" s="2093">
        <f t="shared" si="364"/>
        <v>0</v>
      </c>
      <c r="LH110" s="2094">
        <f t="shared" si="365"/>
        <v>0</v>
      </c>
      <c r="LI110" s="2095">
        <f t="shared" si="366"/>
        <v>0</v>
      </c>
      <c r="LJ110" s="2095">
        <f t="shared" si="367"/>
        <v>0</v>
      </c>
      <c r="LK110" s="2095">
        <f t="shared" si="368"/>
        <v>0</v>
      </c>
      <c r="LL110" s="2095">
        <f t="shared" si="369"/>
        <v>0</v>
      </c>
      <c r="LM110" s="2096">
        <f t="shared" si="370"/>
        <v>0</v>
      </c>
      <c r="LN110" s="749"/>
      <c r="LO110" s="2256">
        <f t="shared" ca="1" si="371"/>
        <v>0</v>
      </c>
      <c r="LP110" s="2270">
        <f t="shared" ca="1" si="372"/>
        <v>0</v>
      </c>
      <c r="LQ110" s="2271">
        <f t="shared" ca="1" si="373"/>
        <v>0</v>
      </c>
      <c r="LR110" s="2271">
        <f t="shared" ca="1" si="374"/>
        <v>0</v>
      </c>
      <c r="LS110" s="2272">
        <f t="shared" ca="1" si="375"/>
        <v>0</v>
      </c>
      <c r="LT110" s="2271">
        <f t="shared" ca="1" si="376"/>
        <v>0</v>
      </c>
      <c r="LU110" s="2271">
        <f t="shared" ca="1" si="377"/>
        <v>0</v>
      </c>
      <c r="LV110" s="2271">
        <f t="shared" ca="1" si="378"/>
        <v>0</v>
      </c>
      <c r="LW110" s="2271">
        <f t="shared" ca="1" si="379"/>
        <v>0</v>
      </c>
      <c r="LX110" s="2273">
        <f t="shared" ca="1" si="380"/>
        <v>0</v>
      </c>
      <c r="LY110" s="479"/>
      <c r="LZ110" s="3128">
        <f t="shared" ca="1" si="173"/>
        <v>-1.73</v>
      </c>
      <c r="MA110" s="3129">
        <f t="shared" ca="1" si="174"/>
        <v>-1.73</v>
      </c>
      <c r="MB110" s="3129">
        <f t="shared" ca="1" si="175"/>
        <v>-1.73</v>
      </c>
      <c r="MC110" s="3129">
        <f t="shared" ca="1" si="176"/>
        <v>-1.73</v>
      </c>
      <c r="MD110" s="3130">
        <f t="shared" ca="1" si="177"/>
        <v>-1.73</v>
      </c>
      <c r="ME110" s="3129">
        <f t="shared" ca="1" si="178"/>
        <v>-1.73</v>
      </c>
      <c r="MF110" s="3129">
        <f t="shared" ca="1" si="179"/>
        <v>-1.73</v>
      </c>
      <c r="MG110" s="3129">
        <f t="shared" ca="1" si="180"/>
        <v>-1.73</v>
      </c>
      <c r="MH110" s="3129">
        <f t="shared" ca="1" si="181"/>
        <v>-1.73</v>
      </c>
      <c r="MI110" s="3131">
        <f t="shared" ca="1" si="182"/>
        <v>-1.73</v>
      </c>
      <c r="MJ110" s="3201"/>
      <c r="MK110" s="3206">
        <f t="shared" ca="1" si="183"/>
        <v>0</v>
      </c>
      <c r="ML110" s="3207">
        <f t="shared" ca="1" si="184"/>
        <v>0</v>
      </c>
      <c r="MM110" s="3207">
        <f t="shared" ca="1" si="185"/>
        <v>0</v>
      </c>
      <c r="MN110" s="3207">
        <f t="shared" ca="1" si="186"/>
        <v>0</v>
      </c>
      <c r="MO110" s="3208">
        <f t="shared" ca="1" si="187"/>
        <v>0</v>
      </c>
      <c r="MP110" s="3207">
        <f t="shared" ca="1" si="188"/>
        <v>0</v>
      </c>
      <c r="MQ110" s="3207">
        <f t="shared" ca="1" si="189"/>
        <v>0</v>
      </c>
      <c r="MR110" s="3207">
        <f t="shared" ca="1" si="190"/>
        <v>0</v>
      </c>
      <c r="MS110" s="3207">
        <f t="shared" ca="1" si="191"/>
        <v>0</v>
      </c>
      <c r="MT110" s="3209">
        <f t="shared" ca="1" si="192"/>
        <v>0</v>
      </c>
      <c r="MU110" s="1983"/>
      <c r="MV110" s="1975"/>
      <c r="MW110" s="1991"/>
      <c r="MX110" s="1931">
        <f t="shared" si="381"/>
        <v>0</v>
      </c>
      <c r="MY110" s="749"/>
      <c r="MZ110" s="1934">
        <f t="shared" si="382"/>
        <v>0</v>
      </c>
      <c r="NA110" s="1935"/>
      <c r="NB110" s="2652">
        <f t="shared" si="383"/>
        <v>0</v>
      </c>
      <c r="NC110" s="479"/>
      <c r="ND110" s="2749" t="str">
        <f t="shared" si="384"/>
        <v/>
      </c>
      <c r="NE110" s="2717"/>
      <c r="NF110" s="1975"/>
      <c r="NG110" s="1975"/>
      <c r="NH110" s="1975"/>
      <c r="NI110" s="1975"/>
    </row>
    <row r="111" spans="1:373" s="192" customFormat="1" ht="15.9" customHeight="1" x14ac:dyDescent="0.3">
      <c r="A111" s="200"/>
      <c r="B111" s="200"/>
      <c r="C111" s="200"/>
      <c r="D111" s="200"/>
      <c r="E111" s="200"/>
      <c r="F111" s="200"/>
      <c r="G111" s="200"/>
      <c r="H111" s="200"/>
      <c r="I111" s="200"/>
      <c r="J111" s="200"/>
      <c r="K111" s="200"/>
      <c r="L111" s="200"/>
      <c r="M111" s="200"/>
      <c r="N111" s="200"/>
      <c r="O111" s="200"/>
      <c r="P111" s="1539"/>
      <c r="Q111" s="1539"/>
      <c r="R111" s="198"/>
      <c r="S111" s="1539"/>
      <c r="T111" s="201"/>
      <c r="U111" s="200"/>
      <c r="V111" s="201">
        <f>MATCH($IC111,'3b Activity Plan'!$DJ$171:$FH$171,0)</f>
        <v>48</v>
      </c>
      <c r="W111" s="201">
        <f>IFERROR(INDEX('3b Activity Plan'!$DJ$6:$FH$6,V111),0)</f>
        <v>0</v>
      </c>
      <c r="X111" s="1768"/>
      <c r="Y111" s="1768">
        <f>IFERROR(INDEX('3b Activity Plan'!$DJ$7:$FH$7,V111),0)</f>
        <v>0</v>
      </c>
      <c r="Z111" s="201"/>
      <c r="AA111" s="201">
        <f>IFERROR(INDEX('3b Activity Plan'!$DJ$34:$FH$34,$V111),0)</f>
        <v>0</v>
      </c>
      <c r="AB111" s="201">
        <f>IFERROR(INDEX('3b Activity Plan'!$DJ$35:$FH$35,$V111),0)</f>
        <v>0</v>
      </c>
      <c r="AC111" s="201">
        <f>IFERROR(INDEX('3b Activity Plan'!$DJ$36:$FH$36,$V111),0)</f>
        <v>0</v>
      </c>
      <c r="AD111" s="201">
        <f>IFERROR(INDEX('3b Activity Plan'!$DJ$37:$FH$37,$V111),0)</f>
        <v>0</v>
      </c>
      <c r="AE111" s="201">
        <f>IFERROR(INDEX('3b Activity Plan'!$DJ$38:$FH$38,$V111),0)</f>
        <v>0</v>
      </c>
      <c r="AF111" s="201">
        <f>IFERROR(INDEX('3b Activity Plan'!$DJ$39:$FH$39,$V111),0)</f>
        <v>0</v>
      </c>
      <c r="AG111" s="201">
        <f>IFERROR(INDEX('3b Activity Plan'!$DJ$40:$FH$40,$V111),0)</f>
        <v>0</v>
      </c>
      <c r="AH111" s="201">
        <f>IFERROR(INDEX('3b Activity Plan'!$DJ$41:$FH$41,$V111),0)</f>
        <v>0</v>
      </c>
      <c r="AI111" s="201">
        <f>IFERROR(INDEX('3b Activity Plan'!$DJ$42:$FH$42,$V111),0)</f>
        <v>0</v>
      </c>
      <c r="AJ111" s="201">
        <f>IFERROR(INDEX('3b Activity Plan'!$DJ$43:$FH$43,$V111),0)</f>
        <v>0</v>
      </c>
      <c r="AK111" s="201"/>
      <c r="AL111" s="201">
        <f>SUMIFS('3a Staff Plan'!$AR$129:$AR$305,'3a Staff Plan'!$DY$129:$DY$305,$IA111,'3a Staff Plan'!$DF$129:$DF$305,1)</f>
        <v>0</v>
      </c>
      <c r="AM111" s="1768"/>
      <c r="AN111" s="1768">
        <f>SUMIFS('3a Staff Plan'!$AR$129:$AR$305,'3a Staff Plan'!$DY$129:$DY$305,$IA111,'3a Staff Plan'!$CV$129:$CV$305,1)</f>
        <v>0</v>
      </c>
      <c r="AO111" s="201"/>
      <c r="AP111" s="201">
        <f>SUMIFS('3a Staff Plan'!$AS$129:$AS$305,'3a Staff Plan'!$DY$129:$DY$305,$IA111,'3a Staff Plan'!$DF$129:$DF$305,1)</f>
        <v>0</v>
      </c>
      <c r="AQ111" s="201">
        <f>SUMIFS('3a Staff Plan'!$AT$129:$AT$305,'3a Staff Plan'!$DY$129:$DY$305,$IA111,'3a Staff Plan'!$DF$129:$DF$305,1)</f>
        <v>0</v>
      </c>
      <c r="AR111" s="201">
        <f>SUMIFS('3a Staff Plan'!$AU$129:$AU$305,'3a Staff Plan'!$DY$129:$DY$305,$IA111,'3a Staff Plan'!$DF$129:$DF$305,1)</f>
        <v>0</v>
      </c>
      <c r="AS111" s="201">
        <f>SUMIFS('3a Staff Plan'!$AV$129:$AV$305,'3a Staff Plan'!$DY$129:$DY$305,$IA111,'3a Staff Plan'!$DF$129:$DF$305,1)</f>
        <v>0</v>
      </c>
      <c r="AT111" s="201">
        <f>SUMIFS('3a Staff Plan'!$AW$129:$AW$305,'3a Staff Plan'!$DY$129:$DY$305,$IA111,'3a Staff Plan'!$DF$129:$DF$305,1)</f>
        <v>0</v>
      </c>
      <c r="AU111" s="201">
        <f>SUMIFS('3a Staff Plan'!$AX$129:$AX$305,'3a Staff Plan'!$DY$129:$DY$305,$IA111,'3a Staff Plan'!$DF$129:$DF$305,1)</f>
        <v>0</v>
      </c>
      <c r="AV111" s="201">
        <f>SUMIFS('3a Staff Plan'!$AY$129:$AY$305,'3a Staff Plan'!$DY$129:$DY$305,$IA111,'3a Staff Plan'!$DF$129:$DF$305,1)</f>
        <v>0</v>
      </c>
      <c r="AW111" s="201">
        <f>SUMIFS('3a Staff Plan'!$AZ$129:$AZ$305,'3a Staff Plan'!$DY$129:$DY$305,$IA111,'3a Staff Plan'!$DF$129:$DF$305,1)</f>
        <v>0</v>
      </c>
      <c r="AX111" s="201">
        <f>SUMIFS('3a Staff Plan'!$BA$129:$BA$305,'3a Staff Plan'!$DY$129:$DY$305,$IA111,'3a Staff Plan'!$DF$129:$DF$305,1)</f>
        <v>0</v>
      </c>
      <c r="AY111" s="201">
        <f>SUMIFS('3a Staff Plan'!$BB$129:$BB$305,'3a Staff Plan'!$DY$129:$DY$305,$IA111,'3a Staff Plan'!$DF$129:$DF$305,1)</f>
        <v>0</v>
      </c>
      <c r="AZ111" s="201"/>
      <c r="BA111" s="201">
        <f t="shared" si="198"/>
        <v>0</v>
      </c>
      <c r="BB111" s="1768"/>
      <c r="BC111" s="1768">
        <f t="shared" si="199"/>
        <v>0</v>
      </c>
      <c r="BD111" s="201"/>
      <c r="BE111" s="201">
        <f t="shared" si="200"/>
        <v>0</v>
      </c>
      <c r="BF111" s="201">
        <f t="shared" si="201"/>
        <v>0</v>
      </c>
      <c r="BG111" s="201">
        <f t="shared" si="202"/>
        <v>0</v>
      </c>
      <c r="BH111" s="201">
        <f t="shared" si="203"/>
        <v>0</v>
      </c>
      <c r="BI111" s="201">
        <f t="shared" si="204"/>
        <v>0</v>
      </c>
      <c r="BJ111" s="201">
        <f t="shared" si="205"/>
        <v>0</v>
      </c>
      <c r="BK111" s="201">
        <f t="shared" si="206"/>
        <v>0</v>
      </c>
      <c r="BL111" s="201">
        <f t="shared" si="207"/>
        <v>0</v>
      </c>
      <c r="BM111" s="201">
        <f t="shared" si="208"/>
        <v>0</v>
      </c>
      <c r="BN111" s="201">
        <f t="shared" si="209"/>
        <v>0</v>
      </c>
      <c r="BO111" s="201"/>
      <c r="BP111" s="1818">
        <f t="shared" si="146"/>
        <v>48</v>
      </c>
      <c r="BQ111" s="1818">
        <f>IFERROR(INDEX('3b Activity Plan'!$DJ$15:$FH$15,BP111),0)</f>
        <v>0</v>
      </c>
      <c r="BR111" s="1768"/>
      <c r="BS111" s="1768">
        <f>IFERROR(INDEX('3b Activity Plan'!$DJ$16:$FH$16,BP111),0)</f>
        <v>0</v>
      </c>
      <c r="BT111" s="201"/>
      <c r="BU111" s="201">
        <f>IFERROR(INDEX('3b Activity Plan'!$DJ$67:$FH$67,$V111),0)</f>
        <v>0</v>
      </c>
      <c r="BV111" s="201">
        <f>IFERROR(INDEX('3b Activity Plan'!$DJ$68:$FH$68,$V111),0)</f>
        <v>0</v>
      </c>
      <c r="BW111" s="201">
        <f>IFERROR(INDEX('3b Activity Plan'!$DJ$69:$FH$69,$V111),0)</f>
        <v>0</v>
      </c>
      <c r="BX111" s="201">
        <f>IFERROR(INDEX('3b Activity Plan'!$DJ$70:$FH$70,$V111),0)</f>
        <v>0</v>
      </c>
      <c r="BY111" s="201">
        <f>IFERROR(INDEX('3b Activity Plan'!$DJ$71:$FH$71,$V111),0)</f>
        <v>0</v>
      </c>
      <c r="BZ111" s="201">
        <f>IFERROR(INDEX('3b Activity Plan'!$DJ$72:$FH$72,$V111),0)</f>
        <v>0</v>
      </c>
      <c r="CA111" s="201">
        <f>IFERROR(INDEX('3b Activity Plan'!$DJ$73:$FH$73,$V111),0)</f>
        <v>0</v>
      </c>
      <c r="CB111" s="201">
        <f>IFERROR(INDEX('3b Activity Plan'!$DJ$74:$FH$74,$V111),0)</f>
        <v>0</v>
      </c>
      <c r="CC111" s="201">
        <f>IFERROR(INDEX('3b Activity Plan'!$DJ$75:$FH$75,$V111),0)</f>
        <v>0</v>
      </c>
      <c r="CD111" s="201">
        <f>IFERROR(INDEX('3b Activity Plan'!$DJ$76:$FH$76,$V111),0)</f>
        <v>0</v>
      </c>
      <c r="CE111" s="201"/>
      <c r="CF111" s="1818">
        <f>SUMIFS('3a Staff Plan'!$AR$129:$AR$305,'3a Staff Plan'!$DY$129:$DY$305,$IA111,'3a Staff Plan'!$AG$129:$AG$305,1,'3a Staff Plan'!$DF$129:$DF$305,1)</f>
        <v>0</v>
      </c>
      <c r="CG111" s="1768">
        <f>SUMIFS('3a Staff Plan'!$AR$129:$AR$305,'3a Staff Plan'!$DY$129:$DY$305,$IA111,'3a Staff Plan'!$AG$129:$AG$305,1,'3a Staff Plan'!$CX$129:$CX$305,1)</f>
        <v>0</v>
      </c>
      <c r="CH111" s="1768">
        <f>SUMIFS('3a Staff Plan'!$AR$129:$AR$305,'3a Staff Plan'!$DY$129:$DY$305,$IA111,'3a Staff Plan'!$AG$129:$AG$305,1,'3a Staff Plan'!$CV$129:$CV$305,1)</f>
        <v>0</v>
      </c>
      <c r="CI111" s="201"/>
      <c r="CJ111" s="201">
        <f>SUMIFS('3a Staff Plan'!$BX$129:$BX$305,'3a Staff Plan'!$DY$129:$DY$305,$IA111,'3a Staff Plan'!$DF$129:$DF$305,1,'3a Staff Plan'!$AG$129:$AG$305,1)</f>
        <v>0</v>
      </c>
      <c r="CK111" s="201">
        <f>SUMIFS('3a Staff Plan'!$BY$129:$BY$305,'3a Staff Plan'!$DY$129:$DY$305,$IA111,'3a Staff Plan'!$DF$129:$DF$305,1,'3a Staff Plan'!$AG$129:$AG$305,1)</f>
        <v>0</v>
      </c>
      <c r="CL111" s="201">
        <f>SUMIFS('3a Staff Plan'!$BZ$129:$BZ$305,'3a Staff Plan'!$DY$129:$DY$305,$IA111,'3a Staff Plan'!$DF$129:$DF$305,1,'3a Staff Plan'!$AG$129:$AG$305,1)</f>
        <v>0</v>
      </c>
      <c r="CM111" s="201">
        <f>SUMIFS('3a Staff Plan'!$CA$129:$CA$305,'3a Staff Plan'!$DY$129:$DY$305,$IA111,'3a Staff Plan'!$DF$129:$DF$305,1,'3a Staff Plan'!$AG$129:$AG$305,1)</f>
        <v>0</v>
      </c>
      <c r="CN111" s="201">
        <f>SUMIFS('3a Staff Plan'!$CB$129:$CB$305,'3a Staff Plan'!$DY$129:$DY$305,$IA111,'3a Staff Plan'!$DF$129:$DF$305,1,'3a Staff Plan'!$AG$129:$AG$305,1)</f>
        <v>0</v>
      </c>
      <c r="CO111" s="201">
        <f>SUMIFS('3a Staff Plan'!$CC$129:$CC$305,'3a Staff Plan'!$DY$129:$DY$305,$IA111,'3a Staff Plan'!$DF$129:$DF$305,1,'3a Staff Plan'!$AG$129:$AG$305,1)</f>
        <v>0</v>
      </c>
      <c r="CP111" s="201">
        <f>SUMIFS('3a Staff Plan'!$CD$129:$CD$305,'3a Staff Plan'!$DY$129:$DY$305,$IA111,'3a Staff Plan'!$DF$129:$DF$305,1,'3a Staff Plan'!$AG$129:$AG$305,1)</f>
        <v>0</v>
      </c>
      <c r="CQ111" s="201">
        <f>SUMIFS('3a Staff Plan'!$CE$129:$CE$305,'3a Staff Plan'!$DY$129:$DY$305,$IA111,'3a Staff Plan'!$DF$129:$DF$305,1,'3a Staff Plan'!$AG$129:$AG$305,1)</f>
        <v>0</v>
      </c>
      <c r="CR111" s="201">
        <f>SUMIFS('3a Staff Plan'!$CF$129:$CF$305,'3a Staff Plan'!$DY$129:$DY$305,$IA111,'3a Staff Plan'!$DF$129:$DF$305,1,'3a Staff Plan'!$AG$129:$AG$305,1)</f>
        <v>0</v>
      </c>
      <c r="CS111" s="201">
        <f>SUMIFS('3a Staff Plan'!$CG$129:$CG$305,'3a Staff Plan'!$DY$129:$DY$305,$IA111,'3a Staff Plan'!$DF$129:$DF$305,1,'3a Staff Plan'!$AG$129:$AG$305,1)</f>
        <v>0</v>
      </c>
      <c r="CT111" s="201"/>
      <c r="CU111" s="1818">
        <f t="shared" si="210"/>
        <v>0</v>
      </c>
      <c r="CV111" s="1768"/>
      <c r="CW111" s="1768">
        <f t="shared" si="211"/>
        <v>0</v>
      </c>
      <c r="CX111" s="201"/>
      <c r="CY111" s="201">
        <f t="shared" si="212"/>
        <v>0</v>
      </c>
      <c r="CZ111" s="201">
        <f t="shared" si="213"/>
        <v>0</v>
      </c>
      <c r="DA111" s="201">
        <f t="shared" si="214"/>
        <v>0</v>
      </c>
      <c r="DB111" s="201">
        <f t="shared" si="215"/>
        <v>0</v>
      </c>
      <c r="DC111" s="201">
        <f t="shared" si="216"/>
        <v>0</v>
      </c>
      <c r="DD111" s="201">
        <f t="shared" si="217"/>
        <v>0</v>
      </c>
      <c r="DE111" s="201">
        <f t="shared" si="218"/>
        <v>0</v>
      </c>
      <c r="DF111" s="201">
        <f t="shared" si="219"/>
        <v>0</v>
      </c>
      <c r="DG111" s="201">
        <f t="shared" si="220"/>
        <v>0</v>
      </c>
      <c r="DH111" s="201">
        <f t="shared" si="221"/>
        <v>0</v>
      </c>
      <c r="DI111" s="201"/>
      <c r="DJ111" s="201"/>
      <c r="DK111" s="201"/>
      <c r="DL111" s="201"/>
      <c r="DM111" s="372">
        <f t="shared" ca="1" si="283"/>
        <v>0</v>
      </c>
      <c r="DN111" s="1185">
        <f t="shared" si="284"/>
        <v>0</v>
      </c>
      <c r="DO111" s="1185">
        <f t="shared" si="285"/>
        <v>0</v>
      </c>
      <c r="DP111" s="201"/>
      <c r="DQ111" s="372">
        <f t="shared" ca="1" si="286"/>
        <v>0</v>
      </c>
      <c r="DR111" s="1185">
        <f t="shared" si="287"/>
        <v>0</v>
      </c>
      <c r="DS111" s="1185">
        <f t="shared" si="288"/>
        <v>0</v>
      </c>
      <c r="DT111" s="201"/>
      <c r="DU111" s="372">
        <f t="shared" ca="1" si="289"/>
        <v>0</v>
      </c>
      <c r="DV111" s="372">
        <f t="shared" si="290"/>
        <v>0</v>
      </c>
      <c r="DW111" s="372">
        <f t="shared" si="290"/>
        <v>0</v>
      </c>
      <c r="DX111" s="201"/>
      <c r="DY111" s="372">
        <f t="shared" si="291"/>
        <v>0</v>
      </c>
      <c r="DZ111" s="372">
        <f t="shared" ca="1" si="292"/>
        <v>0</v>
      </c>
      <c r="EA111" s="201"/>
      <c r="EB111" s="2776">
        <f>IF(EO111=$EO$53,1,IFERROR(INDEX('Currency Data'!$L$8:$L$41,MATCH(EO111,'Currency Data'!$H$8:$H$41,0)),1))</f>
        <v>1</v>
      </c>
      <c r="EC111" s="2776">
        <f t="shared" si="147"/>
        <v>1</v>
      </c>
      <c r="ED111" s="428">
        <f>IF(GQ111=1,'1 Setup'!$T$68,IF(ISBLANK(IJ111),II111/EC111*IF(GL111=1,$ED$53,1),IJ111/EC111)*IF($EW111=7,JW111,1))</f>
        <v>0</v>
      </c>
      <c r="EE111" s="428">
        <f t="shared" si="293"/>
        <v>0</v>
      </c>
      <c r="EF111" s="428"/>
      <c r="EG111" s="1965" t="str">
        <f t="shared" si="148"/>
        <v>031500 - Highways UK</v>
      </c>
      <c r="EH111" s="201">
        <f t="shared" si="149"/>
        <v>1</v>
      </c>
      <c r="EI111" s="445" t="str">
        <f>IF(EH111=1,$EI$53,IF(GQ111=1,$GQ$55,IFERROR(IF($EG111=$EG$53,$EI$53,INDEX('PU List'!$G$6:$G$413,MATCH($EG111,'PU List'!$D$6:$D$413,0))),$EI$53)))</f>
        <v>GB - BIAF</v>
      </c>
      <c r="EJ111" s="2773" t="str">
        <f t="shared" si="150"/>
        <v>GB - BIAF</v>
      </c>
      <c r="EK111" s="1768"/>
      <c r="EL111" s="3283">
        <f>IF(OR(EW111&gt;7,$EL$53=0),0,IF(EJ111=$EI$53,$EL$53,IFERROR(INDEX('Fringe Data'!$U$8:$U$129,MATCH($EJ111,'Fringe Data'!$F$8:$F$129,0)),0)))</f>
        <v>1.73</v>
      </c>
      <c r="EM111" s="372">
        <f t="shared" si="294"/>
        <v>0</v>
      </c>
      <c r="EN111" s="201" t="str">
        <f>IFERROR(INDEX('Fringe Data'!$G$8:$G$64,MATCH($EJ111,'Fringe Data'!$F$8:$F$64,0)),$EO$53)</f>
        <v>GBP</v>
      </c>
      <c r="EO111" s="201" t="str">
        <f t="shared" si="151"/>
        <v>GBP</v>
      </c>
      <c r="EP111" s="201">
        <f>IF(EI111=$EI$53,$EP$49,IF(GP111=1,0,IFERROR(INDEX('Fringe Data'!$K$8:$K$64,MATCH($EI111,'Fringe Data'!$F$8:$F$64,0)),0)))</f>
        <v>0.52</v>
      </c>
      <c r="EQ111" s="201">
        <f>IF(EI111=$EI$53,$EQ$49,IF(GP111=1,0,IFERROR(INDEX('Fringe Data'!$L$8:$L$64,MATCH($EI111,'Fringe Data'!$F$8:$F$64,0)),0)))</f>
        <v>1.8499999999999999E-2</v>
      </c>
      <c r="ER111" s="201">
        <f>IF(EI111=$EI$53,$ER$49,IF(GP111=1,0,IFERROR(INDEX('Fringe Data'!$M$8:$M$64,MATCH($EI111,'Fringe Data'!$F$8:$F$64,0)),0)))</f>
        <v>0.43430000000000002</v>
      </c>
      <c r="ES111" s="201">
        <f>IF(EI111=$EI$53,$ES$49,IF(GP111=1,0,IFERROR(INDEX('Fringe Data'!$N$8:$N$64,MATCH($EI111,'Fringe Data'!$F$8:$F$64,0)),0)))</f>
        <v>0.1565</v>
      </c>
      <c r="ET111" s="201">
        <f>IF(EI111=$EI$53,$ET$49,IF(GP111=1,0,IFERROR(INDEX('Fringe Data'!$O$8:$O$64,MATCH($EI111,'Fringe Data'!$F$8:$F$64,0)),0)))</f>
        <v>0.33450000000000002</v>
      </c>
      <c r="EU111" s="263">
        <f>IF(EI111=$EI$53,$EU$49,IF(GP111=1,0,IFERROR(INDEX('Fringe Data'!$P$8:$P$64,MATCH($EI111,'Fringe Data'!$F$8:$F$64,0)),0)))</f>
        <v>0.1565</v>
      </c>
      <c r="EV111" s="201"/>
      <c r="EW111" s="1530">
        <f t="shared" si="295"/>
        <v>1</v>
      </c>
      <c r="EX111" s="1534">
        <f t="shared" si="152"/>
        <v>0.52</v>
      </c>
      <c r="EY111" s="321">
        <f t="shared" si="153"/>
        <v>0</v>
      </c>
      <c r="EZ111" s="201">
        <f t="shared" si="154"/>
        <v>0</v>
      </c>
      <c r="FA111" s="372">
        <f t="shared" si="296"/>
        <v>0</v>
      </c>
      <c r="FB111" s="372">
        <f t="shared" si="297"/>
        <v>0</v>
      </c>
      <c r="FC111" s="201">
        <f t="shared" ca="1" si="155"/>
        <v>0</v>
      </c>
      <c r="FD111" s="423">
        <f t="shared" si="298"/>
        <v>0</v>
      </c>
      <c r="FE111" s="423">
        <f t="shared" si="299"/>
        <v>0</v>
      </c>
      <c r="FF111" s="201">
        <f t="shared" si="156"/>
        <v>0</v>
      </c>
      <c r="FG111" s="425">
        <f>IF(OR($FJ$52=3,$FJ$52=4,$FJ$52=5),'1 Setup'!$W$96,0)</f>
        <v>0</v>
      </c>
      <c r="FH111" s="428">
        <f>IF($FJ$52=5,'1 Setup'!$W$98,IF($FJ$52=6,'1 Setup'!$S$86,0))</f>
        <v>0</v>
      </c>
      <c r="FI111" s="321">
        <f t="shared" ca="1" si="300"/>
        <v>0</v>
      </c>
      <c r="FJ111" s="263">
        <f t="shared" ca="1" si="157"/>
        <v>0</v>
      </c>
      <c r="FK111" s="372">
        <f t="shared" ca="1" si="301"/>
        <v>0</v>
      </c>
      <c r="FL111" s="372">
        <f t="shared" si="302"/>
        <v>0</v>
      </c>
      <c r="FM111" s="372">
        <f t="shared" si="303"/>
        <v>0</v>
      </c>
      <c r="FN111" s="2036">
        <f t="shared" ca="1" si="304"/>
        <v>0</v>
      </c>
      <c r="FO111" s="372">
        <f t="shared" ca="1" si="224"/>
        <v>0</v>
      </c>
      <c r="FP111" s="2723">
        <f t="shared" si="158"/>
        <v>0</v>
      </c>
      <c r="FQ111" s="372">
        <f t="shared" si="305"/>
        <v>0</v>
      </c>
      <c r="FR111" s="372">
        <f t="shared" si="159"/>
        <v>0</v>
      </c>
      <c r="FS111" s="1168"/>
      <c r="FT111" s="1168">
        <f t="shared" si="306"/>
        <v>0</v>
      </c>
      <c r="FU111" s="1168">
        <f t="shared" si="307"/>
        <v>0</v>
      </c>
      <c r="FV111" s="1168">
        <f t="shared" si="308"/>
        <v>0</v>
      </c>
      <c r="FW111" s="1168">
        <f t="shared" si="309"/>
        <v>0</v>
      </c>
      <c r="FX111" s="1168">
        <f t="shared" si="310"/>
        <v>0</v>
      </c>
      <c r="FY111" s="1168">
        <f t="shared" si="311"/>
        <v>0</v>
      </c>
      <c r="FZ111" s="1168">
        <f t="shared" si="312"/>
        <v>0</v>
      </c>
      <c r="GA111" s="1168">
        <f t="shared" si="313"/>
        <v>0</v>
      </c>
      <c r="GB111" s="1168">
        <f t="shared" si="314"/>
        <v>0</v>
      </c>
      <c r="GC111" s="1168">
        <f t="shared" si="315"/>
        <v>0</v>
      </c>
      <c r="GD111" s="1168"/>
      <c r="GE111" s="199"/>
      <c r="GF111" s="201">
        <f t="shared" si="316"/>
        <v>0</v>
      </c>
      <c r="GG111" s="201">
        <f t="shared" si="317"/>
        <v>0</v>
      </c>
      <c r="GH111" s="201">
        <f t="shared" si="318"/>
        <v>0</v>
      </c>
      <c r="GI111" s="201">
        <f t="shared" ca="1" si="160"/>
        <v>0</v>
      </c>
      <c r="GJ111" s="201">
        <f t="shared" si="319"/>
        <v>0</v>
      </c>
      <c r="GK111" s="201">
        <f t="shared" si="320"/>
        <v>0</v>
      </c>
      <c r="GL111" s="201">
        <f t="shared" si="321"/>
        <v>1</v>
      </c>
      <c r="GM111" s="201">
        <f t="shared" si="322"/>
        <v>1</v>
      </c>
      <c r="GN111" s="201"/>
      <c r="GO111" s="201"/>
      <c r="GP111" s="201">
        <f t="shared" si="323"/>
        <v>0</v>
      </c>
      <c r="GQ111" s="201">
        <f t="shared" si="324"/>
        <v>0</v>
      </c>
      <c r="GR111" s="201">
        <f t="shared" si="161"/>
        <v>0</v>
      </c>
      <c r="GS111" s="1768"/>
      <c r="GT111" s="201">
        <f t="shared" si="325"/>
        <v>1</v>
      </c>
      <c r="GU111" s="201">
        <f t="shared" si="193"/>
        <v>48</v>
      </c>
      <c r="GV111" s="201">
        <f t="shared" si="326"/>
        <v>0</v>
      </c>
      <c r="GW111" s="201">
        <f t="shared" si="327"/>
        <v>3</v>
      </c>
      <c r="GX111" s="201">
        <f t="shared" si="162"/>
        <v>0</v>
      </c>
      <c r="GY111" s="1998"/>
      <c r="GZ111" s="253"/>
      <c r="HA111" s="195">
        <f t="shared" si="407"/>
        <v>0</v>
      </c>
      <c r="HB111" s="3558">
        <f>HZ111</f>
        <v>0</v>
      </c>
      <c r="HC111" s="3590"/>
      <c r="HD111" s="257" t="str">
        <f t="shared" si="328"/>
        <v/>
      </c>
      <c r="HE111" s="825">
        <f t="shared" si="329"/>
        <v>0</v>
      </c>
      <c r="HF111" s="506" t="s">
        <v>5</v>
      </c>
      <c r="HG111" s="508">
        <f t="shared" ca="1" si="330"/>
        <v>0</v>
      </c>
      <c r="HH111" s="3585">
        <f t="shared" si="331"/>
        <v>0</v>
      </c>
      <c r="HI111" s="3586"/>
      <c r="HJ111" s="522">
        <f t="shared" ca="1" si="408"/>
        <v>0</v>
      </c>
      <c r="HK111" s="456">
        <f t="shared" ca="1" si="226"/>
        <v>0</v>
      </c>
      <c r="HL111" s="3591">
        <f t="shared" ca="1" si="409"/>
        <v>0</v>
      </c>
      <c r="HM111" s="3592"/>
      <c r="HN111" s="240"/>
      <c r="HO111" s="1998"/>
      <c r="HP111" s="1991"/>
      <c r="HQ111" s="2770" t="str">
        <f t="shared" si="332"/>
        <v>GB - BIAF</v>
      </c>
      <c r="HR111" s="2770" t="str">
        <f t="shared" si="333"/>
        <v>GBP</v>
      </c>
      <c r="HS111" s="2771">
        <f t="shared" si="334"/>
        <v>1</v>
      </c>
      <c r="HT111" s="3623"/>
      <c r="HU111" s="2771">
        <f t="shared" si="335"/>
        <v>1.73</v>
      </c>
      <c r="HW111" s="1218"/>
      <c r="HX111" s="520"/>
      <c r="HY111" s="2523"/>
      <c r="HZ111" s="194"/>
      <c r="IA111" s="1013"/>
      <c r="IB111" s="193"/>
      <c r="IC111" s="3276">
        <v>48</v>
      </c>
      <c r="ID111" s="986"/>
      <c r="IE111" s="938">
        <f t="shared" si="164"/>
        <v>0</v>
      </c>
      <c r="IF111" s="938">
        <f t="shared" si="165"/>
        <v>0</v>
      </c>
      <c r="IG111" s="432"/>
      <c r="II111" s="405"/>
      <c r="IJ111" s="239"/>
      <c r="IK111" s="2774" t="str">
        <f t="shared" si="166"/>
        <v>GBP</v>
      </c>
      <c r="IL111" s="2148"/>
      <c r="IM111" s="1936">
        <f t="shared" si="336"/>
        <v>0</v>
      </c>
      <c r="IO111" s="1959" t="str">
        <f t="shared" si="337"/>
        <v/>
      </c>
      <c r="IP111" s="1958"/>
      <c r="IQ111" s="543">
        <f t="shared" si="338"/>
        <v>0.52</v>
      </c>
      <c r="IR111" s="1936">
        <f t="shared" si="339"/>
        <v>0</v>
      </c>
      <c r="IT111" s="1364"/>
      <c r="IU111" s="210"/>
      <c r="IV111" s="218"/>
      <c r="IW111" s="1938">
        <f ca="1">IF(NOT(ISBLANK(IU111)),IU111,IF('1 Setup'!$G$8&lt;7,JK111,FJ111))+KA111</f>
        <v>0</v>
      </c>
      <c r="IX111" s="409">
        <f t="shared" si="340"/>
        <v>0</v>
      </c>
      <c r="IY111" s="408">
        <f t="shared" si="341"/>
        <v>0</v>
      </c>
      <c r="IZ111" s="1983"/>
      <c r="JA111" s="1994"/>
      <c r="JB111" s="1991"/>
      <c r="JD111" s="2029">
        <f t="shared" si="167"/>
        <v>0</v>
      </c>
      <c r="JE111" s="479"/>
      <c r="JF111" s="2025">
        <f t="shared" si="342"/>
        <v>0</v>
      </c>
      <c r="JG111" s="429">
        <f t="shared" si="343"/>
        <v>0</v>
      </c>
      <c r="JH111" s="1667">
        <f t="shared" si="344"/>
        <v>0</v>
      </c>
      <c r="JJ111" s="1163">
        <f t="shared" ca="1" si="345"/>
        <v>0</v>
      </c>
      <c r="JK111" s="1163">
        <f t="shared" ca="1" si="346"/>
        <v>0</v>
      </c>
      <c r="JL111" s="1795"/>
      <c r="JN111" s="2505"/>
      <c r="JO111" s="1161"/>
      <c r="JP111" s="571">
        <f t="shared" ca="1" si="410"/>
        <v>0</v>
      </c>
      <c r="JQ111" s="2506"/>
      <c r="JR111" s="1953"/>
      <c r="JS111" s="2650"/>
      <c r="JT111" s="2507"/>
      <c r="JU111" s="1964">
        <f t="shared" si="347"/>
        <v>0.33450000000000002</v>
      </c>
      <c r="JV111" s="3199"/>
      <c r="JW111" s="2649">
        <f t="shared" si="348"/>
        <v>1.5</v>
      </c>
      <c r="JX111" s="1964">
        <f t="shared" si="168"/>
        <v>0.1565</v>
      </c>
      <c r="JY111" s="3199"/>
      <c r="JZ111" s="2649">
        <f t="shared" si="169"/>
        <v>0</v>
      </c>
      <c r="KA111" s="2649">
        <f t="shared" si="170"/>
        <v>0</v>
      </c>
      <c r="KB111" s="2649" t="s">
        <v>111</v>
      </c>
      <c r="KC111" s="1983"/>
      <c r="KD111" s="1974"/>
      <c r="KE111" s="1991"/>
      <c r="KF111" s="2029">
        <f t="shared" si="171"/>
        <v>0</v>
      </c>
      <c r="KG111" s="1991"/>
      <c r="KH111" s="2121">
        <f t="shared" si="349"/>
        <v>0</v>
      </c>
      <c r="KI111" s="2130">
        <f t="shared" si="350"/>
        <v>0</v>
      </c>
      <c r="KJ111" s="2130">
        <f t="shared" si="351"/>
        <v>0</v>
      </c>
      <c r="KK111" s="2130">
        <f t="shared" si="352"/>
        <v>0</v>
      </c>
      <c r="KL111" s="2131">
        <f t="shared" si="353"/>
        <v>0</v>
      </c>
      <c r="KM111" s="2132">
        <f t="shared" si="354"/>
        <v>0</v>
      </c>
      <c r="KN111" s="2132">
        <f t="shared" si="355"/>
        <v>0</v>
      </c>
      <c r="KO111" s="2132">
        <f t="shared" si="356"/>
        <v>0</v>
      </c>
      <c r="KP111" s="2132">
        <f t="shared" si="357"/>
        <v>0</v>
      </c>
      <c r="KQ111" s="2133">
        <f t="shared" si="358"/>
        <v>0</v>
      </c>
      <c r="KS111" s="2253">
        <f t="shared" si="359"/>
        <v>0</v>
      </c>
      <c r="KT111" s="2270">
        <f t="shared" ref="KT111:LB111" si="448">KS111*(1+(KT$60))</f>
        <v>0</v>
      </c>
      <c r="KU111" s="2271">
        <f t="shared" si="448"/>
        <v>0</v>
      </c>
      <c r="KV111" s="2271">
        <f t="shared" si="448"/>
        <v>0</v>
      </c>
      <c r="KW111" s="2272">
        <f t="shared" si="448"/>
        <v>0</v>
      </c>
      <c r="KX111" s="2271">
        <f t="shared" si="448"/>
        <v>0</v>
      </c>
      <c r="KY111" s="2271">
        <f t="shared" si="448"/>
        <v>0</v>
      </c>
      <c r="KZ111" s="2271">
        <f t="shared" si="448"/>
        <v>0</v>
      </c>
      <c r="LA111" s="2271">
        <f t="shared" si="448"/>
        <v>0</v>
      </c>
      <c r="LB111" s="2273">
        <f t="shared" si="448"/>
        <v>0</v>
      </c>
      <c r="LC111" s="272"/>
      <c r="LD111" s="2124">
        <f t="shared" si="361"/>
        <v>0</v>
      </c>
      <c r="LE111" s="2093">
        <f t="shared" si="362"/>
        <v>0</v>
      </c>
      <c r="LF111" s="2093">
        <f t="shared" si="363"/>
        <v>0</v>
      </c>
      <c r="LG111" s="2093">
        <f t="shared" si="364"/>
        <v>0</v>
      </c>
      <c r="LH111" s="2094">
        <f t="shared" si="365"/>
        <v>0</v>
      </c>
      <c r="LI111" s="2095">
        <f t="shared" si="366"/>
        <v>0</v>
      </c>
      <c r="LJ111" s="2095">
        <f t="shared" si="367"/>
        <v>0</v>
      </c>
      <c r="LK111" s="2095">
        <f t="shared" si="368"/>
        <v>0</v>
      </c>
      <c r="LL111" s="2095">
        <f t="shared" si="369"/>
        <v>0</v>
      </c>
      <c r="LM111" s="2096">
        <f t="shared" si="370"/>
        <v>0</v>
      </c>
      <c r="LN111" s="749"/>
      <c r="LO111" s="2256">
        <f t="shared" ca="1" si="371"/>
        <v>0</v>
      </c>
      <c r="LP111" s="2270">
        <f t="shared" ca="1" si="372"/>
        <v>0</v>
      </c>
      <c r="LQ111" s="2271">
        <f t="shared" ca="1" si="373"/>
        <v>0</v>
      </c>
      <c r="LR111" s="2271">
        <f t="shared" ca="1" si="374"/>
        <v>0</v>
      </c>
      <c r="LS111" s="2272">
        <f t="shared" ca="1" si="375"/>
        <v>0</v>
      </c>
      <c r="LT111" s="2271">
        <f t="shared" ca="1" si="376"/>
        <v>0</v>
      </c>
      <c r="LU111" s="2271">
        <f t="shared" ca="1" si="377"/>
        <v>0</v>
      </c>
      <c r="LV111" s="2271">
        <f t="shared" ca="1" si="378"/>
        <v>0</v>
      </c>
      <c r="LW111" s="2271">
        <f t="shared" ca="1" si="379"/>
        <v>0</v>
      </c>
      <c r="LX111" s="2273">
        <f t="shared" ca="1" si="380"/>
        <v>0</v>
      </c>
      <c r="LY111" s="479"/>
      <c r="LZ111" s="3128">
        <f t="shared" ca="1" si="173"/>
        <v>-1.73</v>
      </c>
      <c r="MA111" s="3129">
        <f t="shared" ca="1" si="174"/>
        <v>-1.73</v>
      </c>
      <c r="MB111" s="3129">
        <f t="shared" ca="1" si="175"/>
        <v>-1.73</v>
      </c>
      <c r="MC111" s="3129">
        <f t="shared" ca="1" si="176"/>
        <v>-1.73</v>
      </c>
      <c r="MD111" s="3130">
        <f t="shared" ca="1" si="177"/>
        <v>-1.73</v>
      </c>
      <c r="ME111" s="3129">
        <f t="shared" ca="1" si="178"/>
        <v>-1.73</v>
      </c>
      <c r="MF111" s="3129">
        <f t="shared" ca="1" si="179"/>
        <v>-1.73</v>
      </c>
      <c r="MG111" s="3129">
        <f t="shared" ca="1" si="180"/>
        <v>-1.73</v>
      </c>
      <c r="MH111" s="3129">
        <f t="shared" ca="1" si="181"/>
        <v>-1.73</v>
      </c>
      <c r="MI111" s="3131">
        <f t="shared" ca="1" si="182"/>
        <v>-1.73</v>
      </c>
      <c r="MJ111" s="3201"/>
      <c r="MK111" s="3206">
        <f t="shared" ca="1" si="183"/>
        <v>0</v>
      </c>
      <c r="ML111" s="3207">
        <f t="shared" ca="1" si="184"/>
        <v>0</v>
      </c>
      <c r="MM111" s="3207">
        <f t="shared" ca="1" si="185"/>
        <v>0</v>
      </c>
      <c r="MN111" s="3207">
        <f t="shared" ca="1" si="186"/>
        <v>0</v>
      </c>
      <c r="MO111" s="3208">
        <f t="shared" ca="1" si="187"/>
        <v>0</v>
      </c>
      <c r="MP111" s="3207">
        <f t="shared" ca="1" si="188"/>
        <v>0</v>
      </c>
      <c r="MQ111" s="3207">
        <f t="shared" ca="1" si="189"/>
        <v>0</v>
      </c>
      <c r="MR111" s="3207">
        <f t="shared" ca="1" si="190"/>
        <v>0</v>
      </c>
      <c r="MS111" s="3207">
        <f t="shared" ca="1" si="191"/>
        <v>0</v>
      </c>
      <c r="MT111" s="3209">
        <f t="shared" ca="1" si="192"/>
        <v>0</v>
      </c>
      <c r="MU111" s="1983"/>
      <c r="MV111" s="1975"/>
      <c r="MW111" s="1991"/>
      <c r="MX111" s="1931">
        <f t="shared" si="381"/>
        <v>0</v>
      </c>
      <c r="MY111" s="749"/>
      <c r="MZ111" s="1934">
        <f t="shared" si="382"/>
        <v>0</v>
      </c>
      <c r="NA111" s="1935"/>
      <c r="NB111" s="2652">
        <f t="shared" si="383"/>
        <v>0</v>
      </c>
      <c r="NC111" s="479"/>
      <c r="ND111" s="2749" t="str">
        <f t="shared" si="384"/>
        <v/>
      </c>
      <c r="NE111" s="2717"/>
      <c r="NF111" s="1975"/>
      <c r="NG111" s="1975"/>
      <c r="NH111" s="1975"/>
      <c r="NI111" s="1975"/>
    </row>
    <row r="112" spans="1:373" s="192" customFormat="1" ht="15.9" customHeight="1" x14ac:dyDescent="0.3">
      <c r="A112" s="200"/>
      <c r="B112" s="200"/>
      <c r="C112" s="200"/>
      <c r="D112" s="200"/>
      <c r="E112" s="200"/>
      <c r="F112" s="200"/>
      <c r="G112" s="200"/>
      <c r="H112" s="200"/>
      <c r="I112" s="200"/>
      <c r="J112" s="200"/>
      <c r="K112" s="200"/>
      <c r="L112" s="200"/>
      <c r="M112" s="200"/>
      <c r="N112" s="200"/>
      <c r="O112" s="200"/>
      <c r="P112" s="1539"/>
      <c r="Q112" s="1539"/>
      <c r="R112" s="198"/>
      <c r="S112" s="1539"/>
      <c r="T112" s="201"/>
      <c r="U112" s="200"/>
      <c r="V112" s="201">
        <f>MATCH($IC112,'3b Activity Plan'!$DJ$171:$FH$171,0)</f>
        <v>49</v>
      </c>
      <c r="W112" s="201">
        <f>IFERROR(INDEX('3b Activity Plan'!$DJ$6:$FH$6,V112),0)</f>
        <v>0</v>
      </c>
      <c r="X112" s="1768"/>
      <c r="Y112" s="1768">
        <f>IFERROR(INDEX('3b Activity Plan'!$DJ$7:$FH$7,V112),0)</f>
        <v>0</v>
      </c>
      <c r="Z112" s="201"/>
      <c r="AA112" s="201">
        <f>IFERROR(INDEX('3b Activity Plan'!$DJ$34:$FH$34,$V112),0)</f>
        <v>0</v>
      </c>
      <c r="AB112" s="201">
        <f>IFERROR(INDEX('3b Activity Plan'!$DJ$35:$FH$35,$V112),0)</f>
        <v>0</v>
      </c>
      <c r="AC112" s="201">
        <f>IFERROR(INDEX('3b Activity Plan'!$DJ$36:$FH$36,$V112),0)</f>
        <v>0</v>
      </c>
      <c r="AD112" s="201">
        <f>IFERROR(INDEX('3b Activity Plan'!$DJ$37:$FH$37,$V112),0)</f>
        <v>0</v>
      </c>
      <c r="AE112" s="201">
        <f>IFERROR(INDEX('3b Activity Plan'!$DJ$38:$FH$38,$V112),0)</f>
        <v>0</v>
      </c>
      <c r="AF112" s="201">
        <f>IFERROR(INDEX('3b Activity Plan'!$DJ$39:$FH$39,$V112),0)</f>
        <v>0</v>
      </c>
      <c r="AG112" s="201">
        <f>IFERROR(INDEX('3b Activity Plan'!$DJ$40:$FH$40,$V112),0)</f>
        <v>0</v>
      </c>
      <c r="AH112" s="201">
        <f>IFERROR(INDEX('3b Activity Plan'!$DJ$41:$FH$41,$V112),0)</f>
        <v>0</v>
      </c>
      <c r="AI112" s="201">
        <f>IFERROR(INDEX('3b Activity Plan'!$DJ$42:$FH$42,$V112),0)</f>
        <v>0</v>
      </c>
      <c r="AJ112" s="201">
        <f>IFERROR(INDEX('3b Activity Plan'!$DJ$43:$FH$43,$V112),0)</f>
        <v>0</v>
      </c>
      <c r="AK112" s="201"/>
      <c r="AL112" s="201">
        <f>SUMIFS('3a Staff Plan'!$AR$129:$AR$305,'3a Staff Plan'!$DY$129:$DY$305,$IA112,'3a Staff Plan'!$DF$129:$DF$305,1)</f>
        <v>0</v>
      </c>
      <c r="AM112" s="1768"/>
      <c r="AN112" s="1768">
        <f>SUMIFS('3a Staff Plan'!$AR$129:$AR$305,'3a Staff Plan'!$DY$129:$DY$305,$IA112,'3a Staff Plan'!$CV$129:$CV$305,1)</f>
        <v>0</v>
      </c>
      <c r="AO112" s="201"/>
      <c r="AP112" s="201">
        <f>SUMIFS('3a Staff Plan'!$AS$129:$AS$305,'3a Staff Plan'!$DY$129:$DY$305,$IA112,'3a Staff Plan'!$DF$129:$DF$305,1)</f>
        <v>0</v>
      </c>
      <c r="AQ112" s="201">
        <f>SUMIFS('3a Staff Plan'!$AT$129:$AT$305,'3a Staff Plan'!$DY$129:$DY$305,$IA112,'3a Staff Plan'!$DF$129:$DF$305,1)</f>
        <v>0</v>
      </c>
      <c r="AR112" s="201">
        <f>SUMIFS('3a Staff Plan'!$AU$129:$AU$305,'3a Staff Plan'!$DY$129:$DY$305,$IA112,'3a Staff Plan'!$DF$129:$DF$305,1)</f>
        <v>0</v>
      </c>
      <c r="AS112" s="201">
        <f>SUMIFS('3a Staff Plan'!$AV$129:$AV$305,'3a Staff Plan'!$DY$129:$DY$305,$IA112,'3a Staff Plan'!$DF$129:$DF$305,1)</f>
        <v>0</v>
      </c>
      <c r="AT112" s="201">
        <f>SUMIFS('3a Staff Plan'!$AW$129:$AW$305,'3a Staff Plan'!$DY$129:$DY$305,$IA112,'3a Staff Plan'!$DF$129:$DF$305,1)</f>
        <v>0</v>
      </c>
      <c r="AU112" s="201">
        <f>SUMIFS('3a Staff Plan'!$AX$129:$AX$305,'3a Staff Plan'!$DY$129:$DY$305,$IA112,'3a Staff Plan'!$DF$129:$DF$305,1)</f>
        <v>0</v>
      </c>
      <c r="AV112" s="201">
        <f>SUMIFS('3a Staff Plan'!$AY$129:$AY$305,'3a Staff Plan'!$DY$129:$DY$305,$IA112,'3a Staff Plan'!$DF$129:$DF$305,1)</f>
        <v>0</v>
      </c>
      <c r="AW112" s="201">
        <f>SUMIFS('3a Staff Plan'!$AZ$129:$AZ$305,'3a Staff Plan'!$DY$129:$DY$305,$IA112,'3a Staff Plan'!$DF$129:$DF$305,1)</f>
        <v>0</v>
      </c>
      <c r="AX112" s="201">
        <f>SUMIFS('3a Staff Plan'!$BA$129:$BA$305,'3a Staff Plan'!$DY$129:$DY$305,$IA112,'3a Staff Plan'!$DF$129:$DF$305,1)</f>
        <v>0</v>
      </c>
      <c r="AY112" s="201">
        <f>SUMIFS('3a Staff Plan'!$BB$129:$BB$305,'3a Staff Plan'!$DY$129:$DY$305,$IA112,'3a Staff Plan'!$DF$129:$DF$305,1)</f>
        <v>0</v>
      </c>
      <c r="AZ112" s="201"/>
      <c r="BA112" s="201">
        <f t="shared" si="198"/>
        <v>0</v>
      </c>
      <c r="BB112" s="1768"/>
      <c r="BC112" s="1768">
        <f t="shared" si="199"/>
        <v>0</v>
      </c>
      <c r="BD112" s="201"/>
      <c r="BE112" s="201">
        <f t="shared" si="200"/>
        <v>0</v>
      </c>
      <c r="BF112" s="201">
        <f t="shared" si="201"/>
        <v>0</v>
      </c>
      <c r="BG112" s="201">
        <f t="shared" si="202"/>
        <v>0</v>
      </c>
      <c r="BH112" s="201">
        <f t="shared" si="203"/>
        <v>0</v>
      </c>
      <c r="BI112" s="201">
        <f t="shared" si="204"/>
        <v>0</v>
      </c>
      <c r="BJ112" s="201">
        <f t="shared" si="205"/>
        <v>0</v>
      </c>
      <c r="BK112" s="201">
        <f t="shared" si="206"/>
        <v>0</v>
      </c>
      <c r="BL112" s="201">
        <f t="shared" si="207"/>
        <v>0</v>
      </c>
      <c r="BM112" s="201">
        <f t="shared" si="208"/>
        <v>0</v>
      </c>
      <c r="BN112" s="201">
        <f t="shared" si="209"/>
        <v>0</v>
      </c>
      <c r="BO112" s="201"/>
      <c r="BP112" s="1818">
        <f t="shared" si="146"/>
        <v>49</v>
      </c>
      <c r="BQ112" s="1818">
        <f>IFERROR(INDEX('3b Activity Plan'!$DJ$15:$FH$15,BP112),0)</f>
        <v>0</v>
      </c>
      <c r="BR112" s="1768"/>
      <c r="BS112" s="1768">
        <f>IFERROR(INDEX('3b Activity Plan'!$DJ$16:$FH$16,BP112),0)</f>
        <v>0</v>
      </c>
      <c r="BT112" s="201"/>
      <c r="BU112" s="201">
        <f>IFERROR(INDEX('3b Activity Plan'!$DJ$67:$FH$67,$V112),0)</f>
        <v>0</v>
      </c>
      <c r="BV112" s="201">
        <f>IFERROR(INDEX('3b Activity Plan'!$DJ$68:$FH$68,$V112),0)</f>
        <v>0</v>
      </c>
      <c r="BW112" s="201">
        <f>IFERROR(INDEX('3b Activity Plan'!$DJ$69:$FH$69,$V112),0)</f>
        <v>0</v>
      </c>
      <c r="BX112" s="201">
        <f>IFERROR(INDEX('3b Activity Plan'!$DJ$70:$FH$70,$V112),0)</f>
        <v>0</v>
      </c>
      <c r="BY112" s="201">
        <f>IFERROR(INDEX('3b Activity Plan'!$DJ$71:$FH$71,$V112),0)</f>
        <v>0</v>
      </c>
      <c r="BZ112" s="201">
        <f>IFERROR(INDEX('3b Activity Plan'!$DJ$72:$FH$72,$V112),0)</f>
        <v>0</v>
      </c>
      <c r="CA112" s="201">
        <f>IFERROR(INDEX('3b Activity Plan'!$DJ$73:$FH$73,$V112),0)</f>
        <v>0</v>
      </c>
      <c r="CB112" s="201">
        <f>IFERROR(INDEX('3b Activity Plan'!$DJ$74:$FH$74,$V112),0)</f>
        <v>0</v>
      </c>
      <c r="CC112" s="201">
        <f>IFERROR(INDEX('3b Activity Plan'!$DJ$75:$FH$75,$V112),0)</f>
        <v>0</v>
      </c>
      <c r="CD112" s="201">
        <f>IFERROR(INDEX('3b Activity Plan'!$DJ$76:$FH$76,$V112),0)</f>
        <v>0</v>
      </c>
      <c r="CE112" s="201"/>
      <c r="CF112" s="1818">
        <f>SUMIFS('3a Staff Plan'!$AR$129:$AR$305,'3a Staff Plan'!$DY$129:$DY$305,$IA112,'3a Staff Plan'!$AG$129:$AG$305,1,'3a Staff Plan'!$DF$129:$DF$305,1)</f>
        <v>0</v>
      </c>
      <c r="CG112" s="1768">
        <f>SUMIFS('3a Staff Plan'!$AR$129:$AR$305,'3a Staff Plan'!$DY$129:$DY$305,$IA112,'3a Staff Plan'!$AG$129:$AG$305,1,'3a Staff Plan'!$CX$129:$CX$305,1)</f>
        <v>0</v>
      </c>
      <c r="CH112" s="1768">
        <f>SUMIFS('3a Staff Plan'!$AR$129:$AR$305,'3a Staff Plan'!$DY$129:$DY$305,$IA112,'3a Staff Plan'!$AG$129:$AG$305,1,'3a Staff Plan'!$CV$129:$CV$305,1)</f>
        <v>0</v>
      </c>
      <c r="CI112" s="201"/>
      <c r="CJ112" s="201">
        <f>SUMIFS('3a Staff Plan'!$BX$129:$BX$305,'3a Staff Plan'!$DY$129:$DY$305,$IA112,'3a Staff Plan'!$DF$129:$DF$305,1,'3a Staff Plan'!$AG$129:$AG$305,1)</f>
        <v>0</v>
      </c>
      <c r="CK112" s="201">
        <f>SUMIFS('3a Staff Plan'!$BY$129:$BY$305,'3a Staff Plan'!$DY$129:$DY$305,$IA112,'3a Staff Plan'!$DF$129:$DF$305,1,'3a Staff Plan'!$AG$129:$AG$305,1)</f>
        <v>0</v>
      </c>
      <c r="CL112" s="201">
        <f>SUMIFS('3a Staff Plan'!$BZ$129:$BZ$305,'3a Staff Plan'!$DY$129:$DY$305,$IA112,'3a Staff Plan'!$DF$129:$DF$305,1,'3a Staff Plan'!$AG$129:$AG$305,1)</f>
        <v>0</v>
      </c>
      <c r="CM112" s="201">
        <f>SUMIFS('3a Staff Plan'!$CA$129:$CA$305,'3a Staff Plan'!$DY$129:$DY$305,$IA112,'3a Staff Plan'!$DF$129:$DF$305,1,'3a Staff Plan'!$AG$129:$AG$305,1)</f>
        <v>0</v>
      </c>
      <c r="CN112" s="201">
        <f>SUMIFS('3a Staff Plan'!$CB$129:$CB$305,'3a Staff Plan'!$DY$129:$DY$305,$IA112,'3a Staff Plan'!$DF$129:$DF$305,1,'3a Staff Plan'!$AG$129:$AG$305,1)</f>
        <v>0</v>
      </c>
      <c r="CO112" s="201">
        <f>SUMIFS('3a Staff Plan'!$CC$129:$CC$305,'3a Staff Plan'!$DY$129:$DY$305,$IA112,'3a Staff Plan'!$DF$129:$DF$305,1,'3a Staff Plan'!$AG$129:$AG$305,1)</f>
        <v>0</v>
      </c>
      <c r="CP112" s="201">
        <f>SUMIFS('3a Staff Plan'!$CD$129:$CD$305,'3a Staff Plan'!$DY$129:$DY$305,$IA112,'3a Staff Plan'!$DF$129:$DF$305,1,'3a Staff Plan'!$AG$129:$AG$305,1)</f>
        <v>0</v>
      </c>
      <c r="CQ112" s="201">
        <f>SUMIFS('3a Staff Plan'!$CE$129:$CE$305,'3a Staff Plan'!$DY$129:$DY$305,$IA112,'3a Staff Plan'!$DF$129:$DF$305,1,'3a Staff Plan'!$AG$129:$AG$305,1)</f>
        <v>0</v>
      </c>
      <c r="CR112" s="201">
        <f>SUMIFS('3a Staff Plan'!$CF$129:$CF$305,'3a Staff Plan'!$DY$129:$DY$305,$IA112,'3a Staff Plan'!$DF$129:$DF$305,1,'3a Staff Plan'!$AG$129:$AG$305,1)</f>
        <v>0</v>
      </c>
      <c r="CS112" s="201">
        <f>SUMIFS('3a Staff Plan'!$CG$129:$CG$305,'3a Staff Plan'!$DY$129:$DY$305,$IA112,'3a Staff Plan'!$DF$129:$DF$305,1,'3a Staff Plan'!$AG$129:$AG$305,1)</f>
        <v>0</v>
      </c>
      <c r="CT112" s="201"/>
      <c r="CU112" s="1818">
        <f t="shared" si="210"/>
        <v>0</v>
      </c>
      <c r="CV112" s="1768"/>
      <c r="CW112" s="1768">
        <f t="shared" si="211"/>
        <v>0</v>
      </c>
      <c r="CX112" s="201"/>
      <c r="CY112" s="201">
        <f t="shared" si="212"/>
        <v>0</v>
      </c>
      <c r="CZ112" s="201">
        <f t="shared" si="213"/>
        <v>0</v>
      </c>
      <c r="DA112" s="201">
        <f t="shared" si="214"/>
        <v>0</v>
      </c>
      <c r="DB112" s="201">
        <f t="shared" si="215"/>
        <v>0</v>
      </c>
      <c r="DC112" s="201">
        <f t="shared" si="216"/>
        <v>0</v>
      </c>
      <c r="DD112" s="201">
        <f t="shared" si="217"/>
        <v>0</v>
      </c>
      <c r="DE112" s="201">
        <f t="shared" si="218"/>
        <v>0</v>
      </c>
      <c r="DF112" s="201">
        <f t="shared" si="219"/>
        <v>0</v>
      </c>
      <c r="DG112" s="201">
        <f t="shared" si="220"/>
        <v>0</v>
      </c>
      <c r="DH112" s="201">
        <f t="shared" si="221"/>
        <v>0</v>
      </c>
      <c r="DI112" s="201"/>
      <c r="DJ112" s="201"/>
      <c r="DK112" s="201"/>
      <c r="DL112" s="201"/>
      <c r="DM112" s="372">
        <f t="shared" ca="1" si="283"/>
        <v>0</v>
      </c>
      <c r="DN112" s="1185">
        <f t="shared" si="284"/>
        <v>0</v>
      </c>
      <c r="DO112" s="1185">
        <f t="shared" si="285"/>
        <v>0</v>
      </c>
      <c r="DP112" s="201"/>
      <c r="DQ112" s="372">
        <f t="shared" ca="1" si="286"/>
        <v>0</v>
      </c>
      <c r="DR112" s="1185">
        <f t="shared" si="287"/>
        <v>0</v>
      </c>
      <c r="DS112" s="1185">
        <f t="shared" si="288"/>
        <v>0</v>
      </c>
      <c r="DT112" s="201"/>
      <c r="DU112" s="372">
        <f t="shared" ca="1" si="289"/>
        <v>0</v>
      </c>
      <c r="DV112" s="372">
        <f t="shared" si="290"/>
        <v>0</v>
      </c>
      <c r="DW112" s="372">
        <f t="shared" si="290"/>
        <v>0</v>
      </c>
      <c r="DX112" s="201"/>
      <c r="DY112" s="372">
        <f t="shared" si="291"/>
        <v>0</v>
      </c>
      <c r="DZ112" s="372">
        <f t="shared" ca="1" si="292"/>
        <v>0</v>
      </c>
      <c r="EA112" s="201"/>
      <c r="EB112" s="2776">
        <f>IF(EO112=$EO$53,1,IFERROR(INDEX('Currency Data'!$L$8:$L$41,MATCH(EO112,'Currency Data'!$H$8:$H$41,0)),1))</f>
        <v>1</v>
      </c>
      <c r="EC112" s="2776">
        <f t="shared" si="147"/>
        <v>1</v>
      </c>
      <c r="ED112" s="428">
        <f>IF(GQ112=1,'1 Setup'!$T$68,IF(ISBLANK(IJ112),II112/EC112*IF(GL112=1,$ED$53,1),IJ112/EC112)*IF($EW112=7,JW112,1))</f>
        <v>0</v>
      </c>
      <c r="EE112" s="428">
        <f t="shared" si="293"/>
        <v>0</v>
      </c>
      <c r="EF112" s="428"/>
      <c r="EG112" s="1965" t="str">
        <f t="shared" si="148"/>
        <v>031500 - Highways UK</v>
      </c>
      <c r="EH112" s="201">
        <f t="shared" si="149"/>
        <v>1</v>
      </c>
      <c r="EI112" s="445" t="str">
        <f>IF(EH112=1,$EI$53,IF(GQ112=1,$GQ$55,IFERROR(IF($EG112=$EG$53,$EI$53,INDEX('PU List'!$G$6:$G$413,MATCH($EG112,'PU List'!$D$6:$D$413,0))),$EI$53)))</f>
        <v>GB - BIAF</v>
      </c>
      <c r="EJ112" s="2773" t="str">
        <f t="shared" si="150"/>
        <v>GB - BIAF</v>
      </c>
      <c r="EK112" s="1768"/>
      <c r="EL112" s="3283">
        <f>IF(OR(EW112&gt;7,$EL$53=0),0,IF(EJ112=$EI$53,$EL$53,IFERROR(INDEX('Fringe Data'!$U$8:$U$129,MATCH($EJ112,'Fringe Data'!$F$8:$F$129,0)),0)))</f>
        <v>1.73</v>
      </c>
      <c r="EM112" s="372">
        <f t="shared" si="294"/>
        <v>0</v>
      </c>
      <c r="EN112" s="201" t="str">
        <f>IFERROR(INDEX('Fringe Data'!$G$8:$G$64,MATCH($EJ112,'Fringe Data'!$F$8:$F$64,0)),$EO$53)</f>
        <v>GBP</v>
      </c>
      <c r="EO112" s="201" t="str">
        <f t="shared" si="151"/>
        <v>GBP</v>
      </c>
      <c r="EP112" s="201">
        <f>IF(EI112=$EI$53,$EP$49,IF(GP112=1,0,IFERROR(INDEX('Fringe Data'!$K$8:$K$64,MATCH($EI112,'Fringe Data'!$F$8:$F$64,0)),0)))</f>
        <v>0.52</v>
      </c>
      <c r="EQ112" s="201">
        <f>IF(EI112=$EI$53,$EQ$49,IF(GP112=1,0,IFERROR(INDEX('Fringe Data'!$L$8:$L$64,MATCH($EI112,'Fringe Data'!$F$8:$F$64,0)),0)))</f>
        <v>1.8499999999999999E-2</v>
      </c>
      <c r="ER112" s="201">
        <f>IF(EI112=$EI$53,$ER$49,IF(GP112=1,0,IFERROR(INDEX('Fringe Data'!$M$8:$M$64,MATCH($EI112,'Fringe Data'!$F$8:$F$64,0)),0)))</f>
        <v>0.43430000000000002</v>
      </c>
      <c r="ES112" s="201">
        <f>IF(EI112=$EI$53,$ES$49,IF(GP112=1,0,IFERROR(INDEX('Fringe Data'!$N$8:$N$64,MATCH($EI112,'Fringe Data'!$F$8:$F$64,0)),0)))</f>
        <v>0.1565</v>
      </c>
      <c r="ET112" s="201">
        <f>IF(EI112=$EI$53,$ET$49,IF(GP112=1,0,IFERROR(INDEX('Fringe Data'!$O$8:$O$64,MATCH($EI112,'Fringe Data'!$F$8:$F$64,0)),0)))</f>
        <v>0.33450000000000002</v>
      </c>
      <c r="EU112" s="263">
        <f>IF(EI112=$EI$53,$EU$49,IF(GP112=1,0,IFERROR(INDEX('Fringe Data'!$P$8:$P$64,MATCH($EI112,'Fringe Data'!$F$8:$F$64,0)),0)))</f>
        <v>0.1565</v>
      </c>
      <c r="EV112" s="201"/>
      <c r="EW112" s="1530">
        <f t="shared" si="295"/>
        <v>1</v>
      </c>
      <c r="EX112" s="1534">
        <f t="shared" si="152"/>
        <v>0.52</v>
      </c>
      <c r="EY112" s="321">
        <f t="shared" si="153"/>
        <v>0</v>
      </c>
      <c r="EZ112" s="201">
        <f t="shared" si="154"/>
        <v>0</v>
      </c>
      <c r="FA112" s="372">
        <f t="shared" si="296"/>
        <v>0</v>
      </c>
      <c r="FB112" s="372">
        <f t="shared" si="297"/>
        <v>0</v>
      </c>
      <c r="FC112" s="201">
        <f t="shared" ca="1" si="155"/>
        <v>0</v>
      </c>
      <c r="FD112" s="423">
        <f t="shared" si="298"/>
        <v>0</v>
      </c>
      <c r="FE112" s="423">
        <f t="shared" si="299"/>
        <v>0</v>
      </c>
      <c r="FF112" s="201">
        <f t="shared" si="156"/>
        <v>0</v>
      </c>
      <c r="FG112" s="425">
        <f>IF(OR($FJ$52=3,$FJ$52=4,$FJ$52=5),'1 Setup'!$W$96,0)</f>
        <v>0</v>
      </c>
      <c r="FH112" s="428">
        <f>IF($FJ$52=5,'1 Setup'!$W$98,IF($FJ$52=6,'1 Setup'!$S$86,0))</f>
        <v>0</v>
      </c>
      <c r="FI112" s="321">
        <f t="shared" ca="1" si="300"/>
        <v>0</v>
      </c>
      <c r="FJ112" s="263">
        <f t="shared" ca="1" si="157"/>
        <v>0</v>
      </c>
      <c r="FK112" s="372">
        <f t="shared" ca="1" si="301"/>
        <v>0</v>
      </c>
      <c r="FL112" s="372">
        <f t="shared" si="302"/>
        <v>0</v>
      </c>
      <c r="FM112" s="372">
        <f t="shared" si="303"/>
        <v>0</v>
      </c>
      <c r="FN112" s="2036">
        <f t="shared" ca="1" si="304"/>
        <v>0</v>
      </c>
      <c r="FO112" s="372">
        <f t="shared" ca="1" si="224"/>
        <v>0</v>
      </c>
      <c r="FP112" s="2723">
        <f t="shared" si="158"/>
        <v>0</v>
      </c>
      <c r="FQ112" s="372">
        <f t="shared" si="305"/>
        <v>0</v>
      </c>
      <c r="FR112" s="372">
        <f t="shared" si="159"/>
        <v>0</v>
      </c>
      <c r="FS112" s="1168"/>
      <c r="FT112" s="1168">
        <f t="shared" si="306"/>
        <v>0</v>
      </c>
      <c r="FU112" s="1168">
        <f t="shared" si="307"/>
        <v>0</v>
      </c>
      <c r="FV112" s="1168">
        <f t="shared" si="308"/>
        <v>0</v>
      </c>
      <c r="FW112" s="1168">
        <f t="shared" si="309"/>
        <v>0</v>
      </c>
      <c r="FX112" s="1168">
        <f t="shared" si="310"/>
        <v>0</v>
      </c>
      <c r="FY112" s="1168">
        <f t="shared" si="311"/>
        <v>0</v>
      </c>
      <c r="FZ112" s="1168">
        <f t="shared" si="312"/>
        <v>0</v>
      </c>
      <c r="GA112" s="1168">
        <f t="shared" si="313"/>
        <v>0</v>
      </c>
      <c r="GB112" s="1168">
        <f t="shared" si="314"/>
        <v>0</v>
      </c>
      <c r="GC112" s="1168">
        <f t="shared" si="315"/>
        <v>0</v>
      </c>
      <c r="GD112" s="1168"/>
      <c r="GE112" s="199"/>
      <c r="GF112" s="201">
        <f t="shared" si="316"/>
        <v>0</v>
      </c>
      <c r="GG112" s="201">
        <f t="shared" si="317"/>
        <v>0</v>
      </c>
      <c r="GH112" s="201">
        <f t="shared" si="318"/>
        <v>0</v>
      </c>
      <c r="GI112" s="201">
        <f t="shared" ca="1" si="160"/>
        <v>0</v>
      </c>
      <c r="GJ112" s="201">
        <f t="shared" si="319"/>
        <v>0</v>
      </c>
      <c r="GK112" s="201">
        <f t="shared" si="320"/>
        <v>0</v>
      </c>
      <c r="GL112" s="201">
        <f t="shared" si="321"/>
        <v>1</v>
      </c>
      <c r="GM112" s="201">
        <f t="shared" si="322"/>
        <v>1</v>
      </c>
      <c r="GN112" s="201"/>
      <c r="GO112" s="201"/>
      <c r="GP112" s="201">
        <f t="shared" si="323"/>
        <v>0</v>
      </c>
      <c r="GQ112" s="201">
        <f t="shared" si="324"/>
        <v>0</v>
      </c>
      <c r="GR112" s="201">
        <f t="shared" si="161"/>
        <v>0</v>
      </c>
      <c r="GS112" s="1768"/>
      <c r="GT112" s="201">
        <f t="shared" si="325"/>
        <v>1</v>
      </c>
      <c r="GU112" s="201">
        <f t="shared" si="193"/>
        <v>49</v>
      </c>
      <c r="GV112" s="201">
        <f t="shared" si="326"/>
        <v>0</v>
      </c>
      <c r="GW112" s="201">
        <f t="shared" si="327"/>
        <v>3</v>
      </c>
      <c r="GX112" s="201">
        <f t="shared" si="162"/>
        <v>0</v>
      </c>
      <c r="GY112" s="1998"/>
      <c r="GZ112" s="253"/>
      <c r="HA112" s="195">
        <f t="shared" si="163"/>
        <v>0</v>
      </c>
      <c r="HB112" s="3558">
        <f>HZ112</f>
        <v>0</v>
      </c>
      <c r="HC112" s="3590"/>
      <c r="HD112" s="257" t="str">
        <f t="shared" si="328"/>
        <v/>
      </c>
      <c r="HE112" s="825">
        <f t="shared" si="329"/>
        <v>0</v>
      </c>
      <c r="HF112" s="506" t="s">
        <v>5</v>
      </c>
      <c r="HG112" s="508">
        <f t="shared" ca="1" si="330"/>
        <v>0</v>
      </c>
      <c r="HH112" s="3585">
        <f t="shared" si="331"/>
        <v>0</v>
      </c>
      <c r="HI112" s="3586"/>
      <c r="HJ112" s="504">
        <f t="shared" ca="1" si="225"/>
        <v>0</v>
      </c>
      <c r="HK112" s="456">
        <f t="shared" ca="1" si="226"/>
        <v>0</v>
      </c>
      <c r="HL112" s="3591">
        <f t="shared" ca="1" si="227"/>
        <v>0</v>
      </c>
      <c r="HM112" s="3592"/>
      <c r="HN112" s="240"/>
      <c r="HO112" s="1998"/>
      <c r="HP112" s="1991"/>
      <c r="HQ112" s="2770" t="str">
        <f t="shared" si="332"/>
        <v>GB - BIAF</v>
      </c>
      <c r="HR112" s="2770" t="str">
        <f t="shared" si="333"/>
        <v>GBP</v>
      </c>
      <c r="HS112" s="2771">
        <f t="shared" si="334"/>
        <v>1</v>
      </c>
      <c r="HT112" s="3488"/>
      <c r="HU112" s="2771">
        <f t="shared" si="335"/>
        <v>1.73</v>
      </c>
      <c r="HW112" s="1218"/>
      <c r="HX112" s="520"/>
      <c r="HY112" s="2523"/>
      <c r="HZ112" s="194"/>
      <c r="IA112" s="1013"/>
      <c r="IB112" s="193"/>
      <c r="IC112" s="3276">
        <v>49</v>
      </c>
      <c r="ID112" s="986"/>
      <c r="IE112" s="938">
        <f t="shared" si="164"/>
        <v>0</v>
      </c>
      <c r="IF112" s="938">
        <f t="shared" si="165"/>
        <v>0</v>
      </c>
      <c r="IG112" s="432"/>
      <c r="II112" s="405"/>
      <c r="IJ112" s="239"/>
      <c r="IK112" s="2774" t="str">
        <f t="shared" si="166"/>
        <v>GBP</v>
      </c>
      <c r="IL112" s="2148"/>
      <c r="IM112" s="1936">
        <f t="shared" si="336"/>
        <v>0</v>
      </c>
      <c r="IO112" s="1959" t="str">
        <f t="shared" si="337"/>
        <v/>
      </c>
      <c r="IP112" s="1958"/>
      <c r="IQ112" s="543">
        <f t="shared" si="338"/>
        <v>0.52</v>
      </c>
      <c r="IR112" s="1936">
        <f t="shared" si="339"/>
        <v>0</v>
      </c>
      <c r="IT112" s="1364"/>
      <c r="IU112" s="210"/>
      <c r="IV112" s="218"/>
      <c r="IW112" s="1938">
        <f ca="1">IF(NOT(ISBLANK(IU112)),IU112,IF('1 Setup'!$G$8&lt;7,JK112,FJ112))+KA112</f>
        <v>0</v>
      </c>
      <c r="IX112" s="409">
        <f t="shared" si="340"/>
        <v>0</v>
      </c>
      <c r="IY112" s="408">
        <f t="shared" si="341"/>
        <v>0</v>
      </c>
      <c r="IZ112" s="1983"/>
      <c r="JA112" s="1994"/>
      <c r="JB112" s="1991"/>
      <c r="JD112" s="2029">
        <f t="shared" si="167"/>
        <v>0</v>
      </c>
      <c r="JE112" s="479"/>
      <c r="JF112" s="2025">
        <f t="shared" si="342"/>
        <v>0</v>
      </c>
      <c r="JG112" s="429">
        <f t="shared" si="343"/>
        <v>0</v>
      </c>
      <c r="JH112" s="1667">
        <f t="shared" si="344"/>
        <v>0</v>
      </c>
      <c r="JJ112" s="1163">
        <f t="shared" ca="1" si="345"/>
        <v>0</v>
      </c>
      <c r="JK112" s="1163">
        <f t="shared" ca="1" si="346"/>
        <v>0</v>
      </c>
      <c r="JL112" s="1795"/>
      <c r="JN112" s="2505"/>
      <c r="JO112" s="1161"/>
      <c r="JP112" s="571">
        <f t="shared" ca="1" si="410"/>
        <v>0</v>
      </c>
      <c r="JQ112" s="2506"/>
      <c r="JR112" s="1953"/>
      <c r="JS112" s="2650"/>
      <c r="JT112" s="2507"/>
      <c r="JU112" s="1964">
        <f t="shared" si="347"/>
        <v>0.33450000000000002</v>
      </c>
      <c r="JV112" s="3199"/>
      <c r="JW112" s="2649">
        <f t="shared" si="348"/>
        <v>1.5</v>
      </c>
      <c r="JX112" s="1964">
        <f t="shared" si="168"/>
        <v>0.1565</v>
      </c>
      <c r="JY112" s="3199"/>
      <c r="JZ112" s="2649">
        <f t="shared" si="169"/>
        <v>0</v>
      </c>
      <c r="KA112" s="2649">
        <f t="shared" si="170"/>
        <v>0</v>
      </c>
      <c r="KB112" s="2649" t="s">
        <v>111</v>
      </c>
      <c r="KC112" s="1983"/>
      <c r="KD112" s="1974"/>
      <c r="KE112" s="1991"/>
      <c r="KF112" s="2029">
        <f t="shared" si="171"/>
        <v>0</v>
      </c>
      <c r="KG112" s="1991"/>
      <c r="KH112" s="2121">
        <f t="shared" si="349"/>
        <v>0</v>
      </c>
      <c r="KI112" s="2130">
        <f t="shared" si="350"/>
        <v>0</v>
      </c>
      <c r="KJ112" s="2130">
        <f t="shared" si="351"/>
        <v>0</v>
      </c>
      <c r="KK112" s="2130">
        <f t="shared" si="352"/>
        <v>0</v>
      </c>
      <c r="KL112" s="2131">
        <f t="shared" si="353"/>
        <v>0</v>
      </c>
      <c r="KM112" s="2132">
        <f t="shared" si="354"/>
        <v>0</v>
      </c>
      <c r="KN112" s="2132">
        <f t="shared" si="355"/>
        <v>0</v>
      </c>
      <c r="KO112" s="2132">
        <f t="shared" si="356"/>
        <v>0</v>
      </c>
      <c r="KP112" s="2132">
        <f t="shared" si="357"/>
        <v>0</v>
      </c>
      <c r="KQ112" s="2133">
        <f t="shared" si="358"/>
        <v>0</v>
      </c>
      <c r="KS112" s="2253">
        <f t="shared" si="359"/>
        <v>0</v>
      </c>
      <c r="KT112" s="2270">
        <f t="shared" ref="KT112:LB112" si="449">KS112*(1+(KT$60))</f>
        <v>0</v>
      </c>
      <c r="KU112" s="2271">
        <f t="shared" si="449"/>
        <v>0</v>
      </c>
      <c r="KV112" s="2271">
        <f t="shared" si="449"/>
        <v>0</v>
      </c>
      <c r="KW112" s="2272">
        <f t="shared" si="449"/>
        <v>0</v>
      </c>
      <c r="KX112" s="2271">
        <f t="shared" si="449"/>
        <v>0</v>
      </c>
      <c r="KY112" s="2271">
        <f t="shared" si="449"/>
        <v>0</v>
      </c>
      <c r="KZ112" s="2271">
        <f t="shared" si="449"/>
        <v>0</v>
      </c>
      <c r="LA112" s="2271">
        <f t="shared" si="449"/>
        <v>0</v>
      </c>
      <c r="LB112" s="2273">
        <f t="shared" si="449"/>
        <v>0</v>
      </c>
      <c r="LC112" s="272"/>
      <c r="LD112" s="2124">
        <f t="shared" si="361"/>
        <v>0</v>
      </c>
      <c r="LE112" s="2093">
        <f t="shared" si="362"/>
        <v>0</v>
      </c>
      <c r="LF112" s="2093">
        <f t="shared" si="363"/>
        <v>0</v>
      </c>
      <c r="LG112" s="2093">
        <f t="shared" si="364"/>
        <v>0</v>
      </c>
      <c r="LH112" s="2094">
        <f t="shared" si="365"/>
        <v>0</v>
      </c>
      <c r="LI112" s="2095">
        <f t="shared" si="366"/>
        <v>0</v>
      </c>
      <c r="LJ112" s="2095">
        <f t="shared" si="367"/>
        <v>0</v>
      </c>
      <c r="LK112" s="2095">
        <f t="shared" si="368"/>
        <v>0</v>
      </c>
      <c r="LL112" s="2095">
        <f t="shared" si="369"/>
        <v>0</v>
      </c>
      <c r="LM112" s="2096">
        <f t="shared" si="370"/>
        <v>0</v>
      </c>
      <c r="LN112" s="749"/>
      <c r="LO112" s="2256">
        <f t="shared" ca="1" si="371"/>
        <v>0</v>
      </c>
      <c r="LP112" s="2270">
        <f t="shared" ca="1" si="372"/>
        <v>0</v>
      </c>
      <c r="LQ112" s="2271">
        <f t="shared" ca="1" si="373"/>
        <v>0</v>
      </c>
      <c r="LR112" s="2271">
        <f t="shared" ca="1" si="374"/>
        <v>0</v>
      </c>
      <c r="LS112" s="2272">
        <f t="shared" ca="1" si="375"/>
        <v>0</v>
      </c>
      <c r="LT112" s="2271">
        <f t="shared" ca="1" si="376"/>
        <v>0</v>
      </c>
      <c r="LU112" s="2271">
        <f t="shared" ca="1" si="377"/>
        <v>0</v>
      </c>
      <c r="LV112" s="2271">
        <f t="shared" ca="1" si="378"/>
        <v>0</v>
      </c>
      <c r="LW112" s="2271">
        <f t="shared" ca="1" si="379"/>
        <v>0</v>
      </c>
      <c r="LX112" s="2273">
        <f t="shared" ca="1" si="380"/>
        <v>0</v>
      </c>
      <c r="LY112" s="479"/>
      <c r="LZ112" s="3128">
        <f t="shared" ca="1" si="173"/>
        <v>-1.73</v>
      </c>
      <c r="MA112" s="3129">
        <f t="shared" ca="1" si="174"/>
        <v>-1.73</v>
      </c>
      <c r="MB112" s="3129">
        <f t="shared" ca="1" si="175"/>
        <v>-1.73</v>
      </c>
      <c r="MC112" s="3129">
        <f t="shared" ca="1" si="176"/>
        <v>-1.73</v>
      </c>
      <c r="MD112" s="3130">
        <f t="shared" ca="1" si="177"/>
        <v>-1.73</v>
      </c>
      <c r="ME112" s="3129">
        <f t="shared" ca="1" si="178"/>
        <v>-1.73</v>
      </c>
      <c r="MF112" s="3129">
        <f t="shared" ca="1" si="179"/>
        <v>-1.73</v>
      </c>
      <c r="MG112" s="3129">
        <f t="shared" ca="1" si="180"/>
        <v>-1.73</v>
      </c>
      <c r="MH112" s="3129">
        <f t="shared" ca="1" si="181"/>
        <v>-1.73</v>
      </c>
      <c r="MI112" s="3131">
        <f t="shared" ca="1" si="182"/>
        <v>-1.73</v>
      </c>
      <c r="MJ112" s="3201"/>
      <c r="MK112" s="3206">
        <f t="shared" ca="1" si="183"/>
        <v>0</v>
      </c>
      <c r="ML112" s="3207">
        <f t="shared" ca="1" si="184"/>
        <v>0</v>
      </c>
      <c r="MM112" s="3207">
        <f t="shared" ca="1" si="185"/>
        <v>0</v>
      </c>
      <c r="MN112" s="3207">
        <f t="shared" ca="1" si="186"/>
        <v>0</v>
      </c>
      <c r="MO112" s="3208">
        <f t="shared" ca="1" si="187"/>
        <v>0</v>
      </c>
      <c r="MP112" s="3207">
        <f t="shared" ca="1" si="188"/>
        <v>0</v>
      </c>
      <c r="MQ112" s="3207">
        <f t="shared" ca="1" si="189"/>
        <v>0</v>
      </c>
      <c r="MR112" s="3207">
        <f t="shared" ca="1" si="190"/>
        <v>0</v>
      </c>
      <c r="MS112" s="3207">
        <f t="shared" ca="1" si="191"/>
        <v>0</v>
      </c>
      <c r="MT112" s="3209">
        <f t="shared" ca="1" si="192"/>
        <v>0</v>
      </c>
      <c r="MU112" s="1983"/>
      <c r="MV112" s="1975"/>
      <c r="MW112" s="1991"/>
      <c r="MX112" s="1931">
        <f t="shared" si="381"/>
        <v>0</v>
      </c>
      <c r="MY112" s="749"/>
      <c r="MZ112" s="1934">
        <f t="shared" si="382"/>
        <v>0</v>
      </c>
      <c r="NA112" s="1935"/>
      <c r="NB112" s="2652">
        <f t="shared" si="383"/>
        <v>0</v>
      </c>
      <c r="NC112" s="479"/>
      <c r="ND112" s="2749" t="str">
        <f t="shared" si="384"/>
        <v/>
      </c>
      <c r="NE112" s="2717"/>
      <c r="NF112" s="1975"/>
      <c r="NG112" s="1975"/>
      <c r="NH112" s="1975"/>
      <c r="NI112" s="1975"/>
    </row>
    <row r="113" spans="1:373" s="192" customFormat="1" ht="15.9" customHeight="1" thickBot="1" x14ac:dyDescent="0.35">
      <c r="A113" s="200"/>
      <c r="B113" s="200"/>
      <c r="C113" s="200"/>
      <c r="D113" s="200"/>
      <c r="E113" s="200"/>
      <c r="F113" s="200"/>
      <c r="G113" s="200"/>
      <c r="H113" s="200"/>
      <c r="I113" s="200"/>
      <c r="J113" s="200"/>
      <c r="K113" s="200"/>
      <c r="L113" s="200"/>
      <c r="M113" s="200"/>
      <c r="N113" s="200"/>
      <c r="O113" s="200"/>
      <c r="P113" s="1539"/>
      <c r="Q113" s="1539"/>
      <c r="R113" s="198"/>
      <c r="S113" s="1539"/>
      <c r="T113" s="201"/>
      <c r="U113" s="200"/>
      <c r="V113" s="201">
        <f>MATCH($IC113,'3b Activity Plan'!$DJ$171:$FH$171,0)</f>
        <v>50</v>
      </c>
      <c r="W113" s="201">
        <f>IFERROR(INDEX('3b Activity Plan'!$DJ$6:$FH$6,V113),0)</f>
        <v>0</v>
      </c>
      <c r="X113" s="1768"/>
      <c r="Y113" s="1768">
        <f>IFERROR(INDEX('3b Activity Plan'!$DJ$7:$FH$7,V113),0)</f>
        <v>0</v>
      </c>
      <c r="Z113" s="201"/>
      <c r="AA113" s="201">
        <f>IFERROR(INDEX('3b Activity Plan'!$DJ$34:$FH$34,$V113),0)</f>
        <v>0</v>
      </c>
      <c r="AB113" s="201">
        <f>IFERROR(INDEX('3b Activity Plan'!$DJ$35:$FH$35,$V113),0)</f>
        <v>0</v>
      </c>
      <c r="AC113" s="201">
        <f>IFERROR(INDEX('3b Activity Plan'!$DJ$36:$FH$36,$V113),0)</f>
        <v>0</v>
      </c>
      <c r="AD113" s="201">
        <f>IFERROR(INDEX('3b Activity Plan'!$DJ$37:$FH$37,$V113),0)</f>
        <v>0</v>
      </c>
      <c r="AE113" s="201">
        <f>IFERROR(INDEX('3b Activity Plan'!$DJ$38:$FH$38,$V113),0)</f>
        <v>0</v>
      </c>
      <c r="AF113" s="201">
        <f>IFERROR(INDEX('3b Activity Plan'!$DJ$39:$FH$39,$V113),0)</f>
        <v>0</v>
      </c>
      <c r="AG113" s="201">
        <f>IFERROR(INDEX('3b Activity Plan'!$DJ$40:$FH$40,$V113),0)</f>
        <v>0</v>
      </c>
      <c r="AH113" s="201">
        <f>IFERROR(INDEX('3b Activity Plan'!$DJ$41:$FH$41,$V113),0)</f>
        <v>0</v>
      </c>
      <c r="AI113" s="201">
        <f>IFERROR(INDEX('3b Activity Plan'!$DJ$42:$FH$42,$V113),0)</f>
        <v>0</v>
      </c>
      <c r="AJ113" s="201">
        <f>IFERROR(INDEX('3b Activity Plan'!$DJ$43:$FH$43,$V113),0)</f>
        <v>0</v>
      </c>
      <c r="AK113" s="201"/>
      <c r="AL113" s="201">
        <f>SUMIFS('3a Staff Plan'!$AR$129:$AR$305,'3a Staff Plan'!$DY$129:$DY$305,$IA113,'3a Staff Plan'!$DF$129:$DF$305,1)</f>
        <v>0</v>
      </c>
      <c r="AM113" s="1768"/>
      <c r="AN113" s="1768">
        <f>SUMIFS('3a Staff Plan'!$AR$129:$AR$305,'3a Staff Plan'!$DY$129:$DY$305,$IA113,'3a Staff Plan'!$CV$129:$CV$305,1)</f>
        <v>0</v>
      </c>
      <c r="AO113" s="201"/>
      <c r="AP113" s="201">
        <f>SUMIFS('3a Staff Plan'!$AS$129:$AS$305,'3a Staff Plan'!$DY$129:$DY$305,$IA113,'3a Staff Plan'!$DF$129:$DF$305,1)</f>
        <v>0</v>
      </c>
      <c r="AQ113" s="201">
        <f>SUMIFS('3a Staff Plan'!$AT$129:$AT$305,'3a Staff Plan'!$DY$129:$DY$305,$IA113,'3a Staff Plan'!$DF$129:$DF$305,1)</f>
        <v>0</v>
      </c>
      <c r="AR113" s="201">
        <f>SUMIFS('3a Staff Plan'!$AU$129:$AU$305,'3a Staff Plan'!$DY$129:$DY$305,$IA113,'3a Staff Plan'!$DF$129:$DF$305,1)</f>
        <v>0</v>
      </c>
      <c r="AS113" s="201">
        <f>SUMIFS('3a Staff Plan'!$AV$129:$AV$305,'3a Staff Plan'!$DY$129:$DY$305,$IA113,'3a Staff Plan'!$DF$129:$DF$305,1)</f>
        <v>0</v>
      </c>
      <c r="AT113" s="201">
        <f>SUMIFS('3a Staff Plan'!$AW$129:$AW$305,'3a Staff Plan'!$DY$129:$DY$305,$IA113,'3a Staff Plan'!$DF$129:$DF$305,1)</f>
        <v>0</v>
      </c>
      <c r="AU113" s="201">
        <f>SUMIFS('3a Staff Plan'!$AX$129:$AX$305,'3a Staff Plan'!$DY$129:$DY$305,$IA113,'3a Staff Plan'!$DF$129:$DF$305,1)</f>
        <v>0</v>
      </c>
      <c r="AV113" s="201">
        <f>SUMIFS('3a Staff Plan'!$AY$129:$AY$305,'3a Staff Plan'!$DY$129:$DY$305,$IA113,'3a Staff Plan'!$DF$129:$DF$305,1)</f>
        <v>0</v>
      </c>
      <c r="AW113" s="201">
        <f>SUMIFS('3a Staff Plan'!$AZ$129:$AZ$305,'3a Staff Plan'!$DY$129:$DY$305,$IA113,'3a Staff Plan'!$DF$129:$DF$305,1)</f>
        <v>0</v>
      </c>
      <c r="AX113" s="201">
        <f>SUMIFS('3a Staff Plan'!$BA$129:$BA$305,'3a Staff Plan'!$DY$129:$DY$305,$IA113,'3a Staff Plan'!$DF$129:$DF$305,1)</f>
        <v>0</v>
      </c>
      <c r="AY113" s="201">
        <f>SUMIFS('3a Staff Plan'!$BB$129:$BB$305,'3a Staff Plan'!$DY$129:$DY$305,$IA113,'3a Staff Plan'!$DF$129:$DF$305,1)</f>
        <v>0</v>
      </c>
      <c r="AZ113" s="201"/>
      <c r="BA113" s="201">
        <f t="shared" si="198"/>
        <v>0</v>
      </c>
      <c r="BB113" s="1768"/>
      <c r="BC113" s="1768">
        <f t="shared" si="199"/>
        <v>0</v>
      </c>
      <c r="BD113" s="201"/>
      <c r="BE113" s="201">
        <f t="shared" si="200"/>
        <v>0</v>
      </c>
      <c r="BF113" s="201">
        <f t="shared" si="201"/>
        <v>0</v>
      </c>
      <c r="BG113" s="201">
        <f t="shared" si="202"/>
        <v>0</v>
      </c>
      <c r="BH113" s="201">
        <f t="shared" si="203"/>
        <v>0</v>
      </c>
      <c r="BI113" s="201">
        <f t="shared" si="204"/>
        <v>0</v>
      </c>
      <c r="BJ113" s="201">
        <f t="shared" si="205"/>
        <v>0</v>
      </c>
      <c r="BK113" s="201">
        <f t="shared" si="206"/>
        <v>0</v>
      </c>
      <c r="BL113" s="201">
        <f t="shared" si="207"/>
        <v>0</v>
      </c>
      <c r="BM113" s="201">
        <f t="shared" si="208"/>
        <v>0</v>
      </c>
      <c r="BN113" s="201">
        <f t="shared" si="209"/>
        <v>0</v>
      </c>
      <c r="BO113" s="201"/>
      <c r="BP113" s="1818">
        <f t="shared" si="146"/>
        <v>50</v>
      </c>
      <c r="BQ113" s="1818">
        <f>IFERROR(INDEX('3b Activity Plan'!$DJ$15:$FH$15,BP113),0)</f>
        <v>0</v>
      </c>
      <c r="BR113" s="1768"/>
      <c r="BS113" s="1768">
        <f>IFERROR(INDEX('3b Activity Plan'!$DJ$16:$FH$16,BP113),0)</f>
        <v>0</v>
      </c>
      <c r="BT113" s="201"/>
      <c r="BU113" s="201">
        <f>IFERROR(INDEX('3b Activity Plan'!$DJ$67:$FH$67,$V113),0)</f>
        <v>0</v>
      </c>
      <c r="BV113" s="201">
        <f>IFERROR(INDEX('3b Activity Plan'!$DJ$68:$FH$68,$V113),0)</f>
        <v>0</v>
      </c>
      <c r="BW113" s="201">
        <f>IFERROR(INDEX('3b Activity Plan'!$DJ$69:$FH$69,$V113),0)</f>
        <v>0</v>
      </c>
      <c r="BX113" s="201">
        <f>IFERROR(INDEX('3b Activity Plan'!$DJ$70:$FH$70,$V113),0)</f>
        <v>0</v>
      </c>
      <c r="BY113" s="201">
        <f>IFERROR(INDEX('3b Activity Plan'!$DJ$71:$FH$71,$V113),0)</f>
        <v>0</v>
      </c>
      <c r="BZ113" s="201">
        <f>IFERROR(INDEX('3b Activity Plan'!$DJ$72:$FH$72,$V113),0)</f>
        <v>0</v>
      </c>
      <c r="CA113" s="201">
        <f>IFERROR(INDEX('3b Activity Plan'!$DJ$73:$FH$73,$V113),0)</f>
        <v>0</v>
      </c>
      <c r="CB113" s="201">
        <f>IFERROR(INDEX('3b Activity Plan'!$DJ$74:$FH$74,$V113),0)</f>
        <v>0</v>
      </c>
      <c r="CC113" s="201">
        <f>IFERROR(INDEX('3b Activity Plan'!$DJ$75:$FH$75,$V113),0)</f>
        <v>0</v>
      </c>
      <c r="CD113" s="201">
        <f>IFERROR(INDEX('3b Activity Plan'!$DJ$76:$FH$76,$V113),0)</f>
        <v>0</v>
      </c>
      <c r="CE113" s="201"/>
      <c r="CF113" s="1818">
        <f>SUMIFS('3a Staff Plan'!$AR$129:$AR$305,'3a Staff Plan'!$DY$129:$DY$305,$IA113,'3a Staff Plan'!$AG$129:$AG$305,1,'3a Staff Plan'!$DF$129:$DF$305,1)</f>
        <v>0</v>
      </c>
      <c r="CG113" s="1768">
        <f>SUMIFS('3a Staff Plan'!$AR$129:$AR$305,'3a Staff Plan'!$DY$129:$DY$305,$IA113,'3a Staff Plan'!$AG$129:$AG$305,1,'3a Staff Plan'!$CX$129:$CX$305,1)</f>
        <v>0</v>
      </c>
      <c r="CH113" s="1768">
        <f>SUMIFS('3a Staff Plan'!$AR$129:$AR$305,'3a Staff Plan'!$DY$129:$DY$305,$IA113,'3a Staff Plan'!$AG$129:$AG$305,1,'3a Staff Plan'!$CV$129:$CV$305,1)</f>
        <v>0</v>
      </c>
      <c r="CI113" s="201"/>
      <c r="CJ113" s="201">
        <f>SUMIFS('3a Staff Plan'!$BX$129:$BX$305,'3a Staff Plan'!$DY$129:$DY$305,$IA113,'3a Staff Plan'!$DF$129:$DF$305,1,'3a Staff Plan'!$AG$129:$AG$305,1)</f>
        <v>0</v>
      </c>
      <c r="CK113" s="201">
        <f>SUMIFS('3a Staff Plan'!$BY$129:$BY$305,'3a Staff Plan'!$DY$129:$DY$305,$IA113,'3a Staff Plan'!$DF$129:$DF$305,1,'3a Staff Plan'!$AG$129:$AG$305,1)</f>
        <v>0</v>
      </c>
      <c r="CL113" s="201">
        <f>SUMIFS('3a Staff Plan'!$BZ$129:$BZ$305,'3a Staff Plan'!$DY$129:$DY$305,$IA113,'3a Staff Plan'!$DF$129:$DF$305,1,'3a Staff Plan'!$AG$129:$AG$305,1)</f>
        <v>0</v>
      </c>
      <c r="CM113" s="201">
        <f>SUMIFS('3a Staff Plan'!$CA$129:$CA$305,'3a Staff Plan'!$DY$129:$DY$305,$IA113,'3a Staff Plan'!$DF$129:$DF$305,1,'3a Staff Plan'!$AG$129:$AG$305,1)</f>
        <v>0</v>
      </c>
      <c r="CN113" s="201">
        <f>SUMIFS('3a Staff Plan'!$CB$129:$CB$305,'3a Staff Plan'!$DY$129:$DY$305,$IA113,'3a Staff Plan'!$DF$129:$DF$305,1,'3a Staff Plan'!$AG$129:$AG$305,1)</f>
        <v>0</v>
      </c>
      <c r="CO113" s="201">
        <f>SUMIFS('3a Staff Plan'!$CC$129:$CC$305,'3a Staff Plan'!$DY$129:$DY$305,$IA113,'3a Staff Plan'!$DF$129:$DF$305,1,'3a Staff Plan'!$AG$129:$AG$305,1)</f>
        <v>0</v>
      </c>
      <c r="CP113" s="201">
        <f>SUMIFS('3a Staff Plan'!$CD$129:$CD$305,'3a Staff Plan'!$DY$129:$DY$305,$IA113,'3a Staff Plan'!$DF$129:$DF$305,1,'3a Staff Plan'!$AG$129:$AG$305,1)</f>
        <v>0</v>
      </c>
      <c r="CQ113" s="201">
        <f>SUMIFS('3a Staff Plan'!$CE$129:$CE$305,'3a Staff Plan'!$DY$129:$DY$305,$IA113,'3a Staff Plan'!$DF$129:$DF$305,1,'3a Staff Plan'!$AG$129:$AG$305,1)</f>
        <v>0</v>
      </c>
      <c r="CR113" s="201">
        <f>SUMIFS('3a Staff Plan'!$CF$129:$CF$305,'3a Staff Plan'!$DY$129:$DY$305,$IA113,'3a Staff Plan'!$DF$129:$DF$305,1,'3a Staff Plan'!$AG$129:$AG$305,1)</f>
        <v>0</v>
      </c>
      <c r="CS113" s="201">
        <f>SUMIFS('3a Staff Plan'!$CG$129:$CG$305,'3a Staff Plan'!$DY$129:$DY$305,$IA113,'3a Staff Plan'!$DF$129:$DF$305,1,'3a Staff Plan'!$AG$129:$AG$305,1)</f>
        <v>0</v>
      </c>
      <c r="CT113" s="201"/>
      <c r="CU113" s="1818">
        <f t="shared" si="210"/>
        <v>0</v>
      </c>
      <c r="CV113" s="1768"/>
      <c r="CW113" s="1768">
        <f t="shared" si="211"/>
        <v>0</v>
      </c>
      <c r="CX113" s="201"/>
      <c r="CY113" s="201">
        <f t="shared" si="212"/>
        <v>0</v>
      </c>
      <c r="CZ113" s="201">
        <f t="shared" si="213"/>
        <v>0</v>
      </c>
      <c r="DA113" s="201">
        <f t="shared" si="214"/>
        <v>0</v>
      </c>
      <c r="DB113" s="201">
        <f t="shared" si="215"/>
        <v>0</v>
      </c>
      <c r="DC113" s="201">
        <f t="shared" si="216"/>
        <v>0</v>
      </c>
      <c r="DD113" s="201">
        <f t="shared" si="217"/>
        <v>0</v>
      </c>
      <c r="DE113" s="201">
        <f t="shared" si="218"/>
        <v>0</v>
      </c>
      <c r="DF113" s="201">
        <f t="shared" si="219"/>
        <v>0</v>
      </c>
      <c r="DG113" s="201">
        <f t="shared" si="220"/>
        <v>0</v>
      </c>
      <c r="DH113" s="201">
        <f t="shared" si="221"/>
        <v>0</v>
      </c>
      <c r="DI113" s="201"/>
      <c r="DJ113" s="201"/>
      <c r="DK113" s="201"/>
      <c r="DL113" s="201"/>
      <c r="DM113" s="372">
        <f t="shared" ca="1" si="283"/>
        <v>0</v>
      </c>
      <c r="DN113" s="1185">
        <f t="shared" si="284"/>
        <v>0</v>
      </c>
      <c r="DO113" s="1185">
        <f t="shared" si="285"/>
        <v>0</v>
      </c>
      <c r="DP113" s="201"/>
      <c r="DQ113" s="372">
        <f t="shared" ca="1" si="286"/>
        <v>0</v>
      </c>
      <c r="DR113" s="1185">
        <f t="shared" si="287"/>
        <v>0</v>
      </c>
      <c r="DS113" s="1185">
        <f t="shared" si="288"/>
        <v>0</v>
      </c>
      <c r="DT113" s="201"/>
      <c r="DU113" s="372">
        <f t="shared" ca="1" si="289"/>
        <v>0</v>
      </c>
      <c r="DV113" s="372">
        <f t="shared" si="290"/>
        <v>0</v>
      </c>
      <c r="DW113" s="372">
        <f t="shared" si="290"/>
        <v>0</v>
      </c>
      <c r="DX113" s="201"/>
      <c r="DY113" s="372">
        <f t="shared" si="291"/>
        <v>0</v>
      </c>
      <c r="DZ113" s="372">
        <f t="shared" ca="1" si="292"/>
        <v>0</v>
      </c>
      <c r="EA113" s="201"/>
      <c r="EB113" s="2776">
        <f>IF(EO113=$EO$53,1,IFERROR(INDEX('Currency Data'!$L$8:$L$41,MATCH(EO113,'Currency Data'!$H$8:$H$41,0)),1))</f>
        <v>1</v>
      </c>
      <c r="EC113" s="2776">
        <f t="shared" si="147"/>
        <v>1</v>
      </c>
      <c r="ED113" s="428">
        <f>IF(GQ113=1,'1 Setup'!$T$68,IF(ISBLANK(IJ113),II113/EC113*IF(GL113=1,$ED$53,1),IJ113/EC113)*IF($EW113=7,JW113,1))</f>
        <v>0</v>
      </c>
      <c r="EE113" s="428">
        <f t="shared" si="293"/>
        <v>0</v>
      </c>
      <c r="EF113" s="428"/>
      <c r="EG113" s="1965" t="str">
        <f t="shared" si="148"/>
        <v>031500 - Highways UK</v>
      </c>
      <c r="EH113" s="201">
        <f t="shared" si="149"/>
        <v>1</v>
      </c>
      <c r="EI113" s="445" t="str">
        <f>IF(EH113=1,$EI$53,IF(GQ113=1,$GQ$55,IFERROR(IF($EG113=$EG$53,$EI$53,INDEX('PU List'!$G$6:$G$413,MATCH($EG113,'PU List'!$D$6:$D$413,0))),$EI$53)))</f>
        <v>GB - BIAF</v>
      </c>
      <c r="EJ113" s="2773" t="str">
        <f t="shared" si="150"/>
        <v>GB - BIAF</v>
      </c>
      <c r="EK113" s="1768"/>
      <c r="EL113" s="3283">
        <f>IF(OR(EW113&gt;7,$EL$53=0),0,IF(EJ113=$EI$53,$EL$53,IFERROR(INDEX('Fringe Data'!$U$8:$U$129,MATCH($EJ113,'Fringe Data'!$F$8:$F$129,0)),0)))</f>
        <v>1.73</v>
      </c>
      <c r="EM113" s="372">
        <f t="shared" si="294"/>
        <v>0</v>
      </c>
      <c r="EN113" s="201" t="str">
        <f>IFERROR(INDEX('Fringe Data'!$G$8:$G$64,MATCH($EJ113,'Fringe Data'!$F$8:$F$64,0)),$EO$53)</f>
        <v>GBP</v>
      </c>
      <c r="EO113" s="201" t="str">
        <f t="shared" si="151"/>
        <v>GBP</v>
      </c>
      <c r="EP113" s="201">
        <f>IF(EI113=$EI$53,$EP$49,IF(GP113=1,0,IFERROR(INDEX('Fringe Data'!$K$8:$K$64,MATCH($EI113,'Fringe Data'!$F$8:$F$64,0)),0)))</f>
        <v>0.52</v>
      </c>
      <c r="EQ113" s="201">
        <f>IF(EI113=$EI$53,$EQ$49,IF(GP113=1,0,IFERROR(INDEX('Fringe Data'!$L$8:$L$64,MATCH($EI113,'Fringe Data'!$F$8:$F$64,0)),0)))</f>
        <v>1.8499999999999999E-2</v>
      </c>
      <c r="ER113" s="201">
        <f>IF(EI113=$EI$53,$ER$49,IF(GP113=1,0,IFERROR(INDEX('Fringe Data'!$M$8:$M$64,MATCH($EI113,'Fringe Data'!$F$8:$F$64,0)),0)))</f>
        <v>0.43430000000000002</v>
      </c>
      <c r="ES113" s="201">
        <f>IF(EI113=$EI$53,$ES$49,IF(GP113=1,0,IFERROR(INDEX('Fringe Data'!$N$8:$N$64,MATCH($EI113,'Fringe Data'!$F$8:$F$64,0)),0)))</f>
        <v>0.1565</v>
      </c>
      <c r="ET113" s="201">
        <f>IF(EI113=$EI$53,$ET$49,IF(GP113=1,0,IFERROR(INDEX('Fringe Data'!$O$8:$O$64,MATCH($EI113,'Fringe Data'!$F$8:$F$64,0)),0)))</f>
        <v>0.33450000000000002</v>
      </c>
      <c r="EU113" s="263">
        <f>IF(EI113=$EI$53,$EU$49,IF(GP113=1,0,IFERROR(INDEX('Fringe Data'!$P$8:$P$64,MATCH($EI113,'Fringe Data'!$F$8:$F$64,0)),0)))</f>
        <v>0.1565</v>
      </c>
      <c r="EV113" s="201"/>
      <c r="EW113" s="1530">
        <f t="shared" si="295"/>
        <v>1</v>
      </c>
      <c r="EX113" s="1534">
        <f t="shared" si="152"/>
        <v>0.52</v>
      </c>
      <c r="EY113" s="321">
        <f t="shared" si="153"/>
        <v>0</v>
      </c>
      <c r="EZ113" s="201">
        <f t="shared" si="154"/>
        <v>0</v>
      </c>
      <c r="FA113" s="372">
        <f t="shared" si="296"/>
        <v>0</v>
      </c>
      <c r="FB113" s="372">
        <f t="shared" si="297"/>
        <v>0</v>
      </c>
      <c r="FC113" s="201">
        <f t="shared" ca="1" si="155"/>
        <v>0</v>
      </c>
      <c r="FD113" s="423">
        <f t="shared" si="298"/>
        <v>0</v>
      </c>
      <c r="FE113" s="423">
        <f t="shared" si="299"/>
        <v>0</v>
      </c>
      <c r="FF113" s="201">
        <f t="shared" si="156"/>
        <v>0</v>
      </c>
      <c r="FG113" s="425">
        <f>IF(OR($FJ$52=3,$FJ$52=4,$FJ$52=5),'1 Setup'!$W$96,0)</f>
        <v>0</v>
      </c>
      <c r="FH113" s="428">
        <f>IF($FJ$52=5,'1 Setup'!$W$98,IF($FJ$52=6,'1 Setup'!$S$86,0))</f>
        <v>0</v>
      </c>
      <c r="FI113" s="321">
        <f t="shared" ca="1" si="300"/>
        <v>0</v>
      </c>
      <c r="FJ113" s="263">
        <f t="shared" ca="1" si="157"/>
        <v>0</v>
      </c>
      <c r="FK113" s="372">
        <f t="shared" ca="1" si="301"/>
        <v>0</v>
      </c>
      <c r="FL113" s="372">
        <f t="shared" si="302"/>
        <v>0</v>
      </c>
      <c r="FM113" s="372">
        <f t="shared" si="303"/>
        <v>0</v>
      </c>
      <c r="FN113" s="2036">
        <f t="shared" ca="1" si="304"/>
        <v>0</v>
      </c>
      <c r="FO113" s="372">
        <f t="shared" ca="1" si="224"/>
        <v>0</v>
      </c>
      <c r="FP113" s="2723">
        <f t="shared" si="158"/>
        <v>0</v>
      </c>
      <c r="FQ113" s="372">
        <f t="shared" si="305"/>
        <v>0</v>
      </c>
      <c r="FR113" s="372">
        <f t="shared" si="159"/>
        <v>0</v>
      </c>
      <c r="FS113" s="1168"/>
      <c r="FT113" s="1168">
        <f t="shared" si="306"/>
        <v>0</v>
      </c>
      <c r="FU113" s="1168">
        <f t="shared" si="307"/>
        <v>0</v>
      </c>
      <c r="FV113" s="1168">
        <f t="shared" si="308"/>
        <v>0</v>
      </c>
      <c r="FW113" s="1168">
        <f t="shared" si="309"/>
        <v>0</v>
      </c>
      <c r="FX113" s="1168">
        <f t="shared" si="310"/>
        <v>0</v>
      </c>
      <c r="FY113" s="1168">
        <f t="shared" si="311"/>
        <v>0</v>
      </c>
      <c r="FZ113" s="1168">
        <f t="shared" si="312"/>
        <v>0</v>
      </c>
      <c r="GA113" s="1168">
        <f t="shared" si="313"/>
        <v>0</v>
      </c>
      <c r="GB113" s="1168">
        <f t="shared" si="314"/>
        <v>0</v>
      </c>
      <c r="GC113" s="1168">
        <f t="shared" si="315"/>
        <v>0</v>
      </c>
      <c r="GD113" s="1168"/>
      <c r="GE113" s="199"/>
      <c r="GF113" s="201">
        <f t="shared" si="316"/>
        <v>0</v>
      </c>
      <c r="GG113" s="201">
        <f t="shared" si="317"/>
        <v>0</v>
      </c>
      <c r="GH113" s="201">
        <f t="shared" si="318"/>
        <v>0</v>
      </c>
      <c r="GI113" s="201">
        <f t="shared" ca="1" si="160"/>
        <v>0</v>
      </c>
      <c r="GJ113" s="201">
        <f t="shared" si="319"/>
        <v>0</v>
      </c>
      <c r="GK113" s="201">
        <f t="shared" si="320"/>
        <v>0</v>
      </c>
      <c r="GL113" s="201">
        <f t="shared" si="321"/>
        <v>1</v>
      </c>
      <c r="GM113" s="201">
        <f t="shared" si="322"/>
        <v>1</v>
      </c>
      <c r="GN113" s="201"/>
      <c r="GO113" s="201"/>
      <c r="GP113" s="201">
        <f t="shared" si="323"/>
        <v>0</v>
      </c>
      <c r="GQ113" s="201">
        <f t="shared" si="324"/>
        <v>0</v>
      </c>
      <c r="GR113" s="201">
        <f t="shared" si="161"/>
        <v>0</v>
      </c>
      <c r="GS113" s="1768"/>
      <c r="GT113" s="201">
        <f t="shared" si="325"/>
        <v>1</v>
      </c>
      <c r="GU113" s="201">
        <f t="shared" si="193"/>
        <v>50</v>
      </c>
      <c r="GV113" s="201">
        <f t="shared" si="326"/>
        <v>0</v>
      </c>
      <c r="GW113" s="201">
        <f t="shared" si="327"/>
        <v>3</v>
      </c>
      <c r="GX113" s="201">
        <f t="shared" si="162"/>
        <v>0</v>
      </c>
      <c r="GY113" s="1998"/>
      <c r="GZ113" s="253"/>
      <c r="HA113" s="195">
        <f t="shared" si="163"/>
        <v>0</v>
      </c>
      <c r="HB113" s="3558">
        <f>HZ113</f>
        <v>0</v>
      </c>
      <c r="HC113" s="3590"/>
      <c r="HD113" s="257" t="str">
        <f t="shared" si="328"/>
        <v/>
      </c>
      <c r="HE113" s="825">
        <f t="shared" si="329"/>
        <v>0</v>
      </c>
      <c r="HF113" s="506" t="s">
        <v>5</v>
      </c>
      <c r="HG113" s="509">
        <f t="shared" ca="1" si="330"/>
        <v>0</v>
      </c>
      <c r="HH113" s="3595">
        <f t="shared" si="331"/>
        <v>0</v>
      </c>
      <c r="HI113" s="3596"/>
      <c r="HJ113" s="510">
        <f t="shared" ca="1" si="225"/>
        <v>0</v>
      </c>
      <c r="HK113" s="501">
        <f t="shared" ca="1" si="226"/>
        <v>0</v>
      </c>
      <c r="HL113" s="3593">
        <f ca="1">IFERROR(HJ113/HE113,0)</f>
        <v>0</v>
      </c>
      <c r="HM113" s="3594"/>
      <c r="HN113" s="240"/>
      <c r="HO113" s="1998"/>
      <c r="HP113" s="1991"/>
      <c r="HQ113" s="2770" t="str">
        <f t="shared" si="332"/>
        <v>GB - BIAF</v>
      </c>
      <c r="HR113" s="2770" t="str">
        <f t="shared" si="333"/>
        <v>GBP</v>
      </c>
      <c r="HS113" s="2771">
        <f t="shared" si="334"/>
        <v>1</v>
      </c>
      <c r="HT113" s="3623"/>
      <c r="HU113" s="2771">
        <f t="shared" si="335"/>
        <v>1.73</v>
      </c>
      <c r="HW113" s="1219"/>
      <c r="HX113" s="545"/>
      <c r="HY113" s="2524"/>
      <c r="HZ113" s="547"/>
      <c r="IA113" s="1014"/>
      <c r="IB113" s="546"/>
      <c r="IC113" s="3277">
        <v>50</v>
      </c>
      <c r="ID113" s="986"/>
      <c r="IE113" s="938">
        <f t="shared" si="164"/>
        <v>0</v>
      </c>
      <c r="IF113" s="938">
        <f t="shared" si="165"/>
        <v>0</v>
      </c>
      <c r="IG113" s="432"/>
      <c r="II113" s="405"/>
      <c r="IJ113" s="239"/>
      <c r="IK113" s="2775" t="str">
        <f t="shared" si="166"/>
        <v>GBP</v>
      </c>
      <c r="IL113" s="2148"/>
      <c r="IM113" s="1936">
        <f t="shared" si="336"/>
        <v>0</v>
      </c>
      <c r="IO113" s="1959" t="str">
        <f t="shared" si="337"/>
        <v/>
      </c>
      <c r="IP113" s="1958"/>
      <c r="IQ113" s="543">
        <f t="shared" si="338"/>
        <v>0.52</v>
      </c>
      <c r="IR113" s="1936">
        <f t="shared" si="339"/>
        <v>0</v>
      </c>
      <c r="IT113" s="1364"/>
      <c r="IU113" s="210"/>
      <c r="IV113" s="218"/>
      <c r="IW113" s="1939">
        <f ca="1">IF(NOT(ISBLANK(IU113)),IU113,IF('1 Setup'!$G$8&lt;7,JK113,FJ113))+KA113</f>
        <v>0</v>
      </c>
      <c r="IX113" s="409">
        <f t="shared" si="340"/>
        <v>0</v>
      </c>
      <c r="IY113" s="408">
        <f t="shared" si="341"/>
        <v>0</v>
      </c>
      <c r="IZ113" s="1983"/>
      <c r="JA113" s="1994"/>
      <c r="JB113" s="1991"/>
      <c r="JD113" s="2030">
        <f t="shared" si="167"/>
        <v>0</v>
      </c>
      <c r="JE113" s="479"/>
      <c r="JF113" s="2026">
        <f t="shared" si="342"/>
        <v>0</v>
      </c>
      <c r="JG113" s="429">
        <f t="shared" si="343"/>
        <v>0</v>
      </c>
      <c r="JH113" s="1667">
        <f t="shared" si="344"/>
        <v>0</v>
      </c>
      <c r="JJ113" s="1163">
        <f t="shared" ca="1" si="345"/>
        <v>0</v>
      </c>
      <c r="JK113" s="1163">
        <f t="shared" ca="1" si="346"/>
        <v>0</v>
      </c>
      <c r="JL113" s="1796"/>
      <c r="JN113" s="2505"/>
      <c r="JO113" s="1161"/>
      <c r="JP113" s="571">
        <f t="shared" ca="1" si="410"/>
        <v>0</v>
      </c>
      <c r="JQ113" s="2506"/>
      <c r="JR113" s="1953"/>
      <c r="JS113" s="2650"/>
      <c r="JT113" s="2507"/>
      <c r="JU113" s="1964">
        <f t="shared" si="347"/>
        <v>0.33450000000000002</v>
      </c>
      <c r="JV113" s="3199"/>
      <c r="JW113" s="2649">
        <f t="shared" si="348"/>
        <v>1.5</v>
      </c>
      <c r="JX113" s="3214">
        <f t="shared" si="168"/>
        <v>0.1565</v>
      </c>
      <c r="JY113" s="3199"/>
      <c r="JZ113" s="2649">
        <f t="shared" si="169"/>
        <v>0</v>
      </c>
      <c r="KA113" s="2649">
        <f t="shared" si="170"/>
        <v>0</v>
      </c>
      <c r="KB113" s="2649" t="s">
        <v>111</v>
      </c>
      <c r="KC113" s="1983"/>
      <c r="KD113" s="1974"/>
      <c r="KE113" s="1991"/>
      <c r="KF113" s="2029">
        <f t="shared" si="171"/>
        <v>0</v>
      </c>
      <c r="KG113" s="1991"/>
      <c r="KH113" s="2122">
        <f t="shared" si="349"/>
        <v>0</v>
      </c>
      <c r="KI113" s="2134">
        <f t="shared" si="350"/>
        <v>0</v>
      </c>
      <c r="KJ113" s="2134">
        <f t="shared" si="351"/>
        <v>0</v>
      </c>
      <c r="KK113" s="2134">
        <f t="shared" si="352"/>
        <v>0</v>
      </c>
      <c r="KL113" s="2135">
        <f t="shared" si="353"/>
        <v>0</v>
      </c>
      <c r="KM113" s="2136">
        <f t="shared" si="354"/>
        <v>0</v>
      </c>
      <c r="KN113" s="2132">
        <f t="shared" si="355"/>
        <v>0</v>
      </c>
      <c r="KO113" s="2132">
        <f t="shared" si="356"/>
        <v>0</v>
      </c>
      <c r="KP113" s="2132">
        <f t="shared" si="357"/>
        <v>0</v>
      </c>
      <c r="KQ113" s="2133">
        <f t="shared" si="358"/>
        <v>0</v>
      </c>
      <c r="KS113" s="2254">
        <f t="shared" si="359"/>
        <v>0</v>
      </c>
      <c r="KT113" s="2274">
        <f t="shared" ref="KT113:LB113" si="450">KS113*(1+(KT$60))</f>
        <v>0</v>
      </c>
      <c r="KU113" s="2275">
        <f t="shared" si="450"/>
        <v>0</v>
      </c>
      <c r="KV113" s="2275">
        <f t="shared" si="450"/>
        <v>0</v>
      </c>
      <c r="KW113" s="2276">
        <f t="shared" si="450"/>
        <v>0</v>
      </c>
      <c r="KX113" s="2275">
        <f t="shared" si="450"/>
        <v>0</v>
      </c>
      <c r="KY113" s="2275">
        <f t="shared" si="450"/>
        <v>0</v>
      </c>
      <c r="KZ113" s="2275">
        <f t="shared" si="450"/>
        <v>0</v>
      </c>
      <c r="LA113" s="2275">
        <f t="shared" si="450"/>
        <v>0</v>
      </c>
      <c r="LB113" s="2277">
        <f t="shared" si="450"/>
        <v>0</v>
      </c>
      <c r="LC113" s="749"/>
      <c r="LD113" s="2125">
        <f t="shared" si="361"/>
        <v>0</v>
      </c>
      <c r="LE113" s="2097">
        <f t="shared" si="362"/>
        <v>0</v>
      </c>
      <c r="LF113" s="2097">
        <f t="shared" si="363"/>
        <v>0</v>
      </c>
      <c r="LG113" s="2097">
        <f t="shared" si="364"/>
        <v>0</v>
      </c>
      <c r="LH113" s="2098">
        <f t="shared" si="365"/>
        <v>0</v>
      </c>
      <c r="LI113" s="2099">
        <f t="shared" si="366"/>
        <v>0</v>
      </c>
      <c r="LJ113" s="2095">
        <f t="shared" si="367"/>
        <v>0</v>
      </c>
      <c r="LK113" s="2095">
        <f t="shared" si="368"/>
        <v>0</v>
      </c>
      <c r="LL113" s="2095">
        <f t="shared" si="369"/>
        <v>0</v>
      </c>
      <c r="LM113" s="2096">
        <f t="shared" si="370"/>
        <v>0</v>
      </c>
      <c r="LN113" s="749"/>
      <c r="LO113" s="2257">
        <f t="shared" ca="1" si="371"/>
        <v>0</v>
      </c>
      <c r="LP113" s="2274">
        <f t="shared" ca="1" si="372"/>
        <v>0</v>
      </c>
      <c r="LQ113" s="2275">
        <f t="shared" ca="1" si="373"/>
        <v>0</v>
      </c>
      <c r="LR113" s="2275">
        <f t="shared" ca="1" si="374"/>
        <v>0</v>
      </c>
      <c r="LS113" s="2276">
        <f t="shared" ca="1" si="375"/>
        <v>0</v>
      </c>
      <c r="LT113" s="2275">
        <f t="shared" ca="1" si="376"/>
        <v>0</v>
      </c>
      <c r="LU113" s="2275">
        <f t="shared" ca="1" si="377"/>
        <v>0</v>
      </c>
      <c r="LV113" s="2275">
        <f t="shared" ca="1" si="378"/>
        <v>0</v>
      </c>
      <c r="LW113" s="2275">
        <f t="shared" ca="1" si="379"/>
        <v>0</v>
      </c>
      <c r="LX113" s="2277">
        <f t="shared" ca="1" si="380"/>
        <v>0</v>
      </c>
      <c r="LY113" s="479"/>
      <c r="LZ113" s="3132">
        <f t="shared" ca="1" si="173"/>
        <v>-1.73</v>
      </c>
      <c r="MA113" s="3133">
        <f t="shared" ca="1" si="174"/>
        <v>-1.73</v>
      </c>
      <c r="MB113" s="3133">
        <f t="shared" ca="1" si="175"/>
        <v>-1.73</v>
      </c>
      <c r="MC113" s="3133">
        <f t="shared" ca="1" si="176"/>
        <v>-1.73</v>
      </c>
      <c r="MD113" s="3134">
        <f t="shared" ca="1" si="177"/>
        <v>-1.73</v>
      </c>
      <c r="ME113" s="3133">
        <f t="shared" ca="1" si="178"/>
        <v>-1.73</v>
      </c>
      <c r="MF113" s="3133">
        <f t="shared" ca="1" si="179"/>
        <v>-1.73</v>
      </c>
      <c r="MG113" s="3133">
        <f t="shared" ca="1" si="180"/>
        <v>-1.73</v>
      </c>
      <c r="MH113" s="3133">
        <f t="shared" ca="1" si="181"/>
        <v>-1.73</v>
      </c>
      <c r="MI113" s="3135">
        <f t="shared" ca="1" si="182"/>
        <v>-1.73</v>
      </c>
      <c r="MJ113" s="3201"/>
      <c r="MK113" s="3210">
        <f t="shared" ca="1" si="183"/>
        <v>0</v>
      </c>
      <c r="ML113" s="3211">
        <f t="shared" ca="1" si="184"/>
        <v>0</v>
      </c>
      <c r="MM113" s="3211">
        <f t="shared" ca="1" si="185"/>
        <v>0</v>
      </c>
      <c r="MN113" s="3211">
        <f t="shared" ca="1" si="186"/>
        <v>0</v>
      </c>
      <c r="MO113" s="3212">
        <f t="shared" ca="1" si="187"/>
        <v>0</v>
      </c>
      <c r="MP113" s="3211">
        <f t="shared" ca="1" si="188"/>
        <v>0</v>
      </c>
      <c r="MQ113" s="3211">
        <f t="shared" ca="1" si="189"/>
        <v>0</v>
      </c>
      <c r="MR113" s="3211">
        <f t="shared" ca="1" si="190"/>
        <v>0</v>
      </c>
      <c r="MS113" s="3211">
        <f t="shared" ca="1" si="191"/>
        <v>0</v>
      </c>
      <c r="MT113" s="3213">
        <f t="shared" ca="1" si="192"/>
        <v>0</v>
      </c>
      <c r="MU113" s="1983"/>
      <c r="MV113" s="1975"/>
      <c r="MW113" s="1991"/>
      <c r="MX113" s="1931">
        <f t="shared" si="381"/>
        <v>0</v>
      </c>
      <c r="MY113" s="749"/>
      <c r="MZ113" s="1934">
        <f t="shared" si="382"/>
        <v>0</v>
      </c>
      <c r="NA113" s="1935"/>
      <c r="NB113" s="2652">
        <f t="shared" si="383"/>
        <v>0</v>
      </c>
      <c r="NC113" s="479"/>
      <c r="ND113" s="2749" t="str">
        <f t="shared" si="384"/>
        <v/>
      </c>
      <c r="NE113" s="2717"/>
      <c r="NF113" s="1975"/>
      <c r="NG113" s="1975"/>
      <c r="NH113" s="1975"/>
      <c r="NI113" s="1975"/>
    </row>
    <row r="114" spans="1:373" ht="23.25" customHeight="1" thickTop="1" thickBot="1" x14ac:dyDescent="0.35">
      <c r="A114" s="198"/>
      <c r="B114" s="198"/>
      <c r="C114" s="198"/>
      <c r="D114" s="198"/>
      <c r="E114" s="198"/>
      <c r="F114" s="198"/>
      <c r="G114" s="198"/>
      <c r="H114" s="198"/>
      <c r="I114" s="198"/>
      <c r="J114" s="198"/>
      <c r="K114" s="198"/>
      <c r="L114" s="198"/>
      <c r="M114" s="198"/>
      <c r="N114" s="198"/>
      <c r="O114" s="201"/>
      <c r="P114" s="201"/>
      <c r="Q114" s="201"/>
      <c r="R114" s="201"/>
      <c r="S114" s="201"/>
      <c r="T114" s="201"/>
      <c r="U114" s="201"/>
      <c r="V114" s="201"/>
      <c r="W114" s="198"/>
      <c r="X114" s="198"/>
      <c r="Y114" s="198"/>
      <c r="Z114" s="198"/>
      <c r="AA114" s="198"/>
      <c r="AB114" s="198"/>
      <c r="AC114" s="198"/>
      <c r="AD114" s="198"/>
      <c r="AE114" s="198"/>
      <c r="AF114" s="198"/>
      <c r="AG114" s="198"/>
      <c r="AH114" s="198"/>
      <c r="AI114" s="198"/>
      <c r="AJ114" s="198"/>
      <c r="AK114" s="198"/>
      <c r="AL114" s="198"/>
      <c r="AM114" s="198"/>
      <c r="AN114" s="198"/>
      <c r="AO114" s="198"/>
      <c r="AP114" s="198"/>
      <c r="AQ114" s="198"/>
      <c r="AR114" s="198"/>
      <c r="AS114" s="198"/>
      <c r="AT114" s="198"/>
      <c r="AU114" s="198"/>
      <c r="AV114" s="198"/>
      <c r="AW114" s="198"/>
      <c r="AX114" s="198"/>
      <c r="AY114" s="198"/>
      <c r="AZ114" s="198"/>
      <c r="BA114" s="198"/>
      <c r="BB114" s="198"/>
      <c r="BC114" s="198"/>
      <c r="BD114" s="198"/>
      <c r="BE114" s="198"/>
      <c r="BF114" s="198"/>
      <c r="BG114" s="198"/>
      <c r="BH114" s="198"/>
      <c r="BI114" s="198"/>
      <c r="BJ114" s="198"/>
      <c r="BK114" s="198"/>
      <c r="BL114" s="198"/>
      <c r="BM114" s="198"/>
      <c r="BN114" s="198"/>
      <c r="BO114" s="198"/>
      <c r="BP114" s="198"/>
      <c r="BQ114" s="198"/>
      <c r="BR114" s="198"/>
      <c r="BS114" s="198"/>
      <c r="BT114" s="198"/>
      <c r="BU114" s="198"/>
      <c r="BV114" s="198"/>
      <c r="BW114" s="198"/>
      <c r="BX114" s="198"/>
      <c r="BY114" s="198"/>
      <c r="BZ114" s="198"/>
      <c r="CA114" s="198"/>
      <c r="CB114" s="198"/>
      <c r="CC114" s="198"/>
      <c r="CD114" s="198"/>
      <c r="CE114" s="198"/>
      <c r="CF114" s="198"/>
      <c r="CG114" s="198"/>
      <c r="CH114" s="198"/>
      <c r="CI114" s="198"/>
      <c r="CJ114" s="198"/>
      <c r="CK114" s="198"/>
      <c r="CL114" s="198"/>
      <c r="CM114" s="198"/>
      <c r="CN114" s="198"/>
      <c r="CO114" s="198"/>
      <c r="CP114" s="198"/>
      <c r="CQ114" s="198"/>
      <c r="CR114" s="198"/>
      <c r="CS114" s="198"/>
      <c r="CT114" s="198"/>
      <c r="CU114" s="198"/>
      <c r="CV114" s="198"/>
      <c r="CW114" s="198"/>
      <c r="CX114" s="198"/>
      <c r="CY114" s="198"/>
      <c r="CZ114" s="198"/>
      <c r="DA114" s="198"/>
      <c r="DB114" s="198"/>
      <c r="DC114" s="198"/>
      <c r="DD114" s="198"/>
      <c r="DE114" s="198"/>
      <c r="DF114" s="198"/>
      <c r="DG114" s="198"/>
      <c r="DH114" s="198"/>
      <c r="DI114" s="198"/>
      <c r="DJ114" s="198"/>
      <c r="DK114" s="198"/>
      <c r="DL114" s="198"/>
      <c r="DM114" s="198"/>
      <c r="DN114" s="198"/>
      <c r="DO114" s="198"/>
      <c r="DP114" s="198"/>
      <c r="DQ114" s="198"/>
      <c r="DR114" s="198"/>
      <c r="DS114" s="198"/>
      <c r="DT114" s="198"/>
      <c r="DU114" s="198"/>
      <c r="DV114" s="198"/>
      <c r="DW114" s="198"/>
      <c r="DX114" s="198"/>
      <c r="DY114" s="198"/>
      <c r="DZ114" s="198"/>
      <c r="EA114" s="198"/>
      <c r="EB114" s="198"/>
      <c r="EC114" s="198"/>
      <c r="ED114" s="198"/>
      <c r="EE114" s="198"/>
      <c r="EF114" s="198"/>
      <c r="EG114" s="198"/>
      <c r="EH114" s="198"/>
      <c r="EI114" s="198"/>
      <c r="EJ114" s="198"/>
      <c r="EK114" s="198"/>
      <c r="EL114" s="198"/>
      <c r="EM114" s="198"/>
      <c r="EN114" s="198"/>
      <c r="EO114" s="198"/>
      <c r="EP114" s="540"/>
      <c r="EQ114" s="540"/>
      <c r="ER114" s="540"/>
      <c r="ES114" s="540"/>
      <c r="ET114" s="540"/>
      <c r="EU114" s="540"/>
      <c r="EV114" s="540"/>
      <c r="EW114" s="198"/>
      <c r="EX114" s="198"/>
      <c r="EY114" s="198"/>
      <c r="EZ114" s="198"/>
      <c r="FA114" s="198"/>
      <c r="FB114" s="198"/>
      <c r="FC114" s="198"/>
      <c r="FD114" s="198"/>
      <c r="FE114" s="198"/>
      <c r="FF114" s="198"/>
      <c r="FG114" s="198"/>
      <c r="FH114" s="198"/>
      <c r="FI114" s="198"/>
      <c r="FJ114" s="198"/>
      <c r="FK114" s="198"/>
      <c r="FL114" s="198"/>
      <c r="FM114" s="198"/>
      <c r="FN114" s="198"/>
      <c r="FO114" s="198"/>
      <c r="FP114" s="198"/>
      <c r="FQ114" s="198"/>
      <c r="FR114" s="198"/>
      <c r="FS114" s="198"/>
      <c r="FT114" s="198"/>
      <c r="FU114" s="198"/>
      <c r="FV114" s="198"/>
      <c r="FW114" s="198"/>
      <c r="FX114" s="198"/>
      <c r="FY114" s="198"/>
      <c r="FZ114" s="198"/>
      <c r="GA114" s="198"/>
      <c r="GB114" s="198"/>
      <c r="GC114" s="198"/>
      <c r="GD114" s="198"/>
      <c r="GE114" s="198"/>
      <c r="GF114" s="198"/>
      <c r="GG114" s="198"/>
      <c r="GH114" s="198"/>
      <c r="GI114" s="198"/>
      <c r="GJ114" s="198"/>
      <c r="GK114" s="198"/>
      <c r="GL114" s="198"/>
      <c r="GM114" s="198"/>
      <c r="GN114" s="198"/>
      <c r="GO114" s="198"/>
      <c r="GP114" s="198"/>
      <c r="GQ114" s="198"/>
      <c r="GR114" s="198"/>
      <c r="GS114" s="198"/>
      <c r="GT114" s="198"/>
      <c r="GU114" s="198"/>
      <c r="GV114" s="198"/>
      <c r="GW114" s="198"/>
      <c r="GX114" s="198"/>
      <c r="GY114" s="764"/>
      <c r="GZ114" s="254"/>
      <c r="HA114" s="255"/>
      <c r="HB114" s="255"/>
      <c r="HC114" s="255"/>
      <c r="HD114" s="255"/>
      <c r="HE114" s="255"/>
      <c r="HF114" s="255"/>
      <c r="HG114" s="255"/>
      <c r="HH114" s="255"/>
      <c r="HI114" s="255"/>
      <c r="HJ114" s="255"/>
      <c r="HK114" s="255"/>
      <c r="HL114" s="255"/>
      <c r="HM114" s="255"/>
      <c r="HN114" s="241"/>
      <c r="HO114" s="764"/>
      <c r="HP114" s="765"/>
      <c r="HQ114" s="548" t="s">
        <v>1179</v>
      </c>
      <c r="HR114" s="557"/>
      <c r="HS114" s="549"/>
      <c r="HT114" s="549"/>
      <c r="HU114" s="551"/>
      <c r="HW114" s="1225" t="s">
        <v>1541</v>
      </c>
      <c r="HX114" s="557"/>
      <c r="HY114" s="557"/>
      <c r="HZ114" s="549"/>
      <c r="IA114" s="550"/>
      <c r="IB114" s="550"/>
      <c r="IC114" s="969"/>
      <c r="ID114" s="192"/>
      <c r="IE114" s="548"/>
      <c r="IF114" s="556"/>
      <c r="IG114" s="192"/>
      <c r="II114" s="548" t="s">
        <v>2294</v>
      </c>
      <c r="IJ114" s="557"/>
      <c r="IK114" s="557"/>
      <c r="IL114" s="557"/>
      <c r="IM114" s="557"/>
      <c r="IN114" s="557"/>
      <c r="IO114" s="557"/>
      <c r="IP114" s="557"/>
      <c r="IQ114" s="557"/>
      <c r="IR114" s="556"/>
      <c r="IU114" s="548" t="s">
        <v>2294</v>
      </c>
      <c r="IV114" s="557"/>
      <c r="IW114" s="557"/>
      <c r="IX114" s="557"/>
      <c r="IY114" s="556"/>
      <c r="IZ114" s="766"/>
      <c r="JA114" s="2054"/>
      <c r="JB114" s="765"/>
      <c r="JC114" s="192"/>
      <c r="JD114" s="548" t="s">
        <v>2294</v>
      </c>
      <c r="JE114" s="557"/>
      <c r="JF114" s="557"/>
      <c r="JG114" s="557"/>
      <c r="JH114" s="557"/>
      <c r="JI114" s="557"/>
      <c r="JJ114" s="557"/>
      <c r="JK114" s="557"/>
      <c r="JL114" s="557"/>
      <c r="JM114" s="557"/>
      <c r="JN114" s="557"/>
      <c r="JO114" s="557"/>
      <c r="JP114" s="557"/>
      <c r="JQ114" s="557"/>
      <c r="JR114" s="557"/>
      <c r="JS114" s="557"/>
      <c r="JT114" s="557"/>
      <c r="JU114" s="557"/>
      <c r="JV114" s="557"/>
      <c r="JW114" s="557"/>
      <c r="JX114" s="557"/>
      <c r="JY114" s="557"/>
      <c r="JZ114" s="557"/>
      <c r="KA114" s="557"/>
      <c r="KB114" s="556"/>
      <c r="KC114" s="1983"/>
      <c r="KD114" s="2054"/>
      <c r="KE114" s="1991"/>
      <c r="KF114" s="548" t="s">
        <v>2289</v>
      </c>
      <c r="KG114" s="557"/>
      <c r="KH114" s="557"/>
      <c r="KI114" s="557"/>
      <c r="KJ114" s="557"/>
      <c r="KK114" s="557"/>
      <c r="KL114" s="557"/>
      <c r="KM114" s="557"/>
      <c r="KN114" s="557"/>
      <c r="KO114" s="557"/>
      <c r="KP114" s="557"/>
      <c r="KQ114" s="557"/>
      <c r="KR114" s="557"/>
      <c r="KS114" s="557"/>
      <c r="KT114" s="557"/>
      <c r="KU114" s="557"/>
      <c r="KV114" s="557"/>
      <c r="KW114" s="557"/>
      <c r="KX114" s="557"/>
      <c r="KY114" s="557"/>
      <c r="KZ114" s="557"/>
      <c r="LA114" s="557"/>
      <c r="LB114" s="557"/>
      <c r="LC114" s="557"/>
      <c r="LD114" s="557" t="s">
        <v>1423</v>
      </c>
      <c r="LE114" s="557"/>
      <c r="LF114" s="557"/>
      <c r="LG114" s="557"/>
      <c r="LH114" s="557"/>
      <c r="LI114" s="557"/>
      <c r="LJ114" s="557"/>
      <c r="LK114" s="557"/>
      <c r="LL114" s="557"/>
      <c r="LM114" s="557"/>
      <c r="LN114" s="557"/>
      <c r="LO114" s="557"/>
      <c r="LP114" s="557"/>
      <c r="LQ114" s="557"/>
      <c r="LR114" s="557"/>
      <c r="LS114" s="557"/>
      <c r="LT114" s="557"/>
      <c r="LU114" s="557"/>
      <c r="LV114" s="557"/>
      <c r="LW114" s="557"/>
      <c r="LX114" s="557"/>
      <c r="LY114" s="557"/>
      <c r="LZ114" s="557"/>
      <c r="MA114" s="557"/>
      <c r="MB114" s="557"/>
      <c r="MC114" s="557"/>
      <c r="MD114" s="557"/>
      <c r="ME114" s="557"/>
      <c r="MF114" s="557"/>
      <c r="MG114" s="557"/>
      <c r="MH114" s="557"/>
      <c r="MI114" s="557"/>
      <c r="MJ114" s="557"/>
      <c r="MK114" s="557"/>
      <c r="ML114" s="557"/>
      <c r="MM114" s="557"/>
      <c r="MN114" s="557"/>
      <c r="MO114" s="557"/>
      <c r="MP114" s="557"/>
      <c r="MQ114" s="557"/>
      <c r="MR114" s="557"/>
      <c r="MS114" s="557"/>
      <c r="MT114" s="556"/>
      <c r="MU114" s="1983"/>
      <c r="MV114" s="3123"/>
      <c r="MW114" s="765"/>
      <c r="MX114" s="548"/>
      <c r="MY114" s="557"/>
      <c r="MZ114" s="557"/>
      <c r="NA114" s="557"/>
      <c r="NB114" s="557"/>
      <c r="NC114" s="557"/>
      <c r="ND114" s="557"/>
      <c r="NE114" s="556"/>
      <c r="NF114" s="1975"/>
      <c r="NG114" s="1975"/>
      <c r="NH114" s="1975"/>
      <c r="NI114" s="1975"/>
    </row>
    <row r="115" spans="1:373" ht="15" thickTop="1" x14ac:dyDescent="0.3">
      <c r="A115" s="198"/>
      <c r="B115" s="198"/>
      <c r="C115" s="198"/>
      <c r="D115" s="198"/>
      <c r="E115" s="198"/>
      <c r="F115" s="198"/>
      <c r="G115" s="198"/>
      <c r="H115" s="198"/>
      <c r="I115" s="198"/>
      <c r="J115" s="198"/>
      <c r="K115" s="198"/>
      <c r="L115" s="198"/>
      <c r="M115" s="198"/>
      <c r="N115" s="198"/>
      <c r="O115" s="198"/>
      <c r="P115" s="198"/>
      <c r="Q115" s="198"/>
      <c r="R115" s="198"/>
      <c r="S115" s="198"/>
      <c r="T115" s="198"/>
      <c r="U115" s="198"/>
      <c r="V115" s="198"/>
      <c r="W115" s="198"/>
      <c r="X115" s="198"/>
      <c r="Y115" s="198"/>
      <c r="Z115" s="198"/>
      <c r="AA115" s="198"/>
      <c r="AB115" s="198"/>
      <c r="AC115" s="198"/>
      <c r="AD115" s="198"/>
      <c r="AE115" s="198"/>
      <c r="AF115" s="198"/>
      <c r="AG115" s="198"/>
      <c r="AH115" s="198"/>
      <c r="AI115" s="198"/>
      <c r="AJ115" s="198"/>
      <c r="AK115" s="198"/>
      <c r="AL115" s="198"/>
      <c r="AM115" s="198"/>
      <c r="AN115" s="198"/>
      <c r="AO115" s="198"/>
      <c r="AP115" s="198"/>
      <c r="AQ115" s="198"/>
      <c r="AR115" s="198"/>
      <c r="AS115" s="198"/>
      <c r="AT115" s="198"/>
      <c r="AU115" s="198"/>
      <c r="AV115" s="198"/>
      <c r="AW115" s="198"/>
      <c r="AX115" s="198"/>
      <c r="AY115" s="198"/>
      <c r="AZ115" s="198"/>
      <c r="BA115" s="198"/>
      <c r="BB115" s="198"/>
      <c r="BC115" s="198"/>
      <c r="BD115" s="198"/>
      <c r="BE115" s="198"/>
      <c r="BF115" s="198"/>
      <c r="BG115" s="198"/>
      <c r="BH115" s="198"/>
      <c r="BI115" s="198"/>
      <c r="BJ115" s="198"/>
      <c r="BK115" s="198"/>
      <c r="BL115" s="198"/>
      <c r="BM115" s="198"/>
      <c r="BN115" s="198"/>
      <c r="BO115" s="198"/>
      <c r="BP115" s="198"/>
      <c r="BQ115" s="198"/>
      <c r="BR115" s="198"/>
      <c r="BS115" s="198"/>
      <c r="BT115" s="198"/>
      <c r="BU115" s="198"/>
      <c r="BV115" s="198"/>
      <c r="BW115" s="198"/>
      <c r="BX115" s="198"/>
      <c r="BY115" s="198"/>
      <c r="BZ115" s="198"/>
      <c r="CA115" s="198"/>
      <c r="CB115" s="198"/>
      <c r="CC115" s="198"/>
      <c r="CD115" s="198"/>
      <c r="CE115" s="198"/>
      <c r="CF115" s="198"/>
      <c r="CG115" s="198"/>
      <c r="CH115" s="198"/>
      <c r="CI115" s="198"/>
      <c r="CJ115" s="198"/>
      <c r="CK115" s="198"/>
      <c r="CL115" s="198"/>
      <c r="CM115" s="198"/>
      <c r="CN115" s="198"/>
      <c r="CO115" s="198"/>
      <c r="CP115" s="198"/>
      <c r="CQ115" s="198"/>
      <c r="CR115" s="198"/>
      <c r="CS115" s="198"/>
      <c r="CT115" s="198"/>
      <c r="CU115" s="198"/>
      <c r="CV115" s="198"/>
      <c r="CW115" s="198"/>
      <c r="CX115" s="198"/>
      <c r="CY115" s="198"/>
      <c r="CZ115" s="198"/>
      <c r="DA115" s="198"/>
      <c r="DB115" s="198"/>
      <c r="DC115" s="198"/>
      <c r="DD115" s="198"/>
      <c r="DE115" s="198"/>
      <c r="DF115" s="198"/>
      <c r="DG115" s="198"/>
      <c r="DH115" s="198"/>
      <c r="DI115" s="198"/>
      <c r="DJ115" s="198"/>
      <c r="DK115" s="198"/>
      <c r="DL115" s="198"/>
      <c r="DM115" s="198"/>
      <c r="DN115" s="198"/>
      <c r="DO115" s="198"/>
      <c r="DP115" s="198"/>
      <c r="DQ115" s="198"/>
      <c r="DR115" s="198"/>
      <c r="DS115" s="198"/>
      <c r="DT115" s="198"/>
      <c r="DU115" s="198"/>
      <c r="DV115" s="198"/>
      <c r="DW115" s="198"/>
      <c r="DX115" s="198"/>
      <c r="DY115" s="198"/>
      <c r="DZ115" s="198"/>
      <c r="EA115" s="198"/>
      <c r="EB115" s="198"/>
      <c r="EC115" s="198"/>
      <c r="ED115" s="198"/>
      <c r="EE115" s="198"/>
      <c r="EF115" s="198"/>
      <c r="EG115" s="198"/>
      <c r="EH115" s="198"/>
      <c r="EI115" s="198"/>
      <c r="EJ115" s="198"/>
      <c r="EK115" s="198"/>
      <c r="EL115" s="198"/>
      <c r="EM115" s="198"/>
      <c r="EN115" s="198"/>
      <c r="EO115" s="198"/>
      <c r="EP115" s="540"/>
      <c r="EQ115" s="540"/>
      <c r="ER115" s="540"/>
      <c r="ES115" s="540"/>
      <c r="ET115" s="540"/>
      <c r="EU115" s="540"/>
      <c r="EV115" s="540"/>
      <c r="EW115" s="198"/>
      <c r="EX115" s="198"/>
      <c r="EY115" s="198"/>
      <c r="EZ115" s="198"/>
      <c r="FA115" s="198"/>
      <c r="FB115" s="198"/>
      <c r="FC115" s="198"/>
      <c r="FD115" s="198"/>
      <c r="FE115" s="198"/>
      <c r="FF115" s="198"/>
      <c r="FG115" s="198"/>
      <c r="FH115" s="198"/>
      <c r="FI115" s="198"/>
      <c r="FJ115" s="198"/>
      <c r="FK115" s="198"/>
      <c r="FL115" s="198"/>
      <c r="FM115" s="198"/>
      <c r="FN115" s="198"/>
      <c r="FO115" s="198"/>
      <c r="FP115" s="198"/>
      <c r="FQ115" s="198"/>
      <c r="FR115" s="198"/>
      <c r="FS115" s="198"/>
      <c r="FT115" s="198"/>
      <c r="FU115" s="198"/>
      <c r="FV115" s="198"/>
      <c r="FW115" s="198"/>
      <c r="FX115" s="198"/>
      <c r="FY115" s="198"/>
      <c r="FZ115" s="198"/>
      <c r="GA115" s="198"/>
      <c r="GB115" s="198"/>
      <c r="GC115" s="198"/>
      <c r="GD115" s="198"/>
      <c r="GE115" s="198"/>
      <c r="GF115" s="198"/>
      <c r="GG115" s="198"/>
      <c r="GH115" s="198"/>
      <c r="GI115" s="198"/>
      <c r="GJ115" s="198"/>
      <c r="GK115" s="198"/>
      <c r="GL115" s="198"/>
      <c r="GM115" s="198"/>
      <c r="GN115" s="198"/>
      <c r="GO115" s="198"/>
      <c r="GP115" s="198"/>
      <c r="GQ115" s="198"/>
      <c r="GR115" s="198"/>
      <c r="GS115" s="198"/>
      <c r="GT115" s="198"/>
      <c r="GU115" s="198"/>
      <c r="GV115" s="198"/>
      <c r="GW115" s="198"/>
      <c r="GX115" s="198"/>
      <c r="KC115" s="192"/>
      <c r="KD115" s="192"/>
      <c r="KE115" s="192"/>
      <c r="KF115" s="192"/>
      <c r="KG115" s="192"/>
      <c r="KH115" s="192"/>
      <c r="KI115" s="192"/>
      <c r="KJ115" s="192"/>
      <c r="KK115" s="192"/>
      <c r="KL115" s="192"/>
      <c r="KM115" s="192"/>
      <c r="KN115" s="192"/>
      <c r="KO115" s="192"/>
      <c r="KP115" s="192"/>
      <c r="KQ115" s="192"/>
      <c r="KR115" s="192"/>
      <c r="KS115" s="192"/>
      <c r="KT115" s="192"/>
      <c r="KU115" s="192"/>
      <c r="KV115" s="192"/>
      <c r="KW115" s="192"/>
      <c r="KX115" s="192"/>
      <c r="KY115" s="192"/>
      <c r="KZ115" s="192"/>
      <c r="LA115" s="192"/>
      <c r="LB115" s="192"/>
      <c r="LC115" s="192"/>
      <c r="LD115" s="192"/>
      <c r="LE115" s="192"/>
      <c r="LF115" s="192"/>
      <c r="LG115" s="192"/>
      <c r="LH115" s="192"/>
      <c r="LI115" s="192"/>
      <c r="LJ115" s="192"/>
      <c r="LK115" s="192"/>
      <c r="LL115" s="192"/>
      <c r="LM115" s="192"/>
      <c r="LN115" s="192"/>
      <c r="LO115" s="192"/>
    </row>
    <row r="116" spans="1:373" x14ac:dyDescent="0.3">
      <c r="A116" s="198"/>
      <c r="B116" s="198"/>
      <c r="C116" s="198"/>
      <c r="D116" s="198"/>
      <c r="E116" s="198"/>
      <c r="F116" s="198"/>
      <c r="G116" s="198"/>
      <c r="H116" s="198"/>
      <c r="I116" s="198"/>
      <c r="J116" s="198"/>
      <c r="K116" s="198"/>
      <c r="L116" s="198"/>
      <c r="M116" s="198"/>
      <c r="N116" s="198"/>
      <c r="O116" s="198"/>
      <c r="P116" s="198"/>
      <c r="Q116" s="198"/>
      <c r="R116" s="198"/>
      <c r="S116" s="198"/>
      <c r="T116" s="198"/>
      <c r="U116" s="198"/>
      <c r="V116" s="198"/>
      <c r="W116" s="198"/>
      <c r="X116" s="198"/>
      <c r="Y116" s="198"/>
      <c r="Z116" s="198"/>
      <c r="AA116" s="198"/>
      <c r="AB116" s="198"/>
      <c r="AC116" s="198"/>
      <c r="AD116" s="198"/>
      <c r="AE116" s="198"/>
      <c r="AF116" s="198"/>
      <c r="AG116" s="198"/>
      <c r="AH116" s="198"/>
      <c r="AI116" s="198"/>
      <c r="AJ116" s="198"/>
      <c r="AK116" s="198"/>
      <c r="AL116" s="198"/>
      <c r="AM116" s="198"/>
      <c r="AN116" s="198"/>
      <c r="AO116" s="198"/>
      <c r="AP116" s="198"/>
      <c r="AQ116" s="198"/>
      <c r="AR116" s="198"/>
      <c r="AS116" s="198"/>
      <c r="AT116" s="198"/>
      <c r="AU116" s="198"/>
      <c r="AV116" s="198"/>
      <c r="AW116" s="198"/>
      <c r="AX116" s="198"/>
      <c r="AY116" s="198"/>
      <c r="AZ116" s="198"/>
      <c r="BA116" s="198"/>
      <c r="BB116" s="198"/>
      <c r="BC116" s="198"/>
      <c r="BD116" s="198"/>
      <c r="BE116" s="198"/>
      <c r="BF116" s="198"/>
      <c r="BG116" s="198"/>
      <c r="BH116" s="198"/>
      <c r="BI116" s="198"/>
      <c r="BJ116" s="198"/>
      <c r="BK116" s="198"/>
      <c r="BL116" s="198"/>
      <c r="BM116" s="198"/>
      <c r="BN116" s="198"/>
      <c r="BO116" s="198"/>
      <c r="BP116" s="198"/>
      <c r="BQ116" s="198"/>
      <c r="BR116" s="198"/>
      <c r="BS116" s="198"/>
      <c r="BT116" s="198"/>
      <c r="BU116" s="198"/>
      <c r="BV116" s="198"/>
      <c r="BW116" s="198"/>
      <c r="BX116" s="198"/>
      <c r="BY116" s="198"/>
      <c r="BZ116" s="198"/>
      <c r="CA116" s="198"/>
      <c r="CB116" s="198"/>
      <c r="CC116" s="198"/>
      <c r="CD116" s="198"/>
      <c r="CE116" s="198"/>
      <c r="CF116" s="198"/>
      <c r="CG116" s="198"/>
      <c r="CH116" s="198"/>
      <c r="CI116" s="198"/>
      <c r="CJ116" s="198"/>
      <c r="CK116" s="198"/>
      <c r="CL116" s="198"/>
      <c r="CM116" s="198"/>
      <c r="CN116" s="198"/>
      <c r="CO116" s="198"/>
      <c r="CP116" s="198"/>
      <c r="CQ116" s="198"/>
      <c r="CR116" s="198"/>
      <c r="CS116" s="198"/>
      <c r="CT116" s="198"/>
      <c r="CU116" s="198"/>
      <c r="CV116" s="198"/>
      <c r="CW116" s="198"/>
      <c r="CX116" s="198"/>
      <c r="CY116" s="198"/>
      <c r="CZ116" s="198"/>
      <c r="DA116" s="198"/>
      <c r="DB116" s="198"/>
      <c r="DC116" s="198"/>
      <c r="DD116" s="198"/>
      <c r="DE116" s="198"/>
      <c r="DF116" s="198"/>
      <c r="DG116" s="198"/>
      <c r="DH116" s="198"/>
      <c r="DI116" s="198"/>
      <c r="DJ116" s="198"/>
      <c r="DK116" s="198"/>
      <c r="DL116" s="198"/>
      <c r="DM116" s="198"/>
      <c r="DN116" s="198"/>
      <c r="DO116" s="198"/>
      <c r="DP116" s="198"/>
      <c r="DQ116" s="198"/>
      <c r="DR116" s="198"/>
      <c r="DS116" s="198"/>
      <c r="DT116" s="198"/>
      <c r="DU116" s="198"/>
      <c r="DV116" s="198"/>
      <c r="DW116" s="198"/>
      <c r="DX116" s="198"/>
      <c r="DY116" s="198"/>
      <c r="DZ116" s="198"/>
      <c r="EA116" s="198"/>
      <c r="EB116" s="198"/>
      <c r="EC116" s="198"/>
      <c r="ED116" s="198"/>
      <c r="EE116" s="198"/>
      <c r="EF116" s="198"/>
      <c r="EG116" s="198"/>
      <c r="EH116" s="198"/>
      <c r="EI116" s="198"/>
      <c r="EJ116" s="198"/>
      <c r="EK116" s="198"/>
      <c r="EL116" s="198"/>
      <c r="EM116" s="198"/>
      <c r="EN116" s="198"/>
      <c r="EO116" s="198"/>
      <c r="EP116" s="540"/>
      <c r="EQ116" s="540"/>
      <c r="ER116" s="540"/>
      <c r="ES116" s="540"/>
      <c r="ET116" s="540"/>
      <c r="EU116" s="540"/>
      <c r="EV116" s="540"/>
      <c r="EW116" s="198"/>
      <c r="EX116" s="198"/>
      <c r="EY116" s="198"/>
      <c r="EZ116" s="198"/>
      <c r="FA116" s="198"/>
      <c r="FB116" s="198"/>
      <c r="FC116" s="198"/>
      <c r="FD116" s="198"/>
      <c r="FE116" s="198"/>
      <c r="FF116" s="198"/>
      <c r="FG116" s="198"/>
      <c r="FH116" s="198"/>
      <c r="FI116" s="198"/>
      <c r="FJ116" s="198"/>
      <c r="FK116" s="198"/>
      <c r="FL116" s="198"/>
      <c r="FM116" s="198"/>
      <c r="FN116" s="198"/>
      <c r="FO116" s="198"/>
      <c r="FP116" s="198"/>
      <c r="FQ116" s="198"/>
      <c r="FR116" s="198"/>
      <c r="FS116" s="198"/>
      <c r="FT116" s="198"/>
      <c r="FU116" s="198"/>
      <c r="FV116" s="198"/>
      <c r="FW116" s="198"/>
      <c r="FX116" s="198"/>
      <c r="FY116" s="198"/>
      <c r="FZ116" s="198"/>
      <c r="GA116" s="198"/>
      <c r="GB116" s="198"/>
      <c r="GC116" s="198"/>
      <c r="GD116" s="198"/>
      <c r="GE116" s="198"/>
      <c r="GF116" s="198"/>
      <c r="GG116" s="198"/>
      <c r="GH116" s="198"/>
      <c r="GI116" s="198"/>
      <c r="GJ116" s="198"/>
      <c r="GK116" s="198"/>
      <c r="GL116" s="198"/>
      <c r="GM116" s="198"/>
      <c r="GN116" s="198"/>
      <c r="GO116" s="198"/>
      <c r="GP116" s="198"/>
      <c r="GQ116" s="198"/>
      <c r="GR116" s="198"/>
      <c r="GS116" s="198"/>
      <c r="GT116" s="198"/>
      <c r="GU116" s="198"/>
      <c r="GV116" s="198"/>
      <c r="GW116" s="198"/>
      <c r="GX116" s="198"/>
    </row>
    <row r="117" spans="1:373" x14ac:dyDescent="0.3">
      <c r="A117" s="198"/>
      <c r="B117" s="198"/>
      <c r="C117" s="198"/>
      <c r="D117" s="198"/>
      <c r="E117" s="198"/>
      <c r="F117" s="198"/>
      <c r="G117" s="198"/>
      <c r="H117" s="198"/>
      <c r="I117" s="198"/>
      <c r="J117" s="198"/>
      <c r="K117" s="198"/>
      <c r="L117" s="198"/>
      <c r="M117" s="198"/>
      <c r="N117" s="198"/>
      <c r="O117" s="198"/>
      <c r="P117" s="198"/>
      <c r="Q117" s="198"/>
      <c r="R117" s="198"/>
      <c r="S117" s="198"/>
      <c r="T117" s="198"/>
      <c r="U117" s="198"/>
      <c r="V117" s="198"/>
      <c r="W117" s="198"/>
      <c r="X117" s="198"/>
      <c r="Y117" s="198"/>
      <c r="Z117" s="198"/>
      <c r="AA117" s="198"/>
      <c r="AB117" s="198"/>
      <c r="AC117" s="198"/>
      <c r="AD117" s="198"/>
      <c r="AE117" s="198"/>
      <c r="AF117" s="198"/>
      <c r="AG117" s="198"/>
      <c r="AH117" s="198"/>
      <c r="AI117" s="198"/>
      <c r="AJ117" s="198"/>
      <c r="AK117" s="198"/>
      <c r="AL117" s="198"/>
      <c r="AM117" s="198"/>
      <c r="AN117" s="198"/>
      <c r="AO117" s="198"/>
      <c r="AP117" s="198"/>
      <c r="AQ117" s="198"/>
      <c r="AR117" s="198"/>
      <c r="AS117" s="198"/>
      <c r="AT117" s="198"/>
      <c r="AU117" s="198"/>
      <c r="AV117" s="198"/>
      <c r="AW117" s="198"/>
      <c r="AX117" s="198"/>
      <c r="AY117" s="198"/>
      <c r="AZ117" s="198"/>
      <c r="BA117" s="198"/>
      <c r="BB117" s="198"/>
      <c r="BC117" s="198"/>
      <c r="BD117" s="198"/>
      <c r="BE117" s="198"/>
      <c r="BF117" s="198"/>
      <c r="BG117" s="198"/>
      <c r="BH117" s="198"/>
      <c r="BI117" s="198"/>
      <c r="BJ117" s="198"/>
      <c r="BK117" s="198"/>
      <c r="BL117" s="198"/>
      <c r="BM117" s="198"/>
      <c r="BN117" s="198"/>
      <c r="BO117" s="198"/>
      <c r="BP117" s="198"/>
      <c r="BQ117" s="198"/>
      <c r="BR117" s="198"/>
      <c r="BS117" s="198"/>
      <c r="BT117" s="198"/>
      <c r="BU117" s="198"/>
      <c r="BV117" s="198"/>
      <c r="BW117" s="198"/>
      <c r="BX117" s="198"/>
      <c r="BY117" s="198"/>
      <c r="BZ117" s="198"/>
      <c r="CA117" s="198"/>
      <c r="CB117" s="198"/>
      <c r="CC117" s="198"/>
      <c r="CD117" s="198"/>
      <c r="CE117" s="198"/>
      <c r="CF117" s="198"/>
      <c r="CG117" s="198"/>
      <c r="CH117" s="198"/>
      <c r="CI117" s="198"/>
      <c r="CJ117" s="198"/>
      <c r="CK117" s="198"/>
      <c r="CL117" s="198"/>
      <c r="CM117" s="198"/>
      <c r="CN117" s="198"/>
      <c r="CO117" s="198"/>
      <c r="CP117" s="198"/>
      <c r="CQ117" s="198"/>
      <c r="CR117" s="198"/>
      <c r="CS117" s="198"/>
      <c r="CT117" s="198"/>
      <c r="CU117" s="198"/>
      <c r="CV117" s="198"/>
      <c r="CW117" s="198"/>
      <c r="CX117" s="198"/>
      <c r="CY117" s="198"/>
      <c r="CZ117" s="198"/>
      <c r="DA117" s="198"/>
      <c r="DB117" s="198"/>
      <c r="DC117" s="198"/>
      <c r="DD117" s="198"/>
      <c r="DE117" s="198"/>
      <c r="DF117" s="198"/>
      <c r="DG117" s="198"/>
      <c r="DH117" s="198"/>
      <c r="DI117" s="198"/>
      <c r="DJ117" s="198"/>
      <c r="DK117" s="198"/>
      <c r="DL117" s="198"/>
      <c r="DM117" s="198"/>
      <c r="DN117" s="198"/>
      <c r="DO117" s="198"/>
      <c r="DP117" s="198"/>
      <c r="DQ117" s="198"/>
      <c r="DR117" s="198"/>
      <c r="DS117" s="198"/>
      <c r="DT117" s="198"/>
      <c r="DU117" s="198"/>
      <c r="DV117" s="198"/>
      <c r="DW117" s="198"/>
      <c r="DX117" s="198"/>
      <c r="DY117" s="198"/>
      <c r="DZ117" s="198"/>
      <c r="EA117" s="198"/>
      <c r="EB117" s="198"/>
      <c r="EC117" s="198"/>
      <c r="ED117" s="198"/>
      <c r="EE117" s="198"/>
      <c r="EF117" s="198"/>
      <c r="EG117" s="198"/>
      <c r="EH117" s="198"/>
      <c r="EI117" s="198"/>
      <c r="EJ117" s="198"/>
      <c r="EK117" s="198"/>
      <c r="EL117" s="198"/>
      <c r="EM117" s="198"/>
      <c r="EN117" s="198"/>
      <c r="EO117" s="198"/>
      <c r="EP117" s="540"/>
      <c r="EQ117" s="540"/>
      <c r="ER117" s="540"/>
      <c r="ES117" s="540"/>
      <c r="ET117" s="540"/>
      <c r="EU117" s="540"/>
      <c r="EV117" s="540"/>
      <c r="EW117" s="198"/>
      <c r="EX117" s="198"/>
      <c r="EY117" s="198"/>
      <c r="EZ117" s="198"/>
      <c r="FA117" s="198"/>
      <c r="FB117" s="198"/>
      <c r="FC117" s="198"/>
      <c r="FD117" s="198"/>
      <c r="FE117" s="198"/>
      <c r="FF117" s="198"/>
      <c r="FG117" s="198"/>
      <c r="FH117" s="198"/>
      <c r="FI117" s="198"/>
      <c r="FJ117" s="198"/>
      <c r="FK117" s="198"/>
      <c r="FL117" s="198"/>
      <c r="FM117" s="198"/>
      <c r="FN117" s="198"/>
      <c r="FO117" s="198"/>
      <c r="FP117" s="198"/>
      <c r="FQ117" s="198"/>
      <c r="FR117" s="198"/>
      <c r="FS117" s="198"/>
      <c r="FT117" s="198"/>
      <c r="FU117" s="198"/>
      <c r="FV117" s="198"/>
      <c r="FW117" s="198"/>
      <c r="FX117" s="198"/>
      <c r="FY117" s="198"/>
      <c r="FZ117" s="198"/>
      <c r="GA117" s="198"/>
      <c r="GB117" s="198"/>
      <c r="GC117" s="198"/>
      <c r="GD117" s="198"/>
      <c r="GE117" s="198"/>
      <c r="GF117" s="198"/>
      <c r="GG117" s="198"/>
      <c r="GH117" s="198"/>
      <c r="GI117" s="198"/>
      <c r="GJ117" s="198"/>
      <c r="GK117" s="198"/>
      <c r="GL117" s="198"/>
      <c r="GM117" s="198"/>
      <c r="GN117" s="198"/>
      <c r="GO117" s="198"/>
      <c r="GP117" s="198"/>
      <c r="GQ117" s="198"/>
      <c r="GR117" s="198"/>
      <c r="GS117" s="198"/>
      <c r="GT117" s="198"/>
      <c r="GU117" s="198"/>
      <c r="GV117" s="198"/>
      <c r="GW117" s="198"/>
      <c r="GX117" s="198"/>
    </row>
    <row r="118" spans="1:373" x14ac:dyDescent="0.3">
      <c r="A118" s="198"/>
      <c r="B118" s="198"/>
      <c r="C118" s="198"/>
      <c r="D118" s="198"/>
      <c r="E118" s="198"/>
      <c r="F118" s="198"/>
      <c r="G118" s="198"/>
      <c r="H118" s="198"/>
      <c r="I118" s="198"/>
      <c r="J118" s="198"/>
      <c r="K118" s="198"/>
      <c r="L118" s="198"/>
      <c r="M118" s="198"/>
      <c r="N118" s="198"/>
      <c r="O118" s="198"/>
      <c r="P118" s="198"/>
      <c r="Q118" s="198"/>
      <c r="R118" s="198"/>
      <c r="S118" s="198"/>
      <c r="T118" s="198"/>
      <c r="U118" s="198"/>
      <c r="V118" s="198"/>
      <c r="W118" s="198"/>
      <c r="X118" s="198"/>
      <c r="Y118" s="198"/>
      <c r="Z118" s="198"/>
      <c r="AA118" s="198"/>
      <c r="AB118" s="198"/>
      <c r="AC118" s="198"/>
      <c r="AD118" s="198"/>
      <c r="AE118" s="198"/>
      <c r="AF118" s="198"/>
      <c r="AG118" s="198"/>
      <c r="AH118" s="198"/>
      <c r="AI118" s="198"/>
      <c r="AJ118" s="198"/>
      <c r="AK118" s="198"/>
      <c r="AL118" s="198"/>
      <c r="AM118" s="198"/>
      <c r="AN118" s="198"/>
      <c r="AO118" s="198"/>
      <c r="AP118" s="198"/>
      <c r="AQ118" s="198"/>
      <c r="AR118" s="198"/>
      <c r="AS118" s="198"/>
      <c r="AT118" s="198"/>
      <c r="AU118" s="198"/>
      <c r="AV118" s="198"/>
      <c r="AW118" s="198"/>
      <c r="AX118" s="198"/>
      <c r="AY118" s="198"/>
      <c r="AZ118" s="198"/>
      <c r="BA118" s="198"/>
      <c r="BB118" s="198"/>
      <c r="BC118" s="198"/>
      <c r="BD118" s="198"/>
      <c r="BE118" s="198"/>
      <c r="BF118" s="198"/>
      <c r="BG118" s="198"/>
      <c r="BH118" s="198"/>
      <c r="BI118" s="198"/>
      <c r="BJ118" s="198"/>
      <c r="BK118" s="198"/>
      <c r="BL118" s="198"/>
      <c r="BM118" s="198"/>
      <c r="BN118" s="198"/>
      <c r="BO118" s="198"/>
      <c r="BP118" s="198"/>
      <c r="BQ118" s="198"/>
      <c r="BR118" s="198"/>
      <c r="BS118" s="198"/>
      <c r="BT118" s="198"/>
      <c r="BU118" s="198"/>
      <c r="BV118" s="198"/>
      <c r="BW118" s="198"/>
      <c r="BX118" s="198"/>
      <c r="BY118" s="198"/>
      <c r="BZ118" s="198"/>
      <c r="CA118" s="198"/>
      <c r="CB118" s="198"/>
      <c r="CC118" s="198"/>
      <c r="CD118" s="198"/>
      <c r="CE118" s="198"/>
      <c r="CF118" s="198"/>
      <c r="CG118" s="198"/>
      <c r="CH118" s="198"/>
      <c r="CI118" s="198"/>
      <c r="CJ118" s="198"/>
      <c r="CK118" s="198"/>
      <c r="CL118" s="198"/>
      <c r="CM118" s="198"/>
      <c r="CN118" s="198"/>
      <c r="CO118" s="198"/>
      <c r="CP118" s="198"/>
      <c r="CQ118" s="198"/>
      <c r="CR118" s="198"/>
      <c r="CS118" s="198"/>
      <c r="CT118" s="198"/>
      <c r="CU118" s="198"/>
      <c r="CV118" s="198"/>
      <c r="CW118" s="198"/>
      <c r="CX118" s="198"/>
      <c r="CY118" s="198"/>
      <c r="CZ118" s="198"/>
      <c r="DA118" s="198"/>
      <c r="DB118" s="198"/>
      <c r="DC118" s="198"/>
      <c r="DD118" s="198"/>
      <c r="DE118" s="198"/>
      <c r="DF118" s="198"/>
      <c r="DG118" s="198"/>
      <c r="DH118" s="198"/>
      <c r="DI118" s="198"/>
      <c r="DJ118" s="198"/>
      <c r="DK118" s="198"/>
      <c r="DL118" s="198"/>
      <c r="DM118" s="198"/>
      <c r="DN118" s="198"/>
      <c r="DO118" s="198"/>
      <c r="DP118" s="198"/>
      <c r="DQ118" s="198"/>
      <c r="DR118" s="198"/>
      <c r="DS118" s="198"/>
      <c r="DT118" s="198"/>
      <c r="DU118" s="198"/>
      <c r="DV118" s="198"/>
      <c r="DW118" s="198"/>
      <c r="DX118" s="198"/>
      <c r="DY118" s="198"/>
      <c r="DZ118" s="198"/>
      <c r="EA118" s="198"/>
      <c r="EB118" s="198"/>
      <c r="EC118" s="198"/>
      <c r="ED118" s="198"/>
      <c r="EE118" s="198"/>
      <c r="EF118" s="198"/>
      <c r="EG118" s="198"/>
      <c r="EH118" s="198"/>
      <c r="EI118" s="198"/>
      <c r="EJ118" s="198"/>
      <c r="EK118" s="198"/>
      <c r="EL118" s="198"/>
      <c r="EM118" s="198"/>
      <c r="EN118" s="198"/>
      <c r="EO118" s="198"/>
      <c r="EP118" s="540"/>
      <c r="EQ118" s="540"/>
      <c r="ER118" s="540"/>
      <c r="ES118" s="540"/>
      <c r="ET118" s="540"/>
      <c r="EU118" s="540"/>
      <c r="EV118" s="540"/>
      <c r="EW118" s="198"/>
      <c r="EX118" s="198"/>
      <c r="EY118" s="198"/>
      <c r="EZ118" s="198"/>
      <c r="FA118" s="198"/>
      <c r="FB118" s="198"/>
      <c r="FC118" s="198"/>
      <c r="FD118" s="198"/>
      <c r="FE118" s="198"/>
      <c r="FF118" s="198"/>
      <c r="FG118" s="198"/>
      <c r="FH118" s="198"/>
      <c r="FI118" s="198"/>
      <c r="FJ118" s="198"/>
      <c r="FK118" s="198"/>
      <c r="FL118" s="198"/>
      <c r="FM118" s="198"/>
      <c r="FN118" s="198"/>
      <c r="FO118" s="198"/>
      <c r="FP118" s="198"/>
      <c r="FQ118" s="198"/>
      <c r="FR118" s="198"/>
      <c r="FS118" s="198"/>
      <c r="FT118" s="198"/>
      <c r="FU118" s="198"/>
      <c r="FV118" s="198"/>
      <c r="FW118" s="198"/>
      <c r="FX118" s="198"/>
      <c r="FY118" s="198"/>
      <c r="FZ118" s="198"/>
      <c r="GA118" s="198"/>
      <c r="GB118" s="198"/>
      <c r="GC118" s="198"/>
      <c r="GD118" s="198"/>
      <c r="GE118" s="198"/>
      <c r="GF118" s="198"/>
      <c r="GG118" s="198"/>
      <c r="GH118" s="198"/>
      <c r="GI118" s="198"/>
      <c r="GJ118" s="198"/>
      <c r="GK118" s="198"/>
      <c r="GL118" s="198"/>
      <c r="GM118" s="198"/>
      <c r="GN118" s="198"/>
      <c r="GO118" s="198"/>
      <c r="GP118" s="198"/>
      <c r="GQ118" s="198"/>
      <c r="GR118" s="198"/>
      <c r="GS118" s="198"/>
      <c r="GT118" s="198"/>
      <c r="GU118" s="198"/>
      <c r="GV118" s="198"/>
      <c r="GW118" s="198"/>
      <c r="GX118" s="198"/>
    </row>
    <row r="119" spans="1:373" x14ac:dyDescent="0.3">
      <c r="A119" s="198"/>
      <c r="B119" s="198"/>
      <c r="C119" s="198"/>
      <c r="D119" s="198"/>
      <c r="E119" s="198"/>
      <c r="F119" s="198"/>
      <c r="G119" s="198"/>
      <c r="H119" s="198"/>
      <c r="I119" s="198"/>
      <c r="J119" s="198"/>
      <c r="K119" s="198"/>
      <c r="L119" s="198"/>
      <c r="M119" s="198"/>
      <c r="N119" s="198"/>
      <c r="O119" s="198"/>
      <c r="P119" s="198"/>
      <c r="Q119" s="198"/>
      <c r="R119" s="198"/>
      <c r="S119" s="198"/>
      <c r="T119" s="198"/>
      <c r="U119" s="198"/>
      <c r="V119" s="198"/>
      <c r="W119" s="198"/>
      <c r="X119" s="198"/>
      <c r="Y119" s="198"/>
      <c r="Z119" s="198"/>
      <c r="AA119" s="198"/>
      <c r="AB119" s="198"/>
      <c r="AC119" s="198"/>
      <c r="AD119" s="198"/>
      <c r="AE119" s="198"/>
      <c r="AF119" s="198"/>
      <c r="AG119" s="198"/>
      <c r="AH119" s="198"/>
      <c r="AI119" s="198"/>
      <c r="AJ119" s="198"/>
      <c r="AK119" s="198"/>
      <c r="AL119" s="198"/>
      <c r="AM119" s="198"/>
      <c r="AN119" s="198"/>
      <c r="AO119" s="198"/>
      <c r="AP119" s="198"/>
      <c r="AQ119" s="198"/>
      <c r="AR119" s="198"/>
      <c r="AS119" s="198"/>
      <c r="AT119" s="198"/>
      <c r="AU119" s="198"/>
      <c r="AV119" s="198"/>
      <c r="AW119" s="198"/>
      <c r="AX119" s="198"/>
      <c r="AY119" s="198"/>
      <c r="AZ119" s="198"/>
      <c r="BA119" s="198"/>
      <c r="BB119" s="198"/>
      <c r="BC119" s="198"/>
      <c r="BD119" s="198"/>
      <c r="BE119" s="198"/>
      <c r="BF119" s="198"/>
      <c r="BG119" s="198"/>
      <c r="BH119" s="198"/>
      <c r="BI119" s="198"/>
      <c r="BJ119" s="198"/>
      <c r="BK119" s="198"/>
      <c r="BL119" s="198"/>
      <c r="BM119" s="198"/>
      <c r="BN119" s="198"/>
      <c r="BO119" s="198"/>
      <c r="BP119" s="198"/>
      <c r="BQ119" s="198"/>
      <c r="BR119" s="198"/>
      <c r="BS119" s="198"/>
      <c r="BT119" s="198"/>
      <c r="BU119" s="198"/>
      <c r="BV119" s="198"/>
      <c r="BW119" s="198"/>
      <c r="BX119" s="198"/>
      <c r="BY119" s="198"/>
      <c r="BZ119" s="198"/>
      <c r="CA119" s="198"/>
      <c r="CB119" s="198"/>
      <c r="CC119" s="198"/>
      <c r="CD119" s="198"/>
      <c r="CE119" s="198"/>
      <c r="CF119" s="198"/>
      <c r="CG119" s="198"/>
      <c r="CH119" s="198"/>
      <c r="CI119" s="198"/>
      <c r="CJ119" s="198"/>
      <c r="CK119" s="198"/>
      <c r="CL119" s="198"/>
      <c r="CM119" s="198"/>
      <c r="CN119" s="198"/>
      <c r="CO119" s="198"/>
      <c r="CP119" s="198"/>
      <c r="CQ119" s="198"/>
      <c r="CR119" s="198"/>
      <c r="CS119" s="198"/>
      <c r="CT119" s="198"/>
      <c r="CU119" s="198"/>
      <c r="CV119" s="198"/>
      <c r="CW119" s="198"/>
      <c r="CX119" s="198"/>
      <c r="CY119" s="198"/>
      <c r="CZ119" s="198"/>
      <c r="DA119" s="198"/>
      <c r="DB119" s="198"/>
      <c r="DC119" s="198"/>
      <c r="DD119" s="198"/>
      <c r="DE119" s="198"/>
      <c r="DF119" s="198"/>
      <c r="DG119" s="198"/>
      <c r="DH119" s="198"/>
      <c r="DI119" s="198"/>
      <c r="DJ119" s="198"/>
      <c r="DK119" s="198"/>
      <c r="DL119" s="198"/>
      <c r="DM119" s="198"/>
      <c r="DN119" s="198"/>
      <c r="DO119" s="198"/>
      <c r="DP119" s="198"/>
      <c r="DQ119" s="198"/>
      <c r="DR119" s="198"/>
      <c r="DS119" s="198"/>
      <c r="DT119" s="198"/>
      <c r="DU119" s="198"/>
      <c r="DV119" s="198"/>
      <c r="DW119" s="198"/>
      <c r="DX119" s="198"/>
      <c r="DY119" s="198"/>
      <c r="DZ119" s="198"/>
      <c r="EA119" s="198"/>
      <c r="EB119" s="198"/>
      <c r="EC119" s="198"/>
      <c r="ED119" s="198"/>
      <c r="EE119" s="198"/>
      <c r="EF119" s="198"/>
      <c r="EG119" s="198"/>
      <c r="EH119" s="198"/>
      <c r="EI119" s="198"/>
      <c r="EJ119" s="198"/>
      <c r="EK119" s="198"/>
      <c r="EL119" s="198"/>
      <c r="EM119" s="198"/>
      <c r="EN119" s="198"/>
      <c r="EO119" s="198"/>
      <c r="EP119" s="540"/>
      <c r="EQ119" s="540"/>
      <c r="ER119" s="540"/>
      <c r="ES119" s="540"/>
      <c r="ET119" s="540"/>
      <c r="EU119" s="540"/>
      <c r="EV119" s="540"/>
      <c r="EW119" s="198"/>
      <c r="EX119" s="198"/>
      <c r="EY119" s="198"/>
      <c r="EZ119" s="198"/>
      <c r="FA119" s="198"/>
      <c r="FB119" s="198"/>
      <c r="FC119" s="198"/>
      <c r="FD119" s="198"/>
      <c r="FE119" s="198"/>
      <c r="FF119" s="198"/>
      <c r="FG119" s="198"/>
      <c r="FH119" s="198"/>
      <c r="FI119" s="198"/>
      <c r="FJ119" s="198"/>
      <c r="FK119" s="198"/>
      <c r="FL119" s="198"/>
      <c r="FM119" s="198"/>
      <c r="FN119" s="198"/>
      <c r="FO119" s="198"/>
      <c r="FP119" s="198"/>
      <c r="FQ119" s="198"/>
      <c r="FR119" s="198"/>
      <c r="FS119" s="198"/>
      <c r="FT119" s="198"/>
      <c r="FU119" s="198"/>
      <c r="FV119" s="198"/>
      <c r="FW119" s="198"/>
      <c r="FX119" s="198"/>
      <c r="FY119" s="198"/>
      <c r="FZ119" s="198"/>
      <c r="GA119" s="198"/>
      <c r="GB119" s="198"/>
      <c r="GC119" s="198"/>
      <c r="GD119" s="198"/>
      <c r="GE119" s="198"/>
      <c r="GF119" s="198"/>
      <c r="GG119" s="198"/>
      <c r="GH119" s="198"/>
      <c r="GI119" s="198"/>
      <c r="GJ119" s="198"/>
      <c r="GK119" s="198"/>
      <c r="GL119" s="198"/>
      <c r="GM119" s="198"/>
      <c r="GN119" s="198"/>
      <c r="GO119" s="198"/>
      <c r="GP119" s="198"/>
      <c r="GQ119" s="198"/>
      <c r="GR119" s="198"/>
      <c r="GS119" s="198"/>
      <c r="GT119" s="198"/>
      <c r="GU119" s="198"/>
      <c r="GV119" s="198"/>
      <c r="GW119" s="198"/>
      <c r="GX119" s="198"/>
    </row>
  </sheetData>
  <mergeCells count="537">
    <mergeCell ref="JS60:JT61"/>
    <mergeCell ref="HQ47:HW49"/>
    <mergeCell ref="LD57:LM58"/>
    <mergeCell ref="HT106:HT107"/>
    <mergeCell ref="HT108:HT109"/>
    <mergeCell ref="HT110:HT111"/>
    <mergeCell ref="HT112:HT113"/>
    <mergeCell ref="HT82:HT83"/>
    <mergeCell ref="HT84:HT85"/>
    <mergeCell ref="HT86:HT87"/>
    <mergeCell ref="HT88:HT89"/>
    <mergeCell ref="HT90:HT91"/>
    <mergeCell ref="HT92:HT93"/>
    <mergeCell ref="HT94:HT95"/>
    <mergeCell ref="HT96:HT97"/>
    <mergeCell ref="HT98:HT99"/>
    <mergeCell ref="HT70:HT71"/>
    <mergeCell ref="HT72:HT73"/>
    <mergeCell ref="HT74:HT75"/>
    <mergeCell ref="HT76:HT77"/>
    <mergeCell ref="HT78:HT79"/>
    <mergeCell ref="HT80:HT81"/>
    <mergeCell ref="HT100:HT101"/>
    <mergeCell ref="HT102:HT103"/>
    <mergeCell ref="HT104:HT105"/>
    <mergeCell ref="HT64:HT65"/>
    <mergeCell ref="HT66:HT67"/>
    <mergeCell ref="HT68:HT69"/>
    <mergeCell ref="GU38:GU60"/>
    <mergeCell ref="HH67:HI67"/>
    <mergeCell ref="HH64:HI64"/>
    <mergeCell ref="HH65:HI65"/>
    <mergeCell ref="HL66:HM66"/>
    <mergeCell ref="HB64:HC64"/>
    <mergeCell ref="HB66:HC66"/>
    <mergeCell ref="HB65:HC65"/>
    <mergeCell ref="HL64:HM64"/>
    <mergeCell ref="HL65:HM65"/>
    <mergeCell ref="HH66:HI66"/>
    <mergeCell ref="HE62:HE63"/>
    <mergeCell ref="HG62:HG63"/>
    <mergeCell ref="HH62:HI63"/>
    <mergeCell ref="HT62:HT63"/>
    <mergeCell ref="HH52:HI52"/>
    <mergeCell ref="HB67:HC67"/>
    <mergeCell ref="HL67:HM67"/>
    <mergeCell ref="HL69:HM69"/>
    <mergeCell ref="HH68:HI68"/>
    <mergeCell ref="GM53:GM60"/>
    <mergeCell ref="GH53:GH60"/>
    <mergeCell ref="GL53:GL60"/>
    <mergeCell ref="HH33:HI33"/>
    <mergeCell ref="HH51:HI51"/>
    <mergeCell ref="HL57:HM59"/>
    <mergeCell ref="IA60:IA61"/>
    <mergeCell ref="IJ58:IQ58"/>
    <mergeCell ref="HH43:HI43"/>
    <mergeCell ref="HL60:HM60"/>
    <mergeCell ref="HH60:HI60"/>
    <mergeCell ref="GX52:GX60"/>
    <mergeCell ref="GW52:GW60"/>
    <mergeCell ref="HA57:HA60"/>
    <mergeCell ref="II59:II60"/>
    <mergeCell ref="HB50:HE50"/>
    <mergeCell ref="HH48:HI48"/>
    <mergeCell ref="HH49:HI49"/>
    <mergeCell ref="IP60:IQ60"/>
    <mergeCell ref="GS38:GS60"/>
    <mergeCell ref="HH58:HI59"/>
    <mergeCell ref="HH57:HI57"/>
    <mergeCell ref="HG58:HG59"/>
    <mergeCell ref="HE58:HE59"/>
    <mergeCell ref="GA53:GA60"/>
    <mergeCell ref="GB53:GB60"/>
    <mergeCell ref="EL55:EL60"/>
    <mergeCell ref="EU50:EU60"/>
    <mergeCell ref="EC38:EC60"/>
    <mergeCell ref="EQ50:EQ60"/>
    <mergeCell ref="ET50:ET60"/>
    <mergeCell ref="LR3:LW3"/>
    <mergeCell ref="LR4:LW4"/>
    <mergeCell ref="GF38:GF60"/>
    <mergeCell ref="HK43:HL44"/>
    <mergeCell ref="GJ53:GJ60"/>
    <mergeCell ref="GK53:GK60"/>
    <mergeCell ref="IE59:IF59"/>
    <mergeCell ref="HX57:HX58"/>
    <mergeCell ref="HB46:HE46"/>
    <mergeCell ref="HJ33:HM33"/>
    <mergeCell ref="HH39:HI39"/>
    <mergeCell ref="HH42:HI42"/>
    <mergeCell ref="HH38:HI38"/>
    <mergeCell ref="HH35:HI35"/>
    <mergeCell ref="HH46:HI46"/>
    <mergeCell ref="HH47:HI47"/>
    <mergeCell ref="FK53:FK60"/>
    <mergeCell ref="DU53:DU60"/>
    <mergeCell ref="FG53:FG60"/>
    <mergeCell ref="EX54:EX60"/>
    <mergeCell ref="FD53:FD60"/>
    <mergeCell ref="FF53:FF60"/>
    <mergeCell ref="EV56:EV60"/>
    <mergeCell ref="FM53:FM60"/>
    <mergeCell ref="FT53:FT60"/>
    <mergeCell ref="DY53:DY60"/>
    <mergeCell ref="DZ53:DZ60"/>
    <mergeCell ref="ED54:ED60"/>
    <mergeCell ref="EE54:EE60"/>
    <mergeCell ref="FE53:FE60"/>
    <mergeCell ref="EN55:EN60"/>
    <mergeCell ref="DV53:DV60"/>
    <mergeCell ref="DW53:DW60"/>
    <mergeCell ref="EF55:EF60"/>
    <mergeCell ref="EO55:EO60"/>
    <mergeCell ref="EM54:EM60"/>
    <mergeCell ref="EB38:EB60"/>
    <mergeCell ref="EH38:EH60"/>
    <mergeCell ref="EZ49:EZ60"/>
    <mergeCell ref="EY54:EY60"/>
    <mergeCell ref="EP50:EP60"/>
    <mergeCell ref="FC53:FC60"/>
    <mergeCell ref="FA38:FA60"/>
    <mergeCell ref="FB38:FB60"/>
    <mergeCell ref="EW53:EW60"/>
    <mergeCell ref="ER50:ER60"/>
    <mergeCell ref="ES50:ES60"/>
    <mergeCell ref="V52:V60"/>
    <mergeCell ref="BK52:BK60"/>
    <mergeCell ref="AY52:AY60"/>
    <mergeCell ref="AS52:AS60"/>
    <mergeCell ref="AT52:AT60"/>
    <mergeCell ref="BA52:BA60"/>
    <mergeCell ref="BE52:BE60"/>
    <mergeCell ref="W52:W60"/>
    <mergeCell ref="X52:X60"/>
    <mergeCell ref="Y52:Y60"/>
    <mergeCell ref="AL52:AL60"/>
    <mergeCell ref="AM52:AM60"/>
    <mergeCell ref="AN52:AN60"/>
    <mergeCell ref="AP52:AP60"/>
    <mergeCell ref="AQ52:AQ60"/>
    <mergeCell ref="AA52:AA60"/>
    <mergeCell ref="AB52:AB60"/>
    <mergeCell ref="AC52:AC60"/>
    <mergeCell ref="AD52:AD60"/>
    <mergeCell ref="AE52:AE60"/>
    <mergeCell ref="AU52:AU60"/>
    <mergeCell ref="AV52:AV60"/>
    <mergeCell ref="BH52:BH60"/>
    <mergeCell ref="AR52:AR60"/>
    <mergeCell ref="HL113:HM113"/>
    <mergeCell ref="HL87:HM87"/>
    <mergeCell ref="HL88:HM88"/>
    <mergeCell ref="HB111:HC111"/>
    <mergeCell ref="HB104:HC104"/>
    <mergeCell ref="HB102:HC102"/>
    <mergeCell ref="HB103:HC103"/>
    <mergeCell ref="HB108:HC108"/>
    <mergeCell ref="HB112:HC112"/>
    <mergeCell ref="HB110:HC110"/>
    <mergeCell ref="HB113:HC113"/>
    <mergeCell ref="HB90:HC90"/>
    <mergeCell ref="HB93:HC93"/>
    <mergeCell ref="HB92:HC92"/>
    <mergeCell ref="HH111:HI111"/>
    <mergeCell ref="HH113:HI113"/>
    <mergeCell ref="HL112:HM112"/>
    <mergeCell ref="HH112:HI112"/>
    <mergeCell ref="HB99:HC99"/>
    <mergeCell ref="HL97:HM97"/>
    <mergeCell ref="HB97:HC97"/>
    <mergeCell ref="HB89:HC89"/>
    <mergeCell ref="HB88:HC88"/>
    <mergeCell ref="HB95:HC95"/>
    <mergeCell ref="HB94:HC94"/>
    <mergeCell ref="HH99:HI99"/>
    <mergeCell ref="HH88:HI88"/>
    <mergeCell ref="HH89:HI89"/>
    <mergeCell ref="HB91:HC91"/>
    <mergeCell ref="HB96:HC96"/>
    <mergeCell ref="HB98:HC98"/>
    <mergeCell ref="HH97:HI97"/>
    <mergeCell ref="HL98:HM98"/>
    <mergeCell ref="HL89:HM89"/>
    <mergeCell ref="HL90:HM90"/>
    <mergeCell ref="HH96:HI96"/>
    <mergeCell ref="HL99:HM99"/>
    <mergeCell ref="HL91:HM91"/>
    <mergeCell ref="HH95:HI95"/>
    <mergeCell ref="HH98:HI98"/>
    <mergeCell ref="HH90:HI90"/>
    <mergeCell ref="HH91:HI91"/>
    <mergeCell ref="HH92:HI92"/>
    <mergeCell ref="HH93:HI93"/>
    <mergeCell ref="HH94:HI94"/>
    <mergeCell ref="HB83:HC83"/>
    <mergeCell ref="HH83:HI83"/>
    <mergeCell ref="HH82:HI82"/>
    <mergeCell ref="HB87:HC87"/>
    <mergeCell ref="HB86:HC86"/>
    <mergeCell ref="HB85:HC85"/>
    <mergeCell ref="HB82:HC82"/>
    <mergeCell ref="HH86:HI86"/>
    <mergeCell ref="HH87:HI87"/>
    <mergeCell ref="HH84:HI84"/>
    <mergeCell ref="HH85:HI85"/>
    <mergeCell ref="HB84:HC84"/>
    <mergeCell ref="HB68:HC68"/>
    <mergeCell ref="HB72:HC72"/>
    <mergeCell ref="HB70:HC70"/>
    <mergeCell ref="HB79:HC79"/>
    <mergeCell ref="HB71:HC71"/>
    <mergeCell ref="HB75:HC75"/>
    <mergeCell ref="HB76:HC76"/>
    <mergeCell ref="HB77:HC77"/>
    <mergeCell ref="HB78:HC78"/>
    <mergeCell ref="HB69:HC69"/>
    <mergeCell ref="HH69:HI69"/>
    <mergeCell ref="HB81:HC81"/>
    <mergeCell ref="HB73:HC73"/>
    <mergeCell ref="HB74:HC74"/>
    <mergeCell ref="HH70:HI70"/>
    <mergeCell ref="HH71:HI71"/>
    <mergeCell ref="HH76:HI76"/>
    <mergeCell ref="HH77:HI77"/>
    <mergeCell ref="HH78:HI78"/>
    <mergeCell ref="HH80:HI80"/>
    <mergeCell ref="HH81:HI81"/>
    <mergeCell ref="HH79:HI79"/>
    <mergeCell ref="HB80:HC80"/>
    <mergeCell ref="HH72:HI72"/>
    <mergeCell ref="HH73:HI73"/>
    <mergeCell ref="HH74:HI74"/>
    <mergeCell ref="HH75:HI75"/>
    <mergeCell ref="HL71:HM71"/>
    <mergeCell ref="HL76:HM76"/>
    <mergeCell ref="HL73:HM73"/>
    <mergeCell ref="HL82:HM82"/>
    <mergeCell ref="HL75:HM75"/>
    <mergeCell ref="HL68:HM68"/>
    <mergeCell ref="HL111:HM111"/>
    <mergeCell ref="HL95:HM95"/>
    <mergeCell ref="HL96:HM96"/>
    <mergeCell ref="HL81:HM81"/>
    <mergeCell ref="HL74:HM74"/>
    <mergeCell ref="HL72:HM72"/>
    <mergeCell ref="HL83:HM83"/>
    <mergeCell ref="HL77:HM77"/>
    <mergeCell ref="HL78:HM78"/>
    <mergeCell ref="HL86:HM86"/>
    <mergeCell ref="HL84:HM84"/>
    <mergeCell ref="HL85:HM85"/>
    <mergeCell ref="HL80:HM80"/>
    <mergeCell ref="HL79:HM79"/>
    <mergeCell ref="HL70:HM70"/>
    <mergeCell ref="HL92:HM92"/>
    <mergeCell ref="HL93:HM93"/>
    <mergeCell ref="HL94:HM94"/>
    <mergeCell ref="HL110:HM110"/>
    <mergeCell ref="HL107:HM107"/>
    <mergeCell ref="HL100:HM100"/>
    <mergeCell ref="HH108:HI108"/>
    <mergeCell ref="HH107:HI107"/>
    <mergeCell ref="HL108:HM108"/>
    <mergeCell ref="HH104:HI104"/>
    <mergeCell ref="HH109:HI109"/>
    <mergeCell ref="HH106:HI106"/>
    <mergeCell ref="HH105:HI105"/>
    <mergeCell ref="HL109:HM109"/>
    <mergeCell ref="HH110:HI110"/>
    <mergeCell ref="HB107:HC107"/>
    <mergeCell ref="HB109:HC109"/>
    <mergeCell ref="HL104:HM104"/>
    <mergeCell ref="HL106:HM106"/>
    <mergeCell ref="HH103:HI103"/>
    <mergeCell ref="HL103:HM103"/>
    <mergeCell ref="HB100:HC100"/>
    <mergeCell ref="HH100:HI100"/>
    <mergeCell ref="HH102:HI102"/>
    <mergeCell ref="HL102:HM102"/>
    <mergeCell ref="HH101:HI101"/>
    <mergeCell ref="HL101:HM101"/>
    <mergeCell ref="HB101:HC101"/>
    <mergeCell ref="HB106:HC106"/>
    <mergeCell ref="HL105:HM105"/>
    <mergeCell ref="HB105:HC105"/>
    <mergeCell ref="I10:I11"/>
    <mergeCell ref="HJ28:HL28"/>
    <mergeCell ref="HH34:HI34"/>
    <mergeCell ref="HH45:HI45"/>
    <mergeCell ref="HL34:HM34"/>
    <mergeCell ref="HJ57:HJ59"/>
    <mergeCell ref="HK57:HK59"/>
    <mergeCell ref="HH50:HI50"/>
    <mergeCell ref="HB49:HE49"/>
    <mergeCell ref="HB47:HE47"/>
    <mergeCell ref="HB48:HE48"/>
    <mergeCell ref="BL52:BL60"/>
    <mergeCell ref="CA52:CA60"/>
    <mergeCell ref="CB52:CB60"/>
    <mergeCell ref="EK55:EK60"/>
    <mergeCell ref="DM53:DM60"/>
    <mergeCell ref="BG52:BG60"/>
    <mergeCell ref="GN53:GN60"/>
    <mergeCell ref="GT52:GT60"/>
    <mergeCell ref="GV38:GV60"/>
    <mergeCell ref="BM52:BM60"/>
    <mergeCell ref="BZ52:BZ60"/>
    <mergeCell ref="BN52:BN60"/>
    <mergeCell ref="CQ52:CQ60"/>
    <mergeCell ref="JG62:JG63"/>
    <mergeCell ref="JJ62:JJ63"/>
    <mergeCell ref="JK62:JK63"/>
    <mergeCell ref="JL62:JL63"/>
    <mergeCell ref="IA62:IA63"/>
    <mergeCell ref="IQ62:IQ63"/>
    <mergeCell ref="IM61:IM63"/>
    <mergeCell ref="IC57:IC63"/>
    <mergeCell ref="IB60:IB63"/>
    <mergeCell ref="IP62:IP63"/>
    <mergeCell ref="IU61:IU63"/>
    <mergeCell ref="IE57:IF58"/>
    <mergeCell ref="IF61:IF63"/>
    <mergeCell ref="JN62:JN63"/>
    <mergeCell ref="JF59:JH60"/>
    <mergeCell ref="CG52:CG60"/>
    <mergeCell ref="CH52:CH60"/>
    <mergeCell ref="CP52:CP60"/>
    <mergeCell ref="CR52:CR60"/>
    <mergeCell ref="DK52:DK60"/>
    <mergeCell ref="DR53:DR60"/>
    <mergeCell ref="CS52:CS60"/>
    <mergeCell ref="CW52:CW60"/>
    <mergeCell ref="DN53:DN60"/>
    <mergeCell ref="DO53:DO60"/>
    <mergeCell ref="DQ53:DQ60"/>
    <mergeCell ref="CY52:CY60"/>
    <mergeCell ref="CZ52:CZ60"/>
    <mergeCell ref="DA52:DA60"/>
    <mergeCell ref="CM52:CM60"/>
    <mergeCell ref="CL52:CL60"/>
    <mergeCell ref="CJ52:CJ60"/>
    <mergeCell ref="HS62:HS63"/>
    <mergeCell ref="HU62:HU63"/>
    <mergeCell ref="HR62:HR63"/>
    <mergeCell ref="HW61:HW63"/>
    <mergeCell ref="HL62:HM63"/>
    <mergeCell ref="GR57:GR60"/>
    <mergeCell ref="FH53:FH60"/>
    <mergeCell ref="FW53:FW60"/>
    <mergeCell ref="FY53:FY60"/>
    <mergeCell ref="FZ53:FZ60"/>
    <mergeCell ref="FI53:FI60"/>
    <mergeCell ref="HJ62:HJ63"/>
    <mergeCell ref="HK62:HK63"/>
    <mergeCell ref="FJ50:FJ51"/>
    <mergeCell ref="GC53:GC60"/>
    <mergeCell ref="FN53:FN60"/>
    <mergeCell ref="FU53:FU60"/>
    <mergeCell ref="FP53:FP60"/>
    <mergeCell ref="FR53:FR60"/>
    <mergeCell ref="FQ53:FQ60"/>
    <mergeCell ref="FX53:FX60"/>
    <mergeCell ref="GG53:GG60"/>
    <mergeCell ref="GI53:GI60"/>
    <mergeCell ref="GQ56:GQ60"/>
    <mergeCell ref="GP56:GP60"/>
    <mergeCell ref="FO53:FO60"/>
    <mergeCell ref="FL53:FL60"/>
    <mergeCell ref="FJ53:FJ60"/>
    <mergeCell ref="FV53:FV60"/>
    <mergeCell ref="L10:L11"/>
    <mergeCell ref="JF62:JF63"/>
    <mergeCell ref="HB28:HG28"/>
    <mergeCell ref="HJ30:HL30"/>
    <mergeCell ref="P52:P60"/>
    <mergeCell ref="Q52:Q60"/>
    <mergeCell ref="R52:R60"/>
    <mergeCell ref="S52:S60"/>
    <mergeCell ref="HB30:HG30"/>
    <mergeCell ref="AF52:AF60"/>
    <mergeCell ref="AG52:AG60"/>
    <mergeCell ref="AH52:AH60"/>
    <mergeCell ref="AI52:AI60"/>
    <mergeCell ref="AJ52:AJ60"/>
    <mergeCell ref="HY61:HY63"/>
    <mergeCell ref="CF52:CF60"/>
    <mergeCell ref="HH37:HI37"/>
    <mergeCell ref="HB51:HE51"/>
    <mergeCell ref="HB52:HE52"/>
    <mergeCell ref="BC52:BC60"/>
    <mergeCell ref="CO52:CO60"/>
    <mergeCell ref="CK52:CK60"/>
    <mergeCell ref="HX61:HX63"/>
    <mergeCell ref="DS53:DS60"/>
    <mergeCell ref="DG52:DG60"/>
    <mergeCell ref="DH52:DH60"/>
    <mergeCell ref="AW52:AW60"/>
    <mergeCell ref="BB52:BB60"/>
    <mergeCell ref="CU52:CU60"/>
    <mergeCell ref="CV52:CV60"/>
    <mergeCell ref="AX52:AX60"/>
    <mergeCell ref="BI52:BI60"/>
    <mergeCell ref="BF52:BF60"/>
    <mergeCell ref="BP52:BP60"/>
    <mergeCell ref="BQ52:BQ60"/>
    <mergeCell ref="CD52:CD60"/>
    <mergeCell ref="CN52:CN60"/>
    <mergeCell ref="BR52:BR60"/>
    <mergeCell ref="BS52:BS60"/>
    <mergeCell ref="BU52:BU60"/>
    <mergeCell ref="BV52:BV60"/>
    <mergeCell ref="BW52:BW60"/>
    <mergeCell ref="BX52:BX60"/>
    <mergeCell ref="BY52:BY60"/>
    <mergeCell ref="BJ52:BJ60"/>
    <mergeCell ref="CC52:CC60"/>
    <mergeCell ref="LX62:LX63"/>
    <mergeCell ref="LS62:LS63"/>
    <mergeCell ref="LU62:LU63"/>
    <mergeCell ref="DE52:DE60"/>
    <mergeCell ref="DF52:DF60"/>
    <mergeCell ref="DB52:DB60"/>
    <mergeCell ref="DC52:DC60"/>
    <mergeCell ref="DD52:DD60"/>
    <mergeCell ref="HJ31:HL32"/>
    <mergeCell ref="HL35:HM35"/>
    <mergeCell ref="IY61:IY63"/>
    <mergeCell ref="IR62:IR63"/>
    <mergeCell ref="IW61:IW63"/>
    <mergeCell ref="IU57:IU60"/>
    <mergeCell ref="IJ57:IQ57"/>
    <mergeCell ref="II62:II63"/>
    <mergeCell ref="IE61:IE63"/>
    <mergeCell ref="IK62:IK63"/>
    <mergeCell ref="IJ62:IJ63"/>
    <mergeCell ref="EI59:EI60"/>
    <mergeCell ref="EJ59:EJ60"/>
    <mergeCell ref="HQ62:HQ63"/>
    <mergeCell ref="HQ57:HU59"/>
    <mergeCell ref="HZ61:HZ63"/>
    <mergeCell ref="KT62:KT63"/>
    <mergeCell ref="KU62:KU63"/>
    <mergeCell ref="KV62:KV63"/>
    <mergeCell ref="KW62:KW63"/>
    <mergeCell ref="JU62:JU63"/>
    <mergeCell ref="KS62:KS63"/>
    <mergeCell ref="JM59:JO60"/>
    <mergeCell ref="LI62:LI63"/>
    <mergeCell ref="LJ62:LJ63"/>
    <mergeCell ref="LD62:LD63"/>
    <mergeCell ref="LE62:LE63"/>
    <mergeCell ref="LA62:LA63"/>
    <mergeCell ref="KN62:KN63"/>
    <mergeCell ref="KX62:KX63"/>
    <mergeCell ref="KY62:KY63"/>
    <mergeCell ref="LB62:LB63"/>
    <mergeCell ref="KZ62:KZ63"/>
    <mergeCell ref="JP59:JQ60"/>
    <mergeCell ref="KL62:KL63"/>
    <mergeCell ref="KJ62:KJ63"/>
    <mergeCell ref="KK62:KK63"/>
    <mergeCell ref="KI62:KI63"/>
    <mergeCell ref="JW62:JW63"/>
    <mergeCell ref="JS62:JS63"/>
    <mergeCell ref="LR5:LW5"/>
    <mergeCell ref="LR56:LW56"/>
    <mergeCell ref="JT62:JT63"/>
    <mergeCell ref="LO62:LO63"/>
    <mergeCell ref="LR62:LR63"/>
    <mergeCell ref="LD54:LM55"/>
    <mergeCell ref="KS54:LB55"/>
    <mergeCell ref="KH54:KQ55"/>
    <mergeCell ref="KB55:KB63"/>
    <mergeCell ref="JZ62:KA63"/>
    <mergeCell ref="LT62:LT63"/>
    <mergeCell ref="LL62:LL63"/>
    <mergeCell ref="LH62:LH63"/>
    <mergeCell ref="KQ62:KQ63"/>
    <mergeCell ref="KF47:KS49"/>
    <mergeCell ref="KH62:KH63"/>
    <mergeCell ref="KH56:KI56"/>
    <mergeCell ref="LD56:LE56"/>
    <mergeCell ref="JZ58:KA59"/>
    <mergeCell ref="KM62:KM63"/>
    <mergeCell ref="LP62:LP63"/>
    <mergeCell ref="LF62:LF63"/>
    <mergeCell ref="LK62:LK63"/>
    <mergeCell ref="LG62:LG63"/>
    <mergeCell ref="JW58:JX59"/>
    <mergeCell ref="NB54:ND54"/>
    <mergeCell ref="NB56:ND57"/>
    <mergeCell ref="MX46:ND48"/>
    <mergeCell ref="NB52:ND52"/>
    <mergeCell ref="LZ62:LZ63"/>
    <mergeCell ref="MA62:MA63"/>
    <mergeCell ref="MB62:MB63"/>
    <mergeCell ref="MC62:MC63"/>
    <mergeCell ref="MD62:MD63"/>
    <mergeCell ref="ME62:ME63"/>
    <mergeCell ref="MF62:MF63"/>
    <mergeCell ref="MG62:MG63"/>
    <mergeCell ref="MH62:MH63"/>
    <mergeCell ref="NB61:NB63"/>
    <mergeCell ref="MZ52:MZ53"/>
    <mergeCell ref="MP62:MP63"/>
    <mergeCell ref="MI62:MI63"/>
    <mergeCell ref="MK62:MK63"/>
    <mergeCell ref="ML62:ML63"/>
    <mergeCell ref="MM62:MM63"/>
    <mergeCell ref="MN62:MN63"/>
    <mergeCell ref="MO62:MO63"/>
    <mergeCell ref="MZ61:MZ63"/>
    <mergeCell ref="HH40:HI40"/>
    <mergeCell ref="NG54:NH57"/>
    <mergeCell ref="ND61:ND63"/>
    <mergeCell ref="IM32:IN32"/>
    <mergeCell ref="JD47:JL49"/>
    <mergeCell ref="JP62:JP63"/>
    <mergeCell ref="JQ62:JQ63"/>
    <mergeCell ref="JH62:JH63"/>
    <mergeCell ref="LO54:LX55"/>
    <mergeCell ref="JJ59:JL60"/>
    <mergeCell ref="IW58:IY58"/>
    <mergeCell ref="IX61:IX63"/>
    <mergeCell ref="KO62:KO63"/>
    <mergeCell ref="KP62:KP63"/>
    <mergeCell ref="LV62:LV63"/>
    <mergeCell ref="LW62:LW63"/>
    <mergeCell ref="LQ62:LQ63"/>
    <mergeCell ref="LM62:LM63"/>
    <mergeCell ref="MQ62:MQ63"/>
    <mergeCell ref="MR62:MR63"/>
    <mergeCell ref="MS62:MS63"/>
    <mergeCell ref="MT62:MT63"/>
    <mergeCell ref="JX62:JX63"/>
    <mergeCell ref="JS58:JU59"/>
  </mergeCells>
  <conditionalFormatting sqref="IJ64:IJ113">
    <cfRule type="expression" dxfId="925" priority="688">
      <formula>($GH64=1)</formula>
    </cfRule>
    <cfRule type="expression" dxfId="924" priority="758">
      <formula>($IH$3=2)</formula>
    </cfRule>
    <cfRule type="expression" dxfId="923" priority="760">
      <formula>($IH$3=3)</formula>
    </cfRule>
  </conditionalFormatting>
  <conditionalFormatting sqref="II64:II113">
    <cfRule type="expression" dxfId="922" priority="735">
      <formula>NOT(ISBLANK($IJ64))</formula>
    </cfRule>
  </conditionalFormatting>
  <conditionalFormatting sqref="JF59">
    <cfRule type="expression" dxfId="921" priority="722">
      <formula>($IX$4&lt;7)</formula>
    </cfRule>
  </conditionalFormatting>
  <conditionalFormatting sqref="JN64:JN96 JN98:JN113 JQ98:JR113 JR64:JR97">
    <cfRule type="expression" dxfId="920" priority="719">
      <formula>(JN$4=1)</formula>
    </cfRule>
  </conditionalFormatting>
  <conditionalFormatting sqref="HE64:HM113">
    <cfRule type="expression" dxfId="919" priority="485">
      <formula>($GF64=0)</formula>
    </cfRule>
  </conditionalFormatting>
  <conditionalFormatting sqref="HJ98:HL113">
    <cfRule type="expression" dxfId="918" priority="8826">
      <formula>($GF98=0)</formula>
    </cfRule>
  </conditionalFormatting>
  <conditionalFormatting sqref="HJ60:HL60 HE60:HH60">
    <cfRule type="expression" dxfId="917" priority="709">
      <formula>($HE$2&gt;1)</formula>
    </cfRule>
  </conditionalFormatting>
  <conditionalFormatting sqref="HG43">
    <cfRule type="expression" dxfId="916" priority="701">
      <formula>($HI$6=2)</formula>
    </cfRule>
  </conditionalFormatting>
  <conditionalFormatting sqref="HE60">
    <cfRule type="expression" dxfId="915" priority="698">
      <formula>($HI$6=2)</formula>
    </cfRule>
  </conditionalFormatting>
  <conditionalFormatting sqref="HK64:HK113">
    <cfRule type="expression" dxfId="914" priority="695">
      <formula>AND($HK64&lt;$HK$60*0.7,$HE64&gt;0)</formula>
    </cfRule>
  </conditionalFormatting>
  <conditionalFormatting sqref="HD60">
    <cfRule type="expression" dxfId="913" priority="693">
      <formula>($HE$2&gt;1)</formula>
    </cfRule>
  </conditionalFormatting>
  <conditionalFormatting sqref="JF64:JH113">
    <cfRule type="expression" dxfId="912" priority="664">
      <formula>ISBLANK(JF64)</formula>
    </cfRule>
    <cfRule type="expression" dxfId="911" priority="10448">
      <formula>AND($GF64=0,JF$4=1)</formula>
    </cfRule>
    <cfRule type="expression" dxfId="910" priority="13569">
      <formula>(JF$4=1)</formula>
    </cfRule>
  </conditionalFormatting>
  <conditionalFormatting sqref="KH64:LX113">
    <cfRule type="expression" dxfId="909" priority="408">
      <formula>($GF64=0)</formula>
    </cfRule>
  </conditionalFormatting>
  <conditionalFormatting sqref="HA64:HM113 HG43:HJ52">
    <cfRule type="expression" dxfId="908" priority="351">
      <formula>ISBLANK(HA43)</formula>
    </cfRule>
  </conditionalFormatting>
  <conditionalFormatting sqref="II64:IJ113">
    <cfRule type="expression" dxfId="907" priority="639">
      <formula>($GG64=1)</formula>
    </cfRule>
    <cfRule type="expression" dxfId="906" priority="640">
      <formula>($GQ64=1)</formula>
    </cfRule>
  </conditionalFormatting>
  <conditionalFormatting sqref="IU55:IY55 IV56:IY56">
    <cfRule type="expression" dxfId="905" priority="638">
      <formula>(IU55&lt;&gt;"")</formula>
    </cfRule>
  </conditionalFormatting>
  <conditionalFormatting sqref="JJ64:JK113">
    <cfRule type="expression" dxfId="904" priority="618">
      <formula>ISBLANK(JJ64)</formula>
    </cfRule>
    <cfRule type="expression" dxfId="903" priority="622">
      <formula>OR($GF64=0,$JJ$4=0)</formula>
    </cfRule>
  </conditionalFormatting>
  <conditionalFormatting sqref="JM59:JO60">
    <cfRule type="expression" dxfId="902" priority="621">
      <formula>($JN$4=1)</formula>
    </cfRule>
  </conditionalFormatting>
  <conditionalFormatting sqref="JP59:JR60">
    <cfRule type="expression" dxfId="901" priority="620">
      <formula>($JP$4=1)</formula>
    </cfRule>
  </conditionalFormatting>
  <conditionalFormatting sqref="JJ59:JL60">
    <cfRule type="expression" dxfId="900" priority="617">
      <formula>($JJ$4=1)</formula>
    </cfRule>
  </conditionalFormatting>
  <conditionalFormatting sqref="KS98:KS113">
    <cfRule type="expression" dxfId="899" priority="610">
      <formula>($GF98=0)</formula>
    </cfRule>
  </conditionalFormatting>
  <conditionalFormatting sqref="HU64:HU113">
    <cfRule type="expression" dxfId="898" priority="333">
      <formula>(HU64&lt;&gt;EL64)</formula>
    </cfRule>
    <cfRule type="expression" dxfId="897" priority="12389">
      <formula>AND(GF64=1,HU64=0)</formula>
    </cfRule>
    <cfRule type="expression" dxfId="896" priority="14123">
      <formula>(GF64=1)</formula>
    </cfRule>
  </conditionalFormatting>
  <conditionalFormatting sqref="II97">
    <cfRule type="expression" dxfId="895" priority="547">
      <formula>NOT(ISBLANK($IJ97))</formula>
    </cfRule>
  </conditionalFormatting>
  <conditionalFormatting sqref="JN97">
    <cfRule type="expression" dxfId="894" priority="546">
      <formula>(JN$4=1)</formula>
    </cfRule>
  </conditionalFormatting>
  <conditionalFormatting sqref="HJ97:HL97">
    <cfRule type="expression" dxfId="893" priority="554">
      <formula>($GF97=0)</formula>
    </cfRule>
  </conditionalFormatting>
  <conditionalFormatting sqref="HJ97:HL97">
    <cfRule type="expression" dxfId="892" priority="545">
      <formula>($HI$6=2)</formula>
    </cfRule>
  </conditionalFormatting>
  <conditionalFormatting sqref="HJ97:HL97">
    <cfRule type="expression" dxfId="891" priority="555">
      <formula>(#REF!=0)</formula>
    </cfRule>
  </conditionalFormatting>
  <conditionalFormatting sqref="II97:IJ97">
    <cfRule type="expression" dxfId="890" priority="543">
      <formula>(#REF!=0)</formula>
    </cfRule>
  </conditionalFormatting>
  <conditionalFormatting sqref="HJ97:HL97 HD97:HH97">
    <cfRule type="expression" dxfId="889" priority="558">
      <formula>AND(#REF!&lt;&gt;1,#REF!=1,$GF97=1)</formula>
    </cfRule>
  </conditionalFormatting>
  <conditionalFormatting sqref="HA97:HE97 IQ97:IR97 IW97:IY97 IM97 HG97:HM97">
    <cfRule type="expression" dxfId="888" priority="539">
      <formula>ISBLANK(HA97)</formula>
    </cfRule>
  </conditionalFormatting>
  <conditionalFormatting sqref="II97:IJ97">
    <cfRule type="expression" dxfId="887" priority="531">
      <formula>($GG97=1)</formula>
    </cfRule>
  </conditionalFormatting>
  <conditionalFormatting sqref="KS97">
    <cfRule type="expression" dxfId="886" priority="524">
      <formula>($GF97=0)</formula>
    </cfRule>
  </conditionalFormatting>
  <conditionalFormatting sqref="KS97:LB97">
    <cfRule type="expression" dxfId="885" priority="520">
      <formula>ISBLANK(KS97)</formula>
    </cfRule>
  </conditionalFormatting>
  <conditionalFormatting sqref="IC64:IC113">
    <cfRule type="expression" dxfId="884" priority="529">
      <formula>($GK64=1)</formula>
    </cfRule>
    <cfRule type="duplicateValues" dxfId="883" priority="11362"/>
  </conditionalFormatting>
  <conditionalFormatting sqref="HW98:IC113 HW64:HY97 IB64:IC97">
    <cfRule type="expression" dxfId="882" priority="11949">
      <formula>($IB64="P")</formula>
    </cfRule>
    <cfRule type="expression" dxfId="881" priority="11950">
      <formula>($IB64="O")</formula>
    </cfRule>
    <cfRule type="expression" dxfId="880" priority="11951">
      <formula>($IB64="B")</formula>
    </cfRule>
    <cfRule type="expression" dxfId="879" priority="11960">
      <formula>($IB64="G")</formula>
    </cfRule>
  </conditionalFormatting>
  <conditionalFormatting sqref="IE64:IF113">
    <cfRule type="expression" dxfId="878" priority="484">
      <formula>($GF64=0)</formula>
    </cfRule>
  </conditionalFormatting>
  <conditionalFormatting sqref="II59:II60">
    <cfRule type="expression" dxfId="877" priority="470">
      <formula>($ED$53&lt;&gt;1)</formula>
    </cfRule>
  </conditionalFormatting>
  <conditionalFormatting sqref="IA98:IA113">
    <cfRule type="expression" dxfId="876" priority="469">
      <formula>($GJ98=1)</formula>
    </cfRule>
  </conditionalFormatting>
  <conditionalFormatting sqref="IA60:IA61">
    <cfRule type="expression" dxfId="875" priority="468">
      <formula>($GJ$62&gt;0)</formula>
    </cfRule>
  </conditionalFormatting>
  <conditionalFormatting sqref="HW98:IC113">
    <cfRule type="expression" dxfId="874" priority="11930">
      <formula>($IB98="P")</formula>
    </cfRule>
    <cfRule type="expression" dxfId="873" priority="11931">
      <formula>($IB98="O")</formula>
    </cfRule>
    <cfRule type="expression" dxfId="872" priority="11932">
      <formula>($IB98="B")</formula>
    </cfRule>
  </conditionalFormatting>
  <conditionalFormatting sqref="IJ62:IJ63">
    <cfRule type="expression" dxfId="871" priority="444">
      <formula>($HI$21&lt;&gt;"E")</formula>
    </cfRule>
  </conditionalFormatting>
  <conditionalFormatting sqref="JW57:JX57 JX60:JX61">
    <cfRule type="expression" dxfId="870" priority="432">
      <formula>($JS$8=1)</formula>
    </cfRule>
  </conditionalFormatting>
  <conditionalFormatting sqref="JS62:JU63 JV61:JV113 JZ61:KA63 JY61:JY113 JW61 JY60:KA60 JS60 JV59 JS58 JY59 JU60:JV60 JU61">
    <cfRule type="expression" dxfId="869" priority="430">
      <formula>($JS$7=1)</formula>
    </cfRule>
  </conditionalFormatting>
  <conditionalFormatting sqref="JS64:JT113">
    <cfRule type="expression" dxfId="868" priority="429">
      <formula>($EW64=5)</formula>
    </cfRule>
  </conditionalFormatting>
  <conditionalFormatting sqref="JU64:JU113">
    <cfRule type="expression" dxfId="867" priority="428">
      <formula>($EW64=5)</formula>
    </cfRule>
  </conditionalFormatting>
  <conditionalFormatting sqref="JL64:JL113">
    <cfRule type="expression" dxfId="866" priority="13478">
      <formula>AND(#REF!=0,$JL$4=1)</formula>
    </cfRule>
    <cfRule type="expression" dxfId="865" priority="13479">
      <formula>($FM64=1)</formula>
    </cfRule>
    <cfRule type="expression" dxfId="864" priority="13480">
      <formula>($JL$4=1)</formula>
    </cfRule>
  </conditionalFormatting>
  <conditionalFormatting sqref="IM64:IM113">
    <cfRule type="expression" dxfId="863" priority="389">
      <formula>(ISBLANK(IM64))</formula>
    </cfRule>
    <cfRule type="expression" dxfId="862" priority="13574">
      <formula>($GQ64=1)</formula>
    </cfRule>
    <cfRule type="expression" dxfId="861" priority="13576">
      <formula>($GF64=0)</formula>
    </cfRule>
  </conditionalFormatting>
  <conditionalFormatting sqref="IQ64:IQ113">
    <cfRule type="expression" dxfId="860" priority="13577">
      <formula>ISBLANK(IQ64)</formula>
    </cfRule>
    <cfRule type="expression" dxfId="859" priority="13578">
      <formula>(IQ64&lt;&gt;EX64)</formula>
    </cfRule>
    <cfRule type="expression" dxfId="858" priority="13579">
      <formula>($GF64=0)</formula>
    </cfRule>
  </conditionalFormatting>
  <conditionalFormatting sqref="IK64:IK113">
    <cfRule type="expression" dxfId="857" priority="13580">
      <formula>(GF64=0)</formula>
    </cfRule>
  </conditionalFormatting>
  <conditionalFormatting sqref="IR64:IR113">
    <cfRule type="expression" dxfId="856" priority="13607">
      <formula>($GF64=0)</formula>
    </cfRule>
    <cfRule type="expression" dxfId="855" priority="13608">
      <formula>ISBLANK(IR64)</formula>
    </cfRule>
    <cfRule type="expression" dxfId="854" priority="13609">
      <formula>OR(EW64=7,EW64=5)</formula>
    </cfRule>
  </conditionalFormatting>
  <conditionalFormatting sqref="IW64:IW113">
    <cfRule type="expression" dxfId="853" priority="13612">
      <formula>ISBLANK(IW64)</formula>
    </cfRule>
    <cfRule type="expression" dxfId="852" priority="13613">
      <formula>(GI64=1)</formula>
    </cfRule>
    <cfRule type="expression" dxfId="851" priority="13614">
      <formula>($GF64=0)</formula>
    </cfRule>
  </conditionalFormatting>
  <conditionalFormatting sqref="KF53:KF55">
    <cfRule type="expression" dxfId="850" priority="425">
      <formula>($HI$21&lt;&gt;"E")</formula>
    </cfRule>
  </conditionalFormatting>
  <conditionalFormatting sqref="KE53 II63:IK63 IL63:IL113">
    <cfRule type="expression" dxfId="849" priority="423">
      <formula>($HI$21&lt;&gt;"E")</formula>
    </cfRule>
  </conditionalFormatting>
  <conditionalFormatting sqref="KE54">
    <cfRule type="expression" dxfId="848" priority="422">
      <formula>($HI$21&lt;&gt;"E")</formula>
    </cfRule>
  </conditionalFormatting>
  <conditionalFormatting sqref="II62:IL62">
    <cfRule type="expression" dxfId="847" priority="402">
      <formula>($HI$21&lt;&gt;"E")</formula>
    </cfRule>
  </conditionalFormatting>
  <conditionalFormatting sqref="JP58">
    <cfRule type="expression" dxfId="846" priority="397">
      <formula>OR(IX4=8,IX4=10)</formula>
    </cfRule>
  </conditionalFormatting>
  <conditionalFormatting sqref="MZ54:MZ57 MX54:MX57">
    <cfRule type="expression" dxfId="845" priority="396">
      <formula>AND($MZ54&gt;0,$NB$5&lt;3)</formula>
    </cfRule>
  </conditionalFormatting>
  <conditionalFormatting sqref="KS64:LB113">
    <cfRule type="expression" dxfId="844" priority="361">
      <formula>AND(ISBLANK(KS64),KS$18=0)</formula>
    </cfRule>
    <cfRule type="expression" dxfId="843" priority="370">
      <formula>(KS$18=1)</formula>
    </cfRule>
    <cfRule type="expression" dxfId="842" priority="676">
      <formula>NOT(_xlfn.ISFORMULA(KS64))</formula>
    </cfRule>
  </conditionalFormatting>
  <conditionalFormatting sqref="LO64:LX113">
    <cfRule type="expression" dxfId="841" priority="359">
      <formula>AND(ISBLANK(LO64),LO$18=0)</formula>
    </cfRule>
    <cfRule type="expression" dxfId="840" priority="365">
      <formula>(LO$18=1)</formula>
    </cfRule>
  </conditionalFormatting>
  <conditionalFormatting sqref="KH60:KQ60 LD60:LM60">
    <cfRule type="expression" dxfId="839" priority="371">
      <formula>(KS$18=1)</formula>
    </cfRule>
    <cfRule type="expression" dxfId="838" priority="392">
      <formula>(KH$60=0)</formula>
    </cfRule>
  </conditionalFormatting>
  <conditionalFormatting sqref="LQ50:LX50 HG43 HG60">
    <cfRule type="expression" dxfId="837" priority="379">
      <formula>($HI$21="F")</formula>
    </cfRule>
    <cfRule type="expression" dxfId="836" priority="380">
      <formula>($HI$21="B")</formula>
    </cfRule>
  </conditionalFormatting>
  <conditionalFormatting sqref="HG35">
    <cfRule type="expression" dxfId="835" priority="457">
      <formula>($HI$21="F")</formula>
    </cfRule>
    <cfRule type="expression" dxfId="834" priority="458">
      <formula>($HI$21="B")</formula>
    </cfRule>
  </conditionalFormatting>
  <conditionalFormatting sqref="KH64:KQ113">
    <cfRule type="expression" dxfId="833" priority="410">
      <formula>ISBLANK(KH64)</formula>
    </cfRule>
    <cfRule type="expression" dxfId="832" priority="411">
      <formula>(KS$18=1)</formula>
    </cfRule>
  </conditionalFormatting>
  <conditionalFormatting sqref="LD64:LM113">
    <cfRule type="expression" dxfId="831" priority="369">
      <formula>ISBLANK(LD64)</formula>
    </cfRule>
    <cfRule type="expression" dxfId="830" priority="376">
      <formula>(LO$18=1)</formula>
    </cfRule>
  </conditionalFormatting>
  <conditionalFormatting sqref="LP64:LX113">
    <cfRule type="expression" dxfId="829" priority="375">
      <formula>(LE64&gt;0)</formula>
    </cfRule>
    <cfRule type="expression" dxfId="828" priority="13709">
      <formula>NOT(_xlfn.ISFORMULA(LP64))</formula>
    </cfRule>
  </conditionalFormatting>
  <conditionalFormatting sqref="KT64:LB113">
    <cfRule type="expression" dxfId="827" priority="377">
      <formula>(KI64&gt;0)</formula>
    </cfRule>
  </conditionalFormatting>
  <conditionalFormatting sqref="KS57:LB58">
    <cfRule type="expression" dxfId="826" priority="358">
      <formula>(KS$20=1)</formula>
    </cfRule>
  </conditionalFormatting>
  <conditionalFormatting sqref="LD56:LE56">
    <cfRule type="expression" dxfId="825" priority="13847">
      <formula>($LD$56&lt;&gt;$KH$56)</formula>
    </cfRule>
  </conditionalFormatting>
  <conditionalFormatting sqref="KH57:KQ58">
    <cfRule type="expression" dxfId="824" priority="357">
      <formula>(KS$20=1)</formula>
    </cfRule>
  </conditionalFormatting>
  <conditionalFormatting sqref="LO57:LX58">
    <cfRule type="expression" dxfId="823" priority="355">
      <formula>(LO$20=1)</formula>
    </cfRule>
  </conditionalFormatting>
  <conditionalFormatting sqref="IU57:IU60">
    <cfRule type="expression" dxfId="822" priority="354">
      <formula>(IU57&lt;&gt;"")</formula>
    </cfRule>
  </conditionalFormatting>
  <conditionalFormatting sqref="JN64:JN113">
    <cfRule type="expression" dxfId="821" priority="352">
      <formula>(GX64=1)</formula>
    </cfRule>
  </conditionalFormatting>
  <conditionalFormatting sqref="KB64:KB113">
    <cfRule type="expression" dxfId="820" priority="350">
      <formula>OR($EW64=5,$EW64=7)</formula>
    </cfRule>
  </conditionalFormatting>
  <conditionalFormatting sqref="KB55:KB63">
    <cfRule type="expression" dxfId="819" priority="318">
      <formula>($JS$8&gt;0)</formula>
    </cfRule>
    <cfRule type="expression" dxfId="818" priority="349">
      <formula>($JS$7&gt;0)</formula>
    </cfRule>
  </conditionalFormatting>
  <conditionalFormatting sqref="KA64:KA113">
    <cfRule type="expression" dxfId="817" priority="342">
      <formula>NOT(_xlfn.ISFORMULA(KA64))</formula>
    </cfRule>
    <cfRule type="expression" dxfId="816" priority="343">
      <formula>OR($EW64=5,$EW64=7)</formula>
    </cfRule>
  </conditionalFormatting>
  <conditionalFormatting sqref="JZ64:JZ113">
    <cfRule type="expression" dxfId="815" priority="344">
      <formula>OR($EW64=5,$EW64=7)</formula>
    </cfRule>
  </conditionalFormatting>
  <conditionalFormatting sqref="IP97">
    <cfRule type="expression" dxfId="814" priority="14108">
      <formula>OR(#REF!=0,$GR97=1)</formula>
    </cfRule>
  </conditionalFormatting>
  <conditionalFormatting sqref="IO64:IO113">
    <cfRule type="expression" dxfId="813" priority="14109">
      <formula>OR($GQ64=1,$GR64=1)</formula>
    </cfRule>
  </conditionalFormatting>
  <conditionalFormatting sqref="JF64:JF113">
    <cfRule type="expression" dxfId="812" priority="14111">
      <formula>(JF64&lt;&gt;FF64)</formula>
    </cfRule>
    <cfRule type="expression" dxfId="811" priority="14112">
      <formula>AND($IX$4&lt;6,$IM64&gt;0)</formula>
    </cfRule>
    <cfRule type="expression" dxfId="810" priority="14113">
      <formula>($IX$2=1)</formula>
    </cfRule>
    <cfRule type="expression" dxfId="809" priority="14114">
      <formula>"($DI$15=1)"</formula>
    </cfRule>
  </conditionalFormatting>
  <conditionalFormatting sqref="JG64:JG113">
    <cfRule type="expression" dxfId="808" priority="14115">
      <formula>$JG64&lt;&gt;$FH64</formula>
    </cfRule>
    <cfRule type="expression" dxfId="807" priority="14116">
      <formula>AND($IX$4=5,$IM64&gt;0)</formula>
    </cfRule>
  </conditionalFormatting>
  <conditionalFormatting sqref="JH64:JH113">
    <cfRule type="expression" dxfId="806" priority="14117">
      <formula>($JH64&lt;&gt;$FG64)</formula>
    </cfRule>
    <cfRule type="expression" dxfId="805" priority="14118">
      <formula>AND(OR($IX$4=3,$IX$4=4,$IX$4=5),$IM64&gt;0)</formula>
    </cfRule>
  </conditionalFormatting>
  <conditionalFormatting sqref="JP98:JP113">
    <cfRule type="expression" dxfId="804" priority="14119">
      <formula>ISBLANK(JP98)</formula>
    </cfRule>
    <cfRule type="expression" dxfId="803" priority="14120">
      <formula>AND($JP$4=1,JP98&lt;&gt;FI98)</formula>
    </cfRule>
    <cfRule type="expression" dxfId="802" priority="14121">
      <formula>(JP$4=1)</formula>
    </cfRule>
  </conditionalFormatting>
  <conditionalFormatting sqref="HQ64:HQ113">
    <cfRule type="expression" dxfId="801" priority="14122">
      <formula>AND($GF64=1,$EJ64&lt;&gt;$EI$53)</formula>
    </cfRule>
  </conditionalFormatting>
  <conditionalFormatting sqref="HS64:HS113 HU64:HU113">
    <cfRule type="expression" dxfId="800" priority="334">
      <formula>ISBLANK(HS64)</formula>
    </cfRule>
  </conditionalFormatting>
  <conditionalFormatting sqref="HS64:HS113">
    <cfRule type="expression" dxfId="799" priority="14124">
      <formula>AND($GF64=1,$EJ64&lt;&gt;$EI$53)</formula>
    </cfRule>
    <cfRule type="expression" dxfId="798" priority="14125">
      <formula>AND(HS64=EB64,HR64&lt;&gt;$EO$53,$GF64=1)</formula>
    </cfRule>
  </conditionalFormatting>
  <conditionalFormatting sqref="HE64:HE113">
    <cfRule type="expression" dxfId="797" priority="14132">
      <formula>($GR64&gt;0)</formula>
    </cfRule>
  </conditionalFormatting>
  <conditionalFormatting sqref="ND64:ND113">
    <cfRule type="expression" dxfId="796" priority="340">
      <formula>(IP64=0)</formula>
    </cfRule>
  </conditionalFormatting>
  <conditionalFormatting sqref="IU64:IU66 IU94:IU113 IU68:IU92">
    <cfRule type="expression" dxfId="795" priority="337">
      <formula>AND(ISBLANK(IU64),EW64&gt;7)</formula>
    </cfRule>
  </conditionalFormatting>
  <conditionalFormatting sqref="HR64:HR113">
    <cfRule type="expression" dxfId="794" priority="336">
      <formula>AND($GF64=1,$EJ64&lt;&gt;$EI$53)</formula>
    </cfRule>
  </conditionalFormatting>
  <conditionalFormatting sqref="HQ64:HS113 HU64:HU113">
    <cfRule type="expression" dxfId="793" priority="323">
      <formula>NOT(_xlfn.ISFORMULA(HQ64))</formula>
    </cfRule>
  </conditionalFormatting>
  <conditionalFormatting sqref="LZ64:MJ113">
    <cfRule type="expression" dxfId="792" priority="327">
      <formula>LO$18=1</formula>
    </cfRule>
  </conditionalFormatting>
  <conditionalFormatting sqref="MX64:MX113 MZ64:MZ113 ND64:ND113">
    <cfRule type="expression" dxfId="791" priority="14630">
      <formula>AND($MX64&gt;0,$NB$5=3)</formula>
    </cfRule>
    <cfRule type="expression" dxfId="790" priority="14631">
      <formula>AND($NB$5=2,$FQ64=1)</formula>
    </cfRule>
  </conditionalFormatting>
  <conditionalFormatting sqref="JW64:JX113">
    <cfRule type="expression" dxfId="789" priority="325">
      <formula>($EW64=7)</formula>
    </cfRule>
  </conditionalFormatting>
  <conditionalFormatting sqref="JZ58:KA59">
    <cfRule type="expression" dxfId="788" priority="316">
      <formula>($JS$7&gt;0)</formula>
    </cfRule>
    <cfRule type="expression" dxfId="787" priority="324">
      <formula>($JS$8=1)</formula>
    </cfRule>
  </conditionalFormatting>
  <conditionalFormatting sqref="LP60:LX60">
    <cfRule type="expression" dxfId="786" priority="322">
      <formula>NOT(_xlfn.ISFORMULA(LP60))</formula>
    </cfRule>
  </conditionalFormatting>
  <conditionalFormatting sqref="JW58:JX59">
    <cfRule type="expression" dxfId="785" priority="321">
      <formula>($JS$8&gt;0)</formula>
    </cfRule>
  </conditionalFormatting>
  <conditionalFormatting sqref="JW60">
    <cfRule type="expression" dxfId="784" priority="320">
      <formula>($JS$8&gt;0)</formula>
    </cfRule>
  </conditionalFormatting>
  <conditionalFormatting sqref="JZ62:KA63">
    <cfRule type="expression" dxfId="783" priority="319">
      <formula>($JS$8=1)</formula>
    </cfRule>
  </conditionalFormatting>
  <conditionalFormatting sqref="JW62:JX63">
    <cfRule type="expression" dxfId="782" priority="317">
      <formula>($JS$8&gt;0)</formula>
    </cfRule>
  </conditionalFormatting>
  <conditionalFormatting sqref="HZ94:IA97">
    <cfRule type="expression" dxfId="781" priority="312">
      <formula>($HZ94="P")</formula>
    </cfRule>
    <cfRule type="expression" dxfId="780" priority="313">
      <formula>($HZ94="O")</formula>
    </cfRule>
    <cfRule type="expression" dxfId="779" priority="314">
      <formula>($HZ94="B")</formula>
    </cfRule>
    <cfRule type="expression" dxfId="778" priority="315">
      <formula>($HZ94="G")</formula>
    </cfRule>
  </conditionalFormatting>
  <conditionalFormatting sqref="IA94:IA97">
    <cfRule type="expression" dxfId="777" priority="311">
      <formula>($GH94=1)</formula>
    </cfRule>
  </conditionalFormatting>
  <conditionalFormatting sqref="HZ92:IA92">
    <cfRule type="expression" dxfId="776" priority="204">
      <formula>($HZ92="P")</formula>
    </cfRule>
    <cfRule type="expression" dxfId="775" priority="205">
      <formula>($HZ92="O")</formula>
    </cfRule>
    <cfRule type="expression" dxfId="774" priority="206">
      <formula>($HZ92="B")</formula>
    </cfRule>
    <cfRule type="expression" dxfId="773" priority="207">
      <formula>($HZ92="G")</formula>
    </cfRule>
  </conditionalFormatting>
  <conditionalFormatting sqref="IA92">
    <cfRule type="expression" dxfId="772" priority="200">
      <formula>($GH92=1)</formula>
    </cfRule>
  </conditionalFormatting>
  <conditionalFormatting sqref="HZ92:IA92">
    <cfRule type="expression" dxfId="771" priority="201">
      <formula>($HZ92="P")</formula>
    </cfRule>
    <cfRule type="expression" dxfId="770" priority="202">
      <formula>($HZ92="O")</formula>
    </cfRule>
    <cfRule type="expression" dxfId="769" priority="203">
      <formula>($HZ92="B")</formula>
    </cfRule>
  </conditionalFormatting>
  <conditionalFormatting sqref="HZ93:IA93">
    <cfRule type="expression" dxfId="768" priority="196">
      <formula>($HZ93="P")</formula>
    </cfRule>
    <cfRule type="expression" dxfId="767" priority="197">
      <formula>($HZ93="O")</formula>
    </cfRule>
    <cfRule type="expression" dxfId="766" priority="198">
      <formula>($HZ93="B")</formula>
    </cfRule>
    <cfRule type="expression" dxfId="765" priority="199">
      <formula>($HZ93="G")</formula>
    </cfRule>
  </conditionalFormatting>
  <conditionalFormatting sqref="IA93">
    <cfRule type="expression" dxfId="764" priority="195">
      <formula>($GH93=1)</formula>
    </cfRule>
  </conditionalFormatting>
  <conditionalFormatting sqref="JQ92:JQ97">
    <cfRule type="expression" dxfId="763" priority="191">
      <formula>(JQ$4=1)</formula>
    </cfRule>
  </conditionalFormatting>
  <conditionalFormatting sqref="JP97">
    <cfRule type="expression" dxfId="762" priority="189">
      <formula>ISBLANK(JP97)</formula>
    </cfRule>
    <cfRule type="expression" dxfId="761" priority="190">
      <formula>(JP$4=1)</formula>
    </cfRule>
  </conditionalFormatting>
  <conditionalFormatting sqref="JP64:JP97">
    <cfRule type="expression" dxfId="760" priority="192">
      <formula>ISBLANK(JP64)</formula>
    </cfRule>
    <cfRule type="expression" dxfId="759" priority="193">
      <formula>AND($JN$4=1,JP64&lt;&gt;FI64)</formula>
    </cfRule>
    <cfRule type="expression" dxfId="758" priority="194">
      <formula>(JP$4=1)</formula>
    </cfRule>
  </conditionalFormatting>
  <conditionalFormatting sqref="IU93">
    <cfRule type="expression" dxfId="757" priority="183">
      <formula>AND(ISBLANK(IU93),EW93&gt;7)</formula>
    </cfRule>
  </conditionalFormatting>
  <conditionalFormatting sqref="IU67">
    <cfRule type="expression" dxfId="756" priority="177">
      <formula>AND(ISBLANK(IU67),EW67&gt;7)</formula>
    </cfRule>
  </conditionalFormatting>
  <conditionalFormatting sqref="JQ64:JQ66 JQ68:JQ91">
    <cfRule type="expression" dxfId="755" priority="70">
      <formula>(JQ$4=1)</formula>
    </cfRule>
  </conditionalFormatting>
  <conditionalFormatting sqref="JQ67">
    <cfRule type="expression" dxfId="754" priority="69">
      <formula>(JQ$4=1)</formula>
    </cfRule>
  </conditionalFormatting>
  <conditionalFormatting sqref="HZ74:IA91">
    <cfRule type="expression" dxfId="753" priority="65">
      <formula>($HZ74="P")</formula>
    </cfRule>
    <cfRule type="expression" dxfId="752" priority="66">
      <formula>($HZ74="O")</formula>
    </cfRule>
    <cfRule type="expression" dxfId="751" priority="67">
      <formula>($HZ74="B")</formula>
    </cfRule>
    <cfRule type="expression" dxfId="750" priority="68">
      <formula>($HZ74="G")</formula>
    </cfRule>
  </conditionalFormatting>
  <conditionalFormatting sqref="IA74:IA91">
    <cfRule type="expression" dxfId="749" priority="64">
      <formula>($GH74=1)</formula>
    </cfRule>
  </conditionalFormatting>
  <conditionalFormatting sqref="HZ67:IA67 HZ71:IA71 IA64:IA66">
    <cfRule type="expression" dxfId="54" priority="37">
      <formula>($HZ64="P")</formula>
    </cfRule>
    <cfRule type="expression" dxfId="53" priority="38">
      <formula>($HZ64="O")</formula>
    </cfRule>
    <cfRule type="expression" dxfId="52" priority="39">
      <formula>($HZ64="B")</formula>
    </cfRule>
    <cfRule type="expression" dxfId="51" priority="40">
      <formula>($HZ64="G")</formula>
    </cfRule>
  </conditionalFormatting>
  <conditionalFormatting sqref="IA64:IA67 IA71">
    <cfRule type="expression" dxfId="50" priority="36">
      <formula>($GH64=1)</formula>
    </cfRule>
  </conditionalFormatting>
  <conditionalFormatting sqref="HZ72:IA73">
    <cfRule type="expression" dxfId="49" priority="32">
      <formula>($HZ72="P")</formula>
    </cfRule>
    <cfRule type="expression" dxfId="48" priority="33">
      <formula>($HZ72="O")</formula>
    </cfRule>
    <cfRule type="expression" dxfId="47" priority="34">
      <formula>($HZ72="B")</formula>
    </cfRule>
    <cfRule type="expression" dxfId="46" priority="35">
      <formula>($HZ72="G")</formula>
    </cfRule>
  </conditionalFormatting>
  <conditionalFormatting sqref="IA72:IA73">
    <cfRule type="expression" dxfId="45" priority="31">
      <formula>($GH72=1)</formula>
    </cfRule>
  </conditionalFormatting>
  <conditionalFormatting sqref="IA70">
    <cfRule type="expression" dxfId="44" priority="27">
      <formula>($HZ70="P")</formula>
    </cfRule>
    <cfRule type="expression" dxfId="43" priority="28">
      <formula>($HZ70="O")</formula>
    </cfRule>
    <cfRule type="expression" dxfId="42" priority="29">
      <formula>($HZ70="B")</formula>
    </cfRule>
    <cfRule type="expression" dxfId="41" priority="30">
      <formula>($HZ70="G")</formula>
    </cfRule>
  </conditionalFormatting>
  <conditionalFormatting sqref="IA70">
    <cfRule type="expression" dxfId="40" priority="26">
      <formula>($GH70=1)</formula>
    </cfRule>
  </conditionalFormatting>
  <conditionalFormatting sqref="HZ68:IA68 IA69">
    <cfRule type="expression" dxfId="39" priority="22">
      <formula>($HZ68="P")</formula>
    </cfRule>
    <cfRule type="expression" dxfId="38" priority="23">
      <formula>($HZ68="O")</formula>
    </cfRule>
    <cfRule type="expression" dxfId="37" priority="24">
      <formula>($HZ68="B")</formula>
    </cfRule>
    <cfRule type="expression" dxfId="36" priority="25">
      <formula>($HZ68="G")</formula>
    </cfRule>
  </conditionalFormatting>
  <conditionalFormatting sqref="IA68:IA69">
    <cfRule type="expression" dxfId="35" priority="21">
      <formula>($GH68=1)</formula>
    </cfRule>
  </conditionalFormatting>
  <conditionalFormatting sqref="HZ70">
    <cfRule type="expression" dxfId="34" priority="17">
      <formula>($HZ70="P")</formula>
    </cfRule>
    <cfRule type="expression" dxfId="33" priority="18">
      <formula>($HZ70="O")</formula>
    </cfRule>
    <cfRule type="expression" dxfId="32" priority="19">
      <formula>($HZ70="B")</formula>
    </cfRule>
    <cfRule type="expression" dxfId="31" priority="20">
      <formula>($HZ70="G")</formula>
    </cfRule>
  </conditionalFormatting>
  <conditionalFormatting sqref="HZ64">
    <cfRule type="expression" dxfId="30" priority="13">
      <formula>($HZ64="P")</formula>
    </cfRule>
    <cfRule type="expression" dxfId="29" priority="14">
      <formula>($HZ64="O")</formula>
    </cfRule>
    <cfRule type="expression" dxfId="28" priority="15">
      <formula>($HZ64="B")</formula>
    </cfRule>
    <cfRule type="expression" dxfId="27" priority="16">
      <formula>($HZ64="G")</formula>
    </cfRule>
  </conditionalFormatting>
  <conditionalFormatting sqref="HZ65">
    <cfRule type="expression" dxfId="26" priority="9">
      <formula>($HZ65="P")</formula>
    </cfRule>
    <cfRule type="expression" dxfId="25" priority="10">
      <formula>($HZ65="O")</formula>
    </cfRule>
    <cfRule type="expression" dxfId="24" priority="11">
      <formula>($HZ65="B")</formula>
    </cfRule>
    <cfRule type="expression" dxfId="23" priority="12">
      <formula>($HZ65="G")</formula>
    </cfRule>
  </conditionalFormatting>
  <conditionalFormatting sqref="HZ66">
    <cfRule type="expression" dxfId="22" priority="5">
      <formula>($HZ66="P")</formula>
    </cfRule>
    <cfRule type="expression" dxfId="21" priority="6">
      <formula>($HZ66="O")</formula>
    </cfRule>
    <cfRule type="expression" dxfId="20" priority="7">
      <formula>($HZ66="B")</formula>
    </cfRule>
    <cfRule type="expression" dxfId="19" priority="8">
      <formula>($HZ66="G")</formula>
    </cfRule>
  </conditionalFormatting>
  <conditionalFormatting sqref="HZ69">
    <cfRule type="expression" dxfId="18" priority="1">
      <formula>($HZ69="P")</formula>
    </cfRule>
    <cfRule type="expression" dxfId="17" priority="2">
      <formula>($HZ69="O")</formula>
    </cfRule>
    <cfRule type="expression" dxfId="16" priority="3">
      <formula>($HZ69="B")</formula>
    </cfRule>
    <cfRule type="expression" dxfId="15" priority="4">
      <formula>($HZ69="G")</formula>
    </cfRule>
  </conditionalFormatting>
  <dataValidations count="15">
    <dataValidation type="custom" allowBlank="1" showInputMessage="1" showErrorMessage="1" sqref="HB30:HG30 HG43:HG44 HG34:HJ34 HC38:HF38 HJ62:HJ63 HF60 IX64:IY113 DY62:DZ62 HJ60:HM60 HE40 HF39:HF40 KH60:KQ60 HJ42:HJ45 JJ64:JK113 HA64:HC113 HK45 HE64:HM113 II59 HH43:HI45 HJ57:HJ59 HF45:HG45 HA45:HC45 HA46:HK52 HC39:HD40" xr:uid="{00000000-0002-0000-0700-000000000000}">
      <formula1>""""""</formula1>
    </dataValidation>
    <dataValidation type="list" allowBlank="1" showInputMessage="1" showErrorMessage="1" sqref="IB64:IB113" xr:uid="{00000000-0002-0000-0700-000001000000}">
      <formula1>$IB$3:$IB$7</formula1>
    </dataValidation>
    <dataValidation type="list" allowBlank="1" showInputMessage="1" showErrorMessage="1" sqref="JQ64:JR113" xr:uid="{00000000-0002-0000-0700-000002000000}">
      <formula1>GradeDescriptions</formula1>
    </dataValidation>
    <dataValidation type="custom" allowBlank="1" showInputMessage="1" showErrorMessage="1" error="Enter Raw Rates in either of the yellow input boxes on the left" sqref="IM64:IM113" xr:uid="{00000000-0002-0000-0700-000003000000}">
      <formula1>""""""</formula1>
    </dataValidation>
    <dataValidation type="custom" allowBlank="1" showInputMessage="1" showErrorMessage="1" error="Do not enter hours here.  (Hours are entered on the Plan tabs)." sqref="KH64:KQ113" xr:uid="{00000000-0002-0000-0700-000004000000}">
      <formula1>""""""</formula1>
    </dataValidation>
    <dataValidation type="custom" allowBlank="1" showInputMessage="1" showErrorMessage="1" error="Do not enter hours here.  (Hours are entered on the plan tabs)." sqref="LD64:LM113" xr:uid="{00000000-0002-0000-0700-000005000000}">
      <formula1>""""""</formula1>
    </dataValidation>
    <dataValidation type="list" allowBlank="1" showInputMessage="1" showErrorMessage="1" sqref="LR56:LW56" xr:uid="{00000000-0002-0000-0700-000006000000}">
      <formula1>$LR$3:$LR$5</formula1>
    </dataValidation>
    <dataValidation type="custom" allowBlank="1" showInputMessage="1" showErrorMessage="1" error="Year 1 Sell Rates are determined in the main Staff Rates Table on the left of this sheet." sqref="LO64:LO113" xr:uid="{00000000-0002-0000-0700-000007000000}">
      <formula1>""""""</formula1>
    </dataValidation>
    <dataValidation type="custom" allowBlank="1" showInputMessage="1" showErrorMessage="1" error="Year 1 Raw Rates are inputted in the main Staff Rates Table to the left of this sheet.  Raw Rates for Year 2 onwards are inputted / adjusted here in THIS table." sqref="KS64:KS113" xr:uid="{00000000-0002-0000-0700-000008000000}">
      <formula1>""""""</formula1>
    </dataValidation>
    <dataValidation type="list" allowBlank="1" showInputMessage="1" showErrorMessage="1" sqref="KB64:KB113" xr:uid="{00000000-0002-0000-0700-000009000000}">
      <formula1>$KB$7:$KB$8</formula1>
    </dataValidation>
    <dataValidation type="custom" allowBlank="1" showInputMessage="1" showErrorMessage="1" error="Do not enter data here.  " sqref="IR64:IR113" xr:uid="{00000000-0002-0000-0700-00000A000000}">
      <formula1>""""""</formula1>
    </dataValidation>
    <dataValidation type="custom" allowBlank="1" showInputMessage="1" showErrorMessage="1" error="Calculated cell.  Enter data in the yellow cells." sqref="IW64:IW113" xr:uid="{00000000-0002-0000-0700-00000B000000}">
      <formula1>""""""</formula1>
    </dataValidation>
    <dataValidation type="list" allowBlank="1" showInputMessage="1" showErrorMessage="1" sqref="IP64:IP113" xr:uid="{00000000-0002-0000-0700-00000C000000}">
      <formula1>$IP$3:$IP$12</formula1>
    </dataValidation>
    <dataValidation type="custom" allowBlank="1" showInputMessage="1" showErrorMessage="1" error="Adjust currency in the &quot;Foreign Country Settings&quot; table" sqref="IK64:IK113" xr:uid="{00000000-0002-0000-0700-00000D000000}">
      <formula1>""""""</formula1>
    </dataValidation>
    <dataValidation type="custom" allowBlank="1" showInputMessage="1" showErrorMessage="1" error="Calculated cells" sqref="IE64:IF113" xr:uid="{00000000-0002-0000-0700-00000E000000}">
      <formula1>""""""</formula1>
    </dataValidation>
  </dataValidations>
  <pageMargins left="0.7" right="0.7" top="0.75" bottom="0.75" header="0.3" footer="0.3"/>
  <pageSetup paperSize="9" orientation="portrait" verticalDpi="4294967293"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636" id="{9D61D396-BF47-4E82-90DF-FAEE224F7CDF}">
            <xm:f>'3c Plan Analysis'!$DG$3</xm:f>
            <x14:dxf>
              <font>
                <color theme="1"/>
              </font>
            </x14:dxf>
          </x14:cfRule>
          <xm:sqref>HW60:HW61</xm:sqref>
        </x14:conditionalFormatting>
        <x14:conditionalFormatting xmlns:xm="http://schemas.microsoft.com/office/excel/2006/main">
          <x14:cfRule type="expression" priority="635" id="{9224E912-C6A5-47F9-BC66-B9ECE9C5B151}">
            <xm:f>NOT('3c Plan Analysis'!$DG$3)</xm:f>
            <x14:dxf>
              <font>
                <color theme="0" tint="-0.14996795556505021"/>
              </font>
              <fill>
                <patternFill>
                  <bgColor theme="0" tint="-0.14996795556505021"/>
                </patternFill>
              </fill>
            </x14:dxf>
          </x14:cfRule>
          <xm:sqref>HW64:HW113</xm:sqref>
        </x14:conditionalFormatting>
        <x14:conditionalFormatting xmlns:xm="http://schemas.microsoft.com/office/excel/2006/main">
          <x14:cfRule type="expression" priority="597" id="{1B2BE09C-949F-464C-BDE6-C24467B1302F}">
            <xm:f>'3c Plan Analysis'!$DG$3</xm:f>
            <x14:dxf>
              <font>
                <color theme="1"/>
              </font>
            </x14:dxf>
          </x14:cfRule>
          <xm:sqref>HZ61</xm:sqref>
        </x14:conditionalFormatting>
        <x14:conditionalFormatting xmlns:xm="http://schemas.microsoft.com/office/excel/2006/main">
          <x14:cfRule type="expression" priority="353" id="{95EFA84D-80A2-4371-A059-6F3F9E407549}">
            <xm:f>'3c Plan Analysis'!$DG$3</xm:f>
            <x14:dxf>
              <font>
                <color theme="1"/>
              </font>
            </x14:dxf>
          </x14:cfRule>
          <xm:sqref>HY61</xm:sqref>
        </x14:conditionalFormatting>
        <x14:conditionalFormatting xmlns:xm="http://schemas.microsoft.com/office/excel/2006/main">
          <x14:cfRule type="expression" priority="341" id="{11D9196F-0920-4E02-B7EA-29DD059142CB}">
            <xm:f>('1 Setup'!$N$4=0)</xm:f>
            <x14:dxf>
              <font>
                <color theme="1"/>
              </font>
            </x14:dxf>
          </x14:cfRule>
          <xm:sqref>IC57:IC63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700-00000F000000}">
          <x14:formula1>
            <xm:f>'3c Plan Analysis'!$CZ$31:$CZ$42</xm:f>
          </x14:formula1>
          <xm:sqref>HW64:HW113</xm:sqref>
        </x14:dataValidation>
        <x14:dataValidation type="list" allowBlank="1" showInputMessage="1" showErrorMessage="1" xr:uid="{00000000-0002-0000-0700-000011000000}">
          <x14:formula1>
            <xm:f>'1 Setup'!$S$106:$S$118</xm:f>
          </x14:formula1>
          <xm:sqref>HX64:HX113</xm:sqref>
        </x14:dataValidation>
        <x14:dataValidation type="list" allowBlank="1" showInputMessage="1" showErrorMessage="1" xr:uid="{00000000-0002-0000-0700-000012000000}">
          <x14:formula1>
            <xm:f>'Fringe Data'!#REF!</xm:f>
          </x14:formula1>
          <xm:sqref>HR64:HR113</xm:sqref>
        </x14:dataValidation>
        <x14:dataValidation type="list" allowBlank="1" showInputMessage="1" showErrorMessage="1" xr:uid="{00000000-0002-0000-0700-000010000000}">
          <x14:formula1>
            <xm:f>'Fringe Data'!$F$8:$F$63</xm:f>
          </x14:formula1>
          <xm:sqref>HQ64:HQ113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A1:JF329"/>
  <sheetViews>
    <sheetView showGridLines="0" topLeftCell="D111" zoomScale="90" zoomScaleNormal="90" workbookViewId="0">
      <selection activeCell="EP137" sqref="EP137"/>
    </sheetView>
  </sheetViews>
  <sheetFormatPr defaultColWidth="9.109375" defaultRowHeight="13.2" x14ac:dyDescent="0.25"/>
  <cols>
    <col min="1" max="1" width="1.88671875" style="1" customWidth="1"/>
    <col min="2" max="2" width="6.44140625" style="1" customWidth="1"/>
    <col min="3" max="3" width="11.5546875" style="85" customWidth="1"/>
    <col min="4" max="4" width="0.88671875" style="1" customWidth="1"/>
    <col min="5" max="5" width="4.44140625" style="1" customWidth="1"/>
    <col min="6" max="6" width="7.88671875" style="1" customWidth="1"/>
    <col min="7" max="7" width="4.33203125" style="1" customWidth="1"/>
    <col min="8" max="8" width="0.88671875" style="1" customWidth="1"/>
    <col min="9" max="9" width="39.109375" style="1" customWidth="1"/>
    <col min="10" max="10" width="13.6640625" style="1" customWidth="1"/>
    <col min="11" max="11" width="0.88671875" style="1" customWidth="1"/>
    <col min="12" max="12" width="3.5546875" style="1" customWidth="1"/>
    <col min="13" max="13" width="4.109375" style="3" customWidth="1"/>
    <col min="14" max="14" width="1.88671875" style="1" customWidth="1"/>
    <col min="15" max="15" width="5.5546875" style="1" customWidth="1"/>
    <col min="16" max="16" width="22.88671875" style="1" customWidth="1"/>
    <col min="17" max="17" width="5.5546875" style="1" customWidth="1"/>
    <col min="18" max="18" width="8.88671875" style="1" customWidth="1"/>
    <col min="19" max="19" width="12.109375" style="1" customWidth="1"/>
    <col min="20" max="23" width="8.6640625" style="1" hidden="1" customWidth="1"/>
    <col min="24" max="25" width="10.33203125" style="1" hidden="1" customWidth="1"/>
    <col min="26" max="26" width="9.88671875" style="1" hidden="1" customWidth="1"/>
    <col min="27" max="27" width="9.44140625" style="1" hidden="1" customWidth="1"/>
    <col min="28" max="29" width="8.6640625" style="1" hidden="1" customWidth="1"/>
    <col min="30" max="30" width="2.6640625" style="1" hidden="1" customWidth="1"/>
    <col min="31" max="31" width="3.109375" style="1" hidden="1" customWidth="1"/>
    <col min="32" max="32" width="3" style="1" hidden="1" customWidth="1"/>
    <col min="33" max="33" width="2.6640625" style="1" hidden="1" customWidth="1"/>
    <col min="34" max="34" width="3.33203125" style="1" hidden="1" customWidth="1"/>
    <col min="35" max="35" width="3.6640625" style="1" hidden="1" customWidth="1"/>
    <col min="36" max="36" width="3.88671875" style="1" hidden="1" customWidth="1"/>
    <col min="37" max="43" width="3" style="1" hidden="1" customWidth="1"/>
    <col min="44" max="113" width="2.6640625" style="1" hidden="1" customWidth="1"/>
    <col min="114" max="116" width="3" style="1" hidden="1" customWidth="1"/>
    <col min="117" max="119" width="2.6640625" style="1" hidden="1" customWidth="1"/>
    <col min="120" max="121" width="11.44140625" style="1" customWidth="1"/>
    <col min="122" max="122" width="0.88671875" style="1" customWidth="1"/>
    <col min="123" max="123" width="0.5546875" style="1" customWidth="1"/>
    <col min="124" max="124" width="20.6640625" style="1" customWidth="1"/>
    <col min="125" max="125" width="4" style="1" customWidth="1"/>
    <col min="126" max="126" width="11.33203125" style="1" customWidth="1"/>
    <col min="127" max="127" width="3.6640625" style="1" customWidth="1"/>
    <col min="128" max="128" width="0.88671875" style="1" customWidth="1"/>
    <col min="129" max="129" width="21.33203125" style="1" customWidth="1"/>
    <col min="130" max="130" width="20.44140625" style="1" customWidth="1"/>
    <col min="131" max="131" width="7.88671875" style="1" customWidth="1"/>
    <col min="132" max="132" width="9.88671875" style="1" customWidth="1"/>
    <col min="133" max="133" width="9.5546875" style="1" customWidth="1"/>
    <col min="134" max="134" width="1.33203125" style="1" hidden="1" customWidth="1"/>
    <col min="135" max="135" width="4.44140625" style="1" customWidth="1"/>
    <col min="136" max="136" width="0.88671875" style="1" customWidth="1"/>
    <col min="137" max="263" width="3.44140625" style="1" customWidth="1"/>
    <col min="264" max="264" width="3.6640625" style="1" customWidth="1"/>
    <col min="265" max="16384" width="9.109375" style="1"/>
  </cols>
  <sheetData>
    <row r="1" spans="1:263" hidden="1" x14ac:dyDescent="0.25">
      <c r="A1" s="285"/>
      <c r="B1" s="285"/>
      <c r="C1" s="286"/>
      <c r="D1" s="285"/>
      <c r="E1" s="285"/>
      <c r="F1" s="285"/>
      <c r="G1" s="285"/>
      <c r="H1" s="285"/>
      <c r="I1" s="285"/>
      <c r="J1" s="285"/>
      <c r="K1" s="285"/>
      <c r="L1" s="285"/>
      <c r="M1" s="287"/>
      <c r="N1" s="285"/>
      <c r="O1" s="285"/>
      <c r="P1" s="288"/>
      <c r="Q1" s="288"/>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310" t="s">
        <v>153</v>
      </c>
      <c r="EB1" s="310" t="s">
        <v>4056</v>
      </c>
      <c r="EC1" s="285"/>
      <c r="ED1" s="285"/>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285"/>
      <c r="GO1" s="285"/>
      <c r="GP1" s="285"/>
      <c r="GQ1" s="285"/>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row>
    <row r="2" spans="1:263" ht="17.25" hidden="1" customHeight="1" x14ac:dyDescent="0.25">
      <c r="A2" s="285"/>
      <c r="B2" s="285"/>
      <c r="C2" s="286"/>
      <c r="D2" s="285"/>
      <c r="E2" s="285"/>
      <c r="F2" s="285"/>
      <c r="G2" s="285"/>
      <c r="H2" s="285"/>
      <c r="I2" s="285"/>
      <c r="J2" s="285"/>
      <c r="K2" s="285"/>
      <c r="L2" s="285"/>
      <c r="M2" s="287"/>
      <c r="N2" s="289" t="s">
        <v>60</v>
      </c>
      <c r="O2" s="12">
        <f>'1 Setup'!G2</f>
        <v>3</v>
      </c>
      <c r="P2" s="616" t="s">
        <v>3938</v>
      </c>
      <c r="Q2" s="287"/>
      <c r="R2" s="285"/>
      <c r="S2" s="285"/>
      <c r="T2" s="285"/>
      <c r="U2" s="285"/>
      <c r="V2" s="285"/>
      <c r="W2" s="285"/>
      <c r="X2" s="285"/>
      <c r="Y2" s="285"/>
      <c r="Z2" s="285"/>
      <c r="AA2" s="285"/>
      <c r="AB2" s="285"/>
      <c r="AC2" s="285"/>
      <c r="AD2" s="285"/>
      <c r="AE2" s="285"/>
      <c r="AF2" s="285"/>
      <c r="AG2" s="285"/>
      <c r="AH2" s="285"/>
      <c r="AI2" s="285"/>
      <c r="AJ2" s="285"/>
      <c r="AK2" s="285"/>
      <c r="AL2" s="285"/>
      <c r="AM2" s="285"/>
      <c r="AN2" s="285"/>
      <c r="AO2" s="285"/>
      <c r="AP2" s="285"/>
      <c r="AQ2" s="285"/>
      <c r="AR2" s="285"/>
      <c r="AS2" s="285"/>
      <c r="AT2" s="285"/>
      <c r="AU2" s="285"/>
      <c r="AV2" s="285"/>
      <c r="AW2" s="285"/>
      <c r="AX2" s="285"/>
      <c r="AY2" s="285"/>
      <c r="AZ2" s="285"/>
      <c r="BA2" s="285"/>
      <c r="BB2" s="285"/>
      <c r="BC2" s="285"/>
      <c r="BD2" s="285"/>
      <c r="BE2" s="285"/>
      <c r="BF2" s="285"/>
      <c r="BG2" s="285"/>
      <c r="BH2" s="285"/>
      <c r="BI2" s="285"/>
      <c r="BJ2" s="285"/>
      <c r="BK2" s="285"/>
      <c r="BL2" s="285"/>
      <c r="BM2" s="285"/>
      <c r="BN2" s="285"/>
      <c r="BO2" s="285"/>
      <c r="BP2" s="285"/>
      <c r="BQ2" s="285"/>
      <c r="BR2" s="285"/>
      <c r="BS2" s="285"/>
      <c r="BT2" s="285"/>
      <c r="BU2" s="285"/>
      <c r="BV2" s="285"/>
      <c r="BW2" s="285"/>
      <c r="BX2" s="285"/>
      <c r="BY2" s="285"/>
      <c r="BZ2" s="285"/>
      <c r="CA2" s="285"/>
      <c r="CB2" s="285"/>
      <c r="CC2" s="285"/>
      <c r="CD2" s="285"/>
      <c r="CE2" s="285"/>
      <c r="CF2" s="285"/>
      <c r="CG2" s="285"/>
      <c r="CH2" s="285"/>
      <c r="CI2" s="285"/>
      <c r="CJ2" s="285"/>
      <c r="CK2" s="285"/>
      <c r="CL2" s="285"/>
      <c r="CM2" s="285"/>
      <c r="CN2" s="285"/>
      <c r="CO2" s="285"/>
      <c r="CP2" s="285"/>
      <c r="CQ2" s="285"/>
      <c r="CR2" s="285"/>
      <c r="CS2" s="285"/>
      <c r="CT2" s="285"/>
      <c r="CU2" s="285"/>
      <c r="CV2" s="285"/>
      <c r="CW2" s="285"/>
      <c r="CX2" s="285"/>
      <c r="CY2" s="285"/>
      <c r="CZ2" s="285"/>
      <c r="DA2" s="285"/>
      <c r="DB2" s="285"/>
      <c r="DC2" s="285"/>
      <c r="DD2" s="285"/>
      <c r="DE2" s="285"/>
      <c r="DF2" s="285"/>
      <c r="DG2" s="285"/>
      <c r="DH2" s="285"/>
      <c r="DI2" s="285"/>
      <c r="DJ2" s="285"/>
      <c r="DK2" s="285"/>
      <c r="DL2" s="285"/>
      <c r="DM2" s="285"/>
      <c r="DN2" s="285"/>
      <c r="DO2" s="285"/>
      <c r="DP2" s="290" t="s">
        <v>5</v>
      </c>
      <c r="DQ2" s="290"/>
      <c r="DR2" s="285"/>
      <c r="DS2" s="285"/>
      <c r="DT2" s="285"/>
      <c r="DU2" s="285"/>
      <c r="DV2" s="285"/>
      <c r="DW2" s="285"/>
      <c r="DX2" s="285"/>
      <c r="DY2" s="412" t="s">
        <v>792</v>
      </c>
      <c r="DZ2" s="285"/>
      <c r="EA2" s="1003">
        <f>R119*G19</f>
        <v>0</v>
      </c>
      <c r="EB2" s="1003">
        <f>MAX(SUM($EG$10:$JD$10),1)</f>
        <v>1</v>
      </c>
      <c r="EC2" s="285"/>
      <c r="ED2" s="285"/>
      <c r="EE2" s="285"/>
      <c r="EF2" s="308" t="s">
        <v>4047</v>
      </c>
      <c r="EG2" s="1654">
        <f t="shared" ref="EG2:FL2" si="0">$R$119*EG10/$EB$2</f>
        <v>0</v>
      </c>
      <c r="EH2" s="55">
        <f t="shared" si="0"/>
        <v>0</v>
      </c>
      <c r="EI2" s="55">
        <f t="shared" si="0"/>
        <v>0</v>
      </c>
      <c r="EJ2" s="55">
        <f t="shared" si="0"/>
        <v>0</v>
      </c>
      <c r="EK2" s="55">
        <f t="shared" si="0"/>
        <v>0</v>
      </c>
      <c r="EL2" s="55">
        <f t="shared" si="0"/>
        <v>0</v>
      </c>
      <c r="EM2" s="55">
        <f t="shared" si="0"/>
        <v>0</v>
      </c>
      <c r="EN2" s="55">
        <f t="shared" si="0"/>
        <v>0</v>
      </c>
      <c r="EO2" s="55">
        <f t="shared" si="0"/>
        <v>0</v>
      </c>
      <c r="EP2" s="55">
        <f t="shared" si="0"/>
        <v>0</v>
      </c>
      <c r="EQ2" s="55">
        <f t="shared" si="0"/>
        <v>0</v>
      </c>
      <c r="ER2" s="55">
        <f t="shared" si="0"/>
        <v>0</v>
      </c>
      <c r="ES2" s="55">
        <f t="shared" si="0"/>
        <v>0</v>
      </c>
      <c r="ET2" s="55">
        <f t="shared" si="0"/>
        <v>0</v>
      </c>
      <c r="EU2" s="55">
        <f t="shared" si="0"/>
        <v>0</v>
      </c>
      <c r="EV2" s="55">
        <f t="shared" si="0"/>
        <v>0</v>
      </c>
      <c r="EW2" s="55">
        <f t="shared" si="0"/>
        <v>0</v>
      </c>
      <c r="EX2" s="55">
        <f t="shared" si="0"/>
        <v>0</v>
      </c>
      <c r="EY2" s="55">
        <f t="shared" si="0"/>
        <v>0</v>
      </c>
      <c r="EZ2" s="55">
        <f t="shared" si="0"/>
        <v>0</v>
      </c>
      <c r="FA2" s="55">
        <f t="shared" si="0"/>
        <v>0</v>
      </c>
      <c r="FB2" s="55">
        <f t="shared" si="0"/>
        <v>0</v>
      </c>
      <c r="FC2" s="55">
        <f t="shared" si="0"/>
        <v>0</v>
      </c>
      <c r="FD2" s="55">
        <f t="shared" si="0"/>
        <v>0</v>
      </c>
      <c r="FE2" s="55">
        <f t="shared" si="0"/>
        <v>0</v>
      </c>
      <c r="FF2" s="55">
        <f t="shared" si="0"/>
        <v>0</v>
      </c>
      <c r="FG2" s="55">
        <f t="shared" si="0"/>
        <v>0</v>
      </c>
      <c r="FH2" s="55">
        <f t="shared" si="0"/>
        <v>0</v>
      </c>
      <c r="FI2" s="55">
        <f t="shared" si="0"/>
        <v>0</v>
      </c>
      <c r="FJ2" s="55">
        <f t="shared" si="0"/>
        <v>0</v>
      </c>
      <c r="FK2" s="55">
        <f t="shared" si="0"/>
        <v>0</v>
      </c>
      <c r="FL2" s="55">
        <f t="shared" si="0"/>
        <v>0</v>
      </c>
      <c r="FM2" s="55">
        <f t="shared" ref="FM2:GR2" si="1">$R$119*FM10/$EB$2</f>
        <v>0</v>
      </c>
      <c r="FN2" s="55">
        <f t="shared" si="1"/>
        <v>0</v>
      </c>
      <c r="FO2" s="55">
        <f t="shared" si="1"/>
        <v>0</v>
      </c>
      <c r="FP2" s="55">
        <f t="shared" si="1"/>
        <v>0</v>
      </c>
      <c r="FQ2" s="55">
        <f t="shared" si="1"/>
        <v>0</v>
      </c>
      <c r="FR2" s="55">
        <f t="shared" si="1"/>
        <v>0</v>
      </c>
      <c r="FS2" s="55">
        <f t="shared" si="1"/>
        <v>0</v>
      </c>
      <c r="FT2" s="55">
        <f t="shared" si="1"/>
        <v>0</v>
      </c>
      <c r="FU2" s="55">
        <f t="shared" si="1"/>
        <v>0</v>
      </c>
      <c r="FV2" s="55">
        <f t="shared" si="1"/>
        <v>0</v>
      </c>
      <c r="FW2" s="55">
        <f t="shared" si="1"/>
        <v>0</v>
      </c>
      <c r="FX2" s="55">
        <f t="shared" si="1"/>
        <v>0</v>
      </c>
      <c r="FY2" s="55">
        <f t="shared" si="1"/>
        <v>0</v>
      </c>
      <c r="FZ2" s="55">
        <f t="shared" si="1"/>
        <v>0</v>
      </c>
      <c r="GA2" s="55">
        <f t="shared" si="1"/>
        <v>0</v>
      </c>
      <c r="GB2" s="55">
        <f t="shared" si="1"/>
        <v>0</v>
      </c>
      <c r="GC2" s="55">
        <f t="shared" si="1"/>
        <v>0</v>
      </c>
      <c r="GD2" s="55">
        <f t="shared" si="1"/>
        <v>0</v>
      </c>
      <c r="GE2" s="55">
        <f t="shared" si="1"/>
        <v>0</v>
      </c>
      <c r="GF2" s="55">
        <f t="shared" si="1"/>
        <v>0</v>
      </c>
      <c r="GG2" s="55">
        <f t="shared" si="1"/>
        <v>0</v>
      </c>
      <c r="GH2" s="55">
        <f t="shared" si="1"/>
        <v>0</v>
      </c>
      <c r="GI2" s="55">
        <f t="shared" si="1"/>
        <v>0</v>
      </c>
      <c r="GJ2" s="55">
        <f t="shared" si="1"/>
        <v>0</v>
      </c>
      <c r="GK2" s="55">
        <f t="shared" si="1"/>
        <v>0</v>
      </c>
      <c r="GL2" s="55">
        <f t="shared" si="1"/>
        <v>0</v>
      </c>
      <c r="GM2" s="55">
        <f t="shared" si="1"/>
        <v>0</v>
      </c>
      <c r="GN2" s="55">
        <f t="shared" si="1"/>
        <v>0</v>
      </c>
      <c r="GO2" s="55">
        <f t="shared" si="1"/>
        <v>0</v>
      </c>
      <c r="GP2" s="55">
        <f t="shared" si="1"/>
        <v>0</v>
      </c>
      <c r="GQ2" s="55">
        <f t="shared" si="1"/>
        <v>0</v>
      </c>
      <c r="GR2" s="55">
        <f t="shared" si="1"/>
        <v>0</v>
      </c>
      <c r="GS2" s="55">
        <f t="shared" ref="GS2:HX2" si="2">$R$119*GS10/$EB$2</f>
        <v>0</v>
      </c>
      <c r="GT2" s="55">
        <f t="shared" si="2"/>
        <v>0</v>
      </c>
      <c r="GU2" s="55">
        <f t="shared" si="2"/>
        <v>0</v>
      </c>
      <c r="GV2" s="55">
        <f t="shared" si="2"/>
        <v>0</v>
      </c>
      <c r="GW2" s="55">
        <f t="shared" si="2"/>
        <v>0</v>
      </c>
      <c r="GX2" s="55">
        <f t="shared" si="2"/>
        <v>0</v>
      </c>
      <c r="GY2" s="55">
        <f t="shared" si="2"/>
        <v>0</v>
      </c>
      <c r="GZ2" s="55">
        <f t="shared" si="2"/>
        <v>0</v>
      </c>
      <c r="HA2" s="55">
        <f t="shared" si="2"/>
        <v>0</v>
      </c>
      <c r="HB2" s="55">
        <f t="shared" si="2"/>
        <v>0</v>
      </c>
      <c r="HC2" s="55">
        <f t="shared" si="2"/>
        <v>0</v>
      </c>
      <c r="HD2" s="55">
        <f t="shared" si="2"/>
        <v>0</v>
      </c>
      <c r="HE2" s="55">
        <f t="shared" si="2"/>
        <v>0</v>
      </c>
      <c r="HF2" s="55">
        <f t="shared" si="2"/>
        <v>0</v>
      </c>
      <c r="HG2" s="55">
        <f t="shared" si="2"/>
        <v>0</v>
      </c>
      <c r="HH2" s="55">
        <f t="shared" si="2"/>
        <v>0</v>
      </c>
      <c r="HI2" s="55">
        <f t="shared" si="2"/>
        <v>0</v>
      </c>
      <c r="HJ2" s="55">
        <f t="shared" si="2"/>
        <v>0</v>
      </c>
      <c r="HK2" s="55">
        <f t="shared" si="2"/>
        <v>0</v>
      </c>
      <c r="HL2" s="55">
        <f t="shared" si="2"/>
        <v>0</v>
      </c>
      <c r="HM2" s="55">
        <f t="shared" si="2"/>
        <v>0</v>
      </c>
      <c r="HN2" s="55">
        <f t="shared" si="2"/>
        <v>0</v>
      </c>
      <c r="HO2" s="55">
        <f t="shared" si="2"/>
        <v>0</v>
      </c>
      <c r="HP2" s="55">
        <f t="shared" si="2"/>
        <v>0</v>
      </c>
      <c r="HQ2" s="55">
        <f t="shared" si="2"/>
        <v>0</v>
      </c>
      <c r="HR2" s="55">
        <f t="shared" si="2"/>
        <v>0</v>
      </c>
      <c r="HS2" s="55">
        <f t="shared" si="2"/>
        <v>0</v>
      </c>
      <c r="HT2" s="55">
        <f t="shared" si="2"/>
        <v>0</v>
      </c>
      <c r="HU2" s="55">
        <f t="shared" si="2"/>
        <v>0</v>
      </c>
      <c r="HV2" s="55">
        <f t="shared" si="2"/>
        <v>0</v>
      </c>
      <c r="HW2" s="55">
        <f t="shared" si="2"/>
        <v>0</v>
      </c>
      <c r="HX2" s="55">
        <f t="shared" si="2"/>
        <v>0</v>
      </c>
      <c r="HY2" s="55">
        <f t="shared" ref="HY2:JC2" si="3">$R$119*HY10/$EB$2</f>
        <v>0</v>
      </c>
      <c r="HZ2" s="55">
        <f t="shared" si="3"/>
        <v>0</v>
      </c>
      <c r="IA2" s="55">
        <f t="shared" si="3"/>
        <v>0</v>
      </c>
      <c r="IB2" s="55">
        <f t="shared" si="3"/>
        <v>0</v>
      </c>
      <c r="IC2" s="55">
        <f t="shared" si="3"/>
        <v>0</v>
      </c>
      <c r="ID2" s="55">
        <f t="shared" si="3"/>
        <v>0</v>
      </c>
      <c r="IE2" s="55">
        <f t="shared" si="3"/>
        <v>0</v>
      </c>
      <c r="IF2" s="55">
        <f t="shared" si="3"/>
        <v>0</v>
      </c>
      <c r="IG2" s="55">
        <f t="shared" si="3"/>
        <v>0</v>
      </c>
      <c r="IH2" s="55">
        <f t="shared" si="3"/>
        <v>0</v>
      </c>
      <c r="II2" s="55">
        <f t="shared" si="3"/>
        <v>0</v>
      </c>
      <c r="IJ2" s="55">
        <f t="shared" si="3"/>
        <v>0</v>
      </c>
      <c r="IK2" s="55">
        <f t="shared" si="3"/>
        <v>0</v>
      </c>
      <c r="IL2" s="55">
        <f t="shared" si="3"/>
        <v>0</v>
      </c>
      <c r="IM2" s="55">
        <f t="shared" si="3"/>
        <v>0</v>
      </c>
      <c r="IN2" s="55">
        <f t="shared" si="3"/>
        <v>0</v>
      </c>
      <c r="IO2" s="55">
        <f t="shared" si="3"/>
        <v>0</v>
      </c>
      <c r="IP2" s="55">
        <f t="shared" si="3"/>
        <v>0</v>
      </c>
      <c r="IQ2" s="55">
        <f t="shared" si="3"/>
        <v>0</v>
      </c>
      <c r="IR2" s="55">
        <f t="shared" si="3"/>
        <v>0</v>
      </c>
      <c r="IS2" s="55">
        <f t="shared" si="3"/>
        <v>0</v>
      </c>
      <c r="IT2" s="55">
        <f t="shared" si="3"/>
        <v>0</v>
      </c>
      <c r="IU2" s="55">
        <f t="shared" si="3"/>
        <v>0</v>
      </c>
      <c r="IV2" s="55">
        <f t="shared" si="3"/>
        <v>0</v>
      </c>
      <c r="IW2" s="55">
        <f t="shared" si="3"/>
        <v>0</v>
      </c>
      <c r="IX2" s="55">
        <f t="shared" si="3"/>
        <v>0</v>
      </c>
      <c r="IY2" s="55">
        <f t="shared" si="3"/>
        <v>0</v>
      </c>
      <c r="IZ2" s="55">
        <f t="shared" si="3"/>
        <v>0</v>
      </c>
      <c r="JA2" s="55">
        <f t="shared" si="3"/>
        <v>0</v>
      </c>
      <c r="JB2" s="55">
        <f t="shared" si="3"/>
        <v>0</v>
      </c>
      <c r="JC2" s="55">
        <f t="shared" si="3"/>
        <v>0</v>
      </c>
    </row>
    <row r="3" spans="1:263" ht="15.75" hidden="1" customHeight="1" thickBot="1" x14ac:dyDescent="0.3">
      <c r="A3" s="285"/>
      <c r="B3" s="285"/>
      <c r="C3" s="76" t="b">
        <f>CHOOSE('1 Setup'!$L$2,TRUE,TRUE,FALSE)</f>
        <v>0</v>
      </c>
      <c r="D3" s="313"/>
      <c r="E3" s="306" t="s">
        <v>2533</v>
      </c>
      <c r="F3" s="285"/>
      <c r="G3" s="285"/>
      <c r="H3" s="285"/>
      <c r="I3" s="285"/>
      <c r="J3" s="285"/>
      <c r="K3" s="306"/>
      <c r="L3" s="285"/>
      <c r="M3" s="287"/>
      <c r="N3" s="287"/>
      <c r="O3" s="287"/>
      <c r="P3" s="617" t="s">
        <v>4197</v>
      </c>
      <c r="Q3" s="287"/>
      <c r="R3" s="285"/>
      <c r="S3" s="285"/>
      <c r="T3" s="285"/>
      <c r="U3" s="285"/>
      <c r="V3" s="285"/>
      <c r="W3" s="285"/>
      <c r="X3" s="285"/>
      <c r="Y3" s="285"/>
      <c r="Z3" s="285"/>
      <c r="AA3" s="285"/>
      <c r="AB3" s="285"/>
      <c r="AC3" s="285"/>
      <c r="AD3" s="285"/>
      <c r="AE3" s="285"/>
      <c r="AF3" s="285"/>
      <c r="AG3" s="285"/>
      <c r="AH3" s="285"/>
      <c r="AI3" s="285"/>
      <c r="AJ3" s="285"/>
      <c r="AK3" s="285"/>
      <c r="AL3" s="285"/>
      <c r="AM3" s="285"/>
      <c r="AN3" s="285"/>
      <c r="AO3" s="285"/>
      <c r="AP3" s="285"/>
      <c r="AQ3" s="285"/>
      <c r="AR3" s="285"/>
      <c r="AS3" s="285"/>
      <c r="AT3" s="285"/>
      <c r="AU3" s="285"/>
      <c r="AV3" s="285"/>
      <c r="AW3" s="285"/>
      <c r="AX3" s="285"/>
      <c r="AY3" s="285"/>
      <c r="AZ3" s="285"/>
      <c r="BA3" s="285"/>
      <c r="BB3" s="285"/>
      <c r="BC3" s="285"/>
      <c r="BD3" s="285"/>
      <c r="BE3" s="285"/>
      <c r="BF3" s="285"/>
      <c r="BG3" s="285"/>
      <c r="BH3" s="285"/>
      <c r="BI3" s="285"/>
      <c r="BJ3" s="285"/>
      <c r="BK3" s="285"/>
      <c r="BL3" s="285"/>
      <c r="BM3" s="285"/>
      <c r="BN3" s="285"/>
      <c r="BO3" s="285"/>
      <c r="BP3" s="285"/>
      <c r="BQ3" s="285"/>
      <c r="BR3" s="285"/>
      <c r="BS3" s="285"/>
      <c r="BT3" s="285"/>
      <c r="BU3" s="285"/>
      <c r="BV3" s="285"/>
      <c r="BW3" s="285"/>
      <c r="BX3" s="285"/>
      <c r="BY3" s="285"/>
      <c r="BZ3" s="285"/>
      <c r="CA3" s="285"/>
      <c r="CB3" s="285"/>
      <c r="CC3" s="285"/>
      <c r="CD3" s="285"/>
      <c r="CE3" s="285"/>
      <c r="CF3" s="285"/>
      <c r="CG3" s="285"/>
      <c r="CH3" s="285"/>
      <c r="CI3" s="285"/>
      <c r="CJ3" s="285"/>
      <c r="CK3" s="285"/>
      <c r="CL3" s="285"/>
      <c r="CM3" s="285"/>
      <c r="CN3" s="285"/>
      <c r="CO3" s="285"/>
      <c r="CP3" s="285"/>
      <c r="CQ3" s="285"/>
      <c r="CR3" s="285"/>
      <c r="CS3" s="285"/>
      <c r="CT3" s="285"/>
      <c r="CU3" s="285"/>
      <c r="CV3" s="285"/>
      <c r="CW3" s="285"/>
      <c r="CX3" s="285"/>
      <c r="CY3" s="285"/>
      <c r="CZ3" s="285"/>
      <c r="DA3" s="285"/>
      <c r="DB3" s="285"/>
      <c r="DC3" s="285"/>
      <c r="DD3" s="285"/>
      <c r="DE3" s="285"/>
      <c r="DF3" s="285"/>
      <c r="DG3" s="285"/>
      <c r="DH3" s="285"/>
      <c r="DI3" s="285"/>
      <c r="DJ3" s="285"/>
      <c r="DK3" s="285"/>
      <c r="DL3" s="285"/>
      <c r="DM3" s="285"/>
      <c r="DN3" s="285"/>
      <c r="DO3" s="285"/>
      <c r="DP3" s="290" t="s">
        <v>5</v>
      </c>
      <c r="DQ3" s="290"/>
      <c r="DR3" s="285"/>
      <c r="DS3" s="285"/>
      <c r="DT3" s="411" t="str">
        <f>"Enter the "&amp;IF($C$6="F","ETC start ","Current ")&amp;IF(DY3=1,"week","month")&amp;" 
into the box below.  
(Refer to row "&amp;ROW(EG127)&amp;" )"</f>
        <v>Enter the Current month 
into the box below.  
(Refer to row 127 )</v>
      </c>
      <c r="DU3" s="276" t="s">
        <v>5</v>
      </c>
      <c r="DV3" s="285"/>
      <c r="DW3" s="285"/>
      <c r="DX3" s="285"/>
      <c r="DY3" s="984">
        <f>IF($EE$126=$DY$4,1,2)</f>
        <v>2</v>
      </c>
      <c r="DZ3" s="984">
        <f>IF($EE$126=$DY$4,DZ4,DZ5)</f>
        <v>30.4375</v>
      </c>
      <c r="EA3" s="1003">
        <f>(S119+S120+S121)*G19</f>
        <v>0</v>
      </c>
      <c r="EB3" s="1003">
        <f ca="1">MAX(SUM($EG$7:$JD$7),1)</f>
        <v>1</v>
      </c>
      <c r="EC3" s="285"/>
      <c r="ED3" s="285"/>
      <c r="EE3" s="285"/>
      <c r="EF3" s="308" t="s">
        <v>4048</v>
      </c>
      <c r="EG3" s="54">
        <f ca="1">$EA$3*EG7/$EB$3</f>
        <v>0</v>
      </c>
      <c r="EH3" s="55">
        <f t="shared" ref="EH3:GS3" ca="1" si="4">$EA$3*EH7/$EB$3</f>
        <v>0</v>
      </c>
      <c r="EI3" s="55">
        <f t="shared" ca="1" si="4"/>
        <v>0</v>
      </c>
      <c r="EJ3" s="55">
        <f t="shared" ca="1" si="4"/>
        <v>0</v>
      </c>
      <c r="EK3" s="55">
        <f t="shared" ca="1" si="4"/>
        <v>0</v>
      </c>
      <c r="EL3" s="55">
        <f t="shared" ca="1" si="4"/>
        <v>0</v>
      </c>
      <c r="EM3" s="55">
        <f t="shared" ca="1" si="4"/>
        <v>0</v>
      </c>
      <c r="EN3" s="55">
        <f t="shared" ca="1" si="4"/>
        <v>0</v>
      </c>
      <c r="EO3" s="55">
        <f t="shared" ca="1" si="4"/>
        <v>0</v>
      </c>
      <c r="EP3" s="55">
        <f t="shared" ca="1" si="4"/>
        <v>0</v>
      </c>
      <c r="EQ3" s="55">
        <f t="shared" ca="1" si="4"/>
        <v>0</v>
      </c>
      <c r="ER3" s="55">
        <f t="shared" ca="1" si="4"/>
        <v>0</v>
      </c>
      <c r="ES3" s="55">
        <f t="shared" ca="1" si="4"/>
        <v>0</v>
      </c>
      <c r="ET3" s="55">
        <f t="shared" ca="1" si="4"/>
        <v>0</v>
      </c>
      <c r="EU3" s="55">
        <f t="shared" ca="1" si="4"/>
        <v>0</v>
      </c>
      <c r="EV3" s="55">
        <f t="shared" ca="1" si="4"/>
        <v>0</v>
      </c>
      <c r="EW3" s="55">
        <f t="shared" ca="1" si="4"/>
        <v>0</v>
      </c>
      <c r="EX3" s="55">
        <f t="shared" ca="1" si="4"/>
        <v>0</v>
      </c>
      <c r="EY3" s="55">
        <f t="shared" ca="1" si="4"/>
        <v>0</v>
      </c>
      <c r="EZ3" s="55">
        <f t="shared" ca="1" si="4"/>
        <v>0</v>
      </c>
      <c r="FA3" s="55">
        <f t="shared" ca="1" si="4"/>
        <v>0</v>
      </c>
      <c r="FB3" s="55">
        <f t="shared" ca="1" si="4"/>
        <v>0</v>
      </c>
      <c r="FC3" s="55">
        <f t="shared" ca="1" si="4"/>
        <v>0</v>
      </c>
      <c r="FD3" s="55">
        <f t="shared" ca="1" si="4"/>
        <v>0</v>
      </c>
      <c r="FE3" s="55">
        <f t="shared" ca="1" si="4"/>
        <v>0</v>
      </c>
      <c r="FF3" s="55">
        <f t="shared" ca="1" si="4"/>
        <v>0</v>
      </c>
      <c r="FG3" s="55">
        <f t="shared" ca="1" si="4"/>
        <v>0</v>
      </c>
      <c r="FH3" s="55">
        <f t="shared" ca="1" si="4"/>
        <v>0</v>
      </c>
      <c r="FI3" s="55">
        <f t="shared" ca="1" si="4"/>
        <v>0</v>
      </c>
      <c r="FJ3" s="55">
        <f t="shared" ca="1" si="4"/>
        <v>0</v>
      </c>
      <c r="FK3" s="55">
        <f t="shared" ca="1" si="4"/>
        <v>0</v>
      </c>
      <c r="FL3" s="55">
        <f t="shared" ca="1" si="4"/>
        <v>0</v>
      </c>
      <c r="FM3" s="55">
        <f t="shared" ca="1" si="4"/>
        <v>0</v>
      </c>
      <c r="FN3" s="55">
        <f t="shared" ca="1" si="4"/>
        <v>0</v>
      </c>
      <c r="FO3" s="55">
        <f t="shared" ca="1" si="4"/>
        <v>0</v>
      </c>
      <c r="FP3" s="55">
        <f t="shared" ca="1" si="4"/>
        <v>0</v>
      </c>
      <c r="FQ3" s="55">
        <f t="shared" ca="1" si="4"/>
        <v>0</v>
      </c>
      <c r="FR3" s="55">
        <f t="shared" ca="1" si="4"/>
        <v>0</v>
      </c>
      <c r="FS3" s="55">
        <f t="shared" ca="1" si="4"/>
        <v>0</v>
      </c>
      <c r="FT3" s="55">
        <f t="shared" ca="1" si="4"/>
        <v>0</v>
      </c>
      <c r="FU3" s="55">
        <f t="shared" ca="1" si="4"/>
        <v>0</v>
      </c>
      <c r="FV3" s="55">
        <f t="shared" ca="1" si="4"/>
        <v>0</v>
      </c>
      <c r="FW3" s="55">
        <f t="shared" ca="1" si="4"/>
        <v>0</v>
      </c>
      <c r="FX3" s="55">
        <f t="shared" ca="1" si="4"/>
        <v>0</v>
      </c>
      <c r="FY3" s="55">
        <f t="shared" ca="1" si="4"/>
        <v>0</v>
      </c>
      <c r="FZ3" s="55">
        <f t="shared" ca="1" si="4"/>
        <v>0</v>
      </c>
      <c r="GA3" s="55">
        <f t="shared" ca="1" si="4"/>
        <v>0</v>
      </c>
      <c r="GB3" s="55">
        <f t="shared" ca="1" si="4"/>
        <v>0</v>
      </c>
      <c r="GC3" s="55">
        <f t="shared" ca="1" si="4"/>
        <v>0</v>
      </c>
      <c r="GD3" s="55">
        <f t="shared" ca="1" si="4"/>
        <v>0</v>
      </c>
      <c r="GE3" s="55">
        <f t="shared" ca="1" si="4"/>
        <v>0</v>
      </c>
      <c r="GF3" s="55">
        <f t="shared" ca="1" si="4"/>
        <v>0</v>
      </c>
      <c r="GG3" s="55">
        <f t="shared" ca="1" si="4"/>
        <v>0</v>
      </c>
      <c r="GH3" s="55">
        <f t="shared" ca="1" si="4"/>
        <v>0</v>
      </c>
      <c r="GI3" s="55">
        <f t="shared" ca="1" si="4"/>
        <v>0</v>
      </c>
      <c r="GJ3" s="55">
        <f t="shared" ca="1" si="4"/>
        <v>0</v>
      </c>
      <c r="GK3" s="55">
        <f t="shared" ca="1" si="4"/>
        <v>0</v>
      </c>
      <c r="GL3" s="55">
        <f t="shared" ca="1" si="4"/>
        <v>0</v>
      </c>
      <c r="GM3" s="55">
        <f t="shared" ca="1" si="4"/>
        <v>0</v>
      </c>
      <c r="GN3" s="55">
        <f t="shared" ca="1" si="4"/>
        <v>0</v>
      </c>
      <c r="GO3" s="55">
        <f t="shared" ca="1" si="4"/>
        <v>0</v>
      </c>
      <c r="GP3" s="55">
        <f t="shared" ca="1" si="4"/>
        <v>0</v>
      </c>
      <c r="GQ3" s="55">
        <f t="shared" ca="1" si="4"/>
        <v>0</v>
      </c>
      <c r="GR3" s="55">
        <f t="shared" ca="1" si="4"/>
        <v>0</v>
      </c>
      <c r="GS3" s="55">
        <f t="shared" ca="1" si="4"/>
        <v>0</v>
      </c>
      <c r="GT3" s="55">
        <f t="shared" ref="GT3:JC3" ca="1" si="5">$EA$3*GT7/$EB$3</f>
        <v>0</v>
      </c>
      <c r="GU3" s="55">
        <f t="shared" ca="1" si="5"/>
        <v>0</v>
      </c>
      <c r="GV3" s="55">
        <f t="shared" ca="1" si="5"/>
        <v>0</v>
      </c>
      <c r="GW3" s="55">
        <f t="shared" ca="1" si="5"/>
        <v>0</v>
      </c>
      <c r="GX3" s="55">
        <f t="shared" ca="1" si="5"/>
        <v>0</v>
      </c>
      <c r="GY3" s="55">
        <f t="shared" ca="1" si="5"/>
        <v>0</v>
      </c>
      <c r="GZ3" s="55">
        <f t="shared" ca="1" si="5"/>
        <v>0</v>
      </c>
      <c r="HA3" s="55">
        <f t="shared" ca="1" si="5"/>
        <v>0</v>
      </c>
      <c r="HB3" s="55">
        <f t="shared" ca="1" si="5"/>
        <v>0</v>
      </c>
      <c r="HC3" s="55">
        <f t="shared" ca="1" si="5"/>
        <v>0</v>
      </c>
      <c r="HD3" s="55">
        <f t="shared" ca="1" si="5"/>
        <v>0</v>
      </c>
      <c r="HE3" s="55">
        <f t="shared" ca="1" si="5"/>
        <v>0</v>
      </c>
      <c r="HF3" s="55">
        <f t="shared" ca="1" si="5"/>
        <v>0</v>
      </c>
      <c r="HG3" s="55">
        <f t="shared" ca="1" si="5"/>
        <v>0</v>
      </c>
      <c r="HH3" s="55">
        <f t="shared" ca="1" si="5"/>
        <v>0</v>
      </c>
      <c r="HI3" s="55">
        <f t="shared" ca="1" si="5"/>
        <v>0</v>
      </c>
      <c r="HJ3" s="55">
        <f t="shared" ca="1" si="5"/>
        <v>0</v>
      </c>
      <c r="HK3" s="55">
        <f t="shared" ca="1" si="5"/>
        <v>0</v>
      </c>
      <c r="HL3" s="55">
        <f t="shared" ca="1" si="5"/>
        <v>0</v>
      </c>
      <c r="HM3" s="55">
        <f t="shared" ca="1" si="5"/>
        <v>0</v>
      </c>
      <c r="HN3" s="55">
        <f t="shared" ca="1" si="5"/>
        <v>0</v>
      </c>
      <c r="HO3" s="55">
        <f t="shared" ca="1" si="5"/>
        <v>0</v>
      </c>
      <c r="HP3" s="55">
        <f t="shared" ca="1" si="5"/>
        <v>0</v>
      </c>
      <c r="HQ3" s="55">
        <f t="shared" ca="1" si="5"/>
        <v>0</v>
      </c>
      <c r="HR3" s="55">
        <f t="shared" ca="1" si="5"/>
        <v>0</v>
      </c>
      <c r="HS3" s="55">
        <f t="shared" ca="1" si="5"/>
        <v>0</v>
      </c>
      <c r="HT3" s="55">
        <f t="shared" ca="1" si="5"/>
        <v>0</v>
      </c>
      <c r="HU3" s="55">
        <f t="shared" ca="1" si="5"/>
        <v>0</v>
      </c>
      <c r="HV3" s="55">
        <f t="shared" ca="1" si="5"/>
        <v>0</v>
      </c>
      <c r="HW3" s="55">
        <f t="shared" ca="1" si="5"/>
        <v>0</v>
      </c>
      <c r="HX3" s="55">
        <f t="shared" ca="1" si="5"/>
        <v>0</v>
      </c>
      <c r="HY3" s="55">
        <f t="shared" ca="1" si="5"/>
        <v>0</v>
      </c>
      <c r="HZ3" s="55">
        <f t="shared" ca="1" si="5"/>
        <v>0</v>
      </c>
      <c r="IA3" s="55">
        <f t="shared" ca="1" si="5"/>
        <v>0</v>
      </c>
      <c r="IB3" s="55">
        <f t="shared" ca="1" si="5"/>
        <v>0</v>
      </c>
      <c r="IC3" s="55">
        <f t="shared" ca="1" si="5"/>
        <v>0</v>
      </c>
      <c r="ID3" s="55">
        <f t="shared" ca="1" si="5"/>
        <v>0</v>
      </c>
      <c r="IE3" s="55">
        <f t="shared" ca="1" si="5"/>
        <v>0</v>
      </c>
      <c r="IF3" s="55">
        <f t="shared" ca="1" si="5"/>
        <v>0</v>
      </c>
      <c r="IG3" s="55">
        <f t="shared" ca="1" si="5"/>
        <v>0</v>
      </c>
      <c r="IH3" s="55">
        <f t="shared" ca="1" si="5"/>
        <v>0</v>
      </c>
      <c r="II3" s="55">
        <f t="shared" ca="1" si="5"/>
        <v>0</v>
      </c>
      <c r="IJ3" s="55">
        <f t="shared" ca="1" si="5"/>
        <v>0</v>
      </c>
      <c r="IK3" s="55">
        <f t="shared" ca="1" si="5"/>
        <v>0</v>
      </c>
      <c r="IL3" s="55">
        <f t="shared" ca="1" si="5"/>
        <v>0</v>
      </c>
      <c r="IM3" s="55">
        <f t="shared" ca="1" si="5"/>
        <v>0</v>
      </c>
      <c r="IN3" s="55">
        <f t="shared" ca="1" si="5"/>
        <v>0</v>
      </c>
      <c r="IO3" s="55">
        <f t="shared" ca="1" si="5"/>
        <v>0</v>
      </c>
      <c r="IP3" s="55">
        <f t="shared" ca="1" si="5"/>
        <v>0</v>
      </c>
      <c r="IQ3" s="55">
        <f t="shared" ca="1" si="5"/>
        <v>0</v>
      </c>
      <c r="IR3" s="55">
        <f t="shared" ca="1" si="5"/>
        <v>0</v>
      </c>
      <c r="IS3" s="55">
        <f t="shared" ca="1" si="5"/>
        <v>0</v>
      </c>
      <c r="IT3" s="55">
        <f t="shared" ca="1" si="5"/>
        <v>0</v>
      </c>
      <c r="IU3" s="55">
        <f t="shared" ca="1" si="5"/>
        <v>0</v>
      </c>
      <c r="IV3" s="55">
        <f t="shared" ca="1" si="5"/>
        <v>0</v>
      </c>
      <c r="IW3" s="55">
        <f t="shared" ca="1" si="5"/>
        <v>0</v>
      </c>
      <c r="IX3" s="55">
        <f t="shared" ca="1" si="5"/>
        <v>0</v>
      </c>
      <c r="IY3" s="55">
        <f t="shared" ca="1" si="5"/>
        <v>0</v>
      </c>
      <c r="IZ3" s="55">
        <f t="shared" ca="1" si="5"/>
        <v>0</v>
      </c>
      <c r="JA3" s="55">
        <f t="shared" ca="1" si="5"/>
        <v>0</v>
      </c>
      <c r="JB3" s="55">
        <f t="shared" ca="1" si="5"/>
        <v>0</v>
      </c>
      <c r="JC3" s="55">
        <f t="shared" ca="1" si="5"/>
        <v>0</v>
      </c>
    </row>
    <row r="4" spans="1:263" ht="15.75" hidden="1" customHeight="1" x14ac:dyDescent="0.25">
      <c r="A4" s="285"/>
      <c r="B4" s="285"/>
      <c r="C4" s="76" t="b">
        <f>(COUNTIFS(F129:F304,C16)+COUNTIFS(F129:F304,C17)+COUNTIFS(F129:F304,C18)&gt;0)</f>
        <v>0</v>
      </c>
      <c r="D4" s="291"/>
      <c r="E4" s="306" t="s">
        <v>662</v>
      </c>
      <c r="F4" s="285"/>
      <c r="G4" s="285"/>
      <c r="H4" s="285"/>
      <c r="I4" s="285"/>
      <c r="J4" s="285"/>
      <c r="K4" s="306"/>
      <c r="L4" s="285"/>
      <c r="M4" s="287"/>
      <c r="N4" s="287"/>
      <c r="O4" s="287"/>
      <c r="P4" s="618" t="s">
        <v>4196</v>
      </c>
      <c r="Q4" s="287"/>
      <c r="R4" s="285"/>
      <c r="S4" s="285"/>
      <c r="T4" s="285"/>
      <c r="U4" s="285"/>
      <c r="V4" s="285"/>
      <c r="W4" s="285"/>
      <c r="X4" s="285"/>
      <c r="Y4" s="285"/>
      <c r="Z4" s="285"/>
      <c r="AA4" s="285"/>
      <c r="AB4" s="285"/>
      <c r="AC4" s="285"/>
      <c r="AD4" s="285"/>
      <c r="AE4" s="285"/>
      <c r="AF4" s="285"/>
      <c r="AG4" s="285"/>
      <c r="AH4" s="285"/>
      <c r="AI4" s="285"/>
      <c r="AJ4" s="285"/>
      <c r="AK4" s="285"/>
      <c r="AL4" s="285"/>
      <c r="AM4" s="285"/>
      <c r="AN4" s="285"/>
      <c r="AO4" s="285"/>
      <c r="AP4" s="285"/>
      <c r="AQ4" s="285"/>
      <c r="AR4" s="285"/>
      <c r="AS4" s="285"/>
      <c r="AT4" s="285"/>
      <c r="AU4" s="285"/>
      <c r="AV4" s="285"/>
      <c r="AW4" s="285"/>
      <c r="AX4" s="285"/>
      <c r="AY4" s="285"/>
      <c r="AZ4" s="285"/>
      <c r="BA4" s="285"/>
      <c r="BB4" s="285"/>
      <c r="BC4" s="285"/>
      <c r="BD4" s="285"/>
      <c r="BE4" s="285"/>
      <c r="BF4" s="285"/>
      <c r="BG4" s="285"/>
      <c r="BH4" s="285"/>
      <c r="BI4" s="285"/>
      <c r="BJ4" s="285"/>
      <c r="BK4" s="285"/>
      <c r="BL4" s="285"/>
      <c r="BM4" s="285"/>
      <c r="BN4" s="285"/>
      <c r="BO4" s="285"/>
      <c r="BP4" s="285"/>
      <c r="BQ4" s="285"/>
      <c r="BR4" s="285"/>
      <c r="BS4" s="285"/>
      <c r="BT4" s="285"/>
      <c r="BU4" s="285"/>
      <c r="BV4" s="285"/>
      <c r="BW4" s="285"/>
      <c r="BX4" s="285"/>
      <c r="BY4" s="285"/>
      <c r="BZ4" s="285"/>
      <c r="CA4" s="285"/>
      <c r="CB4" s="285"/>
      <c r="CC4" s="285"/>
      <c r="CD4" s="285"/>
      <c r="CE4" s="285"/>
      <c r="CF4" s="285"/>
      <c r="CG4" s="285"/>
      <c r="CH4" s="285"/>
      <c r="CI4" s="285"/>
      <c r="CJ4" s="285"/>
      <c r="CK4" s="285"/>
      <c r="CL4" s="285"/>
      <c r="CM4" s="285"/>
      <c r="CN4" s="285"/>
      <c r="CO4" s="285"/>
      <c r="CP4" s="285"/>
      <c r="CQ4" s="285"/>
      <c r="CR4" s="285"/>
      <c r="CS4" s="285"/>
      <c r="CT4" s="285"/>
      <c r="CU4" s="285"/>
      <c r="CV4" s="285"/>
      <c r="CW4" s="285"/>
      <c r="CX4" s="285"/>
      <c r="CY4" s="285"/>
      <c r="CZ4" s="285"/>
      <c r="DA4" s="285"/>
      <c r="DB4" s="285"/>
      <c r="DC4" s="285"/>
      <c r="DD4" s="285"/>
      <c r="DE4" s="285"/>
      <c r="DF4" s="285"/>
      <c r="DG4" s="285"/>
      <c r="DH4" s="285"/>
      <c r="DI4" s="285"/>
      <c r="DJ4" s="285"/>
      <c r="DK4" s="285"/>
      <c r="DL4" s="285"/>
      <c r="DM4" s="285"/>
      <c r="DN4" s="285"/>
      <c r="DO4" s="285"/>
      <c r="DP4" s="290" t="s">
        <v>5</v>
      </c>
      <c r="DQ4" s="290"/>
      <c r="DR4" s="285"/>
      <c r="DS4" s="285"/>
      <c r="DT4" s="411" t="e">
        <f>"Actuals to Fri "&amp;TEXT(EA13-7,"dd-mmm-yyyy")&amp;"
ETC starts Sat "&amp;TEXT(EA13-6,"dd-mmm-yyyy")</f>
        <v>#NUM!</v>
      </c>
      <c r="DU4" s="276" t="s">
        <v>5</v>
      </c>
      <c r="DV4" s="285"/>
      <c r="DW4" s="285"/>
      <c r="DX4" s="285"/>
      <c r="DY4" s="535" t="s">
        <v>781</v>
      </c>
      <c r="DZ4" s="499">
        <v>7</v>
      </c>
      <c r="EA4" s="1003">
        <f>(DP119+DP120)*G19</f>
        <v>0</v>
      </c>
      <c r="EB4" s="1003">
        <f ca="1">MAX(SUM($EG$5:$JD$5),1)</f>
        <v>1</v>
      </c>
      <c r="EC4" s="285"/>
      <c r="ED4" s="285"/>
      <c r="EE4" s="285"/>
      <c r="EF4" s="308" t="s">
        <v>4049</v>
      </c>
      <c r="EG4" s="54">
        <f ca="1">$EA$4*EG5/$EB$4</f>
        <v>0</v>
      </c>
      <c r="EH4" s="55">
        <f t="shared" ref="EH4:GS4" ca="1" si="6">$EA$4*EH5/$EB$4</f>
        <v>0</v>
      </c>
      <c r="EI4" s="55">
        <f t="shared" ca="1" si="6"/>
        <v>0</v>
      </c>
      <c r="EJ4" s="55">
        <f t="shared" ca="1" si="6"/>
        <v>0</v>
      </c>
      <c r="EK4" s="55">
        <f t="shared" ca="1" si="6"/>
        <v>0</v>
      </c>
      <c r="EL4" s="55">
        <f t="shared" ca="1" si="6"/>
        <v>0</v>
      </c>
      <c r="EM4" s="55">
        <f t="shared" ca="1" si="6"/>
        <v>0</v>
      </c>
      <c r="EN4" s="55">
        <f t="shared" ca="1" si="6"/>
        <v>0</v>
      </c>
      <c r="EO4" s="55">
        <f t="shared" ca="1" si="6"/>
        <v>0</v>
      </c>
      <c r="EP4" s="55">
        <f t="shared" ca="1" si="6"/>
        <v>0</v>
      </c>
      <c r="EQ4" s="55">
        <f t="shared" ca="1" si="6"/>
        <v>0</v>
      </c>
      <c r="ER4" s="55">
        <f t="shared" ca="1" si="6"/>
        <v>0</v>
      </c>
      <c r="ES4" s="55">
        <f t="shared" ca="1" si="6"/>
        <v>0</v>
      </c>
      <c r="ET4" s="55">
        <f t="shared" ca="1" si="6"/>
        <v>0</v>
      </c>
      <c r="EU4" s="55">
        <f t="shared" ca="1" si="6"/>
        <v>0</v>
      </c>
      <c r="EV4" s="55">
        <f t="shared" ca="1" si="6"/>
        <v>0</v>
      </c>
      <c r="EW4" s="55">
        <f t="shared" ca="1" si="6"/>
        <v>0</v>
      </c>
      <c r="EX4" s="55">
        <f t="shared" ca="1" si="6"/>
        <v>0</v>
      </c>
      <c r="EY4" s="55">
        <f t="shared" ca="1" si="6"/>
        <v>0</v>
      </c>
      <c r="EZ4" s="55">
        <f t="shared" ca="1" si="6"/>
        <v>0</v>
      </c>
      <c r="FA4" s="55">
        <f t="shared" ca="1" si="6"/>
        <v>0</v>
      </c>
      <c r="FB4" s="55">
        <f t="shared" ca="1" si="6"/>
        <v>0</v>
      </c>
      <c r="FC4" s="55">
        <f t="shared" ca="1" si="6"/>
        <v>0</v>
      </c>
      <c r="FD4" s="55">
        <f t="shared" ca="1" si="6"/>
        <v>0</v>
      </c>
      <c r="FE4" s="55">
        <f t="shared" ca="1" si="6"/>
        <v>0</v>
      </c>
      <c r="FF4" s="55">
        <f t="shared" ca="1" si="6"/>
        <v>0</v>
      </c>
      <c r="FG4" s="55">
        <f t="shared" ca="1" si="6"/>
        <v>0</v>
      </c>
      <c r="FH4" s="55">
        <f t="shared" ca="1" si="6"/>
        <v>0</v>
      </c>
      <c r="FI4" s="55">
        <f t="shared" ca="1" si="6"/>
        <v>0</v>
      </c>
      <c r="FJ4" s="55">
        <f t="shared" ca="1" si="6"/>
        <v>0</v>
      </c>
      <c r="FK4" s="55">
        <f t="shared" ca="1" si="6"/>
        <v>0</v>
      </c>
      <c r="FL4" s="55">
        <f t="shared" ca="1" si="6"/>
        <v>0</v>
      </c>
      <c r="FM4" s="55">
        <f t="shared" ca="1" si="6"/>
        <v>0</v>
      </c>
      <c r="FN4" s="55">
        <f t="shared" ca="1" si="6"/>
        <v>0</v>
      </c>
      <c r="FO4" s="55">
        <f t="shared" ca="1" si="6"/>
        <v>0</v>
      </c>
      <c r="FP4" s="55">
        <f t="shared" ca="1" si="6"/>
        <v>0</v>
      </c>
      <c r="FQ4" s="55">
        <f t="shared" ca="1" si="6"/>
        <v>0</v>
      </c>
      <c r="FR4" s="55">
        <f t="shared" ca="1" si="6"/>
        <v>0</v>
      </c>
      <c r="FS4" s="55">
        <f t="shared" ca="1" si="6"/>
        <v>0</v>
      </c>
      <c r="FT4" s="55">
        <f t="shared" ca="1" si="6"/>
        <v>0</v>
      </c>
      <c r="FU4" s="55">
        <f t="shared" ca="1" si="6"/>
        <v>0</v>
      </c>
      <c r="FV4" s="55">
        <f t="shared" ca="1" si="6"/>
        <v>0</v>
      </c>
      <c r="FW4" s="55">
        <f t="shared" ca="1" si="6"/>
        <v>0</v>
      </c>
      <c r="FX4" s="55">
        <f t="shared" ca="1" si="6"/>
        <v>0</v>
      </c>
      <c r="FY4" s="55">
        <f t="shared" ca="1" si="6"/>
        <v>0</v>
      </c>
      <c r="FZ4" s="55">
        <f t="shared" ca="1" si="6"/>
        <v>0</v>
      </c>
      <c r="GA4" s="55">
        <f t="shared" ca="1" si="6"/>
        <v>0</v>
      </c>
      <c r="GB4" s="55">
        <f t="shared" ca="1" si="6"/>
        <v>0</v>
      </c>
      <c r="GC4" s="55">
        <f t="shared" ca="1" si="6"/>
        <v>0</v>
      </c>
      <c r="GD4" s="55">
        <f t="shared" ca="1" si="6"/>
        <v>0</v>
      </c>
      <c r="GE4" s="55">
        <f t="shared" ca="1" si="6"/>
        <v>0</v>
      </c>
      <c r="GF4" s="55">
        <f t="shared" ca="1" si="6"/>
        <v>0</v>
      </c>
      <c r="GG4" s="55">
        <f t="shared" ca="1" si="6"/>
        <v>0</v>
      </c>
      <c r="GH4" s="55">
        <f t="shared" ca="1" si="6"/>
        <v>0</v>
      </c>
      <c r="GI4" s="55">
        <f t="shared" ca="1" si="6"/>
        <v>0</v>
      </c>
      <c r="GJ4" s="55">
        <f t="shared" ca="1" si="6"/>
        <v>0</v>
      </c>
      <c r="GK4" s="55">
        <f t="shared" ca="1" si="6"/>
        <v>0</v>
      </c>
      <c r="GL4" s="55">
        <f t="shared" ca="1" si="6"/>
        <v>0</v>
      </c>
      <c r="GM4" s="55">
        <f t="shared" ca="1" si="6"/>
        <v>0</v>
      </c>
      <c r="GN4" s="55">
        <f t="shared" ca="1" si="6"/>
        <v>0</v>
      </c>
      <c r="GO4" s="55">
        <f t="shared" ca="1" si="6"/>
        <v>0</v>
      </c>
      <c r="GP4" s="55">
        <f t="shared" ca="1" si="6"/>
        <v>0</v>
      </c>
      <c r="GQ4" s="55">
        <f t="shared" ca="1" si="6"/>
        <v>0</v>
      </c>
      <c r="GR4" s="55">
        <f t="shared" ca="1" si="6"/>
        <v>0</v>
      </c>
      <c r="GS4" s="55">
        <f t="shared" ca="1" si="6"/>
        <v>0</v>
      </c>
      <c r="GT4" s="55">
        <f t="shared" ref="GT4:JC4" ca="1" si="7">$EA$4*GT5/$EB$4</f>
        <v>0</v>
      </c>
      <c r="GU4" s="55">
        <f t="shared" ca="1" si="7"/>
        <v>0</v>
      </c>
      <c r="GV4" s="55">
        <f t="shared" ca="1" si="7"/>
        <v>0</v>
      </c>
      <c r="GW4" s="55">
        <f t="shared" ca="1" si="7"/>
        <v>0</v>
      </c>
      <c r="GX4" s="55">
        <f t="shared" ca="1" si="7"/>
        <v>0</v>
      </c>
      <c r="GY4" s="55">
        <f t="shared" ca="1" si="7"/>
        <v>0</v>
      </c>
      <c r="GZ4" s="55">
        <f t="shared" ca="1" si="7"/>
        <v>0</v>
      </c>
      <c r="HA4" s="55">
        <f t="shared" ca="1" si="7"/>
        <v>0</v>
      </c>
      <c r="HB4" s="55">
        <f t="shared" ca="1" si="7"/>
        <v>0</v>
      </c>
      <c r="HC4" s="55">
        <f t="shared" ca="1" si="7"/>
        <v>0</v>
      </c>
      <c r="HD4" s="55">
        <f t="shared" ca="1" si="7"/>
        <v>0</v>
      </c>
      <c r="HE4" s="55">
        <f t="shared" ca="1" si="7"/>
        <v>0</v>
      </c>
      <c r="HF4" s="55">
        <f t="shared" ca="1" si="7"/>
        <v>0</v>
      </c>
      <c r="HG4" s="55">
        <f t="shared" ca="1" si="7"/>
        <v>0</v>
      </c>
      <c r="HH4" s="55">
        <f t="shared" ca="1" si="7"/>
        <v>0</v>
      </c>
      <c r="HI4" s="55">
        <f t="shared" ca="1" si="7"/>
        <v>0</v>
      </c>
      <c r="HJ4" s="55">
        <f t="shared" ca="1" si="7"/>
        <v>0</v>
      </c>
      <c r="HK4" s="55">
        <f t="shared" ca="1" si="7"/>
        <v>0</v>
      </c>
      <c r="HL4" s="55">
        <f t="shared" ca="1" si="7"/>
        <v>0</v>
      </c>
      <c r="HM4" s="55">
        <f t="shared" ca="1" si="7"/>
        <v>0</v>
      </c>
      <c r="HN4" s="55">
        <f t="shared" ca="1" si="7"/>
        <v>0</v>
      </c>
      <c r="HO4" s="55">
        <f t="shared" ca="1" si="7"/>
        <v>0</v>
      </c>
      <c r="HP4" s="55">
        <f t="shared" ca="1" si="7"/>
        <v>0</v>
      </c>
      <c r="HQ4" s="55">
        <f t="shared" ca="1" si="7"/>
        <v>0</v>
      </c>
      <c r="HR4" s="55">
        <f t="shared" ca="1" si="7"/>
        <v>0</v>
      </c>
      <c r="HS4" s="55">
        <f t="shared" ca="1" si="7"/>
        <v>0</v>
      </c>
      <c r="HT4" s="55">
        <f t="shared" ca="1" si="7"/>
        <v>0</v>
      </c>
      <c r="HU4" s="55">
        <f t="shared" ca="1" si="7"/>
        <v>0</v>
      </c>
      <c r="HV4" s="55">
        <f t="shared" ca="1" si="7"/>
        <v>0</v>
      </c>
      <c r="HW4" s="55">
        <f t="shared" ca="1" si="7"/>
        <v>0</v>
      </c>
      <c r="HX4" s="55">
        <f t="shared" ca="1" si="7"/>
        <v>0</v>
      </c>
      <c r="HY4" s="55">
        <f t="shared" ca="1" si="7"/>
        <v>0</v>
      </c>
      <c r="HZ4" s="55">
        <f t="shared" ca="1" si="7"/>
        <v>0</v>
      </c>
      <c r="IA4" s="55">
        <f t="shared" ca="1" si="7"/>
        <v>0</v>
      </c>
      <c r="IB4" s="55">
        <f t="shared" ca="1" si="7"/>
        <v>0</v>
      </c>
      <c r="IC4" s="55">
        <f t="shared" ca="1" si="7"/>
        <v>0</v>
      </c>
      <c r="ID4" s="55">
        <f t="shared" ca="1" si="7"/>
        <v>0</v>
      </c>
      <c r="IE4" s="55">
        <f t="shared" ca="1" si="7"/>
        <v>0</v>
      </c>
      <c r="IF4" s="55">
        <f t="shared" ca="1" si="7"/>
        <v>0</v>
      </c>
      <c r="IG4" s="55">
        <f t="shared" ca="1" si="7"/>
        <v>0</v>
      </c>
      <c r="IH4" s="55">
        <f t="shared" ca="1" si="7"/>
        <v>0</v>
      </c>
      <c r="II4" s="55">
        <f t="shared" ca="1" si="7"/>
        <v>0</v>
      </c>
      <c r="IJ4" s="55">
        <f t="shared" ca="1" si="7"/>
        <v>0</v>
      </c>
      <c r="IK4" s="55">
        <f t="shared" ca="1" si="7"/>
        <v>0</v>
      </c>
      <c r="IL4" s="55">
        <f t="shared" ca="1" si="7"/>
        <v>0</v>
      </c>
      <c r="IM4" s="55">
        <f t="shared" ca="1" si="7"/>
        <v>0</v>
      </c>
      <c r="IN4" s="55">
        <f t="shared" ca="1" si="7"/>
        <v>0</v>
      </c>
      <c r="IO4" s="55">
        <f t="shared" ca="1" si="7"/>
        <v>0</v>
      </c>
      <c r="IP4" s="55">
        <f t="shared" ca="1" si="7"/>
        <v>0</v>
      </c>
      <c r="IQ4" s="55">
        <f t="shared" ca="1" si="7"/>
        <v>0</v>
      </c>
      <c r="IR4" s="55">
        <f t="shared" ca="1" si="7"/>
        <v>0</v>
      </c>
      <c r="IS4" s="55">
        <f t="shared" ca="1" si="7"/>
        <v>0</v>
      </c>
      <c r="IT4" s="55">
        <f t="shared" ca="1" si="7"/>
        <v>0</v>
      </c>
      <c r="IU4" s="55">
        <f t="shared" ca="1" si="7"/>
        <v>0</v>
      </c>
      <c r="IV4" s="55">
        <f t="shared" ca="1" si="7"/>
        <v>0</v>
      </c>
      <c r="IW4" s="55">
        <f t="shared" ca="1" si="7"/>
        <v>0</v>
      </c>
      <c r="IX4" s="55">
        <f t="shared" ca="1" si="7"/>
        <v>0</v>
      </c>
      <c r="IY4" s="55">
        <f t="shared" ca="1" si="7"/>
        <v>0</v>
      </c>
      <c r="IZ4" s="55">
        <f t="shared" ca="1" si="7"/>
        <v>0</v>
      </c>
      <c r="JA4" s="55">
        <f t="shared" ca="1" si="7"/>
        <v>0</v>
      </c>
      <c r="JB4" s="55">
        <f t="shared" ca="1" si="7"/>
        <v>0</v>
      </c>
      <c r="JC4" s="55">
        <f t="shared" ca="1" si="7"/>
        <v>0</v>
      </c>
    </row>
    <row r="5" spans="1:263" hidden="1" x14ac:dyDescent="0.25">
      <c r="A5" s="285"/>
      <c r="B5" s="285"/>
      <c r="C5" s="76" t="b">
        <f>(COUNTA(J129:J305)&gt;0)</f>
        <v>0</v>
      </c>
      <c r="D5" s="291"/>
      <c r="E5" s="306" t="s">
        <v>2051</v>
      </c>
      <c r="F5" s="285"/>
      <c r="G5" s="285"/>
      <c r="H5" s="285"/>
      <c r="I5" s="285"/>
      <c r="J5" s="285"/>
      <c r="K5" s="306"/>
      <c r="L5" s="285"/>
      <c r="M5" s="287"/>
      <c r="N5" s="287"/>
      <c r="O5" s="287"/>
      <c r="P5" s="287"/>
      <c r="Q5" s="287"/>
      <c r="R5" s="287"/>
      <c r="S5" s="285"/>
      <c r="T5" s="285"/>
      <c r="U5" s="285"/>
      <c r="V5" s="285"/>
      <c r="W5" s="285"/>
      <c r="X5" s="315"/>
      <c r="Y5" s="285"/>
      <c r="Z5" s="285"/>
      <c r="AA5" s="285"/>
      <c r="AB5" s="285"/>
      <c r="AC5" s="285"/>
      <c r="AD5" s="285"/>
      <c r="AE5" s="285"/>
      <c r="AF5" s="285"/>
      <c r="AG5" s="285"/>
      <c r="AH5" s="285"/>
      <c r="AI5" s="285"/>
      <c r="AJ5" s="285"/>
      <c r="AK5" s="285"/>
      <c r="AL5" s="285"/>
      <c r="AM5" s="285"/>
      <c r="AN5" s="285"/>
      <c r="AO5" s="285"/>
      <c r="AP5" s="285"/>
      <c r="AQ5" s="285"/>
      <c r="AR5" s="285"/>
      <c r="AS5" s="285"/>
      <c r="AT5" s="285"/>
      <c r="AU5" s="285"/>
      <c r="AV5" s="285"/>
      <c r="AW5" s="285"/>
      <c r="AX5" s="285"/>
      <c r="AY5" s="285"/>
      <c r="AZ5" s="285"/>
      <c r="BA5" s="285"/>
      <c r="BB5" s="285"/>
      <c r="BC5" s="285"/>
      <c r="BD5" s="285"/>
      <c r="BE5" s="285"/>
      <c r="BF5" s="285"/>
      <c r="BG5" s="285"/>
      <c r="BH5" s="285"/>
      <c r="BI5" s="285"/>
      <c r="BJ5" s="285"/>
      <c r="BK5" s="285"/>
      <c r="BL5" s="285"/>
      <c r="BM5" s="285"/>
      <c r="BN5" s="285"/>
      <c r="BO5" s="285"/>
      <c r="BP5" s="285"/>
      <c r="BQ5" s="285"/>
      <c r="BR5" s="285"/>
      <c r="BS5" s="285"/>
      <c r="BT5" s="285"/>
      <c r="BU5" s="285"/>
      <c r="BV5" s="285"/>
      <c r="BW5" s="285"/>
      <c r="BX5" s="285"/>
      <c r="BY5" s="285"/>
      <c r="BZ5" s="285"/>
      <c r="CA5" s="285"/>
      <c r="CB5" s="285"/>
      <c r="CC5" s="285"/>
      <c r="CD5" s="285"/>
      <c r="CE5" s="285"/>
      <c r="CF5" s="285"/>
      <c r="CG5" s="285"/>
      <c r="CH5" s="285"/>
      <c r="CI5" s="285"/>
      <c r="CJ5" s="285"/>
      <c r="CK5" s="285"/>
      <c r="CL5" s="285"/>
      <c r="CM5" s="285"/>
      <c r="CN5" s="285"/>
      <c r="CO5" s="285"/>
      <c r="CP5" s="285"/>
      <c r="CQ5" s="285"/>
      <c r="CR5" s="285"/>
      <c r="CS5" s="285"/>
      <c r="CT5" s="285"/>
      <c r="CU5" s="285"/>
      <c r="CV5" s="285"/>
      <c r="CW5" s="285"/>
      <c r="CX5" s="285"/>
      <c r="CY5" s="285"/>
      <c r="CZ5" s="285"/>
      <c r="DA5" s="285"/>
      <c r="DB5" s="285"/>
      <c r="DC5" s="285"/>
      <c r="DD5" s="285"/>
      <c r="DE5" s="285"/>
      <c r="DF5" s="285"/>
      <c r="DG5" s="285"/>
      <c r="DH5" s="285"/>
      <c r="DI5" s="285"/>
      <c r="DJ5" s="285"/>
      <c r="DK5" s="285"/>
      <c r="DL5" s="285"/>
      <c r="DM5" s="285"/>
      <c r="DN5" s="285"/>
      <c r="DO5" s="285"/>
      <c r="DP5" s="290" t="s">
        <v>5</v>
      </c>
      <c r="DQ5" s="290"/>
      <c r="DR5" s="285"/>
      <c r="DS5" s="285"/>
      <c r="DT5" s="411" t="e">
        <f>"Actuals to end "&amp;TEXT(EA13-15,"mmm yyyy")&amp;"
ETC starts "&amp;TEXT(EA13,"mmm yyyy")</f>
        <v>#NUM!</v>
      </c>
      <c r="DU5" s="276" t="s">
        <v>5</v>
      </c>
      <c r="DV5" s="285"/>
      <c r="DW5" s="285"/>
      <c r="DX5" s="285"/>
      <c r="DY5" s="256" t="s">
        <v>782</v>
      </c>
      <c r="DZ5" s="748">
        <f>365.25/12</f>
        <v>30.4375</v>
      </c>
      <c r="EA5" s="285"/>
      <c r="EB5" s="285"/>
      <c r="EC5" s="285"/>
      <c r="ED5" s="285"/>
      <c r="EE5" s="285"/>
      <c r="EF5" s="308" t="s">
        <v>2053</v>
      </c>
      <c r="EG5" s="443">
        <f ca="1">SUMPRODUCT(EG$129:EG$305,$DF$129:$DF$305,$AG$129:$AG$305,OFFSET($CH$129:$CH$305,0,EG123-1))*EG$17</f>
        <v>0</v>
      </c>
      <c r="EH5" s="444">
        <f t="shared" ref="EH5:GS5" ca="1" si="8">SUMPRODUCT(EH$129:EH$305,$DF$129:$DF$305,$AG$129:$AG$305,OFFSET($CH$129:$CH$305,0,EH123-1))*EH$17</f>
        <v>0</v>
      </c>
      <c r="EI5" s="444">
        <f t="shared" ca="1" si="8"/>
        <v>0</v>
      </c>
      <c r="EJ5" s="444">
        <f t="shared" ca="1" si="8"/>
        <v>0</v>
      </c>
      <c r="EK5" s="444">
        <f t="shared" ca="1" si="8"/>
        <v>0</v>
      </c>
      <c r="EL5" s="444">
        <f t="shared" ca="1" si="8"/>
        <v>0</v>
      </c>
      <c r="EM5" s="444">
        <f t="shared" ca="1" si="8"/>
        <v>0</v>
      </c>
      <c r="EN5" s="444">
        <f t="shared" ca="1" si="8"/>
        <v>0</v>
      </c>
      <c r="EO5" s="444">
        <f t="shared" ca="1" si="8"/>
        <v>0</v>
      </c>
      <c r="EP5" s="444">
        <f t="shared" ca="1" si="8"/>
        <v>0</v>
      </c>
      <c r="EQ5" s="444">
        <f t="shared" ca="1" si="8"/>
        <v>0</v>
      </c>
      <c r="ER5" s="444">
        <f t="shared" ca="1" si="8"/>
        <v>0</v>
      </c>
      <c r="ES5" s="444">
        <f t="shared" ca="1" si="8"/>
        <v>0</v>
      </c>
      <c r="ET5" s="444">
        <f t="shared" ca="1" si="8"/>
        <v>0</v>
      </c>
      <c r="EU5" s="444">
        <f t="shared" ca="1" si="8"/>
        <v>0</v>
      </c>
      <c r="EV5" s="444">
        <f t="shared" ca="1" si="8"/>
        <v>0</v>
      </c>
      <c r="EW5" s="444">
        <f t="shared" ca="1" si="8"/>
        <v>0</v>
      </c>
      <c r="EX5" s="444">
        <f t="shared" ca="1" si="8"/>
        <v>0</v>
      </c>
      <c r="EY5" s="444">
        <f t="shared" ca="1" si="8"/>
        <v>0</v>
      </c>
      <c r="EZ5" s="444">
        <f t="shared" ca="1" si="8"/>
        <v>0</v>
      </c>
      <c r="FA5" s="444">
        <f t="shared" ca="1" si="8"/>
        <v>0</v>
      </c>
      <c r="FB5" s="444">
        <f t="shared" ca="1" si="8"/>
        <v>0</v>
      </c>
      <c r="FC5" s="444">
        <f t="shared" ca="1" si="8"/>
        <v>0</v>
      </c>
      <c r="FD5" s="444">
        <f t="shared" ca="1" si="8"/>
        <v>0</v>
      </c>
      <c r="FE5" s="444">
        <f t="shared" ca="1" si="8"/>
        <v>0</v>
      </c>
      <c r="FF5" s="444">
        <f t="shared" ca="1" si="8"/>
        <v>0</v>
      </c>
      <c r="FG5" s="444">
        <f t="shared" ca="1" si="8"/>
        <v>0</v>
      </c>
      <c r="FH5" s="444">
        <f t="shared" ca="1" si="8"/>
        <v>0</v>
      </c>
      <c r="FI5" s="444">
        <f t="shared" ca="1" si="8"/>
        <v>0</v>
      </c>
      <c r="FJ5" s="444">
        <f t="shared" ca="1" si="8"/>
        <v>0</v>
      </c>
      <c r="FK5" s="444">
        <f t="shared" ca="1" si="8"/>
        <v>0</v>
      </c>
      <c r="FL5" s="444">
        <f t="shared" ca="1" si="8"/>
        <v>0</v>
      </c>
      <c r="FM5" s="444">
        <f t="shared" ca="1" si="8"/>
        <v>0</v>
      </c>
      <c r="FN5" s="444">
        <f t="shared" ca="1" si="8"/>
        <v>0</v>
      </c>
      <c r="FO5" s="444">
        <f t="shared" ca="1" si="8"/>
        <v>0</v>
      </c>
      <c r="FP5" s="444">
        <f t="shared" ca="1" si="8"/>
        <v>0</v>
      </c>
      <c r="FQ5" s="444">
        <f t="shared" ca="1" si="8"/>
        <v>0</v>
      </c>
      <c r="FR5" s="444">
        <f t="shared" ca="1" si="8"/>
        <v>0</v>
      </c>
      <c r="FS5" s="444">
        <f t="shared" ca="1" si="8"/>
        <v>0</v>
      </c>
      <c r="FT5" s="444">
        <f t="shared" ca="1" si="8"/>
        <v>0</v>
      </c>
      <c r="FU5" s="444">
        <f t="shared" ca="1" si="8"/>
        <v>0</v>
      </c>
      <c r="FV5" s="444">
        <f t="shared" ca="1" si="8"/>
        <v>0</v>
      </c>
      <c r="FW5" s="444">
        <f t="shared" ca="1" si="8"/>
        <v>0</v>
      </c>
      <c r="FX5" s="444">
        <f t="shared" ca="1" si="8"/>
        <v>0</v>
      </c>
      <c r="FY5" s="444">
        <f t="shared" ca="1" si="8"/>
        <v>0</v>
      </c>
      <c r="FZ5" s="444">
        <f t="shared" ca="1" si="8"/>
        <v>0</v>
      </c>
      <c r="GA5" s="444">
        <f t="shared" ca="1" si="8"/>
        <v>0</v>
      </c>
      <c r="GB5" s="444">
        <f t="shared" ca="1" si="8"/>
        <v>0</v>
      </c>
      <c r="GC5" s="444">
        <f t="shared" ca="1" si="8"/>
        <v>0</v>
      </c>
      <c r="GD5" s="444">
        <f t="shared" ca="1" si="8"/>
        <v>0</v>
      </c>
      <c r="GE5" s="444">
        <f t="shared" ca="1" si="8"/>
        <v>0</v>
      </c>
      <c r="GF5" s="444">
        <f t="shared" ca="1" si="8"/>
        <v>0</v>
      </c>
      <c r="GG5" s="444">
        <f t="shared" ca="1" si="8"/>
        <v>0</v>
      </c>
      <c r="GH5" s="444">
        <f t="shared" ca="1" si="8"/>
        <v>0</v>
      </c>
      <c r="GI5" s="444">
        <f t="shared" ca="1" si="8"/>
        <v>0</v>
      </c>
      <c r="GJ5" s="444">
        <f t="shared" ca="1" si="8"/>
        <v>0</v>
      </c>
      <c r="GK5" s="444">
        <f t="shared" ca="1" si="8"/>
        <v>0</v>
      </c>
      <c r="GL5" s="444">
        <f t="shared" ca="1" si="8"/>
        <v>0</v>
      </c>
      <c r="GM5" s="444">
        <f t="shared" ca="1" si="8"/>
        <v>0</v>
      </c>
      <c r="GN5" s="444">
        <f t="shared" ca="1" si="8"/>
        <v>0</v>
      </c>
      <c r="GO5" s="444">
        <f t="shared" ca="1" si="8"/>
        <v>0</v>
      </c>
      <c r="GP5" s="444">
        <f t="shared" ca="1" si="8"/>
        <v>0</v>
      </c>
      <c r="GQ5" s="444">
        <f t="shared" ca="1" si="8"/>
        <v>0</v>
      </c>
      <c r="GR5" s="444">
        <f t="shared" ca="1" si="8"/>
        <v>0</v>
      </c>
      <c r="GS5" s="444">
        <f t="shared" ca="1" si="8"/>
        <v>0</v>
      </c>
      <c r="GT5" s="444">
        <f t="shared" ref="GT5:JC5" ca="1" si="9">SUMPRODUCT(GT$129:GT$305,$DF$129:$DF$305,$AG$129:$AG$305,OFFSET($CH$129:$CH$305,0,GT123-1))*GT$17</f>
        <v>0</v>
      </c>
      <c r="GU5" s="444">
        <f t="shared" ca="1" si="9"/>
        <v>0</v>
      </c>
      <c r="GV5" s="444">
        <f t="shared" ca="1" si="9"/>
        <v>0</v>
      </c>
      <c r="GW5" s="444">
        <f t="shared" ca="1" si="9"/>
        <v>0</v>
      </c>
      <c r="GX5" s="444">
        <f t="shared" ca="1" si="9"/>
        <v>0</v>
      </c>
      <c r="GY5" s="444">
        <f t="shared" ca="1" si="9"/>
        <v>0</v>
      </c>
      <c r="GZ5" s="444">
        <f t="shared" ca="1" si="9"/>
        <v>0</v>
      </c>
      <c r="HA5" s="444">
        <f t="shared" ca="1" si="9"/>
        <v>0</v>
      </c>
      <c r="HB5" s="444">
        <f t="shared" ca="1" si="9"/>
        <v>0</v>
      </c>
      <c r="HC5" s="444">
        <f t="shared" ca="1" si="9"/>
        <v>0</v>
      </c>
      <c r="HD5" s="444">
        <f t="shared" ca="1" si="9"/>
        <v>0</v>
      </c>
      <c r="HE5" s="444">
        <f t="shared" ca="1" si="9"/>
        <v>0</v>
      </c>
      <c r="HF5" s="444">
        <f t="shared" ca="1" si="9"/>
        <v>0</v>
      </c>
      <c r="HG5" s="444">
        <f t="shared" ca="1" si="9"/>
        <v>0</v>
      </c>
      <c r="HH5" s="444">
        <f t="shared" ca="1" si="9"/>
        <v>0</v>
      </c>
      <c r="HI5" s="444">
        <f t="shared" ca="1" si="9"/>
        <v>0</v>
      </c>
      <c r="HJ5" s="444">
        <f t="shared" ca="1" si="9"/>
        <v>0</v>
      </c>
      <c r="HK5" s="444">
        <f t="shared" ca="1" si="9"/>
        <v>0</v>
      </c>
      <c r="HL5" s="444">
        <f t="shared" ca="1" si="9"/>
        <v>0</v>
      </c>
      <c r="HM5" s="444">
        <f t="shared" ca="1" si="9"/>
        <v>0</v>
      </c>
      <c r="HN5" s="444">
        <f t="shared" ca="1" si="9"/>
        <v>0</v>
      </c>
      <c r="HO5" s="444">
        <f t="shared" ca="1" si="9"/>
        <v>0</v>
      </c>
      <c r="HP5" s="444">
        <f t="shared" ca="1" si="9"/>
        <v>0</v>
      </c>
      <c r="HQ5" s="444">
        <f t="shared" ca="1" si="9"/>
        <v>0</v>
      </c>
      <c r="HR5" s="444">
        <f t="shared" ca="1" si="9"/>
        <v>0</v>
      </c>
      <c r="HS5" s="444">
        <f t="shared" ca="1" si="9"/>
        <v>0</v>
      </c>
      <c r="HT5" s="444">
        <f t="shared" ca="1" si="9"/>
        <v>0</v>
      </c>
      <c r="HU5" s="444">
        <f t="shared" ca="1" si="9"/>
        <v>0</v>
      </c>
      <c r="HV5" s="444">
        <f t="shared" ca="1" si="9"/>
        <v>0</v>
      </c>
      <c r="HW5" s="444">
        <f t="shared" ca="1" si="9"/>
        <v>0</v>
      </c>
      <c r="HX5" s="444">
        <f t="shared" ca="1" si="9"/>
        <v>0</v>
      </c>
      <c r="HY5" s="444">
        <f t="shared" ca="1" si="9"/>
        <v>0</v>
      </c>
      <c r="HZ5" s="444">
        <f t="shared" ca="1" si="9"/>
        <v>0</v>
      </c>
      <c r="IA5" s="444">
        <f t="shared" ca="1" si="9"/>
        <v>0</v>
      </c>
      <c r="IB5" s="444">
        <f t="shared" ca="1" si="9"/>
        <v>0</v>
      </c>
      <c r="IC5" s="444">
        <f t="shared" ca="1" si="9"/>
        <v>0</v>
      </c>
      <c r="ID5" s="444">
        <f t="shared" ca="1" si="9"/>
        <v>0</v>
      </c>
      <c r="IE5" s="444">
        <f t="shared" ca="1" si="9"/>
        <v>0</v>
      </c>
      <c r="IF5" s="444">
        <f t="shared" ca="1" si="9"/>
        <v>0</v>
      </c>
      <c r="IG5" s="444">
        <f t="shared" ca="1" si="9"/>
        <v>0</v>
      </c>
      <c r="IH5" s="444">
        <f t="shared" ca="1" si="9"/>
        <v>0</v>
      </c>
      <c r="II5" s="444">
        <f t="shared" ca="1" si="9"/>
        <v>0</v>
      </c>
      <c r="IJ5" s="444">
        <f t="shared" ca="1" si="9"/>
        <v>0</v>
      </c>
      <c r="IK5" s="444">
        <f t="shared" ca="1" si="9"/>
        <v>0</v>
      </c>
      <c r="IL5" s="444">
        <f t="shared" ca="1" si="9"/>
        <v>0</v>
      </c>
      <c r="IM5" s="444">
        <f t="shared" ca="1" si="9"/>
        <v>0</v>
      </c>
      <c r="IN5" s="444">
        <f t="shared" ca="1" si="9"/>
        <v>0</v>
      </c>
      <c r="IO5" s="444">
        <f t="shared" ca="1" si="9"/>
        <v>0</v>
      </c>
      <c r="IP5" s="444">
        <f t="shared" ca="1" si="9"/>
        <v>0</v>
      </c>
      <c r="IQ5" s="444">
        <f t="shared" ca="1" si="9"/>
        <v>0</v>
      </c>
      <c r="IR5" s="444">
        <f t="shared" ca="1" si="9"/>
        <v>0</v>
      </c>
      <c r="IS5" s="444">
        <f t="shared" ca="1" si="9"/>
        <v>0</v>
      </c>
      <c r="IT5" s="444">
        <f t="shared" ca="1" si="9"/>
        <v>0</v>
      </c>
      <c r="IU5" s="444">
        <f t="shared" ca="1" si="9"/>
        <v>0</v>
      </c>
      <c r="IV5" s="444">
        <f t="shared" ca="1" si="9"/>
        <v>0</v>
      </c>
      <c r="IW5" s="444">
        <f t="shared" ca="1" si="9"/>
        <v>0</v>
      </c>
      <c r="IX5" s="444">
        <f t="shared" ca="1" si="9"/>
        <v>0</v>
      </c>
      <c r="IY5" s="444">
        <f t="shared" ca="1" si="9"/>
        <v>0</v>
      </c>
      <c r="IZ5" s="444">
        <f t="shared" ca="1" si="9"/>
        <v>0</v>
      </c>
      <c r="JA5" s="444">
        <f t="shared" ca="1" si="9"/>
        <v>0</v>
      </c>
      <c r="JB5" s="444">
        <f t="shared" ca="1" si="9"/>
        <v>0</v>
      </c>
      <c r="JC5" s="444">
        <f t="shared" ca="1" si="9"/>
        <v>0</v>
      </c>
    </row>
    <row r="6" spans="1:263" ht="15" hidden="1" customHeight="1" x14ac:dyDescent="0.25">
      <c r="A6" s="285"/>
      <c r="B6" s="285"/>
      <c r="C6" s="296" t="str">
        <f>'1 Setup'!G3</f>
        <v>B</v>
      </c>
      <c r="D6" s="285"/>
      <c r="E6" s="306" t="s">
        <v>60</v>
      </c>
      <c r="F6" s="306"/>
      <c r="G6" s="306"/>
      <c r="H6" s="285"/>
      <c r="I6" s="1774"/>
      <c r="J6" s="285"/>
      <c r="K6" s="306"/>
      <c r="L6" s="285"/>
      <c r="M6" s="287"/>
      <c r="N6" s="287"/>
      <c r="O6" s="287"/>
      <c r="P6" s="287"/>
      <c r="Q6" s="287"/>
      <c r="R6" s="287"/>
      <c r="S6" s="285"/>
      <c r="T6" s="285"/>
      <c r="U6" s="285"/>
      <c r="V6" s="285"/>
      <c r="W6" s="285"/>
      <c r="X6" s="31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90" t="s">
        <v>5</v>
      </c>
      <c r="DQ6" s="290"/>
      <c r="DR6" s="285"/>
      <c r="DS6" s="285"/>
      <c r="DT6" s="285"/>
      <c r="DU6" s="285"/>
      <c r="DV6" s="285"/>
      <c r="DW6" s="285"/>
      <c r="DX6" s="285"/>
      <c r="DY6" s="285"/>
      <c r="DZ6" s="748">
        <f>IF(DY3=1,1,DZ5/DZ4)</f>
        <v>4.3482142857142856</v>
      </c>
      <c r="EA6" s="285"/>
      <c r="EB6" s="285"/>
      <c r="EC6" s="285"/>
      <c r="ED6" s="285"/>
      <c r="EE6" s="285"/>
      <c r="EF6" s="308" t="s">
        <v>2054</v>
      </c>
      <c r="EG6" s="58">
        <f>IF(EG127=0,0,SUMPRODUCT($AA$129:$AA$304,$DF$129:$DF$304,$AG$129:$AG$304,$CS$129:$CS$304,EG129:EG304)*EG17)</f>
        <v>0</v>
      </c>
      <c r="EH6" s="59">
        <f t="shared" ref="EH6:GS6" si="10">IF(EH127=0,0,SUMPRODUCT($AA$129:$AA$304,$DF$129:$DF$304,$AG$129:$AG$304,$CS$129:$CS$304,EH129:EH304)*EH17)</f>
        <v>0</v>
      </c>
      <c r="EI6" s="59">
        <f t="shared" si="10"/>
        <v>0</v>
      </c>
      <c r="EJ6" s="59">
        <f t="shared" si="10"/>
        <v>0</v>
      </c>
      <c r="EK6" s="59">
        <f t="shared" si="10"/>
        <v>0</v>
      </c>
      <c r="EL6" s="59">
        <f t="shared" si="10"/>
        <v>0</v>
      </c>
      <c r="EM6" s="59">
        <f t="shared" si="10"/>
        <v>0</v>
      </c>
      <c r="EN6" s="59">
        <f t="shared" si="10"/>
        <v>0</v>
      </c>
      <c r="EO6" s="59">
        <f t="shared" si="10"/>
        <v>0</v>
      </c>
      <c r="EP6" s="59">
        <f t="shared" si="10"/>
        <v>0</v>
      </c>
      <c r="EQ6" s="59">
        <f t="shared" si="10"/>
        <v>0</v>
      </c>
      <c r="ER6" s="59">
        <f t="shared" si="10"/>
        <v>0</v>
      </c>
      <c r="ES6" s="59">
        <f t="shared" si="10"/>
        <v>0</v>
      </c>
      <c r="ET6" s="59">
        <f t="shared" si="10"/>
        <v>0</v>
      </c>
      <c r="EU6" s="59">
        <f t="shared" si="10"/>
        <v>0</v>
      </c>
      <c r="EV6" s="59">
        <f t="shared" si="10"/>
        <v>0</v>
      </c>
      <c r="EW6" s="59">
        <f t="shared" si="10"/>
        <v>0</v>
      </c>
      <c r="EX6" s="59">
        <f t="shared" si="10"/>
        <v>0</v>
      </c>
      <c r="EY6" s="59">
        <f t="shared" si="10"/>
        <v>0</v>
      </c>
      <c r="EZ6" s="59">
        <f t="shared" si="10"/>
        <v>0</v>
      </c>
      <c r="FA6" s="59">
        <f t="shared" si="10"/>
        <v>0</v>
      </c>
      <c r="FB6" s="59">
        <f t="shared" si="10"/>
        <v>0</v>
      </c>
      <c r="FC6" s="59">
        <f t="shared" si="10"/>
        <v>0</v>
      </c>
      <c r="FD6" s="59">
        <f t="shared" si="10"/>
        <v>0</v>
      </c>
      <c r="FE6" s="59">
        <f t="shared" si="10"/>
        <v>0</v>
      </c>
      <c r="FF6" s="59">
        <f t="shared" si="10"/>
        <v>0</v>
      </c>
      <c r="FG6" s="59">
        <f t="shared" si="10"/>
        <v>0</v>
      </c>
      <c r="FH6" s="59">
        <f t="shared" si="10"/>
        <v>0</v>
      </c>
      <c r="FI6" s="59">
        <f t="shared" si="10"/>
        <v>0</v>
      </c>
      <c r="FJ6" s="59">
        <f t="shared" si="10"/>
        <v>0</v>
      </c>
      <c r="FK6" s="59">
        <f t="shared" si="10"/>
        <v>0</v>
      </c>
      <c r="FL6" s="59">
        <f t="shared" si="10"/>
        <v>0</v>
      </c>
      <c r="FM6" s="59">
        <f t="shared" si="10"/>
        <v>0</v>
      </c>
      <c r="FN6" s="59">
        <f t="shared" si="10"/>
        <v>0</v>
      </c>
      <c r="FO6" s="59">
        <f t="shared" si="10"/>
        <v>0</v>
      </c>
      <c r="FP6" s="59">
        <f t="shared" si="10"/>
        <v>0</v>
      </c>
      <c r="FQ6" s="59">
        <f t="shared" si="10"/>
        <v>0</v>
      </c>
      <c r="FR6" s="59">
        <f t="shared" si="10"/>
        <v>0</v>
      </c>
      <c r="FS6" s="59">
        <f t="shared" si="10"/>
        <v>0</v>
      </c>
      <c r="FT6" s="59">
        <f t="shared" si="10"/>
        <v>0</v>
      </c>
      <c r="FU6" s="59">
        <f t="shared" si="10"/>
        <v>0</v>
      </c>
      <c r="FV6" s="59">
        <f t="shared" si="10"/>
        <v>0</v>
      </c>
      <c r="FW6" s="59">
        <f t="shared" si="10"/>
        <v>0</v>
      </c>
      <c r="FX6" s="59">
        <f t="shared" si="10"/>
        <v>0</v>
      </c>
      <c r="FY6" s="59">
        <f t="shared" si="10"/>
        <v>0</v>
      </c>
      <c r="FZ6" s="59">
        <f t="shared" si="10"/>
        <v>0</v>
      </c>
      <c r="GA6" s="59">
        <f t="shared" si="10"/>
        <v>0</v>
      </c>
      <c r="GB6" s="59">
        <f t="shared" si="10"/>
        <v>0</v>
      </c>
      <c r="GC6" s="59">
        <f t="shared" si="10"/>
        <v>0</v>
      </c>
      <c r="GD6" s="59">
        <f t="shared" si="10"/>
        <v>0</v>
      </c>
      <c r="GE6" s="59">
        <f t="shared" si="10"/>
        <v>0</v>
      </c>
      <c r="GF6" s="59">
        <f t="shared" si="10"/>
        <v>0</v>
      </c>
      <c r="GG6" s="59">
        <f t="shared" si="10"/>
        <v>0</v>
      </c>
      <c r="GH6" s="59">
        <f t="shared" si="10"/>
        <v>0</v>
      </c>
      <c r="GI6" s="59">
        <f t="shared" si="10"/>
        <v>0</v>
      </c>
      <c r="GJ6" s="59">
        <f t="shared" si="10"/>
        <v>0</v>
      </c>
      <c r="GK6" s="59">
        <f t="shared" si="10"/>
        <v>0</v>
      </c>
      <c r="GL6" s="59">
        <f t="shared" si="10"/>
        <v>0</v>
      </c>
      <c r="GM6" s="59">
        <f t="shared" si="10"/>
        <v>0</v>
      </c>
      <c r="GN6" s="59">
        <f t="shared" si="10"/>
        <v>0</v>
      </c>
      <c r="GO6" s="59">
        <f t="shared" si="10"/>
        <v>0</v>
      </c>
      <c r="GP6" s="59">
        <f t="shared" si="10"/>
        <v>0</v>
      </c>
      <c r="GQ6" s="59">
        <f t="shared" si="10"/>
        <v>0</v>
      </c>
      <c r="GR6" s="59">
        <f t="shared" si="10"/>
        <v>0</v>
      </c>
      <c r="GS6" s="59">
        <f t="shared" si="10"/>
        <v>0</v>
      </c>
      <c r="GT6" s="59">
        <f t="shared" ref="GT6:JC6" si="11">IF(GT127=0,0,SUMPRODUCT($AA$129:$AA$304,$DF$129:$DF$304,$AG$129:$AG$304,$CS$129:$CS$304,GT129:GT304)*GT17)</f>
        <v>0</v>
      </c>
      <c r="GU6" s="59">
        <f t="shared" si="11"/>
        <v>0</v>
      </c>
      <c r="GV6" s="59">
        <f t="shared" si="11"/>
        <v>0</v>
      </c>
      <c r="GW6" s="59">
        <f t="shared" si="11"/>
        <v>0</v>
      </c>
      <c r="GX6" s="59">
        <f t="shared" si="11"/>
        <v>0</v>
      </c>
      <c r="GY6" s="59">
        <f t="shared" si="11"/>
        <v>0</v>
      </c>
      <c r="GZ6" s="59">
        <f t="shared" si="11"/>
        <v>0</v>
      </c>
      <c r="HA6" s="59">
        <f t="shared" si="11"/>
        <v>0</v>
      </c>
      <c r="HB6" s="59">
        <f t="shared" si="11"/>
        <v>0</v>
      </c>
      <c r="HC6" s="59">
        <f t="shared" si="11"/>
        <v>0</v>
      </c>
      <c r="HD6" s="59">
        <f t="shared" si="11"/>
        <v>0</v>
      </c>
      <c r="HE6" s="59">
        <f t="shared" si="11"/>
        <v>0</v>
      </c>
      <c r="HF6" s="59">
        <f t="shared" si="11"/>
        <v>0</v>
      </c>
      <c r="HG6" s="59">
        <f t="shared" si="11"/>
        <v>0</v>
      </c>
      <c r="HH6" s="59">
        <f t="shared" si="11"/>
        <v>0</v>
      </c>
      <c r="HI6" s="59">
        <f t="shared" si="11"/>
        <v>0</v>
      </c>
      <c r="HJ6" s="59">
        <f t="shared" si="11"/>
        <v>0</v>
      </c>
      <c r="HK6" s="59">
        <f t="shared" si="11"/>
        <v>0</v>
      </c>
      <c r="HL6" s="59">
        <f t="shared" si="11"/>
        <v>0</v>
      </c>
      <c r="HM6" s="59">
        <f t="shared" si="11"/>
        <v>0</v>
      </c>
      <c r="HN6" s="59">
        <f t="shared" si="11"/>
        <v>0</v>
      </c>
      <c r="HO6" s="59">
        <f t="shared" si="11"/>
        <v>0</v>
      </c>
      <c r="HP6" s="59">
        <f t="shared" si="11"/>
        <v>0</v>
      </c>
      <c r="HQ6" s="59">
        <f t="shared" si="11"/>
        <v>0</v>
      </c>
      <c r="HR6" s="59">
        <f t="shared" si="11"/>
        <v>0</v>
      </c>
      <c r="HS6" s="59">
        <f t="shared" si="11"/>
        <v>0</v>
      </c>
      <c r="HT6" s="59">
        <f t="shared" si="11"/>
        <v>0</v>
      </c>
      <c r="HU6" s="59">
        <f t="shared" si="11"/>
        <v>0</v>
      </c>
      <c r="HV6" s="59">
        <f t="shared" si="11"/>
        <v>0</v>
      </c>
      <c r="HW6" s="59">
        <f t="shared" si="11"/>
        <v>0</v>
      </c>
      <c r="HX6" s="59">
        <f t="shared" si="11"/>
        <v>0</v>
      </c>
      <c r="HY6" s="59">
        <f t="shared" si="11"/>
        <v>0</v>
      </c>
      <c r="HZ6" s="59">
        <f t="shared" si="11"/>
        <v>0</v>
      </c>
      <c r="IA6" s="59">
        <f t="shared" si="11"/>
        <v>0</v>
      </c>
      <c r="IB6" s="59">
        <f t="shared" si="11"/>
        <v>0</v>
      </c>
      <c r="IC6" s="59">
        <f t="shared" si="11"/>
        <v>0</v>
      </c>
      <c r="ID6" s="59">
        <f t="shared" si="11"/>
        <v>0</v>
      </c>
      <c r="IE6" s="59">
        <f t="shared" si="11"/>
        <v>0</v>
      </c>
      <c r="IF6" s="59">
        <f t="shared" si="11"/>
        <v>0</v>
      </c>
      <c r="IG6" s="59">
        <f t="shared" si="11"/>
        <v>0</v>
      </c>
      <c r="IH6" s="59">
        <f t="shared" si="11"/>
        <v>0</v>
      </c>
      <c r="II6" s="59">
        <f t="shared" si="11"/>
        <v>0</v>
      </c>
      <c r="IJ6" s="59">
        <f t="shared" si="11"/>
        <v>0</v>
      </c>
      <c r="IK6" s="59">
        <f t="shared" si="11"/>
        <v>0</v>
      </c>
      <c r="IL6" s="59">
        <f t="shared" si="11"/>
        <v>0</v>
      </c>
      <c r="IM6" s="59">
        <f t="shared" si="11"/>
        <v>0</v>
      </c>
      <c r="IN6" s="59">
        <f t="shared" si="11"/>
        <v>0</v>
      </c>
      <c r="IO6" s="59">
        <f t="shared" si="11"/>
        <v>0</v>
      </c>
      <c r="IP6" s="59">
        <f t="shared" si="11"/>
        <v>0</v>
      </c>
      <c r="IQ6" s="59">
        <f t="shared" si="11"/>
        <v>0</v>
      </c>
      <c r="IR6" s="59">
        <f t="shared" si="11"/>
        <v>0</v>
      </c>
      <c r="IS6" s="59">
        <f t="shared" si="11"/>
        <v>0</v>
      </c>
      <c r="IT6" s="59">
        <f t="shared" si="11"/>
        <v>0</v>
      </c>
      <c r="IU6" s="59">
        <f t="shared" si="11"/>
        <v>0</v>
      </c>
      <c r="IV6" s="59">
        <f t="shared" si="11"/>
        <v>0</v>
      </c>
      <c r="IW6" s="59">
        <f t="shared" si="11"/>
        <v>0</v>
      </c>
      <c r="IX6" s="59">
        <f t="shared" si="11"/>
        <v>0</v>
      </c>
      <c r="IY6" s="59">
        <f t="shared" si="11"/>
        <v>0</v>
      </c>
      <c r="IZ6" s="59">
        <f t="shared" si="11"/>
        <v>0</v>
      </c>
      <c r="JA6" s="59">
        <f t="shared" si="11"/>
        <v>0</v>
      </c>
      <c r="JB6" s="59">
        <f t="shared" si="11"/>
        <v>0</v>
      </c>
      <c r="JC6" s="59">
        <f t="shared" si="11"/>
        <v>0</v>
      </c>
    </row>
    <row r="7" spans="1:263" ht="15" hidden="1" customHeight="1" x14ac:dyDescent="0.25">
      <c r="A7" s="285"/>
      <c r="B7" s="285"/>
      <c r="C7" s="296" t="b">
        <f>IF(AND(C3=TRUE,C4=TRUE),TRUE,FALSE)</f>
        <v>0</v>
      </c>
      <c r="D7" s="285"/>
      <c r="E7" s="306" t="s">
        <v>4305</v>
      </c>
      <c r="F7" s="306"/>
      <c r="G7" s="306"/>
      <c r="H7" s="285"/>
      <c r="I7" s="1774"/>
      <c r="J7" s="285"/>
      <c r="K7" s="306"/>
      <c r="L7" s="285"/>
      <c r="M7" s="287"/>
      <c r="N7" s="287"/>
      <c r="O7" s="287"/>
      <c r="P7" s="287"/>
      <c r="Q7" s="287"/>
      <c r="R7" s="287"/>
      <c r="S7" s="285"/>
      <c r="T7" s="285"/>
      <c r="U7" s="285"/>
      <c r="V7" s="285"/>
      <c r="W7" s="285"/>
      <c r="X7" s="315"/>
      <c r="Y7" s="285"/>
      <c r="Z7" s="285"/>
      <c r="AA7" s="285"/>
      <c r="AB7" s="285"/>
      <c r="AC7" s="285"/>
      <c r="AD7" s="285"/>
      <c r="AE7" s="285"/>
      <c r="AF7" s="285"/>
      <c r="AG7" s="285"/>
      <c r="AH7" s="285"/>
      <c r="AI7" s="285"/>
      <c r="AJ7" s="285"/>
      <c r="AK7" s="285"/>
      <c r="AL7" s="285"/>
      <c r="AM7" s="285"/>
      <c r="AN7" s="285"/>
      <c r="AO7" s="285"/>
      <c r="AP7" s="285"/>
      <c r="AQ7" s="285"/>
      <c r="AR7" s="285"/>
      <c r="AS7" s="285"/>
      <c r="AT7" s="285"/>
      <c r="AU7" s="285"/>
      <c r="AV7" s="285"/>
      <c r="AW7" s="285"/>
      <c r="AX7" s="285"/>
      <c r="AY7" s="285"/>
      <c r="AZ7" s="285"/>
      <c r="BA7" s="285"/>
      <c r="BB7" s="285"/>
      <c r="BC7" s="285"/>
      <c r="BD7" s="285"/>
      <c r="BE7" s="285"/>
      <c r="BF7" s="285"/>
      <c r="BG7" s="285"/>
      <c r="BH7" s="285"/>
      <c r="BI7" s="285"/>
      <c r="BJ7" s="285"/>
      <c r="BK7" s="285"/>
      <c r="BL7" s="285"/>
      <c r="BM7" s="285"/>
      <c r="BN7" s="285"/>
      <c r="BO7" s="285"/>
      <c r="BP7" s="285"/>
      <c r="BQ7" s="285"/>
      <c r="BR7" s="285"/>
      <c r="BS7" s="285"/>
      <c r="BT7" s="285"/>
      <c r="BU7" s="285"/>
      <c r="BV7" s="285"/>
      <c r="BW7" s="285"/>
      <c r="BX7" s="285"/>
      <c r="BY7" s="285"/>
      <c r="BZ7" s="285"/>
      <c r="CA7" s="285"/>
      <c r="CB7" s="285"/>
      <c r="CC7" s="285"/>
      <c r="CD7" s="285"/>
      <c r="CE7" s="285"/>
      <c r="CF7" s="285"/>
      <c r="CG7" s="285"/>
      <c r="CH7" s="285"/>
      <c r="CI7" s="285"/>
      <c r="CJ7" s="285"/>
      <c r="CK7" s="285"/>
      <c r="CL7" s="285"/>
      <c r="CM7" s="285"/>
      <c r="CN7" s="285"/>
      <c r="CO7" s="285"/>
      <c r="CP7" s="285"/>
      <c r="CQ7" s="285"/>
      <c r="CR7" s="285"/>
      <c r="CS7" s="285"/>
      <c r="CT7" s="285"/>
      <c r="CU7" s="285"/>
      <c r="CV7" s="285"/>
      <c r="CW7" s="285"/>
      <c r="CX7" s="285"/>
      <c r="CY7" s="285"/>
      <c r="CZ7" s="285"/>
      <c r="DA7" s="285"/>
      <c r="DB7" s="285"/>
      <c r="DC7" s="285"/>
      <c r="DD7" s="285"/>
      <c r="DE7" s="285"/>
      <c r="DF7" s="285"/>
      <c r="DG7" s="285"/>
      <c r="DH7" s="285"/>
      <c r="DI7" s="285"/>
      <c r="DJ7" s="285"/>
      <c r="DK7" s="285"/>
      <c r="DL7" s="285"/>
      <c r="DM7" s="285"/>
      <c r="DN7" s="285"/>
      <c r="DO7" s="285"/>
      <c r="DP7" s="290"/>
      <c r="DQ7" s="290"/>
      <c r="DR7" s="285"/>
      <c r="DS7" s="285"/>
      <c r="DT7" s="285"/>
      <c r="DU7" s="285"/>
      <c r="DV7" s="285"/>
      <c r="DW7" s="285"/>
      <c r="DX7" s="285"/>
      <c r="DY7" s="285"/>
      <c r="DZ7" s="285"/>
      <c r="EA7" s="285"/>
      <c r="EB7" s="285"/>
      <c r="EC7" s="285"/>
      <c r="ED7" s="285"/>
      <c r="EE7" s="285"/>
      <c r="EF7" s="308" t="s">
        <v>4053</v>
      </c>
      <c r="EG7" s="3265">
        <f ca="1">SUMPRODUCT(EG$129:EG$305,$DF$129:$DF$305,OFFSET($BM$129:$BM$305,0,EG124-1))*EG$17</f>
        <v>0</v>
      </c>
      <c r="EH7" s="3141">
        <f t="shared" ref="EH7:GS7" ca="1" si="12">SUMPRODUCT(EH$129:EH$305,$DF$129:$DF$305,OFFSET($BM$129:$BM$305,0,EH124-1))*EH$17</f>
        <v>0</v>
      </c>
      <c r="EI7" s="3141">
        <f t="shared" ca="1" si="12"/>
        <v>0</v>
      </c>
      <c r="EJ7" s="3141">
        <f t="shared" ca="1" si="12"/>
        <v>0</v>
      </c>
      <c r="EK7" s="3141">
        <f t="shared" ca="1" si="12"/>
        <v>0</v>
      </c>
      <c r="EL7" s="3141">
        <f t="shared" ca="1" si="12"/>
        <v>0</v>
      </c>
      <c r="EM7" s="3141">
        <f t="shared" ca="1" si="12"/>
        <v>0</v>
      </c>
      <c r="EN7" s="3141">
        <f t="shared" ca="1" si="12"/>
        <v>0</v>
      </c>
      <c r="EO7" s="3141">
        <f t="shared" ca="1" si="12"/>
        <v>0</v>
      </c>
      <c r="EP7" s="3141">
        <f t="shared" ca="1" si="12"/>
        <v>0</v>
      </c>
      <c r="EQ7" s="3141">
        <f t="shared" ca="1" si="12"/>
        <v>0</v>
      </c>
      <c r="ER7" s="3141">
        <f t="shared" ca="1" si="12"/>
        <v>0</v>
      </c>
      <c r="ES7" s="3141">
        <f t="shared" ca="1" si="12"/>
        <v>0</v>
      </c>
      <c r="ET7" s="3141">
        <f t="shared" ca="1" si="12"/>
        <v>0</v>
      </c>
      <c r="EU7" s="3141">
        <f t="shared" ca="1" si="12"/>
        <v>0</v>
      </c>
      <c r="EV7" s="3141">
        <f t="shared" ca="1" si="12"/>
        <v>0</v>
      </c>
      <c r="EW7" s="3141">
        <f t="shared" ca="1" si="12"/>
        <v>0</v>
      </c>
      <c r="EX7" s="3141">
        <f t="shared" ca="1" si="12"/>
        <v>0</v>
      </c>
      <c r="EY7" s="3141">
        <f t="shared" ca="1" si="12"/>
        <v>0</v>
      </c>
      <c r="EZ7" s="3141">
        <f t="shared" ca="1" si="12"/>
        <v>0</v>
      </c>
      <c r="FA7" s="3141">
        <f t="shared" ca="1" si="12"/>
        <v>0</v>
      </c>
      <c r="FB7" s="3141">
        <f t="shared" ca="1" si="12"/>
        <v>0</v>
      </c>
      <c r="FC7" s="3141">
        <f t="shared" ca="1" si="12"/>
        <v>0</v>
      </c>
      <c r="FD7" s="3141">
        <f t="shared" ca="1" si="12"/>
        <v>0</v>
      </c>
      <c r="FE7" s="3141">
        <f t="shared" ca="1" si="12"/>
        <v>0</v>
      </c>
      <c r="FF7" s="3141">
        <f t="shared" ca="1" si="12"/>
        <v>0</v>
      </c>
      <c r="FG7" s="3141">
        <f t="shared" ca="1" si="12"/>
        <v>0</v>
      </c>
      <c r="FH7" s="3141">
        <f t="shared" ca="1" si="12"/>
        <v>0</v>
      </c>
      <c r="FI7" s="3141">
        <f t="shared" ca="1" si="12"/>
        <v>0</v>
      </c>
      <c r="FJ7" s="3141">
        <f t="shared" ca="1" si="12"/>
        <v>0</v>
      </c>
      <c r="FK7" s="3141">
        <f t="shared" ca="1" si="12"/>
        <v>0</v>
      </c>
      <c r="FL7" s="3141">
        <f t="shared" ca="1" si="12"/>
        <v>0</v>
      </c>
      <c r="FM7" s="3141">
        <f t="shared" ca="1" si="12"/>
        <v>0</v>
      </c>
      <c r="FN7" s="3141">
        <f t="shared" ca="1" si="12"/>
        <v>0</v>
      </c>
      <c r="FO7" s="3141">
        <f t="shared" ca="1" si="12"/>
        <v>0</v>
      </c>
      <c r="FP7" s="3141">
        <f t="shared" ca="1" si="12"/>
        <v>0</v>
      </c>
      <c r="FQ7" s="3141">
        <f t="shared" ca="1" si="12"/>
        <v>0</v>
      </c>
      <c r="FR7" s="3141">
        <f t="shared" ca="1" si="12"/>
        <v>0</v>
      </c>
      <c r="FS7" s="3141">
        <f t="shared" ca="1" si="12"/>
        <v>0</v>
      </c>
      <c r="FT7" s="3141">
        <f t="shared" ca="1" si="12"/>
        <v>0</v>
      </c>
      <c r="FU7" s="3141">
        <f t="shared" ca="1" si="12"/>
        <v>0</v>
      </c>
      <c r="FV7" s="3141">
        <f t="shared" ca="1" si="12"/>
        <v>0</v>
      </c>
      <c r="FW7" s="3141">
        <f t="shared" ca="1" si="12"/>
        <v>0</v>
      </c>
      <c r="FX7" s="3141">
        <f t="shared" ca="1" si="12"/>
        <v>0</v>
      </c>
      <c r="FY7" s="3141">
        <f t="shared" ca="1" si="12"/>
        <v>0</v>
      </c>
      <c r="FZ7" s="3141">
        <f t="shared" ca="1" si="12"/>
        <v>0</v>
      </c>
      <c r="GA7" s="3141">
        <f t="shared" ca="1" si="12"/>
        <v>0</v>
      </c>
      <c r="GB7" s="3141">
        <f t="shared" ca="1" si="12"/>
        <v>0</v>
      </c>
      <c r="GC7" s="3141">
        <f t="shared" ca="1" si="12"/>
        <v>0</v>
      </c>
      <c r="GD7" s="3141">
        <f t="shared" ca="1" si="12"/>
        <v>0</v>
      </c>
      <c r="GE7" s="3141">
        <f t="shared" ca="1" si="12"/>
        <v>0</v>
      </c>
      <c r="GF7" s="3141">
        <f t="shared" ca="1" si="12"/>
        <v>0</v>
      </c>
      <c r="GG7" s="3141">
        <f t="shared" ca="1" si="12"/>
        <v>0</v>
      </c>
      <c r="GH7" s="3141">
        <f t="shared" ca="1" si="12"/>
        <v>0</v>
      </c>
      <c r="GI7" s="3141">
        <f t="shared" ca="1" si="12"/>
        <v>0</v>
      </c>
      <c r="GJ7" s="3141">
        <f t="shared" ca="1" si="12"/>
        <v>0</v>
      </c>
      <c r="GK7" s="3141">
        <f t="shared" ca="1" si="12"/>
        <v>0</v>
      </c>
      <c r="GL7" s="3141">
        <f t="shared" ca="1" si="12"/>
        <v>0</v>
      </c>
      <c r="GM7" s="3141">
        <f t="shared" ca="1" si="12"/>
        <v>0</v>
      </c>
      <c r="GN7" s="3141">
        <f t="shared" ca="1" si="12"/>
        <v>0</v>
      </c>
      <c r="GO7" s="3141">
        <f t="shared" ca="1" si="12"/>
        <v>0</v>
      </c>
      <c r="GP7" s="3141">
        <f t="shared" ca="1" si="12"/>
        <v>0</v>
      </c>
      <c r="GQ7" s="3141">
        <f t="shared" ca="1" si="12"/>
        <v>0</v>
      </c>
      <c r="GR7" s="3141">
        <f t="shared" ca="1" si="12"/>
        <v>0</v>
      </c>
      <c r="GS7" s="3141">
        <f t="shared" ca="1" si="12"/>
        <v>0</v>
      </c>
      <c r="GT7" s="3141">
        <f t="shared" ref="GT7:JC7" ca="1" si="13">SUMPRODUCT(GT$129:GT$305,$DF$129:$DF$305,OFFSET($BM$129:$BM$305,0,GT124-1))*GT$17</f>
        <v>0</v>
      </c>
      <c r="GU7" s="3141">
        <f t="shared" ca="1" si="13"/>
        <v>0</v>
      </c>
      <c r="GV7" s="3141">
        <f t="shared" ca="1" si="13"/>
        <v>0</v>
      </c>
      <c r="GW7" s="3141">
        <f t="shared" ca="1" si="13"/>
        <v>0</v>
      </c>
      <c r="GX7" s="3141">
        <f t="shared" ca="1" si="13"/>
        <v>0</v>
      </c>
      <c r="GY7" s="3141">
        <f t="shared" ca="1" si="13"/>
        <v>0</v>
      </c>
      <c r="GZ7" s="3141">
        <f t="shared" ca="1" si="13"/>
        <v>0</v>
      </c>
      <c r="HA7" s="3141">
        <f t="shared" ca="1" si="13"/>
        <v>0</v>
      </c>
      <c r="HB7" s="3141">
        <f t="shared" ca="1" si="13"/>
        <v>0</v>
      </c>
      <c r="HC7" s="3141">
        <f t="shared" ca="1" si="13"/>
        <v>0</v>
      </c>
      <c r="HD7" s="3141">
        <f t="shared" ca="1" si="13"/>
        <v>0</v>
      </c>
      <c r="HE7" s="3141">
        <f t="shared" ca="1" si="13"/>
        <v>0</v>
      </c>
      <c r="HF7" s="3141">
        <f t="shared" ca="1" si="13"/>
        <v>0</v>
      </c>
      <c r="HG7" s="3141">
        <f t="shared" ca="1" si="13"/>
        <v>0</v>
      </c>
      <c r="HH7" s="3141">
        <f t="shared" ca="1" si="13"/>
        <v>0</v>
      </c>
      <c r="HI7" s="3141">
        <f t="shared" ca="1" si="13"/>
        <v>0</v>
      </c>
      <c r="HJ7" s="3141">
        <f t="shared" ca="1" si="13"/>
        <v>0</v>
      </c>
      <c r="HK7" s="3141">
        <f t="shared" ca="1" si="13"/>
        <v>0</v>
      </c>
      <c r="HL7" s="3141">
        <f t="shared" ca="1" si="13"/>
        <v>0</v>
      </c>
      <c r="HM7" s="3141">
        <f t="shared" ca="1" si="13"/>
        <v>0</v>
      </c>
      <c r="HN7" s="3141">
        <f t="shared" ca="1" si="13"/>
        <v>0</v>
      </c>
      <c r="HO7" s="3141">
        <f t="shared" ca="1" si="13"/>
        <v>0</v>
      </c>
      <c r="HP7" s="3141">
        <f t="shared" ca="1" si="13"/>
        <v>0</v>
      </c>
      <c r="HQ7" s="3141">
        <f t="shared" ca="1" si="13"/>
        <v>0</v>
      </c>
      <c r="HR7" s="3141">
        <f t="shared" ca="1" si="13"/>
        <v>0</v>
      </c>
      <c r="HS7" s="3141">
        <f t="shared" ca="1" si="13"/>
        <v>0</v>
      </c>
      <c r="HT7" s="3141">
        <f t="shared" ca="1" si="13"/>
        <v>0</v>
      </c>
      <c r="HU7" s="3141">
        <f t="shared" ca="1" si="13"/>
        <v>0</v>
      </c>
      <c r="HV7" s="3141">
        <f t="shared" ca="1" si="13"/>
        <v>0</v>
      </c>
      <c r="HW7" s="3141">
        <f t="shared" ca="1" si="13"/>
        <v>0</v>
      </c>
      <c r="HX7" s="3141">
        <f t="shared" ca="1" si="13"/>
        <v>0</v>
      </c>
      <c r="HY7" s="3141">
        <f t="shared" ca="1" si="13"/>
        <v>0</v>
      </c>
      <c r="HZ7" s="3141">
        <f t="shared" ca="1" si="13"/>
        <v>0</v>
      </c>
      <c r="IA7" s="3141">
        <f t="shared" ca="1" si="13"/>
        <v>0</v>
      </c>
      <c r="IB7" s="3141">
        <f t="shared" ca="1" si="13"/>
        <v>0</v>
      </c>
      <c r="IC7" s="3141">
        <f t="shared" ca="1" si="13"/>
        <v>0</v>
      </c>
      <c r="ID7" s="3141">
        <f t="shared" ca="1" si="13"/>
        <v>0</v>
      </c>
      <c r="IE7" s="3141">
        <f t="shared" ca="1" si="13"/>
        <v>0</v>
      </c>
      <c r="IF7" s="3141">
        <f t="shared" ca="1" si="13"/>
        <v>0</v>
      </c>
      <c r="IG7" s="3141">
        <f t="shared" ca="1" si="13"/>
        <v>0</v>
      </c>
      <c r="IH7" s="3141">
        <f t="shared" ca="1" si="13"/>
        <v>0</v>
      </c>
      <c r="II7" s="3141">
        <f t="shared" ca="1" si="13"/>
        <v>0</v>
      </c>
      <c r="IJ7" s="3141">
        <f t="shared" ca="1" si="13"/>
        <v>0</v>
      </c>
      <c r="IK7" s="3141">
        <f t="shared" ca="1" si="13"/>
        <v>0</v>
      </c>
      <c r="IL7" s="3141">
        <f t="shared" ca="1" si="13"/>
        <v>0</v>
      </c>
      <c r="IM7" s="3141">
        <f t="shared" ca="1" si="13"/>
        <v>0</v>
      </c>
      <c r="IN7" s="3141">
        <f t="shared" ca="1" si="13"/>
        <v>0</v>
      </c>
      <c r="IO7" s="3141">
        <f t="shared" ca="1" si="13"/>
        <v>0</v>
      </c>
      <c r="IP7" s="3141">
        <f t="shared" ca="1" si="13"/>
        <v>0</v>
      </c>
      <c r="IQ7" s="3141">
        <f t="shared" ca="1" si="13"/>
        <v>0</v>
      </c>
      <c r="IR7" s="3141">
        <f t="shared" ca="1" si="13"/>
        <v>0</v>
      </c>
      <c r="IS7" s="3141">
        <f t="shared" ca="1" si="13"/>
        <v>0</v>
      </c>
      <c r="IT7" s="3141">
        <f t="shared" ca="1" si="13"/>
        <v>0</v>
      </c>
      <c r="IU7" s="3141">
        <f t="shared" ca="1" si="13"/>
        <v>0</v>
      </c>
      <c r="IV7" s="3141">
        <f t="shared" ca="1" si="13"/>
        <v>0</v>
      </c>
      <c r="IW7" s="3141">
        <f t="shared" ca="1" si="13"/>
        <v>0</v>
      </c>
      <c r="IX7" s="3141">
        <f t="shared" ca="1" si="13"/>
        <v>0</v>
      </c>
      <c r="IY7" s="3141">
        <f t="shared" ca="1" si="13"/>
        <v>0</v>
      </c>
      <c r="IZ7" s="3141">
        <f t="shared" ca="1" si="13"/>
        <v>0</v>
      </c>
      <c r="JA7" s="3141">
        <f t="shared" ca="1" si="13"/>
        <v>0</v>
      </c>
      <c r="JB7" s="3141">
        <f t="shared" ca="1" si="13"/>
        <v>0</v>
      </c>
      <c r="JC7" s="3141">
        <f t="shared" ca="1" si="13"/>
        <v>0</v>
      </c>
    </row>
    <row r="8" spans="1:263" ht="15" hidden="1" customHeight="1" x14ac:dyDescent="0.25">
      <c r="A8" s="285"/>
      <c r="B8" s="285"/>
      <c r="C8" s="285"/>
      <c r="D8" s="285"/>
      <c r="E8" s="306"/>
      <c r="F8" s="306"/>
      <c r="G8" s="306"/>
      <c r="H8" s="285"/>
      <c r="I8" s="1774"/>
      <c r="J8" s="285"/>
      <c r="K8" s="306"/>
      <c r="L8" s="285"/>
      <c r="M8" s="287"/>
      <c r="N8" s="287"/>
      <c r="O8" s="287"/>
      <c r="P8" s="287"/>
      <c r="Q8" s="287"/>
      <c r="R8" s="287"/>
      <c r="S8" s="285"/>
      <c r="T8" s="285"/>
      <c r="U8" s="285"/>
      <c r="V8" s="285"/>
      <c r="W8" s="285"/>
      <c r="X8" s="315"/>
      <c r="Y8" s="285"/>
      <c r="Z8" s="285"/>
      <c r="AA8" s="285"/>
      <c r="AB8" s="285"/>
      <c r="AC8" s="285"/>
      <c r="AD8" s="285"/>
      <c r="AE8" s="285"/>
      <c r="AF8" s="285"/>
      <c r="AG8" s="285"/>
      <c r="AH8" s="285"/>
      <c r="AI8" s="285"/>
      <c r="AJ8" s="285"/>
      <c r="AK8" s="285"/>
      <c r="AL8" s="285"/>
      <c r="AM8" s="285"/>
      <c r="AN8" s="285"/>
      <c r="AO8" s="285"/>
      <c r="AP8" s="285"/>
      <c r="AQ8" s="285"/>
      <c r="AR8" s="285"/>
      <c r="AS8" s="285"/>
      <c r="AT8" s="285"/>
      <c r="AU8" s="285"/>
      <c r="AV8" s="285"/>
      <c r="AW8" s="285"/>
      <c r="AX8" s="285"/>
      <c r="AY8" s="285"/>
      <c r="AZ8" s="285"/>
      <c r="BA8" s="285"/>
      <c r="BB8" s="285"/>
      <c r="BC8" s="285"/>
      <c r="BD8" s="285"/>
      <c r="BE8" s="285"/>
      <c r="BF8" s="285"/>
      <c r="BG8" s="285"/>
      <c r="BH8" s="285"/>
      <c r="BI8" s="285"/>
      <c r="BJ8" s="285"/>
      <c r="BK8" s="285"/>
      <c r="BL8" s="285"/>
      <c r="BM8" s="285"/>
      <c r="BN8" s="285"/>
      <c r="BO8" s="285"/>
      <c r="BP8" s="285"/>
      <c r="BQ8" s="285"/>
      <c r="BR8" s="285"/>
      <c r="BS8" s="285"/>
      <c r="BT8" s="285"/>
      <c r="BU8" s="285"/>
      <c r="BV8" s="285"/>
      <c r="BW8" s="285"/>
      <c r="BX8" s="285"/>
      <c r="BY8" s="285"/>
      <c r="BZ8" s="285"/>
      <c r="CA8" s="285"/>
      <c r="CB8" s="285"/>
      <c r="CC8" s="285"/>
      <c r="CD8" s="285"/>
      <c r="CE8" s="285"/>
      <c r="CF8" s="285"/>
      <c r="CG8" s="285"/>
      <c r="CH8" s="285"/>
      <c r="CI8" s="285"/>
      <c r="CJ8" s="285"/>
      <c r="CK8" s="285"/>
      <c r="CL8" s="285"/>
      <c r="CM8" s="285"/>
      <c r="CN8" s="285"/>
      <c r="CO8" s="285"/>
      <c r="CP8" s="285"/>
      <c r="CQ8" s="285"/>
      <c r="CR8" s="285"/>
      <c r="CS8" s="285"/>
      <c r="CT8" s="285"/>
      <c r="CU8" s="285"/>
      <c r="CV8" s="285"/>
      <c r="CW8" s="285"/>
      <c r="CX8" s="285"/>
      <c r="CY8" s="285"/>
      <c r="CZ8" s="285"/>
      <c r="DA8" s="285"/>
      <c r="DB8" s="285"/>
      <c r="DC8" s="285"/>
      <c r="DD8" s="285"/>
      <c r="DE8" s="285"/>
      <c r="DF8" s="285"/>
      <c r="DG8" s="285"/>
      <c r="DH8" s="285"/>
      <c r="DI8" s="285"/>
      <c r="DJ8" s="285"/>
      <c r="DK8" s="285"/>
      <c r="DL8" s="285"/>
      <c r="DM8" s="285"/>
      <c r="DN8" s="285"/>
      <c r="DO8" s="285"/>
      <c r="DP8" s="290"/>
      <c r="DQ8" s="290"/>
      <c r="DR8" s="285"/>
      <c r="DS8" s="285"/>
      <c r="DT8" s="285"/>
      <c r="DU8" s="285"/>
      <c r="DV8" s="285"/>
      <c r="DW8" s="285"/>
      <c r="DX8" s="285"/>
      <c r="DY8" s="285"/>
      <c r="DZ8" s="285"/>
      <c r="EA8" s="285"/>
      <c r="EB8" s="285"/>
      <c r="EC8" s="285"/>
      <c r="ED8" s="285"/>
      <c r="EE8" s="285"/>
      <c r="EF8" s="308" t="s">
        <v>4054</v>
      </c>
      <c r="EG8" s="58">
        <f>IF(EG127=0,0,SUMPRODUCT($AB$129:$AB$304,$DF$129:$DF$304,$CS$129:$CS$304,EG129:EG304)*EG17)</f>
        <v>0</v>
      </c>
      <c r="EH8" s="3141">
        <f t="shared" ref="EH8:GS8" si="14">IF(EH127=0,0,SUMPRODUCT($AB$129:$AB$304,$DF$129:$DF$304,$CS$129:$CS$304,EH129:EH304)*EH17)</f>
        <v>0</v>
      </c>
      <c r="EI8" s="3141">
        <f t="shared" si="14"/>
        <v>0</v>
      </c>
      <c r="EJ8" s="3141">
        <f t="shared" si="14"/>
        <v>0</v>
      </c>
      <c r="EK8" s="3141">
        <f t="shared" si="14"/>
        <v>0</v>
      </c>
      <c r="EL8" s="3141">
        <f t="shared" si="14"/>
        <v>0</v>
      </c>
      <c r="EM8" s="3141">
        <f t="shared" si="14"/>
        <v>0</v>
      </c>
      <c r="EN8" s="3141">
        <f t="shared" si="14"/>
        <v>0</v>
      </c>
      <c r="EO8" s="3141">
        <f t="shared" si="14"/>
        <v>0</v>
      </c>
      <c r="EP8" s="3141">
        <f t="shared" si="14"/>
        <v>0</v>
      </c>
      <c r="EQ8" s="3141">
        <f t="shared" si="14"/>
        <v>0</v>
      </c>
      <c r="ER8" s="3141">
        <f t="shared" si="14"/>
        <v>0</v>
      </c>
      <c r="ES8" s="3141">
        <f t="shared" si="14"/>
        <v>0</v>
      </c>
      <c r="ET8" s="3141">
        <f t="shared" si="14"/>
        <v>0</v>
      </c>
      <c r="EU8" s="3141">
        <f t="shared" si="14"/>
        <v>0</v>
      </c>
      <c r="EV8" s="3141">
        <f t="shared" si="14"/>
        <v>0</v>
      </c>
      <c r="EW8" s="3141">
        <f t="shared" si="14"/>
        <v>0</v>
      </c>
      <c r="EX8" s="3141">
        <f t="shared" si="14"/>
        <v>0</v>
      </c>
      <c r="EY8" s="3141">
        <f t="shared" si="14"/>
        <v>0</v>
      </c>
      <c r="EZ8" s="3141">
        <f t="shared" si="14"/>
        <v>0</v>
      </c>
      <c r="FA8" s="3141">
        <f t="shared" si="14"/>
        <v>0</v>
      </c>
      <c r="FB8" s="3141">
        <f t="shared" si="14"/>
        <v>0</v>
      </c>
      <c r="FC8" s="3141">
        <f t="shared" si="14"/>
        <v>0</v>
      </c>
      <c r="FD8" s="3141">
        <f t="shared" si="14"/>
        <v>0</v>
      </c>
      <c r="FE8" s="3141">
        <f t="shared" si="14"/>
        <v>0</v>
      </c>
      <c r="FF8" s="3141">
        <f t="shared" si="14"/>
        <v>0</v>
      </c>
      <c r="FG8" s="3141">
        <f t="shared" si="14"/>
        <v>0</v>
      </c>
      <c r="FH8" s="3141">
        <f t="shared" si="14"/>
        <v>0</v>
      </c>
      <c r="FI8" s="3141">
        <f t="shared" si="14"/>
        <v>0</v>
      </c>
      <c r="FJ8" s="3141">
        <f t="shared" si="14"/>
        <v>0</v>
      </c>
      <c r="FK8" s="3141">
        <f t="shared" si="14"/>
        <v>0</v>
      </c>
      <c r="FL8" s="3141">
        <f t="shared" si="14"/>
        <v>0</v>
      </c>
      <c r="FM8" s="3141">
        <f t="shared" si="14"/>
        <v>0</v>
      </c>
      <c r="FN8" s="3141">
        <f t="shared" si="14"/>
        <v>0</v>
      </c>
      <c r="FO8" s="3141">
        <f t="shared" si="14"/>
        <v>0</v>
      </c>
      <c r="FP8" s="3141">
        <f t="shared" si="14"/>
        <v>0</v>
      </c>
      <c r="FQ8" s="3141">
        <f t="shared" si="14"/>
        <v>0</v>
      </c>
      <c r="FR8" s="3141">
        <f t="shared" si="14"/>
        <v>0</v>
      </c>
      <c r="FS8" s="3141">
        <f t="shared" si="14"/>
        <v>0</v>
      </c>
      <c r="FT8" s="3141">
        <f t="shared" si="14"/>
        <v>0</v>
      </c>
      <c r="FU8" s="3141">
        <f t="shared" si="14"/>
        <v>0</v>
      </c>
      <c r="FV8" s="3141">
        <f t="shared" si="14"/>
        <v>0</v>
      </c>
      <c r="FW8" s="3141">
        <f t="shared" si="14"/>
        <v>0</v>
      </c>
      <c r="FX8" s="3141">
        <f t="shared" si="14"/>
        <v>0</v>
      </c>
      <c r="FY8" s="3141">
        <f t="shared" si="14"/>
        <v>0</v>
      </c>
      <c r="FZ8" s="3141">
        <f t="shared" si="14"/>
        <v>0</v>
      </c>
      <c r="GA8" s="3141">
        <f t="shared" si="14"/>
        <v>0</v>
      </c>
      <c r="GB8" s="3141">
        <f t="shared" si="14"/>
        <v>0</v>
      </c>
      <c r="GC8" s="3141">
        <f t="shared" si="14"/>
        <v>0</v>
      </c>
      <c r="GD8" s="3141">
        <f t="shared" si="14"/>
        <v>0</v>
      </c>
      <c r="GE8" s="3141">
        <f t="shared" si="14"/>
        <v>0</v>
      </c>
      <c r="GF8" s="3141">
        <f t="shared" si="14"/>
        <v>0</v>
      </c>
      <c r="GG8" s="3141">
        <f t="shared" si="14"/>
        <v>0</v>
      </c>
      <c r="GH8" s="3141">
        <f t="shared" si="14"/>
        <v>0</v>
      </c>
      <c r="GI8" s="3141">
        <f t="shared" si="14"/>
        <v>0</v>
      </c>
      <c r="GJ8" s="3141">
        <f t="shared" si="14"/>
        <v>0</v>
      </c>
      <c r="GK8" s="3141">
        <f t="shared" si="14"/>
        <v>0</v>
      </c>
      <c r="GL8" s="3141">
        <f t="shared" si="14"/>
        <v>0</v>
      </c>
      <c r="GM8" s="3141">
        <f t="shared" si="14"/>
        <v>0</v>
      </c>
      <c r="GN8" s="3141">
        <f t="shared" si="14"/>
        <v>0</v>
      </c>
      <c r="GO8" s="3141">
        <f t="shared" si="14"/>
        <v>0</v>
      </c>
      <c r="GP8" s="3141">
        <f t="shared" si="14"/>
        <v>0</v>
      </c>
      <c r="GQ8" s="3141">
        <f t="shared" si="14"/>
        <v>0</v>
      </c>
      <c r="GR8" s="3141">
        <f t="shared" si="14"/>
        <v>0</v>
      </c>
      <c r="GS8" s="3141">
        <f t="shared" si="14"/>
        <v>0</v>
      </c>
      <c r="GT8" s="3141">
        <f t="shared" ref="GT8:JC8" si="15">IF(GT127=0,0,SUMPRODUCT($AB$129:$AB$304,$DF$129:$DF$304,$CS$129:$CS$304,GT129:GT304)*GT17)</f>
        <v>0</v>
      </c>
      <c r="GU8" s="3141">
        <f t="shared" si="15"/>
        <v>0</v>
      </c>
      <c r="GV8" s="3141">
        <f t="shared" si="15"/>
        <v>0</v>
      </c>
      <c r="GW8" s="3141">
        <f t="shared" si="15"/>
        <v>0</v>
      </c>
      <c r="GX8" s="3141">
        <f t="shared" si="15"/>
        <v>0</v>
      </c>
      <c r="GY8" s="3141">
        <f t="shared" si="15"/>
        <v>0</v>
      </c>
      <c r="GZ8" s="3141">
        <f t="shared" si="15"/>
        <v>0</v>
      </c>
      <c r="HA8" s="3141">
        <f t="shared" si="15"/>
        <v>0</v>
      </c>
      <c r="HB8" s="3141">
        <f t="shared" si="15"/>
        <v>0</v>
      </c>
      <c r="HC8" s="3141">
        <f t="shared" si="15"/>
        <v>0</v>
      </c>
      <c r="HD8" s="3141">
        <f t="shared" si="15"/>
        <v>0</v>
      </c>
      <c r="HE8" s="3141">
        <f t="shared" si="15"/>
        <v>0</v>
      </c>
      <c r="HF8" s="3141">
        <f t="shared" si="15"/>
        <v>0</v>
      </c>
      <c r="HG8" s="3141">
        <f t="shared" si="15"/>
        <v>0</v>
      </c>
      <c r="HH8" s="3141">
        <f t="shared" si="15"/>
        <v>0</v>
      </c>
      <c r="HI8" s="3141">
        <f t="shared" si="15"/>
        <v>0</v>
      </c>
      <c r="HJ8" s="3141">
        <f t="shared" si="15"/>
        <v>0</v>
      </c>
      <c r="HK8" s="3141">
        <f t="shared" si="15"/>
        <v>0</v>
      </c>
      <c r="HL8" s="3141">
        <f t="shared" si="15"/>
        <v>0</v>
      </c>
      <c r="HM8" s="3141">
        <f t="shared" si="15"/>
        <v>0</v>
      </c>
      <c r="HN8" s="3141">
        <f t="shared" si="15"/>
        <v>0</v>
      </c>
      <c r="HO8" s="3141">
        <f t="shared" si="15"/>
        <v>0</v>
      </c>
      <c r="HP8" s="3141">
        <f t="shared" si="15"/>
        <v>0</v>
      </c>
      <c r="HQ8" s="3141">
        <f t="shared" si="15"/>
        <v>0</v>
      </c>
      <c r="HR8" s="3141">
        <f t="shared" si="15"/>
        <v>0</v>
      </c>
      <c r="HS8" s="3141">
        <f t="shared" si="15"/>
        <v>0</v>
      </c>
      <c r="HT8" s="3141">
        <f t="shared" si="15"/>
        <v>0</v>
      </c>
      <c r="HU8" s="3141">
        <f t="shared" si="15"/>
        <v>0</v>
      </c>
      <c r="HV8" s="3141">
        <f t="shared" si="15"/>
        <v>0</v>
      </c>
      <c r="HW8" s="3141">
        <f t="shared" si="15"/>
        <v>0</v>
      </c>
      <c r="HX8" s="3141">
        <f t="shared" si="15"/>
        <v>0</v>
      </c>
      <c r="HY8" s="3141">
        <f t="shared" si="15"/>
        <v>0</v>
      </c>
      <c r="HZ8" s="3141">
        <f t="shared" si="15"/>
        <v>0</v>
      </c>
      <c r="IA8" s="3141">
        <f t="shared" si="15"/>
        <v>0</v>
      </c>
      <c r="IB8" s="3141">
        <f t="shared" si="15"/>
        <v>0</v>
      </c>
      <c r="IC8" s="3141">
        <f t="shared" si="15"/>
        <v>0</v>
      </c>
      <c r="ID8" s="3141">
        <f t="shared" si="15"/>
        <v>0</v>
      </c>
      <c r="IE8" s="3141">
        <f t="shared" si="15"/>
        <v>0</v>
      </c>
      <c r="IF8" s="3141">
        <f t="shared" si="15"/>
        <v>0</v>
      </c>
      <c r="IG8" s="3141">
        <f t="shared" si="15"/>
        <v>0</v>
      </c>
      <c r="IH8" s="3141">
        <f t="shared" si="15"/>
        <v>0</v>
      </c>
      <c r="II8" s="3141">
        <f t="shared" si="15"/>
        <v>0</v>
      </c>
      <c r="IJ8" s="3141">
        <f t="shared" si="15"/>
        <v>0</v>
      </c>
      <c r="IK8" s="3141">
        <f t="shared" si="15"/>
        <v>0</v>
      </c>
      <c r="IL8" s="3141">
        <f t="shared" si="15"/>
        <v>0</v>
      </c>
      <c r="IM8" s="3141">
        <f t="shared" si="15"/>
        <v>0</v>
      </c>
      <c r="IN8" s="3141">
        <f t="shared" si="15"/>
        <v>0</v>
      </c>
      <c r="IO8" s="3141">
        <f t="shared" si="15"/>
        <v>0</v>
      </c>
      <c r="IP8" s="3141">
        <f t="shared" si="15"/>
        <v>0</v>
      </c>
      <c r="IQ8" s="3141">
        <f t="shared" si="15"/>
        <v>0</v>
      </c>
      <c r="IR8" s="3141">
        <f t="shared" si="15"/>
        <v>0</v>
      </c>
      <c r="IS8" s="3141">
        <f t="shared" si="15"/>
        <v>0</v>
      </c>
      <c r="IT8" s="3141">
        <f t="shared" si="15"/>
        <v>0</v>
      </c>
      <c r="IU8" s="3141">
        <f t="shared" si="15"/>
        <v>0</v>
      </c>
      <c r="IV8" s="3141">
        <f t="shared" si="15"/>
        <v>0</v>
      </c>
      <c r="IW8" s="3141">
        <f t="shared" si="15"/>
        <v>0</v>
      </c>
      <c r="IX8" s="3141">
        <f t="shared" si="15"/>
        <v>0</v>
      </c>
      <c r="IY8" s="3141">
        <f t="shared" si="15"/>
        <v>0</v>
      </c>
      <c r="IZ8" s="3141">
        <f t="shared" si="15"/>
        <v>0</v>
      </c>
      <c r="JA8" s="3141">
        <f t="shared" si="15"/>
        <v>0</v>
      </c>
      <c r="JB8" s="3141">
        <f t="shared" si="15"/>
        <v>0</v>
      </c>
      <c r="JC8" s="3141">
        <f t="shared" si="15"/>
        <v>0</v>
      </c>
    </row>
    <row r="9" spans="1:263" ht="15" hidden="1" customHeight="1" x14ac:dyDescent="0.25">
      <c r="A9" s="285"/>
      <c r="B9" s="285"/>
      <c r="C9" s="285"/>
      <c r="D9" s="285"/>
      <c r="E9" s="306"/>
      <c r="F9" s="306"/>
      <c r="G9" s="306"/>
      <c r="H9" s="285"/>
      <c r="I9" s="1774"/>
      <c r="J9" s="285"/>
      <c r="K9" s="306"/>
      <c r="L9" s="285"/>
      <c r="M9" s="287"/>
      <c r="N9" s="287"/>
      <c r="O9" s="287"/>
      <c r="P9" s="287"/>
      <c r="Q9" s="287"/>
      <c r="R9" s="287"/>
      <c r="S9" s="285"/>
      <c r="T9" s="285"/>
      <c r="U9" s="285"/>
      <c r="V9" s="285"/>
      <c r="W9" s="285"/>
      <c r="X9" s="31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285"/>
      <c r="BA9" s="285"/>
      <c r="BB9" s="285"/>
      <c r="BC9" s="285"/>
      <c r="BD9" s="285"/>
      <c r="BE9" s="285"/>
      <c r="BF9" s="285"/>
      <c r="BG9" s="285"/>
      <c r="BH9" s="285"/>
      <c r="BI9" s="285"/>
      <c r="BJ9" s="285"/>
      <c r="BK9" s="285"/>
      <c r="BL9" s="285"/>
      <c r="BM9" s="285"/>
      <c r="BN9" s="285"/>
      <c r="BO9" s="285"/>
      <c r="BP9" s="285"/>
      <c r="BQ9" s="285"/>
      <c r="BR9" s="285"/>
      <c r="BS9" s="285"/>
      <c r="BT9" s="285"/>
      <c r="BU9" s="285"/>
      <c r="BV9" s="285"/>
      <c r="BW9" s="285"/>
      <c r="BX9" s="285"/>
      <c r="BY9" s="285"/>
      <c r="BZ9" s="285"/>
      <c r="CA9" s="285"/>
      <c r="CB9" s="285"/>
      <c r="CC9" s="285"/>
      <c r="CD9" s="285"/>
      <c r="CE9" s="285"/>
      <c r="CF9" s="285"/>
      <c r="CG9" s="285"/>
      <c r="CH9" s="285"/>
      <c r="CI9" s="285"/>
      <c r="CJ9" s="285"/>
      <c r="CK9" s="285"/>
      <c r="CL9" s="285"/>
      <c r="CM9" s="285"/>
      <c r="CN9" s="285"/>
      <c r="CO9" s="285"/>
      <c r="CP9" s="285"/>
      <c r="CQ9" s="285"/>
      <c r="CR9" s="285"/>
      <c r="CS9" s="285"/>
      <c r="CT9" s="285"/>
      <c r="CU9" s="285"/>
      <c r="CV9" s="285"/>
      <c r="CW9" s="285"/>
      <c r="CX9" s="285"/>
      <c r="CY9" s="285"/>
      <c r="CZ9" s="285"/>
      <c r="DA9" s="285"/>
      <c r="DB9" s="285"/>
      <c r="DC9" s="285"/>
      <c r="DD9" s="285"/>
      <c r="DE9" s="285"/>
      <c r="DF9" s="285"/>
      <c r="DG9" s="285"/>
      <c r="DH9" s="285"/>
      <c r="DI9" s="285"/>
      <c r="DJ9" s="285"/>
      <c r="DK9" s="285"/>
      <c r="DL9" s="285"/>
      <c r="DM9" s="285"/>
      <c r="DN9" s="285"/>
      <c r="DO9" s="285"/>
      <c r="DP9" s="290"/>
      <c r="DQ9" s="290"/>
      <c r="DR9" s="285"/>
      <c r="DS9" s="285"/>
      <c r="DT9" s="285"/>
      <c r="DU9" s="285"/>
      <c r="DV9" s="285"/>
      <c r="DW9" s="285"/>
      <c r="DX9" s="285"/>
      <c r="DY9" s="285"/>
      <c r="DZ9" s="285"/>
      <c r="EA9" s="285"/>
      <c r="EB9" s="285"/>
      <c r="EC9" s="285"/>
      <c r="ED9" s="285"/>
      <c r="EE9" s="285"/>
      <c r="EF9" s="308" t="s">
        <v>1607</v>
      </c>
      <c r="EG9" s="443">
        <f>SUMPRODUCT(EG$129:EG$305,$AG$129:$AG$305,$DF$129:$DF$305,$AP$129:$AP$305)*EG$17</f>
        <v>0</v>
      </c>
      <c r="EH9" s="3141">
        <f t="shared" ref="EH9:GS9" si="16">SUMPRODUCT(EH$129:EH$305,$AG$129:$AG$305,$DF$129:$DF$305,$AP$129:$AP$305)*EH$17</f>
        <v>0</v>
      </c>
      <c r="EI9" s="3141">
        <f t="shared" si="16"/>
        <v>0</v>
      </c>
      <c r="EJ9" s="3141">
        <f t="shared" si="16"/>
        <v>0</v>
      </c>
      <c r="EK9" s="3141">
        <f t="shared" si="16"/>
        <v>0</v>
      </c>
      <c r="EL9" s="3141">
        <f t="shared" si="16"/>
        <v>0</v>
      </c>
      <c r="EM9" s="3141">
        <f t="shared" si="16"/>
        <v>0</v>
      </c>
      <c r="EN9" s="3141">
        <f t="shared" si="16"/>
        <v>0</v>
      </c>
      <c r="EO9" s="3141">
        <f t="shared" si="16"/>
        <v>0</v>
      </c>
      <c r="EP9" s="3141">
        <f t="shared" si="16"/>
        <v>0</v>
      </c>
      <c r="EQ9" s="3141">
        <f t="shared" si="16"/>
        <v>0</v>
      </c>
      <c r="ER9" s="3141">
        <f t="shared" si="16"/>
        <v>0</v>
      </c>
      <c r="ES9" s="3141">
        <f t="shared" si="16"/>
        <v>0</v>
      </c>
      <c r="ET9" s="3141">
        <f t="shared" si="16"/>
        <v>0</v>
      </c>
      <c r="EU9" s="3141">
        <f t="shared" si="16"/>
        <v>0</v>
      </c>
      <c r="EV9" s="3141">
        <f t="shared" si="16"/>
        <v>0</v>
      </c>
      <c r="EW9" s="3141">
        <f t="shared" si="16"/>
        <v>0</v>
      </c>
      <c r="EX9" s="3141">
        <f t="shared" si="16"/>
        <v>0</v>
      </c>
      <c r="EY9" s="3141">
        <f t="shared" si="16"/>
        <v>0</v>
      </c>
      <c r="EZ9" s="3141">
        <f t="shared" si="16"/>
        <v>0</v>
      </c>
      <c r="FA9" s="3141">
        <f t="shared" si="16"/>
        <v>0</v>
      </c>
      <c r="FB9" s="3141">
        <f t="shared" si="16"/>
        <v>0</v>
      </c>
      <c r="FC9" s="3141">
        <f t="shared" si="16"/>
        <v>0</v>
      </c>
      <c r="FD9" s="3141">
        <f t="shared" si="16"/>
        <v>0</v>
      </c>
      <c r="FE9" s="3141">
        <f t="shared" si="16"/>
        <v>0</v>
      </c>
      <c r="FF9" s="3141">
        <f t="shared" si="16"/>
        <v>0</v>
      </c>
      <c r="FG9" s="3141">
        <f t="shared" si="16"/>
        <v>0</v>
      </c>
      <c r="FH9" s="3141">
        <f t="shared" si="16"/>
        <v>0</v>
      </c>
      <c r="FI9" s="3141">
        <f t="shared" si="16"/>
        <v>0</v>
      </c>
      <c r="FJ9" s="3141">
        <f t="shared" si="16"/>
        <v>0</v>
      </c>
      <c r="FK9" s="3141">
        <f t="shared" si="16"/>
        <v>0</v>
      </c>
      <c r="FL9" s="3141">
        <f t="shared" si="16"/>
        <v>0</v>
      </c>
      <c r="FM9" s="3141">
        <f t="shared" si="16"/>
        <v>0</v>
      </c>
      <c r="FN9" s="3141">
        <f t="shared" si="16"/>
        <v>0</v>
      </c>
      <c r="FO9" s="3141">
        <f t="shared" si="16"/>
        <v>0</v>
      </c>
      <c r="FP9" s="3141">
        <f t="shared" si="16"/>
        <v>0</v>
      </c>
      <c r="FQ9" s="3141">
        <f t="shared" si="16"/>
        <v>0</v>
      </c>
      <c r="FR9" s="3141">
        <f t="shared" si="16"/>
        <v>0</v>
      </c>
      <c r="FS9" s="3141">
        <f t="shared" si="16"/>
        <v>0</v>
      </c>
      <c r="FT9" s="3141">
        <f t="shared" si="16"/>
        <v>0</v>
      </c>
      <c r="FU9" s="3141">
        <f t="shared" si="16"/>
        <v>0</v>
      </c>
      <c r="FV9" s="3141">
        <f t="shared" si="16"/>
        <v>0</v>
      </c>
      <c r="FW9" s="3141">
        <f t="shared" si="16"/>
        <v>0</v>
      </c>
      <c r="FX9" s="3141">
        <f t="shared" si="16"/>
        <v>0</v>
      </c>
      <c r="FY9" s="3141">
        <f t="shared" si="16"/>
        <v>0</v>
      </c>
      <c r="FZ9" s="3141">
        <f t="shared" si="16"/>
        <v>0</v>
      </c>
      <c r="GA9" s="3141">
        <f t="shared" si="16"/>
        <v>0</v>
      </c>
      <c r="GB9" s="3141">
        <f t="shared" si="16"/>
        <v>0</v>
      </c>
      <c r="GC9" s="3141">
        <f t="shared" si="16"/>
        <v>0</v>
      </c>
      <c r="GD9" s="3141">
        <f t="shared" si="16"/>
        <v>0</v>
      </c>
      <c r="GE9" s="3141">
        <f t="shared" si="16"/>
        <v>0</v>
      </c>
      <c r="GF9" s="3141">
        <f t="shared" si="16"/>
        <v>0</v>
      </c>
      <c r="GG9" s="3141">
        <f t="shared" si="16"/>
        <v>0</v>
      </c>
      <c r="GH9" s="3141">
        <f t="shared" si="16"/>
        <v>0</v>
      </c>
      <c r="GI9" s="3141">
        <f t="shared" si="16"/>
        <v>0</v>
      </c>
      <c r="GJ9" s="3141">
        <f t="shared" si="16"/>
        <v>0</v>
      </c>
      <c r="GK9" s="3141">
        <f t="shared" si="16"/>
        <v>0</v>
      </c>
      <c r="GL9" s="3141">
        <f t="shared" si="16"/>
        <v>0</v>
      </c>
      <c r="GM9" s="3141">
        <f t="shared" si="16"/>
        <v>0</v>
      </c>
      <c r="GN9" s="3141">
        <f t="shared" si="16"/>
        <v>0</v>
      </c>
      <c r="GO9" s="3141">
        <f t="shared" si="16"/>
        <v>0</v>
      </c>
      <c r="GP9" s="3141">
        <f t="shared" si="16"/>
        <v>0</v>
      </c>
      <c r="GQ9" s="3141">
        <f t="shared" si="16"/>
        <v>0</v>
      </c>
      <c r="GR9" s="3141">
        <f t="shared" si="16"/>
        <v>0</v>
      </c>
      <c r="GS9" s="3141">
        <f t="shared" si="16"/>
        <v>0</v>
      </c>
      <c r="GT9" s="3141">
        <f t="shared" ref="GT9:JC9" si="17">SUMPRODUCT(GT$129:GT$305,$AG$129:$AG$305,$DF$129:$DF$305,$AP$129:$AP$305)*GT$17</f>
        <v>0</v>
      </c>
      <c r="GU9" s="3141">
        <f t="shared" si="17"/>
        <v>0</v>
      </c>
      <c r="GV9" s="3141">
        <f t="shared" si="17"/>
        <v>0</v>
      </c>
      <c r="GW9" s="3141">
        <f t="shared" si="17"/>
        <v>0</v>
      </c>
      <c r="GX9" s="3141">
        <f t="shared" si="17"/>
        <v>0</v>
      </c>
      <c r="GY9" s="3141">
        <f t="shared" si="17"/>
        <v>0</v>
      </c>
      <c r="GZ9" s="3141">
        <f t="shared" si="17"/>
        <v>0</v>
      </c>
      <c r="HA9" s="3141">
        <f t="shared" si="17"/>
        <v>0</v>
      </c>
      <c r="HB9" s="3141">
        <f t="shared" si="17"/>
        <v>0</v>
      </c>
      <c r="HC9" s="3141">
        <f t="shared" si="17"/>
        <v>0</v>
      </c>
      <c r="HD9" s="3141">
        <f t="shared" si="17"/>
        <v>0</v>
      </c>
      <c r="HE9" s="3141">
        <f t="shared" si="17"/>
        <v>0</v>
      </c>
      <c r="HF9" s="3141">
        <f t="shared" si="17"/>
        <v>0</v>
      </c>
      <c r="HG9" s="3141">
        <f t="shared" si="17"/>
        <v>0</v>
      </c>
      <c r="HH9" s="3141">
        <f t="shared" si="17"/>
        <v>0</v>
      </c>
      <c r="HI9" s="3141">
        <f t="shared" si="17"/>
        <v>0</v>
      </c>
      <c r="HJ9" s="3141">
        <f t="shared" si="17"/>
        <v>0</v>
      </c>
      <c r="HK9" s="3141">
        <f t="shared" si="17"/>
        <v>0</v>
      </c>
      <c r="HL9" s="3141">
        <f t="shared" si="17"/>
        <v>0</v>
      </c>
      <c r="HM9" s="3141">
        <f t="shared" si="17"/>
        <v>0</v>
      </c>
      <c r="HN9" s="3141">
        <f t="shared" si="17"/>
        <v>0</v>
      </c>
      <c r="HO9" s="3141">
        <f t="shared" si="17"/>
        <v>0</v>
      </c>
      <c r="HP9" s="3141">
        <f t="shared" si="17"/>
        <v>0</v>
      </c>
      <c r="HQ9" s="3141">
        <f t="shared" si="17"/>
        <v>0</v>
      </c>
      <c r="HR9" s="3141">
        <f t="shared" si="17"/>
        <v>0</v>
      </c>
      <c r="HS9" s="3141">
        <f t="shared" si="17"/>
        <v>0</v>
      </c>
      <c r="HT9" s="3141">
        <f t="shared" si="17"/>
        <v>0</v>
      </c>
      <c r="HU9" s="3141">
        <f t="shared" si="17"/>
        <v>0</v>
      </c>
      <c r="HV9" s="3141">
        <f t="shared" si="17"/>
        <v>0</v>
      </c>
      <c r="HW9" s="3141">
        <f t="shared" si="17"/>
        <v>0</v>
      </c>
      <c r="HX9" s="3141">
        <f t="shared" si="17"/>
        <v>0</v>
      </c>
      <c r="HY9" s="3141">
        <f t="shared" si="17"/>
        <v>0</v>
      </c>
      <c r="HZ9" s="3141">
        <f t="shared" si="17"/>
        <v>0</v>
      </c>
      <c r="IA9" s="3141">
        <f t="shared" si="17"/>
        <v>0</v>
      </c>
      <c r="IB9" s="3141">
        <f t="shared" si="17"/>
        <v>0</v>
      </c>
      <c r="IC9" s="3141">
        <f t="shared" si="17"/>
        <v>0</v>
      </c>
      <c r="ID9" s="3141">
        <f t="shared" si="17"/>
        <v>0</v>
      </c>
      <c r="IE9" s="3141">
        <f t="shared" si="17"/>
        <v>0</v>
      </c>
      <c r="IF9" s="3141">
        <f t="shared" si="17"/>
        <v>0</v>
      </c>
      <c r="IG9" s="3141">
        <f t="shared" si="17"/>
        <v>0</v>
      </c>
      <c r="IH9" s="3141">
        <f t="shared" si="17"/>
        <v>0</v>
      </c>
      <c r="II9" s="3141">
        <f t="shared" si="17"/>
        <v>0</v>
      </c>
      <c r="IJ9" s="3141">
        <f t="shared" si="17"/>
        <v>0</v>
      </c>
      <c r="IK9" s="3141">
        <f t="shared" si="17"/>
        <v>0</v>
      </c>
      <c r="IL9" s="3141">
        <f t="shared" si="17"/>
        <v>0</v>
      </c>
      <c r="IM9" s="3141">
        <f t="shared" si="17"/>
        <v>0</v>
      </c>
      <c r="IN9" s="3141">
        <f t="shared" si="17"/>
        <v>0</v>
      </c>
      <c r="IO9" s="3141">
        <f t="shared" si="17"/>
        <v>0</v>
      </c>
      <c r="IP9" s="3141">
        <f t="shared" si="17"/>
        <v>0</v>
      </c>
      <c r="IQ9" s="3141">
        <f t="shared" si="17"/>
        <v>0</v>
      </c>
      <c r="IR9" s="3141">
        <f t="shared" si="17"/>
        <v>0</v>
      </c>
      <c r="IS9" s="3141">
        <f t="shared" si="17"/>
        <v>0</v>
      </c>
      <c r="IT9" s="3141">
        <f t="shared" si="17"/>
        <v>0</v>
      </c>
      <c r="IU9" s="3141">
        <f t="shared" si="17"/>
        <v>0</v>
      </c>
      <c r="IV9" s="3141">
        <f t="shared" si="17"/>
        <v>0</v>
      </c>
      <c r="IW9" s="3141">
        <f t="shared" si="17"/>
        <v>0</v>
      </c>
      <c r="IX9" s="3141">
        <f t="shared" si="17"/>
        <v>0</v>
      </c>
      <c r="IY9" s="3141">
        <f t="shared" si="17"/>
        <v>0</v>
      </c>
      <c r="IZ9" s="3141">
        <f t="shared" si="17"/>
        <v>0</v>
      </c>
      <c r="JA9" s="3141">
        <f t="shared" si="17"/>
        <v>0</v>
      </c>
      <c r="JB9" s="3141">
        <f t="shared" si="17"/>
        <v>0</v>
      </c>
      <c r="JC9" s="3141">
        <f t="shared" si="17"/>
        <v>0</v>
      </c>
    </row>
    <row r="10" spans="1:263" ht="15" hidden="1" customHeight="1" x14ac:dyDescent="0.25">
      <c r="A10" s="285"/>
      <c r="B10" s="285"/>
      <c r="C10" s="76" t="b">
        <f>'5  Control Accounts'!$DW$14</f>
        <v>1</v>
      </c>
      <c r="D10" s="285"/>
      <c r="E10" s="306" t="s">
        <v>2052</v>
      </c>
      <c r="F10" s="285"/>
      <c r="G10" s="285"/>
      <c r="H10" s="285"/>
      <c r="I10" s="285"/>
      <c r="J10" s="285"/>
      <c r="K10" s="306"/>
      <c r="L10" s="446"/>
      <c r="M10" s="287"/>
      <c r="N10" s="287"/>
      <c r="O10" s="287"/>
      <c r="P10" s="287"/>
      <c r="Q10" s="287"/>
      <c r="R10" s="287"/>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90" t="s">
        <v>5</v>
      </c>
      <c r="DQ10" s="290"/>
      <c r="DR10" s="285"/>
      <c r="DS10" s="285"/>
      <c r="DT10" s="285"/>
      <c r="DU10" s="285"/>
      <c r="DV10" s="285"/>
      <c r="DW10" s="285"/>
      <c r="DX10" s="285"/>
      <c r="DY10" s="285"/>
      <c r="DZ10" s="285"/>
      <c r="EA10" s="285"/>
      <c r="EB10" s="285"/>
      <c r="EC10" s="285"/>
      <c r="ED10" s="285"/>
      <c r="EE10" s="285"/>
      <c r="EF10" s="308" t="s">
        <v>2055</v>
      </c>
      <c r="EG10" s="58">
        <f t="shared" ref="EG10:FL10" si="18">SUMIFS(EG$129:EG$305,$AR$129:$AR$305,"&gt;0",$DF$129:$DF$305,1,$AG$129:$AG$305,1)*EG$17</f>
        <v>0</v>
      </c>
      <c r="EH10" s="59">
        <f t="shared" si="18"/>
        <v>0</v>
      </c>
      <c r="EI10" s="59">
        <f t="shared" si="18"/>
        <v>0</v>
      </c>
      <c r="EJ10" s="59">
        <f t="shared" si="18"/>
        <v>0</v>
      </c>
      <c r="EK10" s="59">
        <f t="shared" si="18"/>
        <v>0</v>
      </c>
      <c r="EL10" s="59">
        <f t="shared" si="18"/>
        <v>0</v>
      </c>
      <c r="EM10" s="59">
        <f t="shared" si="18"/>
        <v>0</v>
      </c>
      <c r="EN10" s="59">
        <f t="shared" si="18"/>
        <v>0</v>
      </c>
      <c r="EO10" s="59">
        <f t="shared" si="18"/>
        <v>0</v>
      </c>
      <c r="EP10" s="59">
        <f t="shared" si="18"/>
        <v>0</v>
      </c>
      <c r="EQ10" s="59">
        <f t="shared" si="18"/>
        <v>0</v>
      </c>
      <c r="ER10" s="59">
        <f t="shared" si="18"/>
        <v>0</v>
      </c>
      <c r="ES10" s="59">
        <f t="shared" si="18"/>
        <v>0</v>
      </c>
      <c r="ET10" s="59">
        <f t="shared" si="18"/>
        <v>0</v>
      </c>
      <c r="EU10" s="59">
        <f t="shared" si="18"/>
        <v>0</v>
      </c>
      <c r="EV10" s="59">
        <f t="shared" si="18"/>
        <v>0</v>
      </c>
      <c r="EW10" s="59">
        <f t="shared" si="18"/>
        <v>0</v>
      </c>
      <c r="EX10" s="59">
        <f t="shared" si="18"/>
        <v>0</v>
      </c>
      <c r="EY10" s="59">
        <f t="shared" si="18"/>
        <v>0</v>
      </c>
      <c r="EZ10" s="59">
        <f t="shared" si="18"/>
        <v>0</v>
      </c>
      <c r="FA10" s="59">
        <f t="shared" si="18"/>
        <v>0</v>
      </c>
      <c r="FB10" s="59">
        <f t="shared" si="18"/>
        <v>0</v>
      </c>
      <c r="FC10" s="59">
        <f t="shared" si="18"/>
        <v>0</v>
      </c>
      <c r="FD10" s="59">
        <f t="shared" si="18"/>
        <v>0</v>
      </c>
      <c r="FE10" s="59">
        <f t="shared" si="18"/>
        <v>0</v>
      </c>
      <c r="FF10" s="59">
        <f t="shared" si="18"/>
        <v>0</v>
      </c>
      <c r="FG10" s="59">
        <f t="shared" si="18"/>
        <v>0</v>
      </c>
      <c r="FH10" s="59">
        <f t="shared" si="18"/>
        <v>0</v>
      </c>
      <c r="FI10" s="59">
        <f t="shared" si="18"/>
        <v>0</v>
      </c>
      <c r="FJ10" s="59">
        <f t="shared" si="18"/>
        <v>0</v>
      </c>
      <c r="FK10" s="59">
        <f t="shared" si="18"/>
        <v>0</v>
      </c>
      <c r="FL10" s="59">
        <f t="shared" si="18"/>
        <v>0</v>
      </c>
      <c r="FM10" s="59">
        <f t="shared" ref="FM10:GR10" si="19">SUMIFS(FM$129:FM$305,$AR$129:$AR$305,"&gt;0",$DF$129:$DF$305,1,$AG$129:$AG$305,1)*FM$17</f>
        <v>0</v>
      </c>
      <c r="FN10" s="59">
        <f t="shared" si="19"/>
        <v>0</v>
      </c>
      <c r="FO10" s="59">
        <f t="shared" si="19"/>
        <v>0</v>
      </c>
      <c r="FP10" s="59">
        <f t="shared" si="19"/>
        <v>0</v>
      </c>
      <c r="FQ10" s="59">
        <f t="shared" si="19"/>
        <v>0</v>
      </c>
      <c r="FR10" s="59">
        <f t="shared" si="19"/>
        <v>0</v>
      </c>
      <c r="FS10" s="59">
        <f t="shared" si="19"/>
        <v>0</v>
      </c>
      <c r="FT10" s="59">
        <f t="shared" si="19"/>
        <v>0</v>
      </c>
      <c r="FU10" s="59">
        <f t="shared" si="19"/>
        <v>0</v>
      </c>
      <c r="FV10" s="59">
        <f t="shared" si="19"/>
        <v>0</v>
      </c>
      <c r="FW10" s="59">
        <f t="shared" si="19"/>
        <v>0</v>
      </c>
      <c r="FX10" s="59">
        <f t="shared" si="19"/>
        <v>0</v>
      </c>
      <c r="FY10" s="59">
        <f t="shared" si="19"/>
        <v>0</v>
      </c>
      <c r="FZ10" s="59">
        <f t="shared" si="19"/>
        <v>0</v>
      </c>
      <c r="GA10" s="59">
        <f t="shared" si="19"/>
        <v>0</v>
      </c>
      <c r="GB10" s="59">
        <f t="shared" si="19"/>
        <v>0</v>
      </c>
      <c r="GC10" s="59">
        <f t="shared" si="19"/>
        <v>0</v>
      </c>
      <c r="GD10" s="59">
        <f t="shared" si="19"/>
        <v>0</v>
      </c>
      <c r="GE10" s="59">
        <f t="shared" si="19"/>
        <v>0</v>
      </c>
      <c r="GF10" s="59">
        <f t="shared" si="19"/>
        <v>0</v>
      </c>
      <c r="GG10" s="59">
        <f t="shared" si="19"/>
        <v>0</v>
      </c>
      <c r="GH10" s="59">
        <f t="shared" si="19"/>
        <v>0</v>
      </c>
      <c r="GI10" s="59">
        <f t="shared" si="19"/>
        <v>0</v>
      </c>
      <c r="GJ10" s="59">
        <f t="shared" si="19"/>
        <v>0</v>
      </c>
      <c r="GK10" s="59">
        <f t="shared" si="19"/>
        <v>0</v>
      </c>
      <c r="GL10" s="59">
        <f t="shared" si="19"/>
        <v>0</v>
      </c>
      <c r="GM10" s="59">
        <f t="shared" si="19"/>
        <v>0</v>
      </c>
      <c r="GN10" s="59">
        <f t="shared" si="19"/>
        <v>0</v>
      </c>
      <c r="GO10" s="59">
        <f t="shared" si="19"/>
        <v>0</v>
      </c>
      <c r="GP10" s="59">
        <f t="shared" si="19"/>
        <v>0</v>
      </c>
      <c r="GQ10" s="59">
        <f t="shared" si="19"/>
        <v>0</v>
      </c>
      <c r="GR10" s="59">
        <f t="shared" si="19"/>
        <v>0</v>
      </c>
      <c r="GS10" s="59">
        <f t="shared" ref="GS10:HX10" si="20">SUMIFS(GS$129:GS$305,$AR$129:$AR$305,"&gt;0",$DF$129:$DF$305,1,$AG$129:$AG$305,1)*GS$17</f>
        <v>0</v>
      </c>
      <c r="GT10" s="59">
        <f t="shared" si="20"/>
        <v>0</v>
      </c>
      <c r="GU10" s="59">
        <f t="shared" si="20"/>
        <v>0</v>
      </c>
      <c r="GV10" s="59">
        <f t="shared" si="20"/>
        <v>0</v>
      </c>
      <c r="GW10" s="59">
        <f t="shared" si="20"/>
        <v>0</v>
      </c>
      <c r="GX10" s="59">
        <f t="shared" si="20"/>
        <v>0</v>
      </c>
      <c r="GY10" s="59">
        <f t="shared" si="20"/>
        <v>0</v>
      </c>
      <c r="GZ10" s="59">
        <f t="shared" si="20"/>
        <v>0</v>
      </c>
      <c r="HA10" s="59">
        <f t="shared" si="20"/>
        <v>0</v>
      </c>
      <c r="HB10" s="59">
        <f t="shared" si="20"/>
        <v>0</v>
      </c>
      <c r="HC10" s="59">
        <f t="shared" si="20"/>
        <v>0</v>
      </c>
      <c r="HD10" s="59">
        <f t="shared" si="20"/>
        <v>0</v>
      </c>
      <c r="HE10" s="59">
        <f t="shared" si="20"/>
        <v>0</v>
      </c>
      <c r="HF10" s="59">
        <f t="shared" si="20"/>
        <v>0</v>
      </c>
      <c r="HG10" s="59">
        <f t="shared" si="20"/>
        <v>0</v>
      </c>
      <c r="HH10" s="59">
        <f t="shared" si="20"/>
        <v>0</v>
      </c>
      <c r="HI10" s="59">
        <f t="shared" si="20"/>
        <v>0</v>
      </c>
      <c r="HJ10" s="59">
        <f t="shared" si="20"/>
        <v>0</v>
      </c>
      <c r="HK10" s="59">
        <f t="shared" si="20"/>
        <v>0</v>
      </c>
      <c r="HL10" s="59">
        <f t="shared" si="20"/>
        <v>0</v>
      </c>
      <c r="HM10" s="59">
        <f t="shared" si="20"/>
        <v>0</v>
      </c>
      <c r="HN10" s="59">
        <f t="shared" si="20"/>
        <v>0</v>
      </c>
      <c r="HO10" s="59">
        <f t="shared" si="20"/>
        <v>0</v>
      </c>
      <c r="HP10" s="59">
        <f t="shared" si="20"/>
        <v>0</v>
      </c>
      <c r="HQ10" s="59">
        <f t="shared" si="20"/>
        <v>0</v>
      </c>
      <c r="HR10" s="59">
        <f t="shared" si="20"/>
        <v>0</v>
      </c>
      <c r="HS10" s="59">
        <f t="shared" si="20"/>
        <v>0</v>
      </c>
      <c r="HT10" s="59">
        <f t="shared" si="20"/>
        <v>0</v>
      </c>
      <c r="HU10" s="59">
        <f t="shared" si="20"/>
        <v>0</v>
      </c>
      <c r="HV10" s="59">
        <f t="shared" si="20"/>
        <v>0</v>
      </c>
      <c r="HW10" s="59">
        <f t="shared" si="20"/>
        <v>0</v>
      </c>
      <c r="HX10" s="59">
        <f t="shared" si="20"/>
        <v>0</v>
      </c>
      <c r="HY10" s="59">
        <f t="shared" ref="HY10:JC10" si="21">SUMIFS(HY$129:HY$305,$AR$129:$AR$305,"&gt;0",$DF$129:$DF$305,1,$AG$129:$AG$305,1)*HY$17</f>
        <v>0</v>
      </c>
      <c r="HZ10" s="59">
        <f t="shared" si="21"/>
        <v>0</v>
      </c>
      <c r="IA10" s="59">
        <f t="shared" si="21"/>
        <v>0</v>
      </c>
      <c r="IB10" s="59">
        <f t="shared" si="21"/>
        <v>0</v>
      </c>
      <c r="IC10" s="59">
        <f t="shared" si="21"/>
        <v>0</v>
      </c>
      <c r="ID10" s="59">
        <f t="shared" si="21"/>
        <v>0</v>
      </c>
      <c r="IE10" s="59">
        <f t="shared" si="21"/>
        <v>0</v>
      </c>
      <c r="IF10" s="59">
        <f t="shared" si="21"/>
        <v>0</v>
      </c>
      <c r="IG10" s="59">
        <f t="shared" si="21"/>
        <v>0</v>
      </c>
      <c r="IH10" s="59">
        <f t="shared" si="21"/>
        <v>0</v>
      </c>
      <c r="II10" s="59">
        <f t="shared" si="21"/>
        <v>0</v>
      </c>
      <c r="IJ10" s="59">
        <f t="shared" si="21"/>
        <v>0</v>
      </c>
      <c r="IK10" s="59">
        <f t="shared" si="21"/>
        <v>0</v>
      </c>
      <c r="IL10" s="59">
        <f t="shared" si="21"/>
        <v>0</v>
      </c>
      <c r="IM10" s="59">
        <f t="shared" si="21"/>
        <v>0</v>
      </c>
      <c r="IN10" s="59">
        <f t="shared" si="21"/>
        <v>0</v>
      </c>
      <c r="IO10" s="59">
        <f t="shared" si="21"/>
        <v>0</v>
      </c>
      <c r="IP10" s="59">
        <f t="shared" si="21"/>
        <v>0</v>
      </c>
      <c r="IQ10" s="59">
        <f t="shared" si="21"/>
        <v>0</v>
      </c>
      <c r="IR10" s="59">
        <f t="shared" si="21"/>
        <v>0</v>
      </c>
      <c r="IS10" s="59">
        <f t="shared" si="21"/>
        <v>0</v>
      </c>
      <c r="IT10" s="59">
        <f t="shared" si="21"/>
        <v>0</v>
      </c>
      <c r="IU10" s="59">
        <f t="shared" si="21"/>
        <v>0</v>
      </c>
      <c r="IV10" s="59">
        <f t="shared" si="21"/>
        <v>0</v>
      </c>
      <c r="IW10" s="59">
        <f t="shared" si="21"/>
        <v>0</v>
      </c>
      <c r="IX10" s="59">
        <f t="shared" si="21"/>
        <v>0</v>
      </c>
      <c r="IY10" s="59">
        <f t="shared" si="21"/>
        <v>0</v>
      </c>
      <c r="IZ10" s="59">
        <f t="shared" si="21"/>
        <v>0</v>
      </c>
      <c r="JA10" s="59">
        <f t="shared" si="21"/>
        <v>0</v>
      </c>
      <c r="JB10" s="59">
        <f t="shared" si="21"/>
        <v>0</v>
      </c>
      <c r="JC10" s="59">
        <f t="shared" si="21"/>
        <v>0</v>
      </c>
    </row>
    <row r="11" spans="1:263" ht="15" hidden="1" customHeight="1" x14ac:dyDescent="0.25">
      <c r="A11" s="285"/>
      <c r="B11" s="285"/>
      <c r="C11" s="76" t="b">
        <f>(T126&gt;0)</f>
        <v>0</v>
      </c>
      <c r="D11" s="285"/>
      <c r="E11" s="306" t="s">
        <v>2142</v>
      </c>
      <c r="F11" s="285"/>
      <c r="G11" s="285"/>
      <c r="H11" s="285"/>
      <c r="I11" s="285"/>
      <c r="J11" s="12">
        <f>'5  Control Accounts'!$BJ$26</f>
        <v>6</v>
      </c>
      <c r="K11" s="306"/>
      <c r="L11" s="446" t="s">
        <v>2228</v>
      </c>
      <c r="M11" s="287"/>
      <c r="N11" s="287"/>
      <c r="O11" s="287"/>
      <c r="P11" s="287"/>
      <c r="Q11" s="287"/>
      <c r="R11" s="287"/>
      <c r="S11" s="285"/>
      <c r="T11" s="285"/>
      <c r="U11" s="285"/>
      <c r="V11" s="285"/>
      <c r="W11" s="285"/>
      <c r="X11" s="285"/>
      <c r="Y11" s="285"/>
      <c r="Z11" s="285"/>
      <c r="AA11" s="285"/>
      <c r="AB11" s="285"/>
      <c r="AC11" s="285"/>
      <c r="AD11" s="285"/>
      <c r="AE11" s="285"/>
      <c r="AF11" s="285"/>
      <c r="AG11" s="285"/>
      <c r="AH11" s="285"/>
      <c r="AI11" s="285"/>
      <c r="AJ11" s="285"/>
      <c r="AK11" s="285"/>
      <c r="AL11" s="285"/>
      <c r="AM11" s="285"/>
      <c r="AN11" s="285"/>
      <c r="AO11" s="285"/>
      <c r="AP11" s="285"/>
      <c r="AQ11" s="285"/>
      <c r="AR11" s="285"/>
      <c r="AS11" s="285"/>
      <c r="AT11" s="285"/>
      <c r="AU11" s="285"/>
      <c r="AV11" s="285"/>
      <c r="AW11" s="285"/>
      <c r="AX11" s="285"/>
      <c r="AY11" s="285"/>
      <c r="AZ11" s="285"/>
      <c r="BA11" s="285"/>
      <c r="BB11" s="285"/>
      <c r="BC11" s="285"/>
      <c r="BD11" s="285"/>
      <c r="BE11" s="285"/>
      <c r="BF11" s="285"/>
      <c r="BG11" s="285"/>
      <c r="BH11" s="285"/>
      <c r="BI11" s="285"/>
      <c r="BJ11" s="285"/>
      <c r="BK11" s="285"/>
      <c r="BL11" s="285"/>
      <c r="BM11" s="285"/>
      <c r="BN11" s="285"/>
      <c r="BO11" s="285"/>
      <c r="BP11" s="285"/>
      <c r="BQ11" s="285"/>
      <c r="BR11" s="285"/>
      <c r="BS11" s="285"/>
      <c r="BT11" s="285"/>
      <c r="BU11" s="285"/>
      <c r="BV11" s="285"/>
      <c r="BW11" s="285"/>
      <c r="BX11" s="285"/>
      <c r="BY11" s="285"/>
      <c r="BZ11" s="285"/>
      <c r="CA11" s="285"/>
      <c r="CB11" s="285"/>
      <c r="CC11" s="285"/>
      <c r="CD11" s="285"/>
      <c r="CE11" s="285"/>
      <c r="CF11" s="285"/>
      <c r="CG11" s="285"/>
      <c r="CH11" s="285"/>
      <c r="CI11" s="285"/>
      <c r="CJ11" s="285"/>
      <c r="CK11" s="285"/>
      <c r="CL11" s="285"/>
      <c r="CM11" s="285"/>
      <c r="CN11" s="285"/>
      <c r="CO11" s="285"/>
      <c r="CP11" s="285"/>
      <c r="CQ11" s="285"/>
      <c r="CR11" s="285"/>
      <c r="CS11" s="285"/>
      <c r="CT11" s="285"/>
      <c r="CU11" s="285"/>
      <c r="CV11" s="285"/>
      <c r="CW11" s="285"/>
      <c r="CX11" s="285"/>
      <c r="CY11" s="285"/>
      <c r="CZ11" s="285"/>
      <c r="DA11" s="285"/>
      <c r="DB11" s="285"/>
      <c r="DC11" s="285"/>
      <c r="DD11" s="285"/>
      <c r="DE11" s="285"/>
      <c r="DF11" s="285"/>
      <c r="DG11" s="285"/>
      <c r="DH11" s="285"/>
      <c r="DI11" s="285"/>
      <c r="DJ11" s="285"/>
      <c r="DK11" s="285"/>
      <c r="DL11" s="285"/>
      <c r="DM11" s="285"/>
      <c r="DN11" s="285"/>
      <c r="DO11" s="285"/>
      <c r="DP11" s="290" t="s">
        <v>5</v>
      </c>
      <c r="DQ11" s="290"/>
      <c r="DR11" s="285"/>
      <c r="DS11" s="285"/>
      <c r="DT11" s="285"/>
      <c r="DU11" s="285"/>
      <c r="DV11" s="285"/>
      <c r="DW11" s="285"/>
      <c r="DX11" s="285"/>
      <c r="DY11" s="285"/>
      <c r="DZ11" s="285"/>
      <c r="EA11" s="285"/>
      <c r="EB11" s="285"/>
      <c r="EC11" s="308" t="s">
        <v>4189</v>
      </c>
      <c r="ED11" s="285"/>
      <c r="EE11" s="1003">
        <f>'5  Control Accounts'!CP32</f>
        <v>0</v>
      </c>
      <c r="EF11" s="308"/>
      <c r="EG11" s="3253">
        <f ca="1">SUMPRODUCT(EG$129:EG$305,$DF$129:$DF$305,$AG$129:$AG$305,$AO$129:$AO$305,OFFSET($CH$129:$CH$305,0,EG123-1))*EG$17*$EE$11</f>
        <v>0</v>
      </c>
      <c r="EH11" s="3254">
        <f t="shared" ref="EH11:GS11" ca="1" si="22">SUMPRODUCT(EH$129:EH$305,$DF$129:$DF$305,$AG$129:$AG$305,$AO$129:$AO$305,OFFSET($CH$129:$CH$305,0,EH123-1))*EH$17*$EE$11</f>
        <v>0</v>
      </c>
      <c r="EI11" s="3254">
        <f t="shared" ca="1" si="22"/>
        <v>0</v>
      </c>
      <c r="EJ11" s="3254">
        <f t="shared" ca="1" si="22"/>
        <v>0</v>
      </c>
      <c r="EK11" s="3254">
        <f t="shared" ca="1" si="22"/>
        <v>0</v>
      </c>
      <c r="EL11" s="3254">
        <f t="shared" ca="1" si="22"/>
        <v>0</v>
      </c>
      <c r="EM11" s="3254">
        <f t="shared" ca="1" si="22"/>
        <v>0</v>
      </c>
      <c r="EN11" s="3254">
        <f t="shared" ca="1" si="22"/>
        <v>0</v>
      </c>
      <c r="EO11" s="3254">
        <f t="shared" ca="1" si="22"/>
        <v>0</v>
      </c>
      <c r="EP11" s="3254">
        <f t="shared" ca="1" si="22"/>
        <v>0</v>
      </c>
      <c r="EQ11" s="3254">
        <f t="shared" ca="1" si="22"/>
        <v>0</v>
      </c>
      <c r="ER11" s="3254">
        <f t="shared" ca="1" si="22"/>
        <v>0</v>
      </c>
      <c r="ES11" s="3254">
        <f t="shared" ca="1" si="22"/>
        <v>0</v>
      </c>
      <c r="ET11" s="3254">
        <f t="shared" ca="1" si="22"/>
        <v>0</v>
      </c>
      <c r="EU11" s="3254">
        <f t="shared" ca="1" si="22"/>
        <v>0</v>
      </c>
      <c r="EV11" s="3254">
        <f t="shared" ca="1" si="22"/>
        <v>0</v>
      </c>
      <c r="EW11" s="3254">
        <f t="shared" ca="1" si="22"/>
        <v>0</v>
      </c>
      <c r="EX11" s="3254">
        <f t="shared" ca="1" si="22"/>
        <v>0</v>
      </c>
      <c r="EY11" s="3254">
        <f t="shared" ca="1" si="22"/>
        <v>0</v>
      </c>
      <c r="EZ11" s="3254">
        <f t="shared" ca="1" si="22"/>
        <v>0</v>
      </c>
      <c r="FA11" s="3254">
        <f t="shared" ca="1" si="22"/>
        <v>0</v>
      </c>
      <c r="FB11" s="3254">
        <f t="shared" ca="1" si="22"/>
        <v>0</v>
      </c>
      <c r="FC11" s="3254">
        <f t="shared" ca="1" si="22"/>
        <v>0</v>
      </c>
      <c r="FD11" s="3254">
        <f t="shared" ca="1" si="22"/>
        <v>0</v>
      </c>
      <c r="FE11" s="3254">
        <f t="shared" ca="1" si="22"/>
        <v>0</v>
      </c>
      <c r="FF11" s="3254">
        <f t="shared" ca="1" si="22"/>
        <v>0</v>
      </c>
      <c r="FG11" s="3254">
        <f t="shared" ca="1" si="22"/>
        <v>0</v>
      </c>
      <c r="FH11" s="3254">
        <f t="shared" ca="1" si="22"/>
        <v>0</v>
      </c>
      <c r="FI11" s="3254">
        <f t="shared" ca="1" si="22"/>
        <v>0</v>
      </c>
      <c r="FJ11" s="3254">
        <f t="shared" ca="1" si="22"/>
        <v>0</v>
      </c>
      <c r="FK11" s="3254">
        <f t="shared" ca="1" si="22"/>
        <v>0</v>
      </c>
      <c r="FL11" s="3254">
        <f t="shared" ca="1" si="22"/>
        <v>0</v>
      </c>
      <c r="FM11" s="3254">
        <f t="shared" ca="1" si="22"/>
        <v>0</v>
      </c>
      <c r="FN11" s="3254">
        <f t="shared" ca="1" si="22"/>
        <v>0</v>
      </c>
      <c r="FO11" s="3254">
        <f t="shared" ca="1" si="22"/>
        <v>0</v>
      </c>
      <c r="FP11" s="3254">
        <f t="shared" ca="1" si="22"/>
        <v>0</v>
      </c>
      <c r="FQ11" s="3254">
        <f t="shared" ca="1" si="22"/>
        <v>0</v>
      </c>
      <c r="FR11" s="3254">
        <f t="shared" ca="1" si="22"/>
        <v>0</v>
      </c>
      <c r="FS11" s="3254">
        <f t="shared" ca="1" si="22"/>
        <v>0</v>
      </c>
      <c r="FT11" s="3254">
        <f t="shared" ca="1" si="22"/>
        <v>0</v>
      </c>
      <c r="FU11" s="3254">
        <f t="shared" ca="1" si="22"/>
        <v>0</v>
      </c>
      <c r="FV11" s="3254">
        <f t="shared" ca="1" si="22"/>
        <v>0</v>
      </c>
      <c r="FW11" s="3254">
        <f t="shared" ca="1" si="22"/>
        <v>0</v>
      </c>
      <c r="FX11" s="3254">
        <f t="shared" ca="1" si="22"/>
        <v>0</v>
      </c>
      <c r="FY11" s="3254">
        <f t="shared" ca="1" si="22"/>
        <v>0</v>
      </c>
      <c r="FZ11" s="3254">
        <f t="shared" ca="1" si="22"/>
        <v>0</v>
      </c>
      <c r="GA11" s="3254">
        <f t="shared" ca="1" si="22"/>
        <v>0</v>
      </c>
      <c r="GB11" s="3254">
        <f t="shared" ca="1" si="22"/>
        <v>0</v>
      </c>
      <c r="GC11" s="3254">
        <f t="shared" ca="1" si="22"/>
        <v>0</v>
      </c>
      <c r="GD11" s="3254">
        <f t="shared" ca="1" si="22"/>
        <v>0</v>
      </c>
      <c r="GE11" s="3254">
        <f t="shared" ca="1" si="22"/>
        <v>0</v>
      </c>
      <c r="GF11" s="3254">
        <f t="shared" ca="1" si="22"/>
        <v>0</v>
      </c>
      <c r="GG11" s="3254">
        <f t="shared" ca="1" si="22"/>
        <v>0</v>
      </c>
      <c r="GH11" s="3254">
        <f t="shared" ca="1" si="22"/>
        <v>0</v>
      </c>
      <c r="GI11" s="3254">
        <f t="shared" ca="1" si="22"/>
        <v>0</v>
      </c>
      <c r="GJ11" s="3254">
        <f t="shared" ca="1" si="22"/>
        <v>0</v>
      </c>
      <c r="GK11" s="3254">
        <f t="shared" ca="1" si="22"/>
        <v>0</v>
      </c>
      <c r="GL11" s="3254">
        <f t="shared" ca="1" si="22"/>
        <v>0</v>
      </c>
      <c r="GM11" s="3254">
        <f t="shared" ca="1" si="22"/>
        <v>0</v>
      </c>
      <c r="GN11" s="3254">
        <f t="shared" ca="1" si="22"/>
        <v>0</v>
      </c>
      <c r="GO11" s="3254">
        <f t="shared" ca="1" si="22"/>
        <v>0</v>
      </c>
      <c r="GP11" s="3254">
        <f t="shared" ca="1" si="22"/>
        <v>0</v>
      </c>
      <c r="GQ11" s="3254">
        <f t="shared" ca="1" si="22"/>
        <v>0</v>
      </c>
      <c r="GR11" s="3254">
        <f t="shared" ca="1" si="22"/>
        <v>0</v>
      </c>
      <c r="GS11" s="3254">
        <f t="shared" ca="1" si="22"/>
        <v>0</v>
      </c>
      <c r="GT11" s="3254">
        <f t="shared" ref="GT11:JC11" ca="1" si="23">SUMPRODUCT(GT$129:GT$305,$DF$129:$DF$305,$AG$129:$AG$305,$AO$129:$AO$305,OFFSET($CH$129:$CH$305,0,GT123-1))*GT$17*$EE$11</f>
        <v>0</v>
      </c>
      <c r="GU11" s="3254">
        <f t="shared" ca="1" si="23"/>
        <v>0</v>
      </c>
      <c r="GV11" s="3254">
        <f t="shared" ca="1" si="23"/>
        <v>0</v>
      </c>
      <c r="GW11" s="3254">
        <f t="shared" ca="1" si="23"/>
        <v>0</v>
      </c>
      <c r="GX11" s="3254">
        <f t="shared" ca="1" si="23"/>
        <v>0</v>
      </c>
      <c r="GY11" s="3254">
        <f t="shared" ca="1" si="23"/>
        <v>0</v>
      </c>
      <c r="GZ11" s="3254">
        <f t="shared" ca="1" si="23"/>
        <v>0</v>
      </c>
      <c r="HA11" s="3254">
        <f t="shared" ca="1" si="23"/>
        <v>0</v>
      </c>
      <c r="HB11" s="3254">
        <f t="shared" ca="1" si="23"/>
        <v>0</v>
      </c>
      <c r="HC11" s="3254">
        <f t="shared" ca="1" si="23"/>
        <v>0</v>
      </c>
      <c r="HD11" s="3254">
        <f t="shared" ca="1" si="23"/>
        <v>0</v>
      </c>
      <c r="HE11" s="3254">
        <f t="shared" ca="1" si="23"/>
        <v>0</v>
      </c>
      <c r="HF11" s="3254">
        <f t="shared" ca="1" si="23"/>
        <v>0</v>
      </c>
      <c r="HG11" s="3254">
        <f t="shared" ca="1" si="23"/>
        <v>0</v>
      </c>
      <c r="HH11" s="3254">
        <f t="shared" ca="1" si="23"/>
        <v>0</v>
      </c>
      <c r="HI11" s="3254">
        <f t="shared" ca="1" si="23"/>
        <v>0</v>
      </c>
      <c r="HJ11" s="3254">
        <f t="shared" ca="1" si="23"/>
        <v>0</v>
      </c>
      <c r="HK11" s="3254">
        <f t="shared" ca="1" si="23"/>
        <v>0</v>
      </c>
      <c r="HL11" s="3254">
        <f t="shared" ca="1" si="23"/>
        <v>0</v>
      </c>
      <c r="HM11" s="3254">
        <f t="shared" ca="1" si="23"/>
        <v>0</v>
      </c>
      <c r="HN11" s="3254">
        <f t="shared" ca="1" si="23"/>
        <v>0</v>
      </c>
      <c r="HO11" s="3254">
        <f t="shared" ca="1" si="23"/>
        <v>0</v>
      </c>
      <c r="HP11" s="3254">
        <f t="shared" ca="1" si="23"/>
        <v>0</v>
      </c>
      <c r="HQ11" s="3254">
        <f t="shared" ca="1" si="23"/>
        <v>0</v>
      </c>
      <c r="HR11" s="3254">
        <f t="shared" ca="1" si="23"/>
        <v>0</v>
      </c>
      <c r="HS11" s="3254">
        <f t="shared" ca="1" si="23"/>
        <v>0</v>
      </c>
      <c r="HT11" s="3254">
        <f t="shared" ca="1" si="23"/>
        <v>0</v>
      </c>
      <c r="HU11" s="3254">
        <f t="shared" ca="1" si="23"/>
        <v>0</v>
      </c>
      <c r="HV11" s="3254">
        <f t="shared" ca="1" si="23"/>
        <v>0</v>
      </c>
      <c r="HW11" s="3254">
        <f t="shared" ca="1" si="23"/>
        <v>0</v>
      </c>
      <c r="HX11" s="3254">
        <f t="shared" ca="1" si="23"/>
        <v>0</v>
      </c>
      <c r="HY11" s="3254">
        <f t="shared" ca="1" si="23"/>
        <v>0</v>
      </c>
      <c r="HZ11" s="3254">
        <f t="shared" ca="1" si="23"/>
        <v>0</v>
      </c>
      <c r="IA11" s="3254">
        <f t="shared" ca="1" si="23"/>
        <v>0</v>
      </c>
      <c r="IB11" s="3254">
        <f t="shared" ca="1" si="23"/>
        <v>0</v>
      </c>
      <c r="IC11" s="3254">
        <f t="shared" ca="1" si="23"/>
        <v>0</v>
      </c>
      <c r="ID11" s="3254">
        <f t="shared" ca="1" si="23"/>
        <v>0</v>
      </c>
      <c r="IE11" s="3254">
        <f t="shared" ca="1" si="23"/>
        <v>0</v>
      </c>
      <c r="IF11" s="3254">
        <f t="shared" ca="1" si="23"/>
        <v>0</v>
      </c>
      <c r="IG11" s="3254">
        <f t="shared" ca="1" si="23"/>
        <v>0</v>
      </c>
      <c r="IH11" s="3254">
        <f t="shared" ca="1" si="23"/>
        <v>0</v>
      </c>
      <c r="II11" s="3254">
        <f t="shared" ca="1" si="23"/>
        <v>0</v>
      </c>
      <c r="IJ11" s="3254">
        <f t="shared" ca="1" si="23"/>
        <v>0</v>
      </c>
      <c r="IK11" s="3254">
        <f t="shared" ca="1" si="23"/>
        <v>0</v>
      </c>
      <c r="IL11" s="3254">
        <f t="shared" ca="1" si="23"/>
        <v>0</v>
      </c>
      <c r="IM11" s="3254">
        <f t="shared" ca="1" si="23"/>
        <v>0</v>
      </c>
      <c r="IN11" s="3254">
        <f t="shared" ca="1" si="23"/>
        <v>0</v>
      </c>
      <c r="IO11" s="3254">
        <f t="shared" ca="1" si="23"/>
        <v>0</v>
      </c>
      <c r="IP11" s="3254">
        <f t="shared" ca="1" si="23"/>
        <v>0</v>
      </c>
      <c r="IQ11" s="3254">
        <f t="shared" ca="1" si="23"/>
        <v>0</v>
      </c>
      <c r="IR11" s="3254">
        <f t="shared" ca="1" si="23"/>
        <v>0</v>
      </c>
      <c r="IS11" s="3254">
        <f t="shared" ca="1" si="23"/>
        <v>0</v>
      </c>
      <c r="IT11" s="3254">
        <f t="shared" ca="1" si="23"/>
        <v>0</v>
      </c>
      <c r="IU11" s="3254">
        <f t="shared" ca="1" si="23"/>
        <v>0</v>
      </c>
      <c r="IV11" s="3254">
        <f t="shared" ca="1" si="23"/>
        <v>0</v>
      </c>
      <c r="IW11" s="3254">
        <f t="shared" ca="1" si="23"/>
        <v>0</v>
      </c>
      <c r="IX11" s="3254">
        <f t="shared" ca="1" si="23"/>
        <v>0</v>
      </c>
      <c r="IY11" s="3254">
        <f t="shared" ca="1" si="23"/>
        <v>0</v>
      </c>
      <c r="IZ11" s="3254">
        <f t="shared" ca="1" si="23"/>
        <v>0</v>
      </c>
      <c r="JA11" s="3254">
        <f t="shared" ca="1" si="23"/>
        <v>0</v>
      </c>
      <c r="JB11" s="3254">
        <f t="shared" ca="1" si="23"/>
        <v>0</v>
      </c>
      <c r="JC11" s="3254">
        <f t="shared" ca="1" si="23"/>
        <v>0</v>
      </c>
    </row>
    <row r="12" spans="1:263" ht="15" hidden="1" customHeight="1" x14ac:dyDescent="0.25">
      <c r="A12" s="285"/>
      <c r="B12" s="285"/>
      <c r="C12" s="285"/>
      <c r="D12" s="285"/>
      <c r="E12" s="285"/>
      <c r="F12" s="285"/>
      <c r="G12" s="296"/>
      <c r="H12" s="285"/>
      <c r="I12" s="285"/>
      <c r="J12" s="285"/>
      <c r="K12" s="306"/>
      <c r="L12" s="285"/>
      <c r="M12" s="287"/>
      <c r="N12" s="287"/>
      <c r="O12" s="287"/>
      <c r="P12" s="287"/>
      <c r="Q12" s="287"/>
      <c r="R12" s="287"/>
      <c r="S12" s="285"/>
      <c r="T12" s="285"/>
      <c r="U12" s="285"/>
      <c r="V12" s="285"/>
      <c r="W12" s="285"/>
      <c r="X12" s="285"/>
      <c r="Y12" s="285"/>
      <c r="Z12" s="285"/>
      <c r="AA12" s="285"/>
      <c r="AB12" s="285"/>
      <c r="AC12" s="285"/>
      <c r="AD12" s="285"/>
      <c r="AE12" s="285"/>
      <c r="AF12" s="285"/>
      <c r="AG12" s="285"/>
      <c r="AH12" s="285"/>
      <c r="AI12" s="285"/>
      <c r="AJ12" s="285"/>
      <c r="AK12" s="285"/>
      <c r="AL12" s="285"/>
      <c r="AM12" s="285"/>
      <c r="AN12" s="285"/>
      <c r="AO12" s="285"/>
      <c r="AP12" s="285"/>
      <c r="AQ12" s="285"/>
      <c r="AR12" s="285"/>
      <c r="AS12" s="285"/>
      <c r="AT12" s="285"/>
      <c r="AU12" s="285"/>
      <c r="AV12" s="285"/>
      <c r="AW12" s="285"/>
      <c r="AX12" s="285"/>
      <c r="AY12" s="285"/>
      <c r="AZ12" s="285"/>
      <c r="BA12" s="285"/>
      <c r="BB12" s="285"/>
      <c r="BC12" s="285"/>
      <c r="BD12" s="285"/>
      <c r="BE12" s="285"/>
      <c r="BF12" s="285"/>
      <c r="BG12" s="285"/>
      <c r="BH12" s="285"/>
      <c r="BI12" s="285"/>
      <c r="BJ12" s="285"/>
      <c r="BK12" s="285"/>
      <c r="BL12" s="285"/>
      <c r="BM12" s="285"/>
      <c r="BN12" s="285"/>
      <c r="BO12" s="285"/>
      <c r="BP12" s="285"/>
      <c r="BQ12" s="285"/>
      <c r="BR12" s="285"/>
      <c r="BS12" s="285"/>
      <c r="BT12" s="285"/>
      <c r="BU12" s="285"/>
      <c r="BV12" s="285"/>
      <c r="BW12" s="285"/>
      <c r="BX12" s="285"/>
      <c r="BY12" s="285"/>
      <c r="BZ12" s="285"/>
      <c r="CA12" s="285"/>
      <c r="CB12" s="285"/>
      <c r="CC12" s="285"/>
      <c r="CD12" s="285"/>
      <c r="CE12" s="285"/>
      <c r="CF12" s="285"/>
      <c r="CG12" s="285"/>
      <c r="CH12" s="285"/>
      <c r="CI12" s="285"/>
      <c r="CJ12" s="285"/>
      <c r="CK12" s="285"/>
      <c r="CL12" s="285"/>
      <c r="CM12" s="285"/>
      <c r="CN12" s="285"/>
      <c r="CO12" s="285"/>
      <c r="CP12" s="285"/>
      <c r="CQ12" s="285"/>
      <c r="CR12" s="285"/>
      <c r="CS12" s="285"/>
      <c r="CT12" s="285"/>
      <c r="CU12" s="285"/>
      <c r="CV12" s="285"/>
      <c r="CW12" s="285"/>
      <c r="CX12" s="285"/>
      <c r="CY12" s="285"/>
      <c r="CZ12" s="285"/>
      <c r="DA12" s="285"/>
      <c r="DB12" s="285"/>
      <c r="DC12" s="285"/>
      <c r="DD12" s="285"/>
      <c r="DE12" s="285"/>
      <c r="DF12" s="285"/>
      <c r="DG12" s="285"/>
      <c r="DH12" s="285"/>
      <c r="DI12" s="285"/>
      <c r="DJ12" s="285"/>
      <c r="DK12" s="285"/>
      <c r="DL12" s="285"/>
      <c r="DM12" s="285"/>
      <c r="DN12" s="285"/>
      <c r="DO12" s="285"/>
      <c r="DP12" s="290" t="s">
        <v>5</v>
      </c>
      <c r="DQ12" s="290"/>
      <c r="DR12" s="285"/>
      <c r="DS12" s="285"/>
      <c r="DT12" s="285"/>
      <c r="DU12" s="285"/>
      <c r="DV12" s="285"/>
      <c r="DW12" s="285"/>
      <c r="DX12" s="285"/>
      <c r="DY12" s="285"/>
      <c r="DZ12" s="285"/>
      <c r="EA12" s="310" t="s">
        <v>2566</v>
      </c>
      <c r="EB12" s="310" t="s">
        <v>2567</v>
      </c>
      <c r="EC12" s="285"/>
      <c r="ED12" s="285"/>
      <c r="EE12" s="285"/>
      <c r="EF12" s="289"/>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row>
    <row r="13" spans="1:263" ht="15" hidden="1" customHeight="1" x14ac:dyDescent="0.25">
      <c r="A13" s="285"/>
      <c r="B13" s="285"/>
      <c r="C13" s="286"/>
      <c r="D13" s="293"/>
      <c r="E13" s="292"/>
      <c r="F13" s="285"/>
      <c r="G13" s="296" t="s">
        <v>2106</v>
      </c>
      <c r="H13" s="285"/>
      <c r="I13" s="285"/>
      <c r="J13" s="285"/>
      <c r="K13" s="306"/>
      <c r="L13" s="285"/>
      <c r="M13" s="287"/>
      <c r="N13" s="287"/>
      <c r="O13" s="287"/>
      <c r="P13" s="287"/>
      <c r="Q13" s="287"/>
      <c r="R13" s="287"/>
      <c r="S13" s="285"/>
      <c r="T13" s="285"/>
      <c r="U13" s="285"/>
      <c r="V13" s="285"/>
      <c r="W13" s="285"/>
      <c r="X13" s="285"/>
      <c r="Y13" s="285"/>
      <c r="Z13" s="285"/>
      <c r="AA13" s="285"/>
      <c r="AB13" s="285"/>
      <c r="AC13" s="285"/>
      <c r="AD13" s="285"/>
      <c r="AE13" s="285"/>
      <c r="AF13" s="285"/>
      <c r="AG13" s="285"/>
      <c r="AH13" s="285"/>
      <c r="AI13" s="285"/>
      <c r="AJ13" s="285"/>
      <c r="AK13" s="285"/>
      <c r="AL13" s="285"/>
      <c r="AM13" s="285"/>
      <c r="AN13" s="285"/>
      <c r="AO13" s="285"/>
      <c r="AP13" s="285"/>
      <c r="AQ13" s="285"/>
      <c r="AR13" s="285"/>
      <c r="AS13" s="285"/>
      <c r="AT13" s="285"/>
      <c r="AU13" s="285"/>
      <c r="AV13" s="285"/>
      <c r="AW13" s="285"/>
      <c r="AX13" s="285"/>
      <c r="AY13" s="285"/>
      <c r="AZ13" s="285"/>
      <c r="BA13" s="285"/>
      <c r="BB13" s="285"/>
      <c r="BC13" s="285"/>
      <c r="BD13" s="285"/>
      <c r="BE13" s="285"/>
      <c r="BF13" s="285"/>
      <c r="BG13" s="285"/>
      <c r="BH13" s="285"/>
      <c r="BI13" s="285"/>
      <c r="BJ13" s="285"/>
      <c r="BK13" s="285"/>
      <c r="BL13" s="285"/>
      <c r="BM13" s="285"/>
      <c r="BN13" s="285"/>
      <c r="BO13" s="285"/>
      <c r="BP13" s="285"/>
      <c r="BQ13" s="285"/>
      <c r="BR13" s="285"/>
      <c r="BS13" s="285"/>
      <c r="BT13" s="285"/>
      <c r="BU13" s="285"/>
      <c r="BV13" s="285"/>
      <c r="BW13" s="285"/>
      <c r="BX13" s="285"/>
      <c r="BY13" s="285"/>
      <c r="BZ13" s="285"/>
      <c r="CA13" s="285"/>
      <c r="CB13" s="285"/>
      <c r="CC13" s="285"/>
      <c r="CD13" s="285"/>
      <c r="CE13" s="285"/>
      <c r="CF13" s="285"/>
      <c r="CG13" s="285"/>
      <c r="CH13" s="285"/>
      <c r="CI13" s="285"/>
      <c r="CJ13" s="285"/>
      <c r="CK13" s="285"/>
      <c r="CL13" s="285"/>
      <c r="CM13" s="285"/>
      <c r="CN13" s="285"/>
      <c r="CO13" s="285"/>
      <c r="CP13" s="285"/>
      <c r="CQ13" s="285"/>
      <c r="CR13" s="285"/>
      <c r="CS13" s="285"/>
      <c r="CT13" s="285"/>
      <c r="CU13" s="285"/>
      <c r="CV13" s="285"/>
      <c r="CW13" s="285"/>
      <c r="CX13" s="285"/>
      <c r="CY13" s="285"/>
      <c r="CZ13" s="285"/>
      <c r="DA13" s="285"/>
      <c r="DB13" s="285"/>
      <c r="DC13" s="285"/>
      <c r="DD13" s="285"/>
      <c r="DE13" s="285"/>
      <c r="DF13" s="285"/>
      <c r="DG13" s="285"/>
      <c r="DH13" s="285"/>
      <c r="DI13" s="285"/>
      <c r="DJ13" s="285"/>
      <c r="DK13" s="285"/>
      <c r="DL13" s="285"/>
      <c r="DM13" s="285"/>
      <c r="DN13" s="285"/>
      <c r="DO13" s="285"/>
      <c r="DP13" s="290"/>
      <c r="DQ13" s="290"/>
      <c r="DR13" s="285"/>
      <c r="DS13" s="285"/>
      <c r="DT13" s="285"/>
      <c r="DU13" s="285"/>
      <c r="DV13" s="285"/>
      <c r="DW13" s="285"/>
      <c r="DX13" s="285"/>
      <c r="DY13" s="285"/>
      <c r="DZ13" s="285"/>
      <c r="EA13" s="2145" t="e">
        <f>IF($DY$3=1,$EG$126+7*(EA14-1),EOMONTH($EG$126,EA14-2)+1)</f>
        <v>#NUM!</v>
      </c>
      <c r="EB13" s="2145" t="e">
        <f>IF($DY$3=1,$EG$126+7*EB14-1,EOMONTH($EG$126,EB14-1))</f>
        <v>#NUM!</v>
      </c>
      <c r="EC13" s="306"/>
      <c r="ED13" s="285"/>
      <c r="EE13" s="285"/>
      <c r="EF13" s="308" t="s">
        <v>97</v>
      </c>
      <c r="EG13" s="48">
        <f>IF(EG15=1,1,0)</f>
        <v>0</v>
      </c>
      <c r="EH13" s="2476">
        <f>IF(EH15=$EA$15,1,IF(AND(EH29&gt;=$EA$15,EH29&lt;=$EB$15),EG13+1,0))</f>
        <v>0</v>
      </c>
      <c r="EI13" s="49">
        <f t="shared" ref="EI13:GT13" si="24">IF(EI15=$EA$15,1,IF(AND(EI29&gt;=$EA$15,EI29&lt;=$EB$15),EH13+1,0))</f>
        <v>0</v>
      </c>
      <c r="EJ13" s="49">
        <f t="shared" si="24"/>
        <v>0</v>
      </c>
      <c r="EK13" s="49">
        <f t="shared" si="24"/>
        <v>0</v>
      </c>
      <c r="EL13" s="49">
        <f t="shared" si="24"/>
        <v>0</v>
      </c>
      <c r="EM13" s="49">
        <f t="shared" si="24"/>
        <v>0</v>
      </c>
      <c r="EN13" s="49">
        <f t="shared" si="24"/>
        <v>0</v>
      </c>
      <c r="EO13" s="49">
        <f t="shared" si="24"/>
        <v>0</v>
      </c>
      <c r="EP13" s="49">
        <f t="shared" si="24"/>
        <v>0</v>
      </c>
      <c r="EQ13" s="49">
        <f t="shared" si="24"/>
        <v>0</v>
      </c>
      <c r="ER13" s="49">
        <f t="shared" si="24"/>
        <v>0</v>
      </c>
      <c r="ES13" s="49">
        <f t="shared" si="24"/>
        <v>0</v>
      </c>
      <c r="ET13" s="49">
        <f t="shared" si="24"/>
        <v>0</v>
      </c>
      <c r="EU13" s="49">
        <f t="shared" si="24"/>
        <v>0</v>
      </c>
      <c r="EV13" s="49">
        <f t="shared" si="24"/>
        <v>0</v>
      </c>
      <c r="EW13" s="49">
        <f t="shared" si="24"/>
        <v>0</v>
      </c>
      <c r="EX13" s="49">
        <f t="shared" si="24"/>
        <v>0</v>
      </c>
      <c r="EY13" s="49">
        <f t="shared" si="24"/>
        <v>0</v>
      </c>
      <c r="EZ13" s="49">
        <f t="shared" si="24"/>
        <v>0</v>
      </c>
      <c r="FA13" s="49">
        <f t="shared" si="24"/>
        <v>0</v>
      </c>
      <c r="FB13" s="49">
        <f t="shared" si="24"/>
        <v>0</v>
      </c>
      <c r="FC13" s="49">
        <f t="shared" si="24"/>
        <v>0</v>
      </c>
      <c r="FD13" s="49">
        <f t="shared" si="24"/>
        <v>0</v>
      </c>
      <c r="FE13" s="49">
        <f t="shared" si="24"/>
        <v>0</v>
      </c>
      <c r="FF13" s="49">
        <f t="shared" si="24"/>
        <v>0</v>
      </c>
      <c r="FG13" s="49">
        <f t="shared" si="24"/>
        <v>0</v>
      </c>
      <c r="FH13" s="49">
        <f t="shared" si="24"/>
        <v>0</v>
      </c>
      <c r="FI13" s="49">
        <f t="shared" si="24"/>
        <v>0</v>
      </c>
      <c r="FJ13" s="49">
        <f t="shared" si="24"/>
        <v>0</v>
      </c>
      <c r="FK13" s="49">
        <f t="shared" si="24"/>
        <v>0</v>
      </c>
      <c r="FL13" s="49">
        <f t="shared" si="24"/>
        <v>0</v>
      </c>
      <c r="FM13" s="49">
        <f t="shared" si="24"/>
        <v>0</v>
      </c>
      <c r="FN13" s="49">
        <f t="shared" si="24"/>
        <v>0</v>
      </c>
      <c r="FO13" s="49">
        <f t="shared" si="24"/>
        <v>0</v>
      </c>
      <c r="FP13" s="49">
        <f t="shared" si="24"/>
        <v>0</v>
      </c>
      <c r="FQ13" s="49">
        <f t="shared" si="24"/>
        <v>0</v>
      </c>
      <c r="FR13" s="49">
        <f t="shared" si="24"/>
        <v>0</v>
      </c>
      <c r="FS13" s="49">
        <f t="shared" si="24"/>
        <v>0</v>
      </c>
      <c r="FT13" s="49">
        <f t="shared" si="24"/>
        <v>0</v>
      </c>
      <c r="FU13" s="49">
        <f t="shared" si="24"/>
        <v>0</v>
      </c>
      <c r="FV13" s="49">
        <f t="shared" si="24"/>
        <v>0</v>
      </c>
      <c r="FW13" s="49">
        <f t="shared" si="24"/>
        <v>0</v>
      </c>
      <c r="FX13" s="49">
        <f t="shared" si="24"/>
        <v>0</v>
      </c>
      <c r="FY13" s="49">
        <f t="shared" si="24"/>
        <v>0</v>
      </c>
      <c r="FZ13" s="49">
        <f t="shared" si="24"/>
        <v>0</v>
      </c>
      <c r="GA13" s="49">
        <f t="shared" si="24"/>
        <v>0</v>
      </c>
      <c r="GB13" s="49">
        <f t="shared" si="24"/>
        <v>0</v>
      </c>
      <c r="GC13" s="49">
        <f t="shared" si="24"/>
        <v>0</v>
      </c>
      <c r="GD13" s="49">
        <f t="shared" si="24"/>
        <v>0</v>
      </c>
      <c r="GE13" s="49">
        <f t="shared" si="24"/>
        <v>0</v>
      </c>
      <c r="GF13" s="49">
        <f t="shared" si="24"/>
        <v>0</v>
      </c>
      <c r="GG13" s="49">
        <f t="shared" si="24"/>
        <v>0</v>
      </c>
      <c r="GH13" s="49">
        <f t="shared" si="24"/>
        <v>0</v>
      </c>
      <c r="GI13" s="49">
        <f t="shared" si="24"/>
        <v>0</v>
      </c>
      <c r="GJ13" s="49">
        <f t="shared" si="24"/>
        <v>0</v>
      </c>
      <c r="GK13" s="49">
        <f t="shared" si="24"/>
        <v>0</v>
      </c>
      <c r="GL13" s="49">
        <f t="shared" si="24"/>
        <v>0</v>
      </c>
      <c r="GM13" s="49">
        <f t="shared" si="24"/>
        <v>0</v>
      </c>
      <c r="GN13" s="49">
        <f t="shared" si="24"/>
        <v>0</v>
      </c>
      <c r="GO13" s="49">
        <f t="shared" si="24"/>
        <v>0</v>
      </c>
      <c r="GP13" s="49">
        <f t="shared" si="24"/>
        <v>0</v>
      </c>
      <c r="GQ13" s="49">
        <f t="shared" si="24"/>
        <v>0</v>
      </c>
      <c r="GR13" s="49">
        <f t="shared" si="24"/>
        <v>0</v>
      </c>
      <c r="GS13" s="49">
        <f t="shared" si="24"/>
        <v>0</v>
      </c>
      <c r="GT13" s="49">
        <f t="shared" si="24"/>
        <v>0</v>
      </c>
      <c r="GU13" s="49">
        <f t="shared" ref="GU13:JC13" si="25">IF(GU15=$EA$15,1,IF(AND(GU29&gt;=$EA$15,GU29&lt;=$EB$15),GT13+1,0))</f>
        <v>0</v>
      </c>
      <c r="GV13" s="49">
        <f t="shared" si="25"/>
        <v>0</v>
      </c>
      <c r="GW13" s="49">
        <f t="shared" si="25"/>
        <v>0</v>
      </c>
      <c r="GX13" s="49">
        <f t="shared" si="25"/>
        <v>0</v>
      </c>
      <c r="GY13" s="49">
        <f t="shared" si="25"/>
        <v>0</v>
      </c>
      <c r="GZ13" s="49">
        <f t="shared" si="25"/>
        <v>0</v>
      </c>
      <c r="HA13" s="49">
        <f t="shared" si="25"/>
        <v>0</v>
      </c>
      <c r="HB13" s="49">
        <f t="shared" si="25"/>
        <v>0</v>
      </c>
      <c r="HC13" s="49">
        <f t="shared" si="25"/>
        <v>0</v>
      </c>
      <c r="HD13" s="49">
        <f t="shared" si="25"/>
        <v>0</v>
      </c>
      <c r="HE13" s="49">
        <f t="shared" si="25"/>
        <v>0</v>
      </c>
      <c r="HF13" s="49">
        <f t="shared" si="25"/>
        <v>0</v>
      </c>
      <c r="HG13" s="49">
        <f t="shared" si="25"/>
        <v>0</v>
      </c>
      <c r="HH13" s="49">
        <f t="shared" si="25"/>
        <v>0</v>
      </c>
      <c r="HI13" s="49">
        <f t="shared" si="25"/>
        <v>0</v>
      </c>
      <c r="HJ13" s="49">
        <f t="shared" si="25"/>
        <v>0</v>
      </c>
      <c r="HK13" s="49">
        <f t="shared" si="25"/>
        <v>0</v>
      </c>
      <c r="HL13" s="49">
        <f t="shared" si="25"/>
        <v>0</v>
      </c>
      <c r="HM13" s="49">
        <f t="shared" si="25"/>
        <v>0</v>
      </c>
      <c r="HN13" s="49">
        <f t="shared" si="25"/>
        <v>0</v>
      </c>
      <c r="HO13" s="49">
        <f t="shared" si="25"/>
        <v>0</v>
      </c>
      <c r="HP13" s="49">
        <f t="shared" si="25"/>
        <v>0</v>
      </c>
      <c r="HQ13" s="49">
        <f t="shared" si="25"/>
        <v>0</v>
      </c>
      <c r="HR13" s="49">
        <f t="shared" si="25"/>
        <v>0</v>
      </c>
      <c r="HS13" s="49">
        <f t="shared" si="25"/>
        <v>0</v>
      </c>
      <c r="HT13" s="49">
        <f t="shared" si="25"/>
        <v>0</v>
      </c>
      <c r="HU13" s="49">
        <f t="shared" si="25"/>
        <v>0</v>
      </c>
      <c r="HV13" s="49">
        <f t="shared" si="25"/>
        <v>0</v>
      </c>
      <c r="HW13" s="49">
        <f t="shared" si="25"/>
        <v>0</v>
      </c>
      <c r="HX13" s="49">
        <f t="shared" si="25"/>
        <v>0</v>
      </c>
      <c r="HY13" s="49">
        <f t="shared" si="25"/>
        <v>0</v>
      </c>
      <c r="HZ13" s="49">
        <f t="shared" si="25"/>
        <v>0</v>
      </c>
      <c r="IA13" s="49">
        <f t="shared" si="25"/>
        <v>0</v>
      </c>
      <c r="IB13" s="49">
        <f t="shared" si="25"/>
        <v>0</v>
      </c>
      <c r="IC13" s="49">
        <f t="shared" si="25"/>
        <v>0</v>
      </c>
      <c r="ID13" s="49">
        <f t="shared" si="25"/>
        <v>0</v>
      </c>
      <c r="IE13" s="49">
        <f t="shared" si="25"/>
        <v>0</v>
      </c>
      <c r="IF13" s="49">
        <f t="shared" si="25"/>
        <v>0</v>
      </c>
      <c r="IG13" s="49">
        <f t="shared" si="25"/>
        <v>0</v>
      </c>
      <c r="IH13" s="49">
        <f t="shared" si="25"/>
        <v>0</v>
      </c>
      <c r="II13" s="49">
        <f t="shared" si="25"/>
        <v>0</v>
      </c>
      <c r="IJ13" s="49">
        <f t="shared" si="25"/>
        <v>0</v>
      </c>
      <c r="IK13" s="49">
        <f t="shared" si="25"/>
        <v>0</v>
      </c>
      <c r="IL13" s="49">
        <f t="shared" si="25"/>
        <v>0</v>
      </c>
      <c r="IM13" s="49">
        <f t="shared" si="25"/>
        <v>0</v>
      </c>
      <c r="IN13" s="49">
        <f t="shared" si="25"/>
        <v>0</v>
      </c>
      <c r="IO13" s="49">
        <f t="shared" si="25"/>
        <v>0</v>
      </c>
      <c r="IP13" s="49">
        <f t="shared" si="25"/>
        <v>0</v>
      </c>
      <c r="IQ13" s="49">
        <f t="shared" si="25"/>
        <v>0</v>
      </c>
      <c r="IR13" s="49">
        <f t="shared" si="25"/>
        <v>0</v>
      </c>
      <c r="IS13" s="49">
        <f t="shared" si="25"/>
        <v>0</v>
      </c>
      <c r="IT13" s="49">
        <f t="shared" si="25"/>
        <v>0</v>
      </c>
      <c r="IU13" s="49">
        <f t="shared" si="25"/>
        <v>0</v>
      </c>
      <c r="IV13" s="49">
        <f t="shared" si="25"/>
        <v>0</v>
      </c>
      <c r="IW13" s="49">
        <f t="shared" si="25"/>
        <v>0</v>
      </c>
      <c r="IX13" s="49">
        <f t="shared" si="25"/>
        <v>0</v>
      </c>
      <c r="IY13" s="49">
        <f t="shared" si="25"/>
        <v>0</v>
      </c>
      <c r="IZ13" s="49">
        <f t="shared" si="25"/>
        <v>0</v>
      </c>
      <c r="JA13" s="49">
        <f t="shared" si="25"/>
        <v>0</v>
      </c>
      <c r="JB13" s="49">
        <f t="shared" si="25"/>
        <v>0</v>
      </c>
      <c r="JC13" s="49">
        <f t="shared" si="25"/>
        <v>0</v>
      </c>
    </row>
    <row r="14" spans="1:263" ht="15" hidden="1" customHeight="1" x14ac:dyDescent="0.25">
      <c r="A14" s="285"/>
      <c r="B14" s="285"/>
      <c r="C14" s="312"/>
      <c r="D14" s="293"/>
      <c r="E14" s="292"/>
      <c r="F14" s="285"/>
      <c r="G14" s="296" t="s">
        <v>3945</v>
      </c>
      <c r="H14" s="285"/>
      <c r="I14" s="285"/>
      <c r="J14" s="285"/>
      <c r="K14" s="306"/>
      <c r="L14" s="285"/>
      <c r="M14" s="287"/>
      <c r="N14" s="287"/>
      <c r="O14" s="287"/>
      <c r="P14" s="287"/>
      <c r="Q14" s="287"/>
      <c r="R14" s="287"/>
      <c r="S14" s="285"/>
      <c r="T14" s="285"/>
      <c r="U14" s="285"/>
      <c r="V14" s="285"/>
      <c r="W14" s="285"/>
      <c r="X14" s="285"/>
      <c r="Y14" s="285"/>
      <c r="Z14" s="285"/>
      <c r="AA14" s="285"/>
      <c r="AB14" s="285"/>
      <c r="AC14" s="285"/>
      <c r="AD14" s="285"/>
      <c r="AE14" s="285"/>
      <c r="AF14" s="285"/>
      <c r="AG14" s="285"/>
      <c r="AH14" s="285"/>
      <c r="AI14" s="285"/>
      <c r="AJ14" s="285"/>
      <c r="AK14" s="285"/>
      <c r="AL14" s="285"/>
      <c r="AM14" s="285"/>
      <c r="AN14" s="285"/>
      <c r="AO14" s="285"/>
      <c r="AP14" s="285"/>
      <c r="AQ14" s="285"/>
      <c r="AR14" s="285"/>
      <c r="AS14" s="285"/>
      <c r="AT14" s="285"/>
      <c r="AU14" s="285"/>
      <c r="AV14" s="285"/>
      <c r="AW14" s="285"/>
      <c r="AX14" s="285"/>
      <c r="AY14" s="285"/>
      <c r="AZ14" s="285"/>
      <c r="BA14" s="285"/>
      <c r="BB14" s="285"/>
      <c r="BC14" s="285"/>
      <c r="BD14" s="285"/>
      <c r="BE14" s="285"/>
      <c r="BF14" s="285"/>
      <c r="BG14" s="285"/>
      <c r="BH14" s="285"/>
      <c r="BI14" s="285"/>
      <c r="BJ14" s="285"/>
      <c r="BK14" s="285"/>
      <c r="BL14" s="285"/>
      <c r="BM14" s="285"/>
      <c r="BN14" s="285"/>
      <c r="BO14" s="285"/>
      <c r="BP14" s="285"/>
      <c r="BQ14" s="285"/>
      <c r="BR14" s="285"/>
      <c r="BS14" s="285"/>
      <c r="BT14" s="285"/>
      <c r="BU14" s="285"/>
      <c r="BV14" s="285"/>
      <c r="BW14" s="285"/>
      <c r="BX14" s="285"/>
      <c r="BY14" s="285"/>
      <c r="BZ14" s="285"/>
      <c r="CA14" s="285"/>
      <c r="CB14" s="285"/>
      <c r="CC14" s="285"/>
      <c r="CD14" s="285"/>
      <c r="CE14" s="285"/>
      <c r="CF14" s="285"/>
      <c r="CG14" s="285"/>
      <c r="CH14" s="285"/>
      <c r="CI14" s="285"/>
      <c r="CJ14" s="285"/>
      <c r="CK14" s="285"/>
      <c r="CL14" s="285"/>
      <c r="CM14" s="285"/>
      <c r="CN14" s="285"/>
      <c r="CO14" s="285"/>
      <c r="CP14" s="285"/>
      <c r="CQ14" s="285"/>
      <c r="CR14" s="285"/>
      <c r="CS14" s="285"/>
      <c r="CT14" s="285"/>
      <c r="CU14" s="285"/>
      <c r="CV14" s="285"/>
      <c r="CW14" s="285"/>
      <c r="CX14" s="285"/>
      <c r="CY14" s="285"/>
      <c r="CZ14" s="285"/>
      <c r="DA14" s="285"/>
      <c r="DB14" s="285"/>
      <c r="DC14" s="285"/>
      <c r="DD14" s="285"/>
      <c r="DE14" s="285"/>
      <c r="DF14" s="285"/>
      <c r="DG14" s="285"/>
      <c r="DH14" s="285"/>
      <c r="DI14" s="285"/>
      <c r="DJ14" s="285"/>
      <c r="DK14" s="285"/>
      <c r="DL14" s="285"/>
      <c r="DM14" s="285"/>
      <c r="DN14" s="285"/>
      <c r="DO14" s="285"/>
      <c r="DP14" s="290" t="s">
        <v>5</v>
      </c>
      <c r="DQ14" s="290"/>
      <c r="DR14" s="285"/>
      <c r="DS14" s="285"/>
      <c r="DT14" s="285"/>
      <c r="DU14" s="285"/>
      <c r="DV14" s="285"/>
      <c r="DW14" s="285"/>
      <c r="DX14" s="285"/>
      <c r="DY14" s="285"/>
      <c r="DZ14" s="285"/>
      <c r="EA14" s="60">
        <f>_xlfn.MINIFS(EG14:JD14,EG14:JD14,"&gt;0")</f>
        <v>0</v>
      </c>
      <c r="EB14" s="60">
        <f>MAX(EG14:JD14)</f>
        <v>0</v>
      </c>
      <c r="EC14" s="285"/>
      <c r="ED14" s="285"/>
      <c r="EE14" s="285"/>
      <c r="EF14" s="308" t="s">
        <v>2541</v>
      </c>
      <c r="EG14" s="48">
        <f>IF(SUMPRODUCT(EG$129:EG$305,$DF$129:$DF$305)&gt;0,EG29*EG17,0)</f>
        <v>0</v>
      </c>
      <c r="EH14" s="49">
        <f t="shared" ref="EH14:GS14" si="26">IF(SUMPRODUCT(EH$129:EH$305,$DF$129:$DF$305)&gt;0,EH29*EH17,0)</f>
        <v>0</v>
      </c>
      <c r="EI14" s="49">
        <f t="shared" si="26"/>
        <v>0</v>
      </c>
      <c r="EJ14" s="49">
        <f t="shared" si="26"/>
        <v>0</v>
      </c>
      <c r="EK14" s="49">
        <f t="shared" si="26"/>
        <v>0</v>
      </c>
      <c r="EL14" s="49">
        <f t="shared" si="26"/>
        <v>0</v>
      </c>
      <c r="EM14" s="49">
        <f t="shared" si="26"/>
        <v>0</v>
      </c>
      <c r="EN14" s="49">
        <f t="shared" si="26"/>
        <v>0</v>
      </c>
      <c r="EO14" s="49">
        <f t="shared" si="26"/>
        <v>0</v>
      </c>
      <c r="EP14" s="49">
        <f t="shared" si="26"/>
        <v>0</v>
      </c>
      <c r="EQ14" s="49">
        <f t="shared" si="26"/>
        <v>0</v>
      </c>
      <c r="ER14" s="49">
        <f t="shared" si="26"/>
        <v>0</v>
      </c>
      <c r="ES14" s="49">
        <f t="shared" si="26"/>
        <v>0</v>
      </c>
      <c r="ET14" s="49">
        <f t="shared" si="26"/>
        <v>0</v>
      </c>
      <c r="EU14" s="49">
        <f t="shared" si="26"/>
        <v>0</v>
      </c>
      <c r="EV14" s="49">
        <f t="shared" si="26"/>
        <v>0</v>
      </c>
      <c r="EW14" s="49">
        <f t="shared" si="26"/>
        <v>0</v>
      </c>
      <c r="EX14" s="49">
        <f t="shared" si="26"/>
        <v>0</v>
      </c>
      <c r="EY14" s="49">
        <f t="shared" si="26"/>
        <v>0</v>
      </c>
      <c r="EZ14" s="49">
        <f t="shared" si="26"/>
        <v>0</v>
      </c>
      <c r="FA14" s="49">
        <f t="shared" si="26"/>
        <v>0</v>
      </c>
      <c r="FB14" s="49">
        <f t="shared" si="26"/>
        <v>0</v>
      </c>
      <c r="FC14" s="49">
        <f t="shared" si="26"/>
        <v>0</v>
      </c>
      <c r="FD14" s="49">
        <f t="shared" si="26"/>
        <v>0</v>
      </c>
      <c r="FE14" s="49">
        <f t="shared" si="26"/>
        <v>0</v>
      </c>
      <c r="FF14" s="49">
        <f t="shared" si="26"/>
        <v>0</v>
      </c>
      <c r="FG14" s="49">
        <f t="shared" si="26"/>
        <v>0</v>
      </c>
      <c r="FH14" s="49">
        <f t="shared" si="26"/>
        <v>0</v>
      </c>
      <c r="FI14" s="49">
        <f t="shared" si="26"/>
        <v>0</v>
      </c>
      <c r="FJ14" s="49">
        <f t="shared" si="26"/>
        <v>0</v>
      </c>
      <c r="FK14" s="49">
        <f t="shared" si="26"/>
        <v>0</v>
      </c>
      <c r="FL14" s="49">
        <f t="shared" si="26"/>
        <v>0</v>
      </c>
      <c r="FM14" s="49">
        <f t="shared" si="26"/>
        <v>0</v>
      </c>
      <c r="FN14" s="49">
        <f t="shared" si="26"/>
        <v>0</v>
      </c>
      <c r="FO14" s="49">
        <f t="shared" si="26"/>
        <v>0</v>
      </c>
      <c r="FP14" s="49">
        <f t="shared" si="26"/>
        <v>0</v>
      </c>
      <c r="FQ14" s="49">
        <f t="shared" si="26"/>
        <v>0</v>
      </c>
      <c r="FR14" s="49">
        <f t="shared" si="26"/>
        <v>0</v>
      </c>
      <c r="FS14" s="49">
        <f t="shared" si="26"/>
        <v>0</v>
      </c>
      <c r="FT14" s="49">
        <f t="shared" si="26"/>
        <v>0</v>
      </c>
      <c r="FU14" s="49">
        <f t="shared" si="26"/>
        <v>0</v>
      </c>
      <c r="FV14" s="49">
        <f t="shared" si="26"/>
        <v>0</v>
      </c>
      <c r="FW14" s="49">
        <f t="shared" si="26"/>
        <v>0</v>
      </c>
      <c r="FX14" s="49">
        <f t="shared" si="26"/>
        <v>0</v>
      </c>
      <c r="FY14" s="49">
        <f t="shared" si="26"/>
        <v>0</v>
      </c>
      <c r="FZ14" s="49">
        <f t="shared" si="26"/>
        <v>0</v>
      </c>
      <c r="GA14" s="49">
        <f t="shared" si="26"/>
        <v>0</v>
      </c>
      <c r="GB14" s="49">
        <f t="shared" si="26"/>
        <v>0</v>
      </c>
      <c r="GC14" s="49">
        <f t="shared" si="26"/>
        <v>0</v>
      </c>
      <c r="GD14" s="49">
        <f t="shared" si="26"/>
        <v>0</v>
      </c>
      <c r="GE14" s="49">
        <f t="shared" si="26"/>
        <v>0</v>
      </c>
      <c r="GF14" s="49">
        <f t="shared" si="26"/>
        <v>0</v>
      </c>
      <c r="GG14" s="49">
        <f t="shared" si="26"/>
        <v>0</v>
      </c>
      <c r="GH14" s="49">
        <f t="shared" si="26"/>
        <v>0</v>
      </c>
      <c r="GI14" s="49">
        <f t="shared" si="26"/>
        <v>0</v>
      </c>
      <c r="GJ14" s="49">
        <f t="shared" si="26"/>
        <v>0</v>
      </c>
      <c r="GK14" s="49">
        <f t="shared" si="26"/>
        <v>0</v>
      </c>
      <c r="GL14" s="49">
        <f t="shared" si="26"/>
        <v>0</v>
      </c>
      <c r="GM14" s="49">
        <f t="shared" si="26"/>
        <v>0</v>
      </c>
      <c r="GN14" s="49">
        <f t="shared" si="26"/>
        <v>0</v>
      </c>
      <c r="GO14" s="49">
        <f t="shared" si="26"/>
        <v>0</v>
      </c>
      <c r="GP14" s="49">
        <f t="shared" si="26"/>
        <v>0</v>
      </c>
      <c r="GQ14" s="49">
        <f t="shared" si="26"/>
        <v>0</v>
      </c>
      <c r="GR14" s="49">
        <f t="shared" si="26"/>
        <v>0</v>
      </c>
      <c r="GS14" s="49">
        <f t="shared" si="26"/>
        <v>0</v>
      </c>
      <c r="GT14" s="49">
        <f t="shared" ref="GT14:JC14" si="27">IF(SUMPRODUCT(GT$129:GT$305,$DF$129:$DF$305)&gt;0,GT29*GT17,0)</f>
        <v>0</v>
      </c>
      <c r="GU14" s="49">
        <f t="shared" si="27"/>
        <v>0</v>
      </c>
      <c r="GV14" s="49">
        <f t="shared" si="27"/>
        <v>0</v>
      </c>
      <c r="GW14" s="49">
        <f t="shared" si="27"/>
        <v>0</v>
      </c>
      <c r="GX14" s="49">
        <f t="shared" si="27"/>
        <v>0</v>
      </c>
      <c r="GY14" s="49">
        <f t="shared" si="27"/>
        <v>0</v>
      </c>
      <c r="GZ14" s="49">
        <f t="shared" si="27"/>
        <v>0</v>
      </c>
      <c r="HA14" s="49">
        <f t="shared" si="27"/>
        <v>0</v>
      </c>
      <c r="HB14" s="49">
        <f t="shared" si="27"/>
        <v>0</v>
      </c>
      <c r="HC14" s="49">
        <f t="shared" si="27"/>
        <v>0</v>
      </c>
      <c r="HD14" s="49">
        <f t="shared" si="27"/>
        <v>0</v>
      </c>
      <c r="HE14" s="49">
        <f t="shared" si="27"/>
        <v>0</v>
      </c>
      <c r="HF14" s="49">
        <f t="shared" si="27"/>
        <v>0</v>
      </c>
      <c r="HG14" s="49">
        <f t="shared" si="27"/>
        <v>0</v>
      </c>
      <c r="HH14" s="49">
        <f t="shared" si="27"/>
        <v>0</v>
      </c>
      <c r="HI14" s="49">
        <f t="shared" si="27"/>
        <v>0</v>
      </c>
      <c r="HJ14" s="49">
        <f t="shared" si="27"/>
        <v>0</v>
      </c>
      <c r="HK14" s="49">
        <f t="shared" si="27"/>
        <v>0</v>
      </c>
      <c r="HL14" s="49">
        <f t="shared" si="27"/>
        <v>0</v>
      </c>
      <c r="HM14" s="49">
        <f t="shared" si="27"/>
        <v>0</v>
      </c>
      <c r="HN14" s="49">
        <f t="shared" si="27"/>
        <v>0</v>
      </c>
      <c r="HO14" s="49">
        <f t="shared" si="27"/>
        <v>0</v>
      </c>
      <c r="HP14" s="49">
        <f t="shared" si="27"/>
        <v>0</v>
      </c>
      <c r="HQ14" s="49">
        <f t="shared" si="27"/>
        <v>0</v>
      </c>
      <c r="HR14" s="49">
        <f t="shared" si="27"/>
        <v>0</v>
      </c>
      <c r="HS14" s="49">
        <f t="shared" si="27"/>
        <v>0</v>
      </c>
      <c r="HT14" s="49">
        <f t="shared" si="27"/>
        <v>0</v>
      </c>
      <c r="HU14" s="49">
        <f t="shared" si="27"/>
        <v>0</v>
      </c>
      <c r="HV14" s="49">
        <f t="shared" si="27"/>
        <v>0</v>
      </c>
      <c r="HW14" s="49">
        <f t="shared" si="27"/>
        <v>0</v>
      </c>
      <c r="HX14" s="49">
        <f t="shared" si="27"/>
        <v>0</v>
      </c>
      <c r="HY14" s="49">
        <f t="shared" si="27"/>
        <v>0</v>
      </c>
      <c r="HZ14" s="49">
        <f t="shared" si="27"/>
        <v>0</v>
      </c>
      <c r="IA14" s="49">
        <f t="shared" si="27"/>
        <v>0</v>
      </c>
      <c r="IB14" s="49">
        <f t="shared" si="27"/>
        <v>0</v>
      </c>
      <c r="IC14" s="49">
        <f t="shared" si="27"/>
        <v>0</v>
      </c>
      <c r="ID14" s="49">
        <f t="shared" si="27"/>
        <v>0</v>
      </c>
      <c r="IE14" s="49">
        <f t="shared" si="27"/>
        <v>0</v>
      </c>
      <c r="IF14" s="49">
        <f t="shared" si="27"/>
        <v>0</v>
      </c>
      <c r="IG14" s="49">
        <f t="shared" si="27"/>
        <v>0</v>
      </c>
      <c r="IH14" s="49">
        <f t="shared" si="27"/>
        <v>0</v>
      </c>
      <c r="II14" s="49">
        <f t="shared" si="27"/>
        <v>0</v>
      </c>
      <c r="IJ14" s="49">
        <f t="shared" si="27"/>
        <v>0</v>
      </c>
      <c r="IK14" s="49">
        <f t="shared" si="27"/>
        <v>0</v>
      </c>
      <c r="IL14" s="49">
        <f t="shared" si="27"/>
        <v>0</v>
      </c>
      <c r="IM14" s="49">
        <f t="shared" si="27"/>
        <v>0</v>
      </c>
      <c r="IN14" s="49">
        <f t="shared" si="27"/>
        <v>0</v>
      </c>
      <c r="IO14" s="49">
        <f t="shared" si="27"/>
        <v>0</v>
      </c>
      <c r="IP14" s="49">
        <f t="shared" si="27"/>
        <v>0</v>
      </c>
      <c r="IQ14" s="49">
        <f t="shared" si="27"/>
        <v>0</v>
      </c>
      <c r="IR14" s="49">
        <f t="shared" si="27"/>
        <v>0</v>
      </c>
      <c r="IS14" s="49">
        <f t="shared" si="27"/>
        <v>0</v>
      </c>
      <c r="IT14" s="49">
        <f t="shared" si="27"/>
        <v>0</v>
      </c>
      <c r="IU14" s="49">
        <f t="shared" si="27"/>
        <v>0</v>
      </c>
      <c r="IV14" s="49">
        <f t="shared" si="27"/>
        <v>0</v>
      </c>
      <c r="IW14" s="49">
        <f t="shared" si="27"/>
        <v>0</v>
      </c>
      <c r="IX14" s="49">
        <f t="shared" si="27"/>
        <v>0</v>
      </c>
      <c r="IY14" s="49">
        <f t="shared" si="27"/>
        <v>0</v>
      </c>
      <c r="IZ14" s="49">
        <f t="shared" si="27"/>
        <v>0</v>
      </c>
      <c r="JA14" s="49">
        <f t="shared" si="27"/>
        <v>0</v>
      </c>
      <c r="JB14" s="49">
        <f t="shared" si="27"/>
        <v>0</v>
      </c>
      <c r="JC14" s="49">
        <f t="shared" si="27"/>
        <v>0</v>
      </c>
    </row>
    <row r="15" spans="1:263" ht="15" hidden="1" customHeight="1" x14ac:dyDescent="0.25">
      <c r="A15" s="285"/>
      <c r="B15" s="285"/>
      <c r="C15" s="312" t="s">
        <v>3386</v>
      </c>
      <c r="D15" s="293"/>
      <c r="E15" s="292"/>
      <c r="F15" s="285"/>
      <c r="G15" s="285"/>
      <c r="H15" s="285"/>
      <c r="I15" s="285"/>
      <c r="J15" s="285"/>
      <c r="K15" s="306"/>
      <c r="L15" s="285"/>
      <c r="M15" s="287"/>
      <c r="N15" s="287"/>
      <c r="O15" s="287"/>
      <c r="P15" s="287"/>
      <c r="Q15" s="287"/>
      <c r="R15" s="287"/>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90"/>
      <c r="DQ15" s="290"/>
      <c r="DR15" s="285"/>
      <c r="DS15" s="285"/>
      <c r="DT15" s="285"/>
      <c r="DU15" s="285"/>
      <c r="DV15" s="285"/>
      <c r="DW15" s="285"/>
      <c r="DX15" s="285"/>
      <c r="DY15" s="285"/>
      <c r="DZ15" s="285"/>
      <c r="EA15" s="60">
        <f>MAX(_xlfn.MINIFS(EG15:JD15,EG15:JD15,"&gt;0"),0.000001)</f>
        <v>9.9999999999999995E-7</v>
      </c>
      <c r="EB15" s="60">
        <f>MAX(EG15:JD15)</f>
        <v>0</v>
      </c>
      <c r="EC15" s="285"/>
      <c r="ED15" s="285"/>
      <c r="EE15" s="285"/>
      <c r="EF15" s="308" t="s">
        <v>2540</v>
      </c>
      <c r="EG15" s="48">
        <f>IF(SUM(EG$129:EG$305)&gt;0,EG29,0)</f>
        <v>0</v>
      </c>
      <c r="EH15" s="49">
        <f t="shared" ref="EH15:GS15" si="28">IF(SUM(EH$129:EH$305)&gt;0,EH29,0)</f>
        <v>0</v>
      </c>
      <c r="EI15" s="49">
        <f t="shared" si="28"/>
        <v>0</v>
      </c>
      <c r="EJ15" s="49">
        <f t="shared" si="28"/>
        <v>0</v>
      </c>
      <c r="EK15" s="49">
        <f t="shared" si="28"/>
        <v>0</v>
      </c>
      <c r="EL15" s="49">
        <f t="shared" si="28"/>
        <v>0</v>
      </c>
      <c r="EM15" s="49">
        <f t="shared" si="28"/>
        <v>0</v>
      </c>
      <c r="EN15" s="49">
        <f t="shared" si="28"/>
        <v>0</v>
      </c>
      <c r="EO15" s="49">
        <f t="shared" si="28"/>
        <v>0</v>
      </c>
      <c r="EP15" s="49">
        <f t="shared" si="28"/>
        <v>0</v>
      </c>
      <c r="EQ15" s="49">
        <f t="shared" si="28"/>
        <v>0</v>
      </c>
      <c r="ER15" s="49">
        <f t="shared" si="28"/>
        <v>0</v>
      </c>
      <c r="ES15" s="49">
        <f t="shared" si="28"/>
        <v>0</v>
      </c>
      <c r="ET15" s="49">
        <f t="shared" si="28"/>
        <v>0</v>
      </c>
      <c r="EU15" s="49">
        <f t="shared" si="28"/>
        <v>0</v>
      </c>
      <c r="EV15" s="49">
        <f t="shared" si="28"/>
        <v>0</v>
      </c>
      <c r="EW15" s="49">
        <f t="shared" si="28"/>
        <v>0</v>
      </c>
      <c r="EX15" s="49">
        <f t="shared" si="28"/>
        <v>0</v>
      </c>
      <c r="EY15" s="49">
        <f t="shared" si="28"/>
        <v>0</v>
      </c>
      <c r="EZ15" s="49">
        <f t="shared" si="28"/>
        <v>0</v>
      </c>
      <c r="FA15" s="49">
        <f t="shared" si="28"/>
        <v>0</v>
      </c>
      <c r="FB15" s="49">
        <f t="shared" si="28"/>
        <v>0</v>
      </c>
      <c r="FC15" s="49">
        <f t="shared" si="28"/>
        <v>0</v>
      </c>
      <c r="FD15" s="49">
        <f t="shared" si="28"/>
        <v>0</v>
      </c>
      <c r="FE15" s="49">
        <f t="shared" si="28"/>
        <v>0</v>
      </c>
      <c r="FF15" s="49">
        <f t="shared" si="28"/>
        <v>0</v>
      </c>
      <c r="FG15" s="49">
        <f t="shared" si="28"/>
        <v>0</v>
      </c>
      <c r="FH15" s="49">
        <f t="shared" si="28"/>
        <v>0</v>
      </c>
      <c r="FI15" s="49">
        <f t="shared" si="28"/>
        <v>0</v>
      </c>
      <c r="FJ15" s="49">
        <f t="shared" si="28"/>
        <v>0</v>
      </c>
      <c r="FK15" s="49">
        <f t="shared" si="28"/>
        <v>0</v>
      </c>
      <c r="FL15" s="49">
        <f t="shared" si="28"/>
        <v>0</v>
      </c>
      <c r="FM15" s="49">
        <f t="shared" si="28"/>
        <v>0</v>
      </c>
      <c r="FN15" s="49">
        <f t="shared" si="28"/>
        <v>0</v>
      </c>
      <c r="FO15" s="49">
        <f t="shared" si="28"/>
        <v>0</v>
      </c>
      <c r="FP15" s="49">
        <f t="shared" si="28"/>
        <v>0</v>
      </c>
      <c r="FQ15" s="49">
        <f t="shared" si="28"/>
        <v>0</v>
      </c>
      <c r="FR15" s="49">
        <f t="shared" si="28"/>
        <v>0</v>
      </c>
      <c r="FS15" s="49">
        <f t="shared" si="28"/>
        <v>0</v>
      </c>
      <c r="FT15" s="49">
        <f t="shared" si="28"/>
        <v>0</v>
      </c>
      <c r="FU15" s="49">
        <f t="shared" si="28"/>
        <v>0</v>
      </c>
      <c r="FV15" s="49">
        <f t="shared" si="28"/>
        <v>0</v>
      </c>
      <c r="FW15" s="49">
        <f t="shared" si="28"/>
        <v>0</v>
      </c>
      <c r="FX15" s="49">
        <f t="shared" si="28"/>
        <v>0</v>
      </c>
      <c r="FY15" s="49">
        <f t="shared" si="28"/>
        <v>0</v>
      </c>
      <c r="FZ15" s="49">
        <f t="shared" si="28"/>
        <v>0</v>
      </c>
      <c r="GA15" s="49">
        <f t="shared" si="28"/>
        <v>0</v>
      </c>
      <c r="GB15" s="49">
        <f t="shared" si="28"/>
        <v>0</v>
      </c>
      <c r="GC15" s="49">
        <f t="shared" si="28"/>
        <v>0</v>
      </c>
      <c r="GD15" s="49">
        <f t="shared" si="28"/>
        <v>0</v>
      </c>
      <c r="GE15" s="49">
        <f t="shared" si="28"/>
        <v>0</v>
      </c>
      <c r="GF15" s="49">
        <f t="shared" si="28"/>
        <v>0</v>
      </c>
      <c r="GG15" s="49">
        <f t="shared" si="28"/>
        <v>0</v>
      </c>
      <c r="GH15" s="49">
        <f t="shared" si="28"/>
        <v>0</v>
      </c>
      <c r="GI15" s="49">
        <f t="shared" si="28"/>
        <v>0</v>
      </c>
      <c r="GJ15" s="49">
        <f t="shared" si="28"/>
        <v>0</v>
      </c>
      <c r="GK15" s="49">
        <f t="shared" si="28"/>
        <v>0</v>
      </c>
      <c r="GL15" s="49">
        <f t="shared" si="28"/>
        <v>0</v>
      </c>
      <c r="GM15" s="49">
        <f t="shared" si="28"/>
        <v>0</v>
      </c>
      <c r="GN15" s="49">
        <f t="shared" si="28"/>
        <v>0</v>
      </c>
      <c r="GO15" s="49">
        <f t="shared" si="28"/>
        <v>0</v>
      </c>
      <c r="GP15" s="49">
        <f t="shared" si="28"/>
        <v>0</v>
      </c>
      <c r="GQ15" s="49">
        <f t="shared" si="28"/>
        <v>0</v>
      </c>
      <c r="GR15" s="49">
        <f t="shared" si="28"/>
        <v>0</v>
      </c>
      <c r="GS15" s="49">
        <f t="shared" si="28"/>
        <v>0</v>
      </c>
      <c r="GT15" s="49">
        <f t="shared" ref="GT15:JC15" si="29">IF(SUM(GT$129:GT$305)&gt;0,GT29,0)</f>
        <v>0</v>
      </c>
      <c r="GU15" s="49">
        <f t="shared" si="29"/>
        <v>0</v>
      </c>
      <c r="GV15" s="49">
        <f t="shared" si="29"/>
        <v>0</v>
      </c>
      <c r="GW15" s="49">
        <f t="shared" si="29"/>
        <v>0</v>
      </c>
      <c r="GX15" s="49">
        <f t="shared" si="29"/>
        <v>0</v>
      </c>
      <c r="GY15" s="49">
        <f t="shared" si="29"/>
        <v>0</v>
      </c>
      <c r="GZ15" s="49">
        <f t="shared" si="29"/>
        <v>0</v>
      </c>
      <c r="HA15" s="49">
        <f t="shared" si="29"/>
        <v>0</v>
      </c>
      <c r="HB15" s="49">
        <f t="shared" si="29"/>
        <v>0</v>
      </c>
      <c r="HC15" s="49">
        <f t="shared" si="29"/>
        <v>0</v>
      </c>
      <c r="HD15" s="49">
        <f t="shared" si="29"/>
        <v>0</v>
      </c>
      <c r="HE15" s="49">
        <f t="shared" si="29"/>
        <v>0</v>
      </c>
      <c r="HF15" s="49">
        <f t="shared" si="29"/>
        <v>0</v>
      </c>
      <c r="HG15" s="49">
        <f t="shared" si="29"/>
        <v>0</v>
      </c>
      <c r="HH15" s="49">
        <f t="shared" si="29"/>
        <v>0</v>
      </c>
      <c r="HI15" s="49">
        <f t="shared" si="29"/>
        <v>0</v>
      </c>
      <c r="HJ15" s="49">
        <f t="shared" si="29"/>
        <v>0</v>
      </c>
      <c r="HK15" s="49">
        <f t="shared" si="29"/>
        <v>0</v>
      </c>
      <c r="HL15" s="49">
        <f t="shared" si="29"/>
        <v>0</v>
      </c>
      <c r="HM15" s="49">
        <f t="shared" si="29"/>
        <v>0</v>
      </c>
      <c r="HN15" s="49">
        <f t="shared" si="29"/>
        <v>0</v>
      </c>
      <c r="HO15" s="49">
        <f t="shared" si="29"/>
        <v>0</v>
      </c>
      <c r="HP15" s="49">
        <f t="shared" si="29"/>
        <v>0</v>
      </c>
      <c r="HQ15" s="49">
        <f t="shared" si="29"/>
        <v>0</v>
      </c>
      <c r="HR15" s="49">
        <f t="shared" si="29"/>
        <v>0</v>
      </c>
      <c r="HS15" s="49">
        <f t="shared" si="29"/>
        <v>0</v>
      </c>
      <c r="HT15" s="49">
        <f t="shared" si="29"/>
        <v>0</v>
      </c>
      <c r="HU15" s="49">
        <f t="shared" si="29"/>
        <v>0</v>
      </c>
      <c r="HV15" s="49">
        <f t="shared" si="29"/>
        <v>0</v>
      </c>
      <c r="HW15" s="49">
        <f t="shared" si="29"/>
        <v>0</v>
      </c>
      <c r="HX15" s="49">
        <f t="shared" si="29"/>
        <v>0</v>
      </c>
      <c r="HY15" s="49">
        <f t="shared" si="29"/>
        <v>0</v>
      </c>
      <c r="HZ15" s="49">
        <f t="shared" si="29"/>
        <v>0</v>
      </c>
      <c r="IA15" s="49">
        <f t="shared" si="29"/>
        <v>0</v>
      </c>
      <c r="IB15" s="49">
        <f t="shared" si="29"/>
        <v>0</v>
      </c>
      <c r="IC15" s="49">
        <f t="shared" si="29"/>
        <v>0</v>
      </c>
      <c r="ID15" s="49">
        <f t="shared" si="29"/>
        <v>0</v>
      </c>
      <c r="IE15" s="49">
        <f t="shared" si="29"/>
        <v>0</v>
      </c>
      <c r="IF15" s="49">
        <f t="shared" si="29"/>
        <v>0</v>
      </c>
      <c r="IG15" s="49">
        <f t="shared" si="29"/>
        <v>0</v>
      </c>
      <c r="IH15" s="49">
        <f t="shared" si="29"/>
        <v>0</v>
      </c>
      <c r="II15" s="49">
        <f t="shared" si="29"/>
        <v>0</v>
      </c>
      <c r="IJ15" s="49">
        <f t="shared" si="29"/>
        <v>0</v>
      </c>
      <c r="IK15" s="49">
        <f t="shared" si="29"/>
        <v>0</v>
      </c>
      <c r="IL15" s="49">
        <f t="shared" si="29"/>
        <v>0</v>
      </c>
      <c r="IM15" s="49">
        <f t="shared" si="29"/>
        <v>0</v>
      </c>
      <c r="IN15" s="49">
        <f t="shared" si="29"/>
        <v>0</v>
      </c>
      <c r="IO15" s="49">
        <f t="shared" si="29"/>
        <v>0</v>
      </c>
      <c r="IP15" s="49">
        <f t="shared" si="29"/>
        <v>0</v>
      </c>
      <c r="IQ15" s="49">
        <f t="shared" si="29"/>
        <v>0</v>
      </c>
      <c r="IR15" s="49">
        <f t="shared" si="29"/>
        <v>0</v>
      </c>
      <c r="IS15" s="49">
        <f t="shared" si="29"/>
        <v>0</v>
      </c>
      <c r="IT15" s="49">
        <f t="shared" si="29"/>
        <v>0</v>
      </c>
      <c r="IU15" s="49">
        <f t="shared" si="29"/>
        <v>0</v>
      </c>
      <c r="IV15" s="49">
        <f t="shared" si="29"/>
        <v>0</v>
      </c>
      <c r="IW15" s="49">
        <f t="shared" si="29"/>
        <v>0</v>
      </c>
      <c r="IX15" s="49">
        <f t="shared" si="29"/>
        <v>0</v>
      </c>
      <c r="IY15" s="49">
        <f t="shared" si="29"/>
        <v>0</v>
      </c>
      <c r="IZ15" s="49">
        <f t="shared" si="29"/>
        <v>0</v>
      </c>
      <c r="JA15" s="49">
        <f t="shared" si="29"/>
        <v>0</v>
      </c>
      <c r="JB15" s="49">
        <f t="shared" si="29"/>
        <v>0</v>
      </c>
      <c r="JC15" s="49">
        <f t="shared" si="29"/>
        <v>0</v>
      </c>
    </row>
    <row r="16" spans="1:263" ht="15" hidden="1" customHeight="1" x14ac:dyDescent="0.25">
      <c r="A16" s="285"/>
      <c r="B16" s="285"/>
      <c r="C16" s="312" t="s">
        <v>361</v>
      </c>
      <c r="D16" s="293"/>
      <c r="E16" s="290"/>
      <c r="F16" s="285"/>
      <c r="G16" s="2386" t="s">
        <v>4051</v>
      </c>
      <c r="H16" s="2386"/>
      <c r="I16" s="2386"/>
      <c r="J16" s="285"/>
      <c r="K16" s="306"/>
      <c r="L16" s="285"/>
      <c r="M16" s="287"/>
      <c r="N16" s="287"/>
      <c r="O16" s="287"/>
      <c r="P16" s="287"/>
      <c r="Q16" s="287"/>
      <c r="R16" s="287"/>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90" t="s">
        <v>5</v>
      </c>
      <c r="DQ16" s="290"/>
      <c r="DR16" s="285"/>
      <c r="DS16" s="285"/>
      <c r="DT16" s="285"/>
      <c r="DU16" s="285"/>
      <c r="DV16" s="285"/>
      <c r="DW16" s="285"/>
      <c r="DX16" s="285"/>
      <c r="DY16" s="285"/>
      <c r="DZ16" s="285"/>
      <c r="EA16" s="285"/>
      <c r="EB16" s="285"/>
      <c r="EC16" s="285"/>
      <c r="ED16" s="285"/>
      <c r="EE16" s="285"/>
      <c r="EF16" s="308" t="s">
        <v>75</v>
      </c>
      <c r="EG16" s="50">
        <f>IF(SUM(EG$129:EG$305)&gt;0,1,0)</f>
        <v>0</v>
      </c>
      <c r="EH16" s="51">
        <f t="shared" ref="EH16:FM16" si="30">IF(OR(SUM(EH$129:EH$305)&gt;0,EG16=1),1,0)</f>
        <v>0</v>
      </c>
      <c r="EI16" s="51">
        <f t="shared" si="30"/>
        <v>0</v>
      </c>
      <c r="EJ16" s="51">
        <f t="shared" si="30"/>
        <v>0</v>
      </c>
      <c r="EK16" s="51">
        <f t="shared" si="30"/>
        <v>0</v>
      </c>
      <c r="EL16" s="51">
        <f t="shared" si="30"/>
        <v>0</v>
      </c>
      <c r="EM16" s="51">
        <f t="shared" si="30"/>
        <v>0</v>
      </c>
      <c r="EN16" s="51">
        <f t="shared" si="30"/>
        <v>0</v>
      </c>
      <c r="EO16" s="51">
        <f t="shared" si="30"/>
        <v>0</v>
      </c>
      <c r="EP16" s="51">
        <f t="shared" si="30"/>
        <v>0</v>
      </c>
      <c r="EQ16" s="51">
        <f t="shared" si="30"/>
        <v>0</v>
      </c>
      <c r="ER16" s="51">
        <f t="shared" si="30"/>
        <v>0</v>
      </c>
      <c r="ES16" s="51">
        <f t="shared" si="30"/>
        <v>0</v>
      </c>
      <c r="ET16" s="51">
        <f t="shared" si="30"/>
        <v>0</v>
      </c>
      <c r="EU16" s="51">
        <f t="shared" si="30"/>
        <v>0</v>
      </c>
      <c r="EV16" s="51">
        <f t="shared" si="30"/>
        <v>0</v>
      </c>
      <c r="EW16" s="51">
        <f t="shared" si="30"/>
        <v>0</v>
      </c>
      <c r="EX16" s="51">
        <f t="shared" si="30"/>
        <v>0</v>
      </c>
      <c r="EY16" s="51">
        <f t="shared" si="30"/>
        <v>0</v>
      </c>
      <c r="EZ16" s="51">
        <f t="shared" si="30"/>
        <v>0</v>
      </c>
      <c r="FA16" s="51">
        <f t="shared" si="30"/>
        <v>0</v>
      </c>
      <c r="FB16" s="51">
        <f t="shared" si="30"/>
        <v>0</v>
      </c>
      <c r="FC16" s="51">
        <f t="shared" si="30"/>
        <v>0</v>
      </c>
      <c r="FD16" s="51">
        <f t="shared" si="30"/>
        <v>0</v>
      </c>
      <c r="FE16" s="51">
        <f t="shared" si="30"/>
        <v>0</v>
      </c>
      <c r="FF16" s="51">
        <f t="shared" si="30"/>
        <v>0</v>
      </c>
      <c r="FG16" s="51">
        <f t="shared" si="30"/>
        <v>0</v>
      </c>
      <c r="FH16" s="51">
        <f t="shared" si="30"/>
        <v>0</v>
      </c>
      <c r="FI16" s="51">
        <f t="shared" si="30"/>
        <v>0</v>
      </c>
      <c r="FJ16" s="51">
        <f t="shared" si="30"/>
        <v>0</v>
      </c>
      <c r="FK16" s="51">
        <f t="shared" si="30"/>
        <v>0</v>
      </c>
      <c r="FL16" s="51">
        <f t="shared" si="30"/>
        <v>0</v>
      </c>
      <c r="FM16" s="51">
        <f t="shared" si="30"/>
        <v>0</v>
      </c>
      <c r="FN16" s="51">
        <f t="shared" ref="FN16:GS16" si="31">IF(OR(SUM(FN$129:FN$305)&gt;0,FM16=1),1,0)</f>
        <v>0</v>
      </c>
      <c r="FO16" s="51">
        <f t="shared" si="31"/>
        <v>0</v>
      </c>
      <c r="FP16" s="51">
        <f t="shared" si="31"/>
        <v>0</v>
      </c>
      <c r="FQ16" s="51">
        <f t="shared" si="31"/>
        <v>0</v>
      </c>
      <c r="FR16" s="51">
        <f t="shared" si="31"/>
        <v>0</v>
      </c>
      <c r="FS16" s="51">
        <f t="shared" si="31"/>
        <v>0</v>
      </c>
      <c r="FT16" s="51">
        <f t="shared" si="31"/>
        <v>0</v>
      </c>
      <c r="FU16" s="51">
        <f t="shared" si="31"/>
        <v>0</v>
      </c>
      <c r="FV16" s="51">
        <f t="shared" si="31"/>
        <v>0</v>
      </c>
      <c r="FW16" s="51">
        <f t="shared" si="31"/>
        <v>0</v>
      </c>
      <c r="FX16" s="51">
        <f t="shared" si="31"/>
        <v>0</v>
      </c>
      <c r="FY16" s="51">
        <f t="shared" si="31"/>
        <v>0</v>
      </c>
      <c r="FZ16" s="51">
        <f t="shared" si="31"/>
        <v>0</v>
      </c>
      <c r="GA16" s="51">
        <f t="shared" si="31"/>
        <v>0</v>
      </c>
      <c r="GB16" s="51">
        <f t="shared" si="31"/>
        <v>0</v>
      </c>
      <c r="GC16" s="51">
        <f t="shared" si="31"/>
        <v>0</v>
      </c>
      <c r="GD16" s="51">
        <f t="shared" si="31"/>
        <v>0</v>
      </c>
      <c r="GE16" s="51">
        <f t="shared" si="31"/>
        <v>0</v>
      </c>
      <c r="GF16" s="51">
        <f t="shared" si="31"/>
        <v>0</v>
      </c>
      <c r="GG16" s="51">
        <f t="shared" si="31"/>
        <v>0</v>
      </c>
      <c r="GH16" s="51">
        <f t="shared" si="31"/>
        <v>0</v>
      </c>
      <c r="GI16" s="51">
        <f t="shared" si="31"/>
        <v>0</v>
      </c>
      <c r="GJ16" s="51">
        <f t="shared" si="31"/>
        <v>0</v>
      </c>
      <c r="GK16" s="51">
        <f t="shared" si="31"/>
        <v>0</v>
      </c>
      <c r="GL16" s="51">
        <f t="shared" si="31"/>
        <v>0</v>
      </c>
      <c r="GM16" s="51">
        <f t="shared" si="31"/>
        <v>0</v>
      </c>
      <c r="GN16" s="51">
        <f t="shared" si="31"/>
        <v>0</v>
      </c>
      <c r="GO16" s="51">
        <f t="shared" si="31"/>
        <v>0</v>
      </c>
      <c r="GP16" s="51">
        <f t="shared" si="31"/>
        <v>0</v>
      </c>
      <c r="GQ16" s="51">
        <f t="shared" si="31"/>
        <v>0</v>
      </c>
      <c r="GR16" s="51">
        <f t="shared" si="31"/>
        <v>0</v>
      </c>
      <c r="GS16" s="51">
        <f t="shared" si="31"/>
        <v>0</v>
      </c>
      <c r="GT16" s="51">
        <f t="shared" ref="GT16:HY16" si="32">IF(OR(SUM(GT$129:GT$305)&gt;0,GS16=1),1,0)</f>
        <v>0</v>
      </c>
      <c r="GU16" s="51">
        <f t="shared" si="32"/>
        <v>0</v>
      </c>
      <c r="GV16" s="51">
        <f t="shared" si="32"/>
        <v>0</v>
      </c>
      <c r="GW16" s="51">
        <f t="shared" si="32"/>
        <v>0</v>
      </c>
      <c r="GX16" s="51">
        <f t="shared" si="32"/>
        <v>0</v>
      </c>
      <c r="GY16" s="51">
        <f t="shared" si="32"/>
        <v>0</v>
      </c>
      <c r="GZ16" s="51">
        <f t="shared" si="32"/>
        <v>0</v>
      </c>
      <c r="HA16" s="51">
        <f t="shared" si="32"/>
        <v>0</v>
      </c>
      <c r="HB16" s="51">
        <f t="shared" si="32"/>
        <v>0</v>
      </c>
      <c r="HC16" s="51">
        <f t="shared" si="32"/>
        <v>0</v>
      </c>
      <c r="HD16" s="51">
        <f t="shared" si="32"/>
        <v>0</v>
      </c>
      <c r="HE16" s="51">
        <f t="shared" si="32"/>
        <v>0</v>
      </c>
      <c r="HF16" s="51">
        <f t="shared" si="32"/>
        <v>0</v>
      </c>
      <c r="HG16" s="51">
        <f t="shared" si="32"/>
        <v>0</v>
      </c>
      <c r="HH16" s="51">
        <f t="shared" si="32"/>
        <v>0</v>
      </c>
      <c r="HI16" s="51">
        <f t="shared" si="32"/>
        <v>0</v>
      </c>
      <c r="HJ16" s="51">
        <f t="shared" si="32"/>
        <v>0</v>
      </c>
      <c r="HK16" s="51">
        <f t="shared" si="32"/>
        <v>0</v>
      </c>
      <c r="HL16" s="51">
        <f t="shared" si="32"/>
        <v>0</v>
      </c>
      <c r="HM16" s="51">
        <f t="shared" si="32"/>
        <v>0</v>
      </c>
      <c r="HN16" s="51">
        <f t="shared" si="32"/>
        <v>0</v>
      </c>
      <c r="HO16" s="51">
        <f t="shared" si="32"/>
        <v>0</v>
      </c>
      <c r="HP16" s="51">
        <f t="shared" si="32"/>
        <v>0</v>
      </c>
      <c r="HQ16" s="51">
        <f t="shared" si="32"/>
        <v>0</v>
      </c>
      <c r="HR16" s="51">
        <f t="shared" si="32"/>
        <v>0</v>
      </c>
      <c r="HS16" s="51">
        <f t="shared" si="32"/>
        <v>0</v>
      </c>
      <c r="HT16" s="51">
        <f t="shared" si="32"/>
        <v>0</v>
      </c>
      <c r="HU16" s="51">
        <f t="shared" si="32"/>
        <v>0</v>
      </c>
      <c r="HV16" s="51">
        <f t="shared" si="32"/>
        <v>0</v>
      </c>
      <c r="HW16" s="51">
        <f t="shared" si="32"/>
        <v>0</v>
      </c>
      <c r="HX16" s="51">
        <f t="shared" si="32"/>
        <v>0</v>
      </c>
      <c r="HY16" s="51">
        <f t="shared" si="32"/>
        <v>0</v>
      </c>
      <c r="HZ16" s="51">
        <f t="shared" ref="HZ16:JC16" si="33">IF(OR(SUM(HZ$129:HZ$305)&gt;0,HY16=1),1,0)</f>
        <v>0</v>
      </c>
      <c r="IA16" s="51">
        <f t="shared" si="33"/>
        <v>0</v>
      </c>
      <c r="IB16" s="51">
        <f t="shared" si="33"/>
        <v>0</v>
      </c>
      <c r="IC16" s="51">
        <f t="shared" si="33"/>
        <v>0</v>
      </c>
      <c r="ID16" s="51">
        <f t="shared" si="33"/>
        <v>0</v>
      </c>
      <c r="IE16" s="51">
        <f t="shared" si="33"/>
        <v>0</v>
      </c>
      <c r="IF16" s="51">
        <f t="shared" si="33"/>
        <v>0</v>
      </c>
      <c r="IG16" s="51">
        <f t="shared" si="33"/>
        <v>0</v>
      </c>
      <c r="IH16" s="51">
        <f t="shared" si="33"/>
        <v>0</v>
      </c>
      <c r="II16" s="51">
        <f t="shared" si="33"/>
        <v>0</v>
      </c>
      <c r="IJ16" s="51">
        <f t="shared" si="33"/>
        <v>0</v>
      </c>
      <c r="IK16" s="51">
        <f t="shared" si="33"/>
        <v>0</v>
      </c>
      <c r="IL16" s="51">
        <f t="shared" si="33"/>
        <v>0</v>
      </c>
      <c r="IM16" s="51">
        <f t="shared" si="33"/>
        <v>0</v>
      </c>
      <c r="IN16" s="51">
        <f t="shared" si="33"/>
        <v>0</v>
      </c>
      <c r="IO16" s="51">
        <f t="shared" si="33"/>
        <v>0</v>
      </c>
      <c r="IP16" s="51">
        <f t="shared" si="33"/>
        <v>0</v>
      </c>
      <c r="IQ16" s="51">
        <f t="shared" si="33"/>
        <v>0</v>
      </c>
      <c r="IR16" s="51">
        <f t="shared" si="33"/>
        <v>0</v>
      </c>
      <c r="IS16" s="51">
        <f t="shared" si="33"/>
        <v>0</v>
      </c>
      <c r="IT16" s="51">
        <f t="shared" si="33"/>
        <v>0</v>
      </c>
      <c r="IU16" s="51">
        <f t="shared" si="33"/>
        <v>0</v>
      </c>
      <c r="IV16" s="51">
        <f t="shared" si="33"/>
        <v>0</v>
      </c>
      <c r="IW16" s="51">
        <f t="shared" si="33"/>
        <v>0</v>
      </c>
      <c r="IX16" s="51">
        <f t="shared" si="33"/>
        <v>0</v>
      </c>
      <c r="IY16" s="51">
        <f t="shared" si="33"/>
        <v>0</v>
      </c>
      <c r="IZ16" s="51">
        <f t="shared" si="33"/>
        <v>0</v>
      </c>
      <c r="JA16" s="51">
        <f t="shared" si="33"/>
        <v>0</v>
      </c>
      <c r="JB16" s="51">
        <f t="shared" si="33"/>
        <v>0</v>
      </c>
      <c r="JC16" s="51">
        <f t="shared" si="33"/>
        <v>0</v>
      </c>
    </row>
    <row r="17" spans="1:263" ht="15" hidden="1" customHeight="1" x14ac:dyDescent="0.25">
      <c r="A17" s="285"/>
      <c r="B17" s="285"/>
      <c r="C17" s="312" t="s">
        <v>2581</v>
      </c>
      <c r="D17" s="293"/>
      <c r="E17" s="290"/>
      <c r="F17" s="285"/>
      <c r="G17" s="296">
        <f>'1 Setup'!T19</f>
        <v>1</v>
      </c>
      <c r="H17" s="276"/>
      <c r="I17" s="306" t="s">
        <v>3982</v>
      </c>
      <c r="J17" s="285"/>
      <c r="K17" s="306"/>
      <c r="L17" s="285"/>
      <c r="M17" s="287"/>
      <c r="N17" s="287"/>
      <c r="O17" s="287"/>
      <c r="P17" s="287"/>
      <c r="Q17" s="287"/>
      <c r="R17" s="287"/>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90" t="s">
        <v>5</v>
      </c>
      <c r="DQ17" s="290"/>
      <c r="DR17" s="285"/>
      <c r="DS17" s="285"/>
      <c r="DT17" s="285"/>
      <c r="DU17" s="285"/>
      <c r="DV17" s="285"/>
      <c r="DW17" s="285"/>
      <c r="DX17" s="285"/>
      <c r="DY17" s="285"/>
      <c r="DZ17" s="285"/>
      <c r="EA17" s="308" t="s">
        <v>2608</v>
      </c>
      <c r="EB17" s="60">
        <f>IFERROR(MATCH(1,EG18:JD18,0),0)</f>
        <v>0</v>
      </c>
      <c r="EC17" s="285"/>
      <c r="ED17" s="285"/>
      <c r="EE17" s="285"/>
      <c r="EF17" s="308" t="s">
        <v>74</v>
      </c>
      <c r="EG17" s="2293">
        <f>IF(OR($DT$117=0,$C$6&lt;&gt;"F"),1,EG18)</f>
        <v>1</v>
      </c>
      <c r="EH17" s="51">
        <f t="shared" ref="EH17:FM17" si="34">IF(OR($DT$117=0,$C$6&lt;&gt;"F"),1,EG17+EH18)</f>
        <v>1</v>
      </c>
      <c r="EI17" s="51">
        <f t="shared" si="34"/>
        <v>1</v>
      </c>
      <c r="EJ17" s="51">
        <f t="shared" si="34"/>
        <v>1</v>
      </c>
      <c r="EK17" s="51">
        <f t="shared" si="34"/>
        <v>1</v>
      </c>
      <c r="EL17" s="51">
        <f t="shared" si="34"/>
        <v>1</v>
      </c>
      <c r="EM17" s="51">
        <f t="shared" si="34"/>
        <v>1</v>
      </c>
      <c r="EN17" s="51">
        <f t="shared" si="34"/>
        <v>1</v>
      </c>
      <c r="EO17" s="51">
        <f t="shared" si="34"/>
        <v>1</v>
      </c>
      <c r="EP17" s="51">
        <f t="shared" si="34"/>
        <v>1</v>
      </c>
      <c r="EQ17" s="51">
        <f t="shared" si="34"/>
        <v>1</v>
      </c>
      <c r="ER17" s="51">
        <f t="shared" si="34"/>
        <v>1</v>
      </c>
      <c r="ES17" s="51">
        <f t="shared" si="34"/>
        <v>1</v>
      </c>
      <c r="ET17" s="51">
        <f t="shared" si="34"/>
        <v>1</v>
      </c>
      <c r="EU17" s="51">
        <f t="shared" si="34"/>
        <v>1</v>
      </c>
      <c r="EV17" s="51">
        <f t="shared" si="34"/>
        <v>1</v>
      </c>
      <c r="EW17" s="51">
        <f t="shared" si="34"/>
        <v>1</v>
      </c>
      <c r="EX17" s="51">
        <f t="shared" si="34"/>
        <v>1</v>
      </c>
      <c r="EY17" s="51">
        <f t="shared" si="34"/>
        <v>1</v>
      </c>
      <c r="EZ17" s="51">
        <f t="shared" si="34"/>
        <v>1</v>
      </c>
      <c r="FA17" s="51">
        <f t="shared" si="34"/>
        <v>1</v>
      </c>
      <c r="FB17" s="51">
        <f t="shared" si="34"/>
        <v>1</v>
      </c>
      <c r="FC17" s="51">
        <f t="shared" si="34"/>
        <v>1</v>
      </c>
      <c r="FD17" s="51">
        <f t="shared" si="34"/>
        <v>1</v>
      </c>
      <c r="FE17" s="51">
        <f t="shared" si="34"/>
        <v>1</v>
      </c>
      <c r="FF17" s="51">
        <f t="shared" si="34"/>
        <v>1</v>
      </c>
      <c r="FG17" s="51">
        <f t="shared" si="34"/>
        <v>1</v>
      </c>
      <c r="FH17" s="51">
        <f t="shared" si="34"/>
        <v>1</v>
      </c>
      <c r="FI17" s="51">
        <f t="shared" si="34"/>
        <v>1</v>
      </c>
      <c r="FJ17" s="51">
        <f t="shared" si="34"/>
        <v>1</v>
      </c>
      <c r="FK17" s="51">
        <f t="shared" si="34"/>
        <v>1</v>
      </c>
      <c r="FL17" s="51">
        <f t="shared" si="34"/>
        <v>1</v>
      </c>
      <c r="FM17" s="51">
        <f t="shared" si="34"/>
        <v>1</v>
      </c>
      <c r="FN17" s="51">
        <f t="shared" ref="FN17:GS17" si="35">IF(OR($DT$117=0,$C$6&lt;&gt;"F"),1,FM17+FN18)</f>
        <v>1</v>
      </c>
      <c r="FO17" s="51">
        <f t="shared" si="35"/>
        <v>1</v>
      </c>
      <c r="FP17" s="51">
        <f t="shared" si="35"/>
        <v>1</v>
      </c>
      <c r="FQ17" s="51">
        <f t="shared" si="35"/>
        <v>1</v>
      </c>
      <c r="FR17" s="51">
        <f t="shared" si="35"/>
        <v>1</v>
      </c>
      <c r="FS17" s="51">
        <f t="shared" si="35"/>
        <v>1</v>
      </c>
      <c r="FT17" s="51">
        <f t="shared" si="35"/>
        <v>1</v>
      </c>
      <c r="FU17" s="51">
        <f t="shared" si="35"/>
        <v>1</v>
      </c>
      <c r="FV17" s="51">
        <f t="shared" si="35"/>
        <v>1</v>
      </c>
      <c r="FW17" s="51">
        <f t="shared" si="35"/>
        <v>1</v>
      </c>
      <c r="FX17" s="51">
        <f t="shared" si="35"/>
        <v>1</v>
      </c>
      <c r="FY17" s="51">
        <f t="shared" si="35"/>
        <v>1</v>
      </c>
      <c r="FZ17" s="51">
        <f t="shared" si="35"/>
        <v>1</v>
      </c>
      <c r="GA17" s="51">
        <f t="shared" si="35"/>
        <v>1</v>
      </c>
      <c r="GB17" s="51">
        <f t="shared" si="35"/>
        <v>1</v>
      </c>
      <c r="GC17" s="51">
        <f t="shared" si="35"/>
        <v>1</v>
      </c>
      <c r="GD17" s="51">
        <f t="shared" si="35"/>
        <v>1</v>
      </c>
      <c r="GE17" s="51">
        <f t="shared" si="35"/>
        <v>1</v>
      </c>
      <c r="GF17" s="51">
        <f t="shared" si="35"/>
        <v>1</v>
      </c>
      <c r="GG17" s="51">
        <f t="shared" si="35"/>
        <v>1</v>
      </c>
      <c r="GH17" s="51">
        <f t="shared" si="35"/>
        <v>1</v>
      </c>
      <c r="GI17" s="51">
        <f t="shared" si="35"/>
        <v>1</v>
      </c>
      <c r="GJ17" s="51">
        <f t="shared" si="35"/>
        <v>1</v>
      </c>
      <c r="GK17" s="51">
        <f t="shared" si="35"/>
        <v>1</v>
      </c>
      <c r="GL17" s="51">
        <f t="shared" si="35"/>
        <v>1</v>
      </c>
      <c r="GM17" s="51">
        <f t="shared" si="35"/>
        <v>1</v>
      </c>
      <c r="GN17" s="51">
        <f t="shared" si="35"/>
        <v>1</v>
      </c>
      <c r="GO17" s="51">
        <f t="shared" si="35"/>
        <v>1</v>
      </c>
      <c r="GP17" s="51">
        <f t="shared" si="35"/>
        <v>1</v>
      </c>
      <c r="GQ17" s="51">
        <f t="shared" si="35"/>
        <v>1</v>
      </c>
      <c r="GR17" s="51">
        <f t="shared" si="35"/>
        <v>1</v>
      </c>
      <c r="GS17" s="51">
        <f t="shared" si="35"/>
        <v>1</v>
      </c>
      <c r="GT17" s="51">
        <f t="shared" ref="GT17:HY17" si="36">IF(OR($DT$117=0,$C$6&lt;&gt;"F"),1,GS17+GT18)</f>
        <v>1</v>
      </c>
      <c r="GU17" s="51">
        <f t="shared" si="36"/>
        <v>1</v>
      </c>
      <c r="GV17" s="51">
        <f t="shared" si="36"/>
        <v>1</v>
      </c>
      <c r="GW17" s="51">
        <f t="shared" si="36"/>
        <v>1</v>
      </c>
      <c r="GX17" s="51">
        <f t="shared" si="36"/>
        <v>1</v>
      </c>
      <c r="GY17" s="51">
        <f t="shared" si="36"/>
        <v>1</v>
      </c>
      <c r="GZ17" s="51">
        <f t="shared" si="36"/>
        <v>1</v>
      </c>
      <c r="HA17" s="51">
        <f t="shared" si="36"/>
        <v>1</v>
      </c>
      <c r="HB17" s="51">
        <f t="shared" si="36"/>
        <v>1</v>
      </c>
      <c r="HC17" s="51">
        <f t="shared" si="36"/>
        <v>1</v>
      </c>
      <c r="HD17" s="51">
        <f t="shared" si="36"/>
        <v>1</v>
      </c>
      <c r="HE17" s="51">
        <f t="shared" si="36"/>
        <v>1</v>
      </c>
      <c r="HF17" s="51">
        <f t="shared" si="36"/>
        <v>1</v>
      </c>
      <c r="HG17" s="51">
        <f t="shared" si="36"/>
        <v>1</v>
      </c>
      <c r="HH17" s="51">
        <f t="shared" si="36"/>
        <v>1</v>
      </c>
      <c r="HI17" s="51">
        <f t="shared" si="36"/>
        <v>1</v>
      </c>
      <c r="HJ17" s="51">
        <f t="shared" si="36"/>
        <v>1</v>
      </c>
      <c r="HK17" s="51">
        <f t="shared" si="36"/>
        <v>1</v>
      </c>
      <c r="HL17" s="51">
        <f t="shared" si="36"/>
        <v>1</v>
      </c>
      <c r="HM17" s="51">
        <f t="shared" si="36"/>
        <v>1</v>
      </c>
      <c r="HN17" s="51">
        <f t="shared" si="36"/>
        <v>1</v>
      </c>
      <c r="HO17" s="51">
        <f t="shared" si="36"/>
        <v>1</v>
      </c>
      <c r="HP17" s="51">
        <f t="shared" si="36"/>
        <v>1</v>
      </c>
      <c r="HQ17" s="51">
        <f t="shared" si="36"/>
        <v>1</v>
      </c>
      <c r="HR17" s="51">
        <f t="shared" si="36"/>
        <v>1</v>
      </c>
      <c r="HS17" s="51">
        <f t="shared" si="36"/>
        <v>1</v>
      </c>
      <c r="HT17" s="51">
        <f t="shared" si="36"/>
        <v>1</v>
      </c>
      <c r="HU17" s="51">
        <f t="shared" si="36"/>
        <v>1</v>
      </c>
      <c r="HV17" s="51">
        <f t="shared" si="36"/>
        <v>1</v>
      </c>
      <c r="HW17" s="51">
        <f t="shared" si="36"/>
        <v>1</v>
      </c>
      <c r="HX17" s="51">
        <f t="shared" si="36"/>
        <v>1</v>
      </c>
      <c r="HY17" s="51">
        <f t="shared" si="36"/>
        <v>1</v>
      </c>
      <c r="HZ17" s="51">
        <f t="shared" ref="HZ17:JC17" si="37">IF(OR($DT$117=0,$C$6&lt;&gt;"F"),1,HY17+HZ18)</f>
        <v>1</v>
      </c>
      <c r="IA17" s="51">
        <f t="shared" si="37"/>
        <v>1</v>
      </c>
      <c r="IB17" s="51">
        <f t="shared" si="37"/>
        <v>1</v>
      </c>
      <c r="IC17" s="51">
        <f t="shared" si="37"/>
        <v>1</v>
      </c>
      <c r="ID17" s="51">
        <f t="shared" si="37"/>
        <v>1</v>
      </c>
      <c r="IE17" s="51">
        <f t="shared" si="37"/>
        <v>1</v>
      </c>
      <c r="IF17" s="51">
        <f t="shared" si="37"/>
        <v>1</v>
      </c>
      <c r="IG17" s="51">
        <f t="shared" si="37"/>
        <v>1</v>
      </c>
      <c r="IH17" s="51">
        <f t="shared" si="37"/>
        <v>1</v>
      </c>
      <c r="II17" s="51">
        <f t="shared" si="37"/>
        <v>1</v>
      </c>
      <c r="IJ17" s="51">
        <f t="shared" si="37"/>
        <v>1</v>
      </c>
      <c r="IK17" s="51">
        <f t="shared" si="37"/>
        <v>1</v>
      </c>
      <c r="IL17" s="51">
        <f t="shared" si="37"/>
        <v>1</v>
      </c>
      <c r="IM17" s="51">
        <f t="shared" si="37"/>
        <v>1</v>
      </c>
      <c r="IN17" s="51">
        <f t="shared" si="37"/>
        <v>1</v>
      </c>
      <c r="IO17" s="51">
        <f t="shared" si="37"/>
        <v>1</v>
      </c>
      <c r="IP17" s="51">
        <f t="shared" si="37"/>
        <v>1</v>
      </c>
      <c r="IQ17" s="51">
        <f t="shared" si="37"/>
        <v>1</v>
      </c>
      <c r="IR17" s="51">
        <f t="shared" si="37"/>
        <v>1</v>
      </c>
      <c r="IS17" s="51">
        <f t="shared" si="37"/>
        <v>1</v>
      </c>
      <c r="IT17" s="51">
        <f t="shared" si="37"/>
        <v>1</v>
      </c>
      <c r="IU17" s="51">
        <f t="shared" si="37"/>
        <v>1</v>
      </c>
      <c r="IV17" s="51">
        <f t="shared" si="37"/>
        <v>1</v>
      </c>
      <c r="IW17" s="51">
        <f t="shared" si="37"/>
        <v>1</v>
      </c>
      <c r="IX17" s="51">
        <f t="shared" si="37"/>
        <v>1</v>
      </c>
      <c r="IY17" s="51">
        <f t="shared" si="37"/>
        <v>1</v>
      </c>
      <c r="IZ17" s="51">
        <f t="shared" si="37"/>
        <v>1</v>
      </c>
      <c r="JA17" s="51">
        <f t="shared" si="37"/>
        <v>1</v>
      </c>
      <c r="JB17" s="51">
        <f t="shared" si="37"/>
        <v>1</v>
      </c>
      <c r="JC17" s="51">
        <f t="shared" si="37"/>
        <v>1</v>
      </c>
    </row>
    <row r="18" spans="1:263" ht="12.75" hidden="1" customHeight="1" thickBot="1" x14ac:dyDescent="0.3">
      <c r="A18" s="285"/>
      <c r="B18" s="285"/>
      <c r="C18" s="312" t="s">
        <v>2165</v>
      </c>
      <c r="D18" s="293"/>
      <c r="E18" s="290"/>
      <c r="F18" s="285"/>
      <c r="G18" s="3139">
        <f>IF(C6="B",0,1)</f>
        <v>0</v>
      </c>
      <c r="H18" s="285"/>
      <c r="I18" s="306" t="s">
        <v>4050</v>
      </c>
      <c r="J18" s="285"/>
      <c r="K18" s="306"/>
      <c r="L18" s="285"/>
      <c r="M18" s="287"/>
      <c r="N18" s="287"/>
      <c r="O18" s="287"/>
      <c r="P18" s="287"/>
      <c r="Q18" s="287"/>
      <c r="R18" s="287"/>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308" t="s">
        <v>2607</v>
      </c>
      <c r="EB18" s="60">
        <f>IFERROR(IF(DT117=0,1,INDEX(EG28:JD28,EB17)),0)</f>
        <v>1</v>
      </c>
      <c r="EC18" s="285"/>
      <c r="ED18" s="285"/>
      <c r="EE18" s="285"/>
      <c r="EF18" s="308" t="s">
        <v>2609</v>
      </c>
      <c r="EG18" s="50">
        <f>IF(AND($DT$117&gt;0,EG127=$DT$117),1,0)</f>
        <v>0</v>
      </c>
      <c r="EH18" s="51">
        <f t="shared" ref="EH18:GS18" si="38">IF(AND($DT$117&gt;0,EH127=$DT$117),1,0)</f>
        <v>0</v>
      </c>
      <c r="EI18" s="51">
        <f t="shared" si="38"/>
        <v>0</v>
      </c>
      <c r="EJ18" s="51">
        <f t="shared" si="38"/>
        <v>0</v>
      </c>
      <c r="EK18" s="51">
        <f t="shared" si="38"/>
        <v>0</v>
      </c>
      <c r="EL18" s="51">
        <f t="shared" si="38"/>
        <v>0</v>
      </c>
      <c r="EM18" s="51">
        <f t="shared" si="38"/>
        <v>0</v>
      </c>
      <c r="EN18" s="51">
        <f t="shared" si="38"/>
        <v>0</v>
      </c>
      <c r="EO18" s="51">
        <f t="shared" si="38"/>
        <v>0</v>
      </c>
      <c r="EP18" s="51">
        <f t="shared" si="38"/>
        <v>0</v>
      </c>
      <c r="EQ18" s="51">
        <f t="shared" si="38"/>
        <v>0</v>
      </c>
      <c r="ER18" s="51">
        <f t="shared" si="38"/>
        <v>0</v>
      </c>
      <c r="ES18" s="51">
        <f t="shared" si="38"/>
        <v>0</v>
      </c>
      <c r="ET18" s="51">
        <f t="shared" si="38"/>
        <v>0</v>
      </c>
      <c r="EU18" s="51">
        <f t="shared" si="38"/>
        <v>0</v>
      </c>
      <c r="EV18" s="51">
        <f t="shared" si="38"/>
        <v>0</v>
      </c>
      <c r="EW18" s="51">
        <f t="shared" si="38"/>
        <v>0</v>
      </c>
      <c r="EX18" s="51">
        <f t="shared" si="38"/>
        <v>0</v>
      </c>
      <c r="EY18" s="51">
        <f t="shared" si="38"/>
        <v>0</v>
      </c>
      <c r="EZ18" s="51">
        <f t="shared" si="38"/>
        <v>0</v>
      </c>
      <c r="FA18" s="51">
        <f t="shared" si="38"/>
        <v>0</v>
      </c>
      <c r="FB18" s="51">
        <f t="shared" si="38"/>
        <v>0</v>
      </c>
      <c r="FC18" s="51">
        <f t="shared" si="38"/>
        <v>0</v>
      </c>
      <c r="FD18" s="51">
        <f t="shared" si="38"/>
        <v>0</v>
      </c>
      <c r="FE18" s="51">
        <f t="shared" si="38"/>
        <v>0</v>
      </c>
      <c r="FF18" s="51">
        <f t="shared" si="38"/>
        <v>0</v>
      </c>
      <c r="FG18" s="51">
        <f t="shared" si="38"/>
        <v>0</v>
      </c>
      <c r="FH18" s="51">
        <f t="shared" si="38"/>
        <v>0</v>
      </c>
      <c r="FI18" s="51">
        <f t="shared" si="38"/>
        <v>0</v>
      </c>
      <c r="FJ18" s="51">
        <f t="shared" si="38"/>
        <v>0</v>
      </c>
      <c r="FK18" s="51">
        <f t="shared" si="38"/>
        <v>0</v>
      </c>
      <c r="FL18" s="51">
        <f t="shared" si="38"/>
        <v>0</v>
      </c>
      <c r="FM18" s="51">
        <f t="shared" si="38"/>
        <v>0</v>
      </c>
      <c r="FN18" s="51">
        <f t="shared" si="38"/>
        <v>0</v>
      </c>
      <c r="FO18" s="51">
        <f t="shared" si="38"/>
        <v>0</v>
      </c>
      <c r="FP18" s="51">
        <f t="shared" si="38"/>
        <v>0</v>
      </c>
      <c r="FQ18" s="51">
        <f t="shared" si="38"/>
        <v>0</v>
      </c>
      <c r="FR18" s="51">
        <f t="shared" si="38"/>
        <v>0</v>
      </c>
      <c r="FS18" s="51">
        <f t="shared" si="38"/>
        <v>0</v>
      </c>
      <c r="FT18" s="51">
        <f t="shared" si="38"/>
        <v>0</v>
      </c>
      <c r="FU18" s="51">
        <f t="shared" si="38"/>
        <v>0</v>
      </c>
      <c r="FV18" s="51">
        <f t="shared" si="38"/>
        <v>0</v>
      </c>
      <c r="FW18" s="51">
        <f t="shared" si="38"/>
        <v>0</v>
      </c>
      <c r="FX18" s="51">
        <f t="shared" si="38"/>
        <v>0</v>
      </c>
      <c r="FY18" s="51">
        <f t="shared" si="38"/>
        <v>0</v>
      </c>
      <c r="FZ18" s="51">
        <f t="shared" si="38"/>
        <v>0</v>
      </c>
      <c r="GA18" s="51">
        <f t="shared" si="38"/>
        <v>0</v>
      </c>
      <c r="GB18" s="51">
        <f t="shared" si="38"/>
        <v>0</v>
      </c>
      <c r="GC18" s="51">
        <f t="shared" si="38"/>
        <v>0</v>
      </c>
      <c r="GD18" s="51">
        <f t="shared" si="38"/>
        <v>0</v>
      </c>
      <c r="GE18" s="51">
        <f t="shared" si="38"/>
        <v>0</v>
      </c>
      <c r="GF18" s="51">
        <f t="shared" si="38"/>
        <v>0</v>
      </c>
      <c r="GG18" s="51">
        <f t="shared" si="38"/>
        <v>0</v>
      </c>
      <c r="GH18" s="51">
        <f t="shared" si="38"/>
        <v>0</v>
      </c>
      <c r="GI18" s="51">
        <f t="shared" si="38"/>
        <v>0</v>
      </c>
      <c r="GJ18" s="51">
        <f t="shared" si="38"/>
        <v>0</v>
      </c>
      <c r="GK18" s="51">
        <f t="shared" si="38"/>
        <v>0</v>
      </c>
      <c r="GL18" s="51">
        <f t="shared" si="38"/>
        <v>0</v>
      </c>
      <c r="GM18" s="51">
        <f t="shared" si="38"/>
        <v>0</v>
      </c>
      <c r="GN18" s="51">
        <f t="shared" si="38"/>
        <v>0</v>
      </c>
      <c r="GO18" s="51">
        <f t="shared" si="38"/>
        <v>0</v>
      </c>
      <c r="GP18" s="51">
        <f t="shared" si="38"/>
        <v>0</v>
      </c>
      <c r="GQ18" s="51">
        <f t="shared" si="38"/>
        <v>0</v>
      </c>
      <c r="GR18" s="51">
        <f t="shared" si="38"/>
        <v>0</v>
      </c>
      <c r="GS18" s="51">
        <f t="shared" si="38"/>
        <v>0</v>
      </c>
      <c r="GT18" s="51">
        <f t="shared" ref="GT18:JC18" si="39">IF(AND($DT$117&gt;0,GT127=$DT$117),1,0)</f>
        <v>0</v>
      </c>
      <c r="GU18" s="51">
        <f t="shared" si="39"/>
        <v>0</v>
      </c>
      <c r="GV18" s="51">
        <f t="shared" si="39"/>
        <v>0</v>
      </c>
      <c r="GW18" s="51">
        <f t="shared" si="39"/>
        <v>0</v>
      </c>
      <c r="GX18" s="51">
        <f t="shared" si="39"/>
        <v>0</v>
      </c>
      <c r="GY18" s="51">
        <f t="shared" si="39"/>
        <v>0</v>
      </c>
      <c r="GZ18" s="51">
        <f t="shared" si="39"/>
        <v>0</v>
      </c>
      <c r="HA18" s="51">
        <f t="shared" si="39"/>
        <v>0</v>
      </c>
      <c r="HB18" s="51">
        <f t="shared" si="39"/>
        <v>0</v>
      </c>
      <c r="HC18" s="51">
        <f t="shared" si="39"/>
        <v>0</v>
      </c>
      <c r="HD18" s="51">
        <f t="shared" si="39"/>
        <v>0</v>
      </c>
      <c r="HE18" s="51">
        <f t="shared" si="39"/>
        <v>0</v>
      </c>
      <c r="HF18" s="51">
        <f t="shared" si="39"/>
        <v>0</v>
      </c>
      <c r="HG18" s="51">
        <f t="shared" si="39"/>
        <v>0</v>
      </c>
      <c r="HH18" s="51">
        <f t="shared" si="39"/>
        <v>0</v>
      </c>
      <c r="HI18" s="51">
        <f t="shared" si="39"/>
        <v>0</v>
      </c>
      <c r="HJ18" s="51">
        <f t="shared" si="39"/>
        <v>0</v>
      </c>
      <c r="HK18" s="51">
        <f t="shared" si="39"/>
        <v>0</v>
      </c>
      <c r="HL18" s="51">
        <f t="shared" si="39"/>
        <v>0</v>
      </c>
      <c r="HM18" s="51">
        <f t="shared" si="39"/>
        <v>0</v>
      </c>
      <c r="HN18" s="51">
        <f t="shared" si="39"/>
        <v>0</v>
      </c>
      <c r="HO18" s="51">
        <f t="shared" si="39"/>
        <v>0</v>
      </c>
      <c r="HP18" s="51">
        <f t="shared" si="39"/>
        <v>0</v>
      </c>
      <c r="HQ18" s="51">
        <f t="shared" si="39"/>
        <v>0</v>
      </c>
      <c r="HR18" s="51">
        <f t="shared" si="39"/>
        <v>0</v>
      </c>
      <c r="HS18" s="51">
        <f t="shared" si="39"/>
        <v>0</v>
      </c>
      <c r="HT18" s="51">
        <f t="shared" si="39"/>
        <v>0</v>
      </c>
      <c r="HU18" s="51">
        <f t="shared" si="39"/>
        <v>0</v>
      </c>
      <c r="HV18" s="51">
        <f t="shared" si="39"/>
        <v>0</v>
      </c>
      <c r="HW18" s="51">
        <f t="shared" si="39"/>
        <v>0</v>
      </c>
      <c r="HX18" s="51">
        <f t="shared" si="39"/>
        <v>0</v>
      </c>
      <c r="HY18" s="51">
        <f t="shared" si="39"/>
        <v>0</v>
      </c>
      <c r="HZ18" s="51">
        <f t="shared" si="39"/>
        <v>0</v>
      </c>
      <c r="IA18" s="51">
        <f t="shared" si="39"/>
        <v>0</v>
      </c>
      <c r="IB18" s="51">
        <f t="shared" si="39"/>
        <v>0</v>
      </c>
      <c r="IC18" s="51">
        <f t="shared" si="39"/>
        <v>0</v>
      </c>
      <c r="ID18" s="51">
        <f t="shared" si="39"/>
        <v>0</v>
      </c>
      <c r="IE18" s="51">
        <f t="shared" si="39"/>
        <v>0</v>
      </c>
      <c r="IF18" s="51">
        <f t="shared" si="39"/>
        <v>0</v>
      </c>
      <c r="IG18" s="51">
        <f t="shared" si="39"/>
        <v>0</v>
      </c>
      <c r="IH18" s="51">
        <f t="shared" si="39"/>
        <v>0</v>
      </c>
      <c r="II18" s="51">
        <f t="shared" si="39"/>
        <v>0</v>
      </c>
      <c r="IJ18" s="51">
        <f t="shared" si="39"/>
        <v>0</v>
      </c>
      <c r="IK18" s="51">
        <f t="shared" si="39"/>
        <v>0</v>
      </c>
      <c r="IL18" s="51">
        <f t="shared" si="39"/>
        <v>0</v>
      </c>
      <c r="IM18" s="51">
        <f t="shared" si="39"/>
        <v>0</v>
      </c>
      <c r="IN18" s="51">
        <f t="shared" si="39"/>
        <v>0</v>
      </c>
      <c r="IO18" s="51">
        <f t="shared" si="39"/>
        <v>0</v>
      </c>
      <c r="IP18" s="51">
        <f t="shared" si="39"/>
        <v>0</v>
      </c>
      <c r="IQ18" s="51">
        <f t="shared" si="39"/>
        <v>0</v>
      </c>
      <c r="IR18" s="51">
        <f t="shared" si="39"/>
        <v>0</v>
      </c>
      <c r="IS18" s="51">
        <f t="shared" si="39"/>
        <v>0</v>
      </c>
      <c r="IT18" s="51">
        <f t="shared" si="39"/>
        <v>0</v>
      </c>
      <c r="IU18" s="51">
        <f t="shared" si="39"/>
        <v>0</v>
      </c>
      <c r="IV18" s="51">
        <f t="shared" si="39"/>
        <v>0</v>
      </c>
      <c r="IW18" s="51">
        <f t="shared" si="39"/>
        <v>0</v>
      </c>
      <c r="IX18" s="51">
        <f t="shared" si="39"/>
        <v>0</v>
      </c>
      <c r="IY18" s="51">
        <f t="shared" si="39"/>
        <v>0</v>
      </c>
      <c r="IZ18" s="51">
        <f t="shared" si="39"/>
        <v>0</v>
      </c>
      <c r="JA18" s="51">
        <f t="shared" si="39"/>
        <v>0</v>
      </c>
      <c r="JB18" s="51">
        <f t="shared" si="39"/>
        <v>0</v>
      </c>
      <c r="JC18" s="51">
        <f t="shared" si="39"/>
        <v>0</v>
      </c>
    </row>
    <row r="19" spans="1:263" ht="12.75" hidden="1" customHeight="1" thickBot="1" x14ac:dyDescent="0.3">
      <c r="A19" s="285"/>
      <c r="B19" s="285"/>
      <c r="C19" s="286"/>
      <c r="D19" s="285"/>
      <c r="E19" s="285"/>
      <c r="F19" s="285"/>
      <c r="G19" s="3140">
        <f>G17*G18</f>
        <v>0</v>
      </c>
      <c r="H19" s="285"/>
      <c r="I19" s="306" t="s">
        <v>667</v>
      </c>
      <c r="J19" s="285"/>
      <c r="K19" s="306"/>
      <c r="L19" s="285"/>
      <c r="M19" s="287"/>
      <c r="N19" s="287"/>
      <c r="O19" s="287"/>
      <c r="P19" s="287"/>
      <c r="Q19" s="287"/>
      <c r="R19" s="287"/>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308" t="s">
        <v>2326</v>
      </c>
      <c r="EB19" s="60">
        <f>IFERROR(IF(DT117=0,1,INDEX(EG26:JD26,EB17)),0)</f>
        <v>1</v>
      </c>
      <c r="EC19" s="285"/>
      <c r="ED19" s="285"/>
      <c r="EE19" s="285"/>
      <c r="EF19" s="308" t="s">
        <v>85</v>
      </c>
      <c r="EG19" s="52">
        <v>1</v>
      </c>
      <c r="EH19" s="53">
        <f>EG19+1</f>
        <v>2</v>
      </c>
      <c r="EI19" s="53">
        <f t="shared" ref="EI19:GT19" si="40">EH19+1</f>
        <v>3</v>
      </c>
      <c r="EJ19" s="53">
        <f t="shared" si="40"/>
        <v>4</v>
      </c>
      <c r="EK19" s="53">
        <f t="shared" si="40"/>
        <v>5</v>
      </c>
      <c r="EL19" s="53">
        <f t="shared" si="40"/>
        <v>6</v>
      </c>
      <c r="EM19" s="53">
        <f t="shared" si="40"/>
        <v>7</v>
      </c>
      <c r="EN19" s="53">
        <f t="shared" si="40"/>
        <v>8</v>
      </c>
      <c r="EO19" s="53">
        <f t="shared" si="40"/>
        <v>9</v>
      </c>
      <c r="EP19" s="53">
        <f t="shared" si="40"/>
        <v>10</v>
      </c>
      <c r="EQ19" s="53">
        <f t="shared" si="40"/>
        <v>11</v>
      </c>
      <c r="ER19" s="53">
        <f t="shared" si="40"/>
        <v>12</v>
      </c>
      <c r="ES19" s="53">
        <f t="shared" si="40"/>
        <v>13</v>
      </c>
      <c r="ET19" s="53">
        <f t="shared" si="40"/>
        <v>14</v>
      </c>
      <c r="EU19" s="53">
        <f t="shared" si="40"/>
        <v>15</v>
      </c>
      <c r="EV19" s="53">
        <f t="shared" si="40"/>
        <v>16</v>
      </c>
      <c r="EW19" s="53">
        <f t="shared" si="40"/>
        <v>17</v>
      </c>
      <c r="EX19" s="53">
        <f t="shared" si="40"/>
        <v>18</v>
      </c>
      <c r="EY19" s="53">
        <f t="shared" si="40"/>
        <v>19</v>
      </c>
      <c r="EZ19" s="53">
        <f t="shared" si="40"/>
        <v>20</v>
      </c>
      <c r="FA19" s="53">
        <f t="shared" si="40"/>
        <v>21</v>
      </c>
      <c r="FB19" s="53">
        <f>FA19+1</f>
        <v>22</v>
      </c>
      <c r="FC19" s="53">
        <f t="shared" si="40"/>
        <v>23</v>
      </c>
      <c r="FD19" s="53">
        <f t="shared" si="40"/>
        <v>24</v>
      </c>
      <c r="FE19" s="53">
        <f t="shared" si="40"/>
        <v>25</v>
      </c>
      <c r="FF19" s="53">
        <f t="shared" si="40"/>
        <v>26</v>
      </c>
      <c r="FG19" s="53">
        <f t="shared" si="40"/>
        <v>27</v>
      </c>
      <c r="FH19" s="53">
        <f t="shared" si="40"/>
        <v>28</v>
      </c>
      <c r="FI19" s="53">
        <f>FH19+1</f>
        <v>29</v>
      </c>
      <c r="FJ19" s="53">
        <f t="shared" si="40"/>
        <v>30</v>
      </c>
      <c r="FK19" s="53">
        <f t="shared" si="40"/>
        <v>31</v>
      </c>
      <c r="FL19" s="53">
        <f t="shared" si="40"/>
        <v>32</v>
      </c>
      <c r="FM19" s="53">
        <f t="shared" si="40"/>
        <v>33</v>
      </c>
      <c r="FN19" s="53">
        <f t="shared" si="40"/>
        <v>34</v>
      </c>
      <c r="FO19" s="53">
        <f t="shared" si="40"/>
        <v>35</v>
      </c>
      <c r="FP19" s="53">
        <f t="shared" si="40"/>
        <v>36</v>
      </c>
      <c r="FQ19" s="53">
        <f t="shared" si="40"/>
        <v>37</v>
      </c>
      <c r="FR19" s="53">
        <f t="shared" si="40"/>
        <v>38</v>
      </c>
      <c r="FS19" s="53">
        <f t="shared" si="40"/>
        <v>39</v>
      </c>
      <c r="FT19" s="53">
        <f t="shared" si="40"/>
        <v>40</v>
      </c>
      <c r="FU19" s="53">
        <f t="shared" si="40"/>
        <v>41</v>
      </c>
      <c r="FV19" s="53">
        <f t="shared" si="40"/>
        <v>42</v>
      </c>
      <c r="FW19" s="53">
        <f t="shared" si="40"/>
        <v>43</v>
      </c>
      <c r="FX19" s="53">
        <f t="shared" si="40"/>
        <v>44</v>
      </c>
      <c r="FY19" s="53">
        <f t="shared" si="40"/>
        <v>45</v>
      </c>
      <c r="FZ19" s="53">
        <f t="shared" si="40"/>
        <v>46</v>
      </c>
      <c r="GA19" s="53">
        <f t="shared" si="40"/>
        <v>47</v>
      </c>
      <c r="GB19" s="53">
        <f t="shared" si="40"/>
        <v>48</v>
      </c>
      <c r="GC19" s="53">
        <f t="shared" si="40"/>
        <v>49</v>
      </c>
      <c r="GD19" s="53">
        <f t="shared" si="40"/>
        <v>50</v>
      </c>
      <c r="GE19" s="53">
        <f t="shared" si="40"/>
        <v>51</v>
      </c>
      <c r="GF19" s="53">
        <f t="shared" si="40"/>
        <v>52</v>
      </c>
      <c r="GG19" s="53">
        <f t="shared" si="40"/>
        <v>53</v>
      </c>
      <c r="GH19" s="53">
        <f t="shared" si="40"/>
        <v>54</v>
      </c>
      <c r="GI19" s="53">
        <f t="shared" si="40"/>
        <v>55</v>
      </c>
      <c r="GJ19" s="53">
        <f t="shared" si="40"/>
        <v>56</v>
      </c>
      <c r="GK19" s="53">
        <f t="shared" si="40"/>
        <v>57</v>
      </c>
      <c r="GL19" s="53">
        <f t="shared" si="40"/>
        <v>58</v>
      </c>
      <c r="GM19" s="53">
        <f t="shared" si="40"/>
        <v>59</v>
      </c>
      <c r="GN19" s="53">
        <f t="shared" si="40"/>
        <v>60</v>
      </c>
      <c r="GO19" s="53">
        <f t="shared" si="40"/>
        <v>61</v>
      </c>
      <c r="GP19" s="53">
        <f t="shared" si="40"/>
        <v>62</v>
      </c>
      <c r="GQ19" s="53">
        <f t="shared" si="40"/>
        <v>63</v>
      </c>
      <c r="GR19" s="53">
        <f t="shared" si="40"/>
        <v>64</v>
      </c>
      <c r="GS19" s="53">
        <f t="shared" si="40"/>
        <v>65</v>
      </c>
      <c r="GT19" s="53">
        <f t="shared" si="40"/>
        <v>66</v>
      </c>
      <c r="GU19" s="53">
        <f>GT19+1</f>
        <v>67</v>
      </c>
      <c r="GV19" s="53">
        <f>GU19+1</f>
        <v>68</v>
      </c>
      <c r="GW19" s="53">
        <f>GV19+1</f>
        <v>69</v>
      </c>
      <c r="GX19" s="53">
        <f>GW19+1</f>
        <v>70</v>
      </c>
      <c r="GY19" s="53">
        <f>GX19+1</f>
        <v>71</v>
      </c>
      <c r="GZ19" s="53">
        <f t="shared" ref="GZ19:JC19" si="41">GY19+1</f>
        <v>72</v>
      </c>
      <c r="HA19" s="53">
        <f t="shared" si="41"/>
        <v>73</v>
      </c>
      <c r="HB19" s="53">
        <f t="shared" si="41"/>
        <v>74</v>
      </c>
      <c r="HC19" s="53">
        <f t="shared" si="41"/>
        <v>75</v>
      </c>
      <c r="HD19" s="53">
        <f t="shared" si="41"/>
        <v>76</v>
      </c>
      <c r="HE19" s="53">
        <f t="shared" si="41"/>
        <v>77</v>
      </c>
      <c r="HF19" s="53">
        <f t="shared" si="41"/>
        <v>78</v>
      </c>
      <c r="HG19" s="53">
        <f t="shared" si="41"/>
        <v>79</v>
      </c>
      <c r="HH19" s="53">
        <f t="shared" si="41"/>
        <v>80</v>
      </c>
      <c r="HI19" s="53">
        <f t="shared" si="41"/>
        <v>81</v>
      </c>
      <c r="HJ19" s="53">
        <f t="shared" si="41"/>
        <v>82</v>
      </c>
      <c r="HK19" s="53">
        <f t="shared" si="41"/>
        <v>83</v>
      </c>
      <c r="HL19" s="53">
        <f t="shared" si="41"/>
        <v>84</v>
      </c>
      <c r="HM19" s="53">
        <f t="shared" si="41"/>
        <v>85</v>
      </c>
      <c r="HN19" s="53">
        <f t="shared" si="41"/>
        <v>86</v>
      </c>
      <c r="HO19" s="53">
        <f t="shared" si="41"/>
        <v>87</v>
      </c>
      <c r="HP19" s="53">
        <f t="shared" si="41"/>
        <v>88</v>
      </c>
      <c r="HQ19" s="53">
        <f t="shared" si="41"/>
        <v>89</v>
      </c>
      <c r="HR19" s="53">
        <f t="shared" si="41"/>
        <v>90</v>
      </c>
      <c r="HS19" s="53">
        <f t="shared" si="41"/>
        <v>91</v>
      </c>
      <c r="HT19" s="53">
        <f t="shared" si="41"/>
        <v>92</v>
      </c>
      <c r="HU19" s="53">
        <f t="shared" si="41"/>
        <v>93</v>
      </c>
      <c r="HV19" s="53">
        <f t="shared" si="41"/>
        <v>94</v>
      </c>
      <c r="HW19" s="53">
        <f t="shared" si="41"/>
        <v>95</v>
      </c>
      <c r="HX19" s="53">
        <f t="shared" si="41"/>
        <v>96</v>
      </c>
      <c r="HY19" s="53">
        <f t="shared" si="41"/>
        <v>97</v>
      </c>
      <c r="HZ19" s="53">
        <f t="shared" si="41"/>
        <v>98</v>
      </c>
      <c r="IA19" s="53">
        <f t="shared" si="41"/>
        <v>99</v>
      </c>
      <c r="IB19" s="53">
        <f t="shared" si="41"/>
        <v>100</v>
      </c>
      <c r="IC19" s="53">
        <f t="shared" si="41"/>
        <v>101</v>
      </c>
      <c r="ID19" s="53">
        <f t="shared" si="41"/>
        <v>102</v>
      </c>
      <c r="IE19" s="53">
        <f t="shared" si="41"/>
        <v>103</v>
      </c>
      <c r="IF19" s="53">
        <f t="shared" si="41"/>
        <v>104</v>
      </c>
      <c r="IG19" s="53">
        <f t="shared" si="41"/>
        <v>105</v>
      </c>
      <c r="IH19" s="53">
        <f t="shared" si="41"/>
        <v>106</v>
      </c>
      <c r="II19" s="53">
        <f t="shared" si="41"/>
        <v>107</v>
      </c>
      <c r="IJ19" s="53">
        <f t="shared" si="41"/>
        <v>108</v>
      </c>
      <c r="IK19" s="53">
        <f t="shared" si="41"/>
        <v>109</v>
      </c>
      <c r="IL19" s="53">
        <f t="shared" si="41"/>
        <v>110</v>
      </c>
      <c r="IM19" s="53">
        <f t="shared" si="41"/>
        <v>111</v>
      </c>
      <c r="IN19" s="53">
        <f t="shared" si="41"/>
        <v>112</v>
      </c>
      <c r="IO19" s="53">
        <f t="shared" si="41"/>
        <v>113</v>
      </c>
      <c r="IP19" s="53">
        <f t="shared" si="41"/>
        <v>114</v>
      </c>
      <c r="IQ19" s="53">
        <f t="shared" si="41"/>
        <v>115</v>
      </c>
      <c r="IR19" s="53">
        <f t="shared" si="41"/>
        <v>116</v>
      </c>
      <c r="IS19" s="53">
        <f t="shared" si="41"/>
        <v>117</v>
      </c>
      <c r="IT19" s="53">
        <f t="shared" si="41"/>
        <v>118</v>
      </c>
      <c r="IU19" s="53">
        <f t="shared" si="41"/>
        <v>119</v>
      </c>
      <c r="IV19" s="53">
        <f t="shared" si="41"/>
        <v>120</v>
      </c>
      <c r="IW19" s="53">
        <f t="shared" si="41"/>
        <v>121</v>
      </c>
      <c r="IX19" s="53">
        <f t="shared" si="41"/>
        <v>122</v>
      </c>
      <c r="IY19" s="53">
        <f t="shared" si="41"/>
        <v>123</v>
      </c>
      <c r="IZ19" s="53">
        <f t="shared" si="41"/>
        <v>124</v>
      </c>
      <c r="JA19" s="53">
        <f t="shared" si="41"/>
        <v>125</v>
      </c>
      <c r="JB19" s="53">
        <f t="shared" si="41"/>
        <v>126</v>
      </c>
      <c r="JC19" s="53">
        <f t="shared" si="41"/>
        <v>127</v>
      </c>
    </row>
    <row r="20" spans="1:263" ht="12.75" hidden="1" customHeight="1" x14ac:dyDescent="0.25">
      <c r="A20" s="285"/>
      <c r="B20" s="285"/>
      <c r="C20" s="285"/>
      <c r="D20" s="285"/>
      <c r="E20" s="285"/>
      <c r="F20" s="285"/>
      <c r="G20" s="285"/>
      <c r="H20" s="285"/>
      <c r="I20" s="285"/>
      <c r="J20" s="285"/>
      <c r="K20" s="306"/>
      <c r="L20" s="285"/>
      <c r="M20" s="287"/>
      <c r="N20" s="287"/>
      <c r="O20" s="287"/>
      <c r="P20" s="287"/>
      <c r="Q20" s="287"/>
      <c r="R20" s="287"/>
      <c r="S20" s="285"/>
      <c r="T20" s="285"/>
      <c r="U20" s="285"/>
      <c r="V20" s="285"/>
      <c r="W20" s="285"/>
      <c r="X20" s="285"/>
      <c r="Y20" s="285"/>
      <c r="Z20" s="285"/>
      <c r="AA20" s="285"/>
      <c r="AB20" s="285"/>
      <c r="AC20" s="285"/>
      <c r="AD20" s="285"/>
      <c r="AE20" s="285"/>
      <c r="AF20" s="285"/>
      <c r="AG20" s="285"/>
      <c r="AH20" s="285"/>
      <c r="AI20" s="285"/>
      <c r="AJ20" s="285"/>
      <c r="AK20" s="285"/>
      <c r="AL20" s="285"/>
      <c r="AM20" s="285"/>
      <c r="AN20" s="285"/>
      <c r="AO20" s="285"/>
      <c r="AP20" s="285"/>
      <c r="AQ20" s="285"/>
      <c r="AR20" s="285"/>
      <c r="AS20" s="285"/>
      <c r="AT20" s="285"/>
      <c r="AU20" s="285"/>
      <c r="AV20" s="285"/>
      <c r="AW20" s="285"/>
      <c r="AX20" s="285"/>
      <c r="AY20" s="285"/>
      <c r="AZ20" s="285"/>
      <c r="BA20" s="285"/>
      <c r="BB20" s="285"/>
      <c r="BC20" s="285"/>
      <c r="BD20" s="285"/>
      <c r="BE20" s="285"/>
      <c r="BF20" s="285"/>
      <c r="BG20" s="285"/>
      <c r="BH20" s="285"/>
      <c r="BI20" s="285"/>
      <c r="BJ20" s="285"/>
      <c r="BK20" s="285"/>
      <c r="BL20" s="285"/>
      <c r="BM20" s="285"/>
      <c r="BN20" s="285"/>
      <c r="BO20" s="285"/>
      <c r="BP20" s="285"/>
      <c r="BQ20" s="285"/>
      <c r="BR20" s="285"/>
      <c r="BS20" s="285"/>
      <c r="BT20" s="285"/>
      <c r="BU20" s="285"/>
      <c r="BV20" s="285"/>
      <c r="BW20" s="285"/>
      <c r="BX20" s="285"/>
      <c r="BY20" s="285"/>
      <c r="BZ20" s="285"/>
      <c r="CA20" s="285"/>
      <c r="CB20" s="285"/>
      <c r="CC20" s="285"/>
      <c r="CD20" s="285"/>
      <c r="CE20" s="285"/>
      <c r="CF20" s="285"/>
      <c r="CG20" s="285"/>
      <c r="CH20" s="285"/>
      <c r="CI20" s="285"/>
      <c r="CJ20" s="285"/>
      <c r="CK20" s="285"/>
      <c r="CL20" s="285"/>
      <c r="CM20" s="285"/>
      <c r="CN20" s="285"/>
      <c r="CO20" s="285"/>
      <c r="CP20" s="285"/>
      <c r="CQ20" s="285"/>
      <c r="CR20" s="285"/>
      <c r="CS20" s="285"/>
      <c r="CT20" s="285"/>
      <c r="CU20" s="285"/>
      <c r="CV20" s="285"/>
      <c r="CW20" s="285"/>
      <c r="CX20" s="285"/>
      <c r="CY20" s="285"/>
      <c r="CZ20" s="285"/>
      <c r="DA20" s="285"/>
      <c r="DB20" s="285"/>
      <c r="DC20" s="285"/>
      <c r="DD20" s="285"/>
      <c r="DE20" s="285"/>
      <c r="DF20" s="285"/>
      <c r="DG20" s="285"/>
      <c r="DH20" s="285"/>
      <c r="DI20" s="285"/>
      <c r="DJ20" s="285"/>
      <c r="DK20" s="285"/>
      <c r="DL20" s="285"/>
      <c r="DM20" s="285"/>
      <c r="DN20" s="285"/>
      <c r="DO20" s="285"/>
      <c r="DP20" s="285"/>
      <c r="DQ20" s="285"/>
      <c r="DR20" s="285"/>
      <c r="DS20" s="285"/>
      <c r="DT20" s="285"/>
      <c r="DU20" s="285"/>
      <c r="DV20" s="285"/>
      <c r="DW20" s="285"/>
      <c r="DX20" s="285"/>
      <c r="DY20" s="285"/>
      <c r="DZ20" s="285"/>
      <c r="EA20" s="289"/>
      <c r="EB20" s="289"/>
      <c r="EC20" s="289"/>
      <c r="ED20" s="285"/>
      <c r="EE20" s="276"/>
      <c r="EF20" s="308" t="s">
        <v>92</v>
      </c>
      <c r="EG20" s="716">
        <f t="shared" ref="EG20:ER20" si="42">$EB$21*IF(OR(EC23=1,DY23=1,EL23=1,EP23=1,EY23=1,FC23=1,FL23=1,FP23=1,FY23=1),1,0)</f>
        <v>0</v>
      </c>
      <c r="EH20" s="717">
        <f t="shared" si="42"/>
        <v>0</v>
      </c>
      <c r="EI20" s="717">
        <f t="shared" si="42"/>
        <v>0</v>
      </c>
      <c r="EJ20" s="717">
        <f t="shared" si="42"/>
        <v>0</v>
      </c>
      <c r="EK20" s="717">
        <f t="shared" si="42"/>
        <v>0</v>
      </c>
      <c r="EL20" s="717">
        <f t="shared" si="42"/>
        <v>0</v>
      </c>
      <c r="EM20" s="717">
        <f t="shared" si="42"/>
        <v>0</v>
      </c>
      <c r="EN20" s="717">
        <f t="shared" si="42"/>
        <v>0</v>
      </c>
      <c r="EO20" s="717">
        <f t="shared" si="42"/>
        <v>0</v>
      </c>
      <c r="EP20" s="717">
        <f t="shared" si="42"/>
        <v>0</v>
      </c>
      <c r="EQ20" s="717">
        <f t="shared" si="42"/>
        <v>0</v>
      </c>
      <c r="ER20" s="717">
        <f t="shared" si="42"/>
        <v>0</v>
      </c>
      <c r="ES20" s="713">
        <f>$EB$21*IF(OR(EO23=1,EK23=1,EB23=1,DS23=1,DR23=1,DK23=1,CS23=1,AU23=1,EX23=1,FB23=1,FK23=1,FO23=1,FX23=1,GB23=1),1,0)</f>
        <v>0</v>
      </c>
      <c r="ET20" s="713">
        <f>$EB$21*IF(OR(EP23=1,EL23=1,EC23=1,DY23=1,DT23=1,DM23=1,AV23=1,EY23=1,FC23=1,FL23=1,FP23=1,FY23=1,GC23=1),1,0)</f>
        <v>0</v>
      </c>
      <c r="EU20" s="713">
        <f>$EB$21*IF(OR(EQ23=1,EM23=1,ED23=1,DZ23=1,DO23=1,CT23=1,AW23=1,EZ23=1,FD23=1,FM23=1,FQ23=1,FZ23=1,GD23=1),1,0)</f>
        <v>0</v>
      </c>
      <c r="EV20" s="713">
        <f>$EB$21*IF(OR(ER23=1,EN23=1,EE23=1,EA23=1,DV23=1,DP23=1,CV23=1,CR23=1,FA23=1,FE23=1,FN23=1,FR23=1,GA23=1,GE23=1),1,0)</f>
        <v>0</v>
      </c>
      <c r="EW20" s="713">
        <f>$EB$21*IF(OR(ES23=1,EO23=1,EF23=1,EB23=1,DW23=1,DR23=1,DA23=1,CS23=1,FB23=1,FF23=1,FO23=1,FS23=1,GB23=1,GF23=1),1,0)</f>
        <v>0</v>
      </c>
      <c r="EX20" s="147">
        <f>$EB$21*IF(OR(ET23=1,EP23=1,EG23=1,EC23=1,DT23=1,DB23=1,FC23=1,FG23=1,FP23=1,FT23=1,GC23=1,GG23=1),1,0)</f>
        <v>0</v>
      </c>
      <c r="EY20" s="147">
        <f>$EB$21*IF(OR(EU23=1,EQ23=1,EH23=1,ED23=1,AG23=1,CT23=1,FD23=1,FH23=1,FQ23=1,FU23=1,GD23=1,GH23=1),1,0)</f>
        <v>0</v>
      </c>
      <c r="EZ20" s="147">
        <f>$EB$21*IF(OR(EV23=1,ER23=1,EI23=1,EE23=1,DX23=1,DV23=1,DC23=1,CV23=1,FE23=1,FI23=1,FR23=1,FV23=1,GE23=1,GI23=1),1,0)</f>
        <v>0</v>
      </c>
      <c r="FA20" s="147">
        <f>$EB$21*IF(OR(EW23=1,ES23=1,EJ23=1,EF23=1,DY23=1,DW23=1,DG23=1,CX23=1,FF23=1,FJ23=1,FS23=1,FW23=1,GF23=1,GJ23=1),1,0)</f>
        <v>0</v>
      </c>
      <c r="FB20" s="147">
        <f>$EB$21*IF(OR(EX23=1,ET23=1,EK23=1,EG23=1,DZ23=1,DX23=1,DI23=1,CZ23=1,FG23=1,FK23=1,FT23=1,FX23=1,GG23=1,GK23=1),1,0)</f>
        <v>0</v>
      </c>
      <c r="FC20" s="147">
        <f>$EB$21*IF(OR(EY23=1,EU23=1,EL23=1,EH23=1,EA23=1,DY23=1,DJ23=1,DA23=1,FH23=1,FL23=1,FU23=1,FY23=1,GH23=1,GL23=1),1,0)</f>
        <v>0</v>
      </c>
      <c r="FD20" s="147">
        <f>$EB$21*IF(OR(EZ23=1,EV23=1,EM23=1,EI23=1,EB23=1,DZ23=1,DK23=1,DB23=1,FI23=1,FM23=1,FV23=1,FZ23=1,GI23=1,GM23=1),1,0)</f>
        <v>0</v>
      </c>
      <c r="FE20" s="147">
        <f>$EB$21*IF(OR(FA23=1,EW23=1,EN23=1,EJ23=1,EC23=1,EA23=1,DL23=1,AG23=1,FJ23=1,FN23=1,FW23=1,GA23=1,GJ23=1,GN23=1),1,0)</f>
        <v>0</v>
      </c>
      <c r="FF20" s="147">
        <f>$EB$21*IF(OR(FB23=1,EX23=1,EO23=1,EK23=1,ED23=1,EB23=1,DM23=1,DC23=1,FK23=1,FO23=1,FX23=1,GB23=1,GK23=1,GO23=1),1,0)</f>
        <v>0</v>
      </c>
      <c r="FG20" s="147">
        <f>$EB$21*IF(OR(FC23=1,EY23=1,EP23=1,EL23=1,EE23=1,EC23=1,DO23=1,DG23=1,FL23=1,FP23=1,FY23=1,GC23=1,GL23=1,GP23=1),1,0)</f>
        <v>0</v>
      </c>
      <c r="FH20" s="147">
        <f>$EB$21*IF(OR(FD23=1,EZ23=1,EQ23=1,EM23=1,EF23=1,ED23=1,DP23=1,DI23=1,FM23=1,FQ23=1,FZ23=1,GD23=1,GM23=1,GQ23=1),1,0)</f>
        <v>0</v>
      </c>
      <c r="FI20" s="147">
        <f>$EB$21*IF(OR(FE23=1,FA23=1,ER23=1,EN23=1,EG23=1,EE23=1,DR23=1,DJ23=1,FN23=1,FR23=1,GA23=1,GE23=1,GN23=1,GR23=1),1,0)</f>
        <v>0</v>
      </c>
      <c r="FJ20" s="147">
        <f>$EB$21*IF(OR(FF23=1,FB23=1,ES23=1,EO23=1,EH23=1,EF23=1,DS23=1,DK23=1,FO23=1,FS23=1,GB23=1,GF23=1,GO23=1,GS23=1),1,0)</f>
        <v>0</v>
      </c>
      <c r="FK20" s="147">
        <f>$EB$21*IF(OR(FG23=1,FC23=1,ET23=1,EP23=1,EI23=1,EG23=1,DT23=1,DL23=1,FP23=1,FT23=1,GC23=1,GG23=1,GP23=1,GT23=1),1,0)</f>
        <v>0</v>
      </c>
      <c r="FL20" s="147">
        <f>$EB$21*IF(OR(FH23=1,FD23=1,EU23=1,EQ23=1,EJ23=1,EH23=1,DU23=1,DM23=1,FQ23=1,FU23=1,GD23=1,GH23=1,GQ23=1,GU23=1),1,0)</f>
        <v>0</v>
      </c>
      <c r="FM20" s="147">
        <f>$EB$21*IF(OR(FI23=1,FE23=1,EV23=1,ER23=1,EK23=1,EI23=1,DV23=1,DO23=1,FR23=1,FV23=1,GE23=1,GI23=1,GR23=1,GV23=1),1,0)</f>
        <v>0</v>
      </c>
      <c r="FN20" s="147">
        <f>$EB$21*IF(OR(FJ23=1,FF23=1,EW23=1,ES23=1,EL23=1,EJ23=1,DW23=1,DP23=1,FS23=1,FW23=1,GF23=1,GJ23=1,GS23=1,GW23=1),1,0)</f>
        <v>0</v>
      </c>
      <c r="FO20" s="147">
        <f>$EB$21*IF(OR(FK23=1,FG23=1,EX23=1,ET23=1,EM23=1,EK23=1,DX23=1,DR23=1,FT23=1,FX23=1,GG23=1,GK23=1,GT23=1,GX23=1),1,0)</f>
        <v>0</v>
      </c>
      <c r="FP20" s="147">
        <f>$EB$21*IF(OR(FL23=1,FH23=1,EY23=1,EU23=1,EN23=1,EL23=1,DY23=1,DS23=1,FU23=1,FY23=1,GH23=1,GL23=1,GU23=1,GY23=1),1,0)</f>
        <v>0</v>
      </c>
      <c r="FQ20" s="147">
        <f>$EB$21*IF(OR(FM23=1,FI23=1,EZ23=1,EV23=1,EO23=1,EM23=1,DZ23=1,DT23=1,FV23=1,FZ23=1,GI23=1,GM23=1,GV23=1,GZ23=1),1,0)</f>
        <v>0</v>
      </c>
      <c r="FR20" s="147">
        <f>$EB$21*IF(OR(FN23=1,FJ23=1,FA23=1,EW23=1,EP23=1,EN23=1,EA23=1,DU23=1,FW23=1,GA23=1,GJ23=1,GN23=1,GW23=1,HA23=1),1,0)</f>
        <v>0</v>
      </c>
      <c r="FS20" s="147">
        <f>$EB$21*IF(OR(FO23=1,FK23=1,FB23=1,EX23=1,EQ23=1,EO23=1,EB23=1,DV23=1,FX23=1,GB23=1,GK23=1,GO23=1,GX23=1,HB23=1),1,0)</f>
        <v>0</v>
      </c>
      <c r="FT20" s="147">
        <f t="shared" ref="FT20:HC20" si="43">$EB$21*IF(OR(FP23=1,FL23=1,FC23=1,EY23=1,EP23=1,EL23=1,EC23=1,DY23=1,FY23=1,GC23=1,GL23=1,GP23=1,GY23=1,HC23=1),1,0)</f>
        <v>0</v>
      </c>
      <c r="FU20" s="147">
        <f t="shared" si="43"/>
        <v>0</v>
      </c>
      <c r="FV20" s="147">
        <f t="shared" si="43"/>
        <v>0</v>
      </c>
      <c r="FW20" s="147">
        <f t="shared" si="43"/>
        <v>0</v>
      </c>
      <c r="FX20" s="147">
        <f t="shared" si="43"/>
        <v>0</v>
      </c>
      <c r="FY20" s="147">
        <f t="shared" si="43"/>
        <v>0</v>
      </c>
      <c r="FZ20" s="147">
        <f t="shared" si="43"/>
        <v>0</v>
      </c>
      <c r="GA20" s="147">
        <f t="shared" si="43"/>
        <v>0</v>
      </c>
      <c r="GB20" s="147">
        <f t="shared" si="43"/>
        <v>0</v>
      </c>
      <c r="GC20" s="147">
        <f t="shared" si="43"/>
        <v>0</v>
      </c>
      <c r="GD20" s="147">
        <f t="shared" si="43"/>
        <v>0</v>
      </c>
      <c r="GE20" s="147">
        <f t="shared" si="43"/>
        <v>0</v>
      </c>
      <c r="GF20" s="147">
        <f t="shared" si="43"/>
        <v>0</v>
      </c>
      <c r="GG20" s="147">
        <f t="shared" si="43"/>
        <v>0</v>
      </c>
      <c r="GH20" s="147">
        <f t="shared" si="43"/>
        <v>0</v>
      </c>
      <c r="GI20" s="147">
        <f t="shared" si="43"/>
        <v>0</v>
      </c>
      <c r="GJ20" s="147">
        <f t="shared" si="43"/>
        <v>0</v>
      </c>
      <c r="GK20" s="147">
        <f t="shared" si="43"/>
        <v>0</v>
      </c>
      <c r="GL20" s="147">
        <f t="shared" si="43"/>
        <v>0</v>
      </c>
      <c r="GM20" s="147">
        <f t="shared" si="43"/>
        <v>0</v>
      </c>
      <c r="GN20" s="147">
        <f t="shared" si="43"/>
        <v>0</v>
      </c>
      <c r="GO20" s="147">
        <f t="shared" si="43"/>
        <v>0</v>
      </c>
      <c r="GP20" s="147">
        <f t="shared" si="43"/>
        <v>0</v>
      </c>
      <c r="GQ20" s="147">
        <f t="shared" si="43"/>
        <v>0</v>
      </c>
      <c r="GR20" s="147">
        <f t="shared" si="43"/>
        <v>0</v>
      </c>
      <c r="GS20" s="147">
        <f t="shared" si="43"/>
        <v>0</v>
      </c>
      <c r="GT20" s="147">
        <f t="shared" si="43"/>
        <v>0</v>
      </c>
      <c r="GU20" s="147">
        <f t="shared" si="43"/>
        <v>0</v>
      </c>
      <c r="GV20" s="147">
        <f t="shared" si="43"/>
        <v>0</v>
      </c>
      <c r="GW20" s="147">
        <f t="shared" si="43"/>
        <v>0</v>
      </c>
      <c r="GX20" s="147">
        <f t="shared" si="43"/>
        <v>0</v>
      </c>
      <c r="GY20" s="147">
        <f t="shared" si="43"/>
        <v>0</v>
      </c>
      <c r="GZ20" s="147">
        <f t="shared" si="43"/>
        <v>0</v>
      </c>
      <c r="HA20" s="147">
        <f t="shared" si="43"/>
        <v>0</v>
      </c>
      <c r="HB20" s="147">
        <f t="shared" si="43"/>
        <v>0</v>
      </c>
      <c r="HC20" s="147">
        <f t="shared" si="43"/>
        <v>0</v>
      </c>
      <c r="HD20" s="147">
        <f t="shared" ref="HD20:HR20" si="44">$EB$21*IF(OR(GZ23=1,GV23=1,GM23=1,GI23=1,FZ23=1,FV23=1,FM23=1,FI23=1,HI23=1,HM23=1,HV23=1,HZ23=1,II23=1,IM23=1),1,0)</f>
        <v>0</v>
      </c>
      <c r="HE20" s="147">
        <f t="shared" si="44"/>
        <v>0</v>
      </c>
      <c r="HF20" s="147">
        <f t="shared" si="44"/>
        <v>0</v>
      </c>
      <c r="HG20" s="147">
        <f t="shared" si="44"/>
        <v>0</v>
      </c>
      <c r="HH20" s="147">
        <f t="shared" si="44"/>
        <v>0</v>
      </c>
      <c r="HI20" s="147">
        <f t="shared" si="44"/>
        <v>0</v>
      </c>
      <c r="HJ20" s="147">
        <f t="shared" si="44"/>
        <v>0</v>
      </c>
      <c r="HK20" s="147">
        <f t="shared" si="44"/>
        <v>0</v>
      </c>
      <c r="HL20" s="147">
        <f t="shared" si="44"/>
        <v>0</v>
      </c>
      <c r="HM20" s="147">
        <f t="shared" si="44"/>
        <v>0</v>
      </c>
      <c r="HN20" s="147">
        <f t="shared" si="44"/>
        <v>0</v>
      </c>
      <c r="HO20" s="147">
        <f t="shared" si="44"/>
        <v>0</v>
      </c>
      <c r="HP20" s="147">
        <f t="shared" si="44"/>
        <v>0</v>
      </c>
      <c r="HQ20" s="147">
        <f t="shared" si="44"/>
        <v>0</v>
      </c>
      <c r="HR20" s="147">
        <f t="shared" si="44"/>
        <v>0</v>
      </c>
      <c r="HS20" s="147">
        <f t="shared" ref="HS20:IX20" si="45">$EB$21*IF(OR(HO23=1,HK23=1,HB23=1,GX23=1,GO23=1,GK23=1,GB23=1,FX23=1,HX23=1,IB23=1,IK23=1,IO23=1,IX23=1,JB23=1),1,0)</f>
        <v>0</v>
      </c>
      <c r="HT20" s="147">
        <f t="shared" si="45"/>
        <v>0</v>
      </c>
      <c r="HU20" s="147">
        <f t="shared" si="45"/>
        <v>0</v>
      </c>
      <c r="HV20" s="147">
        <f t="shared" si="45"/>
        <v>0</v>
      </c>
      <c r="HW20" s="147">
        <f t="shared" si="45"/>
        <v>0</v>
      </c>
      <c r="HX20" s="147">
        <f t="shared" si="45"/>
        <v>0</v>
      </c>
      <c r="HY20" s="147">
        <f t="shared" si="45"/>
        <v>0</v>
      </c>
      <c r="HZ20" s="147">
        <f t="shared" si="45"/>
        <v>0</v>
      </c>
      <c r="IA20" s="147">
        <f t="shared" si="45"/>
        <v>0</v>
      </c>
      <c r="IB20" s="147">
        <f t="shared" si="45"/>
        <v>0</v>
      </c>
      <c r="IC20" s="147">
        <f t="shared" si="45"/>
        <v>0</v>
      </c>
      <c r="ID20" s="147">
        <f t="shared" si="45"/>
        <v>0</v>
      </c>
      <c r="IE20" s="147">
        <f t="shared" si="45"/>
        <v>0</v>
      </c>
      <c r="IF20" s="147">
        <f t="shared" si="45"/>
        <v>0</v>
      </c>
      <c r="IG20" s="147">
        <f t="shared" si="45"/>
        <v>0</v>
      </c>
      <c r="IH20" s="147">
        <f t="shared" si="45"/>
        <v>0</v>
      </c>
      <c r="II20" s="147">
        <f t="shared" si="45"/>
        <v>0</v>
      </c>
      <c r="IJ20" s="147">
        <f t="shared" si="45"/>
        <v>0</v>
      </c>
      <c r="IK20" s="147">
        <f t="shared" si="45"/>
        <v>0</v>
      </c>
      <c r="IL20" s="147">
        <f t="shared" si="45"/>
        <v>0</v>
      </c>
      <c r="IM20" s="147">
        <f t="shared" si="45"/>
        <v>0</v>
      </c>
      <c r="IN20" s="147">
        <f t="shared" si="45"/>
        <v>0</v>
      </c>
      <c r="IO20" s="147">
        <f t="shared" si="45"/>
        <v>0</v>
      </c>
      <c r="IP20" s="147">
        <f t="shared" si="45"/>
        <v>0</v>
      </c>
      <c r="IQ20" s="147">
        <f t="shared" si="45"/>
        <v>0</v>
      </c>
      <c r="IR20" s="147">
        <f t="shared" si="45"/>
        <v>0</v>
      </c>
      <c r="IS20" s="147">
        <f t="shared" si="45"/>
        <v>0</v>
      </c>
      <c r="IT20" s="147">
        <f t="shared" si="45"/>
        <v>0</v>
      </c>
      <c r="IU20" s="147">
        <f t="shared" si="45"/>
        <v>0</v>
      </c>
      <c r="IV20" s="147">
        <f t="shared" si="45"/>
        <v>0</v>
      </c>
      <c r="IW20" s="147">
        <f t="shared" si="45"/>
        <v>0</v>
      </c>
      <c r="IX20" s="147">
        <f t="shared" si="45"/>
        <v>0</v>
      </c>
      <c r="IY20" s="147">
        <f t="shared" ref="IY20:JC20" si="46">$EB$21*IF(OR(IU23=1,IQ23=1,IH23=1,ID23=1,HU23=1,HQ23=1,HH23=1,HD23=1,JD23=1,JH23=1,JQ23=1,JU23=1,KD23=1,KH23=1),1,0)</f>
        <v>0</v>
      </c>
      <c r="IZ20" s="147">
        <f t="shared" si="46"/>
        <v>0</v>
      </c>
      <c r="JA20" s="147">
        <f t="shared" si="46"/>
        <v>0</v>
      </c>
      <c r="JB20" s="147">
        <f t="shared" si="46"/>
        <v>0</v>
      </c>
      <c r="JC20" s="148">
        <f t="shared" si="46"/>
        <v>0</v>
      </c>
    </row>
    <row r="21" spans="1:263" ht="12.75" hidden="1" customHeight="1" x14ac:dyDescent="0.25">
      <c r="A21" s="285"/>
      <c r="B21" s="285"/>
      <c r="C21" s="312">
        <f>'5  Control Accounts'!$BJ$26</f>
        <v>6</v>
      </c>
      <c r="D21" s="293"/>
      <c r="E21" s="306" t="s">
        <v>1780</v>
      </c>
      <c r="F21" s="285"/>
      <c r="G21" s="285"/>
      <c r="H21" s="285"/>
      <c r="I21" s="285"/>
      <c r="J21" s="285"/>
      <c r="K21" s="306"/>
      <c r="L21" s="285"/>
      <c r="M21" s="287"/>
      <c r="N21" s="287"/>
      <c r="O21" s="287"/>
      <c r="P21" s="287"/>
      <c r="Q21" s="287"/>
      <c r="R21" s="287"/>
      <c r="S21" s="285"/>
      <c r="T21" s="285"/>
      <c r="U21" s="285"/>
      <c r="V21" s="285"/>
      <c r="W21" s="285"/>
      <c r="X21" s="285"/>
      <c r="Y21" s="285"/>
      <c r="Z21" s="285"/>
      <c r="AA21" s="285"/>
      <c r="AB21" s="285"/>
      <c r="AC21" s="285"/>
      <c r="AD21" s="285"/>
      <c r="AE21" s="285"/>
      <c r="AF21" s="285"/>
      <c r="AG21" s="285"/>
      <c r="AH21" s="285"/>
      <c r="AI21" s="285"/>
      <c r="AJ21" s="285"/>
      <c r="AK21" s="285"/>
      <c r="AL21" s="285"/>
      <c r="AM21" s="285"/>
      <c r="AN21" s="285"/>
      <c r="AO21" s="285"/>
      <c r="AP21" s="285"/>
      <c r="AQ21" s="285"/>
      <c r="AR21" s="285"/>
      <c r="AS21" s="285"/>
      <c r="AT21" s="285"/>
      <c r="AU21" s="285"/>
      <c r="AV21" s="285"/>
      <c r="AW21" s="285"/>
      <c r="AX21" s="285"/>
      <c r="AY21" s="285"/>
      <c r="AZ21" s="285"/>
      <c r="BA21" s="285"/>
      <c r="BB21" s="285"/>
      <c r="BC21" s="285"/>
      <c r="BD21" s="285"/>
      <c r="BE21" s="285"/>
      <c r="BF21" s="285"/>
      <c r="BG21" s="285"/>
      <c r="BH21" s="285"/>
      <c r="BI21" s="285"/>
      <c r="BJ21" s="285"/>
      <c r="BK21" s="285"/>
      <c r="BL21" s="285"/>
      <c r="BM21" s="285"/>
      <c r="BN21" s="285"/>
      <c r="BO21" s="285"/>
      <c r="BP21" s="285"/>
      <c r="BQ21" s="285"/>
      <c r="BR21" s="285"/>
      <c r="BS21" s="285"/>
      <c r="BT21" s="285"/>
      <c r="BU21" s="285"/>
      <c r="BV21" s="285"/>
      <c r="BW21" s="285"/>
      <c r="BX21" s="285"/>
      <c r="BY21" s="285"/>
      <c r="BZ21" s="285"/>
      <c r="CA21" s="285"/>
      <c r="CB21" s="285"/>
      <c r="CC21" s="285"/>
      <c r="CD21" s="285"/>
      <c r="CE21" s="285"/>
      <c r="CF21" s="285"/>
      <c r="CG21" s="285"/>
      <c r="CH21" s="285"/>
      <c r="CI21" s="285"/>
      <c r="CJ21" s="285"/>
      <c r="CK21" s="285"/>
      <c r="CL21" s="285"/>
      <c r="CM21" s="285"/>
      <c r="CN21" s="285"/>
      <c r="CO21" s="285"/>
      <c r="CP21" s="285"/>
      <c r="CQ21" s="285"/>
      <c r="CR21" s="285"/>
      <c r="CS21" s="285"/>
      <c r="CT21" s="285"/>
      <c r="CU21" s="285"/>
      <c r="CV21" s="285"/>
      <c r="CW21" s="285"/>
      <c r="CX21" s="285"/>
      <c r="CY21" s="285"/>
      <c r="CZ21" s="285"/>
      <c r="DA21" s="285"/>
      <c r="DB21" s="285"/>
      <c r="DC21" s="285"/>
      <c r="DD21" s="285"/>
      <c r="DE21" s="285"/>
      <c r="DF21" s="285"/>
      <c r="DG21" s="285"/>
      <c r="DH21" s="285"/>
      <c r="DI21" s="285"/>
      <c r="DJ21" s="285"/>
      <c r="DK21" s="285"/>
      <c r="DL21" s="285"/>
      <c r="DM21" s="285"/>
      <c r="DN21" s="285"/>
      <c r="DO21" s="285"/>
      <c r="DP21" s="285"/>
      <c r="DQ21" s="285"/>
      <c r="DR21" s="285"/>
      <c r="DS21" s="285"/>
      <c r="DT21" s="285"/>
      <c r="DU21" s="285"/>
      <c r="DV21" s="285"/>
      <c r="DW21" s="285"/>
      <c r="DX21" s="285"/>
      <c r="DY21" s="285"/>
      <c r="DZ21" s="285"/>
      <c r="EA21" s="308" t="s">
        <v>781</v>
      </c>
      <c r="EB21" s="537">
        <f>IF(DY3=2,0,1)</f>
        <v>0</v>
      </c>
      <c r="EC21" s="285"/>
      <c r="ED21" s="285"/>
      <c r="EE21" s="285"/>
      <c r="EF21" s="308" t="s">
        <v>784</v>
      </c>
      <c r="EG21" s="988">
        <f>IF(OR(ET23=1,FG23=1,FT23=1),1,0)</f>
        <v>0</v>
      </c>
      <c r="EH21" s="989">
        <f>IF(OR(EU23=1,FH23=1,FU23=1),1,0)</f>
        <v>0</v>
      </c>
      <c r="EI21" s="989">
        <f>IF(OR(EV23=1,FI23=1,FV23=1),1,0)</f>
        <v>0</v>
      </c>
      <c r="EJ21" s="989">
        <f>IF(OR(EW23=1,FJ23=1,FW23=1),1,0)</f>
        <v>0</v>
      </c>
      <c r="EK21" s="595">
        <f>IF(OR(DS23=1,DK23=1,AU23=1,EX23=1,FK23=1,FX23=1),1,0)</f>
        <v>0</v>
      </c>
      <c r="EL21" s="595">
        <f>IF(OR(DY23=1,DM23=1,AV23=1,EY23=1,FL23=1,FY23=1),1,0)</f>
        <v>0</v>
      </c>
      <c r="EM21" s="595">
        <f>IF(OR(DZ23=1,DO23=1,AW23=1,EZ23=1,FM23=1,FZ23=1),1,0)</f>
        <v>0</v>
      </c>
      <c r="EN21" s="595">
        <f>IF(OR(EA23=1,DP23=1,CR23=1,FA23=1,FN23=1,GA23=1),1,0)</f>
        <v>0</v>
      </c>
      <c r="EO21" s="595">
        <f>IF(OR(EB23=1,DR23=1,CS23=1,FB23=1,FO23=1,GB23=1),1,0)</f>
        <v>0</v>
      </c>
      <c r="EP21" s="595">
        <f>IF(OR(EC23=1,DT23=1,FC23=1,FP23=1,GC23=1),1,0)</f>
        <v>0</v>
      </c>
      <c r="EQ21" s="595">
        <f>IF(OR(ED23=1,CT23=1,FD23=1,FQ23=1,GD23=1),1,0)</f>
        <v>0</v>
      </c>
      <c r="ER21" s="595">
        <f>IF(OR(EE23=1,DV23=1,CV23=1,FE23=1,FR23=1,GE23=1),1,0)</f>
        <v>0</v>
      </c>
      <c r="ES21" s="595">
        <f>IF(OR(EF23=1,DW23=1,DA23=1,FF23=1,FS23=1,GF23=1),1,0)</f>
        <v>0</v>
      </c>
      <c r="ET21" s="595">
        <f>IF(OR(EG23=1,DB23=1,FG23=1,FT23=1,GG23=1),1,0)</f>
        <v>0</v>
      </c>
      <c r="EU21" s="713">
        <f>IF(OR(EH23=1,AG23=1,FH23=1,FU23=1,GH23=1),1,0)</f>
        <v>0</v>
      </c>
      <c r="EV21" s="595">
        <f>IF(OR(EI23=1,DX23=1,DC23=1,FI23=1,FV23=1,GI23=1),1,0)</f>
        <v>0</v>
      </c>
      <c r="EW21" s="595">
        <f>IF(OR(EJ23=1,DY23=1,DG23=1,FJ23=1,FW23=1,GJ23=1),1,0)</f>
        <v>0</v>
      </c>
      <c r="EX21" s="595">
        <f>IF(OR(EK23=1,DS23=1,DK23=1,FK23=1,FX23=1,GK23=1),1,0)</f>
        <v>0</v>
      </c>
      <c r="EY21" s="595">
        <f>IF(OR(EL23=1,DY23=1,DM23=1,FL23=1,FY23=1,GL23=1),1,0)</f>
        <v>0</v>
      </c>
      <c r="EZ21" s="595">
        <f>IF(OR(EM23=1,DZ23=1,DO23=1,FM23=1,FZ23=1,GM23=1),1,0)</f>
        <v>0</v>
      </c>
      <c r="FA21" s="595">
        <f>IF(OR(EN23=1,EA23=1,DP23=1,FN23=1,GA23=1,GN23=1),1,0)</f>
        <v>0</v>
      </c>
      <c r="FB21" s="595">
        <f>IF(OR(EO23=1,EB23=1,DR23=1,FO23=1,GB23=1,GO23=1),1,0)</f>
        <v>0</v>
      </c>
      <c r="FC21" s="595">
        <f>IF(OR(EP23=1,EC23=1,DT23=1,FP23=1,GC23=1,GP23=1),1,0)</f>
        <v>0</v>
      </c>
      <c r="FD21" s="595">
        <f t="shared" ref="FD21:FU21" si="47">IF(OR(EQ23=1,ED23=1,DU23=1,FQ23=1,GD23=1,GQ23=1),1,0)</f>
        <v>0</v>
      </c>
      <c r="FE21" s="595">
        <f t="shared" si="47"/>
        <v>0</v>
      </c>
      <c r="FF21" s="595">
        <f t="shared" si="47"/>
        <v>0</v>
      </c>
      <c r="FG21" s="595">
        <f t="shared" si="47"/>
        <v>0</v>
      </c>
      <c r="FH21" s="595">
        <f t="shared" si="47"/>
        <v>0</v>
      </c>
      <c r="FI21" s="595">
        <f t="shared" si="47"/>
        <v>0</v>
      </c>
      <c r="FJ21" s="595">
        <f t="shared" si="47"/>
        <v>0</v>
      </c>
      <c r="FK21" s="595">
        <f t="shared" si="47"/>
        <v>0</v>
      </c>
      <c r="FL21" s="595">
        <f t="shared" si="47"/>
        <v>0</v>
      </c>
      <c r="FM21" s="595">
        <f t="shared" si="47"/>
        <v>0</v>
      </c>
      <c r="FN21" s="595">
        <f t="shared" si="47"/>
        <v>0</v>
      </c>
      <c r="FO21" s="595">
        <f t="shared" si="47"/>
        <v>0</v>
      </c>
      <c r="FP21" s="595">
        <f t="shared" si="47"/>
        <v>0</v>
      </c>
      <c r="FQ21" s="595">
        <f t="shared" si="47"/>
        <v>0</v>
      </c>
      <c r="FR21" s="595">
        <f t="shared" si="47"/>
        <v>0</v>
      </c>
      <c r="FS21" s="595">
        <f t="shared" si="47"/>
        <v>0</v>
      </c>
      <c r="FT21" s="595">
        <f t="shared" si="47"/>
        <v>0</v>
      </c>
      <c r="FU21" s="595">
        <f t="shared" si="47"/>
        <v>0</v>
      </c>
      <c r="FV21" s="595">
        <f t="shared" ref="FV21:GU21" si="48">IF(OR(FI23=1,EV23=1,EI23=1,GI23=1,GV23=1,HI23=1),1,0)</f>
        <v>0</v>
      </c>
      <c r="FW21" s="595">
        <f t="shared" si="48"/>
        <v>0</v>
      </c>
      <c r="FX21" s="595">
        <f t="shared" si="48"/>
        <v>0</v>
      </c>
      <c r="FY21" s="595">
        <f t="shared" si="48"/>
        <v>0</v>
      </c>
      <c r="FZ21" s="595">
        <f t="shared" si="48"/>
        <v>0</v>
      </c>
      <c r="GA21" s="595">
        <f t="shared" si="48"/>
        <v>0</v>
      </c>
      <c r="GB21" s="595">
        <f t="shared" si="48"/>
        <v>0</v>
      </c>
      <c r="GC21" s="595">
        <f t="shared" si="48"/>
        <v>0</v>
      </c>
      <c r="GD21" s="595">
        <f t="shared" si="48"/>
        <v>0</v>
      </c>
      <c r="GE21" s="595">
        <f t="shared" si="48"/>
        <v>0</v>
      </c>
      <c r="GF21" s="595">
        <f t="shared" si="48"/>
        <v>0</v>
      </c>
      <c r="GG21" s="595">
        <f t="shared" si="48"/>
        <v>0</v>
      </c>
      <c r="GH21" s="595">
        <f t="shared" si="48"/>
        <v>0</v>
      </c>
      <c r="GI21" s="595">
        <f t="shared" si="48"/>
        <v>0</v>
      </c>
      <c r="GJ21" s="595">
        <f t="shared" si="48"/>
        <v>0</v>
      </c>
      <c r="GK21" s="595">
        <f t="shared" si="48"/>
        <v>0</v>
      </c>
      <c r="GL21" s="595">
        <f t="shared" si="48"/>
        <v>0</v>
      </c>
      <c r="GM21" s="595">
        <f t="shared" si="48"/>
        <v>0</v>
      </c>
      <c r="GN21" s="595">
        <f t="shared" si="48"/>
        <v>0</v>
      </c>
      <c r="GO21" s="595">
        <f t="shared" si="48"/>
        <v>0</v>
      </c>
      <c r="GP21" s="595">
        <f t="shared" si="48"/>
        <v>0</v>
      </c>
      <c r="GQ21" s="595">
        <f t="shared" si="48"/>
        <v>0</v>
      </c>
      <c r="GR21" s="595">
        <f t="shared" si="48"/>
        <v>0</v>
      </c>
      <c r="GS21" s="595">
        <f t="shared" si="48"/>
        <v>0</v>
      </c>
      <c r="GT21" s="595">
        <f t="shared" si="48"/>
        <v>0</v>
      </c>
      <c r="GU21" s="595">
        <f t="shared" si="48"/>
        <v>0</v>
      </c>
      <c r="GV21" s="595">
        <f t="shared" ref="GV21:HJ21" si="49">IF(OR(GI23=1,FV23=1,FI23=1,HI23=1,HV23=1,II23=1),1,0)</f>
        <v>0</v>
      </c>
      <c r="GW21" s="595">
        <f t="shared" si="49"/>
        <v>0</v>
      </c>
      <c r="GX21" s="595">
        <f t="shared" si="49"/>
        <v>0</v>
      </c>
      <c r="GY21" s="595">
        <f t="shared" si="49"/>
        <v>0</v>
      </c>
      <c r="GZ21" s="595">
        <f t="shared" si="49"/>
        <v>0</v>
      </c>
      <c r="HA21" s="595">
        <f t="shared" si="49"/>
        <v>0</v>
      </c>
      <c r="HB21" s="595">
        <f t="shared" si="49"/>
        <v>0</v>
      </c>
      <c r="HC21" s="595">
        <f t="shared" si="49"/>
        <v>0</v>
      </c>
      <c r="HD21" s="595">
        <f t="shared" si="49"/>
        <v>0</v>
      </c>
      <c r="HE21" s="595">
        <f t="shared" si="49"/>
        <v>0</v>
      </c>
      <c r="HF21" s="595">
        <f t="shared" si="49"/>
        <v>0</v>
      </c>
      <c r="HG21" s="595">
        <f t="shared" si="49"/>
        <v>0</v>
      </c>
      <c r="HH21" s="595">
        <f t="shared" si="49"/>
        <v>0</v>
      </c>
      <c r="HI21" s="595">
        <f t="shared" si="49"/>
        <v>0</v>
      </c>
      <c r="HJ21" s="595">
        <f t="shared" si="49"/>
        <v>0</v>
      </c>
      <c r="HK21" s="595">
        <f t="shared" ref="HK21:JC21" si="50">IF(OR(GX23=1,GK23=1,FX23=1,HX23=1,IK23=1,IX23=1),1,0)</f>
        <v>0</v>
      </c>
      <c r="HL21" s="595">
        <f t="shared" si="50"/>
        <v>0</v>
      </c>
      <c r="HM21" s="595">
        <f t="shared" si="50"/>
        <v>0</v>
      </c>
      <c r="HN21" s="595">
        <f t="shared" si="50"/>
        <v>0</v>
      </c>
      <c r="HO21" s="595">
        <f t="shared" si="50"/>
        <v>0</v>
      </c>
      <c r="HP21" s="595">
        <f t="shared" si="50"/>
        <v>0</v>
      </c>
      <c r="HQ21" s="595">
        <f t="shared" si="50"/>
        <v>0</v>
      </c>
      <c r="HR21" s="595">
        <f t="shared" si="50"/>
        <v>0</v>
      </c>
      <c r="HS21" s="595">
        <f t="shared" si="50"/>
        <v>0</v>
      </c>
      <c r="HT21" s="595">
        <f t="shared" si="50"/>
        <v>0</v>
      </c>
      <c r="HU21" s="595">
        <f t="shared" si="50"/>
        <v>0</v>
      </c>
      <c r="HV21" s="595">
        <f t="shared" si="50"/>
        <v>0</v>
      </c>
      <c r="HW21" s="595">
        <f t="shared" si="50"/>
        <v>0</v>
      </c>
      <c r="HX21" s="595">
        <f t="shared" si="50"/>
        <v>0</v>
      </c>
      <c r="HY21" s="595">
        <f t="shared" si="50"/>
        <v>0</v>
      </c>
      <c r="HZ21" s="595">
        <f t="shared" si="50"/>
        <v>0</v>
      </c>
      <c r="IA21" s="595">
        <f t="shared" si="50"/>
        <v>0</v>
      </c>
      <c r="IB21" s="595">
        <f t="shared" si="50"/>
        <v>0</v>
      </c>
      <c r="IC21" s="595">
        <f t="shared" si="50"/>
        <v>0</v>
      </c>
      <c r="ID21" s="595">
        <f t="shared" si="50"/>
        <v>0</v>
      </c>
      <c r="IE21" s="595">
        <f t="shared" si="50"/>
        <v>0</v>
      </c>
      <c r="IF21" s="595">
        <f t="shared" si="50"/>
        <v>0</v>
      </c>
      <c r="IG21" s="595">
        <f t="shared" si="50"/>
        <v>0</v>
      </c>
      <c r="IH21" s="595">
        <f t="shared" si="50"/>
        <v>0</v>
      </c>
      <c r="II21" s="595">
        <f t="shared" si="50"/>
        <v>0</v>
      </c>
      <c r="IJ21" s="595">
        <f t="shared" si="50"/>
        <v>0</v>
      </c>
      <c r="IK21" s="595">
        <f t="shared" si="50"/>
        <v>0</v>
      </c>
      <c r="IL21" s="595">
        <f t="shared" si="50"/>
        <v>0</v>
      </c>
      <c r="IM21" s="595">
        <f t="shared" si="50"/>
        <v>0</v>
      </c>
      <c r="IN21" s="595">
        <f t="shared" si="50"/>
        <v>0</v>
      </c>
      <c r="IO21" s="595">
        <f t="shared" si="50"/>
        <v>0</v>
      </c>
      <c r="IP21" s="595">
        <f t="shared" si="50"/>
        <v>0</v>
      </c>
      <c r="IQ21" s="595">
        <f t="shared" si="50"/>
        <v>0</v>
      </c>
      <c r="IR21" s="595">
        <f t="shared" si="50"/>
        <v>0</v>
      </c>
      <c r="IS21" s="595">
        <f t="shared" si="50"/>
        <v>0</v>
      </c>
      <c r="IT21" s="595">
        <f t="shared" si="50"/>
        <v>0</v>
      </c>
      <c r="IU21" s="595">
        <f t="shared" si="50"/>
        <v>0</v>
      </c>
      <c r="IV21" s="595">
        <f t="shared" si="50"/>
        <v>0</v>
      </c>
      <c r="IW21" s="595">
        <f t="shared" si="50"/>
        <v>0</v>
      </c>
      <c r="IX21" s="595">
        <f t="shared" si="50"/>
        <v>0</v>
      </c>
      <c r="IY21" s="595">
        <f t="shared" si="50"/>
        <v>0</v>
      </c>
      <c r="IZ21" s="595">
        <f t="shared" si="50"/>
        <v>0</v>
      </c>
      <c r="JA21" s="595">
        <f t="shared" si="50"/>
        <v>0</v>
      </c>
      <c r="JB21" s="595">
        <f t="shared" si="50"/>
        <v>0</v>
      </c>
      <c r="JC21" s="595">
        <f t="shared" si="50"/>
        <v>0</v>
      </c>
    </row>
    <row r="22" spans="1:263" ht="12.75" hidden="1" customHeight="1" x14ac:dyDescent="0.25">
      <c r="A22" s="285"/>
      <c r="B22" s="285"/>
      <c r="C22" s="286"/>
      <c r="D22" s="285"/>
      <c r="E22" s="285"/>
      <c r="F22" s="285"/>
      <c r="G22" s="285"/>
      <c r="H22" s="285"/>
      <c r="I22" s="285"/>
      <c r="J22" s="285"/>
      <c r="K22" s="306"/>
      <c r="L22" s="285"/>
      <c r="M22" s="287"/>
      <c r="N22" s="287"/>
      <c r="O22" s="287"/>
      <c r="P22" s="287"/>
      <c r="Q22" s="287"/>
      <c r="R22" s="287"/>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285"/>
      <c r="BA22" s="285"/>
      <c r="BB22" s="285"/>
      <c r="BC22" s="285"/>
      <c r="BD22" s="285"/>
      <c r="BE22" s="285"/>
      <c r="BF22" s="285"/>
      <c r="BG22" s="285"/>
      <c r="BH22" s="285"/>
      <c r="BI22" s="285"/>
      <c r="BJ22" s="285"/>
      <c r="BK22" s="285"/>
      <c r="BL22" s="285"/>
      <c r="BM22" s="285"/>
      <c r="BN22" s="285"/>
      <c r="BO22" s="285"/>
      <c r="BP22" s="285"/>
      <c r="BQ22" s="285"/>
      <c r="BR22" s="285"/>
      <c r="BS22" s="285"/>
      <c r="BT22" s="285"/>
      <c r="BU22" s="285"/>
      <c r="BV22" s="285"/>
      <c r="BW22" s="285"/>
      <c r="BX22" s="285"/>
      <c r="BY22" s="285"/>
      <c r="BZ22" s="285"/>
      <c r="CA22" s="285"/>
      <c r="CB22" s="285"/>
      <c r="CC22" s="285"/>
      <c r="CD22" s="285"/>
      <c r="CE22" s="285"/>
      <c r="CF22" s="285"/>
      <c r="CG22" s="285"/>
      <c r="CH22" s="285"/>
      <c r="CI22" s="285"/>
      <c r="CJ22" s="285"/>
      <c r="CK22" s="285"/>
      <c r="CL22" s="285"/>
      <c r="CM22" s="285"/>
      <c r="CN22" s="285"/>
      <c r="CO22" s="285"/>
      <c r="CP22" s="285"/>
      <c r="CQ22" s="285"/>
      <c r="CR22" s="285"/>
      <c r="CS22" s="285"/>
      <c r="CT22" s="285"/>
      <c r="CU22" s="285"/>
      <c r="CV22" s="285"/>
      <c r="CW22" s="285"/>
      <c r="CX22" s="285"/>
      <c r="CY22" s="285"/>
      <c r="CZ22" s="285"/>
      <c r="DA22" s="285"/>
      <c r="DB22" s="285"/>
      <c r="DC22" s="285"/>
      <c r="DD22" s="285"/>
      <c r="DE22" s="285"/>
      <c r="DF22" s="285"/>
      <c r="DG22" s="285"/>
      <c r="DH22" s="285"/>
      <c r="DI22" s="285"/>
      <c r="DJ22" s="285"/>
      <c r="DK22" s="285"/>
      <c r="DL22" s="285"/>
      <c r="DM22" s="285"/>
      <c r="DN22" s="285"/>
      <c r="DO22" s="285"/>
      <c r="DP22" s="285"/>
      <c r="DQ22" s="285"/>
      <c r="DR22" s="285"/>
      <c r="DS22" s="285"/>
      <c r="DT22" s="285"/>
      <c r="DU22" s="285"/>
      <c r="DV22" s="285"/>
      <c r="DW22" s="285"/>
      <c r="DX22" s="285"/>
      <c r="DY22" s="285"/>
      <c r="DZ22" s="285"/>
      <c r="EA22" s="308" t="s">
        <v>782</v>
      </c>
      <c r="EB22" s="537">
        <f>1-EB21</f>
        <v>1</v>
      </c>
      <c r="EC22" s="285"/>
      <c r="ED22" s="285"/>
      <c r="EE22" s="285"/>
      <c r="EF22" s="308" t="s">
        <v>785</v>
      </c>
      <c r="EG22" s="594">
        <f>IF(OR(MONTH(EG126)=3,MONTH(EG126)=6,MONTH(EG126)=12),1,0)</f>
        <v>0</v>
      </c>
      <c r="EH22" s="595">
        <f t="shared" ref="EH22:GS22" si="51">IF(OR(MONTH(EH126)=3,MONTH(EH126)=6,MONTH(EH126)=12),1,0)</f>
        <v>0</v>
      </c>
      <c r="EI22" s="595">
        <f t="shared" si="51"/>
        <v>0</v>
      </c>
      <c r="EJ22" s="595">
        <f t="shared" si="51"/>
        <v>0</v>
      </c>
      <c r="EK22" s="595">
        <f t="shared" si="51"/>
        <v>0</v>
      </c>
      <c r="EL22" s="595">
        <f t="shared" si="51"/>
        <v>0</v>
      </c>
      <c r="EM22" s="595">
        <f t="shared" si="51"/>
        <v>0</v>
      </c>
      <c r="EN22" s="595">
        <f t="shared" si="51"/>
        <v>0</v>
      </c>
      <c r="EO22" s="595">
        <f t="shared" si="51"/>
        <v>0</v>
      </c>
      <c r="EP22" s="595">
        <f t="shared" si="51"/>
        <v>0</v>
      </c>
      <c r="EQ22" s="595">
        <f t="shared" si="51"/>
        <v>0</v>
      </c>
      <c r="ER22" s="595">
        <f t="shared" si="51"/>
        <v>0</v>
      </c>
      <c r="ES22" s="595">
        <f t="shared" si="51"/>
        <v>0</v>
      </c>
      <c r="ET22" s="595">
        <f t="shared" si="51"/>
        <v>0</v>
      </c>
      <c r="EU22" s="713">
        <f t="shared" si="51"/>
        <v>0</v>
      </c>
      <c r="EV22" s="595">
        <f t="shared" si="51"/>
        <v>0</v>
      </c>
      <c r="EW22" s="595">
        <f t="shared" si="51"/>
        <v>0</v>
      </c>
      <c r="EX22" s="595">
        <f t="shared" si="51"/>
        <v>0</v>
      </c>
      <c r="EY22" s="595">
        <f t="shared" si="51"/>
        <v>0</v>
      </c>
      <c r="EZ22" s="595">
        <f t="shared" si="51"/>
        <v>0</v>
      </c>
      <c r="FA22" s="595">
        <f t="shared" si="51"/>
        <v>0</v>
      </c>
      <c r="FB22" s="595">
        <f t="shared" si="51"/>
        <v>0</v>
      </c>
      <c r="FC22" s="595">
        <f t="shared" si="51"/>
        <v>0</v>
      </c>
      <c r="FD22" s="595">
        <f t="shared" ref="FD22:FU22" si="52">IF(OR(MONTH(FD126)=3,MONTH(FD126)=6,MONTH(FD126)=12),1,0)</f>
        <v>0</v>
      </c>
      <c r="FE22" s="595">
        <f t="shared" si="52"/>
        <v>0</v>
      </c>
      <c r="FF22" s="595">
        <f t="shared" si="52"/>
        <v>0</v>
      </c>
      <c r="FG22" s="595">
        <f t="shared" si="52"/>
        <v>0</v>
      </c>
      <c r="FH22" s="595">
        <f t="shared" si="52"/>
        <v>0</v>
      </c>
      <c r="FI22" s="595">
        <f t="shared" si="52"/>
        <v>0</v>
      </c>
      <c r="FJ22" s="595">
        <f t="shared" si="52"/>
        <v>0</v>
      </c>
      <c r="FK22" s="595">
        <f t="shared" si="52"/>
        <v>0</v>
      </c>
      <c r="FL22" s="595">
        <f t="shared" si="52"/>
        <v>0</v>
      </c>
      <c r="FM22" s="595">
        <f t="shared" si="52"/>
        <v>0</v>
      </c>
      <c r="FN22" s="595">
        <f t="shared" si="52"/>
        <v>0</v>
      </c>
      <c r="FO22" s="595">
        <f t="shared" si="52"/>
        <v>0</v>
      </c>
      <c r="FP22" s="595">
        <f t="shared" si="52"/>
        <v>0</v>
      </c>
      <c r="FQ22" s="595">
        <f t="shared" si="52"/>
        <v>0</v>
      </c>
      <c r="FR22" s="595">
        <f t="shared" si="52"/>
        <v>0</v>
      </c>
      <c r="FS22" s="595">
        <f t="shared" si="52"/>
        <v>0</v>
      </c>
      <c r="FT22" s="595">
        <f t="shared" si="52"/>
        <v>0</v>
      </c>
      <c r="FU22" s="595">
        <f t="shared" si="52"/>
        <v>0</v>
      </c>
      <c r="FV22" s="595">
        <f t="shared" si="51"/>
        <v>0</v>
      </c>
      <c r="FW22" s="595">
        <f t="shared" si="51"/>
        <v>0</v>
      </c>
      <c r="FX22" s="595">
        <f t="shared" si="51"/>
        <v>0</v>
      </c>
      <c r="FY22" s="595">
        <f t="shared" si="51"/>
        <v>0</v>
      </c>
      <c r="FZ22" s="595">
        <f t="shared" si="51"/>
        <v>0</v>
      </c>
      <c r="GA22" s="595">
        <f t="shared" si="51"/>
        <v>0</v>
      </c>
      <c r="GB22" s="595">
        <f t="shared" si="51"/>
        <v>0</v>
      </c>
      <c r="GC22" s="595">
        <f t="shared" si="51"/>
        <v>0</v>
      </c>
      <c r="GD22" s="595">
        <f t="shared" si="51"/>
        <v>0</v>
      </c>
      <c r="GE22" s="595">
        <f t="shared" si="51"/>
        <v>0</v>
      </c>
      <c r="GF22" s="595">
        <f t="shared" si="51"/>
        <v>0</v>
      </c>
      <c r="GG22" s="595">
        <f t="shared" si="51"/>
        <v>0</v>
      </c>
      <c r="GH22" s="595">
        <f t="shared" si="51"/>
        <v>0</v>
      </c>
      <c r="GI22" s="595">
        <f t="shared" si="51"/>
        <v>0</v>
      </c>
      <c r="GJ22" s="595">
        <f t="shared" si="51"/>
        <v>0</v>
      </c>
      <c r="GK22" s="595">
        <f t="shared" si="51"/>
        <v>0</v>
      </c>
      <c r="GL22" s="595">
        <f t="shared" si="51"/>
        <v>0</v>
      </c>
      <c r="GM22" s="595">
        <f t="shared" si="51"/>
        <v>0</v>
      </c>
      <c r="GN22" s="595">
        <f t="shared" si="51"/>
        <v>0</v>
      </c>
      <c r="GO22" s="595">
        <f t="shared" si="51"/>
        <v>0</v>
      </c>
      <c r="GP22" s="595">
        <f t="shared" si="51"/>
        <v>0</v>
      </c>
      <c r="GQ22" s="595">
        <f t="shared" si="51"/>
        <v>0</v>
      </c>
      <c r="GR22" s="595">
        <f t="shared" si="51"/>
        <v>0</v>
      </c>
      <c r="GS22" s="595">
        <f t="shared" si="51"/>
        <v>0</v>
      </c>
      <c r="GT22" s="595">
        <f t="shared" ref="GT22:JC22" si="53">IF(OR(MONTH(GT126)=3,MONTH(GT126)=6,MONTH(GT126)=12),1,0)</f>
        <v>0</v>
      </c>
      <c r="GU22" s="595">
        <f t="shared" si="53"/>
        <v>0</v>
      </c>
      <c r="GV22" s="595">
        <f t="shared" si="53"/>
        <v>0</v>
      </c>
      <c r="GW22" s="595">
        <f t="shared" si="53"/>
        <v>0</v>
      </c>
      <c r="GX22" s="595">
        <f t="shared" si="53"/>
        <v>0</v>
      </c>
      <c r="GY22" s="595">
        <f t="shared" si="53"/>
        <v>0</v>
      </c>
      <c r="GZ22" s="595">
        <f t="shared" si="53"/>
        <v>0</v>
      </c>
      <c r="HA22" s="595">
        <f t="shared" si="53"/>
        <v>0</v>
      </c>
      <c r="HB22" s="595">
        <f t="shared" si="53"/>
        <v>0</v>
      </c>
      <c r="HC22" s="595">
        <f t="shared" si="53"/>
        <v>0</v>
      </c>
      <c r="HD22" s="595">
        <f t="shared" si="53"/>
        <v>0</v>
      </c>
      <c r="HE22" s="595">
        <f t="shared" si="53"/>
        <v>0</v>
      </c>
      <c r="HF22" s="595">
        <f t="shared" si="53"/>
        <v>0</v>
      </c>
      <c r="HG22" s="595">
        <f t="shared" si="53"/>
        <v>0</v>
      </c>
      <c r="HH22" s="595">
        <f t="shared" si="53"/>
        <v>0</v>
      </c>
      <c r="HI22" s="595">
        <f t="shared" si="53"/>
        <v>0</v>
      </c>
      <c r="HJ22" s="595">
        <f t="shared" si="53"/>
        <v>0</v>
      </c>
      <c r="HK22" s="595">
        <f t="shared" si="53"/>
        <v>0</v>
      </c>
      <c r="HL22" s="595">
        <f t="shared" si="53"/>
        <v>0</v>
      </c>
      <c r="HM22" s="595">
        <f t="shared" si="53"/>
        <v>0</v>
      </c>
      <c r="HN22" s="595">
        <f t="shared" si="53"/>
        <v>0</v>
      </c>
      <c r="HO22" s="595">
        <f t="shared" si="53"/>
        <v>0</v>
      </c>
      <c r="HP22" s="595">
        <f t="shared" si="53"/>
        <v>0</v>
      </c>
      <c r="HQ22" s="595">
        <f t="shared" si="53"/>
        <v>0</v>
      </c>
      <c r="HR22" s="595">
        <f t="shared" si="53"/>
        <v>0</v>
      </c>
      <c r="HS22" s="595">
        <f t="shared" si="53"/>
        <v>0</v>
      </c>
      <c r="HT22" s="595">
        <f t="shared" si="53"/>
        <v>0</v>
      </c>
      <c r="HU22" s="595">
        <f t="shared" si="53"/>
        <v>0</v>
      </c>
      <c r="HV22" s="595">
        <f t="shared" si="53"/>
        <v>0</v>
      </c>
      <c r="HW22" s="595">
        <f t="shared" si="53"/>
        <v>0</v>
      </c>
      <c r="HX22" s="595">
        <f t="shared" si="53"/>
        <v>0</v>
      </c>
      <c r="HY22" s="595">
        <f t="shared" si="53"/>
        <v>0</v>
      </c>
      <c r="HZ22" s="595">
        <f t="shared" si="53"/>
        <v>0</v>
      </c>
      <c r="IA22" s="595">
        <f t="shared" si="53"/>
        <v>0</v>
      </c>
      <c r="IB22" s="595">
        <f t="shared" si="53"/>
        <v>0</v>
      </c>
      <c r="IC22" s="595">
        <f t="shared" si="53"/>
        <v>0</v>
      </c>
      <c r="ID22" s="595">
        <f t="shared" si="53"/>
        <v>0</v>
      </c>
      <c r="IE22" s="595">
        <f t="shared" si="53"/>
        <v>0</v>
      </c>
      <c r="IF22" s="595">
        <f t="shared" si="53"/>
        <v>0</v>
      </c>
      <c r="IG22" s="595">
        <f t="shared" si="53"/>
        <v>0</v>
      </c>
      <c r="IH22" s="595">
        <f t="shared" si="53"/>
        <v>0</v>
      </c>
      <c r="II22" s="595">
        <f t="shared" si="53"/>
        <v>0</v>
      </c>
      <c r="IJ22" s="595">
        <f t="shared" si="53"/>
        <v>0</v>
      </c>
      <c r="IK22" s="595">
        <f t="shared" si="53"/>
        <v>0</v>
      </c>
      <c r="IL22" s="595">
        <f t="shared" si="53"/>
        <v>0</v>
      </c>
      <c r="IM22" s="595">
        <f t="shared" si="53"/>
        <v>0</v>
      </c>
      <c r="IN22" s="595">
        <f t="shared" si="53"/>
        <v>0</v>
      </c>
      <c r="IO22" s="595">
        <f t="shared" si="53"/>
        <v>0</v>
      </c>
      <c r="IP22" s="595">
        <f t="shared" si="53"/>
        <v>0</v>
      </c>
      <c r="IQ22" s="595">
        <f t="shared" si="53"/>
        <v>0</v>
      </c>
      <c r="IR22" s="595">
        <f t="shared" si="53"/>
        <v>0</v>
      </c>
      <c r="IS22" s="595">
        <f t="shared" si="53"/>
        <v>0</v>
      </c>
      <c r="IT22" s="595">
        <f t="shared" si="53"/>
        <v>0</v>
      </c>
      <c r="IU22" s="595">
        <f t="shared" si="53"/>
        <v>0</v>
      </c>
      <c r="IV22" s="595">
        <f t="shared" si="53"/>
        <v>0</v>
      </c>
      <c r="IW22" s="595">
        <f t="shared" si="53"/>
        <v>0</v>
      </c>
      <c r="IX22" s="595">
        <f t="shared" si="53"/>
        <v>0</v>
      </c>
      <c r="IY22" s="595">
        <f t="shared" si="53"/>
        <v>0</v>
      </c>
      <c r="IZ22" s="595">
        <f t="shared" si="53"/>
        <v>0</v>
      </c>
      <c r="JA22" s="595">
        <f t="shared" si="53"/>
        <v>0</v>
      </c>
      <c r="JB22" s="595">
        <f t="shared" si="53"/>
        <v>0</v>
      </c>
      <c r="JC22" s="595">
        <f t="shared" si="53"/>
        <v>0</v>
      </c>
    </row>
    <row r="23" spans="1:263" ht="12.75" hidden="1" customHeight="1" x14ac:dyDescent="0.25">
      <c r="A23" s="285"/>
      <c r="B23" s="285"/>
      <c r="C23" s="286"/>
      <c r="D23" s="285"/>
      <c r="E23" s="285"/>
      <c r="F23" s="285"/>
      <c r="G23" s="285"/>
      <c r="H23" s="285"/>
      <c r="I23" s="285"/>
      <c r="J23" s="285"/>
      <c r="K23" s="306"/>
      <c r="L23" s="285"/>
      <c r="M23" s="287"/>
      <c r="N23" s="287"/>
      <c r="O23" s="287"/>
      <c r="P23" s="287"/>
      <c r="Q23" s="287"/>
      <c r="R23" s="287"/>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85"/>
      <c r="AT23" s="285"/>
      <c r="AU23" s="285"/>
      <c r="AV23" s="285"/>
      <c r="AW23" s="285"/>
      <c r="AX23" s="285"/>
      <c r="AY23" s="285"/>
      <c r="AZ23" s="285"/>
      <c r="BA23" s="285"/>
      <c r="BB23" s="285"/>
      <c r="BC23" s="285"/>
      <c r="BD23" s="285"/>
      <c r="BE23" s="285"/>
      <c r="BF23" s="285"/>
      <c r="BG23" s="285"/>
      <c r="BH23" s="285"/>
      <c r="BI23" s="285"/>
      <c r="BJ23" s="285"/>
      <c r="BK23" s="285"/>
      <c r="BL23" s="285"/>
      <c r="BM23" s="285"/>
      <c r="BN23" s="285"/>
      <c r="BO23" s="285"/>
      <c r="BP23" s="285"/>
      <c r="BQ23" s="285"/>
      <c r="BR23" s="285"/>
      <c r="BS23" s="285"/>
      <c r="BT23" s="285"/>
      <c r="BU23" s="285"/>
      <c r="BV23" s="285"/>
      <c r="BW23" s="285"/>
      <c r="BX23" s="285"/>
      <c r="BY23" s="285"/>
      <c r="BZ23" s="285"/>
      <c r="CA23" s="285"/>
      <c r="CB23" s="285"/>
      <c r="CC23" s="285"/>
      <c r="CD23" s="285"/>
      <c r="CE23" s="285"/>
      <c r="CF23" s="285"/>
      <c r="CG23" s="285"/>
      <c r="CH23" s="285"/>
      <c r="CI23" s="285"/>
      <c r="CJ23" s="285"/>
      <c r="CK23" s="285"/>
      <c r="CL23" s="285"/>
      <c r="CM23" s="285"/>
      <c r="CN23" s="285"/>
      <c r="CO23" s="285"/>
      <c r="CP23" s="285"/>
      <c r="CQ23" s="285"/>
      <c r="CR23" s="285"/>
      <c r="CS23" s="285"/>
      <c r="CT23" s="285"/>
      <c r="CU23" s="285"/>
      <c r="CV23" s="285"/>
      <c r="CW23" s="285"/>
      <c r="CX23" s="285"/>
      <c r="CY23" s="285"/>
      <c r="CZ23" s="285"/>
      <c r="DA23" s="285"/>
      <c r="DB23" s="285"/>
      <c r="DC23" s="285"/>
      <c r="DD23" s="285"/>
      <c r="DE23" s="285"/>
      <c r="DF23" s="285"/>
      <c r="DG23" s="285"/>
      <c r="DH23" s="285"/>
      <c r="DI23" s="285"/>
      <c r="DJ23" s="285"/>
      <c r="DK23" s="285"/>
      <c r="DL23" s="285"/>
      <c r="DM23" s="285"/>
      <c r="DN23" s="285"/>
      <c r="DO23" s="285"/>
      <c r="DP23" s="285"/>
      <c r="DQ23" s="285"/>
      <c r="DR23" s="285"/>
      <c r="DS23" s="285"/>
      <c r="DT23" s="285"/>
      <c r="DU23" s="285"/>
      <c r="DV23" s="285"/>
      <c r="DW23" s="285"/>
      <c r="DX23" s="285"/>
      <c r="DY23" s="285"/>
      <c r="DZ23" s="285"/>
      <c r="EA23" s="289"/>
      <c r="EB23" s="289"/>
      <c r="EC23" s="285"/>
      <c r="ED23" s="285"/>
      <c r="EE23" s="285"/>
      <c r="EF23" s="308" t="s">
        <v>457</v>
      </c>
      <c r="EG23" s="596">
        <f>CHOOSE($DY$3,IF(AND(MONTH(EG126)=9,DAY(EG126)&gt;=21)*(AND(MONTH(EG126)=9,DAY(EG126)&lt;=27)),1,0),IF(MONTH(EG126)=9,1,0))</f>
        <v>0</v>
      </c>
      <c r="EH23" s="595">
        <f t="shared" ref="EH23:GS23" si="54">CHOOSE($DY$3,IF(AND(MONTH(EH126)=9,DAY(EH126)&gt;=21)*(AND(MONTH(EH126)=9,DAY(EH126)&lt;=27)),1,0),IF(MONTH(EH126)=9,1,0))</f>
        <v>0</v>
      </c>
      <c r="EI23" s="595">
        <f t="shared" si="54"/>
        <v>0</v>
      </c>
      <c r="EJ23" s="595">
        <f t="shared" si="54"/>
        <v>0</v>
      </c>
      <c r="EK23" s="595">
        <f t="shared" si="54"/>
        <v>0</v>
      </c>
      <c r="EL23" s="595">
        <f t="shared" si="54"/>
        <v>0</v>
      </c>
      <c r="EM23" s="595">
        <f t="shared" si="54"/>
        <v>0</v>
      </c>
      <c r="EN23" s="595">
        <f t="shared" si="54"/>
        <v>0</v>
      </c>
      <c r="EO23" s="595">
        <f t="shared" si="54"/>
        <v>0</v>
      </c>
      <c r="EP23" s="595">
        <f t="shared" si="54"/>
        <v>0</v>
      </c>
      <c r="EQ23" s="713">
        <f t="shared" si="54"/>
        <v>0</v>
      </c>
      <c r="ER23" s="595">
        <f t="shared" si="54"/>
        <v>0</v>
      </c>
      <c r="ES23" s="595">
        <f t="shared" si="54"/>
        <v>0</v>
      </c>
      <c r="ET23" s="595">
        <f t="shared" si="54"/>
        <v>0</v>
      </c>
      <c r="EU23" s="595">
        <f t="shared" si="54"/>
        <v>0</v>
      </c>
      <c r="EV23" s="595">
        <f t="shared" si="54"/>
        <v>0</v>
      </c>
      <c r="EW23" s="595">
        <f t="shared" si="54"/>
        <v>0</v>
      </c>
      <c r="EX23" s="595">
        <f t="shared" si="54"/>
        <v>0</v>
      </c>
      <c r="EY23" s="595">
        <f t="shared" si="54"/>
        <v>0</v>
      </c>
      <c r="EZ23" s="595">
        <f t="shared" si="54"/>
        <v>0</v>
      </c>
      <c r="FA23" s="595">
        <f t="shared" si="54"/>
        <v>0</v>
      </c>
      <c r="FB23" s="595">
        <f t="shared" si="54"/>
        <v>0</v>
      </c>
      <c r="FC23" s="595">
        <f t="shared" si="54"/>
        <v>0</v>
      </c>
      <c r="FD23" s="595">
        <f t="shared" si="54"/>
        <v>0</v>
      </c>
      <c r="FE23" s="595">
        <f t="shared" si="54"/>
        <v>0</v>
      </c>
      <c r="FF23" s="595">
        <f t="shared" si="54"/>
        <v>0</v>
      </c>
      <c r="FG23" s="595">
        <f t="shared" si="54"/>
        <v>0</v>
      </c>
      <c r="FH23" s="595">
        <f t="shared" si="54"/>
        <v>0</v>
      </c>
      <c r="FI23" s="595">
        <f t="shared" si="54"/>
        <v>0</v>
      </c>
      <c r="FJ23" s="595">
        <f t="shared" si="54"/>
        <v>0</v>
      </c>
      <c r="FK23" s="595">
        <f t="shared" si="54"/>
        <v>0</v>
      </c>
      <c r="FL23" s="595">
        <f t="shared" si="54"/>
        <v>0</v>
      </c>
      <c r="FM23" s="595">
        <f t="shared" si="54"/>
        <v>0</v>
      </c>
      <c r="FN23" s="595">
        <f t="shared" si="54"/>
        <v>0</v>
      </c>
      <c r="FO23" s="595">
        <f t="shared" si="54"/>
        <v>0</v>
      </c>
      <c r="FP23" s="595">
        <f t="shared" si="54"/>
        <v>0</v>
      </c>
      <c r="FQ23" s="595">
        <f t="shared" si="54"/>
        <v>0</v>
      </c>
      <c r="FR23" s="595">
        <f t="shared" si="54"/>
        <v>0</v>
      </c>
      <c r="FS23" s="595">
        <f t="shared" si="54"/>
        <v>0</v>
      </c>
      <c r="FT23" s="595">
        <f t="shared" si="54"/>
        <v>0</v>
      </c>
      <c r="FU23" s="595">
        <f t="shared" si="54"/>
        <v>0</v>
      </c>
      <c r="FV23" s="595">
        <f t="shared" si="54"/>
        <v>0</v>
      </c>
      <c r="FW23" s="595">
        <f t="shared" si="54"/>
        <v>0</v>
      </c>
      <c r="FX23" s="595">
        <f t="shared" si="54"/>
        <v>0</v>
      </c>
      <c r="FY23" s="595">
        <f t="shared" si="54"/>
        <v>0</v>
      </c>
      <c r="FZ23" s="595">
        <f t="shared" si="54"/>
        <v>0</v>
      </c>
      <c r="GA23" s="595">
        <f t="shared" si="54"/>
        <v>0</v>
      </c>
      <c r="GB23" s="595">
        <f t="shared" si="54"/>
        <v>0</v>
      </c>
      <c r="GC23" s="595">
        <f t="shared" si="54"/>
        <v>0</v>
      </c>
      <c r="GD23" s="595">
        <f t="shared" si="54"/>
        <v>0</v>
      </c>
      <c r="GE23" s="595">
        <f t="shared" si="54"/>
        <v>0</v>
      </c>
      <c r="GF23" s="595">
        <f t="shared" si="54"/>
        <v>0</v>
      </c>
      <c r="GG23" s="595">
        <f t="shared" si="54"/>
        <v>0</v>
      </c>
      <c r="GH23" s="595">
        <f t="shared" si="54"/>
        <v>0</v>
      </c>
      <c r="GI23" s="595">
        <f t="shared" si="54"/>
        <v>0</v>
      </c>
      <c r="GJ23" s="595">
        <f t="shared" si="54"/>
        <v>0</v>
      </c>
      <c r="GK23" s="595">
        <f t="shared" si="54"/>
        <v>0</v>
      </c>
      <c r="GL23" s="595">
        <f t="shared" si="54"/>
        <v>0</v>
      </c>
      <c r="GM23" s="595">
        <f t="shared" si="54"/>
        <v>0</v>
      </c>
      <c r="GN23" s="595">
        <f t="shared" si="54"/>
        <v>0</v>
      </c>
      <c r="GO23" s="595">
        <f t="shared" si="54"/>
        <v>0</v>
      </c>
      <c r="GP23" s="595">
        <f t="shared" si="54"/>
        <v>0</v>
      </c>
      <c r="GQ23" s="595">
        <f t="shared" si="54"/>
        <v>0</v>
      </c>
      <c r="GR23" s="595">
        <f t="shared" si="54"/>
        <v>0</v>
      </c>
      <c r="GS23" s="595">
        <f t="shared" si="54"/>
        <v>0</v>
      </c>
      <c r="GT23" s="595">
        <f t="shared" ref="GT23:JC23" si="55">CHOOSE($DY$3,IF(AND(MONTH(GT126)=9,DAY(GT126)&gt;=21)*(AND(MONTH(GT126)=9,DAY(GT126)&lt;=27)),1,0),IF(MONTH(GT126)=9,1,0))</f>
        <v>0</v>
      </c>
      <c r="GU23" s="595">
        <f t="shared" si="55"/>
        <v>0</v>
      </c>
      <c r="GV23" s="595">
        <f t="shared" si="55"/>
        <v>0</v>
      </c>
      <c r="GW23" s="595">
        <f t="shared" si="55"/>
        <v>0</v>
      </c>
      <c r="GX23" s="595">
        <f t="shared" si="55"/>
        <v>0</v>
      </c>
      <c r="GY23" s="595">
        <f t="shared" si="55"/>
        <v>0</v>
      </c>
      <c r="GZ23" s="595">
        <f t="shared" si="55"/>
        <v>0</v>
      </c>
      <c r="HA23" s="595">
        <f t="shared" si="55"/>
        <v>0</v>
      </c>
      <c r="HB23" s="595">
        <f t="shared" si="55"/>
        <v>0</v>
      </c>
      <c r="HC23" s="595">
        <f t="shared" si="55"/>
        <v>0</v>
      </c>
      <c r="HD23" s="595">
        <f t="shared" si="55"/>
        <v>0</v>
      </c>
      <c r="HE23" s="595">
        <f t="shared" si="55"/>
        <v>0</v>
      </c>
      <c r="HF23" s="595">
        <f t="shared" si="55"/>
        <v>0</v>
      </c>
      <c r="HG23" s="595">
        <f t="shared" si="55"/>
        <v>0</v>
      </c>
      <c r="HH23" s="595">
        <f t="shared" si="55"/>
        <v>0</v>
      </c>
      <c r="HI23" s="595">
        <f t="shared" si="55"/>
        <v>0</v>
      </c>
      <c r="HJ23" s="595">
        <f t="shared" si="55"/>
        <v>0</v>
      </c>
      <c r="HK23" s="595">
        <f t="shared" si="55"/>
        <v>0</v>
      </c>
      <c r="HL23" s="595">
        <f t="shared" si="55"/>
        <v>0</v>
      </c>
      <c r="HM23" s="595">
        <f t="shared" si="55"/>
        <v>0</v>
      </c>
      <c r="HN23" s="595">
        <f t="shared" si="55"/>
        <v>0</v>
      </c>
      <c r="HO23" s="595">
        <f t="shared" si="55"/>
        <v>0</v>
      </c>
      <c r="HP23" s="595">
        <f t="shared" si="55"/>
        <v>0</v>
      </c>
      <c r="HQ23" s="595">
        <f t="shared" si="55"/>
        <v>0</v>
      </c>
      <c r="HR23" s="595">
        <f t="shared" si="55"/>
        <v>0</v>
      </c>
      <c r="HS23" s="595">
        <f t="shared" si="55"/>
        <v>0</v>
      </c>
      <c r="HT23" s="595">
        <f t="shared" si="55"/>
        <v>0</v>
      </c>
      <c r="HU23" s="595">
        <f t="shared" si="55"/>
        <v>0</v>
      </c>
      <c r="HV23" s="595">
        <f t="shared" si="55"/>
        <v>0</v>
      </c>
      <c r="HW23" s="595">
        <f t="shared" si="55"/>
        <v>0</v>
      </c>
      <c r="HX23" s="595">
        <f t="shared" si="55"/>
        <v>0</v>
      </c>
      <c r="HY23" s="595">
        <f t="shared" si="55"/>
        <v>0</v>
      </c>
      <c r="HZ23" s="595">
        <f t="shared" si="55"/>
        <v>0</v>
      </c>
      <c r="IA23" s="595">
        <f t="shared" si="55"/>
        <v>0</v>
      </c>
      <c r="IB23" s="595">
        <f t="shared" si="55"/>
        <v>0</v>
      </c>
      <c r="IC23" s="595">
        <f t="shared" si="55"/>
        <v>0</v>
      </c>
      <c r="ID23" s="595">
        <f t="shared" si="55"/>
        <v>0</v>
      </c>
      <c r="IE23" s="595">
        <f t="shared" si="55"/>
        <v>0</v>
      </c>
      <c r="IF23" s="595">
        <f t="shared" si="55"/>
        <v>0</v>
      </c>
      <c r="IG23" s="595">
        <f t="shared" si="55"/>
        <v>0</v>
      </c>
      <c r="IH23" s="595">
        <f t="shared" si="55"/>
        <v>0</v>
      </c>
      <c r="II23" s="595">
        <f t="shared" si="55"/>
        <v>0</v>
      </c>
      <c r="IJ23" s="595">
        <f t="shared" si="55"/>
        <v>0</v>
      </c>
      <c r="IK23" s="595">
        <f t="shared" si="55"/>
        <v>0</v>
      </c>
      <c r="IL23" s="595">
        <f t="shared" si="55"/>
        <v>0</v>
      </c>
      <c r="IM23" s="595">
        <f t="shared" si="55"/>
        <v>0</v>
      </c>
      <c r="IN23" s="595">
        <f t="shared" si="55"/>
        <v>0</v>
      </c>
      <c r="IO23" s="595">
        <f t="shared" si="55"/>
        <v>0</v>
      </c>
      <c r="IP23" s="595">
        <f t="shared" si="55"/>
        <v>0</v>
      </c>
      <c r="IQ23" s="595">
        <f t="shared" si="55"/>
        <v>0</v>
      </c>
      <c r="IR23" s="595">
        <f t="shared" si="55"/>
        <v>0</v>
      </c>
      <c r="IS23" s="595">
        <f t="shared" si="55"/>
        <v>0</v>
      </c>
      <c r="IT23" s="595">
        <f t="shared" si="55"/>
        <v>0</v>
      </c>
      <c r="IU23" s="595">
        <f t="shared" si="55"/>
        <v>0</v>
      </c>
      <c r="IV23" s="595">
        <f t="shared" si="55"/>
        <v>0</v>
      </c>
      <c r="IW23" s="595">
        <f t="shared" si="55"/>
        <v>0</v>
      </c>
      <c r="IX23" s="595">
        <f t="shared" si="55"/>
        <v>0</v>
      </c>
      <c r="IY23" s="595">
        <f t="shared" si="55"/>
        <v>0</v>
      </c>
      <c r="IZ23" s="595">
        <f t="shared" si="55"/>
        <v>0</v>
      </c>
      <c r="JA23" s="595">
        <f t="shared" si="55"/>
        <v>0</v>
      </c>
      <c r="JB23" s="595">
        <f t="shared" si="55"/>
        <v>0</v>
      </c>
      <c r="JC23" s="595">
        <f t="shared" si="55"/>
        <v>0</v>
      </c>
    </row>
    <row r="24" spans="1:263" ht="12.75" hidden="1" customHeight="1" x14ac:dyDescent="0.25">
      <c r="A24" s="285"/>
      <c r="B24" s="285"/>
      <c r="C24" s="299">
        <v>0.5</v>
      </c>
      <c r="D24" s="285"/>
      <c r="E24" s="285"/>
      <c r="F24" s="285"/>
      <c r="G24" s="285"/>
      <c r="H24" s="285"/>
      <c r="I24" s="285"/>
      <c r="J24" s="285"/>
      <c r="K24" s="306"/>
      <c r="L24" s="285"/>
      <c r="M24" s="287"/>
      <c r="N24" s="287"/>
      <c r="O24" s="287"/>
      <c r="P24" s="287"/>
      <c r="Q24" s="287"/>
      <c r="R24" s="287"/>
      <c r="S24" s="285"/>
      <c r="T24" s="285"/>
      <c r="U24" s="285"/>
      <c r="V24" s="285"/>
      <c r="W24" s="285"/>
      <c r="X24" s="285"/>
      <c r="Y24" s="285"/>
      <c r="Z24" s="285"/>
      <c r="AA24" s="285"/>
      <c r="AB24" s="285"/>
      <c r="AC24" s="285"/>
      <c r="AD24" s="285"/>
      <c r="AE24" s="285"/>
      <c r="AF24" s="285"/>
      <c r="AG24" s="285"/>
      <c r="AH24" s="285"/>
      <c r="AI24" s="285"/>
      <c r="AJ24" s="285"/>
      <c r="AK24" s="285"/>
      <c r="AL24" s="285"/>
      <c r="AM24" s="285"/>
      <c r="AN24" s="285"/>
      <c r="AO24" s="285"/>
      <c r="AP24" s="285"/>
      <c r="AQ24" s="285"/>
      <c r="AR24" s="285"/>
      <c r="AS24" s="285"/>
      <c r="AT24" s="285"/>
      <c r="AU24" s="285"/>
      <c r="AV24" s="285"/>
      <c r="AW24" s="285"/>
      <c r="AX24" s="285"/>
      <c r="AY24" s="285"/>
      <c r="AZ24" s="285"/>
      <c r="BA24" s="285"/>
      <c r="BB24" s="285"/>
      <c r="BC24" s="285"/>
      <c r="BD24" s="285"/>
      <c r="BE24" s="285"/>
      <c r="BF24" s="285"/>
      <c r="BG24" s="285"/>
      <c r="BH24" s="285"/>
      <c r="BI24" s="285"/>
      <c r="BJ24" s="285"/>
      <c r="BK24" s="285"/>
      <c r="BL24" s="285"/>
      <c r="BM24" s="285"/>
      <c r="BN24" s="285"/>
      <c r="BO24" s="285"/>
      <c r="BP24" s="285"/>
      <c r="BQ24" s="285"/>
      <c r="BR24" s="285"/>
      <c r="BS24" s="285"/>
      <c r="BT24" s="285"/>
      <c r="BU24" s="285"/>
      <c r="BV24" s="285"/>
      <c r="BW24" s="285"/>
      <c r="BX24" s="285"/>
      <c r="BY24" s="285"/>
      <c r="BZ24" s="285"/>
      <c r="CA24" s="285"/>
      <c r="CB24" s="285"/>
      <c r="CC24" s="285"/>
      <c r="CD24" s="285"/>
      <c r="CE24" s="285"/>
      <c r="CF24" s="285"/>
      <c r="CG24" s="285"/>
      <c r="CH24" s="285"/>
      <c r="CI24" s="285"/>
      <c r="CJ24" s="285"/>
      <c r="CK24" s="285"/>
      <c r="CL24" s="285"/>
      <c r="CM24" s="285"/>
      <c r="CN24" s="285"/>
      <c r="CO24" s="285"/>
      <c r="CP24" s="285"/>
      <c r="CQ24" s="285"/>
      <c r="CR24" s="285"/>
      <c r="CS24" s="285"/>
      <c r="CT24" s="285"/>
      <c r="CU24" s="285"/>
      <c r="CV24" s="285"/>
      <c r="CW24" s="285"/>
      <c r="CX24" s="285"/>
      <c r="CY24" s="285"/>
      <c r="CZ24" s="285"/>
      <c r="DA24" s="285"/>
      <c r="DB24" s="285"/>
      <c r="DC24" s="285"/>
      <c r="DD24" s="285"/>
      <c r="DE24" s="285"/>
      <c r="DF24" s="285"/>
      <c r="DG24" s="285"/>
      <c r="DH24" s="285"/>
      <c r="DI24" s="285"/>
      <c r="DJ24" s="285"/>
      <c r="DK24" s="285"/>
      <c r="DL24" s="285"/>
      <c r="DM24" s="285"/>
      <c r="DN24" s="285"/>
      <c r="DO24" s="285"/>
      <c r="DP24" s="285"/>
      <c r="DQ24" s="285"/>
      <c r="DR24" s="285"/>
      <c r="DS24" s="305"/>
      <c r="DT24" s="285"/>
      <c r="DU24" s="285"/>
      <c r="DV24" s="304"/>
      <c r="DW24" s="285"/>
      <c r="DX24" s="305"/>
      <c r="DY24" s="285"/>
      <c r="DZ24" s="285"/>
      <c r="EA24" s="285"/>
      <c r="EB24" s="289"/>
      <c r="EC24" s="285"/>
      <c r="ED24" s="285"/>
      <c r="EE24" s="285"/>
      <c r="EF24" s="308" t="s">
        <v>454</v>
      </c>
      <c r="EG24" s="149" t="str">
        <f>IF(EG23=1,"Y",IF((EG21*$EB$21)+(EG22*$EB$22)=1,"Q",IF(EG20=1,"P","")))</f>
        <v/>
      </c>
      <c r="EH24" s="150" t="str">
        <f t="shared" ref="EH24:GS24" si="56">IF(EH23=1,"Y",IF((EH21*$EB$21)+(EH22*$EB$22)=1,"Q",IF(EH20=1,"P","")))</f>
        <v/>
      </c>
      <c r="EI24" s="150" t="str">
        <f t="shared" si="56"/>
        <v/>
      </c>
      <c r="EJ24" s="150" t="str">
        <f t="shared" si="56"/>
        <v/>
      </c>
      <c r="EK24" s="150" t="str">
        <f t="shared" si="56"/>
        <v/>
      </c>
      <c r="EL24" s="150" t="str">
        <f t="shared" si="56"/>
        <v/>
      </c>
      <c r="EM24" s="150" t="str">
        <f t="shared" si="56"/>
        <v/>
      </c>
      <c r="EN24" s="150" t="str">
        <f t="shared" si="56"/>
        <v/>
      </c>
      <c r="EO24" s="150" t="str">
        <f t="shared" si="56"/>
        <v/>
      </c>
      <c r="EP24" s="150" t="str">
        <f t="shared" si="56"/>
        <v/>
      </c>
      <c r="EQ24" s="150" t="str">
        <f t="shared" si="56"/>
        <v/>
      </c>
      <c r="ER24" s="150" t="str">
        <f t="shared" si="56"/>
        <v/>
      </c>
      <c r="ES24" s="150" t="str">
        <f t="shared" si="56"/>
        <v/>
      </c>
      <c r="ET24" s="150" t="str">
        <f t="shared" si="56"/>
        <v/>
      </c>
      <c r="EU24" s="150" t="str">
        <f t="shared" si="56"/>
        <v/>
      </c>
      <c r="EV24" s="150" t="str">
        <f t="shared" si="56"/>
        <v/>
      </c>
      <c r="EW24" s="150" t="str">
        <f t="shared" si="56"/>
        <v/>
      </c>
      <c r="EX24" s="150" t="str">
        <f t="shared" si="56"/>
        <v/>
      </c>
      <c r="EY24" s="150" t="str">
        <f t="shared" si="56"/>
        <v/>
      </c>
      <c r="EZ24" s="150" t="str">
        <f t="shared" si="56"/>
        <v/>
      </c>
      <c r="FA24" s="150" t="str">
        <f t="shared" si="56"/>
        <v/>
      </c>
      <c r="FB24" s="150" t="str">
        <f t="shared" si="56"/>
        <v/>
      </c>
      <c r="FC24" s="150" t="str">
        <f t="shared" si="56"/>
        <v/>
      </c>
      <c r="FD24" s="150" t="str">
        <f t="shared" si="56"/>
        <v/>
      </c>
      <c r="FE24" s="150" t="str">
        <f t="shared" si="56"/>
        <v/>
      </c>
      <c r="FF24" s="150" t="str">
        <f t="shared" si="56"/>
        <v/>
      </c>
      <c r="FG24" s="150" t="str">
        <f t="shared" si="56"/>
        <v/>
      </c>
      <c r="FH24" s="150" t="str">
        <f t="shared" si="56"/>
        <v/>
      </c>
      <c r="FI24" s="150" t="str">
        <f t="shared" si="56"/>
        <v/>
      </c>
      <c r="FJ24" s="150" t="str">
        <f t="shared" si="56"/>
        <v/>
      </c>
      <c r="FK24" s="150" t="str">
        <f t="shared" si="56"/>
        <v/>
      </c>
      <c r="FL24" s="150" t="str">
        <f t="shared" si="56"/>
        <v/>
      </c>
      <c r="FM24" s="150" t="str">
        <f t="shared" si="56"/>
        <v/>
      </c>
      <c r="FN24" s="150" t="str">
        <f t="shared" si="56"/>
        <v/>
      </c>
      <c r="FO24" s="150" t="str">
        <f t="shared" si="56"/>
        <v/>
      </c>
      <c r="FP24" s="150" t="str">
        <f t="shared" si="56"/>
        <v/>
      </c>
      <c r="FQ24" s="150" t="str">
        <f t="shared" si="56"/>
        <v/>
      </c>
      <c r="FR24" s="150" t="str">
        <f t="shared" si="56"/>
        <v/>
      </c>
      <c r="FS24" s="150" t="str">
        <f t="shared" si="56"/>
        <v/>
      </c>
      <c r="FT24" s="150" t="str">
        <f t="shared" si="56"/>
        <v/>
      </c>
      <c r="FU24" s="150" t="str">
        <f t="shared" si="56"/>
        <v/>
      </c>
      <c r="FV24" s="150" t="str">
        <f t="shared" si="56"/>
        <v/>
      </c>
      <c r="FW24" s="150" t="str">
        <f t="shared" si="56"/>
        <v/>
      </c>
      <c r="FX24" s="150" t="str">
        <f t="shared" si="56"/>
        <v/>
      </c>
      <c r="FY24" s="150" t="str">
        <f t="shared" si="56"/>
        <v/>
      </c>
      <c r="FZ24" s="150" t="str">
        <f t="shared" si="56"/>
        <v/>
      </c>
      <c r="GA24" s="150" t="str">
        <f t="shared" si="56"/>
        <v/>
      </c>
      <c r="GB24" s="150" t="str">
        <f t="shared" si="56"/>
        <v/>
      </c>
      <c r="GC24" s="150" t="str">
        <f t="shared" si="56"/>
        <v/>
      </c>
      <c r="GD24" s="150" t="str">
        <f t="shared" si="56"/>
        <v/>
      </c>
      <c r="GE24" s="150" t="str">
        <f t="shared" si="56"/>
        <v/>
      </c>
      <c r="GF24" s="150" t="str">
        <f t="shared" si="56"/>
        <v/>
      </c>
      <c r="GG24" s="150" t="str">
        <f t="shared" si="56"/>
        <v/>
      </c>
      <c r="GH24" s="150" t="str">
        <f t="shared" si="56"/>
        <v/>
      </c>
      <c r="GI24" s="150" t="str">
        <f t="shared" si="56"/>
        <v/>
      </c>
      <c r="GJ24" s="150" t="str">
        <f t="shared" si="56"/>
        <v/>
      </c>
      <c r="GK24" s="150" t="str">
        <f t="shared" si="56"/>
        <v/>
      </c>
      <c r="GL24" s="150" t="str">
        <f t="shared" si="56"/>
        <v/>
      </c>
      <c r="GM24" s="150" t="str">
        <f t="shared" si="56"/>
        <v/>
      </c>
      <c r="GN24" s="150" t="str">
        <f t="shared" si="56"/>
        <v/>
      </c>
      <c r="GO24" s="150" t="str">
        <f t="shared" si="56"/>
        <v/>
      </c>
      <c r="GP24" s="150" t="str">
        <f t="shared" si="56"/>
        <v/>
      </c>
      <c r="GQ24" s="150" t="str">
        <f t="shared" si="56"/>
        <v/>
      </c>
      <c r="GR24" s="150" t="str">
        <f t="shared" si="56"/>
        <v/>
      </c>
      <c r="GS24" s="150" t="str">
        <f t="shared" si="56"/>
        <v/>
      </c>
      <c r="GT24" s="150" t="str">
        <f t="shared" ref="GT24:JC24" si="57">IF(GT23=1,"Y",IF((GT21*$EB$21)+(GT22*$EB$22)=1,"Q",IF(GT20=1,"P","")))</f>
        <v/>
      </c>
      <c r="GU24" s="150" t="str">
        <f t="shared" si="57"/>
        <v/>
      </c>
      <c r="GV24" s="150" t="str">
        <f t="shared" si="57"/>
        <v/>
      </c>
      <c r="GW24" s="150" t="str">
        <f t="shared" si="57"/>
        <v/>
      </c>
      <c r="GX24" s="150" t="str">
        <f t="shared" si="57"/>
        <v/>
      </c>
      <c r="GY24" s="150" t="str">
        <f t="shared" si="57"/>
        <v/>
      </c>
      <c r="GZ24" s="150" t="str">
        <f t="shared" si="57"/>
        <v/>
      </c>
      <c r="HA24" s="150" t="str">
        <f t="shared" si="57"/>
        <v/>
      </c>
      <c r="HB24" s="150" t="str">
        <f t="shared" si="57"/>
        <v/>
      </c>
      <c r="HC24" s="150" t="str">
        <f t="shared" si="57"/>
        <v/>
      </c>
      <c r="HD24" s="150" t="str">
        <f t="shared" si="57"/>
        <v/>
      </c>
      <c r="HE24" s="150" t="str">
        <f t="shared" si="57"/>
        <v/>
      </c>
      <c r="HF24" s="150" t="str">
        <f t="shared" si="57"/>
        <v/>
      </c>
      <c r="HG24" s="150" t="str">
        <f t="shared" si="57"/>
        <v/>
      </c>
      <c r="HH24" s="150" t="str">
        <f t="shared" si="57"/>
        <v/>
      </c>
      <c r="HI24" s="150" t="str">
        <f t="shared" si="57"/>
        <v/>
      </c>
      <c r="HJ24" s="150" t="str">
        <f t="shared" si="57"/>
        <v/>
      </c>
      <c r="HK24" s="150" t="str">
        <f t="shared" si="57"/>
        <v/>
      </c>
      <c r="HL24" s="150" t="str">
        <f t="shared" si="57"/>
        <v/>
      </c>
      <c r="HM24" s="150" t="str">
        <f t="shared" si="57"/>
        <v/>
      </c>
      <c r="HN24" s="150" t="str">
        <f t="shared" si="57"/>
        <v/>
      </c>
      <c r="HO24" s="150" t="str">
        <f t="shared" si="57"/>
        <v/>
      </c>
      <c r="HP24" s="150" t="str">
        <f t="shared" si="57"/>
        <v/>
      </c>
      <c r="HQ24" s="150" t="str">
        <f t="shared" si="57"/>
        <v/>
      </c>
      <c r="HR24" s="150" t="str">
        <f t="shared" si="57"/>
        <v/>
      </c>
      <c r="HS24" s="150" t="str">
        <f t="shared" si="57"/>
        <v/>
      </c>
      <c r="HT24" s="150" t="str">
        <f t="shared" si="57"/>
        <v/>
      </c>
      <c r="HU24" s="150" t="str">
        <f t="shared" si="57"/>
        <v/>
      </c>
      <c r="HV24" s="150" t="str">
        <f t="shared" si="57"/>
        <v/>
      </c>
      <c r="HW24" s="150" t="str">
        <f t="shared" si="57"/>
        <v/>
      </c>
      <c r="HX24" s="150" t="str">
        <f t="shared" si="57"/>
        <v/>
      </c>
      <c r="HY24" s="150" t="str">
        <f t="shared" si="57"/>
        <v/>
      </c>
      <c r="HZ24" s="150" t="str">
        <f t="shared" si="57"/>
        <v/>
      </c>
      <c r="IA24" s="150" t="str">
        <f t="shared" si="57"/>
        <v/>
      </c>
      <c r="IB24" s="150" t="str">
        <f t="shared" si="57"/>
        <v/>
      </c>
      <c r="IC24" s="150" t="str">
        <f t="shared" si="57"/>
        <v/>
      </c>
      <c r="ID24" s="150" t="str">
        <f t="shared" si="57"/>
        <v/>
      </c>
      <c r="IE24" s="150" t="str">
        <f t="shared" si="57"/>
        <v/>
      </c>
      <c r="IF24" s="150" t="str">
        <f t="shared" si="57"/>
        <v/>
      </c>
      <c r="IG24" s="150" t="str">
        <f t="shared" si="57"/>
        <v/>
      </c>
      <c r="IH24" s="150" t="str">
        <f t="shared" si="57"/>
        <v/>
      </c>
      <c r="II24" s="150" t="str">
        <f t="shared" si="57"/>
        <v/>
      </c>
      <c r="IJ24" s="150" t="str">
        <f t="shared" si="57"/>
        <v/>
      </c>
      <c r="IK24" s="150" t="str">
        <f t="shared" si="57"/>
        <v/>
      </c>
      <c r="IL24" s="150" t="str">
        <f t="shared" si="57"/>
        <v/>
      </c>
      <c r="IM24" s="150" t="str">
        <f t="shared" si="57"/>
        <v/>
      </c>
      <c r="IN24" s="150" t="str">
        <f t="shared" si="57"/>
        <v/>
      </c>
      <c r="IO24" s="150" t="str">
        <f t="shared" si="57"/>
        <v/>
      </c>
      <c r="IP24" s="150" t="str">
        <f t="shared" si="57"/>
        <v/>
      </c>
      <c r="IQ24" s="150" t="str">
        <f t="shared" si="57"/>
        <v/>
      </c>
      <c r="IR24" s="150" t="str">
        <f t="shared" si="57"/>
        <v/>
      </c>
      <c r="IS24" s="150" t="str">
        <f t="shared" si="57"/>
        <v/>
      </c>
      <c r="IT24" s="150" t="str">
        <f t="shared" si="57"/>
        <v/>
      </c>
      <c r="IU24" s="150" t="str">
        <f t="shared" si="57"/>
        <v/>
      </c>
      <c r="IV24" s="150" t="str">
        <f t="shared" si="57"/>
        <v/>
      </c>
      <c r="IW24" s="150" t="str">
        <f t="shared" si="57"/>
        <v/>
      </c>
      <c r="IX24" s="150" t="str">
        <f t="shared" si="57"/>
        <v/>
      </c>
      <c r="IY24" s="150" t="str">
        <f t="shared" si="57"/>
        <v/>
      </c>
      <c r="IZ24" s="150" t="str">
        <f t="shared" si="57"/>
        <v/>
      </c>
      <c r="JA24" s="150" t="str">
        <f t="shared" si="57"/>
        <v/>
      </c>
      <c r="JB24" s="150" t="str">
        <f t="shared" si="57"/>
        <v/>
      </c>
      <c r="JC24" s="150" t="str">
        <f t="shared" si="57"/>
        <v/>
      </c>
    </row>
    <row r="25" spans="1:263" ht="12.75" hidden="1" customHeight="1" x14ac:dyDescent="0.25">
      <c r="A25" s="285"/>
      <c r="B25" s="285"/>
      <c r="C25" s="299">
        <v>0.4</v>
      </c>
      <c r="D25" s="295"/>
      <c r="E25" s="276"/>
      <c r="F25" s="285"/>
      <c r="G25" s="285"/>
      <c r="H25" s="285"/>
      <c r="I25" s="285"/>
      <c r="J25" s="285"/>
      <c r="K25" s="306"/>
      <c r="L25" s="285"/>
      <c r="M25" s="287"/>
      <c r="N25" s="287"/>
      <c r="O25" s="287"/>
      <c r="P25" s="287"/>
      <c r="Q25" s="287"/>
      <c r="R25" s="287"/>
      <c r="S25" s="285"/>
      <c r="T25" s="285"/>
      <c r="U25" s="285"/>
      <c r="V25" s="285"/>
      <c r="W25" s="285"/>
      <c r="X25" s="285"/>
      <c r="Y25" s="285"/>
      <c r="Z25" s="285"/>
      <c r="AA25" s="285"/>
      <c r="AB25" s="285"/>
      <c r="AC25" s="285"/>
      <c r="AD25" s="285"/>
      <c r="AE25" s="285"/>
      <c r="AF25" s="285"/>
      <c r="AG25" s="285"/>
      <c r="AH25" s="285"/>
      <c r="AI25" s="285"/>
      <c r="AJ25" s="285"/>
      <c r="AK25" s="285"/>
      <c r="AL25" s="285"/>
      <c r="AM25" s="285"/>
      <c r="AN25" s="285"/>
      <c r="AO25" s="285"/>
      <c r="AP25" s="285"/>
      <c r="AQ25" s="285"/>
      <c r="AR25" s="285"/>
      <c r="AS25" s="285"/>
      <c r="AT25" s="285"/>
      <c r="AU25" s="285"/>
      <c r="AV25" s="285"/>
      <c r="AW25" s="285"/>
      <c r="AX25" s="285"/>
      <c r="AY25" s="285"/>
      <c r="AZ25" s="285"/>
      <c r="BA25" s="285"/>
      <c r="BB25" s="285"/>
      <c r="BC25" s="285"/>
      <c r="BD25" s="285"/>
      <c r="BE25" s="285"/>
      <c r="BF25" s="285"/>
      <c r="BG25" s="285"/>
      <c r="BH25" s="285"/>
      <c r="BI25" s="285"/>
      <c r="BJ25" s="285"/>
      <c r="BK25" s="285"/>
      <c r="BL25" s="285"/>
      <c r="BM25" s="285"/>
      <c r="BN25" s="285"/>
      <c r="BO25" s="285"/>
      <c r="BP25" s="285"/>
      <c r="BQ25" s="285"/>
      <c r="BR25" s="285"/>
      <c r="BS25" s="285"/>
      <c r="BT25" s="285"/>
      <c r="BU25" s="285"/>
      <c r="BV25" s="285"/>
      <c r="BW25" s="285"/>
      <c r="BX25" s="285"/>
      <c r="BY25" s="285"/>
      <c r="BZ25" s="285"/>
      <c r="CA25" s="285"/>
      <c r="CB25" s="285"/>
      <c r="CC25" s="285"/>
      <c r="CD25" s="285"/>
      <c r="CE25" s="285"/>
      <c r="CF25" s="285"/>
      <c r="CG25" s="285"/>
      <c r="CH25" s="285"/>
      <c r="CI25" s="285"/>
      <c r="CJ25" s="285"/>
      <c r="CK25" s="285"/>
      <c r="CL25" s="285"/>
      <c r="CM25" s="285"/>
      <c r="CN25" s="285"/>
      <c r="CO25" s="285"/>
      <c r="CP25" s="285"/>
      <c r="CQ25" s="285"/>
      <c r="CR25" s="285"/>
      <c r="CS25" s="285"/>
      <c r="CT25" s="285"/>
      <c r="CU25" s="285"/>
      <c r="CV25" s="285"/>
      <c r="CW25" s="285"/>
      <c r="CX25" s="285"/>
      <c r="CY25" s="285"/>
      <c r="CZ25" s="285"/>
      <c r="DA25" s="285"/>
      <c r="DB25" s="285"/>
      <c r="DC25" s="285"/>
      <c r="DD25" s="285"/>
      <c r="DE25" s="285"/>
      <c r="DF25" s="285"/>
      <c r="DG25" s="285"/>
      <c r="DH25" s="285"/>
      <c r="DI25" s="285"/>
      <c r="DJ25" s="285"/>
      <c r="DK25" s="285"/>
      <c r="DL25" s="285"/>
      <c r="DM25" s="285"/>
      <c r="DN25" s="285"/>
      <c r="DO25" s="285"/>
      <c r="DP25" s="285"/>
      <c r="DQ25" s="285"/>
      <c r="DR25" s="285"/>
      <c r="DS25" s="309"/>
      <c r="DT25" s="285"/>
      <c r="DU25" s="285"/>
      <c r="DV25" s="285"/>
      <c r="DW25" s="285"/>
      <c r="DX25" s="309"/>
      <c r="DY25" s="285"/>
      <c r="DZ25" s="285"/>
      <c r="EA25" s="1551" t="s">
        <v>1990</v>
      </c>
      <c r="EB25" s="776">
        <f>WEEKNUM('2 Staff List'!$KH$56+3)</f>
        <v>1</v>
      </c>
      <c r="EC25" s="285"/>
      <c r="ED25" s="285"/>
      <c r="EE25" s="285"/>
      <c r="EF25" s="308" t="s">
        <v>1992</v>
      </c>
      <c r="EG25" s="598">
        <v>1</v>
      </c>
      <c r="EH25" s="599">
        <f>CHOOSE($DY$3,IF(WEEKNUM(EH126,16)=$EB$25,1,0),IF(MONTH(EH126)=$EB$26,1,0))</f>
        <v>1</v>
      </c>
      <c r="EI25" s="599">
        <f t="shared" ref="EI25:GT25" si="58">CHOOSE($DY$3,IF(WEEKNUM(EI126,16)=$EB$25,1,0),IF(MONTH(EI126)=$EB$26,1,0))</f>
        <v>1</v>
      </c>
      <c r="EJ25" s="599">
        <f t="shared" si="58"/>
        <v>1</v>
      </c>
      <c r="EK25" s="599">
        <f t="shared" si="58"/>
        <v>1</v>
      </c>
      <c r="EL25" s="599">
        <f t="shared" si="58"/>
        <v>1</v>
      </c>
      <c r="EM25" s="599">
        <f t="shared" si="58"/>
        <v>1</v>
      </c>
      <c r="EN25" s="599">
        <f t="shared" si="58"/>
        <v>1</v>
      </c>
      <c r="EO25" s="599">
        <f t="shared" si="58"/>
        <v>1</v>
      </c>
      <c r="EP25" s="599">
        <f t="shared" si="58"/>
        <v>1</v>
      </c>
      <c r="EQ25" s="599">
        <f t="shared" si="58"/>
        <v>1</v>
      </c>
      <c r="ER25" s="599">
        <f t="shared" si="58"/>
        <v>1</v>
      </c>
      <c r="ES25" s="599">
        <f t="shared" si="58"/>
        <v>1</v>
      </c>
      <c r="ET25" s="599">
        <f t="shared" si="58"/>
        <v>1</v>
      </c>
      <c r="EU25" s="599">
        <f t="shared" si="58"/>
        <v>1</v>
      </c>
      <c r="EV25" s="599">
        <f t="shared" si="58"/>
        <v>1</v>
      </c>
      <c r="EW25" s="599">
        <f t="shared" si="58"/>
        <v>1</v>
      </c>
      <c r="EX25" s="599">
        <f t="shared" si="58"/>
        <v>1</v>
      </c>
      <c r="EY25" s="599">
        <f t="shared" si="58"/>
        <v>1</v>
      </c>
      <c r="EZ25" s="599">
        <f t="shared" si="58"/>
        <v>1</v>
      </c>
      <c r="FA25" s="599">
        <f t="shared" si="58"/>
        <v>1</v>
      </c>
      <c r="FB25" s="599">
        <f t="shared" si="58"/>
        <v>1</v>
      </c>
      <c r="FC25" s="599">
        <f t="shared" si="58"/>
        <v>1</v>
      </c>
      <c r="FD25" s="599">
        <f t="shared" si="58"/>
        <v>1</v>
      </c>
      <c r="FE25" s="599">
        <f t="shared" si="58"/>
        <v>1</v>
      </c>
      <c r="FF25" s="599">
        <f t="shared" si="58"/>
        <v>1</v>
      </c>
      <c r="FG25" s="599">
        <f t="shared" si="58"/>
        <v>1</v>
      </c>
      <c r="FH25" s="599">
        <f t="shared" si="58"/>
        <v>1</v>
      </c>
      <c r="FI25" s="599">
        <f t="shared" si="58"/>
        <v>1</v>
      </c>
      <c r="FJ25" s="599">
        <f t="shared" si="58"/>
        <v>1</v>
      </c>
      <c r="FK25" s="599">
        <f t="shared" si="58"/>
        <v>1</v>
      </c>
      <c r="FL25" s="599">
        <f t="shared" si="58"/>
        <v>1</v>
      </c>
      <c r="FM25" s="599">
        <f t="shared" si="58"/>
        <v>1</v>
      </c>
      <c r="FN25" s="599">
        <f t="shared" si="58"/>
        <v>1</v>
      </c>
      <c r="FO25" s="599">
        <f t="shared" si="58"/>
        <v>1</v>
      </c>
      <c r="FP25" s="599">
        <f t="shared" si="58"/>
        <v>1</v>
      </c>
      <c r="FQ25" s="599">
        <f t="shared" si="58"/>
        <v>1</v>
      </c>
      <c r="FR25" s="599">
        <f t="shared" si="58"/>
        <v>1</v>
      </c>
      <c r="FS25" s="599">
        <f t="shared" si="58"/>
        <v>1</v>
      </c>
      <c r="FT25" s="599">
        <f t="shared" si="58"/>
        <v>1</v>
      </c>
      <c r="FU25" s="599">
        <f t="shared" si="58"/>
        <v>1</v>
      </c>
      <c r="FV25" s="599">
        <f t="shared" si="58"/>
        <v>1</v>
      </c>
      <c r="FW25" s="599">
        <f t="shared" si="58"/>
        <v>1</v>
      </c>
      <c r="FX25" s="599">
        <f t="shared" si="58"/>
        <v>1</v>
      </c>
      <c r="FY25" s="599">
        <f t="shared" si="58"/>
        <v>1</v>
      </c>
      <c r="FZ25" s="599">
        <f t="shared" si="58"/>
        <v>1</v>
      </c>
      <c r="GA25" s="599">
        <f t="shared" si="58"/>
        <v>1</v>
      </c>
      <c r="GB25" s="599">
        <f t="shared" si="58"/>
        <v>1</v>
      </c>
      <c r="GC25" s="599">
        <f t="shared" si="58"/>
        <v>1</v>
      </c>
      <c r="GD25" s="599">
        <f t="shared" si="58"/>
        <v>1</v>
      </c>
      <c r="GE25" s="599">
        <f t="shared" si="58"/>
        <v>1</v>
      </c>
      <c r="GF25" s="599">
        <f t="shared" si="58"/>
        <v>1</v>
      </c>
      <c r="GG25" s="599">
        <f t="shared" si="58"/>
        <v>1</v>
      </c>
      <c r="GH25" s="599">
        <f t="shared" si="58"/>
        <v>1</v>
      </c>
      <c r="GI25" s="599">
        <f t="shared" si="58"/>
        <v>1</v>
      </c>
      <c r="GJ25" s="599">
        <f t="shared" si="58"/>
        <v>1</v>
      </c>
      <c r="GK25" s="599">
        <f t="shared" si="58"/>
        <v>1</v>
      </c>
      <c r="GL25" s="599">
        <f t="shared" si="58"/>
        <v>1</v>
      </c>
      <c r="GM25" s="599">
        <f t="shared" si="58"/>
        <v>1</v>
      </c>
      <c r="GN25" s="599">
        <f t="shared" si="58"/>
        <v>1</v>
      </c>
      <c r="GO25" s="599">
        <f t="shared" si="58"/>
        <v>1</v>
      </c>
      <c r="GP25" s="599">
        <f t="shared" si="58"/>
        <v>1</v>
      </c>
      <c r="GQ25" s="599">
        <f t="shared" si="58"/>
        <v>1</v>
      </c>
      <c r="GR25" s="599">
        <f t="shared" si="58"/>
        <v>1</v>
      </c>
      <c r="GS25" s="599">
        <f t="shared" si="58"/>
        <v>1</v>
      </c>
      <c r="GT25" s="599">
        <f t="shared" si="58"/>
        <v>1</v>
      </c>
      <c r="GU25" s="599">
        <f t="shared" ref="GU25:JC25" si="59">CHOOSE($DY$3,IF(WEEKNUM(GU126,16)=$EB$25,1,0),IF(MONTH(GU126)=$EB$26,1,0))</f>
        <v>1</v>
      </c>
      <c r="GV25" s="599">
        <f t="shared" si="59"/>
        <v>1</v>
      </c>
      <c r="GW25" s="599">
        <f t="shared" si="59"/>
        <v>1</v>
      </c>
      <c r="GX25" s="599">
        <f t="shared" si="59"/>
        <v>1</v>
      </c>
      <c r="GY25" s="599">
        <f t="shared" si="59"/>
        <v>1</v>
      </c>
      <c r="GZ25" s="599">
        <f t="shared" si="59"/>
        <v>1</v>
      </c>
      <c r="HA25" s="599">
        <f t="shared" si="59"/>
        <v>1</v>
      </c>
      <c r="HB25" s="599">
        <f t="shared" si="59"/>
        <v>1</v>
      </c>
      <c r="HC25" s="599">
        <f t="shared" si="59"/>
        <v>1</v>
      </c>
      <c r="HD25" s="599">
        <f t="shared" si="59"/>
        <v>1</v>
      </c>
      <c r="HE25" s="599">
        <f t="shared" si="59"/>
        <v>1</v>
      </c>
      <c r="HF25" s="599">
        <f t="shared" si="59"/>
        <v>1</v>
      </c>
      <c r="HG25" s="599">
        <f t="shared" si="59"/>
        <v>1</v>
      </c>
      <c r="HH25" s="599">
        <f t="shared" si="59"/>
        <v>1</v>
      </c>
      <c r="HI25" s="599">
        <f t="shared" si="59"/>
        <v>1</v>
      </c>
      <c r="HJ25" s="599">
        <f t="shared" si="59"/>
        <v>1</v>
      </c>
      <c r="HK25" s="599">
        <f t="shared" si="59"/>
        <v>1</v>
      </c>
      <c r="HL25" s="599">
        <f t="shared" si="59"/>
        <v>1</v>
      </c>
      <c r="HM25" s="599">
        <f t="shared" si="59"/>
        <v>1</v>
      </c>
      <c r="HN25" s="599">
        <f t="shared" si="59"/>
        <v>1</v>
      </c>
      <c r="HO25" s="599">
        <f t="shared" si="59"/>
        <v>1</v>
      </c>
      <c r="HP25" s="599">
        <f t="shared" si="59"/>
        <v>1</v>
      </c>
      <c r="HQ25" s="599">
        <f t="shared" si="59"/>
        <v>1</v>
      </c>
      <c r="HR25" s="599">
        <f t="shared" si="59"/>
        <v>1</v>
      </c>
      <c r="HS25" s="599">
        <f t="shared" si="59"/>
        <v>1</v>
      </c>
      <c r="HT25" s="599">
        <f t="shared" si="59"/>
        <v>1</v>
      </c>
      <c r="HU25" s="599">
        <f t="shared" si="59"/>
        <v>1</v>
      </c>
      <c r="HV25" s="599">
        <f t="shared" si="59"/>
        <v>1</v>
      </c>
      <c r="HW25" s="599">
        <f t="shared" si="59"/>
        <v>1</v>
      </c>
      <c r="HX25" s="599">
        <f t="shared" si="59"/>
        <v>1</v>
      </c>
      <c r="HY25" s="599">
        <f t="shared" si="59"/>
        <v>1</v>
      </c>
      <c r="HZ25" s="599">
        <f t="shared" si="59"/>
        <v>1</v>
      </c>
      <c r="IA25" s="599">
        <f t="shared" si="59"/>
        <v>1</v>
      </c>
      <c r="IB25" s="599">
        <f t="shared" si="59"/>
        <v>1</v>
      </c>
      <c r="IC25" s="599">
        <f t="shared" si="59"/>
        <v>1</v>
      </c>
      <c r="ID25" s="599">
        <f t="shared" si="59"/>
        <v>1</v>
      </c>
      <c r="IE25" s="599">
        <f t="shared" si="59"/>
        <v>1</v>
      </c>
      <c r="IF25" s="599">
        <f t="shared" si="59"/>
        <v>1</v>
      </c>
      <c r="IG25" s="599">
        <f t="shared" si="59"/>
        <v>1</v>
      </c>
      <c r="IH25" s="599">
        <f t="shared" si="59"/>
        <v>1</v>
      </c>
      <c r="II25" s="599">
        <f t="shared" si="59"/>
        <v>1</v>
      </c>
      <c r="IJ25" s="599">
        <f t="shared" si="59"/>
        <v>1</v>
      </c>
      <c r="IK25" s="599">
        <f t="shared" si="59"/>
        <v>1</v>
      </c>
      <c r="IL25" s="599">
        <f t="shared" si="59"/>
        <v>1</v>
      </c>
      <c r="IM25" s="599">
        <f t="shared" si="59"/>
        <v>1</v>
      </c>
      <c r="IN25" s="599">
        <f t="shared" si="59"/>
        <v>1</v>
      </c>
      <c r="IO25" s="599">
        <f t="shared" si="59"/>
        <v>1</v>
      </c>
      <c r="IP25" s="599">
        <f t="shared" si="59"/>
        <v>1</v>
      </c>
      <c r="IQ25" s="599">
        <f t="shared" si="59"/>
        <v>1</v>
      </c>
      <c r="IR25" s="599">
        <f t="shared" si="59"/>
        <v>1</v>
      </c>
      <c r="IS25" s="599">
        <f t="shared" si="59"/>
        <v>1</v>
      </c>
      <c r="IT25" s="599">
        <f t="shared" si="59"/>
        <v>1</v>
      </c>
      <c r="IU25" s="599">
        <f t="shared" si="59"/>
        <v>1</v>
      </c>
      <c r="IV25" s="599">
        <f t="shared" si="59"/>
        <v>1</v>
      </c>
      <c r="IW25" s="599">
        <f t="shared" si="59"/>
        <v>1</v>
      </c>
      <c r="IX25" s="599">
        <f t="shared" si="59"/>
        <v>1</v>
      </c>
      <c r="IY25" s="599">
        <f t="shared" si="59"/>
        <v>1</v>
      </c>
      <c r="IZ25" s="599">
        <f t="shared" si="59"/>
        <v>1</v>
      </c>
      <c r="JA25" s="599">
        <f t="shared" si="59"/>
        <v>1</v>
      </c>
      <c r="JB25" s="599">
        <f t="shared" si="59"/>
        <v>1</v>
      </c>
      <c r="JC25" s="599">
        <f t="shared" si="59"/>
        <v>1</v>
      </c>
    </row>
    <row r="26" spans="1:263" ht="12.75" hidden="1" customHeight="1" x14ac:dyDescent="0.25">
      <c r="A26" s="285"/>
      <c r="B26" s="285"/>
      <c r="C26" s="299">
        <v>0.3</v>
      </c>
      <c r="D26" s="295"/>
      <c r="E26" s="276"/>
      <c r="F26" s="285"/>
      <c r="G26" s="285"/>
      <c r="H26" s="285"/>
      <c r="I26" s="285"/>
      <c r="J26" s="285"/>
      <c r="K26" s="294"/>
      <c r="L26" s="285"/>
      <c r="M26" s="287"/>
      <c r="N26" s="287"/>
      <c r="O26" s="287"/>
      <c r="P26" s="287"/>
      <c r="Q26" s="287"/>
      <c r="R26" s="287"/>
      <c r="S26" s="285"/>
      <c r="T26" s="285"/>
      <c r="U26" s="285"/>
      <c r="V26" s="285"/>
      <c r="W26" s="285"/>
      <c r="X26" s="285"/>
      <c r="Y26" s="285"/>
      <c r="Z26" s="285"/>
      <c r="AA26" s="285"/>
      <c r="AB26" s="285"/>
      <c r="AC26" s="285"/>
      <c r="AD26" s="285"/>
      <c r="AE26" s="285"/>
      <c r="AF26" s="285"/>
      <c r="AG26" s="285"/>
      <c r="AH26" s="285"/>
      <c r="AI26" s="285"/>
      <c r="AJ26" s="285"/>
      <c r="AK26" s="285"/>
      <c r="AL26" s="285"/>
      <c r="AM26" s="285"/>
      <c r="AN26" s="285"/>
      <c r="AO26" s="285"/>
      <c r="AP26" s="285"/>
      <c r="AQ26" s="285"/>
      <c r="AR26" s="285"/>
      <c r="AS26" s="285"/>
      <c r="AT26" s="285"/>
      <c r="AU26" s="285"/>
      <c r="AV26" s="285"/>
      <c r="AW26" s="285"/>
      <c r="AX26" s="285"/>
      <c r="AY26" s="285"/>
      <c r="AZ26" s="285"/>
      <c r="BA26" s="285"/>
      <c r="BB26" s="285"/>
      <c r="BC26" s="285"/>
      <c r="BD26" s="285"/>
      <c r="BE26" s="285"/>
      <c r="BF26" s="285"/>
      <c r="BG26" s="285"/>
      <c r="BH26" s="285"/>
      <c r="BI26" s="285"/>
      <c r="BJ26" s="285"/>
      <c r="BK26" s="285"/>
      <c r="BL26" s="285"/>
      <c r="BM26" s="285"/>
      <c r="BN26" s="285"/>
      <c r="BO26" s="285"/>
      <c r="BP26" s="285"/>
      <c r="BQ26" s="285"/>
      <c r="BR26" s="285"/>
      <c r="BS26" s="285"/>
      <c r="BT26" s="285"/>
      <c r="BU26" s="285"/>
      <c r="BV26" s="285"/>
      <c r="BW26" s="285"/>
      <c r="BX26" s="285"/>
      <c r="BY26" s="285"/>
      <c r="BZ26" s="285"/>
      <c r="CA26" s="285"/>
      <c r="CB26" s="285"/>
      <c r="CC26" s="285"/>
      <c r="CD26" s="285"/>
      <c r="CE26" s="285"/>
      <c r="CF26" s="285"/>
      <c r="CG26" s="285"/>
      <c r="CH26" s="285"/>
      <c r="CI26" s="285"/>
      <c r="CJ26" s="285"/>
      <c r="CK26" s="285"/>
      <c r="CL26" s="285"/>
      <c r="CM26" s="285"/>
      <c r="CN26" s="285"/>
      <c r="CO26" s="285"/>
      <c r="CP26" s="285"/>
      <c r="CQ26" s="285"/>
      <c r="CR26" s="285"/>
      <c r="CS26" s="285"/>
      <c r="CT26" s="285"/>
      <c r="CU26" s="285"/>
      <c r="CV26" s="285"/>
      <c r="CW26" s="285"/>
      <c r="CX26" s="285"/>
      <c r="CY26" s="285"/>
      <c r="CZ26" s="285"/>
      <c r="DA26" s="285"/>
      <c r="DB26" s="285"/>
      <c r="DC26" s="285"/>
      <c r="DD26" s="285"/>
      <c r="DE26" s="285"/>
      <c r="DF26" s="285"/>
      <c r="DG26" s="285"/>
      <c r="DH26" s="285"/>
      <c r="DI26" s="285"/>
      <c r="DJ26" s="285"/>
      <c r="DK26" s="285"/>
      <c r="DL26" s="285"/>
      <c r="DM26" s="285"/>
      <c r="DN26" s="285"/>
      <c r="DO26" s="285"/>
      <c r="DP26" s="285"/>
      <c r="DQ26" s="285"/>
      <c r="DR26" s="285"/>
      <c r="DS26" s="309"/>
      <c r="DT26" s="285"/>
      <c r="DU26" s="285"/>
      <c r="DV26" s="285"/>
      <c r="DW26" s="285"/>
      <c r="DX26" s="309"/>
      <c r="DY26" s="285"/>
      <c r="DZ26" s="285"/>
      <c r="EA26" s="1551" t="s">
        <v>1991</v>
      </c>
      <c r="EB26" s="776">
        <f>MONTH('2 Staff List'!$KH$56+3)</f>
        <v>1</v>
      </c>
      <c r="EC26" s="285"/>
      <c r="ED26" s="285"/>
      <c r="EE26" s="285"/>
      <c r="EF26" s="308" t="s">
        <v>1989</v>
      </c>
      <c r="EG26" s="987">
        <f>1*EB35</f>
        <v>0</v>
      </c>
      <c r="EH26" s="150">
        <f>MIN(SUM($EG$25:EH25),10)*$EB$35</f>
        <v>0</v>
      </c>
      <c r="EI26" s="150">
        <f>MIN(SUM($EG$25:EI25),10)*$EB$35</f>
        <v>0</v>
      </c>
      <c r="EJ26" s="150">
        <f>MIN(SUM($EG$25:EJ25),10)*$EB$35</f>
        <v>0</v>
      </c>
      <c r="EK26" s="150">
        <f>MIN(SUM($EG$25:EK25),10)*$EB$35</f>
        <v>0</v>
      </c>
      <c r="EL26" s="150">
        <f>MIN(SUM($EG$25:EL25),10)*$EB$35</f>
        <v>0</v>
      </c>
      <c r="EM26" s="150">
        <f>MIN(SUM($EG$25:EM25),10)*$EB$35</f>
        <v>0</v>
      </c>
      <c r="EN26" s="150">
        <f>MIN(SUM($EG$25:EN25),10)*$EB$35</f>
        <v>0</v>
      </c>
      <c r="EO26" s="150">
        <f>MIN(SUM($EG$25:EO25),10)*$EB$35</f>
        <v>0</v>
      </c>
      <c r="EP26" s="150">
        <f>MIN(SUM($EG$25:EP25),10)*$EB$35</f>
        <v>0</v>
      </c>
      <c r="EQ26" s="150">
        <f>MIN(SUM($EG$25:EQ25),10)*$EB$35</f>
        <v>0</v>
      </c>
      <c r="ER26" s="150">
        <f>MIN(SUM($EG$25:ER25),10)*$EB$35</f>
        <v>0</v>
      </c>
      <c r="ES26" s="150">
        <f>MIN(SUM($EG$25:ES25),10)*$EB$35</f>
        <v>0</v>
      </c>
      <c r="ET26" s="150">
        <f>MIN(SUM($EG$25:ET25),10)*$EB$35</f>
        <v>0</v>
      </c>
      <c r="EU26" s="150">
        <f>MIN(SUM($EG$25:EU25),10)*$EB$35</f>
        <v>0</v>
      </c>
      <c r="EV26" s="150">
        <f>MIN(SUM($EG$25:EV25),10)*$EB$35</f>
        <v>0</v>
      </c>
      <c r="EW26" s="150">
        <f>MIN(SUM($EG$25:EW25),10)*$EB$35</f>
        <v>0</v>
      </c>
      <c r="EX26" s="150">
        <f>MIN(SUM($EG$25:EX25),10)*$EB$35</f>
        <v>0</v>
      </c>
      <c r="EY26" s="150">
        <f>MIN(SUM($EG$25:EY25),10)*$EB$35</f>
        <v>0</v>
      </c>
      <c r="EZ26" s="150">
        <f>MIN(SUM($EG$25:EZ25),10)*$EB$35</f>
        <v>0</v>
      </c>
      <c r="FA26" s="150">
        <f>MIN(SUM($EG$25:FA25),10)*$EB$35</f>
        <v>0</v>
      </c>
      <c r="FB26" s="150">
        <f>MIN(SUM($EG$25:FB25),10)*$EB$35</f>
        <v>0</v>
      </c>
      <c r="FC26" s="150">
        <f>MIN(SUM($EG$25:FC25),10)*$EB$35</f>
        <v>0</v>
      </c>
      <c r="FD26" s="150">
        <f>MIN(SUM($EG$25:FD25),10)*$EB$35</f>
        <v>0</v>
      </c>
      <c r="FE26" s="150">
        <f>MIN(SUM($EG$25:FE25),10)*$EB$35</f>
        <v>0</v>
      </c>
      <c r="FF26" s="150">
        <f>MIN(SUM($EG$25:FF25),10)*$EB$35</f>
        <v>0</v>
      </c>
      <c r="FG26" s="150">
        <f>MIN(SUM($EG$25:FG25),10)*$EB$35</f>
        <v>0</v>
      </c>
      <c r="FH26" s="150">
        <f>MIN(SUM($EG$25:FH25),10)*$EB$35</f>
        <v>0</v>
      </c>
      <c r="FI26" s="150">
        <f>MIN(SUM($EG$25:FI25),10)*$EB$35</f>
        <v>0</v>
      </c>
      <c r="FJ26" s="150">
        <f>MIN(SUM($EG$25:FJ25),10)*$EB$35</f>
        <v>0</v>
      </c>
      <c r="FK26" s="150">
        <f>MIN(SUM($EG$25:FK25),10)*$EB$35</f>
        <v>0</v>
      </c>
      <c r="FL26" s="150">
        <f>MIN(SUM($EG$25:FL25),10)*$EB$35</f>
        <v>0</v>
      </c>
      <c r="FM26" s="150">
        <f>MIN(SUM($EG$25:FM25),10)*$EB$35</f>
        <v>0</v>
      </c>
      <c r="FN26" s="150">
        <f>MIN(SUM($EG$25:FN25),10)*$EB$35</f>
        <v>0</v>
      </c>
      <c r="FO26" s="150">
        <f>MIN(SUM($EG$25:FO25),10)*$EB$35</f>
        <v>0</v>
      </c>
      <c r="FP26" s="150">
        <f>MIN(SUM($EG$25:FP25),10)*$EB$35</f>
        <v>0</v>
      </c>
      <c r="FQ26" s="150">
        <f>MIN(SUM($EG$25:FQ25),10)*$EB$35</f>
        <v>0</v>
      </c>
      <c r="FR26" s="150">
        <f>MIN(SUM($EG$25:FR25),10)*$EB$35</f>
        <v>0</v>
      </c>
      <c r="FS26" s="150">
        <f>MIN(SUM($EG$25:FS25),10)*$EB$35</f>
        <v>0</v>
      </c>
      <c r="FT26" s="150">
        <f>MIN(SUM($EG$25:FT25),10)*$EB$35</f>
        <v>0</v>
      </c>
      <c r="FU26" s="150">
        <f>MIN(SUM($EG$25:FU25),10)*$EB$35</f>
        <v>0</v>
      </c>
      <c r="FV26" s="150">
        <f>MIN(SUM($EG$25:FV25),10)*$EB$35</f>
        <v>0</v>
      </c>
      <c r="FW26" s="150">
        <f>MIN(SUM($EG$25:FW25),10)*$EB$35</f>
        <v>0</v>
      </c>
      <c r="FX26" s="150">
        <f>MIN(SUM($EG$25:FX25),10)*$EB$35</f>
        <v>0</v>
      </c>
      <c r="FY26" s="150">
        <f>MIN(SUM($EG$25:FY25),10)*$EB$35</f>
        <v>0</v>
      </c>
      <c r="FZ26" s="150">
        <f>MIN(SUM($EG$25:FZ25),10)*$EB$35</f>
        <v>0</v>
      </c>
      <c r="GA26" s="150">
        <f>MIN(SUM($EG$25:GA25),10)*$EB$35</f>
        <v>0</v>
      </c>
      <c r="GB26" s="150">
        <f>MIN(SUM($EG$25:GB25),10)*$EB$35</f>
        <v>0</v>
      </c>
      <c r="GC26" s="150">
        <f>MIN(SUM($EG$25:GC25),10)*$EB$35</f>
        <v>0</v>
      </c>
      <c r="GD26" s="150">
        <f>MIN(SUM($EG$25:GD25),10)*$EB$35</f>
        <v>0</v>
      </c>
      <c r="GE26" s="150">
        <f>MIN(SUM($EG$25:GE25),10)*$EB$35</f>
        <v>0</v>
      </c>
      <c r="GF26" s="150">
        <f>MIN(SUM($EG$25:GF25),10)*$EB$35</f>
        <v>0</v>
      </c>
      <c r="GG26" s="150">
        <f>MIN(SUM($EG$25:GG25),10)*$EB$35</f>
        <v>0</v>
      </c>
      <c r="GH26" s="150">
        <f>MIN(SUM($EG$25:GH25),10)*$EB$35</f>
        <v>0</v>
      </c>
      <c r="GI26" s="150">
        <f>MIN(SUM($EG$25:GI25),10)*$EB$35</f>
        <v>0</v>
      </c>
      <c r="GJ26" s="150">
        <f>MIN(SUM($EG$25:GJ25),10)*$EB$35</f>
        <v>0</v>
      </c>
      <c r="GK26" s="150">
        <f>MIN(SUM($EG$25:GK25),10)*$EB$35</f>
        <v>0</v>
      </c>
      <c r="GL26" s="150">
        <f>MIN(SUM($EG$25:GL25),10)*$EB$35</f>
        <v>0</v>
      </c>
      <c r="GM26" s="150">
        <f>MIN(SUM($EG$25:GM25),10)*$EB$35</f>
        <v>0</v>
      </c>
      <c r="GN26" s="150">
        <f>MIN(SUM($EG$25:GN25),10)*$EB$35</f>
        <v>0</v>
      </c>
      <c r="GO26" s="150">
        <f>MIN(SUM($EG$25:GO25),10)*$EB$35</f>
        <v>0</v>
      </c>
      <c r="GP26" s="150">
        <f>MIN(SUM($EG$25:GP25),10)*$EB$35</f>
        <v>0</v>
      </c>
      <c r="GQ26" s="150">
        <f>MIN(SUM($EG$25:GQ25),10)*$EB$35</f>
        <v>0</v>
      </c>
      <c r="GR26" s="150">
        <f>MIN(SUM($EG$25:GR25),10)*$EB$35</f>
        <v>0</v>
      </c>
      <c r="GS26" s="150">
        <f>MIN(SUM($EG$25:GS25),10)*$EB$35</f>
        <v>0</v>
      </c>
      <c r="GT26" s="150">
        <f>MIN(SUM($EG$25:GT25),10)*$EB$35</f>
        <v>0</v>
      </c>
      <c r="GU26" s="150">
        <f>MIN(SUM($EG$25:GU25),10)*$EB$35</f>
        <v>0</v>
      </c>
      <c r="GV26" s="150">
        <f>MIN(SUM($EG$25:GV25),10)*$EB$35</f>
        <v>0</v>
      </c>
      <c r="GW26" s="150">
        <f>MIN(SUM($EG$25:GW25),10)*$EB$35</f>
        <v>0</v>
      </c>
      <c r="GX26" s="150">
        <f>MIN(SUM($EG$25:GX25),10)*$EB$35</f>
        <v>0</v>
      </c>
      <c r="GY26" s="150">
        <f>MIN(SUM($EG$25:GY25),10)*$EB$35</f>
        <v>0</v>
      </c>
      <c r="GZ26" s="150">
        <f>MIN(SUM($EG$25:GZ25),10)*$EB$35</f>
        <v>0</v>
      </c>
      <c r="HA26" s="150">
        <f>MIN(SUM($EG$25:HA25),10)*$EB$35</f>
        <v>0</v>
      </c>
      <c r="HB26" s="150">
        <f>MIN(SUM($EG$25:HB25),10)*$EB$35</f>
        <v>0</v>
      </c>
      <c r="HC26" s="150">
        <f>MIN(SUM($EG$25:HC25),10)*$EB$35</f>
        <v>0</v>
      </c>
      <c r="HD26" s="150">
        <f>MIN(SUM($EG$25:HD25),10)*$EB$35</f>
        <v>0</v>
      </c>
      <c r="HE26" s="150">
        <f>MIN(SUM($EG$25:HE25),10)*$EB$35</f>
        <v>0</v>
      </c>
      <c r="HF26" s="150">
        <f>MIN(SUM($EG$25:HF25),10)*$EB$35</f>
        <v>0</v>
      </c>
      <c r="HG26" s="150">
        <f>MIN(SUM($EG$25:HG25),10)*$EB$35</f>
        <v>0</v>
      </c>
      <c r="HH26" s="150">
        <f>MIN(SUM($EG$25:HH25),10)*$EB$35</f>
        <v>0</v>
      </c>
      <c r="HI26" s="150">
        <f>MIN(SUM($EG$25:HI25),10)*$EB$35</f>
        <v>0</v>
      </c>
      <c r="HJ26" s="150">
        <f>MIN(SUM($EG$25:HJ25),10)*$EB$35</f>
        <v>0</v>
      </c>
      <c r="HK26" s="150">
        <f>MIN(SUM($EG$25:HK25),10)*$EB$35</f>
        <v>0</v>
      </c>
      <c r="HL26" s="150">
        <f>MIN(SUM($EG$25:HL25),10)*$EB$35</f>
        <v>0</v>
      </c>
      <c r="HM26" s="150">
        <f>MIN(SUM($EG$25:HM25),10)*$EB$35</f>
        <v>0</v>
      </c>
      <c r="HN26" s="150">
        <f>MIN(SUM($EG$25:HN25),10)*$EB$35</f>
        <v>0</v>
      </c>
      <c r="HO26" s="150">
        <f>MIN(SUM($EG$25:HO25),10)*$EB$35</f>
        <v>0</v>
      </c>
      <c r="HP26" s="150">
        <f>MIN(SUM($EG$25:HP25),10)*$EB$35</f>
        <v>0</v>
      </c>
      <c r="HQ26" s="150">
        <f>MIN(SUM($EG$25:HQ25),10)*$EB$35</f>
        <v>0</v>
      </c>
      <c r="HR26" s="150">
        <f>MIN(SUM($EG$25:HR25),10)*$EB$35</f>
        <v>0</v>
      </c>
      <c r="HS26" s="150">
        <f>MIN(SUM($EG$25:HS25),10)*$EB$35</f>
        <v>0</v>
      </c>
      <c r="HT26" s="150">
        <f>MIN(SUM($EG$25:HT25),10)*$EB$35</f>
        <v>0</v>
      </c>
      <c r="HU26" s="150">
        <f>MIN(SUM($EG$25:HU25),10)*$EB$35</f>
        <v>0</v>
      </c>
      <c r="HV26" s="150">
        <f>MIN(SUM($EG$25:HV25),10)*$EB$35</f>
        <v>0</v>
      </c>
      <c r="HW26" s="150">
        <f>MIN(SUM($EG$25:HW25),10)*$EB$35</f>
        <v>0</v>
      </c>
      <c r="HX26" s="150">
        <f>MIN(SUM($EG$25:HX25),10)*$EB$35</f>
        <v>0</v>
      </c>
      <c r="HY26" s="150">
        <f>MIN(SUM($EG$25:HY25),10)*$EB$35</f>
        <v>0</v>
      </c>
      <c r="HZ26" s="150">
        <f>MIN(SUM($EG$25:HZ25),10)*$EB$35</f>
        <v>0</v>
      </c>
      <c r="IA26" s="150">
        <f>MIN(SUM($EG$25:IA25),10)*$EB$35</f>
        <v>0</v>
      </c>
      <c r="IB26" s="150">
        <f>MIN(SUM($EG$25:IB25),10)*$EB$35</f>
        <v>0</v>
      </c>
      <c r="IC26" s="150">
        <f>MIN(SUM($EG$25:IC25),10)*$EB$35</f>
        <v>0</v>
      </c>
      <c r="ID26" s="150">
        <f>MIN(SUM($EG$25:ID25),10)*$EB$35</f>
        <v>0</v>
      </c>
      <c r="IE26" s="150">
        <f>MIN(SUM($EG$25:IE25),10)*$EB$35</f>
        <v>0</v>
      </c>
      <c r="IF26" s="150">
        <f>MIN(SUM($EG$25:IF25),10)*$EB$35</f>
        <v>0</v>
      </c>
      <c r="IG26" s="150">
        <f>MIN(SUM($EG$25:IG25),10)*$EB$35</f>
        <v>0</v>
      </c>
      <c r="IH26" s="150">
        <f>MIN(SUM($EG$25:IH25),10)*$EB$35</f>
        <v>0</v>
      </c>
      <c r="II26" s="150">
        <f>MIN(SUM($EG$25:II25),10)*$EB$35</f>
        <v>0</v>
      </c>
      <c r="IJ26" s="150">
        <f>MIN(SUM($EG$25:IJ25),10)*$EB$35</f>
        <v>0</v>
      </c>
      <c r="IK26" s="150">
        <f>MIN(SUM($EG$25:IK25),10)*$EB$35</f>
        <v>0</v>
      </c>
      <c r="IL26" s="150">
        <f>MIN(SUM($EG$25:IL25),10)*$EB$35</f>
        <v>0</v>
      </c>
      <c r="IM26" s="150">
        <f>MIN(SUM($EG$25:IM25),10)*$EB$35</f>
        <v>0</v>
      </c>
      <c r="IN26" s="150">
        <f>MIN(SUM($EG$25:IN25),10)*$EB$35</f>
        <v>0</v>
      </c>
      <c r="IO26" s="150">
        <f>MIN(SUM($EG$25:IO25),10)*$EB$35</f>
        <v>0</v>
      </c>
      <c r="IP26" s="150">
        <f>MIN(SUM($EG$25:IP25),10)*$EB$35</f>
        <v>0</v>
      </c>
      <c r="IQ26" s="150">
        <f>MIN(SUM($EG$25:IQ25),10)*$EB$35</f>
        <v>0</v>
      </c>
      <c r="IR26" s="150">
        <f>MIN(SUM($EG$25:IR25),10)*$EB$35</f>
        <v>0</v>
      </c>
      <c r="IS26" s="150">
        <f>MIN(SUM($EG$25:IS25),10)*$EB$35</f>
        <v>0</v>
      </c>
      <c r="IT26" s="150">
        <f>MIN(SUM($EG$25:IT25),10)*$EB$35</f>
        <v>0</v>
      </c>
      <c r="IU26" s="150">
        <f>MIN(SUM($EG$25:IU25),10)*$EB$35</f>
        <v>0</v>
      </c>
      <c r="IV26" s="150">
        <f>MIN(SUM($EG$25:IV25),10)*$EB$35</f>
        <v>0</v>
      </c>
      <c r="IW26" s="150">
        <f>MIN(SUM($EG$25:IW25),10)*$EB$35</f>
        <v>0</v>
      </c>
      <c r="IX26" s="150">
        <f>MIN(SUM($EG$25:IX25),10)*$EB$35</f>
        <v>0</v>
      </c>
      <c r="IY26" s="150">
        <f>MIN(SUM($EG$25:IY25),10)*$EB$35</f>
        <v>0</v>
      </c>
      <c r="IZ26" s="150">
        <f>MIN(SUM($EG$25:IZ25),10)*$EB$35</f>
        <v>0</v>
      </c>
      <c r="JA26" s="150">
        <f>MIN(SUM($EG$25:JA25),10)*$EB$35</f>
        <v>0</v>
      </c>
      <c r="JB26" s="150">
        <f>MIN(SUM($EG$25:JB25),10)*$EB$35</f>
        <v>0</v>
      </c>
      <c r="JC26" s="150">
        <f>MIN(SUM($EG$25:JC25),10)*$EB$35</f>
        <v>0</v>
      </c>
    </row>
    <row r="27" spans="1:263" ht="12.75" hidden="1" customHeight="1" x14ac:dyDescent="0.25">
      <c r="A27" s="285"/>
      <c r="B27" s="285"/>
      <c r="C27" s="299">
        <v>0.2</v>
      </c>
      <c r="D27" s="295"/>
      <c r="E27" s="276"/>
      <c r="F27" s="285"/>
      <c r="G27" s="285"/>
      <c r="H27" s="285"/>
      <c r="I27" s="285"/>
      <c r="J27" s="285"/>
      <c r="K27" s="294"/>
      <c r="L27" s="285"/>
      <c r="M27" s="287"/>
      <c r="N27" s="287"/>
      <c r="O27" s="287"/>
      <c r="P27" s="287"/>
      <c r="Q27" s="287"/>
      <c r="R27" s="287"/>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5"/>
      <c r="AQ27" s="285"/>
      <c r="AR27" s="285"/>
      <c r="AS27" s="285"/>
      <c r="AT27" s="285"/>
      <c r="AU27" s="285"/>
      <c r="AV27" s="285"/>
      <c r="AW27" s="285"/>
      <c r="AX27" s="285"/>
      <c r="AY27" s="285"/>
      <c r="AZ27" s="285"/>
      <c r="BA27" s="285"/>
      <c r="BB27" s="285"/>
      <c r="BC27" s="285"/>
      <c r="BD27" s="285"/>
      <c r="BE27" s="285"/>
      <c r="BF27" s="285"/>
      <c r="BG27" s="285"/>
      <c r="BH27" s="285"/>
      <c r="BI27" s="285"/>
      <c r="BJ27" s="285"/>
      <c r="BK27" s="285"/>
      <c r="BL27" s="285"/>
      <c r="BM27" s="285"/>
      <c r="BN27" s="285"/>
      <c r="BO27" s="285"/>
      <c r="BP27" s="285"/>
      <c r="BQ27" s="285"/>
      <c r="BR27" s="285"/>
      <c r="BS27" s="285"/>
      <c r="BT27" s="285"/>
      <c r="BU27" s="285"/>
      <c r="BV27" s="285"/>
      <c r="BW27" s="285"/>
      <c r="BX27" s="285"/>
      <c r="BY27" s="285"/>
      <c r="BZ27" s="285"/>
      <c r="CA27" s="285"/>
      <c r="CB27" s="285"/>
      <c r="CC27" s="285"/>
      <c r="CD27" s="285"/>
      <c r="CE27" s="285"/>
      <c r="CF27" s="285"/>
      <c r="CG27" s="285"/>
      <c r="CH27" s="285"/>
      <c r="CI27" s="285"/>
      <c r="CJ27" s="285"/>
      <c r="CK27" s="285"/>
      <c r="CL27" s="285"/>
      <c r="CM27" s="285"/>
      <c r="CN27" s="285"/>
      <c r="CO27" s="285"/>
      <c r="CP27" s="285"/>
      <c r="CQ27" s="285"/>
      <c r="CR27" s="285"/>
      <c r="CS27" s="285"/>
      <c r="CT27" s="285"/>
      <c r="CU27" s="285"/>
      <c r="CV27" s="285"/>
      <c r="CW27" s="285"/>
      <c r="CX27" s="285"/>
      <c r="CY27" s="285"/>
      <c r="CZ27" s="285"/>
      <c r="DA27" s="285"/>
      <c r="DB27" s="285"/>
      <c r="DC27" s="285"/>
      <c r="DD27" s="285"/>
      <c r="DE27" s="285"/>
      <c r="DF27" s="285"/>
      <c r="DG27" s="285"/>
      <c r="DH27" s="285"/>
      <c r="DI27" s="285"/>
      <c r="DJ27" s="285"/>
      <c r="DK27" s="285"/>
      <c r="DL27" s="285"/>
      <c r="DM27" s="285"/>
      <c r="DN27" s="285"/>
      <c r="DO27" s="285"/>
      <c r="DP27" s="285"/>
      <c r="DQ27" s="285"/>
      <c r="DR27" s="285"/>
      <c r="DS27" s="309"/>
      <c r="DT27" s="285"/>
      <c r="DU27" s="285"/>
      <c r="DV27" s="285"/>
      <c r="DW27" s="285"/>
      <c r="DX27" s="309"/>
      <c r="DY27" s="285"/>
      <c r="DZ27" s="285"/>
      <c r="EA27" s="1551" t="s">
        <v>1995</v>
      </c>
      <c r="EB27" s="776">
        <f>WEEKNUM('2 Staff List'!$LD$56+3)</f>
        <v>14</v>
      </c>
      <c r="EC27" s="285"/>
      <c r="ED27" s="285"/>
      <c r="EE27" s="285"/>
      <c r="EF27" s="308" t="s">
        <v>1993</v>
      </c>
      <c r="EG27" s="598">
        <v>1</v>
      </c>
      <c r="EH27" s="599">
        <f>IF(EH26=1,0,CHOOSE($DY$3,IF(WEEKNUM(EH126,16)=$EB$27,1,0),IF(MONTH(EH126)=$EB$28,1,0)))</f>
        <v>0</v>
      </c>
      <c r="EI27" s="599">
        <f t="shared" ref="EI27:GT27" si="60">IF(EI26=1,0,CHOOSE($DY$3,IF(WEEKNUM(EI126,16)=$EB$27,1,0),IF(MONTH(EI126)=$EB$28,1,0)))</f>
        <v>0</v>
      </c>
      <c r="EJ27" s="599">
        <f t="shared" si="60"/>
        <v>0</v>
      </c>
      <c r="EK27" s="599">
        <f t="shared" si="60"/>
        <v>0</v>
      </c>
      <c r="EL27" s="599">
        <f t="shared" si="60"/>
        <v>0</v>
      </c>
      <c r="EM27" s="599">
        <f t="shared" si="60"/>
        <v>0</v>
      </c>
      <c r="EN27" s="599">
        <f t="shared" si="60"/>
        <v>0</v>
      </c>
      <c r="EO27" s="599">
        <f t="shared" si="60"/>
        <v>0</v>
      </c>
      <c r="EP27" s="599">
        <f t="shared" si="60"/>
        <v>0</v>
      </c>
      <c r="EQ27" s="599">
        <f t="shared" si="60"/>
        <v>0</v>
      </c>
      <c r="ER27" s="599">
        <f t="shared" si="60"/>
        <v>0</v>
      </c>
      <c r="ES27" s="599">
        <f t="shared" si="60"/>
        <v>0</v>
      </c>
      <c r="ET27" s="599">
        <f t="shared" si="60"/>
        <v>0</v>
      </c>
      <c r="EU27" s="599">
        <f t="shared" si="60"/>
        <v>0</v>
      </c>
      <c r="EV27" s="599">
        <f t="shared" si="60"/>
        <v>0</v>
      </c>
      <c r="EW27" s="599">
        <f t="shared" si="60"/>
        <v>0</v>
      </c>
      <c r="EX27" s="599">
        <f t="shared" si="60"/>
        <v>0</v>
      </c>
      <c r="EY27" s="599">
        <f t="shared" si="60"/>
        <v>0</v>
      </c>
      <c r="EZ27" s="599">
        <f t="shared" si="60"/>
        <v>0</v>
      </c>
      <c r="FA27" s="599">
        <f t="shared" si="60"/>
        <v>0</v>
      </c>
      <c r="FB27" s="599">
        <f t="shared" si="60"/>
        <v>0</v>
      </c>
      <c r="FC27" s="599">
        <f t="shared" si="60"/>
        <v>0</v>
      </c>
      <c r="FD27" s="599">
        <f t="shared" si="60"/>
        <v>0</v>
      </c>
      <c r="FE27" s="599">
        <f t="shared" si="60"/>
        <v>0</v>
      </c>
      <c r="FF27" s="599">
        <f t="shared" si="60"/>
        <v>0</v>
      </c>
      <c r="FG27" s="599">
        <f t="shared" si="60"/>
        <v>0</v>
      </c>
      <c r="FH27" s="599">
        <f t="shared" si="60"/>
        <v>0</v>
      </c>
      <c r="FI27" s="599">
        <f t="shared" si="60"/>
        <v>0</v>
      </c>
      <c r="FJ27" s="599">
        <f t="shared" si="60"/>
        <v>0</v>
      </c>
      <c r="FK27" s="599">
        <f t="shared" si="60"/>
        <v>0</v>
      </c>
      <c r="FL27" s="599">
        <f t="shared" si="60"/>
        <v>0</v>
      </c>
      <c r="FM27" s="599">
        <f t="shared" si="60"/>
        <v>0</v>
      </c>
      <c r="FN27" s="599">
        <f t="shared" si="60"/>
        <v>0</v>
      </c>
      <c r="FO27" s="599">
        <f t="shared" si="60"/>
        <v>0</v>
      </c>
      <c r="FP27" s="599">
        <f t="shared" si="60"/>
        <v>0</v>
      </c>
      <c r="FQ27" s="599">
        <f t="shared" si="60"/>
        <v>0</v>
      </c>
      <c r="FR27" s="599">
        <f t="shared" si="60"/>
        <v>0</v>
      </c>
      <c r="FS27" s="599">
        <f t="shared" si="60"/>
        <v>0</v>
      </c>
      <c r="FT27" s="599">
        <f t="shared" si="60"/>
        <v>0</v>
      </c>
      <c r="FU27" s="599">
        <f t="shared" si="60"/>
        <v>0</v>
      </c>
      <c r="FV27" s="599">
        <f t="shared" si="60"/>
        <v>0</v>
      </c>
      <c r="FW27" s="599">
        <f t="shared" si="60"/>
        <v>0</v>
      </c>
      <c r="FX27" s="599">
        <f t="shared" si="60"/>
        <v>0</v>
      </c>
      <c r="FY27" s="599">
        <f t="shared" si="60"/>
        <v>0</v>
      </c>
      <c r="FZ27" s="599">
        <f t="shared" si="60"/>
        <v>0</v>
      </c>
      <c r="GA27" s="599">
        <f t="shared" si="60"/>
        <v>0</v>
      </c>
      <c r="GB27" s="599">
        <f t="shared" si="60"/>
        <v>0</v>
      </c>
      <c r="GC27" s="599">
        <f t="shared" si="60"/>
        <v>0</v>
      </c>
      <c r="GD27" s="599">
        <f t="shared" si="60"/>
        <v>0</v>
      </c>
      <c r="GE27" s="599">
        <f t="shared" si="60"/>
        <v>0</v>
      </c>
      <c r="GF27" s="599">
        <f t="shared" si="60"/>
        <v>0</v>
      </c>
      <c r="GG27" s="599">
        <f t="shared" si="60"/>
        <v>0</v>
      </c>
      <c r="GH27" s="599">
        <f t="shared" si="60"/>
        <v>0</v>
      </c>
      <c r="GI27" s="599">
        <f t="shared" si="60"/>
        <v>0</v>
      </c>
      <c r="GJ27" s="599">
        <f t="shared" si="60"/>
        <v>0</v>
      </c>
      <c r="GK27" s="599">
        <f t="shared" si="60"/>
        <v>0</v>
      </c>
      <c r="GL27" s="599">
        <f t="shared" si="60"/>
        <v>0</v>
      </c>
      <c r="GM27" s="599">
        <f t="shared" si="60"/>
        <v>0</v>
      </c>
      <c r="GN27" s="599">
        <f t="shared" si="60"/>
        <v>0</v>
      </c>
      <c r="GO27" s="599">
        <f t="shared" si="60"/>
        <v>0</v>
      </c>
      <c r="GP27" s="599">
        <f t="shared" si="60"/>
        <v>0</v>
      </c>
      <c r="GQ27" s="599">
        <f t="shared" si="60"/>
        <v>0</v>
      </c>
      <c r="GR27" s="599">
        <f t="shared" si="60"/>
        <v>0</v>
      </c>
      <c r="GS27" s="599">
        <f t="shared" si="60"/>
        <v>0</v>
      </c>
      <c r="GT27" s="599">
        <f t="shared" si="60"/>
        <v>0</v>
      </c>
      <c r="GU27" s="599">
        <f t="shared" ref="GU27:JC27" si="61">IF(GU26=1,0,CHOOSE($DY$3,IF(WEEKNUM(GU126,16)=$EB$27,1,0),IF(MONTH(GU126)=$EB$28,1,0)))</f>
        <v>0</v>
      </c>
      <c r="GV27" s="599">
        <f t="shared" si="61"/>
        <v>0</v>
      </c>
      <c r="GW27" s="599">
        <f t="shared" si="61"/>
        <v>0</v>
      </c>
      <c r="GX27" s="599">
        <f t="shared" si="61"/>
        <v>0</v>
      </c>
      <c r="GY27" s="599">
        <f t="shared" si="61"/>
        <v>0</v>
      </c>
      <c r="GZ27" s="599">
        <f t="shared" si="61"/>
        <v>0</v>
      </c>
      <c r="HA27" s="599">
        <f t="shared" si="61"/>
        <v>0</v>
      </c>
      <c r="HB27" s="599">
        <f t="shared" si="61"/>
        <v>0</v>
      </c>
      <c r="HC27" s="599">
        <f t="shared" si="61"/>
        <v>0</v>
      </c>
      <c r="HD27" s="599">
        <f t="shared" si="61"/>
        <v>0</v>
      </c>
      <c r="HE27" s="599">
        <f t="shared" si="61"/>
        <v>0</v>
      </c>
      <c r="HF27" s="599">
        <f t="shared" si="61"/>
        <v>0</v>
      </c>
      <c r="HG27" s="599">
        <f t="shared" si="61"/>
        <v>0</v>
      </c>
      <c r="HH27" s="599">
        <f t="shared" si="61"/>
        <v>0</v>
      </c>
      <c r="HI27" s="599">
        <f t="shared" si="61"/>
        <v>0</v>
      </c>
      <c r="HJ27" s="599">
        <f t="shared" si="61"/>
        <v>0</v>
      </c>
      <c r="HK27" s="599">
        <f t="shared" si="61"/>
        <v>0</v>
      </c>
      <c r="HL27" s="599">
        <f t="shared" si="61"/>
        <v>0</v>
      </c>
      <c r="HM27" s="599">
        <f t="shared" si="61"/>
        <v>0</v>
      </c>
      <c r="HN27" s="599">
        <f t="shared" si="61"/>
        <v>0</v>
      </c>
      <c r="HO27" s="599">
        <f t="shared" si="61"/>
        <v>0</v>
      </c>
      <c r="HP27" s="599">
        <f t="shared" si="61"/>
        <v>0</v>
      </c>
      <c r="HQ27" s="599">
        <f t="shared" si="61"/>
        <v>0</v>
      </c>
      <c r="HR27" s="599">
        <f t="shared" si="61"/>
        <v>0</v>
      </c>
      <c r="HS27" s="599">
        <f t="shared" si="61"/>
        <v>0</v>
      </c>
      <c r="HT27" s="599">
        <f t="shared" si="61"/>
        <v>0</v>
      </c>
      <c r="HU27" s="599">
        <f t="shared" si="61"/>
        <v>0</v>
      </c>
      <c r="HV27" s="599">
        <f t="shared" si="61"/>
        <v>0</v>
      </c>
      <c r="HW27" s="599">
        <f t="shared" si="61"/>
        <v>0</v>
      </c>
      <c r="HX27" s="599">
        <f t="shared" si="61"/>
        <v>0</v>
      </c>
      <c r="HY27" s="599">
        <f t="shared" si="61"/>
        <v>0</v>
      </c>
      <c r="HZ27" s="599">
        <f t="shared" si="61"/>
        <v>0</v>
      </c>
      <c r="IA27" s="599">
        <f t="shared" si="61"/>
        <v>0</v>
      </c>
      <c r="IB27" s="599">
        <f t="shared" si="61"/>
        <v>0</v>
      </c>
      <c r="IC27" s="599">
        <f t="shared" si="61"/>
        <v>0</v>
      </c>
      <c r="ID27" s="599">
        <f t="shared" si="61"/>
        <v>0</v>
      </c>
      <c r="IE27" s="599">
        <f t="shared" si="61"/>
        <v>0</v>
      </c>
      <c r="IF27" s="599">
        <f t="shared" si="61"/>
        <v>0</v>
      </c>
      <c r="IG27" s="599">
        <f t="shared" si="61"/>
        <v>0</v>
      </c>
      <c r="IH27" s="599">
        <f t="shared" si="61"/>
        <v>0</v>
      </c>
      <c r="II27" s="599">
        <f t="shared" si="61"/>
        <v>0</v>
      </c>
      <c r="IJ27" s="599">
        <f t="shared" si="61"/>
        <v>0</v>
      </c>
      <c r="IK27" s="599">
        <f t="shared" si="61"/>
        <v>0</v>
      </c>
      <c r="IL27" s="599">
        <f t="shared" si="61"/>
        <v>0</v>
      </c>
      <c r="IM27" s="599">
        <f t="shared" si="61"/>
        <v>0</v>
      </c>
      <c r="IN27" s="599">
        <f t="shared" si="61"/>
        <v>0</v>
      </c>
      <c r="IO27" s="599">
        <f t="shared" si="61"/>
        <v>0</v>
      </c>
      <c r="IP27" s="599">
        <f t="shared" si="61"/>
        <v>0</v>
      </c>
      <c r="IQ27" s="599">
        <f t="shared" si="61"/>
        <v>0</v>
      </c>
      <c r="IR27" s="599">
        <f t="shared" si="61"/>
        <v>0</v>
      </c>
      <c r="IS27" s="599">
        <f t="shared" si="61"/>
        <v>0</v>
      </c>
      <c r="IT27" s="599">
        <f t="shared" si="61"/>
        <v>0</v>
      </c>
      <c r="IU27" s="599">
        <f t="shared" si="61"/>
        <v>0</v>
      </c>
      <c r="IV27" s="599">
        <f t="shared" si="61"/>
        <v>0</v>
      </c>
      <c r="IW27" s="599">
        <f t="shared" si="61"/>
        <v>0</v>
      </c>
      <c r="IX27" s="599">
        <f t="shared" si="61"/>
        <v>0</v>
      </c>
      <c r="IY27" s="599">
        <f t="shared" si="61"/>
        <v>0</v>
      </c>
      <c r="IZ27" s="599">
        <f t="shared" si="61"/>
        <v>0</v>
      </c>
      <c r="JA27" s="599">
        <f t="shared" si="61"/>
        <v>0</v>
      </c>
      <c r="JB27" s="599">
        <f t="shared" si="61"/>
        <v>0</v>
      </c>
      <c r="JC27" s="599">
        <f t="shared" si="61"/>
        <v>0</v>
      </c>
    </row>
    <row r="28" spans="1:263" ht="12.75" hidden="1" customHeight="1" x14ac:dyDescent="0.25">
      <c r="A28" s="285"/>
      <c r="B28" s="285"/>
      <c r="C28" s="299">
        <v>0.15</v>
      </c>
      <c r="D28" s="295"/>
      <c r="E28" s="276"/>
      <c r="F28" s="285"/>
      <c r="G28" s="285"/>
      <c r="H28" s="285"/>
      <c r="I28" s="285"/>
      <c r="J28" s="285"/>
      <c r="K28" s="285"/>
      <c r="L28" s="285"/>
      <c r="M28" s="287"/>
      <c r="N28" s="287"/>
      <c r="O28" s="287"/>
      <c r="P28" s="287"/>
      <c r="Q28" s="287"/>
      <c r="R28" s="287"/>
      <c r="S28" s="285"/>
      <c r="T28" s="285"/>
      <c r="U28" s="285"/>
      <c r="V28" s="285"/>
      <c r="W28" s="285"/>
      <c r="X28" s="285"/>
      <c r="Y28" s="285"/>
      <c r="Z28" s="285"/>
      <c r="AA28" s="285"/>
      <c r="AB28" s="285"/>
      <c r="AC28" s="285"/>
      <c r="AD28" s="285"/>
      <c r="AE28" s="285"/>
      <c r="AF28" s="285"/>
      <c r="AG28" s="285"/>
      <c r="AH28" s="285"/>
      <c r="AI28" s="285"/>
      <c r="AJ28" s="285"/>
      <c r="AK28" s="285"/>
      <c r="AL28" s="285"/>
      <c r="AM28" s="285"/>
      <c r="AN28" s="285"/>
      <c r="AO28" s="285"/>
      <c r="AP28" s="285"/>
      <c r="AQ28" s="285"/>
      <c r="AR28" s="285"/>
      <c r="AS28" s="285"/>
      <c r="AT28" s="285"/>
      <c r="AU28" s="285"/>
      <c r="AV28" s="285"/>
      <c r="AW28" s="285"/>
      <c r="AX28" s="285"/>
      <c r="AY28" s="285"/>
      <c r="AZ28" s="285"/>
      <c r="BA28" s="285"/>
      <c r="BB28" s="285"/>
      <c r="BC28" s="285"/>
      <c r="BD28" s="285"/>
      <c r="BE28" s="285"/>
      <c r="BF28" s="285"/>
      <c r="BG28" s="285"/>
      <c r="BH28" s="285"/>
      <c r="BI28" s="285"/>
      <c r="BJ28" s="285"/>
      <c r="BK28" s="285"/>
      <c r="BL28" s="285"/>
      <c r="BM28" s="285"/>
      <c r="BN28" s="285"/>
      <c r="BO28" s="285"/>
      <c r="BP28" s="285"/>
      <c r="BQ28" s="285"/>
      <c r="BR28" s="285"/>
      <c r="BS28" s="285"/>
      <c r="BT28" s="285"/>
      <c r="BU28" s="285"/>
      <c r="BV28" s="285"/>
      <c r="BW28" s="285"/>
      <c r="BX28" s="285"/>
      <c r="BY28" s="285"/>
      <c r="BZ28" s="285"/>
      <c r="CA28" s="285"/>
      <c r="CB28" s="285"/>
      <c r="CC28" s="285"/>
      <c r="CD28" s="285"/>
      <c r="CE28" s="285"/>
      <c r="CF28" s="285"/>
      <c r="CG28" s="285"/>
      <c r="CH28" s="285"/>
      <c r="CI28" s="285"/>
      <c r="CJ28" s="285"/>
      <c r="CK28" s="285"/>
      <c r="CL28" s="285"/>
      <c r="CM28" s="285"/>
      <c r="CN28" s="285"/>
      <c r="CO28" s="285"/>
      <c r="CP28" s="285"/>
      <c r="CQ28" s="285"/>
      <c r="CR28" s="285"/>
      <c r="CS28" s="285"/>
      <c r="CT28" s="285"/>
      <c r="CU28" s="285"/>
      <c r="CV28" s="285"/>
      <c r="CW28" s="285"/>
      <c r="CX28" s="285"/>
      <c r="CY28" s="285"/>
      <c r="CZ28" s="285"/>
      <c r="DA28" s="285"/>
      <c r="DB28" s="285"/>
      <c r="DC28" s="285"/>
      <c r="DD28" s="285"/>
      <c r="DE28" s="285"/>
      <c r="DF28" s="285"/>
      <c r="DG28" s="285"/>
      <c r="DH28" s="285"/>
      <c r="DI28" s="285"/>
      <c r="DJ28" s="285"/>
      <c r="DK28" s="285"/>
      <c r="DL28" s="285"/>
      <c r="DM28" s="285"/>
      <c r="DN28" s="285"/>
      <c r="DO28" s="285"/>
      <c r="DP28" s="285"/>
      <c r="DQ28" s="285"/>
      <c r="DR28" s="285"/>
      <c r="DS28" s="309"/>
      <c r="DT28" s="285"/>
      <c r="DU28" s="285"/>
      <c r="DV28" s="285"/>
      <c r="DW28" s="285"/>
      <c r="DX28" s="309"/>
      <c r="DY28" s="285"/>
      <c r="DZ28" s="285"/>
      <c r="EA28" s="1551" t="s">
        <v>1996</v>
      </c>
      <c r="EB28" s="776">
        <f>MONTH('2 Staff List'!$LD$56+3)</f>
        <v>4</v>
      </c>
      <c r="EC28" s="285"/>
      <c r="ED28" s="285"/>
      <c r="EE28" s="285"/>
      <c r="EF28" s="308" t="s">
        <v>1994</v>
      </c>
      <c r="EG28" s="987">
        <f>1*EB35</f>
        <v>0</v>
      </c>
      <c r="EH28" s="150">
        <f>MIN(SUM($EG$27:EH27),10)*$EB$35</f>
        <v>0</v>
      </c>
      <c r="EI28" s="150">
        <f>MIN(SUM($EG$27:EI27),10)*$EB$35</f>
        <v>0</v>
      </c>
      <c r="EJ28" s="150">
        <f>MIN(SUM($EG$27:EJ27),10)*$EB$35</f>
        <v>0</v>
      </c>
      <c r="EK28" s="150">
        <f>MIN(SUM($EG$27:EK27),10)*$EB$35</f>
        <v>0</v>
      </c>
      <c r="EL28" s="150">
        <f>MIN(SUM($EG$27:EL27),10)*$EB$35</f>
        <v>0</v>
      </c>
      <c r="EM28" s="150">
        <f>MIN(SUM($EG$27:EM27),10)*$EB$35</f>
        <v>0</v>
      </c>
      <c r="EN28" s="150">
        <f>MIN(SUM($EG$27:EN27),10)*$EB$35</f>
        <v>0</v>
      </c>
      <c r="EO28" s="150">
        <f>MIN(SUM($EG$27:EO27),10)*$EB$35</f>
        <v>0</v>
      </c>
      <c r="EP28" s="150">
        <f>MIN(SUM($EG$27:EP27),10)*$EB$35</f>
        <v>0</v>
      </c>
      <c r="EQ28" s="150">
        <f>MIN(SUM($EG$27:EQ27),10)*$EB$35</f>
        <v>0</v>
      </c>
      <c r="ER28" s="150">
        <f>MIN(SUM($EG$27:ER27),10)*$EB$35</f>
        <v>0</v>
      </c>
      <c r="ES28" s="150">
        <f>MIN(SUM($EG$27:ES27),10)*$EB$35</f>
        <v>0</v>
      </c>
      <c r="ET28" s="150">
        <f>MIN(SUM($EG$27:ET27),10)*$EB$35</f>
        <v>0</v>
      </c>
      <c r="EU28" s="150">
        <f>MIN(SUM($EG$27:EU27),10)*$EB$35</f>
        <v>0</v>
      </c>
      <c r="EV28" s="150">
        <f>MIN(SUM($EG$27:EV27),10)*$EB$35</f>
        <v>0</v>
      </c>
      <c r="EW28" s="150">
        <f>MIN(SUM($EG$27:EW27),10)*$EB$35</f>
        <v>0</v>
      </c>
      <c r="EX28" s="150">
        <f>MIN(SUM($EG$27:EX27),10)*$EB$35</f>
        <v>0</v>
      </c>
      <c r="EY28" s="150">
        <f>MIN(SUM($EG$27:EY27),10)*$EB$35</f>
        <v>0</v>
      </c>
      <c r="EZ28" s="150">
        <f>MIN(SUM($EG$27:EZ27),10)*$EB$35</f>
        <v>0</v>
      </c>
      <c r="FA28" s="150">
        <f>MIN(SUM($EG$27:FA27),10)*$EB$35</f>
        <v>0</v>
      </c>
      <c r="FB28" s="150">
        <f>MIN(SUM($EG$27:FB27),10)*$EB$35</f>
        <v>0</v>
      </c>
      <c r="FC28" s="150">
        <f>MIN(SUM($EG$27:FC27),10)*$EB$35</f>
        <v>0</v>
      </c>
      <c r="FD28" s="150">
        <f>MIN(SUM($EG$27:FD27),10)*$EB$35</f>
        <v>0</v>
      </c>
      <c r="FE28" s="150">
        <f>MIN(SUM($EG$27:FE27),10)*$EB$35</f>
        <v>0</v>
      </c>
      <c r="FF28" s="150">
        <f>MIN(SUM($EG$27:FF27),10)*$EB$35</f>
        <v>0</v>
      </c>
      <c r="FG28" s="150">
        <f>MIN(SUM($EG$27:FG27),10)*$EB$35</f>
        <v>0</v>
      </c>
      <c r="FH28" s="150">
        <f>MIN(SUM($EG$27:FH27),10)*$EB$35</f>
        <v>0</v>
      </c>
      <c r="FI28" s="150">
        <f>MIN(SUM($EG$27:FI27),10)*$EB$35</f>
        <v>0</v>
      </c>
      <c r="FJ28" s="150">
        <f>MIN(SUM($EG$27:FJ27),10)*$EB$35</f>
        <v>0</v>
      </c>
      <c r="FK28" s="150">
        <f>MIN(SUM($EG$27:FK27),10)*$EB$35</f>
        <v>0</v>
      </c>
      <c r="FL28" s="150">
        <f>MIN(SUM($EG$27:FL27),10)*$EB$35</f>
        <v>0</v>
      </c>
      <c r="FM28" s="150">
        <f>MIN(SUM($EG$27:FM27),10)*$EB$35</f>
        <v>0</v>
      </c>
      <c r="FN28" s="150">
        <f>MIN(SUM($EG$27:FN27),10)*$EB$35</f>
        <v>0</v>
      </c>
      <c r="FO28" s="150">
        <f>MIN(SUM($EG$27:FO27),10)*$EB$35</f>
        <v>0</v>
      </c>
      <c r="FP28" s="150">
        <f>MIN(SUM($EG$27:FP27),10)*$EB$35</f>
        <v>0</v>
      </c>
      <c r="FQ28" s="150">
        <f>MIN(SUM($EG$27:FQ27),10)*$EB$35</f>
        <v>0</v>
      </c>
      <c r="FR28" s="150">
        <f>MIN(SUM($EG$27:FR27),10)*$EB$35</f>
        <v>0</v>
      </c>
      <c r="FS28" s="150">
        <f>MIN(SUM($EG$27:FS27),10)*$EB$35</f>
        <v>0</v>
      </c>
      <c r="FT28" s="150">
        <f>MIN(SUM($EG$27:FT27),10)*$EB$35</f>
        <v>0</v>
      </c>
      <c r="FU28" s="150">
        <f>MIN(SUM($EG$27:FU27),10)*$EB$35</f>
        <v>0</v>
      </c>
      <c r="FV28" s="150">
        <f>MIN(SUM($EG$27:FV27),10)*$EB$35</f>
        <v>0</v>
      </c>
      <c r="FW28" s="150">
        <f>MIN(SUM($EG$27:FW27),10)*$EB$35</f>
        <v>0</v>
      </c>
      <c r="FX28" s="150">
        <f>MIN(SUM($EG$27:FX27),10)*$EB$35</f>
        <v>0</v>
      </c>
      <c r="FY28" s="150">
        <f>MIN(SUM($EG$27:FY27),10)*$EB$35</f>
        <v>0</v>
      </c>
      <c r="FZ28" s="150">
        <f>MIN(SUM($EG$27:FZ27),10)*$EB$35</f>
        <v>0</v>
      </c>
      <c r="GA28" s="150">
        <f>MIN(SUM($EG$27:GA27),10)*$EB$35</f>
        <v>0</v>
      </c>
      <c r="GB28" s="150">
        <f>MIN(SUM($EG$27:GB27),10)*$EB$35</f>
        <v>0</v>
      </c>
      <c r="GC28" s="150">
        <f>MIN(SUM($EG$27:GC27),10)*$EB$35</f>
        <v>0</v>
      </c>
      <c r="GD28" s="150">
        <f>MIN(SUM($EG$27:GD27),10)*$EB$35</f>
        <v>0</v>
      </c>
      <c r="GE28" s="150">
        <f>MIN(SUM($EG$27:GE27),10)*$EB$35</f>
        <v>0</v>
      </c>
      <c r="GF28" s="150">
        <f>MIN(SUM($EG$27:GF27),10)*$EB$35</f>
        <v>0</v>
      </c>
      <c r="GG28" s="150">
        <f>MIN(SUM($EG$27:GG27),10)*$EB$35</f>
        <v>0</v>
      </c>
      <c r="GH28" s="150">
        <f>MIN(SUM($EG$27:GH27),10)*$EB$35</f>
        <v>0</v>
      </c>
      <c r="GI28" s="150">
        <f>MIN(SUM($EG$27:GI27),10)*$EB$35</f>
        <v>0</v>
      </c>
      <c r="GJ28" s="150">
        <f>MIN(SUM($EG$27:GJ27),10)*$EB$35</f>
        <v>0</v>
      </c>
      <c r="GK28" s="150">
        <f>MIN(SUM($EG$27:GK27),10)*$EB$35</f>
        <v>0</v>
      </c>
      <c r="GL28" s="150">
        <f>MIN(SUM($EG$27:GL27),10)*$EB$35</f>
        <v>0</v>
      </c>
      <c r="GM28" s="150">
        <f>MIN(SUM($EG$27:GM27),10)*$EB$35</f>
        <v>0</v>
      </c>
      <c r="GN28" s="150">
        <f>MIN(SUM($EG$27:GN27),10)*$EB$35</f>
        <v>0</v>
      </c>
      <c r="GO28" s="150">
        <f>MIN(SUM($EG$27:GO27),10)*$EB$35</f>
        <v>0</v>
      </c>
      <c r="GP28" s="150">
        <f>MIN(SUM($EG$27:GP27),10)*$EB$35</f>
        <v>0</v>
      </c>
      <c r="GQ28" s="150">
        <f>MIN(SUM($EG$27:GQ27),10)*$EB$35</f>
        <v>0</v>
      </c>
      <c r="GR28" s="150">
        <f>MIN(SUM($EG$27:GR27),10)*$EB$35</f>
        <v>0</v>
      </c>
      <c r="GS28" s="150">
        <f>MIN(SUM($EG$27:GS27),10)*$EB$35</f>
        <v>0</v>
      </c>
      <c r="GT28" s="150">
        <f>MIN(SUM($EG$27:GT27),10)*$EB$35</f>
        <v>0</v>
      </c>
      <c r="GU28" s="150">
        <f>MIN(SUM($EG$27:GU27),10)*$EB$35</f>
        <v>0</v>
      </c>
      <c r="GV28" s="150">
        <f>MIN(SUM($EG$27:GV27),10)*$EB$35</f>
        <v>0</v>
      </c>
      <c r="GW28" s="150">
        <f>MIN(SUM($EG$27:GW27),10)*$EB$35</f>
        <v>0</v>
      </c>
      <c r="GX28" s="150">
        <f>MIN(SUM($EG$27:GX27),10)*$EB$35</f>
        <v>0</v>
      </c>
      <c r="GY28" s="150">
        <f>MIN(SUM($EG$27:GY27),10)*$EB$35</f>
        <v>0</v>
      </c>
      <c r="GZ28" s="150">
        <f>MIN(SUM($EG$27:GZ27),10)*$EB$35</f>
        <v>0</v>
      </c>
      <c r="HA28" s="150">
        <f>MIN(SUM($EG$27:HA27),10)*$EB$35</f>
        <v>0</v>
      </c>
      <c r="HB28" s="150">
        <f>MIN(SUM($EG$27:HB27),10)*$EB$35</f>
        <v>0</v>
      </c>
      <c r="HC28" s="150">
        <f>MIN(SUM($EG$27:HC27),10)*$EB$35</f>
        <v>0</v>
      </c>
      <c r="HD28" s="150">
        <f>MIN(SUM($EG$27:HD27),10)*$EB$35</f>
        <v>0</v>
      </c>
      <c r="HE28" s="150">
        <f>MIN(SUM($EG$27:HE27),10)*$EB$35</f>
        <v>0</v>
      </c>
      <c r="HF28" s="150">
        <f>MIN(SUM($EG$27:HF27),10)*$EB$35</f>
        <v>0</v>
      </c>
      <c r="HG28" s="150">
        <f>MIN(SUM($EG$27:HG27),10)*$EB$35</f>
        <v>0</v>
      </c>
      <c r="HH28" s="150">
        <f>MIN(SUM($EG$27:HH27),10)*$EB$35</f>
        <v>0</v>
      </c>
      <c r="HI28" s="150">
        <f>MIN(SUM($EG$27:HI27),10)*$EB$35</f>
        <v>0</v>
      </c>
      <c r="HJ28" s="150">
        <f>MIN(SUM($EG$27:HJ27),10)*$EB$35</f>
        <v>0</v>
      </c>
      <c r="HK28" s="150">
        <f>MIN(SUM($EG$27:HK27),10)*$EB$35</f>
        <v>0</v>
      </c>
      <c r="HL28" s="150">
        <f>MIN(SUM($EG$27:HL27),10)*$EB$35</f>
        <v>0</v>
      </c>
      <c r="HM28" s="150">
        <f>MIN(SUM($EG$27:HM27),10)*$EB$35</f>
        <v>0</v>
      </c>
      <c r="HN28" s="150">
        <f>MIN(SUM($EG$27:HN27),10)*$EB$35</f>
        <v>0</v>
      </c>
      <c r="HO28" s="150">
        <f>MIN(SUM($EG$27:HO27),10)*$EB$35</f>
        <v>0</v>
      </c>
      <c r="HP28" s="150">
        <f>MIN(SUM($EG$27:HP27),10)*$EB$35</f>
        <v>0</v>
      </c>
      <c r="HQ28" s="150">
        <f>MIN(SUM($EG$27:HQ27),10)*$EB$35</f>
        <v>0</v>
      </c>
      <c r="HR28" s="150">
        <f>MIN(SUM($EG$27:HR27),10)*$EB$35</f>
        <v>0</v>
      </c>
      <c r="HS28" s="150">
        <f>MIN(SUM($EG$27:HS27),10)*$EB$35</f>
        <v>0</v>
      </c>
      <c r="HT28" s="150">
        <f>MIN(SUM($EG$27:HT27),10)*$EB$35</f>
        <v>0</v>
      </c>
      <c r="HU28" s="150">
        <f>MIN(SUM($EG$27:HU27),10)*$EB$35</f>
        <v>0</v>
      </c>
      <c r="HV28" s="150">
        <f>MIN(SUM($EG$27:HV27),10)*$EB$35</f>
        <v>0</v>
      </c>
      <c r="HW28" s="150">
        <f>MIN(SUM($EG$27:HW27),10)*$EB$35</f>
        <v>0</v>
      </c>
      <c r="HX28" s="150">
        <f>MIN(SUM($EG$27:HX27),10)*$EB$35</f>
        <v>0</v>
      </c>
      <c r="HY28" s="150">
        <f>MIN(SUM($EG$27:HY27),10)*$EB$35</f>
        <v>0</v>
      </c>
      <c r="HZ28" s="150">
        <f>MIN(SUM($EG$27:HZ27),10)*$EB$35</f>
        <v>0</v>
      </c>
      <c r="IA28" s="150">
        <f>MIN(SUM($EG$27:IA27),10)*$EB$35</f>
        <v>0</v>
      </c>
      <c r="IB28" s="150">
        <f>MIN(SUM($EG$27:IB27),10)*$EB$35</f>
        <v>0</v>
      </c>
      <c r="IC28" s="150">
        <f>MIN(SUM($EG$27:IC27),10)*$EB$35</f>
        <v>0</v>
      </c>
      <c r="ID28" s="150">
        <f>MIN(SUM($EG$27:ID27),10)*$EB$35</f>
        <v>0</v>
      </c>
      <c r="IE28" s="150">
        <f>MIN(SUM($EG$27:IE27),10)*$EB$35</f>
        <v>0</v>
      </c>
      <c r="IF28" s="150">
        <f>MIN(SUM($EG$27:IF27),10)*$EB$35</f>
        <v>0</v>
      </c>
      <c r="IG28" s="150">
        <f>MIN(SUM($EG$27:IG27),10)*$EB$35</f>
        <v>0</v>
      </c>
      <c r="IH28" s="150">
        <f>MIN(SUM($EG$27:IH27),10)*$EB$35</f>
        <v>0</v>
      </c>
      <c r="II28" s="150">
        <f>MIN(SUM($EG$27:II27),10)*$EB$35</f>
        <v>0</v>
      </c>
      <c r="IJ28" s="150">
        <f>MIN(SUM($EG$27:IJ27),10)*$EB$35</f>
        <v>0</v>
      </c>
      <c r="IK28" s="150">
        <f>MIN(SUM($EG$27:IK27),10)*$EB$35</f>
        <v>0</v>
      </c>
      <c r="IL28" s="150">
        <f>MIN(SUM($EG$27:IL27),10)*$EB$35</f>
        <v>0</v>
      </c>
      <c r="IM28" s="150">
        <f>MIN(SUM($EG$27:IM27),10)*$EB$35</f>
        <v>0</v>
      </c>
      <c r="IN28" s="150">
        <f>MIN(SUM($EG$27:IN27),10)*$EB$35</f>
        <v>0</v>
      </c>
      <c r="IO28" s="150">
        <f>MIN(SUM($EG$27:IO27),10)*$EB$35</f>
        <v>0</v>
      </c>
      <c r="IP28" s="150">
        <f>MIN(SUM($EG$27:IP27),10)*$EB$35</f>
        <v>0</v>
      </c>
      <c r="IQ28" s="150">
        <f>MIN(SUM($EG$27:IQ27),10)*$EB$35</f>
        <v>0</v>
      </c>
      <c r="IR28" s="150">
        <f>MIN(SUM($EG$27:IR27),10)*$EB$35</f>
        <v>0</v>
      </c>
      <c r="IS28" s="150">
        <f>MIN(SUM($EG$27:IS27),10)*$EB$35</f>
        <v>0</v>
      </c>
      <c r="IT28" s="150">
        <f>MIN(SUM($EG$27:IT27),10)*$EB$35</f>
        <v>0</v>
      </c>
      <c r="IU28" s="150">
        <f>MIN(SUM($EG$27:IU27),10)*$EB$35</f>
        <v>0</v>
      </c>
      <c r="IV28" s="150">
        <f>MIN(SUM($EG$27:IV27),10)*$EB$35</f>
        <v>0</v>
      </c>
      <c r="IW28" s="150">
        <f>MIN(SUM($EG$27:IW27),10)*$EB$35</f>
        <v>0</v>
      </c>
      <c r="IX28" s="150">
        <f>MIN(SUM($EG$27:IX27),10)*$EB$35</f>
        <v>0</v>
      </c>
      <c r="IY28" s="150">
        <f>MIN(SUM($EG$27:IY27),10)*$EB$35</f>
        <v>0</v>
      </c>
      <c r="IZ28" s="150">
        <f>MIN(SUM($EG$27:IZ27),10)*$EB$35</f>
        <v>0</v>
      </c>
      <c r="JA28" s="150">
        <f>MIN(SUM($EG$27:JA27),10)*$EB$35</f>
        <v>0</v>
      </c>
      <c r="JB28" s="150">
        <f>MIN(SUM($EG$27:JB27),10)*$EB$35</f>
        <v>0</v>
      </c>
      <c r="JC28" s="150">
        <f>MIN(SUM($EG$27:JC27),10)*$EB$35</f>
        <v>0</v>
      </c>
    </row>
    <row r="29" spans="1:263" ht="12.75" hidden="1" customHeight="1" x14ac:dyDescent="0.25">
      <c r="A29" s="285"/>
      <c r="B29" s="285"/>
      <c r="C29" s="299">
        <v>0.1</v>
      </c>
      <c r="D29" s="295"/>
      <c r="E29" s="276"/>
      <c r="F29" s="285"/>
      <c r="G29" s="285"/>
      <c r="H29" s="285"/>
      <c r="I29" s="285"/>
      <c r="J29" s="285"/>
      <c r="K29" s="285"/>
      <c r="L29" s="285"/>
      <c r="M29" s="285"/>
      <c r="N29" s="285"/>
      <c r="O29" s="285"/>
      <c r="P29" s="287"/>
      <c r="Q29" s="287"/>
      <c r="R29" s="287"/>
      <c r="S29" s="285"/>
      <c r="T29" s="285"/>
      <c r="U29" s="285"/>
      <c r="V29" s="285"/>
      <c r="W29" s="285"/>
      <c r="X29" s="285"/>
      <c r="Y29" s="285"/>
      <c r="Z29" s="285"/>
      <c r="AA29" s="285"/>
      <c r="AB29" s="285"/>
      <c r="AC29" s="285"/>
      <c r="AD29" s="285"/>
      <c r="AE29" s="285"/>
      <c r="AF29" s="285"/>
      <c r="AG29" s="285"/>
      <c r="AH29" s="285"/>
      <c r="AI29" s="285"/>
      <c r="AJ29" s="285"/>
      <c r="AK29" s="285"/>
      <c r="AL29" s="285"/>
      <c r="AM29" s="285"/>
      <c r="AN29" s="285"/>
      <c r="AO29" s="285"/>
      <c r="AP29" s="285"/>
      <c r="AQ29" s="285"/>
      <c r="AR29" s="285"/>
      <c r="AS29" s="285"/>
      <c r="AT29" s="285"/>
      <c r="AU29" s="285"/>
      <c r="AV29" s="285"/>
      <c r="AW29" s="285"/>
      <c r="AX29" s="285"/>
      <c r="AY29" s="285"/>
      <c r="AZ29" s="285"/>
      <c r="BA29" s="285"/>
      <c r="BB29" s="285"/>
      <c r="BC29" s="285"/>
      <c r="BD29" s="285"/>
      <c r="BE29" s="285"/>
      <c r="BF29" s="285"/>
      <c r="BG29" s="285"/>
      <c r="BH29" s="285"/>
      <c r="BI29" s="285"/>
      <c r="BJ29" s="285"/>
      <c r="BK29" s="285"/>
      <c r="BL29" s="285"/>
      <c r="BM29" s="285"/>
      <c r="BN29" s="285"/>
      <c r="BO29" s="285"/>
      <c r="BP29" s="285"/>
      <c r="BQ29" s="285"/>
      <c r="BR29" s="285"/>
      <c r="BS29" s="285"/>
      <c r="BT29" s="285"/>
      <c r="BU29" s="285"/>
      <c r="BV29" s="285"/>
      <c r="BW29" s="285"/>
      <c r="BX29" s="285"/>
      <c r="BY29" s="285"/>
      <c r="BZ29" s="285"/>
      <c r="CA29" s="285"/>
      <c r="CB29" s="285"/>
      <c r="CC29" s="285"/>
      <c r="CD29" s="285"/>
      <c r="CE29" s="285"/>
      <c r="CF29" s="285"/>
      <c r="CG29" s="285"/>
      <c r="CH29" s="285"/>
      <c r="CI29" s="285"/>
      <c r="CJ29" s="285"/>
      <c r="CK29" s="285"/>
      <c r="CL29" s="285"/>
      <c r="CM29" s="285"/>
      <c r="CN29" s="285"/>
      <c r="CO29" s="285"/>
      <c r="CP29" s="285"/>
      <c r="CQ29" s="285"/>
      <c r="CR29" s="285"/>
      <c r="CS29" s="285"/>
      <c r="CT29" s="285"/>
      <c r="CU29" s="285"/>
      <c r="CV29" s="285"/>
      <c r="CW29" s="285"/>
      <c r="CX29" s="285"/>
      <c r="CY29" s="285"/>
      <c r="CZ29" s="285"/>
      <c r="DA29" s="285"/>
      <c r="DB29" s="285"/>
      <c r="DC29" s="285"/>
      <c r="DD29" s="285"/>
      <c r="DE29" s="285"/>
      <c r="DF29" s="285"/>
      <c r="DG29" s="285"/>
      <c r="DH29" s="285"/>
      <c r="DI29" s="285"/>
      <c r="DJ29" s="285"/>
      <c r="DK29" s="285"/>
      <c r="DL29" s="285"/>
      <c r="DM29" s="285"/>
      <c r="DN29" s="285"/>
      <c r="DO29" s="285"/>
      <c r="DP29" s="285"/>
      <c r="DQ29" s="285"/>
      <c r="DR29" s="285"/>
      <c r="DS29" s="309"/>
      <c r="DT29" s="285"/>
      <c r="DU29" s="285"/>
      <c r="DV29" s="285"/>
      <c r="DW29" s="285"/>
      <c r="DX29" s="309"/>
      <c r="DY29" s="285"/>
      <c r="DZ29" s="285"/>
      <c r="EA29" s="309"/>
      <c r="EB29" s="285"/>
      <c r="EC29" s="285"/>
      <c r="ED29" s="285"/>
      <c r="EE29" s="285"/>
      <c r="EF29" s="308" t="s">
        <v>750</v>
      </c>
      <c r="EG29" s="881">
        <v>1</v>
      </c>
      <c r="EH29" s="881">
        <f>COLUMN()-COLUMN($EG$29)+1</f>
        <v>2</v>
      </c>
      <c r="EI29" s="881">
        <f t="shared" ref="EI29:GT29" si="62">COLUMN()-COLUMN($EG$29)+1</f>
        <v>3</v>
      </c>
      <c r="EJ29" s="881">
        <f t="shared" si="62"/>
        <v>4</v>
      </c>
      <c r="EK29" s="881">
        <f t="shared" si="62"/>
        <v>5</v>
      </c>
      <c r="EL29" s="881">
        <f t="shared" si="62"/>
        <v>6</v>
      </c>
      <c r="EM29" s="881">
        <f t="shared" si="62"/>
        <v>7</v>
      </c>
      <c r="EN29" s="881">
        <f t="shared" si="62"/>
        <v>8</v>
      </c>
      <c r="EO29" s="881">
        <f t="shared" si="62"/>
        <v>9</v>
      </c>
      <c r="EP29" s="881">
        <f t="shared" si="62"/>
        <v>10</v>
      </c>
      <c r="EQ29" s="881">
        <f t="shared" si="62"/>
        <v>11</v>
      </c>
      <c r="ER29" s="881">
        <f t="shared" si="62"/>
        <v>12</v>
      </c>
      <c r="ES29" s="881">
        <f t="shared" si="62"/>
        <v>13</v>
      </c>
      <c r="ET29" s="881">
        <f t="shared" si="62"/>
        <v>14</v>
      </c>
      <c r="EU29" s="881">
        <f t="shared" si="62"/>
        <v>15</v>
      </c>
      <c r="EV29" s="881">
        <f t="shared" si="62"/>
        <v>16</v>
      </c>
      <c r="EW29" s="881">
        <f t="shared" si="62"/>
        <v>17</v>
      </c>
      <c r="EX29" s="881">
        <f t="shared" si="62"/>
        <v>18</v>
      </c>
      <c r="EY29" s="881">
        <f t="shared" si="62"/>
        <v>19</v>
      </c>
      <c r="EZ29" s="881">
        <f t="shared" si="62"/>
        <v>20</v>
      </c>
      <c r="FA29" s="881">
        <f t="shared" si="62"/>
        <v>21</v>
      </c>
      <c r="FB29" s="881">
        <f t="shared" si="62"/>
        <v>22</v>
      </c>
      <c r="FC29" s="881">
        <f t="shared" si="62"/>
        <v>23</v>
      </c>
      <c r="FD29" s="881">
        <f t="shared" si="62"/>
        <v>24</v>
      </c>
      <c r="FE29" s="881">
        <f t="shared" si="62"/>
        <v>25</v>
      </c>
      <c r="FF29" s="881">
        <f t="shared" si="62"/>
        <v>26</v>
      </c>
      <c r="FG29" s="881">
        <f t="shared" si="62"/>
        <v>27</v>
      </c>
      <c r="FH29" s="881">
        <f t="shared" si="62"/>
        <v>28</v>
      </c>
      <c r="FI29" s="881">
        <f t="shared" si="62"/>
        <v>29</v>
      </c>
      <c r="FJ29" s="881">
        <f t="shared" si="62"/>
        <v>30</v>
      </c>
      <c r="FK29" s="881">
        <f t="shared" si="62"/>
        <v>31</v>
      </c>
      <c r="FL29" s="881">
        <f t="shared" si="62"/>
        <v>32</v>
      </c>
      <c r="FM29" s="881">
        <f t="shared" si="62"/>
        <v>33</v>
      </c>
      <c r="FN29" s="881">
        <f t="shared" si="62"/>
        <v>34</v>
      </c>
      <c r="FO29" s="881">
        <f t="shared" si="62"/>
        <v>35</v>
      </c>
      <c r="FP29" s="881">
        <f t="shared" si="62"/>
        <v>36</v>
      </c>
      <c r="FQ29" s="881">
        <f t="shared" si="62"/>
        <v>37</v>
      </c>
      <c r="FR29" s="881">
        <f t="shared" si="62"/>
        <v>38</v>
      </c>
      <c r="FS29" s="881">
        <f t="shared" si="62"/>
        <v>39</v>
      </c>
      <c r="FT29" s="881">
        <f t="shared" si="62"/>
        <v>40</v>
      </c>
      <c r="FU29" s="881">
        <f t="shared" si="62"/>
        <v>41</v>
      </c>
      <c r="FV29" s="881">
        <f t="shared" si="62"/>
        <v>42</v>
      </c>
      <c r="FW29" s="881">
        <f t="shared" si="62"/>
        <v>43</v>
      </c>
      <c r="FX29" s="881">
        <f t="shared" si="62"/>
        <v>44</v>
      </c>
      <c r="FY29" s="881">
        <f t="shared" si="62"/>
        <v>45</v>
      </c>
      <c r="FZ29" s="881">
        <f t="shared" si="62"/>
        <v>46</v>
      </c>
      <c r="GA29" s="881">
        <f t="shared" si="62"/>
        <v>47</v>
      </c>
      <c r="GB29" s="881">
        <f t="shared" si="62"/>
        <v>48</v>
      </c>
      <c r="GC29" s="881">
        <f t="shared" si="62"/>
        <v>49</v>
      </c>
      <c r="GD29" s="881">
        <f t="shared" si="62"/>
        <v>50</v>
      </c>
      <c r="GE29" s="881">
        <f t="shared" si="62"/>
        <v>51</v>
      </c>
      <c r="GF29" s="881">
        <f t="shared" si="62"/>
        <v>52</v>
      </c>
      <c r="GG29" s="881">
        <f t="shared" si="62"/>
        <v>53</v>
      </c>
      <c r="GH29" s="881">
        <f t="shared" si="62"/>
        <v>54</v>
      </c>
      <c r="GI29" s="881">
        <f t="shared" si="62"/>
        <v>55</v>
      </c>
      <c r="GJ29" s="881">
        <f t="shared" si="62"/>
        <v>56</v>
      </c>
      <c r="GK29" s="881">
        <f t="shared" si="62"/>
        <v>57</v>
      </c>
      <c r="GL29" s="881">
        <f t="shared" si="62"/>
        <v>58</v>
      </c>
      <c r="GM29" s="881">
        <f t="shared" si="62"/>
        <v>59</v>
      </c>
      <c r="GN29" s="881">
        <f t="shared" si="62"/>
        <v>60</v>
      </c>
      <c r="GO29" s="881">
        <f t="shared" si="62"/>
        <v>61</v>
      </c>
      <c r="GP29" s="881">
        <f t="shared" si="62"/>
        <v>62</v>
      </c>
      <c r="GQ29" s="881">
        <f t="shared" si="62"/>
        <v>63</v>
      </c>
      <c r="GR29" s="881">
        <f t="shared" si="62"/>
        <v>64</v>
      </c>
      <c r="GS29" s="881">
        <f t="shared" si="62"/>
        <v>65</v>
      </c>
      <c r="GT29" s="881">
        <f t="shared" si="62"/>
        <v>66</v>
      </c>
      <c r="GU29" s="881">
        <f t="shared" ref="GU29:JC29" si="63">COLUMN()-COLUMN($EG$29)+1</f>
        <v>67</v>
      </c>
      <c r="GV29" s="881">
        <f t="shared" si="63"/>
        <v>68</v>
      </c>
      <c r="GW29" s="881">
        <f t="shared" si="63"/>
        <v>69</v>
      </c>
      <c r="GX29" s="881">
        <f t="shared" si="63"/>
        <v>70</v>
      </c>
      <c r="GY29" s="881">
        <f t="shared" si="63"/>
        <v>71</v>
      </c>
      <c r="GZ29" s="881">
        <f t="shared" si="63"/>
        <v>72</v>
      </c>
      <c r="HA29" s="881">
        <f t="shared" si="63"/>
        <v>73</v>
      </c>
      <c r="HB29" s="881">
        <f t="shared" si="63"/>
        <v>74</v>
      </c>
      <c r="HC29" s="881">
        <f t="shared" si="63"/>
        <v>75</v>
      </c>
      <c r="HD29" s="881">
        <f t="shared" si="63"/>
        <v>76</v>
      </c>
      <c r="HE29" s="881">
        <f t="shared" si="63"/>
        <v>77</v>
      </c>
      <c r="HF29" s="881">
        <f t="shared" si="63"/>
        <v>78</v>
      </c>
      <c r="HG29" s="881">
        <f t="shared" si="63"/>
        <v>79</v>
      </c>
      <c r="HH29" s="881">
        <f t="shared" si="63"/>
        <v>80</v>
      </c>
      <c r="HI29" s="881">
        <f t="shared" si="63"/>
        <v>81</v>
      </c>
      <c r="HJ29" s="881">
        <f t="shared" si="63"/>
        <v>82</v>
      </c>
      <c r="HK29" s="881">
        <f t="shared" si="63"/>
        <v>83</v>
      </c>
      <c r="HL29" s="881">
        <f t="shared" si="63"/>
        <v>84</v>
      </c>
      <c r="HM29" s="881">
        <f t="shared" si="63"/>
        <v>85</v>
      </c>
      <c r="HN29" s="881">
        <f t="shared" si="63"/>
        <v>86</v>
      </c>
      <c r="HO29" s="881">
        <f t="shared" si="63"/>
        <v>87</v>
      </c>
      <c r="HP29" s="881">
        <f t="shared" si="63"/>
        <v>88</v>
      </c>
      <c r="HQ29" s="881">
        <f t="shared" si="63"/>
        <v>89</v>
      </c>
      <c r="HR29" s="881">
        <f t="shared" si="63"/>
        <v>90</v>
      </c>
      <c r="HS29" s="881">
        <f t="shared" si="63"/>
        <v>91</v>
      </c>
      <c r="HT29" s="881">
        <f t="shared" si="63"/>
        <v>92</v>
      </c>
      <c r="HU29" s="881">
        <f t="shared" si="63"/>
        <v>93</v>
      </c>
      <c r="HV29" s="881">
        <f t="shared" si="63"/>
        <v>94</v>
      </c>
      <c r="HW29" s="881">
        <f t="shared" si="63"/>
        <v>95</v>
      </c>
      <c r="HX29" s="881">
        <f t="shared" si="63"/>
        <v>96</v>
      </c>
      <c r="HY29" s="881">
        <f t="shared" si="63"/>
        <v>97</v>
      </c>
      <c r="HZ29" s="881">
        <f t="shared" si="63"/>
        <v>98</v>
      </c>
      <c r="IA29" s="881">
        <f t="shared" si="63"/>
        <v>99</v>
      </c>
      <c r="IB29" s="881">
        <f t="shared" si="63"/>
        <v>100</v>
      </c>
      <c r="IC29" s="881">
        <f t="shared" si="63"/>
        <v>101</v>
      </c>
      <c r="ID29" s="881">
        <f t="shared" si="63"/>
        <v>102</v>
      </c>
      <c r="IE29" s="881">
        <f t="shared" si="63"/>
        <v>103</v>
      </c>
      <c r="IF29" s="881">
        <f t="shared" si="63"/>
        <v>104</v>
      </c>
      <c r="IG29" s="881">
        <f t="shared" si="63"/>
        <v>105</v>
      </c>
      <c r="IH29" s="881">
        <f t="shared" si="63"/>
        <v>106</v>
      </c>
      <c r="II29" s="881">
        <f t="shared" si="63"/>
        <v>107</v>
      </c>
      <c r="IJ29" s="881">
        <f t="shared" si="63"/>
        <v>108</v>
      </c>
      <c r="IK29" s="881">
        <f t="shared" si="63"/>
        <v>109</v>
      </c>
      <c r="IL29" s="881">
        <f t="shared" si="63"/>
        <v>110</v>
      </c>
      <c r="IM29" s="881">
        <f t="shared" si="63"/>
        <v>111</v>
      </c>
      <c r="IN29" s="881">
        <f t="shared" si="63"/>
        <v>112</v>
      </c>
      <c r="IO29" s="881">
        <f t="shared" si="63"/>
        <v>113</v>
      </c>
      <c r="IP29" s="881">
        <f t="shared" si="63"/>
        <v>114</v>
      </c>
      <c r="IQ29" s="881">
        <f t="shared" si="63"/>
        <v>115</v>
      </c>
      <c r="IR29" s="881">
        <f t="shared" si="63"/>
        <v>116</v>
      </c>
      <c r="IS29" s="881">
        <f t="shared" si="63"/>
        <v>117</v>
      </c>
      <c r="IT29" s="881">
        <f t="shared" si="63"/>
        <v>118</v>
      </c>
      <c r="IU29" s="881">
        <f t="shared" si="63"/>
        <v>119</v>
      </c>
      <c r="IV29" s="881">
        <f t="shared" si="63"/>
        <v>120</v>
      </c>
      <c r="IW29" s="881">
        <f t="shared" si="63"/>
        <v>121</v>
      </c>
      <c r="IX29" s="881">
        <f t="shared" si="63"/>
        <v>122</v>
      </c>
      <c r="IY29" s="881">
        <f t="shared" si="63"/>
        <v>123</v>
      </c>
      <c r="IZ29" s="881">
        <f t="shared" si="63"/>
        <v>124</v>
      </c>
      <c r="JA29" s="881">
        <f t="shared" si="63"/>
        <v>125</v>
      </c>
      <c r="JB29" s="881">
        <f t="shared" si="63"/>
        <v>126</v>
      </c>
      <c r="JC29" s="881">
        <f t="shared" si="63"/>
        <v>127</v>
      </c>
    </row>
    <row r="30" spans="1:263" ht="12.75" hidden="1" customHeight="1" x14ac:dyDescent="0.25">
      <c r="A30" s="285"/>
      <c r="B30" s="285"/>
      <c r="C30" s="299">
        <v>0.05</v>
      </c>
      <c r="D30" s="295"/>
      <c r="E30" s="285"/>
      <c r="F30" s="285"/>
      <c r="G30" s="285"/>
      <c r="H30" s="285"/>
      <c r="I30" s="285"/>
      <c r="J30" s="285"/>
      <c r="K30" s="285"/>
      <c r="L30" s="285"/>
      <c r="M30" s="285"/>
      <c r="N30" s="285"/>
      <c r="O30" s="285"/>
      <c r="P30" s="287"/>
      <c r="Q30" s="287"/>
      <c r="R30" s="287"/>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285"/>
      <c r="AW30" s="285"/>
      <c r="AX30" s="285"/>
      <c r="AY30" s="285"/>
      <c r="AZ30" s="285"/>
      <c r="BA30" s="285"/>
      <c r="BB30" s="285"/>
      <c r="BC30" s="285"/>
      <c r="BD30" s="285"/>
      <c r="BE30" s="285"/>
      <c r="BF30" s="285"/>
      <c r="BG30" s="285"/>
      <c r="BH30" s="285"/>
      <c r="BI30" s="285"/>
      <c r="BJ30" s="285"/>
      <c r="BK30" s="285"/>
      <c r="BL30" s="285"/>
      <c r="BM30" s="285"/>
      <c r="BN30" s="285"/>
      <c r="BO30" s="285"/>
      <c r="BP30" s="285"/>
      <c r="BQ30" s="285"/>
      <c r="BR30" s="285"/>
      <c r="BS30" s="285"/>
      <c r="BT30" s="285"/>
      <c r="BU30" s="285"/>
      <c r="BV30" s="285"/>
      <c r="BW30" s="285"/>
      <c r="BX30" s="285"/>
      <c r="BY30" s="285"/>
      <c r="BZ30" s="285"/>
      <c r="CA30" s="285"/>
      <c r="CB30" s="285"/>
      <c r="CC30" s="285"/>
      <c r="CD30" s="285"/>
      <c r="CE30" s="285"/>
      <c r="CF30" s="285"/>
      <c r="CG30" s="285"/>
      <c r="CH30" s="285"/>
      <c r="CI30" s="285"/>
      <c r="CJ30" s="285"/>
      <c r="CK30" s="285"/>
      <c r="CL30" s="285"/>
      <c r="CM30" s="285"/>
      <c r="CN30" s="285"/>
      <c r="CO30" s="285"/>
      <c r="CP30" s="285"/>
      <c r="CQ30" s="285"/>
      <c r="CR30" s="285"/>
      <c r="CS30" s="285"/>
      <c r="CT30" s="285"/>
      <c r="CU30" s="285"/>
      <c r="CV30" s="285"/>
      <c r="CW30" s="285"/>
      <c r="CX30" s="285"/>
      <c r="CY30" s="285"/>
      <c r="CZ30" s="285"/>
      <c r="DA30" s="285"/>
      <c r="DB30" s="285"/>
      <c r="DC30" s="285"/>
      <c r="DD30" s="285"/>
      <c r="DE30" s="285"/>
      <c r="DF30" s="285"/>
      <c r="DG30" s="285"/>
      <c r="DH30" s="285"/>
      <c r="DI30" s="285"/>
      <c r="DJ30" s="285"/>
      <c r="DK30" s="285"/>
      <c r="DL30" s="285"/>
      <c r="DM30" s="285"/>
      <c r="DN30" s="285"/>
      <c r="DO30" s="285"/>
      <c r="DP30" s="285"/>
      <c r="DQ30" s="285"/>
      <c r="DR30" s="285"/>
      <c r="DS30" s="309"/>
      <c r="DT30" s="285"/>
      <c r="DU30" s="285"/>
      <c r="DV30" s="285"/>
      <c r="DW30" s="285"/>
      <c r="DX30" s="309"/>
      <c r="DY30" s="983"/>
      <c r="DZ30" s="983"/>
      <c r="EA30" s="3677"/>
      <c r="EB30" s="3677"/>
      <c r="EC30" s="983"/>
      <c r="ED30" s="983"/>
      <c r="EE30" s="285"/>
      <c r="EF30" s="285"/>
      <c r="EG30" s="309"/>
      <c r="EH30" s="285"/>
      <c r="EI30" s="285"/>
      <c r="EJ30" s="285"/>
      <c r="EK30" s="285"/>
      <c r="EL30" s="285"/>
      <c r="EM30" s="285"/>
      <c r="EN30" s="285"/>
      <c r="EO30" s="285"/>
      <c r="EP30" s="285"/>
      <c r="EQ30" s="285"/>
      <c r="ER30" s="285"/>
      <c r="ES30" s="285"/>
      <c r="ET30" s="285"/>
      <c r="EU30" s="285"/>
      <c r="EV30" s="285"/>
      <c r="EW30" s="285"/>
      <c r="EX30" s="285"/>
      <c r="EY30" s="285"/>
      <c r="EZ30" s="285"/>
      <c r="FA30" s="285"/>
      <c r="FB30" s="285"/>
      <c r="FC30" s="285"/>
      <c r="FD30" s="285"/>
      <c r="FE30" s="285"/>
      <c r="FF30" s="285"/>
      <c r="FG30" s="285"/>
      <c r="FH30" s="285"/>
      <c r="FI30" s="285"/>
      <c r="FJ30" s="285"/>
      <c r="FK30" s="285"/>
      <c r="FL30" s="285"/>
      <c r="FM30" s="285"/>
      <c r="FN30" s="285"/>
      <c r="FO30" s="285"/>
      <c r="FP30" s="285"/>
      <c r="FQ30" s="285"/>
      <c r="FR30" s="285"/>
      <c r="FS30" s="285"/>
      <c r="FT30" s="285"/>
      <c r="FU30" s="285"/>
      <c r="FV30" s="285"/>
      <c r="FW30" s="285"/>
      <c r="FX30" s="285"/>
      <c r="FY30" s="285"/>
      <c r="FZ30" s="285"/>
      <c r="GA30" s="285"/>
      <c r="GB30" s="285"/>
      <c r="GC30" s="285"/>
      <c r="GD30" s="285"/>
      <c r="GE30" s="285"/>
      <c r="GF30" s="285"/>
      <c r="GG30" s="285"/>
      <c r="GH30" s="285"/>
      <c r="GI30" s="285"/>
      <c r="GJ30" s="285"/>
      <c r="GK30" s="285"/>
      <c r="GL30" s="285"/>
      <c r="GM30" s="285"/>
      <c r="GN30" s="285"/>
      <c r="GO30" s="285"/>
      <c r="GP30" s="285"/>
      <c r="GQ30" s="285"/>
      <c r="GR30" s="285"/>
      <c r="GS30" s="285"/>
      <c r="GT30" s="285"/>
      <c r="GU30" s="285"/>
      <c r="GV30" s="285"/>
      <c r="GW30" s="285"/>
      <c r="GX30" s="285"/>
      <c r="GY30" s="285"/>
      <c r="GZ30" s="285"/>
      <c r="HA30" s="285"/>
      <c r="HB30" s="285"/>
      <c r="HC30" s="285"/>
      <c r="HD30" s="285"/>
      <c r="HE30" s="285"/>
      <c r="HF30" s="285"/>
      <c r="HG30" s="285"/>
      <c r="HH30" s="285"/>
      <c r="HI30" s="285"/>
      <c r="HJ30" s="285"/>
      <c r="HK30" s="285"/>
      <c r="HL30" s="285"/>
      <c r="HM30" s="285"/>
      <c r="HN30" s="285"/>
      <c r="HO30" s="285"/>
      <c r="HP30" s="285"/>
      <c r="HQ30" s="285"/>
      <c r="HR30" s="285"/>
      <c r="HS30" s="285"/>
      <c r="HT30" s="285"/>
      <c r="HU30" s="285"/>
      <c r="HV30" s="285"/>
      <c r="HW30" s="285"/>
      <c r="HX30" s="285"/>
      <c r="HY30" s="285"/>
      <c r="HZ30" s="285"/>
      <c r="IA30" s="285"/>
      <c r="IB30" s="285"/>
      <c r="IC30" s="285"/>
      <c r="ID30" s="285"/>
      <c r="IE30" s="285"/>
      <c r="IF30" s="285"/>
      <c r="IG30" s="285"/>
      <c r="IH30" s="285"/>
      <c r="II30" s="285"/>
      <c r="IJ30" s="285"/>
      <c r="IK30" s="285"/>
      <c r="IL30" s="285"/>
      <c r="IM30" s="285"/>
      <c r="IN30" s="285"/>
      <c r="IO30" s="285"/>
      <c r="IP30" s="285"/>
      <c r="IQ30" s="285"/>
      <c r="IR30" s="285"/>
      <c r="IS30" s="285"/>
      <c r="IT30" s="285"/>
      <c r="IU30" s="285"/>
      <c r="IV30" s="285"/>
      <c r="IW30" s="285"/>
      <c r="IX30" s="285"/>
      <c r="IY30" s="285"/>
      <c r="IZ30" s="285"/>
      <c r="JA30" s="285"/>
      <c r="JB30" s="285"/>
      <c r="JC30" s="285"/>
    </row>
    <row r="31" spans="1:263" ht="12.75" hidden="1" customHeight="1" x14ac:dyDescent="0.25">
      <c r="A31" s="285"/>
      <c r="B31" s="285"/>
      <c r="C31" s="299"/>
      <c r="D31" s="295"/>
      <c r="E31" s="285"/>
      <c r="F31" s="285"/>
      <c r="G31" s="285"/>
      <c r="H31" s="285"/>
      <c r="I31" s="285"/>
      <c r="J31" s="285"/>
      <c r="K31" s="285"/>
      <c r="L31" s="285"/>
      <c r="M31" s="287"/>
      <c r="N31" s="287"/>
      <c r="O31" s="287"/>
      <c r="P31" s="287"/>
      <c r="Q31" s="287"/>
      <c r="R31" s="287"/>
      <c r="S31" s="285"/>
      <c r="T31" s="285"/>
      <c r="U31" s="285"/>
      <c r="V31" s="285"/>
      <c r="W31" s="285"/>
      <c r="X31" s="285"/>
      <c r="Y31" s="285"/>
      <c r="Z31" s="285"/>
      <c r="AA31" s="285"/>
      <c r="AB31" s="285"/>
      <c r="AC31" s="285"/>
      <c r="AD31" s="285"/>
      <c r="AE31" s="285"/>
      <c r="AF31" s="285"/>
      <c r="AG31" s="285"/>
      <c r="AH31" s="285"/>
      <c r="AI31" s="285"/>
      <c r="AJ31" s="285"/>
      <c r="AK31" s="285"/>
      <c r="AL31" s="285"/>
      <c r="AM31" s="285"/>
      <c r="AN31" s="285"/>
      <c r="AO31" s="285"/>
      <c r="AP31" s="285"/>
      <c r="AQ31" s="285"/>
      <c r="AR31" s="285"/>
      <c r="AS31" s="285"/>
      <c r="AT31" s="285"/>
      <c r="AU31" s="285"/>
      <c r="AV31" s="285"/>
      <c r="AW31" s="285"/>
      <c r="AX31" s="285"/>
      <c r="AY31" s="285"/>
      <c r="AZ31" s="285"/>
      <c r="BA31" s="285"/>
      <c r="BB31" s="285"/>
      <c r="BC31" s="285"/>
      <c r="BD31" s="285"/>
      <c r="BE31" s="285"/>
      <c r="BF31" s="285"/>
      <c r="BG31" s="285"/>
      <c r="BH31" s="285"/>
      <c r="BI31" s="285"/>
      <c r="BJ31" s="285"/>
      <c r="BK31" s="285"/>
      <c r="BL31" s="285"/>
      <c r="BM31" s="285"/>
      <c r="BN31" s="285"/>
      <c r="BO31" s="285"/>
      <c r="BP31" s="285"/>
      <c r="BQ31" s="285"/>
      <c r="BR31" s="285"/>
      <c r="BS31" s="285"/>
      <c r="BT31" s="285"/>
      <c r="BU31" s="285"/>
      <c r="BV31" s="285"/>
      <c r="BW31" s="285"/>
      <c r="BX31" s="285"/>
      <c r="BY31" s="285"/>
      <c r="BZ31" s="285"/>
      <c r="CA31" s="285"/>
      <c r="CB31" s="285"/>
      <c r="CC31" s="285"/>
      <c r="CD31" s="285"/>
      <c r="CE31" s="285"/>
      <c r="CF31" s="285"/>
      <c r="CG31" s="285"/>
      <c r="CH31" s="285"/>
      <c r="CI31" s="285"/>
      <c r="CJ31" s="285"/>
      <c r="CK31" s="285"/>
      <c r="CL31" s="285"/>
      <c r="CM31" s="285"/>
      <c r="CN31" s="285"/>
      <c r="CO31" s="285"/>
      <c r="CP31" s="285"/>
      <c r="CQ31" s="285"/>
      <c r="CR31" s="285"/>
      <c r="CS31" s="285"/>
      <c r="CT31" s="285"/>
      <c r="CU31" s="285"/>
      <c r="CV31" s="285"/>
      <c r="CW31" s="285"/>
      <c r="CX31" s="285"/>
      <c r="CY31" s="285"/>
      <c r="CZ31" s="285"/>
      <c r="DA31" s="285"/>
      <c r="DB31" s="285"/>
      <c r="DC31" s="285"/>
      <c r="DD31" s="285"/>
      <c r="DE31" s="285"/>
      <c r="DF31" s="285"/>
      <c r="DG31" s="285"/>
      <c r="DH31" s="285"/>
      <c r="DI31" s="285"/>
      <c r="DJ31" s="285"/>
      <c r="DK31" s="285"/>
      <c r="DL31" s="285"/>
      <c r="DM31" s="285"/>
      <c r="DN31" s="285"/>
      <c r="DO31" s="285"/>
      <c r="DP31" s="285"/>
      <c r="DQ31" s="285"/>
      <c r="DR31" s="285"/>
      <c r="DS31" s="309"/>
      <c r="DT31" s="285"/>
      <c r="DU31" s="285"/>
      <c r="DV31" s="285"/>
      <c r="DW31" s="285"/>
      <c r="DX31" s="309"/>
      <c r="DY31" s="309"/>
      <c r="DZ31" s="983"/>
      <c r="EA31" s="309"/>
      <c r="EB31" s="309"/>
      <c r="EC31" s="308" t="s">
        <v>2115</v>
      </c>
      <c r="ED31" s="304" t="s">
        <v>840</v>
      </c>
      <c r="EE31" s="1016">
        <f>MAX(MAX(EG106:JC106),1)</f>
        <v>1</v>
      </c>
      <c r="EF31" s="285"/>
      <c r="EG31" s="309"/>
      <c r="EH31" s="285"/>
      <c r="EI31" s="285"/>
      <c r="EJ31" s="285"/>
      <c r="EK31" s="285"/>
      <c r="EL31" s="285"/>
      <c r="EM31" s="285"/>
      <c r="EN31" s="285"/>
      <c r="EO31" s="285"/>
      <c r="EP31" s="285"/>
      <c r="EQ31" s="285"/>
      <c r="ER31" s="285"/>
      <c r="ES31" s="285"/>
      <c r="ET31" s="285"/>
      <c r="EU31" s="285"/>
      <c r="EV31" s="285"/>
      <c r="EW31" s="285"/>
      <c r="EX31" s="285"/>
      <c r="EY31" s="285"/>
      <c r="EZ31" s="285"/>
      <c r="FA31" s="285"/>
      <c r="FB31" s="285"/>
      <c r="FC31" s="285"/>
      <c r="FD31" s="285"/>
      <c r="FE31" s="285"/>
      <c r="FF31" s="285"/>
      <c r="FG31" s="285"/>
      <c r="FH31" s="285"/>
      <c r="FI31" s="285"/>
      <c r="FJ31" s="285"/>
      <c r="FK31" s="285"/>
      <c r="FL31" s="285"/>
      <c r="FM31" s="285"/>
      <c r="FN31" s="285"/>
      <c r="FO31" s="285"/>
      <c r="FP31" s="285"/>
      <c r="FQ31" s="285"/>
      <c r="FR31" s="285"/>
      <c r="FS31" s="285"/>
      <c r="FT31" s="285"/>
      <c r="FU31" s="285"/>
      <c r="FV31" s="285"/>
      <c r="FW31" s="285"/>
      <c r="FX31" s="285"/>
      <c r="FY31" s="285"/>
      <c r="FZ31" s="285"/>
      <c r="GA31" s="285"/>
      <c r="GB31" s="285"/>
      <c r="GC31" s="285"/>
      <c r="GD31" s="285"/>
      <c r="GE31" s="285"/>
      <c r="GF31" s="285"/>
      <c r="GG31" s="285"/>
      <c r="GH31" s="285"/>
      <c r="GI31" s="285"/>
      <c r="GJ31" s="285"/>
      <c r="GK31" s="285"/>
      <c r="GL31" s="285"/>
      <c r="GM31" s="285"/>
      <c r="GN31" s="285"/>
      <c r="GO31" s="285"/>
      <c r="GP31" s="285"/>
      <c r="GQ31" s="285"/>
      <c r="GR31" s="285"/>
      <c r="GS31" s="285"/>
      <c r="GT31" s="285"/>
      <c r="GU31" s="285"/>
      <c r="GV31" s="285"/>
      <c r="GW31" s="285"/>
      <c r="GX31" s="285"/>
      <c r="GY31" s="285"/>
      <c r="GZ31" s="285"/>
      <c r="HA31" s="285"/>
      <c r="HB31" s="285"/>
      <c r="HC31" s="285"/>
      <c r="HD31" s="285"/>
      <c r="HE31" s="285"/>
      <c r="HF31" s="285"/>
      <c r="HG31" s="285"/>
      <c r="HH31" s="285"/>
      <c r="HI31" s="285"/>
      <c r="HJ31" s="285"/>
      <c r="HK31" s="285"/>
      <c r="HL31" s="285"/>
      <c r="HM31" s="285"/>
      <c r="HN31" s="285"/>
      <c r="HO31" s="285"/>
      <c r="HP31" s="285"/>
      <c r="HQ31" s="285"/>
      <c r="HR31" s="285"/>
      <c r="HS31" s="285"/>
      <c r="HT31" s="285"/>
      <c r="HU31" s="285"/>
      <c r="HV31" s="285"/>
      <c r="HW31" s="285"/>
      <c r="HX31" s="285"/>
      <c r="HY31" s="285"/>
      <c r="HZ31" s="285"/>
      <c r="IA31" s="285"/>
      <c r="IB31" s="285"/>
      <c r="IC31" s="285"/>
      <c r="ID31" s="285"/>
      <c r="IE31" s="285"/>
      <c r="IF31" s="285"/>
      <c r="IG31" s="285"/>
      <c r="IH31" s="285"/>
      <c r="II31" s="285"/>
      <c r="IJ31" s="285"/>
      <c r="IK31" s="285"/>
      <c r="IL31" s="285"/>
      <c r="IM31" s="285"/>
      <c r="IN31" s="285"/>
      <c r="IO31" s="285"/>
      <c r="IP31" s="285"/>
      <c r="IQ31" s="285"/>
      <c r="IR31" s="285"/>
      <c r="IS31" s="285"/>
      <c r="IT31" s="285"/>
      <c r="IU31" s="285"/>
      <c r="IV31" s="285"/>
      <c r="IW31" s="285"/>
      <c r="IX31" s="285"/>
      <c r="IY31" s="285"/>
      <c r="IZ31" s="285"/>
      <c r="JA31" s="285"/>
      <c r="JB31" s="285"/>
      <c r="JC31" s="285"/>
    </row>
    <row r="32" spans="1:263" ht="12.75" hidden="1" customHeight="1" x14ac:dyDescent="0.25">
      <c r="A32" s="285"/>
      <c r="B32" s="285"/>
      <c r="C32" s="299">
        <v>-0.05</v>
      </c>
      <c r="D32" s="285"/>
      <c r="E32" s="285"/>
      <c r="F32" s="285"/>
      <c r="G32" s="285"/>
      <c r="H32" s="285"/>
      <c r="I32" s="285"/>
      <c r="J32" s="285"/>
      <c r="K32" s="285"/>
      <c r="L32" s="285"/>
      <c r="M32" s="287"/>
      <c r="N32" s="287"/>
      <c r="O32" s="287"/>
      <c r="P32" s="287"/>
      <c r="Q32" s="287"/>
      <c r="R32" s="287"/>
      <c r="S32" s="285"/>
      <c r="T32" s="285"/>
      <c r="U32" s="285"/>
      <c r="V32" s="285"/>
      <c r="W32" s="285"/>
      <c r="X32" s="285"/>
      <c r="Y32" s="285"/>
      <c r="Z32" s="285"/>
      <c r="AA32" s="285"/>
      <c r="AB32" s="285"/>
      <c r="AC32" s="285"/>
      <c r="AD32" s="285"/>
      <c r="AE32" s="285"/>
      <c r="AF32" s="285"/>
      <c r="AG32" s="285"/>
      <c r="AH32" s="285"/>
      <c r="AI32" s="285"/>
      <c r="AJ32" s="285"/>
      <c r="AK32" s="285"/>
      <c r="AL32" s="285"/>
      <c r="AM32" s="285"/>
      <c r="AN32" s="285"/>
      <c r="AO32" s="285"/>
      <c r="AP32" s="285"/>
      <c r="AQ32" s="285"/>
      <c r="AR32" s="285"/>
      <c r="AS32" s="285"/>
      <c r="AT32" s="285"/>
      <c r="AU32" s="285"/>
      <c r="AV32" s="285"/>
      <c r="AW32" s="285"/>
      <c r="AX32" s="285"/>
      <c r="AY32" s="285"/>
      <c r="AZ32" s="285"/>
      <c r="BA32" s="285"/>
      <c r="BB32" s="285"/>
      <c r="BC32" s="285"/>
      <c r="BD32" s="285"/>
      <c r="BE32" s="285"/>
      <c r="BF32" s="285"/>
      <c r="BG32" s="285"/>
      <c r="BH32" s="285"/>
      <c r="BI32" s="285"/>
      <c r="BJ32" s="285"/>
      <c r="BK32" s="285"/>
      <c r="BL32" s="285"/>
      <c r="BM32" s="285"/>
      <c r="BN32" s="285"/>
      <c r="BO32" s="285"/>
      <c r="BP32" s="285"/>
      <c r="BQ32" s="285"/>
      <c r="BR32" s="285"/>
      <c r="BS32" s="285"/>
      <c r="BT32" s="285"/>
      <c r="BU32" s="285"/>
      <c r="BV32" s="285"/>
      <c r="BW32" s="285"/>
      <c r="BX32" s="285"/>
      <c r="BY32" s="285"/>
      <c r="BZ32" s="285"/>
      <c r="CA32" s="285"/>
      <c r="CB32" s="285"/>
      <c r="CC32" s="285"/>
      <c r="CD32" s="285"/>
      <c r="CE32" s="285"/>
      <c r="CF32" s="285"/>
      <c r="CG32" s="285"/>
      <c r="CH32" s="285"/>
      <c r="CI32" s="285"/>
      <c r="CJ32" s="285"/>
      <c r="CK32" s="285"/>
      <c r="CL32" s="285"/>
      <c r="CM32" s="285"/>
      <c r="CN32" s="285"/>
      <c r="CO32" s="285"/>
      <c r="CP32" s="285"/>
      <c r="CQ32" s="285"/>
      <c r="CR32" s="285"/>
      <c r="CS32" s="285"/>
      <c r="CT32" s="285"/>
      <c r="CU32" s="285"/>
      <c r="CV32" s="285"/>
      <c r="CW32" s="285"/>
      <c r="CX32" s="285"/>
      <c r="CY32" s="285"/>
      <c r="CZ32" s="285"/>
      <c r="DA32" s="285"/>
      <c r="DB32" s="285"/>
      <c r="DC32" s="285"/>
      <c r="DD32" s="285"/>
      <c r="DE32" s="285"/>
      <c r="DF32" s="285"/>
      <c r="DG32" s="285"/>
      <c r="DH32" s="285"/>
      <c r="DI32" s="285"/>
      <c r="DJ32" s="285"/>
      <c r="DK32" s="285"/>
      <c r="DL32" s="285"/>
      <c r="DM32" s="285"/>
      <c r="DN32" s="285"/>
      <c r="DO32" s="285"/>
      <c r="DP32" s="285"/>
      <c r="DQ32" s="285"/>
      <c r="DR32" s="285"/>
      <c r="DS32" s="309"/>
      <c r="DT32" s="285"/>
      <c r="DU32" s="285"/>
      <c r="DV32" s="285"/>
      <c r="DW32" s="285"/>
      <c r="DX32" s="309"/>
      <c r="DY32" s="285"/>
      <c r="DZ32" s="285"/>
      <c r="EA32" s="285"/>
      <c r="EB32" s="285"/>
      <c r="EC32" s="285"/>
      <c r="ED32" s="285"/>
      <c r="EE32" s="285"/>
      <c r="EF32" s="285"/>
      <c r="EG32" s="309"/>
      <c r="EH32" s="285"/>
      <c r="EI32" s="285"/>
      <c r="EJ32" s="285"/>
      <c r="EK32" s="285"/>
      <c r="EL32" s="285"/>
      <c r="EM32" s="285"/>
      <c r="EN32" s="285"/>
      <c r="EO32" s="285"/>
      <c r="EP32" s="285"/>
      <c r="EQ32" s="285"/>
      <c r="ER32" s="285"/>
      <c r="ES32" s="285"/>
      <c r="ET32" s="285"/>
      <c r="EU32" s="285"/>
      <c r="EV32" s="285"/>
      <c r="EW32" s="285"/>
      <c r="EX32" s="285"/>
      <c r="EY32" s="285"/>
      <c r="EZ32" s="285"/>
      <c r="FA32" s="285"/>
      <c r="FB32" s="285"/>
      <c r="FC32" s="285"/>
      <c r="FD32" s="285"/>
      <c r="FE32" s="285"/>
      <c r="FF32" s="285"/>
      <c r="FG32" s="285"/>
      <c r="FH32" s="285"/>
      <c r="FI32" s="285"/>
      <c r="FJ32" s="285"/>
      <c r="FK32" s="285"/>
      <c r="FL32" s="285"/>
      <c r="FM32" s="285"/>
      <c r="FN32" s="285"/>
      <c r="FO32" s="285"/>
      <c r="FP32" s="285"/>
      <c r="FQ32" s="285"/>
      <c r="FR32" s="285"/>
      <c r="FS32" s="285"/>
      <c r="FT32" s="285"/>
      <c r="FU32" s="285"/>
      <c r="FV32" s="285"/>
      <c r="FW32" s="285"/>
      <c r="FX32" s="285"/>
      <c r="FY32" s="285"/>
      <c r="FZ32" s="285"/>
      <c r="GA32" s="285"/>
      <c r="GB32" s="285"/>
      <c r="GC32" s="285"/>
      <c r="GD32" s="285"/>
      <c r="GE32" s="285"/>
      <c r="GF32" s="285"/>
      <c r="GG32" s="285"/>
      <c r="GH32" s="285"/>
      <c r="GI32" s="285"/>
      <c r="GJ32" s="285"/>
      <c r="GK32" s="285"/>
      <c r="GL32" s="285"/>
      <c r="GM32" s="285"/>
      <c r="GN32" s="285"/>
      <c r="GO32" s="285"/>
      <c r="GP32" s="285"/>
      <c r="GQ32" s="285"/>
      <c r="GR32" s="285"/>
      <c r="GS32" s="285"/>
      <c r="GT32" s="285"/>
      <c r="GU32" s="285"/>
      <c r="GV32" s="285"/>
      <c r="GW32" s="285"/>
      <c r="GX32" s="285"/>
      <c r="GY32" s="285"/>
      <c r="GZ32" s="285"/>
      <c r="HA32" s="285"/>
      <c r="HB32" s="285"/>
      <c r="HC32" s="285"/>
      <c r="HD32" s="285"/>
      <c r="HE32" s="285"/>
      <c r="HF32" s="285"/>
      <c r="HG32" s="285"/>
      <c r="HH32" s="285"/>
      <c r="HI32" s="285"/>
      <c r="HJ32" s="285"/>
      <c r="HK32" s="285"/>
      <c r="HL32" s="285"/>
      <c r="HM32" s="285"/>
      <c r="HN32" s="285"/>
      <c r="HO32" s="285"/>
      <c r="HP32" s="285"/>
      <c r="HQ32" s="285"/>
      <c r="HR32" s="285"/>
      <c r="HS32" s="285"/>
      <c r="HT32" s="285"/>
      <c r="HU32" s="285"/>
      <c r="HV32" s="285"/>
      <c r="HW32" s="285"/>
      <c r="HX32" s="285"/>
      <c r="HY32" s="285"/>
      <c r="HZ32" s="285"/>
      <c r="IA32" s="285"/>
      <c r="IB32" s="285"/>
      <c r="IC32" s="285"/>
      <c r="ID32" s="285"/>
      <c r="IE32" s="285"/>
      <c r="IF32" s="285"/>
      <c r="IG32" s="285"/>
      <c r="IH32" s="285"/>
      <c r="II32" s="285"/>
      <c r="IJ32" s="285"/>
      <c r="IK32" s="285"/>
      <c r="IL32" s="285"/>
      <c r="IM32" s="285"/>
      <c r="IN32" s="285"/>
      <c r="IO32" s="285"/>
      <c r="IP32" s="285"/>
      <c r="IQ32" s="285"/>
      <c r="IR32" s="285"/>
      <c r="IS32" s="285"/>
      <c r="IT32" s="285"/>
      <c r="IU32" s="285"/>
      <c r="IV32" s="285"/>
      <c r="IW32" s="285"/>
      <c r="IX32" s="285"/>
      <c r="IY32" s="285"/>
      <c r="IZ32" s="285"/>
      <c r="JA32" s="285"/>
      <c r="JB32" s="285"/>
      <c r="JC32" s="285"/>
    </row>
    <row r="33" spans="1:266" ht="12.75" hidden="1" customHeight="1" x14ac:dyDescent="0.25">
      <c r="A33" s="285"/>
      <c r="B33" s="285"/>
      <c r="C33" s="299">
        <v>-0.1</v>
      </c>
      <c r="D33" s="285"/>
      <c r="E33" s="285"/>
      <c r="F33" s="285"/>
      <c r="G33" s="285"/>
      <c r="H33" s="285"/>
      <c r="I33" s="285"/>
      <c r="J33" s="285"/>
      <c r="K33" s="285"/>
      <c r="L33" s="285"/>
      <c r="M33" s="287"/>
      <c r="N33" s="287"/>
      <c r="O33" s="287"/>
      <c r="P33" s="287"/>
      <c r="Q33" s="287"/>
      <c r="R33" s="287"/>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309"/>
      <c r="DT33" s="285"/>
      <c r="DU33" s="285"/>
      <c r="DV33" s="285"/>
      <c r="DW33" s="285"/>
      <c r="DX33" s="309"/>
      <c r="DY33" s="285"/>
      <c r="DZ33" s="285"/>
      <c r="EA33" s="1551" t="s">
        <v>2529</v>
      </c>
      <c r="EB33" s="2137">
        <f>INDEX(EG28:JD28,MATCH(MAX(EG127:JD127),EG127:JD127,0))</f>
        <v>0</v>
      </c>
      <c r="EC33" s="309"/>
      <c r="ED33" s="309"/>
      <c r="EE33" s="309"/>
      <c r="EF33" s="309"/>
      <c r="EG33" s="309"/>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row>
    <row r="34" spans="1:266" ht="12.75" hidden="1" customHeight="1" x14ac:dyDescent="0.25">
      <c r="A34" s="285"/>
      <c r="B34" s="285"/>
      <c r="C34" s="299">
        <v>-0.15</v>
      </c>
      <c r="D34" s="295"/>
      <c r="E34" s="285"/>
      <c r="F34" s="285"/>
      <c r="G34" s="285"/>
      <c r="H34" s="285"/>
      <c r="I34" s="285"/>
      <c r="J34" s="285"/>
      <c r="K34" s="285"/>
      <c r="L34" s="285"/>
      <c r="M34" s="287"/>
      <c r="N34" s="287"/>
      <c r="O34" s="287"/>
      <c r="P34" s="287"/>
      <c r="Q34" s="287"/>
      <c r="R34" s="287"/>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309"/>
      <c r="DT34" s="285"/>
      <c r="DU34" s="285"/>
      <c r="DV34" s="285"/>
      <c r="DW34" s="285"/>
      <c r="DX34" s="309"/>
      <c r="DY34" s="285"/>
      <c r="DZ34" s="285"/>
      <c r="EA34" s="1551" t="s">
        <v>2530</v>
      </c>
      <c r="EB34" s="2137">
        <f>INDEX(EG26:JD26,MATCH(MAX(EG127:JD127),EG127:JD127,0))</f>
        <v>0</v>
      </c>
      <c r="EC34" s="309"/>
      <c r="ED34" s="309"/>
      <c r="EE34" s="309"/>
      <c r="EF34" s="309"/>
      <c r="EG34" s="309"/>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row>
    <row r="35" spans="1:266" ht="12.75" hidden="1" customHeight="1" x14ac:dyDescent="0.25">
      <c r="A35" s="285"/>
      <c r="B35" s="285"/>
      <c r="C35" s="299">
        <v>-0.2</v>
      </c>
      <c r="D35" s="295"/>
      <c r="E35" s="285"/>
      <c r="F35" s="285"/>
      <c r="G35" s="285"/>
      <c r="H35" s="285"/>
      <c r="I35" s="285"/>
      <c r="J35" s="285"/>
      <c r="K35" s="285"/>
      <c r="L35" s="285"/>
      <c r="M35" s="287"/>
      <c r="N35" s="287"/>
      <c r="O35" s="287"/>
      <c r="P35" s="287"/>
      <c r="Q35" s="287"/>
      <c r="R35" s="287"/>
      <c r="S35" s="285"/>
      <c r="T35" s="285"/>
      <c r="U35" s="285"/>
      <c r="V35" s="285"/>
      <c r="W35" s="285"/>
      <c r="X35" s="285"/>
      <c r="Y35" s="285"/>
      <c r="Z35" s="285"/>
      <c r="AA35" s="285"/>
      <c r="AB35" s="285"/>
      <c r="AC35" s="285"/>
      <c r="AD35" s="285"/>
      <c r="AE35" s="285"/>
      <c r="AF35" s="285"/>
      <c r="AG35" s="285"/>
      <c r="AH35" s="285"/>
      <c r="AI35" s="285"/>
      <c r="AJ35" s="285"/>
      <c r="AK35" s="285"/>
      <c r="AL35" s="285"/>
      <c r="AM35" s="285"/>
      <c r="AN35" s="285"/>
      <c r="AO35" s="285"/>
      <c r="AP35" s="285"/>
      <c r="AQ35" s="285"/>
      <c r="AR35" s="285"/>
      <c r="AS35" s="285"/>
      <c r="AT35" s="285"/>
      <c r="AU35" s="285"/>
      <c r="AV35" s="285"/>
      <c r="AW35" s="285"/>
      <c r="AX35" s="285"/>
      <c r="AY35" s="285"/>
      <c r="AZ35" s="285"/>
      <c r="BA35" s="285"/>
      <c r="BB35" s="285"/>
      <c r="BC35" s="285"/>
      <c r="BD35" s="285"/>
      <c r="BE35" s="285"/>
      <c r="BF35" s="285"/>
      <c r="BG35" s="285"/>
      <c r="BH35" s="285"/>
      <c r="BI35" s="285"/>
      <c r="BJ35" s="285"/>
      <c r="BK35" s="285"/>
      <c r="BL35" s="285"/>
      <c r="BM35" s="285"/>
      <c r="BN35" s="285"/>
      <c r="BO35" s="285"/>
      <c r="BP35" s="285"/>
      <c r="BQ35" s="285"/>
      <c r="BR35" s="285"/>
      <c r="BS35" s="285"/>
      <c r="BT35" s="285"/>
      <c r="BU35" s="285"/>
      <c r="BV35" s="285"/>
      <c r="BW35" s="285"/>
      <c r="BX35" s="285"/>
      <c r="BY35" s="285"/>
      <c r="BZ35" s="285"/>
      <c r="CA35" s="285"/>
      <c r="CB35" s="285"/>
      <c r="CC35" s="285"/>
      <c r="CD35" s="285"/>
      <c r="CE35" s="285"/>
      <c r="CF35" s="285"/>
      <c r="CG35" s="285"/>
      <c r="CH35" s="285"/>
      <c r="CI35" s="285"/>
      <c r="CJ35" s="285"/>
      <c r="CK35" s="285"/>
      <c r="CL35" s="285"/>
      <c r="CM35" s="285"/>
      <c r="CN35" s="285"/>
      <c r="CO35" s="285"/>
      <c r="CP35" s="285"/>
      <c r="CQ35" s="285"/>
      <c r="CR35" s="285"/>
      <c r="CS35" s="285"/>
      <c r="CT35" s="285"/>
      <c r="CU35" s="285"/>
      <c r="CV35" s="285"/>
      <c r="CW35" s="285"/>
      <c r="CX35" s="285"/>
      <c r="CY35" s="285"/>
      <c r="CZ35" s="285"/>
      <c r="DA35" s="285"/>
      <c r="DB35" s="285"/>
      <c r="DC35" s="285"/>
      <c r="DD35" s="285"/>
      <c r="DE35" s="285"/>
      <c r="DF35" s="285"/>
      <c r="DG35" s="285"/>
      <c r="DH35" s="285"/>
      <c r="DI35" s="285"/>
      <c r="DJ35" s="285"/>
      <c r="DK35" s="285"/>
      <c r="DL35" s="285"/>
      <c r="DM35" s="285"/>
      <c r="DN35" s="285"/>
      <c r="DO35" s="285"/>
      <c r="DP35" s="285"/>
      <c r="DQ35" s="285"/>
      <c r="DR35" s="285"/>
      <c r="DS35" s="309"/>
      <c r="DT35" s="285"/>
      <c r="DU35" s="285"/>
      <c r="DV35" s="285"/>
      <c r="DW35" s="285"/>
      <c r="DX35" s="309"/>
      <c r="DY35" s="285"/>
      <c r="DZ35" s="285"/>
      <c r="EA35" s="1551" t="s">
        <v>2789</v>
      </c>
      <c r="EB35" s="2137">
        <f>IF(ISBLANK(EG126),0,1)</f>
        <v>0</v>
      </c>
      <c r="EC35" s="285"/>
      <c r="ED35" s="285"/>
      <c r="EE35" s="285"/>
      <c r="EF35" s="285"/>
      <c r="EG35" s="309"/>
      <c r="EH35" s="285"/>
      <c r="EI35" s="285"/>
      <c r="EJ35" s="285"/>
      <c r="EK35" s="285"/>
      <c r="EL35" s="285"/>
      <c r="EM35" s="285"/>
      <c r="EN35" s="285"/>
      <c r="EO35" s="285"/>
      <c r="EP35" s="285"/>
      <c r="EQ35" s="285"/>
      <c r="ER35" s="285"/>
      <c r="ES35" s="285"/>
      <c r="ET35" s="285"/>
      <c r="EU35" s="285"/>
      <c r="EV35" s="285"/>
      <c r="EW35" s="285"/>
      <c r="EX35" s="285"/>
      <c r="EY35" s="285"/>
      <c r="EZ35" s="285"/>
      <c r="FA35" s="285"/>
      <c r="FB35" s="285"/>
      <c r="FC35" s="285"/>
      <c r="FD35" s="285"/>
      <c r="FE35" s="285"/>
      <c r="FF35" s="285"/>
      <c r="FG35" s="285"/>
      <c r="FH35" s="285"/>
      <c r="FI35" s="285"/>
      <c r="FJ35" s="285"/>
      <c r="FK35" s="285"/>
      <c r="FL35" s="285"/>
      <c r="FM35" s="285"/>
      <c r="FN35" s="285"/>
      <c r="FO35" s="285"/>
      <c r="FP35" s="285"/>
      <c r="FQ35" s="285"/>
      <c r="FR35" s="285"/>
      <c r="FS35" s="285"/>
      <c r="FT35" s="285"/>
      <c r="FU35" s="285"/>
      <c r="FV35" s="285"/>
      <c r="FW35" s="285"/>
      <c r="FX35" s="285"/>
      <c r="FY35" s="285"/>
      <c r="FZ35" s="285"/>
      <c r="GA35" s="285"/>
      <c r="GB35" s="285"/>
      <c r="GC35" s="285"/>
      <c r="GD35" s="285"/>
      <c r="GE35" s="285"/>
      <c r="GF35" s="285"/>
      <c r="GG35" s="285"/>
      <c r="GH35" s="285"/>
      <c r="GI35" s="285"/>
      <c r="GJ35" s="285"/>
      <c r="GK35" s="285"/>
      <c r="GL35" s="285"/>
      <c r="GM35" s="285"/>
      <c r="GN35" s="285"/>
      <c r="GO35" s="285"/>
      <c r="GP35" s="285"/>
      <c r="GQ35" s="285"/>
      <c r="GR35" s="285"/>
      <c r="GS35" s="285"/>
      <c r="GT35" s="285"/>
      <c r="GU35" s="285"/>
      <c r="GV35" s="285"/>
      <c r="GW35" s="285"/>
      <c r="GX35" s="285"/>
      <c r="GY35" s="285"/>
      <c r="GZ35" s="285"/>
      <c r="HA35" s="285"/>
      <c r="HB35" s="285"/>
      <c r="HC35" s="285"/>
      <c r="HD35" s="285"/>
      <c r="HE35" s="285"/>
      <c r="HF35" s="285"/>
      <c r="HG35" s="285"/>
      <c r="HH35" s="285"/>
      <c r="HI35" s="285"/>
      <c r="HJ35" s="285"/>
      <c r="HK35" s="285"/>
      <c r="HL35" s="285"/>
      <c r="HM35" s="285"/>
      <c r="HN35" s="285"/>
      <c r="HO35" s="285"/>
      <c r="HP35" s="285"/>
      <c r="HQ35" s="285"/>
      <c r="HR35" s="285"/>
      <c r="HS35" s="285"/>
      <c r="HT35" s="285"/>
      <c r="HU35" s="285"/>
      <c r="HV35" s="285"/>
      <c r="HW35" s="285"/>
      <c r="HX35" s="285"/>
      <c r="HY35" s="285"/>
      <c r="HZ35" s="285"/>
      <c r="IA35" s="285"/>
      <c r="IB35" s="285"/>
      <c r="IC35" s="285"/>
      <c r="ID35" s="285"/>
      <c r="IE35" s="285"/>
      <c r="IF35" s="285"/>
      <c r="IG35" s="285"/>
      <c r="IH35" s="285"/>
      <c r="II35" s="285"/>
      <c r="IJ35" s="285"/>
      <c r="IK35" s="285"/>
      <c r="IL35" s="285"/>
      <c r="IM35" s="285"/>
      <c r="IN35" s="285"/>
      <c r="IO35" s="285"/>
      <c r="IP35" s="285"/>
      <c r="IQ35" s="285"/>
      <c r="IR35" s="285"/>
      <c r="IS35" s="285"/>
      <c r="IT35" s="285"/>
      <c r="IU35" s="285"/>
      <c r="IV35" s="285"/>
      <c r="IW35" s="285"/>
      <c r="IX35" s="285"/>
      <c r="IY35" s="285"/>
      <c r="IZ35" s="285"/>
      <c r="JA35" s="285"/>
      <c r="JB35" s="285"/>
      <c r="JC35" s="285"/>
    </row>
    <row r="36" spans="1:266" ht="12.75" hidden="1" customHeight="1" x14ac:dyDescent="0.25">
      <c r="A36" s="285"/>
      <c r="B36" s="285"/>
      <c r="C36" s="299">
        <v>-0.3</v>
      </c>
      <c r="D36" s="285"/>
      <c r="E36" s="285"/>
      <c r="F36" s="285"/>
      <c r="G36" s="285"/>
      <c r="H36" s="285"/>
      <c r="I36" s="285"/>
      <c r="J36" s="285"/>
      <c r="K36" s="285"/>
      <c r="L36" s="285"/>
      <c r="M36" s="287"/>
      <c r="N36" s="287"/>
      <c r="O36" s="287"/>
      <c r="P36" s="287"/>
      <c r="Q36" s="287"/>
      <c r="R36" s="287"/>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AP36" s="285"/>
      <c r="AQ36" s="285"/>
      <c r="AR36" s="285"/>
      <c r="AS36" s="285"/>
      <c r="AT36" s="285"/>
      <c r="AU36" s="285"/>
      <c r="AV36" s="285"/>
      <c r="AW36" s="285"/>
      <c r="AX36" s="285"/>
      <c r="AY36" s="285"/>
      <c r="AZ36" s="285"/>
      <c r="BA36" s="285"/>
      <c r="BB36" s="285"/>
      <c r="BC36" s="285"/>
      <c r="BD36" s="285"/>
      <c r="BE36" s="285"/>
      <c r="BF36" s="285"/>
      <c r="BG36" s="285"/>
      <c r="BH36" s="285"/>
      <c r="BI36" s="285"/>
      <c r="BJ36" s="285"/>
      <c r="BK36" s="285"/>
      <c r="BL36" s="285"/>
      <c r="BM36" s="285"/>
      <c r="BN36" s="285"/>
      <c r="BO36" s="285"/>
      <c r="BP36" s="285"/>
      <c r="BQ36" s="285"/>
      <c r="BR36" s="285"/>
      <c r="BS36" s="285"/>
      <c r="BT36" s="285"/>
      <c r="BU36" s="285"/>
      <c r="BV36" s="285"/>
      <c r="BW36" s="285"/>
      <c r="BX36" s="285"/>
      <c r="BY36" s="285"/>
      <c r="BZ36" s="285"/>
      <c r="CA36" s="285"/>
      <c r="CB36" s="285"/>
      <c r="CC36" s="285"/>
      <c r="CD36" s="285"/>
      <c r="CE36" s="285"/>
      <c r="CF36" s="285"/>
      <c r="CG36" s="285"/>
      <c r="CH36" s="285"/>
      <c r="CI36" s="285"/>
      <c r="CJ36" s="285"/>
      <c r="CK36" s="285"/>
      <c r="CL36" s="285"/>
      <c r="CM36" s="285"/>
      <c r="CN36" s="285"/>
      <c r="CO36" s="285"/>
      <c r="CP36" s="285"/>
      <c r="CQ36" s="285"/>
      <c r="CR36" s="285"/>
      <c r="CS36" s="285"/>
      <c r="CT36" s="285"/>
      <c r="CU36" s="285"/>
      <c r="CV36" s="285"/>
      <c r="CW36" s="285"/>
      <c r="CX36" s="285"/>
      <c r="CY36" s="285"/>
      <c r="CZ36" s="285"/>
      <c r="DA36" s="285"/>
      <c r="DB36" s="285"/>
      <c r="DC36" s="285"/>
      <c r="DD36" s="285"/>
      <c r="DE36" s="285"/>
      <c r="DF36" s="285"/>
      <c r="DG36" s="285"/>
      <c r="DH36" s="285"/>
      <c r="DI36" s="285"/>
      <c r="DJ36" s="285"/>
      <c r="DK36" s="285"/>
      <c r="DL36" s="285"/>
      <c r="DM36" s="285"/>
      <c r="DN36" s="285"/>
      <c r="DO36" s="285"/>
      <c r="DP36" s="285"/>
      <c r="DQ36" s="285"/>
      <c r="DR36" s="285"/>
      <c r="DS36" s="309"/>
      <c r="DT36" s="285"/>
      <c r="DU36" s="285"/>
      <c r="DV36" s="285"/>
      <c r="DW36" s="285"/>
      <c r="DX36" s="309"/>
      <c r="DY36" s="285"/>
      <c r="DZ36" s="285"/>
      <c r="EA36" s="285"/>
      <c r="EB36" s="285"/>
      <c r="EC36" s="285"/>
      <c r="ED36" s="285"/>
      <c r="EE36" s="285"/>
      <c r="EF36" s="285"/>
      <c r="EG36" s="285"/>
      <c r="EH36" s="285"/>
      <c r="EI36" s="285"/>
      <c r="EJ36" s="285"/>
      <c r="EK36" s="285"/>
      <c r="EL36" s="285"/>
      <c r="EM36" s="285"/>
      <c r="EN36" s="285"/>
      <c r="EO36" s="285"/>
      <c r="EP36" s="285"/>
      <c r="EQ36" s="285"/>
      <c r="ER36" s="285"/>
      <c r="ES36" s="285"/>
      <c r="ET36" s="285"/>
      <c r="EU36" s="285"/>
      <c r="EV36" s="285"/>
      <c r="EW36" s="285"/>
      <c r="EX36" s="285"/>
      <c r="EY36" s="285"/>
      <c r="EZ36" s="285"/>
      <c r="FA36" s="285"/>
      <c r="FB36" s="285"/>
      <c r="FC36" s="285"/>
      <c r="FD36" s="285"/>
      <c r="FE36" s="285"/>
      <c r="FF36" s="285"/>
      <c r="FG36" s="285"/>
      <c r="FH36" s="285"/>
      <c r="FI36" s="285"/>
      <c r="FJ36" s="285"/>
      <c r="FK36" s="285"/>
      <c r="FL36" s="285"/>
      <c r="FM36" s="285"/>
      <c r="FN36" s="285"/>
      <c r="FO36" s="285"/>
      <c r="FP36" s="285"/>
      <c r="FQ36" s="285"/>
      <c r="FR36" s="285"/>
      <c r="FS36" s="285"/>
      <c r="FT36" s="285"/>
      <c r="FU36" s="285"/>
      <c r="FV36" s="285"/>
      <c r="FW36" s="285"/>
      <c r="FX36" s="285"/>
      <c r="FY36" s="285"/>
      <c r="FZ36" s="285"/>
      <c r="GA36" s="285"/>
      <c r="GB36" s="285"/>
      <c r="GC36" s="285"/>
      <c r="GD36" s="285"/>
      <c r="GE36" s="285"/>
      <c r="GF36" s="285"/>
      <c r="GG36" s="285"/>
      <c r="GH36" s="285"/>
      <c r="GI36" s="285"/>
      <c r="GJ36" s="285"/>
      <c r="GK36" s="285"/>
      <c r="GL36" s="285"/>
      <c r="GM36" s="285"/>
      <c r="GN36" s="285"/>
      <c r="GO36" s="285"/>
      <c r="GP36" s="285"/>
      <c r="GQ36" s="285"/>
      <c r="GR36" s="285"/>
      <c r="GS36" s="285"/>
      <c r="GT36" s="285"/>
      <c r="GU36" s="285"/>
      <c r="GV36" s="285"/>
      <c r="GW36" s="285"/>
      <c r="GX36" s="285"/>
      <c r="GY36" s="285"/>
      <c r="GZ36" s="285"/>
      <c r="HA36" s="285"/>
      <c r="HB36" s="285"/>
      <c r="HC36" s="285"/>
      <c r="HD36" s="285"/>
      <c r="HE36" s="285"/>
      <c r="HF36" s="285"/>
      <c r="HG36" s="285"/>
      <c r="HH36" s="285"/>
      <c r="HI36" s="285"/>
      <c r="HJ36" s="285"/>
      <c r="HK36" s="285"/>
      <c r="HL36" s="285"/>
      <c r="HM36" s="285"/>
      <c r="HN36" s="285"/>
      <c r="HO36" s="285"/>
      <c r="HP36" s="285"/>
      <c r="HQ36" s="285"/>
      <c r="HR36" s="285"/>
      <c r="HS36" s="285"/>
      <c r="HT36" s="285"/>
      <c r="HU36" s="285"/>
      <c r="HV36" s="285"/>
      <c r="HW36" s="285"/>
      <c r="HX36" s="285"/>
      <c r="HY36" s="285"/>
      <c r="HZ36" s="285"/>
      <c r="IA36" s="285"/>
      <c r="IB36" s="285"/>
      <c r="IC36" s="285"/>
      <c r="ID36" s="285"/>
      <c r="IE36" s="285"/>
      <c r="IF36" s="285"/>
      <c r="IG36" s="285"/>
      <c r="IH36" s="285"/>
      <c r="II36" s="285"/>
      <c r="IJ36" s="285"/>
      <c r="IK36" s="285"/>
      <c r="IL36" s="285"/>
      <c r="IM36" s="285"/>
      <c r="IN36" s="285"/>
      <c r="IO36" s="285"/>
      <c r="IP36" s="285"/>
      <c r="IQ36" s="285"/>
      <c r="IR36" s="285"/>
      <c r="IS36" s="285"/>
      <c r="IT36" s="285"/>
      <c r="IU36" s="285"/>
      <c r="IV36" s="285"/>
      <c r="IW36" s="285"/>
      <c r="IX36" s="285"/>
      <c r="IY36" s="285"/>
      <c r="IZ36" s="285"/>
      <c r="JA36" s="285"/>
      <c r="JB36" s="285"/>
      <c r="JC36" s="285"/>
    </row>
    <row r="37" spans="1:266" ht="12.75" hidden="1" customHeight="1" x14ac:dyDescent="0.25">
      <c r="A37" s="285"/>
      <c r="B37" s="285"/>
      <c r="C37" s="299">
        <v>-0.4</v>
      </c>
      <c r="D37" s="285"/>
      <c r="E37" s="285"/>
      <c r="F37" s="285"/>
      <c r="G37" s="285"/>
      <c r="H37" s="285"/>
      <c r="I37" s="285"/>
      <c r="J37" s="285"/>
      <c r="K37" s="285"/>
      <c r="L37" s="285"/>
      <c r="M37" s="287"/>
      <c r="N37" s="287"/>
      <c r="O37" s="287"/>
      <c r="P37" s="287"/>
      <c r="Q37" s="287"/>
      <c r="R37" s="287"/>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285"/>
      <c r="AU37" s="285"/>
      <c r="AV37" s="285"/>
      <c r="AW37" s="285"/>
      <c r="AX37" s="285"/>
      <c r="AY37" s="285"/>
      <c r="AZ37" s="285"/>
      <c r="BA37" s="285"/>
      <c r="BB37" s="285"/>
      <c r="BC37" s="285"/>
      <c r="BD37" s="285"/>
      <c r="BE37" s="285"/>
      <c r="BF37" s="285"/>
      <c r="BG37" s="285"/>
      <c r="BH37" s="285"/>
      <c r="BI37" s="285"/>
      <c r="BJ37" s="285"/>
      <c r="BK37" s="285"/>
      <c r="BL37" s="285"/>
      <c r="BM37" s="285"/>
      <c r="BN37" s="285"/>
      <c r="BO37" s="285"/>
      <c r="BP37" s="285"/>
      <c r="BQ37" s="285"/>
      <c r="BR37" s="285"/>
      <c r="BS37" s="285"/>
      <c r="BT37" s="285"/>
      <c r="BU37" s="285"/>
      <c r="BV37" s="285"/>
      <c r="BW37" s="285"/>
      <c r="BX37" s="285"/>
      <c r="BY37" s="285"/>
      <c r="BZ37" s="285"/>
      <c r="CA37" s="285"/>
      <c r="CB37" s="285"/>
      <c r="CC37" s="285"/>
      <c r="CD37" s="285"/>
      <c r="CE37" s="285"/>
      <c r="CF37" s="285"/>
      <c r="CG37" s="285"/>
      <c r="CH37" s="285"/>
      <c r="CI37" s="285"/>
      <c r="CJ37" s="285"/>
      <c r="CK37" s="285"/>
      <c r="CL37" s="285"/>
      <c r="CM37" s="285"/>
      <c r="CN37" s="285"/>
      <c r="CO37" s="285"/>
      <c r="CP37" s="285"/>
      <c r="CQ37" s="285"/>
      <c r="CR37" s="285"/>
      <c r="CS37" s="285"/>
      <c r="CT37" s="285"/>
      <c r="CU37" s="285"/>
      <c r="CV37" s="285"/>
      <c r="CW37" s="285"/>
      <c r="CX37" s="285"/>
      <c r="CY37" s="285"/>
      <c r="CZ37" s="285"/>
      <c r="DA37" s="285"/>
      <c r="DB37" s="285"/>
      <c r="DC37" s="285"/>
      <c r="DD37" s="285"/>
      <c r="DE37" s="285"/>
      <c r="DF37" s="285"/>
      <c r="DG37" s="285"/>
      <c r="DH37" s="285"/>
      <c r="DI37" s="285"/>
      <c r="DJ37" s="285"/>
      <c r="DK37" s="285"/>
      <c r="DL37" s="285"/>
      <c r="DM37" s="285"/>
      <c r="DN37" s="285"/>
      <c r="DO37" s="285"/>
      <c r="DP37" s="285"/>
      <c r="DQ37" s="285"/>
      <c r="DR37" s="285"/>
      <c r="DS37" s="309"/>
      <c r="DT37" s="285"/>
      <c r="DU37" s="285"/>
      <c r="DV37" s="285"/>
      <c r="DW37" s="285"/>
      <c r="DX37" s="309"/>
      <c r="DY37" s="285"/>
      <c r="DZ37" s="285"/>
      <c r="EA37" s="285"/>
      <c r="EB37" s="285"/>
      <c r="EC37" s="285"/>
      <c r="ED37" s="285"/>
      <c r="EE37" s="285"/>
      <c r="EF37" s="285"/>
      <c r="EG37" s="285"/>
      <c r="EH37" s="285"/>
      <c r="EI37" s="285"/>
      <c r="EJ37" s="285"/>
      <c r="EK37" s="285"/>
      <c r="EL37" s="285"/>
      <c r="EM37" s="285"/>
      <c r="EN37" s="285"/>
      <c r="EO37" s="285"/>
      <c r="EP37" s="285"/>
      <c r="EQ37" s="285"/>
      <c r="ER37" s="285"/>
      <c r="ES37" s="285"/>
      <c r="ET37" s="285"/>
      <c r="EU37" s="285"/>
      <c r="EV37" s="285"/>
      <c r="EW37" s="285"/>
      <c r="EX37" s="285"/>
      <c r="EY37" s="285"/>
      <c r="EZ37" s="285"/>
      <c r="FA37" s="285"/>
      <c r="FB37" s="285"/>
      <c r="FC37" s="285"/>
      <c r="FD37" s="285"/>
      <c r="FE37" s="285"/>
      <c r="FF37" s="285"/>
      <c r="FG37" s="285"/>
      <c r="FH37" s="285"/>
      <c r="FI37" s="285"/>
      <c r="FJ37" s="285"/>
      <c r="FK37" s="285"/>
      <c r="FL37" s="285"/>
      <c r="FM37" s="285"/>
      <c r="FN37" s="285"/>
      <c r="FO37" s="285"/>
      <c r="FP37" s="285"/>
      <c r="FQ37" s="285"/>
      <c r="FR37" s="285"/>
      <c r="FS37" s="285"/>
      <c r="FT37" s="285"/>
      <c r="FU37" s="285"/>
      <c r="FV37" s="285"/>
      <c r="FW37" s="285"/>
      <c r="FX37" s="285"/>
      <c r="FY37" s="285"/>
      <c r="FZ37" s="285"/>
      <c r="GA37" s="285"/>
      <c r="GB37" s="285"/>
      <c r="GC37" s="285"/>
      <c r="GD37" s="285"/>
      <c r="GE37" s="285"/>
      <c r="GF37" s="285"/>
      <c r="GG37" s="285"/>
      <c r="GH37" s="285"/>
      <c r="GI37" s="285"/>
      <c r="GJ37" s="285"/>
      <c r="GK37" s="285"/>
      <c r="GL37" s="285"/>
      <c r="GM37" s="285"/>
      <c r="GN37" s="285"/>
      <c r="GO37" s="285"/>
      <c r="GP37" s="285"/>
      <c r="GQ37" s="285"/>
      <c r="GR37" s="285"/>
      <c r="GS37" s="285"/>
      <c r="GT37" s="285"/>
      <c r="GU37" s="285"/>
      <c r="GV37" s="285"/>
      <c r="GW37" s="285"/>
      <c r="GX37" s="285"/>
      <c r="GY37" s="285"/>
      <c r="GZ37" s="285"/>
      <c r="HA37" s="285"/>
      <c r="HB37" s="285"/>
      <c r="HC37" s="285"/>
      <c r="HD37" s="285"/>
      <c r="HE37" s="285"/>
      <c r="HF37" s="285"/>
      <c r="HG37" s="285"/>
      <c r="HH37" s="285"/>
      <c r="HI37" s="285"/>
      <c r="HJ37" s="285"/>
      <c r="HK37" s="285"/>
      <c r="HL37" s="285"/>
      <c r="HM37" s="285"/>
      <c r="HN37" s="285"/>
      <c r="HO37" s="285"/>
      <c r="HP37" s="285"/>
      <c r="HQ37" s="285"/>
      <c r="HR37" s="285"/>
      <c r="HS37" s="285"/>
      <c r="HT37" s="285"/>
      <c r="HU37" s="285"/>
      <c r="HV37" s="285"/>
      <c r="HW37" s="285"/>
      <c r="HX37" s="285"/>
      <c r="HY37" s="285"/>
      <c r="HZ37" s="285"/>
      <c r="IA37" s="285"/>
      <c r="IB37" s="285"/>
      <c r="IC37" s="285"/>
      <c r="ID37" s="285"/>
      <c r="IE37" s="285"/>
      <c r="IF37" s="285"/>
      <c r="IG37" s="285"/>
      <c r="IH37" s="285"/>
      <c r="II37" s="285"/>
      <c r="IJ37" s="285"/>
      <c r="IK37" s="285"/>
      <c r="IL37" s="285"/>
      <c r="IM37" s="285"/>
      <c r="IN37" s="285"/>
      <c r="IO37" s="285"/>
      <c r="IP37" s="285"/>
      <c r="IQ37" s="285"/>
      <c r="IR37" s="285"/>
      <c r="IS37" s="285"/>
      <c r="IT37" s="285"/>
      <c r="IU37" s="285"/>
      <c r="IV37" s="285"/>
      <c r="IW37" s="285"/>
      <c r="IX37" s="285"/>
      <c r="IY37" s="285"/>
      <c r="IZ37" s="285"/>
      <c r="JA37" s="285"/>
      <c r="JB37" s="285"/>
      <c r="JC37" s="285"/>
    </row>
    <row r="38" spans="1:266" ht="12.75" hidden="1" customHeight="1" x14ac:dyDescent="0.25">
      <c r="A38" s="285"/>
      <c r="B38" s="285"/>
      <c r="C38" s="299">
        <v>-0.5</v>
      </c>
      <c r="D38" s="285"/>
      <c r="E38" s="285"/>
      <c r="F38" s="285"/>
      <c r="G38" s="285"/>
      <c r="H38" s="285"/>
      <c r="I38" s="285"/>
      <c r="J38" s="285"/>
      <c r="K38" s="285"/>
      <c r="L38" s="285"/>
      <c r="M38" s="287"/>
      <c r="N38" s="287"/>
      <c r="O38" s="287"/>
      <c r="P38" s="287"/>
      <c r="Q38" s="287"/>
      <c r="R38" s="287"/>
      <c r="S38" s="285"/>
      <c r="T38" s="285"/>
      <c r="U38" s="285"/>
      <c r="V38" s="285"/>
      <c r="W38" s="285"/>
      <c r="X38" s="285"/>
      <c r="Y38" s="285"/>
      <c r="Z38" s="285"/>
      <c r="AA38" s="285"/>
      <c r="AB38" s="285"/>
      <c r="AC38" s="285"/>
      <c r="AD38" s="285"/>
      <c r="AE38" s="285"/>
      <c r="AF38" s="285"/>
      <c r="AG38" s="285"/>
      <c r="AH38" s="285"/>
      <c r="AI38" s="285"/>
      <c r="AJ38" s="285"/>
      <c r="AK38" s="285"/>
      <c r="AL38" s="285"/>
      <c r="AM38" s="285"/>
      <c r="AN38" s="285"/>
      <c r="AO38" s="285"/>
      <c r="AP38" s="285"/>
      <c r="AQ38" s="285"/>
      <c r="AR38" s="285"/>
      <c r="AS38" s="285"/>
      <c r="AT38" s="285"/>
      <c r="AU38" s="285"/>
      <c r="AV38" s="285"/>
      <c r="AW38" s="285"/>
      <c r="AX38" s="285"/>
      <c r="AY38" s="285"/>
      <c r="AZ38" s="285"/>
      <c r="BA38" s="285"/>
      <c r="BB38" s="285"/>
      <c r="BC38" s="285"/>
      <c r="BD38" s="285"/>
      <c r="BE38" s="285"/>
      <c r="BF38" s="285"/>
      <c r="BG38" s="285"/>
      <c r="BH38" s="285"/>
      <c r="BI38" s="285"/>
      <c r="BJ38" s="285"/>
      <c r="BK38" s="285"/>
      <c r="BL38" s="285"/>
      <c r="BM38" s="285"/>
      <c r="BN38" s="285"/>
      <c r="BO38" s="285"/>
      <c r="BP38" s="285"/>
      <c r="BQ38" s="285"/>
      <c r="BR38" s="285"/>
      <c r="BS38" s="285"/>
      <c r="BT38" s="285"/>
      <c r="BU38" s="285"/>
      <c r="BV38" s="285"/>
      <c r="BW38" s="285"/>
      <c r="BX38" s="285"/>
      <c r="BY38" s="285"/>
      <c r="BZ38" s="285"/>
      <c r="CA38" s="285"/>
      <c r="CB38" s="285"/>
      <c r="CC38" s="285"/>
      <c r="CD38" s="285"/>
      <c r="CE38" s="285"/>
      <c r="CF38" s="285"/>
      <c r="CG38" s="285"/>
      <c r="CH38" s="285"/>
      <c r="CI38" s="285"/>
      <c r="CJ38" s="285"/>
      <c r="CK38" s="285"/>
      <c r="CL38" s="285"/>
      <c r="CM38" s="285"/>
      <c r="CN38" s="285"/>
      <c r="CO38" s="285"/>
      <c r="CP38" s="285"/>
      <c r="CQ38" s="285"/>
      <c r="CR38" s="285"/>
      <c r="CS38" s="285"/>
      <c r="CT38" s="285"/>
      <c r="CU38" s="285"/>
      <c r="CV38" s="285"/>
      <c r="CW38" s="285"/>
      <c r="CX38" s="285"/>
      <c r="CY38" s="285"/>
      <c r="CZ38" s="285"/>
      <c r="DA38" s="285"/>
      <c r="DB38" s="285"/>
      <c r="DC38" s="285"/>
      <c r="DD38" s="285"/>
      <c r="DE38" s="285"/>
      <c r="DF38" s="285"/>
      <c r="DG38" s="285"/>
      <c r="DH38" s="285"/>
      <c r="DI38" s="285"/>
      <c r="DJ38" s="285"/>
      <c r="DK38" s="285"/>
      <c r="DL38" s="285"/>
      <c r="DM38" s="285"/>
      <c r="DN38" s="285"/>
      <c r="DO38" s="285"/>
      <c r="DP38" s="285"/>
      <c r="DQ38" s="285"/>
      <c r="DR38" s="285"/>
      <c r="DS38" s="309"/>
      <c r="DT38" s="285"/>
      <c r="DU38" s="285"/>
      <c r="DV38" s="285"/>
      <c r="DW38" s="285"/>
      <c r="DX38" s="309"/>
      <c r="DY38" s="285"/>
      <c r="DZ38" s="285"/>
      <c r="EA38" s="285"/>
      <c r="EB38" s="285"/>
      <c r="EC38" s="285"/>
      <c r="ED38" s="285"/>
      <c r="EE38" s="285"/>
      <c r="EF38" s="285"/>
      <c r="EG38" s="285"/>
      <c r="EH38" s="285"/>
      <c r="EI38" s="285"/>
      <c r="EJ38" s="285"/>
      <c r="EK38" s="285"/>
      <c r="EL38" s="285"/>
      <c r="EM38" s="285"/>
      <c r="EN38" s="285"/>
      <c r="EO38" s="285"/>
      <c r="EP38" s="285"/>
      <c r="EQ38" s="285"/>
      <c r="ER38" s="285"/>
      <c r="ES38" s="285"/>
      <c r="ET38" s="285"/>
      <c r="EU38" s="285"/>
      <c r="EV38" s="285"/>
      <c r="EW38" s="285"/>
      <c r="EX38" s="285"/>
      <c r="EY38" s="285"/>
      <c r="EZ38" s="285"/>
      <c r="FA38" s="285"/>
      <c r="FB38" s="285"/>
      <c r="FC38" s="285"/>
      <c r="FD38" s="285"/>
      <c r="FE38" s="285"/>
      <c r="FF38" s="285"/>
      <c r="FG38" s="285"/>
      <c r="FH38" s="285"/>
      <c r="FI38" s="285"/>
      <c r="FJ38" s="285"/>
      <c r="FK38" s="285"/>
      <c r="FL38" s="285"/>
      <c r="FM38" s="285"/>
      <c r="FN38" s="285"/>
      <c r="FO38" s="285"/>
      <c r="FP38" s="285"/>
      <c r="FQ38" s="285"/>
      <c r="FR38" s="285"/>
      <c r="FS38" s="285"/>
      <c r="FT38" s="285"/>
      <c r="FU38" s="285"/>
      <c r="FV38" s="285"/>
      <c r="FW38" s="285"/>
      <c r="FX38" s="285"/>
      <c r="FY38" s="285"/>
      <c r="FZ38" s="285"/>
      <c r="GA38" s="285"/>
      <c r="GB38" s="285"/>
      <c r="GC38" s="285"/>
      <c r="GD38" s="285"/>
      <c r="GE38" s="285"/>
      <c r="GF38" s="285"/>
      <c r="GG38" s="285"/>
      <c r="GH38" s="285"/>
      <c r="GI38" s="285"/>
      <c r="GJ38" s="285"/>
      <c r="GK38" s="285"/>
      <c r="GL38" s="285"/>
      <c r="GM38" s="285"/>
      <c r="GN38" s="285"/>
      <c r="GO38" s="285"/>
      <c r="GP38" s="285"/>
      <c r="GQ38" s="285"/>
      <c r="GR38" s="285"/>
      <c r="GS38" s="285"/>
      <c r="GT38" s="285"/>
      <c r="GU38" s="285"/>
      <c r="GV38" s="285"/>
      <c r="GW38" s="285"/>
      <c r="GX38" s="285"/>
      <c r="GY38" s="285"/>
      <c r="GZ38" s="285"/>
      <c r="HA38" s="285"/>
      <c r="HB38" s="285"/>
      <c r="HC38" s="285"/>
      <c r="HD38" s="285"/>
      <c r="HE38" s="285"/>
      <c r="HF38" s="285"/>
      <c r="HG38" s="285"/>
      <c r="HH38" s="285"/>
      <c r="HI38" s="285"/>
      <c r="HJ38" s="285"/>
      <c r="HK38" s="285"/>
      <c r="HL38" s="285"/>
      <c r="HM38" s="285"/>
      <c r="HN38" s="285"/>
      <c r="HO38" s="285"/>
      <c r="HP38" s="285"/>
      <c r="HQ38" s="285"/>
      <c r="HR38" s="285"/>
      <c r="HS38" s="285"/>
      <c r="HT38" s="285"/>
      <c r="HU38" s="285"/>
      <c r="HV38" s="285"/>
      <c r="HW38" s="285"/>
      <c r="HX38" s="285"/>
      <c r="HY38" s="285"/>
      <c r="HZ38" s="285"/>
      <c r="IA38" s="285"/>
      <c r="IB38" s="285"/>
      <c r="IC38" s="285"/>
      <c r="ID38" s="285"/>
      <c r="IE38" s="285"/>
      <c r="IF38" s="285"/>
      <c r="IG38" s="285"/>
      <c r="IH38" s="285"/>
      <c r="II38" s="285"/>
      <c r="IJ38" s="285"/>
      <c r="IK38" s="285"/>
      <c r="IL38" s="285"/>
      <c r="IM38" s="285"/>
      <c r="IN38" s="285"/>
      <c r="IO38" s="285"/>
      <c r="IP38" s="285"/>
      <c r="IQ38" s="285"/>
      <c r="IR38" s="285"/>
      <c r="IS38" s="285"/>
      <c r="IT38" s="285"/>
      <c r="IU38" s="285"/>
      <c r="IV38" s="285"/>
      <c r="IW38" s="285"/>
      <c r="IX38" s="285"/>
      <c r="IY38" s="285"/>
      <c r="IZ38" s="285"/>
      <c r="JA38" s="285"/>
      <c r="JB38" s="285"/>
      <c r="JC38" s="285"/>
    </row>
    <row r="39" spans="1:266" hidden="1" x14ac:dyDescent="0.25">
      <c r="A39" s="285"/>
      <c r="B39" s="285"/>
      <c r="C39" s="286"/>
      <c r="D39" s="285"/>
      <c r="E39" s="285"/>
      <c r="F39" s="285"/>
      <c r="G39" s="285"/>
      <c r="H39" s="285"/>
      <c r="I39" s="285"/>
      <c r="J39" s="285"/>
      <c r="K39" s="285"/>
      <c r="L39" s="285"/>
      <c r="M39" s="287"/>
      <c r="N39" s="287"/>
      <c r="O39" s="287"/>
      <c r="P39" s="287"/>
      <c r="Q39" s="287"/>
      <c r="R39" s="287"/>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c r="CH39" s="285"/>
      <c r="CI39" s="285"/>
      <c r="CJ39" s="285"/>
      <c r="CK39" s="285"/>
      <c r="CL39" s="285"/>
      <c r="CM39" s="285"/>
      <c r="CN39" s="285"/>
      <c r="CO39" s="285"/>
      <c r="CP39" s="285"/>
      <c r="CQ39" s="285"/>
      <c r="CR39" s="285"/>
      <c r="CS39" s="285"/>
      <c r="CT39" s="285"/>
      <c r="CU39" s="285"/>
      <c r="CV39" s="285"/>
      <c r="CW39" s="285"/>
      <c r="CX39" s="285"/>
      <c r="CY39" s="285"/>
      <c r="CZ39" s="285"/>
      <c r="DA39" s="285"/>
      <c r="DB39" s="285"/>
      <c r="DC39" s="285"/>
      <c r="DD39" s="285"/>
      <c r="DE39" s="285"/>
      <c r="DF39" s="285"/>
      <c r="DG39" s="285"/>
      <c r="DH39" s="285"/>
      <c r="DI39" s="285"/>
      <c r="DJ39" s="285"/>
      <c r="DK39" s="285"/>
      <c r="DL39" s="285"/>
      <c r="DM39" s="285"/>
      <c r="DN39" s="285"/>
      <c r="DO39" s="285"/>
      <c r="DP39" s="285"/>
      <c r="DQ39" s="285"/>
      <c r="DR39" s="285"/>
      <c r="DS39" s="285"/>
      <c r="DT39" s="285"/>
      <c r="DU39" s="285"/>
      <c r="DV39" s="285"/>
      <c r="DW39" s="285"/>
      <c r="DX39" s="285"/>
      <c r="DY39" s="285"/>
      <c r="DZ39" s="285"/>
      <c r="EA39" s="285"/>
      <c r="EB39" s="285"/>
      <c r="EC39" s="285"/>
      <c r="ED39" s="285"/>
      <c r="EE39" s="285"/>
      <c r="EF39" s="285"/>
      <c r="EG39" s="285"/>
      <c r="EH39" s="285"/>
      <c r="EI39" s="285"/>
      <c r="EJ39" s="285"/>
      <c r="EK39" s="285"/>
      <c r="EL39" s="285"/>
      <c r="EM39" s="285"/>
      <c r="EN39" s="285"/>
      <c r="EO39" s="285"/>
      <c r="EP39" s="285"/>
      <c r="EQ39" s="285"/>
      <c r="ER39" s="285"/>
      <c r="ES39" s="285"/>
      <c r="ET39" s="285"/>
      <c r="EU39" s="285"/>
      <c r="EV39" s="285"/>
      <c r="EW39" s="285"/>
      <c r="EX39" s="285"/>
      <c r="EY39" s="285"/>
      <c r="EZ39" s="285"/>
      <c r="FA39" s="285"/>
      <c r="FB39" s="285"/>
      <c r="FC39" s="285"/>
      <c r="FD39" s="285"/>
      <c r="FE39" s="285"/>
      <c r="FF39" s="285"/>
      <c r="FG39" s="285"/>
      <c r="FH39" s="285"/>
      <c r="FI39" s="285"/>
      <c r="FJ39" s="285"/>
      <c r="FK39" s="285"/>
      <c r="FL39" s="285"/>
      <c r="FM39" s="285"/>
      <c r="FN39" s="285"/>
      <c r="FO39" s="285"/>
      <c r="FP39" s="285"/>
      <c r="FQ39" s="285"/>
      <c r="FR39" s="285"/>
      <c r="FS39" s="285"/>
      <c r="FT39" s="285"/>
      <c r="FU39" s="285"/>
      <c r="FV39" s="285"/>
      <c r="FW39" s="285"/>
      <c r="FX39" s="285"/>
      <c r="FY39" s="285"/>
      <c r="FZ39" s="285"/>
      <c r="GA39" s="285"/>
      <c r="GB39" s="285"/>
      <c r="GC39" s="285"/>
      <c r="GD39" s="285"/>
      <c r="GE39" s="285"/>
      <c r="GF39" s="285"/>
      <c r="GG39" s="285"/>
      <c r="GH39" s="285"/>
      <c r="GI39" s="285"/>
      <c r="GJ39" s="285"/>
      <c r="GK39" s="285"/>
      <c r="GL39" s="285"/>
      <c r="GM39" s="285"/>
      <c r="GN39" s="285"/>
      <c r="GO39" s="285"/>
      <c r="GP39" s="285"/>
      <c r="GQ39" s="285"/>
      <c r="GR39" s="285"/>
      <c r="GS39" s="285"/>
      <c r="GT39" s="285"/>
      <c r="GU39" s="285"/>
      <c r="GV39" s="285"/>
      <c r="GW39" s="285"/>
      <c r="GX39" s="285"/>
      <c r="GY39" s="285"/>
      <c r="GZ39" s="285"/>
      <c r="HA39" s="285"/>
      <c r="HB39" s="285"/>
      <c r="HC39" s="285"/>
      <c r="HD39" s="285"/>
      <c r="HE39" s="285"/>
      <c r="HF39" s="285"/>
      <c r="HG39" s="285"/>
      <c r="HH39" s="285"/>
      <c r="HI39" s="285"/>
      <c r="HJ39" s="285"/>
      <c r="HK39" s="285"/>
      <c r="HL39" s="285"/>
      <c r="HM39" s="285"/>
      <c r="HN39" s="285"/>
      <c r="HO39" s="285"/>
      <c r="HP39" s="285"/>
      <c r="HQ39" s="285"/>
      <c r="HR39" s="285"/>
      <c r="HS39" s="285"/>
      <c r="HT39" s="285"/>
      <c r="HU39" s="285"/>
      <c r="HV39" s="285"/>
      <c r="HW39" s="285"/>
      <c r="HX39" s="285"/>
      <c r="HY39" s="285"/>
      <c r="HZ39" s="285"/>
      <c r="IA39" s="285"/>
      <c r="IB39" s="285"/>
      <c r="IC39" s="285"/>
      <c r="ID39" s="285"/>
      <c r="IE39" s="285"/>
      <c r="IF39" s="285"/>
      <c r="IG39" s="285"/>
      <c r="IH39" s="285"/>
      <c r="II39" s="285"/>
      <c r="IJ39" s="285"/>
      <c r="IK39" s="285"/>
      <c r="IL39" s="285"/>
      <c r="IM39" s="285"/>
      <c r="IN39" s="285"/>
      <c r="IO39" s="285"/>
      <c r="IP39" s="285"/>
      <c r="IQ39" s="285"/>
      <c r="IR39" s="285"/>
      <c r="IS39" s="285"/>
      <c r="IT39" s="285"/>
      <c r="IU39" s="285"/>
      <c r="IV39" s="285"/>
      <c r="IW39" s="285"/>
      <c r="IX39" s="285"/>
      <c r="IY39" s="285"/>
      <c r="IZ39" s="285"/>
      <c r="JA39" s="285"/>
      <c r="JB39" s="285"/>
      <c r="JC39" s="285"/>
    </row>
    <row r="40" spans="1:266" hidden="1" x14ac:dyDescent="0.25">
      <c r="A40" s="285"/>
      <c r="B40" s="285"/>
      <c r="C40" s="286"/>
      <c r="D40" s="285"/>
      <c r="E40" s="285"/>
      <c r="F40" s="285"/>
      <c r="G40" s="285"/>
      <c r="H40" s="285"/>
      <c r="I40" s="285"/>
      <c r="J40" s="285"/>
      <c r="K40" s="285"/>
      <c r="L40" s="285"/>
      <c r="M40" s="287"/>
      <c r="N40" s="287"/>
      <c r="O40" s="287"/>
      <c r="P40" s="287"/>
      <c r="Q40" s="287"/>
      <c r="R40" s="287"/>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285"/>
      <c r="CR40" s="285"/>
      <c r="CS40" s="285"/>
      <c r="CT40" s="285"/>
      <c r="CU40" s="285"/>
      <c r="CV40" s="285"/>
      <c r="CW40" s="285"/>
      <c r="CX40" s="285"/>
      <c r="CY40" s="285"/>
      <c r="CZ40" s="285"/>
      <c r="DA40" s="285"/>
      <c r="DB40" s="285"/>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row>
    <row r="41" spans="1:266" ht="12.75" customHeight="1" x14ac:dyDescent="0.25">
      <c r="A41" s="279"/>
      <c r="B41" s="41"/>
      <c r="C41" s="82"/>
      <c r="D41" s="41"/>
      <c r="E41" s="9"/>
      <c r="F41" s="9"/>
      <c r="G41" s="9"/>
      <c r="H41" s="10"/>
      <c r="I41" s="10"/>
      <c r="J41" s="10"/>
      <c r="K41" s="10"/>
      <c r="L41" s="10"/>
      <c r="M41" s="10"/>
      <c r="N41" s="9"/>
      <c r="O41" s="9"/>
      <c r="P41" s="44"/>
      <c r="Q41" s="44"/>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c r="DY41" s="653"/>
      <c r="DZ41" s="110"/>
      <c r="EA41" s="110"/>
      <c r="EB41" s="110"/>
      <c r="EC41" s="110"/>
      <c r="ED41" s="110"/>
      <c r="EE41" s="110"/>
      <c r="EF41" s="110"/>
      <c r="EG41" s="110"/>
      <c r="EH41" s="110"/>
      <c r="EI41" s="110"/>
      <c r="EJ41" s="110"/>
      <c r="EK41" s="110"/>
      <c r="EL41" s="110"/>
      <c r="EM41" s="110"/>
      <c r="EN41" s="110"/>
      <c r="EO41" s="110"/>
      <c r="EP41" s="110"/>
      <c r="EQ41" s="110"/>
      <c r="ER41" s="110"/>
      <c r="ES41" s="110"/>
      <c r="ET41" s="110"/>
      <c r="EU41" s="110"/>
      <c r="EV41" s="110"/>
      <c r="EW41" s="110"/>
      <c r="EX41" s="110"/>
      <c r="EY41" s="110"/>
      <c r="EZ41" s="110"/>
      <c r="FA41" s="110"/>
      <c r="FB41" s="110"/>
      <c r="FC41" s="110"/>
      <c r="FD41" s="110"/>
      <c r="FE41" s="110"/>
      <c r="FF41" s="110"/>
      <c r="FG41" s="110"/>
      <c r="FH41" s="110"/>
      <c r="FI41" s="110"/>
      <c r="FJ41" s="110"/>
      <c r="FK41" s="110"/>
      <c r="FL41" s="110"/>
      <c r="FM41" s="110"/>
      <c r="FN41" s="110"/>
      <c r="FO41" s="110"/>
      <c r="FP41" s="110"/>
      <c r="FQ41" s="110"/>
      <c r="FR41" s="110"/>
      <c r="FS41" s="110"/>
      <c r="FT41" s="110"/>
      <c r="FU41" s="110"/>
      <c r="FV41" s="110"/>
      <c r="FW41" s="110"/>
      <c r="FX41" s="110"/>
      <c r="FY41" s="110"/>
      <c r="FZ41" s="110"/>
      <c r="GA41" s="110"/>
      <c r="GB41" s="110"/>
      <c r="GC41" s="110"/>
      <c r="GD41" s="110"/>
      <c r="GE41" s="110"/>
      <c r="GF41" s="110"/>
      <c r="GG41" s="110"/>
      <c r="GH41" s="110"/>
      <c r="GI41" s="110"/>
      <c r="GJ41" s="110"/>
      <c r="GK41" s="110"/>
      <c r="GL41" s="110"/>
      <c r="GM41" s="110"/>
      <c r="GN41" s="110"/>
      <c r="GO41" s="110"/>
      <c r="GP41" s="110"/>
      <c r="GQ41" s="110"/>
      <c r="GR41" s="110"/>
      <c r="GS41" s="110"/>
      <c r="GT41" s="110"/>
      <c r="GU41" s="110"/>
      <c r="GV41" s="110"/>
      <c r="GW41" s="110"/>
      <c r="GX41" s="110"/>
      <c r="GY41" s="110"/>
      <c r="GZ41" s="110"/>
      <c r="HA41" s="110"/>
      <c r="HB41" s="110"/>
      <c r="HC41" s="110"/>
      <c r="HD41" s="110"/>
      <c r="HE41" s="110"/>
      <c r="HF41" s="110"/>
      <c r="HG41" s="110"/>
      <c r="HH41" s="110"/>
      <c r="HI41" s="110"/>
      <c r="HJ41" s="110"/>
      <c r="HK41" s="110"/>
      <c r="HL41" s="110"/>
      <c r="HM41" s="110"/>
      <c r="HN41" s="110"/>
      <c r="HO41" s="110"/>
      <c r="HP41" s="110"/>
      <c r="HQ41" s="110"/>
      <c r="HR41" s="110"/>
      <c r="HS41" s="110"/>
      <c r="HT41" s="110"/>
      <c r="HU41" s="110"/>
      <c r="HV41" s="110"/>
      <c r="HW41" s="110"/>
      <c r="HX41" s="110"/>
      <c r="HY41" s="110"/>
      <c r="HZ41" s="110"/>
      <c r="IA41" s="110"/>
      <c r="IB41" s="110"/>
      <c r="IC41" s="110"/>
      <c r="ID41" s="110"/>
      <c r="IE41" s="110"/>
      <c r="IF41" s="110"/>
      <c r="IG41" s="110"/>
      <c r="IH41" s="110"/>
      <c r="II41" s="110"/>
      <c r="IJ41" s="110"/>
      <c r="IK41" s="110"/>
      <c r="IL41" s="110"/>
      <c r="IM41" s="110"/>
      <c r="IN41" s="110"/>
      <c r="IO41" s="110"/>
      <c r="IP41" s="110"/>
      <c r="IQ41" s="110"/>
      <c r="IR41" s="110"/>
      <c r="IS41" s="110"/>
      <c r="IT41" s="110"/>
      <c r="IU41" s="110"/>
      <c r="IV41" s="110"/>
      <c r="IW41" s="110"/>
      <c r="IX41" s="110"/>
      <c r="IY41" s="110"/>
      <c r="IZ41" s="110"/>
      <c r="JA41" s="110"/>
      <c r="JB41" s="110"/>
      <c r="JC41" s="110"/>
      <c r="JD41" s="110"/>
      <c r="JE41" s="6"/>
      <c r="JF41" s="6"/>
    </row>
    <row r="42" spans="1:266" ht="19.5" customHeight="1" x14ac:dyDescent="0.25">
      <c r="A42" s="279"/>
      <c r="B42" s="41"/>
      <c r="C42" s="82"/>
      <c r="D42" s="41"/>
      <c r="E42" s="9"/>
      <c r="F42" s="9"/>
      <c r="G42" s="9"/>
      <c r="H42" s="10"/>
      <c r="I42" s="10"/>
      <c r="J42" s="10"/>
      <c r="K42" s="10"/>
      <c r="L42" s="10"/>
      <c r="M42" s="10"/>
      <c r="N42" s="9"/>
      <c r="O42" s="9"/>
      <c r="P42" s="44"/>
      <c r="Q42" s="44"/>
      <c r="R42" s="9"/>
      <c r="S42" s="9"/>
      <c r="T42" s="9"/>
      <c r="U42" s="9"/>
      <c r="V42" s="9"/>
      <c r="W42" s="9"/>
      <c r="X42" s="9"/>
      <c r="Y42" s="9"/>
      <c r="Z42" s="9"/>
      <c r="AA42" s="9"/>
      <c r="AB42" s="9"/>
      <c r="AC42" s="9"/>
      <c r="AD42" s="656"/>
      <c r="AE42" s="656"/>
      <c r="AF42" s="656"/>
      <c r="AG42" s="9"/>
      <c r="AH42" s="656"/>
      <c r="AI42" s="656"/>
      <c r="AJ42" s="656"/>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3680" t="s">
        <v>755</v>
      </c>
      <c r="DZ42" s="3681"/>
      <c r="EA42" s="3681"/>
      <c r="EB42" s="3681"/>
      <c r="EC42" s="3681"/>
      <c r="ED42" s="3681"/>
      <c r="EE42" s="3681"/>
      <c r="EF42" s="3681"/>
      <c r="EG42" s="3681"/>
      <c r="EH42" s="3681"/>
      <c r="EI42" s="3681"/>
      <c r="EJ42" s="3681"/>
      <c r="EK42" s="3681"/>
      <c r="EL42" s="3681"/>
      <c r="EM42" s="3681"/>
      <c r="EN42" s="3681"/>
      <c r="EO42" s="3681"/>
      <c r="EP42" s="3681"/>
      <c r="EQ42" s="3681"/>
      <c r="ER42" s="3681"/>
      <c r="ES42" s="3681"/>
      <c r="ET42" s="3681"/>
      <c r="EU42" s="3681"/>
      <c r="EV42" s="3681"/>
      <c r="EW42" s="3681"/>
      <c r="EX42" s="3681"/>
      <c r="EY42" s="3681"/>
      <c r="EZ42" s="3681"/>
      <c r="FA42" s="3681"/>
      <c r="FB42" s="3681"/>
      <c r="FC42" s="3681"/>
      <c r="FD42" s="3681"/>
      <c r="FE42" s="3681"/>
      <c r="FF42" s="3681"/>
      <c r="FG42" s="3681"/>
      <c r="FH42" s="3681"/>
      <c r="FI42" s="3681"/>
      <c r="FJ42" s="3681"/>
      <c r="FK42" s="3681"/>
      <c r="FL42" s="3681"/>
      <c r="FM42" s="3681"/>
      <c r="FN42" s="3681"/>
      <c r="FO42" s="3681"/>
      <c r="FP42" s="3681"/>
      <c r="FQ42" s="3681"/>
      <c r="FR42" s="3681"/>
      <c r="FS42" s="3681"/>
      <c r="FT42" s="3681"/>
      <c r="FU42" s="3681"/>
      <c r="FV42" s="3681"/>
      <c r="FW42" s="3681"/>
      <c r="FX42" s="3681"/>
      <c r="FY42" s="3681"/>
      <c r="FZ42" s="3681"/>
      <c r="GA42" s="3681"/>
      <c r="GB42" s="3681"/>
      <c r="GC42" s="3681"/>
      <c r="GD42" s="3681"/>
      <c r="GE42" s="3681"/>
      <c r="GF42" s="651"/>
      <c r="GG42" s="651"/>
      <c r="GH42" s="651"/>
      <c r="GI42" s="651"/>
      <c r="GJ42" s="651"/>
      <c r="GK42" s="651"/>
      <c r="GL42" s="651"/>
      <c r="GM42" s="651"/>
      <c r="GN42" s="651"/>
      <c r="GO42" s="651"/>
      <c r="GP42" s="651"/>
      <c r="GQ42" s="651"/>
      <c r="GR42" s="651"/>
      <c r="GS42" s="651"/>
      <c r="GT42" s="651"/>
      <c r="GU42" s="651"/>
      <c r="GV42" s="651"/>
      <c r="GW42" s="651"/>
      <c r="GX42" s="651"/>
      <c r="GY42" s="651"/>
      <c r="GZ42" s="651"/>
      <c r="HA42" s="651"/>
      <c r="HB42" s="651"/>
      <c r="HC42" s="651"/>
      <c r="HD42" s="651"/>
      <c r="HE42" s="651"/>
      <c r="HF42" s="651"/>
      <c r="HG42" s="651"/>
      <c r="HH42" s="651"/>
      <c r="HI42" s="651"/>
      <c r="HJ42" s="651"/>
      <c r="HK42" s="651"/>
      <c r="HL42" s="651"/>
      <c r="HM42" s="651"/>
      <c r="HN42" s="651"/>
      <c r="HO42" s="651"/>
      <c r="HP42" s="651"/>
      <c r="HQ42" s="651"/>
      <c r="HR42" s="651"/>
      <c r="HS42" s="651"/>
      <c r="HT42" s="651"/>
      <c r="HU42" s="651"/>
      <c r="HV42" s="651"/>
      <c r="HW42" s="651"/>
      <c r="HX42" s="651"/>
      <c r="HY42" s="651"/>
      <c r="HZ42" s="651"/>
      <c r="IA42" s="651"/>
      <c r="IB42" s="651"/>
      <c r="IC42" s="651"/>
      <c r="ID42" s="651"/>
      <c r="IE42" s="651"/>
      <c r="IF42" s="651"/>
      <c r="IG42" s="651"/>
      <c r="IH42" s="651"/>
      <c r="II42" s="651"/>
      <c r="IJ42" s="651"/>
      <c r="IK42" s="651"/>
      <c r="IL42" s="651"/>
      <c r="IM42" s="651"/>
      <c r="IN42" s="651"/>
      <c r="IO42" s="651"/>
      <c r="IP42" s="651"/>
      <c r="IQ42" s="651"/>
      <c r="IR42" s="651"/>
      <c r="IS42" s="651"/>
      <c r="IT42" s="651"/>
      <c r="IU42" s="651"/>
      <c r="IV42" s="651"/>
      <c r="IW42" s="651"/>
      <c r="IX42" s="651"/>
      <c r="IY42" s="651"/>
      <c r="IZ42" s="651"/>
      <c r="JA42" s="651"/>
      <c r="JB42" s="651"/>
      <c r="JC42" s="651"/>
      <c r="JD42" s="652"/>
    </row>
    <row r="43" spans="1:266" ht="12.75" customHeight="1" x14ac:dyDescent="0.25">
      <c r="A43" s="279"/>
      <c r="B43" s="41"/>
      <c r="C43" s="82"/>
      <c r="D43" s="41"/>
      <c r="E43" s="9"/>
      <c r="F43" s="9"/>
      <c r="G43" s="9"/>
      <c r="H43" s="10"/>
      <c r="I43" s="10"/>
      <c r="J43" s="10"/>
      <c r="K43" s="10"/>
      <c r="L43" s="10"/>
      <c r="M43" s="10"/>
      <c r="N43" s="9"/>
      <c r="O43" s="9"/>
      <c r="P43" s="44"/>
      <c r="Q43" s="44"/>
      <c r="R43" s="9"/>
      <c r="S43" s="9"/>
      <c r="T43" s="9"/>
      <c r="U43" s="9"/>
      <c r="V43" s="9"/>
      <c r="W43" s="9"/>
      <c r="X43" s="9"/>
      <c r="Y43" s="9"/>
      <c r="Z43" s="9"/>
      <c r="AA43" s="9"/>
      <c r="AB43" s="9"/>
      <c r="AC43" s="9"/>
      <c r="AD43" s="650">
        <f t="shared" ref="AD43:AD93" si="64">AD44+1</f>
        <v>117</v>
      </c>
      <c r="AE43" s="654">
        <f ca="1">OFFSET('2 Staff List'!$IB$64,AJ43-1,0)</f>
        <v>0</v>
      </c>
      <c r="AF43" s="654">
        <f t="shared" ref="AF43:AF74" si="65">IF(ISBLANK($EE43),$EC$103*$DZ$6,$EC$103*$DZ$6*$EE43)</f>
        <v>173.92857142857142</v>
      </c>
      <c r="AG43" s="9"/>
      <c r="AH43" s="654">
        <f t="shared" ref="AH43:AH74" si="66">IF(ISBLANK($EE43),$EC$104*$DZ$6,$EC$104*$DZ$6*$EE43)</f>
        <v>239.15178571428569</v>
      </c>
      <c r="AI43" s="654">
        <f t="shared" ref="AI43:AI74" si="67">ROW($AI$96)-ROW()+1</f>
        <v>54</v>
      </c>
      <c r="AJ43" s="654">
        <f ca="1">OFFSET('2 Staff List'!$GU$64,AI43-1,0)</f>
        <v>0</v>
      </c>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1278">
        <f ca="1">OFFSET('2 Staff List'!$HW$64,AJ43-1,0)</f>
        <v>0</v>
      </c>
      <c r="DZ43" s="1279">
        <f ca="1">OFFSET('2 Staff List'!$HZ$64,AJ43-1,0)</f>
        <v>0</v>
      </c>
      <c r="EA43" s="3678">
        <f ca="1">OFFSET('2 Staff List'!$IA$64,AJ43-1,0)</f>
        <v>0</v>
      </c>
      <c r="EB43" s="3679"/>
      <c r="EC43" s="3684">
        <f t="shared" ref="EC43:EC74" ca="1" si="68">SUM(EG43:JD43)</f>
        <v>0</v>
      </c>
      <c r="ED43" s="3685"/>
      <c r="EE43" s="3682"/>
      <c r="EF43" s="3683"/>
      <c r="EG43" s="151">
        <f t="shared" ref="EG43:EP52" ca="1" si="69">IFERROR(SUMIFS(EG$129:EG$305,$DF$129:$DF$305,1,$DY$129:$DY$305,$EA43)*EG$17,0)</f>
        <v>0</v>
      </c>
      <c r="EH43" s="153">
        <f t="shared" ca="1" si="69"/>
        <v>0</v>
      </c>
      <c r="EI43" s="153">
        <f t="shared" ca="1" si="69"/>
        <v>0</v>
      </c>
      <c r="EJ43" s="153">
        <f t="shared" ca="1" si="69"/>
        <v>0</v>
      </c>
      <c r="EK43" s="153">
        <f t="shared" ca="1" si="69"/>
        <v>0</v>
      </c>
      <c r="EL43" s="153">
        <f t="shared" ca="1" si="69"/>
        <v>0</v>
      </c>
      <c r="EM43" s="153">
        <f t="shared" ca="1" si="69"/>
        <v>0</v>
      </c>
      <c r="EN43" s="153">
        <f t="shared" ca="1" si="69"/>
        <v>0</v>
      </c>
      <c r="EO43" s="153">
        <f t="shared" ca="1" si="69"/>
        <v>0</v>
      </c>
      <c r="EP43" s="153">
        <f t="shared" ca="1" si="69"/>
        <v>0</v>
      </c>
      <c r="EQ43" s="153">
        <f t="shared" ref="EQ43:EW52" ca="1" si="70">IFERROR(SUMIFS(EQ$129:EQ$305,$DF$129:$DF$305,1,$DY$129:$DY$305,$EA43)*EQ$17,0)</f>
        <v>0</v>
      </c>
      <c r="ER43" s="153">
        <f t="shared" ca="1" si="70"/>
        <v>0</v>
      </c>
      <c r="ES43" s="153">
        <f t="shared" ca="1" si="70"/>
        <v>0</v>
      </c>
      <c r="ET43" s="153">
        <f t="shared" ca="1" si="70"/>
        <v>0</v>
      </c>
      <c r="EU43" s="153">
        <f t="shared" ca="1" si="70"/>
        <v>0</v>
      </c>
      <c r="EV43" s="153">
        <f t="shared" ca="1" si="70"/>
        <v>0</v>
      </c>
      <c r="EW43" s="153">
        <f t="shared" ca="1" si="70"/>
        <v>0</v>
      </c>
      <c r="EX43" s="153">
        <f t="shared" ref="EX43" ca="1" si="71">IFERROR(SUMIFS(EX$129:EX$305,$DF$129:$DF$305,1,$DY$129:$DY$305,$EA43)*EX$17,0)</f>
        <v>0</v>
      </c>
      <c r="EY43" s="153">
        <f t="shared" ref="EY43:FH47" ca="1" si="72">IFERROR(SUMIFS(EY$129:EY$305,$DF$129:$DF$305,1,$DY$129:$DY$305,$EA43)*EY$17,0)</f>
        <v>0</v>
      </c>
      <c r="EZ43" s="153">
        <f t="shared" ca="1" si="72"/>
        <v>0</v>
      </c>
      <c r="FA43" s="153">
        <f t="shared" ca="1" si="72"/>
        <v>0</v>
      </c>
      <c r="FB43" s="153">
        <f t="shared" ca="1" si="72"/>
        <v>0</v>
      </c>
      <c r="FC43" s="153">
        <f t="shared" ca="1" si="72"/>
        <v>0</v>
      </c>
      <c r="FD43" s="153">
        <f t="shared" ca="1" si="72"/>
        <v>0</v>
      </c>
      <c r="FE43" s="153">
        <f t="shared" ca="1" si="72"/>
        <v>0</v>
      </c>
      <c r="FF43" s="153">
        <f t="shared" ca="1" si="72"/>
        <v>0</v>
      </c>
      <c r="FG43" s="153">
        <f t="shared" ca="1" si="72"/>
        <v>0</v>
      </c>
      <c r="FH43" s="153">
        <f t="shared" ca="1" si="72"/>
        <v>0</v>
      </c>
      <c r="FI43" s="153">
        <f t="shared" ref="FI43:FR47" ca="1" si="73">IFERROR(SUMIFS(FI$129:FI$305,$DF$129:$DF$305,1,$DY$129:$DY$305,$EA43)*FI$17,0)</f>
        <v>0</v>
      </c>
      <c r="FJ43" s="153">
        <f t="shared" ca="1" si="73"/>
        <v>0</v>
      </c>
      <c r="FK43" s="153">
        <f t="shared" ca="1" si="73"/>
        <v>0</v>
      </c>
      <c r="FL43" s="153">
        <f t="shared" ca="1" si="73"/>
        <v>0</v>
      </c>
      <c r="FM43" s="153">
        <f t="shared" ca="1" si="73"/>
        <v>0</v>
      </c>
      <c r="FN43" s="153">
        <f t="shared" ca="1" si="73"/>
        <v>0</v>
      </c>
      <c r="FO43" s="153">
        <f t="shared" ca="1" si="73"/>
        <v>0</v>
      </c>
      <c r="FP43" s="153">
        <f t="shared" ca="1" si="73"/>
        <v>0</v>
      </c>
      <c r="FQ43" s="153">
        <f t="shared" ca="1" si="73"/>
        <v>0</v>
      </c>
      <c r="FR43" s="153">
        <f t="shared" ca="1" si="73"/>
        <v>0</v>
      </c>
      <c r="FS43" s="153">
        <f t="shared" ref="FS43:GB47" ca="1" si="74">IFERROR(SUMIFS(FS$129:FS$305,$DF$129:$DF$305,1,$DY$129:$DY$305,$EA43)*FS$17,0)</f>
        <v>0</v>
      </c>
      <c r="FT43" s="153">
        <f t="shared" ca="1" si="74"/>
        <v>0</v>
      </c>
      <c r="FU43" s="153">
        <f t="shared" ca="1" si="74"/>
        <v>0</v>
      </c>
      <c r="FV43" s="153">
        <f t="shared" ca="1" si="74"/>
        <v>0</v>
      </c>
      <c r="FW43" s="153">
        <f t="shared" ca="1" si="74"/>
        <v>0</v>
      </c>
      <c r="FX43" s="153">
        <f t="shared" ca="1" si="74"/>
        <v>0</v>
      </c>
      <c r="FY43" s="153">
        <f t="shared" ca="1" si="74"/>
        <v>0</v>
      </c>
      <c r="FZ43" s="153">
        <f t="shared" ca="1" si="74"/>
        <v>0</v>
      </c>
      <c r="GA43" s="153">
        <f t="shared" ca="1" si="74"/>
        <v>0</v>
      </c>
      <c r="GB43" s="153">
        <f t="shared" ca="1" si="74"/>
        <v>0</v>
      </c>
      <c r="GC43" s="153">
        <f t="shared" ref="GC43:GL47" ca="1" si="75">IFERROR(SUMIFS(GC$129:GC$305,$DF$129:$DF$305,1,$DY$129:$DY$305,$EA43)*GC$17,0)</f>
        <v>0</v>
      </c>
      <c r="GD43" s="153">
        <f t="shared" ca="1" si="75"/>
        <v>0</v>
      </c>
      <c r="GE43" s="153">
        <f t="shared" ca="1" si="75"/>
        <v>0</v>
      </c>
      <c r="GF43" s="153">
        <f t="shared" ca="1" si="75"/>
        <v>0</v>
      </c>
      <c r="GG43" s="153">
        <f t="shared" ca="1" si="75"/>
        <v>0</v>
      </c>
      <c r="GH43" s="153">
        <f t="shared" ca="1" si="75"/>
        <v>0</v>
      </c>
      <c r="GI43" s="153">
        <f t="shared" ca="1" si="75"/>
        <v>0</v>
      </c>
      <c r="GJ43" s="153">
        <f t="shared" ca="1" si="75"/>
        <v>0</v>
      </c>
      <c r="GK43" s="153">
        <f t="shared" ca="1" si="75"/>
        <v>0</v>
      </c>
      <c r="GL43" s="153">
        <f t="shared" ca="1" si="75"/>
        <v>0</v>
      </c>
      <c r="GM43" s="153">
        <f t="shared" ref="GM43:GV47" ca="1" si="76">IFERROR(SUMIFS(GM$129:GM$305,$DF$129:$DF$305,1,$DY$129:$DY$305,$EA43)*GM$17,0)</f>
        <v>0</v>
      </c>
      <c r="GN43" s="153">
        <f t="shared" ca="1" si="76"/>
        <v>0</v>
      </c>
      <c r="GO43" s="153">
        <f t="shared" ca="1" si="76"/>
        <v>0</v>
      </c>
      <c r="GP43" s="153">
        <f t="shared" ca="1" si="76"/>
        <v>0</v>
      </c>
      <c r="GQ43" s="153">
        <f t="shared" ca="1" si="76"/>
        <v>0</v>
      </c>
      <c r="GR43" s="153">
        <f t="shared" ca="1" si="76"/>
        <v>0</v>
      </c>
      <c r="GS43" s="153">
        <f t="shared" ca="1" si="76"/>
        <v>0</v>
      </c>
      <c r="GT43" s="153">
        <f t="shared" ca="1" si="76"/>
        <v>0</v>
      </c>
      <c r="GU43" s="153">
        <f t="shared" ca="1" si="76"/>
        <v>0</v>
      </c>
      <c r="GV43" s="153">
        <f t="shared" ca="1" si="76"/>
        <v>0</v>
      </c>
      <c r="GW43" s="153">
        <f t="shared" ref="GW43:HF47" ca="1" si="77">IFERROR(SUMIFS(GW$129:GW$305,$DF$129:$DF$305,1,$DY$129:$DY$305,$EA43)*GW$17,0)</f>
        <v>0</v>
      </c>
      <c r="GX43" s="153">
        <f t="shared" ca="1" si="77"/>
        <v>0</v>
      </c>
      <c r="GY43" s="153">
        <f t="shared" ca="1" si="77"/>
        <v>0</v>
      </c>
      <c r="GZ43" s="153">
        <f t="shared" ca="1" si="77"/>
        <v>0</v>
      </c>
      <c r="HA43" s="153">
        <f t="shared" ca="1" si="77"/>
        <v>0</v>
      </c>
      <c r="HB43" s="153">
        <f t="shared" ca="1" si="77"/>
        <v>0</v>
      </c>
      <c r="HC43" s="153">
        <f t="shared" ca="1" si="77"/>
        <v>0</v>
      </c>
      <c r="HD43" s="153">
        <f t="shared" ca="1" si="77"/>
        <v>0</v>
      </c>
      <c r="HE43" s="153">
        <f t="shared" ca="1" si="77"/>
        <v>0</v>
      </c>
      <c r="HF43" s="153">
        <f t="shared" ca="1" si="77"/>
        <v>0</v>
      </c>
      <c r="HG43" s="153">
        <f t="shared" ref="HG43:HP47" ca="1" si="78">IFERROR(SUMIFS(HG$129:HG$305,$DF$129:$DF$305,1,$DY$129:$DY$305,$EA43)*HG$17,0)</f>
        <v>0</v>
      </c>
      <c r="HH43" s="153">
        <f t="shared" ca="1" si="78"/>
        <v>0</v>
      </c>
      <c r="HI43" s="153">
        <f t="shared" ca="1" si="78"/>
        <v>0</v>
      </c>
      <c r="HJ43" s="153">
        <f t="shared" ca="1" si="78"/>
        <v>0</v>
      </c>
      <c r="HK43" s="153">
        <f t="shared" ca="1" si="78"/>
        <v>0</v>
      </c>
      <c r="HL43" s="153">
        <f t="shared" ca="1" si="78"/>
        <v>0</v>
      </c>
      <c r="HM43" s="153">
        <f t="shared" ca="1" si="78"/>
        <v>0</v>
      </c>
      <c r="HN43" s="153">
        <f t="shared" ca="1" si="78"/>
        <v>0</v>
      </c>
      <c r="HO43" s="153">
        <f t="shared" ca="1" si="78"/>
        <v>0</v>
      </c>
      <c r="HP43" s="153">
        <f t="shared" ca="1" si="78"/>
        <v>0</v>
      </c>
      <c r="HQ43" s="153">
        <f t="shared" ref="HQ43:HZ47" ca="1" si="79">IFERROR(SUMIFS(HQ$129:HQ$305,$DF$129:$DF$305,1,$DY$129:$DY$305,$EA43)*HQ$17,0)</f>
        <v>0</v>
      </c>
      <c r="HR43" s="153">
        <f t="shared" ca="1" si="79"/>
        <v>0</v>
      </c>
      <c r="HS43" s="153">
        <f t="shared" ca="1" si="79"/>
        <v>0</v>
      </c>
      <c r="HT43" s="153">
        <f t="shared" ca="1" si="79"/>
        <v>0</v>
      </c>
      <c r="HU43" s="153">
        <f t="shared" ca="1" si="79"/>
        <v>0</v>
      </c>
      <c r="HV43" s="153">
        <f t="shared" ca="1" si="79"/>
        <v>0</v>
      </c>
      <c r="HW43" s="153">
        <f t="shared" ca="1" si="79"/>
        <v>0</v>
      </c>
      <c r="HX43" s="153">
        <f t="shared" ca="1" si="79"/>
        <v>0</v>
      </c>
      <c r="HY43" s="153">
        <f t="shared" ca="1" si="79"/>
        <v>0</v>
      </c>
      <c r="HZ43" s="153">
        <f t="shared" ca="1" si="79"/>
        <v>0</v>
      </c>
      <c r="IA43" s="153">
        <f t="shared" ref="IA43:IJ47" ca="1" si="80">IFERROR(SUMIFS(IA$129:IA$305,$DF$129:$DF$305,1,$DY$129:$DY$305,$EA43)*IA$17,0)</f>
        <v>0</v>
      </c>
      <c r="IB43" s="153">
        <f t="shared" ca="1" si="80"/>
        <v>0</v>
      </c>
      <c r="IC43" s="153">
        <f t="shared" ca="1" si="80"/>
        <v>0</v>
      </c>
      <c r="ID43" s="153">
        <f t="shared" ca="1" si="80"/>
        <v>0</v>
      </c>
      <c r="IE43" s="153">
        <f t="shared" ca="1" si="80"/>
        <v>0</v>
      </c>
      <c r="IF43" s="153">
        <f t="shared" ca="1" si="80"/>
        <v>0</v>
      </c>
      <c r="IG43" s="153">
        <f t="shared" ca="1" si="80"/>
        <v>0</v>
      </c>
      <c r="IH43" s="153">
        <f t="shared" ca="1" si="80"/>
        <v>0</v>
      </c>
      <c r="II43" s="153">
        <f t="shared" ca="1" si="80"/>
        <v>0</v>
      </c>
      <c r="IJ43" s="153">
        <f t="shared" ca="1" si="80"/>
        <v>0</v>
      </c>
      <c r="IK43" s="153">
        <f t="shared" ref="IK43:IT47" ca="1" si="81">IFERROR(SUMIFS(IK$129:IK$305,$DF$129:$DF$305,1,$DY$129:$DY$305,$EA43)*IK$17,0)</f>
        <v>0</v>
      </c>
      <c r="IL43" s="153">
        <f t="shared" ca="1" si="81"/>
        <v>0</v>
      </c>
      <c r="IM43" s="153">
        <f t="shared" ca="1" si="81"/>
        <v>0</v>
      </c>
      <c r="IN43" s="153">
        <f t="shared" ca="1" si="81"/>
        <v>0</v>
      </c>
      <c r="IO43" s="153">
        <f t="shared" ca="1" si="81"/>
        <v>0</v>
      </c>
      <c r="IP43" s="153">
        <f t="shared" ca="1" si="81"/>
        <v>0</v>
      </c>
      <c r="IQ43" s="153">
        <f t="shared" ca="1" si="81"/>
        <v>0</v>
      </c>
      <c r="IR43" s="153">
        <f t="shared" ca="1" si="81"/>
        <v>0</v>
      </c>
      <c r="IS43" s="153">
        <f t="shared" ca="1" si="81"/>
        <v>0</v>
      </c>
      <c r="IT43" s="153">
        <f t="shared" ca="1" si="81"/>
        <v>0</v>
      </c>
      <c r="IU43" s="153">
        <f t="shared" ref="IU43:JC47" ca="1" si="82">IFERROR(SUMIFS(IU$129:IU$305,$DF$129:$DF$305,1,$DY$129:$DY$305,$EA43)*IU$17,0)</f>
        <v>0</v>
      </c>
      <c r="IV43" s="153">
        <f t="shared" ca="1" si="82"/>
        <v>0</v>
      </c>
      <c r="IW43" s="153">
        <f t="shared" ca="1" si="82"/>
        <v>0</v>
      </c>
      <c r="IX43" s="153">
        <f t="shared" ca="1" si="82"/>
        <v>0</v>
      </c>
      <c r="IY43" s="153">
        <f t="shared" ca="1" si="82"/>
        <v>0</v>
      </c>
      <c r="IZ43" s="153">
        <f t="shared" ca="1" si="82"/>
        <v>0</v>
      </c>
      <c r="JA43" s="153">
        <f t="shared" ca="1" si="82"/>
        <v>0</v>
      </c>
      <c r="JB43" s="153">
        <f t="shared" ca="1" si="82"/>
        <v>0</v>
      </c>
      <c r="JC43" s="153">
        <f t="shared" ca="1" si="82"/>
        <v>0</v>
      </c>
      <c r="JD43" s="604"/>
    </row>
    <row r="44" spans="1:266" ht="12.75" customHeight="1" x14ac:dyDescent="0.25">
      <c r="A44" s="279"/>
      <c r="B44" s="41"/>
      <c r="C44" s="82"/>
      <c r="D44" s="41"/>
      <c r="E44" s="9"/>
      <c r="F44" s="9"/>
      <c r="G44" s="9"/>
      <c r="H44" s="10"/>
      <c r="I44" s="10"/>
      <c r="J44" s="10"/>
      <c r="K44" s="10"/>
      <c r="L44" s="10"/>
      <c r="M44" s="10"/>
      <c r="N44" s="9"/>
      <c r="O44" s="9"/>
      <c r="P44" s="44"/>
      <c r="Q44" s="44"/>
      <c r="R44" s="9"/>
      <c r="S44" s="9"/>
      <c r="T44" s="9"/>
      <c r="U44" s="9"/>
      <c r="V44" s="9"/>
      <c r="W44" s="9"/>
      <c r="X44" s="9"/>
      <c r="Y44" s="9"/>
      <c r="Z44" s="9"/>
      <c r="AA44" s="9"/>
      <c r="AB44" s="9"/>
      <c r="AC44" s="9"/>
      <c r="AD44" s="650">
        <f t="shared" si="64"/>
        <v>116</v>
      </c>
      <c r="AE44" s="654">
        <f ca="1">OFFSET('2 Staff List'!$IB$64,AJ44-1,0)</f>
        <v>0</v>
      </c>
      <c r="AF44" s="654">
        <f t="shared" si="65"/>
        <v>173.92857142857142</v>
      </c>
      <c r="AG44" s="9"/>
      <c r="AH44" s="654">
        <f t="shared" si="66"/>
        <v>239.15178571428569</v>
      </c>
      <c r="AI44" s="654">
        <f t="shared" si="67"/>
        <v>53</v>
      </c>
      <c r="AJ44" s="654">
        <f ca="1">OFFSET('2 Staff List'!$GU$64,AI44-1,0)</f>
        <v>0</v>
      </c>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9"/>
      <c r="DP44" s="9"/>
      <c r="DQ44" s="9"/>
      <c r="DR44" s="9"/>
      <c r="DS44" s="9"/>
      <c r="DT44" s="9"/>
      <c r="DU44" s="9"/>
      <c r="DV44" s="9"/>
      <c r="DW44" s="9"/>
      <c r="DX44" s="9"/>
      <c r="DY44" s="1280">
        <f ca="1">OFFSET('2 Staff List'!$HW$64,AJ44-1,0)</f>
        <v>0</v>
      </c>
      <c r="DZ44" s="1281">
        <f ca="1">OFFSET('2 Staff List'!$HZ$64,AJ44-1,0)</f>
        <v>0</v>
      </c>
      <c r="EA44" s="3669">
        <f ca="1">OFFSET('2 Staff List'!$IA$64,AJ44-1,0)</f>
        <v>0</v>
      </c>
      <c r="EB44" s="3670"/>
      <c r="EC44" s="3673">
        <f t="shared" ca="1" si="68"/>
        <v>0</v>
      </c>
      <c r="ED44" s="3674"/>
      <c r="EE44" s="3675"/>
      <c r="EF44" s="3676"/>
      <c r="EG44" s="154">
        <f t="shared" ca="1" si="69"/>
        <v>0</v>
      </c>
      <c r="EH44" s="152">
        <f t="shared" ca="1" si="69"/>
        <v>0</v>
      </c>
      <c r="EI44" s="152">
        <f t="shared" ca="1" si="69"/>
        <v>0</v>
      </c>
      <c r="EJ44" s="152">
        <f t="shared" ca="1" si="69"/>
        <v>0</v>
      </c>
      <c r="EK44" s="152">
        <f t="shared" ca="1" si="69"/>
        <v>0</v>
      </c>
      <c r="EL44" s="152">
        <f t="shared" ca="1" si="69"/>
        <v>0</v>
      </c>
      <c r="EM44" s="152">
        <f t="shared" ca="1" si="69"/>
        <v>0</v>
      </c>
      <c r="EN44" s="152">
        <f t="shared" ca="1" si="69"/>
        <v>0</v>
      </c>
      <c r="EO44" s="152">
        <f t="shared" ca="1" si="69"/>
        <v>0</v>
      </c>
      <c r="EP44" s="152">
        <f t="shared" ca="1" si="69"/>
        <v>0</v>
      </c>
      <c r="EQ44" s="152">
        <f t="shared" ca="1" si="70"/>
        <v>0</v>
      </c>
      <c r="ER44" s="152">
        <f t="shared" ca="1" si="70"/>
        <v>0</v>
      </c>
      <c r="ES44" s="152">
        <f t="shared" ca="1" si="70"/>
        <v>0</v>
      </c>
      <c r="ET44" s="152">
        <f t="shared" ca="1" si="70"/>
        <v>0</v>
      </c>
      <c r="EU44" s="152">
        <f t="shared" ca="1" si="70"/>
        <v>0</v>
      </c>
      <c r="EV44" s="152">
        <f t="shared" ca="1" si="70"/>
        <v>0</v>
      </c>
      <c r="EW44" s="152">
        <f t="shared" ca="1" si="70"/>
        <v>0</v>
      </c>
      <c r="EX44" s="152">
        <f t="shared" ref="EX44:EX75" ca="1" si="83">IFERROR(SUMIFS(EX$129:EX$305,$DF$129:$DF$305,1,$DY$129:$DY$305,$EA44)*EX$17,0)</f>
        <v>0</v>
      </c>
      <c r="EY44" s="152">
        <f t="shared" ca="1" si="72"/>
        <v>0</v>
      </c>
      <c r="EZ44" s="152">
        <f t="shared" ca="1" si="72"/>
        <v>0</v>
      </c>
      <c r="FA44" s="152">
        <f t="shared" ca="1" si="72"/>
        <v>0</v>
      </c>
      <c r="FB44" s="152">
        <f t="shared" ca="1" si="72"/>
        <v>0</v>
      </c>
      <c r="FC44" s="152">
        <f t="shared" ca="1" si="72"/>
        <v>0</v>
      </c>
      <c r="FD44" s="152">
        <f t="shared" ca="1" si="72"/>
        <v>0</v>
      </c>
      <c r="FE44" s="152">
        <f t="shared" ca="1" si="72"/>
        <v>0</v>
      </c>
      <c r="FF44" s="152">
        <f t="shared" ca="1" si="72"/>
        <v>0</v>
      </c>
      <c r="FG44" s="152">
        <f t="shared" ca="1" si="72"/>
        <v>0</v>
      </c>
      <c r="FH44" s="152">
        <f t="shared" ca="1" si="72"/>
        <v>0</v>
      </c>
      <c r="FI44" s="152">
        <f t="shared" ca="1" si="73"/>
        <v>0</v>
      </c>
      <c r="FJ44" s="152">
        <f t="shared" ca="1" si="73"/>
        <v>0</v>
      </c>
      <c r="FK44" s="152">
        <f t="shared" ca="1" si="73"/>
        <v>0</v>
      </c>
      <c r="FL44" s="152">
        <f t="shared" ca="1" si="73"/>
        <v>0</v>
      </c>
      <c r="FM44" s="152">
        <f t="shared" ca="1" si="73"/>
        <v>0</v>
      </c>
      <c r="FN44" s="152">
        <f t="shared" ca="1" si="73"/>
        <v>0</v>
      </c>
      <c r="FO44" s="152">
        <f t="shared" ca="1" si="73"/>
        <v>0</v>
      </c>
      <c r="FP44" s="152">
        <f t="shared" ca="1" si="73"/>
        <v>0</v>
      </c>
      <c r="FQ44" s="152">
        <f t="shared" ca="1" si="73"/>
        <v>0</v>
      </c>
      <c r="FR44" s="152">
        <f t="shared" ca="1" si="73"/>
        <v>0</v>
      </c>
      <c r="FS44" s="152">
        <f t="shared" ca="1" si="74"/>
        <v>0</v>
      </c>
      <c r="FT44" s="152">
        <f t="shared" ca="1" si="74"/>
        <v>0</v>
      </c>
      <c r="FU44" s="152">
        <f t="shared" ca="1" si="74"/>
        <v>0</v>
      </c>
      <c r="FV44" s="152">
        <f t="shared" ca="1" si="74"/>
        <v>0</v>
      </c>
      <c r="FW44" s="152">
        <f t="shared" ca="1" si="74"/>
        <v>0</v>
      </c>
      <c r="FX44" s="152">
        <f t="shared" ca="1" si="74"/>
        <v>0</v>
      </c>
      <c r="FY44" s="152">
        <f t="shared" ca="1" si="74"/>
        <v>0</v>
      </c>
      <c r="FZ44" s="152">
        <f t="shared" ca="1" si="74"/>
        <v>0</v>
      </c>
      <c r="GA44" s="152">
        <f t="shared" ca="1" si="74"/>
        <v>0</v>
      </c>
      <c r="GB44" s="152">
        <f t="shared" ca="1" si="74"/>
        <v>0</v>
      </c>
      <c r="GC44" s="152">
        <f t="shared" ca="1" si="75"/>
        <v>0</v>
      </c>
      <c r="GD44" s="152">
        <f t="shared" ca="1" si="75"/>
        <v>0</v>
      </c>
      <c r="GE44" s="152">
        <f t="shared" ca="1" si="75"/>
        <v>0</v>
      </c>
      <c r="GF44" s="152">
        <f t="shared" ca="1" si="75"/>
        <v>0</v>
      </c>
      <c r="GG44" s="152">
        <f t="shared" ca="1" si="75"/>
        <v>0</v>
      </c>
      <c r="GH44" s="152">
        <f t="shared" ca="1" si="75"/>
        <v>0</v>
      </c>
      <c r="GI44" s="152">
        <f t="shared" ca="1" si="75"/>
        <v>0</v>
      </c>
      <c r="GJ44" s="152">
        <f t="shared" ca="1" si="75"/>
        <v>0</v>
      </c>
      <c r="GK44" s="152">
        <f t="shared" ca="1" si="75"/>
        <v>0</v>
      </c>
      <c r="GL44" s="152">
        <f t="shared" ca="1" si="75"/>
        <v>0</v>
      </c>
      <c r="GM44" s="152">
        <f t="shared" ca="1" si="76"/>
        <v>0</v>
      </c>
      <c r="GN44" s="152">
        <f t="shared" ca="1" si="76"/>
        <v>0</v>
      </c>
      <c r="GO44" s="152">
        <f t="shared" ca="1" si="76"/>
        <v>0</v>
      </c>
      <c r="GP44" s="152">
        <f t="shared" ca="1" si="76"/>
        <v>0</v>
      </c>
      <c r="GQ44" s="152">
        <f t="shared" ca="1" si="76"/>
        <v>0</v>
      </c>
      <c r="GR44" s="152">
        <f t="shared" ca="1" si="76"/>
        <v>0</v>
      </c>
      <c r="GS44" s="152">
        <f t="shared" ca="1" si="76"/>
        <v>0</v>
      </c>
      <c r="GT44" s="152">
        <f t="shared" ca="1" si="76"/>
        <v>0</v>
      </c>
      <c r="GU44" s="152">
        <f t="shared" ca="1" si="76"/>
        <v>0</v>
      </c>
      <c r="GV44" s="152">
        <f t="shared" ca="1" si="76"/>
        <v>0</v>
      </c>
      <c r="GW44" s="152">
        <f t="shared" ca="1" si="77"/>
        <v>0</v>
      </c>
      <c r="GX44" s="152">
        <f t="shared" ca="1" si="77"/>
        <v>0</v>
      </c>
      <c r="GY44" s="152">
        <f t="shared" ca="1" si="77"/>
        <v>0</v>
      </c>
      <c r="GZ44" s="152">
        <f t="shared" ca="1" si="77"/>
        <v>0</v>
      </c>
      <c r="HA44" s="152">
        <f t="shared" ca="1" si="77"/>
        <v>0</v>
      </c>
      <c r="HB44" s="152">
        <f t="shared" ca="1" si="77"/>
        <v>0</v>
      </c>
      <c r="HC44" s="152">
        <f t="shared" ca="1" si="77"/>
        <v>0</v>
      </c>
      <c r="HD44" s="152">
        <f t="shared" ca="1" si="77"/>
        <v>0</v>
      </c>
      <c r="HE44" s="152">
        <f t="shared" ca="1" si="77"/>
        <v>0</v>
      </c>
      <c r="HF44" s="152">
        <f t="shared" ca="1" si="77"/>
        <v>0</v>
      </c>
      <c r="HG44" s="152">
        <f t="shared" ca="1" si="78"/>
        <v>0</v>
      </c>
      <c r="HH44" s="152">
        <f t="shared" ca="1" si="78"/>
        <v>0</v>
      </c>
      <c r="HI44" s="152">
        <f t="shared" ca="1" si="78"/>
        <v>0</v>
      </c>
      <c r="HJ44" s="152">
        <f t="shared" ca="1" si="78"/>
        <v>0</v>
      </c>
      <c r="HK44" s="152">
        <f t="shared" ca="1" si="78"/>
        <v>0</v>
      </c>
      <c r="HL44" s="152">
        <f t="shared" ca="1" si="78"/>
        <v>0</v>
      </c>
      <c r="HM44" s="152">
        <f t="shared" ca="1" si="78"/>
        <v>0</v>
      </c>
      <c r="HN44" s="152">
        <f t="shared" ca="1" si="78"/>
        <v>0</v>
      </c>
      <c r="HO44" s="152">
        <f t="shared" ca="1" si="78"/>
        <v>0</v>
      </c>
      <c r="HP44" s="152">
        <f t="shared" ca="1" si="78"/>
        <v>0</v>
      </c>
      <c r="HQ44" s="152">
        <f t="shared" ca="1" si="79"/>
        <v>0</v>
      </c>
      <c r="HR44" s="152">
        <f t="shared" ca="1" si="79"/>
        <v>0</v>
      </c>
      <c r="HS44" s="152">
        <f t="shared" ca="1" si="79"/>
        <v>0</v>
      </c>
      <c r="HT44" s="152">
        <f t="shared" ca="1" si="79"/>
        <v>0</v>
      </c>
      <c r="HU44" s="152">
        <f t="shared" ca="1" si="79"/>
        <v>0</v>
      </c>
      <c r="HV44" s="152">
        <f t="shared" ca="1" si="79"/>
        <v>0</v>
      </c>
      <c r="HW44" s="152">
        <f t="shared" ca="1" si="79"/>
        <v>0</v>
      </c>
      <c r="HX44" s="152">
        <f t="shared" ca="1" si="79"/>
        <v>0</v>
      </c>
      <c r="HY44" s="152">
        <f t="shared" ca="1" si="79"/>
        <v>0</v>
      </c>
      <c r="HZ44" s="152">
        <f t="shared" ca="1" si="79"/>
        <v>0</v>
      </c>
      <c r="IA44" s="152">
        <f t="shared" ca="1" si="80"/>
        <v>0</v>
      </c>
      <c r="IB44" s="152">
        <f t="shared" ca="1" si="80"/>
        <v>0</v>
      </c>
      <c r="IC44" s="152">
        <f t="shared" ca="1" si="80"/>
        <v>0</v>
      </c>
      <c r="ID44" s="152">
        <f t="shared" ca="1" si="80"/>
        <v>0</v>
      </c>
      <c r="IE44" s="152">
        <f t="shared" ca="1" si="80"/>
        <v>0</v>
      </c>
      <c r="IF44" s="152">
        <f t="shared" ca="1" si="80"/>
        <v>0</v>
      </c>
      <c r="IG44" s="152">
        <f t="shared" ca="1" si="80"/>
        <v>0</v>
      </c>
      <c r="IH44" s="152">
        <f t="shared" ca="1" si="80"/>
        <v>0</v>
      </c>
      <c r="II44" s="152">
        <f t="shared" ca="1" si="80"/>
        <v>0</v>
      </c>
      <c r="IJ44" s="152">
        <f t="shared" ca="1" si="80"/>
        <v>0</v>
      </c>
      <c r="IK44" s="152">
        <f t="shared" ca="1" si="81"/>
        <v>0</v>
      </c>
      <c r="IL44" s="152">
        <f t="shared" ca="1" si="81"/>
        <v>0</v>
      </c>
      <c r="IM44" s="152">
        <f t="shared" ca="1" si="81"/>
        <v>0</v>
      </c>
      <c r="IN44" s="152">
        <f t="shared" ca="1" si="81"/>
        <v>0</v>
      </c>
      <c r="IO44" s="152">
        <f t="shared" ca="1" si="81"/>
        <v>0</v>
      </c>
      <c r="IP44" s="152">
        <f t="shared" ca="1" si="81"/>
        <v>0</v>
      </c>
      <c r="IQ44" s="152">
        <f t="shared" ca="1" si="81"/>
        <v>0</v>
      </c>
      <c r="IR44" s="152">
        <f t="shared" ca="1" si="81"/>
        <v>0</v>
      </c>
      <c r="IS44" s="152">
        <f t="shared" ca="1" si="81"/>
        <v>0</v>
      </c>
      <c r="IT44" s="152">
        <f t="shared" ca="1" si="81"/>
        <v>0</v>
      </c>
      <c r="IU44" s="152">
        <f t="shared" ca="1" si="82"/>
        <v>0</v>
      </c>
      <c r="IV44" s="152">
        <f t="shared" ca="1" si="82"/>
        <v>0</v>
      </c>
      <c r="IW44" s="152">
        <f t="shared" ca="1" si="82"/>
        <v>0</v>
      </c>
      <c r="IX44" s="152">
        <f t="shared" ca="1" si="82"/>
        <v>0</v>
      </c>
      <c r="IY44" s="152">
        <f t="shared" ca="1" si="82"/>
        <v>0</v>
      </c>
      <c r="IZ44" s="152">
        <f t="shared" ca="1" si="82"/>
        <v>0</v>
      </c>
      <c r="JA44" s="152">
        <f t="shared" ca="1" si="82"/>
        <v>0</v>
      </c>
      <c r="JB44" s="152">
        <f t="shared" ca="1" si="82"/>
        <v>0</v>
      </c>
      <c r="JC44" s="152">
        <f t="shared" ca="1" si="82"/>
        <v>0</v>
      </c>
      <c r="JD44" s="604"/>
    </row>
    <row r="45" spans="1:266" ht="12.75" customHeight="1" x14ac:dyDescent="0.25">
      <c r="A45" s="279"/>
      <c r="B45" s="41"/>
      <c r="C45" s="82"/>
      <c r="D45" s="41"/>
      <c r="E45" s="9"/>
      <c r="F45" s="9"/>
      <c r="G45" s="9"/>
      <c r="H45" s="10"/>
      <c r="I45" s="10"/>
      <c r="J45" s="10"/>
      <c r="K45" s="10"/>
      <c r="L45" s="10"/>
      <c r="M45" s="10"/>
      <c r="N45" s="9"/>
      <c r="O45" s="9"/>
      <c r="P45" s="44"/>
      <c r="Q45" s="44"/>
      <c r="R45" s="9"/>
      <c r="S45" s="9"/>
      <c r="T45" s="9"/>
      <c r="U45" s="9"/>
      <c r="V45" s="9"/>
      <c r="W45" s="9"/>
      <c r="X45" s="9"/>
      <c r="Y45" s="9"/>
      <c r="Z45" s="9"/>
      <c r="AA45" s="9"/>
      <c r="AB45" s="9"/>
      <c r="AC45" s="9"/>
      <c r="AD45" s="650">
        <f t="shared" si="64"/>
        <v>115</v>
      </c>
      <c r="AE45" s="654">
        <f ca="1">OFFSET('2 Staff List'!$IB$64,AJ45-1,0)</f>
        <v>0</v>
      </c>
      <c r="AF45" s="654">
        <f t="shared" si="65"/>
        <v>173.92857142857142</v>
      </c>
      <c r="AG45" s="9"/>
      <c r="AH45" s="654">
        <f t="shared" si="66"/>
        <v>239.15178571428569</v>
      </c>
      <c r="AI45" s="654">
        <f t="shared" si="67"/>
        <v>52</v>
      </c>
      <c r="AJ45" s="654">
        <f ca="1">OFFSET('2 Staff List'!$GU$64,AI45-1,0)</f>
        <v>0</v>
      </c>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1280">
        <f ca="1">OFFSET('2 Staff List'!$HW$64,AJ45-1,0)</f>
        <v>0</v>
      </c>
      <c r="DZ45" s="1281">
        <f ca="1">OFFSET('2 Staff List'!$HZ$64,AJ45-1,0)</f>
        <v>0</v>
      </c>
      <c r="EA45" s="3669">
        <f ca="1">OFFSET('2 Staff List'!$IA$64,AJ45-1,0)</f>
        <v>0</v>
      </c>
      <c r="EB45" s="3670"/>
      <c r="EC45" s="3673">
        <f t="shared" ca="1" si="68"/>
        <v>0</v>
      </c>
      <c r="ED45" s="3674"/>
      <c r="EE45" s="3675"/>
      <c r="EF45" s="3676"/>
      <c r="EG45" s="154">
        <f t="shared" ca="1" si="69"/>
        <v>0</v>
      </c>
      <c r="EH45" s="152">
        <f t="shared" ca="1" si="69"/>
        <v>0</v>
      </c>
      <c r="EI45" s="152">
        <f t="shared" ca="1" si="69"/>
        <v>0</v>
      </c>
      <c r="EJ45" s="152">
        <f t="shared" ca="1" si="69"/>
        <v>0</v>
      </c>
      <c r="EK45" s="152">
        <f t="shared" ca="1" si="69"/>
        <v>0</v>
      </c>
      <c r="EL45" s="152">
        <f t="shared" ca="1" si="69"/>
        <v>0</v>
      </c>
      <c r="EM45" s="152">
        <f t="shared" ca="1" si="69"/>
        <v>0</v>
      </c>
      <c r="EN45" s="152">
        <f t="shared" ca="1" si="69"/>
        <v>0</v>
      </c>
      <c r="EO45" s="152">
        <f t="shared" ca="1" si="69"/>
        <v>0</v>
      </c>
      <c r="EP45" s="152">
        <f t="shared" ca="1" si="69"/>
        <v>0</v>
      </c>
      <c r="EQ45" s="152">
        <f t="shared" ca="1" si="70"/>
        <v>0</v>
      </c>
      <c r="ER45" s="152">
        <f t="shared" ca="1" si="70"/>
        <v>0</v>
      </c>
      <c r="ES45" s="152">
        <f t="shared" ca="1" si="70"/>
        <v>0</v>
      </c>
      <c r="ET45" s="152">
        <f t="shared" ca="1" si="70"/>
        <v>0</v>
      </c>
      <c r="EU45" s="152">
        <f t="shared" ca="1" si="70"/>
        <v>0</v>
      </c>
      <c r="EV45" s="152">
        <f t="shared" ca="1" si="70"/>
        <v>0</v>
      </c>
      <c r="EW45" s="152">
        <f t="shared" ca="1" si="70"/>
        <v>0</v>
      </c>
      <c r="EX45" s="152">
        <f t="shared" ca="1" si="83"/>
        <v>0</v>
      </c>
      <c r="EY45" s="152">
        <f t="shared" ca="1" si="72"/>
        <v>0</v>
      </c>
      <c r="EZ45" s="152">
        <f t="shared" ca="1" si="72"/>
        <v>0</v>
      </c>
      <c r="FA45" s="152">
        <f t="shared" ca="1" si="72"/>
        <v>0</v>
      </c>
      <c r="FB45" s="152">
        <f t="shared" ca="1" si="72"/>
        <v>0</v>
      </c>
      <c r="FC45" s="152">
        <f t="shared" ca="1" si="72"/>
        <v>0</v>
      </c>
      <c r="FD45" s="152">
        <f t="shared" ca="1" si="72"/>
        <v>0</v>
      </c>
      <c r="FE45" s="152">
        <f t="shared" ca="1" si="72"/>
        <v>0</v>
      </c>
      <c r="FF45" s="152">
        <f t="shared" ca="1" si="72"/>
        <v>0</v>
      </c>
      <c r="FG45" s="152">
        <f t="shared" ca="1" si="72"/>
        <v>0</v>
      </c>
      <c r="FH45" s="152">
        <f t="shared" ca="1" si="72"/>
        <v>0</v>
      </c>
      <c r="FI45" s="152">
        <f t="shared" ca="1" si="73"/>
        <v>0</v>
      </c>
      <c r="FJ45" s="152">
        <f t="shared" ca="1" si="73"/>
        <v>0</v>
      </c>
      <c r="FK45" s="152">
        <f t="shared" ca="1" si="73"/>
        <v>0</v>
      </c>
      <c r="FL45" s="152">
        <f t="shared" ca="1" si="73"/>
        <v>0</v>
      </c>
      <c r="FM45" s="152">
        <f t="shared" ca="1" si="73"/>
        <v>0</v>
      </c>
      <c r="FN45" s="152">
        <f t="shared" ca="1" si="73"/>
        <v>0</v>
      </c>
      <c r="FO45" s="152">
        <f t="shared" ca="1" si="73"/>
        <v>0</v>
      </c>
      <c r="FP45" s="152">
        <f t="shared" ca="1" si="73"/>
        <v>0</v>
      </c>
      <c r="FQ45" s="152">
        <f t="shared" ca="1" si="73"/>
        <v>0</v>
      </c>
      <c r="FR45" s="152">
        <f t="shared" ca="1" si="73"/>
        <v>0</v>
      </c>
      <c r="FS45" s="152">
        <f t="shared" ca="1" si="74"/>
        <v>0</v>
      </c>
      <c r="FT45" s="152">
        <f t="shared" ca="1" si="74"/>
        <v>0</v>
      </c>
      <c r="FU45" s="152">
        <f t="shared" ca="1" si="74"/>
        <v>0</v>
      </c>
      <c r="FV45" s="152">
        <f t="shared" ca="1" si="74"/>
        <v>0</v>
      </c>
      <c r="FW45" s="152">
        <f t="shared" ca="1" si="74"/>
        <v>0</v>
      </c>
      <c r="FX45" s="152">
        <f t="shared" ca="1" si="74"/>
        <v>0</v>
      </c>
      <c r="FY45" s="152">
        <f t="shared" ca="1" si="74"/>
        <v>0</v>
      </c>
      <c r="FZ45" s="152">
        <f t="shared" ca="1" si="74"/>
        <v>0</v>
      </c>
      <c r="GA45" s="152">
        <f t="shared" ca="1" si="74"/>
        <v>0</v>
      </c>
      <c r="GB45" s="152">
        <f t="shared" ca="1" si="74"/>
        <v>0</v>
      </c>
      <c r="GC45" s="152">
        <f t="shared" ca="1" si="75"/>
        <v>0</v>
      </c>
      <c r="GD45" s="152">
        <f t="shared" ca="1" si="75"/>
        <v>0</v>
      </c>
      <c r="GE45" s="152">
        <f t="shared" ca="1" si="75"/>
        <v>0</v>
      </c>
      <c r="GF45" s="152">
        <f t="shared" ca="1" si="75"/>
        <v>0</v>
      </c>
      <c r="GG45" s="152">
        <f t="shared" ca="1" si="75"/>
        <v>0</v>
      </c>
      <c r="GH45" s="152">
        <f t="shared" ca="1" si="75"/>
        <v>0</v>
      </c>
      <c r="GI45" s="152">
        <f t="shared" ca="1" si="75"/>
        <v>0</v>
      </c>
      <c r="GJ45" s="152">
        <f t="shared" ca="1" si="75"/>
        <v>0</v>
      </c>
      <c r="GK45" s="152">
        <f t="shared" ca="1" si="75"/>
        <v>0</v>
      </c>
      <c r="GL45" s="152">
        <f t="shared" ca="1" si="75"/>
        <v>0</v>
      </c>
      <c r="GM45" s="152">
        <f t="shared" ca="1" si="76"/>
        <v>0</v>
      </c>
      <c r="GN45" s="152">
        <f t="shared" ca="1" si="76"/>
        <v>0</v>
      </c>
      <c r="GO45" s="152">
        <f t="shared" ca="1" si="76"/>
        <v>0</v>
      </c>
      <c r="GP45" s="152">
        <f t="shared" ca="1" si="76"/>
        <v>0</v>
      </c>
      <c r="GQ45" s="152">
        <f t="shared" ca="1" si="76"/>
        <v>0</v>
      </c>
      <c r="GR45" s="152">
        <f t="shared" ca="1" si="76"/>
        <v>0</v>
      </c>
      <c r="GS45" s="152">
        <f t="shared" ca="1" si="76"/>
        <v>0</v>
      </c>
      <c r="GT45" s="152">
        <f t="shared" ca="1" si="76"/>
        <v>0</v>
      </c>
      <c r="GU45" s="152">
        <f t="shared" ca="1" si="76"/>
        <v>0</v>
      </c>
      <c r="GV45" s="152">
        <f t="shared" ca="1" si="76"/>
        <v>0</v>
      </c>
      <c r="GW45" s="152">
        <f t="shared" ca="1" si="77"/>
        <v>0</v>
      </c>
      <c r="GX45" s="152">
        <f t="shared" ca="1" si="77"/>
        <v>0</v>
      </c>
      <c r="GY45" s="152">
        <f t="shared" ca="1" si="77"/>
        <v>0</v>
      </c>
      <c r="GZ45" s="152">
        <f t="shared" ca="1" si="77"/>
        <v>0</v>
      </c>
      <c r="HA45" s="152">
        <f t="shared" ca="1" si="77"/>
        <v>0</v>
      </c>
      <c r="HB45" s="152">
        <f t="shared" ca="1" si="77"/>
        <v>0</v>
      </c>
      <c r="HC45" s="152">
        <f t="shared" ca="1" si="77"/>
        <v>0</v>
      </c>
      <c r="HD45" s="152">
        <f t="shared" ca="1" si="77"/>
        <v>0</v>
      </c>
      <c r="HE45" s="152">
        <f t="shared" ca="1" si="77"/>
        <v>0</v>
      </c>
      <c r="HF45" s="152">
        <f t="shared" ca="1" si="77"/>
        <v>0</v>
      </c>
      <c r="HG45" s="152">
        <f t="shared" ca="1" si="78"/>
        <v>0</v>
      </c>
      <c r="HH45" s="152">
        <f t="shared" ca="1" si="78"/>
        <v>0</v>
      </c>
      <c r="HI45" s="152">
        <f t="shared" ca="1" si="78"/>
        <v>0</v>
      </c>
      <c r="HJ45" s="152">
        <f t="shared" ca="1" si="78"/>
        <v>0</v>
      </c>
      <c r="HK45" s="152">
        <f t="shared" ca="1" si="78"/>
        <v>0</v>
      </c>
      <c r="HL45" s="152">
        <f t="shared" ca="1" si="78"/>
        <v>0</v>
      </c>
      <c r="HM45" s="152">
        <f t="shared" ca="1" si="78"/>
        <v>0</v>
      </c>
      <c r="HN45" s="152">
        <f t="shared" ca="1" si="78"/>
        <v>0</v>
      </c>
      <c r="HO45" s="152">
        <f t="shared" ca="1" si="78"/>
        <v>0</v>
      </c>
      <c r="HP45" s="152">
        <f t="shared" ca="1" si="78"/>
        <v>0</v>
      </c>
      <c r="HQ45" s="152">
        <f t="shared" ca="1" si="79"/>
        <v>0</v>
      </c>
      <c r="HR45" s="152">
        <f t="shared" ca="1" si="79"/>
        <v>0</v>
      </c>
      <c r="HS45" s="152">
        <f t="shared" ca="1" si="79"/>
        <v>0</v>
      </c>
      <c r="HT45" s="152">
        <f t="shared" ca="1" si="79"/>
        <v>0</v>
      </c>
      <c r="HU45" s="152">
        <f t="shared" ca="1" si="79"/>
        <v>0</v>
      </c>
      <c r="HV45" s="152">
        <f t="shared" ca="1" si="79"/>
        <v>0</v>
      </c>
      <c r="HW45" s="152">
        <f t="shared" ca="1" si="79"/>
        <v>0</v>
      </c>
      <c r="HX45" s="152">
        <f t="shared" ca="1" si="79"/>
        <v>0</v>
      </c>
      <c r="HY45" s="152">
        <f t="shared" ca="1" si="79"/>
        <v>0</v>
      </c>
      <c r="HZ45" s="152">
        <f t="shared" ca="1" si="79"/>
        <v>0</v>
      </c>
      <c r="IA45" s="152">
        <f t="shared" ca="1" si="80"/>
        <v>0</v>
      </c>
      <c r="IB45" s="152">
        <f t="shared" ca="1" si="80"/>
        <v>0</v>
      </c>
      <c r="IC45" s="152">
        <f t="shared" ca="1" si="80"/>
        <v>0</v>
      </c>
      <c r="ID45" s="152">
        <f t="shared" ca="1" si="80"/>
        <v>0</v>
      </c>
      <c r="IE45" s="152">
        <f t="shared" ca="1" si="80"/>
        <v>0</v>
      </c>
      <c r="IF45" s="152">
        <f t="shared" ca="1" si="80"/>
        <v>0</v>
      </c>
      <c r="IG45" s="152">
        <f t="shared" ca="1" si="80"/>
        <v>0</v>
      </c>
      <c r="IH45" s="152">
        <f t="shared" ca="1" si="80"/>
        <v>0</v>
      </c>
      <c r="II45" s="152">
        <f t="shared" ca="1" si="80"/>
        <v>0</v>
      </c>
      <c r="IJ45" s="152">
        <f t="shared" ca="1" si="80"/>
        <v>0</v>
      </c>
      <c r="IK45" s="152">
        <f t="shared" ca="1" si="81"/>
        <v>0</v>
      </c>
      <c r="IL45" s="152">
        <f t="shared" ca="1" si="81"/>
        <v>0</v>
      </c>
      <c r="IM45" s="152">
        <f t="shared" ca="1" si="81"/>
        <v>0</v>
      </c>
      <c r="IN45" s="152">
        <f t="shared" ca="1" si="81"/>
        <v>0</v>
      </c>
      <c r="IO45" s="152">
        <f t="shared" ca="1" si="81"/>
        <v>0</v>
      </c>
      <c r="IP45" s="152">
        <f t="shared" ca="1" si="81"/>
        <v>0</v>
      </c>
      <c r="IQ45" s="152">
        <f t="shared" ca="1" si="81"/>
        <v>0</v>
      </c>
      <c r="IR45" s="152">
        <f t="shared" ca="1" si="81"/>
        <v>0</v>
      </c>
      <c r="IS45" s="152">
        <f t="shared" ca="1" si="81"/>
        <v>0</v>
      </c>
      <c r="IT45" s="152">
        <f t="shared" ca="1" si="81"/>
        <v>0</v>
      </c>
      <c r="IU45" s="152">
        <f t="shared" ca="1" si="82"/>
        <v>0</v>
      </c>
      <c r="IV45" s="152">
        <f t="shared" ca="1" si="82"/>
        <v>0</v>
      </c>
      <c r="IW45" s="152">
        <f t="shared" ca="1" si="82"/>
        <v>0</v>
      </c>
      <c r="IX45" s="152">
        <f t="shared" ca="1" si="82"/>
        <v>0</v>
      </c>
      <c r="IY45" s="152">
        <f t="shared" ca="1" si="82"/>
        <v>0</v>
      </c>
      <c r="IZ45" s="152">
        <f t="shared" ca="1" si="82"/>
        <v>0</v>
      </c>
      <c r="JA45" s="152">
        <f t="shared" ca="1" si="82"/>
        <v>0</v>
      </c>
      <c r="JB45" s="152">
        <f t="shared" ca="1" si="82"/>
        <v>0</v>
      </c>
      <c r="JC45" s="152">
        <f t="shared" ca="1" si="82"/>
        <v>0</v>
      </c>
      <c r="JD45" s="604"/>
    </row>
    <row r="46" spans="1:266" ht="12.75" customHeight="1" x14ac:dyDescent="0.25">
      <c r="A46" s="279"/>
      <c r="B46" s="41"/>
      <c r="C46" s="82"/>
      <c r="D46" s="41"/>
      <c r="E46" s="9"/>
      <c r="F46" s="9"/>
      <c r="G46" s="9"/>
      <c r="H46" s="10"/>
      <c r="I46" s="10"/>
      <c r="J46" s="10"/>
      <c r="K46" s="10"/>
      <c r="L46" s="10"/>
      <c r="M46" s="10"/>
      <c r="N46" s="9"/>
      <c r="O46" s="9"/>
      <c r="P46" s="44"/>
      <c r="Q46" s="44"/>
      <c r="R46" s="9"/>
      <c r="S46" s="9"/>
      <c r="T46" s="9"/>
      <c r="U46" s="9"/>
      <c r="V46" s="9"/>
      <c r="W46" s="9"/>
      <c r="X46" s="9"/>
      <c r="Y46" s="9"/>
      <c r="Z46" s="9"/>
      <c r="AA46" s="9"/>
      <c r="AB46" s="9"/>
      <c r="AC46" s="9"/>
      <c r="AD46" s="650">
        <f t="shared" si="64"/>
        <v>114</v>
      </c>
      <c r="AE46" s="654">
        <f ca="1">OFFSET('2 Staff List'!$IB$64,AJ46-1,0)</f>
        <v>0</v>
      </c>
      <c r="AF46" s="654">
        <f t="shared" si="65"/>
        <v>173.92857142857142</v>
      </c>
      <c r="AG46" s="9"/>
      <c r="AH46" s="654">
        <f t="shared" si="66"/>
        <v>239.15178571428569</v>
      </c>
      <c r="AI46" s="654">
        <f t="shared" si="67"/>
        <v>51</v>
      </c>
      <c r="AJ46" s="654">
        <f ca="1">OFFSET('2 Staff List'!$GU$64,AI46-1,0)</f>
        <v>0</v>
      </c>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1280">
        <f ca="1">OFFSET('2 Staff List'!$HW$64,AJ46-1,0)</f>
        <v>0</v>
      </c>
      <c r="DZ46" s="1281">
        <f ca="1">OFFSET('2 Staff List'!$HZ$64,AJ46-1,0)</f>
        <v>0</v>
      </c>
      <c r="EA46" s="3669">
        <f ca="1">OFFSET('2 Staff List'!$IA$64,AJ46-1,0)</f>
        <v>0</v>
      </c>
      <c r="EB46" s="3670"/>
      <c r="EC46" s="3673">
        <f t="shared" ca="1" si="68"/>
        <v>0</v>
      </c>
      <c r="ED46" s="3674"/>
      <c r="EE46" s="3675"/>
      <c r="EF46" s="3676"/>
      <c r="EG46" s="154">
        <f t="shared" ca="1" si="69"/>
        <v>0</v>
      </c>
      <c r="EH46" s="152">
        <f t="shared" ca="1" si="69"/>
        <v>0</v>
      </c>
      <c r="EI46" s="152">
        <f t="shared" ca="1" si="69"/>
        <v>0</v>
      </c>
      <c r="EJ46" s="152">
        <f t="shared" ca="1" si="69"/>
        <v>0</v>
      </c>
      <c r="EK46" s="152">
        <f t="shared" ca="1" si="69"/>
        <v>0</v>
      </c>
      <c r="EL46" s="152">
        <f t="shared" ca="1" si="69"/>
        <v>0</v>
      </c>
      <c r="EM46" s="152">
        <f t="shared" ca="1" si="69"/>
        <v>0</v>
      </c>
      <c r="EN46" s="152">
        <f t="shared" ca="1" si="69"/>
        <v>0</v>
      </c>
      <c r="EO46" s="152">
        <f t="shared" ca="1" si="69"/>
        <v>0</v>
      </c>
      <c r="EP46" s="152">
        <f t="shared" ca="1" si="69"/>
        <v>0</v>
      </c>
      <c r="EQ46" s="152">
        <f t="shared" ca="1" si="70"/>
        <v>0</v>
      </c>
      <c r="ER46" s="152">
        <f t="shared" ca="1" si="70"/>
        <v>0</v>
      </c>
      <c r="ES46" s="152">
        <f t="shared" ca="1" si="70"/>
        <v>0</v>
      </c>
      <c r="ET46" s="152">
        <f t="shared" ca="1" si="70"/>
        <v>0</v>
      </c>
      <c r="EU46" s="152">
        <f t="shared" ca="1" si="70"/>
        <v>0</v>
      </c>
      <c r="EV46" s="152">
        <f t="shared" ca="1" si="70"/>
        <v>0</v>
      </c>
      <c r="EW46" s="152">
        <f t="shared" ca="1" si="70"/>
        <v>0</v>
      </c>
      <c r="EX46" s="152">
        <f t="shared" ca="1" si="83"/>
        <v>0</v>
      </c>
      <c r="EY46" s="152">
        <f t="shared" ca="1" si="72"/>
        <v>0</v>
      </c>
      <c r="EZ46" s="152">
        <f t="shared" ca="1" si="72"/>
        <v>0</v>
      </c>
      <c r="FA46" s="152">
        <f t="shared" ca="1" si="72"/>
        <v>0</v>
      </c>
      <c r="FB46" s="152">
        <f t="shared" ca="1" si="72"/>
        <v>0</v>
      </c>
      <c r="FC46" s="152">
        <f t="shared" ca="1" si="72"/>
        <v>0</v>
      </c>
      <c r="FD46" s="152">
        <f t="shared" ca="1" si="72"/>
        <v>0</v>
      </c>
      <c r="FE46" s="152">
        <f t="shared" ca="1" si="72"/>
        <v>0</v>
      </c>
      <c r="FF46" s="152">
        <f t="shared" ca="1" si="72"/>
        <v>0</v>
      </c>
      <c r="FG46" s="152">
        <f t="shared" ca="1" si="72"/>
        <v>0</v>
      </c>
      <c r="FH46" s="152">
        <f t="shared" ca="1" si="72"/>
        <v>0</v>
      </c>
      <c r="FI46" s="152">
        <f t="shared" ca="1" si="73"/>
        <v>0</v>
      </c>
      <c r="FJ46" s="152">
        <f t="shared" ca="1" si="73"/>
        <v>0</v>
      </c>
      <c r="FK46" s="152">
        <f t="shared" ca="1" si="73"/>
        <v>0</v>
      </c>
      <c r="FL46" s="152">
        <f t="shared" ca="1" si="73"/>
        <v>0</v>
      </c>
      <c r="FM46" s="152">
        <f t="shared" ca="1" si="73"/>
        <v>0</v>
      </c>
      <c r="FN46" s="152">
        <f t="shared" ca="1" si="73"/>
        <v>0</v>
      </c>
      <c r="FO46" s="152">
        <f t="shared" ca="1" si="73"/>
        <v>0</v>
      </c>
      <c r="FP46" s="152">
        <f t="shared" ca="1" si="73"/>
        <v>0</v>
      </c>
      <c r="FQ46" s="152">
        <f t="shared" ca="1" si="73"/>
        <v>0</v>
      </c>
      <c r="FR46" s="152">
        <f t="shared" ca="1" si="73"/>
        <v>0</v>
      </c>
      <c r="FS46" s="152">
        <f t="shared" ca="1" si="74"/>
        <v>0</v>
      </c>
      <c r="FT46" s="152">
        <f t="shared" ca="1" si="74"/>
        <v>0</v>
      </c>
      <c r="FU46" s="152">
        <f t="shared" ca="1" si="74"/>
        <v>0</v>
      </c>
      <c r="FV46" s="152">
        <f t="shared" ca="1" si="74"/>
        <v>0</v>
      </c>
      <c r="FW46" s="152">
        <f t="shared" ca="1" si="74"/>
        <v>0</v>
      </c>
      <c r="FX46" s="152">
        <f t="shared" ca="1" si="74"/>
        <v>0</v>
      </c>
      <c r="FY46" s="152">
        <f t="shared" ca="1" si="74"/>
        <v>0</v>
      </c>
      <c r="FZ46" s="152">
        <f t="shared" ca="1" si="74"/>
        <v>0</v>
      </c>
      <c r="GA46" s="152">
        <f t="shared" ca="1" si="74"/>
        <v>0</v>
      </c>
      <c r="GB46" s="152">
        <f t="shared" ca="1" si="74"/>
        <v>0</v>
      </c>
      <c r="GC46" s="152">
        <f t="shared" ca="1" si="75"/>
        <v>0</v>
      </c>
      <c r="GD46" s="152">
        <f t="shared" ca="1" si="75"/>
        <v>0</v>
      </c>
      <c r="GE46" s="152">
        <f t="shared" ca="1" si="75"/>
        <v>0</v>
      </c>
      <c r="GF46" s="152">
        <f t="shared" ca="1" si="75"/>
        <v>0</v>
      </c>
      <c r="GG46" s="152">
        <f t="shared" ca="1" si="75"/>
        <v>0</v>
      </c>
      <c r="GH46" s="152">
        <f t="shared" ca="1" si="75"/>
        <v>0</v>
      </c>
      <c r="GI46" s="152">
        <f t="shared" ca="1" si="75"/>
        <v>0</v>
      </c>
      <c r="GJ46" s="152">
        <f t="shared" ca="1" si="75"/>
        <v>0</v>
      </c>
      <c r="GK46" s="152">
        <f t="shared" ca="1" si="75"/>
        <v>0</v>
      </c>
      <c r="GL46" s="152">
        <f t="shared" ca="1" si="75"/>
        <v>0</v>
      </c>
      <c r="GM46" s="152">
        <f t="shared" ca="1" si="76"/>
        <v>0</v>
      </c>
      <c r="GN46" s="152">
        <f t="shared" ca="1" si="76"/>
        <v>0</v>
      </c>
      <c r="GO46" s="152">
        <f t="shared" ca="1" si="76"/>
        <v>0</v>
      </c>
      <c r="GP46" s="152">
        <f t="shared" ca="1" si="76"/>
        <v>0</v>
      </c>
      <c r="GQ46" s="152">
        <f t="shared" ca="1" si="76"/>
        <v>0</v>
      </c>
      <c r="GR46" s="152">
        <f t="shared" ca="1" si="76"/>
        <v>0</v>
      </c>
      <c r="GS46" s="152">
        <f t="shared" ca="1" si="76"/>
        <v>0</v>
      </c>
      <c r="GT46" s="152">
        <f t="shared" ca="1" si="76"/>
        <v>0</v>
      </c>
      <c r="GU46" s="152">
        <f t="shared" ca="1" si="76"/>
        <v>0</v>
      </c>
      <c r="GV46" s="152">
        <f t="shared" ca="1" si="76"/>
        <v>0</v>
      </c>
      <c r="GW46" s="152">
        <f t="shared" ca="1" si="77"/>
        <v>0</v>
      </c>
      <c r="GX46" s="152">
        <f t="shared" ca="1" si="77"/>
        <v>0</v>
      </c>
      <c r="GY46" s="152">
        <f t="shared" ca="1" si="77"/>
        <v>0</v>
      </c>
      <c r="GZ46" s="152">
        <f t="shared" ca="1" si="77"/>
        <v>0</v>
      </c>
      <c r="HA46" s="152">
        <f t="shared" ca="1" si="77"/>
        <v>0</v>
      </c>
      <c r="HB46" s="152">
        <f t="shared" ca="1" si="77"/>
        <v>0</v>
      </c>
      <c r="HC46" s="152">
        <f t="shared" ca="1" si="77"/>
        <v>0</v>
      </c>
      <c r="HD46" s="152">
        <f t="shared" ca="1" si="77"/>
        <v>0</v>
      </c>
      <c r="HE46" s="152">
        <f t="shared" ca="1" si="77"/>
        <v>0</v>
      </c>
      <c r="HF46" s="152">
        <f t="shared" ca="1" si="77"/>
        <v>0</v>
      </c>
      <c r="HG46" s="152">
        <f t="shared" ca="1" si="78"/>
        <v>0</v>
      </c>
      <c r="HH46" s="152">
        <f t="shared" ca="1" si="78"/>
        <v>0</v>
      </c>
      <c r="HI46" s="152">
        <f t="shared" ca="1" si="78"/>
        <v>0</v>
      </c>
      <c r="HJ46" s="152">
        <f t="shared" ca="1" si="78"/>
        <v>0</v>
      </c>
      <c r="HK46" s="152">
        <f t="shared" ca="1" si="78"/>
        <v>0</v>
      </c>
      <c r="HL46" s="152">
        <f t="shared" ca="1" si="78"/>
        <v>0</v>
      </c>
      <c r="HM46" s="152">
        <f t="shared" ca="1" si="78"/>
        <v>0</v>
      </c>
      <c r="HN46" s="152">
        <f t="shared" ca="1" si="78"/>
        <v>0</v>
      </c>
      <c r="HO46" s="152">
        <f t="shared" ca="1" si="78"/>
        <v>0</v>
      </c>
      <c r="HP46" s="152">
        <f t="shared" ca="1" si="78"/>
        <v>0</v>
      </c>
      <c r="HQ46" s="152">
        <f t="shared" ca="1" si="79"/>
        <v>0</v>
      </c>
      <c r="HR46" s="152">
        <f t="shared" ca="1" si="79"/>
        <v>0</v>
      </c>
      <c r="HS46" s="152">
        <f t="shared" ca="1" si="79"/>
        <v>0</v>
      </c>
      <c r="HT46" s="152">
        <f t="shared" ca="1" si="79"/>
        <v>0</v>
      </c>
      <c r="HU46" s="152">
        <f t="shared" ca="1" si="79"/>
        <v>0</v>
      </c>
      <c r="HV46" s="152">
        <f t="shared" ca="1" si="79"/>
        <v>0</v>
      </c>
      <c r="HW46" s="152">
        <f t="shared" ca="1" si="79"/>
        <v>0</v>
      </c>
      <c r="HX46" s="152">
        <f t="shared" ca="1" si="79"/>
        <v>0</v>
      </c>
      <c r="HY46" s="152">
        <f t="shared" ca="1" si="79"/>
        <v>0</v>
      </c>
      <c r="HZ46" s="152">
        <f t="shared" ca="1" si="79"/>
        <v>0</v>
      </c>
      <c r="IA46" s="152">
        <f t="shared" ca="1" si="80"/>
        <v>0</v>
      </c>
      <c r="IB46" s="152">
        <f t="shared" ca="1" si="80"/>
        <v>0</v>
      </c>
      <c r="IC46" s="152">
        <f t="shared" ca="1" si="80"/>
        <v>0</v>
      </c>
      <c r="ID46" s="152">
        <f t="shared" ca="1" si="80"/>
        <v>0</v>
      </c>
      <c r="IE46" s="152">
        <f t="shared" ca="1" si="80"/>
        <v>0</v>
      </c>
      <c r="IF46" s="152">
        <f t="shared" ca="1" si="80"/>
        <v>0</v>
      </c>
      <c r="IG46" s="152">
        <f t="shared" ca="1" si="80"/>
        <v>0</v>
      </c>
      <c r="IH46" s="152">
        <f t="shared" ca="1" si="80"/>
        <v>0</v>
      </c>
      <c r="II46" s="152">
        <f t="shared" ca="1" si="80"/>
        <v>0</v>
      </c>
      <c r="IJ46" s="152">
        <f t="shared" ca="1" si="80"/>
        <v>0</v>
      </c>
      <c r="IK46" s="152">
        <f t="shared" ca="1" si="81"/>
        <v>0</v>
      </c>
      <c r="IL46" s="152">
        <f t="shared" ca="1" si="81"/>
        <v>0</v>
      </c>
      <c r="IM46" s="152">
        <f t="shared" ca="1" si="81"/>
        <v>0</v>
      </c>
      <c r="IN46" s="152">
        <f t="shared" ca="1" si="81"/>
        <v>0</v>
      </c>
      <c r="IO46" s="152">
        <f t="shared" ca="1" si="81"/>
        <v>0</v>
      </c>
      <c r="IP46" s="152">
        <f t="shared" ca="1" si="81"/>
        <v>0</v>
      </c>
      <c r="IQ46" s="152">
        <f t="shared" ca="1" si="81"/>
        <v>0</v>
      </c>
      <c r="IR46" s="152">
        <f t="shared" ca="1" si="81"/>
        <v>0</v>
      </c>
      <c r="IS46" s="152">
        <f t="shared" ca="1" si="81"/>
        <v>0</v>
      </c>
      <c r="IT46" s="152">
        <f t="shared" ca="1" si="81"/>
        <v>0</v>
      </c>
      <c r="IU46" s="152">
        <f t="shared" ca="1" si="82"/>
        <v>0</v>
      </c>
      <c r="IV46" s="152">
        <f t="shared" ca="1" si="82"/>
        <v>0</v>
      </c>
      <c r="IW46" s="152">
        <f t="shared" ca="1" si="82"/>
        <v>0</v>
      </c>
      <c r="IX46" s="152">
        <f t="shared" ca="1" si="82"/>
        <v>0</v>
      </c>
      <c r="IY46" s="152">
        <f t="shared" ca="1" si="82"/>
        <v>0</v>
      </c>
      <c r="IZ46" s="152">
        <f t="shared" ca="1" si="82"/>
        <v>0</v>
      </c>
      <c r="JA46" s="152">
        <f t="shared" ca="1" si="82"/>
        <v>0</v>
      </c>
      <c r="JB46" s="152">
        <f t="shared" ca="1" si="82"/>
        <v>0</v>
      </c>
      <c r="JC46" s="152">
        <f t="shared" ca="1" si="82"/>
        <v>0</v>
      </c>
      <c r="JD46" s="604"/>
    </row>
    <row r="47" spans="1:266" ht="12.75" customHeight="1" x14ac:dyDescent="0.25">
      <c r="A47" s="279"/>
      <c r="B47" s="41"/>
      <c r="C47" s="82"/>
      <c r="D47" s="41"/>
      <c r="E47" s="9"/>
      <c r="F47" s="9"/>
      <c r="G47" s="9"/>
      <c r="H47" s="10"/>
      <c r="I47" s="10"/>
      <c r="J47" s="10"/>
      <c r="K47" s="10"/>
      <c r="L47" s="10"/>
      <c r="M47" s="10"/>
      <c r="N47" s="9"/>
      <c r="O47" s="9"/>
      <c r="P47" s="44"/>
      <c r="Q47" s="44"/>
      <c r="R47" s="9"/>
      <c r="S47" s="9"/>
      <c r="T47" s="9"/>
      <c r="U47" s="9"/>
      <c r="V47" s="9"/>
      <c r="W47" s="9"/>
      <c r="X47" s="9"/>
      <c r="Y47" s="9"/>
      <c r="Z47" s="9"/>
      <c r="AA47" s="9"/>
      <c r="AB47" s="9"/>
      <c r="AC47" s="9"/>
      <c r="AD47" s="650">
        <f t="shared" si="64"/>
        <v>113</v>
      </c>
      <c r="AE47" s="654">
        <f ca="1">OFFSET('2 Staff List'!$IB$64,AJ47-1,0)</f>
        <v>0</v>
      </c>
      <c r="AF47" s="654">
        <f t="shared" si="65"/>
        <v>173.92857142857142</v>
      </c>
      <c r="AG47" s="9"/>
      <c r="AH47" s="654">
        <f t="shared" si="66"/>
        <v>239.15178571428569</v>
      </c>
      <c r="AI47" s="654">
        <f t="shared" si="67"/>
        <v>50</v>
      </c>
      <c r="AJ47" s="654">
        <f ca="1">OFFSET('2 Staff List'!$GU$64,AI47-1,0)</f>
        <v>50</v>
      </c>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1280">
        <f ca="1">OFFSET('2 Staff List'!$HW$64,AJ47-1,0)</f>
        <v>0</v>
      </c>
      <c r="DZ47" s="1281">
        <f ca="1">OFFSET('2 Staff List'!$HZ$64,AJ47-1,0)</f>
        <v>0</v>
      </c>
      <c r="EA47" s="3669">
        <f ca="1">OFFSET('2 Staff List'!$IA$64,AJ47-1,0)</f>
        <v>0</v>
      </c>
      <c r="EB47" s="3670"/>
      <c r="EC47" s="3673">
        <f t="shared" ca="1" si="68"/>
        <v>0</v>
      </c>
      <c r="ED47" s="3674"/>
      <c r="EE47" s="3675"/>
      <c r="EF47" s="3676"/>
      <c r="EG47" s="154">
        <f t="shared" ca="1" si="69"/>
        <v>0</v>
      </c>
      <c r="EH47" s="152">
        <f t="shared" ca="1" si="69"/>
        <v>0</v>
      </c>
      <c r="EI47" s="152">
        <f t="shared" ca="1" si="69"/>
        <v>0</v>
      </c>
      <c r="EJ47" s="152">
        <f t="shared" ca="1" si="69"/>
        <v>0</v>
      </c>
      <c r="EK47" s="152">
        <f t="shared" ca="1" si="69"/>
        <v>0</v>
      </c>
      <c r="EL47" s="152">
        <f t="shared" ca="1" si="69"/>
        <v>0</v>
      </c>
      <c r="EM47" s="152">
        <f t="shared" ca="1" si="69"/>
        <v>0</v>
      </c>
      <c r="EN47" s="152">
        <f t="shared" ca="1" si="69"/>
        <v>0</v>
      </c>
      <c r="EO47" s="152">
        <f t="shared" ca="1" si="69"/>
        <v>0</v>
      </c>
      <c r="EP47" s="152">
        <f t="shared" ca="1" si="69"/>
        <v>0</v>
      </c>
      <c r="EQ47" s="152">
        <f t="shared" ca="1" si="70"/>
        <v>0</v>
      </c>
      <c r="ER47" s="152">
        <f t="shared" ca="1" si="70"/>
        <v>0</v>
      </c>
      <c r="ES47" s="152">
        <f t="shared" ca="1" si="70"/>
        <v>0</v>
      </c>
      <c r="ET47" s="152">
        <f t="shared" ca="1" si="70"/>
        <v>0</v>
      </c>
      <c r="EU47" s="152">
        <f t="shared" ca="1" si="70"/>
        <v>0</v>
      </c>
      <c r="EV47" s="152">
        <f t="shared" ca="1" si="70"/>
        <v>0</v>
      </c>
      <c r="EW47" s="152">
        <f t="shared" ca="1" si="70"/>
        <v>0</v>
      </c>
      <c r="EX47" s="152">
        <f t="shared" ca="1" si="83"/>
        <v>0</v>
      </c>
      <c r="EY47" s="152">
        <f t="shared" ca="1" si="72"/>
        <v>0</v>
      </c>
      <c r="EZ47" s="152">
        <f t="shared" ca="1" si="72"/>
        <v>0</v>
      </c>
      <c r="FA47" s="152">
        <f t="shared" ca="1" si="72"/>
        <v>0</v>
      </c>
      <c r="FB47" s="152">
        <f t="shared" ca="1" si="72"/>
        <v>0</v>
      </c>
      <c r="FC47" s="152">
        <f t="shared" ca="1" si="72"/>
        <v>0</v>
      </c>
      <c r="FD47" s="152">
        <f t="shared" ca="1" si="72"/>
        <v>0</v>
      </c>
      <c r="FE47" s="152">
        <f t="shared" ca="1" si="72"/>
        <v>0</v>
      </c>
      <c r="FF47" s="152">
        <f t="shared" ca="1" si="72"/>
        <v>0</v>
      </c>
      <c r="FG47" s="152">
        <f t="shared" ca="1" si="72"/>
        <v>0</v>
      </c>
      <c r="FH47" s="152">
        <f t="shared" ca="1" si="72"/>
        <v>0</v>
      </c>
      <c r="FI47" s="152">
        <f t="shared" ca="1" si="73"/>
        <v>0</v>
      </c>
      <c r="FJ47" s="152">
        <f t="shared" ca="1" si="73"/>
        <v>0</v>
      </c>
      <c r="FK47" s="152">
        <f t="shared" ca="1" si="73"/>
        <v>0</v>
      </c>
      <c r="FL47" s="152">
        <f t="shared" ca="1" si="73"/>
        <v>0</v>
      </c>
      <c r="FM47" s="152">
        <f t="shared" ca="1" si="73"/>
        <v>0</v>
      </c>
      <c r="FN47" s="152">
        <f t="shared" ca="1" si="73"/>
        <v>0</v>
      </c>
      <c r="FO47" s="152">
        <f t="shared" ca="1" si="73"/>
        <v>0</v>
      </c>
      <c r="FP47" s="152">
        <f t="shared" ca="1" si="73"/>
        <v>0</v>
      </c>
      <c r="FQ47" s="152">
        <f t="shared" ca="1" si="73"/>
        <v>0</v>
      </c>
      <c r="FR47" s="152">
        <f t="shared" ca="1" si="73"/>
        <v>0</v>
      </c>
      <c r="FS47" s="152">
        <f t="shared" ca="1" si="74"/>
        <v>0</v>
      </c>
      <c r="FT47" s="152">
        <f t="shared" ca="1" si="74"/>
        <v>0</v>
      </c>
      <c r="FU47" s="152">
        <f t="shared" ca="1" si="74"/>
        <v>0</v>
      </c>
      <c r="FV47" s="152">
        <f t="shared" ca="1" si="74"/>
        <v>0</v>
      </c>
      <c r="FW47" s="152">
        <f t="shared" ca="1" si="74"/>
        <v>0</v>
      </c>
      <c r="FX47" s="152">
        <f t="shared" ca="1" si="74"/>
        <v>0</v>
      </c>
      <c r="FY47" s="152">
        <f t="shared" ca="1" si="74"/>
        <v>0</v>
      </c>
      <c r="FZ47" s="152">
        <f t="shared" ca="1" si="74"/>
        <v>0</v>
      </c>
      <c r="GA47" s="152">
        <f t="shared" ca="1" si="74"/>
        <v>0</v>
      </c>
      <c r="GB47" s="152">
        <f t="shared" ca="1" si="74"/>
        <v>0</v>
      </c>
      <c r="GC47" s="152">
        <f t="shared" ca="1" si="75"/>
        <v>0</v>
      </c>
      <c r="GD47" s="152">
        <f t="shared" ca="1" si="75"/>
        <v>0</v>
      </c>
      <c r="GE47" s="152">
        <f t="shared" ca="1" si="75"/>
        <v>0</v>
      </c>
      <c r="GF47" s="152">
        <f t="shared" ca="1" si="75"/>
        <v>0</v>
      </c>
      <c r="GG47" s="152">
        <f t="shared" ca="1" si="75"/>
        <v>0</v>
      </c>
      <c r="GH47" s="152">
        <f t="shared" ca="1" si="75"/>
        <v>0</v>
      </c>
      <c r="GI47" s="152">
        <f t="shared" ca="1" si="75"/>
        <v>0</v>
      </c>
      <c r="GJ47" s="152">
        <f t="shared" ca="1" si="75"/>
        <v>0</v>
      </c>
      <c r="GK47" s="152">
        <f t="shared" ca="1" si="75"/>
        <v>0</v>
      </c>
      <c r="GL47" s="152">
        <f t="shared" ca="1" si="75"/>
        <v>0</v>
      </c>
      <c r="GM47" s="152">
        <f t="shared" ca="1" si="76"/>
        <v>0</v>
      </c>
      <c r="GN47" s="152">
        <f t="shared" ca="1" si="76"/>
        <v>0</v>
      </c>
      <c r="GO47" s="152">
        <f t="shared" ca="1" si="76"/>
        <v>0</v>
      </c>
      <c r="GP47" s="152">
        <f t="shared" ca="1" si="76"/>
        <v>0</v>
      </c>
      <c r="GQ47" s="152">
        <f t="shared" ca="1" si="76"/>
        <v>0</v>
      </c>
      <c r="GR47" s="152">
        <f t="shared" ca="1" si="76"/>
        <v>0</v>
      </c>
      <c r="GS47" s="152">
        <f t="shared" ca="1" si="76"/>
        <v>0</v>
      </c>
      <c r="GT47" s="152">
        <f t="shared" ca="1" si="76"/>
        <v>0</v>
      </c>
      <c r="GU47" s="152">
        <f t="shared" ca="1" si="76"/>
        <v>0</v>
      </c>
      <c r="GV47" s="152">
        <f t="shared" ca="1" si="76"/>
        <v>0</v>
      </c>
      <c r="GW47" s="152">
        <f t="shared" ca="1" si="77"/>
        <v>0</v>
      </c>
      <c r="GX47" s="152">
        <f t="shared" ca="1" si="77"/>
        <v>0</v>
      </c>
      <c r="GY47" s="152">
        <f t="shared" ca="1" si="77"/>
        <v>0</v>
      </c>
      <c r="GZ47" s="152">
        <f t="shared" ca="1" si="77"/>
        <v>0</v>
      </c>
      <c r="HA47" s="152">
        <f t="shared" ca="1" si="77"/>
        <v>0</v>
      </c>
      <c r="HB47" s="152">
        <f t="shared" ca="1" si="77"/>
        <v>0</v>
      </c>
      <c r="HC47" s="152">
        <f t="shared" ca="1" si="77"/>
        <v>0</v>
      </c>
      <c r="HD47" s="152">
        <f t="shared" ca="1" si="77"/>
        <v>0</v>
      </c>
      <c r="HE47" s="152">
        <f t="shared" ca="1" si="77"/>
        <v>0</v>
      </c>
      <c r="HF47" s="152">
        <f t="shared" ca="1" si="77"/>
        <v>0</v>
      </c>
      <c r="HG47" s="152">
        <f t="shared" ca="1" si="78"/>
        <v>0</v>
      </c>
      <c r="HH47" s="152">
        <f t="shared" ca="1" si="78"/>
        <v>0</v>
      </c>
      <c r="HI47" s="152">
        <f t="shared" ca="1" si="78"/>
        <v>0</v>
      </c>
      <c r="HJ47" s="152">
        <f t="shared" ca="1" si="78"/>
        <v>0</v>
      </c>
      <c r="HK47" s="152">
        <f t="shared" ca="1" si="78"/>
        <v>0</v>
      </c>
      <c r="HL47" s="152">
        <f t="shared" ca="1" si="78"/>
        <v>0</v>
      </c>
      <c r="HM47" s="152">
        <f t="shared" ca="1" si="78"/>
        <v>0</v>
      </c>
      <c r="HN47" s="152">
        <f t="shared" ca="1" si="78"/>
        <v>0</v>
      </c>
      <c r="HO47" s="152">
        <f t="shared" ca="1" si="78"/>
        <v>0</v>
      </c>
      <c r="HP47" s="152">
        <f t="shared" ca="1" si="78"/>
        <v>0</v>
      </c>
      <c r="HQ47" s="152">
        <f t="shared" ca="1" si="79"/>
        <v>0</v>
      </c>
      <c r="HR47" s="152">
        <f t="shared" ca="1" si="79"/>
        <v>0</v>
      </c>
      <c r="HS47" s="152">
        <f t="shared" ca="1" si="79"/>
        <v>0</v>
      </c>
      <c r="HT47" s="152">
        <f t="shared" ca="1" si="79"/>
        <v>0</v>
      </c>
      <c r="HU47" s="152">
        <f t="shared" ca="1" si="79"/>
        <v>0</v>
      </c>
      <c r="HV47" s="152">
        <f t="shared" ca="1" si="79"/>
        <v>0</v>
      </c>
      <c r="HW47" s="152">
        <f t="shared" ca="1" si="79"/>
        <v>0</v>
      </c>
      <c r="HX47" s="152">
        <f t="shared" ca="1" si="79"/>
        <v>0</v>
      </c>
      <c r="HY47" s="152">
        <f t="shared" ca="1" si="79"/>
        <v>0</v>
      </c>
      <c r="HZ47" s="152">
        <f t="shared" ca="1" si="79"/>
        <v>0</v>
      </c>
      <c r="IA47" s="152">
        <f t="shared" ca="1" si="80"/>
        <v>0</v>
      </c>
      <c r="IB47" s="152">
        <f t="shared" ca="1" si="80"/>
        <v>0</v>
      </c>
      <c r="IC47" s="152">
        <f t="shared" ca="1" si="80"/>
        <v>0</v>
      </c>
      <c r="ID47" s="152">
        <f t="shared" ca="1" si="80"/>
        <v>0</v>
      </c>
      <c r="IE47" s="152">
        <f t="shared" ca="1" si="80"/>
        <v>0</v>
      </c>
      <c r="IF47" s="152">
        <f t="shared" ca="1" si="80"/>
        <v>0</v>
      </c>
      <c r="IG47" s="152">
        <f t="shared" ca="1" si="80"/>
        <v>0</v>
      </c>
      <c r="IH47" s="152">
        <f t="shared" ca="1" si="80"/>
        <v>0</v>
      </c>
      <c r="II47" s="152">
        <f t="shared" ca="1" si="80"/>
        <v>0</v>
      </c>
      <c r="IJ47" s="152">
        <f t="shared" ca="1" si="80"/>
        <v>0</v>
      </c>
      <c r="IK47" s="152">
        <f t="shared" ca="1" si="81"/>
        <v>0</v>
      </c>
      <c r="IL47" s="152">
        <f t="shared" ca="1" si="81"/>
        <v>0</v>
      </c>
      <c r="IM47" s="152">
        <f t="shared" ca="1" si="81"/>
        <v>0</v>
      </c>
      <c r="IN47" s="152">
        <f t="shared" ca="1" si="81"/>
        <v>0</v>
      </c>
      <c r="IO47" s="152">
        <f t="shared" ca="1" si="81"/>
        <v>0</v>
      </c>
      <c r="IP47" s="152">
        <f t="shared" ca="1" si="81"/>
        <v>0</v>
      </c>
      <c r="IQ47" s="152">
        <f t="shared" ca="1" si="81"/>
        <v>0</v>
      </c>
      <c r="IR47" s="152">
        <f t="shared" ca="1" si="81"/>
        <v>0</v>
      </c>
      <c r="IS47" s="152">
        <f t="shared" ca="1" si="81"/>
        <v>0</v>
      </c>
      <c r="IT47" s="152">
        <f t="shared" ca="1" si="81"/>
        <v>0</v>
      </c>
      <c r="IU47" s="152">
        <f t="shared" ca="1" si="82"/>
        <v>0</v>
      </c>
      <c r="IV47" s="152">
        <f t="shared" ca="1" si="82"/>
        <v>0</v>
      </c>
      <c r="IW47" s="152">
        <f t="shared" ca="1" si="82"/>
        <v>0</v>
      </c>
      <c r="IX47" s="152">
        <f t="shared" ca="1" si="82"/>
        <v>0</v>
      </c>
      <c r="IY47" s="152">
        <f t="shared" ca="1" si="82"/>
        <v>0</v>
      </c>
      <c r="IZ47" s="152">
        <f t="shared" ca="1" si="82"/>
        <v>0</v>
      </c>
      <c r="JA47" s="152">
        <f t="shared" ca="1" si="82"/>
        <v>0</v>
      </c>
      <c r="JB47" s="152">
        <f t="shared" ca="1" si="82"/>
        <v>0</v>
      </c>
      <c r="JC47" s="152">
        <f t="shared" ca="1" si="82"/>
        <v>0</v>
      </c>
      <c r="JD47" s="604"/>
    </row>
    <row r="48" spans="1:266" ht="12.75" customHeight="1" x14ac:dyDescent="0.25">
      <c r="A48" s="279"/>
      <c r="B48" s="41"/>
      <c r="C48" s="82"/>
      <c r="D48" s="41"/>
      <c r="E48" s="9"/>
      <c r="F48" s="9"/>
      <c r="G48" s="9"/>
      <c r="H48" s="10"/>
      <c r="I48" s="10"/>
      <c r="J48" s="10"/>
      <c r="K48" s="10"/>
      <c r="L48" s="10"/>
      <c r="M48" s="10"/>
      <c r="N48" s="9"/>
      <c r="O48" s="9"/>
      <c r="P48" s="44"/>
      <c r="Q48" s="44"/>
      <c r="R48" s="9"/>
      <c r="S48" s="9"/>
      <c r="T48" s="9"/>
      <c r="U48" s="9"/>
      <c r="V48" s="9"/>
      <c r="W48" s="9"/>
      <c r="X48" s="9"/>
      <c r="Y48" s="9"/>
      <c r="Z48" s="9"/>
      <c r="AA48" s="9"/>
      <c r="AB48" s="9"/>
      <c r="AC48" s="9"/>
      <c r="AD48" s="650">
        <f t="shared" si="64"/>
        <v>112</v>
      </c>
      <c r="AE48" s="654">
        <f ca="1">OFFSET('2 Staff List'!$IB$64,AJ48-1,0)</f>
        <v>0</v>
      </c>
      <c r="AF48" s="654">
        <f t="shared" si="65"/>
        <v>173.92857142857142</v>
      </c>
      <c r="AG48" s="9"/>
      <c r="AH48" s="654">
        <f t="shared" si="66"/>
        <v>239.15178571428569</v>
      </c>
      <c r="AI48" s="654">
        <f t="shared" si="67"/>
        <v>49</v>
      </c>
      <c r="AJ48" s="654">
        <f ca="1">OFFSET('2 Staff List'!$GU$64,AI48-1,0)</f>
        <v>49</v>
      </c>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c r="DX48" s="9"/>
      <c r="DY48" s="1280">
        <f ca="1">OFFSET('2 Staff List'!$HW$64,AJ48-1,0)</f>
        <v>0</v>
      </c>
      <c r="DZ48" s="1281">
        <f ca="1">OFFSET('2 Staff List'!$HZ$64,AJ48-1,0)</f>
        <v>0</v>
      </c>
      <c r="EA48" s="3669">
        <f ca="1">OFFSET('2 Staff List'!$IA$64,AJ48-1,0)</f>
        <v>0</v>
      </c>
      <c r="EB48" s="3670"/>
      <c r="EC48" s="3673">
        <f t="shared" ca="1" si="68"/>
        <v>0</v>
      </c>
      <c r="ED48" s="3674"/>
      <c r="EE48" s="3675"/>
      <c r="EF48" s="3676"/>
      <c r="EG48" s="154">
        <f t="shared" ca="1" si="69"/>
        <v>0</v>
      </c>
      <c r="EH48" s="152">
        <f t="shared" ca="1" si="69"/>
        <v>0</v>
      </c>
      <c r="EI48" s="152">
        <f t="shared" ca="1" si="69"/>
        <v>0</v>
      </c>
      <c r="EJ48" s="152">
        <f t="shared" ca="1" si="69"/>
        <v>0</v>
      </c>
      <c r="EK48" s="152">
        <f t="shared" ca="1" si="69"/>
        <v>0</v>
      </c>
      <c r="EL48" s="152">
        <f t="shared" ca="1" si="69"/>
        <v>0</v>
      </c>
      <c r="EM48" s="152">
        <f t="shared" ca="1" si="69"/>
        <v>0</v>
      </c>
      <c r="EN48" s="152">
        <f t="shared" ca="1" si="69"/>
        <v>0</v>
      </c>
      <c r="EO48" s="152">
        <f t="shared" ca="1" si="69"/>
        <v>0</v>
      </c>
      <c r="EP48" s="152">
        <f t="shared" ca="1" si="69"/>
        <v>0</v>
      </c>
      <c r="EQ48" s="152">
        <f t="shared" ca="1" si="70"/>
        <v>0</v>
      </c>
      <c r="ER48" s="152">
        <f t="shared" ca="1" si="70"/>
        <v>0</v>
      </c>
      <c r="ES48" s="152">
        <f t="shared" ca="1" si="70"/>
        <v>0</v>
      </c>
      <c r="ET48" s="152">
        <f t="shared" ca="1" si="70"/>
        <v>0</v>
      </c>
      <c r="EU48" s="152">
        <f t="shared" ca="1" si="70"/>
        <v>0</v>
      </c>
      <c r="EV48" s="152">
        <f t="shared" ca="1" si="70"/>
        <v>0</v>
      </c>
      <c r="EW48" s="152">
        <f t="shared" ca="1" si="70"/>
        <v>0</v>
      </c>
      <c r="EX48" s="152">
        <f t="shared" ca="1" si="83"/>
        <v>0</v>
      </c>
      <c r="EY48" s="152">
        <f t="shared" ref="EY48:FH55" ca="1" si="84">IFERROR(SUMIFS(EY$129:EY$305,$DF$129:$DF$305,1,$DY$129:$DY$305,$EA48)*EY$17,0)</f>
        <v>0</v>
      </c>
      <c r="EZ48" s="152">
        <f t="shared" ca="1" si="84"/>
        <v>0</v>
      </c>
      <c r="FA48" s="152">
        <f t="shared" ca="1" si="84"/>
        <v>0</v>
      </c>
      <c r="FB48" s="152">
        <f t="shared" ca="1" si="84"/>
        <v>0</v>
      </c>
      <c r="FC48" s="152">
        <f t="shared" ca="1" si="84"/>
        <v>0</v>
      </c>
      <c r="FD48" s="152">
        <f t="shared" ca="1" si="84"/>
        <v>0</v>
      </c>
      <c r="FE48" s="152">
        <f t="shared" ca="1" si="84"/>
        <v>0</v>
      </c>
      <c r="FF48" s="152">
        <f t="shared" ca="1" si="84"/>
        <v>0</v>
      </c>
      <c r="FG48" s="152">
        <f t="shared" ca="1" si="84"/>
        <v>0</v>
      </c>
      <c r="FH48" s="152">
        <f t="shared" ca="1" si="84"/>
        <v>0</v>
      </c>
      <c r="FI48" s="152">
        <f t="shared" ref="FI48:FR55" ca="1" si="85">IFERROR(SUMIFS(FI$129:FI$305,$DF$129:$DF$305,1,$DY$129:$DY$305,$EA48)*FI$17,0)</f>
        <v>0</v>
      </c>
      <c r="FJ48" s="152">
        <f t="shared" ca="1" si="85"/>
        <v>0</v>
      </c>
      <c r="FK48" s="152">
        <f t="shared" ca="1" si="85"/>
        <v>0</v>
      </c>
      <c r="FL48" s="152">
        <f t="shared" ca="1" si="85"/>
        <v>0</v>
      </c>
      <c r="FM48" s="152">
        <f t="shared" ca="1" si="85"/>
        <v>0</v>
      </c>
      <c r="FN48" s="152">
        <f t="shared" ca="1" si="85"/>
        <v>0</v>
      </c>
      <c r="FO48" s="152">
        <f t="shared" ca="1" si="85"/>
        <v>0</v>
      </c>
      <c r="FP48" s="152">
        <f t="shared" ca="1" si="85"/>
        <v>0</v>
      </c>
      <c r="FQ48" s="152">
        <f t="shared" ca="1" si="85"/>
        <v>0</v>
      </c>
      <c r="FR48" s="152">
        <f t="shared" ca="1" si="85"/>
        <v>0</v>
      </c>
      <c r="FS48" s="152">
        <f t="shared" ref="FS48:GB55" ca="1" si="86">IFERROR(SUMIFS(FS$129:FS$305,$DF$129:$DF$305,1,$DY$129:$DY$305,$EA48)*FS$17,0)</f>
        <v>0</v>
      </c>
      <c r="FT48" s="152">
        <f t="shared" ca="1" si="86"/>
        <v>0</v>
      </c>
      <c r="FU48" s="152">
        <f t="shared" ca="1" si="86"/>
        <v>0</v>
      </c>
      <c r="FV48" s="152">
        <f t="shared" ca="1" si="86"/>
        <v>0</v>
      </c>
      <c r="FW48" s="152">
        <f t="shared" ca="1" si="86"/>
        <v>0</v>
      </c>
      <c r="FX48" s="152">
        <f t="shared" ca="1" si="86"/>
        <v>0</v>
      </c>
      <c r="FY48" s="152">
        <f t="shared" ca="1" si="86"/>
        <v>0</v>
      </c>
      <c r="FZ48" s="152">
        <f t="shared" ca="1" si="86"/>
        <v>0</v>
      </c>
      <c r="GA48" s="152">
        <f t="shared" ca="1" si="86"/>
        <v>0</v>
      </c>
      <c r="GB48" s="152">
        <f t="shared" ca="1" si="86"/>
        <v>0</v>
      </c>
      <c r="GC48" s="152">
        <f t="shared" ref="GC48:GL55" ca="1" si="87">IFERROR(SUMIFS(GC$129:GC$305,$DF$129:$DF$305,1,$DY$129:$DY$305,$EA48)*GC$17,0)</f>
        <v>0</v>
      </c>
      <c r="GD48" s="152">
        <f t="shared" ca="1" si="87"/>
        <v>0</v>
      </c>
      <c r="GE48" s="152">
        <f t="shared" ca="1" si="87"/>
        <v>0</v>
      </c>
      <c r="GF48" s="152">
        <f t="shared" ca="1" si="87"/>
        <v>0</v>
      </c>
      <c r="GG48" s="152">
        <f t="shared" ca="1" si="87"/>
        <v>0</v>
      </c>
      <c r="GH48" s="152">
        <f t="shared" ca="1" si="87"/>
        <v>0</v>
      </c>
      <c r="GI48" s="152">
        <f t="shared" ca="1" si="87"/>
        <v>0</v>
      </c>
      <c r="GJ48" s="152">
        <f t="shared" ca="1" si="87"/>
        <v>0</v>
      </c>
      <c r="GK48" s="152">
        <f t="shared" ca="1" si="87"/>
        <v>0</v>
      </c>
      <c r="GL48" s="152">
        <f t="shared" ca="1" si="87"/>
        <v>0</v>
      </c>
      <c r="GM48" s="152">
        <f t="shared" ref="GM48:GV55" ca="1" si="88">IFERROR(SUMIFS(GM$129:GM$305,$DF$129:$DF$305,1,$DY$129:$DY$305,$EA48)*GM$17,0)</f>
        <v>0</v>
      </c>
      <c r="GN48" s="152">
        <f t="shared" ca="1" si="88"/>
        <v>0</v>
      </c>
      <c r="GO48" s="152">
        <f t="shared" ca="1" si="88"/>
        <v>0</v>
      </c>
      <c r="GP48" s="152">
        <f t="shared" ca="1" si="88"/>
        <v>0</v>
      </c>
      <c r="GQ48" s="152">
        <f t="shared" ca="1" si="88"/>
        <v>0</v>
      </c>
      <c r="GR48" s="152">
        <f t="shared" ca="1" si="88"/>
        <v>0</v>
      </c>
      <c r="GS48" s="152">
        <f t="shared" ca="1" si="88"/>
        <v>0</v>
      </c>
      <c r="GT48" s="152">
        <f t="shared" ca="1" si="88"/>
        <v>0</v>
      </c>
      <c r="GU48" s="152">
        <f t="shared" ca="1" si="88"/>
        <v>0</v>
      </c>
      <c r="GV48" s="152">
        <f t="shared" ca="1" si="88"/>
        <v>0</v>
      </c>
      <c r="GW48" s="152">
        <f t="shared" ref="GW48:HF55" ca="1" si="89">IFERROR(SUMIFS(GW$129:GW$305,$DF$129:$DF$305,1,$DY$129:$DY$305,$EA48)*GW$17,0)</f>
        <v>0</v>
      </c>
      <c r="GX48" s="152">
        <f t="shared" ca="1" si="89"/>
        <v>0</v>
      </c>
      <c r="GY48" s="152">
        <f t="shared" ca="1" si="89"/>
        <v>0</v>
      </c>
      <c r="GZ48" s="152">
        <f t="shared" ca="1" si="89"/>
        <v>0</v>
      </c>
      <c r="HA48" s="152">
        <f t="shared" ca="1" si="89"/>
        <v>0</v>
      </c>
      <c r="HB48" s="152">
        <f t="shared" ca="1" si="89"/>
        <v>0</v>
      </c>
      <c r="HC48" s="152">
        <f t="shared" ca="1" si="89"/>
        <v>0</v>
      </c>
      <c r="HD48" s="152">
        <f t="shared" ca="1" si="89"/>
        <v>0</v>
      </c>
      <c r="HE48" s="152">
        <f t="shared" ca="1" si="89"/>
        <v>0</v>
      </c>
      <c r="HF48" s="152">
        <f t="shared" ca="1" si="89"/>
        <v>0</v>
      </c>
      <c r="HG48" s="152">
        <f t="shared" ref="HG48:HP55" ca="1" si="90">IFERROR(SUMIFS(HG$129:HG$305,$DF$129:$DF$305,1,$DY$129:$DY$305,$EA48)*HG$17,0)</f>
        <v>0</v>
      </c>
      <c r="HH48" s="152">
        <f t="shared" ca="1" si="90"/>
        <v>0</v>
      </c>
      <c r="HI48" s="152">
        <f t="shared" ca="1" si="90"/>
        <v>0</v>
      </c>
      <c r="HJ48" s="152">
        <f t="shared" ca="1" si="90"/>
        <v>0</v>
      </c>
      <c r="HK48" s="152">
        <f t="shared" ca="1" si="90"/>
        <v>0</v>
      </c>
      <c r="HL48" s="152">
        <f t="shared" ca="1" si="90"/>
        <v>0</v>
      </c>
      <c r="HM48" s="152">
        <f t="shared" ca="1" si="90"/>
        <v>0</v>
      </c>
      <c r="HN48" s="152">
        <f t="shared" ca="1" si="90"/>
        <v>0</v>
      </c>
      <c r="HO48" s="152">
        <f t="shared" ca="1" si="90"/>
        <v>0</v>
      </c>
      <c r="HP48" s="152">
        <f t="shared" ca="1" si="90"/>
        <v>0</v>
      </c>
      <c r="HQ48" s="152">
        <f t="shared" ref="HQ48:HZ55" ca="1" si="91">IFERROR(SUMIFS(HQ$129:HQ$305,$DF$129:$DF$305,1,$DY$129:$DY$305,$EA48)*HQ$17,0)</f>
        <v>0</v>
      </c>
      <c r="HR48" s="152">
        <f t="shared" ca="1" si="91"/>
        <v>0</v>
      </c>
      <c r="HS48" s="152">
        <f t="shared" ca="1" si="91"/>
        <v>0</v>
      </c>
      <c r="HT48" s="152">
        <f t="shared" ca="1" si="91"/>
        <v>0</v>
      </c>
      <c r="HU48" s="152">
        <f t="shared" ca="1" si="91"/>
        <v>0</v>
      </c>
      <c r="HV48" s="152">
        <f t="shared" ca="1" si="91"/>
        <v>0</v>
      </c>
      <c r="HW48" s="152">
        <f t="shared" ca="1" si="91"/>
        <v>0</v>
      </c>
      <c r="HX48" s="152">
        <f t="shared" ca="1" si="91"/>
        <v>0</v>
      </c>
      <c r="HY48" s="152">
        <f t="shared" ca="1" si="91"/>
        <v>0</v>
      </c>
      <c r="HZ48" s="152">
        <f t="shared" ca="1" si="91"/>
        <v>0</v>
      </c>
      <c r="IA48" s="152">
        <f t="shared" ref="IA48:IJ55" ca="1" si="92">IFERROR(SUMIFS(IA$129:IA$305,$DF$129:$DF$305,1,$DY$129:$DY$305,$EA48)*IA$17,0)</f>
        <v>0</v>
      </c>
      <c r="IB48" s="152">
        <f t="shared" ca="1" si="92"/>
        <v>0</v>
      </c>
      <c r="IC48" s="152">
        <f t="shared" ca="1" si="92"/>
        <v>0</v>
      </c>
      <c r="ID48" s="152">
        <f t="shared" ca="1" si="92"/>
        <v>0</v>
      </c>
      <c r="IE48" s="152">
        <f t="shared" ca="1" si="92"/>
        <v>0</v>
      </c>
      <c r="IF48" s="152">
        <f t="shared" ca="1" si="92"/>
        <v>0</v>
      </c>
      <c r="IG48" s="152">
        <f t="shared" ca="1" si="92"/>
        <v>0</v>
      </c>
      <c r="IH48" s="152">
        <f t="shared" ca="1" si="92"/>
        <v>0</v>
      </c>
      <c r="II48" s="152">
        <f t="shared" ca="1" si="92"/>
        <v>0</v>
      </c>
      <c r="IJ48" s="152">
        <f t="shared" ca="1" si="92"/>
        <v>0</v>
      </c>
      <c r="IK48" s="152">
        <f t="shared" ref="IK48:IT55" ca="1" si="93">IFERROR(SUMIFS(IK$129:IK$305,$DF$129:$DF$305,1,$DY$129:$DY$305,$EA48)*IK$17,0)</f>
        <v>0</v>
      </c>
      <c r="IL48" s="152">
        <f t="shared" ca="1" si="93"/>
        <v>0</v>
      </c>
      <c r="IM48" s="152">
        <f t="shared" ca="1" si="93"/>
        <v>0</v>
      </c>
      <c r="IN48" s="152">
        <f t="shared" ca="1" si="93"/>
        <v>0</v>
      </c>
      <c r="IO48" s="152">
        <f t="shared" ca="1" si="93"/>
        <v>0</v>
      </c>
      <c r="IP48" s="152">
        <f t="shared" ca="1" si="93"/>
        <v>0</v>
      </c>
      <c r="IQ48" s="152">
        <f t="shared" ca="1" si="93"/>
        <v>0</v>
      </c>
      <c r="IR48" s="152">
        <f t="shared" ca="1" si="93"/>
        <v>0</v>
      </c>
      <c r="IS48" s="152">
        <f t="shared" ca="1" si="93"/>
        <v>0</v>
      </c>
      <c r="IT48" s="152">
        <f t="shared" ca="1" si="93"/>
        <v>0</v>
      </c>
      <c r="IU48" s="152">
        <f t="shared" ref="IU48:JC48" ca="1" si="94">IFERROR(SUMIFS(IU$129:IU$305,$DF$129:$DF$305,1,$DY$129:$DY$305,$EA48)*IU$17,0)</f>
        <v>0</v>
      </c>
      <c r="IV48" s="152">
        <f t="shared" ca="1" si="94"/>
        <v>0</v>
      </c>
      <c r="IW48" s="152">
        <f t="shared" ca="1" si="94"/>
        <v>0</v>
      </c>
      <c r="IX48" s="152">
        <f t="shared" ca="1" si="94"/>
        <v>0</v>
      </c>
      <c r="IY48" s="152">
        <f t="shared" ca="1" si="94"/>
        <v>0</v>
      </c>
      <c r="IZ48" s="152">
        <f t="shared" ca="1" si="94"/>
        <v>0</v>
      </c>
      <c r="JA48" s="152">
        <f t="shared" ca="1" si="94"/>
        <v>0</v>
      </c>
      <c r="JB48" s="152">
        <f t="shared" ca="1" si="94"/>
        <v>0</v>
      </c>
      <c r="JC48" s="152">
        <f t="shared" ca="1" si="94"/>
        <v>0</v>
      </c>
      <c r="JD48" s="604"/>
    </row>
    <row r="49" spans="1:264" ht="12.75" customHeight="1" x14ac:dyDescent="0.25">
      <c r="A49" s="279"/>
      <c r="B49" s="41"/>
      <c r="C49" s="82"/>
      <c r="D49" s="41"/>
      <c r="E49" s="9"/>
      <c r="F49" s="9"/>
      <c r="G49" s="9"/>
      <c r="H49" s="10"/>
      <c r="I49" s="10"/>
      <c r="J49" s="10"/>
      <c r="K49" s="10"/>
      <c r="L49" s="10"/>
      <c r="M49" s="10"/>
      <c r="N49" s="9"/>
      <c r="O49" s="9"/>
      <c r="P49" s="44"/>
      <c r="Q49" s="44"/>
      <c r="R49" s="9"/>
      <c r="S49" s="9"/>
      <c r="T49" s="9"/>
      <c r="U49" s="9"/>
      <c r="V49" s="9"/>
      <c r="W49" s="9"/>
      <c r="X49" s="9"/>
      <c r="Y49" s="9"/>
      <c r="Z49" s="9"/>
      <c r="AA49" s="9"/>
      <c r="AB49" s="9"/>
      <c r="AC49" s="9"/>
      <c r="AD49" s="650">
        <f t="shared" si="64"/>
        <v>111</v>
      </c>
      <c r="AE49" s="654">
        <f ca="1">OFFSET('2 Staff List'!$IB$64,AJ49-1,0)</f>
        <v>0</v>
      </c>
      <c r="AF49" s="654">
        <f t="shared" si="65"/>
        <v>173.92857142857142</v>
      </c>
      <c r="AG49" s="9"/>
      <c r="AH49" s="654">
        <f t="shared" si="66"/>
        <v>239.15178571428569</v>
      </c>
      <c r="AI49" s="654">
        <f t="shared" si="67"/>
        <v>48</v>
      </c>
      <c r="AJ49" s="654">
        <f ca="1">OFFSET('2 Staff List'!$GU$64,AI49-1,0)</f>
        <v>48</v>
      </c>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1280">
        <f ca="1">OFFSET('2 Staff List'!$HW$64,AJ49-1,0)</f>
        <v>0</v>
      </c>
      <c r="DZ49" s="1281">
        <f ca="1">OFFSET('2 Staff List'!$HZ$64,AJ49-1,0)</f>
        <v>0</v>
      </c>
      <c r="EA49" s="3669">
        <f ca="1">OFFSET('2 Staff List'!$IA$64,AJ49-1,0)</f>
        <v>0</v>
      </c>
      <c r="EB49" s="3670"/>
      <c r="EC49" s="3673">
        <f t="shared" ca="1" si="68"/>
        <v>0</v>
      </c>
      <c r="ED49" s="3674"/>
      <c r="EE49" s="3675"/>
      <c r="EF49" s="3676"/>
      <c r="EG49" s="154">
        <f t="shared" ca="1" si="69"/>
        <v>0</v>
      </c>
      <c r="EH49" s="152">
        <f t="shared" ca="1" si="69"/>
        <v>0</v>
      </c>
      <c r="EI49" s="152">
        <f t="shared" ca="1" si="69"/>
        <v>0</v>
      </c>
      <c r="EJ49" s="152">
        <f t="shared" ca="1" si="69"/>
        <v>0</v>
      </c>
      <c r="EK49" s="152">
        <f t="shared" ca="1" si="69"/>
        <v>0</v>
      </c>
      <c r="EL49" s="152">
        <f t="shared" ca="1" si="69"/>
        <v>0</v>
      </c>
      <c r="EM49" s="152">
        <f t="shared" ca="1" si="69"/>
        <v>0</v>
      </c>
      <c r="EN49" s="152">
        <f t="shared" ca="1" si="69"/>
        <v>0</v>
      </c>
      <c r="EO49" s="152">
        <f t="shared" ca="1" si="69"/>
        <v>0</v>
      </c>
      <c r="EP49" s="152">
        <f t="shared" ca="1" si="69"/>
        <v>0</v>
      </c>
      <c r="EQ49" s="152">
        <f t="shared" ca="1" si="70"/>
        <v>0</v>
      </c>
      <c r="ER49" s="152">
        <f t="shared" ca="1" si="70"/>
        <v>0</v>
      </c>
      <c r="ES49" s="152">
        <f t="shared" ca="1" si="70"/>
        <v>0</v>
      </c>
      <c r="ET49" s="152">
        <f t="shared" ca="1" si="70"/>
        <v>0</v>
      </c>
      <c r="EU49" s="152">
        <f t="shared" ca="1" si="70"/>
        <v>0</v>
      </c>
      <c r="EV49" s="152">
        <f t="shared" ca="1" si="70"/>
        <v>0</v>
      </c>
      <c r="EW49" s="152">
        <f t="shared" ca="1" si="70"/>
        <v>0</v>
      </c>
      <c r="EX49" s="152">
        <f t="shared" ca="1" si="83"/>
        <v>0</v>
      </c>
      <c r="EY49" s="152">
        <f t="shared" ca="1" si="84"/>
        <v>0</v>
      </c>
      <c r="EZ49" s="152">
        <f t="shared" ca="1" si="84"/>
        <v>0</v>
      </c>
      <c r="FA49" s="152">
        <f t="shared" ca="1" si="84"/>
        <v>0</v>
      </c>
      <c r="FB49" s="152">
        <f t="shared" ca="1" si="84"/>
        <v>0</v>
      </c>
      <c r="FC49" s="152">
        <f t="shared" ca="1" si="84"/>
        <v>0</v>
      </c>
      <c r="FD49" s="152">
        <f t="shared" ca="1" si="84"/>
        <v>0</v>
      </c>
      <c r="FE49" s="152">
        <f t="shared" ca="1" si="84"/>
        <v>0</v>
      </c>
      <c r="FF49" s="152">
        <f t="shared" ca="1" si="84"/>
        <v>0</v>
      </c>
      <c r="FG49" s="152">
        <f t="shared" ca="1" si="84"/>
        <v>0</v>
      </c>
      <c r="FH49" s="152">
        <f t="shared" ca="1" si="84"/>
        <v>0</v>
      </c>
      <c r="FI49" s="152">
        <f t="shared" ca="1" si="85"/>
        <v>0</v>
      </c>
      <c r="FJ49" s="152">
        <f t="shared" ca="1" si="85"/>
        <v>0</v>
      </c>
      <c r="FK49" s="152">
        <f t="shared" ca="1" si="85"/>
        <v>0</v>
      </c>
      <c r="FL49" s="152">
        <f t="shared" ca="1" si="85"/>
        <v>0</v>
      </c>
      <c r="FM49" s="152">
        <f t="shared" ca="1" si="85"/>
        <v>0</v>
      </c>
      <c r="FN49" s="152">
        <f t="shared" ca="1" si="85"/>
        <v>0</v>
      </c>
      <c r="FO49" s="152">
        <f t="shared" ca="1" si="85"/>
        <v>0</v>
      </c>
      <c r="FP49" s="152">
        <f t="shared" ca="1" si="85"/>
        <v>0</v>
      </c>
      <c r="FQ49" s="152">
        <f t="shared" ca="1" si="85"/>
        <v>0</v>
      </c>
      <c r="FR49" s="152">
        <f t="shared" ca="1" si="85"/>
        <v>0</v>
      </c>
      <c r="FS49" s="152">
        <f t="shared" ca="1" si="86"/>
        <v>0</v>
      </c>
      <c r="FT49" s="152">
        <f t="shared" ca="1" si="86"/>
        <v>0</v>
      </c>
      <c r="FU49" s="152">
        <f t="shared" ca="1" si="86"/>
        <v>0</v>
      </c>
      <c r="FV49" s="152">
        <f t="shared" ca="1" si="86"/>
        <v>0</v>
      </c>
      <c r="FW49" s="152">
        <f t="shared" ca="1" si="86"/>
        <v>0</v>
      </c>
      <c r="FX49" s="152">
        <f t="shared" ca="1" si="86"/>
        <v>0</v>
      </c>
      <c r="FY49" s="152">
        <f t="shared" ca="1" si="86"/>
        <v>0</v>
      </c>
      <c r="FZ49" s="152">
        <f t="shared" ca="1" si="86"/>
        <v>0</v>
      </c>
      <c r="GA49" s="152">
        <f t="shared" ca="1" si="86"/>
        <v>0</v>
      </c>
      <c r="GB49" s="152">
        <f t="shared" ca="1" si="86"/>
        <v>0</v>
      </c>
      <c r="GC49" s="152">
        <f t="shared" ca="1" si="87"/>
        <v>0</v>
      </c>
      <c r="GD49" s="152">
        <f t="shared" ca="1" si="87"/>
        <v>0</v>
      </c>
      <c r="GE49" s="152">
        <f t="shared" ca="1" si="87"/>
        <v>0</v>
      </c>
      <c r="GF49" s="152">
        <f t="shared" ca="1" si="87"/>
        <v>0</v>
      </c>
      <c r="GG49" s="152">
        <f t="shared" ca="1" si="87"/>
        <v>0</v>
      </c>
      <c r="GH49" s="152">
        <f t="shared" ca="1" si="87"/>
        <v>0</v>
      </c>
      <c r="GI49" s="152">
        <f t="shared" ca="1" si="87"/>
        <v>0</v>
      </c>
      <c r="GJ49" s="152">
        <f t="shared" ca="1" si="87"/>
        <v>0</v>
      </c>
      <c r="GK49" s="152">
        <f t="shared" ca="1" si="87"/>
        <v>0</v>
      </c>
      <c r="GL49" s="152">
        <f t="shared" ca="1" si="87"/>
        <v>0</v>
      </c>
      <c r="GM49" s="152">
        <f t="shared" ca="1" si="88"/>
        <v>0</v>
      </c>
      <c r="GN49" s="152">
        <f t="shared" ca="1" si="88"/>
        <v>0</v>
      </c>
      <c r="GO49" s="152">
        <f t="shared" ca="1" si="88"/>
        <v>0</v>
      </c>
      <c r="GP49" s="152">
        <f t="shared" ca="1" si="88"/>
        <v>0</v>
      </c>
      <c r="GQ49" s="152">
        <f t="shared" ca="1" si="88"/>
        <v>0</v>
      </c>
      <c r="GR49" s="152">
        <f t="shared" ca="1" si="88"/>
        <v>0</v>
      </c>
      <c r="GS49" s="152">
        <f t="shared" ca="1" si="88"/>
        <v>0</v>
      </c>
      <c r="GT49" s="152">
        <f t="shared" ca="1" si="88"/>
        <v>0</v>
      </c>
      <c r="GU49" s="152">
        <f t="shared" ca="1" si="88"/>
        <v>0</v>
      </c>
      <c r="GV49" s="152">
        <f t="shared" ca="1" si="88"/>
        <v>0</v>
      </c>
      <c r="GW49" s="152">
        <f t="shared" ca="1" si="89"/>
        <v>0</v>
      </c>
      <c r="GX49" s="152">
        <f t="shared" ca="1" si="89"/>
        <v>0</v>
      </c>
      <c r="GY49" s="152">
        <f t="shared" ca="1" si="89"/>
        <v>0</v>
      </c>
      <c r="GZ49" s="152">
        <f t="shared" ca="1" si="89"/>
        <v>0</v>
      </c>
      <c r="HA49" s="152">
        <f t="shared" ca="1" si="89"/>
        <v>0</v>
      </c>
      <c r="HB49" s="152">
        <f t="shared" ca="1" si="89"/>
        <v>0</v>
      </c>
      <c r="HC49" s="152">
        <f t="shared" ca="1" si="89"/>
        <v>0</v>
      </c>
      <c r="HD49" s="152">
        <f t="shared" ca="1" si="89"/>
        <v>0</v>
      </c>
      <c r="HE49" s="152">
        <f t="shared" ca="1" si="89"/>
        <v>0</v>
      </c>
      <c r="HF49" s="152">
        <f t="shared" ca="1" si="89"/>
        <v>0</v>
      </c>
      <c r="HG49" s="152">
        <f t="shared" ca="1" si="90"/>
        <v>0</v>
      </c>
      <c r="HH49" s="152">
        <f t="shared" ca="1" si="90"/>
        <v>0</v>
      </c>
      <c r="HI49" s="152">
        <f t="shared" ca="1" si="90"/>
        <v>0</v>
      </c>
      <c r="HJ49" s="152">
        <f t="shared" ca="1" si="90"/>
        <v>0</v>
      </c>
      <c r="HK49" s="152">
        <f t="shared" ca="1" si="90"/>
        <v>0</v>
      </c>
      <c r="HL49" s="152">
        <f t="shared" ca="1" si="90"/>
        <v>0</v>
      </c>
      <c r="HM49" s="152">
        <f t="shared" ca="1" si="90"/>
        <v>0</v>
      </c>
      <c r="HN49" s="152">
        <f t="shared" ca="1" si="90"/>
        <v>0</v>
      </c>
      <c r="HO49" s="152">
        <f t="shared" ca="1" si="90"/>
        <v>0</v>
      </c>
      <c r="HP49" s="152">
        <f t="shared" ca="1" si="90"/>
        <v>0</v>
      </c>
      <c r="HQ49" s="152">
        <f t="shared" ca="1" si="91"/>
        <v>0</v>
      </c>
      <c r="HR49" s="152">
        <f t="shared" ca="1" si="91"/>
        <v>0</v>
      </c>
      <c r="HS49" s="152">
        <f t="shared" ca="1" si="91"/>
        <v>0</v>
      </c>
      <c r="HT49" s="152">
        <f t="shared" ca="1" si="91"/>
        <v>0</v>
      </c>
      <c r="HU49" s="152">
        <f t="shared" ca="1" si="91"/>
        <v>0</v>
      </c>
      <c r="HV49" s="152">
        <f t="shared" ca="1" si="91"/>
        <v>0</v>
      </c>
      <c r="HW49" s="152">
        <f t="shared" ca="1" si="91"/>
        <v>0</v>
      </c>
      <c r="HX49" s="152">
        <f t="shared" ca="1" si="91"/>
        <v>0</v>
      </c>
      <c r="HY49" s="152">
        <f t="shared" ca="1" si="91"/>
        <v>0</v>
      </c>
      <c r="HZ49" s="152">
        <f t="shared" ca="1" si="91"/>
        <v>0</v>
      </c>
      <c r="IA49" s="152">
        <f t="shared" ca="1" si="92"/>
        <v>0</v>
      </c>
      <c r="IB49" s="152">
        <f t="shared" ca="1" si="92"/>
        <v>0</v>
      </c>
      <c r="IC49" s="152">
        <f t="shared" ca="1" si="92"/>
        <v>0</v>
      </c>
      <c r="ID49" s="152">
        <f t="shared" ca="1" si="92"/>
        <v>0</v>
      </c>
      <c r="IE49" s="152">
        <f t="shared" ca="1" si="92"/>
        <v>0</v>
      </c>
      <c r="IF49" s="152">
        <f t="shared" ca="1" si="92"/>
        <v>0</v>
      </c>
      <c r="IG49" s="152">
        <f t="shared" ca="1" si="92"/>
        <v>0</v>
      </c>
      <c r="IH49" s="152">
        <f t="shared" ca="1" si="92"/>
        <v>0</v>
      </c>
      <c r="II49" s="152">
        <f t="shared" ca="1" si="92"/>
        <v>0</v>
      </c>
      <c r="IJ49" s="152">
        <f t="shared" ca="1" si="92"/>
        <v>0</v>
      </c>
      <c r="IK49" s="152">
        <f t="shared" ca="1" si="93"/>
        <v>0</v>
      </c>
      <c r="IL49" s="152">
        <f t="shared" ca="1" si="93"/>
        <v>0</v>
      </c>
      <c r="IM49" s="152">
        <f t="shared" ca="1" si="93"/>
        <v>0</v>
      </c>
      <c r="IN49" s="152">
        <f t="shared" ca="1" si="93"/>
        <v>0</v>
      </c>
      <c r="IO49" s="152">
        <f t="shared" ca="1" si="93"/>
        <v>0</v>
      </c>
      <c r="IP49" s="152">
        <f t="shared" ca="1" si="93"/>
        <v>0</v>
      </c>
      <c r="IQ49" s="152">
        <f t="shared" ca="1" si="93"/>
        <v>0</v>
      </c>
      <c r="IR49" s="152">
        <f t="shared" ca="1" si="93"/>
        <v>0</v>
      </c>
      <c r="IS49" s="152">
        <f t="shared" ca="1" si="93"/>
        <v>0</v>
      </c>
      <c r="IT49" s="152">
        <f t="shared" ca="1" si="93"/>
        <v>0</v>
      </c>
      <c r="IU49" s="152">
        <f t="shared" ref="IU49:JC55" ca="1" si="95">IFERROR(SUMIFS(IU$129:IU$305,$DF$129:$DF$305,1,$DY$129:$DY$305,$EA49)*IU$17,0)</f>
        <v>0</v>
      </c>
      <c r="IV49" s="152">
        <f t="shared" ca="1" si="95"/>
        <v>0</v>
      </c>
      <c r="IW49" s="152">
        <f t="shared" ca="1" si="95"/>
        <v>0</v>
      </c>
      <c r="IX49" s="152">
        <f t="shared" ca="1" si="95"/>
        <v>0</v>
      </c>
      <c r="IY49" s="152">
        <f t="shared" ca="1" si="95"/>
        <v>0</v>
      </c>
      <c r="IZ49" s="152">
        <f t="shared" ca="1" si="95"/>
        <v>0</v>
      </c>
      <c r="JA49" s="152">
        <f t="shared" ca="1" si="95"/>
        <v>0</v>
      </c>
      <c r="JB49" s="152">
        <f t="shared" ca="1" si="95"/>
        <v>0</v>
      </c>
      <c r="JC49" s="152">
        <f t="shared" ca="1" si="95"/>
        <v>0</v>
      </c>
      <c r="JD49" s="604"/>
    </row>
    <row r="50" spans="1:264" ht="12.75" customHeight="1" x14ac:dyDescent="0.25">
      <c r="A50" s="279"/>
      <c r="B50" s="41"/>
      <c r="C50" s="82"/>
      <c r="D50" s="41"/>
      <c r="E50" s="9"/>
      <c r="F50" s="9"/>
      <c r="G50" s="9"/>
      <c r="H50" s="10"/>
      <c r="I50" s="10"/>
      <c r="J50" s="10"/>
      <c r="K50" s="10"/>
      <c r="L50" s="10"/>
      <c r="M50" s="10"/>
      <c r="N50" s="9"/>
      <c r="O50" s="9"/>
      <c r="P50" s="44"/>
      <c r="Q50" s="44"/>
      <c r="R50" s="9"/>
      <c r="S50" s="9"/>
      <c r="T50" s="9"/>
      <c r="U50" s="9"/>
      <c r="V50" s="9"/>
      <c r="W50" s="9"/>
      <c r="X50" s="9"/>
      <c r="Y50" s="9"/>
      <c r="Z50" s="9"/>
      <c r="AA50" s="9"/>
      <c r="AB50" s="9"/>
      <c r="AC50" s="9"/>
      <c r="AD50" s="650">
        <f t="shared" si="64"/>
        <v>110</v>
      </c>
      <c r="AE50" s="654">
        <f ca="1">OFFSET('2 Staff List'!$IB$64,AJ50-1,0)</f>
        <v>0</v>
      </c>
      <c r="AF50" s="654">
        <f t="shared" si="65"/>
        <v>173.92857142857142</v>
      </c>
      <c r="AG50" s="9"/>
      <c r="AH50" s="654">
        <f t="shared" si="66"/>
        <v>239.15178571428569</v>
      </c>
      <c r="AI50" s="654">
        <f t="shared" si="67"/>
        <v>47</v>
      </c>
      <c r="AJ50" s="654">
        <f ca="1">OFFSET('2 Staff List'!$GU$64,AI50-1,0)</f>
        <v>47</v>
      </c>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1280">
        <f ca="1">OFFSET('2 Staff List'!$HW$64,AJ50-1,0)</f>
        <v>0</v>
      </c>
      <c r="DZ50" s="1281">
        <f ca="1">OFFSET('2 Staff List'!$HZ$64,AJ50-1,0)</f>
        <v>0</v>
      </c>
      <c r="EA50" s="3669">
        <f ca="1">OFFSET('2 Staff List'!$IA$64,AJ50-1,0)</f>
        <v>0</v>
      </c>
      <c r="EB50" s="3670"/>
      <c r="EC50" s="3673">
        <f t="shared" ca="1" si="68"/>
        <v>0</v>
      </c>
      <c r="ED50" s="3674"/>
      <c r="EE50" s="3675"/>
      <c r="EF50" s="3676"/>
      <c r="EG50" s="154">
        <f t="shared" ca="1" si="69"/>
        <v>0</v>
      </c>
      <c r="EH50" s="152">
        <f t="shared" ca="1" si="69"/>
        <v>0</v>
      </c>
      <c r="EI50" s="152">
        <f t="shared" ca="1" si="69"/>
        <v>0</v>
      </c>
      <c r="EJ50" s="152">
        <f t="shared" ca="1" si="69"/>
        <v>0</v>
      </c>
      <c r="EK50" s="152">
        <f t="shared" ca="1" si="69"/>
        <v>0</v>
      </c>
      <c r="EL50" s="152">
        <f t="shared" ca="1" si="69"/>
        <v>0</v>
      </c>
      <c r="EM50" s="152">
        <f t="shared" ca="1" si="69"/>
        <v>0</v>
      </c>
      <c r="EN50" s="152">
        <f t="shared" ca="1" si="69"/>
        <v>0</v>
      </c>
      <c r="EO50" s="152">
        <f t="shared" ca="1" si="69"/>
        <v>0</v>
      </c>
      <c r="EP50" s="152">
        <f t="shared" ca="1" si="69"/>
        <v>0</v>
      </c>
      <c r="EQ50" s="152">
        <f t="shared" ca="1" si="70"/>
        <v>0</v>
      </c>
      <c r="ER50" s="152">
        <f t="shared" ca="1" si="70"/>
        <v>0</v>
      </c>
      <c r="ES50" s="152">
        <f t="shared" ca="1" si="70"/>
        <v>0</v>
      </c>
      <c r="ET50" s="152">
        <f t="shared" ca="1" si="70"/>
        <v>0</v>
      </c>
      <c r="EU50" s="152">
        <f t="shared" ca="1" si="70"/>
        <v>0</v>
      </c>
      <c r="EV50" s="152">
        <f t="shared" ca="1" si="70"/>
        <v>0</v>
      </c>
      <c r="EW50" s="152">
        <f t="shared" ca="1" si="70"/>
        <v>0</v>
      </c>
      <c r="EX50" s="152">
        <f t="shared" ca="1" si="83"/>
        <v>0</v>
      </c>
      <c r="EY50" s="152">
        <f t="shared" ca="1" si="84"/>
        <v>0</v>
      </c>
      <c r="EZ50" s="152">
        <f t="shared" ca="1" si="84"/>
        <v>0</v>
      </c>
      <c r="FA50" s="152">
        <f t="shared" ca="1" si="84"/>
        <v>0</v>
      </c>
      <c r="FB50" s="152">
        <f t="shared" ca="1" si="84"/>
        <v>0</v>
      </c>
      <c r="FC50" s="152">
        <f t="shared" ca="1" si="84"/>
        <v>0</v>
      </c>
      <c r="FD50" s="152">
        <f t="shared" ca="1" si="84"/>
        <v>0</v>
      </c>
      <c r="FE50" s="152">
        <f t="shared" ca="1" si="84"/>
        <v>0</v>
      </c>
      <c r="FF50" s="152">
        <f t="shared" ca="1" si="84"/>
        <v>0</v>
      </c>
      <c r="FG50" s="152">
        <f t="shared" ca="1" si="84"/>
        <v>0</v>
      </c>
      <c r="FH50" s="152">
        <f t="shared" ca="1" si="84"/>
        <v>0</v>
      </c>
      <c r="FI50" s="152">
        <f t="shared" ca="1" si="85"/>
        <v>0</v>
      </c>
      <c r="FJ50" s="152">
        <f t="shared" ca="1" si="85"/>
        <v>0</v>
      </c>
      <c r="FK50" s="152">
        <f t="shared" ca="1" si="85"/>
        <v>0</v>
      </c>
      <c r="FL50" s="152">
        <f t="shared" ca="1" si="85"/>
        <v>0</v>
      </c>
      <c r="FM50" s="152">
        <f t="shared" ca="1" si="85"/>
        <v>0</v>
      </c>
      <c r="FN50" s="152">
        <f t="shared" ca="1" si="85"/>
        <v>0</v>
      </c>
      <c r="FO50" s="152">
        <f t="shared" ca="1" si="85"/>
        <v>0</v>
      </c>
      <c r="FP50" s="152">
        <f t="shared" ca="1" si="85"/>
        <v>0</v>
      </c>
      <c r="FQ50" s="152">
        <f t="shared" ca="1" si="85"/>
        <v>0</v>
      </c>
      <c r="FR50" s="152">
        <f t="shared" ca="1" si="85"/>
        <v>0</v>
      </c>
      <c r="FS50" s="152">
        <f t="shared" ca="1" si="86"/>
        <v>0</v>
      </c>
      <c r="FT50" s="152">
        <f t="shared" ca="1" si="86"/>
        <v>0</v>
      </c>
      <c r="FU50" s="152">
        <f t="shared" ca="1" si="86"/>
        <v>0</v>
      </c>
      <c r="FV50" s="152">
        <f t="shared" ca="1" si="86"/>
        <v>0</v>
      </c>
      <c r="FW50" s="152">
        <f t="shared" ca="1" si="86"/>
        <v>0</v>
      </c>
      <c r="FX50" s="152">
        <f t="shared" ca="1" si="86"/>
        <v>0</v>
      </c>
      <c r="FY50" s="152">
        <f t="shared" ca="1" si="86"/>
        <v>0</v>
      </c>
      <c r="FZ50" s="152">
        <f t="shared" ca="1" si="86"/>
        <v>0</v>
      </c>
      <c r="GA50" s="152">
        <f t="shared" ca="1" si="86"/>
        <v>0</v>
      </c>
      <c r="GB50" s="152">
        <f t="shared" ca="1" si="86"/>
        <v>0</v>
      </c>
      <c r="GC50" s="152">
        <f t="shared" ca="1" si="87"/>
        <v>0</v>
      </c>
      <c r="GD50" s="152">
        <f t="shared" ca="1" si="87"/>
        <v>0</v>
      </c>
      <c r="GE50" s="152">
        <f t="shared" ca="1" si="87"/>
        <v>0</v>
      </c>
      <c r="GF50" s="152">
        <f t="shared" ca="1" si="87"/>
        <v>0</v>
      </c>
      <c r="GG50" s="152">
        <f t="shared" ca="1" si="87"/>
        <v>0</v>
      </c>
      <c r="GH50" s="152">
        <f t="shared" ca="1" si="87"/>
        <v>0</v>
      </c>
      <c r="GI50" s="152">
        <f t="shared" ca="1" si="87"/>
        <v>0</v>
      </c>
      <c r="GJ50" s="152">
        <f t="shared" ca="1" si="87"/>
        <v>0</v>
      </c>
      <c r="GK50" s="152">
        <f t="shared" ca="1" si="87"/>
        <v>0</v>
      </c>
      <c r="GL50" s="152">
        <f t="shared" ca="1" si="87"/>
        <v>0</v>
      </c>
      <c r="GM50" s="152">
        <f t="shared" ca="1" si="88"/>
        <v>0</v>
      </c>
      <c r="GN50" s="152">
        <f t="shared" ca="1" si="88"/>
        <v>0</v>
      </c>
      <c r="GO50" s="152">
        <f t="shared" ca="1" si="88"/>
        <v>0</v>
      </c>
      <c r="GP50" s="152">
        <f t="shared" ca="1" si="88"/>
        <v>0</v>
      </c>
      <c r="GQ50" s="152">
        <f t="shared" ca="1" si="88"/>
        <v>0</v>
      </c>
      <c r="GR50" s="152">
        <f t="shared" ca="1" si="88"/>
        <v>0</v>
      </c>
      <c r="GS50" s="152">
        <f t="shared" ca="1" si="88"/>
        <v>0</v>
      </c>
      <c r="GT50" s="152">
        <f t="shared" ca="1" si="88"/>
        <v>0</v>
      </c>
      <c r="GU50" s="152">
        <f t="shared" ca="1" si="88"/>
        <v>0</v>
      </c>
      <c r="GV50" s="152">
        <f t="shared" ca="1" si="88"/>
        <v>0</v>
      </c>
      <c r="GW50" s="152">
        <f t="shared" ca="1" si="89"/>
        <v>0</v>
      </c>
      <c r="GX50" s="152">
        <f t="shared" ca="1" si="89"/>
        <v>0</v>
      </c>
      <c r="GY50" s="152">
        <f t="shared" ca="1" si="89"/>
        <v>0</v>
      </c>
      <c r="GZ50" s="152">
        <f t="shared" ca="1" si="89"/>
        <v>0</v>
      </c>
      <c r="HA50" s="152">
        <f t="shared" ca="1" si="89"/>
        <v>0</v>
      </c>
      <c r="HB50" s="152">
        <f t="shared" ca="1" si="89"/>
        <v>0</v>
      </c>
      <c r="HC50" s="152">
        <f t="shared" ca="1" si="89"/>
        <v>0</v>
      </c>
      <c r="HD50" s="152">
        <f t="shared" ca="1" si="89"/>
        <v>0</v>
      </c>
      <c r="HE50" s="152">
        <f t="shared" ca="1" si="89"/>
        <v>0</v>
      </c>
      <c r="HF50" s="152">
        <f t="shared" ca="1" si="89"/>
        <v>0</v>
      </c>
      <c r="HG50" s="152">
        <f t="shared" ca="1" si="90"/>
        <v>0</v>
      </c>
      <c r="HH50" s="152">
        <f t="shared" ca="1" si="90"/>
        <v>0</v>
      </c>
      <c r="HI50" s="152">
        <f t="shared" ca="1" si="90"/>
        <v>0</v>
      </c>
      <c r="HJ50" s="152">
        <f t="shared" ca="1" si="90"/>
        <v>0</v>
      </c>
      <c r="HK50" s="152">
        <f t="shared" ca="1" si="90"/>
        <v>0</v>
      </c>
      <c r="HL50" s="152">
        <f t="shared" ca="1" si="90"/>
        <v>0</v>
      </c>
      <c r="HM50" s="152">
        <f t="shared" ca="1" si="90"/>
        <v>0</v>
      </c>
      <c r="HN50" s="152">
        <f t="shared" ca="1" si="90"/>
        <v>0</v>
      </c>
      <c r="HO50" s="152">
        <f t="shared" ca="1" si="90"/>
        <v>0</v>
      </c>
      <c r="HP50" s="152">
        <f t="shared" ca="1" si="90"/>
        <v>0</v>
      </c>
      <c r="HQ50" s="152">
        <f t="shared" ca="1" si="91"/>
        <v>0</v>
      </c>
      <c r="HR50" s="152">
        <f t="shared" ca="1" si="91"/>
        <v>0</v>
      </c>
      <c r="HS50" s="152">
        <f t="shared" ca="1" si="91"/>
        <v>0</v>
      </c>
      <c r="HT50" s="152">
        <f t="shared" ca="1" si="91"/>
        <v>0</v>
      </c>
      <c r="HU50" s="152">
        <f t="shared" ca="1" si="91"/>
        <v>0</v>
      </c>
      <c r="HV50" s="152">
        <f t="shared" ca="1" si="91"/>
        <v>0</v>
      </c>
      <c r="HW50" s="152">
        <f t="shared" ca="1" si="91"/>
        <v>0</v>
      </c>
      <c r="HX50" s="152">
        <f t="shared" ca="1" si="91"/>
        <v>0</v>
      </c>
      <c r="HY50" s="152">
        <f t="shared" ca="1" si="91"/>
        <v>0</v>
      </c>
      <c r="HZ50" s="152">
        <f t="shared" ca="1" si="91"/>
        <v>0</v>
      </c>
      <c r="IA50" s="152">
        <f t="shared" ca="1" si="92"/>
        <v>0</v>
      </c>
      <c r="IB50" s="152">
        <f t="shared" ca="1" si="92"/>
        <v>0</v>
      </c>
      <c r="IC50" s="152">
        <f t="shared" ca="1" si="92"/>
        <v>0</v>
      </c>
      <c r="ID50" s="152">
        <f t="shared" ca="1" si="92"/>
        <v>0</v>
      </c>
      <c r="IE50" s="152">
        <f t="shared" ca="1" si="92"/>
        <v>0</v>
      </c>
      <c r="IF50" s="152">
        <f t="shared" ca="1" si="92"/>
        <v>0</v>
      </c>
      <c r="IG50" s="152">
        <f t="shared" ca="1" si="92"/>
        <v>0</v>
      </c>
      <c r="IH50" s="152">
        <f t="shared" ca="1" si="92"/>
        <v>0</v>
      </c>
      <c r="II50" s="152">
        <f t="shared" ca="1" si="92"/>
        <v>0</v>
      </c>
      <c r="IJ50" s="152">
        <f t="shared" ca="1" si="92"/>
        <v>0</v>
      </c>
      <c r="IK50" s="152">
        <f t="shared" ca="1" si="93"/>
        <v>0</v>
      </c>
      <c r="IL50" s="152">
        <f t="shared" ca="1" si="93"/>
        <v>0</v>
      </c>
      <c r="IM50" s="152">
        <f t="shared" ca="1" si="93"/>
        <v>0</v>
      </c>
      <c r="IN50" s="152">
        <f t="shared" ca="1" si="93"/>
        <v>0</v>
      </c>
      <c r="IO50" s="152">
        <f t="shared" ca="1" si="93"/>
        <v>0</v>
      </c>
      <c r="IP50" s="152">
        <f t="shared" ca="1" si="93"/>
        <v>0</v>
      </c>
      <c r="IQ50" s="152">
        <f t="shared" ca="1" si="93"/>
        <v>0</v>
      </c>
      <c r="IR50" s="152">
        <f t="shared" ca="1" si="93"/>
        <v>0</v>
      </c>
      <c r="IS50" s="152">
        <f t="shared" ca="1" si="93"/>
        <v>0</v>
      </c>
      <c r="IT50" s="152">
        <f t="shared" ca="1" si="93"/>
        <v>0</v>
      </c>
      <c r="IU50" s="152">
        <f t="shared" ca="1" si="95"/>
        <v>0</v>
      </c>
      <c r="IV50" s="152">
        <f t="shared" ca="1" si="95"/>
        <v>0</v>
      </c>
      <c r="IW50" s="152">
        <f t="shared" ca="1" si="95"/>
        <v>0</v>
      </c>
      <c r="IX50" s="152">
        <f t="shared" ca="1" si="95"/>
        <v>0</v>
      </c>
      <c r="IY50" s="152">
        <f t="shared" ca="1" si="95"/>
        <v>0</v>
      </c>
      <c r="IZ50" s="152">
        <f t="shared" ca="1" si="95"/>
        <v>0</v>
      </c>
      <c r="JA50" s="152">
        <f t="shared" ca="1" si="95"/>
        <v>0</v>
      </c>
      <c r="JB50" s="152">
        <f t="shared" ca="1" si="95"/>
        <v>0</v>
      </c>
      <c r="JC50" s="152">
        <f t="shared" ca="1" si="95"/>
        <v>0</v>
      </c>
      <c r="JD50" s="604"/>
    </row>
    <row r="51" spans="1:264" ht="12.75" customHeight="1" x14ac:dyDescent="0.25">
      <c r="A51" s="279"/>
      <c r="B51" s="41"/>
      <c r="C51" s="82"/>
      <c r="D51" s="41"/>
      <c r="E51" s="9"/>
      <c r="F51" s="9"/>
      <c r="G51" s="9"/>
      <c r="H51" s="10"/>
      <c r="I51" s="10"/>
      <c r="J51" s="10"/>
      <c r="K51" s="10"/>
      <c r="L51" s="10"/>
      <c r="M51" s="10"/>
      <c r="N51" s="9"/>
      <c r="O51" s="9"/>
      <c r="P51" s="44"/>
      <c r="Q51" s="44"/>
      <c r="R51" s="9"/>
      <c r="S51" s="9"/>
      <c r="T51" s="9"/>
      <c r="U51" s="9"/>
      <c r="V51" s="9"/>
      <c r="W51" s="9"/>
      <c r="X51" s="9"/>
      <c r="Y51" s="9"/>
      <c r="Z51" s="9"/>
      <c r="AA51" s="9"/>
      <c r="AB51" s="9"/>
      <c r="AC51" s="9"/>
      <c r="AD51" s="650">
        <f t="shared" si="64"/>
        <v>109</v>
      </c>
      <c r="AE51" s="654">
        <f ca="1">OFFSET('2 Staff List'!$IB$64,AJ51-1,0)</f>
        <v>0</v>
      </c>
      <c r="AF51" s="654">
        <f t="shared" si="65"/>
        <v>173.92857142857142</v>
      </c>
      <c r="AG51" s="9"/>
      <c r="AH51" s="654">
        <f t="shared" si="66"/>
        <v>239.15178571428569</v>
      </c>
      <c r="AI51" s="654">
        <f t="shared" si="67"/>
        <v>46</v>
      </c>
      <c r="AJ51" s="654">
        <f ca="1">OFFSET('2 Staff List'!$GU$64,AI51-1,0)</f>
        <v>46</v>
      </c>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1280">
        <f ca="1">OFFSET('2 Staff List'!$HW$64,AJ51-1,0)</f>
        <v>0</v>
      </c>
      <c r="DZ51" s="1281">
        <f ca="1">OFFSET('2 Staff List'!$HZ$64,AJ51-1,0)</f>
        <v>0</v>
      </c>
      <c r="EA51" s="3669">
        <f ca="1">OFFSET('2 Staff List'!$IA$64,AJ51-1,0)</f>
        <v>0</v>
      </c>
      <c r="EB51" s="3670"/>
      <c r="EC51" s="3673">
        <f t="shared" ca="1" si="68"/>
        <v>0</v>
      </c>
      <c r="ED51" s="3674"/>
      <c r="EE51" s="3675"/>
      <c r="EF51" s="3676"/>
      <c r="EG51" s="154">
        <f t="shared" ca="1" si="69"/>
        <v>0</v>
      </c>
      <c r="EH51" s="152">
        <f t="shared" ca="1" si="69"/>
        <v>0</v>
      </c>
      <c r="EI51" s="152">
        <f t="shared" ca="1" si="69"/>
        <v>0</v>
      </c>
      <c r="EJ51" s="152">
        <f t="shared" ca="1" si="69"/>
        <v>0</v>
      </c>
      <c r="EK51" s="152">
        <f t="shared" ca="1" si="69"/>
        <v>0</v>
      </c>
      <c r="EL51" s="152">
        <f t="shared" ca="1" si="69"/>
        <v>0</v>
      </c>
      <c r="EM51" s="152">
        <f t="shared" ca="1" si="69"/>
        <v>0</v>
      </c>
      <c r="EN51" s="152">
        <f t="shared" ca="1" si="69"/>
        <v>0</v>
      </c>
      <c r="EO51" s="152">
        <f t="shared" ca="1" si="69"/>
        <v>0</v>
      </c>
      <c r="EP51" s="152">
        <f t="shared" ca="1" si="69"/>
        <v>0</v>
      </c>
      <c r="EQ51" s="152">
        <f t="shared" ca="1" si="70"/>
        <v>0</v>
      </c>
      <c r="ER51" s="152">
        <f t="shared" ca="1" si="70"/>
        <v>0</v>
      </c>
      <c r="ES51" s="152">
        <f t="shared" ca="1" si="70"/>
        <v>0</v>
      </c>
      <c r="ET51" s="152">
        <f t="shared" ca="1" si="70"/>
        <v>0</v>
      </c>
      <c r="EU51" s="152">
        <f t="shared" ca="1" si="70"/>
        <v>0</v>
      </c>
      <c r="EV51" s="152">
        <f t="shared" ca="1" si="70"/>
        <v>0</v>
      </c>
      <c r="EW51" s="152">
        <f t="shared" ca="1" si="70"/>
        <v>0</v>
      </c>
      <c r="EX51" s="152">
        <f t="shared" ca="1" si="83"/>
        <v>0</v>
      </c>
      <c r="EY51" s="152">
        <f t="shared" ca="1" si="84"/>
        <v>0</v>
      </c>
      <c r="EZ51" s="152">
        <f t="shared" ca="1" si="84"/>
        <v>0</v>
      </c>
      <c r="FA51" s="152">
        <f t="shared" ca="1" si="84"/>
        <v>0</v>
      </c>
      <c r="FB51" s="152">
        <f t="shared" ca="1" si="84"/>
        <v>0</v>
      </c>
      <c r="FC51" s="152">
        <f t="shared" ca="1" si="84"/>
        <v>0</v>
      </c>
      <c r="FD51" s="152">
        <f t="shared" ca="1" si="84"/>
        <v>0</v>
      </c>
      <c r="FE51" s="152">
        <f t="shared" ca="1" si="84"/>
        <v>0</v>
      </c>
      <c r="FF51" s="152">
        <f t="shared" ca="1" si="84"/>
        <v>0</v>
      </c>
      <c r="FG51" s="152">
        <f t="shared" ca="1" si="84"/>
        <v>0</v>
      </c>
      <c r="FH51" s="152">
        <f t="shared" ca="1" si="84"/>
        <v>0</v>
      </c>
      <c r="FI51" s="152">
        <f t="shared" ca="1" si="85"/>
        <v>0</v>
      </c>
      <c r="FJ51" s="152">
        <f t="shared" ca="1" si="85"/>
        <v>0</v>
      </c>
      <c r="FK51" s="152">
        <f t="shared" ca="1" si="85"/>
        <v>0</v>
      </c>
      <c r="FL51" s="152">
        <f t="shared" ca="1" si="85"/>
        <v>0</v>
      </c>
      <c r="FM51" s="152">
        <f t="shared" ca="1" si="85"/>
        <v>0</v>
      </c>
      <c r="FN51" s="152">
        <f t="shared" ca="1" si="85"/>
        <v>0</v>
      </c>
      <c r="FO51" s="152">
        <f t="shared" ca="1" si="85"/>
        <v>0</v>
      </c>
      <c r="FP51" s="152">
        <f t="shared" ca="1" si="85"/>
        <v>0</v>
      </c>
      <c r="FQ51" s="152">
        <f t="shared" ca="1" si="85"/>
        <v>0</v>
      </c>
      <c r="FR51" s="152">
        <f t="shared" ca="1" si="85"/>
        <v>0</v>
      </c>
      <c r="FS51" s="152">
        <f t="shared" ca="1" si="86"/>
        <v>0</v>
      </c>
      <c r="FT51" s="152">
        <f t="shared" ca="1" si="86"/>
        <v>0</v>
      </c>
      <c r="FU51" s="152">
        <f t="shared" ca="1" si="86"/>
        <v>0</v>
      </c>
      <c r="FV51" s="152">
        <f t="shared" ca="1" si="86"/>
        <v>0</v>
      </c>
      <c r="FW51" s="152">
        <f t="shared" ca="1" si="86"/>
        <v>0</v>
      </c>
      <c r="FX51" s="152">
        <f t="shared" ca="1" si="86"/>
        <v>0</v>
      </c>
      <c r="FY51" s="152">
        <f t="shared" ca="1" si="86"/>
        <v>0</v>
      </c>
      <c r="FZ51" s="152">
        <f t="shared" ca="1" si="86"/>
        <v>0</v>
      </c>
      <c r="GA51" s="152">
        <f t="shared" ca="1" si="86"/>
        <v>0</v>
      </c>
      <c r="GB51" s="152">
        <f t="shared" ca="1" si="86"/>
        <v>0</v>
      </c>
      <c r="GC51" s="152">
        <f t="shared" ca="1" si="87"/>
        <v>0</v>
      </c>
      <c r="GD51" s="152">
        <f t="shared" ca="1" si="87"/>
        <v>0</v>
      </c>
      <c r="GE51" s="152">
        <f t="shared" ca="1" si="87"/>
        <v>0</v>
      </c>
      <c r="GF51" s="152">
        <f t="shared" ca="1" si="87"/>
        <v>0</v>
      </c>
      <c r="GG51" s="152">
        <f t="shared" ca="1" si="87"/>
        <v>0</v>
      </c>
      <c r="GH51" s="152">
        <f t="shared" ca="1" si="87"/>
        <v>0</v>
      </c>
      <c r="GI51" s="152">
        <f t="shared" ca="1" si="87"/>
        <v>0</v>
      </c>
      <c r="GJ51" s="152">
        <f t="shared" ca="1" si="87"/>
        <v>0</v>
      </c>
      <c r="GK51" s="152">
        <f t="shared" ca="1" si="87"/>
        <v>0</v>
      </c>
      <c r="GL51" s="152">
        <f t="shared" ca="1" si="87"/>
        <v>0</v>
      </c>
      <c r="GM51" s="152">
        <f t="shared" ca="1" si="88"/>
        <v>0</v>
      </c>
      <c r="GN51" s="152">
        <f t="shared" ca="1" si="88"/>
        <v>0</v>
      </c>
      <c r="GO51" s="152">
        <f t="shared" ca="1" si="88"/>
        <v>0</v>
      </c>
      <c r="GP51" s="152">
        <f t="shared" ca="1" si="88"/>
        <v>0</v>
      </c>
      <c r="GQ51" s="152">
        <f t="shared" ca="1" si="88"/>
        <v>0</v>
      </c>
      <c r="GR51" s="152">
        <f t="shared" ca="1" si="88"/>
        <v>0</v>
      </c>
      <c r="GS51" s="152">
        <f t="shared" ca="1" si="88"/>
        <v>0</v>
      </c>
      <c r="GT51" s="152">
        <f t="shared" ca="1" si="88"/>
        <v>0</v>
      </c>
      <c r="GU51" s="152">
        <f t="shared" ca="1" si="88"/>
        <v>0</v>
      </c>
      <c r="GV51" s="152">
        <f t="shared" ca="1" si="88"/>
        <v>0</v>
      </c>
      <c r="GW51" s="152">
        <f t="shared" ca="1" si="89"/>
        <v>0</v>
      </c>
      <c r="GX51" s="152">
        <f t="shared" ca="1" si="89"/>
        <v>0</v>
      </c>
      <c r="GY51" s="152">
        <f t="shared" ca="1" si="89"/>
        <v>0</v>
      </c>
      <c r="GZ51" s="152">
        <f t="shared" ca="1" si="89"/>
        <v>0</v>
      </c>
      <c r="HA51" s="152">
        <f t="shared" ca="1" si="89"/>
        <v>0</v>
      </c>
      <c r="HB51" s="152">
        <f t="shared" ca="1" si="89"/>
        <v>0</v>
      </c>
      <c r="HC51" s="152">
        <f t="shared" ca="1" si="89"/>
        <v>0</v>
      </c>
      <c r="HD51" s="152">
        <f t="shared" ca="1" si="89"/>
        <v>0</v>
      </c>
      <c r="HE51" s="152">
        <f t="shared" ca="1" si="89"/>
        <v>0</v>
      </c>
      <c r="HF51" s="152">
        <f t="shared" ca="1" si="89"/>
        <v>0</v>
      </c>
      <c r="HG51" s="152">
        <f t="shared" ca="1" si="90"/>
        <v>0</v>
      </c>
      <c r="HH51" s="152">
        <f t="shared" ca="1" si="90"/>
        <v>0</v>
      </c>
      <c r="HI51" s="152">
        <f t="shared" ca="1" si="90"/>
        <v>0</v>
      </c>
      <c r="HJ51" s="152">
        <f t="shared" ca="1" si="90"/>
        <v>0</v>
      </c>
      <c r="HK51" s="152">
        <f t="shared" ca="1" si="90"/>
        <v>0</v>
      </c>
      <c r="HL51" s="152">
        <f t="shared" ca="1" si="90"/>
        <v>0</v>
      </c>
      <c r="HM51" s="152">
        <f t="shared" ca="1" si="90"/>
        <v>0</v>
      </c>
      <c r="HN51" s="152">
        <f t="shared" ca="1" si="90"/>
        <v>0</v>
      </c>
      <c r="HO51" s="152">
        <f t="shared" ca="1" si="90"/>
        <v>0</v>
      </c>
      <c r="HP51" s="152">
        <f t="shared" ca="1" si="90"/>
        <v>0</v>
      </c>
      <c r="HQ51" s="152">
        <f t="shared" ca="1" si="91"/>
        <v>0</v>
      </c>
      <c r="HR51" s="152">
        <f t="shared" ca="1" si="91"/>
        <v>0</v>
      </c>
      <c r="HS51" s="152">
        <f t="shared" ca="1" si="91"/>
        <v>0</v>
      </c>
      <c r="HT51" s="152">
        <f t="shared" ca="1" si="91"/>
        <v>0</v>
      </c>
      <c r="HU51" s="152">
        <f t="shared" ca="1" si="91"/>
        <v>0</v>
      </c>
      <c r="HV51" s="152">
        <f t="shared" ca="1" si="91"/>
        <v>0</v>
      </c>
      <c r="HW51" s="152">
        <f t="shared" ca="1" si="91"/>
        <v>0</v>
      </c>
      <c r="HX51" s="152">
        <f t="shared" ca="1" si="91"/>
        <v>0</v>
      </c>
      <c r="HY51" s="152">
        <f t="shared" ca="1" si="91"/>
        <v>0</v>
      </c>
      <c r="HZ51" s="152">
        <f t="shared" ca="1" si="91"/>
        <v>0</v>
      </c>
      <c r="IA51" s="152">
        <f t="shared" ca="1" si="92"/>
        <v>0</v>
      </c>
      <c r="IB51" s="152">
        <f t="shared" ca="1" si="92"/>
        <v>0</v>
      </c>
      <c r="IC51" s="152">
        <f t="shared" ca="1" si="92"/>
        <v>0</v>
      </c>
      <c r="ID51" s="152">
        <f t="shared" ca="1" si="92"/>
        <v>0</v>
      </c>
      <c r="IE51" s="152">
        <f t="shared" ca="1" si="92"/>
        <v>0</v>
      </c>
      <c r="IF51" s="152">
        <f t="shared" ca="1" si="92"/>
        <v>0</v>
      </c>
      <c r="IG51" s="152">
        <f t="shared" ca="1" si="92"/>
        <v>0</v>
      </c>
      <c r="IH51" s="152">
        <f t="shared" ca="1" si="92"/>
        <v>0</v>
      </c>
      <c r="II51" s="152">
        <f t="shared" ca="1" si="92"/>
        <v>0</v>
      </c>
      <c r="IJ51" s="152">
        <f t="shared" ca="1" si="92"/>
        <v>0</v>
      </c>
      <c r="IK51" s="152">
        <f t="shared" ca="1" si="93"/>
        <v>0</v>
      </c>
      <c r="IL51" s="152">
        <f t="shared" ca="1" si="93"/>
        <v>0</v>
      </c>
      <c r="IM51" s="152">
        <f t="shared" ca="1" si="93"/>
        <v>0</v>
      </c>
      <c r="IN51" s="152">
        <f t="shared" ca="1" si="93"/>
        <v>0</v>
      </c>
      <c r="IO51" s="152">
        <f t="shared" ca="1" si="93"/>
        <v>0</v>
      </c>
      <c r="IP51" s="152">
        <f t="shared" ca="1" si="93"/>
        <v>0</v>
      </c>
      <c r="IQ51" s="152">
        <f t="shared" ca="1" si="93"/>
        <v>0</v>
      </c>
      <c r="IR51" s="152">
        <f t="shared" ca="1" si="93"/>
        <v>0</v>
      </c>
      <c r="IS51" s="152">
        <f t="shared" ca="1" si="93"/>
        <v>0</v>
      </c>
      <c r="IT51" s="152">
        <f t="shared" ca="1" si="93"/>
        <v>0</v>
      </c>
      <c r="IU51" s="152">
        <f t="shared" ca="1" si="95"/>
        <v>0</v>
      </c>
      <c r="IV51" s="152">
        <f t="shared" ca="1" si="95"/>
        <v>0</v>
      </c>
      <c r="IW51" s="152">
        <f t="shared" ca="1" si="95"/>
        <v>0</v>
      </c>
      <c r="IX51" s="152">
        <f t="shared" ca="1" si="95"/>
        <v>0</v>
      </c>
      <c r="IY51" s="152">
        <f t="shared" ca="1" si="95"/>
        <v>0</v>
      </c>
      <c r="IZ51" s="152">
        <f t="shared" ca="1" si="95"/>
        <v>0</v>
      </c>
      <c r="JA51" s="152">
        <f t="shared" ca="1" si="95"/>
        <v>0</v>
      </c>
      <c r="JB51" s="152">
        <f t="shared" ca="1" si="95"/>
        <v>0</v>
      </c>
      <c r="JC51" s="152">
        <f t="shared" ca="1" si="95"/>
        <v>0</v>
      </c>
      <c r="JD51" s="604"/>
    </row>
    <row r="52" spans="1:264" ht="12.75" customHeight="1" x14ac:dyDescent="0.25">
      <c r="A52" s="279"/>
      <c r="B52" s="41"/>
      <c r="C52" s="82"/>
      <c r="D52" s="41"/>
      <c r="E52" s="9"/>
      <c r="F52" s="9"/>
      <c r="G52" s="9"/>
      <c r="H52" s="10"/>
      <c r="I52" s="10"/>
      <c r="J52" s="10"/>
      <c r="K52" s="10"/>
      <c r="L52" s="10"/>
      <c r="M52" s="10"/>
      <c r="N52" s="9"/>
      <c r="O52" s="9"/>
      <c r="P52" s="44"/>
      <c r="Q52" s="44"/>
      <c r="R52" s="9"/>
      <c r="S52" s="9"/>
      <c r="T52" s="9"/>
      <c r="U52" s="9"/>
      <c r="V52" s="9"/>
      <c r="W52" s="9"/>
      <c r="X52" s="9"/>
      <c r="Y52" s="9"/>
      <c r="Z52" s="9"/>
      <c r="AA52" s="9"/>
      <c r="AB52" s="9"/>
      <c r="AC52" s="9"/>
      <c r="AD52" s="650">
        <f t="shared" si="64"/>
        <v>108</v>
      </c>
      <c r="AE52" s="654">
        <f ca="1">OFFSET('2 Staff List'!$IB$64,AJ52-1,0)</f>
        <v>0</v>
      </c>
      <c r="AF52" s="654">
        <f t="shared" si="65"/>
        <v>173.92857142857142</v>
      </c>
      <c r="AG52" s="9"/>
      <c r="AH52" s="654">
        <f t="shared" si="66"/>
        <v>239.15178571428569</v>
      </c>
      <c r="AI52" s="654">
        <f t="shared" si="67"/>
        <v>45</v>
      </c>
      <c r="AJ52" s="654">
        <f ca="1">OFFSET('2 Staff List'!$GU$64,AI52-1,0)</f>
        <v>45</v>
      </c>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1280">
        <f ca="1">OFFSET('2 Staff List'!$HW$64,AJ52-1,0)</f>
        <v>0</v>
      </c>
      <c r="DZ52" s="1281">
        <f ca="1">OFFSET('2 Staff List'!$HZ$64,AJ52-1,0)</f>
        <v>0</v>
      </c>
      <c r="EA52" s="3669">
        <f ca="1">OFFSET('2 Staff List'!$IA$64,AJ52-1,0)</f>
        <v>0</v>
      </c>
      <c r="EB52" s="3670"/>
      <c r="EC52" s="3673">
        <f t="shared" ca="1" si="68"/>
        <v>0</v>
      </c>
      <c r="ED52" s="3674"/>
      <c r="EE52" s="3675"/>
      <c r="EF52" s="3676"/>
      <c r="EG52" s="154">
        <f t="shared" ca="1" si="69"/>
        <v>0</v>
      </c>
      <c r="EH52" s="152">
        <f t="shared" ca="1" si="69"/>
        <v>0</v>
      </c>
      <c r="EI52" s="152">
        <f t="shared" ca="1" si="69"/>
        <v>0</v>
      </c>
      <c r="EJ52" s="152">
        <f t="shared" ca="1" si="69"/>
        <v>0</v>
      </c>
      <c r="EK52" s="152">
        <f t="shared" ca="1" si="69"/>
        <v>0</v>
      </c>
      <c r="EL52" s="152">
        <f t="shared" ca="1" si="69"/>
        <v>0</v>
      </c>
      <c r="EM52" s="152">
        <f t="shared" ca="1" si="69"/>
        <v>0</v>
      </c>
      <c r="EN52" s="152">
        <f t="shared" ca="1" si="69"/>
        <v>0</v>
      </c>
      <c r="EO52" s="152">
        <f t="shared" ca="1" si="69"/>
        <v>0</v>
      </c>
      <c r="EP52" s="152">
        <f t="shared" ca="1" si="69"/>
        <v>0</v>
      </c>
      <c r="EQ52" s="152">
        <f t="shared" ca="1" si="70"/>
        <v>0</v>
      </c>
      <c r="ER52" s="152">
        <f t="shared" ca="1" si="70"/>
        <v>0</v>
      </c>
      <c r="ES52" s="152">
        <f t="shared" ca="1" si="70"/>
        <v>0</v>
      </c>
      <c r="ET52" s="152">
        <f t="shared" ca="1" si="70"/>
        <v>0</v>
      </c>
      <c r="EU52" s="152">
        <f t="shared" ca="1" si="70"/>
        <v>0</v>
      </c>
      <c r="EV52" s="152">
        <f t="shared" ca="1" si="70"/>
        <v>0</v>
      </c>
      <c r="EW52" s="152">
        <f t="shared" ca="1" si="70"/>
        <v>0</v>
      </c>
      <c r="EX52" s="152">
        <f t="shared" ca="1" si="83"/>
        <v>0</v>
      </c>
      <c r="EY52" s="152">
        <f t="shared" ca="1" si="84"/>
        <v>0</v>
      </c>
      <c r="EZ52" s="152">
        <f t="shared" ca="1" si="84"/>
        <v>0</v>
      </c>
      <c r="FA52" s="152">
        <f t="shared" ca="1" si="84"/>
        <v>0</v>
      </c>
      <c r="FB52" s="152">
        <f t="shared" ca="1" si="84"/>
        <v>0</v>
      </c>
      <c r="FC52" s="152">
        <f t="shared" ca="1" si="84"/>
        <v>0</v>
      </c>
      <c r="FD52" s="152">
        <f t="shared" ca="1" si="84"/>
        <v>0</v>
      </c>
      <c r="FE52" s="152">
        <f t="shared" ca="1" si="84"/>
        <v>0</v>
      </c>
      <c r="FF52" s="152">
        <f t="shared" ca="1" si="84"/>
        <v>0</v>
      </c>
      <c r="FG52" s="152">
        <f t="shared" ca="1" si="84"/>
        <v>0</v>
      </c>
      <c r="FH52" s="152">
        <f t="shared" ca="1" si="84"/>
        <v>0</v>
      </c>
      <c r="FI52" s="152">
        <f t="shared" ca="1" si="85"/>
        <v>0</v>
      </c>
      <c r="FJ52" s="152">
        <f t="shared" ca="1" si="85"/>
        <v>0</v>
      </c>
      <c r="FK52" s="152">
        <f t="shared" ca="1" si="85"/>
        <v>0</v>
      </c>
      <c r="FL52" s="152">
        <f t="shared" ca="1" si="85"/>
        <v>0</v>
      </c>
      <c r="FM52" s="152">
        <f t="shared" ca="1" si="85"/>
        <v>0</v>
      </c>
      <c r="FN52" s="152">
        <f t="shared" ca="1" si="85"/>
        <v>0</v>
      </c>
      <c r="FO52" s="152">
        <f t="shared" ca="1" si="85"/>
        <v>0</v>
      </c>
      <c r="FP52" s="152">
        <f t="shared" ca="1" si="85"/>
        <v>0</v>
      </c>
      <c r="FQ52" s="152">
        <f t="shared" ca="1" si="85"/>
        <v>0</v>
      </c>
      <c r="FR52" s="152">
        <f t="shared" ca="1" si="85"/>
        <v>0</v>
      </c>
      <c r="FS52" s="152">
        <f t="shared" ca="1" si="86"/>
        <v>0</v>
      </c>
      <c r="FT52" s="152">
        <f t="shared" ca="1" si="86"/>
        <v>0</v>
      </c>
      <c r="FU52" s="152">
        <f t="shared" ca="1" si="86"/>
        <v>0</v>
      </c>
      <c r="FV52" s="152">
        <f t="shared" ca="1" si="86"/>
        <v>0</v>
      </c>
      <c r="FW52" s="152">
        <f t="shared" ca="1" si="86"/>
        <v>0</v>
      </c>
      <c r="FX52" s="152">
        <f t="shared" ca="1" si="86"/>
        <v>0</v>
      </c>
      <c r="FY52" s="152">
        <f t="shared" ca="1" si="86"/>
        <v>0</v>
      </c>
      <c r="FZ52" s="152">
        <f t="shared" ca="1" si="86"/>
        <v>0</v>
      </c>
      <c r="GA52" s="152">
        <f t="shared" ca="1" si="86"/>
        <v>0</v>
      </c>
      <c r="GB52" s="152">
        <f t="shared" ca="1" si="86"/>
        <v>0</v>
      </c>
      <c r="GC52" s="152">
        <f t="shared" ca="1" si="87"/>
        <v>0</v>
      </c>
      <c r="GD52" s="152">
        <f t="shared" ca="1" si="87"/>
        <v>0</v>
      </c>
      <c r="GE52" s="152">
        <f t="shared" ca="1" si="87"/>
        <v>0</v>
      </c>
      <c r="GF52" s="152">
        <f t="shared" ca="1" si="87"/>
        <v>0</v>
      </c>
      <c r="GG52" s="152">
        <f t="shared" ca="1" si="87"/>
        <v>0</v>
      </c>
      <c r="GH52" s="152">
        <f t="shared" ca="1" si="87"/>
        <v>0</v>
      </c>
      <c r="GI52" s="152">
        <f t="shared" ca="1" si="87"/>
        <v>0</v>
      </c>
      <c r="GJ52" s="152">
        <f t="shared" ca="1" si="87"/>
        <v>0</v>
      </c>
      <c r="GK52" s="152">
        <f t="shared" ca="1" si="87"/>
        <v>0</v>
      </c>
      <c r="GL52" s="152">
        <f t="shared" ca="1" si="87"/>
        <v>0</v>
      </c>
      <c r="GM52" s="152">
        <f t="shared" ca="1" si="88"/>
        <v>0</v>
      </c>
      <c r="GN52" s="152">
        <f t="shared" ca="1" si="88"/>
        <v>0</v>
      </c>
      <c r="GO52" s="152">
        <f t="shared" ca="1" si="88"/>
        <v>0</v>
      </c>
      <c r="GP52" s="152">
        <f t="shared" ca="1" si="88"/>
        <v>0</v>
      </c>
      <c r="GQ52" s="152">
        <f t="shared" ca="1" si="88"/>
        <v>0</v>
      </c>
      <c r="GR52" s="152">
        <f t="shared" ca="1" si="88"/>
        <v>0</v>
      </c>
      <c r="GS52" s="152">
        <f t="shared" ca="1" si="88"/>
        <v>0</v>
      </c>
      <c r="GT52" s="152">
        <f t="shared" ca="1" si="88"/>
        <v>0</v>
      </c>
      <c r="GU52" s="152">
        <f t="shared" ca="1" si="88"/>
        <v>0</v>
      </c>
      <c r="GV52" s="152">
        <f t="shared" ca="1" si="88"/>
        <v>0</v>
      </c>
      <c r="GW52" s="152">
        <f t="shared" ca="1" si="89"/>
        <v>0</v>
      </c>
      <c r="GX52" s="152">
        <f t="shared" ca="1" si="89"/>
        <v>0</v>
      </c>
      <c r="GY52" s="152">
        <f t="shared" ca="1" si="89"/>
        <v>0</v>
      </c>
      <c r="GZ52" s="152">
        <f t="shared" ca="1" si="89"/>
        <v>0</v>
      </c>
      <c r="HA52" s="152">
        <f t="shared" ca="1" si="89"/>
        <v>0</v>
      </c>
      <c r="HB52" s="152">
        <f t="shared" ca="1" si="89"/>
        <v>0</v>
      </c>
      <c r="HC52" s="152">
        <f t="shared" ca="1" si="89"/>
        <v>0</v>
      </c>
      <c r="HD52" s="152">
        <f t="shared" ca="1" si="89"/>
        <v>0</v>
      </c>
      <c r="HE52" s="152">
        <f t="shared" ca="1" si="89"/>
        <v>0</v>
      </c>
      <c r="HF52" s="152">
        <f t="shared" ca="1" si="89"/>
        <v>0</v>
      </c>
      <c r="HG52" s="152">
        <f t="shared" ca="1" si="90"/>
        <v>0</v>
      </c>
      <c r="HH52" s="152">
        <f t="shared" ca="1" si="90"/>
        <v>0</v>
      </c>
      <c r="HI52" s="152">
        <f t="shared" ca="1" si="90"/>
        <v>0</v>
      </c>
      <c r="HJ52" s="152">
        <f t="shared" ca="1" si="90"/>
        <v>0</v>
      </c>
      <c r="HK52" s="152">
        <f t="shared" ca="1" si="90"/>
        <v>0</v>
      </c>
      <c r="HL52" s="152">
        <f t="shared" ca="1" si="90"/>
        <v>0</v>
      </c>
      <c r="HM52" s="152">
        <f t="shared" ca="1" si="90"/>
        <v>0</v>
      </c>
      <c r="HN52" s="152">
        <f t="shared" ca="1" si="90"/>
        <v>0</v>
      </c>
      <c r="HO52" s="152">
        <f t="shared" ca="1" si="90"/>
        <v>0</v>
      </c>
      <c r="HP52" s="152">
        <f t="shared" ca="1" si="90"/>
        <v>0</v>
      </c>
      <c r="HQ52" s="152">
        <f t="shared" ca="1" si="91"/>
        <v>0</v>
      </c>
      <c r="HR52" s="152">
        <f t="shared" ca="1" si="91"/>
        <v>0</v>
      </c>
      <c r="HS52" s="152">
        <f t="shared" ca="1" si="91"/>
        <v>0</v>
      </c>
      <c r="HT52" s="152">
        <f t="shared" ca="1" si="91"/>
        <v>0</v>
      </c>
      <c r="HU52" s="152">
        <f t="shared" ca="1" si="91"/>
        <v>0</v>
      </c>
      <c r="HV52" s="152">
        <f t="shared" ca="1" si="91"/>
        <v>0</v>
      </c>
      <c r="HW52" s="152">
        <f t="shared" ca="1" si="91"/>
        <v>0</v>
      </c>
      <c r="HX52" s="152">
        <f t="shared" ca="1" si="91"/>
        <v>0</v>
      </c>
      <c r="HY52" s="152">
        <f t="shared" ca="1" si="91"/>
        <v>0</v>
      </c>
      <c r="HZ52" s="152">
        <f t="shared" ca="1" si="91"/>
        <v>0</v>
      </c>
      <c r="IA52" s="152">
        <f t="shared" ca="1" si="92"/>
        <v>0</v>
      </c>
      <c r="IB52" s="152">
        <f t="shared" ca="1" si="92"/>
        <v>0</v>
      </c>
      <c r="IC52" s="152">
        <f t="shared" ca="1" si="92"/>
        <v>0</v>
      </c>
      <c r="ID52" s="152">
        <f t="shared" ca="1" si="92"/>
        <v>0</v>
      </c>
      <c r="IE52" s="152">
        <f t="shared" ca="1" si="92"/>
        <v>0</v>
      </c>
      <c r="IF52" s="152">
        <f t="shared" ca="1" si="92"/>
        <v>0</v>
      </c>
      <c r="IG52" s="152">
        <f t="shared" ca="1" si="92"/>
        <v>0</v>
      </c>
      <c r="IH52" s="152">
        <f t="shared" ca="1" si="92"/>
        <v>0</v>
      </c>
      <c r="II52" s="152">
        <f t="shared" ca="1" si="92"/>
        <v>0</v>
      </c>
      <c r="IJ52" s="152">
        <f t="shared" ca="1" si="92"/>
        <v>0</v>
      </c>
      <c r="IK52" s="152">
        <f t="shared" ca="1" si="93"/>
        <v>0</v>
      </c>
      <c r="IL52" s="152">
        <f t="shared" ca="1" si="93"/>
        <v>0</v>
      </c>
      <c r="IM52" s="152">
        <f t="shared" ca="1" si="93"/>
        <v>0</v>
      </c>
      <c r="IN52" s="152">
        <f t="shared" ca="1" si="93"/>
        <v>0</v>
      </c>
      <c r="IO52" s="152">
        <f t="shared" ca="1" si="93"/>
        <v>0</v>
      </c>
      <c r="IP52" s="152">
        <f t="shared" ca="1" si="93"/>
        <v>0</v>
      </c>
      <c r="IQ52" s="152">
        <f t="shared" ca="1" si="93"/>
        <v>0</v>
      </c>
      <c r="IR52" s="152">
        <f t="shared" ca="1" si="93"/>
        <v>0</v>
      </c>
      <c r="IS52" s="152">
        <f t="shared" ca="1" si="93"/>
        <v>0</v>
      </c>
      <c r="IT52" s="152">
        <f t="shared" ca="1" si="93"/>
        <v>0</v>
      </c>
      <c r="IU52" s="152">
        <f t="shared" ca="1" si="95"/>
        <v>0</v>
      </c>
      <c r="IV52" s="152">
        <f t="shared" ca="1" si="95"/>
        <v>0</v>
      </c>
      <c r="IW52" s="152">
        <f t="shared" ca="1" si="95"/>
        <v>0</v>
      </c>
      <c r="IX52" s="152">
        <f t="shared" ca="1" si="95"/>
        <v>0</v>
      </c>
      <c r="IY52" s="152">
        <f t="shared" ca="1" si="95"/>
        <v>0</v>
      </c>
      <c r="IZ52" s="152">
        <f t="shared" ca="1" si="95"/>
        <v>0</v>
      </c>
      <c r="JA52" s="152">
        <f t="shared" ca="1" si="95"/>
        <v>0</v>
      </c>
      <c r="JB52" s="152">
        <f t="shared" ca="1" si="95"/>
        <v>0</v>
      </c>
      <c r="JC52" s="152">
        <f t="shared" ca="1" si="95"/>
        <v>0</v>
      </c>
      <c r="JD52" s="604"/>
    </row>
    <row r="53" spans="1:264" ht="12.75" customHeight="1" x14ac:dyDescent="0.25">
      <c r="A53" s="279"/>
      <c r="B53" s="41"/>
      <c r="C53" s="82"/>
      <c r="D53" s="41"/>
      <c r="E53" s="9"/>
      <c r="F53" s="9"/>
      <c r="G53" s="9"/>
      <c r="H53" s="10"/>
      <c r="I53" s="10"/>
      <c r="J53" s="10"/>
      <c r="K53" s="10"/>
      <c r="L53" s="10"/>
      <c r="M53" s="10"/>
      <c r="N53" s="9"/>
      <c r="O53" s="9"/>
      <c r="P53" s="44"/>
      <c r="Q53" s="44"/>
      <c r="R53" s="9"/>
      <c r="S53" s="9"/>
      <c r="T53" s="9"/>
      <c r="U53" s="9"/>
      <c r="V53" s="9"/>
      <c r="W53" s="9"/>
      <c r="X53" s="9"/>
      <c r="Y53" s="9"/>
      <c r="Z53" s="9"/>
      <c r="AA53" s="9"/>
      <c r="AB53" s="9"/>
      <c r="AC53" s="9"/>
      <c r="AD53" s="650">
        <f t="shared" si="64"/>
        <v>107</v>
      </c>
      <c r="AE53" s="654">
        <f ca="1">OFFSET('2 Staff List'!$IB$64,AJ53-1,0)</f>
        <v>0</v>
      </c>
      <c r="AF53" s="654">
        <f t="shared" si="65"/>
        <v>173.92857142857142</v>
      </c>
      <c r="AG53" s="9"/>
      <c r="AH53" s="654">
        <f t="shared" si="66"/>
        <v>239.15178571428569</v>
      </c>
      <c r="AI53" s="654">
        <f t="shared" si="67"/>
        <v>44</v>
      </c>
      <c r="AJ53" s="654">
        <f ca="1">OFFSET('2 Staff List'!$GU$64,AI53-1,0)</f>
        <v>44</v>
      </c>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1280">
        <f ca="1">OFFSET('2 Staff List'!$HW$64,AJ53-1,0)</f>
        <v>0</v>
      </c>
      <c r="DZ53" s="1281">
        <f ca="1">OFFSET('2 Staff List'!$HZ$64,AJ53-1,0)</f>
        <v>0</v>
      </c>
      <c r="EA53" s="3669">
        <f ca="1">OFFSET('2 Staff List'!$IA$64,AJ53-1,0)</f>
        <v>0</v>
      </c>
      <c r="EB53" s="3670"/>
      <c r="EC53" s="3673">
        <f t="shared" ca="1" si="68"/>
        <v>0</v>
      </c>
      <c r="ED53" s="3674"/>
      <c r="EE53" s="3675"/>
      <c r="EF53" s="3676"/>
      <c r="EG53" s="154">
        <f t="shared" ref="EG53:EP62" ca="1" si="96">IFERROR(SUMIFS(EG$129:EG$305,$DF$129:$DF$305,1,$DY$129:$DY$305,$EA53)*EG$17,0)</f>
        <v>0</v>
      </c>
      <c r="EH53" s="152">
        <f t="shared" ca="1" si="96"/>
        <v>0</v>
      </c>
      <c r="EI53" s="152">
        <f t="shared" ca="1" si="96"/>
        <v>0</v>
      </c>
      <c r="EJ53" s="152">
        <f t="shared" ca="1" si="96"/>
        <v>0</v>
      </c>
      <c r="EK53" s="152">
        <f t="shared" ca="1" si="96"/>
        <v>0</v>
      </c>
      <c r="EL53" s="152">
        <f t="shared" ca="1" si="96"/>
        <v>0</v>
      </c>
      <c r="EM53" s="152">
        <f t="shared" ca="1" si="96"/>
        <v>0</v>
      </c>
      <c r="EN53" s="152">
        <f t="shared" ca="1" si="96"/>
        <v>0</v>
      </c>
      <c r="EO53" s="152">
        <f t="shared" ca="1" si="96"/>
        <v>0</v>
      </c>
      <c r="EP53" s="152">
        <f t="shared" ca="1" si="96"/>
        <v>0</v>
      </c>
      <c r="EQ53" s="152">
        <f t="shared" ref="EQ53:EW62" ca="1" si="97">IFERROR(SUMIFS(EQ$129:EQ$305,$DF$129:$DF$305,1,$DY$129:$DY$305,$EA53)*EQ$17,0)</f>
        <v>0</v>
      </c>
      <c r="ER53" s="152">
        <f t="shared" ca="1" si="97"/>
        <v>0</v>
      </c>
      <c r="ES53" s="152">
        <f t="shared" ca="1" si="97"/>
        <v>0</v>
      </c>
      <c r="ET53" s="152">
        <f t="shared" ca="1" si="97"/>
        <v>0</v>
      </c>
      <c r="EU53" s="152">
        <f t="shared" ca="1" si="97"/>
        <v>0</v>
      </c>
      <c r="EV53" s="152">
        <f t="shared" ca="1" si="97"/>
        <v>0</v>
      </c>
      <c r="EW53" s="152">
        <f t="shared" ca="1" si="97"/>
        <v>0</v>
      </c>
      <c r="EX53" s="152">
        <f t="shared" ca="1" si="83"/>
        <v>0</v>
      </c>
      <c r="EY53" s="152">
        <f t="shared" ca="1" si="84"/>
        <v>0</v>
      </c>
      <c r="EZ53" s="152">
        <f t="shared" ca="1" si="84"/>
        <v>0</v>
      </c>
      <c r="FA53" s="152">
        <f t="shared" ca="1" si="84"/>
        <v>0</v>
      </c>
      <c r="FB53" s="152">
        <f t="shared" ca="1" si="84"/>
        <v>0</v>
      </c>
      <c r="FC53" s="152">
        <f t="shared" ca="1" si="84"/>
        <v>0</v>
      </c>
      <c r="FD53" s="152">
        <f t="shared" ca="1" si="84"/>
        <v>0</v>
      </c>
      <c r="FE53" s="152">
        <f t="shared" ca="1" si="84"/>
        <v>0</v>
      </c>
      <c r="FF53" s="152">
        <f t="shared" ca="1" si="84"/>
        <v>0</v>
      </c>
      <c r="FG53" s="152">
        <f t="shared" ca="1" si="84"/>
        <v>0</v>
      </c>
      <c r="FH53" s="152">
        <f t="shared" ca="1" si="84"/>
        <v>0</v>
      </c>
      <c r="FI53" s="152">
        <f t="shared" ca="1" si="85"/>
        <v>0</v>
      </c>
      <c r="FJ53" s="152">
        <f t="shared" ca="1" si="85"/>
        <v>0</v>
      </c>
      <c r="FK53" s="152">
        <f t="shared" ca="1" si="85"/>
        <v>0</v>
      </c>
      <c r="FL53" s="152">
        <f t="shared" ca="1" si="85"/>
        <v>0</v>
      </c>
      <c r="FM53" s="152">
        <f t="shared" ca="1" si="85"/>
        <v>0</v>
      </c>
      <c r="FN53" s="152">
        <f t="shared" ca="1" si="85"/>
        <v>0</v>
      </c>
      <c r="FO53" s="152">
        <f t="shared" ca="1" si="85"/>
        <v>0</v>
      </c>
      <c r="FP53" s="152">
        <f t="shared" ca="1" si="85"/>
        <v>0</v>
      </c>
      <c r="FQ53" s="152">
        <f t="shared" ca="1" si="85"/>
        <v>0</v>
      </c>
      <c r="FR53" s="152">
        <f t="shared" ca="1" si="85"/>
        <v>0</v>
      </c>
      <c r="FS53" s="152">
        <f t="shared" ca="1" si="86"/>
        <v>0</v>
      </c>
      <c r="FT53" s="152">
        <f t="shared" ca="1" si="86"/>
        <v>0</v>
      </c>
      <c r="FU53" s="152">
        <f t="shared" ca="1" si="86"/>
        <v>0</v>
      </c>
      <c r="FV53" s="152">
        <f t="shared" ca="1" si="86"/>
        <v>0</v>
      </c>
      <c r="FW53" s="152">
        <f t="shared" ca="1" si="86"/>
        <v>0</v>
      </c>
      <c r="FX53" s="152">
        <f t="shared" ca="1" si="86"/>
        <v>0</v>
      </c>
      <c r="FY53" s="152">
        <f t="shared" ca="1" si="86"/>
        <v>0</v>
      </c>
      <c r="FZ53" s="152">
        <f t="shared" ca="1" si="86"/>
        <v>0</v>
      </c>
      <c r="GA53" s="152">
        <f t="shared" ca="1" si="86"/>
        <v>0</v>
      </c>
      <c r="GB53" s="152">
        <f t="shared" ca="1" si="86"/>
        <v>0</v>
      </c>
      <c r="GC53" s="152">
        <f t="shared" ca="1" si="87"/>
        <v>0</v>
      </c>
      <c r="GD53" s="152">
        <f t="shared" ca="1" si="87"/>
        <v>0</v>
      </c>
      <c r="GE53" s="152">
        <f t="shared" ca="1" si="87"/>
        <v>0</v>
      </c>
      <c r="GF53" s="152">
        <f t="shared" ca="1" si="87"/>
        <v>0</v>
      </c>
      <c r="GG53" s="152">
        <f t="shared" ca="1" si="87"/>
        <v>0</v>
      </c>
      <c r="GH53" s="152">
        <f t="shared" ca="1" si="87"/>
        <v>0</v>
      </c>
      <c r="GI53" s="152">
        <f t="shared" ca="1" si="87"/>
        <v>0</v>
      </c>
      <c r="GJ53" s="152">
        <f t="shared" ca="1" si="87"/>
        <v>0</v>
      </c>
      <c r="GK53" s="152">
        <f t="shared" ca="1" si="87"/>
        <v>0</v>
      </c>
      <c r="GL53" s="152">
        <f t="shared" ca="1" si="87"/>
        <v>0</v>
      </c>
      <c r="GM53" s="152">
        <f t="shared" ca="1" si="88"/>
        <v>0</v>
      </c>
      <c r="GN53" s="152">
        <f t="shared" ca="1" si="88"/>
        <v>0</v>
      </c>
      <c r="GO53" s="152">
        <f t="shared" ca="1" si="88"/>
        <v>0</v>
      </c>
      <c r="GP53" s="152">
        <f t="shared" ca="1" si="88"/>
        <v>0</v>
      </c>
      <c r="GQ53" s="152">
        <f t="shared" ca="1" si="88"/>
        <v>0</v>
      </c>
      <c r="GR53" s="152">
        <f t="shared" ca="1" si="88"/>
        <v>0</v>
      </c>
      <c r="GS53" s="152">
        <f t="shared" ca="1" si="88"/>
        <v>0</v>
      </c>
      <c r="GT53" s="152">
        <f t="shared" ca="1" si="88"/>
        <v>0</v>
      </c>
      <c r="GU53" s="152">
        <f t="shared" ca="1" si="88"/>
        <v>0</v>
      </c>
      <c r="GV53" s="152">
        <f t="shared" ca="1" si="88"/>
        <v>0</v>
      </c>
      <c r="GW53" s="152">
        <f t="shared" ca="1" si="89"/>
        <v>0</v>
      </c>
      <c r="GX53" s="152">
        <f t="shared" ca="1" si="89"/>
        <v>0</v>
      </c>
      <c r="GY53" s="152">
        <f t="shared" ca="1" si="89"/>
        <v>0</v>
      </c>
      <c r="GZ53" s="152">
        <f t="shared" ca="1" si="89"/>
        <v>0</v>
      </c>
      <c r="HA53" s="152">
        <f t="shared" ca="1" si="89"/>
        <v>0</v>
      </c>
      <c r="HB53" s="152">
        <f t="shared" ca="1" si="89"/>
        <v>0</v>
      </c>
      <c r="HC53" s="152">
        <f t="shared" ca="1" si="89"/>
        <v>0</v>
      </c>
      <c r="HD53" s="152">
        <f t="shared" ca="1" si="89"/>
        <v>0</v>
      </c>
      <c r="HE53" s="152">
        <f t="shared" ca="1" si="89"/>
        <v>0</v>
      </c>
      <c r="HF53" s="152">
        <f t="shared" ca="1" si="89"/>
        <v>0</v>
      </c>
      <c r="HG53" s="152">
        <f t="shared" ca="1" si="90"/>
        <v>0</v>
      </c>
      <c r="HH53" s="152">
        <f t="shared" ca="1" si="90"/>
        <v>0</v>
      </c>
      <c r="HI53" s="152">
        <f t="shared" ca="1" si="90"/>
        <v>0</v>
      </c>
      <c r="HJ53" s="152">
        <f t="shared" ca="1" si="90"/>
        <v>0</v>
      </c>
      <c r="HK53" s="152">
        <f t="shared" ca="1" si="90"/>
        <v>0</v>
      </c>
      <c r="HL53" s="152">
        <f t="shared" ca="1" si="90"/>
        <v>0</v>
      </c>
      <c r="HM53" s="152">
        <f t="shared" ca="1" si="90"/>
        <v>0</v>
      </c>
      <c r="HN53" s="152">
        <f t="shared" ca="1" si="90"/>
        <v>0</v>
      </c>
      <c r="HO53" s="152">
        <f t="shared" ca="1" si="90"/>
        <v>0</v>
      </c>
      <c r="HP53" s="152">
        <f t="shared" ca="1" si="90"/>
        <v>0</v>
      </c>
      <c r="HQ53" s="152">
        <f t="shared" ca="1" si="91"/>
        <v>0</v>
      </c>
      <c r="HR53" s="152">
        <f t="shared" ca="1" si="91"/>
        <v>0</v>
      </c>
      <c r="HS53" s="152">
        <f t="shared" ca="1" si="91"/>
        <v>0</v>
      </c>
      <c r="HT53" s="152">
        <f t="shared" ca="1" si="91"/>
        <v>0</v>
      </c>
      <c r="HU53" s="152">
        <f t="shared" ca="1" si="91"/>
        <v>0</v>
      </c>
      <c r="HV53" s="152">
        <f t="shared" ca="1" si="91"/>
        <v>0</v>
      </c>
      <c r="HW53" s="152">
        <f t="shared" ca="1" si="91"/>
        <v>0</v>
      </c>
      <c r="HX53" s="152">
        <f t="shared" ca="1" si="91"/>
        <v>0</v>
      </c>
      <c r="HY53" s="152">
        <f t="shared" ca="1" si="91"/>
        <v>0</v>
      </c>
      <c r="HZ53" s="152">
        <f t="shared" ca="1" si="91"/>
        <v>0</v>
      </c>
      <c r="IA53" s="152">
        <f t="shared" ca="1" si="92"/>
        <v>0</v>
      </c>
      <c r="IB53" s="152">
        <f t="shared" ca="1" si="92"/>
        <v>0</v>
      </c>
      <c r="IC53" s="152">
        <f t="shared" ca="1" si="92"/>
        <v>0</v>
      </c>
      <c r="ID53" s="152">
        <f t="shared" ca="1" si="92"/>
        <v>0</v>
      </c>
      <c r="IE53" s="152">
        <f t="shared" ca="1" si="92"/>
        <v>0</v>
      </c>
      <c r="IF53" s="152">
        <f t="shared" ca="1" si="92"/>
        <v>0</v>
      </c>
      <c r="IG53" s="152">
        <f t="shared" ca="1" si="92"/>
        <v>0</v>
      </c>
      <c r="IH53" s="152">
        <f t="shared" ca="1" si="92"/>
        <v>0</v>
      </c>
      <c r="II53" s="152">
        <f t="shared" ca="1" si="92"/>
        <v>0</v>
      </c>
      <c r="IJ53" s="152">
        <f t="shared" ca="1" si="92"/>
        <v>0</v>
      </c>
      <c r="IK53" s="152">
        <f t="shared" ca="1" si="93"/>
        <v>0</v>
      </c>
      <c r="IL53" s="152">
        <f t="shared" ca="1" si="93"/>
        <v>0</v>
      </c>
      <c r="IM53" s="152">
        <f t="shared" ca="1" si="93"/>
        <v>0</v>
      </c>
      <c r="IN53" s="152">
        <f t="shared" ca="1" si="93"/>
        <v>0</v>
      </c>
      <c r="IO53" s="152">
        <f t="shared" ca="1" si="93"/>
        <v>0</v>
      </c>
      <c r="IP53" s="152">
        <f t="shared" ca="1" si="93"/>
        <v>0</v>
      </c>
      <c r="IQ53" s="152">
        <f t="shared" ca="1" si="93"/>
        <v>0</v>
      </c>
      <c r="IR53" s="152">
        <f t="shared" ca="1" si="93"/>
        <v>0</v>
      </c>
      <c r="IS53" s="152">
        <f t="shared" ca="1" si="93"/>
        <v>0</v>
      </c>
      <c r="IT53" s="152">
        <f t="shared" ca="1" si="93"/>
        <v>0</v>
      </c>
      <c r="IU53" s="152">
        <f t="shared" ca="1" si="95"/>
        <v>0</v>
      </c>
      <c r="IV53" s="152">
        <f t="shared" ca="1" si="95"/>
        <v>0</v>
      </c>
      <c r="IW53" s="152">
        <f t="shared" ca="1" si="95"/>
        <v>0</v>
      </c>
      <c r="IX53" s="152">
        <f t="shared" ca="1" si="95"/>
        <v>0</v>
      </c>
      <c r="IY53" s="152">
        <f t="shared" ca="1" si="95"/>
        <v>0</v>
      </c>
      <c r="IZ53" s="152">
        <f t="shared" ca="1" si="95"/>
        <v>0</v>
      </c>
      <c r="JA53" s="152">
        <f t="shared" ca="1" si="95"/>
        <v>0</v>
      </c>
      <c r="JB53" s="152">
        <f t="shared" ca="1" si="95"/>
        <v>0</v>
      </c>
      <c r="JC53" s="152">
        <f t="shared" ca="1" si="95"/>
        <v>0</v>
      </c>
      <c r="JD53" s="604"/>
    </row>
    <row r="54" spans="1:264" ht="12.75" customHeight="1" x14ac:dyDescent="0.25">
      <c r="A54" s="279"/>
      <c r="B54" s="41"/>
      <c r="C54" s="82"/>
      <c r="D54" s="41"/>
      <c r="E54" s="9"/>
      <c r="F54" s="9"/>
      <c r="G54" s="9"/>
      <c r="H54" s="10"/>
      <c r="I54" s="10"/>
      <c r="J54" s="10"/>
      <c r="K54" s="10"/>
      <c r="L54" s="10"/>
      <c r="M54" s="10"/>
      <c r="N54" s="9"/>
      <c r="O54" s="9"/>
      <c r="P54" s="44"/>
      <c r="Q54" s="44"/>
      <c r="R54" s="9"/>
      <c r="S54" s="9"/>
      <c r="T54" s="9"/>
      <c r="U54" s="9"/>
      <c r="V54" s="9"/>
      <c r="W54" s="9"/>
      <c r="X54" s="9"/>
      <c r="Y54" s="9"/>
      <c r="Z54" s="9"/>
      <c r="AA54" s="9"/>
      <c r="AB54" s="9"/>
      <c r="AC54" s="9"/>
      <c r="AD54" s="650">
        <f t="shared" si="64"/>
        <v>106</v>
      </c>
      <c r="AE54" s="654">
        <f ca="1">OFFSET('2 Staff List'!$IB$64,AJ54-1,0)</f>
        <v>0</v>
      </c>
      <c r="AF54" s="654">
        <f t="shared" si="65"/>
        <v>173.92857142857142</v>
      </c>
      <c r="AG54" s="9"/>
      <c r="AH54" s="654">
        <f t="shared" si="66"/>
        <v>239.15178571428569</v>
      </c>
      <c r="AI54" s="654">
        <f t="shared" si="67"/>
        <v>43</v>
      </c>
      <c r="AJ54" s="654">
        <f ca="1">OFFSET('2 Staff List'!$GU$64,AI54-1,0)</f>
        <v>43</v>
      </c>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1280">
        <f ca="1">OFFSET('2 Staff List'!$HW$64,AJ54-1,0)</f>
        <v>0</v>
      </c>
      <c r="DZ54" s="1281">
        <f ca="1">OFFSET('2 Staff List'!$HZ$64,AJ54-1,0)</f>
        <v>0</v>
      </c>
      <c r="EA54" s="3669">
        <f ca="1">OFFSET('2 Staff List'!$IA$64,AJ54-1,0)</f>
        <v>0</v>
      </c>
      <c r="EB54" s="3670"/>
      <c r="EC54" s="3673">
        <f t="shared" ca="1" si="68"/>
        <v>0</v>
      </c>
      <c r="ED54" s="3674"/>
      <c r="EE54" s="3675"/>
      <c r="EF54" s="3676"/>
      <c r="EG54" s="154">
        <f t="shared" ca="1" si="96"/>
        <v>0</v>
      </c>
      <c r="EH54" s="152">
        <f t="shared" ca="1" si="96"/>
        <v>0</v>
      </c>
      <c r="EI54" s="152">
        <f t="shared" ca="1" si="96"/>
        <v>0</v>
      </c>
      <c r="EJ54" s="152">
        <f t="shared" ca="1" si="96"/>
        <v>0</v>
      </c>
      <c r="EK54" s="152">
        <f t="shared" ca="1" si="96"/>
        <v>0</v>
      </c>
      <c r="EL54" s="152">
        <f t="shared" ca="1" si="96"/>
        <v>0</v>
      </c>
      <c r="EM54" s="152">
        <f t="shared" ca="1" si="96"/>
        <v>0</v>
      </c>
      <c r="EN54" s="152">
        <f t="shared" ca="1" si="96"/>
        <v>0</v>
      </c>
      <c r="EO54" s="152">
        <f t="shared" ca="1" si="96"/>
        <v>0</v>
      </c>
      <c r="EP54" s="152">
        <f t="shared" ca="1" si="96"/>
        <v>0</v>
      </c>
      <c r="EQ54" s="152">
        <f t="shared" ca="1" si="97"/>
        <v>0</v>
      </c>
      <c r="ER54" s="152">
        <f t="shared" ca="1" si="97"/>
        <v>0</v>
      </c>
      <c r="ES54" s="152">
        <f t="shared" ca="1" si="97"/>
        <v>0</v>
      </c>
      <c r="ET54" s="152">
        <f t="shared" ca="1" si="97"/>
        <v>0</v>
      </c>
      <c r="EU54" s="152">
        <f t="shared" ca="1" si="97"/>
        <v>0</v>
      </c>
      <c r="EV54" s="152">
        <f t="shared" ca="1" si="97"/>
        <v>0</v>
      </c>
      <c r="EW54" s="152">
        <f t="shared" ca="1" si="97"/>
        <v>0</v>
      </c>
      <c r="EX54" s="152">
        <f t="shared" ca="1" si="83"/>
        <v>0</v>
      </c>
      <c r="EY54" s="152">
        <f t="shared" ca="1" si="84"/>
        <v>0</v>
      </c>
      <c r="EZ54" s="152">
        <f t="shared" ca="1" si="84"/>
        <v>0</v>
      </c>
      <c r="FA54" s="152">
        <f t="shared" ca="1" si="84"/>
        <v>0</v>
      </c>
      <c r="FB54" s="152">
        <f t="shared" ca="1" si="84"/>
        <v>0</v>
      </c>
      <c r="FC54" s="152">
        <f t="shared" ca="1" si="84"/>
        <v>0</v>
      </c>
      <c r="FD54" s="152">
        <f t="shared" ca="1" si="84"/>
        <v>0</v>
      </c>
      <c r="FE54" s="152">
        <f t="shared" ca="1" si="84"/>
        <v>0</v>
      </c>
      <c r="FF54" s="152">
        <f t="shared" ca="1" si="84"/>
        <v>0</v>
      </c>
      <c r="FG54" s="152">
        <f t="shared" ca="1" si="84"/>
        <v>0</v>
      </c>
      <c r="FH54" s="152">
        <f t="shared" ca="1" si="84"/>
        <v>0</v>
      </c>
      <c r="FI54" s="152">
        <f t="shared" ca="1" si="85"/>
        <v>0</v>
      </c>
      <c r="FJ54" s="152">
        <f t="shared" ca="1" si="85"/>
        <v>0</v>
      </c>
      <c r="FK54" s="152">
        <f t="shared" ca="1" si="85"/>
        <v>0</v>
      </c>
      <c r="FL54" s="152">
        <f t="shared" ca="1" si="85"/>
        <v>0</v>
      </c>
      <c r="FM54" s="152">
        <f t="shared" ca="1" si="85"/>
        <v>0</v>
      </c>
      <c r="FN54" s="152">
        <f t="shared" ca="1" si="85"/>
        <v>0</v>
      </c>
      <c r="FO54" s="152">
        <f t="shared" ca="1" si="85"/>
        <v>0</v>
      </c>
      <c r="FP54" s="152">
        <f t="shared" ca="1" si="85"/>
        <v>0</v>
      </c>
      <c r="FQ54" s="152">
        <f t="shared" ca="1" si="85"/>
        <v>0</v>
      </c>
      <c r="FR54" s="152">
        <f t="shared" ca="1" si="85"/>
        <v>0</v>
      </c>
      <c r="FS54" s="152">
        <f t="shared" ca="1" si="86"/>
        <v>0</v>
      </c>
      <c r="FT54" s="152">
        <f t="shared" ca="1" si="86"/>
        <v>0</v>
      </c>
      <c r="FU54" s="152">
        <f t="shared" ca="1" si="86"/>
        <v>0</v>
      </c>
      <c r="FV54" s="152">
        <f t="shared" ca="1" si="86"/>
        <v>0</v>
      </c>
      <c r="FW54" s="152">
        <f t="shared" ca="1" si="86"/>
        <v>0</v>
      </c>
      <c r="FX54" s="152">
        <f t="shared" ca="1" si="86"/>
        <v>0</v>
      </c>
      <c r="FY54" s="152">
        <f t="shared" ca="1" si="86"/>
        <v>0</v>
      </c>
      <c r="FZ54" s="152">
        <f t="shared" ca="1" si="86"/>
        <v>0</v>
      </c>
      <c r="GA54" s="152">
        <f t="shared" ca="1" si="86"/>
        <v>0</v>
      </c>
      <c r="GB54" s="152">
        <f t="shared" ca="1" si="86"/>
        <v>0</v>
      </c>
      <c r="GC54" s="152">
        <f t="shared" ca="1" si="87"/>
        <v>0</v>
      </c>
      <c r="GD54" s="152">
        <f t="shared" ca="1" si="87"/>
        <v>0</v>
      </c>
      <c r="GE54" s="152">
        <f t="shared" ca="1" si="87"/>
        <v>0</v>
      </c>
      <c r="GF54" s="152">
        <f t="shared" ca="1" si="87"/>
        <v>0</v>
      </c>
      <c r="GG54" s="152">
        <f t="shared" ca="1" si="87"/>
        <v>0</v>
      </c>
      <c r="GH54" s="152">
        <f t="shared" ca="1" si="87"/>
        <v>0</v>
      </c>
      <c r="GI54" s="152">
        <f t="shared" ca="1" si="87"/>
        <v>0</v>
      </c>
      <c r="GJ54" s="152">
        <f t="shared" ca="1" si="87"/>
        <v>0</v>
      </c>
      <c r="GK54" s="152">
        <f t="shared" ca="1" si="87"/>
        <v>0</v>
      </c>
      <c r="GL54" s="152">
        <f t="shared" ca="1" si="87"/>
        <v>0</v>
      </c>
      <c r="GM54" s="152">
        <f t="shared" ca="1" si="88"/>
        <v>0</v>
      </c>
      <c r="GN54" s="152">
        <f t="shared" ca="1" si="88"/>
        <v>0</v>
      </c>
      <c r="GO54" s="152">
        <f t="shared" ca="1" si="88"/>
        <v>0</v>
      </c>
      <c r="GP54" s="152">
        <f t="shared" ca="1" si="88"/>
        <v>0</v>
      </c>
      <c r="GQ54" s="152">
        <f t="shared" ca="1" si="88"/>
        <v>0</v>
      </c>
      <c r="GR54" s="152">
        <f t="shared" ca="1" si="88"/>
        <v>0</v>
      </c>
      <c r="GS54" s="152">
        <f t="shared" ca="1" si="88"/>
        <v>0</v>
      </c>
      <c r="GT54" s="152">
        <f t="shared" ca="1" si="88"/>
        <v>0</v>
      </c>
      <c r="GU54" s="152">
        <f t="shared" ca="1" si="88"/>
        <v>0</v>
      </c>
      <c r="GV54" s="152">
        <f t="shared" ca="1" si="88"/>
        <v>0</v>
      </c>
      <c r="GW54" s="152">
        <f t="shared" ca="1" si="89"/>
        <v>0</v>
      </c>
      <c r="GX54" s="152">
        <f t="shared" ca="1" si="89"/>
        <v>0</v>
      </c>
      <c r="GY54" s="152">
        <f t="shared" ca="1" si="89"/>
        <v>0</v>
      </c>
      <c r="GZ54" s="152">
        <f t="shared" ca="1" si="89"/>
        <v>0</v>
      </c>
      <c r="HA54" s="152">
        <f t="shared" ca="1" si="89"/>
        <v>0</v>
      </c>
      <c r="HB54" s="152">
        <f t="shared" ca="1" si="89"/>
        <v>0</v>
      </c>
      <c r="HC54" s="152">
        <f t="shared" ca="1" si="89"/>
        <v>0</v>
      </c>
      <c r="HD54" s="152">
        <f t="shared" ca="1" si="89"/>
        <v>0</v>
      </c>
      <c r="HE54" s="152">
        <f t="shared" ca="1" si="89"/>
        <v>0</v>
      </c>
      <c r="HF54" s="152">
        <f t="shared" ca="1" si="89"/>
        <v>0</v>
      </c>
      <c r="HG54" s="152">
        <f t="shared" ca="1" si="90"/>
        <v>0</v>
      </c>
      <c r="HH54" s="152">
        <f t="shared" ca="1" si="90"/>
        <v>0</v>
      </c>
      <c r="HI54" s="152">
        <f t="shared" ca="1" si="90"/>
        <v>0</v>
      </c>
      <c r="HJ54" s="152">
        <f t="shared" ca="1" si="90"/>
        <v>0</v>
      </c>
      <c r="HK54" s="152">
        <f t="shared" ca="1" si="90"/>
        <v>0</v>
      </c>
      <c r="HL54" s="152">
        <f t="shared" ca="1" si="90"/>
        <v>0</v>
      </c>
      <c r="HM54" s="152">
        <f t="shared" ca="1" si="90"/>
        <v>0</v>
      </c>
      <c r="HN54" s="152">
        <f t="shared" ca="1" si="90"/>
        <v>0</v>
      </c>
      <c r="HO54" s="152">
        <f t="shared" ca="1" si="90"/>
        <v>0</v>
      </c>
      <c r="HP54" s="152">
        <f t="shared" ca="1" si="90"/>
        <v>0</v>
      </c>
      <c r="HQ54" s="152">
        <f t="shared" ca="1" si="91"/>
        <v>0</v>
      </c>
      <c r="HR54" s="152">
        <f t="shared" ca="1" si="91"/>
        <v>0</v>
      </c>
      <c r="HS54" s="152">
        <f t="shared" ca="1" si="91"/>
        <v>0</v>
      </c>
      <c r="HT54" s="152">
        <f t="shared" ca="1" si="91"/>
        <v>0</v>
      </c>
      <c r="HU54" s="152">
        <f t="shared" ca="1" si="91"/>
        <v>0</v>
      </c>
      <c r="HV54" s="152">
        <f t="shared" ca="1" si="91"/>
        <v>0</v>
      </c>
      <c r="HW54" s="152">
        <f t="shared" ca="1" si="91"/>
        <v>0</v>
      </c>
      <c r="HX54" s="152">
        <f t="shared" ca="1" si="91"/>
        <v>0</v>
      </c>
      <c r="HY54" s="152">
        <f t="shared" ca="1" si="91"/>
        <v>0</v>
      </c>
      <c r="HZ54" s="152">
        <f t="shared" ca="1" si="91"/>
        <v>0</v>
      </c>
      <c r="IA54" s="152">
        <f t="shared" ca="1" si="92"/>
        <v>0</v>
      </c>
      <c r="IB54" s="152">
        <f t="shared" ca="1" si="92"/>
        <v>0</v>
      </c>
      <c r="IC54" s="152">
        <f t="shared" ca="1" si="92"/>
        <v>0</v>
      </c>
      <c r="ID54" s="152">
        <f t="shared" ca="1" si="92"/>
        <v>0</v>
      </c>
      <c r="IE54" s="152">
        <f t="shared" ca="1" si="92"/>
        <v>0</v>
      </c>
      <c r="IF54" s="152">
        <f t="shared" ca="1" si="92"/>
        <v>0</v>
      </c>
      <c r="IG54" s="152">
        <f t="shared" ca="1" si="92"/>
        <v>0</v>
      </c>
      <c r="IH54" s="152">
        <f t="shared" ca="1" si="92"/>
        <v>0</v>
      </c>
      <c r="II54" s="152">
        <f t="shared" ca="1" si="92"/>
        <v>0</v>
      </c>
      <c r="IJ54" s="152">
        <f t="shared" ca="1" si="92"/>
        <v>0</v>
      </c>
      <c r="IK54" s="152">
        <f t="shared" ca="1" si="93"/>
        <v>0</v>
      </c>
      <c r="IL54" s="152">
        <f t="shared" ca="1" si="93"/>
        <v>0</v>
      </c>
      <c r="IM54" s="152">
        <f t="shared" ca="1" si="93"/>
        <v>0</v>
      </c>
      <c r="IN54" s="152">
        <f t="shared" ca="1" si="93"/>
        <v>0</v>
      </c>
      <c r="IO54" s="152">
        <f t="shared" ca="1" si="93"/>
        <v>0</v>
      </c>
      <c r="IP54" s="152">
        <f t="shared" ca="1" si="93"/>
        <v>0</v>
      </c>
      <c r="IQ54" s="152">
        <f t="shared" ca="1" si="93"/>
        <v>0</v>
      </c>
      <c r="IR54" s="152">
        <f t="shared" ca="1" si="93"/>
        <v>0</v>
      </c>
      <c r="IS54" s="152">
        <f t="shared" ca="1" si="93"/>
        <v>0</v>
      </c>
      <c r="IT54" s="152">
        <f t="shared" ca="1" si="93"/>
        <v>0</v>
      </c>
      <c r="IU54" s="152">
        <f t="shared" ca="1" si="95"/>
        <v>0</v>
      </c>
      <c r="IV54" s="152">
        <f t="shared" ca="1" si="95"/>
        <v>0</v>
      </c>
      <c r="IW54" s="152">
        <f t="shared" ca="1" si="95"/>
        <v>0</v>
      </c>
      <c r="IX54" s="152">
        <f t="shared" ca="1" si="95"/>
        <v>0</v>
      </c>
      <c r="IY54" s="152">
        <f t="shared" ca="1" si="95"/>
        <v>0</v>
      </c>
      <c r="IZ54" s="152">
        <f t="shared" ca="1" si="95"/>
        <v>0</v>
      </c>
      <c r="JA54" s="152">
        <f t="shared" ca="1" si="95"/>
        <v>0</v>
      </c>
      <c r="JB54" s="152">
        <f t="shared" ca="1" si="95"/>
        <v>0</v>
      </c>
      <c r="JC54" s="152">
        <f t="shared" ca="1" si="95"/>
        <v>0</v>
      </c>
      <c r="JD54" s="604"/>
    </row>
    <row r="55" spans="1:264" ht="12.75" customHeight="1" x14ac:dyDescent="0.25">
      <c r="A55" s="279"/>
      <c r="B55" s="41"/>
      <c r="C55" s="82"/>
      <c r="D55" s="41"/>
      <c r="E55" s="9"/>
      <c r="F55" s="9"/>
      <c r="G55" s="9"/>
      <c r="H55" s="10"/>
      <c r="I55" s="10"/>
      <c r="J55" s="10"/>
      <c r="K55" s="10"/>
      <c r="L55" s="10"/>
      <c r="M55" s="10"/>
      <c r="N55" s="9"/>
      <c r="O55" s="9"/>
      <c r="P55" s="44"/>
      <c r="Q55" s="44"/>
      <c r="R55" s="9"/>
      <c r="S55" s="9"/>
      <c r="T55" s="9"/>
      <c r="U55" s="9"/>
      <c r="V55" s="9"/>
      <c r="W55" s="9"/>
      <c r="X55" s="9"/>
      <c r="Y55" s="9"/>
      <c r="Z55" s="9"/>
      <c r="AA55" s="9"/>
      <c r="AB55" s="9"/>
      <c r="AC55" s="9"/>
      <c r="AD55" s="650">
        <f t="shared" si="64"/>
        <v>105</v>
      </c>
      <c r="AE55" s="654">
        <f ca="1">OFFSET('2 Staff List'!$IB$64,AJ55-1,0)</f>
        <v>0</v>
      </c>
      <c r="AF55" s="654">
        <f t="shared" si="65"/>
        <v>173.92857142857142</v>
      </c>
      <c r="AG55" s="9"/>
      <c r="AH55" s="654">
        <f t="shared" si="66"/>
        <v>239.15178571428569</v>
      </c>
      <c r="AI55" s="654">
        <f t="shared" si="67"/>
        <v>42</v>
      </c>
      <c r="AJ55" s="654">
        <f ca="1">OFFSET('2 Staff List'!$GU$64,AI55-1,0)</f>
        <v>42</v>
      </c>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1280">
        <f ca="1">OFFSET('2 Staff List'!$HW$64,AJ55-1,0)</f>
        <v>0</v>
      </c>
      <c r="DZ55" s="1281">
        <f ca="1">OFFSET('2 Staff List'!$HZ$64,AJ55-1,0)</f>
        <v>0</v>
      </c>
      <c r="EA55" s="3669">
        <f ca="1">OFFSET('2 Staff List'!$IA$64,AJ55-1,0)</f>
        <v>0</v>
      </c>
      <c r="EB55" s="3670"/>
      <c r="EC55" s="3673">
        <f t="shared" ca="1" si="68"/>
        <v>0</v>
      </c>
      <c r="ED55" s="3674"/>
      <c r="EE55" s="3675"/>
      <c r="EF55" s="3676"/>
      <c r="EG55" s="154">
        <f t="shared" ca="1" si="96"/>
        <v>0</v>
      </c>
      <c r="EH55" s="152">
        <f t="shared" ca="1" si="96"/>
        <v>0</v>
      </c>
      <c r="EI55" s="152">
        <f t="shared" ca="1" si="96"/>
        <v>0</v>
      </c>
      <c r="EJ55" s="152">
        <f t="shared" ca="1" si="96"/>
        <v>0</v>
      </c>
      <c r="EK55" s="152">
        <f t="shared" ca="1" si="96"/>
        <v>0</v>
      </c>
      <c r="EL55" s="152">
        <f t="shared" ca="1" si="96"/>
        <v>0</v>
      </c>
      <c r="EM55" s="152">
        <f t="shared" ca="1" si="96"/>
        <v>0</v>
      </c>
      <c r="EN55" s="152">
        <f t="shared" ca="1" si="96"/>
        <v>0</v>
      </c>
      <c r="EO55" s="152">
        <f t="shared" ca="1" si="96"/>
        <v>0</v>
      </c>
      <c r="EP55" s="152">
        <f t="shared" ca="1" si="96"/>
        <v>0</v>
      </c>
      <c r="EQ55" s="152">
        <f t="shared" ca="1" si="97"/>
        <v>0</v>
      </c>
      <c r="ER55" s="152">
        <f t="shared" ca="1" si="97"/>
        <v>0</v>
      </c>
      <c r="ES55" s="152">
        <f t="shared" ca="1" si="97"/>
        <v>0</v>
      </c>
      <c r="ET55" s="152">
        <f t="shared" ca="1" si="97"/>
        <v>0</v>
      </c>
      <c r="EU55" s="152">
        <f t="shared" ca="1" si="97"/>
        <v>0</v>
      </c>
      <c r="EV55" s="152">
        <f t="shared" ca="1" si="97"/>
        <v>0</v>
      </c>
      <c r="EW55" s="152">
        <f t="shared" ca="1" si="97"/>
        <v>0</v>
      </c>
      <c r="EX55" s="152">
        <f t="shared" ca="1" si="83"/>
        <v>0</v>
      </c>
      <c r="EY55" s="152">
        <f t="shared" ca="1" si="84"/>
        <v>0</v>
      </c>
      <c r="EZ55" s="152">
        <f t="shared" ca="1" si="84"/>
        <v>0</v>
      </c>
      <c r="FA55" s="152">
        <f t="shared" ca="1" si="84"/>
        <v>0</v>
      </c>
      <c r="FB55" s="152">
        <f t="shared" ca="1" si="84"/>
        <v>0</v>
      </c>
      <c r="FC55" s="152">
        <f t="shared" ca="1" si="84"/>
        <v>0</v>
      </c>
      <c r="FD55" s="152">
        <f t="shared" ca="1" si="84"/>
        <v>0</v>
      </c>
      <c r="FE55" s="152">
        <f t="shared" ca="1" si="84"/>
        <v>0</v>
      </c>
      <c r="FF55" s="152">
        <f t="shared" ca="1" si="84"/>
        <v>0</v>
      </c>
      <c r="FG55" s="152">
        <f t="shared" ca="1" si="84"/>
        <v>0</v>
      </c>
      <c r="FH55" s="152">
        <f t="shared" ca="1" si="84"/>
        <v>0</v>
      </c>
      <c r="FI55" s="152">
        <f t="shared" ca="1" si="85"/>
        <v>0</v>
      </c>
      <c r="FJ55" s="152">
        <f t="shared" ca="1" si="85"/>
        <v>0</v>
      </c>
      <c r="FK55" s="152">
        <f t="shared" ca="1" si="85"/>
        <v>0</v>
      </c>
      <c r="FL55" s="152">
        <f t="shared" ca="1" si="85"/>
        <v>0</v>
      </c>
      <c r="FM55" s="152">
        <f t="shared" ca="1" si="85"/>
        <v>0</v>
      </c>
      <c r="FN55" s="152">
        <f t="shared" ca="1" si="85"/>
        <v>0</v>
      </c>
      <c r="FO55" s="152">
        <f t="shared" ca="1" si="85"/>
        <v>0</v>
      </c>
      <c r="FP55" s="152">
        <f t="shared" ca="1" si="85"/>
        <v>0</v>
      </c>
      <c r="FQ55" s="152">
        <f t="shared" ca="1" si="85"/>
        <v>0</v>
      </c>
      <c r="FR55" s="152">
        <f t="shared" ca="1" si="85"/>
        <v>0</v>
      </c>
      <c r="FS55" s="152">
        <f t="shared" ca="1" si="86"/>
        <v>0</v>
      </c>
      <c r="FT55" s="152">
        <f t="shared" ca="1" si="86"/>
        <v>0</v>
      </c>
      <c r="FU55" s="152">
        <f t="shared" ca="1" si="86"/>
        <v>0</v>
      </c>
      <c r="FV55" s="152">
        <f t="shared" ca="1" si="86"/>
        <v>0</v>
      </c>
      <c r="FW55" s="152">
        <f t="shared" ca="1" si="86"/>
        <v>0</v>
      </c>
      <c r="FX55" s="152">
        <f t="shared" ca="1" si="86"/>
        <v>0</v>
      </c>
      <c r="FY55" s="152">
        <f t="shared" ca="1" si="86"/>
        <v>0</v>
      </c>
      <c r="FZ55" s="152">
        <f t="shared" ca="1" si="86"/>
        <v>0</v>
      </c>
      <c r="GA55" s="152">
        <f t="shared" ca="1" si="86"/>
        <v>0</v>
      </c>
      <c r="GB55" s="152">
        <f t="shared" ca="1" si="86"/>
        <v>0</v>
      </c>
      <c r="GC55" s="152">
        <f t="shared" ca="1" si="87"/>
        <v>0</v>
      </c>
      <c r="GD55" s="152">
        <f t="shared" ca="1" si="87"/>
        <v>0</v>
      </c>
      <c r="GE55" s="152">
        <f t="shared" ca="1" si="87"/>
        <v>0</v>
      </c>
      <c r="GF55" s="152">
        <f t="shared" ca="1" si="87"/>
        <v>0</v>
      </c>
      <c r="GG55" s="152">
        <f t="shared" ca="1" si="87"/>
        <v>0</v>
      </c>
      <c r="GH55" s="152">
        <f t="shared" ca="1" si="87"/>
        <v>0</v>
      </c>
      <c r="GI55" s="152">
        <f t="shared" ca="1" si="87"/>
        <v>0</v>
      </c>
      <c r="GJ55" s="152">
        <f t="shared" ca="1" si="87"/>
        <v>0</v>
      </c>
      <c r="GK55" s="152">
        <f t="shared" ca="1" si="87"/>
        <v>0</v>
      </c>
      <c r="GL55" s="152">
        <f t="shared" ca="1" si="87"/>
        <v>0</v>
      </c>
      <c r="GM55" s="152">
        <f t="shared" ca="1" si="88"/>
        <v>0</v>
      </c>
      <c r="GN55" s="152">
        <f t="shared" ca="1" si="88"/>
        <v>0</v>
      </c>
      <c r="GO55" s="152">
        <f t="shared" ca="1" si="88"/>
        <v>0</v>
      </c>
      <c r="GP55" s="152">
        <f t="shared" ca="1" si="88"/>
        <v>0</v>
      </c>
      <c r="GQ55" s="152">
        <f t="shared" ca="1" si="88"/>
        <v>0</v>
      </c>
      <c r="GR55" s="152">
        <f t="shared" ca="1" si="88"/>
        <v>0</v>
      </c>
      <c r="GS55" s="152">
        <f t="shared" ca="1" si="88"/>
        <v>0</v>
      </c>
      <c r="GT55" s="152">
        <f t="shared" ca="1" si="88"/>
        <v>0</v>
      </c>
      <c r="GU55" s="152">
        <f t="shared" ca="1" si="88"/>
        <v>0</v>
      </c>
      <c r="GV55" s="152">
        <f t="shared" ca="1" si="88"/>
        <v>0</v>
      </c>
      <c r="GW55" s="152">
        <f t="shared" ca="1" si="89"/>
        <v>0</v>
      </c>
      <c r="GX55" s="152">
        <f t="shared" ca="1" si="89"/>
        <v>0</v>
      </c>
      <c r="GY55" s="152">
        <f t="shared" ca="1" si="89"/>
        <v>0</v>
      </c>
      <c r="GZ55" s="152">
        <f t="shared" ca="1" si="89"/>
        <v>0</v>
      </c>
      <c r="HA55" s="152">
        <f t="shared" ca="1" si="89"/>
        <v>0</v>
      </c>
      <c r="HB55" s="152">
        <f t="shared" ca="1" si="89"/>
        <v>0</v>
      </c>
      <c r="HC55" s="152">
        <f t="shared" ca="1" si="89"/>
        <v>0</v>
      </c>
      <c r="HD55" s="152">
        <f t="shared" ca="1" si="89"/>
        <v>0</v>
      </c>
      <c r="HE55" s="152">
        <f t="shared" ca="1" si="89"/>
        <v>0</v>
      </c>
      <c r="HF55" s="152">
        <f t="shared" ca="1" si="89"/>
        <v>0</v>
      </c>
      <c r="HG55" s="152">
        <f t="shared" ca="1" si="90"/>
        <v>0</v>
      </c>
      <c r="HH55" s="152">
        <f t="shared" ca="1" si="90"/>
        <v>0</v>
      </c>
      <c r="HI55" s="152">
        <f t="shared" ca="1" si="90"/>
        <v>0</v>
      </c>
      <c r="HJ55" s="152">
        <f t="shared" ca="1" si="90"/>
        <v>0</v>
      </c>
      <c r="HK55" s="152">
        <f t="shared" ca="1" si="90"/>
        <v>0</v>
      </c>
      <c r="HL55" s="152">
        <f t="shared" ca="1" si="90"/>
        <v>0</v>
      </c>
      <c r="HM55" s="152">
        <f t="shared" ca="1" si="90"/>
        <v>0</v>
      </c>
      <c r="HN55" s="152">
        <f t="shared" ca="1" si="90"/>
        <v>0</v>
      </c>
      <c r="HO55" s="152">
        <f t="shared" ca="1" si="90"/>
        <v>0</v>
      </c>
      <c r="HP55" s="152">
        <f t="shared" ca="1" si="90"/>
        <v>0</v>
      </c>
      <c r="HQ55" s="152">
        <f t="shared" ca="1" si="91"/>
        <v>0</v>
      </c>
      <c r="HR55" s="152">
        <f t="shared" ca="1" si="91"/>
        <v>0</v>
      </c>
      <c r="HS55" s="152">
        <f t="shared" ca="1" si="91"/>
        <v>0</v>
      </c>
      <c r="HT55" s="152">
        <f t="shared" ca="1" si="91"/>
        <v>0</v>
      </c>
      <c r="HU55" s="152">
        <f t="shared" ca="1" si="91"/>
        <v>0</v>
      </c>
      <c r="HV55" s="152">
        <f t="shared" ca="1" si="91"/>
        <v>0</v>
      </c>
      <c r="HW55" s="152">
        <f t="shared" ca="1" si="91"/>
        <v>0</v>
      </c>
      <c r="HX55" s="152">
        <f t="shared" ca="1" si="91"/>
        <v>0</v>
      </c>
      <c r="HY55" s="152">
        <f t="shared" ca="1" si="91"/>
        <v>0</v>
      </c>
      <c r="HZ55" s="152">
        <f t="shared" ca="1" si="91"/>
        <v>0</v>
      </c>
      <c r="IA55" s="152">
        <f t="shared" ca="1" si="92"/>
        <v>0</v>
      </c>
      <c r="IB55" s="152">
        <f t="shared" ca="1" si="92"/>
        <v>0</v>
      </c>
      <c r="IC55" s="152">
        <f t="shared" ca="1" si="92"/>
        <v>0</v>
      </c>
      <c r="ID55" s="152">
        <f t="shared" ca="1" si="92"/>
        <v>0</v>
      </c>
      <c r="IE55" s="152">
        <f t="shared" ca="1" si="92"/>
        <v>0</v>
      </c>
      <c r="IF55" s="152">
        <f t="shared" ca="1" si="92"/>
        <v>0</v>
      </c>
      <c r="IG55" s="152">
        <f t="shared" ca="1" si="92"/>
        <v>0</v>
      </c>
      <c r="IH55" s="152">
        <f t="shared" ca="1" si="92"/>
        <v>0</v>
      </c>
      <c r="II55" s="152">
        <f t="shared" ca="1" si="92"/>
        <v>0</v>
      </c>
      <c r="IJ55" s="152">
        <f t="shared" ca="1" si="92"/>
        <v>0</v>
      </c>
      <c r="IK55" s="152">
        <f t="shared" ca="1" si="93"/>
        <v>0</v>
      </c>
      <c r="IL55" s="152">
        <f t="shared" ca="1" si="93"/>
        <v>0</v>
      </c>
      <c r="IM55" s="152">
        <f t="shared" ca="1" si="93"/>
        <v>0</v>
      </c>
      <c r="IN55" s="152">
        <f t="shared" ca="1" si="93"/>
        <v>0</v>
      </c>
      <c r="IO55" s="152">
        <f t="shared" ca="1" si="93"/>
        <v>0</v>
      </c>
      <c r="IP55" s="152">
        <f t="shared" ca="1" si="93"/>
        <v>0</v>
      </c>
      <c r="IQ55" s="152">
        <f t="shared" ca="1" si="93"/>
        <v>0</v>
      </c>
      <c r="IR55" s="152">
        <f t="shared" ca="1" si="93"/>
        <v>0</v>
      </c>
      <c r="IS55" s="152">
        <f t="shared" ca="1" si="93"/>
        <v>0</v>
      </c>
      <c r="IT55" s="152">
        <f t="shared" ca="1" si="93"/>
        <v>0</v>
      </c>
      <c r="IU55" s="152">
        <f t="shared" ca="1" si="95"/>
        <v>0</v>
      </c>
      <c r="IV55" s="152">
        <f t="shared" ca="1" si="95"/>
        <v>0</v>
      </c>
      <c r="IW55" s="152">
        <f t="shared" ca="1" si="95"/>
        <v>0</v>
      </c>
      <c r="IX55" s="152">
        <f t="shared" ca="1" si="95"/>
        <v>0</v>
      </c>
      <c r="IY55" s="152">
        <f t="shared" ca="1" si="95"/>
        <v>0</v>
      </c>
      <c r="IZ55" s="152">
        <f t="shared" ca="1" si="95"/>
        <v>0</v>
      </c>
      <c r="JA55" s="152">
        <f t="shared" ca="1" si="95"/>
        <v>0</v>
      </c>
      <c r="JB55" s="152">
        <f t="shared" ca="1" si="95"/>
        <v>0</v>
      </c>
      <c r="JC55" s="152">
        <f t="shared" ca="1" si="95"/>
        <v>0</v>
      </c>
      <c r="JD55" s="604"/>
    </row>
    <row r="56" spans="1:264" ht="12.75" customHeight="1" x14ac:dyDescent="0.25">
      <c r="A56" s="279"/>
      <c r="B56" s="41"/>
      <c r="C56" s="82"/>
      <c r="D56" s="41"/>
      <c r="E56" s="9"/>
      <c r="F56" s="9"/>
      <c r="G56" s="9"/>
      <c r="H56" s="10"/>
      <c r="I56" s="10"/>
      <c r="J56" s="10"/>
      <c r="K56" s="10"/>
      <c r="L56" s="10"/>
      <c r="M56" s="10"/>
      <c r="N56" s="9"/>
      <c r="O56" s="9"/>
      <c r="P56" s="44"/>
      <c r="Q56" s="44"/>
      <c r="R56" s="9"/>
      <c r="S56" s="9"/>
      <c r="T56" s="9"/>
      <c r="U56" s="9"/>
      <c r="V56" s="9"/>
      <c r="W56" s="9"/>
      <c r="X56" s="9"/>
      <c r="Y56" s="9"/>
      <c r="Z56" s="9"/>
      <c r="AA56" s="9"/>
      <c r="AB56" s="9"/>
      <c r="AC56" s="9"/>
      <c r="AD56" s="650">
        <f t="shared" si="64"/>
        <v>104</v>
      </c>
      <c r="AE56" s="654">
        <f ca="1">OFFSET('2 Staff List'!$IB$64,AJ56-1,0)</f>
        <v>0</v>
      </c>
      <c r="AF56" s="654">
        <f t="shared" si="65"/>
        <v>173.92857142857142</v>
      </c>
      <c r="AG56" s="9"/>
      <c r="AH56" s="654">
        <f t="shared" si="66"/>
        <v>239.15178571428569</v>
      </c>
      <c r="AI56" s="654">
        <f t="shared" si="67"/>
        <v>41</v>
      </c>
      <c r="AJ56" s="654">
        <f ca="1">OFFSET('2 Staff List'!$GU$64,AI56-1,0)</f>
        <v>41</v>
      </c>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1280">
        <f ca="1">OFFSET('2 Staff List'!$HW$64,AJ56-1,0)</f>
        <v>0</v>
      </c>
      <c r="DZ56" s="1281">
        <f ca="1">OFFSET('2 Staff List'!$HZ$64,AJ56-1,0)</f>
        <v>0</v>
      </c>
      <c r="EA56" s="3669">
        <f ca="1">OFFSET('2 Staff List'!$IA$64,AJ56-1,0)</f>
        <v>0</v>
      </c>
      <c r="EB56" s="3670"/>
      <c r="EC56" s="3673">
        <f t="shared" ca="1" si="68"/>
        <v>0</v>
      </c>
      <c r="ED56" s="3674"/>
      <c r="EE56" s="3675"/>
      <c r="EF56" s="3676"/>
      <c r="EG56" s="154">
        <f t="shared" ca="1" si="96"/>
        <v>0</v>
      </c>
      <c r="EH56" s="152">
        <f t="shared" ca="1" si="96"/>
        <v>0</v>
      </c>
      <c r="EI56" s="152">
        <f t="shared" ca="1" si="96"/>
        <v>0</v>
      </c>
      <c r="EJ56" s="152">
        <f t="shared" ca="1" si="96"/>
        <v>0</v>
      </c>
      <c r="EK56" s="152">
        <f t="shared" ca="1" si="96"/>
        <v>0</v>
      </c>
      <c r="EL56" s="152">
        <f t="shared" ca="1" si="96"/>
        <v>0</v>
      </c>
      <c r="EM56" s="152">
        <f t="shared" ca="1" si="96"/>
        <v>0</v>
      </c>
      <c r="EN56" s="152">
        <f t="shared" ca="1" si="96"/>
        <v>0</v>
      </c>
      <c r="EO56" s="152">
        <f t="shared" ca="1" si="96"/>
        <v>0</v>
      </c>
      <c r="EP56" s="152">
        <f t="shared" ca="1" si="96"/>
        <v>0</v>
      </c>
      <c r="EQ56" s="152">
        <f t="shared" ca="1" si="97"/>
        <v>0</v>
      </c>
      <c r="ER56" s="152">
        <f t="shared" ca="1" si="97"/>
        <v>0</v>
      </c>
      <c r="ES56" s="152">
        <f t="shared" ca="1" si="97"/>
        <v>0</v>
      </c>
      <c r="ET56" s="152">
        <f t="shared" ca="1" si="97"/>
        <v>0</v>
      </c>
      <c r="EU56" s="152">
        <f t="shared" ca="1" si="97"/>
        <v>0</v>
      </c>
      <c r="EV56" s="152">
        <f t="shared" ca="1" si="97"/>
        <v>0</v>
      </c>
      <c r="EW56" s="152">
        <f t="shared" ca="1" si="97"/>
        <v>0</v>
      </c>
      <c r="EX56" s="152">
        <f t="shared" ca="1" si="83"/>
        <v>0</v>
      </c>
      <c r="EY56" s="152">
        <f t="shared" ref="EY56:FH65" ca="1" si="98">IFERROR(SUMIFS(EY$129:EY$305,$DF$129:$DF$305,1,$DY$129:$DY$305,$EA56)*EY$17,0)</f>
        <v>0</v>
      </c>
      <c r="EZ56" s="152">
        <f t="shared" ca="1" si="98"/>
        <v>0</v>
      </c>
      <c r="FA56" s="152">
        <f t="shared" ca="1" si="98"/>
        <v>0</v>
      </c>
      <c r="FB56" s="152">
        <f t="shared" ca="1" si="98"/>
        <v>0</v>
      </c>
      <c r="FC56" s="152">
        <f t="shared" ca="1" si="98"/>
        <v>0</v>
      </c>
      <c r="FD56" s="152">
        <f t="shared" ca="1" si="98"/>
        <v>0</v>
      </c>
      <c r="FE56" s="152">
        <f t="shared" ca="1" si="98"/>
        <v>0</v>
      </c>
      <c r="FF56" s="152">
        <f t="shared" ca="1" si="98"/>
        <v>0</v>
      </c>
      <c r="FG56" s="152">
        <f t="shared" ca="1" si="98"/>
        <v>0</v>
      </c>
      <c r="FH56" s="152">
        <f t="shared" ca="1" si="98"/>
        <v>0</v>
      </c>
      <c r="FI56" s="152">
        <f t="shared" ref="FI56:FR65" ca="1" si="99">IFERROR(SUMIFS(FI$129:FI$305,$DF$129:$DF$305,1,$DY$129:$DY$305,$EA56)*FI$17,0)</f>
        <v>0</v>
      </c>
      <c r="FJ56" s="152">
        <f t="shared" ca="1" si="99"/>
        <v>0</v>
      </c>
      <c r="FK56" s="152">
        <f t="shared" ca="1" si="99"/>
        <v>0</v>
      </c>
      <c r="FL56" s="152">
        <f t="shared" ca="1" si="99"/>
        <v>0</v>
      </c>
      <c r="FM56" s="152">
        <f t="shared" ca="1" si="99"/>
        <v>0</v>
      </c>
      <c r="FN56" s="152">
        <f t="shared" ca="1" si="99"/>
        <v>0</v>
      </c>
      <c r="FO56" s="152">
        <f t="shared" ca="1" si="99"/>
        <v>0</v>
      </c>
      <c r="FP56" s="152">
        <f t="shared" ca="1" si="99"/>
        <v>0</v>
      </c>
      <c r="FQ56" s="152">
        <f t="shared" ca="1" si="99"/>
        <v>0</v>
      </c>
      <c r="FR56" s="152">
        <f t="shared" ca="1" si="99"/>
        <v>0</v>
      </c>
      <c r="FS56" s="152">
        <f t="shared" ref="FS56:GB65" ca="1" si="100">IFERROR(SUMIFS(FS$129:FS$305,$DF$129:$DF$305,1,$DY$129:$DY$305,$EA56)*FS$17,0)</f>
        <v>0</v>
      </c>
      <c r="FT56" s="152">
        <f t="shared" ca="1" si="100"/>
        <v>0</v>
      </c>
      <c r="FU56" s="152">
        <f t="shared" ca="1" si="100"/>
        <v>0</v>
      </c>
      <c r="FV56" s="152">
        <f t="shared" ca="1" si="100"/>
        <v>0</v>
      </c>
      <c r="FW56" s="152">
        <f t="shared" ca="1" si="100"/>
        <v>0</v>
      </c>
      <c r="FX56" s="152">
        <f t="shared" ca="1" si="100"/>
        <v>0</v>
      </c>
      <c r="FY56" s="152">
        <f t="shared" ca="1" si="100"/>
        <v>0</v>
      </c>
      <c r="FZ56" s="152">
        <f t="shared" ca="1" si="100"/>
        <v>0</v>
      </c>
      <c r="GA56" s="152">
        <f t="shared" ca="1" si="100"/>
        <v>0</v>
      </c>
      <c r="GB56" s="152">
        <f t="shared" ca="1" si="100"/>
        <v>0</v>
      </c>
      <c r="GC56" s="152">
        <f t="shared" ref="GC56:GL65" ca="1" si="101">IFERROR(SUMIFS(GC$129:GC$305,$DF$129:$DF$305,1,$DY$129:$DY$305,$EA56)*GC$17,0)</f>
        <v>0</v>
      </c>
      <c r="GD56" s="152">
        <f t="shared" ca="1" si="101"/>
        <v>0</v>
      </c>
      <c r="GE56" s="152">
        <f t="shared" ca="1" si="101"/>
        <v>0</v>
      </c>
      <c r="GF56" s="152">
        <f t="shared" ca="1" si="101"/>
        <v>0</v>
      </c>
      <c r="GG56" s="152">
        <f t="shared" ca="1" si="101"/>
        <v>0</v>
      </c>
      <c r="GH56" s="152">
        <f t="shared" ca="1" si="101"/>
        <v>0</v>
      </c>
      <c r="GI56" s="152">
        <f t="shared" ca="1" si="101"/>
        <v>0</v>
      </c>
      <c r="GJ56" s="152">
        <f t="shared" ca="1" si="101"/>
        <v>0</v>
      </c>
      <c r="GK56" s="152">
        <f t="shared" ca="1" si="101"/>
        <v>0</v>
      </c>
      <c r="GL56" s="152">
        <f t="shared" ca="1" si="101"/>
        <v>0</v>
      </c>
      <c r="GM56" s="152">
        <f t="shared" ref="GM56:GV65" ca="1" si="102">IFERROR(SUMIFS(GM$129:GM$305,$DF$129:$DF$305,1,$DY$129:$DY$305,$EA56)*GM$17,0)</f>
        <v>0</v>
      </c>
      <c r="GN56" s="152">
        <f t="shared" ca="1" si="102"/>
        <v>0</v>
      </c>
      <c r="GO56" s="152">
        <f t="shared" ca="1" si="102"/>
        <v>0</v>
      </c>
      <c r="GP56" s="152">
        <f t="shared" ca="1" si="102"/>
        <v>0</v>
      </c>
      <c r="GQ56" s="152">
        <f t="shared" ca="1" si="102"/>
        <v>0</v>
      </c>
      <c r="GR56" s="152">
        <f t="shared" ca="1" si="102"/>
        <v>0</v>
      </c>
      <c r="GS56" s="152">
        <f t="shared" ca="1" si="102"/>
        <v>0</v>
      </c>
      <c r="GT56" s="152">
        <f t="shared" ca="1" si="102"/>
        <v>0</v>
      </c>
      <c r="GU56" s="152">
        <f t="shared" ca="1" si="102"/>
        <v>0</v>
      </c>
      <c r="GV56" s="152">
        <f t="shared" ca="1" si="102"/>
        <v>0</v>
      </c>
      <c r="GW56" s="152">
        <f t="shared" ref="GW56:HF65" ca="1" si="103">IFERROR(SUMIFS(GW$129:GW$305,$DF$129:$DF$305,1,$DY$129:$DY$305,$EA56)*GW$17,0)</f>
        <v>0</v>
      </c>
      <c r="GX56" s="152">
        <f t="shared" ca="1" si="103"/>
        <v>0</v>
      </c>
      <c r="GY56" s="152">
        <f t="shared" ca="1" si="103"/>
        <v>0</v>
      </c>
      <c r="GZ56" s="152">
        <f t="shared" ca="1" si="103"/>
        <v>0</v>
      </c>
      <c r="HA56" s="152">
        <f t="shared" ca="1" si="103"/>
        <v>0</v>
      </c>
      <c r="HB56" s="152">
        <f t="shared" ca="1" si="103"/>
        <v>0</v>
      </c>
      <c r="HC56" s="152">
        <f t="shared" ca="1" si="103"/>
        <v>0</v>
      </c>
      <c r="HD56" s="152">
        <f t="shared" ca="1" si="103"/>
        <v>0</v>
      </c>
      <c r="HE56" s="152">
        <f t="shared" ca="1" si="103"/>
        <v>0</v>
      </c>
      <c r="HF56" s="152">
        <f t="shared" ca="1" si="103"/>
        <v>0</v>
      </c>
      <c r="HG56" s="152">
        <f t="shared" ref="HG56:HP65" ca="1" si="104">IFERROR(SUMIFS(HG$129:HG$305,$DF$129:$DF$305,1,$DY$129:$DY$305,$EA56)*HG$17,0)</f>
        <v>0</v>
      </c>
      <c r="HH56" s="152">
        <f t="shared" ca="1" si="104"/>
        <v>0</v>
      </c>
      <c r="HI56" s="152">
        <f t="shared" ca="1" si="104"/>
        <v>0</v>
      </c>
      <c r="HJ56" s="152">
        <f t="shared" ca="1" si="104"/>
        <v>0</v>
      </c>
      <c r="HK56" s="152">
        <f t="shared" ca="1" si="104"/>
        <v>0</v>
      </c>
      <c r="HL56" s="152">
        <f t="shared" ca="1" si="104"/>
        <v>0</v>
      </c>
      <c r="HM56" s="152">
        <f t="shared" ca="1" si="104"/>
        <v>0</v>
      </c>
      <c r="HN56" s="152">
        <f t="shared" ca="1" si="104"/>
        <v>0</v>
      </c>
      <c r="HO56" s="152">
        <f t="shared" ca="1" si="104"/>
        <v>0</v>
      </c>
      <c r="HP56" s="152">
        <f t="shared" ca="1" si="104"/>
        <v>0</v>
      </c>
      <c r="HQ56" s="152">
        <f t="shared" ref="HQ56:HZ65" ca="1" si="105">IFERROR(SUMIFS(HQ$129:HQ$305,$DF$129:$DF$305,1,$DY$129:$DY$305,$EA56)*HQ$17,0)</f>
        <v>0</v>
      </c>
      <c r="HR56" s="152">
        <f t="shared" ca="1" si="105"/>
        <v>0</v>
      </c>
      <c r="HS56" s="152">
        <f t="shared" ca="1" si="105"/>
        <v>0</v>
      </c>
      <c r="HT56" s="152">
        <f t="shared" ca="1" si="105"/>
        <v>0</v>
      </c>
      <c r="HU56" s="152">
        <f t="shared" ca="1" si="105"/>
        <v>0</v>
      </c>
      <c r="HV56" s="152">
        <f t="shared" ca="1" si="105"/>
        <v>0</v>
      </c>
      <c r="HW56" s="152">
        <f t="shared" ca="1" si="105"/>
        <v>0</v>
      </c>
      <c r="HX56" s="152">
        <f t="shared" ca="1" si="105"/>
        <v>0</v>
      </c>
      <c r="HY56" s="152">
        <f t="shared" ca="1" si="105"/>
        <v>0</v>
      </c>
      <c r="HZ56" s="152">
        <f t="shared" ca="1" si="105"/>
        <v>0</v>
      </c>
      <c r="IA56" s="152">
        <f t="shared" ref="IA56:IL65" ca="1" si="106">IFERROR(SUMIFS(IA$129:IA$305,$DF$129:$DF$305,1,$DY$129:$DY$305,$EA56)*IA$17,0)</f>
        <v>0</v>
      </c>
      <c r="IB56" s="152">
        <f t="shared" ca="1" si="106"/>
        <v>0</v>
      </c>
      <c r="IC56" s="152">
        <f t="shared" ca="1" si="106"/>
        <v>0</v>
      </c>
      <c r="ID56" s="152">
        <f t="shared" ca="1" si="106"/>
        <v>0</v>
      </c>
      <c r="IE56" s="152">
        <f t="shared" ca="1" si="106"/>
        <v>0</v>
      </c>
      <c r="IF56" s="152">
        <f t="shared" ca="1" si="106"/>
        <v>0</v>
      </c>
      <c r="IG56" s="152">
        <f t="shared" ca="1" si="106"/>
        <v>0</v>
      </c>
      <c r="IH56" s="152">
        <f t="shared" ca="1" si="106"/>
        <v>0</v>
      </c>
      <c r="II56" s="152">
        <f t="shared" ca="1" si="106"/>
        <v>0</v>
      </c>
      <c r="IJ56" s="152">
        <f t="shared" ca="1" si="106"/>
        <v>0</v>
      </c>
      <c r="IK56" s="152">
        <f t="shared" ca="1" si="106"/>
        <v>0</v>
      </c>
      <c r="IL56" s="152">
        <f t="shared" ca="1" si="106"/>
        <v>0</v>
      </c>
      <c r="IM56" s="152">
        <f t="shared" ref="IM56:JC56" ca="1" si="107">IFERROR(SUMIFS(IM$129:IM$305,$DF$129:$DF$305,1,$DY$129:$DY$305,$EA56)*IM$17,0)</f>
        <v>0</v>
      </c>
      <c r="IN56" s="152">
        <f t="shared" ca="1" si="107"/>
        <v>0</v>
      </c>
      <c r="IO56" s="152">
        <f t="shared" ca="1" si="107"/>
        <v>0</v>
      </c>
      <c r="IP56" s="152">
        <f t="shared" ca="1" si="107"/>
        <v>0</v>
      </c>
      <c r="IQ56" s="152">
        <f t="shared" ca="1" si="107"/>
        <v>0</v>
      </c>
      <c r="IR56" s="152">
        <f t="shared" ca="1" si="107"/>
        <v>0</v>
      </c>
      <c r="IS56" s="152">
        <f t="shared" ca="1" si="107"/>
        <v>0</v>
      </c>
      <c r="IT56" s="152">
        <f t="shared" ca="1" si="107"/>
        <v>0</v>
      </c>
      <c r="IU56" s="152">
        <f t="shared" ca="1" si="107"/>
        <v>0</v>
      </c>
      <c r="IV56" s="152">
        <f t="shared" ca="1" si="107"/>
        <v>0</v>
      </c>
      <c r="IW56" s="152">
        <f t="shared" ca="1" si="107"/>
        <v>0</v>
      </c>
      <c r="IX56" s="152">
        <f t="shared" ca="1" si="107"/>
        <v>0</v>
      </c>
      <c r="IY56" s="152">
        <f t="shared" ca="1" si="107"/>
        <v>0</v>
      </c>
      <c r="IZ56" s="152">
        <f t="shared" ca="1" si="107"/>
        <v>0</v>
      </c>
      <c r="JA56" s="152">
        <f t="shared" ca="1" si="107"/>
        <v>0</v>
      </c>
      <c r="JB56" s="152">
        <f t="shared" ca="1" si="107"/>
        <v>0</v>
      </c>
      <c r="JC56" s="152">
        <f t="shared" ca="1" si="107"/>
        <v>0</v>
      </c>
      <c r="JD56" s="604"/>
    </row>
    <row r="57" spans="1:264" ht="12.75" customHeight="1" x14ac:dyDescent="0.25">
      <c r="A57" s="279"/>
      <c r="B57" s="41"/>
      <c r="C57" s="82"/>
      <c r="D57" s="41"/>
      <c r="E57" s="9"/>
      <c r="F57" s="9"/>
      <c r="G57" s="9"/>
      <c r="H57" s="10"/>
      <c r="I57" s="10"/>
      <c r="J57" s="10"/>
      <c r="K57" s="10"/>
      <c r="L57" s="10"/>
      <c r="M57" s="10"/>
      <c r="N57" s="9"/>
      <c r="O57" s="9"/>
      <c r="P57" s="44"/>
      <c r="Q57" s="44"/>
      <c r="R57" s="9"/>
      <c r="S57" s="9"/>
      <c r="T57" s="9"/>
      <c r="U57" s="9"/>
      <c r="V57" s="9"/>
      <c r="W57" s="9"/>
      <c r="X57" s="9"/>
      <c r="Y57" s="9"/>
      <c r="Z57" s="9"/>
      <c r="AA57" s="9"/>
      <c r="AB57" s="9"/>
      <c r="AC57" s="9"/>
      <c r="AD57" s="650">
        <f>AD58+1</f>
        <v>103</v>
      </c>
      <c r="AE57" s="654">
        <f ca="1">OFFSET('2 Staff List'!$IB$64,AJ57-1,0)</f>
        <v>0</v>
      </c>
      <c r="AF57" s="654">
        <f t="shared" si="65"/>
        <v>173.92857142857142</v>
      </c>
      <c r="AG57" s="9"/>
      <c r="AH57" s="654">
        <f t="shared" si="66"/>
        <v>239.15178571428569</v>
      </c>
      <c r="AI57" s="654">
        <f t="shared" si="67"/>
        <v>40</v>
      </c>
      <c r="AJ57" s="654">
        <f ca="1">OFFSET('2 Staff List'!$GU$64,AI57-1,0)</f>
        <v>40</v>
      </c>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1280">
        <f ca="1">OFFSET('2 Staff List'!$HW$64,AJ57-1,0)</f>
        <v>0</v>
      </c>
      <c r="DZ57" s="1281">
        <f ca="1">OFFSET('2 Staff List'!$HZ$64,AJ57-1,0)</f>
        <v>0</v>
      </c>
      <c r="EA57" s="3669">
        <f ca="1">OFFSET('2 Staff List'!$IA$64,AJ57-1,0)</f>
        <v>0</v>
      </c>
      <c r="EB57" s="3670"/>
      <c r="EC57" s="3673">
        <f t="shared" ca="1" si="68"/>
        <v>0</v>
      </c>
      <c r="ED57" s="3674"/>
      <c r="EE57" s="3675"/>
      <c r="EF57" s="3676"/>
      <c r="EG57" s="154">
        <f t="shared" ca="1" si="96"/>
        <v>0</v>
      </c>
      <c r="EH57" s="152">
        <f t="shared" ca="1" si="96"/>
        <v>0</v>
      </c>
      <c r="EI57" s="152">
        <f t="shared" ca="1" si="96"/>
        <v>0</v>
      </c>
      <c r="EJ57" s="152">
        <f t="shared" ca="1" si="96"/>
        <v>0</v>
      </c>
      <c r="EK57" s="152">
        <f t="shared" ca="1" si="96"/>
        <v>0</v>
      </c>
      <c r="EL57" s="152">
        <f t="shared" ca="1" si="96"/>
        <v>0</v>
      </c>
      <c r="EM57" s="152">
        <f t="shared" ca="1" si="96"/>
        <v>0</v>
      </c>
      <c r="EN57" s="152">
        <f t="shared" ca="1" si="96"/>
        <v>0</v>
      </c>
      <c r="EO57" s="152">
        <f t="shared" ca="1" si="96"/>
        <v>0</v>
      </c>
      <c r="EP57" s="152">
        <f t="shared" ca="1" si="96"/>
        <v>0</v>
      </c>
      <c r="EQ57" s="152">
        <f t="shared" ca="1" si="97"/>
        <v>0</v>
      </c>
      <c r="ER57" s="152">
        <f t="shared" ca="1" si="97"/>
        <v>0</v>
      </c>
      <c r="ES57" s="152">
        <f t="shared" ca="1" si="97"/>
        <v>0</v>
      </c>
      <c r="ET57" s="152">
        <f t="shared" ca="1" si="97"/>
        <v>0</v>
      </c>
      <c r="EU57" s="152">
        <f t="shared" ca="1" si="97"/>
        <v>0</v>
      </c>
      <c r="EV57" s="152">
        <f t="shared" ca="1" si="97"/>
        <v>0</v>
      </c>
      <c r="EW57" s="152">
        <f t="shared" ca="1" si="97"/>
        <v>0</v>
      </c>
      <c r="EX57" s="152">
        <f t="shared" ca="1" si="83"/>
        <v>0</v>
      </c>
      <c r="EY57" s="152">
        <f t="shared" ca="1" si="98"/>
        <v>0</v>
      </c>
      <c r="EZ57" s="152">
        <f t="shared" ca="1" si="98"/>
        <v>0</v>
      </c>
      <c r="FA57" s="152">
        <f t="shared" ca="1" si="98"/>
        <v>0</v>
      </c>
      <c r="FB57" s="152">
        <f t="shared" ca="1" si="98"/>
        <v>0</v>
      </c>
      <c r="FC57" s="152">
        <f t="shared" ca="1" si="98"/>
        <v>0</v>
      </c>
      <c r="FD57" s="152">
        <f t="shared" ca="1" si="98"/>
        <v>0</v>
      </c>
      <c r="FE57" s="152">
        <f t="shared" ca="1" si="98"/>
        <v>0</v>
      </c>
      <c r="FF57" s="152">
        <f t="shared" ca="1" si="98"/>
        <v>0</v>
      </c>
      <c r="FG57" s="152">
        <f t="shared" ca="1" si="98"/>
        <v>0</v>
      </c>
      <c r="FH57" s="152">
        <f t="shared" ca="1" si="98"/>
        <v>0</v>
      </c>
      <c r="FI57" s="152">
        <f t="shared" ca="1" si="99"/>
        <v>0</v>
      </c>
      <c r="FJ57" s="152">
        <f t="shared" ca="1" si="99"/>
        <v>0</v>
      </c>
      <c r="FK57" s="152">
        <f t="shared" ca="1" si="99"/>
        <v>0</v>
      </c>
      <c r="FL57" s="152">
        <f t="shared" ca="1" si="99"/>
        <v>0</v>
      </c>
      <c r="FM57" s="152">
        <f t="shared" ca="1" si="99"/>
        <v>0</v>
      </c>
      <c r="FN57" s="152">
        <f t="shared" ca="1" si="99"/>
        <v>0</v>
      </c>
      <c r="FO57" s="152">
        <f t="shared" ca="1" si="99"/>
        <v>0</v>
      </c>
      <c r="FP57" s="152">
        <f t="shared" ca="1" si="99"/>
        <v>0</v>
      </c>
      <c r="FQ57" s="152">
        <f t="shared" ca="1" si="99"/>
        <v>0</v>
      </c>
      <c r="FR57" s="152">
        <f t="shared" ca="1" si="99"/>
        <v>0</v>
      </c>
      <c r="FS57" s="152">
        <f t="shared" ca="1" si="100"/>
        <v>0</v>
      </c>
      <c r="FT57" s="152">
        <f t="shared" ca="1" si="100"/>
        <v>0</v>
      </c>
      <c r="FU57" s="152">
        <f t="shared" ca="1" si="100"/>
        <v>0</v>
      </c>
      <c r="FV57" s="152">
        <f t="shared" ca="1" si="100"/>
        <v>0</v>
      </c>
      <c r="FW57" s="152">
        <f t="shared" ca="1" si="100"/>
        <v>0</v>
      </c>
      <c r="FX57" s="152">
        <f t="shared" ca="1" si="100"/>
        <v>0</v>
      </c>
      <c r="FY57" s="152">
        <f t="shared" ca="1" si="100"/>
        <v>0</v>
      </c>
      <c r="FZ57" s="152">
        <f t="shared" ca="1" si="100"/>
        <v>0</v>
      </c>
      <c r="GA57" s="152">
        <f t="shared" ca="1" si="100"/>
        <v>0</v>
      </c>
      <c r="GB57" s="152">
        <f t="shared" ca="1" si="100"/>
        <v>0</v>
      </c>
      <c r="GC57" s="152">
        <f t="shared" ca="1" si="101"/>
        <v>0</v>
      </c>
      <c r="GD57" s="152">
        <f t="shared" ca="1" si="101"/>
        <v>0</v>
      </c>
      <c r="GE57" s="152">
        <f t="shared" ca="1" si="101"/>
        <v>0</v>
      </c>
      <c r="GF57" s="152">
        <f t="shared" ca="1" si="101"/>
        <v>0</v>
      </c>
      <c r="GG57" s="152">
        <f t="shared" ca="1" si="101"/>
        <v>0</v>
      </c>
      <c r="GH57" s="152">
        <f t="shared" ca="1" si="101"/>
        <v>0</v>
      </c>
      <c r="GI57" s="152">
        <f t="shared" ca="1" si="101"/>
        <v>0</v>
      </c>
      <c r="GJ57" s="152">
        <f t="shared" ca="1" si="101"/>
        <v>0</v>
      </c>
      <c r="GK57" s="152">
        <f t="shared" ca="1" si="101"/>
        <v>0</v>
      </c>
      <c r="GL57" s="152">
        <f t="shared" ca="1" si="101"/>
        <v>0</v>
      </c>
      <c r="GM57" s="152">
        <f t="shared" ca="1" si="102"/>
        <v>0</v>
      </c>
      <c r="GN57" s="152">
        <f t="shared" ca="1" si="102"/>
        <v>0</v>
      </c>
      <c r="GO57" s="152">
        <f t="shared" ca="1" si="102"/>
        <v>0</v>
      </c>
      <c r="GP57" s="152">
        <f t="shared" ca="1" si="102"/>
        <v>0</v>
      </c>
      <c r="GQ57" s="152">
        <f t="shared" ca="1" si="102"/>
        <v>0</v>
      </c>
      <c r="GR57" s="152">
        <f t="shared" ca="1" si="102"/>
        <v>0</v>
      </c>
      <c r="GS57" s="152">
        <f t="shared" ca="1" si="102"/>
        <v>0</v>
      </c>
      <c r="GT57" s="152">
        <f t="shared" ca="1" si="102"/>
        <v>0</v>
      </c>
      <c r="GU57" s="152">
        <f t="shared" ca="1" si="102"/>
        <v>0</v>
      </c>
      <c r="GV57" s="152">
        <f t="shared" ca="1" si="102"/>
        <v>0</v>
      </c>
      <c r="GW57" s="152">
        <f t="shared" ca="1" si="103"/>
        <v>0</v>
      </c>
      <c r="GX57" s="152">
        <f t="shared" ca="1" si="103"/>
        <v>0</v>
      </c>
      <c r="GY57" s="152">
        <f t="shared" ca="1" si="103"/>
        <v>0</v>
      </c>
      <c r="GZ57" s="152">
        <f t="shared" ca="1" si="103"/>
        <v>0</v>
      </c>
      <c r="HA57" s="152">
        <f t="shared" ca="1" si="103"/>
        <v>0</v>
      </c>
      <c r="HB57" s="152">
        <f t="shared" ca="1" si="103"/>
        <v>0</v>
      </c>
      <c r="HC57" s="152">
        <f t="shared" ca="1" si="103"/>
        <v>0</v>
      </c>
      <c r="HD57" s="152">
        <f t="shared" ca="1" si="103"/>
        <v>0</v>
      </c>
      <c r="HE57" s="152">
        <f t="shared" ca="1" si="103"/>
        <v>0</v>
      </c>
      <c r="HF57" s="152">
        <f t="shared" ca="1" si="103"/>
        <v>0</v>
      </c>
      <c r="HG57" s="152">
        <f t="shared" ca="1" si="104"/>
        <v>0</v>
      </c>
      <c r="HH57" s="152">
        <f t="shared" ca="1" si="104"/>
        <v>0</v>
      </c>
      <c r="HI57" s="152">
        <f t="shared" ca="1" si="104"/>
        <v>0</v>
      </c>
      <c r="HJ57" s="152">
        <f t="shared" ca="1" si="104"/>
        <v>0</v>
      </c>
      <c r="HK57" s="152">
        <f t="shared" ca="1" si="104"/>
        <v>0</v>
      </c>
      <c r="HL57" s="152">
        <f t="shared" ca="1" si="104"/>
        <v>0</v>
      </c>
      <c r="HM57" s="152">
        <f t="shared" ca="1" si="104"/>
        <v>0</v>
      </c>
      <c r="HN57" s="152">
        <f t="shared" ca="1" si="104"/>
        <v>0</v>
      </c>
      <c r="HO57" s="152">
        <f t="shared" ca="1" si="104"/>
        <v>0</v>
      </c>
      <c r="HP57" s="152">
        <f t="shared" ca="1" si="104"/>
        <v>0</v>
      </c>
      <c r="HQ57" s="152">
        <f t="shared" ca="1" si="105"/>
        <v>0</v>
      </c>
      <c r="HR57" s="152">
        <f t="shared" ca="1" si="105"/>
        <v>0</v>
      </c>
      <c r="HS57" s="152">
        <f t="shared" ca="1" si="105"/>
        <v>0</v>
      </c>
      <c r="HT57" s="152">
        <f t="shared" ca="1" si="105"/>
        <v>0</v>
      </c>
      <c r="HU57" s="152">
        <f t="shared" ca="1" si="105"/>
        <v>0</v>
      </c>
      <c r="HV57" s="152">
        <f t="shared" ca="1" si="105"/>
        <v>0</v>
      </c>
      <c r="HW57" s="152">
        <f t="shared" ca="1" si="105"/>
        <v>0</v>
      </c>
      <c r="HX57" s="152">
        <f t="shared" ca="1" si="105"/>
        <v>0</v>
      </c>
      <c r="HY57" s="152">
        <f t="shared" ca="1" si="105"/>
        <v>0</v>
      </c>
      <c r="HZ57" s="152">
        <f t="shared" ca="1" si="105"/>
        <v>0</v>
      </c>
      <c r="IA57" s="152">
        <f t="shared" ca="1" si="106"/>
        <v>0</v>
      </c>
      <c r="IB57" s="152">
        <f t="shared" ca="1" si="106"/>
        <v>0</v>
      </c>
      <c r="IC57" s="152">
        <f t="shared" ca="1" si="106"/>
        <v>0</v>
      </c>
      <c r="ID57" s="152">
        <f t="shared" ca="1" si="106"/>
        <v>0</v>
      </c>
      <c r="IE57" s="152">
        <f t="shared" ca="1" si="106"/>
        <v>0</v>
      </c>
      <c r="IF57" s="152">
        <f t="shared" ca="1" si="106"/>
        <v>0</v>
      </c>
      <c r="IG57" s="152">
        <f t="shared" ca="1" si="106"/>
        <v>0</v>
      </c>
      <c r="IH57" s="152">
        <f t="shared" ca="1" si="106"/>
        <v>0</v>
      </c>
      <c r="II57" s="152">
        <f t="shared" ca="1" si="106"/>
        <v>0</v>
      </c>
      <c r="IJ57" s="152">
        <f t="shared" ca="1" si="106"/>
        <v>0</v>
      </c>
      <c r="IK57" s="152">
        <f t="shared" ca="1" si="106"/>
        <v>0</v>
      </c>
      <c r="IL57" s="152">
        <f t="shared" ca="1" si="106"/>
        <v>0</v>
      </c>
      <c r="IM57" s="152">
        <f t="shared" ref="IM57:IV66" ca="1" si="108">IFERROR(SUMIFS(IM$129:IM$305,$DF$129:$DF$305,1,$DY$129:$DY$305,$EA57)*IM$17,0)</f>
        <v>0</v>
      </c>
      <c r="IN57" s="152">
        <f t="shared" ca="1" si="108"/>
        <v>0</v>
      </c>
      <c r="IO57" s="152">
        <f t="shared" ca="1" si="108"/>
        <v>0</v>
      </c>
      <c r="IP57" s="152">
        <f t="shared" ca="1" si="108"/>
        <v>0</v>
      </c>
      <c r="IQ57" s="152">
        <f t="shared" ca="1" si="108"/>
        <v>0</v>
      </c>
      <c r="IR57" s="152">
        <f t="shared" ca="1" si="108"/>
        <v>0</v>
      </c>
      <c r="IS57" s="152">
        <f t="shared" ca="1" si="108"/>
        <v>0</v>
      </c>
      <c r="IT57" s="152">
        <f t="shared" ca="1" si="108"/>
        <v>0</v>
      </c>
      <c r="IU57" s="152">
        <f t="shared" ca="1" si="108"/>
        <v>0</v>
      </c>
      <c r="IV57" s="152">
        <f t="shared" ca="1" si="108"/>
        <v>0</v>
      </c>
      <c r="IW57" s="152">
        <f t="shared" ref="IW57:JC66" ca="1" si="109">IFERROR(SUMIFS(IW$129:IW$305,$DF$129:$DF$305,1,$DY$129:$DY$305,$EA57)*IW$17,0)</f>
        <v>0</v>
      </c>
      <c r="IX57" s="152">
        <f t="shared" ca="1" si="109"/>
        <v>0</v>
      </c>
      <c r="IY57" s="152">
        <f t="shared" ca="1" si="109"/>
        <v>0</v>
      </c>
      <c r="IZ57" s="152">
        <f t="shared" ca="1" si="109"/>
        <v>0</v>
      </c>
      <c r="JA57" s="152">
        <f t="shared" ca="1" si="109"/>
        <v>0</v>
      </c>
      <c r="JB57" s="152">
        <f t="shared" ca="1" si="109"/>
        <v>0</v>
      </c>
      <c r="JC57" s="152">
        <f t="shared" ca="1" si="109"/>
        <v>0</v>
      </c>
      <c r="JD57" s="604"/>
    </row>
    <row r="58" spans="1:264" ht="12.75" customHeight="1" x14ac:dyDescent="0.25">
      <c r="A58" s="279"/>
      <c r="B58" s="41"/>
      <c r="C58" s="82"/>
      <c r="D58" s="41"/>
      <c r="E58" s="9"/>
      <c r="F58" s="9"/>
      <c r="G58" s="9"/>
      <c r="H58" s="10"/>
      <c r="I58" s="10"/>
      <c r="J58" s="10"/>
      <c r="K58" s="10"/>
      <c r="L58" s="10"/>
      <c r="M58" s="10"/>
      <c r="N58" s="9"/>
      <c r="O58" s="9"/>
      <c r="P58" s="44"/>
      <c r="Q58" s="44"/>
      <c r="R58" s="9"/>
      <c r="S58" s="9"/>
      <c r="T58" s="9"/>
      <c r="U58" s="9"/>
      <c r="V58" s="9"/>
      <c r="W58" s="9"/>
      <c r="X58" s="9"/>
      <c r="Y58" s="9"/>
      <c r="Z58" s="9"/>
      <c r="AA58" s="9"/>
      <c r="AB58" s="9"/>
      <c r="AC58" s="9"/>
      <c r="AD58" s="650">
        <f t="shared" si="64"/>
        <v>102</v>
      </c>
      <c r="AE58" s="654">
        <f ca="1">OFFSET('2 Staff List'!$IB$64,AJ58-1,0)</f>
        <v>0</v>
      </c>
      <c r="AF58" s="654">
        <f t="shared" si="65"/>
        <v>173.92857142857142</v>
      </c>
      <c r="AG58" s="9"/>
      <c r="AH58" s="654">
        <f t="shared" si="66"/>
        <v>239.15178571428569</v>
      </c>
      <c r="AI58" s="654">
        <f t="shared" si="67"/>
        <v>39</v>
      </c>
      <c r="AJ58" s="654">
        <f ca="1">OFFSET('2 Staff List'!$GU$64,AI58-1,0)</f>
        <v>39</v>
      </c>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1280">
        <f ca="1">OFFSET('2 Staff List'!$HW$64,AJ58-1,0)</f>
        <v>0</v>
      </c>
      <c r="DZ58" s="1281">
        <f ca="1">OFFSET('2 Staff List'!$HZ$64,AJ58-1,0)</f>
        <v>0</v>
      </c>
      <c r="EA58" s="3669">
        <f ca="1">OFFSET('2 Staff List'!$IA$64,AJ58-1,0)</f>
        <v>0</v>
      </c>
      <c r="EB58" s="3670"/>
      <c r="EC58" s="3673">
        <f t="shared" ca="1" si="68"/>
        <v>0</v>
      </c>
      <c r="ED58" s="3674"/>
      <c r="EE58" s="3675"/>
      <c r="EF58" s="3676"/>
      <c r="EG58" s="154">
        <f t="shared" ca="1" si="96"/>
        <v>0</v>
      </c>
      <c r="EH58" s="152">
        <f t="shared" ca="1" si="96"/>
        <v>0</v>
      </c>
      <c r="EI58" s="152">
        <f t="shared" ca="1" si="96"/>
        <v>0</v>
      </c>
      <c r="EJ58" s="152">
        <f t="shared" ca="1" si="96"/>
        <v>0</v>
      </c>
      <c r="EK58" s="152">
        <f t="shared" ca="1" si="96"/>
        <v>0</v>
      </c>
      <c r="EL58" s="152">
        <f t="shared" ca="1" si="96"/>
        <v>0</v>
      </c>
      <c r="EM58" s="152">
        <f t="shared" ca="1" si="96"/>
        <v>0</v>
      </c>
      <c r="EN58" s="152">
        <f t="shared" ca="1" si="96"/>
        <v>0</v>
      </c>
      <c r="EO58" s="152">
        <f t="shared" ca="1" si="96"/>
        <v>0</v>
      </c>
      <c r="EP58" s="152">
        <f t="shared" ca="1" si="96"/>
        <v>0</v>
      </c>
      <c r="EQ58" s="152">
        <f t="shared" ca="1" si="97"/>
        <v>0</v>
      </c>
      <c r="ER58" s="152">
        <f t="shared" ca="1" si="97"/>
        <v>0</v>
      </c>
      <c r="ES58" s="152">
        <f t="shared" ca="1" si="97"/>
        <v>0</v>
      </c>
      <c r="ET58" s="152">
        <f t="shared" ca="1" si="97"/>
        <v>0</v>
      </c>
      <c r="EU58" s="152">
        <f t="shared" ca="1" si="97"/>
        <v>0</v>
      </c>
      <c r="EV58" s="152">
        <f t="shared" ca="1" si="97"/>
        <v>0</v>
      </c>
      <c r="EW58" s="152">
        <f t="shared" ca="1" si="97"/>
        <v>0</v>
      </c>
      <c r="EX58" s="152">
        <f t="shared" ca="1" si="83"/>
        <v>0</v>
      </c>
      <c r="EY58" s="152">
        <f t="shared" ca="1" si="98"/>
        <v>0</v>
      </c>
      <c r="EZ58" s="152">
        <f t="shared" ca="1" si="98"/>
        <v>0</v>
      </c>
      <c r="FA58" s="152">
        <f t="shared" ca="1" si="98"/>
        <v>0</v>
      </c>
      <c r="FB58" s="152">
        <f t="shared" ca="1" si="98"/>
        <v>0</v>
      </c>
      <c r="FC58" s="152">
        <f t="shared" ca="1" si="98"/>
        <v>0</v>
      </c>
      <c r="FD58" s="152">
        <f t="shared" ca="1" si="98"/>
        <v>0</v>
      </c>
      <c r="FE58" s="152">
        <f t="shared" ca="1" si="98"/>
        <v>0</v>
      </c>
      <c r="FF58" s="152">
        <f t="shared" ca="1" si="98"/>
        <v>0</v>
      </c>
      <c r="FG58" s="152">
        <f t="shared" ca="1" si="98"/>
        <v>0</v>
      </c>
      <c r="FH58" s="152">
        <f t="shared" ca="1" si="98"/>
        <v>0</v>
      </c>
      <c r="FI58" s="152">
        <f t="shared" ca="1" si="99"/>
        <v>0</v>
      </c>
      <c r="FJ58" s="152">
        <f t="shared" ca="1" si="99"/>
        <v>0</v>
      </c>
      <c r="FK58" s="152">
        <f t="shared" ca="1" si="99"/>
        <v>0</v>
      </c>
      <c r="FL58" s="152">
        <f t="shared" ca="1" si="99"/>
        <v>0</v>
      </c>
      <c r="FM58" s="152">
        <f t="shared" ca="1" si="99"/>
        <v>0</v>
      </c>
      <c r="FN58" s="152">
        <f t="shared" ca="1" si="99"/>
        <v>0</v>
      </c>
      <c r="FO58" s="152">
        <f t="shared" ca="1" si="99"/>
        <v>0</v>
      </c>
      <c r="FP58" s="152">
        <f t="shared" ca="1" si="99"/>
        <v>0</v>
      </c>
      <c r="FQ58" s="152">
        <f t="shared" ca="1" si="99"/>
        <v>0</v>
      </c>
      <c r="FR58" s="152">
        <f t="shared" ca="1" si="99"/>
        <v>0</v>
      </c>
      <c r="FS58" s="152">
        <f t="shared" ca="1" si="100"/>
        <v>0</v>
      </c>
      <c r="FT58" s="152">
        <f t="shared" ca="1" si="100"/>
        <v>0</v>
      </c>
      <c r="FU58" s="152">
        <f t="shared" ca="1" si="100"/>
        <v>0</v>
      </c>
      <c r="FV58" s="152">
        <f t="shared" ca="1" si="100"/>
        <v>0</v>
      </c>
      <c r="FW58" s="152">
        <f t="shared" ca="1" si="100"/>
        <v>0</v>
      </c>
      <c r="FX58" s="152">
        <f t="shared" ca="1" si="100"/>
        <v>0</v>
      </c>
      <c r="FY58" s="152">
        <f t="shared" ca="1" si="100"/>
        <v>0</v>
      </c>
      <c r="FZ58" s="152">
        <f t="shared" ca="1" si="100"/>
        <v>0</v>
      </c>
      <c r="GA58" s="152">
        <f t="shared" ca="1" si="100"/>
        <v>0</v>
      </c>
      <c r="GB58" s="152">
        <f t="shared" ca="1" si="100"/>
        <v>0</v>
      </c>
      <c r="GC58" s="152">
        <f t="shared" ca="1" si="101"/>
        <v>0</v>
      </c>
      <c r="GD58" s="152">
        <f t="shared" ca="1" si="101"/>
        <v>0</v>
      </c>
      <c r="GE58" s="152">
        <f t="shared" ca="1" si="101"/>
        <v>0</v>
      </c>
      <c r="GF58" s="152">
        <f t="shared" ca="1" si="101"/>
        <v>0</v>
      </c>
      <c r="GG58" s="152">
        <f t="shared" ca="1" si="101"/>
        <v>0</v>
      </c>
      <c r="GH58" s="152">
        <f t="shared" ca="1" si="101"/>
        <v>0</v>
      </c>
      <c r="GI58" s="152">
        <f t="shared" ca="1" si="101"/>
        <v>0</v>
      </c>
      <c r="GJ58" s="152">
        <f t="shared" ca="1" si="101"/>
        <v>0</v>
      </c>
      <c r="GK58" s="152">
        <f t="shared" ca="1" si="101"/>
        <v>0</v>
      </c>
      <c r="GL58" s="152">
        <f t="shared" ca="1" si="101"/>
        <v>0</v>
      </c>
      <c r="GM58" s="152">
        <f t="shared" ca="1" si="102"/>
        <v>0</v>
      </c>
      <c r="GN58" s="152">
        <f t="shared" ca="1" si="102"/>
        <v>0</v>
      </c>
      <c r="GO58" s="152">
        <f t="shared" ca="1" si="102"/>
        <v>0</v>
      </c>
      <c r="GP58" s="152">
        <f t="shared" ca="1" si="102"/>
        <v>0</v>
      </c>
      <c r="GQ58" s="152">
        <f t="shared" ca="1" si="102"/>
        <v>0</v>
      </c>
      <c r="GR58" s="152">
        <f t="shared" ca="1" si="102"/>
        <v>0</v>
      </c>
      <c r="GS58" s="152">
        <f t="shared" ca="1" si="102"/>
        <v>0</v>
      </c>
      <c r="GT58" s="152">
        <f t="shared" ca="1" si="102"/>
        <v>0</v>
      </c>
      <c r="GU58" s="152">
        <f t="shared" ca="1" si="102"/>
        <v>0</v>
      </c>
      <c r="GV58" s="152">
        <f t="shared" ca="1" si="102"/>
        <v>0</v>
      </c>
      <c r="GW58" s="152">
        <f t="shared" ca="1" si="103"/>
        <v>0</v>
      </c>
      <c r="GX58" s="152">
        <f t="shared" ca="1" si="103"/>
        <v>0</v>
      </c>
      <c r="GY58" s="152">
        <f t="shared" ca="1" si="103"/>
        <v>0</v>
      </c>
      <c r="GZ58" s="152">
        <f t="shared" ca="1" si="103"/>
        <v>0</v>
      </c>
      <c r="HA58" s="152">
        <f t="shared" ca="1" si="103"/>
        <v>0</v>
      </c>
      <c r="HB58" s="152">
        <f t="shared" ca="1" si="103"/>
        <v>0</v>
      </c>
      <c r="HC58" s="152">
        <f t="shared" ca="1" si="103"/>
        <v>0</v>
      </c>
      <c r="HD58" s="152">
        <f t="shared" ca="1" si="103"/>
        <v>0</v>
      </c>
      <c r="HE58" s="152">
        <f t="shared" ca="1" si="103"/>
        <v>0</v>
      </c>
      <c r="HF58" s="152">
        <f t="shared" ca="1" si="103"/>
        <v>0</v>
      </c>
      <c r="HG58" s="152">
        <f t="shared" ca="1" si="104"/>
        <v>0</v>
      </c>
      <c r="HH58" s="152">
        <f t="shared" ca="1" si="104"/>
        <v>0</v>
      </c>
      <c r="HI58" s="152">
        <f t="shared" ca="1" si="104"/>
        <v>0</v>
      </c>
      <c r="HJ58" s="152">
        <f t="shared" ca="1" si="104"/>
        <v>0</v>
      </c>
      <c r="HK58" s="152">
        <f t="shared" ca="1" si="104"/>
        <v>0</v>
      </c>
      <c r="HL58" s="152">
        <f t="shared" ca="1" si="104"/>
        <v>0</v>
      </c>
      <c r="HM58" s="152">
        <f t="shared" ca="1" si="104"/>
        <v>0</v>
      </c>
      <c r="HN58" s="152">
        <f t="shared" ca="1" si="104"/>
        <v>0</v>
      </c>
      <c r="HO58" s="152">
        <f t="shared" ca="1" si="104"/>
        <v>0</v>
      </c>
      <c r="HP58" s="152">
        <f t="shared" ca="1" si="104"/>
        <v>0</v>
      </c>
      <c r="HQ58" s="152">
        <f t="shared" ca="1" si="105"/>
        <v>0</v>
      </c>
      <c r="HR58" s="152">
        <f t="shared" ca="1" si="105"/>
        <v>0</v>
      </c>
      <c r="HS58" s="152">
        <f t="shared" ca="1" si="105"/>
        <v>0</v>
      </c>
      <c r="HT58" s="152">
        <f t="shared" ca="1" si="105"/>
        <v>0</v>
      </c>
      <c r="HU58" s="152">
        <f t="shared" ca="1" si="105"/>
        <v>0</v>
      </c>
      <c r="HV58" s="152">
        <f t="shared" ca="1" si="105"/>
        <v>0</v>
      </c>
      <c r="HW58" s="152">
        <f t="shared" ca="1" si="105"/>
        <v>0</v>
      </c>
      <c r="HX58" s="152">
        <f t="shared" ca="1" si="105"/>
        <v>0</v>
      </c>
      <c r="HY58" s="152">
        <f t="shared" ca="1" si="105"/>
        <v>0</v>
      </c>
      <c r="HZ58" s="152">
        <f t="shared" ca="1" si="105"/>
        <v>0</v>
      </c>
      <c r="IA58" s="152">
        <f t="shared" ca="1" si="106"/>
        <v>0</v>
      </c>
      <c r="IB58" s="152">
        <f t="shared" ca="1" si="106"/>
        <v>0</v>
      </c>
      <c r="IC58" s="152">
        <f t="shared" ca="1" si="106"/>
        <v>0</v>
      </c>
      <c r="ID58" s="152">
        <f t="shared" ca="1" si="106"/>
        <v>0</v>
      </c>
      <c r="IE58" s="152">
        <f t="shared" ca="1" si="106"/>
        <v>0</v>
      </c>
      <c r="IF58" s="152">
        <f t="shared" ca="1" si="106"/>
        <v>0</v>
      </c>
      <c r="IG58" s="152">
        <f t="shared" ca="1" si="106"/>
        <v>0</v>
      </c>
      <c r="IH58" s="152">
        <f t="shared" ca="1" si="106"/>
        <v>0</v>
      </c>
      <c r="II58" s="152">
        <f t="shared" ca="1" si="106"/>
        <v>0</v>
      </c>
      <c r="IJ58" s="152">
        <f t="shared" ca="1" si="106"/>
        <v>0</v>
      </c>
      <c r="IK58" s="152">
        <f t="shared" ca="1" si="106"/>
        <v>0</v>
      </c>
      <c r="IL58" s="152">
        <f t="shared" ca="1" si="106"/>
        <v>0</v>
      </c>
      <c r="IM58" s="152">
        <f t="shared" ca="1" si="108"/>
        <v>0</v>
      </c>
      <c r="IN58" s="152">
        <f t="shared" ca="1" si="108"/>
        <v>0</v>
      </c>
      <c r="IO58" s="152">
        <f t="shared" ca="1" si="108"/>
        <v>0</v>
      </c>
      <c r="IP58" s="152">
        <f t="shared" ca="1" si="108"/>
        <v>0</v>
      </c>
      <c r="IQ58" s="152">
        <f t="shared" ca="1" si="108"/>
        <v>0</v>
      </c>
      <c r="IR58" s="152">
        <f t="shared" ca="1" si="108"/>
        <v>0</v>
      </c>
      <c r="IS58" s="152">
        <f t="shared" ca="1" si="108"/>
        <v>0</v>
      </c>
      <c r="IT58" s="152">
        <f t="shared" ca="1" si="108"/>
        <v>0</v>
      </c>
      <c r="IU58" s="152">
        <f t="shared" ca="1" si="108"/>
        <v>0</v>
      </c>
      <c r="IV58" s="152">
        <f t="shared" ca="1" si="108"/>
        <v>0</v>
      </c>
      <c r="IW58" s="152">
        <f t="shared" ca="1" si="109"/>
        <v>0</v>
      </c>
      <c r="IX58" s="152">
        <f t="shared" ca="1" si="109"/>
        <v>0</v>
      </c>
      <c r="IY58" s="152">
        <f t="shared" ca="1" si="109"/>
        <v>0</v>
      </c>
      <c r="IZ58" s="152">
        <f t="shared" ca="1" si="109"/>
        <v>0</v>
      </c>
      <c r="JA58" s="152">
        <f t="shared" ca="1" si="109"/>
        <v>0</v>
      </c>
      <c r="JB58" s="152">
        <f t="shared" ca="1" si="109"/>
        <v>0</v>
      </c>
      <c r="JC58" s="152">
        <f t="shared" ca="1" si="109"/>
        <v>0</v>
      </c>
      <c r="JD58" s="604"/>
    </row>
    <row r="59" spans="1:264" ht="12.75" customHeight="1" x14ac:dyDescent="0.25">
      <c r="A59" s="279"/>
      <c r="B59" s="41"/>
      <c r="C59" s="82"/>
      <c r="D59" s="41"/>
      <c r="E59" s="9"/>
      <c r="F59" s="9"/>
      <c r="G59" s="9"/>
      <c r="H59" s="10"/>
      <c r="I59" s="10"/>
      <c r="J59" s="10"/>
      <c r="K59" s="10"/>
      <c r="L59" s="10"/>
      <c r="M59" s="10"/>
      <c r="N59" s="9"/>
      <c r="O59" s="9"/>
      <c r="P59" s="44"/>
      <c r="Q59" s="44"/>
      <c r="R59" s="9"/>
      <c r="S59" s="9"/>
      <c r="T59" s="9"/>
      <c r="U59" s="9"/>
      <c r="V59" s="9"/>
      <c r="W59" s="9"/>
      <c r="X59" s="9"/>
      <c r="Y59" s="9"/>
      <c r="Z59" s="9"/>
      <c r="AA59" s="9"/>
      <c r="AB59" s="9"/>
      <c r="AC59" s="9"/>
      <c r="AD59" s="650">
        <f>AD60+1</f>
        <v>101</v>
      </c>
      <c r="AE59" s="654">
        <f ca="1">OFFSET('2 Staff List'!$IB$64,AJ59-1,0)</f>
        <v>0</v>
      </c>
      <c r="AF59" s="654">
        <f t="shared" si="65"/>
        <v>173.92857142857142</v>
      </c>
      <c r="AG59" s="9"/>
      <c r="AH59" s="654">
        <f t="shared" si="66"/>
        <v>239.15178571428569</v>
      </c>
      <c r="AI59" s="654">
        <f t="shared" si="67"/>
        <v>38</v>
      </c>
      <c r="AJ59" s="654">
        <f ca="1">OFFSET('2 Staff List'!$GU$64,AI59-1,0)</f>
        <v>38</v>
      </c>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1280">
        <f ca="1">OFFSET('2 Staff List'!$HW$64,AJ59-1,0)</f>
        <v>0</v>
      </c>
      <c r="DZ59" s="1281">
        <f ca="1">OFFSET('2 Staff List'!$HZ$64,AJ59-1,0)</f>
        <v>0</v>
      </c>
      <c r="EA59" s="3669">
        <f ca="1">OFFSET('2 Staff List'!$IA$64,AJ59-1,0)</f>
        <v>0</v>
      </c>
      <c r="EB59" s="3670"/>
      <c r="EC59" s="3673">
        <f t="shared" ca="1" si="68"/>
        <v>0</v>
      </c>
      <c r="ED59" s="3674"/>
      <c r="EE59" s="3675"/>
      <c r="EF59" s="3676"/>
      <c r="EG59" s="154">
        <f t="shared" ca="1" si="96"/>
        <v>0</v>
      </c>
      <c r="EH59" s="152">
        <f t="shared" ca="1" si="96"/>
        <v>0</v>
      </c>
      <c r="EI59" s="152">
        <f t="shared" ca="1" si="96"/>
        <v>0</v>
      </c>
      <c r="EJ59" s="152">
        <f t="shared" ca="1" si="96"/>
        <v>0</v>
      </c>
      <c r="EK59" s="152">
        <f t="shared" ca="1" si="96"/>
        <v>0</v>
      </c>
      <c r="EL59" s="152">
        <f t="shared" ca="1" si="96"/>
        <v>0</v>
      </c>
      <c r="EM59" s="152">
        <f t="shared" ca="1" si="96"/>
        <v>0</v>
      </c>
      <c r="EN59" s="152">
        <f t="shared" ca="1" si="96"/>
        <v>0</v>
      </c>
      <c r="EO59" s="152">
        <f t="shared" ca="1" si="96"/>
        <v>0</v>
      </c>
      <c r="EP59" s="152">
        <f t="shared" ca="1" si="96"/>
        <v>0</v>
      </c>
      <c r="EQ59" s="152">
        <f t="shared" ca="1" si="97"/>
        <v>0</v>
      </c>
      <c r="ER59" s="152">
        <f t="shared" ca="1" si="97"/>
        <v>0</v>
      </c>
      <c r="ES59" s="152">
        <f t="shared" ca="1" si="97"/>
        <v>0</v>
      </c>
      <c r="ET59" s="152">
        <f t="shared" ca="1" si="97"/>
        <v>0</v>
      </c>
      <c r="EU59" s="152">
        <f t="shared" ca="1" si="97"/>
        <v>0</v>
      </c>
      <c r="EV59" s="152">
        <f t="shared" ca="1" si="97"/>
        <v>0</v>
      </c>
      <c r="EW59" s="152">
        <f t="shared" ca="1" si="97"/>
        <v>0</v>
      </c>
      <c r="EX59" s="152">
        <f t="shared" ca="1" si="83"/>
        <v>0</v>
      </c>
      <c r="EY59" s="152">
        <f t="shared" ca="1" si="98"/>
        <v>0</v>
      </c>
      <c r="EZ59" s="152">
        <f t="shared" ca="1" si="98"/>
        <v>0</v>
      </c>
      <c r="FA59" s="152">
        <f t="shared" ca="1" si="98"/>
        <v>0</v>
      </c>
      <c r="FB59" s="152">
        <f t="shared" ca="1" si="98"/>
        <v>0</v>
      </c>
      <c r="FC59" s="152">
        <f t="shared" ca="1" si="98"/>
        <v>0</v>
      </c>
      <c r="FD59" s="152">
        <f t="shared" ca="1" si="98"/>
        <v>0</v>
      </c>
      <c r="FE59" s="152">
        <f t="shared" ca="1" si="98"/>
        <v>0</v>
      </c>
      <c r="FF59" s="152">
        <f t="shared" ca="1" si="98"/>
        <v>0</v>
      </c>
      <c r="FG59" s="152">
        <f t="shared" ca="1" si="98"/>
        <v>0</v>
      </c>
      <c r="FH59" s="152">
        <f t="shared" ca="1" si="98"/>
        <v>0</v>
      </c>
      <c r="FI59" s="152">
        <f t="shared" ca="1" si="99"/>
        <v>0</v>
      </c>
      <c r="FJ59" s="152">
        <f t="shared" ca="1" si="99"/>
        <v>0</v>
      </c>
      <c r="FK59" s="152">
        <f t="shared" ca="1" si="99"/>
        <v>0</v>
      </c>
      <c r="FL59" s="152">
        <f t="shared" ca="1" si="99"/>
        <v>0</v>
      </c>
      <c r="FM59" s="152">
        <f t="shared" ca="1" si="99"/>
        <v>0</v>
      </c>
      <c r="FN59" s="152">
        <f t="shared" ca="1" si="99"/>
        <v>0</v>
      </c>
      <c r="FO59" s="152">
        <f t="shared" ca="1" si="99"/>
        <v>0</v>
      </c>
      <c r="FP59" s="152">
        <f t="shared" ca="1" si="99"/>
        <v>0</v>
      </c>
      <c r="FQ59" s="152">
        <f t="shared" ca="1" si="99"/>
        <v>0</v>
      </c>
      <c r="FR59" s="152">
        <f t="shared" ca="1" si="99"/>
        <v>0</v>
      </c>
      <c r="FS59" s="152">
        <f t="shared" ca="1" si="100"/>
        <v>0</v>
      </c>
      <c r="FT59" s="152">
        <f t="shared" ca="1" si="100"/>
        <v>0</v>
      </c>
      <c r="FU59" s="152">
        <f t="shared" ca="1" si="100"/>
        <v>0</v>
      </c>
      <c r="FV59" s="152">
        <f t="shared" ca="1" si="100"/>
        <v>0</v>
      </c>
      <c r="FW59" s="152">
        <f t="shared" ca="1" si="100"/>
        <v>0</v>
      </c>
      <c r="FX59" s="152">
        <f t="shared" ca="1" si="100"/>
        <v>0</v>
      </c>
      <c r="FY59" s="152">
        <f t="shared" ca="1" si="100"/>
        <v>0</v>
      </c>
      <c r="FZ59" s="152">
        <f t="shared" ca="1" si="100"/>
        <v>0</v>
      </c>
      <c r="GA59" s="152">
        <f t="shared" ca="1" si="100"/>
        <v>0</v>
      </c>
      <c r="GB59" s="152">
        <f t="shared" ca="1" si="100"/>
        <v>0</v>
      </c>
      <c r="GC59" s="152">
        <f t="shared" ca="1" si="101"/>
        <v>0</v>
      </c>
      <c r="GD59" s="152">
        <f t="shared" ca="1" si="101"/>
        <v>0</v>
      </c>
      <c r="GE59" s="152">
        <f t="shared" ca="1" si="101"/>
        <v>0</v>
      </c>
      <c r="GF59" s="152">
        <f t="shared" ca="1" si="101"/>
        <v>0</v>
      </c>
      <c r="GG59" s="152">
        <f t="shared" ca="1" si="101"/>
        <v>0</v>
      </c>
      <c r="GH59" s="152">
        <f t="shared" ca="1" si="101"/>
        <v>0</v>
      </c>
      <c r="GI59" s="152">
        <f t="shared" ca="1" si="101"/>
        <v>0</v>
      </c>
      <c r="GJ59" s="152">
        <f t="shared" ca="1" si="101"/>
        <v>0</v>
      </c>
      <c r="GK59" s="152">
        <f t="shared" ca="1" si="101"/>
        <v>0</v>
      </c>
      <c r="GL59" s="152">
        <f t="shared" ca="1" si="101"/>
        <v>0</v>
      </c>
      <c r="GM59" s="152">
        <f t="shared" ca="1" si="102"/>
        <v>0</v>
      </c>
      <c r="GN59" s="152">
        <f t="shared" ca="1" si="102"/>
        <v>0</v>
      </c>
      <c r="GO59" s="152">
        <f t="shared" ca="1" si="102"/>
        <v>0</v>
      </c>
      <c r="GP59" s="152">
        <f t="shared" ca="1" si="102"/>
        <v>0</v>
      </c>
      <c r="GQ59" s="152">
        <f t="shared" ca="1" si="102"/>
        <v>0</v>
      </c>
      <c r="GR59" s="152">
        <f t="shared" ca="1" si="102"/>
        <v>0</v>
      </c>
      <c r="GS59" s="152">
        <f t="shared" ca="1" si="102"/>
        <v>0</v>
      </c>
      <c r="GT59" s="152">
        <f t="shared" ca="1" si="102"/>
        <v>0</v>
      </c>
      <c r="GU59" s="152">
        <f t="shared" ca="1" si="102"/>
        <v>0</v>
      </c>
      <c r="GV59" s="152">
        <f t="shared" ca="1" si="102"/>
        <v>0</v>
      </c>
      <c r="GW59" s="152">
        <f t="shared" ca="1" si="103"/>
        <v>0</v>
      </c>
      <c r="GX59" s="152">
        <f t="shared" ca="1" si="103"/>
        <v>0</v>
      </c>
      <c r="GY59" s="152">
        <f t="shared" ca="1" si="103"/>
        <v>0</v>
      </c>
      <c r="GZ59" s="152">
        <f t="shared" ca="1" si="103"/>
        <v>0</v>
      </c>
      <c r="HA59" s="152">
        <f t="shared" ca="1" si="103"/>
        <v>0</v>
      </c>
      <c r="HB59" s="152">
        <f t="shared" ca="1" si="103"/>
        <v>0</v>
      </c>
      <c r="HC59" s="152">
        <f t="shared" ca="1" si="103"/>
        <v>0</v>
      </c>
      <c r="HD59" s="152">
        <f t="shared" ca="1" si="103"/>
        <v>0</v>
      </c>
      <c r="HE59" s="152">
        <f t="shared" ca="1" si="103"/>
        <v>0</v>
      </c>
      <c r="HF59" s="152">
        <f t="shared" ca="1" si="103"/>
        <v>0</v>
      </c>
      <c r="HG59" s="152">
        <f t="shared" ca="1" si="104"/>
        <v>0</v>
      </c>
      <c r="HH59" s="152">
        <f t="shared" ca="1" si="104"/>
        <v>0</v>
      </c>
      <c r="HI59" s="152">
        <f t="shared" ca="1" si="104"/>
        <v>0</v>
      </c>
      <c r="HJ59" s="152">
        <f t="shared" ca="1" si="104"/>
        <v>0</v>
      </c>
      <c r="HK59" s="152">
        <f t="shared" ca="1" si="104"/>
        <v>0</v>
      </c>
      <c r="HL59" s="152">
        <f t="shared" ca="1" si="104"/>
        <v>0</v>
      </c>
      <c r="HM59" s="152">
        <f t="shared" ca="1" si="104"/>
        <v>0</v>
      </c>
      <c r="HN59" s="152">
        <f t="shared" ca="1" si="104"/>
        <v>0</v>
      </c>
      <c r="HO59" s="152">
        <f t="shared" ca="1" si="104"/>
        <v>0</v>
      </c>
      <c r="HP59" s="152">
        <f t="shared" ca="1" si="104"/>
        <v>0</v>
      </c>
      <c r="HQ59" s="152">
        <f t="shared" ca="1" si="105"/>
        <v>0</v>
      </c>
      <c r="HR59" s="152">
        <f t="shared" ca="1" si="105"/>
        <v>0</v>
      </c>
      <c r="HS59" s="152">
        <f t="shared" ca="1" si="105"/>
        <v>0</v>
      </c>
      <c r="HT59" s="152">
        <f t="shared" ca="1" si="105"/>
        <v>0</v>
      </c>
      <c r="HU59" s="152">
        <f t="shared" ca="1" si="105"/>
        <v>0</v>
      </c>
      <c r="HV59" s="152">
        <f t="shared" ca="1" si="105"/>
        <v>0</v>
      </c>
      <c r="HW59" s="152">
        <f t="shared" ca="1" si="105"/>
        <v>0</v>
      </c>
      <c r="HX59" s="152">
        <f t="shared" ca="1" si="105"/>
        <v>0</v>
      </c>
      <c r="HY59" s="152">
        <f t="shared" ca="1" si="105"/>
        <v>0</v>
      </c>
      <c r="HZ59" s="152">
        <f t="shared" ca="1" si="105"/>
        <v>0</v>
      </c>
      <c r="IA59" s="152">
        <f t="shared" ca="1" si="106"/>
        <v>0</v>
      </c>
      <c r="IB59" s="152">
        <f t="shared" ca="1" si="106"/>
        <v>0</v>
      </c>
      <c r="IC59" s="152">
        <f t="shared" ca="1" si="106"/>
        <v>0</v>
      </c>
      <c r="ID59" s="152">
        <f t="shared" ca="1" si="106"/>
        <v>0</v>
      </c>
      <c r="IE59" s="152">
        <f t="shared" ca="1" si="106"/>
        <v>0</v>
      </c>
      <c r="IF59" s="152">
        <f t="shared" ca="1" si="106"/>
        <v>0</v>
      </c>
      <c r="IG59" s="152">
        <f t="shared" ca="1" si="106"/>
        <v>0</v>
      </c>
      <c r="IH59" s="152">
        <f t="shared" ca="1" si="106"/>
        <v>0</v>
      </c>
      <c r="II59" s="152">
        <f t="shared" ca="1" si="106"/>
        <v>0</v>
      </c>
      <c r="IJ59" s="152">
        <f t="shared" ca="1" si="106"/>
        <v>0</v>
      </c>
      <c r="IK59" s="152">
        <f t="shared" ca="1" si="106"/>
        <v>0</v>
      </c>
      <c r="IL59" s="152">
        <f t="shared" ca="1" si="106"/>
        <v>0</v>
      </c>
      <c r="IM59" s="152">
        <f t="shared" ca="1" si="108"/>
        <v>0</v>
      </c>
      <c r="IN59" s="152">
        <f t="shared" ca="1" si="108"/>
        <v>0</v>
      </c>
      <c r="IO59" s="152">
        <f t="shared" ca="1" si="108"/>
        <v>0</v>
      </c>
      <c r="IP59" s="152">
        <f t="shared" ca="1" si="108"/>
        <v>0</v>
      </c>
      <c r="IQ59" s="152">
        <f t="shared" ca="1" si="108"/>
        <v>0</v>
      </c>
      <c r="IR59" s="152">
        <f t="shared" ca="1" si="108"/>
        <v>0</v>
      </c>
      <c r="IS59" s="152">
        <f t="shared" ca="1" si="108"/>
        <v>0</v>
      </c>
      <c r="IT59" s="152">
        <f t="shared" ca="1" si="108"/>
        <v>0</v>
      </c>
      <c r="IU59" s="152">
        <f t="shared" ca="1" si="108"/>
        <v>0</v>
      </c>
      <c r="IV59" s="152">
        <f t="shared" ca="1" si="108"/>
        <v>0</v>
      </c>
      <c r="IW59" s="152">
        <f t="shared" ca="1" si="109"/>
        <v>0</v>
      </c>
      <c r="IX59" s="152">
        <f t="shared" ca="1" si="109"/>
        <v>0</v>
      </c>
      <c r="IY59" s="152">
        <f t="shared" ca="1" si="109"/>
        <v>0</v>
      </c>
      <c r="IZ59" s="152">
        <f t="shared" ca="1" si="109"/>
        <v>0</v>
      </c>
      <c r="JA59" s="152">
        <f t="shared" ca="1" si="109"/>
        <v>0</v>
      </c>
      <c r="JB59" s="152">
        <f t="shared" ca="1" si="109"/>
        <v>0</v>
      </c>
      <c r="JC59" s="152">
        <f t="shared" ca="1" si="109"/>
        <v>0</v>
      </c>
      <c r="JD59" s="604"/>
    </row>
    <row r="60" spans="1:264" ht="12.75" customHeight="1" x14ac:dyDescent="0.25">
      <c r="A60" s="279"/>
      <c r="B60" s="41"/>
      <c r="C60" s="82"/>
      <c r="D60" s="41"/>
      <c r="E60" s="9"/>
      <c r="F60" s="9"/>
      <c r="G60" s="9"/>
      <c r="H60" s="10"/>
      <c r="I60" s="10"/>
      <c r="J60" s="10"/>
      <c r="K60" s="10"/>
      <c r="L60" s="10"/>
      <c r="M60" s="10"/>
      <c r="N60" s="9"/>
      <c r="O60" s="9"/>
      <c r="P60" s="44"/>
      <c r="Q60" s="44"/>
      <c r="R60" s="9"/>
      <c r="S60" s="9"/>
      <c r="T60" s="9"/>
      <c r="U60" s="9"/>
      <c r="V60" s="9"/>
      <c r="W60" s="9"/>
      <c r="X60" s="9"/>
      <c r="Y60" s="9"/>
      <c r="Z60" s="9"/>
      <c r="AA60" s="9"/>
      <c r="AB60" s="9"/>
      <c r="AC60" s="9"/>
      <c r="AD60" s="650">
        <f t="shared" si="64"/>
        <v>100</v>
      </c>
      <c r="AE60" s="654">
        <f ca="1">OFFSET('2 Staff List'!$IB$64,AJ60-1,0)</f>
        <v>0</v>
      </c>
      <c r="AF60" s="654">
        <f t="shared" si="65"/>
        <v>173.92857142857142</v>
      </c>
      <c r="AG60" s="9"/>
      <c r="AH60" s="654">
        <f t="shared" si="66"/>
        <v>239.15178571428569</v>
      </c>
      <c r="AI60" s="654">
        <f t="shared" si="67"/>
        <v>37</v>
      </c>
      <c r="AJ60" s="654">
        <f ca="1">OFFSET('2 Staff List'!$GU$64,AI60-1,0)</f>
        <v>37</v>
      </c>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1280">
        <f ca="1">OFFSET('2 Staff List'!$HW$64,AJ60-1,0)</f>
        <v>0</v>
      </c>
      <c r="DZ60" s="1281">
        <f ca="1">OFFSET('2 Staff List'!$HZ$64,AJ60-1,0)</f>
        <v>0</v>
      </c>
      <c r="EA60" s="3669">
        <f ca="1">OFFSET('2 Staff List'!$IA$64,AJ60-1,0)</f>
        <v>0</v>
      </c>
      <c r="EB60" s="3670"/>
      <c r="EC60" s="3673">
        <f t="shared" ca="1" si="68"/>
        <v>0</v>
      </c>
      <c r="ED60" s="3674"/>
      <c r="EE60" s="3675"/>
      <c r="EF60" s="3676"/>
      <c r="EG60" s="154">
        <f t="shared" ca="1" si="96"/>
        <v>0</v>
      </c>
      <c r="EH60" s="152">
        <f t="shared" ca="1" si="96"/>
        <v>0</v>
      </c>
      <c r="EI60" s="152">
        <f t="shared" ca="1" si="96"/>
        <v>0</v>
      </c>
      <c r="EJ60" s="152">
        <f t="shared" ca="1" si="96"/>
        <v>0</v>
      </c>
      <c r="EK60" s="152">
        <f t="shared" ca="1" si="96"/>
        <v>0</v>
      </c>
      <c r="EL60" s="152">
        <f t="shared" ca="1" si="96"/>
        <v>0</v>
      </c>
      <c r="EM60" s="152">
        <f t="shared" ca="1" si="96"/>
        <v>0</v>
      </c>
      <c r="EN60" s="152">
        <f t="shared" ca="1" si="96"/>
        <v>0</v>
      </c>
      <c r="EO60" s="152">
        <f t="shared" ca="1" si="96"/>
        <v>0</v>
      </c>
      <c r="EP60" s="152">
        <f t="shared" ca="1" si="96"/>
        <v>0</v>
      </c>
      <c r="EQ60" s="152">
        <f t="shared" ca="1" si="97"/>
        <v>0</v>
      </c>
      <c r="ER60" s="152">
        <f t="shared" ca="1" si="97"/>
        <v>0</v>
      </c>
      <c r="ES60" s="152">
        <f t="shared" ca="1" si="97"/>
        <v>0</v>
      </c>
      <c r="ET60" s="152">
        <f t="shared" ca="1" si="97"/>
        <v>0</v>
      </c>
      <c r="EU60" s="152">
        <f t="shared" ca="1" si="97"/>
        <v>0</v>
      </c>
      <c r="EV60" s="152">
        <f t="shared" ca="1" si="97"/>
        <v>0</v>
      </c>
      <c r="EW60" s="152">
        <f t="shared" ca="1" si="97"/>
        <v>0</v>
      </c>
      <c r="EX60" s="152">
        <f t="shared" ca="1" si="83"/>
        <v>0</v>
      </c>
      <c r="EY60" s="152">
        <f t="shared" ca="1" si="98"/>
        <v>0</v>
      </c>
      <c r="EZ60" s="152">
        <f t="shared" ca="1" si="98"/>
        <v>0</v>
      </c>
      <c r="FA60" s="152">
        <f t="shared" ca="1" si="98"/>
        <v>0</v>
      </c>
      <c r="FB60" s="152">
        <f t="shared" ca="1" si="98"/>
        <v>0</v>
      </c>
      <c r="FC60" s="152">
        <f t="shared" ca="1" si="98"/>
        <v>0</v>
      </c>
      <c r="FD60" s="152">
        <f t="shared" ca="1" si="98"/>
        <v>0</v>
      </c>
      <c r="FE60" s="152">
        <f t="shared" ca="1" si="98"/>
        <v>0</v>
      </c>
      <c r="FF60" s="152">
        <f t="shared" ca="1" si="98"/>
        <v>0</v>
      </c>
      <c r="FG60" s="152">
        <f t="shared" ca="1" si="98"/>
        <v>0</v>
      </c>
      <c r="FH60" s="152">
        <f t="shared" ca="1" si="98"/>
        <v>0</v>
      </c>
      <c r="FI60" s="152">
        <f t="shared" ca="1" si="99"/>
        <v>0</v>
      </c>
      <c r="FJ60" s="152">
        <f t="shared" ca="1" si="99"/>
        <v>0</v>
      </c>
      <c r="FK60" s="152">
        <f t="shared" ca="1" si="99"/>
        <v>0</v>
      </c>
      <c r="FL60" s="152">
        <f t="shared" ca="1" si="99"/>
        <v>0</v>
      </c>
      <c r="FM60" s="152">
        <f t="shared" ca="1" si="99"/>
        <v>0</v>
      </c>
      <c r="FN60" s="152">
        <f t="shared" ca="1" si="99"/>
        <v>0</v>
      </c>
      <c r="FO60" s="152">
        <f t="shared" ca="1" si="99"/>
        <v>0</v>
      </c>
      <c r="FP60" s="152">
        <f t="shared" ca="1" si="99"/>
        <v>0</v>
      </c>
      <c r="FQ60" s="152">
        <f t="shared" ca="1" si="99"/>
        <v>0</v>
      </c>
      <c r="FR60" s="152">
        <f t="shared" ca="1" si="99"/>
        <v>0</v>
      </c>
      <c r="FS60" s="152">
        <f t="shared" ca="1" si="100"/>
        <v>0</v>
      </c>
      <c r="FT60" s="152">
        <f t="shared" ca="1" si="100"/>
        <v>0</v>
      </c>
      <c r="FU60" s="152">
        <f t="shared" ca="1" si="100"/>
        <v>0</v>
      </c>
      <c r="FV60" s="152">
        <f t="shared" ca="1" si="100"/>
        <v>0</v>
      </c>
      <c r="FW60" s="152">
        <f t="shared" ca="1" si="100"/>
        <v>0</v>
      </c>
      <c r="FX60" s="152">
        <f t="shared" ca="1" si="100"/>
        <v>0</v>
      </c>
      <c r="FY60" s="152">
        <f t="shared" ca="1" si="100"/>
        <v>0</v>
      </c>
      <c r="FZ60" s="152">
        <f t="shared" ca="1" si="100"/>
        <v>0</v>
      </c>
      <c r="GA60" s="152">
        <f t="shared" ca="1" si="100"/>
        <v>0</v>
      </c>
      <c r="GB60" s="152">
        <f t="shared" ca="1" si="100"/>
        <v>0</v>
      </c>
      <c r="GC60" s="152">
        <f t="shared" ca="1" si="101"/>
        <v>0</v>
      </c>
      <c r="GD60" s="152">
        <f t="shared" ca="1" si="101"/>
        <v>0</v>
      </c>
      <c r="GE60" s="152">
        <f t="shared" ca="1" si="101"/>
        <v>0</v>
      </c>
      <c r="GF60" s="152">
        <f t="shared" ca="1" si="101"/>
        <v>0</v>
      </c>
      <c r="GG60" s="152">
        <f t="shared" ca="1" si="101"/>
        <v>0</v>
      </c>
      <c r="GH60" s="152">
        <f t="shared" ca="1" si="101"/>
        <v>0</v>
      </c>
      <c r="GI60" s="152">
        <f t="shared" ca="1" si="101"/>
        <v>0</v>
      </c>
      <c r="GJ60" s="152">
        <f t="shared" ca="1" si="101"/>
        <v>0</v>
      </c>
      <c r="GK60" s="152">
        <f t="shared" ca="1" si="101"/>
        <v>0</v>
      </c>
      <c r="GL60" s="152">
        <f t="shared" ca="1" si="101"/>
        <v>0</v>
      </c>
      <c r="GM60" s="152">
        <f t="shared" ca="1" si="102"/>
        <v>0</v>
      </c>
      <c r="GN60" s="152">
        <f t="shared" ca="1" si="102"/>
        <v>0</v>
      </c>
      <c r="GO60" s="152">
        <f t="shared" ca="1" si="102"/>
        <v>0</v>
      </c>
      <c r="GP60" s="152">
        <f t="shared" ca="1" si="102"/>
        <v>0</v>
      </c>
      <c r="GQ60" s="152">
        <f t="shared" ca="1" si="102"/>
        <v>0</v>
      </c>
      <c r="GR60" s="152">
        <f t="shared" ca="1" si="102"/>
        <v>0</v>
      </c>
      <c r="GS60" s="152">
        <f t="shared" ca="1" si="102"/>
        <v>0</v>
      </c>
      <c r="GT60" s="152">
        <f t="shared" ca="1" si="102"/>
        <v>0</v>
      </c>
      <c r="GU60" s="152">
        <f t="shared" ca="1" si="102"/>
        <v>0</v>
      </c>
      <c r="GV60" s="152">
        <f t="shared" ca="1" si="102"/>
        <v>0</v>
      </c>
      <c r="GW60" s="152">
        <f t="shared" ca="1" si="103"/>
        <v>0</v>
      </c>
      <c r="GX60" s="152">
        <f t="shared" ca="1" si="103"/>
        <v>0</v>
      </c>
      <c r="GY60" s="152">
        <f t="shared" ca="1" si="103"/>
        <v>0</v>
      </c>
      <c r="GZ60" s="152">
        <f t="shared" ca="1" si="103"/>
        <v>0</v>
      </c>
      <c r="HA60" s="152">
        <f t="shared" ca="1" si="103"/>
        <v>0</v>
      </c>
      <c r="HB60" s="152">
        <f t="shared" ca="1" si="103"/>
        <v>0</v>
      </c>
      <c r="HC60" s="152">
        <f t="shared" ca="1" si="103"/>
        <v>0</v>
      </c>
      <c r="HD60" s="152">
        <f t="shared" ca="1" si="103"/>
        <v>0</v>
      </c>
      <c r="HE60" s="152">
        <f t="shared" ca="1" si="103"/>
        <v>0</v>
      </c>
      <c r="HF60" s="152">
        <f t="shared" ca="1" si="103"/>
        <v>0</v>
      </c>
      <c r="HG60" s="152">
        <f t="shared" ca="1" si="104"/>
        <v>0</v>
      </c>
      <c r="HH60" s="152">
        <f t="shared" ca="1" si="104"/>
        <v>0</v>
      </c>
      <c r="HI60" s="152">
        <f t="shared" ca="1" si="104"/>
        <v>0</v>
      </c>
      <c r="HJ60" s="152">
        <f t="shared" ca="1" si="104"/>
        <v>0</v>
      </c>
      <c r="HK60" s="152">
        <f t="shared" ca="1" si="104"/>
        <v>0</v>
      </c>
      <c r="HL60" s="152">
        <f t="shared" ca="1" si="104"/>
        <v>0</v>
      </c>
      <c r="HM60" s="152">
        <f t="shared" ca="1" si="104"/>
        <v>0</v>
      </c>
      <c r="HN60" s="152">
        <f t="shared" ca="1" si="104"/>
        <v>0</v>
      </c>
      <c r="HO60" s="152">
        <f t="shared" ca="1" si="104"/>
        <v>0</v>
      </c>
      <c r="HP60" s="152">
        <f t="shared" ca="1" si="104"/>
        <v>0</v>
      </c>
      <c r="HQ60" s="152">
        <f t="shared" ca="1" si="105"/>
        <v>0</v>
      </c>
      <c r="HR60" s="152">
        <f t="shared" ca="1" si="105"/>
        <v>0</v>
      </c>
      <c r="HS60" s="152">
        <f t="shared" ca="1" si="105"/>
        <v>0</v>
      </c>
      <c r="HT60" s="152">
        <f t="shared" ca="1" si="105"/>
        <v>0</v>
      </c>
      <c r="HU60" s="152">
        <f t="shared" ca="1" si="105"/>
        <v>0</v>
      </c>
      <c r="HV60" s="152">
        <f t="shared" ca="1" si="105"/>
        <v>0</v>
      </c>
      <c r="HW60" s="152">
        <f t="shared" ca="1" si="105"/>
        <v>0</v>
      </c>
      <c r="HX60" s="152">
        <f t="shared" ca="1" si="105"/>
        <v>0</v>
      </c>
      <c r="HY60" s="152">
        <f t="shared" ca="1" si="105"/>
        <v>0</v>
      </c>
      <c r="HZ60" s="152">
        <f t="shared" ca="1" si="105"/>
        <v>0</v>
      </c>
      <c r="IA60" s="152">
        <f t="shared" ca="1" si="106"/>
        <v>0</v>
      </c>
      <c r="IB60" s="152">
        <f t="shared" ca="1" si="106"/>
        <v>0</v>
      </c>
      <c r="IC60" s="152">
        <f t="shared" ca="1" si="106"/>
        <v>0</v>
      </c>
      <c r="ID60" s="152">
        <f t="shared" ca="1" si="106"/>
        <v>0</v>
      </c>
      <c r="IE60" s="152">
        <f t="shared" ca="1" si="106"/>
        <v>0</v>
      </c>
      <c r="IF60" s="152">
        <f t="shared" ca="1" si="106"/>
        <v>0</v>
      </c>
      <c r="IG60" s="152">
        <f t="shared" ca="1" si="106"/>
        <v>0</v>
      </c>
      <c r="IH60" s="152">
        <f t="shared" ca="1" si="106"/>
        <v>0</v>
      </c>
      <c r="II60" s="152">
        <f t="shared" ca="1" si="106"/>
        <v>0</v>
      </c>
      <c r="IJ60" s="152">
        <f t="shared" ca="1" si="106"/>
        <v>0</v>
      </c>
      <c r="IK60" s="152">
        <f t="shared" ca="1" si="106"/>
        <v>0</v>
      </c>
      <c r="IL60" s="152">
        <f t="shared" ca="1" si="106"/>
        <v>0</v>
      </c>
      <c r="IM60" s="152">
        <f t="shared" ca="1" si="108"/>
        <v>0</v>
      </c>
      <c r="IN60" s="152">
        <f t="shared" ca="1" si="108"/>
        <v>0</v>
      </c>
      <c r="IO60" s="152">
        <f t="shared" ca="1" si="108"/>
        <v>0</v>
      </c>
      <c r="IP60" s="152">
        <f t="shared" ca="1" si="108"/>
        <v>0</v>
      </c>
      <c r="IQ60" s="152">
        <f t="shared" ca="1" si="108"/>
        <v>0</v>
      </c>
      <c r="IR60" s="152">
        <f t="shared" ca="1" si="108"/>
        <v>0</v>
      </c>
      <c r="IS60" s="152">
        <f t="shared" ca="1" si="108"/>
        <v>0</v>
      </c>
      <c r="IT60" s="152">
        <f t="shared" ca="1" si="108"/>
        <v>0</v>
      </c>
      <c r="IU60" s="152">
        <f t="shared" ca="1" si="108"/>
        <v>0</v>
      </c>
      <c r="IV60" s="152">
        <f t="shared" ca="1" si="108"/>
        <v>0</v>
      </c>
      <c r="IW60" s="152">
        <f t="shared" ca="1" si="109"/>
        <v>0</v>
      </c>
      <c r="IX60" s="152">
        <f t="shared" ca="1" si="109"/>
        <v>0</v>
      </c>
      <c r="IY60" s="152">
        <f t="shared" ca="1" si="109"/>
        <v>0</v>
      </c>
      <c r="IZ60" s="152">
        <f t="shared" ca="1" si="109"/>
        <v>0</v>
      </c>
      <c r="JA60" s="152">
        <f t="shared" ca="1" si="109"/>
        <v>0</v>
      </c>
      <c r="JB60" s="152">
        <f t="shared" ca="1" si="109"/>
        <v>0</v>
      </c>
      <c r="JC60" s="152">
        <f t="shared" ca="1" si="109"/>
        <v>0</v>
      </c>
      <c r="JD60" s="604"/>
    </row>
    <row r="61" spans="1:264" ht="12.75" customHeight="1" x14ac:dyDescent="0.25">
      <c r="A61" s="279"/>
      <c r="B61" s="41"/>
      <c r="C61" s="82"/>
      <c r="D61" s="41"/>
      <c r="E61" s="9"/>
      <c r="F61" s="9"/>
      <c r="G61" s="9"/>
      <c r="H61" s="10"/>
      <c r="I61" s="10"/>
      <c r="J61" s="10"/>
      <c r="K61" s="10"/>
      <c r="L61" s="10"/>
      <c r="M61" s="10"/>
      <c r="N61" s="9"/>
      <c r="O61" s="9"/>
      <c r="P61" s="44"/>
      <c r="Q61" s="44"/>
      <c r="R61" s="9"/>
      <c r="S61" s="9"/>
      <c r="T61" s="9"/>
      <c r="U61" s="9"/>
      <c r="V61" s="9"/>
      <c r="W61" s="9"/>
      <c r="X61" s="9"/>
      <c r="Y61" s="9"/>
      <c r="Z61" s="9"/>
      <c r="AA61" s="9"/>
      <c r="AB61" s="9"/>
      <c r="AC61" s="9"/>
      <c r="AD61" s="650">
        <f t="shared" si="64"/>
        <v>99</v>
      </c>
      <c r="AE61" s="654">
        <f ca="1">OFFSET('2 Staff List'!$IB$64,AJ61-1,0)</f>
        <v>0</v>
      </c>
      <c r="AF61" s="654">
        <f t="shared" si="65"/>
        <v>173.92857142857142</v>
      </c>
      <c r="AG61" s="9"/>
      <c r="AH61" s="654">
        <f t="shared" si="66"/>
        <v>239.15178571428569</v>
      </c>
      <c r="AI61" s="654">
        <f t="shared" si="67"/>
        <v>36</v>
      </c>
      <c r="AJ61" s="654">
        <f ca="1">OFFSET('2 Staff List'!$GU$64,AI61-1,0)</f>
        <v>36</v>
      </c>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1280">
        <f ca="1">OFFSET('2 Staff List'!$HW$64,AJ61-1,0)</f>
        <v>0</v>
      </c>
      <c r="DZ61" s="1281">
        <f ca="1">OFFSET('2 Staff List'!$HZ$64,AJ61-1,0)</f>
        <v>0</v>
      </c>
      <c r="EA61" s="3669">
        <f ca="1">OFFSET('2 Staff List'!$IA$64,AJ61-1,0)</f>
        <v>0</v>
      </c>
      <c r="EB61" s="3670"/>
      <c r="EC61" s="3673">
        <f t="shared" ca="1" si="68"/>
        <v>0</v>
      </c>
      <c r="ED61" s="3674"/>
      <c r="EE61" s="3675"/>
      <c r="EF61" s="3676"/>
      <c r="EG61" s="154">
        <f t="shared" ca="1" si="96"/>
        <v>0</v>
      </c>
      <c r="EH61" s="152">
        <f t="shared" ca="1" si="96"/>
        <v>0</v>
      </c>
      <c r="EI61" s="152">
        <f t="shared" ca="1" si="96"/>
        <v>0</v>
      </c>
      <c r="EJ61" s="152">
        <f t="shared" ca="1" si="96"/>
        <v>0</v>
      </c>
      <c r="EK61" s="152">
        <f t="shared" ca="1" si="96"/>
        <v>0</v>
      </c>
      <c r="EL61" s="152">
        <f t="shared" ca="1" si="96"/>
        <v>0</v>
      </c>
      <c r="EM61" s="152">
        <f t="shared" ca="1" si="96"/>
        <v>0</v>
      </c>
      <c r="EN61" s="152">
        <f t="shared" ca="1" si="96"/>
        <v>0</v>
      </c>
      <c r="EO61" s="152">
        <f t="shared" ca="1" si="96"/>
        <v>0</v>
      </c>
      <c r="EP61" s="152">
        <f t="shared" ca="1" si="96"/>
        <v>0</v>
      </c>
      <c r="EQ61" s="152">
        <f t="shared" ca="1" si="97"/>
        <v>0</v>
      </c>
      <c r="ER61" s="152">
        <f t="shared" ca="1" si="97"/>
        <v>0</v>
      </c>
      <c r="ES61" s="152">
        <f t="shared" ca="1" si="97"/>
        <v>0</v>
      </c>
      <c r="ET61" s="152">
        <f t="shared" ca="1" si="97"/>
        <v>0</v>
      </c>
      <c r="EU61" s="152">
        <f t="shared" ca="1" si="97"/>
        <v>0</v>
      </c>
      <c r="EV61" s="152">
        <f t="shared" ca="1" si="97"/>
        <v>0</v>
      </c>
      <c r="EW61" s="152">
        <f t="shared" ca="1" si="97"/>
        <v>0</v>
      </c>
      <c r="EX61" s="152">
        <f t="shared" ca="1" si="83"/>
        <v>0</v>
      </c>
      <c r="EY61" s="152">
        <f t="shared" ca="1" si="98"/>
        <v>0</v>
      </c>
      <c r="EZ61" s="152">
        <f t="shared" ca="1" si="98"/>
        <v>0</v>
      </c>
      <c r="FA61" s="152">
        <f t="shared" ca="1" si="98"/>
        <v>0</v>
      </c>
      <c r="FB61" s="152">
        <f t="shared" ca="1" si="98"/>
        <v>0</v>
      </c>
      <c r="FC61" s="152">
        <f t="shared" ca="1" si="98"/>
        <v>0</v>
      </c>
      <c r="FD61" s="152">
        <f t="shared" ca="1" si="98"/>
        <v>0</v>
      </c>
      <c r="FE61" s="152">
        <f t="shared" ca="1" si="98"/>
        <v>0</v>
      </c>
      <c r="FF61" s="152">
        <f t="shared" ca="1" si="98"/>
        <v>0</v>
      </c>
      <c r="FG61" s="152">
        <f t="shared" ca="1" si="98"/>
        <v>0</v>
      </c>
      <c r="FH61" s="152">
        <f t="shared" ca="1" si="98"/>
        <v>0</v>
      </c>
      <c r="FI61" s="152">
        <f t="shared" ca="1" si="99"/>
        <v>0</v>
      </c>
      <c r="FJ61" s="152">
        <f t="shared" ca="1" si="99"/>
        <v>0</v>
      </c>
      <c r="FK61" s="152">
        <f t="shared" ca="1" si="99"/>
        <v>0</v>
      </c>
      <c r="FL61" s="152">
        <f t="shared" ca="1" si="99"/>
        <v>0</v>
      </c>
      <c r="FM61" s="152">
        <f t="shared" ca="1" si="99"/>
        <v>0</v>
      </c>
      <c r="FN61" s="152">
        <f t="shared" ca="1" si="99"/>
        <v>0</v>
      </c>
      <c r="FO61" s="152">
        <f t="shared" ca="1" si="99"/>
        <v>0</v>
      </c>
      <c r="FP61" s="152">
        <f t="shared" ca="1" si="99"/>
        <v>0</v>
      </c>
      <c r="FQ61" s="152">
        <f t="shared" ca="1" si="99"/>
        <v>0</v>
      </c>
      <c r="FR61" s="152">
        <f t="shared" ca="1" si="99"/>
        <v>0</v>
      </c>
      <c r="FS61" s="152">
        <f t="shared" ca="1" si="100"/>
        <v>0</v>
      </c>
      <c r="FT61" s="152">
        <f t="shared" ca="1" si="100"/>
        <v>0</v>
      </c>
      <c r="FU61" s="152">
        <f t="shared" ca="1" si="100"/>
        <v>0</v>
      </c>
      <c r="FV61" s="152">
        <f t="shared" ca="1" si="100"/>
        <v>0</v>
      </c>
      <c r="FW61" s="152">
        <f t="shared" ca="1" si="100"/>
        <v>0</v>
      </c>
      <c r="FX61" s="152">
        <f t="shared" ca="1" si="100"/>
        <v>0</v>
      </c>
      <c r="FY61" s="152">
        <f t="shared" ca="1" si="100"/>
        <v>0</v>
      </c>
      <c r="FZ61" s="152">
        <f t="shared" ca="1" si="100"/>
        <v>0</v>
      </c>
      <c r="GA61" s="152">
        <f t="shared" ca="1" si="100"/>
        <v>0</v>
      </c>
      <c r="GB61" s="152">
        <f t="shared" ca="1" si="100"/>
        <v>0</v>
      </c>
      <c r="GC61" s="152">
        <f t="shared" ca="1" si="101"/>
        <v>0</v>
      </c>
      <c r="GD61" s="152">
        <f t="shared" ca="1" si="101"/>
        <v>0</v>
      </c>
      <c r="GE61" s="152">
        <f t="shared" ca="1" si="101"/>
        <v>0</v>
      </c>
      <c r="GF61" s="152">
        <f t="shared" ca="1" si="101"/>
        <v>0</v>
      </c>
      <c r="GG61" s="152">
        <f t="shared" ca="1" si="101"/>
        <v>0</v>
      </c>
      <c r="GH61" s="152">
        <f t="shared" ca="1" si="101"/>
        <v>0</v>
      </c>
      <c r="GI61" s="152">
        <f t="shared" ca="1" si="101"/>
        <v>0</v>
      </c>
      <c r="GJ61" s="152">
        <f t="shared" ca="1" si="101"/>
        <v>0</v>
      </c>
      <c r="GK61" s="152">
        <f t="shared" ca="1" si="101"/>
        <v>0</v>
      </c>
      <c r="GL61" s="152">
        <f t="shared" ca="1" si="101"/>
        <v>0</v>
      </c>
      <c r="GM61" s="152">
        <f t="shared" ca="1" si="102"/>
        <v>0</v>
      </c>
      <c r="GN61" s="152">
        <f t="shared" ca="1" si="102"/>
        <v>0</v>
      </c>
      <c r="GO61" s="152">
        <f t="shared" ca="1" si="102"/>
        <v>0</v>
      </c>
      <c r="GP61" s="152">
        <f t="shared" ca="1" si="102"/>
        <v>0</v>
      </c>
      <c r="GQ61" s="152">
        <f t="shared" ca="1" si="102"/>
        <v>0</v>
      </c>
      <c r="GR61" s="152">
        <f t="shared" ca="1" si="102"/>
        <v>0</v>
      </c>
      <c r="GS61" s="152">
        <f t="shared" ca="1" si="102"/>
        <v>0</v>
      </c>
      <c r="GT61" s="152">
        <f t="shared" ca="1" si="102"/>
        <v>0</v>
      </c>
      <c r="GU61" s="152">
        <f t="shared" ca="1" si="102"/>
        <v>0</v>
      </c>
      <c r="GV61" s="152">
        <f t="shared" ca="1" si="102"/>
        <v>0</v>
      </c>
      <c r="GW61" s="152">
        <f t="shared" ca="1" si="103"/>
        <v>0</v>
      </c>
      <c r="GX61" s="152">
        <f t="shared" ca="1" si="103"/>
        <v>0</v>
      </c>
      <c r="GY61" s="152">
        <f t="shared" ca="1" si="103"/>
        <v>0</v>
      </c>
      <c r="GZ61" s="152">
        <f t="shared" ca="1" si="103"/>
        <v>0</v>
      </c>
      <c r="HA61" s="152">
        <f t="shared" ca="1" si="103"/>
        <v>0</v>
      </c>
      <c r="HB61" s="152">
        <f t="shared" ca="1" si="103"/>
        <v>0</v>
      </c>
      <c r="HC61" s="152">
        <f t="shared" ca="1" si="103"/>
        <v>0</v>
      </c>
      <c r="HD61" s="152">
        <f t="shared" ca="1" si="103"/>
        <v>0</v>
      </c>
      <c r="HE61" s="152">
        <f t="shared" ca="1" si="103"/>
        <v>0</v>
      </c>
      <c r="HF61" s="152">
        <f t="shared" ca="1" si="103"/>
        <v>0</v>
      </c>
      <c r="HG61" s="152">
        <f t="shared" ca="1" si="104"/>
        <v>0</v>
      </c>
      <c r="HH61" s="152">
        <f t="shared" ca="1" si="104"/>
        <v>0</v>
      </c>
      <c r="HI61" s="152">
        <f t="shared" ca="1" si="104"/>
        <v>0</v>
      </c>
      <c r="HJ61" s="152">
        <f t="shared" ca="1" si="104"/>
        <v>0</v>
      </c>
      <c r="HK61" s="152">
        <f t="shared" ca="1" si="104"/>
        <v>0</v>
      </c>
      <c r="HL61" s="152">
        <f t="shared" ca="1" si="104"/>
        <v>0</v>
      </c>
      <c r="HM61" s="152">
        <f t="shared" ca="1" si="104"/>
        <v>0</v>
      </c>
      <c r="HN61" s="152">
        <f t="shared" ca="1" si="104"/>
        <v>0</v>
      </c>
      <c r="HO61" s="152">
        <f t="shared" ca="1" si="104"/>
        <v>0</v>
      </c>
      <c r="HP61" s="152">
        <f t="shared" ca="1" si="104"/>
        <v>0</v>
      </c>
      <c r="HQ61" s="152">
        <f t="shared" ca="1" si="105"/>
        <v>0</v>
      </c>
      <c r="HR61" s="152">
        <f t="shared" ca="1" si="105"/>
        <v>0</v>
      </c>
      <c r="HS61" s="152">
        <f t="shared" ca="1" si="105"/>
        <v>0</v>
      </c>
      <c r="HT61" s="152">
        <f t="shared" ca="1" si="105"/>
        <v>0</v>
      </c>
      <c r="HU61" s="152">
        <f t="shared" ca="1" si="105"/>
        <v>0</v>
      </c>
      <c r="HV61" s="152">
        <f t="shared" ca="1" si="105"/>
        <v>0</v>
      </c>
      <c r="HW61" s="152">
        <f t="shared" ca="1" si="105"/>
        <v>0</v>
      </c>
      <c r="HX61" s="152">
        <f t="shared" ca="1" si="105"/>
        <v>0</v>
      </c>
      <c r="HY61" s="152">
        <f t="shared" ca="1" si="105"/>
        <v>0</v>
      </c>
      <c r="HZ61" s="152">
        <f t="shared" ca="1" si="105"/>
        <v>0</v>
      </c>
      <c r="IA61" s="152">
        <f t="shared" ca="1" si="106"/>
        <v>0</v>
      </c>
      <c r="IB61" s="152">
        <f t="shared" ca="1" si="106"/>
        <v>0</v>
      </c>
      <c r="IC61" s="152">
        <f t="shared" ca="1" si="106"/>
        <v>0</v>
      </c>
      <c r="ID61" s="152">
        <f t="shared" ca="1" si="106"/>
        <v>0</v>
      </c>
      <c r="IE61" s="152">
        <f t="shared" ca="1" si="106"/>
        <v>0</v>
      </c>
      <c r="IF61" s="152">
        <f t="shared" ca="1" si="106"/>
        <v>0</v>
      </c>
      <c r="IG61" s="152">
        <f t="shared" ca="1" si="106"/>
        <v>0</v>
      </c>
      <c r="IH61" s="152">
        <f t="shared" ca="1" si="106"/>
        <v>0</v>
      </c>
      <c r="II61" s="152">
        <f t="shared" ca="1" si="106"/>
        <v>0</v>
      </c>
      <c r="IJ61" s="152">
        <f t="shared" ca="1" si="106"/>
        <v>0</v>
      </c>
      <c r="IK61" s="152">
        <f t="shared" ca="1" si="106"/>
        <v>0</v>
      </c>
      <c r="IL61" s="152">
        <f t="shared" ca="1" si="106"/>
        <v>0</v>
      </c>
      <c r="IM61" s="152">
        <f t="shared" ca="1" si="108"/>
        <v>0</v>
      </c>
      <c r="IN61" s="152">
        <f t="shared" ca="1" si="108"/>
        <v>0</v>
      </c>
      <c r="IO61" s="152">
        <f t="shared" ca="1" si="108"/>
        <v>0</v>
      </c>
      <c r="IP61" s="152">
        <f t="shared" ca="1" si="108"/>
        <v>0</v>
      </c>
      <c r="IQ61" s="152">
        <f t="shared" ca="1" si="108"/>
        <v>0</v>
      </c>
      <c r="IR61" s="152">
        <f t="shared" ca="1" si="108"/>
        <v>0</v>
      </c>
      <c r="IS61" s="152">
        <f t="shared" ca="1" si="108"/>
        <v>0</v>
      </c>
      <c r="IT61" s="152">
        <f t="shared" ca="1" si="108"/>
        <v>0</v>
      </c>
      <c r="IU61" s="152">
        <f t="shared" ca="1" si="108"/>
        <v>0</v>
      </c>
      <c r="IV61" s="152">
        <f t="shared" ca="1" si="108"/>
        <v>0</v>
      </c>
      <c r="IW61" s="152">
        <f t="shared" ca="1" si="109"/>
        <v>0</v>
      </c>
      <c r="IX61" s="152">
        <f t="shared" ca="1" si="109"/>
        <v>0</v>
      </c>
      <c r="IY61" s="152">
        <f t="shared" ca="1" si="109"/>
        <v>0</v>
      </c>
      <c r="IZ61" s="152">
        <f t="shared" ca="1" si="109"/>
        <v>0</v>
      </c>
      <c r="JA61" s="152">
        <f t="shared" ca="1" si="109"/>
        <v>0</v>
      </c>
      <c r="JB61" s="152">
        <f t="shared" ca="1" si="109"/>
        <v>0</v>
      </c>
      <c r="JC61" s="152">
        <f t="shared" ca="1" si="109"/>
        <v>0</v>
      </c>
      <c r="JD61" s="604"/>
    </row>
    <row r="62" spans="1:264" ht="12.75" customHeight="1" x14ac:dyDescent="0.25">
      <c r="A62" s="279"/>
      <c r="B62" s="41"/>
      <c r="C62" s="82"/>
      <c r="D62" s="41"/>
      <c r="E62" s="9"/>
      <c r="F62" s="9"/>
      <c r="G62" s="9"/>
      <c r="H62" s="10"/>
      <c r="I62" s="10"/>
      <c r="J62" s="10"/>
      <c r="K62" s="10"/>
      <c r="L62" s="10"/>
      <c r="M62" s="10"/>
      <c r="N62" s="9"/>
      <c r="O62" s="9"/>
      <c r="P62" s="44"/>
      <c r="Q62" s="44"/>
      <c r="R62" s="9"/>
      <c r="S62" s="9"/>
      <c r="T62" s="9"/>
      <c r="U62" s="9"/>
      <c r="V62" s="9"/>
      <c r="W62" s="9"/>
      <c r="X62" s="9"/>
      <c r="Y62" s="9"/>
      <c r="Z62" s="9"/>
      <c r="AA62" s="9"/>
      <c r="AB62" s="9"/>
      <c r="AC62" s="9"/>
      <c r="AD62" s="650">
        <f t="shared" si="64"/>
        <v>98</v>
      </c>
      <c r="AE62" s="654">
        <f ca="1">OFFSET('2 Staff List'!$IB$64,AJ62-1,0)</f>
        <v>0</v>
      </c>
      <c r="AF62" s="654">
        <f t="shared" si="65"/>
        <v>173.92857142857142</v>
      </c>
      <c r="AG62" s="9"/>
      <c r="AH62" s="654">
        <f t="shared" si="66"/>
        <v>239.15178571428569</v>
      </c>
      <c r="AI62" s="654">
        <f t="shared" si="67"/>
        <v>35</v>
      </c>
      <c r="AJ62" s="654">
        <f ca="1">OFFSET('2 Staff List'!$GU$64,AI62-1,0)</f>
        <v>35</v>
      </c>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1280">
        <f ca="1">OFFSET('2 Staff List'!$HW$64,AJ62-1,0)</f>
        <v>0</v>
      </c>
      <c r="DZ62" s="1281">
        <f ca="1">OFFSET('2 Staff List'!$HZ$64,AJ62-1,0)</f>
        <v>0</v>
      </c>
      <c r="EA62" s="3669">
        <f ca="1">OFFSET('2 Staff List'!$IA$64,AJ62-1,0)</f>
        <v>0</v>
      </c>
      <c r="EB62" s="3670"/>
      <c r="EC62" s="3673">
        <f t="shared" ca="1" si="68"/>
        <v>0</v>
      </c>
      <c r="ED62" s="3674"/>
      <c r="EE62" s="3675"/>
      <c r="EF62" s="3676"/>
      <c r="EG62" s="154">
        <f t="shared" ca="1" si="96"/>
        <v>0</v>
      </c>
      <c r="EH62" s="152">
        <f t="shared" ca="1" si="96"/>
        <v>0</v>
      </c>
      <c r="EI62" s="152">
        <f t="shared" ca="1" si="96"/>
        <v>0</v>
      </c>
      <c r="EJ62" s="152">
        <f t="shared" ca="1" si="96"/>
        <v>0</v>
      </c>
      <c r="EK62" s="152">
        <f t="shared" ca="1" si="96"/>
        <v>0</v>
      </c>
      <c r="EL62" s="152">
        <f t="shared" ca="1" si="96"/>
        <v>0</v>
      </c>
      <c r="EM62" s="152">
        <f t="shared" ca="1" si="96"/>
        <v>0</v>
      </c>
      <c r="EN62" s="152">
        <f t="shared" ca="1" si="96"/>
        <v>0</v>
      </c>
      <c r="EO62" s="152">
        <f t="shared" ca="1" si="96"/>
        <v>0</v>
      </c>
      <c r="EP62" s="152">
        <f t="shared" ca="1" si="96"/>
        <v>0</v>
      </c>
      <c r="EQ62" s="152">
        <f t="shared" ca="1" si="97"/>
        <v>0</v>
      </c>
      <c r="ER62" s="152">
        <f t="shared" ca="1" si="97"/>
        <v>0</v>
      </c>
      <c r="ES62" s="152">
        <f t="shared" ca="1" si="97"/>
        <v>0</v>
      </c>
      <c r="ET62" s="152">
        <f t="shared" ca="1" si="97"/>
        <v>0</v>
      </c>
      <c r="EU62" s="152">
        <f t="shared" ca="1" si="97"/>
        <v>0</v>
      </c>
      <c r="EV62" s="152">
        <f t="shared" ca="1" si="97"/>
        <v>0</v>
      </c>
      <c r="EW62" s="152">
        <f t="shared" ca="1" si="97"/>
        <v>0</v>
      </c>
      <c r="EX62" s="152">
        <f t="shared" ca="1" si="83"/>
        <v>0</v>
      </c>
      <c r="EY62" s="152">
        <f t="shared" ca="1" si="98"/>
        <v>0</v>
      </c>
      <c r="EZ62" s="152">
        <f t="shared" ca="1" si="98"/>
        <v>0</v>
      </c>
      <c r="FA62" s="152">
        <f t="shared" ca="1" si="98"/>
        <v>0</v>
      </c>
      <c r="FB62" s="152">
        <f t="shared" ca="1" si="98"/>
        <v>0</v>
      </c>
      <c r="FC62" s="152">
        <f t="shared" ca="1" si="98"/>
        <v>0</v>
      </c>
      <c r="FD62" s="152">
        <f t="shared" ca="1" si="98"/>
        <v>0</v>
      </c>
      <c r="FE62" s="152">
        <f t="shared" ca="1" si="98"/>
        <v>0</v>
      </c>
      <c r="FF62" s="152">
        <f t="shared" ca="1" si="98"/>
        <v>0</v>
      </c>
      <c r="FG62" s="152">
        <f t="shared" ca="1" si="98"/>
        <v>0</v>
      </c>
      <c r="FH62" s="152">
        <f t="shared" ca="1" si="98"/>
        <v>0</v>
      </c>
      <c r="FI62" s="152">
        <f t="shared" ca="1" si="99"/>
        <v>0</v>
      </c>
      <c r="FJ62" s="152">
        <f t="shared" ca="1" si="99"/>
        <v>0</v>
      </c>
      <c r="FK62" s="152">
        <f t="shared" ca="1" si="99"/>
        <v>0</v>
      </c>
      <c r="FL62" s="152">
        <f t="shared" ca="1" si="99"/>
        <v>0</v>
      </c>
      <c r="FM62" s="152">
        <f t="shared" ca="1" si="99"/>
        <v>0</v>
      </c>
      <c r="FN62" s="152">
        <f t="shared" ca="1" si="99"/>
        <v>0</v>
      </c>
      <c r="FO62" s="152">
        <f t="shared" ca="1" si="99"/>
        <v>0</v>
      </c>
      <c r="FP62" s="152">
        <f t="shared" ca="1" si="99"/>
        <v>0</v>
      </c>
      <c r="FQ62" s="152">
        <f t="shared" ca="1" si="99"/>
        <v>0</v>
      </c>
      <c r="FR62" s="152">
        <f t="shared" ca="1" si="99"/>
        <v>0</v>
      </c>
      <c r="FS62" s="152">
        <f t="shared" ca="1" si="100"/>
        <v>0</v>
      </c>
      <c r="FT62" s="152">
        <f t="shared" ca="1" si="100"/>
        <v>0</v>
      </c>
      <c r="FU62" s="152">
        <f t="shared" ca="1" si="100"/>
        <v>0</v>
      </c>
      <c r="FV62" s="152">
        <f t="shared" ca="1" si="100"/>
        <v>0</v>
      </c>
      <c r="FW62" s="152">
        <f t="shared" ca="1" si="100"/>
        <v>0</v>
      </c>
      <c r="FX62" s="152">
        <f t="shared" ca="1" si="100"/>
        <v>0</v>
      </c>
      <c r="FY62" s="152">
        <f t="shared" ca="1" si="100"/>
        <v>0</v>
      </c>
      <c r="FZ62" s="152">
        <f t="shared" ca="1" si="100"/>
        <v>0</v>
      </c>
      <c r="GA62" s="152">
        <f t="shared" ca="1" si="100"/>
        <v>0</v>
      </c>
      <c r="GB62" s="152">
        <f t="shared" ca="1" si="100"/>
        <v>0</v>
      </c>
      <c r="GC62" s="152">
        <f t="shared" ca="1" si="101"/>
        <v>0</v>
      </c>
      <c r="GD62" s="152">
        <f t="shared" ca="1" si="101"/>
        <v>0</v>
      </c>
      <c r="GE62" s="152">
        <f t="shared" ca="1" si="101"/>
        <v>0</v>
      </c>
      <c r="GF62" s="152">
        <f t="shared" ca="1" si="101"/>
        <v>0</v>
      </c>
      <c r="GG62" s="152">
        <f t="shared" ca="1" si="101"/>
        <v>0</v>
      </c>
      <c r="GH62" s="152">
        <f t="shared" ca="1" si="101"/>
        <v>0</v>
      </c>
      <c r="GI62" s="152">
        <f t="shared" ca="1" si="101"/>
        <v>0</v>
      </c>
      <c r="GJ62" s="152">
        <f t="shared" ca="1" si="101"/>
        <v>0</v>
      </c>
      <c r="GK62" s="152">
        <f t="shared" ca="1" si="101"/>
        <v>0</v>
      </c>
      <c r="GL62" s="152">
        <f t="shared" ca="1" si="101"/>
        <v>0</v>
      </c>
      <c r="GM62" s="152">
        <f t="shared" ca="1" si="102"/>
        <v>0</v>
      </c>
      <c r="GN62" s="152">
        <f t="shared" ca="1" si="102"/>
        <v>0</v>
      </c>
      <c r="GO62" s="152">
        <f t="shared" ca="1" si="102"/>
        <v>0</v>
      </c>
      <c r="GP62" s="152">
        <f t="shared" ca="1" si="102"/>
        <v>0</v>
      </c>
      <c r="GQ62" s="152">
        <f t="shared" ca="1" si="102"/>
        <v>0</v>
      </c>
      <c r="GR62" s="152">
        <f t="shared" ca="1" si="102"/>
        <v>0</v>
      </c>
      <c r="GS62" s="152">
        <f t="shared" ca="1" si="102"/>
        <v>0</v>
      </c>
      <c r="GT62" s="152">
        <f t="shared" ca="1" si="102"/>
        <v>0</v>
      </c>
      <c r="GU62" s="152">
        <f t="shared" ca="1" si="102"/>
        <v>0</v>
      </c>
      <c r="GV62" s="152">
        <f t="shared" ca="1" si="102"/>
        <v>0</v>
      </c>
      <c r="GW62" s="152">
        <f t="shared" ca="1" si="103"/>
        <v>0</v>
      </c>
      <c r="GX62" s="152">
        <f t="shared" ca="1" si="103"/>
        <v>0</v>
      </c>
      <c r="GY62" s="152">
        <f t="shared" ca="1" si="103"/>
        <v>0</v>
      </c>
      <c r="GZ62" s="152">
        <f t="shared" ca="1" si="103"/>
        <v>0</v>
      </c>
      <c r="HA62" s="152">
        <f t="shared" ca="1" si="103"/>
        <v>0</v>
      </c>
      <c r="HB62" s="152">
        <f t="shared" ca="1" si="103"/>
        <v>0</v>
      </c>
      <c r="HC62" s="152">
        <f t="shared" ca="1" si="103"/>
        <v>0</v>
      </c>
      <c r="HD62" s="152">
        <f t="shared" ca="1" si="103"/>
        <v>0</v>
      </c>
      <c r="HE62" s="152">
        <f t="shared" ca="1" si="103"/>
        <v>0</v>
      </c>
      <c r="HF62" s="152">
        <f t="shared" ca="1" si="103"/>
        <v>0</v>
      </c>
      <c r="HG62" s="152">
        <f t="shared" ca="1" si="104"/>
        <v>0</v>
      </c>
      <c r="HH62" s="152">
        <f t="shared" ca="1" si="104"/>
        <v>0</v>
      </c>
      <c r="HI62" s="152">
        <f t="shared" ca="1" si="104"/>
        <v>0</v>
      </c>
      <c r="HJ62" s="152">
        <f t="shared" ca="1" si="104"/>
        <v>0</v>
      </c>
      <c r="HK62" s="152">
        <f t="shared" ca="1" si="104"/>
        <v>0</v>
      </c>
      <c r="HL62" s="152">
        <f t="shared" ca="1" si="104"/>
        <v>0</v>
      </c>
      <c r="HM62" s="152">
        <f t="shared" ca="1" si="104"/>
        <v>0</v>
      </c>
      <c r="HN62" s="152">
        <f t="shared" ca="1" si="104"/>
        <v>0</v>
      </c>
      <c r="HO62" s="152">
        <f t="shared" ca="1" si="104"/>
        <v>0</v>
      </c>
      <c r="HP62" s="152">
        <f t="shared" ca="1" si="104"/>
        <v>0</v>
      </c>
      <c r="HQ62" s="152">
        <f t="shared" ca="1" si="105"/>
        <v>0</v>
      </c>
      <c r="HR62" s="152">
        <f t="shared" ca="1" si="105"/>
        <v>0</v>
      </c>
      <c r="HS62" s="152">
        <f t="shared" ca="1" si="105"/>
        <v>0</v>
      </c>
      <c r="HT62" s="152">
        <f t="shared" ca="1" si="105"/>
        <v>0</v>
      </c>
      <c r="HU62" s="152">
        <f t="shared" ca="1" si="105"/>
        <v>0</v>
      </c>
      <c r="HV62" s="152">
        <f t="shared" ca="1" si="105"/>
        <v>0</v>
      </c>
      <c r="HW62" s="152">
        <f t="shared" ca="1" si="105"/>
        <v>0</v>
      </c>
      <c r="HX62" s="152">
        <f t="shared" ca="1" si="105"/>
        <v>0</v>
      </c>
      <c r="HY62" s="152">
        <f t="shared" ca="1" si="105"/>
        <v>0</v>
      </c>
      <c r="HZ62" s="152">
        <f t="shared" ca="1" si="105"/>
        <v>0</v>
      </c>
      <c r="IA62" s="152">
        <f t="shared" ca="1" si="106"/>
        <v>0</v>
      </c>
      <c r="IB62" s="152">
        <f t="shared" ca="1" si="106"/>
        <v>0</v>
      </c>
      <c r="IC62" s="152">
        <f t="shared" ca="1" si="106"/>
        <v>0</v>
      </c>
      <c r="ID62" s="152">
        <f t="shared" ca="1" si="106"/>
        <v>0</v>
      </c>
      <c r="IE62" s="152">
        <f t="shared" ca="1" si="106"/>
        <v>0</v>
      </c>
      <c r="IF62" s="152">
        <f t="shared" ca="1" si="106"/>
        <v>0</v>
      </c>
      <c r="IG62" s="152">
        <f t="shared" ca="1" si="106"/>
        <v>0</v>
      </c>
      <c r="IH62" s="152">
        <f t="shared" ca="1" si="106"/>
        <v>0</v>
      </c>
      <c r="II62" s="152">
        <f t="shared" ca="1" si="106"/>
        <v>0</v>
      </c>
      <c r="IJ62" s="152">
        <f t="shared" ca="1" si="106"/>
        <v>0</v>
      </c>
      <c r="IK62" s="152">
        <f t="shared" ca="1" si="106"/>
        <v>0</v>
      </c>
      <c r="IL62" s="152">
        <f t="shared" ca="1" si="106"/>
        <v>0</v>
      </c>
      <c r="IM62" s="152">
        <f t="shared" ca="1" si="108"/>
        <v>0</v>
      </c>
      <c r="IN62" s="152">
        <f t="shared" ca="1" si="108"/>
        <v>0</v>
      </c>
      <c r="IO62" s="152">
        <f t="shared" ca="1" si="108"/>
        <v>0</v>
      </c>
      <c r="IP62" s="152">
        <f t="shared" ca="1" si="108"/>
        <v>0</v>
      </c>
      <c r="IQ62" s="152">
        <f t="shared" ca="1" si="108"/>
        <v>0</v>
      </c>
      <c r="IR62" s="152">
        <f t="shared" ca="1" si="108"/>
        <v>0</v>
      </c>
      <c r="IS62" s="152">
        <f t="shared" ca="1" si="108"/>
        <v>0</v>
      </c>
      <c r="IT62" s="152">
        <f t="shared" ca="1" si="108"/>
        <v>0</v>
      </c>
      <c r="IU62" s="152">
        <f t="shared" ca="1" si="108"/>
        <v>0</v>
      </c>
      <c r="IV62" s="152">
        <f t="shared" ca="1" si="108"/>
        <v>0</v>
      </c>
      <c r="IW62" s="152">
        <f t="shared" ca="1" si="109"/>
        <v>0</v>
      </c>
      <c r="IX62" s="152">
        <f t="shared" ca="1" si="109"/>
        <v>0</v>
      </c>
      <c r="IY62" s="152">
        <f t="shared" ca="1" si="109"/>
        <v>0</v>
      </c>
      <c r="IZ62" s="152">
        <f t="shared" ca="1" si="109"/>
        <v>0</v>
      </c>
      <c r="JA62" s="152">
        <f t="shared" ca="1" si="109"/>
        <v>0</v>
      </c>
      <c r="JB62" s="152">
        <f t="shared" ca="1" si="109"/>
        <v>0</v>
      </c>
      <c r="JC62" s="152">
        <f t="shared" ca="1" si="109"/>
        <v>0</v>
      </c>
      <c r="JD62" s="604"/>
    </row>
    <row r="63" spans="1:264" ht="12.75" customHeight="1" x14ac:dyDescent="0.25">
      <c r="A63" s="279"/>
      <c r="B63" s="41"/>
      <c r="C63" s="82"/>
      <c r="D63" s="41"/>
      <c r="E63" s="9"/>
      <c r="F63" s="9"/>
      <c r="G63" s="9"/>
      <c r="H63" s="10"/>
      <c r="I63" s="10"/>
      <c r="J63" s="10"/>
      <c r="K63" s="10"/>
      <c r="L63" s="10"/>
      <c r="M63" s="10"/>
      <c r="N63" s="9"/>
      <c r="O63" s="9"/>
      <c r="P63" s="44"/>
      <c r="Q63" s="44"/>
      <c r="R63" s="9"/>
      <c r="S63" s="9"/>
      <c r="T63" s="9"/>
      <c r="U63" s="9"/>
      <c r="V63" s="9"/>
      <c r="W63" s="9"/>
      <c r="X63" s="9"/>
      <c r="Y63" s="9"/>
      <c r="Z63" s="9"/>
      <c r="AA63" s="9"/>
      <c r="AB63" s="9"/>
      <c r="AC63" s="9"/>
      <c r="AD63" s="650">
        <f t="shared" si="64"/>
        <v>97</v>
      </c>
      <c r="AE63" s="654">
        <f ca="1">OFFSET('2 Staff List'!$IB$64,AJ63-1,0)</f>
        <v>0</v>
      </c>
      <c r="AF63" s="654">
        <f t="shared" si="65"/>
        <v>173.92857142857142</v>
      </c>
      <c r="AG63" s="9"/>
      <c r="AH63" s="654">
        <f t="shared" si="66"/>
        <v>239.15178571428569</v>
      </c>
      <c r="AI63" s="654">
        <f t="shared" si="67"/>
        <v>34</v>
      </c>
      <c r="AJ63" s="654">
        <f ca="1">OFFSET('2 Staff List'!$GU$64,AI63-1,0)</f>
        <v>34</v>
      </c>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1280">
        <f ca="1">OFFSET('2 Staff List'!$HW$64,AJ63-1,0)</f>
        <v>0</v>
      </c>
      <c r="DZ63" s="1281">
        <f ca="1">OFFSET('2 Staff List'!$HZ$64,AJ63-1,0)</f>
        <v>0</v>
      </c>
      <c r="EA63" s="3669">
        <f ca="1">OFFSET('2 Staff List'!$IA$64,AJ63-1,0)</f>
        <v>0</v>
      </c>
      <c r="EB63" s="3670"/>
      <c r="EC63" s="3673">
        <f t="shared" ca="1" si="68"/>
        <v>0</v>
      </c>
      <c r="ED63" s="3674"/>
      <c r="EE63" s="3675"/>
      <c r="EF63" s="3676"/>
      <c r="EG63" s="154">
        <f t="shared" ref="EG63:EP72" ca="1" si="110">IFERROR(SUMIFS(EG$129:EG$305,$DF$129:$DF$305,1,$DY$129:$DY$305,$EA63)*EG$17,0)</f>
        <v>0</v>
      </c>
      <c r="EH63" s="152">
        <f t="shared" ca="1" si="110"/>
        <v>0</v>
      </c>
      <c r="EI63" s="152">
        <f t="shared" ca="1" si="110"/>
        <v>0</v>
      </c>
      <c r="EJ63" s="152">
        <f t="shared" ca="1" si="110"/>
        <v>0</v>
      </c>
      <c r="EK63" s="152">
        <f t="shared" ca="1" si="110"/>
        <v>0</v>
      </c>
      <c r="EL63" s="152">
        <f t="shared" ca="1" si="110"/>
        <v>0</v>
      </c>
      <c r="EM63" s="152">
        <f t="shared" ca="1" si="110"/>
        <v>0</v>
      </c>
      <c r="EN63" s="152">
        <f t="shared" ca="1" si="110"/>
        <v>0</v>
      </c>
      <c r="EO63" s="152">
        <f t="shared" ca="1" si="110"/>
        <v>0</v>
      </c>
      <c r="EP63" s="152">
        <f t="shared" ca="1" si="110"/>
        <v>0</v>
      </c>
      <c r="EQ63" s="152">
        <f t="shared" ref="EQ63:EW72" ca="1" si="111">IFERROR(SUMIFS(EQ$129:EQ$305,$DF$129:$DF$305,1,$DY$129:$DY$305,$EA63)*EQ$17,0)</f>
        <v>0</v>
      </c>
      <c r="ER63" s="152">
        <f t="shared" ca="1" si="111"/>
        <v>0</v>
      </c>
      <c r="ES63" s="152">
        <f t="shared" ca="1" si="111"/>
        <v>0</v>
      </c>
      <c r="ET63" s="152">
        <f t="shared" ca="1" si="111"/>
        <v>0</v>
      </c>
      <c r="EU63" s="152">
        <f t="shared" ca="1" si="111"/>
        <v>0</v>
      </c>
      <c r="EV63" s="152">
        <f t="shared" ca="1" si="111"/>
        <v>0</v>
      </c>
      <c r="EW63" s="152">
        <f t="shared" ca="1" si="111"/>
        <v>0</v>
      </c>
      <c r="EX63" s="152">
        <f t="shared" ca="1" si="83"/>
        <v>0</v>
      </c>
      <c r="EY63" s="152">
        <f t="shared" ca="1" si="98"/>
        <v>0</v>
      </c>
      <c r="EZ63" s="152">
        <f t="shared" ca="1" si="98"/>
        <v>0</v>
      </c>
      <c r="FA63" s="152">
        <f t="shared" ca="1" si="98"/>
        <v>0</v>
      </c>
      <c r="FB63" s="152">
        <f t="shared" ca="1" si="98"/>
        <v>0</v>
      </c>
      <c r="FC63" s="152">
        <f t="shared" ca="1" si="98"/>
        <v>0</v>
      </c>
      <c r="FD63" s="152">
        <f t="shared" ca="1" si="98"/>
        <v>0</v>
      </c>
      <c r="FE63" s="152">
        <f t="shared" ca="1" si="98"/>
        <v>0</v>
      </c>
      <c r="FF63" s="152">
        <f t="shared" ca="1" si="98"/>
        <v>0</v>
      </c>
      <c r="FG63" s="152">
        <f t="shared" ca="1" si="98"/>
        <v>0</v>
      </c>
      <c r="FH63" s="152">
        <f t="shared" ca="1" si="98"/>
        <v>0</v>
      </c>
      <c r="FI63" s="152">
        <f t="shared" ca="1" si="99"/>
        <v>0</v>
      </c>
      <c r="FJ63" s="152">
        <f t="shared" ca="1" si="99"/>
        <v>0</v>
      </c>
      <c r="FK63" s="152">
        <f t="shared" ca="1" si="99"/>
        <v>0</v>
      </c>
      <c r="FL63" s="152">
        <f t="shared" ca="1" si="99"/>
        <v>0</v>
      </c>
      <c r="FM63" s="152">
        <f t="shared" ca="1" si="99"/>
        <v>0</v>
      </c>
      <c r="FN63" s="152">
        <f t="shared" ca="1" si="99"/>
        <v>0</v>
      </c>
      <c r="FO63" s="152">
        <f t="shared" ca="1" si="99"/>
        <v>0</v>
      </c>
      <c r="FP63" s="152">
        <f t="shared" ca="1" si="99"/>
        <v>0</v>
      </c>
      <c r="FQ63" s="152">
        <f t="shared" ca="1" si="99"/>
        <v>0</v>
      </c>
      <c r="FR63" s="152">
        <f t="shared" ca="1" si="99"/>
        <v>0</v>
      </c>
      <c r="FS63" s="152">
        <f t="shared" ca="1" si="100"/>
        <v>0</v>
      </c>
      <c r="FT63" s="152">
        <f t="shared" ca="1" si="100"/>
        <v>0</v>
      </c>
      <c r="FU63" s="152">
        <f t="shared" ca="1" si="100"/>
        <v>0</v>
      </c>
      <c r="FV63" s="152">
        <f t="shared" ca="1" si="100"/>
        <v>0</v>
      </c>
      <c r="FW63" s="152">
        <f t="shared" ca="1" si="100"/>
        <v>0</v>
      </c>
      <c r="FX63" s="152">
        <f t="shared" ca="1" si="100"/>
        <v>0</v>
      </c>
      <c r="FY63" s="152">
        <f t="shared" ca="1" si="100"/>
        <v>0</v>
      </c>
      <c r="FZ63" s="152">
        <f t="shared" ca="1" si="100"/>
        <v>0</v>
      </c>
      <c r="GA63" s="152">
        <f t="shared" ca="1" si="100"/>
        <v>0</v>
      </c>
      <c r="GB63" s="152">
        <f t="shared" ca="1" si="100"/>
        <v>0</v>
      </c>
      <c r="GC63" s="152">
        <f t="shared" ca="1" si="101"/>
        <v>0</v>
      </c>
      <c r="GD63" s="152">
        <f t="shared" ca="1" si="101"/>
        <v>0</v>
      </c>
      <c r="GE63" s="152">
        <f t="shared" ca="1" si="101"/>
        <v>0</v>
      </c>
      <c r="GF63" s="152">
        <f t="shared" ca="1" si="101"/>
        <v>0</v>
      </c>
      <c r="GG63" s="152">
        <f t="shared" ca="1" si="101"/>
        <v>0</v>
      </c>
      <c r="GH63" s="152">
        <f t="shared" ca="1" si="101"/>
        <v>0</v>
      </c>
      <c r="GI63" s="152">
        <f t="shared" ca="1" si="101"/>
        <v>0</v>
      </c>
      <c r="GJ63" s="152">
        <f t="shared" ca="1" si="101"/>
        <v>0</v>
      </c>
      <c r="GK63" s="152">
        <f t="shared" ca="1" si="101"/>
        <v>0</v>
      </c>
      <c r="GL63" s="152">
        <f t="shared" ca="1" si="101"/>
        <v>0</v>
      </c>
      <c r="GM63" s="152">
        <f t="shared" ca="1" si="102"/>
        <v>0</v>
      </c>
      <c r="GN63" s="152">
        <f t="shared" ca="1" si="102"/>
        <v>0</v>
      </c>
      <c r="GO63" s="152">
        <f t="shared" ca="1" si="102"/>
        <v>0</v>
      </c>
      <c r="GP63" s="152">
        <f t="shared" ca="1" si="102"/>
        <v>0</v>
      </c>
      <c r="GQ63" s="152">
        <f t="shared" ca="1" si="102"/>
        <v>0</v>
      </c>
      <c r="GR63" s="152">
        <f t="shared" ca="1" si="102"/>
        <v>0</v>
      </c>
      <c r="GS63" s="152">
        <f t="shared" ca="1" si="102"/>
        <v>0</v>
      </c>
      <c r="GT63" s="152">
        <f t="shared" ca="1" si="102"/>
        <v>0</v>
      </c>
      <c r="GU63" s="152">
        <f t="shared" ca="1" si="102"/>
        <v>0</v>
      </c>
      <c r="GV63" s="152">
        <f t="shared" ca="1" si="102"/>
        <v>0</v>
      </c>
      <c r="GW63" s="152">
        <f t="shared" ca="1" si="103"/>
        <v>0</v>
      </c>
      <c r="GX63" s="152">
        <f t="shared" ca="1" si="103"/>
        <v>0</v>
      </c>
      <c r="GY63" s="152">
        <f t="shared" ca="1" si="103"/>
        <v>0</v>
      </c>
      <c r="GZ63" s="152">
        <f t="shared" ca="1" si="103"/>
        <v>0</v>
      </c>
      <c r="HA63" s="152">
        <f t="shared" ca="1" si="103"/>
        <v>0</v>
      </c>
      <c r="HB63" s="152">
        <f t="shared" ca="1" si="103"/>
        <v>0</v>
      </c>
      <c r="HC63" s="152">
        <f t="shared" ca="1" si="103"/>
        <v>0</v>
      </c>
      <c r="HD63" s="152">
        <f t="shared" ca="1" si="103"/>
        <v>0</v>
      </c>
      <c r="HE63" s="152">
        <f t="shared" ca="1" si="103"/>
        <v>0</v>
      </c>
      <c r="HF63" s="152">
        <f t="shared" ca="1" si="103"/>
        <v>0</v>
      </c>
      <c r="HG63" s="152">
        <f t="shared" ca="1" si="104"/>
        <v>0</v>
      </c>
      <c r="HH63" s="152">
        <f t="shared" ca="1" si="104"/>
        <v>0</v>
      </c>
      <c r="HI63" s="152">
        <f t="shared" ca="1" si="104"/>
        <v>0</v>
      </c>
      <c r="HJ63" s="152">
        <f t="shared" ca="1" si="104"/>
        <v>0</v>
      </c>
      <c r="HK63" s="152">
        <f t="shared" ca="1" si="104"/>
        <v>0</v>
      </c>
      <c r="HL63" s="152">
        <f t="shared" ca="1" si="104"/>
        <v>0</v>
      </c>
      <c r="HM63" s="152">
        <f t="shared" ca="1" si="104"/>
        <v>0</v>
      </c>
      <c r="HN63" s="152">
        <f t="shared" ca="1" si="104"/>
        <v>0</v>
      </c>
      <c r="HO63" s="152">
        <f t="shared" ca="1" si="104"/>
        <v>0</v>
      </c>
      <c r="HP63" s="152">
        <f t="shared" ca="1" si="104"/>
        <v>0</v>
      </c>
      <c r="HQ63" s="152">
        <f t="shared" ca="1" si="105"/>
        <v>0</v>
      </c>
      <c r="HR63" s="152">
        <f t="shared" ca="1" si="105"/>
        <v>0</v>
      </c>
      <c r="HS63" s="152">
        <f t="shared" ca="1" si="105"/>
        <v>0</v>
      </c>
      <c r="HT63" s="152">
        <f t="shared" ca="1" si="105"/>
        <v>0</v>
      </c>
      <c r="HU63" s="152">
        <f t="shared" ca="1" si="105"/>
        <v>0</v>
      </c>
      <c r="HV63" s="152">
        <f t="shared" ca="1" si="105"/>
        <v>0</v>
      </c>
      <c r="HW63" s="152">
        <f t="shared" ca="1" si="105"/>
        <v>0</v>
      </c>
      <c r="HX63" s="152">
        <f t="shared" ca="1" si="105"/>
        <v>0</v>
      </c>
      <c r="HY63" s="152">
        <f t="shared" ca="1" si="105"/>
        <v>0</v>
      </c>
      <c r="HZ63" s="152">
        <f t="shared" ca="1" si="105"/>
        <v>0</v>
      </c>
      <c r="IA63" s="152">
        <f t="shared" ca="1" si="106"/>
        <v>0</v>
      </c>
      <c r="IB63" s="152">
        <f t="shared" ca="1" si="106"/>
        <v>0</v>
      </c>
      <c r="IC63" s="152">
        <f t="shared" ca="1" si="106"/>
        <v>0</v>
      </c>
      <c r="ID63" s="152">
        <f t="shared" ca="1" si="106"/>
        <v>0</v>
      </c>
      <c r="IE63" s="152">
        <f t="shared" ca="1" si="106"/>
        <v>0</v>
      </c>
      <c r="IF63" s="152">
        <f t="shared" ca="1" si="106"/>
        <v>0</v>
      </c>
      <c r="IG63" s="152">
        <f t="shared" ca="1" si="106"/>
        <v>0</v>
      </c>
      <c r="IH63" s="152">
        <f t="shared" ca="1" si="106"/>
        <v>0</v>
      </c>
      <c r="II63" s="152">
        <f t="shared" ca="1" si="106"/>
        <v>0</v>
      </c>
      <c r="IJ63" s="152">
        <f t="shared" ca="1" si="106"/>
        <v>0</v>
      </c>
      <c r="IK63" s="152">
        <f t="shared" ca="1" si="106"/>
        <v>0</v>
      </c>
      <c r="IL63" s="152">
        <f t="shared" ca="1" si="106"/>
        <v>0</v>
      </c>
      <c r="IM63" s="152">
        <f t="shared" ca="1" si="108"/>
        <v>0</v>
      </c>
      <c r="IN63" s="152">
        <f t="shared" ca="1" si="108"/>
        <v>0</v>
      </c>
      <c r="IO63" s="152">
        <f t="shared" ca="1" si="108"/>
        <v>0</v>
      </c>
      <c r="IP63" s="152">
        <f t="shared" ca="1" si="108"/>
        <v>0</v>
      </c>
      <c r="IQ63" s="152">
        <f t="shared" ca="1" si="108"/>
        <v>0</v>
      </c>
      <c r="IR63" s="152">
        <f t="shared" ca="1" si="108"/>
        <v>0</v>
      </c>
      <c r="IS63" s="152">
        <f t="shared" ca="1" si="108"/>
        <v>0</v>
      </c>
      <c r="IT63" s="152">
        <f t="shared" ca="1" si="108"/>
        <v>0</v>
      </c>
      <c r="IU63" s="152">
        <f t="shared" ca="1" si="108"/>
        <v>0</v>
      </c>
      <c r="IV63" s="152">
        <f t="shared" ca="1" si="108"/>
        <v>0</v>
      </c>
      <c r="IW63" s="152">
        <f t="shared" ca="1" si="109"/>
        <v>0</v>
      </c>
      <c r="IX63" s="152">
        <f t="shared" ca="1" si="109"/>
        <v>0</v>
      </c>
      <c r="IY63" s="152">
        <f t="shared" ca="1" si="109"/>
        <v>0</v>
      </c>
      <c r="IZ63" s="152">
        <f t="shared" ca="1" si="109"/>
        <v>0</v>
      </c>
      <c r="JA63" s="152">
        <f t="shared" ca="1" si="109"/>
        <v>0</v>
      </c>
      <c r="JB63" s="152">
        <f t="shared" ca="1" si="109"/>
        <v>0</v>
      </c>
      <c r="JC63" s="152">
        <f t="shared" ca="1" si="109"/>
        <v>0</v>
      </c>
      <c r="JD63" s="604"/>
    </row>
    <row r="64" spans="1:264" ht="12.75" customHeight="1" x14ac:dyDescent="0.25">
      <c r="A64" s="279"/>
      <c r="B64" s="41"/>
      <c r="C64" s="82"/>
      <c r="D64" s="41"/>
      <c r="E64" s="9"/>
      <c r="F64" s="9"/>
      <c r="G64" s="9"/>
      <c r="H64" s="10"/>
      <c r="I64" s="10"/>
      <c r="J64" s="10"/>
      <c r="K64" s="10"/>
      <c r="L64" s="10"/>
      <c r="M64" s="10"/>
      <c r="N64" s="9"/>
      <c r="O64" s="9"/>
      <c r="P64" s="44"/>
      <c r="Q64" s="44"/>
      <c r="R64" s="9"/>
      <c r="S64" s="9"/>
      <c r="T64" s="9"/>
      <c r="U64" s="9"/>
      <c r="V64" s="9"/>
      <c r="W64" s="9"/>
      <c r="X64" s="9"/>
      <c r="Y64" s="9"/>
      <c r="Z64" s="9"/>
      <c r="AA64" s="9"/>
      <c r="AB64" s="9"/>
      <c r="AC64" s="9"/>
      <c r="AD64" s="650">
        <f t="shared" si="64"/>
        <v>96</v>
      </c>
      <c r="AE64" s="654">
        <f ca="1">OFFSET('2 Staff List'!$IB$64,AJ64-1,0)</f>
        <v>0</v>
      </c>
      <c r="AF64" s="654">
        <f t="shared" si="65"/>
        <v>173.92857142857142</v>
      </c>
      <c r="AG64" s="9"/>
      <c r="AH64" s="654">
        <f t="shared" si="66"/>
        <v>239.15178571428569</v>
      </c>
      <c r="AI64" s="654">
        <f t="shared" si="67"/>
        <v>33</v>
      </c>
      <c r="AJ64" s="654">
        <f ca="1">OFFSET('2 Staff List'!$GU$64,AI64-1,0)</f>
        <v>33</v>
      </c>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1280">
        <f ca="1">OFFSET('2 Staff List'!$HW$64,AJ64-1,0)</f>
        <v>0</v>
      </c>
      <c r="DZ64" s="1281">
        <f ca="1">OFFSET('2 Staff List'!$HZ$64,AJ64-1,0)</f>
        <v>0</v>
      </c>
      <c r="EA64" s="3669">
        <f ca="1">OFFSET('2 Staff List'!$IA$64,AJ64-1,0)</f>
        <v>0</v>
      </c>
      <c r="EB64" s="3670"/>
      <c r="EC64" s="3673">
        <f t="shared" ca="1" si="68"/>
        <v>0</v>
      </c>
      <c r="ED64" s="3674"/>
      <c r="EE64" s="3675"/>
      <c r="EF64" s="3676"/>
      <c r="EG64" s="154">
        <f t="shared" ca="1" si="110"/>
        <v>0</v>
      </c>
      <c r="EH64" s="152">
        <f t="shared" ca="1" si="110"/>
        <v>0</v>
      </c>
      <c r="EI64" s="152">
        <f t="shared" ca="1" si="110"/>
        <v>0</v>
      </c>
      <c r="EJ64" s="152">
        <f t="shared" ca="1" si="110"/>
        <v>0</v>
      </c>
      <c r="EK64" s="152">
        <f t="shared" ca="1" si="110"/>
        <v>0</v>
      </c>
      <c r="EL64" s="152">
        <f t="shared" ca="1" si="110"/>
        <v>0</v>
      </c>
      <c r="EM64" s="152">
        <f t="shared" ca="1" si="110"/>
        <v>0</v>
      </c>
      <c r="EN64" s="152">
        <f t="shared" ca="1" si="110"/>
        <v>0</v>
      </c>
      <c r="EO64" s="152">
        <f t="shared" ca="1" si="110"/>
        <v>0</v>
      </c>
      <c r="EP64" s="152">
        <f t="shared" ca="1" si="110"/>
        <v>0</v>
      </c>
      <c r="EQ64" s="152">
        <f t="shared" ca="1" si="111"/>
        <v>0</v>
      </c>
      <c r="ER64" s="152">
        <f t="shared" ca="1" si="111"/>
        <v>0</v>
      </c>
      <c r="ES64" s="152">
        <f t="shared" ca="1" si="111"/>
        <v>0</v>
      </c>
      <c r="ET64" s="152">
        <f t="shared" ca="1" si="111"/>
        <v>0</v>
      </c>
      <c r="EU64" s="152">
        <f t="shared" ca="1" si="111"/>
        <v>0</v>
      </c>
      <c r="EV64" s="152">
        <f t="shared" ca="1" si="111"/>
        <v>0</v>
      </c>
      <c r="EW64" s="152">
        <f t="shared" ca="1" si="111"/>
        <v>0</v>
      </c>
      <c r="EX64" s="152">
        <f t="shared" ca="1" si="83"/>
        <v>0</v>
      </c>
      <c r="EY64" s="152">
        <f t="shared" ca="1" si="98"/>
        <v>0</v>
      </c>
      <c r="EZ64" s="152">
        <f t="shared" ca="1" si="98"/>
        <v>0</v>
      </c>
      <c r="FA64" s="152">
        <f t="shared" ca="1" si="98"/>
        <v>0</v>
      </c>
      <c r="FB64" s="152">
        <f t="shared" ca="1" si="98"/>
        <v>0</v>
      </c>
      <c r="FC64" s="152">
        <f t="shared" ca="1" si="98"/>
        <v>0</v>
      </c>
      <c r="FD64" s="152">
        <f t="shared" ca="1" si="98"/>
        <v>0</v>
      </c>
      <c r="FE64" s="152">
        <f t="shared" ca="1" si="98"/>
        <v>0</v>
      </c>
      <c r="FF64" s="152">
        <f t="shared" ca="1" si="98"/>
        <v>0</v>
      </c>
      <c r="FG64" s="152">
        <f t="shared" ca="1" si="98"/>
        <v>0</v>
      </c>
      <c r="FH64" s="152">
        <f t="shared" ca="1" si="98"/>
        <v>0</v>
      </c>
      <c r="FI64" s="152">
        <f t="shared" ca="1" si="99"/>
        <v>0</v>
      </c>
      <c r="FJ64" s="152">
        <f t="shared" ca="1" si="99"/>
        <v>0</v>
      </c>
      <c r="FK64" s="152">
        <f t="shared" ca="1" si="99"/>
        <v>0</v>
      </c>
      <c r="FL64" s="152">
        <f t="shared" ca="1" si="99"/>
        <v>0</v>
      </c>
      <c r="FM64" s="152">
        <f t="shared" ca="1" si="99"/>
        <v>0</v>
      </c>
      <c r="FN64" s="152">
        <f t="shared" ca="1" si="99"/>
        <v>0</v>
      </c>
      <c r="FO64" s="152">
        <f t="shared" ca="1" si="99"/>
        <v>0</v>
      </c>
      <c r="FP64" s="152">
        <f t="shared" ca="1" si="99"/>
        <v>0</v>
      </c>
      <c r="FQ64" s="152">
        <f t="shared" ca="1" si="99"/>
        <v>0</v>
      </c>
      <c r="FR64" s="152">
        <f t="shared" ca="1" si="99"/>
        <v>0</v>
      </c>
      <c r="FS64" s="152">
        <f t="shared" ca="1" si="100"/>
        <v>0</v>
      </c>
      <c r="FT64" s="152">
        <f t="shared" ca="1" si="100"/>
        <v>0</v>
      </c>
      <c r="FU64" s="152">
        <f t="shared" ca="1" si="100"/>
        <v>0</v>
      </c>
      <c r="FV64" s="152">
        <f t="shared" ca="1" si="100"/>
        <v>0</v>
      </c>
      <c r="FW64" s="152">
        <f t="shared" ca="1" si="100"/>
        <v>0</v>
      </c>
      <c r="FX64" s="152">
        <f t="shared" ca="1" si="100"/>
        <v>0</v>
      </c>
      <c r="FY64" s="152">
        <f t="shared" ca="1" si="100"/>
        <v>0</v>
      </c>
      <c r="FZ64" s="152">
        <f t="shared" ca="1" si="100"/>
        <v>0</v>
      </c>
      <c r="GA64" s="152">
        <f t="shared" ca="1" si="100"/>
        <v>0</v>
      </c>
      <c r="GB64" s="152">
        <f t="shared" ca="1" si="100"/>
        <v>0</v>
      </c>
      <c r="GC64" s="152">
        <f t="shared" ca="1" si="101"/>
        <v>0</v>
      </c>
      <c r="GD64" s="152">
        <f t="shared" ca="1" si="101"/>
        <v>0</v>
      </c>
      <c r="GE64" s="152">
        <f t="shared" ca="1" si="101"/>
        <v>0</v>
      </c>
      <c r="GF64" s="152">
        <f t="shared" ca="1" si="101"/>
        <v>0</v>
      </c>
      <c r="GG64" s="152">
        <f t="shared" ca="1" si="101"/>
        <v>0</v>
      </c>
      <c r="GH64" s="152">
        <f t="shared" ca="1" si="101"/>
        <v>0</v>
      </c>
      <c r="GI64" s="152">
        <f t="shared" ca="1" si="101"/>
        <v>0</v>
      </c>
      <c r="GJ64" s="152">
        <f t="shared" ca="1" si="101"/>
        <v>0</v>
      </c>
      <c r="GK64" s="152">
        <f t="shared" ca="1" si="101"/>
        <v>0</v>
      </c>
      <c r="GL64" s="152">
        <f t="shared" ca="1" si="101"/>
        <v>0</v>
      </c>
      <c r="GM64" s="152">
        <f t="shared" ca="1" si="102"/>
        <v>0</v>
      </c>
      <c r="GN64" s="152">
        <f t="shared" ca="1" si="102"/>
        <v>0</v>
      </c>
      <c r="GO64" s="152">
        <f t="shared" ca="1" si="102"/>
        <v>0</v>
      </c>
      <c r="GP64" s="152">
        <f t="shared" ca="1" si="102"/>
        <v>0</v>
      </c>
      <c r="GQ64" s="152">
        <f t="shared" ca="1" si="102"/>
        <v>0</v>
      </c>
      <c r="GR64" s="152">
        <f t="shared" ca="1" si="102"/>
        <v>0</v>
      </c>
      <c r="GS64" s="152">
        <f t="shared" ca="1" si="102"/>
        <v>0</v>
      </c>
      <c r="GT64" s="152">
        <f t="shared" ca="1" si="102"/>
        <v>0</v>
      </c>
      <c r="GU64" s="152">
        <f t="shared" ca="1" si="102"/>
        <v>0</v>
      </c>
      <c r="GV64" s="152">
        <f t="shared" ca="1" si="102"/>
        <v>0</v>
      </c>
      <c r="GW64" s="152">
        <f t="shared" ca="1" si="103"/>
        <v>0</v>
      </c>
      <c r="GX64" s="152">
        <f t="shared" ca="1" si="103"/>
        <v>0</v>
      </c>
      <c r="GY64" s="152">
        <f t="shared" ca="1" si="103"/>
        <v>0</v>
      </c>
      <c r="GZ64" s="152">
        <f t="shared" ca="1" si="103"/>
        <v>0</v>
      </c>
      <c r="HA64" s="152">
        <f t="shared" ca="1" si="103"/>
        <v>0</v>
      </c>
      <c r="HB64" s="152">
        <f t="shared" ca="1" si="103"/>
        <v>0</v>
      </c>
      <c r="HC64" s="152">
        <f t="shared" ca="1" si="103"/>
        <v>0</v>
      </c>
      <c r="HD64" s="152">
        <f t="shared" ca="1" si="103"/>
        <v>0</v>
      </c>
      <c r="HE64" s="152">
        <f t="shared" ca="1" si="103"/>
        <v>0</v>
      </c>
      <c r="HF64" s="152">
        <f t="shared" ca="1" si="103"/>
        <v>0</v>
      </c>
      <c r="HG64" s="152">
        <f t="shared" ca="1" si="104"/>
        <v>0</v>
      </c>
      <c r="HH64" s="152">
        <f t="shared" ca="1" si="104"/>
        <v>0</v>
      </c>
      <c r="HI64" s="152">
        <f t="shared" ca="1" si="104"/>
        <v>0</v>
      </c>
      <c r="HJ64" s="152">
        <f t="shared" ca="1" si="104"/>
        <v>0</v>
      </c>
      <c r="HK64" s="152">
        <f t="shared" ca="1" si="104"/>
        <v>0</v>
      </c>
      <c r="HL64" s="152">
        <f t="shared" ca="1" si="104"/>
        <v>0</v>
      </c>
      <c r="HM64" s="152">
        <f t="shared" ca="1" si="104"/>
        <v>0</v>
      </c>
      <c r="HN64" s="152">
        <f t="shared" ca="1" si="104"/>
        <v>0</v>
      </c>
      <c r="HO64" s="152">
        <f t="shared" ca="1" si="104"/>
        <v>0</v>
      </c>
      <c r="HP64" s="152">
        <f t="shared" ca="1" si="104"/>
        <v>0</v>
      </c>
      <c r="HQ64" s="152">
        <f t="shared" ca="1" si="105"/>
        <v>0</v>
      </c>
      <c r="HR64" s="152">
        <f t="shared" ca="1" si="105"/>
        <v>0</v>
      </c>
      <c r="HS64" s="152">
        <f t="shared" ca="1" si="105"/>
        <v>0</v>
      </c>
      <c r="HT64" s="152">
        <f t="shared" ca="1" si="105"/>
        <v>0</v>
      </c>
      <c r="HU64" s="152">
        <f t="shared" ca="1" si="105"/>
        <v>0</v>
      </c>
      <c r="HV64" s="152">
        <f t="shared" ca="1" si="105"/>
        <v>0</v>
      </c>
      <c r="HW64" s="152">
        <f t="shared" ca="1" si="105"/>
        <v>0</v>
      </c>
      <c r="HX64" s="152">
        <f t="shared" ca="1" si="105"/>
        <v>0</v>
      </c>
      <c r="HY64" s="152">
        <f t="shared" ca="1" si="105"/>
        <v>0</v>
      </c>
      <c r="HZ64" s="152">
        <f t="shared" ca="1" si="105"/>
        <v>0</v>
      </c>
      <c r="IA64" s="152">
        <f t="shared" ca="1" si="106"/>
        <v>0</v>
      </c>
      <c r="IB64" s="152">
        <f t="shared" ca="1" si="106"/>
        <v>0</v>
      </c>
      <c r="IC64" s="152">
        <f t="shared" ca="1" si="106"/>
        <v>0</v>
      </c>
      <c r="ID64" s="152">
        <f t="shared" ca="1" si="106"/>
        <v>0</v>
      </c>
      <c r="IE64" s="152">
        <f t="shared" ca="1" si="106"/>
        <v>0</v>
      </c>
      <c r="IF64" s="152">
        <f t="shared" ca="1" si="106"/>
        <v>0</v>
      </c>
      <c r="IG64" s="152">
        <f t="shared" ca="1" si="106"/>
        <v>0</v>
      </c>
      <c r="IH64" s="152">
        <f t="shared" ca="1" si="106"/>
        <v>0</v>
      </c>
      <c r="II64" s="152">
        <f t="shared" ca="1" si="106"/>
        <v>0</v>
      </c>
      <c r="IJ64" s="152">
        <f t="shared" ca="1" si="106"/>
        <v>0</v>
      </c>
      <c r="IK64" s="152">
        <f t="shared" ca="1" si="106"/>
        <v>0</v>
      </c>
      <c r="IL64" s="152">
        <f t="shared" ca="1" si="106"/>
        <v>0</v>
      </c>
      <c r="IM64" s="152">
        <f t="shared" ca="1" si="108"/>
        <v>0</v>
      </c>
      <c r="IN64" s="152">
        <f t="shared" ca="1" si="108"/>
        <v>0</v>
      </c>
      <c r="IO64" s="152">
        <f t="shared" ca="1" si="108"/>
        <v>0</v>
      </c>
      <c r="IP64" s="152">
        <f t="shared" ca="1" si="108"/>
        <v>0</v>
      </c>
      <c r="IQ64" s="152">
        <f t="shared" ca="1" si="108"/>
        <v>0</v>
      </c>
      <c r="IR64" s="152">
        <f t="shared" ca="1" si="108"/>
        <v>0</v>
      </c>
      <c r="IS64" s="152">
        <f t="shared" ca="1" si="108"/>
        <v>0</v>
      </c>
      <c r="IT64" s="152">
        <f t="shared" ca="1" si="108"/>
        <v>0</v>
      </c>
      <c r="IU64" s="152">
        <f t="shared" ca="1" si="108"/>
        <v>0</v>
      </c>
      <c r="IV64" s="152">
        <f t="shared" ca="1" si="108"/>
        <v>0</v>
      </c>
      <c r="IW64" s="152">
        <f t="shared" ca="1" si="109"/>
        <v>0</v>
      </c>
      <c r="IX64" s="152">
        <f t="shared" ca="1" si="109"/>
        <v>0</v>
      </c>
      <c r="IY64" s="152">
        <f t="shared" ca="1" si="109"/>
        <v>0</v>
      </c>
      <c r="IZ64" s="152">
        <f t="shared" ca="1" si="109"/>
        <v>0</v>
      </c>
      <c r="JA64" s="152">
        <f t="shared" ca="1" si="109"/>
        <v>0</v>
      </c>
      <c r="JB64" s="152">
        <f t="shared" ca="1" si="109"/>
        <v>0</v>
      </c>
      <c r="JC64" s="152">
        <f t="shared" ca="1" si="109"/>
        <v>0</v>
      </c>
      <c r="JD64" s="604"/>
    </row>
    <row r="65" spans="1:264" ht="12.75" customHeight="1" x14ac:dyDescent="0.25">
      <c r="A65" s="279"/>
      <c r="B65" s="41"/>
      <c r="C65" s="82"/>
      <c r="D65" s="41"/>
      <c r="E65" s="9"/>
      <c r="F65" s="9"/>
      <c r="G65" s="9"/>
      <c r="H65" s="10"/>
      <c r="I65" s="10"/>
      <c r="J65" s="10"/>
      <c r="K65" s="10"/>
      <c r="L65" s="10"/>
      <c r="M65" s="10"/>
      <c r="N65" s="9"/>
      <c r="O65" s="9"/>
      <c r="P65" s="44"/>
      <c r="Q65" s="44"/>
      <c r="R65" s="9"/>
      <c r="S65" s="9"/>
      <c r="T65" s="9"/>
      <c r="U65" s="9"/>
      <c r="V65" s="9"/>
      <c r="W65" s="9"/>
      <c r="X65" s="9"/>
      <c r="Y65" s="9"/>
      <c r="Z65" s="9"/>
      <c r="AA65" s="9"/>
      <c r="AB65" s="9"/>
      <c r="AC65" s="9"/>
      <c r="AD65" s="650">
        <f t="shared" si="64"/>
        <v>95</v>
      </c>
      <c r="AE65" s="654">
        <f ca="1">OFFSET('2 Staff List'!$IB$64,AJ65-1,0)</f>
        <v>0</v>
      </c>
      <c r="AF65" s="654">
        <f t="shared" si="65"/>
        <v>173.92857142857142</v>
      </c>
      <c r="AG65" s="9"/>
      <c r="AH65" s="654">
        <f t="shared" si="66"/>
        <v>239.15178571428569</v>
      </c>
      <c r="AI65" s="654">
        <f t="shared" si="67"/>
        <v>32</v>
      </c>
      <c r="AJ65" s="654">
        <f ca="1">OFFSET('2 Staff List'!$GU$64,AI65-1,0)</f>
        <v>32</v>
      </c>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1280">
        <f ca="1">OFFSET('2 Staff List'!$HW$64,AJ65-1,0)</f>
        <v>0</v>
      </c>
      <c r="DZ65" s="1281">
        <f ca="1">OFFSET('2 Staff List'!$HZ$64,AJ65-1,0)</f>
        <v>0</v>
      </c>
      <c r="EA65" s="3669">
        <f ca="1">OFFSET('2 Staff List'!$IA$64,AJ65-1,0)</f>
        <v>0</v>
      </c>
      <c r="EB65" s="3670"/>
      <c r="EC65" s="3673">
        <f t="shared" ca="1" si="68"/>
        <v>0</v>
      </c>
      <c r="ED65" s="3674"/>
      <c r="EE65" s="3675"/>
      <c r="EF65" s="3676"/>
      <c r="EG65" s="154">
        <f t="shared" ca="1" si="110"/>
        <v>0</v>
      </c>
      <c r="EH65" s="152">
        <f t="shared" ca="1" si="110"/>
        <v>0</v>
      </c>
      <c r="EI65" s="152">
        <f t="shared" ca="1" si="110"/>
        <v>0</v>
      </c>
      <c r="EJ65" s="152">
        <f t="shared" ca="1" si="110"/>
        <v>0</v>
      </c>
      <c r="EK65" s="152">
        <f t="shared" ca="1" si="110"/>
        <v>0</v>
      </c>
      <c r="EL65" s="152">
        <f t="shared" ca="1" si="110"/>
        <v>0</v>
      </c>
      <c r="EM65" s="152">
        <f t="shared" ca="1" si="110"/>
        <v>0</v>
      </c>
      <c r="EN65" s="152">
        <f t="shared" ca="1" si="110"/>
        <v>0</v>
      </c>
      <c r="EO65" s="152">
        <f t="shared" ca="1" si="110"/>
        <v>0</v>
      </c>
      <c r="EP65" s="152">
        <f t="shared" ca="1" si="110"/>
        <v>0</v>
      </c>
      <c r="EQ65" s="152">
        <f t="shared" ca="1" si="111"/>
        <v>0</v>
      </c>
      <c r="ER65" s="152">
        <f t="shared" ca="1" si="111"/>
        <v>0</v>
      </c>
      <c r="ES65" s="152">
        <f t="shared" ca="1" si="111"/>
        <v>0</v>
      </c>
      <c r="ET65" s="152">
        <f t="shared" ca="1" si="111"/>
        <v>0</v>
      </c>
      <c r="EU65" s="152">
        <f t="shared" ca="1" si="111"/>
        <v>0</v>
      </c>
      <c r="EV65" s="152">
        <f t="shared" ca="1" si="111"/>
        <v>0</v>
      </c>
      <c r="EW65" s="152">
        <f t="shared" ca="1" si="111"/>
        <v>0</v>
      </c>
      <c r="EX65" s="152">
        <f t="shared" ca="1" si="83"/>
        <v>0</v>
      </c>
      <c r="EY65" s="152">
        <f t="shared" ca="1" si="98"/>
        <v>0</v>
      </c>
      <c r="EZ65" s="152">
        <f t="shared" ca="1" si="98"/>
        <v>0</v>
      </c>
      <c r="FA65" s="152">
        <f t="shared" ca="1" si="98"/>
        <v>0</v>
      </c>
      <c r="FB65" s="152">
        <f t="shared" ca="1" si="98"/>
        <v>0</v>
      </c>
      <c r="FC65" s="152">
        <f t="shared" ca="1" si="98"/>
        <v>0</v>
      </c>
      <c r="FD65" s="152">
        <f t="shared" ca="1" si="98"/>
        <v>0</v>
      </c>
      <c r="FE65" s="152">
        <f t="shared" ca="1" si="98"/>
        <v>0</v>
      </c>
      <c r="FF65" s="152">
        <f t="shared" ca="1" si="98"/>
        <v>0</v>
      </c>
      <c r="FG65" s="152">
        <f t="shared" ca="1" si="98"/>
        <v>0</v>
      </c>
      <c r="FH65" s="152">
        <f t="shared" ca="1" si="98"/>
        <v>0</v>
      </c>
      <c r="FI65" s="152">
        <f t="shared" ca="1" si="99"/>
        <v>0</v>
      </c>
      <c r="FJ65" s="152">
        <f t="shared" ca="1" si="99"/>
        <v>0</v>
      </c>
      <c r="FK65" s="152">
        <f t="shared" ca="1" si="99"/>
        <v>0</v>
      </c>
      <c r="FL65" s="152">
        <f t="shared" ca="1" si="99"/>
        <v>0</v>
      </c>
      <c r="FM65" s="152">
        <f t="shared" ca="1" si="99"/>
        <v>0</v>
      </c>
      <c r="FN65" s="152">
        <f t="shared" ca="1" si="99"/>
        <v>0</v>
      </c>
      <c r="FO65" s="152">
        <f t="shared" ca="1" si="99"/>
        <v>0</v>
      </c>
      <c r="FP65" s="152">
        <f t="shared" ca="1" si="99"/>
        <v>0</v>
      </c>
      <c r="FQ65" s="152">
        <f t="shared" ca="1" si="99"/>
        <v>0</v>
      </c>
      <c r="FR65" s="152">
        <f t="shared" ca="1" si="99"/>
        <v>0</v>
      </c>
      <c r="FS65" s="152">
        <f t="shared" ca="1" si="100"/>
        <v>0</v>
      </c>
      <c r="FT65" s="152">
        <f t="shared" ca="1" si="100"/>
        <v>0</v>
      </c>
      <c r="FU65" s="152">
        <f t="shared" ca="1" si="100"/>
        <v>0</v>
      </c>
      <c r="FV65" s="152">
        <f t="shared" ca="1" si="100"/>
        <v>0</v>
      </c>
      <c r="FW65" s="152">
        <f t="shared" ca="1" si="100"/>
        <v>0</v>
      </c>
      <c r="FX65" s="152">
        <f t="shared" ca="1" si="100"/>
        <v>0</v>
      </c>
      <c r="FY65" s="152">
        <f t="shared" ca="1" si="100"/>
        <v>0</v>
      </c>
      <c r="FZ65" s="152">
        <f t="shared" ca="1" si="100"/>
        <v>0</v>
      </c>
      <c r="GA65" s="152">
        <f t="shared" ca="1" si="100"/>
        <v>0</v>
      </c>
      <c r="GB65" s="152">
        <f t="shared" ca="1" si="100"/>
        <v>0</v>
      </c>
      <c r="GC65" s="152">
        <f t="shared" ca="1" si="101"/>
        <v>0</v>
      </c>
      <c r="GD65" s="152">
        <f t="shared" ca="1" si="101"/>
        <v>0</v>
      </c>
      <c r="GE65" s="152">
        <f t="shared" ca="1" si="101"/>
        <v>0</v>
      </c>
      <c r="GF65" s="152">
        <f t="shared" ca="1" si="101"/>
        <v>0</v>
      </c>
      <c r="GG65" s="152">
        <f t="shared" ca="1" si="101"/>
        <v>0</v>
      </c>
      <c r="GH65" s="152">
        <f t="shared" ca="1" si="101"/>
        <v>0</v>
      </c>
      <c r="GI65" s="152">
        <f t="shared" ca="1" si="101"/>
        <v>0</v>
      </c>
      <c r="GJ65" s="152">
        <f t="shared" ca="1" si="101"/>
        <v>0</v>
      </c>
      <c r="GK65" s="152">
        <f t="shared" ca="1" si="101"/>
        <v>0</v>
      </c>
      <c r="GL65" s="152">
        <f t="shared" ca="1" si="101"/>
        <v>0</v>
      </c>
      <c r="GM65" s="152">
        <f t="shared" ca="1" si="102"/>
        <v>0</v>
      </c>
      <c r="GN65" s="152">
        <f t="shared" ca="1" si="102"/>
        <v>0</v>
      </c>
      <c r="GO65" s="152">
        <f t="shared" ca="1" si="102"/>
        <v>0</v>
      </c>
      <c r="GP65" s="152">
        <f t="shared" ca="1" si="102"/>
        <v>0</v>
      </c>
      <c r="GQ65" s="152">
        <f t="shared" ca="1" si="102"/>
        <v>0</v>
      </c>
      <c r="GR65" s="152">
        <f t="shared" ca="1" si="102"/>
        <v>0</v>
      </c>
      <c r="GS65" s="152">
        <f t="shared" ca="1" si="102"/>
        <v>0</v>
      </c>
      <c r="GT65" s="152">
        <f t="shared" ca="1" si="102"/>
        <v>0</v>
      </c>
      <c r="GU65" s="152">
        <f t="shared" ca="1" si="102"/>
        <v>0</v>
      </c>
      <c r="GV65" s="152">
        <f t="shared" ca="1" si="102"/>
        <v>0</v>
      </c>
      <c r="GW65" s="152">
        <f t="shared" ca="1" si="103"/>
        <v>0</v>
      </c>
      <c r="GX65" s="152">
        <f t="shared" ca="1" si="103"/>
        <v>0</v>
      </c>
      <c r="GY65" s="152">
        <f t="shared" ca="1" si="103"/>
        <v>0</v>
      </c>
      <c r="GZ65" s="152">
        <f t="shared" ca="1" si="103"/>
        <v>0</v>
      </c>
      <c r="HA65" s="152">
        <f t="shared" ca="1" si="103"/>
        <v>0</v>
      </c>
      <c r="HB65" s="152">
        <f t="shared" ca="1" si="103"/>
        <v>0</v>
      </c>
      <c r="HC65" s="152">
        <f t="shared" ca="1" si="103"/>
        <v>0</v>
      </c>
      <c r="HD65" s="152">
        <f t="shared" ca="1" si="103"/>
        <v>0</v>
      </c>
      <c r="HE65" s="152">
        <f t="shared" ca="1" si="103"/>
        <v>0</v>
      </c>
      <c r="HF65" s="152">
        <f t="shared" ca="1" si="103"/>
        <v>0</v>
      </c>
      <c r="HG65" s="152">
        <f t="shared" ca="1" si="104"/>
        <v>0</v>
      </c>
      <c r="HH65" s="152">
        <f t="shared" ca="1" si="104"/>
        <v>0</v>
      </c>
      <c r="HI65" s="152">
        <f t="shared" ca="1" si="104"/>
        <v>0</v>
      </c>
      <c r="HJ65" s="152">
        <f t="shared" ca="1" si="104"/>
        <v>0</v>
      </c>
      <c r="HK65" s="152">
        <f t="shared" ca="1" si="104"/>
        <v>0</v>
      </c>
      <c r="HL65" s="152">
        <f t="shared" ca="1" si="104"/>
        <v>0</v>
      </c>
      <c r="HM65" s="152">
        <f t="shared" ca="1" si="104"/>
        <v>0</v>
      </c>
      <c r="HN65" s="152">
        <f t="shared" ca="1" si="104"/>
        <v>0</v>
      </c>
      <c r="HO65" s="152">
        <f t="shared" ca="1" si="104"/>
        <v>0</v>
      </c>
      <c r="HP65" s="152">
        <f t="shared" ca="1" si="104"/>
        <v>0</v>
      </c>
      <c r="HQ65" s="152">
        <f t="shared" ca="1" si="105"/>
        <v>0</v>
      </c>
      <c r="HR65" s="152">
        <f t="shared" ca="1" si="105"/>
        <v>0</v>
      </c>
      <c r="HS65" s="152">
        <f t="shared" ca="1" si="105"/>
        <v>0</v>
      </c>
      <c r="HT65" s="152">
        <f t="shared" ca="1" si="105"/>
        <v>0</v>
      </c>
      <c r="HU65" s="152">
        <f t="shared" ca="1" si="105"/>
        <v>0</v>
      </c>
      <c r="HV65" s="152">
        <f t="shared" ca="1" si="105"/>
        <v>0</v>
      </c>
      <c r="HW65" s="152">
        <f t="shared" ca="1" si="105"/>
        <v>0</v>
      </c>
      <c r="HX65" s="152">
        <f t="shared" ca="1" si="105"/>
        <v>0</v>
      </c>
      <c r="HY65" s="152">
        <f t="shared" ca="1" si="105"/>
        <v>0</v>
      </c>
      <c r="HZ65" s="152">
        <f t="shared" ca="1" si="105"/>
        <v>0</v>
      </c>
      <c r="IA65" s="152">
        <f t="shared" ca="1" si="106"/>
        <v>0</v>
      </c>
      <c r="IB65" s="152">
        <f t="shared" ca="1" si="106"/>
        <v>0</v>
      </c>
      <c r="IC65" s="152">
        <f t="shared" ca="1" si="106"/>
        <v>0</v>
      </c>
      <c r="ID65" s="152">
        <f t="shared" ca="1" si="106"/>
        <v>0</v>
      </c>
      <c r="IE65" s="152">
        <f t="shared" ca="1" si="106"/>
        <v>0</v>
      </c>
      <c r="IF65" s="152">
        <f t="shared" ca="1" si="106"/>
        <v>0</v>
      </c>
      <c r="IG65" s="152">
        <f t="shared" ca="1" si="106"/>
        <v>0</v>
      </c>
      <c r="IH65" s="152">
        <f t="shared" ca="1" si="106"/>
        <v>0</v>
      </c>
      <c r="II65" s="152">
        <f t="shared" ca="1" si="106"/>
        <v>0</v>
      </c>
      <c r="IJ65" s="152">
        <f t="shared" ca="1" si="106"/>
        <v>0</v>
      </c>
      <c r="IK65" s="152">
        <f t="shared" ca="1" si="106"/>
        <v>0</v>
      </c>
      <c r="IL65" s="152">
        <f t="shared" ca="1" si="106"/>
        <v>0</v>
      </c>
      <c r="IM65" s="152">
        <f t="shared" ca="1" si="108"/>
        <v>0</v>
      </c>
      <c r="IN65" s="152">
        <f t="shared" ca="1" si="108"/>
        <v>0</v>
      </c>
      <c r="IO65" s="152">
        <f t="shared" ca="1" si="108"/>
        <v>0</v>
      </c>
      <c r="IP65" s="152">
        <f t="shared" ca="1" si="108"/>
        <v>0</v>
      </c>
      <c r="IQ65" s="152">
        <f t="shared" ca="1" si="108"/>
        <v>0</v>
      </c>
      <c r="IR65" s="152">
        <f t="shared" ca="1" si="108"/>
        <v>0</v>
      </c>
      <c r="IS65" s="152">
        <f t="shared" ca="1" si="108"/>
        <v>0</v>
      </c>
      <c r="IT65" s="152">
        <f t="shared" ca="1" si="108"/>
        <v>0</v>
      </c>
      <c r="IU65" s="152">
        <f t="shared" ca="1" si="108"/>
        <v>0</v>
      </c>
      <c r="IV65" s="152">
        <f t="shared" ca="1" si="108"/>
        <v>0</v>
      </c>
      <c r="IW65" s="152">
        <f t="shared" ca="1" si="109"/>
        <v>0</v>
      </c>
      <c r="IX65" s="152">
        <f t="shared" ca="1" si="109"/>
        <v>0</v>
      </c>
      <c r="IY65" s="152">
        <f t="shared" ca="1" si="109"/>
        <v>0</v>
      </c>
      <c r="IZ65" s="152">
        <f t="shared" ca="1" si="109"/>
        <v>0</v>
      </c>
      <c r="JA65" s="152">
        <f t="shared" ca="1" si="109"/>
        <v>0</v>
      </c>
      <c r="JB65" s="152">
        <f t="shared" ca="1" si="109"/>
        <v>0</v>
      </c>
      <c r="JC65" s="152">
        <f t="shared" ca="1" si="109"/>
        <v>0</v>
      </c>
      <c r="JD65" s="604"/>
    </row>
    <row r="66" spans="1:264" ht="12.75" customHeight="1" x14ac:dyDescent="0.25">
      <c r="A66" s="279"/>
      <c r="B66" s="41"/>
      <c r="C66" s="82"/>
      <c r="D66" s="41"/>
      <c r="E66" s="9"/>
      <c r="F66" s="9"/>
      <c r="G66" s="9"/>
      <c r="H66" s="10"/>
      <c r="I66" s="10"/>
      <c r="J66" s="10"/>
      <c r="K66" s="10"/>
      <c r="L66" s="10"/>
      <c r="M66" s="10"/>
      <c r="N66" s="9"/>
      <c r="O66" s="9"/>
      <c r="P66" s="44"/>
      <c r="Q66" s="44"/>
      <c r="R66" s="9"/>
      <c r="S66" s="9"/>
      <c r="T66" s="9"/>
      <c r="U66" s="9"/>
      <c r="V66" s="9"/>
      <c r="W66" s="9"/>
      <c r="X66" s="9"/>
      <c r="Y66" s="9"/>
      <c r="Z66" s="9"/>
      <c r="AA66" s="9"/>
      <c r="AB66" s="9"/>
      <c r="AC66" s="9"/>
      <c r="AD66" s="650">
        <f t="shared" si="64"/>
        <v>94</v>
      </c>
      <c r="AE66" s="654">
        <f ca="1">OFFSET('2 Staff List'!$IB$64,AJ66-1,0)</f>
        <v>0</v>
      </c>
      <c r="AF66" s="654">
        <f t="shared" si="65"/>
        <v>173.92857142857142</v>
      </c>
      <c r="AG66" s="9"/>
      <c r="AH66" s="654">
        <f t="shared" si="66"/>
        <v>239.15178571428569</v>
      </c>
      <c r="AI66" s="654">
        <f t="shared" si="67"/>
        <v>31</v>
      </c>
      <c r="AJ66" s="654">
        <f ca="1">OFFSET('2 Staff List'!$GU$64,AI66-1,0)</f>
        <v>31</v>
      </c>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1280">
        <f ca="1">OFFSET('2 Staff List'!$HW$64,AJ66-1,0)</f>
        <v>0</v>
      </c>
      <c r="DZ66" s="1281">
        <f ca="1">OFFSET('2 Staff List'!$HZ$64,AJ66-1,0)</f>
        <v>0</v>
      </c>
      <c r="EA66" s="3669">
        <f ca="1">OFFSET('2 Staff List'!$IA$64,AJ66-1,0)</f>
        <v>0</v>
      </c>
      <c r="EB66" s="3670"/>
      <c r="EC66" s="3673">
        <f t="shared" ca="1" si="68"/>
        <v>0</v>
      </c>
      <c r="ED66" s="3674"/>
      <c r="EE66" s="3675"/>
      <c r="EF66" s="3676"/>
      <c r="EG66" s="154">
        <f t="shared" ca="1" si="110"/>
        <v>0</v>
      </c>
      <c r="EH66" s="152">
        <f t="shared" ca="1" si="110"/>
        <v>0</v>
      </c>
      <c r="EI66" s="152">
        <f t="shared" ca="1" si="110"/>
        <v>0</v>
      </c>
      <c r="EJ66" s="152">
        <f t="shared" ca="1" si="110"/>
        <v>0</v>
      </c>
      <c r="EK66" s="152">
        <f t="shared" ca="1" si="110"/>
        <v>0</v>
      </c>
      <c r="EL66" s="152">
        <f t="shared" ca="1" si="110"/>
        <v>0</v>
      </c>
      <c r="EM66" s="152">
        <f t="shared" ca="1" si="110"/>
        <v>0</v>
      </c>
      <c r="EN66" s="152">
        <f t="shared" ca="1" si="110"/>
        <v>0</v>
      </c>
      <c r="EO66" s="152">
        <f t="shared" ca="1" si="110"/>
        <v>0</v>
      </c>
      <c r="EP66" s="152">
        <f t="shared" ca="1" si="110"/>
        <v>0</v>
      </c>
      <c r="EQ66" s="152">
        <f t="shared" ca="1" si="111"/>
        <v>0</v>
      </c>
      <c r="ER66" s="152">
        <f t="shared" ca="1" si="111"/>
        <v>0</v>
      </c>
      <c r="ES66" s="152">
        <f t="shared" ca="1" si="111"/>
        <v>0</v>
      </c>
      <c r="ET66" s="152">
        <f t="shared" ca="1" si="111"/>
        <v>0</v>
      </c>
      <c r="EU66" s="152">
        <f t="shared" ca="1" si="111"/>
        <v>0</v>
      </c>
      <c r="EV66" s="152">
        <f t="shared" ca="1" si="111"/>
        <v>0</v>
      </c>
      <c r="EW66" s="152">
        <f t="shared" ca="1" si="111"/>
        <v>0</v>
      </c>
      <c r="EX66" s="152">
        <f t="shared" ca="1" si="83"/>
        <v>0</v>
      </c>
      <c r="EY66" s="152">
        <f t="shared" ref="EY66:FH75" ca="1" si="112">IFERROR(SUMIFS(EY$129:EY$305,$DF$129:$DF$305,1,$DY$129:$DY$305,$EA66)*EY$17,0)</f>
        <v>0</v>
      </c>
      <c r="EZ66" s="152">
        <f t="shared" ca="1" si="112"/>
        <v>0</v>
      </c>
      <c r="FA66" s="152">
        <f t="shared" ca="1" si="112"/>
        <v>0</v>
      </c>
      <c r="FB66" s="152">
        <f t="shared" ca="1" si="112"/>
        <v>0</v>
      </c>
      <c r="FC66" s="152">
        <f t="shared" ca="1" si="112"/>
        <v>0</v>
      </c>
      <c r="FD66" s="152">
        <f t="shared" ca="1" si="112"/>
        <v>0</v>
      </c>
      <c r="FE66" s="152">
        <f t="shared" ca="1" si="112"/>
        <v>0</v>
      </c>
      <c r="FF66" s="152">
        <f t="shared" ca="1" si="112"/>
        <v>0</v>
      </c>
      <c r="FG66" s="152">
        <f t="shared" ca="1" si="112"/>
        <v>0</v>
      </c>
      <c r="FH66" s="152">
        <f t="shared" ca="1" si="112"/>
        <v>0</v>
      </c>
      <c r="FI66" s="152">
        <f t="shared" ref="FI66:FR75" ca="1" si="113">IFERROR(SUMIFS(FI$129:FI$305,$DF$129:$DF$305,1,$DY$129:$DY$305,$EA66)*FI$17,0)</f>
        <v>0</v>
      </c>
      <c r="FJ66" s="152">
        <f t="shared" ca="1" si="113"/>
        <v>0</v>
      </c>
      <c r="FK66" s="152">
        <f t="shared" ca="1" si="113"/>
        <v>0</v>
      </c>
      <c r="FL66" s="152">
        <f t="shared" ca="1" si="113"/>
        <v>0</v>
      </c>
      <c r="FM66" s="152">
        <f t="shared" ca="1" si="113"/>
        <v>0</v>
      </c>
      <c r="FN66" s="152">
        <f t="shared" ca="1" si="113"/>
        <v>0</v>
      </c>
      <c r="FO66" s="152">
        <f t="shared" ca="1" si="113"/>
        <v>0</v>
      </c>
      <c r="FP66" s="152">
        <f t="shared" ca="1" si="113"/>
        <v>0</v>
      </c>
      <c r="FQ66" s="152">
        <f t="shared" ca="1" si="113"/>
        <v>0</v>
      </c>
      <c r="FR66" s="152">
        <f t="shared" ca="1" si="113"/>
        <v>0</v>
      </c>
      <c r="FS66" s="152">
        <f t="shared" ref="FS66:GB75" ca="1" si="114">IFERROR(SUMIFS(FS$129:FS$305,$DF$129:$DF$305,1,$DY$129:$DY$305,$EA66)*FS$17,0)</f>
        <v>0</v>
      </c>
      <c r="FT66" s="152">
        <f t="shared" ca="1" si="114"/>
        <v>0</v>
      </c>
      <c r="FU66" s="152">
        <f t="shared" ca="1" si="114"/>
        <v>0</v>
      </c>
      <c r="FV66" s="152">
        <f t="shared" ca="1" si="114"/>
        <v>0</v>
      </c>
      <c r="FW66" s="152">
        <f t="shared" ca="1" si="114"/>
        <v>0</v>
      </c>
      <c r="FX66" s="152">
        <f t="shared" ca="1" si="114"/>
        <v>0</v>
      </c>
      <c r="FY66" s="152">
        <f t="shared" ca="1" si="114"/>
        <v>0</v>
      </c>
      <c r="FZ66" s="152">
        <f t="shared" ca="1" si="114"/>
        <v>0</v>
      </c>
      <c r="GA66" s="152">
        <f t="shared" ca="1" si="114"/>
        <v>0</v>
      </c>
      <c r="GB66" s="152">
        <f t="shared" ca="1" si="114"/>
        <v>0</v>
      </c>
      <c r="GC66" s="152">
        <f t="shared" ref="GC66:GL75" ca="1" si="115">IFERROR(SUMIFS(GC$129:GC$305,$DF$129:$DF$305,1,$DY$129:$DY$305,$EA66)*GC$17,0)</f>
        <v>0</v>
      </c>
      <c r="GD66" s="152">
        <f t="shared" ca="1" si="115"/>
        <v>0</v>
      </c>
      <c r="GE66" s="152">
        <f t="shared" ca="1" si="115"/>
        <v>0</v>
      </c>
      <c r="GF66" s="152">
        <f t="shared" ca="1" si="115"/>
        <v>0</v>
      </c>
      <c r="GG66" s="152">
        <f t="shared" ca="1" si="115"/>
        <v>0</v>
      </c>
      <c r="GH66" s="152">
        <f t="shared" ca="1" si="115"/>
        <v>0</v>
      </c>
      <c r="GI66" s="152">
        <f t="shared" ca="1" si="115"/>
        <v>0</v>
      </c>
      <c r="GJ66" s="152">
        <f t="shared" ca="1" si="115"/>
        <v>0</v>
      </c>
      <c r="GK66" s="152">
        <f t="shared" ca="1" si="115"/>
        <v>0</v>
      </c>
      <c r="GL66" s="152">
        <f t="shared" ca="1" si="115"/>
        <v>0</v>
      </c>
      <c r="GM66" s="152">
        <f t="shared" ref="GM66:GV75" ca="1" si="116">IFERROR(SUMIFS(GM$129:GM$305,$DF$129:$DF$305,1,$DY$129:$DY$305,$EA66)*GM$17,0)</f>
        <v>0</v>
      </c>
      <c r="GN66" s="152">
        <f t="shared" ca="1" si="116"/>
        <v>0</v>
      </c>
      <c r="GO66" s="152">
        <f t="shared" ca="1" si="116"/>
        <v>0</v>
      </c>
      <c r="GP66" s="152">
        <f t="shared" ca="1" si="116"/>
        <v>0</v>
      </c>
      <c r="GQ66" s="152">
        <f t="shared" ca="1" si="116"/>
        <v>0</v>
      </c>
      <c r="GR66" s="152">
        <f t="shared" ca="1" si="116"/>
        <v>0</v>
      </c>
      <c r="GS66" s="152">
        <f t="shared" ca="1" si="116"/>
        <v>0</v>
      </c>
      <c r="GT66" s="152">
        <f t="shared" ca="1" si="116"/>
        <v>0</v>
      </c>
      <c r="GU66" s="152">
        <f t="shared" ca="1" si="116"/>
        <v>0</v>
      </c>
      <c r="GV66" s="152">
        <f t="shared" ca="1" si="116"/>
        <v>0</v>
      </c>
      <c r="GW66" s="152">
        <f t="shared" ref="GW66:HF75" ca="1" si="117">IFERROR(SUMIFS(GW$129:GW$305,$DF$129:$DF$305,1,$DY$129:$DY$305,$EA66)*GW$17,0)</f>
        <v>0</v>
      </c>
      <c r="GX66" s="152">
        <f t="shared" ca="1" si="117"/>
        <v>0</v>
      </c>
      <c r="GY66" s="152">
        <f t="shared" ca="1" si="117"/>
        <v>0</v>
      </c>
      <c r="GZ66" s="152">
        <f t="shared" ca="1" si="117"/>
        <v>0</v>
      </c>
      <c r="HA66" s="152">
        <f t="shared" ca="1" si="117"/>
        <v>0</v>
      </c>
      <c r="HB66" s="152">
        <f t="shared" ca="1" si="117"/>
        <v>0</v>
      </c>
      <c r="HC66" s="152">
        <f t="shared" ca="1" si="117"/>
        <v>0</v>
      </c>
      <c r="HD66" s="152">
        <f t="shared" ca="1" si="117"/>
        <v>0</v>
      </c>
      <c r="HE66" s="152">
        <f t="shared" ca="1" si="117"/>
        <v>0</v>
      </c>
      <c r="HF66" s="152">
        <f t="shared" ca="1" si="117"/>
        <v>0</v>
      </c>
      <c r="HG66" s="152">
        <f t="shared" ref="HG66:HP75" ca="1" si="118">IFERROR(SUMIFS(HG$129:HG$305,$DF$129:$DF$305,1,$DY$129:$DY$305,$EA66)*HG$17,0)</f>
        <v>0</v>
      </c>
      <c r="HH66" s="152">
        <f t="shared" ca="1" si="118"/>
        <v>0</v>
      </c>
      <c r="HI66" s="152">
        <f t="shared" ca="1" si="118"/>
        <v>0</v>
      </c>
      <c r="HJ66" s="152">
        <f t="shared" ca="1" si="118"/>
        <v>0</v>
      </c>
      <c r="HK66" s="152">
        <f t="shared" ca="1" si="118"/>
        <v>0</v>
      </c>
      <c r="HL66" s="152">
        <f t="shared" ca="1" si="118"/>
        <v>0</v>
      </c>
      <c r="HM66" s="152">
        <f t="shared" ca="1" si="118"/>
        <v>0</v>
      </c>
      <c r="HN66" s="152">
        <f t="shared" ca="1" si="118"/>
        <v>0</v>
      </c>
      <c r="HO66" s="152">
        <f t="shared" ca="1" si="118"/>
        <v>0</v>
      </c>
      <c r="HP66" s="152">
        <f t="shared" ca="1" si="118"/>
        <v>0</v>
      </c>
      <c r="HQ66" s="152">
        <f t="shared" ref="HQ66:HZ75" ca="1" si="119">IFERROR(SUMIFS(HQ$129:HQ$305,$DF$129:$DF$305,1,$DY$129:$DY$305,$EA66)*HQ$17,0)</f>
        <v>0</v>
      </c>
      <c r="HR66" s="152">
        <f t="shared" ca="1" si="119"/>
        <v>0</v>
      </c>
      <c r="HS66" s="152">
        <f t="shared" ca="1" si="119"/>
        <v>0</v>
      </c>
      <c r="HT66" s="152">
        <f t="shared" ca="1" si="119"/>
        <v>0</v>
      </c>
      <c r="HU66" s="152">
        <f t="shared" ca="1" si="119"/>
        <v>0</v>
      </c>
      <c r="HV66" s="152">
        <f t="shared" ca="1" si="119"/>
        <v>0</v>
      </c>
      <c r="HW66" s="152">
        <f t="shared" ca="1" si="119"/>
        <v>0</v>
      </c>
      <c r="HX66" s="152">
        <f t="shared" ca="1" si="119"/>
        <v>0</v>
      </c>
      <c r="HY66" s="152">
        <f t="shared" ca="1" si="119"/>
        <v>0</v>
      </c>
      <c r="HZ66" s="152">
        <f t="shared" ca="1" si="119"/>
        <v>0</v>
      </c>
      <c r="IA66" s="152">
        <f t="shared" ref="IA66:IL75" ca="1" si="120">IFERROR(SUMIFS(IA$129:IA$305,$DF$129:$DF$305,1,$DY$129:$DY$305,$EA66)*IA$17,0)</f>
        <v>0</v>
      </c>
      <c r="IB66" s="152">
        <f t="shared" ca="1" si="120"/>
        <v>0</v>
      </c>
      <c r="IC66" s="152">
        <f t="shared" ca="1" si="120"/>
        <v>0</v>
      </c>
      <c r="ID66" s="152">
        <f t="shared" ca="1" si="120"/>
        <v>0</v>
      </c>
      <c r="IE66" s="152">
        <f t="shared" ca="1" si="120"/>
        <v>0</v>
      </c>
      <c r="IF66" s="152">
        <f t="shared" ca="1" si="120"/>
        <v>0</v>
      </c>
      <c r="IG66" s="152">
        <f t="shared" ca="1" si="120"/>
        <v>0</v>
      </c>
      <c r="IH66" s="152">
        <f t="shared" ca="1" si="120"/>
        <v>0</v>
      </c>
      <c r="II66" s="152">
        <f t="shared" ca="1" si="120"/>
        <v>0</v>
      </c>
      <c r="IJ66" s="152">
        <f t="shared" ca="1" si="120"/>
        <v>0</v>
      </c>
      <c r="IK66" s="152">
        <f t="shared" ca="1" si="120"/>
        <v>0</v>
      </c>
      <c r="IL66" s="152">
        <f t="shared" ca="1" si="120"/>
        <v>0</v>
      </c>
      <c r="IM66" s="152">
        <f t="shared" ca="1" si="108"/>
        <v>0</v>
      </c>
      <c r="IN66" s="152">
        <f t="shared" ca="1" si="108"/>
        <v>0</v>
      </c>
      <c r="IO66" s="152">
        <f t="shared" ca="1" si="108"/>
        <v>0</v>
      </c>
      <c r="IP66" s="152">
        <f t="shared" ca="1" si="108"/>
        <v>0</v>
      </c>
      <c r="IQ66" s="152">
        <f t="shared" ca="1" si="108"/>
        <v>0</v>
      </c>
      <c r="IR66" s="152">
        <f t="shared" ca="1" si="108"/>
        <v>0</v>
      </c>
      <c r="IS66" s="152">
        <f t="shared" ca="1" si="108"/>
        <v>0</v>
      </c>
      <c r="IT66" s="152">
        <f t="shared" ca="1" si="108"/>
        <v>0</v>
      </c>
      <c r="IU66" s="152">
        <f t="shared" ca="1" si="108"/>
        <v>0</v>
      </c>
      <c r="IV66" s="152">
        <f t="shared" ca="1" si="108"/>
        <v>0</v>
      </c>
      <c r="IW66" s="152">
        <f t="shared" ca="1" si="109"/>
        <v>0</v>
      </c>
      <c r="IX66" s="152">
        <f t="shared" ca="1" si="109"/>
        <v>0</v>
      </c>
      <c r="IY66" s="152">
        <f t="shared" ca="1" si="109"/>
        <v>0</v>
      </c>
      <c r="IZ66" s="152">
        <f t="shared" ca="1" si="109"/>
        <v>0</v>
      </c>
      <c r="JA66" s="152">
        <f t="shared" ca="1" si="109"/>
        <v>0</v>
      </c>
      <c r="JB66" s="152">
        <f t="shared" ca="1" si="109"/>
        <v>0</v>
      </c>
      <c r="JC66" s="152">
        <f t="shared" ca="1" si="109"/>
        <v>0</v>
      </c>
      <c r="JD66" s="604"/>
    </row>
    <row r="67" spans="1:264" ht="12.75" customHeight="1" x14ac:dyDescent="0.25">
      <c r="A67" s="279"/>
      <c r="B67" s="41"/>
      <c r="C67" s="82"/>
      <c r="D67" s="41"/>
      <c r="E67" s="9"/>
      <c r="F67" s="9"/>
      <c r="G67" s="9"/>
      <c r="H67" s="10"/>
      <c r="I67" s="10"/>
      <c r="J67" s="10"/>
      <c r="K67" s="10"/>
      <c r="L67" s="10"/>
      <c r="M67" s="10"/>
      <c r="N67" s="9"/>
      <c r="O67" s="9"/>
      <c r="P67" s="44"/>
      <c r="Q67" s="44"/>
      <c r="R67" s="9"/>
      <c r="S67" s="9"/>
      <c r="T67" s="9"/>
      <c r="U67" s="9"/>
      <c r="V67" s="9"/>
      <c r="W67" s="9"/>
      <c r="X67" s="9"/>
      <c r="Y67" s="9"/>
      <c r="Z67" s="9"/>
      <c r="AA67" s="9"/>
      <c r="AB67" s="9"/>
      <c r="AC67" s="9"/>
      <c r="AD67" s="650">
        <f t="shared" si="64"/>
        <v>93</v>
      </c>
      <c r="AE67" s="654">
        <f ca="1">OFFSET('2 Staff List'!$IB$64,AJ67-1,0)</f>
        <v>0</v>
      </c>
      <c r="AF67" s="654">
        <f t="shared" si="65"/>
        <v>173.92857142857142</v>
      </c>
      <c r="AG67" s="9"/>
      <c r="AH67" s="654">
        <f t="shared" si="66"/>
        <v>239.15178571428569</v>
      </c>
      <c r="AI67" s="654">
        <f t="shared" si="67"/>
        <v>30</v>
      </c>
      <c r="AJ67" s="654">
        <f ca="1">OFFSET('2 Staff List'!$GU$64,AI67-1,0)</f>
        <v>30</v>
      </c>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1280">
        <f ca="1">OFFSET('2 Staff List'!$HW$64,AJ67-1,0)</f>
        <v>0</v>
      </c>
      <c r="DZ67" s="1281">
        <f ca="1">OFFSET('2 Staff List'!$HZ$64,AJ67-1,0)</f>
        <v>0</v>
      </c>
      <c r="EA67" s="3669">
        <f ca="1">OFFSET('2 Staff List'!$IA$64,AJ67-1,0)</f>
        <v>0</v>
      </c>
      <c r="EB67" s="3670"/>
      <c r="EC67" s="3673">
        <f t="shared" ca="1" si="68"/>
        <v>0</v>
      </c>
      <c r="ED67" s="3674"/>
      <c r="EE67" s="3675"/>
      <c r="EF67" s="3676"/>
      <c r="EG67" s="154">
        <f t="shared" ca="1" si="110"/>
        <v>0</v>
      </c>
      <c r="EH67" s="152">
        <f t="shared" ca="1" si="110"/>
        <v>0</v>
      </c>
      <c r="EI67" s="152">
        <f t="shared" ca="1" si="110"/>
        <v>0</v>
      </c>
      <c r="EJ67" s="152">
        <f t="shared" ca="1" si="110"/>
        <v>0</v>
      </c>
      <c r="EK67" s="152">
        <f t="shared" ca="1" si="110"/>
        <v>0</v>
      </c>
      <c r="EL67" s="152">
        <f t="shared" ca="1" si="110"/>
        <v>0</v>
      </c>
      <c r="EM67" s="152">
        <f t="shared" ca="1" si="110"/>
        <v>0</v>
      </c>
      <c r="EN67" s="152">
        <f t="shared" ca="1" si="110"/>
        <v>0</v>
      </c>
      <c r="EO67" s="152">
        <f t="shared" ca="1" si="110"/>
        <v>0</v>
      </c>
      <c r="EP67" s="152">
        <f t="shared" ca="1" si="110"/>
        <v>0</v>
      </c>
      <c r="EQ67" s="152">
        <f t="shared" ca="1" si="111"/>
        <v>0</v>
      </c>
      <c r="ER67" s="152">
        <f t="shared" ca="1" si="111"/>
        <v>0</v>
      </c>
      <c r="ES67" s="152">
        <f t="shared" ca="1" si="111"/>
        <v>0</v>
      </c>
      <c r="ET67" s="152">
        <f t="shared" ca="1" si="111"/>
        <v>0</v>
      </c>
      <c r="EU67" s="152">
        <f t="shared" ca="1" si="111"/>
        <v>0</v>
      </c>
      <c r="EV67" s="152">
        <f t="shared" ca="1" si="111"/>
        <v>0</v>
      </c>
      <c r="EW67" s="152">
        <f t="shared" ca="1" si="111"/>
        <v>0</v>
      </c>
      <c r="EX67" s="152">
        <f t="shared" ca="1" si="83"/>
        <v>0</v>
      </c>
      <c r="EY67" s="152">
        <f t="shared" ca="1" si="112"/>
        <v>0</v>
      </c>
      <c r="EZ67" s="152">
        <f t="shared" ca="1" si="112"/>
        <v>0</v>
      </c>
      <c r="FA67" s="152">
        <f t="shared" ca="1" si="112"/>
        <v>0</v>
      </c>
      <c r="FB67" s="152">
        <f t="shared" ca="1" si="112"/>
        <v>0</v>
      </c>
      <c r="FC67" s="152">
        <f t="shared" ca="1" si="112"/>
        <v>0</v>
      </c>
      <c r="FD67" s="152">
        <f t="shared" ca="1" si="112"/>
        <v>0</v>
      </c>
      <c r="FE67" s="152">
        <f t="shared" ca="1" si="112"/>
        <v>0</v>
      </c>
      <c r="FF67" s="152">
        <f t="shared" ca="1" si="112"/>
        <v>0</v>
      </c>
      <c r="FG67" s="152">
        <f t="shared" ca="1" si="112"/>
        <v>0</v>
      </c>
      <c r="FH67" s="152">
        <f t="shared" ca="1" si="112"/>
        <v>0</v>
      </c>
      <c r="FI67" s="152">
        <f t="shared" ca="1" si="113"/>
        <v>0</v>
      </c>
      <c r="FJ67" s="152">
        <f t="shared" ca="1" si="113"/>
        <v>0</v>
      </c>
      <c r="FK67" s="152">
        <f t="shared" ca="1" si="113"/>
        <v>0</v>
      </c>
      <c r="FL67" s="152">
        <f t="shared" ca="1" si="113"/>
        <v>0</v>
      </c>
      <c r="FM67" s="152">
        <f t="shared" ca="1" si="113"/>
        <v>0</v>
      </c>
      <c r="FN67" s="152">
        <f t="shared" ca="1" si="113"/>
        <v>0</v>
      </c>
      <c r="FO67" s="152">
        <f t="shared" ca="1" si="113"/>
        <v>0</v>
      </c>
      <c r="FP67" s="152">
        <f t="shared" ca="1" si="113"/>
        <v>0</v>
      </c>
      <c r="FQ67" s="152">
        <f t="shared" ca="1" si="113"/>
        <v>0</v>
      </c>
      <c r="FR67" s="152">
        <f t="shared" ca="1" si="113"/>
        <v>0</v>
      </c>
      <c r="FS67" s="152">
        <f t="shared" ca="1" si="114"/>
        <v>0</v>
      </c>
      <c r="FT67" s="152">
        <f t="shared" ca="1" si="114"/>
        <v>0</v>
      </c>
      <c r="FU67" s="152">
        <f t="shared" ca="1" si="114"/>
        <v>0</v>
      </c>
      <c r="FV67" s="152">
        <f t="shared" ca="1" si="114"/>
        <v>0</v>
      </c>
      <c r="FW67" s="152">
        <f t="shared" ca="1" si="114"/>
        <v>0</v>
      </c>
      <c r="FX67" s="152">
        <f t="shared" ca="1" si="114"/>
        <v>0</v>
      </c>
      <c r="FY67" s="152">
        <f t="shared" ca="1" si="114"/>
        <v>0</v>
      </c>
      <c r="FZ67" s="152">
        <f t="shared" ca="1" si="114"/>
        <v>0</v>
      </c>
      <c r="GA67" s="152">
        <f t="shared" ca="1" si="114"/>
        <v>0</v>
      </c>
      <c r="GB67" s="152">
        <f t="shared" ca="1" si="114"/>
        <v>0</v>
      </c>
      <c r="GC67" s="152">
        <f t="shared" ca="1" si="115"/>
        <v>0</v>
      </c>
      <c r="GD67" s="152">
        <f t="shared" ca="1" si="115"/>
        <v>0</v>
      </c>
      <c r="GE67" s="152">
        <f t="shared" ca="1" si="115"/>
        <v>0</v>
      </c>
      <c r="GF67" s="152">
        <f t="shared" ca="1" si="115"/>
        <v>0</v>
      </c>
      <c r="GG67" s="152">
        <f t="shared" ca="1" si="115"/>
        <v>0</v>
      </c>
      <c r="GH67" s="152">
        <f t="shared" ca="1" si="115"/>
        <v>0</v>
      </c>
      <c r="GI67" s="152">
        <f t="shared" ca="1" si="115"/>
        <v>0</v>
      </c>
      <c r="GJ67" s="152">
        <f t="shared" ca="1" si="115"/>
        <v>0</v>
      </c>
      <c r="GK67" s="152">
        <f t="shared" ca="1" si="115"/>
        <v>0</v>
      </c>
      <c r="GL67" s="152">
        <f t="shared" ca="1" si="115"/>
        <v>0</v>
      </c>
      <c r="GM67" s="152">
        <f t="shared" ca="1" si="116"/>
        <v>0</v>
      </c>
      <c r="GN67" s="152">
        <f t="shared" ca="1" si="116"/>
        <v>0</v>
      </c>
      <c r="GO67" s="152">
        <f t="shared" ca="1" si="116"/>
        <v>0</v>
      </c>
      <c r="GP67" s="152">
        <f t="shared" ca="1" si="116"/>
        <v>0</v>
      </c>
      <c r="GQ67" s="152">
        <f t="shared" ca="1" si="116"/>
        <v>0</v>
      </c>
      <c r="GR67" s="152">
        <f t="shared" ca="1" si="116"/>
        <v>0</v>
      </c>
      <c r="GS67" s="152">
        <f t="shared" ca="1" si="116"/>
        <v>0</v>
      </c>
      <c r="GT67" s="152">
        <f t="shared" ca="1" si="116"/>
        <v>0</v>
      </c>
      <c r="GU67" s="152">
        <f t="shared" ca="1" si="116"/>
        <v>0</v>
      </c>
      <c r="GV67" s="152">
        <f t="shared" ca="1" si="116"/>
        <v>0</v>
      </c>
      <c r="GW67" s="152">
        <f t="shared" ca="1" si="117"/>
        <v>0</v>
      </c>
      <c r="GX67" s="152">
        <f t="shared" ca="1" si="117"/>
        <v>0</v>
      </c>
      <c r="GY67" s="152">
        <f t="shared" ca="1" si="117"/>
        <v>0</v>
      </c>
      <c r="GZ67" s="152">
        <f t="shared" ca="1" si="117"/>
        <v>0</v>
      </c>
      <c r="HA67" s="152">
        <f t="shared" ca="1" si="117"/>
        <v>0</v>
      </c>
      <c r="HB67" s="152">
        <f t="shared" ca="1" si="117"/>
        <v>0</v>
      </c>
      <c r="HC67" s="152">
        <f t="shared" ca="1" si="117"/>
        <v>0</v>
      </c>
      <c r="HD67" s="152">
        <f t="shared" ca="1" si="117"/>
        <v>0</v>
      </c>
      <c r="HE67" s="152">
        <f t="shared" ca="1" si="117"/>
        <v>0</v>
      </c>
      <c r="HF67" s="152">
        <f t="shared" ca="1" si="117"/>
        <v>0</v>
      </c>
      <c r="HG67" s="152">
        <f t="shared" ca="1" si="118"/>
        <v>0</v>
      </c>
      <c r="HH67" s="152">
        <f t="shared" ca="1" si="118"/>
        <v>0</v>
      </c>
      <c r="HI67" s="152">
        <f t="shared" ca="1" si="118"/>
        <v>0</v>
      </c>
      <c r="HJ67" s="152">
        <f t="shared" ca="1" si="118"/>
        <v>0</v>
      </c>
      <c r="HK67" s="152">
        <f t="shared" ca="1" si="118"/>
        <v>0</v>
      </c>
      <c r="HL67" s="152">
        <f t="shared" ca="1" si="118"/>
        <v>0</v>
      </c>
      <c r="HM67" s="152">
        <f t="shared" ca="1" si="118"/>
        <v>0</v>
      </c>
      <c r="HN67" s="152">
        <f t="shared" ca="1" si="118"/>
        <v>0</v>
      </c>
      <c r="HO67" s="152">
        <f t="shared" ca="1" si="118"/>
        <v>0</v>
      </c>
      <c r="HP67" s="152">
        <f t="shared" ca="1" si="118"/>
        <v>0</v>
      </c>
      <c r="HQ67" s="152">
        <f t="shared" ca="1" si="119"/>
        <v>0</v>
      </c>
      <c r="HR67" s="152">
        <f t="shared" ca="1" si="119"/>
        <v>0</v>
      </c>
      <c r="HS67" s="152">
        <f t="shared" ca="1" si="119"/>
        <v>0</v>
      </c>
      <c r="HT67" s="152">
        <f t="shared" ca="1" si="119"/>
        <v>0</v>
      </c>
      <c r="HU67" s="152">
        <f t="shared" ca="1" si="119"/>
        <v>0</v>
      </c>
      <c r="HV67" s="152">
        <f t="shared" ca="1" si="119"/>
        <v>0</v>
      </c>
      <c r="HW67" s="152">
        <f t="shared" ca="1" si="119"/>
        <v>0</v>
      </c>
      <c r="HX67" s="152">
        <f t="shared" ca="1" si="119"/>
        <v>0</v>
      </c>
      <c r="HY67" s="152">
        <f t="shared" ca="1" si="119"/>
        <v>0</v>
      </c>
      <c r="HZ67" s="152">
        <f t="shared" ca="1" si="119"/>
        <v>0</v>
      </c>
      <c r="IA67" s="152">
        <f t="shared" ca="1" si="120"/>
        <v>0</v>
      </c>
      <c r="IB67" s="152">
        <f t="shared" ca="1" si="120"/>
        <v>0</v>
      </c>
      <c r="IC67" s="152">
        <f t="shared" ca="1" si="120"/>
        <v>0</v>
      </c>
      <c r="ID67" s="152">
        <f t="shared" ca="1" si="120"/>
        <v>0</v>
      </c>
      <c r="IE67" s="152">
        <f t="shared" ca="1" si="120"/>
        <v>0</v>
      </c>
      <c r="IF67" s="152">
        <f t="shared" ca="1" si="120"/>
        <v>0</v>
      </c>
      <c r="IG67" s="152">
        <f t="shared" ca="1" si="120"/>
        <v>0</v>
      </c>
      <c r="IH67" s="152">
        <f t="shared" ca="1" si="120"/>
        <v>0</v>
      </c>
      <c r="II67" s="152">
        <f t="shared" ca="1" si="120"/>
        <v>0</v>
      </c>
      <c r="IJ67" s="152">
        <f t="shared" ca="1" si="120"/>
        <v>0</v>
      </c>
      <c r="IK67" s="152">
        <f t="shared" ca="1" si="120"/>
        <v>0</v>
      </c>
      <c r="IL67" s="152">
        <f t="shared" ca="1" si="120"/>
        <v>0</v>
      </c>
      <c r="IM67" s="152">
        <f t="shared" ref="IM67:IV76" ca="1" si="121">IFERROR(SUMIFS(IM$129:IM$305,$DF$129:$DF$305,1,$DY$129:$DY$305,$EA67)*IM$17,0)</f>
        <v>0</v>
      </c>
      <c r="IN67" s="152">
        <f t="shared" ca="1" si="121"/>
        <v>0</v>
      </c>
      <c r="IO67" s="152">
        <f t="shared" ca="1" si="121"/>
        <v>0</v>
      </c>
      <c r="IP67" s="152">
        <f t="shared" ca="1" si="121"/>
        <v>0</v>
      </c>
      <c r="IQ67" s="152">
        <f t="shared" ca="1" si="121"/>
        <v>0</v>
      </c>
      <c r="IR67" s="152">
        <f t="shared" ca="1" si="121"/>
        <v>0</v>
      </c>
      <c r="IS67" s="152">
        <f t="shared" ca="1" si="121"/>
        <v>0</v>
      </c>
      <c r="IT67" s="152">
        <f t="shared" ca="1" si="121"/>
        <v>0</v>
      </c>
      <c r="IU67" s="152">
        <f t="shared" ca="1" si="121"/>
        <v>0</v>
      </c>
      <c r="IV67" s="152">
        <f t="shared" ca="1" si="121"/>
        <v>0</v>
      </c>
      <c r="IW67" s="152">
        <f t="shared" ref="IW67:JC76" ca="1" si="122">IFERROR(SUMIFS(IW$129:IW$305,$DF$129:$DF$305,1,$DY$129:$DY$305,$EA67)*IW$17,0)</f>
        <v>0</v>
      </c>
      <c r="IX67" s="152">
        <f t="shared" ca="1" si="122"/>
        <v>0</v>
      </c>
      <c r="IY67" s="152">
        <f t="shared" ca="1" si="122"/>
        <v>0</v>
      </c>
      <c r="IZ67" s="152">
        <f t="shared" ca="1" si="122"/>
        <v>0</v>
      </c>
      <c r="JA67" s="152">
        <f t="shared" ca="1" si="122"/>
        <v>0</v>
      </c>
      <c r="JB67" s="152">
        <f t="shared" ca="1" si="122"/>
        <v>0</v>
      </c>
      <c r="JC67" s="152">
        <f t="shared" ca="1" si="122"/>
        <v>0</v>
      </c>
      <c r="JD67" s="604"/>
    </row>
    <row r="68" spans="1:264" ht="12.75" customHeight="1" x14ac:dyDescent="0.25">
      <c r="A68" s="279"/>
      <c r="B68" s="41"/>
      <c r="C68" s="82"/>
      <c r="D68" s="41"/>
      <c r="E68" s="9"/>
      <c r="F68" s="9"/>
      <c r="G68" s="9"/>
      <c r="H68" s="10"/>
      <c r="I68" s="10"/>
      <c r="J68" s="10"/>
      <c r="K68" s="10"/>
      <c r="L68" s="10"/>
      <c r="M68" s="10"/>
      <c r="N68" s="9"/>
      <c r="O68" s="9"/>
      <c r="P68" s="44"/>
      <c r="Q68" s="44"/>
      <c r="R68" s="9"/>
      <c r="S68" s="9"/>
      <c r="T68" s="9"/>
      <c r="U68" s="9"/>
      <c r="V68" s="9"/>
      <c r="W68" s="9"/>
      <c r="X68" s="9"/>
      <c r="Y68" s="9"/>
      <c r="Z68" s="9"/>
      <c r="AA68" s="9"/>
      <c r="AB68" s="9"/>
      <c r="AC68" s="9"/>
      <c r="AD68" s="650">
        <f t="shared" si="64"/>
        <v>92</v>
      </c>
      <c r="AE68" s="654">
        <f ca="1">OFFSET('2 Staff List'!$IB$64,AJ68-1,0)</f>
        <v>0</v>
      </c>
      <c r="AF68" s="654">
        <f t="shared" si="65"/>
        <v>173.92857142857142</v>
      </c>
      <c r="AG68" s="9"/>
      <c r="AH68" s="654">
        <f t="shared" si="66"/>
        <v>239.15178571428569</v>
      </c>
      <c r="AI68" s="654">
        <f t="shared" si="67"/>
        <v>29</v>
      </c>
      <c r="AJ68" s="654">
        <f ca="1">OFFSET('2 Staff List'!$GU$64,AI68-1,0)</f>
        <v>29</v>
      </c>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1280">
        <f ca="1">OFFSET('2 Staff List'!$HW$64,AJ68-1,0)</f>
        <v>0</v>
      </c>
      <c r="DZ68" s="1281">
        <f ca="1">OFFSET('2 Staff List'!$HZ$64,AJ68-1,0)</f>
        <v>0</v>
      </c>
      <c r="EA68" s="3669">
        <f ca="1">OFFSET('2 Staff List'!$IA$64,AJ68-1,0)</f>
        <v>0</v>
      </c>
      <c r="EB68" s="3670"/>
      <c r="EC68" s="3673">
        <f t="shared" ca="1" si="68"/>
        <v>0</v>
      </c>
      <c r="ED68" s="3674"/>
      <c r="EE68" s="3675"/>
      <c r="EF68" s="3676"/>
      <c r="EG68" s="154">
        <f t="shared" ca="1" si="110"/>
        <v>0</v>
      </c>
      <c r="EH68" s="152">
        <f t="shared" ca="1" si="110"/>
        <v>0</v>
      </c>
      <c r="EI68" s="152">
        <f t="shared" ca="1" si="110"/>
        <v>0</v>
      </c>
      <c r="EJ68" s="152">
        <f t="shared" ca="1" si="110"/>
        <v>0</v>
      </c>
      <c r="EK68" s="152">
        <f t="shared" ca="1" si="110"/>
        <v>0</v>
      </c>
      <c r="EL68" s="152">
        <f t="shared" ca="1" si="110"/>
        <v>0</v>
      </c>
      <c r="EM68" s="152">
        <f t="shared" ca="1" si="110"/>
        <v>0</v>
      </c>
      <c r="EN68" s="152">
        <f t="shared" ca="1" si="110"/>
        <v>0</v>
      </c>
      <c r="EO68" s="152">
        <f t="shared" ca="1" si="110"/>
        <v>0</v>
      </c>
      <c r="EP68" s="152">
        <f t="shared" ca="1" si="110"/>
        <v>0</v>
      </c>
      <c r="EQ68" s="152">
        <f t="shared" ca="1" si="111"/>
        <v>0</v>
      </c>
      <c r="ER68" s="152">
        <f t="shared" ca="1" si="111"/>
        <v>0</v>
      </c>
      <c r="ES68" s="152">
        <f t="shared" ca="1" si="111"/>
        <v>0</v>
      </c>
      <c r="ET68" s="152">
        <f t="shared" ca="1" si="111"/>
        <v>0</v>
      </c>
      <c r="EU68" s="152">
        <f t="shared" ca="1" si="111"/>
        <v>0</v>
      </c>
      <c r="EV68" s="152">
        <f t="shared" ca="1" si="111"/>
        <v>0</v>
      </c>
      <c r="EW68" s="152">
        <f t="shared" ca="1" si="111"/>
        <v>0</v>
      </c>
      <c r="EX68" s="152">
        <f t="shared" ca="1" si="83"/>
        <v>0</v>
      </c>
      <c r="EY68" s="152">
        <f t="shared" ca="1" si="112"/>
        <v>0</v>
      </c>
      <c r="EZ68" s="152">
        <f t="shared" ca="1" si="112"/>
        <v>0</v>
      </c>
      <c r="FA68" s="152">
        <f t="shared" ca="1" si="112"/>
        <v>0</v>
      </c>
      <c r="FB68" s="152">
        <f t="shared" ca="1" si="112"/>
        <v>0</v>
      </c>
      <c r="FC68" s="152">
        <f t="shared" ca="1" si="112"/>
        <v>0</v>
      </c>
      <c r="FD68" s="152">
        <f t="shared" ca="1" si="112"/>
        <v>0</v>
      </c>
      <c r="FE68" s="152">
        <f t="shared" ca="1" si="112"/>
        <v>0</v>
      </c>
      <c r="FF68" s="152">
        <f t="shared" ca="1" si="112"/>
        <v>0</v>
      </c>
      <c r="FG68" s="152">
        <f t="shared" ca="1" si="112"/>
        <v>0</v>
      </c>
      <c r="FH68" s="152">
        <f t="shared" ca="1" si="112"/>
        <v>0</v>
      </c>
      <c r="FI68" s="152">
        <f t="shared" ca="1" si="113"/>
        <v>0</v>
      </c>
      <c r="FJ68" s="152">
        <f t="shared" ca="1" si="113"/>
        <v>0</v>
      </c>
      <c r="FK68" s="152">
        <f t="shared" ca="1" si="113"/>
        <v>0</v>
      </c>
      <c r="FL68" s="152">
        <f t="shared" ca="1" si="113"/>
        <v>0</v>
      </c>
      <c r="FM68" s="152">
        <f t="shared" ca="1" si="113"/>
        <v>0</v>
      </c>
      <c r="FN68" s="152">
        <f t="shared" ca="1" si="113"/>
        <v>0</v>
      </c>
      <c r="FO68" s="152">
        <f t="shared" ca="1" si="113"/>
        <v>0</v>
      </c>
      <c r="FP68" s="152">
        <f t="shared" ca="1" si="113"/>
        <v>0</v>
      </c>
      <c r="FQ68" s="152">
        <f t="shared" ca="1" si="113"/>
        <v>0</v>
      </c>
      <c r="FR68" s="152">
        <f t="shared" ca="1" si="113"/>
        <v>0</v>
      </c>
      <c r="FS68" s="152">
        <f t="shared" ca="1" si="114"/>
        <v>0</v>
      </c>
      <c r="FT68" s="152">
        <f t="shared" ca="1" si="114"/>
        <v>0</v>
      </c>
      <c r="FU68" s="152">
        <f t="shared" ca="1" si="114"/>
        <v>0</v>
      </c>
      <c r="FV68" s="152">
        <f t="shared" ca="1" si="114"/>
        <v>0</v>
      </c>
      <c r="FW68" s="152">
        <f t="shared" ca="1" si="114"/>
        <v>0</v>
      </c>
      <c r="FX68" s="152">
        <f t="shared" ca="1" si="114"/>
        <v>0</v>
      </c>
      <c r="FY68" s="152">
        <f t="shared" ca="1" si="114"/>
        <v>0</v>
      </c>
      <c r="FZ68" s="152">
        <f t="shared" ca="1" si="114"/>
        <v>0</v>
      </c>
      <c r="GA68" s="152">
        <f t="shared" ca="1" si="114"/>
        <v>0</v>
      </c>
      <c r="GB68" s="152">
        <f t="shared" ca="1" si="114"/>
        <v>0</v>
      </c>
      <c r="GC68" s="152">
        <f t="shared" ca="1" si="115"/>
        <v>0</v>
      </c>
      <c r="GD68" s="152">
        <f t="shared" ca="1" si="115"/>
        <v>0</v>
      </c>
      <c r="GE68" s="152">
        <f t="shared" ca="1" si="115"/>
        <v>0</v>
      </c>
      <c r="GF68" s="152">
        <f t="shared" ca="1" si="115"/>
        <v>0</v>
      </c>
      <c r="GG68" s="152">
        <f t="shared" ca="1" si="115"/>
        <v>0</v>
      </c>
      <c r="GH68" s="152">
        <f t="shared" ca="1" si="115"/>
        <v>0</v>
      </c>
      <c r="GI68" s="152">
        <f t="shared" ca="1" si="115"/>
        <v>0</v>
      </c>
      <c r="GJ68" s="152">
        <f t="shared" ca="1" si="115"/>
        <v>0</v>
      </c>
      <c r="GK68" s="152">
        <f t="shared" ca="1" si="115"/>
        <v>0</v>
      </c>
      <c r="GL68" s="152">
        <f t="shared" ca="1" si="115"/>
        <v>0</v>
      </c>
      <c r="GM68" s="152">
        <f t="shared" ca="1" si="116"/>
        <v>0</v>
      </c>
      <c r="GN68" s="152">
        <f t="shared" ca="1" si="116"/>
        <v>0</v>
      </c>
      <c r="GO68" s="152">
        <f t="shared" ca="1" si="116"/>
        <v>0</v>
      </c>
      <c r="GP68" s="152">
        <f t="shared" ca="1" si="116"/>
        <v>0</v>
      </c>
      <c r="GQ68" s="152">
        <f t="shared" ca="1" si="116"/>
        <v>0</v>
      </c>
      <c r="GR68" s="152">
        <f t="shared" ca="1" si="116"/>
        <v>0</v>
      </c>
      <c r="GS68" s="152">
        <f t="shared" ca="1" si="116"/>
        <v>0</v>
      </c>
      <c r="GT68" s="152">
        <f t="shared" ca="1" si="116"/>
        <v>0</v>
      </c>
      <c r="GU68" s="152">
        <f t="shared" ca="1" si="116"/>
        <v>0</v>
      </c>
      <c r="GV68" s="152">
        <f t="shared" ca="1" si="116"/>
        <v>0</v>
      </c>
      <c r="GW68" s="152">
        <f t="shared" ca="1" si="117"/>
        <v>0</v>
      </c>
      <c r="GX68" s="152">
        <f t="shared" ca="1" si="117"/>
        <v>0</v>
      </c>
      <c r="GY68" s="152">
        <f t="shared" ca="1" si="117"/>
        <v>0</v>
      </c>
      <c r="GZ68" s="152">
        <f t="shared" ca="1" si="117"/>
        <v>0</v>
      </c>
      <c r="HA68" s="152">
        <f t="shared" ca="1" si="117"/>
        <v>0</v>
      </c>
      <c r="HB68" s="152">
        <f t="shared" ca="1" si="117"/>
        <v>0</v>
      </c>
      <c r="HC68" s="152">
        <f t="shared" ca="1" si="117"/>
        <v>0</v>
      </c>
      <c r="HD68" s="152">
        <f t="shared" ca="1" si="117"/>
        <v>0</v>
      </c>
      <c r="HE68" s="152">
        <f t="shared" ca="1" si="117"/>
        <v>0</v>
      </c>
      <c r="HF68" s="152">
        <f t="shared" ca="1" si="117"/>
        <v>0</v>
      </c>
      <c r="HG68" s="152">
        <f t="shared" ca="1" si="118"/>
        <v>0</v>
      </c>
      <c r="HH68" s="152">
        <f t="shared" ca="1" si="118"/>
        <v>0</v>
      </c>
      <c r="HI68" s="152">
        <f t="shared" ca="1" si="118"/>
        <v>0</v>
      </c>
      <c r="HJ68" s="152">
        <f t="shared" ca="1" si="118"/>
        <v>0</v>
      </c>
      <c r="HK68" s="152">
        <f t="shared" ca="1" si="118"/>
        <v>0</v>
      </c>
      <c r="HL68" s="152">
        <f t="shared" ca="1" si="118"/>
        <v>0</v>
      </c>
      <c r="HM68" s="152">
        <f t="shared" ca="1" si="118"/>
        <v>0</v>
      </c>
      <c r="HN68" s="152">
        <f t="shared" ca="1" si="118"/>
        <v>0</v>
      </c>
      <c r="HO68" s="152">
        <f t="shared" ca="1" si="118"/>
        <v>0</v>
      </c>
      <c r="HP68" s="152">
        <f t="shared" ca="1" si="118"/>
        <v>0</v>
      </c>
      <c r="HQ68" s="152">
        <f t="shared" ca="1" si="119"/>
        <v>0</v>
      </c>
      <c r="HR68" s="152">
        <f t="shared" ca="1" si="119"/>
        <v>0</v>
      </c>
      <c r="HS68" s="152">
        <f t="shared" ca="1" si="119"/>
        <v>0</v>
      </c>
      <c r="HT68" s="152">
        <f t="shared" ca="1" si="119"/>
        <v>0</v>
      </c>
      <c r="HU68" s="152">
        <f t="shared" ca="1" si="119"/>
        <v>0</v>
      </c>
      <c r="HV68" s="152">
        <f t="shared" ca="1" si="119"/>
        <v>0</v>
      </c>
      <c r="HW68" s="152">
        <f t="shared" ca="1" si="119"/>
        <v>0</v>
      </c>
      <c r="HX68" s="152">
        <f t="shared" ca="1" si="119"/>
        <v>0</v>
      </c>
      <c r="HY68" s="152">
        <f t="shared" ca="1" si="119"/>
        <v>0</v>
      </c>
      <c r="HZ68" s="152">
        <f t="shared" ca="1" si="119"/>
        <v>0</v>
      </c>
      <c r="IA68" s="152">
        <f t="shared" ca="1" si="120"/>
        <v>0</v>
      </c>
      <c r="IB68" s="152">
        <f t="shared" ca="1" si="120"/>
        <v>0</v>
      </c>
      <c r="IC68" s="152">
        <f t="shared" ca="1" si="120"/>
        <v>0</v>
      </c>
      <c r="ID68" s="152">
        <f t="shared" ca="1" si="120"/>
        <v>0</v>
      </c>
      <c r="IE68" s="152">
        <f t="shared" ca="1" si="120"/>
        <v>0</v>
      </c>
      <c r="IF68" s="152">
        <f t="shared" ca="1" si="120"/>
        <v>0</v>
      </c>
      <c r="IG68" s="152">
        <f t="shared" ca="1" si="120"/>
        <v>0</v>
      </c>
      <c r="IH68" s="152">
        <f t="shared" ca="1" si="120"/>
        <v>0</v>
      </c>
      <c r="II68" s="152">
        <f t="shared" ca="1" si="120"/>
        <v>0</v>
      </c>
      <c r="IJ68" s="152">
        <f t="shared" ca="1" si="120"/>
        <v>0</v>
      </c>
      <c r="IK68" s="152">
        <f t="shared" ca="1" si="120"/>
        <v>0</v>
      </c>
      <c r="IL68" s="152">
        <f t="shared" ca="1" si="120"/>
        <v>0</v>
      </c>
      <c r="IM68" s="152">
        <f t="shared" ca="1" si="121"/>
        <v>0</v>
      </c>
      <c r="IN68" s="152">
        <f t="shared" ca="1" si="121"/>
        <v>0</v>
      </c>
      <c r="IO68" s="152">
        <f t="shared" ca="1" si="121"/>
        <v>0</v>
      </c>
      <c r="IP68" s="152">
        <f t="shared" ca="1" si="121"/>
        <v>0</v>
      </c>
      <c r="IQ68" s="152">
        <f t="shared" ca="1" si="121"/>
        <v>0</v>
      </c>
      <c r="IR68" s="152">
        <f t="shared" ca="1" si="121"/>
        <v>0</v>
      </c>
      <c r="IS68" s="152">
        <f t="shared" ca="1" si="121"/>
        <v>0</v>
      </c>
      <c r="IT68" s="152">
        <f t="shared" ca="1" si="121"/>
        <v>0</v>
      </c>
      <c r="IU68" s="152">
        <f t="shared" ca="1" si="121"/>
        <v>0</v>
      </c>
      <c r="IV68" s="152">
        <f t="shared" ca="1" si="121"/>
        <v>0</v>
      </c>
      <c r="IW68" s="152">
        <f t="shared" ca="1" si="122"/>
        <v>0</v>
      </c>
      <c r="IX68" s="152">
        <f t="shared" ca="1" si="122"/>
        <v>0</v>
      </c>
      <c r="IY68" s="152">
        <f t="shared" ca="1" si="122"/>
        <v>0</v>
      </c>
      <c r="IZ68" s="152">
        <f t="shared" ca="1" si="122"/>
        <v>0</v>
      </c>
      <c r="JA68" s="152">
        <f t="shared" ca="1" si="122"/>
        <v>0</v>
      </c>
      <c r="JB68" s="152">
        <f t="shared" ca="1" si="122"/>
        <v>0</v>
      </c>
      <c r="JC68" s="152">
        <f t="shared" ca="1" si="122"/>
        <v>0</v>
      </c>
      <c r="JD68" s="604"/>
    </row>
    <row r="69" spans="1:264" ht="12.75" customHeight="1" x14ac:dyDescent="0.25">
      <c r="A69" s="279"/>
      <c r="B69" s="41"/>
      <c r="C69" s="82"/>
      <c r="D69" s="41"/>
      <c r="E69" s="9"/>
      <c r="F69" s="9"/>
      <c r="G69" s="9"/>
      <c r="H69" s="10"/>
      <c r="I69" s="10"/>
      <c r="J69" s="10"/>
      <c r="K69" s="10"/>
      <c r="L69" s="10"/>
      <c r="M69" s="10"/>
      <c r="N69" s="9"/>
      <c r="O69" s="9"/>
      <c r="P69" s="44"/>
      <c r="Q69" s="44"/>
      <c r="R69" s="9"/>
      <c r="S69" s="9"/>
      <c r="T69" s="9"/>
      <c r="U69" s="9"/>
      <c r="V69" s="9"/>
      <c r="W69" s="9"/>
      <c r="X69" s="9"/>
      <c r="Y69" s="9"/>
      <c r="Z69" s="9"/>
      <c r="AA69" s="9"/>
      <c r="AB69" s="9"/>
      <c r="AC69" s="9"/>
      <c r="AD69" s="650">
        <f t="shared" si="64"/>
        <v>91</v>
      </c>
      <c r="AE69" s="654">
        <f ca="1">OFFSET('2 Staff List'!$IB$64,AJ69-1,0)</f>
        <v>0</v>
      </c>
      <c r="AF69" s="654">
        <f t="shared" si="65"/>
        <v>173.92857142857142</v>
      </c>
      <c r="AG69" s="9"/>
      <c r="AH69" s="654">
        <f t="shared" si="66"/>
        <v>239.15178571428569</v>
      </c>
      <c r="AI69" s="654">
        <f t="shared" si="67"/>
        <v>28</v>
      </c>
      <c r="AJ69" s="654">
        <f ca="1">OFFSET('2 Staff List'!$GU$64,AI69-1,0)</f>
        <v>28</v>
      </c>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1280">
        <f ca="1">OFFSET('2 Staff List'!$HW$64,AJ69-1,0)</f>
        <v>0</v>
      </c>
      <c r="DZ69" s="1281">
        <f ca="1">OFFSET('2 Staff List'!$HZ$64,AJ69-1,0)</f>
        <v>0</v>
      </c>
      <c r="EA69" s="3669">
        <f ca="1">OFFSET('2 Staff List'!$IA$64,AJ69-1,0)</f>
        <v>0</v>
      </c>
      <c r="EB69" s="3670"/>
      <c r="EC69" s="3673">
        <f t="shared" ca="1" si="68"/>
        <v>0</v>
      </c>
      <c r="ED69" s="3674"/>
      <c r="EE69" s="3675"/>
      <c r="EF69" s="3676"/>
      <c r="EG69" s="154">
        <f t="shared" ca="1" si="110"/>
        <v>0</v>
      </c>
      <c r="EH69" s="152">
        <f t="shared" ca="1" si="110"/>
        <v>0</v>
      </c>
      <c r="EI69" s="152">
        <f t="shared" ca="1" si="110"/>
        <v>0</v>
      </c>
      <c r="EJ69" s="152">
        <f t="shared" ca="1" si="110"/>
        <v>0</v>
      </c>
      <c r="EK69" s="152">
        <f t="shared" ca="1" si="110"/>
        <v>0</v>
      </c>
      <c r="EL69" s="152">
        <f t="shared" ca="1" si="110"/>
        <v>0</v>
      </c>
      <c r="EM69" s="152">
        <f t="shared" ca="1" si="110"/>
        <v>0</v>
      </c>
      <c r="EN69" s="152">
        <f t="shared" ca="1" si="110"/>
        <v>0</v>
      </c>
      <c r="EO69" s="152">
        <f t="shared" ca="1" si="110"/>
        <v>0</v>
      </c>
      <c r="EP69" s="152">
        <f t="shared" ca="1" si="110"/>
        <v>0</v>
      </c>
      <c r="EQ69" s="152">
        <f t="shared" ca="1" si="111"/>
        <v>0</v>
      </c>
      <c r="ER69" s="152">
        <f t="shared" ca="1" si="111"/>
        <v>0</v>
      </c>
      <c r="ES69" s="152">
        <f t="shared" ca="1" si="111"/>
        <v>0</v>
      </c>
      <c r="ET69" s="152">
        <f t="shared" ca="1" si="111"/>
        <v>0</v>
      </c>
      <c r="EU69" s="152">
        <f t="shared" ca="1" si="111"/>
        <v>0</v>
      </c>
      <c r="EV69" s="152">
        <f t="shared" ca="1" si="111"/>
        <v>0</v>
      </c>
      <c r="EW69" s="152">
        <f t="shared" ca="1" si="111"/>
        <v>0</v>
      </c>
      <c r="EX69" s="152">
        <f t="shared" ca="1" si="83"/>
        <v>0</v>
      </c>
      <c r="EY69" s="152">
        <f t="shared" ca="1" si="112"/>
        <v>0</v>
      </c>
      <c r="EZ69" s="152">
        <f t="shared" ca="1" si="112"/>
        <v>0</v>
      </c>
      <c r="FA69" s="152">
        <f t="shared" ca="1" si="112"/>
        <v>0</v>
      </c>
      <c r="FB69" s="152">
        <f t="shared" ca="1" si="112"/>
        <v>0</v>
      </c>
      <c r="FC69" s="152">
        <f t="shared" ca="1" si="112"/>
        <v>0</v>
      </c>
      <c r="FD69" s="152">
        <f t="shared" ca="1" si="112"/>
        <v>0</v>
      </c>
      <c r="FE69" s="152">
        <f t="shared" ca="1" si="112"/>
        <v>0</v>
      </c>
      <c r="FF69" s="152">
        <f t="shared" ca="1" si="112"/>
        <v>0</v>
      </c>
      <c r="FG69" s="152">
        <f t="shared" ca="1" si="112"/>
        <v>0</v>
      </c>
      <c r="FH69" s="152">
        <f t="shared" ca="1" si="112"/>
        <v>0</v>
      </c>
      <c r="FI69" s="152">
        <f t="shared" ca="1" si="113"/>
        <v>0</v>
      </c>
      <c r="FJ69" s="152">
        <f t="shared" ca="1" si="113"/>
        <v>0</v>
      </c>
      <c r="FK69" s="152">
        <f t="shared" ca="1" si="113"/>
        <v>0</v>
      </c>
      <c r="FL69" s="152">
        <f t="shared" ca="1" si="113"/>
        <v>0</v>
      </c>
      <c r="FM69" s="152">
        <f t="shared" ca="1" si="113"/>
        <v>0</v>
      </c>
      <c r="FN69" s="152">
        <f t="shared" ca="1" si="113"/>
        <v>0</v>
      </c>
      <c r="FO69" s="152">
        <f t="shared" ca="1" si="113"/>
        <v>0</v>
      </c>
      <c r="FP69" s="152">
        <f t="shared" ca="1" si="113"/>
        <v>0</v>
      </c>
      <c r="FQ69" s="152">
        <f t="shared" ca="1" si="113"/>
        <v>0</v>
      </c>
      <c r="FR69" s="152">
        <f t="shared" ca="1" si="113"/>
        <v>0</v>
      </c>
      <c r="FS69" s="152">
        <f t="shared" ca="1" si="114"/>
        <v>0</v>
      </c>
      <c r="FT69" s="152">
        <f t="shared" ca="1" si="114"/>
        <v>0</v>
      </c>
      <c r="FU69" s="152">
        <f t="shared" ca="1" si="114"/>
        <v>0</v>
      </c>
      <c r="FV69" s="152">
        <f t="shared" ca="1" si="114"/>
        <v>0</v>
      </c>
      <c r="FW69" s="152">
        <f t="shared" ca="1" si="114"/>
        <v>0</v>
      </c>
      <c r="FX69" s="152">
        <f t="shared" ca="1" si="114"/>
        <v>0</v>
      </c>
      <c r="FY69" s="152">
        <f t="shared" ca="1" si="114"/>
        <v>0</v>
      </c>
      <c r="FZ69" s="152">
        <f t="shared" ca="1" si="114"/>
        <v>0</v>
      </c>
      <c r="GA69" s="152">
        <f t="shared" ca="1" si="114"/>
        <v>0</v>
      </c>
      <c r="GB69" s="152">
        <f t="shared" ca="1" si="114"/>
        <v>0</v>
      </c>
      <c r="GC69" s="152">
        <f t="shared" ca="1" si="115"/>
        <v>0</v>
      </c>
      <c r="GD69" s="152">
        <f t="shared" ca="1" si="115"/>
        <v>0</v>
      </c>
      <c r="GE69" s="152">
        <f t="shared" ca="1" si="115"/>
        <v>0</v>
      </c>
      <c r="GF69" s="152">
        <f t="shared" ca="1" si="115"/>
        <v>0</v>
      </c>
      <c r="GG69" s="152">
        <f t="shared" ca="1" si="115"/>
        <v>0</v>
      </c>
      <c r="GH69" s="152">
        <f t="shared" ca="1" si="115"/>
        <v>0</v>
      </c>
      <c r="GI69" s="152">
        <f t="shared" ca="1" si="115"/>
        <v>0</v>
      </c>
      <c r="GJ69" s="152">
        <f t="shared" ca="1" si="115"/>
        <v>0</v>
      </c>
      <c r="GK69" s="152">
        <f t="shared" ca="1" si="115"/>
        <v>0</v>
      </c>
      <c r="GL69" s="152">
        <f t="shared" ca="1" si="115"/>
        <v>0</v>
      </c>
      <c r="GM69" s="152">
        <f t="shared" ca="1" si="116"/>
        <v>0</v>
      </c>
      <c r="GN69" s="152">
        <f t="shared" ca="1" si="116"/>
        <v>0</v>
      </c>
      <c r="GO69" s="152">
        <f t="shared" ca="1" si="116"/>
        <v>0</v>
      </c>
      <c r="GP69" s="152">
        <f t="shared" ca="1" si="116"/>
        <v>0</v>
      </c>
      <c r="GQ69" s="152">
        <f t="shared" ca="1" si="116"/>
        <v>0</v>
      </c>
      <c r="GR69" s="152">
        <f t="shared" ca="1" si="116"/>
        <v>0</v>
      </c>
      <c r="GS69" s="152">
        <f t="shared" ca="1" si="116"/>
        <v>0</v>
      </c>
      <c r="GT69" s="152">
        <f t="shared" ca="1" si="116"/>
        <v>0</v>
      </c>
      <c r="GU69" s="152">
        <f t="shared" ca="1" si="116"/>
        <v>0</v>
      </c>
      <c r="GV69" s="152">
        <f t="shared" ca="1" si="116"/>
        <v>0</v>
      </c>
      <c r="GW69" s="152">
        <f t="shared" ca="1" si="117"/>
        <v>0</v>
      </c>
      <c r="GX69" s="152">
        <f t="shared" ca="1" si="117"/>
        <v>0</v>
      </c>
      <c r="GY69" s="152">
        <f t="shared" ca="1" si="117"/>
        <v>0</v>
      </c>
      <c r="GZ69" s="152">
        <f t="shared" ca="1" si="117"/>
        <v>0</v>
      </c>
      <c r="HA69" s="152">
        <f t="shared" ca="1" si="117"/>
        <v>0</v>
      </c>
      <c r="HB69" s="152">
        <f t="shared" ca="1" si="117"/>
        <v>0</v>
      </c>
      <c r="HC69" s="152">
        <f t="shared" ca="1" si="117"/>
        <v>0</v>
      </c>
      <c r="HD69" s="152">
        <f t="shared" ca="1" si="117"/>
        <v>0</v>
      </c>
      <c r="HE69" s="152">
        <f t="shared" ca="1" si="117"/>
        <v>0</v>
      </c>
      <c r="HF69" s="152">
        <f t="shared" ca="1" si="117"/>
        <v>0</v>
      </c>
      <c r="HG69" s="152">
        <f t="shared" ca="1" si="118"/>
        <v>0</v>
      </c>
      <c r="HH69" s="152">
        <f t="shared" ca="1" si="118"/>
        <v>0</v>
      </c>
      <c r="HI69" s="152">
        <f t="shared" ca="1" si="118"/>
        <v>0</v>
      </c>
      <c r="HJ69" s="152">
        <f t="shared" ca="1" si="118"/>
        <v>0</v>
      </c>
      <c r="HK69" s="152">
        <f t="shared" ca="1" si="118"/>
        <v>0</v>
      </c>
      <c r="HL69" s="152">
        <f t="shared" ca="1" si="118"/>
        <v>0</v>
      </c>
      <c r="HM69" s="152">
        <f t="shared" ca="1" si="118"/>
        <v>0</v>
      </c>
      <c r="HN69" s="152">
        <f t="shared" ca="1" si="118"/>
        <v>0</v>
      </c>
      <c r="HO69" s="152">
        <f t="shared" ca="1" si="118"/>
        <v>0</v>
      </c>
      <c r="HP69" s="152">
        <f t="shared" ca="1" si="118"/>
        <v>0</v>
      </c>
      <c r="HQ69" s="152">
        <f t="shared" ca="1" si="119"/>
        <v>0</v>
      </c>
      <c r="HR69" s="152">
        <f t="shared" ca="1" si="119"/>
        <v>0</v>
      </c>
      <c r="HS69" s="152">
        <f t="shared" ca="1" si="119"/>
        <v>0</v>
      </c>
      <c r="HT69" s="152">
        <f t="shared" ca="1" si="119"/>
        <v>0</v>
      </c>
      <c r="HU69" s="152">
        <f t="shared" ca="1" si="119"/>
        <v>0</v>
      </c>
      <c r="HV69" s="152">
        <f t="shared" ca="1" si="119"/>
        <v>0</v>
      </c>
      <c r="HW69" s="152">
        <f t="shared" ca="1" si="119"/>
        <v>0</v>
      </c>
      <c r="HX69" s="152">
        <f t="shared" ca="1" si="119"/>
        <v>0</v>
      </c>
      <c r="HY69" s="152">
        <f t="shared" ca="1" si="119"/>
        <v>0</v>
      </c>
      <c r="HZ69" s="152">
        <f t="shared" ca="1" si="119"/>
        <v>0</v>
      </c>
      <c r="IA69" s="152">
        <f t="shared" ca="1" si="120"/>
        <v>0</v>
      </c>
      <c r="IB69" s="152">
        <f t="shared" ca="1" si="120"/>
        <v>0</v>
      </c>
      <c r="IC69" s="152">
        <f t="shared" ca="1" si="120"/>
        <v>0</v>
      </c>
      <c r="ID69" s="152">
        <f t="shared" ca="1" si="120"/>
        <v>0</v>
      </c>
      <c r="IE69" s="152">
        <f t="shared" ca="1" si="120"/>
        <v>0</v>
      </c>
      <c r="IF69" s="152">
        <f t="shared" ca="1" si="120"/>
        <v>0</v>
      </c>
      <c r="IG69" s="152">
        <f t="shared" ca="1" si="120"/>
        <v>0</v>
      </c>
      <c r="IH69" s="152">
        <f t="shared" ca="1" si="120"/>
        <v>0</v>
      </c>
      <c r="II69" s="152">
        <f t="shared" ca="1" si="120"/>
        <v>0</v>
      </c>
      <c r="IJ69" s="152">
        <f t="shared" ca="1" si="120"/>
        <v>0</v>
      </c>
      <c r="IK69" s="152">
        <f t="shared" ca="1" si="120"/>
        <v>0</v>
      </c>
      <c r="IL69" s="152">
        <f t="shared" ca="1" si="120"/>
        <v>0</v>
      </c>
      <c r="IM69" s="152">
        <f t="shared" ca="1" si="121"/>
        <v>0</v>
      </c>
      <c r="IN69" s="152">
        <f t="shared" ca="1" si="121"/>
        <v>0</v>
      </c>
      <c r="IO69" s="152">
        <f t="shared" ca="1" si="121"/>
        <v>0</v>
      </c>
      <c r="IP69" s="152">
        <f t="shared" ca="1" si="121"/>
        <v>0</v>
      </c>
      <c r="IQ69" s="152">
        <f t="shared" ca="1" si="121"/>
        <v>0</v>
      </c>
      <c r="IR69" s="152">
        <f t="shared" ca="1" si="121"/>
        <v>0</v>
      </c>
      <c r="IS69" s="152">
        <f t="shared" ca="1" si="121"/>
        <v>0</v>
      </c>
      <c r="IT69" s="152">
        <f t="shared" ca="1" si="121"/>
        <v>0</v>
      </c>
      <c r="IU69" s="152">
        <f t="shared" ca="1" si="121"/>
        <v>0</v>
      </c>
      <c r="IV69" s="152">
        <f t="shared" ca="1" si="121"/>
        <v>0</v>
      </c>
      <c r="IW69" s="152">
        <f t="shared" ca="1" si="122"/>
        <v>0</v>
      </c>
      <c r="IX69" s="152">
        <f t="shared" ca="1" si="122"/>
        <v>0</v>
      </c>
      <c r="IY69" s="152">
        <f t="shared" ca="1" si="122"/>
        <v>0</v>
      </c>
      <c r="IZ69" s="152">
        <f t="shared" ca="1" si="122"/>
        <v>0</v>
      </c>
      <c r="JA69" s="152">
        <f t="shared" ca="1" si="122"/>
        <v>0</v>
      </c>
      <c r="JB69" s="152">
        <f t="shared" ca="1" si="122"/>
        <v>0</v>
      </c>
      <c r="JC69" s="152">
        <f t="shared" ca="1" si="122"/>
        <v>0</v>
      </c>
      <c r="JD69" s="604"/>
    </row>
    <row r="70" spans="1:264" ht="12.75" customHeight="1" x14ac:dyDescent="0.25">
      <c r="A70" s="279"/>
      <c r="B70" s="41"/>
      <c r="C70" s="82"/>
      <c r="D70" s="41"/>
      <c r="E70" s="9"/>
      <c r="F70" s="9"/>
      <c r="G70" s="9"/>
      <c r="H70" s="10"/>
      <c r="I70" s="10"/>
      <c r="J70" s="10"/>
      <c r="K70" s="10"/>
      <c r="L70" s="10"/>
      <c r="M70" s="10"/>
      <c r="N70" s="9"/>
      <c r="O70" s="9"/>
      <c r="P70" s="44"/>
      <c r="Q70" s="44"/>
      <c r="R70" s="9"/>
      <c r="S70" s="9"/>
      <c r="T70" s="9"/>
      <c r="U70" s="9"/>
      <c r="V70" s="9"/>
      <c r="W70" s="9"/>
      <c r="X70" s="9"/>
      <c r="Y70" s="9"/>
      <c r="Z70" s="9"/>
      <c r="AA70" s="9"/>
      <c r="AB70" s="9"/>
      <c r="AC70" s="9"/>
      <c r="AD70" s="650">
        <f t="shared" si="64"/>
        <v>90</v>
      </c>
      <c r="AE70" s="654">
        <f ca="1">OFFSET('2 Staff List'!$IB$64,AJ70-1,0)</f>
        <v>0</v>
      </c>
      <c r="AF70" s="654">
        <f t="shared" si="65"/>
        <v>173.92857142857142</v>
      </c>
      <c r="AG70" s="9"/>
      <c r="AH70" s="654">
        <f t="shared" si="66"/>
        <v>239.15178571428569</v>
      </c>
      <c r="AI70" s="654">
        <f t="shared" si="67"/>
        <v>27</v>
      </c>
      <c r="AJ70" s="654">
        <f ca="1">OFFSET('2 Staff List'!$GU$64,AI70-1,0)</f>
        <v>27</v>
      </c>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1280">
        <f ca="1">OFFSET('2 Staff List'!$HW$64,AJ70-1,0)</f>
        <v>0</v>
      </c>
      <c r="DZ70" s="1281">
        <f ca="1">OFFSET('2 Staff List'!$HZ$64,AJ70-1,0)</f>
        <v>0</v>
      </c>
      <c r="EA70" s="3669">
        <f ca="1">OFFSET('2 Staff List'!$IA$64,AJ70-1,0)</f>
        <v>0</v>
      </c>
      <c r="EB70" s="3670"/>
      <c r="EC70" s="3673">
        <f t="shared" ca="1" si="68"/>
        <v>0</v>
      </c>
      <c r="ED70" s="3674"/>
      <c r="EE70" s="3675"/>
      <c r="EF70" s="3676"/>
      <c r="EG70" s="154">
        <f t="shared" ca="1" si="110"/>
        <v>0</v>
      </c>
      <c r="EH70" s="152">
        <f t="shared" ca="1" si="110"/>
        <v>0</v>
      </c>
      <c r="EI70" s="152">
        <f t="shared" ca="1" si="110"/>
        <v>0</v>
      </c>
      <c r="EJ70" s="152">
        <f t="shared" ca="1" si="110"/>
        <v>0</v>
      </c>
      <c r="EK70" s="152">
        <f t="shared" ca="1" si="110"/>
        <v>0</v>
      </c>
      <c r="EL70" s="152">
        <f t="shared" ca="1" si="110"/>
        <v>0</v>
      </c>
      <c r="EM70" s="152">
        <f t="shared" ca="1" si="110"/>
        <v>0</v>
      </c>
      <c r="EN70" s="152">
        <f t="shared" ca="1" si="110"/>
        <v>0</v>
      </c>
      <c r="EO70" s="152">
        <f t="shared" ca="1" si="110"/>
        <v>0</v>
      </c>
      <c r="EP70" s="152">
        <f t="shared" ca="1" si="110"/>
        <v>0</v>
      </c>
      <c r="EQ70" s="152">
        <f t="shared" ca="1" si="111"/>
        <v>0</v>
      </c>
      <c r="ER70" s="152">
        <f t="shared" ca="1" si="111"/>
        <v>0</v>
      </c>
      <c r="ES70" s="152">
        <f t="shared" ca="1" si="111"/>
        <v>0</v>
      </c>
      <c r="ET70" s="152">
        <f t="shared" ca="1" si="111"/>
        <v>0</v>
      </c>
      <c r="EU70" s="152">
        <f t="shared" ca="1" si="111"/>
        <v>0</v>
      </c>
      <c r="EV70" s="152">
        <f t="shared" ca="1" si="111"/>
        <v>0</v>
      </c>
      <c r="EW70" s="152">
        <f t="shared" ca="1" si="111"/>
        <v>0</v>
      </c>
      <c r="EX70" s="152">
        <f t="shared" ca="1" si="83"/>
        <v>0</v>
      </c>
      <c r="EY70" s="152">
        <f t="shared" ca="1" si="112"/>
        <v>0</v>
      </c>
      <c r="EZ70" s="152">
        <f t="shared" ca="1" si="112"/>
        <v>0</v>
      </c>
      <c r="FA70" s="152">
        <f t="shared" ca="1" si="112"/>
        <v>0</v>
      </c>
      <c r="FB70" s="152">
        <f t="shared" ca="1" si="112"/>
        <v>0</v>
      </c>
      <c r="FC70" s="152">
        <f t="shared" ca="1" si="112"/>
        <v>0</v>
      </c>
      <c r="FD70" s="152">
        <f t="shared" ca="1" si="112"/>
        <v>0</v>
      </c>
      <c r="FE70" s="152">
        <f t="shared" ca="1" si="112"/>
        <v>0</v>
      </c>
      <c r="FF70" s="152">
        <f t="shared" ca="1" si="112"/>
        <v>0</v>
      </c>
      <c r="FG70" s="152">
        <f t="shared" ca="1" si="112"/>
        <v>0</v>
      </c>
      <c r="FH70" s="152">
        <f t="shared" ca="1" si="112"/>
        <v>0</v>
      </c>
      <c r="FI70" s="152">
        <f t="shared" ca="1" si="113"/>
        <v>0</v>
      </c>
      <c r="FJ70" s="152">
        <f t="shared" ca="1" si="113"/>
        <v>0</v>
      </c>
      <c r="FK70" s="152">
        <f t="shared" ca="1" si="113"/>
        <v>0</v>
      </c>
      <c r="FL70" s="152">
        <f t="shared" ca="1" si="113"/>
        <v>0</v>
      </c>
      <c r="FM70" s="152">
        <f t="shared" ca="1" si="113"/>
        <v>0</v>
      </c>
      <c r="FN70" s="152">
        <f t="shared" ca="1" si="113"/>
        <v>0</v>
      </c>
      <c r="FO70" s="152">
        <f t="shared" ca="1" si="113"/>
        <v>0</v>
      </c>
      <c r="FP70" s="152">
        <f t="shared" ca="1" si="113"/>
        <v>0</v>
      </c>
      <c r="FQ70" s="152">
        <f t="shared" ca="1" si="113"/>
        <v>0</v>
      </c>
      <c r="FR70" s="152">
        <f t="shared" ca="1" si="113"/>
        <v>0</v>
      </c>
      <c r="FS70" s="152">
        <f t="shared" ca="1" si="114"/>
        <v>0</v>
      </c>
      <c r="FT70" s="152">
        <f t="shared" ca="1" si="114"/>
        <v>0</v>
      </c>
      <c r="FU70" s="152">
        <f t="shared" ca="1" si="114"/>
        <v>0</v>
      </c>
      <c r="FV70" s="152">
        <f t="shared" ca="1" si="114"/>
        <v>0</v>
      </c>
      <c r="FW70" s="152">
        <f t="shared" ca="1" si="114"/>
        <v>0</v>
      </c>
      <c r="FX70" s="152">
        <f t="shared" ca="1" si="114"/>
        <v>0</v>
      </c>
      <c r="FY70" s="152">
        <f t="shared" ca="1" si="114"/>
        <v>0</v>
      </c>
      <c r="FZ70" s="152">
        <f t="shared" ca="1" si="114"/>
        <v>0</v>
      </c>
      <c r="GA70" s="152">
        <f t="shared" ca="1" si="114"/>
        <v>0</v>
      </c>
      <c r="GB70" s="152">
        <f t="shared" ca="1" si="114"/>
        <v>0</v>
      </c>
      <c r="GC70" s="152">
        <f t="shared" ca="1" si="115"/>
        <v>0</v>
      </c>
      <c r="GD70" s="152">
        <f t="shared" ca="1" si="115"/>
        <v>0</v>
      </c>
      <c r="GE70" s="152">
        <f t="shared" ca="1" si="115"/>
        <v>0</v>
      </c>
      <c r="GF70" s="152">
        <f t="shared" ca="1" si="115"/>
        <v>0</v>
      </c>
      <c r="GG70" s="152">
        <f t="shared" ca="1" si="115"/>
        <v>0</v>
      </c>
      <c r="GH70" s="152">
        <f t="shared" ca="1" si="115"/>
        <v>0</v>
      </c>
      <c r="GI70" s="152">
        <f t="shared" ca="1" si="115"/>
        <v>0</v>
      </c>
      <c r="GJ70" s="152">
        <f t="shared" ca="1" si="115"/>
        <v>0</v>
      </c>
      <c r="GK70" s="152">
        <f t="shared" ca="1" si="115"/>
        <v>0</v>
      </c>
      <c r="GL70" s="152">
        <f t="shared" ca="1" si="115"/>
        <v>0</v>
      </c>
      <c r="GM70" s="152">
        <f t="shared" ca="1" si="116"/>
        <v>0</v>
      </c>
      <c r="GN70" s="152">
        <f t="shared" ca="1" si="116"/>
        <v>0</v>
      </c>
      <c r="GO70" s="152">
        <f t="shared" ca="1" si="116"/>
        <v>0</v>
      </c>
      <c r="GP70" s="152">
        <f t="shared" ca="1" si="116"/>
        <v>0</v>
      </c>
      <c r="GQ70" s="152">
        <f t="shared" ca="1" si="116"/>
        <v>0</v>
      </c>
      <c r="GR70" s="152">
        <f t="shared" ca="1" si="116"/>
        <v>0</v>
      </c>
      <c r="GS70" s="152">
        <f t="shared" ca="1" si="116"/>
        <v>0</v>
      </c>
      <c r="GT70" s="152">
        <f t="shared" ca="1" si="116"/>
        <v>0</v>
      </c>
      <c r="GU70" s="152">
        <f t="shared" ca="1" si="116"/>
        <v>0</v>
      </c>
      <c r="GV70" s="152">
        <f t="shared" ca="1" si="116"/>
        <v>0</v>
      </c>
      <c r="GW70" s="152">
        <f t="shared" ca="1" si="117"/>
        <v>0</v>
      </c>
      <c r="GX70" s="152">
        <f t="shared" ca="1" si="117"/>
        <v>0</v>
      </c>
      <c r="GY70" s="152">
        <f t="shared" ca="1" si="117"/>
        <v>0</v>
      </c>
      <c r="GZ70" s="152">
        <f t="shared" ca="1" si="117"/>
        <v>0</v>
      </c>
      <c r="HA70" s="152">
        <f t="shared" ca="1" si="117"/>
        <v>0</v>
      </c>
      <c r="HB70" s="152">
        <f t="shared" ca="1" si="117"/>
        <v>0</v>
      </c>
      <c r="HC70" s="152">
        <f t="shared" ca="1" si="117"/>
        <v>0</v>
      </c>
      <c r="HD70" s="152">
        <f t="shared" ca="1" si="117"/>
        <v>0</v>
      </c>
      <c r="HE70" s="152">
        <f t="shared" ca="1" si="117"/>
        <v>0</v>
      </c>
      <c r="HF70" s="152">
        <f t="shared" ca="1" si="117"/>
        <v>0</v>
      </c>
      <c r="HG70" s="152">
        <f t="shared" ca="1" si="118"/>
        <v>0</v>
      </c>
      <c r="HH70" s="152">
        <f t="shared" ca="1" si="118"/>
        <v>0</v>
      </c>
      <c r="HI70" s="152">
        <f t="shared" ca="1" si="118"/>
        <v>0</v>
      </c>
      <c r="HJ70" s="152">
        <f t="shared" ca="1" si="118"/>
        <v>0</v>
      </c>
      <c r="HK70" s="152">
        <f t="shared" ca="1" si="118"/>
        <v>0</v>
      </c>
      <c r="HL70" s="152">
        <f t="shared" ca="1" si="118"/>
        <v>0</v>
      </c>
      <c r="HM70" s="152">
        <f t="shared" ca="1" si="118"/>
        <v>0</v>
      </c>
      <c r="HN70" s="152">
        <f t="shared" ca="1" si="118"/>
        <v>0</v>
      </c>
      <c r="HO70" s="152">
        <f t="shared" ca="1" si="118"/>
        <v>0</v>
      </c>
      <c r="HP70" s="152">
        <f t="shared" ca="1" si="118"/>
        <v>0</v>
      </c>
      <c r="HQ70" s="152">
        <f t="shared" ca="1" si="119"/>
        <v>0</v>
      </c>
      <c r="HR70" s="152">
        <f t="shared" ca="1" si="119"/>
        <v>0</v>
      </c>
      <c r="HS70" s="152">
        <f t="shared" ca="1" si="119"/>
        <v>0</v>
      </c>
      <c r="HT70" s="152">
        <f t="shared" ca="1" si="119"/>
        <v>0</v>
      </c>
      <c r="HU70" s="152">
        <f t="shared" ca="1" si="119"/>
        <v>0</v>
      </c>
      <c r="HV70" s="152">
        <f t="shared" ca="1" si="119"/>
        <v>0</v>
      </c>
      <c r="HW70" s="152">
        <f t="shared" ca="1" si="119"/>
        <v>0</v>
      </c>
      <c r="HX70" s="152">
        <f t="shared" ca="1" si="119"/>
        <v>0</v>
      </c>
      <c r="HY70" s="152">
        <f t="shared" ca="1" si="119"/>
        <v>0</v>
      </c>
      <c r="HZ70" s="152">
        <f t="shared" ca="1" si="119"/>
        <v>0</v>
      </c>
      <c r="IA70" s="152">
        <f t="shared" ca="1" si="120"/>
        <v>0</v>
      </c>
      <c r="IB70" s="152">
        <f t="shared" ca="1" si="120"/>
        <v>0</v>
      </c>
      <c r="IC70" s="152">
        <f t="shared" ca="1" si="120"/>
        <v>0</v>
      </c>
      <c r="ID70" s="152">
        <f t="shared" ca="1" si="120"/>
        <v>0</v>
      </c>
      <c r="IE70" s="152">
        <f t="shared" ca="1" si="120"/>
        <v>0</v>
      </c>
      <c r="IF70" s="152">
        <f t="shared" ca="1" si="120"/>
        <v>0</v>
      </c>
      <c r="IG70" s="152">
        <f t="shared" ca="1" si="120"/>
        <v>0</v>
      </c>
      <c r="IH70" s="152">
        <f t="shared" ca="1" si="120"/>
        <v>0</v>
      </c>
      <c r="II70" s="152">
        <f t="shared" ca="1" si="120"/>
        <v>0</v>
      </c>
      <c r="IJ70" s="152">
        <f t="shared" ca="1" si="120"/>
        <v>0</v>
      </c>
      <c r="IK70" s="152">
        <f t="shared" ca="1" si="120"/>
        <v>0</v>
      </c>
      <c r="IL70" s="152">
        <f t="shared" ca="1" si="120"/>
        <v>0</v>
      </c>
      <c r="IM70" s="152">
        <f t="shared" ca="1" si="121"/>
        <v>0</v>
      </c>
      <c r="IN70" s="152">
        <f t="shared" ca="1" si="121"/>
        <v>0</v>
      </c>
      <c r="IO70" s="152">
        <f t="shared" ca="1" si="121"/>
        <v>0</v>
      </c>
      <c r="IP70" s="152">
        <f t="shared" ca="1" si="121"/>
        <v>0</v>
      </c>
      <c r="IQ70" s="152">
        <f t="shared" ca="1" si="121"/>
        <v>0</v>
      </c>
      <c r="IR70" s="152">
        <f t="shared" ca="1" si="121"/>
        <v>0</v>
      </c>
      <c r="IS70" s="152">
        <f t="shared" ca="1" si="121"/>
        <v>0</v>
      </c>
      <c r="IT70" s="152">
        <f t="shared" ca="1" si="121"/>
        <v>0</v>
      </c>
      <c r="IU70" s="152">
        <f t="shared" ca="1" si="121"/>
        <v>0</v>
      </c>
      <c r="IV70" s="152">
        <f t="shared" ca="1" si="121"/>
        <v>0</v>
      </c>
      <c r="IW70" s="152">
        <f t="shared" ca="1" si="122"/>
        <v>0</v>
      </c>
      <c r="IX70" s="152">
        <f t="shared" ca="1" si="122"/>
        <v>0</v>
      </c>
      <c r="IY70" s="152">
        <f t="shared" ca="1" si="122"/>
        <v>0</v>
      </c>
      <c r="IZ70" s="152">
        <f t="shared" ca="1" si="122"/>
        <v>0</v>
      </c>
      <c r="JA70" s="152">
        <f t="shared" ca="1" si="122"/>
        <v>0</v>
      </c>
      <c r="JB70" s="152">
        <f t="shared" ca="1" si="122"/>
        <v>0</v>
      </c>
      <c r="JC70" s="152">
        <f t="shared" ca="1" si="122"/>
        <v>0</v>
      </c>
      <c r="JD70" s="604"/>
    </row>
    <row r="71" spans="1:264" ht="12.75" customHeight="1" x14ac:dyDescent="0.25">
      <c r="A71" s="279"/>
      <c r="B71" s="41"/>
      <c r="C71" s="82"/>
      <c r="D71" s="41"/>
      <c r="E71" s="9"/>
      <c r="F71" s="9"/>
      <c r="G71" s="9"/>
      <c r="H71" s="10"/>
      <c r="I71" s="10"/>
      <c r="J71" s="10"/>
      <c r="K71" s="10"/>
      <c r="L71" s="10"/>
      <c r="M71" s="10"/>
      <c r="N71" s="9"/>
      <c r="O71" s="9"/>
      <c r="P71" s="44"/>
      <c r="Q71" s="44"/>
      <c r="R71" s="9"/>
      <c r="S71" s="9"/>
      <c r="T71" s="9"/>
      <c r="U71" s="9"/>
      <c r="V71" s="9"/>
      <c r="W71" s="9"/>
      <c r="X71" s="9"/>
      <c r="Y71" s="9"/>
      <c r="Z71" s="9"/>
      <c r="AA71" s="9"/>
      <c r="AB71" s="9"/>
      <c r="AC71" s="9"/>
      <c r="AD71" s="650">
        <f t="shared" si="64"/>
        <v>89</v>
      </c>
      <c r="AE71" s="654">
        <f ca="1">OFFSET('2 Staff List'!$IB$64,AJ71-1,0)</f>
        <v>0</v>
      </c>
      <c r="AF71" s="654">
        <f t="shared" si="65"/>
        <v>173.92857142857142</v>
      </c>
      <c r="AG71" s="9"/>
      <c r="AH71" s="654">
        <f t="shared" si="66"/>
        <v>239.15178571428569</v>
      </c>
      <c r="AI71" s="654">
        <f t="shared" si="67"/>
        <v>26</v>
      </c>
      <c r="AJ71" s="654">
        <f ca="1">OFFSET('2 Staff List'!$GU$64,AI71-1,0)</f>
        <v>26</v>
      </c>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1280">
        <f ca="1">OFFSET('2 Staff List'!$HW$64,AJ71-1,0)</f>
        <v>0</v>
      </c>
      <c r="DZ71" s="1281">
        <f ca="1">OFFSET('2 Staff List'!$HZ$64,AJ71-1,0)</f>
        <v>0</v>
      </c>
      <c r="EA71" s="3669">
        <f ca="1">OFFSET('2 Staff List'!$IA$64,AJ71-1,0)</f>
        <v>0</v>
      </c>
      <c r="EB71" s="3670"/>
      <c r="EC71" s="3673">
        <f t="shared" ca="1" si="68"/>
        <v>0</v>
      </c>
      <c r="ED71" s="3674"/>
      <c r="EE71" s="3675"/>
      <c r="EF71" s="3676"/>
      <c r="EG71" s="154">
        <f t="shared" ca="1" si="110"/>
        <v>0</v>
      </c>
      <c r="EH71" s="152">
        <f t="shared" ca="1" si="110"/>
        <v>0</v>
      </c>
      <c r="EI71" s="152">
        <f t="shared" ca="1" si="110"/>
        <v>0</v>
      </c>
      <c r="EJ71" s="152">
        <f t="shared" ca="1" si="110"/>
        <v>0</v>
      </c>
      <c r="EK71" s="152">
        <f t="shared" ca="1" si="110"/>
        <v>0</v>
      </c>
      <c r="EL71" s="152">
        <f t="shared" ca="1" si="110"/>
        <v>0</v>
      </c>
      <c r="EM71" s="152">
        <f t="shared" ca="1" si="110"/>
        <v>0</v>
      </c>
      <c r="EN71" s="152">
        <f t="shared" ca="1" si="110"/>
        <v>0</v>
      </c>
      <c r="EO71" s="152">
        <f t="shared" ca="1" si="110"/>
        <v>0</v>
      </c>
      <c r="EP71" s="152">
        <f t="shared" ca="1" si="110"/>
        <v>0</v>
      </c>
      <c r="EQ71" s="152">
        <f t="shared" ca="1" si="111"/>
        <v>0</v>
      </c>
      <c r="ER71" s="152">
        <f t="shared" ca="1" si="111"/>
        <v>0</v>
      </c>
      <c r="ES71" s="152">
        <f t="shared" ca="1" si="111"/>
        <v>0</v>
      </c>
      <c r="ET71" s="152">
        <f t="shared" ca="1" si="111"/>
        <v>0</v>
      </c>
      <c r="EU71" s="152">
        <f t="shared" ca="1" si="111"/>
        <v>0</v>
      </c>
      <c r="EV71" s="152">
        <f t="shared" ca="1" si="111"/>
        <v>0</v>
      </c>
      <c r="EW71" s="152">
        <f t="shared" ca="1" si="111"/>
        <v>0</v>
      </c>
      <c r="EX71" s="152">
        <f t="shared" ca="1" si="83"/>
        <v>0</v>
      </c>
      <c r="EY71" s="152">
        <f t="shared" ca="1" si="112"/>
        <v>0</v>
      </c>
      <c r="EZ71" s="152">
        <f t="shared" ca="1" si="112"/>
        <v>0</v>
      </c>
      <c r="FA71" s="152">
        <f t="shared" ca="1" si="112"/>
        <v>0</v>
      </c>
      <c r="FB71" s="152">
        <f t="shared" ca="1" si="112"/>
        <v>0</v>
      </c>
      <c r="FC71" s="152">
        <f t="shared" ca="1" si="112"/>
        <v>0</v>
      </c>
      <c r="FD71" s="152">
        <f t="shared" ca="1" si="112"/>
        <v>0</v>
      </c>
      <c r="FE71" s="152">
        <f t="shared" ca="1" si="112"/>
        <v>0</v>
      </c>
      <c r="FF71" s="152">
        <f t="shared" ca="1" si="112"/>
        <v>0</v>
      </c>
      <c r="FG71" s="152">
        <f t="shared" ca="1" si="112"/>
        <v>0</v>
      </c>
      <c r="FH71" s="152">
        <f t="shared" ca="1" si="112"/>
        <v>0</v>
      </c>
      <c r="FI71" s="152">
        <f t="shared" ca="1" si="113"/>
        <v>0</v>
      </c>
      <c r="FJ71" s="152">
        <f t="shared" ca="1" si="113"/>
        <v>0</v>
      </c>
      <c r="FK71" s="152">
        <f t="shared" ca="1" si="113"/>
        <v>0</v>
      </c>
      <c r="FL71" s="152">
        <f t="shared" ca="1" si="113"/>
        <v>0</v>
      </c>
      <c r="FM71" s="152">
        <f t="shared" ca="1" si="113"/>
        <v>0</v>
      </c>
      <c r="FN71" s="152">
        <f t="shared" ca="1" si="113"/>
        <v>0</v>
      </c>
      <c r="FO71" s="152">
        <f t="shared" ca="1" si="113"/>
        <v>0</v>
      </c>
      <c r="FP71" s="152">
        <f t="shared" ca="1" si="113"/>
        <v>0</v>
      </c>
      <c r="FQ71" s="152">
        <f t="shared" ca="1" si="113"/>
        <v>0</v>
      </c>
      <c r="FR71" s="152">
        <f t="shared" ca="1" si="113"/>
        <v>0</v>
      </c>
      <c r="FS71" s="152">
        <f t="shared" ca="1" si="114"/>
        <v>0</v>
      </c>
      <c r="FT71" s="152">
        <f t="shared" ca="1" si="114"/>
        <v>0</v>
      </c>
      <c r="FU71" s="152">
        <f t="shared" ca="1" si="114"/>
        <v>0</v>
      </c>
      <c r="FV71" s="152">
        <f t="shared" ca="1" si="114"/>
        <v>0</v>
      </c>
      <c r="FW71" s="152">
        <f t="shared" ca="1" si="114"/>
        <v>0</v>
      </c>
      <c r="FX71" s="152">
        <f t="shared" ca="1" si="114"/>
        <v>0</v>
      </c>
      <c r="FY71" s="152">
        <f t="shared" ca="1" si="114"/>
        <v>0</v>
      </c>
      <c r="FZ71" s="152">
        <f t="shared" ca="1" si="114"/>
        <v>0</v>
      </c>
      <c r="GA71" s="152">
        <f t="shared" ca="1" si="114"/>
        <v>0</v>
      </c>
      <c r="GB71" s="152">
        <f t="shared" ca="1" si="114"/>
        <v>0</v>
      </c>
      <c r="GC71" s="152">
        <f t="shared" ca="1" si="115"/>
        <v>0</v>
      </c>
      <c r="GD71" s="152">
        <f t="shared" ca="1" si="115"/>
        <v>0</v>
      </c>
      <c r="GE71" s="152">
        <f t="shared" ca="1" si="115"/>
        <v>0</v>
      </c>
      <c r="GF71" s="152">
        <f t="shared" ca="1" si="115"/>
        <v>0</v>
      </c>
      <c r="GG71" s="152">
        <f t="shared" ca="1" si="115"/>
        <v>0</v>
      </c>
      <c r="GH71" s="152">
        <f t="shared" ca="1" si="115"/>
        <v>0</v>
      </c>
      <c r="GI71" s="152">
        <f t="shared" ca="1" si="115"/>
        <v>0</v>
      </c>
      <c r="GJ71" s="152">
        <f t="shared" ca="1" si="115"/>
        <v>0</v>
      </c>
      <c r="GK71" s="152">
        <f t="shared" ca="1" si="115"/>
        <v>0</v>
      </c>
      <c r="GL71" s="152">
        <f t="shared" ca="1" si="115"/>
        <v>0</v>
      </c>
      <c r="GM71" s="152">
        <f t="shared" ca="1" si="116"/>
        <v>0</v>
      </c>
      <c r="GN71" s="152">
        <f t="shared" ca="1" si="116"/>
        <v>0</v>
      </c>
      <c r="GO71" s="152">
        <f t="shared" ca="1" si="116"/>
        <v>0</v>
      </c>
      <c r="GP71" s="152">
        <f t="shared" ca="1" si="116"/>
        <v>0</v>
      </c>
      <c r="GQ71" s="152">
        <f t="shared" ca="1" si="116"/>
        <v>0</v>
      </c>
      <c r="GR71" s="152">
        <f t="shared" ca="1" si="116"/>
        <v>0</v>
      </c>
      <c r="GS71" s="152">
        <f t="shared" ca="1" si="116"/>
        <v>0</v>
      </c>
      <c r="GT71" s="152">
        <f t="shared" ca="1" si="116"/>
        <v>0</v>
      </c>
      <c r="GU71" s="152">
        <f t="shared" ca="1" si="116"/>
        <v>0</v>
      </c>
      <c r="GV71" s="152">
        <f t="shared" ca="1" si="116"/>
        <v>0</v>
      </c>
      <c r="GW71" s="152">
        <f t="shared" ca="1" si="117"/>
        <v>0</v>
      </c>
      <c r="GX71" s="152">
        <f t="shared" ca="1" si="117"/>
        <v>0</v>
      </c>
      <c r="GY71" s="152">
        <f t="shared" ca="1" si="117"/>
        <v>0</v>
      </c>
      <c r="GZ71" s="152">
        <f t="shared" ca="1" si="117"/>
        <v>0</v>
      </c>
      <c r="HA71" s="152">
        <f t="shared" ca="1" si="117"/>
        <v>0</v>
      </c>
      <c r="HB71" s="152">
        <f t="shared" ca="1" si="117"/>
        <v>0</v>
      </c>
      <c r="HC71" s="152">
        <f t="shared" ca="1" si="117"/>
        <v>0</v>
      </c>
      <c r="HD71" s="152">
        <f t="shared" ca="1" si="117"/>
        <v>0</v>
      </c>
      <c r="HE71" s="152">
        <f t="shared" ca="1" si="117"/>
        <v>0</v>
      </c>
      <c r="HF71" s="152">
        <f t="shared" ca="1" si="117"/>
        <v>0</v>
      </c>
      <c r="HG71" s="152">
        <f t="shared" ca="1" si="118"/>
        <v>0</v>
      </c>
      <c r="HH71" s="152">
        <f t="shared" ca="1" si="118"/>
        <v>0</v>
      </c>
      <c r="HI71" s="152">
        <f t="shared" ca="1" si="118"/>
        <v>0</v>
      </c>
      <c r="HJ71" s="152">
        <f t="shared" ca="1" si="118"/>
        <v>0</v>
      </c>
      <c r="HK71" s="152">
        <f t="shared" ca="1" si="118"/>
        <v>0</v>
      </c>
      <c r="HL71" s="152">
        <f t="shared" ca="1" si="118"/>
        <v>0</v>
      </c>
      <c r="HM71" s="152">
        <f t="shared" ca="1" si="118"/>
        <v>0</v>
      </c>
      <c r="HN71" s="152">
        <f t="shared" ca="1" si="118"/>
        <v>0</v>
      </c>
      <c r="HO71" s="152">
        <f t="shared" ca="1" si="118"/>
        <v>0</v>
      </c>
      <c r="HP71" s="152">
        <f t="shared" ca="1" si="118"/>
        <v>0</v>
      </c>
      <c r="HQ71" s="152">
        <f t="shared" ca="1" si="119"/>
        <v>0</v>
      </c>
      <c r="HR71" s="152">
        <f t="shared" ca="1" si="119"/>
        <v>0</v>
      </c>
      <c r="HS71" s="152">
        <f t="shared" ca="1" si="119"/>
        <v>0</v>
      </c>
      <c r="HT71" s="152">
        <f t="shared" ca="1" si="119"/>
        <v>0</v>
      </c>
      <c r="HU71" s="152">
        <f t="shared" ca="1" si="119"/>
        <v>0</v>
      </c>
      <c r="HV71" s="152">
        <f t="shared" ca="1" si="119"/>
        <v>0</v>
      </c>
      <c r="HW71" s="152">
        <f t="shared" ca="1" si="119"/>
        <v>0</v>
      </c>
      <c r="HX71" s="152">
        <f t="shared" ca="1" si="119"/>
        <v>0</v>
      </c>
      <c r="HY71" s="152">
        <f t="shared" ca="1" si="119"/>
        <v>0</v>
      </c>
      <c r="HZ71" s="152">
        <f t="shared" ca="1" si="119"/>
        <v>0</v>
      </c>
      <c r="IA71" s="152">
        <f t="shared" ca="1" si="120"/>
        <v>0</v>
      </c>
      <c r="IB71" s="152">
        <f t="shared" ca="1" si="120"/>
        <v>0</v>
      </c>
      <c r="IC71" s="152">
        <f t="shared" ca="1" si="120"/>
        <v>0</v>
      </c>
      <c r="ID71" s="152">
        <f t="shared" ca="1" si="120"/>
        <v>0</v>
      </c>
      <c r="IE71" s="152">
        <f t="shared" ca="1" si="120"/>
        <v>0</v>
      </c>
      <c r="IF71" s="152">
        <f t="shared" ca="1" si="120"/>
        <v>0</v>
      </c>
      <c r="IG71" s="152">
        <f t="shared" ca="1" si="120"/>
        <v>0</v>
      </c>
      <c r="IH71" s="152">
        <f t="shared" ca="1" si="120"/>
        <v>0</v>
      </c>
      <c r="II71" s="152">
        <f t="shared" ca="1" si="120"/>
        <v>0</v>
      </c>
      <c r="IJ71" s="152">
        <f t="shared" ca="1" si="120"/>
        <v>0</v>
      </c>
      <c r="IK71" s="152">
        <f t="shared" ca="1" si="120"/>
        <v>0</v>
      </c>
      <c r="IL71" s="152">
        <f t="shared" ca="1" si="120"/>
        <v>0</v>
      </c>
      <c r="IM71" s="152">
        <f t="shared" ca="1" si="121"/>
        <v>0</v>
      </c>
      <c r="IN71" s="152">
        <f t="shared" ca="1" si="121"/>
        <v>0</v>
      </c>
      <c r="IO71" s="152">
        <f t="shared" ca="1" si="121"/>
        <v>0</v>
      </c>
      <c r="IP71" s="152">
        <f t="shared" ca="1" si="121"/>
        <v>0</v>
      </c>
      <c r="IQ71" s="152">
        <f t="shared" ca="1" si="121"/>
        <v>0</v>
      </c>
      <c r="IR71" s="152">
        <f t="shared" ca="1" si="121"/>
        <v>0</v>
      </c>
      <c r="IS71" s="152">
        <f t="shared" ca="1" si="121"/>
        <v>0</v>
      </c>
      <c r="IT71" s="152">
        <f t="shared" ca="1" si="121"/>
        <v>0</v>
      </c>
      <c r="IU71" s="152">
        <f t="shared" ca="1" si="121"/>
        <v>0</v>
      </c>
      <c r="IV71" s="152">
        <f t="shared" ca="1" si="121"/>
        <v>0</v>
      </c>
      <c r="IW71" s="152">
        <f t="shared" ca="1" si="122"/>
        <v>0</v>
      </c>
      <c r="IX71" s="152">
        <f t="shared" ca="1" si="122"/>
        <v>0</v>
      </c>
      <c r="IY71" s="152">
        <f t="shared" ca="1" si="122"/>
        <v>0</v>
      </c>
      <c r="IZ71" s="152">
        <f t="shared" ca="1" si="122"/>
        <v>0</v>
      </c>
      <c r="JA71" s="152">
        <f t="shared" ca="1" si="122"/>
        <v>0</v>
      </c>
      <c r="JB71" s="152">
        <f t="shared" ca="1" si="122"/>
        <v>0</v>
      </c>
      <c r="JC71" s="152">
        <f t="shared" ca="1" si="122"/>
        <v>0</v>
      </c>
      <c r="JD71" s="604"/>
    </row>
    <row r="72" spans="1:264" ht="12.75" customHeight="1" x14ac:dyDescent="0.25">
      <c r="A72" s="279"/>
      <c r="B72" s="41"/>
      <c r="C72" s="82"/>
      <c r="D72" s="41"/>
      <c r="E72" s="9"/>
      <c r="F72" s="9"/>
      <c r="G72" s="9"/>
      <c r="H72" s="10"/>
      <c r="I72" s="10"/>
      <c r="J72" s="10"/>
      <c r="K72" s="10"/>
      <c r="L72" s="10"/>
      <c r="M72" s="10"/>
      <c r="N72" s="9"/>
      <c r="O72" s="9"/>
      <c r="P72" s="44"/>
      <c r="Q72" s="44"/>
      <c r="R72" s="9"/>
      <c r="S72" s="9"/>
      <c r="T72" s="9"/>
      <c r="U72" s="9"/>
      <c r="V72" s="9"/>
      <c r="W72" s="9"/>
      <c r="X72" s="9"/>
      <c r="Y72" s="9"/>
      <c r="Z72" s="9"/>
      <c r="AA72" s="9"/>
      <c r="AB72" s="9"/>
      <c r="AC72" s="9"/>
      <c r="AD72" s="650">
        <f t="shared" si="64"/>
        <v>88</v>
      </c>
      <c r="AE72" s="654">
        <f ca="1">OFFSET('2 Staff List'!$IB$64,AJ72-1,0)</f>
        <v>0</v>
      </c>
      <c r="AF72" s="654">
        <f t="shared" si="65"/>
        <v>173.92857142857142</v>
      </c>
      <c r="AG72" s="9"/>
      <c r="AH72" s="654">
        <f t="shared" si="66"/>
        <v>239.15178571428569</v>
      </c>
      <c r="AI72" s="654">
        <f t="shared" si="67"/>
        <v>25</v>
      </c>
      <c r="AJ72" s="654">
        <f ca="1">OFFSET('2 Staff List'!$GU$64,AI72-1,0)</f>
        <v>25</v>
      </c>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1280">
        <f ca="1">OFFSET('2 Staff List'!$HW$64,AJ72-1,0)</f>
        <v>0</v>
      </c>
      <c r="DZ72" s="1281">
        <f ca="1">OFFSET('2 Staff List'!$HZ$64,AJ72-1,0)</f>
        <v>0</v>
      </c>
      <c r="EA72" s="3669">
        <f ca="1">OFFSET('2 Staff List'!$IA$64,AJ72-1,0)</f>
        <v>0</v>
      </c>
      <c r="EB72" s="3670"/>
      <c r="EC72" s="3673">
        <f t="shared" ca="1" si="68"/>
        <v>0</v>
      </c>
      <c r="ED72" s="3674"/>
      <c r="EE72" s="3675"/>
      <c r="EF72" s="3676"/>
      <c r="EG72" s="154">
        <f t="shared" ca="1" si="110"/>
        <v>0</v>
      </c>
      <c r="EH72" s="152">
        <f t="shared" ca="1" si="110"/>
        <v>0</v>
      </c>
      <c r="EI72" s="152">
        <f t="shared" ca="1" si="110"/>
        <v>0</v>
      </c>
      <c r="EJ72" s="152">
        <f t="shared" ca="1" si="110"/>
        <v>0</v>
      </c>
      <c r="EK72" s="152">
        <f t="shared" ca="1" si="110"/>
        <v>0</v>
      </c>
      <c r="EL72" s="152">
        <f t="shared" ca="1" si="110"/>
        <v>0</v>
      </c>
      <c r="EM72" s="152">
        <f t="shared" ca="1" si="110"/>
        <v>0</v>
      </c>
      <c r="EN72" s="152">
        <f t="shared" ca="1" si="110"/>
        <v>0</v>
      </c>
      <c r="EO72" s="152">
        <f t="shared" ca="1" si="110"/>
        <v>0</v>
      </c>
      <c r="EP72" s="152">
        <f t="shared" ca="1" si="110"/>
        <v>0</v>
      </c>
      <c r="EQ72" s="152">
        <f t="shared" ca="1" si="111"/>
        <v>0</v>
      </c>
      <c r="ER72" s="152">
        <f t="shared" ca="1" si="111"/>
        <v>0</v>
      </c>
      <c r="ES72" s="152">
        <f t="shared" ca="1" si="111"/>
        <v>0</v>
      </c>
      <c r="ET72" s="152">
        <f t="shared" ca="1" si="111"/>
        <v>0</v>
      </c>
      <c r="EU72" s="152">
        <f t="shared" ca="1" si="111"/>
        <v>0</v>
      </c>
      <c r="EV72" s="152">
        <f t="shared" ca="1" si="111"/>
        <v>0</v>
      </c>
      <c r="EW72" s="152">
        <f t="shared" ca="1" si="111"/>
        <v>0</v>
      </c>
      <c r="EX72" s="152">
        <f t="shared" ca="1" si="83"/>
        <v>0</v>
      </c>
      <c r="EY72" s="152">
        <f t="shared" ca="1" si="112"/>
        <v>0</v>
      </c>
      <c r="EZ72" s="152">
        <f t="shared" ca="1" si="112"/>
        <v>0</v>
      </c>
      <c r="FA72" s="152">
        <f t="shared" ca="1" si="112"/>
        <v>0</v>
      </c>
      <c r="FB72" s="152">
        <f t="shared" ca="1" si="112"/>
        <v>0</v>
      </c>
      <c r="FC72" s="152">
        <f t="shared" ca="1" si="112"/>
        <v>0</v>
      </c>
      <c r="FD72" s="152">
        <f t="shared" ca="1" si="112"/>
        <v>0</v>
      </c>
      <c r="FE72" s="152">
        <f t="shared" ca="1" si="112"/>
        <v>0</v>
      </c>
      <c r="FF72" s="152">
        <f t="shared" ca="1" si="112"/>
        <v>0</v>
      </c>
      <c r="FG72" s="152">
        <f t="shared" ca="1" si="112"/>
        <v>0</v>
      </c>
      <c r="FH72" s="152">
        <f t="shared" ca="1" si="112"/>
        <v>0</v>
      </c>
      <c r="FI72" s="152">
        <f t="shared" ca="1" si="113"/>
        <v>0</v>
      </c>
      <c r="FJ72" s="152">
        <f t="shared" ca="1" si="113"/>
        <v>0</v>
      </c>
      <c r="FK72" s="152">
        <f t="shared" ca="1" si="113"/>
        <v>0</v>
      </c>
      <c r="FL72" s="152">
        <f t="shared" ca="1" si="113"/>
        <v>0</v>
      </c>
      <c r="FM72" s="152">
        <f t="shared" ca="1" si="113"/>
        <v>0</v>
      </c>
      <c r="FN72" s="152">
        <f t="shared" ca="1" si="113"/>
        <v>0</v>
      </c>
      <c r="FO72" s="152">
        <f t="shared" ca="1" si="113"/>
        <v>0</v>
      </c>
      <c r="FP72" s="152">
        <f t="shared" ca="1" si="113"/>
        <v>0</v>
      </c>
      <c r="FQ72" s="152">
        <f t="shared" ca="1" si="113"/>
        <v>0</v>
      </c>
      <c r="FR72" s="152">
        <f t="shared" ca="1" si="113"/>
        <v>0</v>
      </c>
      <c r="FS72" s="152">
        <f t="shared" ca="1" si="114"/>
        <v>0</v>
      </c>
      <c r="FT72" s="152">
        <f t="shared" ca="1" si="114"/>
        <v>0</v>
      </c>
      <c r="FU72" s="152">
        <f t="shared" ca="1" si="114"/>
        <v>0</v>
      </c>
      <c r="FV72" s="152">
        <f t="shared" ca="1" si="114"/>
        <v>0</v>
      </c>
      <c r="FW72" s="152">
        <f t="shared" ca="1" si="114"/>
        <v>0</v>
      </c>
      <c r="FX72" s="152">
        <f t="shared" ca="1" si="114"/>
        <v>0</v>
      </c>
      <c r="FY72" s="152">
        <f t="shared" ca="1" si="114"/>
        <v>0</v>
      </c>
      <c r="FZ72" s="152">
        <f t="shared" ca="1" si="114"/>
        <v>0</v>
      </c>
      <c r="GA72" s="152">
        <f t="shared" ca="1" si="114"/>
        <v>0</v>
      </c>
      <c r="GB72" s="152">
        <f t="shared" ca="1" si="114"/>
        <v>0</v>
      </c>
      <c r="GC72" s="152">
        <f t="shared" ca="1" si="115"/>
        <v>0</v>
      </c>
      <c r="GD72" s="152">
        <f t="shared" ca="1" si="115"/>
        <v>0</v>
      </c>
      <c r="GE72" s="152">
        <f t="shared" ca="1" si="115"/>
        <v>0</v>
      </c>
      <c r="GF72" s="152">
        <f t="shared" ca="1" si="115"/>
        <v>0</v>
      </c>
      <c r="GG72" s="152">
        <f t="shared" ca="1" si="115"/>
        <v>0</v>
      </c>
      <c r="GH72" s="152">
        <f t="shared" ca="1" si="115"/>
        <v>0</v>
      </c>
      <c r="GI72" s="152">
        <f t="shared" ca="1" si="115"/>
        <v>0</v>
      </c>
      <c r="GJ72" s="152">
        <f t="shared" ca="1" si="115"/>
        <v>0</v>
      </c>
      <c r="GK72" s="152">
        <f t="shared" ca="1" si="115"/>
        <v>0</v>
      </c>
      <c r="GL72" s="152">
        <f t="shared" ca="1" si="115"/>
        <v>0</v>
      </c>
      <c r="GM72" s="152">
        <f t="shared" ca="1" si="116"/>
        <v>0</v>
      </c>
      <c r="GN72" s="152">
        <f t="shared" ca="1" si="116"/>
        <v>0</v>
      </c>
      <c r="GO72" s="152">
        <f t="shared" ca="1" si="116"/>
        <v>0</v>
      </c>
      <c r="GP72" s="152">
        <f t="shared" ca="1" si="116"/>
        <v>0</v>
      </c>
      <c r="GQ72" s="152">
        <f t="shared" ca="1" si="116"/>
        <v>0</v>
      </c>
      <c r="GR72" s="152">
        <f t="shared" ca="1" si="116"/>
        <v>0</v>
      </c>
      <c r="GS72" s="152">
        <f t="shared" ca="1" si="116"/>
        <v>0</v>
      </c>
      <c r="GT72" s="152">
        <f t="shared" ca="1" si="116"/>
        <v>0</v>
      </c>
      <c r="GU72" s="152">
        <f t="shared" ca="1" si="116"/>
        <v>0</v>
      </c>
      <c r="GV72" s="152">
        <f t="shared" ca="1" si="116"/>
        <v>0</v>
      </c>
      <c r="GW72" s="152">
        <f t="shared" ca="1" si="117"/>
        <v>0</v>
      </c>
      <c r="GX72" s="152">
        <f t="shared" ca="1" si="117"/>
        <v>0</v>
      </c>
      <c r="GY72" s="152">
        <f t="shared" ca="1" si="117"/>
        <v>0</v>
      </c>
      <c r="GZ72" s="152">
        <f t="shared" ca="1" si="117"/>
        <v>0</v>
      </c>
      <c r="HA72" s="152">
        <f t="shared" ca="1" si="117"/>
        <v>0</v>
      </c>
      <c r="HB72" s="152">
        <f t="shared" ca="1" si="117"/>
        <v>0</v>
      </c>
      <c r="HC72" s="152">
        <f t="shared" ca="1" si="117"/>
        <v>0</v>
      </c>
      <c r="HD72" s="152">
        <f t="shared" ca="1" si="117"/>
        <v>0</v>
      </c>
      <c r="HE72" s="152">
        <f t="shared" ca="1" si="117"/>
        <v>0</v>
      </c>
      <c r="HF72" s="152">
        <f t="shared" ca="1" si="117"/>
        <v>0</v>
      </c>
      <c r="HG72" s="152">
        <f t="shared" ca="1" si="118"/>
        <v>0</v>
      </c>
      <c r="HH72" s="152">
        <f t="shared" ca="1" si="118"/>
        <v>0</v>
      </c>
      <c r="HI72" s="152">
        <f t="shared" ca="1" si="118"/>
        <v>0</v>
      </c>
      <c r="HJ72" s="152">
        <f t="shared" ca="1" si="118"/>
        <v>0</v>
      </c>
      <c r="HK72" s="152">
        <f t="shared" ca="1" si="118"/>
        <v>0</v>
      </c>
      <c r="HL72" s="152">
        <f t="shared" ca="1" si="118"/>
        <v>0</v>
      </c>
      <c r="HM72" s="152">
        <f t="shared" ca="1" si="118"/>
        <v>0</v>
      </c>
      <c r="HN72" s="152">
        <f t="shared" ca="1" si="118"/>
        <v>0</v>
      </c>
      <c r="HO72" s="152">
        <f t="shared" ca="1" si="118"/>
        <v>0</v>
      </c>
      <c r="HP72" s="152">
        <f t="shared" ca="1" si="118"/>
        <v>0</v>
      </c>
      <c r="HQ72" s="152">
        <f t="shared" ca="1" si="119"/>
        <v>0</v>
      </c>
      <c r="HR72" s="152">
        <f t="shared" ca="1" si="119"/>
        <v>0</v>
      </c>
      <c r="HS72" s="152">
        <f t="shared" ca="1" si="119"/>
        <v>0</v>
      </c>
      <c r="HT72" s="152">
        <f t="shared" ca="1" si="119"/>
        <v>0</v>
      </c>
      <c r="HU72" s="152">
        <f t="shared" ca="1" si="119"/>
        <v>0</v>
      </c>
      <c r="HV72" s="152">
        <f t="shared" ca="1" si="119"/>
        <v>0</v>
      </c>
      <c r="HW72" s="152">
        <f t="shared" ca="1" si="119"/>
        <v>0</v>
      </c>
      <c r="HX72" s="152">
        <f t="shared" ca="1" si="119"/>
        <v>0</v>
      </c>
      <c r="HY72" s="152">
        <f t="shared" ca="1" si="119"/>
        <v>0</v>
      </c>
      <c r="HZ72" s="152">
        <f t="shared" ca="1" si="119"/>
        <v>0</v>
      </c>
      <c r="IA72" s="152">
        <f t="shared" ca="1" si="120"/>
        <v>0</v>
      </c>
      <c r="IB72" s="152">
        <f t="shared" ca="1" si="120"/>
        <v>0</v>
      </c>
      <c r="IC72" s="152">
        <f t="shared" ca="1" si="120"/>
        <v>0</v>
      </c>
      <c r="ID72" s="152">
        <f t="shared" ca="1" si="120"/>
        <v>0</v>
      </c>
      <c r="IE72" s="152">
        <f t="shared" ca="1" si="120"/>
        <v>0</v>
      </c>
      <c r="IF72" s="152">
        <f t="shared" ca="1" si="120"/>
        <v>0</v>
      </c>
      <c r="IG72" s="152">
        <f t="shared" ca="1" si="120"/>
        <v>0</v>
      </c>
      <c r="IH72" s="152">
        <f t="shared" ca="1" si="120"/>
        <v>0</v>
      </c>
      <c r="II72" s="152">
        <f t="shared" ca="1" si="120"/>
        <v>0</v>
      </c>
      <c r="IJ72" s="152">
        <f t="shared" ca="1" si="120"/>
        <v>0</v>
      </c>
      <c r="IK72" s="152">
        <f t="shared" ca="1" si="120"/>
        <v>0</v>
      </c>
      <c r="IL72" s="152">
        <f t="shared" ca="1" si="120"/>
        <v>0</v>
      </c>
      <c r="IM72" s="152">
        <f t="shared" ca="1" si="121"/>
        <v>0</v>
      </c>
      <c r="IN72" s="152">
        <f t="shared" ca="1" si="121"/>
        <v>0</v>
      </c>
      <c r="IO72" s="152">
        <f t="shared" ca="1" si="121"/>
        <v>0</v>
      </c>
      <c r="IP72" s="152">
        <f t="shared" ca="1" si="121"/>
        <v>0</v>
      </c>
      <c r="IQ72" s="152">
        <f t="shared" ca="1" si="121"/>
        <v>0</v>
      </c>
      <c r="IR72" s="152">
        <f t="shared" ca="1" si="121"/>
        <v>0</v>
      </c>
      <c r="IS72" s="152">
        <f t="shared" ca="1" si="121"/>
        <v>0</v>
      </c>
      <c r="IT72" s="152">
        <f t="shared" ca="1" si="121"/>
        <v>0</v>
      </c>
      <c r="IU72" s="152">
        <f t="shared" ca="1" si="121"/>
        <v>0</v>
      </c>
      <c r="IV72" s="152">
        <f t="shared" ca="1" si="121"/>
        <v>0</v>
      </c>
      <c r="IW72" s="152">
        <f t="shared" ca="1" si="122"/>
        <v>0</v>
      </c>
      <c r="IX72" s="152">
        <f t="shared" ca="1" si="122"/>
        <v>0</v>
      </c>
      <c r="IY72" s="152">
        <f t="shared" ca="1" si="122"/>
        <v>0</v>
      </c>
      <c r="IZ72" s="152">
        <f t="shared" ca="1" si="122"/>
        <v>0</v>
      </c>
      <c r="JA72" s="152">
        <f t="shared" ca="1" si="122"/>
        <v>0</v>
      </c>
      <c r="JB72" s="152">
        <f t="shared" ca="1" si="122"/>
        <v>0</v>
      </c>
      <c r="JC72" s="152">
        <f t="shared" ca="1" si="122"/>
        <v>0</v>
      </c>
      <c r="JD72" s="604"/>
    </row>
    <row r="73" spans="1:264" ht="12.75" customHeight="1" x14ac:dyDescent="0.25">
      <c r="A73" s="279"/>
      <c r="B73" s="41"/>
      <c r="C73" s="82"/>
      <c r="D73" s="41"/>
      <c r="E73" s="9"/>
      <c r="F73" s="9"/>
      <c r="G73" s="9"/>
      <c r="H73" s="10"/>
      <c r="I73" s="10"/>
      <c r="J73" s="10"/>
      <c r="K73" s="10"/>
      <c r="L73" s="10"/>
      <c r="M73" s="10"/>
      <c r="N73" s="9"/>
      <c r="O73" s="9"/>
      <c r="P73" s="44"/>
      <c r="Q73" s="44"/>
      <c r="R73" s="9"/>
      <c r="S73" s="9"/>
      <c r="T73" s="9"/>
      <c r="U73" s="9"/>
      <c r="V73" s="9"/>
      <c r="W73" s="9"/>
      <c r="X73" s="9"/>
      <c r="Y73" s="9"/>
      <c r="Z73" s="9"/>
      <c r="AA73" s="9"/>
      <c r="AB73" s="9"/>
      <c r="AC73" s="9"/>
      <c r="AD73" s="650">
        <f t="shared" si="64"/>
        <v>87</v>
      </c>
      <c r="AE73" s="654">
        <f ca="1">OFFSET('2 Staff List'!$IB$64,AJ73-1,0)</f>
        <v>0</v>
      </c>
      <c r="AF73" s="654">
        <f t="shared" si="65"/>
        <v>173.92857142857142</v>
      </c>
      <c r="AG73" s="9"/>
      <c r="AH73" s="654">
        <f t="shared" si="66"/>
        <v>239.15178571428569</v>
      </c>
      <c r="AI73" s="654">
        <f t="shared" si="67"/>
        <v>24</v>
      </c>
      <c r="AJ73" s="654">
        <f ca="1">OFFSET('2 Staff List'!$GU$64,AI73-1,0)</f>
        <v>24</v>
      </c>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1280">
        <f ca="1">OFFSET('2 Staff List'!$HW$64,AJ73-1,0)</f>
        <v>0</v>
      </c>
      <c r="DZ73" s="1281">
        <f ca="1">OFFSET('2 Staff List'!$HZ$64,AJ73-1,0)</f>
        <v>0</v>
      </c>
      <c r="EA73" s="3669">
        <f ca="1">OFFSET('2 Staff List'!$IA$64,AJ73-1,0)</f>
        <v>0</v>
      </c>
      <c r="EB73" s="3670"/>
      <c r="EC73" s="3673">
        <f t="shared" ca="1" si="68"/>
        <v>0</v>
      </c>
      <c r="ED73" s="3674"/>
      <c r="EE73" s="3675"/>
      <c r="EF73" s="3676"/>
      <c r="EG73" s="154">
        <f t="shared" ref="EG73:EP82" ca="1" si="123">IFERROR(SUMIFS(EG$129:EG$305,$DF$129:$DF$305,1,$DY$129:$DY$305,$EA73)*EG$17,0)</f>
        <v>0</v>
      </c>
      <c r="EH73" s="152">
        <f t="shared" ca="1" si="123"/>
        <v>0</v>
      </c>
      <c r="EI73" s="152">
        <f t="shared" ca="1" si="123"/>
        <v>0</v>
      </c>
      <c r="EJ73" s="152">
        <f t="shared" ca="1" si="123"/>
        <v>0</v>
      </c>
      <c r="EK73" s="152">
        <f t="shared" ca="1" si="123"/>
        <v>0</v>
      </c>
      <c r="EL73" s="152">
        <f t="shared" ca="1" si="123"/>
        <v>0</v>
      </c>
      <c r="EM73" s="152">
        <f t="shared" ca="1" si="123"/>
        <v>0</v>
      </c>
      <c r="EN73" s="152">
        <f t="shared" ca="1" si="123"/>
        <v>0</v>
      </c>
      <c r="EO73" s="152">
        <f t="shared" ca="1" si="123"/>
        <v>0</v>
      </c>
      <c r="EP73" s="152">
        <f t="shared" ca="1" si="123"/>
        <v>0</v>
      </c>
      <c r="EQ73" s="152">
        <f t="shared" ref="EQ73:EW82" ca="1" si="124">IFERROR(SUMIFS(EQ$129:EQ$305,$DF$129:$DF$305,1,$DY$129:$DY$305,$EA73)*EQ$17,0)</f>
        <v>0</v>
      </c>
      <c r="ER73" s="152">
        <f t="shared" ca="1" si="124"/>
        <v>0</v>
      </c>
      <c r="ES73" s="152">
        <f t="shared" ca="1" si="124"/>
        <v>0</v>
      </c>
      <c r="ET73" s="152">
        <f t="shared" ca="1" si="124"/>
        <v>0</v>
      </c>
      <c r="EU73" s="152">
        <f t="shared" ca="1" si="124"/>
        <v>0</v>
      </c>
      <c r="EV73" s="152">
        <f t="shared" ca="1" si="124"/>
        <v>0</v>
      </c>
      <c r="EW73" s="152">
        <f t="shared" ca="1" si="124"/>
        <v>0</v>
      </c>
      <c r="EX73" s="152">
        <f t="shared" ca="1" si="83"/>
        <v>0</v>
      </c>
      <c r="EY73" s="152">
        <f t="shared" ca="1" si="112"/>
        <v>0</v>
      </c>
      <c r="EZ73" s="152">
        <f t="shared" ca="1" si="112"/>
        <v>0</v>
      </c>
      <c r="FA73" s="152">
        <f t="shared" ca="1" si="112"/>
        <v>0</v>
      </c>
      <c r="FB73" s="152">
        <f t="shared" ca="1" si="112"/>
        <v>0</v>
      </c>
      <c r="FC73" s="152">
        <f t="shared" ca="1" si="112"/>
        <v>0</v>
      </c>
      <c r="FD73" s="152">
        <f t="shared" ca="1" si="112"/>
        <v>0</v>
      </c>
      <c r="FE73" s="152">
        <f t="shared" ca="1" si="112"/>
        <v>0</v>
      </c>
      <c r="FF73" s="152">
        <f t="shared" ca="1" si="112"/>
        <v>0</v>
      </c>
      <c r="FG73" s="152">
        <f t="shared" ca="1" si="112"/>
        <v>0</v>
      </c>
      <c r="FH73" s="152">
        <f t="shared" ca="1" si="112"/>
        <v>0</v>
      </c>
      <c r="FI73" s="152">
        <f t="shared" ca="1" si="113"/>
        <v>0</v>
      </c>
      <c r="FJ73" s="152">
        <f t="shared" ca="1" si="113"/>
        <v>0</v>
      </c>
      <c r="FK73" s="152">
        <f t="shared" ca="1" si="113"/>
        <v>0</v>
      </c>
      <c r="FL73" s="152">
        <f t="shared" ca="1" si="113"/>
        <v>0</v>
      </c>
      <c r="FM73" s="152">
        <f t="shared" ca="1" si="113"/>
        <v>0</v>
      </c>
      <c r="FN73" s="152">
        <f t="shared" ca="1" si="113"/>
        <v>0</v>
      </c>
      <c r="FO73" s="152">
        <f t="shared" ca="1" si="113"/>
        <v>0</v>
      </c>
      <c r="FP73" s="152">
        <f t="shared" ca="1" si="113"/>
        <v>0</v>
      </c>
      <c r="FQ73" s="152">
        <f t="shared" ca="1" si="113"/>
        <v>0</v>
      </c>
      <c r="FR73" s="152">
        <f t="shared" ca="1" si="113"/>
        <v>0</v>
      </c>
      <c r="FS73" s="152">
        <f t="shared" ca="1" si="114"/>
        <v>0</v>
      </c>
      <c r="FT73" s="152">
        <f t="shared" ca="1" si="114"/>
        <v>0</v>
      </c>
      <c r="FU73" s="152">
        <f t="shared" ca="1" si="114"/>
        <v>0</v>
      </c>
      <c r="FV73" s="152">
        <f t="shared" ca="1" si="114"/>
        <v>0</v>
      </c>
      <c r="FW73" s="152">
        <f t="shared" ca="1" si="114"/>
        <v>0</v>
      </c>
      <c r="FX73" s="152">
        <f t="shared" ca="1" si="114"/>
        <v>0</v>
      </c>
      <c r="FY73" s="152">
        <f t="shared" ca="1" si="114"/>
        <v>0</v>
      </c>
      <c r="FZ73" s="152">
        <f t="shared" ca="1" si="114"/>
        <v>0</v>
      </c>
      <c r="GA73" s="152">
        <f t="shared" ca="1" si="114"/>
        <v>0</v>
      </c>
      <c r="GB73" s="152">
        <f t="shared" ca="1" si="114"/>
        <v>0</v>
      </c>
      <c r="GC73" s="152">
        <f t="shared" ca="1" si="115"/>
        <v>0</v>
      </c>
      <c r="GD73" s="152">
        <f t="shared" ca="1" si="115"/>
        <v>0</v>
      </c>
      <c r="GE73" s="152">
        <f t="shared" ca="1" si="115"/>
        <v>0</v>
      </c>
      <c r="GF73" s="152">
        <f t="shared" ca="1" si="115"/>
        <v>0</v>
      </c>
      <c r="GG73" s="152">
        <f t="shared" ca="1" si="115"/>
        <v>0</v>
      </c>
      <c r="GH73" s="152">
        <f t="shared" ca="1" si="115"/>
        <v>0</v>
      </c>
      <c r="GI73" s="152">
        <f t="shared" ca="1" si="115"/>
        <v>0</v>
      </c>
      <c r="GJ73" s="152">
        <f t="shared" ca="1" si="115"/>
        <v>0</v>
      </c>
      <c r="GK73" s="152">
        <f t="shared" ca="1" si="115"/>
        <v>0</v>
      </c>
      <c r="GL73" s="152">
        <f t="shared" ca="1" si="115"/>
        <v>0</v>
      </c>
      <c r="GM73" s="152">
        <f t="shared" ca="1" si="116"/>
        <v>0</v>
      </c>
      <c r="GN73" s="152">
        <f t="shared" ca="1" si="116"/>
        <v>0</v>
      </c>
      <c r="GO73" s="152">
        <f t="shared" ca="1" si="116"/>
        <v>0</v>
      </c>
      <c r="GP73" s="152">
        <f t="shared" ca="1" si="116"/>
        <v>0</v>
      </c>
      <c r="GQ73" s="152">
        <f t="shared" ca="1" si="116"/>
        <v>0</v>
      </c>
      <c r="GR73" s="152">
        <f t="shared" ca="1" si="116"/>
        <v>0</v>
      </c>
      <c r="GS73" s="152">
        <f t="shared" ca="1" si="116"/>
        <v>0</v>
      </c>
      <c r="GT73" s="152">
        <f t="shared" ca="1" si="116"/>
        <v>0</v>
      </c>
      <c r="GU73" s="152">
        <f t="shared" ca="1" si="116"/>
        <v>0</v>
      </c>
      <c r="GV73" s="152">
        <f t="shared" ca="1" si="116"/>
        <v>0</v>
      </c>
      <c r="GW73" s="152">
        <f t="shared" ca="1" si="117"/>
        <v>0</v>
      </c>
      <c r="GX73" s="152">
        <f t="shared" ca="1" si="117"/>
        <v>0</v>
      </c>
      <c r="GY73" s="152">
        <f t="shared" ca="1" si="117"/>
        <v>0</v>
      </c>
      <c r="GZ73" s="152">
        <f t="shared" ca="1" si="117"/>
        <v>0</v>
      </c>
      <c r="HA73" s="152">
        <f t="shared" ca="1" si="117"/>
        <v>0</v>
      </c>
      <c r="HB73" s="152">
        <f t="shared" ca="1" si="117"/>
        <v>0</v>
      </c>
      <c r="HC73" s="152">
        <f t="shared" ca="1" si="117"/>
        <v>0</v>
      </c>
      <c r="HD73" s="152">
        <f t="shared" ca="1" si="117"/>
        <v>0</v>
      </c>
      <c r="HE73" s="152">
        <f t="shared" ca="1" si="117"/>
        <v>0</v>
      </c>
      <c r="HF73" s="152">
        <f t="shared" ca="1" si="117"/>
        <v>0</v>
      </c>
      <c r="HG73" s="152">
        <f t="shared" ca="1" si="118"/>
        <v>0</v>
      </c>
      <c r="HH73" s="152">
        <f t="shared" ca="1" si="118"/>
        <v>0</v>
      </c>
      <c r="HI73" s="152">
        <f t="shared" ca="1" si="118"/>
        <v>0</v>
      </c>
      <c r="HJ73" s="152">
        <f t="shared" ca="1" si="118"/>
        <v>0</v>
      </c>
      <c r="HK73" s="152">
        <f t="shared" ca="1" si="118"/>
        <v>0</v>
      </c>
      <c r="HL73" s="152">
        <f t="shared" ca="1" si="118"/>
        <v>0</v>
      </c>
      <c r="HM73" s="152">
        <f t="shared" ca="1" si="118"/>
        <v>0</v>
      </c>
      <c r="HN73" s="152">
        <f t="shared" ca="1" si="118"/>
        <v>0</v>
      </c>
      <c r="HO73" s="152">
        <f t="shared" ca="1" si="118"/>
        <v>0</v>
      </c>
      <c r="HP73" s="152">
        <f t="shared" ca="1" si="118"/>
        <v>0</v>
      </c>
      <c r="HQ73" s="152">
        <f t="shared" ca="1" si="119"/>
        <v>0</v>
      </c>
      <c r="HR73" s="152">
        <f t="shared" ca="1" si="119"/>
        <v>0</v>
      </c>
      <c r="HS73" s="152">
        <f t="shared" ca="1" si="119"/>
        <v>0</v>
      </c>
      <c r="HT73" s="152">
        <f t="shared" ca="1" si="119"/>
        <v>0</v>
      </c>
      <c r="HU73" s="152">
        <f t="shared" ca="1" si="119"/>
        <v>0</v>
      </c>
      <c r="HV73" s="152">
        <f t="shared" ca="1" si="119"/>
        <v>0</v>
      </c>
      <c r="HW73" s="152">
        <f t="shared" ca="1" si="119"/>
        <v>0</v>
      </c>
      <c r="HX73" s="152">
        <f t="shared" ca="1" si="119"/>
        <v>0</v>
      </c>
      <c r="HY73" s="152">
        <f t="shared" ca="1" si="119"/>
        <v>0</v>
      </c>
      <c r="HZ73" s="152">
        <f t="shared" ca="1" si="119"/>
        <v>0</v>
      </c>
      <c r="IA73" s="152">
        <f t="shared" ca="1" si="120"/>
        <v>0</v>
      </c>
      <c r="IB73" s="152">
        <f t="shared" ca="1" si="120"/>
        <v>0</v>
      </c>
      <c r="IC73" s="152">
        <f t="shared" ca="1" si="120"/>
        <v>0</v>
      </c>
      <c r="ID73" s="152">
        <f t="shared" ca="1" si="120"/>
        <v>0</v>
      </c>
      <c r="IE73" s="152">
        <f t="shared" ca="1" si="120"/>
        <v>0</v>
      </c>
      <c r="IF73" s="152">
        <f t="shared" ca="1" si="120"/>
        <v>0</v>
      </c>
      <c r="IG73" s="152">
        <f t="shared" ca="1" si="120"/>
        <v>0</v>
      </c>
      <c r="IH73" s="152">
        <f t="shared" ca="1" si="120"/>
        <v>0</v>
      </c>
      <c r="II73" s="152">
        <f t="shared" ca="1" si="120"/>
        <v>0</v>
      </c>
      <c r="IJ73" s="152">
        <f t="shared" ca="1" si="120"/>
        <v>0</v>
      </c>
      <c r="IK73" s="152">
        <f t="shared" ca="1" si="120"/>
        <v>0</v>
      </c>
      <c r="IL73" s="152">
        <f t="shared" ca="1" si="120"/>
        <v>0</v>
      </c>
      <c r="IM73" s="152">
        <f t="shared" ca="1" si="121"/>
        <v>0</v>
      </c>
      <c r="IN73" s="152">
        <f t="shared" ca="1" si="121"/>
        <v>0</v>
      </c>
      <c r="IO73" s="152">
        <f t="shared" ca="1" si="121"/>
        <v>0</v>
      </c>
      <c r="IP73" s="152">
        <f t="shared" ca="1" si="121"/>
        <v>0</v>
      </c>
      <c r="IQ73" s="152">
        <f t="shared" ca="1" si="121"/>
        <v>0</v>
      </c>
      <c r="IR73" s="152">
        <f t="shared" ca="1" si="121"/>
        <v>0</v>
      </c>
      <c r="IS73" s="152">
        <f t="shared" ca="1" si="121"/>
        <v>0</v>
      </c>
      <c r="IT73" s="152">
        <f t="shared" ca="1" si="121"/>
        <v>0</v>
      </c>
      <c r="IU73" s="152">
        <f t="shared" ca="1" si="121"/>
        <v>0</v>
      </c>
      <c r="IV73" s="152">
        <f t="shared" ca="1" si="121"/>
        <v>0</v>
      </c>
      <c r="IW73" s="152">
        <f t="shared" ca="1" si="122"/>
        <v>0</v>
      </c>
      <c r="IX73" s="152">
        <f t="shared" ca="1" si="122"/>
        <v>0</v>
      </c>
      <c r="IY73" s="152">
        <f t="shared" ca="1" si="122"/>
        <v>0</v>
      </c>
      <c r="IZ73" s="152">
        <f t="shared" ca="1" si="122"/>
        <v>0</v>
      </c>
      <c r="JA73" s="152">
        <f t="shared" ca="1" si="122"/>
        <v>0</v>
      </c>
      <c r="JB73" s="152">
        <f t="shared" ca="1" si="122"/>
        <v>0</v>
      </c>
      <c r="JC73" s="152">
        <f t="shared" ca="1" si="122"/>
        <v>0</v>
      </c>
      <c r="JD73" s="604"/>
    </row>
    <row r="74" spans="1:264" ht="12.75" customHeight="1" x14ac:dyDescent="0.25">
      <c r="A74" s="279"/>
      <c r="B74" s="41"/>
      <c r="C74" s="82"/>
      <c r="D74" s="41"/>
      <c r="E74" s="9"/>
      <c r="F74" s="9"/>
      <c r="G74" s="9"/>
      <c r="H74" s="10"/>
      <c r="I74" s="10"/>
      <c r="J74" s="10"/>
      <c r="K74" s="10"/>
      <c r="L74" s="10"/>
      <c r="M74" s="10"/>
      <c r="N74" s="9"/>
      <c r="O74" s="9"/>
      <c r="P74" s="44"/>
      <c r="Q74" s="44"/>
      <c r="R74" s="9"/>
      <c r="S74" s="9"/>
      <c r="T74" s="9"/>
      <c r="U74" s="9"/>
      <c r="V74" s="9"/>
      <c r="W74" s="9"/>
      <c r="X74" s="9"/>
      <c r="Y74" s="9"/>
      <c r="Z74" s="9"/>
      <c r="AA74" s="9"/>
      <c r="AB74" s="9"/>
      <c r="AC74" s="9"/>
      <c r="AD74" s="650">
        <f t="shared" si="64"/>
        <v>86</v>
      </c>
      <c r="AE74" s="654">
        <f ca="1">OFFSET('2 Staff List'!$IB$64,AJ74-1,0)</f>
        <v>0</v>
      </c>
      <c r="AF74" s="654">
        <f t="shared" si="65"/>
        <v>173.92857142857142</v>
      </c>
      <c r="AG74" s="9"/>
      <c r="AH74" s="654">
        <f t="shared" si="66"/>
        <v>239.15178571428569</v>
      </c>
      <c r="AI74" s="654">
        <f t="shared" si="67"/>
        <v>23</v>
      </c>
      <c r="AJ74" s="654">
        <f ca="1">OFFSET('2 Staff List'!$GU$64,AI74-1,0)</f>
        <v>23</v>
      </c>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1280">
        <f ca="1">OFFSET('2 Staff List'!$HW$64,AJ74-1,0)</f>
        <v>0</v>
      </c>
      <c r="DZ74" s="1281">
        <f ca="1">OFFSET('2 Staff List'!$HZ$64,AJ74-1,0)</f>
        <v>0</v>
      </c>
      <c r="EA74" s="3669">
        <f ca="1">OFFSET('2 Staff List'!$IA$64,AJ74-1,0)</f>
        <v>0</v>
      </c>
      <c r="EB74" s="3670"/>
      <c r="EC74" s="3673">
        <f t="shared" ca="1" si="68"/>
        <v>0</v>
      </c>
      <c r="ED74" s="3674"/>
      <c r="EE74" s="3675"/>
      <c r="EF74" s="3676"/>
      <c r="EG74" s="154">
        <f t="shared" ca="1" si="123"/>
        <v>0</v>
      </c>
      <c r="EH74" s="152">
        <f t="shared" ca="1" si="123"/>
        <v>0</v>
      </c>
      <c r="EI74" s="152">
        <f t="shared" ca="1" si="123"/>
        <v>0</v>
      </c>
      <c r="EJ74" s="152">
        <f t="shared" ca="1" si="123"/>
        <v>0</v>
      </c>
      <c r="EK74" s="152">
        <f t="shared" ca="1" si="123"/>
        <v>0</v>
      </c>
      <c r="EL74" s="152">
        <f t="shared" ca="1" si="123"/>
        <v>0</v>
      </c>
      <c r="EM74" s="152">
        <f t="shared" ca="1" si="123"/>
        <v>0</v>
      </c>
      <c r="EN74" s="152">
        <f t="shared" ca="1" si="123"/>
        <v>0</v>
      </c>
      <c r="EO74" s="152">
        <f t="shared" ca="1" si="123"/>
        <v>0</v>
      </c>
      <c r="EP74" s="152">
        <f t="shared" ca="1" si="123"/>
        <v>0</v>
      </c>
      <c r="EQ74" s="152">
        <f t="shared" ca="1" si="124"/>
        <v>0</v>
      </c>
      <c r="ER74" s="152">
        <f t="shared" ca="1" si="124"/>
        <v>0</v>
      </c>
      <c r="ES74" s="152">
        <f t="shared" ca="1" si="124"/>
        <v>0</v>
      </c>
      <c r="ET74" s="152">
        <f t="shared" ca="1" si="124"/>
        <v>0</v>
      </c>
      <c r="EU74" s="152">
        <f t="shared" ca="1" si="124"/>
        <v>0</v>
      </c>
      <c r="EV74" s="152">
        <f t="shared" ca="1" si="124"/>
        <v>0</v>
      </c>
      <c r="EW74" s="152">
        <f t="shared" ca="1" si="124"/>
        <v>0</v>
      </c>
      <c r="EX74" s="152">
        <f t="shared" ca="1" si="83"/>
        <v>0</v>
      </c>
      <c r="EY74" s="152">
        <f t="shared" ca="1" si="112"/>
        <v>0</v>
      </c>
      <c r="EZ74" s="152">
        <f t="shared" ca="1" si="112"/>
        <v>0</v>
      </c>
      <c r="FA74" s="152">
        <f t="shared" ca="1" si="112"/>
        <v>0</v>
      </c>
      <c r="FB74" s="152">
        <f t="shared" ca="1" si="112"/>
        <v>0</v>
      </c>
      <c r="FC74" s="152">
        <f t="shared" ca="1" si="112"/>
        <v>0</v>
      </c>
      <c r="FD74" s="152">
        <f t="shared" ca="1" si="112"/>
        <v>0</v>
      </c>
      <c r="FE74" s="152">
        <f t="shared" ca="1" si="112"/>
        <v>0</v>
      </c>
      <c r="FF74" s="152">
        <f t="shared" ca="1" si="112"/>
        <v>0</v>
      </c>
      <c r="FG74" s="152">
        <f t="shared" ca="1" si="112"/>
        <v>0</v>
      </c>
      <c r="FH74" s="152">
        <f t="shared" ca="1" si="112"/>
        <v>0</v>
      </c>
      <c r="FI74" s="152">
        <f t="shared" ca="1" si="113"/>
        <v>0</v>
      </c>
      <c r="FJ74" s="152">
        <f t="shared" ca="1" si="113"/>
        <v>0</v>
      </c>
      <c r="FK74" s="152">
        <f t="shared" ca="1" si="113"/>
        <v>0</v>
      </c>
      <c r="FL74" s="152">
        <f t="shared" ca="1" si="113"/>
        <v>0</v>
      </c>
      <c r="FM74" s="152">
        <f t="shared" ca="1" si="113"/>
        <v>0</v>
      </c>
      <c r="FN74" s="152">
        <f t="shared" ca="1" si="113"/>
        <v>0</v>
      </c>
      <c r="FO74" s="152">
        <f t="shared" ca="1" si="113"/>
        <v>0</v>
      </c>
      <c r="FP74" s="152">
        <f t="shared" ca="1" si="113"/>
        <v>0</v>
      </c>
      <c r="FQ74" s="152">
        <f t="shared" ca="1" si="113"/>
        <v>0</v>
      </c>
      <c r="FR74" s="152">
        <f t="shared" ca="1" si="113"/>
        <v>0</v>
      </c>
      <c r="FS74" s="152">
        <f t="shared" ca="1" si="114"/>
        <v>0</v>
      </c>
      <c r="FT74" s="152">
        <f t="shared" ca="1" si="114"/>
        <v>0</v>
      </c>
      <c r="FU74" s="152">
        <f t="shared" ca="1" si="114"/>
        <v>0</v>
      </c>
      <c r="FV74" s="152">
        <f t="shared" ca="1" si="114"/>
        <v>0</v>
      </c>
      <c r="FW74" s="152">
        <f t="shared" ca="1" si="114"/>
        <v>0</v>
      </c>
      <c r="FX74" s="152">
        <f t="shared" ca="1" si="114"/>
        <v>0</v>
      </c>
      <c r="FY74" s="152">
        <f t="shared" ca="1" si="114"/>
        <v>0</v>
      </c>
      <c r="FZ74" s="152">
        <f t="shared" ca="1" si="114"/>
        <v>0</v>
      </c>
      <c r="GA74" s="152">
        <f t="shared" ca="1" si="114"/>
        <v>0</v>
      </c>
      <c r="GB74" s="152">
        <f t="shared" ca="1" si="114"/>
        <v>0</v>
      </c>
      <c r="GC74" s="152">
        <f t="shared" ca="1" si="115"/>
        <v>0</v>
      </c>
      <c r="GD74" s="152">
        <f t="shared" ca="1" si="115"/>
        <v>0</v>
      </c>
      <c r="GE74" s="152">
        <f t="shared" ca="1" si="115"/>
        <v>0</v>
      </c>
      <c r="GF74" s="152">
        <f t="shared" ca="1" si="115"/>
        <v>0</v>
      </c>
      <c r="GG74" s="152">
        <f t="shared" ca="1" si="115"/>
        <v>0</v>
      </c>
      <c r="GH74" s="152">
        <f t="shared" ca="1" si="115"/>
        <v>0</v>
      </c>
      <c r="GI74" s="152">
        <f t="shared" ca="1" si="115"/>
        <v>0</v>
      </c>
      <c r="GJ74" s="152">
        <f t="shared" ca="1" si="115"/>
        <v>0</v>
      </c>
      <c r="GK74" s="152">
        <f t="shared" ca="1" si="115"/>
        <v>0</v>
      </c>
      <c r="GL74" s="152">
        <f t="shared" ca="1" si="115"/>
        <v>0</v>
      </c>
      <c r="GM74" s="152">
        <f t="shared" ca="1" si="116"/>
        <v>0</v>
      </c>
      <c r="GN74" s="152">
        <f t="shared" ca="1" si="116"/>
        <v>0</v>
      </c>
      <c r="GO74" s="152">
        <f t="shared" ca="1" si="116"/>
        <v>0</v>
      </c>
      <c r="GP74" s="152">
        <f t="shared" ca="1" si="116"/>
        <v>0</v>
      </c>
      <c r="GQ74" s="152">
        <f t="shared" ca="1" si="116"/>
        <v>0</v>
      </c>
      <c r="GR74" s="152">
        <f t="shared" ca="1" si="116"/>
        <v>0</v>
      </c>
      <c r="GS74" s="152">
        <f t="shared" ca="1" si="116"/>
        <v>0</v>
      </c>
      <c r="GT74" s="152">
        <f t="shared" ca="1" si="116"/>
        <v>0</v>
      </c>
      <c r="GU74" s="152">
        <f t="shared" ca="1" si="116"/>
        <v>0</v>
      </c>
      <c r="GV74" s="152">
        <f t="shared" ca="1" si="116"/>
        <v>0</v>
      </c>
      <c r="GW74" s="152">
        <f t="shared" ca="1" si="117"/>
        <v>0</v>
      </c>
      <c r="GX74" s="152">
        <f t="shared" ca="1" si="117"/>
        <v>0</v>
      </c>
      <c r="GY74" s="152">
        <f t="shared" ca="1" si="117"/>
        <v>0</v>
      </c>
      <c r="GZ74" s="152">
        <f t="shared" ca="1" si="117"/>
        <v>0</v>
      </c>
      <c r="HA74" s="152">
        <f t="shared" ca="1" si="117"/>
        <v>0</v>
      </c>
      <c r="HB74" s="152">
        <f t="shared" ca="1" si="117"/>
        <v>0</v>
      </c>
      <c r="HC74" s="152">
        <f t="shared" ca="1" si="117"/>
        <v>0</v>
      </c>
      <c r="HD74" s="152">
        <f t="shared" ca="1" si="117"/>
        <v>0</v>
      </c>
      <c r="HE74" s="152">
        <f t="shared" ca="1" si="117"/>
        <v>0</v>
      </c>
      <c r="HF74" s="152">
        <f t="shared" ca="1" si="117"/>
        <v>0</v>
      </c>
      <c r="HG74" s="152">
        <f t="shared" ca="1" si="118"/>
        <v>0</v>
      </c>
      <c r="HH74" s="152">
        <f t="shared" ca="1" si="118"/>
        <v>0</v>
      </c>
      <c r="HI74" s="152">
        <f t="shared" ca="1" si="118"/>
        <v>0</v>
      </c>
      <c r="HJ74" s="152">
        <f t="shared" ca="1" si="118"/>
        <v>0</v>
      </c>
      <c r="HK74" s="152">
        <f t="shared" ca="1" si="118"/>
        <v>0</v>
      </c>
      <c r="HL74" s="152">
        <f t="shared" ca="1" si="118"/>
        <v>0</v>
      </c>
      <c r="HM74" s="152">
        <f t="shared" ca="1" si="118"/>
        <v>0</v>
      </c>
      <c r="HN74" s="152">
        <f t="shared" ca="1" si="118"/>
        <v>0</v>
      </c>
      <c r="HO74" s="152">
        <f t="shared" ca="1" si="118"/>
        <v>0</v>
      </c>
      <c r="HP74" s="152">
        <f t="shared" ca="1" si="118"/>
        <v>0</v>
      </c>
      <c r="HQ74" s="152">
        <f t="shared" ca="1" si="119"/>
        <v>0</v>
      </c>
      <c r="HR74" s="152">
        <f t="shared" ca="1" si="119"/>
        <v>0</v>
      </c>
      <c r="HS74" s="152">
        <f t="shared" ca="1" si="119"/>
        <v>0</v>
      </c>
      <c r="HT74" s="152">
        <f t="shared" ca="1" si="119"/>
        <v>0</v>
      </c>
      <c r="HU74" s="152">
        <f t="shared" ca="1" si="119"/>
        <v>0</v>
      </c>
      <c r="HV74" s="152">
        <f t="shared" ca="1" si="119"/>
        <v>0</v>
      </c>
      <c r="HW74" s="152">
        <f t="shared" ca="1" si="119"/>
        <v>0</v>
      </c>
      <c r="HX74" s="152">
        <f t="shared" ca="1" si="119"/>
        <v>0</v>
      </c>
      <c r="HY74" s="152">
        <f t="shared" ca="1" si="119"/>
        <v>0</v>
      </c>
      <c r="HZ74" s="152">
        <f t="shared" ca="1" si="119"/>
        <v>0</v>
      </c>
      <c r="IA74" s="152">
        <f t="shared" ca="1" si="120"/>
        <v>0</v>
      </c>
      <c r="IB74" s="152">
        <f t="shared" ca="1" si="120"/>
        <v>0</v>
      </c>
      <c r="IC74" s="152">
        <f t="shared" ca="1" si="120"/>
        <v>0</v>
      </c>
      <c r="ID74" s="152">
        <f t="shared" ca="1" si="120"/>
        <v>0</v>
      </c>
      <c r="IE74" s="152">
        <f t="shared" ca="1" si="120"/>
        <v>0</v>
      </c>
      <c r="IF74" s="152">
        <f t="shared" ca="1" si="120"/>
        <v>0</v>
      </c>
      <c r="IG74" s="152">
        <f t="shared" ca="1" si="120"/>
        <v>0</v>
      </c>
      <c r="IH74" s="152">
        <f t="shared" ca="1" si="120"/>
        <v>0</v>
      </c>
      <c r="II74" s="152">
        <f t="shared" ca="1" si="120"/>
        <v>0</v>
      </c>
      <c r="IJ74" s="152">
        <f t="shared" ca="1" si="120"/>
        <v>0</v>
      </c>
      <c r="IK74" s="152">
        <f t="shared" ca="1" si="120"/>
        <v>0</v>
      </c>
      <c r="IL74" s="152">
        <f t="shared" ca="1" si="120"/>
        <v>0</v>
      </c>
      <c r="IM74" s="152">
        <f t="shared" ca="1" si="121"/>
        <v>0</v>
      </c>
      <c r="IN74" s="152">
        <f t="shared" ca="1" si="121"/>
        <v>0</v>
      </c>
      <c r="IO74" s="152">
        <f t="shared" ca="1" si="121"/>
        <v>0</v>
      </c>
      <c r="IP74" s="152">
        <f t="shared" ca="1" si="121"/>
        <v>0</v>
      </c>
      <c r="IQ74" s="152">
        <f t="shared" ca="1" si="121"/>
        <v>0</v>
      </c>
      <c r="IR74" s="152">
        <f t="shared" ca="1" si="121"/>
        <v>0</v>
      </c>
      <c r="IS74" s="152">
        <f t="shared" ca="1" si="121"/>
        <v>0</v>
      </c>
      <c r="IT74" s="152">
        <f t="shared" ca="1" si="121"/>
        <v>0</v>
      </c>
      <c r="IU74" s="152">
        <f t="shared" ca="1" si="121"/>
        <v>0</v>
      </c>
      <c r="IV74" s="152">
        <f t="shared" ca="1" si="121"/>
        <v>0</v>
      </c>
      <c r="IW74" s="152">
        <f t="shared" ca="1" si="122"/>
        <v>0</v>
      </c>
      <c r="IX74" s="152">
        <f t="shared" ca="1" si="122"/>
        <v>0</v>
      </c>
      <c r="IY74" s="152">
        <f t="shared" ca="1" si="122"/>
        <v>0</v>
      </c>
      <c r="IZ74" s="152">
        <f t="shared" ca="1" si="122"/>
        <v>0</v>
      </c>
      <c r="JA74" s="152">
        <f t="shared" ca="1" si="122"/>
        <v>0</v>
      </c>
      <c r="JB74" s="152">
        <f t="shared" ca="1" si="122"/>
        <v>0</v>
      </c>
      <c r="JC74" s="152">
        <f t="shared" ca="1" si="122"/>
        <v>0</v>
      </c>
      <c r="JD74" s="604"/>
    </row>
    <row r="75" spans="1:264" ht="12.75" customHeight="1" x14ac:dyDescent="0.25">
      <c r="A75" s="279"/>
      <c r="B75" s="41"/>
      <c r="C75" s="82"/>
      <c r="D75" s="41"/>
      <c r="E75" s="9"/>
      <c r="F75" s="9"/>
      <c r="G75" s="9"/>
      <c r="H75" s="10"/>
      <c r="I75" s="10"/>
      <c r="J75" s="10"/>
      <c r="K75" s="10"/>
      <c r="L75" s="10"/>
      <c r="M75" s="10"/>
      <c r="N75" s="9"/>
      <c r="O75" s="9"/>
      <c r="P75" s="44"/>
      <c r="Q75" s="44"/>
      <c r="R75" s="9"/>
      <c r="S75" s="9"/>
      <c r="T75" s="9"/>
      <c r="U75" s="9"/>
      <c r="V75" s="9"/>
      <c r="W75" s="9"/>
      <c r="X75" s="9"/>
      <c r="Y75" s="9"/>
      <c r="Z75" s="9"/>
      <c r="AA75" s="9"/>
      <c r="AB75" s="9"/>
      <c r="AC75" s="9"/>
      <c r="AD75" s="650">
        <f t="shared" si="64"/>
        <v>85</v>
      </c>
      <c r="AE75" s="654">
        <f ca="1">OFFSET('2 Staff List'!$IB$64,AJ75-1,0)</f>
        <v>0</v>
      </c>
      <c r="AF75" s="654">
        <f t="shared" ref="AF75:AF96" si="125">IF(ISBLANK($EE75),$EC$103*$DZ$6,$EC$103*$DZ$6*$EE75)</f>
        <v>173.92857142857142</v>
      </c>
      <c r="AG75" s="9"/>
      <c r="AH75" s="654">
        <f t="shared" ref="AH75:AH96" si="126">IF(ISBLANK($EE75),$EC$104*$DZ$6,$EC$104*$DZ$6*$EE75)</f>
        <v>239.15178571428569</v>
      </c>
      <c r="AI75" s="654">
        <f t="shared" ref="AI75:AI95" si="127">ROW($AI$96)-ROW()+1</f>
        <v>22</v>
      </c>
      <c r="AJ75" s="654">
        <f ca="1">OFFSET('2 Staff List'!$GU$64,AI75-1,0)</f>
        <v>22</v>
      </c>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1280">
        <f ca="1">OFFSET('2 Staff List'!$HW$64,AJ75-1,0)</f>
        <v>0</v>
      </c>
      <c r="DZ75" s="1281">
        <f ca="1">OFFSET('2 Staff List'!$HZ$64,AJ75-1,0)</f>
        <v>0</v>
      </c>
      <c r="EA75" s="3669">
        <f ca="1">OFFSET('2 Staff List'!$IA$64,AJ75-1,0)</f>
        <v>0</v>
      </c>
      <c r="EB75" s="3670"/>
      <c r="EC75" s="3673">
        <f t="shared" ref="EC75:EC96" ca="1" si="128">SUM(EG75:JD75)</f>
        <v>0</v>
      </c>
      <c r="ED75" s="3674"/>
      <c r="EE75" s="3675"/>
      <c r="EF75" s="3676"/>
      <c r="EG75" s="154">
        <f t="shared" ca="1" si="123"/>
        <v>0</v>
      </c>
      <c r="EH75" s="152">
        <f t="shared" ca="1" si="123"/>
        <v>0</v>
      </c>
      <c r="EI75" s="152">
        <f t="shared" ca="1" si="123"/>
        <v>0</v>
      </c>
      <c r="EJ75" s="152">
        <f t="shared" ca="1" si="123"/>
        <v>0</v>
      </c>
      <c r="EK75" s="152">
        <f t="shared" ca="1" si="123"/>
        <v>0</v>
      </c>
      <c r="EL75" s="152">
        <f t="shared" ca="1" si="123"/>
        <v>0</v>
      </c>
      <c r="EM75" s="152">
        <f t="shared" ca="1" si="123"/>
        <v>0</v>
      </c>
      <c r="EN75" s="152">
        <f t="shared" ca="1" si="123"/>
        <v>0</v>
      </c>
      <c r="EO75" s="152">
        <f t="shared" ca="1" si="123"/>
        <v>0</v>
      </c>
      <c r="EP75" s="152">
        <f t="shared" ca="1" si="123"/>
        <v>0</v>
      </c>
      <c r="EQ75" s="152">
        <f t="shared" ca="1" si="124"/>
        <v>0</v>
      </c>
      <c r="ER75" s="152">
        <f t="shared" ca="1" si="124"/>
        <v>0</v>
      </c>
      <c r="ES75" s="152">
        <f t="shared" ca="1" si="124"/>
        <v>0</v>
      </c>
      <c r="ET75" s="152">
        <f t="shared" ca="1" si="124"/>
        <v>0</v>
      </c>
      <c r="EU75" s="152">
        <f t="shared" ca="1" si="124"/>
        <v>0</v>
      </c>
      <c r="EV75" s="152">
        <f t="shared" ca="1" si="124"/>
        <v>0</v>
      </c>
      <c r="EW75" s="152">
        <f t="shared" ca="1" si="124"/>
        <v>0</v>
      </c>
      <c r="EX75" s="152">
        <f t="shared" ca="1" si="83"/>
        <v>0</v>
      </c>
      <c r="EY75" s="152">
        <f t="shared" ca="1" si="112"/>
        <v>0</v>
      </c>
      <c r="EZ75" s="152">
        <f t="shared" ca="1" si="112"/>
        <v>0</v>
      </c>
      <c r="FA75" s="152">
        <f t="shared" ca="1" si="112"/>
        <v>0</v>
      </c>
      <c r="FB75" s="152">
        <f t="shared" ca="1" si="112"/>
        <v>0</v>
      </c>
      <c r="FC75" s="152">
        <f t="shared" ca="1" si="112"/>
        <v>0</v>
      </c>
      <c r="FD75" s="152">
        <f t="shared" ca="1" si="112"/>
        <v>0</v>
      </c>
      <c r="FE75" s="152">
        <f t="shared" ca="1" si="112"/>
        <v>0</v>
      </c>
      <c r="FF75" s="152">
        <f t="shared" ca="1" si="112"/>
        <v>0</v>
      </c>
      <c r="FG75" s="152">
        <f t="shared" ca="1" si="112"/>
        <v>0</v>
      </c>
      <c r="FH75" s="152">
        <f t="shared" ca="1" si="112"/>
        <v>0</v>
      </c>
      <c r="FI75" s="152">
        <f t="shared" ca="1" si="113"/>
        <v>0</v>
      </c>
      <c r="FJ75" s="152">
        <f t="shared" ca="1" si="113"/>
        <v>0</v>
      </c>
      <c r="FK75" s="152">
        <f t="shared" ca="1" si="113"/>
        <v>0</v>
      </c>
      <c r="FL75" s="152">
        <f t="shared" ca="1" si="113"/>
        <v>0</v>
      </c>
      <c r="FM75" s="152">
        <f t="shared" ca="1" si="113"/>
        <v>0</v>
      </c>
      <c r="FN75" s="152">
        <f t="shared" ca="1" si="113"/>
        <v>0</v>
      </c>
      <c r="FO75" s="152">
        <f t="shared" ca="1" si="113"/>
        <v>0</v>
      </c>
      <c r="FP75" s="152">
        <f t="shared" ca="1" si="113"/>
        <v>0</v>
      </c>
      <c r="FQ75" s="152">
        <f t="shared" ca="1" si="113"/>
        <v>0</v>
      </c>
      <c r="FR75" s="152">
        <f t="shared" ca="1" si="113"/>
        <v>0</v>
      </c>
      <c r="FS75" s="152">
        <f t="shared" ca="1" si="114"/>
        <v>0</v>
      </c>
      <c r="FT75" s="152">
        <f t="shared" ca="1" si="114"/>
        <v>0</v>
      </c>
      <c r="FU75" s="152">
        <f t="shared" ca="1" si="114"/>
        <v>0</v>
      </c>
      <c r="FV75" s="152">
        <f t="shared" ca="1" si="114"/>
        <v>0</v>
      </c>
      <c r="FW75" s="152">
        <f t="shared" ca="1" si="114"/>
        <v>0</v>
      </c>
      <c r="FX75" s="152">
        <f t="shared" ca="1" si="114"/>
        <v>0</v>
      </c>
      <c r="FY75" s="152">
        <f t="shared" ca="1" si="114"/>
        <v>0</v>
      </c>
      <c r="FZ75" s="152">
        <f t="shared" ca="1" si="114"/>
        <v>0</v>
      </c>
      <c r="GA75" s="152">
        <f t="shared" ca="1" si="114"/>
        <v>0</v>
      </c>
      <c r="GB75" s="152">
        <f t="shared" ca="1" si="114"/>
        <v>0</v>
      </c>
      <c r="GC75" s="152">
        <f t="shared" ca="1" si="115"/>
        <v>0</v>
      </c>
      <c r="GD75" s="152">
        <f t="shared" ca="1" si="115"/>
        <v>0</v>
      </c>
      <c r="GE75" s="152">
        <f t="shared" ca="1" si="115"/>
        <v>0</v>
      </c>
      <c r="GF75" s="152">
        <f t="shared" ca="1" si="115"/>
        <v>0</v>
      </c>
      <c r="GG75" s="152">
        <f t="shared" ca="1" si="115"/>
        <v>0</v>
      </c>
      <c r="GH75" s="152">
        <f t="shared" ca="1" si="115"/>
        <v>0</v>
      </c>
      <c r="GI75" s="152">
        <f t="shared" ca="1" si="115"/>
        <v>0</v>
      </c>
      <c r="GJ75" s="152">
        <f t="shared" ca="1" si="115"/>
        <v>0</v>
      </c>
      <c r="GK75" s="152">
        <f t="shared" ca="1" si="115"/>
        <v>0</v>
      </c>
      <c r="GL75" s="152">
        <f t="shared" ca="1" si="115"/>
        <v>0</v>
      </c>
      <c r="GM75" s="152">
        <f t="shared" ca="1" si="116"/>
        <v>0</v>
      </c>
      <c r="GN75" s="152">
        <f t="shared" ca="1" si="116"/>
        <v>0</v>
      </c>
      <c r="GO75" s="152">
        <f t="shared" ca="1" si="116"/>
        <v>0</v>
      </c>
      <c r="GP75" s="152">
        <f t="shared" ca="1" si="116"/>
        <v>0</v>
      </c>
      <c r="GQ75" s="152">
        <f t="shared" ca="1" si="116"/>
        <v>0</v>
      </c>
      <c r="GR75" s="152">
        <f t="shared" ca="1" si="116"/>
        <v>0</v>
      </c>
      <c r="GS75" s="152">
        <f t="shared" ca="1" si="116"/>
        <v>0</v>
      </c>
      <c r="GT75" s="152">
        <f t="shared" ca="1" si="116"/>
        <v>0</v>
      </c>
      <c r="GU75" s="152">
        <f t="shared" ca="1" si="116"/>
        <v>0</v>
      </c>
      <c r="GV75" s="152">
        <f t="shared" ca="1" si="116"/>
        <v>0</v>
      </c>
      <c r="GW75" s="152">
        <f t="shared" ca="1" si="117"/>
        <v>0</v>
      </c>
      <c r="GX75" s="152">
        <f t="shared" ca="1" si="117"/>
        <v>0</v>
      </c>
      <c r="GY75" s="152">
        <f t="shared" ca="1" si="117"/>
        <v>0</v>
      </c>
      <c r="GZ75" s="152">
        <f t="shared" ca="1" si="117"/>
        <v>0</v>
      </c>
      <c r="HA75" s="152">
        <f t="shared" ca="1" si="117"/>
        <v>0</v>
      </c>
      <c r="HB75" s="152">
        <f t="shared" ca="1" si="117"/>
        <v>0</v>
      </c>
      <c r="HC75" s="152">
        <f t="shared" ca="1" si="117"/>
        <v>0</v>
      </c>
      <c r="HD75" s="152">
        <f t="shared" ca="1" si="117"/>
        <v>0</v>
      </c>
      <c r="HE75" s="152">
        <f t="shared" ca="1" si="117"/>
        <v>0</v>
      </c>
      <c r="HF75" s="152">
        <f t="shared" ca="1" si="117"/>
        <v>0</v>
      </c>
      <c r="HG75" s="152">
        <f t="shared" ca="1" si="118"/>
        <v>0</v>
      </c>
      <c r="HH75" s="152">
        <f t="shared" ca="1" si="118"/>
        <v>0</v>
      </c>
      <c r="HI75" s="152">
        <f t="shared" ca="1" si="118"/>
        <v>0</v>
      </c>
      <c r="HJ75" s="152">
        <f t="shared" ca="1" si="118"/>
        <v>0</v>
      </c>
      <c r="HK75" s="152">
        <f t="shared" ca="1" si="118"/>
        <v>0</v>
      </c>
      <c r="HL75" s="152">
        <f t="shared" ca="1" si="118"/>
        <v>0</v>
      </c>
      <c r="HM75" s="152">
        <f t="shared" ca="1" si="118"/>
        <v>0</v>
      </c>
      <c r="HN75" s="152">
        <f t="shared" ca="1" si="118"/>
        <v>0</v>
      </c>
      <c r="HO75" s="152">
        <f t="shared" ca="1" si="118"/>
        <v>0</v>
      </c>
      <c r="HP75" s="152">
        <f t="shared" ca="1" si="118"/>
        <v>0</v>
      </c>
      <c r="HQ75" s="152">
        <f t="shared" ca="1" si="119"/>
        <v>0</v>
      </c>
      <c r="HR75" s="152">
        <f t="shared" ca="1" si="119"/>
        <v>0</v>
      </c>
      <c r="HS75" s="152">
        <f t="shared" ca="1" si="119"/>
        <v>0</v>
      </c>
      <c r="HT75" s="152">
        <f t="shared" ca="1" si="119"/>
        <v>0</v>
      </c>
      <c r="HU75" s="152">
        <f t="shared" ca="1" si="119"/>
        <v>0</v>
      </c>
      <c r="HV75" s="152">
        <f t="shared" ca="1" si="119"/>
        <v>0</v>
      </c>
      <c r="HW75" s="152">
        <f t="shared" ca="1" si="119"/>
        <v>0</v>
      </c>
      <c r="HX75" s="152">
        <f t="shared" ca="1" si="119"/>
        <v>0</v>
      </c>
      <c r="HY75" s="152">
        <f t="shared" ca="1" si="119"/>
        <v>0</v>
      </c>
      <c r="HZ75" s="152">
        <f t="shared" ca="1" si="119"/>
        <v>0</v>
      </c>
      <c r="IA75" s="152">
        <f t="shared" ca="1" si="120"/>
        <v>0</v>
      </c>
      <c r="IB75" s="152">
        <f t="shared" ca="1" si="120"/>
        <v>0</v>
      </c>
      <c r="IC75" s="152">
        <f t="shared" ca="1" si="120"/>
        <v>0</v>
      </c>
      <c r="ID75" s="152">
        <f t="shared" ca="1" si="120"/>
        <v>0</v>
      </c>
      <c r="IE75" s="152">
        <f t="shared" ca="1" si="120"/>
        <v>0</v>
      </c>
      <c r="IF75" s="152">
        <f t="shared" ca="1" si="120"/>
        <v>0</v>
      </c>
      <c r="IG75" s="152">
        <f t="shared" ca="1" si="120"/>
        <v>0</v>
      </c>
      <c r="IH75" s="152">
        <f t="shared" ca="1" si="120"/>
        <v>0</v>
      </c>
      <c r="II75" s="152">
        <f t="shared" ca="1" si="120"/>
        <v>0</v>
      </c>
      <c r="IJ75" s="152">
        <f t="shared" ca="1" si="120"/>
        <v>0</v>
      </c>
      <c r="IK75" s="152">
        <f t="shared" ca="1" si="120"/>
        <v>0</v>
      </c>
      <c r="IL75" s="152">
        <f t="shared" ca="1" si="120"/>
        <v>0</v>
      </c>
      <c r="IM75" s="152">
        <f t="shared" ca="1" si="121"/>
        <v>0</v>
      </c>
      <c r="IN75" s="152">
        <f t="shared" ca="1" si="121"/>
        <v>0</v>
      </c>
      <c r="IO75" s="152">
        <f t="shared" ca="1" si="121"/>
        <v>0</v>
      </c>
      <c r="IP75" s="152">
        <f t="shared" ca="1" si="121"/>
        <v>0</v>
      </c>
      <c r="IQ75" s="152">
        <f t="shared" ca="1" si="121"/>
        <v>0</v>
      </c>
      <c r="IR75" s="152">
        <f t="shared" ca="1" si="121"/>
        <v>0</v>
      </c>
      <c r="IS75" s="152">
        <f t="shared" ca="1" si="121"/>
        <v>0</v>
      </c>
      <c r="IT75" s="152">
        <f t="shared" ca="1" si="121"/>
        <v>0</v>
      </c>
      <c r="IU75" s="152">
        <f t="shared" ca="1" si="121"/>
        <v>0</v>
      </c>
      <c r="IV75" s="152">
        <f t="shared" ca="1" si="121"/>
        <v>0</v>
      </c>
      <c r="IW75" s="152">
        <f t="shared" ca="1" si="122"/>
        <v>0</v>
      </c>
      <c r="IX75" s="152">
        <f t="shared" ca="1" si="122"/>
        <v>0</v>
      </c>
      <c r="IY75" s="152">
        <f t="shared" ca="1" si="122"/>
        <v>0</v>
      </c>
      <c r="IZ75" s="152">
        <f t="shared" ca="1" si="122"/>
        <v>0</v>
      </c>
      <c r="JA75" s="152">
        <f t="shared" ca="1" si="122"/>
        <v>0</v>
      </c>
      <c r="JB75" s="152">
        <f t="shared" ca="1" si="122"/>
        <v>0</v>
      </c>
      <c r="JC75" s="152">
        <f t="shared" ca="1" si="122"/>
        <v>0</v>
      </c>
      <c r="JD75" s="604"/>
    </row>
    <row r="76" spans="1:264" ht="12.75" customHeight="1" x14ac:dyDescent="0.25">
      <c r="A76" s="279"/>
      <c r="B76" s="41"/>
      <c r="C76" s="82"/>
      <c r="D76" s="41"/>
      <c r="E76" s="9"/>
      <c r="F76" s="9"/>
      <c r="G76" s="9"/>
      <c r="H76" s="10"/>
      <c r="I76" s="10"/>
      <c r="J76" s="10"/>
      <c r="K76" s="10"/>
      <c r="L76" s="10"/>
      <c r="M76" s="10"/>
      <c r="N76" s="9"/>
      <c r="O76" s="9"/>
      <c r="P76" s="44"/>
      <c r="Q76" s="44"/>
      <c r="R76" s="9"/>
      <c r="S76" s="9"/>
      <c r="T76" s="9"/>
      <c r="U76" s="9"/>
      <c r="V76" s="9"/>
      <c r="W76" s="9"/>
      <c r="X76" s="9"/>
      <c r="Y76" s="9"/>
      <c r="Z76" s="9"/>
      <c r="AA76" s="9"/>
      <c r="AB76" s="9"/>
      <c r="AC76" s="9"/>
      <c r="AD76" s="650">
        <f t="shared" si="64"/>
        <v>84</v>
      </c>
      <c r="AE76" s="654">
        <f ca="1">OFFSET('2 Staff List'!$IB$64,AJ76-1,0)</f>
        <v>0</v>
      </c>
      <c r="AF76" s="654">
        <f t="shared" si="125"/>
        <v>173.92857142857142</v>
      </c>
      <c r="AG76" s="9"/>
      <c r="AH76" s="654">
        <f t="shared" si="126"/>
        <v>239.15178571428569</v>
      </c>
      <c r="AI76" s="654">
        <f t="shared" si="127"/>
        <v>21</v>
      </c>
      <c r="AJ76" s="654">
        <f ca="1">OFFSET('2 Staff List'!$GU$64,AI76-1,0)</f>
        <v>21</v>
      </c>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1280">
        <f ca="1">OFFSET('2 Staff List'!$HW$64,AJ76-1,0)</f>
        <v>0</v>
      </c>
      <c r="DZ76" s="1281">
        <f ca="1">OFFSET('2 Staff List'!$HZ$64,AJ76-1,0)</f>
        <v>0</v>
      </c>
      <c r="EA76" s="3669">
        <f ca="1">OFFSET('2 Staff List'!$IA$64,AJ76-1,0)</f>
        <v>0</v>
      </c>
      <c r="EB76" s="3670"/>
      <c r="EC76" s="3673">
        <f t="shared" ca="1" si="128"/>
        <v>0</v>
      </c>
      <c r="ED76" s="3674"/>
      <c r="EE76" s="3675"/>
      <c r="EF76" s="3676"/>
      <c r="EG76" s="154">
        <f t="shared" ca="1" si="123"/>
        <v>0</v>
      </c>
      <c r="EH76" s="152">
        <f t="shared" ca="1" si="123"/>
        <v>0</v>
      </c>
      <c r="EI76" s="152">
        <f t="shared" ca="1" si="123"/>
        <v>0</v>
      </c>
      <c r="EJ76" s="152">
        <f t="shared" ca="1" si="123"/>
        <v>0</v>
      </c>
      <c r="EK76" s="152">
        <f t="shared" ca="1" si="123"/>
        <v>0</v>
      </c>
      <c r="EL76" s="152">
        <f t="shared" ca="1" si="123"/>
        <v>0</v>
      </c>
      <c r="EM76" s="152">
        <f t="shared" ca="1" si="123"/>
        <v>0</v>
      </c>
      <c r="EN76" s="152">
        <f t="shared" ca="1" si="123"/>
        <v>0</v>
      </c>
      <c r="EO76" s="152">
        <f t="shared" ca="1" si="123"/>
        <v>0</v>
      </c>
      <c r="EP76" s="152">
        <f t="shared" ca="1" si="123"/>
        <v>0</v>
      </c>
      <c r="EQ76" s="152">
        <f t="shared" ca="1" si="124"/>
        <v>0</v>
      </c>
      <c r="ER76" s="152">
        <f t="shared" ca="1" si="124"/>
        <v>0</v>
      </c>
      <c r="ES76" s="152">
        <f t="shared" ca="1" si="124"/>
        <v>0</v>
      </c>
      <c r="ET76" s="152">
        <f t="shared" ca="1" si="124"/>
        <v>0</v>
      </c>
      <c r="EU76" s="152">
        <f t="shared" ca="1" si="124"/>
        <v>0</v>
      </c>
      <c r="EV76" s="152">
        <f t="shared" ca="1" si="124"/>
        <v>0</v>
      </c>
      <c r="EW76" s="152">
        <f t="shared" ca="1" si="124"/>
        <v>0</v>
      </c>
      <c r="EX76" s="152">
        <f t="shared" ref="EX76:EX96" ca="1" si="129">IFERROR(SUMIFS(EX$129:EX$305,$DF$129:$DF$305,1,$DY$129:$DY$305,$EA76)*EX$17,0)</f>
        <v>0</v>
      </c>
      <c r="EY76" s="152">
        <f t="shared" ref="EY76:FH85" ca="1" si="130">IFERROR(SUMIFS(EY$129:EY$305,$DF$129:$DF$305,1,$DY$129:$DY$305,$EA76)*EY$17,0)</f>
        <v>0</v>
      </c>
      <c r="EZ76" s="152">
        <f t="shared" ca="1" si="130"/>
        <v>0</v>
      </c>
      <c r="FA76" s="152">
        <f t="shared" ca="1" si="130"/>
        <v>0</v>
      </c>
      <c r="FB76" s="152">
        <f t="shared" ca="1" si="130"/>
        <v>0</v>
      </c>
      <c r="FC76" s="152">
        <f t="shared" ca="1" si="130"/>
        <v>0</v>
      </c>
      <c r="FD76" s="152">
        <f t="shared" ca="1" si="130"/>
        <v>0</v>
      </c>
      <c r="FE76" s="152">
        <f t="shared" ca="1" si="130"/>
        <v>0</v>
      </c>
      <c r="FF76" s="152">
        <f t="shared" ca="1" si="130"/>
        <v>0</v>
      </c>
      <c r="FG76" s="152">
        <f t="shared" ca="1" si="130"/>
        <v>0</v>
      </c>
      <c r="FH76" s="152">
        <f t="shared" ca="1" si="130"/>
        <v>0</v>
      </c>
      <c r="FI76" s="152">
        <f t="shared" ref="FI76:FR85" ca="1" si="131">IFERROR(SUMIFS(FI$129:FI$305,$DF$129:$DF$305,1,$DY$129:$DY$305,$EA76)*FI$17,0)</f>
        <v>0</v>
      </c>
      <c r="FJ76" s="152">
        <f t="shared" ca="1" si="131"/>
        <v>0</v>
      </c>
      <c r="FK76" s="152">
        <f t="shared" ca="1" si="131"/>
        <v>0</v>
      </c>
      <c r="FL76" s="152">
        <f t="shared" ca="1" si="131"/>
        <v>0</v>
      </c>
      <c r="FM76" s="152">
        <f t="shared" ca="1" si="131"/>
        <v>0</v>
      </c>
      <c r="FN76" s="152">
        <f t="shared" ca="1" si="131"/>
        <v>0</v>
      </c>
      <c r="FO76" s="152">
        <f t="shared" ca="1" si="131"/>
        <v>0</v>
      </c>
      <c r="FP76" s="152">
        <f t="shared" ca="1" si="131"/>
        <v>0</v>
      </c>
      <c r="FQ76" s="152">
        <f t="shared" ca="1" si="131"/>
        <v>0</v>
      </c>
      <c r="FR76" s="152">
        <f t="shared" ca="1" si="131"/>
        <v>0</v>
      </c>
      <c r="FS76" s="152">
        <f t="shared" ref="FS76:GB85" ca="1" si="132">IFERROR(SUMIFS(FS$129:FS$305,$DF$129:$DF$305,1,$DY$129:$DY$305,$EA76)*FS$17,0)</f>
        <v>0</v>
      </c>
      <c r="FT76" s="152">
        <f t="shared" ca="1" si="132"/>
        <v>0</v>
      </c>
      <c r="FU76" s="152">
        <f t="shared" ca="1" si="132"/>
        <v>0</v>
      </c>
      <c r="FV76" s="152">
        <f t="shared" ca="1" si="132"/>
        <v>0</v>
      </c>
      <c r="FW76" s="152">
        <f t="shared" ca="1" si="132"/>
        <v>0</v>
      </c>
      <c r="FX76" s="152">
        <f t="shared" ca="1" si="132"/>
        <v>0</v>
      </c>
      <c r="FY76" s="152">
        <f t="shared" ca="1" si="132"/>
        <v>0</v>
      </c>
      <c r="FZ76" s="152">
        <f t="shared" ca="1" si="132"/>
        <v>0</v>
      </c>
      <c r="GA76" s="152">
        <f t="shared" ca="1" si="132"/>
        <v>0</v>
      </c>
      <c r="GB76" s="152">
        <f t="shared" ca="1" si="132"/>
        <v>0</v>
      </c>
      <c r="GC76" s="152">
        <f t="shared" ref="GC76:GL85" ca="1" si="133">IFERROR(SUMIFS(GC$129:GC$305,$DF$129:$DF$305,1,$DY$129:$DY$305,$EA76)*GC$17,0)</f>
        <v>0</v>
      </c>
      <c r="GD76" s="152">
        <f t="shared" ca="1" si="133"/>
        <v>0</v>
      </c>
      <c r="GE76" s="152">
        <f t="shared" ca="1" si="133"/>
        <v>0</v>
      </c>
      <c r="GF76" s="152">
        <f t="shared" ca="1" si="133"/>
        <v>0</v>
      </c>
      <c r="GG76" s="152">
        <f t="shared" ca="1" si="133"/>
        <v>0</v>
      </c>
      <c r="GH76" s="152">
        <f t="shared" ca="1" si="133"/>
        <v>0</v>
      </c>
      <c r="GI76" s="152">
        <f t="shared" ca="1" si="133"/>
        <v>0</v>
      </c>
      <c r="GJ76" s="152">
        <f t="shared" ca="1" si="133"/>
        <v>0</v>
      </c>
      <c r="GK76" s="152">
        <f t="shared" ca="1" si="133"/>
        <v>0</v>
      </c>
      <c r="GL76" s="152">
        <f t="shared" ca="1" si="133"/>
        <v>0</v>
      </c>
      <c r="GM76" s="152">
        <f t="shared" ref="GM76:GV85" ca="1" si="134">IFERROR(SUMIFS(GM$129:GM$305,$DF$129:$DF$305,1,$DY$129:$DY$305,$EA76)*GM$17,0)</f>
        <v>0</v>
      </c>
      <c r="GN76" s="152">
        <f t="shared" ca="1" si="134"/>
        <v>0</v>
      </c>
      <c r="GO76" s="152">
        <f t="shared" ca="1" si="134"/>
        <v>0</v>
      </c>
      <c r="GP76" s="152">
        <f t="shared" ca="1" si="134"/>
        <v>0</v>
      </c>
      <c r="GQ76" s="152">
        <f t="shared" ca="1" si="134"/>
        <v>0</v>
      </c>
      <c r="GR76" s="152">
        <f t="shared" ca="1" si="134"/>
        <v>0</v>
      </c>
      <c r="GS76" s="152">
        <f t="shared" ca="1" si="134"/>
        <v>0</v>
      </c>
      <c r="GT76" s="152">
        <f t="shared" ca="1" si="134"/>
        <v>0</v>
      </c>
      <c r="GU76" s="152">
        <f t="shared" ca="1" si="134"/>
        <v>0</v>
      </c>
      <c r="GV76" s="152">
        <f t="shared" ca="1" si="134"/>
        <v>0</v>
      </c>
      <c r="GW76" s="152">
        <f t="shared" ref="GW76:HF85" ca="1" si="135">IFERROR(SUMIFS(GW$129:GW$305,$DF$129:$DF$305,1,$DY$129:$DY$305,$EA76)*GW$17,0)</f>
        <v>0</v>
      </c>
      <c r="GX76" s="152">
        <f t="shared" ca="1" si="135"/>
        <v>0</v>
      </c>
      <c r="GY76" s="152">
        <f t="shared" ca="1" si="135"/>
        <v>0</v>
      </c>
      <c r="GZ76" s="152">
        <f t="shared" ca="1" si="135"/>
        <v>0</v>
      </c>
      <c r="HA76" s="152">
        <f t="shared" ca="1" si="135"/>
        <v>0</v>
      </c>
      <c r="HB76" s="152">
        <f t="shared" ca="1" si="135"/>
        <v>0</v>
      </c>
      <c r="HC76" s="152">
        <f t="shared" ca="1" si="135"/>
        <v>0</v>
      </c>
      <c r="HD76" s="152">
        <f t="shared" ca="1" si="135"/>
        <v>0</v>
      </c>
      <c r="HE76" s="152">
        <f t="shared" ca="1" si="135"/>
        <v>0</v>
      </c>
      <c r="HF76" s="152">
        <f t="shared" ca="1" si="135"/>
        <v>0</v>
      </c>
      <c r="HG76" s="152">
        <f t="shared" ref="HG76:HP85" ca="1" si="136">IFERROR(SUMIFS(HG$129:HG$305,$DF$129:$DF$305,1,$DY$129:$DY$305,$EA76)*HG$17,0)</f>
        <v>0</v>
      </c>
      <c r="HH76" s="152">
        <f t="shared" ca="1" si="136"/>
        <v>0</v>
      </c>
      <c r="HI76" s="152">
        <f t="shared" ca="1" si="136"/>
        <v>0</v>
      </c>
      <c r="HJ76" s="152">
        <f t="shared" ca="1" si="136"/>
        <v>0</v>
      </c>
      <c r="HK76" s="152">
        <f t="shared" ca="1" si="136"/>
        <v>0</v>
      </c>
      <c r="HL76" s="152">
        <f t="shared" ca="1" si="136"/>
        <v>0</v>
      </c>
      <c r="HM76" s="152">
        <f t="shared" ca="1" si="136"/>
        <v>0</v>
      </c>
      <c r="HN76" s="152">
        <f t="shared" ca="1" si="136"/>
        <v>0</v>
      </c>
      <c r="HO76" s="152">
        <f t="shared" ca="1" si="136"/>
        <v>0</v>
      </c>
      <c r="HP76" s="152">
        <f t="shared" ca="1" si="136"/>
        <v>0</v>
      </c>
      <c r="HQ76" s="152">
        <f t="shared" ref="HQ76:HZ85" ca="1" si="137">IFERROR(SUMIFS(HQ$129:HQ$305,$DF$129:$DF$305,1,$DY$129:$DY$305,$EA76)*HQ$17,0)</f>
        <v>0</v>
      </c>
      <c r="HR76" s="152">
        <f t="shared" ca="1" si="137"/>
        <v>0</v>
      </c>
      <c r="HS76" s="152">
        <f t="shared" ca="1" si="137"/>
        <v>0</v>
      </c>
      <c r="HT76" s="152">
        <f t="shared" ca="1" si="137"/>
        <v>0</v>
      </c>
      <c r="HU76" s="152">
        <f t="shared" ca="1" si="137"/>
        <v>0</v>
      </c>
      <c r="HV76" s="152">
        <f t="shared" ca="1" si="137"/>
        <v>0</v>
      </c>
      <c r="HW76" s="152">
        <f t="shared" ca="1" si="137"/>
        <v>0</v>
      </c>
      <c r="HX76" s="152">
        <f t="shared" ca="1" si="137"/>
        <v>0</v>
      </c>
      <c r="HY76" s="152">
        <f t="shared" ca="1" si="137"/>
        <v>0</v>
      </c>
      <c r="HZ76" s="152">
        <f t="shared" ca="1" si="137"/>
        <v>0</v>
      </c>
      <c r="IA76" s="152">
        <f t="shared" ref="IA76:IL85" ca="1" si="138">IFERROR(SUMIFS(IA$129:IA$305,$DF$129:$DF$305,1,$DY$129:$DY$305,$EA76)*IA$17,0)</f>
        <v>0</v>
      </c>
      <c r="IB76" s="152">
        <f t="shared" ca="1" si="138"/>
        <v>0</v>
      </c>
      <c r="IC76" s="152">
        <f t="shared" ca="1" si="138"/>
        <v>0</v>
      </c>
      <c r="ID76" s="152">
        <f t="shared" ca="1" si="138"/>
        <v>0</v>
      </c>
      <c r="IE76" s="152">
        <f t="shared" ca="1" si="138"/>
        <v>0</v>
      </c>
      <c r="IF76" s="152">
        <f t="shared" ca="1" si="138"/>
        <v>0</v>
      </c>
      <c r="IG76" s="152">
        <f t="shared" ca="1" si="138"/>
        <v>0</v>
      </c>
      <c r="IH76" s="152">
        <f t="shared" ca="1" si="138"/>
        <v>0</v>
      </c>
      <c r="II76" s="152">
        <f t="shared" ca="1" si="138"/>
        <v>0</v>
      </c>
      <c r="IJ76" s="152">
        <f t="shared" ca="1" si="138"/>
        <v>0</v>
      </c>
      <c r="IK76" s="152">
        <f t="shared" ca="1" si="138"/>
        <v>0</v>
      </c>
      <c r="IL76" s="152">
        <f t="shared" ca="1" si="138"/>
        <v>0</v>
      </c>
      <c r="IM76" s="152">
        <f t="shared" ca="1" si="121"/>
        <v>0</v>
      </c>
      <c r="IN76" s="152">
        <f t="shared" ca="1" si="121"/>
        <v>0</v>
      </c>
      <c r="IO76" s="152">
        <f t="shared" ca="1" si="121"/>
        <v>0</v>
      </c>
      <c r="IP76" s="152">
        <f t="shared" ca="1" si="121"/>
        <v>0</v>
      </c>
      <c r="IQ76" s="152">
        <f t="shared" ca="1" si="121"/>
        <v>0</v>
      </c>
      <c r="IR76" s="152">
        <f t="shared" ca="1" si="121"/>
        <v>0</v>
      </c>
      <c r="IS76" s="152">
        <f t="shared" ca="1" si="121"/>
        <v>0</v>
      </c>
      <c r="IT76" s="152">
        <f t="shared" ca="1" si="121"/>
        <v>0</v>
      </c>
      <c r="IU76" s="152">
        <f t="shared" ca="1" si="121"/>
        <v>0</v>
      </c>
      <c r="IV76" s="152">
        <f t="shared" ca="1" si="121"/>
        <v>0</v>
      </c>
      <c r="IW76" s="152">
        <f t="shared" ca="1" si="122"/>
        <v>0</v>
      </c>
      <c r="IX76" s="152">
        <f t="shared" ca="1" si="122"/>
        <v>0</v>
      </c>
      <c r="IY76" s="152">
        <f t="shared" ca="1" si="122"/>
        <v>0</v>
      </c>
      <c r="IZ76" s="152">
        <f t="shared" ca="1" si="122"/>
        <v>0</v>
      </c>
      <c r="JA76" s="152">
        <f t="shared" ca="1" si="122"/>
        <v>0</v>
      </c>
      <c r="JB76" s="152">
        <f t="shared" ca="1" si="122"/>
        <v>0</v>
      </c>
      <c r="JC76" s="152">
        <f t="shared" ca="1" si="122"/>
        <v>0</v>
      </c>
      <c r="JD76" s="604"/>
    </row>
    <row r="77" spans="1:264" ht="12.75" customHeight="1" x14ac:dyDescent="0.25">
      <c r="A77" s="279"/>
      <c r="B77" s="41"/>
      <c r="C77" s="82"/>
      <c r="D77" s="41"/>
      <c r="E77" s="9"/>
      <c r="F77" s="9"/>
      <c r="G77" s="9"/>
      <c r="H77" s="10"/>
      <c r="I77" s="10"/>
      <c r="J77" s="10"/>
      <c r="K77" s="10"/>
      <c r="L77" s="10"/>
      <c r="M77" s="10"/>
      <c r="N77" s="9"/>
      <c r="O77" s="9"/>
      <c r="P77" s="44"/>
      <c r="Q77" s="44"/>
      <c r="R77" s="9"/>
      <c r="S77" s="9"/>
      <c r="T77" s="9"/>
      <c r="U77" s="9"/>
      <c r="V77" s="9"/>
      <c r="W77" s="9"/>
      <c r="X77" s="9"/>
      <c r="Y77" s="9"/>
      <c r="Z77" s="9"/>
      <c r="AA77" s="9"/>
      <c r="AB77" s="9"/>
      <c r="AC77" s="9"/>
      <c r="AD77" s="650">
        <f t="shared" si="64"/>
        <v>83</v>
      </c>
      <c r="AE77" s="654">
        <f ca="1">OFFSET('2 Staff List'!$IB$64,AJ77-1,0)</f>
        <v>0</v>
      </c>
      <c r="AF77" s="654">
        <f t="shared" si="125"/>
        <v>173.92857142857142</v>
      </c>
      <c r="AG77" s="9"/>
      <c r="AH77" s="654">
        <f t="shared" si="126"/>
        <v>239.15178571428569</v>
      </c>
      <c r="AI77" s="654">
        <f t="shared" si="127"/>
        <v>20</v>
      </c>
      <c r="AJ77" s="654">
        <f ca="1">OFFSET('2 Staff List'!$GU$64,AI77-1,0)</f>
        <v>20</v>
      </c>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1280">
        <f ca="1">OFFSET('2 Staff List'!$HW$64,AJ77-1,0)</f>
        <v>0</v>
      </c>
      <c r="DZ77" s="1281">
        <f ca="1">OFFSET('2 Staff List'!$HZ$64,AJ77-1,0)</f>
        <v>0</v>
      </c>
      <c r="EA77" s="3669">
        <f ca="1">OFFSET('2 Staff List'!$IA$64,AJ77-1,0)</f>
        <v>0</v>
      </c>
      <c r="EB77" s="3670"/>
      <c r="EC77" s="3673">
        <f t="shared" ca="1" si="128"/>
        <v>0</v>
      </c>
      <c r="ED77" s="3674"/>
      <c r="EE77" s="3675"/>
      <c r="EF77" s="3676"/>
      <c r="EG77" s="154">
        <f t="shared" ca="1" si="123"/>
        <v>0</v>
      </c>
      <c r="EH77" s="152">
        <f t="shared" ca="1" si="123"/>
        <v>0</v>
      </c>
      <c r="EI77" s="152">
        <f t="shared" ca="1" si="123"/>
        <v>0</v>
      </c>
      <c r="EJ77" s="152">
        <f t="shared" ca="1" si="123"/>
        <v>0</v>
      </c>
      <c r="EK77" s="152">
        <f t="shared" ca="1" si="123"/>
        <v>0</v>
      </c>
      <c r="EL77" s="152">
        <f t="shared" ca="1" si="123"/>
        <v>0</v>
      </c>
      <c r="EM77" s="152">
        <f t="shared" ca="1" si="123"/>
        <v>0</v>
      </c>
      <c r="EN77" s="152">
        <f t="shared" ca="1" si="123"/>
        <v>0</v>
      </c>
      <c r="EO77" s="152">
        <f t="shared" ca="1" si="123"/>
        <v>0</v>
      </c>
      <c r="EP77" s="152">
        <f t="shared" ca="1" si="123"/>
        <v>0</v>
      </c>
      <c r="EQ77" s="152">
        <f t="shared" ca="1" si="124"/>
        <v>0</v>
      </c>
      <c r="ER77" s="152">
        <f t="shared" ca="1" si="124"/>
        <v>0</v>
      </c>
      <c r="ES77" s="152">
        <f t="shared" ca="1" si="124"/>
        <v>0</v>
      </c>
      <c r="ET77" s="152">
        <f t="shared" ca="1" si="124"/>
        <v>0</v>
      </c>
      <c r="EU77" s="152">
        <f t="shared" ca="1" si="124"/>
        <v>0</v>
      </c>
      <c r="EV77" s="152">
        <f t="shared" ca="1" si="124"/>
        <v>0</v>
      </c>
      <c r="EW77" s="152">
        <f t="shared" ca="1" si="124"/>
        <v>0</v>
      </c>
      <c r="EX77" s="152">
        <f t="shared" ca="1" si="129"/>
        <v>0</v>
      </c>
      <c r="EY77" s="152">
        <f t="shared" ca="1" si="130"/>
        <v>0</v>
      </c>
      <c r="EZ77" s="152">
        <f t="shared" ca="1" si="130"/>
        <v>0</v>
      </c>
      <c r="FA77" s="152">
        <f t="shared" ca="1" si="130"/>
        <v>0</v>
      </c>
      <c r="FB77" s="152">
        <f t="shared" ca="1" si="130"/>
        <v>0</v>
      </c>
      <c r="FC77" s="152">
        <f t="shared" ca="1" si="130"/>
        <v>0</v>
      </c>
      <c r="FD77" s="152">
        <f t="shared" ca="1" si="130"/>
        <v>0</v>
      </c>
      <c r="FE77" s="152">
        <f t="shared" ca="1" si="130"/>
        <v>0</v>
      </c>
      <c r="FF77" s="152">
        <f t="shared" ca="1" si="130"/>
        <v>0</v>
      </c>
      <c r="FG77" s="152">
        <f t="shared" ca="1" si="130"/>
        <v>0</v>
      </c>
      <c r="FH77" s="152">
        <f t="shared" ca="1" si="130"/>
        <v>0</v>
      </c>
      <c r="FI77" s="152">
        <f t="shared" ca="1" si="131"/>
        <v>0</v>
      </c>
      <c r="FJ77" s="152">
        <f t="shared" ca="1" si="131"/>
        <v>0</v>
      </c>
      <c r="FK77" s="152">
        <f t="shared" ca="1" si="131"/>
        <v>0</v>
      </c>
      <c r="FL77" s="152">
        <f t="shared" ca="1" si="131"/>
        <v>0</v>
      </c>
      <c r="FM77" s="152">
        <f t="shared" ca="1" si="131"/>
        <v>0</v>
      </c>
      <c r="FN77" s="152">
        <f t="shared" ca="1" si="131"/>
        <v>0</v>
      </c>
      <c r="FO77" s="152">
        <f t="shared" ca="1" si="131"/>
        <v>0</v>
      </c>
      <c r="FP77" s="152">
        <f t="shared" ca="1" si="131"/>
        <v>0</v>
      </c>
      <c r="FQ77" s="152">
        <f t="shared" ca="1" si="131"/>
        <v>0</v>
      </c>
      <c r="FR77" s="152">
        <f t="shared" ca="1" si="131"/>
        <v>0</v>
      </c>
      <c r="FS77" s="152">
        <f t="shared" ca="1" si="132"/>
        <v>0</v>
      </c>
      <c r="FT77" s="152">
        <f t="shared" ca="1" si="132"/>
        <v>0</v>
      </c>
      <c r="FU77" s="152">
        <f t="shared" ca="1" si="132"/>
        <v>0</v>
      </c>
      <c r="FV77" s="152">
        <f t="shared" ca="1" si="132"/>
        <v>0</v>
      </c>
      <c r="FW77" s="152">
        <f t="shared" ca="1" si="132"/>
        <v>0</v>
      </c>
      <c r="FX77" s="152">
        <f t="shared" ca="1" si="132"/>
        <v>0</v>
      </c>
      <c r="FY77" s="152">
        <f t="shared" ca="1" si="132"/>
        <v>0</v>
      </c>
      <c r="FZ77" s="152">
        <f t="shared" ca="1" si="132"/>
        <v>0</v>
      </c>
      <c r="GA77" s="152">
        <f t="shared" ca="1" si="132"/>
        <v>0</v>
      </c>
      <c r="GB77" s="152">
        <f t="shared" ca="1" si="132"/>
        <v>0</v>
      </c>
      <c r="GC77" s="152">
        <f t="shared" ca="1" si="133"/>
        <v>0</v>
      </c>
      <c r="GD77" s="152">
        <f t="shared" ca="1" si="133"/>
        <v>0</v>
      </c>
      <c r="GE77" s="152">
        <f t="shared" ca="1" si="133"/>
        <v>0</v>
      </c>
      <c r="GF77" s="152">
        <f t="shared" ca="1" si="133"/>
        <v>0</v>
      </c>
      <c r="GG77" s="152">
        <f t="shared" ca="1" si="133"/>
        <v>0</v>
      </c>
      <c r="GH77" s="152">
        <f t="shared" ca="1" si="133"/>
        <v>0</v>
      </c>
      <c r="GI77" s="152">
        <f t="shared" ca="1" si="133"/>
        <v>0</v>
      </c>
      <c r="GJ77" s="152">
        <f t="shared" ca="1" si="133"/>
        <v>0</v>
      </c>
      <c r="GK77" s="152">
        <f t="shared" ca="1" si="133"/>
        <v>0</v>
      </c>
      <c r="GL77" s="152">
        <f t="shared" ca="1" si="133"/>
        <v>0</v>
      </c>
      <c r="GM77" s="152">
        <f t="shared" ca="1" si="134"/>
        <v>0</v>
      </c>
      <c r="GN77" s="152">
        <f t="shared" ca="1" si="134"/>
        <v>0</v>
      </c>
      <c r="GO77" s="152">
        <f t="shared" ca="1" si="134"/>
        <v>0</v>
      </c>
      <c r="GP77" s="152">
        <f t="shared" ca="1" si="134"/>
        <v>0</v>
      </c>
      <c r="GQ77" s="152">
        <f t="shared" ca="1" si="134"/>
        <v>0</v>
      </c>
      <c r="GR77" s="152">
        <f t="shared" ca="1" si="134"/>
        <v>0</v>
      </c>
      <c r="GS77" s="152">
        <f t="shared" ca="1" si="134"/>
        <v>0</v>
      </c>
      <c r="GT77" s="152">
        <f t="shared" ca="1" si="134"/>
        <v>0</v>
      </c>
      <c r="GU77" s="152">
        <f t="shared" ca="1" si="134"/>
        <v>0</v>
      </c>
      <c r="GV77" s="152">
        <f t="shared" ca="1" si="134"/>
        <v>0</v>
      </c>
      <c r="GW77" s="152">
        <f t="shared" ca="1" si="135"/>
        <v>0</v>
      </c>
      <c r="GX77" s="152">
        <f t="shared" ca="1" si="135"/>
        <v>0</v>
      </c>
      <c r="GY77" s="152">
        <f t="shared" ca="1" si="135"/>
        <v>0</v>
      </c>
      <c r="GZ77" s="152">
        <f t="shared" ca="1" si="135"/>
        <v>0</v>
      </c>
      <c r="HA77" s="152">
        <f t="shared" ca="1" si="135"/>
        <v>0</v>
      </c>
      <c r="HB77" s="152">
        <f t="shared" ca="1" si="135"/>
        <v>0</v>
      </c>
      <c r="HC77" s="152">
        <f t="shared" ca="1" si="135"/>
        <v>0</v>
      </c>
      <c r="HD77" s="152">
        <f t="shared" ca="1" si="135"/>
        <v>0</v>
      </c>
      <c r="HE77" s="152">
        <f t="shared" ca="1" si="135"/>
        <v>0</v>
      </c>
      <c r="HF77" s="152">
        <f t="shared" ca="1" si="135"/>
        <v>0</v>
      </c>
      <c r="HG77" s="152">
        <f t="shared" ca="1" si="136"/>
        <v>0</v>
      </c>
      <c r="HH77" s="152">
        <f t="shared" ca="1" si="136"/>
        <v>0</v>
      </c>
      <c r="HI77" s="152">
        <f t="shared" ca="1" si="136"/>
        <v>0</v>
      </c>
      <c r="HJ77" s="152">
        <f t="shared" ca="1" si="136"/>
        <v>0</v>
      </c>
      <c r="HK77" s="152">
        <f t="shared" ca="1" si="136"/>
        <v>0</v>
      </c>
      <c r="HL77" s="152">
        <f t="shared" ca="1" si="136"/>
        <v>0</v>
      </c>
      <c r="HM77" s="152">
        <f t="shared" ca="1" si="136"/>
        <v>0</v>
      </c>
      <c r="HN77" s="152">
        <f t="shared" ca="1" si="136"/>
        <v>0</v>
      </c>
      <c r="HO77" s="152">
        <f t="shared" ca="1" si="136"/>
        <v>0</v>
      </c>
      <c r="HP77" s="152">
        <f t="shared" ca="1" si="136"/>
        <v>0</v>
      </c>
      <c r="HQ77" s="152">
        <f t="shared" ca="1" si="137"/>
        <v>0</v>
      </c>
      <c r="HR77" s="152">
        <f t="shared" ca="1" si="137"/>
        <v>0</v>
      </c>
      <c r="HS77" s="152">
        <f t="shared" ca="1" si="137"/>
        <v>0</v>
      </c>
      <c r="HT77" s="152">
        <f t="shared" ca="1" si="137"/>
        <v>0</v>
      </c>
      <c r="HU77" s="152">
        <f t="shared" ca="1" si="137"/>
        <v>0</v>
      </c>
      <c r="HV77" s="152">
        <f t="shared" ca="1" si="137"/>
        <v>0</v>
      </c>
      <c r="HW77" s="152">
        <f t="shared" ca="1" si="137"/>
        <v>0</v>
      </c>
      <c r="HX77" s="152">
        <f t="shared" ca="1" si="137"/>
        <v>0</v>
      </c>
      <c r="HY77" s="152">
        <f t="shared" ca="1" si="137"/>
        <v>0</v>
      </c>
      <c r="HZ77" s="152">
        <f t="shared" ca="1" si="137"/>
        <v>0</v>
      </c>
      <c r="IA77" s="152">
        <f t="shared" ca="1" si="138"/>
        <v>0</v>
      </c>
      <c r="IB77" s="152">
        <f t="shared" ca="1" si="138"/>
        <v>0</v>
      </c>
      <c r="IC77" s="152">
        <f t="shared" ca="1" si="138"/>
        <v>0</v>
      </c>
      <c r="ID77" s="152">
        <f t="shared" ca="1" si="138"/>
        <v>0</v>
      </c>
      <c r="IE77" s="152">
        <f t="shared" ca="1" si="138"/>
        <v>0</v>
      </c>
      <c r="IF77" s="152">
        <f t="shared" ca="1" si="138"/>
        <v>0</v>
      </c>
      <c r="IG77" s="152">
        <f t="shared" ca="1" si="138"/>
        <v>0</v>
      </c>
      <c r="IH77" s="152">
        <f t="shared" ca="1" si="138"/>
        <v>0</v>
      </c>
      <c r="II77" s="152">
        <f t="shared" ca="1" si="138"/>
        <v>0</v>
      </c>
      <c r="IJ77" s="152">
        <f t="shared" ca="1" si="138"/>
        <v>0</v>
      </c>
      <c r="IK77" s="152">
        <f t="shared" ca="1" si="138"/>
        <v>0</v>
      </c>
      <c r="IL77" s="152">
        <f t="shared" ca="1" si="138"/>
        <v>0</v>
      </c>
      <c r="IM77" s="152">
        <f t="shared" ref="IM77:IV91" ca="1" si="139">IFERROR(SUMIFS(IM$129:IM$305,$DF$129:$DF$305,1,$DY$129:$DY$305,$EA77)*IM$17,0)</f>
        <v>0</v>
      </c>
      <c r="IN77" s="152">
        <f t="shared" ca="1" si="139"/>
        <v>0</v>
      </c>
      <c r="IO77" s="152">
        <f t="shared" ca="1" si="139"/>
        <v>0</v>
      </c>
      <c r="IP77" s="152">
        <f t="shared" ca="1" si="139"/>
        <v>0</v>
      </c>
      <c r="IQ77" s="152">
        <f t="shared" ca="1" si="139"/>
        <v>0</v>
      </c>
      <c r="IR77" s="152">
        <f t="shared" ca="1" si="139"/>
        <v>0</v>
      </c>
      <c r="IS77" s="152">
        <f t="shared" ca="1" si="139"/>
        <v>0</v>
      </c>
      <c r="IT77" s="152">
        <f t="shared" ca="1" si="139"/>
        <v>0</v>
      </c>
      <c r="IU77" s="152">
        <f t="shared" ca="1" si="139"/>
        <v>0</v>
      </c>
      <c r="IV77" s="152">
        <f t="shared" ca="1" si="139"/>
        <v>0</v>
      </c>
      <c r="IW77" s="152">
        <f t="shared" ref="IW77:JC91" ca="1" si="140">IFERROR(SUMIFS(IW$129:IW$305,$DF$129:$DF$305,1,$DY$129:$DY$305,$EA77)*IW$17,0)</f>
        <v>0</v>
      </c>
      <c r="IX77" s="152">
        <f t="shared" ca="1" si="140"/>
        <v>0</v>
      </c>
      <c r="IY77" s="152">
        <f t="shared" ca="1" si="140"/>
        <v>0</v>
      </c>
      <c r="IZ77" s="152">
        <f t="shared" ca="1" si="140"/>
        <v>0</v>
      </c>
      <c r="JA77" s="152">
        <f t="shared" ca="1" si="140"/>
        <v>0</v>
      </c>
      <c r="JB77" s="152">
        <f t="shared" ca="1" si="140"/>
        <v>0</v>
      </c>
      <c r="JC77" s="152">
        <f t="shared" ca="1" si="140"/>
        <v>0</v>
      </c>
      <c r="JD77" s="604"/>
    </row>
    <row r="78" spans="1:264" ht="12.75" customHeight="1" x14ac:dyDescent="0.25">
      <c r="A78" s="279"/>
      <c r="B78" s="41"/>
      <c r="C78" s="82"/>
      <c r="D78" s="41"/>
      <c r="E78" s="9"/>
      <c r="F78" s="9"/>
      <c r="G78" s="9"/>
      <c r="H78" s="10"/>
      <c r="I78" s="10"/>
      <c r="J78" s="10"/>
      <c r="K78" s="10"/>
      <c r="L78" s="10"/>
      <c r="M78" s="10"/>
      <c r="N78" s="9"/>
      <c r="O78" s="9"/>
      <c r="P78" s="44"/>
      <c r="Q78" s="44"/>
      <c r="R78" s="9"/>
      <c r="S78" s="9"/>
      <c r="T78" s="9"/>
      <c r="U78" s="9"/>
      <c r="V78" s="9"/>
      <c r="W78" s="9"/>
      <c r="X78" s="9"/>
      <c r="Y78" s="9"/>
      <c r="Z78" s="9"/>
      <c r="AA78" s="9"/>
      <c r="AB78" s="9"/>
      <c r="AC78" s="9"/>
      <c r="AD78" s="650">
        <f t="shared" si="64"/>
        <v>82</v>
      </c>
      <c r="AE78" s="654">
        <f ca="1">OFFSET('2 Staff List'!$IB$64,AJ78-1,0)</f>
        <v>0</v>
      </c>
      <c r="AF78" s="654">
        <f t="shared" si="125"/>
        <v>173.92857142857142</v>
      </c>
      <c r="AG78" s="9"/>
      <c r="AH78" s="654">
        <f t="shared" si="126"/>
        <v>239.15178571428569</v>
      </c>
      <c r="AI78" s="654">
        <f t="shared" si="127"/>
        <v>19</v>
      </c>
      <c r="AJ78" s="654">
        <f ca="1">OFFSET('2 Staff List'!$GU$64,AI78-1,0)</f>
        <v>19</v>
      </c>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1280">
        <f ca="1">OFFSET('2 Staff List'!$HW$64,AJ78-1,0)</f>
        <v>0</v>
      </c>
      <c r="DZ78" s="1281">
        <f ca="1">OFFSET('2 Staff List'!$HZ$64,AJ78-1,0)</f>
        <v>0</v>
      </c>
      <c r="EA78" s="3669">
        <f ca="1">OFFSET('2 Staff List'!$IA$64,AJ78-1,0)</f>
        <v>0</v>
      </c>
      <c r="EB78" s="3670"/>
      <c r="EC78" s="3673">
        <f t="shared" ca="1" si="128"/>
        <v>0</v>
      </c>
      <c r="ED78" s="3674"/>
      <c r="EE78" s="3675"/>
      <c r="EF78" s="3676"/>
      <c r="EG78" s="154">
        <f t="shared" ca="1" si="123"/>
        <v>0</v>
      </c>
      <c r="EH78" s="152">
        <f t="shared" ca="1" si="123"/>
        <v>0</v>
      </c>
      <c r="EI78" s="152">
        <f t="shared" ca="1" si="123"/>
        <v>0</v>
      </c>
      <c r="EJ78" s="152">
        <f t="shared" ca="1" si="123"/>
        <v>0</v>
      </c>
      <c r="EK78" s="152">
        <f t="shared" ca="1" si="123"/>
        <v>0</v>
      </c>
      <c r="EL78" s="152">
        <f t="shared" ca="1" si="123"/>
        <v>0</v>
      </c>
      <c r="EM78" s="152">
        <f t="shared" ca="1" si="123"/>
        <v>0</v>
      </c>
      <c r="EN78" s="152">
        <f t="shared" ca="1" si="123"/>
        <v>0</v>
      </c>
      <c r="EO78" s="152">
        <f t="shared" ca="1" si="123"/>
        <v>0</v>
      </c>
      <c r="EP78" s="152">
        <f t="shared" ca="1" si="123"/>
        <v>0</v>
      </c>
      <c r="EQ78" s="152">
        <f t="shared" ca="1" si="124"/>
        <v>0</v>
      </c>
      <c r="ER78" s="152">
        <f t="shared" ca="1" si="124"/>
        <v>0</v>
      </c>
      <c r="ES78" s="152">
        <f t="shared" ca="1" si="124"/>
        <v>0</v>
      </c>
      <c r="ET78" s="152">
        <f t="shared" ca="1" si="124"/>
        <v>0</v>
      </c>
      <c r="EU78" s="152">
        <f t="shared" ca="1" si="124"/>
        <v>0</v>
      </c>
      <c r="EV78" s="152">
        <f t="shared" ca="1" si="124"/>
        <v>0</v>
      </c>
      <c r="EW78" s="152">
        <f t="shared" ca="1" si="124"/>
        <v>0</v>
      </c>
      <c r="EX78" s="152">
        <f t="shared" ca="1" si="129"/>
        <v>0</v>
      </c>
      <c r="EY78" s="152">
        <f t="shared" ca="1" si="130"/>
        <v>0</v>
      </c>
      <c r="EZ78" s="152">
        <f t="shared" ca="1" si="130"/>
        <v>0</v>
      </c>
      <c r="FA78" s="152">
        <f t="shared" ca="1" si="130"/>
        <v>0</v>
      </c>
      <c r="FB78" s="152">
        <f t="shared" ca="1" si="130"/>
        <v>0</v>
      </c>
      <c r="FC78" s="152">
        <f t="shared" ca="1" si="130"/>
        <v>0</v>
      </c>
      <c r="FD78" s="152">
        <f t="shared" ca="1" si="130"/>
        <v>0</v>
      </c>
      <c r="FE78" s="152">
        <f t="shared" ca="1" si="130"/>
        <v>0</v>
      </c>
      <c r="FF78" s="152">
        <f t="shared" ca="1" si="130"/>
        <v>0</v>
      </c>
      <c r="FG78" s="152">
        <f t="shared" ca="1" si="130"/>
        <v>0</v>
      </c>
      <c r="FH78" s="152">
        <f t="shared" ca="1" si="130"/>
        <v>0</v>
      </c>
      <c r="FI78" s="152">
        <f t="shared" ca="1" si="131"/>
        <v>0</v>
      </c>
      <c r="FJ78" s="152">
        <f t="shared" ca="1" si="131"/>
        <v>0</v>
      </c>
      <c r="FK78" s="152">
        <f t="shared" ca="1" si="131"/>
        <v>0</v>
      </c>
      <c r="FL78" s="152">
        <f t="shared" ca="1" si="131"/>
        <v>0</v>
      </c>
      <c r="FM78" s="152">
        <f t="shared" ca="1" si="131"/>
        <v>0</v>
      </c>
      <c r="FN78" s="152">
        <f t="shared" ca="1" si="131"/>
        <v>0</v>
      </c>
      <c r="FO78" s="152">
        <f t="shared" ca="1" si="131"/>
        <v>0</v>
      </c>
      <c r="FP78" s="152">
        <f t="shared" ca="1" si="131"/>
        <v>0</v>
      </c>
      <c r="FQ78" s="152">
        <f t="shared" ca="1" si="131"/>
        <v>0</v>
      </c>
      <c r="FR78" s="152">
        <f t="shared" ca="1" si="131"/>
        <v>0</v>
      </c>
      <c r="FS78" s="152">
        <f t="shared" ca="1" si="132"/>
        <v>0</v>
      </c>
      <c r="FT78" s="152">
        <f t="shared" ca="1" si="132"/>
        <v>0</v>
      </c>
      <c r="FU78" s="152">
        <f t="shared" ca="1" si="132"/>
        <v>0</v>
      </c>
      <c r="FV78" s="152">
        <f t="shared" ca="1" si="132"/>
        <v>0</v>
      </c>
      <c r="FW78" s="152">
        <f t="shared" ca="1" si="132"/>
        <v>0</v>
      </c>
      <c r="FX78" s="152">
        <f t="shared" ca="1" si="132"/>
        <v>0</v>
      </c>
      <c r="FY78" s="152">
        <f t="shared" ca="1" si="132"/>
        <v>0</v>
      </c>
      <c r="FZ78" s="152">
        <f t="shared" ca="1" si="132"/>
        <v>0</v>
      </c>
      <c r="GA78" s="152">
        <f t="shared" ca="1" si="132"/>
        <v>0</v>
      </c>
      <c r="GB78" s="152">
        <f t="shared" ca="1" si="132"/>
        <v>0</v>
      </c>
      <c r="GC78" s="152">
        <f t="shared" ca="1" si="133"/>
        <v>0</v>
      </c>
      <c r="GD78" s="152">
        <f t="shared" ca="1" si="133"/>
        <v>0</v>
      </c>
      <c r="GE78" s="152">
        <f t="shared" ca="1" si="133"/>
        <v>0</v>
      </c>
      <c r="GF78" s="152">
        <f t="shared" ca="1" si="133"/>
        <v>0</v>
      </c>
      <c r="GG78" s="152">
        <f t="shared" ca="1" si="133"/>
        <v>0</v>
      </c>
      <c r="GH78" s="152">
        <f t="shared" ca="1" si="133"/>
        <v>0</v>
      </c>
      <c r="GI78" s="152">
        <f t="shared" ca="1" si="133"/>
        <v>0</v>
      </c>
      <c r="GJ78" s="152">
        <f t="shared" ca="1" si="133"/>
        <v>0</v>
      </c>
      <c r="GK78" s="152">
        <f t="shared" ca="1" si="133"/>
        <v>0</v>
      </c>
      <c r="GL78" s="152">
        <f t="shared" ca="1" si="133"/>
        <v>0</v>
      </c>
      <c r="GM78" s="152">
        <f t="shared" ca="1" si="134"/>
        <v>0</v>
      </c>
      <c r="GN78" s="152">
        <f t="shared" ca="1" si="134"/>
        <v>0</v>
      </c>
      <c r="GO78" s="152">
        <f t="shared" ca="1" si="134"/>
        <v>0</v>
      </c>
      <c r="GP78" s="152">
        <f t="shared" ca="1" si="134"/>
        <v>0</v>
      </c>
      <c r="GQ78" s="152">
        <f t="shared" ca="1" si="134"/>
        <v>0</v>
      </c>
      <c r="GR78" s="152">
        <f t="shared" ca="1" si="134"/>
        <v>0</v>
      </c>
      <c r="GS78" s="152">
        <f t="shared" ca="1" si="134"/>
        <v>0</v>
      </c>
      <c r="GT78" s="152">
        <f t="shared" ca="1" si="134"/>
        <v>0</v>
      </c>
      <c r="GU78" s="152">
        <f t="shared" ca="1" si="134"/>
        <v>0</v>
      </c>
      <c r="GV78" s="152">
        <f t="shared" ca="1" si="134"/>
        <v>0</v>
      </c>
      <c r="GW78" s="152">
        <f t="shared" ca="1" si="135"/>
        <v>0</v>
      </c>
      <c r="GX78" s="152">
        <f t="shared" ca="1" si="135"/>
        <v>0</v>
      </c>
      <c r="GY78" s="152">
        <f t="shared" ca="1" si="135"/>
        <v>0</v>
      </c>
      <c r="GZ78" s="152">
        <f t="shared" ca="1" si="135"/>
        <v>0</v>
      </c>
      <c r="HA78" s="152">
        <f t="shared" ca="1" si="135"/>
        <v>0</v>
      </c>
      <c r="HB78" s="152">
        <f t="shared" ca="1" si="135"/>
        <v>0</v>
      </c>
      <c r="HC78" s="152">
        <f t="shared" ca="1" si="135"/>
        <v>0</v>
      </c>
      <c r="HD78" s="152">
        <f t="shared" ca="1" si="135"/>
        <v>0</v>
      </c>
      <c r="HE78" s="152">
        <f t="shared" ca="1" si="135"/>
        <v>0</v>
      </c>
      <c r="HF78" s="152">
        <f t="shared" ca="1" si="135"/>
        <v>0</v>
      </c>
      <c r="HG78" s="152">
        <f t="shared" ca="1" si="136"/>
        <v>0</v>
      </c>
      <c r="HH78" s="152">
        <f t="shared" ca="1" si="136"/>
        <v>0</v>
      </c>
      <c r="HI78" s="152">
        <f t="shared" ca="1" si="136"/>
        <v>0</v>
      </c>
      <c r="HJ78" s="152">
        <f t="shared" ca="1" si="136"/>
        <v>0</v>
      </c>
      <c r="HK78" s="152">
        <f t="shared" ca="1" si="136"/>
        <v>0</v>
      </c>
      <c r="HL78" s="152">
        <f t="shared" ca="1" si="136"/>
        <v>0</v>
      </c>
      <c r="HM78" s="152">
        <f t="shared" ca="1" si="136"/>
        <v>0</v>
      </c>
      <c r="HN78" s="152">
        <f t="shared" ca="1" si="136"/>
        <v>0</v>
      </c>
      <c r="HO78" s="152">
        <f t="shared" ca="1" si="136"/>
        <v>0</v>
      </c>
      <c r="HP78" s="152">
        <f t="shared" ca="1" si="136"/>
        <v>0</v>
      </c>
      <c r="HQ78" s="152">
        <f t="shared" ca="1" si="137"/>
        <v>0</v>
      </c>
      <c r="HR78" s="152">
        <f t="shared" ca="1" si="137"/>
        <v>0</v>
      </c>
      <c r="HS78" s="152">
        <f t="shared" ca="1" si="137"/>
        <v>0</v>
      </c>
      <c r="HT78" s="152">
        <f t="shared" ca="1" si="137"/>
        <v>0</v>
      </c>
      <c r="HU78" s="152">
        <f t="shared" ca="1" si="137"/>
        <v>0</v>
      </c>
      <c r="HV78" s="152">
        <f t="shared" ca="1" si="137"/>
        <v>0</v>
      </c>
      <c r="HW78" s="152">
        <f t="shared" ca="1" si="137"/>
        <v>0</v>
      </c>
      <c r="HX78" s="152">
        <f t="shared" ca="1" si="137"/>
        <v>0</v>
      </c>
      <c r="HY78" s="152">
        <f t="shared" ca="1" si="137"/>
        <v>0</v>
      </c>
      <c r="HZ78" s="152">
        <f t="shared" ca="1" si="137"/>
        <v>0</v>
      </c>
      <c r="IA78" s="152">
        <f t="shared" ca="1" si="138"/>
        <v>0</v>
      </c>
      <c r="IB78" s="152">
        <f t="shared" ca="1" si="138"/>
        <v>0</v>
      </c>
      <c r="IC78" s="152">
        <f t="shared" ca="1" si="138"/>
        <v>0</v>
      </c>
      <c r="ID78" s="152">
        <f t="shared" ca="1" si="138"/>
        <v>0</v>
      </c>
      <c r="IE78" s="152">
        <f t="shared" ca="1" si="138"/>
        <v>0</v>
      </c>
      <c r="IF78" s="152">
        <f t="shared" ca="1" si="138"/>
        <v>0</v>
      </c>
      <c r="IG78" s="152">
        <f t="shared" ca="1" si="138"/>
        <v>0</v>
      </c>
      <c r="IH78" s="152">
        <f t="shared" ca="1" si="138"/>
        <v>0</v>
      </c>
      <c r="II78" s="152">
        <f t="shared" ca="1" si="138"/>
        <v>0</v>
      </c>
      <c r="IJ78" s="152">
        <f t="shared" ca="1" si="138"/>
        <v>0</v>
      </c>
      <c r="IK78" s="152">
        <f t="shared" ca="1" si="138"/>
        <v>0</v>
      </c>
      <c r="IL78" s="152">
        <f t="shared" ca="1" si="138"/>
        <v>0</v>
      </c>
      <c r="IM78" s="152">
        <f t="shared" ca="1" si="139"/>
        <v>0</v>
      </c>
      <c r="IN78" s="152">
        <f t="shared" ca="1" si="139"/>
        <v>0</v>
      </c>
      <c r="IO78" s="152">
        <f t="shared" ca="1" si="139"/>
        <v>0</v>
      </c>
      <c r="IP78" s="152">
        <f t="shared" ca="1" si="139"/>
        <v>0</v>
      </c>
      <c r="IQ78" s="152">
        <f t="shared" ca="1" si="139"/>
        <v>0</v>
      </c>
      <c r="IR78" s="152">
        <f t="shared" ca="1" si="139"/>
        <v>0</v>
      </c>
      <c r="IS78" s="152">
        <f t="shared" ca="1" si="139"/>
        <v>0</v>
      </c>
      <c r="IT78" s="152">
        <f t="shared" ca="1" si="139"/>
        <v>0</v>
      </c>
      <c r="IU78" s="152">
        <f t="shared" ca="1" si="139"/>
        <v>0</v>
      </c>
      <c r="IV78" s="152">
        <f t="shared" ca="1" si="139"/>
        <v>0</v>
      </c>
      <c r="IW78" s="152">
        <f t="shared" ca="1" si="140"/>
        <v>0</v>
      </c>
      <c r="IX78" s="152">
        <f t="shared" ca="1" si="140"/>
        <v>0</v>
      </c>
      <c r="IY78" s="152">
        <f t="shared" ca="1" si="140"/>
        <v>0</v>
      </c>
      <c r="IZ78" s="152">
        <f t="shared" ca="1" si="140"/>
        <v>0</v>
      </c>
      <c r="JA78" s="152">
        <f t="shared" ca="1" si="140"/>
        <v>0</v>
      </c>
      <c r="JB78" s="152">
        <f t="shared" ca="1" si="140"/>
        <v>0</v>
      </c>
      <c r="JC78" s="152">
        <f t="shared" ca="1" si="140"/>
        <v>0</v>
      </c>
      <c r="JD78" s="604"/>
    </row>
    <row r="79" spans="1:264" ht="12.75" customHeight="1" x14ac:dyDescent="0.25">
      <c r="A79" s="279"/>
      <c r="B79" s="41"/>
      <c r="C79" s="82"/>
      <c r="D79" s="41"/>
      <c r="E79" s="9"/>
      <c r="F79" s="9"/>
      <c r="G79" s="9"/>
      <c r="H79" s="10"/>
      <c r="I79" s="10"/>
      <c r="J79" s="10"/>
      <c r="K79" s="10"/>
      <c r="L79" s="10"/>
      <c r="M79" s="10"/>
      <c r="N79" s="9"/>
      <c r="O79" s="9"/>
      <c r="P79" s="44"/>
      <c r="Q79" s="44"/>
      <c r="R79" s="9"/>
      <c r="S79" s="9"/>
      <c r="T79" s="9"/>
      <c r="U79" s="9"/>
      <c r="V79" s="9"/>
      <c r="W79" s="9"/>
      <c r="X79" s="9"/>
      <c r="Y79" s="9"/>
      <c r="Z79" s="9"/>
      <c r="AA79" s="9"/>
      <c r="AB79" s="9"/>
      <c r="AC79" s="9"/>
      <c r="AD79" s="650">
        <f t="shared" si="64"/>
        <v>81</v>
      </c>
      <c r="AE79" s="654">
        <f ca="1">OFFSET('2 Staff List'!$IB$64,AJ79-1,0)</f>
        <v>0</v>
      </c>
      <c r="AF79" s="654">
        <f t="shared" si="125"/>
        <v>173.92857142857142</v>
      </c>
      <c r="AG79" s="9"/>
      <c r="AH79" s="654">
        <f t="shared" si="126"/>
        <v>239.15178571428569</v>
      </c>
      <c r="AI79" s="654">
        <f t="shared" si="127"/>
        <v>18</v>
      </c>
      <c r="AJ79" s="654">
        <f ca="1">OFFSET('2 Staff List'!$GU$64,AI79-1,0)</f>
        <v>18</v>
      </c>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1280">
        <f ca="1">OFFSET('2 Staff List'!$HW$64,AJ79-1,0)</f>
        <v>0</v>
      </c>
      <c r="DZ79" s="1281">
        <f ca="1">OFFSET('2 Staff List'!$HZ$64,AJ79-1,0)</f>
        <v>0</v>
      </c>
      <c r="EA79" s="3669">
        <f ca="1">OFFSET('2 Staff List'!$IA$64,AJ79-1,0)</f>
        <v>0</v>
      </c>
      <c r="EB79" s="3670"/>
      <c r="EC79" s="3673">
        <f t="shared" ca="1" si="128"/>
        <v>0</v>
      </c>
      <c r="ED79" s="3674"/>
      <c r="EE79" s="3675"/>
      <c r="EF79" s="3676"/>
      <c r="EG79" s="154">
        <f t="shared" ca="1" si="123"/>
        <v>0</v>
      </c>
      <c r="EH79" s="152">
        <f t="shared" ca="1" si="123"/>
        <v>0</v>
      </c>
      <c r="EI79" s="152">
        <f t="shared" ca="1" si="123"/>
        <v>0</v>
      </c>
      <c r="EJ79" s="152">
        <f t="shared" ca="1" si="123"/>
        <v>0</v>
      </c>
      <c r="EK79" s="152">
        <f t="shared" ca="1" si="123"/>
        <v>0</v>
      </c>
      <c r="EL79" s="152">
        <f t="shared" ca="1" si="123"/>
        <v>0</v>
      </c>
      <c r="EM79" s="152">
        <f t="shared" ca="1" si="123"/>
        <v>0</v>
      </c>
      <c r="EN79" s="152">
        <f t="shared" ca="1" si="123"/>
        <v>0</v>
      </c>
      <c r="EO79" s="152">
        <f t="shared" ca="1" si="123"/>
        <v>0</v>
      </c>
      <c r="EP79" s="152">
        <f t="shared" ca="1" si="123"/>
        <v>0</v>
      </c>
      <c r="EQ79" s="152">
        <f t="shared" ca="1" si="124"/>
        <v>0</v>
      </c>
      <c r="ER79" s="152">
        <f t="shared" ca="1" si="124"/>
        <v>0</v>
      </c>
      <c r="ES79" s="152">
        <f t="shared" ca="1" si="124"/>
        <v>0</v>
      </c>
      <c r="ET79" s="152">
        <f t="shared" ca="1" si="124"/>
        <v>0</v>
      </c>
      <c r="EU79" s="152">
        <f t="shared" ca="1" si="124"/>
        <v>0</v>
      </c>
      <c r="EV79" s="152">
        <f t="shared" ca="1" si="124"/>
        <v>0</v>
      </c>
      <c r="EW79" s="152">
        <f t="shared" ca="1" si="124"/>
        <v>0</v>
      </c>
      <c r="EX79" s="152">
        <f t="shared" ca="1" si="129"/>
        <v>0</v>
      </c>
      <c r="EY79" s="152">
        <f t="shared" ca="1" si="130"/>
        <v>0</v>
      </c>
      <c r="EZ79" s="152">
        <f t="shared" ca="1" si="130"/>
        <v>0</v>
      </c>
      <c r="FA79" s="152">
        <f t="shared" ca="1" si="130"/>
        <v>0</v>
      </c>
      <c r="FB79" s="152">
        <f t="shared" ca="1" si="130"/>
        <v>0</v>
      </c>
      <c r="FC79" s="152">
        <f t="shared" ca="1" si="130"/>
        <v>0</v>
      </c>
      <c r="FD79" s="152">
        <f t="shared" ca="1" si="130"/>
        <v>0</v>
      </c>
      <c r="FE79" s="152">
        <f t="shared" ca="1" si="130"/>
        <v>0</v>
      </c>
      <c r="FF79" s="152">
        <f t="shared" ca="1" si="130"/>
        <v>0</v>
      </c>
      <c r="FG79" s="152">
        <f t="shared" ca="1" si="130"/>
        <v>0</v>
      </c>
      <c r="FH79" s="152">
        <f t="shared" ca="1" si="130"/>
        <v>0</v>
      </c>
      <c r="FI79" s="152">
        <f t="shared" ca="1" si="131"/>
        <v>0</v>
      </c>
      <c r="FJ79" s="152">
        <f t="shared" ca="1" si="131"/>
        <v>0</v>
      </c>
      <c r="FK79" s="152">
        <f t="shared" ca="1" si="131"/>
        <v>0</v>
      </c>
      <c r="FL79" s="152">
        <f t="shared" ca="1" si="131"/>
        <v>0</v>
      </c>
      <c r="FM79" s="152">
        <f t="shared" ca="1" si="131"/>
        <v>0</v>
      </c>
      <c r="FN79" s="152">
        <f t="shared" ca="1" si="131"/>
        <v>0</v>
      </c>
      <c r="FO79" s="152">
        <f t="shared" ca="1" si="131"/>
        <v>0</v>
      </c>
      <c r="FP79" s="152">
        <f t="shared" ca="1" si="131"/>
        <v>0</v>
      </c>
      <c r="FQ79" s="152">
        <f t="shared" ca="1" si="131"/>
        <v>0</v>
      </c>
      <c r="FR79" s="152">
        <f t="shared" ca="1" si="131"/>
        <v>0</v>
      </c>
      <c r="FS79" s="152">
        <f t="shared" ca="1" si="132"/>
        <v>0</v>
      </c>
      <c r="FT79" s="152">
        <f t="shared" ca="1" si="132"/>
        <v>0</v>
      </c>
      <c r="FU79" s="152">
        <f t="shared" ca="1" si="132"/>
        <v>0</v>
      </c>
      <c r="FV79" s="152">
        <f t="shared" ca="1" si="132"/>
        <v>0</v>
      </c>
      <c r="FW79" s="152">
        <f t="shared" ca="1" si="132"/>
        <v>0</v>
      </c>
      <c r="FX79" s="152">
        <f t="shared" ca="1" si="132"/>
        <v>0</v>
      </c>
      <c r="FY79" s="152">
        <f t="shared" ca="1" si="132"/>
        <v>0</v>
      </c>
      <c r="FZ79" s="152">
        <f t="shared" ca="1" si="132"/>
        <v>0</v>
      </c>
      <c r="GA79" s="152">
        <f t="shared" ca="1" si="132"/>
        <v>0</v>
      </c>
      <c r="GB79" s="152">
        <f t="shared" ca="1" si="132"/>
        <v>0</v>
      </c>
      <c r="GC79" s="152">
        <f t="shared" ca="1" si="133"/>
        <v>0</v>
      </c>
      <c r="GD79" s="152">
        <f t="shared" ca="1" si="133"/>
        <v>0</v>
      </c>
      <c r="GE79" s="152">
        <f t="shared" ca="1" si="133"/>
        <v>0</v>
      </c>
      <c r="GF79" s="152">
        <f t="shared" ca="1" si="133"/>
        <v>0</v>
      </c>
      <c r="GG79" s="152">
        <f t="shared" ca="1" si="133"/>
        <v>0</v>
      </c>
      <c r="GH79" s="152">
        <f t="shared" ca="1" si="133"/>
        <v>0</v>
      </c>
      <c r="GI79" s="152">
        <f t="shared" ca="1" si="133"/>
        <v>0</v>
      </c>
      <c r="GJ79" s="152">
        <f t="shared" ca="1" si="133"/>
        <v>0</v>
      </c>
      <c r="GK79" s="152">
        <f t="shared" ca="1" si="133"/>
        <v>0</v>
      </c>
      <c r="GL79" s="152">
        <f t="shared" ca="1" si="133"/>
        <v>0</v>
      </c>
      <c r="GM79" s="152">
        <f t="shared" ca="1" si="134"/>
        <v>0</v>
      </c>
      <c r="GN79" s="152">
        <f t="shared" ca="1" si="134"/>
        <v>0</v>
      </c>
      <c r="GO79" s="152">
        <f t="shared" ca="1" si="134"/>
        <v>0</v>
      </c>
      <c r="GP79" s="152">
        <f t="shared" ca="1" si="134"/>
        <v>0</v>
      </c>
      <c r="GQ79" s="152">
        <f t="shared" ca="1" si="134"/>
        <v>0</v>
      </c>
      <c r="GR79" s="152">
        <f t="shared" ca="1" si="134"/>
        <v>0</v>
      </c>
      <c r="GS79" s="152">
        <f t="shared" ca="1" si="134"/>
        <v>0</v>
      </c>
      <c r="GT79" s="152">
        <f t="shared" ca="1" si="134"/>
        <v>0</v>
      </c>
      <c r="GU79" s="152">
        <f t="shared" ca="1" si="134"/>
        <v>0</v>
      </c>
      <c r="GV79" s="152">
        <f t="shared" ca="1" si="134"/>
        <v>0</v>
      </c>
      <c r="GW79" s="152">
        <f t="shared" ca="1" si="135"/>
        <v>0</v>
      </c>
      <c r="GX79" s="152">
        <f t="shared" ca="1" si="135"/>
        <v>0</v>
      </c>
      <c r="GY79" s="152">
        <f t="shared" ca="1" si="135"/>
        <v>0</v>
      </c>
      <c r="GZ79" s="152">
        <f t="shared" ca="1" si="135"/>
        <v>0</v>
      </c>
      <c r="HA79" s="152">
        <f t="shared" ca="1" si="135"/>
        <v>0</v>
      </c>
      <c r="HB79" s="152">
        <f t="shared" ca="1" si="135"/>
        <v>0</v>
      </c>
      <c r="HC79" s="152">
        <f t="shared" ca="1" si="135"/>
        <v>0</v>
      </c>
      <c r="HD79" s="152">
        <f t="shared" ca="1" si="135"/>
        <v>0</v>
      </c>
      <c r="HE79" s="152">
        <f t="shared" ca="1" si="135"/>
        <v>0</v>
      </c>
      <c r="HF79" s="152">
        <f t="shared" ca="1" si="135"/>
        <v>0</v>
      </c>
      <c r="HG79" s="152">
        <f t="shared" ca="1" si="136"/>
        <v>0</v>
      </c>
      <c r="HH79" s="152">
        <f t="shared" ca="1" si="136"/>
        <v>0</v>
      </c>
      <c r="HI79" s="152">
        <f t="shared" ca="1" si="136"/>
        <v>0</v>
      </c>
      <c r="HJ79" s="152">
        <f t="shared" ca="1" si="136"/>
        <v>0</v>
      </c>
      <c r="HK79" s="152">
        <f t="shared" ca="1" si="136"/>
        <v>0</v>
      </c>
      <c r="HL79" s="152">
        <f t="shared" ca="1" si="136"/>
        <v>0</v>
      </c>
      <c r="HM79" s="152">
        <f t="shared" ca="1" si="136"/>
        <v>0</v>
      </c>
      <c r="HN79" s="152">
        <f t="shared" ca="1" si="136"/>
        <v>0</v>
      </c>
      <c r="HO79" s="152">
        <f t="shared" ca="1" si="136"/>
        <v>0</v>
      </c>
      <c r="HP79" s="152">
        <f t="shared" ca="1" si="136"/>
        <v>0</v>
      </c>
      <c r="HQ79" s="152">
        <f t="shared" ca="1" si="137"/>
        <v>0</v>
      </c>
      <c r="HR79" s="152">
        <f t="shared" ca="1" si="137"/>
        <v>0</v>
      </c>
      <c r="HS79" s="152">
        <f t="shared" ca="1" si="137"/>
        <v>0</v>
      </c>
      <c r="HT79" s="152">
        <f t="shared" ca="1" si="137"/>
        <v>0</v>
      </c>
      <c r="HU79" s="152">
        <f t="shared" ca="1" si="137"/>
        <v>0</v>
      </c>
      <c r="HV79" s="152">
        <f t="shared" ca="1" si="137"/>
        <v>0</v>
      </c>
      <c r="HW79" s="152">
        <f t="shared" ca="1" si="137"/>
        <v>0</v>
      </c>
      <c r="HX79" s="152">
        <f t="shared" ca="1" si="137"/>
        <v>0</v>
      </c>
      <c r="HY79" s="152">
        <f t="shared" ca="1" si="137"/>
        <v>0</v>
      </c>
      <c r="HZ79" s="152">
        <f t="shared" ca="1" si="137"/>
        <v>0</v>
      </c>
      <c r="IA79" s="152">
        <f t="shared" ca="1" si="138"/>
        <v>0</v>
      </c>
      <c r="IB79" s="152">
        <f t="shared" ca="1" si="138"/>
        <v>0</v>
      </c>
      <c r="IC79" s="152">
        <f t="shared" ca="1" si="138"/>
        <v>0</v>
      </c>
      <c r="ID79" s="152">
        <f t="shared" ca="1" si="138"/>
        <v>0</v>
      </c>
      <c r="IE79" s="152">
        <f t="shared" ca="1" si="138"/>
        <v>0</v>
      </c>
      <c r="IF79" s="152">
        <f t="shared" ca="1" si="138"/>
        <v>0</v>
      </c>
      <c r="IG79" s="152">
        <f t="shared" ca="1" si="138"/>
        <v>0</v>
      </c>
      <c r="IH79" s="152">
        <f t="shared" ca="1" si="138"/>
        <v>0</v>
      </c>
      <c r="II79" s="152">
        <f t="shared" ca="1" si="138"/>
        <v>0</v>
      </c>
      <c r="IJ79" s="152">
        <f t="shared" ca="1" si="138"/>
        <v>0</v>
      </c>
      <c r="IK79" s="152">
        <f t="shared" ca="1" si="138"/>
        <v>0</v>
      </c>
      <c r="IL79" s="152">
        <f t="shared" ca="1" si="138"/>
        <v>0</v>
      </c>
      <c r="IM79" s="152">
        <f t="shared" ca="1" si="139"/>
        <v>0</v>
      </c>
      <c r="IN79" s="152">
        <f t="shared" ca="1" si="139"/>
        <v>0</v>
      </c>
      <c r="IO79" s="152">
        <f t="shared" ca="1" si="139"/>
        <v>0</v>
      </c>
      <c r="IP79" s="152">
        <f t="shared" ca="1" si="139"/>
        <v>0</v>
      </c>
      <c r="IQ79" s="152">
        <f t="shared" ca="1" si="139"/>
        <v>0</v>
      </c>
      <c r="IR79" s="152">
        <f t="shared" ca="1" si="139"/>
        <v>0</v>
      </c>
      <c r="IS79" s="152">
        <f t="shared" ca="1" si="139"/>
        <v>0</v>
      </c>
      <c r="IT79" s="152">
        <f t="shared" ca="1" si="139"/>
        <v>0</v>
      </c>
      <c r="IU79" s="152">
        <f t="shared" ca="1" si="139"/>
        <v>0</v>
      </c>
      <c r="IV79" s="152">
        <f t="shared" ca="1" si="139"/>
        <v>0</v>
      </c>
      <c r="IW79" s="152">
        <f t="shared" ca="1" si="140"/>
        <v>0</v>
      </c>
      <c r="IX79" s="152">
        <f t="shared" ca="1" si="140"/>
        <v>0</v>
      </c>
      <c r="IY79" s="152">
        <f t="shared" ca="1" si="140"/>
        <v>0</v>
      </c>
      <c r="IZ79" s="152">
        <f t="shared" ca="1" si="140"/>
        <v>0</v>
      </c>
      <c r="JA79" s="152">
        <f t="shared" ca="1" si="140"/>
        <v>0</v>
      </c>
      <c r="JB79" s="152">
        <f t="shared" ca="1" si="140"/>
        <v>0</v>
      </c>
      <c r="JC79" s="152">
        <f t="shared" ca="1" si="140"/>
        <v>0</v>
      </c>
      <c r="JD79" s="604"/>
    </row>
    <row r="80" spans="1:264" ht="12.75" customHeight="1" x14ac:dyDescent="0.25">
      <c r="A80" s="279"/>
      <c r="B80" s="41"/>
      <c r="C80" s="82"/>
      <c r="D80" s="41"/>
      <c r="E80" s="9"/>
      <c r="F80" s="9"/>
      <c r="G80" s="9"/>
      <c r="H80" s="10"/>
      <c r="I80" s="10"/>
      <c r="J80" s="10"/>
      <c r="K80" s="10"/>
      <c r="L80" s="10"/>
      <c r="M80" s="10"/>
      <c r="N80" s="9"/>
      <c r="O80" s="9"/>
      <c r="P80" s="44"/>
      <c r="Q80" s="44"/>
      <c r="R80" s="9"/>
      <c r="S80" s="9"/>
      <c r="T80" s="9"/>
      <c r="U80" s="9"/>
      <c r="V80" s="9"/>
      <c r="W80" s="9"/>
      <c r="X80" s="9"/>
      <c r="Y80" s="9"/>
      <c r="Z80" s="9"/>
      <c r="AA80" s="9"/>
      <c r="AB80" s="9"/>
      <c r="AC80" s="9"/>
      <c r="AD80" s="650">
        <f t="shared" si="64"/>
        <v>80</v>
      </c>
      <c r="AE80" s="654">
        <f ca="1">OFFSET('2 Staff List'!$IB$64,AJ80-1,0)</f>
        <v>0</v>
      </c>
      <c r="AF80" s="654">
        <f t="shared" si="125"/>
        <v>173.92857142857142</v>
      </c>
      <c r="AG80" s="9"/>
      <c r="AH80" s="654">
        <f t="shared" si="126"/>
        <v>239.15178571428569</v>
      </c>
      <c r="AI80" s="654">
        <f t="shared" si="127"/>
        <v>17</v>
      </c>
      <c r="AJ80" s="654">
        <f ca="1">OFFSET('2 Staff List'!$GU$64,AI80-1,0)</f>
        <v>17</v>
      </c>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1280">
        <f ca="1">OFFSET('2 Staff List'!$HW$64,AJ80-1,0)</f>
        <v>0</v>
      </c>
      <c r="DZ80" s="1281">
        <f ca="1">OFFSET('2 Staff List'!$HZ$64,AJ80-1,0)</f>
        <v>0</v>
      </c>
      <c r="EA80" s="3669">
        <f ca="1">OFFSET('2 Staff List'!$IA$64,AJ80-1,0)</f>
        <v>0</v>
      </c>
      <c r="EB80" s="3670"/>
      <c r="EC80" s="3673">
        <f t="shared" ca="1" si="128"/>
        <v>0</v>
      </c>
      <c r="ED80" s="3674"/>
      <c r="EE80" s="3675"/>
      <c r="EF80" s="3676"/>
      <c r="EG80" s="154">
        <f t="shared" ca="1" si="123"/>
        <v>0</v>
      </c>
      <c r="EH80" s="152">
        <f t="shared" ca="1" si="123"/>
        <v>0</v>
      </c>
      <c r="EI80" s="152">
        <f t="shared" ca="1" si="123"/>
        <v>0</v>
      </c>
      <c r="EJ80" s="152">
        <f t="shared" ca="1" si="123"/>
        <v>0</v>
      </c>
      <c r="EK80" s="152">
        <f t="shared" ca="1" si="123"/>
        <v>0</v>
      </c>
      <c r="EL80" s="152">
        <f t="shared" ca="1" si="123"/>
        <v>0</v>
      </c>
      <c r="EM80" s="152">
        <f t="shared" ca="1" si="123"/>
        <v>0</v>
      </c>
      <c r="EN80" s="152">
        <f t="shared" ca="1" si="123"/>
        <v>0</v>
      </c>
      <c r="EO80" s="152">
        <f t="shared" ca="1" si="123"/>
        <v>0</v>
      </c>
      <c r="EP80" s="152">
        <f t="shared" ca="1" si="123"/>
        <v>0</v>
      </c>
      <c r="EQ80" s="152">
        <f t="shared" ca="1" si="124"/>
        <v>0</v>
      </c>
      <c r="ER80" s="152">
        <f t="shared" ca="1" si="124"/>
        <v>0</v>
      </c>
      <c r="ES80" s="152">
        <f t="shared" ca="1" si="124"/>
        <v>0</v>
      </c>
      <c r="ET80" s="152">
        <f t="shared" ca="1" si="124"/>
        <v>0</v>
      </c>
      <c r="EU80" s="152">
        <f t="shared" ca="1" si="124"/>
        <v>0</v>
      </c>
      <c r="EV80" s="152">
        <f t="shared" ca="1" si="124"/>
        <v>0</v>
      </c>
      <c r="EW80" s="152">
        <f t="shared" ca="1" si="124"/>
        <v>0</v>
      </c>
      <c r="EX80" s="152">
        <f t="shared" ca="1" si="129"/>
        <v>0</v>
      </c>
      <c r="EY80" s="152">
        <f t="shared" ca="1" si="130"/>
        <v>0</v>
      </c>
      <c r="EZ80" s="152">
        <f t="shared" ca="1" si="130"/>
        <v>0</v>
      </c>
      <c r="FA80" s="152">
        <f t="shared" ca="1" si="130"/>
        <v>0</v>
      </c>
      <c r="FB80" s="152">
        <f t="shared" ca="1" si="130"/>
        <v>0</v>
      </c>
      <c r="FC80" s="152">
        <f t="shared" ca="1" si="130"/>
        <v>0</v>
      </c>
      <c r="FD80" s="152">
        <f t="shared" ca="1" si="130"/>
        <v>0</v>
      </c>
      <c r="FE80" s="152">
        <f t="shared" ca="1" si="130"/>
        <v>0</v>
      </c>
      <c r="FF80" s="152">
        <f t="shared" ca="1" si="130"/>
        <v>0</v>
      </c>
      <c r="FG80" s="152">
        <f t="shared" ca="1" si="130"/>
        <v>0</v>
      </c>
      <c r="FH80" s="152">
        <f t="shared" ca="1" si="130"/>
        <v>0</v>
      </c>
      <c r="FI80" s="152">
        <f t="shared" ca="1" si="131"/>
        <v>0</v>
      </c>
      <c r="FJ80" s="152">
        <f t="shared" ca="1" si="131"/>
        <v>0</v>
      </c>
      <c r="FK80" s="152">
        <f t="shared" ca="1" si="131"/>
        <v>0</v>
      </c>
      <c r="FL80" s="152">
        <f t="shared" ca="1" si="131"/>
        <v>0</v>
      </c>
      <c r="FM80" s="152">
        <f t="shared" ca="1" si="131"/>
        <v>0</v>
      </c>
      <c r="FN80" s="152">
        <f t="shared" ca="1" si="131"/>
        <v>0</v>
      </c>
      <c r="FO80" s="152">
        <f t="shared" ca="1" si="131"/>
        <v>0</v>
      </c>
      <c r="FP80" s="152">
        <f t="shared" ca="1" si="131"/>
        <v>0</v>
      </c>
      <c r="FQ80" s="152">
        <f t="shared" ca="1" si="131"/>
        <v>0</v>
      </c>
      <c r="FR80" s="152">
        <f t="shared" ca="1" si="131"/>
        <v>0</v>
      </c>
      <c r="FS80" s="152">
        <f t="shared" ca="1" si="132"/>
        <v>0</v>
      </c>
      <c r="FT80" s="152">
        <f t="shared" ca="1" si="132"/>
        <v>0</v>
      </c>
      <c r="FU80" s="152">
        <f t="shared" ca="1" si="132"/>
        <v>0</v>
      </c>
      <c r="FV80" s="152">
        <f t="shared" ca="1" si="132"/>
        <v>0</v>
      </c>
      <c r="FW80" s="152">
        <f t="shared" ca="1" si="132"/>
        <v>0</v>
      </c>
      <c r="FX80" s="152">
        <f t="shared" ca="1" si="132"/>
        <v>0</v>
      </c>
      <c r="FY80" s="152">
        <f t="shared" ca="1" si="132"/>
        <v>0</v>
      </c>
      <c r="FZ80" s="152">
        <f t="shared" ca="1" si="132"/>
        <v>0</v>
      </c>
      <c r="GA80" s="152">
        <f t="shared" ca="1" si="132"/>
        <v>0</v>
      </c>
      <c r="GB80" s="152">
        <f t="shared" ca="1" si="132"/>
        <v>0</v>
      </c>
      <c r="GC80" s="152">
        <f t="shared" ca="1" si="133"/>
        <v>0</v>
      </c>
      <c r="GD80" s="152">
        <f t="shared" ca="1" si="133"/>
        <v>0</v>
      </c>
      <c r="GE80" s="152">
        <f t="shared" ca="1" si="133"/>
        <v>0</v>
      </c>
      <c r="GF80" s="152">
        <f t="shared" ca="1" si="133"/>
        <v>0</v>
      </c>
      <c r="GG80" s="152">
        <f t="shared" ca="1" si="133"/>
        <v>0</v>
      </c>
      <c r="GH80" s="152">
        <f t="shared" ca="1" si="133"/>
        <v>0</v>
      </c>
      <c r="GI80" s="152">
        <f t="shared" ca="1" si="133"/>
        <v>0</v>
      </c>
      <c r="GJ80" s="152">
        <f t="shared" ca="1" si="133"/>
        <v>0</v>
      </c>
      <c r="GK80" s="152">
        <f t="shared" ca="1" si="133"/>
        <v>0</v>
      </c>
      <c r="GL80" s="152">
        <f t="shared" ca="1" si="133"/>
        <v>0</v>
      </c>
      <c r="GM80" s="152">
        <f t="shared" ca="1" si="134"/>
        <v>0</v>
      </c>
      <c r="GN80" s="152">
        <f t="shared" ca="1" si="134"/>
        <v>0</v>
      </c>
      <c r="GO80" s="152">
        <f t="shared" ca="1" si="134"/>
        <v>0</v>
      </c>
      <c r="GP80" s="152">
        <f t="shared" ca="1" si="134"/>
        <v>0</v>
      </c>
      <c r="GQ80" s="152">
        <f t="shared" ca="1" si="134"/>
        <v>0</v>
      </c>
      <c r="GR80" s="152">
        <f t="shared" ca="1" si="134"/>
        <v>0</v>
      </c>
      <c r="GS80" s="152">
        <f t="shared" ca="1" si="134"/>
        <v>0</v>
      </c>
      <c r="GT80" s="152">
        <f t="shared" ca="1" si="134"/>
        <v>0</v>
      </c>
      <c r="GU80" s="152">
        <f t="shared" ca="1" si="134"/>
        <v>0</v>
      </c>
      <c r="GV80" s="152">
        <f t="shared" ca="1" si="134"/>
        <v>0</v>
      </c>
      <c r="GW80" s="152">
        <f t="shared" ca="1" si="135"/>
        <v>0</v>
      </c>
      <c r="GX80" s="152">
        <f t="shared" ca="1" si="135"/>
        <v>0</v>
      </c>
      <c r="GY80" s="152">
        <f t="shared" ca="1" si="135"/>
        <v>0</v>
      </c>
      <c r="GZ80" s="152">
        <f t="shared" ca="1" si="135"/>
        <v>0</v>
      </c>
      <c r="HA80" s="152">
        <f t="shared" ca="1" si="135"/>
        <v>0</v>
      </c>
      <c r="HB80" s="152">
        <f t="shared" ca="1" si="135"/>
        <v>0</v>
      </c>
      <c r="HC80" s="152">
        <f t="shared" ca="1" si="135"/>
        <v>0</v>
      </c>
      <c r="HD80" s="152">
        <f t="shared" ca="1" si="135"/>
        <v>0</v>
      </c>
      <c r="HE80" s="152">
        <f t="shared" ca="1" si="135"/>
        <v>0</v>
      </c>
      <c r="HF80" s="152">
        <f t="shared" ca="1" si="135"/>
        <v>0</v>
      </c>
      <c r="HG80" s="152">
        <f t="shared" ca="1" si="136"/>
        <v>0</v>
      </c>
      <c r="HH80" s="152">
        <f t="shared" ca="1" si="136"/>
        <v>0</v>
      </c>
      <c r="HI80" s="152">
        <f t="shared" ca="1" si="136"/>
        <v>0</v>
      </c>
      <c r="HJ80" s="152">
        <f t="shared" ca="1" si="136"/>
        <v>0</v>
      </c>
      <c r="HK80" s="152">
        <f t="shared" ca="1" si="136"/>
        <v>0</v>
      </c>
      <c r="HL80" s="152">
        <f t="shared" ca="1" si="136"/>
        <v>0</v>
      </c>
      <c r="HM80" s="152">
        <f t="shared" ca="1" si="136"/>
        <v>0</v>
      </c>
      <c r="HN80" s="152">
        <f t="shared" ca="1" si="136"/>
        <v>0</v>
      </c>
      <c r="HO80" s="152">
        <f t="shared" ca="1" si="136"/>
        <v>0</v>
      </c>
      <c r="HP80" s="152">
        <f t="shared" ca="1" si="136"/>
        <v>0</v>
      </c>
      <c r="HQ80" s="152">
        <f t="shared" ca="1" si="137"/>
        <v>0</v>
      </c>
      <c r="HR80" s="152">
        <f t="shared" ca="1" si="137"/>
        <v>0</v>
      </c>
      <c r="HS80" s="152">
        <f t="shared" ca="1" si="137"/>
        <v>0</v>
      </c>
      <c r="HT80" s="152">
        <f t="shared" ca="1" si="137"/>
        <v>0</v>
      </c>
      <c r="HU80" s="152">
        <f t="shared" ca="1" si="137"/>
        <v>0</v>
      </c>
      <c r="HV80" s="152">
        <f t="shared" ca="1" si="137"/>
        <v>0</v>
      </c>
      <c r="HW80" s="152">
        <f t="shared" ca="1" si="137"/>
        <v>0</v>
      </c>
      <c r="HX80" s="152">
        <f t="shared" ca="1" si="137"/>
        <v>0</v>
      </c>
      <c r="HY80" s="152">
        <f t="shared" ca="1" si="137"/>
        <v>0</v>
      </c>
      <c r="HZ80" s="152">
        <f t="shared" ca="1" si="137"/>
        <v>0</v>
      </c>
      <c r="IA80" s="152">
        <f t="shared" ca="1" si="138"/>
        <v>0</v>
      </c>
      <c r="IB80" s="152">
        <f t="shared" ca="1" si="138"/>
        <v>0</v>
      </c>
      <c r="IC80" s="152">
        <f t="shared" ca="1" si="138"/>
        <v>0</v>
      </c>
      <c r="ID80" s="152">
        <f t="shared" ca="1" si="138"/>
        <v>0</v>
      </c>
      <c r="IE80" s="152">
        <f t="shared" ca="1" si="138"/>
        <v>0</v>
      </c>
      <c r="IF80" s="152">
        <f t="shared" ca="1" si="138"/>
        <v>0</v>
      </c>
      <c r="IG80" s="152">
        <f t="shared" ca="1" si="138"/>
        <v>0</v>
      </c>
      <c r="IH80" s="152">
        <f t="shared" ca="1" si="138"/>
        <v>0</v>
      </c>
      <c r="II80" s="152">
        <f t="shared" ca="1" si="138"/>
        <v>0</v>
      </c>
      <c r="IJ80" s="152">
        <f t="shared" ca="1" si="138"/>
        <v>0</v>
      </c>
      <c r="IK80" s="152">
        <f t="shared" ca="1" si="138"/>
        <v>0</v>
      </c>
      <c r="IL80" s="152">
        <f t="shared" ca="1" si="138"/>
        <v>0</v>
      </c>
      <c r="IM80" s="152">
        <f t="shared" ca="1" si="139"/>
        <v>0</v>
      </c>
      <c r="IN80" s="152">
        <f t="shared" ca="1" si="139"/>
        <v>0</v>
      </c>
      <c r="IO80" s="152">
        <f t="shared" ca="1" si="139"/>
        <v>0</v>
      </c>
      <c r="IP80" s="152">
        <f t="shared" ca="1" si="139"/>
        <v>0</v>
      </c>
      <c r="IQ80" s="152">
        <f t="shared" ca="1" si="139"/>
        <v>0</v>
      </c>
      <c r="IR80" s="152">
        <f t="shared" ca="1" si="139"/>
        <v>0</v>
      </c>
      <c r="IS80" s="152">
        <f t="shared" ca="1" si="139"/>
        <v>0</v>
      </c>
      <c r="IT80" s="152">
        <f t="shared" ca="1" si="139"/>
        <v>0</v>
      </c>
      <c r="IU80" s="152">
        <f t="shared" ca="1" si="139"/>
        <v>0</v>
      </c>
      <c r="IV80" s="152">
        <f t="shared" ca="1" si="139"/>
        <v>0</v>
      </c>
      <c r="IW80" s="152">
        <f t="shared" ca="1" si="140"/>
        <v>0</v>
      </c>
      <c r="IX80" s="152">
        <f t="shared" ca="1" si="140"/>
        <v>0</v>
      </c>
      <c r="IY80" s="152">
        <f t="shared" ca="1" si="140"/>
        <v>0</v>
      </c>
      <c r="IZ80" s="152">
        <f t="shared" ca="1" si="140"/>
        <v>0</v>
      </c>
      <c r="JA80" s="152">
        <f t="shared" ca="1" si="140"/>
        <v>0</v>
      </c>
      <c r="JB80" s="152">
        <f t="shared" ca="1" si="140"/>
        <v>0</v>
      </c>
      <c r="JC80" s="152">
        <f t="shared" ca="1" si="140"/>
        <v>0</v>
      </c>
      <c r="JD80" s="604"/>
    </row>
    <row r="81" spans="1:264" ht="12.75" customHeight="1" x14ac:dyDescent="0.25">
      <c r="A81" s="279"/>
      <c r="B81" s="41"/>
      <c r="C81" s="82"/>
      <c r="D81" s="41"/>
      <c r="E81" s="9"/>
      <c r="F81" s="9"/>
      <c r="G81" s="9"/>
      <c r="H81" s="10"/>
      <c r="I81" s="10"/>
      <c r="J81" s="10"/>
      <c r="K81" s="10"/>
      <c r="L81" s="10"/>
      <c r="M81" s="10"/>
      <c r="N81" s="9"/>
      <c r="O81" s="9"/>
      <c r="P81" s="44"/>
      <c r="Q81" s="44"/>
      <c r="R81" s="9"/>
      <c r="S81" s="9"/>
      <c r="T81" s="9"/>
      <c r="U81" s="9"/>
      <c r="V81" s="9"/>
      <c r="W81" s="9"/>
      <c r="X81" s="9"/>
      <c r="Y81" s="9"/>
      <c r="Z81" s="9"/>
      <c r="AA81" s="9"/>
      <c r="AB81" s="9"/>
      <c r="AC81" s="9"/>
      <c r="AD81" s="650">
        <f t="shared" si="64"/>
        <v>79</v>
      </c>
      <c r="AE81" s="654">
        <f ca="1">OFFSET('2 Staff List'!$IB$64,AJ81-1,0)</f>
        <v>0</v>
      </c>
      <c r="AF81" s="654">
        <f t="shared" si="125"/>
        <v>173.92857142857142</v>
      </c>
      <c r="AG81" s="9"/>
      <c r="AH81" s="654">
        <f t="shared" si="126"/>
        <v>239.15178571428569</v>
      </c>
      <c r="AI81" s="654">
        <f t="shared" si="127"/>
        <v>16</v>
      </c>
      <c r="AJ81" s="654">
        <f ca="1">OFFSET('2 Staff List'!$GU$64,AI81-1,0)</f>
        <v>16</v>
      </c>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1280">
        <f ca="1">OFFSET('2 Staff List'!$HW$64,AJ81-1,0)</f>
        <v>0</v>
      </c>
      <c r="DZ81" s="1281">
        <f ca="1">OFFSET('2 Staff List'!$HZ$64,AJ81-1,0)</f>
        <v>0</v>
      </c>
      <c r="EA81" s="3669">
        <f ca="1">OFFSET('2 Staff List'!$IA$64,AJ81-1,0)</f>
        <v>0</v>
      </c>
      <c r="EB81" s="3670"/>
      <c r="EC81" s="3673">
        <f t="shared" ca="1" si="128"/>
        <v>0</v>
      </c>
      <c r="ED81" s="3674"/>
      <c r="EE81" s="3675"/>
      <c r="EF81" s="3676"/>
      <c r="EG81" s="154">
        <f t="shared" ca="1" si="123"/>
        <v>0</v>
      </c>
      <c r="EH81" s="152">
        <f t="shared" ca="1" si="123"/>
        <v>0</v>
      </c>
      <c r="EI81" s="152">
        <f t="shared" ca="1" si="123"/>
        <v>0</v>
      </c>
      <c r="EJ81" s="152">
        <f t="shared" ca="1" si="123"/>
        <v>0</v>
      </c>
      <c r="EK81" s="152">
        <f t="shared" ca="1" si="123"/>
        <v>0</v>
      </c>
      <c r="EL81" s="152">
        <f t="shared" ca="1" si="123"/>
        <v>0</v>
      </c>
      <c r="EM81" s="152">
        <f t="shared" ca="1" si="123"/>
        <v>0</v>
      </c>
      <c r="EN81" s="152">
        <f t="shared" ca="1" si="123"/>
        <v>0</v>
      </c>
      <c r="EO81" s="152">
        <f t="shared" ca="1" si="123"/>
        <v>0</v>
      </c>
      <c r="EP81" s="152">
        <f t="shared" ca="1" si="123"/>
        <v>0</v>
      </c>
      <c r="EQ81" s="152">
        <f t="shared" ca="1" si="124"/>
        <v>0</v>
      </c>
      <c r="ER81" s="152">
        <f t="shared" ca="1" si="124"/>
        <v>0</v>
      </c>
      <c r="ES81" s="152">
        <f t="shared" ca="1" si="124"/>
        <v>0</v>
      </c>
      <c r="ET81" s="152">
        <f t="shared" ca="1" si="124"/>
        <v>0</v>
      </c>
      <c r="EU81" s="152">
        <f t="shared" ca="1" si="124"/>
        <v>0</v>
      </c>
      <c r="EV81" s="152">
        <f t="shared" ca="1" si="124"/>
        <v>0</v>
      </c>
      <c r="EW81" s="152">
        <f t="shared" ca="1" si="124"/>
        <v>0</v>
      </c>
      <c r="EX81" s="152">
        <f t="shared" ca="1" si="129"/>
        <v>0</v>
      </c>
      <c r="EY81" s="152">
        <f t="shared" ca="1" si="130"/>
        <v>0</v>
      </c>
      <c r="EZ81" s="152">
        <f t="shared" ca="1" si="130"/>
        <v>0</v>
      </c>
      <c r="FA81" s="152">
        <f t="shared" ca="1" si="130"/>
        <v>0</v>
      </c>
      <c r="FB81" s="152">
        <f t="shared" ca="1" si="130"/>
        <v>0</v>
      </c>
      <c r="FC81" s="152">
        <f t="shared" ca="1" si="130"/>
        <v>0</v>
      </c>
      <c r="FD81" s="152">
        <f t="shared" ca="1" si="130"/>
        <v>0</v>
      </c>
      <c r="FE81" s="152">
        <f t="shared" ca="1" si="130"/>
        <v>0</v>
      </c>
      <c r="FF81" s="152">
        <f t="shared" ca="1" si="130"/>
        <v>0</v>
      </c>
      <c r="FG81" s="152">
        <f t="shared" ca="1" si="130"/>
        <v>0</v>
      </c>
      <c r="FH81" s="152">
        <f t="shared" ca="1" si="130"/>
        <v>0</v>
      </c>
      <c r="FI81" s="152">
        <f t="shared" ca="1" si="131"/>
        <v>0</v>
      </c>
      <c r="FJ81" s="152">
        <f t="shared" ca="1" si="131"/>
        <v>0</v>
      </c>
      <c r="FK81" s="152">
        <f t="shared" ca="1" si="131"/>
        <v>0</v>
      </c>
      <c r="FL81" s="152">
        <f t="shared" ca="1" si="131"/>
        <v>0</v>
      </c>
      <c r="FM81" s="152">
        <f t="shared" ca="1" si="131"/>
        <v>0</v>
      </c>
      <c r="FN81" s="152">
        <f t="shared" ca="1" si="131"/>
        <v>0</v>
      </c>
      <c r="FO81" s="152">
        <f t="shared" ca="1" si="131"/>
        <v>0</v>
      </c>
      <c r="FP81" s="152">
        <f t="shared" ca="1" si="131"/>
        <v>0</v>
      </c>
      <c r="FQ81" s="152">
        <f t="shared" ca="1" si="131"/>
        <v>0</v>
      </c>
      <c r="FR81" s="152">
        <f t="shared" ca="1" si="131"/>
        <v>0</v>
      </c>
      <c r="FS81" s="152">
        <f t="shared" ca="1" si="132"/>
        <v>0</v>
      </c>
      <c r="FT81" s="152">
        <f t="shared" ca="1" si="132"/>
        <v>0</v>
      </c>
      <c r="FU81" s="152">
        <f t="shared" ca="1" si="132"/>
        <v>0</v>
      </c>
      <c r="FV81" s="152">
        <f t="shared" ca="1" si="132"/>
        <v>0</v>
      </c>
      <c r="FW81" s="152">
        <f t="shared" ca="1" si="132"/>
        <v>0</v>
      </c>
      <c r="FX81" s="152">
        <f t="shared" ca="1" si="132"/>
        <v>0</v>
      </c>
      <c r="FY81" s="152">
        <f t="shared" ca="1" si="132"/>
        <v>0</v>
      </c>
      <c r="FZ81" s="152">
        <f t="shared" ca="1" si="132"/>
        <v>0</v>
      </c>
      <c r="GA81" s="152">
        <f t="shared" ca="1" si="132"/>
        <v>0</v>
      </c>
      <c r="GB81" s="152">
        <f t="shared" ca="1" si="132"/>
        <v>0</v>
      </c>
      <c r="GC81" s="152">
        <f t="shared" ca="1" si="133"/>
        <v>0</v>
      </c>
      <c r="GD81" s="152">
        <f t="shared" ca="1" si="133"/>
        <v>0</v>
      </c>
      <c r="GE81" s="152">
        <f t="shared" ca="1" si="133"/>
        <v>0</v>
      </c>
      <c r="GF81" s="152">
        <f t="shared" ca="1" si="133"/>
        <v>0</v>
      </c>
      <c r="GG81" s="152">
        <f t="shared" ca="1" si="133"/>
        <v>0</v>
      </c>
      <c r="GH81" s="152">
        <f t="shared" ca="1" si="133"/>
        <v>0</v>
      </c>
      <c r="GI81" s="152">
        <f t="shared" ca="1" si="133"/>
        <v>0</v>
      </c>
      <c r="GJ81" s="152">
        <f t="shared" ca="1" si="133"/>
        <v>0</v>
      </c>
      <c r="GK81" s="152">
        <f t="shared" ca="1" si="133"/>
        <v>0</v>
      </c>
      <c r="GL81" s="152">
        <f t="shared" ca="1" si="133"/>
        <v>0</v>
      </c>
      <c r="GM81" s="152">
        <f t="shared" ca="1" si="134"/>
        <v>0</v>
      </c>
      <c r="GN81" s="152">
        <f t="shared" ca="1" si="134"/>
        <v>0</v>
      </c>
      <c r="GO81" s="152">
        <f t="shared" ca="1" si="134"/>
        <v>0</v>
      </c>
      <c r="GP81" s="152">
        <f t="shared" ca="1" si="134"/>
        <v>0</v>
      </c>
      <c r="GQ81" s="152">
        <f t="shared" ca="1" si="134"/>
        <v>0</v>
      </c>
      <c r="GR81" s="152">
        <f t="shared" ca="1" si="134"/>
        <v>0</v>
      </c>
      <c r="GS81" s="152">
        <f t="shared" ca="1" si="134"/>
        <v>0</v>
      </c>
      <c r="GT81" s="152">
        <f t="shared" ca="1" si="134"/>
        <v>0</v>
      </c>
      <c r="GU81" s="152">
        <f t="shared" ca="1" si="134"/>
        <v>0</v>
      </c>
      <c r="GV81" s="152">
        <f t="shared" ca="1" si="134"/>
        <v>0</v>
      </c>
      <c r="GW81" s="152">
        <f t="shared" ca="1" si="135"/>
        <v>0</v>
      </c>
      <c r="GX81" s="152">
        <f t="shared" ca="1" si="135"/>
        <v>0</v>
      </c>
      <c r="GY81" s="152">
        <f t="shared" ca="1" si="135"/>
        <v>0</v>
      </c>
      <c r="GZ81" s="152">
        <f t="shared" ca="1" si="135"/>
        <v>0</v>
      </c>
      <c r="HA81" s="152">
        <f t="shared" ca="1" si="135"/>
        <v>0</v>
      </c>
      <c r="HB81" s="152">
        <f t="shared" ca="1" si="135"/>
        <v>0</v>
      </c>
      <c r="HC81" s="152">
        <f t="shared" ca="1" si="135"/>
        <v>0</v>
      </c>
      <c r="HD81" s="152">
        <f t="shared" ca="1" si="135"/>
        <v>0</v>
      </c>
      <c r="HE81" s="152">
        <f t="shared" ca="1" si="135"/>
        <v>0</v>
      </c>
      <c r="HF81" s="152">
        <f t="shared" ca="1" si="135"/>
        <v>0</v>
      </c>
      <c r="HG81" s="152">
        <f t="shared" ca="1" si="136"/>
        <v>0</v>
      </c>
      <c r="HH81" s="152">
        <f t="shared" ca="1" si="136"/>
        <v>0</v>
      </c>
      <c r="HI81" s="152">
        <f t="shared" ca="1" si="136"/>
        <v>0</v>
      </c>
      <c r="HJ81" s="152">
        <f t="shared" ca="1" si="136"/>
        <v>0</v>
      </c>
      <c r="HK81" s="152">
        <f t="shared" ca="1" si="136"/>
        <v>0</v>
      </c>
      <c r="HL81" s="152">
        <f t="shared" ca="1" si="136"/>
        <v>0</v>
      </c>
      <c r="HM81" s="152">
        <f t="shared" ca="1" si="136"/>
        <v>0</v>
      </c>
      <c r="HN81" s="152">
        <f t="shared" ca="1" si="136"/>
        <v>0</v>
      </c>
      <c r="HO81" s="152">
        <f t="shared" ca="1" si="136"/>
        <v>0</v>
      </c>
      <c r="HP81" s="152">
        <f t="shared" ca="1" si="136"/>
        <v>0</v>
      </c>
      <c r="HQ81" s="152">
        <f t="shared" ca="1" si="137"/>
        <v>0</v>
      </c>
      <c r="HR81" s="152">
        <f t="shared" ca="1" si="137"/>
        <v>0</v>
      </c>
      <c r="HS81" s="152">
        <f t="shared" ca="1" si="137"/>
        <v>0</v>
      </c>
      <c r="HT81" s="152">
        <f t="shared" ca="1" si="137"/>
        <v>0</v>
      </c>
      <c r="HU81" s="152">
        <f t="shared" ca="1" si="137"/>
        <v>0</v>
      </c>
      <c r="HV81" s="152">
        <f t="shared" ca="1" si="137"/>
        <v>0</v>
      </c>
      <c r="HW81" s="152">
        <f t="shared" ca="1" si="137"/>
        <v>0</v>
      </c>
      <c r="HX81" s="152">
        <f t="shared" ca="1" si="137"/>
        <v>0</v>
      </c>
      <c r="HY81" s="152">
        <f t="shared" ca="1" si="137"/>
        <v>0</v>
      </c>
      <c r="HZ81" s="152">
        <f t="shared" ca="1" si="137"/>
        <v>0</v>
      </c>
      <c r="IA81" s="152">
        <f t="shared" ca="1" si="138"/>
        <v>0</v>
      </c>
      <c r="IB81" s="152">
        <f t="shared" ca="1" si="138"/>
        <v>0</v>
      </c>
      <c r="IC81" s="152">
        <f t="shared" ca="1" si="138"/>
        <v>0</v>
      </c>
      <c r="ID81" s="152">
        <f t="shared" ca="1" si="138"/>
        <v>0</v>
      </c>
      <c r="IE81" s="152">
        <f t="shared" ca="1" si="138"/>
        <v>0</v>
      </c>
      <c r="IF81" s="152">
        <f t="shared" ca="1" si="138"/>
        <v>0</v>
      </c>
      <c r="IG81" s="152">
        <f t="shared" ca="1" si="138"/>
        <v>0</v>
      </c>
      <c r="IH81" s="152">
        <f t="shared" ca="1" si="138"/>
        <v>0</v>
      </c>
      <c r="II81" s="152">
        <f t="shared" ca="1" si="138"/>
        <v>0</v>
      </c>
      <c r="IJ81" s="152">
        <f t="shared" ca="1" si="138"/>
        <v>0</v>
      </c>
      <c r="IK81" s="152">
        <f t="shared" ca="1" si="138"/>
        <v>0</v>
      </c>
      <c r="IL81" s="152">
        <f t="shared" ca="1" si="138"/>
        <v>0</v>
      </c>
      <c r="IM81" s="152">
        <f t="shared" ca="1" si="139"/>
        <v>0</v>
      </c>
      <c r="IN81" s="152">
        <f t="shared" ca="1" si="139"/>
        <v>0</v>
      </c>
      <c r="IO81" s="152">
        <f t="shared" ca="1" si="139"/>
        <v>0</v>
      </c>
      <c r="IP81" s="152">
        <f t="shared" ca="1" si="139"/>
        <v>0</v>
      </c>
      <c r="IQ81" s="152">
        <f t="shared" ca="1" si="139"/>
        <v>0</v>
      </c>
      <c r="IR81" s="152">
        <f t="shared" ca="1" si="139"/>
        <v>0</v>
      </c>
      <c r="IS81" s="152">
        <f t="shared" ca="1" si="139"/>
        <v>0</v>
      </c>
      <c r="IT81" s="152">
        <f t="shared" ca="1" si="139"/>
        <v>0</v>
      </c>
      <c r="IU81" s="152">
        <f t="shared" ca="1" si="139"/>
        <v>0</v>
      </c>
      <c r="IV81" s="152">
        <f t="shared" ca="1" si="139"/>
        <v>0</v>
      </c>
      <c r="IW81" s="152">
        <f t="shared" ca="1" si="140"/>
        <v>0</v>
      </c>
      <c r="IX81" s="152">
        <f t="shared" ca="1" si="140"/>
        <v>0</v>
      </c>
      <c r="IY81" s="152">
        <f t="shared" ca="1" si="140"/>
        <v>0</v>
      </c>
      <c r="IZ81" s="152">
        <f t="shared" ca="1" si="140"/>
        <v>0</v>
      </c>
      <c r="JA81" s="152">
        <f t="shared" ca="1" si="140"/>
        <v>0</v>
      </c>
      <c r="JB81" s="152">
        <f t="shared" ca="1" si="140"/>
        <v>0</v>
      </c>
      <c r="JC81" s="152">
        <f t="shared" ca="1" si="140"/>
        <v>0</v>
      </c>
      <c r="JD81" s="604"/>
    </row>
    <row r="82" spans="1:264" ht="12.75" customHeight="1" x14ac:dyDescent="0.25">
      <c r="A82" s="279"/>
      <c r="B82" s="41"/>
      <c r="C82" s="82"/>
      <c r="D82" s="41"/>
      <c r="E82" s="9"/>
      <c r="F82" s="9"/>
      <c r="G82" s="9"/>
      <c r="H82" s="10"/>
      <c r="I82" s="10"/>
      <c r="J82" s="10"/>
      <c r="K82" s="10"/>
      <c r="L82" s="10"/>
      <c r="M82" s="10"/>
      <c r="N82" s="9"/>
      <c r="O82" s="9"/>
      <c r="P82" s="44"/>
      <c r="Q82" s="44"/>
      <c r="R82" s="9"/>
      <c r="S82" s="9"/>
      <c r="T82" s="9"/>
      <c r="U82" s="9"/>
      <c r="V82" s="9"/>
      <c r="W82" s="9"/>
      <c r="X82" s="9"/>
      <c r="Y82" s="9"/>
      <c r="Z82" s="9"/>
      <c r="AA82" s="9"/>
      <c r="AB82" s="9"/>
      <c r="AC82" s="9"/>
      <c r="AD82" s="650">
        <f t="shared" si="64"/>
        <v>78</v>
      </c>
      <c r="AE82" s="654">
        <f ca="1">OFFSET('2 Staff List'!$IB$64,AJ82-1,0)</f>
        <v>0</v>
      </c>
      <c r="AF82" s="654">
        <f t="shared" si="125"/>
        <v>173.92857142857142</v>
      </c>
      <c r="AG82" s="9"/>
      <c r="AH82" s="654">
        <f t="shared" si="126"/>
        <v>239.15178571428569</v>
      </c>
      <c r="AI82" s="654">
        <f t="shared" si="127"/>
        <v>15</v>
      </c>
      <c r="AJ82" s="654">
        <f ca="1">OFFSET('2 Staff List'!$GU$64,AI82-1,0)</f>
        <v>15</v>
      </c>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1280">
        <f ca="1">OFFSET('2 Staff List'!$HW$64,AJ82-1,0)</f>
        <v>0</v>
      </c>
      <c r="DZ82" s="1281">
        <f ca="1">OFFSET('2 Staff List'!$HZ$64,AJ82-1,0)</f>
        <v>0</v>
      </c>
      <c r="EA82" s="3669">
        <f ca="1">OFFSET('2 Staff List'!$IA$64,AJ82-1,0)</f>
        <v>0</v>
      </c>
      <c r="EB82" s="3670"/>
      <c r="EC82" s="3673">
        <f t="shared" ca="1" si="128"/>
        <v>0</v>
      </c>
      <c r="ED82" s="3674"/>
      <c r="EE82" s="3675"/>
      <c r="EF82" s="3676"/>
      <c r="EG82" s="154">
        <f t="shared" ca="1" si="123"/>
        <v>0</v>
      </c>
      <c r="EH82" s="152">
        <f t="shared" ca="1" si="123"/>
        <v>0</v>
      </c>
      <c r="EI82" s="152">
        <f t="shared" ca="1" si="123"/>
        <v>0</v>
      </c>
      <c r="EJ82" s="152">
        <f t="shared" ca="1" si="123"/>
        <v>0</v>
      </c>
      <c r="EK82" s="152">
        <f t="shared" ca="1" si="123"/>
        <v>0</v>
      </c>
      <c r="EL82" s="152">
        <f t="shared" ca="1" si="123"/>
        <v>0</v>
      </c>
      <c r="EM82" s="152">
        <f t="shared" ca="1" si="123"/>
        <v>0</v>
      </c>
      <c r="EN82" s="152">
        <f t="shared" ca="1" si="123"/>
        <v>0</v>
      </c>
      <c r="EO82" s="152">
        <f t="shared" ca="1" si="123"/>
        <v>0</v>
      </c>
      <c r="EP82" s="152">
        <f t="shared" ca="1" si="123"/>
        <v>0</v>
      </c>
      <c r="EQ82" s="152">
        <f t="shared" ca="1" si="124"/>
        <v>0</v>
      </c>
      <c r="ER82" s="152">
        <f t="shared" ca="1" si="124"/>
        <v>0</v>
      </c>
      <c r="ES82" s="152">
        <f t="shared" ca="1" si="124"/>
        <v>0</v>
      </c>
      <c r="ET82" s="152">
        <f t="shared" ca="1" si="124"/>
        <v>0</v>
      </c>
      <c r="EU82" s="152">
        <f t="shared" ca="1" si="124"/>
        <v>0</v>
      </c>
      <c r="EV82" s="152">
        <f t="shared" ca="1" si="124"/>
        <v>0</v>
      </c>
      <c r="EW82" s="152">
        <f t="shared" ca="1" si="124"/>
        <v>0</v>
      </c>
      <c r="EX82" s="152">
        <f t="shared" ca="1" si="129"/>
        <v>0</v>
      </c>
      <c r="EY82" s="152">
        <f t="shared" ca="1" si="130"/>
        <v>0</v>
      </c>
      <c r="EZ82" s="152">
        <f t="shared" ca="1" si="130"/>
        <v>0</v>
      </c>
      <c r="FA82" s="152">
        <f t="shared" ca="1" si="130"/>
        <v>0</v>
      </c>
      <c r="FB82" s="152">
        <f t="shared" ca="1" si="130"/>
        <v>0</v>
      </c>
      <c r="FC82" s="152">
        <f t="shared" ca="1" si="130"/>
        <v>0</v>
      </c>
      <c r="FD82" s="152">
        <f t="shared" ca="1" si="130"/>
        <v>0</v>
      </c>
      <c r="FE82" s="152">
        <f t="shared" ca="1" si="130"/>
        <v>0</v>
      </c>
      <c r="FF82" s="152">
        <f t="shared" ca="1" si="130"/>
        <v>0</v>
      </c>
      <c r="FG82" s="152">
        <f t="shared" ca="1" si="130"/>
        <v>0</v>
      </c>
      <c r="FH82" s="152">
        <f t="shared" ca="1" si="130"/>
        <v>0</v>
      </c>
      <c r="FI82" s="152">
        <f t="shared" ca="1" si="131"/>
        <v>0</v>
      </c>
      <c r="FJ82" s="152">
        <f t="shared" ca="1" si="131"/>
        <v>0</v>
      </c>
      <c r="FK82" s="152">
        <f t="shared" ca="1" si="131"/>
        <v>0</v>
      </c>
      <c r="FL82" s="152">
        <f t="shared" ca="1" si="131"/>
        <v>0</v>
      </c>
      <c r="FM82" s="152">
        <f t="shared" ca="1" si="131"/>
        <v>0</v>
      </c>
      <c r="FN82" s="152">
        <f t="shared" ca="1" si="131"/>
        <v>0</v>
      </c>
      <c r="FO82" s="152">
        <f t="shared" ca="1" si="131"/>
        <v>0</v>
      </c>
      <c r="FP82" s="152">
        <f t="shared" ca="1" si="131"/>
        <v>0</v>
      </c>
      <c r="FQ82" s="152">
        <f t="shared" ca="1" si="131"/>
        <v>0</v>
      </c>
      <c r="FR82" s="152">
        <f t="shared" ca="1" si="131"/>
        <v>0</v>
      </c>
      <c r="FS82" s="152">
        <f t="shared" ca="1" si="132"/>
        <v>0</v>
      </c>
      <c r="FT82" s="152">
        <f t="shared" ca="1" si="132"/>
        <v>0</v>
      </c>
      <c r="FU82" s="152">
        <f t="shared" ca="1" si="132"/>
        <v>0</v>
      </c>
      <c r="FV82" s="152">
        <f t="shared" ca="1" si="132"/>
        <v>0</v>
      </c>
      <c r="FW82" s="152">
        <f t="shared" ca="1" si="132"/>
        <v>0</v>
      </c>
      <c r="FX82" s="152">
        <f t="shared" ca="1" si="132"/>
        <v>0</v>
      </c>
      <c r="FY82" s="152">
        <f t="shared" ca="1" si="132"/>
        <v>0</v>
      </c>
      <c r="FZ82" s="152">
        <f t="shared" ca="1" si="132"/>
        <v>0</v>
      </c>
      <c r="GA82" s="152">
        <f t="shared" ca="1" si="132"/>
        <v>0</v>
      </c>
      <c r="GB82" s="152">
        <f t="shared" ca="1" si="132"/>
        <v>0</v>
      </c>
      <c r="GC82" s="152">
        <f t="shared" ca="1" si="133"/>
        <v>0</v>
      </c>
      <c r="GD82" s="152">
        <f t="shared" ca="1" si="133"/>
        <v>0</v>
      </c>
      <c r="GE82" s="152">
        <f t="shared" ca="1" si="133"/>
        <v>0</v>
      </c>
      <c r="GF82" s="152">
        <f t="shared" ca="1" si="133"/>
        <v>0</v>
      </c>
      <c r="GG82" s="152">
        <f t="shared" ca="1" si="133"/>
        <v>0</v>
      </c>
      <c r="GH82" s="152">
        <f t="shared" ca="1" si="133"/>
        <v>0</v>
      </c>
      <c r="GI82" s="152">
        <f t="shared" ca="1" si="133"/>
        <v>0</v>
      </c>
      <c r="GJ82" s="152">
        <f t="shared" ca="1" si="133"/>
        <v>0</v>
      </c>
      <c r="GK82" s="152">
        <f t="shared" ca="1" si="133"/>
        <v>0</v>
      </c>
      <c r="GL82" s="152">
        <f t="shared" ca="1" si="133"/>
        <v>0</v>
      </c>
      <c r="GM82" s="152">
        <f t="shared" ca="1" si="134"/>
        <v>0</v>
      </c>
      <c r="GN82" s="152">
        <f t="shared" ca="1" si="134"/>
        <v>0</v>
      </c>
      <c r="GO82" s="152">
        <f t="shared" ca="1" si="134"/>
        <v>0</v>
      </c>
      <c r="GP82" s="152">
        <f t="shared" ca="1" si="134"/>
        <v>0</v>
      </c>
      <c r="GQ82" s="152">
        <f t="shared" ca="1" si="134"/>
        <v>0</v>
      </c>
      <c r="GR82" s="152">
        <f t="shared" ca="1" si="134"/>
        <v>0</v>
      </c>
      <c r="GS82" s="152">
        <f t="shared" ca="1" si="134"/>
        <v>0</v>
      </c>
      <c r="GT82" s="152">
        <f t="shared" ca="1" si="134"/>
        <v>0</v>
      </c>
      <c r="GU82" s="152">
        <f t="shared" ca="1" si="134"/>
        <v>0</v>
      </c>
      <c r="GV82" s="152">
        <f t="shared" ca="1" si="134"/>
        <v>0</v>
      </c>
      <c r="GW82" s="152">
        <f t="shared" ca="1" si="135"/>
        <v>0</v>
      </c>
      <c r="GX82" s="152">
        <f t="shared" ca="1" si="135"/>
        <v>0</v>
      </c>
      <c r="GY82" s="152">
        <f t="shared" ca="1" si="135"/>
        <v>0</v>
      </c>
      <c r="GZ82" s="152">
        <f t="shared" ca="1" si="135"/>
        <v>0</v>
      </c>
      <c r="HA82" s="152">
        <f t="shared" ca="1" si="135"/>
        <v>0</v>
      </c>
      <c r="HB82" s="152">
        <f t="shared" ca="1" si="135"/>
        <v>0</v>
      </c>
      <c r="HC82" s="152">
        <f t="shared" ca="1" si="135"/>
        <v>0</v>
      </c>
      <c r="HD82" s="152">
        <f t="shared" ca="1" si="135"/>
        <v>0</v>
      </c>
      <c r="HE82" s="152">
        <f t="shared" ca="1" si="135"/>
        <v>0</v>
      </c>
      <c r="HF82" s="152">
        <f t="shared" ca="1" si="135"/>
        <v>0</v>
      </c>
      <c r="HG82" s="152">
        <f t="shared" ca="1" si="136"/>
        <v>0</v>
      </c>
      <c r="HH82" s="152">
        <f t="shared" ca="1" si="136"/>
        <v>0</v>
      </c>
      <c r="HI82" s="152">
        <f t="shared" ca="1" si="136"/>
        <v>0</v>
      </c>
      <c r="HJ82" s="152">
        <f t="shared" ca="1" si="136"/>
        <v>0</v>
      </c>
      <c r="HK82" s="152">
        <f t="shared" ca="1" si="136"/>
        <v>0</v>
      </c>
      <c r="HL82" s="152">
        <f t="shared" ca="1" si="136"/>
        <v>0</v>
      </c>
      <c r="HM82" s="152">
        <f t="shared" ca="1" si="136"/>
        <v>0</v>
      </c>
      <c r="HN82" s="152">
        <f t="shared" ca="1" si="136"/>
        <v>0</v>
      </c>
      <c r="HO82" s="152">
        <f t="shared" ca="1" si="136"/>
        <v>0</v>
      </c>
      <c r="HP82" s="152">
        <f t="shared" ca="1" si="136"/>
        <v>0</v>
      </c>
      <c r="HQ82" s="152">
        <f t="shared" ca="1" si="137"/>
        <v>0</v>
      </c>
      <c r="HR82" s="152">
        <f t="shared" ca="1" si="137"/>
        <v>0</v>
      </c>
      <c r="HS82" s="152">
        <f t="shared" ca="1" si="137"/>
        <v>0</v>
      </c>
      <c r="HT82" s="152">
        <f t="shared" ca="1" si="137"/>
        <v>0</v>
      </c>
      <c r="HU82" s="152">
        <f t="shared" ca="1" si="137"/>
        <v>0</v>
      </c>
      <c r="HV82" s="152">
        <f t="shared" ca="1" si="137"/>
        <v>0</v>
      </c>
      <c r="HW82" s="152">
        <f t="shared" ca="1" si="137"/>
        <v>0</v>
      </c>
      <c r="HX82" s="152">
        <f t="shared" ca="1" si="137"/>
        <v>0</v>
      </c>
      <c r="HY82" s="152">
        <f t="shared" ca="1" si="137"/>
        <v>0</v>
      </c>
      <c r="HZ82" s="152">
        <f t="shared" ca="1" si="137"/>
        <v>0</v>
      </c>
      <c r="IA82" s="152">
        <f t="shared" ca="1" si="138"/>
        <v>0</v>
      </c>
      <c r="IB82" s="152">
        <f t="shared" ca="1" si="138"/>
        <v>0</v>
      </c>
      <c r="IC82" s="152">
        <f t="shared" ca="1" si="138"/>
        <v>0</v>
      </c>
      <c r="ID82" s="152">
        <f t="shared" ca="1" si="138"/>
        <v>0</v>
      </c>
      <c r="IE82" s="152">
        <f t="shared" ca="1" si="138"/>
        <v>0</v>
      </c>
      <c r="IF82" s="152">
        <f t="shared" ca="1" si="138"/>
        <v>0</v>
      </c>
      <c r="IG82" s="152">
        <f t="shared" ca="1" si="138"/>
        <v>0</v>
      </c>
      <c r="IH82" s="152">
        <f t="shared" ca="1" si="138"/>
        <v>0</v>
      </c>
      <c r="II82" s="152">
        <f t="shared" ca="1" si="138"/>
        <v>0</v>
      </c>
      <c r="IJ82" s="152">
        <f t="shared" ca="1" si="138"/>
        <v>0</v>
      </c>
      <c r="IK82" s="152">
        <f t="shared" ca="1" si="138"/>
        <v>0</v>
      </c>
      <c r="IL82" s="152">
        <f t="shared" ca="1" si="138"/>
        <v>0</v>
      </c>
      <c r="IM82" s="152">
        <f t="shared" ca="1" si="139"/>
        <v>0</v>
      </c>
      <c r="IN82" s="152">
        <f t="shared" ca="1" si="139"/>
        <v>0</v>
      </c>
      <c r="IO82" s="152">
        <f t="shared" ca="1" si="139"/>
        <v>0</v>
      </c>
      <c r="IP82" s="152">
        <f t="shared" ca="1" si="139"/>
        <v>0</v>
      </c>
      <c r="IQ82" s="152">
        <f t="shared" ca="1" si="139"/>
        <v>0</v>
      </c>
      <c r="IR82" s="152">
        <f t="shared" ca="1" si="139"/>
        <v>0</v>
      </c>
      <c r="IS82" s="152">
        <f t="shared" ca="1" si="139"/>
        <v>0</v>
      </c>
      <c r="IT82" s="152">
        <f t="shared" ca="1" si="139"/>
        <v>0</v>
      </c>
      <c r="IU82" s="152">
        <f t="shared" ca="1" si="139"/>
        <v>0</v>
      </c>
      <c r="IV82" s="152">
        <f t="shared" ca="1" si="139"/>
        <v>0</v>
      </c>
      <c r="IW82" s="152">
        <f t="shared" ca="1" si="140"/>
        <v>0</v>
      </c>
      <c r="IX82" s="152">
        <f t="shared" ca="1" si="140"/>
        <v>0</v>
      </c>
      <c r="IY82" s="152">
        <f t="shared" ca="1" si="140"/>
        <v>0</v>
      </c>
      <c r="IZ82" s="152">
        <f t="shared" ca="1" si="140"/>
        <v>0</v>
      </c>
      <c r="JA82" s="152">
        <f t="shared" ca="1" si="140"/>
        <v>0</v>
      </c>
      <c r="JB82" s="152">
        <f t="shared" ca="1" si="140"/>
        <v>0</v>
      </c>
      <c r="JC82" s="152">
        <f t="shared" ca="1" si="140"/>
        <v>0</v>
      </c>
      <c r="JD82" s="604"/>
    </row>
    <row r="83" spans="1:264" ht="12.75" customHeight="1" x14ac:dyDescent="0.25">
      <c r="A83" s="279"/>
      <c r="B83" s="41"/>
      <c r="C83" s="82"/>
      <c r="D83" s="41"/>
      <c r="E83" s="9"/>
      <c r="F83" s="9"/>
      <c r="G83" s="9"/>
      <c r="H83" s="10"/>
      <c r="I83" s="10"/>
      <c r="J83" s="10"/>
      <c r="K83" s="10"/>
      <c r="L83" s="10"/>
      <c r="M83" s="10"/>
      <c r="N83" s="9"/>
      <c r="O83" s="9"/>
      <c r="P83" s="44"/>
      <c r="Q83" s="44"/>
      <c r="R83" s="9"/>
      <c r="S83" s="9"/>
      <c r="T83" s="9"/>
      <c r="U83" s="9"/>
      <c r="V83" s="9"/>
      <c r="W83" s="9"/>
      <c r="X83" s="9"/>
      <c r="Y83" s="9"/>
      <c r="Z83" s="9"/>
      <c r="AA83" s="9"/>
      <c r="AB83" s="9"/>
      <c r="AC83" s="9"/>
      <c r="AD83" s="650">
        <f t="shared" si="64"/>
        <v>77</v>
      </c>
      <c r="AE83" s="654">
        <f ca="1">OFFSET('2 Staff List'!$IB$64,AJ83-1,0)</f>
        <v>0</v>
      </c>
      <c r="AF83" s="654">
        <f t="shared" si="125"/>
        <v>173.92857142857142</v>
      </c>
      <c r="AG83" s="9"/>
      <c r="AH83" s="654">
        <f t="shared" si="126"/>
        <v>239.15178571428569</v>
      </c>
      <c r="AI83" s="654">
        <f t="shared" si="127"/>
        <v>14</v>
      </c>
      <c r="AJ83" s="654">
        <f ca="1">OFFSET('2 Staff List'!$GU$64,AI83-1,0)</f>
        <v>14</v>
      </c>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1280">
        <f ca="1">OFFSET('2 Staff List'!$HW$64,AJ83-1,0)</f>
        <v>0</v>
      </c>
      <c r="DZ83" s="1281">
        <f ca="1">OFFSET('2 Staff List'!$HZ$64,AJ83-1,0)</f>
        <v>0</v>
      </c>
      <c r="EA83" s="3669">
        <f ca="1">OFFSET('2 Staff List'!$IA$64,AJ83-1,0)</f>
        <v>0</v>
      </c>
      <c r="EB83" s="3670"/>
      <c r="EC83" s="3673">
        <f t="shared" ca="1" si="128"/>
        <v>0</v>
      </c>
      <c r="ED83" s="3674"/>
      <c r="EE83" s="3675"/>
      <c r="EF83" s="3676"/>
      <c r="EG83" s="154">
        <f t="shared" ref="EG83:EP96" ca="1" si="141">IFERROR(SUMIFS(EG$129:EG$305,$DF$129:$DF$305,1,$DY$129:$DY$305,$EA83)*EG$17,0)</f>
        <v>0</v>
      </c>
      <c r="EH83" s="152">
        <f t="shared" ca="1" si="141"/>
        <v>0</v>
      </c>
      <c r="EI83" s="152">
        <f t="shared" ca="1" si="141"/>
        <v>0</v>
      </c>
      <c r="EJ83" s="152">
        <f t="shared" ca="1" si="141"/>
        <v>0</v>
      </c>
      <c r="EK83" s="152">
        <f t="shared" ca="1" si="141"/>
        <v>0</v>
      </c>
      <c r="EL83" s="152">
        <f t="shared" ca="1" si="141"/>
        <v>0</v>
      </c>
      <c r="EM83" s="152">
        <f t="shared" ca="1" si="141"/>
        <v>0</v>
      </c>
      <c r="EN83" s="152">
        <f t="shared" ca="1" si="141"/>
        <v>0</v>
      </c>
      <c r="EO83" s="152">
        <f t="shared" ca="1" si="141"/>
        <v>0</v>
      </c>
      <c r="EP83" s="152">
        <f t="shared" ca="1" si="141"/>
        <v>0</v>
      </c>
      <c r="EQ83" s="152">
        <f t="shared" ref="EQ83:EW96" ca="1" si="142">IFERROR(SUMIFS(EQ$129:EQ$305,$DF$129:$DF$305,1,$DY$129:$DY$305,$EA83)*EQ$17,0)</f>
        <v>0</v>
      </c>
      <c r="ER83" s="152">
        <f t="shared" ca="1" si="142"/>
        <v>0</v>
      </c>
      <c r="ES83" s="152">
        <f t="shared" ca="1" si="142"/>
        <v>0</v>
      </c>
      <c r="ET83" s="152">
        <f t="shared" ca="1" si="142"/>
        <v>0</v>
      </c>
      <c r="EU83" s="152">
        <f t="shared" ca="1" si="142"/>
        <v>0</v>
      </c>
      <c r="EV83" s="152">
        <f t="shared" ca="1" si="142"/>
        <v>0</v>
      </c>
      <c r="EW83" s="152">
        <f t="shared" ca="1" si="142"/>
        <v>0</v>
      </c>
      <c r="EX83" s="152">
        <f t="shared" ca="1" si="129"/>
        <v>0</v>
      </c>
      <c r="EY83" s="152">
        <f t="shared" ca="1" si="130"/>
        <v>0</v>
      </c>
      <c r="EZ83" s="152">
        <f t="shared" ca="1" si="130"/>
        <v>0</v>
      </c>
      <c r="FA83" s="152">
        <f t="shared" ca="1" si="130"/>
        <v>0</v>
      </c>
      <c r="FB83" s="152">
        <f t="shared" ca="1" si="130"/>
        <v>0</v>
      </c>
      <c r="FC83" s="152">
        <f t="shared" ca="1" si="130"/>
        <v>0</v>
      </c>
      <c r="FD83" s="152">
        <f t="shared" ca="1" si="130"/>
        <v>0</v>
      </c>
      <c r="FE83" s="152">
        <f t="shared" ca="1" si="130"/>
        <v>0</v>
      </c>
      <c r="FF83" s="152">
        <f t="shared" ca="1" si="130"/>
        <v>0</v>
      </c>
      <c r="FG83" s="152">
        <f t="shared" ca="1" si="130"/>
        <v>0</v>
      </c>
      <c r="FH83" s="152">
        <f t="shared" ca="1" si="130"/>
        <v>0</v>
      </c>
      <c r="FI83" s="152">
        <f t="shared" ca="1" si="131"/>
        <v>0</v>
      </c>
      <c r="FJ83" s="152">
        <f t="shared" ca="1" si="131"/>
        <v>0</v>
      </c>
      <c r="FK83" s="152">
        <f t="shared" ca="1" si="131"/>
        <v>0</v>
      </c>
      <c r="FL83" s="152">
        <f t="shared" ca="1" si="131"/>
        <v>0</v>
      </c>
      <c r="FM83" s="152">
        <f t="shared" ca="1" si="131"/>
        <v>0</v>
      </c>
      <c r="FN83" s="152">
        <f t="shared" ca="1" si="131"/>
        <v>0</v>
      </c>
      <c r="FO83" s="152">
        <f t="shared" ca="1" si="131"/>
        <v>0</v>
      </c>
      <c r="FP83" s="152">
        <f t="shared" ca="1" si="131"/>
        <v>0</v>
      </c>
      <c r="FQ83" s="152">
        <f t="shared" ca="1" si="131"/>
        <v>0</v>
      </c>
      <c r="FR83" s="152">
        <f t="shared" ca="1" si="131"/>
        <v>0</v>
      </c>
      <c r="FS83" s="152">
        <f t="shared" ca="1" si="132"/>
        <v>0</v>
      </c>
      <c r="FT83" s="152">
        <f t="shared" ca="1" si="132"/>
        <v>0</v>
      </c>
      <c r="FU83" s="152">
        <f t="shared" ca="1" si="132"/>
        <v>0</v>
      </c>
      <c r="FV83" s="152">
        <f t="shared" ca="1" si="132"/>
        <v>0</v>
      </c>
      <c r="FW83" s="152">
        <f t="shared" ca="1" si="132"/>
        <v>0</v>
      </c>
      <c r="FX83" s="152">
        <f t="shared" ca="1" si="132"/>
        <v>0</v>
      </c>
      <c r="FY83" s="152">
        <f t="shared" ca="1" si="132"/>
        <v>0</v>
      </c>
      <c r="FZ83" s="152">
        <f t="shared" ca="1" si="132"/>
        <v>0</v>
      </c>
      <c r="GA83" s="152">
        <f t="shared" ca="1" si="132"/>
        <v>0</v>
      </c>
      <c r="GB83" s="152">
        <f t="shared" ca="1" si="132"/>
        <v>0</v>
      </c>
      <c r="GC83" s="152">
        <f t="shared" ca="1" si="133"/>
        <v>0</v>
      </c>
      <c r="GD83" s="152">
        <f t="shared" ca="1" si="133"/>
        <v>0</v>
      </c>
      <c r="GE83" s="152">
        <f t="shared" ca="1" si="133"/>
        <v>0</v>
      </c>
      <c r="GF83" s="152">
        <f t="shared" ca="1" si="133"/>
        <v>0</v>
      </c>
      <c r="GG83" s="152">
        <f t="shared" ca="1" si="133"/>
        <v>0</v>
      </c>
      <c r="GH83" s="152">
        <f t="shared" ca="1" si="133"/>
        <v>0</v>
      </c>
      <c r="GI83" s="152">
        <f t="shared" ca="1" si="133"/>
        <v>0</v>
      </c>
      <c r="GJ83" s="152">
        <f t="shared" ca="1" si="133"/>
        <v>0</v>
      </c>
      <c r="GK83" s="152">
        <f t="shared" ca="1" si="133"/>
        <v>0</v>
      </c>
      <c r="GL83" s="152">
        <f t="shared" ca="1" si="133"/>
        <v>0</v>
      </c>
      <c r="GM83" s="152">
        <f t="shared" ca="1" si="134"/>
        <v>0</v>
      </c>
      <c r="GN83" s="152">
        <f t="shared" ca="1" si="134"/>
        <v>0</v>
      </c>
      <c r="GO83" s="152">
        <f t="shared" ca="1" si="134"/>
        <v>0</v>
      </c>
      <c r="GP83" s="152">
        <f t="shared" ca="1" si="134"/>
        <v>0</v>
      </c>
      <c r="GQ83" s="152">
        <f t="shared" ca="1" si="134"/>
        <v>0</v>
      </c>
      <c r="GR83" s="152">
        <f t="shared" ca="1" si="134"/>
        <v>0</v>
      </c>
      <c r="GS83" s="152">
        <f t="shared" ca="1" si="134"/>
        <v>0</v>
      </c>
      <c r="GT83" s="152">
        <f t="shared" ca="1" si="134"/>
        <v>0</v>
      </c>
      <c r="GU83" s="152">
        <f t="shared" ca="1" si="134"/>
        <v>0</v>
      </c>
      <c r="GV83" s="152">
        <f t="shared" ca="1" si="134"/>
        <v>0</v>
      </c>
      <c r="GW83" s="152">
        <f t="shared" ca="1" si="135"/>
        <v>0</v>
      </c>
      <c r="GX83" s="152">
        <f t="shared" ca="1" si="135"/>
        <v>0</v>
      </c>
      <c r="GY83" s="152">
        <f t="shared" ca="1" si="135"/>
        <v>0</v>
      </c>
      <c r="GZ83" s="152">
        <f t="shared" ca="1" si="135"/>
        <v>0</v>
      </c>
      <c r="HA83" s="152">
        <f t="shared" ca="1" si="135"/>
        <v>0</v>
      </c>
      <c r="HB83" s="152">
        <f t="shared" ca="1" si="135"/>
        <v>0</v>
      </c>
      <c r="HC83" s="152">
        <f t="shared" ca="1" si="135"/>
        <v>0</v>
      </c>
      <c r="HD83" s="152">
        <f t="shared" ca="1" si="135"/>
        <v>0</v>
      </c>
      <c r="HE83" s="152">
        <f t="shared" ca="1" si="135"/>
        <v>0</v>
      </c>
      <c r="HF83" s="152">
        <f t="shared" ca="1" si="135"/>
        <v>0</v>
      </c>
      <c r="HG83" s="152">
        <f t="shared" ca="1" si="136"/>
        <v>0</v>
      </c>
      <c r="HH83" s="152">
        <f t="shared" ca="1" si="136"/>
        <v>0</v>
      </c>
      <c r="HI83" s="152">
        <f t="shared" ca="1" si="136"/>
        <v>0</v>
      </c>
      <c r="HJ83" s="152">
        <f t="shared" ca="1" si="136"/>
        <v>0</v>
      </c>
      <c r="HK83" s="152">
        <f t="shared" ca="1" si="136"/>
        <v>0</v>
      </c>
      <c r="HL83" s="152">
        <f t="shared" ca="1" si="136"/>
        <v>0</v>
      </c>
      <c r="HM83" s="152">
        <f t="shared" ca="1" si="136"/>
        <v>0</v>
      </c>
      <c r="HN83" s="152">
        <f t="shared" ca="1" si="136"/>
        <v>0</v>
      </c>
      <c r="HO83" s="152">
        <f t="shared" ca="1" si="136"/>
        <v>0</v>
      </c>
      <c r="HP83" s="152">
        <f t="shared" ca="1" si="136"/>
        <v>0</v>
      </c>
      <c r="HQ83" s="152">
        <f t="shared" ca="1" si="137"/>
        <v>0</v>
      </c>
      <c r="HR83" s="152">
        <f t="shared" ca="1" si="137"/>
        <v>0</v>
      </c>
      <c r="HS83" s="152">
        <f t="shared" ca="1" si="137"/>
        <v>0</v>
      </c>
      <c r="HT83" s="152">
        <f t="shared" ca="1" si="137"/>
        <v>0</v>
      </c>
      <c r="HU83" s="152">
        <f t="shared" ca="1" si="137"/>
        <v>0</v>
      </c>
      <c r="HV83" s="152">
        <f t="shared" ca="1" si="137"/>
        <v>0</v>
      </c>
      <c r="HW83" s="152">
        <f t="shared" ca="1" si="137"/>
        <v>0</v>
      </c>
      <c r="HX83" s="152">
        <f t="shared" ca="1" si="137"/>
        <v>0</v>
      </c>
      <c r="HY83" s="152">
        <f t="shared" ca="1" si="137"/>
        <v>0</v>
      </c>
      <c r="HZ83" s="152">
        <f t="shared" ca="1" si="137"/>
        <v>0</v>
      </c>
      <c r="IA83" s="152">
        <f t="shared" ca="1" si="138"/>
        <v>0</v>
      </c>
      <c r="IB83" s="152">
        <f t="shared" ca="1" si="138"/>
        <v>0</v>
      </c>
      <c r="IC83" s="152">
        <f t="shared" ca="1" si="138"/>
        <v>0</v>
      </c>
      <c r="ID83" s="152">
        <f t="shared" ca="1" si="138"/>
        <v>0</v>
      </c>
      <c r="IE83" s="152">
        <f t="shared" ca="1" si="138"/>
        <v>0</v>
      </c>
      <c r="IF83" s="152">
        <f t="shared" ca="1" si="138"/>
        <v>0</v>
      </c>
      <c r="IG83" s="152">
        <f t="shared" ca="1" si="138"/>
        <v>0</v>
      </c>
      <c r="IH83" s="152">
        <f t="shared" ca="1" si="138"/>
        <v>0</v>
      </c>
      <c r="II83" s="152">
        <f t="shared" ca="1" si="138"/>
        <v>0</v>
      </c>
      <c r="IJ83" s="152">
        <f t="shared" ca="1" si="138"/>
        <v>0</v>
      </c>
      <c r="IK83" s="152">
        <f t="shared" ca="1" si="138"/>
        <v>0</v>
      </c>
      <c r="IL83" s="152">
        <f t="shared" ca="1" si="138"/>
        <v>0</v>
      </c>
      <c r="IM83" s="152">
        <f t="shared" ca="1" si="139"/>
        <v>0</v>
      </c>
      <c r="IN83" s="152">
        <f t="shared" ca="1" si="139"/>
        <v>0</v>
      </c>
      <c r="IO83" s="152">
        <f t="shared" ca="1" si="139"/>
        <v>0</v>
      </c>
      <c r="IP83" s="152">
        <f t="shared" ca="1" si="139"/>
        <v>0</v>
      </c>
      <c r="IQ83" s="152">
        <f t="shared" ca="1" si="139"/>
        <v>0</v>
      </c>
      <c r="IR83" s="152">
        <f t="shared" ca="1" si="139"/>
        <v>0</v>
      </c>
      <c r="IS83" s="152">
        <f t="shared" ca="1" si="139"/>
        <v>0</v>
      </c>
      <c r="IT83" s="152">
        <f t="shared" ca="1" si="139"/>
        <v>0</v>
      </c>
      <c r="IU83" s="152">
        <f t="shared" ca="1" si="139"/>
        <v>0</v>
      </c>
      <c r="IV83" s="152">
        <f t="shared" ca="1" si="139"/>
        <v>0</v>
      </c>
      <c r="IW83" s="152">
        <f t="shared" ca="1" si="140"/>
        <v>0</v>
      </c>
      <c r="IX83" s="152">
        <f t="shared" ca="1" si="140"/>
        <v>0</v>
      </c>
      <c r="IY83" s="152">
        <f t="shared" ca="1" si="140"/>
        <v>0</v>
      </c>
      <c r="IZ83" s="152">
        <f t="shared" ca="1" si="140"/>
        <v>0</v>
      </c>
      <c r="JA83" s="152">
        <f t="shared" ca="1" si="140"/>
        <v>0</v>
      </c>
      <c r="JB83" s="152">
        <f t="shared" ca="1" si="140"/>
        <v>0</v>
      </c>
      <c r="JC83" s="152">
        <f t="shared" ca="1" si="140"/>
        <v>0</v>
      </c>
      <c r="JD83" s="604"/>
    </row>
    <row r="84" spans="1:264" ht="12.75" customHeight="1" x14ac:dyDescent="0.25">
      <c r="A84" s="279"/>
      <c r="B84" s="41"/>
      <c r="C84" s="82"/>
      <c r="D84" s="41"/>
      <c r="E84" s="9"/>
      <c r="F84" s="9"/>
      <c r="G84" s="9"/>
      <c r="H84" s="10"/>
      <c r="I84" s="10"/>
      <c r="J84" s="10"/>
      <c r="K84" s="10"/>
      <c r="L84" s="10"/>
      <c r="M84" s="10"/>
      <c r="N84" s="9"/>
      <c r="O84" s="9"/>
      <c r="P84" s="44"/>
      <c r="Q84" s="44"/>
      <c r="R84" s="9"/>
      <c r="S84" s="9"/>
      <c r="T84" s="9"/>
      <c r="U84" s="9"/>
      <c r="V84" s="9"/>
      <c r="W84" s="9"/>
      <c r="X84" s="9"/>
      <c r="Y84" s="9"/>
      <c r="Z84" s="9"/>
      <c r="AA84" s="9"/>
      <c r="AB84" s="9"/>
      <c r="AC84" s="9"/>
      <c r="AD84" s="650">
        <f t="shared" si="64"/>
        <v>76</v>
      </c>
      <c r="AE84" s="654">
        <f ca="1">OFFSET('2 Staff List'!$IB$64,AJ84-1,0)</f>
        <v>0</v>
      </c>
      <c r="AF84" s="654">
        <f t="shared" si="125"/>
        <v>173.92857142857142</v>
      </c>
      <c r="AG84" s="9"/>
      <c r="AH84" s="654">
        <f t="shared" si="126"/>
        <v>239.15178571428569</v>
      </c>
      <c r="AI84" s="654">
        <f t="shared" si="127"/>
        <v>13</v>
      </c>
      <c r="AJ84" s="654">
        <f ca="1">OFFSET('2 Staff List'!$GU$64,AI84-1,0)</f>
        <v>13</v>
      </c>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1280">
        <f ca="1">OFFSET('2 Staff List'!$HW$64,AJ84-1,0)</f>
        <v>0</v>
      </c>
      <c r="DZ84" s="1281">
        <f ca="1">OFFSET('2 Staff List'!$HZ$64,AJ84-1,0)</f>
        <v>0</v>
      </c>
      <c r="EA84" s="3669">
        <f ca="1">OFFSET('2 Staff List'!$IA$64,AJ84-1,0)</f>
        <v>0</v>
      </c>
      <c r="EB84" s="3670"/>
      <c r="EC84" s="3673">
        <f t="shared" ca="1" si="128"/>
        <v>0</v>
      </c>
      <c r="ED84" s="3674"/>
      <c r="EE84" s="3675"/>
      <c r="EF84" s="3676"/>
      <c r="EG84" s="154">
        <f t="shared" ca="1" si="141"/>
        <v>0</v>
      </c>
      <c r="EH84" s="152">
        <f t="shared" ca="1" si="141"/>
        <v>0</v>
      </c>
      <c r="EI84" s="152">
        <f t="shared" ca="1" si="141"/>
        <v>0</v>
      </c>
      <c r="EJ84" s="152">
        <f t="shared" ca="1" si="141"/>
        <v>0</v>
      </c>
      <c r="EK84" s="152">
        <f t="shared" ca="1" si="141"/>
        <v>0</v>
      </c>
      <c r="EL84" s="152">
        <f t="shared" ca="1" si="141"/>
        <v>0</v>
      </c>
      <c r="EM84" s="152">
        <f t="shared" ca="1" si="141"/>
        <v>0</v>
      </c>
      <c r="EN84" s="152">
        <f t="shared" ca="1" si="141"/>
        <v>0</v>
      </c>
      <c r="EO84" s="152">
        <f t="shared" ca="1" si="141"/>
        <v>0</v>
      </c>
      <c r="EP84" s="152">
        <f t="shared" ca="1" si="141"/>
        <v>0</v>
      </c>
      <c r="EQ84" s="152">
        <f t="shared" ca="1" si="142"/>
        <v>0</v>
      </c>
      <c r="ER84" s="152">
        <f t="shared" ca="1" si="142"/>
        <v>0</v>
      </c>
      <c r="ES84" s="152">
        <f t="shared" ca="1" si="142"/>
        <v>0</v>
      </c>
      <c r="ET84" s="152">
        <f t="shared" ca="1" si="142"/>
        <v>0</v>
      </c>
      <c r="EU84" s="152">
        <f t="shared" ca="1" si="142"/>
        <v>0</v>
      </c>
      <c r="EV84" s="152">
        <f t="shared" ca="1" si="142"/>
        <v>0</v>
      </c>
      <c r="EW84" s="152">
        <f t="shared" ca="1" si="142"/>
        <v>0</v>
      </c>
      <c r="EX84" s="152">
        <f t="shared" ca="1" si="129"/>
        <v>0</v>
      </c>
      <c r="EY84" s="152">
        <f t="shared" ca="1" si="130"/>
        <v>0</v>
      </c>
      <c r="EZ84" s="152">
        <f t="shared" ca="1" si="130"/>
        <v>0</v>
      </c>
      <c r="FA84" s="152">
        <f t="shared" ca="1" si="130"/>
        <v>0</v>
      </c>
      <c r="FB84" s="152">
        <f t="shared" ca="1" si="130"/>
        <v>0</v>
      </c>
      <c r="FC84" s="152">
        <f t="shared" ca="1" si="130"/>
        <v>0</v>
      </c>
      <c r="FD84" s="152">
        <f t="shared" ca="1" si="130"/>
        <v>0</v>
      </c>
      <c r="FE84" s="152">
        <f t="shared" ca="1" si="130"/>
        <v>0</v>
      </c>
      <c r="FF84" s="152">
        <f t="shared" ca="1" si="130"/>
        <v>0</v>
      </c>
      <c r="FG84" s="152">
        <f t="shared" ca="1" si="130"/>
        <v>0</v>
      </c>
      <c r="FH84" s="152">
        <f t="shared" ca="1" si="130"/>
        <v>0</v>
      </c>
      <c r="FI84" s="152">
        <f t="shared" ca="1" si="131"/>
        <v>0</v>
      </c>
      <c r="FJ84" s="152">
        <f t="shared" ca="1" si="131"/>
        <v>0</v>
      </c>
      <c r="FK84" s="152">
        <f t="shared" ca="1" si="131"/>
        <v>0</v>
      </c>
      <c r="FL84" s="152">
        <f t="shared" ca="1" si="131"/>
        <v>0</v>
      </c>
      <c r="FM84" s="152">
        <f t="shared" ca="1" si="131"/>
        <v>0</v>
      </c>
      <c r="FN84" s="152">
        <f t="shared" ca="1" si="131"/>
        <v>0</v>
      </c>
      <c r="FO84" s="152">
        <f t="shared" ca="1" si="131"/>
        <v>0</v>
      </c>
      <c r="FP84" s="152">
        <f t="shared" ca="1" si="131"/>
        <v>0</v>
      </c>
      <c r="FQ84" s="152">
        <f t="shared" ca="1" si="131"/>
        <v>0</v>
      </c>
      <c r="FR84" s="152">
        <f t="shared" ca="1" si="131"/>
        <v>0</v>
      </c>
      <c r="FS84" s="152">
        <f t="shared" ca="1" si="132"/>
        <v>0</v>
      </c>
      <c r="FT84" s="152">
        <f t="shared" ca="1" si="132"/>
        <v>0</v>
      </c>
      <c r="FU84" s="152">
        <f t="shared" ca="1" si="132"/>
        <v>0</v>
      </c>
      <c r="FV84" s="152">
        <f t="shared" ca="1" si="132"/>
        <v>0</v>
      </c>
      <c r="FW84" s="152">
        <f t="shared" ca="1" si="132"/>
        <v>0</v>
      </c>
      <c r="FX84" s="152">
        <f t="shared" ca="1" si="132"/>
        <v>0</v>
      </c>
      <c r="FY84" s="152">
        <f t="shared" ca="1" si="132"/>
        <v>0</v>
      </c>
      <c r="FZ84" s="152">
        <f t="shared" ca="1" si="132"/>
        <v>0</v>
      </c>
      <c r="GA84" s="152">
        <f t="shared" ca="1" si="132"/>
        <v>0</v>
      </c>
      <c r="GB84" s="152">
        <f t="shared" ca="1" si="132"/>
        <v>0</v>
      </c>
      <c r="GC84" s="152">
        <f t="shared" ca="1" si="133"/>
        <v>0</v>
      </c>
      <c r="GD84" s="152">
        <f t="shared" ca="1" si="133"/>
        <v>0</v>
      </c>
      <c r="GE84" s="152">
        <f t="shared" ca="1" si="133"/>
        <v>0</v>
      </c>
      <c r="GF84" s="152">
        <f t="shared" ca="1" si="133"/>
        <v>0</v>
      </c>
      <c r="GG84" s="152">
        <f t="shared" ca="1" si="133"/>
        <v>0</v>
      </c>
      <c r="GH84" s="152">
        <f t="shared" ca="1" si="133"/>
        <v>0</v>
      </c>
      <c r="GI84" s="152">
        <f t="shared" ca="1" si="133"/>
        <v>0</v>
      </c>
      <c r="GJ84" s="152">
        <f t="shared" ca="1" si="133"/>
        <v>0</v>
      </c>
      <c r="GK84" s="152">
        <f t="shared" ca="1" si="133"/>
        <v>0</v>
      </c>
      <c r="GL84" s="152">
        <f t="shared" ca="1" si="133"/>
        <v>0</v>
      </c>
      <c r="GM84" s="152">
        <f t="shared" ca="1" si="134"/>
        <v>0</v>
      </c>
      <c r="GN84" s="152">
        <f t="shared" ca="1" si="134"/>
        <v>0</v>
      </c>
      <c r="GO84" s="152">
        <f t="shared" ca="1" si="134"/>
        <v>0</v>
      </c>
      <c r="GP84" s="152">
        <f t="shared" ca="1" si="134"/>
        <v>0</v>
      </c>
      <c r="GQ84" s="152">
        <f t="shared" ca="1" si="134"/>
        <v>0</v>
      </c>
      <c r="GR84" s="152">
        <f t="shared" ca="1" si="134"/>
        <v>0</v>
      </c>
      <c r="GS84" s="152">
        <f t="shared" ca="1" si="134"/>
        <v>0</v>
      </c>
      <c r="GT84" s="152">
        <f t="shared" ca="1" si="134"/>
        <v>0</v>
      </c>
      <c r="GU84" s="152">
        <f t="shared" ca="1" si="134"/>
        <v>0</v>
      </c>
      <c r="GV84" s="152">
        <f t="shared" ca="1" si="134"/>
        <v>0</v>
      </c>
      <c r="GW84" s="152">
        <f t="shared" ca="1" si="135"/>
        <v>0</v>
      </c>
      <c r="GX84" s="152">
        <f t="shared" ca="1" si="135"/>
        <v>0</v>
      </c>
      <c r="GY84" s="152">
        <f t="shared" ca="1" si="135"/>
        <v>0</v>
      </c>
      <c r="GZ84" s="152">
        <f t="shared" ca="1" si="135"/>
        <v>0</v>
      </c>
      <c r="HA84" s="152">
        <f t="shared" ca="1" si="135"/>
        <v>0</v>
      </c>
      <c r="HB84" s="152">
        <f t="shared" ca="1" si="135"/>
        <v>0</v>
      </c>
      <c r="HC84" s="152">
        <f t="shared" ca="1" si="135"/>
        <v>0</v>
      </c>
      <c r="HD84" s="152">
        <f t="shared" ca="1" si="135"/>
        <v>0</v>
      </c>
      <c r="HE84" s="152">
        <f t="shared" ca="1" si="135"/>
        <v>0</v>
      </c>
      <c r="HF84" s="152">
        <f t="shared" ca="1" si="135"/>
        <v>0</v>
      </c>
      <c r="HG84" s="152">
        <f t="shared" ca="1" si="136"/>
        <v>0</v>
      </c>
      <c r="HH84" s="152">
        <f t="shared" ca="1" si="136"/>
        <v>0</v>
      </c>
      <c r="HI84" s="152">
        <f t="shared" ca="1" si="136"/>
        <v>0</v>
      </c>
      <c r="HJ84" s="152">
        <f t="shared" ca="1" si="136"/>
        <v>0</v>
      </c>
      <c r="HK84" s="152">
        <f t="shared" ca="1" si="136"/>
        <v>0</v>
      </c>
      <c r="HL84" s="152">
        <f t="shared" ca="1" si="136"/>
        <v>0</v>
      </c>
      <c r="HM84" s="152">
        <f t="shared" ca="1" si="136"/>
        <v>0</v>
      </c>
      <c r="HN84" s="152">
        <f t="shared" ca="1" si="136"/>
        <v>0</v>
      </c>
      <c r="HO84" s="152">
        <f t="shared" ca="1" si="136"/>
        <v>0</v>
      </c>
      <c r="HP84" s="152">
        <f t="shared" ca="1" si="136"/>
        <v>0</v>
      </c>
      <c r="HQ84" s="152">
        <f t="shared" ca="1" si="137"/>
        <v>0</v>
      </c>
      <c r="HR84" s="152">
        <f t="shared" ca="1" si="137"/>
        <v>0</v>
      </c>
      <c r="HS84" s="152">
        <f t="shared" ca="1" si="137"/>
        <v>0</v>
      </c>
      <c r="HT84" s="152">
        <f t="shared" ca="1" si="137"/>
        <v>0</v>
      </c>
      <c r="HU84" s="152">
        <f t="shared" ca="1" si="137"/>
        <v>0</v>
      </c>
      <c r="HV84" s="152">
        <f t="shared" ca="1" si="137"/>
        <v>0</v>
      </c>
      <c r="HW84" s="152">
        <f t="shared" ca="1" si="137"/>
        <v>0</v>
      </c>
      <c r="HX84" s="152">
        <f t="shared" ca="1" si="137"/>
        <v>0</v>
      </c>
      <c r="HY84" s="152">
        <f t="shared" ca="1" si="137"/>
        <v>0</v>
      </c>
      <c r="HZ84" s="152">
        <f t="shared" ca="1" si="137"/>
        <v>0</v>
      </c>
      <c r="IA84" s="152">
        <f t="shared" ca="1" si="138"/>
        <v>0</v>
      </c>
      <c r="IB84" s="152">
        <f t="shared" ca="1" si="138"/>
        <v>0</v>
      </c>
      <c r="IC84" s="152">
        <f t="shared" ca="1" si="138"/>
        <v>0</v>
      </c>
      <c r="ID84" s="152">
        <f t="shared" ca="1" si="138"/>
        <v>0</v>
      </c>
      <c r="IE84" s="152">
        <f t="shared" ca="1" si="138"/>
        <v>0</v>
      </c>
      <c r="IF84" s="152">
        <f t="shared" ca="1" si="138"/>
        <v>0</v>
      </c>
      <c r="IG84" s="152">
        <f t="shared" ca="1" si="138"/>
        <v>0</v>
      </c>
      <c r="IH84" s="152">
        <f t="shared" ca="1" si="138"/>
        <v>0</v>
      </c>
      <c r="II84" s="152">
        <f t="shared" ca="1" si="138"/>
        <v>0</v>
      </c>
      <c r="IJ84" s="152">
        <f t="shared" ca="1" si="138"/>
        <v>0</v>
      </c>
      <c r="IK84" s="152">
        <f t="shared" ca="1" si="138"/>
        <v>0</v>
      </c>
      <c r="IL84" s="152">
        <f t="shared" ca="1" si="138"/>
        <v>0</v>
      </c>
      <c r="IM84" s="152">
        <f t="shared" ca="1" si="139"/>
        <v>0</v>
      </c>
      <c r="IN84" s="152">
        <f t="shared" ca="1" si="139"/>
        <v>0</v>
      </c>
      <c r="IO84" s="152">
        <f t="shared" ca="1" si="139"/>
        <v>0</v>
      </c>
      <c r="IP84" s="152">
        <f t="shared" ca="1" si="139"/>
        <v>0</v>
      </c>
      <c r="IQ84" s="152">
        <f t="shared" ca="1" si="139"/>
        <v>0</v>
      </c>
      <c r="IR84" s="152">
        <f t="shared" ca="1" si="139"/>
        <v>0</v>
      </c>
      <c r="IS84" s="152">
        <f t="shared" ca="1" si="139"/>
        <v>0</v>
      </c>
      <c r="IT84" s="152">
        <f t="shared" ca="1" si="139"/>
        <v>0</v>
      </c>
      <c r="IU84" s="152">
        <f t="shared" ca="1" si="139"/>
        <v>0</v>
      </c>
      <c r="IV84" s="152">
        <f t="shared" ca="1" si="139"/>
        <v>0</v>
      </c>
      <c r="IW84" s="152">
        <f t="shared" ca="1" si="140"/>
        <v>0</v>
      </c>
      <c r="IX84" s="152">
        <f t="shared" ca="1" si="140"/>
        <v>0</v>
      </c>
      <c r="IY84" s="152">
        <f t="shared" ca="1" si="140"/>
        <v>0</v>
      </c>
      <c r="IZ84" s="152">
        <f t="shared" ca="1" si="140"/>
        <v>0</v>
      </c>
      <c r="JA84" s="152">
        <f t="shared" ca="1" si="140"/>
        <v>0</v>
      </c>
      <c r="JB84" s="152">
        <f t="shared" ca="1" si="140"/>
        <v>0</v>
      </c>
      <c r="JC84" s="152">
        <f t="shared" ca="1" si="140"/>
        <v>0</v>
      </c>
      <c r="JD84" s="604"/>
    </row>
    <row r="85" spans="1:264" ht="12.75" customHeight="1" x14ac:dyDescent="0.25">
      <c r="A85" s="279"/>
      <c r="B85" s="41"/>
      <c r="C85" s="82"/>
      <c r="D85" s="41"/>
      <c r="E85" s="9"/>
      <c r="F85" s="9"/>
      <c r="G85" s="9"/>
      <c r="H85" s="10"/>
      <c r="I85" s="10"/>
      <c r="J85" s="10"/>
      <c r="K85" s="10"/>
      <c r="L85" s="10"/>
      <c r="M85" s="10"/>
      <c r="N85" s="9"/>
      <c r="O85" s="9"/>
      <c r="P85" s="44"/>
      <c r="Q85" s="44"/>
      <c r="R85" s="9"/>
      <c r="S85" s="9"/>
      <c r="T85" s="9"/>
      <c r="U85" s="9"/>
      <c r="V85" s="9"/>
      <c r="W85" s="9"/>
      <c r="X85" s="9"/>
      <c r="Y85" s="9"/>
      <c r="Z85" s="9"/>
      <c r="AA85" s="9"/>
      <c r="AB85" s="9"/>
      <c r="AC85" s="9"/>
      <c r="AD85" s="650">
        <f t="shared" si="64"/>
        <v>75</v>
      </c>
      <c r="AE85" s="654">
        <f ca="1">OFFSET('2 Staff List'!$IB$64,AJ85-1,0)</f>
        <v>0</v>
      </c>
      <c r="AF85" s="654">
        <f t="shared" si="125"/>
        <v>173.92857142857142</v>
      </c>
      <c r="AG85" s="9"/>
      <c r="AH85" s="654">
        <f t="shared" si="126"/>
        <v>239.15178571428569</v>
      </c>
      <c r="AI85" s="654">
        <f t="shared" si="127"/>
        <v>12</v>
      </c>
      <c r="AJ85" s="654">
        <f ca="1">OFFSET('2 Staff List'!$GU$64,AI85-1,0)</f>
        <v>12</v>
      </c>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1280">
        <f ca="1">OFFSET('2 Staff List'!$HW$64,AJ85-1,0)</f>
        <v>0</v>
      </c>
      <c r="DZ85" s="1281">
        <f ca="1">OFFSET('2 Staff List'!$HZ$64,AJ85-1,0)</f>
        <v>0</v>
      </c>
      <c r="EA85" s="3669">
        <f ca="1">OFFSET('2 Staff List'!$IA$64,AJ85-1,0)</f>
        <v>0</v>
      </c>
      <c r="EB85" s="3670"/>
      <c r="EC85" s="3673">
        <f t="shared" ca="1" si="128"/>
        <v>0</v>
      </c>
      <c r="ED85" s="3674"/>
      <c r="EE85" s="3675"/>
      <c r="EF85" s="3676"/>
      <c r="EG85" s="154">
        <f t="shared" ca="1" si="141"/>
        <v>0</v>
      </c>
      <c r="EH85" s="152">
        <f t="shared" ca="1" si="141"/>
        <v>0</v>
      </c>
      <c r="EI85" s="152">
        <f t="shared" ca="1" si="141"/>
        <v>0</v>
      </c>
      <c r="EJ85" s="152">
        <f t="shared" ca="1" si="141"/>
        <v>0</v>
      </c>
      <c r="EK85" s="152">
        <f t="shared" ca="1" si="141"/>
        <v>0</v>
      </c>
      <c r="EL85" s="152">
        <f t="shared" ca="1" si="141"/>
        <v>0</v>
      </c>
      <c r="EM85" s="152">
        <f t="shared" ca="1" si="141"/>
        <v>0</v>
      </c>
      <c r="EN85" s="152">
        <f t="shared" ca="1" si="141"/>
        <v>0</v>
      </c>
      <c r="EO85" s="152">
        <f t="shared" ca="1" si="141"/>
        <v>0</v>
      </c>
      <c r="EP85" s="152">
        <f t="shared" ca="1" si="141"/>
        <v>0</v>
      </c>
      <c r="EQ85" s="152">
        <f t="shared" ca="1" si="142"/>
        <v>0</v>
      </c>
      <c r="ER85" s="152">
        <f t="shared" ca="1" si="142"/>
        <v>0</v>
      </c>
      <c r="ES85" s="152">
        <f t="shared" ca="1" si="142"/>
        <v>0</v>
      </c>
      <c r="ET85" s="152">
        <f t="shared" ca="1" si="142"/>
        <v>0</v>
      </c>
      <c r="EU85" s="152">
        <f t="shared" ca="1" si="142"/>
        <v>0</v>
      </c>
      <c r="EV85" s="152">
        <f t="shared" ca="1" si="142"/>
        <v>0</v>
      </c>
      <c r="EW85" s="152">
        <f t="shared" ca="1" si="142"/>
        <v>0</v>
      </c>
      <c r="EX85" s="152">
        <f t="shared" ca="1" si="129"/>
        <v>0</v>
      </c>
      <c r="EY85" s="152">
        <f t="shared" ca="1" si="130"/>
        <v>0</v>
      </c>
      <c r="EZ85" s="152">
        <f t="shared" ca="1" si="130"/>
        <v>0</v>
      </c>
      <c r="FA85" s="152">
        <f t="shared" ca="1" si="130"/>
        <v>0</v>
      </c>
      <c r="FB85" s="152">
        <f t="shared" ca="1" si="130"/>
        <v>0</v>
      </c>
      <c r="FC85" s="152">
        <f t="shared" ca="1" si="130"/>
        <v>0</v>
      </c>
      <c r="FD85" s="152">
        <f t="shared" ca="1" si="130"/>
        <v>0</v>
      </c>
      <c r="FE85" s="152">
        <f t="shared" ca="1" si="130"/>
        <v>0</v>
      </c>
      <c r="FF85" s="152">
        <f t="shared" ca="1" si="130"/>
        <v>0</v>
      </c>
      <c r="FG85" s="152">
        <f t="shared" ca="1" si="130"/>
        <v>0</v>
      </c>
      <c r="FH85" s="152">
        <f t="shared" ca="1" si="130"/>
        <v>0</v>
      </c>
      <c r="FI85" s="152">
        <f t="shared" ca="1" si="131"/>
        <v>0</v>
      </c>
      <c r="FJ85" s="152">
        <f t="shared" ca="1" si="131"/>
        <v>0</v>
      </c>
      <c r="FK85" s="152">
        <f t="shared" ca="1" si="131"/>
        <v>0</v>
      </c>
      <c r="FL85" s="152">
        <f t="shared" ca="1" si="131"/>
        <v>0</v>
      </c>
      <c r="FM85" s="152">
        <f t="shared" ca="1" si="131"/>
        <v>0</v>
      </c>
      <c r="FN85" s="152">
        <f t="shared" ca="1" si="131"/>
        <v>0</v>
      </c>
      <c r="FO85" s="152">
        <f t="shared" ca="1" si="131"/>
        <v>0</v>
      </c>
      <c r="FP85" s="152">
        <f t="shared" ca="1" si="131"/>
        <v>0</v>
      </c>
      <c r="FQ85" s="152">
        <f t="shared" ca="1" si="131"/>
        <v>0</v>
      </c>
      <c r="FR85" s="152">
        <f t="shared" ca="1" si="131"/>
        <v>0</v>
      </c>
      <c r="FS85" s="152">
        <f t="shared" ca="1" si="132"/>
        <v>0</v>
      </c>
      <c r="FT85" s="152">
        <f t="shared" ca="1" si="132"/>
        <v>0</v>
      </c>
      <c r="FU85" s="152">
        <f t="shared" ca="1" si="132"/>
        <v>0</v>
      </c>
      <c r="FV85" s="152">
        <f t="shared" ca="1" si="132"/>
        <v>0</v>
      </c>
      <c r="FW85" s="152">
        <f t="shared" ca="1" si="132"/>
        <v>0</v>
      </c>
      <c r="FX85" s="152">
        <f t="shared" ca="1" si="132"/>
        <v>0</v>
      </c>
      <c r="FY85" s="152">
        <f t="shared" ca="1" si="132"/>
        <v>0</v>
      </c>
      <c r="FZ85" s="152">
        <f t="shared" ca="1" si="132"/>
        <v>0</v>
      </c>
      <c r="GA85" s="152">
        <f t="shared" ca="1" si="132"/>
        <v>0</v>
      </c>
      <c r="GB85" s="152">
        <f t="shared" ca="1" si="132"/>
        <v>0</v>
      </c>
      <c r="GC85" s="152">
        <f t="shared" ca="1" si="133"/>
        <v>0</v>
      </c>
      <c r="GD85" s="152">
        <f t="shared" ca="1" si="133"/>
        <v>0</v>
      </c>
      <c r="GE85" s="152">
        <f t="shared" ca="1" si="133"/>
        <v>0</v>
      </c>
      <c r="GF85" s="152">
        <f t="shared" ca="1" si="133"/>
        <v>0</v>
      </c>
      <c r="GG85" s="152">
        <f t="shared" ca="1" si="133"/>
        <v>0</v>
      </c>
      <c r="GH85" s="152">
        <f t="shared" ca="1" si="133"/>
        <v>0</v>
      </c>
      <c r="GI85" s="152">
        <f t="shared" ca="1" si="133"/>
        <v>0</v>
      </c>
      <c r="GJ85" s="152">
        <f t="shared" ca="1" si="133"/>
        <v>0</v>
      </c>
      <c r="GK85" s="152">
        <f t="shared" ca="1" si="133"/>
        <v>0</v>
      </c>
      <c r="GL85" s="152">
        <f t="shared" ca="1" si="133"/>
        <v>0</v>
      </c>
      <c r="GM85" s="152">
        <f t="shared" ca="1" si="134"/>
        <v>0</v>
      </c>
      <c r="GN85" s="152">
        <f t="shared" ca="1" si="134"/>
        <v>0</v>
      </c>
      <c r="GO85" s="152">
        <f t="shared" ca="1" si="134"/>
        <v>0</v>
      </c>
      <c r="GP85" s="152">
        <f t="shared" ca="1" si="134"/>
        <v>0</v>
      </c>
      <c r="GQ85" s="152">
        <f t="shared" ca="1" si="134"/>
        <v>0</v>
      </c>
      <c r="GR85" s="152">
        <f t="shared" ca="1" si="134"/>
        <v>0</v>
      </c>
      <c r="GS85" s="152">
        <f t="shared" ca="1" si="134"/>
        <v>0</v>
      </c>
      <c r="GT85" s="152">
        <f t="shared" ca="1" si="134"/>
        <v>0</v>
      </c>
      <c r="GU85" s="152">
        <f t="shared" ca="1" si="134"/>
        <v>0</v>
      </c>
      <c r="GV85" s="152">
        <f t="shared" ca="1" si="134"/>
        <v>0</v>
      </c>
      <c r="GW85" s="152">
        <f t="shared" ca="1" si="135"/>
        <v>0</v>
      </c>
      <c r="GX85" s="152">
        <f t="shared" ca="1" si="135"/>
        <v>0</v>
      </c>
      <c r="GY85" s="152">
        <f t="shared" ca="1" si="135"/>
        <v>0</v>
      </c>
      <c r="GZ85" s="152">
        <f t="shared" ca="1" si="135"/>
        <v>0</v>
      </c>
      <c r="HA85" s="152">
        <f t="shared" ca="1" si="135"/>
        <v>0</v>
      </c>
      <c r="HB85" s="152">
        <f t="shared" ca="1" si="135"/>
        <v>0</v>
      </c>
      <c r="HC85" s="152">
        <f t="shared" ca="1" si="135"/>
        <v>0</v>
      </c>
      <c r="HD85" s="152">
        <f t="shared" ca="1" si="135"/>
        <v>0</v>
      </c>
      <c r="HE85" s="152">
        <f t="shared" ca="1" si="135"/>
        <v>0</v>
      </c>
      <c r="HF85" s="152">
        <f t="shared" ca="1" si="135"/>
        <v>0</v>
      </c>
      <c r="HG85" s="152">
        <f t="shared" ca="1" si="136"/>
        <v>0</v>
      </c>
      <c r="HH85" s="152">
        <f t="shared" ca="1" si="136"/>
        <v>0</v>
      </c>
      <c r="HI85" s="152">
        <f t="shared" ca="1" si="136"/>
        <v>0</v>
      </c>
      <c r="HJ85" s="152">
        <f t="shared" ca="1" si="136"/>
        <v>0</v>
      </c>
      <c r="HK85" s="152">
        <f t="shared" ca="1" si="136"/>
        <v>0</v>
      </c>
      <c r="HL85" s="152">
        <f t="shared" ca="1" si="136"/>
        <v>0</v>
      </c>
      <c r="HM85" s="152">
        <f t="shared" ca="1" si="136"/>
        <v>0</v>
      </c>
      <c r="HN85" s="152">
        <f t="shared" ca="1" si="136"/>
        <v>0</v>
      </c>
      <c r="HO85" s="152">
        <f t="shared" ca="1" si="136"/>
        <v>0</v>
      </c>
      <c r="HP85" s="152">
        <f t="shared" ca="1" si="136"/>
        <v>0</v>
      </c>
      <c r="HQ85" s="152">
        <f t="shared" ca="1" si="137"/>
        <v>0</v>
      </c>
      <c r="HR85" s="152">
        <f t="shared" ca="1" si="137"/>
        <v>0</v>
      </c>
      <c r="HS85" s="152">
        <f t="shared" ca="1" si="137"/>
        <v>0</v>
      </c>
      <c r="HT85" s="152">
        <f t="shared" ca="1" si="137"/>
        <v>0</v>
      </c>
      <c r="HU85" s="152">
        <f t="shared" ca="1" si="137"/>
        <v>0</v>
      </c>
      <c r="HV85" s="152">
        <f t="shared" ca="1" si="137"/>
        <v>0</v>
      </c>
      <c r="HW85" s="152">
        <f t="shared" ca="1" si="137"/>
        <v>0</v>
      </c>
      <c r="HX85" s="152">
        <f t="shared" ca="1" si="137"/>
        <v>0</v>
      </c>
      <c r="HY85" s="152">
        <f t="shared" ca="1" si="137"/>
        <v>0</v>
      </c>
      <c r="HZ85" s="152">
        <f t="shared" ca="1" si="137"/>
        <v>0</v>
      </c>
      <c r="IA85" s="152">
        <f t="shared" ca="1" si="138"/>
        <v>0</v>
      </c>
      <c r="IB85" s="152">
        <f t="shared" ca="1" si="138"/>
        <v>0</v>
      </c>
      <c r="IC85" s="152">
        <f t="shared" ca="1" si="138"/>
        <v>0</v>
      </c>
      <c r="ID85" s="152">
        <f t="shared" ca="1" si="138"/>
        <v>0</v>
      </c>
      <c r="IE85" s="152">
        <f t="shared" ca="1" si="138"/>
        <v>0</v>
      </c>
      <c r="IF85" s="152">
        <f t="shared" ca="1" si="138"/>
        <v>0</v>
      </c>
      <c r="IG85" s="152">
        <f t="shared" ca="1" si="138"/>
        <v>0</v>
      </c>
      <c r="IH85" s="152">
        <f t="shared" ca="1" si="138"/>
        <v>0</v>
      </c>
      <c r="II85" s="152">
        <f t="shared" ca="1" si="138"/>
        <v>0</v>
      </c>
      <c r="IJ85" s="152">
        <f t="shared" ca="1" si="138"/>
        <v>0</v>
      </c>
      <c r="IK85" s="152">
        <f t="shared" ca="1" si="138"/>
        <v>0</v>
      </c>
      <c r="IL85" s="152">
        <f t="shared" ca="1" si="138"/>
        <v>0</v>
      </c>
      <c r="IM85" s="152">
        <f t="shared" ca="1" si="139"/>
        <v>0</v>
      </c>
      <c r="IN85" s="152">
        <f t="shared" ca="1" si="139"/>
        <v>0</v>
      </c>
      <c r="IO85" s="152">
        <f t="shared" ca="1" si="139"/>
        <v>0</v>
      </c>
      <c r="IP85" s="152">
        <f t="shared" ca="1" si="139"/>
        <v>0</v>
      </c>
      <c r="IQ85" s="152">
        <f t="shared" ca="1" si="139"/>
        <v>0</v>
      </c>
      <c r="IR85" s="152">
        <f t="shared" ca="1" si="139"/>
        <v>0</v>
      </c>
      <c r="IS85" s="152">
        <f t="shared" ca="1" si="139"/>
        <v>0</v>
      </c>
      <c r="IT85" s="152">
        <f t="shared" ca="1" si="139"/>
        <v>0</v>
      </c>
      <c r="IU85" s="152">
        <f t="shared" ca="1" si="139"/>
        <v>0</v>
      </c>
      <c r="IV85" s="152">
        <f t="shared" ca="1" si="139"/>
        <v>0</v>
      </c>
      <c r="IW85" s="152">
        <f t="shared" ca="1" si="140"/>
        <v>0</v>
      </c>
      <c r="IX85" s="152">
        <f t="shared" ca="1" si="140"/>
        <v>0</v>
      </c>
      <c r="IY85" s="152">
        <f t="shared" ca="1" si="140"/>
        <v>0</v>
      </c>
      <c r="IZ85" s="152">
        <f t="shared" ca="1" si="140"/>
        <v>0</v>
      </c>
      <c r="JA85" s="152">
        <f t="shared" ca="1" si="140"/>
        <v>0</v>
      </c>
      <c r="JB85" s="152">
        <f t="shared" ca="1" si="140"/>
        <v>0</v>
      </c>
      <c r="JC85" s="152">
        <f t="shared" ca="1" si="140"/>
        <v>0</v>
      </c>
      <c r="JD85" s="604"/>
    </row>
    <row r="86" spans="1:264" ht="12.75" customHeight="1" x14ac:dyDescent="0.25">
      <c r="A86" s="279"/>
      <c r="B86" s="41"/>
      <c r="C86" s="82"/>
      <c r="D86" s="41"/>
      <c r="E86" s="9"/>
      <c r="F86" s="9"/>
      <c r="G86" s="9"/>
      <c r="H86" s="10"/>
      <c r="I86" s="10"/>
      <c r="J86" s="10"/>
      <c r="K86" s="10"/>
      <c r="L86" s="10"/>
      <c r="M86" s="10"/>
      <c r="N86" s="9"/>
      <c r="O86" s="9"/>
      <c r="P86" s="44"/>
      <c r="Q86" s="44"/>
      <c r="R86" s="9"/>
      <c r="S86" s="9"/>
      <c r="T86" s="9"/>
      <c r="U86" s="9"/>
      <c r="V86" s="9"/>
      <c r="W86" s="9"/>
      <c r="X86" s="9"/>
      <c r="Y86" s="9"/>
      <c r="Z86" s="9"/>
      <c r="AA86" s="9"/>
      <c r="AB86" s="9"/>
      <c r="AC86" s="9"/>
      <c r="AD86" s="650">
        <f t="shared" si="64"/>
        <v>74</v>
      </c>
      <c r="AE86" s="654">
        <f ca="1">OFFSET('2 Staff List'!$IB$64,AJ86-1,0)</f>
        <v>0</v>
      </c>
      <c r="AF86" s="654">
        <f t="shared" si="125"/>
        <v>173.92857142857142</v>
      </c>
      <c r="AG86" s="9"/>
      <c r="AH86" s="654">
        <f t="shared" si="126"/>
        <v>239.15178571428569</v>
      </c>
      <c r="AI86" s="654">
        <f t="shared" si="127"/>
        <v>11</v>
      </c>
      <c r="AJ86" s="654">
        <f ca="1">OFFSET('2 Staff List'!$GU$64,AI86-1,0)</f>
        <v>11</v>
      </c>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1280">
        <f ca="1">OFFSET('2 Staff List'!$HW$64,AJ86-1,0)</f>
        <v>0</v>
      </c>
      <c r="DZ86" s="1281">
        <f ca="1">OFFSET('2 Staff List'!$HZ$64,AJ86-1,0)</f>
        <v>0</v>
      </c>
      <c r="EA86" s="3669">
        <f ca="1">OFFSET('2 Staff List'!$IA$64,AJ86-1,0)</f>
        <v>0</v>
      </c>
      <c r="EB86" s="3670"/>
      <c r="EC86" s="3673">
        <f t="shared" ca="1" si="128"/>
        <v>0</v>
      </c>
      <c r="ED86" s="3674"/>
      <c r="EE86" s="3675"/>
      <c r="EF86" s="3676"/>
      <c r="EG86" s="154">
        <f t="shared" ca="1" si="141"/>
        <v>0</v>
      </c>
      <c r="EH86" s="152">
        <f t="shared" ca="1" si="141"/>
        <v>0</v>
      </c>
      <c r="EI86" s="152">
        <f t="shared" ca="1" si="141"/>
        <v>0</v>
      </c>
      <c r="EJ86" s="152">
        <f t="shared" ca="1" si="141"/>
        <v>0</v>
      </c>
      <c r="EK86" s="152">
        <f t="shared" ca="1" si="141"/>
        <v>0</v>
      </c>
      <c r="EL86" s="152">
        <f t="shared" ca="1" si="141"/>
        <v>0</v>
      </c>
      <c r="EM86" s="152">
        <f t="shared" ca="1" si="141"/>
        <v>0</v>
      </c>
      <c r="EN86" s="152">
        <f t="shared" ca="1" si="141"/>
        <v>0</v>
      </c>
      <c r="EO86" s="152">
        <f t="shared" ca="1" si="141"/>
        <v>0</v>
      </c>
      <c r="EP86" s="152">
        <f t="shared" ca="1" si="141"/>
        <v>0</v>
      </c>
      <c r="EQ86" s="152">
        <f t="shared" ca="1" si="142"/>
        <v>0</v>
      </c>
      <c r="ER86" s="152">
        <f t="shared" ca="1" si="142"/>
        <v>0</v>
      </c>
      <c r="ES86" s="152">
        <f t="shared" ca="1" si="142"/>
        <v>0</v>
      </c>
      <c r="ET86" s="152">
        <f t="shared" ca="1" si="142"/>
        <v>0</v>
      </c>
      <c r="EU86" s="152">
        <f t="shared" ca="1" si="142"/>
        <v>0</v>
      </c>
      <c r="EV86" s="152">
        <f t="shared" ca="1" si="142"/>
        <v>0</v>
      </c>
      <c r="EW86" s="152">
        <f t="shared" ca="1" si="142"/>
        <v>0</v>
      </c>
      <c r="EX86" s="152">
        <f t="shared" ca="1" si="129"/>
        <v>0</v>
      </c>
      <c r="EY86" s="152">
        <f t="shared" ref="EY86:FH95" ca="1" si="143">IFERROR(SUMIFS(EY$129:EY$305,$DF$129:$DF$305,1,$DY$129:$DY$305,$EA86)*EY$17,0)</f>
        <v>0</v>
      </c>
      <c r="EZ86" s="152">
        <f t="shared" ca="1" si="143"/>
        <v>0</v>
      </c>
      <c r="FA86" s="152">
        <f t="shared" ca="1" si="143"/>
        <v>0</v>
      </c>
      <c r="FB86" s="152">
        <f t="shared" ca="1" si="143"/>
        <v>0</v>
      </c>
      <c r="FC86" s="152">
        <f t="shared" ca="1" si="143"/>
        <v>0</v>
      </c>
      <c r="FD86" s="152">
        <f t="shared" ca="1" si="143"/>
        <v>0</v>
      </c>
      <c r="FE86" s="152">
        <f t="shared" ca="1" si="143"/>
        <v>0</v>
      </c>
      <c r="FF86" s="152">
        <f t="shared" ca="1" si="143"/>
        <v>0</v>
      </c>
      <c r="FG86" s="152">
        <f t="shared" ca="1" si="143"/>
        <v>0</v>
      </c>
      <c r="FH86" s="152">
        <f t="shared" ca="1" si="143"/>
        <v>0</v>
      </c>
      <c r="FI86" s="152">
        <f t="shared" ref="FI86:FR95" ca="1" si="144">IFERROR(SUMIFS(FI$129:FI$305,$DF$129:$DF$305,1,$DY$129:$DY$305,$EA86)*FI$17,0)</f>
        <v>0</v>
      </c>
      <c r="FJ86" s="152">
        <f t="shared" ca="1" si="144"/>
        <v>0</v>
      </c>
      <c r="FK86" s="152">
        <f t="shared" ca="1" si="144"/>
        <v>0</v>
      </c>
      <c r="FL86" s="152">
        <f t="shared" ca="1" si="144"/>
        <v>0</v>
      </c>
      <c r="FM86" s="152">
        <f t="shared" ca="1" si="144"/>
        <v>0</v>
      </c>
      <c r="FN86" s="152">
        <f t="shared" ca="1" si="144"/>
        <v>0</v>
      </c>
      <c r="FO86" s="152">
        <f t="shared" ca="1" si="144"/>
        <v>0</v>
      </c>
      <c r="FP86" s="152">
        <f t="shared" ca="1" si="144"/>
        <v>0</v>
      </c>
      <c r="FQ86" s="152">
        <f t="shared" ca="1" si="144"/>
        <v>0</v>
      </c>
      <c r="FR86" s="152">
        <f t="shared" ca="1" si="144"/>
        <v>0</v>
      </c>
      <c r="FS86" s="152">
        <f t="shared" ref="FS86:GB95" ca="1" si="145">IFERROR(SUMIFS(FS$129:FS$305,$DF$129:$DF$305,1,$DY$129:$DY$305,$EA86)*FS$17,0)</f>
        <v>0</v>
      </c>
      <c r="FT86" s="152">
        <f t="shared" ca="1" si="145"/>
        <v>0</v>
      </c>
      <c r="FU86" s="152">
        <f t="shared" ca="1" si="145"/>
        <v>0</v>
      </c>
      <c r="FV86" s="152">
        <f t="shared" ca="1" si="145"/>
        <v>0</v>
      </c>
      <c r="FW86" s="152">
        <f t="shared" ca="1" si="145"/>
        <v>0</v>
      </c>
      <c r="FX86" s="152">
        <f t="shared" ca="1" si="145"/>
        <v>0</v>
      </c>
      <c r="FY86" s="152">
        <f t="shared" ca="1" si="145"/>
        <v>0</v>
      </c>
      <c r="FZ86" s="152">
        <f t="shared" ca="1" si="145"/>
        <v>0</v>
      </c>
      <c r="GA86" s="152">
        <f t="shared" ca="1" si="145"/>
        <v>0</v>
      </c>
      <c r="GB86" s="152">
        <f t="shared" ca="1" si="145"/>
        <v>0</v>
      </c>
      <c r="GC86" s="152">
        <f t="shared" ref="GC86:GL95" ca="1" si="146">IFERROR(SUMIFS(GC$129:GC$305,$DF$129:$DF$305,1,$DY$129:$DY$305,$EA86)*GC$17,0)</f>
        <v>0</v>
      </c>
      <c r="GD86" s="152">
        <f t="shared" ca="1" si="146"/>
        <v>0</v>
      </c>
      <c r="GE86" s="152">
        <f t="shared" ca="1" si="146"/>
        <v>0</v>
      </c>
      <c r="GF86" s="152">
        <f t="shared" ca="1" si="146"/>
        <v>0</v>
      </c>
      <c r="GG86" s="152">
        <f t="shared" ca="1" si="146"/>
        <v>0</v>
      </c>
      <c r="GH86" s="152">
        <f t="shared" ca="1" si="146"/>
        <v>0</v>
      </c>
      <c r="GI86" s="152">
        <f t="shared" ca="1" si="146"/>
        <v>0</v>
      </c>
      <c r="GJ86" s="152">
        <f t="shared" ca="1" si="146"/>
        <v>0</v>
      </c>
      <c r="GK86" s="152">
        <f t="shared" ca="1" si="146"/>
        <v>0</v>
      </c>
      <c r="GL86" s="152">
        <f t="shared" ca="1" si="146"/>
        <v>0</v>
      </c>
      <c r="GM86" s="152">
        <f t="shared" ref="GM86:GV95" ca="1" si="147">IFERROR(SUMIFS(GM$129:GM$305,$DF$129:$DF$305,1,$DY$129:$DY$305,$EA86)*GM$17,0)</f>
        <v>0</v>
      </c>
      <c r="GN86" s="152">
        <f t="shared" ca="1" si="147"/>
        <v>0</v>
      </c>
      <c r="GO86" s="152">
        <f t="shared" ca="1" si="147"/>
        <v>0</v>
      </c>
      <c r="GP86" s="152">
        <f t="shared" ca="1" si="147"/>
        <v>0</v>
      </c>
      <c r="GQ86" s="152">
        <f t="shared" ca="1" si="147"/>
        <v>0</v>
      </c>
      <c r="GR86" s="152">
        <f t="shared" ca="1" si="147"/>
        <v>0</v>
      </c>
      <c r="GS86" s="152">
        <f t="shared" ca="1" si="147"/>
        <v>0</v>
      </c>
      <c r="GT86" s="152">
        <f t="shared" ca="1" si="147"/>
        <v>0</v>
      </c>
      <c r="GU86" s="152">
        <f t="shared" ca="1" si="147"/>
        <v>0</v>
      </c>
      <c r="GV86" s="152">
        <f t="shared" ca="1" si="147"/>
        <v>0</v>
      </c>
      <c r="GW86" s="152">
        <f t="shared" ref="GW86:HF95" ca="1" si="148">IFERROR(SUMIFS(GW$129:GW$305,$DF$129:$DF$305,1,$DY$129:$DY$305,$EA86)*GW$17,0)</f>
        <v>0</v>
      </c>
      <c r="GX86" s="152">
        <f t="shared" ca="1" si="148"/>
        <v>0</v>
      </c>
      <c r="GY86" s="152">
        <f t="shared" ca="1" si="148"/>
        <v>0</v>
      </c>
      <c r="GZ86" s="152">
        <f t="shared" ca="1" si="148"/>
        <v>0</v>
      </c>
      <c r="HA86" s="152">
        <f t="shared" ca="1" si="148"/>
        <v>0</v>
      </c>
      <c r="HB86" s="152">
        <f t="shared" ca="1" si="148"/>
        <v>0</v>
      </c>
      <c r="HC86" s="152">
        <f t="shared" ca="1" si="148"/>
        <v>0</v>
      </c>
      <c r="HD86" s="152">
        <f t="shared" ca="1" si="148"/>
        <v>0</v>
      </c>
      <c r="HE86" s="152">
        <f t="shared" ca="1" si="148"/>
        <v>0</v>
      </c>
      <c r="HF86" s="152">
        <f t="shared" ca="1" si="148"/>
        <v>0</v>
      </c>
      <c r="HG86" s="152">
        <f t="shared" ref="HG86:HP95" ca="1" si="149">IFERROR(SUMIFS(HG$129:HG$305,$DF$129:$DF$305,1,$DY$129:$DY$305,$EA86)*HG$17,0)</f>
        <v>0</v>
      </c>
      <c r="HH86" s="152">
        <f t="shared" ca="1" si="149"/>
        <v>0</v>
      </c>
      <c r="HI86" s="152">
        <f t="shared" ca="1" si="149"/>
        <v>0</v>
      </c>
      <c r="HJ86" s="152">
        <f t="shared" ca="1" si="149"/>
        <v>0</v>
      </c>
      <c r="HK86" s="152">
        <f t="shared" ca="1" si="149"/>
        <v>0</v>
      </c>
      <c r="HL86" s="152">
        <f t="shared" ca="1" si="149"/>
        <v>0</v>
      </c>
      <c r="HM86" s="152">
        <f t="shared" ca="1" si="149"/>
        <v>0</v>
      </c>
      <c r="HN86" s="152">
        <f t="shared" ca="1" si="149"/>
        <v>0</v>
      </c>
      <c r="HO86" s="152">
        <f t="shared" ca="1" si="149"/>
        <v>0</v>
      </c>
      <c r="HP86" s="152">
        <f t="shared" ca="1" si="149"/>
        <v>0</v>
      </c>
      <c r="HQ86" s="152">
        <f t="shared" ref="HQ86:HZ95" ca="1" si="150">IFERROR(SUMIFS(HQ$129:HQ$305,$DF$129:$DF$305,1,$DY$129:$DY$305,$EA86)*HQ$17,0)</f>
        <v>0</v>
      </c>
      <c r="HR86" s="152">
        <f t="shared" ca="1" si="150"/>
        <v>0</v>
      </c>
      <c r="HS86" s="152">
        <f t="shared" ca="1" si="150"/>
        <v>0</v>
      </c>
      <c r="HT86" s="152">
        <f t="shared" ca="1" si="150"/>
        <v>0</v>
      </c>
      <c r="HU86" s="152">
        <f t="shared" ca="1" si="150"/>
        <v>0</v>
      </c>
      <c r="HV86" s="152">
        <f t="shared" ca="1" si="150"/>
        <v>0</v>
      </c>
      <c r="HW86" s="152">
        <f t="shared" ca="1" si="150"/>
        <v>0</v>
      </c>
      <c r="HX86" s="152">
        <f t="shared" ca="1" si="150"/>
        <v>0</v>
      </c>
      <c r="HY86" s="152">
        <f t="shared" ca="1" si="150"/>
        <v>0</v>
      </c>
      <c r="HZ86" s="152">
        <f t="shared" ca="1" si="150"/>
        <v>0</v>
      </c>
      <c r="IA86" s="152">
        <f t="shared" ref="IA86:IL95" ca="1" si="151">IFERROR(SUMIFS(IA$129:IA$305,$DF$129:$DF$305,1,$DY$129:$DY$305,$EA86)*IA$17,0)</f>
        <v>0</v>
      </c>
      <c r="IB86" s="152">
        <f t="shared" ca="1" si="151"/>
        <v>0</v>
      </c>
      <c r="IC86" s="152">
        <f t="shared" ca="1" si="151"/>
        <v>0</v>
      </c>
      <c r="ID86" s="152">
        <f t="shared" ca="1" si="151"/>
        <v>0</v>
      </c>
      <c r="IE86" s="152">
        <f t="shared" ca="1" si="151"/>
        <v>0</v>
      </c>
      <c r="IF86" s="152">
        <f t="shared" ca="1" si="151"/>
        <v>0</v>
      </c>
      <c r="IG86" s="152">
        <f t="shared" ca="1" si="151"/>
        <v>0</v>
      </c>
      <c r="IH86" s="152">
        <f t="shared" ca="1" si="151"/>
        <v>0</v>
      </c>
      <c r="II86" s="152">
        <f t="shared" ca="1" si="151"/>
        <v>0</v>
      </c>
      <c r="IJ86" s="152">
        <f t="shared" ca="1" si="151"/>
        <v>0</v>
      </c>
      <c r="IK86" s="152">
        <f t="shared" ca="1" si="151"/>
        <v>0</v>
      </c>
      <c r="IL86" s="152">
        <f t="shared" ca="1" si="151"/>
        <v>0</v>
      </c>
      <c r="IM86" s="152">
        <f t="shared" ca="1" si="139"/>
        <v>0</v>
      </c>
      <c r="IN86" s="152">
        <f t="shared" ca="1" si="139"/>
        <v>0</v>
      </c>
      <c r="IO86" s="152">
        <f t="shared" ca="1" si="139"/>
        <v>0</v>
      </c>
      <c r="IP86" s="152">
        <f t="shared" ca="1" si="139"/>
        <v>0</v>
      </c>
      <c r="IQ86" s="152">
        <f t="shared" ca="1" si="139"/>
        <v>0</v>
      </c>
      <c r="IR86" s="152">
        <f t="shared" ca="1" si="139"/>
        <v>0</v>
      </c>
      <c r="IS86" s="152">
        <f t="shared" ca="1" si="139"/>
        <v>0</v>
      </c>
      <c r="IT86" s="152">
        <f t="shared" ca="1" si="139"/>
        <v>0</v>
      </c>
      <c r="IU86" s="152">
        <f t="shared" ca="1" si="139"/>
        <v>0</v>
      </c>
      <c r="IV86" s="152">
        <f t="shared" ca="1" si="139"/>
        <v>0</v>
      </c>
      <c r="IW86" s="152">
        <f t="shared" ca="1" si="140"/>
        <v>0</v>
      </c>
      <c r="IX86" s="152">
        <f t="shared" ca="1" si="140"/>
        <v>0</v>
      </c>
      <c r="IY86" s="152">
        <f t="shared" ca="1" si="140"/>
        <v>0</v>
      </c>
      <c r="IZ86" s="152">
        <f t="shared" ca="1" si="140"/>
        <v>0</v>
      </c>
      <c r="JA86" s="152">
        <f t="shared" ca="1" si="140"/>
        <v>0</v>
      </c>
      <c r="JB86" s="152">
        <f t="shared" ca="1" si="140"/>
        <v>0</v>
      </c>
      <c r="JC86" s="152">
        <f t="shared" ca="1" si="140"/>
        <v>0</v>
      </c>
      <c r="JD86" s="604"/>
    </row>
    <row r="87" spans="1:264" ht="12.75" customHeight="1" x14ac:dyDescent="0.25">
      <c r="A87" s="279"/>
      <c r="B87" s="41"/>
      <c r="C87" s="82"/>
      <c r="D87" s="41"/>
      <c r="E87" s="9"/>
      <c r="F87" s="9"/>
      <c r="G87" s="9"/>
      <c r="H87" s="10"/>
      <c r="I87" s="10"/>
      <c r="J87" s="10"/>
      <c r="K87" s="10"/>
      <c r="L87" s="10"/>
      <c r="M87" s="10"/>
      <c r="N87" s="9"/>
      <c r="O87" s="9"/>
      <c r="P87" s="44"/>
      <c r="Q87" s="44"/>
      <c r="R87" s="9"/>
      <c r="S87" s="9"/>
      <c r="T87" s="9"/>
      <c r="U87" s="9"/>
      <c r="V87" s="9"/>
      <c r="W87" s="9"/>
      <c r="X87" s="9"/>
      <c r="Y87" s="9"/>
      <c r="Z87" s="9"/>
      <c r="AA87" s="9"/>
      <c r="AB87" s="9"/>
      <c r="AC87" s="9"/>
      <c r="AD87" s="650">
        <f t="shared" si="64"/>
        <v>73</v>
      </c>
      <c r="AE87" s="654">
        <f ca="1">OFFSET('2 Staff List'!$IB$64,AJ87-1,0)</f>
        <v>0</v>
      </c>
      <c r="AF87" s="654">
        <f t="shared" si="125"/>
        <v>173.92857142857142</v>
      </c>
      <c r="AG87" s="9"/>
      <c r="AH87" s="654">
        <f t="shared" si="126"/>
        <v>239.15178571428569</v>
      </c>
      <c r="AI87" s="654">
        <f t="shared" si="127"/>
        <v>10</v>
      </c>
      <c r="AJ87" s="654">
        <f ca="1">OFFSET('2 Staff List'!$GU$64,AI87-1,0)</f>
        <v>10</v>
      </c>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1280">
        <f ca="1">OFFSET('2 Staff List'!$HW$64,AJ87-1,0)</f>
        <v>0</v>
      </c>
      <c r="DZ87" s="1281" t="str">
        <f ca="1">OFFSET('2 Staff List'!$HZ$64,AJ87-1,0)</f>
        <v>L3B Engineer</v>
      </c>
      <c r="EA87" s="3669" t="str">
        <f ca="1">OFFSET('2 Staff List'!$IA$64,AJ87-1,0)</f>
        <v>Cooper, Lucy</v>
      </c>
      <c r="EB87" s="3670"/>
      <c r="EC87" s="3673">
        <f t="shared" ca="1" si="128"/>
        <v>0</v>
      </c>
      <c r="ED87" s="3674"/>
      <c r="EE87" s="3675"/>
      <c r="EF87" s="3676"/>
      <c r="EG87" s="154">
        <f t="shared" ca="1" si="141"/>
        <v>0</v>
      </c>
      <c r="EH87" s="152">
        <f t="shared" ca="1" si="141"/>
        <v>0</v>
      </c>
      <c r="EI87" s="152">
        <f t="shared" ca="1" si="141"/>
        <v>0</v>
      </c>
      <c r="EJ87" s="152">
        <f t="shared" ca="1" si="141"/>
        <v>0</v>
      </c>
      <c r="EK87" s="152">
        <f t="shared" ca="1" si="141"/>
        <v>0</v>
      </c>
      <c r="EL87" s="152">
        <f t="shared" ca="1" si="141"/>
        <v>0</v>
      </c>
      <c r="EM87" s="152">
        <f t="shared" ca="1" si="141"/>
        <v>0</v>
      </c>
      <c r="EN87" s="152">
        <f t="shared" ca="1" si="141"/>
        <v>0</v>
      </c>
      <c r="EO87" s="152">
        <f t="shared" ca="1" si="141"/>
        <v>0</v>
      </c>
      <c r="EP87" s="152">
        <f t="shared" ca="1" si="141"/>
        <v>0</v>
      </c>
      <c r="EQ87" s="152">
        <f t="shared" ca="1" si="142"/>
        <v>0</v>
      </c>
      <c r="ER87" s="152">
        <f t="shared" ca="1" si="142"/>
        <v>0</v>
      </c>
      <c r="ES87" s="152">
        <f t="shared" ca="1" si="142"/>
        <v>0</v>
      </c>
      <c r="ET87" s="152">
        <f t="shared" ca="1" si="142"/>
        <v>0</v>
      </c>
      <c r="EU87" s="152">
        <f t="shared" ca="1" si="142"/>
        <v>0</v>
      </c>
      <c r="EV87" s="152">
        <f t="shared" ca="1" si="142"/>
        <v>0</v>
      </c>
      <c r="EW87" s="152">
        <f t="shared" ca="1" si="142"/>
        <v>0</v>
      </c>
      <c r="EX87" s="152">
        <f t="shared" ca="1" si="129"/>
        <v>0</v>
      </c>
      <c r="EY87" s="152">
        <f t="shared" ca="1" si="143"/>
        <v>0</v>
      </c>
      <c r="EZ87" s="152">
        <f t="shared" ca="1" si="143"/>
        <v>0</v>
      </c>
      <c r="FA87" s="152">
        <f t="shared" ca="1" si="143"/>
        <v>0</v>
      </c>
      <c r="FB87" s="152">
        <f t="shared" ca="1" si="143"/>
        <v>0</v>
      </c>
      <c r="FC87" s="152">
        <f t="shared" ca="1" si="143"/>
        <v>0</v>
      </c>
      <c r="FD87" s="152">
        <f t="shared" ca="1" si="143"/>
        <v>0</v>
      </c>
      <c r="FE87" s="152">
        <f t="shared" ca="1" si="143"/>
        <v>0</v>
      </c>
      <c r="FF87" s="152">
        <f t="shared" ca="1" si="143"/>
        <v>0</v>
      </c>
      <c r="FG87" s="152">
        <f t="shared" ca="1" si="143"/>
        <v>0</v>
      </c>
      <c r="FH87" s="152">
        <f t="shared" ca="1" si="143"/>
        <v>0</v>
      </c>
      <c r="FI87" s="152">
        <f t="shared" ca="1" si="144"/>
        <v>0</v>
      </c>
      <c r="FJ87" s="152">
        <f t="shared" ca="1" si="144"/>
        <v>0</v>
      </c>
      <c r="FK87" s="152">
        <f t="shared" ca="1" si="144"/>
        <v>0</v>
      </c>
      <c r="FL87" s="152">
        <f t="shared" ca="1" si="144"/>
        <v>0</v>
      </c>
      <c r="FM87" s="152">
        <f t="shared" ca="1" si="144"/>
        <v>0</v>
      </c>
      <c r="FN87" s="152">
        <f t="shared" ca="1" si="144"/>
        <v>0</v>
      </c>
      <c r="FO87" s="152">
        <f t="shared" ca="1" si="144"/>
        <v>0</v>
      </c>
      <c r="FP87" s="152">
        <f t="shared" ca="1" si="144"/>
        <v>0</v>
      </c>
      <c r="FQ87" s="152">
        <f t="shared" ca="1" si="144"/>
        <v>0</v>
      </c>
      <c r="FR87" s="152">
        <f t="shared" ca="1" si="144"/>
        <v>0</v>
      </c>
      <c r="FS87" s="152">
        <f t="shared" ca="1" si="145"/>
        <v>0</v>
      </c>
      <c r="FT87" s="152">
        <f t="shared" ca="1" si="145"/>
        <v>0</v>
      </c>
      <c r="FU87" s="152">
        <f t="shared" ca="1" si="145"/>
        <v>0</v>
      </c>
      <c r="FV87" s="152">
        <f t="shared" ca="1" si="145"/>
        <v>0</v>
      </c>
      <c r="FW87" s="152">
        <f t="shared" ca="1" si="145"/>
        <v>0</v>
      </c>
      <c r="FX87" s="152">
        <f t="shared" ca="1" si="145"/>
        <v>0</v>
      </c>
      <c r="FY87" s="152">
        <f t="shared" ca="1" si="145"/>
        <v>0</v>
      </c>
      <c r="FZ87" s="152">
        <f t="shared" ca="1" si="145"/>
        <v>0</v>
      </c>
      <c r="GA87" s="152">
        <f t="shared" ca="1" si="145"/>
        <v>0</v>
      </c>
      <c r="GB87" s="152">
        <f t="shared" ca="1" si="145"/>
        <v>0</v>
      </c>
      <c r="GC87" s="152">
        <f t="shared" ca="1" si="146"/>
        <v>0</v>
      </c>
      <c r="GD87" s="152">
        <f t="shared" ca="1" si="146"/>
        <v>0</v>
      </c>
      <c r="GE87" s="152">
        <f t="shared" ca="1" si="146"/>
        <v>0</v>
      </c>
      <c r="GF87" s="152">
        <f t="shared" ca="1" si="146"/>
        <v>0</v>
      </c>
      <c r="GG87" s="152">
        <f t="shared" ca="1" si="146"/>
        <v>0</v>
      </c>
      <c r="GH87" s="152">
        <f t="shared" ca="1" si="146"/>
        <v>0</v>
      </c>
      <c r="GI87" s="152">
        <f t="shared" ca="1" si="146"/>
        <v>0</v>
      </c>
      <c r="GJ87" s="152">
        <f t="shared" ca="1" si="146"/>
        <v>0</v>
      </c>
      <c r="GK87" s="152">
        <f t="shared" ca="1" si="146"/>
        <v>0</v>
      </c>
      <c r="GL87" s="152">
        <f t="shared" ca="1" si="146"/>
        <v>0</v>
      </c>
      <c r="GM87" s="152">
        <f t="shared" ca="1" si="147"/>
        <v>0</v>
      </c>
      <c r="GN87" s="152">
        <f t="shared" ca="1" si="147"/>
        <v>0</v>
      </c>
      <c r="GO87" s="152">
        <f t="shared" ca="1" si="147"/>
        <v>0</v>
      </c>
      <c r="GP87" s="152">
        <f t="shared" ca="1" si="147"/>
        <v>0</v>
      </c>
      <c r="GQ87" s="152">
        <f t="shared" ca="1" si="147"/>
        <v>0</v>
      </c>
      <c r="GR87" s="152">
        <f t="shared" ca="1" si="147"/>
        <v>0</v>
      </c>
      <c r="GS87" s="152">
        <f t="shared" ca="1" si="147"/>
        <v>0</v>
      </c>
      <c r="GT87" s="152">
        <f t="shared" ca="1" si="147"/>
        <v>0</v>
      </c>
      <c r="GU87" s="152">
        <f t="shared" ca="1" si="147"/>
        <v>0</v>
      </c>
      <c r="GV87" s="152">
        <f t="shared" ca="1" si="147"/>
        <v>0</v>
      </c>
      <c r="GW87" s="152">
        <f t="shared" ca="1" si="148"/>
        <v>0</v>
      </c>
      <c r="GX87" s="152">
        <f t="shared" ca="1" si="148"/>
        <v>0</v>
      </c>
      <c r="GY87" s="152">
        <f t="shared" ca="1" si="148"/>
        <v>0</v>
      </c>
      <c r="GZ87" s="152">
        <f t="shared" ca="1" si="148"/>
        <v>0</v>
      </c>
      <c r="HA87" s="152">
        <f t="shared" ca="1" si="148"/>
        <v>0</v>
      </c>
      <c r="HB87" s="152">
        <f t="shared" ca="1" si="148"/>
        <v>0</v>
      </c>
      <c r="HC87" s="152">
        <f t="shared" ca="1" si="148"/>
        <v>0</v>
      </c>
      <c r="HD87" s="152">
        <f t="shared" ca="1" si="148"/>
        <v>0</v>
      </c>
      <c r="HE87" s="152">
        <f t="shared" ca="1" si="148"/>
        <v>0</v>
      </c>
      <c r="HF87" s="152">
        <f t="shared" ca="1" si="148"/>
        <v>0</v>
      </c>
      <c r="HG87" s="152">
        <f t="shared" ca="1" si="149"/>
        <v>0</v>
      </c>
      <c r="HH87" s="152">
        <f t="shared" ca="1" si="149"/>
        <v>0</v>
      </c>
      <c r="HI87" s="152">
        <f t="shared" ca="1" si="149"/>
        <v>0</v>
      </c>
      <c r="HJ87" s="152">
        <f t="shared" ca="1" si="149"/>
        <v>0</v>
      </c>
      <c r="HK87" s="152">
        <f t="shared" ca="1" si="149"/>
        <v>0</v>
      </c>
      <c r="HL87" s="152">
        <f t="shared" ca="1" si="149"/>
        <v>0</v>
      </c>
      <c r="HM87" s="152">
        <f t="shared" ca="1" si="149"/>
        <v>0</v>
      </c>
      <c r="HN87" s="152">
        <f t="shared" ca="1" si="149"/>
        <v>0</v>
      </c>
      <c r="HO87" s="152">
        <f t="shared" ca="1" si="149"/>
        <v>0</v>
      </c>
      <c r="HP87" s="152">
        <f t="shared" ca="1" si="149"/>
        <v>0</v>
      </c>
      <c r="HQ87" s="152">
        <f t="shared" ca="1" si="150"/>
        <v>0</v>
      </c>
      <c r="HR87" s="152">
        <f t="shared" ca="1" si="150"/>
        <v>0</v>
      </c>
      <c r="HS87" s="152">
        <f t="shared" ca="1" si="150"/>
        <v>0</v>
      </c>
      <c r="HT87" s="152">
        <f t="shared" ca="1" si="150"/>
        <v>0</v>
      </c>
      <c r="HU87" s="152">
        <f t="shared" ca="1" si="150"/>
        <v>0</v>
      </c>
      <c r="HV87" s="152">
        <f t="shared" ca="1" si="150"/>
        <v>0</v>
      </c>
      <c r="HW87" s="152">
        <f t="shared" ca="1" si="150"/>
        <v>0</v>
      </c>
      <c r="HX87" s="152">
        <f t="shared" ca="1" si="150"/>
        <v>0</v>
      </c>
      <c r="HY87" s="152">
        <f t="shared" ca="1" si="150"/>
        <v>0</v>
      </c>
      <c r="HZ87" s="152">
        <f t="shared" ca="1" si="150"/>
        <v>0</v>
      </c>
      <c r="IA87" s="152">
        <f t="shared" ca="1" si="151"/>
        <v>0</v>
      </c>
      <c r="IB87" s="152">
        <f t="shared" ca="1" si="151"/>
        <v>0</v>
      </c>
      <c r="IC87" s="152">
        <f t="shared" ca="1" si="151"/>
        <v>0</v>
      </c>
      <c r="ID87" s="152">
        <f t="shared" ca="1" si="151"/>
        <v>0</v>
      </c>
      <c r="IE87" s="152">
        <f t="shared" ca="1" si="151"/>
        <v>0</v>
      </c>
      <c r="IF87" s="152">
        <f t="shared" ca="1" si="151"/>
        <v>0</v>
      </c>
      <c r="IG87" s="152">
        <f t="shared" ca="1" si="151"/>
        <v>0</v>
      </c>
      <c r="IH87" s="152">
        <f t="shared" ca="1" si="151"/>
        <v>0</v>
      </c>
      <c r="II87" s="152">
        <f t="shared" ca="1" si="151"/>
        <v>0</v>
      </c>
      <c r="IJ87" s="152">
        <f t="shared" ca="1" si="151"/>
        <v>0</v>
      </c>
      <c r="IK87" s="152">
        <f t="shared" ca="1" si="151"/>
        <v>0</v>
      </c>
      <c r="IL87" s="152">
        <f t="shared" ca="1" si="151"/>
        <v>0</v>
      </c>
      <c r="IM87" s="152">
        <f t="shared" ca="1" si="139"/>
        <v>0</v>
      </c>
      <c r="IN87" s="152">
        <f t="shared" ca="1" si="139"/>
        <v>0</v>
      </c>
      <c r="IO87" s="152">
        <f t="shared" ca="1" si="139"/>
        <v>0</v>
      </c>
      <c r="IP87" s="152">
        <f t="shared" ca="1" si="139"/>
        <v>0</v>
      </c>
      <c r="IQ87" s="152">
        <f t="shared" ca="1" si="139"/>
        <v>0</v>
      </c>
      <c r="IR87" s="152">
        <f t="shared" ca="1" si="139"/>
        <v>0</v>
      </c>
      <c r="IS87" s="152">
        <f t="shared" ca="1" si="139"/>
        <v>0</v>
      </c>
      <c r="IT87" s="152">
        <f t="shared" ca="1" si="139"/>
        <v>0</v>
      </c>
      <c r="IU87" s="152">
        <f t="shared" ca="1" si="139"/>
        <v>0</v>
      </c>
      <c r="IV87" s="152">
        <f t="shared" ca="1" si="139"/>
        <v>0</v>
      </c>
      <c r="IW87" s="152">
        <f t="shared" ca="1" si="140"/>
        <v>0</v>
      </c>
      <c r="IX87" s="152">
        <f t="shared" ca="1" si="140"/>
        <v>0</v>
      </c>
      <c r="IY87" s="152">
        <f t="shared" ca="1" si="140"/>
        <v>0</v>
      </c>
      <c r="IZ87" s="152">
        <f t="shared" ca="1" si="140"/>
        <v>0</v>
      </c>
      <c r="JA87" s="152">
        <f t="shared" ca="1" si="140"/>
        <v>0</v>
      </c>
      <c r="JB87" s="152">
        <f t="shared" ca="1" si="140"/>
        <v>0</v>
      </c>
      <c r="JC87" s="152">
        <f t="shared" ca="1" si="140"/>
        <v>0</v>
      </c>
      <c r="JD87" s="604"/>
    </row>
    <row r="88" spans="1:264" ht="12.75" customHeight="1" x14ac:dyDescent="0.25">
      <c r="A88" s="279"/>
      <c r="B88" s="41"/>
      <c r="C88" s="82"/>
      <c r="D88" s="41"/>
      <c r="E88" s="9"/>
      <c r="F88" s="9"/>
      <c r="G88" s="9"/>
      <c r="H88" s="10"/>
      <c r="I88" s="10"/>
      <c r="J88" s="10"/>
      <c r="K88" s="10"/>
      <c r="L88" s="10"/>
      <c r="M88" s="10"/>
      <c r="N88" s="9"/>
      <c r="O88" s="9"/>
      <c r="P88" s="44"/>
      <c r="Q88" s="44"/>
      <c r="R88" s="9"/>
      <c r="S88" s="9"/>
      <c r="T88" s="9"/>
      <c r="U88" s="9"/>
      <c r="V88" s="9"/>
      <c r="W88" s="9"/>
      <c r="X88" s="9"/>
      <c r="Y88" s="9"/>
      <c r="Z88" s="9"/>
      <c r="AA88" s="9"/>
      <c r="AB88" s="9"/>
      <c r="AC88" s="9"/>
      <c r="AD88" s="650">
        <f t="shared" si="64"/>
        <v>72</v>
      </c>
      <c r="AE88" s="654">
        <f ca="1">OFFSET('2 Staff List'!$IB$64,AJ88-1,0)</f>
        <v>0</v>
      </c>
      <c r="AF88" s="654">
        <f t="shared" si="125"/>
        <v>173.92857142857142</v>
      </c>
      <c r="AG88" s="9"/>
      <c r="AH88" s="654">
        <f t="shared" si="126"/>
        <v>239.15178571428569</v>
      </c>
      <c r="AI88" s="654">
        <f t="shared" si="127"/>
        <v>9</v>
      </c>
      <c r="AJ88" s="654">
        <f ca="1">OFFSET('2 Staff List'!$GU$64,AI88-1,0)</f>
        <v>9</v>
      </c>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1280">
        <f ca="1">OFFSET('2 Staff List'!$HW$64,AJ88-1,0)</f>
        <v>0</v>
      </c>
      <c r="DZ88" s="1281" t="str">
        <f ca="1">OFFSET('2 Staff List'!$HZ$64,AJ88-1,0)</f>
        <v>L3B Senior Engineer</v>
      </c>
      <c r="EA88" s="3669" t="str">
        <f ca="1">OFFSET('2 Staff List'!$IA$64,AJ88-1,0)</f>
        <v>Parsons, Jenny</v>
      </c>
      <c r="EB88" s="3670"/>
      <c r="EC88" s="3673">
        <f t="shared" ca="1" si="128"/>
        <v>0</v>
      </c>
      <c r="ED88" s="3674"/>
      <c r="EE88" s="3675"/>
      <c r="EF88" s="3676"/>
      <c r="EG88" s="154">
        <f t="shared" ca="1" si="141"/>
        <v>0</v>
      </c>
      <c r="EH88" s="152">
        <f t="shared" ca="1" si="141"/>
        <v>0</v>
      </c>
      <c r="EI88" s="152">
        <f t="shared" ca="1" si="141"/>
        <v>0</v>
      </c>
      <c r="EJ88" s="152">
        <f t="shared" ca="1" si="141"/>
        <v>0</v>
      </c>
      <c r="EK88" s="152">
        <f t="shared" ca="1" si="141"/>
        <v>0</v>
      </c>
      <c r="EL88" s="152">
        <f t="shared" ca="1" si="141"/>
        <v>0</v>
      </c>
      <c r="EM88" s="152">
        <f t="shared" ca="1" si="141"/>
        <v>0</v>
      </c>
      <c r="EN88" s="152">
        <f t="shared" ca="1" si="141"/>
        <v>0</v>
      </c>
      <c r="EO88" s="152">
        <f t="shared" ca="1" si="141"/>
        <v>0</v>
      </c>
      <c r="EP88" s="152">
        <f t="shared" ca="1" si="141"/>
        <v>0</v>
      </c>
      <c r="EQ88" s="152">
        <f t="shared" ca="1" si="142"/>
        <v>0</v>
      </c>
      <c r="ER88" s="152">
        <f t="shared" ca="1" si="142"/>
        <v>0</v>
      </c>
      <c r="ES88" s="152">
        <f t="shared" ca="1" si="142"/>
        <v>0</v>
      </c>
      <c r="ET88" s="152">
        <f t="shared" ca="1" si="142"/>
        <v>0</v>
      </c>
      <c r="EU88" s="152">
        <f t="shared" ca="1" si="142"/>
        <v>0</v>
      </c>
      <c r="EV88" s="152">
        <f t="shared" ca="1" si="142"/>
        <v>0</v>
      </c>
      <c r="EW88" s="152">
        <f t="shared" ca="1" si="142"/>
        <v>0</v>
      </c>
      <c r="EX88" s="152">
        <f t="shared" ca="1" si="129"/>
        <v>0</v>
      </c>
      <c r="EY88" s="152">
        <f t="shared" ca="1" si="143"/>
        <v>0</v>
      </c>
      <c r="EZ88" s="152">
        <f t="shared" ca="1" si="143"/>
        <v>0</v>
      </c>
      <c r="FA88" s="152">
        <f t="shared" ca="1" si="143"/>
        <v>0</v>
      </c>
      <c r="FB88" s="152">
        <f t="shared" ca="1" si="143"/>
        <v>0</v>
      </c>
      <c r="FC88" s="152">
        <f t="shared" ca="1" si="143"/>
        <v>0</v>
      </c>
      <c r="FD88" s="152">
        <f t="shared" ca="1" si="143"/>
        <v>0</v>
      </c>
      <c r="FE88" s="152">
        <f t="shared" ca="1" si="143"/>
        <v>0</v>
      </c>
      <c r="FF88" s="152">
        <f t="shared" ca="1" si="143"/>
        <v>0</v>
      </c>
      <c r="FG88" s="152">
        <f t="shared" ca="1" si="143"/>
        <v>0</v>
      </c>
      <c r="FH88" s="152">
        <f t="shared" ca="1" si="143"/>
        <v>0</v>
      </c>
      <c r="FI88" s="152">
        <f t="shared" ca="1" si="144"/>
        <v>0</v>
      </c>
      <c r="FJ88" s="152">
        <f t="shared" ca="1" si="144"/>
        <v>0</v>
      </c>
      <c r="FK88" s="152">
        <f t="shared" ca="1" si="144"/>
        <v>0</v>
      </c>
      <c r="FL88" s="152">
        <f t="shared" ca="1" si="144"/>
        <v>0</v>
      </c>
      <c r="FM88" s="152">
        <f t="shared" ca="1" si="144"/>
        <v>0</v>
      </c>
      <c r="FN88" s="152">
        <f t="shared" ca="1" si="144"/>
        <v>0</v>
      </c>
      <c r="FO88" s="152">
        <f t="shared" ca="1" si="144"/>
        <v>0</v>
      </c>
      <c r="FP88" s="152">
        <f t="shared" ca="1" si="144"/>
        <v>0</v>
      </c>
      <c r="FQ88" s="152">
        <f t="shared" ca="1" si="144"/>
        <v>0</v>
      </c>
      <c r="FR88" s="152">
        <f t="shared" ca="1" si="144"/>
        <v>0</v>
      </c>
      <c r="FS88" s="152">
        <f t="shared" ca="1" si="145"/>
        <v>0</v>
      </c>
      <c r="FT88" s="152">
        <f t="shared" ca="1" si="145"/>
        <v>0</v>
      </c>
      <c r="FU88" s="152">
        <f t="shared" ca="1" si="145"/>
        <v>0</v>
      </c>
      <c r="FV88" s="152">
        <f t="shared" ca="1" si="145"/>
        <v>0</v>
      </c>
      <c r="FW88" s="152">
        <f t="shared" ca="1" si="145"/>
        <v>0</v>
      </c>
      <c r="FX88" s="152">
        <f t="shared" ca="1" si="145"/>
        <v>0</v>
      </c>
      <c r="FY88" s="152">
        <f t="shared" ca="1" si="145"/>
        <v>0</v>
      </c>
      <c r="FZ88" s="152">
        <f t="shared" ca="1" si="145"/>
        <v>0</v>
      </c>
      <c r="GA88" s="152">
        <f t="shared" ca="1" si="145"/>
        <v>0</v>
      </c>
      <c r="GB88" s="152">
        <f t="shared" ca="1" si="145"/>
        <v>0</v>
      </c>
      <c r="GC88" s="152">
        <f t="shared" ca="1" si="146"/>
        <v>0</v>
      </c>
      <c r="GD88" s="152">
        <f t="shared" ca="1" si="146"/>
        <v>0</v>
      </c>
      <c r="GE88" s="152">
        <f t="shared" ca="1" si="146"/>
        <v>0</v>
      </c>
      <c r="GF88" s="152">
        <f t="shared" ca="1" si="146"/>
        <v>0</v>
      </c>
      <c r="GG88" s="152">
        <f t="shared" ca="1" si="146"/>
        <v>0</v>
      </c>
      <c r="GH88" s="152">
        <f t="shared" ca="1" si="146"/>
        <v>0</v>
      </c>
      <c r="GI88" s="152">
        <f t="shared" ca="1" si="146"/>
        <v>0</v>
      </c>
      <c r="GJ88" s="152">
        <f t="shared" ca="1" si="146"/>
        <v>0</v>
      </c>
      <c r="GK88" s="152">
        <f t="shared" ca="1" si="146"/>
        <v>0</v>
      </c>
      <c r="GL88" s="152">
        <f t="shared" ca="1" si="146"/>
        <v>0</v>
      </c>
      <c r="GM88" s="152">
        <f t="shared" ca="1" si="147"/>
        <v>0</v>
      </c>
      <c r="GN88" s="152">
        <f t="shared" ca="1" si="147"/>
        <v>0</v>
      </c>
      <c r="GO88" s="152">
        <f t="shared" ca="1" si="147"/>
        <v>0</v>
      </c>
      <c r="GP88" s="152">
        <f t="shared" ca="1" si="147"/>
        <v>0</v>
      </c>
      <c r="GQ88" s="152">
        <f t="shared" ca="1" si="147"/>
        <v>0</v>
      </c>
      <c r="GR88" s="152">
        <f t="shared" ca="1" si="147"/>
        <v>0</v>
      </c>
      <c r="GS88" s="152">
        <f t="shared" ca="1" si="147"/>
        <v>0</v>
      </c>
      <c r="GT88" s="152">
        <f t="shared" ca="1" si="147"/>
        <v>0</v>
      </c>
      <c r="GU88" s="152">
        <f t="shared" ca="1" si="147"/>
        <v>0</v>
      </c>
      <c r="GV88" s="152">
        <f t="shared" ca="1" si="147"/>
        <v>0</v>
      </c>
      <c r="GW88" s="152">
        <f t="shared" ca="1" si="148"/>
        <v>0</v>
      </c>
      <c r="GX88" s="152">
        <f t="shared" ca="1" si="148"/>
        <v>0</v>
      </c>
      <c r="GY88" s="152">
        <f t="shared" ca="1" si="148"/>
        <v>0</v>
      </c>
      <c r="GZ88" s="152">
        <f t="shared" ca="1" si="148"/>
        <v>0</v>
      </c>
      <c r="HA88" s="152">
        <f t="shared" ca="1" si="148"/>
        <v>0</v>
      </c>
      <c r="HB88" s="152">
        <f t="shared" ca="1" si="148"/>
        <v>0</v>
      </c>
      <c r="HC88" s="152">
        <f t="shared" ca="1" si="148"/>
        <v>0</v>
      </c>
      <c r="HD88" s="152">
        <f t="shared" ca="1" si="148"/>
        <v>0</v>
      </c>
      <c r="HE88" s="152">
        <f t="shared" ca="1" si="148"/>
        <v>0</v>
      </c>
      <c r="HF88" s="152">
        <f t="shared" ca="1" si="148"/>
        <v>0</v>
      </c>
      <c r="HG88" s="152">
        <f t="shared" ca="1" si="149"/>
        <v>0</v>
      </c>
      <c r="HH88" s="152">
        <f t="shared" ca="1" si="149"/>
        <v>0</v>
      </c>
      <c r="HI88" s="152">
        <f t="shared" ca="1" si="149"/>
        <v>0</v>
      </c>
      <c r="HJ88" s="152">
        <f t="shared" ca="1" si="149"/>
        <v>0</v>
      </c>
      <c r="HK88" s="152">
        <f t="shared" ca="1" si="149"/>
        <v>0</v>
      </c>
      <c r="HL88" s="152">
        <f t="shared" ca="1" si="149"/>
        <v>0</v>
      </c>
      <c r="HM88" s="152">
        <f t="shared" ca="1" si="149"/>
        <v>0</v>
      </c>
      <c r="HN88" s="152">
        <f t="shared" ca="1" si="149"/>
        <v>0</v>
      </c>
      <c r="HO88" s="152">
        <f t="shared" ca="1" si="149"/>
        <v>0</v>
      </c>
      <c r="HP88" s="152">
        <f t="shared" ca="1" si="149"/>
        <v>0</v>
      </c>
      <c r="HQ88" s="152">
        <f t="shared" ca="1" si="150"/>
        <v>0</v>
      </c>
      <c r="HR88" s="152">
        <f t="shared" ca="1" si="150"/>
        <v>0</v>
      </c>
      <c r="HS88" s="152">
        <f t="shared" ca="1" si="150"/>
        <v>0</v>
      </c>
      <c r="HT88" s="152">
        <f t="shared" ca="1" si="150"/>
        <v>0</v>
      </c>
      <c r="HU88" s="152">
        <f t="shared" ca="1" si="150"/>
        <v>0</v>
      </c>
      <c r="HV88" s="152">
        <f t="shared" ca="1" si="150"/>
        <v>0</v>
      </c>
      <c r="HW88" s="152">
        <f t="shared" ca="1" si="150"/>
        <v>0</v>
      </c>
      <c r="HX88" s="152">
        <f t="shared" ca="1" si="150"/>
        <v>0</v>
      </c>
      <c r="HY88" s="152">
        <f t="shared" ca="1" si="150"/>
        <v>0</v>
      </c>
      <c r="HZ88" s="152">
        <f t="shared" ca="1" si="150"/>
        <v>0</v>
      </c>
      <c r="IA88" s="152">
        <f t="shared" ca="1" si="151"/>
        <v>0</v>
      </c>
      <c r="IB88" s="152">
        <f t="shared" ca="1" si="151"/>
        <v>0</v>
      </c>
      <c r="IC88" s="152">
        <f t="shared" ca="1" si="151"/>
        <v>0</v>
      </c>
      <c r="ID88" s="152">
        <f t="shared" ca="1" si="151"/>
        <v>0</v>
      </c>
      <c r="IE88" s="152">
        <f t="shared" ca="1" si="151"/>
        <v>0</v>
      </c>
      <c r="IF88" s="152">
        <f t="shared" ca="1" si="151"/>
        <v>0</v>
      </c>
      <c r="IG88" s="152">
        <f t="shared" ca="1" si="151"/>
        <v>0</v>
      </c>
      <c r="IH88" s="152">
        <f t="shared" ca="1" si="151"/>
        <v>0</v>
      </c>
      <c r="II88" s="152">
        <f t="shared" ca="1" si="151"/>
        <v>0</v>
      </c>
      <c r="IJ88" s="152">
        <f t="shared" ca="1" si="151"/>
        <v>0</v>
      </c>
      <c r="IK88" s="152">
        <f t="shared" ca="1" si="151"/>
        <v>0</v>
      </c>
      <c r="IL88" s="152">
        <f t="shared" ca="1" si="151"/>
        <v>0</v>
      </c>
      <c r="IM88" s="152">
        <f t="shared" ca="1" si="139"/>
        <v>0</v>
      </c>
      <c r="IN88" s="152">
        <f t="shared" ca="1" si="139"/>
        <v>0</v>
      </c>
      <c r="IO88" s="152">
        <f t="shared" ca="1" si="139"/>
        <v>0</v>
      </c>
      <c r="IP88" s="152">
        <f t="shared" ca="1" si="139"/>
        <v>0</v>
      </c>
      <c r="IQ88" s="152">
        <f t="shared" ca="1" si="139"/>
        <v>0</v>
      </c>
      <c r="IR88" s="152">
        <f t="shared" ca="1" si="139"/>
        <v>0</v>
      </c>
      <c r="IS88" s="152">
        <f t="shared" ca="1" si="139"/>
        <v>0</v>
      </c>
      <c r="IT88" s="152">
        <f t="shared" ca="1" si="139"/>
        <v>0</v>
      </c>
      <c r="IU88" s="152">
        <f t="shared" ca="1" si="139"/>
        <v>0</v>
      </c>
      <c r="IV88" s="152">
        <f t="shared" ca="1" si="139"/>
        <v>0</v>
      </c>
      <c r="IW88" s="152">
        <f t="shared" ca="1" si="140"/>
        <v>0</v>
      </c>
      <c r="IX88" s="152">
        <f t="shared" ca="1" si="140"/>
        <v>0</v>
      </c>
      <c r="IY88" s="152">
        <f t="shared" ca="1" si="140"/>
        <v>0</v>
      </c>
      <c r="IZ88" s="152">
        <f t="shared" ca="1" si="140"/>
        <v>0</v>
      </c>
      <c r="JA88" s="152">
        <f t="shared" ca="1" si="140"/>
        <v>0</v>
      </c>
      <c r="JB88" s="152">
        <f t="shared" ca="1" si="140"/>
        <v>0</v>
      </c>
      <c r="JC88" s="152">
        <f t="shared" ca="1" si="140"/>
        <v>0</v>
      </c>
      <c r="JD88" s="604"/>
    </row>
    <row r="89" spans="1:264" ht="12.75" customHeight="1" x14ac:dyDescent="0.25">
      <c r="A89" s="279"/>
      <c r="B89" s="41"/>
      <c r="C89" s="82"/>
      <c r="D89" s="41"/>
      <c r="E89" s="9"/>
      <c r="F89" s="9"/>
      <c r="G89" s="9"/>
      <c r="H89" s="10"/>
      <c r="I89" s="10"/>
      <c r="J89" s="10"/>
      <c r="K89" s="10"/>
      <c r="L89" s="10"/>
      <c r="M89" s="10"/>
      <c r="N89" s="9"/>
      <c r="O89" s="9"/>
      <c r="P89" s="44"/>
      <c r="Q89" s="44"/>
      <c r="R89" s="9"/>
      <c r="S89" s="9"/>
      <c r="T89" s="9"/>
      <c r="U89" s="9"/>
      <c r="V89" s="9"/>
      <c r="W89" s="9"/>
      <c r="X89" s="9"/>
      <c r="Y89" s="9"/>
      <c r="Z89" s="9"/>
      <c r="AA89" s="9"/>
      <c r="AB89" s="9"/>
      <c r="AC89" s="9"/>
      <c r="AD89" s="650">
        <f t="shared" si="64"/>
        <v>71</v>
      </c>
      <c r="AE89" s="654">
        <f ca="1">OFFSET('2 Staff List'!$IB$64,AJ89-1,0)</f>
        <v>0</v>
      </c>
      <c r="AF89" s="654">
        <f t="shared" si="125"/>
        <v>173.92857142857142</v>
      </c>
      <c r="AG89" s="9"/>
      <c r="AH89" s="654">
        <f t="shared" si="126"/>
        <v>239.15178571428569</v>
      </c>
      <c r="AI89" s="654">
        <f t="shared" si="127"/>
        <v>8</v>
      </c>
      <c r="AJ89" s="654">
        <f ca="1">OFFSET('2 Staff List'!$GU$64,AI89-1,0)</f>
        <v>8</v>
      </c>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1280">
        <f ca="1">OFFSET('2 Staff List'!$HW$64,AJ89-1,0)</f>
        <v>0</v>
      </c>
      <c r="DZ89" s="1281" t="str">
        <f ca="1">OFFSET('2 Staff List'!$HZ$64,AJ89-1,0)</f>
        <v>L3A Project Manager</v>
      </c>
      <c r="EA89" s="3669" t="str">
        <f ca="1">OFFSET('2 Staff List'!$IA$64,AJ89-1,0)</f>
        <v>Phillips, Stephen</v>
      </c>
      <c r="EB89" s="3670"/>
      <c r="EC89" s="3673">
        <f t="shared" ca="1" si="128"/>
        <v>0</v>
      </c>
      <c r="ED89" s="3674"/>
      <c r="EE89" s="3675"/>
      <c r="EF89" s="3676"/>
      <c r="EG89" s="154">
        <f t="shared" ca="1" si="141"/>
        <v>0</v>
      </c>
      <c r="EH89" s="152">
        <f t="shared" ca="1" si="141"/>
        <v>0</v>
      </c>
      <c r="EI89" s="152">
        <f t="shared" ca="1" si="141"/>
        <v>0</v>
      </c>
      <c r="EJ89" s="152">
        <f t="shared" ca="1" si="141"/>
        <v>0</v>
      </c>
      <c r="EK89" s="152">
        <f t="shared" ca="1" si="141"/>
        <v>0</v>
      </c>
      <c r="EL89" s="152">
        <f t="shared" ca="1" si="141"/>
        <v>0</v>
      </c>
      <c r="EM89" s="152">
        <f t="shared" ca="1" si="141"/>
        <v>0</v>
      </c>
      <c r="EN89" s="152">
        <f t="shared" ca="1" si="141"/>
        <v>0</v>
      </c>
      <c r="EO89" s="152">
        <f t="shared" ca="1" si="141"/>
        <v>0</v>
      </c>
      <c r="EP89" s="152">
        <f t="shared" ca="1" si="141"/>
        <v>0</v>
      </c>
      <c r="EQ89" s="152">
        <f t="shared" ca="1" si="142"/>
        <v>0</v>
      </c>
      <c r="ER89" s="152">
        <f t="shared" ca="1" si="142"/>
        <v>0</v>
      </c>
      <c r="ES89" s="152">
        <f t="shared" ca="1" si="142"/>
        <v>0</v>
      </c>
      <c r="ET89" s="152">
        <f t="shared" ca="1" si="142"/>
        <v>0</v>
      </c>
      <c r="EU89" s="152">
        <f t="shared" ca="1" si="142"/>
        <v>0</v>
      </c>
      <c r="EV89" s="152">
        <f t="shared" ca="1" si="142"/>
        <v>0</v>
      </c>
      <c r="EW89" s="152">
        <f t="shared" ca="1" si="142"/>
        <v>0</v>
      </c>
      <c r="EX89" s="152">
        <f t="shared" ca="1" si="129"/>
        <v>0</v>
      </c>
      <c r="EY89" s="152">
        <f t="shared" ca="1" si="143"/>
        <v>0</v>
      </c>
      <c r="EZ89" s="152">
        <f t="shared" ca="1" si="143"/>
        <v>0</v>
      </c>
      <c r="FA89" s="152">
        <f t="shared" ca="1" si="143"/>
        <v>0</v>
      </c>
      <c r="FB89" s="152">
        <f t="shared" ca="1" si="143"/>
        <v>0</v>
      </c>
      <c r="FC89" s="152">
        <f t="shared" ca="1" si="143"/>
        <v>0</v>
      </c>
      <c r="FD89" s="152">
        <f t="shared" ca="1" si="143"/>
        <v>0</v>
      </c>
      <c r="FE89" s="152">
        <f t="shared" ca="1" si="143"/>
        <v>0</v>
      </c>
      <c r="FF89" s="152">
        <f t="shared" ca="1" si="143"/>
        <v>0</v>
      </c>
      <c r="FG89" s="152">
        <f t="shared" ca="1" si="143"/>
        <v>0</v>
      </c>
      <c r="FH89" s="152">
        <f t="shared" ca="1" si="143"/>
        <v>0</v>
      </c>
      <c r="FI89" s="152">
        <f t="shared" ca="1" si="144"/>
        <v>0</v>
      </c>
      <c r="FJ89" s="152">
        <f t="shared" ca="1" si="144"/>
        <v>0</v>
      </c>
      <c r="FK89" s="152">
        <f t="shared" ca="1" si="144"/>
        <v>0</v>
      </c>
      <c r="FL89" s="152">
        <f t="shared" ca="1" si="144"/>
        <v>0</v>
      </c>
      <c r="FM89" s="152">
        <f t="shared" ca="1" si="144"/>
        <v>0</v>
      </c>
      <c r="FN89" s="152">
        <f t="shared" ca="1" si="144"/>
        <v>0</v>
      </c>
      <c r="FO89" s="152">
        <f t="shared" ca="1" si="144"/>
        <v>0</v>
      </c>
      <c r="FP89" s="152">
        <f t="shared" ca="1" si="144"/>
        <v>0</v>
      </c>
      <c r="FQ89" s="152">
        <f t="shared" ca="1" si="144"/>
        <v>0</v>
      </c>
      <c r="FR89" s="152">
        <f t="shared" ca="1" si="144"/>
        <v>0</v>
      </c>
      <c r="FS89" s="152">
        <f t="shared" ca="1" si="145"/>
        <v>0</v>
      </c>
      <c r="FT89" s="152">
        <f t="shared" ca="1" si="145"/>
        <v>0</v>
      </c>
      <c r="FU89" s="152">
        <f t="shared" ca="1" si="145"/>
        <v>0</v>
      </c>
      <c r="FV89" s="152">
        <f t="shared" ca="1" si="145"/>
        <v>0</v>
      </c>
      <c r="FW89" s="152">
        <f t="shared" ca="1" si="145"/>
        <v>0</v>
      </c>
      <c r="FX89" s="152">
        <f t="shared" ca="1" si="145"/>
        <v>0</v>
      </c>
      <c r="FY89" s="152">
        <f t="shared" ca="1" si="145"/>
        <v>0</v>
      </c>
      <c r="FZ89" s="152">
        <f t="shared" ca="1" si="145"/>
        <v>0</v>
      </c>
      <c r="GA89" s="152">
        <f t="shared" ca="1" si="145"/>
        <v>0</v>
      </c>
      <c r="GB89" s="152">
        <f t="shared" ca="1" si="145"/>
        <v>0</v>
      </c>
      <c r="GC89" s="152">
        <f t="shared" ca="1" si="146"/>
        <v>0</v>
      </c>
      <c r="GD89" s="152">
        <f t="shared" ca="1" si="146"/>
        <v>0</v>
      </c>
      <c r="GE89" s="152">
        <f t="shared" ca="1" si="146"/>
        <v>0</v>
      </c>
      <c r="GF89" s="152">
        <f t="shared" ca="1" si="146"/>
        <v>0</v>
      </c>
      <c r="GG89" s="152">
        <f t="shared" ca="1" si="146"/>
        <v>0</v>
      </c>
      <c r="GH89" s="152">
        <f t="shared" ca="1" si="146"/>
        <v>0</v>
      </c>
      <c r="GI89" s="152">
        <f t="shared" ca="1" si="146"/>
        <v>0</v>
      </c>
      <c r="GJ89" s="152">
        <f t="shared" ca="1" si="146"/>
        <v>0</v>
      </c>
      <c r="GK89" s="152">
        <f t="shared" ca="1" si="146"/>
        <v>0</v>
      </c>
      <c r="GL89" s="152">
        <f t="shared" ca="1" si="146"/>
        <v>0</v>
      </c>
      <c r="GM89" s="152">
        <f t="shared" ca="1" si="147"/>
        <v>0</v>
      </c>
      <c r="GN89" s="152">
        <f t="shared" ca="1" si="147"/>
        <v>0</v>
      </c>
      <c r="GO89" s="152">
        <f t="shared" ca="1" si="147"/>
        <v>0</v>
      </c>
      <c r="GP89" s="152">
        <f t="shared" ca="1" si="147"/>
        <v>0</v>
      </c>
      <c r="GQ89" s="152">
        <f t="shared" ca="1" si="147"/>
        <v>0</v>
      </c>
      <c r="GR89" s="152">
        <f t="shared" ca="1" si="147"/>
        <v>0</v>
      </c>
      <c r="GS89" s="152">
        <f t="shared" ca="1" si="147"/>
        <v>0</v>
      </c>
      <c r="GT89" s="152">
        <f t="shared" ca="1" si="147"/>
        <v>0</v>
      </c>
      <c r="GU89" s="152">
        <f t="shared" ca="1" si="147"/>
        <v>0</v>
      </c>
      <c r="GV89" s="152">
        <f t="shared" ca="1" si="147"/>
        <v>0</v>
      </c>
      <c r="GW89" s="152">
        <f t="shared" ca="1" si="148"/>
        <v>0</v>
      </c>
      <c r="GX89" s="152">
        <f t="shared" ca="1" si="148"/>
        <v>0</v>
      </c>
      <c r="GY89" s="152">
        <f t="shared" ca="1" si="148"/>
        <v>0</v>
      </c>
      <c r="GZ89" s="152">
        <f t="shared" ca="1" si="148"/>
        <v>0</v>
      </c>
      <c r="HA89" s="152">
        <f t="shared" ca="1" si="148"/>
        <v>0</v>
      </c>
      <c r="HB89" s="152">
        <f t="shared" ca="1" si="148"/>
        <v>0</v>
      </c>
      <c r="HC89" s="152">
        <f t="shared" ca="1" si="148"/>
        <v>0</v>
      </c>
      <c r="HD89" s="152">
        <f t="shared" ca="1" si="148"/>
        <v>0</v>
      </c>
      <c r="HE89" s="152">
        <f t="shared" ca="1" si="148"/>
        <v>0</v>
      </c>
      <c r="HF89" s="152">
        <f t="shared" ca="1" si="148"/>
        <v>0</v>
      </c>
      <c r="HG89" s="152">
        <f t="shared" ca="1" si="149"/>
        <v>0</v>
      </c>
      <c r="HH89" s="152">
        <f t="shared" ca="1" si="149"/>
        <v>0</v>
      </c>
      <c r="HI89" s="152">
        <f t="shared" ca="1" si="149"/>
        <v>0</v>
      </c>
      <c r="HJ89" s="152">
        <f t="shared" ca="1" si="149"/>
        <v>0</v>
      </c>
      <c r="HK89" s="152">
        <f t="shared" ca="1" si="149"/>
        <v>0</v>
      </c>
      <c r="HL89" s="152">
        <f t="shared" ca="1" si="149"/>
        <v>0</v>
      </c>
      <c r="HM89" s="152">
        <f t="shared" ca="1" si="149"/>
        <v>0</v>
      </c>
      <c r="HN89" s="152">
        <f t="shared" ca="1" si="149"/>
        <v>0</v>
      </c>
      <c r="HO89" s="152">
        <f t="shared" ca="1" si="149"/>
        <v>0</v>
      </c>
      <c r="HP89" s="152">
        <f t="shared" ca="1" si="149"/>
        <v>0</v>
      </c>
      <c r="HQ89" s="152">
        <f t="shared" ca="1" si="150"/>
        <v>0</v>
      </c>
      <c r="HR89" s="152">
        <f t="shared" ca="1" si="150"/>
        <v>0</v>
      </c>
      <c r="HS89" s="152">
        <f t="shared" ca="1" si="150"/>
        <v>0</v>
      </c>
      <c r="HT89" s="152">
        <f t="shared" ca="1" si="150"/>
        <v>0</v>
      </c>
      <c r="HU89" s="152">
        <f t="shared" ca="1" si="150"/>
        <v>0</v>
      </c>
      <c r="HV89" s="152">
        <f t="shared" ca="1" si="150"/>
        <v>0</v>
      </c>
      <c r="HW89" s="152">
        <f t="shared" ca="1" si="150"/>
        <v>0</v>
      </c>
      <c r="HX89" s="152">
        <f t="shared" ca="1" si="150"/>
        <v>0</v>
      </c>
      <c r="HY89" s="152">
        <f t="shared" ca="1" si="150"/>
        <v>0</v>
      </c>
      <c r="HZ89" s="152">
        <f t="shared" ca="1" si="150"/>
        <v>0</v>
      </c>
      <c r="IA89" s="152">
        <f t="shared" ca="1" si="151"/>
        <v>0</v>
      </c>
      <c r="IB89" s="152">
        <f t="shared" ca="1" si="151"/>
        <v>0</v>
      </c>
      <c r="IC89" s="152">
        <f t="shared" ca="1" si="151"/>
        <v>0</v>
      </c>
      <c r="ID89" s="152">
        <f t="shared" ca="1" si="151"/>
        <v>0</v>
      </c>
      <c r="IE89" s="152">
        <f t="shared" ca="1" si="151"/>
        <v>0</v>
      </c>
      <c r="IF89" s="152">
        <f t="shared" ca="1" si="151"/>
        <v>0</v>
      </c>
      <c r="IG89" s="152">
        <f t="shared" ca="1" si="151"/>
        <v>0</v>
      </c>
      <c r="IH89" s="152">
        <f t="shared" ca="1" si="151"/>
        <v>0</v>
      </c>
      <c r="II89" s="152">
        <f t="shared" ca="1" si="151"/>
        <v>0</v>
      </c>
      <c r="IJ89" s="152">
        <f t="shared" ca="1" si="151"/>
        <v>0</v>
      </c>
      <c r="IK89" s="152">
        <f t="shared" ca="1" si="151"/>
        <v>0</v>
      </c>
      <c r="IL89" s="152">
        <f t="shared" ca="1" si="151"/>
        <v>0</v>
      </c>
      <c r="IM89" s="152">
        <f t="shared" ca="1" si="139"/>
        <v>0</v>
      </c>
      <c r="IN89" s="152">
        <f t="shared" ca="1" si="139"/>
        <v>0</v>
      </c>
      <c r="IO89" s="152">
        <f t="shared" ca="1" si="139"/>
        <v>0</v>
      </c>
      <c r="IP89" s="152">
        <f t="shared" ca="1" si="139"/>
        <v>0</v>
      </c>
      <c r="IQ89" s="152">
        <f t="shared" ca="1" si="139"/>
        <v>0</v>
      </c>
      <c r="IR89" s="152">
        <f t="shared" ca="1" si="139"/>
        <v>0</v>
      </c>
      <c r="IS89" s="152">
        <f t="shared" ca="1" si="139"/>
        <v>0</v>
      </c>
      <c r="IT89" s="152">
        <f t="shared" ca="1" si="139"/>
        <v>0</v>
      </c>
      <c r="IU89" s="152">
        <f t="shared" ca="1" si="139"/>
        <v>0</v>
      </c>
      <c r="IV89" s="152">
        <f t="shared" ca="1" si="139"/>
        <v>0</v>
      </c>
      <c r="IW89" s="152">
        <f t="shared" ca="1" si="140"/>
        <v>0</v>
      </c>
      <c r="IX89" s="152">
        <f t="shared" ca="1" si="140"/>
        <v>0</v>
      </c>
      <c r="IY89" s="152">
        <f t="shared" ca="1" si="140"/>
        <v>0</v>
      </c>
      <c r="IZ89" s="152">
        <f t="shared" ca="1" si="140"/>
        <v>0</v>
      </c>
      <c r="JA89" s="152">
        <f t="shared" ca="1" si="140"/>
        <v>0</v>
      </c>
      <c r="JB89" s="152">
        <f t="shared" ca="1" si="140"/>
        <v>0</v>
      </c>
      <c r="JC89" s="152">
        <f t="shared" ca="1" si="140"/>
        <v>0</v>
      </c>
      <c r="JD89" s="604"/>
    </row>
    <row r="90" spans="1:264" ht="12.75" customHeight="1" x14ac:dyDescent="0.25">
      <c r="A90" s="279"/>
      <c r="B90" s="41"/>
      <c r="C90" s="82"/>
      <c r="D90" s="41"/>
      <c r="E90" s="9"/>
      <c r="F90" s="9"/>
      <c r="G90" s="9"/>
      <c r="H90" s="10"/>
      <c r="I90" s="10"/>
      <c r="J90" s="10"/>
      <c r="K90" s="10"/>
      <c r="L90" s="10"/>
      <c r="M90" s="10"/>
      <c r="N90" s="9"/>
      <c r="O90" s="9"/>
      <c r="P90" s="44"/>
      <c r="Q90" s="44"/>
      <c r="R90" s="9"/>
      <c r="S90" s="9"/>
      <c r="T90" s="9"/>
      <c r="U90" s="9"/>
      <c r="V90" s="9"/>
      <c r="W90" s="9"/>
      <c r="X90" s="9"/>
      <c r="Y90" s="9"/>
      <c r="Z90" s="9"/>
      <c r="AA90" s="9"/>
      <c r="AB90" s="9"/>
      <c r="AC90" s="9"/>
      <c r="AD90" s="650">
        <f t="shared" si="64"/>
        <v>70</v>
      </c>
      <c r="AE90" s="654">
        <f ca="1">OFFSET('2 Staff List'!$IB$64,AJ90-1,0)</f>
        <v>0</v>
      </c>
      <c r="AF90" s="654">
        <f t="shared" si="125"/>
        <v>173.92857142857142</v>
      </c>
      <c r="AG90" s="9"/>
      <c r="AH90" s="654">
        <f t="shared" si="126"/>
        <v>239.15178571428569</v>
      </c>
      <c r="AI90" s="654">
        <f t="shared" si="127"/>
        <v>7</v>
      </c>
      <c r="AJ90" s="654">
        <f ca="1">OFFSET('2 Staff List'!$GU$64,AI90-1,0)</f>
        <v>7</v>
      </c>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1280">
        <f ca="1">OFFSET('2 Staff List'!$HW$64,AJ90-1,0)</f>
        <v>0</v>
      </c>
      <c r="DZ90" s="1281" t="str">
        <f ca="1">OFFSET('2 Staff List'!$HZ$64,AJ90-1,0)</f>
        <v>L1B Service Lead</v>
      </c>
      <c r="EA90" s="3669" t="str">
        <f ca="1">OFFSET('2 Staff List'!$IA$64,AJ90-1,0)</f>
        <v>Robinson Emma</v>
      </c>
      <c r="EB90" s="3670"/>
      <c r="EC90" s="3673">
        <f t="shared" ca="1" si="128"/>
        <v>0</v>
      </c>
      <c r="ED90" s="3674"/>
      <c r="EE90" s="3675"/>
      <c r="EF90" s="3676"/>
      <c r="EG90" s="154">
        <f t="shared" ca="1" si="141"/>
        <v>0</v>
      </c>
      <c r="EH90" s="152">
        <f t="shared" ca="1" si="141"/>
        <v>0</v>
      </c>
      <c r="EI90" s="152">
        <f t="shared" ca="1" si="141"/>
        <v>0</v>
      </c>
      <c r="EJ90" s="152">
        <f t="shared" ca="1" si="141"/>
        <v>0</v>
      </c>
      <c r="EK90" s="152">
        <f t="shared" ca="1" si="141"/>
        <v>0</v>
      </c>
      <c r="EL90" s="152">
        <f t="shared" ca="1" si="141"/>
        <v>0</v>
      </c>
      <c r="EM90" s="152">
        <f t="shared" ca="1" si="141"/>
        <v>0</v>
      </c>
      <c r="EN90" s="152">
        <f t="shared" ca="1" si="141"/>
        <v>0</v>
      </c>
      <c r="EO90" s="152">
        <f t="shared" ca="1" si="141"/>
        <v>0</v>
      </c>
      <c r="EP90" s="152">
        <f t="shared" ca="1" si="141"/>
        <v>0</v>
      </c>
      <c r="EQ90" s="152">
        <f t="shared" ca="1" si="142"/>
        <v>0</v>
      </c>
      <c r="ER90" s="152">
        <f t="shared" ca="1" si="142"/>
        <v>0</v>
      </c>
      <c r="ES90" s="152">
        <f t="shared" ca="1" si="142"/>
        <v>0</v>
      </c>
      <c r="ET90" s="152">
        <f t="shared" ca="1" si="142"/>
        <v>0</v>
      </c>
      <c r="EU90" s="152">
        <f t="shared" ca="1" si="142"/>
        <v>0</v>
      </c>
      <c r="EV90" s="152">
        <f t="shared" ca="1" si="142"/>
        <v>0</v>
      </c>
      <c r="EW90" s="152">
        <f t="shared" ca="1" si="142"/>
        <v>0</v>
      </c>
      <c r="EX90" s="152">
        <f t="shared" ca="1" si="129"/>
        <v>0</v>
      </c>
      <c r="EY90" s="152">
        <f t="shared" ca="1" si="143"/>
        <v>0</v>
      </c>
      <c r="EZ90" s="152">
        <f t="shared" ca="1" si="143"/>
        <v>0</v>
      </c>
      <c r="FA90" s="152">
        <f t="shared" ca="1" si="143"/>
        <v>0</v>
      </c>
      <c r="FB90" s="152">
        <f t="shared" ca="1" si="143"/>
        <v>0</v>
      </c>
      <c r="FC90" s="152">
        <f t="shared" ca="1" si="143"/>
        <v>0</v>
      </c>
      <c r="FD90" s="152">
        <f t="shared" ca="1" si="143"/>
        <v>0</v>
      </c>
      <c r="FE90" s="152">
        <f t="shared" ca="1" si="143"/>
        <v>0</v>
      </c>
      <c r="FF90" s="152">
        <f t="shared" ca="1" si="143"/>
        <v>0</v>
      </c>
      <c r="FG90" s="152">
        <f t="shared" ca="1" si="143"/>
        <v>0</v>
      </c>
      <c r="FH90" s="152">
        <f t="shared" ca="1" si="143"/>
        <v>0</v>
      </c>
      <c r="FI90" s="152">
        <f t="shared" ca="1" si="144"/>
        <v>0</v>
      </c>
      <c r="FJ90" s="152">
        <f t="shared" ca="1" si="144"/>
        <v>0</v>
      </c>
      <c r="FK90" s="152">
        <f t="shared" ca="1" si="144"/>
        <v>0</v>
      </c>
      <c r="FL90" s="152">
        <f t="shared" ca="1" si="144"/>
        <v>0</v>
      </c>
      <c r="FM90" s="152">
        <f t="shared" ca="1" si="144"/>
        <v>0</v>
      </c>
      <c r="FN90" s="152">
        <f t="shared" ca="1" si="144"/>
        <v>0</v>
      </c>
      <c r="FO90" s="152">
        <f t="shared" ca="1" si="144"/>
        <v>0</v>
      </c>
      <c r="FP90" s="152">
        <f t="shared" ca="1" si="144"/>
        <v>0</v>
      </c>
      <c r="FQ90" s="152">
        <f t="shared" ca="1" si="144"/>
        <v>0</v>
      </c>
      <c r="FR90" s="152">
        <f t="shared" ca="1" si="144"/>
        <v>0</v>
      </c>
      <c r="FS90" s="152">
        <f t="shared" ca="1" si="145"/>
        <v>0</v>
      </c>
      <c r="FT90" s="152">
        <f t="shared" ca="1" si="145"/>
        <v>0</v>
      </c>
      <c r="FU90" s="152">
        <f t="shared" ca="1" si="145"/>
        <v>0</v>
      </c>
      <c r="FV90" s="152">
        <f t="shared" ca="1" si="145"/>
        <v>0</v>
      </c>
      <c r="FW90" s="152">
        <f t="shared" ca="1" si="145"/>
        <v>0</v>
      </c>
      <c r="FX90" s="152">
        <f t="shared" ca="1" si="145"/>
        <v>0</v>
      </c>
      <c r="FY90" s="152">
        <f t="shared" ca="1" si="145"/>
        <v>0</v>
      </c>
      <c r="FZ90" s="152">
        <f t="shared" ca="1" si="145"/>
        <v>0</v>
      </c>
      <c r="GA90" s="152">
        <f t="shared" ca="1" si="145"/>
        <v>0</v>
      </c>
      <c r="GB90" s="152">
        <f t="shared" ca="1" si="145"/>
        <v>0</v>
      </c>
      <c r="GC90" s="152">
        <f t="shared" ca="1" si="146"/>
        <v>0</v>
      </c>
      <c r="GD90" s="152">
        <f t="shared" ca="1" si="146"/>
        <v>0</v>
      </c>
      <c r="GE90" s="152">
        <f t="shared" ca="1" si="146"/>
        <v>0</v>
      </c>
      <c r="GF90" s="152">
        <f t="shared" ca="1" si="146"/>
        <v>0</v>
      </c>
      <c r="GG90" s="152">
        <f t="shared" ca="1" si="146"/>
        <v>0</v>
      </c>
      <c r="GH90" s="152">
        <f t="shared" ca="1" si="146"/>
        <v>0</v>
      </c>
      <c r="GI90" s="152">
        <f t="shared" ca="1" si="146"/>
        <v>0</v>
      </c>
      <c r="GJ90" s="152">
        <f t="shared" ca="1" si="146"/>
        <v>0</v>
      </c>
      <c r="GK90" s="152">
        <f t="shared" ca="1" si="146"/>
        <v>0</v>
      </c>
      <c r="GL90" s="152">
        <f t="shared" ca="1" si="146"/>
        <v>0</v>
      </c>
      <c r="GM90" s="152">
        <f t="shared" ca="1" si="147"/>
        <v>0</v>
      </c>
      <c r="GN90" s="152">
        <f t="shared" ca="1" si="147"/>
        <v>0</v>
      </c>
      <c r="GO90" s="152">
        <f t="shared" ca="1" si="147"/>
        <v>0</v>
      </c>
      <c r="GP90" s="152">
        <f t="shared" ca="1" si="147"/>
        <v>0</v>
      </c>
      <c r="GQ90" s="152">
        <f t="shared" ca="1" si="147"/>
        <v>0</v>
      </c>
      <c r="GR90" s="152">
        <f t="shared" ca="1" si="147"/>
        <v>0</v>
      </c>
      <c r="GS90" s="152">
        <f t="shared" ca="1" si="147"/>
        <v>0</v>
      </c>
      <c r="GT90" s="152">
        <f t="shared" ca="1" si="147"/>
        <v>0</v>
      </c>
      <c r="GU90" s="152">
        <f t="shared" ca="1" si="147"/>
        <v>0</v>
      </c>
      <c r="GV90" s="152">
        <f t="shared" ca="1" si="147"/>
        <v>0</v>
      </c>
      <c r="GW90" s="152">
        <f t="shared" ca="1" si="148"/>
        <v>0</v>
      </c>
      <c r="GX90" s="152">
        <f t="shared" ca="1" si="148"/>
        <v>0</v>
      </c>
      <c r="GY90" s="152">
        <f t="shared" ca="1" si="148"/>
        <v>0</v>
      </c>
      <c r="GZ90" s="152">
        <f t="shared" ca="1" si="148"/>
        <v>0</v>
      </c>
      <c r="HA90" s="152">
        <f t="shared" ca="1" si="148"/>
        <v>0</v>
      </c>
      <c r="HB90" s="152">
        <f t="shared" ca="1" si="148"/>
        <v>0</v>
      </c>
      <c r="HC90" s="152">
        <f t="shared" ca="1" si="148"/>
        <v>0</v>
      </c>
      <c r="HD90" s="152">
        <f t="shared" ca="1" si="148"/>
        <v>0</v>
      </c>
      <c r="HE90" s="152">
        <f t="shared" ca="1" si="148"/>
        <v>0</v>
      </c>
      <c r="HF90" s="152">
        <f t="shared" ca="1" si="148"/>
        <v>0</v>
      </c>
      <c r="HG90" s="152">
        <f t="shared" ca="1" si="149"/>
        <v>0</v>
      </c>
      <c r="HH90" s="152">
        <f t="shared" ca="1" si="149"/>
        <v>0</v>
      </c>
      <c r="HI90" s="152">
        <f t="shared" ca="1" si="149"/>
        <v>0</v>
      </c>
      <c r="HJ90" s="152">
        <f t="shared" ca="1" si="149"/>
        <v>0</v>
      </c>
      <c r="HK90" s="152">
        <f t="shared" ca="1" si="149"/>
        <v>0</v>
      </c>
      <c r="HL90" s="152">
        <f t="shared" ca="1" si="149"/>
        <v>0</v>
      </c>
      <c r="HM90" s="152">
        <f t="shared" ca="1" si="149"/>
        <v>0</v>
      </c>
      <c r="HN90" s="152">
        <f t="shared" ca="1" si="149"/>
        <v>0</v>
      </c>
      <c r="HO90" s="152">
        <f t="shared" ca="1" si="149"/>
        <v>0</v>
      </c>
      <c r="HP90" s="152">
        <f t="shared" ca="1" si="149"/>
        <v>0</v>
      </c>
      <c r="HQ90" s="152">
        <f t="shared" ca="1" si="150"/>
        <v>0</v>
      </c>
      <c r="HR90" s="152">
        <f t="shared" ca="1" si="150"/>
        <v>0</v>
      </c>
      <c r="HS90" s="152">
        <f t="shared" ca="1" si="150"/>
        <v>0</v>
      </c>
      <c r="HT90" s="152">
        <f t="shared" ca="1" si="150"/>
        <v>0</v>
      </c>
      <c r="HU90" s="152">
        <f t="shared" ca="1" si="150"/>
        <v>0</v>
      </c>
      <c r="HV90" s="152">
        <f t="shared" ca="1" si="150"/>
        <v>0</v>
      </c>
      <c r="HW90" s="152">
        <f t="shared" ca="1" si="150"/>
        <v>0</v>
      </c>
      <c r="HX90" s="152">
        <f t="shared" ca="1" si="150"/>
        <v>0</v>
      </c>
      <c r="HY90" s="152">
        <f t="shared" ca="1" si="150"/>
        <v>0</v>
      </c>
      <c r="HZ90" s="152">
        <f t="shared" ca="1" si="150"/>
        <v>0</v>
      </c>
      <c r="IA90" s="152">
        <f t="shared" ca="1" si="151"/>
        <v>0</v>
      </c>
      <c r="IB90" s="152">
        <f t="shared" ca="1" si="151"/>
        <v>0</v>
      </c>
      <c r="IC90" s="152">
        <f t="shared" ca="1" si="151"/>
        <v>0</v>
      </c>
      <c r="ID90" s="152">
        <f t="shared" ca="1" si="151"/>
        <v>0</v>
      </c>
      <c r="IE90" s="152">
        <f t="shared" ca="1" si="151"/>
        <v>0</v>
      </c>
      <c r="IF90" s="152">
        <f t="shared" ca="1" si="151"/>
        <v>0</v>
      </c>
      <c r="IG90" s="152">
        <f t="shared" ca="1" si="151"/>
        <v>0</v>
      </c>
      <c r="IH90" s="152">
        <f t="shared" ca="1" si="151"/>
        <v>0</v>
      </c>
      <c r="II90" s="152">
        <f t="shared" ca="1" si="151"/>
        <v>0</v>
      </c>
      <c r="IJ90" s="152">
        <f t="shared" ca="1" si="151"/>
        <v>0</v>
      </c>
      <c r="IK90" s="152">
        <f t="shared" ca="1" si="151"/>
        <v>0</v>
      </c>
      <c r="IL90" s="152">
        <f t="shared" ca="1" si="151"/>
        <v>0</v>
      </c>
      <c r="IM90" s="152">
        <f t="shared" ca="1" si="139"/>
        <v>0</v>
      </c>
      <c r="IN90" s="152">
        <f t="shared" ca="1" si="139"/>
        <v>0</v>
      </c>
      <c r="IO90" s="152">
        <f t="shared" ca="1" si="139"/>
        <v>0</v>
      </c>
      <c r="IP90" s="152">
        <f t="shared" ca="1" si="139"/>
        <v>0</v>
      </c>
      <c r="IQ90" s="152">
        <f t="shared" ca="1" si="139"/>
        <v>0</v>
      </c>
      <c r="IR90" s="152">
        <f t="shared" ca="1" si="139"/>
        <v>0</v>
      </c>
      <c r="IS90" s="152">
        <f t="shared" ca="1" si="139"/>
        <v>0</v>
      </c>
      <c r="IT90" s="152">
        <f t="shared" ca="1" si="139"/>
        <v>0</v>
      </c>
      <c r="IU90" s="152">
        <f t="shared" ca="1" si="139"/>
        <v>0</v>
      </c>
      <c r="IV90" s="152">
        <f t="shared" ca="1" si="139"/>
        <v>0</v>
      </c>
      <c r="IW90" s="152">
        <f t="shared" ca="1" si="140"/>
        <v>0</v>
      </c>
      <c r="IX90" s="152">
        <f t="shared" ca="1" si="140"/>
        <v>0</v>
      </c>
      <c r="IY90" s="152">
        <f t="shared" ca="1" si="140"/>
        <v>0</v>
      </c>
      <c r="IZ90" s="152">
        <f t="shared" ca="1" si="140"/>
        <v>0</v>
      </c>
      <c r="JA90" s="152">
        <f t="shared" ca="1" si="140"/>
        <v>0</v>
      </c>
      <c r="JB90" s="152">
        <f t="shared" ca="1" si="140"/>
        <v>0</v>
      </c>
      <c r="JC90" s="152">
        <f t="shared" ca="1" si="140"/>
        <v>0</v>
      </c>
      <c r="JD90" s="604"/>
    </row>
    <row r="91" spans="1:264" ht="12.75" customHeight="1" x14ac:dyDescent="0.25">
      <c r="A91" s="279"/>
      <c r="B91" s="41"/>
      <c r="C91" s="82"/>
      <c r="D91" s="41"/>
      <c r="E91" s="9"/>
      <c r="F91" s="9"/>
      <c r="G91" s="9"/>
      <c r="H91" s="10"/>
      <c r="I91" s="10"/>
      <c r="J91" s="10"/>
      <c r="K91" s="10"/>
      <c r="L91" s="10"/>
      <c r="M91" s="10"/>
      <c r="N91" s="9"/>
      <c r="O91" s="9"/>
      <c r="P91" s="44"/>
      <c r="Q91" s="44"/>
      <c r="R91" s="9"/>
      <c r="S91" s="9"/>
      <c r="T91" s="9"/>
      <c r="U91" s="9"/>
      <c r="V91" s="9"/>
      <c r="W91" s="9"/>
      <c r="X91" s="9"/>
      <c r="Y91" s="9"/>
      <c r="Z91" s="9"/>
      <c r="AA91" s="9"/>
      <c r="AB91" s="9"/>
      <c r="AC91" s="9"/>
      <c r="AD91" s="650">
        <f t="shared" si="64"/>
        <v>69</v>
      </c>
      <c r="AE91" s="654">
        <f ca="1">OFFSET('2 Staff List'!$IB$64,AJ91-1,0)</f>
        <v>0</v>
      </c>
      <c r="AF91" s="654">
        <f t="shared" si="125"/>
        <v>173.92857142857142</v>
      </c>
      <c r="AG91" s="9"/>
      <c r="AH91" s="654">
        <f t="shared" si="126"/>
        <v>239.15178571428569</v>
      </c>
      <c r="AI91" s="654">
        <f t="shared" si="127"/>
        <v>6</v>
      </c>
      <c r="AJ91" s="654">
        <f ca="1">OFFSET('2 Staff List'!$GU$64,AI91-1,0)</f>
        <v>6</v>
      </c>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1280">
        <f ca="1">OFFSET('2 Staff List'!$HW$64,AJ91-1,0)</f>
        <v>0</v>
      </c>
      <c r="DZ91" s="1281" t="str">
        <f ca="1">OFFSET('2 Staff List'!$HZ$64,AJ91-1,0)</f>
        <v>L1A Operational Manager</v>
      </c>
      <c r="EA91" s="3669" t="str">
        <f ca="1">OFFSET('2 Staff List'!$IA$64,AJ91-1,0)</f>
        <v>Tipton Catherine</v>
      </c>
      <c r="EB91" s="3670"/>
      <c r="EC91" s="3673">
        <f t="shared" ca="1" si="128"/>
        <v>0</v>
      </c>
      <c r="ED91" s="3674"/>
      <c r="EE91" s="3675"/>
      <c r="EF91" s="3676"/>
      <c r="EG91" s="154">
        <f t="shared" ca="1" si="141"/>
        <v>0</v>
      </c>
      <c r="EH91" s="152">
        <f t="shared" ca="1" si="141"/>
        <v>0</v>
      </c>
      <c r="EI91" s="152">
        <f t="shared" ca="1" si="141"/>
        <v>0</v>
      </c>
      <c r="EJ91" s="152">
        <f t="shared" ca="1" si="141"/>
        <v>0</v>
      </c>
      <c r="EK91" s="152">
        <f t="shared" ca="1" si="141"/>
        <v>0</v>
      </c>
      <c r="EL91" s="152">
        <f t="shared" ca="1" si="141"/>
        <v>0</v>
      </c>
      <c r="EM91" s="152">
        <f t="shared" ca="1" si="141"/>
        <v>0</v>
      </c>
      <c r="EN91" s="152">
        <f t="shared" ca="1" si="141"/>
        <v>0</v>
      </c>
      <c r="EO91" s="152">
        <f t="shared" ca="1" si="141"/>
        <v>0</v>
      </c>
      <c r="EP91" s="152">
        <f t="shared" ca="1" si="141"/>
        <v>0</v>
      </c>
      <c r="EQ91" s="152">
        <f t="shared" ca="1" si="142"/>
        <v>0</v>
      </c>
      <c r="ER91" s="152">
        <f t="shared" ca="1" si="142"/>
        <v>0</v>
      </c>
      <c r="ES91" s="152">
        <f t="shared" ca="1" si="142"/>
        <v>0</v>
      </c>
      <c r="ET91" s="152">
        <f t="shared" ca="1" si="142"/>
        <v>0</v>
      </c>
      <c r="EU91" s="152">
        <f t="shared" ca="1" si="142"/>
        <v>0</v>
      </c>
      <c r="EV91" s="152">
        <f t="shared" ca="1" si="142"/>
        <v>0</v>
      </c>
      <c r="EW91" s="152">
        <f t="shared" ca="1" si="142"/>
        <v>0</v>
      </c>
      <c r="EX91" s="152">
        <f t="shared" ca="1" si="129"/>
        <v>0</v>
      </c>
      <c r="EY91" s="152">
        <f t="shared" ca="1" si="143"/>
        <v>0</v>
      </c>
      <c r="EZ91" s="152">
        <f t="shared" ca="1" si="143"/>
        <v>0</v>
      </c>
      <c r="FA91" s="152">
        <f t="shared" ca="1" si="143"/>
        <v>0</v>
      </c>
      <c r="FB91" s="152">
        <f t="shared" ca="1" si="143"/>
        <v>0</v>
      </c>
      <c r="FC91" s="152">
        <f t="shared" ca="1" si="143"/>
        <v>0</v>
      </c>
      <c r="FD91" s="152">
        <f t="shared" ca="1" si="143"/>
        <v>0</v>
      </c>
      <c r="FE91" s="152">
        <f t="shared" ca="1" si="143"/>
        <v>0</v>
      </c>
      <c r="FF91" s="152">
        <f t="shared" ca="1" si="143"/>
        <v>0</v>
      </c>
      <c r="FG91" s="152">
        <f t="shared" ca="1" si="143"/>
        <v>0</v>
      </c>
      <c r="FH91" s="152">
        <f t="shared" ca="1" si="143"/>
        <v>0</v>
      </c>
      <c r="FI91" s="152">
        <f t="shared" ca="1" si="144"/>
        <v>0</v>
      </c>
      <c r="FJ91" s="152">
        <f t="shared" ca="1" si="144"/>
        <v>0</v>
      </c>
      <c r="FK91" s="152">
        <f t="shared" ca="1" si="144"/>
        <v>0</v>
      </c>
      <c r="FL91" s="152">
        <f t="shared" ca="1" si="144"/>
        <v>0</v>
      </c>
      <c r="FM91" s="152">
        <f t="shared" ca="1" si="144"/>
        <v>0</v>
      </c>
      <c r="FN91" s="152">
        <f t="shared" ca="1" si="144"/>
        <v>0</v>
      </c>
      <c r="FO91" s="152">
        <f t="shared" ca="1" si="144"/>
        <v>0</v>
      </c>
      <c r="FP91" s="152">
        <f t="shared" ca="1" si="144"/>
        <v>0</v>
      </c>
      <c r="FQ91" s="152">
        <f t="shared" ca="1" si="144"/>
        <v>0</v>
      </c>
      <c r="FR91" s="152">
        <f t="shared" ca="1" si="144"/>
        <v>0</v>
      </c>
      <c r="FS91" s="152">
        <f t="shared" ca="1" si="145"/>
        <v>0</v>
      </c>
      <c r="FT91" s="152">
        <f t="shared" ca="1" si="145"/>
        <v>0</v>
      </c>
      <c r="FU91" s="152">
        <f t="shared" ca="1" si="145"/>
        <v>0</v>
      </c>
      <c r="FV91" s="152">
        <f t="shared" ca="1" si="145"/>
        <v>0</v>
      </c>
      <c r="FW91" s="152">
        <f t="shared" ca="1" si="145"/>
        <v>0</v>
      </c>
      <c r="FX91" s="152">
        <f t="shared" ca="1" si="145"/>
        <v>0</v>
      </c>
      <c r="FY91" s="152">
        <f t="shared" ca="1" si="145"/>
        <v>0</v>
      </c>
      <c r="FZ91" s="152">
        <f t="shared" ca="1" si="145"/>
        <v>0</v>
      </c>
      <c r="GA91" s="152">
        <f t="shared" ca="1" si="145"/>
        <v>0</v>
      </c>
      <c r="GB91" s="152">
        <f t="shared" ca="1" si="145"/>
        <v>0</v>
      </c>
      <c r="GC91" s="152">
        <f t="shared" ca="1" si="146"/>
        <v>0</v>
      </c>
      <c r="GD91" s="152">
        <f t="shared" ca="1" si="146"/>
        <v>0</v>
      </c>
      <c r="GE91" s="152">
        <f t="shared" ca="1" si="146"/>
        <v>0</v>
      </c>
      <c r="GF91" s="152">
        <f t="shared" ca="1" si="146"/>
        <v>0</v>
      </c>
      <c r="GG91" s="152">
        <f t="shared" ca="1" si="146"/>
        <v>0</v>
      </c>
      <c r="GH91" s="152">
        <f t="shared" ca="1" si="146"/>
        <v>0</v>
      </c>
      <c r="GI91" s="152">
        <f t="shared" ca="1" si="146"/>
        <v>0</v>
      </c>
      <c r="GJ91" s="152">
        <f t="shared" ca="1" si="146"/>
        <v>0</v>
      </c>
      <c r="GK91" s="152">
        <f t="shared" ca="1" si="146"/>
        <v>0</v>
      </c>
      <c r="GL91" s="152">
        <f t="shared" ca="1" si="146"/>
        <v>0</v>
      </c>
      <c r="GM91" s="152">
        <f t="shared" ca="1" si="147"/>
        <v>0</v>
      </c>
      <c r="GN91" s="152">
        <f t="shared" ca="1" si="147"/>
        <v>0</v>
      </c>
      <c r="GO91" s="152">
        <f t="shared" ca="1" si="147"/>
        <v>0</v>
      </c>
      <c r="GP91" s="152">
        <f t="shared" ca="1" si="147"/>
        <v>0</v>
      </c>
      <c r="GQ91" s="152">
        <f t="shared" ca="1" si="147"/>
        <v>0</v>
      </c>
      <c r="GR91" s="152">
        <f t="shared" ca="1" si="147"/>
        <v>0</v>
      </c>
      <c r="GS91" s="152">
        <f t="shared" ca="1" si="147"/>
        <v>0</v>
      </c>
      <c r="GT91" s="152">
        <f t="shared" ca="1" si="147"/>
        <v>0</v>
      </c>
      <c r="GU91" s="152">
        <f t="shared" ca="1" si="147"/>
        <v>0</v>
      </c>
      <c r="GV91" s="152">
        <f t="shared" ca="1" si="147"/>
        <v>0</v>
      </c>
      <c r="GW91" s="152">
        <f t="shared" ca="1" si="148"/>
        <v>0</v>
      </c>
      <c r="GX91" s="152">
        <f t="shared" ca="1" si="148"/>
        <v>0</v>
      </c>
      <c r="GY91" s="152">
        <f t="shared" ca="1" si="148"/>
        <v>0</v>
      </c>
      <c r="GZ91" s="152">
        <f t="shared" ca="1" si="148"/>
        <v>0</v>
      </c>
      <c r="HA91" s="152">
        <f t="shared" ca="1" si="148"/>
        <v>0</v>
      </c>
      <c r="HB91" s="152">
        <f t="shared" ca="1" si="148"/>
        <v>0</v>
      </c>
      <c r="HC91" s="152">
        <f t="shared" ca="1" si="148"/>
        <v>0</v>
      </c>
      <c r="HD91" s="152">
        <f t="shared" ca="1" si="148"/>
        <v>0</v>
      </c>
      <c r="HE91" s="152">
        <f t="shared" ca="1" si="148"/>
        <v>0</v>
      </c>
      <c r="HF91" s="152">
        <f t="shared" ca="1" si="148"/>
        <v>0</v>
      </c>
      <c r="HG91" s="152">
        <f t="shared" ca="1" si="149"/>
        <v>0</v>
      </c>
      <c r="HH91" s="152">
        <f t="shared" ca="1" si="149"/>
        <v>0</v>
      </c>
      <c r="HI91" s="152">
        <f t="shared" ca="1" si="149"/>
        <v>0</v>
      </c>
      <c r="HJ91" s="152">
        <f t="shared" ca="1" si="149"/>
        <v>0</v>
      </c>
      <c r="HK91" s="152">
        <f t="shared" ca="1" si="149"/>
        <v>0</v>
      </c>
      <c r="HL91" s="152">
        <f t="shared" ca="1" si="149"/>
        <v>0</v>
      </c>
      <c r="HM91" s="152">
        <f t="shared" ca="1" si="149"/>
        <v>0</v>
      </c>
      <c r="HN91" s="152">
        <f t="shared" ca="1" si="149"/>
        <v>0</v>
      </c>
      <c r="HO91" s="152">
        <f t="shared" ca="1" si="149"/>
        <v>0</v>
      </c>
      <c r="HP91" s="152">
        <f t="shared" ca="1" si="149"/>
        <v>0</v>
      </c>
      <c r="HQ91" s="152">
        <f t="shared" ca="1" si="150"/>
        <v>0</v>
      </c>
      <c r="HR91" s="152">
        <f t="shared" ca="1" si="150"/>
        <v>0</v>
      </c>
      <c r="HS91" s="152">
        <f t="shared" ca="1" si="150"/>
        <v>0</v>
      </c>
      <c r="HT91" s="152">
        <f t="shared" ca="1" si="150"/>
        <v>0</v>
      </c>
      <c r="HU91" s="152">
        <f t="shared" ca="1" si="150"/>
        <v>0</v>
      </c>
      <c r="HV91" s="152">
        <f t="shared" ca="1" si="150"/>
        <v>0</v>
      </c>
      <c r="HW91" s="152">
        <f t="shared" ca="1" si="150"/>
        <v>0</v>
      </c>
      <c r="HX91" s="152">
        <f t="shared" ca="1" si="150"/>
        <v>0</v>
      </c>
      <c r="HY91" s="152">
        <f t="shared" ca="1" si="150"/>
        <v>0</v>
      </c>
      <c r="HZ91" s="152">
        <f t="shared" ca="1" si="150"/>
        <v>0</v>
      </c>
      <c r="IA91" s="152">
        <f t="shared" ca="1" si="151"/>
        <v>0</v>
      </c>
      <c r="IB91" s="152">
        <f t="shared" ca="1" si="151"/>
        <v>0</v>
      </c>
      <c r="IC91" s="152">
        <f t="shared" ca="1" si="151"/>
        <v>0</v>
      </c>
      <c r="ID91" s="152">
        <f t="shared" ca="1" si="151"/>
        <v>0</v>
      </c>
      <c r="IE91" s="152">
        <f t="shared" ca="1" si="151"/>
        <v>0</v>
      </c>
      <c r="IF91" s="152">
        <f t="shared" ca="1" si="151"/>
        <v>0</v>
      </c>
      <c r="IG91" s="152">
        <f t="shared" ca="1" si="151"/>
        <v>0</v>
      </c>
      <c r="IH91" s="152">
        <f t="shared" ca="1" si="151"/>
        <v>0</v>
      </c>
      <c r="II91" s="152">
        <f t="shared" ca="1" si="151"/>
        <v>0</v>
      </c>
      <c r="IJ91" s="152">
        <f t="shared" ca="1" si="151"/>
        <v>0</v>
      </c>
      <c r="IK91" s="152">
        <f t="shared" ca="1" si="151"/>
        <v>0</v>
      </c>
      <c r="IL91" s="152">
        <f t="shared" ca="1" si="151"/>
        <v>0</v>
      </c>
      <c r="IM91" s="152">
        <f t="shared" ca="1" si="139"/>
        <v>0</v>
      </c>
      <c r="IN91" s="152">
        <f t="shared" ca="1" si="139"/>
        <v>0</v>
      </c>
      <c r="IO91" s="152">
        <f t="shared" ca="1" si="139"/>
        <v>0</v>
      </c>
      <c r="IP91" s="152">
        <f t="shared" ca="1" si="139"/>
        <v>0</v>
      </c>
      <c r="IQ91" s="152">
        <f t="shared" ca="1" si="139"/>
        <v>0</v>
      </c>
      <c r="IR91" s="152">
        <f t="shared" ca="1" si="139"/>
        <v>0</v>
      </c>
      <c r="IS91" s="152">
        <f t="shared" ca="1" si="139"/>
        <v>0</v>
      </c>
      <c r="IT91" s="152">
        <f t="shared" ca="1" si="139"/>
        <v>0</v>
      </c>
      <c r="IU91" s="152">
        <f t="shared" ca="1" si="139"/>
        <v>0</v>
      </c>
      <c r="IV91" s="152">
        <f t="shared" ca="1" si="139"/>
        <v>0</v>
      </c>
      <c r="IW91" s="152">
        <f t="shared" ca="1" si="140"/>
        <v>0</v>
      </c>
      <c r="IX91" s="152">
        <f t="shared" ca="1" si="140"/>
        <v>0</v>
      </c>
      <c r="IY91" s="152">
        <f t="shared" ca="1" si="140"/>
        <v>0</v>
      </c>
      <c r="IZ91" s="152">
        <f t="shared" ca="1" si="140"/>
        <v>0</v>
      </c>
      <c r="JA91" s="152">
        <f t="shared" ca="1" si="140"/>
        <v>0</v>
      </c>
      <c r="JB91" s="152">
        <f t="shared" ca="1" si="140"/>
        <v>0</v>
      </c>
      <c r="JC91" s="152">
        <f t="shared" ca="1" si="140"/>
        <v>0</v>
      </c>
      <c r="JD91" s="604"/>
    </row>
    <row r="92" spans="1:264" ht="12.75" customHeight="1" x14ac:dyDescent="0.25">
      <c r="A92" s="279"/>
      <c r="B92" s="41"/>
      <c r="C92" s="82"/>
      <c r="D92" s="41"/>
      <c r="E92" s="9"/>
      <c r="F92" s="9"/>
      <c r="G92" s="9"/>
      <c r="H92" s="10"/>
      <c r="I92" s="10"/>
      <c r="J92" s="10"/>
      <c r="K92" s="10"/>
      <c r="L92" s="10"/>
      <c r="M92" s="10"/>
      <c r="N92" s="9"/>
      <c r="O92" s="9"/>
      <c r="P92" s="44"/>
      <c r="Q92" s="44"/>
      <c r="R92" s="9"/>
      <c r="S92" s="9"/>
      <c r="T92" s="9"/>
      <c r="U92" s="9"/>
      <c r="V92" s="9"/>
      <c r="W92" s="9"/>
      <c r="X92" s="9"/>
      <c r="Y92" s="9"/>
      <c r="Z92" s="9"/>
      <c r="AA92" s="9"/>
      <c r="AB92" s="9"/>
      <c r="AC92" s="9"/>
      <c r="AD92" s="650">
        <f t="shared" si="64"/>
        <v>68</v>
      </c>
      <c r="AE92" s="654">
        <f ca="1">OFFSET('2 Staff List'!$IB$64,AJ92-1,0)</f>
        <v>0</v>
      </c>
      <c r="AF92" s="654">
        <f t="shared" si="125"/>
        <v>173.92857142857142</v>
      </c>
      <c r="AG92" s="9"/>
      <c r="AH92" s="654">
        <f t="shared" si="126"/>
        <v>239.15178571428569</v>
      </c>
      <c r="AI92" s="654">
        <f t="shared" si="127"/>
        <v>5</v>
      </c>
      <c r="AJ92" s="654">
        <f ca="1">OFFSET('2 Staff List'!$GU$64,AI92-1,0)</f>
        <v>5</v>
      </c>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1280">
        <f ca="1">OFFSET('2 Staff List'!$HW$64,AJ92-1,0)</f>
        <v>0</v>
      </c>
      <c r="DZ92" s="1281" t="str">
        <f ca="1">OFFSET('2 Staff List'!$HZ$64,AJ92-1,0)</f>
        <v>L2B Project Manager</v>
      </c>
      <c r="EA92" s="3669" t="str">
        <f ca="1">OFFSET('2 Staff List'!$IA$64,AJ92-1,0)</f>
        <v>Thompson Vicky</v>
      </c>
      <c r="EB92" s="3670"/>
      <c r="EC92" s="3673">
        <f t="shared" ca="1" si="128"/>
        <v>0</v>
      </c>
      <c r="ED92" s="3674"/>
      <c r="EE92" s="3675"/>
      <c r="EF92" s="3676"/>
      <c r="EG92" s="154">
        <f t="shared" ca="1" si="141"/>
        <v>0</v>
      </c>
      <c r="EH92" s="152">
        <f t="shared" ca="1" si="141"/>
        <v>0</v>
      </c>
      <c r="EI92" s="152">
        <f t="shared" ca="1" si="141"/>
        <v>0</v>
      </c>
      <c r="EJ92" s="152">
        <f t="shared" ca="1" si="141"/>
        <v>0</v>
      </c>
      <c r="EK92" s="152">
        <f t="shared" ca="1" si="141"/>
        <v>0</v>
      </c>
      <c r="EL92" s="152">
        <f t="shared" ca="1" si="141"/>
        <v>0</v>
      </c>
      <c r="EM92" s="152">
        <f t="shared" ca="1" si="141"/>
        <v>0</v>
      </c>
      <c r="EN92" s="152">
        <f t="shared" ca="1" si="141"/>
        <v>0</v>
      </c>
      <c r="EO92" s="152">
        <f t="shared" ca="1" si="141"/>
        <v>0</v>
      </c>
      <c r="EP92" s="152">
        <f t="shared" ca="1" si="141"/>
        <v>0</v>
      </c>
      <c r="EQ92" s="152">
        <f t="shared" ca="1" si="142"/>
        <v>0</v>
      </c>
      <c r="ER92" s="152">
        <f t="shared" ca="1" si="142"/>
        <v>0</v>
      </c>
      <c r="ES92" s="152">
        <f t="shared" ca="1" si="142"/>
        <v>0</v>
      </c>
      <c r="ET92" s="152">
        <f t="shared" ca="1" si="142"/>
        <v>0</v>
      </c>
      <c r="EU92" s="152">
        <f t="shared" ca="1" si="142"/>
        <v>0</v>
      </c>
      <c r="EV92" s="152">
        <f t="shared" ca="1" si="142"/>
        <v>0</v>
      </c>
      <c r="EW92" s="152">
        <f t="shared" ca="1" si="142"/>
        <v>0</v>
      </c>
      <c r="EX92" s="152">
        <f t="shared" ca="1" si="129"/>
        <v>0</v>
      </c>
      <c r="EY92" s="152">
        <f t="shared" ca="1" si="143"/>
        <v>0</v>
      </c>
      <c r="EZ92" s="152">
        <f t="shared" ca="1" si="143"/>
        <v>0</v>
      </c>
      <c r="FA92" s="152">
        <f t="shared" ca="1" si="143"/>
        <v>0</v>
      </c>
      <c r="FB92" s="152">
        <f t="shared" ca="1" si="143"/>
        <v>0</v>
      </c>
      <c r="FC92" s="152">
        <f t="shared" ca="1" si="143"/>
        <v>0</v>
      </c>
      <c r="FD92" s="152">
        <f t="shared" ca="1" si="143"/>
        <v>0</v>
      </c>
      <c r="FE92" s="152">
        <f t="shared" ca="1" si="143"/>
        <v>0</v>
      </c>
      <c r="FF92" s="152">
        <f t="shared" ca="1" si="143"/>
        <v>0</v>
      </c>
      <c r="FG92" s="152">
        <f t="shared" ca="1" si="143"/>
        <v>0</v>
      </c>
      <c r="FH92" s="152">
        <f t="shared" ca="1" si="143"/>
        <v>0</v>
      </c>
      <c r="FI92" s="152">
        <f t="shared" ca="1" si="144"/>
        <v>0</v>
      </c>
      <c r="FJ92" s="152">
        <f t="shared" ca="1" si="144"/>
        <v>0</v>
      </c>
      <c r="FK92" s="152">
        <f t="shared" ca="1" si="144"/>
        <v>0</v>
      </c>
      <c r="FL92" s="152">
        <f t="shared" ca="1" si="144"/>
        <v>0</v>
      </c>
      <c r="FM92" s="152">
        <f t="shared" ca="1" si="144"/>
        <v>0</v>
      </c>
      <c r="FN92" s="152">
        <f t="shared" ca="1" si="144"/>
        <v>0</v>
      </c>
      <c r="FO92" s="152">
        <f t="shared" ca="1" si="144"/>
        <v>0</v>
      </c>
      <c r="FP92" s="152">
        <f t="shared" ca="1" si="144"/>
        <v>0</v>
      </c>
      <c r="FQ92" s="152">
        <f t="shared" ca="1" si="144"/>
        <v>0</v>
      </c>
      <c r="FR92" s="152">
        <f t="shared" ca="1" si="144"/>
        <v>0</v>
      </c>
      <c r="FS92" s="152">
        <f t="shared" ca="1" si="145"/>
        <v>0</v>
      </c>
      <c r="FT92" s="152">
        <f t="shared" ca="1" si="145"/>
        <v>0</v>
      </c>
      <c r="FU92" s="152">
        <f t="shared" ca="1" si="145"/>
        <v>0</v>
      </c>
      <c r="FV92" s="152">
        <f t="shared" ca="1" si="145"/>
        <v>0</v>
      </c>
      <c r="FW92" s="152">
        <f t="shared" ca="1" si="145"/>
        <v>0</v>
      </c>
      <c r="FX92" s="152">
        <f t="shared" ca="1" si="145"/>
        <v>0</v>
      </c>
      <c r="FY92" s="152">
        <f t="shared" ca="1" si="145"/>
        <v>0</v>
      </c>
      <c r="FZ92" s="152">
        <f t="shared" ca="1" si="145"/>
        <v>0</v>
      </c>
      <c r="GA92" s="152">
        <f t="shared" ca="1" si="145"/>
        <v>0</v>
      </c>
      <c r="GB92" s="152">
        <f t="shared" ca="1" si="145"/>
        <v>0</v>
      </c>
      <c r="GC92" s="152">
        <f t="shared" ca="1" si="146"/>
        <v>0</v>
      </c>
      <c r="GD92" s="152">
        <f t="shared" ca="1" si="146"/>
        <v>0</v>
      </c>
      <c r="GE92" s="152">
        <f t="shared" ca="1" si="146"/>
        <v>0</v>
      </c>
      <c r="GF92" s="152">
        <f t="shared" ca="1" si="146"/>
        <v>0</v>
      </c>
      <c r="GG92" s="152">
        <f t="shared" ca="1" si="146"/>
        <v>0</v>
      </c>
      <c r="GH92" s="152">
        <f t="shared" ca="1" si="146"/>
        <v>0</v>
      </c>
      <c r="GI92" s="152">
        <f t="shared" ca="1" si="146"/>
        <v>0</v>
      </c>
      <c r="GJ92" s="152">
        <f t="shared" ca="1" si="146"/>
        <v>0</v>
      </c>
      <c r="GK92" s="152">
        <f t="shared" ca="1" si="146"/>
        <v>0</v>
      </c>
      <c r="GL92" s="152">
        <f t="shared" ca="1" si="146"/>
        <v>0</v>
      </c>
      <c r="GM92" s="152">
        <f t="shared" ca="1" si="147"/>
        <v>0</v>
      </c>
      <c r="GN92" s="152">
        <f t="shared" ca="1" si="147"/>
        <v>0</v>
      </c>
      <c r="GO92" s="152">
        <f t="shared" ca="1" si="147"/>
        <v>0</v>
      </c>
      <c r="GP92" s="152">
        <f t="shared" ca="1" si="147"/>
        <v>0</v>
      </c>
      <c r="GQ92" s="152">
        <f t="shared" ca="1" si="147"/>
        <v>0</v>
      </c>
      <c r="GR92" s="152">
        <f t="shared" ca="1" si="147"/>
        <v>0</v>
      </c>
      <c r="GS92" s="152">
        <f t="shared" ca="1" si="147"/>
        <v>0</v>
      </c>
      <c r="GT92" s="152">
        <f t="shared" ca="1" si="147"/>
        <v>0</v>
      </c>
      <c r="GU92" s="152">
        <f t="shared" ca="1" si="147"/>
        <v>0</v>
      </c>
      <c r="GV92" s="152">
        <f t="shared" ca="1" si="147"/>
        <v>0</v>
      </c>
      <c r="GW92" s="152">
        <f t="shared" ca="1" si="148"/>
        <v>0</v>
      </c>
      <c r="GX92" s="152">
        <f t="shared" ca="1" si="148"/>
        <v>0</v>
      </c>
      <c r="GY92" s="152">
        <f t="shared" ca="1" si="148"/>
        <v>0</v>
      </c>
      <c r="GZ92" s="152">
        <f t="shared" ca="1" si="148"/>
        <v>0</v>
      </c>
      <c r="HA92" s="152">
        <f t="shared" ca="1" si="148"/>
        <v>0</v>
      </c>
      <c r="HB92" s="152">
        <f t="shared" ca="1" si="148"/>
        <v>0</v>
      </c>
      <c r="HC92" s="152">
        <f t="shared" ca="1" si="148"/>
        <v>0</v>
      </c>
      <c r="HD92" s="152">
        <f t="shared" ca="1" si="148"/>
        <v>0</v>
      </c>
      <c r="HE92" s="152">
        <f t="shared" ca="1" si="148"/>
        <v>0</v>
      </c>
      <c r="HF92" s="152">
        <f t="shared" ca="1" si="148"/>
        <v>0</v>
      </c>
      <c r="HG92" s="152">
        <f t="shared" ca="1" si="149"/>
        <v>0</v>
      </c>
      <c r="HH92" s="152">
        <f t="shared" ca="1" si="149"/>
        <v>0</v>
      </c>
      <c r="HI92" s="152">
        <f t="shared" ca="1" si="149"/>
        <v>0</v>
      </c>
      <c r="HJ92" s="152">
        <f t="shared" ca="1" si="149"/>
        <v>0</v>
      </c>
      <c r="HK92" s="152">
        <f t="shared" ca="1" si="149"/>
        <v>0</v>
      </c>
      <c r="HL92" s="152">
        <f t="shared" ca="1" si="149"/>
        <v>0</v>
      </c>
      <c r="HM92" s="152">
        <f t="shared" ca="1" si="149"/>
        <v>0</v>
      </c>
      <c r="HN92" s="152">
        <f t="shared" ca="1" si="149"/>
        <v>0</v>
      </c>
      <c r="HO92" s="152">
        <f t="shared" ca="1" si="149"/>
        <v>0</v>
      </c>
      <c r="HP92" s="152">
        <f t="shared" ca="1" si="149"/>
        <v>0</v>
      </c>
      <c r="HQ92" s="152">
        <f t="shared" ca="1" si="150"/>
        <v>0</v>
      </c>
      <c r="HR92" s="152">
        <f t="shared" ca="1" si="150"/>
        <v>0</v>
      </c>
      <c r="HS92" s="152">
        <f t="shared" ca="1" si="150"/>
        <v>0</v>
      </c>
      <c r="HT92" s="152">
        <f t="shared" ca="1" si="150"/>
        <v>0</v>
      </c>
      <c r="HU92" s="152">
        <f t="shared" ca="1" si="150"/>
        <v>0</v>
      </c>
      <c r="HV92" s="152">
        <f t="shared" ca="1" si="150"/>
        <v>0</v>
      </c>
      <c r="HW92" s="152">
        <f t="shared" ca="1" si="150"/>
        <v>0</v>
      </c>
      <c r="HX92" s="152">
        <f t="shared" ca="1" si="150"/>
        <v>0</v>
      </c>
      <c r="HY92" s="152">
        <f t="shared" ca="1" si="150"/>
        <v>0</v>
      </c>
      <c r="HZ92" s="152">
        <f t="shared" ca="1" si="150"/>
        <v>0</v>
      </c>
      <c r="IA92" s="152">
        <f t="shared" ca="1" si="151"/>
        <v>0</v>
      </c>
      <c r="IB92" s="152">
        <f t="shared" ca="1" si="151"/>
        <v>0</v>
      </c>
      <c r="IC92" s="152">
        <f t="shared" ca="1" si="151"/>
        <v>0</v>
      </c>
      <c r="ID92" s="152">
        <f t="shared" ca="1" si="151"/>
        <v>0</v>
      </c>
      <c r="IE92" s="152">
        <f t="shared" ca="1" si="151"/>
        <v>0</v>
      </c>
      <c r="IF92" s="152">
        <f t="shared" ca="1" si="151"/>
        <v>0</v>
      </c>
      <c r="IG92" s="152">
        <f t="shared" ca="1" si="151"/>
        <v>0</v>
      </c>
      <c r="IH92" s="152">
        <f t="shared" ca="1" si="151"/>
        <v>0</v>
      </c>
      <c r="II92" s="152">
        <f t="shared" ca="1" si="151"/>
        <v>0</v>
      </c>
      <c r="IJ92" s="152">
        <f t="shared" ca="1" si="151"/>
        <v>0</v>
      </c>
      <c r="IK92" s="152">
        <f t="shared" ca="1" si="151"/>
        <v>0</v>
      </c>
      <c r="IL92" s="152">
        <f t="shared" ca="1" si="151"/>
        <v>0</v>
      </c>
      <c r="IM92" s="152">
        <f t="shared" ref="IM92:IZ96" ca="1" si="152">IFERROR(SUMIFS(IM$129:IM$305,$DF$129:$DF$305,1,$DY$129:$DY$305,$EA92)*IM$17,0)</f>
        <v>0</v>
      </c>
      <c r="IN92" s="152">
        <f t="shared" ca="1" si="152"/>
        <v>0</v>
      </c>
      <c r="IO92" s="152">
        <f t="shared" ca="1" si="152"/>
        <v>0</v>
      </c>
      <c r="IP92" s="152">
        <f t="shared" ca="1" si="152"/>
        <v>0</v>
      </c>
      <c r="IQ92" s="152">
        <f t="shared" ca="1" si="152"/>
        <v>0</v>
      </c>
      <c r="IR92" s="152">
        <f t="shared" ca="1" si="152"/>
        <v>0</v>
      </c>
      <c r="IS92" s="152">
        <f t="shared" ca="1" si="152"/>
        <v>0</v>
      </c>
      <c r="IT92" s="152">
        <f t="shared" ca="1" si="152"/>
        <v>0</v>
      </c>
      <c r="IU92" s="152">
        <f t="shared" ca="1" si="152"/>
        <v>0</v>
      </c>
      <c r="IV92" s="152">
        <f t="shared" ca="1" si="152"/>
        <v>0</v>
      </c>
      <c r="IW92" s="152">
        <f t="shared" ca="1" si="152"/>
        <v>0</v>
      </c>
      <c r="IX92" s="152">
        <f t="shared" ca="1" si="152"/>
        <v>0</v>
      </c>
      <c r="IY92" s="152">
        <f t="shared" ca="1" si="152"/>
        <v>0</v>
      </c>
      <c r="IZ92" s="152">
        <f t="shared" ca="1" si="152"/>
        <v>0</v>
      </c>
      <c r="JA92" s="152">
        <f t="shared" ref="JA92:JC92" ca="1" si="153">IFERROR(SUMIFS(JA$129:JA$305,$DF$129:$DF$305,1,$DY$129:$DY$305,$EA92)*JA$17,0)</f>
        <v>0</v>
      </c>
      <c r="JB92" s="152">
        <f t="shared" ca="1" si="153"/>
        <v>0</v>
      </c>
      <c r="JC92" s="152">
        <f t="shared" ca="1" si="153"/>
        <v>0</v>
      </c>
      <c r="JD92" s="604"/>
    </row>
    <row r="93" spans="1:264" ht="12.75" customHeight="1" x14ac:dyDescent="0.25">
      <c r="A93" s="279"/>
      <c r="B93" s="41"/>
      <c r="C93" s="82"/>
      <c r="D93" s="41"/>
      <c r="E93" s="9"/>
      <c r="F93" s="9"/>
      <c r="G93" s="9"/>
      <c r="H93" s="10"/>
      <c r="I93" s="10"/>
      <c r="J93" s="10"/>
      <c r="K93" s="10"/>
      <c r="L93" s="10"/>
      <c r="M93" s="10"/>
      <c r="N93" s="9"/>
      <c r="O93" s="9"/>
      <c r="P93" s="44"/>
      <c r="Q93" s="44"/>
      <c r="R93" s="9"/>
      <c r="S93" s="9"/>
      <c r="T93" s="9"/>
      <c r="U93" s="9"/>
      <c r="V93" s="9"/>
      <c r="W93" s="9"/>
      <c r="X93" s="9"/>
      <c r="Y93" s="9"/>
      <c r="Z93" s="9"/>
      <c r="AA93" s="9"/>
      <c r="AB93" s="9"/>
      <c r="AC93" s="9"/>
      <c r="AD93" s="650">
        <f t="shared" si="64"/>
        <v>67</v>
      </c>
      <c r="AE93" s="654">
        <f ca="1">OFFSET('2 Staff List'!$IB$64,AJ93-1,0)</f>
        <v>0</v>
      </c>
      <c r="AF93" s="654">
        <f t="shared" si="125"/>
        <v>173.92857142857142</v>
      </c>
      <c r="AG93" s="9"/>
      <c r="AH93" s="654">
        <f t="shared" si="126"/>
        <v>239.15178571428569</v>
      </c>
      <c r="AI93" s="654">
        <f t="shared" si="127"/>
        <v>4</v>
      </c>
      <c r="AJ93" s="654">
        <f ca="1">OFFSET('2 Staff List'!$GU$64,AI93-1,0)</f>
        <v>4</v>
      </c>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1280">
        <f ca="1">OFFSET('2 Staff List'!$HW$64,AJ93-1,0)</f>
        <v>0</v>
      </c>
      <c r="DZ93" s="1281" t="str">
        <f ca="1">OFFSET('2 Staff List'!$HZ$64,AJ93-1,0)</f>
        <v>GDC PC Support</v>
      </c>
      <c r="EA93" s="3669" t="str">
        <f ca="1">OFFSET('2 Staff List'!$IA$64,AJ93-1,0)</f>
        <v>Mhatre, Rajesh Ramchandra</v>
      </c>
      <c r="EB93" s="3670"/>
      <c r="EC93" s="3673">
        <f t="shared" ca="1" si="128"/>
        <v>0</v>
      </c>
      <c r="ED93" s="3674"/>
      <c r="EE93" s="3675"/>
      <c r="EF93" s="3676"/>
      <c r="EG93" s="154">
        <f t="shared" ca="1" si="141"/>
        <v>0</v>
      </c>
      <c r="EH93" s="152">
        <f t="shared" ca="1" si="141"/>
        <v>0</v>
      </c>
      <c r="EI93" s="152">
        <f t="shared" ca="1" si="141"/>
        <v>0</v>
      </c>
      <c r="EJ93" s="152">
        <f t="shared" ca="1" si="141"/>
        <v>0</v>
      </c>
      <c r="EK93" s="152">
        <f t="shared" ca="1" si="141"/>
        <v>0</v>
      </c>
      <c r="EL93" s="152">
        <f t="shared" ca="1" si="141"/>
        <v>0</v>
      </c>
      <c r="EM93" s="152">
        <f t="shared" ca="1" si="141"/>
        <v>0</v>
      </c>
      <c r="EN93" s="152">
        <f t="shared" ca="1" si="141"/>
        <v>0</v>
      </c>
      <c r="EO93" s="152">
        <f t="shared" ca="1" si="141"/>
        <v>0</v>
      </c>
      <c r="EP93" s="152">
        <f t="shared" ca="1" si="141"/>
        <v>0</v>
      </c>
      <c r="EQ93" s="152">
        <f t="shared" ca="1" si="142"/>
        <v>0</v>
      </c>
      <c r="ER93" s="152">
        <f t="shared" ca="1" si="142"/>
        <v>0</v>
      </c>
      <c r="ES93" s="152">
        <f t="shared" ca="1" si="142"/>
        <v>0</v>
      </c>
      <c r="ET93" s="152">
        <f t="shared" ca="1" si="142"/>
        <v>0</v>
      </c>
      <c r="EU93" s="152">
        <f t="shared" ca="1" si="142"/>
        <v>0</v>
      </c>
      <c r="EV93" s="152">
        <f t="shared" ca="1" si="142"/>
        <v>0</v>
      </c>
      <c r="EW93" s="152">
        <f t="shared" ca="1" si="142"/>
        <v>0</v>
      </c>
      <c r="EX93" s="152">
        <f t="shared" ca="1" si="129"/>
        <v>0</v>
      </c>
      <c r="EY93" s="152">
        <f t="shared" ca="1" si="143"/>
        <v>0</v>
      </c>
      <c r="EZ93" s="152">
        <f t="shared" ca="1" si="143"/>
        <v>0</v>
      </c>
      <c r="FA93" s="152">
        <f t="shared" ca="1" si="143"/>
        <v>0</v>
      </c>
      <c r="FB93" s="152">
        <f t="shared" ca="1" si="143"/>
        <v>0</v>
      </c>
      <c r="FC93" s="152">
        <f t="shared" ca="1" si="143"/>
        <v>0</v>
      </c>
      <c r="FD93" s="152">
        <f t="shared" ca="1" si="143"/>
        <v>0</v>
      </c>
      <c r="FE93" s="152">
        <f t="shared" ca="1" si="143"/>
        <v>0</v>
      </c>
      <c r="FF93" s="152">
        <f t="shared" ca="1" si="143"/>
        <v>0</v>
      </c>
      <c r="FG93" s="152">
        <f t="shared" ca="1" si="143"/>
        <v>0</v>
      </c>
      <c r="FH93" s="152">
        <f t="shared" ca="1" si="143"/>
        <v>0</v>
      </c>
      <c r="FI93" s="152">
        <f t="shared" ca="1" si="144"/>
        <v>0</v>
      </c>
      <c r="FJ93" s="152">
        <f t="shared" ca="1" si="144"/>
        <v>0</v>
      </c>
      <c r="FK93" s="152">
        <f t="shared" ca="1" si="144"/>
        <v>0</v>
      </c>
      <c r="FL93" s="152">
        <f t="shared" ca="1" si="144"/>
        <v>0</v>
      </c>
      <c r="FM93" s="152">
        <f t="shared" ca="1" si="144"/>
        <v>0</v>
      </c>
      <c r="FN93" s="152">
        <f t="shared" ca="1" si="144"/>
        <v>0</v>
      </c>
      <c r="FO93" s="152">
        <f t="shared" ca="1" si="144"/>
        <v>0</v>
      </c>
      <c r="FP93" s="152">
        <f t="shared" ca="1" si="144"/>
        <v>0</v>
      </c>
      <c r="FQ93" s="152">
        <f t="shared" ca="1" si="144"/>
        <v>0</v>
      </c>
      <c r="FR93" s="152">
        <f t="shared" ca="1" si="144"/>
        <v>0</v>
      </c>
      <c r="FS93" s="152">
        <f t="shared" ca="1" si="145"/>
        <v>0</v>
      </c>
      <c r="FT93" s="152">
        <f t="shared" ca="1" si="145"/>
        <v>0</v>
      </c>
      <c r="FU93" s="152">
        <f t="shared" ca="1" si="145"/>
        <v>0</v>
      </c>
      <c r="FV93" s="152">
        <f t="shared" ca="1" si="145"/>
        <v>0</v>
      </c>
      <c r="FW93" s="152">
        <f t="shared" ca="1" si="145"/>
        <v>0</v>
      </c>
      <c r="FX93" s="152">
        <f t="shared" ca="1" si="145"/>
        <v>0</v>
      </c>
      <c r="FY93" s="152">
        <f t="shared" ca="1" si="145"/>
        <v>0</v>
      </c>
      <c r="FZ93" s="152">
        <f t="shared" ca="1" si="145"/>
        <v>0</v>
      </c>
      <c r="GA93" s="152">
        <f t="shared" ca="1" si="145"/>
        <v>0</v>
      </c>
      <c r="GB93" s="152">
        <f t="shared" ca="1" si="145"/>
        <v>0</v>
      </c>
      <c r="GC93" s="152">
        <f t="shared" ca="1" si="146"/>
        <v>0</v>
      </c>
      <c r="GD93" s="152">
        <f t="shared" ca="1" si="146"/>
        <v>0</v>
      </c>
      <c r="GE93" s="152">
        <f t="shared" ca="1" si="146"/>
        <v>0</v>
      </c>
      <c r="GF93" s="152">
        <f t="shared" ca="1" si="146"/>
        <v>0</v>
      </c>
      <c r="GG93" s="152">
        <f t="shared" ca="1" si="146"/>
        <v>0</v>
      </c>
      <c r="GH93" s="152">
        <f t="shared" ca="1" si="146"/>
        <v>0</v>
      </c>
      <c r="GI93" s="152">
        <f t="shared" ca="1" si="146"/>
        <v>0</v>
      </c>
      <c r="GJ93" s="152">
        <f t="shared" ca="1" si="146"/>
        <v>0</v>
      </c>
      <c r="GK93" s="152">
        <f t="shared" ca="1" si="146"/>
        <v>0</v>
      </c>
      <c r="GL93" s="152">
        <f t="shared" ca="1" si="146"/>
        <v>0</v>
      </c>
      <c r="GM93" s="152">
        <f t="shared" ca="1" si="147"/>
        <v>0</v>
      </c>
      <c r="GN93" s="152">
        <f t="shared" ca="1" si="147"/>
        <v>0</v>
      </c>
      <c r="GO93" s="152">
        <f t="shared" ca="1" si="147"/>
        <v>0</v>
      </c>
      <c r="GP93" s="152">
        <f t="shared" ca="1" si="147"/>
        <v>0</v>
      </c>
      <c r="GQ93" s="152">
        <f t="shared" ca="1" si="147"/>
        <v>0</v>
      </c>
      <c r="GR93" s="152">
        <f t="shared" ca="1" si="147"/>
        <v>0</v>
      </c>
      <c r="GS93" s="152">
        <f t="shared" ca="1" si="147"/>
        <v>0</v>
      </c>
      <c r="GT93" s="152">
        <f t="shared" ca="1" si="147"/>
        <v>0</v>
      </c>
      <c r="GU93" s="152">
        <f t="shared" ca="1" si="147"/>
        <v>0</v>
      </c>
      <c r="GV93" s="152">
        <f t="shared" ca="1" si="147"/>
        <v>0</v>
      </c>
      <c r="GW93" s="152">
        <f t="shared" ca="1" si="148"/>
        <v>0</v>
      </c>
      <c r="GX93" s="152">
        <f t="shared" ca="1" si="148"/>
        <v>0</v>
      </c>
      <c r="GY93" s="152">
        <f t="shared" ca="1" si="148"/>
        <v>0</v>
      </c>
      <c r="GZ93" s="152">
        <f t="shared" ca="1" si="148"/>
        <v>0</v>
      </c>
      <c r="HA93" s="152">
        <f t="shared" ca="1" si="148"/>
        <v>0</v>
      </c>
      <c r="HB93" s="152">
        <f t="shared" ca="1" si="148"/>
        <v>0</v>
      </c>
      <c r="HC93" s="152">
        <f t="shared" ca="1" si="148"/>
        <v>0</v>
      </c>
      <c r="HD93" s="152">
        <f t="shared" ca="1" si="148"/>
        <v>0</v>
      </c>
      <c r="HE93" s="152">
        <f t="shared" ca="1" si="148"/>
        <v>0</v>
      </c>
      <c r="HF93" s="152">
        <f t="shared" ca="1" si="148"/>
        <v>0</v>
      </c>
      <c r="HG93" s="152">
        <f t="shared" ca="1" si="149"/>
        <v>0</v>
      </c>
      <c r="HH93" s="152">
        <f t="shared" ca="1" si="149"/>
        <v>0</v>
      </c>
      <c r="HI93" s="152">
        <f t="shared" ca="1" si="149"/>
        <v>0</v>
      </c>
      <c r="HJ93" s="152">
        <f t="shared" ca="1" si="149"/>
        <v>0</v>
      </c>
      <c r="HK93" s="152">
        <f t="shared" ca="1" si="149"/>
        <v>0</v>
      </c>
      <c r="HL93" s="152">
        <f t="shared" ca="1" si="149"/>
        <v>0</v>
      </c>
      <c r="HM93" s="152">
        <f t="shared" ca="1" si="149"/>
        <v>0</v>
      </c>
      <c r="HN93" s="152">
        <f t="shared" ca="1" si="149"/>
        <v>0</v>
      </c>
      <c r="HO93" s="152">
        <f t="shared" ca="1" si="149"/>
        <v>0</v>
      </c>
      <c r="HP93" s="152">
        <f t="shared" ca="1" si="149"/>
        <v>0</v>
      </c>
      <c r="HQ93" s="152">
        <f t="shared" ca="1" si="150"/>
        <v>0</v>
      </c>
      <c r="HR93" s="152">
        <f t="shared" ca="1" si="150"/>
        <v>0</v>
      </c>
      <c r="HS93" s="152">
        <f t="shared" ca="1" si="150"/>
        <v>0</v>
      </c>
      <c r="HT93" s="152">
        <f t="shared" ca="1" si="150"/>
        <v>0</v>
      </c>
      <c r="HU93" s="152">
        <f t="shared" ca="1" si="150"/>
        <v>0</v>
      </c>
      <c r="HV93" s="152">
        <f t="shared" ca="1" si="150"/>
        <v>0</v>
      </c>
      <c r="HW93" s="152">
        <f t="shared" ca="1" si="150"/>
        <v>0</v>
      </c>
      <c r="HX93" s="152">
        <f t="shared" ca="1" si="150"/>
        <v>0</v>
      </c>
      <c r="HY93" s="152">
        <f t="shared" ca="1" si="150"/>
        <v>0</v>
      </c>
      <c r="HZ93" s="152">
        <f t="shared" ca="1" si="150"/>
        <v>0</v>
      </c>
      <c r="IA93" s="152">
        <f t="shared" ca="1" si="151"/>
        <v>0</v>
      </c>
      <c r="IB93" s="152">
        <f t="shared" ca="1" si="151"/>
        <v>0</v>
      </c>
      <c r="IC93" s="152">
        <f t="shared" ca="1" si="151"/>
        <v>0</v>
      </c>
      <c r="ID93" s="152">
        <f t="shared" ca="1" si="151"/>
        <v>0</v>
      </c>
      <c r="IE93" s="152">
        <f t="shared" ca="1" si="151"/>
        <v>0</v>
      </c>
      <c r="IF93" s="152">
        <f t="shared" ca="1" si="151"/>
        <v>0</v>
      </c>
      <c r="IG93" s="152">
        <f t="shared" ca="1" si="151"/>
        <v>0</v>
      </c>
      <c r="IH93" s="152">
        <f t="shared" ca="1" si="151"/>
        <v>0</v>
      </c>
      <c r="II93" s="152">
        <f t="shared" ca="1" si="151"/>
        <v>0</v>
      </c>
      <c r="IJ93" s="152">
        <f t="shared" ca="1" si="151"/>
        <v>0</v>
      </c>
      <c r="IK93" s="152">
        <f t="shared" ca="1" si="151"/>
        <v>0</v>
      </c>
      <c r="IL93" s="152">
        <f t="shared" ca="1" si="151"/>
        <v>0</v>
      </c>
      <c r="IM93" s="152">
        <f t="shared" ca="1" si="152"/>
        <v>0</v>
      </c>
      <c r="IN93" s="152">
        <f t="shared" ca="1" si="152"/>
        <v>0</v>
      </c>
      <c r="IO93" s="152">
        <f t="shared" ca="1" si="152"/>
        <v>0</v>
      </c>
      <c r="IP93" s="152">
        <f t="shared" ca="1" si="152"/>
        <v>0</v>
      </c>
      <c r="IQ93" s="152">
        <f t="shared" ca="1" si="152"/>
        <v>0</v>
      </c>
      <c r="IR93" s="152">
        <f t="shared" ca="1" si="152"/>
        <v>0</v>
      </c>
      <c r="IS93" s="152">
        <f t="shared" ca="1" si="152"/>
        <v>0</v>
      </c>
      <c r="IT93" s="152">
        <f t="shared" ca="1" si="152"/>
        <v>0</v>
      </c>
      <c r="IU93" s="152">
        <f t="shared" ca="1" si="152"/>
        <v>0</v>
      </c>
      <c r="IV93" s="152">
        <f t="shared" ca="1" si="152"/>
        <v>0</v>
      </c>
      <c r="IW93" s="152">
        <f t="shared" ca="1" si="152"/>
        <v>0</v>
      </c>
      <c r="IX93" s="152">
        <f t="shared" ca="1" si="152"/>
        <v>0</v>
      </c>
      <c r="IY93" s="152">
        <f t="shared" ca="1" si="152"/>
        <v>0</v>
      </c>
      <c r="IZ93" s="152">
        <f t="shared" ca="1" si="152"/>
        <v>0</v>
      </c>
      <c r="JA93" s="152">
        <f t="shared" ref="JA93:JC96" ca="1" si="154">IFERROR(SUMIFS(JA$129:JA$305,$DF$129:$DF$305,1,$DY$129:$DY$305,$EA93)*JA$17,0)</f>
        <v>0</v>
      </c>
      <c r="JB93" s="152">
        <f t="shared" ca="1" si="154"/>
        <v>0</v>
      </c>
      <c r="JC93" s="152">
        <f t="shared" ca="1" si="154"/>
        <v>0</v>
      </c>
      <c r="JD93" s="604"/>
    </row>
    <row r="94" spans="1:264" ht="12.75" customHeight="1" x14ac:dyDescent="0.25">
      <c r="A94" s="279"/>
      <c r="B94" s="41"/>
      <c r="C94" s="82"/>
      <c r="D94" s="41"/>
      <c r="E94" s="9"/>
      <c r="F94" s="9"/>
      <c r="G94" s="9"/>
      <c r="H94" s="10"/>
      <c r="I94" s="10"/>
      <c r="J94" s="10"/>
      <c r="K94" s="10"/>
      <c r="L94" s="10"/>
      <c r="M94" s="10"/>
      <c r="N94" s="9"/>
      <c r="O94" s="9"/>
      <c r="P94" s="44"/>
      <c r="Q94" s="44"/>
      <c r="R94" s="9"/>
      <c r="S94" s="9"/>
      <c r="T94" s="9"/>
      <c r="U94" s="9"/>
      <c r="V94" s="9"/>
      <c r="W94" s="9"/>
      <c r="X94" s="9"/>
      <c r="Y94" s="9"/>
      <c r="Z94" s="9"/>
      <c r="AA94" s="9"/>
      <c r="AB94" s="9"/>
      <c r="AC94" s="9"/>
      <c r="AD94" s="650">
        <f>AD95+1</f>
        <v>66</v>
      </c>
      <c r="AE94" s="654">
        <f ca="1">OFFSET('2 Staff List'!$IB$64,AJ94-1,0)</f>
        <v>0</v>
      </c>
      <c r="AF94" s="654">
        <f t="shared" si="125"/>
        <v>173.92857142857142</v>
      </c>
      <c r="AG94" s="9"/>
      <c r="AH94" s="654">
        <f t="shared" si="126"/>
        <v>239.15178571428569</v>
      </c>
      <c r="AI94" s="654">
        <f t="shared" si="127"/>
        <v>3</v>
      </c>
      <c r="AJ94" s="654">
        <f ca="1">OFFSET('2 Staff List'!$GU$64,AI94-1,0)</f>
        <v>3</v>
      </c>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1280">
        <f ca="1">OFFSET('2 Staff List'!$HW$64,AJ94-1,0)</f>
        <v>0</v>
      </c>
      <c r="DZ94" s="1281" t="str">
        <f ca="1">OFFSET('2 Staff List'!$HZ$64,AJ94-1,0)</f>
        <v>L1A Operational Manager</v>
      </c>
      <c r="EA94" s="3669" t="str">
        <f ca="1">OFFSET('2 Staff List'!$IA$64,AJ94-1,0)</f>
        <v>Spencer Peter</v>
      </c>
      <c r="EB94" s="3670"/>
      <c r="EC94" s="3673">
        <f t="shared" ca="1" si="128"/>
        <v>0</v>
      </c>
      <c r="ED94" s="3674"/>
      <c r="EE94" s="3675"/>
      <c r="EF94" s="3676"/>
      <c r="EG94" s="154">
        <f t="shared" ca="1" si="141"/>
        <v>0</v>
      </c>
      <c r="EH94" s="152">
        <f t="shared" ca="1" si="141"/>
        <v>0</v>
      </c>
      <c r="EI94" s="152">
        <f t="shared" ca="1" si="141"/>
        <v>0</v>
      </c>
      <c r="EJ94" s="152">
        <f t="shared" ca="1" si="141"/>
        <v>0</v>
      </c>
      <c r="EK94" s="152">
        <f t="shared" ca="1" si="141"/>
        <v>0</v>
      </c>
      <c r="EL94" s="152">
        <f t="shared" ca="1" si="141"/>
        <v>0</v>
      </c>
      <c r="EM94" s="152">
        <f t="shared" ca="1" si="141"/>
        <v>0</v>
      </c>
      <c r="EN94" s="152">
        <f t="shared" ca="1" si="141"/>
        <v>0</v>
      </c>
      <c r="EO94" s="152">
        <f t="shared" ca="1" si="141"/>
        <v>0</v>
      </c>
      <c r="EP94" s="152">
        <f t="shared" ca="1" si="141"/>
        <v>0</v>
      </c>
      <c r="EQ94" s="152">
        <f t="shared" ca="1" si="142"/>
        <v>0</v>
      </c>
      <c r="ER94" s="152">
        <f t="shared" ca="1" si="142"/>
        <v>0</v>
      </c>
      <c r="ES94" s="152">
        <f t="shared" ca="1" si="142"/>
        <v>0</v>
      </c>
      <c r="ET94" s="152">
        <f t="shared" ca="1" si="142"/>
        <v>0</v>
      </c>
      <c r="EU94" s="152">
        <f t="shared" ca="1" si="142"/>
        <v>0</v>
      </c>
      <c r="EV94" s="152">
        <f t="shared" ca="1" si="142"/>
        <v>0</v>
      </c>
      <c r="EW94" s="152">
        <f t="shared" ca="1" si="142"/>
        <v>0</v>
      </c>
      <c r="EX94" s="152">
        <f t="shared" ca="1" si="129"/>
        <v>0</v>
      </c>
      <c r="EY94" s="152">
        <f t="shared" ca="1" si="143"/>
        <v>0</v>
      </c>
      <c r="EZ94" s="152">
        <f t="shared" ca="1" si="143"/>
        <v>0</v>
      </c>
      <c r="FA94" s="152">
        <f t="shared" ca="1" si="143"/>
        <v>0</v>
      </c>
      <c r="FB94" s="152">
        <f t="shared" ca="1" si="143"/>
        <v>0</v>
      </c>
      <c r="FC94" s="152">
        <f t="shared" ca="1" si="143"/>
        <v>0</v>
      </c>
      <c r="FD94" s="152">
        <f t="shared" ca="1" si="143"/>
        <v>0</v>
      </c>
      <c r="FE94" s="152">
        <f t="shared" ca="1" si="143"/>
        <v>0</v>
      </c>
      <c r="FF94" s="152">
        <f t="shared" ca="1" si="143"/>
        <v>0</v>
      </c>
      <c r="FG94" s="152">
        <f t="shared" ca="1" si="143"/>
        <v>0</v>
      </c>
      <c r="FH94" s="152">
        <f t="shared" ca="1" si="143"/>
        <v>0</v>
      </c>
      <c r="FI94" s="152">
        <f t="shared" ca="1" si="144"/>
        <v>0</v>
      </c>
      <c r="FJ94" s="152">
        <f t="shared" ca="1" si="144"/>
        <v>0</v>
      </c>
      <c r="FK94" s="152">
        <f t="shared" ca="1" si="144"/>
        <v>0</v>
      </c>
      <c r="FL94" s="152">
        <f t="shared" ca="1" si="144"/>
        <v>0</v>
      </c>
      <c r="FM94" s="152">
        <f t="shared" ca="1" si="144"/>
        <v>0</v>
      </c>
      <c r="FN94" s="152">
        <f t="shared" ca="1" si="144"/>
        <v>0</v>
      </c>
      <c r="FO94" s="152">
        <f t="shared" ca="1" si="144"/>
        <v>0</v>
      </c>
      <c r="FP94" s="152">
        <f t="shared" ca="1" si="144"/>
        <v>0</v>
      </c>
      <c r="FQ94" s="152">
        <f t="shared" ca="1" si="144"/>
        <v>0</v>
      </c>
      <c r="FR94" s="152">
        <f t="shared" ca="1" si="144"/>
        <v>0</v>
      </c>
      <c r="FS94" s="152">
        <f t="shared" ca="1" si="145"/>
        <v>0</v>
      </c>
      <c r="FT94" s="152">
        <f t="shared" ca="1" si="145"/>
        <v>0</v>
      </c>
      <c r="FU94" s="152">
        <f t="shared" ca="1" si="145"/>
        <v>0</v>
      </c>
      <c r="FV94" s="152">
        <f t="shared" ca="1" si="145"/>
        <v>0</v>
      </c>
      <c r="FW94" s="152">
        <f t="shared" ca="1" si="145"/>
        <v>0</v>
      </c>
      <c r="FX94" s="152">
        <f t="shared" ca="1" si="145"/>
        <v>0</v>
      </c>
      <c r="FY94" s="152">
        <f t="shared" ca="1" si="145"/>
        <v>0</v>
      </c>
      <c r="FZ94" s="152">
        <f t="shared" ca="1" si="145"/>
        <v>0</v>
      </c>
      <c r="GA94" s="152">
        <f t="shared" ca="1" si="145"/>
        <v>0</v>
      </c>
      <c r="GB94" s="152">
        <f t="shared" ca="1" si="145"/>
        <v>0</v>
      </c>
      <c r="GC94" s="152">
        <f t="shared" ca="1" si="146"/>
        <v>0</v>
      </c>
      <c r="GD94" s="152">
        <f t="shared" ca="1" si="146"/>
        <v>0</v>
      </c>
      <c r="GE94" s="152">
        <f t="shared" ca="1" si="146"/>
        <v>0</v>
      </c>
      <c r="GF94" s="152">
        <f t="shared" ca="1" si="146"/>
        <v>0</v>
      </c>
      <c r="GG94" s="152">
        <f t="shared" ca="1" si="146"/>
        <v>0</v>
      </c>
      <c r="GH94" s="152">
        <f t="shared" ca="1" si="146"/>
        <v>0</v>
      </c>
      <c r="GI94" s="152">
        <f t="shared" ca="1" si="146"/>
        <v>0</v>
      </c>
      <c r="GJ94" s="152">
        <f t="shared" ca="1" si="146"/>
        <v>0</v>
      </c>
      <c r="GK94" s="152">
        <f t="shared" ca="1" si="146"/>
        <v>0</v>
      </c>
      <c r="GL94" s="152">
        <f t="shared" ca="1" si="146"/>
        <v>0</v>
      </c>
      <c r="GM94" s="152">
        <f t="shared" ca="1" si="147"/>
        <v>0</v>
      </c>
      <c r="GN94" s="152">
        <f t="shared" ca="1" si="147"/>
        <v>0</v>
      </c>
      <c r="GO94" s="152">
        <f t="shared" ca="1" si="147"/>
        <v>0</v>
      </c>
      <c r="GP94" s="152">
        <f t="shared" ca="1" si="147"/>
        <v>0</v>
      </c>
      <c r="GQ94" s="152">
        <f t="shared" ca="1" si="147"/>
        <v>0</v>
      </c>
      <c r="GR94" s="152">
        <f t="shared" ca="1" si="147"/>
        <v>0</v>
      </c>
      <c r="GS94" s="152">
        <f t="shared" ca="1" si="147"/>
        <v>0</v>
      </c>
      <c r="GT94" s="152">
        <f t="shared" ca="1" si="147"/>
        <v>0</v>
      </c>
      <c r="GU94" s="152">
        <f t="shared" ca="1" si="147"/>
        <v>0</v>
      </c>
      <c r="GV94" s="152">
        <f t="shared" ca="1" si="147"/>
        <v>0</v>
      </c>
      <c r="GW94" s="152">
        <f t="shared" ca="1" si="148"/>
        <v>0</v>
      </c>
      <c r="GX94" s="152">
        <f t="shared" ca="1" si="148"/>
        <v>0</v>
      </c>
      <c r="GY94" s="152">
        <f t="shared" ca="1" si="148"/>
        <v>0</v>
      </c>
      <c r="GZ94" s="152">
        <f t="shared" ca="1" si="148"/>
        <v>0</v>
      </c>
      <c r="HA94" s="152">
        <f t="shared" ca="1" si="148"/>
        <v>0</v>
      </c>
      <c r="HB94" s="152">
        <f t="shared" ca="1" si="148"/>
        <v>0</v>
      </c>
      <c r="HC94" s="152">
        <f t="shared" ca="1" si="148"/>
        <v>0</v>
      </c>
      <c r="HD94" s="152">
        <f t="shared" ca="1" si="148"/>
        <v>0</v>
      </c>
      <c r="HE94" s="152">
        <f t="shared" ca="1" si="148"/>
        <v>0</v>
      </c>
      <c r="HF94" s="152">
        <f t="shared" ca="1" si="148"/>
        <v>0</v>
      </c>
      <c r="HG94" s="152">
        <f t="shared" ca="1" si="149"/>
        <v>0</v>
      </c>
      <c r="HH94" s="152">
        <f t="shared" ca="1" si="149"/>
        <v>0</v>
      </c>
      <c r="HI94" s="152">
        <f t="shared" ca="1" si="149"/>
        <v>0</v>
      </c>
      <c r="HJ94" s="152">
        <f t="shared" ca="1" si="149"/>
        <v>0</v>
      </c>
      <c r="HK94" s="152">
        <f t="shared" ca="1" si="149"/>
        <v>0</v>
      </c>
      <c r="HL94" s="152">
        <f t="shared" ca="1" si="149"/>
        <v>0</v>
      </c>
      <c r="HM94" s="152">
        <f t="shared" ca="1" si="149"/>
        <v>0</v>
      </c>
      <c r="HN94" s="152">
        <f t="shared" ca="1" si="149"/>
        <v>0</v>
      </c>
      <c r="HO94" s="152">
        <f t="shared" ca="1" si="149"/>
        <v>0</v>
      </c>
      <c r="HP94" s="152">
        <f t="shared" ca="1" si="149"/>
        <v>0</v>
      </c>
      <c r="HQ94" s="152">
        <f t="shared" ca="1" si="150"/>
        <v>0</v>
      </c>
      <c r="HR94" s="152">
        <f t="shared" ca="1" si="150"/>
        <v>0</v>
      </c>
      <c r="HS94" s="152">
        <f t="shared" ca="1" si="150"/>
        <v>0</v>
      </c>
      <c r="HT94" s="152">
        <f t="shared" ca="1" si="150"/>
        <v>0</v>
      </c>
      <c r="HU94" s="152">
        <f t="shared" ca="1" si="150"/>
        <v>0</v>
      </c>
      <c r="HV94" s="152">
        <f t="shared" ca="1" si="150"/>
        <v>0</v>
      </c>
      <c r="HW94" s="152">
        <f t="shared" ca="1" si="150"/>
        <v>0</v>
      </c>
      <c r="HX94" s="152">
        <f t="shared" ca="1" si="150"/>
        <v>0</v>
      </c>
      <c r="HY94" s="152">
        <f t="shared" ca="1" si="150"/>
        <v>0</v>
      </c>
      <c r="HZ94" s="152">
        <f t="shared" ca="1" si="150"/>
        <v>0</v>
      </c>
      <c r="IA94" s="152">
        <f t="shared" ca="1" si="151"/>
        <v>0</v>
      </c>
      <c r="IB94" s="152">
        <f t="shared" ca="1" si="151"/>
        <v>0</v>
      </c>
      <c r="IC94" s="152">
        <f t="shared" ca="1" si="151"/>
        <v>0</v>
      </c>
      <c r="ID94" s="152">
        <f t="shared" ca="1" si="151"/>
        <v>0</v>
      </c>
      <c r="IE94" s="152">
        <f t="shared" ca="1" si="151"/>
        <v>0</v>
      </c>
      <c r="IF94" s="152">
        <f t="shared" ca="1" si="151"/>
        <v>0</v>
      </c>
      <c r="IG94" s="152">
        <f t="shared" ca="1" si="151"/>
        <v>0</v>
      </c>
      <c r="IH94" s="152">
        <f t="shared" ca="1" si="151"/>
        <v>0</v>
      </c>
      <c r="II94" s="152">
        <f t="shared" ca="1" si="151"/>
        <v>0</v>
      </c>
      <c r="IJ94" s="152">
        <f t="shared" ca="1" si="151"/>
        <v>0</v>
      </c>
      <c r="IK94" s="152">
        <f t="shared" ca="1" si="151"/>
        <v>0</v>
      </c>
      <c r="IL94" s="152">
        <f t="shared" ca="1" si="151"/>
        <v>0</v>
      </c>
      <c r="IM94" s="152">
        <f t="shared" ca="1" si="152"/>
        <v>0</v>
      </c>
      <c r="IN94" s="152">
        <f t="shared" ca="1" si="152"/>
        <v>0</v>
      </c>
      <c r="IO94" s="152">
        <f t="shared" ca="1" si="152"/>
        <v>0</v>
      </c>
      <c r="IP94" s="152">
        <f t="shared" ca="1" si="152"/>
        <v>0</v>
      </c>
      <c r="IQ94" s="152">
        <f t="shared" ca="1" si="152"/>
        <v>0</v>
      </c>
      <c r="IR94" s="152">
        <f t="shared" ca="1" si="152"/>
        <v>0</v>
      </c>
      <c r="IS94" s="152">
        <f t="shared" ca="1" si="152"/>
        <v>0</v>
      </c>
      <c r="IT94" s="152">
        <f t="shared" ca="1" si="152"/>
        <v>0</v>
      </c>
      <c r="IU94" s="152">
        <f t="shared" ca="1" si="152"/>
        <v>0</v>
      </c>
      <c r="IV94" s="152">
        <f t="shared" ca="1" si="152"/>
        <v>0</v>
      </c>
      <c r="IW94" s="152">
        <f t="shared" ca="1" si="152"/>
        <v>0</v>
      </c>
      <c r="IX94" s="152">
        <f t="shared" ca="1" si="152"/>
        <v>0</v>
      </c>
      <c r="IY94" s="152">
        <f t="shared" ca="1" si="152"/>
        <v>0</v>
      </c>
      <c r="IZ94" s="152">
        <f t="shared" ca="1" si="152"/>
        <v>0</v>
      </c>
      <c r="JA94" s="152">
        <f t="shared" ca="1" si="154"/>
        <v>0</v>
      </c>
      <c r="JB94" s="152">
        <f t="shared" ca="1" si="154"/>
        <v>0</v>
      </c>
      <c r="JC94" s="152">
        <f t="shared" ca="1" si="154"/>
        <v>0</v>
      </c>
      <c r="JD94" s="604"/>
    </row>
    <row r="95" spans="1:264" ht="12.75" customHeight="1" thickBot="1" x14ac:dyDescent="0.3">
      <c r="A95" s="279"/>
      <c r="B95" s="41"/>
      <c r="C95" s="82"/>
      <c r="D95" s="41"/>
      <c r="E95" s="9"/>
      <c r="F95" s="9"/>
      <c r="G95" s="9"/>
      <c r="H95" s="10"/>
      <c r="I95" s="10"/>
      <c r="J95" s="10"/>
      <c r="K95" s="10"/>
      <c r="L95" s="10"/>
      <c r="M95" s="10"/>
      <c r="N95" s="9"/>
      <c r="O95" s="9"/>
      <c r="P95" s="44"/>
      <c r="Q95" s="44"/>
      <c r="R95" s="9"/>
      <c r="S95" s="9"/>
      <c r="T95" s="9"/>
      <c r="U95" s="9"/>
      <c r="V95" s="9"/>
      <c r="W95" s="9"/>
      <c r="X95" s="9"/>
      <c r="Y95" s="9"/>
      <c r="Z95" s="9"/>
      <c r="AA95" s="9"/>
      <c r="AB95" s="9"/>
      <c r="AC95" s="9"/>
      <c r="AD95" s="655">
        <f>AD96+1</f>
        <v>65</v>
      </c>
      <c r="AE95" s="654">
        <f ca="1">OFFSET('2 Staff List'!$IB$64,AJ95-1,0)</f>
        <v>0</v>
      </c>
      <c r="AF95" s="654">
        <f t="shared" si="125"/>
        <v>173.92857142857142</v>
      </c>
      <c r="AG95" s="9"/>
      <c r="AH95" s="654">
        <f t="shared" si="126"/>
        <v>239.15178571428569</v>
      </c>
      <c r="AI95" s="654">
        <f t="shared" si="127"/>
        <v>2</v>
      </c>
      <c r="AJ95" s="654">
        <f ca="1">OFFSET('2 Staff List'!$GU$64,AI95-1,0)</f>
        <v>2</v>
      </c>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1280">
        <f ca="1">OFFSET('2 Staff List'!$HW$64,AJ95-1,0)</f>
        <v>0</v>
      </c>
      <c r="DZ95" s="1281" t="str">
        <f ca="1">OFFSET('2 Staff List'!$HZ$64,AJ95-1,0)</f>
        <v>L4A Senior Administrator</v>
      </c>
      <c r="EA95" s="3669" t="str">
        <f ca="1">OFFSET('2 Staff List'!$IA$64,AJ95-1,0)</f>
        <v>Hutchinson Amanda</v>
      </c>
      <c r="EB95" s="3670"/>
      <c r="EC95" s="3673">
        <f t="shared" ca="1" si="128"/>
        <v>0</v>
      </c>
      <c r="ED95" s="3674"/>
      <c r="EE95" s="3675"/>
      <c r="EF95" s="3676"/>
      <c r="EG95" s="154">
        <f t="shared" ca="1" si="141"/>
        <v>0</v>
      </c>
      <c r="EH95" s="152">
        <f t="shared" ca="1" si="141"/>
        <v>0</v>
      </c>
      <c r="EI95" s="152">
        <f t="shared" ca="1" si="141"/>
        <v>0</v>
      </c>
      <c r="EJ95" s="152">
        <f t="shared" ca="1" si="141"/>
        <v>0</v>
      </c>
      <c r="EK95" s="152">
        <f t="shared" ca="1" si="141"/>
        <v>0</v>
      </c>
      <c r="EL95" s="152">
        <f t="shared" ca="1" si="141"/>
        <v>0</v>
      </c>
      <c r="EM95" s="152">
        <f t="shared" ca="1" si="141"/>
        <v>0</v>
      </c>
      <c r="EN95" s="152">
        <f t="shared" ca="1" si="141"/>
        <v>0</v>
      </c>
      <c r="EO95" s="152">
        <f t="shared" ca="1" si="141"/>
        <v>0</v>
      </c>
      <c r="EP95" s="152">
        <f t="shared" ca="1" si="141"/>
        <v>0</v>
      </c>
      <c r="EQ95" s="152">
        <f t="shared" ca="1" si="142"/>
        <v>0</v>
      </c>
      <c r="ER95" s="152">
        <f t="shared" ca="1" si="142"/>
        <v>0</v>
      </c>
      <c r="ES95" s="152">
        <f t="shared" ca="1" si="142"/>
        <v>0</v>
      </c>
      <c r="ET95" s="152">
        <f t="shared" ca="1" si="142"/>
        <v>0</v>
      </c>
      <c r="EU95" s="152">
        <f t="shared" ca="1" si="142"/>
        <v>0</v>
      </c>
      <c r="EV95" s="152">
        <f t="shared" ca="1" si="142"/>
        <v>0</v>
      </c>
      <c r="EW95" s="152">
        <f t="shared" ca="1" si="142"/>
        <v>0</v>
      </c>
      <c r="EX95" s="152">
        <f t="shared" ca="1" si="129"/>
        <v>0</v>
      </c>
      <c r="EY95" s="152">
        <f t="shared" ca="1" si="143"/>
        <v>0</v>
      </c>
      <c r="EZ95" s="152">
        <f t="shared" ca="1" si="143"/>
        <v>0</v>
      </c>
      <c r="FA95" s="152">
        <f t="shared" ca="1" si="143"/>
        <v>0</v>
      </c>
      <c r="FB95" s="152">
        <f t="shared" ca="1" si="143"/>
        <v>0</v>
      </c>
      <c r="FC95" s="152">
        <f t="shared" ca="1" si="143"/>
        <v>0</v>
      </c>
      <c r="FD95" s="152">
        <f t="shared" ca="1" si="143"/>
        <v>0</v>
      </c>
      <c r="FE95" s="152">
        <f t="shared" ca="1" si="143"/>
        <v>0</v>
      </c>
      <c r="FF95" s="152">
        <f t="shared" ca="1" si="143"/>
        <v>0</v>
      </c>
      <c r="FG95" s="152">
        <f t="shared" ca="1" si="143"/>
        <v>0</v>
      </c>
      <c r="FH95" s="152">
        <f t="shared" ca="1" si="143"/>
        <v>0</v>
      </c>
      <c r="FI95" s="152">
        <f t="shared" ca="1" si="144"/>
        <v>0</v>
      </c>
      <c r="FJ95" s="152">
        <f t="shared" ca="1" si="144"/>
        <v>0</v>
      </c>
      <c r="FK95" s="152">
        <f t="shared" ca="1" si="144"/>
        <v>0</v>
      </c>
      <c r="FL95" s="152">
        <f t="shared" ca="1" si="144"/>
        <v>0</v>
      </c>
      <c r="FM95" s="152">
        <f t="shared" ca="1" si="144"/>
        <v>0</v>
      </c>
      <c r="FN95" s="152">
        <f t="shared" ca="1" si="144"/>
        <v>0</v>
      </c>
      <c r="FO95" s="152">
        <f t="shared" ca="1" si="144"/>
        <v>0</v>
      </c>
      <c r="FP95" s="152">
        <f t="shared" ca="1" si="144"/>
        <v>0</v>
      </c>
      <c r="FQ95" s="152">
        <f t="shared" ca="1" si="144"/>
        <v>0</v>
      </c>
      <c r="FR95" s="152">
        <f t="shared" ca="1" si="144"/>
        <v>0</v>
      </c>
      <c r="FS95" s="152">
        <f t="shared" ca="1" si="145"/>
        <v>0</v>
      </c>
      <c r="FT95" s="152">
        <f t="shared" ca="1" si="145"/>
        <v>0</v>
      </c>
      <c r="FU95" s="152">
        <f t="shared" ca="1" si="145"/>
        <v>0</v>
      </c>
      <c r="FV95" s="152">
        <f t="shared" ca="1" si="145"/>
        <v>0</v>
      </c>
      <c r="FW95" s="152">
        <f t="shared" ca="1" si="145"/>
        <v>0</v>
      </c>
      <c r="FX95" s="152">
        <f t="shared" ca="1" si="145"/>
        <v>0</v>
      </c>
      <c r="FY95" s="152">
        <f t="shared" ca="1" si="145"/>
        <v>0</v>
      </c>
      <c r="FZ95" s="152">
        <f t="shared" ca="1" si="145"/>
        <v>0</v>
      </c>
      <c r="GA95" s="152">
        <f t="shared" ca="1" si="145"/>
        <v>0</v>
      </c>
      <c r="GB95" s="152">
        <f t="shared" ca="1" si="145"/>
        <v>0</v>
      </c>
      <c r="GC95" s="152">
        <f t="shared" ca="1" si="146"/>
        <v>0</v>
      </c>
      <c r="GD95" s="152">
        <f t="shared" ca="1" si="146"/>
        <v>0</v>
      </c>
      <c r="GE95" s="152">
        <f t="shared" ca="1" si="146"/>
        <v>0</v>
      </c>
      <c r="GF95" s="152">
        <f t="shared" ca="1" si="146"/>
        <v>0</v>
      </c>
      <c r="GG95" s="152">
        <f t="shared" ca="1" si="146"/>
        <v>0</v>
      </c>
      <c r="GH95" s="152">
        <f t="shared" ca="1" si="146"/>
        <v>0</v>
      </c>
      <c r="GI95" s="152">
        <f t="shared" ca="1" si="146"/>
        <v>0</v>
      </c>
      <c r="GJ95" s="152">
        <f t="shared" ca="1" si="146"/>
        <v>0</v>
      </c>
      <c r="GK95" s="152">
        <f t="shared" ca="1" si="146"/>
        <v>0</v>
      </c>
      <c r="GL95" s="152">
        <f t="shared" ca="1" si="146"/>
        <v>0</v>
      </c>
      <c r="GM95" s="152">
        <f t="shared" ca="1" si="147"/>
        <v>0</v>
      </c>
      <c r="GN95" s="152">
        <f t="shared" ca="1" si="147"/>
        <v>0</v>
      </c>
      <c r="GO95" s="152">
        <f t="shared" ca="1" si="147"/>
        <v>0</v>
      </c>
      <c r="GP95" s="152">
        <f t="shared" ca="1" si="147"/>
        <v>0</v>
      </c>
      <c r="GQ95" s="152">
        <f t="shared" ca="1" si="147"/>
        <v>0</v>
      </c>
      <c r="GR95" s="152">
        <f t="shared" ca="1" si="147"/>
        <v>0</v>
      </c>
      <c r="GS95" s="152">
        <f t="shared" ca="1" si="147"/>
        <v>0</v>
      </c>
      <c r="GT95" s="152">
        <f t="shared" ca="1" si="147"/>
        <v>0</v>
      </c>
      <c r="GU95" s="152">
        <f t="shared" ca="1" si="147"/>
        <v>0</v>
      </c>
      <c r="GV95" s="152">
        <f t="shared" ca="1" si="147"/>
        <v>0</v>
      </c>
      <c r="GW95" s="152">
        <f t="shared" ca="1" si="148"/>
        <v>0</v>
      </c>
      <c r="GX95" s="152">
        <f t="shared" ca="1" si="148"/>
        <v>0</v>
      </c>
      <c r="GY95" s="152">
        <f t="shared" ca="1" si="148"/>
        <v>0</v>
      </c>
      <c r="GZ95" s="152">
        <f t="shared" ca="1" si="148"/>
        <v>0</v>
      </c>
      <c r="HA95" s="152">
        <f t="shared" ca="1" si="148"/>
        <v>0</v>
      </c>
      <c r="HB95" s="152">
        <f t="shared" ca="1" si="148"/>
        <v>0</v>
      </c>
      <c r="HC95" s="152">
        <f t="shared" ca="1" si="148"/>
        <v>0</v>
      </c>
      <c r="HD95" s="152">
        <f t="shared" ca="1" si="148"/>
        <v>0</v>
      </c>
      <c r="HE95" s="152">
        <f t="shared" ca="1" si="148"/>
        <v>0</v>
      </c>
      <c r="HF95" s="152">
        <f t="shared" ca="1" si="148"/>
        <v>0</v>
      </c>
      <c r="HG95" s="152">
        <f t="shared" ca="1" si="149"/>
        <v>0</v>
      </c>
      <c r="HH95" s="152">
        <f t="shared" ca="1" si="149"/>
        <v>0</v>
      </c>
      <c r="HI95" s="152">
        <f t="shared" ca="1" si="149"/>
        <v>0</v>
      </c>
      <c r="HJ95" s="152">
        <f t="shared" ca="1" si="149"/>
        <v>0</v>
      </c>
      <c r="HK95" s="152">
        <f t="shared" ca="1" si="149"/>
        <v>0</v>
      </c>
      <c r="HL95" s="152">
        <f t="shared" ca="1" si="149"/>
        <v>0</v>
      </c>
      <c r="HM95" s="152">
        <f t="shared" ca="1" si="149"/>
        <v>0</v>
      </c>
      <c r="HN95" s="152">
        <f t="shared" ca="1" si="149"/>
        <v>0</v>
      </c>
      <c r="HO95" s="152">
        <f t="shared" ca="1" si="149"/>
        <v>0</v>
      </c>
      <c r="HP95" s="152">
        <f t="shared" ca="1" si="149"/>
        <v>0</v>
      </c>
      <c r="HQ95" s="152">
        <f t="shared" ca="1" si="150"/>
        <v>0</v>
      </c>
      <c r="HR95" s="152">
        <f t="shared" ca="1" si="150"/>
        <v>0</v>
      </c>
      <c r="HS95" s="152">
        <f t="shared" ca="1" si="150"/>
        <v>0</v>
      </c>
      <c r="HT95" s="152">
        <f t="shared" ca="1" si="150"/>
        <v>0</v>
      </c>
      <c r="HU95" s="152">
        <f t="shared" ca="1" si="150"/>
        <v>0</v>
      </c>
      <c r="HV95" s="152">
        <f t="shared" ca="1" si="150"/>
        <v>0</v>
      </c>
      <c r="HW95" s="152">
        <f t="shared" ca="1" si="150"/>
        <v>0</v>
      </c>
      <c r="HX95" s="152">
        <f t="shared" ca="1" si="150"/>
        <v>0</v>
      </c>
      <c r="HY95" s="152">
        <f t="shared" ca="1" si="150"/>
        <v>0</v>
      </c>
      <c r="HZ95" s="152">
        <f t="shared" ca="1" si="150"/>
        <v>0</v>
      </c>
      <c r="IA95" s="152">
        <f t="shared" ca="1" si="151"/>
        <v>0</v>
      </c>
      <c r="IB95" s="152">
        <f t="shared" ca="1" si="151"/>
        <v>0</v>
      </c>
      <c r="IC95" s="152">
        <f t="shared" ca="1" si="151"/>
        <v>0</v>
      </c>
      <c r="ID95" s="152">
        <f t="shared" ca="1" si="151"/>
        <v>0</v>
      </c>
      <c r="IE95" s="152">
        <f t="shared" ca="1" si="151"/>
        <v>0</v>
      </c>
      <c r="IF95" s="152">
        <f t="shared" ca="1" si="151"/>
        <v>0</v>
      </c>
      <c r="IG95" s="152">
        <f t="shared" ca="1" si="151"/>
        <v>0</v>
      </c>
      <c r="IH95" s="152">
        <f t="shared" ca="1" si="151"/>
        <v>0</v>
      </c>
      <c r="II95" s="152">
        <f t="shared" ca="1" si="151"/>
        <v>0</v>
      </c>
      <c r="IJ95" s="152">
        <f t="shared" ca="1" si="151"/>
        <v>0</v>
      </c>
      <c r="IK95" s="152">
        <f t="shared" ca="1" si="151"/>
        <v>0</v>
      </c>
      <c r="IL95" s="152">
        <f t="shared" ca="1" si="151"/>
        <v>0</v>
      </c>
      <c r="IM95" s="152">
        <f t="shared" ca="1" si="152"/>
        <v>0</v>
      </c>
      <c r="IN95" s="152">
        <f t="shared" ca="1" si="152"/>
        <v>0</v>
      </c>
      <c r="IO95" s="152">
        <f t="shared" ca="1" si="152"/>
        <v>0</v>
      </c>
      <c r="IP95" s="152">
        <f t="shared" ca="1" si="152"/>
        <v>0</v>
      </c>
      <c r="IQ95" s="152">
        <f t="shared" ca="1" si="152"/>
        <v>0</v>
      </c>
      <c r="IR95" s="152">
        <f t="shared" ca="1" si="152"/>
        <v>0</v>
      </c>
      <c r="IS95" s="152">
        <f t="shared" ca="1" si="152"/>
        <v>0</v>
      </c>
      <c r="IT95" s="152">
        <f t="shared" ca="1" si="152"/>
        <v>0</v>
      </c>
      <c r="IU95" s="152">
        <f t="shared" ca="1" si="152"/>
        <v>0</v>
      </c>
      <c r="IV95" s="152">
        <f t="shared" ca="1" si="152"/>
        <v>0</v>
      </c>
      <c r="IW95" s="152">
        <f t="shared" ca="1" si="152"/>
        <v>0</v>
      </c>
      <c r="IX95" s="152">
        <f t="shared" ca="1" si="152"/>
        <v>0</v>
      </c>
      <c r="IY95" s="152">
        <f t="shared" ca="1" si="152"/>
        <v>0</v>
      </c>
      <c r="IZ95" s="152">
        <f t="shared" ca="1" si="152"/>
        <v>0</v>
      </c>
      <c r="JA95" s="152">
        <f t="shared" ca="1" si="154"/>
        <v>0</v>
      </c>
      <c r="JB95" s="152">
        <f t="shared" ca="1" si="154"/>
        <v>0</v>
      </c>
      <c r="JC95" s="152">
        <f t="shared" ca="1" si="154"/>
        <v>0</v>
      </c>
      <c r="JD95" s="604"/>
    </row>
    <row r="96" spans="1:264" ht="12.75" customHeight="1" thickBot="1" x14ac:dyDescent="0.3">
      <c r="A96" s="279"/>
      <c r="B96" s="41"/>
      <c r="C96" s="82"/>
      <c r="D96" s="41"/>
      <c r="E96" s="9"/>
      <c r="F96" s="9"/>
      <c r="G96" s="9"/>
      <c r="H96" s="10"/>
      <c r="I96" s="10"/>
      <c r="J96" s="10"/>
      <c r="K96" s="10"/>
      <c r="L96" s="10"/>
      <c r="M96" s="10"/>
      <c r="N96" s="9"/>
      <c r="O96" s="9"/>
      <c r="P96" s="44"/>
      <c r="Q96" s="44"/>
      <c r="R96" s="9"/>
      <c r="S96" s="9"/>
      <c r="T96" s="9"/>
      <c r="U96" s="9"/>
      <c r="V96" s="9"/>
      <c r="W96" s="9"/>
      <c r="X96" s="9"/>
      <c r="Y96" s="9"/>
      <c r="Z96" s="9"/>
      <c r="AA96" s="9"/>
      <c r="AB96" s="9"/>
      <c r="AC96" s="9"/>
      <c r="AD96" s="657">
        <f>ROW('2 Staff List'!IA64)</f>
        <v>64</v>
      </c>
      <c r="AE96" s="654">
        <f ca="1">OFFSET('2 Staff List'!$IB$64,AJ96-1,0)</f>
        <v>0</v>
      </c>
      <c r="AF96" s="654">
        <f t="shared" si="125"/>
        <v>173.92857142857142</v>
      </c>
      <c r="AG96" s="9"/>
      <c r="AH96" s="654">
        <f t="shared" si="126"/>
        <v>239.15178571428569</v>
      </c>
      <c r="AI96" s="654">
        <v>1</v>
      </c>
      <c r="AJ96" s="654">
        <f ca="1">OFFSET('2 Staff List'!$GU$64,AI96-1,0)</f>
        <v>1</v>
      </c>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1282">
        <f ca="1">OFFSET('2 Staff List'!$HW$64,AJ96-1,0)</f>
        <v>0</v>
      </c>
      <c r="DZ96" s="1283" t="str">
        <f ca="1">OFFSET('2 Staff List'!$HZ$64,AJ96-1,0)</f>
        <v>L1A Designated Project Executive</v>
      </c>
      <c r="EA96" s="3686" t="str">
        <f ca="1">OFFSET('2 Staff List'!$IA$64,AJ96-1,0)</f>
        <v>Waite Andy</v>
      </c>
      <c r="EB96" s="3687"/>
      <c r="EC96" s="3688">
        <f t="shared" ca="1" si="128"/>
        <v>0</v>
      </c>
      <c r="ED96" s="3689"/>
      <c r="EE96" s="3675"/>
      <c r="EF96" s="3676"/>
      <c r="EG96" s="155">
        <f t="shared" ca="1" si="141"/>
        <v>0</v>
      </c>
      <c r="EH96" s="152">
        <f t="shared" ca="1" si="141"/>
        <v>0</v>
      </c>
      <c r="EI96" s="156">
        <f t="shared" ca="1" si="141"/>
        <v>0</v>
      </c>
      <c r="EJ96" s="156">
        <f t="shared" ca="1" si="141"/>
        <v>0</v>
      </c>
      <c r="EK96" s="156">
        <f t="shared" ca="1" si="141"/>
        <v>0</v>
      </c>
      <c r="EL96" s="156">
        <f t="shared" ca="1" si="141"/>
        <v>0</v>
      </c>
      <c r="EM96" s="156">
        <f t="shared" ca="1" si="141"/>
        <v>0</v>
      </c>
      <c r="EN96" s="156">
        <f t="shared" ca="1" si="141"/>
        <v>0</v>
      </c>
      <c r="EO96" s="156">
        <f t="shared" ca="1" si="141"/>
        <v>0</v>
      </c>
      <c r="EP96" s="156">
        <f t="shared" ca="1" si="141"/>
        <v>0</v>
      </c>
      <c r="EQ96" s="156">
        <f t="shared" ca="1" si="142"/>
        <v>0</v>
      </c>
      <c r="ER96" s="156">
        <f t="shared" ca="1" si="142"/>
        <v>0</v>
      </c>
      <c r="ES96" s="156">
        <f t="shared" ca="1" si="142"/>
        <v>0</v>
      </c>
      <c r="ET96" s="156">
        <f t="shared" ca="1" si="142"/>
        <v>0</v>
      </c>
      <c r="EU96" s="156">
        <f t="shared" ca="1" si="142"/>
        <v>0</v>
      </c>
      <c r="EV96" s="156">
        <f t="shared" ca="1" si="142"/>
        <v>0</v>
      </c>
      <c r="EW96" s="156">
        <f t="shared" ca="1" si="142"/>
        <v>0</v>
      </c>
      <c r="EX96" s="156">
        <f t="shared" ca="1" si="129"/>
        <v>0</v>
      </c>
      <c r="EY96" s="156">
        <f t="shared" ref="EY96:HJ96" ca="1" si="155">IFERROR(SUMIFS(EY$129:EY$305,$DF$129:$DF$305,1,$DY$129:$DY$305,$EA96)*EY$17,0)</f>
        <v>0</v>
      </c>
      <c r="EZ96" s="156">
        <f t="shared" ca="1" si="155"/>
        <v>0</v>
      </c>
      <c r="FA96" s="156">
        <f t="shared" ca="1" si="155"/>
        <v>0</v>
      </c>
      <c r="FB96" s="156">
        <f t="shared" ca="1" si="155"/>
        <v>0</v>
      </c>
      <c r="FC96" s="156">
        <f t="shared" ca="1" si="155"/>
        <v>0</v>
      </c>
      <c r="FD96" s="156">
        <f t="shared" ca="1" si="155"/>
        <v>0</v>
      </c>
      <c r="FE96" s="156">
        <f t="shared" ca="1" si="155"/>
        <v>0</v>
      </c>
      <c r="FF96" s="156">
        <f t="shared" ca="1" si="155"/>
        <v>0</v>
      </c>
      <c r="FG96" s="156">
        <f t="shared" ca="1" si="155"/>
        <v>0</v>
      </c>
      <c r="FH96" s="156">
        <f t="shared" ca="1" si="155"/>
        <v>0</v>
      </c>
      <c r="FI96" s="156">
        <f t="shared" ca="1" si="155"/>
        <v>0</v>
      </c>
      <c r="FJ96" s="156">
        <f t="shared" ca="1" si="155"/>
        <v>0</v>
      </c>
      <c r="FK96" s="156">
        <f t="shared" ca="1" si="155"/>
        <v>0</v>
      </c>
      <c r="FL96" s="156">
        <f t="shared" ca="1" si="155"/>
        <v>0</v>
      </c>
      <c r="FM96" s="156">
        <f t="shared" ca="1" si="155"/>
        <v>0</v>
      </c>
      <c r="FN96" s="156">
        <f t="shared" ca="1" si="155"/>
        <v>0</v>
      </c>
      <c r="FO96" s="156">
        <f t="shared" ca="1" si="155"/>
        <v>0</v>
      </c>
      <c r="FP96" s="156">
        <f t="shared" ca="1" si="155"/>
        <v>0</v>
      </c>
      <c r="FQ96" s="156">
        <f t="shared" ca="1" si="155"/>
        <v>0</v>
      </c>
      <c r="FR96" s="156">
        <f t="shared" ca="1" si="155"/>
        <v>0</v>
      </c>
      <c r="FS96" s="156">
        <f t="shared" ca="1" si="155"/>
        <v>0</v>
      </c>
      <c r="FT96" s="156">
        <f t="shared" ca="1" si="155"/>
        <v>0</v>
      </c>
      <c r="FU96" s="156">
        <f t="shared" ca="1" si="155"/>
        <v>0</v>
      </c>
      <c r="FV96" s="156">
        <f t="shared" ca="1" si="155"/>
        <v>0</v>
      </c>
      <c r="FW96" s="156">
        <f t="shared" ca="1" si="155"/>
        <v>0</v>
      </c>
      <c r="FX96" s="156">
        <f t="shared" ca="1" si="155"/>
        <v>0</v>
      </c>
      <c r="FY96" s="156">
        <f t="shared" ca="1" si="155"/>
        <v>0</v>
      </c>
      <c r="FZ96" s="156">
        <f t="shared" ca="1" si="155"/>
        <v>0</v>
      </c>
      <c r="GA96" s="156">
        <f t="shared" ca="1" si="155"/>
        <v>0</v>
      </c>
      <c r="GB96" s="156">
        <f t="shared" ca="1" si="155"/>
        <v>0</v>
      </c>
      <c r="GC96" s="156">
        <f t="shared" ca="1" si="155"/>
        <v>0</v>
      </c>
      <c r="GD96" s="156">
        <f t="shared" ca="1" si="155"/>
        <v>0</v>
      </c>
      <c r="GE96" s="156">
        <f t="shared" ca="1" si="155"/>
        <v>0</v>
      </c>
      <c r="GF96" s="156">
        <f t="shared" ca="1" si="155"/>
        <v>0</v>
      </c>
      <c r="GG96" s="156">
        <f t="shared" ca="1" si="155"/>
        <v>0</v>
      </c>
      <c r="GH96" s="156">
        <f t="shared" ca="1" si="155"/>
        <v>0</v>
      </c>
      <c r="GI96" s="156">
        <f t="shared" ca="1" si="155"/>
        <v>0</v>
      </c>
      <c r="GJ96" s="156">
        <f t="shared" ca="1" si="155"/>
        <v>0</v>
      </c>
      <c r="GK96" s="156">
        <f t="shared" ca="1" si="155"/>
        <v>0</v>
      </c>
      <c r="GL96" s="156">
        <f t="shared" ca="1" si="155"/>
        <v>0</v>
      </c>
      <c r="GM96" s="156">
        <f t="shared" ca="1" si="155"/>
        <v>0</v>
      </c>
      <c r="GN96" s="156">
        <f t="shared" ca="1" si="155"/>
        <v>0</v>
      </c>
      <c r="GO96" s="156">
        <f t="shared" ca="1" si="155"/>
        <v>0</v>
      </c>
      <c r="GP96" s="156">
        <f t="shared" ca="1" si="155"/>
        <v>0</v>
      </c>
      <c r="GQ96" s="156">
        <f t="shared" ca="1" si="155"/>
        <v>0</v>
      </c>
      <c r="GR96" s="156">
        <f t="shared" ca="1" si="155"/>
        <v>0</v>
      </c>
      <c r="GS96" s="156">
        <f t="shared" ca="1" si="155"/>
        <v>0</v>
      </c>
      <c r="GT96" s="156">
        <f t="shared" ca="1" si="155"/>
        <v>0</v>
      </c>
      <c r="GU96" s="156">
        <f t="shared" ca="1" si="155"/>
        <v>0</v>
      </c>
      <c r="GV96" s="156">
        <f t="shared" ca="1" si="155"/>
        <v>0</v>
      </c>
      <c r="GW96" s="156">
        <f t="shared" ca="1" si="155"/>
        <v>0</v>
      </c>
      <c r="GX96" s="156">
        <f t="shared" ca="1" si="155"/>
        <v>0</v>
      </c>
      <c r="GY96" s="156">
        <f t="shared" ca="1" si="155"/>
        <v>0</v>
      </c>
      <c r="GZ96" s="156">
        <f t="shared" ca="1" si="155"/>
        <v>0</v>
      </c>
      <c r="HA96" s="156">
        <f t="shared" ca="1" si="155"/>
        <v>0</v>
      </c>
      <c r="HB96" s="156">
        <f t="shared" ca="1" si="155"/>
        <v>0</v>
      </c>
      <c r="HC96" s="156">
        <f t="shared" ca="1" si="155"/>
        <v>0</v>
      </c>
      <c r="HD96" s="156">
        <f t="shared" ca="1" si="155"/>
        <v>0</v>
      </c>
      <c r="HE96" s="156">
        <f t="shared" ca="1" si="155"/>
        <v>0</v>
      </c>
      <c r="HF96" s="156">
        <f t="shared" ca="1" si="155"/>
        <v>0</v>
      </c>
      <c r="HG96" s="156">
        <f t="shared" ca="1" si="155"/>
        <v>0</v>
      </c>
      <c r="HH96" s="156">
        <f t="shared" ca="1" si="155"/>
        <v>0</v>
      </c>
      <c r="HI96" s="156">
        <f t="shared" ca="1" si="155"/>
        <v>0</v>
      </c>
      <c r="HJ96" s="156">
        <f t="shared" ca="1" si="155"/>
        <v>0</v>
      </c>
      <c r="HK96" s="156">
        <f t="shared" ref="HK96:IL96" ca="1" si="156">IFERROR(SUMIFS(HK$129:HK$305,$DF$129:$DF$305,1,$DY$129:$DY$305,$EA96)*HK$17,0)</f>
        <v>0</v>
      </c>
      <c r="HL96" s="156">
        <f t="shared" ca="1" si="156"/>
        <v>0</v>
      </c>
      <c r="HM96" s="156">
        <f t="shared" ca="1" si="156"/>
        <v>0</v>
      </c>
      <c r="HN96" s="156">
        <f t="shared" ca="1" si="156"/>
        <v>0</v>
      </c>
      <c r="HO96" s="156">
        <f t="shared" ca="1" si="156"/>
        <v>0</v>
      </c>
      <c r="HP96" s="156">
        <f t="shared" ca="1" si="156"/>
        <v>0</v>
      </c>
      <c r="HQ96" s="156">
        <f t="shared" ca="1" si="156"/>
        <v>0</v>
      </c>
      <c r="HR96" s="156">
        <f t="shared" ca="1" si="156"/>
        <v>0</v>
      </c>
      <c r="HS96" s="156">
        <f t="shared" ca="1" si="156"/>
        <v>0</v>
      </c>
      <c r="HT96" s="156">
        <f t="shared" ca="1" si="156"/>
        <v>0</v>
      </c>
      <c r="HU96" s="156">
        <f t="shared" ca="1" si="156"/>
        <v>0</v>
      </c>
      <c r="HV96" s="156">
        <f t="shared" ca="1" si="156"/>
        <v>0</v>
      </c>
      <c r="HW96" s="156">
        <f t="shared" ca="1" si="156"/>
        <v>0</v>
      </c>
      <c r="HX96" s="156">
        <f t="shared" ca="1" si="156"/>
        <v>0</v>
      </c>
      <c r="HY96" s="156">
        <f t="shared" ca="1" si="156"/>
        <v>0</v>
      </c>
      <c r="HZ96" s="156">
        <f t="shared" ca="1" si="156"/>
        <v>0</v>
      </c>
      <c r="IA96" s="156">
        <f t="shared" ca="1" si="156"/>
        <v>0</v>
      </c>
      <c r="IB96" s="156">
        <f t="shared" ca="1" si="156"/>
        <v>0</v>
      </c>
      <c r="IC96" s="156">
        <f t="shared" ca="1" si="156"/>
        <v>0</v>
      </c>
      <c r="ID96" s="156">
        <f t="shared" ca="1" si="156"/>
        <v>0</v>
      </c>
      <c r="IE96" s="156">
        <f t="shared" ca="1" si="156"/>
        <v>0</v>
      </c>
      <c r="IF96" s="156">
        <f t="shared" ca="1" si="156"/>
        <v>0</v>
      </c>
      <c r="IG96" s="156">
        <f t="shared" ca="1" si="156"/>
        <v>0</v>
      </c>
      <c r="IH96" s="156">
        <f t="shared" ca="1" si="156"/>
        <v>0</v>
      </c>
      <c r="II96" s="156">
        <f t="shared" ca="1" si="156"/>
        <v>0</v>
      </c>
      <c r="IJ96" s="156">
        <f t="shared" ca="1" si="156"/>
        <v>0</v>
      </c>
      <c r="IK96" s="156">
        <f t="shared" ca="1" si="156"/>
        <v>0</v>
      </c>
      <c r="IL96" s="156">
        <f t="shared" ca="1" si="156"/>
        <v>0</v>
      </c>
      <c r="IM96" s="156">
        <f t="shared" ca="1" si="152"/>
        <v>0</v>
      </c>
      <c r="IN96" s="156">
        <f t="shared" ca="1" si="152"/>
        <v>0</v>
      </c>
      <c r="IO96" s="156">
        <f t="shared" ca="1" si="152"/>
        <v>0</v>
      </c>
      <c r="IP96" s="156">
        <f t="shared" ca="1" si="152"/>
        <v>0</v>
      </c>
      <c r="IQ96" s="156">
        <f t="shared" ca="1" si="152"/>
        <v>0</v>
      </c>
      <c r="IR96" s="156">
        <f t="shared" ca="1" si="152"/>
        <v>0</v>
      </c>
      <c r="IS96" s="156">
        <f t="shared" ca="1" si="152"/>
        <v>0</v>
      </c>
      <c r="IT96" s="156">
        <f t="shared" ca="1" si="152"/>
        <v>0</v>
      </c>
      <c r="IU96" s="156">
        <f t="shared" ca="1" si="152"/>
        <v>0</v>
      </c>
      <c r="IV96" s="156">
        <f t="shared" ca="1" si="152"/>
        <v>0</v>
      </c>
      <c r="IW96" s="156">
        <f t="shared" ca="1" si="152"/>
        <v>0</v>
      </c>
      <c r="IX96" s="156">
        <f t="shared" ca="1" si="152"/>
        <v>0</v>
      </c>
      <c r="IY96" s="156">
        <f t="shared" ca="1" si="152"/>
        <v>0</v>
      </c>
      <c r="IZ96" s="156">
        <f t="shared" ca="1" si="152"/>
        <v>0</v>
      </c>
      <c r="JA96" s="156">
        <f t="shared" ca="1" si="154"/>
        <v>0</v>
      </c>
      <c r="JB96" s="156">
        <f t="shared" ca="1" si="154"/>
        <v>0</v>
      </c>
      <c r="JC96" s="156">
        <f t="shared" ca="1" si="154"/>
        <v>0</v>
      </c>
      <c r="JD96" s="611"/>
    </row>
    <row r="97" spans="1:265" ht="40.5" customHeight="1" x14ac:dyDescent="0.25">
      <c r="A97" s="279"/>
      <c r="B97" s="41"/>
      <c r="C97" s="82"/>
      <c r="D97" s="41"/>
      <c r="E97" s="9"/>
      <c r="F97" s="9"/>
      <c r="G97" s="9"/>
      <c r="H97" s="10"/>
      <c r="I97" s="10"/>
      <c r="J97" s="10"/>
      <c r="K97" s="10"/>
      <c r="L97" s="10"/>
      <c r="M97" s="10"/>
      <c r="N97" s="9"/>
      <c r="O97" s="9"/>
      <c r="P97" s="44"/>
      <c r="Q97" s="44"/>
      <c r="R97" s="9"/>
      <c r="S97" s="9"/>
      <c r="T97" s="9"/>
      <c r="U97" s="9"/>
      <c r="V97" s="9"/>
      <c r="W97" s="9"/>
      <c r="X97" s="9"/>
      <c r="Y97" s="9"/>
      <c r="Z97" s="9"/>
      <c r="AA97" s="9"/>
      <c r="AB97" s="9"/>
      <c r="AC97" s="9"/>
      <c r="AD97" s="3721" t="s">
        <v>107</v>
      </c>
      <c r="AE97" s="3657" t="s">
        <v>451</v>
      </c>
      <c r="AF97" s="3657" t="s">
        <v>59</v>
      </c>
      <c r="AG97" s="9"/>
      <c r="AH97" s="3657" t="s">
        <v>87</v>
      </c>
      <c r="AI97" s="3657" t="s">
        <v>760</v>
      </c>
      <c r="AJ97" s="3657" t="s">
        <v>761</v>
      </c>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660" t="s">
        <v>1374</v>
      </c>
      <c r="DZ97" s="1257" t="s">
        <v>14</v>
      </c>
      <c r="EA97" s="3672" t="s">
        <v>9</v>
      </c>
      <c r="EB97" s="3672"/>
      <c r="EC97" s="3671" t="s">
        <v>1</v>
      </c>
      <c r="ED97" s="3671"/>
      <c r="EE97" s="3660" t="s">
        <v>473</v>
      </c>
      <c r="EF97" s="3661"/>
      <c r="EG97" s="1803" t="str">
        <f t="shared" ref="EG97:EI97" si="157">IF(EG127&gt;0,EG126,"")</f>
        <v/>
      </c>
      <c r="EH97" s="1803" t="str">
        <f t="shared" si="157"/>
        <v/>
      </c>
      <c r="EI97" s="1803" t="str">
        <f t="shared" si="157"/>
        <v/>
      </c>
      <c r="EJ97" s="1803" t="str">
        <f>IF(EJ127&gt;0,EJ126,"")</f>
        <v/>
      </c>
      <c r="EK97" s="1803" t="str">
        <f t="shared" ref="EK97:GV97" si="158">IF(EK127&gt;0,EK126,"")</f>
        <v/>
      </c>
      <c r="EL97" s="1803" t="str">
        <f t="shared" si="158"/>
        <v/>
      </c>
      <c r="EM97" s="1803" t="str">
        <f t="shared" si="158"/>
        <v/>
      </c>
      <c r="EN97" s="1803" t="str">
        <f t="shared" si="158"/>
        <v/>
      </c>
      <c r="EO97" s="1803" t="str">
        <f t="shared" si="158"/>
        <v/>
      </c>
      <c r="EP97" s="1803" t="str">
        <f t="shared" si="158"/>
        <v/>
      </c>
      <c r="EQ97" s="1803" t="str">
        <f t="shared" si="158"/>
        <v/>
      </c>
      <c r="ER97" s="1803" t="str">
        <f t="shared" si="158"/>
        <v/>
      </c>
      <c r="ES97" s="1803" t="str">
        <f t="shared" si="158"/>
        <v/>
      </c>
      <c r="ET97" s="1803" t="str">
        <f t="shared" si="158"/>
        <v/>
      </c>
      <c r="EU97" s="1803" t="str">
        <f t="shared" si="158"/>
        <v/>
      </c>
      <c r="EV97" s="1803" t="str">
        <f t="shared" si="158"/>
        <v/>
      </c>
      <c r="EW97" s="1803" t="str">
        <f t="shared" si="158"/>
        <v/>
      </c>
      <c r="EX97" s="1803" t="str">
        <f t="shared" si="158"/>
        <v/>
      </c>
      <c r="EY97" s="1803" t="str">
        <f t="shared" si="158"/>
        <v/>
      </c>
      <c r="EZ97" s="1803" t="str">
        <f t="shared" si="158"/>
        <v/>
      </c>
      <c r="FA97" s="1803" t="str">
        <f t="shared" si="158"/>
        <v/>
      </c>
      <c r="FB97" s="1803" t="str">
        <f t="shared" si="158"/>
        <v/>
      </c>
      <c r="FC97" s="1803" t="str">
        <f t="shared" si="158"/>
        <v/>
      </c>
      <c r="FD97" s="1803" t="str">
        <f t="shared" si="158"/>
        <v/>
      </c>
      <c r="FE97" s="1803" t="str">
        <f t="shared" si="158"/>
        <v/>
      </c>
      <c r="FF97" s="1803" t="str">
        <f t="shared" si="158"/>
        <v/>
      </c>
      <c r="FG97" s="1803" t="str">
        <f t="shared" si="158"/>
        <v/>
      </c>
      <c r="FH97" s="1803" t="str">
        <f t="shared" si="158"/>
        <v/>
      </c>
      <c r="FI97" s="1803" t="str">
        <f t="shared" si="158"/>
        <v/>
      </c>
      <c r="FJ97" s="1803" t="str">
        <f t="shared" si="158"/>
        <v/>
      </c>
      <c r="FK97" s="1803" t="str">
        <f t="shared" si="158"/>
        <v/>
      </c>
      <c r="FL97" s="1803" t="str">
        <f t="shared" si="158"/>
        <v/>
      </c>
      <c r="FM97" s="1803" t="str">
        <f t="shared" si="158"/>
        <v/>
      </c>
      <c r="FN97" s="1803" t="str">
        <f t="shared" si="158"/>
        <v/>
      </c>
      <c r="FO97" s="1803" t="str">
        <f t="shared" si="158"/>
        <v/>
      </c>
      <c r="FP97" s="1803" t="str">
        <f t="shared" si="158"/>
        <v/>
      </c>
      <c r="FQ97" s="1803" t="str">
        <f t="shared" si="158"/>
        <v/>
      </c>
      <c r="FR97" s="1803" t="str">
        <f t="shared" si="158"/>
        <v/>
      </c>
      <c r="FS97" s="1803" t="str">
        <f t="shared" si="158"/>
        <v/>
      </c>
      <c r="FT97" s="1803" t="str">
        <f t="shared" si="158"/>
        <v/>
      </c>
      <c r="FU97" s="1803" t="str">
        <f t="shared" si="158"/>
        <v/>
      </c>
      <c r="FV97" s="1803" t="str">
        <f t="shared" si="158"/>
        <v/>
      </c>
      <c r="FW97" s="1803" t="str">
        <f t="shared" si="158"/>
        <v/>
      </c>
      <c r="FX97" s="1803" t="str">
        <f t="shared" si="158"/>
        <v/>
      </c>
      <c r="FY97" s="1803" t="str">
        <f t="shared" si="158"/>
        <v/>
      </c>
      <c r="FZ97" s="1803" t="str">
        <f t="shared" si="158"/>
        <v/>
      </c>
      <c r="GA97" s="1803" t="str">
        <f t="shared" si="158"/>
        <v/>
      </c>
      <c r="GB97" s="1803" t="str">
        <f t="shared" si="158"/>
        <v/>
      </c>
      <c r="GC97" s="1803" t="str">
        <f t="shared" si="158"/>
        <v/>
      </c>
      <c r="GD97" s="1803" t="str">
        <f t="shared" si="158"/>
        <v/>
      </c>
      <c r="GE97" s="1803" t="str">
        <f t="shared" si="158"/>
        <v/>
      </c>
      <c r="GF97" s="1803" t="str">
        <f t="shared" si="158"/>
        <v/>
      </c>
      <c r="GG97" s="1803" t="str">
        <f t="shared" si="158"/>
        <v/>
      </c>
      <c r="GH97" s="1803" t="str">
        <f t="shared" si="158"/>
        <v/>
      </c>
      <c r="GI97" s="1803" t="str">
        <f t="shared" si="158"/>
        <v/>
      </c>
      <c r="GJ97" s="1803" t="str">
        <f t="shared" si="158"/>
        <v/>
      </c>
      <c r="GK97" s="1803" t="str">
        <f t="shared" si="158"/>
        <v/>
      </c>
      <c r="GL97" s="1803" t="str">
        <f t="shared" si="158"/>
        <v/>
      </c>
      <c r="GM97" s="1803" t="str">
        <f t="shared" si="158"/>
        <v/>
      </c>
      <c r="GN97" s="1803" t="str">
        <f t="shared" si="158"/>
        <v/>
      </c>
      <c r="GO97" s="1803" t="str">
        <f t="shared" si="158"/>
        <v/>
      </c>
      <c r="GP97" s="1803" t="str">
        <f t="shared" si="158"/>
        <v/>
      </c>
      <c r="GQ97" s="1803" t="str">
        <f t="shared" si="158"/>
        <v/>
      </c>
      <c r="GR97" s="1803" t="str">
        <f t="shared" si="158"/>
        <v/>
      </c>
      <c r="GS97" s="1803" t="str">
        <f t="shared" si="158"/>
        <v/>
      </c>
      <c r="GT97" s="1803" t="str">
        <f t="shared" si="158"/>
        <v/>
      </c>
      <c r="GU97" s="1803" t="str">
        <f t="shared" si="158"/>
        <v/>
      </c>
      <c r="GV97" s="1803" t="str">
        <f t="shared" si="158"/>
        <v/>
      </c>
      <c r="GW97" s="1803" t="str">
        <f>IF(GW127&gt;0,GW126,"")</f>
        <v/>
      </c>
      <c r="GX97" s="1803" t="str">
        <f>IF(GX127&gt;0,GX126,"")</f>
        <v/>
      </c>
      <c r="GY97" s="1803" t="str">
        <f>IF(GY127&gt;0,GY126,"")</f>
        <v/>
      </c>
      <c r="GZ97" s="1803" t="str">
        <f t="shared" ref="GZ97:JC97" si="159">IF(GZ127&gt;0,GZ126,"")</f>
        <v/>
      </c>
      <c r="HA97" s="1803" t="str">
        <f t="shared" si="159"/>
        <v/>
      </c>
      <c r="HB97" s="1803" t="str">
        <f t="shared" si="159"/>
        <v/>
      </c>
      <c r="HC97" s="1803" t="str">
        <f t="shared" si="159"/>
        <v/>
      </c>
      <c r="HD97" s="1803" t="str">
        <f t="shared" si="159"/>
        <v/>
      </c>
      <c r="HE97" s="1803" t="str">
        <f t="shared" si="159"/>
        <v/>
      </c>
      <c r="HF97" s="1803" t="str">
        <f t="shared" si="159"/>
        <v/>
      </c>
      <c r="HG97" s="1803" t="str">
        <f t="shared" si="159"/>
        <v/>
      </c>
      <c r="HH97" s="1803" t="str">
        <f t="shared" si="159"/>
        <v/>
      </c>
      <c r="HI97" s="1803" t="str">
        <f t="shared" si="159"/>
        <v/>
      </c>
      <c r="HJ97" s="1803" t="str">
        <f t="shared" si="159"/>
        <v/>
      </c>
      <c r="HK97" s="1803" t="str">
        <f t="shared" si="159"/>
        <v/>
      </c>
      <c r="HL97" s="1803" t="str">
        <f t="shared" si="159"/>
        <v/>
      </c>
      <c r="HM97" s="1803" t="str">
        <f t="shared" si="159"/>
        <v/>
      </c>
      <c r="HN97" s="1803" t="str">
        <f t="shared" si="159"/>
        <v/>
      </c>
      <c r="HO97" s="1803" t="str">
        <f t="shared" si="159"/>
        <v/>
      </c>
      <c r="HP97" s="1803" t="str">
        <f t="shared" si="159"/>
        <v/>
      </c>
      <c r="HQ97" s="1803" t="str">
        <f t="shared" si="159"/>
        <v/>
      </c>
      <c r="HR97" s="1803" t="str">
        <f t="shared" si="159"/>
        <v/>
      </c>
      <c r="HS97" s="1803" t="str">
        <f t="shared" si="159"/>
        <v/>
      </c>
      <c r="HT97" s="1803" t="str">
        <f t="shared" si="159"/>
        <v/>
      </c>
      <c r="HU97" s="1803" t="str">
        <f t="shared" si="159"/>
        <v/>
      </c>
      <c r="HV97" s="1803" t="str">
        <f t="shared" si="159"/>
        <v/>
      </c>
      <c r="HW97" s="1803" t="str">
        <f t="shared" si="159"/>
        <v/>
      </c>
      <c r="HX97" s="1803" t="str">
        <f t="shared" si="159"/>
        <v/>
      </c>
      <c r="HY97" s="1803" t="str">
        <f t="shared" si="159"/>
        <v/>
      </c>
      <c r="HZ97" s="1803" t="str">
        <f t="shared" si="159"/>
        <v/>
      </c>
      <c r="IA97" s="1803" t="str">
        <f t="shared" si="159"/>
        <v/>
      </c>
      <c r="IB97" s="1803" t="str">
        <f t="shared" si="159"/>
        <v/>
      </c>
      <c r="IC97" s="1803" t="str">
        <f t="shared" si="159"/>
        <v/>
      </c>
      <c r="ID97" s="1803" t="str">
        <f t="shared" si="159"/>
        <v/>
      </c>
      <c r="IE97" s="1803" t="str">
        <f t="shared" si="159"/>
        <v/>
      </c>
      <c r="IF97" s="1803" t="str">
        <f t="shared" si="159"/>
        <v/>
      </c>
      <c r="IG97" s="1803" t="str">
        <f t="shared" si="159"/>
        <v/>
      </c>
      <c r="IH97" s="1803" t="str">
        <f t="shared" si="159"/>
        <v/>
      </c>
      <c r="II97" s="1803" t="str">
        <f t="shared" si="159"/>
        <v/>
      </c>
      <c r="IJ97" s="1803" t="str">
        <f t="shared" si="159"/>
        <v/>
      </c>
      <c r="IK97" s="1803" t="str">
        <f t="shared" si="159"/>
        <v/>
      </c>
      <c r="IL97" s="1803" t="str">
        <f t="shared" si="159"/>
        <v/>
      </c>
      <c r="IM97" s="1803" t="str">
        <f t="shared" si="159"/>
        <v/>
      </c>
      <c r="IN97" s="1803" t="str">
        <f t="shared" si="159"/>
        <v/>
      </c>
      <c r="IO97" s="1803" t="str">
        <f t="shared" si="159"/>
        <v/>
      </c>
      <c r="IP97" s="1803" t="str">
        <f t="shared" si="159"/>
        <v/>
      </c>
      <c r="IQ97" s="1803" t="str">
        <f t="shared" si="159"/>
        <v/>
      </c>
      <c r="IR97" s="1803" t="str">
        <f t="shared" si="159"/>
        <v/>
      </c>
      <c r="IS97" s="1803" t="str">
        <f t="shared" si="159"/>
        <v/>
      </c>
      <c r="IT97" s="1803" t="str">
        <f t="shared" si="159"/>
        <v/>
      </c>
      <c r="IU97" s="1803" t="str">
        <f t="shared" si="159"/>
        <v/>
      </c>
      <c r="IV97" s="1803" t="str">
        <f t="shared" si="159"/>
        <v/>
      </c>
      <c r="IW97" s="1803" t="str">
        <f t="shared" si="159"/>
        <v/>
      </c>
      <c r="IX97" s="1803" t="str">
        <f t="shared" si="159"/>
        <v/>
      </c>
      <c r="IY97" s="1803" t="str">
        <f t="shared" si="159"/>
        <v/>
      </c>
      <c r="IZ97" s="1803" t="str">
        <f t="shared" si="159"/>
        <v/>
      </c>
      <c r="JA97" s="1803" t="str">
        <f t="shared" si="159"/>
        <v/>
      </c>
      <c r="JB97" s="1803" t="str">
        <f t="shared" si="159"/>
        <v/>
      </c>
      <c r="JC97" s="1804" t="str">
        <f t="shared" si="159"/>
        <v/>
      </c>
      <c r="JD97" s="3691" t="s">
        <v>460</v>
      </c>
    </row>
    <row r="98" spans="1:265" ht="14.25" customHeight="1" x14ac:dyDescent="0.25">
      <c r="A98" s="279"/>
      <c r="B98" s="41"/>
      <c r="C98" s="82"/>
      <c r="D98" s="41"/>
      <c r="E98" s="9"/>
      <c r="F98" s="9"/>
      <c r="G98" s="9"/>
      <c r="H98" s="10"/>
      <c r="I98" s="10"/>
      <c r="J98" s="10"/>
      <c r="K98" s="10"/>
      <c r="L98" s="10"/>
      <c r="M98" s="10"/>
      <c r="N98" s="9"/>
      <c r="O98" s="9"/>
      <c r="P98" s="44"/>
      <c r="Q98" s="44"/>
      <c r="R98" s="9"/>
      <c r="S98" s="9"/>
      <c r="T98" s="9"/>
      <c r="U98" s="9"/>
      <c r="V98" s="9"/>
      <c r="W98" s="9"/>
      <c r="X98" s="9"/>
      <c r="Y98" s="9"/>
      <c r="Z98" s="9"/>
      <c r="AA98" s="9"/>
      <c r="AB98" s="9"/>
      <c r="AC98" s="9"/>
      <c r="AD98" s="3658"/>
      <c r="AE98" s="3658"/>
      <c r="AF98" s="3658"/>
      <c r="AG98" s="9"/>
      <c r="AH98" s="3658"/>
      <c r="AI98" s="3658"/>
      <c r="AJ98" s="3658"/>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159"/>
      <c r="DZ98" s="80"/>
      <c r="EA98" s="80"/>
      <c r="EB98" s="80"/>
      <c r="EC98" s="160" t="s">
        <v>538</v>
      </c>
      <c r="ED98" s="6"/>
      <c r="EE98" s="3662"/>
      <c r="EF98" s="3663"/>
      <c r="EG98" s="3690" t="str">
        <f>REPT("|",ROUND(24*EG106/$EE$31,0))</f>
        <v/>
      </c>
      <c r="EH98" s="3690" t="str">
        <f t="shared" ref="EH98:FO98" si="160">REPT("|",ROUND(24*EH106/$EE$31,0))</f>
        <v/>
      </c>
      <c r="EI98" s="3690" t="str">
        <f t="shared" si="160"/>
        <v/>
      </c>
      <c r="EJ98" s="3690" t="str">
        <f t="shared" si="160"/>
        <v/>
      </c>
      <c r="EK98" s="3690" t="str">
        <f t="shared" si="160"/>
        <v/>
      </c>
      <c r="EL98" s="3690" t="str">
        <f t="shared" si="160"/>
        <v/>
      </c>
      <c r="EM98" s="3690" t="str">
        <f t="shared" si="160"/>
        <v/>
      </c>
      <c r="EN98" s="3690" t="str">
        <f t="shared" si="160"/>
        <v/>
      </c>
      <c r="EO98" s="3690" t="str">
        <f t="shared" si="160"/>
        <v/>
      </c>
      <c r="EP98" s="3690" t="str">
        <f t="shared" si="160"/>
        <v/>
      </c>
      <c r="EQ98" s="3690" t="str">
        <f t="shared" si="160"/>
        <v/>
      </c>
      <c r="ER98" s="3690" t="str">
        <f t="shared" si="160"/>
        <v/>
      </c>
      <c r="ES98" s="3690" t="str">
        <f t="shared" si="160"/>
        <v/>
      </c>
      <c r="ET98" s="3690" t="str">
        <f t="shared" si="160"/>
        <v/>
      </c>
      <c r="EU98" s="3690" t="str">
        <f t="shared" si="160"/>
        <v/>
      </c>
      <c r="EV98" s="3690" t="str">
        <f t="shared" si="160"/>
        <v/>
      </c>
      <c r="EW98" s="3690" t="str">
        <f t="shared" si="160"/>
        <v/>
      </c>
      <c r="EX98" s="3690" t="str">
        <f t="shared" si="160"/>
        <v/>
      </c>
      <c r="EY98" s="3690" t="str">
        <f t="shared" si="160"/>
        <v/>
      </c>
      <c r="EZ98" s="3690" t="str">
        <f t="shared" si="160"/>
        <v/>
      </c>
      <c r="FA98" s="3690" t="str">
        <f t="shared" si="160"/>
        <v/>
      </c>
      <c r="FB98" s="3690" t="str">
        <f t="shared" si="160"/>
        <v/>
      </c>
      <c r="FC98" s="3690" t="str">
        <f t="shared" si="160"/>
        <v/>
      </c>
      <c r="FD98" s="3690" t="str">
        <f t="shared" si="160"/>
        <v/>
      </c>
      <c r="FE98" s="3690" t="str">
        <f t="shared" si="160"/>
        <v/>
      </c>
      <c r="FF98" s="3690" t="str">
        <f t="shared" si="160"/>
        <v/>
      </c>
      <c r="FG98" s="3690" t="str">
        <f t="shared" si="160"/>
        <v/>
      </c>
      <c r="FH98" s="3690" t="str">
        <f t="shared" si="160"/>
        <v/>
      </c>
      <c r="FI98" s="3690" t="str">
        <f t="shared" si="160"/>
        <v/>
      </c>
      <c r="FJ98" s="3690" t="str">
        <f t="shared" si="160"/>
        <v/>
      </c>
      <c r="FK98" s="3690" t="str">
        <f t="shared" si="160"/>
        <v/>
      </c>
      <c r="FL98" s="3690" t="str">
        <f t="shared" si="160"/>
        <v/>
      </c>
      <c r="FM98" s="3690" t="str">
        <f t="shared" si="160"/>
        <v/>
      </c>
      <c r="FN98" s="3690" t="str">
        <f t="shared" si="160"/>
        <v/>
      </c>
      <c r="FO98" s="3690" t="str">
        <f t="shared" si="160"/>
        <v/>
      </c>
      <c r="FP98" s="3690" t="str">
        <f t="shared" ref="FP98:IA98" si="161">REPT("|",ROUND(24*FP106/$EE$31,0))</f>
        <v/>
      </c>
      <c r="FQ98" s="3690" t="str">
        <f t="shared" si="161"/>
        <v/>
      </c>
      <c r="FR98" s="3690" t="str">
        <f t="shared" si="161"/>
        <v/>
      </c>
      <c r="FS98" s="3690" t="str">
        <f t="shared" si="161"/>
        <v/>
      </c>
      <c r="FT98" s="3690" t="str">
        <f t="shared" si="161"/>
        <v/>
      </c>
      <c r="FU98" s="3690" t="str">
        <f t="shared" si="161"/>
        <v/>
      </c>
      <c r="FV98" s="3690" t="str">
        <f t="shared" si="161"/>
        <v/>
      </c>
      <c r="FW98" s="3690" t="str">
        <f t="shared" si="161"/>
        <v/>
      </c>
      <c r="FX98" s="3690" t="str">
        <f t="shared" si="161"/>
        <v/>
      </c>
      <c r="FY98" s="3690" t="str">
        <f t="shared" si="161"/>
        <v/>
      </c>
      <c r="FZ98" s="3690" t="str">
        <f t="shared" si="161"/>
        <v/>
      </c>
      <c r="GA98" s="3690" t="str">
        <f t="shared" si="161"/>
        <v/>
      </c>
      <c r="GB98" s="3690" t="str">
        <f t="shared" si="161"/>
        <v/>
      </c>
      <c r="GC98" s="3690" t="str">
        <f t="shared" si="161"/>
        <v/>
      </c>
      <c r="GD98" s="3690" t="str">
        <f t="shared" si="161"/>
        <v/>
      </c>
      <c r="GE98" s="3690" t="str">
        <f t="shared" si="161"/>
        <v/>
      </c>
      <c r="GF98" s="3690" t="str">
        <f t="shared" si="161"/>
        <v/>
      </c>
      <c r="GG98" s="3690" t="str">
        <f t="shared" si="161"/>
        <v/>
      </c>
      <c r="GH98" s="3690" t="str">
        <f t="shared" si="161"/>
        <v/>
      </c>
      <c r="GI98" s="3690" t="str">
        <f t="shared" si="161"/>
        <v/>
      </c>
      <c r="GJ98" s="3690" t="str">
        <f t="shared" si="161"/>
        <v/>
      </c>
      <c r="GK98" s="3690" t="str">
        <f t="shared" si="161"/>
        <v/>
      </c>
      <c r="GL98" s="3690" t="str">
        <f t="shared" si="161"/>
        <v/>
      </c>
      <c r="GM98" s="3690" t="str">
        <f t="shared" si="161"/>
        <v/>
      </c>
      <c r="GN98" s="3690" t="str">
        <f t="shared" si="161"/>
        <v/>
      </c>
      <c r="GO98" s="3690" t="str">
        <f t="shared" si="161"/>
        <v/>
      </c>
      <c r="GP98" s="3690" t="str">
        <f t="shared" si="161"/>
        <v/>
      </c>
      <c r="GQ98" s="3690" t="str">
        <f t="shared" si="161"/>
        <v/>
      </c>
      <c r="GR98" s="3690" t="str">
        <f t="shared" si="161"/>
        <v/>
      </c>
      <c r="GS98" s="3690" t="str">
        <f t="shared" si="161"/>
        <v/>
      </c>
      <c r="GT98" s="3690" t="str">
        <f t="shared" si="161"/>
        <v/>
      </c>
      <c r="GU98" s="3690" t="str">
        <f t="shared" si="161"/>
        <v/>
      </c>
      <c r="GV98" s="3690" t="str">
        <f t="shared" si="161"/>
        <v/>
      </c>
      <c r="GW98" s="3690" t="str">
        <f t="shared" si="161"/>
        <v/>
      </c>
      <c r="GX98" s="3690" t="str">
        <f t="shared" si="161"/>
        <v/>
      </c>
      <c r="GY98" s="3690" t="str">
        <f t="shared" si="161"/>
        <v/>
      </c>
      <c r="GZ98" s="3690" t="str">
        <f t="shared" si="161"/>
        <v/>
      </c>
      <c r="HA98" s="3690" t="str">
        <f t="shared" si="161"/>
        <v/>
      </c>
      <c r="HB98" s="3690" t="str">
        <f t="shared" si="161"/>
        <v/>
      </c>
      <c r="HC98" s="3690" t="str">
        <f t="shared" si="161"/>
        <v/>
      </c>
      <c r="HD98" s="3690" t="str">
        <f t="shared" si="161"/>
        <v/>
      </c>
      <c r="HE98" s="3690" t="str">
        <f t="shared" si="161"/>
        <v/>
      </c>
      <c r="HF98" s="3690" t="str">
        <f t="shared" si="161"/>
        <v/>
      </c>
      <c r="HG98" s="3690" t="str">
        <f t="shared" si="161"/>
        <v/>
      </c>
      <c r="HH98" s="3690" t="str">
        <f t="shared" si="161"/>
        <v/>
      </c>
      <c r="HI98" s="3690" t="str">
        <f t="shared" si="161"/>
        <v/>
      </c>
      <c r="HJ98" s="3690" t="str">
        <f t="shared" si="161"/>
        <v/>
      </c>
      <c r="HK98" s="3690" t="str">
        <f t="shared" si="161"/>
        <v/>
      </c>
      <c r="HL98" s="3690" t="str">
        <f t="shared" si="161"/>
        <v/>
      </c>
      <c r="HM98" s="3690" t="str">
        <f t="shared" si="161"/>
        <v/>
      </c>
      <c r="HN98" s="3690" t="str">
        <f t="shared" si="161"/>
        <v/>
      </c>
      <c r="HO98" s="3690" t="str">
        <f t="shared" si="161"/>
        <v/>
      </c>
      <c r="HP98" s="3690" t="str">
        <f t="shared" si="161"/>
        <v/>
      </c>
      <c r="HQ98" s="3690" t="str">
        <f t="shared" si="161"/>
        <v/>
      </c>
      <c r="HR98" s="3690" t="str">
        <f t="shared" si="161"/>
        <v/>
      </c>
      <c r="HS98" s="3690" t="str">
        <f t="shared" si="161"/>
        <v/>
      </c>
      <c r="HT98" s="3690" t="str">
        <f t="shared" si="161"/>
        <v/>
      </c>
      <c r="HU98" s="3690" t="str">
        <f t="shared" si="161"/>
        <v/>
      </c>
      <c r="HV98" s="3690" t="str">
        <f t="shared" si="161"/>
        <v/>
      </c>
      <c r="HW98" s="3690" t="str">
        <f t="shared" si="161"/>
        <v/>
      </c>
      <c r="HX98" s="3690" t="str">
        <f t="shared" si="161"/>
        <v/>
      </c>
      <c r="HY98" s="3690" t="str">
        <f t="shared" si="161"/>
        <v/>
      </c>
      <c r="HZ98" s="3690" t="str">
        <f t="shared" si="161"/>
        <v/>
      </c>
      <c r="IA98" s="3690" t="str">
        <f t="shared" si="161"/>
        <v/>
      </c>
      <c r="IB98" s="3690" t="str">
        <f t="shared" ref="IB98:JC98" si="162">REPT("|",ROUND(24*IB106/$EE$31,0))</f>
        <v/>
      </c>
      <c r="IC98" s="3690" t="str">
        <f t="shared" si="162"/>
        <v/>
      </c>
      <c r="ID98" s="3690" t="str">
        <f t="shared" si="162"/>
        <v/>
      </c>
      <c r="IE98" s="3690" t="str">
        <f t="shared" si="162"/>
        <v/>
      </c>
      <c r="IF98" s="3690" t="str">
        <f t="shared" si="162"/>
        <v/>
      </c>
      <c r="IG98" s="3690" t="str">
        <f t="shared" si="162"/>
        <v/>
      </c>
      <c r="IH98" s="3690" t="str">
        <f t="shared" si="162"/>
        <v/>
      </c>
      <c r="II98" s="3690" t="str">
        <f t="shared" si="162"/>
        <v/>
      </c>
      <c r="IJ98" s="3690" t="str">
        <f t="shared" si="162"/>
        <v/>
      </c>
      <c r="IK98" s="3690" t="str">
        <f t="shared" si="162"/>
        <v/>
      </c>
      <c r="IL98" s="3690" t="str">
        <f t="shared" si="162"/>
        <v/>
      </c>
      <c r="IM98" s="3690" t="str">
        <f t="shared" si="162"/>
        <v/>
      </c>
      <c r="IN98" s="3690" t="str">
        <f t="shared" si="162"/>
        <v/>
      </c>
      <c r="IO98" s="3690" t="str">
        <f t="shared" si="162"/>
        <v/>
      </c>
      <c r="IP98" s="3690" t="str">
        <f t="shared" si="162"/>
        <v/>
      </c>
      <c r="IQ98" s="3690" t="str">
        <f t="shared" si="162"/>
        <v/>
      </c>
      <c r="IR98" s="3690" t="str">
        <f t="shared" si="162"/>
        <v/>
      </c>
      <c r="IS98" s="3690" t="str">
        <f t="shared" si="162"/>
        <v/>
      </c>
      <c r="IT98" s="3690" t="str">
        <f t="shared" si="162"/>
        <v/>
      </c>
      <c r="IU98" s="3690" t="str">
        <f t="shared" si="162"/>
        <v/>
      </c>
      <c r="IV98" s="3690" t="str">
        <f t="shared" si="162"/>
        <v/>
      </c>
      <c r="IW98" s="3690" t="str">
        <f t="shared" si="162"/>
        <v/>
      </c>
      <c r="IX98" s="3690" t="str">
        <f t="shared" si="162"/>
        <v/>
      </c>
      <c r="IY98" s="3690" t="str">
        <f t="shared" si="162"/>
        <v/>
      </c>
      <c r="IZ98" s="3690" t="str">
        <f t="shared" si="162"/>
        <v/>
      </c>
      <c r="JA98" s="3690" t="str">
        <f t="shared" si="162"/>
        <v/>
      </c>
      <c r="JB98" s="3690" t="str">
        <f t="shared" si="162"/>
        <v/>
      </c>
      <c r="JC98" s="3694" t="str">
        <f t="shared" si="162"/>
        <v/>
      </c>
      <c r="JD98" s="3692"/>
    </row>
    <row r="99" spans="1:265" ht="12.75" customHeight="1" x14ac:dyDescent="0.25">
      <c r="A99" s="279"/>
      <c r="B99" s="41"/>
      <c r="C99" s="82"/>
      <c r="D99" s="41"/>
      <c r="E99" s="9"/>
      <c r="F99" s="9"/>
      <c r="G99" s="9"/>
      <c r="H99" s="10"/>
      <c r="I99" s="10"/>
      <c r="J99" s="10"/>
      <c r="K99" s="10"/>
      <c r="L99" s="10"/>
      <c r="M99" s="10"/>
      <c r="N99" s="9"/>
      <c r="O99" s="9"/>
      <c r="P99" s="44"/>
      <c r="Q99" s="44"/>
      <c r="R99" s="9"/>
      <c r="S99" s="9"/>
      <c r="T99" s="9"/>
      <c r="U99" s="9"/>
      <c r="V99" s="9"/>
      <c r="W99" s="9"/>
      <c r="X99" s="9"/>
      <c r="Y99" s="9"/>
      <c r="Z99" s="9"/>
      <c r="AA99" s="9"/>
      <c r="AB99" s="9"/>
      <c r="AC99" s="9"/>
      <c r="AD99" s="3658"/>
      <c r="AE99" s="3658"/>
      <c r="AF99" s="3658"/>
      <c r="AG99" s="9"/>
      <c r="AH99" s="3658"/>
      <c r="AI99" s="3658"/>
      <c r="AJ99" s="3658"/>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3747" t="s">
        <v>452</v>
      </c>
      <c r="DZ99" s="3748"/>
      <c r="EA99" s="3748"/>
      <c r="EB99" s="135" t="s">
        <v>58</v>
      </c>
      <c r="EC99" s="61"/>
      <c r="ED99" s="6"/>
      <c r="EE99" s="3662"/>
      <c r="EF99" s="3663"/>
      <c r="EG99" s="3690"/>
      <c r="EH99" s="3690"/>
      <c r="EI99" s="3690"/>
      <c r="EJ99" s="3690"/>
      <c r="EK99" s="3690"/>
      <c r="EL99" s="3690"/>
      <c r="EM99" s="3690"/>
      <c r="EN99" s="3690"/>
      <c r="EO99" s="3690"/>
      <c r="EP99" s="3690"/>
      <c r="EQ99" s="3690"/>
      <c r="ER99" s="3690"/>
      <c r="ES99" s="3690"/>
      <c r="ET99" s="3690"/>
      <c r="EU99" s="3690"/>
      <c r="EV99" s="3690"/>
      <c r="EW99" s="3690"/>
      <c r="EX99" s="3690"/>
      <c r="EY99" s="3690"/>
      <c r="EZ99" s="3690"/>
      <c r="FA99" s="3690"/>
      <c r="FB99" s="3690"/>
      <c r="FC99" s="3690"/>
      <c r="FD99" s="3690"/>
      <c r="FE99" s="3690"/>
      <c r="FF99" s="3690"/>
      <c r="FG99" s="3690"/>
      <c r="FH99" s="3690"/>
      <c r="FI99" s="3690"/>
      <c r="FJ99" s="3690"/>
      <c r="FK99" s="3690"/>
      <c r="FL99" s="3690"/>
      <c r="FM99" s="3690"/>
      <c r="FN99" s="3690"/>
      <c r="FO99" s="3690"/>
      <c r="FP99" s="3690"/>
      <c r="FQ99" s="3690"/>
      <c r="FR99" s="3690"/>
      <c r="FS99" s="3690"/>
      <c r="FT99" s="3690"/>
      <c r="FU99" s="3690"/>
      <c r="FV99" s="3690"/>
      <c r="FW99" s="3690"/>
      <c r="FX99" s="3690"/>
      <c r="FY99" s="3690"/>
      <c r="FZ99" s="3690"/>
      <c r="GA99" s="3690"/>
      <c r="GB99" s="3690"/>
      <c r="GC99" s="3690"/>
      <c r="GD99" s="3690"/>
      <c r="GE99" s="3690"/>
      <c r="GF99" s="3690"/>
      <c r="GG99" s="3690"/>
      <c r="GH99" s="3690"/>
      <c r="GI99" s="3690"/>
      <c r="GJ99" s="3690"/>
      <c r="GK99" s="3690"/>
      <c r="GL99" s="3690"/>
      <c r="GM99" s="3690"/>
      <c r="GN99" s="3690"/>
      <c r="GO99" s="3690"/>
      <c r="GP99" s="3690"/>
      <c r="GQ99" s="3690"/>
      <c r="GR99" s="3690"/>
      <c r="GS99" s="3690"/>
      <c r="GT99" s="3690"/>
      <c r="GU99" s="3690"/>
      <c r="GV99" s="3690"/>
      <c r="GW99" s="3690"/>
      <c r="GX99" s="3690"/>
      <c r="GY99" s="3690"/>
      <c r="GZ99" s="3690"/>
      <c r="HA99" s="3690"/>
      <c r="HB99" s="3690"/>
      <c r="HC99" s="3690"/>
      <c r="HD99" s="3690"/>
      <c r="HE99" s="3690"/>
      <c r="HF99" s="3690"/>
      <c r="HG99" s="3690"/>
      <c r="HH99" s="3690"/>
      <c r="HI99" s="3690"/>
      <c r="HJ99" s="3690"/>
      <c r="HK99" s="3690"/>
      <c r="HL99" s="3690"/>
      <c r="HM99" s="3690"/>
      <c r="HN99" s="3690"/>
      <c r="HO99" s="3690"/>
      <c r="HP99" s="3690"/>
      <c r="HQ99" s="3690"/>
      <c r="HR99" s="3690"/>
      <c r="HS99" s="3690"/>
      <c r="HT99" s="3690"/>
      <c r="HU99" s="3690"/>
      <c r="HV99" s="3690"/>
      <c r="HW99" s="3690"/>
      <c r="HX99" s="3690"/>
      <c r="HY99" s="3690"/>
      <c r="HZ99" s="3690"/>
      <c r="IA99" s="3690"/>
      <c r="IB99" s="3690"/>
      <c r="IC99" s="3690"/>
      <c r="ID99" s="3690"/>
      <c r="IE99" s="3690"/>
      <c r="IF99" s="3690"/>
      <c r="IG99" s="3690"/>
      <c r="IH99" s="3690"/>
      <c r="II99" s="3690"/>
      <c r="IJ99" s="3690"/>
      <c r="IK99" s="3690"/>
      <c r="IL99" s="3690"/>
      <c r="IM99" s="3690"/>
      <c r="IN99" s="3690"/>
      <c r="IO99" s="3690"/>
      <c r="IP99" s="3690"/>
      <c r="IQ99" s="3690"/>
      <c r="IR99" s="3690"/>
      <c r="IS99" s="3690"/>
      <c r="IT99" s="3690"/>
      <c r="IU99" s="3690"/>
      <c r="IV99" s="3690"/>
      <c r="IW99" s="3690"/>
      <c r="IX99" s="3690"/>
      <c r="IY99" s="3690"/>
      <c r="IZ99" s="3690"/>
      <c r="JA99" s="3690"/>
      <c r="JB99" s="3690"/>
      <c r="JC99" s="3694"/>
      <c r="JD99" s="3692"/>
    </row>
    <row r="100" spans="1:265" ht="12.75" customHeight="1" x14ac:dyDescent="0.25">
      <c r="A100" s="279"/>
      <c r="B100" s="41"/>
      <c r="C100" s="82"/>
      <c r="D100" s="41"/>
      <c r="E100" s="9"/>
      <c r="F100" s="9"/>
      <c r="G100" s="9"/>
      <c r="H100" s="10"/>
      <c r="I100" s="10"/>
      <c r="J100" s="10"/>
      <c r="K100" s="10"/>
      <c r="L100" s="10"/>
      <c r="M100" s="10"/>
      <c r="N100" s="9"/>
      <c r="O100" s="9"/>
      <c r="P100" s="44"/>
      <c r="Q100" s="44"/>
      <c r="R100" s="9"/>
      <c r="S100" s="9"/>
      <c r="T100" s="9"/>
      <c r="U100" s="9"/>
      <c r="V100" s="9"/>
      <c r="W100" s="9"/>
      <c r="X100" s="9"/>
      <c r="Y100" s="9"/>
      <c r="Z100" s="9"/>
      <c r="AA100" s="9"/>
      <c r="AB100" s="9"/>
      <c r="AC100" s="9"/>
      <c r="AD100" s="3658"/>
      <c r="AE100" s="3658"/>
      <c r="AF100" s="3658"/>
      <c r="AG100" s="9"/>
      <c r="AH100" s="3658"/>
      <c r="AI100" s="3658"/>
      <c r="AJ100" s="3658"/>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3747"/>
      <c r="DZ100" s="3748"/>
      <c r="EA100" s="3748"/>
      <c r="EB100" s="135" t="s">
        <v>59</v>
      </c>
      <c r="EC100" s="190"/>
      <c r="ED100" s="6"/>
      <c r="EE100" s="6"/>
      <c r="EF100" s="161"/>
      <c r="EG100" s="3690"/>
      <c r="EH100" s="3690"/>
      <c r="EI100" s="3690"/>
      <c r="EJ100" s="3690"/>
      <c r="EK100" s="3690"/>
      <c r="EL100" s="3690"/>
      <c r="EM100" s="3690"/>
      <c r="EN100" s="3690"/>
      <c r="EO100" s="3690"/>
      <c r="EP100" s="3690"/>
      <c r="EQ100" s="3690"/>
      <c r="ER100" s="3690"/>
      <c r="ES100" s="3690"/>
      <c r="ET100" s="3690"/>
      <c r="EU100" s="3690"/>
      <c r="EV100" s="3690"/>
      <c r="EW100" s="3690"/>
      <c r="EX100" s="3690"/>
      <c r="EY100" s="3690"/>
      <c r="EZ100" s="3690"/>
      <c r="FA100" s="3690"/>
      <c r="FB100" s="3690"/>
      <c r="FC100" s="3690"/>
      <c r="FD100" s="3690"/>
      <c r="FE100" s="3690"/>
      <c r="FF100" s="3690"/>
      <c r="FG100" s="3690"/>
      <c r="FH100" s="3690"/>
      <c r="FI100" s="3690"/>
      <c r="FJ100" s="3690"/>
      <c r="FK100" s="3690"/>
      <c r="FL100" s="3690"/>
      <c r="FM100" s="3690"/>
      <c r="FN100" s="3690"/>
      <c r="FO100" s="3690"/>
      <c r="FP100" s="3690"/>
      <c r="FQ100" s="3690"/>
      <c r="FR100" s="3690"/>
      <c r="FS100" s="3690"/>
      <c r="FT100" s="3690"/>
      <c r="FU100" s="3690"/>
      <c r="FV100" s="3690"/>
      <c r="FW100" s="3690"/>
      <c r="FX100" s="3690"/>
      <c r="FY100" s="3690"/>
      <c r="FZ100" s="3690"/>
      <c r="GA100" s="3690"/>
      <c r="GB100" s="3690"/>
      <c r="GC100" s="3690"/>
      <c r="GD100" s="3690"/>
      <c r="GE100" s="3690"/>
      <c r="GF100" s="3690"/>
      <c r="GG100" s="3690"/>
      <c r="GH100" s="3690"/>
      <c r="GI100" s="3690"/>
      <c r="GJ100" s="3690"/>
      <c r="GK100" s="3690"/>
      <c r="GL100" s="3690"/>
      <c r="GM100" s="3690"/>
      <c r="GN100" s="3690"/>
      <c r="GO100" s="3690"/>
      <c r="GP100" s="3690"/>
      <c r="GQ100" s="3690"/>
      <c r="GR100" s="3690"/>
      <c r="GS100" s="3690"/>
      <c r="GT100" s="3690"/>
      <c r="GU100" s="3690"/>
      <c r="GV100" s="3690"/>
      <c r="GW100" s="3690"/>
      <c r="GX100" s="3690"/>
      <c r="GY100" s="3690"/>
      <c r="GZ100" s="3690"/>
      <c r="HA100" s="3690"/>
      <c r="HB100" s="3690"/>
      <c r="HC100" s="3690"/>
      <c r="HD100" s="3690"/>
      <c r="HE100" s="3690"/>
      <c r="HF100" s="3690"/>
      <c r="HG100" s="3690"/>
      <c r="HH100" s="3690"/>
      <c r="HI100" s="3690"/>
      <c r="HJ100" s="3690"/>
      <c r="HK100" s="3690"/>
      <c r="HL100" s="3690"/>
      <c r="HM100" s="3690"/>
      <c r="HN100" s="3690"/>
      <c r="HO100" s="3690"/>
      <c r="HP100" s="3690"/>
      <c r="HQ100" s="3690"/>
      <c r="HR100" s="3690"/>
      <c r="HS100" s="3690"/>
      <c r="HT100" s="3690"/>
      <c r="HU100" s="3690"/>
      <c r="HV100" s="3690"/>
      <c r="HW100" s="3690"/>
      <c r="HX100" s="3690"/>
      <c r="HY100" s="3690"/>
      <c r="HZ100" s="3690"/>
      <c r="IA100" s="3690"/>
      <c r="IB100" s="3690"/>
      <c r="IC100" s="3690"/>
      <c r="ID100" s="3690"/>
      <c r="IE100" s="3690"/>
      <c r="IF100" s="3690"/>
      <c r="IG100" s="3690"/>
      <c r="IH100" s="3690"/>
      <c r="II100" s="3690"/>
      <c r="IJ100" s="3690"/>
      <c r="IK100" s="3690"/>
      <c r="IL100" s="3690"/>
      <c r="IM100" s="3690"/>
      <c r="IN100" s="3690"/>
      <c r="IO100" s="3690"/>
      <c r="IP100" s="3690"/>
      <c r="IQ100" s="3690"/>
      <c r="IR100" s="3690"/>
      <c r="IS100" s="3690"/>
      <c r="IT100" s="3690"/>
      <c r="IU100" s="3690"/>
      <c r="IV100" s="3690"/>
      <c r="IW100" s="3690"/>
      <c r="IX100" s="3690"/>
      <c r="IY100" s="3690"/>
      <c r="IZ100" s="3690"/>
      <c r="JA100" s="3690"/>
      <c r="JB100" s="3690"/>
      <c r="JC100" s="3694"/>
      <c r="JD100" s="3692"/>
    </row>
    <row r="101" spans="1:265" ht="12.75" customHeight="1" x14ac:dyDescent="0.25">
      <c r="A101" s="279"/>
      <c r="B101" s="41"/>
      <c r="C101" s="82"/>
      <c r="D101" s="41"/>
      <c r="E101" s="9"/>
      <c r="F101" s="9"/>
      <c r="G101" s="9"/>
      <c r="H101" s="10"/>
      <c r="I101" s="10"/>
      <c r="J101" s="10"/>
      <c r="K101" s="10"/>
      <c r="L101" s="10"/>
      <c r="M101" s="10"/>
      <c r="N101" s="9"/>
      <c r="O101" s="9"/>
      <c r="P101" s="44"/>
      <c r="Q101" s="44"/>
      <c r="R101" s="9"/>
      <c r="S101" s="9"/>
      <c r="T101" s="9"/>
      <c r="U101" s="9"/>
      <c r="V101" s="9"/>
      <c r="W101" s="9"/>
      <c r="X101" s="9"/>
      <c r="Y101" s="9"/>
      <c r="Z101" s="9"/>
      <c r="AA101" s="9"/>
      <c r="AB101" s="9"/>
      <c r="AC101" s="9"/>
      <c r="AD101" s="3659"/>
      <c r="AE101" s="3659"/>
      <c r="AF101" s="3659"/>
      <c r="AG101" s="9"/>
      <c r="AH101" s="3659"/>
      <c r="AI101" s="3659"/>
      <c r="AJ101" s="365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3747"/>
      <c r="DZ101" s="3748"/>
      <c r="EA101" s="3748"/>
      <c r="EB101" s="135" t="s">
        <v>87</v>
      </c>
      <c r="EC101" s="62"/>
      <c r="ED101" s="6"/>
      <c r="EE101" s="6"/>
      <c r="EF101" s="161"/>
      <c r="EG101" s="3690"/>
      <c r="EH101" s="3690"/>
      <c r="EI101" s="3690"/>
      <c r="EJ101" s="3690"/>
      <c r="EK101" s="3690"/>
      <c r="EL101" s="3690"/>
      <c r="EM101" s="3690"/>
      <c r="EN101" s="3690"/>
      <c r="EO101" s="3690"/>
      <c r="EP101" s="3690"/>
      <c r="EQ101" s="3690"/>
      <c r="ER101" s="3690"/>
      <c r="ES101" s="3690"/>
      <c r="ET101" s="3690"/>
      <c r="EU101" s="3690"/>
      <c r="EV101" s="3690"/>
      <c r="EW101" s="3690"/>
      <c r="EX101" s="3690"/>
      <c r="EY101" s="3690"/>
      <c r="EZ101" s="3690"/>
      <c r="FA101" s="3690"/>
      <c r="FB101" s="3690"/>
      <c r="FC101" s="3690"/>
      <c r="FD101" s="3690"/>
      <c r="FE101" s="3690"/>
      <c r="FF101" s="3690"/>
      <c r="FG101" s="3690"/>
      <c r="FH101" s="3690"/>
      <c r="FI101" s="3690"/>
      <c r="FJ101" s="3690"/>
      <c r="FK101" s="3690"/>
      <c r="FL101" s="3690"/>
      <c r="FM101" s="3690"/>
      <c r="FN101" s="3690"/>
      <c r="FO101" s="3690"/>
      <c r="FP101" s="3690"/>
      <c r="FQ101" s="3690"/>
      <c r="FR101" s="3690"/>
      <c r="FS101" s="3690"/>
      <c r="FT101" s="3690"/>
      <c r="FU101" s="3690"/>
      <c r="FV101" s="3690"/>
      <c r="FW101" s="3690"/>
      <c r="FX101" s="3690"/>
      <c r="FY101" s="3690"/>
      <c r="FZ101" s="3690"/>
      <c r="GA101" s="3690"/>
      <c r="GB101" s="3690"/>
      <c r="GC101" s="3690"/>
      <c r="GD101" s="3690"/>
      <c r="GE101" s="3690"/>
      <c r="GF101" s="3690"/>
      <c r="GG101" s="3690"/>
      <c r="GH101" s="3690"/>
      <c r="GI101" s="3690"/>
      <c r="GJ101" s="3690"/>
      <c r="GK101" s="3690"/>
      <c r="GL101" s="3690"/>
      <c r="GM101" s="3690"/>
      <c r="GN101" s="3690"/>
      <c r="GO101" s="3690"/>
      <c r="GP101" s="3690"/>
      <c r="GQ101" s="3690"/>
      <c r="GR101" s="3690"/>
      <c r="GS101" s="3690"/>
      <c r="GT101" s="3690"/>
      <c r="GU101" s="3690"/>
      <c r="GV101" s="3690"/>
      <c r="GW101" s="3690"/>
      <c r="GX101" s="3690"/>
      <c r="GY101" s="3690"/>
      <c r="GZ101" s="3690"/>
      <c r="HA101" s="3690"/>
      <c r="HB101" s="3690"/>
      <c r="HC101" s="3690"/>
      <c r="HD101" s="3690"/>
      <c r="HE101" s="3690"/>
      <c r="HF101" s="3690"/>
      <c r="HG101" s="3690"/>
      <c r="HH101" s="3690"/>
      <c r="HI101" s="3690"/>
      <c r="HJ101" s="3690"/>
      <c r="HK101" s="3690"/>
      <c r="HL101" s="3690"/>
      <c r="HM101" s="3690"/>
      <c r="HN101" s="3690"/>
      <c r="HO101" s="3690"/>
      <c r="HP101" s="3690"/>
      <c r="HQ101" s="3690"/>
      <c r="HR101" s="3690"/>
      <c r="HS101" s="3690"/>
      <c r="HT101" s="3690"/>
      <c r="HU101" s="3690"/>
      <c r="HV101" s="3690"/>
      <c r="HW101" s="3690"/>
      <c r="HX101" s="3690"/>
      <c r="HY101" s="3690"/>
      <c r="HZ101" s="3690"/>
      <c r="IA101" s="3690"/>
      <c r="IB101" s="3690"/>
      <c r="IC101" s="3690"/>
      <c r="ID101" s="3690"/>
      <c r="IE101" s="3690"/>
      <c r="IF101" s="3690"/>
      <c r="IG101" s="3690"/>
      <c r="IH101" s="3690"/>
      <c r="II101" s="3690"/>
      <c r="IJ101" s="3690"/>
      <c r="IK101" s="3690"/>
      <c r="IL101" s="3690"/>
      <c r="IM101" s="3690"/>
      <c r="IN101" s="3690"/>
      <c r="IO101" s="3690"/>
      <c r="IP101" s="3690"/>
      <c r="IQ101" s="3690"/>
      <c r="IR101" s="3690"/>
      <c r="IS101" s="3690"/>
      <c r="IT101" s="3690"/>
      <c r="IU101" s="3690"/>
      <c r="IV101" s="3690"/>
      <c r="IW101" s="3690"/>
      <c r="IX101" s="3690"/>
      <c r="IY101" s="3690"/>
      <c r="IZ101" s="3690"/>
      <c r="JA101" s="3690"/>
      <c r="JB101" s="3690"/>
      <c r="JC101" s="3694"/>
      <c r="JD101" s="3692"/>
    </row>
    <row r="102" spans="1:265" ht="7.5" customHeight="1" x14ac:dyDescent="0.25">
      <c r="A102" s="279"/>
      <c r="B102" s="41"/>
      <c r="C102" s="82"/>
      <c r="D102" s="41"/>
      <c r="E102" s="9"/>
      <c r="F102" s="9"/>
      <c r="G102" s="9"/>
      <c r="H102" s="10"/>
      <c r="I102" s="10"/>
      <c r="J102" s="10"/>
      <c r="K102" s="10"/>
      <c r="L102" s="10"/>
      <c r="M102" s="10"/>
      <c r="N102" s="9"/>
      <c r="O102" s="9"/>
      <c r="P102" s="44"/>
      <c r="Q102" s="44"/>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3695" t="str">
        <f>IF(DY3=1," (Consolidated Hours per Week)"," (Consolidated Hours per Month)")</f>
        <v xml:space="preserve"> (Consolidated Hours per Month)</v>
      </c>
      <c r="DZ102" s="3696"/>
      <c r="EA102" s="80"/>
      <c r="EB102" s="6"/>
      <c r="EC102" s="6"/>
      <c r="ED102" s="6"/>
      <c r="EE102" s="6"/>
      <c r="EF102" s="162"/>
      <c r="EG102" s="3690"/>
      <c r="EH102" s="3690"/>
      <c r="EI102" s="3690"/>
      <c r="EJ102" s="3690"/>
      <c r="EK102" s="3690"/>
      <c r="EL102" s="3690"/>
      <c r="EM102" s="3690"/>
      <c r="EN102" s="3690"/>
      <c r="EO102" s="3690"/>
      <c r="EP102" s="3690"/>
      <c r="EQ102" s="3690"/>
      <c r="ER102" s="3690"/>
      <c r="ES102" s="3690"/>
      <c r="ET102" s="3690"/>
      <c r="EU102" s="3690"/>
      <c r="EV102" s="3690"/>
      <c r="EW102" s="3690"/>
      <c r="EX102" s="3690"/>
      <c r="EY102" s="3690"/>
      <c r="EZ102" s="3690"/>
      <c r="FA102" s="3690"/>
      <c r="FB102" s="3690"/>
      <c r="FC102" s="3690"/>
      <c r="FD102" s="3690"/>
      <c r="FE102" s="3690"/>
      <c r="FF102" s="3690"/>
      <c r="FG102" s="3690"/>
      <c r="FH102" s="3690"/>
      <c r="FI102" s="3690"/>
      <c r="FJ102" s="3690"/>
      <c r="FK102" s="3690"/>
      <c r="FL102" s="3690"/>
      <c r="FM102" s="3690"/>
      <c r="FN102" s="3690"/>
      <c r="FO102" s="3690"/>
      <c r="FP102" s="3690"/>
      <c r="FQ102" s="3690"/>
      <c r="FR102" s="3690"/>
      <c r="FS102" s="3690"/>
      <c r="FT102" s="3690"/>
      <c r="FU102" s="3690"/>
      <c r="FV102" s="3690"/>
      <c r="FW102" s="3690"/>
      <c r="FX102" s="3690"/>
      <c r="FY102" s="3690"/>
      <c r="FZ102" s="3690"/>
      <c r="GA102" s="3690"/>
      <c r="GB102" s="3690"/>
      <c r="GC102" s="3690"/>
      <c r="GD102" s="3690"/>
      <c r="GE102" s="3690"/>
      <c r="GF102" s="3690"/>
      <c r="GG102" s="3690"/>
      <c r="GH102" s="3690"/>
      <c r="GI102" s="3690"/>
      <c r="GJ102" s="3690"/>
      <c r="GK102" s="3690"/>
      <c r="GL102" s="3690"/>
      <c r="GM102" s="3690"/>
      <c r="GN102" s="3690"/>
      <c r="GO102" s="3690"/>
      <c r="GP102" s="3690"/>
      <c r="GQ102" s="3690"/>
      <c r="GR102" s="3690"/>
      <c r="GS102" s="3690"/>
      <c r="GT102" s="3690"/>
      <c r="GU102" s="3690"/>
      <c r="GV102" s="3690"/>
      <c r="GW102" s="3690"/>
      <c r="GX102" s="3690"/>
      <c r="GY102" s="3690"/>
      <c r="GZ102" s="3690"/>
      <c r="HA102" s="3690"/>
      <c r="HB102" s="3690"/>
      <c r="HC102" s="3690"/>
      <c r="HD102" s="3690"/>
      <c r="HE102" s="3690"/>
      <c r="HF102" s="3690"/>
      <c r="HG102" s="3690"/>
      <c r="HH102" s="3690"/>
      <c r="HI102" s="3690"/>
      <c r="HJ102" s="3690"/>
      <c r="HK102" s="3690"/>
      <c r="HL102" s="3690"/>
      <c r="HM102" s="3690"/>
      <c r="HN102" s="3690"/>
      <c r="HO102" s="3690"/>
      <c r="HP102" s="3690"/>
      <c r="HQ102" s="3690"/>
      <c r="HR102" s="3690"/>
      <c r="HS102" s="3690"/>
      <c r="HT102" s="3690"/>
      <c r="HU102" s="3690"/>
      <c r="HV102" s="3690"/>
      <c r="HW102" s="3690"/>
      <c r="HX102" s="3690"/>
      <c r="HY102" s="3690"/>
      <c r="HZ102" s="3690"/>
      <c r="IA102" s="3690"/>
      <c r="IB102" s="3690"/>
      <c r="IC102" s="3690"/>
      <c r="ID102" s="3690"/>
      <c r="IE102" s="3690"/>
      <c r="IF102" s="3690"/>
      <c r="IG102" s="3690"/>
      <c r="IH102" s="3690"/>
      <c r="II102" s="3690"/>
      <c r="IJ102" s="3690"/>
      <c r="IK102" s="3690"/>
      <c r="IL102" s="3690"/>
      <c r="IM102" s="3690"/>
      <c r="IN102" s="3690"/>
      <c r="IO102" s="3690"/>
      <c r="IP102" s="3690"/>
      <c r="IQ102" s="3690"/>
      <c r="IR102" s="3690"/>
      <c r="IS102" s="3690"/>
      <c r="IT102" s="3690"/>
      <c r="IU102" s="3690"/>
      <c r="IV102" s="3690"/>
      <c r="IW102" s="3690"/>
      <c r="IX102" s="3690"/>
      <c r="IY102" s="3690"/>
      <c r="IZ102" s="3690"/>
      <c r="JA102" s="3690"/>
      <c r="JB102" s="3690"/>
      <c r="JC102" s="3694"/>
      <c r="JD102" s="3692"/>
    </row>
    <row r="103" spans="1:265" ht="12.75" customHeight="1" x14ac:dyDescent="0.25">
      <c r="A103" s="279"/>
      <c r="B103" s="41"/>
      <c r="C103" s="82"/>
      <c r="D103" s="41"/>
      <c r="E103" s="9"/>
      <c r="F103" s="9"/>
      <c r="G103" s="9"/>
      <c r="H103" s="10"/>
      <c r="I103" s="10"/>
      <c r="J103" s="10"/>
      <c r="K103" s="10"/>
      <c r="L103" s="10"/>
      <c r="M103" s="10"/>
      <c r="N103" s="9"/>
      <c r="O103" s="9"/>
      <c r="P103" s="44"/>
      <c r="Q103" s="44"/>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3695"/>
      <c r="DZ103" s="3696"/>
      <c r="EA103" s="80"/>
      <c r="EB103" s="135" t="s">
        <v>455</v>
      </c>
      <c r="EC103" s="42">
        <v>40</v>
      </c>
      <c r="ED103" s="163" t="s">
        <v>57</v>
      </c>
      <c r="EE103" s="163" t="s">
        <v>1034</v>
      </c>
      <c r="EF103" s="162"/>
      <c r="EG103" s="3690"/>
      <c r="EH103" s="3690"/>
      <c r="EI103" s="3690"/>
      <c r="EJ103" s="3690"/>
      <c r="EK103" s="3690"/>
      <c r="EL103" s="3690"/>
      <c r="EM103" s="3690"/>
      <c r="EN103" s="3690"/>
      <c r="EO103" s="3690"/>
      <c r="EP103" s="3690"/>
      <c r="EQ103" s="3690"/>
      <c r="ER103" s="3690"/>
      <c r="ES103" s="3690"/>
      <c r="ET103" s="3690"/>
      <c r="EU103" s="3690"/>
      <c r="EV103" s="3690"/>
      <c r="EW103" s="3690"/>
      <c r="EX103" s="3690"/>
      <c r="EY103" s="3690"/>
      <c r="EZ103" s="3690"/>
      <c r="FA103" s="3690"/>
      <c r="FB103" s="3690"/>
      <c r="FC103" s="3690"/>
      <c r="FD103" s="3690"/>
      <c r="FE103" s="3690"/>
      <c r="FF103" s="3690"/>
      <c r="FG103" s="3690"/>
      <c r="FH103" s="3690"/>
      <c r="FI103" s="3690"/>
      <c r="FJ103" s="3690"/>
      <c r="FK103" s="3690"/>
      <c r="FL103" s="3690"/>
      <c r="FM103" s="3690"/>
      <c r="FN103" s="3690"/>
      <c r="FO103" s="3690"/>
      <c r="FP103" s="3690"/>
      <c r="FQ103" s="3690"/>
      <c r="FR103" s="3690"/>
      <c r="FS103" s="3690"/>
      <c r="FT103" s="3690"/>
      <c r="FU103" s="3690"/>
      <c r="FV103" s="3690"/>
      <c r="FW103" s="3690"/>
      <c r="FX103" s="3690"/>
      <c r="FY103" s="3690"/>
      <c r="FZ103" s="3690"/>
      <c r="GA103" s="3690"/>
      <c r="GB103" s="3690"/>
      <c r="GC103" s="3690"/>
      <c r="GD103" s="3690"/>
      <c r="GE103" s="3690"/>
      <c r="GF103" s="3690"/>
      <c r="GG103" s="3690"/>
      <c r="GH103" s="3690"/>
      <c r="GI103" s="3690"/>
      <c r="GJ103" s="3690"/>
      <c r="GK103" s="3690"/>
      <c r="GL103" s="3690"/>
      <c r="GM103" s="3690"/>
      <c r="GN103" s="3690"/>
      <c r="GO103" s="3690"/>
      <c r="GP103" s="3690"/>
      <c r="GQ103" s="3690"/>
      <c r="GR103" s="3690"/>
      <c r="GS103" s="3690"/>
      <c r="GT103" s="3690"/>
      <c r="GU103" s="3690"/>
      <c r="GV103" s="3690"/>
      <c r="GW103" s="3690"/>
      <c r="GX103" s="3690"/>
      <c r="GY103" s="3690"/>
      <c r="GZ103" s="3690"/>
      <c r="HA103" s="3690"/>
      <c r="HB103" s="3690"/>
      <c r="HC103" s="3690"/>
      <c r="HD103" s="3690"/>
      <c r="HE103" s="3690"/>
      <c r="HF103" s="3690"/>
      <c r="HG103" s="3690"/>
      <c r="HH103" s="3690"/>
      <c r="HI103" s="3690"/>
      <c r="HJ103" s="3690"/>
      <c r="HK103" s="3690"/>
      <c r="HL103" s="3690"/>
      <c r="HM103" s="3690"/>
      <c r="HN103" s="3690"/>
      <c r="HO103" s="3690"/>
      <c r="HP103" s="3690"/>
      <c r="HQ103" s="3690"/>
      <c r="HR103" s="3690"/>
      <c r="HS103" s="3690"/>
      <c r="HT103" s="3690"/>
      <c r="HU103" s="3690"/>
      <c r="HV103" s="3690"/>
      <c r="HW103" s="3690"/>
      <c r="HX103" s="3690"/>
      <c r="HY103" s="3690"/>
      <c r="HZ103" s="3690"/>
      <c r="IA103" s="3690"/>
      <c r="IB103" s="3690"/>
      <c r="IC103" s="3690"/>
      <c r="ID103" s="3690"/>
      <c r="IE103" s="3690"/>
      <c r="IF103" s="3690"/>
      <c r="IG103" s="3690"/>
      <c r="IH103" s="3690"/>
      <c r="II103" s="3690"/>
      <c r="IJ103" s="3690"/>
      <c r="IK103" s="3690"/>
      <c r="IL103" s="3690"/>
      <c r="IM103" s="3690"/>
      <c r="IN103" s="3690"/>
      <c r="IO103" s="3690"/>
      <c r="IP103" s="3690"/>
      <c r="IQ103" s="3690"/>
      <c r="IR103" s="3690"/>
      <c r="IS103" s="3690"/>
      <c r="IT103" s="3690"/>
      <c r="IU103" s="3690"/>
      <c r="IV103" s="3690"/>
      <c r="IW103" s="3690"/>
      <c r="IX103" s="3690"/>
      <c r="IY103" s="3690"/>
      <c r="IZ103" s="3690"/>
      <c r="JA103" s="3690"/>
      <c r="JB103" s="3690"/>
      <c r="JC103" s="3694"/>
      <c r="JD103" s="3692"/>
    </row>
    <row r="104" spans="1:265" ht="12.75" customHeight="1" x14ac:dyDescent="0.25">
      <c r="A104" s="279"/>
      <c r="B104" s="41"/>
      <c r="C104" s="82"/>
      <c r="D104" s="41"/>
      <c r="E104" s="9"/>
      <c r="F104" s="9"/>
      <c r="G104" s="9"/>
      <c r="H104" s="10"/>
      <c r="I104" s="10"/>
      <c r="J104" s="10"/>
      <c r="K104" s="10"/>
      <c r="L104" s="10"/>
      <c r="M104" s="10"/>
      <c r="N104" s="9"/>
      <c r="O104" s="9"/>
      <c r="P104" s="44"/>
      <c r="Q104" s="44"/>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3695"/>
      <c r="DZ104" s="3696"/>
      <c r="EA104" s="80"/>
      <c r="EB104" s="135" t="s">
        <v>456</v>
      </c>
      <c r="EC104" s="42">
        <v>55</v>
      </c>
      <c r="ED104" s="163" t="s">
        <v>57</v>
      </c>
      <c r="EE104" s="163" t="s">
        <v>1034</v>
      </c>
      <c r="EF104" s="162"/>
      <c r="EG104" s="3690"/>
      <c r="EH104" s="3690"/>
      <c r="EI104" s="3690"/>
      <c r="EJ104" s="3690"/>
      <c r="EK104" s="3690"/>
      <c r="EL104" s="3690"/>
      <c r="EM104" s="3690"/>
      <c r="EN104" s="3690"/>
      <c r="EO104" s="3690"/>
      <c r="EP104" s="3690"/>
      <c r="EQ104" s="3690"/>
      <c r="ER104" s="3690"/>
      <c r="ES104" s="3690"/>
      <c r="ET104" s="3690"/>
      <c r="EU104" s="3690"/>
      <c r="EV104" s="3690"/>
      <c r="EW104" s="3690"/>
      <c r="EX104" s="3690"/>
      <c r="EY104" s="3690"/>
      <c r="EZ104" s="3690"/>
      <c r="FA104" s="3690"/>
      <c r="FB104" s="3690"/>
      <c r="FC104" s="3690"/>
      <c r="FD104" s="3690"/>
      <c r="FE104" s="3690"/>
      <c r="FF104" s="3690"/>
      <c r="FG104" s="3690"/>
      <c r="FH104" s="3690"/>
      <c r="FI104" s="3690"/>
      <c r="FJ104" s="3690"/>
      <c r="FK104" s="3690"/>
      <c r="FL104" s="3690"/>
      <c r="FM104" s="3690"/>
      <c r="FN104" s="3690"/>
      <c r="FO104" s="3690"/>
      <c r="FP104" s="3690"/>
      <c r="FQ104" s="3690"/>
      <c r="FR104" s="3690"/>
      <c r="FS104" s="3690"/>
      <c r="FT104" s="3690"/>
      <c r="FU104" s="3690"/>
      <c r="FV104" s="3690"/>
      <c r="FW104" s="3690"/>
      <c r="FX104" s="3690"/>
      <c r="FY104" s="3690"/>
      <c r="FZ104" s="3690"/>
      <c r="GA104" s="3690"/>
      <c r="GB104" s="3690"/>
      <c r="GC104" s="3690"/>
      <c r="GD104" s="3690"/>
      <c r="GE104" s="3690"/>
      <c r="GF104" s="3690"/>
      <c r="GG104" s="3690"/>
      <c r="GH104" s="3690"/>
      <c r="GI104" s="3690"/>
      <c r="GJ104" s="3690"/>
      <c r="GK104" s="3690"/>
      <c r="GL104" s="3690"/>
      <c r="GM104" s="3690"/>
      <c r="GN104" s="3690"/>
      <c r="GO104" s="3690"/>
      <c r="GP104" s="3690"/>
      <c r="GQ104" s="3690"/>
      <c r="GR104" s="3690"/>
      <c r="GS104" s="3690"/>
      <c r="GT104" s="3690"/>
      <c r="GU104" s="3690"/>
      <c r="GV104" s="3690"/>
      <c r="GW104" s="3690"/>
      <c r="GX104" s="3690"/>
      <c r="GY104" s="3690"/>
      <c r="GZ104" s="3690"/>
      <c r="HA104" s="3690"/>
      <c r="HB104" s="3690"/>
      <c r="HC104" s="3690"/>
      <c r="HD104" s="3690"/>
      <c r="HE104" s="3690"/>
      <c r="HF104" s="3690"/>
      <c r="HG104" s="3690"/>
      <c r="HH104" s="3690"/>
      <c r="HI104" s="3690"/>
      <c r="HJ104" s="3690"/>
      <c r="HK104" s="3690"/>
      <c r="HL104" s="3690"/>
      <c r="HM104" s="3690"/>
      <c r="HN104" s="3690"/>
      <c r="HO104" s="3690"/>
      <c r="HP104" s="3690"/>
      <c r="HQ104" s="3690"/>
      <c r="HR104" s="3690"/>
      <c r="HS104" s="3690"/>
      <c r="HT104" s="3690"/>
      <c r="HU104" s="3690"/>
      <c r="HV104" s="3690"/>
      <c r="HW104" s="3690"/>
      <c r="HX104" s="3690"/>
      <c r="HY104" s="3690"/>
      <c r="HZ104" s="3690"/>
      <c r="IA104" s="3690"/>
      <c r="IB104" s="3690"/>
      <c r="IC104" s="3690"/>
      <c r="ID104" s="3690"/>
      <c r="IE104" s="3690"/>
      <c r="IF104" s="3690"/>
      <c r="IG104" s="3690"/>
      <c r="IH104" s="3690"/>
      <c r="II104" s="3690"/>
      <c r="IJ104" s="3690"/>
      <c r="IK104" s="3690"/>
      <c r="IL104" s="3690"/>
      <c r="IM104" s="3690"/>
      <c r="IN104" s="3690"/>
      <c r="IO104" s="3690"/>
      <c r="IP104" s="3690"/>
      <c r="IQ104" s="3690"/>
      <c r="IR104" s="3690"/>
      <c r="IS104" s="3690"/>
      <c r="IT104" s="3690"/>
      <c r="IU104" s="3690"/>
      <c r="IV104" s="3690"/>
      <c r="IW104" s="3690"/>
      <c r="IX104" s="3690"/>
      <c r="IY104" s="3690"/>
      <c r="IZ104" s="3690"/>
      <c r="JA104" s="3690"/>
      <c r="JB104" s="3690"/>
      <c r="JC104" s="3694"/>
      <c r="JD104" s="3692"/>
    </row>
    <row r="105" spans="1:265" ht="14.25" customHeight="1" x14ac:dyDescent="0.25">
      <c r="A105" s="279"/>
      <c r="B105" s="41"/>
      <c r="C105" s="82"/>
      <c r="D105" s="41"/>
      <c r="E105" s="9"/>
      <c r="F105" s="9"/>
      <c r="G105" s="9"/>
      <c r="H105" s="10"/>
      <c r="I105" s="10"/>
      <c r="J105" s="10"/>
      <c r="K105" s="10"/>
      <c r="L105" s="10"/>
      <c r="M105" s="10"/>
      <c r="N105" s="9"/>
      <c r="O105" s="9"/>
      <c r="P105" s="44"/>
      <c r="Q105" s="44"/>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3695"/>
      <c r="DZ105" s="3696"/>
      <c r="EA105" s="80"/>
      <c r="EB105" s="80"/>
      <c r="EC105" s="68"/>
      <c r="ED105" s="68"/>
      <c r="EE105" s="68"/>
      <c r="EF105" s="164"/>
      <c r="EG105" s="3690"/>
      <c r="EH105" s="3690"/>
      <c r="EI105" s="3690"/>
      <c r="EJ105" s="3690"/>
      <c r="EK105" s="3690"/>
      <c r="EL105" s="3690"/>
      <c r="EM105" s="3690"/>
      <c r="EN105" s="3690"/>
      <c r="EO105" s="3690"/>
      <c r="EP105" s="3690"/>
      <c r="EQ105" s="3690"/>
      <c r="ER105" s="3690"/>
      <c r="ES105" s="3690"/>
      <c r="ET105" s="3690"/>
      <c r="EU105" s="3690"/>
      <c r="EV105" s="3690"/>
      <c r="EW105" s="3690"/>
      <c r="EX105" s="3690"/>
      <c r="EY105" s="3690"/>
      <c r="EZ105" s="3690"/>
      <c r="FA105" s="3690"/>
      <c r="FB105" s="3690"/>
      <c r="FC105" s="3690"/>
      <c r="FD105" s="3690"/>
      <c r="FE105" s="3690"/>
      <c r="FF105" s="3690"/>
      <c r="FG105" s="3690"/>
      <c r="FH105" s="3690"/>
      <c r="FI105" s="3690"/>
      <c r="FJ105" s="3690"/>
      <c r="FK105" s="3690"/>
      <c r="FL105" s="3690"/>
      <c r="FM105" s="3690"/>
      <c r="FN105" s="3690"/>
      <c r="FO105" s="3690"/>
      <c r="FP105" s="3690"/>
      <c r="FQ105" s="3690"/>
      <c r="FR105" s="3690"/>
      <c r="FS105" s="3690"/>
      <c r="FT105" s="3690"/>
      <c r="FU105" s="3690"/>
      <c r="FV105" s="3690"/>
      <c r="FW105" s="3690"/>
      <c r="FX105" s="3690"/>
      <c r="FY105" s="3690"/>
      <c r="FZ105" s="3690"/>
      <c r="GA105" s="3690"/>
      <c r="GB105" s="3690"/>
      <c r="GC105" s="3690"/>
      <c r="GD105" s="3690"/>
      <c r="GE105" s="3690"/>
      <c r="GF105" s="3690"/>
      <c r="GG105" s="3690"/>
      <c r="GH105" s="3690"/>
      <c r="GI105" s="3690"/>
      <c r="GJ105" s="3690"/>
      <c r="GK105" s="3690"/>
      <c r="GL105" s="3690"/>
      <c r="GM105" s="3690"/>
      <c r="GN105" s="3690"/>
      <c r="GO105" s="3690"/>
      <c r="GP105" s="3690"/>
      <c r="GQ105" s="3690"/>
      <c r="GR105" s="3690"/>
      <c r="GS105" s="3690"/>
      <c r="GT105" s="3690"/>
      <c r="GU105" s="3690"/>
      <c r="GV105" s="3690"/>
      <c r="GW105" s="3690"/>
      <c r="GX105" s="3690"/>
      <c r="GY105" s="3690"/>
      <c r="GZ105" s="3690"/>
      <c r="HA105" s="3690"/>
      <c r="HB105" s="3690"/>
      <c r="HC105" s="3690"/>
      <c r="HD105" s="3690"/>
      <c r="HE105" s="3690"/>
      <c r="HF105" s="3690"/>
      <c r="HG105" s="3690"/>
      <c r="HH105" s="3690"/>
      <c r="HI105" s="3690"/>
      <c r="HJ105" s="3690"/>
      <c r="HK105" s="3690"/>
      <c r="HL105" s="3690"/>
      <c r="HM105" s="3690"/>
      <c r="HN105" s="3690"/>
      <c r="HO105" s="3690"/>
      <c r="HP105" s="3690"/>
      <c r="HQ105" s="3690"/>
      <c r="HR105" s="3690"/>
      <c r="HS105" s="3690"/>
      <c r="HT105" s="3690"/>
      <c r="HU105" s="3690"/>
      <c r="HV105" s="3690"/>
      <c r="HW105" s="3690"/>
      <c r="HX105" s="3690"/>
      <c r="HY105" s="3690"/>
      <c r="HZ105" s="3690"/>
      <c r="IA105" s="3690"/>
      <c r="IB105" s="3690"/>
      <c r="IC105" s="3690"/>
      <c r="ID105" s="3690"/>
      <c r="IE105" s="3690"/>
      <c r="IF105" s="3690"/>
      <c r="IG105" s="3690"/>
      <c r="IH105" s="3690"/>
      <c r="II105" s="3690"/>
      <c r="IJ105" s="3690"/>
      <c r="IK105" s="3690"/>
      <c r="IL105" s="3690"/>
      <c r="IM105" s="3690"/>
      <c r="IN105" s="3690"/>
      <c r="IO105" s="3690"/>
      <c r="IP105" s="3690"/>
      <c r="IQ105" s="3690"/>
      <c r="IR105" s="3690"/>
      <c r="IS105" s="3690"/>
      <c r="IT105" s="3690"/>
      <c r="IU105" s="3690"/>
      <c r="IV105" s="3690"/>
      <c r="IW105" s="3690"/>
      <c r="IX105" s="3690"/>
      <c r="IY105" s="3690"/>
      <c r="IZ105" s="3690"/>
      <c r="JA105" s="3690"/>
      <c r="JB105" s="3690"/>
      <c r="JC105" s="3694"/>
      <c r="JD105" s="3692"/>
    </row>
    <row r="106" spans="1:265" ht="12.75" customHeight="1" x14ac:dyDescent="0.25">
      <c r="A106" s="279"/>
      <c r="B106" s="41"/>
      <c r="C106" s="82"/>
      <c r="D106" s="41"/>
      <c r="E106" s="9"/>
      <c r="F106" s="9"/>
      <c r="G106" s="9"/>
      <c r="H106" s="10"/>
      <c r="I106" s="10"/>
      <c r="J106" s="10"/>
      <c r="K106" s="10"/>
      <c r="L106" s="10"/>
      <c r="M106" s="10"/>
      <c r="N106" s="9"/>
      <c r="O106" s="9"/>
      <c r="P106" s="44"/>
      <c r="Q106" s="44"/>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186"/>
      <c r="DZ106" s="110"/>
      <c r="EA106" s="187"/>
      <c r="EB106" s="187"/>
      <c r="EC106" s="188"/>
      <c r="ED106" s="188"/>
      <c r="EE106" s="188"/>
      <c r="EF106" s="189" t="s">
        <v>79</v>
      </c>
      <c r="EG106" s="695">
        <f t="shared" ref="EG106:FL106" si="163">EG109/($EC$103*$DZ$6)</f>
        <v>0</v>
      </c>
      <c r="EH106" s="696">
        <f t="shared" si="163"/>
        <v>0</v>
      </c>
      <c r="EI106" s="696">
        <f t="shared" si="163"/>
        <v>0</v>
      </c>
      <c r="EJ106" s="696">
        <f t="shared" si="163"/>
        <v>0</v>
      </c>
      <c r="EK106" s="696">
        <f t="shared" si="163"/>
        <v>0</v>
      </c>
      <c r="EL106" s="696">
        <f t="shared" si="163"/>
        <v>0</v>
      </c>
      <c r="EM106" s="696">
        <f t="shared" si="163"/>
        <v>0</v>
      </c>
      <c r="EN106" s="696">
        <f t="shared" si="163"/>
        <v>0</v>
      </c>
      <c r="EO106" s="696">
        <f t="shared" si="163"/>
        <v>0</v>
      </c>
      <c r="EP106" s="696">
        <f t="shared" si="163"/>
        <v>0</v>
      </c>
      <c r="EQ106" s="696">
        <f t="shared" si="163"/>
        <v>0</v>
      </c>
      <c r="ER106" s="696">
        <f t="shared" si="163"/>
        <v>0</v>
      </c>
      <c r="ES106" s="696">
        <f t="shared" si="163"/>
        <v>0</v>
      </c>
      <c r="ET106" s="696">
        <f t="shared" si="163"/>
        <v>0</v>
      </c>
      <c r="EU106" s="696">
        <f t="shared" si="163"/>
        <v>0</v>
      </c>
      <c r="EV106" s="696">
        <f t="shared" si="163"/>
        <v>0</v>
      </c>
      <c r="EW106" s="696">
        <f t="shared" si="163"/>
        <v>0</v>
      </c>
      <c r="EX106" s="696">
        <f t="shared" si="163"/>
        <v>0</v>
      </c>
      <c r="EY106" s="696">
        <f t="shared" si="163"/>
        <v>0</v>
      </c>
      <c r="EZ106" s="696">
        <f t="shared" si="163"/>
        <v>0</v>
      </c>
      <c r="FA106" s="696">
        <f t="shared" si="163"/>
        <v>0</v>
      </c>
      <c r="FB106" s="696">
        <f t="shared" si="163"/>
        <v>0</v>
      </c>
      <c r="FC106" s="696">
        <f t="shared" si="163"/>
        <v>0</v>
      </c>
      <c r="FD106" s="696">
        <f t="shared" si="163"/>
        <v>0</v>
      </c>
      <c r="FE106" s="696">
        <f t="shared" si="163"/>
        <v>0</v>
      </c>
      <c r="FF106" s="696">
        <f t="shared" si="163"/>
        <v>0</v>
      </c>
      <c r="FG106" s="696">
        <f t="shared" si="163"/>
        <v>0</v>
      </c>
      <c r="FH106" s="696">
        <f t="shared" si="163"/>
        <v>0</v>
      </c>
      <c r="FI106" s="696">
        <f t="shared" si="163"/>
        <v>0</v>
      </c>
      <c r="FJ106" s="696">
        <f t="shared" si="163"/>
        <v>0</v>
      </c>
      <c r="FK106" s="696">
        <f t="shared" si="163"/>
        <v>0</v>
      </c>
      <c r="FL106" s="696">
        <f t="shared" si="163"/>
        <v>0</v>
      </c>
      <c r="FM106" s="696">
        <f t="shared" ref="FM106:GR106" si="164">FM109/($EC$103*$DZ$6)</f>
        <v>0</v>
      </c>
      <c r="FN106" s="696">
        <f t="shared" si="164"/>
        <v>0</v>
      </c>
      <c r="FO106" s="696">
        <f t="shared" si="164"/>
        <v>0</v>
      </c>
      <c r="FP106" s="696">
        <f t="shared" si="164"/>
        <v>0</v>
      </c>
      <c r="FQ106" s="696">
        <f t="shared" si="164"/>
        <v>0</v>
      </c>
      <c r="FR106" s="696">
        <f t="shared" si="164"/>
        <v>0</v>
      </c>
      <c r="FS106" s="696">
        <f t="shared" si="164"/>
        <v>0</v>
      </c>
      <c r="FT106" s="696">
        <f t="shared" si="164"/>
        <v>0</v>
      </c>
      <c r="FU106" s="696">
        <f t="shared" si="164"/>
        <v>0</v>
      </c>
      <c r="FV106" s="696">
        <f t="shared" si="164"/>
        <v>0</v>
      </c>
      <c r="FW106" s="696">
        <f t="shared" si="164"/>
        <v>0</v>
      </c>
      <c r="FX106" s="696">
        <f t="shared" si="164"/>
        <v>0</v>
      </c>
      <c r="FY106" s="696">
        <f t="shared" si="164"/>
        <v>0</v>
      </c>
      <c r="FZ106" s="696">
        <f t="shared" si="164"/>
        <v>0</v>
      </c>
      <c r="GA106" s="696">
        <f t="shared" si="164"/>
        <v>0</v>
      </c>
      <c r="GB106" s="696">
        <f t="shared" si="164"/>
        <v>0</v>
      </c>
      <c r="GC106" s="696">
        <f t="shared" si="164"/>
        <v>0</v>
      </c>
      <c r="GD106" s="696">
        <f t="shared" si="164"/>
        <v>0</v>
      </c>
      <c r="GE106" s="696">
        <f t="shared" si="164"/>
        <v>0</v>
      </c>
      <c r="GF106" s="696">
        <f t="shared" si="164"/>
        <v>0</v>
      </c>
      <c r="GG106" s="696">
        <f t="shared" si="164"/>
        <v>0</v>
      </c>
      <c r="GH106" s="696">
        <f t="shared" si="164"/>
        <v>0</v>
      </c>
      <c r="GI106" s="696">
        <f t="shared" si="164"/>
        <v>0</v>
      </c>
      <c r="GJ106" s="696">
        <f t="shared" si="164"/>
        <v>0</v>
      </c>
      <c r="GK106" s="696">
        <f t="shared" si="164"/>
        <v>0</v>
      </c>
      <c r="GL106" s="696">
        <f t="shared" si="164"/>
        <v>0</v>
      </c>
      <c r="GM106" s="696">
        <f t="shared" si="164"/>
        <v>0</v>
      </c>
      <c r="GN106" s="696">
        <f t="shared" si="164"/>
        <v>0</v>
      </c>
      <c r="GO106" s="696">
        <f t="shared" si="164"/>
        <v>0</v>
      </c>
      <c r="GP106" s="696">
        <f t="shared" si="164"/>
        <v>0</v>
      </c>
      <c r="GQ106" s="696">
        <f t="shared" si="164"/>
        <v>0</v>
      </c>
      <c r="GR106" s="696">
        <f t="shared" si="164"/>
        <v>0</v>
      </c>
      <c r="GS106" s="696">
        <f t="shared" ref="GS106:HX106" si="165">GS109/($EC$103*$DZ$6)</f>
        <v>0</v>
      </c>
      <c r="GT106" s="696">
        <f t="shared" si="165"/>
        <v>0</v>
      </c>
      <c r="GU106" s="696">
        <f t="shared" si="165"/>
        <v>0</v>
      </c>
      <c r="GV106" s="696">
        <f t="shared" si="165"/>
        <v>0</v>
      </c>
      <c r="GW106" s="696">
        <f t="shared" si="165"/>
        <v>0</v>
      </c>
      <c r="GX106" s="696">
        <f t="shared" si="165"/>
        <v>0</v>
      </c>
      <c r="GY106" s="696">
        <f t="shared" si="165"/>
        <v>0</v>
      </c>
      <c r="GZ106" s="696">
        <f t="shared" si="165"/>
        <v>0</v>
      </c>
      <c r="HA106" s="696">
        <f t="shared" si="165"/>
        <v>0</v>
      </c>
      <c r="HB106" s="696">
        <f t="shared" si="165"/>
        <v>0</v>
      </c>
      <c r="HC106" s="696">
        <f t="shared" si="165"/>
        <v>0</v>
      </c>
      <c r="HD106" s="696">
        <f t="shared" si="165"/>
        <v>0</v>
      </c>
      <c r="HE106" s="696">
        <f t="shared" si="165"/>
        <v>0</v>
      </c>
      <c r="HF106" s="696">
        <f t="shared" si="165"/>
        <v>0</v>
      </c>
      <c r="HG106" s="696">
        <f t="shared" si="165"/>
        <v>0</v>
      </c>
      <c r="HH106" s="696">
        <f t="shared" si="165"/>
        <v>0</v>
      </c>
      <c r="HI106" s="696">
        <f t="shared" si="165"/>
        <v>0</v>
      </c>
      <c r="HJ106" s="696">
        <f t="shared" si="165"/>
        <v>0</v>
      </c>
      <c r="HK106" s="696">
        <f t="shared" si="165"/>
        <v>0</v>
      </c>
      <c r="HL106" s="696">
        <f t="shared" si="165"/>
        <v>0</v>
      </c>
      <c r="HM106" s="696">
        <f t="shared" si="165"/>
        <v>0</v>
      </c>
      <c r="HN106" s="696">
        <f t="shared" si="165"/>
        <v>0</v>
      </c>
      <c r="HO106" s="696">
        <f t="shared" si="165"/>
        <v>0</v>
      </c>
      <c r="HP106" s="696">
        <f t="shared" si="165"/>
        <v>0</v>
      </c>
      <c r="HQ106" s="696">
        <f t="shared" si="165"/>
        <v>0</v>
      </c>
      <c r="HR106" s="696">
        <f t="shared" si="165"/>
        <v>0</v>
      </c>
      <c r="HS106" s="696">
        <f t="shared" si="165"/>
        <v>0</v>
      </c>
      <c r="HT106" s="696">
        <f t="shared" si="165"/>
        <v>0</v>
      </c>
      <c r="HU106" s="696">
        <f t="shared" si="165"/>
        <v>0</v>
      </c>
      <c r="HV106" s="696">
        <f t="shared" si="165"/>
        <v>0</v>
      </c>
      <c r="HW106" s="696">
        <f t="shared" si="165"/>
        <v>0</v>
      </c>
      <c r="HX106" s="696">
        <f t="shared" si="165"/>
        <v>0</v>
      </c>
      <c r="HY106" s="696">
        <f t="shared" ref="HY106:JC106" si="166">HY109/($EC$103*$DZ$6)</f>
        <v>0</v>
      </c>
      <c r="HZ106" s="696">
        <f t="shared" si="166"/>
        <v>0</v>
      </c>
      <c r="IA106" s="696">
        <f t="shared" si="166"/>
        <v>0</v>
      </c>
      <c r="IB106" s="696">
        <f t="shared" si="166"/>
        <v>0</v>
      </c>
      <c r="IC106" s="696">
        <f t="shared" si="166"/>
        <v>0</v>
      </c>
      <c r="ID106" s="696">
        <f t="shared" si="166"/>
        <v>0</v>
      </c>
      <c r="IE106" s="696">
        <f t="shared" si="166"/>
        <v>0</v>
      </c>
      <c r="IF106" s="696">
        <f t="shared" si="166"/>
        <v>0</v>
      </c>
      <c r="IG106" s="696">
        <f t="shared" si="166"/>
        <v>0</v>
      </c>
      <c r="IH106" s="696">
        <f t="shared" si="166"/>
        <v>0</v>
      </c>
      <c r="II106" s="696">
        <f t="shared" si="166"/>
        <v>0</v>
      </c>
      <c r="IJ106" s="696">
        <f t="shared" si="166"/>
        <v>0</v>
      </c>
      <c r="IK106" s="696">
        <f t="shared" si="166"/>
        <v>0</v>
      </c>
      <c r="IL106" s="696">
        <f t="shared" si="166"/>
        <v>0</v>
      </c>
      <c r="IM106" s="696">
        <f t="shared" si="166"/>
        <v>0</v>
      </c>
      <c r="IN106" s="696">
        <f t="shared" si="166"/>
        <v>0</v>
      </c>
      <c r="IO106" s="696">
        <f t="shared" si="166"/>
        <v>0</v>
      </c>
      <c r="IP106" s="696">
        <f t="shared" si="166"/>
        <v>0</v>
      </c>
      <c r="IQ106" s="696">
        <f t="shared" si="166"/>
        <v>0</v>
      </c>
      <c r="IR106" s="696">
        <f t="shared" si="166"/>
        <v>0</v>
      </c>
      <c r="IS106" s="696">
        <f t="shared" si="166"/>
        <v>0</v>
      </c>
      <c r="IT106" s="696">
        <f t="shared" si="166"/>
        <v>0</v>
      </c>
      <c r="IU106" s="696">
        <f t="shared" si="166"/>
        <v>0</v>
      </c>
      <c r="IV106" s="696">
        <f t="shared" si="166"/>
        <v>0</v>
      </c>
      <c r="IW106" s="696">
        <f t="shared" si="166"/>
        <v>0</v>
      </c>
      <c r="IX106" s="696">
        <f t="shared" si="166"/>
        <v>0</v>
      </c>
      <c r="IY106" s="696">
        <f t="shared" si="166"/>
        <v>0</v>
      </c>
      <c r="IZ106" s="696">
        <f t="shared" si="166"/>
        <v>0</v>
      </c>
      <c r="JA106" s="696">
        <f t="shared" si="166"/>
        <v>0</v>
      </c>
      <c r="JB106" s="696">
        <f t="shared" si="166"/>
        <v>0</v>
      </c>
      <c r="JC106" s="697">
        <f t="shared" si="166"/>
        <v>0</v>
      </c>
      <c r="JD106" s="3693"/>
    </row>
    <row r="107" spans="1:265" ht="47.4" customHeight="1" x14ac:dyDescent="0.25">
      <c r="A107" s="279"/>
      <c r="B107" s="41"/>
      <c r="C107" s="82"/>
      <c r="D107" s="41"/>
      <c r="E107" s="9"/>
      <c r="F107" s="9"/>
      <c r="G107" s="9"/>
      <c r="H107" s="10"/>
      <c r="I107" s="10"/>
      <c r="J107" s="10"/>
      <c r="K107" s="10"/>
      <c r="L107" s="10"/>
      <c r="M107" s="10"/>
      <c r="N107" s="9"/>
      <c r="O107" s="179"/>
      <c r="P107" s="179"/>
      <c r="Q107" s="17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6"/>
      <c r="DZ107" s="6"/>
      <c r="EA107" s="6"/>
      <c r="EB107" s="6"/>
      <c r="EC107" s="6"/>
      <c r="ED107" s="6"/>
      <c r="EE107" s="6"/>
      <c r="EF107" s="6"/>
      <c r="EG107" s="622" t="str">
        <f>IF(DY3=1,"Staffing Profile (FTEs per Week)","Staffing Profile (FTEs per Month)")</f>
        <v>Staffing Profile (FTEs per Month)</v>
      </c>
      <c r="EH107" s="157"/>
      <c r="EI107" s="157"/>
      <c r="EJ107" s="157"/>
      <c r="EK107" s="157"/>
      <c r="EL107" s="157"/>
      <c r="EM107" s="157"/>
      <c r="EN107" s="157"/>
      <c r="EO107" s="157"/>
      <c r="EP107" s="157"/>
      <c r="EQ107" s="157"/>
      <c r="ER107" s="157"/>
      <c r="ET107" s="985"/>
      <c r="EU107" s="157"/>
      <c r="EV107" s="157"/>
      <c r="EW107" s="157"/>
      <c r="EX107" s="157"/>
      <c r="EY107" s="157"/>
      <c r="EZ107" s="157"/>
      <c r="FA107" s="157"/>
      <c r="FB107" s="157"/>
      <c r="FC107" s="157"/>
      <c r="FD107" s="157"/>
      <c r="FE107" s="157"/>
      <c r="FF107" s="157"/>
      <c r="FG107" s="157"/>
      <c r="FH107" s="157"/>
      <c r="FI107" s="157"/>
      <c r="FJ107" s="157"/>
      <c r="FK107" s="157"/>
      <c r="FL107" s="157"/>
      <c r="FM107" s="157"/>
      <c r="FN107" s="157"/>
      <c r="FO107" s="157"/>
      <c r="FP107" s="157"/>
      <c r="FQ107" s="157"/>
      <c r="FR107" s="157"/>
      <c r="FS107" s="157"/>
      <c r="FT107" s="157"/>
      <c r="FU107" s="157"/>
      <c r="FV107" s="157"/>
      <c r="FW107" s="157"/>
      <c r="FX107" s="157"/>
      <c r="FY107" s="157"/>
      <c r="FZ107" s="157"/>
      <c r="GA107" s="157"/>
      <c r="GB107" s="157"/>
      <c r="GC107" s="157"/>
      <c r="GD107" s="157"/>
      <c r="GE107" s="157"/>
      <c r="GF107" s="157"/>
      <c r="GG107" s="157"/>
      <c r="GH107" s="157"/>
      <c r="GI107" s="157"/>
      <c r="GJ107" s="157"/>
      <c r="GK107" s="157"/>
      <c r="GL107" s="157"/>
      <c r="GM107" s="157"/>
      <c r="GN107" s="157"/>
      <c r="GO107" s="157"/>
      <c r="GP107" s="157"/>
      <c r="GQ107" s="157"/>
      <c r="GR107" s="157"/>
      <c r="GS107" s="157"/>
      <c r="GT107" s="157"/>
      <c r="GU107" s="157"/>
      <c r="GV107" s="157"/>
      <c r="GW107" s="157"/>
      <c r="GX107" s="157"/>
      <c r="GY107" s="158"/>
      <c r="GZ107" s="158"/>
      <c r="HA107" s="158"/>
      <c r="HB107" s="158"/>
      <c r="HC107" s="158"/>
      <c r="HD107" s="158"/>
      <c r="HE107" s="158"/>
      <c r="HF107" s="158"/>
      <c r="HG107" s="158"/>
      <c r="HH107" s="158"/>
      <c r="HI107" s="158"/>
      <c r="HJ107" s="158"/>
      <c r="HK107" s="158"/>
      <c r="HL107" s="158"/>
      <c r="HM107" s="158"/>
      <c r="HN107" s="158"/>
      <c r="HO107" s="158"/>
      <c r="HP107" s="158"/>
      <c r="HQ107" s="158"/>
      <c r="HR107" s="158"/>
      <c r="HS107" s="158"/>
      <c r="HT107" s="158"/>
      <c r="HU107" s="158"/>
      <c r="HV107" s="158"/>
      <c r="HW107" s="158"/>
      <c r="HX107" s="158"/>
      <c r="HY107" s="158"/>
      <c r="HZ107" s="158"/>
      <c r="IA107" s="158"/>
      <c r="IB107" s="158"/>
      <c r="IC107" s="158"/>
      <c r="ID107" s="158"/>
      <c r="IE107" s="158"/>
      <c r="IF107" s="158"/>
      <c r="IG107" s="158"/>
      <c r="IH107" s="158"/>
      <c r="II107" s="158"/>
      <c r="IJ107" s="158"/>
      <c r="IK107" s="158"/>
      <c r="IL107" s="158"/>
      <c r="IM107" s="158"/>
      <c r="IN107" s="158"/>
      <c r="IO107" s="158"/>
      <c r="IP107" s="158"/>
      <c r="IQ107" s="158"/>
      <c r="IR107" s="158"/>
      <c r="IS107" s="158"/>
      <c r="IT107" s="158"/>
      <c r="IU107" s="158"/>
      <c r="IV107" s="158"/>
      <c r="IW107" s="158"/>
      <c r="IX107" s="158"/>
      <c r="IY107" s="158"/>
      <c r="IZ107" s="158"/>
      <c r="JA107" s="158"/>
      <c r="JB107" s="158"/>
      <c r="JC107" s="158"/>
      <c r="JD107" s="6"/>
    </row>
    <row r="108" spans="1:265" ht="21.6" customHeight="1" x14ac:dyDescent="0.25">
      <c r="A108" s="279"/>
      <c r="B108" s="41"/>
      <c r="C108" s="82"/>
      <c r="D108" s="41"/>
      <c r="E108" s="9"/>
      <c r="F108" s="9"/>
      <c r="G108" s="9"/>
      <c r="H108" s="10"/>
      <c r="I108" s="10"/>
      <c r="J108" s="10"/>
      <c r="K108" s="10"/>
      <c r="L108" s="10"/>
      <c r="M108" s="10"/>
      <c r="N108" s="9"/>
      <c r="O108" s="179"/>
      <c r="P108" s="179"/>
      <c r="Q108" s="17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6"/>
      <c r="DZ108" s="6"/>
      <c r="EA108" s="6"/>
      <c r="EB108" s="6"/>
      <c r="EC108" s="6"/>
      <c r="ED108" s="6"/>
      <c r="EE108" s="6"/>
      <c r="EF108" s="6"/>
      <c r="EG108" s="621" t="s">
        <v>4052</v>
      </c>
      <c r="EH108" s="157"/>
      <c r="EI108" s="157"/>
      <c r="EJ108" s="157"/>
      <c r="EK108" s="157"/>
      <c r="EL108" s="157"/>
      <c r="EM108" s="157"/>
      <c r="EN108" s="157"/>
      <c r="EO108" s="1365" t="s">
        <v>4055</v>
      </c>
      <c r="EP108" s="157"/>
      <c r="EQ108" s="157"/>
      <c r="ER108" s="157"/>
      <c r="EU108" s="157"/>
      <c r="EV108" s="157"/>
      <c r="EW108" s="157"/>
      <c r="EX108" s="157"/>
      <c r="EY108" s="157"/>
      <c r="EZ108" s="157"/>
      <c r="FA108" s="157"/>
      <c r="FB108" s="157"/>
      <c r="FC108" s="157"/>
      <c r="FD108" s="157"/>
      <c r="FE108" s="157"/>
      <c r="FF108" s="157"/>
      <c r="FG108" s="157"/>
      <c r="FH108" s="157"/>
      <c r="FI108" s="157"/>
      <c r="FJ108" s="157"/>
      <c r="FK108" s="157"/>
      <c r="FL108" s="157"/>
      <c r="FM108" s="157"/>
      <c r="FN108" s="157"/>
      <c r="FO108" s="157"/>
      <c r="FP108" s="157"/>
      <c r="FQ108" s="157"/>
      <c r="FR108" s="157"/>
      <c r="FS108" s="157"/>
      <c r="FT108" s="157"/>
      <c r="FU108" s="157"/>
      <c r="FV108" s="157"/>
      <c r="FW108" s="157"/>
      <c r="FX108" s="157"/>
      <c r="FY108" s="157"/>
      <c r="FZ108" s="157"/>
      <c r="GA108" s="157"/>
      <c r="GB108" s="157"/>
      <c r="GC108" s="157"/>
      <c r="GD108" s="157"/>
      <c r="GE108" s="157"/>
      <c r="GF108" s="157"/>
      <c r="GG108" s="157"/>
      <c r="GH108" s="157"/>
      <c r="GI108" s="157"/>
      <c r="GJ108" s="157"/>
      <c r="GK108" s="157"/>
      <c r="GL108" s="157"/>
      <c r="GM108" s="157"/>
      <c r="GN108" s="157"/>
      <c r="GO108" s="157"/>
      <c r="GP108" s="157"/>
      <c r="GQ108" s="157"/>
      <c r="GR108" s="157"/>
      <c r="GS108" s="157"/>
      <c r="GT108" s="157"/>
      <c r="GU108" s="157"/>
      <c r="GV108" s="157"/>
      <c r="GW108" s="157"/>
      <c r="GX108" s="157"/>
      <c r="GY108" s="158"/>
      <c r="GZ108" s="158"/>
      <c r="HA108" s="158"/>
      <c r="HB108" s="158"/>
      <c r="HC108" s="158"/>
      <c r="HD108" s="158"/>
      <c r="HE108" s="158"/>
      <c r="HF108" s="158"/>
      <c r="HG108" s="158"/>
      <c r="HH108" s="158"/>
      <c r="HI108" s="158"/>
      <c r="HJ108" s="158"/>
      <c r="HK108" s="158"/>
      <c r="HL108" s="158"/>
      <c r="HM108" s="158"/>
      <c r="HN108" s="158"/>
      <c r="HO108" s="158"/>
      <c r="HP108" s="158"/>
      <c r="HQ108" s="158"/>
      <c r="HR108" s="158"/>
      <c r="HS108" s="158"/>
      <c r="HT108" s="158"/>
      <c r="HU108" s="158"/>
      <c r="HV108" s="158"/>
      <c r="HW108" s="158"/>
      <c r="HX108" s="158"/>
      <c r="HY108" s="158"/>
      <c r="HZ108" s="158"/>
      <c r="IA108" s="158"/>
      <c r="IB108" s="158"/>
      <c r="IC108" s="158"/>
      <c r="ID108" s="158"/>
      <c r="IE108" s="158"/>
      <c r="IF108" s="158"/>
      <c r="IG108" s="158"/>
      <c r="IH108" s="158"/>
      <c r="II108" s="158"/>
      <c r="IJ108" s="158"/>
      <c r="IK108" s="158"/>
      <c r="IL108" s="158"/>
      <c r="IM108" s="158"/>
      <c r="IN108" s="158"/>
      <c r="IO108" s="158"/>
      <c r="IP108" s="158"/>
      <c r="IQ108" s="158"/>
      <c r="IR108" s="158"/>
      <c r="IS108" s="158"/>
      <c r="IT108" s="158"/>
      <c r="IU108" s="158"/>
      <c r="IV108" s="158"/>
      <c r="IW108" s="158"/>
      <c r="IX108" s="158"/>
      <c r="IY108" s="158"/>
      <c r="IZ108" s="158"/>
      <c r="JA108" s="158"/>
      <c r="JB108" s="158"/>
      <c r="JC108" s="158"/>
      <c r="JD108" s="6"/>
    </row>
    <row r="109" spans="1:265" ht="42.6" customHeight="1" x14ac:dyDescent="0.4">
      <c r="A109" s="279"/>
      <c r="B109" s="41"/>
      <c r="C109" s="82"/>
      <c r="D109" s="41"/>
      <c r="E109" s="9"/>
      <c r="F109" s="98"/>
      <c r="G109" s="98"/>
      <c r="H109" s="9"/>
      <c r="I109" s="9"/>
      <c r="J109" s="9"/>
      <c r="K109" s="9"/>
      <c r="L109" s="9"/>
      <c r="M109" s="9"/>
      <c r="N109" s="9"/>
      <c r="O109" s="6"/>
      <c r="P109" s="44"/>
      <c r="Q109" s="44"/>
      <c r="S109" s="1811"/>
      <c r="T109" s="1811"/>
      <c r="U109" s="1811"/>
      <c r="V109" s="1811"/>
      <c r="W109" s="1811"/>
      <c r="X109" s="1811"/>
      <c r="Y109" s="1811"/>
      <c r="Z109" s="1811"/>
      <c r="AA109" s="1811"/>
      <c r="AB109" s="1811"/>
      <c r="AC109" s="1811"/>
      <c r="AD109" s="1811"/>
      <c r="AE109" s="1811"/>
      <c r="AF109" s="1811"/>
      <c r="AG109" s="1811"/>
      <c r="AH109" s="1811"/>
      <c r="AI109" s="1811"/>
      <c r="AJ109" s="1811"/>
      <c r="AK109" s="1811"/>
      <c r="AL109" s="1811"/>
      <c r="AM109" s="1811"/>
      <c r="AN109" s="1811"/>
      <c r="AO109" s="1811"/>
      <c r="AP109" s="1811"/>
      <c r="AQ109" s="1811"/>
      <c r="AR109" s="1811"/>
      <c r="AS109" s="1811"/>
      <c r="AT109" s="1811"/>
      <c r="AU109" s="1811"/>
      <c r="AV109" s="1811"/>
      <c r="AW109" s="1811"/>
      <c r="AX109" s="1811"/>
      <c r="AY109" s="1811"/>
      <c r="AZ109" s="1811"/>
      <c r="BA109" s="1811"/>
      <c r="BB109" s="1811"/>
      <c r="BC109" s="1811"/>
      <c r="BD109" s="1811"/>
      <c r="BE109" s="1811"/>
      <c r="BF109" s="1811"/>
      <c r="BG109" s="1811"/>
      <c r="BH109" s="1811"/>
      <c r="BI109" s="1811"/>
      <c r="BJ109" s="1811"/>
      <c r="BK109" s="1811"/>
      <c r="BL109" s="1811"/>
      <c r="BM109" s="1811"/>
      <c r="BN109" s="1811"/>
      <c r="BO109" s="1811"/>
      <c r="BP109" s="1811"/>
      <c r="BQ109" s="1811"/>
      <c r="BR109" s="1811"/>
      <c r="BS109" s="1811"/>
      <c r="BT109" s="1811"/>
      <c r="BU109" s="1811"/>
      <c r="BV109" s="1811"/>
      <c r="BW109" s="1811"/>
      <c r="BX109" s="1811"/>
      <c r="BY109" s="1811"/>
      <c r="BZ109" s="1811"/>
      <c r="CA109" s="1811"/>
      <c r="CB109" s="1811"/>
      <c r="CC109" s="1811"/>
      <c r="CD109" s="1811"/>
      <c r="CE109" s="1811"/>
      <c r="CF109" s="1811"/>
      <c r="CG109" s="1811"/>
      <c r="CH109" s="1811"/>
      <c r="CI109" s="1811"/>
      <c r="CJ109" s="1811"/>
      <c r="CK109" s="1811"/>
      <c r="CL109" s="1811"/>
      <c r="CM109" s="1811"/>
      <c r="CN109" s="1811"/>
      <c r="CO109" s="1811"/>
      <c r="CP109" s="1811"/>
      <c r="CQ109" s="1811"/>
      <c r="CR109" s="1811"/>
      <c r="CS109" s="1811"/>
      <c r="CT109" s="1811"/>
      <c r="CU109" s="1811"/>
      <c r="CV109" s="1811"/>
      <c r="CW109" s="1811"/>
      <c r="CX109" s="1811"/>
      <c r="CY109" s="1811"/>
      <c r="CZ109" s="1811"/>
      <c r="DA109" s="1811"/>
      <c r="DB109" s="1811"/>
      <c r="DC109" s="1811"/>
      <c r="DD109" s="1811"/>
      <c r="DE109" s="1811"/>
      <c r="DF109" s="1811"/>
      <c r="DG109" s="1811"/>
      <c r="DH109" s="1811"/>
      <c r="DI109" s="1811"/>
      <c r="DJ109" s="1811"/>
      <c r="DK109" s="1811"/>
      <c r="DL109" s="1811"/>
      <c r="DM109" s="1811"/>
      <c r="DN109" s="1811"/>
      <c r="DO109" s="1811"/>
      <c r="DP109" s="1811"/>
      <c r="DQ109" s="1811"/>
      <c r="DR109" s="9"/>
      <c r="DS109" s="9"/>
      <c r="DT109" s="9"/>
      <c r="DU109" s="9"/>
      <c r="DV109" s="9"/>
      <c r="DW109" s="9"/>
      <c r="DX109" s="9"/>
      <c r="DY109" s="6"/>
      <c r="DZ109" s="6"/>
      <c r="EA109" s="120"/>
      <c r="EB109" s="3138" t="s">
        <v>3393</v>
      </c>
      <c r="EC109" s="3697">
        <f>SUM(EG109:JD109)</f>
        <v>0</v>
      </c>
      <c r="ED109" s="3698"/>
      <c r="EE109" s="3699"/>
      <c r="EF109" s="120"/>
      <c r="EG109" s="3150">
        <f t="shared" ref="EG109:FL109" si="167">EG10+EG2</f>
        <v>0</v>
      </c>
      <c r="EH109" s="3148">
        <f t="shared" si="167"/>
        <v>0</v>
      </c>
      <c r="EI109" s="3148">
        <f t="shared" si="167"/>
        <v>0</v>
      </c>
      <c r="EJ109" s="3148">
        <f t="shared" si="167"/>
        <v>0</v>
      </c>
      <c r="EK109" s="3148">
        <f t="shared" si="167"/>
        <v>0</v>
      </c>
      <c r="EL109" s="3148">
        <f t="shared" si="167"/>
        <v>0</v>
      </c>
      <c r="EM109" s="3148">
        <f t="shared" si="167"/>
        <v>0</v>
      </c>
      <c r="EN109" s="3148">
        <f t="shared" si="167"/>
        <v>0</v>
      </c>
      <c r="EO109" s="3148">
        <f t="shared" si="167"/>
        <v>0</v>
      </c>
      <c r="EP109" s="3148">
        <f t="shared" si="167"/>
        <v>0</v>
      </c>
      <c r="EQ109" s="3148">
        <f t="shared" si="167"/>
        <v>0</v>
      </c>
      <c r="ER109" s="3148">
        <f t="shared" si="167"/>
        <v>0</v>
      </c>
      <c r="ES109" s="3148">
        <f t="shared" si="167"/>
        <v>0</v>
      </c>
      <c r="ET109" s="3148">
        <f t="shared" si="167"/>
        <v>0</v>
      </c>
      <c r="EU109" s="3148">
        <f t="shared" si="167"/>
        <v>0</v>
      </c>
      <c r="EV109" s="3148">
        <f t="shared" si="167"/>
        <v>0</v>
      </c>
      <c r="EW109" s="3148">
        <f t="shared" si="167"/>
        <v>0</v>
      </c>
      <c r="EX109" s="3148">
        <f t="shared" si="167"/>
        <v>0</v>
      </c>
      <c r="EY109" s="3148">
        <f t="shared" si="167"/>
        <v>0</v>
      </c>
      <c r="EZ109" s="3148">
        <f t="shared" si="167"/>
        <v>0</v>
      </c>
      <c r="FA109" s="3148">
        <f t="shared" si="167"/>
        <v>0</v>
      </c>
      <c r="FB109" s="3148">
        <f t="shared" si="167"/>
        <v>0</v>
      </c>
      <c r="FC109" s="3148">
        <f t="shared" si="167"/>
        <v>0</v>
      </c>
      <c r="FD109" s="3148">
        <f t="shared" si="167"/>
        <v>0</v>
      </c>
      <c r="FE109" s="3148">
        <f t="shared" si="167"/>
        <v>0</v>
      </c>
      <c r="FF109" s="3148">
        <f t="shared" si="167"/>
        <v>0</v>
      </c>
      <c r="FG109" s="3148">
        <f t="shared" si="167"/>
        <v>0</v>
      </c>
      <c r="FH109" s="3148">
        <f t="shared" si="167"/>
        <v>0</v>
      </c>
      <c r="FI109" s="3148">
        <f t="shared" si="167"/>
        <v>0</v>
      </c>
      <c r="FJ109" s="3148">
        <f t="shared" si="167"/>
        <v>0</v>
      </c>
      <c r="FK109" s="3148">
        <f t="shared" si="167"/>
        <v>0</v>
      </c>
      <c r="FL109" s="3148">
        <f t="shared" si="167"/>
        <v>0</v>
      </c>
      <c r="FM109" s="3148">
        <f t="shared" ref="FM109:GR109" si="168">FM10+FM2</f>
        <v>0</v>
      </c>
      <c r="FN109" s="3148">
        <f t="shared" si="168"/>
        <v>0</v>
      </c>
      <c r="FO109" s="3148">
        <f t="shared" si="168"/>
        <v>0</v>
      </c>
      <c r="FP109" s="3148">
        <f t="shared" si="168"/>
        <v>0</v>
      </c>
      <c r="FQ109" s="3148">
        <f t="shared" si="168"/>
        <v>0</v>
      </c>
      <c r="FR109" s="3148">
        <f t="shared" si="168"/>
        <v>0</v>
      </c>
      <c r="FS109" s="3148">
        <f t="shared" si="168"/>
        <v>0</v>
      </c>
      <c r="FT109" s="3148">
        <f t="shared" si="168"/>
        <v>0</v>
      </c>
      <c r="FU109" s="3148">
        <f t="shared" si="168"/>
        <v>0</v>
      </c>
      <c r="FV109" s="3148">
        <f t="shared" si="168"/>
        <v>0</v>
      </c>
      <c r="FW109" s="3148">
        <f t="shared" si="168"/>
        <v>0</v>
      </c>
      <c r="FX109" s="3148">
        <f t="shared" si="168"/>
        <v>0</v>
      </c>
      <c r="FY109" s="3148">
        <f t="shared" si="168"/>
        <v>0</v>
      </c>
      <c r="FZ109" s="3148">
        <f t="shared" si="168"/>
        <v>0</v>
      </c>
      <c r="GA109" s="3148">
        <f t="shared" si="168"/>
        <v>0</v>
      </c>
      <c r="GB109" s="3148">
        <f t="shared" si="168"/>
        <v>0</v>
      </c>
      <c r="GC109" s="3148">
        <f t="shared" si="168"/>
        <v>0</v>
      </c>
      <c r="GD109" s="3148">
        <f t="shared" si="168"/>
        <v>0</v>
      </c>
      <c r="GE109" s="3148">
        <f t="shared" si="168"/>
        <v>0</v>
      </c>
      <c r="GF109" s="3148">
        <f t="shared" si="168"/>
        <v>0</v>
      </c>
      <c r="GG109" s="3148">
        <f t="shared" si="168"/>
        <v>0</v>
      </c>
      <c r="GH109" s="3148">
        <f t="shared" si="168"/>
        <v>0</v>
      </c>
      <c r="GI109" s="3148">
        <f t="shared" si="168"/>
        <v>0</v>
      </c>
      <c r="GJ109" s="3148">
        <f t="shared" si="168"/>
        <v>0</v>
      </c>
      <c r="GK109" s="3148">
        <f t="shared" si="168"/>
        <v>0</v>
      </c>
      <c r="GL109" s="3148">
        <f t="shared" si="168"/>
        <v>0</v>
      </c>
      <c r="GM109" s="3148">
        <f t="shared" si="168"/>
        <v>0</v>
      </c>
      <c r="GN109" s="3148">
        <f t="shared" si="168"/>
        <v>0</v>
      </c>
      <c r="GO109" s="3148">
        <f t="shared" si="168"/>
        <v>0</v>
      </c>
      <c r="GP109" s="3148">
        <f t="shared" si="168"/>
        <v>0</v>
      </c>
      <c r="GQ109" s="3148">
        <f t="shared" si="168"/>
        <v>0</v>
      </c>
      <c r="GR109" s="3148">
        <f t="shared" si="168"/>
        <v>0</v>
      </c>
      <c r="GS109" s="3148">
        <f t="shared" ref="GS109:HX109" si="169">GS10+GS2</f>
        <v>0</v>
      </c>
      <c r="GT109" s="3148">
        <f t="shared" si="169"/>
        <v>0</v>
      </c>
      <c r="GU109" s="3148">
        <f t="shared" si="169"/>
        <v>0</v>
      </c>
      <c r="GV109" s="3148">
        <f t="shared" si="169"/>
        <v>0</v>
      </c>
      <c r="GW109" s="3148">
        <f t="shared" si="169"/>
        <v>0</v>
      </c>
      <c r="GX109" s="3148">
        <f t="shared" si="169"/>
        <v>0</v>
      </c>
      <c r="GY109" s="3148">
        <f t="shared" si="169"/>
        <v>0</v>
      </c>
      <c r="GZ109" s="3148">
        <f t="shared" si="169"/>
        <v>0</v>
      </c>
      <c r="HA109" s="3148">
        <f t="shared" si="169"/>
        <v>0</v>
      </c>
      <c r="HB109" s="3148">
        <f t="shared" si="169"/>
        <v>0</v>
      </c>
      <c r="HC109" s="3148">
        <f t="shared" si="169"/>
        <v>0</v>
      </c>
      <c r="HD109" s="3148">
        <f t="shared" si="169"/>
        <v>0</v>
      </c>
      <c r="HE109" s="3148">
        <f t="shared" si="169"/>
        <v>0</v>
      </c>
      <c r="HF109" s="3148">
        <f t="shared" si="169"/>
        <v>0</v>
      </c>
      <c r="HG109" s="3148">
        <f t="shared" si="169"/>
        <v>0</v>
      </c>
      <c r="HH109" s="3148">
        <f t="shared" si="169"/>
        <v>0</v>
      </c>
      <c r="HI109" s="3148">
        <f t="shared" si="169"/>
        <v>0</v>
      </c>
      <c r="HJ109" s="3148">
        <f t="shared" si="169"/>
        <v>0</v>
      </c>
      <c r="HK109" s="3148">
        <f t="shared" si="169"/>
        <v>0</v>
      </c>
      <c r="HL109" s="3148">
        <f t="shared" si="169"/>
        <v>0</v>
      </c>
      <c r="HM109" s="3148">
        <f t="shared" si="169"/>
        <v>0</v>
      </c>
      <c r="HN109" s="3148">
        <f t="shared" si="169"/>
        <v>0</v>
      </c>
      <c r="HO109" s="3148">
        <f t="shared" si="169"/>
        <v>0</v>
      </c>
      <c r="HP109" s="3148">
        <f t="shared" si="169"/>
        <v>0</v>
      </c>
      <c r="HQ109" s="3148">
        <f t="shared" si="169"/>
        <v>0</v>
      </c>
      <c r="HR109" s="3148">
        <f t="shared" si="169"/>
        <v>0</v>
      </c>
      <c r="HS109" s="3148">
        <f t="shared" si="169"/>
        <v>0</v>
      </c>
      <c r="HT109" s="3148">
        <f t="shared" si="169"/>
        <v>0</v>
      </c>
      <c r="HU109" s="3148">
        <f t="shared" si="169"/>
        <v>0</v>
      </c>
      <c r="HV109" s="3148">
        <f t="shared" si="169"/>
        <v>0</v>
      </c>
      <c r="HW109" s="3148">
        <f t="shared" si="169"/>
        <v>0</v>
      </c>
      <c r="HX109" s="3148">
        <f t="shared" si="169"/>
        <v>0</v>
      </c>
      <c r="HY109" s="3148">
        <f t="shared" ref="HY109:JC109" si="170">HY10+HY2</f>
        <v>0</v>
      </c>
      <c r="HZ109" s="3148">
        <f t="shared" si="170"/>
        <v>0</v>
      </c>
      <c r="IA109" s="3148">
        <f t="shared" si="170"/>
        <v>0</v>
      </c>
      <c r="IB109" s="3148">
        <f t="shared" si="170"/>
        <v>0</v>
      </c>
      <c r="IC109" s="3148">
        <f t="shared" si="170"/>
        <v>0</v>
      </c>
      <c r="ID109" s="3148">
        <f t="shared" si="170"/>
        <v>0</v>
      </c>
      <c r="IE109" s="3148">
        <f t="shared" si="170"/>
        <v>0</v>
      </c>
      <c r="IF109" s="3148">
        <f t="shared" si="170"/>
        <v>0</v>
      </c>
      <c r="IG109" s="3148">
        <f t="shared" si="170"/>
        <v>0</v>
      </c>
      <c r="IH109" s="3148">
        <f t="shared" si="170"/>
        <v>0</v>
      </c>
      <c r="II109" s="3148">
        <f t="shared" si="170"/>
        <v>0</v>
      </c>
      <c r="IJ109" s="3148">
        <f t="shared" si="170"/>
        <v>0</v>
      </c>
      <c r="IK109" s="3148">
        <f t="shared" si="170"/>
        <v>0</v>
      </c>
      <c r="IL109" s="3148">
        <f t="shared" si="170"/>
        <v>0</v>
      </c>
      <c r="IM109" s="3148">
        <f t="shared" si="170"/>
        <v>0</v>
      </c>
      <c r="IN109" s="3148">
        <f t="shared" si="170"/>
        <v>0</v>
      </c>
      <c r="IO109" s="3148">
        <f t="shared" si="170"/>
        <v>0</v>
      </c>
      <c r="IP109" s="3148">
        <f t="shared" si="170"/>
        <v>0</v>
      </c>
      <c r="IQ109" s="3148">
        <f t="shared" si="170"/>
        <v>0</v>
      </c>
      <c r="IR109" s="3148">
        <f t="shared" si="170"/>
        <v>0</v>
      </c>
      <c r="IS109" s="3148">
        <f t="shared" si="170"/>
        <v>0</v>
      </c>
      <c r="IT109" s="3148">
        <f t="shared" si="170"/>
        <v>0</v>
      </c>
      <c r="IU109" s="3148">
        <f t="shared" si="170"/>
        <v>0</v>
      </c>
      <c r="IV109" s="3148">
        <f t="shared" si="170"/>
        <v>0</v>
      </c>
      <c r="IW109" s="3148">
        <f t="shared" si="170"/>
        <v>0</v>
      </c>
      <c r="IX109" s="3148">
        <f t="shared" si="170"/>
        <v>0</v>
      </c>
      <c r="IY109" s="3148">
        <f t="shared" si="170"/>
        <v>0</v>
      </c>
      <c r="IZ109" s="3148">
        <f t="shared" si="170"/>
        <v>0</v>
      </c>
      <c r="JA109" s="3148">
        <f t="shared" si="170"/>
        <v>0</v>
      </c>
      <c r="JB109" s="3148">
        <f t="shared" si="170"/>
        <v>0</v>
      </c>
      <c r="JC109" s="3151">
        <f t="shared" si="170"/>
        <v>0</v>
      </c>
      <c r="JD109" s="3136"/>
      <c r="JE109" s="120"/>
    </row>
    <row r="110" spans="1:265" ht="5.4" customHeight="1" x14ac:dyDescent="0.4">
      <c r="A110" s="279"/>
      <c r="B110" s="41"/>
      <c r="C110" s="82"/>
      <c r="D110" s="41"/>
      <c r="E110" s="9"/>
      <c r="F110" s="98"/>
      <c r="G110" s="98"/>
      <c r="H110" s="9"/>
      <c r="I110" s="9"/>
      <c r="J110" s="9"/>
      <c r="K110" s="9"/>
      <c r="L110" s="9"/>
      <c r="M110" s="9"/>
      <c r="N110" s="9"/>
      <c r="O110" s="6"/>
      <c r="P110" s="77"/>
      <c r="Q110" s="77"/>
      <c r="R110" s="1811"/>
      <c r="S110" s="1811"/>
      <c r="T110" s="1811"/>
      <c r="U110" s="1811"/>
      <c r="V110" s="1811"/>
      <c r="W110" s="1811"/>
      <c r="X110" s="1811"/>
      <c r="Y110" s="1811"/>
      <c r="Z110" s="1811"/>
      <c r="AA110" s="1811"/>
      <c r="AB110" s="1811"/>
      <c r="AC110" s="1811"/>
      <c r="AD110" s="1811"/>
      <c r="AE110" s="1811"/>
      <c r="AF110" s="1811"/>
      <c r="AG110" s="1811"/>
      <c r="AH110" s="1811"/>
      <c r="AI110" s="1811"/>
      <c r="AJ110" s="1811"/>
      <c r="AK110" s="1811"/>
      <c r="AL110" s="1811"/>
      <c r="AM110" s="1811"/>
      <c r="AN110" s="1811"/>
      <c r="AO110" s="1811"/>
      <c r="AP110" s="1811"/>
      <c r="AQ110" s="1811"/>
      <c r="AR110" s="1811"/>
      <c r="AS110" s="1811"/>
      <c r="AT110" s="1811"/>
      <c r="AU110" s="1811"/>
      <c r="AV110" s="1811"/>
      <c r="AW110" s="1811"/>
      <c r="AX110" s="1811"/>
      <c r="AY110" s="1811"/>
      <c r="AZ110" s="1811"/>
      <c r="BA110" s="1811"/>
      <c r="BB110" s="1811"/>
      <c r="BC110" s="1811"/>
      <c r="BD110" s="1811"/>
      <c r="BE110" s="1811"/>
      <c r="BF110" s="1811"/>
      <c r="BG110" s="1811"/>
      <c r="BH110" s="1811"/>
      <c r="BI110" s="1811"/>
      <c r="BJ110" s="1811"/>
      <c r="BK110" s="1811"/>
      <c r="BL110" s="1811"/>
      <c r="BM110" s="1811"/>
      <c r="BN110" s="1811"/>
      <c r="BO110" s="1811"/>
      <c r="BP110" s="1811"/>
      <c r="BQ110" s="1811"/>
      <c r="BR110" s="1811"/>
      <c r="BS110" s="1811"/>
      <c r="BT110" s="1811"/>
      <c r="BU110" s="1811"/>
      <c r="BV110" s="1811"/>
      <c r="BW110" s="1811"/>
      <c r="BX110" s="1811"/>
      <c r="BY110" s="1811"/>
      <c r="BZ110" s="1811"/>
      <c r="CA110" s="1811"/>
      <c r="CB110" s="1811"/>
      <c r="CC110" s="1811"/>
      <c r="CD110" s="1811"/>
      <c r="CE110" s="1811"/>
      <c r="CF110" s="1811"/>
      <c r="CG110" s="1811"/>
      <c r="CH110" s="1811"/>
      <c r="CI110" s="1811"/>
      <c r="CJ110" s="1811"/>
      <c r="CK110" s="1811"/>
      <c r="CL110" s="1811"/>
      <c r="CM110" s="1811"/>
      <c r="CN110" s="1811"/>
      <c r="CO110" s="1811"/>
      <c r="CP110" s="1811"/>
      <c r="CQ110" s="1811"/>
      <c r="CR110" s="1811"/>
      <c r="CS110" s="1811"/>
      <c r="CT110" s="1811"/>
      <c r="CU110" s="1811"/>
      <c r="CV110" s="1811"/>
      <c r="CW110" s="1811"/>
      <c r="CX110" s="1811"/>
      <c r="CY110" s="1811"/>
      <c r="CZ110" s="1811"/>
      <c r="DA110" s="1811"/>
      <c r="DB110" s="1811"/>
      <c r="DC110" s="1811"/>
      <c r="DD110" s="1811"/>
      <c r="DE110" s="1811"/>
      <c r="DF110" s="1811"/>
      <c r="DG110" s="1811"/>
      <c r="DH110" s="1811"/>
      <c r="DI110" s="1811"/>
      <c r="DJ110" s="1811"/>
      <c r="DK110" s="1811"/>
      <c r="DL110" s="1811"/>
      <c r="DM110" s="1811"/>
      <c r="DN110" s="1811"/>
      <c r="DO110" s="1811"/>
      <c r="DP110" s="1811"/>
      <c r="DQ110" s="1811"/>
      <c r="DR110" s="9"/>
      <c r="DS110" s="9"/>
      <c r="DT110" s="9"/>
      <c r="DU110" s="9"/>
      <c r="DV110" s="9"/>
      <c r="DW110" s="9"/>
      <c r="DX110" s="9"/>
      <c r="DY110" s="6"/>
      <c r="DZ110" s="6"/>
      <c r="EA110" s="120"/>
      <c r="EB110" s="120"/>
      <c r="EC110" s="120"/>
      <c r="ED110" s="120"/>
      <c r="EE110" s="120"/>
      <c r="EF110" s="120"/>
      <c r="EG110" s="3152"/>
      <c r="EH110" s="3152"/>
      <c r="EI110" s="3152"/>
      <c r="EJ110" s="3152"/>
      <c r="EK110" s="3152"/>
      <c r="EL110" s="3152"/>
      <c r="EM110" s="3152"/>
      <c r="EN110" s="3152"/>
      <c r="EO110" s="3152"/>
      <c r="EP110" s="3152"/>
      <c r="EQ110" s="3152"/>
      <c r="ER110" s="3152"/>
      <c r="ES110" s="3152"/>
      <c r="ET110" s="3152"/>
      <c r="EU110" s="3152"/>
      <c r="EV110" s="3152"/>
      <c r="EW110" s="3152"/>
      <c r="EX110" s="3152"/>
      <c r="EY110" s="3152"/>
      <c r="EZ110" s="3152"/>
      <c r="FA110" s="3152"/>
      <c r="FB110" s="3152"/>
      <c r="FC110" s="3152"/>
      <c r="FD110" s="3152"/>
      <c r="FE110" s="3152"/>
      <c r="FF110" s="3152"/>
      <c r="FG110" s="3152"/>
      <c r="FH110" s="3152"/>
      <c r="FI110" s="3152"/>
      <c r="FJ110" s="3152"/>
      <c r="FK110" s="3152"/>
      <c r="FL110" s="3152"/>
      <c r="FM110" s="3152"/>
      <c r="FN110" s="3152"/>
      <c r="FO110" s="3152"/>
      <c r="FP110" s="3152"/>
      <c r="FQ110" s="3152"/>
      <c r="FR110" s="3152"/>
      <c r="FS110" s="3152"/>
      <c r="FT110" s="3152"/>
      <c r="FU110" s="3152"/>
      <c r="FV110" s="3152"/>
      <c r="FW110" s="3152"/>
      <c r="FX110" s="3152"/>
      <c r="FY110" s="3152"/>
      <c r="FZ110" s="3152"/>
      <c r="GA110" s="3152"/>
      <c r="GB110" s="3152"/>
      <c r="GC110" s="3152"/>
      <c r="GD110" s="3152"/>
      <c r="GE110" s="3152"/>
      <c r="GF110" s="3152"/>
      <c r="GG110" s="3152"/>
      <c r="GH110" s="3152"/>
      <c r="GI110" s="3152"/>
      <c r="GJ110" s="3152"/>
      <c r="GK110" s="3152"/>
      <c r="GL110" s="3152"/>
      <c r="GM110" s="3152"/>
      <c r="GN110" s="3152"/>
      <c r="GO110" s="3152"/>
      <c r="GP110" s="3152"/>
      <c r="GQ110" s="3152"/>
      <c r="GR110" s="3152"/>
      <c r="GS110" s="3152"/>
      <c r="GT110" s="3152"/>
      <c r="GU110" s="3152"/>
      <c r="GV110" s="3152"/>
      <c r="GW110" s="3152"/>
      <c r="GX110" s="3152"/>
      <c r="GY110" s="3152"/>
      <c r="GZ110" s="3152"/>
      <c r="HA110" s="3152"/>
      <c r="HB110" s="3152"/>
      <c r="HC110" s="3152"/>
      <c r="HD110" s="3152"/>
      <c r="HE110" s="3152"/>
      <c r="HF110" s="3152"/>
      <c r="HG110" s="3152"/>
      <c r="HH110" s="3152"/>
      <c r="HI110" s="3152"/>
      <c r="HJ110" s="3152"/>
      <c r="HK110" s="3152"/>
      <c r="HL110" s="3152"/>
      <c r="HM110" s="3152"/>
      <c r="HN110" s="3152"/>
      <c r="HO110" s="3152"/>
      <c r="HP110" s="3152"/>
      <c r="HQ110" s="3152"/>
      <c r="HR110" s="3152"/>
      <c r="HS110" s="3152"/>
      <c r="HT110" s="3152"/>
      <c r="HU110" s="3152"/>
      <c r="HV110" s="3152"/>
      <c r="HW110" s="3152"/>
      <c r="HX110" s="3152"/>
      <c r="HY110" s="3152"/>
      <c r="HZ110" s="3152"/>
      <c r="IA110" s="3152"/>
      <c r="IB110" s="3152"/>
      <c r="IC110" s="3152"/>
      <c r="ID110" s="3152"/>
      <c r="IE110" s="3152"/>
      <c r="IF110" s="3152"/>
      <c r="IG110" s="3152"/>
      <c r="IH110" s="3152"/>
      <c r="II110" s="3152"/>
      <c r="IJ110" s="3152"/>
      <c r="IK110" s="3152"/>
      <c r="IL110" s="3152"/>
      <c r="IM110" s="3152"/>
      <c r="IN110" s="3152"/>
      <c r="IO110" s="3152"/>
      <c r="IP110" s="3152"/>
      <c r="IQ110" s="3152"/>
      <c r="IR110" s="3152"/>
      <c r="IS110" s="3152"/>
      <c r="IT110" s="3152"/>
      <c r="IU110" s="3152"/>
      <c r="IV110" s="3152"/>
      <c r="IW110" s="3152"/>
      <c r="IX110" s="3152"/>
      <c r="IY110" s="3152"/>
      <c r="IZ110" s="3152"/>
      <c r="JA110" s="3152"/>
      <c r="JB110" s="3152"/>
      <c r="JC110" s="3152"/>
      <c r="JD110" s="3137"/>
      <c r="JE110" s="120"/>
    </row>
    <row r="111" spans="1:265" ht="14.25" customHeight="1" x14ac:dyDescent="0.4">
      <c r="A111" s="279"/>
      <c r="B111" s="41"/>
      <c r="C111" s="1775"/>
      <c r="D111" s="1599"/>
      <c r="E111" s="278"/>
      <c r="F111" s="1777"/>
      <c r="G111" s="1777"/>
      <c r="H111" s="278"/>
      <c r="I111" s="278"/>
      <c r="J111" s="9"/>
      <c r="K111" s="9"/>
      <c r="L111" s="9"/>
      <c r="M111" s="9"/>
      <c r="N111" s="9"/>
      <c r="O111" s="6"/>
      <c r="P111" s="44"/>
      <c r="Q111" s="44"/>
      <c r="R111" s="2456"/>
      <c r="S111" s="3741" t="s">
        <v>3939</v>
      </c>
      <c r="T111" s="1811"/>
      <c r="U111" s="1811"/>
      <c r="V111" s="1811"/>
      <c r="W111" s="1811"/>
      <c r="X111" s="1811"/>
      <c r="Y111" s="1811"/>
      <c r="Z111" s="1811"/>
      <c r="AA111" s="1811"/>
      <c r="AB111" s="1811"/>
      <c r="AC111" s="1811"/>
      <c r="AD111" s="1811"/>
      <c r="AE111" s="1811"/>
      <c r="AF111" s="1811"/>
      <c r="AG111" s="1811"/>
      <c r="AH111" s="1811"/>
      <c r="AI111" s="1811"/>
      <c r="AJ111" s="1811"/>
      <c r="AK111" s="1811"/>
      <c r="AL111" s="1811"/>
      <c r="AM111" s="1811"/>
      <c r="AN111" s="1811"/>
      <c r="AO111" s="1811"/>
      <c r="AP111" s="1811">
        <f>(('3a Staff Plan'!DP117)*N3)+(('3b Activity Plan'!AA164)*N4)</f>
        <v>0</v>
      </c>
      <c r="AQ111" s="1811"/>
      <c r="AR111" s="1811"/>
      <c r="AS111" s="1811"/>
      <c r="AT111" s="1811"/>
      <c r="AU111" s="1811"/>
      <c r="AV111" s="1811"/>
      <c r="AW111" s="1811"/>
      <c r="AX111" s="1811"/>
      <c r="AY111" s="1811"/>
      <c r="AZ111" s="1811"/>
      <c r="BA111" s="1811"/>
      <c r="BB111" s="1811"/>
      <c r="BC111" s="1811"/>
      <c r="BD111" s="1811"/>
      <c r="BE111" s="1811"/>
      <c r="BF111" s="1811"/>
      <c r="BG111" s="1811"/>
      <c r="BH111" s="1811"/>
      <c r="BI111" s="1811"/>
      <c r="BJ111" s="1811"/>
      <c r="BK111" s="1811"/>
      <c r="BL111" s="1811"/>
      <c r="BM111" s="1811"/>
      <c r="BN111" s="1811"/>
      <c r="BO111" s="1811"/>
      <c r="BP111" s="1811"/>
      <c r="BQ111" s="1811"/>
      <c r="BR111" s="1811"/>
      <c r="BS111" s="1811"/>
      <c r="BT111" s="1811"/>
      <c r="BU111" s="1811"/>
      <c r="BV111" s="1811"/>
      <c r="BW111" s="1811"/>
      <c r="BX111" s="1811"/>
      <c r="BY111" s="1811"/>
      <c r="BZ111" s="1811"/>
      <c r="CA111" s="1811"/>
      <c r="CB111" s="1811"/>
      <c r="CC111" s="1811"/>
      <c r="CD111" s="1811"/>
      <c r="CE111" s="1811"/>
      <c r="CF111" s="1811"/>
      <c r="CG111" s="1811"/>
      <c r="CH111" s="1811"/>
      <c r="CI111" s="1811"/>
      <c r="CJ111" s="1811"/>
      <c r="CK111" s="1811"/>
      <c r="CL111" s="1811"/>
      <c r="CM111" s="1811"/>
      <c r="CN111" s="1811"/>
      <c r="CO111" s="1811"/>
      <c r="CP111" s="1811"/>
      <c r="CQ111" s="1811"/>
      <c r="CR111" s="1811"/>
      <c r="CS111" s="1811"/>
      <c r="CT111" s="1811"/>
      <c r="CU111" s="1811"/>
      <c r="CV111" s="1811"/>
      <c r="CW111" s="1811"/>
      <c r="CX111" s="1811"/>
      <c r="CY111" s="1811"/>
      <c r="CZ111" s="1811"/>
      <c r="DA111" s="1811"/>
      <c r="DB111" s="1811"/>
      <c r="DC111" s="1811"/>
      <c r="DD111" s="1811"/>
      <c r="DE111" s="1811"/>
      <c r="DF111" s="1811"/>
      <c r="DG111" s="1811"/>
      <c r="DH111" s="1811"/>
      <c r="DI111" s="1811"/>
      <c r="DJ111" s="1811"/>
      <c r="DK111" s="1811"/>
      <c r="DL111" s="1811"/>
      <c r="DM111" s="1811"/>
      <c r="DN111" s="1811"/>
      <c r="DO111" s="1811"/>
      <c r="DP111" s="3741" t="s">
        <v>609</v>
      </c>
      <c r="DQ111" s="3741" t="s">
        <v>3940</v>
      </c>
      <c r="DR111" s="9"/>
      <c r="DS111" s="269"/>
      <c r="DT111" s="9"/>
      <c r="DU111" s="9"/>
      <c r="DV111" s="269"/>
      <c r="DW111" s="269"/>
      <c r="DX111" s="269"/>
      <c r="DY111" s="6"/>
      <c r="DZ111" s="6"/>
      <c r="EA111" s="120"/>
      <c r="EB111" s="3638" t="s">
        <v>39</v>
      </c>
      <c r="EC111" s="3644">
        <f ca="1">SUM(EG111:JD113)</f>
        <v>0</v>
      </c>
      <c r="ED111" s="3645"/>
      <c r="EE111" s="3646"/>
      <c r="EF111" s="135"/>
      <c r="EG111" s="3641">
        <f ca="1">EG3+EG7+EG8+EG9</f>
        <v>0</v>
      </c>
      <c r="EH111" s="3632">
        <f t="shared" ref="EH111:GS111" ca="1" si="171">EH3+EH7+EH8+EH9</f>
        <v>0</v>
      </c>
      <c r="EI111" s="3632">
        <f t="shared" ca="1" si="171"/>
        <v>0</v>
      </c>
      <c r="EJ111" s="3632">
        <f t="shared" ca="1" si="171"/>
        <v>0</v>
      </c>
      <c r="EK111" s="3632">
        <f t="shared" ca="1" si="171"/>
        <v>0</v>
      </c>
      <c r="EL111" s="3632">
        <f t="shared" ca="1" si="171"/>
        <v>0</v>
      </c>
      <c r="EM111" s="3632">
        <f t="shared" ca="1" si="171"/>
        <v>0</v>
      </c>
      <c r="EN111" s="3632">
        <f t="shared" ca="1" si="171"/>
        <v>0</v>
      </c>
      <c r="EO111" s="3632">
        <f t="shared" ca="1" si="171"/>
        <v>0</v>
      </c>
      <c r="EP111" s="3632">
        <f t="shared" ca="1" si="171"/>
        <v>0</v>
      </c>
      <c r="EQ111" s="3632">
        <f t="shared" ca="1" si="171"/>
        <v>0</v>
      </c>
      <c r="ER111" s="3632">
        <f t="shared" ca="1" si="171"/>
        <v>0</v>
      </c>
      <c r="ES111" s="3632">
        <f t="shared" ca="1" si="171"/>
        <v>0</v>
      </c>
      <c r="ET111" s="3632">
        <f t="shared" ca="1" si="171"/>
        <v>0</v>
      </c>
      <c r="EU111" s="3632">
        <f t="shared" ca="1" si="171"/>
        <v>0</v>
      </c>
      <c r="EV111" s="3632">
        <f t="shared" ca="1" si="171"/>
        <v>0</v>
      </c>
      <c r="EW111" s="3632">
        <f t="shared" ca="1" si="171"/>
        <v>0</v>
      </c>
      <c r="EX111" s="3632">
        <f t="shared" ca="1" si="171"/>
        <v>0</v>
      </c>
      <c r="EY111" s="3632">
        <f t="shared" ca="1" si="171"/>
        <v>0</v>
      </c>
      <c r="EZ111" s="3632">
        <f t="shared" ca="1" si="171"/>
        <v>0</v>
      </c>
      <c r="FA111" s="3632">
        <f t="shared" ca="1" si="171"/>
        <v>0</v>
      </c>
      <c r="FB111" s="3632">
        <f t="shared" ca="1" si="171"/>
        <v>0</v>
      </c>
      <c r="FC111" s="3632">
        <f t="shared" ca="1" si="171"/>
        <v>0</v>
      </c>
      <c r="FD111" s="3632">
        <f t="shared" ca="1" si="171"/>
        <v>0</v>
      </c>
      <c r="FE111" s="3632">
        <f t="shared" ca="1" si="171"/>
        <v>0</v>
      </c>
      <c r="FF111" s="3632">
        <f t="shared" ca="1" si="171"/>
        <v>0</v>
      </c>
      <c r="FG111" s="3632">
        <f t="shared" ca="1" si="171"/>
        <v>0</v>
      </c>
      <c r="FH111" s="3632">
        <f t="shared" ca="1" si="171"/>
        <v>0</v>
      </c>
      <c r="FI111" s="3632">
        <f t="shared" ca="1" si="171"/>
        <v>0</v>
      </c>
      <c r="FJ111" s="3632">
        <f t="shared" ca="1" si="171"/>
        <v>0</v>
      </c>
      <c r="FK111" s="3632">
        <f t="shared" ca="1" si="171"/>
        <v>0</v>
      </c>
      <c r="FL111" s="3632">
        <f t="shared" ca="1" si="171"/>
        <v>0</v>
      </c>
      <c r="FM111" s="3632">
        <f t="shared" ca="1" si="171"/>
        <v>0</v>
      </c>
      <c r="FN111" s="3632">
        <f t="shared" ca="1" si="171"/>
        <v>0</v>
      </c>
      <c r="FO111" s="3632">
        <f t="shared" ca="1" si="171"/>
        <v>0</v>
      </c>
      <c r="FP111" s="3632">
        <f t="shared" ca="1" si="171"/>
        <v>0</v>
      </c>
      <c r="FQ111" s="3632">
        <f t="shared" ca="1" si="171"/>
        <v>0</v>
      </c>
      <c r="FR111" s="3632">
        <f t="shared" ca="1" si="171"/>
        <v>0</v>
      </c>
      <c r="FS111" s="3632">
        <f t="shared" ca="1" si="171"/>
        <v>0</v>
      </c>
      <c r="FT111" s="3632">
        <f t="shared" ca="1" si="171"/>
        <v>0</v>
      </c>
      <c r="FU111" s="3632">
        <f t="shared" ca="1" si="171"/>
        <v>0</v>
      </c>
      <c r="FV111" s="3632">
        <f t="shared" ca="1" si="171"/>
        <v>0</v>
      </c>
      <c r="FW111" s="3632">
        <f t="shared" ca="1" si="171"/>
        <v>0</v>
      </c>
      <c r="FX111" s="3632">
        <f t="shared" ca="1" si="171"/>
        <v>0</v>
      </c>
      <c r="FY111" s="3632">
        <f t="shared" ca="1" si="171"/>
        <v>0</v>
      </c>
      <c r="FZ111" s="3632">
        <f t="shared" ca="1" si="171"/>
        <v>0</v>
      </c>
      <c r="GA111" s="3632">
        <f t="shared" ca="1" si="171"/>
        <v>0</v>
      </c>
      <c r="GB111" s="3632">
        <f t="shared" ca="1" si="171"/>
        <v>0</v>
      </c>
      <c r="GC111" s="3632">
        <f t="shared" ca="1" si="171"/>
        <v>0</v>
      </c>
      <c r="GD111" s="3632">
        <f t="shared" ca="1" si="171"/>
        <v>0</v>
      </c>
      <c r="GE111" s="3632">
        <f t="shared" ca="1" si="171"/>
        <v>0</v>
      </c>
      <c r="GF111" s="3632">
        <f t="shared" ca="1" si="171"/>
        <v>0</v>
      </c>
      <c r="GG111" s="3632">
        <f t="shared" ca="1" si="171"/>
        <v>0</v>
      </c>
      <c r="GH111" s="3632">
        <f t="shared" ca="1" si="171"/>
        <v>0</v>
      </c>
      <c r="GI111" s="3632">
        <f t="shared" ca="1" si="171"/>
        <v>0</v>
      </c>
      <c r="GJ111" s="3632">
        <f t="shared" ca="1" si="171"/>
        <v>0</v>
      </c>
      <c r="GK111" s="3632">
        <f t="shared" ca="1" si="171"/>
        <v>0</v>
      </c>
      <c r="GL111" s="3632">
        <f t="shared" ca="1" si="171"/>
        <v>0</v>
      </c>
      <c r="GM111" s="3632">
        <f t="shared" ca="1" si="171"/>
        <v>0</v>
      </c>
      <c r="GN111" s="3632">
        <f t="shared" ca="1" si="171"/>
        <v>0</v>
      </c>
      <c r="GO111" s="3632">
        <f t="shared" ca="1" si="171"/>
        <v>0</v>
      </c>
      <c r="GP111" s="3632">
        <f t="shared" ca="1" si="171"/>
        <v>0</v>
      </c>
      <c r="GQ111" s="3632">
        <f t="shared" ca="1" si="171"/>
        <v>0</v>
      </c>
      <c r="GR111" s="3632">
        <f t="shared" ca="1" si="171"/>
        <v>0</v>
      </c>
      <c r="GS111" s="3632">
        <f t="shared" ca="1" si="171"/>
        <v>0</v>
      </c>
      <c r="GT111" s="3632">
        <f t="shared" ref="GT111:JC111" ca="1" si="172">GT3+GT7+GT8+GT9</f>
        <v>0</v>
      </c>
      <c r="GU111" s="3632">
        <f t="shared" ca="1" si="172"/>
        <v>0</v>
      </c>
      <c r="GV111" s="3632">
        <f t="shared" ca="1" si="172"/>
        <v>0</v>
      </c>
      <c r="GW111" s="3632">
        <f t="shared" ca="1" si="172"/>
        <v>0</v>
      </c>
      <c r="GX111" s="3632">
        <f t="shared" ca="1" si="172"/>
        <v>0</v>
      </c>
      <c r="GY111" s="3632">
        <f t="shared" ca="1" si="172"/>
        <v>0</v>
      </c>
      <c r="GZ111" s="3632">
        <f t="shared" ca="1" si="172"/>
        <v>0</v>
      </c>
      <c r="HA111" s="3632">
        <f t="shared" ca="1" si="172"/>
        <v>0</v>
      </c>
      <c r="HB111" s="3632">
        <f t="shared" ca="1" si="172"/>
        <v>0</v>
      </c>
      <c r="HC111" s="3632">
        <f t="shared" ca="1" si="172"/>
        <v>0</v>
      </c>
      <c r="HD111" s="3632">
        <f t="shared" ca="1" si="172"/>
        <v>0</v>
      </c>
      <c r="HE111" s="3632">
        <f t="shared" ca="1" si="172"/>
        <v>0</v>
      </c>
      <c r="HF111" s="3632">
        <f t="shared" ca="1" si="172"/>
        <v>0</v>
      </c>
      <c r="HG111" s="3632">
        <f t="shared" ca="1" si="172"/>
        <v>0</v>
      </c>
      <c r="HH111" s="3632">
        <f t="shared" ca="1" si="172"/>
        <v>0</v>
      </c>
      <c r="HI111" s="3632">
        <f t="shared" ca="1" si="172"/>
        <v>0</v>
      </c>
      <c r="HJ111" s="3632">
        <f t="shared" ca="1" si="172"/>
        <v>0</v>
      </c>
      <c r="HK111" s="3632">
        <f t="shared" ca="1" si="172"/>
        <v>0</v>
      </c>
      <c r="HL111" s="3632">
        <f t="shared" ca="1" si="172"/>
        <v>0</v>
      </c>
      <c r="HM111" s="3632">
        <f t="shared" ca="1" si="172"/>
        <v>0</v>
      </c>
      <c r="HN111" s="3632">
        <f t="shared" ca="1" si="172"/>
        <v>0</v>
      </c>
      <c r="HO111" s="3632">
        <f t="shared" ca="1" si="172"/>
        <v>0</v>
      </c>
      <c r="HP111" s="3632">
        <f t="shared" ca="1" si="172"/>
        <v>0</v>
      </c>
      <c r="HQ111" s="3632">
        <f t="shared" ca="1" si="172"/>
        <v>0</v>
      </c>
      <c r="HR111" s="3632">
        <f t="shared" ca="1" si="172"/>
        <v>0</v>
      </c>
      <c r="HS111" s="3632">
        <f t="shared" ca="1" si="172"/>
        <v>0</v>
      </c>
      <c r="HT111" s="3632">
        <f t="shared" ca="1" si="172"/>
        <v>0</v>
      </c>
      <c r="HU111" s="3632">
        <f t="shared" ca="1" si="172"/>
        <v>0</v>
      </c>
      <c r="HV111" s="3632">
        <f t="shared" ca="1" si="172"/>
        <v>0</v>
      </c>
      <c r="HW111" s="3632">
        <f t="shared" ca="1" si="172"/>
        <v>0</v>
      </c>
      <c r="HX111" s="3632">
        <f t="shared" ca="1" si="172"/>
        <v>0</v>
      </c>
      <c r="HY111" s="3632">
        <f t="shared" ca="1" si="172"/>
        <v>0</v>
      </c>
      <c r="HZ111" s="3632">
        <f t="shared" ca="1" si="172"/>
        <v>0</v>
      </c>
      <c r="IA111" s="3632">
        <f t="shared" ca="1" si="172"/>
        <v>0</v>
      </c>
      <c r="IB111" s="3632">
        <f t="shared" ca="1" si="172"/>
        <v>0</v>
      </c>
      <c r="IC111" s="3632">
        <f t="shared" ca="1" si="172"/>
        <v>0</v>
      </c>
      <c r="ID111" s="3632">
        <f t="shared" ca="1" si="172"/>
        <v>0</v>
      </c>
      <c r="IE111" s="3632">
        <f t="shared" ca="1" si="172"/>
        <v>0</v>
      </c>
      <c r="IF111" s="3632">
        <f t="shared" ca="1" si="172"/>
        <v>0</v>
      </c>
      <c r="IG111" s="3632">
        <f t="shared" ca="1" si="172"/>
        <v>0</v>
      </c>
      <c r="IH111" s="3632">
        <f t="shared" ca="1" si="172"/>
        <v>0</v>
      </c>
      <c r="II111" s="3632">
        <f t="shared" ca="1" si="172"/>
        <v>0</v>
      </c>
      <c r="IJ111" s="3632">
        <f t="shared" ca="1" si="172"/>
        <v>0</v>
      </c>
      <c r="IK111" s="3632">
        <f t="shared" ca="1" si="172"/>
        <v>0</v>
      </c>
      <c r="IL111" s="3632">
        <f t="shared" ca="1" si="172"/>
        <v>0</v>
      </c>
      <c r="IM111" s="3632">
        <f t="shared" ca="1" si="172"/>
        <v>0</v>
      </c>
      <c r="IN111" s="3632">
        <f t="shared" ca="1" si="172"/>
        <v>0</v>
      </c>
      <c r="IO111" s="3632">
        <f t="shared" ca="1" si="172"/>
        <v>0</v>
      </c>
      <c r="IP111" s="3632">
        <f t="shared" ca="1" si="172"/>
        <v>0</v>
      </c>
      <c r="IQ111" s="3632">
        <f t="shared" ca="1" si="172"/>
        <v>0</v>
      </c>
      <c r="IR111" s="3632">
        <f t="shared" ca="1" si="172"/>
        <v>0</v>
      </c>
      <c r="IS111" s="3632">
        <f t="shared" ca="1" si="172"/>
        <v>0</v>
      </c>
      <c r="IT111" s="3632">
        <f t="shared" ca="1" si="172"/>
        <v>0</v>
      </c>
      <c r="IU111" s="3632">
        <f t="shared" ca="1" si="172"/>
        <v>0</v>
      </c>
      <c r="IV111" s="3632">
        <f t="shared" ca="1" si="172"/>
        <v>0</v>
      </c>
      <c r="IW111" s="3632">
        <f t="shared" ca="1" si="172"/>
        <v>0</v>
      </c>
      <c r="IX111" s="3632">
        <f t="shared" ca="1" si="172"/>
        <v>0</v>
      </c>
      <c r="IY111" s="3632">
        <f t="shared" ca="1" si="172"/>
        <v>0</v>
      </c>
      <c r="IZ111" s="3632">
        <f t="shared" ca="1" si="172"/>
        <v>0</v>
      </c>
      <c r="JA111" s="3632">
        <f t="shared" ca="1" si="172"/>
        <v>0</v>
      </c>
      <c r="JB111" s="3632">
        <f t="shared" ca="1" si="172"/>
        <v>0</v>
      </c>
      <c r="JC111" s="3635">
        <f t="shared" ca="1" si="172"/>
        <v>0</v>
      </c>
      <c r="JD111" s="3137"/>
      <c r="JE111" s="120"/>
    </row>
    <row r="112" spans="1:265" ht="6" customHeight="1" x14ac:dyDescent="0.4">
      <c r="A112" s="280"/>
      <c r="B112" s="297"/>
      <c r="C112" s="1776"/>
      <c r="D112" s="1776"/>
      <c r="E112" s="1776"/>
      <c r="F112" s="1776"/>
      <c r="G112" s="1776"/>
      <c r="H112" s="1776"/>
      <c r="I112" s="1776"/>
      <c r="J112" s="9"/>
      <c r="K112" s="9"/>
      <c r="L112" s="9"/>
      <c r="M112" s="9"/>
      <c r="N112" s="9"/>
      <c r="O112" s="6"/>
      <c r="P112" s="77"/>
      <c r="Q112" s="77"/>
      <c r="R112" s="1811"/>
      <c r="S112" s="3742"/>
      <c r="T112" s="1811"/>
      <c r="U112" s="1811"/>
      <c r="V112" s="1811"/>
      <c r="W112" s="1811"/>
      <c r="X112" s="1811"/>
      <c r="Y112" s="1811"/>
      <c r="Z112" s="1811"/>
      <c r="AA112" s="1811"/>
      <c r="AB112" s="1811"/>
      <c r="AC112" s="1811"/>
      <c r="AD112" s="1811"/>
      <c r="AE112" s="1811"/>
      <c r="AF112" s="1811"/>
      <c r="AG112" s="1811"/>
      <c r="AH112" s="1811"/>
      <c r="AI112" s="1811"/>
      <c r="AJ112" s="1811"/>
      <c r="AK112" s="1811"/>
      <c r="AL112" s="1811"/>
      <c r="AM112" s="1811"/>
      <c r="AN112" s="1811"/>
      <c r="AO112" s="1811"/>
      <c r="AP112" s="1811"/>
      <c r="AQ112" s="1811"/>
      <c r="AR112" s="1811"/>
      <c r="AS112" s="1811"/>
      <c r="AT112" s="1811"/>
      <c r="AU112" s="1811"/>
      <c r="AV112" s="1811"/>
      <c r="AW112" s="1811"/>
      <c r="AX112" s="1811"/>
      <c r="AY112" s="1811"/>
      <c r="AZ112" s="1811"/>
      <c r="BA112" s="1811"/>
      <c r="BB112" s="1811"/>
      <c r="BC112" s="1811"/>
      <c r="BD112" s="1811"/>
      <c r="BE112" s="1811"/>
      <c r="BF112" s="1811"/>
      <c r="BG112" s="1811"/>
      <c r="BH112" s="1811"/>
      <c r="BI112" s="1811"/>
      <c r="BJ112" s="1811"/>
      <c r="BK112" s="1811"/>
      <c r="BL112" s="1811"/>
      <c r="BM112" s="1811"/>
      <c r="BN112" s="1811"/>
      <c r="BO112" s="1811"/>
      <c r="BP112" s="1811"/>
      <c r="BQ112" s="1811"/>
      <c r="BR112" s="1811"/>
      <c r="BS112" s="1811"/>
      <c r="BT112" s="1811"/>
      <c r="BU112" s="1811"/>
      <c r="BV112" s="1811"/>
      <c r="BW112" s="1811"/>
      <c r="BX112" s="1811"/>
      <c r="BY112" s="1811"/>
      <c r="BZ112" s="1811"/>
      <c r="CA112" s="1811"/>
      <c r="CB112" s="1811"/>
      <c r="CC112" s="1811"/>
      <c r="CD112" s="1811"/>
      <c r="CE112" s="1811"/>
      <c r="CF112" s="1811"/>
      <c r="CG112" s="1811"/>
      <c r="CH112" s="1811"/>
      <c r="CI112" s="1811"/>
      <c r="CJ112" s="1811"/>
      <c r="CK112" s="1811"/>
      <c r="CL112" s="1811"/>
      <c r="CM112" s="1811"/>
      <c r="CN112" s="1811"/>
      <c r="CO112" s="1811"/>
      <c r="CP112" s="1811"/>
      <c r="CQ112" s="1811"/>
      <c r="CR112" s="1811"/>
      <c r="CS112" s="1811"/>
      <c r="CT112" s="1811"/>
      <c r="CU112" s="1811"/>
      <c r="CV112" s="1811"/>
      <c r="CW112" s="1811"/>
      <c r="CX112" s="1811"/>
      <c r="CY112" s="1811"/>
      <c r="CZ112" s="1811"/>
      <c r="DA112" s="1811"/>
      <c r="DB112" s="1811"/>
      <c r="DC112" s="1811"/>
      <c r="DD112" s="1811"/>
      <c r="DE112" s="1811"/>
      <c r="DF112" s="1811"/>
      <c r="DG112" s="1811"/>
      <c r="DH112" s="1811"/>
      <c r="DI112" s="1811"/>
      <c r="DJ112" s="1811"/>
      <c r="DK112" s="1811"/>
      <c r="DL112" s="1811"/>
      <c r="DM112" s="1811"/>
      <c r="DN112" s="1811"/>
      <c r="DO112" s="1811"/>
      <c r="DP112" s="3742"/>
      <c r="DQ112" s="3742"/>
      <c r="DR112" s="9"/>
      <c r="DS112" s="44"/>
      <c r="DT112" s="9"/>
      <c r="DU112" s="9"/>
      <c r="DV112" s="44"/>
      <c r="DW112" s="44"/>
      <c r="DX112" s="44"/>
      <c r="DY112" s="6"/>
      <c r="DZ112" s="6"/>
      <c r="EA112" s="120"/>
      <c r="EB112" s="3638"/>
      <c r="EC112" s="3647"/>
      <c r="ED112" s="3648"/>
      <c r="EE112" s="3649"/>
      <c r="EF112" s="6"/>
      <c r="EG112" s="3642"/>
      <c r="EH112" s="3633"/>
      <c r="EI112" s="3633"/>
      <c r="EJ112" s="3633"/>
      <c r="EK112" s="3633"/>
      <c r="EL112" s="3633"/>
      <c r="EM112" s="3633"/>
      <c r="EN112" s="3633"/>
      <c r="EO112" s="3633"/>
      <c r="EP112" s="3633"/>
      <c r="EQ112" s="3633"/>
      <c r="ER112" s="3633"/>
      <c r="ES112" s="3633"/>
      <c r="ET112" s="3633"/>
      <c r="EU112" s="3633"/>
      <c r="EV112" s="3633"/>
      <c r="EW112" s="3633"/>
      <c r="EX112" s="3633"/>
      <c r="EY112" s="3633"/>
      <c r="EZ112" s="3633"/>
      <c r="FA112" s="3633"/>
      <c r="FB112" s="3633"/>
      <c r="FC112" s="3633"/>
      <c r="FD112" s="3633"/>
      <c r="FE112" s="3633"/>
      <c r="FF112" s="3633"/>
      <c r="FG112" s="3633"/>
      <c r="FH112" s="3633"/>
      <c r="FI112" s="3633"/>
      <c r="FJ112" s="3633"/>
      <c r="FK112" s="3633"/>
      <c r="FL112" s="3633"/>
      <c r="FM112" s="3633"/>
      <c r="FN112" s="3633"/>
      <c r="FO112" s="3633"/>
      <c r="FP112" s="3633"/>
      <c r="FQ112" s="3633"/>
      <c r="FR112" s="3633"/>
      <c r="FS112" s="3633"/>
      <c r="FT112" s="3633"/>
      <c r="FU112" s="3633"/>
      <c r="FV112" s="3633"/>
      <c r="FW112" s="3633"/>
      <c r="FX112" s="3633"/>
      <c r="FY112" s="3633"/>
      <c r="FZ112" s="3633"/>
      <c r="GA112" s="3633"/>
      <c r="GB112" s="3633"/>
      <c r="GC112" s="3633"/>
      <c r="GD112" s="3633"/>
      <c r="GE112" s="3633"/>
      <c r="GF112" s="3633"/>
      <c r="GG112" s="3633"/>
      <c r="GH112" s="3633"/>
      <c r="GI112" s="3633"/>
      <c r="GJ112" s="3633"/>
      <c r="GK112" s="3633"/>
      <c r="GL112" s="3633"/>
      <c r="GM112" s="3633"/>
      <c r="GN112" s="3633"/>
      <c r="GO112" s="3633"/>
      <c r="GP112" s="3633"/>
      <c r="GQ112" s="3633"/>
      <c r="GR112" s="3633"/>
      <c r="GS112" s="3633"/>
      <c r="GT112" s="3633"/>
      <c r="GU112" s="3633"/>
      <c r="GV112" s="3633"/>
      <c r="GW112" s="3633"/>
      <c r="GX112" s="3633"/>
      <c r="GY112" s="3633"/>
      <c r="GZ112" s="3633"/>
      <c r="HA112" s="3633"/>
      <c r="HB112" s="3633"/>
      <c r="HC112" s="3633"/>
      <c r="HD112" s="3633"/>
      <c r="HE112" s="3633"/>
      <c r="HF112" s="3633"/>
      <c r="HG112" s="3633"/>
      <c r="HH112" s="3633"/>
      <c r="HI112" s="3633"/>
      <c r="HJ112" s="3633"/>
      <c r="HK112" s="3633"/>
      <c r="HL112" s="3633"/>
      <c r="HM112" s="3633"/>
      <c r="HN112" s="3633"/>
      <c r="HO112" s="3633"/>
      <c r="HP112" s="3633"/>
      <c r="HQ112" s="3633"/>
      <c r="HR112" s="3633"/>
      <c r="HS112" s="3633"/>
      <c r="HT112" s="3633"/>
      <c r="HU112" s="3633"/>
      <c r="HV112" s="3633"/>
      <c r="HW112" s="3633"/>
      <c r="HX112" s="3633"/>
      <c r="HY112" s="3633"/>
      <c r="HZ112" s="3633"/>
      <c r="IA112" s="3633"/>
      <c r="IB112" s="3633"/>
      <c r="IC112" s="3633"/>
      <c r="ID112" s="3633"/>
      <c r="IE112" s="3633"/>
      <c r="IF112" s="3633"/>
      <c r="IG112" s="3633"/>
      <c r="IH112" s="3633"/>
      <c r="II112" s="3633"/>
      <c r="IJ112" s="3633"/>
      <c r="IK112" s="3633"/>
      <c r="IL112" s="3633"/>
      <c r="IM112" s="3633"/>
      <c r="IN112" s="3633"/>
      <c r="IO112" s="3633"/>
      <c r="IP112" s="3633"/>
      <c r="IQ112" s="3633"/>
      <c r="IR112" s="3633"/>
      <c r="IS112" s="3633"/>
      <c r="IT112" s="3633"/>
      <c r="IU112" s="3633"/>
      <c r="IV112" s="3633"/>
      <c r="IW112" s="3633"/>
      <c r="IX112" s="3633"/>
      <c r="IY112" s="3633"/>
      <c r="IZ112" s="3633"/>
      <c r="JA112" s="3633"/>
      <c r="JB112" s="3633"/>
      <c r="JC112" s="3636"/>
      <c r="JD112" s="3137"/>
      <c r="JE112" s="6"/>
    </row>
    <row r="113" spans="1:265" ht="28.5" customHeight="1" x14ac:dyDescent="0.5">
      <c r="A113" s="280"/>
      <c r="B113" s="297"/>
      <c r="C113" s="1776"/>
      <c r="D113" s="1776"/>
      <c r="E113" s="1776"/>
      <c r="F113" s="1776"/>
      <c r="G113" s="1776"/>
      <c r="H113" s="1776"/>
      <c r="I113" s="1776"/>
      <c r="J113" s="9"/>
      <c r="K113" s="9"/>
      <c r="R113" s="3345" t="str">
        <f>IF('1 Setup'!$N$3=0,"Activate this Plan on the Setup tab  ","")</f>
        <v xml:space="preserve">Activate this Plan on the Setup tab  </v>
      </c>
      <c r="S113" s="3034">
        <f>IFERROR(DQ117/R117,0)</f>
        <v>0</v>
      </c>
      <c r="T113" s="3035"/>
      <c r="U113" s="3035"/>
      <c r="V113" s="3035"/>
      <c r="W113" s="3035"/>
      <c r="X113" s="3035"/>
      <c r="Y113" s="3035"/>
      <c r="Z113" s="3035"/>
      <c r="AA113" s="3035"/>
      <c r="AB113" s="3035"/>
      <c r="AC113" s="3035"/>
      <c r="AD113" s="3035"/>
      <c r="AE113" s="3035"/>
      <c r="AF113" s="3035"/>
      <c r="AG113" s="3035"/>
      <c r="AH113" s="3035"/>
      <c r="AI113" s="3035"/>
      <c r="AJ113" s="3035"/>
      <c r="AK113" s="3035"/>
      <c r="AL113" s="3035"/>
      <c r="AM113" s="3035"/>
      <c r="AN113" s="3035"/>
      <c r="AO113" s="3035"/>
      <c r="AP113" s="3035"/>
      <c r="AQ113" s="3035"/>
      <c r="AR113" s="3035"/>
      <c r="AS113" s="3035"/>
      <c r="AT113" s="3035"/>
      <c r="AU113" s="3035"/>
      <c r="AV113" s="3035"/>
      <c r="AW113" s="3035"/>
      <c r="AX113" s="3035"/>
      <c r="AY113" s="3035"/>
      <c r="AZ113" s="3035"/>
      <c r="BA113" s="3035"/>
      <c r="BB113" s="3035"/>
      <c r="BC113" s="3035"/>
      <c r="BD113" s="3035"/>
      <c r="BE113" s="3035"/>
      <c r="BF113" s="3035"/>
      <c r="BG113" s="3035"/>
      <c r="BH113" s="3035"/>
      <c r="BI113" s="3035"/>
      <c r="BJ113" s="3035"/>
      <c r="BK113" s="3035"/>
      <c r="BL113" s="3035"/>
      <c r="BM113" s="3035"/>
      <c r="BN113" s="3035"/>
      <c r="BO113" s="3035"/>
      <c r="BP113" s="3035"/>
      <c r="BQ113" s="3035"/>
      <c r="BR113" s="3035"/>
      <c r="BS113" s="3035"/>
      <c r="BT113" s="3035"/>
      <c r="BU113" s="3035"/>
      <c r="BV113" s="3035"/>
      <c r="BW113" s="3035"/>
      <c r="BX113" s="3035"/>
      <c r="BY113" s="3035"/>
      <c r="BZ113" s="3035"/>
      <c r="CA113" s="3035"/>
      <c r="CB113" s="3035"/>
      <c r="CC113" s="3035"/>
      <c r="CD113" s="3035"/>
      <c r="CE113" s="3035"/>
      <c r="CF113" s="3035"/>
      <c r="CG113" s="3035"/>
      <c r="CH113" s="3035"/>
      <c r="CI113" s="3035"/>
      <c r="CJ113" s="3035"/>
      <c r="CK113" s="3035"/>
      <c r="CL113" s="3035"/>
      <c r="CM113" s="3035"/>
      <c r="CN113" s="3035"/>
      <c r="CO113" s="3035"/>
      <c r="CP113" s="3035"/>
      <c r="CQ113" s="3035"/>
      <c r="CR113" s="3035"/>
      <c r="CS113" s="3035"/>
      <c r="CT113" s="3035"/>
      <c r="CU113" s="3035"/>
      <c r="CV113" s="3035"/>
      <c r="CW113" s="3035"/>
      <c r="CX113" s="3035"/>
      <c r="CY113" s="3035"/>
      <c r="CZ113" s="3035"/>
      <c r="DA113" s="3035"/>
      <c r="DB113" s="3035"/>
      <c r="DC113" s="3035"/>
      <c r="DD113" s="3035"/>
      <c r="DE113" s="3035"/>
      <c r="DF113" s="3035"/>
      <c r="DG113" s="3035"/>
      <c r="DH113" s="3035"/>
      <c r="DI113" s="3035"/>
      <c r="DJ113" s="3035"/>
      <c r="DK113" s="3035"/>
      <c r="DL113" s="3035"/>
      <c r="DM113" s="3035"/>
      <c r="DN113" s="3035"/>
      <c r="DO113" s="3035"/>
      <c r="DP113" s="3113">
        <f>IFERROR(DQ117/DP117,0)</f>
        <v>0</v>
      </c>
      <c r="DQ113" s="3113">
        <f>IFERROR(DQ117/(DP119+DP126),0)</f>
        <v>0</v>
      </c>
      <c r="DR113" s="9"/>
      <c r="DS113" s="191"/>
      <c r="DT113" s="9"/>
      <c r="DU113" s="9"/>
      <c r="DW113" s="191"/>
      <c r="DX113" s="191"/>
      <c r="DY113" s="6"/>
      <c r="DZ113" s="6"/>
      <c r="EA113" s="120"/>
      <c r="EB113" s="3638"/>
      <c r="EC113" s="3650"/>
      <c r="ED113" s="3651"/>
      <c r="EE113" s="3652"/>
      <c r="EF113" s="120"/>
      <c r="EG113" s="3643"/>
      <c r="EH113" s="3634"/>
      <c r="EI113" s="3634"/>
      <c r="EJ113" s="3634"/>
      <c r="EK113" s="3634"/>
      <c r="EL113" s="3634"/>
      <c r="EM113" s="3634"/>
      <c r="EN113" s="3634"/>
      <c r="EO113" s="3634"/>
      <c r="EP113" s="3634"/>
      <c r="EQ113" s="3634"/>
      <c r="ER113" s="3634"/>
      <c r="ES113" s="3634"/>
      <c r="ET113" s="3634"/>
      <c r="EU113" s="3634"/>
      <c r="EV113" s="3634"/>
      <c r="EW113" s="3634"/>
      <c r="EX113" s="3634"/>
      <c r="EY113" s="3634"/>
      <c r="EZ113" s="3634"/>
      <c r="FA113" s="3634"/>
      <c r="FB113" s="3634"/>
      <c r="FC113" s="3634"/>
      <c r="FD113" s="3634"/>
      <c r="FE113" s="3634"/>
      <c r="FF113" s="3634"/>
      <c r="FG113" s="3634"/>
      <c r="FH113" s="3634"/>
      <c r="FI113" s="3634"/>
      <c r="FJ113" s="3634"/>
      <c r="FK113" s="3634"/>
      <c r="FL113" s="3634"/>
      <c r="FM113" s="3634"/>
      <c r="FN113" s="3634"/>
      <c r="FO113" s="3634"/>
      <c r="FP113" s="3634"/>
      <c r="FQ113" s="3634"/>
      <c r="FR113" s="3634"/>
      <c r="FS113" s="3634"/>
      <c r="FT113" s="3634"/>
      <c r="FU113" s="3634"/>
      <c r="FV113" s="3634"/>
      <c r="FW113" s="3634"/>
      <c r="FX113" s="3634"/>
      <c r="FY113" s="3634"/>
      <c r="FZ113" s="3634"/>
      <c r="GA113" s="3634"/>
      <c r="GB113" s="3634"/>
      <c r="GC113" s="3634"/>
      <c r="GD113" s="3634"/>
      <c r="GE113" s="3634"/>
      <c r="GF113" s="3634"/>
      <c r="GG113" s="3634"/>
      <c r="GH113" s="3634"/>
      <c r="GI113" s="3634"/>
      <c r="GJ113" s="3634"/>
      <c r="GK113" s="3634"/>
      <c r="GL113" s="3634"/>
      <c r="GM113" s="3634"/>
      <c r="GN113" s="3634"/>
      <c r="GO113" s="3634"/>
      <c r="GP113" s="3634"/>
      <c r="GQ113" s="3634"/>
      <c r="GR113" s="3634"/>
      <c r="GS113" s="3634"/>
      <c r="GT113" s="3634"/>
      <c r="GU113" s="3634"/>
      <c r="GV113" s="3634"/>
      <c r="GW113" s="3634"/>
      <c r="GX113" s="3634"/>
      <c r="GY113" s="3634"/>
      <c r="GZ113" s="3634"/>
      <c r="HA113" s="3634"/>
      <c r="HB113" s="3634"/>
      <c r="HC113" s="3634"/>
      <c r="HD113" s="3634"/>
      <c r="HE113" s="3634"/>
      <c r="HF113" s="3634"/>
      <c r="HG113" s="3634"/>
      <c r="HH113" s="3634"/>
      <c r="HI113" s="3634"/>
      <c r="HJ113" s="3634"/>
      <c r="HK113" s="3634"/>
      <c r="HL113" s="3634"/>
      <c r="HM113" s="3634"/>
      <c r="HN113" s="3634"/>
      <c r="HO113" s="3634"/>
      <c r="HP113" s="3634"/>
      <c r="HQ113" s="3634"/>
      <c r="HR113" s="3634"/>
      <c r="HS113" s="3634"/>
      <c r="HT113" s="3634"/>
      <c r="HU113" s="3634"/>
      <c r="HV113" s="3634"/>
      <c r="HW113" s="3634"/>
      <c r="HX113" s="3634"/>
      <c r="HY113" s="3634"/>
      <c r="HZ113" s="3634"/>
      <c r="IA113" s="3634"/>
      <c r="IB113" s="3634"/>
      <c r="IC113" s="3634"/>
      <c r="ID113" s="3634"/>
      <c r="IE113" s="3634"/>
      <c r="IF113" s="3634"/>
      <c r="IG113" s="3634"/>
      <c r="IH113" s="3634"/>
      <c r="II113" s="3634"/>
      <c r="IJ113" s="3634"/>
      <c r="IK113" s="3634"/>
      <c r="IL113" s="3634"/>
      <c r="IM113" s="3634"/>
      <c r="IN113" s="3634"/>
      <c r="IO113" s="3634"/>
      <c r="IP113" s="3634"/>
      <c r="IQ113" s="3634"/>
      <c r="IR113" s="3634"/>
      <c r="IS113" s="3634"/>
      <c r="IT113" s="3634"/>
      <c r="IU113" s="3634"/>
      <c r="IV113" s="3634"/>
      <c r="IW113" s="3634"/>
      <c r="IX113" s="3634"/>
      <c r="IY113" s="3634"/>
      <c r="IZ113" s="3634"/>
      <c r="JA113" s="3634"/>
      <c r="JB113" s="3634"/>
      <c r="JC113" s="3637"/>
      <c r="JD113" s="3137"/>
      <c r="JE113" s="120"/>
    </row>
    <row r="114" spans="1:265" ht="5.0999999999999996" customHeight="1" thickBot="1" x14ac:dyDescent="0.3">
      <c r="A114" s="281"/>
      <c r="B114" s="298"/>
      <c r="C114" s="1776"/>
      <c r="D114" s="1776"/>
      <c r="E114" s="1776"/>
      <c r="F114" s="1776"/>
      <c r="G114" s="1776"/>
      <c r="H114" s="1776"/>
      <c r="I114" s="1776"/>
      <c r="J114" s="9"/>
      <c r="K114" s="9"/>
      <c r="DR114" s="9"/>
      <c r="DS114" s="115"/>
      <c r="DT114" s="9"/>
      <c r="DU114" s="9"/>
      <c r="DV114" s="9"/>
      <c r="DW114" s="114"/>
      <c r="DX114" s="115"/>
      <c r="DY114" s="6"/>
      <c r="DZ114" s="6"/>
      <c r="EA114" s="120"/>
      <c r="EB114" s="35"/>
      <c r="EC114" s="35"/>
      <c r="ED114" s="35"/>
      <c r="EE114" s="183"/>
      <c r="EF114" s="183"/>
      <c r="EG114" s="3152"/>
      <c r="EH114" s="3152"/>
      <c r="EI114" s="3152"/>
      <c r="EJ114" s="3152"/>
      <c r="EK114" s="3152"/>
      <c r="EL114" s="3152"/>
      <c r="EM114" s="3152"/>
      <c r="EN114" s="3152"/>
      <c r="EO114" s="3152"/>
      <c r="EP114" s="3152"/>
      <c r="EQ114" s="3152"/>
      <c r="ER114" s="3152"/>
      <c r="ES114" s="3152"/>
      <c r="ET114" s="3152"/>
      <c r="EU114" s="3152"/>
      <c r="EV114" s="3152"/>
      <c r="EW114" s="3152"/>
      <c r="EX114" s="3152"/>
      <c r="EY114" s="3152"/>
      <c r="EZ114" s="3152"/>
      <c r="FA114" s="3152"/>
      <c r="FB114" s="3152"/>
      <c r="FC114" s="3152"/>
      <c r="FD114" s="3152"/>
      <c r="FE114" s="3152"/>
      <c r="FF114" s="3152"/>
      <c r="FG114" s="3152"/>
      <c r="FH114" s="3152"/>
      <c r="FI114" s="3152"/>
      <c r="FJ114" s="3152"/>
      <c r="FK114" s="3152"/>
      <c r="FL114" s="3152"/>
      <c r="FM114" s="3152"/>
      <c r="FN114" s="3152"/>
      <c r="FO114" s="3152"/>
      <c r="FP114" s="3152"/>
      <c r="FQ114" s="3152"/>
      <c r="FR114" s="3152"/>
      <c r="FS114" s="3152"/>
      <c r="FT114" s="3152"/>
      <c r="FU114" s="3152"/>
      <c r="FV114" s="3152"/>
      <c r="FW114" s="3152"/>
      <c r="FX114" s="3152"/>
      <c r="FY114" s="3152"/>
      <c r="FZ114" s="3152"/>
      <c r="GA114" s="3152"/>
      <c r="GB114" s="3152"/>
      <c r="GC114" s="3152"/>
      <c r="GD114" s="3152"/>
      <c r="GE114" s="3152"/>
      <c r="GF114" s="3152"/>
      <c r="GG114" s="3152"/>
      <c r="GH114" s="3152"/>
      <c r="GI114" s="3152"/>
      <c r="GJ114" s="3152"/>
      <c r="GK114" s="3152"/>
      <c r="GL114" s="3152"/>
      <c r="GM114" s="3152"/>
      <c r="GN114" s="3152"/>
      <c r="GO114" s="3152"/>
      <c r="GP114" s="3152"/>
      <c r="GQ114" s="3152"/>
      <c r="GR114" s="3152"/>
      <c r="GS114" s="3152"/>
      <c r="GT114" s="3152"/>
      <c r="GU114" s="3152"/>
      <c r="GV114" s="3152"/>
      <c r="GW114" s="3152"/>
      <c r="GX114" s="3152"/>
      <c r="GY114" s="3152"/>
      <c r="GZ114" s="3152"/>
      <c r="HA114" s="3152"/>
      <c r="HB114" s="3152"/>
      <c r="HC114" s="3152"/>
      <c r="HD114" s="3152"/>
      <c r="HE114" s="3152"/>
      <c r="HF114" s="3152"/>
      <c r="HG114" s="3152"/>
      <c r="HH114" s="3152"/>
      <c r="HI114" s="3152"/>
      <c r="HJ114" s="3152"/>
      <c r="HK114" s="3152"/>
      <c r="HL114" s="3152"/>
      <c r="HM114" s="3152"/>
      <c r="HN114" s="3152"/>
      <c r="HO114" s="3152"/>
      <c r="HP114" s="3152"/>
      <c r="HQ114" s="3152"/>
      <c r="HR114" s="3152"/>
      <c r="HS114" s="3152"/>
      <c r="HT114" s="3152"/>
      <c r="HU114" s="3152"/>
      <c r="HV114" s="3152"/>
      <c r="HW114" s="3152"/>
      <c r="HX114" s="3152"/>
      <c r="HY114" s="3152"/>
      <c r="HZ114" s="3152"/>
      <c r="IA114" s="3152"/>
      <c r="IB114" s="3152"/>
      <c r="IC114" s="3152"/>
      <c r="ID114" s="3152"/>
      <c r="IE114" s="3152"/>
      <c r="IF114" s="3152"/>
      <c r="IG114" s="3152"/>
      <c r="IH114" s="3152"/>
      <c r="II114" s="3152"/>
      <c r="IJ114" s="3152"/>
      <c r="IK114" s="3152"/>
      <c r="IL114" s="3152"/>
      <c r="IM114" s="3152"/>
      <c r="IN114" s="3152"/>
      <c r="IO114" s="3152"/>
      <c r="IP114" s="3152"/>
      <c r="IQ114" s="3152"/>
      <c r="IR114" s="3152"/>
      <c r="IS114" s="3152"/>
      <c r="IT114" s="3152"/>
      <c r="IU114" s="3152"/>
      <c r="IV114" s="3152"/>
      <c r="IW114" s="3152"/>
      <c r="IX114" s="3152"/>
      <c r="IY114" s="3152"/>
      <c r="IZ114" s="3152"/>
      <c r="JA114" s="3152"/>
      <c r="JB114" s="3152"/>
      <c r="JC114" s="3152"/>
      <c r="JD114" s="3137"/>
      <c r="JE114" s="183"/>
    </row>
    <row r="115" spans="1:265" ht="50.1" customHeight="1" thickTop="1" thickBot="1" x14ac:dyDescent="0.3">
      <c r="A115" s="280"/>
      <c r="B115" s="297"/>
      <c r="C115" s="1776"/>
      <c r="D115" s="1776"/>
      <c r="E115" s="1776"/>
      <c r="F115" s="1776"/>
      <c r="G115" s="1776"/>
      <c r="H115" s="1776"/>
      <c r="I115" s="1776"/>
      <c r="J115" s="9"/>
      <c r="K115" s="9"/>
      <c r="Q115" s="2995" t="str">
        <f>INDEX(P2:P4,O2)</f>
        <v>Value of Change:</v>
      </c>
      <c r="R115" s="1865" t="str">
        <f>IFERROR('1 Setup'!I60,"")</f>
        <v>GBP</v>
      </c>
      <c r="S115" s="3738">
        <f>DP117</f>
        <v>0</v>
      </c>
      <c r="T115" s="3739"/>
      <c r="U115" s="3739"/>
      <c r="V115" s="3739"/>
      <c r="W115" s="3739"/>
      <c r="X115" s="3739"/>
      <c r="Y115" s="3739"/>
      <c r="Z115" s="3739"/>
      <c r="AA115" s="3739"/>
      <c r="AB115" s="3739"/>
      <c r="AC115" s="3739"/>
      <c r="AD115" s="3739"/>
      <c r="AE115" s="3739"/>
      <c r="AF115" s="3739"/>
      <c r="AG115" s="3739"/>
      <c r="AH115" s="3739"/>
      <c r="AI115" s="3739"/>
      <c r="AJ115" s="3739"/>
      <c r="AK115" s="3739"/>
      <c r="AL115" s="3739"/>
      <c r="AM115" s="3739"/>
      <c r="AN115" s="3739"/>
      <c r="AO115" s="3739"/>
      <c r="AP115" s="3739"/>
      <c r="AQ115" s="3739"/>
      <c r="AR115" s="3739"/>
      <c r="AS115" s="3739"/>
      <c r="AT115" s="3739"/>
      <c r="AU115" s="3739"/>
      <c r="AV115" s="3739"/>
      <c r="AW115" s="3739"/>
      <c r="AX115" s="3739"/>
      <c r="AY115" s="3739"/>
      <c r="AZ115" s="3739"/>
      <c r="BA115" s="3739"/>
      <c r="BB115" s="3739"/>
      <c r="BC115" s="3739"/>
      <c r="BD115" s="3739"/>
      <c r="BE115" s="3739"/>
      <c r="BF115" s="3739"/>
      <c r="BG115" s="3739"/>
      <c r="BH115" s="3739"/>
      <c r="BI115" s="3739"/>
      <c r="BJ115" s="3739"/>
      <c r="BK115" s="3739"/>
      <c r="BL115" s="3739"/>
      <c r="BM115" s="3739"/>
      <c r="BN115" s="3739"/>
      <c r="BO115" s="3739"/>
      <c r="BP115" s="3739"/>
      <c r="BQ115" s="3739"/>
      <c r="BR115" s="3739"/>
      <c r="BS115" s="3739"/>
      <c r="BT115" s="3739"/>
      <c r="BU115" s="3739"/>
      <c r="BV115" s="3739"/>
      <c r="BW115" s="3739"/>
      <c r="BX115" s="3739"/>
      <c r="BY115" s="3739"/>
      <c r="BZ115" s="3739"/>
      <c r="CA115" s="3739"/>
      <c r="CB115" s="3739"/>
      <c r="CC115" s="3739"/>
      <c r="CD115" s="3739"/>
      <c r="CE115" s="3739"/>
      <c r="CF115" s="3739"/>
      <c r="CG115" s="3739"/>
      <c r="CH115" s="3739"/>
      <c r="CI115" s="3739"/>
      <c r="CJ115" s="3739"/>
      <c r="CK115" s="3739"/>
      <c r="CL115" s="3739"/>
      <c r="CM115" s="3739"/>
      <c r="CN115" s="3739"/>
      <c r="CO115" s="3739"/>
      <c r="CP115" s="3739"/>
      <c r="CQ115" s="3739"/>
      <c r="CR115" s="3739"/>
      <c r="CS115" s="3739"/>
      <c r="CT115" s="3739"/>
      <c r="CU115" s="3739"/>
      <c r="CV115" s="3739"/>
      <c r="CW115" s="3739"/>
      <c r="CX115" s="3739"/>
      <c r="CY115" s="3739"/>
      <c r="CZ115" s="3739"/>
      <c r="DA115" s="3739"/>
      <c r="DB115" s="3739"/>
      <c r="DC115" s="3739"/>
      <c r="DD115" s="3739"/>
      <c r="DE115" s="3739"/>
      <c r="DF115" s="3739"/>
      <c r="DG115" s="3739"/>
      <c r="DH115" s="3739"/>
      <c r="DI115" s="3739"/>
      <c r="DJ115" s="3739"/>
      <c r="DK115" s="3739"/>
      <c r="DL115" s="3739"/>
      <c r="DM115" s="3739"/>
      <c r="DN115" s="3739"/>
      <c r="DO115" s="3739"/>
      <c r="DP115" s="3739"/>
      <c r="DQ115" s="3740"/>
      <c r="DR115" s="9"/>
      <c r="DS115" s="268"/>
      <c r="DT115" s="3728" t="str">
        <f>IF($C$6&lt;&gt;"F","",IF(DT117=0,DT3,IF(DY3=1,DT4,DT5)))</f>
        <v/>
      </c>
      <c r="DU115" s="9"/>
      <c r="DW115" s="268"/>
      <c r="DX115" s="268"/>
      <c r="DY115" s="6"/>
      <c r="DZ115" s="6"/>
      <c r="EA115" s="3655" t="s">
        <v>4192</v>
      </c>
      <c r="EB115" s="3656"/>
      <c r="EC115" s="3666">
        <f ca="1">SUM(EG115:NW115)</f>
        <v>0</v>
      </c>
      <c r="ED115" s="3667"/>
      <c r="EE115" s="3668"/>
      <c r="EF115" s="183"/>
      <c r="EG115" s="3144">
        <f ca="1">EG4+EG5+EG6+EG11</f>
        <v>0</v>
      </c>
      <c r="EH115" s="3145">
        <f t="shared" ref="EH115:GS115" ca="1" si="173">EH4+EH5+EH6+EH11</f>
        <v>0</v>
      </c>
      <c r="EI115" s="3145">
        <f t="shared" ca="1" si="173"/>
        <v>0</v>
      </c>
      <c r="EJ115" s="3145">
        <f t="shared" ca="1" si="173"/>
        <v>0</v>
      </c>
      <c r="EK115" s="3145">
        <f t="shared" ca="1" si="173"/>
        <v>0</v>
      </c>
      <c r="EL115" s="3145">
        <f t="shared" ca="1" si="173"/>
        <v>0</v>
      </c>
      <c r="EM115" s="3145">
        <f t="shared" ca="1" si="173"/>
        <v>0</v>
      </c>
      <c r="EN115" s="3145">
        <f t="shared" ca="1" si="173"/>
        <v>0</v>
      </c>
      <c r="EO115" s="3145">
        <f t="shared" ca="1" si="173"/>
        <v>0</v>
      </c>
      <c r="EP115" s="3145">
        <f t="shared" ca="1" si="173"/>
        <v>0</v>
      </c>
      <c r="EQ115" s="3145">
        <f t="shared" ca="1" si="173"/>
        <v>0</v>
      </c>
      <c r="ER115" s="3145">
        <f t="shared" ca="1" si="173"/>
        <v>0</v>
      </c>
      <c r="ES115" s="3145">
        <f t="shared" ca="1" si="173"/>
        <v>0</v>
      </c>
      <c r="ET115" s="3145">
        <f t="shared" ca="1" si="173"/>
        <v>0</v>
      </c>
      <c r="EU115" s="3145">
        <f t="shared" ca="1" si="173"/>
        <v>0</v>
      </c>
      <c r="EV115" s="3145">
        <f t="shared" ca="1" si="173"/>
        <v>0</v>
      </c>
      <c r="EW115" s="3145">
        <f t="shared" ca="1" si="173"/>
        <v>0</v>
      </c>
      <c r="EX115" s="3145">
        <f t="shared" ca="1" si="173"/>
        <v>0</v>
      </c>
      <c r="EY115" s="3145">
        <f t="shared" ca="1" si="173"/>
        <v>0</v>
      </c>
      <c r="EZ115" s="3145">
        <f t="shared" ca="1" si="173"/>
        <v>0</v>
      </c>
      <c r="FA115" s="3145">
        <f t="shared" ca="1" si="173"/>
        <v>0</v>
      </c>
      <c r="FB115" s="3145">
        <f t="shared" ca="1" si="173"/>
        <v>0</v>
      </c>
      <c r="FC115" s="3145">
        <f t="shared" ca="1" si="173"/>
        <v>0</v>
      </c>
      <c r="FD115" s="3145">
        <f t="shared" ca="1" si="173"/>
        <v>0</v>
      </c>
      <c r="FE115" s="3145">
        <f t="shared" ca="1" si="173"/>
        <v>0</v>
      </c>
      <c r="FF115" s="3145">
        <f t="shared" ca="1" si="173"/>
        <v>0</v>
      </c>
      <c r="FG115" s="3145">
        <f t="shared" ca="1" si="173"/>
        <v>0</v>
      </c>
      <c r="FH115" s="3145">
        <f t="shared" ca="1" si="173"/>
        <v>0</v>
      </c>
      <c r="FI115" s="3145">
        <f t="shared" ca="1" si="173"/>
        <v>0</v>
      </c>
      <c r="FJ115" s="3145">
        <f t="shared" ca="1" si="173"/>
        <v>0</v>
      </c>
      <c r="FK115" s="3145">
        <f t="shared" ca="1" si="173"/>
        <v>0</v>
      </c>
      <c r="FL115" s="3145">
        <f t="shared" ca="1" si="173"/>
        <v>0</v>
      </c>
      <c r="FM115" s="3145">
        <f t="shared" ca="1" si="173"/>
        <v>0</v>
      </c>
      <c r="FN115" s="3145">
        <f t="shared" ca="1" si="173"/>
        <v>0</v>
      </c>
      <c r="FO115" s="3145">
        <f t="shared" ca="1" si="173"/>
        <v>0</v>
      </c>
      <c r="FP115" s="3145">
        <f t="shared" ca="1" si="173"/>
        <v>0</v>
      </c>
      <c r="FQ115" s="3145">
        <f t="shared" ca="1" si="173"/>
        <v>0</v>
      </c>
      <c r="FR115" s="3145">
        <f t="shared" ca="1" si="173"/>
        <v>0</v>
      </c>
      <c r="FS115" s="3145">
        <f t="shared" ca="1" si="173"/>
        <v>0</v>
      </c>
      <c r="FT115" s="3145">
        <f t="shared" ca="1" si="173"/>
        <v>0</v>
      </c>
      <c r="FU115" s="3145">
        <f t="shared" ca="1" si="173"/>
        <v>0</v>
      </c>
      <c r="FV115" s="3145">
        <f t="shared" ca="1" si="173"/>
        <v>0</v>
      </c>
      <c r="FW115" s="3145">
        <f t="shared" ca="1" si="173"/>
        <v>0</v>
      </c>
      <c r="FX115" s="3145">
        <f t="shared" ca="1" si="173"/>
        <v>0</v>
      </c>
      <c r="FY115" s="3145">
        <f t="shared" ca="1" si="173"/>
        <v>0</v>
      </c>
      <c r="FZ115" s="3145">
        <f t="shared" ca="1" si="173"/>
        <v>0</v>
      </c>
      <c r="GA115" s="3145">
        <f t="shared" ca="1" si="173"/>
        <v>0</v>
      </c>
      <c r="GB115" s="3145">
        <f t="shared" ca="1" si="173"/>
        <v>0</v>
      </c>
      <c r="GC115" s="3145">
        <f t="shared" ca="1" si="173"/>
        <v>0</v>
      </c>
      <c r="GD115" s="3145">
        <f t="shared" ca="1" si="173"/>
        <v>0</v>
      </c>
      <c r="GE115" s="3145">
        <f t="shared" ca="1" si="173"/>
        <v>0</v>
      </c>
      <c r="GF115" s="3145">
        <f t="shared" ca="1" si="173"/>
        <v>0</v>
      </c>
      <c r="GG115" s="3145">
        <f t="shared" ca="1" si="173"/>
        <v>0</v>
      </c>
      <c r="GH115" s="3145">
        <f t="shared" ca="1" si="173"/>
        <v>0</v>
      </c>
      <c r="GI115" s="3145">
        <f t="shared" ca="1" si="173"/>
        <v>0</v>
      </c>
      <c r="GJ115" s="3145">
        <f t="shared" ca="1" si="173"/>
        <v>0</v>
      </c>
      <c r="GK115" s="3145">
        <f t="shared" ca="1" si="173"/>
        <v>0</v>
      </c>
      <c r="GL115" s="3145">
        <f t="shared" ca="1" si="173"/>
        <v>0</v>
      </c>
      <c r="GM115" s="3145">
        <f t="shared" ca="1" si="173"/>
        <v>0</v>
      </c>
      <c r="GN115" s="3145">
        <f t="shared" ca="1" si="173"/>
        <v>0</v>
      </c>
      <c r="GO115" s="3145">
        <f t="shared" ca="1" si="173"/>
        <v>0</v>
      </c>
      <c r="GP115" s="3145">
        <f t="shared" ca="1" si="173"/>
        <v>0</v>
      </c>
      <c r="GQ115" s="3145">
        <f t="shared" ca="1" si="173"/>
        <v>0</v>
      </c>
      <c r="GR115" s="3145">
        <f t="shared" ca="1" si="173"/>
        <v>0</v>
      </c>
      <c r="GS115" s="3145">
        <f t="shared" ca="1" si="173"/>
        <v>0</v>
      </c>
      <c r="GT115" s="3145">
        <f t="shared" ref="GT115:JC115" ca="1" si="174">GT4+GT5+GT6+GT11</f>
        <v>0</v>
      </c>
      <c r="GU115" s="3145">
        <f t="shared" ca="1" si="174"/>
        <v>0</v>
      </c>
      <c r="GV115" s="3145">
        <f t="shared" ca="1" si="174"/>
        <v>0</v>
      </c>
      <c r="GW115" s="3145">
        <f t="shared" ca="1" si="174"/>
        <v>0</v>
      </c>
      <c r="GX115" s="3145">
        <f t="shared" ca="1" si="174"/>
        <v>0</v>
      </c>
      <c r="GY115" s="3145">
        <f t="shared" ca="1" si="174"/>
        <v>0</v>
      </c>
      <c r="GZ115" s="3145">
        <f t="shared" ca="1" si="174"/>
        <v>0</v>
      </c>
      <c r="HA115" s="3145">
        <f t="shared" ca="1" si="174"/>
        <v>0</v>
      </c>
      <c r="HB115" s="3145">
        <f t="shared" ca="1" si="174"/>
        <v>0</v>
      </c>
      <c r="HC115" s="3145">
        <f t="shared" ca="1" si="174"/>
        <v>0</v>
      </c>
      <c r="HD115" s="3145">
        <f t="shared" ca="1" si="174"/>
        <v>0</v>
      </c>
      <c r="HE115" s="3145">
        <f t="shared" ca="1" si="174"/>
        <v>0</v>
      </c>
      <c r="HF115" s="3145">
        <f t="shared" ca="1" si="174"/>
        <v>0</v>
      </c>
      <c r="HG115" s="3145">
        <f t="shared" ca="1" si="174"/>
        <v>0</v>
      </c>
      <c r="HH115" s="3145">
        <f t="shared" ca="1" si="174"/>
        <v>0</v>
      </c>
      <c r="HI115" s="3145">
        <f t="shared" ca="1" si="174"/>
        <v>0</v>
      </c>
      <c r="HJ115" s="3145">
        <f t="shared" ca="1" si="174"/>
        <v>0</v>
      </c>
      <c r="HK115" s="3145">
        <f t="shared" ca="1" si="174"/>
        <v>0</v>
      </c>
      <c r="HL115" s="3145">
        <f t="shared" ca="1" si="174"/>
        <v>0</v>
      </c>
      <c r="HM115" s="3145">
        <f t="shared" ca="1" si="174"/>
        <v>0</v>
      </c>
      <c r="HN115" s="3145">
        <f t="shared" ca="1" si="174"/>
        <v>0</v>
      </c>
      <c r="HO115" s="3145">
        <f t="shared" ca="1" si="174"/>
        <v>0</v>
      </c>
      <c r="HP115" s="3145">
        <f t="shared" ca="1" si="174"/>
        <v>0</v>
      </c>
      <c r="HQ115" s="3145">
        <f t="shared" ca="1" si="174"/>
        <v>0</v>
      </c>
      <c r="HR115" s="3145">
        <f t="shared" ca="1" si="174"/>
        <v>0</v>
      </c>
      <c r="HS115" s="3145">
        <f t="shared" ca="1" si="174"/>
        <v>0</v>
      </c>
      <c r="HT115" s="3145">
        <f t="shared" ca="1" si="174"/>
        <v>0</v>
      </c>
      <c r="HU115" s="3145">
        <f t="shared" ca="1" si="174"/>
        <v>0</v>
      </c>
      <c r="HV115" s="3145">
        <f t="shared" ca="1" si="174"/>
        <v>0</v>
      </c>
      <c r="HW115" s="3145">
        <f t="shared" ca="1" si="174"/>
        <v>0</v>
      </c>
      <c r="HX115" s="3145">
        <f t="shared" ca="1" si="174"/>
        <v>0</v>
      </c>
      <c r="HY115" s="3145">
        <f t="shared" ca="1" si="174"/>
        <v>0</v>
      </c>
      <c r="HZ115" s="3145">
        <f t="shared" ca="1" si="174"/>
        <v>0</v>
      </c>
      <c r="IA115" s="3145">
        <f t="shared" ca="1" si="174"/>
        <v>0</v>
      </c>
      <c r="IB115" s="3145">
        <f t="shared" ca="1" si="174"/>
        <v>0</v>
      </c>
      <c r="IC115" s="3145">
        <f t="shared" ca="1" si="174"/>
        <v>0</v>
      </c>
      <c r="ID115" s="3145">
        <f t="shared" ca="1" si="174"/>
        <v>0</v>
      </c>
      <c r="IE115" s="3145">
        <f t="shared" ca="1" si="174"/>
        <v>0</v>
      </c>
      <c r="IF115" s="3145">
        <f t="shared" ca="1" si="174"/>
        <v>0</v>
      </c>
      <c r="IG115" s="3145">
        <f t="shared" ca="1" si="174"/>
        <v>0</v>
      </c>
      <c r="IH115" s="3145">
        <f t="shared" ca="1" si="174"/>
        <v>0</v>
      </c>
      <c r="II115" s="3145">
        <f t="shared" ca="1" si="174"/>
        <v>0</v>
      </c>
      <c r="IJ115" s="3145">
        <f t="shared" ca="1" si="174"/>
        <v>0</v>
      </c>
      <c r="IK115" s="3145">
        <f t="shared" ca="1" si="174"/>
        <v>0</v>
      </c>
      <c r="IL115" s="3145">
        <f t="shared" ca="1" si="174"/>
        <v>0</v>
      </c>
      <c r="IM115" s="3145">
        <f t="shared" ca="1" si="174"/>
        <v>0</v>
      </c>
      <c r="IN115" s="3145">
        <f t="shared" ca="1" si="174"/>
        <v>0</v>
      </c>
      <c r="IO115" s="3145">
        <f t="shared" ca="1" si="174"/>
        <v>0</v>
      </c>
      <c r="IP115" s="3145">
        <f t="shared" ca="1" si="174"/>
        <v>0</v>
      </c>
      <c r="IQ115" s="3145">
        <f t="shared" ca="1" si="174"/>
        <v>0</v>
      </c>
      <c r="IR115" s="3145">
        <f t="shared" ca="1" si="174"/>
        <v>0</v>
      </c>
      <c r="IS115" s="3145">
        <f t="shared" ca="1" si="174"/>
        <v>0</v>
      </c>
      <c r="IT115" s="3145">
        <f t="shared" ca="1" si="174"/>
        <v>0</v>
      </c>
      <c r="IU115" s="3145">
        <f t="shared" ca="1" si="174"/>
        <v>0</v>
      </c>
      <c r="IV115" s="3145">
        <f t="shared" ca="1" si="174"/>
        <v>0</v>
      </c>
      <c r="IW115" s="3145">
        <f t="shared" ca="1" si="174"/>
        <v>0</v>
      </c>
      <c r="IX115" s="3145">
        <f t="shared" ca="1" si="174"/>
        <v>0</v>
      </c>
      <c r="IY115" s="3145">
        <f t="shared" ca="1" si="174"/>
        <v>0</v>
      </c>
      <c r="IZ115" s="3145">
        <f t="shared" ca="1" si="174"/>
        <v>0</v>
      </c>
      <c r="JA115" s="3145">
        <f t="shared" ca="1" si="174"/>
        <v>0</v>
      </c>
      <c r="JB115" s="3145">
        <f t="shared" ca="1" si="174"/>
        <v>0</v>
      </c>
      <c r="JC115" s="3146">
        <f t="shared" ca="1" si="174"/>
        <v>0</v>
      </c>
      <c r="JD115" s="3137"/>
      <c r="JE115" s="183"/>
    </row>
    <row r="116" spans="1:265" ht="5.0999999999999996" customHeight="1" thickTop="1" thickBot="1" x14ac:dyDescent="0.3">
      <c r="A116" s="281"/>
      <c r="B116" s="298"/>
      <c r="C116" s="1776"/>
      <c r="D116" s="1776"/>
      <c r="E116" s="1776"/>
      <c r="F116" s="1776"/>
      <c r="G116" s="1776"/>
      <c r="H116" s="1776"/>
      <c r="I116" s="1776"/>
      <c r="J116" s="6"/>
      <c r="K116" s="6"/>
      <c r="L116" s="6"/>
      <c r="M116" s="99"/>
      <c r="N116" s="99"/>
      <c r="O116" s="100"/>
      <c r="P116" s="371"/>
      <c r="Q116" s="371"/>
      <c r="T116" s="641"/>
      <c r="U116" s="641"/>
      <c r="V116" s="641"/>
      <c r="W116" s="641"/>
      <c r="X116" s="641"/>
      <c r="Y116" s="641"/>
      <c r="Z116" s="641"/>
      <c r="AA116" s="641"/>
      <c r="AB116" s="641"/>
      <c r="AC116" s="641"/>
      <c r="AD116" s="641"/>
      <c r="AE116" s="641"/>
      <c r="AF116" s="641"/>
      <c r="AG116" s="641"/>
      <c r="AH116" s="641"/>
      <c r="AI116" s="641"/>
      <c r="AJ116" s="641"/>
      <c r="AK116" s="641"/>
      <c r="AL116" s="641"/>
      <c r="AM116" s="641"/>
      <c r="AN116" s="641"/>
      <c r="AO116" s="641"/>
      <c r="AP116" s="641"/>
      <c r="AQ116" s="641"/>
      <c r="AR116" s="641"/>
      <c r="AS116" s="641"/>
      <c r="AT116" s="641"/>
      <c r="AU116" s="641"/>
      <c r="AV116" s="641"/>
      <c r="AW116" s="641"/>
      <c r="AX116" s="641"/>
      <c r="AY116" s="641"/>
      <c r="AZ116" s="641"/>
      <c r="BA116" s="641"/>
      <c r="BB116" s="641"/>
      <c r="BC116" s="641"/>
      <c r="BD116" s="641"/>
      <c r="BE116" s="641"/>
      <c r="BF116" s="641"/>
      <c r="BG116" s="641"/>
      <c r="BH116" s="641"/>
      <c r="BI116" s="641"/>
      <c r="BJ116" s="641"/>
      <c r="BK116" s="641"/>
      <c r="BL116" s="641"/>
      <c r="BM116" s="641"/>
      <c r="BN116" s="641"/>
      <c r="BO116" s="641"/>
      <c r="BP116" s="641"/>
      <c r="BQ116" s="641"/>
      <c r="BR116" s="641"/>
      <c r="BS116" s="641"/>
      <c r="BT116" s="641"/>
      <c r="BU116" s="641"/>
      <c r="BV116" s="641"/>
      <c r="BW116" s="641"/>
      <c r="BX116" s="641"/>
      <c r="BY116" s="641"/>
      <c r="BZ116" s="641"/>
      <c r="CA116" s="641"/>
      <c r="CB116" s="641"/>
      <c r="CC116" s="641"/>
      <c r="CD116" s="641"/>
      <c r="CE116" s="641"/>
      <c r="CF116" s="641"/>
      <c r="CG116" s="641"/>
      <c r="CH116" s="641"/>
      <c r="CI116" s="641"/>
      <c r="CJ116" s="641"/>
      <c r="CK116" s="641"/>
      <c r="CL116" s="641"/>
      <c r="CM116" s="641"/>
      <c r="CN116" s="641"/>
      <c r="CO116" s="641"/>
      <c r="CP116" s="641"/>
      <c r="CQ116" s="641"/>
      <c r="CR116" s="641"/>
      <c r="CS116" s="641"/>
      <c r="CT116" s="641"/>
      <c r="CU116" s="641"/>
      <c r="CV116" s="641"/>
      <c r="CW116" s="641"/>
      <c r="CX116" s="641"/>
      <c r="CY116" s="641"/>
      <c r="CZ116" s="641"/>
      <c r="DA116" s="641"/>
      <c r="DB116" s="641"/>
      <c r="DC116" s="641"/>
      <c r="DD116" s="641"/>
      <c r="DE116" s="641"/>
      <c r="DF116" s="641"/>
      <c r="DG116" s="641"/>
      <c r="DH116" s="641"/>
      <c r="DI116" s="641"/>
      <c r="DJ116" s="641"/>
      <c r="DK116" s="641"/>
      <c r="DL116" s="641"/>
      <c r="DM116" s="641"/>
      <c r="DN116" s="641"/>
      <c r="DO116" s="641"/>
      <c r="DR116" s="109"/>
      <c r="DS116" s="109"/>
      <c r="DT116" s="3729"/>
      <c r="DU116" s="109"/>
      <c r="DV116" s="117"/>
      <c r="DW116" s="114"/>
      <c r="DX116" s="109"/>
      <c r="DY116" s="6"/>
      <c r="DZ116" s="6"/>
      <c r="EA116" s="120"/>
      <c r="EB116" s="35"/>
      <c r="EC116" s="35"/>
      <c r="ED116" s="35"/>
      <c r="EE116" s="133"/>
      <c r="EF116" s="6"/>
      <c r="EG116" s="3153"/>
      <c r="EH116" s="3153"/>
      <c r="EI116" s="3153"/>
      <c r="EJ116" s="3153"/>
      <c r="EK116" s="3153"/>
      <c r="EL116" s="3153"/>
      <c r="EM116" s="3153"/>
      <c r="EN116" s="3153"/>
      <c r="EO116" s="3153"/>
      <c r="EP116" s="3153"/>
      <c r="EQ116" s="3153"/>
      <c r="ER116" s="3153"/>
      <c r="ES116" s="3153"/>
      <c r="ET116" s="3153"/>
      <c r="EU116" s="3153"/>
      <c r="EV116" s="3153"/>
      <c r="EW116" s="3153"/>
      <c r="EX116" s="3153"/>
      <c r="EY116" s="3153"/>
      <c r="EZ116" s="3153"/>
      <c r="FA116" s="3153"/>
      <c r="FB116" s="3153"/>
      <c r="FC116" s="3153"/>
      <c r="FD116" s="3153"/>
      <c r="FE116" s="3153"/>
      <c r="FF116" s="3153"/>
      <c r="FG116" s="3153"/>
      <c r="FH116" s="3153"/>
      <c r="FI116" s="3153"/>
      <c r="FJ116" s="3153"/>
      <c r="FK116" s="3153"/>
      <c r="FL116" s="3153"/>
      <c r="FM116" s="3153"/>
      <c r="FN116" s="3153"/>
      <c r="FO116" s="3153"/>
      <c r="FP116" s="3153"/>
      <c r="FQ116" s="3153"/>
      <c r="FR116" s="3153"/>
      <c r="FS116" s="3153"/>
      <c r="FT116" s="3153"/>
      <c r="FU116" s="3153"/>
      <c r="FV116" s="3153"/>
      <c r="FW116" s="3153"/>
      <c r="FX116" s="3153"/>
      <c r="FY116" s="3153"/>
      <c r="FZ116" s="3153"/>
      <c r="GA116" s="3153"/>
      <c r="GB116" s="3153"/>
      <c r="GC116" s="3153"/>
      <c r="GD116" s="3153"/>
      <c r="GE116" s="3153"/>
      <c r="GF116" s="3153"/>
      <c r="GG116" s="3153"/>
      <c r="GH116" s="3153"/>
      <c r="GI116" s="3153"/>
      <c r="GJ116" s="3153"/>
      <c r="GK116" s="3153"/>
      <c r="GL116" s="3153"/>
      <c r="GM116" s="3153"/>
      <c r="GN116" s="3153"/>
      <c r="GO116" s="3153"/>
      <c r="GP116" s="3153"/>
      <c r="GQ116" s="3153"/>
      <c r="GR116" s="3153"/>
      <c r="GS116" s="3153"/>
      <c r="GT116" s="3153"/>
      <c r="GU116" s="3153"/>
      <c r="GV116" s="3153"/>
      <c r="GW116" s="3153"/>
      <c r="GX116" s="3153"/>
      <c r="GY116" s="3153"/>
      <c r="GZ116" s="3153"/>
      <c r="HA116" s="3153"/>
      <c r="HB116" s="3153"/>
      <c r="HC116" s="3153"/>
      <c r="HD116" s="3153"/>
      <c r="HE116" s="3153"/>
      <c r="HF116" s="3153"/>
      <c r="HG116" s="3153"/>
      <c r="HH116" s="3153"/>
      <c r="HI116" s="3153"/>
      <c r="HJ116" s="3153"/>
      <c r="HK116" s="3153"/>
      <c r="HL116" s="3153"/>
      <c r="HM116" s="3153"/>
      <c r="HN116" s="3153"/>
      <c r="HO116" s="3153"/>
      <c r="HP116" s="3153"/>
      <c r="HQ116" s="3153"/>
      <c r="HR116" s="3153"/>
      <c r="HS116" s="3153"/>
      <c r="HT116" s="3153"/>
      <c r="HU116" s="3153"/>
      <c r="HV116" s="3153"/>
      <c r="HW116" s="3153"/>
      <c r="HX116" s="3153"/>
      <c r="HY116" s="3153"/>
      <c r="HZ116" s="3153"/>
      <c r="IA116" s="3153"/>
      <c r="IB116" s="3153"/>
      <c r="IC116" s="3153"/>
      <c r="ID116" s="3153"/>
      <c r="IE116" s="3153"/>
      <c r="IF116" s="3153"/>
      <c r="IG116" s="3153"/>
      <c r="IH116" s="3153"/>
      <c r="II116" s="3153"/>
      <c r="IJ116" s="3153"/>
      <c r="IK116" s="3153"/>
      <c r="IL116" s="3153"/>
      <c r="IM116" s="3153"/>
      <c r="IN116" s="3153"/>
      <c r="IO116" s="3153"/>
      <c r="IP116" s="3153"/>
      <c r="IQ116" s="3153"/>
      <c r="IR116" s="3153"/>
      <c r="IS116" s="3153"/>
      <c r="IT116" s="3153"/>
      <c r="IU116" s="3153"/>
      <c r="IV116" s="3153"/>
      <c r="IW116" s="3153"/>
      <c r="IX116" s="3153"/>
      <c r="IY116" s="3153"/>
      <c r="IZ116" s="3153"/>
      <c r="JA116" s="3153"/>
      <c r="JB116" s="3153"/>
      <c r="JC116" s="3153"/>
      <c r="JD116" s="3137"/>
    </row>
    <row r="117" spans="1:265" ht="29.25" customHeight="1" thickBot="1" x14ac:dyDescent="0.3">
      <c r="A117" s="280"/>
      <c r="B117" s="297"/>
      <c r="C117" s="1776"/>
      <c r="D117" s="1776"/>
      <c r="E117" s="1776"/>
      <c r="F117" s="1776"/>
      <c r="G117" s="1776"/>
      <c r="H117" s="1776"/>
      <c r="I117" s="1776"/>
      <c r="J117" s="6"/>
      <c r="K117" s="102"/>
      <c r="Q117" s="3039" t="s">
        <v>115</v>
      </c>
      <c r="R117" s="3040">
        <f>IF($C$6="B",SUM(R123:R126),SUM(R119:R126))</f>
        <v>0</v>
      </c>
      <c r="S117" s="3041">
        <f>IF($C$6="B",SUM(S123:S126),SUM(S123:S126)+S121*G17+S120*G17+S119)</f>
        <v>0</v>
      </c>
      <c r="T117" s="375"/>
      <c r="U117" s="375"/>
      <c r="V117" s="375"/>
      <c r="W117" s="375"/>
      <c r="X117" s="375"/>
      <c r="Y117" s="375"/>
      <c r="Z117" s="375"/>
      <c r="AA117" s="375"/>
      <c r="AB117" s="375"/>
      <c r="AC117" s="375"/>
      <c r="AD117" s="375"/>
      <c r="AE117" s="375"/>
      <c r="AF117" s="375"/>
      <c r="AG117" s="375"/>
      <c r="AH117" s="375"/>
      <c r="AI117" s="375"/>
      <c r="AJ117" s="375"/>
      <c r="AK117" s="375"/>
      <c r="AL117" s="375"/>
      <c r="AM117" s="375"/>
      <c r="AN117" s="375"/>
      <c r="AO117" s="375"/>
      <c r="AP117" s="375"/>
      <c r="AQ117" s="375"/>
      <c r="AR117" s="375"/>
      <c r="AS117" s="375"/>
      <c r="AT117" s="375"/>
      <c r="AU117" s="375"/>
      <c r="AV117" s="375"/>
      <c r="AW117" s="375"/>
      <c r="AX117" s="375"/>
      <c r="AY117" s="375"/>
      <c r="AZ117" s="375"/>
      <c r="BA117" s="375"/>
      <c r="BB117" s="375"/>
      <c r="BC117" s="375"/>
      <c r="BD117" s="375"/>
      <c r="BE117" s="375"/>
      <c r="BF117" s="375"/>
      <c r="BG117" s="375"/>
      <c r="BH117" s="375"/>
      <c r="BI117" s="375"/>
      <c r="BJ117" s="375"/>
      <c r="BK117" s="375"/>
      <c r="BL117" s="375"/>
      <c r="BM117" s="375"/>
      <c r="BN117" s="375"/>
      <c r="BO117" s="375"/>
      <c r="BP117" s="375"/>
      <c r="BQ117" s="375"/>
      <c r="BR117" s="375"/>
      <c r="BS117" s="375"/>
      <c r="BT117" s="375"/>
      <c r="BU117" s="375"/>
      <c r="BV117" s="375"/>
      <c r="BW117" s="375"/>
      <c r="BX117" s="375"/>
      <c r="BY117" s="375"/>
      <c r="BZ117" s="375"/>
      <c r="CA117" s="375"/>
      <c r="CB117" s="375"/>
      <c r="CC117" s="375"/>
      <c r="CD117" s="375"/>
      <c r="CE117" s="375"/>
      <c r="CF117" s="375"/>
      <c r="CG117" s="375"/>
      <c r="CH117" s="375"/>
      <c r="CI117" s="375"/>
      <c r="CJ117" s="375"/>
      <c r="CK117" s="375"/>
      <c r="CL117" s="375"/>
      <c r="CM117" s="375"/>
      <c r="CN117" s="375"/>
      <c r="CO117" s="375"/>
      <c r="CP117" s="375"/>
      <c r="CQ117" s="375"/>
      <c r="CR117" s="375"/>
      <c r="CS117" s="375"/>
      <c r="CT117" s="375"/>
      <c r="CU117" s="375"/>
      <c r="CV117" s="375"/>
      <c r="CW117" s="375"/>
      <c r="CX117" s="375"/>
      <c r="CY117" s="375"/>
      <c r="CZ117" s="375"/>
      <c r="DA117" s="375"/>
      <c r="DB117" s="375"/>
      <c r="DC117" s="375"/>
      <c r="DD117" s="375"/>
      <c r="DE117" s="375"/>
      <c r="DF117" s="375"/>
      <c r="DG117" s="375"/>
      <c r="DH117" s="375"/>
      <c r="DI117" s="375"/>
      <c r="DJ117" s="375"/>
      <c r="DK117" s="375"/>
      <c r="DL117" s="375"/>
      <c r="DM117" s="375"/>
      <c r="DN117" s="375"/>
      <c r="DO117" s="375"/>
      <c r="DP117" s="3042">
        <f>IF($C$6="B",SUM(DP123:DP126),SUM(DP123:DP126)+DP122+DP120*G17+DP119)</f>
        <v>0</v>
      </c>
      <c r="DQ117" s="3031">
        <f>DP117-S117</f>
        <v>0</v>
      </c>
      <c r="DR117" s="374"/>
      <c r="DS117" s="6"/>
      <c r="DT117" s="2075"/>
      <c r="DV117" s="191"/>
      <c r="DW117" s="6"/>
      <c r="DX117" s="6"/>
      <c r="DY117" s="6"/>
      <c r="DZ117" s="3730" t="s">
        <v>4191</v>
      </c>
      <c r="EA117" s="3730"/>
      <c r="EB117" s="3731"/>
      <c r="EC117" s="3715">
        <f ca="1">SUM(EG117:NW117)</f>
        <v>0</v>
      </c>
      <c r="ED117" s="3716"/>
      <c r="EE117" s="3717"/>
      <c r="EF117" s="182"/>
      <c r="EG117" s="3664">
        <f ca="1">EG115-EG111</f>
        <v>0</v>
      </c>
      <c r="EH117" s="3653">
        <f t="shared" ref="EH117:GS117" ca="1" si="175">EH115-EH111</f>
        <v>0</v>
      </c>
      <c r="EI117" s="3653">
        <f t="shared" ca="1" si="175"/>
        <v>0</v>
      </c>
      <c r="EJ117" s="3653">
        <f t="shared" ca="1" si="175"/>
        <v>0</v>
      </c>
      <c r="EK117" s="3653">
        <f t="shared" ca="1" si="175"/>
        <v>0</v>
      </c>
      <c r="EL117" s="3653">
        <f t="shared" ca="1" si="175"/>
        <v>0</v>
      </c>
      <c r="EM117" s="3653">
        <f t="shared" ca="1" si="175"/>
        <v>0</v>
      </c>
      <c r="EN117" s="3653">
        <f t="shared" ca="1" si="175"/>
        <v>0</v>
      </c>
      <c r="EO117" s="3653">
        <f t="shared" ca="1" si="175"/>
        <v>0</v>
      </c>
      <c r="EP117" s="3653">
        <f t="shared" ca="1" si="175"/>
        <v>0</v>
      </c>
      <c r="EQ117" s="3653">
        <f t="shared" ca="1" si="175"/>
        <v>0</v>
      </c>
      <c r="ER117" s="3653">
        <f t="shared" ca="1" si="175"/>
        <v>0</v>
      </c>
      <c r="ES117" s="3653">
        <f t="shared" ca="1" si="175"/>
        <v>0</v>
      </c>
      <c r="ET117" s="3653">
        <f t="shared" ca="1" si="175"/>
        <v>0</v>
      </c>
      <c r="EU117" s="3653">
        <f t="shared" ca="1" si="175"/>
        <v>0</v>
      </c>
      <c r="EV117" s="3653">
        <f t="shared" ca="1" si="175"/>
        <v>0</v>
      </c>
      <c r="EW117" s="3653">
        <f t="shared" ca="1" si="175"/>
        <v>0</v>
      </c>
      <c r="EX117" s="3653">
        <f t="shared" ca="1" si="175"/>
        <v>0</v>
      </c>
      <c r="EY117" s="3653">
        <f t="shared" ca="1" si="175"/>
        <v>0</v>
      </c>
      <c r="EZ117" s="3653">
        <f t="shared" ca="1" si="175"/>
        <v>0</v>
      </c>
      <c r="FA117" s="3653">
        <f t="shared" ca="1" si="175"/>
        <v>0</v>
      </c>
      <c r="FB117" s="3653">
        <f t="shared" ca="1" si="175"/>
        <v>0</v>
      </c>
      <c r="FC117" s="3653">
        <f t="shared" ca="1" si="175"/>
        <v>0</v>
      </c>
      <c r="FD117" s="3653">
        <f t="shared" ca="1" si="175"/>
        <v>0</v>
      </c>
      <c r="FE117" s="3653">
        <f t="shared" ca="1" si="175"/>
        <v>0</v>
      </c>
      <c r="FF117" s="3653">
        <f t="shared" ca="1" si="175"/>
        <v>0</v>
      </c>
      <c r="FG117" s="3653">
        <f t="shared" ca="1" si="175"/>
        <v>0</v>
      </c>
      <c r="FH117" s="3653">
        <f t="shared" ca="1" si="175"/>
        <v>0</v>
      </c>
      <c r="FI117" s="3653">
        <f t="shared" ca="1" si="175"/>
        <v>0</v>
      </c>
      <c r="FJ117" s="3653">
        <f t="shared" ca="1" si="175"/>
        <v>0</v>
      </c>
      <c r="FK117" s="3653">
        <f t="shared" ca="1" si="175"/>
        <v>0</v>
      </c>
      <c r="FL117" s="3653">
        <f t="shared" ca="1" si="175"/>
        <v>0</v>
      </c>
      <c r="FM117" s="3653">
        <f t="shared" ca="1" si="175"/>
        <v>0</v>
      </c>
      <c r="FN117" s="3653">
        <f t="shared" ca="1" si="175"/>
        <v>0</v>
      </c>
      <c r="FO117" s="3653">
        <f t="shared" ca="1" si="175"/>
        <v>0</v>
      </c>
      <c r="FP117" s="3653">
        <f t="shared" ca="1" si="175"/>
        <v>0</v>
      </c>
      <c r="FQ117" s="3653">
        <f t="shared" ca="1" si="175"/>
        <v>0</v>
      </c>
      <c r="FR117" s="3653">
        <f t="shared" ca="1" si="175"/>
        <v>0</v>
      </c>
      <c r="FS117" s="3653">
        <f t="shared" ca="1" si="175"/>
        <v>0</v>
      </c>
      <c r="FT117" s="3653">
        <f t="shared" ca="1" si="175"/>
        <v>0</v>
      </c>
      <c r="FU117" s="3653">
        <f t="shared" ca="1" si="175"/>
        <v>0</v>
      </c>
      <c r="FV117" s="3653">
        <f t="shared" ca="1" si="175"/>
        <v>0</v>
      </c>
      <c r="FW117" s="3653">
        <f t="shared" ca="1" si="175"/>
        <v>0</v>
      </c>
      <c r="FX117" s="3653">
        <f t="shared" ca="1" si="175"/>
        <v>0</v>
      </c>
      <c r="FY117" s="3653">
        <f t="shared" ca="1" si="175"/>
        <v>0</v>
      </c>
      <c r="FZ117" s="3653">
        <f t="shared" ca="1" si="175"/>
        <v>0</v>
      </c>
      <c r="GA117" s="3653">
        <f t="shared" ca="1" si="175"/>
        <v>0</v>
      </c>
      <c r="GB117" s="3653">
        <f t="shared" ca="1" si="175"/>
        <v>0</v>
      </c>
      <c r="GC117" s="3653">
        <f t="shared" ca="1" si="175"/>
        <v>0</v>
      </c>
      <c r="GD117" s="3653">
        <f t="shared" ca="1" si="175"/>
        <v>0</v>
      </c>
      <c r="GE117" s="3653">
        <f t="shared" ca="1" si="175"/>
        <v>0</v>
      </c>
      <c r="GF117" s="3653">
        <f t="shared" ca="1" si="175"/>
        <v>0</v>
      </c>
      <c r="GG117" s="3653">
        <f t="shared" ca="1" si="175"/>
        <v>0</v>
      </c>
      <c r="GH117" s="3653">
        <f t="shared" ca="1" si="175"/>
        <v>0</v>
      </c>
      <c r="GI117" s="3653">
        <f t="shared" ca="1" si="175"/>
        <v>0</v>
      </c>
      <c r="GJ117" s="3653">
        <f t="shared" ca="1" si="175"/>
        <v>0</v>
      </c>
      <c r="GK117" s="3653">
        <f t="shared" ca="1" si="175"/>
        <v>0</v>
      </c>
      <c r="GL117" s="3653">
        <f t="shared" ca="1" si="175"/>
        <v>0</v>
      </c>
      <c r="GM117" s="3653">
        <f t="shared" ca="1" si="175"/>
        <v>0</v>
      </c>
      <c r="GN117" s="3653">
        <f t="shared" ca="1" si="175"/>
        <v>0</v>
      </c>
      <c r="GO117" s="3653">
        <f t="shared" ca="1" si="175"/>
        <v>0</v>
      </c>
      <c r="GP117" s="3653">
        <f t="shared" ca="1" si="175"/>
        <v>0</v>
      </c>
      <c r="GQ117" s="3653">
        <f t="shared" ca="1" si="175"/>
        <v>0</v>
      </c>
      <c r="GR117" s="3653">
        <f t="shared" ca="1" si="175"/>
        <v>0</v>
      </c>
      <c r="GS117" s="3653">
        <f t="shared" ca="1" si="175"/>
        <v>0</v>
      </c>
      <c r="GT117" s="3653">
        <f t="shared" ref="GT117:JC117" ca="1" si="176">GT115-GT111</f>
        <v>0</v>
      </c>
      <c r="GU117" s="3653">
        <f t="shared" ca="1" si="176"/>
        <v>0</v>
      </c>
      <c r="GV117" s="3653">
        <f t="shared" ca="1" si="176"/>
        <v>0</v>
      </c>
      <c r="GW117" s="3653">
        <f t="shared" ca="1" si="176"/>
        <v>0</v>
      </c>
      <c r="GX117" s="3653">
        <f t="shared" ca="1" si="176"/>
        <v>0</v>
      </c>
      <c r="GY117" s="3653">
        <f t="shared" ca="1" si="176"/>
        <v>0</v>
      </c>
      <c r="GZ117" s="3653">
        <f t="shared" ca="1" si="176"/>
        <v>0</v>
      </c>
      <c r="HA117" s="3653">
        <f t="shared" ca="1" si="176"/>
        <v>0</v>
      </c>
      <c r="HB117" s="3653">
        <f t="shared" ca="1" si="176"/>
        <v>0</v>
      </c>
      <c r="HC117" s="3653">
        <f t="shared" ca="1" si="176"/>
        <v>0</v>
      </c>
      <c r="HD117" s="3653">
        <f t="shared" ca="1" si="176"/>
        <v>0</v>
      </c>
      <c r="HE117" s="3653">
        <f t="shared" ca="1" si="176"/>
        <v>0</v>
      </c>
      <c r="HF117" s="3653">
        <f t="shared" ca="1" si="176"/>
        <v>0</v>
      </c>
      <c r="HG117" s="3653">
        <f t="shared" ca="1" si="176"/>
        <v>0</v>
      </c>
      <c r="HH117" s="3653">
        <f t="shared" ca="1" si="176"/>
        <v>0</v>
      </c>
      <c r="HI117" s="3653">
        <f t="shared" ca="1" si="176"/>
        <v>0</v>
      </c>
      <c r="HJ117" s="3653">
        <f t="shared" ca="1" si="176"/>
        <v>0</v>
      </c>
      <c r="HK117" s="3653">
        <f t="shared" ca="1" si="176"/>
        <v>0</v>
      </c>
      <c r="HL117" s="3653">
        <f t="shared" ca="1" si="176"/>
        <v>0</v>
      </c>
      <c r="HM117" s="3653">
        <f t="shared" ca="1" si="176"/>
        <v>0</v>
      </c>
      <c r="HN117" s="3653">
        <f t="shared" ca="1" si="176"/>
        <v>0</v>
      </c>
      <c r="HO117" s="3653">
        <f t="shared" ca="1" si="176"/>
        <v>0</v>
      </c>
      <c r="HP117" s="3653">
        <f t="shared" ca="1" si="176"/>
        <v>0</v>
      </c>
      <c r="HQ117" s="3653">
        <f t="shared" ca="1" si="176"/>
        <v>0</v>
      </c>
      <c r="HR117" s="3653">
        <f t="shared" ca="1" si="176"/>
        <v>0</v>
      </c>
      <c r="HS117" s="3653">
        <f t="shared" ca="1" si="176"/>
        <v>0</v>
      </c>
      <c r="HT117" s="3653">
        <f t="shared" ca="1" si="176"/>
        <v>0</v>
      </c>
      <c r="HU117" s="3653">
        <f t="shared" ca="1" si="176"/>
        <v>0</v>
      </c>
      <c r="HV117" s="3653">
        <f t="shared" ca="1" si="176"/>
        <v>0</v>
      </c>
      <c r="HW117" s="3653">
        <f t="shared" ca="1" si="176"/>
        <v>0</v>
      </c>
      <c r="HX117" s="3653">
        <f t="shared" ca="1" si="176"/>
        <v>0</v>
      </c>
      <c r="HY117" s="3653">
        <f t="shared" ca="1" si="176"/>
        <v>0</v>
      </c>
      <c r="HZ117" s="3653">
        <f t="shared" ca="1" si="176"/>
        <v>0</v>
      </c>
      <c r="IA117" s="3653">
        <f t="shared" ca="1" si="176"/>
        <v>0</v>
      </c>
      <c r="IB117" s="3653">
        <f t="shared" ca="1" si="176"/>
        <v>0</v>
      </c>
      <c r="IC117" s="3653">
        <f t="shared" ca="1" si="176"/>
        <v>0</v>
      </c>
      <c r="ID117" s="3653">
        <f t="shared" ca="1" si="176"/>
        <v>0</v>
      </c>
      <c r="IE117" s="3653">
        <f t="shared" ca="1" si="176"/>
        <v>0</v>
      </c>
      <c r="IF117" s="3653">
        <f t="shared" ca="1" si="176"/>
        <v>0</v>
      </c>
      <c r="IG117" s="3653">
        <f t="shared" ca="1" si="176"/>
        <v>0</v>
      </c>
      <c r="IH117" s="3653">
        <f t="shared" ca="1" si="176"/>
        <v>0</v>
      </c>
      <c r="II117" s="3653">
        <f t="shared" ca="1" si="176"/>
        <v>0</v>
      </c>
      <c r="IJ117" s="3653">
        <f t="shared" ca="1" si="176"/>
        <v>0</v>
      </c>
      <c r="IK117" s="3653">
        <f t="shared" ca="1" si="176"/>
        <v>0</v>
      </c>
      <c r="IL117" s="3653">
        <f t="shared" ca="1" si="176"/>
        <v>0</v>
      </c>
      <c r="IM117" s="3653">
        <f t="shared" ca="1" si="176"/>
        <v>0</v>
      </c>
      <c r="IN117" s="3653">
        <f t="shared" ca="1" si="176"/>
        <v>0</v>
      </c>
      <c r="IO117" s="3653">
        <f t="shared" ca="1" si="176"/>
        <v>0</v>
      </c>
      <c r="IP117" s="3653">
        <f t="shared" ca="1" si="176"/>
        <v>0</v>
      </c>
      <c r="IQ117" s="3653">
        <f t="shared" ca="1" si="176"/>
        <v>0</v>
      </c>
      <c r="IR117" s="3653">
        <f t="shared" ca="1" si="176"/>
        <v>0</v>
      </c>
      <c r="IS117" s="3653">
        <f t="shared" ca="1" si="176"/>
        <v>0</v>
      </c>
      <c r="IT117" s="3653">
        <f t="shared" ca="1" si="176"/>
        <v>0</v>
      </c>
      <c r="IU117" s="3653">
        <f t="shared" ca="1" si="176"/>
        <v>0</v>
      </c>
      <c r="IV117" s="3653">
        <f t="shared" ca="1" si="176"/>
        <v>0</v>
      </c>
      <c r="IW117" s="3653">
        <f t="shared" ca="1" si="176"/>
        <v>0</v>
      </c>
      <c r="IX117" s="3653">
        <f t="shared" ca="1" si="176"/>
        <v>0</v>
      </c>
      <c r="IY117" s="3653">
        <f t="shared" ca="1" si="176"/>
        <v>0</v>
      </c>
      <c r="IZ117" s="3653">
        <f t="shared" ca="1" si="176"/>
        <v>0</v>
      </c>
      <c r="JA117" s="3653">
        <f t="shared" ca="1" si="176"/>
        <v>0</v>
      </c>
      <c r="JB117" s="3653">
        <f t="shared" ca="1" si="176"/>
        <v>0</v>
      </c>
      <c r="JC117" s="3700">
        <f t="shared" ca="1" si="176"/>
        <v>0</v>
      </c>
      <c r="JD117" s="3137"/>
    </row>
    <row r="118" spans="1:265" ht="19.95" customHeight="1" thickBot="1" x14ac:dyDescent="0.3">
      <c r="A118" s="280"/>
      <c r="B118" s="297"/>
      <c r="C118" s="1776"/>
      <c r="D118" s="1776"/>
      <c r="E118" s="1776"/>
      <c r="F118" s="1776"/>
      <c r="G118" s="1776"/>
      <c r="H118" s="1776"/>
      <c r="I118" s="1776"/>
      <c r="J118" s="6"/>
      <c r="K118" s="102"/>
      <c r="L118" s="102"/>
      <c r="M118" s="103"/>
      <c r="N118" s="103"/>
      <c r="O118" s="104"/>
      <c r="R118" s="1175" t="s">
        <v>3393</v>
      </c>
      <c r="S118" s="1175" t="s">
        <v>39</v>
      </c>
      <c r="T118" s="1176"/>
      <c r="U118" s="1176"/>
      <c r="V118" s="1176"/>
      <c r="W118" s="1176"/>
      <c r="X118" s="1176"/>
      <c r="Y118" s="1176"/>
      <c r="Z118" s="1176"/>
      <c r="AA118" s="1176"/>
      <c r="AB118" s="1176"/>
      <c r="AC118" s="1176"/>
      <c r="AD118" s="1176"/>
      <c r="AE118" s="1176"/>
      <c r="AF118" s="1176"/>
      <c r="AG118" s="1176"/>
      <c r="AH118" s="1176"/>
      <c r="AI118" s="1176"/>
      <c r="AJ118" s="1176"/>
      <c r="AK118" s="1176"/>
      <c r="AL118" s="1176"/>
      <c r="AM118" s="1176"/>
      <c r="AN118" s="1176"/>
      <c r="AO118" s="1176"/>
      <c r="AP118" s="1176"/>
      <c r="AQ118" s="1176"/>
      <c r="AR118" s="1176"/>
      <c r="AS118" s="1176"/>
      <c r="AT118" s="1176"/>
      <c r="AU118" s="1176"/>
      <c r="AV118" s="1176"/>
      <c r="AW118" s="1176"/>
      <c r="AX118" s="1176"/>
      <c r="AY118" s="1176"/>
      <c r="AZ118" s="1176"/>
      <c r="BA118" s="1176"/>
      <c r="BB118" s="1176"/>
      <c r="BC118" s="1176"/>
      <c r="BD118" s="1176"/>
      <c r="BE118" s="1176"/>
      <c r="BF118" s="1176"/>
      <c r="BG118" s="1176"/>
      <c r="BH118" s="1176"/>
      <c r="BI118" s="1176"/>
      <c r="BJ118" s="1176"/>
      <c r="BK118" s="1176"/>
      <c r="BL118" s="1176"/>
      <c r="BM118" s="1176"/>
      <c r="BN118" s="1176"/>
      <c r="BO118" s="1176"/>
      <c r="BP118" s="1176"/>
      <c r="BQ118" s="1176"/>
      <c r="BR118" s="1176"/>
      <c r="BS118" s="1176"/>
      <c r="BT118" s="1176"/>
      <c r="BU118" s="1176"/>
      <c r="BV118" s="1176"/>
      <c r="BW118" s="1176"/>
      <c r="BX118" s="1176"/>
      <c r="BY118" s="1176"/>
      <c r="BZ118" s="1176"/>
      <c r="CA118" s="1176"/>
      <c r="CB118" s="1176"/>
      <c r="CC118" s="1176"/>
      <c r="CD118" s="1176"/>
      <c r="CE118" s="1176"/>
      <c r="CF118" s="1176"/>
      <c r="CG118" s="1176"/>
      <c r="CH118" s="1176"/>
      <c r="CI118" s="1176"/>
      <c r="CJ118" s="1176"/>
      <c r="CK118" s="1176"/>
      <c r="CL118" s="1176"/>
      <c r="CM118" s="1176"/>
      <c r="CN118" s="1176"/>
      <c r="CO118" s="1176"/>
      <c r="CP118" s="1176"/>
      <c r="CQ118" s="1176"/>
      <c r="CR118" s="1176"/>
      <c r="CS118" s="1176"/>
      <c r="CT118" s="1176"/>
      <c r="CU118" s="1176"/>
      <c r="CV118" s="1176"/>
      <c r="CW118" s="1176"/>
      <c r="CX118" s="1176"/>
      <c r="CY118" s="1176"/>
      <c r="CZ118" s="1176"/>
      <c r="DA118" s="1176"/>
      <c r="DB118" s="1176"/>
      <c r="DC118" s="1176"/>
      <c r="DD118" s="1176"/>
      <c r="DE118" s="1176"/>
      <c r="DF118" s="1176"/>
      <c r="DG118" s="1176"/>
      <c r="DH118" s="1176"/>
      <c r="DI118" s="1176"/>
      <c r="DJ118" s="1176"/>
      <c r="DK118" s="1176"/>
      <c r="DL118" s="1176"/>
      <c r="DM118" s="1176"/>
      <c r="DN118" s="1176"/>
      <c r="DO118" s="1176"/>
      <c r="DP118" s="1175" t="s">
        <v>31</v>
      </c>
      <c r="DQ118" s="3010" t="s">
        <v>154</v>
      </c>
      <c r="DR118" s="109"/>
      <c r="DS118" s="6"/>
      <c r="DT118" s="2074" t="str">
        <f>IF(AND($C$6&lt;&gt;"F",DT117=0),"","ETC "&amp;IF(DY3=1,"Week No.","Month No."))</f>
        <v/>
      </c>
      <c r="DU118" s="109"/>
      <c r="DV118" s="6"/>
      <c r="DW118" s="6"/>
      <c r="DX118" s="6"/>
      <c r="DY118" s="6"/>
      <c r="DZ118" s="3730"/>
      <c r="EA118" s="3730"/>
      <c r="EB118" s="3731"/>
      <c r="EC118" s="3718"/>
      <c r="ED118" s="3719"/>
      <c r="EE118" s="3720"/>
      <c r="EF118" s="133"/>
      <c r="EG118" s="3665"/>
      <c r="EH118" s="3654"/>
      <c r="EI118" s="3654"/>
      <c r="EJ118" s="3654"/>
      <c r="EK118" s="3654"/>
      <c r="EL118" s="3654"/>
      <c r="EM118" s="3654"/>
      <c r="EN118" s="3654"/>
      <c r="EO118" s="3654"/>
      <c r="EP118" s="3654"/>
      <c r="EQ118" s="3654"/>
      <c r="ER118" s="3654"/>
      <c r="ES118" s="3654"/>
      <c r="ET118" s="3654"/>
      <c r="EU118" s="3654"/>
      <c r="EV118" s="3654"/>
      <c r="EW118" s="3654"/>
      <c r="EX118" s="3654"/>
      <c r="EY118" s="3654"/>
      <c r="EZ118" s="3654"/>
      <c r="FA118" s="3654"/>
      <c r="FB118" s="3654"/>
      <c r="FC118" s="3654"/>
      <c r="FD118" s="3654"/>
      <c r="FE118" s="3654"/>
      <c r="FF118" s="3654"/>
      <c r="FG118" s="3654"/>
      <c r="FH118" s="3654"/>
      <c r="FI118" s="3654"/>
      <c r="FJ118" s="3654"/>
      <c r="FK118" s="3654"/>
      <c r="FL118" s="3654"/>
      <c r="FM118" s="3654"/>
      <c r="FN118" s="3654"/>
      <c r="FO118" s="3654"/>
      <c r="FP118" s="3654"/>
      <c r="FQ118" s="3654"/>
      <c r="FR118" s="3654"/>
      <c r="FS118" s="3654"/>
      <c r="FT118" s="3654"/>
      <c r="FU118" s="3654"/>
      <c r="FV118" s="3654"/>
      <c r="FW118" s="3654"/>
      <c r="FX118" s="3654"/>
      <c r="FY118" s="3654"/>
      <c r="FZ118" s="3654"/>
      <c r="GA118" s="3654"/>
      <c r="GB118" s="3654"/>
      <c r="GC118" s="3654"/>
      <c r="GD118" s="3654"/>
      <c r="GE118" s="3654"/>
      <c r="GF118" s="3654"/>
      <c r="GG118" s="3654"/>
      <c r="GH118" s="3654"/>
      <c r="GI118" s="3654"/>
      <c r="GJ118" s="3654"/>
      <c r="GK118" s="3654"/>
      <c r="GL118" s="3654"/>
      <c r="GM118" s="3654"/>
      <c r="GN118" s="3654"/>
      <c r="GO118" s="3654"/>
      <c r="GP118" s="3654"/>
      <c r="GQ118" s="3654"/>
      <c r="GR118" s="3654"/>
      <c r="GS118" s="3654"/>
      <c r="GT118" s="3654"/>
      <c r="GU118" s="3654"/>
      <c r="GV118" s="3654"/>
      <c r="GW118" s="3654"/>
      <c r="GX118" s="3654"/>
      <c r="GY118" s="3654"/>
      <c r="GZ118" s="3654"/>
      <c r="HA118" s="3654"/>
      <c r="HB118" s="3654"/>
      <c r="HC118" s="3654"/>
      <c r="HD118" s="3654"/>
      <c r="HE118" s="3654"/>
      <c r="HF118" s="3654"/>
      <c r="HG118" s="3654"/>
      <c r="HH118" s="3654"/>
      <c r="HI118" s="3654"/>
      <c r="HJ118" s="3654"/>
      <c r="HK118" s="3654"/>
      <c r="HL118" s="3654"/>
      <c r="HM118" s="3654"/>
      <c r="HN118" s="3654"/>
      <c r="HO118" s="3654"/>
      <c r="HP118" s="3654"/>
      <c r="HQ118" s="3654"/>
      <c r="HR118" s="3654"/>
      <c r="HS118" s="3654"/>
      <c r="HT118" s="3654"/>
      <c r="HU118" s="3654"/>
      <c r="HV118" s="3654"/>
      <c r="HW118" s="3654"/>
      <c r="HX118" s="3654"/>
      <c r="HY118" s="3654"/>
      <c r="HZ118" s="3654"/>
      <c r="IA118" s="3654"/>
      <c r="IB118" s="3654"/>
      <c r="IC118" s="3654"/>
      <c r="ID118" s="3654"/>
      <c r="IE118" s="3654"/>
      <c r="IF118" s="3654"/>
      <c r="IG118" s="3654"/>
      <c r="IH118" s="3654"/>
      <c r="II118" s="3654"/>
      <c r="IJ118" s="3654"/>
      <c r="IK118" s="3654"/>
      <c r="IL118" s="3654"/>
      <c r="IM118" s="3654"/>
      <c r="IN118" s="3654"/>
      <c r="IO118" s="3654"/>
      <c r="IP118" s="3654"/>
      <c r="IQ118" s="3654"/>
      <c r="IR118" s="3654"/>
      <c r="IS118" s="3654"/>
      <c r="IT118" s="3654"/>
      <c r="IU118" s="3654"/>
      <c r="IV118" s="3654"/>
      <c r="IW118" s="3654"/>
      <c r="IX118" s="3654"/>
      <c r="IY118" s="3654"/>
      <c r="IZ118" s="3654"/>
      <c r="JA118" s="3654"/>
      <c r="JB118" s="3654"/>
      <c r="JC118" s="3701"/>
      <c r="JD118" s="992"/>
      <c r="JE118" s="133"/>
    </row>
    <row r="119" spans="1:265" ht="18" customHeight="1" thickBot="1" x14ac:dyDescent="0.3">
      <c r="A119" s="280"/>
      <c r="B119" s="297"/>
      <c r="C119" s="1776"/>
      <c r="D119" s="1776"/>
      <c r="E119" s="1776"/>
      <c r="F119" s="1776"/>
      <c r="G119" s="1776"/>
      <c r="H119" s="1776"/>
      <c r="I119" s="1776"/>
      <c r="J119" s="6"/>
      <c r="K119" s="102"/>
      <c r="L119" s="102"/>
      <c r="M119" s="103"/>
      <c r="N119" s="103"/>
      <c r="O119" s="104"/>
      <c r="P119" s="196" t="str">
        <f>IF($G$17=0,"Federal Projects shouldn't use general contingency","Labor Contingency as a % (S):")</f>
        <v>Labor Contingency as a % (S):</v>
      </c>
      <c r="Q119" s="1666"/>
      <c r="R119" s="1846">
        <f>T119</f>
        <v>0</v>
      </c>
      <c r="S119" s="1848">
        <f>Y119+V119</f>
        <v>0</v>
      </c>
      <c r="T119" s="457">
        <f>IFERROR(IF($C$6="B",0,T120*$Q119*G17),0)</f>
        <v>0</v>
      </c>
      <c r="U119" s="458"/>
      <c r="V119" s="458">
        <f>IFERROR(IF($C$6="B",0,V120*Q119*G17),0)</f>
        <v>0</v>
      </c>
      <c r="W119" s="458">
        <f>IFERROR(IF($C$6="B",0,W120*Q119*G17),0)</f>
        <v>0</v>
      </c>
      <c r="X119" s="458">
        <f>IFERROR(IF($C$6="B",0,X120*$Q119*G17),0)</f>
        <v>0</v>
      </c>
      <c r="Y119" s="2147">
        <f>IFERROR(IF($C$6="B",0,Y120*Q119*G17),0)</f>
        <v>0</v>
      </c>
      <c r="Z119" s="458">
        <f>IF($C$6="B",0,Z120*Q119*G17)</f>
        <v>0</v>
      </c>
      <c r="AA119" s="458"/>
      <c r="AB119" s="2144">
        <f>AB125+AB120+Y126+Y119+V125+V119+N("Total Direct Cost")</f>
        <v>0</v>
      </c>
      <c r="AC119" s="1649"/>
      <c r="AD119" s="460"/>
      <c r="AE119" s="460"/>
      <c r="AF119" s="460"/>
      <c r="AG119" s="460"/>
      <c r="AH119" s="460"/>
      <c r="AI119" s="460"/>
      <c r="AJ119" s="460"/>
      <c r="AK119" s="460"/>
      <c r="AL119" s="460"/>
      <c r="AM119" s="460"/>
      <c r="AN119" s="460"/>
      <c r="AO119" s="460"/>
      <c r="AP119" s="460"/>
      <c r="AQ119" s="460"/>
      <c r="AR119" s="460"/>
      <c r="AS119" s="1170"/>
      <c r="AT119" s="1170"/>
      <c r="AU119" s="1170"/>
      <c r="AV119" s="1170"/>
      <c r="AW119" s="1170"/>
      <c r="AX119" s="1170"/>
      <c r="AY119" s="1170"/>
      <c r="AZ119" s="1170"/>
      <c r="BA119" s="1170"/>
      <c r="BB119" s="1170"/>
      <c r="BC119" s="1170"/>
      <c r="BD119" s="1170"/>
      <c r="BE119" s="1170"/>
      <c r="BF119" s="1170"/>
      <c r="BG119" s="1170"/>
      <c r="BH119" s="1170"/>
      <c r="BI119" s="1170"/>
      <c r="BJ119" s="1170"/>
      <c r="BK119" s="1170"/>
      <c r="BL119" s="1170"/>
      <c r="BM119" s="1170"/>
      <c r="BN119" s="1170"/>
      <c r="BO119" s="1170"/>
      <c r="BP119" s="1170"/>
      <c r="BQ119" s="1170"/>
      <c r="BR119" s="1170"/>
      <c r="BS119" s="1170"/>
      <c r="BT119" s="1170"/>
      <c r="BU119" s="1170"/>
      <c r="BV119" s="1170"/>
      <c r="BW119" s="460"/>
      <c r="BX119" s="1170"/>
      <c r="BY119" s="1170"/>
      <c r="BZ119" s="1170"/>
      <c r="CA119" s="1170"/>
      <c r="CB119" s="1170"/>
      <c r="CC119" s="1170"/>
      <c r="CD119" s="1170"/>
      <c r="CE119" s="1170"/>
      <c r="CF119" s="1170"/>
      <c r="CG119" s="1170"/>
      <c r="CH119" s="1167"/>
      <c r="CI119" s="1167"/>
      <c r="CJ119" s="1167"/>
      <c r="CK119" s="1167"/>
      <c r="CL119" s="1167"/>
      <c r="CM119" s="1167"/>
      <c r="CN119" s="1167"/>
      <c r="CO119" s="1167"/>
      <c r="CP119" s="1167"/>
      <c r="CQ119" s="1167"/>
      <c r="CR119" s="460"/>
      <c r="CS119" s="460"/>
      <c r="CT119" s="460"/>
      <c r="CU119" s="460"/>
      <c r="CV119" s="460"/>
      <c r="CW119" s="460"/>
      <c r="CX119" s="460"/>
      <c r="CY119" s="460"/>
      <c r="CZ119" s="460"/>
      <c r="DA119" s="460"/>
      <c r="DB119" s="460"/>
      <c r="DC119" s="646"/>
      <c r="DD119" s="646"/>
      <c r="DE119" s="1871">
        <f>'4 Sign-off'!C33</f>
        <v>1</v>
      </c>
      <c r="DF119" s="1871">
        <f>'1 Setup'!G2</f>
        <v>3</v>
      </c>
      <c r="DG119" s="646"/>
      <c r="DH119" s="646"/>
      <c r="DI119" s="518">
        <f>SUM(DI129:DI305)</f>
        <v>0</v>
      </c>
      <c r="DJ119" s="518">
        <f>SUM(DJ129:DJ305)</f>
        <v>0</v>
      </c>
      <c r="DK119" s="518">
        <f>SUM(DK129:DK305)</f>
        <v>0</v>
      </c>
      <c r="DL119" s="518"/>
      <c r="DM119" s="648" t="e">
        <f t="array" ref="DM119">MATCH(TRUE,EG127:JD127&lt;&gt;0,0)</f>
        <v>#N/A</v>
      </c>
      <c r="DN119" s="648"/>
      <c r="DO119" s="648" t="e">
        <f t="array" ref="DO119">MATCH(2,1/(EG127:JD127&gt;0))</f>
        <v>#N/A</v>
      </c>
      <c r="DP119" s="2986">
        <f>X119+W119</f>
        <v>0</v>
      </c>
      <c r="DQ119" s="3033">
        <f>DP119-S119</f>
        <v>0</v>
      </c>
      <c r="DR119" s="109"/>
      <c r="DS119" s="120"/>
      <c r="DT119" s="109"/>
      <c r="DU119" s="109"/>
      <c r="DV119" s="6"/>
      <c r="DW119" s="6"/>
      <c r="DX119" s="6"/>
      <c r="DY119" s="6"/>
      <c r="DZ119" s="6"/>
      <c r="EA119" s="120"/>
      <c r="EB119" s="1752"/>
      <c r="EC119" s="1752"/>
      <c r="ED119" s="1752"/>
      <c r="EE119" s="1752"/>
      <c r="EF119" s="1752"/>
      <c r="EG119" s="1752"/>
      <c r="EH119" s="1752"/>
      <c r="EI119" s="1752"/>
      <c r="EJ119" s="1752"/>
      <c r="EK119" s="1752"/>
      <c r="EL119" s="1752"/>
      <c r="EM119" s="1752"/>
      <c r="EN119" s="1752"/>
      <c r="EO119" s="1752"/>
      <c r="EP119" s="1752"/>
      <c r="EQ119" s="1752"/>
      <c r="ER119" s="1752"/>
      <c r="ES119" s="1752"/>
      <c r="ET119" s="1752"/>
      <c r="EU119" s="1752"/>
      <c r="EV119" s="1752"/>
      <c r="EW119" s="1752"/>
      <c r="EX119" s="1752"/>
      <c r="EY119" s="1752"/>
      <c r="EZ119" s="1752"/>
      <c r="FA119" s="1752"/>
      <c r="FB119" s="1752"/>
      <c r="FC119" s="1752"/>
      <c r="FD119" s="1752"/>
      <c r="FE119" s="1752"/>
      <c r="FF119" s="1752"/>
      <c r="FG119" s="1752"/>
      <c r="FH119" s="1752"/>
      <c r="FI119" s="1752"/>
      <c r="FJ119" s="1752"/>
      <c r="FK119" s="1752"/>
      <c r="FL119" s="1752"/>
      <c r="FM119" s="1752"/>
      <c r="FN119" s="1752"/>
      <c r="FO119" s="1752"/>
      <c r="FP119" s="1752"/>
      <c r="FQ119" s="1752"/>
      <c r="FR119" s="1752"/>
      <c r="FS119" s="1752"/>
      <c r="FT119" s="1752"/>
      <c r="FU119" s="1752"/>
      <c r="FV119" s="1752"/>
      <c r="FW119" s="1752"/>
      <c r="FX119" s="1752"/>
      <c r="FY119" s="1752"/>
      <c r="FZ119" s="1752"/>
      <c r="GA119" s="1752"/>
      <c r="GB119" s="1752"/>
      <c r="GC119" s="1752"/>
      <c r="GD119" s="1752"/>
      <c r="GE119" s="1752"/>
      <c r="GF119" s="1752"/>
      <c r="GG119" s="1752"/>
      <c r="GH119" s="1752"/>
      <c r="GI119" s="1752"/>
      <c r="GJ119" s="1752"/>
      <c r="GK119" s="1752"/>
      <c r="GL119" s="1752"/>
      <c r="GM119" s="1752"/>
      <c r="GN119" s="1752"/>
      <c r="GO119" s="1752"/>
      <c r="GP119" s="1752"/>
      <c r="GQ119" s="1752"/>
      <c r="GR119" s="1752"/>
      <c r="GS119" s="1752"/>
      <c r="GT119" s="1752"/>
      <c r="GU119" s="1752"/>
      <c r="GV119" s="1752"/>
      <c r="GW119" s="1752"/>
      <c r="GX119" s="1752"/>
      <c r="GY119" s="1752"/>
      <c r="GZ119" s="1752"/>
      <c r="HA119" s="1752"/>
      <c r="HB119" s="1752"/>
      <c r="HC119" s="1752"/>
      <c r="HD119" s="1752"/>
      <c r="HE119" s="1752"/>
      <c r="HF119" s="1752"/>
      <c r="HG119" s="1752"/>
      <c r="HH119" s="1752"/>
      <c r="HI119" s="1752"/>
      <c r="HJ119" s="1752"/>
      <c r="HK119" s="1752"/>
      <c r="HL119" s="1752"/>
      <c r="HM119" s="1752"/>
      <c r="HN119" s="1752"/>
      <c r="HO119" s="1752"/>
      <c r="HP119" s="1752"/>
      <c r="HQ119" s="1752"/>
      <c r="HR119" s="1752"/>
      <c r="HS119" s="1752"/>
      <c r="HT119" s="1752"/>
      <c r="HU119" s="1752"/>
      <c r="HV119" s="1752"/>
      <c r="HW119" s="1752"/>
      <c r="HX119" s="1752"/>
      <c r="HY119" s="1752"/>
      <c r="HZ119" s="1752"/>
      <c r="IA119" s="1752"/>
      <c r="IB119" s="1752"/>
      <c r="IC119" s="1752"/>
      <c r="ID119" s="1752"/>
      <c r="IE119" s="1752"/>
      <c r="IF119" s="1752"/>
      <c r="IG119" s="1752"/>
      <c r="IH119" s="1752"/>
      <c r="II119" s="1752"/>
      <c r="IJ119" s="1752"/>
      <c r="IK119" s="1752"/>
      <c r="IL119" s="1752"/>
      <c r="IM119" s="1752"/>
      <c r="IN119" s="1752"/>
      <c r="IO119" s="1752"/>
      <c r="IP119" s="1752"/>
      <c r="IQ119" s="1752"/>
      <c r="IR119" s="1752"/>
      <c r="IS119" s="1752"/>
      <c r="IT119" s="1752"/>
      <c r="IU119" s="1752"/>
      <c r="IV119" s="1752"/>
      <c r="IW119" s="1752"/>
      <c r="IX119" s="1752"/>
      <c r="IY119" s="1752"/>
      <c r="IZ119" s="1752"/>
      <c r="JA119" s="1752"/>
      <c r="JB119" s="1752"/>
      <c r="JC119" s="1752"/>
      <c r="JD119" s="1752"/>
      <c r="JE119" s="133"/>
    </row>
    <row r="120" spans="1:265" ht="18" customHeight="1" thickBot="1" x14ac:dyDescent="0.3">
      <c r="A120" s="280"/>
      <c r="B120" s="297"/>
      <c r="C120" s="1776"/>
      <c r="D120" s="1776"/>
      <c r="E120" s="1776"/>
      <c r="F120" s="1776"/>
      <c r="G120" s="1776"/>
      <c r="H120" s="1776"/>
      <c r="I120" s="1776"/>
      <c r="J120" s="6"/>
      <c r="K120" s="102"/>
      <c r="L120" s="102"/>
      <c r="M120" s="103"/>
      <c r="N120" s="103"/>
      <c r="O120" s="104"/>
      <c r="Q120" s="3014" t="str">
        <f>IF($G$17=0,"Federal Projects shouldn't use general contingency","Non-Labor Contingency (S):")</f>
        <v>Non-Labor Contingency (S):</v>
      </c>
      <c r="R120" s="1855" t="s">
        <v>3943</v>
      </c>
      <c r="S120" s="3015"/>
      <c r="T120" s="3026">
        <f>SUMIFS($T$129:$T$304,$DF$129:$DF$304,1,$AG$129:$AG$304,1,$DB$129:$DB$304,1,$CY$129:$CY$304,0)+N("Original Bill Hours")</f>
        <v>0</v>
      </c>
      <c r="U120" s="2144"/>
      <c r="V120" s="2633">
        <f>SUMIFS($V$129:$V$304,$DF$129:$DF$304,1,$DB$129:$DB$304,1,$CY$129:$CY$304,0)+N("Original PC Cost")</f>
        <v>0</v>
      </c>
      <c r="W120" s="2633">
        <f>SUMIFS($W$129:$W$304,$AG$129:$AG$304,1,$DF$129:$DF$304,1,$DB$129:$DB$304,1,$CY$129:$CY$304,0)+N("Original Fee")</f>
        <v>0</v>
      </c>
      <c r="X120" s="2633">
        <f>SUMIFS($X$129:$X$304,$DF$129:$DF$304,1,$AG$129:$AG$304,1,$DB$129:$DB$304,1,$CY$129:$CY$304,0)+N("Original Labor Revenue")</f>
        <v>0</v>
      </c>
      <c r="Y120" s="2633">
        <f>SUMIFS($Y$129:$Y$304,$DF$129:$DF$304,1,$DB$129:$DB$304,1,$CY$129:$CY$304,0)+N("Original Burdened Labor")</f>
        <v>0</v>
      </c>
      <c r="Z120" s="2633">
        <f>SUMIFS($Z$129:$Z$304,$DF$129:$DF$304,1,$DB$129:$DB$304,1,$CY$129:$CY$304,0)+N("Original Raw Labor")</f>
        <v>0</v>
      </c>
      <c r="AA120" s="458">
        <f>IF($C$6="B",0,DP120)</f>
        <v>0</v>
      </c>
      <c r="AB120" s="458">
        <f>IF($C$6="B",0,AA120)</f>
        <v>0</v>
      </c>
      <c r="AC120" s="1649"/>
      <c r="AD120" s="460"/>
      <c r="AE120" s="460"/>
      <c r="AF120" s="460"/>
      <c r="AG120" s="460"/>
      <c r="AH120" s="460"/>
      <c r="AI120" s="460"/>
      <c r="AJ120" s="460"/>
      <c r="AK120" s="460"/>
      <c r="AL120" s="460"/>
      <c r="AM120" s="460"/>
      <c r="AN120" s="460"/>
      <c r="AO120" s="460"/>
      <c r="AP120" s="460"/>
      <c r="AQ120" s="460"/>
      <c r="AR120" s="460"/>
      <c r="AS120" s="1170"/>
      <c r="AT120" s="1170"/>
      <c r="AU120" s="1170"/>
      <c r="AV120" s="1170"/>
      <c r="AW120" s="1170"/>
      <c r="AX120" s="1170"/>
      <c r="AY120" s="1170"/>
      <c r="AZ120" s="1170"/>
      <c r="BA120" s="1170"/>
      <c r="BB120" s="1170"/>
      <c r="BC120" s="1170"/>
      <c r="BD120" s="1170"/>
      <c r="BE120" s="1170"/>
      <c r="BF120" s="1170"/>
      <c r="BG120" s="1170"/>
      <c r="BH120" s="1170"/>
      <c r="BI120" s="1170"/>
      <c r="BJ120" s="1170"/>
      <c r="BK120" s="1170"/>
      <c r="BL120" s="1170"/>
      <c r="BM120" s="1170"/>
      <c r="BN120" s="1170"/>
      <c r="BO120" s="1170"/>
      <c r="BP120" s="1170"/>
      <c r="BQ120" s="1170"/>
      <c r="BR120" s="1170"/>
      <c r="BS120" s="1170"/>
      <c r="BT120" s="1170"/>
      <c r="BU120" s="1170"/>
      <c r="BV120" s="1170"/>
      <c r="BW120" s="460"/>
      <c r="BX120" s="1170"/>
      <c r="BY120" s="1170"/>
      <c r="BZ120" s="1170"/>
      <c r="CA120" s="1170"/>
      <c r="CB120" s="1170"/>
      <c r="CC120" s="1170"/>
      <c r="CD120" s="1170"/>
      <c r="CE120" s="1170"/>
      <c r="CF120" s="1170"/>
      <c r="CG120" s="1170"/>
      <c r="CH120" s="1167"/>
      <c r="CI120" s="1167"/>
      <c r="CJ120" s="1167"/>
      <c r="CK120" s="1167"/>
      <c r="CL120" s="1167"/>
      <c r="CM120" s="1167"/>
      <c r="CN120" s="1167"/>
      <c r="CO120" s="1167"/>
      <c r="CP120" s="1167"/>
      <c r="CQ120" s="1167"/>
      <c r="CR120" s="460"/>
      <c r="CS120" s="460"/>
      <c r="CT120" s="460"/>
      <c r="CU120" s="460"/>
      <c r="CV120" s="460"/>
      <c r="CW120" s="460"/>
      <c r="CX120" s="460"/>
      <c r="CY120" s="460"/>
      <c r="CZ120" s="460"/>
      <c r="DA120" s="460"/>
      <c r="DB120" s="460"/>
      <c r="DC120" s="646"/>
      <c r="DD120" s="646"/>
      <c r="DE120" s="646"/>
      <c r="DF120" s="646"/>
      <c r="DG120" s="646"/>
      <c r="DH120" s="646"/>
      <c r="DI120" s="646"/>
      <c r="DJ120" s="646"/>
      <c r="DK120" s="646"/>
      <c r="DL120" s="646"/>
      <c r="DM120" s="646"/>
      <c r="DN120" s="646"/>
      <c r="DO120" s="646"/>
      <c r="DP120" s="3017"/>
      <c r="DQ120" s="3033">
        <f>IF($C$6="B",0,(DP120-S120)*G17)</f>
        <v>0</v>
      </c>
      <c r="DS120" s="120"/>
      <c r="DT120" s="109"/>
      <c r="DU120" s="109"/>
      <c r="DV120" s="6"/>
      <c r="DW120" s="6"/>
      <c r="DX120" s="6"/>
      <c r="DY120" s="6"/>
      <c r="DZ120" s="6"/>
      <c r="JD120" s="603"/>
    </row>
    <row r="121" spans="1:265" ht="18" customHeight="1" thickBot="1" x14ac:dyDescent="0.3">
      <c r="A121" s="280"/>
      <c r="B121" s="297"/>
      <c r="C121" s="1776"/>
      <c r="D121" s="1776"/>
      <c r="E121" s="1776"/>
      <c r="F121" s="1776"/>
      <c r="G121" s="1776"/>
      <c r="H121" s="1776"/>
      <c r="I121" s="1776"/>
      <c r="J121" s="6"/>
      <c r="K121" s="102"/>
      <c r="L121" s="102"/>
      <c r="M121" s="103"/>
      <c r="N121" s="103"/>
      <c r="O121" s="104"/>
      <c r="P121" s="196"/>
      <c r="Q121" s="3109" t="str">
        <f>IF($G$17=0,"Federal Projects shouldn't use general contingency","Cost Reserve (R):")</f>
        <v>Cost Reserve (R):</v>
      </c>
      <c r="R121" s="1942" t="s">
        <v>3943</v>
      </c>
      <c r="S121" s="3015"/>
      <c r="T121" s="1847"/>
      <c r="U121" s="2063"/>
      <c r="V121" s="458"/>
      <c r="W121" s="458"/>
      <c r="X121" s="458"/>
      <c r="Y121" s="458"/>
      <c r="Z121" s="458"/>
      <c r="AA121" s="458"/>
      <c r="AB121" s="458"/>
      <c r="AC121" s="1648"/>
      <c r="AD121" s="1919"/>
      <c r="AE121" s="1919"/>
      <c r="AF121" s="1919"/>
      <c r="AG121" s="1919"/>
      <c r="AH121" s="1919"/>
      <c r="AI121" s="1919"/>
      <c r="AJ121" s="1919"/>
      <c r="AK121" s="1919"/>
      <c r="AL121" s="1919"/>
      <c r="AM121" s="1919"/>
      <c r="AN121" s="1919"/>
      <c r="AO121" s="1919"/>
      <c r="AP121" s="1919"/>
      <c r="AQ121" s="1919"/>
      <c r="AR121" s="1919"/>
      <c r="AS121" s="1920"/>
      <c r="AT121" s="1920"/>
      <c r="AU121" s="1920"/>
      <c r="AV121" s="1920"/>
      <c r="AW121" s="1920"/>
      <c r="AX121" s="1920"/>
      <c r="AY121" s="1920"/>
      <c r="AZ121" s="1920"/>
      <c r="BA121" s="1920"/>
      <c r="BB121" s="1920"/>
      <c r="BC121" s="1920"/>
      <c r="BD121" s="1920"/>
      <c r="BE121" s="1920"/>
      <c r="BF121" s="1920"/>
      <c r="BG121" s="1920"/>
      <c r="BH121" s="1920"/>
      <c r="BI121" s="1920"/>
      <c r="BJ121" s="1920"/>
      <c r="BK121" s="1920"/>
      <c r="BL121" s="1920"/>
      <c r="BM121" s="1920"/>
      <c r="BN121" s="1920"/>
      <c r="BO121" s="1920"/>
      <c r="BP121" s="1920"/>
      <c r="BQ121" s="1920"/>
      <c r="BR121" s="1920"/>
      <c r="BS121" s="1920"/>
      <c r="BT121" s="1920"/>
      <c r="BU121" s="1920"/>
      <c r="BV121" s="1920"/>
      <c r="BW121" s="1919"/>
      <c r="BX121" s="1920"/>
      <c r="BY121" s="1920"/>
      <c r="BZ121" s="1920"/>
      <c r="CA121" s="1920"/>
      <c r="CB121" s="1920"/>
      <c r="CC121" s="1920"/>
      <c r="CD121" s="1920"/>
      <c r="CE121" s="1920"/>
      <c r="CF121" s="1920"/>
      <c r="CG121" s="1920"/>
      <c r="CH121" s="1921"/>
      <c r="CI121" s="1921"/>
      <c r="CJ121" s="1921"/>
      <c r="CK121" s="1921"/>
      <c r="CL121" s="1921"/>
      <c r="CM121" s="1921"/>
      <c r="CN121" s="1921"/>
      <c r="CO121" s="1921"/>
      <c r="CP121" s="1921"/>
      <c r="CQ121" s="1921"/>
      <c r="CR121" s="1919"/>
      <c r="CS121" s="1919"/>
      <c r="CT121" s="1919"/>
      <c r="CU121" s="1919"/>
      <c r="CV121" s="1919"/>
      <c r="CW121" s="1919"/>
      <c r="CX121" s="1919"/>
      <c r="CY121" s="1919"/>
      <c r="CZ121" s="1919"/>
      <c r="DA121" s="1919"/>
      <c r="DB121" s="1919"/>
      <c r="DC121" s="1919"/>
      <c r="DD121" s="1919"/>
      <c r="DE121" s="1919"/>
      <c r="DF121" s="1919"/>
      <c r="DG121" s="1919"/>
      <c r="DH121" s="1919"/>
      <c r="DI121" s="1919"/>
      <c r="DJ121" s="1919"/>
      <c r="DK121" s="1919"/>
      <c r="DL121" s="1919"/>
      <c r="DM121" s="1919"/>
      <c r="DN121" s="1919"/>
      <c r="DO121" s="1919"/>
      <c r="DP121" s="2987" t="s">
        <v>3943</v>
      </c>
      <c r="DQ121" s="3033">
        <f>IF($C$6="B",0,-S121*G17)</f>
        <v>0</v>
      </c>
      <c r="DS121" s="2062"/>
      <c r="DT121" s="109"/>
      <c r="DU121" s="109"/>
      <c r="DV121" s="6"/>
      <c r="DW121" s="6"/>
      <c r="DX121" s="6"/>
      <c r="DY121" s="6"/>
      <c r="DZ121" s="6"/>
      <c r="JD121" s="604"/>
      <c r="JE121" s="756" t="s">
        <v>754</v>
      </c>
    </row>
    <row r="122" spans="1:265" ht="18" customHeight="1" thickBot="1" x14ac:dyDescent="0.3">
      <c r="A122" s="280"/>
      <c r="B122" s="297"/>
      <c r="C122" s="101"/>
      <c r="D122" s="101"/>
      <c r="E122" s="101"/>
      <c r="F122" s="373"/>
      <c r="G122" s="373"/>
      <c r="H122" s="102"/>
      <c r="I122" s="102"/>
      <c r="K122" s="102"/>
      <c r="L122" s="102"/>
      <c r="M122" s="103"/>
      <c r="N122" s="103"/>
      <c r="O122" s="104"/>
      <c r="P122" s="3011"/>
      <c r="Q122" s="3108" t="s">
        <v>4296</v>
      </c>
      <c r="R122" s="3058" t="s">
        <v>3943</v>
      </c>
      <c r="S122" s="3048" t="s">
        <v>3943</v>
      </c>
      <c r="T122" s="3102"/>
      <c r="U122" s="3103"/>
      <c r="V122" s="3103"/>
      <c r="W122" s="3103">
        <f>IF(C6="B",0,SUMIFS($W$129:$W$304,$AG$129:$AG$304,1,$DF$129:$DF$304,1,$DB$129:$DB$304,1,$CY$129:$CY$304,0))+N("Original and Not Specified")</f>
        <v>0</v>
      </c>
      <c r="X122" s="3103"/>
      <c r="Y122" s="3103"/>
      <c r="Z122" s="3103"/>
      <c r="AA122" s="3104">
        <f>IF(AO127=0,0,W122)</f>
        <v>0</v>
      </c>
      <c r="AB122" s="3104"/>
      <c r="AC122" s="1648"/>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3049">
        <f>W122</f>
        <v>0</v>
      </c>
      <c r="DQ122" s="3060">
        <f>AA122</f>
        <v>0</v>
      </c>
      <c r="DR122" s="374"/>
      <c r="DS122" s="120"/>
      <c r="DT122" s="363"/>
      <c r="DU122" s="363"/>
      <c r="DV122" s="6"/>
      <c r="DW122" s="6"/>
      <c r="DX122" s="643"/>
      <c r="DY122" s="6"/>
      <c r="DZ122" s="6"/>
      <c r="EB122" s="3639" t="s">
        <v>791</v>
      </c>
      <c r="EC122" s="3639"/>
      <c r="ED122" s="3639"/>
      <c r="EE122" s="3639"/>
      <c r="EF122" s="3640"/>
      <c r="EG122" s="990" t="str">
        <f t="shared" ref="EG122:FL122" si="177">EG24</f>
        <v/>
      </c>
      <c r="EH122" s="715" t="str">
        <f t="shared" si="177"/>
        <v/>
      </c>
      <c r="EI122" s="715" t="str">
        <f t="shared" si="177"/>
        <v/>
      </c>
      <c r="EJ122" s="715" t="str">
        <f t="shared" si="177"/>
        <v/>
      </c>
      <c r="EK122" s="715" t="str">
        <f t="shared" si="177"/>
        <v/>
      </c>
      <c r="EL122" s="715" t="str">
        <f t="shared" si="177"/>
        <v/>
      </c>
      <c r="EM122" s="715" t="str">
        <f t="shared" si="177"/>
        <v/>
      </c>
      <c r="EN122" s="715" t="str">
        <f t="shared" si="177"/>
        <v/>
      </c>
      <c r="EO122" s="715" t="str">
        <f t="shared" si="177"/>
        <v/>
      </c>
      <c r="EP122" s="715" t="str">
        <f t="shared" si="177"/>
        <v/>
      </c>
      <c r="EQ122" s="715" t="str">
        <f t="shared" si="177"/>
        <v/>
      </c>
      <c r="ER122" s="715" t="str">
        <f t="shared" si="177"/>
        <v/>
      </c>
      <c r="ES122" s="715" t="str">
        <f t="shared" si="177"/>
        <v/>
      </c>
      <c r="ET122" s="715" t="str">
        <f t="shared" si="177"/>
        <v/>
      </c>
      <c r="EU122" s="715" t="str">
        <f t="shared" si="177"/>
        <v/>
      </c>
      <c r="EV122" s="715" t="str">
        <f t="shared" si="177"/>
        <v/>
      </c>
      <c r="EW122" s="715" t="str">
        <f t="shared" si="177"/>
        <v/>
      </c>
      <c r="EX122" s="715" t="str">
        <f t="shared" si="177"/>
        <v/>
      </c>
      <c r="EY122" s="715" t="str">
        <f t="shared" si="177"/>
        <v/>
      </c>
      <c r="EZ122" s="715" t="str">
        <f t="shared" si="177"/>
        <v/>
      </c>
      <c r="FA122" s="715" t="str">
        <f t="shared" si="177"/>
        <v/>
      </c>
      <c r="FB122" s="715" t="str">
        <f t="shared" si="177"/>
        <v/>
      </c>
      <c r="FC122" s="715" t="str">
        <f t="shared" si="177"/>
        <v/>
      </c>
      <c r="FD122" s="715" t="str">
        <f t="shared" si="177"/>
        <v/>
      </c>
      <c r="FE122" s="715" t="str">
        <f t="shared" si="177"/>
        <v/>
      </c>
      <c r="FF122" s="715" t="str">
        <f t="shared" si="177"/>
        <v/>
      </c>
      <c r="FG122" s="715" t="str">
        <f t="shared" si="177"/>
        <v/>
      </c>
      <c r="FH122" s="715" t="str">
        <f t="shared" si="177"/>
        <v/>
      </c>
      <c r="FI122" s="715" t="str">
        <f t="shared" si="177"/>
        <v/>
      </c>
      <c r="FJ122" s="715" t="str">
        <f t="shared" si="177"/>
        <v/>
      </c>
      <c r="FK122" s="715" t="str">
        <f t="shared" si="177"/>
        <v/>
      </c>
      <c r="FL122" s="715" t="str">
        <f t="shared" si="177"/>
        <v/>
      </c>
      <c r="FM122" s="715" t="str">
        <f t="shared" ref="FM122:GR122" si="178">FM24</f>
        <v/>
      </c>
      <c r="FN122" s="715" t="str">
        <f t="shared" si="178"/>
        <v/>
      </c>
      <c r="FO122" s="715" t="str">
        <f t="shared" si="178"/>
        <v/>
      </c>
      <c r="FP122" s="715" t="str">
        <f t="shared" si="178"/>
        <v/>
      </c>
      <c r="FQ122" s="715" t="str">
        <f t="shared" si="178"/>
        <v/>
      </c>
      <c r="FR122" s="715" t="str">
        <f t="shared" si="178"/>
        <v/>
      </c>
      <c r="FS122" s="715" t="str">
        <f t="shared" si="178"/>
        <v/>
      </c>
      <c r="FT122" s="715" t="str">
        <f t="shared" si="178"/>
        <v/>
      </c>
      <c r="FU122" s="715" t="str">
        <f t="shared" si="178"/>
        <v/>
      </c>
      <c r="FV122" s="715" t="str">
        <f t="shared" si="178"/>
        <v/>
      </c>
      <c r="FW122" s="715" t="str">
        <f t="shared" si="178"/>
        <v/>
      </c>
      <c r="FX122" s="715" t="str">
        <f t="shared" si="178"/>
        <v/>
      </c>
      <c r="FY122" s="715" t="str">
        <f t="shared" si="178"/>
        <v/>
      </c>
      <c r="FZ122" s="715" t="str">
        <f t="shared" si="178"/>
        <v/>
      </c>
      <c r="GA122" s="715" t="str">
        <f t="shared" si="178"/>
        <v/>
      </c>
      <c r="GB122" s="715" t="str">
        <f t="shared" si="178"/>
        <v/>
      </c>
      <c r="GC122" s="715" t="str">
        <f t="shared" si="178"/>
        <v/>
      </c>
      <c r="GD122" s="715" t="str">
        <f t="shared" si="178"/>
        <v/>
      </c>
      <c r="GE122" s="715" t="str">
        <f t="shared" si="178"/>
        <v/>
      </c>
      <c r="GF122" s="715" t="str">
        <f t="shared" si="178"/>
        <v/>
      </c>
      <c r="GG122" s="715" t="str">
        <f t="shared" si="178"/>
        <v/>
      </c>
      <c r="GH122" s="715" t="str">
        <f t="shared" si="178"/>
        <v/>
      </c>
      <c r="GI122" s="715" t="str">
        <f t="shared" si="178"/>
        <v/>
      </c>
      <c r="GJ122" s="715" t="str">
        <f t="shared" si="178"/>
        <v/>
      </c>
      <c r="GK122" s="715" t="str">
        <f t="shared" si="178"/>
        <v/>
      </c>
      <c r="GL122" s="715" t="str">
        <f t="shared" si="178"/>
        <v/>
      </c>
      <c r="GM122" s="715" t="str">
        <f t="shared" si="178"/>
        <v/>
      </c>
      <c r="GN122" s="715" t="str">
        <f t="shared" si="178"/>
        <v/>
      </c>
      <c r="GO122" s="715" t="str">
        <f t="shared" si="178"/>
        <v/>
      </c>
      <c r="GP122" s="715" t="str">
        <f t="shared" si="178"/>
        <v/>
      </c>
      <c r="GQ122" s="715" t="str">
        <f t="shared" si="178"/>
        <v/>
      </c>
      <c r="GR122" s="715" t="str">
        <f t="shared" si="178"/>
        <v/>
      </c>
      <c r="GS122" s="715" t="str">
        <f t="shared" ref="GS122:HX122" si="179">GS24</f>
        <v/>
      </c>
      <c r="GT122" s="715" t="str">
        <f t="shared" si="179"/>
        <v/>
      </c>
      <c r="GU122" s="715" t="str">
        <f t="shared" si="179"/>
        <v/>
      </c>
      <c r="GV122" s="715" t="str">
        <f t="shared" si="179"/>
        <v/>
      </c>
      <c r="GW122" s="715" t="str">
        <f t="shared" si="179"/>
        <v/>
      </c>
      <c r="GX122" s="715" t="str">
        <f t="shared" si="179"/>
        <v/>
      </c>
      <c r="GY122" s="715" t="str">
        <f t="shared" si="179"/>
        <v/>
      </c>
      <c r="GZ122" s="715" t="str">
        <f t="shared" si="179"/>
        <v/>
      </c>
      <c r="HA122" s="715" t="str">
        <f t="shared" si="179"/>
        <v/>
      </c>
      <c r="HB122" s="715" t="str">
        <f t="shared" si="179"/>
        <v/>
      </c>
      <c r="HC122" s="715" t="str">
        <f t="shared" si="179"/>
        <v/>
      </c>
      <c r="HD122" s="715" t="str">
        <f t="shared" si="179"/>
        <v/>
      </c>
      <c r="HE122" s="715" t="str">
        <f t="shared" si="179"/>
        <v/>
      </c>
      <c r="HF122" s="715" t="str">
        <f t="shared" si="179"/>
        <v/>
      </c>
      <c r="HG122" s="715" t="str">
        <f t="shared" si="179"/>
        <v/>
      </c>
      <c r="HH122" s="715" t="str">
        <f t="shared" si="179"/>
        <v/>
      </c>
      <c r="HI122" s="715" t="str">
        <f t="shared" si="179"/>
        <v/>
      </c>
      <c r="HJ122" s="715" t="str">
        <f t="shared" si="179"/>
        <v/>
      </c>
      <c r="HK122" s="715" t="str">
        <f t="shared" si="179"/>
        <v/>
      </c>
      <c r="HL122" s="715" t="str">
        <f t="shared" si="179"/>
        <v/>
      </c>
      <c r="HM122" s="715" t="str">
        <f t="shared" si="179"/>
        <v/>
      </c>
      <c r="HN122" s="715" t="str">
        <f t="shared" si="179"/>
        <v/>
      </c>
      <c r="HO122" s="715" t="str">
        <f t="shared" si="179"/>
        <v/>
      </c>
      <c r="HP122" s="715" t="str">
        <f t="shared" si="179"/>
        <v/>
      </c>
      <c r="HQ122" s="715" t="str">
        <f t="shared" si="179"/>
        <v/>
      </c>
      <c r="HR122" s="715" t="str">
        <f t="shared" si="179"/>
        <v/>
      </c>
      <c r="HS122" s="715" t="str">
        <f t="shared" si="179"/>
        <v/>
      </c>
      <c r="HT122" s="715" t="str">
        <f t="shared" si="179"/>
        <v/>
      </c>
      <c r="HU122" s="715" t="str">
        <f t="shared" si="179"/>
        <v/>
      </c>
      <c r="HV122" s="715" t="str">
        <f t="shared" si="179"/>
        <v/>
      </c>
      <c r="HW122" s="715" t="str">
        <f t="shared" si="179"/>
        <v/>
      </c>
      <c r="HX122" s="715" t="str">
        <f t="shared" si="179"/>
        <v/>
      </c>
      <c r="HY122" s="715" t="str">
        <f t="shared" ref="HY122:JC122" si="180">HY24</f>
        <v/>
      </c>
      <c r="HZ122" s="715" t="str">
        <f t="shared" si="180"/>
        <v/>
      </c>
      <c r="IA122" s="715" t="str">
        <f t="shared" si="180"/>
        <v/>
      </c>
      <c r="IB122" s="715" t="str">
        <f t="shared" si="180"/>
        <v/>
      </c>
      <c r="IC122" s="715" t="str">
        <f t="shared" si="180"/>
        <v/>
      </c>
      <c r="ID122" s="715" t="str">
        <f t="shared" si="180"/>
        <v/>
      </c>
      <c r="IE122" s="715" t="str">
        <f t="shared" si="180"/>
        <v/>
      </c>
      <c r="IF122" s="715" t="str">
        <f t="shared" si="180"/>
        <v/>
      </c>
      <c r="IG122" s="715" t="str">
        <f t="shared" si="180"/>
        <v/>
      </c>
      <c r="IH122" s="715" t="str">
        <f t="shared" si="180"/>
        <v/>
      </c>
      <c r="II122" s="715" t="str">
        <f t="shared" si="180"/>
        <v/>
      </c>
      <c r="IJ122" s="715" t="str">
        <f t="shared" si="180"/>
        <v/>
      </c>
      <c r="IK122" s="715" t="str">
        <f t="shared" si="180"/>
        <v/>
      </c>
      <c r="IL122" s="715" t="str">
        <f t="shared" si="180"/>
        <v/>
      </c>
      <c r="IM122" s="715" t="str">
        <f t="shared" si="180"/>
        <v/>
      </c>
      <c r="IN122" s="715" t="str">
        <f t="shared" si="180"/>
        <v/>
      </c>
      <c r="IO122" s="715" t="str">
        <f t="shared" si="180"/>
        <v/>
      </c>
      <c r="IP122" s="715" t="str">
        <f t="shared" si="180"/>
        <v/>
      </c>
      <c r="IQ122" s="715" t="str">
        <f t="shared" si="180"/>
        <v/>
      </c>
      <c r="IR122" s="715" t="str">
        <f t="shared" si="180"/>
        <v/>
      </c>
      <c r="IS122" s="715" t="str">
        <f t="shared" si="180"/>
        <v/>
      </c>
      <c r="IT122" s="715" t="str">
        <f t="shared" si="180"/>
        <v/>
      </c>
      <c r="IU122" s="715" t="str">
        <f t="shared" si="180"/>
        <v/>
      </c>
      <c r="IV122" s="715" t="str">
        <f t="shared" si="180"/>
        <v/>
      </c>
      <c r="IW122" s="715" t="str">
        <f t="shared" si="180"/>
        <v/>
      </c>
      <c r="IX122" s="715" t="str">
        <f t="shared" si="180"/>
        <v/>
      </c>
      <c r="IY122" s="715" t="str">
        <f t="shared" si="180"/>
        <v/>
      </c>
      <c r="IZ122" s="715" t="str">
        <f t="shared" si="180"/>
        <v/>
      </c>
      <c r="JA122" s="715" t="str">
        <f t="shared" si="180"/>
        <v/>
      </c>
      <c r="JB122" s="715" t="str">
        <f t="shared" si="180"/>
        <v/>
      </c>
      <c r="JC122" s="715" t="str">
        <f t="shared" si="180"/>
        <v/>
      </c>
      <c r="JD122" s="604"/>
      <c r="JE122" s="756" t="s">
        <v>752</v>
      </c>
    </row>
    <row r="123" spans="1:265" ht="18" customHeight="1" thickTop="1" x14ac:dyDescent="0.25">
      <c r="A123" s="280"/>
      <c r="B123" s="297"/>
      <c r="C123" s="101"/>
      <c r="D123" s="101"/>
      <c r="E123" s="101"/>
      <c r="F123" s="373"/>
      <c r="G123" s="373"/>
      <c r="H123" s="102"/>
      <c r="I123" s="102"/>
      <c r="K123" s="102"/>
      <c r="L123" s="102"/>
      <c r="M123" s="103"/>
      <c r="N123" s="103"/>
      <c r="O123" s="104"/>
      <c r="P123" s="3011"/>
      <c r="Q123" s="3013" t="s">
        <v>4297</v>
      </c>
      <c r="R123" s="3057">
        <f>T123</f>
        <v>0</v>
      </c>
      <c r="S123" s="2061">
        <f>V123+Y123+AB123</f>
        <v>0</v>
      </c>
      <c r="T123" s="3106">
        <f>SUMIFS(T$129:T$304,$DF$129:$DF$304,1,$CY$129:$CY$304,1)</f>
        <v>0</v>
      </c>
      <c r="U123" s="3106">
        <f t="shared" ref="U123:AB123" si="181">SUMIFS(U$129:U$304,$DF$129:$DF$304,1,$CY$129:$CY$304,1)</f>
        <v>0</v>
      </c>
      <c r="V123" s="3106">
        <f t="shared" si="181"/>
        <v>0</v>
      </c>
      <c r="W123" s="3106">
        <f t="shared" si="181"/>
        <v>0</v>
      </c>
      <c r="X123" s="3106">
        <f t="shared" si="181"/>
        <v>0</v>
      </c>
      <c r="Y123" s="3106">
        <f t="shared" si="181"/>
        <v>0</v>
      </c>
      <c r="Z123" s="3106">
        <f t="shared" si="181"/>
        <v>0</v>
      </c>
      <c r="AA123" s="3106">
        <f t="shared" si="181"/>
        <v>0</v>
      </c>
      <c r="AB123" s="3106">
        <f t="shared" si="181"/>
        <v>0</v>
      </c>
      <c r="AC123" s="1648"/>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2988">
        <f>X123+AA123+W123</f>
        <v>0</v>
      </c>
      <c r="DQ123" s="3059">
        <f>DP123-S123</f>
        <v>0</v>
      </c>
      <c r="DR123" s="374"/>
      <c r="DS123" s="120"/>
      <c r="DT123" s="363"/>
      <c r="DU123" s="363"/>
      <c r="DV123" s="6"/>
      <c r="DW123" s="6"/>
      <c r="DX123" s="644"/>
      <c r="DY123" s="6"/>
      <c r="DZ123" s="3639" t="s">
        <v>4165</v>
      </c>
      <c r="EA123" s="3639"/>
      <c r="EB123" s="3639"/>
      <c r="EC123" s="3639"/>
      <c r="ED123" s="3639"/>
      <c r="EE123" s="3639"/>
      <c r="EF123" s="3640"/>
      <c r="EG123" s="3120">
        <f t="shared" ref="EG123:FL123" si="182">EG28</f>
        <v>0</v>
      </c>
      <c r="EH123" s="3120">
        <f t="shared" si="182"/>
        <v>0</v>
      </c>
      <c r="EI123" s="3120">
        <f t="shared" si="182"/>
        <v>0</v>
      </c>
      <c r="EJ123" s="3120">
        <f t="shared" si="182"/>
        <v>0</v>
      </c>
      <c r="EK123" s="3120">
        <f t="shared" si="182"/>
        <v>0</v>
      </c>
      <c r="EL123" s="3120">
        <f t="shared" si="182"/>
        <v>0</v>
      </c>
      <c r="EM123" s="3120">
        <f t="shared" si="182"/>
        <v>0</v>
      </c>
      <c r="EN123" s="3120">
        <f t="shared" si="182"/>
        <v>0</v>
      </c>
      <c r="EO123" s="3120">
        <f t="shared" si="182"/>
        <v>0</v>
      </c>
      <c r="EP123" s="3120">
        <f t="shared" si="182"/>
        <v>0</v>
      </c>
      <c r="EQ123" s="3120">
        <f t="shared" si="182"/>
        <v>0</v>
      </c>
      <c r="ER123" s="3120">
        <f t="shared" si="182"/>
        <v>0</v>
      </c>
      <c r="ES123" s="3120">
        <f t="shared" si="182"/>
        <v>0</v>
      </c>
      <c r="ET123" s="3120">
        <f t="shared" si="182"/>
        <v>0</v>
      </c>
      <c r="EU123" s="3120">
        <f t="shared" si="182"/>
        <v>0</v>
      </c>
      <c r="EV123" s="3120">
        <f t="shared" si="182"/>
        <v>0</v>
      </c>
      <c r="EW123" s="3120">
        <f t="shared" si="182"/>
        <v>0</v>
      </c>
      <c r="EX123" s="3120">
        <f t="shared" si="182"/>
        <v>0</v>
      </c>
      <c r="EY123" s="3120">
        <f t="shared" si="182"/>
        <v>0</v>
      </c>
      <c r="EZ123" s="3120">
        <f t="shared" si="182"/>
        <v>0</v>
      </c>
      <c r="FA123" s="3120">
        <f t="shared" si="182"/>
        <v>0</v>
      </c>
      <c r="FB123" s="3120">
        <f t="shared" si="182"/>
        <v>0</v>
      </c>
      <c r="FC123" s="3120">
        <f t="shared" si="182"/>
        <v>0</v>
      </c>
      <c r="FD123" s="3120">
        <f t="shared" si="182"/>
        <v>0</v>
      </c>
      <c r="FE123" s="3120">
        <f t="shared" si="182"/>
        <v>0</v>
      </c>
      <c r="FF123" s="3120">
        <f t="shared" si="182"/>
        <v>0</v>
      </c>
      <c r="FG123" s="3120">
        <f t="shared" si="182"/>
        <v>0</v>
      </c>
      <c r="FH123" s="3120">
        <f t="shared" si="182"/>
        <v>0</v>
      </c>
      <c r="FI123" s="3120">
        <f t="shared" si="182"/>
        <v>0</v>
      </c>
      <c r="FJ123" s="3120">
        <f t="shared" si="182"/>
        <v>0</v>
      </c>
      <c r="FK123" s="3120">
        <f t="shared" si="182"/>
        <v>0</v>
      </c>
      <c r="FL123" s="3120">
        <f t="shared" si="182"/>
        <v>0</v>
      </c>
      <c r="FM123" s="3120">
        <f t="shared" ref="FM123:GR123" si="183">FM28</f>
        <v>0</v>
      </c>
      <c r="FN123" s="3120">
        <f t="shared" si="183"/>
        <v>0</v>
      </c>
      <c r="FO123" s="3120">
        <f t="shared" si="183"/>
        <v>0</v>
      </c>
      <c r="FP123" s="3120">
        <f t="shared" si="183"/>
        <v>0</v>
      </c>
      <c r="FQ123" s="3120">
        <f t="shared" si="183"/>
        <v>0</v>
      </c>
      <c r="FR123" s="3120">
        <f t="shared" si="183"/>
        <v>0</v>
      </c>
      <c r="FS123" s="3120">
        <f t="shared" si="183"/>
        <v>0</v>
      </c>
      <c r="FT123" s="3120">
        <f t="shared" si="183"/>
        <v>0</v>
      </c>
      <c r="FU123" s="3120">
        <f t="shared" si="183"/>
        <v>0</v>
      </c>
      <c r="FV123" s="3120">
        <f t="shared" si="183"/>
        <v>0</v>
      </c>
      <c r="FW123" s="3120">
        <f t="shared" si="183"/>
        <v>0</v>
      </c>
      <c r="FX123" s="3120">
        <f t="shared" si="183"/>
        <v>0</v>
      </c>
      <c r="FY123" s="3120">
        <f t="shared" si="183"/>
        <v>0</v>
      </c>
      <c r="FZ123" s="3120">
        <f t="shared" si="183"/>
        <v>0</v>
      </c>
      <c r="GA123" s="3120">
        <f t="shared" si="183"/>
        <v>0</v>
      </c>
      <c r="GB123" s="3120">
        <f t="shared" si="183"/>
        <v>0</v>
      </c>
      <c r="GC123" s="3120">
        <f t="shared" si="183"/>
        <v>0</v>
      </c>
      <c r="GD123" s="3120">
        <f t="shared" si="183"/>
        <v>0</v>
      </c>
      <c r="GE123" s="3120">
        <f t="shared" si="183"/>
        <v>0</v>
      </c>
      <c r="GF123" s="3120">
        <f t="shared" si="183"/>
        <v>0</v>
      </c>
      <c r="GG123" s="3120">
        <f t="shared" si="183"/>
        <v>0</v>
      </c>
      <c r="GH123" s="3120">
        <f t="shared" si="183"/>
        <v>0</v>
      </c>
      <c r="GI123" s="3120">
        <f t="shared" si="183"/>
        <v>0</v>
      </c>
      <c r="GJ123" s="3120">
        <f t="shared" si="183"/>
        <v>0</v>
      </c>
      <c r="GK123" s="3120">
        <f t="shared" si="183"/>
        <v>0</v>
      </c>
      <c r="GL123" s="3120">
        <f t="shared" si="183"/>
        <v>0</v>
      </c>
      <c r="GM123" s="3120">
        <f t="shared" si="183"/>
        <v>0</v>
      </c>
      <c r="GN123" s="3120">
        <f t="shared" si="183"/>
        <v>0</v>
      </c>
      <c r="GO123" s="3120">
        <f t="shared" si="183"/>
        <v>0</v>
      </c>
      <c r="GP123" s="3120">
        <f t="shared" si="183"/>
        <v>0</v>
      </c>
      <c r="GQ123" s="3120">
        <f t="shared" si="183"/>
        <v>0</v>
      </c>
      <c r="GR123" s="3120">
        <f t="shared" si="183"/>
        <v>0</v>
      </c>
      <c r="GS123" s="3120">
        <f t="shared" ref="GS123:HX123" si="184">GS28</f>
        <v>0</v>
      </c>
      <c r="GT123" s="3120">
        <f t="shared" si="184"/>
        <v>0</v>
      </c>
      <c r="GU123" s="3120">
        <f t="shared" si="184"/>
        <v>0</v>
      </c>
      <c r="GV123" s="3120">
        <f t="shared" si="184"/>
        <v>0</v>
      </c>
      <c r="GW123" s="3120">
        <f t="shared" si="184"/>
        <v>0</v>
      </c>
      <c r="GX123" s="3120">
        <f t="shared" si="184"/>
        <v>0</v>
      </c>
      <c r="GY123" s="3120">
        <f t="shared" si="184"/>
        <v>0</v>
      </c>
      <c r="GZ123" s="3120">
        <f t="shared" si="184"/>
        <v>0</v>
      </c>
      <c r="HA123" s="3120">
        <f t="shared" si="184"/>
        <v>0</v>
      </c>
      <c r="HB123" s="3120">
        <f t="shared" si="184"/>
        <v>0</v>
      </c>
      <c r="HC123" s="3120">
        <f t="shared" si="184"/>
        <v>0</v>
      </c>
      <c r="HD123" s="3120">
        <f t="shared" si="184"/>
        <v>0</v>
      </c>
      <c r="HE123" s="3120">
        <f t="shared" si="184"/>
        <v>0</v>
      </c>
      <c r="HF123" s="3120">
        <f t="shared" si="184"/>
        <v>0</v>
      </c>
      <c r="HG123" s="3120">
        <f t="shared" si="184"/>
        <v>0</v>
      </c>
      <c r="HH123" s="3120">
        <f t="shared" si="184"/>
        <v>0</v>
      </c>
      <c r="HI123" s="3120">
        <f t="shared" si="184"/>
        <v>0</v>
      </c>
      <c r="HJ123" s="3120">
        <f t="shared" si="184"/>
        <v>0</v>
      </c>
      <c r="HK123" s="3120">
        <f t="shared" si="184"/>
        <v>0</v>
      </c>
      <c r="HL123" s="3120">
        <f t="shared" si="184"/>
        <v>0</v>
      </c>
      <c r="HM123" s="3120">
        <f t="shared" si="184"/>
        <v>0</v>
      </c>
      <c r="HN123" s="3120">
        <f t="shared" si="184"/>
        <v>0</v>
      </c>
      <c r="HO123" s="3120">
        <f t="shared" si="184"/>
        <v>0</v>
      </c>
      <c r="HP123" s="3120">
        <f t="shared" si="184"/>
        <v>0</v>
      </c>
      <c r="HQ123" s="3120">
        <f t="shared" si="184"/>
        <v>0</v>
      </c>
      <c r="HR123" s="3120">
        <f t="shared" si="184"/>
        <v>0</v>
      </c>
      <c r="HS123" s="3120">
        <f t="shared" si="184"/>
        <v>0</v>
      </c>
      <c r="HT123" s="3120">
        <f t="shared" si="184"/>
        <v>0</v>
      </c>
      <c r="HU123" s="3120">
        <f t="shared" si="184"/>
        <v>0</v>
      </c>
      <c r="HV123" s="3120">
        <f t="shared" si="184"/>
        <v>0</v>
      </c>
      <c r="HW123" s="3120">
        <f t="shared" si="184"/>
        <v>0</v>
      </c>
      <c r="HX123" s="3120">
        <f t="shared" si="184"/>
        <v>0</v>
      </c>
      <c r="HY123" s="3120">
        <f t="shared" ref="HY123:JC123" si="185">HY28</f>
        <v>0</v>
      </c>
      <c r="HZ123" s="3120">
        <f t="shared" si="185"/>
        <v>0</v>
      </c>
      <c r="IA123" s="3120">
        <f t="shared" si="185"/>
        <v>0</v>
      </c>
      <c r="IB123" s="3120">
        <f t="shared" si="185"/>
        <v>0</v>
      </c>
      <c r="IC123" s="3120">
        <f t="shared" si="185"/>
        <v>0</v>
      </c>
      <c r="ID123" s="3120">
        <f t="shared" si="185"/>
        <v>0</v>
      </c>
      <c r="IE123" s="3120">
        <f t="shared" si="185"/>
        <v>0</v>
      </c>
      <c r="IF123" s="3120">
        <f t="shared" si="185"/>
        <v>0</v>
      </c>
      <c r="IG123" s="3120">
        <f t="shared" si="185"/>
        <v>0</v>
      </c>
      <c r="IH123" s="3120">
        <f t="shared" si="185"/>
        <v>0</v>
      </c>
      <c r="II123" s="3120">
        <f t="shared" si="185"/>
        <v>0</v>
      </c>
      <c r="IJ123" s="3120">
        <f t="shared" si="185"/>
        <v>0</v>
      </c>
      <c r="IK123" s="3120">
        <f t="shared" si="185"/>
        <v>0</v>
      </c>
      <c r="IL123" s="3120">
        <f t="shared" si="185"/>
        <v>0</v>
      </c>
      <c r="IM123" s="3120">
        <f t="shared" si="185"/>
        <v>0</v>
      </c>
      <c r="IN123" s="3120">
        <f t="shared" si="185"/>
        <v>0</v>
      </c>
      <c r="IO123" s="3120">
        <f t="shared" si="185"/>
        <v>0</v>
      </c>
      <c r="IP123" s="3120">
        <f t="shared" si="185"/>
        <v>0</v>
      </c>
      <c r="IQ123" s="3120">
        <f t="shared" si="185"/>
        <v>0</v>
      </c>
      <c r="IR123" s="3120">
        <f t="shared" si="185"/>
        <v>0</v>
      </c>
      <c r="IS123" s="3120">
        <f t="shared" si="185"/>
        <v>0</v>
      </c>
      <c r="IT123" s="3120">
        <f t="shared" si="185"/>
        <v>0</v>
      </c>
      <c r="IU123" s="3120">
        <f t="shared" si="185"/>
        <v>0</v>
      </c>
      <c r="IV123" s="3120">
        <f t="shared" si="185"/>
        <v>0</v>
      </c>
      <c r="IW123" s="3120">
        <f t="shared" si="185"/>
        <v>0</v>
      </c>
      <c r="IX123" s="3120">
        <f t="shared" si="185"/>
        <v>0</v>
      </c>
      <c r="IY123" s="3120">
        <f t="shared" si="185"/>
        <v>0</v>
      </c>
      <c r="IZ123" s="3120">
        <f t="shared" si="185"/>
        <v>0</v>
      </c>
      <c r="JA123" s="3120">
        <f t="shared" si="185"/>
        <v>0</v>
      </c>
      <c r="JB123" s="3120">
        <f t="shared" si="185"/>
        <v>0</v>
      </c>
      <c r="JC123" s="3121">
        <f t="shared" si="185"/>
        <v>0</v>
      </c>
      <c r="JD123" s="604"/>
      <c r="JE123" s="756"/>
    </row>
    <row r="124" spans="1:265" ht="18" customHeight="1" x14ac:dyDescent="0.3">
      <c r="A124" s="280"/>
      <c r="C124" s="1"/>
      <c r="H124" s="102"/>
      <c r="I124" s="102"/>
      <c r="K124" s="102"/>
      <c r="L124" s="102"/>
      <c r="M124" s="103"/>
      <c r="N124" s="103"/>
      <c r="O124" s="104"/>
      <c r="Q124" s="196" t="s">
        <v>3941</v>
      </c>
      <c r="R124" s="1853" t="s">
        <v>3943</v>
      </c>
      <c r="S124" s="1854">
        <f>AB124</f>
        <v>0</v>
      </c>
      <c r="T124" s="457"/>
      <c r="U124" s="458"/>
      <c r="V124" s="458"/>
      <c r="W124" s="458"/>
      <c r="X124" s="458"/>
      <c r="Y124" s="458"/>
      <c r="Z124" s="458"/>
      <c r="AA124" s="459">
        <f>SUMIFS($AA$129:$AA$304,$DF$129:$DF$304,1,$AG$129:$AG$304,1,$DT$129:$DT$304,'2 Staff List'!$HB$46)</f>
        <v>0</v>
      </c>
      <c r="AB124" s="459">
        <f>SUMIFS($AB$129:$AB$304,$DF$129:$DF$304,1,$DT$129:$DT$304,'2 Staff List'!$HB$46)</f>
        <v>0</v>
      </c>
      <c r="AC124" s="1650"/>
      <c r="AD124" s="600"/>
      <c r="AE124" s="600"/>
      <c r="AF124" s="600"/>
      <c r="AG124" s="600"/>
      <c r="AH124" s="600"/>
      <c r="AI124" s="600"/>
      <c r="AJ124" s="600"/>
      <c r="AK124" s="600"/>
      <c r="AL124" s="600"/>
      <c r="AM124" s="600"/>
      <c r="AN124" s="600"/>
      <c r="AO124" s="600"/>
      <c r="AP124" s="600"/>
      <c r="AQ124" s="600"/>
      <c r="AR124" s="600"/>
      <c r="AS124" s="600"/>
      <c r="AT124" s="600"/>
      <c r="AU124" s="600"/>
      <c r="AV124" s="600"/>
      <c r="AW124" s="600"/>
      <c r="AX124" s="600"/>
      <c r="AY124" s="600"/>
      <c r="AZ124" s="600"/>
      <c r="BA124" s="600"/>
      <c r="BB124" s="600"/>
      <c r="BC124" s="600"/>
      <c r="BD124" s="600"/>
      <c r="BE124" s="600"/>
      <c r="BF124" s="600"/>
      <c r="BG124" s="600"/>
      <c r="BH124" s="600"/>
      <c r="BI124" s="600"/>
      <c r="BJ124" s="600"/>
      <c r="BK124" s="600"/>
      <c r="BL124" s="600"/>
      <c r="BM124" s="600"/>
      <c r="BN124" s="600"/>
      <c r="BO124" s="600"/>
      <c r="BP124" s="600"/>
      <c r="BQ124" s="600"/>
      <c r="BR124" s="600"/>
      <c r="BS124" s="600"/>
      <c r="BT124" s="600"/>
      <c r="BU124" s="600"/>
      <c r="BV124" s="600"/>
      <c r="BW124" s="600"/>
      <c r="BX124" s="600"/>
      <c r="BY124" s="600"/>
      <c r="BZ124" s="600"/>
      <c r="CA124" s="600"/>
      <c r="CB124" s="600"/>
      <c r="CC124" s="600"/>
      <c r="CD124" s="600"/>
      <c r="CE124" s="600"/>
      <c r="CF124" s="600"/>
      <c r="CG124" s="600"/>
      <c r="CH124" s="600"/>
      <c r="CI124" s="600"/>
      <c r="CJ124" s="600"/>
      <c r="CK124" s="600"/>
      <c r="CL124" s="600"/>
      <c r="CM124" s="600"/>
      <c r="CN124" s="600"/>
      <c r="CO124" s="600"/>
      <c r="CP124" s="600"/>
      <c r="CQ124" s="600"/>
      <c r="CR124" s="600"/>
      <c r="CS124" s="600"/>
      <c r="CT124" s="600"/>
      <c r="CU124" s="600"/>
      <c r="CV124" s="600"/>
      <c r="CW124" s="600"/>
      <c r="CX124" s="600"/>
      <c r="CY124" s="600"/>
      <c r="CZ124" s="600"/>
      <c r="DA124" s="600"/>
      <c r="DB124" s="600"/>
      <c r="DC124" s="647"/>
      <c r="DD124" s="647"/>
      <c r="DE124" s="647"/>
      <c r="DF124" s="647"/>
      <c r="DG124" s="647"/>
      <c r="DH124" s="647"/>
      <c r="DI124" s="647"/>
      <c r="DJ124" s="601"/>
      <c r="DK124" s="601"/>
      <c r="DL124" s="601"/>
      <c r="DM124" s="3755" t="s">
        <v>2116</v>
      </c>
      <c r="DN124" s="3752" t="s">
        <v>2118</v>
      </c>
      <c r="DO124" s="3752" t="s">
        <v>2117</v>
      </c>
      <c r="DP124" s="3029">
        <f>AA124</f>
        <v>0</v>
      </c>
      <c r="DQ124" s="3033">
        <f>DP124-S124</f>
        <v>0</v>
      </c>
      <c r="DR124" s="374"/>
      <c r="DS124" s="6"/>
      <c r="DU124" s="1923"/>
      <c r="DV124" s="1924"/>
      <c r="DW124" s="3724" t="s">
        <v>2120</v>
      </c>
      <c r="DX124" s="644"/>
      <c r="DZ124" s="3639" t="s">
        <v>4166</v>
      </c>
      <c r="EA124" s="3639"/>
      <c r="EB124" s="3639"/>
      <c r="EC124" s="3639"/>
      <c r="ED124" s="3639"/>
      <c r="EE124" s="3639"/>
      <c r="EF124" s="3640"/>
      <c r="EG124" s="3122">
        <f t="shared" ref="EG124:FL124" si="186">EG26</f>
        <v>0</v>
      </c>
      <c r="EH124" s="3120">
        <f t="shared" si="186"/>
        <v>0</v>
      </c>
      <c r="EI124" s="3120">
        <f t="shared" si="186"/>
        <v>0</v>
      </c>
      <c r="EJ124" s="3120">
        <f t="shared" si="186"/>
        <v>0</v>
      </c>
      <c r="EK124" s="3120">
        <f t="shared" si="186"/>
        <v>0</v>
      </c>
      <c r="EL124" s="3120">
        <f t="shared" si="186"/>
        <v>0</v>
      </c>
      <c r="EM124" s="3120">
        <f t="shared" si="186"/>
        <v>0</v>
      </c>
      <c r="EN124" s="3120">
        <f t="shared" si="186"/>
        <v>0</v>
      </c>
      <c r="EO124" s="3120">
        <f t="shared" si="186"/>
        <v>0</v>
      </c>
      <c r="EP124" s="3120">
        <f t="shared" si="186"/>
        <v>0</v>
      </c>
      <c r="EQ124" s="3120">
        <f t="shared" si="186"/>
        <v>0</v>
      </c>
      <c r="ER124" s="3120">
        <f t="shared" si="186"/>
        <v>0</v>
      </c>
      <c r="ES124" s="3120">
        <f t="shared" si="186"/>
        <v>0</v>
      </c>
      <c r="ET124" s="3120">
        <f t="shared" si="186"/>
        <v>0</v>
      </c>
      <c r="EU124" s="3120">
        <f t="shared" si="186"/>
        <v>0</v>
      </c>
      <c r="EV124" s="3120">
        <f t="shared" si="186"/>
        <v>0</v>
      </c>
      <c r="EW124" s="3120">
        <f t="shared" si="186"/>
        <v>0</v>
      </c>
      <c r="EX124" s="3120">
        <f t="shared" si="186"/>
        <v>0</v>
      </c>
      <c r="EY124" s="3120">
        <f t="shared" si="186"/>
        <v>0</v>
      </c>
      <c r="EZ124" s="3120">
        <f t="shared" si="186"/>
        <v>0</v>
      </c>
      <c r="FA124" s="3120">
        <f t="shared" si="186"/>
        <v>0</v>
      </c>
      <c r="FB124" s="3120">
        <f t="shared" si="186"/>
        <v>0</v>
      </c>
      <c r="FC124" s="3120">
        <f t="shared" si="186"/>
        <v>0</v>
      </c>
      <c r="FD124" s="3120">
        <f t="shared" si="186"/>
        <v>0</v>
      </c>
      <c r="FE124" s="3120">
        <f t="shared" si="186"/>
        <v>0</v>
      </c>
      <c r="FF124" s="3120">
        <f t="shared" si="186"/>
        <v>0</v>
      </c>
      <c r="FG124" s="3120">
        <f t="shared" si="186"/>
        <v>0</v>
      </c>
      <c r="FH124" s="3120">
        <f t="shared" si="186"/>
        <v>0</v>
      </c>
      <c r="FI124" s="3120">
        <f t="shared" si="186"/>
        <v>0</v>
      </c>
      <c r="FJ124" s="3120">
        <f t="shared" si="186"/>
        <v>0</v>
      </c>
      <c r="FK124" s="3120">
        <f t="shared" si="186"/>
        <v>0</v>
      </c>
      <c r="FL124" s="3120">
        <f t="shared" si="186"/>
        <v>0</v>
      </c>
      <c r="FM124" s="3120">
        <f t="shared" ref="FM124:GR124" si="187">FM26</f>
        <v>0</v>
      </c>
      <c r="FN124" s="3120">
        <f t="shared" si="187"/>
        <v>0</v>
      </c>
      <c r="FO124" s="3120">
        <f t="shared" si="187"/>
        <v>0</v>
      </c>
      <c r="FP124" s="3120">
        <f t="shared" si="187"/>
        <v>0</v>
      </c>
      <c r="FQ124" s="3120">
        <f t="shared" si="187"/>
        <v>0</v>
      </c>
      <c r="FR124" s="3120">
        <f t="shared" si="187"/>
        <v>0</v>
      </c>
      <c r="FS124" s="3120">
        <f t="shared" si="187"/>
        <v>0</v>
      </c>
      <c r="FT124" s="3120">
        <f t="shared" si="187"/>
        <v>0</v>
      </c>
      <c r="FU124" s="3120">
        <f t="shared" si="187"/>
        <v>0</v>
      </c>
      <c r="FV124" s="3120">
        <f t="shared" si="187"/>
        <v>0</v>
      </c>
      <c r="FW124" s="3120">
        <f t="shared" si="187"/>
        <v>0</v>
      </c>
      <c r="FX124" s="3120">
        <f t="shared" si="187"/>
        <v>0</v>
      </c>
      <c r="FY124" s="3120">
        <f t="shared" si="187"/>
        <v>0</v>
      </c>
      <c r="FZ124" s="3120">
        <f t="shared" si="187"/>
        <v>0</v>
      </c>
      <c r="GA124" s="3120">
        <f t="shared" si="187"/>
        <v>0</v>
      </c>
      <c r="GB124" s="3120">
        <f t="shared" si="187"/>
        <v>0</v>
      </c>
      <c r="GC124" s="3120">
        <f t="shared" si="187"/>
        <v>0</v>
      </c>
      <c r="GD124" s="3120">
        <f t="shared" si="187"/>
        <v>0</v>
      </c>
      <c r="GE124" s="3120">
        <f t="shared" si="187"/>
        <v>0</v>
      </c>
      <c r="GF124" s="3120">
        <f t="shared" si="187"/>
        <v>0</v>
      </c>
      <c r="GG124" s="3120">
        <f t="shared" si="187"/>
        <v>0</v>
      </c>
      <c r="GH124" s="3120">
        <f t="shared" si="187"/>
        <v>0</v>
      </c>
      <c r="GI124" s="3120">
        <f t="shared" si="187"/>
        <v>0</v>
      </c>
      <c r="GJ124" s="3120">
        <f t="shared" si="187"/>
        <v>0</v>
      </c>
      <c r="GK124" s="3120">
        <f t="shared" si="187"/>
        <v>0</v>
      </c>
      <c r="GL124" s="3120">
        <f t="shared" si="187"/>
        <v>0</v>
      </c>
      <c r="GM124" s="3120">
        <f t="shared" si="187"/>
        <v>0</v>
      </c>
      <c r="GN124" s="3120">
        <f t="shared" si="187"/>
        <v>0</v>
      </c>
      <c r="GO124" s="3120">
        <f t="shared" si="187"/>
        <v>0</v>
      </c>
      <c r="GP124" s="3120">
        <f t="shared" si="187"/>
        <v>0</v>
      </c>
      <c r="GQ124" s="3120">
        <f t="shared" si="187"/>
        <v>0</v>
      </c>
      <c r="GR124" s="3120">
        <f t="shared" si="187"/>
        <v>0</v>
      </c>
      <c r="GS124" s="3120">
        <f t="shared" ref="GS124:HX124" si="188">GS26</f>
        <v>0</v>
      </c>
      <c r="GT124" s="3120">
        <f t="shared" si="188"/>
        <v>0</v>
      </c>
      <c r="GU124" s="3120">
        <f t="shared" si="188"/>
        <v>0</v>
      </c>
      <c r="GV124" s="3120">
        <f t="shared" si="188"/>
        <v>0</v>
      </c>
      <c r="GW124" s="3120">
        <f t="shared" si="188"/>
        <v>0</v>
      </c>
      <c r="GX124" s="3120">
        <f t="shared" si="188"/>
        <v>0</v>
      </c>
      <c r="GY124" s="3120">
        <f t="shared" si="188"/>
        <v>0</v>
      </c>
      <c r="GZ124" s="3120">
        <f t="shared" si="188"/>
        <v>0</v>
      </c>
      <c r="HA124" s="3120">
        <f t="shared" si="188"/>
        <v>0</v>
      </c>
      <c r="HB124" s="3120">
        <f t="shared" si="188"/>
        <v>0</v>
      </c>
      <c r="HC124" s="3120">
        <f t="shared" si="188"/>
        <v>0</v>
      </c>
      <c r="HD124" s="3120">
        <f t="shared" si="188"/>
        <v>0</v>
      </c>
      <c r="HE124" s="3120">
        <f t="shared" si="188"/>
        <v>0</v>
      </c>
      <c r="HF124" s="3120">
        <f t="shared" si="188"/>
        <v>0</v>
      </c>
      <c r="HG124" s="3120">
        <f t="shared" si="188"/>
        <v>0</v>
      </c>
      <c r="HH124" s="3120">
        <f t="shared" si="188"/>
        <v>0</v>
      </c>
      <c r="HI124" s="3120">
        <f t="shared" si="188"/>
        <v>0</v>
      </c>
      <c r="HJ124" s="3120">
        <f t="shared" si="188"/>
        <v>0</v>
      </c>
      <c r="HK124" s="3120">
        <f t="shared" si="188"/>
        <v>0</v>
      </c>
      <c r="HL124" s="3120">
        <f t="shared" si="188"/>
        <v>0</v>
      </c>
      <c r="HM124" s="3120">
        <f t="shared" si="188"/>
        <v>0</v>
      </c>
      <c r="HN124" s="3120">
        <f t="shared" si="188"/>
        <v>0</v>
      </c>
      <c r="HO124" s="3120">
        <f t="shared" si="188"/>
        <v>0</v>
      </c>
      <c r="HP124" s="3120">
        <f t="shared" si="188"/>
        <v>0</v>
      </c>
      <c r="HQ124" s="3120">
        <f t="shared" si="188"/>
        <v>0</v>
      </c>
      <c r="HR124" s="3120">
        <f t="shared" si="188"/>
        <v>0</v>
      </c>
      <c r="HS124" s="3120">
        <f t="shared" si="188"/>
        <v>0</v>
      </c>
      <c r="HT124" s="3120">
        <f t="shared" si="188"/>
        <v>0</v>
      </c>
      <c r="HU124" s="3120">
        <f t="shared" si="188"/>
        <v>0</v>
      </c>
      <c r="HV124" s="3120">
        <f t="shared" si="188"/>
        <v>0</v>
      </c>
      <c r="HW124" s="3120">
        <f t="shared" si="188"/>
        <v>0</v>
      </c>
      <c r="HX124" s="3120">
        <f t="shared" si="188"/>
        <v>0</v>
      </c>
      <c r="HY124" s="3120">
        <f t="shared" ref="HY124:JC124" si="189">HY26</f>
        <v>0</v>
      </c>
      <c r="HZ124" s="3120">
        <f t="shared" si="189"/>
        <v>0</v>
      </c>
      <c r="IA124" s="3120">
        <f t="shared" si="189"/>
        <v>0</v>
      </c>
      <c r="IB124" s="3120">
        <f t="shared" si="189"/>
        <v>0</v>
      </c>
      <c r="IC124" s="3120">
        <f t="shared" si="189"/>
        <v>0</v>
      </c>
      <c r="ID124" s="3120">
        <f t="shared" si="189"/>
        <v>0</v>
      </c>
      <c r="IE124" s="3120">
        <f t="shared" si="189"/>
        <v>0</v>
      </c>
      <c r="IF124" s="3120">
        <f t="shared" si="189"/>
        <v>0</v>
      </c>
      <c r="IG124" s="3120">
        <f t="shared" si="189"/>
        <v>0</v>
      </c>
      <c r="IH124" s="3120">
        <f t="shared" si="189"/>
        <v>0</v>
      </c>
      <c r="II124" s="3120">
        <f t="shared" si="189"/>
        <v>0</v>
      </c>
      <c r="IJ124" s="3120">
        <f t="shared" si="189"/>
        <v>0</v>
      </c>
      <c r="IK124" s="3120">
        <f t="shared" si="189"/>
        <v>0</v>
      </c>
      <c r="IL124" s="3120">
        <f t="shared" si="189"/>
        <v>0</v>
      </c>
      <c r="IM124" s="3120">
        <f t="shared" si="189"/>
        <v>0</v>
      </c>
      <c r="IN124" s="3120">
        <f t="shared" si="189"/>
        <v>0</v>
      </c>
      <c r="IO124" s="3120">
        <f t="shared" si="189"/>
        <v>0</v>
      </c>
      <c r="IP124" s="3120">
        <f t="shared" si="189"/>
        <v>0</v>
      </c>
      <c r="IQ124" s="3120">
        <f t="shared" si="189"/>
        <v>0</v>
      </c>
      <c r="IR124" s="3120">
        <f t="shared" si="189"/>
        <v>0</v>
      </c>
      <c r="IS124" s="3120">
        <f t="shared" si="189"/>
        <v>0</v>
      </c>
      <c r="IT124" s="3120">
        <f t="shared" si="189"/>
        <v>0</v>
      </c>
      <c r="IU124" s="3120">
        <f t="shared" si="189"/>
        <v>0</v>
      </c>
      <c r="IV124" s="3120">
        <f t="shared" si="189"/>
        <v>0</v>
      </c>
      <c r="IW124" s="3120">
        <f t="shared" si="189"/>
        <v>0</v>
      </c>
      <c r="IX124" s="3120">
        <f t="shared" si="189"/>
        <v>0</v>
      </c>
      <c r="IY124" s="3120">
        <f t="shared" si="189"/>
        <v>0</v>
      </c>
      <c r="IZ124" s="3120">
        <f t="shared" si="189"/>
        <v>0</v>
      </c>
      <c r="JA124" s="3120">
        <f t="shared" si="189"/>
        <v>0</v>
      </c>
      <c r="JB124" s="3120">
        <f t="shared" si="189"/>
        <v>0</v>
      </c>
      <c r="JC124" s="3121">
        <f t="shared" si="189"/>
        <v>0</v>
      </c>
      <c r="JD124" s="604"/>
      <c r="JE124" s="756" t="s">
        <v>753</v>
      </c>
    </row>
    <row r="125" spans="1:265" ht="18" customHeight="1" thickBot="1" x14ac:dyDescent="0.35">
      <c r="A125" s="280"/>
      <c r="B125" s="3749" t="s">
        <v>2056</v>
      </c>
      <c r="C125" s="3750"/>
      <c r="D125" s="101"/>
      <c r="E125" s="3749" t="s">
        <v>2312</v>
      </c>
      <c r="F125" s="3751"/>
      <c r="G125" s="3750"/>
      <c r="H125" s="102"/>
      <c r="I125" s="102"/>
      <c r="K125" s="102"/>
      <c r="L125" s="102"/>
      <c r="M125" s="103"/>
      <c r="N125" s="103"/>
      <c r="O125" s="104"/>
      <c r="Q125" s="196" t="s">
        <v>3942</v>
      </c>
      <c r="R125" s="1853" t="s">
        <v>3943</v>
      </c>
      <c r="S125" s="3023">
        <f>V125+AB125</f>
        <v>0</v>
      </c>
      <c r="T125" s="3024"/>
      <c r="U125" s="3025"/>
      <c r="V125" s="458">
        <f>SUMIFS($V$129:$V$304,$DF$129:$DF$304,1)-V123</f>
        <v>0</v>
      </c>
      <c r="W125" s="458"/>
      <c r="X125" s="3025"/>
      <c r="Y125" s="3025"/>
      <c r="Z125" s="3025"/>
      <c r="AA125" s="459">
        <f>SUMIFS($AA$129:$AA$304,$DF$129:$DF$304,1,$AG$129:$AG$304,1)-AA124-AA123</f>
        <v>0</v>
      </c>
      <c r="AB125" s="459">
        <f>SUMIFS($AB$129:$AB$304,$DF$129:$DF$304,1)-AB124-AB123</f>
        <v>0</v>
      </c>
      <c r="AC125" s="1650"/>
      <c r="AD125" s="600"/>
      <c r="AE125" s="600"/>
      <c r="AF125" s="600"/>
      <c r="AG125" s="600"/>
      <c r="AH125" s="600"/>
      <c r="AI125" s="600"/>
      <c r="AJ125" s="600"/>
      <c r="AK125" s="600"/>
      <c r="AL125" s="600"/>
      <c r="AM125" s="600"/>
      <c r="AN125" s="600"/>
      <c r="AO125" s="600"/>
      <c r="AP125" s="600"/>
      <c r="AQ125" s="600"/>
      <c r="AR125" s="600"/>
      <c r="AS125" s="600"/>
      <c r="AT125" s="600"/>
      <c r="AU125" s="600"/>
      <c r="AV125" s="600"/>
      <c r="AW125" s="600"/>
      <c r="AX125" s="600"/>
      <c r="AY125" s="600"/>
      <c r="AZ125" s="600"/>
      <c r="BA125" s="600"/>
      <c r="BB125" s="600"/>
      <c r="BC125" s="600"/>
      <c r="BD125" s="600"/>
      <c r="BE125" s="600"/>
      <c r="BF125" s="600"/>
      <c r="BG125" s="600"/>
      <c r="BH125" s="600"/>
      <c r="BI125" s="600"/>
      <c r="BJ125" s="600"/>
      <c r="BK125" s="600"/>
      <c r="BL125" s="600"/>
      <c r="BM125" s="600"/>
      <c r="BN125" s="600"/>
      <c r="BO125" s="600"/>
      <c r="BP125" s="600"/>
      <c r="BQ125" s="600"/>
      <c r="BR125" s="600"/>
      <c r="BS125" s="600"/>
      <c r="BT125" s="600"/>
      <c r="BU125" s="600"/>
      <c r="BV125" s="600"/>
      <c r="BW125" s="600"/>
      <c r="BX125" s="600"/>
      <c r="BY125" s="600"/>
      <c r="BZ125" s="600"/>
      <c r="CA125" s="600"/>
      <c r="CB125" s="600"/>
      <c r="CC125" s="600"/>
      <c r="CD125" s="600"/>
      <c r="CE125" s="600"/>
      <c r="CF125" s="600"/>
      <c r="CG125" s="600"/>
      <c r="CH125" s="600"/>
      <c r="CI125" s="600"/>
      <c r="CJ125" s="600"/>
      <c r="CK125" s="600"/>
      <c r="CL125" s="600"/>
      <c r="CM125" s="600"/>
      <c r="CN125" s="600"/>
      <c r="CO125" s="600"/>
      <c r="CP125" s="600"/>
      <c r="CQ125" s="600"/>
      <c r="CR125" s="600"/>
      <c r="CS125" s="600"/>
      <c r="CT125" s="600"/>
      <c r="CU125" s="600"/>
      <c r="CV125" s="600"/>
      <c r="CW125" s="600"/>
      <c r="CX125" s="600"/>
      <c r="CY125" s="600"/>
      <c r="CZ125" s="600"/>
      <c r="DA125" s="600"/>
      <c r="DB125" s="600"/>
      <c r="DC125" s="647"/>
      <c r="DD125" s="647"/>
      <c r="DE125" s="647"/>
      <c r="DF125" s="647"/>
      <c r="DG125" s="647"/>
      <c r="DH125" s="647"/>
      <c r="DI125" s="647"/>
      <c r="DJ125" s="601"/>
      <c r="DK125" s="601"/>
      <c r="DL125" s="601"/>
      <c r="DM125" s="3756"/>
      <c r="DN125" s="3753"/>
      <c r="DO125" s="3753"/>
      <c r="DP125" s="3030">
        <f>AA125+W125</f>
        <v>0</v>
      </c>
      <c r="DQ125" s="3033">
        <f>DP125-S125</f>
        <v>0</v>
      </c>
      <c r="DR125" s="374"/>
      <c r="DS125" s="6"/>
      <c r="DT125" s="1923" t="s">
        <v>117</v>
      </c>
      <c r="DU125" s="1923"/>
      <c r="DV125" s="1924"/>
      <c r="DW125" s="3724"/>
      <c r="DX125" s="644"/>
      <c r="DY125" s="642" t="s">
        <v>93</v>
      </c>
      <c r="DZ125" s="6"/>
      <c r="EA125" s="268"/>
      <c r="EB125" s="3639" t="str">
        <f>IF(DY3=2,"Number of weeks in the period","")</f>
        <v>Number of weeks in the period</v>
      </c>
      <c r="EC125" s="3639"/>
      <c r="ED125" s="3639"/>
      <c r="EE125" s="3639"/>
      <c r="EF125" s="3640"/>
      <c r="EG125" s="2101" t="str">
        <f t="shared" ref="EG125:FL125" si="190">IF(ISBLANK($EG$126),"",IF($DY$3=1,"",IF(EG122="",4,5)))</f>
        <v/>
      </c>
      <c r="EH125" s="2102" t="str">
        <f t="shared" si="190"/>
        <v/>
      </c>
      <c r="EI125" s="2102" t="str">
        <f t="shared" si="190"/>
        <v/>
      </c>
      <c r="EJ125" s="2102" t="str">
        <f t="shared" si="190"/>
        <v/>
      </c>
      <c r="EK125" s="2102" t="str">
        <f t="shared" si="190"/>
        <v/>
      </c>
      <c r="EL125" s="2102" t="str">
        <f t="shared" si="190"/>
        <v/>
      </c>
      <c r="EM125" s="2102" t="str">
        <f t="shared" si="190"/>
        <v/>
      </c>
      <c r="EN125" s="2102" t="str">
        <f t="shared" si="190"/>
        <v/>
      </c>
      <c r="EO125" s="2102" t="str">
        <f t="shared" si="190"/>
        <v/>
      </c>
      <c r="EP125" s="2102" t="str">
        <f t="shared" si="190"/>
        <v/>
      </c>
      <c r="EQ125" s="2102" t="str">
        <f t="shared" si="190"/>
        <v/>
      </c>
      <c r="ER125" s="2102" t="str">
        <f t="shared" si="190"/>
        <v/>
      </c>
      <c r="ES125" s="2102" t="str">
        <f t="shared" si="190"/>
        <v/>
      </c>
      <c r="ET125" s="2102" t="str">
        <f t="shared" si="190"/>
        <v/>
      </c>
      <c r="EU125" s="2102" t="str">
        <f t="shared" si="190"/>
        <v/>
      </c>
      <c r="EV125" s="2102" t="str">
        <f t="shared" si="190"/>
        <v/>
      </c>
      <c r="EW125" s="2102" t="str">
        <f t="shared" si="190"/>
        <v/>
      </c>
      <c r="EX125" s="2102" t="str">
        <f t="shared" si="190"/>
        <v/>
      </c>
      <c r="EY125" s="2102" t="str">
        <f t="shared" si="190"/>
        <v/>
      </c>
      <c r="EZ125" s="2102" t="str">
        <f t="shared" si="190"/>
        <v/>
      </c>
      <c r="FA125" s="2102" t="str">
        <f t="shared" si="190"/>
        <v/>
      </c>
      <c r="FB125" s="2102" t="str">
        <f t="shared" si="190"/>
        <v/>
      </c>
      <c r="FC125" s="2102" t="str">
        <f t="shared" si="190"/>
        <v/>
      </c>
      <c r="FD125" s="2102" t="str">
        <f t="shared" si="190"/>
        <v/>
      </c>
      <c r="FE125" s="2102" t="str">
        <f t="shared" si="190"/>
        <v/>
      </c>
      <c r="FF125" s="2102" t="str">
        <f t="shared" si="190"/>
        <v/>
      </c>
      <c r="FG125" s="2102" t="str">
        <f t="shared" si="190"/>
        <v/>
      </c>
      <c r="FH125" s="2102" t="str">
        <f t="shared" si="190"/>
        <v/>
      </c>
      <c r="FI125" s="2102" t="str">
        <f t="shared" si="190"/>
        <v/>
      </c>
      <c r="FJ125" s="2102" t="str">
        <f t="shared" si="190"/>
        <v/>
      </c>
      <c r="FK125" s="2102" t="str">
        <f t="shared" si="190"/>
        <v/>
      </c>
      <c r="FL125" s="2102" t="str">
        <f t="shared" si="190"/>
        <v/>
      </c>
      <c r="FM125" s="2102" t="str">
        <f t="shared" ref="FM125:GR125" si="191">IF(ISBLANK($EG$126),"",IF($DY$3=1,"",IF(FM122="",4,5)))</f>
        <v/>
      </c>
      <c r="FN125" s="2102" t="str">
        <f t="shared" si="191"/>
        <v/>
      </c>
      <c r="FO125" s="2102" t="str">
        <f t="shared" si="191"/>
        <v/>
      </c>
      <c r="FP125" s="2102" t="str">
        <f t="shared" si="191"/>
        <v/>
      </c>
      <c r="FQ125" s="2102" t="str">
        <f t="shared" si="191"/>
        <v/>
      </c>
      <c r="FR125" s="2102" t="str">
        <f t="shared" si="191"/>
        <v/>
      </c>
      <c r="FS125" s="2102" t="str">
        <f t="shared" si="191"/>
        <v/>
      </c>
      <c r="FT125" s="2102" t="str">
        <f t="shared" si="191"/>
        <v/>
      </c>
      <c r="FU125" s="2102" t="str">
        <f t="shared" si="191"/>
        <v/>
      </c>
      <c r="FV125" s="2102" t="str">
        <f t="shared" si="191"/>
        <v/>
      </c>
      <c r="FW125" s="2102" t="str">
        <f t="shared" si="191"/>
        <v/>
      </c>
      <c r="FX125" s="2102" t="str">
        <f t="shared" si="191"/>
        <v/>
      </c>
      <c r="FY125" s="2102" t="str">
        <f t="shared" si="191"/>
        <v/>
      </c>
      <c r="FZ125" s="2102" t="str">
        <f t="shared" si="191"/>
        <v/>
      </c>
      <c r="GA125" s="2102" t="str">
        <f t="shared" si="191"/>
        <v/>
      </c>
      <c r="GB125" s="2102" t="str">
        <f t="shared" si="191"/>
        <v/>
      </c>
      <c r="GC125" s="2102" t="str">
        <f t="shared" si="191"/>
        <v/>
      </c>
      <c r="GD125" s="2102" t="str">
        <f t="shared" si="191"/>
        <v/>
      </c>
      <c r="GE125" s="2102" t="str">
        <f t="shared" si="191"/>
        <v/>
      </c>
      <c r="GF125" s="2102" t="str">
        <f t="shared" si="191"/>
        <v/>
      </c>
      <c r="GG125" s="2102" t="str">
        <f t="shared" si="191"/>
        <v/>
      </c>
      <c r="GH125" s="2102" t="str">
        <f t="shared" si="191"/>
        <v/>
      </c>
      <c r="GI125" s="2102" t="str">
        <f t="shared" si="191"/>
        <v/>
      </c>
      <c r="GJ125" s="2102" t="str">
        <f t="shared" si="191"/>
        <v/>
      </c>
      <c r="GK125" s="2102" t="str">
        <f t="shared" si="191"/>
        <v/>
      </c>
      <c r="GL125" s="2102" t="str">
        <f t="shared" si="191"/>
        <v/>
      </c>
      <c r="GM125" s="2102" t="str">
        <f t="shared" si="191"/>
        <v/>
      </c>
      <c r="GN125" s="2102" t="str">
        <f t="shared" si="191"/>
        <v/>
      </c>
      <c r="GO125" s="2102" t="str">
        <f t="shared" si="191"/>
        <v/>
      </c>
      <c r="GP125" s="2102" t="str">
        <f t="shared" si="191"/>
        <v/>
      </c>
      <c r="GQ125" s="2102" t="str">
        <f t="shared" si="191"/>
        <v/>
      </c>
      <c r="GR125" s="2102" t="str">
        <f t="shared" si="191"/>
        <v/>
      </c>
      <c r="GS125" s="2102" t="str">
        <f t="shared" ref="GS125:HX125" si="192">IF(ISBLANK($EG$126),"",IF($DY$3=1,"",IF(GS122="",4,5)))</f>
        <v/>
      </c>
      <c r="GT125" s="2102" t="str">
        <f t="shared" si="192"/>
        <v/>
      </c>
      <c r="GU125" s="2102" t="str">
        <f t="shared" si="192"/>
        <v/>
      </c>
      <c r="GV125" s="2102" t="str">
        <f t="shared" si="192"/>
        <v/>
      </c>
      <c r="GW125" s="2102" t="str">
        <f t="shared" si="192"/>
        <v/>
      </c>
      <c r="GX125" s="2102" t="str">
        <f t="shared" si="192"/>
        <v/>
      </c>
      <c r="GY125" s="2102" t="str">
        <f t="shared" si="192"/>
        <v/>
      </c>
      <c r="GZ125" s="2102" t="str">
        <f t="shared" si="192"/>
        <v/>
      </c>
      <c r="HA125" s="2102" t="str">
        <f t="shared" si="192"/>
        <v/>
      </c>
      <c r="HB125" s="2102" t="str">
        <f t="shared" si="192"/>
        <v/>
      </c>
      <c r="HC125" s="2102" t="str">
        <f t="shared" si="192"/>
        <v/>
      </c>
      <c r="HD125" s="2102" t="str">
        <f t="shared" si="192"/>
        <v/>
      </c>
      <c r="HE125" s="2102" t="str">
        <f t="shared" si="192"/>
        <v/>
      </c>
      <c r="HF125" s="2102" t="str">
        <f t="shared" si="192"/>
        <v/>
      </c>
      <c r="HG125" s="2102" t="str">
        <f t="shared" si="192"/>
        <v/>
      </c>
      <c r="HH125" s="2102" t="str">
        <f t="shared" si="192"/>
        <v/>
      </c>
      <c r="HI125" s="2102" t="str">
        <f t="shared" si="192"/>
        <v/>
      </c>
      <c r="HJ125" s="2102" t="str">
        <f t="shared" si="192"/>
        <v/>
      </c>
      <c r="HK125" s="2102" t="str">
        <f t="shared" si="192"/>
        <v/>
      </c>
      <c r="HL125" s="2102" t="str">
        <f t="shared" si="192"/>
        <v/>
      </c>
      <c r="HM125" s="2102" t="str">
        <f t="shared" si="192"/>
        <v/>
      </c>
      <c r="HN125" s="2102" t="str">
        <f t="shared" si="192"/>
        <v/>
      </c>
      <c r="HO125" s="2102" t="str">
        <f t="shared" si="192"/>
        <v/>
      </c>
      <c r="HP125" s="2102" t="str">
        <f t="shared" si="192"/>
        <v/>
      </c>
      <c r="HQ125" s="2102" t="str">
        <f t="shared" si="192"/>
        <v/>
      </c>
      <c r="HR125" s="2102" t="str">
        <f t="shared" si="192"/>
        <v/>
      </c>
      <c r="HS125" s="2102" t="str">
        <f t="shared" si="192"/>
        <v/>
      </c>
      <c r="HT125" s="2102" t="str">
        <f t="shared" si="192"/>
        <v/>
      </c>
      <c r="HU125" s="2102" t="str">
        <f t="shared" si="192"/>
        <v/>
      </c>
      <c r="HV125" s="2102" t="str">
        <f t="shared" si="192"/>
        <v/>
      </c>
      <c r="HW125" s="2102" t="str">
        <f t="shared" si="192"/>
        <v/>
      </c>
      <c r="HX125" s="2102" t="str">
        <f t="shared" si="192"/>
        <v/>
      </c>
      <c r="HY125" s="2102" t="str">
        <f t="shared" ref="HY125:JC125" si="193">IF(ISBLANK($EG$126),"",IF($DY$3=1,"",IF(HY122="",4,5)))</f>
        <v/>
      </c>
      <c r="HZ125" s="2102" t="str">
        <f t="shared" si="193"/>
        <v/>
      </c>
      <c r="IA125" s="2102" t="str">
        <f t="shared" si="193"/>
        <v/>
      </c>
      <c r="IB125" s="2102" t="str">
        <f t="shared" si="193"/>
        <v/>
      </c>
      <c r="IC125" s="2102" t="str">
        <f t="shared" si="193"/>
        <v/>
      </c>
      <c r="ID125" s="2102" t="str">
        <f t="shared" si="193"/>
        <v/>
      </c>
      <c r="IE125" s="2102" t="str">
        <f t="shared" si="193"/>
        <v/>
      </c>
      <c r="IF125" s="2102" t="str">
        <f t="shared" si="193"/>
        <v/>
      </c>
      <c r="IG125" s="2102" t="str">
        <f t="shared" si="193"/>
        <v/>
      </c>
      <c r="IH125" s="2102" t="str">
        <f t="shared" si="193"/>
        <v/>
      </c>
      <c r="II125" s="2102" t="str">
        <f t="shared" si="193"/>
        <v/>
      </c>
      <c r="IJ125" s="2102" t="str">
        <f t="shared" si="193"/>
        <v/>
      </c>
      <c r="IK125" s="2102" t="str">
        <f t="shared" si="193"/>
        <v/>
      </c>
      <c r="IL125" s="2102" t="str">
        <f t="shared" si="193"/>
        <v/>
      </c>
      <c r="IM125" s="2102" t="str">
        <f t="shared" si="193"/>
        <v/>
      </c>
      <c r="IN125" s="2102" t="str">
        <f t="shared" si="193"/>
        <v/>
      </c>
      <c r="IO125" s="2102" t="str">
        <f t="shared" si="193"/>
        <v/>
      </c>
      <c r="IP125" s="2102" t="str">
        <f t="shared" si="193"/>
        <v/>
      </c>
      <c r="IQ125" s="2102" t="str">
        <f t="shared" si="193"/>
        <v/>
      </c>
      <c r="IR125" s="2102" t="str">
        <f t="shared" si="193"/>
        <v/>
      </c>
      <c r="IS125" s="2102" t="str">
        <f t="shared" si="193"/>
        <v/>
      </c>
      <c r="IT125" s="2102" t="str">
        <f t="shared" si="193"/>
        <v/>
      </c>
      <c r="IU125" s="2102" t="str">
        <f t="shared" si="193"/>
        <v/>
      </c>
      <c r="IV125" s="2102" t="str">
        <f t="shared" si="193"/>
        <v/>
      </c>
      <c r="IW125" s="2102" t="str">
        <f t="shared" si="193"/>
        <v/>
      </c>
      <c r="IX125" s="2102" t="str">
        <f t="shared" si="193"/>
        <v/>
      </c>
      <c r="IY125" s="2102" t="str">
        <f t="shared" si="193"/>
        <v/>
      </c>
      <c r="IZ125" s="2102" t="str">
        <f t="shared" si="193"/>
        <v/>
      </c>
      <c r="JA125" s="2102" t="str">
        <f t="shared" si="193"/>
        <v/>
      </c>
      <c r="JB125" s="2102" t="str">
        <f t="shared" si="193"/>
        <v/>
      </c>
      <c r="JC125" s="432" t="str">
        <f t="shared" si="193"/>
        <v/>
      </c>
      <c r="JD125" s="604"/>
      <c r="JE125" s="756"/>
    </row>
    <row r="126" spans="1:265" ht="95.25" customHeight="1" thickBot="1" x14ac:dyDescent="0.3">
      <c r="A126" s="282"/>
      <c r="B126" s="3702" t="s">
        <v>120</v>
      </c>
      <c r="C126" s="3705" t="s">
        <v>1643</v>
      </c>
      <c r="D126" s="638"/>
      <c r="E126" s="3708" t="str">
        <f>IF($C$6="E","","Change ID")</f>
        <v>Change ID</v>
      </c>
      <c r="F126" s="3710" t="str">
        <f>IF($C$6="E","Exclude Item","Change Status")</f>
        <v>Change Status</v>
      </c>
      <c r="G126" s="3758" t="s">
        <v>3944</v>
      </c>
      <c r="H126" s="6"/>
      <c r="I126" s="6"/>
      <c r="J126" s="3712" t="s">
        <v>2875</v>
      </c>
      <c r="K126" s="6"/>
      <c r="L126" s="3767" t="s">
        <v>778</v>
      </c>
      <c r="M126" s="3767" t="s">
        <v>772</v>
      </c>
      <c r="N126" s="3769" t="s">
        <v>793</v>
      </c>
      <c r="O126" s="3771" t="s">
        <v>1305</v>
      </c>
      <c r="Q126" s="2060" t="s">
        <v>4304</v>
      </c>
      <c r="R126" s="3027">
        <f>T126</f>
        <v>0</v>
      </c>
      <c r="S126" s="3028">
        <f>Y126</f>
        <v>0</v>
      </c>
      <c r="T126" s="3003">
        <f>SUMIFS($T$129:$T$304,$DF$129:$DF$304,1,$AG$129:$AG$304,1)-T123</f>
        <v>0</v>
      </c>
      <c r="U126" s="3004">
        <f>SUMIFS($U$129:$U$304,$DF$129:$DF$304,1)-U123</f>
        <v>0</v>
      </c>
      <c r="V126" s="3107"/>
      <c r="W126" s="3275">
        <f>SUMIFS($W$129:$W$304,$AG$129:$AG$304,1,$DF$129:$DF$304,1,$DB$129:$DB$304,0)-IF(C6="B",W123,0)+N("Fee for Approved Changes")</f>
        <v>0</v>
      </c>
      <c r="X126" s="3005">
        <f>SUMIFS($X$129:$X$304,$DF$129:$DF$304,1,$AG$129:$AG$304,1)-X123</f>
        <v>0</v>
      </c>
      <c r="Y126" s="3005">
        <f>SUMIFS($Y$129:$Y$304,$DF$129:$DF$304,1)-Y123</f>
        <v>0</v>
      </c>
      <c r="Z126" s="3005">
        <f>SUMIFS($Z$129:$Z$304,$DF$129:$DF$304,1)-Z123</f>
        <v>0</v>
      </c>
      <c r="AA126" s="3105"/>
      <c r="AB126" s="3105"/>
      <c r="AC126" s="1805"/>
      <c r="AD126" s="465" t="s">
        <v>6</v>
      </c>
      <c r="AE126" s="465" t="s">
        <v>55</v>
      </c>
      <c r="AF126" s="465" t="s">
        <v>56</v>
      </c>
      <c r="AG126" s="3006" t="s">
        <v>2122</v>
      </c>
      <c r="AH126" s="465" t="s">
        <v>470</v>
      </c>
      <c r="AI126" s="465" t="s">
        <v>1128</v>
      </c>
      <c r="AJ126" s="465" t="s">
        <v>1129</v>
      </c>
      <c r="AK126" s="465" t="s">
        <v>108</v>
      </c>
      <c r="AL126" s="465" t="s">
        <v>472</v>
      </c>
      <c r="AM126" s="465" t="s">
        <v>1030</v>
      </c>
      <c r="AN126" s="465" t="s">
        <v>2580</v>
      </c>
      <c r="AO126" s="465" t="s">
        <v>2317</v>
      </c>
      <c r="AP126" s="465" t="s">
        <v>1599</v>
      </c>
      <c r="AQ126" s="465" t="s">
        <v>2356</v>
      </c>
      <c r="AR126" s="465" t="s">
        <v>1997</v>
      </c>
      <c r="AS126" s="465" t="s">
        <v>1998</v>
      </c>
      <c r="AT126" s="465" t="s">
        <v>1999</v>
      </c>
      <c r="AU126" s="465" t="s">
        <v>2000</v>
      </c>
      <c r="AV126" s="465" t="s">
        <v>2001</v>
      </c>
      <c r="AW126" s="465" t="s">
        <v>2002</v>
      </c>
      <c r="AX126" s="465" t="s">
        <v>2003</v>
      </c>
      <c r="AY126" s="465" t="s">
        <v>2004</v>
      </c>
      <c r="AZ126" s="465" t="s">
        <v>2005</v>
      </c>
      <c r="BA126" s="465" t="s">
        <v>2006</v>
      </c>
      <c r="BB126" s="465" t="s">
        <v>2007</v>
      </c>
      <c r="BC126" s="465" t="s">
        <v>1118</v>
      </c>
      <c r="BD126" s="465" t="s">
        <v>1119</v>
      </c>
      <c r="BE126" s="465" t="s">
        <v>1120</v>
      </c>
      <c r="BF126" s="465" t="s">
        <v>1121</v>
      </c>
      <c r="BG126" s="465" t="s">
        <v>1122</v>
      </c>
      <c r="BH126" s="465" t="s">
        <v>1123</v>
      </c>
      <c r="BI126" s="465" t="s">
        <v>1124</v>
      </c>
      <c r="BJ126" s="465" t="s">
        <v>1125</v>
      </c>
      <c r="BK126" s="465" t="s">
        <v>1126</v>
      </c>
      <c r="BL126" s="465" t="s">
        <v>1127</v>
      </c>
      <c r="BM126" s="465" t="s">
        <v>1589</v>
      </c>
      <c r="BN126" s="465" t="s">
        <v>1590</v>
      </c>
      <c r="BO126" s="465" t="s">
        <v>1591</v>
      </c>
      <c r="BP126" s="465" t="s">
        <v>1592</v>
      </c>
      <c r="BQ126" s="465" t="s">
        <v>1593</v>
      </c>
      <c r="BR126" s="465" t="s">
        <v>1594</v>
      </c>
      <c r="BS126" s="465" t="s">
        <v>1595</v>
      </c>
      <c r="BT126" s="465" t="s">
        <v>1596</v>
      </c>
      <c r="BU126" s="465" t="s">
        <v>1597</v>
      </c>
      <c r="BV126" s="465" t="s">
        <v>1598</v>
      </c>
      <c r="BW126" s="465" t="s">
        <v>2008</v>
      </c>
      <c r="BX126" s="465" t="s">
        <v>2009</v>
      </c>
      <c r="BY126" s="465" t="s">
        <v>2010</v>
      </c>
      <c r="BZ126" s="465" t="s">
        <v>2011</v>
      </c>
      <c r="CA126" s="465" t="s">
        <v>2012</v>
      </c>
      <c r="CB126" s="465" t="s">
        <v>2013</v>
      </c>
      <c r="CC126" s="465" t="s">
        <v>2014</v>
      </c>
      <c r="CD126" s="465" t="s">
        <v>2015</v>
      </c>
      <c r="CE126" s="465" t="s">
        <v>2016</v>
      </c>
      <c r="CF126" s="465" t="s">
        <v>2017</v>
      </c>
      <c r="CG126" s="465" t="s">
        <v>2018</v>
      </c>
      <c r="CH126" s="465" t="s">
        <v>1097</v>
      </c>
      <c r="CI126" s="465" t="s">
        <v>1098</v>
      </c>
      <c r="CJ126" s="465" t="s">
        <v>1099</v>
      </c>
      <c r="CK126" s="465" t="s">
        <v>1100</v>
      </c>
      <c r="CL126" s="465" t="s">
        <v>1101</v>
      </c>
      <c r="CM126" s="465" t="s">
        <v>1102</v>
      </c>
      <c r="CN126" s="465" t="s">
        <v>1103</v>
      </c>
      <c r="CO126" s="465" t="s">
        <v>1104</v>
      </c>
      <c r="CP126" s="465" t="s">
        <v>1105</v>
      </c>
      <c r="CQ126" s="465" t="s">
        <v>1106</v>
      </c>
      <c r="CR126" s="465" t="s">
        <v>80</v>
      </c>
      <c r="CS126" s="465" t="s">
        <v>2019</v>
      </c>
      <c r="CT126" s="465" t="s">
        <v>28</v>
      </c>
      <c r="CU126" s="465" t="s">
        <v>2355</v>
      </c>
      <c r="CV126" s="465" t="s">
        <v>3374</v>
      </c>
      <c r="CW126" s="465" t="s">
        <v>3373</v>
      </c>
      <c r="CX126" s="1764" t="s">
        <v>2319</v>
      </c>
      <c r="CY126" s="1764" t="s">
        <v>4299</v>
      </c>
      <c r="CZ126" s="465" t="s">
        <v>2169</v>
      </c>
      <c r="DA126" s="1764" t="s">
        <v>3387</v>
      </c>
      <c r="DB126" s="3007" t="s">
        <v>2171</v>
      </c>
      <c r="DC126" s="3008" t="s">
        <v>2168</v>
      </c>
      <c r="DD126" s="3008" t="s">
        <v>2167</v>
      </c>
      <c r="DE126" s="3008" t="s">
        <v>3372</v>
      </c>
      <c r="DF126" s="3009" t="s">
        <v>2170</v>
      </c>
      <c r="DG126" s="465" t="s">
        <v>2873</v>
      </c>
      <c r="DH126" s="465" t="s">
        <v>4303</v>
      </c>
      <c r="DI126" s="465" t="s">
        <v>1863</v>
      </c>
      <c r="DJ126" s="465" t="s">
        <v>368</v>
      </c>
      <c r="DK126" s="465" t="s">
        <v>369</v>
      </c>
      <c r="DL126" s="465" t="s">
        <v>666</v>
      </c>
      <c r="DM126" s="3757"/>
      <c r="DN126" s="3754"/>
      <c r="DO126" s="3754"/>
      <c r="DP126" s="3030">
        <f>X126</f>
        <v>0</v>
      </c>
      <c r="DQ126" s="3033">
        <f>DP126-S126</f>
        <v>0</v>
      </c>
      <c r="DR126" s="374"/>
      <c r="DS126" s="6"/>
      <c r="DT126" s="364"/>
      <c r="DU126" s="3724" t="s">
        <v>110</v>
      </c>
      <c r="DW126" s="3724"/>
      <c r="DX126" s="644"/>
      <c r="DY126" s="1099" t="s">
        <v>926</v>
      </c>
      <c r="DZ126" s="185"/>
      <c r="EA126" s="3732" t="s">
        <v>2685</v>
      </c>
      <c r="EB126" s="3713" t="str">
        <f>IF($DY$3=1,"Week Ending","Calendar Periods")</f>
        <v>Calendar Periods</v>
      </c>
      <c r="EC126" s="3714"/>
      <c r="ED126" s="3714"/>
      <c r="EE126" s="1357" t="s">
        <v>782</v>
      </c>
      <c r="EF126" s="991"/>
      <c r="EG126" s="1100"/>
      <c r="EH126" s="2498">
        <f>IF($EG$126=0,0,$EG$126+($DZ$3*(EH29-1)))</f>
        <v>0</v>
      </c>
      <c r="EI126" s="2499">
        <f t="shared" ref="EI126:GT126" si="194">IF($EG$126=0,0,$EG$126+($DZ$3*(EI29-1)))</f>
        <v>0</v>
      </c>
      <c r="EJ126" s="2499">
        <f t="shared" si="194"/>
        <v>0</v>
      </c>
      <c r="EK126" s="2499">
        <f t="shared" si="194"/>
        <v>0</v>
      </c>
      <c r="EL126" s="2499">
        <f t="shared" si="194"/>
        <v>0</v>
      </c>
      <c r="EM126" s="2499">
        <f t="shared" si="194"/>
        <v>0</v>
      </c>
      <c r="EN126" s="2499">
        <f t="shared" si="194"/>
        <v>0</v>
      </c>
      <c r="EO126" s="2499">
        <f t="shared" si="194"/>
        <v>0</v>
      </c>
      <c r="EP126" s="2499">
        <f t="shared" si="194"/>
        <v>0</v>
      </c>
      <c r="EQ126" s="2499">
        <f t="shared" si="194"/>
        <v>0</v>
      </c>
      <c r="ER126" s="2499">
        <f t="shared" si="194"/>
        <v>0</v>
      </c>
      <c r="ES126" s="2499">
        <f t="shared" si="194"/>
        <v>0</v>
      </c>
      <c r="ET126" s="2499">
        <f t="shared" si="194"/>
        <v>0</v>
      </c>
      <c r="EU126" s="2499">
        <f t="shared" si="194"/>
        <v>0</v>
      </c>
      <c r="EV126" s="2499">
        <f t="shared" si="194"/>
        <v>0</v>
      </c>
      <c r="EW126" s="2499">
        <f t="shared" si="194"/>
        <v>0</v>
      </c>
      <c r="EX126" s="2499">
        <f t="shared" si="194"/>
        <v>0</v>
      </c>
      <c r="EY126" s="2499">
        <f t="shared" si="194"/>
        <v>0</v>
      </c>
      <c r="EZ126" s="2499">
        <f t="shared" si="194"/>
        <v>0</v>
      </c>
      <c r="FA126" s="2499">
        <f t="shared" si="194"/>
        <v>0</v>
      </c>
      <c r="FB126" s="2499">
        <f t="shared" si="194"/>
        <v>0</v>
      </c>
      <c r="FC126" s="2499">
        <f t="shared" si="194"/>
        <v>0</v>
      </c>
      <c r="FD126" s="2499">
        <f t="shared" si="194"/>
        <v>0</v>
      </c>
      <c r="FE126" s="2499">
        <f t="shared" si="194"/>
        <v>0</v>
      </c>
      <c r="FF126" s="2499">
        <f t="shared" si="194"/>
        <v>0</v>
      </c>
      <c r="FG126" s="2499">
        <f t="shared" si="194"/>
        <v>0</v>
      </c>
      <c r="FH126" s="2499">
        <f t="shared" si="194"/>
        <v>0</v>
      </c>
      <c r="FI126" s="2499">
        <f t="shared" si="194"/>
        <v>0</v>
      </c>
      <c r="FJ126" s="2499">
        <f t="shared" si="194"/>
        <v>0</v>
      </c>
      <c r="FK126" s="2499">
        <f t="shared" si="194"/>
        <v>0</v>
      </c>
      <c r="FL126" s="2499">
        <f t="shared" si="194"/>
        <v>0</v>
      </c>
      <c r="FM126" s="2499">
        <f t="shared" si="194"/>
        <v>0</v>
      </c>
      <c r="FN126" s="2499">
        <f t="shared" si="194"/>
        <v>0</v>
      </c>
      <c r="FO126" s="2499">
        <f t="shared" si="194"/>
        <v>0</v>
      </c>
      <c r="FP126" s="2499">
        <f t="shared" si="194"/>
        <v>0</v>
      </c>
      <c r="FQ126" s="2499">
        <f t="shared" si="194"/>
        <v>0</v>
      </c>
      <c r="FR126" s="2499">
        <f t="shared" si="194"/>
        <v>0</v>
      </c>
      <c r="FS126" s="2499">
        <f t="shared" si="194"/>
        <v>0</v>
      </c>
      <c r="FT126" s="2499">
        <f t="shared" si="194"/>
        <v>0</v>
      </c>
      <c r="FU126" s="2499">
        <f t="shared" si="194"/>
        <v>0</v>
      </c>
      <c r="FV126" s="2499">
        <f t="shared" si="194"/>
        <v>0</v>
      </c>
      <c r="FW126" s="2499">
        <f t="shared" si="194"/>
        <v>0</v>
      </c>
      <c r="FX126" s="2499">
        <f t="shared" si="194"/>
        <v>0</v>
      </c>
      <c r="FY126" s="2499">
        <f t="shared" si="194"/>
        <v>0</v>
      </c>
      <c r="FZ126" s="2499">
        <f t="shared" si="194"/>
        <v>0</v>
      </c>
      <c r="GA126" s="2499">
        <f t="shared" si="194"/>
        <v>0</v>
      </c>
      <c r="GB126" s="2499">
        <f t="shared" si="194"/>
        <v>0</v>
      </c>
      <c r="GC126" s="2499">
        <f t="shared" si="194"/>
        <v>0</v>
      </c>
      <c r="GD126" s="2499">
        <f t="shared" si="194"/>
        <v>0</v>
      </c>
      <c r="GE126" s="2499">
        <f t="shared" si="194"/>
        <v>0</v>
      </c>
      <c r="GF126" s="2499">
        <f t="shared" si="194"/>
        <v>0</v>
      </c>
      <c r="GG126" s="2499">
        <f t="shared" si="194"/>
        <v>0</v>
      </c>
      <c r="GH126" s="2499">
        <f t="shared" si="194"/>
        <v>0</v>
      </c>
      <c r="GI126" s="2499">
        <f t="shared" si="194"/>
        <v>0</v>
      </c>
      <c r="GJ126" s="2499">
        <f t="shared" si="194"/>
        <v>0</v>
      </c>
      <c r="GK126" s="2499">
        <f t="shared" si="194"/>
        <v>0</v>
      </c>
      <c r="GL126" s="2499">
        <f t="shared" si="194"/>
        <v>0</v>
      </c>
      <c r="GM126" s="2499">
        <f t="shared" si="194"/>
        <v>0</v>
      </c>
      <c r="GN126" s="2499">
        <f t="shared" si="194"/>
        <v>0</v>
      </c>
      <c r="GO126" s="2499">
        <f t="shared" si="194"/>
        <v>0</v>
      </c>
      <c r="GP126" s="2499">
        <f t="shared" si="194"/>
        <v>0</v>
      </c>
      <c r="GQ126" s="2499">
        <f t="shared" si="194"/>
        <v>0</v>
      </c>
      <c r="GR126" s="2499">
        <f t="shared" si="194"/>
        <v>0</v>
      </c>
      <c r="GS126" s="2499">
        <f t="shared" si="194"/>
        <v>0</v>
      </c>
      <c r="GT126" s="2499">
        <f t="shared" si="194"/>
        <v>0</v>
      </c>
      <c r="GU126" s="2499">
        <f t="shared" ref="GU126:JC126" si="195">IF($EG$126=0,0,$EG$126+($DZ$3*(GU29-1)))</f>
        <v>0</v>
      </c>
      <c r="GV126" s="2499">
        <f t="shared" si="195"/>
        <v>0</v>
      </c>
      <c r="GW126" s="2499">
        <f t="shared" si="195"/>
        <v>0</v>
      </c>
      <c r="GX126" s="2499">
        <f t="shared" si="195"/>
        <v>0</v>
      </c>
      <c r="GY126" s="2499">
        <f t="shared" si="195"/>
        <v>0</v>
      </c>
      <c r="GZ126" s="2499">
        <f t="shared" si="195"/>
        <v>0</v>
      </c>
      <c r="HA126" s="2499">
        <f t="shared" si="195"/>
        <v>0</v>
      </c>
      <c r="HB126" s="2499">
        <f t="shared" si="195"/>
        <v>0</v>
      </c>
      <c r="HC126" s="2499">
        <f t="shared" si="195"/>
        <v>0</v>
      </c>
      <c r="HD126" s="2499">
        <f t="shared" si="195"/>
        <v>0</v>
      </c>
      <c r="HE126" s="2499">
        <f t="shared" si="195"/>
        <v>0</v>
      </c>
      <c r="HF126" s="2499">
        <f t="shared" si="195"/>
        <v>0</v>
      </c>
      <c r="HG126" s="2499">
        <f t="shared" si="195"/>
        <v>0</v>
      </c>
      <c r="HH126" s="2499">
        <f t="shared" si="195"/>
        <v>0</v>
      </c>
      <c r="HI126" s="2499">
        <f t="shared" si="195"/>
        <v>0</v>
      </c>
      <c r="HJ126" s="2499">
        <f t="shared" si="195"/>
        <v>0</v>
      </c>
      <c r="HK126" s="2499">
        <f t="shared" si="195"/>
        <v>0</v>
      </c>
      <c r="HL126" s="2499">
        <f t="shared" si="195"/>
        <v>0</v>
      </c>
      <c r="HM126" s="2499">
        <f t="shared" si="195"/>
        <v>0</v>
      </c>
      <c r="HN126" s="2499">
        <f t="shared" si="195"/>
        <v>0</v>
      </c>
      <c r="HO126" s="2499">
        <f t="shared" si="195"/>
        <v>0</v>
      </c>
      <c r="HP126" s="2499">
        <f t="shared" si="195"/>
        <v>0</v>
      </c>
      <c r="HQ126" s="2499">
        <f t="shared" si="195"/>
        <v>0</v>
      </c>
      <c r="HR126" s="2499">
        <f t="shared" si="195"/>
        <v>0</v>
      </c>
      <c r="HS126" s="2499">
        <f t="shared" si="195"/>
        <v>0</v>
      </c>
      <c r="HT126" s="2499">
        <f t="shared" si="195"/>
        <v>0</v>
      </c>
      <c r="HU126" s="2499">
        <f t="shared" si="195"/>
        <v>0</v>
      </c>
      <c r="HV126" s="2499">
        <f t="shared" si="195"/>
        <v>0</v>
      </c>
      <c r="HW126" s="2499">
        <f t="shared" si="195"/>
        <v>0</v>
      </c>
      <c r="HX126" s="2499">
        <f t="shared" si="195"/>
        <v>0</v>
      </c>
      <c r="HY126" s="2499">
        <f t="shared" si="195"/>
        <v>0</v>
      </c>
      <c r="HZ126" s="2499">
        <f t="shared" si="195"/>
        <v>0</v>
      </c>
      <c r="IA126" s="2499">
        <f t="shared" si="195"/>
        <v>0</v>
      </c>
      <c r="IB126" s="2499">
        <f t="shared" si="195"/>
        <v>0</v>
      </c>
      <c r="IC126" s="2499">
        <f t="shared" si="195"/>
        <v>0</v>
      </c>
      <c r="ID126" s="2499">
        <f t="shared" si="195"/>
        <v>0</v>
      </c>
      <c r="IE126" s="2499">
        <f t="shared" si="195"/>
        <v>0</v>
      </c>
      <c r="IF126" s="2499">
        <f t="shared" si="195"/>
        <v>0</v>
      </c>
      <c r="IG126" s="2499">
        <f t="shared" si="195"/>
        <v>0</v>
      </c>
      <c r="IH126" s="2499">
        <f t="shared" si="195"/>
        <v>0</v>
      </c>
      <c r="II126" s="2499">
        <f t="shared" si="195"/>
        <v>0</v>
      </c>
      <c r="IJ126" s="2499">
        <f t="shared" si="195"/>
        <v>0</v>
      </c>
      <c r="IK126" s="2499">
        <f t="shared" si="195"/>
        <v>0</v>
      </c>
      <c r="IL126" s="2499">
        <f t="shared" si="195"/>
        <v>0</v>
      </c>
      <c r="IM126" s="2499">
        <f t="shared" si="195"/>
        <v>0</v>
      </c>
      <c r="IN126" s="2499">
        <f t="shared" si="195"/>
        <v>0</v>
      </c>
      <c r="IO126" s="2499">
        <f t="shared" si="195"/>
        <v>0</v>
      </c>
      <c r="IP126" s="2499">
        <f t="shared" si="195"/>
        <v>0</v>
      </c>
      <c r="IQ126" s="2499">
        <f t="shared" si="195"/>
        <v>0</v>
      </c>
      <c r="IR126" s="2499">
        <f t="shared" si="195"/>
        <v>0</v>
      </c>
      <c r="IS126" s="2499">
        <f t="shared" si="195"/>
        <v>0</v>
      </c>
      <c r="IT126" s="2499">
        <f t="shared" si="195"/>
        <v>0</v>
      </c>
      <c r="IU126" s="2499">
        <f t="shared" si="195"/>
        <v>0</v>
      </c>
      <c r="IV126" s="2499">
        <f t="shared" si="195"/>
        <v>0</v>
      </c>
      <c r="IW126" s="2499">
        <f t="shared" si="195"/>
        <v>0</v>
      </c>
      <c r="IX126" s="2499">
        <f t="shared" si="195"/>
        <v>0</v>
      </c>
      <c r="IY126" s="2499">
        <f t="shared" si="195"/>
        <v>0</v>
      </c>
      <c r="IZ126" s="2499">
        <f t="shared" si="195"/>
        <v>0</v>
      </c>
      <c r="JA126" s="2499">
        <f t="shared" si="195"/>
        <v>0</v>
      </c>
      <c r="JB126" s="2499">
        <f t="shared" si="195"/>
        <v>0</v>
      </c>
      <c r="JC126" s="2500">
        <f t="shared" si="195"/>
        <v>0</v>
      </c>
      <c r="JD126" s="992" t="s">
        <v>459</v>
      </c>
    </row>
    <row r="127" spans="1:265" ht="12.75" customHeight="1" thickTop="1" x14ac:dyDescent="0.25">
      <c r="A127" s="282"/>
      <c r="B127" s="3703"/>
      <c r="C127" s="3706"/>
      <c r="D127" s="638"/>
      <c r="E127" s="3708"/>
      <c r="F127" s="3710"/>
      <c r="G127" s="3759"/>
      <c r="H127" s="6"/>
      <c r="I127" s="3763" t="s">
        <v>795</v>
      </c>
      <c r="J127" s="3710"/>
      <c r="K127" s="6"/>
      <c r="L127" s="3767"/>
      <c r="M127" s="3767"/>
      <c r="N127" s="3769"/>
      <c r="O127" s="3771"/>
      <c r="P127" s="3765" t="s">
        <v>841</v>
      </c>
      <c r="Q127" s="1844"/>
      <c r="R127" s="3773" t="s">
        <v>3393</v>
      </c>
      <c r="S127" s="3743" t="s">
        <v>39</v>
      </c>
      <c r="T127" s="2998" t="s">
        <v>131</v>
      </c>
      <c r="U127" s="2998" t="s">
        <v>132</v>
      </c>
      <c r="V127" s="2998" t="s">
        <v>1607</v>
      </c>
      <c r="W127" s="2998" t="s">
        <v>488</v>
      </c>
      <c r="X127" s="2998" t="s">
        <v>94</v>
      </c>
      <c r="Y127" s="2998" t="s">
        <v>125</v>
      </c>
      <c r="Z127" s="2998" t="s">
        <v>311</v>
      </c>
      <c r="AA127" s="2998" t="s">
        <v>95</v>
      </c>
      <c r="AB127" s="2998" t="s">
        <v>96</v>
      </c>
      <c r="AC127" s="2998"/>
      <c r="AD127" s="2999"/>
      <c r="AE127" s="2999"/>
      <c r="AF127" s="2999"/>
      <c r="AG127" s="2999"/>
      <c r="AH127" s="2999"/>
      <c r="AI127" s="2999"/>
      <c r="AJ127" s="2999"/>
      <c r="AK127" s="2999"/>
      <c r="AL127" s="2999"/>
      <c r="AM127" s="2999"/>
      <c r="AN127" s="2999"/>
      <c r="AO127" s="3001">
        <f>IF(OR('1 Setup'!G8=4,'1 Setup'!G8=5),1,0)</f>
        <v>0</v>
      </c>
      <c r="AP127" s="2999"/>
      <c r="AQ127" s="3001">
        <f>SUM(AQ129:AQ305)</f>
        <v>0</v>
      </c>
      <c r="AR127" s="2999"/>
      <c r="AS127" s="2999"/>
      <c r="AT127" s="2999"/>
      <c r="AU127" s="2999"/>
      <c r="AV127" s="2999"/>
      <c r="AW127" s="2999"/>
      <c r="AX127" s="2999"/>
      <c r="AY127" s="2999"/>
      <c r="AZ127" s="2999"/>
      <c r="BA127" s="2999"/>
      <c r="BB127" s="2999"/>
      <c r="BC127" s="2999"/>
      <c r="BD127" s="2999"/>
      <c r="BE127" s="2999"/>
      <c r="BF127" s="2999"/>
      <c r="BG127" s="2999"/>
      <c r="BH127" s="2999"/>
      <c r="BI127" s="2999"/>
      <c r="BJ127" s="2999"/>
      <c r="BK127" s="2999"/>
      <c r="BL127" s="2999"/>
      <c r="BM127" s="2999"/>
      <c r="BN127" s="2999"/>
      <c r="BO127" s="2999"/>
      <c r="BP127" s="2999"/>
      <c r="BQ127" s="2999"/>
      <c r="BR127" s="2999"/>
      <c r="BS127" s="2999"/>
      <c r="BT127" s="2999"/>
      <c r="BU127" s="2999"/>
      <c r="BV127" s="2999"/>
      <c r="BW127" s="2999"/>
      <c r="BX127" s="2999"/>
      <c r="BY127" s="2999"/>
      <c r="BZ127" s="2999"/>
      <c r="CA127" s="2999"/>
      <c r="CB127" s="2999"/>
      <c r="CC127" s="2999"/>
      <c r="CD127" s="2999"/>
      <c r="CE127" s="2999"/>
      <c r="CF127" s="2999"/>
      <c r="CG127" s="2999"/>
      <c r="CH127" s="3002"/>
      <c r="CI127" s="2999"/>
      <c r="CJ127" s="2999"/>
      <c r="CK127" s="2999"/>
      <c r="CL127" s="2999"/>
      <c r="CM127" s="2999"/>
      <c r="CN127" s="2999"/>
      <c r="CO127" s="2999"/>
      <c r="CP127" s="2999"/>
      <c r="CQ127" s="2999"/>
      <c r="CR127" s="2999"/>
      <c r="CS127" s="2999"/>
      <c r="CT127" s="2999"/>
      <c r="CU127" s="3000" t="str">
        <f>'2 Staff List'!HB46</f>
        <v>3rd PARTY SERVICES</v>
      </c>
      <c r="CV127" s="2999"/>
      <c r="CW127" s="2999"/>
      <c r="CX127" s="2999"/>
      <c r="CY127" s="2999"/>
      <c r="CZ127" s="2999"/>
      <c r="DA127" s="2999"/>
      <c r="DB127" s="2999"/>
      <c r="DC127" s="2999"/>
      <c r="DD127" s="2999"/>
      <c r="DE127" s="2999"/>
      <c r="DF127" s="2999"/>
      <c r="DG127" s="2999"/>
      <c r="DH127" s="2999"/>
      <c r="DI127" s="2999"/>
      <c r="DJ127" s="2999"/>
      <c r="DK127" s="2999"/>
      <c r="DL127" s="2999"/>
      <c r="DM127" s="2999"/>
      <c r="DN127" s="2999"/>
      <c r="DO127" s="2999"/>
      <c r="DP127" s="3743" t="s">
        <v>31</v>
      </c>
      <c r="DQ127" s="3745" t="s">
        <v>154</v>
      </c>
      <c r="DR127" s="109"/>
      <c r="DS127" s="6"/>
      <c r="DT127" s="3726" t="s">
        <v>2487</v>
      </c>
      <c r="DU127" s="3724"/>
      <c r="DV127" s="3760" t="s">
        <v>39</v>
      </c>
      <c r="DW127" s="3724"/>
      <c r="DX127" s="645"/>
      <c r="DY127" s="3734" t="s">
        <v>9</v>
      </c>
      <c r="DZ127" s="3736" t="s">
        <v>14</v>
      </c>
      <c r="EA127" s="3732"/>
      <c r="EB127" s="3732" t="s">
        <v>2113</v>
      </c>
      <c r="EC127" s="3732" t="s">
        <v>2114</v>
      </c>
      <c r="ED127" s="35"/>
      <c r="EE127" s="3722" t="s">
        <v>2579</v>
      </c>
      <c r="EF127" s="134"/>
      <c r="EG127" s="177">
        <f>EG13</f>
        <v>0</v>
      </c>
      <c r="EH127" s="178">
        <f t="shared" ref="EH127:GS127" si="196">EH13</f>
        <v>0</v>
      </c>
      <c r="EI127" s="177">
        <f t="shared" si="196"/>
        <v>0</v>
      </c>
      <c r="EJ127" s="177">
        <f t="shared" si="196"/>
        <v>0</v>
      </c>
      <c r="EK127" s="177">
        <f t="shared" si="196"/>
        <v>0</v>
      </c>
      <c r="EL127" s="177">
        <f t="shared" si="196"/>
        <v>0</v>
      </c>
      <c r="EM127" s="177">
        <f t="shared" si="196"/>
        <v>0</v>
      </c>
      <c r="EN127" s="177">
        <f t="shared" si="196"/>
        <v>0</v>
      </c>
      <c r="EO127" s="177">
        <f t="shared" si="196"/>
        <v>0</v>
      </c>
      <c r="EP127" s="177">
        <f t="shared" si="196"/>
        <v>0</v>
      </c>
      <c r="EQ127" s="177">
        <f t="shared" si="196"/>
        <v>0</v>
      </c>
      <c r="ER127" s="177">
        <f t="shared" si="196"/>
        <v>0</v>
      </c>
      <c r="ES127" s="177">
        <f t="shared" si="196"/>
        <v>0</v>
      </c>
      <c r="ET127" s="177">
        <f t="shared" si="196"/>
        <v>0</v>
      </c>
      <c r="EU127" s="177">
        <f t="shared" si="196"/>
        <v>0</v>
      </c>
      <c r="EV127" s="177">
        <f t="shared" si="196"/>
        <v>0</v>
      </c>
      <c r="EW127" s="177">
        <f t="shared" si="196"/>
        <v>0</v>
      </c>
      <c r="EX127" s="177">
        <f t="shared" si="196"/>
        <v>0</v>
      </c>
      <c r="EY127" s="177">
        <f t="shared" si="196"/>
        <v>0</v>
      </c>
      <c r="EZ127" s="177">
        <f t="shared" si="196"/>
        <v>0</v>
      </c>
      <c r="FA127" s="177">
        <f t="shared" si="196"/>
        <v>0</v>
      </c>
      <c r="FB127" s="177">
        <f t="shared" si="196"/>
        <v>0</v>
      </c>
      <c r="FC127" s="177">
        <f t="shared" si="196"/>
        <v>0</v>
      </c>
      <c r="FD127" s="177">
        <f t="shared" si="196"/>
        <v>0</v>
      </c>
      <c r="FE127" s="177">
        <f t="shared" si="196"/>
        <v>0</v>
      </c>
      <c r="FF127" s="177">
        <f t="shared" si="196"/>
        <v>0</v>
      </c>
      <c r="FG127" s="177">
        <f t="shared" si="196"/>
        <v>0</v>
      </c>
      <c r="FH127" s="177">
        <f t="shared" si="196"/>
        <v>0</v>
      </c>
      <c r="FI127" s="177">
        <f t="shared" si="196"/>
        <v>0</v>
      </c>
      <c r="FJ127" s="177">
        <f t="shared" si="196"/>
        <v>0</v>
      </c>
      <c r="FK127" s="177">
        <f t="shared" si="196"/>
        <v>0</v>
      </c>
      <c r="FL127" s="177">
        <f t="shared" si="196"/>
        <v>0</v>
      </c>
      <c r="FM127" s="177">
        <f t="shared" si="196"/>
        <v>0</v>
      </c>
      <c r="FN127" s="177">
        <f t="shared" si="196"/>
        <v>0</v>
      </c>
      <c r="FO127" s="177">
        <f t="shared" si="196"/>
        <v>0</v>
      </c>
      <c r="FP127" s="177">
        <f t="shared" si="196"/>
        <v>0</v>
      </c>
      <c r="FQ127" s="177">
        <f t="shared" si="196"/>
        <v>0</v>
      </c>
      <c r="FR127" s="177">
        <f t="shared" si="196"/>
        <v>0</v>
      </c>
      <c r="FS127" s="177">
        <f t="shared" si="196"/>
        <v>0</v>
      </c>
      <c r="FT127" s="177">
        <f t="shared" si="196"/>
        <v>0</v>
      </c>
      <c r="FU127" s="177">
        <f t="shared" si="196"/>
        <v>0</v>
      </c>
      <c r="FV127" s="177">
        <f t="shared" si="196"/>
        <v>0</v>
      </c>
      <c r="FW127" s="177">
        <f t="shared" si="196"/>
        <v>0</v>
      </c>
      <c r="FX127" s="177">
        <f t="shared" si="196"/>
        <v>0</v>
      </c>
      <c r="FY127" s="177">
        <f t="shared" si="196"/>
        <v>0</v>
      </c>
      <c r="FZ127" s="177">
        <f t="shared" si="196"/>
        <v>0</v>
      </c>
      <c r="GA127" s="177">
        <f t="shared" si="196"/>
        <v>0</v>
      </c>
      <c r="GB127" s="177">
        <f t="shared" si="196"/>
        <v>0</v>
      </c>
      <c r="GC127" s="177">
        <f t="shared" si="196"/>
        <v>0</v>
      </c>
      <c r="GD127" s="177">
        <f t="shared" si="196"/>
        <v>0</v>
      </c>
      <c r="GE127" s="177">
        <f t="shared" si="196"/>
        <v>0</v>
      </c>
      <c r="GF127" s="177">
        <f t="shared" si="196"/>
        <v>0</v>
      </c>
      <c r="GG127" s="177">
        <f t="shared" si="196"/>
        <v>0</v>
      </c>
      <c r="GH127" s="177">
        <f t="shared" si="196"/>
        <v>0</v>
      </c>
      <c r="GI127" s="177">
        <f t="shared" si="196"/>
        <v>0</v>
      </c>
      <c r="GJ127" s="177">
        <f t="shared" si="196"/>
        <v>0</v>
      </c>
      <c r="GK127" s="177">
        <f t="shared" si="196"/>
        <v>0</v>
      </c>
      <c r="GL127" s="177">
        <f t="shared" si="196"/>
        <v>0</v>
      </c>
      <c r="GM127" s="177">
        <f t="shared" si="196"/>
        <v>0</v>
      </c>
      <c r="GN127" s="177">
        <f t="shared" si="196"/>
        <v>0</v>
      </c>
      <c r="GO127" s="177">
        <f t="shared" si="196"/>
        <v>0</v>
      </c>
      <c r="GP127" s="177">
        <f t="shared" si="196"/>
        <v>0</v>
      </c>
      <c r="GQ127" s="177">
        <f t="shared" si="196"/>
        <v>0</v>
      </c>
      <c r="GR127" s="177">
        <f t="shared" si="196"/>
        <v>0</v>
      </c>
      <c r="GS127" s="177">
        <f t="shared" si="196"/>
        <v>0</v>
      </c>
      <c r="GT127" s="177">
        <f t="shared" ref="GT127:JC127" si="197">GT13</f>
        <v>0</v>
      </c>
      <c r="GU127" s="177">
        <f t="shared" si="197"/>
        <v>0</v>
      </c>
      <c r="GV127" s="177">
        <f t="shared" si="197"/>
        <v>0</v>
      </c>
      <c r="GW127" s="177">
        <f t="shared" si="197"/>
        <v>0</v>
      </c>
      <c r="GX127" s="177">
        <f t="shared" si="197"/>
        <v>0</v>
      </c>
      <c r="GY127" s="177">
        <f t="shared" si="197"/>
        <v>0</v>
      </c>
      <c r="GZ127" s="177">
        <f t="shared" si="197"/>
        <v>0</v>
      </c>
      <c r="HA127" s="177">
        <f t="shared" si="197"/>
        <v>0</v>
      </c>
      <c r="HB127" s="177">
        <f t="shared" si="197"/>
        <v>0</v>
      </c>
      <c r="HC127" s="177">
        <f t="shared" si="197"/>
        <v>0</v>
      </c>
      <c r="HD127" s="177">
        <f t="shared" si="197"/>
        <v>0</v>
      </c>
      <c r="HE127" s="177">
        <f t="shared" si="197"/>
        <v>0</v>
      </c>
      <c r="HF127" s="177">
        <f t="shared" si="197"/>
        <v>0</v>
      </c>
      <c r="HG127" s="177">
        <f t="shared" si="197"/>
        <v>0</v>
      </c>
      <c r="HH127" s="177">
        <f t="shared" si="197"/>
        <v>0</v>
      </c>
      <c r="HI127" s="177">
        <f t="shared" si="197"/>
        <v>0</v>
      </c>
      <c r="HJ127" s="177">
        <f t="shared" si="197"/>
        <v>0</v>
      </c>
      <c r="HK127" s="177">
        <f t="shared" si="197"/>
        <v>0</v>
      </c>
      <c r="HL127" s="177">
        <f t="shared" si="197"/>
        <v>0</v>
      </c>
      <c r="HM127" s="177">
        <f t="shared" si="197"/>
        <v>0</v>
      </c>
      <c r="HN127" s="177">
        <f t="shared" si="197"/>
        <v>0</v>
      </c>
      <c r="HO127" s="177">
        <f t="shared" si="197"/>
        <v>0</v>
      </c>
      <c r="HP127" s="177">
        <f t="shared" si="197"/>
        <v>0</v>
      </c>
      <c r="HQ127" s="177">
        <f t="shared" si="197"/>
        <v>0</v>
      </c>
      <c r="HR127" s="177">
        <f t="shared" si="197"/>
        <v>0</v>
      </c>
      <c r="HS127" s="177">
        <f t="shared" si="197"/>
        <v>0</v>
      </c>
      <c r="HT127" s="177">
        <f t="shared" si="197"/>
        <v>0</v>
      </c>
      <c r="HU127" s="177">
        <f t="shared" si="197"/>
        <v>0</v>
      </c>
      <c r="HV127" s="177">
        <f t="shared" si="197"/>
        <v>0</v>
      </c>
      <c r="HW127" s="177">
        <f t="shared" si="197"/>
        <v>0</v>
      </c>
      <c r="HX127" s="177">
        <f t="shared" si="197"/>
        <v>0</v>
      </c>
      <c r="HY127" s="177">
        <f t="shared" si="197"/>
        <v>0</v>
      </c>
      <c r="HZ127" s="177">
        <f t="shared" si="197"/>
        <v>0</v>
      </c>
      <c r="IA127" s="177">
        <f t="shared" si="197"/>
        <v>0</v>
      </c>
      <c r="IB127" s="177">
        <f t="shared" si="197"/>
        <v>0</v>
      </c>
      <c r="IC127" s="177">
        <f t="shared" si="197"/>
        <v>0</v>
      </c>
      <c r="ID127" s="177">
        <f t="shared" si="197"/>
        <v>0</v>
      </c>
      <c r="IE127" s="177">
        <f t="shared" si="197"/>
        <v>0</v>
      </c>
      <c r="IF127" s="177">
        <f t="shared" si="197"/>
        <v>0</v>
      </c>
      <c r="IG127" s="177">
        <f t="shared" si="197"/>
        <v>0</v>
      </c>
      <c r="IH127" s="177">
        <f t="shared" si="197"/>
        <v>0</v>
      </c>
      <c r="II127" s="177">
        <f t="shared" si="197"/>
        <v>0</v>
      </c>
      <c r="IJ127" s="177">
        <f t="shared" si="197"/>
        <v>0</v>
      </c>
      <c r="IK127" s="177">
        <f t="shared" si="197"/>
        <v>0</v>
      </c>
      <c r="IL127" s="177">
        <f t="shared" si="197"/>
        <v>0</v>
      </c>
      <c r="IM127" s="177">
        <f t="shared" si="197"/>
        <v>0</v>
      </c>
      <c r="IN127" s="177">
        <f t="shared" si="197"/>
        <v>0</v>
      </c>
      <c r="IO127" s="177">
        <f t="shared" si="197"/>
        <v>0</v>
      </c>
      <c r="IP127" s="177">
        <f t="shared" si="197"/>
        <v>0</v>
      </c>
      <c r="IQ127" s="177">
        <f t="shared" si="197"/>
        <v>0</v>
      </c>
      <c r="IR127" s="177">
        <f t="shared" si="197"/>
        <v>0</v>
      </c>
      <c r="IS127" s="177">
        <f t="shared" si="197"/>
        <v>0</v>
      </c>
      <c r="IT127" s="177">
        <f t="shared" si="197"/>
        <v>0</v>
      </c>
      <c r="IU127" s="177">
        <f t="shared" si="197"/>
        <v>0</v>
      </c>
      <c r="IV127" s="177">
        <f t="shared" si="197"/>
        <v>0</v>
      </c>
      <c r="IW127" s="177">
        <f t="shared" si="197"/>
        <v>0</v>
      </c>
      <c r="IX127" s="177">
        <f t="shared" si="197"/>
        <v>0</v>
      </c>
      <c r="IY127" s="177">
        <f t="shared" si="197"/>
        <v>0</v>
      </c>
      <c r="IZ127" s="177">
        <f t="shared" si="197"/>
        <v>0</v>
      </c>
      <c r="JA127" s="177">
        <f t="shared" si="197"/>
        <v>0</v>
      </c>
      <c r="JB127" s="177">
        <f t="shared" si="197"/>
        <v>0</v>
      </c>
      <c r="JC127" s="177">
        <f t="shared" si="197"/>
        <v>0</v>
      </c>
      <c r="JD127" s="6"/>
    </row>
    <row r="128" spans="1:265" ht="4.5" customHeight="1" x14ac:dyDescent="0.25">
      <c r="A128" s="282"/>
      <c r="B128" s="3704"/>
      <c r="C128" s="3707"/>
      <c r="D128" s="638"/>
      <c r="E128" s="3709"/>
      <c r="F128" s="3711"/>
      <c r="G128" s="3759"/>
      <c r="H128" s="9"/>
      <c r="I128" s="3764"/>
      <c r="J128" s="3711"/>
      <c r="K128" s="6"/>
      <c r="L128" s="3768"/>
      <c r="M128" s="3768"/>
      <c r="N128" s="3770"/>
      <c r="O128" s="3772"/>
      <c r="P128" s="3766"/>
      <c r="Q128" s="1845"/>
      <c r="R128" s="3774"/>
      <c r="S128" s="3744"/>
      <c r="T128" s="462"/>
      <c r="U128" s="462"/>
      <c r="V128" s="462"/>
      <c r="W128" s="462"/>
      <c r="X128" s="463"/>
      <c r="Y128" s="463"/>
      <c r="Z128" s="463"/>
      <c r="AA128" s="463"/>
      <c r="AB128" s="463"/>
      <c r="AC128" s="463"/>
      <c r="AD128" s="464"/>
      <c r="AE128" s="464"/>
      <c r="AF128" s="464"/>
      <c r="AG128" s="464"/>
      <c r="AH128" s="464"/>
      <c r="AI128" s="464"/>
      <c r="AJ128" s="464"/>
      <c r="AK128" s="464"/>
      <c r="AL128" s="464"/>
      <c r="AM128" s="464"/>
      <c r="AN128" s="464"/>
      <c r="AO128" s="464"/>
      <c r="AP128" s="464"/>
      <c r="AQ128" s="464"/>
      <c r="AR128" s="464"/>
      <c r="AS128" s="464"/>
      <c r="AT128" s="464"/>
      <c r="AU128" s="464"/>
      <c r="AV128" s="464"/>
      <c r="AW128" s="464"/>
      <c r="AX128" s="464"/>
      <c r="AY128" s="464"/>
      <c r="AZ128" s="464"/>
      <c r="BA128" s="464"/>
      <c r="BB128" s="464"/>
      <c r="BC128" s="464"/>
      <c r="BD128" s="464"/>
      <c r="BE128" s="464"/>
      <c r="BF128" s="464"/>
      <c r="BG128" s="464"/>
      <c r="BH128" s="464"/>
      <c r="BI128" s="464"/>
      <c r="BJ128" s="464"/>
      <c r="BK128" s="464"/>
      <c r="BL128" s="464"/>
      <c r="BM128" s="464"/>
      <c r="BN128" s="464"/>
      <c r="BO128" s="464"/>
      <c r="BP128" s="464"/>
      <c r="BQ128" s="464"/>
      <c r="BR128" s="464"/>
      <c r="BS128" s="464"/>
      <c r="BT128" s="464"/>
      <c r="BU128" s="464"/>
      <c r="BV128" s="464"/>
      <c r="BW128" s="464"/>
      <c r="BX128" s="464"/>
      <c r="BY128" s="464"/>
      <c r="BZ128" s="464"/>
      <c r="CA128" s="464"/>
      <c r="CB128" s="464"/>
      <c r="CC128" s="464"/>
      <c r="CD128" s="464"/>
      <c r="CE128" s="464"/>
      <c r="CF128" s="464"/>
      <c r="CG128" s="464"/>
      <c r="CH128" s="464"/>
      <c r="CI128" s="464"/>
      <c r="CJ128" s="464"/>
      <c r="CK128" s="464"/>
      <c r="CL128" s="464"/>
      <c r="CM128" s="464"/>
      <c r="CN128" s="464"/>
      <c r="CO128" s="464"/>
      <c r="CP128" s="464"/>
      <c r="CQ128" s="464"/>
      <c r="CR128" s="464"/>
      <c r="CS128" s="464"/>
      <c r="CT128" s="464"/>
      <c r="CU128" s="464"/>
      <c r="CV128" s="464"/>
      <c r="CW128" s="464"/>
      <c r="CX128" s="464"/>
      <c r="CY128" s="464"/>
      <c r="CZ128" s="464"/>
      <c r="DA128" s="464"/>
      <c r="DB128" s="464"/>
      <c r="DC128" s="464"/>
      <c r="DD128" s="464"/>
      <c r="DE128" s="464"/>
      <c r="DF128" s="464"/>
      <c r="DG128" s="464"/>
      <c r="DH128" s="464"/>
      <c r="DI128" s="464"/>
      <c r="DJ128" s="464"/>
      <c r="DK128" s="464"/>
      <c r="DL128" s="464"/>
      <c r="DM128" s="464"/>
      <c r="DN128" s="464"/>
      <c r="DO128" s="464"/>
      <c r="DP128" s="3744"/>
      <c r="DQ128" s="3746"/>
      <c r="DR128" s="109"/>
      <c r="DS128" s="110"/>
      <c r="DT128" s="3727"/>
      <c r="DU128" s="3725"/>
      <c r="DV128" s="3761"/>
      <c r="DW128" s="3725"/>
      <c r="DX128" s="6"/>
      <c r="DY128" s="3735"/>
      <c r="DZ128" s="3737"/>
      <c r="EA128" s="3762"/>
      <c r="EB128" s="3733"/>
      <c r="EC128" s="3733"/>
      <c r="ED128" s="36"/>
      <c r="EE128" s="3723"/>
      <c r="EF128" s="134"/>
      <c r="EG128" s="110"/>
      <c r="EH128" s="110"/>
      <c r="EI128" s="110"/>
      <c r="EJ128" s="110"/>
      <c r="EK128" s="110"/>
      <c r="EL128" s="110"/>
      <c r="EM128" s="110"/>
      <c r="EN128" s="110"/>
      <c r="EO128" s="110"/>
      <c r="EP128" s="110"/>
      <c r="EQ128" s="110"/>
      <c r="ER128" s="110"/>
      <c r="ES128" s="110"/>
      <c r="ET128" s="110"/>
      <c r="EU128" s="110"/>
      <c r="EV128" s="110"/>
      <c r="EW128" s="110"/>
      <c r="EX128" s="110"/>
      <c r="EY128" s="110"/>
      <c r="EZ128" s="110"/>
      <c r="FA128" s="110"/>
      <c r="FB128" s="110"/>
      <c r="FC128" s="110"/>
      <c r="FD128" s="110"/>
      <c r="FE128" s="110"/>
      <c r="FF128" s="110"/>
      <c r="FG128" s="110"/>
      <c r="FH128" s="110"/>
      <c r="FI128" s="110"/>
      <c r="FJ128" s="110"/>
      <c r="FK128" s="110"/>
      <c r="FL128" s="110"/>
      <c r="FM128" s="110"/>
      <c r="FN128" s="110"/>
      <c r="FO128" s="110"/>
      <c r="FP128" s="110"/>
      <c r="FQ128" s="110"/>
      <c r="FR128" s="110"/>
      <c r="FS128" s="110"/>
      <c r="FT128" s="110"/>
      <c r="FU128" s="110"/>
      <c r="FV128" s="110"/>
      <c r="FW128" s="110"/>
      <c r="FX128" s="110"/>
      <c r="FY128" s="110"/>
      <c r="FZ128" s="110"/>
      <c r="GA128" s="110"/>
      <c r="GB128" s="110"/>
      <c r="GC128" s="110"/>
      <c r="GD128" s="110"/>
      <c r="GE128" s="110"/>
      <c r="GF128" s="110"/>
      <c r="GG128" s="110"/>
      <c r="GH128" s="110"/>
      <c r="GI128" s="110"/>
      <c r="GJ128" s="110"/>
      <c r="GK128" s="110"/>
      <c r="GL128" s="110"/>
      <c r="GM128" s="110"/>
      <c r="GN128" s="110"/>
      <c r="GO128" s="110"/>
      <c r="GP128" s="110"/>
      <c r="GQ128" s="110"/>
      <c r="GR128" s="110"/>
      <c r="GS128" s="110"/>
      <c r="GT128" s="110"/>
      <c r="GU128" s="110"/>
      <c r="GV128" s="110"/>
      <c r="GW128" s="110"/>
      <c r="GX128" s="110"/>
      <c r="GY128" s="110"/>
      <c r="GZ128" s="110"/>
      <c r="HA128" s="110"/>
      <c r="HB128" s="110"/>
      <c r="HC128" s="110"/>
      <c r="HD128" s="110"/>
      <c r="HE128" s="110"/>
      <c r="HF128" s="110"/>
      <c r="HG128" s="110"/>
      <c r="HH128" s="110"/>
      <c r="HI128" s="110"/>
      <c r="HJ128" s="110"/>
      <c r="HK128" s="110"/>
      <c r="HL128" s="110"/>
      <c r="HM128" s="110"/>
      <c r="HN128" s="110"/>
      <c r="HO128" s="110"/>
      <c r="HP128" s="110"/>
      <c r="HQ128" s="110"/>
      <c r="HR128" s="110"/>
      <c r="HS128" s="110"/>
      <c r="HT128" s="110"/>
      <c r="HU128" s="110"/>
      <c r="HV128" s="110"/>
      <c r="HW128" s="110"/>
      <c r="HX128" s="110"/>
      <c r="HY128" s="110"/>
      <c r="HZ128" s="110"/>
      <c r="IA128" s="110"/>
      <c r="IB128" s="110"/>
      <c r="IC128" s="110"/>
      <c r="ID128" s="110"/>
      <c r="IE128" s="110"/>
      <c r="IF128" s="110"/>
      <c r="IG128" s="110"/>
      <c r="IH128" s="110"/>
      <c r="II128" s="110"/>
      <c r="IJ128" s="110"/>
      <c r="IK128" s="110"/>
      <c r="IL128" s="110"/>
      <c r="IM128" s="110"/>
      <c r="IN128" s="110"/>
      <c r="IO128" s="110"/>
      <c r="IP128" s="110"/>
      <c r="IQ128" s="110"/>
      <c r="IR128" s="110"/>
      <c r="IS128" s="110"/>
      <c r="IT128" s="110"/>
      <c r="IU128" s="110"/>
      <c r="IV128" s="110"/>
      <c r="IW128" s="110"/>
      <c r="IX128" s="110"/>
      <c r="IY128" s="110"/>
      <c r="IZ128" s="110"/>
      <c r="JA128" s="110"/>
      <c r="JB128" s="110"/>
      <c r="JC128" s="110"/>
      <c r="JD128" s="110"/>
    </row>
    <row r="129" spans="1:266" s="2" customFormat="1" ht="15" customHeight="1" x14ac:dyDescent="0.25">
      <c r="A129" s="283"/>
      <c r="B129" s="302"/>
      <c r="C129" s="300"/>
      <c r="D129" s="105"/>
      <c r="E129" s="2297"/>
      <c r="F129" s="1812"/>
      <c r="G129" s="3341"/>
      <c r="H129" s="105"/>
      <c r="I129" s="1745"/>
      <c r="J129" s="86"/>
      <c r="K129" s="105"/>
      <c r="L129" s="87"/>
      <c r="M129" s="88"/>
      <c r="N129" s="89"/>
      <c r="O129" s="90"/>
      <c r="P129" s="1849"/>
      <c r="Q129" s="1851"/>
      <c r="R129" s="993">
        <f t="shared" ref="R129:R160" si="198">CHOOSE(AD129,SUMIFS($T$129:$T$304,$AE$129:$AE$304,AE129,$AD$129:$AD$304,3,$DF$129:$DF$304,1,$AG$129:$AG$304,1),SUMIFS($T$129:$T$304,$AF$129:$AF$304,AF129,$AD$129:$AD$304,3,$DF$129:$DF$304,1,$AG$129:$AG$304,1),T129+U129)</f>
        <v>0</v>
      </c>
      <c r="S129" s="78">
        <f>CHOOSE($AD129,SUMIFS($S$129:$S$304,$AE$129:$AE$304,AE129,$DF$129:$DF$304,1),SUMIFS($S$129:$S$304,$AF$129:$AF$304,AF129,$DF$129:$DF$304,1),V129+Y129+AB129)</f>
        <v>0</v>
      </c>
      <c r="T129" s="24">
        <f>IF($AD129=3,BW129*AG129,0)</f>
        <v>0</v>
      </c>
      <c r="U129" s="24">
        <f t="shared" ref="U129:U193" si="199">IF($AD129=3,AR129*(1-AG129),0)</f>
        <v>0</v>
      </c>
      <c r="V129" s="24">
        <f>T129*AP129*AG129</f>
        <v>0</v>
      </c>
      <c r="W129" s="24">
        <f>X129*AO129</f>
        <v>0</v>
      </c>
      <c r="X129" s="72">
        <f>IF($AD129=3,SUMPRODUCT(BX129:CG129,CH129:CQ129)*AG129,0)</f>
        <v>0</v>
      </c>
      <c r="Y129" s="24">
        <f>IF($AD129=3,SUMPRODUCT(AS129:BB129,BM129:BV129),0)</f>
        <v>0</v>
      </c>
      <c r="Z129" s="72">
        <f t="shared" ref="Z129:Z160" si="200">IF($AD129=3,SUMPRODUCT(AS129:BB129,BC129:BL129),0)</f>
        <v>0</v>
      </c>
      <c r="AA129" s="72">
        <f>$DV129*$CT129*(1+DW129)*AG129</f>
        <v>0</v>
      </c>
      <c r="AB129" s="24">
        <f>$DV129*$CT129*(1-$CX129)</f>
        <v>0</v>
      </c>
      <c r="AC129" s="24" t="s">
        <v>5</v>
      </c>
      <c r="AD129" s="25">
        <f t="shared" ref="AD129:AD160" si="201">IF(N129="",3,IF(AND(L129&gt;0,M129&gt;0),2,1))</f>
        <v>3</v>
      </c>
      <c r="AE129" s="25">
        <f t="shared" ref="AE129:AE160" si="202">IF(AND(ISNUMBER(VALUE(L129)),RIGHT(L129,1)="0"),(L129+0.00001),L129)</f>
        <v>0</v>
      </c>
      <c r="AF129" s="25">
        <f t="shared" ref="AF129:AF160" si="203">IF(AND(ISNUMBER(VALUE(M129)),RIGHT(M129,1)="0"),(M129+0.00001),M129)</f>
        <v>0</v>
      </c>
      <c r="AG129" s="25">
        <f>IF(OR($G129="NB",DG129="R"),0,1)</f>
        <v>1</v>
      </c>
      <c r="AH129" s="25" t="str">
        <f>IFERROR(MATCH(DY129,'2 Staff List'!$IA$64:$IA$114,0),"x")</f>
        <v>x</v>
      </c>
      <c r="AI129" s="1181">
        <f>IFERROR(INDEX('2 Staff List'!$EX$64:$EX$114,$AH129),0)</f>
        <v>0</v>
      </c>
      <c r="AJ129" s="25">
        <f>IFERROR(INDEX('2 Staff List'!$IW$64:$IW$114,$AH129),0)</f>
        <v>0</v>
      </c>
      <c r="AK129" s="25">
        <f>IFERROR(INDEX('2 Staff List'!$IB$64:$IB$114,$AH129),0)</f>
        <v>0</v>
      </c>
      <c r="AL129" s="25">
        <f>IF(OR(NOT(ISBLANK(DV129)),CX129=1),"&lt;Non-Labor&gt;",IFERROR(IF(AH129=0,0,INDEX('2 Staff List'!$HZ$64:$HZ$114,$AH129)),0))</f>
        <v>0</v>
      </c>
      <c r="AM129" s="25">
        <f>IFERROR(INDEX('2 Staff List'!$HW$64:$HW$114,$AH129),0)</f>
        <v>0</v>
      </c>
      <c r="AN129" s="25">
        <f>(1+B129)*IF(ISBLANK(EE129),1,EE129)</f>
        <v>1</v>
      </c>
      <c r="AO129" s="25">
        <f>IF($AO$127=0,0,IFERROR(INDEX('2 Staff List'!$JH$64:$JH$114,$AH129),0))</f>
        <v>0</v>
      </c>
      <c r="AP129" s="25">
        <f>IFERROR(INDEX('2 Staff List'!$HU$64:$HU$114,$AH129),0)</f>
        <v>0</v>
      </c>
      <c r="AQ129" s="25">
        <f>IF(AND(DV129&lt;&gt;0,SUMPRODUCT($EG129:$JD129,$EG$17:$JD$17)=0),1,0)</f>
        <v>0</v>
      </c>
      <c r="AR129" s="25">
        <f>IF(OR($AD129&lt;&gt;3,$DV129&gt;0,$DY129=0),0,SUMIFS($EG129:$JD129,$EG$17:$JD$17,1)*AN129)</f>
        <v>0</v>
      </c>
      <c r="AS129" s="25">
        <f>IF(OR($AD129&lt;&gt;3,$DV129&gt;0),0,SUMIFS($EG129:$JD129,$EG$17:$JD$17,1,$EG$124:$JD$124,1)*AN129)</f>
        <v>0</v>
      </c>
      <c r="AT129" s="25">
        <f>IF(OR($AD129&lt;&gt;3,$DV129&gt;0),0,SUMIFS($EG129:$JD129,$EG$17:$JD$17,1,$EG$124:$JD$124,2)*AN129)</f>
        <v>0</v>
      </c>
      <c r="AU129" s="25">
        <f>IF(OR($AD129&lt;&gt;3,$DV129&gt;0),0,SUMIFS($EG129:$JD129,$EG$17:$JD$17,1,$EG$124:$JD$124,3)*AN129)</f>
        <v>0</v>
      </c>
      <c r="AV129" s="25">
        <f>IF(OR($AD129&lt;&gt;3,$DV129&gt;0),0,SUMIFS($EG129:$JD129,$EG$17:$JD$17,1,$EG$124:$JD$124,4)*AN129)</f>
        <v>0</v>
      </c>
      <c r="AW129" s="25">
        <f>IF(OR($AD129&lt;&gt;3,$DV129&gt;0),0,SUMIFS($EG129:$JD129,$EG$17:$JD$17,1,$EG$124:$JD$124,5)*AN129)</f>
        <v>0</v>
      </c>
      <c r="AX129" s="25">
        <f>IF(OR($AD129&lt;&gt;3,$DV129&gt;0),0,SUMIFS($EG129:$JD129,$EG$17:$JD$17,1,$EG$124:$JD$124,6)*AN129)</f>
        <v>0</v>
      </c>
      <c r="AY129" s="25">
        <f>IF(OR($AD129&lt;&gt;3,$DV129&gt;0),0,SUMIFS($EG129:$JD129,$EG$17:$JD$17,1,$EG$124:$JD$124,7)*AN129)</f>
        <v>0</v>
      </c>
      <c r="AZ129" s="25">
        <f>IF(OR($AD129&lt;&gt;3,$DV129&gt;0),0,SUMIFS($EG129:$JD129,$EG$17:$JD$17,1,$EG$124:$JD$124,8)*AN129)</f>
        <v>0</v>
      </c>
      <c r="BA129" s="25">
        <f>IF(OR($AD129&lt;&gt;3,$DV129&gt;0),0,SUMIFS($EG129:$JD129,$EG$17:$JD$17,1,$EG$124:$JD$124,9)*AN129)</f>
        <v>0</v>
      </c>
      <c r="BB129" s="25">
        <f>IF(OR($AD129&lt;&gt;3,$DV129&gt;0),0,SUMIFS($EG129:$JD129,$EG$17:$JD$17,1,$EG$124:$JD$124,10)*AN129)</f>
        <v>0</v>
      </c>
      <c r="BC129" s="25">
        <f>IFERROR(INDEX('2 Staff List'!KS$64:KS$114,$AH129),0)</f>
        <v>0</v>
      </c>
      <c r="BD129" s="25">
        <f>IFERROR(INDEX('2 Staff List'!KT$64:KT$114,$AH129),0)</f>
        <v>0</v>
      </c>
      <c r="BE129" s="25">
        <f>IFERROR(INDEX('2 Staff List'!KU$64:KU$114,$AH129),0)</f>
        <v>0</v>
      </c>
      <c r="BF129" s="25">
        <f>IFERROR(INDEX('2 Staff List'!KV$64:KV$114,$AH129),0)</f>
        <v>0</v>
      </c>
      <c r="BG129" s="25">
        <f>IFERROR(INDEX('2 Staff List'!KW$64:KW$114,$AH129),0)</f>
        <v>0</v>
      </c>
      <c r="BH129" s="25">
        <f>IFERROR(INDEX('2 Staff List'!KX$64:KX$114,$AH129),0)</f>
        <v>0</v>
      </c>
      <c r="BI129" s="25">
        <f>IFERROR(INDEX('2 Staff List'!KY$64:KY$114,$AH129),0)</f>
        <v>0</v>
      </c>
      <c r="BJ129" s="25">
        <f>IFERROR(INDEX('2 Staff List'!KZ$64:KZ$114,$AH129),0)</f>
        <v>0</v>
      </c>
      <c r="BK129" s="25">
        <f>IFERROR(INDEX('2 Staff List'!LA$64:LA$114,$AH129),0)</f>
        <v>0</v>
      </c>
      <c r="BL129" s="25">
        <f>IFERROR(INDEX('2 Staff List'!LB$64:LB$114,$AH129),0)</f>
        <v>0</v>
      </c>
      <c r="BM129" s="25">
        <f>IFERROR(INDEX('2 Staff List'!FT$64:FT$114,$AH129),0)</f>
        <v>0</v>
      </c>
      <c r="BN129" s="25">
        <f>IFERROR(INDEX('2 Staff List'!FU$64:FU$114,$AH129),0)</f>
        <v>0</v>
      </c>
      <c r="BO129" s="25">
        <f>IFERROR(INDEX('2 Staff List'!FV$64:FV$114,$AH129),0)</f>
        <v>0</v>
      </c>
      <c r="BP129" s="25">
        <f>IFERROR(INDEX('2 Staff List'!FW$64:FW$114,$AH129),0)</f>
        <v>0</v>
      </c>
      <c r="BQ129" s="25">
        <f>IFERROR(INDEX('2 Staff List'!FX$64:FX$114,$AH129),0)</f>
        <v>0</v>
      </c>
      <c r="BR129" s="25">
        <f>IFERROR(INDEX('2 Staff List'!FY$64:FY$114,$AH129),0)</f>
        <v>0</v>
      </c>
      <c r="BS129" s="25">
        <f>IFERROR(INDEX('2 Staff List'!FZ$64:FZ$114,$AH129),0)</f>
        <v>0</v>
      </c>
      <c r="BT129" s="25">
        <f>IFERROR(INDEX('2 Staff List'!GA$64:GA$114,$AH129),0)</f>
        <v>0</v>
      </c>
      <c r="BU129" s="25">
        <f>IFERROR(INDEX('2 Staff List'!GB$64:GB$114,$AH129),0)</f>
        <v>0</v>
      </c>
      <c r="BV129" s="25">
        <f>IFERROR(INDEX('2 Staff List'!GC$64:GC$114,$AH129),0)</f>
        <v>0</v>
      </c>
      <c r="BW129" s="25">
        <f>IF(OR($AD129&lt;&gt;3,$DV129&gt;0,$DY129=0),0,SUMIFS($EG129:$JD129,$EG$17:$JD$17,1)*AN129*$AG129)</f>
        <v>0</v>
      </c>
      <c r="BX129" s="25">
        <f>IF(OR($AD129&lt;&gt;3,$DV129&gt;0),0,SUMIFS($EG129:$JD129,$EG$17:$JD$17,1,$EG$123:$JD$123,1)*AN129)</f>
        <v>0</v>
      </c>
      <c r="BY129" s="25">
        <f>IF(OR($AD129&lt;&gt;3,$DV129&gt;0),0,SUMIFS($EG129:$JD129,$EG$17:$JD$17,1,$EG$123:$JD$123,2)*AN129)</f>
        <v>0</v>
      </c>
      <c r="BZ129" s="25">
        <f>IF(OR($AD129&lt;&gt;3,$DV129&gt;0),0,SUMIFS($EG129:$JD129,$EG$17:$JD$17,1,$EG$123:$JD$123,3)*AN129)</f>
        <v>0</v>
      </c>
      <c r="CA129" s="25">
        <f>IF(OR($AD129&lt;&gt;3,$DV129&gt;0),0,SUMIFS($EG129:$JD129,$EG$17:$JD$17,1,$EG$123:$JD$123,4)*AN129)</f>
        <v>0</v>
      </c>
      <c r="CB129" s="25">
        <f>IF(OR($AD129&lt;&gt;3,$DV129&gt;0),0,SUMIFS($EG129:$JD129,$EG$17:$JD$17,1,$EG$123:$JD$123,5)*AN129)</f>
        <v>0</v>
      </c>
      <c r="CC129" s="25">
        <f>IF(OR($AD129&lt;&gt;3,$DV129&gt;0),0,SUMIFS($EG129:$JD129,$EG$17:$JD$17,1,$EG$123:$JD$123,6)*AN129)</f>
        <v>0</v>
      </c>
      <c r="CD129" s="25">
        <f>IF(OR($AD129&lt;&gt;3,$DV129&gt;0),0,SUMIFS($EG129:$JD129,$EG$17:$JD$17,1,$EG$123:$JD$123,7)*AN129)</f>
        <v>0</v>
      </c>
      <c r="CE129" s="25">
        <f>IF(OR($AD129&lt;&gt;3,$DV129&gt;0),0,SUMIFS($EG129:$JD129,$EG$17:$JD$17,1,$EG$123:$JD$123,8)*AN129)</f>
        <v>0</v>
      </c>
      <c r="CF129" s="25">
        <f>IF(OR($AD129&lt;&gt;3,$DV129&gt;0),0,SUMIFS($EG129:$JD129,$EG$17:$JD$17,1,$EG$123:$JD$123,9)*AN129)</f>
        <v>0</v>
      </c>
      <c r="CG129" s="25">
        <f>IF(OR($AD129&lt;&gt;3,$DV129&gt;0),0,SUMIFS($EG129:$JD129,$EG$17:$JD$17,1,$EG$123:$JD$123,10)*AN129)</f>
        <v>0</v>
      </c>
      <c r="CH129" s="25">
        <f>IFERROR(INDEX('2 Staff List'!LO$64:LO$114,$AH129),0)</f>
        <v>0</v>
      </c>
      <c r="CI129" s="25">
        <f>IFERROR(INDEX('2 Staff List'!LP$64:LP$114,$AH129),0)</f>
        <v>0</v>
      </c>
      <c r="CJ129" s="25">
        <f>IFERROR(INDEX('2 Staff List'!LQ$64:LQ$114,$AH129),0)</f>
        <v>0</v>
      </c>
      <c r="CK129" s="25">
        <f>IFERROR(INDEX('2 Staff List'!LR$64:LR$114,$AH129),0)</f>
        <v>0</v>
      </c>
      <c r="CL129" s="25">
        <f>IFERROR(INDEX('2 Staff List'!LS$64:LS$114,$AH129),0)</f>
        <v>0</v>
      </c>
      <c r="CM129" s="25">
        <f>IFERROR(INDEX('2 Staff List'!LT$64:LT$114,$AH129),0)</f>
        <v>0</v>
      </c>
      <c r="CN129" s="25">
        <f>IFERROR(INDEX('2 Staff List'!LU$64:LU$114,$AH129),0)</f>
        <v>0</v>
      </c>
      <c r="CO129" s="25">
        <f>IFERROR(INDEX('2 Staff List'!LV$64:LV$114,$AH129),0)</f>
        <v>0</v>
      </c>
      <c r="CP129" s="25">
        <f>IFERROR(INDEX('2 Staff List'!LW$64:LW$114,$AH129),0)</f>
        <v>0</v>
      </c>
      <c r="CQ129" s="25">
        <f>IFERROR(INDEX('2 Staff List'!LX$64:LX$114,$AH129),0)</f>
        <v>0</v>
      </c>
      <c r="CR129" s="25">
        <f t="shared" ref="CR129:CR160" si="204">IF(AD129=3,SUMPRODUCT($EG129:$JD129,$EG$17:$JD$17),0)</f>
        <v>0</v>
      </c>
      <c r="CS129" s="25">
        <f>IFERROR(1/CR129,1)</f>
        <v>1</v>
      </c>
      <c r="CT129" s="25">
        <f>IF(NOT(ISBLANK(DU129)),DU129,1)</f>
        <v>1</v>
      </c>
      <c r="CU129" s="25">
        <f>IF(DT129=$CU$127,0,1)</f>
        <v>1</v>
      </c>
      <c r="CV129" s="25">
        <f>IF(AND(AD129=3,OR(F129="",F129="Approved")),1,0)</f>
        <v>1</v>
      </c>
      <c r="CW129" s="25">
        <f>IF(AD129&lt;&gt;3,0,IF(OR(F129="",F129="Approved",F129="Pend w FC"),1,0))</f>
        <v>1</v>
      </c>
      <c r="CX129" s="25">
        <f>IF(AND(Z129=0,OR(G129="RO",DG129="V",DG129="W")),1,0)</f>
        <v>0</v>
      </c>
      <c r="CY129" s="25">
        <f>IF(OR(DG129="S",DG129="R",DG129="V",DG129="U",DG129="W",DG129="Z"),1,0)</f>
        <v>0</v>
      </c>
      <c r="CZ129" s="25">
        <f>IF(AD129&lt;&gt;3,0,IF(OR(F129="Pending",F129="Pend w FC"),1,0))</f>
        <v>0</v>
      </c>
      <c r="DA129" s="25">
        <f>IF(OR($F129="Exclude",$AD129&lt;&gt;3),0,1)</f>
        <v>1</v>
      </c>
      <c r="DB129" s="25">
        <f t="shared" ref="DB129:DB160" si="205">IF($AD129&lt;&gt;3,0,IF(F129="",1,0))</f>
        <v>1</v>
      </c>
      <c r="DC129" s="25">
        <f>IF($F129="Approved",1,0)</f>
        <v>0</v>
      </c>
      <c r="DD129" s="25">
        <f>IF(OR($AD129&lt;&gt;3,F129="Exclude"),0,IF(ISERROR(MATCH($E129,'4 Sign-off'!$S$123:$X$123,0)),0,1))</f>
        <v>0</v>
      </c>
      <c r="DE129" s="25">
        <f t="shared" ref="DE129:DE160" si="206">IF($C$6&lt;&gt;"B",1,CHOOSE($DE$119,DD129,CZ129+DC129,CZ129,DC129))</f>
        <v>0</v>
      </c>
      <c r="DF129" s="25">
        <f>CHOOSE($DF$119,CV129,CW129,DE129)</f>
        <v>0</v>
      </c>
      <c r="DG129" s="25" t="str">
        <f>LEFT(J129,1)</f>
        <v/>
      </c>
      <c r="DH129" s="25">
        <f>IF(SUM(X129:AB129)=0,0,IF(ISBLANK(DV129),"L","N"))</f>
        <v>0</v>
      </c>
      <c r="DI129" s="25">
        <f>IF(OR(DH129=0,DG129="S",ISBLANK(J129)),0,IF(OR(DG129="A",DG129="G",DG129="L"),IF(DH129="L",0,1),IF(DH129="N",0,1)))</f>
        <v>0</v>
      </c>
      <c r="DJ129" s="25">
        <f>IF(ISBLANK(J129),0,ISERROR(MATCH(J129,'5  Control Accounts'!$FA$29:$FA$96,0))*1)</f>
        <v>0</v>
      </c>
      <c r="DK129" s="25">
        <f>AND($C$5,(T129+U129+AB129)&lt;&gt;0,ISBLANK(J129),F129&lt;&gt;"Exclude")*1</f>
        <v>0</v>
      </c>
      <c r="DL129" s="25">
        <f t="shared" ref="DL129:DL160" si="207">IF(OR((T129+U129)&gt;0,(AA129+AB129)&gt;0),J129,-1)</f>
        <v>-1</v>
      </c>
      <c r="DM129" s="25" t="e">
        <f t="array" ref="DM129">MATCH(1,($EG129:$JD129&gt;0)*$EG$17:$JD$17,0)</f>
        <v>#N/A</v>
      </c>
      <c r="DN129" s="25" t="e">
        <f t="shared" ref="DN129:DN160" si="208">IF($C$6&lt;&gt;"F",DO129,IF(DO129&lt;$EB$17,NA(),DO129))</f>
        <v>#N/A</v>
      </c>
      <c r="DO129" s="25" t="e">
        <f t="array" ref="DO129">MATCH(2,1/(EG129:JD129&gt;0))</f>
        <v>#N/A</v>
      </c>
      <c r="DP129" s="2993">
        <f>CHOOSE($AD129,SUMIFS($DP$129:$DP$304,$AE$129:$AE$304,$AE129,$DF$129:$DF$304,1),SUMIFS($DP$129:$DP$304,$AF$129:$AF$304,$AF129,$DF$129:$DF$304,1),X129+AA129)</f>
        <v>0</v>
      </c>
      <c r="DQ129" s="3111">
        <f>CHOOSE($AD129,SUMIFS($DQ$129:$DQ$304,$AE$129:$AE$304,$AE129,$DF$129:$DF$304,1),SUMIFS($DQ$129:$DQ$304,$AF$129:$AF$304,$AF129,$DF$129:$DF$304,1),DP129-S129)</f>
        <v>0</v>
      </c>
      <c r="DR129" s="111"/>
      <c r="DS129" s="1266">
        <f t="shared" ref="DS129:DS151" si="209">N129</f>
        <v>0</v>
      </c>
      <c r="DT129" s="1821"/>
      <c r="DU129" s="1822"/>
      <c r="DV129" s="1823"/>
      <c r="DW129" s="1824"/>
      <c r="DX129" s="1801"/>
      <c r="DY129" s="1263"/>
      <c r="DZ129" s="1783">
        <f t="shared" ref="DZ129:DZ160" si="210">AL129</f>
        <v>0</v>
      </c>
      <c r="EA129" s="1784">
        <f t="shared" ref="EA129:EA160" si="211">IF($AD129=3,T129+U129,0)</f>
        <v>0</v>
      </c>
      <c r="EB129" s="1779">
        <f t="shared" ref="EB129:EB160" si="212">IF(ISERROR(DM129),0,CHOOSE($DY$3,(DM129*7)+$EG$126-11,EOMONTH($EG$126,DM129-2)+1))</f>
        <v>0</v>
      </c>
      <c r="EC129" s="1780">
        <f t="shared" ref="EC129:EC160" si="213">IF(ISERROR(DN129),0,CHOOSE($DY$3,(DN129*7)+$EG$126-7,EOMONTH($EG$126,DN129-1)))</f>
        <v>0</v>
      </c>
      <c r="ED129" s="1261"/>
      <c r="EE129" s="2279"/>
      <c r="EF129" s="1802"/>
      <c r="EG129" s="1656"/>
      <c r="EH129" s="1657"/>
      <c r="EI129" s="1657"/>
      <c r="EJ129" s="1657"/>
      <c r="EK129" s="1657"/>
      <c r="EL129" s="1657"/>
      <c r="EM129" s="1657"/>
      <c r="EN129" s="1657"/>
      <c r="EO129" s="1657"/>
      <c r="EP129" s="1657"/>
      <c r="EQ129" s="1657"/>
      <c r="ER129" s="1657"/>
      <c r="ES129" s="1657"/>
      <c r="ET129" s="1657"/>
      <c r="EU129" s="1657"/>
      <c r="EV129" s="1657"/>
      <c r="EW129" s="1657"/>
      <c r="EX129" s="1657"/>
      <c r="EY129" s="1657"/>
      <c r="EZ129" s="1657"/>
      <c r="FA129" s="1657"/>
      <c r="FB129" s="1657"/>
      <c r="FC129" s="1657"/>
      <c r="FD129" s="1657"/>
      <c r="FE129" s="1657"/>
      <c r="FF129" s="1657"/>
      <c r="FG129" s="1657"/>
      <c r="FH129" s="1657"/>
      <c r="FI129" s="1657"/>
      <c r="FJ129" s="1657"/>
      <c r="FK129" s="1657"/>
      <c r="FL129" s="1657"/>
      <c r="FM129" s="1657"/>
      <c r="FN129" s="1657"/>
      <c r="FO129" s="1657"/>
      <c r="FP129" s="1657"/>
      <c r="FQ129" s="1657"/>
      <c r="FR129" s="1657"/>
      <c r="FS129" s="1657"/>
      <c r="FT129" s="1657"/>
      <c r="FU129" s="1657"/>
      <c r="FV129" s="1657"/>
      <c r="FW129" s="1657"/>
      <c r="FX129" s="1657"/>
      <c r="FY129" s="1657"/>
      <c r="FZ129" s="1657"/>
      <c r="GA129" s="1657"/>
      <c r="GB129" s="1657"/>
      <c r="GC129" s="1657"/>
      <c r="GD129" s="1657"/>
      <c r="GE129" s="1657"/>
      <c r="GF129" s="1657"/>
      <c r="GG129" s="1657"/>
      <c r="GH129" s="1657"/>
      <c r="GI129" s="1657"/>
      <c r="GJ129" s="1657"/>
      <c r="GK129" s="1657"/>
      <c r="GL129" s="1657"/>
      <c r="GM129" s="1657"/>
      <c r="GN129" s="1657"/>
      <c r="GO129" s="1657"/>
      <c r="GP129" s="1657"/>
      <c r="GQ129" s="1657"/>
      <c r="GR129" s="1657"/>
      <c r="GS129" s="1657"/>
      <c r="GT129" s="1657"/>
      <c r="GU129" s="1657"/>
      <c r="GV129" s="1657"/>
      <c r="GW129" s="1657"/>
      <c r="GX129" s="1657"/>
      <c r="GY129" s="1657"/>
      <c r="GZ129" s="1657"/>
      <c r="HA129" s="1657"/>
      <c r="HB129" s="1657"/>
      <c r="HC129" s="1657"/>
      <c r="HD129" s="1657"/>
      <c r="HE129" s="1657"/>
      <c r="HF129" s="1657"/>
      <c r="HG129" s="1657"/>
      <c r="HH129" s="1657"/>
      <c r="HI129" s="1657"/>
      <c r="HJ129" s="1657"/>
      <c r="HK129" s="1657"/>
      <c r="HL129" s="1657"/>
      <c r="HM129" s="1657"/>
      <c r="HN129" s="1657"/>
      <c r="HO129" s="1657"/>
      <c r="HP129" s="1657"/>
      <c r="HQ129" s="1657"/>
      <c r="HR129" s="1657"/>
      <c r="HS129" s="1657"/>
      <c r="HT129" s="1657"/>
      <c r="HU129" s="1657"/>
      <c r="HV129" s="1657"/>
      <c r="HW129" s="1657"/>
      <c r="HX129" s="1657"/>
      <c r="HY129" s="1657"/>
      <c r="HZ129" s="1657"/>
      <c r="IA129" s="1657"/>
      <c r="IB129" s="1657"/>
      <c r="IC129" s="1657"/>
      <c r="ID129" s="1657"/>
      <c r="IE129" s="1657"/>
      <c r="IF129" s="1657"/>
      <c r="IG129" s="1657"/>
      <c r="IH129" s="1657"/>
      <c r="II129" s="1657"/>
      <c r="IJ129" s="1657"/>
      <c r="IK129" s="1657"/>
      <c r="IL129" s="1657"/>
      <c r="IM129" s="1657"/>
      <c r="IN129" s="1657"/>
      <c r="IO129" s="1657"/>
      <c r="IP129" s="1657"/>
      <c r="IQ129" s="1657"/>
      <c r="IR129" s="1657"/>
      <c r="IS129" s="1657"/>
      <c r="IT129" s="1657"/>
      <c r="IU129" s="1657"/>
      <c r="IV129" s="1657"/>
      <c r="IW129" s="1657"/>
      <c r="IX129" s="1657"/>
      <c r="IY129" s="1657"/>
      <c r="IZ129" s="1657"/>
      <c r="JA129" s="1657"/>
      <c r="JB129" s="1657"/>
      <c r="JC129" s="1658"/>
      <c r="JD129" s="609"/>
      <c r="JE129" s="1"/>
      <c r="JF129" s="1"/>
    </row>
    <row r="130" spans="1:266" s="2" customFormat="1" ht="15" customHeight="1" x14ac:dyDescent="0.25">
      <c r="A130" s="283"/>
      <c r="B130" s="303"/>
      <c r="C130" s="301"/>
      <c r="D130" s="638"/>
      <c r="E130" s="2298"/>
      <c r="F130" s="1812"/>
      <c r="G130" s="3342"/>
      <c r="H130" s="105"/>
      <c r="I130" s="1746"/>
      <c r="J130" s="86"/>
      <c r="K130" s="105"/>
      <c r="L130" s="91"/>
      <c r="M130" s="92"/>
      <c r="N130" s="93"/>
      <c r="O130" s="94"/>
      <c r="P130" s="96"/>
      <c r="Q130" s="95"/>
      <c r="R130" s="993">
        <f t="shared" si="198"/>
        <v>0</v>
      </c>
      <c r="S130" s="23">
        <f t="shared" ref="S130:S193" si="214">CHOOSE($AD130,SUMIFS($S$129:$S$304,$AE$129:$AE$304,AE130,$DF$129:$DF$304,1),SUMIFS($S$129:$S$304,$AF$129:$AF$304,AF130,$DF$129:$DF$304,1),V130+Y130+AB130)</f>
        <v>0</v>
      </c>
      <c r="T130" s="24">
        <f t="shared" ref="T130:T193" si="215">IF($AD130=3,BW130*AG130,0)</f>
        <v>0</v>
      </c>
      <c r="U130" s="24">
        <f t="shared" si="199"/>
        <v>0</v>
      </c>
      <c r="V130" s="24">
        <f t="shared" ref="V130:V193" si="216">T130*AP130*AG130</f>
        <v>0</v>
      </c>
      <c r="W130" s="24">
        <f t="shared" ref="W130:W193" si="217">X130*AO130</f>
        <v>0</v>
      </c>
      <c r="X130" s="72">
        <f t="shared" ref="X130:X193" si="218">IF($AD130=3,SUMPRODUCT(BX130:CG130,CH130:CQ130)*AG130,0)</f>
        <v>0</v>
      </c>
      <c r="Y130" s="72">
        <f t="shared" ref="Y130:Y193" si="219">IF($AD130=3,SUMPRODUCT(AS130:BB130,BM130:BV130),0)</f>
        <v>0</v>
      </c>
      <c r="Z130" s="24">
        <f t="shared" si="200"/>
        <v>0</v>
      </c>
      <c r="AA130" s="72">
        <f t="shared" ref="AA130:AA193" si="220">$DV130*$CT130*(1+DW130)*AG130</f>
        <v>0</v>
      </c>
      <c r="AB130" s="24">
        <f t="shared" ref="AB130:AB193" si="221">$DV130*$CT130*(1-$CX130)</f>
        <v>0</v>
      </c>
      <c r="AC130" s="24" t="s">
        <v>5</v>
      </c>
      <c r="AD130" s="25">
        <f t="shared" si="201"/>
        <v>3</v>
      </c>
      <c r="AE130" s="25">
        <f t="shared" si="202"/>
        <v>0</v>
      </c>
      <c r="AF130" s="25">
        <f t="shared" si="203"/>
        <v>0</v>
      </c>
      <c r="AG130" s="25">
        <f t="shared" ref="AG130:AG193" si="222">IF(OR($G130="NB",DG130="R"),0,1)</f>
        <v>1</v>
      </c>
      <c r="AH130" s="25" t="str">
        <f>IFERROR(MATCH(DY130,'2 Staff List'!$IA$64:$IA$114,0),"x")</f>
        <v>x</v>
      </c>
      <c r="AI130" s="1181">
        <f>IFERROR(INDEX('2 Staff List'!$EX$64:$EX$114,$AH130),0)</f>
        <v>0</v>
      </c>
      <c r="AJ130" s="25">
        <f>IFERROR(INDEX('2 Staff List'!$IW$64:$IW$114,$AH130),0)</f>
        <v>0</v>
      </c>
      <c r="AK130" s="25">
        <f>IFERROR(INDEX('2 Staff List'!$IB$64:$IB$114,$AH130),0)</f>
        <v>0</v>
      </c>
      <c r="AL130" s="25">
        <f>IF(OR(NOT(ISBLANK(DV130)),CX130=1),"&lt;Non-Labor&gt;",IFERROR(IF(AH130=0,0,INDEX('2 Staff List'!$HZ$64:$HZ$114,$AH130)),0))</f>
        <v>0</v>
      </c>
      <c r="AM130" s="25">
        <f>IFERROR(INDEX('2 Staff List'!$HW$64:$HW$114,$AH130),0)</f>
        <v>0</v>
      </c>
      <c r="AN130" s="25">
        <f t="shared" ref="AN130:AN193" si="223">(1+B130)*IF(ISBLANK(EE130),1,EE130)</f>
        <v>1</v>
      </c>
      <c r="AO130" s="25">
        <f>IF($AO$127=0,0,IFERROR(INDEX('2 Staff List'!$JH$64:$JH$114,$AH130),0))</f>
        <v>0</v>
      </c>
      <c r="AP130" s="25">
        <f>IFERROR(INDEX('2 Staff List'!$HU$64:$HU$114,$AH130),0)</f>
        <v>0</v>
      </c>
      <c r="AQ130" s="25">
        <f t="shared" ref="AQ130:AQ193" si="224">IF(AND(DV130&lt;&gt;0,SUMPRODUCT($EG130:$JD130,$EG$17:$JD$17)=0),1,0)</f>
        <v>0</v>
      </c>
      <c r="AR130" s="25">
        <f t="shared" ref="AR130:AR193" si="225">IF(OR($AD130&lt;&gt;3,$DV130&gt;0,$DY130=0),0,SUMIFS($EG130:$JD130,$EG$17:$JD$17,1)*AN130)</f>
        <v>0</v>
      </c>
      <c r="AS130" s="25">
        <f t="shared" ref="AS130:AS193" si="226">IF(OR($AD130&lt;&gt;3,$DV130&gt;0),0,SUMIFS($EG130:$JD130,$EG$17:$JD$17,1,$EG$124:$JD$124,1)*AN130)</f>
        <v>0</v>
      </c>
      <c r="AT130" s="25">
        <f t="shared" ref="AT130:AT193" si="227">IF(OR($AD130&lt;&gt;3,$DV130&gt;0),0,SUMIFS($EG130:$JD130,$EG$17:$JD$17,1,$EG$124:$JD$124,2)*AN130)</f>
        <v>0</v>
      </c>
      <c r="AU130" s="25">
        <f t="shared" ref="AU130:AU193" si="228">IF(OR($AD130&lt;&gt;3,$DV130&gt;0),0,SUMIFS($EG130:$JD130,$EG$17:$JD$17,1,$EG$124:$JD$124,3)*AN130)</f>
        <v>0</v>
      </c>
      <c r="AV130" s="25">
        <f t="shared" ref="AV130:AV193" si="229">IF(OR($AD130&lt;&gt;3,$DV130&gt;0),0,SUMIFS($EG130:$JD130,$EG$17:$JD$17,1,$EG$124:$JD$124,4)*AN130)</f>
        <v>0</v>
      </c>
      <c r="AW130" s="25">
        <f t="shared" ref="AW130:AW193" si="230">IF(OR($AD130&lt;&gt;3,$DV130&gt;0),0,SUMIFS($EG130:$JD130,$EG$17:$JD$17,1,$EG$124:$JD$124,5)*AN130)</f>
        <v>0</v>
      </c>
      <c r="AX130" s="25">
        <f t="shared" ref="AX130:AX193" si="231">IF(OR($AD130&lt;&gt;3,$DV130&gt;0),0,SUMIFS($EG130:$JD130,$EG$17:$JD$17,1,$EG$124:$JD$124,6)*AN130)</f>
        <v>0</v>
      </c>
      <c r="AY130" s="25">
        <f t="shared" ref="AY130:AY193" si="232">IF(OR($AD130&lt;&gt;3,$DV130&gt;0),0,SUMIFS($EG130:$JD130,$EG$17:$JD$17,1,$EG$124:$JD$124,7)*AN130)</f>
        <v>0</v>
      </c>
      <c r="AZ130" s="25">
        <f t="shared" ref="AZ130:AZ193" si="233">IF(OR($AD130&lt;&gt;3,$DV130&gt;0),0,SUMIFS($EG130:$JD130,$EG$17:$JD$17,1,$EG$124:$JD$124,8)*AN130)</f>
        <v>0</v>
      </c>
      <c r="BA130" s="25">
        <f t="shared" ref="BA130:BA193" si="234">IF(OR($AD130&lt;&gt;3,$DV130&gt;0),0,SUMIFS($EG130:$JD130,$EG$17:$JD$17,1,$EG$124:$JD$124,9)*AN130)</f>
        <v>0</v>
      </c>
      <c r="BB130" s="25">
        <f t="shared" ref="BB130:BB193" si="235">IF(OR($AD130&lt;&gt;3,$DV130&gt;0),0,SUMIFS($EG130:$JD130,$EG$17:$JD$17,1,$EG$124:$JD$124,10)*AN130)</f>
        <v>0</v>
      </c>
      <c r="BC130" s="25">
        <f>IFERROR(INDEX('2 Staff List'!KS$64:KS$114,$AH130),0)</f>
        <v>0</v>
      </c>
      <c r="BD130" s="25">
        <f>IFERROR(INDEX('2 Staff List'!KT$64:KT$114,$AH130),0)</f>
        <v>0</v>
      </c>
      <c r="BE130" s="25">
        <f>IFERROR(INDEX('2 Staff List'!KU$64:KU$114,$AH130),0)</f>
        <v>0</v>
      </c>
      <c r="BF130" s="25">
        <f>IFERROR(INDEX('2 Staff List'!KV$64:KV$114,$AH130),0)</f>
        <v>0</v>
      </c>
      <c r="BG130" s="25">
        <f>IFERROR(INDEX('2 Staff List'!KW$64:KW$114,$AH130),0)</f>
        <v>0</v>
      </c>
      <c r="BH130" s="25">
        <f>IFERROR(INDEX('2 Staff List'!KX$64:KX$114,$AH130),0)</f>
        <v>0</v>
      </c>
      <c r="BI130" s="25">
        <f>IFERROR(INDEX('2 Staff List'!KY$64:KY$114,$AH130),0)</f>
        <v>0</v>
      </c>
      <c r="BJ130" s="25">
        <f>IFERROR(INDEX('2 Staff List'!KZ$64:KZ$114,$AH130),0)</f>
        <v>0</v>
      </c>
      <c r="BK130" s="25">
        <f>IFERROR(INDEX('2 Staff List'!LA$64:LA$114,$AH130),0)</f>
        <v>0</v>
      </c>
      <c r="BL130" s="25">
        <f>IFERROR(INDEX('2 Staff List'!LB$64:LB$114,$AH130),0)</f>
        <v>0</v>
      </c>
      <c r="BM130" s="25">
        <f>IFERROR(INDEX('2 Staff List'!FT$64:FT$114,$AH130),0)</f>
        <v>0</v>
      </c>
      <c r="BN130" s="25">
        <f>IFERROR(INDEX('2 Staff List'!FU$64:FU$114,$AH130),0)</f>
        <v>0</v>
      </c>
      <c r="BO130" s="25">
        <f>IFERROR(INDEX('2 Staff List'!FV$64:FV$114,$AH130),0)</f>
        <v>0</v>
      </c>
      <c r="BP130" s="25">
        <f>IFERROR(INDEX('2 Staff List'!FW$64:FW$114,$AH130),0)</f>
        <v>0</v>
      </c>
      <c r="BQ130" s="25">
        <f>IFERROR(INDEX('2 Staff List'!FX$64:FX$114,$AH130),0)</f>
        <v>0</v>
      </c>
      <c r="BR130" s="25">
        <f>IFERROR(INDEX('2 Staff List'!FY$64:FY$114,$AH130),0)</f>
        <v>0</v>
      </c>
      <c r="BS130" s="25">
        <f>IFERROR(INDEX('2 Staff List'!FZ$64:FZ$114,$AH130),0)</f>
        <v>0</v>
      </c>
      <c r="BT130" s="25">
        <f>IFERROR(INDEX('2 Staff List'!GA$64:GA$114,$AH130),0)</f>
        <v>0</v>
      </c>
      <c r="BU130" s="25">
        <f>IFERROR(INDEX('2 Staff List'!GB$64:GB$114,$AH130),0)</f>
        <v>0</v>
      </c>
      <c r="BV130" s="25">
        <f>IFERROR(INDEX('2 Staff List'!GC$64:GC$114,$AH130),0)</f>
        <v>0</v>
      </c>
      <c r="BW130" s="25">
        <f t="shared" ref="BW130:BW193" si="236">IF(OR($AD130&lt;&gt;3,$DV130&gt;0,$DY130=0),0,SUMIFS($EG130:$JD130,$EG$17:$JD$17,1)*AN130*$AG130)</f>
        <v>0</v>
      </c>
      <c r="BX130" s="25">
        <f t="shared" ref="BX130:BX193" si="237">IF(OR($AD130&lt;&gt;3,$DV130&gt;0),0,SUMIFS($EG130:$JD130,$EG$17:$JD$17,1,$EG$123:$JD$123,1)*AN130)</f>
        <v>0</v>
      </c>
      <c r="BY130" s="25">
        <f t="shared" ref="BY130:BY193" si="238">IF(OR($AD130&lt;&gt;3,$DV130&gt;0),0,SUMIFS($EG130:$JD130,$EG$17:$JD$17,1,$EG$123:$JD$123,2)*AN130)</f>
        <v>0</v>
      </c>
      <c r="BZ130" s="25">
        <f t="shared" ref="BZ130:BZ193" si="239">IF(OR($AD130&lt;&gt;3,$DV130&gt;0),0,SUMIFS($EG130:$JD130,$EG$17:$JD$17,1,$EG$123:$JD$123,3)*AN130)</f>
        <v>0</v>
      </c>
      <c r="CA130" s="25">
        <f t="shared" ref="CA130:CA193" si="240">IF(OR($AD130&lt;&gt;3,$DV130&gt;0),0,SUMIFS($EG130:$JD130,$EG$17:$JD$17,1,$EG$123:$JD$123,4)*AN130)</f>
        <v>0</v>
      </c>
      <c r="CB130" s="25">
        <f t="shared" ref="CB130:CB193" si="241">IF(OR($AD130&lt;&gt;3,$DV130&gt;0),0,SUMIFS($EG130:$JD130,$EG$17:$JD$17,1,$EG$123:$JD$123,5)*AN130)</f>
        <v>0</v>
      </c>
      <c r="CC130" s="25">
        <f t="shared" ref="CC130:CC193" si="242">IF(OR($AD130&lt;&gt;3,$DV130&gt;0),0,SUMIFS($EG130:$JD130,$EG$17:$JD$17,1,$EG$123:$JD$123,6)*AN130)</f>
        <v>0</v>
      </c>
      <c r="CD130" s="25">
        <f t="shared" ref="CD130:CD193" si="243">IF(OR($AD130&lt;&gt;3,$DV130&gt;0),0,SUMIFS($EG130:$JD130,$EG$17:$JD$17,1,$EG$123:$JD$123,7)*AN130)</f>
        <v>0</v>
      </c>
      <c r="CE130" s="25">
        <f t="shared" ref="CE130:CE193" si="244">IF(OR($AD130&lt;&gt;3,$DV130&gt;0),0,SUMIFS($EG130:$JD130,$EG$17:$JD$17,1,$EG$123:$JD$123,8)*AN130)</f>
        <v>0</v>
      </c>
      <c r="CF130" s="25">
        <f t="shared" ref="CF130:CF193" si="245">IF(OR($AD130&lt;&gt;3,$DV130&gt;0),0,SUMIFS($EG130:$JD130,$EG$17:$JD$17,1,$EG$123:$JD$123,9)*AN130)</f>
        <v>0</v>
      </c>
      <c r="CG130" s="25">
        <f t="shared" ref="CG130:CG193" si="246">IF(OR($AD130&lt;&gt;3,$DV130&gt;0),0,SUMIFS($EG130:$JD130,$EG$17:$JD$17,1,$EG$123:$JD$123,10)*AN130)</f>
        <v>0</v>
      </c>
      <c r="CH130" s="25">
        <f>IFERROR(INDEX('2 Staff List'!LO$64:LO$114,$AH130),0)</f>
        <v>0</v>
      </c>
      <c r="CI130" s="25">
        <f>IFERROR(INDEX('2 Staff List'!LP$64:LP$114,$AH130),0)</f>
        <v>0</v>
      </c>
      <c r="CJ130" s="25">
        <f>IFERROR(INDEX('2 Staff List'!LQ$64:LQ$114,$AH130),0)</f>
        <v>0</v>
      </c>
      <c r="CK130" s="25">
        <f>IFERROR(INDEX('2 Staff List'!LR$64:LR$114,$AH130),0)</f>
        <v>0</v>
      </c>
      <c r="CL130" s="25">
        <f>IFERROR(INDEX('2 Staff List'!LS$64:LS$114,$AH130),0)</f>
        <v>0</v>
      </c>
      <c r="CM130" s="25">
        <f>IFERROR(INDEX('2 Staff List'!LT$64:LT$114,$AH130),0)</f>
        <v>0</v>
      </c>
      <c r="CN130" s="25">
        <f>IFERROR(INDEX('2 Staff List'!LU$64:LU$114,$AH130),0)</f>
        <v>0</v>
      </c>
      <c r="CO130" s="25">
        <f>IFERROR(INDEX('2 Staff List'!LV$64:LV$114,$AH130),0)</f>
        <v>0</v>
      </c>
      <c r="CP130" s="25">
        <f>IFERROR(INDEX('2 Staff List'!LW$64:LW$114,$AH130),0)</f>
        <v>0</v>
      </c>
      <c r="CQ130" s="25">
        <f>IFERROR(INDEX('2 Staff List'!LX$64:LX$114,$AH130),0)</f>
        <v>0</v>
      </c>
      <c r="CR130" s="25">
        <f t="shared" si="204"/>
        <v>0</v>
      </c>
      <c r="CS130" s="25">
        <f t="shared" ref="CS130:CS171" si="247">IFERROR(1/CR130,1)</f>
        <v>1</v>
      </c>
      <c r="CT130" s="25">
        <f t="shared" ref="CT130:CT193" si="248">IF(NOT(ISBLANK(DU130)),DU130,1)</f>
        <v>1</v>
      </c>
      <c r="CU130" s="25">
        <f t="shared" ref="CU130:CU193" si="249">IF(DT130=$CU$127,0,1)</f>
        <v>1</v>
      </c>
      <c r="CV130" s="25">
        <f t="shared" ref="CV130:CV193" si="250">IF(AND(AD130=3,OR(F130="",F130="Approved")),1,0)</f>
        <v>1</v>
      </c>
      <c r="CW130" s="25">
        <f t="shared" ref="CW130:CW193" si="251">IF(AD130&lt;&gt;3,0,IF(OR(F130="",F130="Approved",F130="Pend w FC"),1,0))</f>
        <v>1</v>
      </c>
      <c r="CX130" s="25">
        <f t="shared" ref="CX130:CX193" si="252">IF(AND(Z130=0,OR(G130="RO",DG130="V",DG130="W")),1,0)</f>
        <v>0</v>
      </c>
      <c r="CY130" s="25">
        <f t="shared" ref="CY130:CY193" si="253">IF(OR(DG130="S",DG130="R",DG130="V",DG130="U",DG130="W",DG130="Z"),1,0)</f>
        <v>0</v>
      </c>
      <c r="CZ130" s="25">
        <f t="shared" ref="CZ130:CZ193" si="254">IF(AD130&lt;&gt;3,0,IF(OR(F130="Pending",F130="Pend w FC"),1,0))</f>
        <v>0</v>
      </c>
      <c r="DA130" s="25">
        <f t="shared" ref="DA130:DA193" si="255">IF(OR($F130="Exclude",$AD130&lt;&gt;3),0,1)</f>
        <v>1</v>
      </c>
      <c r="DB130" s="25">
        <f t="shared" si="205"/>
        <v>1</v>
      </c>
      <c r="DC130" s="25">
        <f t="shared" ref="DC130:DC193" si="256">IF($F130="Approved",1,0)</f>
        <v>0</v>
      </c>
      <c r="DD130" s="25">
        <f>IF(OR($AD130&lt;&gt;3,F130="Exclude"),0,IF(ISERROR(MATCH($E130,'4 Sign-off'!$S$123:$X$123,0)),0,1))</f>
        <v>0</v>
      </c>
      <c r="DE130" s="25">
        <f t="shared" si="206"/>
        <v>0</v>
      </c>
      <c r="DF130" s="25">
        <f t="shared" ref="DF130:DF193" si="257">CHOOSE($DF$119,CV130,CW130,DE130)</f>
        <v>0</v>
      </c>
      <c r="DG130" s="25" t="str">
        <f t="shared" ref="DG130:DG193" si="258">LEFT(J130,1)</f>
        <v/>
      </c>
      <c r="DH130" s="25">
        <f t="shared" ref="DH130:DH193" si="259">IF(SUM(X130:AB130)=0,0,IF(ISBLANK(DV130),"L","N"))</f>
        <v>0</v>
      </c>
      <c r="DI130" s="25">
        <f t="shared" ref="DI130:DI193" si="260">IF(OR(DH130=0,DG130="S",ISBLANK(J130)),0,IF(OR(DG130="A",DG130="G",DG130="L"),IF(DH130="L",0,1),IF(DH130="N",0,1)))</f>
        <v>0</v>
      </c>
      <c r="DJ130" s="25">
        <f>IF(ISBLANK(J130),0,ISERROR(MATCH(J130,'5  Control Accounts'!$FA$29:$FA$96,0))*1)</f>
        <v>0</v>
      </c>
      <c r="DK130" s="25">
        <f t="shared" ref="DK130:DK193" si="261">AND($C$5,(T130+U130+AB130)&lt;&gt;0,ISBLANK(J130),F130&lt;&gt;"Exclude")*1</f>
        <v>0</v>
      </c>
      <c r="DL130" s="25">
        <f t="shared" si="207"/>
        <v>-1</v>
      </c>
      <c r="DM130" s="25" t="e">
        <f t="array" ref="DM130">MATCH(1,($EG130:$JD130&gt;0)*$EG$17:$JD$17,0)</f>
        <v>#N/A</v>
      </c>
      <c r="DN130" s="25" t="e">
        <f t="shared" si="208"/>
        <v>#N/A</v>
      </c>
      <c r="DO130" s="25" t="e">
        <f t="array" ref="DO130">MATCH(2,1/(EG130:JD130&gt;0))</f>
        <v>#N/A</v>
      </c>
      <c r="DP130" s="2993">
        <f t="shared" ref="DP130:DP193" si="262">CHOOSE($AD130,SUMIFS($DP$129:$DP$304,$AE$129:$AE$304,$AE130,$DF$129:$DF$304,1),SUMIFS($DP$129:$DP$304,$AF$129:$AF$304,$AF130,$DF$129:$DF$304,1),X130+AA130)</f>
        <v>0</v>
      </c>
      <c r="DQ130" s="3037">
        <f t="shared" ref="DQ130:DQ193" si="263">CHOOSE($AD130,SUMIFS($DQ$129:$DQ$304,$AE$129:$AE$304,$AE130,$DF$129:$DF$304,1),SUMIFS($DQ$129:$DQ$304,$AF$129:$AF$304,$AF130,$DF$129:$DF$304,1),DP130-S130)</f>
        <v>0</v>
      </c>
      <c r="DR130" s="111"/>
      <c r="DS130" s="1267">
        <f t="shared" si="209"/>
        <v>0</v>
      </c>
      <c r="DT130" s="1825"/>
      <c r="DU130" s="1826"/>
      <c r="DV130" s="1827"/>
      <c r="DW130" s="1828"/>
      <c r="DX130" s="1801"/>
      <c r="DY130" s="1265"/>
      <c r="DZ130" s="1785">
        <f t="shared" si="210"/>
        <v>0</v>
      </c>
      <c r="EA130" s="1786">
        <f t="shared" si="211"/>
        <v>0</v>
      </c>
      <c r="EB130" s="1781">
        <f t="shared" si="212"/>
        <v>0</v>
      </c>
      <c r="EC130" s="1782">
        <f t="shared" si="213"/>
        <v>0</v>
      </c>
      <c r="ED130" s="1262"/>
      <c r="EE130" s="2280"/>
      <c r="EF130" s="1802"/>
      <c r="EG130" s="167"/>
      <c r="EH130" s="168"/>
      <c r="EI130" s="168"/>
      <c r="EJ130" s="168"/>
      <c r="EK130" s="168"/>
      <c r="EL130" s="168"/>
      <c r="EM130" s="168"/>
      <c r="EN130" s="168"/>
      <c r="EO130" s="168"/>
      <c r="EP130" s="168"/>
      <c r="EQ130" s="168"/>
      <c r="ER130" s="168"/>
      <c r="ES130" s="168"/>
      <c r="ET130" s="168"/>
      <c r="EU130" s="168"/>
      <c r="EV130" s="168"/>
      <c r="EW130" s="168"/>
      <c r="EX130" s="168"/>
      <c r="EY130" s="168"/>
      <c r="EZ130" s="168"/>
      <c r="FA130" s="168"/>
      <c r="FB130" s="168"/>
      <c r="FC130" s="168"/>
      <c r="FD130" s="168"/>
      <c r="FE130" s="168"/>
      <c r="FF130" s="168"/>
      <c r="FG130" s="168"/>
      <c r="FH130" s="168"/>
      <c r="FI130" s="168"/>
      <c r="FJ130" s="168"/>
      <c r="FK130" s="168"/>
      <c r="FL130" s="168"/>
      <c r="FM130" s="168"/>
      <c r="FN130" s="168"/>
      <c r="FO130" s="168"/>
      <c r="FP130" s="168"/>
      <c r="FQ130" s="168"/>
      <c r="FR130" s="168"/>
      <c r="FS130" s="168"/>
      <c r="FT130" s="168"/>
      <c r="FU130" s="168"/>
      <c r="FV130" s="168"/>
      <c r="FW130" s="168"/>
      <c r="FX130" s="168"/>
      <c r="FY130" s="168"/>
      <c r="FZ130" s="168"/>
      <c r="GA130" s="168"/>
      <c r="GB130" s="168"/>
      <c r="GC130" s="168"/>
      <c r="GD130" s="168"/>
      <c r="GE130" s="168"/>
      <c r="GF130" s="168"/>
      <c r="GG130" s="168"/>
      <c r="GH130" s="168"/>
      <c r="GI130" s="168"/>
      <c r="GJ130" s="168"/>
      <c r="GK130" s="168"/>
      <c r="GL130" s="168"/>
      <c r="GM130" s="168"/>
      <c r="GN130" s="168"/>
      <c r="GO130" s="168"/>
      <c r="GP130" s="168"/>
      <c r="GQ130" s="168"/>
      <c r="GR130" s="168"/>
      <c r="GS130" s="168"/>
      <c r="GT130" s="168"/>
      <c r="GU130" s="168"/>
      <c r="GV130" s="168"/>
      <c r="GW130" s="168"/>
      <c r="GX130" s="168"/>
      <c r="GY130" s="168"/>
      <c r="GZ130" s="168"/>
      <c r="HA130" s="168"/>
      <c r="HB130" s="168"/>
      <c r="HC130" s="168"/>
      <c r="HD130" s="168"/>
      <c r="HE130" s="168"/>
      <c r="HF130" s="168"/>
      <c r="HG130" s="168"/>
      <c r="HH130" s="168"/>
      <c r="HI130" s="168"/>
      <c r="HJ130" s="168"/>
      <c r="HK130" s="168"/>
      <c r="HL130" s="168"/>
      <c r="HM130" s="168"/>
      <c r="HN130" s="168"/>
      <c r="HO130" s="168"/>
      <c r="HP130" s="168"/>
      <c r="HQ130" s="168"/>
      <c r="HR130" s="168"/>
      <c r="HS130" s="168"/>
      <c r="HT130" s="168"/>
      <c r="HU130" s="168"/>
      <c r="HV130" s="168"/>
      <c r="HW130" s="168"/>
      <c r="HX130" s="168"/>
      <c r="HY130" s="168"/>
      <c r="HZ130" s="168"/>
      <c r="IA130" s="168"/>
      <c r="IB130" s="168"/>
      <c r="IC130" s="168"/>
      <c r="ID130" s="168"/>
      <c r="IE130" s="168"/>
      <c r="IF130" s="168"/>
      <c r="IG130" s="168"/>
      <c r="IH130" s="168"/>
      <c r="II130" s="168"/>
      <c r="IJ130" s="168"/>
      <c r="IK130" s="168"/>
      <c r="IL130" s="168"/>
      <c r="IM130" s="168"/>
      <c r="IN130" s="168"/>
      <c r="IO130" s="168"/>
      <c r="IP130" s="168"/>
      <c r="IQ130" s="168"/>
      <c r="IR130" s="168"/>
      <c r="IS130" s="168"/>
      <c r="IT130" s="168"/>
      <c r="IU130" s="168"/>
      <c r="IV130" s="168"/>
      <c r="IW130" s="168"/>
      <c r="IX130" s="168"/>
      <c r="IY130" s="168"/>
      <c r="IZ130" s="168"/>
      <c r="JA130" s="168"/>
      <c r="JB130" s="168"/>
      <c r="JC130" s="606"/>
      <c r="JD130" s="609"/>
      <c r="JE130" s="1"/>
      <c r="JF130" s="1"/>
    </row>
    <row r="131" spans="1:266" s="2" customFormat="1" ht="15" customHeight="1" x14ac:dyDescent="0.25">
      <c r="A131" s="283"/>
      <c r="B131" s="303"/>
      <c r="C131" s="301"/>
      <c r="D131" s="638"/>
      <c r="E131" s="2298"/>
      <c r="F131" s="1812"/>
      <c r="G131" s="3342"/>
      <c r="H131" s="105"/>
      <c r="I131" s="1746"/>
      <c r="J131" s="86"/>
      <c r="K131" s="105"/>
      <c r="L131" s="91"/>
      <c r="M131" s="92"/>
      <c r="N131" s="93"/>
      <c r="O131" s="94"/>
      <c r="P131" s="96"/>
      <c r="Q131" s="95"/>
      <c r="R131" s="993">
        <f t="shared" si="198"/>
        <v>0</v>
      </c>
      <c r="S131" s="23">
        <f t="shared" si="214"/>
        <v>0</v>
      </c>
      <c r="T131" s="24">
        <f t="shared" si="215"/>
        <v>0</v>
      </c>
      <c r="U131" s="24">
        <f t="shared" si="199"/>
        <v>0</v>
      </c>
      <c r="V131" s="24">
        <f t="shared" si="216"/>
        <v>0</v>
      </c>
      <c r="W131" s="24">
        <f t="shared" si="217"/>
        <v>0</v>
      </c>
      <c r="X131" s="72">
        <f t="shared" si="218"/>
        <v>0</v>
      </c>
      <c r="Y131" s="72">
        <f t="shared" si="219"/>
        <v>0</v>
      </c>
      <c r="Z131" s="24">
        <f t="shared" si="200"/>
        <v>0</v>
      </c>
      <c r="AA131" s="72">
        <f t="shared" si="220"/>
        <v>0</v>
      </c>
      <c r="AB131" s="24">
        <f t="shared" si="221"/>
        <v>0</v>
      </c>
      <c r="AC131" s="24" t="s">
        <v>5</v>
      </c>
      <c r="AD131" s="25">
        <f t="shared" si="201"/>
        <v>3</v>
      </c>
      <c r="AE131" s="25">
        <f t="shared" si="202"/>
        <v>0</v>
      </c>
      <c r="AF131" s="25">
        <f t="shared" si="203"/>
        <v>0</v>
      </c>
      <c r="AG131" s="25">
        <f t="shared" si="222"/>
        <v>1</v>
      </c>
      <c r="AH131" s="25" t="str">
        <f>IFERROR(MATCH(DY131,'2 Staff List'!$IA$64:$IA$114,0),"x")</f>
        <v>x</v>
      </c>
      <c r="AI131" s="1181">
        <f>IFERROR(INDEX('2 Staff List'!$EX$64:$EX$114,$AH131),0)</f>
        <v>0</v>
      </c>
      <c r="AJ131" s="25">
        <f>IFERROR(INDEX('2 Staff List'!$IW$64:$IW$114,$AH131),0)</f>
        <v>0</v>
      </c>
      <c r="AK131" s="25">
        <f>IFERROR(INDEX('2 Staff List'!$IB$64:$IB$114,$AH131),0)</f>
        <v>0</v>
      </c>
      <c r="AL131" s="25">
        <f>IF(OR(NOT(ISBLANK(DV131)),CX131=1),"&lt;Non-Labor&gt;",IFERROR(IF(AH131=0,0,INDEX('2 Staff List'!$HZ$64:$HZ$114,$AH131)),0))</f>
        <v>0</v>
      </c>
      <c r="AM131" s="25">
        <f>IFERROR(INDEX('2 Staff List'!$HW$64:$HW$114,$AH131),0)</f>
        <v>0</v>
      </c>
      <c r="AN131" s="25">
        <f t="shared" si="223"/>
        <v>1</v>
      </c>
      <c r="AO131" s="25">
        <f>IF($AO$127=0,0,IFERROR(INDEX('2 Staff List'!$JH$64:$JH$114,$AH131),0))</f>
        <v>0</v>
      </c>
      <c r="AP131" s="25">
        <f>IFERROR(INDEX('2 Staff List'!$HU$64:$HU$114,$AH131),0)</f>
        <v>0</v>
      </c>
      <c r="AQ131" s="25">
        <f t="shared" si="224"/>
        <v>0</v>
      </c>
      <c r="AR131" s="25">
        <f t="shared" si="225"/>
        <v>0</v>
      </c>
      <c r="AS131" s="25">
        <f t="shared" si="226"/>
        <v>0</v>
      </c>
      <c r="AT131" s="25">
        <f t="shared" si="227"/>
        <v>0</v>
      </c>
      <c r="AU131" s="25">
        <f t="shared" si="228"/>
        <v>0</v>
      </c>
      <c r="AV131" s="25">
        <f t="shared" si="229"/>
        <v>0</v>
      </c>
      <c r="AW131" s="25">
        <f t="shared" si="230"/>
        <v>0</v>
      </c>
      <c r="AX131" s="25">
        <f t="shared" si="231"/>
        <v>0</v>
      </c>
      <c r="AY131" s="25">
        <f t="shared" si="232"/>
        <v>0</v>
      </c>
      <c r="AZ131" s="25">
        <f t="shared" si="233"/>
        <v>0</v>
      </c>
      <c r="BA131" s="25">
        <f t="shared" si="234"/>
        <v>0</v>
      </c>
      <c r="BB131" s="25">
        <f t="shared" si="235"/>
        <v>0</v>
      </c>
      <c r="BC131" s="25">
        <f>IFERROR(INDEX('2 Staff List'!KS$64:KS$114,$AH131),0)</f>
        <v>0</v>
      </c>
      <c r="BD131" s="25">
        <f>IFERROR(INDEX('2 Staff List'!KT$64:KT$114,$AH131),0)</f>
        <v>0</v>
      </c>
      <c r="BE131" s="25">
        <f>IFERROR(INDEX('2 Staff List'!KU$64:KU$114,$AH131),0)</f>
        <v>0</v>
      </c>
      <c r="BF131" s="25">
        <f>IFERROR(INDEX('2 Staff List'!KV$64:KV$114,$AH131),0)</f>
        <v>0</v>
      </c>
      <c r="BG131" s="25">
        <f>IFERROR(INDEX('2 Staff List'!KW$64:KW$114,$AH131),0)</f>
        <v>0</v>
      </c>
      <c r="BH131" s="25">
        <f>IFERROR(INDEX('2 Staff List'!KX$64:KX$114,$AH131),0)</f>
        <v>0</v>
      </c>
      <c r="BI131" s="25">
        <f>IFERROR(INDEX('2 Staff List'!KY$64:KY$114,$AH131),0)</f>
        <v>0</v>
      </c>
      <c r="BJ131" s="25">
        <f>IFERROR(INDEX('2 Staff List'!KZ$64:KZ$114,$AH131),0)</f>
        <v>0</v>
      </c>
      <c r="BK131" s="25">
        <f>IFERROR(INDEX('2 Staff List'!LA$64:LA$114,$AH131),0)</f>
        <v>0</v>
      </c>
      <c r="BL131" s="25">
        <f>IFERROR(INDEX('2 Staff List'!LB$64:LB$114,$AH131),0)</f>
        <v>0</v>
      </c>
      <c r="BM131" s="25">
        <f>IFERROR(INDEX('2 Staff List'!FT$64:FT$114,$AH131),0)</f>
        <v>0</v>
      </c>
      <c r="BN131" s="25">
        <f>IFERROR(INDEX('2 Staff List'!FU$64:FU$114,$AH131),0)</f>
        <v>0</v>
      </c>
      <c r="BO131" s="25">
        <f>IFERROR(INDEX('2 Staff List'!FV$64:FV$114,$AH131),0)</f>
        <v>0</v>
      </c>
      <c r="BP131" s="25">
        <f>IFERROR(INDEX('2 Staff List'!FW$64:FW$114,$AH131),0)</f>
        <v>0</v>
      </c>
      <c r="BQ131" s="25">
        <f>IFERROR(INDEX('2 Staff List'!FX$64:FX$114,$AH131),0)</f>
        <v>0</v>
      </c>
      <c r="BR131" s="25">
        <f>IFERROR(INDEX('2 Staff List'!FY$64:FY$114,$AH131),0)</f>
        <v>0</v>
      </c>
      <c r="BS131" s="25">
        <f>IFERROR(INDEX('2 Staff List'!FZ$64:FZ$114,$AH131),0)</f>
        <v>0</v>
      </c>
      <c r="BT131" s="25">
        <f>IFERROR(INDEX('2 Staff List'!GA$64:GA$114,$AH131),0)</f>
        <v>0</v>
      </c>
      <c r="BU131" s="25">
        <f>IFERROR(INDEX('2 Staff List'!GB$64:GB$114,$AH131),0)</f>
        <v>0</v>
      </c>
      <c r="BV131" s="25">
        <f>IFERROR(INDEX('2 Staff List'!GC$64:GC$114,$AH131),0)</f>
        <v>0</v>
      </c>
      <c r="BW131" s="25">
        <f t="shared" si="236"/>
        <v>0</v>
      </c>
      <c r="BX131" s="25">
        <f t="shared" si="237"/>
        <v>0</v>
      </c>
      <c r="BY131" s="25">
        <f t="shared" si="238"/>
        <v>0</v>
      </c>
      <c r="BZ131" s="25">
        <f t="shared" si="239"/>
        <v>0</v>
      </c>
      <c r="CA131" s="25">
        <f t="shared" si="240"/>
        <v>0</v>
      </c>
      <c r="CB131" s="25">
        <f t="shared" si="241"/>
        <v>0</v>
      </c>
      <c r="CC131" s="25">
        <f t="shared" si="242"/>
        <v>0</v>
      </c>
      <c r="CD131" s="25">
        <f t="shared" si="243"/>
        <v>0</v>
      </c>
      <c r="CE131" s="25">
        <f t="shared" si="244"/>
        <v>0</v>
      </c>
      <c r="CF131" s="25">
        <f t="shared" si="245"/>
        <v>0</v>
      </c>
      <c r="CG131" s="25">
        <f t="shared" si="246"/>
        <v>0</v>
      </c>
      <c r="CH131" s="25">
        <f>IFERROR(INDEX('2 Staff List'!LO$64:LO$114,$AH131),0)</f>
        <v>0</v>
      </c>
      <c r="CI131" s="25">
        <f>IFERROR(INDEX('2 Staff List'!LP$64:LP$114,$AH131),0)</f>
        <v>0</v>
      </c>
      <c r="CJ131" s="25">
        <f>IFERROR(INDEX('2 Staff List'!LQ$64:LQ$114,$AH131),0)</f>
        <v>0</v>
      </c>
      <c r="CK131" s="25">
        <f>IFERROR(INDEX('2 Staff List'!LR$64:LR$114,$AH131),0)</f>
        <v>0</v>
      </c>
      <c r="CL131" s="25">
        <f>IFERROR(INDEX('2 Staff List'!LS$64:LS$114,$AH131),0)</f>
        <v>0</v>
      </c>
      <c r="CM131" s="25">
        <f>IFERROR(INDEX('2 Staff List'!LT$64:LT$114,$AH131),0)</f>
        <v>0</v>
      </c>
      <c r="CN131" s="25">
        <f>IFERROR(INDEX('2 Staff List'!LU$64:LU$114,$AH131),0)</f>
        <v>0</v>
      </c>
      <c r="CO131" s="25">
        <f>IFERROR(INDEX('2 Staff List'!LV$64:LV$114,$AH131),0)</f>
        <v>0</v>
      </c>
      <c r="CP131" s="25">
        <f>IFERROR(INDEX('2 Staff List'!LW$64:LW$114,$AH131),0)</f>
        <v>0</v>
      </c>
      <c r="CQ131" s="25">
        <f>IFERROR(INDEX('2 Staff List'!LX$64:LX$114,$AH131),0)</f>
        <v>0</v>
      </c>
      <c r="CR131" s="25">
        <f t="shared" si="204"/>
        <v>0</v>
      </c>
      <c r="CS131" s="25">
        <f>IFERROR(1/CR131,1)</f>
        <v>1</v>
      </c>
      <c r="CT131" s="25">
        <f t="shared" si="248"/>
        <v>1</v>
      </c>
      <c r="CU131" s="25">
        <f t="shared" si="249"/>
        <v>1</v>
      </c>
      <c r="CV131" s="25">
        <f t="shared" si="250"/>
        <v>1</v>
      </c>
      <c r="CW131" s="25">
        <f t="shared" si="251"/>
        <v>1</v>
      </c>
      <c r="CX131" s="25">
        <f t="shared" si="252"/>
        <v>0</v>
      </c>
      <c r="CY131" s="25">
        <f t="shared" si="253"/>
        <v>0</v>
      </c>
      <c r="CZ131" s="25">
        <f t="shared" si="254"/>
        <v>0</v>
      </c>
      <c r="DA131" s="25">
        <f t="shared" si="255"/>
        <v>1</v>
      </c>
      <c r="DB131" s="25">
        <f t="shared" si="205"/>
        <v>1</v>
      </c>
      <c r="DC131" s="25">
        <f t="shared" si="256"/>
        <v>0</v>
      </c>
      <c r="DD131" s="25">
        <f>IF(OR($AD131&lt;&gt;3,F131="Exclude"),0,IF(ISERROR(MATCH($E131,'4 Sign-off'!$S$123:$X$123,0)),0,1))</f>
        <v>0</v>
      </c>
      <c r="DE131" s="25">
        <f t="shared" si="206"/>
        <v>0</v>
      </c>
      <c r="DF131" s="25">
        <f t="shared" si="257"/>
        <v>0</v>
      </c>
      <c r="DG131" s="25" t="str">
        <f t="shared" si="258"/>
        <v/>
      </c>
      <c r="DH131" s="25">
        <f t="shared" si="259"/>
        <v>0</v>
      </c>
      <c r="DI131" s="25">
        <f t="shared" si="260"/>
        <v>0</v>
      </c>
      <c r="DJ131" s="25">
        <f>IF(ISBLANK(J131),0,ISERROR(MATCH(J131,'5  Control Accounts'!$FA$29:$FA$96,0))*1)</f>
        <v>0</v>
      </c>
      <c r="DK131" s="25">
        <f t="shared" si="261"/>
        <v>0</v>
      </c>
      <c r="DL131" s="25">
        <f t="shared" si="207"/>
        <v>-1</v>
      </c>
      <c r="DM131" s="25" t="e">
        <f t="array" ref="DM131">MATCH(1,($EG131:$JD131&gt;0)*$EG$17:$JD$17,0)</f>
        <v>#N/A</v>
      </c>
      <c r="DN131" s="25" t="e">
        <f t="shared" si="208"/>
        <v>#N/A</v>
      </c>
      <c r="DO131" s="25" t="e">
        <f t="array" ref="DO131">MATCH(2,1/(EG131:JD131&gt;0))</f>
        <v>#N/A</v>
      </c>
      <c r="DP131" s="2993">
        <f t="shared" si="262"/>
        <v>0</v>
      </c>
      <c r="DQ131" s="3037">
        <f t="shared" si="263"/>
        <v>0</v>
      </c>
      <c r="DR131" s="111"/>
      <c r="DS131" s="1267">
        <f t="shared" si="209"/>
        <v>0</v>
      </c>
      <c r="DT131" s="1825"/>
      <c r="DU131" s="1826"/>
      <c r="DV131" s="1827"/>
      <c r="DW131" s="1828"/>
      <c r="DX131" s="659"/>
      <c r="DY131" s="1265"/>
      <c r="DZ131" s="1785">
        <f t="shared" si="210"/>
        <v>0</v>
      </c>
      <c r="EA131" s="1786">
        <f t="shared" si="211"/>
        <v>0</v>
      </c>
      <c r="EB131" s="1781">
        <f t="shared" si="212"/>
        <v>0</v>
      </c>
      <c r="EC131" s="1782">
        <f t="shared" si="213"/>
        <v>0</v>
      </c>
      <c r="ED131" s="1262"/>
      <c r="EE131" s="2280"/>
      <c r="EF131" s="1802"/>
      <c r="EG131" s="167"/>
      <c r="EH131" s="168"/>
      <c r="EI131" s="168"/>
      <c r="EJ131" s="168"/>
      <c r="EK131" s="168"/>
      <c r="EL131" s="168"/>
      <c r="EM131" s="168"/>
      <c r="EN131" s="168"/>
      <c r="EO131" s="168"/>
      <c r="EP131" s="168"/>
      <c r="EQ131" s="168"/>
      <c r="ER131" s="168"/>
      <c r="ES131" s="168"/>
      <c r="ET131" s="168"/>
      <c r="EU131" s="168"/>
      <c r="EV131" s="168"/>
      <c r="EW131" s="168"/>
      <c r="EX131" s="168"/>
      <c r="EY131" s="168"/>
      <c r="EZ131" s="168"/>
      <c r="FA131" s="168"/>
      <c r="FB131" s="168"/>
      <c r="FC131" s="168"/>
      <c r="FD131" s="168"/>
      <c r="FE131" s="168"/>
      <c r="FF131" s="168"/>
      <c r="FG131" s="168"/>
      <c r="FH131" s="168"/>
      <c r="FI131" s="168"/>
      <c r="FJ131" s="168"/>
      <c r="FK131" s="168"/>
      <c r="FL131" s="168"/>
      <c r="FM131" s="168"/>
      <c r="FN131" s="168"/>
      <c r="FO131" s="168"/>
      <c r="FP131" s="168"/>
      <c r="FQ131" s="168"/>
      <c r="FR131" s="168"/>
      <c r="FS131" s="168"/>
      <c r="FT131" s="168"/>
      <c r="FU131" s="168"/>
      <c r="FV131" s="168"/>
      <c r="FW131" s="168"/>
      <c r="FX131" s="168"/>
      <c r="FY131" s="168"/>
      <c r="FZ131" s="168"/>
      <c r="GA131" s="168"/>
      <c r="GB131" s="168"/>
      <c r="GC131" s="168"/>
      <c r="GD131" s="168"/>
      <c r="GE131" s="168"/>
      <c r="GF131" s="168"/>
      <c r="GG131" s="168"/>
      <c r="GH131" s="168"/>
      <c r="GI131" s="168"/>
      <c r="GJ131" s="168"/>
      <c r="GK131" s="168"/>
      <c r="GL131" s="168"/>
      <c r="GM131" s="168"/>
      <c r="GN131" s="168"/>
      <c r="GO131" s="168"/>
      <c r="GP131" s="168"/>
      <c r="GQ131" s="168"/>
      <c r="GR131" s="168"/>
      <c r="GS131" s="168"/>
      <c r="GT131" s="168"/>
      <c r="GU131" s="168"/>
      <c r="GV131" s="168"/>
      <c r="GW131" s="168"/>
      <c r="GX131" s="168"/>
      <c r="GY131" s="168"/>
      <c r="GZ131" s="168"/>
      <c r="HA131" s="168"/>
      <c r="HB131" s="168"/>
      <c r="HC131" s="168"/>
      <c r="HD131" s="168"/>
      <c r="HE131" s="168"/>
      <c r="HF131" s="168"/>
      <c r="HG131" s="168"/>
      <c r="HH131" s="168"/>
      <c r="HI131" s="168"/>
      <c r="HJ131" s="168"/>
      <c r="HK131" s="168"/>
      <c r="HL131" s="168"/>
      <c r="HM131" s="168"/>
      <c r="HN131" s="168"/>
      <c r="HO131" s="168"/>
      <c r="HP131" s="168"/>
      <c r="HQ131" s="168"/>
      <c r="HR131" s="168"/>
      <c r="HS131" s="168"/>
      <c r="HT131" s="168"/>
      <c r="HU131" s="168"/>
      <c r="HV131" s="168"/>
      <c r="HW131" s="168"/>
      <c r="HX131" s="168"/>
      <c r="HY131" s="168"/>
      <c r="HZ131" s="168"/>
      <c r="IA131" s="168"/>
      <c r="IB131" s="168"/>
      <c r="IC131" s="168"/>
      <c r="ID131" s="168"/>
      <c r="IE131" s="168"/>
      <c r="IF131" s="168"/>
      <c r="IG131" s="168"/>
      <c r="IH131" s="168"/>
      <c r="II131" s="168"/>
      <c r="IJ131" s="168"/>
      <c r="IK131" s="168"/>
      <c r="IL131" s="168"/>
      <c r="IM131" s="168"/>
      <c r="IN131" s="168"/>
      <c r="IO131" s="168"/>
      <c r="IP131" s="168"/>
      <c r="IQ131" s="168"/>
      <c r="IR131" s="168"/>
      <c r="IS131" s="168"/>
      <c r="IT131" s="168"/>
      <c r="IU131" s="168"/>
      <c r="IV131" s="168"/>
      <c r="IW131" s="168"/>
      <c r="IX131" s="168"/>
      <c r="IY131" s="168"/>
      <c r="IZ131" s="168"/>
      <c r="JA131" s="168"/>
      <c r="JB131" s="168"/>
      <c r="JC131" s="606"/>
      <c r="JD131" s="609"/>
      <c r="JE131" s="1"/>
      <c r="JF131" s="1"/>
    </row>
    <row r="132" spans="1:266" s="2" customFormat="1" ht="15" customHeight="1" x14ac:dyDescent="0.25">
      <c r="A132" s="283"/>
      <c r="B132" s="303"/>
      <c r="C132" s="301"/>
      <c r="D132" s="638"/>
      <c r="E132" s="2298"/>
      <c r="F132" s="1812"/>
      <c r="G132" s="3342"/>
      <c r="H132" s="105"/>
      <c r="I132" s="1746"/>
      <c r="J132" s="86"/>
      <c r="K132" s="105"/>
      <c r="L132" s="91"/>
      <c r="M132" s="92"/>
      <c r="N132" s="93"/>
      <c r="O132" s="94"/>
      <c r="P132" s="96"/>
      <c r="Q132" s="95"/>
      <c r="R132" s="993">
        <f t="shared" si="198"/>
        <v>0</v>
      </c>
      <c r="S132" s="23">
        <f t="shared" si="214"/>
        <v>0</v>
      </c>
      <c r="T132" s="24">
        <f t="shared" si="215"/>
        <v>0</v>
      </c>
      <c r="U132" s="24">
        <f t="shared" si="199"/>
        <v>0</v>
      </c>
      <c r="V132" s="24">
        <f t="shared" si="216"/>
        <v>0</v>
      </c>
      <c r="W132" s="24">
        <f t="shared" si="217"/>
        <v>0</v>
      </c>
      <c r="X132" s="72">
        <f t="shared" si="218"/>
        <v>0</v>
      </c>
      <c r="Y132" s="72">
        <f t="shared" si="219"/>
        <v>0</v>
      </c>
      <c r="Z132" s="24">
        <f t="shared" si="200"/>
        <v>0</v>
      </c>
      <c r="AA132" s="72">
        <f t="shared" si="220"/>
        <v>0</v>
      </c>
      <c r="AB132" s="24">
        <f t="shared" si="221"/>
        <v>0</v>
      </c>
      <c r="AC132" s="24" t="s">
        <v>5</v>
      </c>
      <c r="AD132" s="25">
        <f t="shared" si="201"/>
        <v>3</v>
      </c>
      <c r="AE132" s="25">
        <f t="shared" si="202"/>
        <v>0</v>
      </c>
      <c r="AF132" s="25">
        <f t="shared" si="203"/>
        <v>0</v>
      </c>
      <c r="AG132" s="25">
        <f t="shared" si="222"/>
        <v>1</v>
      </c>
      <c r="AH132" s="25" t="str">
        <f>IFERROR(MATCH(DY132,'2 Staff List'!$IA$64:$IA$114,0),"x")</f>
        <v>x</v>
      </c>
      <c r="AI132" s="1181">
        <f>IFERROR(INDEX('2 Staff List'!$EX$64:$EX$114,$AH132),0)</f>
        <v>0</v>
      </c>
      <c r="AJ132" s="25">
        <f>IFERROR(INDEX('2 Staff List'!$IW$64:$IW$114,$AH132),0)</f>
        <v>0</v>
      </c>
      <c r="AK132" s="25">
        <f>IFERROR(INDEX('2 Staff List'!$IB$64:$IB$114,$AH132),0)</f>
        <v>0</v>
      </c>
      <c r="AL132" s="25">
        <f>IF(OR(NOT(ISBLANK(DV132)),CX132=1),"&lt;Non-Labor&gt;",IFERROR(IF(AH132=0,0,INDEX('2 Staff List'!$HZ$64:$HZ$114,$AH132)),0))</f>
        <v>0</v>
      </c>
      <c r="AM132" s="25">
        <f>IFERROR(INDEX('2 Staff List'!$HW$64:$HW$114,$AH132),0)</f>
        <v>0</v>
      </c>
      <c r="AN132" s="25">
        <f t="shared" si="223"/>
        <v>1</v>
      </c>
      <c r="AO132" s="25">
        <f>IF($AO$127=0,0,IFERROR(INDEX('2 Staff List'!$JH$64:$JH$114,$AH132),0))</f>
        <v>0</v>
      </c>
      <c r="AP132" s="25">
        <f>IFERROR(INDEX('2 Staff List'!$HU$64:$HU$114,$AH132),0)</f>
        <v>0</v>
      </c>
      <c r="AQ132" s="25">
        <f t="shared" si="224"/>
        <v>0</v>
      </c>
      <c r="AR132" s="25">
        <f t="shared" si="225"/>
        <v>0</v>
      </c>
      <c r="AS132" s="25">
        <f t="shared" si="226"/>
        <v>0</v>
      </c>
      <c r="AT132" s="25">
        <f t="shared" si="227"/>
        <v>0</v>
      </c>
      <c r="AU132" s="25">
        <f t="shared" si="228"/>
        <v>0</v>
      </c>
      <c r="AV132" s="25">
        <f t="shared" si="229"/>
        <v>0</v>
      </c>
      <c r="AW132" s="25">
        <f t="shared" si="230"/>
        <v>0</v>
      </c>
      <c r="AX132" s="25">
        <f t="shared" si="231"/>
        <v>0</v>
      </c>
      <c r="AY132" s="25">
        <f t="shared" si="232"/>
        <v>0</v>
      </c>
      <c r="AZ132" s="25">
        <f t="shared" si="233"/>
        <v>0</v>
      </c>
      <c r="BA132" s="25">
        <f t="shared" si="234"/>
        <v>0</v>
      </c>
      <c r="BB132" s="25">
        <f t="shared" si="235"/>
        <v>0</v>
      </c>
      <c r="BC132" s="25">
        <f>IFERROR(INDEX('2 Staff List'!KS$64:KS$114,$AH132),0)</f>
        <v>0</v>
      </c>
      <c r="BD132" s="25">
        <f>IFERROR(INDEX('2 Staff List'!KT$64:KT$114,$AH132),0)</f>
        <v>0</v>
      </c>
      <c r="BE132" s="25">
        <f>IFERROR(INDEX('2 Staff List'!KU$64:KU$114,$AH132),0)</f>
        <v>0</v>
      </c>
      <c r="BF132" s="25">
        <f>IFERROR(INDEX('2 Staff List'!KV$64:KV$114,$AH132),0)</f>
        <v>0</v>
      </c>
      <c r="BG132" s="25">
        <f>IFERROR(INDEX('2 Staff List'!KW$64:KW$114,$AH132),0)</f>
        <v>0</v>
      </c>
      <c r="BH132" s="25">
        <f>IFERROR(INDEX('2 Staff List'!KX$64:KX$114,$AH132),0)</f>
        <v>0</v>
      </c>
      <c r="BI132" s="25">
        <f>IFERROR(INDEX('2 Staff List'!KY$64:KY$114,$AH132),0)</f>
        <v>0</v>
      </c>
      <c r="BJ132" s="25">
        <f>IFERROR(INDEX('2 Staff List'!KZ$64:KZ$114,$AH132),0)</f>
        <v>0</v>
      </c>
      <c r="BK132" s="25">
        <f>IFERROR(INDEX('2 Staff List'!LA$64:LA$114,$AH132),0)</f>
        <v>0</v>
      </c>
      <c r="BL132" s="25">
        <f>IFERROR(INDEX('2 Staff List'!LB$64:LB$114,$AH132),0)</f>
        <v>0</v>
      </c>
      <c r="BM132" s="25">
        <f>IFERROR(INDEX('2 Staff List'!FT$64:FT$114,$AH132),0)</f>
        <v>0</v>
      </c>
      <c r="BN132" s="25">
        <f>IFERROR(INDEX('2 Staff List'!FU$64:FU$114,$AH132),0)</f>
        <v>0</v>
      </c>
      <c r="BO132" s="25">
        <f>IFERROR(INDEX('2 Staff List'!FV$64:FV$114,$AH132),0)</f>
        <v>0</v>
      </c>
      <c r="BP132" s="25">
        <f>IFERROR(INDEX('2 Staff List'!FW$64:FW$114,$AH132),0)</f>
        <v>0</v>
      </c>
      <c r="BQ132" s="25">
        <f>IFERROR(INDEX('2 Staff List'!FX$64:FX$114,$AH132),0)</f>
        <v>0</v>
      </c>
      <c r="BR132" s="25">
        <f>IFERROR(INDEX('2 Staff List'!FY$64:FY$114,$AH132),0)</f>
        <v>0</v>
      </c>
      <c r="BS132" s="25">
        <f>IFERROR(INDEX('2 Staff List'!FZ$64:FZ$114,$AH132),0)</f>
        <v>0</v>
      </c>
      <c r="BT132" s="25">
        <f>IFERROR(INDEX('2 Staff List'!GA$64:GA$114,$AH132),0)</f>
        <v>0</v>
      </c>
      <c r="BU132" s="25">
        <f>IFERROR(INDEX('2 Staff List'!GB$64:GB$114,$AH132),0)</f>
        <v>0</v>
      </c>
      <c r="BV132" s="25">
        <f>IFERROR(INDEX('2 Staff List'!GC$64:GC$114,$AH132),0)</f>
        <v>0</v>
      </c>
      <c r="BW132" s="25">
        <f t="shared" si="236"/>
        <v>0</v>
      </c>
      <c r="BX132" s="25">
        <f t="shared" si="237"/>
        <v>0</v>
      </c>
      <c r="BY132" s="25">
        <f t="shared" si="238"/>
        <v>0</v>
      </c>
      <c r="BZ132" s="25">
        <f t="shared" si="239"/>
        <v>0</v>
      </c>
      <c r="CA132" s="25">
        <f t="shared" si="240"/>
        <v>0</v>
      </c>
      <c r="CB132" s="25">
        <f t="shared" si="241"/>
        <v>0</v>
      </c>
      <c r="CC132" s="25">
        <f t="shared" si="242"/>
        <v>0</v>
      </c>
      <c r="CD132" s="25">
        <f t="shared" si="243"/>
        <v>0</v>
      </c>
      <c r="CE132" s="25">
        <f t="shared" si="244"/>
        <v>0</v>
      </c>
      <c r="CF132" s="25">
        <f t="shared" si="245"/>
        <v>0</v>
      </c>
      <c r="CG132" s="25">
        <f t="shared" si="246"/>
        <v>0</v>
      </c>
      <c r="CH132" s="25">
        <f>IFERROR(INDEX('2 Staff List'!LO$64:LO$114,$AH132),0)</f>
        <v>0</v>
      </c>
      <c r="CI132" s="25">
        <f>IFERROR(INDEX('2 Staff List'!LP$64:LP$114,$AH132),0)</f>
        <v>0</v>
      </c>
      <c r="CJ132" s="25">
        <f>IFERROR(INDEX('2 Staff List'!LQ$64:LQ$114,$AH132),0)</f>
        <v>0</v>
      </c>
      <c r="CK132" s="25">
        <f>IFERROR(INDEX('2 Staff List'!LR$64:LR$114,$AH132),0)</f>
        <v>0</v>
      </c>
      <c r="CL132" s="25">
        <f>IFERROR(INDEX('2 Staff List'!LS$64:LS$114,$AH132),0)</f>
        <v>0</v>
      </c>
      <c r="CM132" s="25">
        <f>IFERROR(INDEX('2 Staff List'!LT$64:LT$114,$AH132),0)</f>
        <v>0</v>
      </c>
      <c r="CN132" s="25">
        <f>IFERROR(INDEX('2 Staff List'!LU$64:LU$114,$AH132),0)</f>
        <v>0</v>
      </c>
      <c r="CO132" s="25">
        <f>IFERROR(INDEX('2 Staff List'!LV$64:LV$114,$AH132),0)</f>
        <v>0</v>
      </c>
      <c r="CP132" s="25">
        <f>IFERROR(INDEX('2 Staff List'!LW$64:LW$114,$AH132),0)</f>
        <v>0</v>
      </c>
      <c r="CQ132" s="25">
        <f>IFERROR(INDEX('2 Staff List'!LX$64:LX$114,$AH132),0)</f>
        <v>0</v>
      </c>
      <c r="CR132" s="25">
        <f t="shared" si="204"/>
        <v>0</v>
      </c>
      <c r="CS132" s="25">
        <f>IFERROR(1/CR132,1)</f>
        <v>1</v>
      </c>
      <c r="CT132" s="25">
        <f t="shared" si="248"/>
        <v>1</v>
      </c>
      <c r="CU132" s="25">
        <f t="shared" si="249"/>
        <v>1</v>
      </c>
      <c r="CV132" s="25">
        <f t="shared" si="250"/>
        <v>1</v>
      </c>
      <c r="CW132" s="25">
        <f t="shared" si="251"/>
        <v>1</v>
      </c>
      <c r="CX132" s="25">
        <f t="shared" si="252"/>
        <v>0</v>
      </c>
      <c r="CY132" s="25">
        <f t="shared" si="253"/>
        <v>0</v>
      </c>
      <c r="CZ132" s="25">
        <f t="shared" si="254"/>
        <v>0</v>
      </c>
      <c r="DA132" s="25">
        <f t="shared" si="255"/>
        <v>1</v>
      </c>
      <c r="DB132" s="25">
        <f t="shared" si="205"/>
        <v>1</v>
      </c>
      <c r="DC132" s="25">
        <f t="shared" si="256"/>
        <v>0</v>
      </c>
      <c r="DD132" s="25">
        <f>IF(OR($AD132&lt;&gt;3,F132="Exclude"),0,IF(ISERROR(MATCH($E132,'4 Sign-off'!$S$123:$X$123,0)),0,1))</f>
        <v>0</v>
      </c>
      <c r="DE132" s="25">
        <f t="shared" si="206"/>
        <v>0</v>
      </c>
      <c r="DF132" s="25">
        <f t="shared" si="257"/>
        <v>0</v>
      </c>
      <c r="DG132" s="25" t="str">
        <f t="shared" si="258"/>
        <v/>
      </c>
      <c r="DH132" s="25">
        <f t="shared" si="259"/>
        <v>0</v>
      </c>
      <c r="DI132" s="25">
        <f t="shared" si="260"/>
        <v>0</v>
      </c>
      <c r="DJ132" s="25">
        <f>IF(ISBLANK(J132),0,ISERROR(MATCH(J132,'5  Control Accounts'!$FA$29:$FA$96,0))*1)</f>
        <v>0</v>
      </c>
      <c r="DK132" s="25">
        <f t="shared" si="261"/>
        <v>0</v>
      </c>
      <c r="DL132" s="25">
        <f t="shared" si="207"/>
        <v>-1</v>
      </c>
      <c r="DM132" s="25" t="e">
        <f t="array" ref="DM132">MATCH(1,($EG132:$JD132&gt;0)*$EG$17:$JD$17,0)</f>
        <v>#N/A</v>
      </c>
      <c r="DN132" s="25" t="e">
        <f t="shared" si="208"/>
        <v>#N/A</v>
      </c>
      <c r="DO132" s="25" t="e">
        <f t="array" ref="DO132">MATCH(2,1/(EG132:JD132&gt;0))</f>
        <v>#N/A</v>
      </c>
      <c r="DP132" s="2993">
        <f t="shared" si="262"/>
        <v>0</v>
      </c>
      <c r="DQ132" s="3037">
        <f t="shared" si="263"/>
        <v>0</v>
      </c>
      <c r="DR132" s="111"/>
      <c r="DS132" s="1267">
        <f t="shared" si="209"/>
        <v>0</v>
      </c>
      <c r="DT132" s="1825"/>
      <c r="DU132" s="1826"/>
      <c r="DV132" s="1827"/>
      <c r="DW132" s="1828"/>
      <c r="DX132" s="659"/>
      <c r="DY132" s="1265"/>
      <c r="DZ132" s="1785">
        <f t="shared" si="210"/>
        <v>0</v>
      </c>
      <c r="EA132" s="1786">
        <f t="shared" si="211"/>
        <v>0</v>
      </c>
      <c r="EB132" s="1781">
        <f t="shared" si="212"/>
        <v>0</v>
      </c>
      <c r="EC132" s="1782">
        <f t="shared" si="213"/>
        <v>0</v>
      </c>
      <c r="ED132" s="1262"/>
      <c r="EE132" s="2280"/>
      <c r="EF132" s="1802"/>
      <c r="EG132" s="167"/>
      <c r="EH132" s="168"/>
      <c r="EI132" s="168"/>
      <c r="EJ132" s="168"/>
      <c r="EK132" s="168"/>
      <c r="EL132" s="168"/>
      <c r="EM132" s="168"/>
      <c r="EN132" s="168"/>
      <c r="EO132" s="168"/>
      <c r="EP132" s="168"/>
      <c r="EQ132" s="168"/>
      <c r="ER132" s="168"/>
      <c r="ES132" s="168"/>
      <c r="ET132" s="168"/>
      <c r="EU132" s="168"/>
      <c r="EV132" s="168"/>
      <c r="EW132" s="168"/>
      <c r="EX132" s="168"/>
      <c r="EY132" s="168"/>
      <c r="EZ132" s="168"/>
      <c r="FA132" s="168"/>
      <c r="FB132" s="168"/>
      <c r="FC132" s="168"/>
      <c r="FD132" s="168"/>
      <c r="FE132" s="168"/>
      <c r="FF132" s="168"/>
      <c r="FG132" s="168"/>
      <c r="FH132" s="168"/>
      <c r="FI132" s="168"/>
      <c r="FJ132" s="168"/>
      <c r="FK132" s="168"/>
      <c r="FL132" s="168"/>
      <c r="FM132" s="168"/>
      <c r="FN132" s="168"/>
      <c r="FO132" s="168"/>
      <c r="FP132" s="168"/>
      <c r="FQ132" s="168"/>
      <c r="FR132" s="168"/>
      <c r="FS132" s="168"/>
      <c r="FT132" s="168"/>
      <c r="FU132" s="168"/>
      <c r="FV132" s="168"/>
      <c r="FW132" s="168"/>
      <c r="FX132" s="168"/>
      <c r="FY132" s="168"/>
      <c r="FZ132" s="168"/>
      <c r="GA132" s="168"/>
      <c r="GB132" s="168"/>
      <c r="GC132" s="168"/>
      <c r="GD132" s="168"/>
      <c r="GE132" s="168"/>
      <c r="GF132" s="168"/>
      <c r="GG132" s="168"/>
      <c r="GH132" s="168"/>
      <c r="GI132" s="168"/>
      <c r="GJ132" s="168"/>
      <c r="GK132" s="168"/>
      <c r="GL132" s="168"/>
      <c r="GM132" s="168"/>
      <c r="GN132" s="168"/>
      <c r="GO132" s="168"/>
      <c r="GP132" s="168"/>
      <c r="GQ132" s="168"/>
      <c r="GR132" s="168"/>
      <c r="GS132" s="168"/>
      <c r="GT132" s="168"/>
      <c r="GU132" s="168"/>
      <c r="GV132" s="168"/>
      <c r="GW132" s="168"/>
      <c r="GX132" s="168"/>
      <c r="GY132" s="168"/>
      <c r="GZ132" s="168"/>
      <c r="HA132" s="168"/>
      <c r="HB132" s="168"/>
      <c r="HC132" s="168"/>
      <c r="HD132" s="168"/>
      <c r="HE132" s="168"/>
      <c r="HF132" s="168"/>
      <c r="HG132" s="168"/>
      <c r="HH132" s="168"/>
      <c r="HI132" s="168"/>
      <c r="HJ132" s="168"/>
      <c r="HK132" s="168"/>
      <c r="HL132" s="168"/>
      <c r="HM132" s="168"/>
      <c r="HN132" s="168"/>
      <c r="HO132" s="168"/>
      <c r="HP132" s="168"/>
      <c r="HQ132" s="168"/>
      <c r="HR132" s="168"/>
      <c r="HS132" s="168"/>
      <c r="HT132" s="168"/>
      <c r="HU132" s="168"/>
      <c r="HV132" s="168"/>
      <c r="HW132" s="168"/>
      <c r="HX132" s="168"/>
      <c r="HY132" s="168"/>
      <c r="HZ132" s="168"/>
      <c r="IA132" s="168"/>
      <c r="IB132" s="168"/>
      <c r="IC132" s="168"/>
      <c r="ID132" s="168"/>
      <c r="IE132" s="168"/>
      <c r="IF132" s="168"/>
      <c r="IG132" s="168"/>
      <c r="IH132" s="168"/>
      <c r="II132" s="168"/>
      <c r="IJ132" s="168"/>
      <c r="IK132" s="168"/>
      <c r="IL132" s="168"/>
      <c r="IM132" s="168"/>
      <c r="IN132" s="168"/>
      <c r="IO132" s="168"/>
      <c r="IP132" s="168"/>
      <c r="IQ132" s="168"/>
      <c r="IR132" s="168"/>
      <c r="IS132" s="168"/>
      <c r="IT132" s="168"/>
      <c r="IU132" s="168"/>
      <c r="IV132" s="168"/>
      <c r="IW132" s="168"/>
      <c r="IX132" s="168"/>
      <c r="IY132" s="168"/>
      <c r="IZ132" s="168"/>
      <c r="JA132" s="168"/>
      <c r="JB132" s="168"/>
      <c r="JC132" s="606"/>
      <c r="JD132" s="609"/>
      <c r="JE132" s="1"/>
      <c r="JF132" s="1"/>
    </row>
    <row r="133" spans="1:266" s="2" customFormat="1" ht="15" customHeight="1" x14ac:dyDescent="0.25">
      <c r="A133" s="283"/>
      <c r="B133" s="303"/>
      <c r="C133" s="301"/>
      <c r="D133" s="638"/>
      <c r="E133" s="2298"/>
      <c r="F133" s="1812"/>
      <c r="G133" s="3342"/>
      <c r="H133" s="105"/>
      <c r="I133" s="1746"/>
      <c r="J133" s="86"/>
      <c r="K133" s="105"/>
      <c r="L133" s="91"/>
      <c r="M133" s="92"/>
      <c r="N133" s="93"/>
      <c r="O133" s="94"/>
      <c r="P133" s="96"/>
      <c r="Q133" s="95"/>
      <c r="R133" s="993">
        <f t="shared" si="198"/>
        <v>0</v>
      </c>
      <c r="S133" s="23">
        <f t="shared" si="214"/>
        <v>0</v>
      </c>
      <c r="T133" s="24">
        <f t="shared" si="215"/>
        <v>0</v>
      </c>
      <c r="U133" s="24">
        <f t="shared" si="199"/>
        <v>0</v>
      </c>
      <c r="V133" s="24">
        <f t="shared" si="216"/>
        <v>0</v>
      </c>
      <c r="W133" s="24">
        <f t="shared" si="217"/>
        <v>0</v>
      </c>
      <c r="X133" s="72">
        <f t="shared" si="218"/>
        <v>0</v>
      </c>
      <c r="Y133" s="72">
        <f t="shared" si="219"/>
        <v>0</v>
      </c>
      <c r="Z133" s="24">
        <f t="shared" si="200"/>
        <v>0</v>
      </c>
      <c r="AA133" s="72">
        <f t="shared" si="220"/>
        <v>0</v>
      </c>
      <c r="AB133" s="24">
        <f t="shared" si="221"/>
        <v>0</v>
      </c>
      <c r="AC133" s="24" t="s">
        <v>5</v>
      </c>
      <c r="AD133" s="25">
        <f t="shared" si="201"/>
        <v>3</v>
      </c>
      <c r="AE133" s="25">
        <f t="shared" si="202"/>
        <v>0</v>
      </c>
      <c r="AF133" s="25">
        <f t="shared" si="203"/>
        <v>0</v>
      </c>
      <c r="AG133" s="25">
        <f t="shared" si="222"/>
        <v>1</v>
      </c>
      <c r="AH133" s="25" t="str">
        <f>IFERROR(MATCH(DY133,'2 Staff List'!$IA$64:$IA$114,0),"x")</f>
        <v>x</v>
      </c>
      <c r="AI133" s="1181">
        <f>IFERROR(INDEX('2 Staff List'!$EX$64:$EX$114,$AH133),0)</f>
        <v>0</v>
      </c>
      <c r="AJ133" s="25">
        <f>IFERROR(INDEX('2 Staff List'!$IW$64:$IW$114,$AH133),0)</f>
        <v>0</v>
      </c>
      <c r="AK133" s="25">
        <f>IFERROR(INDEX('2 Staff List'!$IB$64:$IB$114,$AH133),0)</f>
        <v>0</v>
      </c>
      <c r="AL133" s="25">
        <f>IF(OR(NOT(ISBLANK(DV133)),CX133=1),"&lt;Non-Labor&gt;",IFERROR(IF(AH133=0,0,INDEX('2 Staff List'!$HZ$64:$HZ$114,$AH133)),0))</f>
        <v>0</v>
      </c>
      <c r="AM133" s="25">
        <f>IFERROR(INDEX('2 Staff List'!$HW$64:$HW$114,$AH133),0)</f>
        <v>0</v>
      </c>
      <c r="AN133" s="25">
        <f t="shared" si="223"/>
        <v>1</v>
      </c>
      <c r="AO133" s="25">
        <f>IF($AO$127=0,0,IFERROR(INDEX('2 Staff List'!$JH$64:$JH$114,$AH133),0))</f>
        <v>0</v>
      </c>
      <c r="AP133" s="25">
        <f>IFERROR(INDEX('2 Staff List'!$HU$64:$HU$114,$AH133),0)</f>
        <v>0</v>
      </c>
      <c r="AQ133" s="25">
        <f t="shared" si="224"/>
        <v>0</v>
      </c>
      <c r="AR133" s="25">
        <f t="shared" si="225"/>
        <v>0</v>
      </c>
      <c r="AS133" s="25">
        <f t="shared" si="226"/>
        <v>0</v>
      </c>
      <c r="AT133" s="25">
        <f t="shared" si="227"/>
        <v>0</v>
      </c>
      <c r="AU133" s="25">
        <f t="shared" si="228"/>
        <v>0</v>
      </c>
      <c r="AV133" s="25">
        <f t="shared" si="229"/>
        <v>0</v>
      </c>
      <c r="AW133" s="25">
        <f t="shared" si="230"/>
        <v>0</v>
      </c>
      <c r="AX133" s="25">
        <f t="shared" si="231"/>
        <v>0</v>
      </c>
      <c r="AY133" s="25">
        <f t="shared" si="232"/>
        <v>0</v>
      </c>
      <c r="AZ133" s="25">
        <f t="shared" si="233"/>
        <v>0</v>
      </c>
      <c r="BA133" s="25">
        <f t="shared" si="234"/>
        <v>0</v>
      </c>
      <c r="BB133" s="25">
        <f t="shared" si="235"/>
        <v>0</v>
      </c>
      <c r="BC133" s="25">
        <f>IFERROR(INDEX('2 Staff List'!KS$64:KS$114,$AH133),0)</f>
        <v>0</v>
      </c>
      <c r="BD133" s="25">
        <f>IFERROR(INDEX('2 Staff List'!KT$64:KT$114,$AH133),0)</f>
        <v>0</v>
      </c>
      <c r="BE133" s="25">
        <f>IFERROR(INDEX('2 Staff List'!KU$64:KU$114,$AH133),0)</f>
        <v>0</v>
      </c>
      <c r="BF133" s="25">
        <f>IFERROR(INDEX('2 Staff List'!KV$64:KV$114,$AH133),0)</f>
        <v>0</v>
      </c>
      <c r="BG133" s="25">
        <f>IFERROR(INDEX('2 Staff List'!KW$64:KW$114,$AH133),0)</f>
        <v>0</v>
      </c>
      <c r="BH133" s="25">
        <f>IFERROR(INDEX('2 Staff List'!KX$64:KX$114,$AH133),0)</f>
        <v>0</v>
      </c>
      <c r="BI133" s="25">
        <f>IFERROR(INDEX('2 Staff List'!KY$64:KY$114,$AH133),0)</f>
        <v>0</v>
      </c>
      <c r="BJ133" s="25">
        <f>IFERROR(INDEX('2 Staff List'!KZ$64:KZ$114,$AH133),0)</f>
        <v>0</v>
      </c>
      <c r="BK133" s="25">
        <f>IFERROR(INDEX('2 Staff List'!LA$64:LA$114,$AH133),0)</f>
        <v>0</v>
      </c>
      <c r="BL133" s="25">
        <f>IFERROR(INDEX('2 Staff List'!LB$64:LB$114,$AH133),0)</f>
        <v>0</v>
      </c>
      <c r="BM133" s="25">
        <f>IFERROR(INDEX('2 Staff List'!FT$64:FT$114,$AH133),0)</f>
        <v>0</v>
      </c>
      <c r="BN133" s="25">
        <f>IFERROR(INDEX('2 Staff List'!FU$64:FU$114,$AH133),0)</f>
        <v>0</v>
      </c>
      <c r="BO133" s="25">
        <f>IFERROR(INDEX('2 Staff List'!FV$64:FV$114,$AH133),0)</f>
        <v>0</v>
      </c>
      <c r="BP133" s="25">
        <f>IFERROR(INDEX('2 Staff List'!FW$64:FW$114,$AH133),0)</f>
        <v>0</v>
      </c>
      <c r="BQ133" s="25">
        <f>IFERROR(INDEX('2 Staff List'!FX$64:FX$114,$AH133),0)</f>
        <v>0</v>
      </c>
      <c r="BR133" s="25">
        <f>IFERROR(INDEX('2 Staff List'!FY$64:FY$114,$AH133),0)</f>
        <v>0</v>
      </c>
      <c r="BS133" s="25">
        <f>IFERROR(INDEX('2 Staff List'!FZ$64:FZ$114,$AH133),0)</f>
        <v>0</v>
      </c>
      <c r="BT133" s="25">
        <f>IFERROR(INDEX('2 Staff List'!GA$64:GA$114,$AH133),0)</f>
        <v>0</v>
      </c>
      <c r="BU133" s="25">
        <f>IFERROR(INDEX('2 Staff List'!GB$64:GB$114,$AH133),0)</f>
        <v>0</v>
      </c>
      <c r="BV133" s="25">
        <f>IFERROR(INDEX('2 Staff List'!GC$64:GC$114,$AH133),0)</f>
        <v>0</v>
      </c>
      <c r="BW133" s="25">
        <f t="shared" si="236"/>
        <v>0</v>
      </c>
      <c r="BX133" s="25">
        <f t="shared" si="237"/>
        <v>0</v>
      </c>
      <c r="BY133" s="25">
        <f t="shared" si="238"/>
        <v>0</v>
      </c>
      <c r="BZ133" s="25">
        <f t="shared" si="239"/>
        <v>0</v>
      </c>
      <c r="CA133" s="25">
        <f t="shared" si="240"/>
        <v>0</v>
      </c>
      <c r="CB133" s="25">
        <f t="shared" si="241"/>
        <v>0</v>
      </c>
      <c r="CC133" s="25">
        <f t="shared" si="242"/>
        <v>0</v>
      </c>
      <c r="CD133" s="25">
        <f t="shared" si="243"/>
        <v>0</v>
      </c>
      <c r="CE133" s="25">
        <f t="shared" si="244"/>
        <v>0</v>
      </c>
      <c r="CF133" s="25">
        <f t="shared" si="245"/>
        <v>0</v>
      </c>
      <c r="CG133" s="25">
        <f t="shared" si="246"/>
        <v>0</v>
      </c>
      <c r="CH133" s="25">
        <f>IFERROR(INDEX('2 Staff List'!LO$64:LO$114,$AH133),0)</f>
        <v>0</v>
      </c>
      <c r="CI133" s="25">
        <f>IFERROR(INDEX('2 Staff List'!LP$64:LP$114,$AH133),0)</f>
        <v>0</v>
      </c>
      <c r="CJ133" s="25">
        <f>IFERROR(INDEX('2 Staff List'!LQ$64:LQ$114,$AH133),0)</f>
        <v>0</v>
      </c>
      <c r="CK133" s="25">
        <f>IFERROR(INDEX('2 Staff List'!LR$64:LR$114,$AH133),0)</f>
        <v>0</v>
      </c>
      <c r="CL133" s="25">
        <f>IFERROR(INDEX('2 Staff List'!LS$64:LS$114,$AH133),0)</f>
        <v>0</v>
      </c>
      <c r="CM133" s="25">
        <f>IFERROR(INDEX('2 Staff List'!LT$64:LT$114,$AH133),0)</f>
        <v>0</v>
      </c>
      <c r="CN133" s="25">
        <f>IFERROR(INDEX('2 Staff List'!LU$64:LU$114,$AH133),0)</f>
        <v>0</v>
      </c>
      <c r="CO133" s="25">
        <f>IFERROR(INDEX('2 Staff List'!LV$64:LV$114,$AH133),0)</f>
        <v>0</v>
      </c>
      <c r="CP133" s="25">
        <f>IFERROR(INDEX('2 Staff List'!LW$64:LW$114,$AH133),0)</f>
        <v>0</v>
      </c>
      <c r="CQ133" s="25">
        <f>IFERROR(INDEX('2 Staff List'!LX$64:LX$114,$AH133),0)</f>
        <v>0</v>
      </c>
      <c r="CR133" s="25">
        <f t="shared" si="204"/>
        <v>0</v>
      </c>
      <c r="CS133" s="25">
        <f>IFERROR(1/CR133,1)</f>
        <v>1</v>
      </c>
      <c r="CT133" s="25">
        <f t="shared" si="248"/>
        <v>1</v>
      </c>
      <c r="CU133" s="25">
        <f t="shared" si="249"/>
        <v>1</v>
      </c>
      <c r="CV133" s="25">
        <f t="shared" si="250"/>
        <v>1</v>
      </c>
      <c r="CW133" s="25">
        <f t="shared" si="251"/>
        <v>1</v>
      </c>
      <c r="CX133" s="25">
        <f t="shared" si="252"/>
        <v>0</v>
      </c>
      <c r="CY133" s="25">
        <f t="shared" si="253"/>
        <v>0</v>
      </c>
      <c r="CZ133" s="25">
        <f t="shared" si="254"/>
        <v>0</v>
      </c>
      <c r="DA133" s="25">
        <f t="shared" si="255"/>
        <v>1</v>
      </c>
      <c r="DB133" s="25">
        <f t="shared" si="205"/>
        <v>1</v>
      </c>
      <c r="DC133" s="25">
        <f t="shared" si="256"/>
        <v>0</v>
      </c>
      <c r="DD133" s="25">
        <f>IF(OR($AD133&lt;&gt;3,F133="Exclude"),0,IF(ISERROR(MATCH($E133,'4 Sign-off'!$S$123:$X$123,0)),0,1))</f>
        <v>0</v>
      </c>
      <c r="DE133" s="25">
        <f t="shared" si="206"/>
        <v>0</v>
      </c>
      <c r="DF133" s="25">
        <f t="shared" si="257"/>
        <v>0</v>
      </c>
      <c r="DG133" s="25" t="str">
        <f t="shared" si="258"/>
        <v/>
      </c>
      <c r="DH133" s="25">
        <f t="shared" si="259"/>
        <v>0</v>
      </c>
      <c r="DI133" s="25">
        <f t="shared" si="260"/>
        <v>0</v>
      </c>
      <c r="DJ133" s="25">
        <f>IF(ISBLANK(J133),0,ISERROR(MATCH(J133,'5  Control Accounts'!$FA$29:$FA$96,0))*1)</f>
        <v>0</v>
      </c>
      <c r="DK133" s="25">
        <f t="shared" si="261"/>
        <v>0</v>
      </c>
      <c r="DL133" s="25">
        <f t="shared" si="207"/>
        <v>-1</v>
      </c>
      <c r="DM133" s="25" t="e">
        <f t="array" ref="DM133">MATCH(1,($EG133:$JD133&gt;0)*$EG$17:$JD$17,0)</f>
        <v>#N/A</v>
      </c>
      <c r="DN133" s="25" t="e">
        <f t="shared" si="208"/>
        <v>#N/A</v>
      </c>
      <c r="DO133" s="25" t="e">
        <f t="array" ref="DO133">MATCH(2,1/(EG133:JD133&gt;0))</f>
        <v>#N/A</v>
      </c>
      <c r="DP133" s="2993">
        <f t="shared" si="262"/>
        <v>0</v>
      </c>
      <c r="DQ133" s="3037">
        <f t="shared" si="263"/>
        <v>0</v>
      </c>
      <c r="DR133" s="111"/>
      <c r="DS133" s="1267">
        <f t="shared" si="209"/>
        <v>0</v>
      </c>
      <c r="DT133" s="1825"/>
      <c r="DU133" s="1826"/>
      <c r="DV133" s="1827"/>
      <c r="DW133" s="1828"/>
      <c r="DX133" s="659"/>
      <c r="DY133" s="1265"/>
      <c r="DZ133" s="1785">
        <f t="shared" si="210"/>
        <v>0</v>
      </c>
      <c r="EA133" s="1786">
        <f t="shared" si="211"/>
        <v>0</v>
      </c>
      <c r="EB133" s="1781">
        <f t="shared" si="212"/>
        <v>0</v>
      </c>
      <c r="EC133" s="1782">
        <f t="shared" si="213"/>
        <v>0</v>
      </c>
      <c r="ED133" s="1262"/>
      <c r="EE133" s="2280"/>
      <c r="EF133" s="1802"/>
      <c r="EG133" s="167"/>
      <c r="EH133" s="168"/>
      <c r="EI133" s="168"/>
      <c r="EJ133" s="168"/>
      <c r="EK133" s="168"/>
      <c r="EL133" s="168"/>
      <c r="EM133" s="168"/>
      <c r="EN133" s="168"/>
      <c r="EO133" s="168"/>
      <c r="EP133" s="168"/>
      <c r="EQ133" s="168"/>
      <c r="ER133" s="168"/>
      <c r="ES133" s="168"/>
      <c r="ET133" s="168"/>
      <c r="EU133" s="168"/>
      <c r="EV133" s="168"/>
      <c r="EW133" s="168"/>
      <c r="EX133" s="168"/>
      <c r="EY133" s="168"/>
      <c r="EZ133" s="168"/>
      <c r="FA133" s="168"/>
      <c r="FB133" s="168"/>
      <c r="FC133" s="168"/>
      <c r="FD133" s="168"/>
      <c r="FE133" s="168"/>
      <c r="FF133" s="168"/>
      <c r="FG133" s="168"/>
      <c r="FH133" s="168"/>
      <c r="FI133" s="168"/>
      <c r="FJ133" s="168"/>
      <c r="FK133" s="168"/>
      <c r="FL133" s="168"/>
      <c r="FM133" s="168"/>
      <c r="FN133" s="168"/>
      <c r="FO133" s="168"/>
      <c r="FP133" s="168"/>
      <c r="FQ133" s="168"/>
      <c r="FR133" s="168"/>
      <c r="FS133" s="168"/>
      <c r="FT133" s="168"/>
      <c r="FU133" s="168"/>
      <c r="FV133" s="168"/>
      <c r="FW133" s="168"/>
      <c r="FX133" s="168"/>
      <c r="FY133" s="168"/>
      <c r="FZ133" s="168"/>
      <c r="GA133" s="168"/>
      <c r="GB133" s="168"/>
      <c r="GC133" s="168"/>
      <c r="GD133" s="168"/>
      <c r="GE133" s="168"/>
      <c r="GF133" s="168"/>
      <c r="GG133" s="168"/>
      <c r="GH133" s="168"/>
      <c r="GI133" s="168"/>
      <c r="GJ133" s="168"/>
      <c r="GK133" s="168"/>
      <c r="GL133" s="168"/>
      <c r="GM133" s="168"/>
      <c r="GN133" s="168"/>
      <c r="GO133" s="168"/>
      <c r="GP133" s="168"/>
      <c r="GQ133" s="168"/>
      <c r="GR133" s="168"/>
      <c r="GS133" s="168"/>
      <c r="GT133" s="168"/>
      <c r="GU133" s="168"/>
      <c r="GV133" s="168"/>
      <c r="GW133" s="168"/>
      <c r="GX133" s="168"/>
      <c r="GY133" s="168"/>
      <c r="GZ133" s="168"/>
      <c r="HA133" s="168"/>
      <c r="HB133" s="168"/>
      <c r="HC133" s="168"/>
      <c r="HD133" s="168"/>
      <c r="HE133" s="168"/>
      <c r="HF133" s="168"/>
      <c r="HG133" s="168"/>
      <c r="HH133" s="168"/>
      <c r="HI133" s="168"/>
      <c r="HJ133" s="168"/>
      <c r="HK133" s="168"/>
      <c r="HL133" s="168"/>
      <c r="HM133" s="168"/>
      <c r="HN133" s="168"/>
      <c r="HO133" s="168"/>
      <c r="HP133" s="168"/>
      <c r="HQ133" s="168"/>
      <c r="HR133" s="168"/>
      <c r="HS133" s="168"/>
      <c r="HT133" s="168"/>
      <c r="HU133" s="168"/>
      <c r="HV133" s="168"/>
      <c r="HW133" s="168"/>
      <c r="HX133" s="168"/>
      <c r="HY133" s="168"/>
      <c r="HZ133" s="168"/>
      <c r="IA133" s="168"/>
      <c r="IB133" s="168"/>
      <c r="IC133" s="168"/>
      <c r="ID133" s="168"/>
      <c r="IE133" s="168"/>
      <c r="IF133" s="168"/>
      <c r="IG133" s="168"/>
      <c r="IH133" s="168"/>
      <c r="II133" s="168"/>
      <c r="IJ133" s="168"/>
      <c r="IK133" s="168"/>
      <c r="IL133" s="168"/>
      <c r="IM133" s="168"/>
      <c r="IN133" s="168"/>
      <c r="IO133" s="168"/>
      <c r="IP133" s="168"/>
      <c r="IQ133" s="168"/>
      <c r="IR133" s="168"/>
      <c r="IS133" s="168"/>
      <c r="IT133" s="168"/>
      <c r="IU133" s="168"/>
      <c r="IV133" s="168"/>
      <c r="IW133" s="168"/>
      <c r="IX133" s="168"/>
      <c r="IY133" s="168"/>
      <c r="IZ133" s="168"/>
      <c r="JA133" s="168"/>
      <c r="JB133" s="168"/>
      <c r="JC133" s="606"/>
      <c r="JD133" s="609"/>
      <c r="JE133" s="1"/>
      <c r="JF133" s="1"/>
    </row>
    <row r="134" spans="1:266" s="2" customFormat="1" ht="15" customHeight="1" x14ac:dyDescent="0.25">
      <c r="A134" s="283"/>
      <c r="B134" s="303"/>
      <c r="C134" s="301"/>
      <c r="D134" s="638"/>
      <c r="E134" s="2298"/>
      <c r="F134" s="1812"/>
      <c r="G134" s="3342"/>
      <c r="H134" s="105"/>
      <c r="I134" s="1746"/>
      <c r="J134" s="86"/>
      <c r="K134" s="105"/>
      <c r="L134" s="91"/>
      <c r="M134" s="92"/>
      <c r="N134" s="93"/>
      <c r="O134" s="94"/>
      <c r="P134" s="96"/>
      <c r="Q134" s="95"/>
      <c r="R134" s="993">
        <f t="shared" si="198"/>
        <v>0</v>
      </c>
      <c r="S134" s="23">
        <f t="shared" si="214"/>
        <v>0</v>
      </c>
      <c r="T134" s="24">
        <f t="shared" si="215"/>
        <v>0</v>
      </c>
      <c r="U134" s="24">
        <f t="shared" si="199"/>
        <v>0</v>
      </c>
      <c r="V134" s="24">
        <f t="shared" si="216"/>
        <v>0</v>
      </c>
      <c r="W134" s="24">
        <f t="shared" si="217"/>
        <v>0</v>
      </c>
      <c r="X134" s="72">
        <f t="shared" si="218"/>
        <v>0</v>
      </c>
      <c r="Y134" s="72">
        <f t="shared" si="219"/>
        <v>0</v>
      </c>
      <c r="Z134" s="24">
        <f t="shared" si="200"/>
        <v>0</v>
      </c>
      <c r="AA134" s="72">
        <f t="shared" si="220"/>
        <v>0</v>
      </c>
      <c r="AB134" s="24">
        <f t="shared" si="221"/>
        <v>0</v>
      </c>
      <c r="AC134" s="24" t="s">
        <v>5</v>
      </c>
      <c r="AD134" s="25">
        <f t="shared" si="201"/>
        <v>3</v>
      </c>
      <c r="AE134" s="25">
        <f t="shared" si="202"/>
        <v>0</v>
      </c>
      <c r="AF134" s="25">
        <f t="shared" si="203"/>
        <v>0</v>
      </c>
      <c r="AG134" s="25">
        <f t="shared" si="222"/>
        <v>1</v>
      </c>
      <c r="AH134" s="25" t="str">
        <f>IFERROR(MATCH(DY134,'2 Staff List'!$IA$64:$IA$114,0),"x")</f>
        <v>x</v>
      </c>
      <c r="AI134" s="1181">
        <f>IFERROR(INDEX('2 Staff List'!$EX$64:$EX$114,$AH134),0)</f>
        <v>0</v>
      </c>
      <c r="AJ134" s="25">
        <f>IFERROR(INDEX('2 Staff List'!$IW$64:$IW$114,$AH134),0)</f>
        <v>0</v>
      </c>
      <c r="AK134" s="25">
        <f>IFERROR(INDEX('2 Staff List'!$IB$64:$IB$114,$AH134),0)</f>
        <v>0</v>
      </c>
      <c r="AL134" s="25">
        <f>IF(OR(NOT(ISBLANK(DV134)),CX134=1),"&lt;Non-Labor&gt;",IFERROR(IF(AH134=0,0,INDEX('2 Staff List'!$HZ$64:$HZ$114,$AH134)),0))</f>
        <v>0</v>
      </c>
      <c r="AM134" s="25">
        <f>IFERROR(INDEX('2 Staff List'!$HW$64:$HW$114,$AH134),0)</f>
        <v>0</v>
      </c>
      <c r="AN134" s="25">
        <f t="shared" si="223"/>
        <v>1</v>
      </c>
      <c r="AO134" s="25">
        <f>IF($AO$127=0,0,IFERROR(INDEX('2 Staff List'!$JH$64:$JH$114,$AH134),0))</f>
        <v>0</v>
      </c>
      <c r="AP134" s="25">
        <f>IFERROR(INDEX('2 Staff List'!$HU$64:$HU$114,$AH134),0)</f>
        <v>0</v>
      </c>
      <c r="AQ134" s="25">
        <f t="shared" si="224"/>
        <v>0</v>
      </c>
      <c r="AR134" s="25">
        <f t="shared" si="225"/>
        <v>0</v>
      </c>
      <c r="AS134" s="25">
        <f t="shared" si="226"/>
        <v>0</v>
      </c>
      <c r="AT134" s="25">
        <f t="shared" si="227"/>
        <v>0</v>
      </c>
      <c r="AU134" s="25">
        <f t="shared" si="228"/>
        <v>0</v>
      </c>
      <c r="AV134" s="25">
        <f t="shared" si="229"/>
        <v>0</v>
      </c>
      <c r="AW134" s="25">
        <f t="shared" si="230"/>
        <v>0</v>
      </c>
      <c r="AX134" s="25">
        <f t="shared" si="231"/>
        <v>0</v>
      </c>
      <c r="AY134" s="25">
        <f t="shared" si="232"/>
        <v>0</v>
      </c>
      <c r="AZ134" s="25">
        <f t="shared" si="233"/>
        <v>0</v>
      </c>
      <c r="BA134" s="25">
        <f t="shared" si="234"/>
        <v>0</v>
      </c>
      <c r="BB134" s="25">
        <f t="shared" si="235"/>
        <v>0</v>
      </c>
      <c r="BC134" s="25">
        <f>IFERROR(INDEX('2 Staff List'!KS$64:KS$114,$AH134),0)</f>
        <v>0</v>
      </c>
      <c r="BD134" s="25">
        <f>IFERROR(INDEX('2 Staff List'!KT$64:KT$114,$AH134),0)</f>
        <v>0</v>
      </c>
      <c r="BE134" s="25">
        <f>IFERROR(INDEX('2 Staff List'!KU$64:KU$114,$AH134),0)</f>
        <v>0</v>
      </c>
      <c r="BF134" s="25">
        <f>IFERROR(INDEX('2 Staff List'!KV$64:KV$114,$AH134),0)</f>
        <v>0</v>
      </c>
      <c r="BG134" s="25">
        <f>IFERROR(INDEX('2 Staff List'!KW$64:KW$114,$AH134),0)</f>
        <v>0</v>
      </c>
      <c r="BH134" s="25">
        <f>IFERROR(INDEX('2 Staff List'!KX$64:KX$114,$AH134),0)</f>
        <v>0</v>
      </c>
      <c r="BI134" s="25">
        <f>IFERROR(INDEX('2 Staff List'!KY$64:KY$114,$AH134),0)</f>
        <v>0</v>
      </c>
      <c r="BJ134" s="25">
        <f>IFERROR(INDEX('2 Staff List'!KZ$64:KZ$114,$AH134),0)</f>
        <v>0</v>
      </c>
      <c r="BK134" s="25">
        <f>IFERROR(INDEX('2 Staff List'!LA$64:LA$114,$AH134),0)</f>
        <v>0</v>
      </c>
      <c r="BL134" s="25">
        <f>IFERROR(INDEX('2 Staff List'!LB$64:LB$114,$AH134),0)</f>
        <v>0</v>
      </c>
      <c r="BM134" s="25">
        <f>IFERROR(INDEX('2 Staff List'!FT$64:FT$114,$AH134),0)</f>
        <v>0</v>
      </c>
      <c r="BN134" s="25">
        <f>IFERROR(INDEX('2 Staff List'!FU$64:FU$114,$AH134),0)</f>
        <v>0</v>
      </c>
      <c r="BO134" s="25">
        <f>IFERROR(INDEX('2 Staff List'!FV$64:FV$114,$AH134),0)</f>
        <v>0</v>
      </c>
      <c r="BP134" s="25">
        <f>IFERROR(INDEX('2 Staff List'!FW$64:FW$114,$AH134),0)</f>
        <v>0</v>
      </c>
      <c r="BQ134" s="25">
        <f>IFERROR(INDEX('2 Staff List'!FX$64:FX$114,$AH134),0)</f>
        <v>0</v>
      </c>
      <c r="BR134" s="25">
        <f>IFERROR(INDEX('2 Staff List'!FY$64:FY$114,$AH134),0)</f>
        <v>0</v>
      </c>
      <c r="BS134" s="25">
        <f>IFERROR(INDEX('2 Staff List'!FZ$64:FZ$114,$AH134),0)</f>
        <v>0</v>
      </c>
      <c r="BT134" s="25">
        <f>IFERROR(INDEX('2 Staff List'!GA$64:GA$114,$AH134),0)</f>
        <v>0</v>
      </c>
      <c r="BU134" s="25">
        <f>IFERROR(INDEX('2 Staff List'!GB$64:GB$114,$AH134),0)</f>
        <v>0</v>
      </c>
      <c r="BV134" s="25">
        <f>IFERROR(INDEX('2 Staff List'!GC$64:GC$114,$AH134),0)</f>
        <v>0</v>
      </c>
      <c r="BW134" s="25">
        <f t="shared" si="236"/>
        <v>0</v>
      </c>
      <c r="BX134" s="25">
        <f t="shared" si="237"/>
        <v>0</v>
      </c>
      <c r="BY134" s="25">
        <f t="shared" si="238"/>
        <v>0</v>
      </c>
      <c r="BZ134" s="25">
        <f t="shared" si="239"/>
        <v>0</v>
      </c>
      <c r="CA134" s="25">
        <f t="shared" si="240"/>
        <v>0</v>
      </c>
      <c r="CB134" s="25">
        <f t="shared" si="241"/>
        <v>0</v>
      </c>
      <c r="CC134" s="25">
        <f t="shared" si="242"/>
        <v>0</v>
      </c>
      <c r="CD134" s="25">
        <f t="shared" si="243"/>
        <v>0</v>
      </c>
      <c r="CE134" s="25">
        <f t="shared" si="244"/>
        <v>0</v>
      </c>
      <c r="CF134" s="25">
        <f t="shared" si="245"/>
        <v>0</v>
      </c>
      <c r="CG134" s="25">
        <f t="shared" si="246"/>
        <v>0</v>
      </c>
      <c r="CH134" s="25">
        <f>IFERROR(INDEX('2 Staff List'!LO$64:LO$114,$AH134),0)</f>
        <v>0</v>
      </c>
      <c r="CI134" s="25">
        <f>IFERROR(INDEX('2 Staff List'!LP$64:LP$114,$AH134),0)</f>
        <v>0</v>
      </c>
      <c r="CJ134" s="25">
        <f>IFERROR(INDEX('2 Staff List'!LQ$64:LQ$114,$AH134),0)</f>
        <v>0</v>
      </c>
      <c r="CK134" s="25">
        <f>IFERROR(INDEX('2 Staff List'!LR$64:LR$114,$AH134),0)</f>
        <v>0</v>
      </c>
      <c r="CL134" s="25">
        <f>IFERROR(INDEX('2 Staff List'!LS$64:LS$114,$AH134),0)</f>
        <v>0</v>
      </c>
      <c r="CM134" s="25">
        <f>IFERROR(INDEX('2 Staff List'!LT$64:LT$114,$AH134),0)</f>
        <v>0</v>
      </c>
      <c r="CN134" s="25">
        <f>IFERROR(INDEX('2 Staff List'!LU$64:LU$114,$AH134),0)</f>
        <v>0</v>
      </c>
      <c r="CO134" s="25">
        <f>IFERROR(INDEX('2 Staff List'!LV$64:LV$114,$AH134),0)</f>
        <v>0</v>
      </c>
      <c r="CP134" s="25">
        <f>IFERROR(INDEX('2 Staff List'!LW$64:LW$114,$AH134),0)</f>
        <v>0</v>
      </c>
      <c r="CQ134" s="25">
        <f>IFERROR(INDEX('2 Staff List'!LX$64:LX$114,$AH134),0)</f>
        <v>0</v>
      </c>
      <c r="CR134" s="25">
        <f t="shared" si="204"/>
        <v>0</v>
      </c>
      <c r="CS134" s="25">
        <f t="shared" si="247"/>
        <v>1</v>
      </c>
      <c r="CT134" s="25">
        <f t="shared" si="248"/>
        <v>1</v>
      </c>
      <c r="CU134" s="25">
        <f t="shared" si="249"/>
        <v>1</v>
      </c>
      <c r="CV134" s="25">
        <f t="shared" si="250"/>
        <v>1</v>
      </c>
      <c r="CW134" s="25">
        <f t="shared" si="251"/>
        <v>1</v>
      </c>
      <c r="CX134" s="25">
        <f t="shared" si="252"/>
        <v>0</v>
      </c>
      <c r="CY134" s="25">
        <f t="shared" si="253"/>
        <v>0</v>
      </c>
      <c r="CZ134" s="25">
        <f t="shared" si="254"/>
        <v>0</v>
      </c>
      <c r="DA134" s="25">
        <f t="shared" si="255"/>
        <v>1</v>
      </c>
      <c r="DB134" s="25">
        <f t="shared" si="205"/>
        <v>1</v>
      </c>
      <c r="DC134" s="25">
        <f t="shared" si="256"/>
        <v>0</v>
      </c>
      <c r="DD134" s="25">
        <f>IF(OR($AD134&lt;&gt;3,F134="Exclude"),0,IF(ISERROR(MATCH($E134,'4 Sign-off'!$S$123:$X$123,0)),0,1))</f>
        <v>0</v>
      </c>
      <c r="DE134" s="25">
        <f t="shared" si="206"/>
        <v>0</v>
      </c>
      <c r="DF134" s="25">
        <f t="shared" si="257"/>
        <v>0</v>
      </c>
      <c r="DG134" s="25" t="str">
        <f t="shared" si="258"/>
        <v/>
      </c>
      <c r="DH134" s="25">
        <f t="shared" si="259"/>
        <v>0</v>
      </c>
      <c r="DI134" s="25">
        <f t="shared" si="260"/>
        <v>0</v>
      </c>
      <c r="DJ134" s="25">
        <f>IF(ISBLANK(J134),0,ISERROR(MATCH(J134,'5  Control Accounts'!$FA$29:$FA$96,0))*1)</f>
        <v>0</v>
      </c>
      <c r="DK134" s="25">
        <f t="shared" si="261"/>
        <v>0</v>
      </c>
      <c r="DL134" s="25">
        <f t="shared" si="207"/>
        <v>-1</v>
      </c>
      <c r="DM134" s="25" t="e">
        <f t="array" ref="DM134">MATCH(1,($EG134:$JD134&gt;0)*$EG$17:$JD$17,0)</f>
        <v>#N/A</v>
      </c>
      <c r="DN134" s="25" t="e">
        <f t="shared" si="208"/>
        <v>#N/A</v>
      </c>
      <c r="DO134" s="25" t="e">
        <f t="array" ref="DO134">MATCH(2,1/(EG134:JD134&gt;0))</f>
        <v>#N/A</v>
      </c>
      <c r="DP134" s="2993">
        <f t="shared" si="262"/>
        <v>0</v>
      </c>
      <c r="DQ134" s="3037">
        <f t="shared" si="263"/>
        <v>0</v>
      </c>
      <c r="DR134" s="111"/>
      <c r="DS134" s="1267">
        <f t="shared" si="209"/>
        <v>0</v>
      </c>
      <c r="DT134" s="1825"/>
      <c r="DU134" s="1826"/>
      <c r="DV134" s="1827"/>
      <c r="DW134" s="1828"/>
      <c r="DX134" s="659"/>
      <c r="DY134" s="1265"/>
      <c r="DZ134" s="1785">
        <f t="shared" si="210"/>
        <v>0</v>
      </c>
      <c r="EA134" s="1786">
        <f t="shared" si="211"/>
        <v>0</v>
      </c>
      <c r="EB134" s="1781">
        <f t="shared" si="212"/>
        <v>0</v>
      </c>
      <c r="EC134" s="1782">
        <f t="shared" si="213"/>
        <v>0</v>
      </c>
      <c r="ED134" s="1262"/>
      <c r="EE134" s="2280"/>
      <c r="EF134" s="1802"/>
      <c r="EG134" s="167"/>
      <c r="EH134" s="168"/>
      <c r="EI134" s="168"/>
      <c r="EJ134" s="168"/>
      <c r="EK134" s="168"/>
      <c r="EL134" s="168"/>
      <c r="EM134" s="168"/>
      <c r="EN134" s="168"/>
      <c r="EO134" s="168"/>
      <c r="EP134" s="168"/>
      <c r="EQ134" s="168"/>
      <c r="ER134" s="168"/>
      <c r="ES134" s="168"/>
      <c r="ET134" s="168"/>
      <c r="EU134" s="168"/>
      <c r="EV134" s="168"/>
      <c r="EW134" s="168"/>
      <c r="EX134" s="168"/>
      <c r="EY134" s="168"/>
      <c r="EZ134" s="168"/>
      <c r="FA134" s="168"/>
      <c r="FB134" s="168"/>
      <c r="FC134" s="168"/>
      <c r="FD134" s="168"/>
      <c r="FE134" s="168"/>
      <c r="FF134" s="168"/>
      <c r="FG134" s="168"/>
      <c r="FH134" s="168"/>
      <c r="FI134" s="168"/>
      <c r="FJ134" s="168"/>
      <c r="FK134" s="168"/>
      <c r="FL134" s="168"/>
      <c r="FM134" s="168"/>
      <c r="FN134" s="168"/>
      <c r="FO134" s="168"/>
      <c r="FP134" s="168"/>
      <c r="FQ134" s="168"/>
      <c r="FR134" s="168"/>
      <c r="FS134" s="168"/>
      <c r="FT134" s="168"/>
      <c r="FU134" s="168"/>
      <c r="FV134" s="168"/>
      <c r="FW134" s="168"/>
      <c r="FX134" s="168"/>
      <c r="FY134" s="168"/>
      <c r="FZ134" s="168"/>
      <c r="GA134" s="168"/>
      <c r="GB134" s="168"/>
      <c r="GC134" s="168"/>
      <c r="GD134" s="168"/>
      <c r="GE134" s="168"/>
      <c r="GF134" s="168"/>
      <c r="GG134" s="168"/>
      <c r="GH134" s="168"/>
      <c r="GI134" s="168"/>
      <c r="GJ134" s="168"/>
      <c r="GK134" s="168"/>
      <c r="GL134" s="168"/>
      <c r="GM134" s="168"/>
      <c r="GN134" s="168"/>
      <c r="GO134" s="168"/>
      <c r="GP134" s="168"/>
      <c r="GQ134" s="168"/>
      <c r="GR134" s="168"/>
      <c r="GS134" s="168"/>
      <c r="GT134" s="168"/>
      <c r="GU134" s="168"/>
      <c r="GV134" s="168"/>
      <c r="GW134" s="168"/>
      <c r="GX134" s="168"/>
      <c r="GY134" s="168"/>
      <c r="GZ134" s="168"/>
      <c r="HA134" s="168"/>
      <c r="HB134" s="168"/>
      <c r="HC134" s="168"/>
      <c r="HD134" s="168"/>
      <c r="HE134" s="168"/>
      <c r="HF134" s="168"/>
      <c r="HG134" s="168"/>
      <c r="HH134" s="168"/>
      <c r="HI134" s="168"/>
      <c r="HJ134" s="168"/>
      <c r="HK134" s="168"/>
      <c r="HL134" s="168"/>
      <c r="HM134" s="168"/>
      <c r="HN134" s="168"/>
      <c r="HO134" s="168"/>
      <c r="HP134" s="168"/>
      <c r="HQ134" s="168"/>
      <c r="HR134" s="168"/>
      <c r="HS134" s="168"/>
      <c r="HT134" s="168"/>
      <c r="HU134" s="168"/>
      <c r="HV134" s="168"/>
      <c r="HW134" s="168"/>
      <c r="HX134" s="168"/>
      <c r="HY134" s="168"/>
      <c r="HZ134" s="168"/>
      <c r="IA134" s="168"/>
      <c r="IB134" s="168"/>
      <c r="IC134" s="168"/>
      <c r="ID134" s="168"/>
      <c r="IE134" s="168"/>
      <c r="IF134" s="168"/>
      <c r="IG134" s="168"/>
      <c r="IH134" s="168"/>
      <c r="II134" s="168"/>
      <c r="IJ134" s="168"/>
      <c r="IK134" s="168"/>
      <c r="IL134" s="168"/>
      <c r="IM134" s="168"/>
      <c r="IN134" s="168"/>
      <c r="IO134" s="168"/>
      <c r="IP134" s="168"/>
      <c r="IQ134" s="168"/>
      <c r="IR134" s="168"/>
      <c r="IS134" s="168"/>
      <c r="IT134" s="168"/>
      <c r="IU134" s="168"/>
      <c r="IV134" s="168"/>
      <c r="IW134" s="168"/>
      <c r="IX134" s="168"/>
      <c r="IY134" s="168"/>
      <c r="IZ134" s="168"/>
      <c r="JA134" s="168"/>
      <c r="JB134" s="168"/>
      <c r="JC134" s="606"/>
      <c r="JD134" s="609"/>
      <c r="JE134" s="1"/>
      <c r="JF134" s="1"/>
    </row>
    <row r="135" spans="1:266" s="2" customFormat="1" ht="15" customHeight="1" x14ac:dyDescent="0.25">
      <c r="A135" s="283"/>
      <c r="B135" s="303"/>
      <c r="C135" s="301"/>
      <c r="D135" s="638"/>
      <c r="E135" s="2298"/>
      <c r="F135" s="1812"/>
      <c r="G135" s="3342"/>
      <c r="H135" s="105"/>
      <c r="I135" s="1746"/>
      <c r="J135" s="86"/>
      <c r="K135" s="105"/>
      <c r="L135" s="91"/>
      <c r="M135" s="92"/>
      <c r="N135" s="93"/>
      <c r="O135" s="94"/>
      <c r="P135" s="96"/>
      <c r="Q135" s="95"/>
      <c r="R135" s="993">
        <f t="shared" si="198"/>
        <v>0</v>
      </c>
      <c r="S135" s="23">
        <f t="shared" si="214"/>
        <v>0</v>
      </c>
      <c r="T135" s="24">
        <f t="shared" si="215"/>
        <v>0</v>
      </c>
      <c r="U135" s="24">
        <f t="shared" si="199"/>
        <v>0</v>
      </c>
      <c r="V135" s="24">
        <f t="shared" si="216"/>
        <v>0</v>
      </c>
      <c r="W135" s="24">
        <f t="shared" si="217"/>
        <v>0</v>
      </c>
      <c r="X135" s="72">
        <f t="shared" si="218"/>
        <v>0</v>
      </c>
      <c r="Y135" s="72">
        <f t="shared" si="219"/>
        <v>0</v>
      </c>
      <c r="Z135" s="24">
        <f t="shared" si="200"/>
        <v>0</v>
      </c>
      <c r="AA135" s="72">
        <f t="shared" si="220"/>
        <v>0</v>
      </c>
      <c r="AB135" s="24">
        <f t="shared" si="221"/>
        <v>0</v>
      </c>
      <c r="AC135" s="24" t="s">
        <v>5</v>
      </c>
      <c r="AD135" s="25">
        <f t="shared" si="201"/>
        <v>3</v>
      </c>
      <c r="AE135" s="25">
        <f t="shared" si="202"/>
        <v>0</v>
      </c>
      <c r="AF135" s="25">
        <f t="shared" si="203"/>
        <v>0</v>
      </c>
      <c r="AG135" s="25">
        <f t="shared" si="222"/>
        <v>1</v>
      </c>
      <c r="AH135" s="25" t="str">
        <f>IFERROR(MATCH(DY135,'2 Staff List'!$IA$64:$IA$114,0),"x")</f>
        <v>x</v>
      </c>
      <c r="AI135" s="1181">
        <f>IFERROR(INDEX('2 Staff List'!$EX$64:$EX$114,$AH135),0)</f>
        <v>0</v>
      </c>
      <c r="AJ135" s="25">
        <f>IFERROR(INDEX('2 Staff List'!$IW$64:$IW$114,$AH135),0)</f>
        <v>0</v>
      </c>
      <c r="AK135" s="25">
        <f>IFERROR(INDEX('2 Staff List'!$IB$64:$IB$114,$AH135),0)</f>
        <v>0</v>
      </c>
      <c r="AL135" s="25">
        <f>IF(OR(NOT(ISBLANK(DV135)),CX135=1),"&lt;Non-Labor&gt;",IFERROR(IF(AH135=0,0,INDEX('2 Staff List'!$HZ$64:$HZ$114,$AH135)),0))</f>
        <v>0</v>
      </c>
      <c r="AM135" s="25">
        <f>IFERROR(INDEX('2 Staff List'!$HW$64:$HW$114,$AH135),0)</f>
        <v>0</v>
      </c>
      <c r="AN135" s="25">
        <f t="shared" si="223"/>
        <v>1</v>
      </c>
      <c r="AO135" s="25">
        <f>IF($AO$127=0,0,IFERROR(INDEX('2 Staff List'!$JH$64:$JH$114,$AH135),0))</f>
        <v>0</v>
      </c>
      <c r="AP135" s="25">
        <f>IFERROR(INDEX('2 Staff List'!$HU$64:$HU$114,$AH135),0)</f>
        <v>0</v>
      </c>
      <c r="AQ135" s="25">
        <f t="shared" si="224"/>
        <v>0</v>
      </c>
      <c r="AR135" s="25">
        <f t="shared" si="225"/>
        <v>0</v>
      </c>
      <c r="AS135" s="25">
        <f t="shared" si="226"/>
        <v>0</v>
      </c>
      <c r="AT135" s="25">
        <f t="shared" si="227"/>
        <v>0</v>
      </c>
      <c r="AU135" s="25">
        <f t="shared" si="228"/>
        <v>0</v>
      </c>
      <c r="AV135" s="25">
        <f t="shared" si="229"/>
        <v>0</v>
      </c>
      <c r="AW135" s="25">
        <f t="shared" si="230"/>
        <v>0</v>
      </c>
      <c r="AX135" s="25">
        <f t="shared" si="231"/>
        <v>0</v>
      </c>
      <c r="AY135" s="25">
        <f t="shared" si="232"/>
        <v>0</v>
      </c>
      <c r="AZ135" s="25">
        <f t="shared" si="233"/>
        <v>0</v>
      </c>
      <c r="BA135" s="25">
        <f t="shared" si="234"/>
        <v>0</v>
      </c>
      <c r="BB135" s="25">
        <f t="shared" si="235"/>
        <v>0</v>
      </c>
      <c r="BC135" s="25">
        <f>IFERROR(INDEX('2 Staff List'!KS$64:KS$114,$AH135),0)</f>
        <v>0</v>
      </c>
      <c r="BD135" s="25">
        <f>IFERROR(INDEX('2 Staff List'!KT$64:KT$114,$AH135),0)</f>
        <v>0</v>
      </c>
      <c r="BE135" s="25">
        <f>IFERROR(INDEX('2 Staff List'!KU$64:KU$114,$AH135),0)</f>
        <v>0</v>
      </c>
      <c r="BF135" s="25">
        <f>IFERROR(INDEX('2 Staff List'!KV$64:KV$114,$AH135),0)</f>
        <v>0</v>
      </c>
      <c r="BG135" s="25">
        <f>IFERROR(INDEX('2 Staff List'!KW$64:KW$114,$AH135),0)</f>
        <v>0</v>
      </c>
      <c r="BH135" s="25">
        <f>IFERROR(INDEX('2 Staff List'!KX$64:KX$114,$AH135),0)</f>
        <v>0</v>
      </c>
      <c r="BI135" s="25">
        <f>IFERROR(INDEX('2 Staff List'!KY$64:KY$114,$AH135),0)</f>
        <v>0</v>
      </c>
      <c r="BJ135" s="25">
        <f>IFERROR(INDEX('2 Staff List'!KZ$64:KZ$114,$AH135),0)</f>
        <v>0</v>
      </c>
      <c r="BK135" s="25">
        <f>IFERROR(INDEX('2 Staff List'!LA$64:LA$114,$AH135),0)</f>
        <v>0</v>
      </c>
      <c r="BL135" s="25">
        <f>IFERROR(INDEX('2 Staff List'!LB$64:LB$114,$AH135),0)</f>
        <v>0</v>
      </c>
      <c r="BM135" s="25">
        <f>IFERROR(INDEX('2 Staff List'!FT$64:FT$114,$AH135),0)</f>
        <v>0</v>
      </c>
      <c r="BN135" s="25">
        <f>IFERROR(INDEX('2 Staff List'!FU$64:FU$114,$AH135),0)</f>
        <v>0</v>
      </c>
      <c r="BO135" s="25">
        <f>IFERROR(INDEX('2 Staff List'!FV$64:FV$114,$AH135),0)</f>
        <v>0</v>
      </c>
      <c r="BP135" s="25">
        <f>IFERROR(INDEX('2 Staff List'!FW$64:FW$114,$AH135),0)</f>
        <v>0</v>
      </c>
      <c r="BQ135" s="25">
        <f>IFERROR(INDEX('2 Staff List'!FX$64:FX$114,$AH135),0)</f>
        <v>0</v>
      </c>
      <c r="BR135" s="25">
        <f>IFERROR(INDEX('2 Staff List'!FY$64:FY$114,$AH135),0)</f>
        <v>0</v>
      </c>
      <c r="BS135" s="25">
        <f>IFERROR(INDEX('2 Staff List'!FZ$64:FZ$114,$AH135),0)</f>
        <v>0</v>
      </c>
      <c r="BT135" s="25">
        <f>IFERROR(INDEX('2 Staff List'!GA$64:GA$114,$AH135),0)</f>
        <v>0</v>
      </c>
      <c r="BU135" s="25">
        <f>IFERROR(INDEX('2 Staff List'!GB$64:GB$114,$AH135),0)</f>
        <v>0</v>
      </c>
      <c r="BV135" s="25">
        <f>IFERROR(INDEX('2 Staff List'!GC$64:GC$114,$AH135),0)</f>
        <v>0</v>
      </c>
      <c r="BW135" s="25">
        <f t="shared" si="236"/>
        <v>0</v>
      </c>
      <c r="BX135" s="25">
        <f t="shared" si="237"/>
        <v>0</v>
      </c>
      <c r="BY135" s="25">
        <f t="shared" si="238"/>
        <v>0</v>
      </c>
      <c r="BZ135" s="25">
        <f t="shared" si="239"/>
        <v>0</v>
      </c>
      <c r="CA135" s="25">
        <f t="shared" si="240"/>
        <v>0</v>
      </c>
      <c r="CB135" s="25">
        <f t="shared" si="241"/>
        <v>0</v>
      </c>
      <c r="CC135" s="25">
        <f t="shared" si="242"/>
        <v>0</v>
      </c>
      <c r="CD135" s="25">
        <f t="shared" si="243"/>
        <v>0</v>
      </c>
      <c r="CE135" s="25">
        <f t="shared" si="244"/>
        <v>0</v>
      </c>
      <c r="CF135" s="25">
        <f t="shared" si="245"/>
        <v>0</v>
      </c>
      <c r="CG135" s="25">
        <f t="shared" si="246"/>
        <v>0</v>
      </c>
      <c r="CH135" s="25">
        <f>IFERROR(INDEX('2 Staff List'!LO$64:LO$114,$AH135),0)</f>
        <v>0</v>
      </c>
      <c r="CI135" s="25">
        <f>IFERROR(INDEX('2 Staff List'!LP$64:LP$114,$AH135),0)</f>
        <v>0</v>
      </c>
      <c r="CJ135" s="25">
        <f>IFERROR(INDEX('2 Staff List'!LQ$64:LQ$114,$AH135),0)</f>
        <v>0</v>
      </c>
      <c r="CK135" s="25">
        <f>IFERROR(INDEX('2 Staff List'!LR$64:LR$114,$AH135),0)</f>
        <v>0</v>
      </c>
      <c r="CL135" s="25">
        <f>IFERROR(INDEX('2 Staff List'!LS$64:LS$114,$AH135),0)</f>
        <v>0</v>
      </c>
      <c r="CM135" s="25">
        <f>IFERROR(INDEX('2 Staff List'!LT$64:LT$114,$AH135),0)</f>
        <v>0</v>
      </c>
      <c r="CN135" s="25">
        <f>IFERROR(INDEX('2 Staff List'!LU$64:LU$114,$AH135),0)</f>
        <v>0</v>
      </c>
      <c r="CO135" s="25">
        <f>IFERROR(INDEX('2 Staff List'!LV$64:LV$114,$AH135),0)</f>
        <v>0</v>
      </c>
      <c r="CP135" s="25">
        <f>IFERROR(INDEX('2 Staff List'!LW$64:LW$114,$AH135),0)</f>
        <v>0</v>
      </c>
      <c r="CQ135" s="25">
        <f>IFERROR(INDEX('2 Staff List'!LX$64:LX$114,$AH135),0)</f>
        <v>0</v>
      </c>
      <c r="CR135" s="25">
        <f t="shared" si="204"/>
        <v>0</v>
      </c>
      <c r="CS135" s="25">
        <f>IFERROR(1/CR135,1)</f>
        <v>1</v>
      </c>
      <c r="CT135" s="25">
        <f t="shared" si="248"/>
        <v>1</v>
      </c>
      <c r="CU135" s="25">
        <f t="shared" si="249"/>
        <v>1</v>
      </c>
      <c r="CV135" s="25">
        <f t="shared" si="250"/>
        <v>1</v>
      </c>
      <c r="CW135" s="25">
        <f t="shared" si="251"/>
        <v>1</v>
      </c>
      <c r="CX135" s="25">
        <f t="shared" si="252"/>
        <v>0</v>
      </c>
      <c r="CY135" s="25">
        <f t="shared" si="253"/>
        <v>0</v>
      </c>
      <c r="CZ135" s="25">
        <f t="shared" si="254"/>
        <v>0</v>
      </c>
      <c r="DA135" s="25">
        <f t="shared" si="255"/>
        <v>1</v>
      </c>
      <c r="DB135" s="25">
        <f t="shared" si="205"/>
        <v>1</v>
      </c>
      <c r="DC135" s="25">
        <f t="shared" si="256"/>
        <v>0</v>
      </c>
      <c r="DD135" s="25">
        <f>IF(OR($AD135&lt;&gt;3,F135="Exclude"),0,IF(ISERROR(MATCH($E135,'4 Sign-off'!$S$123:$X$123,0)),0,1))</f>
        <v>0</v>
      </c>
      <c r="DE135" s="25">
        <f t="shared" si="206"/>
        <v>0</v>
      </c>
      <c r="DF135" s="25">
        <f t="shared" si="257"/>
        <v>0</v>
      </c>
      <c r="DG135" s="25" t="str">
        <f t="shared" si="258"/>
        <v/>
      </c>
      <c r="DH135" s="25">
        <f t="shared" si="259"/>
        <v>0</v>
      </c>
      <c r="DI135" s="25">
        <f t="shared" si="260"/>
        <v>0</v>
      </c>
      <c r="DJ135" s="25">
        <f>IF(ISBLANK(J135),0,ISERROR(MATCH(J135,'5  Control Accounts'!$FA$29:$FA$96,0))*1)</f>
        <v>0</v>
      </c>
      <c r="DK135" s="25">
        <f t="shared" si="261"/>
        <v>0</v>
      </c>
      <c r="DL135" s="25">
        <f t="shared" si="207"/>
        <v>-1</v>
      </c>
      <c r="DM135" s="25" t="e">
        <f t="array" ref="DM135">MATCH(1,($EG135:$JD135&gt;0)*$EG$17:$JD$17,0)</f>
        <v>#N/A</v>
      </c>
      <c r="DN135" s="25" t="e">
        <f t="shared" si="208"/>
        <v>#N/A</v>
      </c>
      <c r="DO135" s="25" t="e">
        <f t="array" ref="DO135">MATCH(2,1/(EG135:JD135&gt;0))</f>
        <v>#N/A</v>
      </c>
      <c r="DP135" s="2993">
        <f t="shared" si="262"/>
        <v>0</v>
      </c>
      <c r="DQ135" s="3037">
        <f t="shared" si="263"/>
        <v>0</v>
      </c>
      <c r="DR135" s="111"/>
      <c r="DS135" s="1268">
        <f t="shared" si="209"/>
        <v>0</v>
      </c>
      <c r="DT135" s="1825"/>
      <c r="DU135" s="1826"/>
      <c r="DV135" s="1827"/>
      <c r="DW135" s="1828"/>
      <c r="DX135" s="659"/>
      <c r="DY135" s="1265"/>
      <c r="DZ135" s="1785">
        <f t="shared" si="210"/>
        <v>0</v>
      </c>
      <c r="EA135" s="1786">
        <f t="shared" si="211"/>
        <v>0</v>
      </c>
      <c r="EB135" s="1781">
        <f t="shared" si="212"/>
        <v>0</v>
      </c>
      <c r="EC135" s="1782">
        <f t="shared" si="213"/>
        <v>0</v>
      </c>
      <c r="ED135" s="1262"/>
      <c r="EE135" s="2280"/>
      <c r="EF135" s="1802"/>
      <c r="EG135" s="167"/>
      <c r="EH135" s="168"/>
      <c r="EI135" s="168"/>
      <c r="EJ135" s="168"/>
      <c r="EK135" s="168"/>
      <c r="EL135" s="168"/>
      <c r="EM135" s="168"/>
      <c r="EN135" s="168"/>
      <c r="EO135" s="168"/>
      <c r="EP135" s="168"/>
      <c r="EQ135" s="168"/>
      <c r="ER135" s="168"/>
      <c r="ES135" s="168"/>
      <c r="ET135" s="168"/>
      <c r="EU135" s="168"/>
      <c r="EV135" s="168"/>
      <c r="EW135" s="168"/>
      <c r="EX135" s="168"/>
      <c r="EY135" s="168"/>
      <c r="EZ135" s="168"/>
      <c r="FA135" s="168"/>
      <c r="FB135" s="168"/>
      <c r="FC135" s="168"/>
      <c r="FD135" s="168"/>
      <c r="FE135" s="168"/>
      <c r="FF135" s="168"/>
      <c r="FG135" s="168"/>
      <c r="FH135" s="168"/>
      <c r="FI135" s="168"/>
      <c r="FJ135" s="168"/>
      <c r="FK135" s="168"/>
      <c r="FL135" s="168"/>
      <c r="FM135" s="168"/>
      <c r="FN135" s="168"/>
      <c r="FO135" s="168"/>
      <c r="FP135" s="168"/>
      <c r="FQ135" s="168"/>
      <c r="FR135" s="168"/>
      <c r="FS135" s="168"/>
      <c r="FT135" s="168"/>
      <c r="FU135" s="168"/>
      <c r="FV135" s="168"/>
      <c r="FW135" s="168"/>
      <c r="FX135" s="168"/>
      <c r="FY135" s="168"/>
      <c r="FZ135" s="168"/>
      <c r="GA135" s="168"/>
      <c r="GB135" s="168"/>
      <c r="GC135" s="168"/>
      <c r="GD135" s="168"/>
      <c r="GE135" s="168"/>
      <c r="GF135" s="168"/>
      <c r="GG135" s="168"/>
      <c r="GH135" s="168"/>
      <c r="GI135" s="168"/>
      <c r="GJ135" s="168"/>
      <c r="GK135" s="168"/>
      <c r="GL135" s="168"/>
      <c r="GM135" s="168"/>
      <c r="GN135" s="168"/>
      <c r="GO135" s="168"/>
      <c r="GP135" s="168"/>
      <c r="GQ135" s="168"/>
      <c r="GR135" s="168"/>
      <c r="GS135" s="168"/>
      <c r="GT135" s="168"/>
      <c r="GU135" s="168"/>
      <c r="GV135" s="168"/>
      <c r="GW135" s="168"/>
      <c r="GX135" s="168"/>
      <c r="GY135" s="168"/>
      <c r="GZ135" s="168"/>
      <c r="HA135" s="168"/>
      <c r="HB135" s="168"/>
      <c r="HC135" s="168"/>
      <c r="HD135" s="168"/>
      <c r="HE135" s="168"/>
      <c r="HF135" s="168"/>
      <c r="HG135" s="168"/>
      <c r="HH135" s="168"/>
      <c r="HI135" s="168"/>
      <c r="HJ135" s="168"/>
      <c r="HK135" s="168"/>
      <c r="HL135" s="168"/>
      <c r="HM135" s="168"/>
      <c r="HN135" s="168"/>
      <c r="HO135" s="168"/>
      <c r="HP135" s="168"/>
      <c r="HQ135" s="168"/>
      <c r="HR135" s="168"/>
      <c r="HS135" s="168"/>
      <c r="HT135" s="168"/>
      <c r="HU135" s="168"/>
      <c r="HV135" s="168"/>
      <c r="HW135" s="168"/>
      <c r="HX135" s="168"/>
      <c r="HY135" s="168"/>
      <c r="HZ135" s="168"/>
      <c r="IA135" s="168"/>
      <c r="IB135" s="168"/>
      <c r="IC135" s="168"/>
      <c r="ID135" s="168"/>
      <c r="IE135" s="168"/>
      <c r="IF135" s="168"/>
      <c r="IG135" s="168"/>
      <c r="IH135" s="168"/>
      <c r="II135" s="168"/>
      <c r="IJ135" s="168"/>
      <c r="IK135" s="168"/>
      <c r="IL135" s="168"/>
      <c r="IM135" s="168"/>
      <c r="IN135" s="168"/>
      <c r="IO135" s="168"/>
      <c r="IP135" s="168"/>
      <c r="IQ135" s="168"/>
      <c r="IR135" s="168"/>
      <c r="IS135" s="168"/>
      <c r="IT135" s="168"/>
      <c r="IU135" s="168"/>
      <c r="IV135" s="168"/>
      <c r="IW135" s="168"/>
      <c r="IX135" s="168"/>
      <c r="IY135" s="168"/>
      <c r="IZ135" s="168"/>
      <c r="JA135" s="168"/>
      <c r="JB135" s="168"/>
      <c r="JC135" s="606"/>
      <c r="JD135" s="609"/>
      <c r="JE135" s="1"/>
      <c r="JF135" s="1"/>
    </row>
    <row r="136" spans="1:266" s="2" customFormat="1" ht="15" customHeight="1" x14ac:dyDescent="0.25">
      <c r="A136" s="283"/>
      <c r="B136" s="303"/>
      <c r="C136" s="301"/>
      <c r="D136" s="638"/>
      <c r="E136" s="2298"/>
      <c r="F136" s="1812"/>
      <c r="G136" s="3342"/>
      <c r="H136" s="105"/>
      <c r="I136" s="1746"/>
      <c r="J136" s="86"/>
      <c r="K136" s="105"/>
      <c r="L136" s="91"/>
      <c r="M136" s="92"/>
      <c r="N136" s="93"/>
      <c r="O136" s="94"/>
      <c r="P136" s="96"/>
      <c r="Q136" s="95"/>
      <c r="R136" s="993">
        <f t="shared" si="198"/>
        <v>0</v>
      </c>
      <c r="S136" s="23">
        <f t="shared" si="214"/>
        <v>0</v>
      </c>
      <c r="T136" s="24">
        <f t="shared" si="215"/>
        <v>0</v>
      </c>
      <c r="U136" s="24">
        <f t="shared" si="199"/>
        <v>0</v>
      </c>
      <c r="V136" s="24">
        <f t="shared" si="216"/>
        <v>0</v>
      </c>
      <c r="W136" s="24">
        <f t="shared" si="217"/>
        <v>0</v>
      </c>
      <c r="X136" s="72">
        <f t="shared" si="218"/>
        <v>0</v>
      </c>
      <c r="Y136" s="72">
        <f t="shared" si="219"/>
        <v>0</v>
      </c>
      <c r="Z136" s="24">
        <f t="shared" si="200"/>
        <v>0</v>
      </c>
      <c r="AA136" s="72">
        <f t="shared" si="220"/>
        <v>0</v>
      </c>
      <c r="AB136" s="24">
        <f t="shared" si="221"/>
        <v>0</v>
      </c>
      <c r="AC136" s="24" t="s">
        <v>5</v>
      </c>
      <c r="AD136" s="25">
        <f t="shared" si="201"/>
        <v>3</v>
      </c>
      <c r="AE136" s="25">
        <f t="shared" si="202"/>
        <v>0</v>
      </c>
      <c r="AF136" s="25">
        <f t="shared" si="203"/>
        <v>0</v>
      </c>
      <c r="AG136" s="25">
        <f t="shared" si="222"/>
        <v>1</v>
      </c>
      <c r="AH136" s="25" t="str">
        <f>IFERROR(MATCH(DY136,'2 Staff List'!$IA$64:$IA$114,0),"x")</f>
        <v>x</v>
      </c>
      <c r="AI136" s="1181">
        <f>IFERROR(INDEX('2 Staff List'!$EX$64:$EX$114,$AH136),0)</f>
        <v>0</v>
      </c>
      <c r="AJ136" s="25">
        <f>IFERROR(INDEX('2 Staff List'!$IW$64:$IW$114,$AH136),0)</f>
        <v>0</v>
      </c>
      <c r="AK136" s="25">
        <f>IFERROR(INDEX('2 Staff List'!$IB$64:$IB$114,$AH136),0)</f>
        <v>0</v>
      </c>
      <c r="AL136" s="25">
        <f>IF(OR(NOT(ISBLANK(DV136)),CX136=1),"&lt;Non-Labor&gt;",IFERROR(IF(AH136=0,0,INDEX('2 Staff List'!$HZ$64:$HZ$114,$AH136)),0))</f>
        <v>0</v>
      </c>
      <c r="AM136" s="25">
        <f>IFERROR(INDEX('2 Staff List'!$HW$64:$HW$114,$AH136),0)</f>
        <v>0</v>
      </c>
      <c r="AN136" s="25">
        <f t="shared" si="223"/>
        <v>1</v>
      </c>
      <c r="AO136" s="25">
        <f>IF($AO$127=0,0,IFERROR(INDEX('2 Staff List'!$JH$64:$JH$114,$AH136),0))</f>
        <v>0</v>
      </c>
      <c r="AP136" s="25">
        <f>IFERROR(INDEX('2 Staff List'!$HU$64:$HU$114,$AH136),0)</f>
        <v>0</v>
      </c>
      <c r="AQ136" s="25">
        <f t="shared" si="224"/>
        <v>0</v>
      </c>
      <c r="AR136" s="25">
        <f t="shared" si="225"/>
        <v>0</v>
      </c>
      <c r="AS136" s="25">
        <f t="shared" si="226"/>
        <v>0</v>
      </c>
      <c r="AT136" s="25">
        <f t="shared" si="227"/>
        <v>0</v>
      </c>
      <c r="AU136" s="25">
        <f t="shared" si="228"/>
        <v>0</v>
      </c>
      <c r="AV136" s="25">
        <f t="shared" si="229"/>
        <v>0</v>
      </c>
      <c r="AW136" s="25">
        <f t="shared" si="230"/>
        <v>0</v>
      </c>
      <c r="AX136" s="25">
        <f t="shared" si="231"/>
        <v>0</v>
      </c>
      <c r="AY136" s="25">
        <f t="shared" si="232"/>
        <v>0</v>
      </c>
      <c r="AZ136" s="25">
        <f t="shared" si="233"/>
        <v>0</v>
      </c>
      <c r="BA136" s="25">
        <f t="shared" si="234"/>
        <v>0</v>
      </c>
      <c r="BB136" s="25">
        <f t="shared" si="235"/>
        <v>0</v>
      </c>
      <c r="BC136" s="25">
        <f>IFERROR(INDEX('2 Staff List'!KS$64:KS$114,$AH136),0)</f>
        <v>0</v>
      </c>
      <c r="BD136" s="25">
        <f>IFERROR(INDEX('2 Staff List'!KT$64:KT$114,$AH136),0)</f>
        <v>0</v>
      </c>
      <c r="BE136" s="25">
        <f>IFERROR(INDEX('2 Staff List'!KU$64:KU$114,$AH136),0)</f>
        <v>0</v>
      </c>
      <c r="BF136" s="25">
        <f>IFERROR(INDEX('2 Staff List'!KV$64:KV$114,$AH136),0)</f>
        <v>0</v>
      </c>
      <c r="BG136" s="25">
        <f>IFERROR(INDEX('2 Staff List'!KW$64:KW$114,$AH136),0)</f>
        <v>0</v>
      </c>
      <c r="BH136" s="25">
        <f>IFERROR(INDEX('2 Staff List'!KX$64:KX$114,$AH136),0)</f>
        <v>0</v>
      </c>
      <c r="BI136" s="25">
        <f>IFERROR(INDEX('2 Staff List'!KY$64:KY$114,$AH136),0)</f>
        <v>0</v>
      </c>
      <c r="BJ136" s="25">
        <f>IFERROR(INDEX('2 Staff List'!KZ$64:KZ$114,$AH136),0)</f>
        <v>0</v>
      </c>
      <c r="BK136" s="25">
        <f>IFERROR(INDEX('2 Staff List'!LA$64:LA$114,$AH136),0)</f>
        <v>0</v>
      </c>
      <c r="BL136" s="25">
        <f>IFERROR(INDEX('2 Staff List'!LB$64:LB$114,$AH136),0)</f>
        <v>0</v>
      </c>
      <c r="BM136" s="25">
        <f>IFERROR(INDEX('2 Staff List'!FT$64:FT$114,$AH136),0)</f>
        <v>0</v>
      </c>
      <c r="BN136" s="25">
        <f>IFERROR(INDEX('2 Staff List'!FU$64:FU$114,$AH136),0)</f>
        <v>0</v>
      </c>
      <c r="BO136" s="25">
        <f>IFERROR(INDEX('2 Staff List'!FV$64:FV$114,$AH136),0)</f>
        <v>0</v>
      </c>
      <c r="BP136" s="25">
        <f>IFERROR(INDEX('2 Staff List'!FW$64:FW$114,$AH136),0)</f>
        <v>0</v>
      </c>
      <c r="BQ136" s="25">
        <f>IFERROR(INDEX('2 Staff List'!FX$64:FX$114,$AH136),0)</f>
        <v>0</v>
      </c>
      <c r="BR136" s="25">
        <f>IFERROR(INDEX('2 Staff List'!FY$64:FY$114,$AH136),0)</f>
        <v>0</v>
      </c>
      <c r="BS136" s="25">
        <f>IFERROR(INDEX('2 Staff List'!FZ$64:FZ$114,$AH136),0)</f>
        <v>0</v>
      </c>
      <c r="BT136" s="25">
        <f>IFERROR(INDEX('2 Staff List'!GA$64:GA$114,$AH136),0)</f>
        <v>0</v>
      </c>
      <c r="BU136" s="25">
        <f>IFERROR(INDEX('2 Staff List'!GB$64:GB$114,$AH136),0)</f>
        <v>0</v>
      </c>
      <c r="BV136" s="25">
        <f>IFERROR(INDEX('2 Staff List'!GC$64:GC$114,$AH136),0)</f>
        <v>0</v>
      </c>
      <c r="BW136" s="25">
        <f t="shared" si="236"/>
        <v>0</v>
      </c>
      <c r="BX136" s="25">
        <f t="shared" si="237"/>
        <v>0</v>
      </c>
      <c r="BY136" s="25">
        <f t="shared" si="238"/>
        <v>0</v>
      </c>
      <c r="BZ136" s="25">
        <f t="shared" si="239"/>
        <v>0</v>
      </c>
      <c r="CA136" s="25">
        <f t="shared" si="240"/>
        <v>0</v>
      </c>
      <c r="CB136" s="25">
        <f t="shared" si="241"/>
        <v>0</v>
      </c>
      <c r="CC136" s="25">
        <f t="shared" si="242"/>
        <v>0</v>
      </c>
      <c r="CD136" s="25">
        <f t="shared" si="243"/>
        <v>0</v>
      </c>
      <c r="CE136" s="25">
        <f t="shared" si="244"/>
        <v>0</v>
      </c>
      <c r="CF136" s="25">
        <f t="shared" si="245"/>
        <v>0</v>
      </c>
      <c r="CG136" s="25">
        <f t="shared" si="246"/>
        <v>0</v>
      </c>
      <c r="CH136" s="25">
        <f>IFERROR(INDEX('2 Staff List'!LO$64:LO$114,$AH136),0)</f>
        <v>0</v>
      </c>
      <c r="CI136" s="25">
        <f>IFERROR(INDEX('2 Staff List'!LP$64:LP$114,$AH136),0)</f>
        <v>0</v>
      </c>
      <c r="CJ136" s="25">
        <f>IFERROR(INDEX('2 Staff List'!LQ$64:LQ$114,$AH136),0)</f>
        <v>0</v>
      </c>
      <c r="CK136" s="25">
        <f>IFERROR(INDEX('2 Staff List'!LR$64:LR$114,$AH136),0)</f>
        <v>0</v>
      </c>
      <c r="CL136" s="25">
        <f>IFERROR(INDEX('2 Staff List'!LS$64:LS$114,$AH136),0)</f>
        <v>0</v>
      </c>
      <c r="CM136" s="25">
        <f>IFERROR(INDEX('2 Staff List'!LT$64:LT$114,$AH136),0)</f>
        <v>0</v>
      </c>
      <c r="CN136" s="25">
        <f>IFERROR(INDEX('2 Staff List'!LU$64:LU$114,$AH136),0)</f>
        <v>0</v>
      </c>
      <c r="CO136" s="25">
        <f>IFERROR(INDEX('2 Staff List'!LV$64:LV$114,$AH136),0)</f>
        <v>0</v>
      </c>
      <c r="CP136" s="25">
        <f>IFERROR(INDEX('2 Staff List'!LW$64:LW$114,$AH136),0)</f>
        <v>0</v>
      </c>
      <c r="CQ136" s="25">
        <f>IFERROR(INDEX('2 Staff List'!LX$64:LX$114,$AH136),0)</f>
        <v>0</v>
      </c>
      <c r="CR136" s="25">
        <f t="shared" si="204"/>
        <v>0</v>
      </c>
      <c r="CS136" s="25">
        <f>IFERROR(1/CR136,1)</f>
        <v>1</v>
      </c>
      <c r="CT136" s="25">
        <f t="shared" si="248"/>
        <v>1</v>
      </c>
      <c r="CU136" s="25">
        <f t="shared" si="249"/>
        <v>1</v>
      </c>
      <c r="CV136" s="25">
        <f t="shared" si="250"/>
        <v>1</v>
      </c>
      <c r="CW136" s="25">
        <f t="shared" si="251"/>
        <v>1</v>
      </c>
      <c r="CX136" s="25">
        <f t="shared" si="252"/>
        <v>0</v>
      </c>
      <c r="CY136" s="25">
        <f t="shared" si="253"/>
        <v>0</v>
      </c>
      <c r="CZ136" s="25">
        <f t="shared" si="254"/>
        <v>0</v>
      </c>
      <c r="DA136" s="25">
        <f t="shared" si="255"/>
        <v>1</v>
      </c>
      <c r="DB136" s="25">
        <f t="shared" si="205"/>
        <v>1</v>
      </c>
      <c r="DC136" s="25">
        <f t="shared" si="256"/>
        <v>0</v>
      </c>
      <c r="DD136" s="25">
        <f>IF(OR($AD136&lt;&gt;3,F136="Exclude"),0,IF(ISERROR(MATCH($E136,'4 Sign-off'!$S$123:$X$123,0)),0,1))</f>
        <v>0</v>
      </c>
      <c r="DE136" s="25">
        <f t="shared" si="206"/>
        <v>0</v>
      </c>
      <c r="DF136" s="25">
        <f t="shared" si="257"/>
        <v>0</v>
      </c>
      <c r="DG136" s="25" t="str">
        <f t="shared" si="258"/>
        <v/>
      </c>
      <c r="DH136" s="25">
        <f t="shared" si="259"/>
        <v>0</v>
      </c>
      <c r="DI136" s="25">
        <f t="shared" si="260"/>
        <v>0</v>
      </c>
      <c r="DJ136" s="25">
        <f>IF(ISBLANK(J136),0,ISERROR(MATCH(J136,'5  Control Accounts'!$FA$29:$FA$96,0))*1)</f>
        <v>0</v>
      </c>
      <c r="DK136" s="25">
        <f t="shared" si="261"/>
        <v>0</v>
      </c>
      <c r="DL136" s="25">
        <f t="shared" si="207"/>
        <v>-1</v>
      </c>
      <c r="DM136" s="25" t="e">
        <f t="array" ref="DM136">MATCH(1,($EG136:$JD136&gt;0)*$EG$17:$JD$17,0)</f>
        <v>#N/A</v>
      </c>
      <c r="DN136" s="25" t="e">
        <f t="shared" si="208"/>
        <v>#N/A</v>
      </c>
      <c r="DO136" s="25" t="e">
        <f t="array" ref="DO136">MATCH(2,1/(EG136:JD136&gt;0))</f>
        <v>#N/A</v>
      </c>
      <c r="DP136" s="2993">
        <f t="shared" si="262"/>
        <v>0</v>
      </c>
      <c r="DQ136" s="3037">
        <f t="shared" si="263"/>
        <v>0</v>
      </c>
      <c r="DR136" s="111"/>
      <c r="DS136" s="1268">
        <f t="shared" si="209"/>
        <v>0</v>
      </c>
      <c r="DT136" s="1825"/>
      <c r="DU136" s="1826"/>
      <c r="DV136" s="1827"/>
      <c r="DW136" s="1828"/>
      <c r="DX136" s="659"/>
      <c r="DY136" s="1265"/>
      <c r="DZ136" s="1785">
        <f t="shared" si="210"/>
        <v>0</v>
      </c>
      <c r="EA136" s="1786">
        <f t="shared" si="211"/>
        <v>0</v>
      </c>
      <c r="EB136" s="1781">
        <f t="shared" si="212"/>
        <v>0</v>
      </c>
      <c r="EC136" s="1782">
        <f t="shared" si="213"/>
        <v>0</v>
      </c>
      <c r="ED136" s="1262"/>
      <c r="EE136" s="2280"/>
      <c r="EF136" s="1802"/>
      <c r="EG136" s="167"/>
      <c r="EH136" s="168"/>
      <c r="EI136" s="168"/>
      <c r="EJ136" s="168"/>
      <c r="EK136" s="168"/>
      <c r="EL136" s="168"/>
      <c r="EM136" s="168"/>
      <c r="EN136" s="168"/>
      <c r="EO136" s="168"/>
      <c r="EP136" s="168"/>
      <c r="EQ136" s="168"/>
      <c r="ER136" s="168"/>
      <c r="ES136" s="168"/>
      <c r="ET136" s="168"/>
      <c r="EU136" s="168"/>
      <c r="EV136" s="168"/>
      <c r="EW136" s="168"/>
      <c r="EX136" s="168"/>
      <c r="EY136" s="168"/>
      <c r="EZ136" s="168"/>
      <c r="FA136" s="168"/>
      <c r="FB136" s="168"/>
      <c r="FC136" s="168"/>
      <c r="FD136" s="168"/>
      <c r="FE136" s="168"/>
      <c r="FF136" s="168"/>
      <c r="FG136" s="168"/>
      <c r="FH136" s="168"/>
      <c r="FI136" s="168"/>
      <c r="FJ136" s="168"/>
      <c r="FK136" s="168"/>
      <c r="FL136" s="168"/>
      <c r="FM136" s="168"/>
      <c r="FN136" s="168"/>
      <c r="FO136" s="168"/>
      <c r="FP136" s="168"/>
      <c r="FQ136" s="168"/>
      <c r="FR136" s="168"/>
      <c r="FS136" s="168"/>
      <c r="FT136" s="168"/>
      <c r="FU136" s="168"/>
      <c r="FV136" s="168"/>
      <c r="FW136" s="168"/>
      <c r="FX136" s="168"/>
      <c r="FY136" s="168"/>
      <c r="FZ136" s="168"/>
      <c r="GA136" s="168"/>
      <c r="GB136" s="168"/>
      <c r="GC136" s="168"/>
      <c r="GD136" s="168"/>
      <c r="GE136" s="168"/>
      <c r="GF136" s="168"/>
      <c r="GG136" s="168"/>
      <c r="GH136" s="168"/>
      <c r="GI136" s="168"/>
      <c r="GJ136" s="168"/>
      <c r="GK136" s="168"/>
      <c r="GL136" s="168"/>
      <c r="GM136" s="168"/>
      <c r="GN136" s="168"/>
      <c r="GO136" s="168"/>
      <c r="GP136" s="168"/>
      <c r="GQ136" s="168"/>
      <c r="GR136" s="168"/>
      <c r="GS136" s="168"/>
      <c r="GT136" s="168"/>
      <c r="GU136" s="168"/>
      <c r="GV136" s="168"/>
      <c r="GW136" s="168"/>
      <c r="GX136" s="168"/>
      <c r="GY136" s="168"/>
      <c r="GZ136" s="168"/>
      <c r="HA136" s="168"/>
      <c r="HB136" s="168"/>
      <c r="HC136" s="168"/>
      <c r="HD136" s="168"/>
      <c r="HE136" s="168"/>
      <c r="HF136" s="168"/>
      <c r="HG136" s="168"/>
      <c r="HH136" s="168"/>
      <c r="HI136" s="168"/>
      <c r="HJ136" s="168"/>
      <c r="HK136" s="168"/>
      <c r="HL136" s="168"/>
      <c r="HM136" s="168"/>
      <c r="HN136" s="168"/>
      <c r="HO136" s="168"/>
      <c r="HP136" s="168"/>
      <c r="HQ136" s="168"/>
      <c r="HR136" s="168"/>
      <c r="HS136" s="168"/>
      <c r="HT136" s="168"/>
      <c r="HU136" s="168"/>
      <c r="HV136" s="168"/>
      <c r="HW136" s="168"/>
      <c r="HX136" s="168"/>
      <c r="HY136" s="168"/>
      <c r="HZ136" s="168"/>
      <c r="IA136" s="168"/>
      <c r="IB136" s="168"/>
      <c r="IC136" s="168"/>
      <c r="ID136" s="168"/>
      <c r="IE136" s="168"/>
      <c r="IF136" s="168"/>
      <c r="IG136" s="168"/>
      <c r="IH136" s="168"/>
      <c r="II136" s="168"/>
      <c r="IJ136" s="168"/>
      <c r="IK136" s="168"/>
      <c r="IL136" s="168"/>
      <c r="IM136" s="168"/>
      <c r="IN136" s="168"/>
      <c r="IO136" s="168"/>
      <c r="IP136" s="168"/>
      <c r="IQ136" s="168"/>
      <c r="IR136" s="168"/>
      <c r="IS136" s="168"/>
      <c r="IT136" s="168"/>
      <c r="IU136" s="168"/>
      <c r="IV136" s="168"/>
      <c r="IW136" s="168"/>
      <c r="IX136" s="168"/>
      <c r="IY136" s="168"/>
      <c r="IZ136" s="168"/>
      <c r="JA136" s="168"/>
      <c r="JB136" s="168"/>
      <c r="JC136" s="606"/>
      <c r="JD136" s="609"/>
      <c r="JE136" s="1"/>
      <c r="JF136" s="1"/>
    </row>
    <row r="137" spans="1:266" s="2" customFormat="1" ht="15" customHeight="1" x14ac:dyDescent="0.25">
      <c r="A137" s="283"/>
      <c r="B137" s="303"/>
      <c r="C137" s="301"/>
      <c r="D137" s="638"/>
      <c r="E137" s="2298"/>
      <c r="F137" s="1812"/>
      <c r="G137" s="3342"/>
      <c r="H137" s="105"/>
      <c r="I137" s="1746"/>
      <c r="J137" s="86"/>
      <c r="K137" s="105"/>
      <c r="L137" s="91"/>
      <c r="M137" s="92"/>
      <c r="N137" s="93"/>
      <c r="O137" s="94"/>
      <c r="P137" s="96"/>
      <c r="Q137" s="95"/>
      <c r="R137" s="993">
        <f t="shared" si="198"/>
        <v>0</v>
      </c>
      <c r="S137" s="23">
        <f t="shared" si="214"/>
        <v>0</v>
      </c>
      <c r="T137" s="24">
        <f t="shared" si="215"/>
        <v>0</v>
      </c>
      <c r="U137" s="24">
        <f t="shared" si="199"/>
        <v>0</v>
      </c>
      <c r="V137" s="24">
        <f t="shared" si="216"/>
        <v>0</v>
      </c>
      <c r="W137" s="24">
        <f t="shared" si="217"/>
        <v>0</v>
      </c>
      <c r="X137" s="72">
        <f t="shared" si="218"/>
        <v>0</v>
      </c>
      <c r="Y137" s="72">
        <f t="shared" si="219"/>
        <v>0</v>
      </c>
      <c r="Z137" s="24">
        <f t="shared" si="200"/>
        <v>0</v>
      </c>
      <c r="AA137" s="72">
        <f t="shared" si="220"/>
        <v>0</v>
      </c>
      <c r="AB137" s="24">
        <f t="shared" si="221"/>
        <v>0</v>
      </c>
      <c r="AC137" s="24" t="s">
        <v>5</v>
      </c>
      <c r="AD137" s="25">
        <f t="shared" si="201"/>
        <v>3</v>
      </c>
      <c r="AE137" s="25">
        <f t="shared" si="202"/>
        <v>0</v>
      </c>
      <c r="AF137" s="25">
        <f t="shared" si="203"/>
        <v>0</v>
      </c>
      <c r="AG137" s="25">
        <f t="shared" si="222"/>
        <v>1</v>
      </c>
      <c r="AH137" s="25" t="str">
        <f>IFERROR(MATCH(DY137,'2 Staff List'!$IA$64:$IA$114,0),"x")</f>
        <v>x</v>
      </c>
      <c r="AI137" s="1181">
        <f>IFERROR(INDEX('2 Staff List'!$EX$64:$EX$114,$AH137),0)</f>
        <v>0</v>
      </c>
      <c r="AJ137" s="25">
        <f>IFERROR(INDEX('2 Staff List'!$IW$64:$IW$114,$AH137),0)</f>
        <v>0</v>
      </c>
      <c r="AK137" s="25">
        <f>IFERROR(INDEX('2 Staff List'!$IB$64:$IB$114,$AH137),0)</f>
        <v>0</v>
      </c>
      <c r="AL137" s="25">
        <f>IF(OR(NOT(ISBLANK(DV137)),CX137=1),"&lt;Non-Labor&gt;",IFERROR(IF(AH137=0,0,INDEX('2 Staff List'!$HZ$64:$HZ$114,$AH137)),0))</f>
        <v>0</v>
      </c>
      <c r="AM137" s="25">
        <f>IFERROR(INDEX('2 Staff List'!$HW$64:$HW$114,$AH137),0)</f>
        <v>0</v>
      </c>
      <c r="AN137" s="25">
        <f t="shared" si="223"/>
        <v>1</v>
      </c>
      <c r="AO137" s="25">
        <f>IF($AO$127=0,0,IFERROR(INDEX('2 Staff List'!$JH$64:$JH$114,$AH137),0))</f>
        <v>0</v>
      </c>
      <c r="AP137" s="25">
        <f>IFERROR(INDEX('2 Staff List'!$HU$64:$HU$114,$AH137),0)</f>
        <v>0</v>
      </c>
      <c r="AQ137" s="25">
        <f t="shared" si="224"/>
        <v>0</v>
      </c>
      <c r="AR137" s="25">
        <f t="shared" si="225"/>
        <v>0</v>
      </c>
      <c r="AS137" s="25">
        <f t="shared" si="226"/>
        <v>0</v>
      </c>
      <c r="AT137" s="25">
        <f t="shared" si="227"/>
        <v>0</v>
      </c>
      <c r="AU137" s="25">
        <f t="shared" si="228"/>
        <v>0</v>
      </c>
      <c r="AV137" s="25">
        <f t="shared" si="229"/>
        <v>0</v>
      </c>
      <c r="AW137" s="25">
        <f t="shared" si="230"/>
        <v>0</v>
      </c>
      <c r="AX137" s="25">
        <f t="shared" si="231"/>
        <v>0</v>
      </c>
      <c r="AY137" s="25">
        <f t="shared" si="232"/>
        <v>0</v>
      </c>
      <c r="AZ137" s="25">
        <f t="shared" si="233"/>
        <v>0</v>
      </c>
      <c r="BA137" s="25">
        <f t="shared" si="234"/>
        <v>0</v>
      </c>
      <c r="BB137" s="25">
        <f t="shared" si="235"/>
        <v>0</v>
      </c>
      <c r="BC137" s="25">
        <f>IFERROR(INDEX('2 Staff List'!KS$64:KS$114,$AH137),0)</f>
        <v>0</v>
      </c>
      <c r="BD137" s="25">
        <f>IFERROR(INDEX('2 Staff List'!KT$64:KT$114,$AH137),0)</f>
        <v>0</v>
      </c>
      <c r="BE137" s="25">
        <f>IFERROR(INDEX('2 Staff List'!KU$64:KU$114,$AH137),0)</f>
        <v>0</v>
      </c>
      <c r="BF137" s="25">
        <f>IFERROR(INDEX('2 Staff List'!KV$64:KV$114,$AH137),0)</f>
        <v>0</v>
      </c>
      <c r="BG137" s="25">
        <f>IFERROR(INDEX('2 Staff List'!KW$64:KW$114,$AH137),0)</f>
        <v>0</v>
      </c>
      <c r="BH137" s="25">
        <f>IFERROR(INDEX('2 Staff List'!KX$64:KX$114,$AH137),0)</f>
        <v>0</v>
      </c>
      <c r="BI137" s="25">
        <f>IFERROR(INDEX('2 Staff List'!KY$64:KY$114,$AH137),0)</f>
        <v>0</v>
      </c>
      <c r="BJ137" s="25">
        <f>IFERROR(INDEX('2 Staff List'!KZ$64:KZ$114,$AH137),0)</f>
        <v>0</v>
      </c>
      <c r="BK137" s="25">
        <f>IFERROR(INDEX('2 Staff List'!LA$64:LA$114,$AH137),0)</f>
        <v>0</v>
      </c>
      <c r="BL137" s="25">
        <f>IFERROR(INDEX('2 Staff List'!LB$64:LB$114,$AH137),0)</f>
        <v>0</v>
      </c>
      <c r="BM137" s="25">
        <f>IFERROR(INDEX('2 Staff List'!FT$64:FT$114,$AH137),0)</f>
        <v>0</v>
      </c>
      <c r="BN137" s="25">
        <f>IFERROR(INDEX('2 Staff List'!FU$64:FU$114,$AH137),0)</f>
        <v>0</v>
      </c>
      <c r="BO137" s="25">
        <f>IFERROR(INDEX('2 Staff List'!FV$64:FV$114,$AH137),0)</f>
        <v>0</v>
      </c>
      <c r="BP137" s="25">
        <f>IFERROR(INDEX('2 Staff List'!FW$64:FW$114,$AH137),0)</f>
        <v>0</v>
      </c>
      <c r="BQ137" s="25">
        <f>IFERROR(INDEX('2 Staff List'!FX$64:FX$114,$AH137),0)</f>
        <v>0</v>
      </c>
      <c r="BR137" s="25">
        <f>IFERROR(INDEX('2 Staff List'!FY$64:FY$114,$AH137),0)</f>
        <v>0</v>
      </c>
      <c r="BS137" s="25">
        <f>IFERROR(INDEX('2 Staff List'!FZ$64:FZ$114,$AH137),0)</f>
        <v>0</v>
      </c>
      <c r="BT137" s="25">
        <f>IFERROR(INDEX('2 Staff List'!GA$64:GA$114,$AH137),0)</f>
        <v>0</v>
      </c>
      <c r="BU137" s="25">
        <f>IFERROR(INDEX('2 Staff List'!GB$64:GB$114,$AH137),0)</f>
        <v>0</v>
      </c>
      <c r="BV137" s="25">
        <f>IFERROR(INDEX('2 Staff List'!GC$64:GC$114,$AH137),0)</f>
        <v>0</v>
      </c>
      <c r="BW137" s="25">
        <f t="shared" si="236"/>
        <v>0</v>
      </c>
      <c r="BX137" s="25">
        <f t="shared" si="237"/>
        <v>0</v>
      </c>
      <c r="BY137" s="25">
        <f t="shared" si="238"/>
        <v>0</v>
      </c>
      <c r="BZ137" s="25">
        <f t="shared" si="239"/>
        <v>0</v>
      </c>
      <c r="CA137" s="25">
        <f t="shared" si="240"/>
        <v>0</v>
      </c>
      <c r="CB137" s="25">
        <f t="shared" si="241"/>
        <v>0</v>
      </c>
      <c r="CC137" s="25">
        <f t="shared" si="242"/>
        <v>0</v>
      </c>
      <c r="CD137" s="25">
        <f t="shared" si="243"/>
        <v>0</v>
      </c>
      <c r="CE137" s="25">
        <f t="shared" si="244"/>
        <v>0</v>
      </c>
      <c r="CF137" s="25">
        <f t="shared" si="245"/>
        <v>0</v>
      </c>
      <c r="CG137" s="25">
        <f t="shared" si="246"/>
        <v>0</v>
      </c>
      <c r="CH137" s="25">
        <f>IFERROR(INDEX('2 Staff List'!LO$64:LO$114,$AH137),0)</f>
        <v>0</v>
      </c>
      <c r="CI137" s="25">
        <f>IFERROR(INDEX('2 Staff List'!LP$64:LP$114,$AH137),0)</f>
        <v>0</v>
      </c>
      <c r="CJ137" s="25">
        <f>IFERROR(INDEX('2 Staff List'!LQ$64:LQ$114,$AH137),0)</f>
        <v>0</v>
      </c>
      <c r="CK137" s="25">
        <f>IFERROR(INDEX('2 Staff List'!LR$64:LR$114,$AH137),0)</f>
        <v>0</v>
      </c>
      <c r="CL137" s="25">
        <f>IFERROR(INDEX('2 Staff List'!LS$64:LS$114,$AH137),0)</f>
        <v>0</v>
      </c>
      <c r="CM137" s="25">
        <f>IFERROR(INDEX('2 Staff List'!LT$64:LT$114,$AH137),0)</f>
        <v>0</v>
      </c>
      <c r="CN137" s="25">
        <f>IFERROR(INDEX('2 Staff List'!LU$64:LU$114,$AH137),0)</f>
        <v>0</v>
      </c>
      <c r="CO137" s="25">
        <f>IFERROR(INDEX('2 Staff List'!LV$64:LV$114,$AH137),0)</f>
        <v>0</v>
      </c>
      <c r="CP137" s="25">
        <f>IFERROR(INDEX('2 Staff List'!LW$64:LW$114,$AH137),0)</f>
        <v>0</v>
      </c>
      <c r="CQ137" s="25">
        <f>IFERROR(INDEX('2 Staff List'!LX$64:LX$114,$AH137),0)</f>
        <v>0</v>
      </c>
      <c r="CR137" s="25">
        <f t="shared" si="204"/>
        <v>0</v>
      </c>
      <c r="CS137" s="25">
        <f>IFERROR(1/CR137,1)</f>
        <v>1</v>
      </c>
      <c r="CT137" s="25">
        <f t="shared" si="248"/>
        <v>1</v>
      </c>
      <c r="CU137" s="25">
        <f t="shared" si="249"/>
        <v>1</v>
      </c>
      <c r="CV137" s="25">
        <f t="shared" si="250"/>
        <v>1</v>
      </c>
      <c r="CW137" s="25">
        <f t="shared" si="251"/>
        <v>1</v>
      </c>
      <c r="CX137" s="25">
        <f t="shared" si="252"/>
        <v>0</v>
      </c>
      <c r="CY137" s="25">
        <f t="shared" si="253"/>
        <v>0</v>
      </c>
      <c r="CZ137" s="25">
        <f t="shared" si="254"/>
        <v>0</v>
      </c>
      <c r="DA137" s="25">
        <f t="shared" si="255"/>
        <v>1</v>
      </c>
      <c r="DB137" s="25">
        <f t="shared" si="205"/>
        <v>1</v>
      </c>
      <c r="DC137" s="25">
        <f t="shared" si="256"/>
        <v>0</v>
      </c>
      <c r="DD137" s="25">
        <f>IF(OR($AD137&lt;&gt;3,F137="Exclude"),0,IF(ISERROR(MATCH($E137,'4 Sign-off'!$S$123:$X$123,0)),0,1))</f>
        <v>0</v>
      </c>
      <c r="DE137" s="25">
        <f t="shared" si="206"/>
        <v>0</v>
      </c>
      <c r="DF137" s="25">
        <f t="shared" si="257"/>
        <v>0</v>
      </c>
      <c r="DG137" s="25" t="str">
        <f t="shared" si="258"/>
        <v/>
      </c>
      <c r="DH137" s="25">
        <f t="shared" si="259"/>
        <v>0</v>
      </c>
      <c r="DI137" s="25">
        <f t="shared" si="260"/>
        <v>0</v>
      </c>
      <c r="DJ137" s="25">
        <f>IF(ISBLANK(J137),0,ISERROR(MATCH(J137,'5  Control Accounts'!$FA$29:$FA$96,0))*1)</f>
        <v>0</v>
      </c>
      <c r="DK137" s="25">
        <f t="shared" si="261"/>
        <v>0</v>
      </c>
      <c r="DL137" s="25">
        <f t="shared" si="207"/>
        <v>-1</v>
      </c>
      <c r="DM137" s="25" t="e">
        <f t="array" ref="DM137">MATCH(1,($EG137:$JD137&gt;0)*$EG$17:$JD$17,0)</f>
        <v>#N/A</v>
      </c>
      <c r="DN137" s="25" t="e">
        <f t="shared" si="208"/>
        <v>#N/A</v>
      </c>
      <c r="DO137" s="25" t="e">
        <f t="array" ref="DO137">MATCH(2,1/(EG137:JD137&gt;0))</f>
        <v>#N/A</v>
      </c>
      <c r="DP137" s="2993">
        <f t="shared" si="262"/>
        <v>0</v>
      </c>
      <c r="DQ137" s="3037">
        <f t="shared" si="263"/>
        <v>0</v>
      </c>
      <c r="DR137" s="111"/>
      <c r="DS137" s="1268">
        <f t="shared" si="209"/>
        <v>0</v>
      </c>
      <c r="DT137" s="1825"/>
      <c r="DU137" s="1826"/>
      <c r="DV137" s="1827"/>
      <c r="DW137" s="1828"/>
      <c r="DX137" s="659"/>
      <c r="DY137" s="1265"/>
      <c r="DZ137" s="1785">
        <f t="shared" si="210"/>
        <v>0</v>
      </c>
      <c r="EA137" s="1786">
        <f t="shared" si="211"/>
        <v>0</v>
      </c>
      <c r="EB137" s="1781">
        <f t="shared" si="212"/>
        <v>0</v>
      </c>
      <c r="EC137" s="1782">
        <f t="shared" si="213"/>
        <v>0</v>
      </c>
      <c r="ED137" s="1262"/>
      <c r="EE137" s="2280"/>
      <c r="EF137" s="1802"/>
      <c r="EG137" s="167"/>
      <c r="EH137" s="168"/>
      <c r="EI137" s="168"/>
      <c r="EJ137" s="168"/>
      <c r="EK137" s="168"/>
      <c r="EL137" s="168"/>
      <c r="EM137" s="168"/>
      <c r="EN137" s="168"/>
      <c r="EO137" s="168"/>
      <c r="EP137" s="168"/>
      <c r="EQ137" s="168"/>
      <c r="ER137" s="168"/>
      <c r="ES137" s="168"/>
      <c r="ET137" s="168"/>
      <c r="EU137" s="168"/>
      <c r="EV137" s="168"/>
      <c r="EW137" s="168"/>
      <c r="EX137" s="168"/>
      <c r="EY137" s="168"/>
      <c r="EZ137" s="168"/>
      <c r="FA137" s="168"/>
      <c r="FB137" s="168"/>
      <c r="FC137" s="168"/>
      <c r="FD137" s="168"/>
      <c r="FE137" s="168"/>
      <c r="FF137" s="168"/>
      <c r="FG137" s="168"/>
      <c r="FH137" s="168"/>
      <c r="FI137" s="168"/>
      <c r="FJ137" s="168"/>
      <c r="FK137" s="168"/>
      <c r="FL137" s="168"/>
      <c r="FM137" s="168"/>
      <c r="FN137" s="168"/>
      <c r="FO137" s="168"/>
      <c r="FP137" s="168"/>
      <c r="FQ137" s="168"/>
      <c r="FR137" s="168"/>
      <c r="FS137" s="168"/>
      <c r="FT137" s="168"/>
      <c r="FU137" s="168"/>
      <c r="FV137" s="168"/>
      <c r="FW137" s="168"/>
      <c r="FX137" s="168"/>
      <c r="FY137" s="168"/>
      <c r="FZ137" s="168"/>
      <c r="GA137" s="168"/>
      <c r="GB137" s="168"/>
      <c r="GC137" s="168"/>
      <c r="GD137" s="168"/>
      <c r="GE137" s="168"/>
      <c r="GF137" s="168"/>
      <c r="GG137" s="168"/>
      <c r="GH137" s="168"/>
      <c r="GI137" s="168"/>
      <c r="GJ137" s="168"/>
      <c r="GK137" s="168"/>
      <c r="GL137" s="168"/>
      <c r="GM137" s="168"/>
      <c r="GN137" s="168"/>
      <c r="GO137" s="168"/>
      <c r="GP137" s="168"/>
      <c r="GQ137" s="168"/>
      <c r="GR137" s="168"/>
      <c r="GS137" s="168"/>
      <c r="GT137" s="168"/>
      <c r="GU137" s="168"/>
      <c r="GV137" s="168"/>
      <c r="GW137" s="168"/>
      <c r="GX137" s="168"/>
      <c r="GY137" s="168"/>
      <c r="GZ137" s="168"/>
      <c r="HA137" s="168"/>
      <c r="HB137" s="168"/>
      <c r="HC137" s="168"/>
      <c r="HD137" s="168"/>
      <c r="HE137" s="168"/>
      <c r="HF137" s="168"/>
      <c r="HG137" s="168"/>
      <c r="HH137" s="168"/>
      <c r="HI137" s="168"/>
      <c r="HJ137" s="168"/>
      <c r="HK137" s="168"/>
      <c r="HL137" s="168"/>
      <c r="HM137" s="168"/>
      <c r="HN137" s="168"/>
      <c r="HO137" s="168"/>
      <c r="HP137" s="168"/>
      <c r="HQ137" s="168"/>
      <c r="HR137" s="168"/>
      <c r="HS137" s="168"/>
      <c r="HT137" s="168"/>
      <c r="HU137" s="168"/>
      <c r="HV137" s="168"/>
      <c r="HW137" s="168"/>
      <c r="HX137" s="168"/>
      <c r="HY137" s="168"/>
      <c r="HZ137" s="168"/>
      <c r="IA137" s="168"/>
      <c r="IB137" s="168"/>
      <c r="IC137" s="168"/>
      <c r="ID137" s="168"/>
      <c r="IE137" s="168"/>
      <c r="IF137" s="168"/>
      <c r="IG137" s="168"/>
      <c r="IH137" s="168"/>
      <c r="II137" s="168"/>
      <c r="IJ137" s="168"/>
      <c r="IK137" s="168"/>
      <c r="IL137" s="168"/>
      <c r="IM137" s="168"/>
      <c r="IN137" s="168"/>
      <c r="IO137" s="168"/>
      <c r="IP137" s="168"/>
      <c r="IQ137" s="168"/>
      <c r="IR137" s="168"/>
      <c r="IS137" s="168"/>
      <c r="IT137" s="168"/>
      <c r="IU137" s="168"/>
      <c r="IV137" s="168"/>
      <c r="IW137" s="168"/>
      <c r="IX137" s="168"/>
      <c r="IY137" s="168"/>
      <c r="IZ137" s="168"/>
      <c r="JA137" s="168"/>
      <c r="JB137" s="168"/>
      <c r="JC137" s="606"/>
      <c r="JD137" s="609"/>
      <c r="JE137" s="1"/>
      <c r="JF137" s="1"/>
    </row>
    <row r="138" spans="1:266" s="2" customFormat="1" ht="15" customHeight="1" x14ac:dyDescent="0.25">
      <c r="A138" s="283"/>
      <c r="B138" s="303"/>
      <c r="C138" s="301"/>
      <c r="D138" s="638"/>
      <c r="E138" s="2298"/>
      <c r="F138" s="1812"/>
      <c r="G138" s="3342"/>
      <c r="H138" s="105"/>
      <c r="I138" s="1746"/>
      <c r="J138" s="86"/>
      <c r="K138" s="105"/>
      <c r="L138" s="91"/>
      <c r="M138" s="92"/>
      <c r="N138" s="93"/>
      <c r="O138" s="94"/>
      <c r="P138" s="96"/>
      <c r="Q138" s="95"/>
      <c r="R138" s="993">
        <f t="shared" si="198"/>
        <v>0</v>
      </c>
      <c r="S138" s="23">
        <f t="shared" si="214"/>
        <v>0</v>
      </c>
      <c r="T138" s="24">
        <f t="shared" si="215"/>
        <v>0</v>
      </c>
      <c r="U138" s="24">
        <f t="shared" si="199"/>
        <v>0</v>
      </c>
      <c r="V138" s="24">
        <f t="shared" si="216"/>
        <v>0</v>
      </c>
      <c r="W138" s="24">
        <f t="shared" si="217"/>
        <v>0</v>
      </c>
      <c r="X138" s="72">
        <f t="shared" si="218"/>
        <v>0</v>
      </c>
      <c r="Y138" s="72">
        <f t="shared" si="219"/>
        <v>0</v>
      </c>
      <c r="Z138" s="24">
        <f t="shared" si="200"/>
        <v>0</v>
      </c>
      <c r="AA138" s="72">
        <f t="shared" si="220"/>
        <v>0</v>
      </c>
      <c r="AB138" s="24">
        <f t="shared" si="221"/>
        <v>0</v>
      </c>
      <c r="AC138" s="24" t="s">
        <v>5</v>
      </c>
      <c r="AD138" s="25">
        <f t="shared" si="201"/>
        <v>3</v>
      </c>
      <c r="AE138" s="25">
        <f t="shared" si="202"/>
        <v>0</v>
      </c>
      <c r="AF138" s="25">
        <f t="shared" si="203"/>
        <v>0</v>
      </c>
      <c r="AG138" s="25">
        <f t="shared" si="222"/>
        <v>1</v>
      </c>
      <c r="AH138" s="25" t="str">
        <f>IFERROR(MATCH(DY138,'2 Staff List'!$IA$64:$IA$114,0),"x")</f>
        <v>x</v>
      </c>
      <c r="AI138" s="1181">
        <f>IFERROR(INDEX('2 Staff List'!$EX$64:$EX$114,$AH138),0)</f>
        <v>0</v>
      </c>
      <c r="AJ138" s="25">
        <f>IFERROR(INDEX('2 Staff List'!$IW$64:$IW$114,$AH138),0)</f>
        <v>0</v>
      </c>
      <c r="AK138" s="25">
        <f>IFERROR(INDEX('2 Staff List'!$IB$64:$IB$114,$AH138),0)</f>
        <v>0</v>
      </c>
      <c r="AL138" s="25">
        <f>IF(OR(NOT(ISBLANK(DV138)),CX138=1),"&lt;Non-Labor&gt;",IFERROR(IF(AH138=0,0,INDEX('2 Staff List'!$HZ$64:$HZ$114,$AH138)),0))</f>
        <v>0</v>
      </c>
      <c r="AM138" s="25">
        <f>IFERROR(INDEX('2 Staff List'!$HW$64:$HW$114,$AH138),0)</f>
        <v>0</v>
      </c>
      <c r="AN138" s="25">
        <f t="shared" si="223"/>
        <v>1</v>
      </c>
      <c r="AO138" s="25">
        <f>IF($AO$127=0,0,IFERROR(INDEX('2 Staff List'!$JH$64:$JH$114,$AH138),0))</f>
        <v>0</v>
      </c>
      <c r="AP138" s="25">
        <f>IFERROR(INDEX('2 Staff List'!$HU$64:$HU$114,$AH138),0)</f>
        <v>0</v>
      </c>
      <c r="AQ138" s="25">
        <f t="shared" si="224"/>
        <v>0</v>
      </c>
      <c r="AR138" s="25">
        <f t="shared" si="225"/>
        <v>0</v>
      </c>
      <c r="AS138" s="25">
        <f t="shared" si="226"/>
        <v>0</v>
      </c>
      <c r="AT138" s="25">
        <f t="shared" si="227"/>
        <v>0</v>
      </c>
      <c r="AU138" s="25">
        <f t="shared" si="228"/>
        <v>0</v>
      </c>
      <c r="AV138" s="25">
        <f t="shared" si="229"/>
        <v>0</v>
      </c>
      <c r="AW138" s="25">
        <f t="shared" si="230"/>
        <v>0</v>
      </c>
      <c r="AX138" s="25">
        <f t="shared" si="231"/>
        <v>0</v>
      </c>
      <c r="AY138" s="25">
        <f t="shared" si="232"/>
        <v>0</v>
      </c>
      <c r="AZ138" s="25">
        <f t="shared" si="233"/>
        <v>0</v>
      </c>
      <c r="BA138" s="25">
        <f t="shared" si="234"/>
        <v>0</v>
      </c>
      <c r="BB138" s="25">
        <f t="shared" si="235"/>
        <v>0</v>
      </c>
      <c r="BC138" s="25">
        <f>IFERROR(INDEX('2 Staff List'!KS$64:KS$114,$AH138),0)</f>
        <v>0</v>
      </c>
      <c r="BD138" s="25">
        <f>IFERROR(INDEX('2 Staff List'!KT$64:KT$114,$AH138),0)</f>
        <v>0</v>
      </c>
      <c r="BE138" s="25">
        <f>IFERROR(INDEX('2 Staff List'!KU$64:KU$114,$AH138),0)</f>
        <v>0</v>
      </c>
      <c r="BF138" s="25">
        <f>IFERROR(INDEX('2 Staff List'!KV$64:KV$114,$AH138),0)</f>
        <v>0</v>
      </c>
      <c r="BG138" s="25">
        <f>IFERROR(INDEX('2 Staff List'!KW$64:KW$114,$AH138),0)</f>
        <v>0</v>
      </c>
      <c r="BH138" s="25">
        <f>IFERROR(INDEX('2 Staff List'!KX$64:KX$114,$AH138),0)</f>
        <v>0</v>
      </c>
      <c r="BI138" s="25">
        <f>IFERROR(INDEX('2 Staff List'!KY$64:KY$114,$AH138),0)</f>
        <v>0</v>
      </c>
      <c r="BJ138" s="25">
        <f>IFERROR(INDEX('2 Staff List'!KZ$64:KZ$114,$AH138),0)</f>
        <v>0</v>
      </c>
      <c r="BK138" s="25">
        <f>IFERROR(INDEX('2 Staff List'!LA$64:LA$114,$AH138),0)</f>
        <v>0</v>
      </c>
      <c r="BL138" s="25">
        <f>IFERROR(INDEX('2 Staff List'!LB$64:LB$114,$AH138),0)</f>
        <v>0</v>
      </c>
      <c r="BM138" s="25">
        <f>IFERROR(INDEX('2 Staff List'!FT$64:FT$114,$AH138),0)</f>
        <v>0</v>
      </c>
      <c r="BN138" s="25">
        <f>IFERROR(INDEX('2 Staff List'!FU$64:FU$114,$AH138),0)</f>
        <v>0</v>
      </c>
      <c r="BO138" s="25">
        <f>IFERROR(INDEX('2 Staff List'!FV$64:FV$114,$AH138),0)</f>
        <v>0</v>
      </c>
      <c r="BP138" s="25">
        <f>IFERROR(INDEX('2 Staff List'!FW$64:FW$114,$AH138),0)</f>
        <v>0</v>
      </c>
      <c r="BQ138" s="25">
        <f>IFERROR(INDEX('2 Staff List'!FX$64:FX$114,$AH138),0)</f>
        <v>0</v>
      </c>
      <c r="BR138" s="25">
        <f>IFERROR(INDEX('2 Staff List'!FY$64:FY$114,$AH138),0)</f>
        <v>0</v>
      </c>
      <c r="BS138" s="25">
        <f>IFERROR(INDEX('2 Staff List'!FZ$64:FZ$114,$AH138),0)</f>
        <v>0</v>
      </c>
      <c r="BT138" s="25">
        <f>IFERROR(INDEX('2 Staff List'!GA$64:GA$114,$AH138),0)</f>
        <v>0</v>
      </c>
      <c r="BU138" s="25">
        <f>IFERROR(INDEX('2 Staff List'!GB$64:GB$114,$AH138),0)</f>
        <v>0</v>
      </c>
      <c r="BV138" s="25">
        <f>IFERROR(INDEX('2 Staff List'!GC$64:GC$114,$AH138),0)</f>
        <v>0</v>
      </c>
      <c r="BW138" s="25">
        <f t="shared" si="236"/>
        <v>0</v>
      </c>
      <c r="BX138" s="25">
        <f t="shared" si="237"/>
        <v>0</v>
      </c>
      <c r="BY138" s="25">
        <f t="shared" si="238"/>
        <v>0</v>
      </c>
      <c r="BZ138" s="25">
        <f t="shared" si="239"/>
        <v>0</v>
      </c>
      <c r="CA138" s="25">
        <f t="shared" si="240"/>
        <v>0</v>
      </c>
      <c r="CB138" s="25">
        <f t="shared" si="241"/>
        <v>0</v>
      </c>
      <c r="CC138" s="25">
        <f t="shared" si="242"/>
        <v>0</v>
      </c>
      <c r="CD138" s="25">
        <f t="shared" si="243"/>
        <v>0</v>
      </c>
      <c r="CE138" s="25">
        <f t="shared" si="244"/>
        <v>0</v>
      </c>
      <c r="CF138" s="25">
        <f t="shared" si="245"/>
        <v>0</v>
      </c>
      <c r="CG138" s="25">
        <f t="shared" si="246"/>
        <v>0</v>
      </c>
      <c r="CH138" s="25">
        <f>IFERROR(INDEX('2 Staff List'!LO$64:LO$114,$AH138),0)</f>
        <v>0</v>
      </c>
      <c r="CI138" s="25">
        <f>IFERROR(INDEX('2 Staff List'!LP$64:LP$114,$AH138),0)</f>
        <v>0</v>
      </c>
      <c r="CJ138" s="25">
        <f>IFERROR(INDEX('2 Staff List'!LQ$64:LQ$114,$AH138),0)</f>
        <v>0</v>
      </c>
      <c r="CK138" s="25">
        <f>IFERROR(INDEX('2 Staff List'!LR$64:LR$114,$AH138),0)</f>
        <v>0</v>
      </c>
      <c r="CL138" s="25">
        <f>IFERROR(INDEX('2 Staff List'!LS$64:LS$114,$AH138),0)</f>
        <v>0</v>
      </c>
      <c r="CM138" s="25">
        <f>IFERROR(INDEX('2 Staff List'!LT$64:LT$114,$AH138),0)</f>
        <v>0</v>
      </c>
      <c r="CN138" s="25">
        <f>IFERROR(INDEX('2 Staff List'!LU$64:LU$114,$AH138),0)</f>
        <v>0</v>
      </c>
      <c r="CO138" s="25">
        <f>IFERROR(INDEX('2 Staff List'!LV$64:LV$114,$AH138),0)</f>
        <v>0</v>
      </c>
      <c r="CP138" s="25">
        <f>IFERROR(INDEX('2 Staff List'!LW$64:LW$114,$AH138),0)</f>
        <v>0</v>
      </c>
      <c r="CQ138" s="25">
        <f>IFERROR(INDEX('2 Staff List'!LX$64:LX$114,$AH138),0)</f>
        <v>0</v>
      </c>
      <c r="CR138" s="25">
        <f t="shared" si="204"/>
        <v>0</v>
      </c>
      <c r="CS138" s="25">
        <f>IFERROR(1/CR138,1)</f>
        <v>1</v>
      </c>
      <c r="CT138" s="25">
        <f t="shared" si="248"/>
        <v>1</v>
      </c>
      <c r="CU138" s="25">
        <f t="shared" si="249"/>
        <v>1</v>
      </c>
      <c r="CV138" s="25">
        <f t="shared" si="250"/>
        <v>1</v>
      </c>
      <c r="CW138" s="25">
        <f t="shared" si="251"/>
        <v>1</v>
      </c>
      <c r="CX138" s="25">
        <f t="shared" si="252"/>
        <v>0</v>
      </c>
      <c r="CY138" s="25">
        <f t="shared" si="253"/>
        <v>0</v>
      </c>
      <c r="CZ138" s="25">
        <f t="shared" si="254"/>
        <v>0</v>
      </c>
      <c r="DA138" s="25">
        <f t="shared" si="255"/>
        <v>1</v>
      </c>
      <c r="DB138" s="25">
        <f t="shared" si="205"/>
        <v>1</v>
      </c>
      <c r="DC138" s="25">
        <f t="shared" si="256"/>
        <v>0</v>
      </c>
      <c r="DD138" s="25">
        <f>IF(OR($AD138&lt;&gt;3,F138="Exclude"),0,IF(ISERROR(MATCH($E138,'4 Sign-off'!$S$123:$X$123,0)),0,1))</f>
        <v>0</v>
      </c>
      <c r="DE138" s="25">
        <f t="shared" si="206"/>
        <v>0</v>
      </c>
      <c r="DF138" s="25">
        <f t="shared" si="257"/>
        <v>0</v>
      </c>
      <c r="DG138" s="25" t="str">
        <f t="shared" si="258"/>
        <v/>
      </c>
      <c r="DH138" s="25">
        <f t="shared" si="259"/>
        <v>0</v>
      </c>
      <c r="DI138" s="25">
        <f t="shared" si="260"/>
        <v>0</v>
      </c>
      <c r="DJ138" s="25">
        <f>IF(ISBLANK(J138),0,ISERROR(MATCH(J138,'5  Control Accounts'!$FA$29:$FA$96,0))*1)</f>
        <v>0</v>
      </c>
      <c r="DK138" s="25">
        <f t="shared" si="261"/>
        <v>0</v>
      </c>
      <c r="DL138" s="25">
        <f t="shared" si="207"/>
        <v>-1</v>
      </c>
      <c r="DM138" s="25" t="e">
        <f t="array" ref="DM138">MATCH(1,($EG138:$JD138&gt;0)*$EG$17:$JD$17,0)</f>
        <v>#N/A</v>
      </c>
      <c r="DN138" s="25" t="e">
        <f t="shared" si="208"/>
        <v>#N/A</v>
      </c>
      <c r="DO138" s="25" t="e">
        <f t="array" ref="DO138">MATCH(2,1/(EG138:JD138&gt;0))</f>
        <v>#N/A</v>
      </c>
      <c r="DP138" s="2993">
        <f t="shared" si="262"/>
        <v>0</v>
      </c>
      <c r="DQ138" s="3037">
        <f t="shared" si="263"/>
        <v>0</v>
      </c>
      <c r="DR138" s="111"/>
      <c r="DS138" s="1268">
        <f t="shared" si="209"/>
        <v>0</v>
      </c>
      <c r="DT138" s="1825"/>
      <c r="DU138" s="1826"/>
      <c r="DV138" s="1827"/>
      <c r="DW138" s="1828"/>
      <c r="DX138" s="659"/>
      <c r="DY138" s="1265"/>
      <c r="DZ138" s="1785">
        <f t="shared" si="210"/>
        <v>0</v>
      </c>
      <c r="EA138" s="1786">
        <f t="shared" si="211"/>
        <v>0</v>
      </c>
      <c r="EB138" s="1781">
        <f t="shared" si="212"/>
        <v>0</v>
      </c>
      <c r="EC138" s="1782">
        <f t="shared" si="213"/>
        <v>0</v>
      </c>
      <c r="ED138" s="1262"/>
      <c r="EE138" s="2280"/>
      <c r="EF138" s="1802"/>
      <c r="EG138" s="167"/>
      <c r="EH138" s="168"/>
      <c r="EI138" s="168"/>
      <c r="EJ138" s="168"/>
      <c r="EK138" s="168"/>
      <c r="EL138" s="168"/>
      <c r="EM138" s="168"/>
      <c r="EN138" s="168"/>
      <c r="EO138" s="168"/>
      <c r="EP138" s="168"/>
      <c r="EQ138" s="168"/>
      <c r="ER138" s="168"/>
      <c r="ES138" s="168"/>
      <c r="ET138" s="168"/>
      <c r="EU138" s="168"/>
      <c r="EV138" s="168"/>
      <c r="EW138" s="168"/>
      <c r="EX138" s="168"/>
      <c r="EY138" s="168"/>
      <c r="EZ138" s="168"/>
      <c r="FA138" s="168"/>
      <c r="FB138" s="168"/>
      <c r="FC138" s="168"/>
      <c r="FD138" s="168"/>
      <c r="FE138" s="168"/>
      <c r="FF138" s="168"/>
      <c r="FG138" s="168"/>
      <c r="FH138" s="168"/>
      <c r="FI138" s="168"/>
      <c r="FJ138" s="168"/>
      <c r="FK138" s="168"/>
      <c r="FL138" s="168"/>
      <c r="FM138" s="168"/>
      <c r="FN138" s="168"/>
      <c r="FO138" s="168"/>
      <c r="FP138" s="168"/>
      <c r="FQ138" s="168"/>
      <c r="FR138" s="168"/>
      <c r="FS138" s="168"/>
      <c r="FT138" s="168"/>
      <c r="FU138" s="168"/>
      <c r="FV138" s="168"/>
      <c r="FW138" s="168"/>
      <c r="FX138" s="168"/>
      <c r="FY138" s="168"/>
      <c r="FZ138" s="168"/>
      <c r="GA138" s="168"/>
      <c r="GB138" s="168"/>
      <c r="GC138" s="168"/>
      <c r="GD138" s="168"/>
      <c r="GE138" s="168"/>
      <c r="GF138" s="168"/>
      <c r="GG138" s="168"/>
      <c r="GH138" s="168"/>
      <c r="GI138" s="168"/>
      <c r="GJ138" s="168"/>
      <c r="GK138" s="168"/>
      <c r="GL138" s="168"/>
      <c r="GM138" s="168"/>
      <c r="GN138" s="168"/>
      <c r="GO138" s="168"/>
      <c r="GP138" s="168"/>
      <c r="GQ138" s="168"/>
      <c r="GR138" s="168"/>
      <c r="GS138" s="168"/>
      <c r="GT138" s="168"/>
      <c r="GU138" s="168"/>
      <c r="GV138" s="168"/>
      <c r="GW138" s="168"/>
      <c r="GX138" s="168"/>
      <c r="GY138" s="168"/>
      <c r="GZ138" s="168"/>
      <c r="HA138" s="168"/>
      <c r="HB138" s="168"/>
      <c r="HC138" s="168"/>
      <c r="HD138" s="168"/>
      <c r="HE138" s="168"/>
      <c r="HF138" s="168"/>
      <c r="HG138" s="168"/>
      <c r="HH138" s="168"/>
      <c r="HI138" s="168"/>
      <c r="HJ138" s="168"/>
      <c r="HK138" s="168"/>
      <c r="HL138" s="168"/>
      <c r="HM138" s="168"/>
      <c r="HN138" s="168"/>
      <c r="HO138" s="168"/>
      <c r="HP138" s="168"/>
      <c r="HQ138" s="168"/>
      <c r="HR138" s="168"/>
      <c r="HS138" s="168"/>
      <c r="HT138" s="168"/>
      <c r="HU138" s="168"/>
      <c r="HV138" s="168"/>
      <c r="HW138" s="168"/>
      <c r="HX138" s="168"/>
      <c r="HY138" s="168"/>
      <c r="HZ138" s="168"/>
      <c r="IA138" s="168"/>
      <c r="IB138" s="168"/>
      <c r="IC138" s="168"/>
      <c r="ID138" s="168"/>
      <c r="IE138" s="168"/>
      <c r="IF138" s="168"/>
      <c r="IG138" s="168"/>
      <c r="IH138" s="168"/>
      <c r="II138" s="168"/>
      <c r="IJ138" s="168"/>
      <c r="IK138" s="168"/>
      <c r="IL138" s="168"/>
      <c r="IM138" s="168"/>
      <c r="IN138" s="168"/>
      <c r="IO138" s="168"/>
      <c r="IP138" s="168"/>
      <c r="IQ138" s="168"/>
      <c r="IR138" s="168"/>
      <c r="IS138" s="168"/>
      <c r="IT138" s="168"/>
      <c r="IU138" s="168"/>
      <c r="IV138" s="168"/>
      <c r="IW138" s="168"/>
      <c r="IX138" s="168"/>
      <c r="IY138" s="168"/>
      <c r="IZ138" s="168"/>
      <c r="JA138" s="168"/>
      <c r="JB138" s="168"/>
      <c r="JC138" s="606"/>
      <c r="JD138" s="609"/>
      <c r="JE138" s="1"/>
      <c r="JF138" s="1"/>
    </row>
    <row r="139" spans="1:266" s="2" customFormat="1" ht="15" customHeight="1" x14ac:dyDescent="0.25">
      <c r="A139" s="283"/>
      <c r="B139" s="303"/>
      <c r="C139" s="301"/>
      <c r="D139" s="638"/>
      <c r="E139" s="2298"/>
      <c r="F139" s="1812"/>
      <c r="G139" s="3342"/>
      <c r="H139" s="66"/>
      <c r="I139" s="1746"/>
      <c r="J139" s="86"/>
      <c r="K139" s="105"/>
      <c r="L139" s="91"/>
      <c r="M139" s="92"/>
      <c r="N139" s="93"/>
      <c r="O139" s="94"/>
      <c r="P139" s="96"/>
      <c r="Q139" s="95"/>
      <c r="R139" s="993">
        <f t="shared" si="198"/>
        <v>0</v>
      </c>
      <c r="S139" s="23">
        <f t="shared" si="214"/>
        <v>0</v>
      </c>
      <c r="T139" s="24">
        <f t="shared" si="215"/>
        <v>0</v>
      </c>
      <c r="U139" s="24">
        <f t="shared" si="199"/>
        <v>0</v>
      </c>
      <c r="V139" s="24">
        <f t="shared" si="216"/>
        <v>0</v>
      </c>
      <c r="W139" s="24">
        <f t="shared" si="217"/>
        <v>0</v>
      </c>
      <c r="X139" s="72">
        <f t="shared" si="218"/>
        <v>0</v>
      </c>
      <c r="Y139" s="72">
        <f t="shared" si="219"/>
        <v>0</v>
      </c>
      <c r="Z139" s="24">
        <f t="shared" si="200"/>
        <v>0</v>
      </c>
      <c r="AA139" s="72">
        <f t="shared" si="220"/>
        <v>0</v>
      </c>
      <c r="AB139" s="24">
        <f t="shared" si="221"/>
        <v>0</v>
      </c>
      <c r="AC139" s="24" t="s">
        <v>5</v>
      </c>
      <c r="AD139" s="25">
        <f t="shared" si="201"/>
        <v>3</v>
      </c>
      <c r="AE139" s="25">
        <f t="shared" si="202"/>
        <v>0</v>
      </c>
      <c r="AF139" s="25">
        <f t="shared" si="203"/>
        <v>0</v>
      </c>
      <c r="AG139" s="25">
        <f t="shared" si="222"/>
        <v>1</v>
      </c>
      <c r="AH139" s="25" t="str">
        <f>IFERROR(MATCH(DY139,'2 Staff List'!$IA$64:$IA$114,0),"x")</f>
        <v>x</v>
      </c>
      <c r="AI139" s="1181">
        <f>IFERROR(INDEX('2 Staff List'!$EX$64:$EX$114,$AH139),0)</f>
        <v>0</v>
      </c>
      <c r="AJ139" s="25">
        <f>IFERROR(INDEX('2 Staff List'!$IW$64:$IW$114,$AH139),0)</f>
        <v>0</v>
      </c>
      <c r="AK139" s="25">
        <f>IFERROR(INDEX('2 Staff List'!$IB$64:$IB$114,$AH139),0)</f>
        <v>0</v>
      </c>
      <c r="AL139" s="25">
        <f>IF(OR(NOT(ISBLANK(DV139)),CX139=1),"&lt;Non-Labor&gt;",IFERROR(IF(AH139=0,0,INDEX('2 Staff List'!$HZ$64:$HZ$114,$AH139)),0))</f>
        <v>0</v>
      </c>
      <c r="AM139" s="25">
        <f>IFERROR(INDEX('2 Staff List'!$HW$64:$HW$114,$AH139),0)</f>
        <v>0</v>
      </c>
      <c r="AN139" s="25">
        <f t="shared" si="223"/>
        <v>1</v>
      </c>
      <c r="AO139" s="25">
        <f>IF($AO$127=0,0,IFERROR(INDEX('2 Staff List'!$JH$64:$JH$114,$AH139),0))</f>
        <v>0</v>
      </c>
      <c r="AP139" s="25">
        <f>IFERROR(INDEX('2 Staff List'!$HU$64:$HU$114,$AH139),0)</f>
        <v>0</v>
      </c>
      <c r="AQ139" s="25">
        <f t="shared" si="224"/>
        <v>0</v>
      </c>
      <c r="AR139" s="25">
        <f t="shared" si="225"/>
        <v>0</v>
      </c>
      <c r="AS139" s="25">
        <f t="shared" si="226"/>
        <v>0</v>
      </c>
      <c r="AT139" s="25">
        <f t="shared" si="227"/>
        <v>0</v>
      </c>
      <c r="AU139" s="25">
        <f t="shared" si="228"/>
        <v>0</v>
      </c>
      <c r="AV139" s="25">
        <f t="shared" si="229"/>
        <v>0</v>
      </c>
      <c r="AW139" s="25">
        <f t="shared" si="230"/>
        <v>0</v>
      </c>
      <c r="AX139" s="25">
        <f t="shared" si="231"/>
        <v>0</v>
      </c>
      <c r="AY139" s="25">
        <f t="shared" si="232"/>
        <v>0</v>
      </c>
      <c r="AZ139" s="25">
        <f t="shared" si="233"/>
        <v>0</v>
      </c>
      <c r="BA139" s="25">
        <f t="shared" si="234"/>
        <v>0</v>
      </c>
      <c r="BB139" s="25">
        <f t="shared" si="235"/>
        <v>0</v>
      </c>
      <c r="BC139" s="25">
        <f>IFERROR(INDEX('2 Staff List'!KS$64:KS$114,$AH139),0)</f>
        <v>0</v>
      </c>
      <c r="BD139" s="25">
        <f>IFERROR(INDEX('2 Staff List'!KT$64:KT$114,$AH139),0)</f>
        <v>0</v>
      </c>
      <c r="BE139" s="25">
        <f>IFERROR(INDEX('2 Staff List'!KU$64:KU$114,$AH139),0)</f>
        <v>0</v>
      </c>
      <c r="BF139" s="25">
        <f>IFERROR(INDEX('2 Staff List'!KV$64:KV$114,$AH139),0)</f>
        <v>0</v>
      </c>
      <c r="BG139" s="25">
        <f>IFERROR(INDEX('2 Staff List'!KW$64:KW$114,$AH139),0)</f>
        <v>0</v>
      </c>
      <c r="BH139" s="25">
        <f>IFERROR(INDEX('2 Staff List'!KX$64:KX$114,$AH139),0)</f>
        <v>0</v>
      </c>
      <c r="BI139" s="25">
        <f>IFERROR(INDEX('2 Staff List'!KY$64:KY$114,$AH139),0)</f>
        <v>0</v>
      </c>
      <c r="BJ139" s="25">
        <f>IFERROR(INDEX('2 Staff List'!KZ$64:KZ$114,$AH139),0)</f>
        <v>0</v>
      </c>
      <c r="BK139" s="25">
        <f>IFERROR(INDEX('2 Staff List'!LA$64:LA$114,$AH139),0)</f>
        <v>0</v>
      </c>
      <c r="BL139" s="25">
        <f>IFERROR(INDEX('2 Staff List'!LB$64:LB$114,$AH139),0)</f>
        <v>0</v>
      </c>
      <c r="BM139" s="25">
        <f>IFERROR(INDEX('2 Staff List'!FT$64:FT$114,$AH139),0)</f>
        <v>0</v>
      </c>
      <c r="BN139" s="25">
        <f>IFERROR(INDEX('2 Staff List'!FU$64:FU$114,$AH139),0)</f>
        <v>0</v>
      </c>
      <c r="BO139" s="25">
        <f>IFERROR(INDEX('2 Staff List'!FV$64:FV$114,$AH139),0)</f>
        <v>0</v>
      </c>
      <c r="BP139" s="25">
        <f>IFERROR(INDEX('2 Staff List'!FW$64:FW$114,$AH139),0)</f>
        <v>0</v>
      </c>
      <c r="BQ139" s="25">
        <f>IFERROR(INDEX('2 Staff List'!FX$64:FX$114,$AH139),0)</f>
        <v>0</v>
      </c>
      <c r="BR139" s="25">
        <f>IFERROR(INDEX('2 Staff List'!FY$64:FY$114,$AH139),0)</f>
        <v>0</v>
      </c>
      <c r="BS139" s="25">
        <f>IFERROR(INDEX('2 Staff List'!FZ$64:FZ$114,$AH139),0)</f>
        <v>0</v>
      </c>
      <c r="BT139" s="25">
        <f>IFERROR(INDEX('2 Staff List'!GA$64:GA$114,$AH139),0)</f>
        <v>0</v>
      </c>
      <c r="BU139" s="25">
        <f>IFERROR(INDEX('2 Staff List'!GB$64:GB$114,$AH139),0)</f>
        <v>0</v>
      </c>
      <c r="BV139" s="25">
        <f>IFERROR(INDEX('2 Staff List'!GC$64:GC$114,$AH139),0)</f>
        <v>0</v>
      </c>
      <c r="BW139" s="25">
        <f t="shared" si="236"/>
        <v>0</v>
      </c>
      <c r="BX139" s="25">
        <f t="shared" si="237"/>
        <v>0</v>
      </c>
      <c r="BY139" s="25">
        <f t="shared" si="238"/>
        <v>0</v>
      </c>
      <c r="BZ139" s="25">
        <f t="shared" si="239"/>
        <v>0</v>
      </c>
      <c r="CA139" s="25">
        <f t="shared" si="240"/>
        <v>0</v>
      </c>
      <c r="CB139" s="25">
        <f t="shared" si="241"/>
        <v>0</v>
      </c>
      <c r="CC139" s="25">
        <f t="shared" si="242"/>
        <v>0</v>
      </c>
      <c r="CD139" s="25">
        <f t="shared" si="243"/>
        <v>0</v>
      </c>
      <c r="CE139" s="25">
        <f t="shared" si="244"/>
        <v>0</v>
      </c>
      <c r="CF139" s="25">
        <f t="shared" si="245"/>
        <v>0</v>
      </c>
      <c r="CG139" s="25">
        <f t="shared" si="246"/>
        <v>0</v>
      </c>
      <c r="CH139" s="25">
        <f>IFERROR(INDEX('2 Staff List'!LO$64:LO$114,$AH139),0)</f>
        <v>0</v>
      </c>
      <c r="CI139" s="25">
        <f>IFERROR(INDEX('2 Staff List'!LP$64:LP$114,$AH139),0)</f>
        <v>0</v>
      </c>
      <c r="CJ139" s="25">
        <f>IFERROR(INDEX('2 Staff List'!LQ$64:LQ$114,$AH139),0)</f>
        <v>0</v>
      </c>
      <c r="CK139" s="25">
        <f>IFERROR(INDEX('2 Staff List'!LR$64:LR$114,$AH139),0)</f>
        <v>0</v>
      </c>
      <c r="CL139" s="25">
        <f>IFERROR(INDEX('2 Staff List'!LS$64:LS$114,$AH139),0)</f>
        <v>0</v>
      </c>
      <c r="CM139" s="25">
        <f>IFERROR(INDEX('2 Staff List'!LT$64:LT$114,$AH139),0)</f>
        <v>0</v>
      </c>
      <c r="CN139" s="25">
        <f>IFERROR(INDEX('2 Staff List'!LU$64:LU$114,$AH139),0)</f>
        <v>0</v>
      </c>
      <c r="CO139" s="25">
        <f>IFERROR(INDEX('2 Staff List'!LV$64:LV$114,$AH139),0)</f>
        <v>0</v>
      </c>
      <c r="CP139" s="25">
        <f>IFERROR(INDEX('2 Staff List'!LW$64:LW$114,$AH139),0)</f>
        <v>0</v>
      </c>
      <c r="CQ139" s="25">
        <f>IFERROR(INDEX('2 Staff List'!LX$64:LX$114,$AH139),0)</f>
        <v>0</v>
      </c>
      <c r="CR139" s="25">
        <f t="shared" si="204"/>
        <v>0</v>
      </c>
      <c r="CS139" s="25">
        <f>IFERROR(1/CR139,1)</f>
        <v>1</v>
      </c>
      <c r="CT139" s="25">
        <f t="shared" si="248"/>
        <v>1</v>
      </c>
      <c r="CU139" s="25">
        <f t="shared" si="249"/>
        <v>1</v>
      </c>
      <c r="CV139" s="25">
        <f t="shared" si="250"/>
        <v>1</v>
      </c>
      <c r="CW139" s="25">
        <f t="shared" si="251"/>
        <v>1</v>
      </c>
      <c r="CX139" s="25">
        <f t="shared" si="252"/>
        <v>0</v>
      </c>
      <c r="CY139" s="25">
        <f t="shared" si="253"/>
        <v>0</v>
      </c>
      <c r="CZ139" s="25">
        <f t="shared" si="254"/>
        <v>0</v>
      </c>
      <c r="DA139" s="25">
        <f t="shared" si="255"/>
        <v>1</v>
      </c>
      <c r="DB139" s="25">
        <f t="shared" si="205"/>
        <v>1</v>
      </c>
      <c r="DC139" s="25">
        <f t="shared" si="256"/>
        <v>0</v>
      </c>
      <c r="DD139" s="25">
        <f>IF(OR($AD139&lt;&gt;3,F139="Exclude"),0,IF(ISERROR(MATCH($E139,'4 Sign-off'!$S$123:$X$123,0)),0,1))</f>
        <v>0</v>
      </c>
      <c r="DE139" s="25">
        <f t="shared" si="206"/>
        <v>0</v>
      </c>
      <c r="DF139" s="25">
        <f t="shared" si="257"/>
        <v>0</v>
      </c>
      <c r="DG139" s="25" t="str">
        <f t="shared" si="258"/>
        <v/>
      </c>
      <c r="DH139" s="25">
        <f t="shared" si="259"/>
        <v>0</v>
      </c>
      <c r="DI139" s="25">
        <f t="shared" si="260"/>
        <v>0</v>
      </c>
      <c r="DJ139" s="25">
        <f>IF(ISBLANK(J139),0,ISERROR(MATCH(J139,'5  Control Accounts'!$FA$29:$FA$96,0))*1)</f>
        <v>0</v>
      </c>
      <c r="DK139" s="25">
        <f t="shared" si="261"/>
        <v>0</v>
      </c>
      <c r="DL139" s="25">
        <f t="shared" si="207"/>
        <v>-1</v>
      </c>
      <c r="DM139" s="25" t="e">
        <f t="array" ref="DM139">MATCH(1,($EG139:$JD139&gt;0)*$EG$17:$JD$17,0)</f>
        <v>#N/A</v>
      </c>
      <c r="DN139" s="25" t="e">
        <f t="shared" si="208"/>
        <v>#N/A</v>
      </c>
      <c r="DO139" s="25" t="e">
        <f t="array" ref="DO139">MATCH(2,1/(EG139:JD139&gt;0))</f>
        <v>#N/A</v>
      </c>
      <c r="DP139" s="2993">
        <f t="shared" si="262"/>
        <v>0</v>
      </c>
      <c r="DQ139" s="3037">
        <f t="shared" si="263"/>
        <v>0</v>
      </c>
      <c r="DR139" s="111"/>
      <c r="DS139" s="1268">
        <f t="shared" si="209"/>
        <v>0</v>
      </c>
      <c r="DT139" s="1825"/>
      <c r="DU139" s="1826"/>
      <c r="DV139" s="1827"/>
      <c r="DW139" s="1828"/>
      <c r="DX139" s="659"/>
      <c r="DY139" s="1265"/>
      <c r="DZ139" s="1785">
        <f t="shared" si="210"/>
        <v>0</v>
      </c>
      <c r="EA139" s="1786">
        <f t="shared" si="211"/>
        <v>0</v>
      </c>
      <c r="EB139" s="1781">
        <f t="shared" si="212"/>
        <v>0</v>
      </c>
      <c r="EC139" s="1782">
        <f t="shared" si="213"/>
        <v>0</v>
      </c>
      <c r="ED139" s="1262"/>
      <c r="EE139" s="2280"/>
      <c r="EF139" s="1802"/>
      <c r="EG139" s="167"/>
      <c r="EH139" s="168"/>
      <c r="EI139" s="168"/>
      <c r="EJ139" s="168"/>
      <c r="EK139" s="168"/>
      <c r="EL139" s="168"/>
      <c r="EM139" s="168"/>
      <c r="EN139" s="168"/>
      <c r="EO139" s="168"/>
      <c r="EP139" s="168"/>
      <c r="EQ139" s="168"/>
      <c r="ER139" s="168"/>
      <c r="ES139" s="168"/>
      <c r="ET139" s="168"/>
      <c r="EU139" s="168"/>
      <c r="EV139" s="168"/>
      <c r="EW139" s="168"/>
      <c r="EX139" s="168"/>
      <c r="EY139" s="168"/>
      <c r="EZ139" s="168"/>
      <c r="FA139" s="168"/>
      <c r="FB139" s="168"/>
      <c r="FC139" s="168"/>
      <c r="FD139" s="168"/>
      <c r="FE139" s="168"/>
      <c r="FF139" s="168"/>
      <c r="FG139" s="168"/>
      <c r="FH139" s="168"/>
      <c r="FI139" s="168"/>
      <c r="FJ139" s="168"/>
      <c r="FK139" s="168"/>
      <c r="FL139" s="168"/>
      <c r="FM139" s="168"/>
      <c r="FN139" s="168"/>
      <c r="FO139" s="168"/>
      <c r="FP139" s="168"/>
      <c r="FQ139" s="168"/>
      <c r="FR139" s="168"/>
      <c r="FS139" s="168"/>
      <c r="FT139" s="168"/>
      <c r="FU139" s="168"/>
      <c r="FV139" s="168"/>
      <c r="FW139" s="168"/>
      <c r="FX139" s="168"/>
      <c r="FY139" s="168"/>
      <c r="FZ139" s="168"/>
      <c r="GA139" s="168"/>
      <c r="GB139" s="168"/>
      <c r="GC139" s="168"/>
      <c r="GD139" s="168"/>
      <c r="GE139" s="168"/>
      <c r="GF139" s="168"/>
      <c r="GG139" s="168"/>
      <c r="GH139" s="168"/>
      <c r="GI139" s="168"/>
      <c r="GJ139" s="168"/>
      <c r="GK139" s="168"/>
      <c r="GL139" s="168"/>
      <c r="GM139" s="168"/>
      <c r="GN139" s="168"/>
      <c r="GO139" s="168"/>
      <c r="GP139" s="168"/>
      <c r="GQ139" s="168"/>
      <c r="GR139" s="168"/>
      <c r="GS139" s="168"/>
      <c r="GT139" s="168"/>
      <c r="GU139" s="168"/>
      <c r="GV139" s="168"/>
      <c r="GW139" s="168"/>
      <c r="GX139" s="168"/>
      <c r="GY139" s="168"/>
      <c r="GZ139" s="168"/>
      <c r="HA139" s="168"/>
      <c r="HB139" s="168"/>
      <c r="HC139" s="168"/>
      <c r="HD139" s="168"/>
      <c r="HE139" s="168"/>
      <c r="HF139" s="168"/>
      <c r="HG139" s="168"/>
      <c r="HH139" s="168"/>
      <c r="HI139" s="168"/>
      <c r="HJ139" s="168"/>
      <c r="HK139" s="168"/>
      <c r="HL139" s="168"/>
      <c r="HM139" s="168"/>
      <c r="HN139" s="168"/>
      <c r="HO139" s="168"/>
      <c r="HP139" s="168"/>
      <c r="HQ139" s="168"/>
      <c r="HR139" s="168"/>
      <c r="HS139" s="168"/>
      <c r="HT139" s="168"/>
      <c r="HU139" s="168"/>
      <c r="HV139" s="168"/>
      <c r="HW139" s="168"/>
      <c r="HX139" s="168"/>
      <c r="HY139" s="168"/>
      <c r="HZ139" s="168"/>
      <c r="IA139" s="168"/>
      <c r="IB139" s="168"/>
      <c r="IC139" s="168"/>
      <c r="ID139" s="168"/>
      <c r="IE139" s="168"/>
      <c r="IF139" s="168"/>
      <c r="IG139" s="168"/>
      <c r="IH139" s="168"/>
      <c r="II139" s="168"/>
      <c r="IJ139" s="168"/>
      <c r="IK139" s="168"/>
      <c r="IL139" s="168"/>
      <c r="IM139" s="168"/>
      <c r="IN139" s="168"/>
      <c r="IO139" s="168"/>
      <c r="IP139" s="168"/>
      <c r="IQ139" s="168"/>
      <c r="IR139" s="168"/>
      <c r="IS139" s="168"/>
      <c r="IT139" s="168"/>
      <c r="IU139" s="168"/>
      <c r="IV139" s="168"/>
      <c r="IW139" s="168"/>
      <c r="IX139" s="168"/>
      <c r="IY139" s="168"/>
      <c r="IZ139" s="168"/>
      <c r="JA139" s="168"/>
      <c r="JB139" s="168"/>
      <c r="JC139" s="606"/>
      <c r="JD139" s="609"/>
      <c r="JE139" s="1"/>
      <c r="JF139" s="1"/>
    </row>
    <row r="140" spans="1:266" s="2" customFormat="1" ht="15" customHeight="1" x14ac:dyDescent="0.25">
      <c r="A140" s="283"/>
      <c r="B140" s="303"/>
      <c r="C140" s="301"/>
      <c r="D140" s="638"/>
      <c r="E140" s="2298"/>
      <c r="F140" s="1812"/>
      <c r="G140" s="3342"/>
      <c r="H140" s="66"/>
      <c r="I140" s="1746"/>
      <c r="J140" s="86"/>
      <c r="K140" s="105"/>
      <c r="L140" s="91"/>
      <c r="M140" s="92"/>
      <c r="N140" s="93"/>
      <c r="O140" s="94"/>
      <c r="P140" s="96"/>
      <c r="Q140" s="95"/>
      <c r="R140" s="993">
        <f t="shared" si="198"/>
        <v>0</v>
      </c>
      <c r="S140" s="23">
        <f t="shared" si="214"/>
        <v>0</v>
      </c>
      <c r="T140" s="24">
        <f t="shared" si="215"/>
        <v>0</v>
      </c>
      <c r="U140" s="24">
        <f t="shared" si="199"/>
        <v>0</v>
      </c>
      <c r="V140" s="24">
        <f t="shared" si="216"/>
        <v>0</v>
      </c>
      <c r="W140" s="24">
        <f t="shared" si="217"/>
        <v>0</v>
      </c>
      <c r="X140" s="72">
        <f t="shared" si="218"/>
        <v>0</v>
      </c>
      <c r="Y140" s="72">
        <f t="shared" si="219"/>
        <v>0</v>
      </c>
      <c r="Z140" s="24">
        <f t="shared" si="200"/>
        <v>0</v>
      </c>
      <c r="AA140" s="72">
        <f t="shared" si="220"/>
        <v>0</v>
      </c>
      <c r="AB140" s="24">
        <f t="shared" si="221"/>
        <v>0</v>
      </c>
      <c r="AC140" s="24" t="s">
        <v>5</v>
      </c>
      <c r="AD140" s="25">
        <f t="shared" si="201"/>
        <v>3</v>
      </c>
      <c r="AE140" s="25">
        <f t="shared" si="202"/>
        <v>0</v>
      </c>
      <c r="AF140" s="25">
        <f t="shared" si="203"/>
        <v>0</v>
      </c>
      <c r="AG140" s="25">
        <f t="shared" si="222"/>
        <v>1</v>
      </c>
      <c r="AH140" s="25" t="str">
        <f>IFERROR(MATCH(DY140,'2 Staff List'!$IA$64:$IA$114,0),"x")</f>
        <v>x</v>
      </c>
      <c r="AI140" s="1181">
        <f>IFERROR(INDEX('2 Staff List'!$EX$64:$EX$114,$AH140),0)</f>
        <v>0</v>
      </c>
      <c r="AJ140" s="25">
        <f>IFERROR(INDEX('2 Staff List'!$IW$64:$IW$114,$AH140),0)</f>
        <v>0</v>
      </c>
      <c r="AK140" s="25">
        <f>IFERROR(INDEX('2 Staff List'!$IB$64:$IB$114,$AH140),0)</f>
        <v>0</v>
      </c>
      <c r="AL140" s="25">
        <f>IF(OR(NOT(ISBLANK(DV140)),CX140=1),"&lt;Non-Labor&gt;",IFERROR(IF(AH140=0,0,INDEX('2 Staff List'!$HZ$64:$HZ$114,$AH140)),0))</f>
        <v>0</v>
      </c>
      <c r="AM140" s="25">
        <f>IFERROR(INDEX('2 Staff List'!$HW$64:$HW$114,$AH140),0)</f>
        <v>0</v>
      </c>
      <c r="AN140" s="25">
        <f t="shared" si="223"/>
        <v>1</v>
      </c>
      <c r="AO140" s="25">
        <f>IF($AO$127=0,0,IFERROR(INDEX('2 Staff List'!$JH$64:$JH$114,$AH140),0))</f>
        <v>0</v>
      </c>
      <c r="AP140" s="25">
        <f>IFERROR(INDEX('2 Staff List'!$HU$64:$HU$114,$AH140),0)</f>
        <v>0</v>
      </c>
      <c r="AQ140" s="25">
        <f t="shared" si="224"/>
        <v>0</v>
      </c>
      <c r="AR140" s="25">
        <f t="shared" si="225"/>
        <v>0</v>
      </c>
      <c r="AS140" s="25">
        <f t="shared" si="226"/>
        <v>0</v>
      </c>
      <c r="AT140" s="25">
        <f t="shared" si="227"/>
        <v>0</v>
      </c>
      <c r="AU140" s="25">
        <f t="shared" si="228"/>
        <v>0</v>
      </c>
      <c r="AV140" s="25">
        <f t="shared" si="229"/>
        <v>0</v>
      </c>
      <c r="AW140" s="25">
        <f t="shared" si="230"/>
        <v>0</v>
      </c>
      <c r="AX140" s="25">
        <f t="shared" si="231"/>
        <v>0</v>
      </c>
      <c r="AY140" s="25">
        <f t="shared" si="232"/>
        <v>0</v>
      </c>
      <c r="AZ140" s="25">
        <f t="shared" si="233"/>
        <v>0</v>
      </c>
      <c r="BA140" s="25">
        <f t="shared" si="234"/>
        <v>0</v>
      </c>
      <c r="BB140" s="25">
        <f t="shared" si="235"/>
        <v>0</v>
      </c>
      <c r="BC140" s="25">
        <f>IFERROR(INDEX('2 Staff List'!KS$64:KS$114,$AH140),0)</f>
        <v>0</v>
      </c>
      <c r="BD140" s="25">
        <f>IFERROR(INDEX('2 Staff List'!KT$64:KT$114,$AH140),0)</f>
        <v>0</v>
      </c>
      <c r="BE140" s="25">
        <f>IFERROR(INDEX('2 Staff List'!KU$64:KU$114,$AH140),0)</f>
        <v>0</v>
      </c>
      <c r="BF140" s="25">
        <f>IFERROR(INDEX('2 Staff List'!KV$64:KV$114,$AH140),0)</f>
        <v>0</v>
      </c>
      <c r="BG140" s="25">
        <f>IFERROR(INDEX('2 Staff List'!KW$64:KW$114,$AH140),0)</f>
        <v>0</v>
      </c>
      <c r="BH140" s="25">
        <f>IFERROR(INDEX('2 Staff List'!KX$64:KX$114,$AH140),0)</f>
        <v>0</v>
      </c>
      <c r="BI140" s="25">
        <f>IFERROR(INDEX('2 Staff List'!KY$64:KY$114,$AH140),0)</f>
        <v>0</v>
      </c>
      <c r="BJ140" s="25">
        <f>IFERROR(INDEX('2 Staff List'!KZ$64:KZ$114,$AH140),0)</f>
        <v>0</v>
      </c>
      <c r="BK140" s="25">
        <f>IFERROR(INDEX('2 Staff List'!LA$64:LA$114,$AH140),0)</f>
        <v>0</v>
      </c>
      <c r="BL140" s="25">
        <f>IFERROR(INDEX('2 Staff List'!LB$64:LB$114,$AH140),0)</f>
        <v>0</v>
      </c>
      <c r="BM140" s="25">
        <f>IFERROR(INDEX('2 Staff List'!FT$64:FT$114,$AH140),0)</f>
        <v>0</v>
      </c>
      <c r="BN140" s="25">
        <f>IFERROR(INDEX('2 Staff List'!FU$64:FU$114,$AH140),0)</f>
        <v>0</v>
      </c>
      <c r="BO140" s="25">
        <f>IFERROR(INDEX('2 Staff List'!FV$64:FV$114,$AH140),0)</f>
        <v>0</v>
      </c>
      <c r="BP140" s="25">
        <f>IFERROR(INDEX('2 Staff List'!FW$64:FW$114,$AH140),0)</f>
        <v>0</v>
      </c>
      <c r="BQ140" s="25">
        <f>IFERROR(INDEX('2 Staff List'!FX$64:FX$114,$AH140),0)</f>
        <v>0</v>
      </c>
      <c r="BR140" s="25">
        <f>IFERROR(INDEX('2 Staff List'!FY$64:FY$114,$AH140),0)</f>
        <v>0</v>
      </c>
      <c r="BS140" s="25">
        <f>IFERROR(INDEX('2 Staff List'!FZ$64:FZ$114,$AH140),0)</f>
        <v>0</v>
      </c>
      <c r="BT140" s="25">
        <f>IFERROR(INDEX('2 Staff List'!GA$64:GA$114,$AH140),0)</f>
        <v>0</v>
      </c>
      <c r="BU140" s="25">
        <f>IFERROR(INDEX('2 Staff List'!GB$64:GB$114,$AH140),0)</f>
        <v>0</v>
      </c>
      <c r="BV140" s="25">
        <f>IFERROR(INDEX('2 Staff List'!GC$64:GC$114,$AH140),0)</f>
        <v>0</v>
      </c>
      <c r="BW140" s="25">
        <f t="shared" si="236"/>
        <v>0</v>
      </c>
      <c r="BX140" s="25">
        <f t="shared" si="237"/>
        <v>0</v>
      </c>
      <c r="BY140" s="25">
        <f t="shared" si="238"/>
        <v>0</v>
      </c>
      <c r="BZ140" s="25">
        <f t="shared" si="239"/>
        <v>0</v>
      </c>
      <c r="CA140" s="25">
        <f t="shared" si="240"/>
        <v>0</v>
      </c>
      <c r="CB140" s="25">
        <f t="shared" si="241"/>
        <v>0</v>
      </c>
      <c r="CC140" s="25">
        <f t="shared" si="242"/>
        <v>0</v>
      </c>
      <c r="CD140" s="25">
        <f t="shared" si="243"/>
        <v>0</v>
      </c>
      <c r="CE140" s="25">
        <f t="shared" si="244"/>
        <v>0</v>
      </c>
      <c r="CF140" s="25">
        <f t="shared" si="245"/>
        <v>0</v>
      </c>
      <c r="CG140" s="25">
        <f t="shared" si="246"/>
        <v>0</v>
      </c>
      <c r="CH140" s="25">
        <f>IFERROR(INDEX('2 Staff List'!LO$64:LO$114,$AH140),0)</f>
        <v>0</v>
      </c>
      <c r="CI140" s="25">
        <f>IFERROR(INDEX('2 Staff List'!LP$64:LP$114,$AH140),0)</f>
        <v>0</v>
      </c>
      <c r="CJ140" s="25">
        <f>IFERROR(INDEX('2 Staff List'!LQ$64:LQ$114,$AH140),0)</f>
        <v>0</v>
      </c>
      <c r="CK140" s="25">
        <f>IFERROR(INDEX('2 Staff List'!LR$64:LR$114,$AH140),0)</f>
        <v>0</v>
      </c>
      <c r="CL140" s="25">
        <f>IFERROR(INDEX('2 Staff List'!LS$64:LS$114,$AH140),0)</f>
        <v>0</v>
      </c>
      <c r="CM140" s="25">
        <f>IFERROR(INDEX('2 Staff List'!LT$64:LT$114,$AH140),0)</f>
        <v>0</v>
      </c>
      <c r="CN140" s="25">
        <f>IFERROR(INDEX('2 Staff List'!LU$64:LU$114,$AH140),0)</f>
        <v>0</v>
      </c>
      <c r="CO140" s="25">
        <f>IFERROR(INDEX('2 Staff List'!LV$64:LV$114,$AH140),0)</f>
        <v>0</v>
      </c>
      <c r="CP140" s="25">
        <f>IFERROR(INDEX('2 Staff List'!LW$64:LW$114,$AH140),0)</f>
        <v>0</v>
      </c>
      <c r="CQ140" s="25">
        <f>IFERROR(INDEX('2 Staff List'!LX$64:LX$114,$AH140),0)</f>
        <v>0</v>
      </c>
      <c r="CR140" s="25">
        <f t="shared" si="204"/>
        <v>0</v>
      </c>
      <c r="CS140" s="25">
        <f t="shared" si="247"/>
        <v>1</v>
      </c>
      <c r="CT140" s="25">
        <f t="shared" si="248"/>
        <v>1</v>
      </c>
      <c r="CU140" s="25">
        <f t="shared" si="249"/>
        <v>1</v>
      </c>
      <c r="CV140" s="25">
        <f t="shared" si="250"/>
        <v>1</v>
      </c>
      <c r="CW140" s="25">
        <f t="shared" si="251"/>
        <v>1</v>
      </c>
      <c r="CX140" s="25">
        <f t="shared" si="252"/>
        <v>0</v>
      </c>
      <c r="CY140" s="25">
        <f t="shared" si="253"/>
        <v>0</v>
      </c>
      <c r="CZ140" s="25">
        <f t="shared" si="254"/>
        <v>0</v>
      </c>
      <c r="DA140" s="25">
        <f t="shared" si="255"/>
        <v>1</v>
      </c>
      <c r="DB140" s="25">
        <f t="shared" si="205"/>
        <v>1</v>
      </c>
      <c r="DC140" s="25">
        <f t="shared" si="256"/>
        <v>0</v>
      </c>
      <c r="DD140" s="25">
        <f>IF(OR($AD140&lt;&gt;3,F140="Exclude"),0,IF(ISERROR(MATCH($E140,'4 Sign-off'!$S$123:$X$123,0)),0,1))</f>
        <v>0</v>
      </c>
      <c r="DE140" s="25">
        <f t="shared" si="206"/>
        <v>0</v>
      </c>
      <c r="DF140" s="25">
        <f t="shared" si="257"/>
        <v>0</v>
      </c>
      <c r="DG140" s="25" t="str">
        <f t="shared" si="258"/>
        <v/>
      </c>
      <c r="DH140" s="25">
        <f t="shared" si="259"/>
        <v>0</v>
      </c>
      <c r="DI140" s="25">
        <f t="shared" si="260"/>
        <v>0</v>
      </c>
      <c r="DJ140" s="25">
        <f>IF(ISBLANK(J140),0,ISERROR(MATCH(J140,'5  Control Accounts'!$FA$29:$FA$96,0))*1)</f>
        <v>0</v>
      </c>
      <c r="DK140" s="25">
        <f t="shared" si="261"/>
        <v>0</v>
      </c>
      <c r="DL140" s="25">
        <f t="shared" si="207"/>
        <v>-1</v>
      </c>
      <c r="DM140" s="25" t="e">
        <f t="array" ref="DM140">MATCH(1,($EG140:$JD140&gt;0)*$EG$17:$JD$17,0)</f>
        <v>#N/A</v>
      </c>
      <c r="DN140" s="25" t="e">
        <f t="shared" si="208"/>
        <v>#N/A</v>
      </c>
      <c r="DO140" s="25" t="e">
        <f t="array" ref="DO140">MATCH(2,1/(EG140:JD140&gt;0))</f>
        <v>#N/A</v>
      </c>
      <c r="DP140" s="2993">
        <f t="shared" si="262"/>
        <v>0</v>
      </c>
      <c r="DQ140" s="3037">
        <f t="shared" si="263"/>
        <v>0</v>
      </c>
      <c r="DR140" s="111"/>
      <c r="DS140" s="1269">
        <f t="shared" si="209"/>
        <v>0</v>
      </c>
      <c r="DT140" s="1825"/>
      <c r="DU140" s="1826"/>
      <c r="DV140" s="1827"/>
      <c r="DW140" s="1828"/>
      <c r="DX140" s="659"/>
      <c r="DY140" s="1265"/>
      <c r="DZ140" s="1785">
        <f t="shared" si="210"/>
        <v>0</v>
      </c>
      <c r="EA140" s="1786">
        <f t="shared" si="211"/>
        <v>0</v>
      </c>
      <c r="EB140" s="1781">
        <f t="shared" si="212"/>
        <v>0</v>
      </c>
      <c r="EC140" s="1782">
        <f t="shared" si="213"/>
        <v>0</v>
      </c>
      <c r="ED140" s="1262"/>
      <c r="EE140" s="2280"/>
      <c r="EF140" s="1802"/>
      <c r="EG140" s="167"/>
      <c r="EH140" s="168"/>
      <c r="EI140" s="168"/>
      <c r="EJ140" s="168"/>
      <c r="EK140" s="168"/>
      <c r="EL140" s="168"/>
      <c r="EM140" s="168"/>
      <c r="EN140" s="168"/>
      <c r="EO140" s="168"/>
      <c r="EP140" s="168"/>
      <c r="EQ140" s="168"/>
      <c r="ER140" s="168"/>
      <c r="ES140" s="168"/>
      <c r="ET140" s="168"/>
      <c r="EU140" s="168"/>
      <c r="EV140" s="168"/>
      <c r="EW140" s="168"/>
      <c r="EX140" s="168"/>
      <c r="EY140" s="168"/>
      <c r="EZ140" s="168"/>
      <c r="FA140" s="168"/>
      <c r="FB140" s="168"/>
      <c r="FC140" s="168"/>
      <c r="FD140" s="168"/>
      <c r="FE140" s="168"/>
      <c r="FF140" s="168"/>
      <c r="FG140" s="168"/>
      <c r="FH140" s="168"/>
      <c r="FI140" s="168"/>
      <c r="FJ140" s="168"/>
      <c r="FK140" s="168"/>
      <c r="FL140" s="168"/>
      <c r="FM140" s="168"/>
      <c r="FN140" s="168"/>
      <c r="FO140" s="168"/>
      <c r="FP140" s="168"/>
      <c r="FQ140" s="168"/>
      <c r="FR140" s="168"/>
      <c r="FS140" s="168"/>
      <c r="FT140" s="168"/>
      <c r="FU140" s="168"/>
      <c r="FV140" s="168"/>
      <c r="FW140" s="168"/>
      <c r="FX140" s="168"/>
      <c r="FY140" s="168"/>
      <c r="FZ140" s="168"/>
      <c r="GA140" s="168"/>
      <c r="GB140" s="168"/>
      <c r="GC140" s="168"/>
      <c r="GD140" s="168"/>
      <c r="GE140" s="168"/>
      <c r="GF140" s="168"/>
      <c r="GG140" s="168"/>
      <c r="GH140" s="168"/>
      <c r="GI140" s="168"/>
      <c r="GJ140" s="168"/>
      <c r="GK140" s="168"/>
      <c r="GL140" s="168"/>
      <c r="GM140" s="168"/>
      <c r="GN140" s="168"/>
      <c r="GO140" s="168"/>
      <c r="GP140" s="168"/>
      <c r="GQ140" s="168"/>
      <c r="GR140" s="168"/>
      <c r="GS140" s="168"/>
      <c r="GT140" s="168"/>
      <c r="GU140" s="168"/>
      <c r="GV140" s="168"/>
      <c r="GW140" s="168"/>
      <c r="GX140" s="168"/>
      <c r="GY140" s="168"/>
      <c r="GZ140" s="168"/>
      <c r="HA140" s="168"/>
      <c r="HB140" s="168"/>
      <c r="HC140" s="168"/>
      <c r="HD140" s="168"/>
      <c r="HE140" s="168"/>
      <c r="HF140" s="168"/>
      <c r="HG140" s="168"/>
      <c r="HH140" s="168"/>
      <c r="HI140" s="168"/>
      <c r="HJ140" s="168"/>
      <c r="HK140" s="168"/>
      <c r="HL140" s="168"/>
      <c r="HM140" s="168"/>
      <c r="HN140" s="168"/>
      <c r="HO140" s="168"/>
      <c r="HP140" s="168"/>
      <c r="HQ140" s="168"/>
      <c r="HR140" s="168"/>
      <c r="HS140" s="168"/>
      <c r="HT140" s="168"/>
      <c r="HU140" s="168"/>
      <c r="HV140" s="168"/>
      <c r="HW140" s="168"/>
      <c r="HX140" s="168"/>
      <c r="HY140" s="168"/>
      <c r="HZ140" s="168"/>
      <c r="IA140" s="168"/>
      <c r="IB140" s="168"/>
      <c r="IC140" s="168"/>
      <c r="ID140" s="168"/>
      <c r="IE140" s="168"/>
      <c r="IF140" s="168"/>
      <c r="IG140" s="168"/>
      <c r="IH140" s="168"/>
      <c r="II140" s="168"/>
      <c r="IJ140" s="168"/>
      <c r="IK140" s="168"/>
      <c r="IL140" s="168"/>
      <c r="IM140" s="168"/>
      <c r="IN140" s="168"/>
      <c r="IO140" s="168"/>
      <c r="IP140" s="168"/>
      <c r="IQ140" s="168"/>
      <c r="IR140" s="168"/>
      <c r="IS140" s="168"/>
      <c r="IT140" s="168"/>
      <c r="IU140" s="168"/>
      <c r="IV140" s="168"/>
      <c r="IW140" s="168"/>
      <c r="IX140" s="168"/>
      <c r="IY140" s="168"/>
      <c r="IZ140" s="168"/>
      <c r="JA140" s="168"/>
      <c r="JB140" s="168"/>
      <c r="JC140" s="606"/>
      <c r="JD140" s="609"/>
      <c r="JE140" s="1"/>
      <c r="JF140" s="1"/>
    </row>
    <row r="141" spans="1:266" s="2" customFormat="1" ht="15" customHeight="1" x14ac:dyDescent="0.25">
      <c r="A141" s="283"/>
      <c r="B141" s="303"/>
      <c r="C141" s="301"/>
      <c r="D141" s="638"/>
      <c r="E141" s="2298"/>
      <c r="F141" s="1812"/>
      <c r="G141" s="3342"/>
      <c r="H141" s="66"/>
      <c r="I141" s="1746"/>
      <c r="J141" s="86"/>
      <c r="K141" s="105"/>
      <c r="L141" s="91"/>
      <c r="M141" s="92"/>
      <c r="N141" s="93"/>
      <c r="O141" s="94"/>
      <c r="P141" s="96"/>
      <c r="Q141" s="95"/>
      <c r="R141" s="993">
        <f t="shared" si="198"/>
        <v>0</v>
      </c>
      <c r="S141" s="23">
        <f t="shared" si="214"/>
        <v>0</v>
      </c>
      <c r="T141" s="24">
        <f t="shared" si="215"/>
        <v>0</v>
      </c>
      <c r="U141" s="24">
        <f t="shared" si="199"/>
        <v>0</v>
      </c>
      <c r="V141" s="24">
        <f t="shared" si="216"/>
        <v>0</v>
      </c>
      <c r="W141" s="24">
        <f t="shared" si="217"/>
        <v>0</v>
      </c>
      <c r="X141" s="72">
        <f t="shared" si="218"/>
        <v>0</v>
      </c>
      <c r="Y141" s="72">
        <f t="shared" si="219"/>
        <v>0</v>
      </c>
      <c r="Z141" s="24">
        <f t="shared" si="200"/>
        <v>0</v>
      </c>
      <c r="AA141" s="72">
        <f t="shared" si="220"/>
        <v>0</v>
      </c>
      <c r="AB141" s="24">
        <f t="shared" si="221"/>
        <v>0</v>
      </c>
      <c r="AC141" s="24" t="s">
        <v>5</v>
      </c>
      <c r="AD141" s="25">
        <f t="shared" si="201"/>
        <v>3</v>
      </c>
      <c r="AE141" s="25">
        <f t="shared" si="202"/>
        <v>0</v>
      </c>
      <c r="AF141" s="25">
        <f t="shared" si="203"/>
        <v>0</v>
      </c>
      <c r="AG141" s="25">
        <f t="shared" si="222"/>
        <v>1</v>
      </c>
      <c r="AH141" s="25" t="str">
        <f>IFERROR(MATCH(DY141,'2 Staff List'!$IA$64:$IA$114,0),"x")</f>
        <v>x</v>
      </c>
      <c r="AI141" s="1181">
        <f>IFERROR(INDEX('2 Staff List'!$EX$64:$EX$114,$AH141),0)</f>
        <v>0</v>
      </c>
      <c r="AJ141" s="25">
        <f>IFERROR(INDEX('2 Staff List'!$IW$64:$IW$114,$AH141),0)</f>
        <v>0</v>
      </c>
      <c r="AK141" s="25">
        <f>IFERROR(INDEX('2 Staff List'!$IB$64:$IB$114,$AH141),0)</f>
        <v>0</v>
      </c>
      <c r="AL141" s="25">
        <f>IF(OR(NOT(ISBLANK(DV141)),CX141=1),"&lt;Non-Labor&gt;",IFERROR(IF(AH141=0,0,INDEX('2 Staff List'!$HZ$64:$HZ$114,$AH141)),0))</f>
        <v>0</v>
      </c>
      <c r="AM141" s="25">
        <f>IFERROR(INDEX('2 Staff List'!$HW$64:$HW$114,$AH141),0)</f>
        <v>0</v>
      </c>
      <c r="AN141" s="25">
        <f t="shared" si="223"/>
        <v>1</v>
      </c>
      <c r="AO141" s="25">
        <f>IF($AO$127=0,0,IFERROR(INDEX('2 Staff List'!$JH$64:$JH$114,$AH141),0))</f>
        <v>0</v>
      </c>
      <c r="AP141" s="25">
        <f>IFERROR(INDEX('2 Staff List'!$HU$64:$HU$114,$AH141),0)</f>
        <v>0</v>
      </c>
      <c r="AQ141" s="25">
        <f t="shared" si="224"/>
        <v>0</v>
      </c>
      <c r="AR141" s="25">
        <f t="shared" si="225"/>
        <v>0</v>
      </c>
      <c r="AS141" s="25">
        <f t="shared" si="226"/>
        <v>0</v>
      </c>
      <c r="AT141" s="25">
        <f t="shared" si="227"/>
        <v>0</v>
      </c>
      <c r="AU141" s="25">
        <f t="shared" si="228"/>
        <v>0</v>
      </c>
      <c r="AV141" s="25">
        <f t="shared" si="229"/>
        <v>0</v>
      </c>
      <c r="AW141" s="25">
        <f t="shared" si="230"/>
        <v>0</v>
      </c>
      <c r="AX141" s="25">
        <f t="shared" si="231"/>
        <v>0</v>
      </c>
      <c r="AY141" s="25">
        <f t="shared" si="232"/>
        <v>0</v>
      </c>
      <c r="AZ141" s="25">
        <f t="shared" si="233"/>
        <v>0</v>
      </c>
      <c r="BA141" s="25">
        <f t="shared" si="234"/>
        <v>0</v>
      </c>
      <c r="BB141" s="25">
        <f t="shared" si="235"/>
        <v>0</v>
      </c>
      <c r="BC141" s="25">
        <f>IFERROR(INDEX('2 Staff List'!KS$64:KS$114,$AH141),0)</f>
        <v>0</v>
      </c>
      <c r="BD141" s="25">
        <f>IFERROR(INDEX('2 Staff List'!KT$64:KT$114,$AH141),0)</f>
        <v>0</v>
      </c>
      <c r="BE141" s="25">
        <f>IFERROR(INDEX('2 Staff List'!KU$64:KU$114,$AH141),0)</f>
        <v>0</v>
      </c>
      <c r="BF141" s="25">
        <f>IFERROR(INDEX('2 Staff List'!KV$64:KV$114,$AH141),0)</f>
        <v>0</v>
      </c>
      <c r="BG141" s="25">
        <f>IFERROR(INDEX('2 Staff List'!KW$64:KW$114,$AH141),0)</f>
        <v>0</v>
      </c>
      <c r="BH141" s="25">
        <f>IFERROR(INDEX('2 Staff List'!KX$64:KX$114,$AH141),0)</f>
        <v>0</v>
      </c>
      <c r="BI141" s="25">
        <f>IFERROR(INDEX('2 Staff List'!KY$64:KY$114,$AH141),0)</f>
        <v>0</v>
      </c>
      <c r="BJ141" s="25">
        <f>IFERROR(INDEX('2 Staff List'!KZ$64:KZ$114,$AH141),0)</f>
        <v>0</v>
      </c>
      <c r="BK141" s="25">
        <f>IFERROR(INDEX('2 Staff List'!LA$64:LA$114,$AH141),0)</f>
        <v>0</v>
      </c>
      <c r="BL141" s="25">
        <f>IFERROR(INDEX('2 Staff List'!LB$64:LB$114,$AH141),0)</f>
        <v>0</v>
      </c>
      <c r="BM141" s="25">
        <f>IFERROR(INDEX('2 Staff List'!FT$64:FT$114,$AH141),0)</f>
        <v>0</v>
      </c>
      <c r="BN141" s="25">
        <f>IFERROR(INDEX('2 Staff List'!FU$64:FU$114,$AH141),0)</f>
        <v>0</v>
      </c>
      <c r="BO141" s="25">
        <f>IFERROR(INDEX('2 Staff List'!FV$64:FV$114,$AH141),0)</f>
        <v>0</v>
      </c>
      <c r="BP141" s="25">
        <f>IFERROR(INDEX('2 Staff List'!FW$64:FW$114,$AH141),0)</f>
        <v>0</v>
      </c>
      <c r="BQ141" s="25">
        <f>IFERROR(INDEX('2 Staff List'!FX$64:FX$114,$AH141),0)</f>
        <v>0</v>
      </c>
      <c r="BR141" s="25">
        <f>IFERROR(INDEX('2 Staff List'!FY$64:FY$114,$AH141),0)</f>
        <v>0</v>
      </c>
      <c r="BS141" s="25">
        <f>IFERROR(INDEX('2 Staff List'!FZ$64:FZ$114,$AH141),0)</f>
        <v>0</v>
      </c>
      <c r="BT141" s="25">
        <f>IFERROR(INDEX('2 Staff List'!GA$64:GA$114,$AH141),0)</f>
        <v>0</v>
      </c>
      <c r="BU141" s="25">
        <f>IFERROR(INDEX('2 Staff List'!GB$64:GB$114,$AH141),0)</f>
        <v>0</v>
      </c>
      <c r="BV141" s="25">
        <f>IFERROR(INDEX('2 Staff List'!GC$64:GC$114,$AH141),0)</f>
        <v>0</v>
      </c>
      <c r="BW141" s="25">
        <f t="shared" si="236"/>
        <v>0</v>
      </c>
      <c r="BX141" s="25">
        <f t="shared" si="237"/>
        <v>0</v>
      </c>
      <c r="BY141" s="25">
        <f t="shared" si="238"/>
        <v>0</v>
      </c>
      <c r="BZ141" s="25">
        <f t="shared" si="239"/>
        <v>0</v>
      </c>
      <c r="CA141" s="25">
        <f t="shared" si="240"/>
        <v>0</v>
      </c>
      <c r="CB141" s="25">
        <f t="shared" si="241"/>
        <v>0</v>
      </c>
      <c r="CC141" s="25">
        <f t="shared" si="242"/>
        <v>0</v>
      </c>
      <c r="CD141" s="25">
        <f t="shared" si="243"/>
        <v>0</v>
      </c>
      <c r="CE141" s="25">
        <f t="shared" si="244"/>
        <v>0</v>
      </c>
      <c r="CF141" s="25">
        <f t="shared" si="245"/>
        <v>0</v>
      </c>
      <c r="CG141" s="25">
        <f t="shared" si="246"/>
        <v>0</v>
      </c>
      <c r="CH141" s="25">
        <f>IFERROR(INDEX('2 Staff List'!LO$64:LO$114,$AH141),0)</f>
        <v>0</v>
      </c>
      <c r="CI141" s="25">
        <f>IFERROR(INDEX('2 Staff List'!LP$64:LP$114,$AH141),0)</f>
        <v>0</v>
      </c>
      <c r="CJ141" s="25">
        <f>IFERROR(INDEX('2 Staff List'!LQ$64:LQ$114,$AH141),0)</f>
        <v>0</v>
      </c>
      <c r="CK141" s="25">
        <f>IFERROR(INDEX('2 Staff List'!LR$64:LR$114,$AH141),0)</f>
        <v>0</v>
      </c>
      <c r="CL141" s="25">
        <f>IFERROR(INDEX('2 Staff List'!LS$64:LS$114,$AH141),0)</f>
        <v>0</v>
      </c>
      <c r="CM141" s="25">
        <f>IFERROR(INDEX('2 Staff List'!LT$64:LT$114,$AH141),0)</f>
        <v>0</v>
      </c>
      <c r="CN141" s="25">
        <f>IFERROR(INDEX('2 Staff List'!LU$64:LU$114,$AH141),0)</f>
        <v>0</v>
      </c>
      <c r="CO141" s="25">
        <f>IFERROR(INDEX('2 Staff List'!LV$64:LV$114,$AH141),0)</f>
        <v>0</v>
      </c>
      <c r="CP141" s="25">
        <f>IFERROR(INDEX('2 Staff List'!LW$64:LW$114,$AH141),0)</f>
        <v>0</v>
      </c>
      <c r="CQ141" s="25">
        <f>IFERROR(INDEX('2 Staff List'!LX$64:LX$114,$AH141),0)</f>
        <v>0</v>
      </c>
      <c r="CR141" s="25">
        <f t="shared" si="204"/>
        <v>0</v>
      </c>
      <c r="CS141" s="25">
        <f>IFERROR(1/CR141,1)</f>
        <v>1</v>
      </c>
      <c r="CT141" s="25">
        <f t="shared" si="248"/>
        <v>1</v>
      </c>
      <c r="CU141" s="25">
        <f t="shared" si="249"/>
        <v>1</v>
      </c>
      <c r="CV141" s="25">
        <f t="shared" si="250"/>
        <v>1</v>
      </c>
      <c r="CW141" s="25">
        <f t="shared" si="251"/>
        <v>1</v>
      </c>
      <c r="CX141" s="25">
        <f t="shared" si="252"/>
        <v>0</v>
      </c>
      <c r="CY141" s="25">
        <f t="shared" si="253"/>
        <v>0</v>
      </c>
      <c r="CZ141" s="25">
        <f t="shared" si="254"/>
        <v>0</v>
      </c>
      <c r="DA141" s="25">
        <f t="shared" si="255"/>
        <v>1</v>
      </c>
      <c r="DB141" s="25">
        <f t="shared" si="205"/>
        <v>1</v>
      </c>
      <c r="DC141" s="25">
        <f t="shared" si="256"/>
        <v>0</v>
      </c>
      <c r="DD141" s="25">
        <f>IF(OR($AD141&lt;&gt;3,F141="Exclude"),0,IF(ISERROR(MATCH($E141,'4 Sign-off'!$S$123:$X$123,0)),0,1))</f>
        <v>0</v>
      </c>
      <c r="DE141" s="25">
        <f t="shared" si="206"/>
        <v>0</v>
      </c>
      <c r="DF141" s="25">
        <f t="shared" si="257"/>
        <v>0</v>
      </c>
      <c r="DG141" s="25" t="str">
        <f t="shared" si="258"/>
        <v/>
      </c>
      <c r="DH141" s="25">
        <f t="shared" si="259"/>
        <v>0</v>
      </c>
      <c r="DI141" s="25">
        <f t="shared" si="260"/>
        <v>0</v>
      </c>
      <c r="DJ141" s="25">
        <f>IF(ISBLANK(J141),0,ISERROR(MATCH(J141,'5  Control Accounts'!$FA$29:$FA$96,0))*1)</f>
        <v>0</v>
      </c>
      <c r="DK141" s="25">
        <f t="shared" si="261"/>
        <v>0</v>
      </c>
      <c r="DL141" s="25">
        <f t="shared" si="207"/>
        <v>-1</v>
      </c>
      <c r="DM141" s="25" t="e">
        <f t="array" ref="DM141">MATCH(1,($EG141:$JD141&gt;0)*$EG$17:$JD$17,0)</f>
        <v>#N/A</v>
      </c>
      <c r="DN141" s="25" t="e">
        <f t="shared" si="208"/>
        <v>#N/A</v>
      </c>
      <c r="DO141" s="25" t="e">
        <f t="array" ref="DO141">MATCH(2,1/(EG141:JD141&gt;0))</f>
        <v>#N/A</v>
      </c>
      <c r="DP141" s="2993">
        <f t="shared" si="262"/>
        <v>0</v>
      </c>
      <c r="DQ141" s="3037">
        <f t="shared" si="263"/>
        <v>0</v>
      </c>
      <c r="DR141" s="111"/>
      <c r="DS141" s="1268">
        <f t="shared" si="209"/>
        <v>0</v>
      </c>
      <c r="DT141" s="1825"/>
      <c r="DU141" s="1826"/>
      <c r="DV141" s="1827"/>
      <c r="DW141" s="1828"/>
      <c r="DX141" s="659"/>
      <c r="DY141" s="1265"/>
      <c r="DZ141" s="1785">
        <f t="shared" si="210"/>
        <v>0</v>
      </c>
      <c r="EA141" s="1786">
        <f t="shared" si="211"/>
        <v>0</v>
      </c>
      <c r="EB141" s="1781">
        <f t="shared" si="212"/>
        <v>0</v>
      </c>
      <c r="EC141" s="1782">
        <f t="shared" si="213"/>
        <v>0</v>
      </c>
      <c r="ED141" s="1262"/>
      <c r="EE141" s="2280"/>
      <c r="EF141" s="1802"/>
      <c r="EG141" s="167"/>
      <c r="EH141" s="168"/>
      <c r="EI141" s="168"/>
      <c r="EJ141" s="168"/>
      <c r="EK141" s="168"/>
      <c r="EL141" s="168"/>
      <c r="EM141" s="168"/>
      <c r="EN141" s="168"/>
      <c r="EO141" s="168"/>
      <c r="EP141" s="168"/>
      <c r="EQ141" s="168"/>
      <c r="ER141" s="168"/>
      <c r="ES141" s="168"/>
      <c r="ET141" s="168"/>
      <c r="EU141" s="168"/>
      <c r="EV141" s="168"/>
      <c r="EW141" s="168"/>
      <c r="EX141" s="168"/>
      <c r="EY141" s="168"/>
      <c r="EZ141" s="168"/>
      <c r="FA141" s="168"/>
      <c r="FB141" s="168"/>
      <c r="FC141" s="168"/>
      <c r="FD141" s="168"/>
      <c r="FE141" s="168"/>
      <c r="FF141" s="168"/>
      <c r="FG141" s="168"/>
      <c r="FH141" s="168"/>
      <c r="FI141" s="168"/>
      <c r="FJ141" s="168"/>
      <c r="FK141" s="168"/>
      <c r="FL141" s="168"/>
      <c r="FM141" s="168"/>
      <c r="FN141" s="168"/>
      <c r="FO141" s="168"/>
      <c r="FP141" s="168"/>
      <c r="FQ141" s="168"/>
      <c r="FR141" s="168"/>
      <c r="FS141" s="168"/>
      <c r="FT141" s="168"/>
      <c r="FU141" s="168"/>
      <c r="FV141" s="168"/>
      <c r="FW141" s="168"/>
      <c r="FX141" s="168"/>
      <c r="FY141" s="168"/>
      <c r="FZ141" s="168"/>
      <c r="GA141" s="168"/>
      <c r="GB141" s="168"/>
      <c r="GC141" s="168"/>
      <c r="GD141" s="168"/>
      <c r="GE141" s="168"/>
      <c r="GF141" s="168"/>
      <c r="GG141" s="168"/>
      <c r="GH141" s="168"/>
      <c r="GI141" s="168"/>
      <c r="GJ141" s="168"/>
      <c r="GK141" s="168"/>
      <c r="GL141" s="168"/>
      <c r="GM141" s="168"/>
      <c r="GN141" s="168"/>
      <c r="GO141" s="168"/>
      <c r="GP141" s="168"/>
      <c r="GQ141" s="168"/>
      <c r="GR141" s="168"/>
      <c r="GS141" s="168"/>
      <c r="GT141" s="168"/>
      <c r="GU141" s="168"/>
      <c r="GV141" s="168"/>
      <c r="GW141" s="168"/>
      <c r="GX141" s="168"/>
      <c r="GY141" s="168"/>
      <c r="GZ141" s="168"/>
      <c r="HA141" s="168"/>
      <c r="HB141" s="168"/>
      <c r="HC141" s="168"/>
      <c r="HD141" s="168"/>
      <c r="HE141" s="168"/>
      <c r="HF141" s="168"/>
      <c r="HG141" s="168"/>
      <c r="HH141" s="168"/>
      <c r="HI141" s="168"/>
      <c r="HJ141" s="168"/>
      <c r="HK141" s="168"/>
      <c r="HL141" s="168"/>
      <c r="HM141" s="168"/>
      <c r="HN141" s="168"/>
      <c r="HO141" s="168"/>
      <c r="HP141" s="168"/>
      <c r="HQ141" s="168"/>
      <c r="HR141" s="168"/>
      <c r="HS141" s="168"/>
      <c r="HT141" s="168"/>
      <c r="HU141" s="168"/>
      <c r="HV141" s="168"/>
      <c r="HW141" s="168"/>
      <c r="HX141" s="168"/>
      <c r="HY141" s="168"/>
      <c r="HZ141" s="168"/>
      <c r="IA141" s="168"/>
      <c r="IB141" s="168"/>
      <c r="IC141" s="168"/>
      <c r="ID141" s="168"/>
      <c r="IE141" s="168"/>
      <c r="IF141" s="168"/>
      <c r="IG141" s="168"/>
      <c r="IH141" s="168"/>
      <c r="II141" s="168"/>
      <c r="IJ141" s="168"/>
      <c r="IK141" s="168"/>
      <c r="IL141" s="168"/>
      <c r="IM141" s="168"/>
      <c r="IN141" s="168"/>
      <c r="IO141" s="168"/>
      <c r="IP141" s="168"/>
      <c r="IQ141" s="168"/>
      <c r="IR141" s="168"/>
      <c r="IS141" s="168"/>
      <c r="IT141" s="168"/>
      <c r="IU141" s="168"/>
      <c r="IV141" s="168"/>
      <c r="IW141" s="168"/>
      <c r="IX141" s="168"/>
      <c r="IY141" s="168"/>
      <c r="IZ141" s="168"/>
      <c r="JA141" s="168"/>
      <c r="JB141" s="168"/>
      <c r="JC141" s="606"/>
      <c r="JD141" s="609"/>
      <c r="JE141" s="1"/>
      <c r="JF141" s="1"/>
    </row>
    <row r="142" spans="1:266" s="2" customFormat="1" ht="15" customHeight="1" x14ac:dyDescent="0.25">
      <c r="A142" s="283"/>
      <c r="B142" s="303"/>
      <c r="C142" s="301"/>
      <c r="D142" s="638"/>
      <c r="E142" s="2298"/>
      <c r="F142" s="1812"/>
      <c r="G142" s="3342"/>
      <c r="H142" s="66"/>
      <c r="I142" s="1746"/>
      <c r="J142" s="86"/>
      <c r="K142" s="105"/>
      <c r="L142" s="91"/>
      <c r="M142" s="92"/>
      <c r="N142" s="93"/>
      <c r="O142" s="94"/>
      <c r="P142" s="96"/>
      <c r="Q142" s="95"/>
      <c r="R142" s="993">
        <f t="shared" si="198"/>
        <v>0</v>
      </c>
      <c r="S142" s="23">
        <f t="shared" si="214"/>
        <v>0</v>
      </c>
      <c r="T142" s="24">
        <f t="shared" si="215"/>
        <v>0</v>
      </c>
      <c r="U142" s="24">
        <f t="shared" si="199"/>
        <v>0</v>
      </c>
      <c r="V142" s="24">
        <f t="shared" si="216"/>
        <v>0</v>
      </c>
      <c r="W142" s="24">
        <f t="shared" si="217"/>
        <v>0</v>
      </c>
      <c r="X142" s="72">
        <f t="shared" si="218"/>
        <v>0</v>
      </c>
      <c r="Y142" s="72">
        <f t="shared" si="219"/>
        <v>0</v>
      </c>
      <c r="Z142" s="24">
        <f t="shared" si="200"/>
        <v>0</v>
      </c>
      <c r="AA142" s="72">
        <f t="shared" si="220"/>
        <v>0</v>
      </c>
      <c r="AB142" s="24">
        <f t="shared" si="221"/>
        <v>0</v>
      </c>
      <c r="AC142" s="24" t="s">
        <v>5</v>
      </c>
      <c r="AD142" s="25">
        <f t="shared" si="201"/>
        <v>3</v>
      </c>
      <c r="AE142" s="25">
        <f t="shared" si="202"/>
        <v>0</v>
      </c>
      <c r="AF142" s="25">
        <f t="shared" si="203"/>
        <v>0</v>
      </c>
      <c r="AG142" s="25">
        <f t="shared" si="222"/>
        <v>1</v>
      </c>
      <c r="AH142" s="25" t="str">
        <f>IFERROR(MATCH(DY142,'2 Staff List'!$IA$64:$IA$114,0),"x")</f>
        <v>x</v>
      </c>
      <c r="AI142" s="1181">
        <f>IFERROR(INDEX('2 Staff List'!$EX$64:$EX$114,$AH142),0)</f>
        <v>0</v>
      </c>
      <c r="AJ142" s="25">
        <f>IFERROR(INDEX('2 Staff List'!$IW$64:$IW$114,$AH142),0)</f>
        <v>0</v>
      </c>
      <c r="AK142" s="25">
        <f>IFERROR(INDEX('2 Staff List'!$IB$64:$IB$114,$AH142),0)</f>
        <v>0</v>
      </c>
      <c r="AL142" s="25">
        <f>IF(OR(NOT(ISBLANK(DV142)),CX142=1),"&lt;Non-Labor&gt;",IFERROR(IF(AH142=0,0,INDEX('2 Staff List'!$HZ$64:$HZ$114,$AH142)),0))</f>
        <v>0</v>
      </c>
      <c r="AM142" s="25">
        <f>IFERROR(INDEX('2 Staff List'!$HW$64:$HW$114,$AH142),0)</f>
        <v>0</v>
      </c>
      <c r="AN142" s="25">
        <f t="shared" si="223"/>
        <v>1</v>
      </c>
      <c r="AO142" s="25">
        <f>IF($AO$127=0,0,IFERROR(INDEX('2 Staff List'!$JH$64:$JH$114,$AH142),0))</f>
        <v>0</v>
      </c>
      <c r="AP142" s="25">
        <f>IFERROR(INDEX('2 Staff List'!$HU$64:$HU$114,$AH142),0)</f>
        <v>0</v>
      </c>
      <c r="AQ142" s="25">
        <f t="shared" si="224"/>
        <v>0</v>
      </c>
      <c r="AR142" s="25">
        <f t="shared" si="225"/>
        <v>0</v>
      </c>
      <c r="AS142" s="25">
        <f t="shared" si="226"/>
        <v>0</v>
      </c>
      <c r="AT142" s="25">
        <f t="shared" si="227"/>
        <v>0</v>
      </c>
      <c r="AU142" s="25">
        <f t="shared" si="228"/>
        <v>0</v>
      </c>
      <c r="AV142" s="25">
        <f t="shared" si="229"/>
        <v>0</v>
      </c>
      <c r="AW142" s="25">
        <f t="shared" si="230"/>
        <v>0</v>
      </c>
      <c r="AX142" s="25">
        <f t="shared" si="231"/>
        <v>0</v>
      </c>
      <c r="AY142" s="25">
        <f t="shared" si="232"/>
        <v>0</v>
      </c>
      <c r="AZ142" s="25">
        <f t="shared" si="233"/>
        <v>0</v>
      </c>
      <c r="BA142" s="25">
        <f t="shared" si="234"/>
        <v>0</v>
      </c>
      <c r="BB142" s="25">
        <f t="shared" si="235"/>
        <v>0</v>
      </c>
      <c r="BC142" s="25">
        <f>IFERROR(INDEX('2 Staff List'!KS$64:KS$114,$AH142),0)</f>
        <v>0</v>
      </c>
      <c r="BD142" s="25">
        <f>IFERROR(INDEX('2 Staff List'!KT$64:KT$114,$AH142),0)</f>
        <v>0</v>
      </c>
      <c r="BE142" s="25">
        <f>IFERROR(INDEX('2 Staff List'!KU$64:KU$114,$AH142),0)</f>
        <v>0</v>
      </c>
      <c r="BF142" s="25">
        <f>IFERROR(INDEX('2 Staff List'!KV$64:KV$114,$AH142),0)</f>
        <v>0</v>
      </c>
      <c r="BG142" s="25">
        <f>IFERROR(INDEX('2 Staff List'!KW$64:KW$114,$AH142),0)</f>
        <v>0</v>
      </c>
      <c r="BH142" s="25">
        <f>IFERROR(INDEX('2 Staff List'!KX$64:KX$114,$AH142),0)</f>
        <v>0</v>
      </c>
      <c r="BI142" s="25">
        <f>IFERROR(INDEX('2 Staff List'!KY$64:KY$114,$AH142),0)</f>
        <v>0</v>
      </c>
      <c r="BJ142" s="25">
        <f>IFERROR(INDEX('2 Staff List'!KZ$64:KZ$114,$AH142),0)</f>
        <v>0</v>
      </c>
      <c r="BK142" s="25">
        <f>IFERROR(INDEX('2 Staff List'!LA$64:LA$114,$AH142),0)</f>
        <v>0</v>
      </c>
      <c r="BL142" s="25">
        <f>IFERROR(INDEX('2 Staff List'!LB$64:LB$114,$AH142),0)</f>
        <v>0</v>
      </c>
      <c r="BM142" s="25">
        <f>IFERROR(INDEX('2 Staff List'!FT$64:FT$114,$AH142),0)</f>
        <v>0</v>
      </c>
      <c r="BN142" s="25">
        <f>IFERROR(INDEX('2 Staff List'!FU$64:FU$114,$AH142),0)</f>
        <v>0</v>
      </c>
      <c r="BO142" s="25">
        <f>IFERROR(INDEX('2 Staff List'!FV$64:FV$114,$AH142),0)</f>
        <v>0</v>
      </c>
      <c r="BP142" s="25">
        <f>IFERROR(INDEX('2 Staff List'!FW$64:FW$114,$AH142),0)</f>
        <v>0</v>
      </c>
      <c r="BQ142" s="25">
        <f>IFERROR(INDEX('2 Staff List'!FX$64:FX$114,$AH142),0)</f>
        <v>0</v>
      </c>
      <c r="BR142" s="25">
        <f>IFERROR(INDEX('2 Staff List'!FY$64:FY$114,$AH142),0)</f>
        <v>0</v>
      </c>
      <c r="BS142" s="25">
        <f>IFERROR(INDEX('2 Staff List'!FZ$64:FZ$114,$AH142),0)</f>
        <v>0</v>
      </c>
      <c r="BT142" s="25">
        <f>IFERROR(INDEX('2 Staff List'!GA$64:GA$114,$AH142),0)</f>
        <v>0</v>
      </c>
      <c r="BU142" s="25">
        <f>IFERROR(INDEX('2 Staff List'!GB$64:GB$114,$AH142),0)</f>
        <v>0</v>
      </c>
      <c r="BV142" s="25">
        <f>IFERROR(INDEX('2 Staff List'!GC$64:GC$114,$AH142),0)</f>
        <v>0</v>
      </c>
      <c r="BW142" s="25">
        <f t="shared" si="236"/>
        <v>0</v>
      </c>
      <c r="BX142" s="25">
        <f t="shared" si="237"/>
        <v>0</v>
      </c>
      <c r="BY142" s="25">
        <f t="shared" si="238"/>
        <v>0</v>
      </c>
      <c r="BZ142" s="25">
        <f t="shared" si="239"/>
        <v>0</v>
      </c>
      <c r="CA142" s="25">
        <f t="shared" si="240"/>
        <v>0</v>
      </c>
      <c r="CB142" s="25">
        <f t="shared" si="241"/>
        <v>0</v>
      </c>
      <c r="CC142" s="25">
        <f t="shared" si="242"/>
        <v>0</v>
      </c>
      <c r="CD142" s="25">
        <f t="shared" si="243"/>
        <v>0</v>
      </c>
      <c r="CE142" s="25">
        <f t="shared" si="244"/>
        <v>0</v>
      </c>
      <c r="CF142" s="25">
        <f t="shared" si="245"/>
        <v>0</v>
      </c>
      <c r="CG142" s="25">
        <f t="shared" si="246"/>
        <v>0</v>
      </c>
      <c r="CH142" s="25">
        <f>IFERROR(INDEX('2 Staff List'!LO$64:LO$114,$AH142),0)</f>
        <v>0</v>
      </c>
      <c r="CI142" s="25">
        <f>IFERROR(INDEX('2 Staff List'!LP$64:LP$114,$AH142),0)</f>
        <v>0</v>
      </c>
      <c r="CJ142" s="25">
        <f>IFERROR(INDEX('2 Staff List'!LQ$64:LQ$114,$AH142),0)</f>
        <v>0</v>
      </c>
      <c r="CK142" s="25">
        <f>IFERROR(INDEX('2 Staff List'!LR$64:LR$114,$AH142),0)</f>
        <v>0</v>
      </c>
      <c r="CL142" s="25">
        <f>IFERROR(INDEX('2 Staff List'!LS$64:LS$114,$AH142),0)</f>
        <v>0</v>
      </c>
      <c r="CM142" s="25">
        <f>IFERROR(INDEX('2 Staff List'!LT$64:LT$114,$AH142),0)</f>
        <v>0</v>
      </c>
      <c r="CN142" s="25">
        <f>IFERROR(INDEX('2 Staff List'!LU$64:LU$114,$AH142),0)</f>
        <v>0</v>
      </c>
      <c r="CO142" s="25">
        <f>IFERROR(INDEX('2 Staff List'!LV$64:LV$114,$AH142),0)</f>
        <v>0</v>
      </c>
      <c r="CP142" s="25">
        <f>IFERROR(INDEX('2 Staff List'!LW$64:LW$114,$AH142),0)</f>
        <v>0</v>
      </c>
      <c r="CQ142" s="25">
        <f>IFERROR(INDEX('2 Staff List'!LX$64:LX$114,$AH142),0)</f>
        <v>0</v>
      </c>
      <c r="CR142" s="25">
        <f t="shared" si="204"/>
        <v>0</v>
      </c>
      <c r="CS142" s="25">
        <f>IFERROR(1/CR142,1)</f>
        <v>1</v>
      </c>
      <c r="CT142" s="25">
        <f t="shared" si="248"/>
        <v>1</v>
      </c>
      <c r="CU142" s="25">
        <f t="shared" si="249"/>
        <v>1</v>
      </c>
      <c r="CV142" s="25">
        <f t="shared" si="250"/>
        <v>1</v>
      </c>
      <c r="CW142" s="25">
        <f t="shared" si="251"/>
        <v>1</v>
      </c>
      <c r="CX142" s="25">
        <f t="shared" si="252"/>
        <v>0</v>
      </c>
      <c r="CY142" s="25">
        <f t="shared" si="253"/>
        <v>0</v>
      </c>
      <c r="CZ142" s="25">
        <f t="shared" si="254"/>
        <v>0</v>
      </c>
      <c r="DA142" s="25">
        <f t="shared" si="255"/>
        <v>1</v>
      </c>
      <c r="DB142" s="25">
        <f t="shared" si="205"/>
        <v>1</v>
      </c>
      <c r="DC142" s="25">
        <f t="shared" si="256"/>
        <v>0</v>
      </c>
      <c r="DD142" s="25">
        <f>IF(OR($AD142&lt;&gt;3,F142="Exclude"),0,IF(ISERROR(MATCH($E142,'4 Sign-off'!$S$123:$X$123,0)),0,1))</f>
        <v>0</v>
      </c>
      <c r="DE142" s="25">
        <f t="shared" si="206"/>
        <v>0</v>
      </c>
      <c r="DF142" s="25">
        <f t="shared" si="257"/>
        <v>0</v>
      </c>
      <c r="DG142" s="25" t="str">
        <f t="shared" si="258"/>
        <v/>
      </c>
      <c r="DH142" s="25">
        <f t="shared" si="259"/>
        <v>0</v>
      </c>
      <c r="DI142" s="25">
        <f t="shared" si="260"/>
        <v>0</v>
      </c>
      <c r="DJ142" s="25">
        <f>IF(ISBLANK(J142),0,ISERROR(MATCH(J142,'5  Control Accounts'!$FA$29:$FA$96,0))*1)</f>
        <v>0</v>
      </c>
      <c r="DK142" s="25">
        <f t="shared" si="261"/>
        <v>0</v>
      </c>
      <c r="DL142" s="25">
        <f t="shared" si="207"/>
        <v>-1</v>
      </c>
      <c r="DM142" s="25" t="e">
        <f t="array" ref="DM142">MATCH(1,($EG142:$JD142&gt;0)*$EG$17:$JD$17,0)</f>
        <v>#N/A</v>
      </c>
      <c r="DN142" s="25" t="e">
        <f t="shared" si="208"/>
        <v>#N/A</v>
      </c>
      <c r="DO142" s="25" t="e">
        <f t="array" ref="DO142">MATCH(2,1/(EG142:JD142&gt;0))</f>
        <v>#N/A</v>
      </c>
      <c r="DP142" s="2993">
        <f t="shared" si="262"/>
        <v>0</v>
      </c>
      <c r="DQ142" s="3037">
        <f t="shared" si="263"/>
        <v>0</v>
      </c>
      <c r="DR142" s="111"/>
      <c r="DS142" s="1268">
        <f t="shared" si="209"/>
        <v>0</v>
      </c>
      <c r="DT142" s="1825"/>
      <c r="DU142" s="1826"/>
      <c r="DV142" s="1827"/>
      <c r="DW142" s="1828"/>
      <c r="DX142" s="659"/>
      <c r="DY142" s="1265"/>
      <c r="DZ142" s="1785">
        <f t="shared" si="210"/>
        <v>0</v>
      </c>
      <c r="EA142" s="1786">
        <f t="shared" si="211"/>
        <v>0</v>
      </c>
      <c r="EB142" s="1781">
        <f t="shared" si="212"/>
        <v>0</v>
      </c>
      <c r="EC142" s="1782">
        <f t="shared" si="213"/>
        <v>0</v>
      </c>
      <c r="ED142" s="1262"/>
      <c r="EE142" s="2280"/>
      <c r="EF142" s="1802"/>
      <c r="EG142" s="167"/>
      <c r="EH142" s="168"/>
      <c r="EI142" s="168"/>
      <c r="EJ142" s="168"/>
      <c r="EK142" s="168"/>
      <c r="EL142" s="168"/>
      <c r="EM142" s="168"/>
      <c r="EN142" s="168"/>
      <c r="EO142" s="168"/>
      <c r="EP142" s="168"/>
      <c r="EQ142" s="168"/>
      <c r="ER142" s="168"/>
      <c r="ES142" s="168"/>
      <c r="ET142" s="168"/>
      <c r="EU142" s="168"/>
      <c r="EV142" s="168"/>
      <c r="EW142" s="168"/>
      <c r="EX142" s="168"/>
      <c r="EY142" s="168"/>
      <c r="EZ142" s="168"/>
      <c r="FA142" s="168"/>
      <c r="FB142" s="168"/>
      <c r="FC142" s="168"/>
      <c r="FD142" s="168"/>
      <c r="FE142" s="168"/>
      <c r="FF142" s="168"/>
      <c r="FG142" s="168"/>
      <c r="FH142" s="168"/>
      <c r="FI142" s="168"/>
      <c r="FJ142" s="168"/>
      <c r="FK142" s="168"/>
      <c r="FL142" s="168"/>
      <c r="FM142" s="168"/>
      <c r="FN142" s="168"/>
      <c r="FO142" s="168"/>
      <c r="FP142" s="168"/>
      <c r="FQ142" s="168"/>
      <c r="FR142" s="168"/>
      <c r="FS142" s="168"/>
      <c r="FT142" s="168"/>
      <c r="FU142" s="168"/>
      <c r="FV142" s="168"/>
      <c r="FW142" s="168"/>
      <c r="FX142" s="168"/>
      <c r="FY142" s="168"/>
      <c r="FZ142" s="168"/>
      <c r="GA142" s="168"/>
      <c r="GB142" s="168"/>
      <c r="GC142" s="168"/>
      <c r="GD142" s="168"/>
      <c r="GE142" s="168"/>
      <c r="GF142" s="168"/>
      <c r="GG142" s="168"/>
      <c r="GH142" s="168"/>
      <c r="GI142" s="168"/>
      <c r="GJ142" s="168"/>
      <c r="GK142" s="168"/>
      <c r="GL142" s="168"/>
      <c r="GM142" s="168"/>
      <c r="GN142" s="168"/>
      <c r="GO142" s="168"/>
      <c r="GP142" s="168"/>
      <c r="GQ142" s="168"/>
      <c r="GR142" s="168"/>
      <c r="GS142" s="168"/>
      <c r="GT142" s="168"/>
      <c r="GU142" s="168"/>
      <c r="GV142" s="168"/>
      <c r="GW142" s="168"/>
      <c r="GX142" s="168"/>
      <c r="GY142" s="168"/>
      <c r="GZ142" s="168"/>
      <c r="HA142" s="168"/>
      <c r="HB142" s="168"/>
      <c r="HC142" s="168"/>
      <c r="HD142" s="168"/>
      <c r="HE142" s="168"/>
      <c r="HF142" s="168"/>
      <c r="HG142" s="168"/>
      <c r="HH142" s="168"/>
      <c r="HI142" s="168"/>
      <c r="HJ142" s="168"/>
      <c r="HK142" s="168"/>
      <c r="HL142" s="168"/>
      <c r="HM142" s="168"/>
      <c r="HN142" s="168"/>
      <c r="HO142" s="168"/>
      <c r="HP142" s="168"/>
      <c r="HQ142" s="168"/>
      <c r="HR142" s="168"/>
      <c r="HS142" s="168"/>
      <c r="HT142" s="168"/>
      <c r="HU142" s="168"/>
      <c r="HV142" s="168"/>
      <c r="HW142" s="168"/>
      <c r="HX142" s="168"/>
      <c r="HY142" s="168"/>
      <c r="HZ142" s="168"/>
      <c r="IA142" s="168"/>
      <c r="IB142" s="168"/>
      <c r="IC142" s="168"/>
      <c r="ID142" s="168"/>
      <c r="IE142" s="168"/>
      <c r="IF142" s="168"/>
      <c r="IG142" s="168"/>
      <c r="IH142" s="168"/>
      <c r="II142" s="168"/>
      <c r="IJ142" s="168"/>
      <c r="IK142" s="168"/>
      <c r="IL142" s="168"/>
      <c r="IM142" s="168"/>
      <c r="IN142" s="168"/>
      <c r="IO142" s="168"/>
      <c r="IP142" s="168"/>
      <c r="IQ142" s="168"/>
      <c r="IR142" s="168"/>
      <c r="IS142" s="168"/>
      <c r="IT142" s="168"/>
      <c r="IU142" s="168"/>
      <c r="IV142" s="168"/>
      <c r="IW142" s="168"/>
      <c r="IX142" s="168"/>
      <c r="IY142" s="168"/>
      <c r="IZ142" s="168"/>
      <c r="JA142" s="168"/>
      <c r="JB142" s="168"/>
      <c r="JC142" s="606"/>
      <c r="JD142" s="609"/>
      <c r="JE142" s="1"/>
      <c r="JF142" s="1"/>
    </row>
    <row r="143" spans="1:266" s="2" customFormat="1" ht="15" customHeight="1" x14ac:dyDescent="0.25">
      <c r="A143" s="283"/>
      <c r="B143" s="303"/>
      <c r="C143" s="301"/>
      <c r="D143" s="638"/>
      <c r="E143" s="2298"/>
      <c r="F143" s="1812"/>
      <c r="G143" s="3342"/>
      <c r="H143" s="66"/>
      <c r="I143" s="1746"/>
      <c r="J143" s="86"/>
      <c r="K143" s="105"/>
      <c r="L143" s="91"/>
      <c r="M143" s="92"/>
      <c r="N143" s="93"/>
      <c r="O143" s="94"/>
      <c r="P143" s="96"/>
      <c r="Q143" s="95"/>
      <c r="R143" s="993">
        <f t="shared" si="198"/>
        <v>0</v>
      </c>
      <c r="S143" s="23">
        <f t="shared" si="214"/>
        <v>0</v>
      </c>
      <c r="T143" s="24">
        <f t="shared" si="215"/>
        <v>0</v>
      </c>
      <c r="U143" s="24">
        <f t="shared" si="199"/>
        <v>0</v>
      </c>
      <c r="V143" s="24">
        <f t="shared" si="216"/>
        <v>0</v>
      </c>
      <c r="W143" s="24">
        <f t="shared" si="217"/>
        <v>0</v>
      </c>
      <c r="X143" s="72">
        <f t="shared" si="218"/>
        <v>0</v>
      </c>
      <c r="Y143" s="72">
        <f t="shared" si="219"/>
        <v>0</v>
      </c>
      <c r="Z143" s="24">
        <f t="shared" si="200"/>
        <v>0</v>
      </c>
      <c r="AA143" s="72">
        <f t="shared" si="220"/>
        <v>0</v>
      </c>
      <c r="AB143" s="24">
        <f t="shared" si="221"/>
        <v>0</v>
      </c>
      <c r="AC143" s="24" t="s">
        <v>5</v>
      </c>
      <c r="AD143" s="25">
        <f t="shared" si="201"/>
        <v>3</v>
      </c>
      <c r="AE143" s="25">
        <f t="shared" si="202"/>
        <v>0</v>
      </c>
      <c r="AF143" s="25">
        <f t="shared" si="203"/>
        <v>0</v>
      </c>
      <c r="AG143" s="25">
        <f t="shared" si="222"/>
        <v>1</v>
      </c>
      <c r="AH143" s="25" t="str">
        <f>IFERROR(MATCH(DY143,'2 Staff List'!$IA$64:$IA$114,0),"x")</f>
        <v>x</v>
      </c>
      <c r="AI143" s="1181">
        <f>IFERROR(INDEX('2 Staff List'!$EX$64:$EX$114,$AH143),0)</f>
        <v>0</v>
      </c>
      <c r="AJ143" s="25">
        <f>IFERROR(INDEX('2 Staff List'!$IW$64:$IW$114,$AH143),0)</f>
        <v>0</v>
      </c>
      <c r="AK143" s="25">
        <f>IFERROR(INDEX('2 Staff List'!$IB$64:$IB$114,$AH143),0)</f>
        <v>0</v>
      </c>
      <c r="AL143" s="25">
        <f>IF(OR(NOT(ISBLANK(DV143)),CX143=1),"&lt;Non-Labor&gt;",IFERROR(IF(AH143=0,0,INDEX('2 Staff List'!$HZ$64:$HZ$114,$AH143)),0))</f>
        <v>0</v>
      </c>
      <c r="AM143" s="25">
        <f>IFERROR(INDEX('2 Staff List'!$HW$64:$HW$114,$AH143),0)</f>
        <v>0</v>
      </c>
      <c r="AN143" s="25">
        <f t="shared" si="223"/>
        <v>1</v>
      </c>
      <c r="AO143" s="25">
        <f>IF($AO$127=0,0,IFERROR(INDEX('2 Staff List'!$JH$64:$JH$114,$AH143),0))</f>
        <v>0</v>
      </c>
      <c r="AP143" s="25">
        <f>IFERROR(INDEX('2 Staff List'!$HU$64:$HU$114,$AH143),0)</f>
        <v>0</v>
      </c>
      <c r="AQ143" s="25">
        <f t="shared" si="224"/>
        <v>0</v>
      </c>
      <c r="AR143" s="25">
        <f t="shared" si="225"/>
        <v>0</v>
      </c>
      <c r="AS143" s="25">
        <f t="shared" si="226"/>
        <v>0</v>
      </c>
      <c r="AT143" s="25">
        <f t="shared" si="227"/>
        <v>0</v>
      </c>
      <c r="AU143" s="25">
        <f t="shared" si="228"/>
        <v>0</v>
      </c>
      <c r="AV143" s="25">
        <f t="shared" si="229"/>
        <v>0</v>
      </c>
      <c r="AW143" s="25">
        <f t="shared" si="230"/>
        <v>0</v>
      </c>
      <c r="AX143" s="25">
        <f t="shared" si="231"/>
        <v>0</v>
      </c>
      <c r="AY143" s="25">
        <f t="shared" si="232"/>
        <v>0</v>
      </c>
      <c r="AZ143" s="25">
        <f t="shared" si="233"/>
        <v>0</v>
      </c>
      <c r="BA143" s="25">
        <f t="shared" si="234"/>
        <v>0</v>
      </c>
      <c r="BB143" s="25">
        <f t="shared" si="235"/>
        <v>0</v>
      </c>
      <c r="BC143" s="25">
        <f>IFERROR(INDEX('2 Staff List'!KS$64:KS$114,$AH143),0)</f>
        <v>0</v>
      </c>
      <c r="BD143" s="25">
        <f>IFERROR(INDEX('2 Staff List'!KT$64:KT$114,$AH143),0)</f>
        <v>0</v>
      </c>
      <c r="BE143" s="25">
        <f>IFERROR(INDEX('2 Staff List'!KU$64:KU$114,$AH143),0)</f>
        <v>0</v>
      </c>
      <c r="BF143" s="25">
        <f>IFERROR(INDEX('2 Staff List'!KV$64:KV$114,$AH143),0)</f>
        <v>0</v>
      </c>
      <c r="BG143" s="25">
        <f>IFERROR(INDEX('2 Staff List'!KW$64:KW$114,$AH143),0)</f>
        <v>0</v>
      </c>
      <c r="BH143" s="25">
        <f>IFERROR(INDEX('2 Staff List'!KX$64:KX$114,$AH143),0)</f>
        <v>0</v>
      </c>
      <c r="BI143" s="25">
        <f>IFERROR(INDEX('2 Staff List'!KY$64:KY$114,$AH143),0)</f>
        <v>0</v>
      </c>
      <c r="BJ143" s="25">
        <f>IFERROR(INDEX('2 Staff List'!KZ$64:KZ$114,$AH143),0)</f>
        <v>0</v>
      </c>
      <c r="BK143" s="25">
        <f>IFERROR(INDEX('2 Staff List'!LA$64:LA$114,$AH143),0)</f>
        <v>0</v>
      </c>
      <c r="BL143" s="25">
        <f>IFERROR(INDEX('2 Staff List'!LB$64:LB$114,$AH143),0)</f>
        <v>0</v>
      </c>
      <c r="BM143" s="25">
        <f>IFERROR(INDEX('2 Staff List'!FT$64:FT$114,$AH143),0)</f>
        <v>0</v>
      </c>
      <c r="BN143" s="25">
        <f>IFERROR(INDEX('2 Staff List'!FU$64:FU$114,$AH143),0)</f>
        <v>0</v>
      </c>
      <c r="BO143" s="25">
        <f>IFERROR(INDEX('2 Staff List'!FV$64:FV$114,$AH143),0)</f>
        <v>0</v>
      </c>
      <c r="BP143" s="25">
        <f>IFERROR(INDEX('2 Staff List'!FW$64:FW$114,$AH143),0)</f>
        <v>0</v>
      </c>
      <c r="BQ143" s="25">
        <f>IFERROR(INDEX('2 Staff List'!FX$64:FX$114,$AH143),0)</f>
        <v>0</v>
      </c>
      <c r="BR143" s="25">
        <f>IFERROR(INDEX('2 Staff List'!FY$64:FY$114,$AH143),0)</f>
        <v>0</v>
      </c>
      <c r="BS143" s="25">
        <f>IFERROR(INDEX('2 Staff List'!FZ$64:FZ$114,$AH143),0)</f>
        <v>0</v>
      </c>
      <c r="BT143" s="25">
        <f>IFERROR(INDEX('2 Staff List'!GA$64:GA$114,$AH143),0)</f>
        <v>0</v>
      </c>
      <c r="BU143" s="25">
        <f>IFERROR(INDEX('2 Staff List'!GB$64:GB$114,$AH143),0)</f>
        <v>0</v>
      </c>
      <c r="BV143" s="25">
        <f>IFERROR(INDEX('2 Staff List'!GC$64:GC$114,$AH143),0)</f>
        <v>0</v>
      </c>
      <c r="BW143" s="25">
        <f t="shared" si="236"/>
        <v>0</v>
      </c>
      <c r="BX143" s="25">
        <f t="shared" si="237"/>
        <v>0</v>
      </c>
      <c r="BY143" s="25">
        <f t="shared" si="238"/>
        <v>0</v>
      </c>
      <c r="BZ143" s="25">
        <f t="shared" si="239"/>
        <v>0</v>
      </c>
      <c r="CA143" s="25">
        <f t="shared" si="240"/>
        <v>0</v>
      </c>
      <c r="CB143" s="25">
        <f t="shared" si="241"/>
        <v>0</v>
      </c>
      <c r="CC143" s="25">
        <f t="shared" si="242"/>
        <v>0</v>
      </c>
      <c r="CD143" s="25">
        <f t="shared" si="243"/>
        <v>0</v>
      </c>
      <c r="CE143" s="25">
        <f t="shared" si="244"/>
        <v>0</v>
      </c>
      <c r="CF143" s="25">
        <f t="shared" si="245"/>
        <v>0</v>
      </c>
      <c r="CG143" s="25">
        <f t="shared" si="246"/>
        <v>0</v>
      </c>
      <c r="CH143" s="25">
        <f>IFERROR(INDEX('2 Staff List'!LO$64:LO$114,$AH143),0)</f>
        <v>0</v>
      </c>
      <c r="CI143" s="25">
        <f>IFERROR(INDEX('2 Staff List'!LP$64:LP$114,$AH143),0)</f>
        <v>0</v>
      </c>
      <c r="CJ143" s="25">
        <f>IFERROR(INDEX('2 Staff List'!LQ$64:LQ$114,$AH143),0)</f>
        <v>0</v>
      </c>
      <c r="CK143" s="25">
        <f>IFERROR(INDEX('2 Staff List'!LR$64:LR$114,$AH143),0)</f>
        <v>0</v>
      </c>
      <c r="CL143" s="25">
        <f>IFERROR(INDEX('2 Staff List'!LS$64:LS$114,$AH143),0)</f>
        <v>0</v>
      </c>
      <c r="CM143" s="25">
        <f>IFERROR(INDEX('2 Staff List'!LT$64:LT$114,$AH143),0)</f>
        <v>0</v>
      </c>
      <c r="CN143" s="25">
        <f>IFERROR(INDEX('2 Staff List'!LU$64:LU$114,$AH143),0)</f>
        <v>0</v>
      </c>
      <c r="CO143" s="25">
        <f>IFERROR(INDEX('2 Staff List'!LV$64:LV$114,$AH143),0)</f>
        <v>0</v>
      </c>
      <c r="CP143" s="25">
        <f>IFERROR(INDEX('2 Staff List'!LW$64:LW$114,$AH143),0)</f>
        <v>0</v>
      </c>
      <c r="CQ143" s="25">
        <f>IFERROR(INDEX('2 Staff List'!LX$64:LX$114,$AH143),0)</f>
        <v>0</v>
      </c>
      <c r="CR143" s="25">
        <f t="shared" si="204"/>
        <v>0</v>
      </c>
      <c r="CS143" s="25">
        <f t="shared" si="247"/>
        <v>1</v>
      </c>
      <c r="CT143" s="25">
        <f t="shared" si="248"/>
        <v>1</v>
      </c>
      <c r="CU143" s="25">
        <f t="shared" si="249"/>
        <v>1</v>
      </c>
      <c r="CV143" s="25">
        <f t="shared" si="250"/>
        <v>1</v>
      </c>
      <c r="CW143" s="25">
        <f t="shared" si="251"/>
        <v>1</v>
      </c>
      <c r="CX143" s="25">
        <f t="shared" si="252"/>
        <v>0</v>
      </c>
      <c r="CY143" s="25">
        <f t="shared" si="253"/>
        <v>0</v>
      </c>
      <c r="CZ143" s="25">
        <f t="shared" si="254"/>
        <v>0</v>
      </c>
      <c r="DA143" s="25">
        <f t="shared" si="255"/>
        <v>1</v>
      </c>
      <c r="DB143" s="25">
        <f t="shared" si="205"/>
        <v>1</v>
      </c>
      <c r="DC143" s="25">
        <f t="shared" si="256"/>
        <v>0</v>
      </c>
      <c r="DD143" s="25">
        <f>IF(OR($AD143&lt;&gt;3,F143="Exclude"),0,IF(ISERROR(MATCH($E143,'4 Sign-off'!$S$123:$X$123,0)),0,1))</f>
        <v>0</v>
      </c>
      <c r="DE143" s="25">
        <f t="shared" si="206"/>
        <v>0</v>
      </c>
      <c r="DF143" s="25">
        <f t="shared" si="257"/>
        <v>0</v>
      </c>
      <c r="DG143" s="25" t="str">
        <f t="shared" si="258"/>
        <v/>
      </c>
      <c r="DH143" s="25">
        <f t="shared" si="259"/>
        <v>0</v>
      </c>
      <c r="DI143" s="25">
        <f t="shared" si="260"/>
        <v>0</v>
      </c>
      <c r="DJ143" s="25">
        <f>IF(ISBLANK(J143),0,ISERROR(MATCH(J143,'5  Control Accounts'!$FA$29:$FA$96,0))*1)</f>
        <v>0</v>
      </c>
      <c r="DK143" s="25">
        <f t="shared" si="261"/>
        <v>0</v>
      </c>
      <c r="DL143" s="25">
        <f t="shared" si="207"/>
        <v>-1</v>
      </c>
      <c r="DM143" s="25" t="e">
        <f t="array" ref="DM143">MATCH(1,($EG143:$JD143&gt;0)*$EG$17:$JD$17,0)</f>
        <v>#N/A</v>
      </c>
      <c r="DN143" s="25" t="e">
        <f t="shared" si="208"/>
        <v>#N/A</v>
      </c>
      <c r="DO143" s="25" t="e">
        <f t="array" ref="DO143">MATCH(2,1/(EG143:JD143&gt;0))</f>
        <v>#N/A</v>
      </c>
      <c r="DP143" s="2993">
        <f t="shared" si="262"/>
        <v>0</v>
      </c>
      <c r="DQ143" s="3037">
        <f t="shared" si="263"/>
        <v>0</v>
      </c>
      <c r="DR143" s="111"/>
      <c r="DS143" s="1268">
        <f t="shared" si="209"/>
        <v>0</v>
      </c>
      <c r="DT143" s="1825"/>
      <c r="DU143" s="1826"/>
      <c r="DV143" s="1827"/>
      <c r="DW143" s="1828"/>
      <c r="DX143" s="659"/>
      <c r="DY143" s="1265"/>
      <c r="DZ143" s="1785">
        <f t="shared" si="210"/>
        <v>0</v>
      </c>
      <c r="EA143" s="1786">
        <f t="shared" si="211"/>
        <v>0</v>
      </c>
      <c r="EB143" s="1781">
        <f t="shared" si="212"/>
        <v>0</v>
      </c>
      <c r="EC143" s="1782">
        <f t="shared" si="213"/>
        <v>0</v>
      </c>
      <c r="ED143" s="1262"/>
      <c r="EE143" s="2280"/>
      <c r="EF143" s="1802"/>
      <c r="EG143" s="167"/>
      <c r="EH143" s="168"/>
      <c r="EI143" s="168"/>
      <c r="EJ143" s="168"/>
      <c r="EK143" s="168"/>
      <c r="EL143" s="168"/>
      <c r="EM143" s="168"/>
      <c r="EN143" s="168"/>
      <c r="EO143" s="168"/>
      <c r="EP143" s="168"/>
      <c r="EQ143" s="168"/>
      <c r="ER143" s="168"/>
      <c r="ES143" s="168"/>
      <c r="ET143" s="168"/>
      <c r="EU143" s="168"/>
      <c r="EV143" s="168"/>
      <c r="EW143" s="168"/>
      <c r="EX143" s="168"/>
      <c r="EY143" s="168"/>
      <c r="EZ143" s="168"/>
      <c r="FA143" s="168"/>
      <c r="FB143" s="168"/>
      <c r="FC143" s="168"/>
      <c r="FD143" s="168"/>
      <c r="FE143" s="168"/>
      <c r="FF143" s="168"/>
      <c r="FG143" s="168"/>
      <c r="FH143" s="168"/>
      <c r="FI143" s="168"/>
      <c r="FJ143" s="168"/>
      <c r="FK143" s="168"/>
      <c r="FL143" s="168"/>
      <c r="FM143" s="168"/>
      <c r="FN143" s="168"/>
      <c r="FO143" s="168"/>
      <c r="FP143" s="168"/>
      <c r="FQ143" s="168"/>
      <c r="FR143" s="168"/>
      <c r="FS143" s="168"/>
      <c r="FT143" s="168"/>
      <c r="FU143" s="168"/>
      <c r="FV143" s="168"/>
      <c r="FW143" s="168"/>
      <c r="FX143" s="168"/>
      <c r="FY143" s="168"/>
      <c r="FZ143" s="168"/>
      <c r="GA143" s="168"/>
      <c r="GB143" s="168"/>
      <c r="GC143" s="168"/>
      <c r="GD143" s="168"/>
      <c r="GE143" s="168"/>
      <c r="GF143" s="168"/>
      <c r="GG143" s="168"/>
      <c r="GH143" s="168"/>
      <c r="GI143" s="168"/>
      <c r="GJ143" s="168"/>
      <c r="GK143" s="168"/>
      <c r="GL143" s="168"/>
      <c r="GM143" s="168"/>
      <c r="GN143" s="168"/>
      <c r="GO143" s="168"/>
      <c r="GP143" s="168"/>
      <c r="GQ143" s="168"/>
      <c r="GR143" s="168"/>
      <c r="GS143" s="168"/>
      <c r="GT143" s="168"/>
      <c r="GU143" s="168"/>
      <c r="GV143" s="168"/>
      <c r="GW143" s="168"/>
      <c r="GX143" s="168"/>
      <c r="GY143" s="168"/>
      <c r="GZ143" s="168"/>
      <c r="HA143" s="168"/>
      <c r="HB143" s="168"/>
      <c r="HC143" s="168"/>
      <c r="HD143" s="168"/>
      <c r="HE143" s="168"/>
      <c r="HF143" s="168"/>
      <c r="HG143" s="168"/>
      <c r="HH143" s="168"/>
      <c r="HI143" s="168"/>
      <c r="HJ143" s="168"/>
      <c r="HK143" s="168"/>
      <c r="HL143" s="168"/>
      <c r="HM143" s="168"/>
      <c r="HN143" s="168"/>
      <c r="HO143" s="168"/>
      <c r="HP143" s="168"/>
      <c r="HQ143" s="168"/>
      <c r="HR143" s="168"/>
      <c r="HS143" s="168"/>
      <c r="HT143" s="168"/>
      <c r="HU143" s="168"/>
      <c r="HV143" s="168"/>
      <c r="HW143" s="168"/>
      <c r="HX143" s="168"/>
      <c r="HY143" s="168"/>
      <c r="HZ143" s="168"/>
      <c r="IA143" s="168"/>
      <c r="IB143" s="168"/>
      <c r="IC143" s="168"/>
      <c r="ID143" s="168"/>
      <c r="IE143" s="168"/>
      <c r="IF143" s="168"/>
      <c r="IG143" s="168"/>
      <c r="IH143" s="168"/>
      <c r="II143" s="168"/>
      <c r="IJ143" s="168"/>
      <c r="IK143" s="168"/>
      <c r="IL143" s="168"/>
      <c r="IM143" s="168"/>
      <c r="IN143" s="168"/>
      <c r="IO143" s="168"/>
      <c r="IP143" s="168"/>
      <c r="IQ143" s="168"/>
      <c r="IR143" s="168"/>
      <c r="IS143" s="168"/>
      <c r="IT143" s="168"/>
      <c r="IU143" s="168"/>
      <c r="IV143" s="168"/>
      <c r="IW143" s="168"/>
      <c r="IX143" s="168"/>
      <c r="IY143" s="168"/>
      <c r="IZ143" s="168"/>
      <c r="JA143" s="168"/>
      <c r="JB143" s="168"/>
      <c r="JC143" s="606"/>
      <c r="JD143" s="609"/>
      <c r="JE143" s="1"/>
      <c r="JF143" s="1"/>
    </row>
    <row r="144" spans="1:266" s="2" customFormat="1" ht="15" customHeight="1" x14ac:dyDescent="0.25">
      <c r="A144" s="283"/>
      <c r="B144" s="303"/>
      <c r="C144" s="301"/>
      <c r="D144" s="638"/>
      <c r="E144" s="2298"/>
      <c r="F144" s="1812"/>
      <c r="G144" s="3342"/>
      <c r="H144" s="66"/>
      <c r="I144" s="1746"/>
      <c r="J144" s="86"/>
      <c r="K144" s="105"/>
      <c r="L144" s="91"/>
      <c r="M144" s="92"/>
      <c r="N144" s="93"/>
      <c r="O144" s="96"/>
      <c r="P144" s="96"/>
      <c r="Q144" s="95"/>
      <c r="R144" s="993">
        <f t="shared" si="198"/>
        <v>0</v>
      </c>
      <c r="S144" s="23">
        <f t="shared" si="214"/>
        <v>0</v>
      </c>
      <c r="T144" s="24">
        <f t="shared" si="215"/>
        <v>0</v>
      </c>
      <c r="U144" s="24">
        <f t="shared" si="199"/>
        <v>0</v>
      </c>
      <c r="V144" s="24">
        <f t="shared" si="216"/>
        <v>0</v>
      </c>
      <c r="W144" s="24">
        <f t="shared" si="217"/>
        <v>0</v>
      </c>
      <c r="X144" s="72">
        <f t="shared" si="218"/>
        <v>0</v>
      </c>
      <c r="Y144" s="72">
        <f t="shared" si="219"/>
        <v>0</v>
      </c>
      <c r="Z144" s="24">
        <f t="shared" si="200"/>
        <v>0</v>
      </c>
      <c r="AA144" s="72">
        <f t="shared" si="220"/>
        <v>0</v>
      </c>
      <c r="AB144" s="24">
        <f t="shared" si="221"/>
        <v>0</v>
      </c>
      <c r="AC144" s="24" t="s">
        <v>5</v>
      </c>
      <c r="AD144" s="25">
        <f t="shared" si="201"/>
        <v>3</v>
      </c>
      <c r="AE144" s="25">
        <f t="shared" si="202"/>
        <v>0</v>
      </c>
      <c r="AF144" s="25">
        <f t="shared" si="203"/>
        <v>0</v>
      </c>
      <c r="AG144" s="25">
        <f t="shared" si="222"/>
        <v>1</v>
      </c>
      <c r="AH144" s="25" t="str">
        <f>IFERROR(MATCH(DY144,'2 Staff List'!$IA$64:$IA$114,0),"x")</f>
        <v>x</v>
      </c>
      <c r="AI144" s="1181">
        <f>IFERROR(INDEX('2 Staff List'!$EX$64:$EX$114,$AH144),0)</f>
        <v>0</v>
      </c>
      <c r="AJ144" s="25">
        <f>IFERROR(INDEX('2 Staff List'!$IW$64:$IW$114,$AH144),0)</f>
        <v>0</v>
      </c>
      <c r="AK144" s="25">
        <f>IFERROR(INDEX('2 Staff List'!$IB$64:$IB$114,$AH144),0)</f>
        <v>0</v>
      </c>
      <c r="AL144" s="25">
        <f>IF(OR(NOT(ISBLANK(DV144)),CX144=1),"&lt;Non-Labor&gt;",IFERROR(IF(AH144=0,0,INDEX('2 Staff List'!$HZ$64:$HZ$114,$AH144)),0))</f>
        <v>0</v>
      </c>
      <c r="AM144" s="25">
        <f>IFERROR(INDEX('2 Staff List'!$HW$64:$HW$114,$AH144),0)</f>
        <v>0</v>
      </c>
      <c r="AN144" s="25">
        <f t="shared" si="223"/>
        <v>1</v>
      </c>
      <c r="AO144" s="25">
        <f>IF($AO$127=0,0,IFERROR(INDEX('2 Staff List'!$JH$64:$JH$114,$AH144),0))</f>
        <v>0</v>
      </c>
      <c r="AP144" s="25">
        <f>IFERROR(INDEX('2 Staff List'!$HU$64:$HU$114,$AH144),0)</f>
        <v>0</v>
      </c>
      <c r="AQ144" s="25">
        <f t="shared" si="224"/>
        <v>0</v>
      </c>
      <c r="AR144" s="25">
        <f t="shared" si="225"/>
        <v>0</v>
      </c>
      <c r="AS144" s="25">
        <f t="shared" si="226"/>
        <v>0</v>
      </c>
      <c r="AT144" s="25">
        <f t="shared" si="227"/>
        <v>0</v>
      </c>
      <c r="AU144" s="25">
        <f t="shared" si="228"/>
        <v>0</v>
      </c>
      <c r="AV144" s="25">
        <f t="shared" si="229"/>
        <v>0</v>
      </c>
      <c r="AW144" s="25">
        <f t="shared" si="230"/>
        <v>0</v>
      </c>
      <c r="AX144" s="25">
        <f t="shared" si="231"/>
        <v>0</v>
      </c>
      <c r="AY144" s="25">
        <f t="shared" si="232"/>
        <v>0</v>
      </c>
      <c r="AZ144" s="25">
        <f t="shared" si="233"/>
        <v>0</v>
      </c>
      <c r="BA144" s="25">
        <f t="shared" si="234"/>
        <v>0</v>
      </c>
      <c r="BB144" s="25">
        <f t="shared" si="235"/>
        <v>0</v>
      </c>
      <c r="BC144" s="25">
        <f>IFERROR(INDEX('2 Staff List'!KS$64:KS$114,$AH144),0)</f>
        <v>0</v>
      </c>
      <c r="BD144" s="25">
        <f>IFERROR(INDEX('2 Staff List'!KT$64:KT$114,$AH144),0)</f>
        <v>0</v>
      </c>
      <c r="BE144" s="25">
        <f>IFERROR(INDEX('2 Staff List'!KU$64:KU$114,$AH144),0)</f>
        <v>0</v>
      </c>
      <c r="BF144" s="25">
        <f>IFERROR(INDEX('2 Staff List'!KV$64:KV$114,$AH144),0)</f>
        <v>0</v>
      </c>
      <c r="BG144" s="25">
        <f>IFERROR(INDEX('2 Staff List'!KW$64:KW$114,$AH144),0)</f>
        <v>0</v>
      </c>
      <c r="BH144" s="25">
        <f>IFERROR(INDEX('2 Staff List'!KX$64:KX$114,$AH144),0)</f>
        <v>0</v>
      </c>
      <c r="BI144" s="25">
        <f>IFERROR(INDEX('2 Staff List'!KY$64:KY$114,$AH144),0)</f>
        <v>0</v>
      </c>
      <c r="BJ144" s="25">
        <f>IFERROR(INDEX('2 Staff List'!KZ$64:KZ$114,$AH144),0)</f>
        <v>0</v>
      </c>
      <c r="BK144" s="25">
        <f>IFERROR(INDEX('2 Staff List'!LA$64:LA$114,$AH144),0)</f>
        <v>0</v>
      </c>
      <c r="BL144" s="25">
        <f>IFERROR(INDEX('2 Staff List'!LB$64:LB$114,$AH144),0)</f>
        <v>0</v>
      </c>
      <c r="BM144" s="25">
        <f>IFERROR(INDEX('2 Staff List'!FT$64:FT$114,$AH144),0)</f>
        <v>0</v>
      </c>
      <c r="BN144" s="25">
        <f>IFERROR(INDEX('2 Staff List'!FU$64:FU$114,$AH144),0)</f>
        <v>0</v>
      </c>
      <c r="BO144" s="25">
        <f>IFERROR(INDEX('2 Staff List'!FV$64:FV$114,$AH144),0)</f>
        <v>0</v>
      </c>
      <c r="BP144" s="25">
        <f>IFERROR(INDEX('2 Staff List'!FW$64:FW$114,$AH144),0)</f>
        <v>0</v>
      </c>
      <c r="BQ144" s="25">
        <f>IFERROR(INDEX('2 Staff List'!FX$64:FX$114,$AH144),0)</f>
        <v>0</v>
      </c>
      <c r="BR144" s="25">
        <f>IFERROR(INDEX('2 Staff List'!FY$64:FY$114,$AH144),0)</f>
        <v>0</v>
      </c>
      <c r="BS144" s="25">
        <f>IFERROR(INDEX('2 Staff List'!FZ$64:FZ$114,$AH144),0)</f>
        <v>0</v>
      </c>
      <c r="BT144" s="25">
        <f>IFERROR(INDEX('2 Staff List'!GA$64:GA$114,$AH144),0)</f>
        <v>0</v>
      </c>
      <c r="BU144" s="25">
        <f>IFERROR(INDEX('2 Staff List'!GB$64:GB$114,$AH144),0)</f>
        <v>0</v>
      </c>
      <c r="BV144" s="25">
        <f>IFERROR(INDEX('2 Staff List'!GC$64:GC$114,$AH144),0)</f>
        <v>0</v>
      </c>
      <c r="BW144" s="25">
        <f t="shared" si="236"/>
        <v>0</v>
      </c>
      <c r="BX144" s="25">
        <f t="shared" si="237"/>
        <v>0</v>
      </c>
      <c r="BY144" s="25">
        <f t="shared" si="238"/>
        <v>0</v>
      </c>
      <c r="BZ144" s="25">
        <f t="shared" si="239"/>
        <v>0</v>
      </c>
      <c r="CA144" s="25">
        <f t="shared" si="240"/>
        <v>0</v>
      </c>
      <c r="CB144" s="25">
        <f t="shared" si="241"/>
        <v>0</v>
      </c>
      <c r="CC144" s="25">
        <f t="shared" si="242"/>
        <v>0</v>
      </c>
      <c r="CD144" s="25">
        <f t="shared" si="243"/>
        <v>0</v>
      </c>
      <c r="CE144" s="25">
        <f t="shared" si="244"/>
        <v>0</v>
      </c>
      <c r="CF144" s="25">
        <f t="shared" si="245"/>
        <v>0</v>
      </c>
      <c r="CG144" s="25">
        <f t="shared" si="246"/>
        <v>0</v>
      </c>
      <c r="CH144" s="25">
        <f>IFERROR(INDEX('2 Staff List'!LO$64:LO$114,$AH144),0)</f>
        <v>0</v>
      </c>
      <c r="CI144" s="25">
        <f>IFERROR(INDEX('2 Staff List'!LP$64:LP$114,$AH144),0)</f>
        <v>0</v>
      </c>
      <c r="CJ144" s="25">
        <f>IFERROR(INDEX('2 Staff List'!LQ$64:LQ$114,$AH144),0)</f>
        <v>0</v>
      </c>
      <c r="CK144" s="25">
        <f>IFERROR(INDEX('2 Staff List'!LR$64:LR$114,$AH144),0)</f>
        <v>0</v>
      </c>
      <c r="CL144" s="25">
        <f>IFERROR(INDEX('2 Staff List'!LS$64:LS$114,$AH144),0)</f>
        <v>0</v>
      </c>
      <c r="CM144" s="25">
        <f>IFERROR(INDEX('2 Staff List'!LT$64:LT$114,$AH144),0)</f>
        <v>0</v>
      </c>
      <c r="CN144" s="25">
        <f>IFERROR(INDEX('2 Staff List'!LU$64:LU$114,$AH144),0)</f>
        <v>0</v>
      </c>
      <c r="CO144" s="25">
        <f>IFERROR(INDEX('2 Staff List'!LV$64:LV$114,$AH144),0)</f>
        <v>0</v>
      </c>
      <c r="CP144" s="25">
        <f>IFERROR(INDEX('2 Staff List'!LW$64:LW$114,$AH144),0)</f>
        <v>0</v>
      </c>
      <c r="CQ144" s="25">
        <f>IFERROR(INDEX('2 Staff List'!LX$64:LX$114,$AH144),0)</f>
        <v>0</v>
      </c>
      <c r="CR144" s="25">
        <f t="shared" si="204"/>
        <v>0</v>
      </c>
      <c r="CS144" s="25">
        <f t="shared" ref="CS144:CS149" si="264">IFERROR(1/CR144,1)</f>
        <v>1</v>
      </c>
      <c r="CT144" s="25">
        <f t="shared" si="248"/>
        <v>1</v>
      </c>
      <c r="CU144" s="25">
        <f t="shared" si="249"/>
        <v>1</v>
      </c>
      <c r="CV144" s="25">
        <f t="shared" si="250"/>
        <v>1</v>
      </c>
      <c r="CW144" s="25">
        <f t="shared" si="251"/>
        <v>1</v>
      </c>
      <c r="CX144" s="25">
        <f t="shared" si="252"/>
        <v>0</v>
      </c>
      <c r="CY144" s="25">
        <f t="shared" si="253"/>
        <v>0</v>
      </c>
      <c r="CZ144" s="25">
        <f t="shared" si="254"/>
        <v>0</v>
      </c>
      <c r="DA144" s="25">
        <f t="shared" si="255"/>
        <v>1</v>
      </c>
      <c r="DB144" s="25">
        <f t="shared" si="205"/>
        <v>1</v>
      </c>
      <c r="DC144" s="25">
        <f t="shared" si="256"/>
        <v>0</v>
      </c>
      <c r="DD144" s="25">
        <f>IF(OR($AD144&lt;&gt;3,F144="Exclude"),0,IF(ISERROR(MATCH($E144,'4 Sign-off'!$S$123:$X$123,0)),0,1))</f>
        <v>0</v>
      </c>
      <c r="DE144" s="25">
        <f t="shared" si="206"/>
        <v>0</v>
      </c>
      <c r="DF144" s="25">
        <f t="shared" si="257"/>
        <v>0</v>
      </c>
      <c r="DG144" s="25" t="str">
        <f t="shared" si="258"/>
        <v/>
      </c>
      <c r="DH144" s="25">
        <f t="shared" si="259"/>
        <v>0</v>
      </c>
      <c r="DI144" s="25">
        <f t="shared" si="260"/>
        <v>0</v>
      </c>
      <c r="DJ144" s="25">
        <f>IF(ISBLANK(J144),0,ISERROR(MATCH(J144,'5  Control Accounts'!$FA$29:$FA$96,0))*1)</f>
        <v>0</v>
      </c>
      <c r="DK144" s="25">
        <f t="shared" si="261"/>
        <v>0</v>
      </c>
      <c r="DL144" s="25">
        <f t="shared" si="207"/>
        <v>-1</v>
      </c>
      <c r="DM144" s="25" t="e">
        <f t="array" ref="DM144">MATCH(1,($EG144:$JD144&gt;0)*$EG$17:$JD$17,0)</f>
        <v>#N/A</v>
      </c>
      <c r="DN144" s="25" t="e">
        <f t="shared" si="208"/>
        <v>#N/A</v>
      </c>
      <c r="DO144" s="25" t="e">
        <f t="array" ref="DO144">MATCH(2,1/(EG144:JD144&gt;0))</f>
        <v>#N/A</v>
      </c>
      <c r="DP144" s="2993">
        <f t="shared" si="262"/>
        <v>0</v>
      </c>
      <c r="DQ144" s="3037">
        <f t="shared" si="263"/>
        <v>0</v>
      </c>
      <c r="DR144" s="111"/>
      <c r="DS144" s="1268">
        <f t="shared" si="209"/>
        <v>0</v>
      </c>
      <c r="DT144" s="1825"/>
      <c r="DU144" s="1826"/>
      <c r="DV144" s="1827"/>
      <c r="DW144" s="1828"/>
      <c r="DX144" s="659"/>
      <c r="DY144" s="1265"/>
      <c r="DZ144" s="1785">
        <f t="shared" si="210"/>
        <v>0</v>
      </c>
      <c r="EA144" s="1786">
        <f t="shared" si="211"/>
        <v>0</v>
      </c>
      <c r="EB144" s="1781">
        <f t="shared" si="212"/>
        <v>0</v>
      </c>
      <c r="EC144" s="1782">
        <f t="shared" si="213"/>
        <v>0</v>
      </c>
      <c r="ED144" s="1262"/>
      <c r="EE144" s="2280"/>
      <c r="EF144" s="1802"/>
      <c r="EG144" s="167"/>
      <c r="EH144" s="168"/>
      <c r="EI144" s="168"/>
      <c r="EJ144" s="168"/>
      <c r="EK144" s="168"/>
      <c r="EL144" s="168"/>
      <c r="EM144" s="168"/>
      <c r="EN144" s="168"/>
      <c r="EO144" s="168"/>
      <c r="EP144" s="168"/>
      <c r="EQ144" s="168"/>
      <c r="ER144" s="168"/>
      <c r="ES144" s="168"/>
      <c r="ET144" s="168"/>
      <c r="EU144" s="168"/>
      <c r="EV144" s="168"/>
      <c r="EW144" s="168"/>
      <c r="EX144" s="168"/>
      <c r="EY144" s="168"/>
      <c r="EZ144" s="168"/>
      <c r="FA144" s="168"/>
      <c r="FB144" s="168"/>
      <c r="FC144" s="168"/>
      <c r="FD144" s="168"/>
      <c r="FE144" s="168"/>
      <c r="FF144" s="168"/>
      <c r="FG144" s="168"/>
      <c r="FH144" s="168"/>
      <c r="FI144" s="168"/>
      <c r="FJ144" s="168"/>
      <c r="FK144" s="168"/>
      <c r="FL144" s="168"/>
      <c r="FM144" s="168"/>
      <c r="FN144" s="168"/>
      <c r="FO144" s="168"/>
      <c r="FP144" s="168"/>
      <c r="FQ144" s="168"/>
      <c r="FR144" s="168"/>
      <c r="FS144" s="168"/>
      <c r="FT144" s="168"/>
      <c r="FU144" s="168"/>
      <c r="FV144" s="168"/>
      <c r="FW144" s="168"/>
      <c r="FX144" s="168"/>
      <c r="FY144" s="168"/>
      <c r="FZ144" s="168"/>
      <c r="GA144" s="168"/>
      <c r="GB144" s="168"/>
      <c r="GC144" s="168"/>
      <c r="GD144" s="168"/>
      <c r="GE144" s="168"/>
      <c r="GF144" s="168"/>
      <c r="GG144" s="168"/>
      <c r="GH144" s="168"/>
      <c r="GI144" s="168"/>
      <c r="GJ144" s="168"/>
      <c r="GK144" s="168"/>
      <c r="GL144" s="168"/>
      <c r="GM144" s="168"/>
      <c r="GN144" s="168"/>
      <c r="GO144" s="168"/>
      <c r="GP144" s="168"/>
      <c r="GQ144" s="168"/>
      <c r="GR144" s="168"/>
      <c r="GS144" s="168"/>
      <c r="GT144" s="168"/>
      <c r="GU144" s="168"/>
      <c r="GV144" s="168"/>
      <c r="GW144" s="168"/>
      <c r="GX144" s="168"/>
      <c r="GY144" s="168"/>
      <c r="GZ144" s="168"/>
      <c r="HA144" s="168"/>
      <c r="HB144" s="168"/>
      <c r="HC144" s="168"/>
      <c r="HD144" s="168"/>
      <c r="HE144" s="168"/>
      <c r="HF144" s="168"/>
      <c r="HG144" s="168"/>
      <c r="HH144" s="168"/>
      <c r="HI144" s="168"/>
      <c r="HJ144" s="168"/>
      <c r="HK144" s="168"/>
      <c r="HL144" s="168"/>
      <c r="HM144" s="168"/>
      <c r="HN144" s="168"/>
      <c r="HO144" s="168"/>
      <c r="HP144" s="168"/>
      <c r="HQ144" s="168"/>
      <c r="HR144" s="168"/>
      <c r="HS144" s="168"/>
      <c r="HT144" s="168"/>
      <c r="HU144" s="168"/>
      <c r="HV144" s="168"/>
      <c r="HW144" s="168"/>
      <c r="HX144" s="168"/>
      <c r="HY144" s="168"/>
      <c r="HZ144" s="168"/>
      <c r="IA144" s="168"/>
      <c r="IB144" s="168"/>
      <c r="IC144" s="168"/>
      <c r="ID144" s="168"/>
      <c r="IE144" s="168"/>
      <c r="IF144" s="168"/>
      <c r="IG144" s="168"/>
      <c r="IH144" s="168"/>
      <c r="II144" s="168"/>
      <c r="IJ144" s="168"/>
      <c r="IK144" s="168"/>
      <c r="IL144" s="168"/>
      <c r="IM144" s="168"/>
      <c r="IN144" s="168"/>
      <c r="IO144" s="168"/>
      <c r="IP144" s="168"/>
      <c r="IQ144" s="168"/>
      <c r="IR144" s="168"/>
      <c r="IS144" s="168"/>
      <c r="IT144" s="168"/>
      <c r="IU144" s="168"/>
      <c r="IV144" s="168"/>
      <c r="IW144" s="168"/>
      <c r="IX144" s="168"/>
      <c r="IY144" s="168"/>
      <c r="IZ144" s="168"/>
      <c r="JA144" s="168"/>
      <c r="JB144" s="168"/>
      <c r="JC144" s="606"/>
      <c r="JD144" s="609"/>
      <c r="JE144" s="1"/>
      <c r="JF144" s="1"/>
    </row>
    <row r="145" spans="1:266" s="2" customFormat="1" ht="15" customHeight="1" x14ac:dyDescent="0.25">
      <c r="A145" s="283"/>
      <c r="B145" s="303"/>
      <c r="C145" s="301"/>
      <c r="D145" s="638"/>
      <c r="E145" s="2298"/>
      <c r="F145" s="1812"/>
      <c r="G145" s="3342"/>
      <c r="H145" s="66"/>
      <c r="I145" s="1746"/>
      <c r="J145" s="86"/>
      <c r="K145" s="105"/>
      <c r="L145" s="91"/>
      <c r="M145" s="92"/>
      <c r="N145" s="93"/>
      <c r="O145" s="96"/>
      <c r="P145" s="96"/>
      <c r="Q145" s="95"/>
      <c r="R145" s="993">
        <f t="shared" si="198"/>
        <v>0</v>
      </c>
      <c r="S145" s="23">
        <f t="shared" si="214"/>
        <v>0</v>
      </c>
      <c r="T145" s="24">
        <f t="shared" si="215"/>
        <v>0</v>
      </c>
      <c r="U145" s="24">
        <f t="shared" si="199"/>
        <v>0</v>
      </c>
      <c r="V145" s="24">
        <f t="shared" si="216"/>
        <v>0</v>
      </c>
      <c r="W145" s="24">
        <f t="shared" si="217"/>
        <v>0</v>
      </c>
      <c r="X145" s="72">
        <f t="shared" si="218"/>
        <v>0</v>
      </c>
      <c r="Y145" s="72">
        <f t="shared" si="219"/>
        <v>0</v>
      </c>
      <c r="Z145" s="24">
        <f t="shared" si="200"/>
        <v>0</v>
      </c>
      <c r="AA145" s="72">
        <f t="shared" si="220"/>
        <v>0</v>
      </c>
      <c r="AB145" s="24">
        <f t="shared" si="221"/>
        <v>0</v>
      </c>
      <c r="AC145" s="24" t="s">
        <v>5</v>
      </c>
      <c r="AD145" s="25">
        <f t="shared" si="201"/>
        <v>3</v>
      </c>
      <c r="AE145" s="25">
        <f t="shared" si="202"/>
        <v>0</v>
      </c>
      <c r="AF145" s="25">
        <f t="shared" si="203"/>
        <v>0</v>
      </c>
      <c r="AG145" s="25">
        <f t="shared" si="222"/>
        <v>1</v>
      </c>
      <c r="AH145" s="25" t="str">
        <f>IFERROR(MATCH(DY145,'2 Staff List'!$IA$64:$IA$114,0),"x")</f>
        <v>x</v>
      </c>
      <c r="AI145" s="1181">
        <f>IFERROR(INDEX('2 Staff List'!$EX$64:$EX$114,$AH145),0)</f>
        <v>0</v>
      </c>
      <c r="AJ145" s="25">
        <f>IFERROR(INDEX('2 Staff List'!$IW$64:$IW$114,$AH145),0)</f>
        <v>0</v>
      </c>
      <c r="AK145" s="25">
        <f>IFERROR(INDEX('2 Staff List'!$IB$64:$IB$114,$AH145),0)</f>
        <v>0</v>
      </c>
      <c r="AL145" s="25">
        <f>IF(OR(NOT(ISBLANK(DV145)),CX145=1),"&lt;Non-Labor&gt;",IFERROR(IF(AH145=0,0,INDEX('2 Staff List'!$HZ$64:$HZ$114,$AH145)),0))</f>
        <v>0</v>
      </c>
      <c r="AM145" s="25">
        <f>IFERROR(INDEX('2 Staff List'!$HW$64:$HW$114,$AH145),0)</f>
        <v>0</v>
      </c>
      <c r="AN145" s="25">
        <f t="shared" si="223"/>
        <v>1</v>
      </c>
      <c r="AO145" s="25">
        <f>IF($AO$127=0,0,IFERROR(INDEX('2 Staff List'!$JH$64:$JH$114,$AH145),0))</f>
        <v>0</v>
      </c>
      <c r="AP145" s="25">
        <f>IFERROR(INDEX('2 Staff List'!$HU$64:$HU$114,$AH145),0)</f>
        <v>0</v>
      </c>
      <c r="AQ145" s="25">
        <f t="shared" si="224"/>
        <v>0</v>
      </c>
      <c r="AR145" s="25">
        <f t="shared" si="225"/>
        <v>0</v>
      </c>
      <c r="AS145" s="25">
        <f t="shared" si="226"/>
        <v>0</v>
      </c>
      <c r="AT145" s="25">
        <f t="shared" si="227"/>
        <v>0</v>
      </c>
      <c r="AU145" s="25">
        <f t="shared" si="228"/>
        <v>0</v>
      </c>
      <c r="AV145" s="25">
        <f t="shared" si="229"/>
        <v>0</v>
      </c>
      <c r="AW145" s="25">
        <f t="shared" si="230"/>
        <v>0</v>
      </c>
      <c r="AX145" s="25">
        <f t="shared" si="231"/>
        <v>0</v>
      </c>
      <c r="AY145" s="25">
        <f t="shared" si="232"/>
        <v>0</v>
      </c>
      <c r="AZ145" s="25">
        <f t="shared" si="233"/>
        <v>0</v>
      </c>
      <c r="BA145" s="25">
        <f t="shared" si="234"/>
        <v>0</v>
      </c>
      <c r="BB145" s="25">
        <f t="shared" si="235"/>
        <v>0</v>
      </c>
      <c r="BC145" s="25">
        <f>IFERROR(INDEX('2 Staff List'!KS$64:KS$114,$AH145),0)</f>
        <v>0</v>
      </c>
      <c r="BD145" s="25">
        <f>IFERROR(INDEX('2 Staff List'!KT$64:KT$114,$AH145),0)</f>
        <v>0</v>
      </c>
      <c r="BE145" s="25">
        <f>IFERROR(INDEX('2 Staff List'!KU$64:KU$114,$AH145),0)</f>
        <v>0</v>
      </c>
      <c r="BF145" s="25">
        <f>IFERROR(INDEX('2 Staff List'!KV$64:KV$114,$AH145),0)</f>
        <v>0</v>
      </c>
      <c r="BG145" s="25">
        <f>IFERROR(INDEX('2 Staff List'!KW$64:KW$114,$AH145),0)</f>
        <v>0</v>
      </c>
      <c r="BH145" s="25">
        <f>IFERROR(INDEX('2 Staff List'!KX$64:KX$114,$AH145),0)</f>
        <v>0</v>
      </c>
      <c r="BI145" s="25">
        <f>IFERROR(INDEX('2 Staff List'!KY$64:KY$114,$AH145),0)</f>
        <v>0</v>
      </c>
      <c r="BJ145" s="25">
        <f>IFERROR(INDEX('2 Staff List'!KZ$64:KZ$114,$AH145),0)</f>
        <v>0</v>
      </c>
      <c r="BK145" s="25">
        <f>IFERROR(INDEX('2 Staff List'!LA$64:LA$114,$AH145),0)</f>
        <v>0</v>
      </c>
      <c r="BL145" s="25">
        <f>IFERROR(INDEX('2 Staff List'!LB$64:LB$114,$AH145),0)</f>
        <v>0</v>
      </c>
      <c r="BM145" s="25">
        <f>IFERROR(INDEX('2 Staff List'!FT$64:FT$114,$AH145),0)</f>
        <v>0</v>
      </c>
      <c r="BN145" s="25">
        <f>IFERROR(INDEX('2 Staff List'!FU$64:FU$114,$AH145),0)</f>
        <v>0</v>
      </c>
      <c r="BO145" s="25">
        <f>IFERROR(INDEX('2 Staff List'!FV$64:FV$114,$AH145),0)</f>
        <v>0</v>
      </c>
      <c r="BP145" s="25">
        <f>IFERROR(INDEX('2 Staff List'!FW$64:FW$114,$AH145),0)</f>
        <v>0</v>
      </c>
      <c r="BQ145" s="25">
        <f>IFERROR(INDEX('2 Staff List'!FX$64:FX$114,$AH145),0)</f>
        <v>0</v>
      </c>
      <c r="BR145" s="25">
        <f>IFERROR(INDEX('2 Staff List'!FY$64:FY$114,$AH145),0)</f>
        <v>0</v>
      </c>
      <c r="BS145" s="25">
        <f>IFERROR(INDEX('2 Staff List'!FZ$64:FZ$114,$AH145),0)</f>
        <v>0</v>
      </c>
      <c r="BT145" s="25">
        <f>IFERROR(INDEX('2 Staff List'!GA$64:GA$114,$AH145),0)</f>
        <v>0</v>
      </c>
      <c r="BU145" s="25">
        <f>IFERROR(INDEX('2 Staff List'!GB$64:GB$114,$AH145),0)</f>
        <v>0</v>
      </c>
      <c r="BV145" s="25">
        <f>IFERROR(INDEX('2 Staff List'!GC$64:GC$114,$AH145),0)</f>
        <v>0</v>
      </c>
      <c r="BW145" s="25">
        <f t="shared" si="236"/>
        <v>0</v>
      </c>
      <c r="BX145" s="25">
        <f t="shared" si="237"/>
        <v>0</v>
      </c>
      <c r="BY145" s="25">
        <f t="shared" si="238"/>
        <v>0</v>
      </c>
      <c r="BZ145" s="25">
        <f t="shared" si="239"/>
        <v>0</v>
      </c>
      <c r="CA145" s="25">
        <f t="shared" si="240"/>
        <v>0</v>
      </c>
      <c r="CB145" s="25">
        <f t="shared" si="241"/>
        <v>0</v>
      </c>
      <c r="CC145" s="25">
        <f t="shared" si="242"/>
        <v>0</v>
      </c>
      <c r="CD145" s="25">
        <f t="shared" si="243"/>
        <v>0</v>
      </c>
      <c r="CE145" s="25">
        <f t="shared" si="244"/>
        <v>0</v>
      </c>
      <c r="CF145" s="25">
        <f t="shared" si="245"/>
        <v>0</v>
      </c>
      <c r="CG145" s="25">
        <f t="shared" si="246"/>
        <v>0</v>
      </c>
      <c r="CH145" s="25">
        <f>IFERROR(INDEX('2 Staff List'!LO$64:LO$114,$AH145),0)</f>
        <v>0</v>
      </c>
      <c r="CI145" s="25">
        <f>IFERROR(INDEX('2 Staff List'!LP$64:LP$114,$AH145),0)</f>
        <v>0</v>
      </c>
      <c r="CJ145" s="25">
        <f>IFERROR(INDEX('2 Staff List'!LQ$64:LQ$114,$AH145),0)</f>
        <v>0</v>
      </c>
      <c r="CK145" s="25">
        <f>IFERROR(INDEX('2 Staff List'!LR$64:LR$114,$AH145),0)</f>
        <v>0</v>
      </c>
      <c r="CL145" s="25">
        <f>IFERROR(INDEX('2 Staff List'!LS$64:LS$114,$AH145),0)</f>
        <v>0</v>
      </c>
      <c r="CM145" s="25">
        <f>IFERROR(INDEX('2 Staff List'!LT$64:LT$114,$AH145),0)</f>
        <v>0</v>
      </c>
      <c r="CN145" s="25">
        <f>IFERROR(INDEX('2 Staff List'!LU$64:LU$114,$AH145),0)</f>
        <v>0</v>
      </c>
      <c r="CO145" s="25">
        <f>IFERROR(INDEX('2 Staff List'!LV$64:LV$114,$AH145),0)</f>
        <v>0</v>
      </c>
      <c r="CP145" s="25">
        <f>IFERROR(INDEX('2 Staff List'!LW$64:LW$114,$AH145),0)</f>
        <v>0</v>
      </c>
      <c r="CQ145" s="25">
        <f>IFERROR(INDEX('2 Staff List'!LX$64:LX$114,$AH145),0)</f>
        <v>0</v>
      </c>
      <c r="CR145" s="25">
        <f t="shared" si="204"/>
        <v>0</v>
      </c>
      <c r="CS145" s="25">
        <f t="shared" si="264"/>
        <v>1</v>
      </c>
      <c r="CT145" s="25">
        <f t="shared" si="248"/>
        <v>1</v>
      </c>
      <c r="CU145" s="25">
        <f t="shared" si="249"/>
        <v>1</v>
      </c>
      <c r="CV145" s="25">
        <f t="shared" si="250"/>
        <v>1</v>
      </c>
      <c r="CW145" s="25">
        <f t="shared" si="251"/>
        <v>1</v>
      </c>
      <c r="CX145" s="25">
        <f t="shared" si="252"/>
        <v>0</v>
      </c>
      <c r="CY145" s="25">
        <f t="shared" si="253"/>
        <v>0</v>
      </c>
      <c r="CZ145" s="25">
        <f t="shared" si="254"/>
        <v>0</v>
      </c>
      <c r="DA145" s="25">
        <f t="shared" si="255"/>
        <v>1</v>
      </c>
      <c r="DB145" s="25">
        <f t="shared" si="205"/>
        <v>1</v>
      </c>
      <c r="DC145" s="25">
        <f t="shared" si="256"/>
        <v>0</v>
      </c>
      <c r="DD145" s="25">
        <f>IF(OR($AD145&lt;&gt;3,F145="Exclude"),0,IF(ISERROR(MATCH($E145,'4 Sign-off'!$S$123:$X$123,0)),0,1))</f>
        <v>0</v>
      </c>
      <c r="DE145" s="25">
        <f t="shared" si="206"/>
        <v>0</v>
      </c>
      <c r="DF145" s="25">
        <f t="shared" si="257"/>
        <v>0</v>
      </c>
      <c r="DG145" s="25" t="str">
        <f t="shared" si="258"/>
        <v/>
      </c>
      <c r="DH145" s="25">
        <f t="shared" si="259"/>
        <v>0</v>
      </c>
      <c r="DI145" s="25">
        <f t="shared" si="260"/>
        <v>0</v>
      </c>
      <c r="DJ145" s="25">
        <f>IF(ISBLANK(J145),0,ISERROR(MATCH(J145,'5  Control Accounts'!$FA$29:$FA$96,0))*1)</f>
        <v>0</v>
      </c>
      <c r="DK145" s="25">
        <f t="shared" si="261"/>
        <v>0</v>
      </c>
      <c r="DL145" s="25">
        <f t="shared" si="207"/>
        <v>-1</v>
      </c>
      <c r="DM145" s="25" t="e">
        <f t="array" ref="DM145">MATCH(1,($EG145:$JD145&gt;0)*$EG$17:$JD$17,0)</f>
        <v>#N/A</v>
      </c>
      <c r="DN145" s="25" t="e">
        <f t="shared" si="208"/>
        <v>#N/A</v>
      </c>
      <c r="DO145" s="25" t="e">
        <f t="array" ref="DO145">MATCH(2,1/(EG145:JD145&gt;0))</f>
        <v>#N/A</v>
      </c>
      <c r="DP145" s="2993">
        <f t="shared" si="262"/>
        <v>0</v>
      </c>
      <c r="DQ145" s="3037">
        <f t="shared" si="263"/>
        <v>0</v>
      </c>
      <c r="DR145" s="111"/>
      <c r="DS145" s="1268">
        <f t="shared" si="209"/>
        <v>0</v>
      </c>
      <c r="DT145" s="1825"/>
      <c r="DU145" s="1826"/>
      <c r="DV145" s="1827"/>
      <c r="DW145" s="1828"/>
      <c r="DX145" s="659"/>
      <c r="DY145" s="1265"/>
      <c r="DZ145" s="1785">
        <f t="shared" si="210"/>
        <v>0</v>
      </c>
      <c r="EA145" s="1786">
        <f t="shared" si="211"/>
        <v>0</v>
      </c>
      <c r="EB145" s="1781">
        <f t="shared" si="212"/>
        <v>0</v>
      </c>
      <c r="EC145" s="1782">
        <f t="shared" si="213"/>
        <v>0</v>
      </c>
      <c r="ED145" s="1262"/>
      <c r="EE145" s="2280"/>
      <c r="EF145" s="1802"/>
      <c r="EG145" s="167"/>
      <c r="EH145" s="168"/>
      <c r="EI145" s="168"/>
      <c r="EJ145" s="168"/>
      <c r="EK145" s="168"/>
      <c r="EL145" s="168"/>
      <c r="EM145" s="168"/>
      <c r="EN145" s="168"/>
      <c r="EO145" s="168"/>
      <c r="EP145" s="168"/>
      <c r="EQ145" s="168"/>
      <c r="ER145" s="168"/>
      <c r="ES145" s="168"/>
      <c r="ET145" s="168"/>
      <c r="EU145" s="168"/>
      <c r="EV145" s="168"/>
      <c r="EW145" s="168"/>
      <c r="EX145" s="168"/>
      <c r="EY145" s="168"/>
      <c r="EZ145" s="168"/>
      <c r="FA145" s="168"/>
      <c r="FB145" s="168"/>
      <c r="FC145" s="168"/>
      <c r="FD145" s="168"/>
      <c r="FE145" s="168"/>
      <c r="FF145" s="168"/>
      <c r="FG145" s="168"/>
      <c r="FH145" s="168"/>
      <c r="FI145" s="168"/>
      <c r="FJ145" s="168"/>
      <c r="FK145" s="168"/>
      <c r="FL145" s="168"/>
      <c r="FM145" s="168"/>
      <c r="FN145" s="168"/>
      <c r="FO145" s="168"/>
      <c r="FP145" s="168"/>
      <c r="FQ145" s="168"/>
      <c r="FR145" s="168"/>
      <c r="FS145" s="168"/>
      <c r="FT145" s="168"/>
      <c r="FU145" s="168"/>
      <c r="FV145" s="168"/>
      <c r="FW145" s="168"/>
      <c r="FX145" s="168"/>
      <c r="FY145" s="168"/>
      <c r="FZ145" s="168"/>
      <c r="GA145" s="168"/>
      <c r="GB145" s="168"/>
      <c r="GC145" s="168"/>
      <c r="GD145" s="168"/>
      <c r="GE145" s="168"/>
      <c r="GF145" s="168"/>
      <c r="GG145" s="168"/>
      <c r="GH145" s="168"/>
      <c r="GI145" s="168"/>
      <c r="GJ145" s="168"/>
      <c r="GK145" s="168"/>
      <c r="GL145" s="168"/>
      <c r="GM145" s="168"/>
      <c r="GN145" s="168"/>
      <c r="GO145" s="168"/>
      <c r="GP145" s="168"/>
      <c r="GQ145" s="168"/>
      <c r="GR145" s="168"/>
      <c r="GS145" s="168"/>
      <c r="GT145" s="168"/>
      <c r="GU145" s="168"/>
      <c r="GV145" s="168"/>
      <c r="GW145" s="168"/>
      <c r="GX145" s="168"/>
      <c r="GY145" s="168"/>
      <c r="GZ145" s="168"/>
      <c r="HA145" s="168"/>
      <c r="HB145" s="168"/>
      <c r="HC145" s="168"/>
      <c r="HD145" s="168"/>
      <c r="HE145" s="168"/>
      <c r="HF145" s="168"/>
      <c r="HG145" s="168"/>
      <c r="HH145" s="168"/>
      <c r="HI145" s="168"/>
      <c r="HJ145" s="168"/>
      <c r="HK145" s="168"/>
      <c r="HL145" s="168"/>
      <c r="HM145" s="168"/>
      <c r="HN145" s="168"/>
      <c r="HO145" s="168"/>
      <c r="HP145" s="168"/>
      <c r="HQ145" s="168"/>
      <c r="HR145" s="168"/>
      <c r="HS145" s="168"/>
      <c r="HT145" s="168"/>
      <c r="HU145" s="168"/>
      <c r="HV145" s="168"/>
      <c r="HW145" s="168"/>
      <c r="HX145" s="168"/>
      <c r="HY145" s="168"/>
      <c r="HZ145" s="168"/>
      <c r="IA145" s="168"/>
      <c r="IB145" s="168"/>
      <c r="IC145" s="168"/>
      <c r="ID145" s="168"/>
      <c r="IE145" s="168"/>
      <c r="IF145" s="168"/>
      <c r="IG145" s="168"/>
      <c r="IH145" s="168"/>
      <c r="II145" s="168"/>
      <c r="IJ145" s="168"/>
      <c r="IK145" s="168"/>
      <c r="IL145" s="168"/>
      <c r="IM145" s="168"/>
      <c r="IN145" s="168"/>
      <c r="IO145" s="168"/>
      <c r="IP145" s="168"/>
      <c r="IQ145" s="168"/>
      <c r="IR145" s="168"/>
      <c r="IS145" s="168"/>
      <c r="IT145" s="168"/>
      <c r="IU145" s="168"/>
      <c r="IV145" s="168"/>
      <c r="IW145" s="168"/>
      <c r="IX145" s="168"/>
      <c r="IY145" s="168"/>
      <c r="IZ145" s="168"/>
      <c r="JA145" s="168"/>
      <c r="JB145" s="168"/>
      <c r="JC145" s="606"/>
      <c r="JD145" s="609"/>
      <c r="JE145" s="1"/>
      <c r="JF145" s="1"/>
    </row>
    <row r="146" spans="1:266" s="2" customFormat="1" ht="15" customHeight="1" x14ac:dyDescent="0.25">
      <c r="A146" s="283"/>
      <c r="B146" s="303"/>
      <c r="C146" s="301"/>
      <c r="D146" s="638"/>
      <c r="E146" s="2298"/>
      <c r="F146" s="1812"/>
      <c r="G146" s="3342"/>
      <c r="H146" s="66"/>
      <c r="I146" s="1746"/>
      <c r="J146" s="86"/>
      <c r="K146" s="105"/>
      <c r="L146" s="91"/>
      <c r="M146" s="92"/>
      <c r="N146" s="93"/>
      <c r="O146" s="96"/>
      <c r="P146" s="96"/>
      <c r="Q146" s="95"/>
      <c r="R146" s="993">
        <f t="shared" si="198"/>
        <v>0</v>
      </c>
      <c r="S146" s="23">
        <f t="shared" si="214"/>
        <v>0</v>
      </c>
      <c r="T146" s="24">
        <f t="shared" si="215"/>
        <v>0</v>
      </c>
      <c r="U146" s="24">
        <f t="shared" si="199"/>
        <v>0</v>
      </c>
      <c r="V146" s="24">
        <f t="shared" si="216"/>
        <v>0</v>
      </c>
      <c r="W146" s="24">
        <f t="shared" si="217"/>
        <v>0</v>
      </c>
      <c r="X146" s="72">
        <f t="shared" si="218"/>
        <v>0</v>
      </c>
      <c r="Y146" s="72">
        <f t="shared" si="219"/>
        <v>0</v>
      </c>
      <c r="Z146" s="24">
        <f t="shared" si="200"/>
        <v>0</v>
      </c>
      <c r="AA146" s="72">
        <f t="shared" si="220"/>
        <v>0</v>
      </c>
      <c r="AB146" s="24">
        <f t="shared" si="221"/>
        <v>0</v>
      </c>
      <c r="AC146" s="24" t="s">
        <v>5</v>
      </c>
      <c r="AD146" s="25">
        <f t="shared" si="201"/>
        <v>3</v>
      </c>
      <c r="AE146" s="25">
        <f t="shared" si="202"/>
        <v>0</v>
      </c>
      <c r="AF146" s="25">
        <f t="shared" si="203"/>
        <v>0</v>
      </c>
      <c r="AG146" s="25">
        <f t="shared" si="222"/>
        <v>1</v>
      </c>
      <c r="AH146" s="25" t="str">
        <f>IFERROR(MATCH(DY146,'2 Staff List'!$IA$64:$IA$114,0),"x")</f>
        <v>x</v>
      </c>
      <c r="AI146" s="1181">
        <f>IFERROR(INDEX('2 Staff List'!$EX$64:$EX$114,$AH146),0)</f>
        <v>0</v>
      </c>
      <c r="AJ146" s="25">
        <f>IFERROR(INDEX('2 Staff List'!$IW$64:$IW$114,$AH146),0)</f>
        <v>0</v>
      </c>
      <c r="AK146" s="25">
        <f>IFERROR(INDEX('2 Staff List'!$IB$64:$IB$114,$AH146),0)</f>
        <v>0</v>
      </c>
      <c r="AL146" s="25">
        <f>IF(OR(NOT(ISBLANK(DV146)),CX146=1),"&lt;Non-Labor&gt;",IFERROR(IF(AH146=0,0,INDEX('2 Staff List'!$HZ$64:$HZ$114,$AH146)),0))</f>
        <v>0</v>
      </c>
      <c r="AM146" s="25">
        <f>IFERROR(INDEX('2 Staff List'!$HW$64:$HW$114,$AH146),0)</f>
        <v>0</v>
      </c>
      <c r="AN146" s="25">
        <f t="shared" si="223"/>
        <v>1</v>
      </c>
      <c r="AO146" s="25">
        <f>IF($AO$127=0,0,IFERROR(INDEX('2 Staff List'!$JH$64:$JH$114,$AH146),0))</f>
        <v>0</v>
      </c>
      <c r="AP146" s="25">
        <f>IFERROR(INDEX('2 Staff List'!$HU$64:$HU$114,$AH146),0)</f>
        <v>0</v>
      </c>
      <c r="AQ146" s="25">
        <f t="shared" si="224"/>
        <v>0</v>
      </c>
      <c r="AR146" s="25">
        <f t="shared" si="225"/>
        <v>0</v>
      </c>
      <c r="AS146" s="25">
        <f t="shared" si="226"/>
        <v>0</v>
      </c>
      <c r="AT146" s="25">
        <f t="shared" si="227"/>
        <v>0</v>
      </c>
      <c r="AU146" s="25">
        <f t="shared" si="228"/>
        <v>0</v>
      </c>
      <c r="AV146" s="25">
        <f t="shared" si="229"/>
        <v>0</v>
      </c>
      <c r="AW146" s="25">
        <f t="shared" si="230"/>
        <v>0</v>
      </c>
      <c r="AX146" s="25">
        <f t="shared" si="231"/>
        <v>0</v>
      </c>
      <c r="AY146" s="25">
        <f t="shared" si="232"/>
        <v>0</v>
      </c>
      <c r="AZ146" s="25">
        <f t="shared" si="233"/>
        <v>0</v>
      </c>
      <c r="BA146" s="25">
        <f t="shared" si="234"/>
        <v>0</v>
      </c>
      <c r="BB146" s="25">
        <f t="shared" si="235"/>
        <v>0</v>
      </c>
      <c r="BC146" s="25">
        <f>IFERROR(INDEX('2 Staff List'!KS$64:KS$114,$AH146),0)</f>
        <v>0</v>
      </c>
      <c r="BD146" s="25">
        <f>IFERROR(INDEX('2 Staff List'!KT$64:KT$114,$AH146),0)</f>
        <v>0</v>
      </c>
      <c r="BE146" s="25">
        <f>IFERROR(INDEX('2 Staff List'!KU$64:KU$114,$AH146),0)</f>
        <v>0</v>
      </c>
      <c r="BF146" s="25">
        <f>IFERROR(INDEX('2 Staff List'!KV$64:KV$114,$AH146),0)</f>
        <v>0</v>
      </c>
      <c r="BG146" s="25">
        <f>IFERROR(INDEX('2 Staff List'!KW$64:KW$114,$AH146),0)</f>
        <v>0</v>
      </c>
      <c r="BH146" s="25">
        <f>IFERROR(INDEX('2 Staff List'!KX$64:KX$114,$AH146),0)</f>
        <v>0</v>
      </c>
      <c r="BI146" s="25">
        <f>IFERROR(INDEX('2 Staff List'!KY$64:KY$114,$AH146),0)</f>
        <v>0</v>
      </c>
      <c r="BJ146" s="25">
        <f>IFERROR(INDEX('2 Staff List'!KZ$64:KZ$114,$AH146),0)</f>
        <v>0</v>
      </c>
      <c r="BK146" s="25">
        <f>IFERROR(INDEX('2 Staff List'!LA$64:LA$114,$AH146),0)</f>
        <v>0</v>
      </c>
      <c r="BL146" s="25">
        <f>IFERROR(INDEX('2 Staff List'!LB$64:LB$114,$AH146),0)</f>
        <v>0</v>
      </c>
      <c r="BM146" s="25">
        <f>IFERROR(INDEX('2 Staff List'!FT$64:FT$114,$AH146),0)</f>
        <v>0</v>
      </c>
      <c r="BN146" s="25">
        <f>IFERROR(INDEX('2 Staff List'!FU$64:FU$114,$AH146),0)</f>
        <v>0</v>
      </c>
      <c r="BO146" s="25">
        <f>IFERROR(INDEX('2 Staff List'!FV$64:FV$114,$AH146),0)</f>
        <v>0</v>
      </c>
      <c r="BP146" s="25">
        <f>IFERROR(INDEX('2 Staff List'!FW$64:FW$114,$AH146),0)</f>
        <v>0</v>
      </c>
      <c r="BQ146" s="25">
        <f>IFERROR(INDEX('2 Staff List'!FX$64:FX$114,$AH146),0)</f>
        <v>0</v>
      </c>
      <c r="BR146" s="25">
        <f>IFERROR(INDEX('2 Staff List'!FY$64:FY$114,$AH146),0)</f>
        <v>0</v>
      </c>
      <c r="BS146" s="25">
        <f>IFERROR(INDEX('2 Staff List'!FZ$64:FZ$114,$AH146),0)</f>
        <v>0</v>
      </c>
      <c r="BT146" s="25">
        <f>IFERROR(INDEX('2 Staff List'!GA$64:GA$114,$AH146),0)</f>
        <v>0</v>
      </c>
      <c r="BU146" s="25">
        <f>IFERROR(INDEX('2 Staff List'!GB$64:GB$114,$AH146),0)</f>
        <v>0</v>
      </c>
      <c r="BV146" s="25">
        <f>IFERROR(INDEX('2 Staff List'!GC$64:GC$114,$AH146),0)</f>
        <v>0</v>
      </c>
      <c r="BW146" s="25">
        <f t="shared" si="236"/>
        <v>0</v>
      </c>
      <c r="BX146" s="25">
        <f t="shared" si="237"/>
        <v>0</v>
      </c>
      <c r="BY146" s="25">
        <f t="shared" si="238"/>
        <v>0</v>
      </c>
      <c r="BZ146" s="25">
        <f t="shared" si="239"/>
        <v>0</v>
      </c>
      <c r="CA146" s="25">
        <f t="shared" si="240"/>
        <v>0</v>
      </c>
      <c r="CB146" s="25">
        <f t="shared" si="241"/>
        <v>0</v>
      </c>
      <c r="CC146" s="25">
        <f t="shared" si="242"/>
        <v>0</v>
      </c>
      <c r="CD146" s="25">
        <f t="shared" si="243"/>
        <v>0</v>
      </c>
      <c r="CE146" s="25">
        <f t="shared" si="244"/>
        <v>0</v>
      </c>
      <c r="CF146" s="25">
        <f t="shared" si="245"/>
        <v>0</v>
      </c>
      <c r="CG146" s="25">
        <f t="shared" si="246"/>
        <v>0</v>
      </c>
      <c r="CH146" s="25">
        <f>IFERROR(INDEX('2 Staff List'!LO$64:LO$114,$AH146),0)</f>
        <v>0</v>
      </c>
      <c r="CI146" s="25">
        <f>IFERROR(INDEX('2 Staff List'!LP$64:LP$114,$AH146),0)</f>
        <v>0</v>
      </c>
      <c r="CJ146" s="25">
        <f>IFERROR(INDEX('2 Staff List'!LQ$64:LQ$114,$AH146),0)</f>
        <v>0</v>
      </c>
      <c r="CK146" s="25">
        <f>IFERROR(INDEX('2 Staff List'!LR$64:LR$114,$AH146),0)</f>
        <v>0</v>
      </c>
      <c r="CL146" s="25">
        <f>IFERROR(INDEX('2 Staff List'!LS$64:LS$114,$AH146),0)</f>
        <v>0</v>
      </c>
      <c r="CM146" s="25">
        <f>IFERROR(INDEX('2 Staff List'!LT$64:LT$114,$AH146),0)</f>
        <v>0</v>
      </c>
      <c r="CN146" s="25">
        <f>IFERROR(INDEX('2 Staff List'!LU$64:LU$114,$AH146),0)</f>
        <v>0</v>
      </c>
      <c r="CO146" s="25">
        <f>IFERROR(INDEX('2 Staff List'!LV$64:LV$114,$AH146),0)</f>
        <v>0</v>
      </c>
      <c r="CP146" s="25">
        <f>IFERROR(INDEX('2 Staff List'!LW$64:LW$114,$AH146),0)</f>
        <v>0</v>
      </c>
      <c r="CQ146" s="25">
        <f>IFERROR(INDEX('2 Staff List'!LX$64:LX$114,$AH146),0)</f>
        <v>0</v>
      </c>
      <c r="CR146" s="25">
        <f t="shared" si="204"/>
        <v>0</v>
      </c>
      <c r="CS146" s="25">
        <f t="shared" si="264"/>
        <v>1</v>
      </c>
      <c r="CT146" s="25">
        <f t="shared" si="248"/>
        <v>1</v>
      </c>
      <c r="CU146" s="25">
        <f t="shared" si="249"/>
        <v>1</v>
      </c>
      <c r="CV146" s="25">
        <f t="shared" si="250"/>
        <v>1</v>
      </c>
      <c r="CW146" s="25">
        <f t="shared" si="251"/>
        <v>1</v>
      </c>
      <c r="CX146" s="25">
        <f t="shared" si="252"/>
        <v>0</v>
      </c>
      <c r="CY146" s="25">
        <f t="shared" si="253"/>
        <v>0</v>
      </c>
      <c r="CZ146" s="25">
        <f t="shared" si="254"/>
        <v>0</v>
      </c>
      <c r="DA146" s="25">
        <f t="shared" si="255"/>
        <v>1</v>
      </c>
      <c r="DB146" s="25">
        <f t="shared" si="205"/>
        <v>1</v>
      </c>
      <c r="DC146" s="25">
        <f t="shared" si="256"/>
        <v>0</v>
      </c>
      <c r="DD146" s="25">
        <f>IF(OR($AD146&lt;&gt;3,F146="Exclude"),0,IF(ISERROR(MATCH($E146,'4 Sign-off'!$S$123:$X$123,0)),0,1))</f>
        <v>0</v>
      </c>
      <c r="DE146" s="25">
        <f t="shared" si="206"/>
        <v>0</v>
      </c>
      <c r="DF146" s="25">
        <f t="shared" si="257"/>
        <v>0</v>
      </c>
      <c r="DG146" s="25" t="str">
        <f t="shared" si="258"/>
        <v/>
      </c>
      <c r="DH146" s="25">
        <f t="shared" si="259"/>
        <v>0</v>
      </c>
      <c r="DI146" s="25">
        <f t="shared" si="260"/>
        <v>0</v>
      </c>
      <c r="DJ146" s="25">
        <f>IF(ISBLANK(J146),0,ISERROR(MATCH(J146,'5  Control Accounts'!$FA$29:$FA$96,0))*1)</f>
        <v>0</v>
      </c>
      <c r="DK146" s="25">
        <f t="shared" si="261"/>
        <v>0</v>
      </c>
      <c r="DL146" s="25">
        <f t="shared" si="207"/>
        <v>-1</v>
      </c>
      <c r="DM146" s="25" t="e">
        <f t="array" ref="DM146">MATCH(1,($EG146:$JD146&gt;0)*$EG$17:$JD$17,0)</f>
        <v>#N/A</v>
      </c>
      <c r="DN146" s="25" t="e">
        <f t="shared" si="208"/>
        <v>#N/A</v>
      </c>
      <c r="DO146" s="25" t="e">
        <f t="array" ref="DO146">MATCH(2,1/(EG146:JD146&gt;0))</f>
        <v>#N/A</v>
      </c>
      <c r="DP146" s="2993">
        <f t="shared" si="262"/>
        <v>0</v>
      </c>
      <c r="DQ146" s="3037">
        <f t="shared" si="263"/>
        <v>0</v>
      </c>
      <c r="DR146" s="111"/>
      <c r="DS146" s="1268">
        <f t="shared" si="209"/>
        <v>0</v>
      </c>
      <c r="DT146" s="1825"/>
      <c r="DU146" s="1826"/>
      <c r="DV146" s="1827"/>
      <c r="DW146" s="1828"/>
      <c r="DX146" s="659"/>
      <c r="DY146" s="1265"/>
      <c r="DZ146" s="1785">
        <f t="shared" si="210"/>
        <v>0</v>
      </c>
      <c r="EA146" s="1786">
        <f t="shared" si="211"/>
        <v>0</v>
      </c>
      <c r="EB146" s="1781">
        <f t="shared" si="212"/>
        <v>0</v>
      </c>
      <c r="EC146" s="1782">
        <f t="shared" si="213"/>
        <v>0</v>
      </c>
      <c r="ED146" s="1262"/>
      <c r="EE146" s="2280"/>
      <c r="EF146" s="1802"/>
      <c r="EG146" s="167"/>
      <c r="EH146" s="168"/>
      <c r="EI146" s="168"/>
      <c r="EJ146" s="168"/>
      <c r="EK146" s="168"/>
      <c r="EL146" s="168"/>
      <c r="EM146" s="168"/>
      <c r="EN146" s="168"/>
      <c r="EO146" s="168"/>
      <c r="EP146" s="168"/>
      <c r="EQ146" s="168"/>
      <c r="ER146" s="168"/>
      <c r="ES146" s="168"/>
      <c r="ET146" s="168"/>
      <c r="EU146" s="168"/>
      <c r="EV146" s="168"/>
      <c r="EW146" s="168"/>
      <c r="EX146" s="168"/>
      <c r="EY146" s="168"/>
      <c r="EZ146" s="168"/>
      <c r="FA146" s="168"/>
      <c r="FB146" s="168"/>
      <c r="FC146" s="168"/>
      <c r="FD146" s="168"/>
      <c r="FE146" s="168"/>
      <c r="FF146" s="168"/>
      <c r="FG146" s="168"/>
      <c r="FH146" s="168"/>
      <c r="FI146" s="168"/>
      <c r="FJ146" s="168"/>
      <c r="FK146" s="168"/>
      <c r="FL146" s="168"/>
      <c r="FM146" s="168"/>
      <c r="FN146" s="168"/>
      <c r="FO146" s="168"/>
      <c r="FP146" s="168"/>
      <c r="FQ146" s="168"/>
      <c r="FR146" s="168"/>
      <c r="FS146" s="168"/>
      <c r="FT146" s="168"/>
      <c r="FU146" s="168"/>
      <c r="FV146" s="168"/>
      <c r="FW146" s="168"/>
      <c r="FX146" s="168"/>
      <c r="FY146" s="168"/>
      <c r="FZ146" s="168"/>
      <c r="GA146" s="168"/>
      <c r="GB146" s="168"/>
      <c r="GC146" s="168"/>
      <c r="GD146" s="168"/>
      <c r="GE146" s="168"/>
      <c r="GF146" s="168"/>
      <c r="GG146" s="168"/>
      <c r="GH146" s="168"/>
      <c r="GI146" s="168"/>
      <c r="GJ146" s="168"/>
      <c r="GK146" s="168"/>
      <c r="GL146" s="168"/>
      <c r="GM146" s="168"/>
      <c r="GN146" s="168"/>
      <c r="GO146" s="168"/>
      <c r="GP146" s="168"/>
      <c r="GQ146" s="168"/>
      <c r="GR146" s="168"/>
      <c r="GS146" s="168"/>
      <c r="GT146" s="168"/>
      <c r="GU146" s="168"/>
      <c r="GV146" s="168"/>
      <c r="GW146" s="168"/>
      <c r="GX146" s="168"/>
      <c r="GY146" s="168"/>
      <c r="GZ146" s="168"/>
      <c r="HA146" s="168"/>
      <c r="HB146" s="168"/>
      <c r="HC146" s="168"/>
      <c r="HD146" s="168"/>
      <c r="HE146" s="168"/>
      <c r="HF146" s="168"/>
      <c r="HG146" s="168"/>
      <c r="HH146" s="168"/>
      <c r="HI146" s="168"/>
      <c r="HJ146" s="168"/>
      <c r="HK146" s="168"/>
      <c r="HL146" s="168"/>
      <c r="HM146" s="168"/>
      <c r="HN146" s="168"/>
      <c r="HO146" s="168"/>
      <c r="HP146" s="168"/>
      <c r="HQ146" s="168"/>
      <c r="HR146" s="168"/>
      <c r="HS146" s="168"/>
      <c r="HT146" s="168"/>
      <c r="HU146" s="168"/>
      <c r="HV146" s="168"/>
      <c r="HW146" s="168"/>
      <c r="HX146" s="168"/>
      <c r="HY146" s="168"/>
      <c r="HZ146" s="168"/>
      <c r="IA146" s="168"/>
      <c r="IB146" s="168"/>
      <c r="IC146" s="168"/>
      <c r="ID146" s="168"/>
      <c r="IE146" s="168"/>
      <c r="IF146" s="168"/>
      <c r="IG146" s="168"/>
      <c r="IH146" s="168"/>
      <c r="II146" s="168"/>
      <c r="IJ146" s="168"/>
      <c r="IK146" s="168"/>
      <c r="IL146" s="168"/>
      <c r="IM146" s="168"/>
      <c r="IN146" s="168"/>
      <c r="IO146" s="168"/>
      <c r="IP146" s="168"/>
      <c r="IQ146" s="168"/>
      <c r="IR146" s="168"/>
      <c r="IS146" s="168"/>
      <c r="IT146" s="168"/>
      <c r="IU146" s="168"/>
      <c r="IV146" s="168"/>
      <c r="IW146" s="168"/>
      <c r="IX146" s="168"/>
      <c r="IY146" s="168"/>
      <c r="IZ146" s="168"/>
      <c r="JA146" s="168"/>
      <c r="JB146" s="168"/>
      <c r="JC146" s="606"/>
      <c r="JD146" s="609"/>
      <c r="JE146" s="1"/>
      <c r="JF146" s="1"/>
    </row>
    <row r="147" spans="1:266" s="2" customFormat="1" ht="15" customHeight="1" x14ac:dyDescent="0.25">
      <c r="A147" s="283"/>
      <c r="B147" s="303"/>
      <c r="C147" s="301"/>
      <c r="D147" s="638"/>
      <c r="E147" s="2298"/>
      <c r="F147" s="1812"/>
      <c r="G147" s="3342"/>
      <c r="H147" s="66"/>
      <c r="I147" s="1746"/>
      <c r="J147" s="86"/>
      <c r="K147" s="105"/>
      <c r="L147" s="91"/>
      <c r="M147" s="92"/>
      <c r="N147" s="93"/>
      <c r="O147" s="96"/>
      <c r="P147" s="96"/>
      <c r="Q147" s="95"/>
      <c r="R147" s="993">
        <f t="shared" si="198"/>
        <v>0</v>
      </c>
      <c r="S147" s="23">
        <f t="shared" si="214"/>
        <v>0</v>
      </c>
      <c r="T147" s="24">
        <f t="shared" si="215"/>
        <v>0</v>
      </c>
      <c r="U147" s="24">
        <f t="shared" si="199"/>
        <v>0</v>
      </c>
      <c r="V147" s="24">
        <f t="shared" si="216"/>
        <v>0</v>
      </c>
      <c r="W147" s="24">
        <f t="shared" si="217"/>
        <v>0</v>
      </c>
      <c r="X147" s="72">
        <f t="shared" si="218"/>
        <v>0</v>
      </c>
      <c r="Y147" s="72">
        <f t="shared" si="219"/>
        <v>0</v>
      </c>
      <c r="Z147" s="24">
        <f t="shared" si="200"/>
        <v>0</v>
      </c>
      <c r="AA147" s="72">
        <f t="shared" si="220"/>
        <v>0</v>
      </c>
      <c r="AB147" s="24">
        <f t="shared" si="221"/>
        <v>0</v>
      </c>
      <c r="AC147" s="24" t="s">
        <v>5</v>
      </c>
      <c r="AD147" s="25">
        <f t="shared" si="201"/>
        <v>3</v>
      </c>
      <c r="AE147" s="25">
        <f t="shared" si="202"/>
        <v>0</v>
      </c>
      <c r="AF147" s="25">
        <f t="shared" si="203"/>
        <v>0</v>
      </c>
      <c r="AG147" s="25">
        <f t="shared" si="222"/>
        <v>1</v>
      </c>
      <c r="AH147" s="25" t="str">
        <f>IFERROR(MATCH(DY147,'2 Staff List'!$IA$64:$IA$114,0),"x")</f>
        <v>x</v>
      </c>
      <c r="AI147" s="1181">
        <f>IFERROR(INDEX('2 Staff List'!$EX$64:$EX$114,$AH147),0)</f>
        <v>0</v>
      </c>
      <c r="AJ147" s="25">
        <f>IFERROR(INDEX('2 Staff List'!$IW$64:$IW$114,$AH147),0)</f>
        <v>0</v>
      </c>
      <c r="AK147" s="25">
        <f>IFERROR(INDEX('2 Staff List'!$IB$64:$IB$114,$AH147),0)</f>
        <v>0</v>
      </c>
      <c r="AL147" s="25">
        <f>IF(OR(NOT(ISBLANK(DV147)),CX147=1),"&lt;Non-Labor&gt;",IFERROR(IF(AH147=0,0,INDEX('2 Staff List'!$HZ$64:$HZ$114,$AH147)),0))</f>
        <v>0</v>
      </c>
      <c r="AM147" s="25">
        <f>IFERROR(INDEX('2 Staff List'!$HW$64:$HW$114,$AH147),0)</f>
        <v>0</v>
      </c>
      <c r="AN147" s="25">
        <f t="shared" si="223"/>
        <v>1</v>
      </c>
      <c r="AO147" s="25">
        <f>IF($AO$127=0,0,IFERROR(INDEX('2 Staff List'!$JH$64:$JH$114,$AH147),0))</f>
        <v>0</v>
      </c>
      <c r="AP147" s="25">
        <f>IFERROR(INDEX('2 Staff List'!$HU$64:$HU$114,$AH147),0)</f>
        <v>0</v>
      </c>
      <c r="AQ147" s="25">
        <f t="shared" si="224"/>
        <v>0</v>
      </c>
      <c r="AR147" s="25">
        <f t="shared" si="225"/>
        <v>0</v>
      </c>
      <c r="AS147" s="25">
        <f t="shared" si="226"/>
        <v>0</v>
      </c>
      <c r="AT147" s="25">
        <f t="shared" si="227"/>
        <v>0</v>
      </c>
      <c r="AU147" s="25">
        <f t="shared" si="228"/>
        <v>0</v>
      </c>
      <c r="AV147" s="25">
        <f t="shared" si="229"/>
        <v>0</v>
      </c>
      <c r="AW147" s="25">
        <f t="shared" si="230"/>
        <v>0</v>
      </c>
      <c r="AX147" s="25">
        <f t="shared" si="231"/>
        <v>0</v>
      </c>
      <c r="AY147" s="25">
        <f t="shared" si="232"/>
        <v>0</v>
      </c>
      <c r="AZ147" s="25">
        <f t="shared" si="233"/>
        <v>0</v>
      </c>
      <c r="BA147" s="25">
        <f t="shared" si="234"/>
        <v>0</v>
      </c>
      <c r="BB147" s="25">
        <f t="shared" si="235"/>
        <v>0</v>
      </c>
      <c r="BC147" s="25">
        <f>IFERROR(INDEX('2 Staff List'!KS$64:KS$114,$AH147),0)</f>
        <v>0</v>
      </c>
      <c r="BD147" s="25">
        <f>IFERROR(INDEX('2 Staff List'!KT$64:KT$114,$AH147),0)</f>
        <v>0</v>
      </c>
      <c r="BE147" s="25">
        <f>IFERROR(INDEX('2 Staff List'!KU$64:KU$114,$AH147),0)</f>
        <v>0</v>
      </c>
      <c r="BF147" s="25">
        <f>IFERROR(INDEX('2 Staff List'!KV$64:KV$114,$AH147),0)</f>
        <v>0</v>
      </c>
      <c r="BG147" s="25">
        <f>IFERROR(INDEX('2 Staff List'!KW$64:KW$114,$AH147),0)</f>
        <v>0</v>
      </c>
      <c r="BH147" s="25">
        <f>IFERROR(INDEX('2 Staff List'!KX$64:KX$114,$AH147),0)</f>
        <v>0</v>
      </c>
      <c r="BI147" s="25">
        <f>IFERROR(INDEX('2 Staff List'!KY$64:KY$114,$AH147),0)</f>
        <v>0</v>
      </c>
      <c r="BJ147" s="25">
        <f>IFERROR(INDEX('2 Staff List'!KZ$64:KZ$114,$AH147),0)</f>
        <v>0</v>
      </c>
      <c r="BK147" s="25">
        <f>IFERROR(INDEX('2 Staff List'!LA$64:LA$114,$AH147),0)</f>
        <v>0</v>
      </c>
      <c r="BL147" s="25">
        <f>IFERROR(INDEX('2 Staff List'!LB$64:LB$114,$AH147),0)</f>
        <v>0</v>
      </c>
      <c r="BM147" s="25">
        <f>IFERROR(INDEX('2 Staff List'!FT$64:FT$114,$AH147),0)</f>
        <v>0</v>
      </c>
      <c r="BN147" s="25">
        <f>IFERROR(INDEX('2 Staff List'!FU$64:FU$114,$AH147),0)</f>
        <v>0</v>
      </c>
      <c r="BO147" s="25">
        <f>IFERROR(INDEX('2 Staff List'!FV$64:FV$114,$AH147),0)</f>
        <v>0</v>
      </c>
      <c r="BP147" s="25">
        <f>IFERROR(INDEX('2 Staff List'!FW$64:FW$114,$AH147),0)</f>
        <v>0</v>
      </c>
      <c r="BQ147" s="25">
        <f>IFERROR(INDEX('2 Staff List'!FX$64:FX$114,$AH147),0)</f>
        <v>0</v>
      </c>
      <c r="BR147" s="25">
        <f>IFERROR(INDEX('2 Staff List'!FY$64:FY$114,$AH147),0)</f>
        <v>0</v>
      </c>
      <c r="BS147" s="25">
        <f>IFERROR(INDEX('2 Staff List'!FZ$64:FZ$114,$AH147),0)</f>
        <v>0</v>
      </c>
      <c r="BT147" s="25">
        <f>IFERROR(INDEX('2 Staff List'!GA$64:GA$114,$AH147),0)</f>
        <v>0</v>
      </c>
      <c r="BU147" s="25">
        <f>IFERROR(INDEX('2 Staff List'!GB$64:GB$114,$AH147),0)</f>
        <v>0</v>
      </c>
      <c r="BV147" s="25">
        <f>IFERROR(INDEX('2 Staff List'!GC$64:GC$114,$AH147),0)</f>
        <v>0</v>
      </c>
      <c r="BW147" s="25">
        <f t="shared" si="236"/>
        <v>0</v>
      </c>
      <c r="BX147" s="25">
        <f t="shared" si="237"/>
        <v>0</v>
      </c>
      <c r="BY147" s="25">
        <f t="shared" si="238"/>
        <v>0</v>
      </c>
      <c r="BZ147" s="25">
        <f t="shared" si="239"/>
        <v>0</v>
      </c>
      <c r="CA147" s="25">
        <f t="shared" si="240"/>
        <v>0</v>
      </c>
      <c r="CB147" s="25">
        <f t="shared" si="241"/>
        <v>0</v>
      </c>
      <c r="CC147" s="25">
        <f t="shared" si="242"/>
        <v>0</v>
      </c>
      <c r="CD147" s="25">
        <f t="shared" si="243"/>
        <v>0</v>
      </c>
      <c r="CE147" s="25">
        <f t="shared" si="244"/>
        <v>0</v>
      </c>
      <c r="CF147" s="25">
        <f t="shared" si="245"/>
        <v>0</v>
      </c>
      <c r="CG147" s="25">
        <f t="shared" si="246"/>
        <v>0</v>
      </c>
      <c r="CH147" s="25">
        <f>IFERROR(INDEX('2 Staff List'!LO$64:LO$114,$AH147),0)</f>
        <v>0</v>
      </c>
      <c r="CI147" s="25">
        <f>IFERROR(INDEX('2 Staff List'!LP$64:LP$114,$AH147),0)</f>
        <v>0</v>
      </c>
      <c r="CJ147" s="25">
        <f>IFERROR(INDEX('2 Staff List'!LQ$64:LQ$114,$AH147),0)</f>
        <v>0</v>
      </c>
      <c r="CK147" s="25">
        <f>IFERROR(INDEX('2 Staff List'!LR$64:LR$114,$AH147),0)</f>
        <v>0</v>
      </c>
      <c r="CL147" s="25">
        <f>IFERROR(INDEX('2 Staff List'!LS$64:LS$114,$AH147),0)</f>
        <v>0</v>
      </c>
      <c r="CM147" s="25">
        <f>IFERROR(INDEX('2 Staff List'!LT$64:LT$114,$AH147),0)</f>
        <v>0</v>
      </c>
      <c r="CN147" s="25">
        <f>IFERROR(INDEX('2 Staff List'!LU$64:LU$114,$AH147),0)</f>
        <v>0</v>
      </c>
      <c r="CO147" s="25">
        <f>IFERROR(INDEX('2 Staff List'!LV$64:LV$114,$AH147),0)</f>
        <v>0</v>
      </c>
      <c r="CP147" s="25">
        <f>IFERROR(INDEX('2 Staff List'!LW$64:LW$114,$AH147),0)</f>
        <v>0</v>
      </c>
      <c r="CQ147" s="25">
        <f>IFERROR(INDEX('2 Staff List'!LX$64:LX$114,$AH147),0)</f>
        <v>0</v>
      </c>
      <c r="CR147" s="25">
        <f t="shared" si="204"/>
        <v>0</v>
      </c>
      <c r="CS147" s="25">
        <f t="shared" si="264"/>
        <v>1</v>
      </c>
      <c r="CT147" s="25">
        <f t="shared" si="248"/>
        <v>1</v>
      </c>
      <c r="CU147" s="25">
        <f t="shared" si="249"/>
        <v>1</v>
      </c>
      <c r="CV147" s="25">
        <f t="shared" si="250"/>
        <v>1</v>
      </c>
      <c r="CW147" s="25">
        <f t="shared" si="251"/>
        <v>1</v>
      </c>
      <c r="CX147" s="25">
        <f t="shared" si="252"/>
        <v>0</v>
      </c>
      <c r="CY147" s="25">
        <f t="shared" si="253"/>
        <v>0</v>
      </c>
      <c r="CZ147" s="25">
        <f t="shared" si="254"/>
        <v>0</v>
      </c>
      <c r="DA147" s="25">
        <f t="shared" si="255"/>
        <v>1</v>
      </c>
      <c r="DB147" s="25">
        <f t="shared" si="205"/>
        <v>1</v>
      </c>
      <c r="DC147" s="25">
        <f t="shared" si="256"/>
        <v>0</v>
      </c>
      <c r="DD147" s="25">
        <f>IF(OR($AD147&lt;&gt;3,F147="Exclude"),0,IF(ISERROR(MATCH($E147,'4 Sign-off'!$S$123:$X$123,0)),0,1))</f>
        <v>0</v>
      </c>
      <c r="DE147" s="25">
        <f t="shared" si="206"/>
        <v>0</v>
      </c>
      <c r="DF147" s="25">
        <f t="shared" si="257"/>
        <v>0</v>
      </c>
      <c r="DG147" s="25" t="str">
        <f t="shared" si="258"/>
        <v/>
      </c>
      <c r="DH147" s="25">
        <f t="shared" si="259"/>
        <v>0</v>
      </c>
      <c r="DI147" s="25">
        <f t="shared" si="260"/>
        <v>0</v>
      </c>
      <c r="DJ147" s="25">
        <f>IF(ISBLANK(J147),0,ISERROR(MATCH(J147,'5  Control Accounts'!$FA$29:$FA$96,0))*1)</f>
        <v>0</v>
      </c>
      <c r="DK147" s="25">
        <f t="shared" si="261"/>
        <v>0</v>
      </c>
      <c r="DL147" s="25">
        <f t="shared" si="207"/>
        <v>-1</v>
      </c>
      <c r="DM147" s="25" t="e">
        <f t="array" ref="DM147">MATCH(1,($EG147:$JD147&gt;0)*$EG$17:$JD$17,0)</f>
        <v>#N/A</v>
      </c>
      <c r="DN147" s="25" t="e">
        <f t="shared" si="208"/>
        <v>#N/A</v>
      </c>
      <c r="DO147" s="25" t="e">
        <f t="array" ref="DO147">MATCH(2,1/(EG147:JD147&gt;0))</f>
        <v>#N/A</v>
      </c>
      <c r="DP147" s="2993">
        <f t="shared" si="262"/>
        <v>0</v>
      </c>
      <c r="DQ147" s="3037">
        <f t="shared" si="263"/>
        <v>0</v>
      </c>
      <c r="DR147" s="111"/>
      <c r="DS147" s="1268">
        <f t="shared" si="209"/>
        <v>0</v>
      </c>
      <c r="DT147" s="1825"/>
      <c r="DU147" s="1826"/>
      <c r="DV147" s="1827"/>
      <c r="DW147" s="1828"/>
      <c r="DX147" s="659"/>
      <c r="DY147" s="1265"/>
      <c r="DZ147" s="1785">
        <f t="shared" si="210"/>
        <v>0</v>
      </c>
      <c r="EA147" s="1786">
        <f t="shared" si="211"/>
        <v>0</v>
      </c>
      <c r="EB147" s="1781">
        <f t="shared" si="212"/>
        <v>0</v>
      </c>
      <c r="EC147" s="1782">
        <f t="shared" si="213"/>
        <v>0</v>
      </c>
      <c r="ED147" s="1262"/>
      <c r="EE147" s="2280"/>
      <c r="EF147" s="1802"/>
      <c r="EG147" s="167"/>
      <c r="EH147" s="168"/>
      <c r="EI147" s="168"/>
      <c r="EJ147" s="168"/>
      <c r="EK147" s="168"/>
      <c r="EL147" s="168"/>
      <c r="EM147" s="168"/>
      <c r="EN147" s="168"/>
      <c r="EO147" s="168"/>
      <c r="EP147" s="168"/>
      <c r="EQ147" s="168"/>
      <c r="ER147" s="168"/>
      <c r="ES147" s="168"/>
      <c r="ET147" s="168"/>
      <c r="EU147" s="168"/>
      <c r="EV147" s="168"/>
      <c r="EW147" s="168"/>
      <c r="EX147" s="168"/>
      <c r="EY147" s="168"/>
      <c r="EZ147" s="168"/>
      <c r="FA147" s="168"/>
      <c r="FB147" s="168"/>
      <c r="FC147" s="168"/>
      <c r="FD147" s="168"/>
      <c r="FE147" s="168"/>
      <c r="FF147" s="168"/>
      <c r="FG147" s="168"/>
      <c r="FH147" s="168"/>
      <c r="FI147" s="168"/>
      <c r="FJ147" s="168"/>
      <c r="FK147" s="168"/>
      <c r="FL147" s="168"/>
      <c r="FM147" s="168"/>
      <c r="FN147" s="168"/>
      <c r="FO147" s="168"/>
      <c r="FP147" s="168"/>
      <c r="FQ147" s="168"/>
      <c r="FR147" s="168"/>
      <c r="FS147" s="168"/>
      <c r="FT147" s="168"/>
      <c r="FU147" s="168"/>
      <c r="FV147" s="168"/>
      <c r="FW147" s="168"/>
      <c r="FX147" s="168"/>
      <c r="FY147" s="168"/>
      <c r="FZ147" s="168"/>
      <c r="GA147" s="168"/>
      <c r="GB147" s="168"/>
      <c r="GC147" s="168"/>
      <c r="GD147" s="168"/>
      <c r="GE147" s="168"/>
      <c r="GF147" s="168"/>
      <c r="GG147" s="168"/>
      <c r="GH147" s="168"/>
      <c r="GI147" s="168"/>
      <c r="GJ147" s="168"/>
      <c r="GK147" s="168"/>
      <c r="GL147" s="168"/>
      <c r="GM147" s="168"/>
      <c r="GN147" s="168"/>
      <c r="GO147" s="168"/>
      <c r="GP147" s="168"/>
      <c r="GQ147" s="168"/>
      <c r="GR147" s="168"/>
      <c r="GS147" s="168"/>
      <c r="GT147" s="168"/>
      <c r="GU147" s="168"/>
      <c r="GV147" s="168"/>
      <c r="GW147" s="168"/>
      <c r="GX147" s="168"/>
      <c r="GY147" s="168"/>
      <c r="GZ147" s="168"/>
      <c r="HA147" s="168"/>
      <c r="HB147" s="168"/>
      <c r="HC147" s="168"/>
      <c r="HD147" s="168"/>
      <c r="HE147" s="168"/>
      <c r="HF147" s="168"/>
      <c r="HG147" s="168"/>
      <c r="HH147" s="168"/>
      <c r="HI147" s="168"/>
      <c r="HJ147" s="168"/>
      <c r="HK147" s="168"/>
      <c r="HL147" s="168"/>
      <c r="HM147" s="168"/>
      <c r="HN147" s="168"/>
      <c r="HO147" s="168"/>
      <c r="HP147" s="168"/>
      <c r="HQ147" s="168"/>
      <c r="HR147" s="168"/>
      <c r="HS147" s="168"/>
      <c r="HT147" s="168"/>
      <c r="HU147" s="168"/>
      <c r="HV147" s="168"/>
      <c r="HW147" s="168"/>
      <c r="HX147" s="168"/>
      <c r="HY147" s="168"/>
      <c r="HZ147" s="168"/>
      <c r="IA147" s="168"/>
      <c r="IB147" s="168"/>
      <c r="IC147" s="168"/>
      <c r="ID147" s="168"/>
      <c r="IE147" s="168"/>
      <c r="IF147" s="168"/>
      <c r="IG147" s="168"/>
      <c r="IH147" s="168"/>
      <c r="II147" s="168"/>
      <c r="IJ147" s="168"/>
      <c r="IK147" s="168"/>
      <c r="IL147" s="168"/>
      <c r="IM147" s="168"/>
      <c r="IN147" s="168"/>
      <c r="IO147" s="168"/>
      <c r="IP147" s="168"/>
      <c r="IQ147" s="168"/>
      <c r="IR147" s="168"/>
      <c r="IS147" s="168"/>
      <c r="IT147" s="168"/>
      <c r="IU147" s="168"/>
      <c r="IV147" s="168"/>
      <c r="IW147" s="168"/>
      <c r="IX147" s="168"/>
      <c r="IY147" s="168"/>
      <c r="IZ147" s="168"/>
      <c r="JA147" s="168"/>
      <c r="JB147" s="168"/>
      <c r="JC147" s="606"/>
      <c r="JD147" s="609"/>
      <c r="JE147" s="1"/>
      <c r="JF147" s="1"/>
    </row>
    <row r="148" spans="1:266" s="2" customFormat="1" ht="15" customHeight="1" x14ac:dyDescent="0.25">
      <c r="A148" s="283"/>
      <c r="B148" s="303"/>
      <c r="C148" s="301"/>
      <c r="D148" s="638"/>
      <c r="E148" s="2298"/>
      <c r="F148" s="1812"/>
      <c r="G148" s="3342"/>
      <c r="H148" s="66"/>
      <c r="I148" s="1746"/>
      <c r="J148" s="86"/>
      <c r="K148" s="105"/>
      <c r="L148" s="91"/>
      <c r="M148" s="92"/>
      <c r="N148" s="93"/>
      <c r="O148" s="96"/>
      <c r="P148" s="96"/>
      <c r="Q148" s="95"/>
      <c r="R148" s="993">
        <f t="shared" si="198"/>
        <v>0</v>
      </c>
      <c r="S148" s="23">
        <f t="shared" si="214"/>
        <v>0</v>
      </c>
      <c r="T148" s="24">
        <f t="shared" si="215"/>
        <v>0</v>
      </c>
      <c r="U148" s="24">
        <f t="shared" si="199"/>
        <v>0</v>
      </c>
      <c r="V148" s="24">
        <f t="shared" si="216"/>
        <v>0</v>
      </c>
      <c r="W148" s="24">
        <f t="shared" si="217"/>
        <v>0</v>
      </c>
      <c r="X148" s="72">
        <f t="shared" si="218"/>
        <v>0</v>
      </c>
      <c r="Y148" s="72">
        <f t="shared" si="219"/>
        <v>0</v>
      </c>
      <c r="Z148" s="24">
        <f t="shared" si="200"/>
        <v>0</v>
      </c>
      <c r="AA148" s="72">
        <f t="shared" si="220"/>
        <v>0</v>
      </c>
      <c r="AB148" s="24">
        <f t="shared" si="221"/>
        <v>0</v>
      </c>
      <c r="AC148" s="24" t="s">
        <v>5</v>
      </c>
      <c r="AD148" s="25">
        <f t="shared" si="201"/>
        <v>3</v>
      </c>
      <c r="AE148" s="25">
        <f t="shared" si="202"/>
        <v>0</v>
      </c>
      <c r="AF148" s="25">
        <f t="shared" si="203"/>
        <v>0</v>
      </c>
      <c r="AG148" s="25">
        <f t="shared" si="222"/>
        <v>1</v>
      </c>
      <c r="AH148" s="25" t="str">
        <f>IFERROR(MATCH(DY148,'2 Staff List'!$IA$64:$IA$114,0),"x")</f>
        <v>x</v>
      </c>
      <c r="AI148" s="1181">
        <f>IFERROR(INDEX('2 Staff List'!$EX$64:$EX$114,$AH148),0)</f>
        <v>0</v>
      </c>
      <c r="AJ148" s="25">
        <f>IFERROR(INDEX('2 Staff List'!$IW$64:$IW$114,$AH148),0)</f>
        <v>0</v>
      </c>
      <c r="AK148" s="25">
        <f>IFERROR(INDEX('2 Staff List'!$IB$64:$IB$114,$AH148),0)</f>
        <v>0</v>
      </c>
      <c r="AL148" s="25">
        <f>IF(OR(NOT(ISBLANK(DV148)),CX148=1),"&lt;Non-Labor&gt;",IFERROR(IF(AH148=0,0,INDEX('2 Staff List'!$HZ$64:$HZ$114,$AH148)),0))</f>
        <v>0</v>
      </c>
      <c r="AM148" s="25">
        <f>IFERROR(INDEX('2 Staff List'!$HW$64:$HW$114,$AH148),0)</f>
        <v>0</v>
      </c>
      <c r="AN148" s="25">
        <f t="shared" si="223"/>
        <v>1</v>
      </c>
      <c r="AO148" s="25">
        <f>IF($AO$127=0,0,IFERROR(INDEX('2 Staff List'!$JH$64:$JH$114,$AH148),0))</f>
        <v>0</v>
      </c>
      <c r="AP148" s="25">
        <f>IFERROR(INDEX('2 Staff List'!$HU$64:$HU$114,$AH148),0)</f>
        <v>0</v>
      </c>
      <c r="AQ148" s="25">
        <f t="shared" si="224"/>
        <v>0</v>
      </c>
      <c r="AR148" s="25">
        <f t="shared" si="225"/>
        <v>0</v>
      </c>
      <c r="AS148" s="25">
        <f t="shared" si="226"/>
        <v>0</v>
      </c>
      <c r="AT148" s="25">
        <f t="shared" si="227"/>
        <v>0</v>
      </c>
      <c r="AU148" s="25">
        <f t="shared" si="228"/>
        <v>0</v>
      </c>
      <c r="AV148" s="25">
        <f t="shared" si="229"/>
        <v>0</v>
      </c>
      <c r="AW148" s="25">
        <f t="shared" si="230"/>
        <v>0</v>
      </c>
      <c r="AX148" s="25">
        <f t="shared" si="231"/>
        <v>0</v>
      </c>
      <c r="AY148" s="25">
        <f t="shared" si="232"/>
        <v>0</v>
      </c>
      <c r="AZ148" s="25">
        <f t="shared" si="233"/>
        <v>0</v>
      </c>
      <c r="BA148" s="25">
        <f t="shared" si="234"/>
        <v>0</v>
      </c>
      <c r="BB148" s="25">
        <f t="shared" si="235"/>
        <v>0</v>
      </c>
      <c r="BC148" s="25">
        <f>IFERROR(INDEX('2 Staff List'!KS$64:KS$114,$AH148),0)</f>
        <v>0</v>
      </c>
      <c r="BD148" s="25">
        <f>IFERROR(INDEX('2 Staff List'!KT$64:KT$114,$AH148),0)</f>
        <v>0</v>
      </c>
      <c r="BE148" s="25">
        <f>IFERROR(INDEX('2 Staff List'!KU$64:KU$114,$AH148),0)</f>
        <v>0</v>
      </c>
      <c r="BF148" s="25">
        <f>IFERROR(INDEX('2 Staff List'!KV$64:KV$114,$AH148),0)</f>
        <v>0</v>
      </c>
      <c r="BG148" s="25">
        <f>IFERROR(INDEX('2 Staff List'!KW$64:KW$114,$AH148),0)</f>
        <v>0</v>
      </c>
      <c r="BH148" s="25">
        <f>IFERROR(INDEX('2 Staff List'!KX$64:KX$114,$AH148),0)</f>
        <v>0</v>
      </c>
      <c r="BI148" s="25">
        <f>IFERROR(INDEX('2 Staff List'!KY$64:KY$114,$AH148),0)</f>
        <v>0</v>
      </c>
      <c r="BJ148" s="25">
        <f>IFERROR(INDEX('2 Staff List'!KZ$64:KZ$114,$AH148),0)</f>
        <v>0</v>
      </c>
      <c r="BK148" s="25">
        <f>IFERROR(INDEX('2 Staff List'!LA$64:LA$114,$AH148),0)</f>
        <v>0</v>
      </c>
      <c r="BL148" s="25">
        <f>IFERROR(INDEX('2 Staff List'!LB$64:LB$114,$AH148),0)</f>
        <v>0</v>
      </c>
      <c r="BM148" s="25">
        <f>IFERROR(INDEX('2 Staff List'!FT$64:FT$114,$AH148),0)</f>
        <v>0</v>
      </c>
      <c r="BN148" s="25">
        <f>IFERROR(INDEX('2 Staff List'!FU$64:FU$114,$AH148),0)</f>
        <v>0</v>
      </c>
      <c r="BO148" s="25">
        <f>IFERROR(INDEX('2 Staff List'!FV$64:FV$114,$AH148),0)</f>
        <v>0</v>
      </c>
      <c r="BP148" s="25">
        <f>IFERROR(INDEX('2 Staff List'!FW$64:FW$114,$AH148),0)</f>
        <v>0</v>
      </c>
      <c r="BQ148" s="25">
        <f>IFERROR(INDEX('2 Staff List'!FX$64:FX$114,$AH148),0)</f>
        <v>0</v>
      </c>
      <c r="BR148" s="25">
        <f>IFERROR(INDEX('2 Staff List'!FY$64:FY$114,$AH148),0)</f>
        <v>0</v>
      </c>
      <c r="BS148" s="25">
        <f>IFERROR(INDEX('2 Staff List'!FZ$64:FZ$114,$AH148),0)</f>
        <v>0</v>
      </c>
      <c r="BT148" s="25">
        <f>IFERROR(INDEX('2 Staff List'!GA$64:GA$114,$AH148),0)</f>
        <v>0</v>
      </c>
      <c r="BU148" s="25">
        <f>IFERROR(INDEX('2 Staff List'!GB$64:GB$114,$AH148),0)</f>
        <v>0</v>
      </c>
      <c r="BV148" s="25">
        <f>IFERROR(INDEX('2 Staff List'!GC$64:GC$114,$AH148),0)</f>
        <v>0</v>
      </c>
      <c r="BW148" s="25">
        <f t="shared" si="236"/>
        <v>0</v>
      </c>
      <c r="BX148" s="25">
        <f t="shared" si="237"/>
        <v>0</v>
      </c>
      <c r="BY148" s="25">
        <f t="shared" si="238"/>
        <v>0</v>
      </c>
      <c r="BZ148" s="25">
        <f t="shared" si="239"/>
        <v>0</v>
      </c>
      <c r="CA148" s="25">
        <f t="shared" si="240"/>
        <v>0</v>
      </c>
      <c r="CB148" s="25">
        <f t="shared" si="241"/>
        <v>0</v>
      </c>
      <c r="CC148" s="25">
        <f t="shared" si="242"/>
        <v>0</v>
      </c>
      <c r="CD148" s="25">
        <f t="shared" si="243"/>
        <v>0</v>
      </c>
      <c r="CE148" s="25">
        <f t="shared" si="244"/>
        <v>0</v>
      </c>
      <c r="CF148" s="25">
        <f t="shared" si="245"/>
        <v>0</v>
      </c>
      <c r="CG148" s="25">
        <f t="shared" si="246"/>
        <v>0</v>
      </c>
      <c r="CH148" s="25">
        <f>IFERROR(INDEX('2 Staff List'!LO$64:LO$114,$AH148),0)</f>
        <v>0</v>
      </c>
      <c r="CI148" s="25">
        <f>IFERROR(INDEX('2 Staff List'!LP$64:LP$114,$AH148),0)</f>
        <v>0</v>
      </c>
      <c r="CJ148" s="25">
        <f>IFERROR(INDEX('2 Staff List'!LQ$64:LQ$114,$AH148),0)</f>
        <v>0</v>
      </c>
      <c r="CK148" s="25">
        <f>IFERROR(INDEX('2 Staff List'!LR$64:LR$114,$AH148),0)</f>
        <v>0</v>
      </c>
      <c r="CL148" s="25">
        <f>IFERROR(INDEX('2 Staff List'!LS$64:LS$114,$AH148),0)</f>
        <v>0</v>
      </c>
      <c r="CM148" s="25">
        <f>IFERROR(INDEX('2 Staff List'!LT$64:LT$114,$AH148),0)</f>
        <v>0</v>
      </c>
      <c r="CN148" s="25">
        <f>IFERROR(INDEX('2 Staff List'!LU$64:LU$114,$AH148),0)</f>
        <v>0</v>
      </c>
      <c r="CO148" s="25">
        <f>IFERROR(INDEX('2 Staff List'!LV$64:LV$114,$AH148),0)</f>
        <v>0</v>
      </c>
      <c r="CP148" s="25">
        <f>IFERROR(INDEX('2 Staff List'!LW$64:LW$114,$AH148),0)</f>
        <v>0</v>
      </c>
      <c r="CQ148" s="25">
        <f>IFERROR(INDEX('2 Staff List'!LX$64:LX$114,$AH148),0)</f>
        <v>0</v>
      </c>
      <c r="CR148" s="25">
        <f t="shared" si="204"/>
        <v>0</v>
      </c>
      <c r="CS148" s="25">
        <f t="shared" si="264"/>
        <v>1</v>
      </c>
      <c r="CT148" s="25">
        <f t="shared" si="248"/>
        <v>1</v>
      </c>
      <c r="CU148" s="25">
        <f t="shared" si="249"/>
        <v>1</v>
      </c>
      <c r="CV148" s="25">
        <f t="shared" si="250"/>
        <v>1</v>
      </c>
      <c r="CW148" s="25">
        <f t="shared" si="251"/>
        <v>1</v>
      </c>
      <c r="CX148" s="25">
        <f t="shared" si="252"/>
        <v>0</v>
      </c>
      <c r="CY148" s="25">
        <f t="shared" si="253"/>
        <v>0</v>
      </c>
      <c r="CZ148" s="25">
        <f t="shared" si="254"/>
        <v>0</v>
      </c>
      <c r="DA148" s="25">
        <f t="shared" si="255"/>
        <v>1</v>
      </c>
      <c r="DB148" s="25">
        <f t="shared" si="205"/>
        <v>1</v>
      </c>
      <c r="DC148" s="25">
        <f t="shared" si="256"/>
        <v>0</v>
      </c>
      <c r="DD148" s="25">
        <f>IF(OR($AD148&lt;&gt;3,F148="Exclude"),0,IF(ISERROR(MATCH($E148,'4 Sign-off'!$S$123:$X$123,0)),0,1))</f>
        <v>0</v>
      </c>
      <c r="DE148" s="25">
        <f t="shared" si="206"/>
        <v>0</v>
      </c>
      <c r="DF148" s="25">
        <f t="shared" si="257"/>
        <v>0</v>
      </c>
      <c r="DG148" s="25" t="str">
        <f t="shared" si="258"/>
        <v/>
      </c>
      <c r="DH148" s="25">
        <f t="shared" si="259"/>
        <v>0</v>
      </c>
      <c r="DI148" s="25">
        <f t="shared" si="260"/>
        <v>0</v>
      </c>
      <c r="DJ148" s="25">
        <f>IF(ISBLANK(J148),0,ISERROR(MATCH(J148,'5  Control Accounts'!$FA$29:$FA$96,0))*1)</f>
        <v>0</v>
      </c>
      <c r="DK148" s="25">
        <f t="shared" si="261"/>
        <v>0</v>
      </c>
      <c r="DL148" s="25">
        <f t="shared" si="207"/>
        <v>-1</v>
      </c>
      <c r="DM148" s="25" t="e">
        <f t="array" ref="DM148">MATCH(1,($EG148:$JD148&gt;0)*$EG$17:$JD$17,0)</f>
        <v>#N/A</v>
      </c>
      <c r="DN148" s="25" t="e">
        <f t="shared" si="208"/>
        <v>#N/A</v>
      </c>
      <c r="DO148" s="25" t="e">
        <f t="array" ref="DO148">MATCH(2,1/(EG148:JD148&gt;0))</f>
        <v>#N/A</v>
      </c>
      <c r="DP148" s="2993">
        <f t="shared" si="262"/>
        <v>0</v>
      </c>
      <c r="DQ148" s="3037">
        <f t="shared" si="263"/>
        <v>0</v>
      </c>
      <c r="DR148" s="111"/>
      <c r="DS148" s="1268">
        <f t="shared" si="209"/>
        <v>0</v>
      </c>
      <c r="DT148" s="1825"/>
      <c r="DU148" s="1826"/>
      <c r="DV148" s="1827"/>
      <c r="DW148" s="1828"/>
      <c r="DX148" s="659"/>
      <c r="DY148" s="1265"/>
      <c r="DZ148" s="1785">
        <f t="shared" si="210"/>
        <v>0</v>
      </c>
      <c r="EA148" s="1786">
        <f t="shared" si="211"/>
        <v>0</v>
      </c>
      <c r="EB148" s="1781">
        <f t="shared" si="212"/>
        <v>0</v>
      </c>
      <c r="EC148" s="1782">
        <f t="shared" si="213"/>
        <v>0</v>
      </c>
      <c r="ED148" s="1262"/>
      <c r="EE148" s="2280"/>
      <c r="EF148" s="1802"/>
      <c r="EG148" s="167"/>
      <c r="EH148" s="168"/>
      <c r="EI148" s="168"/>
      <c r="EJ148" s="168"/>
      <c r="EK148" s="168"/>
      <c r="EL148" s="168"/>
      <c r="EM148" s="168"/>
      <c r="EN148" s="168"/>
      <c r="EO148" s="168"/>
      <c r="EP148" s="168"/>
      <c r="EQ148" s="168"/>
      <c r="ER148" s="168"/>
      <c r="ES148" s="168"/>
      <c r="ET148" s="168"/>
      <c r="EU148" s="168"/>
      <c r="EV148" s="168"/>
      <c r="EW148" s="168"/>
      <c r="EX148" s="168"/>
      <c r="EY148" s="168"/>
      <c r="EZ148" s="168"/>
      <c r="FA148" s="168"/>
      <c r="FB148" s="168"/>
      <c r="FC148" s="168"/>
      <c r="FD148" s="168"/>
      <c r="FE148" s="168"/>
      <c r="FF148" s="168"/>
      <c r="FG148" s="168"/>
      <c r="FH148" s="168"/>
      <c r="FI148" s="168"/>
      <c r="FJ148" s="168"/>
      <c r="FK148" s="168"/>
      <c r="FL148" s="168"/>
      <c r="FM148" s="168"/>
      <c r="FN148" s="168"/>
      <c r="FO148" s="168"/>
      <c r="FP148" s="168"/>
      <c r="FQ148" s="168"/>
      <c r="FR148" s="168"/>
      <c r="FS148" s="168"/>
      <c r="FT148" s="168"/>
      <c r="FU148" s="168"/>
      <c r="FV148" s="168"/>
      <c r="FW148" s="168"/>
      <c r="FX148" s="168"/>
      <c r="FY148" s="168"/>
      <c r="FZ148" s="168"/>
      <c r="GA148" s="168"/>
      <c r="GB148" s="168"/>
      <c r="GC148" s="168"/>
      <c r="GD148" s="168"/>
      <c r="GE148" s="168"/>
      <c r="GF148" s="168"/>
      <c r="GG148" s="168"/>
      <c r="GH148" s="168"/>
      <c r="GI148" s="168"/>
      <c r="GJ148" s="168"/>
      <c r="GK148" s="168"/>
      <c r="GL148" s="168"/>
      <c r="GM148" s="168"/>
      <c r="GN148" s="168"/>
      <c r="GO148" s="168"/>
      <c r="GP148" s="168"/>
      <c r="GQ148" s="168"/>
      <c r="GR148" s="168"/>
      <c r="GS148" s="168"/>
      <c r="GT148" s="168"/>
      <c r="GU148" s="168"/>
      <c r="GV148" s="168"/>
      <c r="GW148" s="168"/>
      <c r="GX148" s="168"/>
      <c r="GY148" s="168"/>
      <c r="GZ148" s="168"/>
      <c r="HA148" s="168"/>
      <c r="HB148" s="168"/>
      <c r="HC148" s="168"/>
      <c r="HD148" s="168"/>
      <c r="HE148" s="168"/>
      <c r="HF148" s="168"/>
      <c r="HG148" s="168"/>
      <c r="HH148" s="168"/>
      <c r="HI148" s="168"/>
      <c r="HJ148" s="168"/>
      <c r="HK148" s="168"/>
      <c r="HL148" s="168"/>
      <c r="HM148" s="168"/>
      <c r="HN148" s="168"/>
      <c r="HO148" s="168"/>
      <c r="HP148" s="168"/>
      <c r="HQ148" s="168"/>
      <c r="HR148" s="168"/>
      <c r="HS148" s="168"/>
      <c r="HT148" s="168"/>
      <c r="HU148" s="168"/>
      <c r="HV148" s="168"/>
      <c r="HW148" s="168"/>
      <c r="HX148" s="168"/>
      <c r="HY148" s="168"/>
      <c r="HZ148" s="168"/>
      <c r="IA148" s="168"/>
      <c r="IB148" s="168"/>
      <c r="IC148" s="168"/>
      <c r="ID148" s="168"/>
      <c r="IE148" s="168"/>
      <c r="IF148" s="168"/>
      <c r="IG148" s="168"/>
      <c r="IH148" s="168"/>
      <c r="II148" s="168"/>
      <c r="IJ148" s="168"/>
      <c r="IK148" s="168"/>
      <c r="IL148" s="168"/>
      <c r="IM148" s="168"/>
      <c r="IN148" s="168"/>
      <c r="IO148" s="168"/>
      <c r="IP148" s="168"/>
      <c r="IQ148" s="168"/>
      <c r="IR148" s="168"/>
      <c r="IS148" s="168"/>
      <c r="IT148" s="168"/>
      <c r="IU148" s="168"/>
      <c r="IV148" s="168"/>
      <c r="IW148" s="168"/>
      <c r="IX148" s="168"/>
      <c r="IY148" s="168"/>
      <c r="IZ148" s="168"/>
      <c r="JA148" s="168"/>
      <c r="JB148" s="168"/>
      <c r="JC148" s="606"/>
      <c r="JD148" s="609"/>
      <c r="JE148" s="1"/>
      <c r="JF148" s="1"/>
    </row>
    <row r="149" spans="1:266" s="2" customFormat="1" ht="15" customHeight="1" x14ac:dyDescent="0.25">
      <c r="A149" s="283"/>
      <c r="B149" s="303"/>
      <c r="C149" s="301"/>
      <c r="D149" s="638"/>
      <c r="E149" s="2298"/>
      <c r="F149" s="1812"/>
      <c r="G149" s="3342"/>
      <c r="H149" s="66"/>
      <c r="I149" s="1746"/>
      <c r="J149" s="86"/>
      <c r="K149" s="105"/>
      <c r="L149" s="91"/>
      <c r="M149" s="92"/>
      <c r="N149" s="93"/>
      <c r="O149" s="94"/>
      <c r="P149" s="96"/>
      <c r="Q149" s="95"/>
      <c r="R149" s="993">
        <f t="shared" si="198"/>
        <v>0</v>
      </c>
      <c r="S149" s="23">
        <f t="shared" si="214"/>
        <v>0</v>
      </c>
      <c r="T149" s="24">
        <f t="shared" si="215"/>
        <v>0</v>
      </c>
      <c r="U149" s="24">
        <f t="shared" si="199"/>
        <v>0</v>
      </c>
      <c r="V149" s="24">
        <f t="shared" si="216"/>
        <v>0</v>
      </c>
      <c r="W149" s="24">
        <f t="shared" si="217"/>
        <v>0</v>
      </c>
      <c r="X149" s="72">
        <f t="shared" si="218"/>
        <v>0</v>
      </c>
      <c r="Y149" s="72">
        <f t="shared" si="219"/>
        <v>0</v>
      </c>
      <c r="Z149" s="24">
        <f t="shared" si="200"/>
        <v>0</v>
      </c>
      <c r="AA149" s="72">
        <f t="shared" si="220"/>
        <v>0</v>
      </c>
      <c r="AB149" s="24">
        <f t="shared" si="221"/>
        <v>0</v>
      </c>
      <c r="AC149" s="24" t="s">
        <v>5</v>
      </c>
      <c r="AD149" s="25">
        <f t="shared" si="201"/>
        <v>3</v>
      </c>
      <c r="AE149" s="25">
        <f t="shared" si="202"/>
        <v>0</v>
      </c>
      <c r="AF149" s="25">
        <f t="shared" si="203"/>
        <v>0</v>
      </c>
      <c r="AG149" s="25">
        <f t="shared" si="222"/>
        <v>1</v>
      </c>
      <c r="AH149" s="25" t="str">
        <f>IFERROR(MATCH(DY149,'2 Staff List'!$IA$64:$IA$114,0),"x")</f>
        <v>x</v>
      </c>
      <c r="AI149" s="1181">
        <f>IFERROR(INDEX('2 Staff List'!$EX$64:$EX$114,$AH149),0)</f>
        <v>0</v>
      </c>
      <c r="AJ149" s="25">
        <f>IFERROR(INDEX('2 Staff List'!$IW$64:$IW$114,$AH149),0)</f>
        <v>0</v>
      </c>
      <c r="AK149" s="25">
        <f>IFERROR(INDEX('2 Staff List'!$IB$64:$IB$114,$AH149),0)</f>
        <v>0</v>
      </c>
      <c r="AL149" s="25">
        <f>IF(OR(NOT(ISBLANK(DV149)),CX149=1),"&lt;Non-Labor&gt;",IFERROR(IF(AH149=0,0,INDEX('2 Staff List'!$HZ$64:$HZ$114,$AH149)),0))</f>
        <v>0</v>
      </c>
      <c r="AM149" s="25">
        <f>IFERROR(INDEX('2 Staff List'!$HW$64:$HW$114,$AH149),0)</f>
        <v>0</v>
      </c>
      <c r="AN149" s="25">
        <f t="shared" si="223"/>
        <v>1</v>
      </c>
      <c r="AO149" s="25">
        <f>IF($AO$127=0,0,IFERROR(INDEX('2 Staff List'!$JH$64:$JH$114,$AH149),0))</f>
        <v>0</v>
      </c>
      <c r="AP149" s="25">
        <f>IFERROR(INDEX('2 Staff List'!$HU$64:$HU$114,$AH149),0)</f>
        <v>0</v>
      </c>
      <c r="AQ149" s="25">
        <f t="shared" si="224"/>
        <v>0</v>
      </c>
      <c r="AR149" s="25">
        <f t="shared" si="225"/>
        <v>0</v>
      </c>
      <c r="AS149" s="25">
        <f t="shared" si="226"/>
        <v>0</v>
      </c>
      <c r="AT149" s="25">
        <f t="shared" si="227"/>
        <v>0</v>
      </c>
      <c r="AU149" s="25">
        <f t="shared" si="228"/>
        <v>0</v>
      </c>
      <c r="AV149" s="25">
        <f t="shared" si="229"/>
        <v>0</v>
      </c>
      <c r="AW149" s="25">
        <f t="shared" si="230"/>
        <v>0</v>
      </c>
      <c r="AX149" s="25">
        <f t="shared" si="231"/>
        <v>0</v>
      </c>
      <c r="AY149" s="25">
        <f t="shared" si="232"/>
        <v>0</v>
      </c>
      <c r="AZ149" s="25">
        <f t="shared" si="233"/>
        <v>0</v>
      </c>
      <c r="BA149" s="25">
        <f t="shared" si="234"/>
        <v>0</v>
      </c>
      <c r="BB149" s="25">
        <f t="shared" si="235"/>
        <v>0</v>
      </c>
      <c r="BC149" s="25">
        <f>IFERROR(INDEX('2 Staff List'!KS$64:KS$114,$AH149),0)</f>
        <v>0</v>
      </c>
      <c r="BD149" s="25">
        <f>IFERROR(INDEX('2 Staff List'!KT$64:KT$114,$AH149),0)</f>
        <v>0</v>
      </c>
      <c r="BE149" s="25">
        <f>IFERROR(INDEX('2 Staff List'!KU$64:KU$114,$AH149),0)</f>
        <v>0</v>
      </c>
      <c r="BF149" s="25">
        <f>IFERROR(INDEX('2 Staff List'!KV$64:KV$114,$AH149),0)</f>
        <v>0</v>
      </c>
      <c r="BG149" s="25">
        <f>IFERROR(INDEX('2 Staff List'!KW$64:KW$114,$AH149),0)</f>
        <v>0</v>
      </c>
      <c r="BH149" s="25">
        <f>IFERROR(INDEX('2 Staff List'!KX$64:KX$114,$AH149),0)</f>
        <v>0</v>
      </c>
      <c r="BI149" s="25">
        <f>IFERROR(INDEX('2 Staff List'!KY$64:KY$114,$AH149),0)</f>
        <v>0</v>
      </c>
      <c r="BJ149" s="25">
        <f>IFERROR(INDEX('2 Staff List'!KZ$64:KZ$114,$AH149),0)</f>
        <v>0</v>
      </c>
      <c r="BK149" s="25">
        <f>IFERROR(INDEX('2 Staff List'!LA$64:LA$114,$AH149),0)</f>
        <v>0</v>
      </c>
      <c r="BL149" s="25">
        <f>IFERROR(INDEX('2 Staff List'!LB$64:LB$114,$AH149),0)</f>
        <v>0</v>
      </c>
      <c r="BM149" s="25">
        <f>IFERROR(INDEX('2 Staff List'!FT$64:FT$114,$AH149),0)</f>
        <v>0</v>
      </c>
      <c r="BN149" s="25">
        <f>IFERROR(INDEX('2 Staff List'!FU$64:FU$114,$AH149),0)</f>
        <v>0</v>
      </c>
      <c r="BO149" s="25">
        <f>IFERROR(INDEX('2 Staff List'!FV$64:FV$114,$AH149),0)</f>
        <v>0</v>
      </c>
      <c r="BP149" s="25">
        <f>IFERROR(INDEX('2 Staff List'!FW$64:FW$114,$AH149),0)</f>
        <v>0</v>
      </c>
      <c r="BQ149" s="25">
        <f>IFERROR(INDEX('2 Staff List'!FX$64:FX$114,$AH149),0)</f>
        <v>0</v>
      </c>
      <c r="BR149" s="25">
        <f>IFERROR(INDEX('2 Staff List'!FY$64:FY$114,$AH149),0)</f>
        <v>0</v>
      </c>
      <c r="BS149" s="25">
        <f>IFERROR(INDEX('2 Staff List'!FZ$64:FZ$114,$AH149),0)</f>
        <v>0</v>
      </c>
      <c r="BT149" s="25">
        <f>IFERROR(INDEX('2 Staff List'!GA$64:GA$114,$AH149),0)</f>
        <v>0</v>
      </c>
      <c r="BU149" s="25">
        <f>IFERROR(INDEX('2 Staff List'!GB$64:GB$114,$AH149),0)</f>
        <v>0</v>
      </c>
      <c r="BV149" s="25">
        <f>IFERROR(INDEX('2 Staff List'!GC$64:GC$114,$AH149),0)</f>
        <v>0</v>
      </c>
      <c r="BW149" s="25">
        <f t="shared" si="236"/>
        <v>0</v>
      </c>
      <c r="BX149" s="25">
        <f t="shared" si="237"/>
        <v>0</v>
      </c>
      <c r="BY149" s="25">
        <f t="shared" si="238"/>
        <v>0</v>
      </c>
      <c r="BZ149" s="25">
        <f t="shared" si="239"/>
        <v>0</v>
      </c>
      <c r="CA149" s="25">
        <f t="shared" si="240"/>
        <v>0</v>
      </c>
      <c r="CB149" s="25">
        <f t="shared" si="241"/>
        <v>0</v>
      </c>
      <c r="CC149" s="25">
        <f t="shared" si="242"/>
        <v>0</v>
      </c>
      <c r="CD149" s="25">
        <f t="shared" si="243"/>
        <v>0</v>
      </c>
      <c r="CE149" s="25">
        <f t="shared" si="244"/>
        <v>0</v>
      </c>
      <c r="CF149" s="25">
        <f t="shared" si="245"/>
        <v>0</v>
      </c>
      <c r="CG149" s="25">
        <f t="shared" si="246"/>
        <v>0</v>
      </c>
      <c r="CH149" s="25">
        <f>IFERROR(INDEX('2 Staff List'!LO$64:LO$114,$AH149),0)</f>
        <v>0</v>
      </c>
      <c r="CI149" s="25">
        <f>IFERROR(INDEX('2 Staff List'!LP$64:LP$114,$AH149),0)</f>
        <v>0</v>
      </c>
      <c r="CJ149" s="25">
        <f>IFERROR(INDEX('2 Staff List'!LQ$64:LQ$114,$AH149),0)</f>
        <v>0</v>
      </c>
      <c r="CK149" s="25">
        <f>IFERROR(INDEX('2 Staff List'!LR$64:LR$114,$AH149),0)</f>
        <v>0</v>
      </c>
      <c r="CL149" s="25">
        <f>IFERROR(INDEX('2 Staff List'!LS$64:LS$114,$AH149),0)</f>
        <v>0</v>
      </c>
      <c r="CM149" s="25">
        <f>IFERROR(INDEX('2 Staff List'!LT$64:LT$114,$AH149),0)</f>
        <v>0</v>
      </c>
      <c r="CN149" s="25">
        <f>IFERROR(INDEX('2 Staff List'!LU$64:LU$114,$AH149),0)</f>
        <v>0</v>
      </c>
      <c r="CO149" s="25">
        <f>IFERROR(INDEX('2 Staff List'!LV$64:LV$114,$AH149),0)</f>
        <v>0</v>
      </c>
      <c r="CP149" s="25">
        <f>IFERROR(INDEX('2 Staff List'!LW$64:LW$114,$AH149),0)</f>
        <v>0</v>
      </c>
      <c r="CQ149" s="25">
        <f>IFERROR(INDEX('2 Staff List'!LX$64:LX$114,$AH149),0)</f>
        <v>0</v>
      </c>
      <c r="CR149" s="25">
        <f t="shared" si="204"/>
        <v>0</v>
      </c>
      <c r="CS149" s="25">
        <f t="shared" si="264"/>
        <v>1</v>
      </c>
      <c r="CT149" s="25">
        <f t="shared" si="248"/>
        <v>1</v>
      </c>
      <c r="CU149" s="25">
        <f t="shared" si="249"/>
        <v>1</v>
      </c>
      <c r="CV149" s="25">
        <f t="shared" si="250"/>
        <v>1</v>
      </c>
      <c r="CW149" s="25">
        <f t="shared" si="251"/>
        <v>1</v>
      </c>
      <c r="CX149" s="25">
        <f t="shared" si="252"/>
        <v>0</v>
      </c>
      <c r="CY149" s="25">
        <f t="shared" si="253"/>
        <v>0</v>
      </c>
      <c r="CZ149" s="25">
        <f t="shared" si="254"/>
        <v>0</v>
      </c>
      <c r="DA149" s="25">
        <f t="shared" si="255"/>
        <v>1</v>
      </c>
      <c r="DB149" s="25">
        <f t="shared" si="205"/>
        <v>1</v>
      </c>
      <c r="DC149" s="25">
        <f t="shared" si="256"/>
        <v>0</v>
      </c>
      <c r="DD149" s="25">
        <f>IF(OR($AD149&lt;&gt;3,F149="Exclude"),0,IF(ISERROR(MATCH($E149,'4 Sign-off'!$S$123:$X$123,0)),0,1))</f>
        <v>0</v>
      </c>
      <c r="DE149" s="25">
        <f t="shared" si="206"/>
        <v>0</v>
      </c>
      <c r="DF149" s="25">
        <f t="shared" si="257"/>
        <v>0</v>
      </c>
      <c r="DG149" s="25" t="str">
        <f t="shared" si="258"/>
        <v/>
      </c>
      <c r="DH149" s="25">
        <f t="shared" si="259"/>
        <v>0</v>
      </c>
      <c r="DI149" s="25">
        <f t="shared" si="260"/>
        <v>0</v>
      </c>
      <c r="DJ149" s="25">
        <f>IF(ISBLANK(J149),0,ISERROR(MATCH(J149,'5  Control Accounts'!$FA$29:$FA$96,0))*1)</f>
        <v>0</v>
      </c>
      <c r="DK149" s="25">
        <f t="shared" si="261"/>
        <v>0</v>
      </c>
      <c r="DL149" s="25">
        <f t="shared" si="207"/>
        <v>-1</v>
      </c>
      <c r="DM149" s="25" t="e">
        <f t="array" ref="DM149">MATCH(1,($EG149:$JD149&gt;0)*$EG$17:$JD$17,0)</f>
        <v>#N/A</v>
      </c>
      <c r="DN149" s="25" t="e">
        <f t="shared" si="208"/>
        <v>#N/A</v>
      </c>
      <c r="DO149" s="25" t="e">
        <f t="array" ref="DO149">MATCH(2,1/(EG149:JD149&gt;0))</f>
        <v>#N/A</v>
      </c>
      <c r="DP149" s="2993">
        <f t="shared" si="262"/>
        <v>0</v>
      </c>
      <c r="DQ149" s="3037">
        <f t="shared" si="263"/>
        <v>0</v>
      </c>
      <c r="DR149" s="111"/>
      <c r="DS149" s="1268">
        <f t="shared" si="209"/>
        <v>0</v>
      </c>
      <c r="DT149" s="1825"/>
      <c r="DU149" s="1826"/>
      <c r="DV149" s="1827"/>
      <c r="DW149" s="1828"/>
      <c r="DX149" s="659"/>
      <c r="DY149" s="1265"/>
      <c r="DZ149" s="1785">
        <f t="shared" si="210"/>
        <v>0</v>
      </c>
      <c r="EA149" s="1786">
        <f t="shared" si="211"/>
        <v>0</v>
      </c>
      <c r="EB149" s="1781">
        <f t="shared" si="212"/>
        <v>0</v>
      </c>
      <c r="EC149" s="1782">
        <f t="shared" si="213"/>
        <v>0</v>
      </c>
      <c r="ED149" s="1262"/>
      <c r="EE149" s="2280"/>
      <c r="EF149" s="1802"/>
      <c r="EG149" s="167"/>
      <c r="EH149" s="168"/>
      <c r="EI149" s="168"/>
      <c r="EJ149" s="168"/>
      <c r="EK149" s="168"/>
      <c r="EL149" s="168"/>
      <c r="EM149" s="168"/>
      <c r="EN149" s="168"/>
      <c r="EO149" s="168"/>
      <c r="EP149" s="168"/>
      <c r="EQ149" s="168"/>
      <c r="ER149" s="168"/>
      <c r="ES149" s="168"/>
      <c r="ET149" s="168"/>
      <c r="EU149" s="168"/>
      <c r="EV149" s="168"/>
      <c r="EW149" s="168"/>
      <c r="EX149" s="168"/>
      <c r="EY149" s="168"/>
      <c r="EZ149" s="168"/>
      <c r="FA149" s="168"/>
      <c r="FB149" s="168"/>
      <c r="FC149" s="168"/>
      <c r="FD149" s="168"/>
      <c r="FE149" s="168"/>
      <c r="FF149" s="168"/>
      <c r="FG149" s="168"/>
      <c r="FH149" s="168"/>
      <c r="FI149" s="168"/>
      <c r="FJ149" s="168"/>
      <c r="FK149" s="168"/>
      <c r="FL149" s="168"/>
      <c r="FM149" s="168"/>
      <c r="FN149" s="168"/>
      <c r="FO149" s="168"/>
      <c r="FP149" s="168"/>
      <c r="FQ149" s="168"/>
      <c r="FR149" s="168"/>
      <c r="FS149" s="168"/>
      <c r="FT149" s="168"/>
      <c r="FU149" s="168"/>
      <c r="FV149" s="168"/>
      <c r="FW149" s="168"/>
      <c r="FX149" s="168"/>
      <c r="FY149" s="168"/>
      <c r="FZ149" s="168"/>
      <c r="GA149" s="168"/>
      <c r="GB149" s="168"/>
      <c r="GC149" s="168"/>
      <c r="GD149" s="168"/>
      <c r="GE149" s="168"/>
      <c r="GF149" s="168"/>
      <c r="GG149" s="168"/>
      <c r="GH149" s="168"/>
      <c r="GI149" s="168"/>
      <c r="GJ149" s="168"/>
      <c r="GK149" s="168"/>
      <c r="GL149" s="168"/>
      <c r="GM149" s="168"/>
      <c r="GN149" s="168"/>
      <c r="GO149" s="168"/>
      <c r="GP149" s="168"/>
      <c r="GQ149" s="168"/>
      <c r="GR149" s="168"/>
      <c r="GS149" s="168"/>
      <c r="GT149" s="168"/>
      <c r="GU149" s="168"/>
      <c r="GV149" s="168"/>
      <c r="GW149" s="168"/>
      <c r="GX149" s="168"/>
      <c r="GY149" s="168"/>
      <c r="GZ149" s="168"/>
      <c r="HA149" s="168"/>
      <c r="HB149" s="168"/>
      <c r="HC149" s="168"/>
      <c r="HD149" s="168"/>
      <c r="HE149" s="168"/>
      <c r="HF149" s="168"/>
      <c r="HG149" s="168"/>
      <c r="HH149" s="168"/>
      <c r="HI149" s="168"/>
      <c r="HJ149" s="168"/>
      <c r="HK149" s="168"/>
      <c r="HL149" s="168"/>
      <c r="HM149" s="168"/>
      <c r="HN149" s="168"/>
      <c r="HO149" s="168"/>
      <c r="HP149" s="168"/>
      <c r="HQ149" s="168"/>
      <c r="HR149" s="168"/>
      <c r="HS149" s="168"/>
      <c r="HT149" s="168"/>
      <c r="HU149" s="168"/>
      <c r="HV149" s="168"/>
      <c r="HW149" s="168"/>
      <c r="HX149" s="168"/>
      <c r="HY149" s="168"/>
      <c r="HZ149" s="168"/>
      <c r="IA149" s="168"/>
      <c r="IB149" s="168"/>
      <c r="IC149" s="168"/>
      <c r="ID149" s="168"/>
      <c r="IE149" s="168"/>
      <c r="IF149" s="168"/>
      <c r="IG149" s="168"/>
      <c r="IH149" s="168"/>
      <c r="II149" s="168"/>
      <c r="IJ149" s="168"/>
      <c r="IK149" s="168"/>
      <c r="IL149" s="168"/>
      <c r="IM149" s="168"/>
      <c r="IN149" s="168"/>
      <c r="IO149" s="168"/>
      <c r="IP149" s="168"/>
      <c r="IQ149" s="168"/>
      <c r="IR149" s="168"/>
      <c r="IS149" s="168"/>
      <c r="IT149" s="168"/>
      <c r="IU149" s="168"/>
      <c r="IV149" s="168"/>
      <c r="IW149" s="168"/>
      <c r="IX149" s="168"/>
      <c r="IY149" s="168"/>
      <c r="IZ149" s="168"/>
      <c r="JA149" s="168"/>
      <c r="JB149" s="168"/>
      <c r="JC149" s="606"/>
      <c r="JD149" s="609"/>
      <c r="JE149" s="1"/>
      <c r="JF149" s="1"/>
    </row>
    <row r="150" spans="1:266" s="2" customFormat="1" ht="15" customHeight="1" x14ac:dyDescent="0.25">
      <c r="A150" s="283"/>
      <c r="B150" s="303"/>
      <c r="C150" s="301"/>
      <c r="D150" s="638"/>
      <c r="E150" s="2298"/>
      <c r="F150" s="1812"/>
      <c r="G150" s="3342"/>
      <c r="H150" s="66"/>
      <c r="I150" s="1746"/>
      <c r="J150" s="86"/>
      <c r="K150" s="105"/>
      <c r="L150" s="91"/>
      <c r="M150" s="92"/>
      <c r="N150" s="93"/>
      <c r="O150" s="94"/>
      <c r="P150" s="96"/>
      <c r="Q150" s="95"/>
      <c r="R150" s="993">
        <f t="shared" si="198"/>
        <v>0</v>
      </c>
      <c r="S150" s="23">
        <f t="shared" si="214"/>
        <v>0</v>
      </c>
      <c r="T150" s="24">
        <f t="shared" si="215"/>
        <v>0</v>
      </c>
      <c r="U150" s="24">
        <f t="shared" si="199"/>
        <v>0</v>
      </c>
      <c r="V150" s="24">
        <f t="shared" si="216"/>
        <v>0</v>
      </c>
      <c r="W150" s="24">
        <f t="shared" si="217"/>
        <v>0</v>
      </c>
      <c r="X150" s="72">
        <f t="shared" si="218"/>
        <v>0</v>
      </c>
      <c r="Y150" s="72">
        <f t="shared" si="219"/>
        <v>0</v>
      </c>
      <c r="Z150" s="24">
        <f t="shared" si="200"/>
        <v>0</v>
      </c>
      <c r="AA150" s="72">
        <f t="shared" si="220"/>
        <v>0</v>
      </c>
      <c r="AB150" s="24">
        <f t="shared" si="221"/>
        <v>0</v>
      </c>
      <c r="AC150" s="24" t="s">
        <v>5</v>
      </c>
      <c r="AD150" s="25">
        <f t="shared" si="201"/>
        <v>3</v>
      </c>
      <c r="AE150" s="25">
        <f t="shared" si="202"/>
        <v>0</v>
      </c>
      <c r="AF150" s="25">
        <f t="shared" si="203"/>
        <v>0</v>
      </c>
      <c r="AG150" s="25">
        <f t="shared" si="222"/>
        <v>1</v>
      </c>
      <c r="AH150" s="25" t="str">
        <f>IFERROR(MATCH(DY150,'2 Staff List'!$IA$64:$IA$114,0),"x")</f>
        <v>x</v>
      </c>
      <c r="AI150" s="1181">
        <f>IFERROR(INDEX('2 Staff List'!$EX$64:$EX$114,$AH150),0)</f>
        <v>0</v>
      </c>
      <c r="AJ150" s="25">
        <f>IFERROR(INDEX('2 Staff List'!$IW$64:$IW$114,$AH150),0)</f>
        <v>0</v>
      </c>
      <c r="AK150" s="25">
        <f>IFERROR(INDEX('2 Staff List'!$IB$64:$IB$114,$AH150),0)</f>
        <v>0</v>
      </c>
      <c r="AL150" s="25">
        <f>IF(OR(NOT(ISBLANK(DV150)),CX150=1),"&lt;Non-Labor&gt;",IFERROR(IF(AH150=0,0,INDEX('2 Staff List'!$HZ$64:$HZ$114,$AH150)),0))</f>
        <v>0</v>
      </c>
      <c r="AM150" s="25">
        <f>IFERROR(INDEX('2 Staff List'!$HW$64:$HW$114,$AH150),0)</f>
        <v>0</v>
      </c>
      <c r="AN150" s="25">
        <f t="shared" si="223"/>
        <v>1</v>
      </c>
      <c r="AO150" s="25">
        <f>IF($AO$127=0,0,IFERROR(INDEX('2 Staff List'!$JH$64:$JH$114,$AH150),0))</f>
        <v>0</v>
      </c>
      <c r="AP150" s="25">
        <f>IFERROR(INDEX('2 Staff List'!$HU$64:$HU$114,$AH150),0)</f>
        <v>0</v>
      </c>
      <c r="AQ150" s="25">
        <f t="shared" si="224"/>
        <v>0</v>
      </c>
      <c r="AR150" s="25">
        <f t="shared" si="225"/>
        <v>0</v>
      </c>
      <c r="AS150" s="25">
        <f t="shared" si="226"/>
        <v>0</v>
      </c>
      <c r="AT150" s="25">
        <f t="shared" si="227"/>
        <v>0</v>
      </c>
      <c r="AU150" s="25">
        <f t="shared" si="228"/>
        <v>0</v>
      </c>
      <c r="AV150" s="25">
        <f t="shared" si="229"/>
        <v>0</v>
      </c>
      <c r="AW150" s="25">
        <f t="shared" si="230"/>
        <v>0</v>
      </c>
      <c r="AX150" s="25">
        <f t="shared" si="231"/>
        <v>0</v>
      </c>
      <c r="AY150" s="25">
        <f t="shared" si="232"/>
        <v>0</v>
      </c>
      <c r="AZ150" s="25">
        <f t="shared" si="233"/>
        <v>0</v>
      </c>
      <c r="BA150" s="25">
        <f t="shared" si="234"/>
        <v>0</v>
      </c>
      <c r="BB150" s="25">
        <f t="shared" si="235"/>
        <v>0</v>
      </c>
      <c r="BC150" s="25">
        <f>IFERROR(INDEX('2 Staff List'!KS$64:KS$114,$AH150),0)</f>
        <v>0</v>
      </c>
      <c r="BD150" s="25">
        <f>IFERROR(INDEX('2 Staff List'!KT$64:KT$114,$AH150),0)</f>
        <v>0</v>
      </c>
      <c r="BE150" s="25">
        <f>IFERROR(INDEX('2 Staff List'!KU$64:KU$114,$AH150),0)</f>
        <v>0</v>
      </c>
      <c r="BF150" s="25">
        <f>IFERROR(INDEX('2 Staff List'!KV$64:KV$114,$AH150),0)</f>
        <v>0</v>
      </c>
      <c r="BG150" s="25">
        <f>IFERROR(INDEX('2 Staff List'!KW$64:KW$114,$AH150),0)</f>
        <v>0</v>
      </c>
      <c r="BH150" s="25">
        <f>IFERROR(INDEX('2 Staff List'!KX$64:KX$114,$AH150),0)</f>
        <v>0</v>
      </c>
      <c r="BI150" s="25">
        <f>IFERROR(INDEX('2 Staff List'!KY$64:KY$114,$AH150),0)</f>
        <v>0</v>
      </c>
      <c r="BJ150" s="25">
        <f>IFERROR(INDEX('2 Staff List'!KZ$64:KZ$114,$AH150),0)</f>
        <v>0</v>
      </c>
      <c r="BK150" s="25">
        <f>IFERROR(INDEX('2 Staff List'!LA$64:LA$114,$AH150),0)</f>
        <v>0</v>
      </c>
      <c r="BL150" s="25">
        <f>IFERROR(INDEX('2 Staff List'!LB$64:LB$114,$AH150),0)</f>
        <v>0</v>
      </c>
      <c r="BM150" s="25">
        <f>IFERROR(INDEX('2 Staff List'!FT$64:FT$114,$AH150),0)</f>
        <v>0</v>
      </c>
      <c r="BN150" s="25">
        <f>IFERROR(INDEX('2 Staff List'!FU$64:FU$114,$AH150),0)</f>
        <v>0</v>
      </c>
      <c r="BO150" s="25">
        <f>IFERROR(INDEX('2 Staff List'!FV$64:FV$114,$AH150),0)</f>
        <v>0</v>
      </c>
      <c r="BP150" s="25">
        <f>IFERROR(INDEX('2 Staff List'!FW$64:FW$114,$AH150),0)</f>
        <v>0</v>
      </c>
      <c r="BQ150" s="25">
        <f>IFERROR(INDEX('2 Staff List'!FX$64:FX$114,$AH150),0)</f>
        <v>0</v>
      </c>
      <c r="BR150" s="25">
        <f>IFERROR(INDEX('2 Staff List'!FY$64:FY$114,$AH150),0)</f>
        <v>0</v>
      </c>
      <c r="BS150" s="25">
        <f>IFERROR(INDEX('2 Staff List'!FZ$64:FZ$114,$AH150),0)</f>
        <v>0</v>
      </c>
      <c r="BT150" s="25">
        <f>IFERROR(INDEX('2 Staff List'!GA$64:GA$114,$AH150),0)</f>
        <v>0</v>
      </c>
      <c r="BU150" s="25">
        <f>IFERROR(INDEX('2 Staff List'!GB$64:GB$114,$AH150),0)</f>
        <v>0</v>
      </c>
      <c r="BV150" s="25">
        <f>IFERROR(INDEX('2 Staff List'!GC$64:GC$114,$AH150),0)</f>
        <v>0</v>
      </c>
      <c r="BW150" s="25">
        <f t="shared" si="236"/>
        <v>0</v>
      </c>
      <c r="BX150" s="25">
        <f t="shared" si="237"/>
        <v>0</v>
      </c>
      <c r="BY150" s="25">
        <f t="shared" si="238"/>
        <v>0</v>
      </c>
      <c r="BZ150" s="25">
        <f t="shared" si="239"/>
        <v>0</v>
      </c>
      <c r="CA150" s="25">
        <f t="shared" si="240"/>
        <v>0</v>
      </c>
      <c r="CB150" s="25">
        <f t="shared" si="241"/>
        <v>0</v>
      </c>
      <c r="CC150" s="25">
        <f t="shared" si="242"/>
        <v>0</v>
      </c>
      <c r="CD150" s="25">
        <f t="shared" si="243"/>
        <v>0</v>
      </c>
      <c r="CE150" s="25">
        <f t="shared" si="244"/>
        <v>0</v>
      </c>
      <c r="CF150" s="25">
        <f t="shared" si="245"/>
        <v>0</v>
      </c>
      <c r="CG150" s="25">
        <f t="shared" si="246"/>
        <v>0</v>
      </c>
      <c r="CH150" s="25">
        <f>IFERROR(INDEX('2 Staff List'!LO$64:LO$114,$AH150),0)</f>
        <v>0</v>
      </c>
      <c r="CI150" s="25">
        <f>IFERROR(INDEX('2 Staff List'!LP$64:LP$114,$AH150),0)</f>
        <v>0</v>
      </c>
      <c r="CJ150" s="25">
        <f>IFERROR(INDEX('2 Staff List'!LQ$64:LQ$114,$AH150),0)</f>
        <v>0</v>
      </c>
      <c r="CK150" s="25">
        <f>IFERROR(INDEX('2 Staff List'!LR$64:LR$114,$AH150),0)</f>
        <v>0</v>
      </c>
      <c r="CL150" s="25">
        <f>IFERROR(INDEX('2 Staff List'!LS$64:LS$114,$AH150),0)</f>
        <v>0</v>
      </c>
      <c r="CM150" s="25">
        <f>IFERROR(INDEX('2 Staff List'!LT$64:LT$114,$AH150),0)</f>
        <v>0</v>
      </c>
      <c r="CN150" s="25">
        <f>IFERROR(INDEX('2 Staff List'!LU$64:LU$114,$AH150),0)</f>
        <v>0</v>
      </c>
      <c r="CO150" s="25">
        <f>IFERROR(INDEX('2 Staff List'!LV$64:LV$114,$AH150),0)</f>
        <v>0</v>
      </c>
      <c r="CP150" s="25">
        <f>IFERROR(INDEX('2 Staff List'!LW$64:LW$114,$AH150),0)</f>
        <v>0</v>
      </c>
      <c r="CQ150" s="25">
        <f>IFERROR(INDEX('2 Staff List'!LX$64:LX$114,$AH150),0)</f>
        <v>0</v>
      </c>
      <c r="CR150" s="25">
        <f t="shared" si="204"/>
        <v>0</v>
      </c>
      <c r="CS150" s="25">
        <f t="shared" si="247"/>
        <v>1</v>
      </c>
      <c r="CT150" s="25">
        <f t="shared" si="248"/>
        <v>1</v>
      </c>
      <c r="CU150" s="25">
        <f t="shared" si="249"/>
        <v>1</v>
      </c>
      <c r="CV150" s="25">
        <f t="shared" si="250"/>
        <v>1</v>
      </c>
      <c r="CW150" s="25">
        <f t="shared" si="251"/>
        <v>1</v>
      </c>
      <c r="CX150" s="25">
        <f t="shared" si="252"/>
        <v>0</v>
      </c>
      <c r="CY150" s="25">
        <f t="shared" si="253"/>
        <v>0</v>
      </c>
      <c r="CZ150" s="25">
        <f t="shared" si="254"/>
        <v>0</v>
      </c>
      <c r="DA150" s="25">
        <f t="shared" si="255"/>
        <v>1</v>
      </c>
      <c r="DB150" s="25">
        <f t="shared" si="205"/>
        <v>1</v>
      </c>
      <c r="DC150" s="25">
        <f t="shared" si="256"/>
        <v>0</v>
      </c>
      <c r="DD150" s="25">
        <f>IF(OR($AD150&lt;&gt;3,F150="Exclude"),0,IF(ISERROR(MATCH($E150,'4 Sign-off'!$S$123:$X$123,0)),0,1))</f>
        <v>0</v>
      </c>
      <c r="DE150" s="25">
        <f t="shared" si="206"/>
        <v>0</v>
      </c>
      <c r="DF150" s="25">
        <f t="shared" si="257"/>
        <v>0</v>
      </c>
      <c r="DG150" s="25" t="str">
        <f t="shared" si="258"/>
        <v/>
      </c>
      <c r="DH150" s="25">
        <f t="shared" si="259"/>
        <v>0</v>
      </c>
      <c r="DI150" s="25">
        <f t="shared" si="260"/>
        <v>0</v>
      </c>
      <c r="DJ150" s="25">
        <f>IF(ISBLANK(J150),0,ISERROR(MATCH(J150,'5  Control Accounts'!$FA$29:$FA$96,0))*1)</f>
        <v>0</v>
      </c>
      <c r="DK150" s="25">
        <f t="shared" si="261"/>
        <v>0</v>
      </c>
      <c r="DL150" s="25">
        <f t="shared" si="207"/>
        <v>-1</v>
      </c>
      <c r="DM150" s="25" t="e">
        <f t="array" ref="DM150">MATCH(1,($EG150:$JD150&gt;0)*$EG$17:$JD$17,0)</f>
        <v>#N/A</v>
      </c>
      <c r="DN150" s="25" t="e">
        <f t="shared" si="208"/>
        <v>#N/A</v>
      </c>
      <c r="DO150" s="25" t="e">
        <f t="array" ref="DO150">MATCH(2,1/(EG150:JD150&gt;0))</f>
        <v>#N/A</v>
      </c>
      <c r="DP150" s="2993">
        <f t="shared" si="262"/>
        <v>0</v>
      </c>
      <c r="DQ150" s="3037">
        <f t="shared" si="263"/>
        <v>0</v>
      </c>
      <c r="DR150" s="111"/>
      <c r="DS150" s="1268">
        <f t="shared" si="209"/>
        <v>0</v>
      </c>
      <c r="DT150" s="1825"/>
      <c r="DU150" s="1826"/>
      <c r="DV150" s="1827"/>
      <c r="DW150" s="1828"/>
      <c r="DX150" s="659"/>
      <c r="DY150" s="1265"/>
      <c r="DZ150" s="1785">
        <f t="shared" si="210"/>
        <v>0</v>
      </c>
      <c r="EA150" s="1786">
        <f t="shared" si="211"/>
        <v>0</v>
      </c>
      <c r="EB150" s="1781">
        <f t="shared" si="212"/>
        <v>0</v>
      </c>
      <c r="EC150" s="1782">
        <f t="shared" si="213"/>
        <v>0</v>
      </c>
      <c r="ED150" s="1262"/>
      <c r="EE150" s="2280"/>
      <c r="EF150" s="1802"/>
      <c r="EG150" s="167"/>
      <c r="EH150" s="168"/>
      <c r="EI150" s="168"/>
      <c r="EJ150" s="168"/>
      <c r="EK150" s="168"/>
      <c r="EL150" s="168"/>
      <c r="EM150" s="168"/>
      <c r="EN150" s="168"/>
      <c r="EO150" s="168"/>
      <c r="EP150" s="168"/>
      <c r="EQ150" s="168"/>
      <c r="ER150" s="168"/>
      <c r="ES150" s="168"/>
      <c r="ET150" s="168"/>
      <c r="EU150" s="168"/>
      <c r="EV150" s="168"/>
      <c r="EW150" s="168"/>
      <c r="EX150" s="168"/>
      <c r="EY150" s="168"/>
      <c r="EZ150" s="168"/>
      <c r="FA150" s="168"/>
      <c r="FB150" s="168"/>
      <c r="FC150" s="168"/>
      <c r="FD150" s="168"/>
      <c r="FE150" s="168"/>
      <c r="FF150" s="168"/>
      <c r="FG150" s="168"/>
      <c r="FH150" s="168"/>
      <c r="FI150" s="168"/>
      <c r="FJ150" s="168"/>
      <c r="FK150" s="168"/>
      <c r="FL150" s="168"/>
      <c r="FM150" s="168"/>
      <c r="FN150" s="168"/>
      <c r="FO150" s="168"/>
      <c r="FP150" s="168"/>
      <c r="FQ150" s="168"/>
      <c r="FR150" s="168"/>
      <c r="FS150" s="168"/>
      <c r="FT150" s="168"/>
      <c r="FU150" s="168"/>
      <c r="FV150" s="168"/>
      <c r="FW150" s="168"/>
      <c r="FX150" s="168"/>
      <c r="FY150" s="168"/>
      <c r="FZ150" s="168"/>
      <c r="GA150" s="168"/>
      <c r="GB150" s="168"/>
      <c r="GC150" s="168"/>
      <c r="GD150" s="168"/>
      <c r="GE150" s="168"/>
      <c r="GF150" s="168"/>
      <c r="GG150" s="168"/>
      <c r="GH150" s="168"/>
      <c r="GI150" s="168"/>
      <c r="GJ150" s="168"/>
      <c r="GK150" s="168"/>
      <c r="GL150" s="168"/>
      <c r="GM150" s="168"/>
      <c r="GN150" s="168"/>
      <c r="GO150" s="168"/>
      <c r="GP150" s="168"/>
      <c r="GQ150" s="168"/>
      <c r="GR150" s="168"/>
      <c r="GS150" s="168"/>
      <c r="GT150" s="168"/>
      <c r="GU150" s="168"/>
      <c r="GV150" s="168"/>
      <c r="GW150" s="168"/>
      <c r="GX150" s="168"/>
      <c r="GY150" s="168"/>
      <c r="GZ150" s="168"/>
      <c r="HA150" s="168"/>
      <c r="HB150" s="168"/>
      <c r="HC150" s="168"/>
      <c r="HD150" s="168"/>
      <c r="HE150" s="168"/>
      <c r="HF150" s="168"/>
      <c r="HG150" s="168"/>
      <c r="HH150" s="168"/>
      <c r="HI150" s="168"/>
      <c r="HJ150" s="168"/>
      <c r="HK150" s="168"/>
      <c r="HL150" s="168"/>
      <c r="HM150" s="168"/>
      <c r="HN150" s="168"/>
      <c r="HO150" s="168"/>
      <c r="HP150" s="168"/>
      <c r="HQ150" s="168"/>
      <c r="HR150" s="168"/>
      <c r="HS150" s="168"/>
      <c r="HT150" s="168"/>
      <c r="HU150" s="168"/>
      <c r="HV150" s="168"/>
      <c r="HW150" s="168"/>
      <c r="HX150" s="168"/>
      <c r="HY150" s="168"/>
      <c r="HZ150" s="168"/>
      <c r="IA150" s="168"/>
      <c r="IB150" s="168"/>
      <c r="IC150" s="168"/>
      <c r="ID150" s="168"/>
      <c r="IE150" s="168"/>
      <c r="IF150" s="168"/>
      <c r="IG150" s="168"/>
      <c r="IH150" s="168"/>
      <c r="II150" s="168"/>
      <c r="IJ150" s="168"/>
      <c r="IK150" s="168"/>
      <c r="IL150" s="168"/>
      <c r="IM150" s="168"/>
      <c r="IN150" s="168"/>
      <c r="IO150" s="168"/>
      <c r="IP150" s="168"/>
      <c r="IQ150" s="168"/>
      <c r="IR150" s="168"/>
      <c r="IS150" s="168"/>
      <c r="IT150" s="168"/>
      <c r="IU150" s="168"/>
      <c r="IV150" s="168"/>
      <c r="IW150" s="168"/>
      <c r="IX150" s="168"/>
      <c r="IY150" s="168"/>
      <c r="IZ150" s="168"/>
      <c r="JA150" s="168"/>
      <c r="JB150" s="168"/>
      <c r="JC150" s="606"/>
      <c r="JD150" s="609"/>
      <c r="JE150" s="1"/>
      <c r="JF150" s="1"/>
    </row>
    <row r="151" spans="1:266" s="2" customFormat="1" ht="15" customHeight="1" x14ac:dyDescent="0.25">
      <c r="A151" s="283"/>
      <c r="B151" s="303"/>
      <c r="C151" s="301"/>
      <c r="D151" s="638"/>
      <c r="E151" s="2298"/>
      <c r="F151" s="1812"/>
      <c r="G151" s="3342"/>
      <c r="H151" s="66"/>
      <c r="I151" s="1746"/>
      <c r="J151" s="86"/>
      <c r="K151" s="105"/>
      <c r="L151" s="91"/>
      <c r="M151" s="92"/>
      <c r="N151" s="93"/>
      <c r="O151" s="94"/>
      <c r="P151" s="96"/>
      <c r="Q151" s="95"/>
      <c r="R151" s="993">
        <f t="shared" si="198"/>
        <v>0</v>
      </c>
      <c r="S151" s="23">
        <f t="shared" si="214"/>
        <v>0</v>
      </c>
      <c r="T151" s="24">
        <f t="shared" si="215"/>
        <v>0</v>
      </c>
      <c r="U151" s="24">
        <f t="shared" si="199"/>
        <v>0</v>
      </c>
      <c r="V151" s="24">
        <f t="shared" si="216"/>
        <v>0</v>
      </c>
      <c r="W151" s="24">
        <f t="shared" si="217"/>
        <v>0</v>
      </c>
      <c r="X151" s="72">
        <f t="shared" si="218"/>
        <v>0</v>
      </c>
      <c r="Y151" s="72">
        <f t="shared" si="219"/>
        <v>0</v>
      </c>
      <c r="Z151" s="24">
        <f t="shared" si="200"/>
        <v>0</v>
      </c>
      <c r="AA151" s="72">
        <f t="shared" si="220"/>
        <v>0</v>
      </c>
      <c r="AB151" s="24">
        <f t="shared" si="221"/>
        <v>0</v>
      </c>
      <c r="AC151" s="24" t="s">
        <v>5</v>
      </c>
      <c r="AD151" s="25">
        <f t="shared" si="201"/>
        <v>3</v>
      </c>
      <c r="AE151" s="25">
        <f t="shared" si="202"/>
        <v>0</v>
      </c>
      <c r="AF151" s="25">
        <f t="shared" si="203"/>
        <v>0</v>
      </c>
      <c r="AG151" s="25">
        <f t="shared" si="222"/>
        <v>1</v>
      </c>
      <c r="AH151" s="25" t="str">
        <f>IFERROR(MATCH(DY151,'2 Staff List'!$IA$64:$IA$114,0),"x")</f>
        <v>x</v>
      </c>
      <c r="AI151" s="1181">
        <f>IFERROR(INDEX('2 Staff List'!$EX$64:$EX$114,$AH151),0)</f>
        <v>0</v>
      </c>
      <c r="AJ151" s="25">
        <f>IFERROR(INDEX('2 Staff List'!$IW$64:$IW$114,$AH151),0)</f>
        <v>0</v>
      </c>
      <c r="AK151" s="25">
        <f>IFERROR(INDEX('2 Staff List'!$IB$64:$IB$114,$AH151),0)</f>
        <v>0</v>
      </c>
      <c r="AL151" s="25">
        <f>IF(OR(NOT(ISBLANK(DV151)),CX151=1),"&lt;Non-Labor&gt;",IFERROR(IF(AH151=0,0,INDEX('2 Staff List'!$HZ$64:$HZ$114,$AH151)),0))</f>
        <v>0</v>
      </c>
      <c r="AM151" s="25">
        <f>IFERROR(INDEX('2 Staff List'!$HW$64:$HW$114,$AH151),0)</f>
        <v>0</v>
      </c>
      <c r="AN151" s="25">
        <f t="shared" si="223"/>
        <v>1</v>
      </c>
      <c r="AO151" s="25">
        <f>IF($AO$127=0,0,IFERROR(INDEX('2 Staff List'!$JH$64:$JH$114,$AH151),0))</f>
        <v>0</v>
      </c>
      <c r="AP151" s="25">
        <f>IFERROR(INDEX('2 Staff List'!$HU$64:$HU$114,$AH151),0)</f>
        <v>0</v>
      </c>
      <c r="AQ151" s="25">
        <f t="shared" si="224"/>
        <v>0</v>
      </c>
      <c r="AR151" s="25">
        <f t="shared" si="225"/>
        <v>0</v>
      </c>
      <c r="AS151" s="25">
        <f t="shared" si="226"/>
        <v>0</v>
      </c>
      <c r="AT151" s="25">
        <f t="shared" si="227"/>
        <v>0</v>
      </c>
      <c r="AU151" s="25">
        <f t="shared" si="228"/>
        <v>0</v>
      </c>
      <c r="AV151" s="25">
        <f t="shared" si="229"/>
        <v>0</v>
      </c>
      <c r="AW151" s="25">
        <f t="shared" si="230"/>
        <v>0</v>
      </c>
      <c r="AX151" s="25">
        <f t="shared" si="231"/>
        <v>0</v>
      </c>
      <c r="AY151" s="25">
        <f t="shared" si="232"/>
        <v>0</v>
      </c>
      <c r="AZ151" s="25">
        <f t="shared" si="233"/>
        <v>0</v>
      </c>
      <c r="BA151" s="25">
        <f t="shared" si="234"/>
        <v>0</v>
      </c>
      <c r="BB151" s="25">
        <f t="shared" si="235"/>
        <v>0</v>
      </c>
      <c r="BC151" s="25">
        <f>IFERROR(INDEX('2 Staff List'!KS$64:KS$114,$AH151),0)</f>
        <v>0</v>
      </c>
      <c r="BD151" s="25">
        <f>IFERROR(INDEX('2 Staff List'!KT$64:KT$114,$AH151),0)</f>
        <v>0</v>
      </c>
      <c r="BE151" s="25">
        <f>IFERROR(INDEX('2 Staff List'!KU$64:KU$114,$AH151),0)</f>
        <v>0</v>
      </c>
      <c r="BF151" s="25">
        <f>IFERROR(INDEX('2 Staff List'!KV$64:KV$114,$AH151),0)</f>
        <v>0</v>
      </c>
      <c r="BG151" s="25">
        <f>IFERROR(INDEX('2 Staff List'!KW$64:KW$114,$AH151),0)</f>
        <v>0</v>
      </c>
      <c r="BH151" s="25">
        <f>IFERROR(INDEX('2 Staff List'!KX$64:KX$114,$AH151),0)</f>
        <v>0</v>
      </c>
      <c r="BI151" s="25">
        <f>IFERROR(INDEX('2 Staff List'!KY$64:KY$114,$AH151),0)</f>
        <v>0</v>
      </c>
      <c r="BJ151" s="25">
        <f>IFERROR(INDEX('2 Staff List'!KZ$64:KZ$114,$AH151),0)</f>
        <v>0</v>
      </c>
      <c r="BK151" s="25">
        <f>IFERROR(INDEX('2 Staff List'!LA$64:LA$114,$AH151),0)</f>
        <v>0</v>
      </c>
      <c r="BL151" s="25">
        <f>IFERROR(INDEX('2 Staff List'!LB$64:LB$114,$AH151),0)</f>
        <v>0</v>
      </c>
      <c r="BM151" s="25">
        <f>IFERROR(INDEX('2 Staff List'!FT$64:FT$114,$AH151),0)</f>
        <v>0</v>
      </c>
      <c r="BN151" s="25">
        <f>IFERROR(INDEX('2 Staff List'!FU$64:FU$114,$AH151),0)</f>
        <v>0</v>
      </c>
      <c r="BO151" s="25">
        <f>IFERROR(INDEX('2 Staff List'!FV$64:FV$114,$AH151),0)</f>
        <v>0</v>
      </c>
      <c r="BP151" s="25">
        <f>IFERROR(INDEX('2 Staff List'!FW$64:FW$114,$AH151),0)</f>
        <v>0</v>
      </c>
      <c r="BQ151" s="25">
        <f>IFERROR(INDEX('2 Staff List'!FX$64:FX$114,$AH151),0)</f>
        <v>0</v>
      </c>
      <c r="BR151" s="25">
        <f>IFERROR(INDEX('2 Staff List'!FY$64:FY$114,$AH151),0)</f>
        <v>0</v>
      </c>
      <c r="BS151" s="25">
        <f>IFERROR(INDEX('2 Staff List'!FZ$64:FZ$114,$AH151),0)</f>
        <v>0</v>
      </c>
      <c r="BT151" s="25">
        <f>IFERROR(INDEX('2 Staff List'!GA$64:GA$114,$AH151),0)</f>
        <v>0</v>
      </c>
      <c r="BU151" s="25">
        <f>IFERROR(INDEX('2 Staff List'!GB$64:GB$114,$AH151),0)</f>
        <v>0</v>
      </c>
      <c r="BV151" s="25">
        <f>IFERROR(INDEX('2 Staff List'!GC$64:GC$114,$AH151),0)</f>
        <v>0</v>
      </c>
      <c r="BW151" s="25">
        <f t="shared" si="236"/>
        <v>0</v>
      </c>
      <c r="BX151" s="25">
        <f t="shared" si="237"/>
        <v>0</v>
      </c>
      <c r="BY151" s="25">
        <f t="shared" si="238"/>
        <v>0</v>
      </c>
      <c r="BZ151" s="25">
        <f t="shared" si="239"/>
        <v>0</v>
      </c>
      <c r="CA151" s="25">
        <f t="shared" si="240"/>
        <v>0</v>
      </c>
      <c r="CB151" s="25">
        <f t="shared" si="241"/>
        <v>0</v>
      </c>
      <c r="CC151" s="25">
        <f t="shared" si="242"/>
        <v>0</v>
      </c>
      <c r="CD151" s="25">
        <f t="shared" si="243"/>
        <v>0</v>
      </c>
      <c r="CE151" s="25">
        <f t="shared" si="244"/>
        <v>0</v>
      </c>
      <c r="CF151" s="25">
        <f t="shared" si="245"/>
        <v>0</v>
      </c>
      <c r="CG151" s="25">
        <f t="shared" si="246"/>
        <v>0</v>
      </c>
      <c r="CH151" s="25">
        <f>IFERROR(INDEX('2 Staff List'!LO$64:LO$114,$AH151),0)</f>
        <v>0</v>
      </c>
      <c r="CI151" s="25">
        <f>IFERROR(INDEX('2 Staff List'!LP$64:LP$114,$AH151),0)</f>
        <v>0</v>
      </c>
      <c r="CJ151" s="25">
        <f>IFERROR(INDEX('2 Staff List'!LQ$64:LQ$114,$AH151),0)</f>
        <v>0</v>
      </c>
      <c r="CK151" s="25">
        <f>IFERROR(INDEX('2 Staff List'!LR$64:LR$114,$AH151),0)</f>
        <v>0</v>
      </c>
      <c r="CL151" s="25">
        <f>IFERROR(INDEX('2 Staff List'!LS$64:LS$114,$AH151),0)</f>
        <v>0</v>
      </c>
      <c r="CM151" s="25">
        <f>IFERROR(INDEX('2 Staff List'!LT$64:LT$114,$AH151),0)</f>
        <v>0</v>
      </c>
      <c r="CN151" s="25">
        <f>IFERROR(INDEX('2 Staff List'!LU$64:LU$114,$AH151),0)</f>
        <v>0</v>
      </c>
      <c r="CO151" s="25">
        <f>IFERROR(INDEX('2 Staff List'!LV$64:LV$114,$AH151),0)</f>
        <v>0</v>
      </c>
      <c r="CP151" s="25">
        <f>IFERROR(INDEX('2 Staff List'!LW$64:LW$114,$AH151),0)</f>
        <v>0</v>
      </c>
      <c r="CQ151" s="25">
        <f>IFERROR(INDEX('2 Staff List'!LX$64:LX$114,$AH151),0)</f>
        <v>0</v>
      </c>
      <c r="CR151" s="25">
        <f t="shared" si="204"/>
        <v>0</v>
      </c>
      <c r="CS151" s="25">
        <f t="shared" si="247"/>
        <v>1</v>
      </c>
      <c r="CT151" s="25">
        <f t="shared" si="248"/>
        <v>1</v>
      </c>
      <c r="CU151" s="25">
        <f t="shared" si="249"/>
        <v>1</v>
      </c>
      <c r="CV151" s="25">
        <f t="shared" si="250"/>
        <v>1</v>
      </c>
      <c r="CW151" s="25">
        <f t="shared" si="251"/>
        <v>1</v>
      </c>
      <c r="CX151" s="25">
        <f t="shared" si="252"/>
        <v>0</v>
      </c>
      <c r="CY151" s="25">
        <f t="shared" si="253"/>
        <v>0</v>
      </c>
      <c r="CZ151" s="25">
        <f t="shared" si="254"/>
        <v>0</v>
      </c>
      <c r="DA151" s="25">
        <f t="shared" si="255"/>
        <v>1</v>
      </c>
      <c r="DB151" s="25">
        <f t="shared" si="205"/>
        <v>1</v>
      </c>
      <c r="DC151" s="25">
        <f t="shared" si="256"/>
        <v>0</v>
      </c>
      <c r="DD151" s="25">
        <f>IF(OR($AD151&lt;&gt;3,F151="Exclude"),0,IF(ISERROR(MATCH($E151,'4 Sign-off'!$S$123:$X$123,0)),0,1))</f>
        <v>0</v>
      </c>
      <c r="DE151" s="25">
        <f t="shared" si="206"/>
        <v>0</v>
      </c>
      <c r="DF151" s="25">
        <f t="shared" si="257"/>
        <v>0</v>
      </c>
      <c r="DG151" s="25" t="str">
        <f t="shared" si="258"/>
        <v/>
      </c>
      <c r="DH151" s="25">
        <f t="shared" si="259"/>
        <v>0</v>
      </c>
      <c r="DI151" s="25">
        <f t="shared" si="260"/>
        <v>0</v>
      </c>
      <c r="DJ151" s="25">
        <f>IF(ISBLANK(J151),0,ISERROR(MATCH(J151,'5  Control Accounts'!$FA$29:$FA$96,0))*1)</f>
        <v>0</v>
      </c>
      <c r="DK151" s="25">
        <f t="shared" si="261"/>
        <v>0</v>
      </c>
      <c r="DL151" s="25">
        <f t="shared" si="207"/>
        <v>-1</v>
      </c>
      <c r="DM151" s="25" t="e">
        <f t="array" ref="DM151">MATCH(1,($EG151:$JD151&gt;0)*$EG$17:$JD$17,0)</f>
        <v>#N/A</v>
      </c>
      <c r="DN151" s="25" t="e">
        <f t="shared" si="208"/>
        <v>#N/A</v>
      </c>
      <c r="DO151" s="25" t="e">
        <f t="array" ref="DO151">MATCH(2,1/(EG151:JD151&gt;0))</f>
        <v>#N/A</v>
      </c>
      <c r="DP151" s="2993">
        <f t="shared" si="262"/>
        <v>0</v>
      </c>
      <c r="DQ151" s="3037">
        <f t="shared" si="263"/>
        <v>0</v>
      </c>
      <c r="DR151" s="111"/>
      <c r="DS151" s="1268">
        <f t="shared" si="209"/>
        <v>0</v>
      </c>
      <c r="DT151" s="1825"/>
      <c r="DU151" s="1826"/>
      <c r="DV151" s="1827"/>
      <c r="DW151" s="1828"/>
      <c r="DX151" s="659"/>
      <c r="DY151" s="1265"/>
      <c r="DZ151" s="1785">
        <f t="shared" si="210"/>
        <v>0</v>
      </c>
      <c r="EA151" s="1786">
        <f t="shared" si="211"/>
        <v>0</v>
      </c>
      <c r="EB151" s="1781">
        <f t="shared" si="212"/>
        <v>0</v>
      </c>
      <c r="EC151" s="1782">
        <f t="shared" si="213"/>
        <v>0</v>
      </c>
      <c r="ED151" s="1262"/>
      <c r="EE151" s="2280"/>
      <c r="EF151" s="1802"/>
      <c r="EG151" s="167"/>
      <c r="EH151" s="168"/>
      <c r="EI151" s="168"/>
      <c r="EJ151" s="168"/>
      <c r="EK151" s="168"/>
      <c r="EL151" s="168"/>
      <c r="EM151" s="168"/>
      <c r="EN151" s="168"/>
      <c r="EO151" s="168"/>
      <c r="EP151" s="168"/>
      <c r="EQ151" s="168"/>
      <c r="ER151" s="168"/>
      <c r="ES151" s="168"/>
      <c r="ET151" s="168"/>
      <c r="EU151" s="168"/>
      <c r="EV151" s="168"/>
      <c r="EW151" s="168"/>
      <c r="EX151" s="168"/>
      <c r="EY151" s="168"/>
      <c r="EZ151" s="168"/>
      <c r="FA151" s="168"/>
      <c r="FB151" s="168"/>
      <c r="FC151" s="168"/>
      <c r="FD151" s="168"/>
      <c r="FE151" s="168"/>
      <c r="FF151" s="168"/>
      <c r="FG151" s="168"/>
      <c r="FH151" s="168"/>
      <c r="FI151" s="168"/>
      <c r="FJ151" s="168"/>
      <c r="FK151" s="168"/>
      <c r="FL151" s="168"/>
      <c r="FM151" s="168"/>
      <c r="FN151" s="168"/>
      <c r="FO151" s="168"/>
      <c r="FP151" s="168"/>
      <c r="FQ151" s="168"/>
      <c r="FR151" s="168"/>
      <c r="FS151" s="168"/>
      <c r="FT151" s="168"/>
      <c r="FU151" s="168"/>
      <c r="FV151" s="168"/>
      <c r="FW151" s="168"/>
      <c r="FX151" s="168"/>
      <c r="FY151" s="168"/>
      <c r="FZ151" s="168"/>
      <c r="GA151" s="168"/>
      <c r="GB151" s="168"/>
      <c r="GC151" s="168"/>
      <c r="GD151" s="168"/>
      <c r="GE151" s="168"/>
      <c r="GF151" s="168"/>
      <c r="GG151" s="168"/>
      <c r="GH151" s="168"/>
      <c r="GI151" s="168"/>
      <c r="GJ151" s="168"/>
      <c r="GK151" s="168"/>
      <c r="GL151" s="168"/>
      <c r="GM151" s="168"/>
      <c r="GN151" s="168"/>
      <c r="GO151" s="168"/>
      <c r="GP151" s="168"/>
      <c r="GQ151" s="168"/>
      <c r="GR151" s="168"/>
      <c r="GS151" s="168"/>
      <c r="GT151" s="168"/>
      <c r="GU151" s="168"/>
      <c r="GV151" s="168"/>
      <c r="GW151" s="168"/>
      <c r="GX151" s="168"/>
      <c r="GY151" s="168"/>
      <c r="GZ151" s="168"/>
      <c r="HA151" s="168"/>
      <c r="HB151" s="168"/>
      <c r="HC151" s="168"/>
      <c r="HD151" s="168"/>
      <c r="HE151" s="168"/>
      <c r="HF151" s="168"/>
      <c r="HG151" s="168"/>
      <c r="HH151" s="168"/>
      <c r="HI151" s="168"/>
      <c r="HJ151" s="168"/>
      <c r="HK151" s="168"/>
      <c r="HL151" s="168"/>
      <c r="HM151" s="168"/>
      <c r="HN151" s="168"/>
      <c r="HO151" s="168"/>
      <c r="HP151" s="168"/>
      <c r="HQ151" s="168"/>
      <c r="HR151" s="168"/>
      <c r="HS151" s="168"/>
      <c r="HT151" s="168"/>
      <c r="HU151" s="168"/>
      <c r="HV151" s="168"/>
      <c r="HW151" s="168"/>
      <c r="HX151" s="168"/>
      <c r="HY151" s="168"/>
      <c r="HZ151" s="168"/>
      <c r="IA151" s="168"/>
      <c r="IB151" s="168"/>
      <c r="IC151" s="168"/>
      <c r="ID151" s="168"/>
      <c r="IE151" s="168"/>
      <c r="IF151" s="168"/>
      <c r="IG151" s="168"/>
      <c r="IH151" s="168"/>
      <c r="II151" s="168"/>
      <c r="IJ151" s="168"/>
      <c r="IK151" s="168"/>
      <c r="IL151" s="168"/>
      <c r="IM151" s="168"/>
      <c r="IN151" s="168"/>
      <c r="IO151" s="168"/>
      <c r="IP151" s="168"/>
      <c r="IQ151" s="168"/>
      <c r="IR151" s="168"/>
      <c r="IS151" s="168"/>
      <c r="IT151" s="168"/>
      <c r="IU151" s="168"/>
      <c r="IV151" s="168"/>
      <c r="IW151" s="168"/>
      <c r="IX151" s="168"/>
      <c r="IY151" s="168"/>
      <c r="IZ151" s="168"/>
      <c r="JA151" s="168"/>
      <c r="JB151" s="168"/>
      <c r="JC151" s="606"/>
      <c r="JD151" s="609"/>
      <c r="JE151" s="1"/>
      <c r="JF151" s="1"/>
    </row>
    <row r="152" spans="1:266" s="2" customFormat="1" ht="15" customHeight="1" x14ac:dyDescent="0.25">
      <c r="A152" s="283"/>
      <c r="B152" s="303"/>
      <c r="C152" s="301"/>
      <c r="D152" s="638"/>
      <c r="E152" s="2298"/>
      <c r="F152" s="1812"/>
      <c r="G152" s="3342"/>
      <c r="H152" s="66"/>
      <c r="I152" s="1746"/>
      <c r="J152" s="86"/>
      <c r="K152" s="105"/>
      <c r="L152" s="91"/>
      <c r="M152" s="92"/>
      <c r="N152" s="93"/>
      <c r="O152" s="94"/>
      <c r="P152" s="96"/>
      <c r="Q152" s="95"/>
      <c r="R152" s="993">
        <f t="shared" si="198"/>
        <v>0</v>
      </c>
      <c r="S152" s="23">
        <f t="shared" si="214"/>
        <v>0</v>
      </c>
      <c r="T152" s="24">
        <f t="shared" si="215"/>
        <v>0</v>
      </c>
      <c r="U152" s="24">
        <f t="shared" si="199"/>
        <v>0</v>
      </c>
      <c r="V152" s="24">
        <f t="shared" si="216"/>
        <v>0</v>
      </c>
      <c r="W152" s="24">
        <f t="shared" si="217"/>
        <v>0</v>
      </c>
      <c r="X152" s="72">
        <f t="shared" si="218"/>
        <v>0</v>
      </c>
      <c r="Y152" s="72">
        <f t="shared" si="219"/>
        <v>0</v>
      </c>
      <c r="Z152" s="24">
        <f t="shared" si="200"/>
        <v>0</v>
      </c>
      <c r="AA152" s="72">
        <f t="shared" si="220"/>
        <v>0</v>
      </c>
      <c r="AB152" s="24">
        <f t="shared" si="221"/>
        <v>0</v>
      </c>
      <c r="AC152" s="24" t="s">
        <v>5</v>
      </c>
      <c r="AD152" s="25">
        <f t="shared" si="201"/>
        <v>3</v>
      </c>
      <c r="AE152" s="25">
        <f t="shared" si="202"/>
        <v>0</v>
      </c>
      <c r="AF152" s="25">
        <f t="shared" si="203"/>
        <v>0</v>
      </c>
      <c r="AG152" s="25">
        <f t="shared" si="222"/>
        <v>1</v>
      </c>
      <c r="AH152" s="25" t="str">
        <f>IFERROR(MATCH(DY152,'2 Staff List'!$IA$64:$IA$114,0),"x")</f>
        <v>x</v>
      </c>
      <c r="AI152" s="1181">
        <f>IFERROR(INDEX('2 Staff List'!$EX$64:$EX$114,$AH152),0)</f>
        <v>0</v>
      </c>
      <c r="AJ152" s="25">
        <f>IFERROR(INDEX('2 Staff List'!$IW$64:$IW$114,$AH152),0)</f>
        <v>0</v>
      </c>
      <c r="AK152" s="25">
        <f>IFERROR(INDEX('2 Staff List'!$IB$64:$IB$114,$AH152),0)</f>
        <v>0</v>
      </c>
      <c r="AL152" s="25">
        <f>IF(OR(NOT(ISBLANK(DV152)),CX152=1),"&lt;Non-Labor&gt;",IFERROR(IF(AH152=0,0,INDEX('2 Staff List'!$HZ$64:$HZ$114,$AH152)),0))</f>
        <v>0</v>
      </c>
      <c r="AM152" s="25">
        <f>IFERROR(INDEX('2 Staff List'!$HW$64:$HW$114,$AH152),0)</f>
        <v>0</v>
      </c>
      <c r="AN152" s="25">
        <f t="shared" si="223"/>
        <v>1</v>
      </c>
      <c r="AO152" s="25">
        <f>IF($AO$127=0,0,IFERROR(INDEX('2 Staff List'!$JH$64:$JH$114,$AH152),0))</f>
        <v>0</v>
      </c>
      <c r="AP152" s="25">
        <f>IFERROR(INDEX('2 Staff List'!$HU$64:$HU$114,$AH152),0)</f>
        <v>0</v>
      </c>
      <c r="AQ152" s="25">
        <f t="shared" si="224"/>
        <v>0</v>
      </c>
      <c r="AR152" s="25">
        <f t="shared" si="225"/>
        <v>0</v>
      </c>
      <c r="AS152" s="25">
        <f t="shared" si="226"/>
        <v>0</v>
      </c>
      <c r="AT152" s="25">
        <f t="shared" si="227"/>
        <v>0</v>
      </c>
      <c r="AU152" s="25">
        <f t="shared" si="228"/>
        <v>0</v>
      </c>
      <c r="AV152" s="25">
        <f t="shared" si="229"/>
        <v>0</v>
      </c>
      <c r="AW152" s="25">
        <f t="shared" si="230"/>
        <v>0</v>
      </c>
      <c r="AX152" s="25">
        <f t="shared" si="231"/>
        <v>0</v>
      </c>
      <c r="AY152" s="25">
        <f t="shared" si="232"/>
        <v>0</v>
      </c>
      <c r="AZ152" s="25">
        <f t="shared" si="233"/>
        <v>0</v>
      </c>
      <c r="BA152" s="25">
        <f t="shared" si="234"/>
        <v>0</v>
      </c>
      <c r="BB152" s="25">
        <f t="shared" si="235"/>
        <v>0</v>
      </c>
      <c r="BC152" s="25">
        <f>IFERROR(INDEX('2 Staff List'!KS$64:KS$114,$AH152),0)</f>
        <v>0</v>
      </c>
      <c r="BD152" s="25">
        <f>IFERROR(INDEX('2 Staff List'!KT$64:KT$114,$AH152),0)</f>
        <v>0</v>
      </c>
      <c r="BE152" s="25">
        <f>IFERROR(INDEX('2 Staff List'!KU$64:KU$114,$AH152),0)</f>
        <v>0</v>
      </c>
      <c r="BF152" s="25">
        <f>IFERROR(INDEX('2 Staff List'!KV$64:KV$114,$AH152),0)</f>
        <v>0</v>
      </c>
      <c r="BG152" s="25">
        <f>IFERROR(INDEX('2 Staff List'!KW$64:KW$114,$AH152),0)</f>
        <v>0</v>
      </c>
      <c r="BH152" s="25">
        <f>IFERROR(INDEX('2 Staff List'!KX$64:KX$114,$AH152),0)</f>
        <v>0</v>
      </c>
      <c r="BI152" s="25">
        <f>IFERROR(INDEX('2 Staff List'!KY$64:KY$114,$AH152),0)</f>
        <v>0</v>
      </c>
      <c r="BJ152" s="25">
        <f>IFERROR(INDEX('2 Staff List'!KZ$64:KZ$114,$AH152),0)</f>
        <v>0</v>
      </c>
      <c r="BK152" s="25">
        <f>IFERROR(INDEX('2 Staff List'!LA$64:LA$114,$AH152),0)</f>
        <v>0</v>
      </c>
      <c r="BL152" s="25">
        <f>IFERROR(INDEX('2 Staff List'!LB$64:LB$114,$AH152),0)</f>
        <v>0</v>
      </c>
      <c r="BM152" s="25">
        <f>IFERROR(INDEX('2 Staff List'!FT$64:FT$114,$AH152),0)</f>
        <v>0</v>
      </c>
      <c r="BN152" s="25">
        <f>IFERROR(INDEX('2 Staff List'!FU$64:FU$114,$AH152),0)</f>
        <v>0</v>
      </c>
      <c r="BO152" s="25">
        <f>IFERROR(INDEX('2 Staff List'!FV$64:FV$114,$AH152),0)</f>
        <v>0</v>
      </c>
      <c r="BP152" s="25">
        <f>IFERROR(INDEX('2 Staff List'!FW$64:FW$114,$AH152),0)</f>
        <v>0</v>
      </c>
      <c r="BQ152" s="25">
        <f>IFERROR(INDEX('2 Staff List'!FX$64:FX$114,$AH152),0)</f>
        <v>0</v>
      </c>
      <c r="BR152" s="25">
        <f>IFERROR(INDEX('2 Staff List'!FY$64:FY$114,$AH152),0)</f>
        <v>0</v>
      </c>
      <c r="BS152" s="25">
        <f>IFERROR(INDEX('2 Staff List'!FZ$64:FZ$114,$AH152),0)</f>
        <v>0</v>
      </c>
      <c r="BT152" s="25">
        <f>IFERROR(INDEX('2 Staff List'!GA$64:GA$114,$AH152),0)</f>
        <v>0</v>
      </c>
      <c r="BU152" s="25">
        <f>IFERROR(INDEX('2 Staff List'!GB$64:GB$114,$AH152),0)</f>
        <v>0</v>
      </c>
      <c r="BV152" s="25">
        <f>IFERROR(INDEX('2 Staff List'!GC$64:GC$114,$AH152),0)</f>
        <v>0</v>
      </c>
      <c r="BW152" s="25">
        <f t="shared" si="236"/>
        <v>0</v>
      </c>
      <c r="BX152" s="25">
        <f t="shared" si="237"/>
        <v>0</v>
      </c>
      <c r="BY152" s="25">
        <f t="shared" si="238"/>
        <v>0</v>
      </c>
      <c r="BZ152" s="25">
        <f t="shared" si="239"/>
        <v>0</v>
      </c>
      <c r="CA152" s="25">
        <f t="shared" si="240"/>
        <v>0</v>
      </c>
      <c r="CB152" s="25">
        <f t="shared" si="241"/>
        <v>0</v>
      </c>
      <c r="CC152" s="25">
        <f t="shared" si="242"/>
        <v>0</v>
      </c>
      <c r="CD152" s="25">
        <f t="shared" si="243"/>
        <v>0</v>
      </c>
      <c r="CE152" s="25">
        <f t="shared" si="244"/>
        <v>0</v>
      </c>
      <c r="CF152" s="25">
        <f t="shared" si="245"/>
        <v>0</v>
      </c>
      <c r="CG152" s="25">
        <f t="shared" si="246"/>
        <v>0</v>
      </c>
      <c r="CH152" s="25">
        <f>IFERROR(INDEX('2 Staff List'!LO$64:LO$114,$AH152),0)</f>
        <v>0</v>
      </c>
      <c r="CI152" s="25">
        <f>IFERROR(INDEX('2 Staff List'!LP$64:LP$114,$AH152),0)</f>
        <v>0</v>
      </c>
      <c r="CJ152" s="25">
        <f>IFERROR(INDEX('2 Staff List'!LQ$64:LQ$114,$AH152),0)</f>
        <v>0</v>
      </c>
      <c r="CK152" s="25">
        <f>IFERROR(INDEX('2 Staff List'!LR$64:LR$114,$AH152),0)</f>
        <v>0</v>
      </c>
      <c r="CL152" s="25">
        <f>IFERROR(INDEX('2 Staff List'!LS$64:LS$114,$AH152),0)</f>
        <v>0</v>
      </c>
      <c r="CM152" s="25">
        <f>IFERROR(INDEX('2 Staff List'!LT$64:LT$114,$AH152),0)</f>
        <v>0</v>
      </c>
      <c r="CN152" s="25">
        <f>IFERROR(INDEX('2 Staff List'!LU$64:LU$114,$AH152),0)</f>
        <v>0</v>
      </c>
      <c r="CO152" s="25">
        <f>IFERROR(INDEX('2 Staff List'!LV$64:LV$114,$AH152),0)</f>
        <v>0</v>
      </c>
      <c r="CP152" s="25">
        <f>IFERROR(INDEX('2 Staff List'!LW$64:LW$114,$AH152),0)</f>
        <v>0</v>
      </c>
      <c r="CQ152" s="25">
        <f>IFERROR(INDEX('2 Staff List'!LX$64:LX$114,$AH152),0)</f>
        <v>0</v>
      </c>
      <c r="CR152" s="25">
        <f t="shared" si="204"/>
        <v>0</v>
      </c>
      <c r="CS152" s="25">
        <f t="shared" ref="CS152:CS170" si="265">IFERROR(1/CR152,1)</f>
        <v>1</v>
      </c>
      <c r="CT152" s="25">
        <f t="shared" si="248"/>
        <v>1</v>
      </c>
      <c r="CU152" s="25">
        <f t="shared" si="249"/>
        <v>1</v>
      </c>
      <c r="CV152" s="25">
        <f t="shared" si="250"/>
        <v>1</v>
      </c>
      <c r="CW152" s="25">
        <f t="shared" si="251"/>
        <v>1</v>
      </c>
      <c r="CX152" s="25">
        <f t="shared" si="252"/>
        <v>0</v>
      </c>
      <c r="CY152" s="25">
        <f t="shared" si="253"/>
        <v>0</v>
      </c>
      <c r="CZ152" s="25">
        <f t="shared" si="254"/>
        <v>0</v>
      </c>
      <c r="DA152" s="25">
        <f t="shared" si="255"/>
        <v>1</v>
      </c>
      <c r="DB152" s="25">
        <f t="shared" si="205"/>
        <v>1</v>
      </c>
      <c r="DC152" s="25">
        <f t="shared" si="256"/>
        <v>0</v>
      </c>
      <c r="DD152" s="25">
        <f>IF(OR($AD152&lt;&gt;3,F152="Exclude"),0,IF(ISERROR(MATCH($E152,'4 Sign-off'!$S$123:$X$123,0)),0,1))</f>
        <v>0</v>
      </c>
      <c r="DE152" s="25">
        <f t="shared" si="206"/>
        <v>0</v>
      </c>
      <c r="DF152" s="25">
        <f t="shared" si="257"/>
        <v>0</v>
      </c>
      <c r="DG152" s="25" t="str">
        <f t="shared" si="258"/>
        <v/>
      </c>
      <c r="DH152" s="25">
        <f t="shared" si="259"/>
        <v>0</v>
      </c>
      <c r="DI152" s="25">
        <f t="shared" si="260"/>
        <v>0</v>
      </c>
      <c r="DJ152" s="25">
        <f>IF(ISBLANK(J152),0,ISERROR(MATCH(J152,'5  Control Accounts'!$FA$29:$FA$96,0))*1)</f>
        <v>0</v>
      </c>
      <c r="DK152" s="25">
        <f t="shared" si="261"/>
        <v>0</v>
      </c>
      <c r="DL152" s="25">
        <f t="shared" si="207"/>
        <v>-1</v>
      </c>
      <c r="DM152" s="25" t="e">
        <f t="array" ref="DM152">MATCH(1,($EG152:$JD152&gt;0)*$EG$17:$JD$17,0)</f>
        <v>#N/A</v>
      </c>
      <c r="DN152" s="25" t="e">
        <f t="shared" si="208"/>
        <v>#N/A</v>
      </c>
      <c r="DO152" s="25" t="e">
        <f t="array" ref="DO152">MATCH(2,1/(EG152:JD152&gt;0))</f>
        <v>#N/A</v>
      </c>
      <c r="DP152" s="2993">
        <f t="shared" si="262"/>
        <v>0</v>
      </c>
      <c r="DQ152" s="3037">
        <f t="shared" si="263"/>
        <v>0</v>
      </c>
      <c r="DR152" s="111"/>
      <c r="DS152" s="1268"/>
      <c r="DT152" s="1825"/>
      <c r="DU152" s="1826"/>
      <c r="DV152" s="1827"/>
      <c r="DW152" s="1828"/>
      <c r="DX152" s="659"/>
      <c r="DY152" s="1265"/>
      <c r="DZ152" s="1785">
        <f t="shared" si="210"/>
        <v>0</v>
      </c>
      <c r="EA152" s="1786">
        <f t="shared" si="211"/>
        <v>0</v>
      </c>
      <c r="EB152" s="1781">
        <f t="shared" si="212"/>
        <v>0</v>
      </c>
      <c r="EC152" s="1782">
        <f t="shared" si="213"/>
        <v>0</v>
      </c>
      <c r="ED152" s="1262"/>
      <c r="EE152" s="2280"/>
      <c r="EF152" s="1802"/>
      <c r="EG152" s="167"/>
      <c r="EH152" s="168"/>
      <c r="EI152" s="168"/>
      <c r="EJ152" s="168"/>
      <c r="EK152" s="168"/>
      <c r="EL152" s="168"/>
      <c r="EM152" s="168"/>
      <c r="EN152" s="168"/>
      <c r="EO152" s="168"/>
      <c r="EP152" s="168"/>
      <c r="EQ152" s="168"/>
      <c r="ER152" s="168"/>
      <c r="ES152" s="168"/>
      <c r="ET152" s="168"/>
      <c r="EU152" s="168"/>
      <c r="EV152" s="168"/>
      <c r="EW152" s="168"/>
      <c r="EX152" s="168"/>
      <c r="EY152" s="168"/>
      <c r="EZ152" s="168"/>
      <c r="FA152" s="168"/>
      <c r="FB152" s="168"/>
      <c r="FC152" s="168"/>
      <c r="FD152" s="168"/>
      <c r="FE152" s="168"/>
      <c r="FF152" s="168"/>
      <c r="FG152" s="168"/>
      <c r="FH152" s="168"/>
      <c r="FI152" s="168"/>
      <c r="FJ152" s="168"/>
      <c r="FK152" s="168"/>
      <c r="FL152" s="168"/>
      <c r="FM152" s="168"/>
      <c r="FN152" s="168"/>
      <c r="FO152" s="168"/>
      <c r="FP152" s="168"/>
      <c r="FQ152" s="168"/>
      <c r="FR152" s="168"/>
      <c r="FS152" s="168"/>
      <c r="FT152" s="168"/>
      <c r="FU152" s="168"/>
      <c r="FV152" s="168"/>
      <c r="FW152" s="168"/>
      <c r="FX152" s="168"/>
      <c r="FY152" s="168"/>
      <c r="FZ152" s="168"/>
      <c r="GA152" s="168"/>
      <c r="GB152" s="168"/>
      <c r="GC152" s="168"/>
      <c r="GD152" s="168"/>
      <c r="GE152" s="168"/>
      <c r="GF152" s="168"/>
      <c r="GG152" s="168"/>
      <c r="GH152" s="168"/>
      <c r="GI152" s="168"/>
      <c r="GJ152" s="168"/>
      <c r="GK152" s="168"/>
      <c r="GL152" s="168"/>
      <c r="GM152" s="168"/>
      <c r="GN152" s="168"/>
      <c r="GO152" s="168"/>
      <c r="GP152" s="168"/>
      <c r="GQ152" s="168"/>
      <c r="GR152" s="168"/>
      <c r="GS152" s="168"/>
      <c r="GT152" s="168"/>
      <c r="GU152" s="168"/>
      <c r="GV152" s="168"/>
      <c r="GW152" s="168"/>
      <c r="GX152" s="168"/>
      <c r="GY152" s="168"/>
      <c r="GZ152" s="168"/>
      <c r="HA152" s="168"/>
      <c r="HB152" s="168"/>
      <c r="HC152" s="168"/>
      <c r="HD152" s="168"/>
      <c r="HE152" s="168"/>
      <c r="HF152" s="168"/>
      <c r="HG152" s="168"/>
      <c r="HH152" s="168"/>
      <c r="HI152" s="168"/>
      <c r="HJ152" s="168"/>
      <c r="HK152" s="168"/>
      <c r="HL152" s="168"/>
      <c r="HM152" s="168"/>
      <c r="HN152" s="168"/>
      <c r="HO152" s="168"/>
      <c r="HP152" s="168"/>
      <c r="HQ152" s="168"/>
      <c r="HR152" s="168"/>
      <c r="HS152" s="168"/>
      <c r="HT152" s="168"/>
      <c r="HU152" s="168"/>
      <c r="HV152" s="168"/>
      <c r="HW152" s="168"/>
      <c r="HX152" s="168"/>
      <c r="HY152" s="168"/>
      <c r="HZ152" s="168"/>
      <c r="IA152" s="168"/>
      <c r="IB152" s="168"/>
      <c r="IC152" s="168"/>
      <c r="ID152" s="168"/>
      <c r="IE152" s="168"/>
      <c r="IF152" s="168"/>
      <c r="IG152" s="168"/>
      <c r="IH152" s="168"/>
      <c r="II152" s="168"/>
      <c r="IJ152" s="168"/>
      <c r="IK152" s="168"/>
      <c r="IL152" s="168"/>
      <c r="IM152" s="168"/>
      <c r="IN152" s="168"/>
      <c r="IO152" s="168"/>
      <c r="IP152" s="168"/>
      <c r="IQ152" s="168"/>
      <c r="IR152" s="168"/>
      <c r="IS152" s="168"/>
      <c r="IT152" s="168"/>
      <c r="IU152" s="168"/>
      <c r="IV152" s="168"/>
      <c r="IW152" s="168"/>
      <c r="IX152" s="168"/>
      <c r="IY152" s="168"/>
      <c r="IZ152" s="168"/>
      <c r="JA152" s="168"/>
      <c r="JB152" s="168"/>
      <c r="JC152" s="606"/>
      <c r="JD152" s="609"/>
      <c r="JE152" s="1"/>
      <c r="JF152" s="1"/>
    </row>
    <row r="153" spans="1:266" s="2" customFormat="1" ht="15" customHeight="1" x14ac:dyDescent="0.25">
      <c r="A153" s="283"/>
      <c r="B153" s="303"/>
      <c r="C153" s="301"/>
      <c r="D153" s="638"/>
      <c r="E153" s="2298"/>
      <c r="F153" s="1812"/>
      <c r="G153" s="3342"/>
      <c r="H153" s="66"/>
      <c r="I153" s="1746"/>
      <c r="J153" s="86"/>
      <c r="K153" s="105"/>
      <c r="L153" s="91"/>
      <c r="M153" s="92"/>
      <c r="N153" s="93"/>
      <c r="O153" s="94"/>
      <c r="P153" s="96"/>
      <c r="Q153" s="95"/>
      <c r="R153" s="993">
        <f t="shared" si="198"/>
        <v>0</v>
      </c>
      <c r="S153" s="23">
        <f t="shared" si="214"/>
        <v>0</v>
      </c>
      <c r="T153" s="24">
        <f t="shared" si="215"/>
        <v>0</v>
      </c>
      <c r="U153" s="24">
        <f t="shared" si="199"/>
        <v>0</v>
      </c>
      <c r="V153" s="24">
        <f t="shared" si="216"/>
        <v>0</v>
      </c>
      <c r="W153" s="24">
        <f t="shared" si="217"/>
        <v>0</v>
      </c>
      <c r="X153" s="72">
        <f t="shared" si="218"/>
        <v>0</v>
      </c>
      <c r="Y153" s="72">
        <f t="shared" si="219"/>
        <v>0</v>
      </c>
      <c r="Z153" s="24">
        <f t="shared" si="200"/>
        <v>0</v>
      </c>
      <c r="AA153" s="72">
        <f t="shared" si="220"/>
        <v>0</v>
      </c>
      <c r="AB153" s="24">
        <f t="shared" si="221"/>
        <v>0</v>
      </c>
      <c r="AC153" s="24" t="s">
        <v>5</v>
      </c>
      <c r="AD153" s="25">
        <f t="shared" si="201"/>
        <v>3</v>
      </c>
      <c r="AE153" s="25">
        <f t="shared" si="202"/>
        <v>0</v>
      </c>
      <c r="AF153" s="25">
        <f t="shared" si="203"/>
        <v>0</v>
      </c>
      <c r="AG153" s="25">
        <f t="shared" si="222"/>
        <v>1</v>
      </c>
      <c r="AH153" s="25" t="str">
        <f>IFERROR(MATCH(DY153,'2 Staff List'!$IA$64:$IA$114,0),"x")</f>
        <v>x</v>
      </c>
      <c r="AI153" s="1181">
        <f>IFERROR(INDEX('2 Staff List'!$EX$64:$EX$114,$AH153),0)</f>
        <v>0</v>
      </c>
      <c r="AJ153" s="25">
        <f>IFERROR(INDEX('2 Staff List'!$IW$64:$IW$114,$AH153),0)</f>
        <v>0</v>
      </c>
      <c r="AK153" s="25">
        <f>IFERROR(INDEX('2 Staff List'!$IB$64:$IB$114,$AH153),0)</f>
        <v>0</v>
      </c>
      <c r="AL153" s="25">
        <f>IF(OR(NOT(ISBLANK(DV153)),CX153=1),"&lt;Non-Labor&gt;",IFERROR(IF(AH153=0,0,INDEX('2 Staff List'!$HZ$64:$HZ$114,$AH153)),0))</f>
        <v>0</v>
      </c>
      <c r="AM153" s="25">
        <f>IFERROR(INDEX('2 Staff List'!$HW$64:$HW$114,$AH153),0)</f>
        <v>0</v>
      </c>
      <c r="AN153" s="25">
        <f t="shared" si="223"/>
        <v>1</v>
      </c>
      <c r="AO153" s="25">
        <f>IF($AO$127=0,0,IFERROR(INDEX('2 Staff List'!$JH$64:$JH$114,$AH153),0))</f>
        <v>0</v>
      </c>
      <c r="AP153" s="25">
        <f>IFERROR(INDEX('2 Staff List'!$HU$64:$HU$114,$AH153),0)</f>
        <v>0</v>
      </c>
      <c r="AQ153" s="25">
        <f t="shared" si="224"/>
        <v>0</v>
      </c>
      <c r="AR153" s="25">
        <f t="shared" si="225"/>
        <v>0</v>
      </c>
      <c r="AS153" s="25">
        <f t="shared" si="226"/>
        <v>0</v>
      </c>
      <c r="AT153" s="25">
        <f t="shared" si="227"/>
        <v>0</v>
      </c>
      <c r="AU153" s="25">
        <f t="shared" si="228"/>
        <v>0</v>
      </c>
      <c r="AV153" s="25">
        <f t="shared" si="229"/>
        <v>0</v>
      </c>
      <c r="AW153" s="25">
        <f t="shared" si="230"/>
        <v>0</v>
      </c>
      <c r="AX153" s="25">
        <f t="shared" si="231"/>
        <v>0</v>
      </c>
      <c r="AY153" s="25">
        <f t="shared" si="232"/>
        <v>0</v>
      </c>
      <c r="AZ153" s="25">
        <f t="shared" si="233"/>
        <v>0</v>
      </c>
      <c r="BA153" s="25">
        <f t="shared" si="234"/>
        <v>0</v>
      </c>
      <c r="BB153" s="25">
        <f t="shared" si="235"/>
        <v>0</v>
      </c>
      <c r="BC153" s="25">
        <f>IFERROR(INDEX('2 Staff List'!KS$64:KS$114,$AH153),0)</f>
        <v>0</v>
      </c>
      <c r="BD153" s="25">
        <f>IFERROR(INDEX('2 Staff List'!KT$64:KT$114,$AH153),0)</f>
        <v>0</v>
      </c>
      <c r="BE153" s="25">
        <f>IFERROR(INDEX('2 Staff List'!KU$64:KU$114,$AH153),0)</f>
        <v>0</v>
      </c>
      <c r="BF153" s="25">
        <f>IFERROR(INDEX('2 Staff List'!KV$64:KV$114,$AH153),0)</f>
        <v>0</v>
      </c>
      <c r="BG153" s="25">
        <f>IFERROR(INDEX('2 Staff List'!KW$64:KW$114,$AH153),0)</f>
        <v>0</v>
      </c>
      <c r="BH153" s="25">
        <f>IFERROR(INDEX('2 Staff List'!KX$64:KX$114,$AH153),0)</f>
        <v>0</v>
      </c>
      <c r="BI153" s="25">
        <f>IFERROR(INDEX('2 Staff List'!KY$64:KY$114,$AH153),0)</f>
        <v>0</v>
      </c>
      <c r="BJ153" s="25">
        <f>IFERROR(INDEX('2 Staff List'!KZ$64:KZ$114,$AH153),0)</f>
        <v>0</v>
      </c>
      <c r="BK153" s="25">
        <f>IFERROR(INDEX('2 Staff List'!LA$64:LA$114,$AH153),0)</f>
        <v>0</v>
      </c>
      <c r="BL153" s="25">
        <f>IFERROR(INDEX('2 Staff List'!LB$64:LB$114,$AH153),0)</f>
        <v>0</v>
      </c>
      <c r="BM153" s="25">
        <f>IFERROR(INDEX('2 Staff List'!FT$64:FT$114,$AH153),0)</f>
        <v>0</v>
      </c>
      <c r="BN153" s="25">
        <f>IFERROR(INDEX('2 Staff List'!FU$64:FU$114,$AH153),0)</f>
        <v>0</v>
      </c>
      <c r="BO153" s="25">
        <f>IFERROR(INDEX('2 Staff List'!FV$64:FV$114,$AH153),0)</f>
        <v>0</v>
      </c>
      <c r="BP153" s="25">
        <f>IFERROR(INDEX('2 Staff List'!FW$64:FW$114,$AH153),0)</f>
        <v>0</v>
      </c>
      <c r="BQ153" s="25">
        <f>IFERROR(INDEX('2 Staff List'!FX$64:FX$114,$AH153),0)</f>
        <v>0</v>
      </c>
      <c r="BR153" s="25">
        <f>IFERROR(INDEX('2 Staff List'!FY$64:FY$114,$AH153),0)</f>
        <v>0</v>
      </c>
      <c r="BS153" s="25">
        <f>IFERROR(INDEX('2 Staff List'!FZ$64:FZ$114,$AH153),0)</f>
        <v>0</v>
      </c>
      <c r="BT153" s="25">
        <f>IFERROR(INDEX('2 Staff List'!GA$64:GA$114,$AH153),0)</f>
        <v>0</v>
      </c>
      <c r="BU153" s="25">
        <f>IFERROR(INDEX('2 Staff List'!GB$64:GB$114,$AH153),0)</f>
        <v>0</v>
      </c>
      <c r="BV153" s="25">
        <f>IFERROR(INDEX('2 Staff List'!GC$64:GC$114,$AH153),0)</f>
        <v>0</v>
      </c>
      <c r="BW153" s="25">
        <f t="shared" si="236"/>
        <v>0</v>
      </c>
      <c r="BX153" s="25">
        <f t="shared" si="237"/>
        <v>0</v>
      </c>
      <c r="BY153" s="25">
        <f t="shared" si="238"/>
        <v>0</v>
      </c>
      <c r="BZ153" s="25">
        <f t="shared" si="239"/>
        <v>0</v>
      </c>
      <c r="CA153" s="25">
        <f t="shared" si="240"/>
        <v>0</v>
      </c>
      <c r="CB153" s="25">
        <f t="shared" si="241"/>
        <v>0</v>
      </c>
      <c r="CC153" s="25">
        <f t="shared" si="242"/>
        <v>0</v>
      </c>
      <c r="CD153" s="25">
        <f t="shared" si="243"/>
        <v>0</v>
      </c>
      <c r="CE153" s="25">
        <f t="shared" si="244"/>
        <v>0</v>
      </c>
      <c r="CF153" s="25">
        <f t="shared" si="245"/>
        <v>0</v>
      </c>
      <c r="CG153" s="25">
        <f t="shared" si="246"/>
        <v>0</v>
      </c>
      <c r="CH153" s="25">
        <f>IFERROR(INDEX('2 Staff List'!LO$64:LO$114,$AH153),0)</f>
        <v>0</v>
      </c>
      <c r="CI153" s="25">
        <f>IFERROR(INDEX('2 Staff List'!LP$64:LP$114,$AH153),0)</f>
        <v>0</v>
      </c>
      <c r="CJ153" s="25">
        <f>IFERROR(INDEX('2 Staff List'!LQ$64:LQ$114,$AH153),0)</f>
        <v>0</v>
      </c>
      <c r="CK153" s="25">
        <f>IFERROR(INDEX('2 Staff List'!LR$64:LR$114,$AH153),0)</f>
        <v>0</v>
      </c>
      <c r="CL153" s="25">
        <f>IFERROR(INDEX('2 Staff List'!LS$64:LS$114,$AH153),0)</f>
        <v>0</v>
      </c>
      <c r="CM153" s="25">
        <f>IFERROR(INDEX('2 Staff List'!LT$64:LT$114,$AH153),0)</f>
        <v>0</v>
      </c>
      <c r="CN153" s="25">
        <f>IFERROR(INDEX('2 Staff List'!LU$64:LU$114,$AH153),0)</f>
        <v>0</v>
      </c>
      <c r="CO153" s="25">
        <f>IFERROR(INDEX('2 Staff List'!LV$64:LV$114,$AH153),0)</f>
        <v>0</v>
      </c>
      <c r="CP153" s="25">
        <f>IFERROR(INDEX('2 Staff List'!LW$64:LW$114,$AH153),0)</f>
        <v>0</v>
      </c>
      <c r="CQ153" s="25">
        <f>IFERROR(INDEX('2 Staff List'!LX$64:LX$114,$AH153),0)</f>
        <v>0</v>
      </c>
      <c r="CR153" s="25">
        <f t="shared" si="204"/>
        <v>0</v>
      </c>
      <c r="CS153" s="25">
        <f t="shared" si="265"/>
        <v>1</v>
      </c>
      <c r="CT153" s="25">
        <f t="shared" si="248"/>
        <v>1</v>
      </c>
      <c r="CU153" s="25">
        <f t="shared" si="249"/>
        <v>1</v>
      </c>
      <c r="CV153" s="25">
        <f t="shared" si="250"/>
        <v>1</v>
      </c>
      <c r="CW153" s="25">
        <f t="shared" si="251"/>
        <v>1</v>
      </c>
      <c r="CX153" s="25">
        <f t="shared" si="252"/>
        <v>0</v>
      </c>
      <c r="CY153" s="25">
        <f t="shared" si="253"/>
        <v>0</v>
      </c>
      <c r="CZ153" s="25">
        <f t="shared" si="254"/>
        <v>0</v>
      </c>
      <c r="DA153" s="25">
        <f t="shared" si="255"/>
        <v>1</v>
      </c>
      <c r="DB153" s="25">
        <f t="shared" si="205"/>
        <v>1</v>
      </c>
      <c r="DC153" s="25">
        <f t="shared" si="256"/>
        <v>0</v>
      </c>
      <c r="DD153" s="25">
        <f>IF(OR($AD153&lt;&gt;3,F153="Exclude"),0,IF(ISERROR(MATCH($E153,'4 Sign-off'!$S$123:$X$123,0)),0,1))</f>
        <v>0</v>
      </c>
      <c r="DE153" s="25">
        <f t="shared" si="206"/>
        <v>0</v>
      </c>
      <c r="DF153" s="25">
        <f t="shared" si="257"/>
        <v>0</v>
      </c>
      <c r="DG153" s="25" t="str">
        <f t="shared" si="258"/>
        <v/>
      </c>
      <c r="DH153" s="25">
        <f t="shared" si="259"/>
        <v>0</v>
      </c>
      <c r="DI153" s="25">
        <f t="shared" si="260"/>
        <v>0</v>
      </c>
      <c r="DJ153" s="25">
        <f>IF(ISBLANK(J153),0,ISERROR(MATCH(J153,'5  Control Accounts'!$FA$29:$FA$96,0))*1)</f>
        <v>0</v>
      </c>
      <c r="DK153" s="25">
        <f t="shared" si="261"/>
        <v>0</v>
      </c>
      <c r="DL153" s="25">
        <f t="shared" si="207"/>
        <v>-1</v>
      </c>
      <c r="DM153" s="25" t="e">
        <f t="array" ref="DM153">MATCH(1,($EG153:$JD153&gt;0)*$EG$17:$JD$17,0)</f>
        <v>#N/A</v>
      </c>
      <c r="DN153" s="25" t="e">
        <f t="shared" si="208"/>
        <v>#N/A</v>
      </c>
      <c r="DO153" s="25" t="e">
        <f t="array" ref="DO153">MATCH(2,1/(EG153:JD153&gt;0))</f>
        <v>#N/A</v>
      </c>
      <c r="DP153" s="2993">
        <f t="shared" si="262"/>
        <v>0</v>
      </c>
      <c r="DQ153" s="3037">
        <f t="shared" si="263"/>
        <v>0</v>
      </c>
      <c r="DR153" s="111"/>
      <c r="DS153" s="1268">
        <f t="shared" ref="DS153:DS184" si="266">N153</f>
        <v>0</v>
      </c>
      <c r="DT153" s="1825"/>
      <c r="DU153" s="1826"/>
      <c r="DV153" s="1827"/>
      <c r="DW153" s="1828"/>
      <c r="DX153" s="659"/>
      <c r="DY153" s="1265"/>
      <c r="DZ153" s="1785">
        <f t="shared" si="210"/>
        <v>0</v>
      </c>
      <c r="EA153" s="1786">
        <f t="shared" si="211"/>
        <v>0</v>
      </c>
      <c r="EB153" s="1781">
        <f t="shared" si="212"/>
        <v>0</v>
      </c>
      <c r="EC153" s="1782">
        <f t="shared" si="213"/>
        <v>0</v>
      </c>
      <c r="ED153" s="1262"/>
      <c r="EE153" s="2280"/>
      <c r="EF153" s="1802"/>
      <c r="EG153" s="167"/>
      <c r="EH153" s="168"/>
      <c r="EI153" s="168"/>
      <c r="EJ153" s="168"/>
      <c r="EK153" s="168"/>
      <c r="EL153" s="168"/>
      <c r="EM153" s="168"/>
      <c r="EN153" s="168"/>
      <c r="EO153" s="168"/>
      <c r="EP153" s="168"/>
      <c r="EQ153" s="168"/>
      <c r="ER153" s="168"/>
      <c r="ES153" s="168"/>
      <c r="ET153" s="168"/>
      <c r="EU153" s="168"/>
      <c r="EV153" s="168"/>
      <c r="EW153" s="168"/>
      <c r="EX153" s="168"/>
      <c r="EY153" s="168"/>
      <c r="EZ153" s="168"/>
      <c r="FA153" s="168"/>
      <c r="FB153" s="168"/>
      <c r="FC153" s="168"/>
      <c r="FD153" s="168"/>
      <c r="FE153" s="168"/>
      <c r="FF153" s="168"/>
      <c r="FG153" s="168"/>
      <c r="FH153" s="168"/>
      <c r="FI153" s="168"/>
      <c r="FJ153" s="168"/>
      <c r="FK153" s="168"/>
      <c r="FL153" s="168"/>
      <c r="FM153" s="168"/>
      <c r="FN153" s="168"/>
      <c r="FO153" s="168"/>
      <c r="FP153" s="168"/>
      <c r="FQ153" s="168"/>
      <c r="FR153" s="168"/>
      <c r="FS153" s="168"/>
      <c r="FT153" s="168"/>
      <c r="FU153" s="168"/>
      <c r="FV153" s="168"/>
      <c r="FW153" s="168"/>
      <c r="FX153" s="168"/>
      <c r="FY153" s="168"/>
      <c r="FZ153" s="168"/>
      <c r="GA153" s="168"/>
      <c r="GB153" s="168"/>
      <c r="GC153" s="168"/>
      <c r="GD153" s="168"/>
      <c r="GE153" s="168"/>
      <c r="GF153" s="168"/>
      <c r="GG153" s="168"/>
      <c r="GH153" s="168"/>
      <c r="GI153" s="168"/>
      <c r="GJ153" s="168"/>
      <c r="GK153" s="168"/>
      <c r="GL153" s="168"/>
      <c r="GM153" s="168"/>
      <c r="GN153" s="168"/>
      <c r="GO153" s="168"/>
      <c r="GP153" s="168"/>
      <c r="GQ153" s="168"/>
      <c r="GR153" s="168"/>
      <c r="GS153" s="168"/>
      <c r="GT153" s="168"/>
      <c r="GU153" s="168"/>
      <c r="GV153" s="168"/>
      <c r="GW153" s="168"/>
      <c r="GX153" s="168"/>
      <c r="GY153" s="168"/>
      <c r="GZ153" s="168"/>
      <c r="HA153" s="168"/>
      <c r="HB153" s="168"/>
      <c r="HC153" s="168"/>
      <c r="HD153" s="168"/>
      <c r="HE153" s="168"/>
      <c r="HF153" s="168"/>
      <c r="HG153" s="168"/>
      <c r="HH153" s="168"/>
      <c r="HI153" s="168"/>
      <c r="HJ153" s="168"/>
      <c r="HK153" s="168"/>
      <c r="HL153" s="168"/>
      <c r="HM153" s="168"/>
      <c r="HN153" s="168"/>
      <c r="HO153" s="168"/>
      <c r="HP153" s="168"/>
      <c r="HQ153" s="168"/>
      <c r="HR153" s="168"/>
      <c r="HS153" s="168"/>
      <c r="HT153" s="168"/>
      <c r="HU153" s="168"/>
      <c r="HV153" s="168"/>
      <c r="HW153" s="168"/>
      <c r="HX153" s="168"/>
      <c r="HY153" s="168"/>
      <c r="HZ153" s="168"/>
      <c r="IA153" s="168"/>
      <c r="IB153" s="168"/>
      <c r="IC153" s="168"/>
      <c r="ID153" s="168"/>
      <c r="IE153" s="168"/>
      <c r="IF153" s="168"/>
      <c r="IG153" s="168"/>
      <c r="IH153" s="168"/>
      <c r="II153" s="168"/>
      <c r="IJ153" s="168"/>
      <c r="IK153" s="168"/>
      <c r="IL153" s="168"/>
      <c r="IM153" s="168"/>
      <c r="IN153" s="168"/>
      <c r="IO153" s="168"/>
      <c r="IP153" s="168"/>
      <c r="IQ153" s="168"/>
      <c r="IR153" s="168"/>
      <c r="IS153" s="168"/>
      <c r="IT153" s="168"/>
      <c r="IU153" s="168"/>
      <c r="IV153" s="168"/>
      <c r="IW153" s="168"/>
      <c r="IX153" s="168"/>
      <c r="IY153" s="168"/>
      <c r="IZ153" s="168"/>
      <c r="JA153" s="168"/>
      <c r="JB153" s="168"/>
      <c r="JC153" s="606"/>
      <c r="JD153" s="609"/>
      <c r="JE153" s="1"/>
      <c r="JF153" s="1"/>
    </row>
    <row r="154" spans="1:266" s="2" customFormat="1" ht="15" customHeight="1" x14ac:dyDescent="0.25">
      <c r="A154" s="283"/>
      <c r="B154" s="303"/>
      <c r="C154" s="301"/>
      <c r="D154" s="638"/>
      <c r="E154" s="2298"/>
      <c r="F154" s="1812"/>
      <c r="G154" s="3342"/>
      <c r="H154" s="66"/>
      <c r="I154" s="1746"/>
      <c r="J154" s="86"/>
      <c r="K154" s="105"/>
      <c r="L154" s="91"/>
      <c r="M154" s="92"/>
      <c r="N154" s="93"/>
      <c r="O154" s="94"/>
      <c r="P154" s="96"/>
      <c r="Q154" s="95"/>
      <c r="R154" s="993">
        <f t="shared" si="198"/>
        <v>0</v>
      </c>
      <c r="S154" s="23">
        <f t="shared" si="214"/>
        <v>0</v>
      </c>
      <c r="T154" s="24">
        <f t="shared" si="215"/>
        <v>0</v>
      </c>
      <c r="U154" s="24">
        <f t="shared" si="199"/>
        <v>0</v>
      </c>
      <c r="V154" s="24">
        <f t="shared" si="216"/>
        <v>0</v>
      </c>
      <c r="W154" s="24">
        <f t="shared" si="217"/>
        <v>0</v>
      </c>
      <c r="X154" s="72">
        <f t="shared" si="218"/>
        <v>0</v>
      </c>
      <c r="Y154" s="72">
        <f t="shared" si="219"/>
        <v>0</v>
      </c>
      <c r="Z154" s="24">
        <f t="shared" si="200"/>
        <v>0</v>
      </c>
      <c r="AA154" s="72">
        <f t="shared" si="220"/>
        <v>0</v>
      </c>
      <c r="AB154" s="24">
        <f t="shared" si="221"/>
        <v>0</v>
      </c>
      <c r="AC154" s="24" t="s">
        <v>5</v>
      </c>
      <c r="AD154" s="25">
        <f t="shared" si="201"/>
        <v>3</v>
      </c>
      <c r="AE154" s="25">
        <f t="shared" si="202"/>
        <v>0</v>
      </c>
      <c r="AF154" s="25">
        <f t="shared" si="203"/>
        <v>0</v>
      </c>
      <c r="AG154" s="25">
        <f t="shared" si="222"/>
        <v>1</v>
      </c>
      <c r="AH154" s="25" t="str">
        <f>IFERROR(MATCH(DY154,'2 Staff List'!$IA$64:$IA$114,0),"x")</f>
        <v>x</v>
      </c>
      <c r="AI154" s="1181">
        <f>IFERROR(INDEX('2 Staff List'!$EX$64:$EX$114,$AH154),0)</f>
        <v>0</v>
      </c>
      <c r="AJ154" s="25">
        <f>IFERROR(INDEX('2 Staff List'!$IW$64:$IW$114,$AH154),0)</f>
        <v>0</v>
      </c>
      <c r="AK154" s="25">
        <f>IFERROR(INDEX('2 Staff List'!$IB$64:$IB$114,$AH154),0)</f>
        <v>0</v>
      </c>
      <c r="AL154" s="25">
        <f>IF(OR(NOT(ISBLANK(DV154)),CX154=1),"&lt;Non-Labor&gt;",IFERROR(IF(AH154=0,0,INDEX('2 Staff List'!$HZ$64:$HZ$114,$AH154)),0))</f>
        <v>0</v>
      </c>
      <c r="AM154" s="25">
        <f>IFERROR(INDEX('2 Staff List'!$HW$64:$HW$114,$AH154),0)</f>
        <v>0</v>
      </c>
      <c r="AN154" s="25">
        <f t="shared" si="223"/>
        <v>1</v>
      </c>
      <c r="AO154" s="25">
        <f>IF($AO$127=0,0,IFERROR(INDEX('2 Staff List'!$JH$64:$JH$114,$AH154),0))</f>
        <v>0</v>
      </c>
      <c r="AP154" s="25">
        <f>IFERROR(INDEX('2 Staff List'!$HU$64:$HU$114,$AH154),0)</f>
        <v>0</v>
      </c>
      <c r="AQ154" s="25">
        <f t="shared" si="224"/>
        <v>0</v>
      </c>
      <c r="AR154" s="25">
        <f t="shared" si="225"/>
        <v>0</v>
      </c>
      <c r="AS154" s="25">
        <f t="shared" si="226"/>
        <v>0</v>
      </c>
      <c r="AT154" s="25">
        <f t="shared" si="227"/>
        <v>0</v>
      </c>
      <c r="AU154" s="25">
        <f t="shared" si="228"/>
        <v>0</v>
      </c>
      <c r="AV154" s="25">
        <f t="shared" si="229"/>
        <v>0</v>
      </c>
      <c r="AW154" s="25">
        <f t="shared" si="230"/>
        <v>0</v>
      </c>
      <c r="AX154" s="25">
        <f t="shared" si="231"/>
        <v>0</v>
      </c>
      <c r="AY154" s="25">
        <f t="shared" si="232"/>
        <v>0</v>
      </c>
      <c r="AZ154" s="25">
        <f t="shared" si="233"/>
        <v>0</v>
      </c>
      <c r="BA154" s="25">
        <f t="shared" si="234"/>
        <v>0</v>
      </c>
      <c r="BB154" s="25">
        <f t="shared" si="235"/>
        <v>0</v>
      </c>
      <c r="BC154" s="25">
        <f>IFERROR(INDEX('2 Staff List'!KS$64:KS$114,$AH154),0)</f>
        <v>0</v>
      </c>
      <c r="BD154" s="25">
        <f>IFERROR(INDEX('2 Staff List'!KT$64:KT$114,$AH154),0)</f>
        <v>0</v>
      </c>
      <c r="BE154" s="25">
        <f>IFERROR(INDEX('2 Staff List'!KU$64:KU$114,$AH154),0)</f>
        <v>0</v>
      </c>
      <c r="BF154" s="25">
        <f>IFERROR(INDEX('2 Staff List'!KV$64:KV$114,$AH154),0)</f>
        <v>0</v>
      </c>
      <c r="BG154" s="25">
        <f>IFERROR(INDEX('2 Staff List'!KW$64:KW$114,$AH154),0)</f>
        <v>0</v>
      </c>
      <c r="BH154" s="25">
        <f>IFERROR(INDEX('2 Staff List'!KX$64:KX$114,$AH154),0)</f>
        <v>0</v>
      </c>
      <c r="BI154" s="25">
        <f>IFERROR(INDEX('2 Staff List'!KY$64:KY$114,$AH154),0)</f>
        <v>0</v>
      </c>
      <c r="BJ154" s="25">
        <f>IFERROR(INDEX('2 Staff List'!KZ$64:KZ$114,$AH154),0)</f>
        <v>0</v>
      </c>
      <c r="BK154" s="25">
        <f>IFERROR(INDEX('2 Staff List'!LA$64:LA$114,$AH154),0)</f>
        <v>0</v>
      </c>
      <c r="BL154" s="25">
        <f>IFERROR(INDEX('2 Staff List'!LB$64:LB$114,$AH154),0)</f>
        <v>0</v>
      </c>
      <c r="BM154" s="25">
        <f>IFERROR(INDEX('2 Staff List'!FT$64:FT$114,$AH154),0)</f>
        <v>0</v>
      </c>
      <c r="BN154" s="25">
        <f>IFERROR(INDEX('2 Staff List'!FU$64:FU$114,$AH154),0)</f>
        <v>0</v>
      </c>
      <c r="BO154" s="25">
        <f>IFERROR(INDEX('2 Staff List'!FV$64:FV$114,$AH154),0)</f>
        <v>0</v>
      </c>
      <c r="BP154" s="25">
        <f>IFERROR(INDEX('2 Staff List'!FW$64:FW$114,$AH154),0)</f>
        <v>0</v>
      </c>
      <c r="BQ154" s="25">
        <f>IFERROR(INDEX('2 Staff List'!FX$64:FX$114,$AH154),0)</f>
        <v>0</v>
      </c>
      <c r="BR154" s="25">
        <f>IFERROR(INDEX('2 Staff List'!FY$64:FY$114,$AH154),0)</f>
        <v>0</v>
      </c>
      <c r="BS154" s="25">
        <f>IFERROR(INDEX('2 Staff List'!FZ$64:FZ$114,$AH154),0)</f>
        <v>0</v>
      </c>
      <c r="BT154" s="25">
        <f>IFERROR(INDEX('2 Staff List'!GA$64:GA$114,$AH154),0)</f>
        <v>0</v>
      </c>
      <c r="BU154" s="25">
        <f>IFERROR(INDEX('2 Staff List'!GB$64:GB$114,$AH154),0)</f>
        <v>0</v>
      </c>
      <c r="BV154" s="25">
        <f>IFERROR(INDEX('2 Staff List'!GC$64:GC$114,$AH154),0)</f>
        <v>0</v>
      </c>
      <c r="BW154" s="25">
        <f t="shared" si="236"/>
        <v>0</v>
      </c>
      <c r="BX154" s="25">
        <f t="shared" si="237"/>
        <v>0</v>
      </c>
      <c r="BY154" s="25">
        <f t="shared" si="238"/>
        <v>0</v>
      </c>
      <c r="BZ154" s="25">
        <f t="shared" si="239"/>
        <v>0</v>
      </c>
      <c r="CA154" s="25">
        <f t="shared" si="240"/>
        <v>0</v>
      </c>
      <c r="CB154" s="25">
        <f t="shared" si="241"/>
        <v>0</v>
      </c>
      <c r="CC154" s="25">
        <f t="shared" si="242"/>
        <v>0</v>
      </c>
      <c r="CD154" s="25">
        <f t="shared" si="243"/>
        <v>0</v>
      </c>
      <c r="CE154" s="25">
        <f t="shared" si="244"/>
        <v>0</v>
      </c>
      <c r="CF154" s="25">
        <f t="shared" si="245"/>
        <v>0</v>
      </c>
      <c r="CG154" s="25">
        <f t="shared" si="246"/>
        <v>0</v>
      </c>
      <c r="CH154" s="25">
        <f>IFERROR(INDEX('2 Staff List'!LO$64:LO$114,$AH154),0)</f>
        <v>0</v>
      </c>
      <c r="CI154" s="25">
        <f>IFERROR(INDEX('2 Staff List'!LP$64:LP$114,$AH154),0)</f>
        <v>0</v>
      </c>
      <c r="CJ154" s="25">
        <f>IFERROR(INDEX('2 Staff List'!LQ$64:LQ$114,$AH154),0)</f>
        <v>0</v>
      </c>
      <c r="CK154" s="25">
        <f>IFERROR(INDEX('2 Staff List'!LR$64:LR$114,$AH154),0)</f>
        <v>0</v>
      </c>
      <c r="CL154" s="25">
        <f>IFERROR(INDEX('2 Staff List'!LS$64:LS$114,$AH154),0)</f>
        <v>0</v>
      </c>
      <c r="CM154" s="25">
        <f>IFERROR(INDEX('2 Staff List'!LT$64:LT$114,$AH154),0)</f>
        <v>0</v>
      </c>
      <c r="CN154" s="25">
        <f>IFERROR(INDEX('2 Staff List'!LU$64:LU$114,$AH154),0)</f>
        <v>0</v>
      </c>
      <c r="CO154" s="25">
        <f>IFERROR(INDEX('2 Staff List'!LV$64:LV$114,$AH154),0)</f>
        <v>0</v>
      </c>
      <c r="CP154" s="25">
        <f>IFERROR(INDEX('2 Staff List'!LW$64:LW$114,$AH154),0)</f>
        <v>0</v>
      </c>
      <c r="CQ154" s="25">
        <f>IFERROR(INDEX('2 Staff List'!LX$64:LX$114,$AH154),0)</f>
        <v>0</v>
      </c>
      <c r="CR154" s="25">
        <f t="shared" si="204"/>
        <v>0</v>
      </c>
      <c r="CS154" s="25">
        <f t="shared" si="265"/>
        <v>1</v>
      </c>
      <c r="CT154" s="25">
        <f t="shared" si="248"/>
        <v>1</v>
      </c>
      <c r="CU154" s="25">
        <f t="shared" si="249"/>
        <v>1</v>
      </c>
      <c r="CV154" s="25">
        <f t="shared" si="250"/>
        <v>1</v>
      </c>
      <c r="CW154" s="25">
        <f t="shared" si="251"/>
        <v>1</v>
      </c>
      <c r="CX154" s="25">
        <f t="shared" si="252"/>
        <v>0</v>
      </c>
      <c r="CY154" s="25">
        <f t="shared" si="253"/>
        <v>0</v>
      </c>
      <c r="CZ154" s="25">
        <f t="shared" si="254"/>
        <v>0</v>
      </c>
      <c r="DA154" s="25">
        <f t="shared" si="255"/>
        <v>1</v>
      </c>
      <c r="DB154" s="25">
        <f t="shared" si="205"/>
        <v>1</v>
      </c>
      <c r="DC154" s="25">
        <f t="shared" si="256"/>
        <v>0</v>
      </c>
      <c r="DD154" s="25">
        <f>IF(OR($AD154&lt;&gt;3,F154="Exclude"),0,IF(ISERROR(MATCH($E154,'4 Sign-off'!$S$123:$X$123,0)),0,1))</f>
        <v>0</v>
      </c>
      <c r="DE154" s="25">
        <f t="shared" si="206"/>
        <v>0</v>
      </c>
      <c r="DF154" s="25">
        <f t="shared" si="257"/>
        <v>0</v>
      </c>
      <c r="DG154" s="25" t="str">
        <f t="shared" si="258"/>
        <v/>
      </c>
      <c r="DH154" s="25">
        <f t="shared" si="259"/>
        <v>0</v>
      </c>
      <c r="DI154" s="25">
        <f t="shared" si="260"/>
        <v>0</v>
      </c>
      <c r="DJ154" s="25">
        <f>IF(ISBLANK(J154),0,ISERROR(MATCH(J154,'5  Control Accounts'!$FA$29:$FA$96,0))*1)</f>
        <v>0</v>
      </c>
      <c r="DK154" s="25">
        <f t="shared" si="261"/>
        <v>0</v>
      </c>
      <c r="DL154" s="25">
        <f t="shared" si="207"/>
        <v>-1</v>
      </c>
      <c r="DM154" s="25" t="e">
        <f t="array" ref="DM154">MATCH(1,($EG154:$JD154&gt;0)*$EG$17:$JD$17,0)</f>
        <v>#N/A</v>
      </c>
      <c r="DN154" s="25" t="e">
        <f t="shared" si="208"/>
        <v>#N/A</v>
      </c>
      <c r="DO154" s="25" t="e">
        <f t="array" ref="DO154">MATCH(2,1/(EG154:JD154&gt;0))</f>
        <v>#N/A</v>
      </c>
      <c r="DP154" s="2993">
        <f t="shared" si="262"/>
        <v>0</v>
      </c>
      <c r="DQ154" s="3037">
        <f t="shared" si="263"/>
        <v>0</v>
      </c>
      <c r="DR154" s="111"/>
      <c r="DS154" s="1268">
        <f t="shared" si="266"/>
        <v>0</v>
      </c>
      <c r="DT154" s="1825"/>
      <c r="DU154" s="1826"/>
      <c r="DV154" s="1827"/>
      <c r="DW154" s="1828"/>
      <c r="DX154" s="659"/>
      <c r="DY154" s="1265"/>
      <c r="DZ154" s="1785">
        <f t="shared" si="210"/>
        <v>0</v>
      </c>
      <c r="EA154" s="1786">
        <f t="shared" si="211"/>
        <v>0</v>
      </c>
      <c r="EB154" s="1781">
        <f t="shared" si="212"/>
        <v>0</v>
      </c>
      <c r="EC154" s="1782">
        <f t="shared" si="213"/>
        <v>0</v>
      </c>
      <c r="ED154" s="1262"/>
      <c r="EE154" s="2280"/>
      <c r="EF154" s="1802"/>
      <c r="EG154" s="167"/>
      <c r="EH154" s="168"/>
      <c r="EI154" s="168"/>
      <c r="EJ154" s="168"/>
      <c r="EK154" s="168"/>
      <c r="EL154" s="168"/>
      <c r="EM154" s="168"/>
      <c r="EN154" s="168"/>
      <c r="EO154" s="168"/>
      <c r="EP154" s="168"/>
      <c r="EQ154" s="168"/>
      <c r="ER154" s="168"/>
      <c r="ES154" s="168"/>
      <c r="ET154" s="168"/>
      <c r="EU154" s="168"/>
      <c r="EV154" s="168"/>
      <c r="EW154" s="168"/>
      <c r="EX154" s="168"/>
      <c r="EY154" s="168"/>
      <c r="EZ154" s="168"/>
      <c r="FA154" s="168"/>
      <c r="FB154" s="168"/>
      <c r="FC154" s="168"/>
      <c r="FD154" s="168"/>
      <c r="FE154" s="168"/>
      <c r="FF154" s="168"/>
      <c r="FG154" s="168"/>
      <c r="FH154" s="168"/>
      <c r="FI154" s="168"/>
      <c r="FJ154" s="168"/>
      <c r="FK154" s="168"/>
      <c r="FL154" s="168"/>
      <c r="FM154" s="168"/>
      <c r="FN154" s="168"/>
      <c r="FO154" s="168"/>
      <c r="FP154" s="168"/>
      <c r="FQ154" s="168"/>
      <c r="FR154" s="168"/>
      <c r="FS154" s="168"/>
      <c r="FT154" s="168"/>
      <c r="FU154" s="168"/>
      <c r="FV154" s="168"/>
      <c r="FW154" s="168"/>
      <c r="FX154" s="168"/>
      <c r="FY154" s="168"/>
      <c r="FZ154" s="168"/>
      <c r="GA154" s="168"/>
      <c r="GB154" s="168"/>
      <c r="GC154" s="168"/>
      <c r="GD154" s="168"/>
      <c r="GE154" s="168"/>
      <c r="GF154" s="168"/>
      <c r="GG154" s="168"/>
      <c r="GH154" s="168"/>
      <c r="GI154" s="168"/>
      <c r="GJ154" s="168"/>
      <c r="GK154" s="168"/>
      <c r="GL154" s="168"/>
      <c r="GM154" s="168"/>
      <c r="GN154" s="168"/>
      <c r="GO154" s="168"/>
      <c r="GP154" s="168"/>
      <c r="GQ154" s="168"/>
      <c r="GR154" s="168"/>
      <c r="GS154" s="168"/>
      <c r="GT154" s="168"/>
      <c r="GU154" s="168"/>
      <c r="GV154" s="168"/>
      <c r="GW154" s="168"/>
      <c r="GX154" s="168"/>
      <c r="GY154" s="168"/>
      <c r="GZ154" s="168"/>
      <c r="HA154" s="168"/>
      <c r="HB154" s="168"/>
      <c r="HC154" s="168"/>
      <c r="HD154" s="168"/>
      <c r="HE154" s="168"/>
      <c r="HF154" s="168"/>
      <c r="HG154" s="168"/>
      <c r="HH154" s="168"/>
      <c r="HI154" s="168"/>
      <c r="HJ154" s="168"/>
      <c r="HK154" s="168"/>
      <c r="HL154" s="168"/>
      <c r="HM154" s="168"/>
      <c r="HN154" s="168"/>
      <c r="HO154" s="168"/>
      <c r="HP154" s="168"/>
      <c r="HQ154" s="168"/>
      <c r="HR154" s="168"/>
      <c r="HS154" s="168"/>
      <c r="HT154" s="168"/>
      <c r="HU154" s="168"/>
      <c r="HV154" s="168"/>
      <c r="HW154" s="168"/>
      <c r="HX154" s="168"/>
      <c r="HY154" s="168"/>
      <c r="HZ154" s="168"/>
      <c r="IA154" s="168"/>
      <c r="IB154" s="168"/>
      <c r="IC154" s="168"/>
      <c r="ID154" s="168"/>
      <c r="IE154" s="168"/>
      <c r="IF154" s="168"/>
      <c r="IG154" s="168"/>
      <c r="IH154" s="168"/>
      <c r="II154" s="168"/>
      <c r="IJ154" s="168"/>
      <c r="IK154" s="168"/>
      <c r="IL154" s="168"/>
      <c r="IM154" s="168"/>
      <c r="IN154" s="168"/>
      <c r="IO154" s="168"/>
      <c r="IP154" s="168"/>
      <c r="IQ154" s="168"/>
      <c r="IR154" s="168"/>
      <c r="IS154" s="168"/>
      <c r="IT154" s="168"/>
      <c r="IU154" s="168"/>
      <c r="IV154" s="168"/>
      <c r="IW154" s="168"/>
      <c r="IX154" s="168"/>
      <c r="IY154" s="168"/>
      <c r="IZ154" s="168"/>
      <c r="JA154" s="168"/>
      <c r="JB154" s="168"/>
      <c r="JC154" s="606"/>
      <c r="JD154" s="609"/>
      <c r="JE154" s="1"/>
      <c r="JF154" s="1"/>
    </row>
    <row r="155" spans="1:266" s="2" customFormat="1" ht="15" customHeight="1" x14ac:dyDescent="0.25">
      <c r="A155" s="283"/>
      <c r="B155" s="303"/>
      <c r="C155" s="301"/>
      <c r="D155" s="638"/>
      <c r="E155" s="2298"/>
      <c r="F155" s="1812"/>
      <c r="G155" s="3342"/>
      <c r="H155" s="66"/>
      <c r="I155" s="1746"/>
      <c r="J155" s="86"/>
      <c r="K155" s="105"/>
      <c r="L155" s="91"/>
      <c r="M155" s="92"/>
      <c r="N155" s="93"/>
      <c r="O155" s="94"/>
      <c r="P155" s="96"/>
      <c r="Q155" s="95"/>
      <c r="R155" s="993">
        <f t="shared" si="198"/>
        <v>0</v>
      </c>
      <c r="S155" s="23">
        <f t="shared" si="214"/>
        <v>0</v>
      </c>
      <c r="T155" s="24">
        <f t="shared" si="215"/>
        <v>0</v>
      </c>
      <c r="U155" s="24">
        <f t="shared" si="199"/>
        <v>0</v>
      </c>
      <c r="V155" s="24">
        <f t="shared" si="216"/>
        <v>0</v>
      </c>
      <c r="W155" s="24">
        <f t="shared" si="217"/>
        <v>0</v>
      </c>
      <c r="X155" s="72">
        <f t="shared" si="218"/>
        <v>0</v>
      </c>
      <c r="Y155" s="72">
        <f t="shared" si="219"/>
        <v>0</v>
      </c>
      <c r="Z155" s="24">
        <f t="shared" si="200"/>
        <v>0</v>
      </c>
      <c r="AA155" s="72">
        <f t="shared" si="220"/>
        <v>0</v>
      </c>
      <c r="AB155" s="24">
        <f t="shared" si="221"/>
        <v>0</v>
      </c>
      <c r="AC155" s="24" t="s">
        <v>5</v>
      </c>
      <c r="AD155" s="25">
        <f t="shared" si="201"/>
        <v>3</v>
      </c>
      <c r="AE155" s="25">
        <f t="shared" si="202"/>
        <v>0</v>
      </c>
      <c r="AF155" s="25">
        <f t="shared" si="203"/>
        <v>0</v>
      </c>
      <c r="AG155" s="25">
        <f t="shared" si="222"/>
        <v>1</v>
      </c>
      <c r="AH155" s="25" t="str">
        <f>IFERROR(MATCH(DY155,'2 Staff List'!$IA$64:$IA$114,0),"x")</f>
        <v>x</v>
      </c>
      <c r="AI155" s="1181">
        <f>IFERROR(INDEX('2 Staff List'!$EX$64:$EX$114,$AH155),0)</f>
        <v>0</v>
      </c>
      <c r="AJ155" s="25">
        <f>IFERROR(INDEX('2 Staff List'!$IW$64:$IW$114,$AH155),0)</f>
        <v>0</v>
      </c>
      <c r="AK155" s="25">
        <f>IFERROR(INDEX('2 Staff List'!$IB$64:$IB$114,$AH155),0)</f>
        <v>0</v>
      </c>
      <c r="AL155" s="25">
        <f>IF(OR(NOT(ISBLANK(DV155)),CX155=1),"&lt;Non-Labor&gt;",IFERROR(IF(AH155=0,0,INDEX('2 Staff List'!$HZ$64:$HZ$114,$AH155)),0))</f>
        <v>0</v>
      </c>
      <c r="AM155" s="25">
        <f>IFERROR(INDEX('2 Staff List'!$HW$64:$HW$114,$AH155),0)</f>
        <v>0</v>
      </c>
      <c r="AN155" s="25">
        <f t="shared" si="223"/>
        <v>1</v>
      </c>
      <c r="AO155" s="25">
        <f>IF($AO$127=0,0,IFERROR(INDEX('2 Staff List'!$JH$64:$JH$114,$AH155),0))</f>
        <v>0</v>
      </c>
      <c r="AP155" s="25">
        <f>IFERROR(INDEX('2 Staff List'!$HU$64:$HU$114,$AH155),0)</f>
        <v>0</v>
      </c>
      <c r="AQ155" s="25">
        <f t="shared" si="224"/>
        <v>0</v>
      </c>
      <c r="AR155" s="25">
        <f t="shared" si="225"/>
        <v>0</v>
      </c>
      <c r="AS155" s="25">
        <f t="shared" si="226"/>
        <v>0</v>
      </c>
      <c r="AT155" s="25">
        <f t="shared" si="227"/>
        <v>0</v>
      </c>
      <c r="AU155" s="25">
        <f t="shared" si="228"/>
        <v>0</v>
      </c>
      <c r="AV155" s="25">
        <f t="shared" si="229"/>
        <v>0</v>
      </c>
      <c r="AW155" s="25">
        <f t="shared" si="230"/>
        <v>0</v>
      </c>
      <c r="AX155" s="25">
        <f t="shared" si="231"/>
        <v>0</v>
      </c>
      <c r="AY155" s="25">
        <f t="shared" si="232"/>
        <v>0</v>
      </c>
      <c r="AZ155" s="25">
        <f t="shared" si="233"/>
        <v>0</v>
      </c>
      <c r="BA155" s="25">
        <f t="shared" si="234"/>
        <v>0</v>
      </c>
      <c r="BB155" s="25">
        <f t="shared" si="235"/>
        <v>0</v>
      </c>
      <c r="BC155" s="25">
        <f>IFERROR(INDEX('2 Staff List'!KS$64:KS$114,$AH155),0)</f>
        <v>0</v>
      </c>
      <c r="BD155" s="25">
        <f>IFERROR(INDEX('2 Staff List'!KT$64:KT$114,$AH155),0)</f>
        <v>0</v>
      </c>
      <c r="BE155" s="25">
        <f>IFERROR(INDEX('2 Staff List'!KU$64:KU$114,$AH155),0)</f>
        <v>0</v>
      </c>
      <c r="BF155" s="25">
        <f>IFERROR(INDEX('2 Staff List'!KV$64:KV$114,$AH155),0)</f>
        <v>0</v>
      </c>
      <c r="BG155" s="25">
        <f>IFERROR(INDEX('2 Staff List'!KW$64:KW$114,$AH155),0)</f>
        <v>0</v>
      </c>
      <c r="BH155" s="25">
        <f>IFERROR(INDEX('2 Staff List'!KX$64:KX$114,$AH155),0)</f>
        <v>0</v>
      </c>
      <c r="BI155" s="25">
        <f>IFERROR(INDEX('2 Staff List'!KY$64:KY$114,$AH155),0)</f>
        <v>0</v>
      </c>
      <c r="BJ155" s="25">
        <f>IFERROR(INDEX('2 Staff List'!KZ$64:KZ$114,$AH155),0)</f>
        <v>0</v>
      </c>
      <c r="BK155" s="25">
        <f>IFERROR(INDEX('2 Staff List'!LA$64:LA$114,$AH155),0)</f>
        <v>0</v>
      </c>
      <c r="BL155" s="25">
        <f>IFERROR(INDEX('2 Staff List'!LB$64:LB$114,$AH155),0)</f>
        <v>0</v>
      </c>
      <c r="BM155" s="25">
        <f>IFERROR(INDEX('2 Staff List'!FT$64:FT$114,$AH155),0)</f>
        <v>0</v>
      </c>
      <c r="BN155" s="25">
        <f>IFERROR(INDEX('2 Staff List'!FU$64:FU$114,$AH155),0)</f>
        <v>0</v>
      </c>
      <c r="BO155" s="25">
        <f>IFERROR(INDEX('2 Staff List'!FV$64:FV$114,$AH155),0)</f>
        <v>0</v>
      </c>
      <c r="BP155" s="25">
        <f>IFERROR(INDEX('2 Staff List'!FW$64:FW$114,$AH155),0)</f>
        <v>0</v>
      </c>
      <c r="BQ155" s="25">
        <f>IFERROR(INDEX('2 Staff List'!FX$64:FX$114,$AH155),0)</f>
        <v>0</v>
      </c>
      <c r="BR155" s="25">
        <f>IFERROR(INDEX('2 Staff List'!FY$64:FY$114,$AH155),0)</f>
        <v>0</v>
      </c>
      <c r="BS155" s="25">
        <f>IFERROR(INDEX('2 Staff List'!FZ$64:FZ$114,$AH155),0)</f>
        <v>0</v>
      </c>
      <c r="BT155" s="25">
        <f>IFERROR(INDEX('2 Staff List'!GA$64:GA$114,$AH155),0)</f>
        <v>0</v>
      </c>
      <c r="BU155" s="25">
        <f>IFERROR(INDEX('2 Staff List'!GB$64:GB$114,$AH155),0)</f>
        <v>0</v>
      </c>
      <c r="BV155" s="25">
        <f>IFERROR(INDEX('2 Staff List'!GC$64:GC$114,$AH155),0)</f>
        <v>0</v>
      </c>
      <c r="BW155" s="25">
        <f t="shared" si="236"/>
        <v>0</v>
      </c>
      <c r="BX155" s="25">
        <f t="shared" si="237"/>
        <v>0</v>
      </c>
      <c r="BY155" s="25">
        <f t="shared" si="238"/>
        <v>0</v>
      </c>
      <c r="BZ155" s="25">
        <f t="shared" si="239"/>
        <v>0</v>
      </c>
      <c r="CA155" s="25">
        <f t="shared" si="240"/>
        <v>0</v>
      </c>
      <c r="CB155" s="25">
        <f t="shared" si="241"/>
        <v>0</v>
      </c>
      <c r="CC155" s="25">
        <f t="shared" si="242"/>
        <v>0</v>
      </c>
      <c r="CD155" s="25">
        <f t="shared" si="243"/>
        <v>0</v>
      </c>
      <c r="CE155" s="25">
        <f t="shared" si="244"/>
        <v>0</v>
      </c>
      <c r="CF155" s="25">
        <f t="shared" si="245"/>
        <v>0</v>
      </c>
      <c r="CG155" s="25">
        <f t="shared" si="246"/>
        <v>0</v>
      </c>
      <c r="CH155" s="25">
        <f>IFERROR(INDEX('2 Staff List'!LO$64:LO$114,$AH155),0)</f>
        <v>0</v>
      </c>
      <c r="CI155" s="25">
        <f>IFERROR(INDEX('2 Staff List'!LP$64:LP$114,$AH155),0)</f>
        <v>0</v>
      </c>
      <c r="CJ155" s="25">
        <f>IFERROR(INDEX('2 Staff List'!LQ$64:LQ$114,$AH155),0)</f>
        <v>0</v>
      </c>
      <c r="CK155" s="25">
        <f>IFERROR(INDEX('2 Staff List'!LR$64:LR$114,$AH155),0)</f>
        <v>0</v>
      </c>
      <c r="CL155" s="25">
        <f>IFERROR(INDEX('2 Staff List'!LS$64:LS$114,$AH155),0)</f>
        <v>0</v>
      </c>
      <c r="CM155" s="25">
        <f>IFERROR(INDEX('2 Staff List'!LT$64:LT$114,$AH155),0)</f>
        <v>0</v>
      </c>
      <c r="CN155" s="25">
        <f>IFERROR(INDEX('2 Staff List'!LU$64:LU$114,$AH155),0)</f>
        <v>0</v>
      </c>
      <c r="CO155" s="25">
        <f>IFERROR(INDEX('2 Staff List'!LV$64:LV$114,$AH155),0)</f>
        <v>0</v>
      </c>
      <c r="CP155" s="25">
        <f>IFERROR(INDEX('2 Staff List'!LW$64:LW$114,$AH155),0)</f>
        <v>0</v>
      </c>
      <c r="CQ155" s="25">
        <f>IFERROR(INDEX('2 Staff List'!LX$64:LX$114,$AH155),0)</f>
        <v>0</v>
      </c>
      <c r="CR155" s="25">
        <f t="shared" si="204"/>
        <v>0</v>
      </c>
      <c r="CS155" s="25">
        <f t="shared" si="265"/>
        <v>1</v>
      </c>
      <c r="CT155" s="25">
        <f t="shared" si="248"/>
        <v>1</v>
      </c>
      <c r="CU155" s="25">
        <f t="shared" si="249"/>
        <v>1</v>
      </c>
      <c r="CV155" s="25">
        <f t="shared" si="250"/>
        <v>1</v>
      </c>
      <c r="CW155" s="25">
        <f t="shared" si="251"/>
        <v>1</v>
      </c>
      <c r="CX155" s="25">
        <f t="shared" si="252"/>
        <v>0</v>
      </c>
      <c r="CY155" s="25">
        <f t="shared" si="253"/>
        <v>0</v>
      </c>
      <c r="CZ155" s="25">
        <f t="shared" si="254"/>
        <v>0</v>
      </c>
      <c r="DA155" s="25">
        <f t="shared" si="255"/>
        <v>1</v>
      </c>
      <c r="DB155" s="25">
        <f t="shared" si="205"/>
        <v>1</v>
      </c>
      <c r="DC155" s="25">
        <f t="shared" si="256"/>
        <v>0</v>
      </c>
      <c r="DD155" s="25">
        <f>IF(OR($AD155&lt;&gt;3,F155="Exclude"),0,IF(ISERROR(MATCH($E155,'4 Sign-off'!$S$123:$X$123,0)),0,1))</f>
        <v>0</v>
      </c>
      <c r="DE155" s="25">
        <f t="shared" si="206"/>
        <v>0</v>
      </c>
      <c r="DF155" s="25">
        <f t="shared" si="257"/>
        <v>0</v>
      </c>
      <c r="DG155" s="25" t="str">
        <f t="shared" si="258"/>
        <v/>
      </c>
      <c r="DH155" s="25">
        <f t="shared" si="259"/>
        <v>0</v>
      </c>
      <c r="DI155" s="25">
        <f t="shared" si="260"/>
        <v>0</v>
      </c>
      <c r="DJ155" s="25">
        <f>IF(ISBLANK(J155),0,ISERROR(MATCH(J155,'5  Control Accounts'!$FA$29:$FA$96,0))*1)</f>
        <v>0</v>
      </c>
      <c r="DK155" s="25">
        <f t="shared" si="261"/>
        <v>0</v>
      </c>
      <c r="DL155" s="25">
        <f t="shared" si="207"/>
        <v>-1</v>
      </c>
      <c r="DM155" s="25" t="e">
        <f t="array" ref="DM155">MATCH(1,($EG155:$JD155&gt;0)*$EG$17:$JD$17,0)</f>
        <v>#N/A</v>
      </c>
      <c r="DN155" s="25" t="e">
        <f t="shared" si="208"/>
        <v>#N/A</v>
      </c>
      <c r="DO155" s="25" t="e">
        <f t="array" ref="DO155">MATCH(2,1/(EG155:JD155&gt;0))</f>
        <v>#N/A</v>
      </c>
      <c r="DP155" s="2993">
        <f t="shared" si="262"/>
        <v>0</v>
      </c>
      <c r="DQ155" s="3037">
        <f t="shared" si="263"/>
        <v>0</v>
      </c>
      <c r="DR155" s="111"/>
      <c r="DS155" s="1268">
        <f t="shared" si="266"/>
        <v>0</v>
      </c>
      <c r="DT155" s="1825"/>
      <c r="DU155" s="1826"/>
      <c r="DV155" s="1827"/>
      <c r="DW155" s="1828"/>
      <c r="DX155" s="659"/>
      <c r="DY155" s="1265"/>
      <c r="DZ155" s="1785">
        <f t="shared" si="210"/>
        <v>0</v>
      </c>
      <c r="EA155" s="1786">
        <f t="shared" si="211"/>
        <v>0</v>
      </c>
      <c r="EB155" s="1781">
        <f t="shared" si="212"/>
        <v>0</v>
      </c>
      <c r="EC155" s="1782">
        <f t="shared" si="213"/>
        <v>0</v>
      </c>
      <c r="ED155" s="1262"/>
      <c r="EE155" s="2280"/>
      <c r="EF155" s="1802"/>
      <c r="EG155" s="167"/>
      <c r="EH155" s="168"/>
      <c r="EI155" s="168"/>
      <c r="EJ155" s="168"/>
      <c r="EK155" s="168"/>
      <c r="EL155" s="168"/>
      <c r="EM155" s="168"/>
      <c r="EN155" s="168"/>
      <c r="EO155" s="168"/>
      <c r="EP155" s="168"/>
      <c r="EQ155" s="168"/>
      <c r="ER155" s="168"/>
      <c r="ES155" s="168"/>
      <c r="ET155" s="168"/>
      <c r="EU155" s="168"/>
      <c r="EV155" s="168"/>
      <c r="EW155" s="168"/>
      <c r="EX155" s="168"/>
      <c r="EY155" s="168"/>
      <c r="EZ155" s="168"/>
      <c r="FA155" s="168"/>
      <c r="FB155" s="168"/>
      <c r="FC155" s="168"/>
      <c r="FD155" s="168"/>
      <c r="FE155" s="168"/>
      <c r="FF155" s="168"/>
      <c r="FG155" s="168"/>
      <c r="FH155" s="168"/>
      <c r="FI155" s="168"/>
      <c r="FJ155" s="168"/>
      <c r="FK155" s="168"/>
      <c r="FL155" s="168"/>
      <c r="FM155" s="168"/>
      <c r="FN155" s="168"/>
      <c r="FO155" s="168"/>
      <c r="FP155" s="168"/>
      <c r="FQ155" s="168"/>
      <c r="FR155" s="168"/>
      <c r="FS155" s="168"/>
      <c r="FT155" s="168"/>
      <c r="FU155" s="168"/>
      <c r="FV155" s="168"/>
      <c r="FW155" s="168"/>
      <c r="FX155" s="168"/>
      <c r="FY155" s="168"/>
      <c r="FZ155" s="168"/>
      <c r="GA155" s="168"/>
      <c r="GB155" s="168"/>
      <c r="GC155" s="168"/>
      <c r="GD155" s="168"/>
      <c r="GE155" s="168"/>
      <c r="GF155" s="168"/>
      <c r="GG155" s="168"/>
      <c r="GH155" s="168"/>
      <c r="GI155" s="168"/>
      <c r="GJ155" s="168"/>
      <c r="GK155" s="168"/>
      <c r="GL155" s="168"/>
      <c r="GM155" s="168"/>
      <c r="GN155" s="168"/>
      <c r="GO155" s="168"/>
      <c r="GP155" s="168"/>
      <c r="GQ155" s="168"/>
      <c r="GR155" s="168"/>
      <c r="GS155" s="168"/>
      <c r="GT155" s="168"/>
      <c r="GU155" s="168"/>
      <c r="GV155" s="168"/>
      <c r="GW155" s="168"/>
      <c r="GX155" s="168"/>
      <c r="GY155" s="168"/>
      <c r="GZ155" s="168"/>
      <c r="HA155" s="168"/>
      <c r="HB155" s="168"/>
      <c r="HC155" s="168"/>
      <c r="HD155" s="168"/>
      <c r="HE155" s="168"/>
      <c r="HF155" s="168"/>
      <c r="HG155" s="168"/>
      <c r="HH155" s="168"/>
      <c r="HI155" s="168"/>
      <c r="HJ155" s="168"/>
      <c r="HK155" s="168"/>
      <c r="HL155" s="168"/>
      <c r="HM155" s="168"/>
      <c r="HN155" s="168"/>
      <c r="HO155" s="168"/>
      <c r="HP155" s="168"/>
      <c r="HQ155" s="168"/>
      <c r="HR155" s="168"/>
      <c r="HS155" s="168"/>
      <c r="HT155" s="168"/>
      <c r="HU155" s="168"/>
      <c r="HV155" s="168"/>
      <c r="HW155" s="168"/>
      <c r="HX155" s="168"/>
      <c r="HY155" s="168"/>
      <c r="HZ155" s="168"/>
      <c r="IA155" s="168"/>
      <c r="IB155" s="168"/>
      <c r="IC155" s="168"/>
      <c r="ID155" s="168"/>
      <c r="IE155" s="168"/>
      <c r="IF155" s="168"/>
      <c r="IG155" s="168"/>
      <c r="IH155" s="168"/>
      <c r="II155" s="168"/>
      <c r="IJ155" s="168"/>
      <c r="IK155" s="168"/>
      <c r="IL155" s="168"/>
      <c r="IM155" s="168"/>
      <c r="IN155" s="168"/>
      <c r="IO155" s="168"/>
      <c r="IP155" s="168"/>
      <c r="IQ155" s="168"/>
      <c r="IR155" s="168"/>
      <c r="IS155" s="168"/>
      <c r="IT155" s="168"/>
      <c r="IU155" s="168"/>
      <c r="IV155" s="168"/>
      <c r="IW155" s="168"/>
      <c r="IX155" s="168"/>
      <c r="IY155" s="168"/>
      <c r="IZ155" s="168"/>
      <c r="JA155" s="168"/>
      <c r="JB155" s="168"/>
      <c r="JC155" s="606"/>
      <c r="JD155" s="609"/>
      <c r="JE155" s="1"/>
      <c r="JF155" s="1"/>
    </row>
    <row r="156" spans="1:266" s="2" customFormat="1" ht="15" customHeight="1" x14ac:dyDescent="0.25">
      <c r="A156" s="283"/>
      <c r="B156" s="303"/>
      <c r="C156" s="301"/>
      <c r="D156" s="638"/>
      <c r="E156" s="2298"/>
      <c r="F156" s="1812"/>
      <c r="G156" s="3342"/>
      <c r="H156" s="66"/>
      <c r="I156" s="1746"/>
      <c r="J156" s="86"/>
      <c r="K156" s="105"/>
      <c r="L156" s="91"/>
      <c r="M156" s="92"/>
      <c r="N156" s="93"/>
      <c r="O156" s="94"/>
      <c r="P156" s="96"/>
      <c r="Q156" s="95"/>
      <c r="R156" s="993">
        <f t="shared" si="198"/>
        <v>0</v>
      </c>
      <c r="S156" s="23">
        <f t="shared" si="214"/>
        <v>0</v>
      </c>
      <c r="T156" s="24">
        <f t="shared" si="215"/>
        <v>0</v>
      </c>
      <c r="U156" s="24">
        <f t="shared" si="199"/>
        <v>0</v>
      </c>
      <c r="V156" s="24">
        <f t="shared" si="216"/>
        <v>0</v>
      </c>
      <c r="W156" s="24">
        <f t="shared" si="217"/>
        <v>0</v>
      </c>
      <c r="X156" s="72">
        <f t="shared" si="218"/>
        <v>0</v>
      </c>
      <c r="Y156" s="72">
        <f t="shared" si="219"/>
        <v>0</v>
      </c>
      <c r="Z156" s="24">
        <f t="shared" si="200"/>
        <v>0</v>
      </c>
      <c r="AA156" s="72">
        <f t="shared" si="220"/>
        <v>0</v>
      </c>
      <c r="AB156" s="24">
        <f t="shared" si="221"/>
        <v>0</v>
      </c>
      <c r="AC156" s="24" t="s">
        <v>5</v>
      </c>
      <c r="AD156" s="25">
        <f t="shared" si="201"/>
        <v>3</v>
      </c>
      <c r="AE156" s="25">
        <f t="shared" si="202"/>
        <v>0</v>
      </c>
      <c r="AF156" s="25">
        <f t="shared" si="203"/>
        <v>0</v>
      </c>
      <c r="AG156" s="25">
        <f t="shared" si="222"/>
        <v>1</v>
      </c>
      <c r="AH156" s="25" t="str">
        <f>IFERROR(MATCH(DY156,'2 Staff List'!$IA$64:$IA$114,0),"x")</f>
        <v>x</v>
      </c>
      <c r="AI156" s="1181">
        <f>IFERROR(INDEX('2 Staff List'!$EX$64:$EX$114,$AH156),0)</f>
        <v>0</v>
      </c>
      <c r="AJ156" s="25">
        <f>IFERROR(INDEX('2 Staff List'!$IW$64:$IW$114,$AH156),0)</f>
        <v>0</v>
      </c>
      <c r="AK156" s="25">
        <f>IFERROR(INDEX('2 Staff List'!$IB$64:$IB$114,$AH156),0)</f>
        <v>0</v>
      </c>
      <c r="AL156" s="25">
        <f>IF(OR(NOT(ISBLANK(DV156)),CX156=1),"&lt;Non-Labor&gt;",IFERROR(IF(AH156=0,0,INDEX('2 Staff List'!$HZ$64:$HZ$114,$AH156)),0))</f>
        <v>0</v>
      </c>
      <c r="AM156" s="25">
        <f>IFERROR(INDEX('2 Staff List'!$HW$64:$HW$114,$AH156),0)</f>
        <v>0</v>
      </c>
      <c r="AN156" s="25">
        <f t="shared" si="223"/>
        <v>1</v>
      </c>
      <c r="AO156" s="25">
        <f>IF($AO$127=0,0,IFERROR(INDEX('2 Staff List'!$JH$64:$JH$114,$AH156),0))</f>
        <v>0</v>
      </c>
      <c r="AP156" s="25">
        <f>IFERROR(INDEX('2 Staff List'!$HU$64:$HU$114,$AH156),0)</f>
        <v>0</v>
      </c>
      <c r="AQ156" s="25">
        <f t="shared" si="224"/>
        <v>0</v>
      </c>
      <c r="AR156" s="25">
        <f t="shared" si="225"/>
        <v>0</v>
      </c>
      <c r="AS156" s="25">
        <f t="shared" si="226"/>
        <v>0</v>
      </c>
      <c r="AT156" s="25">
        <f t="shared" si="227"/>
        <v>0</v>
      </c>
      <c r="AU156" s="25">
        <f t="shared" si="228"/>
        <v>0</v>
      </c>
      <c r="AV156" s="25">
        <f t="shared" si="229"/>
        <v>0</v>
      </c>
      <c r="AW156" s="25">
        <f t="shared" si="230"/>
        <v>0</v>
      </c>
      <c r="AX156" s="25">
        <f t="shared" si="231"/>
        <v>0</v>
      </c>
      <c r="AY156" s="25">
        <f t="shared" si="232"/>
        <v>0</v>
      </c>
      <c r="AZ156" s="25">
        <f t="shared" si="233"/>
        <v>0</v>
      </c>
      <c r="BA156" s="25">
        <f t="shared" si="234"/>
        <v>0</v>
      </c>
      <c r="BB156" s="25">
        <f t="shared" si="235"/>
        <v>0</v>
      </c>
      <c r="BC156" s="25">
        <f>IFERROR(INDEX('2 Staff List'!KS$64:KS$114,$AH156),0)</f>
        <v>0</v>
      </c>
      <c r="BD156" s="25">
        <f>IFERROR(INDEX('2 Staff List'!KT$64:KT$114,$AH156),0)</f>
        <v>0</v>
      </c>
      <c r="BE156" s="25">
        <f>IFERROR(INDEX('2 Staff List'!KU$64:KU$114,$AH156),0)</f>
        <v>0</v>
      </c>
      <c r="BF156" s="25">
        <f>IFERROR(INDEX('2 Staff List'!KV$64:KV$114,$AH156),0)</f>
        <v>0</v>
      </c>
      <c r="BG156" s="25">
        <f>IFERROR(INDEX('2 Staff List'!KW$64:KW$114,$AH156),0)</f>
        <v>0</v>
      </c>
      <c r="BH156" s="25">
        <f>IFERROR(INDEX('2 Staff List'!KX$64:KX$114,$AH156),0)</f>
        <v>0</v>
      </c>
      <c r="BI156" s="25">
        <f>IFERROR(INDEX('2 Staff List'!KY$64:KY$114,$AH156),0)</f>
        <v>0</v>
      </c>
      <c r="BJ156" s="25">
        <f>IFERROR(INDEX('2 Staff List'!KZ$64:KZ$114,$AH156),0)</f>
        <v>0</v>
      </c>
      <c r="BK156" s="25">
        <f>IFERROR(INDEX('2 Staff List'!LA$64:LA$114,$AH156),0)</f>
        <v>0</v>
      </c>
      <c r="BL156" s="25">
        <f>IFERROR(INDEX('2 Staff List'!LB$64:LB$114,$AH156),0)</f>
        <v>0</v>
      </c>
      <c r="BM156" s="25">
        <f>IFERROR(INDEX('2 Staff List'!FT$64:FT$114,$AH156),0)</f>
        <v>0</v>
      </c>
      <c r="BN156" s="25">
        <f>IFERROR(INDEX('2 Staff List'!FU$64:FU$114,$AH156),0)</f>
        <v>0</v>
      </c>
      <c r="BO156" s="25">
        <f>IFERROR(INDEX('2 Staff List'!FV$64:FV$114,$AH156),0)</f>
        <v>0</v>
      </c>
      <c r="BP156" s="25">
        <f>IFERROR(INDEX('2 Staff List'!FW$64:FW$114,$AH156),0)</f>
        <v>0</v>
      </c>
      <c r="BQ156" s="25">
        <f>IFERROR(INDEX('2 Staff List'!FX$64:FX$114,$AH156),0)</f>
        <v>0</v>
      </c>
      <c r="BR156" s="25">
        <f>IFERROR(INDEX('2 Staff List'!FY$64:FY$114,$AH156),0)</f>
        <v>0</v>
      </c>
      <c r="BS156" s="25">
        <f>IFERROR(INDEX('2 Staff List'!FZ$64:FZ$114,$AH156),0)</f>
        <v>0</v>
      </c>
      <c r="BT156" s="25">
        <f>IFERROR(INDEX('2 Staff List'!GA$64:GA$114,$AH156),0)</f>
        <v>0</v>
      </c>
      <c r="BU156" s="25">
        <f>IFERROR(INDEX('2 Staff List'!GB$64:GB$114,$AH156),0)</f>
        <v>0</v>
      </c>
      <c r="BV156" s="25">
        <f>IFERROR(INDEX('2 Staff List'!GC$64:GC$114,$AH156),0)</f>
        <v>0</v>
      </c>
      <c r="BW156" s="25">
        <f t="shared" si="236"/>
        <v>0</v>
      </c>
      <c r="BX156" s="25">
        <f t="shared" si="237"/>
        <v>0</v>
      </c>
      <c r="BY156" s="25">
        <f t="shared" si="238"/>
        <v>0</v>
      </c>
      <c r="BZ156" s="25">
        <f t="shared" si="239"/>
        <v>0</v>
      </c>
      <c r="CA156" s="25">
        <f t="shared" si="240"/>
        <v>0</v>
      </c>
      <c r="CB156" s="25">
        <f t="shared" si="241"/>
        <v>0</v>
      </c>
      <c r="CC156" s="25">
        <f t="shared" si="242"/>
        <v>0</v>
      </c>
      <c r="CD156" s="25">
        <f t="shared" si="243"/>
        <v>0</v>
      </c>
      <c r="CE156" s="25">
        <f t="shared" si="244"/>
        <v>0</v>
      </c>
      <c r="CF156" s="25">
        <f t="shared" si="245"/>
        <v>0</v>
      </c>
      <c r="CG156" s="25">
        <f t="shared" si="246"/>
        <v>0</v>
      </c>
      <c r="CH156" s="25">
        <f>IFERROR(INDEX('2 Staff List'!LO$64:LO$114,$AH156),0)</f>
        <v>0</v>
      </c>
      <c r="CI156" s="25">
        <f>IFERROR(INDEX('2 Staff List'!LP$64:LP$114,$AH156),0)</f>
        <v>0</v>
      </c>
      <c r="CJ156" s="25">
        <f>IFERROR(INDEX('2 Staff List'!LQ$64:LQ$114,$AH156),0)</f>
        <v>0</v>
      </c>
      <c r="CK156" s="25">
        <f>IFERROR(INDEX('2 Staff List'!LR$64:LR$114,$AH156),0)</f>
        <v>0</v>
      </c>
      <c r="CL156" s="25">
        <f>IFERROR(INDEX('2 Staff List'!LS$64:LS$114,$AH156),0)</f>
        <v>0</v>
      </c>
      <c r="CM156" s="25">
        <f>IFERROR(INDEX('2 Staff List'!LT$64:LT$114,$AH156),0)</f>
        <v>0</v>
      </c>
      <c r="CN156" s="25">
        <f>IFERROR(INDEX('2 Staff List'!LU$64:LU$114,$AH156),0)</f>
        <v>0</v>
      </c>
      <c r="CO156" s="25">
        <f>IFERROR(INDEX('2 Staff List'!LV$64:LV$114,$AH156),0)</f>
        <v>0</v>
      </c>
      <c r="CP156" s="25">
        <f>IFERROR(INDEX('2 Staff List'!LW$64:LW$114,$AH156),0)</f>
        <v>0</v>
      </c>
      <c r="CQ156" s="25">
        <f>IFERROR(INDEX('2 Staff List'!LX$64:LX$114,$AH156),0)</f>
        <v>0</v>
      </c>
      <c r="CR156" s="25">
        <f t="shared" si="204"/>
        <v>0</v>
      </c>
      <c r="CS156" s="25">
        <f t="shared" si="265"/>
        <v>1</v>
      </c>
      <c r="CT156" s="25">
        <f t="shared" si="248"/>
        <v>1</v>
      </c>
      <c r="CU156" s="25">
        <f t="shared" si="249"/>
        <v>1</v>
      </c>
      <c r="CV156" s="25">
        <f t="shared" si="250"/>
        <v>1</v>
      </c>
      <c r="CW156" s="25">
        <f t="shared" si="251"/>
        <v>1</v>
      </c>
      <c r="CX156" s="25">
        <f t="shared" si="252"/>
        <v>0</v>
      </c>
      <c r="CY156" s="25">
        <f t="shared" si="253"/>
        <v>0</v>
      </c>
      <c r="CZ156" s="25">
        <f t="shared" si="254"/>
        <v>0</v>
      </c>
      <c r="DA156" s="25">
        <f t="shared" si="255"/>
        <v>1</v>
      </c>
      <c r="DB156" s="25">
        <f t="shared" si="205"/>
        <v>1</v>
      </c>
      <c r="DC156" s="25">
        <f t="shared" si="256"/>
        <v>0</v>
      </c>
      <c r="DD156" s="25">
        <f>IF(OR($AD156&lt;&gt;3,F156="Exclude"),0,IF(ISERROR(MATCH($E156,'4 Sign-off'!$S$123:$X$123,0)),0,1))</f>
        <v>0</v>
      </c>
      <c r="DE156" s="25">
        <f t="shared" si="206"/>
        <v>0</v>
      </c>
      <c r="DF156" s="25">
        <f t="shared" si="257"/>
        <v>0</v>
      </c>
      <c r="DG156" s="25" t="str">
        <f t="shared" si="258"/>
        <v/>
      </c>
      <c r="DH156" s="25">
        <f t="shared" si="259"/>
        <v>0</v>
      </c>
      <c r="DI156" s="25">
        <f t="shared" si="260"/>
        <v>0</v>
      </c>
      <c r="DJ156" s="25">
        <f>IF(ISBLANK(J156),0,ISERROR(MATCH(J156,'5  Control Accounts'!$FA$29:$FA$96,0))*1)</f>
        <v>0</v>
      </c>
      <c r="DK156" s="25">
        <f t="shared" si="261"/>
        <v>0</v>
      </c>
      <c r="DL156" s="25">
        <f t="shared" si="207"/>
        <v>-1</v>
      </c>
      <c r="DM156" s="25" t="e">
        <f t="array" ref="DM156">MATCH(1,($EG156:$JD156&gt;0)*$EG$17:$JD$17,0)</f>
        <v>#N/A</v>
      </c>
      <c r="DN156" s="25" t="e">
        <f t="shared" si="208"/>
        <v>#N/A</v>
      </c>
      <c r="DO156" s="25" t="e">
        <f t="array" ref="DO156">MATCH(2,1/(EG156:JD156&gt;0))</f>
        <v>#N/A</v>
      </c>
      <c r="DP156" s="2993">
        <f t="shared" si="262"/>
        <v>0</v>
      </c>
      <c r="DQ156" s="3037">
        <f t="shared" si="263"/>
        <v>0</v>
      </c>
      <c r="DR156" s="111"/>
      <c r="DS156" s="1268">
        <f t="shared" si="266"/>
        <v>0</v>
      </c>
      <c r="DT156" s="1825"/>
      <c r="DU156" s="1826"/>
      <c r="DV156" s="1827"/>
      <c r="DW156" s="1828"/>
      <c r="DX156" s="659"/>
      <c r="DY156" s="1265"/>
      <c r="DZ156" s="1785">
        <f t="shared" si="210"/>
        <v>0</v>
      </c>
      <c r="EA156" s="1786">
        <f t="shared" si="211"/>
        <v>0</v>
      </c>
      <c r="EB156" s="1781">
        <f t="shared" si="212"/>
        <v>0</v>
      </c>
      <c r="EC156" s="1782">
        <f t="shared" si="213"/>
        <v>0</v>
      </c>
      <c r="ED156" s="1262"/>
      <c r="EE156" s="2280"/>
      <c r="EF156" s="1802"/>
      <c r="EG156" s="167"/>
      <c r="EH156" s="168"/>
      <c r="EI156" s="168"/>
      <c r="EJ156" s="168"/>
      <c r="EK156" s="168"/>
      <c r="EL156" s="168"/>
      <c r="EM156" s="168"/>
      <c r="EN156" s="168"/>
      <c r="EO156" s="168"/>
      <c r="EP156" s="168"/>
      <c r="EQ156" s="168"/>
      <c r="ER156" s="168"/>
      <c r="ES156" s="168"/>
      <c r="ET156" s="168"/>
      <c r="EU156" s="168"/>
      <c r="EV156" s="168"/>
      <c r="EW156" s="168"/>
      <c r="EX156" s="168"/>
      <c r="EY156" s="168"/>
      <c r="EZ156" s="168"/>
      <c r="FA156" s="168"/>
      <c r="FB156" s="168"/>
      <c r="FC156" s="168"/>
      <c r="FD156" s="168"/>
      <c r="FE156" s="168"/>
      <c r="FF156" s="168"/>
      <c r="FG156" s="168"/>
      <c r="FH156" s="168"/>
      <c r="FI156" s="168"/>
      <c r="FJ156" s="168"/>
      <c r="FK156" s="168"/>
      <c r="FL156" s="168"/>
      <c r="FM156" s="168"/>
      <c r="FN156" s="168"/>
      <c r="FO156" s="168"/>
      <c r="FP156" s="168"/>
      <c r="FQ156" s="168"/>
      <c r="FR156" s="168"/>
      <c r="FS156" s="168"/>
      <c r="FT156" s="168"/>
      <c r="FU156" s="168"/>
      <c r="FV156" s="168"/>
      <c r="FW156" s="168"/>
      <c r="FX156" s="168"/>
      <c r="FY156" s="168"/>
      <c r="FZ156" s="168"/>
      <c r="GA156" s="168"/>
      <c r="GB156" s="168"/>
      <c r="GC156" s="168"/>
      <c r="GD156" s="168"/>
      <c r="GE156" s="168"/>
      <c r="GF156" s="168"/>
      <c r="GG156" s="168"/>
      <c r="GH156" s="168"/>
      <c r="GI156" s="168"/>
      <c r="GJ156" s="168"/>
      <c r="GK156" s="168"/>
      <c r="GL156" s="168"/>
      <c r="GM156" s="168"/>
      <c r="GN156" s="168"/>
      <c r="GO156" s="168"/>
      <c r="GP156" s="168"/>
      <c r="GQ156" s="168"/>
      <c r="GR156" s="168"/>
      <c r="GS156" s="168"/>
      <c r="GT156" s="168"/>
      <c r="GU156" s="168"/>
      <c r="GV156" s="168"/>
      <c r="GW156" s="168"/>
      <c r="GX156" s="168"/>
      <c r="GY156" s="168"/>
      <c r="GZ156" s="168"/>
      <c r="HA156" s="168"/>
      <c r="HB156" s="168"/>
      <c r="HC156" s="168"/>
      <c r="HD156" s="168"/>
      <c r="HE156" s="168"/>
      <c r="HF156" s="168"/>
      <c r="HG156" s="168"/>
      <c r="HH156" s="168"/>
      <c r="HI156" s="168"/>
      <c r="HJ156" s="168"/>
      <c r="HK156" s="168"/>
      <c r="HL156" s="168"/>
      <c r="HM156" s="168"/>
      <c r="HN156" s="168"/>
      <c r="HO156" s="168"/>
      <c r="HP156" s="168"/>
      <c r="HQ156" s="168"/>
      <c r="HR156" s="168"/>
      <c r="HS156" s="168"/>
      <c r="HT156" s="168"/>
      <c r="HU156" s="168"/>
      <c r="HV156" s="168"/>
      <c r="HW156" s="168"/>
      <c r="HX156" s="168"/>
      <c r="HY156" s="168"/>
      <c r="HZ156" s="168"/>
      <c r="IA156" s="168"/>
      <c r="IB156" s="168"/>
      <c r="IC156" s="168"/>
      <c r="ID156" s="168"/>
      <c r="IE156" s="168"/>
      <c r="IF156" s="168"/>
      <c r="IG156" s="168"/>
      <c r="IH156" s="168"/>
      <c r="II156" s="168"/>
      <c r="IJ156" s="168"/>
      <c r="IK156" s="168"/>
      <c r="IL156" s="168"/>
      <c r="IM156" s="168"/>
      <c r="IN156" s="168"/>
      <c r="IO156" s="168"/>
      <c r="IP156" s="168"/>
      <c r="IQ156" s="168"/>
      <c r="IR156" s="168"/>
      <c r="IS156" s="168"/>
      <c r="IT156" s="168"/>
      <c r="IU156" s="168"/>
      <c r="IV156" s="168"/>
      <c r="IW156" s="168"/>
      <c r="IX156" s="168"/>
      <c r="IY156" s="168"/>
      <c r="IZ156" s="168"/>
      <c r="JA156" s="168"/>
      <c r="JB156" s="168"/>
      <c r="JC156" s="606"/>
      <c r="JD156" s="609"/>
      <c r="JE156" s="1"/>
      <c r="JF156" s="1"/>
    </row>
    <row r="157" spans="1:266" s="2" customFormat="1" ht="15" customHeight="1" x14ac:dyDescent="0.25">
      <c r="A157" s="283"/>
      <c r="B157" s="303"/>
      <c r="C157" s="301"/>
      <c r="D157" s="638"/>
      <c r="E157" s="2298"/>
      <c r="F157" s="1812"/>
      <c r="G157" s="3342"/>
      <c r="H157" s="66"/>
      <c r="I157" s="1746"/>
      <c r="J157" s="86"/>
      <c r="K157" s="105"/>
      <c r="L157" s="91"/>
      <c r="M157" s="92"/>
      <c r="N157" s="93"/>
      <c r="O157" s="94"/>
      <c r="P157" s="96"/>
      <c r="Q157" s="95"/>
      <c r="R157" s="993">
        <f t="shared" si="198"/>
        <v>0</v>
      </c>
      <c r="S157" s="23">
        <f t="shared" si="214"/>
        <v>0</v>
      </c>
      <c r="T157" s="24">
        <f t="shared" si="215"/>
        <v>0</v>
      </c>
      <c r="U157" s="24">
        <f t="shared" si="199"/>
        <v>0</v>
      </c>
      <c r="V157" s="24">
        <f t="shared" si="216"/>
        <v>0</v>
      </c>
      <c r="W157" s="24">
        <f t="shared" si="217"/>
        <v>0</v>
      </c>
      <c r="X157" s="72">
        <f t="shared" si="218"/>
        <v>0</v>
      </c>
      <c r="Y157" s="72">
        <f t="shared" si="219"/>
        <v>0</v>
      </c>
      <c r="Z157" s="24">
        <f t="shared" si="200"/>
        <v>0</v>
      </c>
      <c r="AA157" s="72">
        <f t="shared" si="220"/>
        <v>0</v>
      </c>
      <c r="AB157" s="24">
        <f t="shared" si="221"/>
        <v>0</v>
      </c>
      <c r="AC157" s="24" t="s">
        <v>5</v>
      </c>
      <c r="AD157" s="25">
        <f t="shared" si="201"/>
        <v>3</v>
      </c>
      <c r="AE157" s="25">
        <f t="shared" si="202"/>
        <v>0</v>
      </c>
      <c r="AF157" s="25">
        <f t="shared" si="203"/>
        <v>0</v>
      </c>
      <c r="AG157" s="25">
        <f t="shared" si="222"/>
        <v>1</v>
      </c>
      <c r="AH157" s="25" t="str">
        <f>IFERROR(MATCH(DY157,'2 Staff List'!$IA$64:$IA$114,0),"x")</f>
        <v>x</v>
      </c>
      <c r="AI157" s="1181">
        <f>IFERROR(INDEX('2 Staff List'!$EX$64:$EX$114,$AH157),0)</f>
        <v>0</v>
      </c>
      <c r="AJ157" s="25">
        <f>IFERROR(INDEX('2 Staff List'!$IW$64:$IW$114,$AH157),0)</f>
        <v>0</v>
      </c>
      <c r="AK157" s="25">
        <f>IFERROR(INDEX('2 Staff List'!$IB$64:$IB$114,$AH157),0)</f>
        <v>0</v>
      </c>
      <c r="AL157" s="25">
        <f>IF(OR(NOT(ISBLANK(DV157)),CX157=1),"&lt;Non-Labor&gt;",IFERROR(IF(AH157=0,0,INDEX('2 Staff List'!$HZ$64:$HZ$114,$AH157)),0))</f>
        <v>0</v>
      </c>
      <c r="AM157" s="25">
        <f>IFERROR(INDEX('2 Staff List'!$HW$64:$HW$114,$AH157),0)</f>
        <v>0</v>
      </c>
      <c r="AN157" s="25">
        <f t="shared" si="223"/>
        <v>1</v>
      </c>
      <c r="AO157" s="25">
        <f>IF($AO$127=0,0,IFERROR(INDEX('2 Staff List'!$JH$64:$JH$114,$AH157),0))</f>
        <v>0</v>
      </c>
      <c r="AP157" s="25">
        <f>IFERROR(INDEX('2 Staff List'!$HU$64:$HU$114,$AH157),0)</f>
        <v>0</v>
      </c>
      <c r="AQ157" s="25">
        <f t="shared" si="224"/>
        <v>0</v>
      </c>
      <c r="AR157" s="25">
        <f t="shared" si="225"/>
        <v>0</v>
      </c>
      <c r="AS157" s="25">
        <f t="shared" si="226"/>
        <v>0</v>
      </c>
      <c r="AT157" s="25">
        <f t="shared" si="227"/>
        <v>0</v>
      </c>
      <c r="AU157" s="25">
        <f t="shared" si="228"/>
        <v>0</v>
      </c>
      <c r="AV157" s="25">
        <f t="shared" si="229"/>
        <v>0</v>
      </c>
      <c r="AW157" s="25">
        <f t="shared" si="230"/>
        <v>0</v>
      </c>
      <c r="AX157" s="25">
        <f t="shared" si="231"/>
        <v>0</v>
      </c>
      <c r="AY157" s="25">
        <f t="shared" si="232"/>
        <v>0</v>
      </c>
      <c r="AZ157" s="25">
        <f t="shared" si="233"/>
        <v>0</v>
      </c>
      <c r="BA157" s="25">
        <f t="shared" si="234"/>
        <v>0</v>
      </c>
      <c r="BB157" s="25">
        <f t="shared" si="235"/>
        <v>0</v>
      </c>
      <c r="BC157" s="25">
        <f>IFERROR(INDEX('2 Staff List'!KS$64:KS$114,$AH157),0)</f>
        <v>0</v>
      </c>
      <c r="BD157" s="25">
        <f>IFERROR(INDEX('2 Staff List'!KT$64:KT$114,$AH157),0)</f>
        <v>0</v>
      </c>
      <c r="BE157" s="25">
        <f>IFERROR(INDEX('2 Staff List'!KU$64:KU$114,$AH157),0)</f>
        <v>0</v>
      </c>
      <c r="BF157" s="25">
        <f>IFERROR(INDEX('2 Staff List'!KV$64:KV$114,$AH157),0)</f>
        <v>0</v>
      </c>
      <c r="BG157" s="25">
        <f>IFERROR(INDEX('2 Staff List'!KW$64:KW$114,$AH157),0)</f>
        <v>0</v>
      </c>
      <c r="BH157" s="25">
        <f>IFERROR(INDEX('2 Staff List'!KX$64:KX$114,$AH157),0)</f>
        <v>0</v>
      </c>
      <c r="BI157" s="25">
        <f>IFERROR(INDEX('2 Staff List'!KY$64:KY$114,$AH157),0)</f>
        <v>0</v>
      </c>
      <c r="BJ157" s="25">
        <f>IFERROR(INDEX('2 Staff List'!KZ$64:KZ$114,$AH157),0)</f>
        <v>0</v>
      </c>
      <c r="BK157" s="25">
        <f>IFERROR(INDEX('2 Staff List'!LA$64:LA$114,$AH157),0)</f>
        <v>0</v>
      </c>
      <c r="BL157" s="25">
        <f>IFERROR(INDEX('2 Staff List'!LB$64:LB$114,$AH157),0)</f>
        <v>0</v>
      </c>
      <c r="BM157" s="25">
        <f>IFERROR(INDEX('2 Staff List'!FT$64:FT$114,$AH157),0)</f>
        <v>0</v>
      </c>
      <c r="BN157" s="25">
        <f>IFERROR(INDEX('2 Staff List'!FU$64:FU$114,$AH157),0)</f>
        <v>0</v>
      </c>
      <c r="BO157" s="25">
        <f>IFERROR(INDEX('2 Staff List'!FV$64:FV$114,$AH157),0)</f>
        <v>0</v>
      </c>
      <c r="BP157" s="25">
        <f>IFERROR(INDEX('2 Staff List'!FW$64:FW$114,$AH157),0)</f>
        <v>0</v>
      </c>
      <c r="BQ157" s="25">
        <f>IFERROR(INDEX('2 Staff List'!FX$64:FX$114,$AH157),0)</f>
        <v>0</v>
      </c>
      <c r="BR157" s="25">
        <f>IFERROR(INDEX('2 Staff List'!FY$64:FY$114,$AH157),0)</f>
        <v>0</v>
      </c>
      <c r="BS157" s="25">
        <f>IFERROR(INDEX('2 Staff List'!FZ$64:FZ$114,$AH157),0)</f>
        <v>0</v>
      </c>
      <c r="BT157" s="25">
        <f>IFERROR(INDEX('2 Staff List'!GA$64:GA$114,$AH157),0)</f>
        <v>0</v>
      </c>
      <c r="BU157" s="25">
        <f>IFERROR(INDEX('2 Staff List'!GB$64:GB$114,$AH157),0)</f>
        <v>0</v>
      </c>
      <c r="BV157" s="25">
        <f>IFERROR(INDEX('2 Staff List'!GC$64:GC$114,$AH157),0)</f>
        <v>0</v>
      </c>
      <c r="BW157" s="25">
        <f t="shared" si="236"/>
        <v>0</v>
      </c>
      <c r="BX157" s="25">
        <f t="shared" si="237"/>
        <v>0</v>
      </c>
      <c r="BY157" s="25">
        <f t="shared" si="238"/>
        <v>0</v>
      </c>
      <c r="BZ157" s="25">
        <f t="shared" si="239"/>
        <v>0</v>
      </c>
      <c r="CA157" s="25">
        <f t="shared" si="240"/>
        <v>0</v>
      </c>
      <c r="CB157" s="25">
        <f t="shared" si="241"/>
        <v>0</v>
      </c>
      <c r="CC157" s="25">
        <f t="shared" si="242"/>
        <v>0</v>
      </c>
      <c r="CD157" s="25">
        <f t="shared" si="243"/>
        <v>0</v>
      </c>
      <c r="CE157" s="25">
        <f t="shared" si="244"/>
        <v>0</v>
      </c>
      <c r="CF157" s="25">
        <f t="shared" si="245"/>
        <v>0</v>
      </c>
      <c r="CG157" s="25">
        <f t="shared" si="246"/>
        <v>0</v>
      </c>
      <c r="CH157" s="25">
        <f>IFERROR(INDEX('2 Staff List'!LO$64:LO$114,$AH157),0)</f>
        <v>0</v>
      </c>
      <c r="CI157" s="25">
        <f>IFERROR(INDEX('2 Staff List'!LP$64:LP$114,$AH157),0)</f>
        <v>0</v>
      </c>
      <c r="CJ157" s="25">
        <f>IFERROR(INDEX('2 Staff List'!LQ$64:LQ$114,$AH157),0)</f>
        <v>0</v>
      </c>
      <c r="CK157" s="25">
        <f>IFERROR(INDEX('2 Staff List'!LR$64:LR$114,$AH157),0)</f>
        <v>0</v>
      </c>
      <c r="CL157" s="25">
        <f>IFERROR(INDEX('2 Staff List'!LS$64:LS$114,$AH157),0)</f>
        <v>0</v>
      </c>
      <c r="CM157" s="25">
        <f>IFERROR(INDEX('2 Staff List'!LT$64:LT$114,$AH157),0)</f>
        <v>0</v>
      </c>
      <c r="CN157" s="25">
        <f>IFERROR(INDEX('2 Staff List'!LU$64:LU$114,$AH157),0)</f>
        <v>0</v>
      </c>
      <c r="CO157" s="25">
        <f>IFERROR(INDEX('2 Staff List'!LV$64:LV$114,$AH157),0)</f>
        <v>0</v>
      </c>
      <c r="CP157" s="25">
        <f>IFERROR(INDEX('2 Staff List'!LW$64:LW$114,$AH157),0)</f>
        <v>0</v>
      </c>
      <c r="CQ157" s="25">
        <f>IFERROR(INDEX('2 Staff List'!LX$64:LX$114,$AH157),0)</f>
        <v>0</v>
      </c>
      <c r="CR157" s="25">
        <f t="shared" si="204"/>
        <v>0</v>
      </c>
      <c r="CS157" s="25">
        <f t="shared" si="265"/>
        <v>1</v>
      </c>
      <c r="CT157" s="25">
        <f t="shared" si="248"/>
        <v>1</v>
      </c>
      <c r="CU157" s="25">
        <f t="shared" si="249"/>
        <v>1</v>
      </c>
      <c r="CV157" s="25">
        <f t="shared" si="250"/>
        <v>1</v>
      </c>
      <c r="CW157" s="25">
        <f t="shared" si="251"/>
        <v>1</v>
      </c>
      <c r="CX157" s="25">
        <f t="shared" si="252"/>
        <v>0</v>
      </c>
      <c r="CY157" s="25">
        <f t="shared" si="253"/>
        <v>0</v>
      </c>
      <c r="CZ157" s="25">
        <f t="shared" si="254"/>
        <v>0</v>
      </c>
      <c r="DA157" s="25">
        <f t="shared" si="255"/>
        <v>1</v>
      </c>
      <c r="DB157" s="25">
        <f t="shared" si="205"/>
        <v>1</v>
      </c>
      <c r="DC157" s="25">
        <f t="shared" si="256"/>
        <v>0</v>
      </c>
      <c r="DD157" s="25">
        <f>IF(OR($AD157&lt;&gt;3,F157="Exclude"),0,IF(ISERROR(MATCH($E157,'4 Sign-off'!$S$123:$X$123,0)),0,1))</f>
        <v>0</v>
      </c>
      <c r="DE157" s="25">
        <f t="shared" si="206"/>
        <v>0</v>
      </c>
      <c r="DF157" s="25">
        <f t="shared" si="257"/>
        <v>0</v>
      </c>
      <c r="DG157" s="25" t="str">
        <f t="shared" si="258"/>
        <v/>
      </c>
      <c r="DH157" s="25">
        <f t="shared" si="259"/>
        <v>0</v>
      </c>
      <c r="DI157" s="25">
        <f t="shared" si="260"/>
        <v>0</v>
      </c>
      <c r="DJ157" s="25">
        <f>IF(ISBLANK(J157),0,ISERROR(MATCH(J157,'5  Control Accounts'!$FA$29:$FA$96,0))*1)</f>
        <v>0</v>
      </c>
      <c r="DK157" s="25">
        <f t="shared" si="261"/>
        <v>0</v>
      </c>
      <c r="DL157" s="25">
        <f t="shared" si="207"/>
        <v>-1</v>
      </c>
      <c r="DM157" s="25" t="e">
        <f t="array" ref="DM157">MATCH(1,($EG157:$JD157&gt;0)*$EG$17:$JD$17,0)</f>
        <v>#N/A</v>
      </c>
      <c r="DN157" s="25" t="e">
        <f t="shared" si="208"/>
        <v>#N/A</v>
      </c>
      <c r="DO157" s="25" t="e">
        <f t="array" ref="DO157">MATCH(2,1/(EG157:JD157&gt;0))</f>
        <v>#N/A</v>
      </c>
      <c r="DP157" s="2993">
        <f t="shared" si="262"/>
        <v>0</v>
      </c>
      <c r="DQ157" s="3037">
        <f t="shared" si="263"/>
        <v>0</v>
      </c>
      <c r="DR157" s="111"/>
      <c r="DS157" s="1268">
        <f t="shared" si="266"/>
        <v>0</v>
      </c>
      <c r="DT157" s="1825"/>
      <c r="DU157" s="1826"/>
      <c r="DV157" s="1827"/>
      <c r="DW157" s="1828"/>
      <c r="DX157" s="659"/>
      <c r="DY157" s="1265"/>
      <c r="DZ157" s="1785">
        <f t="shared" si="210"/>
        <v>0</v>
      </c>
      <c r="EA157" s="1786">
        <f t="shared" si="211"/>
        <v>0</v>
      </c>
      <c r="EB157" s="1781">
        <f t="shared" si="212"/>
        <v>0</v>
      </c>
      <c r="EC157" s="1782">
        <f t="shared" si="213"/>
        <v>0</v>
      </c>
      <c r="ED157" s="1262"/>
      <c r="EE157" s="2280"/>
      <c r="EF157" s="1802"/>
      <c r="EG157" s="167"/>
      <c r="EH157" s="168"/>
      <c r="EI157" s="168"/>
      <c r="EJ157" s="168"/>
      <c r="EK157" s="168"/>
      <c r="EL157" s="168"/>
      <c r="EM157" s="168"/>
      <c r="EN157" s="168"/>
      <c r="EO157" s="168"/>
      <c r="EP157" s="168"/>
      <c r="EQ157" s="168"/>
      <c r="ER157" s="168"/>
      <c r="ES157" s="168"/>
      <c r="ET157" s="168"/>
      <c r="EU157" s="168"/>
      <c r="EV157" s="168"/>
      <c r="EW157" s="168"/>
      <c r="EX157" s="168"/>
      <c r="EY157" s="168"/>
      <c r="EZ157" s="168"/>
      <c r="FA157" s="168"/>
      <c r="FB157" s="168"/>
      <c r="FC157" s="168"/>
      <c r="FD157" s="168"/>
      <c r="FE157" s="168"/>
      <c r="FF157" s="168"/>
      <c r="FG157" s="168"/>
      <c r="FH157" s="168"/>
      <c r="FI157" s="168"/>
      <c r="FJ157" s="168"/>
      <c r="FK157" s="168"/>
      <c r="FL157" s="168"/>
      <c r="FM157" s="168"/>
      <c r="FN157" s="168"/>
      <c r="FO157" s="168"/>
      <c r="FP157" s="168"/>
      <c r="FQ157" s="168"/>
      <c r="FR157" s="168"/>
      <c r="FS157" s="168"/>
      <c r="FT157" s="168"/>
      <c r="FU157" s="168"/>
      <c r="FV157" s="168"/>
      <c r="FW157" s="168"/>
      <c r="FX157" s="168"/>
      <c r="FY157" s="168"/>
      <c r="FZ157" s="168"/>
      <c r="GA157" s="168"/>
      <c r="GB157" s="168"/>
      <c r="GC157" s="168"/>
      <c r="GD157" s="168"/>
      <c r="GE157" s="168"/>
      <c r="GF157" s="168"/>
      <c r="GG157" s="168"/>
      <c r="GH157" s="168"/>
      <c r="GI157" s="168"/>
      <c r="GJ157" s="168"/>
      <c r="GK157" s="168"/>
      <c r="GL157" s="168"/>
      <c r="GM157" s="168"/>
      <c r="GN157" s="168"/>
      <c r="GO157" s="168"/>
      <c r="GP157" s="168"/>
      <c r="GQ157" s="168"/>
      <c r="GR157" s="168"/>
      <c r="GS157" s="168"/>
      <c r="GT157" s="168"/>
      <c r="GU157" s="168"/>
      <c r="GV157" s="168"/>
      <c r="GW157" s="168"/>
      <c r="GX157" s="168"/>
      <c r="GY157" s="168"/>
      <c r="GZ157" s="168"/>
      <c r="HA157" s="168"/>
      <c r="HB157" s="168"/>
      <c r="HC157" s="168"/>
      <c r="HD157" s="168"/>
      <c r="HE157" s="168"/>
      <c r="HF157" s="168"/>
      <c r="HG157" s="168"/>
      <c r="HH157" s="168"/>
      <c r="HI157" s="168"/>
      <c r="HJ157" s="168"/>
      <c r="HK157" s="168"/>
      <c r="HL157" s="168"/>
      <c r="HM157" s="168"/>
      <c r="HN157" s="168"/>
      <c r="HO157" s="168"/>
      <c r="HP157" s="168"/>
      <c r="HQ157" s="168"/>
      <c r="HR157" s="168"/>
      <c r="HS157" s="168"/>
      <c r="HT157" s="168"/>
      <c r="HU157" s="168"/>
      <c r="HV157" s="168"/>
      <c r="HW157" s="168"/>
      <c r="HX157" s="168"/>
      <c r="HY157" s="168"/>
      <c r="HZ157" s="168"/>
      <c r="IA157" s="168"/>
      <c r="IB157" s="168"/>
      <c r="IC157" s="168"/>
      <c r="ID157" s="168"/>
      <c r="IE157" s="168"/>
      <c r="IF157" s="168"/>
      <c r="IG157" s="168"/>
      <c r="IH157" s="168"/>
      <c r="II157" s="168"/>
      <c r="IJ157" s="168"/>
      <c r="IK157" s="168"/>
      <c r="IL157" s="168"/>
      <c r="IM157" s="168"/>
      <c r="IN157" s="168"/>
      <c r="IO157" s="168"/>
      <c r="IP157" s="168"/>
      <c r="IQ157" s="168"/>
      <c r="IR157" s="168"/>
      <c r="IS157" s="168"/>
      <c r="IT157" s="168"/>
      <c r="IU157" s="168"/>
      <c r="IV157" s="168"/>
      <c r="IW157" s="168"/>
      <c r="IX157" s="168"/>
      <c r="IY157" s="168"/>
      <c r="IZ157" s="168"/>
      <c r="JA157" s="168"/>
      <c r="JB157" s="168"/>
      <c r="JC157" s="606"/>
      <c r="JD157" s="609"/>
      <c r="JE157" s="1"/>
      <c r="JF157" s="1"/>
    </row>
    <row r="158" spans="1:266" s="2" customFormat="1" ht="15" customHeight="1" x14ac:dyDescent="0.25">
      <c r="A158" s="283"/>
      <c r="B158" s="303"/>
      <c r="C158" s="301"/>
      <c r="D158" s="638"/>
      <c r="E158" s="2298"/>
      <c r="F158" s="1812"/>
      <c r="G158" s="3342"/>
      <c r="H158" s="66"/>
      <c r="I158" s="1746"/>
      <c r="J158" s="86"/>
      <c r="K158" s="105"/>
      <c r="L158" s="91"/>
      <c r="M158" s="92"/>
      <c r="N158" s="93"/>
      <c r="O158" s="94"/>
      <c r="P158" s="96"/>
      <c r="Q158" s="95"/>
      <c r="R158" s="993">
        <f t="shared" si="198"/>
        <v>0</v>
      </c>
      <c r="S158" s="23">
        <f t="shared" si="214"/>
        <v>0</v>
      </c>
      <c r="T158" s="24">
        <f t="shared" si="215"/>
        <v>0</v>
      </c>
      <c r="U158" s="24">
        <f t="shared" si="199"/>
        <v>0</v>
      </c>
      <c r="V158" s="24">
        <f t="shared" si="216"/>
        <v>0</v>
      </c>
      <c r="W158" s="24">
        <f t="shared" si="217"/>
        <v>0</v>
      </c>
      <c r="X158" s="72">
        <f t="shared" si="218"/>
        <v>0</v>
      </c>
      <c r="Y158" s="72">
        <f t="shared" si="219"/>
        <v>0</v>
      </c>
      <c r="Z158" s="24">
        <f t="shared" si="200"/>
        <v>0</v>
      </c>
      <c r="AA158" s="72">
        <f t="shared" si="220"/>
        <v>0</v>
      </c>
      <c r="AB158" s="24">
        <f t="shared" si="221"/>
        <v>0</v>
      </c>
      <c r="AC158" s="24" t="s">
        <v>5</v>
      </c>
      <c r="AD158" s="25">
        <f t="shared" si="201"/>
        <v>3</v>
      </c>
      <c r="AE158" s="25">
        <f t="shared" si="202"/>
        <v>0</v>
      </c>
      <c r="AF158" s="25">
        <f t="shared" si="203"/>
        <v>0</v>
      </c>
      <c r="AG158" s="25">
        <f t="shared" si="222"/>
        <v>1</v>
      </c>
      <c r="AH158" s="25" t="str">
        <f>IFERROR(MATCH(DY158,'2 Staff List'!$IA$64:$IA$114,0),"x")</f>
        <v>x</v>
      </c>
      <c r="AI158" s="1181">
        <f>IFERROR(INDEX('2 Staff List'!$EX$64:$EX$114,$AH158),0)</f>
        <v>0</v>
      </c>
      <c r="AJ158" s="25">
        <f>IFERROR(INDEX('2 Staff List'!$IW$64:$IW$114,$AH158),0)</f>
        <v>0</v>
      </c>
      <c r="AK158" s="25">
        <f>IFERROR(INDEX('2 Staff List'!$IB$64:$IB$114,$AH158),0)</f>
        <v>0</v>
      </c>
      <c r="AL158" s="25">
        <f>IF(OR(NOT(ISBLANK(DV158)),CX158=1),"&lt;Non-Labor&gt;",IFERROR(IF(AH158=0,0,INDEX('2 Staff List'!$HZ$64:$HZ$114,$AH158)),0))</f>
        <v>0</v>
      </c>
      <c r="AM158" s="25">
        <f>IFERROR(INDEX('2 Staff List'!$HW$64:$HW$114,$AH158),0)</f>
        <v>0</v>
      </c>
      <c r="AN158" s="25">
        <f t="shared" si="223"/>
        <v>1</v>
      </c>
      <c r="AO158" s="25">
        <f>IF($AO$127=0,0,IFERROR(INDEX('2 Staff List'!$JH$64:$JH$114,$AH158),0))</f>
        <v>0</v>
      </c>
      <c r="AP158" s="25">
        <f>IFERROR(INDEX('2 Staff List'!$HU$64:$HU$114,$AH158),0)</f>
        <v>0</v>
      </c>
      <c r="AQ158" s="25">
        <f t="shared" si="224"/>
        <v>0</v>
      </c>
      <c r="AR158" s="25">
        <f t="shared" si="225"/>
        <v>0</v>
      </c>
      <c r="AS158" s="25">
        <f t="shared" si="226"/>
        <v>0</v>
      </c>
      <c r="AT158" s="25">
        <f t="shared" si="227"/>
        <v>0</v>
      </c>
      <c r="AU158" s="25">
        <f t="shared" si="228"/>
        <v>0</v>
      </c>
      <c r="AV158" s="25">
        <f t="shared" si="229"/>
        <v>0</v>
      </c>
      <c r="AW158" s="25">
        <f t="shared" si="230"/>
        <v>0</v>
      </c>
      <c r="AX158" s="25">
        <f t="shared" si="231"/>
        <v>0</v>
      </c>
      <c r="AY158" s="25">
        <f t="shared" si="232"/>
        <v>0</v>
      </c>
      <c r="AZ158" s="25">
        <f t="shared" si="233"/>
        <v>0</v>
      </c>
      <c r="BA158" s="25">
        <f t="shared" si="234"/>
        <v>0</v>
      </c>
      <c r="BB158" s="25">
        <f t="shared" si="235"/>
        <v>0</v>
      </c>
      <c r="BC158" s="25">
        <f>IFERROR(INDEX('2 Staff List'!KS$64:KS$114,$AH158),0)</f>
        <v>0</v>
      </c>
      <c r="BD158" s="25">
        <f>IFERROR(INDEX('2 Staff List'!KT$64:KT$114,$AH158),0)</f>
        <v>0</v>
      </c>
      <c r="BE158" s="25">
        <f>IFERROR(INDEX('2 Staff List'!KU$64:KU$114,$AH158),0)</f>
        <v>0</v>
      </c>
      <c r="BF158" s="25">
        <f>IFERROR(INDEX('2 Staff List'!KV$64:KV$114,$AH158),0)</f>
        <v>0</v>
      </c>
      <c r="BG158" s="25">
        <f>IFERROR(INDEX('2 Staff List'!KW$64:KW$114,$AH158),0)</f>
        <v>0</v>
      </c>
      <c r="BH158" s="25">
        <f>IFERROR(INDEX('2 Staff List'!KX$64:KX$114,$AH158),0)</f>
        <v>0</v>
      </c>
      <c r="BI158" s="25">
        <f>IFERROR(INDEX('2 Staff List'!KY$64:KY$114,$AH158),0)</f>
        <v>0</v>
      </c>
      <c r="BJ158" s="25">
        <f>IFERROR(INDEX('2 Staff List'!KZ$64:KZ$114,$AH158),0)</f>
        <v>0</v>
      </c>
      <c r="BK158" s="25">
        <f>IFERROR(INDEX('2 Staff List'!LA$64:LA$114,$AH158),0)</f>
        <v>0</v>
      </c>
      <c r="BL158" s="25">
        <f>IFERROR(INDEX('2 Staff List'!LB$64:LB$114,$AH158),0)</f>
        <v>0</v>
      </c>
      <c r="BM158" s="25">
        <f>IFERROR(INDEX('2 Staff List'!FT$64:FT$114,$AH158),0)</f>
        <v>0</v>
      </c>
      <c r="BN158" s="25">
        <f>IFERROR(INDEX('2 Staff List'!FU$64:FU$114,$AH158),0)</f>
        <v>0</v>
      </c>
      <c r="BO158" s="25">
        <f>IFERROR(INDEX('2 Staff List'!FV$64:FV$114,$AH158),0)</f>
        <v>0</v>
      </c>
      <c r="BP158" s="25">
        <f>IFERROR(INDEX('2 Staff List'!FW$64:FW$114,$AH158),0)</f>
        <v>0</v>
      </c>
      <c r="BQ158" s="25">
        <f>IFERROR(INDEX('2 Staff List'!FX$64:FX$114,$AH158),0)</f>
        <v>0</v>
      </c>
      <c r="BR158" s="25">
        <f>IFERROR(INDEX('2 Staff List'!FY$64:FY$114,$AH158),0)</f>
        <v>0</v>
      </c>
      <c r="BS158" s="25">
        <f>IFERROR(INDEX('2 Staff List'!FZ$64:FZ$114,$AH158),0)</f>
        <v>0</v>
      </c>
      <c r="BT158" s="25">
        <f>IFERROR(INDEX('2 Staff List'!GA$64:GA$114,$AH158),0)</f>
        <v>0</v>
      </c>
      <c r="BU158" s="25">
        <f>IFERROR(INDEX('2 Staff List'!GB$64:GB$114,$AH158),0)</f>
        <v>0</v>
      </c>
      <c r="BV158" s="25">
        <f>IFERROR(INDEX('2 Staff List'!GC$64:GC$114,$AH158),0)</f>
        <v>0</v>
      </c>
      <c r="BW158" s="25">
        <f t="shared" si="236"/>
        <v>0</v>
      </c>
      <c r="BX158" s="25">
        <f t="shared" si="237"/>
        <v>0</v>
      </c>
      <c r="BY158" s="25">
        <f t="shared" si="238"/>
        <v>0</v>
      </c>
      <c r="BZ158" s="25">
        <f t="shared" si="239"/>
        <v>0</v>
      </c>
      <c r="CA158" s="25">
        <f t="shared" si="240"/>
        <v>0</v>
      </c>
      <c r="CB158" s="25">
        <f t="shared" si="241"/>
        <v>0</v>
      </c>
      <c r="CC158" s="25">
        <f t="shared" si="242"/>
        <v>0</v>
      </c>
      <c r="CD158" s="25">
        <f t="shared" si="243"/>
        <v>0</v>
      </c>
      <c r="CE158" s="25">
        <f t="shared" si="244"/>
        <v>0</v>
      </c>
      <c r="CF158" s="25">
        <f t="shared" si="245"/>
        <v>0</v>
      </c>
      <c r="CG158" s="25">
        <f t="shared" si="246"/>
        <v>0</v>
      </c>
      <c r="CH158" s="25">
        <f>IFERROR(INDEX('2 Staff List'!LO$64:LO$114,$AH158),0)</f>
        <v>0</v>
      </c>
      <c r="CI158" s="25">
        <f>IFERROR(INDEX('2 Staff List'!LP$64:LP$114,$AH158),0)</f>
        <v>0</v>
      </c>
      <c r="CJ158" s="25">
        <f>IFERROR(INDEX('2 Staff List'!LQ$64:LQ$114,$AH158),0)</f>
        <v>0</v>
      </c>
      <c r="CK158" s="25">
        <f>IFERROR(INDEX('2 Staff List'!LR$64:LR$114,$AH158),0)</f>
        <v>0</v>
      </c>
      <c r="CL158" s="25">
        <f>IFERROR(INDEX('2 Staff List'!LS$64:LS$114,$AH158),0)</f>
        <v>0</v>
      </c>
      <c r="CM158" s="25">
        <f>IFERROR(INDEX('2 Staff List'!LT$64:LT$114,$AH158),0)</f>
        <v>0</v>
      </c>
      <c r="CN158" s="25">
        <f>IFERROR(INDEX('2 Staff List'!LU$64:LU$114,$AH158),0)</f>
        <v>0</v>
      </c>
      <c r="CO158" s="25">
        <f>IFERROR(INDEX('2 Staff List'!LV$64:LV$114,$AH158),0)</f>
        <v>0</v>
      </c>
      <c r="CP158" s="25">
        <f>IFERROR(INDEX('2 Staff List'!LW$64:LW$114,$AH158),0)</f>
        <v>0</v>
      </c>
      <c r="CQ158" s="25">
        <f>IFERROR(INDEX('2 Staff List'!LX$64:LX$114,$AH158),0)</f>
        <v>0</v>
      </c>
      <c r="CR158" s="25">
        <f t="shared" si="204"/>
        <v>0</v>
      </c>
      <c r="CS158" s="25">
        <f t="shared" si="265"/>
        <v>1</v>
      </c>
      <c r="CT158" s="25">
        <f t="shared" si="248"/>
        <v>1</v>
      </c>
      <c r="CU158" s="25">
        <f t="shared" si="249"/>
        <v>1</v>
      </c>
      <c r="CV158" s="25">
        <f t="shared" si="250"/>
        <v>1</v>
      </c>
      <c r="CW158" s="25">
        <f t="shared" si="251"/>
        <v>1</v>
      </c>
      <c r="CX158" s="25">
        <f t="shared" si="252"/>
        <v>0</v>
      </c>
      <c r="CY158" s="25">
        <f t="shared" si="253"/>
        <v>0</v>
      </c>
      <c r="CZ158" s="25">
        <f t="shared" si="254"/>
        <v>0</v>
      </c>
      <c r="DA158" s="25">
        <f t="shared" si="255"/>
        <v>1</v>
      </c>
      <c r="DB158" s="25">
        <f t="shared" si="205"/>
        <v>1</v>
      </c>
      <c r="DC158" s="25">
        <f t="shared" si="256"/>
        <v>0</v>
      </c>
      <c r="DD158" s="25">
        <f>IF(OR($AD158&lt;&gt;3,F158="Exclude"),0,IF(ISERROR(MATCH($E158,'4 Sign-off'!$S$123:$X$123,0)),0,1))</f>
        <v>0</v>
      </c>
      <c r="DE158" s="25">
        <f t="shared" si="206"/>
        <v>0</v>
      </c>
      <c r="DF158" s="25">
        <f t="shared" si="257"/>
        <v>0</v>
      </c>
      <c r="DG158" s="25" t="str">
        <f t="shared" si="258"/>
        <v/>
      </c>
      <c r="DH158" s="25">
        <f t="shared" si="259"/>
        <v>0</v>
      </c>
      <c r="DI158" s="25">
        <f t="shared" si="260"/>
        <v>0</v>
      </c>
      <c r="DJ158" s="25">
        <f>IF(ISBLANK(J158),0,ISERROR(MATCH(J158,'5  Control Accounts'!$FA$29:$FA$96,0))*1)</f>
        <v>0</v>
      </c>
      <c r="DK158" s="25">
        <f t="shared" si="261"/>
        <v>0</v>
      </c>
      <c r="DL158" s="25">
        <f t="shared" si="207"/>
        <v>-1</v>
      </c>
      <c r="DM158" s="25" t="e">
        <f t="array" ref="DM158">MATCH(1,($EG158:$JD158&gt;0)*$EG$17:$JD$17,0)</f>
        <v>#N/A</v>
      </c>
      <c r="DN158" s="25" t="e">
        <f t="shared" si="208"/>
        <v>#N/A</v>
      </c>
      <c r="DO158" s="25" t="e">
        <f t="array" ref="DO158">MATCH(2,1/(EG158:JD158&gt;0))</f>
        <v>#N/A</v>
      </c>
      <c r="DP158" s="2993">
        <f t="shared" si="262"/>
        <v>0</v>
      </c>
      <c r="DQ158" s="3037">
        <f t="shared" si="263"/>
        <v>0</v>
      </c>
      <c r="DR158" s="111"/>
      <c r="DS158" s="1268">
        <f t="shared" si="266"/>
        <v>0</v>
      </c>
      <c r="DT158" s="1825"/>
      <c r="DU158" s="1826"/>
      <c r="DV158" s="1827"/>
      <c r="DW158" s="1828"/>
      <c r="DX158" s="659"/>
      <c r="DY158" s="1265"/>
      <c r="DZ158" s="1785">
        <f t="shared" si="210"/>
        <v>0</v>
      </c>
      <c r="EA158" s="1786">
        <f t="shared" si="211"/>
        <v>0</v>
      </c>
      <c r="EB158" s="1781">
        <f t="shared" si="212"/>
        <v>0</v>
      </c>
      <c r="EC158" s="1782">
        <f t="shared" si="213"/>
        <v>0</v>
      </c>
      <c r="ED158" s="1262"/>
      <c r="EE158" s="2280"/>
      <c r="EF158" s="1802"/>
      <c r="EG158" s="167"/>
      <c r="EH158" s="168"/>
      <c r="EI158" s="168"/>
      <c r="EJ158" s="168"/>
      <c r="EK158" s="168"/>
      <c r="EL158" s="168"/>
      <c r="EM158" s="168"/>
      <c r="EN158" s="168"/>
      <c r="EO158" s="168"/>
      <c r="EP158" s="168"/>
      <c r="EQ158" s="168"/>
      <c r="ER158" s="168"/>
      <c r="ES158" s="168"/>
      <c r="ET158" s="168"/>
      <c r="EU158" s="168"/>
      <c r="EV158" s="168"/>
      <c r="EW158" s="168"/>
      <c r="EX158" s="168"/>
      <c r="EY158" s="168"/>
      <c r="EZ158" s="168"/>
      <c r="FA158" s="168"/>
      <c r="FB158" s="168"/>
      <c r="FC158" s="168"/>
      <c r="FD158" s="168"/>
      <c r="FE158" s="168"/>
      <c r="FF158" s="168"/>
      <c r="FG158" s="168"/>
      <c r="FH158" s="168"/>
      <c r="FI158" s="168"/>
      <c r="FJ158" s="168"/>
      <c r="FK158" s="168"/>
      <c r="FL158" s="168"/>
      <c r="FM158" s="168"/>
      <c r="FN158" s="168"/>
      <c r="FO158" s="168"/>
      <c r="FP158" s="168"/>
      <c r="FQ158" s="168"/>
      <c r="FR158" s="168"/>
      <c r="FS158" s="168"/>
      <c r="FT158" s="168"/>
      <c r="FU158" s="168"/>
      <c r="FV158" s="168"/>
      <c r="FW158" s="168"/>
      <c r="FX158" s="168"/>
      <c r="FY158" s="168"/>
      <c r="FZ158" s="168"/>
      <c r="GA158" s="168"/>
      <c r="GB158" s="168"/>
      <c r="GC158" s="168"/>
      <c r="GD158" s="168"/>
      <c r="GE158" s="168"/>
      <c r="GF158" s="168"/>
      <c r="GG158" s="168"/>
      <c r="GH158" s="168"/>
      <c r="GI158" s="168"/>
      <c r="GJ158" s="168"/>
      <c r="GK158" s="168"/>
      <c r="GL158" s="168"/>
      <c r="GM158" s="168"/>
      <c r="GN158" s="168"/>
      <c r="GO158" s="168"/>
      <c r="GP158" s="168"/>
      <c r="GQ158" s="168"/>
      <c r="GR158" s="168"/>
      <c r="GS158" s="168"/>
      <c r="GT158" s="168"/>
      <c r="GU158" s="168"/>
      <c r="GV158" s="168"/>
      <c r="GW158" s="168"/>
      <c r="GX158" s="168"/>
      <c r="GY158" s="168"/>
      <c r="GZ158" s="168"/>
      <c r="HA158" s="168"/>
      <c r="HB158" s="168"/>
      <c r="HC158" s="168"/>
      <c r="HD158" s="168"/>
      <c r="HE158" s="168"/>
      <c r="HF158" s="168"/>
      <c r="HG158" s="168"/>
      <c r="HH158" s="168"/>
      <c r="HI158" s="168"/>
      <c r="HJ158" s="168"/>
      <c r="HK158" s="168"/>
      <c r="HL158" s="168"/>
      <c r="HM158" s="168"/>
      <c r="HN158" s="168"/>
      <c r="HO158" s="168"/>
      <c r="HP158" s="168"/>
      <c r="HQ158" s="168"/>
      <c r="HR158" s="168"/>
      <c r="HS158" s="168"/>
      <c r="HT158" s="168"/>
      <c r="HU158" s="168"/>
      <c r="HV158" s="168"/>
      <c r="HW158" s="168"/>
      <c r="HX158" s="168"/>
      <c r="HY158" s="168"/>
      <c r="HZ158" s="168"/>
      <c r="IA158" s="168"/>
      <c r="IB158" s="168"/>
      <c r="IC158" s="168"/>
      <c r="ID158" s="168"/>
      <c r="IE158" s="168"/>
      <c r="IF158" s="168"/>
      <c r="IG158" s="168"/>
      <c r="IH158" s="168"/>
      <c r="II158" s="168"/>
      <c r="IJ158" s="168"/>
      <c r="IK158" s="168"/>
      <c r="IL158" s="168"/>
      <c r="IM158" s="168"/>
      <c r="IN158" s="168"/>
      <c r="IO158" s="168"/>
      <c r="IP158" s="168"/>
      <c r="IQ158" s="168"/>
      <c r="IR158" s="168"/>
      <c r="IS158" s="168"/>
      <c r="IT158" s="168"/>
      <c r="IU158" s="168"/>
      <c r="IV158" s="168"/>
      <c r="IW158" s="168"/>
      <c r="IX158" s="168"/>
      <c r="IY158" s="168"/>
      <c r="IZ158" s="168"/>
      <c r="JA158" s="168"/>
      <c r="JB158" s="168"/>
      <c r="JC158" s="606"/>
      <c r="JD158" s="609"/>
      <c r="JE158" s="1"/>
      <c r="JF158" s="1"/>
    </row>
    <row r="159" spans="1:266" s="2" customFormat="1" ht="15" customHeight="1" x14ac:dyDescent="0.25">
      <c r="A159" s="283"/>
      <c r="B159" s="303"/>
      <c r="C159" s="301"/>
      <c r="D159" s="638"/>
      <c r="E159" s="2298"/>
      <c r="F159" s="1812"/>
      <c r="G159" s="3342"/>
      <c r="H159" s="66"/>
      <c r="I159" s="1746"/>
      <c r="J159" s="86"/>
      <c r="K159" s="105"/>
      <c r="L159" s="91"/>
      <c r="M159" s="92"/>
      <c r="N159" s="93"/>
      <c r="O159" s="94"/>
      <c r="P159" s="96"/>
      <c r="Q159" s="95"/>
      <c r="R159" s="993">
        <f t="shared" si="198"/>
        <v>0</v>
      </c>
      <c r="S159" s="23">
        <f t="shared" si="214"/>
        <v>0</v>
      </c>
      <c r="T159" s="24">
        <f t="shared" si="215"/>
        <v>0</v>
      </c>
      <c r="U159" s="24">
        <f t="shared" si="199"/>
        <v>0</v>
      </c>
      <c r="V159" s="24">
        <f t="shared" si="216"/>
        <v>0</v>
      </c>
      <c r="W159" s="24">
        <f t="shared" si="217"/>
        <v>0</v>
      </c>
      <c r="X159" s="72">
        <f t="shared" si="218"/>
        <v>0</v>
      </c>
      <c r="Y159" s="72">
        <f t="shared" si="219"/>
        <v>0</v>
      </c>
      <c r="Z159" s="24">
        <f t="shared" si="200"/>
        <v>0</v>
      </c>
      <c r="AA159" s="72">
        <f t="shared" si="220"/>
        <v>0</v>
      </c>
      <c r="AB159" s="24">
        <f t="shared" si="221"/>
        <v>0</v>
      </c>
      <c r="AC159" s="24" t="s">
        <v>5</v>
      </c>
      <c r="AD159" s="25">
        <f t="shared" si="201"/>
        <v>3</v>
      </c>
      <c r="AE159" s="25">
        <f t="shared" si="202"/>
        <v>0</v>
      </c>
      <c r="AF159" s="25">
        <f t="shared" si="203"/>
        <v>0</v>
      </c>
      <c r="AG159" s="25">
        <f t="shared" si="222"/>
        <v>1</v>
      </c>
      <c r="AH159" s="25" t="str">
        <f>IFERROR(MATCH(DY159,'2 Staff List'!$IA$64:$IA$114,0),"x")</f>
        <v>x</v>
      </c>
      <c r="AI159" s="1181">
        <f>IFERROR(INDEX('2 Staff List'!$EX$64:$EX$114,$AH159),0)</f>
        <v>0</v>
      </c>
      <c r="AJ159" s="25">
        <f>IFERROR(INDEX('2 Staff List'!$IW$64:$IW$114,$AH159),0)</f>
        <v>0</v>
      </c>
      <c r="AK159" s="25">
        <f>IFERROR(INDEX('2 Staff List'!$IB$64:$IB$114,$AH159),0)</f>
        <v>0</v>
      </c>
      <c r="AL159" s="25">
        <f>IF(OR(NOT(ISBLANK(DV159)),CX159=1),"&lt;Non-Labor&gt;",IFERROR(IF(AH159=0,0,INDEX('2 Staff List'!$HZ$64:$HZ$114,$AH159)),0))</f>
        <v>0</v>
      </c>
      <c r="AM159" s="25">
        <f>IFERROR(INDEX('2 Staff List'!$HW$64:$HW$114,$AH159),0)</f>
        <v>0</v>
      </c>
      <c r="AN159" s="25">
        <f t="shared" si="223"/>
        <v>1</v>
      </c>
      <c r="AO159" s="25">
        <f>IF($AO$127=0,0,IFERROR(INDEX('2 Staff List'!$JH$64:$JH$114,$AH159),0))</f>
        <v>0</v>
      </c>
      <c r="AP159" s="25">
        <f>IFERROR(INDEX('2 Staff List'!$HU$64:$HU$114,$AH159),0)</f>
        <v>0</v>
      </c>
      <c r="AQ159" s="25">
        <f t="shared" si="224"/>
        <v>0</v>
      </c>
      <c r="AR159" s="25">
        <f t="shared" si="225"/>
        <v>0</v>
      </c>
      <c r="AS159" s="25">
        <f t="shared" si="226"/>
        <v>0</v>
      </c>
      <c r="AT159" s="25">
        <f t="shared" si="227"/>
        <v>0</v>
      </c>
      <c r="AU159" s="25">
        <f t="shared" si="228"/>
        <v>0</v>
      </c>
      <c r="AV159" s="25">
        <f t="shared" si="229"/>
        <v>0</v>
      </c>
      <c r="AW159" s="25">
        <f t="shared" si="230"/>
        <v>0</v>
      </c>
      <c r="AX159" s="25">
        <f t="shared" si="231"/>
        <v>0</v>
      </c>
      <c r="AY159" s="25">
        <f t="shared" si="232"/>
        <v>0</v>
      </c>
      <c r="AZ159" s="25">
        <f t="shared" si="233"/>
        <v>0</v>
      </c>
      <c r="BA159" s="25">
        <f t="shared" si="234"/>
        <v>0</v>
      </c>
      <c r="BB159" s="25">
        <f t="shared" si="235"/>
        <v>0</v>
      </c>
      <c r="BC159" s="25">
        <f>IFERROR(INDEX('2 Staff List'!KS$64:KS$114,$AH159),0)</f>
        <v>0</v>
      </c>
      <c r="BD159" s="25">
        <f>IFERROR(INDEX('2 Staff List'!KT$64:KT$114,$AH159),0)</f>
        <v>0</v>
      </c>
      <c r="BE159" s="25">
        <f>IFERROR(INDEX('2 Staff List'!KU$64:KU$114,$AH159),0)</f>
        <v>0</v>
      </c>
      <c r="BF159" s="25">
        <f>IFERROR(INDEX('2 Staff List'!KV$64:KV$114,$AH159),0)</f>
        <v>0</v>
      </c>
      <c r="BG159" s="25">
        <f>IFERROR(INDEX('2 Staff List'!KW$64:KW$114,$AH159),0)</f>
        <v>0</v>
      </c>
      <c r="BH159" s="25">
        <f>IFERROR(INDEX('2 Staff List'!KX$64:KX$114,$AH159),0)</f>
        <v>0</v>
      </c>
      <c r="BI159" s="25">
        <f>IFERROR(INDEX('2 Staff List'!KY$64:KY$114,$AH159),0)</f>
        <v>0</v>
      </c>
      <c r="BJ159" s="25">
        <f>IFERROR(INDEX('2 Staff List'!KZ$64:KZ$114,$AH159),0)</f>
        <v>0</v>
      </c>
      <c r="BK159" s="25">
        <f>IFERROR(INDEX('2 Staff List'!LA$64:LA$114,$AH159),0)</f>
        <v>0</v>
      </c>
      <c r="BL159" s="25">
        <f>IFERROR(INDEX('2 Staff List'!LB$64:LB$114,$AH159),0)</f>
        <v>0</v>
      </c>
      <c r="BM159" s="25">
        <f>IFERROR(INDEX('2 Staff List'!FT$64:FT$114,$AH159),0)</f>
        <v>0</v>
      </c>
      <c r="BN159" s="25">
        <f>IFERROR(INDEX('2 Staff List'!FU$64:FU$114,$AH159),0)</f>
        <v>0</v>
      </c>
      <c r="BO159" s="25">
        <f>IFERROR(INDEX('2 Staff List'!FV$64:FV$114,$AH159),0)</f>
        <v>0</v>
      </c>
      <c r="BP159" s="25">
        <f>IFERROR(INDEX('2 Staff List'!FW$64:FW$114,$AH159),0)</f>
        <v>0</v>
      </c>
      <c r="BQ159" s="25">
        <f>IFERROR(INDEX('2 Staff List'!FX$64:FX$114,$AH159),0)</f>
        <v>0</v>
      </c>
      <c r="BR159" s="25">
        <f>IFERROR(INDEX('2 Staff List'!FY$64:FY$114,$AH159),0)</f>
        <v>0</v>
      </c>
      <c r="BS159" s="25">
        <f>IFERROR(INDEX('2 Staff List'!FZ$64:FZ$114,$AH159),0)</f>
        <v>0</v>
      </c>
      <c r="BT159" s="25">
        <f>IFERROR(INDEX('2 Staff List'!GA$64:GA$114,$AH159),0)</f>
        <v>0</v>
      </c>
      <c r="BU159" s="25">
        <f>IFERROR(INDEX('2 Staff List'!GB$64:GB$114,$AH159),0)</f>
        <v>0</v>
      </c>
      <c r="BV159" s="25">
        <f>IFERROR(INDEX('2 Staff List'!GC$64:GC$114,$AH159),0)</f>
        <v>0</v>
      </c>
      <c r="BW159" s="25">
        <f t="shared" si="236"/>
        <v>0</v>
      </c>
      <c r="BX159" s="25">
        <f t="shared" si="237"/>
        <v>0</v>
      </c>
      <c r="BY159" s="25">
        <f t="shared" si="238"/>
        <v>0</v>
      </c>
      <c r="BZ159" s="25">
        <f t="shared" si="239"/>
        <v>0</v>
      </c>
      <c r="CA159" s="25">
        <f t="shared" si="240"/>
        <v>0</v>
      </c>
      <c r="CB159" s="25">
        <f t="shared" si="241"/>
        <v>0</v>
      </c>
      <c r="CC159" s="25">
        <f t="shared" si="242"/>
        <v>0</v>
      </c>
      <c r="CD159" s="25">
        <f t="shared" si="243"/>
        <v>0</v>
      </c>
      <c r="CE159" s="25">
        <f t="shared" si="244"/>
        <v>0</v>
      </c>
      <c r="CF159" s="25">
        <f t="shared" si="245"/>
        <v>0</v>
      </c>
      <c r="CG159" s="25">
        <f t="shared" si="246"/>
        <v>0</v>
      </c>
      <c r="CH159" s="25">
        <f>IFERROR(INDEX('2 Staff List'!LO$64:LO$114,$AH159),0)</f>
        <v>0</v>
      </c>
      <c r="CI159" s="25">
        <f>IFERROR(INDEX('2 Staff List'!LP$64:LP$114,$AH159),0)</f>
        <v>0</v>
      </c>
      <c r="CJ159" s="25">
        <f>IFERROR(INDEX('2 Staff List'!LQ$64:LQ$114,$AH159),0)</f>
        <v>0</v>
      </c>
      <c r="CK159" s="25">
        <f>IFERROR(INDEX('2 Staff List'!LR$64:LR$114,$AH159),0)</f>
        <v>0</v>
      </c>
      <c r="CL159" s="25">
        <f>IFERROR(INDEX('2 Staff List'!LS$64:LS$114,$AH159),0)</f>
        <v>0</v>
      </c>
      <c r="CM159" s="25">
        <f>IFERROR(INDEX('2 Staff List'!LT$64:LT$114,$AH159),0)</f>
        <v>0</v>
      </c>
      <c r="CN159" s="25">
        <f>IFERROR(INDEX('2 Staff List'!LU$64:LU$114,$AH159),0)</f>
        <v>0</v>
      </c>
      <c r="CO159" s="25">
        <f>IFERROR(INDEX('2 Staff List'!LV$64:LV$114,$AH159),0)</f>
        <v>0</v>
      </c>
      <c r="CP159" s="25">
        <f>IFERROR(INDEX('2 Staff List'!LW$64:LW$114,$AH159),0)</f>
        <v>0</v>
      </c>
      <c r="CQ159" s="25">
        <f>IFERROR(INDEX('2 Staff List'!LX$64:LX$114,$AH159),0)</f>
        <v>0</v>
      </c>
      <c r="CR159" s="25">
        <f t="shared" si="204"/>
        <v>0</v>
      </c>
      <c r="CS159" s="25">
        <f t="shared" si="265"/>
        <v>1</v>
      </c>
      <c r="CT159" s="25">
        <f t="shared" si="248"/>
        <v>1</v>
      </c>
      <c r="CU159" s="25">
        <f t="shared" si="249"/>
        <v>1</v>
      </c>
      <c r="CV159" s="25">
        <f t="shared" si="250"/>
        <v>1</v>
      </c>
      <c r="CW159" s="25">
        <f t="shared" si="251"/>
        <v>1</v>
      </c>
      <c r="CX159" s="25">
        <f t="shared" si="252"/>
        <v>0</v>
      </c>
      <c r="CY159" s="25">
        <f t="shared" si="253"/>
        <v>0</v>
      </c>
      <c r="CZ159" s="25">
        <f t="shared" si="254"/>
        <v>0</v>
      </c>
      <c r="DA159" s="25">
        <f t="shared" si="255"/>
        <v>1</v>
      </c>
      <c r="DB159" s="25">
        <f t="shared" si="205"/>
        <v>1</v>
      </c>
      <c r="DC159" s="25">
        <f t="shared" si="256"/>
        <v>0</v>
      </c>
      <c r="DD159" s="25">
        <f>IF(OR($AD159&lt;&gt;3,F159="Exclude"),0,IF(ISERROR(MATCH($E159,'4 Sign-off'!$S$123:$X$123,0)),0,1))</f>
        <v>0</v>
      </c>
      <c r="DE159" s="25">
        <f t="shared" si="206"/>
        <v>0</v>
      </c>
      <c r="DF159" s="25">
        <f t="shared" si="257"/>
        <v>0</v>
      </c>
      <c r="DG159" s="25" t="str">
        <f t="shared" si="258"/>
        <v/>
      </c>
      <c r="DH159" s="25">
        <f t="shared" si="259"/>
        <v>0</v>
      </c>
      <c r="DI159" s="25">
        <f t="shared" si="260"/>
        <v>0</v>
      </c>
      <c r="DJ159" s="25">
        <f>IF(ISBLANK(J159),0,ISERROR(MATCH(J159,'5  Control Accounts'!$FA$29:$FA$96,0))*1)</f>
        <v>0</v>
      </c>
      <c r="DK159" s="25">
        <f t="shared" si="261"/>
        <v>0</v>
      </c>
      <c r="DL159" s="25">
        <f t="shared" si="207"/>
        <v>-1</v>
      </c>
      <c r="DM159" s="25" t="e">
        <f t="array" ref="DM159">MATCH(1,($EG159:$JD159&gt;0)*$EG$17:$JD$17,0)</f>
        <v>#N/A</v>
      </c>
      <c r="DN159" s="25" t="e">
        <f t="shared" si="208"/>
        <v>#N/A</v>
      </c>
      <c r="DO159" s="25" t="e">
        <f t="array" ref="DO159">MATCH(2,1/(EG159:JD159&gt;0))</f>
        <v>#N/A</v>
      </c>
      <c r="DP159" s="2993">
        <f t="shared" si="262"/>
        <v>0</v>
      </c>
      <c r="DQ159" s="3037">
        <f t="shared" si="263"/>
        <v>0</v>
      </c>
      <c r="DR159" s="111"/>
      <c r="DS159" s="1268">
        <f t="shared" si="266"/>
        <v>0</v>
      </c>
      <c r="DT159" s="1825"/>
      <c r="DU159" s="1826"/>
      <c r="DV159" s="1827"/>
      <c r="DW159" s="1828"/>
      <c r="DX159" s="659"/>
      <c r="DY159" s="1265"/>
      <c r="DZ159" s="1785">
        <f t="shared" si="210"/>
        <v>0</v>
      </c>
      <c r="EA159" s="1786">
        <f t="shared" si="211"/>
        <v>0</v>
      </c>
      <c r="EB159" s="1781">
        <f t="shared" si="212"/>
        <v>0</v>
      </c>
      <c r="EC159" s="1782">
        <f t="shared" si="213"/>
        <v>0</v>
      </c>
      <c r="ED159" s="1262"/>
      <c r="EE159" s="2280"/>
      <c r="EF159" s="1802"/>
      <c r="EG159" s="167"/>
      <c r="EH159" s="168"/>
      <c r="EI159" s="168"/>
      <c r="EJ159" s="168"/>
      <c r="EK159" s="168"/>
      <c r="EL159" s="168"/>
      <c r="EM159" s="168"/>
      <c r="EN159" s="168"/>
      <c r="EO159" s="168"/>
      <c r="EP159" s="168"/>
      <c r="EQ159" s="168"/>
      <c r="ER159" s="168"/>
      <c r="ES159" s="168"/>
      <c r="ET159" s="168"/>
      <c r="EU159" s="168"/>
      <c r="EV159" s="168"/>
      <c r="EW159" s="168"/>
      <c r="EX159" s="168"/>
      <c r="EY159" s="168"/>
      <c r="EZ159" s="168"/>
      <c r="FA159" s="168"/>
      <c r="FB159" s="168"/>
      <c r="FC159" s="168"/>
      <c r="FD159" s="168"/>
      <c r="FE159" s="168"/>
      <c r="FF159" s="168"/>
      <c r="FG159" s="168"/>
      <c r="FH159" s="168"/>
      <c r="FI159" s="168"/>
      <c r="FJ159" s="168"/>
      <c r="FK159" s="168"/>
      <c r="FL159" s="168"/>
      <c r="FM159" s="168"/>
      <c r="FN159" s="168"/>
      <c r="FO159" s="168"/>
      <c r="FP159" s="168"/>
      <c r="FQ159" s="168"/>
      <c r="FR159" s="168"/>
      <c r="FS159" s="168"/>
      <c r="FT159" s="168"/>
      <c r="FU159" s="168"/>
      <c r="FV159" s="168"/>
      <c r="FW159" s="168"/>
      <c r="FX159" s="168"/>
      <c r="FY159" s="168"/>
      <c r="FZ159" s="168"/>
      <c r="GA159" s="168"/>
      <c r="GB159" s="168"/>
      <c r="GC159" s="168"/>
      <c r="GD159" s="168"/>
      <c r="GE159" s="168"/>
      <c r="GF159" s="168"/>
      <c r="GG159" s="168"/>
      <c r="GH159" s="168"/>
      <c r="GI159" s="168"/>
      <c r="GJ159" s="168"/>
      <c r="GK159" s="168"/>
      <c r="GL159" s="168"/>
      <c r="GM159" s="168"/>
      <c r="GN159" s="168"/>
      <c r="GO159" s="168"/>
      <c r="GP159" s="168"/>
      <c r="GQ159" s="168"/>
      <c r="GR159" s="168"/>
      <c r="GS159" s="168"/>
      <c r="GT159" s="168"/>
      <c r="GU159" s="168"/>
      <c r="GV159" s="168"/>
      <c r="GW159" s="168"/>
      <c r="GX159" s="168"/>
      <c r="GY159" s="168"/>
      <c r="GZ159" s="168"/>
      <c r="HA159" s="168"/>
      <c r="HB159" s="168"/>
      <c r="HC159" s="168"/>
      <c r="HD159" s="168"/>
      <c r="HE159" s="168"/>
      <c r="HF159" s="168"/>
      <c r="HG159" s="168"/>
      <c r="HH159" s="168"/>
      <c r="HI159" s="168"/>
      <c r="HJ159" s="168"/>
      <c r="HK159" s="168"/>
      <c r="HL159" s="168"/>
      <c r="HM159" s="168"/>
      <c r="HN159" s="168"/>
      <c r="HO159" s="168"/>
      <c r="HP159" s="168"/>
      <c r="HQ159" s="168"/>
      <c r="HR159" s="168"/>
      <c r="HS159" s="168"/>
      <c r="HT159" s="168"/>
      <c r="HU159" s="168"/>
      <c r="HV159" s="168"/>
      <c r="HW159" s="168"/>
      <c r="HX159" s="168"/>
      <c r="HY159" s="168"/>
      <c r="HZ159" s="168"/>
      <c r="IA159" s="168"/>
      <c r="IB159" s="168"/>
      <c r="IC159" s="168"/>
      <c r="ID159" s="168"/>
      <c r="IE159" s="168"/>
      <c r="IF159" s="168"/>
      <c r="IG159" s="168"/>
      <c r="IH159" s="168"/>
      <c r="II159" s="168"/>
      <c r="IJ159" s="168"/>
      <c r="IK159" s="168"/>
      <c r="IL159" s="168"/>
      <c r="IM159" s="168"/>
      <c r="IN159" s="168"/>
      <c r="IO159" s="168"/>
      <c r="IP159" s="168"/>
      <c r="IQ159" s="168"/>
      <c r="IR159" s="168"/>
      <c r="IS159" s="168"/>
      <c r="IT159" s="168"/>
      <c r="IU159" s="168"/>
      <c r="IV159" s="168"/>
      <c r="IW159" s="168"/>
      <c r="IX159" s="168"/>
      <c r="IY159" s="168"/>
      <c r="IZ159" s="168"/>
      <c r="JA159" s="168"/>
      <c r="JB159" s="168"/>
      <c r="JC159" s="606"/>
      <c r="JD159" s="609"/>
      <c r="JE159" s="1"/>
      <c r="JF159" s="1"/>
    </row>
    <row r="160" spans="1:266" s="2" customFormat="1" ht="15" customHeight="1" x14ac:dyDescent="0.25">
      <c r="A160" s="283"/>
      <c r="B160" s="303"/>
      <c r="C160" s="301"/>
      <c r="D160" s="638"/>
      <c r="E160" s="2298"/>
      <c r="F160" s="1812"/>
      <c r="G160" s="3342"/>
      <c r="H160" s="66"/>
      <c r="I160" s="1746"/>
      <c r="J160" s="86"/>
      <c r="K160" s="105"/>
      <c r="L160" s="91"/>
      <c r="M160" s="92"/>
      <c r="N160" s="93"/>
      <c r="O160" s="94"/>
      <c r="P160" s="96"/>
      <c r="Q160" s="95"/>
      <c r="R160" s="993">
        <f t="shared" si="198"/>
        <v>0</v>
      </c>
      <c r="S160" s="23">
        <f t="shared" si="214"/>
        <v>0</v>
      </c>
      <c r="T160" s="24">
        <f t="shared" si="215"/>
        <v>0</v>
      </c>
      <c r="U160" s="24">
        <f t="shared" si="199"/>
        <v>0</v>
      </c>
      <c r="V160" s="24">
        <f t="shared" si="216"/>
        <v>0</v>
      </c>
      <c r="W160" s="24">
        <f t="shared" si="217"/>
        <v>0</v>
      </c>
      <c r="X160" s="72">
        <f t="shared" si="218"/>
        <v>0</v>
      </c>
      <c r="Y160" s="72">
        <f t="shared" si="219"/>
        <v>0</v>
      </c>
      <c r="Z160" s="24">
        <f t="shared" si="200"/>
        <v>0</v>
      </c>
      <c r="AA160" s="72">
        <f t="shared" si="220"/>
        <v>0</v>
      </c>
      <c r="AB160" s="24">
        <f t="shared" si="221"/>
        <v>0</v>
      </c>
      <c r="AC160" s="24" t="s">
        <v>5</v>
      </c>
      <c r="AD160" s="25">
        <f t="shared" si="201"/>
        <v>3</v>
      </c>
      <c r="AE160" s="25">
        <f t="shared" si="202"/>
        <v>0</v>
      </c>
      <c r="AF160" s="25">
        <f t="shared" si="203"/>
        <v>0</v>
      </c>
      <c r="AG160" s="25">
        <f t="shared" si="222"/>
        <v>1</v>
      </c>
      <c r="AH160" s="25" t="str">
        <f>IFERROR(MATCH(DY160,'2 Staff List'!$IA$64:$IA$114,0),"x")</f>
        <v>x</v>
      </c>
      <c r="AI160" s="1181">
        <f>IFERROR(INDEX('2 Staff List'!$EX$64:$EX$114,$AH160),0)</f>
        <v>0</v>
      </c>
      <c r="AJ160" s="25">
        <f>IFERROR(INDEX('2 Staff List'!$IW$64:$IW$114,$AH160),0)</f>
        <v>0</v>
      </c>
      <c r="AK160" s="25">
        <f>IFERROR(INDEX('2 Staff List'!$IB$64:$IB$114,$AH160),0)</f>
        <v>0</v>
      </c>
      <c r="AL160" s="25">
        <f>IF(OR(NOT(ISBLANK(DV160)),CX160=1),"&lt;Non-Labor&gt;",IFERROR(IF(AH160=0,0,INDEX('2 Staff List'!$HZ$64:$HZ$114,$AH160)),0))</f>
        <v>0</v>
      </c>
      <c r="AM160" s="25">
        <f>IFERROR(INDEX('2 Staff List'!$HW$64:$HW$114,$AH160),0)</f>
        <v>0</v>
      </c>
      <c r="AN160" s="25">
        <f t="shared" si="223"/>
        <v>1</v>
      </c>
      <c r="AO160" s="25">
        <f>IF($AO$127=0,0,IFERROR(INDEX('2 Staff List'!$JH$64:$JH$114,$AH160),0))</f>
        <v>0</v>
      </c>
      <c r="AP160" s="25">
        <f>IFERROR(INDEX('2 Staff List'!$HU$64:$HU$114,$AH160),0)</f>
        <v>0</v>
      </c>
      <c r="AQ160" s="25">
        <f t="shared" si="224"/>
        <v>0</v>
      </c>
      <c r="AR160" s="25">
        <f t="shared" si="225"/>
        <v>0</v>
      </c>
      <c r="AS160" s="25">
        <f t="shared" si="226"/>
        <v>0</v>
      </c>
      <c r="AT160" s="25">
        <f t="shared" si="227"/>
        <v>0</v>
      </c>
      <c r="AU160" s="25">
        <f t="shared" si="228"/>
        <v>0</v>
      </c>
      <c r="AV160" s="25">
        <f t="shared" si="229"/>
        <v>0</v>
      </c>
      <c r="AW160" s="25">
        <f t="shared" si="230"/>
        <v>0</v>
      </c>
      <c r="AX160" s="25">
        <f t="shared" si="231"/>
        <v>0</v>
      </c>
      <c r="AY160" s="25">
        <f t="shared" si="232"/>
        <v>0</v>
      </c>
      <c r="AZ160" s="25">
        <f t="shared" si="233"/>
        <v>0</v>
      </c>
      <c r="BA160" s="25">
        <f t="shared" si="234"/>
        <v>0</v>
      </c>
      <c r="BB160" s="25">
        <f t="shared" si="235"/>
        <v>0</v>
      </c>
      <c r="BC160" s="25">
        <f>IFERROR(INDEX('2 Staff List'!KS$64:KS$114,$AH160),0)</f>
        <v>0</v>
      </c>
      <c r="BD160" s="25">
        <f>IFERROR(INDEX('2 Staff List'!KT$64:KT$114,$AH160),0)</f>
        <v>0</v>
      </c>
      <c r="BE160" s="25">
        <f>IFERROR(INDEX('2 Staff List'!KU$64:KU$114,$AH160),0)</f>
        <v>0</v>
      </c>
      <c r="BF160" s="25">
        <f>IFERROR(INDEX('2 Staff List'!KV$64:KV$114,$AH160),0)</f>
        <v>0</v>
      </c>
      <c r="BG160" s="25">
        <f>IFERROR(INDEX('2 Staff List'!KW$64:KW$114,$AH160),0)</f>
        <v>0</v>
      </c>
      <c r="BH160" s="25">
        <f>IFERROR(INDEX('2 Staff List'!KX$64:KX$114,$AH160),0)</f>
        <v>0</v>
      </c>
      <c r="BI160" s="25">
        <f>IFERROR(INDEX('2 Staff List'!KY$64:KY$114,$AH160),0)</f>
        <v>0</v>
      </c>
      <c r="BJ160" s="25">
        <f>IFERROR(INDEX('2 Staff List'!KZ$64:KZ$114,$AH160),0)</f>
        <v>0</v>
      </c>
      <c r="BK160" s="25">
        <f>IFERROR(INDEX('2 Staff List'!LA$64:LA$114,$AH160),0)</f>
        <v>0</v>
      </c>
      <c r="BL160" s="25">
        <f>IFERROR(INDEX('2 Staff List'!LB$64:LB$114,$AH160),0)</f>
        <v>0</v>
      </c>
      <c r="BM160" s="25">
        <f>IFERROR(INDEX('2 Staff List'!FT$64:FT$114,$AH160),0)</f>
        <v>0</v>
      </c>
      <c r="BN160" s="25">
        <f>IFERROR(INDEX('2 Staff List'!FU$64:FU$114,$AH160),0)</f>
        <v>0</v>
      </c>
      <c r="BO160" s="25">
        <f>IFERROR(INDEX('2 Staff List'!FV$64:FV$114,$AH160),0)</f>
        <v>0</v>
      </c>
      <c r="BP160" s="25">
        <f>IFERROR(INDEX('2 Staff List'!FW$64:FW$114,$AH160),0)</f>
        <v>0</v>
      </c>
      <c r="BQ160" s="25">
        <f>IFERROR(INDEX('2 Staff List'!FX$64:FX$114,$AH160),0)</f>
        <v>0</v>
      </c>
      <c r="BR160" s="25">
        <f>IFERROR(INDEX('2 Staff List'!FY$64:FY$114,$AH160),0)</f>
        <v>0</v>
      </c>
      <c r="BS160" s="25">
        <f>IFERROR(INDEX('2 Staff List'!FZ$64:FZ$114,$AH160),0)</f>
        <v>0</v>
      </c>
      <c r="BT160" s="25">
        <f>IFERROR(INDEX('2 Staff List'!GA$64:GA$114,$AH160),0)</f>
        <v>0</v>
      </c>
      <c r="BU160" s="25">
        <f>IFERROR(INDEX('2 Staff List'!GB$64:GB$114,$AH160),0)</f>
        <v>0</v>
      </c>
      <c r="BV160" s="25">
        <f>IFERROR(INDEX('2 Staff List'!GC$64:GC$114,$AH160),0)</f>
        <v>0</v>
      </c>
      <c r="BW160" s="25">
        <f t="shared" si="236"/>
        <v>0</v>
      </c>
      <c r="BX160" s="25">
        <f t="shared" si="237"/>
        <v>0</v>
      </c>
      <c r="BY160" s="25">
        <f t="shared" si="238"/>
        <v>0</v>
      </c>
      <c r="BZ160" s="25">
        <f t="shared" si="239"/>
        <v>0</v>
      </c>
      <c r="CA160" s="25">
        <f t="shared" si="240"/>
        <v>0</v>
      </c>
      <c r="CB160" s="25">
        <f t="shared" si="241"/>
        <v>0</v>
      </c>
      <c r="CC160" s="25">
        <f t="shared" si="242"/>
        <v>0</v>
      </c>
      <c r="CD160" s="25">
        <f t="shared" si="243"/>
        <v>0</v>
      </c>
      <c r="CE160" s="25">
        <f t="shared" si="244"/>
        <v>0</v>
      </c>
      <c r="CF160" s="25">
        <f t="shared" si="245"/>
        <v>0</v>
      </c>
      <c r="CG160" s="25">
        <f t="shared" si="246"/>
        <v>0</v>
      </c>
      <c r="CH160" s="25">
        <f>IFERROR(INDEX('2 Staff List'!LO$64:LO$114,$AH160),0)</f>
        <v>0</v>
      </c>
      <c r="CI160" s="25">
        <f>IFERROR(INDEX('2 Staff List'!LP$64:LP$114,$AH160),0)</f>
        <v>0</v>
      </c>
      <c r="CJ160" s="25">
        <f>IFERROR(INDEX('2 Staff List'!LQ$64:LQ$114,$AH160),0)</f>
        <v>0</v>
      </c>
      <c r="CK160" s="25">
        <f>IFERROR(INDEX('2 Staff List'!LR$64:LR$114,$AH160),0)</f>
        <v>0</v>
      </c>
      <c r="CL160" s="25">
        <f>IFERROR(INDEX('2 Staff List'!LS$64:LS$114,$AH160),0)</f>
        <v>0</v>
      </c>
      <c r="CM160" s="25">
        <f>IFERROR(INDEX('2 Staff List'!LT$64:LT$114,$AH160),0)</f>
        <v>0</v>
      </c>
      <c r="CN160" s="25">
        <f>IFERROR(INDEX('2 Staff List'!LU$64:LU$114,$AH160),0)</f>
        <v>0</v>
      </c>
      <c r="CO160" s="25">
        <f>IFERROR(INDEX('2 Staff List'!LV$64:LV$114,$AH160),0)</f>
        <v>0</v>
      </c>
      <c r="CP160" s="25">
        <f>IFERROR(INDEX('2 Staff List'!LW$64:LW$114,$AH160),0)</f>
        <v>0</v>
      </c>
      <c r="CQ160" s="25">
        <f>IFERROR(INDEX('2 Staff List'!LX$64:LX$114,$AH160),0)</f>
        <v>0</v>
      </c>
      <c r="CR160" s="25">
        <f t="shared" si="204"/>
        <v>0</v>
      </c>
      <c r="CS160" s="25">
        <f t="shared" si="265"/>
        <v>1</v>
      </c>
      <c r="CT160" s="25">
        <f t="shared" si="248"/>
        <v>1</v>
      </c>
      <c r="CU160" s="25">
        <f t="shared" si="249"/>
        <v>1</v>
      </c>
      <c r="CV160" s="25">
        <f t="shared" si="250"/>
        <v>1</v>
      </c>
      <c r="CW160" s="25">
        <f t="shared" si="251"/>
        <v>1</v>
      </c>
      <c r="CX160" s="25">
        <f t="shared" si="252"/>
        <v>0</v>
      </c>
      <c r="CY160" s="25">
        <f t="shared" si="253"/>
        <v>0</v>
      </c>
      <c r="CZ160" s="25">
        <f t="shared" si="254"/>
        <v>0</v>
      </c>
      <c r="DA160" s="25">
        <f t="shared" si="255"/>
        <v>1</v>
      </c>
      <c r="DB160" s="25">
        <f t="shared" si="205"/>
        <v>1</v>
      </c>
      <c r="DC160" s="25">
        <f t="shared" si="256"/>
        <v>0</v>
      </c>
      <c r="DD160" s="25">
        <f>IF(OR($AD160&lt;&gt;3,F160="Exclude"),0,IF(ISERROR(MATCH($E160,'4 Sign-off'!$S$123:$X$123,0)),0,1))</f>
        <v>0</v>
      </c>
      <c r="DE160" s="25">
        <f t="shared" si="206"/>
        <v>0</v>
      </c>
      <c r="DF160" s="25">
        <f t="shared" si="257"/>
        <v>0</v>
      </c>
      <c r="DG160" s="25" t="str">
        <f t="shared" si="258"/>
        <v/>
      </c>
      <c r="DH160" s="25">
        <f t="shared" si="259"/>
        <v>0</v>
      </c>
      <c r="DI160" s="25">
        <f t="shared" si="260"/>
        <v>0</v>
      </c>
      <c r="DJ160" s="25">
        <f>IF(ISBLANK(J160),0,ISERROR(MATCH(J160,'5  Control Accounts'!$FA$29:$FA$96,0))*1)</f>
        <v>0</v>
      </c>
      <c r="DK160" s="25">
        <f t="shared" si="261"/>
        <v>0</v>
      </c>
      <c r="DL160" s="25">
        <f t="shared" si="207"/>
        <v>-1</v>
      </c>
      <c r="DM160" s="25" t="e">
        <f t="array" ref="DM160">MATCH(1,($EG160:$JD160&gt;0)*$EG$17:$JD$17,0)</f>
        <v>#N/A</v>
      </c>
      <c r="DN160" s="25" t="e">
        <f t="shared" si="208"/>
        <v>#N/A</v>
      </c>
      <c r="DO160" s="25" t="e">
        <f t="array" ref="DO160">MATCH(2,1/(EG160:JD160&gt;0))</f>
        <v>#N/A</v>
      </c>
      <c r="DP160" s="2993">
        <f t="shared" si="262"/>
        <v>0</v>
      </c>
      <c r="DQ160" s="3037">
        <f t="shared" si="263"/>
        <v>0</v>
      </c>
      <c r="DR160" s="111"/>
      <c r="DS160" s="1268">
        <f t="shared" si="266"/>
        <v>0</v>
      </c>
      <c r="DT160" s="1825"/>
      <c r="DU160" s="1826"/>
      <c r="DV160" s="1827"/>
      <c r="DW160" s="1828"/>
      <c r="DX160" s="659"/>
      <c r="DY160" s="1265"/>
      <c r="DZ160" s="1785">
        <f t="shared" si="210"/>
        <v>0</v>
      </c>
      <c r="EA160" s="1786">
        <f t="shared" si="211"/>
        <v>0</v>
      </c>
      <c r="EB160" s="1781">
        <f t="shared" si="212"/>
        <v>0</v>
      </c>
      <c r="EC160" s="1782">
        <f t="shared" si="213"/>
        <v>0</v>
      </c>
      <c r="ED160" s="1262"/>
      <c r="EE160" s="2280"/>
      <c r="EF160" s="1802"/>
      <c r="EG160" s="167"/>
      <c r="EH160" s="168"/>
      <c r="EI160" s="168"/>
      <c r="EJ160" s="168"/>
      <c r="EK160" s="168"/>
      <c r="EL160" s="168"/>
      <c r="EM160" s="168"/>
      <c r="EN160" s="168"/>
      <c r="EO160" s="168"/>
      <c r="EP160" s="168"/>
      <c r="EQ160" s="168"/>
      <c r="ER160" s="168"/>
      <c r="ES160" s="168"/>
      <c r="ET160" s="168"/>
      <c r="EU160" s="168"/>
      <c r="EV160" s="168"/>
      <c r="EW160" s="168"/>
      <c r="EX160" s="168"/>
      <c r="EY160" s="168"/>
      <c r="EZ160" s="168"/>
      <c r="FA160" s="168"/>
      <c r="FB160" s="168"/>
      <c r="FC160" s="168"/>
      <c r="FD160" s="168"/>
      <c r="FE160" s="168"/>
      <c r="FF160" s="168"/>
      <c r="FG160" s="168"/>
      <c r="FH160" s="168"/>
      <c r="FI160" s="168"/>
      <c r="FJ160" s="168"/>
      <c r="FK160" s="168"/>
      <c r="FL160" s="168"/>
      <c r="FM160" s="168"/>
      <c r="FN160" s="168"/>
      <c r="FO160" s="168"/>
      <c r="FP160" s="168"/>
      <c r="FQ160" s="168"/>
      <c r="FR160" s="168"/>
      <c r="FS160" s="168"/>
      <c r="FT160" s="168"/>
      <c r="FU160" s="168"/>
      <c r="FV160" s="168"/>
      <c r="FW160" s="168"/>
      <c r="FX160" s="168"/>
      <c r="FY160" s="168"/>
      <c r="FZ160" s="168"/>
      <c r="GA160" s="168"/>
      <c r="GB160" s="168"/>
      <c r="GC160" s="168"/>
      <c r="GD160" s="168"/>
      <c r="GE160" s="168"/>
      <c r="GF160" s="168"/>
      <c r="GG160" s="168"/>
      <c r="GH160" s="168"/>
      <c r="GI160" s="168"/>
      <c r="GJ160" s="168"/>
      <c r="GK160" s="168"/>
      <c r="GL160" s="168"/>
      <c r="GM160" s="168"/>
      <c r="GN160" s="168"/>
      <c r="GO160" s="168"/>
      <c r="GP160" s="168"/>
      <c r="GQ160" s="168"/>
      <c r="GR160" s="168"/>
      <c r="GS160" s="168"/>
      <c r="GT160" s="168"/>
      <c r="GU160" s="168"/>
      <c r="GV160" s="168"/>
      <c r="GW160" s="168"/>
      <c r="GX160" s="168"/>
      <c r="GY160" s="168"/>
      <c r="GZ160" s="168"/>
      <c r="HA160" s="168"/>
      <c r="HB160" s="168"/>
      <c r="HC160" s="168"/>
      <c r="HD160" s="168"/>
      <c r="HE160" s="168"/>
      <c r="HF160" s="168"/>
      <c r="HG160" s="168"/>
      <c r="HH160" s="168"/>
      <c r="HI160" s="168"/>
      <c r="HJ160" s="168"/>
      <c r="HK160" s="168"/>
      <c r="HL160" s="168"/>
      <c r="HM160" s="168"/>
      <c r="HN160" s="168"/>
      <c r="HO160" s="168"/>
      <c r="HP160" s="168"/>
      <c r="HQ160" s="168"/>
      <c r="HR160" s="168"/>
      <c r="HS160" s="168"/>
      <c r="HT160" s="168"/>
      <c r="HU160" s="168"/>
      <c r="HV160" s="168"/>
      <c r="HW160" s="168"/>
      <c r="HX160" s="168"/>
      <c r="HY160" s="168"/>
      <c r="HZ160" s="168"/>
      <c r="IA160" s="168"/>
      <c r="IB160" s="168"/>
      <c r="IC160" s="168"/>
      <c r="ID160" s="168"/>
      <c r="IE160" s="168"/>
      <c r="IF160" s="168"/>
      <c r="IG160" s="168"/>
      <c r="IH160" s="168"/>
      <c r="II160" s="168"/>
      <c r="IJ160" s="168"/>
      <c r="IK160" s="168"/>
      <c r="IL160" s="168"/>
      <c r="IM160" s="168"/>
      <c r="IN160" s="168"/>
      <c r="IO160" s="168"/>
      <c r="IP160" s="168"/>
      <c r="IQ160" s="168"/>
      <c r="IR160" s="168"/>
      <c r="IS160" s="168"/>
      <c r="IT160" s="168"/>
      <c r="IU160" s="168"/>
      <c r="IV160" s="168"/>
      <c r="IW160" s="168"/>
      <c r="IX160" s="168"/>
      <c r="IY160" s="168"/>
      <c r="IZ160" s="168"/>
      <c r="JA160" s="168"/>
      <c r="JB160" s="168"/>
      <c r="JC160" s="606"/>
      <c r="JD160" s="609"/>
      <c r="JE160" s="1"/>
      <c r="JF160" s="1"/>
    </row>
    <row r="161" spans="1:266" s="2" customFormat="1" ht="15" customHeight="1" x14ac:dyDescent="0.25">
      <c r="A161" s="283"/>
      <c r="B161" s="303"/>
      <c r="C161" s="301"/>
      <c r="D161" s="638"/>
      <c r="E161" s="2298"/>
      <c r="F161" s="1812"/>
      <c r="G161" s="3342"/>
      <c r="H161" s="66"/>
      <c r="I161" s="1746"/>
      <c r="J161" s="86"/>
      <c r="K161" s="105"/>
      <c r="L161" s="91"/>
      <c r="M161" s="92"/>
      <c r="N161" s="93"/>
      <c r="O161" s="94"/>
      <c r="P161" s="96"/>
      <c r="Q161" s="95"/>
      <c r="R161" s="993">
        <f t="shared" ref="R161:R192" si="267">CHOOSE(AD161,SUMIFS($T$129:$T$304,$AE$129:$AE$304,AE161,$AD$129:$AD$304,3,$DF$129:$DF$304,1,$AG$129:$AG$304,1),SUMIFS($T$129:$T$304,$AF$129:$AF$304,AF161,$AD$129:$AD$304,3,$DF$129:$DF$304,1,$AG$129:$AG$304,1),T161+U161)</f>
        <v>0</v>
      </c>
      <c r="S161" s="23">
        <f t="shared" si="214"/>
        <v>0</v>
      </c>
      <c r="T161" s="24">
        <f t="shared" si="215"/>
        <v>0</v>
      </c>
      <c r="U161" s="24">
        <f t="shared" si="199"/>
        <v>0</v>
      </c>
      <c r="V161" s="24">
        <f t="shared" si="216"/>
        <v>0</v>
      </c>
      <c r="W161" s="24">
        <f t="shared" si="217"/>
        <v>0</v>
      </c>
      <c r="X161" s="72">
        <f t="shared" si="218"/>
        <v>0</v>
      </c>
      <c r="Y161" s="72">
        <f t="shared" si="219"/>
        <v>0</v>
      </c>
      <c r="Z161" s="24">
        <f t="shared" ref="Z161:Z192" si="268">IF($AD161=3,SUMPRODUCT(AS161:BB161,BC161:BL161),0)</f>
        <v>0</v>
      </c>
      <c r="AA161" s="72">
        <f t="shared" si="220"/>
        <v>0</v>
      </c>
      <c r="AB161" s="24">
        <f t="shared" si="221"/>
        <v>0</v>
      </c>
      <c r="AC161" s="24" t="s">
        <v>5</v>
      </c>
      <c r="AD161" s="25">
        <f t="shared" ref="AD161:AD192" si="269">IF(N161="",3,IF(AND(L161&gt;0,M161&gt;0),2,1))</f>
        <v>3</v>
      </c>
      <c r="AE161" s="25">
        <f t="shared" ref="AE161:AE192" si="270">IF(AND(ISNUMBER(VALUE(L161)),RIGHT(L161,1)="0"),(L161+0.00001),L161)</f>
        <v>0</v>
      </c>
      <c r="AF161" s="25">
        <f t="shared" ref="AF161:AF192" si="271">IF(AND(ISNUMBER(VALUE(M161)),RIGHT(M161,1)="0"),(M161+0.00001),M161)</f>
        <v>0</v>
      </c>
      <c r="AG161" s="25">
        <f t="shared" si="222"/>
        <v>1</v>
      </c>
      <c r="AH161" s="25" t="str">
        <f>IFERROR(MATCH(DY161,'2 Staff List'!$IA$64:$IA$114,0),"x")</f>
        <v>x</v>
      </c>
      <c r="AI161" s="1181">
        <f>IFERROR(INDEX('2 Staff List'!$EX$64:$EX$114,$AH161),0)</f>
        <v>0</v>
      </c>
      <c r="AJ161" s="25">
        <f>IFERROR(INDEX('2 Staff List'!$IW$64:$IW$114,$AH161),0)</f>
        <v>0</v>
      </c>
      <c r="AK161" s="25">
        <f>IFERROR(INDEX('2 Staff List'!$IB$64:$IB$114,$AH161),0)</f>
        <v>0</v>
      </c>
      <c r="AL161" s="25">
        <f>IF(OR(NOT(ISBLANK(DV161)),CX161=1),"&lt;Non-Labor&gt;",IFERROR(IF(AH161=0,0,INDEX('2 Staff List'!$HZ$64:$HZ$114,$AH161)),0))</f>
        <v>0</v>
      </c>
      <c r="AM161" s="25">
        <f>IFERROR(INDEX('2 Staff List'!$HW$64:$HW$114,$AH161),0)</f>
        <v>0</v>
      </c>
      <c r="AN161" s="25">
        <f t="shared" si="223"/>
        <v>1</v>
      </c>
      <c r="AO161" s="25">
        <f>IF($AO$127=0,0,IFERROR(INDEX('2 Staff List'!$JH$64:$JH$114,$AH161),0))</f>
        <v>0</v>
      </c>
      <c r="AP161" s="25">
        <f>IFERROR(INDEX('2 Staff List'!$HU$64:$HU$114,$AH161),0)</f>
        <v>0</v>
      </c>
      <c r="AQ161" s="25">
        <f t="shared" si="224"/>
        <v>0</v>
      </c>
      <c r="AR161" s="25">
        <f t="shared" si="225"/>
        <v>0</v>
      </c>
      <c r="AS161" s="25">
        <f t="shared" si="226"/>
        <v>0</v>
      </c>
      <c r="AT161" s="25">
        <f t="shared" si="227"/>
        <v>0</v>
      </c>
      <c r="AU161" s="25">
        <f t="shared" si="228"/>
        <v>0</v>
      </c>
      <c r="AV161" s="25">
        <f t="shared" si="229"/>
        <v>0</v>
      </c>
      <c r="AW161" s="25">
        <f t="shared" si="230"/>
        <v>0</v>
      </c>
      <c r="AX161" s="25">
        <f t="shared" si="231"/>
        <v>0</v>
      </c>
      <c r="AY161" s="25">
        <f t="shared" si="232"/>
        <v>0</v>
      </c>
      <c r="AZ161" s="25">
        <f t="shared" si="233"/>
        <v>0</v>
      </c>
      <c r="BA161" s="25">
        <f t="shared" si="234"/>
        <v>0</v>
      </c>
      <c r="BB161" s="25">
        <f t="shared" si="235"/>
        <v>0</v>
      </c>
      <c r="BC161" s="25">
        <f>IFERROR(INDEX('2 Staff List'!KS$64:KS$114,$AH161),0)</f>
        <v>0</v>
      </c>
      <c r="BD161" s="25">
        <f>IFERROR(INDEX('2 Staff List'!KT$64:KT$114,$AH161),0)</f>
        <v>0</v>
      </c>
      <c r="BE161" s="25">
        <f>IFERROR(INDEX('2 Staff List'!KU$64:KU$114,$AH161),0)</f>
        <v>0</v>
      </c>
      <c r="BF161" s="25">
        <f>IFERROR(INDEX('2 Staff List'!KV$64:KV$114,$AH161),0)</f>
        <v>0</v>
      </c>
      <c r="BG161" s="25">
        <f>IFERROR(INDEX('2 Staff List'!KW$64:KW$114,$AH161),0)</f>
        <v>0</v>
      </c>
      <c r="BH161" s="25">
        <f>IFERROR(INDEX('2 Staff List'!KX$64:KX$114,$AH161),0)</f>
        <v>0</v>
      </c>
      <c r="BI161" s="25">
        <f>IFERROR(INDEX('2 Staff List'!KY$64:KY$114,$AH161),0)</f>
        <v>0</v>
      </c>
      <c r="BJ161" s="25">
        <f>IFERROR(INDEX('2 Staff List'!KZ$64:KZ$114,$AH161),0)</f>
        <v>0</v>
      </c>
      <c r="BK161" s="25">
        <f>IFERROR(INDEX('2 Staff List'!LA$64:LA$114,$AH161),0)</f>
        <v>0</v>
      </c>
      <c r="BL161" s="25">
        <f>IFERROR(INDEX('2 Staff List'!LB$64:LB$114,$AH161),0)</f>
        <v>0</v>
      </c>
      <c r="BM161" s="25">
        <f>IFERROR(INDEX('2 Staff List'!FT$64:FT$114,$AH161),0)</f>
        <v>0</v>
      </c>
      <c r="BN161" s="25">
        <f>IFERROR(INDEX('2 Staff List'!FU$64:FU$114,$AH161),0)</f>
        <v>0</v>
      </c>
      <c r="BO161" s="25">
        <f>IFERROR(INDEX('2 Staff List'!FV$64:FV$114,$AH161),0)</f>
        <v>0</v>
      </c>
      <c r="BP161" s="25">
        <f>IFERROR(INDEX('2 Staff List'!FW$64:FW$114,$AH161),0)</f>
        <v>0</v>
      </c>
      <c r="BQ161" s="25">
        <f>IFERROR(INDEX('2 Staff List'!FX$64:FX$114,$AH161),0)</f>
        <v>0</v>
      </c>
      <c r="BR161" s="25">
        <f>IFERROR(INDEX('2 Staff List'!FY$64:FY$114,$AH161),0)</f>
        <v>0</v>
      </c>
      <c r="BS161" s="25">
        <f>IFERROR(INDEX('2 Staff List'!FZ$64:FZ$114,$AH161),0)</f>
        <v>0</v>
      </c>
      <c r="BT161" s="25">
        <f>IFERROR(INDEX('2 Staff List'!GA$64:GA$114,$AH161),0)</f>
        <v>0</v>
      </c>
      <c r="BU161" s="25">
        <f>IFERROR(INDEX('2 Staff List'!GB$64:GB$114,$AH161),0)</f>
        <v>0</v>
      </c>
      <c r="BV161" s="25">
        <f>IFERROR(INDEX('2 Staff List'!GC$64:GC$114,$AH161),0)</f>
        <v>0</v>
      </c>
      <c r="BW161" s="25">
        <f t="shared" si="236"/>
        <v>0</v>
      </c>
      <c r="BX161" s="25">
        <f t="shared" si="237"/>
        <v>0</v>
      </c>
      <c r="BY161" s="25">
        <f t="shared" si="238"/>
        <v>0</v>
      </c>
      <c r="BZ161" s="25">
        <f t="shared" si="239"/>
        <v>0</v>
      </c>
      <c r="CA161" s="25">
        <f t="shared" si="240"/>
        <v>0</v>
      </c>
      <c r="CB161" s="25">
        <f t="shared" si="241"/>
        <v>0</v>
      </c>
      <c r="CC161" s="25">
        <f t="shared" si="242"/>
        <v>0</v>
      </c>
      <c r="CD161" s="25">
        <f t="shared" si="243"/>
        <v>0</v>
      </c>
      <c r="CE161" s="25">
        <f t="shared" si="244"/>
        <v>0</v>
      </c>
      <c r="CF161" s="25">
        <f t="shared" si="245"/>
        <v>0</v>
      </c>
      <c r="CG161" s="25">
        <f t="shared" si="246"/>
        <v>0</v>
      </c>
      <c r="CH161" s="25">
        <f>IFERROR(INDEX('2 Staff List'!LO$64:LO$114,$AH161),0)</f>
        <v>0</v>
      </c>
      <c r="CI161" s="25">
        <f>IFERROR(INDEX('2 Staff List'!LP$64:LP$114,$AH161),0)</f>
        <v>0</v>
      </c>
      <c r="CJ161" s="25">
        <f>IFERROR(INDEX('2 Staff List'!LQ$64:LQ$114,$AH161),0)</f>
        <v>0</v>
      </c>
      <c r="CK161" s="25">
        <f>IFERROR(INDEX('2 Staff List'!LR$64:LR$114,$AH161),0)</f>
        <v>0</v>
      </c>
      <c r="CL161" s="25">
        <f>IFERROR(INDEX('2 Staff List'!LS$64:LS$114,$AH161),0)</f>
        <v>0</v>
      </c>
      <c r="CM161" s="25">
        <f>IFERROR(INDEX('2 Staff List'!LT$64:LT$114,$AH161),0)</f>
        <v>0</v>
      </c>
      <c r="CN161" s="25">
        <f>IFERROR(INDEX('2 Staff List'!LU$64:LU$114,$AH161),0)</f>
        <v>0</v>
      </c>
      <c r="CO161" s="25">
        <f>IFERROR(INDEX('2 Staff List'!LV$64:LV$114,$AH161),0)</f>
        <v>0</v>
      </c>
      <c r="CP161" s="25">
        <f>IFERROR(INDEX('2 Staff List'!LW$64:LW$114,$AH161),0)</f>
        <v>0</v>
      </c>
      <c r="CQ161" s="25">
        <f>IFERROR(INDEX('2 Staff List'!LX$64:LX$114,$AH161),0)</f>
        <v>0</v>
      </c>
      <c r="CR161" s="25">
        <f t="shared" ref="CR161:CR192" si="272">IF(AD161=3,SUMPRODUCT($EG161:$JD161,$EG$17:$JD$17),0)</f>
        <v>0</v>
      </c>
      <c r="CS161" s="25">
        <f t="shared" si="265"/>
        <v>1</v>
      </c>
      <c r="CT161" s="25">
        <f t="shared" si="248"/>
        <v>1</v>
      </c>
      <c r="CU161" s="25">
        <f t="shared" si="249"/>
        <v>1</v>
      </c>
      <c r="CV161" s="25">
        <f t="shared" si="250"/>
        <v>1</v>
      </c>
      <c r="CW161" s="25">
        <f t="shared" si="251"/>
        <v>1</v>
      </c>
      <c r="CX161" s="25">
        <f t="shared" si="252"/>
        <v>0</v>
      </c>
      <c r="CY161" s="25">
        <f t="shared" si="253"/>
        <v>0</v>
      </c>
      <c r="CZ161" s="25">
        <f t="shared" si="254"/>
        <v>0</v>
      </c>
      <c r="DA161" s="25">
        <f t="shared" si="255"/>
        <v>1</v>
      </c>
      <c r="DB161" s="25">
        <f t="shared" ref="DB161:DB192" si="273">IF($AD161&lt;&gt;3,0,IF(F161="",1,0))</f>
        <v>1</v>
      </c>
      <c r="DC161" s="25">
        <f t="shared" si="256"/>
        <v>0</v>
      </c>
      <c r="DD161" s="25">
        <f>IF(OR($AD161&lt;&gt;3,F161="Exclude"),0,IF(ISERROR(MATCH($E161,'4 Sign-off'!$S$123:$X$123,0)),0,1))</f>
        <v>0</v>
      </c>
      <c r="DE161" s="25">
        <f t="shared" ref="DE161:DE192" si="274">IF($C$6&lt;&gt;"B",1,CHOOSE($DE$119,DD161,CZ161+DC161,CZ161,DC161))</f>
        <v>0</v>
      </c>
      <c r="DF161" s="25">
        <f t="shared" si="257"/>
        <v>0</v>
      </c>
      <c r="DG161" s="25" t="str">
        <f t="shared" si="258"/>
        <v/>
      </c>
      <c r="DH161" s="25">
        <f t="shared" si="259"/>
        <v>0</v>
      </c>
      <c r="DI161" s="25">
        <f t="shared" si="260"/>
        <v>0</v>
      </c>
      <c r="DJ161" s="25">
        <f>IF(ISBLANK(J161),0,ISERROR(MATCH(J161,'5  Control Accounts'!$FA$29:$FA$96,0))*1)</f>
        <v>0</v>
      </c>
      <c r="DK161" s="25">
        <f t="shared" si="261"/>
        <v>0</v>
      </c>
      <c r="DL161" s="25">
        <f t="shared" ref="DL161:DL192" si="275">IF(OR((T161+U161)&gt;0,(AA161+AB161)&gt;0),J161,-1)</f>
        <v>-1</v>
      </c>
      <c r="DM161" s="25" t="e">
        <f t="array" ref="DM161">MATCH(1,($EG161:$JD161&gt;0)*$EG$17:$JD$17,0)</f>
        <v>#N/A</v>
      </c>
      <c r="DN161" s="25" t="e">
        <f t="shared" ref="DN161:DN192" si="276">IF($C$6&lt;&gt;"F",DO161,IF(DO161&lt;$EB$17,NA(),DO161))</f>
        <v>#N/A</v>
      </c>
      <c r="DO161" s="25" t="e">
        <f t="array" ref="DO161">MATCH(2,1/(EG161:JD161&gt;0))</f>
        <v>#N/A</v>
      </c>
      <c r="DP161" s="2993">
        <f t="shared" si="262"/>
        <v>0</v>
      </c>
      <c r="DQ161" s="3037">
        <f t="shared" si="263"/>
        <v>0</v>
      </c>
      <c r="DR161" s="111"/>
      <c r="DS161" s="1268">
        <f t="shared" si="266"/>
        <v>0</v>
      </c>
      <c r="DT161" s="1825"/>
      <c r="DU161" s="1826"/>
      <c r="DV161" s="1827"/>
      <c r="DW161" s="1828"/>
      <c r="DX161" s="659"/>
      <c r="DY161" s="1265"/>
      <c r="DZ161" s="1785">
        <f t="shared" ref="DZ161:DZ192" si="277">AL161</f>
        <v>0</v>
      </c>
      <c r="EA161" s="1786">
        <f t="shared" ref="EA161:EA192" si="278">IF($AD161=3,T161+U161,0)</f>
        <v>0</v>
      </c>
      <c r="EB161" s="1781">
        <f t="shared" ref="EB161:EB192" si="279">IF(ISERROR(DM161),0,CHOOSE($DY$3,(DM161*7)+$EG$126-11,EOMONTH($EG$126,DM161-2)+1))</f>
        <v>0</v>
      </c>
      <c r="EC161" s="1782">
        <f t="shared" ref="EC161:EC192" si="280">IF(ISERROR(DN161),0,CHOOSE($DY$3,(DN161*7)+$EG$126-7,EOMONTH($EG$126,DN161-1)))</f>
        <v>0</v>
      </c>
      <c r="ED161" s="1262"/>
      <c r="EE161" s="2280"/>
      <c r="EF161" s="1802"/>
      <c r="EG161" s="167"/>
      <c r="EH161" s="168"/>
      <c r="EI161" s="168"/>
      <c r="EJ161" s="168"/>
      <c r="EK161" s="168"/>
      <c r="EL161" s="168"/>
      <c r="EM161" s="168"/>
      <c r="EN161" s="168"/>
      <c r="EO161" s="168"/>
      <c r="EP161" s="168"/>
      <c r="EQ161" s="168"/>
      <c r="ER161" s="168"/>
      <c r="ES161" s="168"/>
      <c r="ET161" s="168"/>
      <c r="EU161" s="168"/>
      <c r="EV161" s="168"/>
      <c r="EW161" s="168"/>
      <c r="EX161" s="168"/>
      <c r="EY161" s="168"/>
      <c r="EZ161" s="168"/>
      <c r="FA161" s="168"/>
      <c r="FB161" s="168"/>
      <c r="FC161" s="168"/>
      <c r="FD161" s="168"/>
      <c r="FE161" s="168"/>
      <c r="FF161" s="168"/>
      <c r="FG161" s="168"/>
      <c r="FH161" s="168"/>
      <c r="FI161" s="168"/>
      <c r="FJ161" s="168"/>
      <c r="FK161" s="168"/>
      <c r="FL161" s="168"/>
      <c r="FM161" s="168"/>
      <c r="FN161" s="168"/>
      <c r="FO161" s="168"/>
      <c r="FP161" s="168"/>
      <c r="FQ161" s="168"/>
      <c r="FR161" s="168"/>
      <c r="FS161" s="168"/>
      <c r="FT161" s="168"/>
      <c r="FU161" s="168"/>
      <c r="FV161" s="168"/>
      <c r="FW161" s="168"/>
      <c r="FX161" s="168"/>
      <c r="FY161" s="168"/>
      <c r="FZ161" s="168"/>
      <c r="GA161" s="168"/>
      <c r="GB161" s="168"/>
      <c r="GC161" s="168"/>
      <c r="GD161" s="168"/>
      <c r="GE161" s="168"/>
      <c r="GF161" s="168"/>
      <c r="GG161" s="168"/>
      <c r="GH161" s="168"/>
      <c r="GI161" s="168"/>
      <c r="GJ161" s="168"/>
      <c r="GK161" s="168"/>
      <c r="GL161" s="168"/>
      <c r="GM161" s="168"/>
      <c r="GN161" s="168"/>
      <c r="GO161" s="168"/>
      <c r="GP161" s="168"/>
      <c r="GQ161" s="168"/>
      <c r="GR161" s="168"/>
      <c r="GS161" s="168"/>
      <c r="GT161" s="168"/>
      <c r="GU161" s="168"/>
      <c r="GV161" s="168"/>
      <c r="GW161" s="168"/>
      <c r="GX161" s="168"/>
      <c r="GY161" s="168"/>
      <c r="GZ161" s="168"/>
      <c r="HA161" s="168"/>
      <c r="HB161" s="168"/>
      <c r="HC161" s="168"/>
      <c r="HD161" s="168"/>
      <c r="HE161" s="168"/>
      <c r="HF161" s="168"/>
      <c r="HG161" s="168"/>
      <c r="HH161" s="168"/>
      <c r="HI161" s="168"/>
      <c r="HJ161" s="168"/>
      <c r="HK161" s="168"/>
      <c r="HL161" s="168"/>
      <c r="HM161" s="168"/>
      <c r="HN161" s="168"/>
      <c r="HO161" s="168"/>
      <c r="HP161" s="168"/>
      <c r="HQ161" s="168"/>
      <c r="HR161" s="168"/>
      <c r="HS161" s="168"/>
      <c r="HT161" s="168"/>
      <c r="HU161" s="168"/>
      <c r="HV161" s="168"/>
      <c r="HW161" s="168"/>
      <c r="HX161" s="168"/>
      <c r="HY161" s="168"/>
      <c r="HZ161" s="168"/>
      <c r="IA161" s="168"/>
      <c r="IB161" s="168"/>
      <c r="IC161" s="168"/>
      <c r="ID161" s="168"/>
      <c r="IE161" s="168"/>
      <c r="IF161" s="168"/>
      <c r="IG161" s="168"/>
      <c r="IH161" s="168"/>
      <c r="II161" s="168"/>
      <c r="IJ161" s="168"/>
      <c r="IK161" s="168"/>
      <c r="IL161" s="168"/>
      <c r="IM161" s="168"/>
      <c r="IN161" s="168"/>
      <c r="IO161" s="168"/>
      <c r="IP161" s="168"/>
      <c r="IQ161" s="168"/>
      <c r="IR161" s="168"/>
      <c r="IS161" s="168"/>
      <c r="IT161" s="168"/>
      <c r="IU161" s="168"/>
      <c r="IV161" s="168"/>
      <c r="IW161" s="168"/>
      <c r="IX161" s="168"/>
      <c r="IY161" s="168"/>
      <c r="IZ161" s="168"/>
      <c r="JA161" s="168"/>
      <c r="JB161" s="168"/>
      <c r="JC161" s="606"/>
      <c r="JD161" s="609"/>
      <c r="JE161" s="1"/>
      <c r="JF161" s="1"/>
    </row>
    <row r="162" spans="1:266" s="2" customFormat="1" ht="15" customHeight="1" x14ac:dyDescent="0.25">
      <c r="A162" s="283"/>
      <c r="B162" s="303"/>
      <c r="C162" s="301"/>
      <c r="D162" s="638"/>
      <c r="E162" s="2298"/>
      <c r="F162" s="1812"/>
      <c r="G162" s="3342"/>
      <c r="H162" s="66"/>
      <c r="I162" s="1746"/>
      <c r="J162" s="86"/>
      <c r="K162" s="105"/>
      <c r="L162" s="91"/>
      <c r="M162" s="92"/>
      <c r="N162" s="93"/>
      <c r="O162" s="94"/>
      <c r="P162" s="96"/>
      <c r="Q162" s="95"/>
      <c r="R162" s="993">
        <f t="shared" si="267"/>
        <v>0</v>
      </c>
      <c r="S162" s="23">
        <f t="shared" si="214"/>
        <v>0</v>
      </c>
      <c r="T162" s="24">
        <f t="shared" si="215"/>
        <v>0</v>
      </c>
      <c r="U162" s="24">
        <f t="shared" si="199"/>
        <v>0</v>
      </c>
      <c r="V162" s="24">
        <f t="shared" si="216"/>
        <v>0</v>
      </c>
      <c r="W162" s="24">
        <f t="shared" si="217"/>
        <v>0</v>
      </c>
      <c r="X162" s="72">
        <f t="shared" si="218"/>
        <v>0</v>
      </c>
      <c r="Y162" s="72">
        <f t="shared" si="219"/>
        <v>0</v>
      </c>
      <c r="Z162" s="24">
        <f t="shared" si="268"/>
        <v>0</v>
      </c>
      <c r="AA162" s="72">
        <f t="shared" si="220"/>
        <v>0</v>
      </c>
      <c r="AB162" s="24">
        <f t="shared" si="221"/>
        <v>0</v>
      </c>
      <c r="AC162" s="24" t="s">
        <v>5</v>
      </c>
      <c r="AD162" s="25">
        <f t="shared" si="269"/>
        <v>3</v>
      </c>
      <c r="AE162" s="25">
        <f t="shared" si="270"/>
        <v>0</v>
      </c>
      <c r="AF162" s="25">
        <f t="shared" si="271"/>
        <v>0</v>
      </c>
      <c r="AG162" s="25">
        <f t="shared" si="222"/>
        <v>1</v>
      </c>
      <c r="AH162" s="25" t="str">
        <f>IFERROR(MATCH(DY162,'2 Staff List'!$IA$64:$IA$114,0),"x")</f>
        <v>x</v>
      </c>
      <c r="AI162" s="1181">
        <f>IFERROR(INDEX('2 Staff List'!$EX$64:$EX$114,$AH162),0)</f>
        <v>0</v>
      </c>
      <c r="AJ162" s="25">
        <f>IFERROR(INDEX('2 Staff List'!$IW$64:$IW$114,$AH162),0)</f>
        <v>0</v>
      </c>
      <c r="AK162" s="25">
        <f>IFERROR(INDEX('2 Staff List'!$IB$64:$IB$114,$AH162),0)</f>
        <v>0</v>
      </c>
      <c r="AL162" s="25">
        <f>IF(OR(NOT(ISBLANK(DV162)),CX162=1),"&lt;Non-Labor&gt;",IFERROR(IF(AH162=0,0,INDEX('2 Staff List'!$HZ$64:$HZ$114,$AH162)),0))</f>
        <v>0</v>
      </c>
      <c r="AM162" s="25">
        <f>IFERROR(INDEX('2 Staff List'!$HW$64:$HW$114,$AH162),0)</f>
        <v>0</v>
      </c>
      <c r="AN162" s="25">
        <f t="shared" si="223"/>
        <v>1</v>
      </c>
      <c r="AO162" s="25">
        <f>IF($AO$127=0,0,IFERROR(INDEX('2 Staff List'!$JH$64:$JH$114,$AH162),0))</f>
        <v>0</v>
      </c>
      <c r="AP162" s="25">
        <f>IFERROR(INDEX('2 Staff List'!$HU$64:$HU$114,$AH162),0)</f>
        <v>0</v>
      </c>
      <c r="AQ162" s="25">
        <f t="shared" si="224"/>
        <v>0</v>
      </c>
      <c r="AR162" s="25">
        <f t="shared" si="225"/>
        <v>0</v>
      </c>
      <c r="AS162" s="25">
        <f t="shared" si="226"/>
        <v>0</v>
      </c>
      <c r="AT162" s="25">
        <f t="shared" si="227"/>
        <v>0</v>
      </c>
      <c r="AU162" s="25">
        <f t="shared" si="228"/>
        <v>0</v>
      </c>
      <c r="AV162" s="25">
        <f t="shared" si="229"/>
        <v>0</v>
      </c>
      <c r="AW162" s="25">
        <f t="shared" si="230"/>
        <v>0</v>
      </c>
      <c r="AX162" s="25">
        <f t="shared" si="231"/>
        <v>0</v>
      </c>
      <c r="AY162" s="25">
        <f t="shared" si="232"/>
        <v>0</v>
      </c>
      <c r="AZ162" s="25">
        <f t="shared" si="233"/>
        <v>0</v>
      </c>
      <c r="BA162" s="25">
        <f t="shared" si="234"/>
        <v>0</v>
      </c>
      <c r="BB162" s="25">
        <f t="shared" si="235"/>
        <v>0</v>
      </c>
      <c r="BC162" s="25">
        <f>IFERROR(INDEX('2 Staff List'!KS$64:KS$114,$AH162),0)</f>
        <v>0</v>
      </c>
      <c r="BD162" s="25">
        <f>IFERROR(INDEX('2 Staff List'!KT$64:KT$114,$AH162),0)</f>
        <v>0</v>
      </c>
      <c r="BE162" s="25">
        <f>IFERROR(INDEX('2 Staff List'!KU$64:KU$114,$AH162),0)</f>
        <v>0</v>
      </c>
      <c r="BF162" s="25">
        <f>IFERROR(INDEX('2 Staff List'!KV$64:KV$114,$AH162),0)</f>
        <v>0</v>
      </c>
      <c r="BG162" s="25">
        <f>IFERROR(INDEX('2 Staff List'!KW$64:KW$114,$AH162),0)</f>
        <v>0</v>
      </c>
      <c r="BH162" s="25">
        <f>IFERROR(INDEX('2 Staff List'!KX$64:KX$114,$AH162),0)</f>
        <v>0</v>
      </c>
      <c r="BI162" s="25">
        <f>IFERROR(INDEX('2 Staff List'!KY$64:KY$114,$AH162),0)</f>
        <v>0</v>
      </c>
      <c r="BJ162" s="25">
        <f>IFERROR(INDEX('2 Staff List'!KZ$64:KZ$114,$AH162),0)</f>
        <v>0</v>
      </c>
      <c r="BK162" s="25">
        <f>IFERROR(INDEX('2 Staff List'!LA$64:LA$114,$AH162),0)</f>
        <v>0</v>
      </c>
      <c r="BL162" s="25">
        <f>IFERROR(INDEX('2 Staff List'!LB$64:LB$114,$AH162),0)</f>
        <v>0</v>
      </c>
      <c r="BM162" s="25">
        <f>IFERROR(INDEX('2 Staff List'!FT$64:FT$114,$AH162),0)</f>
        <v>0</v>
      </c>
      <c r="BN162" s="25">
        <f>IFERROR(INDEX('2 Staff List'!FU$64:FU$114,$AH162),0)</f>
        <v>0</v>
      </c>
      <c r="BO162" s="25">
        <f>IFERROR(INDEX('2 Staff List'!FV$64:FV$114,$AH162),0)</f>
        <v>0</v>
      </c>
      <c r="BP162" s="25">
        <f>IFERROR(INDEX('2 Staff List'!FW$64:FW$114,$AH162),0)</f>
        <v>0</v>
      </c>
      <c r="BQ162" s="25">
        <f>IFERROR(INDEX('2 Staff List'!FX$64:FX$114,$AH162),0)</f>
        <v>0</v>
      </c>
      <c r="BR162" s="25">
        <f>IFERROR(INDEX('2 Staff List'!FY$64:FY$114,$AH162),0)</f>
        <v>0</v>
      </c>
      <c r="BS162" s="25">
        <f>IFERROR(INDEX('2 Staff List'!FZ$64:FZ$114,$AH162),0)</f>
        <v>0</v>
      </c>
      <c r="BT162" s="25">
        <f>IFERROR(INDEX('2 Staff List'!GA$64:GA$114,$AH162),0)</f>
        <v>0</v>
      </c>
      <c r="BU162" s="25">
        <f>IFERROR(INDEX('2 Staff List'!GB$64:GB$114,$AH162),0)</f>
        <v>0</v>
      </c>
      <c r="BV162" s="25">
        <f>IFERROR(INDEX('2 Staff List'!GC$64:GC$114,$AH162),0)</f>
        <v>0</v>
      </c>
      <c r="BW162" s="25">
        <f t="shared" si="236"/>
        <v>0</v>
      </c>
      <c r="BX162" s="25">
        <f t="shared" si="237"/>
        <v>0</v>
      </c>
      <c r="BY162" s="25">
        <f t="shared" si="238"/>
        <v>0</v>
      </c>
      <c r="BZ162" s="25">
        <f t="shared" si="239"/>
        <v>0</v>
      </c>
      <c r="CA162" s="25">
        <f t="shared" si="240"/>
        <v>0</v>
      </c>
      <c r="CB162" s="25">
        <f t="shared" si="241"/>
        <v>0</v>
      </c>
      <c r="CC162" s="25">
        <f t="shared" si="242"/>
        <v>0</v>
      </c>
      <c r="CD162" s="25">
        <f t="shared" si="243"/>
        <v>0</v>
      </c>
      <c r="CE162" s="25">
        <f t="shared" si="244"/>
        <v>0</v>
      </c>
      <c r="CF162" s="25">
        <f t="shared" si="245"/>
        <v>0</v>
      </c>
      <c r="CG162" s="25">
        <f t="shared" si="246"/>
        <v>0</v>
      </c>
      <c r="CH162" s="25">
        <f>IFERROR(INDEX('2 Staff List'!LO$64:LO$114,$AH162),0)</f>
        <v>0</v>
      </c>
      <c r="CI162" s="25">
        <f>IFERROR(INDEX('2 Staff List'!LP$64:LP$114,$AH162),0)</f>
        <v>0</v>
      </c>
      <c r="CJ162" s="25">
        <f>IFERROR(INDEX('2 Staff List'!LQ$64:LQ$114,$AH162),0)</f>
        <v>0</v>
      </c>
      <c r="CK162" s="25">
        <f>IFERROR(INDEX('2 Staff List'!LR$64:LR$114,$AH162),0)</f>
        <v>0</v>
      </c>
      <c r="CL162" s="25">
        <f>IFERROR(INDEX('2 Staff List'!LS$64:LS$114,$AH162),0)</f>
        <v>0</v>
      </c>
      <c r="CM162" s="25">
        <f>IFERROR(INDEX('2 Staff List'!LT$64:LT$114,$AH162),0)</f>
        <v>0</v>
      </c>
      <c r="CN162" s="25">
        <f>IFERROR(INDEX('2 Staff List'!LU$64:LU$114,$AH162),0)</f>
        <v>0</v>
      </c>
      <c r="CO162" s="25">
        <f>IFERROR(INDEX('2 Staff List'!LV$64:LV$114,$AH162),0)</f>
        <v>0</v>
      </c>
      <c r="CP162" s="25">
        <f>IFERROR(INDEX('2 Staff List'!LW$64:LW$114,$AH162),0)</f>
        <v>0</v>
      </c>
      <c r="CQ162" s="25">
        <f>IFERROR(INDEX('2 Staff List'!LX$64:LX$114,$AH162),0)</f>
        <v>0</v>
      </c>
      <c r="CR162" s="25">
        <f t="shared" si="272"/>
        <v>0</v>
      </c>
      <c r="CS162" s="25">
        <f t="shared" si="265"/>
        <v>1</v>
      </c>
      <c r="CT162" s="25">
        <f t="shared" si="248"/>
        <v>1</v>
      </c>
      <c r="CU162" s="25">
        <f t="shared" si="249"/>
        <v>1</v>
      </c>
      <c r="CV162" s="25">
        <f t="shared" si="250"/>
        <v>1</v>
      </c>
      <c r="CW162" s="25">
        <f t="shared" si="251"/>
        <v>1</v>
      </c>
      <c r="CX162" s="25">
        <f t="shared" si="252"/>
        <v>0</v>
      </c>
      <c r="CY162" s="25">
        <f t="shared" si="253"/>
        <v>0</v>
      </c>
      <c r="CZ162" s="25">
        <f t="shared" si="254"/>
        <v>0</v>
      </c>
      <c r="DA162" s="25">
        <f t="shared" si="255"/>
        <v>1</v>
      </c>
      <c r="DB162" s="25">
        <f t="shared" si="273"/>
        <v>1</v>
      </c>
      <c r="DC162" s="25">
        <f t="shared" si="256"/>
        <v>0</v>
      </c>
      <c r="DD162" s="25">
        <f>IF(OR($AD162&lt;&gt;3,F162="Exclude"),0,IF(ISERROR(MATCH($E162,'4 Sign-off'!$S$123:$X$123,0)),0,1))</f>
        <v>0</v>
      </c>
      <c r="DE162" s="25">
        <f t="shared" si="274"/>
        <v>0</v>
      </c>
      <c r="DF162" s="25">
        <f t="shared" si="257"/>
        <v>0</v>
      </c>
      <c r="DG162" s="25" t="str">
        <f t="shared" si="258"/>
        <v/>
      </c>
      <c r="DH162" s="25">
        <f t="shared" si="259"/>
        <v>0</v>
      </c>
      <c r="DI162" s="25">
        <f t="shared" si="260"/>
        <v>0</v>
      </c>
      <c r="DJ162" s="25">
        <f>IF(ISBLANK(J162),0,ISERROR(MATCH(J162,'5  Control Accounts'!$FA$29:$FA$96,0))*1)</f>
        <v>0</v>
      </c>
      <c r="DK162" s="25">
        <f t="shared" si="261"/>
        <v>0</v>
      </c>
      <c r="DL162" s="25">
        <f t="shared" si="275"/>
        <v>-1</v>
      </c>
      <c r="DM162" s="25" t="e">
        <f t="array" ref="DM162">MATCH(1,($EG162:$JD162&gt;0)*$EG$17:$JD$17,0)</f>
        <v>#N/A</v>
      </c>
      <c r="DN162" s="25" t="e">
        <f t="shared" si="276"/>
        <v>#N/A</v>
      </c>
      <c r="DO162" s="25" t="e">
        <f t="array" ref="DO162">MATCH(2,1/(EG162:JD162&gt;0))</f>
        <v>#N/A</v>
      </c>
      <c r="DP162" s="2993">
        <f t="shared" si="262"/>
        <v>0</v>
      </c>
      <c r="DQ162" s="3037">
        <f t="shared" si="263"/>
        <v>0</v>
      </c>
      <c r="DR162" s="111"/>
      <c r="DS162" s="1268">
        <f t="shared" si="266"/>
        <v>0</v>
      </c>
      <c r="DT162" s="1825"/>
      <c r="DU162" s="1826"/>
      <c r="DV162" s="1827"/>
      <c r="DW162" s="1828"/>
      <c r="DX162" s="659"/>
      <c r="DY162" s="1265"/>
      <c r="DZ162" s="1785">
        <f t="shared" si="277"/>
        <v>0</v>
      </c>
      <c r="EA162" s="1786">
        <f t="shared" si="278"/>
        <v>0</v>
      </c>
      <c r="EB162" s="1781">
        <f t="shared" si="279"/>
        <v>0</v>
      </c>
      <c r="EC162" s="1782">
        <f t="shared" si="280"/>
        <v>0</v>
      </c>
      <c r="ED162" s="1262"/>
      <c r="EE162" s="2280"/>
      <c r="EF162" s="1802"/>
      <c r="EG162" s="167"/>
      <c r="EH162" s="168"/>
      <c r="EI162" s="168"/>
      <c r="EJ162" s="168"/>
      <c r="EK162" s="168"/>
      <c r="EL162" s="168"/>
      <c r="EM162" s="168"/>
      <c r="EN162" s="168"/>
      <c r="EO162" s="168"/>
      <c r="EP162" s="168"/>
      <c r="EQ162" s="168"/>
      <c r="ER162" s="168"/>
      <c r="ES162" s="168"/>
      <c r="ET162" s="168"/>
      <c r="EU162" s="168"/>
      <c r="EV162" s="168"/>
      <c r="EW162" s="168"/>
      <c r="EX162" s="168"/>
      <c r="EY162" s="168"/>
      <c r="EZ162" s="168"/>
      <c r="FA162" s="168"/>
      <c r="FB162" s="168"/>
      <c r="FC162" s="168"/>
      <c r="FD162" s="168"/>
      <c r="FE162" s="168"/>
      <c r="FF162" s="168"/>
      <c r="FG162" s="168"/>
      <c r="FH162" s="168"/>
      <c r="FI162" s="168"/>
      <c r="FJ162" s="168"/>
      <c r="FK162" s="168"/>
      <c r="FL162" s="168"/>
      <c r="FM162" s="168"/>
      <c r="FN162" s="168"/>
      <c r="FO162" s="168"/>
      <c r="FP162" s="168"/>
      <c r="FQ162" s="168"/>
      <c r="FR162" s="168"/>
      <c r="FS162" s="168"/>
      <c r="FT162" s="168"/>
      <c r="FU162" s="168"/>
      <c r="FV162" s="168"/>
      <c r="FW162" s="168"/>
      <c r="FX162" s="168"/>
      <c r="FY162" s="168"/>
      <c r="FZ162" s="168"/>
      <c r="GA162" s="168"/>
      <c r="GB162" s="168"/>
      <c r="GC162" s="168"/>
      <c r="GD162" s="168"/>
      <c r="GE162" s="168"/>
      <c r="GF162" s="168"/>
      <c r="GG162" s="168"/>
      <c r="GH162" s="168"/>
      <c r="GI162" s="168"/>
      <c r="GJ162" s="168"/>
      <c r="GK162" s="168"/>
      <c r="GL162" s="168"/>
      <c r="GM162" s="168"/>
      <c r="GN162" s="168"/>
      <c r="GO162" s="168"/>
      <c r="GP162" s="168"/>
      <c r="GQ162" s="168"/>
      <c r="GR162" s="168"/>
      <c r="GS162" s="168"/>
      <c r="GT162" s="168"/>
      <c r="GU162" s="168"/>
      <c r="GV162" s="168"/>
      <c r="GW162" s="168"/>
      <c r="GX162" s="168"/>
      <c r="GY162" s="168"/>
      <c r="GZ162" s="168"/>
      <c r="HA162" s="168"/>
      <c r="HB162" s="168"/>
      <c r="HC162" s="168"/>
      <c r="HD162" s="168"/>
      <c r="HE162" s="168"/>
      <c r="HF162" s="168"/>
      <c r="HG162" s="168"/>
      <c r="HH162" s="168"/>
      <c r="HI162" s="168"/>
      <c r="HJ162" s="168"/>
      <c r="HK162" s="168"/>
      <c r="HL162" s="168"/>
      <c r="HM162" s="168"/>
      <c r="HN162" s="168"/>
      <c r="HO162" s="168"/>
      <c r="HP162" s="168"/>
      <c r="HQ162" s="168"/>
      <c r="HR162" s="168"/>
      <c r="HS162" s="168"/>
      <c r="HT162" s="168"/>
      <c r="HU162" s="168"/>
      <c r="HV162" s="168"/>
      <c r="HW162" s="168"/>
      <c r="HX162" s="168"/>
      <c r="HY162" s="168"/>
      <c r="HZ162" s="168"/>
      <c r="IA162" s="168"/>
      <c r="IB162" s="168"/>
      <c r="IC162" s="168"/>
      <c r="ID162" s="168"/>
      <c r="IE162" s="168"/>
      <c r="IF162" s="168"/>
      <c r="IG162" s="168"/>
      <c r="IH162" s="168"/>
      <c r="II162" s="168"/>
      <c r="IJ162" s="168"/>
      <c r="IK162" s="168"/>
      <c r="IL162" s="168"/>
      <c r="IM162" s="168"/>
      <c r="IN162" s="168"/>
      <c r="IO162" s="168"/>
      <c r="IP162" s="168"/>
      <c r="IQ162" s="168"/>
      <c r="IR162" s="168"/>
      <c r="IS162" s="168"/>
      <c r="IT162" s="168"/>
      <c r="IU162" s="168"/>
      <c r="IV162" s="168"/>
      <c r="IW162" s="168"/>
      <c r="IX162" s="168"/>
      <c r="IY162" s="168"/>
      <c r="IZ162" s="168"/>
      <c r="JA162" s="168"/>
      <c r="JB162" s="168"/>
      <c r="JC162" s="606"/>
      <c r="JD162" s="609"/>
      <c r="JE162" s="1"/>
      <c r="JF162" s="1"/>
    </row>
    <row r="163" spans="1:266" s="2" customFormat="1" ht="15" customHeight="1" x14ac:dyDescent="0.25">
      <c r="A163" s="283"/>
      <c r="B163" s="303"/>
      <c r="C163" s="301"/>
      <c r="D163" s="638"/>
      <c r="E163" s="2298"/>
      <c r="F163" s="1812"/>
      <c r="G163" s="3342"/>
      <c r="H163" s="66"/>
      <c r="I163" s="1746"/>
      <c r="J163" s="86"/>
      <c r="K163" s="105"/>
      <c r="L163" s="91"/>
      <c r="M163" s="92"/>
      <c r="N163" s="93"/>
      <c r="O163" s="94"/>
      <c r="P163" s="96"/>
      <c r="Q163" s="95"/>
      <c r="R163" s="993">
        <f t="shared" si="267"/>
        <v>0</v>
      </c>
      <c r="S163" s="23">
        <f t="shared" si="214"/>
        <v>0</v>
      </c>
      <c r="T163" s="24">
        <f t="shared" si="215"/>
        <v>0</v>
      </c>
      <c r="U163" s="24">
        <f t="shared" si="199"/>
        <v>0</v>
      </c>
      <c r="V163" s="24">
        <f t="shared" si="216"/>
        <v>0</v>
      </c>
      <c r="W163" s="24">
        <f t="shared" si="217"/>
        <v>0</v>
      </c>
      <c r="X163" s="72">
        <f t="shared" si="218"/>
        <v>0</v>
      </c>
      <c r="Y163" s="72">
        <f t="shared" si="219"/>
        <v>0</v>
      </c>
      <c r="Z163" s="24">
        <f t="shared" si="268"/>
        <v>0</v>
      </c>
      <c r="AA163" s="72">
        <f t="shared" si="220"/>
        <v>0</v>
      </c>
      <c r="AB163" s="24">
        <f t="shared" si="221"/>
        <v>0</v>
      </c>
      <c r="AC163" s="24" t="s">
        <v>5</v>
      </c>
      <c r="AD163" s="25">
        <f t="shared" si="269"/>
        <v>3</v>
      </c>
      <c r="AE163" s="25">
        <f t="shared" si="270"/>
        <v>0</v>
      </c>
      <c r="AF163" s="25">
        <f t="shared" si="271"/>
        <v>0</v>
      </c>
      <c r="AG163" s="25">
        <f t="shared" si="222"/>
        <v>1</v>
      </c>
      <c r="AH163" s="25" t="str">
        <f>IFERROR(MATCH(DY163,'2 Staff List'!$IA$64:$IA$114,0),"x")</f>
        <v>x</v>
      </c>
      <c r="AI163" s="1181">
        <f>IFERROR(INDEX('2 Staff List'!$EX$64:$EX$114,$AH163),0)</f>
        <v>0</v>
      </c>
      <c r="AJ163" s="25">
        <f>IFERROR(INDEX('2 Staff List'!$IW$64:$IW$114,$AH163),0)</f>
        <v>0</v>
      </c>
      <c r="AK163" s="25">
        <f>IFERROR(INDEX('2 Staff List'!$IB$64:$IB$114,$AH163),0)</f>
        <v>0</v>
      </c>
      <c r="AL163" s="25">
        <f>IF(OR(NOT(ISBLANK(DV163)),CX163=1),"&lt;Non-Labor&gt;",IFERROR(IF(AH163=0,0,INDEX('2 Staff List'!$HZ$64:$HZ$114,$AH163)),0))</f>
        <v>0</v>
      </c>
      <c r="AM163" s="25">
        <f>IFERROR(INDEX('2 Staff List'!$HW$64:$HW$114,$AH163),0)</f>
        <v>0</v>
      </c>
      <c r="AN163" s="25">
        <f t="shared" si="223"/>
        <v>1</v>
      </c>
      <c r="AO163" s="25">
        <f>IF($AO$127=0,0,IFERROR(INDEX('2 Staff List'!$JH$64:$JH$114,$AH163),0))</f>
        <v>0</v>
      </c>
      <c r="AP163" s="25">
        <f>IFERROR(INDEX('2 Staff List'!$HU$64:$HU$114,$AH163),0)</f>
        <v>0</v>
      </c>
      <c r="AQ163" s="25">
        <f t="shared" si="224"/>
        <v>0</v>
      </c>
      <c r="AR163" s="25">
        <f t="shared" si="225"/>
        <v>0</v>
      </c>
      <c r="AS163" s="25">
        <f t="shared" si="226"/>
        <v>0</v>
      </c>
      <c r="AT163" s="25">
        <f t="shared" si="227"/>
        <v>0</v>
      </c>
      <c r="AU163" s="25">
        <f t="shared" si="228"/>
        <v>0</v>
      </c>
      <c r="AV163" s="25">
        <f t="shared" si="229"/>
        <v>0</v>
      </c>
      <c r="AW163" s="25">
        <f t="shared" si="230"/>
        <v>0</v>
      </c>
      <c r="AX163" s="25">
        <f t="shared" si="231"/>
        <v>0</v>
      </c>
      <c r="AY163" s="25">
        <f t="shared" si="232"/>
        <v>0</v>
      </c>
      <c r="AZ163" s="25">
        <f t="shared" si="233"/>
        <v>0</v>
      </c>
      <c r="BA163" s="25">
        <f t="shared" si="234"/>
        <v>0</v>
      </c>
      <c r="BB163" s="25">
        <f t="shared" si="235"/>
        <v>0</v>
      </c>
      <c r="BC163" s="25">
        <f>IFERROR(INDEX('2 Staff List'!KS$64:KS$114,$AH163),0)</f>
        <v>0</v>
      </c>
      <c r="BD163" s="25">
        <f>IFERROR(INDEX('2 Staff List'!KT$64:KT$114,$AH163),0)</f>
        <v>0</v>
      </c>
      <c r="BE163" s="25">
        <f>IFERROR(INDEX('2 Staff List'!KU$64:KU$114,$AH163),0)</f>
        <v>0</v>
      </c>
      <c r="BF163" s="25">
        <f>IFERROR(INDEX('2 Staff List'!KV$64:KV$114,$AH163),0)</f>
        <v>0</v>
      </c>
      <c r="BG163" s="25">
        <f>IFERROR(INDEX('2 Staff List'!KW$64:KW$114,$AH163),0)</f>
        <v>0</v>
      </c>
      <c r="BH163" s="25">
        <f>IFERROR(INDEX('2 Staff List'!KX$64:KX$114,$AH163),0)</f>
        <v>0</v>
      </c>
      <c r="BI163" s="25">
        <f>IFERROR(INDEX('2 Staff List'!KY$64:KY$114,$AH163),0)</f>
        <v>0</v>
      </c>
      <c r="BJ163" s="25">
        <f>IFERROR(INDEX('2 Staff List'!KZ$64:KZ$114,$AH163),0)</f>
        <v>0</v>
      </c>
      <c r="BK163" s="25">
        <f>IFERROR(INDEX('2 Staff List'!LA$64:LA$114,$AH163),0)</f>
        <v>0</v>
      </c>
      <c r="BL163" s="25">
        <f>IFERROR(INDEX('2 Staff List'!LB$64:LB$114,$AH163),0)</f>
        <v>0</v>
      </c>
      <c r="BM163" s="25">
        <f>IFERROR(INDEX('2 Staff List'!FT$64:FT$114,$AH163),0)</f>
        <v>0</v>
      </c>
      <c r="BN163" s="25">
        <f>IFERROR(INDEX('2 Staff List'!FU$64:FU$114,$AH163),0)</f>
        <v>0</v>
      </c>
      <c r="BO163" s="25">
        <f>IFERROR(INDEX('2 Staff List'!FV$64:FV$114,$AH163),0)</f>
        <v>0</v>
      </c>
      <c r="BP163" s="25">
        <f>IFERROR(INDEX('2 Staff List'!FW$64:FW$114,$AH163),0)</f>
        <v>0</v>
      </c>
      <c r="BQ163" s="25">
        <f>IFERROR(INDEX('2 Staff List'!FX$64:FX$114,$AH163),0)</f>
        <v>0</v>
      </c>
      <c r="BR163" s="25">
        <f>IFERROR(INDEX('2 Staff List'!FY$64:FY$114,$AH163),0)</f>
        <v>0</v>
      </c>
      <c r="BS163" s="25">
        <f>IFERROR(INDEX('2 Staff List'!FZ$64:FZ$114,$AH163),0)</f>
        <v>0</v>
      </c>
      <c r="BT163" s="25">
        <f>IFERROR(INDEX('2 Staff List'!GA$64:GA$114,$AH163),0)</f>
        <v>0</v>
      </c>
      <c r="BU163" s="25">
        <f>IFERROR(INDEX('2 Staff List'!GB$64:GB$114,$AH163),0)</f>
        <v>0</v>
      </c>
      <c r="BV163" s="25">
        <f>IFERROR(INDEX('2 Staff List'!GC$64:GC$114,$AH163),0)</f>
        <v>0</v>
      </c>
      <c r="BW163" s="25">
        <f t="shared" si="236"/>
        <v>0</v>
      </c>
      <c r="BX163" s="25">
        <f t="shared" si="237"/>
        <v>0</v>
      </c>
      <c r="BY163" s="25">
        <f t="shared" si="238"/>
        <v>0</v>
      </c>
      <c r="BZ163" s="25">
        <f t="shared" si="239"/>
        <v>0</v>
      </c>
      <c r="CA163" s="25">
        <f t="shared" si="240"/>
        <v>0</v>
      </c>
      <c r="CB163" s="25">
        <f t="shared" si="241"/>
        <v>0</v>
      </c>
      <c r="CC163" s="25">
        <f t="shared" si="242"/>
        <v>0</v>
      </c>
      <c r="CD163" s="25">
        <f t="shared" si="243"/>
        <v>0</v>
      </c>
      <c r="CE163" s="25">
        <f t="shared" si="244"/>
        <v>0</v>
      </c>
      <c r="CF163" s="25">
        <f t="shared" si="245"/>
        <v>0</v>
      </c>
      <c r="CG163" s="25">
        <f t="shared" si="246"/>
        <v>0</v>
      </c>
      <c r="CH163" s="25">
        <f>IFERROR(INDEX('2 Staff List'!LO$64:LO$114,$AH163),0)</f>
        <v>0</v>
      </c>
      <c r="CI163" s="25">
        <f>IFERROR(INDEX('2 Staff List'!LP$64:LP$114,$AH163),0)</f>
        <v>0</v>
      </c>
      <c r="CJ163" s="25">
        <f>IFERROR(INDEX('2 Staff List'!LQ$64:LQ$114,$AH163),0)</f>
        <v>0</v>
      </c>
      <c r="CK163" s="25">
        <f>IFERROR(INDEX('2 Staff List'!LR$64:LR$114,$AH163),0)</f>
        <v>0</v>
      </c>
      <c r="CL163" s="25">
        <f>IFERROR(INDEX('2 Staff List'!LS$64:LS$114,$AH163),0)</f>
        <v>0</v>
      </c>
      <c r="CM163" s="25">
        <f>IFERROR(INDEX('2 Staff List'!LT$64:LT$114,$AH163),0)</f>
        <v>0</v>
      </c>
      <c r="CN163" s="25">
        <f>IFERROR(INDEX('2 Staff List'!LU$64:LU$114,$AH163),0)</f>
        <v>0</v>
      </c>
      <c r="CO163" s="25">
        <f>IFERROR(INDEX('2 Staff List'!LV$64:LV$114,$AH163),0)</f>
        <v>0</v>
      </c>
      <c r="CP163" s="25">
        <f>IFERROR(INDEX('2 Staff List'!LW$64:LW$114,$AH163),0)</f>
        <v>0</v>
      </c>
      <c r="CQ163" s="25">
        <f>IFERROR(INDEX('2 Staff List'!LX$64:LX$114,$AH163),0)</f>
        <v>0</v>
      </c>
      <c r="CR163" s="25">
        <f t="shared" si="272"/>
        <v>0</v>
      </c>
      <c r="CS163" s="25">
        <f t="shared" si="265"/>
        <v>1</v>
      </c>
      <c r="CT163" s="25">
        <f t="shared" si="248"/>
        <v>1</v>
      </c>
      <c r="CU163" s="25">
        <f t="shared" si="249"/>
        <v>1</v>
      </c>
      <c r="CV163" s="25">
        <f t="shared" si="250"/>
        <v>1</v>
      </c>
      <c r="CW163" s="25">
        <f t="shared" si="251"/>
        <v>1</v>
      </c>
      <c r="CX163" s="25">
        <f t="shared" si="252"/>
        <v>0</v>
      </c>
      <c r="CY163" s="25">
        <f t="shared" si="253"/>
        <v>0</v>
      </c>
      <c r="CZ163" s="25">
        <f t="shared" si="254"/>
        <v>0</v>
      </c>
      <c r="DA163" s="25">
        <f t="shared" si="255"/>
        <v>1</v>
      </c>
      <c r="DB163" s="25">
        <f t="shared" si="273"/>
        <v>1</v>
      </c>
      <c r="DC163" s="25">
        <f t="shared" si="256"/>
        <v>0</v>
      </c>
      <c r="DD163" s="25">
        <f>IF(OR($AD163&lt;&gt;3,F163="Exclude"),0,IF(ISERROR(MATCH($E163,'4 Sign-off'!$S$123:$X$123,0)),0,1))</f>
        <v>0</v>
      </c>
      <c r="DE163" s="25">
        <f t="shared" si="274"/>
        <v>0</v>
      </c>
      <c r="DF163" s="25">
        <f t="shared" si="257"/>
        <v>0</v>
      </c>
      <c r="DG163" s="25" t="str">
        <f t="shared" si="258"/>
        <v/>
      </c>
      <c r="DH163" s="25">
        <f t="shared" si="259"/>
        <v>0</v>
      </c>
      <c r="DI163" s="25">
        <f t="shared" si="260"/>
        <v>0</v>
      </c>
      <c r="DJ163" s="25">
        <f>IF(ISBLANK(J163),0,ISERROR(MATCH(J163,'5  Control Accounts'!$FA$29:$FA$96,0))*1)</f>
        <v>0</v>
      </c>
      <c r="DK163" s="25">
        <f t="shared" si="261"/>
        <v>0</v>
      </c>
      <c r="DL163" s="25">
        <f t="shared" si="275"/>
        <v>-1</v>
      </c>
      <c r="DM163" s="25" t="e">
        <f t="array" ref="DM163">MATCH(1,($EG163:$JD163&gt;0)*$EG$17:$JD$17,0)</f>
        <v>#N/A</v>
      </c>
      <c r="DN163" s="25" t="e">
        <f t="shared" si="276"/>
        <v>#N/A</v>
      </c>
      <c r="DO163" s="25" t="e">
        <f t="array" ref="DO163">MATCH(2,1/(EG163:JD163&gt;0))</f>
        <v>#N/A</v>
      </c>
      <c r="DP163" s="2993">
        <f t="shared" si="262"/>
        <v>0</v>
      </c>
      <c r="DQ163" s="3037">
        <f t="shared" si="263"/>
        <v>0</v>
      </c>
      <c r="DR163" s="111"/>
      <c r="DS163" s="1268">
        <f t="shared" si="266"/>
        <v>0</v>
      </c>
      <c r="DT163" s="1825"/>
      <c r="DU163" s="1826"/>
      <c r="DV163" s="1827"/>
      <c r="DW163" s="1828"/>
      <c r="DX163" s="659"/>
      <c r="DY163" s="1265"/>
      <c r="DZ163" s="1785">
        <f t="shared" si="277"/>
        <v>0</v>
      </c>
      <c r="EA163" s="1786">
        <f t="shared" si="278"/>
        <v>0</v>
      </c>
      <c r="EB163" s="1781">
        <f t="shared" si="279"/>
        <v>0</v>
      </c>
      <c r="EC163" s="1782">
        <f t="shared" si="280"/>
        <v>0</v>
      </c>
      <c r="ED163" s="1262"/>
      <c r="EE163" s="2280"/>
      <c r="EF163" s="1802"/>
      <c r="EG163" s="167"/>
      <c r="EH163" s="168"/>
      <c r="EI163" s="168"/>
      <c r="EJ163" s="168"/>
      <c r="EK163" s="168"/>
      <c r="EL163" s="168"/>
      <c r="EM163" s="168"/>
      <c r="EN163" s="168"/>
      <c r="EO163" s="168"/>
      <c r="EP163" s="168"/>
      <c r="EQ163" s="168"/>
      <c r="ER163" s="168"/>
      <c r="ES163" s="168"/>
      <c r="ET163" s="168"/>
      <c r="EU163" s="168"/>
      <c r="EV163" s="168"/>
      <c r="EW163" s="168"/>
      <c r="EX163" s="168"/>
      <c r="EY163" s="168"/>
      <c r="EZ163" s="168"/>
      <c r="FA163" s="168"/>
      <c r="FB163" s="168"/>
      <c r="FC163" s="168"/>
      <c r="FD163" s="168"/>
      <c r="FE163" s="168"/>
      <c r="FF163" s="168"/>
      <c r="FG163" s="168"/>
      <c r="FH163" s="168"/>
      <c r="FI163" s="168"/>
      <c r="FJ163" s="168"/>
      <c r="FK163" s="168"/>
      <c r="FL163" s="168"/>
      <c r="FM163" s="168"/>
      <c r="FN163" s="168"/>
      <c r="FO163" s="168"/>
      <c r="FP163" s="168"/>
      <c r="FQ163" s="168"/>
      <c r="FR163" s="168"/>
      <c r="FS163" s="168"/>
      <c r="FT163" s="168"/>
      <c r="FU163" s="168"/>
      <c r="FV163" s="168"/>
      <c r="FW163" s="168"/>
      <c r="FX163" s="168"/>
      <c r="FY163" s="168"/>
      <c r="FZ163" s="168"/>
      <c r="GA163" s="168"/>
      <c r="GB163" s="168"/>
      <c r="GC163" s="168"/>
      <c r="GD163" s="168"/>
      <c r="GE163" s="168"/>
      <c r="GF163" s="168"/>
      <c r="GG163" s="168"/>
      <c r="GH163" s="168"/>
      <c r="GI163" s="168"/>
      <c r="GJ163" s="168"/>
      <c r="GK163" s="168"/>
      <c r="GL163" s="168"/>
      <c r="GM163" s="168"/>
      <c r="GN163" s="168"/>
      <c r="GO163" s="168"/>
      <c r="GP163" s="168"/>
      <c r="GQ163" s="168"/>
      <c r="GR163" s="168"/>
      <c r="GS163" s="168"/>
      <c r="GT163" s="168"/>
      <c r="GU163" s="168"/>
      <c r="GV163" s="168"/>
      <c r="GW163" s="168"/>
      <c r="GX163" s="168"/>
      <c r="GY163" s="168"/>
      <c r="GZ163" s="168"/>
      <c r="HA163" s="168"/>
      <c r="HB163" s="168"/>
      <c r="HC163" s="168"/>
      <c r="HD163" s="168"/>
      <c r="HE163" s="168"/>
      <c r="HF163" s="168"/>
      <c r="HG163" s="168"/>
      <c r="HH163" s="168"/>
      <c r="HI163" s="168"/>
      <c r="HJ163" s="168"/>
      <c r="HK163" s="168"/>
      <c r="HL163" s="168"/>
      <c r="HM163" s="168"/>
      <c r="HN163" s="168"/>
      <c r="HO163" s="168"/>
      <c r="HP163" s="168"/>
      <c r="HQ163" s="168"/>
      <c r="HR163" s="168"/>
      <c r="HS163" s="168"/>
      <c r="HT163" s="168"/>
      <c r="HU163" s="168"/>
      <c r="HV163" s="168"/>
      <c r="HW163" s="168"/>
      <c r="HX163" s="168"/>
      <c r="HY163" s="168"/>
      <c r="HZ163" s="168"/>
      <c r="IA163" s="168"/>
      <c r="IB163" s="168"/>
      <c r="IC163" s="168"/>
      <c r="ID163" s="168"/>
      <c r="IE163" s="168"/>
      <c r="IF163" s="168"/>
      <c r="IG163" s="168"/>
      <c r="IH163" s="168"/>
      <c r="II163" s="168"/>
      <c r="IJ163" s="168"/>
      <c r="IK163" s="168"/>
      <c r="IL163" s="168"/>
      <c r="IM163" s="168"/>
      <c r="IN163" s="168"/>
      <c r="IO163" s="168"/>
      <c r="IP163" s="168"/>
      <c r="IQ163" s="168"/>
      <c r="IR163" s="168"/>
      <c r="IS163" s="168"/>
      <c r="IT163" s="168"/>
      <c r="IU163" s="168"/>
      <c r="IV163" s="168"/>
      <c r="IW163" s="168"/>
      <c r="IX163" s="168"/>
      <c r="IY163" s="168"/>
      <c r="IZ163" s="168"/>
      <c r="JA163" s="168"/>
      <c r="JB163" s="168"/>
      <c r="JC163" s="606"/>
      <c r="JD163" s="609"/>
      <c r="JE163" s="1"/>
      <c r="JF163" s="1"/>
    </row>
    <row r="164" spans="1:266" s="2" customFormat="1" ht="15" customHeight="1" x14ac:dyDescent="0.25">
      <c r="A164" s="283"/>
      <c r="B164" s="303"/>
      <c r="C164" s="301"/>
      <c r="D164" s="638"/>
      <c r="E164" s="2298"/>
      <c r="F164" s="1812"/>
      <c r="G164" s="3342"/>
      <c r="H164" s="66"/>
      <c r="I164" s="1746"/>
      <c r="J164" s="86"/>
      <c r="K164" s="105"/>
      <c r="L164" s="91"/>
      <c r="M164" s="92"/>
      <c r="N164" s="93"/>
      <c r="O164" s="94"/>
      <c r="P164" s="96"/>
      <c r="Q164" s="95"/>
      <c r="R164" s="993">
        <f t="shared" si="267"/>
        <v>0</v>
      </c>
      <c r="S164" s="23">
        <f t="shared" si="214"/>
        <v>0</v>
      </c>
      <c r="T164" s="24">
        <f t="shared" si="215"/>
        <v>0</v>
      </c>
      <c r="U164" s="24">
        <f t="shared" si="199"/>
        <v>0</v>
      </c>
      <c r="V164" s="24">
        <f t="shared" si="216"/>
        <v>0</v>
      </c>
      <c r="W164" s="24">
        <f t="shared" si="217"/>
        <v>0</v>
      </c>
      <c r="X164" s="72">
        <f t="shared" si="218"/>
        <v>0</v>
      </c>
      <c r="Y164" s="72">
        <f t="shared" si="219"/>
        <v>0</v>
      </c>
      <c r="Z164" s="24">
        <f t="shared" si="268"/>
        <v>0</v>
      </c>
      <c r="AA164" s="72">
        <f t="shared" si="220"/>
        <v>0</v>
      </c>
      <c r="AB164" s="24">
        <f t="shared" si="221"/>
        <v>0</v>
      </c>
      <c r="AC164" s="24" t="s">
        <v>5</v>
      </c>
      <c r="AD164" s="25">
        <f t="shared" si="269"/>
        <v>3</v>
      </c>
      <c r="AE164" s="25">
        <f t="shared" si="270"/>
        <v>0</v>
      </c>
      <c r="AF164" s="25">
        <f t="shared" si="271"/>
        <v>0</v>
      </c>
      <c r="AG164" s="25">
        <f t="shared" si="222"/>
        <v>1</v>
      </c>
      <c r="AH164" s="25" t="str">
        <f>IFERROR(MATCH(DY164,'2 Staff List'!$IA$64:$IA$114,0),"x")</f>
        <v>x</v>
      </c>
      <c r="AI164" s="1181">
        <f>IFERROR(INDEX('2 Staff List'!$EX$64:$EX$114,$AH164),0)</f>
        <v>0</v>
      </c>
      <c r="AJ164" s="25">
        <f>IFERROR(INDEX('2 Staff List'!$IW$64:$IW$114,$AH164),0)</f>
        <v>0</v>
      </c>
      <c r="AK164" s="25">
        <f>IFERROR(INDEX('2 Staff List'!$IB$64:$IB$114,$AH164),0)</f>
        <v>0</v>
      </c>
      <c r="AL164" s="25">
        <f>IF(OR(NOT(ISBLANK(DV164)),CX164=1),"&lt;Non-Labor&gt;",IFERROR(IF(AH164=0,0,INDEX('2 Staff List'!$HZ$64:$HZ$114,$AH164)),0))</f>
        <v>0</v>
      </c>
      <c r="AM164" s="25">
        <f>IFERROR(INDEX('2 Staff List'!$HW$64:$HW$114,$AH164),0)</f>
        <v>0</v>
      </c>
      <c r="AN164" s="25">
        <f t="shared" si="223"/>
        <v>1</v>
      </c>
      <c r="AO164" s="25">
        <f>IF($AO$127=0,0,IFERROR(INDEX('2 Staff List'!$JH$64:$JH$114,$AH164),0))</f>
        <v>0</v>
      </c>
      <c r="AP164" s="25">
        <f>IFERROR(INDEX('2 Staff List'!$HU$64:$HU$114,$AH164),0)</f>
        <v>0</v>
      </c>
      <c r="AQ164" s="25">
        <f t="shared" si="224"/>
        <v>0</v>
      </c>
      <c r="AR164" s="25">
        <f t="shared" si="225"/>
        <v>0</v>
      </c>
      <c r="AS164" s="25">
        <f t="shared" si="226"/>
        <v>0</v>
      </c>
      <c r="AT164" s="25">
        <f t="shared" si="227"/>
        <v>0</v>
      </c>
      <c r="AU164" s="25">
        <f t="shared" si="228"/>
        <v>0</v>
      </c>
      <c r="AV164" s="25">
        <f t="shared" si="229"/>
        <v>0</v>
      </c>
      <c r="AW164" s="25">
        <f t="shared" si="230"/>
        <v>0</v>
      </c>
      <c r="AX164" s="25">
        <f t="shared" si="231"/>
        <v>0</v>
      </c>
      <c r="AY164" s="25">
        <f t="shared" si="232"/>
        <v>0</v>
      </c>
      <c r="AZ164" s="25">
        <f t="shared" si="233"/>
        <v>0</v>
      </c>
      <c r="BA164" s="25">
        <f t="shared" si="234"/>
        <v>0</v>
      </c>
      <c r="BB164" s="25">
        <f t="shared" si="235"/>
        <v>0</v>
      </c>
      <c r="BC164" s="25">
        <f>IFERROR(INDEX('2 Staff List'!KS$64:KS$114,$AH164),0)</f>
        <v>0</v>
      </c>
      <c r="BD164" s="25">
        <f>IFERROR(INDEX('2 Staff List'!KT$64:KT$114,$AH164),0)</f>
        <v>0</v>
      </c>
      <c r="BE164" s="25">
        <f>IFERROR(INDEX('2 Staff List'!KU$64:KU$114,$AH164),0)</f>
        <v>0</v>
      </c>
      <c r="BF164" s="25">
        <f>IFERROR(INDEX('2 Staff List'!KV$64:KV$114,$AH164),0)</f>
        <v>0</v>
      </c>
      <c r="BG164" s="25">
        <f>IFERROR(INDEX('2 Staff List'!KW$64:KW$114,$AH164),0)</f>
        <v>0</v>
      </c>
      <c r="BH164" s="25">
        <f>IFERROR(INDEX('2 Staff List'!KX$64:KX$114,$AH164),0)</f>
        <v>0</v>
      </c>
      <c r="BI164" s="25">
        <f>IFERROR(INDEX('2 Staff List'!KY$64:KY$114,$AH164),0)</f>
        <v>0</v>
      </c>
      <c r="BJ164" s="25">
        <f>IFERROR(INDEX('2 Staff List'!KZ$64:KZ$114,$AH164),0)</f>
        <v>0</v>
      </c>
      <c r="BK164" s="25">
        <f>IFERROR(INDEX('2 Staff List'!LA$64:LA$114,$AH164),0)</f>
        <v>0</v>
      </c>
      <c r="BL164" s="25">
        <f>IFERROR(INDEX('2 Staff List'!LB$64:LB$114,$AH164),0)</f>
        <v>0</v>
      </c>
      <c r="BM164" s="25">
        <f>IFERROR(INDEX('2 Staff List'!FT$64:FT$114,$AH164),0)</f>
        <v>0</v>
      </c>
      <c r="BN164" s="25">
        <f>IFERROR(INDEX('2 Staff List'!FU$64:FU$114,$AH164),0)</f>
        <v>0</v>
      </c>
      <c r="BO164" s="25">
        <f>IFERROR(INDEX('2 Staff List'!FV$64:FV$114,$AH164),0)</f>
        <v>0</v>
      </c>
      <c r="BP164" s="25">
        <f>IFERROR(INDEX('2 Staff List'!FW$64:FW$114,$AH164),0)</f>
        <v>0</v>
      </c>
      <c r="BQ164" s="25">
        <f>IFERROR(INDEX('2 Staff List'!FX$64:FX$114,$AH164),0)</f>
        <v>0</v>
      </c>
      <c r="BR164" s="25">
        <f>IFERROR(INDEX('2 Staff List'!FY$64:FY$114,$AH164),0)</f>
        <v>0</v>
      </c>
      <c r="BS164" s="25">
        <f>IFERROR(INDEX('2 Staff List'!FZ$64:FZ$114,$AH164),0)</f>
        <v>0</v>
      </c>
      <c r="BT164" s="25">
        <f>IFERROR(INDEX('2 Staff List'!GA$64:GA$114,$AH164),0)</f>
        <v>0</v>
      </c>
      <c r="BU164" s="25">
        <f>IFERROR(INDEX('2 Staff List'!GB$64:GB$114,$AH164),0)</f>
        <v>0</v>
      </c>
      <c r="BV164" s="25">
        <f>IFERROR(INDEX('2 Staff List'!GC$64:GC$114,$AH164),0)</f>
        <v>0</v>
      </c>
      <c r="BW164" s="25">
        <f t="shared" si="236"/>
        <v>0</v>
      </c>
      <c r="BX164" s="25">
        <f t="shared" si="237"/>
        <v>0</v>
      </c>
      <c r="BY164" s="25">
        <f t="shared" si="238"/>
        <v>0</v>
      </c>
      <c r="BZ164" s="25">
        <f t="shared" si="239"/>
        <v>0</v>
      </c>
      <c r="CA164" s="25">
        <f t="shared" si="240"/>
        <v>0</v>
      </c>
      <c r="CB164" s="25">
        <f t="shared" si="241"/>
        <v>0</v>
      </c>
      <c r="CC164" s="25">
        <f t="shared" si="242"/>
        <v>0</v>
      </c>
      <c r="CD164" s="25">
        <f t="shared" si="243"/>
        <v>0</v>
      </c>
      <c r="CE164" s="25">
        <f t="shared" si="244"/>
        <v>0</v>
      </c>
      <c r="CF164" s="25">
        <f t="shared" si="245"/>
        <v>0</v>
      </c>
      <c r="CG164" s="25">
        <f t="shared" si="246"/>
        <v>0</v>
      </c>
      <c r="CH164" s="25">
        <f>IFERROR(INDEX('2 Staff List'!LO$64:LO$114,$AH164),0)</f>
        <v>0</v>
      </c>
      <c r="CI164" s="25">
        <f>IFERROR(INDEX('2 Staff List'!LP$64:LP$114,$AH164),0)</f>
        <v>0</v>
      </c>
      <c r="CJ164" s="25">
        <f>IFERROR(INDEX('2 Staff List'!LQ$64:LQ$114,$AH164),0)</f>
        <v>0</v>
      </c>
      <c r="CK164" s="25">
        <f>IFERROR(INDEX('2 Staff List'!LR$64:LR$114,$AH164),0)</f>
        <v>0</v>
      </c>
      <c r="CL164" s="25">
        <f>IFERROR(INDEX('2 Staff List'!LS$64:LS$114,$AH164),0)</f>
        <v>0</v>
      </c>
      <c r="CM164" s="25">
        <f>IFERROR(INDEX('2 Staff List'!LT$64:LT$114,$AH164),0)</f>
        <v>0</v>
      </c>
      <c r="CN164" s="25">
        <f>IFERROR(INDEX('2 Staff List'!LU$64:LU$114,$AH164),0)</f>
        <v>0</v>
      </c>
      <c r="CO164" s="25">
        <f>IFERROR(INDEX('2 Staff List'!LV$64:LV$114,$AH164),0)</f>
        <v>0</v>
      </c>
      <c r="CP164" s="25">
        <f>IFERROR(INDEX('2 Staff List'!LW$64:LW$114,$AH164),0)</f>
        <v>0</v>
      </c>
      <c r="CQ164" s="25">
        <f>IFERROR(INDEX('2 Staff List'!LX$64:LX$114,$AH164),0)</f>
        <v>0</v>
      </c>
      <c r="CR164" s="25">
        <f t="shared" si="272"/>
        <v>0</v>
      </c>
      <c r="CS164" s="25">
        <f t="shared" si="265"/>
        <v>1</v>
      </c>
      <c r="CT164" s="25">
        <f t="shared" si="248"/>
        <v>1</v>
      </c>
      <c r="CU164" s="25">
        <f t="shared" si="249"/>
        <v>1</v>
      </c>
      <c r="CV164" s="25">
        <f t="shared" si="250"/>
        <v>1</v>
      </c>
      <c r="CW164" s="25">
        <f t="shared" si="251"/>
        <v>1</v>
      </c>
      <c r="CX164" s="25">
        <f t="shared" si="252"/>
        <v>0</v>
      </c>
      <c r="CY164" s="25">
        <f t="shared" si="253"/>
        <v>0</v>
      </c>
      <c r="CZ164" s="25">
        <f t="shared" si="254"/>
        <v>0</v>
      </c>
      <c r="DA164" s="25">
        <f t="shared" si="255"/>
        <v>1</v>
      </c>
      <c r="DB164" s="25">
        <f t="shared" si="273"/>
        <v>1</v>
      </c>
      <c r="DC164" s="25">
        <f t="shared" si="256"/>
        <v>0</v>
      </c>
      <c r="DD164" s="25">
        <f>IF(OR($AD164&lt;&gt;3,F164="Exclude"),0,IF(ISERROR(MATCH($E164,'4 Sign-off'!$S$123:$X$123,0)),0,1))</f>
        <v>0</v>
      </c>
      <c r="DE164" s="25">
        <f t="shared" si="274"/>
        <v>0</v>
      </c>
      <c r="DF164" s="25">
        <f t="shared" si="257"/>
        <v>0</v>
      </c>
      <c r="DG164" s="25" t="str">
        <f t="shared" si="258"/>
        <v/>
      </c>
      <c r="DH164" s="25">
        <f t="shared" si="259"/>
        <v>0</v>
      </c>
      <c r="DI164" s="25">
        <f t="shared" si="260"/>
        <v>0</v>
      </c>
      <c r="DJ164" s="25">
        <f>IF(ISBLANK(J164),0,ISERROR(MATCH(J164,'5  Control Accounts'!$FA$29:$FA$96,0))*1)</f>
        <v>0</v>
      </c>
      <c r="DK164" s="25">
        <f t="shared" si="261"/>
        <v>0</v>
      </c>
      <c r="DL164" s="25">
        <f t="shared" si="275"/>
        <v>-1</v>
      </c>
      <c r="DM164" s="25" t="e">
        <f t="array" ref="DM164">MATCH(1,($EG164:$JD164&gt;0)*$EG$17:$JD$17,0)</f>
        <v>#N/A</v>
      </c>
      <c r="DN164" s="25" t="e">
        <f t="shared" si="276"/>
        <v>#N/A</v>
      </c>
      <c r="DO164" s="25" t="e">
        <f t="array" ref="DO164">MATCH(2,1/(EG164:JD164&gt;0))</f>
        <v>#N/A</v>
      </c>
      <c r="DP164" s="2993">
        <f t="shared" si="262"/>
        <v>0</v>
      </c>
      <c r="DQ164" s="3037">
        <f t="shared" si="263"/>
        <v>0</v>
      </c>
      <c r="DR164" s="111"/>
      <c r="DS164" s="1268">
        <f t="shared" si="266"/>
        <v>0</v>
      </c>
      <c r="DT164" s="1825"/>
      <c r="DU164" s="1826"/>
      <c r="DV164" s="1827"/>
      <c r="DW164" s="1828"/>
      <c r="DX164" s="659"/>
      <c r="DY164" s="1265"/>
      <c r="DZ164" s="1785">
        <f t="shared" si="277"/>
        <v>0</v>
      </c>
      <c r="EA164" s="1786">
        <f t="shared" si="278"/>
        <v>0</v>
      </c>
      <c r="EB164" s="1781">
        <f t="shared" si="279"/>
        <v>0</v>
      </c>
      <c r="EC164" s="1782">
        <f t="shared" si="280"/>
        <v>0</v>
      </c>
      <c r="ED164" s="1262"/>
      <c r="EE164" s="2280"/>
      <c r="EF164" s="1802"/>
      <c r="EG164" s="167"/>
      <c r="EH164" s="168"/>
      <c r="EI164" s="168"/>
      <c r="EJ164" s="168"/>
      <c r="EK164" s="168"/>
      <c r="EL164" s="168"/>
      <c r="EM164" s="168"/>
      <c r="EN164" s="168"/>
      <c r="EO164" s="168"/>
      <c r="EP164" s="168"/>
      <c r="EQ164" s="168"/>
      <c r="ER164" s="168"/>
      <c r="ES164" s="168"/>
      <c r="ET164" s="168"/>
      <c r="EU164" s="168"/>
      <c r="EV164" s="168"/>
      <c r="EW164" s="168"/>
      <c r="EX164" s="168"/>
      <c r="EY164" s="168"/>
      <c r="EZ164" s="168"/>
      <c r="FA164" s="168"/>
      <c r="FB164" s="168"/>
      <c r="FC164" s="168"/>
      <c r="FD164" s="168"/>
      <c r="FE164" s="168"/>
      <c r="FF164" s="168"/>
      <c r="FG164" s="168"/>
      <c r="FH164" s="168"/>
      <c r="FI164" s="168"/>
      <c r="FJ164" s="168"/>
      <c r="FK164" s="168"/>
      <c r="FL164" s="168"/>
      <c r="FM164" s="168"/>
      <c r="FN164" s="168"/>
      <c r="FO164" s="168"/>
      <c r="FP164" s="168"/>
      <c r="FQ164" s="168"/>
      <c r="FR164" s="168"/>
      <c r="FS164" s="168"/>
      <c r="FT164" s="168"/>
      <c r="FU164" s="168"/>
      <c r="FV164" s="168"/>
      <c r="FW164" s="168"/>
      <c r="FX164" s="168"/>
      <c r="FY164" s="168"/>
      <c r="FZ164" s="168"/>
      <c r="GA164" s="168"/>
      <c r="GB164" s="168"/>
      <c r="GC164" s="168"/>
      <c r="GD164" s="168"/>
      <c r="GE164" s="168"/>
      <c r="GF164" s="168"/>
      <c r="GG164" s="168"/>
      <c r="GH164" s="168"/>
      <c r="GI164" s="168"/>
      <c r="GJ164" s="168"/>
      <c r="GK164" s="168"/>
      <c r="GL164" s="168"/>
      <c r="GM164" s="168"/>
      <c r="GN164" s="168"/>
      <c r="GO164" s="168"/>
      <c r="GP164" s="168"/>
      <c r="GQ164" s="168"/>
      <c r="GR164" s="168"/>
      <c r="GS164" s="168"/>
      <c r="GT164" s="168"/>
      <c r="GU164" s="168"/>
      <c r="GV164" s="168"/>
      <c r="GW164" s="168"/>
      <c r="GX164" s="168"/>
      <c r="GY164" s="168"/>
      <c r="GZ164" s="168"/>
      <c r="HA164" s="168"/>
      <c r="HB164" s="168"/>
      <c r="HC164" s="168"/>
      <c r="HD164" s="168"/>
      <c r="HE164" s="168"/>
      <c r="HF164" s="168"/>
      <c r="HG164" s="168"/>
      <c r="HH164" s="168"/>
      <c r="HI164" s="168"/>
      <c r="HJ164" s="168"/>
      <c r="HK164" s="168"/>
      <c r="HL164" s="168"/>
      <c r="HM164" s="168"/>
      <c r="HN164" s="168"/>
      <c r="HO164" s="168"/>
      <c r="HP164" s="168"/>
      <c r="HQ164" s="168"/>
      <c r="HR164" s="168"/>
      <c r="HS164" s="168"/>
      <c r="HT164" s="168"/>
      <c r="HU164" s="168"/>
      <c r="HV164" s="168"/>
      <c r="HW164" s="168"/>
      <c r="HX164" s="168"/>
      <c r="HY164" s="168"/>
      <c r="HZ164" s="168"/>
      <c r="IA164" s="168"/>
      <c r="IB164" s="168"/>
      <c r="IC164" s="168"/>
      <c r="ID164" s="168"/>
      <c r="IE164" s="168"/>
      <c r="IF164" s="168"/>
      <c r="IG164" s="168"/>
      <c r="IH164" s="168"/>
      <c r="II164" s="168"/>
      <c r="IJ164" s="168"/>
      <c r="IK164" s="168"/>
      <c r="IL164" s="168"/>
      <c r="IM164" s="168"/>
      <c r="IN164" s="168"/>
      <c r="IO164" s="168"/>
      <c r="IP164" s="168"/>
      <c r="IQ164" s="168"/>
      <c r="IR164" s="168"/>
      <c r="IS164" s="168"/>
      <c r="IT164" s="168"/>
      <c r="IU164" s="168"/>
      <c r="IV164" s="168"/>
      <c r="IW164" s="168"/>
      <c r="IX164" s="168"/>
      <c r="IY164" s="168"/>
      <c r="IZ164" s="168"/>
      <c r="JA164" s="168"/>
      <c r="JB164" s="168"/>
      <c r="JC164" s="606"/>
      <c r="JD164" s="609"/>
      <c r="JE164" s="1"/>
      <c r="JF164" s="1"/>
    </row>
    <row r="165" spans="1:266" s="2" customFormat="1" ht="15" customHeight="1" x14ac:dyDescent="0.25">
      <c r="A165" s="283"/>
      <c r="B165" s="303"/>
      <c r="C165" s="301"/>
      <c r="D165" s="638"/>
      <c r="E165" s="2298"/>
      <c r="F165" s="1812"/>
      <c r="G165" s="3342"/>
      <c r="H165" s="66"/>
      <c r="I165" s="1746"/>
      <c r="J165" s="86"/>
      <c r="K165" s="105"/>
      <c r="L165" s="91"/>
      <c r="M165" s="92"/>
      <c r="N165" s="93"/>
      <c r="O165" s="94"/>
      <c r="P165" s="96"/>
      <c r="Q165" s="95"/>
      <c r="R165" s="993">
        <f t="shared" si="267"/>
        <v>0</v>
      </c>
      <c r="S165" s="23">
        <f t="shared" si="214"/>
        <v>0</v>
      </c>
      <c r="T165" s="24">
        <f t="shared" si="215"/>
        <v>0</v>
      </c>
      <c r="U165" s="24">
        <f t="shared" si="199"/>
        <v>0</v>
      </c>
      <c r="V165" s="24">
        <f t="shared" si="216"/>
        <v>0</v>
      </c>
      <c r="W165" s="24">
        <f t="shared" si="217"/>
        <v>0</v>
      </c>
      <c r="X165" s="72">
        <f t="shared" si="218"/>
        <v>0</v>
      </c>
      <c r="Y165" s="72">
        <f t="shared" si="219"/>
        <v>0</v>
      </c>
      <c r="Z165" s="24">
        <f t="shared" si="268"/>
        <v>0</v>
      </c>
      <c r="AA165" s="72">
        <f t="shared" si="220"/>
        <v>0</v>
      </c>
      <c r="AB165" s="24">
        <f t="shared" si="221"/>
        <v>0</v>
      </c>
      <c r="AC165" s="24" t="s">
        <v>5</v>
      </c>
      <c r="AD165" s="25">
        <f t="shared" si="269"/>
        <v>3</v>
      </c>
      <c r="AE165" s="25">
        <f t="shared" si="270"/>
        <v>0</v>
      </c>
      <c r="AF165" s="25">
        <f t="shared" si="271"/>
        <v>0</v>
      </c>
      <c r="AG165" s="25">
        <f t="shared" si="222"/>
        <v>1</v>
      </c>
      <c r="AH165" s="25" t="str">
        <f>IFERROR(MATCH(DY165,'2 Staff List'!$IA$64:$IA$114,0),"x")</f>
        <v>x</v>
      </c>
      <c r="AI165" s="1181">
        <f>IFERROR(INDEX('2 Staff List'!$EX$64:$EX$114,$AH165),0)</f>
        <v>0</v>
      </c>
      <c r="AJ165" s="25">
        <f>IFERROR(INDEX('2 Staff List'!$IW$64:$IW$114,$AH165),0)</f>
        <v>0</v>
      </c>
      <c r="AK165" s="25">
        <f>IFERROR(INDEX('2 Staff List'!$IB$64:$IB$114,$AH165),0)</f>
        <v>0</v>
      </c>
      <c r="AL165" s="25">
        <f>IF(OR(NOT(ISBLANK(DV165)),CX165=1),"&lt;Non-Labor&gt;",IFERROR(IF(AH165=0,0,INDEX('2 Staff List'!$HZ$64:$HZ$114,$AH165)),0))</f>
        <v>0</v>
      </c>
      <c r="AM165" s="25">
        <f>IFERROR(INDEX('2 Staff List'!$HW$64:$HW$114,$AH165),0)</f>
        <v>0</v>
      </c>
      <c r="AN165" s="25">
        <f t="shared" si="223"/>
        <v>1</v>
      </c>
      <c r="AO165" s="25">
        <f>IF($AO$127=0,0,IFERROR(INDEX('2 Staff List'!$JH$64:$JH$114,$AH165),0))</f>
        <v>0</v>
      </c>
      <c r="AP165" s="25">
        <f>IFERROR(INDEX('2 Staff List'!$HU$64:$HU$114,$AH165),0)</f>
        <v>0</v>
      </c>
      <c r="AQ165" s="25">
        <f t="shared" si="224"/>
        <v>0</v>
      </c>
      <c r="AR165" s="25">
        <f t="shared" si="225"/>
        <v>0</v>
      </c>
      <c r="AS165" s="25">
        <f t="shared" si="226"/>
        <v>0</v>
      </c>
      <c r="AT165" s="25">
        <f t="shared" si="227"/>
        <v>0</v>
      </c>
      <c r="AU165" s="25">
        <f t="shared" si="228"/>
        <v>0</v>
      </c>
      <c r="AV165" s="25">
        <f t="shared" si="229"/>
        <v>0</v>
      </c>
      <c r="AW165" s="25">
        <f t="shared" si="230"/>
        <v>0</v>
      </c>
      <c r="AX165" s="25">
        <f t="shared" si="231"/>
        <v>0</v>
      </c>
      <c r="AY165" s="25">
        <f t="shared" si="232"/>
        <v>0</v>
      </c>
      <c r="AZ165" s="25">
        <f t="shared" si="233"/>
        <v>0</v>
      </c>
      <c r="BA165" s="25">
        <f t="shared" si="234"/>
        <v>0</v>
      </c>
      <c r="BB165" s="25">
        <f t="shared" si="235"/>
        <v>0</v>
      </c>
      <c r="BC165" s="25">
        <f>IFERROR(INDEX('2 Staff List'!KS$64:KS$114,$AH165),0)</f>
        <v>0</v>
      </c>
      <c r="BD165" s="25">
        <f>IFERROR(INDEX('2 Staff List'!KT$64:KT$114,$AH165),0)</f>
        <v>0</v>
      </c>
      <c r="BE165" s="25">
        <f>IFERROR(INDEX('2 Staff List'!KU$64:KU$114,$AH165),0)</f>
        <v>0</v>
      </c>
      <c r="BF165" s="25">
        <f>IFERROR(INDEX('2 Staff List'!KV$64:KV$114,$AH165),0)</f>
        <v>0</v>
      </c>
      <c r="BG165" s="25">
        <f>IFERROR(INDEX('2 Staff List'!KW$64:KW$114,$AH165),0)</f>
        <v>0</v>
      </c>
      <c r="BH165" s="25">
        <f>IFERROR(INDEX('2 Staff List'!KX$64:KX$114,$AH165),0)</f>
        <v>0</v>
      </c>
      <c r="BI165" s="25">
        <f>IFERROR(INDEX('2 Staff List'!KY$64:KY$114,$AH165),0)</f>
        <v>0</v>
      </c>
      <c r="BJ165" s="25">
        <f>IFERROR(INDEX('2 Staff List'!KZ$64:KZ$114,$AH165),0)</f>
        <v>0</v>
      </c>
      <c r="BK165" s="25">
        <f>IFERROR(INDEX('2 Staff List'!LA$64:LA$114,$AH165),0)</f>
        <v>0</v>
      </c>
      <c r="BL165" s="25">
        <f>IFERROR(INDEX('2 Staff List'!LB$64:LB$114,$AH165),0)</f>
        <v>0</v>
      </c>
      <c r="BM165" s="25">
        <f>IFERROR(INDEX('2 Staff List'!FT$64:FT$114,$AH165),0)</f>
        <v>0</v>
      </c>
      <c r="BN165" s="25">
        <f>IFERROR(INDEX('2 Staff List'!FU$64:FU$114,$AH165),0)</f>
        <v>0</v>
      </c>
      <c r="BO165" s="25">
        <f>IFERROR(INDEX('2 Staff List'!FV$64:FV$114,$AH165),0)</f>
        <v>0</v>
      </c>
      <c r="BP165" s="25">
        <f>IFERROR(INDEX('2 Staff List'!FW$64:FW$114,$AH165),0)</f>
        <v>0</v>
      </c>
      <c r="BQ165" s="25">
        <f>IFERROR(INDEX('2 Staff List'!FX$64:FX$114,$AH165),0)</f>
        <v>0</v>
      </c>
      <c r="BR165" s="25">
        <f>IFERROR(INDEX('2 Staff List'!FY$64:FY$114,$AH165),0)</f>
        <v>0</v>
      </c>
      <c r="BS165" s="25">
        <f>IFERROR(INDEX('2 Staff List'!FZ$64:FZ$114,$AH165),0)</f>
        <v>0</v>
      </c>
      <c r="BT165" s="25">
        <f>IFERROR(INDEX('2 Staff List'!GA$64:GA$114,$AH165),0)</f>
        <v>0</v>
      </c>
      <c r="BU165" s="25">
        <f>IFERROR(INDEX('2 Staff List'!GB$64:GB$114,$AH165),0)</f>
        <v>0</v>
      </c>
      <c r="BV165" s="25">
        <f>IFERROR(INDEX('2 Staff List'!GC$64:GC$114,$AH165),0)</f>
        <v>0</v>
      </c>
      <c r="BW165" s="25">
        <f t="shared" si="236"/>
        <v>0</v>
      </c>
      <c r="BX165" s="25">
        <f t="shared" si="237"/>
        <v>0</v>
      </c>
      <c r="BY165" s="25">
        <f t="shared" si="238"/>
        <v>0</v>
      </c>
      <c r="BZ165" s="25">
        <f t="shared" si="239"/>
        <v>0</v>
      </c>
      <c r="CA165" s="25">
        <f t="shared" si="240"/>
        <v>0</v>
      </c>
      <c r="CB165" s="25">
        <f t="shared" si="241"/>
        <v>0</v>
      </c>
      <c r="CC165" s="25">
        <f t="shared" si="242"/>
        <v>0</v>
      </c>
      <c r="CD165" s="25">
        <f t="shared" si="243"/>
        <v>0</v>
      </c>
      <c r="CE165" s="25">
        <f t="shared" si="244"/>
        <v>0</v>
      </c>
      <c r="CF165" s="25">
        <f t="shared" si="245"/>
        <v>0</v>
      </c>
      <c r="CG165" s="25">
        <f t="shared" si="246"/>
        <v>0</v>
      </c>
      <c r="CH165" s="25">
        <f>IFERROR(INDEX('2 Staff List'!LO$64:LO$114,$AH165),0)</f>
        <v>0</v>
      </c>
      <c r="CI165" s="25">
        <f>IFERROR(INDEX('2 Staff List'!LP$64:LP$114,$AH165),0)</f>
        <v>0</v>
      </c>
      <c r="CJ165" s="25">
        <f>IFERROR(INDEX('2 Staff List'!LQ$64:LQ$114,$AH165),0)</f>
        <v>0</v>
      </c>
      <c r="CK165" s="25">
        <f>IFERROR(INDEX('2 Staff List'!LR$64:LR$114,$AH165),0)</f>
        <v>0</v>
      </c>
      <c r="CL165" s="25">
        <f>IFERROR(INDEX('2 Staff List'!LS$64:LS$114,$AH165),0)</f>
        <v>0</v>
      </c>
      <c r="CM165" s="25">
        <f>IFERROR(INDEX('2 Staff List'!LT$64:LT$114,$AH165),0)</f>
        <v>0</v>
      </c>
      <c r="CN165" s="25">
        <f>IFERROR(INDEX('2 Staff List'!LU$64:LU$114,$AH165),0)</f>
        <v>0</v>
      </c>
      <c r="CO165" s="25">
        <f>IFERROR(INDEX('2 Staff List'!LV$64:LV$114,$AH165),0)</f>
        <v>0</v>
      </c>
      <c r="CP165" s="25">
        <f>IFERROR(INDEX('2 Staff List'!LW$64:LW$114,$AH165),0)</f>
        <v>0</v>
      </c>
      <c r="CQ165" s="25">
        <f>IFERROR(INDEX('2 Staff List'!LX$64:LX$114,$AH165),0)</f>
        <v>0</v>
      </c>
      <c r="CR165" s="25">
        <f t="shared" si="272"/>
        <v>0</v>
      </c>
      <c r="CS165" s="25">
        <f t="shared" si="265"/>
        <v>1</v>
      </c>
      <c r="CT165" s="25">
        <f t="shared" si="248"/>
        <v>1</v>
      </c>
      <c r="CU165" s="25">
        <f t="shared" si="249"/>
        <v>1</v>
      </c>
      <c r="CV165" s="25">
        <f t="shared" si="250"/>
        <v>1</v>
      </c>
      <c r="CW165" s="25">
        <f t="shared" si="251"/>
        <v>1</v>
      </c>
      <c r="CX165" s="25">
        <f t="shared" si="252"/>
        <v>0</v>
      </c>
      <c r="CY165" s="25">
        <f t="shared" si="253"/>
        <v>0</v>
      </c>
      <c r="CZ165" s="25">
        <f t="shared" si="254"/>
        <v>0</v>
      </c>
      <c r="DA165" s="25">
        <f t="shared" si="255"/>
        <v>1</v>
      </c>
      <c r="DB165" s="25">
        <f t="shared" si="273"/>
        <v>1</v>
      </c>
      <c r="DC165" s="25">
        <f t="shared" si="256"/>
        <v>0</v>
      </c>
      <c r="DD165" s="25">
        <f>IF(OR($AD165&lt;&gt;3,F165="Exclude"),0,IF(ISERROR(MATCH($E165,'4 Sign-off'!$S$123:$X$123,0)),0,1))</f>
        <v>0</v>
      </c>
      <c r="DE165" s="25">
        <f t="shared" si="274"/>
        <v>0</v>
      </c>
      <c r="DF165" s="25">
        <f t="shared" si="257"/>
        <v>0</v>
      </c>
      <c r="DG165" s="25" t="str">
        <f t="shared" si="258"/>
        <v/>
      </c>
      <c r="DH165" s="25">
        <f t="shared" si="259"/>
        <v>0</v>
      </c>
      <c r="DI165" s="25">
        <f t="shared" si="260"/>
        <v>0</v>
      </c>
      <c r="DJ165" s="25">
        <f>IF(ISBLANK(J165),0,ISERROR(MATCH(J165,'5  Control Accounts'!$FA$29:$FA$96,0))*1)</f>
        <v>0</v>
      </c>
      <c r="DK165" s="25">
        <f t="shared" si="261"/>
        <v>0</v>
      </c>
      <c r="DL165" s="25">
        <f t="shared" si="275"/>
        <v>-1</v>
      </c>
      <c r="DM165" s="25" t="e">
        <f t="array" ref="DM165">MATCH(1,($EG165:$JD165&gt;0)*$EG$17:$JD$17,0)</f>
        <v>#N/A</v>
      </c>
      <c r="DN165" s="25" t="e">
        <f t="shared" si="276"/>
        <v>#N/A</v>
      </c>
      <c r="DO165" s="25" t="e">
        <f t="array" ref="DO165">MATCH(2,1/(EG165:JD165&gt;0))</f>
        <v>#N/A</v>
      </c>
      <c r="DP165" s="2993">
        <f t="shared" si="262"/>
        <v>0</v>
      </c>
      <c r="DQ165" s="3037">
        <f t="shared" si="263"/>
        <v>0</v>
      </c>
      <c r="DR165" s="111"/>
      <c r="DS165" s="1268">
        <f t="shared" si="266"/>
        <v>0</v>
      </c>
      <c r="DT165" s="1825"/>
      <c r="DU165" s="1826"/>
      <c r="DV165" s="1827"/>
      <c r="DW165" s="1828"/>
      <c r="DX165" s="659"/>
      <c r="DY165" s="1265"/>
      <c r="DZ165" s="1785">
        <f t="shared" si="277"/>
        <v>0</v>
      </c>
      <c r="EA165" s="1786">
        <f t="shared" si="278"/>
        <v>0</v>
      </c>
      <c r="EB165" s="1781">
        <f t="shared" si="279"/>
        <v>0</v>
      </c>
      <c r="EC165" s="1782">
        <f t="shared" si="280"/>
        <v>0</v>
      </c>
      <c r="ED165" s="1262"/>
      <c r="EE165" s="2280"/>
      <c r="EF165" s="1802"/>
      <c r="EG165" s="167"/>
      <c r="EH165" s="168"/>
      <c r="EI165" s="168"/>
      <c r="EJ165" s="168"/>
      <c r="EK165" s="168"/>
      <c r="EL165" s="168"/>
      <c r="EM165" s="168"/>
      <c r="EN165" s="168"/>
      <c r="EO165" s="168"/>
      <c r="EP165" s="168"/>
      <c r="EQ165" s="168"/>
      <c r="ER165" s="168"/>
      <c r="ES165" s="168"/>
      <c r="ET165" s="168"/>
      <c r="EU165" s="168"/>
      <c r="EV165" s="168"/>
      <c r="EW165" s="168"/>
      <c r="EX165" s="168"/>
      <c r="EY165" s="168"/>
      <c r="EZ165" s="168"/>
      <c r="FA165" s="168"/>
      <c r="FB165" s="168"/>
      <c r="FC165" s="168"/>
      <c r="FD165" s="168"/>
      <c r="FE165" s="168"/>
      <c r="FF165" s="168"/>
      <c r="FG165" s="168"/>
      <c r="FH165" s="168"/>
      <c r="FI165" s="168"/>
      <c r="FJ165" s="168"/>
      <c r="FK165" s="168"/>
      <c r="FL165" s="168"/>
      <c r="FM165" s="168"/>
      <c r="FN165" s="168"/>
      <c r="FO165" s="168"/>
      <c r="FP165" s="168"/>
      <c r="FQ165" s="168"/>
      <c r="FR165" s="168"/>
      <c r="FS165" s="168"/>
      <c r="FT165" s="168"/>
      <c r="FU165" s="168"/>
      <c r="FV165" s="168"/>
      <c r="FW165" s="168"/>
      <c r="FX165" s="168"/>
      <c r="FY165" s="168"/>
      <c r="FZ165" s="168"/>
      <c r="GA165" s="168"/>
      <c r="GB165" s="168"/>
      <c r="GC165" s="168"/>
      <c r="GD165" s="168"/>
      <c r="GE165" s="168"/>
      <c r="GF165" s="168"/>
      <c r="GG165" s="168"/>
      <c r="GH165" s="168"/>
      <c r="GI165" s="168"/>
      <c r="GJ165" s="168"/>
      <c r="GK165" s="168"/>
      <c r="GL165" s="168"/>
      <c r="GM165" s="168"/>
      <c r="GN165" s="168"/>
      <c r="GO165" s="168"/>
      <c r="GP165" s="168"/>
      <c r="GQ165" s="168"/>
      <c r="GR165" s="168"/>
      <c r="GS165" s="168"/>
      <c r="GT165" s="168"/>
      <c r="GU165" s="168"/>
      <c r="GV165" s="168"/>
      <c r="GW165" s="168"/>
      <c r="GX165" s="168"/>
      <c r="GY165" s="168"/>
      <c r="GZ165" s="168"/>
      <c r="HA165" s="168"/>
      <c r="HB165" s="168"/>
      <c r="HC165" s="168"/>
      <c r="HD165" s="168"/>
      <c r="HE165" s="168"/>
      <c r="HF165" s="168"/>
      <c r="HG165" s="168"/>
      <c r="HH165" s="168"/>
      <c r="HI165" s="168"/>
      <c r="HJ165" s="168"/>
      <c r="HK165" s="168"/>
      <c r="HL165" s="168"/>
      <c r="HM165" s="168"/>
      <c r="HN165" s="168"/>
      <c r="HO165" s="168"/>
      <c r="HP165" s="168"/>
      <c r="HQ165" s="168"/>
      <c r="HR165" s="168"/>
      <c r="HS165" s="168"/>
      <c r="HT165" s="168"/>
      <c r="HU165" s="168"/>
      <c r="HV165" s="168"/>
      <c r="HW165" s="168"/>
      <c r="HX165" s="168"/>
      <c r="HY165" s="168"/>
      <c r="HZ165" s="168"/>
      <c r="IA165" s="168"/>
      <c r="IB165" s="168"/>
      <c r="IC165" s="168"/>
      <c r="ID165" s="168"/>
      <c r="IE165" s="168"/>
      <c r="IF165" s="168"/>
      <c r="IG165" s="168"/>
      <c r="IH165" s="168"/>
      <c r="II165" s="168"/>
      <c r="IJ165" s="168"/>
      <c r="IK165" s="168"/>
      <c r="IL165" s="168"/>
      <c r="IM165" s="168"/>
      <c r="IN165" s="168"/>
      <c r="IO165" s="168"/>
      <c r="IP165" s="168"/>
      <c r="IQ165" s="168"/>
      <c r="IR165" s="168"/>
      <c r="IS165" s="168"/>
      <c r="IT165" s="168"/>
      <c r="IU165" s="168"/>
      <c r="IV165" s="168"/>
      <c r="IW165" s="168"/>
      <c r="IX165" s="168"/>
      <c r="IY165" s="168"/>
      <c r="IZ165" s="168"/>
      <c r="JA165" s="168"/>
      <c r="JB165" s="168"/>
      <c r="JC165" s="606"/>
      <c r="JD165" s="609"/>
      <c r="JE165" s="1"/>
      <c r="JF165" s="1"/>
    </row>
    <row r="166" spans="1:266" s="2" customFormat="1" ht="15" customHeight="1" x14ac:dyDescent="0.25">
      <c r="A166" s="283"/>
      <c r="B166" s="303"/>
      <c r="C166" s="301"/>
      <c r="D166" s="638"/>
      <c r="E166" s="2298"/>
      <c r="F166" s="1812"/>
      <c r="G166" s="3342"/>
      <c r="H166" s="66"/>
      <c r="I166" s="1746"/>
      <c r="J166" s="86"/>
      <c r="K166" s="105"/>
      <c r="L166" s="91"/>
      <c r="M166" s="92"/>
      <c r="N166" s="93"/>
      <c r="O166" s="94"/>
      <c r="P166" s="96"/>
      <c r="Q166" s="95"/>
      <c r="R166" s="993">
        <f t="shared" si="267"/>
        <v>0</v>
      </c>
      <c r="S166" s="23">
        <f t="shared" si="214"/>
        <v>0</v>
      </c>
      <c r="T166" s="24">
        <f t="shared" si="215"/>
        <v>0</v>
      </c>
      <c r="U166" s="24">
        <f t="shared" si="199"/>
        <v>0</v>
      </c>
      <c r="V166" s="24">
        <f t="shared" si="216"/>
        <v>0</v>
      </c>
      <c r="W166" s="24">
        <f t="shared" si="217"/>
        <v>0</v>
      </c>
      <c r="X166" s="72">
        <f t="shared" si="218"/>
        <v>0</v>
      </c>
      <c r="Y166" s="72">
        <f t="shared" si="219"/>
        <v>0</v>
      </c>
      <c r="Z166" s="24">
        <f t="shared" si="268"/>
        <v>0</v>
      </c>
      <c r="AA166" s="72">
        <f t="shared" si="220"/>
        <v>0</v>
      </c>
      <c r="AB166" s="24">
        <f t="shared" si="221"/>
        <v>0</v>
      </c>
      <c r="AC166" s="24" t="s">
        <v>5</v>
      </c>
      <c r="AD166" s="25">
        <f t="shared" si="269"/>
        <v>3</v>
      </c>
      <c r="AE166" s="25">
        <f t="shared" si="270"/>
        <v>0</v>
      </c>
      <c r="AF166" s="25">
        <f t="shared" si="271"/>
        <v>0</v>
      </c>
      <c r="AG166" s="25">
        <f t="shared" si="222"/>
        <v>1</v>
      </c>
      <c r="AH166" s="25" t="str">
        <f>IFERROR(MATCH(DY166,'2 Staff List'!$IA$64:$IA$114,0),"x")</f>
        <v>x</v>
      </c>
      <c r="AI166" s="1181">
        <f>IFERROR(INDEX('2 Staff List'!$EX$64:$EX$114,$AH166),0)</f>
        <v>0</v>
      </c>
      <c r="AJ166" s="25">
        <f>IFERROR(INDEX('2 Staff List'!$IW$64:$IW$114,$AH166),0)</f>
        <v>0</v>
      </c>
      <c r="AK166" s="25">
        <f>IFERROR(INDEX('2 Staff List'!$IB$64:$IB$114,$AH166),0)</f>
        <v>0</v>
      </c>
      <c r="AL166" s="25">
        <f>IF(OR(NOT(ISBLANK(DV166)),CX166=1),"&lt;Non-Labor&gt;",IFERROR(IF(AH166=0,0,INDEX('2 Staff List'!$HZ$64:$HZ$114,$AH166)),0))</f>
        <v>0</v>
      </c>
      <c r="AM166" s="25">
        <f>IFERROR(INDEX('2 Staff List'!$HW$64:$HW$114,$AH166),0)</f>
        <v>0</v>
      </c>
      <c r="AN166" s="25">
        <f t="shared" si="223"/>
        <v>1</v>
      </c>
      <c r="AO166" s="25">
        <f>IF($AO$127=0,0,IFERROR(INDEX('2 Staff List'!$JH$64:$JH$114,$AH166),0))</f>
        <v>0</v>
      </c>
      <c r="AP166" s="25">
        <f>IFERROR(INDEX('2 Staff List'!$HU$64:$HU$114,$AH166),0)</f>
        <v>0</v>
      </c>
      <c r="AQ166" s="25">
        <f t="shared" si="224"/>
        <v>0</v>
      </c>
      <c r="AR166" s="25">
        <f t="shared" si="225"/>
        <v>0</v>
      </c>
      <c r="AS166" s="25">
        <f t="shared" si="226"/>
        <v>0</v>
      </c>
      <c r="AT166" s="25">
        <f t="shared" si="227"/>
        <v>0</v>
      </c>
      <c r="AU166" s="25">
        <f t="shared" si="228"/>
        <v>0</v>
      </c>
      <c r="AV166" s="25">
        <f t="shared" si="229"/>
        <v>0</v>
      </c>
      <c r="AW166" s="25">
        <f t="shared" si="230"/>
        <v>0</v>
      </c>
      <c r="AX166" s="25">
        <f t="shared" si="231"/>
        <v>0</v>
      </c>
      <c r="AY166" s="25">
        <f t="shared" si="232"/>
        <v>0</v>
      </c>
      <c r="AZ166" s="25">
        <f t="shared" si="233"/>
        <v>0</v>
      </c>
      <c r="BA166" s="25">
        <f t="shared" si="234"/>
        <v>0</v>
      </c>
      <c r="BB166" s="25">
        <f t="shared" si="235"/>
        <v>0</v>
      </c>
      <c r="BC166" s="25">
        <f>IFERROR(INDEX('2 Staff List'!KS$64:KS$114,$AH166),0)</f>
        <v>0</v>
      </c>
      <c r="BD166" s="25">
        <f>IFERROR(INDEX('2 Staff List'!KT$64:KT$114,$AH166),0)</f>
        <v>0</v>
      </c>
      <c r="BE166" s="25">
        <f>IFERROR(INDEX('2 Staff List'!KU$64:KU$114,$AH166),0)</f>
        <v>0</v>
      </c>
      <c r="BF166" s="25">
        <f>IFERROR(INDEX('2 Staff List'!KV$64:KV$114,$AH166),0)</f>
        <v>0</v>
      </c>
      <c r="BG166" s="25">
        <f>IFERROR(INDEX('2 Staff List'!KW$64:KW$114,$AH166),0)</f>
        <v>0</v>
      </c>
      <c r="BH166" s="25">
        <f>IFERROR(INDEX('2 Staff List'!KX$64:KX$114,$AH166),0)</f>
        <v>0</v>
      </c>
      <c r="BI166" s="25">
        <f>IFERROR(INDEX('2 Staff List'!KY$64:KY$114,$AH166),0)</f>
        <v>0</v>
      </c>
      <c r="BJ166" s="25">
        <f>IFERROR(INDEX('2 Staff List'!KZ$64:KZ$114,$AH166),0)</f>
        <v>0</v>
      </c>
      <c r="BK166" s="25">
        <f>IFERROR(INDEX('2 Staff List'!LA$64:LA$114,$AH166),0)</f>
        <v>0</v>
      </c>
      <c r="BL166" s="25">
        <f>IFERROR(INDEX('2 Staff List'!LB$64:LB$114,$AH166),0)</f>
        <v>0</v>
      </c>
      <c r="BM166" s="25">
        <f>IFERROR(INDEX('2 Staff List'!FT$64:FT$114,$AH166),0)</f>
        <v>0</v>
      </c>
      <c r="BN166" s="25">
        <f>IFERROR(INDEX('2 Staff List'!FU$64:FU$114,$AH166),0)</f>
        <v>0</v>
      </c>
      <c r="BO166" s="25">
        <f>IFERROR(INDEX('2 Staff List'!FV$64:FV$114,$AH166),0)</f>
        <v>0</v>
      </c>
      <c r="BP166" s="25">
        <f>IFERROR(INDEX('2 Staff List'!FW$64:FW$114,$AH166),0)</f>
        <v>0</v>
      </c>
      <c r="BQ166" s="25">
        <f>IFERROR(INDEX('2 Staff List'!FX$64:FX$114,$AH166),0)</f>
        <v>0</v>
      </c>
      <c r="BR166" s="25">
        <f>IFERROR(INDEX('2 Staff List'!FY$64:FY$114,$AH166),0)</f>
        <v>0</v>
      </c>
      <c r="BS166" s="25">
        <f>IFERROR(INDEX('2 Staff List'!FZ$64:FZ$114,$AH166),0)</f>
        <v>0</v>
      </c>
      <c r="BT166" s="25">
        <f>IFERROR(INDEX('2 Staff List'!GA$64:GA$114,$AH166),0)</f>
        <v>0</v>
      </c>
      <c r="BU166" s="25">
        <f>IFERROR(INDEX('2 Staff List'!GB$64:GB$114,$AH166),0)</f>
        <v>0</v>
      </c>
      <c r="BV166" s="25">
        <f>IFERROR(INDEX('2 Staff List'!GC$64:GC$114,$AH166),0)</f>
        <v>0</v>
      </c>
      <c r="BW166" s="25">
        <f t="shared" si="236"/>
        <v>0</v>
      </c>
      <c r="BX166" s="25">
        <f t="shared" si="237"/>
        <v>0</v>
      </c>
      <c r="BY166" s="25">
        <f t="shared" si="238"/>
        <v>0</v>
      </c>
      <c r="BZ166" s="25">
        <f t="shared" si="239"/>
        <v>0</v>
      </c>
      <c r="CA166" s="25">
        <f t="shared" si="240"/>
        <v>0</v>
      </c>
      <c r="CB166" s="25">
        <f t="shared" si="241"/>
        <v>0</v>
      </c>
      <c r="CC166" s="25">
        <f t="shared" si="242"/>
        <v>0</v>
      </c>
      <c r="CD166" s="25">
        <f t="shared" si="243"/>
        <v>0</v>
      </c>
      <c r="CE166" s="25">
        <f t="shared" si="244"/>
        <v>0</v>
      </c>
      <c r="CF166" s="25">
        <f t="shared" si="245"/>
        <v>0</v>
      </c>
      <c r="CG166" s="25">
        <f t="shared" si="246"/>
        <v>0</v>
      </c>
      <c r="CH166" s="25">
        <f>IFERROR(INDEX('2 Staff List'!LO$64:LO$114,$AH166),0)</f>
        <v>0</v>
      </c>
      <c r="CI166" s="25">
        <f>IFERROR(INDEX('2 Staff List'!LP$64:LP$114,$AH166),0)</f>
        <v>0</v>
      </c>
      <c r="CJ166" s="25">
        <f>IFERROR(INDEX('2 Staff List'!LQ$64:LQ$114,$AH166),0)</f>
        <v>0</v>
      </c>
      <c r="CK166" s="25">
        <f>IFERROR(INDEX('2 Staff List'!LR$64:LR$114,$AH166),0)</f>
        <v>0</v>
      </c>
      <c r="CL166" s="25">
        <f>IFERROR(INDEX('2 Staff List'!LS$64:LS$114,$AH166),0)</f>
        <v>0</v>
      </c>
      <c r="CM166" s="25">
        <f>IFERROR(INDEX('2 Staff List'!LT$64:LT$114,$AH166),0)</f>
        <v>0</v>
      </c>
      <c r="CN166" s="25">
        <f>IFERROR(INDEX('2 Staff List'!LU$64:LU$114,$AH166),0)</f>
        <v>0</v>
      </c>
      <c r="CO166" s="25">
        <f>IFERROR(INDEX('2 Staff List'!LV$64:LV$114,$AH166),0)</f>
        <v>0</v>
      </c>
      <c r="CP166" s="25">
        <f>IFERROR(INDEX('2 Staff List'!LW$64:LW$114,$AH166),0)</f>
        <v>0</v>
      </c>
      <c r="CQ166" s="25">
        <f>IFERROR(INDEX('2 Staff List'!LX$64:LX$114,$AH166),0)</f>
        <v>0</v>
      </c>
      <c r="CR166" s="25">
        <f t="shared" si="272"/>
        <v>0</v>
      </c>
      <c r="CS166" s="25">
        <f t="shared" si="265"/>
        <v>1</v>
      </c>
      <c r="CT166" s="25">
        <f t="shared" si="248"/>
        <v>1</v>
      </c>
      <c r="CU166" s="25">
        <f t="shared" si="249"/>
        <v>1</v>
      </c>
      <c r="CV166" s="25">
        <f t="shared" si="250"/>
        <v>1</v>
      </c>
      <c r="CW166" s="25">
        <f t="shared" si="251"/>
        <v>1</v>
      </c>
      <c r="CX166" s="25">
        <f t="shared" si="252"/>
        <v>0</v>
      </c>
      <c r="CY166" s="25">
        <f t="shared" si="253"/>
        <v>0</v>
      </c>
      <c r="CZ166" s="25">
        <f t="shared" si="254"/>
        <v>0</v>
      </c>
      <c r="DA166" s="25">
        <f t="shared" si="255"/>
        <v>1</v>
      </c>
      <c r="DB166" s="25">
        <f t="shared" si="273"/>
        <v>1</v>
      </c>
      <c r="DC166" s="25">
        <f t="shared" si="256"/>
        <v>0</v>
      </c>
      <c r="DD166" s="25">
        <f>IF(OR($AD166&lt;&gt;3,F166="Exclude"),0,IF(ISERROR(MATCH($E166,'4 Sign-off'!$S$123:$X$123,0)),0,1))</f>
        <v>0</v>
      </c>
      <c r="DE166" s="25">
        <f t="shared" si="274"/>
        <v>0</v>
      </c>
      <c r="DF166" s="25">
        <f t="shared" si="257"/>
        <v>0</v>
      </c>
      <c r="DG166" s="25" t="str">
        <f t="shared" si="258"/>
        <v/>
      </c>
      <c r="DH166" s="25">
        <f t="shared" si="259"/>
        <v>0</v>
      </c>
      <c r="DI166" s="25">
        <f t="shared" si="260"/>
        <v>0</v>
      </c>
      <c r="DJ166" s="25">
        <f>IF(ISBLANK(J166),0,ISERROR(MATCH(J166,'5  Control Accounts'!$FA$29:$FA$96,0))*1)</f>
        <v>0</v>
      </c>
      <c r="DK166" s="25">
        <f t="shared" si="261"/>
        <v>0</v>
      </c>
      <c r="DL166" s="25">
        <f t="shared" si="275"/>
        <v>-1</v>
      </c>
      <c r="DM166" s="25" t="e">
        <f t="array" ref="DM166">MATCH(1,($EG166:$JD166&gt;0)*$EG$17:$JD$17,0)</f>
        <v>#N/A</v>
      </c>
      <c r="DN166" s="25" t="e">
        <f t="shared" si="276"/>
        <v>#N/A</v>
      </c>
      <c r="DO166" s="25" t="e">
        <f t="array" ref="DO166">MATCH(2,1/(EG166:JD166&gt;0))</f>
        <v>#N/A</v>
      </c>
      <c r="DP166" s="2993">
        <f t="shared" si="262"/>
        <v>0</v>
      </c>
      <c r="DQ166" s="3037">
        <f t="shared" si="263"/>
        <v>0</v>
      </c>
      <c r="DR166" s="111"/>
      <c r="DS166" s="1268">
        <f t="shared" si="266"/>
        <v>0</v>
      </c>
      <c r="DT166" s="1825"/>
      <c r="DU166" s="1826"/>
      <c r="DV166" s="1827"/>
      <c r="DW166" s="1828"/>
      <c r="DX166" s="659"/>
      <c r="DY166" s="1265"/>
      <c r="DZ166" s="1785">
        <f t="shared" si="277"/>
        <v>0</v>
      </c>
      <c r="EA166" s="1786">
        <f t="shared" si="278"/>
        <v>0</v>
      </c>
      <c r="EB166" s="1781">
        <f t="shared" si="279"/>
        <v>0</v>
      </c>
      <c r="EC166" s="1782">
        <f t="shared" si="280"/>
        <v>0</v>
      </c>
      <c r="ED166" s="1262"/>
      <c r="EE166" s="2280"/>
      <c r="EF166" s="1802"/>
      <c r="EG166" s="167"/>
      <c r="EH166" s="168"/>
      <c r="EI166" s="168"/>
      <c r="EJ166" s="168"/>
      <c r="EK166" s="168"/>
      <c r="EL166" s="168"/>
      <c r="EM166" s="168"/>
      <c r="EN166" s="168"/>
      <c r="EO166" s="168"/>
      <c r="EP166" s="168"/>
      <c r="EQ166" s="168"/>
      <c r="ER166" s="168"/>
      <c r="ES166" s="168"/>
      <c r="ET166" s="168"/>
      <c r="EU166" s="168"/>
      <c r="EV166" s="168"/>
      <c r="EW166" s="168"/>
      <c r="EX166" s="168"/>
      <c r="EY166" s="168"/>
      <c r="EZ166" s="168"/>
      <c r="FA166" s="168"/>
      <c r="FB166" s="168"/>
      <c r="FC166" s="168"/>
      <c r="FD166" s="168"/>
      <c r="FE166" s="168"/>
      <c r="FF166" s="168"/>
      <c r="FG166" s="168"/>
      <c r="FH166" s="168"/>
      <c r="FI166" s="168"/>
      <c r="FJ166" s="168"/>
      <c r="FK166" s="168"/>
      <c r="FL166" s="168"/>
      <c r="FM166" s="168"/>
      <c r="FN166" s="168"/>
      <c r="FO166" s="168"/>
      <c r="FP166" s="168"/>
      <c r="FQ166" s="168"/>
      <c r="FR166" s="168"/>
      <c r="FS166" s="168"/>
      <c r="FT166" s="168"/>
      <c r="FU166" s="168"/>
      <c r="FV166" s="168"/>
      <c r="FW166" s="168"/>
      <c r="FX166" s="168"/>
      <c r="FY166" s="168"/>
      <c r="FZ166" s="168"/>
      <c r="GA166" s="168"/>
      <c r="GB166" s="168"/>
      <c r="GC166" s="168"/>
      <c r="GD166" s="168"/>
      <c r="GE166" s="168"/>
      <c r="GF166" s="168"/>
      <c r="GG166" s="168"/>
      <c r="GH166" s="168"/>
      <c r="GI166" s="168"/>
      <c r="GJ166" s="168"/>
      <c r="GK166" s="168"/>
      <c r="GL166" s="168"/>
      <c r="GM166" s="168"/>
      <c r="GN166" s="168"/>
      <c r="GO166" s="168"/>
      <c r="GP166" s="168"/>
      <c r="GQ166" s="168"/>
      <c r="GR166" s="168"/>
      <c r="GS166" s="168"/>
      <c r="GT166" s="168"/>
      <c r="GU166" s="168"/>
      <c r="GV166" s="168"/>
      <c r="GW166" s="168"/>
      <c r="GX166" s="168"/>
      <c r="GY166" s="168"/>
      <c r="GZ166" s="168"/>
      <c r="HA166" s="168"/>
      <c r="HB166" s="168"/>
      <c r="HC166" s="168"/>
      <c r="HD166" s="168"/>
      <c r="HE166" s="168"/>
      <c r="HF166" s="168"/>
      <c r="HG166" s="168"/>
      <c r="HH166" s="168"/>
      <c r="HI166" s="168"/>
      <c r="HJ166" s="168"/>
      <c r="HK166" s="168"/>
      <c r="HL166" s="168"/>
      <c r="HM166" s="168"/>
      <c r="HN166" s="168"/>
      <c r="HO166" s="168"/>
      <c r="HP166" s="168"/>
      <c r="HQ166" s="168"/>
      <c r="HR166" s="168"/>
      <c r="HS166" s="168"/>
      <c r="HT166" s="168"/>
      <c r="HU166" s="168"/>
      <c r="HV166" s="168"/>
      <c r="HW166" s="168"/>
      <c r="HX166" s="168"/>
      <c r="HY166" s="168"/>
      <c r="HZ166" s="168"/>
      <c r="IA166" s="168"/>
      <c r="IB166" s="168"/>
      <c r="IC166" s="168"/>
      <c r="ID166" s="168"/>
      <c r="IE166" s="168"/>
      <c r="IF166" s="168"/>
      <c r="IG166" s="168"/>
      <c r="IH166" s="168"/>
      <c r="II166" s="168"/>
      <c r="IJ166" s="168"/>
      <c r="IK166" s="168"/>
      <c r="IL166" s="168"/>
      <c r="IM166" s="168"/>
      <c r="IN166" s="168"/>
      <c r="IO166" s="168"/>
      <c r="IP166" s="168"/>
      <c r="IQ166" s="168"/>
      <c r="IR166" s="168"/>
      <c r="IS166" s="168"/>
      <c r="IT166" s="168"/>
      <c r="IU166" s="168"/>
      <c r="IV166" s="168"/>
      <c r="IW166" s="168"/>
      <c r="IX166" s="168"/>
      <c r="IY166" s="168"/>
      <c r="IZ166" s="168"/>
      <c r="JA166" s="168"/>
      <c r="JB166" s="168"/>
      <c r="JC166" s="606"/>
      <c r="JD166" s="609"/>
      <c r="JE166" s="1"/>
      <c r="JF166" s="1"/>
    </row>
    <row r="167" spans="1:266" s="2" customFormat="1" ht="15" customHeight="1" x14ac:dyDescent="0.25">
      <c r="A167" s="283"/>
      <c r="B167" s="303"/>
      <c r="C167" s="301"/>
      <c r="D167" s="638"/>
      <c r="E167" s="2298"/>
      <c r="F167" s="1812"/>
      <c r="G167" s="3342"/>
      <c r="H167" s="66"/>
      <c r="I167" s="1746"/>
      <c r="J167" s="86"/>
      <c r="K167" s="105"/>
      <c r="L167" s="91"/>
      <c r="M167" s="92"/>
      <c r="N167" s="93"/>
      <c r="O167" s="94"/>
      <c r="P167" s="96"/>
      <c r="Q167" s="95"/>
      <c r="R167" s="993">
        <f t="shared" si="267"/>
        <v>0</v>
      </c>
      <c r="S167" s="23">
        <f t="shared" si="214"/>
        <v>0</v>
      </c>
      <c r="T167" s="24">
        <f t="shared" si="215"/>
        <v>0</v>
      </c>
      <c r="U167" s="24">
        <f t="shared" si="199"/>
        <v>0</v>
      </c>
      <c r="V167" s="24">
        <f t="shared" si="216"/>
        <v>0</v>
      </c>
      <c r="W167" s="24">
        <f t="shared" si="217"/>
        <v>0</v>
      </c>
      <c r="X167" s="72">
        <f t="shared" si="218"/>
        <v>0</v>
      </c>
      <c r="Y167" s="72">
        <f t="shared" si="219"/>
        <v>0</v>
      </c>
      <c r="Z167" s="24">
        <f t="shared" si="268"/>
        <v>0</v>
      </c>
      <c r="AA167" s="72">
        <f t="shared" si="220"/>
        <v>0</v>
      </c>
      <c r="AB167" s="24">
        <f t="shared" si="221"/>
        <v>0</v>
      </c>
      <c r="AC167" s="24" t="s">
        <v>5</v>
      </c>
      <c r="AD167" s="25">
        <f t="shared" si="269"/>
        <v>3</v>
      </c>
      <c r="AE167" s="25">
        <f t="shared" si="270"/>
        <v>0</v>
      </c>
      <c r="AF167" s="25">
        <f t="shared" si="271"/>
        <v>0</v>
      </c>
      <c r="AG167" s="25">
        <f t="shared" si="222"/>
        <v>1</v>
      </c>
      <c r="AH167" s="25" t="str">
        <f>IFERROR(MATCH(DY167,'2 Staff List'!$IA$64:$IA$114,0),"x")</f>
        <v>x</v>
      </c>
      <c r="AI167" s="1181">
        <f>IFERROR(INDEX('2 Staff List'!$EX$64:$EX$114,$AH167),0)</f>
        <v>0</v>
      </c>
      <c r="AJ167" s="25">
        <f>IFERROR(INDEX('2 Staff List'!$IW$64:$IW$114,$AH167),0)</f>
        <v>0</v>
      </c>
      <c r="AK167" s="25">
        <f>IFERROR(INDEX('2 Staff List'!$IB$64:$IB$114,$AH167),0)</f>
        <v>0</v>
      </c>
      <c r="AL167" s="25">
        <f>IF(OR(NOT(ISBLANK(DV167)),CX167=1),"&lt;Non-Labor&gt;",IFERROR(IF(AH167=0,0,INDEX('2 Staff List'!$HZ$64:$HZ$114,$AH167)),0))</f>
        <v>0</v>
      </c>
      <c r="AM167" s="25">
        <f>IFERROR(INDEX('2 Staff List'!$HW$64:$HW$114,$AH167),0)</f>
        <v>0</v>
      </c>
      <c r="AN167" s="25">
        <f t="shared" si="223"/>
        <v>1</v>
      </c>
      <c r="AO167" s="25">
        <f>IF($AO$127=0,0,IFERROR(INDEX('2 Staff List'!$JH$64:$JH$114,$AH167),0))</f>
        <v>0</v>
      </c>
      <c r="AP167" s="25">
        <f>IFERROR(INDEX('2 Staff List'!$HU$64:$HU$114,$AH167),0)</f>
        <v>0</v>
      </c>
      <c r="AQ167" s="25">
        <f t="shared" si="224"/>
        <v>0</v>
      </c>
      <c r="AR167" s="25">
        <f t="shared" si="225"/>
        <v>0</v>
      </c>
      <c r="AS167" s="25">
        <f t="shared" si="226"/>
        <v>0</v>
      </c>
      <c r="AT167" s="25">
        <f t="shared" si="227"/>
        <v>0</v>
      </c>
      <c r="AU167" s="25">
        <f t="shared" si="228"/>
        <v>0</v>
      </c>
      <c r="AV167" s="25">
        <f t="shared" si="229"/>
        <v>0</v>
      </c>
      <c r="AW167" s="25">
        <f t="shared" si="230"/>
        <v>0</v>
      </c>
      <c r="AX167" s="25">
        <f t="shared" si="231"/>
        <v>0</v>
      </c>
      <c r="AY167" s="25">
        <f t="shared" si="232"/>
        <v>0</v>
      </c>
      <c r="AZ167" s="25">
        <f t="shared" si="233"/>
        <v>0</v>
      </c>
      <c r="BA167" s="25">
        <f t="shared" si="234"/>
        <v>0</v>
      </c>
      <c r="BB167" s="25">
        <f t="shared" si="235"/>
        <v>0</v>
      </c>
      <c r="BC167" s="25">
        <f>IFERROR(INDEX('2 Staff List'!KS$64:KS$114,$AH167),0)</f>
        <v>0</v>
      </c>
      <c r="BD167" s="25">
        <f>IFERROR(INDEX('2 Staff List'!KT$64:KT$114,$AH167),0)</f>
        <v>0</v>
      </c>
      <c r="BE167" s="25">
        <f>IFERROR(INDEX('2 Staff List'!KU$64:KU$114,$AH167),0)</f>
        <v>0</v>
      </c>
      <c r="BF167" s="25">
        <f>IFERROR(INDEX('2 Staff List'!KV$64:KV$114,$AH167),0)</f>
        <v>0</v>
      </c>
      <c r="BG167" s="25">
        <f>IFERROR(INDEX('2 Staff List'!KW$64:KW$114,$AH167),0)</f>
        <v>0</v>
      </c>
      <c r="BH167" s="25">
        <f>IFERROR(INDEX('2 Staff List'!KX$64:KX$114,$AH167),0)</f>
        <v>0</v>
      </c>
      <c r="BI167" s="25">
        <f>IFERROR(INDEX('2 Staff List'!KY$64:KY$114,$AH167),0)</f>
        <v>0</v>
      </c>
      <c r="BJ167" s="25">
        <f>IFERROR(INDEX('2 Staff List'!KZ$64:KZ$114,$AH167),0)</f>
        <v>0</v>
      </c>
      <c r="BK167" s="25">
        <f>IFERROR(INDEX('2 Staff List'!LA$64:LA$114,$AH167),0)</f>
        <v>0</v>
      </c>
      <c r="BL167" s="25">
        <f>IFERROR(INDEX('2 Staff List'!LB$64:LB$114,$AH167),0)</f>
        <v>0</v>
      </c>
      <c r="BM167" s="25">
        <f>IFERROR(INDEX('2 Staff List'!FT$64:FT$114,$AH167),0)</f>
        <v>0</v>
      </c>
      <c r="BN167" s="25">
        <f>IFERROR(INDEX('2 Staff List'!FU$64:FU$114,$AH167),0)</f>
        <v>0</v>
      </c>
      <c r="BO167" s="25">
        <f>IFERROR(INDEX('2 Staff List'!FV$64:FV$114,$AH167),0)</f>
        <v>0</v>
      </c>
      <c r="BP167" s="25">
        <f>IFERROR(INDEX('2 Staff List'!FW$64:FW$114,$AH167),0)</f>
        <v>0</v>
      </c>
      <c r="BQ167" s="25">
        <f>IFERROR(INDEX('2 Staff List'!FX$64:FX$114,$AH167),0)</f>
        <v>0</v>
      </c>
      <c r="BR167" s="25">
        <f>IFERROR(INDEX('2 Staff List'!FY$64:FY$114,$AH167),0)</f>
        <v>0</v>
      </c>
      <c r="BS167" s="25">
        <f>IFERROR(INDEX('2 Staff List'!FZ$64:FZ$114,$AH167),0)</f>
        <v>0</v>
      </c>
      <c r="BT167" s="25">
        <f>IFERROR(INDEX('2 Staff List'!GA$64:GA$114,$AH167),0)</f>
        <v>0</v>
      </c>
      <c r="BU167" s="25">
        <f>IFERROR(INDEX('2 Staff List'!GB$64:GB$114,$AH167),0)</f>
        <v>0</v>
      </c>
      <c r="BV167" s="25">
        <f>IFERROR(INDEX('2 Staff List'!GC$64:GC$114,$AH167),0)</f>
        <v>0</v>
      </c>
      <c r="BW167" s="25">
        <f t="shared" si="236"/>
        <v>0</v>
      </c>
      <c r="BX167" s="25">
        <f t="shared" si="237"/>
        <v>0</v>
      </c>
      <c r="BY167" s="25">
        <f t="shared" si="238"/>
        <v>0</v>
      </c>
      <c r="BZ167" s="25">
        <f t="shared" si="239"/>
        <v>0</v>
      </c>
      <c r="CA167" s="25">
        <f t="shared" si="240"/>
        <v>0</v>
      </c>
      <c r="CB167" s="25">
        <f t="shared" si="241"/>
        <v>0</v>
      </c>
      <c r="CC167" s="25">
        <f t="shared" si="242"/>
        <v>0</v>
      </c>
      <c r="CD167" s="25">
        <f t="shared" si="243"/>
        <v>0</v>
      </c>
      <c r="CE167" s="25">
        <f t="shared" si="244"/>
        <v>0</v>
      </c>
      <c r="CF167" s="25">
        <f t="shared" si="245"/>
        <v>0</v>
      </c>
      <c r="CG167" s="25">
        <f t="shared" si="246"/>
        <v>0</v>
      </c>
      <c r="CH167" s="25">
        <f>IFERROR(INDEX('2 Staff List'!LO$64:LO$114,$AH167),0)</f>
        <v>0</v>
      </c>
      <c r="CI167" s="25">
        <f>IFERROR(INDEX('2 Staff List'!LP$64:LP$114,$AH167),0)</f>
        <v>0</v>
      </c>
      <c r="CJ167" s="25">
        <f>IFERROR(INDEX('2 Staff List'!LQ$64:LQ$114,$AH167),0)</f>
        <v>0</v>
      </c>
      <c r="CK167" s="25">
        <f>IFERROR(INDEX('2 Staff List'!LR$64:LR$114,$AH167),0)</f>
        <v>0</v>
      </c>
      <c r="CL167" s="25">
        <f>IFERROR(INDEX('2 Staff List'!LS$64:LS$114,$AH167),0)</f>
        <v>0</v>
      </c>
      <c r="CM167" s="25">
        <f>IFERROR(INDEX('2 Staff List'!LT$64:LT$114,$AH167),0)</f>
        <v>0</v>
      </c>
      <c r="CN167" s="25">
        <f>IFERROR(INDEX('2 Staff List'!LU$64:LU$114,$AH167),0)</f>
        <v>0</v>
      </c>
      <c r="CO167" s="25">
        <f>IFERROR(INDEX('2 Staff List'!LV$64:LV$114,$AH167),0)</f>
        <v>0</v>
      </c>
      <c r="CP167" s="25">
        <f>IFERROR(INDEX('2 Staff List'!LW$64:LW$114,$AH167),0)</f>
        <v>0</v>
      </c>
      <c r="CQ167" s="25">
        <f>IFERROR(INDEX('2 Staff List'!LX$64:LX$114,$AH167),0)</f>
        <v>0</v>
      </c>
      <c r="CR167" s="25">
        <f t="shared" si="272"/>
        <v>0</v>
      </c>
      <c r="CS167" s="25">
        <f t="shared" si="265"/>
        <v>1</v>
      </c>
      <c r="CT167" s="25">
        <f t="shared" si="248"/>
        <v>1</v>
      </c>
      <c r="CU167" s="25">
        <f t="shared" si="249"/>
        <v>1</v>
      </c>
      <c r="CV167" s="25">
        <f t="shared" si="250"/>
        <v>1</v>
      </c>
      <c r="CW167" s="25">
        <f t="shared" si="251"/>
        <v>1</v>
      </c>
      <c r="CX167" s="25">
        <f t="shared" si="252"/>
        <v>0</v>
      </c>
      <c r="CY167" s="25">
        <f t="shared" si="253"/>
        <v>0</v>
      </c>
      <c r="CZ167" s="25">
        <f t="shared" si="254"/>
        <v>0</v>
      </c>
      <c r="DA167" s="25">
        <f t="shared" si="255"/>
        <v>1</v>
      </c>
      <c r="DB167" s="25">
        <f t="shared" si="273"/>
        <v>1</v>
      </c>
      <c r="DC167" s="25">
        <f t="shared" si="256"/>
        <v>0</v>
      </c>
      <c r="DD167" s="25">
        <f>IF(OR($AD167&lt;&gt;3,F167="Exclude"),0,IF(ISERROR(MATCH($E167,'4 Sign-off'!$S$123:$X$123,0)),0,1))</f>
        <v>0</v>
      </c>
      <c r="DE167" s="25">
        <f t="shared" si="274"/>
        <v>0</v>
      </c>
      <c r="DF167" s="25">
        <f t="shared" si="257"/>
        <v>0</v>
      </c>
      <c r="DG167" s="25" t="str">
        <f t="shared" si="258"/>
        <v/>
      </c>
      <c r="DH167" s="25">
        <f t="shared" si="259"/>
        <v>0</v>
      </c>
      <c r="DI167" s="25">
        <f t="shared" si="260"/>
        <v>0</v>
      </c>
      <c r="DJ167" s="25">
        <f>IF(ISBLANK(J167),0,ISERROR(MATCH(J167,'5  Control Accounts'!$FA$29:$FA$96,0))*1)</f>
        <v>0</v>
      </c>
      <c r="DK167" s="25">
        <f t="shared" si="261"/>
        <v>0</v>
      </c>
      <c r="DL167" s="25">
        <f t="shared" si="275"/>
        <v>-1</v>
      </c>
      <c r="DM167" s="25" t="e">
        <f t="array" ref="DM167">MATCH(1,($EG167:$JD167&gt;0)*$EG$17:$JD$17,0)</f>
        <v>#N/A</v>
      </c>
      <c r="DN167" s="25" t="e">
        <f t="shared" si="276"/>
        <v>#N/A</v>
      </c>
      <c r="DO167" s="25" t="e">
        <f t="array" ref="DO167">MATCH(2,1/(EG167:JD167&gt;0))</f>
        <v>#N/A</v>
      </c>
      <c r="DP167" s="2993">
        <f t="shared" si="262"/>
        <v>0</v>
      </c>
      <c r="DQ167" s="3037">
        <f t="shared" si="263"/>
        <v>0</v>
      </c>
      <c r="DR167" s="111"/>
      <c r="DS167" s="1268">
        <f t="shared" si="266"/>
        <v>0</v>
      </c>
      <c r="DT167" s="1825"/>
      <c r="DU167" s="1826"/>
      <c r="DV167" s="1827"/>
      <c r="DW167" s="1828"/>
      <c r="DX167" s="659"/>
      <c r="DY167" s="1265"/>
      <c r="DZ167" s="1785">
        <f t="shared" si="277"/>
        <v>0</v>
      </c>
      <c r="EA167" s="1786">
        <f t="shared" si="278"/>
        <v>0</v>
      </c>
      <c r="EB167" s="1781">
        <f t="shared" si="279"/>
        <v>0</v>
      </c>
      <c r="EC167" s="1782">
        <f t="shared" si="280"/>
        <v>0</v>
      </c>
      <c r="ED167" s="1262"/>
      <c r="EE167" s="2280"/>
      <c r="EF167" s="1802"/>
      <c r="EG167" s="167"/>
      <c r="EH167" s="168"/>
      <c r="EI167" s="168"/>
      <c r="EJ167" s="168"/>
      <c r="EK167" s="168"/>
      <c r="EL167" s="168"/>
      <c r="EM167" s="168"/>
      <c r="EN167" s="168"/>
      <c r="EO167" s="168"/>
      <c r="EP167" s="168"/>
      <c r="EQ167" s="168"/>
      <c r="ER167" s="168"/>
      <c r="ES167" s="168"/>
      <c r="ET167" s="168"/>
      <c r="EU167" s="168"/>
      <c r="EV167" s="168"/>
      <c r="EW167" s="168"/>
      <c r="EX167" s="168"/>
      <c r="EY167" s="168"/>
      <c r="EZ167" s="168"/>
      <c r="FA167" s="168"/>
      <c r="FB167" s="168"/>
      <c r="FC167" s="168"/>
      <c r="FD167" s="168"/>
      <c r="FE167" s="168"/>
      <c r="FF167" s="168"/>
      <c r="FG167" s="168"/>
      <c r="FH167" s="168"/>
      <c r="FI167" s="168"/>
      <c r="FJ167" s="168"/>
      <c r="FK167" s="168"/>
      <c r="FL167" s="168"/>
      <c r="FM167" s="168"/>
      <c r="FN167" s="168"/>
      <c r="FO167" s="168"/>
      <c r="FP167" s="168"/>
      <c r="FQ167" s="168"/>
      <c r="FR167" s="168"/>
      <c r="FS167" s="168"/>
      <c r="FT167" s="168"/>
      <c r="FU167" s="168"/>
      <c r="FV167" s="168"/>
      <c r="FW167" s="168"/>
      <c r="FX167" s="168"/>
      <c r="FY167" s="168"/>
      <c r="FZ167" s="168"/>
      <c r="GA167" s="168"/>
      <c r="GB167" s="168"/>
      <c r="GC167" s="168"/>
      <c r="GD167" s="168"/>
      <c r="GE167" s="168"/>
      <c r="GF167" s="168"/>
      <c r="GG167" s="168"/>
      <c r="GH167" s="168"/>
      <c r="GI167" s="168"/>
      <c r="GJ167" s="168"/>
      <c r="GK167" s="168"/>
      <c r="GL167" s="168"/>
      <c r="GM167" s="168"/>
      <c r="GN167" s="168"/>
      <c r="GO167" s="168"/>
      <c r="GP167" s="168"/>
      <c r="GQ167" s="168"/>
      <c r="GR167" s="168"/>
      <c r="GS167" s="168"/>
      <c r="GT167" s="168"/>
      <c r="GU167" s="168"/>
      <c r="GV167" s="168"/>
      <c r="GW167" s="168"/>
      <c r="GX167" s="168"/>
      <c r="GY167" s="168"/>
      <c r="GZ167" s="168"/>
      <c r="HA167" s="168"/>
      <c r="HB167" s="168"/>
      <c r="HC167" s="168"/>
      <c r="HD167" s="168"/>
      <c r="HE167" s="168"/>
      <c r="HF167" s="168"/>
      <c r="HG167" s="168"/>
      <c r="HH167" s="168"/>
      <c r="HI167" s="168"/>
      <c r="HJ167" s="168"/>
      <c r="HK167" s="168"/>
      <c r="HL167" s="168"/>
      <c r="HM167" s="168"/>
      <c r="HN167" s="168"/>
      <c r="HO167" s="168"/>
      <c r="HP167" s="168"/>
      <c r="HQ167" s="168"/>
      <c r="HR167" s="168"/>
      <c r="HS167" s="168"/>
      <c r="HT167" s="168"/>
      <c r="HU167" s="168"/>
      <c r="HV167" s="168"/>
      <c r="HW167" s="168"/>
      <c r="HX167" s="168"/>
      <c r="HY167" s="168"/>
      <c r="HZ167" s="168"/>
      <c r="IA167" s="168"/>
      <c r="IB167" s="168"/>
      <c r="IC167" s="168"/>
      <c r="ID167" s="168"/>
      <c r="IE167" s="168"/>
      <c r="IF167" s="168"/>
      <c r="IG167" s="168"/>
      <c r="IH167" s="168"/>
      <c r="II167" s="168"/>
      <c r="IJ167" s="168"/>
      <c r="IK167" s="168"/>
      <c r="IL167" s="168"/>
      <c r="IM167" s="168"/>
      <c r="IN167" s="168"/>
      <c r="IO167" s="168"/>
      <c r="IP167" s="168"/>
      <c r="IQ167" s="168"/>
      <c r="IR167" s="168"/>
      <c r="IS167" s="168"/>
      <c r="IT167" s="168"/>
      <c r="IU167" s="168"/>
      <c r="IV167" s="168"/>
      <c r="IW167" s="168"/>
      <c r="IX167" s="168"/>
      <c r="IY167" s="168"/>
      <c r="IZ167" s="168"/>
      <c r="JA167" s="168"/>
      <c r="JB167" s="168"/>
      <c r="JC167" s="606"/>
      <c r="JD167" s="609"/>
      <c r="JE167" s="1"/>
      <c r="JF167" s="1"/>
    </row>
    <row r="168" spans="1:266" s="2" customFormat="1" ht="15" customHeight="1" x14ac:dyDescent="0.25">
      <c r="A168" s="283"/>
      <c r="B168" s="303"/>
      <c r="C168" s="301"/>
      <c r="D168" s="638"/>
      <c r="E168" s="2298"/>
      <c r="F168" s="1812"/>
      <c r="G168" s="3342"/>
      <c r="H168" s="66"/>
      <c r="I168" s="1746"/>
      <c r="J168" s="86"/>
      <c r="K168" s="105"/>
      <c r="L168" s="91"/>
      <c r="M168" s="92"/>
      <c r="N168" s="93"/>
      <c r="O168" s="94"/>
      <c r="P168" s="96"/>
      <c r="Q168" s="2065"/>
      <c r="R168" s="993">
        <f t="shared" si="267"/>
        <v>0</v>
      </c>
      <c r="S168" s="23">
        <f t="shared" si="214"/>
        <v>0</v>
      </c>
      <c r="T168" s="24">
        <f t="shared" si="215"/>
        <v>0</v>
      </c>
      <c r="U168" s="24">
        <f t="shared" si="199"/>
        <v>0</v>
      </c>
      <c r="V168" s="24">
        <f t="shared" si="216"/>
        <v>0</v>
      </c>
      <c r="W168" s="24">
        <f t="shared" si="217"/>
        <v>0</v>
      </c>
      <c r="X168" s="72">
        <f t="shared" si="218"/>
        <v>0</v>
      </c>
      <c r="Y168" s="72">
        <f t="shared" si="219"/>
        <v>0</v>
      </c>
      <c r="Z168" s="24">
        <f t="shared" si="268"/>
        <v>0</v>
      </c>
      <c r="AA168" s="72">
        <f t="shared" si="220"/>
        <v>0</v>
      </c>
      <c r="AB168" s="24">
        <f t="shared" si="221"/>
        <v>0</v>
      </c>
      <c r="AC168" s="24" t="s">
        <v>5</v>
      </c>
      <c r="AD168" s="25">
        <f t="shared" si="269"/>
        <v>3</v>
      </c>
      <c r="AE168" s="25">
        <f t="shared" si="270"/>
        <v>0</v>
      </c>
      <c r="AF168" s="25">
        <f t="shared" si="271"/>
        <v>0</v>
      </c>
      <c r="AG168" s="25">
        <f t="shared" si="222"/>
        <v>1</v>
      </c>
      <c r="AH168" s="25" t="str">
        <f>IFERROR(MATCH(DY168,'2 Staff List'!$IA$64:$IA$114,0),"x")</f>
        <v>x</v>
      </c>
      <c r="AI168" s="1181">
        <f>IFERROR(INDEX('2 Staff List'!$EX$64:$EX$114,$AH168),0)</f>
        <v>0</v>
      </c>
      <c r="AJ168" s="25">
        <f>IFERROR(INDEX('2 Staff List'!$IW$64:$IW$114,$AH168),0)</f>
        <v>0</v>
      </c>
      <c r="AK168" s="25">
        <f>IFERROR(INDEX('2 Staff List'!$IB$64:$IB$114,$AH168),0)</f>
        <v>0</v>
      </c>
      <c r="AL168" s="25">
        <f>IF(OR(NOT(ISBLANK(DV168)),CX168=1),"&lt;Non-Labor&gt;",IFERROR(IF(AH168=0,0,INDEX('2 Staff List'!$HZ$64:$HZ$114,$AH168)),0))</f>
        <v>0</v>
      </c>
      <c r="AM168" s="25">
        <f>IFERROR(INDEX('2 Staff List'!$HW$64:$HW$114,$AH168),0)</f>
        <v>0</v>
      </c>
      <c r="AN168" s="25">
        <f t="shared" si="223"/>
        <v>1</v>
      </c>
      <c r="AO168" s="25">
        <f>IF($AO$127=0,0,IFERROR(INDEX('2 Staff List'!$JH$64:$JH$114,$AH168),0))</f>
        <v>0</v>
      </c>
      <c r="AP168" s="25">
        <f>IFERROR(INDEX('2 Staff List'!$HU$64:$HU$114,$AH168),0)</f>
        <v>0</v>
      </c>
      <c r="AQ168" s="25">
        <f t="shared" si="224"/>
        <v>0</v>
      </c>
      <c r="AR168" s="25">
        <f t="shared" si="225"/>
        <v>0</v>
      </c>
      <c r="AS168" s="25">
        <f t="shared" si="226"/>
        <v>0</v>
      </c>
      <c r="AT168" s="25">
        <f t="shared" si="227"/>
        <v>0</v>
      </c>
      <c r="AU168" s="25">
        <f t="shared" si="228"/>
        <v>0</v>
      </c>
      <c r="AV168" s="25">
        <f t="shared" si="229"/>
        <v>0</v>
      </c>
      <c r="AW168" s="25">
        <f t="shared" si="230"/>
        <v>0</v>
      </c>
      <c r="AX168" s="25">
        <f t="shared" si="231"/>
        <v>0</v>
      </c>
      <c r="AY168" s="25">
        <f t="shared" si="232"/>
        <v>0</v>
      </c>
      <c r="AZ168" s="25">
        <f t="shared" si="233"/>
        <v>0</v>
      </c>
      <c r="BA168" s="25">
        <f t="shared" si="234"/>
        <v>0</v>
      </c>
      <c r="BB168" s="25">
        <f t="shared" si="235"/>
        <v>0</v>
      </c>
      <c r="BC168" s="25">
        <f>IFERROR(INDEX('2 Staff List'!KS$64:KS$114,$AH168),0)</f>
        <v>0</v>
      </c>
      <c r="BD168" s="25">
        <f>IFERROR(INDEX('2 Staff List'!KT$64:KT$114,$AH168),0)</f>
        <v>0</v>
      </c>
      <c r="BE168" s="25">
        <f>IFERROR(INDEX('2 Staff List'!KU$64:KU$114,$AH168),0)</f>
        <v>0</v>
      </c>
      <c r="BF168" s="25">
        <f>IFERROR(INDEX('2 Staff List'!KV$64:KV$114,$AH168),0)</f>
        <v>0</v>
      </c>
      <c r="BG168" s="25">
        <f>IFERROR(INDEX('2 Staff List'!KW$64:KW$114,$AH168),0)</f>
        <v>0</v>
      </c>
      <c r="BH168" s="25">
        <f>IFERROR(INDEX('2 Staff List'!KX$64:KX$114,$AH168),0)</f>
        <v>0</v>
      </c>
      <c r="BI168" s="25">
        <f>IFERROR(INDEX('2 Staff List'!KY$64:KY$114,$AH168),0)</f>
        <v>0</v>
      </c>
      <c r="BJ168" s="25">
        <f>IFERROR(INDEX('2 Staff List'!KZ$64:KZ$114,$AH168),0)</f>
        <v>0</v>
      </c>
      <c r="BK168" s="25">
        <f>IFERROR(INDEX('2 Staff List'!LA$64:LA$114,$AH168),0)</f>
        <v>0</v>
      </c>
      <c r="BL168" s="25">
        <f>IFERROR(INDEX('2 Staff List'!LB$64:LB$114,$AH168),0)</f>
        <v>0</v>
      </c>
      <c r="BM168" s="25">
        <f>IFERROR(INDEX('2 Staff List'!FT$64:FT$114,$AH168),0)</f>
        <v>0</v>
      </c>
      <c r="BN168" s="25">
        <f>IFERROR(INDEX('2 Staff List'!FU$64:FU$114,$AH168),0)</f>
        <v>0</v>
      </c>
      <c r="BO168" s="25">
        <f>IFERROR(INDEX('2 Staff List'!FV$64:FV$114,$AH168),0)</f>
        <v>0</v>
      </c>
      <c r="BP168" s="25">
        <f>IFERROR(INDEX('2 Staff List'!FW$64:FW$114,$AH168),0)</f>
        <v>0</v>
      </c>
      <c r="BQ168" s="25">
        <f>IFERROR(INDEX('2 Staff List'!FX$64:FX$114,$AH168),0)</f>
        <v>0</v>
      </c>
      <c r="BR168" s="25">
        <f>IFERROR(INDEX('2 Staff List'!FY$64:FY$114,$AH168),0)</f>
        <v>0</v>
      </c>
      <c r="BS168" s="25">
        <f>IFERROR(INDEX('2 Staff List'!FZ$64:FZ$114,$AH168),0)</f>
        <v>0</v>
      </c>
      <c r="BT168" s="25">
        <f>IFERROR(INDEX('2 Staff List'!GA$64:GA$114,$AH168),0)</f>
        <v>0</v>
      </c>
      <c r="BU168" s="25">
        <f>IFERROR(INDEX('2 Staff List'!GB$64:GB$114,$AH168),0)</f>
        <v>0</v>
      </c>
      <c r="BV168" s="25">
        <f>IFERROR(INDEX('2 Staff List'!GC$64:GC$114,$AH168),0)</f>
        <v>0</v>
      </c>
      <c r="BW168" s="25">
        <f t="shared" si="236"/>
        <v>0</v>
      </c>
      <c r="BX168" s="25">
        <f t="shared" si="237"/>
        <v>0</v>
      </c>
      <c r="BY168" s="25">
        <f t="shared" si="238"/>
        <v>0</v>
      </c>
      <c r="BZ168" s="25">
        <f t="shared" si="239"/>
        <v>0</v>
      </c>
      <c r="CA168" s="25">
        <f t="shared" si="240"/>
        <v>0</v>
      </c>
      <c r="CB168" s="25">
        <f t="shared" si="241"/>
        <v>0</v>
      </c>
      <c r="CC168" s="25">
        <f t="shared" si="242"/>
        <v>0</v>
      </c>
      <c r="CD168" s="25">
        <f t="shared" si="243"/>
        <v>0</v>
      </c>
      <c r="CE168" s="25">
        <f t="shared" si="244"/>
        <v>0</v>
      </c>
      <c r="CF168" s="25">
        <f t="shared" si="245"/>
        <v>0</v>
      </c>
      <c r="CG168" s="25">
        <f t="shared" si="246"/>
        <v>0</v>
      </c>
      <c r="CH168" s="25">
        <f>IFERROR(INDEX('2 Staff List'!LO$64:LO$114,$AH168),0)</f>
        <v>0</v>
      </c>
      <c r="CI168" s="25">
        <f>IFERROR(INDEX('2 Staff List'!LP$64:LP$114,$AH168),0)</f>
        <v>0</v>
      </c>
      <c r="CJ168" s="25">
        <f>IFERROR(INDEX('2 Staff List'!LQ$64:LQ$114,$AH168),0)</f>
        <v>0</v>
      </c>
      <c r="CK168" s="25">
        <f>IFERROR(INDEX('2 Staff List'!LR$64:LR$114,$AH168),0)</f>
        <v>0</v>
      </c>
      <c r="CL168" s="25">
        <f>IFERROR(INDEX('2 Staff List'!LS$64:LS$114,$AH168),0)</f>
        <v>0</v>
      </c>
      <c r="CM168" s="25">
        <f>IFERROR(INDEX('2 Staff List'!LT$64:LT$114,$AH168),0)</f>
        <v>0</v>
      </c>
      <c r="CN168" s="25">
        <f>IFERROR(INDEX('2 Staff List'!LU$64:LU$114,$AH168),0)</f>
        <v>0</v>
      </c>
      <c r="CO168" s="25">
        <f>IFERROR(INDEX('2 Staff List'!LV$64:LV$114,$AH168),0)</f>
        <v>0</v>
      </c>
      <c r="CP168" s="25">
        <f>IFERROR(INDEX('2 Staff List'!LW$64:LW$114,$AH168),0)</f>
        <v>0</v>
      </c>
      <c r="CQ168" s="25">
        <f>IFERROR(INDEX('2 Staff List'!LX$64:LX$114,$AH168),0)</f>
        <v>0</v>
      </c>
      <c r="CR168" s="25">
        <f t="shared" si="272"/>
        <v>0</v>
      </c>
      <c r="CS168" s="25">
        <f t="shared" si="265"/>
        <v>1</v>
      </c>
      <c r="CT168" s="25">
        <f t="shared" si="248"/>
        <v>1</v>
      </c>
      <c r="CU168" s="25">
        <f t="shared" si="249"/>
        <v>1</v>
      </c>
      <c r="CV168" s="25">
        <f t="shared" si="250"/>
        <v>1</v>
      </c>
      <c r="CW168" s="25">
        <f t="shared" si="251"/>
        <v>1</v>
      </c>
      <c r="CX168" s="25">
        <f t="shared" si="252"/>
        <v>0</v>
      </c>
      <c r="CY168" s="25">
        <f t="shared" si="253"/>
        <v>0</v>
      </c>
      <c r="CZ168" s="25">
        <f t="shared" si="254"/>
        <v>0</v>
      </c>
      <c r="DA168" s="25">
        <f t="shared" si="255"/>
        <v>1</v>
      </c>
      <c r="DB168" s="25">
        <f t="shared" si="273"/>
        <v>1</v>
      </c>
      <c r="DC168" s="25">
        <f t="shared" si="256"/>
        <v>0</v>
      </c>
      <c r="DD168" s="25">
        <f>IF(OR($AD168&lt;&gt;3,F168="Exclude"),0,IF(ISERROR(MATCH($E168,'4 Sign-off'!$S$123:$X$123,0)),0,1))</f>
        <v>0</v>
      </c>
      <c r="DE168" s="25">
        <f t="shared" si="274"/>
        <v>0</v>
      </c>
      <c r="DF168" s="25">
        <f t="shared" si="257"/>
        <v>0</v>
      </c>
      <c r="DG168" s="25" t="str">
        <f t="shared" si="258"/>
        <v/>
      </c>
      <c r="DH168" s="25">
        <f t="shared" si="259"/>
        <v>0</v>
      </c>
      <c r="DI168" s="25">
        <f t="shared" si="260"/>
        <v>0</v>
      </c>
      <c r="DJ168" s="25">
        <f>IF(ISBLANK(J168),0,ISERROR(MATCH(J168,'5  Control Accounts'!$FA$29:$FA$96,0))*1)</f>
        <v>0</v>
      </c>
      <c r="DK168" s="25">
        <f t="shared" si="261"/>
        <v>0</v>
      </c>
      <c r="DL168" s="25">
        <f t="shared" si="275"/>
        <v>-1</v>
      </c>
      <c r="DM168" s="25" t="e">
        <f t="array" ref="DM168">MATCH(1,($EG168:$JD168&gt;0)*$EG$17:$JD$17,0)</f>
        <v>#N/A</v>
      </c>
      <c r="DN168" s="25" t="e">
        <f t="shared" si="276"/>
        <v>#N/A</v>
      </c>
      <c r="DO168" s="25" t="e">
        <f t="array" ref="DO168">MATCH(2,1/(EG168:JD168&gt;0))</f>
        <v>#N/A</v>
      </c>
      <c r="DP168" s="2993">
        <f t="shared" si="262"/>
        <v>0</v>
      </c>
      <c r="DQ168" s="3037">
        <f t="shared" si="263"/>
        <v>0</v>
      </c>
      <c r="DR168" s="111"/>
      <c r="DS168" s="1268">
        <f t="shared" si="266"/>
        <v>0</v>
      </c>
      <c r="DT168" s="1825"/>
      <c r="DU168" s="1826"/>
      <c r="DV168" s="1827"/>
      <c r="DW168" s="1828"/>
      <c r="DX168" s="659"/>
      <c r="DY168" s="1265"/>
      <c r="DZ168" s="1785">
        <f t="shared" si="277"/>
        <v>0</v>
      </c>
      <c r="EA168" s="1786">
        <f t="shared" si="278"/>
        <v>0</v>
      </c>
      <c r="EB168" s="1781">
        <f t="shared" si="279"/>
        <v>0</v>
      </c>
      <c r="EC168" s="1782">
        <f t="shared" si="280"/>
        <v>0</v>
      </c>
      <c r="ED168" s="1262"/>
      <c r="EE168" s="2280"/>
      <c r="EF168" s="1802"/>
      <c r="EG168" s="167"/>
      <c r="EH168" s="168"/>
      <c r="EI168" s="168"/>
      <c r="EJ168" s="168"/>
      <c r="EK168" s="168"/>
      <c r="EL168" s="168"/>
      <c r="EM168" s="168"/>
      <c r="EN168" s="168"/>
      <c r="EO168" s="168"/>
      <c r="EP168" s="168"/>
      <c r="EQ168" s="168"/>
      <c r="ER168" s="168"/>
      <c r="ES168" s="168"/>
      <c r="ET168" s="168"/>
      <c r="EU168" s="168"/>
      <c r="EV168" s="168"/>
      <c r="EW168" s="168"/>
      <c r="EX168" s="168"/>
      <c r="EY168" s="168"/>
      <c r="EZ168" s="168"/>
      <c r="FA168" s="168"/>
      <c r="FB168" s="168"/>
      <c r="FC168" s="168"/>
      <c r="FD168" s="168"/>
      <c r="FE168" s="168"/>
      <c r="FF168" s="168"/>
      <c r="FG168" s="168"/>
      <c r="FH168" s="168"/>
      <c r="FI168" s="168"/>
      <c r="FJ168" s="168"/>
      <c r="FK168" s="168"/>
      <c r="FL168" s="168"/>
      <c r="FM168" s="168"/>
      <c r="FN168" s="168"/>
      <c r="FO168" s="168"/>
      <c r="FP168" s="168"/>
      <c r="FQ168" s="168"/>
      <c r="FR168" s="168"/>
      <c r="FS168" s="168"/>
      <c r="FT168" s="168"/>
      <c r="FU168" s="168"/>
      <c r="FV168" s="168"/>
      <c r="FW168" s="168"/>
      <c r="FX168" s="168"/>
      <c r="FY168" s="168"/>
      <c r="FZ168" s="168"/>
      <c r="GA168" s="168"/>
      <c r="GB168" s="168"/>
      <c r="GC168" s="168"/>
      <c r="GD168" s="168"/>
      <c r="GE168" s="168"/>
      <c r="GF168" s="168"/>
      <c r="GG168" s="168"/>
      <c r="GH168" s="168"/>
      <c r="GI168" s="168"/>
      <c r="GJ168" s="168"/>
      <c r="GK168" s="168"/>
      <c r="GL168" s="168"/>
      <c r="GM168" s="168"/>
      <c r="GN168" s="168"/>
      <c r="GO168" s="168"/>
      <c r="GP168" s="168"/>
      <c r="GQ168" s="168"/>
      <c r="GR168" s="168"/>
      <c r="GS168" s="168"/>
      <c r="GT168" s="168"/>
      <c r="GU168" s="168"/>
      <c r="GV168" s="168"/>
      <c r="GW168" s="168"/>
      <c r="GX168" s="168"/>
      <c r="GY168" s="168"/>
      <c r="GZ168" s="168"/>
      <c r="HA168" s="168"/>
      <c r="HB168" s="168"/>
      <c r="HC168" s="168"/>
      <c r="HD168" s="168"/>
      <c r="HE168" s="168"/>
      <c r="HF168" s="168"/>
      <c r="HG168" s="168"/>
      <c r="HH168" s="168"/>
      <c r="HI168" s="168"/>
      <c r="HJ168" s="168"/>
      <c r="HK168" s="168"/>
      <c r="HL168" s="168"/>
      <c r="HM168" s="168"/>
      <c r="HN168" s="168"/>
      <c r="HO168" s="168"/>
      <c r="HP168" s="168"/>
      <c r="HQ168" s="168"/>
      <c r="HR168" s="168"/>
      <c r="HS168" s="168"/>
      <c r="HT168" s="168"/>
      <c r="HU168" s="168"/>
      <c r="HV168" s="168"/>
      <c r="HW168" s="168"/>
      <c r="HX168" s="168"/>
      <c r="HY168" s="168"/>
      <c r="HZ168" s="168"/>
      <c r="IA168" s="168"/>
      <c r="IB168" s="168"/>
      <c r="IC168" s="168"/>
      <c r="ID168" s="168"/>
      <c r="IE168" s="168"/>
      <c r="IF168" s="168"/>
      <c r="IG168" s="168"/>
      <c r="IH168" s="168"/>
      <c r="II168" s="168"/>
      <c r="IJ168" s="168"/>
      <c r="IK168" s="168"/>
      <c r="IL168" s="168"/>
      <c r="IM168" s="168"/>
      <c r="IN168" s="168"/>
      <c r="IO168" s="168"/>
      <c r="IP168" s="168"/>
      <c r="IQ168" s="168"/>
      <c r="IR168" s="168"/>
      <c r="IS168" s="168"/>
      <c r="IT168" s="168"/>
      <c r="IU168" s="168"/>
      <c r="IV168" s="168"/>
      <c r="IW168" s="168"/>
      <c r="IX168" s="168"/>
      <c r="IY168" s="168"/>
      <c r="IZ168" s="168"/>
      <c r="JA168" s="168"/>
      <c r="JB168" s="168"/>
      <c r="JC168" s="606"/>
      <c r="JD168" s="609"/>
      <c r="JE168" s="1"/>
      <c r="JF168" s="1"/>
    </row>
    <row r="169" spans="1:266" s="2" customFormat="1" ht="15" customHeight="1" x14ac:dyDescent="0.25">
      <c r="A169" s="283"/>
      <c r="B169" s="303"/>
      <c r="C169" s="301"/>
      <c r="D169" s="638"/>
      <c r="E169" s="2298"/>
      <c r="F169" s="1812"/>
      <c r="G169" s="3342"/>
      <c r="H169" s="66"/>
      <c r="I169" s="1746"/>
      <c r="J169" s="86"/>
      <c r="K169" s="105"/>
      <c r="L169" s="91"/>
      <c r="M169" s="92"/>
      <c r="N169" s="93"/>
      <c r="O169" s="94"/>
      <c r="P169" s="96"/>
      <c r="Q169" s="95"/>
      <c r="R169" s="993">
        <f t="shared" si="267"/>
        <v>0</v>
      </c>
      <c r="S169" s="23">
        <f t="shared" si="214"/>
        <v>0</v>
      </c>
      <c r="T169" s="24">
        <f t="shared" si="215"/>
        <v>0</v>
      </c>
      <c r="U169" s="24">
        <f t="shared" si="199"/>
        <v>0</v>
      </c>
      <c r="V169" s="24">
        <f t="shared" si="216"/>
        <v>0</v>
      </c>
      <c r="W169" s="24">
        <f t="shared" si="217"/>
        <v>0</v>
      </c>
      <c r="X169" s="72">
        <f t="shared" si="218"/>
        <v>0</v>
      </c>
      <c r="Y169" s="72">
        <f t="shared" si="219"/>
        <v>0</v>
      </c>
      <c r="Z169" s="24">
        <f t="shared" si="268"/>
        <v>0</v>
      </c>
      <c r="AA169" s="72">
        <f t="shared" si="220"/>
        <v>0</v>
      </c>
      <c r="AB169" s="24">
        <f t="shared" si="221"/>
        <v>0</v>
      </c>
      <c r="AC169" s="24" t="s">
        <v>5</v>
      </c>
      <c r="AD169" s="25">
        <f t="shared" si="269"/>
        <v>3</v>
      </c>
      <c r="AE169" s="25">
        <f t="shared" si="270"/>
        <v>0</v>
      </c>
      <c r="AF169" s="25">
        <f t="shared" si="271"/>
        <v>0</v>
      </c>
      <c r="AG169" s="25">
        <f t="shared" si="222"/>
        <v>1</v>
      </c>
      <c r="AH169" s="25" t="str">
        <f>IFERROR(MATCH(DY169,'2 Staff List'!$IA$64:$IA$114,0),"x")</f>
        <v>x</v>
      </c>
      <c r="AI169" s="1181">
        <f>IFERROR(INDEX('2 Staff List'!$EX$64:$EX$114,$AH169),0)</f>
        <v>0</v>
      </c>
      <c r="AJ169" s="25">
        <f>IFERROR(INDEX('2 Staff List'!$IW$64:$IW$114,$AH169),0)</f>
        <v>0</v>
      </c>
      <c r="AK169" s="25">
        <f>IFERROR(INDEX('2 Staff List'!$IB$64:$IB$114,$AH169),0)</f>
        <v>0</v>
      </c>
      <c r="AL169" s="25">
        <f>IF(OR(NOT(ISBLANK(DV169)),CX169=1),"&lt;Non-Labor&gt;",IFERROR(IF(AH169=0,0,INDEX('2 Staff List'!$HZ$64:$HZ$114,$AH169)),0))</f>
        <v>0</v>
      </c>
      <c r="AM169" s="25">
        <f>IFERROR(INDEX('2 Staff List'!$HW$64:$HW$114,$AH169),0)</f>
        <v>0</v>
      </c>
      <c r="AN169" s="25">
        <f t="shared" si="223"/>
        <v>1</v>
      </c>
      <c r="AO169" s="25">
        <f>IF($AO$127=0,0,IFERROR(INDEX('2 Staff List'!$JH$64:$JH$114,$AH169),0))</f>
        <v>0</v>
      </c>
      <c r="AP169" s="25">
        <f>IFERROR(INDEX('2 Staff List'!$HU$64:$HU$114,$AH169),0)</f>
        <v>0</v>
      </c>
      <c r="AQ169" s="25">
        <f t="shared" si="224"/>
        <v>0</v>
      </c>
      <c r="AR169" s="25">
        <f t="shared" si="225"/>
        <v>0</v>
      </c>
      <c r="AS169" s="25">
        <f t="shared" si="226"/>
        <v>0</v>
      </c>
      <c r="AT169" s="25">
        <f t="shared" si="227"/>
        <v>0</v>
      </c>
      <c r="AU169" s="25">
        <f t="shared" si="228"/>
        <v>0</v>
      </c>
      <c r="AV169" s="25">
        <f t="shared" si="229"/>
        <v>0</v>
      </c>
      <c r="AW169" s="25">
        <f t="shared" si="230"/>
        <v>0</v>
      </c>
      <c r="AX169" s="25">
        <f t="shared" si="231"/>
        <v>0</v>
      </c>
      <c r="AY169" s="25">
        <f t="shared" si="232"/>
        <v>0</v>
      </c>
      <c r="AZ169" s="25">
        <f t="shared" si="233"/>
        <v>0</v>
      </c>
      <c r="BA169" s="25">
        <f t="shared" si="234"/>
        <v>0</v>
      </c>
      <c r="BB169" s="25">
        <f t="shared" si="235"/>
        <v>0</v>
      </c>
      <c r="BC169" s="25">
        <f>IFERROR(INDEX('2 Staff List'!KS$64:KS$114,$AH169),0)</f>
        <v>0</v>
      </c>
      <c r="BD169" s="25">
        <f>IFERROR(INDEX('2 Staff List'!KT$64:KT$114,$AH169),0)</f>
        <v>0</v>
      </c>
      <c r="BE169" s="25">
        <f>IFERROR(INDEX('2 Staff List'!KU$64:KU$114,$AH169),0)</f>
        <v>0</v>
      </c>
      <c r="BF169" s="25">
        <f>IFERROR(INDEX('2 Staff List'!KV$64:KV$114,$AH169),0)</f>
        <v>0</v>
      </c>
      <c r="BG169" s="25">
        <f>IFERROR(INDEX('2 Staff List'!KW$64:KW$114,$AH169),0)</f>
        <v>0</v>
      </c>
      <c r="BH169" s="25">
        <f>IFERROR(INDEX('2 Staff List'!KX$64:KX$114,$AH169),0)</f>
        <v>0</v>
      </c>
      <c r="BI169" s="25">
        <f>IFERROR(INDEX('2 Staff List'!KY$64:KY$114,$AH169),0)</f>
        <v>0</v>
      </c>
      <c r="BJ169" s="25">
        <f>IFERROR(INDEX('2 Staff List'!KZ$64:KZ$114,$AH169),0)</f>
        <v>0</v>
      </c>
      <c r="BK169" s="25">
        <f>IFERROR(INDEX('2 Staff List'!LA$64:LA$114,$AH169),0)</f>
        <v>0</v>
      </c>
      <c r="BL169" s="25">
        <f>IFERROR(INDEX('2 Staff List'!LB$64:LB$114,$AH169),0)</f>
        <v>0</v>
      </c>
      <c r="BM169" s="25">
        <f>IFERROR(INDEX('2 Staff List'!FT$64:FT$114,$AH169),0)</f>
        <v>0</v>
      </c>
      <c r="BN169" s="25">
        <f>IFERROR(INDEX('2 Staff List'!FU$64:FU$114,$AH169),0)</f>
        <v>0</v>
      </c>
      <c r="BO169" s="25">
        <f>IFERROR(INDEX('2 Staff List'!FV$64:FV$114,$AH169),0)</f>
        <v>0</v>
      </c>
      <c r="BP169" s="25">
        <f>IFERROR(INDEX('2 Staff List'!FW$64:FW$114,$AH169),0)</f>
        <v>0</v>
      </c>
      <c r="BQ169" s="25">
        <f>IFERROR(INDEX('2 Staff List'!FX$64:FX$114,$AH169),0)</f>
        <v>0</v>
      </c>
      <c r="BR169" s="25">
        <f>IFERROR(INDEX('2 Staff List'!FY$64:FY$114,$AH169),0)</f>
        <v>0</v>
      </c>
      <c r="BS169" s="25">
        <f>IFERROR(INDEX('2 Staff List'!FZ$64:FZ$114,$AH169),0)</f>
        <v>0</v>
      </c>
      <c r="BT169" s="25">
        <f>IFERROR(INDEX('2 Staff List'!GA$64:GA$114,$AH169),0)</f>
        <v>0</v>
      </c>
      <c r="BU169" s="25">
        <f>IFERROR(INDEX('2 Staff List'!GB$64:GB$114,$AH169),0)</f>
        <v>0</v>
      </c>
      <c r="BV169" s="25">
        <f>IFERROR(INDEX('2 Staff List'!GC$64:GC$114,$AH169),0)</f>
        <v>0</v>
      </c>
      <c r="BW169" s="25">
        <f t="shared" si="236"/>
        <v>0</v>
      </c>
      <c r="BX169" s="25">
        <f t="shared" si="237"/>
        <v>0</v>
      </c>
      <c r="BY169" s="25">
        <f t="shared" si="238"/>
        <v>0</v>
      </c>
      <c r="BZ169" s="25">
        <f t="shared" si="239"/>
        <v>0</v>
      </c>
      <c r="CA169" s="25">
        <f t="shared" si="240"/>
        <v>0</v>
      </c>
      <c r="CB169" s="25">
        <f t="shared" si="241"/>
        <v>0</v>
      </c>
      <c r="CC169" s="25">
        <f t="shared" si="242"/>
        <v>0</v>
      </c>
      <c r="CD169" s="25">
        <f t="shared" si="243"/>
        <v>0</v>
      </c>
      <c r="CE169" s="25">
        <f t="shared" si="244"/>
        <v>0</v>
      </c>
      <c r="CF169" s="25">
        <f t="shared" si="245"/>
        <v>0</v>
      </c>
      <c r="CG169" s="25">
        <f t="shared" si="246"/>
        <v>0</v>
      </c>
      <c r="CH169" s="25">
        <f>IFERROR(INDEX('2 Staff List'!LO$64:LO$114,$AH169),0)</f>
        <v>0</v>
      </c>
      <c r="CI169" s="25">
        <f>IFERROR(INDEX('2 Staff List'!LP$64:LP$114,$AH169),0)</f>
        <v>0</v>
      </c>
      <c r="CJ169" s="25">
        <f>IFERROR(INDEX('2 Staff List'!LQ$64:LQ$114,$AH169),0)</f>
        <v>0</v>
      </c>
      <c r="CK169" s="25">
        <f>IFERROR(INDEX('2 Staff List'!LR$64:LR$114,$AH169),0)</f>
        <v>0</v>
      </c>
      <c r="CL169" s="25">
        <f>IFERROR(INDEX('2 Staff List'!LS$64:LS$114,$AH169),0)</f>
        <v>0</v>
      </c>
      <c r="CM169" s="25">
        <f>IFERROR(INDEX('2 Staff List'!LT$64:LT$114,$AH169),0)</f>
        <v>0</v>
      </c>
      <c r="CN169" s="25">
        <f>IFERROR(INDEX('2 Staff List'!LU$64:LU$114,$AH169),0)</f>
        <v>0</v>
      </c>
      <c r="CO169" s="25">
        <f>IFERROR(INDEX('2 Staff List'!LV$64:LV$114,$AH169),0)</f>
        <v>0</v>
      </c>
      <c r="CP169" s="25">
        <f>IFERROR(INDEX('2 Staff List'!LW$64:LW$114,$AH169),0)</f>
        <v>0</v>
      </c>
      <c r="CQ169" s="25">
        <f>IFERROR(INDEX('2 Staff List'!LX$64:LX$114,$AH169),0)</f>
        <v>0</v>
      </c>
      <c r="CR169" s="25">
        <f t="shared" si="272"/>
        <v>0</v>
      </c>
      <c r="CS169" s="25">
        <f t="shared" si="265"/>
        <v>1</v>
      </c>
      <c r="CT169" s="25">
        <f t="shared" si="248"/>
        <v>1</v>
      </c>
      <c r="CU169" s="25">
        <f t="shared" si="249"/>
        <v>1</v>
      </c>
      <c r="CV169" s="25">
        <f t="shared" si="250"/>
        <v>1</v>
      </c>
      <c r="CW169" s="25">
        <f t="shared" si="251"/>
        <v>1</v>
      </c>
      <c r="CX169" s="25">
        <f t="shared" si="252"/>
        <v>0</v>
      </c>
      <c r="CY169" s="25">
        <f t="shared" si="253"/>
        <v>0</v>
      </c>
      <c r="CZ169" s="25">
        <f t="shared" si="254"/>
        <v>0</v>
      </c>
      <c r="DA169" s="25">
        <f t="shared" si="255"/>
        <v>1</v>
      </c>
      <c r="DB169" s="25">
        <f t="shared" si="273"/>
        <v>1</v>
      </c>
      <c r="DC169" s="25">
        <f t="shared" si="256"/>
        <v>0</v>
      </c>
      <c r="DD169" s="25">
        <f>IF(OR($AD169&lt;&gt;3,F169="Exclude"),0,IF(ISERROR(MATCH($E169,'4 Sign-off'!$S$123:$X$123,0)),0,1))</f>
        <v>0</v>
      </c>
      <c r="DE169" s="25">
        <f t="shared" si="274"/>
        <v>0</v>
      </c>
      <c r="DF169" s="25">
        <f t="shared" si="257"/>
        <v>0</v>
      </c>
      <c r="DG169" s="25" t="str">
        <f t="shared" si="258"/>
        <v/>
      </c>
      <c r="DH169" s="25">
        <f t="shared" si="259"/>
        <v>0</v>
      </c>
      <c r="DI169" s="25">
        <f t="shared" si="260"/>
        <v>0</v>
      </c>
      <c r="DJ169" s="25">
        <f>IF(ISBLANK(J169),0,ISERROR(MATCH(J169,'5  Control Accounts'!$FA$29:$FA$96,0))*1)</f>
        <v>0</v>
      </c>
      <c r="DK169" s="25">
        <f t="shared" si="261"/>
        <v>0</v>
      </c>
      <c r="DL169" s="25">
        <f t="shared" si="275"/>
        <v>-1</v>
      </c>
      <c r="DM169" s="25" t="e">
        <f t="array" ref="DM169">MATCH(1,($EG169:$JD169&gt;0)*$EG$17:$JD$17,0)</f>
        <v>#N/A</v>
      </c>
      <c r="DN169" s="25" t="e">
        <f t="shared" si="276"/>
        <v>#N/A</v>
      </c>
      <c r="DO169" s="25" t="e">
        <f t="array" ref="DO169">MATCH(2,1/(EG169:JD169&gt;0))</f>
        <v>#N/A</v>
      </c>
      <c r="DP169" s="2993">
        <f t="shared" si="262"/>
        <v>0</v>
      </c>
      <c r="DQ169" s="3037">
        <f t="shared" si="263"/>
        <v>0</v>
      </c>
      <c r="DR169" s="111"/>
      <c r="DS169" s="1268">
        <f t="shared" si="266"/>
        <v>0</v>
      </c>
      <c r="DT169" s="1825"/>
      <c r="DU169" s="1826"/>
      <c r="DV169" s="1827"/>
      <c r="DW169" s="1828"/>
      <c r="DX169" s="659"/>
      <c r="DY169" s="1265"/>
      <c r="DZ169" s="1785">
        <f t="shared" si="277"/>
        <v>0</v>
      </c>
      <c r="EA169" s="1786">
        <f t="shared" si="278"/>
        <v>0</v>
      </c>
      <c r="EB169" s="1781">
        <f t="shared" si="279"/>
        <v>0</v>
      </c>
      <c r="EC169" s="1782">
        <f t="shared" si="280"/>
        <v>0</v>
      </c>
      <c r="ED169" s="1262"/>
      <c r="EE169" s="2280"/>
      <c r="EF169" s="1802"/>
      <c r="EG169" s="167"/>
      <c r="EH169" s="168"/>
      <c r="EI169" s="168"/>
      <c r="EJ169" s="168"/>
      <c r="EK169" s="168"/>
      <c r="EL169" s="168"/>
      <c r="EM169" s="168"/>
      <c r="EN169" s="168"/>
      <c r="EO169" s="168"/>
      <c r="EP169" s="168"/>
      <c r="EQ169" s="168"/>
      <c r="ER169" s="168"/>
      <c r="ES169" s="168"/>
      <c r="ET169" s="168"/>
      <c r="EU169" s="168"/>
      <c r="EV169" s="168"/>
      <c r="EW169" s="168"/>
      <c r="EX169" s="168"/>
      <c r="EY169" s="168"/>
      <c r="EZ169" s="168"/>
      <c r="FA169" s="168"/>
      <c r="FB169" s="168"/>
      <c r="FC169" s="168"/>
      <c r="FD169" s="168"/>
      <c r="FE169" s="168"/>
      <c r="FF169" s="168"/>
      <c r="FG169" s="168"/>
      <c r="FH169" s="168"/>
      <c r="FI169" s="168"/>
      <c r="FJ169" s="168"/>
      <c r="FK169" s="168"/>
      <c r="FL169" s="168"/>
      <c r="FM169" s="168"/>
      <c r="FN169" s="168"/>
      <c r="FO169" s="168"/>
      <c r="FP169" s="168"/>
      <c r="FQ169" s="168"/>
      <c r="FR169" s="168"/>
      <c r="FS169" s="168"/>
      <c r="FT169" s="168"/>
      <c r="FU169" s="168"/>
      <c r="FV169" s="168"/>
      <c r="FW169" s="168"/>
      <c r="FX169" s="168"/>
      <c r="FY169" s="168"/>
      <c r="FZ169" s="168"/>
      <c r="GA169" s="168"/>
      <c r="GB169" s="168"/>
      <c r="GC169" s="168"/>
      <c r="GD169" s="168"/>
      <c r="GE169" s="168"/>
      <c r="GF169" s="168"/>
      <c r="GG169" s="168"/>
      <c r="GH169" s="168"/>
      <c r="GI169" s="168"/>
      <c r="GJ169" s="168"/>
      <c r="GK169" s="168"/>
      <c r="GL169" s="168"/>
      <c r="GM169" s="168"/>
      <c r="GN169" s="168"/>
      <c r="GO169" s="168"/>
      <c r="GP169" s="168"/>
      <c r="GQ169" s="168"/>
      <c r="GR169" s="168"/>
      <c r="GS169" s="168"/>
      <c r="GT169" s="168"/>
      <c r="GU169" s="168"/>
      <c r="GV169" s="168"/>
      <c r="GW169" s="168"/>
      <c r="GX169" s="168"/>
      <c r="GY169" s="168"/>
      <c r="GZ169" s="168"/>
      <c r="HA169" s="168"/>
      <c r="HB169" s="168"/>
      <c r="HC169" s="168"/>
      <c r="HD169" s="168"/>
      <c r="HE169" s="168"/>
      <c r="HF169" s="168"/>
      <c r="HG169" s="168"/>
      <c r="HH169" s="168"/>
      <c r="HI169" s="168"/>
      <c r="HJ169" s="168"/>
      <c r="HK169" s="168"/>
      <c r="HL169" s="168"/>
      <c r="HM169" s="168"/>
      <c r="HN169" s="168"/>
      <c r="HO169" s="168"/>
      <c r="HP169" s="168"/>
      <c r="HQ169" s="168"/>
      <c r="HR169" s="168"/>
      <c r="HS169" s="168"/>
      <c r="HT169" s="168"/>
      <c r="HU169" s="168"/>
      <c r="HV169" s="168"/>
      <c r="HW169" s="168"/>
      <c r="HX169" s="168"/>
      <c r="HY169" s="168"/>
      <c r="HZ169" s="168"/>
      <c r="IA169" s="168"/>
      <c r="IB169" s="168"/>
      <c r="IC169" s="168"/>
      <c r="ID169" s="168"/>
      <c r="IE169" s="168"/>
      <c r="IF169" s="168"/>
      <c r="IG169" s="168"/>
      <c r="IH169" s="168"/>
      <c r="II169" s="168"/>
      <c r="IJ169" s="168"/>
      <c r="IK169" s="168"/>
      <c r="IL169" s="168"/>
      <c r="IM169" s="168"/>
      <c r="IN169" s="168"/>
      <c r="IO169" s="168"/>
      <c r="IP169" s="168"/>
      <c r="IQ169" s="168"/>
      <c r="IR169" s="168"/>
      <c r="IS169" s="168"/>
      <c r="IT169" s="168"/>
      <c r="IU169" s="168"/>
      <c r="IV169" s="168"/>
      <c r="IW169" s="168"/>
      <c r="IX169" s="168"/>
      <c r="IY169" s="168"/>
      <c r="IZ169" s="168"/>
      <c r="JA169" s="168"/>
      <c r="JB169" s="168"/>
      <c r="JC169" s="606"/>
      <c r="JD169" s="609"/>
      <c r="JE169" s="1"/>
      <c r="JF169" s="1"/>
    </row>
    <row r="170" spans="1:266" s="2" customFormat="1" ht="15" customHeight="1" x14ac:dyDescent="0.25">
      <c r="A170" s="283"/>
      <c r="B170" s="303"/>
      <c r="C170" s="301"/>
      <c r="D170" s="638"/>
      <c r="E170" s="2298"/>
      <c r="F170" s="1812"/>
      <c r="G170" s="3342"/>
      <c r="H170" s="66"/>
      <c r="I170" s="1746"/>
      <c r="J170" s="86"/>
      <c r="K170" s="105"/>
      <c r="L170" s="91"/>
      <c r="M170" s="92"/>
      <c r="N170" s="93"/>
      <c r="O170" s="94"/>
      <c r="P170" s="96"/>
      <c r="Q170" s="95"/>
      <c r="R170" s="993">
        <f t="shared" si="267"/>
        <v>0</v>
      </c>
      <c r="S170" s="23">
        <f t="shared" si="214"/>
        <v>0</v>
      </c>
      <c r="T170" s="24">
        <f t="shared" si="215"/>
        <v>0</v>
      </c>
      <c r="U170" s="24">
        <f t="shared" si="199"/>
        <v>0</v>
      </c>
      <c r="V170" s="24">
        <f t="shared" si="216"/>
        <v>0</v>
      </c>
      <c r="W170" s="24">
        <f t="shared" si="217"/>
        <v>0</v>
      </c>
      <c r="X170" s="72">
        <f t="shared" si="218"/>
        <v>0</v>
      </c>
      <c r="Y170" s="72">
        <f t="shared" si="219"/>
        <v>0</v>
      </c>
      <c r="Z170" s="24">
        <f t="shared" si="268"/>
        <v>0</v>
      </c>
      <c r="AA170" s="72">
        <f t="shared" si="220"/>
        <v>0</v>
      </c>
      <c r="AB170" s="24">
        <f t="shared" si="221"/>
        <v>0</v>
      </c>
      <c r="AC170" s="24" t="s">
        <v>5</v>
      </c>
      <c r="AD170" s="25">
        <f t="shared" si="269"/>
        <v>3</v>
      </c>
      <c r="AE170" s="25">
        <f t="shared" si="270"/>
        <v>0</v>
      </c>
      <c r="AF170" s="25">
        <f t="shared" si="271"/>
        <v>0</v>
      </c>
      <c r="AG170" s="25">
        <f t="shared" si="222"/>
        <v>1</v>
      </c>
      <c r="AH170" s="25" t="str">
        <f>IFERROR(MATCH(DY170,'2 Staff List'!$IA$64:$IA$114,0),"x")</f>
        <v>x</v>
      </c>
      <c r="AI170" s="1181">
        <f>IFERROR(INDEX('2 Staff List'!$EX$64:$EX$114,$AH170),0)</f>
        <v>0</v>
      </c>
      <c r="AJ170" s="25">
        <f>IFERROR(INDEX('2 Staff List'!$IW$64:$IW$114,$AH170),0)</f>
        <v>0</v>
      </c>
      <c r="AK170" s="25">
        <f>IFERROR(INDEX('2 Staff List'!$IB$64:$IB$114,$AH170),0)</f>
        <v>0</v>
      </c>
      <c r="AL170" s="25">
        <f>IF(OR(NOT(ISBLANK(DV170)),CX170=1),"&lt;Non-Labor&gt;",IFERROR(IF(AH170=0,0,INDEX('2 Staff List'!$HZ$64:$HZ$114,$AH170)),0))</f>
        <v>0</v>
      </c>
      <c r="AM170" s="25">
        <f>IFERROR(INDEX('2 Staff List'!$HW$64:$HW$114,$AH170),0)</f>
        <v>0</v>
      </c>
      <c r="AN170" s="25">
        <f t="shared" si="223"/>
        <v>1</v>
      </c>
      <c r="AO170" s="25">
        <f>IF($AO$127=0,0,IFERROR(INDEX('2 Staff List'!$JH$64:$JH$114,$AH170),0))</f>
        <v>0</v>
      </c>
      <c r="AP170" s="25">
        <f>IFERROR(INDEX('2 Staff List'!$HU$64:$HU$114,$AH170),0)</f>
        <v>0</v>
      </c>
      <c r="AQ170" s="25">
        <f t="shared" si="224"/>
        <v>0</v>
      </c>
      <c r="AR170" s="25">
        <f t="shared" si="225"/>
        <v>0</v>
      </c>
      <c r="AS170" s="25">
        <f t="shared" si="226"/>
        <v>0</v>
      </c>
      <c r="AT170" s="25">
        <f t="shared" si="227"/>
        <v>0</v>
      </c>
      <c r="AU170" s="25">
        <f t="shared" si="228"/>
        <v>0</v>
      </c>
      <c r="AV170" s="25">
        <f t="shared" si="229"/>
        <v>0</v>
      </c>
      <c r="AW170" s="25">
        <f t="shared" si="230"/>
        <v>0</v>
      </c>
      <c r="AX170" s="25">
        <f t="shared" si="231"/>
        <v>0</v>
      </c>
      <c r="AY170" s="25">
        <f t="shared" si="232"/>
        <v>0</v>
      </c>
      <c r="AZ170" s="25">
        <f t="shared" si="233"/>
        <v>0</v>
      </c>
      <c r="BA170" s="25">
        <f t="shared" si="234"/>
        <v>0</v>
      </c>
      <c r="BB170" s="25">
        <f t="shared" si="235"/>
        <v>0</v>
      </c>
      <c r="BC170" s="25">
        <f>IFERROR(INDEX('2 Staff List'!KS$64:KS$114,$AH170),0)</f>
        <v>0</v>
      </c>
      <c r="BD170" s="25">
        <f>IFERROR(INDEX('2 Staff List'!KT$64:KT$114,$AH170),0)</f>
        <v>0</v>
      </c>
      <c r="BE170" s="25">
        <f>IFERROR(INDEX('2 Staff List'!KU$64:KU$114,$AH170),0)</f>
        <v>0</v>
      </c>
      <c r="BF170" s="25">
        <f>IFERROR(INDEX('2 Staff List'!KV$64:KV$114,$AH170),0)</f>
        <v>0</v>
      </c>
      <c r="BG170" s="25">
        <f>IFERROR(INDEX('2 Staff List'!KW$64:KW$114,$AH170),0)</f>
        <v>0</v>
      </c>
      <c r="BH170" s="25">
        <f>IFERROR(INDEX('2 Staff List'!KX$64:KX$114,$AH170),0)</f>
        <v>0</v>
      </c>
      <c r="BI170" s="25">
        <f>IFERROR(INDEX('2 Staff List'!KY$64:KY$114,$AH170),0)</f>
        <v>0</v>
      </c>
      <c r="BJ170" s="25">
        <f>IFERROR(INDEX('2 Staff List'!KZ$64:KZ$114,$AH170),0)</f>
        <v>0</v>
      </c>
      <c r="BK170" s="25">
        <f>IFERROR(INDEX('2 Staff List'!LA$64:LA$114,$AH170),0)</f>
        <v>0</v>
      </c>
      <c r="BL170" s="25">
        <f>IFERROR(INDEX('2 Staff List'!LB$64:LB$114,$AH170),0)</f>
        <v>0</v>
      </c>
      <c r="BM170" s="25">
        <f>IFERROR(INDEX('2 Staff List'!FT$64:FT$114,$AH170),0)</f>
        <v>0</v>
      </c>
      <c r="BN170" s="25">
        <f>IFERROR(INDEX('2 Staff List'!FU$64:FU$114,$AH170),0)</f>
        <v>0</v>
      </c>
      <c r="BO170" s="25">
        <f>IFERROR(INDEX('2 Staff List'!FV$64:FV$114,$AH170),0)</f>
        <v>0</v>
      </c>
      <c r="BP170" s="25">
        <f>IFERROR(INDEX('2 Staff List'!FW$64:FW$114,$AH170),0)</f>
        <v>0</v>
      </c>
      <c r="BQ170" s="25">
        <f>IFERROR(INDEX('2 Staff List'!FX$64:FX$114,$AH170),0)</f>
        <v>0</v>
      </c>
      <c r="BR170" s="25">
        <f>IFERROR(INDEX('2 Staff List'!FY$64:FY$114,$AH170),0)</f>
        <v>0</v>
      </c>
      <c r="BS170" s="25">
        <f>IFERROR(INDEX('2 Staff List'!FZ$64:FZ$114,$AH170),0)</f>
        <v>0</v>
      </c>
      <c r="BT170" s="25">
        <f>IFERROR(INDEX('2 Staff List'!GA$64:GA$114,$AH170),0)</f>
        <v>0</v>
      </c>
      <c r="BU170" s="25">
        <f>IFERROR(INDEX('2 Staff List'!GB$64:GB$114,$AH170),0)</f>
        <v>0</v>
      </c>
      <c r="BV170" s="25">
        <f>IFERROR(INDEX('2 Staff List'!GC$64:GC$114,$AH170),0)</f>
        <v>0</v>
      </c>
      <c r="BW170" s="25">
        <f t="shared" si="236"/>
        <v>0</v>
      </c>
      <c r="BX170" s="25">
        <f t="shared" si="237"/>
        <v>0</v>
      </c>
      <c r="BY170" s="25">
        <f t="shared" si="238"/>
        <v>0</v>
      </c>
      <c r="BZ170" s="25">
        <f t="shared" si="239"/>
        <v>0</v>
      </c>
      <c r="CA170" s="25">
        <f t="shared" si="240"/>
        <v>0</v>
      </c>
      <c r="CB170" s="25">
        <f t="shared" si="241"/>
        <v>0</v>
      </c>
      <c r="CC170" s="25">
        <f t="shared" si="242"/>
        <v>0</v>
      </c>
      <c r="CD170" s="25">
        <f t="shared" si="243"/>
        <v>0</v>
      </c>
      <c r="CE170" s="25">
        <f t="shared" si="244"/>
        <v>0</v>
      </c>
      <c r="CF170" s="25">
        <f t="shared" si="245"/>
        <v>0</v>
      </c>
      <c r="CG170" s="25">
        <f t="shared" si="246"/>
        <v>0</v>
      </c>
      <c r="CH170" s="25">
        <f>IFERROR(INDEX('2 Staff List'!LO$64:LO$114,$AH170),0)</f>
        <v>0</v>
      </c>
      <c r="CI170" s="25">
        <f>IFERROR(INDEX('2 Staff List'!LP$64:LP$114,$AH170),0)</f>
        <v>0</v>
      </c>
      <c r="CJ170" s="25">
        <f>IFERROR(INDEX('2 Staff List'!LQ$64:LQ$114,$AH170),0)</f>
        <v>0</v>
      </c>
      <c r="CK170" s="25">
        <f>IFERROR(INDEX('2 Staff List'!LR$64:LR$114,$AH170),0)</f>
        <v>0</v>
      </c>
      <c r="CL170" s="25">
        <f>IFERROR(INDEX('2 Staff List'!LS$64:LS$114,$AH170),0)</f>
        <v>0</v>
      </c>
      <c r="CM170" s="25">
        <f>IFERROR(INDEX('2 Staff List'!LT$64:LT$114,$AH170),0)</f>
        <v>0</v>
      </c>
      <c r="CN170" s="25">
        <f>IFERROR(INDEX('2 Staff List'!LU$64:LU$114,$AH170),0)</f>
        <v>0</v>
      </c>
      <c r="CO170" s="25">
        <f>IFERROR(INDEX('2 Staff List'!LV$64:LV$114,$AH170),0)</f>
        <v>0</v>
      </c>
      <c r="CP170" s="25">
        <f>IFERROR(INDEX('2 Staff List'!LW$64:LW$114,$AH170),0)</f>
        <v>0</v>
      </c>
      <c r="CQ170" s="25">
        <f>IFERROR(INDEX('2 Staff List'!LX$64:LX$114,$AH170),0)</f>
        <v>0</v>
      </c>
      <c r="CR170" s="25">
        <f t="shared" si="272"/>
        <v>0</v>
      </c>
      <c r="CS170" s="25">
        <f t="shared" si="265"/>
        <v>1</v>
      </c>
      <c r="CT170" s="25">
        <f t="shared" si="248"/>
        <v>1</v>
      </c>
      <c r="CU170" s="25">
        <f t="shared" si="249"/>
        <v>1</v>
      </c>
      <c r="CV170" s="25">
        <f t="shared" si="250"/>
        <v>1</v>
      </c>
      <c r="CW170" s="25">
        <f t="shared" si="251"/>
        <v>1</v>
      </c>
      <c r="CX170" s="25">
        <f t="shared" si="252"/>
        <v>0</v>
      </c>
      <c r="CY170" s="25">
        <f t="shared" si="253"/>
        <v>0</v>
      </c>
      <c r="CZ170" s="25">
        <f t="shared" si="254"/>
        <v>0</v>
      </c>
      <c r="DA170" s="25">
        <f t="shared" si="255"/>
        <v>1</v>
      </c>
      <c r="DB170" s="25">
        <f t="shared" si="273"/>
        <v>1</v>
      </c>
      <c r="DC170" s="25">
        <f t="shared" si="256"/>
        <v>0</v>
      </c>
      <c r="DD170" s="25">
        <f>IF(OR($AD170&lt;&gt;3,F170="Exclude"),0,IF(ISERROR(MATCH($E170,'4 Sign-off'!$S$123:$X$123,0)),0,1))</f>
        <v>0</v>
      </c>
      <c r="DE170" s="25">
        <f t="shared" si="274"/>
        <v>0</v>
      </c>
      <c r="DF170" s="25">
        <f t="shared" si="257"/>
        <v>0</v>
      </c>
      <c r="DG170" s="25" t="str">
        <f t="shared" si="258"/>
        <v/>
      </c>
      <c r="DH170" s="25">
        <f t="shared" si="259"/>
        <v>0</v>
      </c>
      <c r="DI170" s="25">
        <f t="shared" si="260"/>
        <v>0</v>
      </c>
      <c r="DJ170" s="25">
        <f>IF(ISBLANK(J170),0,ISERROR(MATCH(J170,'5  Control Accounts'!$FA$29:$FA$96,0))*1)</f>
        <v>0</v>
      </c>
      <c r="DK170" s="25">
        <f t="shared" si="261"/>
        <v>0</v>
      </c>
      <c r="DL170" s="25">
        <f t="shared" si="275"/>
        <v>-1</v>
      </c>
      <c r="DM170" s="25" t="e">
        <f t="array" ref="DM170">MATCH(1,($EG170:$JD170&gt;0)*$EG$17:$JD$17,0)</f>
        <v>#N/A</v>
      </c>
      <c r="DN170" s="25" t="e">
        <f t="shared" si="276"/>
        <v>#N/A</v>
      </c>
      <c r="DO170" s="25" t="e">
        <f t="array" ref="DO170">MATCH(2,1/(EG170:JD170&gt;0))</f>
        <v>#N/A</v>
      </c>
      <c r="DP170" s="2993">
        <f t="shared" si="262"/>
        <v>0</v>
      </c>
      <c r="DQ170" s="3037">
        <f t="shared" si="263"/>
        <v>0</v>
      </c>
      <c r="DR170" s="111"/>
      <c r="DS170" s="1268">
        <f t="shared" si="266"/>
        <v>0</v>
      </c>
      <c r="DT170" s="1825"/>
      <c r="DU170" s="1826"/>
      <c r="DV170" s="1827"/>
      <c r="DW170" s="1828"/>
      <c r="DX170" s="659"/>
      <c r="DY170" s="1265"/>
      <c r="DZ170" s="1785">
        <f t="shared" si="277"/>
        <v>0</v>
      </c>
      <c r="EA170" s="1786">
        <f t="shared" si="278"/>
        <v>0</v>
      </c>
      <c r="EB170" s="1781">
        <f t="shared" si="279"/>
        <v>0</v>
      </c>
      <c r="EC170" s="1782">
        <f t="shared" si="280"/>
        <v>0</v>
      </c>
      <c r="ED170" s="1262"/>
      <c r="EE170" s="2280"/>
      <c r="EF170" s="1802"/>
      <c r="EG170" s="167"/>
      <c r="EH170" s="168"/>
      <c r="EI170" s="168"/>
      <c r="EJ170" s="168"/>
      <c r="EK170" s="168"/>
      <c r="EL170" s="168"/>
      <c r="EM170" s="168"/>
      <c r="EN170" s="168"/>
      <c r="EO170" s="168"/>
      <c r="EP170" s="168"/>
      <c r="EQ170" s="168"/>
      <c r="ER170" s="168"/>
      <c r="ES170" s="168"/>
      <c r="ET170" s="168"/>
      <c r="EU170" s="168"/>
      <c r="EV170" s="168"/>
      <c r="EW170" s="168"/>
      <c r="EX170" s="168"/>
      <c r="EY170" s="168"/>
      <c r="EZ170" s="168"/>
      <c r="FA170" s="168"/>
      <c r="FB170" s="168"/>
      <c r="FC170" s="168"/>
      <c r="FD170" s="168"/>
      <c r="FE170" s="168"/>
      <c r="FF170" s="168"/>
      <c r="FG170" s="168"/>
      <c r="FH170" s="168"/>
      <c r="FI170" s="168"/>
      <c r="FJ170" s="168"/>
      <c r="FK170" s="168"/>
      <c r="FL170" s="168"/>
      <c r="FM170" s="168"/>
      <c r="FN170" s="168"/>
      <c r="FO170" s="168"/>
      <c r="FP170" s="168"/>
      <c r="FQ170" s="168"/>
      <c r="FR170" s="168"/>
      <c r="FS170" s="168"/>
      <c r="FT170" s="168"/>
      <c r="FU170" s="168"/>
      <c r="FV170" s="168"/>
      <c r="FW170" s="168"/>
      <c r="FX170" s="168"/>
      <c r="FY170" s="168"/>
      <c r="FZ170" s="168"/>
      <c r="GA170" s="168"/>
      <c r="GB170" s="168"/>
      <c r="GC170" s="168"/>
      <c r="GD170" s="168"/>
      <c r="GE170" s="168"/>
      <c r="GF170" s="168"/>
      <c r="GG170" s="168"/>
      <c r="GH170" s="168"/>
      <c r="GI170" s="168"/>
      <c r="GJ170" s="168"/>
      <c r="GK170" s="168"/>
      <c r="GL170" s="168"/>
      <c r="GM170" s="168"/>
      <c r="GN170" s="168"/>
      <c r="GO170" s="168"/>
      <c r="GP170" s="168"/>
      <c r="GQ170" s="168"/>
      <c r="GR170" s="168"/>
      <c r="GS170" s="168"/>
      <c r="GT170" s="168"/>
      <c r="GU170" s="168"/>
      <c r="GV170" s="168"/>
      <c r="GW170" s="168"/>
      <c r="GX170" s="168"/>
      <c r="GY170" s="168"/>
      <c r="GZ170" s="168"/>
      <c r="HA170" s="168"/>
      <c r="HB170" s="168"/>
      <c r="HC170" s="168"/>
      <c r="HD170" s="168"/>
      <c r="HE170" s="168"/>
      <c r="HF170" s="168"/>
      <c r="HG170" s="168"/>
      <c r="HH170" s="168"/>
      <c r="HI170" s="168"/>
      <c r="HJ170" s="168"/>
      <c r="HK170" s="168"/>
      <c r="HL170" s="168"/>
      <c r="HM170" s="168"/>
      <c r="HN170" s="168"/>
      <c r="HO170" s="168"/>
      <c r="HP170" s="168"/>
      <c r="HQ170" s="168"/>
      <c r="HR170" s="168"/>
      <c r="HS170" s="168"/>
      <c r="HT170" s="168"/>
      <c r="HU170" s="168"/>
      <c r="HV170" s="168"/>
      <c r="HW170" s="168"/>
      <c r="HX170" s="168"/>
      <c r="HY170" s="168"/>
      <c r="HZ170" s="168"/>
      <c r="IA170" s="168"/>
      <c r="IB170" s="168"/>
      <c r="IC170" s="168"/>
      <c r="ID170" s="168"/>
      <c r="IE170" s="168"/>
      <c r="IF170" s="168"/>
      <c r="IG170" s="168"/>
      <c r="IH170" s="168"/>
      <c r="II170" s="168"/>
      <c r="IJ170" s="168"/>
      <c r="IK170" s="168"/>
      <c r="IL170" s="168"/>
      <c r="IM170" s="168"/>
      <c r="IN170" s="168"/>
      <c r="IO170" s="168"/>
      <c r="IP170" s="168"/>
      <c r="IQ170" s="168"/>
      <c r="IR170" s="168"/>
      <c r="IS170" s="168"/>
      <c r="IT170" s="168"/>
      <c r="IU170" s="168"/>
      <c r="IV170" s="168"/>
      <c r="IW170" s="168"/>
      <c r="IX170" s="168"/>
      <c r="IY170" s="168"/>
      <c r="IZ170" s="168"/>
      <c r="JA170" s="168"/>
      <c r="JB170" s="168"/>
      <c r="JC170" s="606"/>
      <c r="JD170" s="609"/>
      <c r="JE170" s="1"/>
      <c r="JF170" s="1"/>
    </row>
    <row r="171" spans="1:266" s="2" customFormat="1" ht="15" customHeight="1" x14ac:dyDescent="0.25">
      <c r="A171" s="283"/>
      <c r="B171" s="303"/>
      <c r="C171" s="301"/>
      <c r="D171" s="638"/>
      <c r="E171" s="2298"/>
      <c r="F171" s="1812"/>
      <c r="G171" s="3342"/>
      <c r="H171" s="66"/>
      <c r="I171" s="1746"/>
      <c r="J171" s="86"/>
      <c r="K171" s="105"/>
      <c r="L171" s="91"/>
      <c r="M171" s="92"/>
      <c r="N171" s="93"/>
      <c r="O171" s="94"/>
      <c r="P171" s="96"/>
      <c r="Q171" s="95"/>
      <c r="R171" s="993">
        <f t="shared" si="267"/>
        <v>0</v>
      </c>
      <c r="S171" s="23">
        <f t="shared" si="214"/>
        <v>0</v>
      </c>
      <c r="T171" s="24">
        <f t="shared" si="215"/>
        <v>0</v>
      </c>
      <c r="U171" s="24">
        <f t="shared" si="199"/>
        <v>0</v>
      </c>
      <c r="V171" s="24">
        <f t="shared" si="216"/>
        <v>0</v>
      </c>
      <c r="W171" s="24">
        <f t="shared" si="217"/>
        <v>0</v>
      </c>
      <c r="X171" s="72">
        <f t="shared" si="218"/>
        <v>0</v>
      </c>
      <c r="Y171" s="72">
        <f t="shared" si="219"/>
        <v>0</v>
      </c>
      <c r="Z171" s="24">
        <f t="shared" si="268"/>
        <v>0</v>
      </c>
      <c r="AA171" s="72">
        <f t="shared" si="220"/>
        <v>0</v>
      </c>
      <c r="AB171" s="24">
        <f t="shared" si="221"/>
        <v>0</v>
      </c>
      <c r="AC171" s="24" t="s">
        <v>5</v>
      </c>
      <c r="AD171" s="25">
        <f t="shared" si="269"/>
        <v>3</v>
      </c>
      <c r="AE171" s="25">
        <f t="shared" si="270"/>
        <v>0</v>
      </c>
      <c r="AF171" s="25">
        <f t="shared" si="271"/>
        <v>0</v>
      </c>
      <c r="AG171" s="25">
        <f t="shared" si="222"/>
        <v>1</v>
      </c>
      <c r="AH171" s="25" t="str">
        <f>IFERROR(MATCH(DY171,'2 Staff List'!$IA$64:$IA$114,0),"x")</f>
        <v>x</v>
      </c>
      <c r="AI171" s="1181">
        <f>IFERROR(INDEX('2 Staff List'!$EX$64:$EX$114,$AH171),0)</f>
        <v>0</v>
      </c>
      <c r="AJ171" s="25">
        <f>IFERROR(INDEX('2 Staff List'!$IW$64:$IW$114,$AH171),0)</f>
        <v>0</v>
      </c>
      <c r="AK171" s="25">
        <f>IFERROR(INDEX('2 Staff List'!$IB$64:$IB$114,$AH171),0)</f>
        <v>0</v>
      </c>
      <c r="AL171" s="25">
        <f>IF(OR(NOT(ISBLANK(DV171)),CX171=1),"&lt;Non-Labor&gt;",IFERROR(IF(AH171=0,0,INDEX('2 Staff List'!$HZ$64:$HZ$114,$AH171)),0))</f>
        <v>0</v>
      </c>
      <c r="AM171" s="25">
        <f>IFERROR(INDEX('2 Staff List'!$HW$64:$HW$114,$AH171),0)</f>
        <v>0</v>
      </c>
      <c r="AN171" s="25">
        <f t="shared" si="223"/>
        <v>1</v>
      </c>
      <c r="AO171" s="25">
        <f>IF($AO$127=0,0,IFERROR(INDEX('2 Staff List'!$JH$64:$JH$114,$AH171),0))</f>
        <v>0</v>
      </c>
      <c r="AP171" s="25">
        <f>IFERROR(INDEX('2 Staff List'!$HU$64:$HU$114,$AH171),0)</f>
        <v>0</v>
      </c>
      <c r="AQ171" s="25">
        <f t="shared" si="224"/>
        <v>0</v>
      </c>
      <c r="AR171" s="25">
        <f t="shared" si="225"/>
        <v>0</v>
      </c>
      <c r="AS171" s="25">
        <f t="shared" si="226"/>
        <v>0</v>
      </c>
      <c r="AT171" s="25">
        <f t="shared" si="227"/>
        <v>0</v>
      </c>
      <c r="AU171" s="25">
        <f t="shared" si="228"/>
        <v>0</v>
      </c>
      <c r="AV171" s="25">
        <f t="shared" si="229"/>
        <v>0</v>
      </c>
      <c r="AW171" s="25">
        <f t="shared" si="230"/>
        <v>0</v>
      </c>
      <c r="AX171" s="25">
        <f t="shared" si="231"/>
        <v>0</v>
      </c>
      <c r="AY171" s="25">
        <f t="shared" si="232"/>
        <v>0</v>
      </c>
      <c r="AZ171" s="25">
        <f t="shared" si="233"/>
        <v>0</v>
      </c>
      <c r="BA171" s="25">
        <f t="shared" si="234"/>
        <v>0</v>
      </c>
      <c r="BB171" s="25">
        <f t="shared" si="235"/>
        <v>0</v>
      </c>
      <c r="BC171" s="25">
        <f>IFERROR(INDEX('2 Staff List'!KS$64:KS$114,$AH171),0)</f>
        <v>0</v>
      </c>
      <c r="BD171" s="25">
        <f>IFERROR(INDEX('2 Staff List'!KT$64:KT$114,$AH171),0)</f>
        <v>0</v>
      </c>
      <c r="BE171" s="25">
        <f>IFERROR(INDEX('2 Staff List'!KU$64:KU$114,$AH171),0)</f>
        <v>0</v>
      </c>
      <c r="BF171" s="25">
        <f>IFERROR(INDEX('2 Staff List'!KV$64:KV$114,$AH171),0)</f>
        <v>0</v>
      </c>
      <c r="BG171" s="25">
        <f>IFERROR(INDEX('2 Staff List'!KW$64:KW$114,$AH171),0)</f>
        <v>0</v>
      </c>
      <c r="BH171" s="25">
        <f>IFERROR(INDEX('2 Staff List'!KX$64:KX$114,$AH171),0)</f>
        <v>0</v>
      </c>
      <c r="BI171" s="25">
        <f>IFERROR(INDEX('2 Staff List'!KY$64:KY$114,$AH171),0)</f>
        <v>0</v>
      </c>
      <c r="BJ171" s="25">
        <f>IFERROR(INDEX('2 Staff List'!KZ$64:KZ$114,$AH171),0)</f>
        <v>0</v>
      </c>
      <c r="BK171" s="25">
        <f>IFERROR(INDEX('2 Staff List'!LA$64:LA$114,$AH171),0)</f>
        <v>0</v>
      </c>
      <c r="BL171" s="25">
        <f>IFERROR(INDEX('2 Staff List'!LB$64:LB$114,$AH171),0)</f>
        <v>0</v>
      </c>
      <c r="BM171" s="25">
        <f>IFERROR(INDEX('2 Staff List'!FT$64:FT$114,$AH171),0)</f>
        <v>0</v>
      </c>
      <c r="BN171" s="25">
        <f>IFERROR(INDEX('2 Staff List'!FU$64:FU$114,$AH171),0)</f>
        <v>0</v>
      </c>
      <c r="BO171" s="25">
        <f>IFERROR(INDEX('2 Staff List'!FV$64:FV$114,$AH171),0)</f>
        <v>0</v>
      </c>
      <c r="BP171" s="25">
        <f>IFERROR(INDEX('2 Staff List'!FW$64:FW$114,$AH171),0)</f>
        <v>0</v>
      </c>
      <c r="BQ171" s="25">
        <f>IFERROR(INDEX('2 Staff List'!FX$64:FX$114,$AH171),0)</f>
        <v>0</v>
      </c>
      <c r="BR171" s="25">
        <f>IFERROR(INDEX('2 Staff List'!FY$64:FY$114,$AH171),0)</f>
        <v>0</v>
      </c>
      <c r="BS171" s="25">
        <f>IFERROR(INDEX('2 Staff List'!FZ$64:FZ$114,$AH171),0)</f>
        <v>0</v>
      </c>
      <c r="BT171" s="25">
        <f>IFERROR(INDEX('2 Staff List'!GA$64:GA$114,$AH171),0)</f>
        <v>0</v>
      </c>
      <c r="BU171" s="25">
        <f>IFERROR(INDEX('2 Staff List'!GB$64:GB$114,$AH171),0)</f>
        <v>0</v>
      </c>
      <c r="BV171" s="25">
        <f>IFERROR(INDEX('2 Staff List'!GC$64:GC$114,$AH171),0)</f>
        <v>0</v>
      </c>
      <c r="BW171" s="25">
        <f t="shared" si="236"/>
        <v>0</v>
      </c>
      <c r="BX171" s="25">
        <f t="shared" si="237"/>
        <v>0</v>
      </c>
      <c r="BY171" s="25">
        <f t="shared" si="238"/>
        <v>0</v>
      </c>
      <c r="BZ171" s="25">
        <f t="shared" si="239"/>
        <v>0</v>
      </c>
      <c r="CA171" s="25">
        <f t="shared" si="240"/>
        <v>0</v>
      </c>
      <c r="CB171" s="25">
        <f t="shared" si="241"/>
        <v>0</v>
      </c>
      <c r="CC171" s="25">
        <f t="shared" si="242"/>
        <v>0</v>
      </c>
      <c r="CD171" s="25">
        <f t="shared" si="243"/>
        <v>0</v>
      </c>
      <c r="CE171" s="25">
        <f t="shared" si="244"/>
        <v>0</v>
      </c>
      <c r="CF171" s="25">
        <f t="shared" si="245"/>
        <v>0</v>
      </c>
      <c r="CG171" s="25">
        <f t="shared" si="246"/>
        <v>0</v>
      </c>
      <c r="CH171" s="25">
        <f>IFERROR(INDEX('2 Staff List'!LO$64:LO$114,$AH171),0)</f>
        <v>0</v>
      </c>
      <c r="CI171" s="25">
        <f>IFERROR(INDEX('2 Staff List'!LP$64:LP$114,$AH171),0)</f>
        <v>0</v>
      </c>
      <c r="CJ171" s="25">
        <f>IFERROR(INDEX('2 Staff List'!LQ$64:LQ$114,$AH171),0)</f>
        <v>0</v>
      </c>
      <c r="CK171" s="25">
        <f>IFERROR(INDEX('2 Staff List'!LR$64:LR$114,$AH171),0)</f>
        <v>0</v>
      </c>
      <c r="CL171" s="25">
        <f>IFERROR(INDEX('2 Staff List'!LS$64:LS$114,$AH171),0)</f>
        <v>0</v>
      </c>
      <c r="CM171" s="25">
        <f>IFERROR(INDEX('2 Staff List'!LT$64:LT$114,$AH171),0)</f>
        <v>0</v>
      </c>
      <c r="CN171" s="25">
        <f>IFERROR(INDEX('2 Staff List'!LU$64:LU$114,$AH171),0)</f>
        <v>0</v>
      </c>
      <c r="CO171" s="25">
        <f>IFERROR(INDEX('2 Staff List'!LV$64:LV$114,$AH171),0)</f>
        <v>0</v>
      </c>
      <c r="CP171" s="25">
        <f>IFERROR(INDEX('2 Staff List'!LW$64:LW$114,$AH171),0)</f>
        <v>0</v>
      </c>
      <c r="CQ171" s="25">
        <f>IFERROR(INDEX('2 Staff List'!LX$64:LX$114,$AH171),0)</f>
        <v>0</v>
      </c>
      <c r="CR171" s="25">
        <f t="shared" si="272"/>
        <v>0</v>
      </c>
      <c r="CS171" s="25">
        <f t="shared" si="247"/>
        <v>1</v>
      </c>
      <c r="CT171" s="25">
        <f t="shared" si="248"/>
        <v>1</v>
      </c>
      <c r="CU171" s="25">
        <f t="shared" si="249"/>
        <v>1</v>
      </c>
      <c r="CV171" s="25">
        <f t="shared" si="250"/>
        <v>1</v>
      </c>
      <c r="CW171" s="25">
        <f t="shared" si="251"/>
        <v>1</v>
      </c>
      <c r="CX171" s="25">
        <f t="shared" si="252"/>
        <v>0</v>
      </c>
      <c r="CY171" s="25">
        <f t="shared" si="253"/>
        <v>0</v>
      </c>
      <c r="CZ171" s="25">
        <f t="shared" si="254"/>
        <v>0</v>
      </c>
      <c r="DA171" s="25">
        <f t="shared" si="255"/>
        <v>1</v>
      </c>
      <c r="DB171" s="25">
        <f t="shared" si="273"/>
        <v>1</v>
      </c>
      <c r="DC171" s="25">
        <f t="shared" si="256"/>
        <v>0</v>
      </c>
      <c r="DD171" s="25">
        <f>IF(OR($AD171&lt;&gt;3,F171="Exclude"),0,IF(ISERROR(MATCH($E171,'4 Sign-off'!$S$123:$X$123,0)),0,1))</f>
        <v>0</v>
      </c>
      <c r="DE171" s="25">
        <f t="shared" si="274"/>
        <v>0</v>
      </c>
      <c r="DF171" s="25">
        <f t="shared" si="257"/>
        <v>0</v>
      </c>
      <c r="DG171" s="25" t="str">
        <f t="shared" si="258"/>
        <v/>
      </c>
      <c r="DH171" s="25">
        <f t="shared" si="259"/>
        <v>0</v>
      </c>
      <c r="DI171" s="25">
        <f t="shared" si="260"/>
        <v>0</v>
      </c>
      <c r="DJ171" s="25">
        <f>IF(ISBLANK(J171),0,ISERROR(MATCH(J171,'5  Control Accounts'!$FA$29:$FA$96,0))*1)</f>
        <v>0</v>
      </c>
      <c r="DK171" s="25">
        <f t="shared" si="261"/>
        <v>0</v>
      </c>
      <c r="DL171" s="25">
        <f t="shared" si="275"/>
        <v>-1</v>
      </c>
      <c r="DM171" s="25" t="e">
        <f t="array" ref="DM171">MATCH(1,($EG171:$JD171&gt;0)*$EG$17:$JD$17,0)</f>
        <v>#N/A</v>
      </c>
      <c r="DN171" s="25" t="e">
        <f t="shared" si="276"/>
        <v>#N/A</v>
      </c>
      <c r="DO171" s="25" t="e">
        <f t="array" ref="DO171">MATCH(2,1/(EG171:JD171&gt;0))</f>
        <v>#N/A</v>
      </c>
      <c r="DP171" s="2993">
        <f t="shared" si="262"/>
        <v>0</v>
      </c>
      <c r="DQ171" s="3037">
        <f t="shared" si="263"/>
        <v>0</v>
      </c>
      <c r="DR171" s="111"/>
      <c r="DS171" s="1268">
        <f t="shared" si="266"/>
        <v>0</v>
      </c>
      <c r="DT171" s="1825"/>
      <c r="DU171" s="1826"/>
      <c r="DV171" s="1827"/>
      <c r="DW171" s="1828"/>
      <c r="DX171" s="659"/>
      <c r="DY171" s="1265"/>
      <c r="DZ171" s="1785">
        <f t="shared" si="277"/>
        <v>0</v>
      </c>
      <c r="EA171" s="1786">
        <f t="shared" si="278"/>
        <v>0</v>
      </c>
      <c r="EB171" s="1781">
        <f t="shared" si="279"/>
        <v>0</v>
      </c>
      <c r="EC171" s="1782">
        <f t="shared" si="280"/>
        <v>0</v>
      </c>
      <c r="ED171" s="1262"/>
      <c r="EE171" s="2280"/>
      <c r="EF171" s="1802"/>
      <c r="EG171" s="167"/>
      <c r="EH171" s="168"/>
      <c r="EI171" s="168"/>
      <c r="EJ171" s="168"/>
      <c r="EK171" s="168"/>
      <c r="EL171" s="168"/>
      <c r="EM171" s="168"/>
      <c r="EN171" s="168"/>
      <c r="EO171" s="168"/>
      <c r="EP171" s="168"/>
      <c r="EQ171" s="168"/>
      <c r="ER171" s="168"/>
      <c r="ES171" s="168"/>
      <c r="ET171" s="168"/>
      <c r="EU171" s="168"/>
      <c r="EV171" s="168"/>
      <c r="EW171" s="168"/>
      <c r="EX171" s="168"/>
      <c r="EY171" s="168"/>
      <c r="EZ171" s="168"/>
      <c r="FA171" s="168"/>
      <c r="FB171" s="168"/>
      <c r="FC171" s="168"/>
      <c r="FD171" s="168"/>
      <c r="FE171" s="168"/>
      <c r="FF171" s="168"/>
      <c r="FG171" s="168"/>
      <c r="FH171" s="168"/>
      <c r="FI171" s="168"/>
      <c r="FJ171" s="168"/>
      <c r="FK171" s="168"/>
      <c r="FL171" s="168"/>
      <c r="FM171" s="168"/>
      <c r="FN171" s="168"/>
      <c r="FO171" s="168"/>
      <c r="FP171" s="168"/>
      <c r="FQ171" s="168"/>
      <c r="FR171" s="168"/>
      <c r="FS171" s="168"/>
      <c r="FT171" s="168"/>
      <c r="FU171" s="168"/>
      <c r="FV171" s="168"/>
      <c r="FW171" s="168"/>
      <c r="FX171" s="168"/>
      <c r="FY171" s="168"/>
      <c r="FZ171" s="168"/>
      <c r="GA171" s="168"/>
      <c r="GB171" s="168"/>
      <c r="GC171" s="168"/>
      <c r="GD171" s="168"/>
      <c r="GE171" s="168"/>
      <c r="GF171" s="168"/>
      <c r="GG171" s="168"/>
      <c r="GH171" s="168"/>
      <c r="GI171" s="168"/>
      <c r="GJ171" s="168"/>
      <c r="GK171" s="168"/>
      <c r="GL171" s="168"/>
      <c r="GM171" s="168"/>
      <c r="GN171" s="168"/>
      <c r="GO171" s="168"/>
      <c r="GP171" s="168"/>
      <c r="GQ171" s="168"/>
      <c r="GR171" s="168"/>
      <c r="GS171" s="168"/>
      <c r="GT171" s="168"/>
      <c r="GU171" s="168"/>
      <c r="GV171" s="168"/>
      <c r="GW171" s="168"/>
      <c r="GX171" s="168"/>
      <c r="GY171" s="168"/>
      <c r="GZ171" s="168"/>
      <c r="HA171" s="168"/>
      <c r="HB171" s="168"/>
      <c r="HC171" s="168"/>
      <c r="HD171" s="168"/>
      <c r="HE171" s="168"/>
      <c r="HF171" s="168"/>
      <c r="HG171" s="168"/>
      <c r="HH171" s="168"/>
      <c r="HI171" s="168"/>
      <c r="HJ171" s="168"/>
      <c r="HK171" s="168"/>
      <c r="HL171" s="168"/>
      <c r="HM171" s="168"/>
      <c r="HN171" s="168"/>
      <c r="HO171" s="168"/>
      <c r="HP171" s="168"/>
      <c r="HQ171" s="168"/>
      <c r="HR171" s="168"/>
      <c r="HS171" s="168"/>
      <c r="HT171" s="168"/>
      <c r="HU171" s="168"/>
      <c r="HV171" s="168"/>
      <c r="HW171" s="168"/>
      <c r="HX171" s="168"/>
      <c r="HY171" s="168"/>
      <c r="HZ171" s="168"/>
      <c r="IA171" s="168"/>
      <c r="IB171" s="168"/>
      <c r="IC171" s="168"/>
      <c r="ID171" s="168"/>
      <c r="IE171" s="168"/>
      <c r="IF171" s="168"/>
      <c r="IG171" s="168"/>
      <c r="IH171" s="168"/>
      <c r="II171" s="168"/>
      <c r="IJ171" s="168"/>
      <c r="IK171" s="168"/>
      <c r="IL171" s="168"/>
      <c r="IM171" s="168"/>
      <c r="IN171" s="168"/>
      <c r="IO171" s="168"/>
      <c r="IP171" s="168"/>
      <c r="IQ171" s="168"/>
      <c r="IR171" s="168"/>
      <c r="IS171" s="168"/>
      <c r="IT171" s="168"/>
      <c r="IU171" s="168"/>
      <c r="IV171" s="168"/>
      <c r="IW171" s="168"/>
      <c r="IX171" s="168"/>
      <c r="IY171" s="168"/>
      <c r="IZ171" s="168"/>
      <c r="JA171" s="168"/>
      <c r="JB171" s="168"/>
      <c r="JC171" s="606"/>
      <c r="JD171" s="609"/>
      <c r="JE171" s="1"/>
      <c r="JF171" s="1"/>
    </row>
    <row r="172" spans="1:266" s="2" customFormat="1" ht="15" customHeight="1" x14ac:dyDescent="0.25">
      <c r="A172" s="283"/>
      <c r="B172" s="303"/>
      <c r="C172" s="301"/>
      <c r="D172" s="638"/>
      <c r="E172" s="2298"/>
      <c r="F172" s="1812"/>
      <c r="G172" s="3342"/>
      <c r="H172" s="66"/>
      <c r="I172" s="1746"/>
      <c r="J172" s="86"/>
      <c r="K172" s="105"/>
      <c r="L172" s="91"/>
      <c r="M172" s="92"/>
      <c r="N172" s="93"/>
      <c r="O172" s="94"/>
      <c r="P172" s="96"/>
      <c r="Q172" s="95"/>
      <c r="R172" s="993">
        <f t="shared" si="267"/>
        <v>0</v>
      </c>
      <c r="S172" s="23">
        <f t="shared" si="214"/>
        <v>0</v>
      </c>
      <c r="T172" s="24">
        <f t="shared" si="215"/>
        <v>0</v>
      </c>
      <c r="U172" s="24">
        <f t="shared" si="199"/>
        <v>0</v>
      </c>
      <c r="V172" s="24">
        <f t="shared" si="216"/>
        <v>0</v>
      </c>
      <c r="W172" s="24">
        <f t="shared" si="217"/>
        <v>0</v>
      </c>
      <c r="X172" s="72">
        <f t="shared" si="218"/>
        <v>0</v>
      </c>
      <c r="Y172" s="72">
        <f t="shared" si="219"/>
        <v>0</v>
      </c>
      <c r="Z172" s="24">
        <f t="shared" si="268"/>
        <v>0</v>
      </c>
      <c r="AA172" s="72">
        <f t="shared" si="220"/>
        <v>0</v>
      </c>
      <c r="AB172" s="24">
        <f t="shared" si="221"/>
        <v>0</v>
      </c>
      <c r="AC172" s="24" t="s">
        <v>5</v>
      </c>
      <c r="AD172" s="25">
        <f t="shared" si="269"/>
        <v>3</v>
      </c>
      <c r="AE172" s="25">
        <f t="shared" si="270"/>
        <v>0</v>
      </c>
      <c r="AF172" s="25">
        <f t="shared" si="271"/>
        <v>0</v>
      </c>
      <c r="AG172" s="25">
        <f t="shared" si="222"/>
        <v>1</v>
      </c>
      <c r="AH172" s="25" t="str">
        <f>IFERROR(MATCH(DY172,'2 Staff List'!$IA$64:$IA$114,0),"x")</f>
        <v>x</v>
      </c>
      <c r="AI172" s="1181">
        <f>IFERROR(INDEX('2 Staff List'!$EX$64:$EX$114,$AH172),0)</f>
        <v>0</v>
      </c>
      <c r="AJ172" s="25">
        <f>IFERROR(INDEX('2 Staff List'!$IW$64:$IW$114,$AH172),0)</f>
        <v>0</v>
      </c>
      <c r="AK172" s="25">
        <f>IFERROR(INDEX('2 Staff List'!$IB$64:$IB$114,$AH172),0)</f>
        <v>0</v>
      </c>
      <c r="AL172" s="25">
        <f>IF(OR(NOT(ISBLANK(DV172)),CX172=1),"&lt;Non-Labor&gt;",IFERROR(IF(AH172=0,0,INDEX('2 Staff List'!$HZ$64:$HZ$114,$AH172)),0))</f>
        <v>0</v>
      </c>
      <c r="AM172" s="25">
        <f>IFERROR(INDEX('2 Staff List'!$HW$64:$HW$114,$AH172),0)</f>
        <v>0</v>
      </c>
      <c r="AN172" s="25">
        <f t="shared" si="223"/>
        <v>1</v>
      </c>
      <c r="AO172" s="25">
        <f>IF($AO$127=0,0,IFERROR(INDEX('2 Staff List'!$JH$64:$JH$114,$AH172),0))</f>
        <v>0</v>
      </c>
      <c r="AP172" s="25">
        <f>IFERROR(INDEX('2 Staff List'!$HU$64:$HU$114,$AH172),0)</f>
        <v>0</v>
      </c>
      <c r="AQ172" s="25">
        <f t="shared" si="224"/>
        <v>0</v>
      </c>
      <c r="AR172" s="25">
        <f t="shared" si="225"/>
        <v>0</v>
      </c>
      <c r="AS172" s="25">
        <f t="shared" si="226"/>
        <v>0</v>
      </c>
      <c r="AT172" s="25">
        <f t="shared" si="227"/>
        <v>0</v>
      </c>
      <c r="AU172" s="25">
        <f t="shared" si="228"/>
        <v>0</v>
      </c>
      <c r="AV172" s="25">
        <f t="shared" si="229"/>
        <v>0</v>
      </c>
      <c r="AW172" s="25">
        <f t="shared" si="230"/>
        <v>0</v>
      </c>
      <c r="AX172" s="25">
        <f t="shared" si="231"/>
        <v>0</v>
      </c>
      <c r="AY172" s="25">
        <f t="shared" si="232"/>
        <v>0</v>
      </c>
      <c r="AZ172" s="25">
        <f t="shared" si="233"/>
        <v>0</v>
      </c>
      <c r="BA172" s="25">
        <f t="shared" si="234"/>
        <v>0</v>
      </c>
      <c r="BB172" s="25">
        <f t="shared" si="235"/>
        <v>0</v>
      </c>
      <c r="BC172" s="25">
        <f>IFERROR(INDEX('2 Staff List'!KS$64:KS$114,$AH172),0)</f>
        <v>0</v>
      </c>
      <c r="BD172" s="25">
        <f>IFERROR(INDEX('2 Staff List'!KT$64:KT$114,$AH172),0)</f>
        <v>0</v>
      </c>
      <c r="BE172" s="25">
        <f>IFERROR(INDEX('2 Staff List'!KU$64:KU$114,$AH172),0)</f>
        <v>0</v>
      </c>
      <c r="BF172" s="25">
        <f>IFERROR(INDEX('2 Staff List'!KV$64:KV$114,$AH172),0)</f>
        <v>0</v>
      </c>
      <c r="BG172" s="25">
        <f>IFERROR(INDEX('2 Staff List'!KW$64:KW$114,$AH172),0)</f>
        <v>0</v>
      </c>
      <c r="BH172" s="25">
        <f>IFERROR(INDEX('2 Staff List'!KX$64:KX$114,$AH172),0)</f>
        <v>0</v>
      </c>
      <c r="BI172" s="25">
        <f>IFERROR(INDEX('2 Staff List'!KY$64:KY$114,$AH172),0)</f>
        <v>0</v>
      </c>
      <c r="BJ172" s="25">
        <f>IFERROR(INDEX('2 Staff List'!KZ$64:KZ$114,$AH172),0)</f>
        <v>0</v>
      </c>
      <c r="BK172" s="25">
        <f>IFERROR(INDEX('2 Staff List'!LA$64:LA$114,$AH172),0)</f>
        <v>0</v>
      </c>
      <c r="BL172" s="25">
        <f>IFERROR(INDEX('2 Staff List'!LB$64:LB$114,$AH172),0)</f>
        <v>0</v>
      </c>
      <c r="BM172" s="25">
        <f>IFERROR(INDEX('2 Staff List'!FT$64:FT$114,$AH172),0)</f>
        <v>0</v>
      </c>
      <c r="BN172" s="25">
        <f>IFERROR(INDEX('2 Staff List'!FU$64:FU$114,$AH172),0)</f>
        <v>0</v>
      </c>
      <c r="BO172" s="25">
        <f>IFERROR(INDEX('2 Staff List'!FV$64:FV$114,$AH172),0)</f>
        <v>0</v>
      </c>
      <c r="BP172" s="25">
        <f>IFERROR(INDEX('2 Staff List'!FW$64:FW$114,$AH172),0)</f>
        <v>0</v>
      </c>
      <c r="BQ172" s="25">
        <f>IFERROR(INDEX('2 Staff List'!FX$64:FX$114,$AH172),0)</f>
        <v>0</v>
      </c>
      <c r="BR172" s="25">
        <f>IFERROR(INDEX('2 Staff List'!FY$64:FY$114,$AH172),0)</f>
        <v>0</v>
      </c>
      <c r="BS172" s="25">
        <f>IFERROR(INDEX('2 Staff List'!FZ$64:FZ$114,$AH172),0)</f>
        <v>0</v>
      </c>
      <c r="BT172" s="25">
        <f>IFERROR(INDEX('2 Staff List'!GA$64:GA$114,$AH172),0)</f>
        <v>0</v>
      </c>
      <c r="BU172" s="25">
        <f>IFERROR(INDEX('2 Staff List'!GB$64:GB$114,$AH172),0)</f>
        <v>0</v>
      </c>
      <c r="BV172" s="25">
        <f>IFERROR(INDEX('2 Staff List'!GC$64:GC$114,$AH172),0)</f>
        <v>0</v>
      </c>
      <c r="BW172" s="25">
        <f t="shared" si="236"/>
        <v>0</v>
      </c>
      <c r="BX172" s="25">
        <f t="shared" si="237"/>
        <v>0</v>
      </c>
      <c r="BY172" s="25">
        <f t="shared" si="238"/>
        <v>0</v>
      </c>
      <c r="BZ172" s="25">
        <f t="shared" si="239"/>
        <v>0</v>
      </c>
      <c r="CA172" s="25">
        <f t="shared" si="240"/>
        <v>0</v>
      </c>
      <c r="CB172" s="25">
        <f t="shared" si="241"/>
        <v>0</v>
      </c>
      <c r="CC172" s="25">
        <f t="shared" si="242"/>
        <v>0</v>
      </c>
      <c r="CD172" s="25">
        <f t="shared" si="243"/>
        <v>0</v>
      </c>
      <c r="CE172" s="25">
        <f t="shared" si="244"/>
        <v>0</v>
      </c>
      <c r="CF172" s="25">
        <f t="shared" si="245"/>
        <v>0</v>
      </c>
      <c r="CG172" s="25">
        <f t="shared" si="246"/>
        <v>0</v>
      </c>
      <c r="CH172" s="25">
        <f>IFERROR(INDEX('2 Staff List'!LO$64:LO$114,$AH172),0)</f>
        <v>0</v>
      </c>
      <c r="CI172" s="25">
        <f>IFERROR(INDEX('2 Staff List'!LP$64:LP$114,$AH172),0)</f>
        <v>0</v>
      </c>
      <c r="CJ172" s="25">
        <f>IFERROR(INDEX('2 Staff List'!LQ$64:LQ$114,$AH172),0)</f>
        <v>0</v>
      </c>
      <c r="CK172" s="25">
        <f>IFERROR(INDEX('2 Staff List'!LR$64:LR$114,$AH172),0)</f>
        <v>0</v>
      </c>
      <c r="CL172" s="25">
        <f>IFERROR(INDEX('2 Staff List'!LS$64:LS$114,$AH172),0)</f>
        <v>0</v>
      </c>
      <c r="CM172" s="25">
        <f>IFERROR(INDEX('2 Staff List'!LT$64:LT$114,$AH172),0)</f>
        <v>0</v>
      </c>
      <c r="CN172" s="25">
        <f>IFERROR(INDEX('2 Staff List'!LU$64:LU$114,$AH172),0)</f>
        <v>0</v>
      </c>
      <c r="CO172" s="25">
        <f>IFERROR(INDEX('2 Staff List'!LV$64:LV$114,$AH172),0)</f>
        <v>0</v>
      </c>
      <c r="CP172" s="25">
        <f>IFERROR(INDEX('2 Staff List'!LW$64:LW$114,$AH172),0)</f>
        <v>0</v>
      </c>
      <c r="CQ172" s="25">
        <f>IFERROR(INDEX('2 Staff List'!LX$64:LX$114,$AH172),0)</f>
        <v>0</v>
      </c>
      <c r="CR172" s="25">
        <f t="shared" si="272"/>
        <v>0</v>
      </c>
      <c r="CS172" s="25">
        <f t="shared" ref="CS172:CS191" si="281">IFERROR(1/CR172,1)</f>
        <v>1</v>
      </c>
      <c r="CT172" s="25">
        <f t="shared" si="248"/>
        <v>1</v>
      </c>
      <c r="CU172" s="25">
        <f t="shared" si="249"/>
        <v>1</v>
      </c>
      <c r="CV172" s="25">
        <f t="shared" si="250"/>
        <v>1</v>
      </c>
      <c r="CW172" s="25">
        <f t="shared" si="251"/>
        <v>1</v>
      </c>
      <c r="CX172" s="25">
        <f t="shared" si="252"/>
        <v>0</v>
      </c>
      <c r="CY172" s="25">
        <f t="shared" si="253"/>
        <v>0</v>
      </c>
      <c r="CZ172" s="25">
        <f t="shared" si="254"/>
        <v>0</v>
      </c>
      <c r="DA172" s="25">
        <f t="shared" si="255"/>
        <v>1</v>
      </c>
      <c r="DB172" s="25">
        <f t="shared" si="273"/>
        <v>1</v>
      </c>
      <c r="DC172" s="25">
        <f t="shared" si="256"/>
        <v>0</v>
      </c>
      <c r="DD172" s="25">
        <f>IF(OR($AD172&lt;&gt;3,F172="Exclude"),0,IF(ISERROR(MATCH($E172,'4 Sign-off'!$S$123:$X$123,0)),0,1))</f>
        <v>0</v>
      </c>
      <c r="DE172" s="25">
        <f t="shared" si="274"/>
        <v>0</v>
      </c>
      <c r="DF172" s="25">
        <f t="shared" si="257"/>
        <v>0</v>
      </c>
      <c r="DG172" s="25" t="str">
        <f t="shared" si="258"/>
        <v/>
      </c>
      <c r="DH172" s="25">
        <f t="shared" si="259"/>
        <v>0</v>
      </c>
      <c r="DI172" s="25">
        <f t="shared" si="260"/>
        <v>0</v>
      </c>
      <c r="DJ172" s="25">
        <f>IF(ISBLANK(J172),0,ISERROR(MATCH(J172,'5  Control Accounts'!$FA$29:$FA$96,0))*1)</f>
        <v>0</v>
      </c>
      <c r="DK172" s="25">
        <f t="shared" si="261"/>
        <v>0</v>
      </c>
      <c r="DL172" s="25">
        <f t="shared" si="275"/>
        <v>-1</v>
      </c>
      <c r="DM172" s="25" t="e">
        <f t="array" ref="DM172">MATCH(1,($EG172:$JD172&gt;0)*$EG$17:$JD$17,0)</f>
        <v>#N/A</v>
      </c>
      <c r="DN172" s="25" t="e">
        <f t="shared" si="276"/>
        <v>#N/A</v>
      </c>
      <c r="DO172" s="25" t="e">
        <f t="array" ref="DO172">MATCH(2,1/(EG172:JD172&gt;0))</f>
        <v>#N/A</v>
      </c>
      <c r="DP172" s="2993">
        <f t="shared" si="262"/>
        <v>0</v>
      </c>
      <c r="DQ172" s="3037">
        <f t="shared" si="263"/>
        <v>0</v>
      </c>
      <c r="DR172" s="111"/>
      <c r="DS172" s="1268">
        <f t="shared" si="266"/>
        <v>0</v>
      </c>
      <c r="DT172" s="1825"/>
      <c r="DU172" s="1826"/>
      <c r="DV172" s="1827"/>
      <c r="DW172" s="1828"/>
      <c r="DX172" s="659"/>
      <c r="DY172" s="1265"/>
      <c r="DZ172" s="1785">
        <f t="shared" si="277"/>
        <v>0</v>
      </c>
      <c r="EA172" s="1786">
        <f t="shared" si="278"/>
        <v>0</v>
      </c>
      <c r="EB172" s="1781">
        <f t="shared" si="279"/>
        <v>0</v>
      </c>
      <c r="EC172" s="1782">
        <f t="shared" si="280"/>
        <v>0</v>
      </c>
      <c r="ED172" s="1262"/>
      <c r="EE172" s="2280"/>
      <c r="EF172" s="1802"/>
      <c r="EG172" s="167"/>
      <c r="EH172" s="168"/>
      <c r="EI172" s="168"/>
      <c r="EJ172" s="168"/>
      <c r="EK172" s="168"/>
      <c r="EL172" s="168"/>
      <c r="EM172" s="168"/>
      <c r="EN172" s="168"/>
      <c r="EO172" s="168"/>
      <c r="EP172" s="168"/>
      <c r="EQ172" s="168"/>
      <c r="ER172" s="168"/>
      <c r="ES172" s="168"/>
      <c r="ET172" s="168"/>
      <c r="EU172" s="168"/>
      <c r="EV172" s="168"/>
      <c r="EW172" s="168"/>
      <c r="EX172" s="168"/>
      <c r="EY172" s="168"/>
      <c r="EZ172" s="168"/>
      <c r="FA172" s="168"/>
      <c r="FB172" s="168"/>
      <c r="FC172" s="168"/>
      <c r="FD172" s="168"/>
      <c r="FE172" s="168"/>
      <c r="FF172" s="168"/>
      <c r="FG172" s="168"/>
      <c r="FH172" s="168"/>
      <c r="FI172" s="168"/>
      <c r="FJ172" s="168"/>
      <c r="FK172" s="168"/>
      <c r="FL172" s="168"/>
      <c r="FM172" s="168"/>
      <c r="FN172" s="168"/>
      <c r="FO172" s="168"/>
      <c r="FP172" s="168"/>
      <c r="FQ172" s="168"/>
      <c r="FR172" s="168"/>
      <c r="FS172" s="168"/>
      <c r="FT172" s="168"/>
      <c r="FU172" s="168"/>
      <c r="FV172" s="168"/>
      <c r="FW172" s="168"/>
      <c r="FX172" s="168"/>
      <c r="FY172" s="168"/>
      <c r="FZ172" s="168"/>
      <c r="GA172" s="168"/>
      <c r="GB172" s="168"/>
      <c r="GC172" s="168"/>
      <c r="GD172" s="168"/>
      <c r="GE172" s="168"/>
      <c r="GF172" s="168"/>
      <c r="GG172" s="168"/>
      <c r="GH172" s="168"/>
      <c r="GI172" s="168"/>
      <c r="GJ172" s="168"/>
      <c r="GK172" s="168"/>
      <c r="GL172" s="168"/>
      <c r="GM172" s="168"/>
      <c r="GN172" s="168"/>
      <c r="GO172" s="168"/>
      <c r="GP172" s="168"/>
      <c r="GQ172" s="168"/>
      <c r="GR172" s="168"/>
      <c r="GS172" s="168"/>
      <c r="GT172" s="168"/>
      <c r="GU172" s="168"/>
      <c r="GV172" s="168"/>
      <c r="GW172" s="168"/>
      <c r="GX172" s="168"/>
      <c r="GY172" s="168"/>
      <c r="GZ172" s="168"/>
      <c r="HA172" s="168"/>
      <c r="HB172" s="168"/>
      <c r="HC172" s="168"/>
      <c r="HD172" s="168"/>
      <c r="HE172" s="168"/>
      <c r="HF172" s="168"/>
      <c r="HG172" s="168"/>
      <c r="HH172" s="168"/>
      <c r="HI172" s="168"/>
      <c r="HJ172" s="168"/>
      <c r="HK172" s="168"/>
      <c r="HL172" s="168"/>
      <c r="HM172" s="168"/>
      <c r="HN172" s="168"/>
      <c r="HO172" s="168"/>
      <c r="HP172" s="168"/>
      <c r="HQ172" s="168"/>
      <c r="HR172" s="168"/>
      <c r="HS172" s="168"/>
      <c r="HT172" s="168"/>
      <c r="HU172" s="168"/>
      <c r="HV172" s="168"/>
      <c r="HW172" s="168"/>
      <c r="HX172" s="168"/>
      <c r="HY172" s="168"/>
      <c r="HZ172" s="168"/>
      <c r="IA172" s="168"/>
      <c r="IB172" s="168"/>
      <c r="IC172" s="168"/>
      <c r="ID172" s="168"/>
      <c r="IE172" s="168"/>
      <c r="IF172" s="168"/>
      <c r="IG172" s="168"/>
      <c r="IH172" s="168"/>
      <c r="II172" s="168"/>
      <c r="IJ172" s="168"/>
      <c r="IK172" s="168"/>
      <c r="IL172" s="168"/>
      <c r="IM172" s="168"/>
      <c r="IN172" s="168"/>
      <c r="IO172" s="168"/>
      <c r="IP172" s="168"/>
      <c r="IQ172" s="168"/>
      <c r="IR172" s="168"/>
      <c r="IS172" s="168"/>
      <c r="IT172" s="168"/>
      <c r="IU172" s="168"/>
      <c r="IV172" s="168"/>
      <c r="IW172" s="168"/>
      <c r="IX172" s="168"/>
      <c r="IY172" s="168"/>
      <c r="IZ172" s="168"/>
      <c r="JA172" s="168"/>
      <c r="JB172" s="168"/>
      <c r="JC172" s="606"/>
      <c r="JD172" s="609"/>
      <c r="JE172" s="1"/>
      <c r="JF172" s="1"/>
    </row>
    <row r="173" spans="1:266" s="2" customFormat="1" ht="15" customHeight="1" x14ac:dyDescent="0.25">
      <c r="A173" s="283"/>
      <c r="B173" s="303"/>
      <c r="C173" s="301"/>
      <c r="D173" s="638"/>
      <c r="E173" s="2298"/>
      <c r="F173" s="1812"/>
      <c r="G173" s="3342"/>
      <c r="H173" s="66"/>
      <c r="I173" s="1746"/>
      <c r="J173" s="86"/>
      <c r="K173" s="105"/>
      <c r="L173" s="91"/>
      <c r="M173" s="92"/>
      <c r="N173" s="93"/>
      <c r="O173" s="94"/>
      <c r="P173" s="96"/>
      <c r="Q173" s="95"/>
      <c r="R173" s="993">
        <f t="shared" si="267"/>
        <v>0</v>
      </c>
      <c r="S173" s="23">
        <f t="shared" si="214"/>
        <v>0</v>
      </c>
      <c r="T173" s="24">
        <f t="shared" si="215"/>
        <v>0</v>
      </c>
      <c r="U173" s="24">
        <f t="shared" si="199"/>
        <v>0</v>
      </c>
      <c r="V173" s="24">
        <f t="shared" si="216"/>
        <v>0</v>
      </c>
      <c r="W173" s="24">
        <f t="shared" si="217"/>
        <v>0</v>
      </c>
      <c r="X173" s="72">
        <f t="shared" si="218"/>
        <v>0</v>
      </c>
      <c r="Y173" s="72">
        <f t="shared" si="219"/>
        <v>0</v>
      </c>
      <c r="Z173" s="24">
        <f t="shared" si="268"/>
        <v>0</v>
      </c>
      <c r="AA173" s="72">
        <f t="shared" si="220"/>
        <v>0</v>
      </c>
      <c r="AB173" s="24">
        <f t="shared" si="221"/>
        <v>0</v>
      </c>
      <c r="AC173" s="24" t="s">
        <v>5</v>
      </c>
      <c r="AD173" s="25">
        <f t="shared" si="269"/>
        <v>3</v>
      </c>
      <c r="AE173" s="25">
        <f t="shared" si="270"/>
        <v>0</v>
      </c>
      <c r="AF173" s="25">
        <f t="shared" si="271"/>
        <v>0</v>
      </c>
      <c r="AG173" s="25">
        <f t="shared" si="222"/>
        <v>1</v>
      </c>
      <c r="AH173" s="25" t="str">
        <f>IFERROR(MATCH(DY173,'2 Staff List'!$IA$64:$IA$114,0),"x")</f>
        <v>x</v>
      </c>
      <c r="AI173" s="1181">
        <f>IFERROR(INDEX('2 Staff List'!$EX$64:$EX$114,$AH173),0)</f>
        <v>0</v>
      </c>
      <c r="AJ173" s="25">
        <f>IFERROR(INDEX('2 Staff List'!$IW$64:$IW$114,$AH173),0)</f>
        <v>0</v>
      </c>
      <c r="AK173" s="25">
        <f>IFERROR(INDEX('2 Staff List'!$IB$64:$IB$114,$AH173),0)</f>
        <v>0</v>
      </c>
      <c r="AL173" s="25">
        <f>IF(OR(NOT(ISBLANK(DV173)),CX173=1),"&lt;Non-Labor&gt;",IFERROR(IF(AH173=0,0,INDEX('2 Staff List'!$HZ$64:$HZ$114,$AH173)),0))</f>
        <v>0</v>
      </c>
      <c r="AM173" s="25">
        <f>IFERROR(INDEX('2 Staff List'!$HW$64:$HW$114,$AH173),0)</f>
        <v>0</v>
      </c>
      <c r="AN173" s="25">
        <f t="shared" si="223"/>
        <v>1</v>
      </c>
      <c r="AO173" s="25">
        <f>IF($AO$127=0,0,IFERROR(INDEX('2 Staff List'!$JH$64:$JH$114,$AH173),0))</f>
        <v>0</v>
      </c>
      <c r="AP173" s="25">
        <f>IFERROR(INDEX('2 Staff List'!$HU$64:$HU$114,$AH173),0)</f>
        <v>0</v>
      </c>
      <c r="AQ173" s="25">
        <f t="shared" si="224"/>
        <v>0</v>
      </c>
      <c r="AR173" s="25">
        <f t="shared" si="225"/>
        <v>0</v>
      </c>
      <c r="AS173" s="25">
        <f t="shared" si="226"/>
        <v>0</v>
      </c>
      <c r="AT173" s="25">
        <f t="shared" si="227"/>
        <v>0</v>
      </c>
      <c r="AU173" s="25">
        <f t="shared" si="228"/>
        <v>0</v>
      </c>
      <c r="AV173" s="25">
        <f t="shared" si="229"/>
        <v>0</v>
      </c>
      <c r="AW173" s="25">
        <f t="shared" si="230"/>
        <v>0</v>
      </c>
      <c r="AX173" s="25">
        <f t="shared" si="231"/>
        <v>0</v>
      </c>
      <c r="AY173" s="25">
        <f t="shared" si="232"/>
        <v>0</v>
      </c>
      <c r="AZ173" s="25">
        <f t="shared" si="233"/>
        <v>0</v>
      </c>
      <c r="BA173" s="25">
        <f t="shared" si="234"/>
        <v>0</v>
      </c>
      <c r="BB173" s="25">
        <f t="shared" si="235"/>
        <v>0</v>
      </c>
      <c r="BC173" s="25">
        <f>IFERROR(INDEX('2 Staff List'!KS$64:KS$114,$AH173),0)</f>
        <v>0</v>
      </c>
      <c r="BD173" s="25">
        <f>IFERROR(INDEX('2 Staff List'!KT$64:KT$114,$AH173),0)</f>
        <v>0</v>
      </c>
      <c r="BE173" s="25">
        <f>IFERROR(INDEX('2 Staff List'!KU$64:KU$114,$AH173),0)</f>
        <v>0</v>
      </c>
      <c r="BF173" s="25">
        <f>IFERROR(INDEX('2 Staff List'!KV$64:KV$114,$AH173),0)</f>
        <v>0</v>
      </c>
      <c r="BG173" s="25">
        <f>IFERROR(INDEX('2 Staff List'!KW$64:KW$114,$AH173),0)</f>
        <v>0</v>
      </c>
      <c r="BH173" s="25">
        <f>IFERROR(INDEX('2 Staff List'!KX$64:KX$114,$AH173),0)</f>
        <v>0</v>
      </c>
      <c r="BI173" s="25">
        <f>IFERROR(INDEX('2 Staff List'!KY$64:KY$114,$AH173),0)</f>
        <v>0</v>
      </c>
      <c r="BJ173" s="25">
        <f>IFERROR(INDEX('2 Staff List'!KZ$64:KZ$114,$AH173),0)</f>
        <v>0</v>
      </c>
      <c r="BK173" s="25">
        <f>IFERROR(INDEX('2 Staff List'!LA$64:LA$114,$AH173),0)</f>
        <v>0</v>
      </c>
      <c r="BL173" s="25">
        <f>IFERROR(INDEX('2 Staff List'!LB$64:LB$114,$AH173),0)</f>
        <v>0</v>
      </c>
      <c r="BM173" s="25">
        <f>IFERROR(INDEX('2 Staff List'!FT$64:FT$114,$AH173),0)</f>
        <v>0</v>
      </c>
      <c r="BN173" s="25">
        <f>IFERROR(INDEX('2 Staff List'!FU$64:FU$114,$AH173),0)</f>
        <v>0</v>
      </c>
      <c r="BO173" s="25">
        <f>IFERROR(INDEX('2 Staff List'!FV$64:FV$114,$AH173),0)</f>
        <v>0</v>
      </c>
      <c r="BP173" s="25">
        <f>IFERROR(INDEX('2 Staff List'!FW$64:FW$114,$AH173),0)</f>
        <v>0</v>
      </c>
      <c r="BQ173" s="25">
        <f>IFERROR(INDEX('2 Staff List'!FX$64:FX$114,$AH173),0)</f>
        <v>0</v>
      </c>
      <c r="BR173" s="25">
        <f>IFERROR(INDEX('2 Staff List'!FY$64:FY$114,$AH173),0)</f>
        <v>0</v>
      </c>
      <c r="BS173" s="25">
        <f>IFERROR(INDEX('2 Staff List'!FZ$64:FZ$114,$AH173),0)</f>
        <v>0</v>
      </c>
      <c r="BT173" s="25">
        <f>IFERROR(INDEX('2 Staff List'!GA$64:GA$114,$AH173),0)</f>
        <v>0</v>
      </c>
      <c r="BU173" s="25">
        <f>IFERROR(INDEX('2 Staff List'!GB$64:GB$114,$AH173),0)</f>
        <v>0</v>
      </c>
      <c r="BV173" s="25">
        <f>IFERROR(INDEX('2 Staff List'!GC$64:GC$114,$AH173),0)</f>
        <v>0</v>
      </c>
      <c r="BW173" s="25">
        <f t="shared" si="236"/>
        <v>0</v>
      </c>
      <c r="BX173" s="25">
        <f t="shared" si="237"/>
        <v>0</v>
      </c>
      <c r="BY173" s="25">
        <f t="shared" si="238"/>
        <v>0</v>
      </c>
      <c r="BZ173" s="25">
        <f t="shared" si="239"/>
        <v>0</v>
      </c>
      <c r="CA173" s="25">
        <f t="shared" si="240"/>
        <v>0</v>
      </c>
      <c r="CB173" s="25">
        <f t="shared" si="241"/>
        <v>0</v>
      </c>
      <c r="CC173" s="25">
        <f t="shared" si="242"/>
        <v>0</v>
      </c>
      <c r="CD173" s="25">
        <f t="shared" si="243"/>
        <v>0</v>
      </c>
      <c r="CE173" s="25">
        <f t="shared" si="244"/>
        <v>0</v>
      </c>
      <c r="CF173" s="25">
        <f t="shared" si="245"/>
        <v>0</v>
      </c>
      <c r="CG173" s="25">
        <f t="shared" si="246"/>
        <v>0</v>
      </c>
      <c r="CH173" s="25">
        <f>IFERROR(INDEX('2 Staff List'!LO$64:LO$114,$AH173),0)</f>
        <v>0</v>
      </c>
      <c r="CI173" s="25">
        <f>IFERROR(INDEX('2 Staff List'!LP$64:LP$114,$AH173),0)</f>
        <v>0</v>
      </c>
      <c r="CJ173" s="25">
        <f>IFERROR(INDEX('2 Staff List'!LQ$64:LQ$114,$AH173),0)</f>
        <v>0</v>
      </c>
      <c r="CK173" s="25">
        <f>IFERROR(INDEX('2 Staff List'!LR$64:LR$114,$AH173),0)</f>
        <v>0</v>
      </c>
      <c r="CL173" s="25">
        <f>IFERROR(INDEX('2 Staff List'!LS$64:LS$114,$AH173),0)</f>
        <v>0</v>
      </c>
      <c r="CM173" s="25">
        <f>IFERROR(INDEX('2 Staff List'!LT$64:LT$114,$AH173),0)</f>
        <v>0</v>
      </c>
      <c r="CN173" s="25">
        <f>IFERROR(INDEX('2 Staff List'!LU$64:LU$114,$AH173),0)</f>
        <v>0</v>
      </c>
      <c r="CO173" s="25">
        <f>IFERROR(INDEX('2 Staff List'!LV$64:LV$114,$AH173),0)</f>
        <v>0</v>
      </c>
      <c r="CP173" s="25">
        <f>IFERROR(INDEX('2 Staff List'!LW$64:LW$114,$AH173),0)</f>
        <v>0</v>
      </c>
      <c r="CQ173" s="25">
        <f>IFERROR(INDEX('2 Staff List'!LX$64:LX$114,$AH173),0)</f>
        <v>0</v>
      </c>
      <c r="CR173" s="25">
        <f t="shared" si="272"/>
        <v>0</v>
      </c>
      <c r="CS173" s="25">
        <f t="shared" si="281"/>
        <v>1</v>
      </c>
      <c r="CT173" s="25">
        <f t="shared" si="248"/>
        <v>1</v>
      </c>
      <c r="CU173" s="25">
        <f t="shared" si="249"/>
        <v>1</v>
      </c>
      <c r="CV173" s="25">
        <f t="shared" si="250"/>
        <v>1</v>
      </c>
      <c r="CW173" s="25">
        <f t="shared" si="251"/>
        <v>1</v>
      </c>
      <c r="CX173" s="25">
        <f t="shared" si="252"/>
        <v>0</v>
      </c>
      <c r="CY173" s="25">
        <f t="shared" si="253"/>
        <v>0</v>
      </c>
      <c r="CZ173" s="25">
        <f t="shared" si="254"/>
        <v>0</v>
      </c>
      <c r="DA173" s="25">
        <f t="shared" si="255"/>
        <v>1</v>
      </c>
      <c r="DB173" s="25">
        <f t="shared" si="273"/>
        <v>1</v>
      </c>
      <c r="DC173" s="25">
        <f t="shared" si="256"/>
        <v>0</v>
      </c>
      <c r="DD173" s="25">
        <f>IF(OR($AD173&lt;&gt;3,F173="Exclude"),0,IF(ISERROR(MATCH($E173,'4 Sign-off'!$S$123:$X$123,0)),0,1))</f>
        <v>0</v>
      </c>
      <c r="DE173" s="25">
        <f t="shared" si="274"/>
        <v>0</v>
      </c>
      <c r="DF173" s="25">
        <f t="shared" si="257"/>
        <v>0</v>
      </c>
      <c r="DG173" s="25" t="str">
        <f t="shared" si="258"/>
        <v/>
      </c>
      <c r="DH173" s="25">
        <f t="shared" si="259"/>
        <v>0</v>
      </c>
      <c r="DI173" s="25">
        <f t="shared" si="260"/>
        <v>0</v>
      </c>
      <c r="DJ173" s="25">
        <f>IF(ISBLANK(J173),0,ISERROR(MATCH(J173,'5  Control Accounts'!$FA$29:$FA$96,0))*1)</f>
        <v>0</v>
      </c>
      <c r="DK173" s="25">
        <f t="shared" si="261"/>
        <v>0</v>
      </c>
      <c r="DL173" s="25">
        <f t="shared" si="275"/>
        <v>-1</v>
      </c>
      <c r="DM173" s="25" t="e">
        <f t="array" ref="DM173">MATCH(1,($EG173:$JD173&gt;0)*$EG$17:$JD$17,0)</f>
        <v>#N/A</v>
      </c>
      <c r="DN173" s="25" t="e">
        <f t="shared" si="276"/>
        <v>#N/A</v>
      </c>
      <c r="DO173" s="25" t="e">
        <f t="array" ref="DO173">MATCH(2,1/(EG173:JD173&gt;0))</f>
        <v>#N/A</v>
      </c>
      <c r="DP173" s="2993">
        <f t="shared" si="262"/>
        <v>0</v>
      </c>
      <c r="DQ173" s="3037">
        <f t="shared" si="263"/>
        <v>0</v>
      </c>
      <c r="DR173" s="111"/>
      <c r="DS173" s="1268">
        <f t="shared" si="266"/>
        <v>0</v>
      </c>
      <c r="DT173" s="1825"/>
      <c r="DU173" s="1826"/>
      <c r="DV173" s="1827"/>
      <c r="DW173" s="1828"/>
      <c r="DX173" s="659"/>
      <c r="DY173" s="1265"/>
      <c r="DZ173" s="1785">
        <f t="shared" si="277"/>
        <v>0</v>
      </c>
      <c r="EA173" s="1786">
        <f t="shared" si="278"/>
        <v>0</v>
      </c>
      <c r="EB173" s="1781">
        <f t="shared" si="279"/>
        <v>0</v>
      </c>
      <c r="EC173" s="1782">
        <f t="shared" si="280"/>
        <v>0</v>
      </c>
      <c r="ED173" s="1262"/>
      <c r="EE173" s="2280"/>
      <c r="EF173" s="1802"/>
      <c r="EG173" s="167"/>
      <c r="EH173" s="168"/>
      <c r="EI173" s="168"/>
      <c r="EJ173" s="168"/>
      <c r="EK173" s="168"/>
      <c r="EL173" s="168"/>
      <c r="EM173" s="168"/>
      <c r="EN173" s="168"/>
      <c r="EO173" s="168"/>
      <c r="EP173" s="168"/>
      <c r="EQ173" s="168"/>
      <c r="ER173" s="168"/>
      <c r="ES173" s="168"/>
      <c r="ET173" s="168"/>
      <c r="EU173" s="168"/>
      <c r="EV173" s="168"/>
      <c r="EW173" s="168"/>
      <c r="EX173" s="168"/>
      <c r="EY173" s="168"/>
      <c r="EZ173" s="168"/>
      <c r="FA173" s="168"/>
      <c r="FB173" s="168"/>
      <c r="FC173" s="168"/>
      <c r="FD173" s="168"/>
      <c r="FE173" s="168"/>
      <c r="FF173" s="168"/>
      <c r="FG173" s="168"/>
      <c r="FH173" s="168"/>
      <c r="FI173" s="168"/>
      <c r="FJ173" s="168"/>
      <c r="FK173" s="168"/>
      <c r="FL173" s="168"/>
      <c r="FM173" s="168"/>
      <c r="FN173" s="168"/>
      <c r="FO173" s="168"/>
      <c r="FP173" s="168"/>
      <c r="FQ173" s="168"/>
      <c r="FR173" s="168"/>
      <c r="FS173" s="168"/>
      <c r="FT173" s="168"/>
      <c r="FU173" s="168"/>
      <c r="FV173" s="168"/>
      <c r="FW173" s="168"/>
      <c r="FX173" s="168"/>
      <c r="FY173" s="168"/>
      <c r="FZ173" s="168"/>
      <c r="GA173" s="168"/>
      <c r="GB173" s="168"/>
      <c r="GC173" s="168"/>
      <c r="GD173" s="168"/>
      <c r="GE173" s="168"/>
      <c r="GF173" s="168"/>
      <c r="GG173" s="168"/>
      <c r="GH173" s="168"/>
      <c r="GI173" s="168"/>
      <c r="GJ173" s="168"/>
      <c r="GK173" s="168"/>
      <c r="GL173" s="168"/>
      <c r="GM173" s="168"/>
      <c r="GN173" s="168"/>
      <c r="GO173" s="168"/>
      <c r="GP173" s="168"/>
      <c r="GQ173" s="168"/>
      <c r="GR173" s="168"/>
      <c r="GS173" s="168"/>
      <c r="GT173" s="168"/>
      <c r="GU173" s="168"/>
      <c r="GV173" s="168"/>
      <c r="GW173" s="168"/>
      <c r="GX173" s="168"/>
      <c r="GY173" s="168"/>
      <c r="GZ173" s="168"/>
      <c r="HA173" s="168"/>
      <c r="HB173" s="168"/>
      <c r="HC173" s="168"/>
      <c r="HD173" s="168"/>
      <c r="HE173" s="168"/>
      <c r="HF173" s="168"/>
      <c r="HG173" s="168"/>
      <c r="HH173" s="168"/>
      <c r="HI173" s="168"/>
      <c r="HJ173" s="168"/>
      <c r="HK173" s="168"/>
      <c r="HL173" s="168"/>
      <c r="HM173" s="168"/>
      <c r="HN173" s="168"/>
      <c r="HO173" s="168"/>
      <c r="HP173" s="168"/>
      <c r="HQ173" s="168"/>
      <c r="HR173" s="168"/>
      <c r="HS173" s="168"/>
      <c r="HT173" s="168"/>
      <c r="HU173" s="168"/>
      <c r="HV173" s="168"/>
      <c r="HW173" s="168"/>
      <c r="HX173" s="168"/>
      <c r="HY173" s="168"/>
      <c r="HZ173" s="168"/>
      <c r="IA173" s="168"/>
      <c r="IB173" s="168"/>
      <c r="IC173" s="168"/>
      <c r="ID173" s="168"/>
      <c r="IE173" s="168"/>
      <c r="IF173" s="168"/>
      <c r="IG173" s="168"/>
      <c r="IH173" s="168"/>
      <c r="II173" s="168"/>
      <c r="IJ173" s="168"/>
      <c r="IK173" s="168"/>
      <c r="IL173" s="168"/>
      <c r="IM173" s="168"/>
      <c r="IN173" s="168"/>
      <c r="IO173" s="168"/>
      <c r="IP173" s="168"/>
      <c r="IQ173" s="168"/>
      <c r="IR173" s="168"/>
      <c r="IS173" s="168"/>
      <c r="IT173" s="168"/>
      <c r="IU173" s="168"/>
      <c r="IV173" s="168"/>
      <c r="IW173" s="168"/>
      <c r="IX173" s="168"/>
      <c r="IY173" s="168"/>
      <c r="IZ173" s="168"/>
      <c r="JA173" s="168"/>
      <c r="JB173" s="168"/>
      <c r="JC173" s="606"/>
      <c r="JD173" s="609"/>
      <c r="JE173" s="1"/>
      <c r="JF173" s="1"/>
    </row>
    <row r="174" spans="1:266" s="2" customFormat="1" ht="15" customHeight="1" x14ac:dyDescent="0.25">
      <c r="A174" s="283"/>
      <c r="B174" s="303"/>
      <c r="C174" s="301"/>
      <c r="D174" s="638"/>
      <c r="E174" s="2298"/>
      <c r="F174" s="1812"/>
      <c r="G174" s="3342"/>
      <c r="H174" s="66"/>
      <c r="I174" s="1746"/>
      <c r="J174" s="86"/>
      <c r="K174" s="105"/>
      <c r="L174" s="91"/>
      <c r="M174" s="92"/>
      <c r="N174" s="93"/>
      <c r="O174" s="94"/>
      <c r="P174" s="96"/>
      <c r="Q174" s="95"/>
      <c r="R174" s="993">
        <f t="shared" si="267"/>
        <v>0</v>
      </c>
      <c r="S174" s="23">
        <f t="shared" si="214"/>
        <v>0</v>
      </c>
      <c r="T174" s="24">
        <f t="shared" si="215"/>
        <v>0</v>
      </c>
      <c r="U174" s="24">
        <f t="shared" si="199"/>
        <v>0</v>
      </c>
      <c r="V174" s="24">
        <f t="shared" si="216"/>
        <v>0</v>
      </c>
      <c r="W174" s="24">
        <f t="shared" si="217"/>
        <v>0</v>
      </c>
      <c r="X174" s="72">
        <f t="shared" si="218"/>
        <v>0</v>
      </c>
      <c r="Y174" s="72">
        <f t="shared" si="219"/>
        <v>0</v>
      </c>
      <c r="Z174" s="24">
        <f t="shared" si="268"/>
        <v>0</v>
      </c>
      <c r="AA174" s="72">
        <f t="shared" si="220"/>
        <v>0</v>
      </c>
      <c r="AB174" s="24">
        <f t="shared" si="221"/>
        <v>0</v>
      </c>
      <c r="AC174" s="24" t="s">
        <v>5</v>
      </c>
      <c r="AD174" s="25">
        <f t="shared" si="269"/>
        <v>3</v>
      </c>
      <c r="AE174" s="25">
        <f t="shared" si="270"/>
        <v>0</v>
      </c>
      <c r="AF174" s="25">
        <f t="shared" si="271"/>
        <v>0</v>
      </c>
      <c r="AG174" s="25">
        <f t="shared" si="222"/>
        <v>1</v>
      </c>
      <c r="AH174" s="25" t="str">
        <f>IFERROR(MATCH(DY174,'2 Staff List'!$IA$64:$IA$114,0),"x")</f>
        <v>x</v>
      </c>
      <c r="AI174" s="1181">
        <f>IFERROR(INDEX('2 Staff List'!$EX$64:$EX$114,$AH174),0)</f>
        <v>0</v>
      </c>
      <c r="AJ174" s="25">
        <f>IFERROR(INDEX('2 Staff List'!$IW$64:$IW$114,$AH174),0)</f>
        <v>0</v>
      </c>
      <c r="AK174" s="25">
        <f>IFERROR(INDEX('2 Staff List'!$IB$64:$IB$114,$AH174),0)</f>
        <v>0</v>
      </c>
      <c r="AL174" s="25">
        <f>IF(OR(NOT(ISBLANK(DV174)),CX174=1),"&lt;Non-Labor&gt;",IFERROR(IF(AH174=0,0,INDEX('2 Staff List'!$HZ$64:$HZ$114,$AH174)),0))</f>
        <v>0</v>
      </c>
      <c r="AM174" s="25">
        <f>IFERROR(INDEX('2 Staff List'!$HW$64:$HW$114,$AH174),0)</f>
        <v>0</v>
      </c>
      <c r="AN174" s="25">
        <f t="shared" si="223"/>
        <v>1</v>
      </c>
      <c r="AO174" s="25">
        <f>IF($AO$127=0,0,IFERROR(INDEX('2 Staff List'!$JH$64:$JH$114,$AH174),0))</f>
        <v>0</v>
      </c>
      <c r="AP174" s="25">
        <f>IFERROR(INDEX('2 Staff List'!$HU$64:$HU$114,$AH174),0)</f>
        <v>0</v>
      </c>
      <c r="AQ174" s="25">
        <f t="shared" si="224"/>
        <v>0</v>
      </c>
      <c r="AR174" s="25">
        <f t="shared" si="225"/>
        <v>0</v>
      </c>
      <c r="AS174" s="25">
        <f t="shared" si="226"/>
        <v>0</v>
      </c>
      <c r="AT174" s="25">
        <f t="shared" si="227"/>
        <v>0</v>
      </c>
      <c r="AU174" s="25">
        <f t="shared" si="228"/>
        <v>0</v>
      </c>
      <c r="AV174" s="25">
        <f t="shared" si="229"/>
        <v>0</v>
      </c>
      <c r="AW174" s="25">
        <f t="shared" si="230"/>
        <v>0</v>
      </c>
      <c r="AX174" s="25">
        <f t="shared" si="231"/>
        <v>0</v>
      </c>
      <c r="AY174" s="25">
        <f t="shared" si="232"/>
        <v>0</v>
      </c>
      <c r="AZ174" s="25">
        <f t="shared" si="233"/>
        <v>0</v>
      </c>
      <c r="BA174" s="25">
        <f t="shared" si="234"/>
        <v>0</v>
      </c>
      <c r="BB174" s="25">
        <f t="shared" si="235"/>
        <v>0</v>
      </c>
      <c r="BC174" s="25">
        <f>IFERROR(INDEX('2 Staff List'!KS$64:KS$114,$AH174),0)</f>
        <v>0</v>
      </c>
      <c r="BD174" s="25">
        <f>IFERROR(INDEX('2 Staff List'!KT$64:KT$114,$AH174),0)</f>
        <v>0</v>
      </c>
      <c r="BE174" s="25">
        <f>IFERROR(INDEX('2 Staff List'!KU$64:KU$114,$AH174),0)</f>
        <v>0</v>
      </c>
      <c r="BF174" s="25">
        <f>IFERROR(INDEX('2 Staff List'!KV$64:KV$114,$AH174),0)</f>
        <v>0</v>
      </c>
      <c r="BG174" s="25">
        <f>IFERROR(INDEX('2 Staff List'!KW$64:KW$114,$AH174),0)</f>
        <v>0</v>
      </c>
      <c r="BH174" s="25">
        <f>IFERROR(INDEX('2 Staff List'!KX$64:KX$114,$AH174),0)</f>
        <v>0</v>
      </c>
      <c r="BI174" s="25">
        <f>IFERROR(INDEX('2 Staff List'!KY$64:KY$114,$AH174),0)</f>
        <v>0</v>
      </c>
      <c r="BJ174" s="25">
        <f>IFERROR(INDEX('2 Staff List'!KZ$64:KZ$114,$AH174),0)</f>
        <v>0</v>
      </c>
      <c r="BK174" s="25">
        <f>IFERROR(INDEX('2 Staff List'!LA$64:LA$114,$AH174),0)</f>
        <v>0</v>
      </c>
      <c r="BL174" s="25">
        <f>IFERROR(INDEX('2 Staff List'!LB$64:LB$114,$AH174),0)</f>
        <v>0</v>
      </c>
      <c r="BM174" s="25">
        <f>IFERROR(INDEX('2 Staff List'!FT$64:FT$114,$AH174),0)</f>
        <v>0</v>
      </c>
      <c r="BN174" s="25">
        <f>IFERROR(INDEX('2 Staff List'!FU$64:FU$114,$AH174),0)</f>
        <v>0</v>
      </c>
      <c r="BO174" s="25">
        <f>IFERROR(INDEX('2 Staff List'!FV$64:FV$114,$AH174),0)</f>
        <v>0</v>
      </c>
      <c r="BP174" s="25">
        <f>IFERROR(INDEX('2 Staff List'!FW$64:FW$114,$AH174),0)</f>
        <v>0</v>
      </c>
      <c r="BQ174" s="25">
        <f>IFERROR(INDEX('2 Staff List'!FX$64:FX$114,$AH174),0)</f>
        <v>0</v>
      </c>
      <c r="BR174" s="25">
        <f>IFERROR(INDEX('2 Staff List'!FY$64:FY$114,$AH174),0)</f>
        <v>0</v>
      </c>
      <c r="BS174" s="25">
        <f>IFERROR(INDEX('2 Staff List'!FZ$64:FZ$114,$AH174),0)</f>
        <v>0</v>
      </c>
      <c r="BT174" s="25">
        <f>IFERROR(INDEX('2 Staff List'!GA$64:GA$114,$AH174),0)</f>
        <v>0</v>
      </c>
      <c r="BU174" s="25">
        <f>IFERROR(INDEX('2 Staff List'!GB$64:GB$114,$AH174),0)</f>
        <v>0</v>
      </c>
      <c r="BV174" s="25">
        <f>IFERROR(INDEX('2 Staff List'!GC$64:GC$114,$AH174),0)</f>
        <v>0</v>
      </c>
      <c r="BW174" s="25">
        <f t="shared" si="236"/>
        <v>0</v>
      </c>
      <c r="BX174" s="25">
        <f t="shared" si="237"/>
        <v>0</v>
      </c>
      <c r="BY174" s="25">
        <f t="shared" si="238"/>
        <v>0</v>
      </c>
      <c r="BZ174" s="25">
        <f t="shared" si="239"/>
        <v>0</v>
      </c>
      <c r="CA174" s="25">
        <f t="shared" si="240"/>
        <v>0</v>
      </c>
      <c r="CB174" s="25">
        <f t="shared" si="241"/>
        <v>0</v>
      </c>
      <c r="CC174" s="25">
        <f t="shared" si="242"/>
        <v>0</v>
      </c>
      <c r="CD174" s="25">
        <f t="shared" si="243"/>
        <v>0</v>
      </c>
      <c r="CE174" s="25">
        <f t="shared" si="244"/>
        <v>0</v>
      </c>
      <c r="CF174" s="25">
        <f t="shared" si="245"/>
        <v>0</v>
      </c>
      <c r="CG174" s="25">
        <f t="shared" si="246"/>
        <v>0</v>
      </c>
      <c r="CH174" s="25">
        <f>IFERROR(INDEX('2 Staff List'!LO$64:LO$114,$AH174),0)</f>
        <v>0</v>
      </c>
      <c r="CI174" s="25">
        <f>IFERROR(INDEX('2 Staff List'!LP$64:LP$114,$AH174),0)</f>
        <v>0</v>
      </c>
      <c r="CJ174" s="25">
        <f>IFERROR(INDEX('2 Staff List'!LQ$64:LQ$114,$AH174),0)</f>
        <v>0</v>
      </c>
      <c r="CK174" s="25">
        <f>IFERROR(INDEX('2 Staff List'!LR$64:LR$114,$AH174),0)</f>
        <v>0</v>
      </c>
      <c r="CL174" s="25">
        <f>IFERROR(INDEX('2 Staff List'!LS$64:LS$114,$AH174),0)</f>
        <v>0</v>
      </c>
      <c r="CM174" s="25">
        <f>IFERROR(INDEX('2 Staff List'!LT$64:LT$114,$AH174),0)</f>
        <v>0</v>
      </c>
      <c r="CN174" s="25">
        <f>IFERROR(INDEX('2 Staff List'!LU$64:LU$114,$AH174),0)</f>
        <v>0</v>
      </c>
      <c r="CO174" s="25">
        <f>IFERROR(INDEX('2 Staff List'!LV$64:LV$114,$AH174),0)</f>
        <v>0</v>
      </c>
      <c r="CP174" s="25">
        <f>IFERROR(INDEX('2 Staff List'!LW$64:LW$114,$AH174),0)</f>
        <v>0</v>
      </c>
      <c r="CQ174" s="25">
        <f>IFERROR(INDEX('2 Staff List'!LX$64:LX$114,$AH174),0)</f>
        <v>0</v>
      </c>
      <c r="CR174" s="25">
        <f t="shared" si="272"/>
        <v>0</v>
      </c>
      <c r="CS174" s="25">
        <f t="shared" si="281"/>
        <v>1</v>
      </c>
      <c r="CT174" s="25">
        <f t="shared" si="248"/>
        <v>1</v>
      </c>
      <c r="CU174" s="25">
        <f t="shared" si="249"/>
        <v>1</v>
      </c>
      <c r="CV174" s="25">
        <f t="shared" si="250"/>
        <v>1</v>
      </c>
      <c r="CW174" s="25">
        <f t="shared" si="251"/>
        <v>1</v>
      </c>
      <c r="CX174" s="25">
        <f t="shared" si="252"/>
        <v>0</v>
      </c>
      <c r="CY174" s="25">
        <f t="shared" si="253"/>
        <v>0</v>
      </c>
      <c r="CZ174" s="25">
        <f t="shared" si="254"/>
        <v>0</v>
      </c>
      <c r="DA174" s="25">
        <f t="shared" si="255"/>
        <v>1</v>
      </c>
      <c r="DB174" s="25">
        <f t="shared" si="273"/>
        <v>1</v>
      </c>
      <c r="DC174" s="25">
        <f t="shared" si="256"/>
        <v>0</v>
      </c>
      <c r="DD174" s="25">
        <f>IF(OR($AD174&lt;&gt;3,F174="Exclude"),0,IF(ISERROR(MATCH($E174,'4 Sign-off'!$S$123:$X$123,0)),0,1))</f>
        <v>0</v>
      </c>
      <c r="DE174" s="25">
        <f t="shared" si="274"/>
        <v>0</v>
      </c>
      <c r="DF174" s="25">
        <f t="shared" si="257"/>
        <v>0</v>
      </c>
      <c r="DG174" s="25" t="str">
        <f t="shared" si="258"/>
        <v/>
      </c>
      <c r="DH174" s="25">
        <f t="shared" si="259"/>
        <v>0</v>
      </c>
      <c r="DI174" s="25">
        <f t="shared" si="260"/>
        <v>0</v>
      </c>
      <c r="DJ174" s="25">
        <f>IF(ISBLANK(J174),0,ISERROR(MATCH(J174,'5  Control Accounts'!$FA$29:$FA$96,0))*1)</f>
        <v>0</v>
      </c>
      <c r="DK174" s="25">
        <f t="shared" si="261"/>
        <v>0</v>
      </c>
      <c r="DL174" s="25">
        <f t="shared" si="275"/>
        <v>-1</v>
      </c>
      <c r="DM174" s="25" t="e">
        <f t="array" ref="DM174">MATCH(1,($EG174:$JD174&gt;0)*$EG$17:$JD$17,0)</f>
        <v>#N/A</v>
      </c>
      <c r="DN174" s="25" t="e">
        <f t="shared" si="276"/>
        <v>#N/A</v>
      </c>
      <c r="DO174" s="25" t="e">
        <f t="array" ref="DO174">MATCH(2,1/(EG174:JD174&gt;0))</f>
        <v>#N/A</v>
      </c>
      <c r="DP174" s="2993">
        <f t="shared" si="262"/>
        <v>0</v>
      </c>
      <c r="DQ174" s="3037">
        <f t="shared" si="263"/>
        <v>0</v>
      </c>
      <c r="DR174" s="111"/>
      <c r="DS174" s="1268">
        <f t="shared" si="266"/>
        <v>0</v>
      </c>
      <c r="DT174" s="1825"/>
      <c r="DU174" s="1826"/>
      <c r="DV174" s="1827"/>
      <c r="DW174" s="1828"/>
      <c r="DX174" s="659"/>
      <c r="DY174" s="1265"/>
      <c r="DZ174" s="1785">
        <f t="shared" si="277"/>
        <v>0</v>
      </c>
      <c r="EA174" s="1786">
        <f t="shared" si="278"/>
        <v>0</v>
      </c>
      <c r="EB174" s="1781">
        <f t="shared" si="279"/>
        <v>0</v>
      </c>
      <c r="EC174" s="1782">
        <f t="shared" si="280"/>
        <v>0</v>
      </c>
      <c r="ED174" s="1262"/>
      <c r="EE174" s="2280"/>
      <c r="EF174" s="1802"/>
      <c r="EG174" s="167"/>
      <c r="EH174" s="168"/>
      <c r="EI174" s="168"/>
      <c r="EJ174" s="168"/>
      <c r="EK174" s="168"/>
      <c r="EL174" s="168"/>
      <c r="EM174" s="168"/>
      <c r="EN174" s="168"/>
      <c r="EO174" s="168"/>
      <c r="EP174" s="168"/>
      <c r="EQ174" s="168"/>
      <c r="ER174" s="168"/>
      <c r="ES174" s="168"/>
      <c r="ET174" s="168"/>
      <c r="EU174" s="168"/>
      <c r="EV174" s="168"/>
      <c r="EW174" s="168"/>
      <c r="EX174" s="168"/>
      <c r="EY174" s="168"/>
      <c r="EZ174" s="168"/>
      <c r="FA174" s="168"/>
      <c r="FB174" s="168"/>
      <c r="FC174" s="168"/>
      <c r="FD174" s="168"/>
      <c r="FE174" s="168"/>
      <c r="FF174" s="168"/>
      <c r="FG174" s="168"/>
      <c r="FH174" s="168"/>
      <c r="FI174" s="168"/>
      <c r="FJ174" s="168"/>
      <c r="FK174" s="168"/>
      <c r="FL174" s="168"/>
      <c r="FM174" s="168"/>
      <c r="FN174" s="168"/>
      <c r="FO174" s="168"/>
      <c r="FP174" s="168"/>
      <c r="FQ174" s="168"/>
      <c r="FR174" s="168"/>
      <c r="FS174" s="168"/>
      <c r="FT174" s="168"/>
      <c r="FU174" s="168"/>
      <c r="FV174" s="168"/>
      <c r="FW174" s="168"/>
      <c r="FX174" s="168"/>
      <c r="FY174" s="168"/>
      <c r="FZ174" s="168"/>
      <c r="GA174" s="168"/>
      <c r="GB174" s="168"/>
      <c r="GC174" s="168"/>
      <c r="GD174" s="168"/>
      <c r="GE174" s="168"/>
      <c r="GF174" s="168"/>
      <c r="GG174" s="168"/>
      <c r="GH174" s="168"/>
      <c r="GI174" s="168"/>
      <c r="GJ174" s="168"/>
      <c r="GK174" s="168"/>
      <c r="GL174" s="168"/>
      <c r="GM174" s="168"/>
      <c r="GN174" s="168"/>
      <c r="GO174" s="168"/>
      <c r="GP174" s="168"/>
      <c r="GQ174" s="168"/>
      <c r="GR174" s="168"/>
      <c r="GS174" s="168"/>
      <c r="GT174" s="168"/>
      <c r="GU174" s="168"/>
      <c r="GV174" s="168"/>
      <c r="GW174" s="168"/>
      <c r="GX174" s="168"/>
      <c r="GY174" s="168"/>
      <c r="GZ174" s="168"/>
      <c r="HA174" s="168"/>
      <c r="HB174" s="168"/>
      <c r="HC174" s="168"/>
      <c r="HD174" s="168"/>
      <c r="HE174" s="168"/>
      <c r="HF174" s="168"/>
      <c r="HG174" s="168"/>
      <c r="HH174" s="168"/>
      <c r="HI174" s="168"/>
      <c r="HJ174" s="168"/>
      <c r="HK174" s="168"/>
      <c r="HL174" s="168"/>
      <c r="HM174" s="168"/>
      <c r="HN174" s="168"/>
      <c r="HO174" s="168"/>
      <c r="HP174" s="168"/>
      <c r="HQ174" s="168"/>
      <c r="HR174" s="168"/>
      <c r="HS174" s="168"/>
      <c r="HT174" s="168"/>
      <c r="HU174" s="168"/>
      <c r="HV174" s="168"/>
      <c r="HW174" s="168"/>
      <c r="HX174" s="168"/>
      <c r="HY174" s="168"/>
      <c r="HZ174" s="168"/>
      <c r="IA174" s="168"/>
      <c r="IB174" s="168"/>
      <c r="IC174" s="168"/>
      <c r="ID174" s="168"/>
      <c r="IE174" s="168"/>
      <c r="IF174" s="168"/>
      <c r="IG174" s="168"/>
      <c r="IH174" s="168"/>
      <c r="II174" s="168"/>
      <c r="IJ174" s="168"/>
      <c r="IK174" s="168"/>
      <c r="IL174" s="168"/>
      <c r="IM174" s="168"/>
      <c r="IN174" s="168"/>
      <c r="IO174" s="168"/>
      <c r="IP174" s="168"/>
      <c r="IQ174" s="168"/>
      <c r="IR174" s="168"/>
      <c r="IS174" s="168"/>
      <c r="IT174" s="168"/>
      <c r="IU174" s="168"/>
      <c r="IV174" s="168"/>
      <c r="IW174" s="168"/>
      <c r="IX174" s="168"/>
      <c r="IY174" s="168"/>
      <c r="IZ174" s="168"/>
      <c r="JA174" s="168"/>
      <c r="JB174" s="168"/>
      <c r="JC174" s="606"/>
      <c r="JD174" s="609"/>
      <c r="JE174" s="1"/>
      <c r="JF174" s="1"/>
    </row>
    <row r="175" spans="1:266" s="2" customFormat="1" ht="15" customHeight="1" x14ac:dyDescent="0.25">
      <c r="A175" s="283"/>
      <c r="B175" s="303"/>
      <c r="C175" s="301"/>
      <c r="D175" s="638"/>
      <c r="E175" s="2298"/>
      <c r="F175" s="1812"/>
      <c r="G175" s="3342"/>
      <c r="H175" s="66"/>
      <c r="I175" s="1746"/>
      <c r="J175" s="86"/>
      <c r="K175" s="105"/>
      <c r="L175" s="91"/>
      <c r="M175" s="92"/>
      <c r="N175" s="93"/>
      <c r="O175" s="94"/>
      <c r="P175" s="96"/>
      <c r="Q175" s="95"/>
      <c r="R175" s="993">
        <f t="shared" si="267"/>
        <v>0</v>
      </c>
      <c r="S175" s="23">
        <f t="shared" si="214"/>
        <v>0</v>
      </c>
      <c r="T175" s="24">
        <f t="shared" si="215"/>
        <v>0</v>
      </c>
      <c r="U175" s="24">
        <f t="shared" si="199"/>
        <v>0</v>
      </c>
      <c r="V175" s="24">
        <f t="shared" si="216"/>
        <v>0</v>
      </c>
      <c r="W175" s="24">
        <f t="shared" si="217"/>
        <v>0</v>
      </c>
      <c r="X175" s="72">
        <f t="shared" si="218"/>
        <v>0</v>
      </c>
      <c r="Y175" s="72">
        <f t="shared" si="219"/>
        <v>0</v>
      </c>
      <c r="Z175" s="24">
        <f t="shared" si="268"/>
        <v>0</v>
      </c>
      <c r="AA175" s="72">
        <f t="shared" si="220"/>
        <v>0</v>
      </c>
      <c r="AB175" s="24">
        <f t="shared" si="221"/>
        <v>0</v>
      </c>
      <c r="AC175" s="24" t="s">
        <v>5</v>
      </c>
      <c r="AD175" s="25">
        <f t="shared" si="269"/>
        <v>3</v>
      </c>
      <c r="AE175" s="25">
        <f t="shared" si="270"/>
        <v>0</v>
      </c>
      <c r="AF175" s="25">
        <f t="shared" si="271"/>
        <v>0</v>
      </c>
      <c r="AG175" s="25">
        <f t="shared" si="222"/>
        <v>1</v>
      </c>
      <c r="AH175" s="25" t="str">
        <f>IFERROR(MATCH(DY175,'2 Staff List'!$IA$64:$IA$114,0),"x")</f>
        <v>x</v>
      </c>
      <c r="AI175" s="1181">
        <f>IFERROR(INDEX('2 Staff List'!$EX$64:$EX$114,$AH175),0)</f>
        <v>0</v>
      </c>
      <c r="AJ175" s="25">
        <f>IFERROR(INDEX('2 Staff List'!$IW$64:$IW$114,$AH175),0)</f>
        <v>0</v>
      </c>
      <c r="AK175" s="25">
        <f>IFERROR(INDEX('2 Staff List'!$IB$64:$IB$114,$AH175),0)</f>
        <v>0</v>
      </c>
      <c r="AL175" s="25">
        <f>IF(OR(NOT(ISBLANK(DV175)),CX175=1),"&lt;Non-Labor&gt;",IFERROR(IF(AH175=0,0,INDEX('2 Staff List'!$HZ$64:$HZ$114,$AH175)),0))</f>
        <v>0</v>
      </c>
      <c r="AM175" s="25">
        <f>IFERROR(INDEX('2 Staff List'!$HW$64:$HW$114,$AH175),0)</f>
        <v>0</v>
      </c>
      <c r="AN175" s="25">
        <f t="shared" si="223"/>
        <v>1</v>
      </c>
      <c r="AO175" s="25">
        <f>IF($AO$127=0,0,IFERROR(INDEX('2 Staff List'!$JH$64:$JH$114,$AH175),0))</f>
        <v>0</v>
      </c>
      <c r="AP175" s="25">
        <f>IFERROR(INDEX('2 Staff List'!$HU$64:$HU$114,$AH175),0)</f>
        <v>0</v>
      </c>
      <c r="AQ175" s="25">
        <f t="shared" si="224"/>
        <v>0</v>
      </c>
      <c r="AR175" s="25">
        <f t="shared" si="225"/>
        <v>0</v>
      </c>
      <c r="AS175" s="25">
        <f t="shared" si="226"/>
        <v>0</v>
      </c>
      <c r="AT175" s="25">
        <f t="shared" si="227"/>
        <v>0</v>
      </c>
      <c r="AU175" s="25">
        <f t="shared" si="228"/>
        <v>0</v>
      </c>
      <c r="AV175" s="25">
        <f t="shared" si="229"/>
        <v>0</v>
      </c>
      <c r="AW175" s="25">
        <f t="shared" si="230"/>
        <v>0</v>
      </c>
      <c r="AX175" s="25">
        <f t="shared" si="231"/>
        <v>0</v>
      </c>
      <c r="AY175" s="25">
        <f t="shared" si="232"/>
        <v>0</v>
      </c>
      <c r="AZ175" s="25">
        <f t="shared" si="233"/>
        <v>0</v>
      </c>
      <c r="BA175" s="25">
        <f t="shared" si="234"/>
        <v>0</v>
      </c>
      <c r="BB175" s="25">
        <f t="shared" si="235"/>
        <v>0</v>
      </c>
      <c r="BC175" s="25">
        <f>IFERROR(INDEX('2 Staff List'!KS$64:KS$114,$AH175),0)</f>
        <v>0</v>
      </c>
      <c r="BD175" s="25">
        <f>IFERROR(INDEX('2 Staff List'!KT$64:KT$114,$AH175),0)</f>
        <v>0</v>
      </c>
      <c r="BE175" s="25">
        <f>IFERROR(INDEX('2 Staff List'!KU$64:KU$114,$AH175),0)</f>
        <v>0</v>
      </c>
      <c r="BF175" s="25">
        <f>IFERROR(INDEX('2 Staff List'!KV$64:KV$114,$AH175),0)</f>
        <v>0</v>
      </c>
      <c r="BG175" s="25">
        <f>IFERROR(INDEX('2 Staff List'!KW$64:KW$114,$AH175),0)</f>
        <v>0</v>
      </c>
      <c r="BH175" s="25">
        <f>IFERROR(INDEX('2 Staff List'!KX$64:KX$114,$AH175),0)</f>
        <v>0</v>
      </c>
      <c r="BI175" s="25">
        <f>IFERROR(INDEX('2 Staff List'!KY$64:KY$114,$AH175),0)</f>
        <v>0</v>
      </c>
      <c r="BJ175" s="25">
        <f>IFERROR(INDEX('2 Staff List'!KZ$64:KZ$114,$AH175),0)</f>
        <v>0</v>
      </c>
      <c r="BK175" s="25">
        <f>IFERROR(INDEX('2 Staff List'!LA$64:LA$114,$AH175),0)</f>
        <v>0</v>
      </c>
      <c r="BL175" s="25">
        <f>IFERROR(INDEX('2 Staff List'!LB$64:LB$114,$AH175),0)</f>
        <v>0</v>
      </c>
      <c r="BM175" s="25">
        <f>IFERROR(INDEX('2 Staff List'!FT$64:FT$114,$AH175),0)</f>
        <v>0</v>
      </c>
      <c r="BN175" s="25">
        <f>IFERROR(INDEX('2 Staff List'!FU$64:FU$114,$AH175),0)</f>
        <v>0</v>
      </c>
      <c r="BO175" s="25">
        <f>IFERROR(INDEX('2 Staff List'!FV$64:FV$114,$AH175),0)</f>
        <v>0</v>
      </c>
      <c r="BP175" s="25">
        <f>IFERROR(INDEX('2 Staff List'!FW$64:FW$114,$AH175),0)</f>
        <v>0</v>
      </c>
      <c r="BQ175" s="25">
        <f>IFERROR(INDEX('2 Staff List'!FX$64:FX$114,$AH175),0)</f>
        <v>0</v>
      </c>
      <c r="BR175" s="25">
        <f>IFERROR(INDEX('2 Staff List'!FY$64:FY$114,$AH175),0)</f>
        <v>0</v>
      </c>
      <c r="BS175" s="25">
        <f>IFERROR(INDEX('2 Staff List'!FZ$64:FZ$114,$AH175),0)</f>
        <v>0</v>
      </c>
      <c r="BT175" s="25">
        <f>IFERROR(INDEX('2 Staff List'!GA$64:GA$114,$AH175),0)</f>
        <v>0</v>
      </c>
      <c r="BU175" s="25">
        <f>IFERROR(INDEX('2 Staff List'!GB$64:GB$114,$AH175),0)</f>
        <v>0</v>
      </c>
      <c r="BV175" s="25">
        <f>IFERROR(INDEX('2 Staff List'!GC$64:GC$114,$AH175),0)</f>
        <v>0</v>
      </c>
      <c r="BW175" s="25">
        <f t="shared" si="236"/>
        <v>0</v>
      </c>
      <c r="BX175" s="25">
        <f t="shared" si="237"/>
        <v>0</v>
      </c>
      <c r="BY175" s="25">
        <f t="shared" si="238"/>
        <v>0</v>
      </c>
      <c r="BZ175" s="25">
        <f t="shared" si="239"/>
        <v>0</v>
      </c>
      <c r="CA175" s="25">
        <f t="shared" si="240"/>
        <v>0</v>
      </c>
      <c r="CB175" s="25">
        <f t="shared" si="241"/>
        <v>0</v>
      </c>
      <c r="CC175" s="25">
        <f t="shared" si="242"/>
        <v>0</v>
      </c>
      <c r="CD175" s="25">
        <f t="shared" si="243"/>
        <v>0</v>
      </c>
      <c r="CE175" s="25">
        <f t="shared" si="244"/>
        <v>0</v>
      </c>
      <c r="CF175" s="25">
        <f t="shared" si="245"/>
        <v>0</v>
      </c>
      <c r="CG175" s="25">
        <f t="shared" si="246"/>
        <v>0</v>
      </c>
      <c r="CH175" s="25">
        <f>IFERROR(INDEX('2 Staff List'!LO$64:LO$114,$AH175),0)</f>
        <v>0</v>
      </c>
      <c r="CI175" s="25">
        <f>IFERROR(INDEX('2 Staff List'!LP$64:LP$114,$AH175),0)</f>
        <v>0</v>
      </c>
      <c r="CJ175" s="25">
        <f>IFERROR(INDEX('2 Staff List'!LQ$64:LQ$114,$AH175),0)</f>
        <v>0</v>
      </c>
      <c r="CK175" s="25">
        <f>IFERROR(INDEX('2 Staff List'!LR$64:LR$114,$AH175),0)</f>
        <v>0</v>
      </c>
      <c r="CL175" s="25">
        <f>IFERROR(INDEX('2 Staff List'!LS$64:LS$114,$AH175),0)</f>
        <v>0</v>
      </c>
      <c r="CM175" s="25">
        <f>IFERROR(INDEX('2 Staff List'!LT$64:LT$114,$AH175),0)</f>
        <v>0</v>
      </c>
      <c r="CN175" s="25">
        <f>IFERROR(INDEX('2 Staff List'!LU$64:LU$114,$AH175),0)</f>
        <v>0</v>
      </c>
      <c r="CO175" s="25">
        <f>IFERROR(INDEX('2 Staff List'!LV$64:LV$114,$AH175),0)</f>
        <v>0</v>
      </c>
      <c r="CP175" s="25">
        <f>IFERROR(INDEX('2 Staff List'!LW$64:LW$114,$AH175),0)</f>
        <v>0</v>
      </c>
      <c r="CQ175" s="25">
        <f>IFERROR(INDEX('2 Staff List'!LX$64:LX$114,$AH175),0)</f>
        <v>0</v>
      </c>
      <c r="CR175" s="25">
        <f t="shared" si="272"/>
        <v>0</v>
      </c>
      <c r="CS175" s="25">
        <f t="shared" si="281"/>
        <v>1</v>
      </c>
      <c r="CT175" s="25">
        <f t="shared" si="248"/>
        <v>1</v>
      </c>
      <c r="CU175" s="25">
        <f t="shared" si="249"/>
        <v>1</v>
      </c>
      <c r="CV175" s="25">
        <f t="shared" si="250"/>
        <v>1</v>
      </c>
      <c r="CW175" s="25">
        <f t="shared" si="251"/>
        <v>1</v>
      </c>
      <c r="CX175" s="25">
        <f t="shared" si="252"/>
        <v>0</v>
      </c>
      <c r="CY175" s="25">
        <f t="shared" si="253"/>
        <v>0</v>
      </c>
      <c r="CZ175" s="25">
        <f t="shared" si="254"/>
        <v>0</v>
      </c>
      <c r="DA175" s="25">
        <f t="shared" si="255"/>
        <v>1</v>
      </c>
      <c r="DB175" s="25">
        <f t="shared" si="273"/>
        <v>1</v>
      </c>
      <c r="DC175" s="25">
        <f t="shared" si="256"/>
        <v>0</v>
      </c>
      <c r="DD175" s="25">
        <f>IF(OR($AD175&lt;&gt;3,F175="Exclude"),0,IF(ISERROR(MATCH($E175,'4 Sign-off'!$S$123:$X$123,0)),0,1))</f>
        <v>0</v>
      </c>
      <c r="DE175" s="25">
        <f t="shared" si="274"/>
        <v>0</v>
      </c>
      <c r="DF175" s="25">
        <f t="shared" si="257"/>
        <v>0</v>
      </c>
      <c r="DG175" s="25" t="str">
        <f t="shared" si="258"/>
        <v/>
      </c>
      <c r="DH175" s="25">
        <f t="shared" si="259"/>
        <v>0</v>
      </c>
      <c r="DI175" s="25">
        <f t="shared" si="260"/>
        <v>0</v>
      </c>
      <c r="DJ175" s="25">
        <f>IF(ISBLANK(J175),0,ISERROR(MATCH(J175,'5  Control Accounts'!$FA$29:$FA$96,0))*1)</f>
        <v>0</v>
      </c>
      <c r="DK175" s="25">
        <f t="shared" si="261"/>
        <v>0</v>
      </c>
      <c r="DL175" s="25">
        <f t="shared" si="275"/>
        <v>-1</v>
      </c>
      <c r="DM175" s="25" t="e">
        <f t="array" ref="DM175">MATCH(1,($EG175:$JD175&gt;0)*$EG$17:$JD$17,0)</f>
        <v>#N/A</v>
      </c>
      <c r="DN175" s="25" t="e">
        <f t="shared" si="276"/>
        <v>#N/A</v>
      </c>
      <c r="DO175" s="25" t="e">
        <f t="array" ref="DO175">MATCH(2,1/(EG175:JD175&gt;0))</f>
        <v>#N/A</v>
      </c>
      <c r="DP175" s="2993">
        <f t="shared" si="262"/>
        <v>0</v>
      </c>
      <c r="DQ175" s="3037">
        <f t="shared" si="263"/>
        <v>0</v>
      </c>
      <c r="DR175" s="111"/>
      <c r="DS175" s="1268">
        <f t="shared" si="266"/>
        <v>0</v>
      </c>
      <c r="DT175" s="1825"/>
      <c r="DU175" s="1826"/>
      <c r="DV175" s="1827"/>
      <c r="DW175" s="1828"/>
      <c r="DX175" s="659"/>
      <c r="DY175" s="1265"/>
      <c r="DZ175" s="1785">
        <f t="shared" si="277"/>
        <v>0</v>
      </c>
      <c r="EA175" s="1786">
        <f t="shared" si="278"/>
        <v>0</v>
      </c>
      <c r="EB175" s="1781">
        <f t="shared" si="279"/>
        <v>0</v>
      </c>
      <c r="EC175" s="1782">
        <f t="shared" si="280"/>
        <v>0</v>
      </c>
      <c r="ED175" s="1262"/>
      <c r="EE175" s="2280"/>
      <c r="EF175" s="1802"/>
      <c r="EG175" s="167"/>
      <c r="EH175" s="168"/>
      <c r="EI175" s="168"/>
      <c r="EJ175" s="168"/>
      <c r="EK175" s="168"/>
      <c r="EL175" s="168"/>
      <c r="EM175" s="168"/>
      <c r="EN175" s="168"/>
      <c r="EO175" s="168"/>
      <c r="EP175" s="168"/>
      <c r="EQ175" s="168"/>
      <c r="ER175" s="168"/>
      <c r="ES175" s="168"/>
      <c r="ET175" s="168"/>
      <c r="EU175" s="168"/>
      <c r="EV175" s="168"/>
      <c r="EW175" s="168"/>
      <c r="EX175" s="168"/>
      <c r="EY175" s="168"/>
      <c r="EZ175" s="168"/>
      <c r="FA175" s="168"/>
      <c r="FB175" s="168"/>
      <c r="FC175" s="168"/>
      <c r="FD175" s="168"/>
      <c r="FE175" s="168"/>
      <c r="FF175" s="168"/>
      <c r="FG175" s="168"/>
      <c r="FH175" s="168"/>
      <c r="FI175" s="168"/>
      <c r="FJ175" s="168"/>
      <c r="FK175" s="168"/>
      <c r="FL175" s="168"/>
      <c r="FM175" s="168"/>
      <c r="FN175" s="168"/>
      <c r="FO175" s="168"/>
      <c r="FP175" s="168"/>
      <c r="FQ175" s="168"/>
      <c r="FR175" s="168"/>
      <c r="FS175" s="168"/>
      <c r="FT175" s="168"/>
      <c r="FU175" s="168"/>
      <c r="FV175" s="168"/>
      <c r="FW175" s="168"/>
      <c r="FX175" s="168"/>
      <c r="FY175" s="168"/>
      <c r="FZ175" s="168"/>
      <c r="GA175" s="168"/>
      <c r="GB175" s="168"/>
      <c r="GC175" s="168"/>
      <c r="GD175" s="168"/>
      <c r="GE175" s="168"/>
      <c r="GF175" s="168"/>
      <c r="GG175" s="168"/>
      <c r="GH175" s="168"/>
      <c r="GI175" s="168"/>
      <c r="GJ175" s="168"/>
      <c r="GK175" s="168"/>
      <c r="GL175" s="168"/>
      <c r="GM175" s="168"/>
      <c r="GN175" s="168"/>
      <c r="GO175" s="168"/>
      <c r="GP175" s="168"/>
      <c r="GQ175" s="168"/>
      <c r="GR175" s="168"/>
      <c r="GS175" s="168"/>
      <c r="GT175" s="168"/>
      <c r="GU175" s="168"/>
      <c r="GV175" s="168"/>
      <c r="GW175" s="168"/>
      <c r="GX175" s="168"/>
      <c r="GY175" s="168"/>
      <c r="GZ175" s="168"/>
      <c r="HA175" s="168"/>
      <c r="HB175" s="168"/>
      <c r="HC175" s="168"/>
      <c r="HD175" s="168"/>
      <c r="HE175" s="168"/>
      <c r="HF175" s="168"/>
      <c r="HG175" s="168"/>
      <c r="HH175" s="168"/>
      <c r="HI175" s="168"/>
      <c r="HJ175" s="168"/>
      <c r="HK175" s="168"/>
      <c r="HL175" s="168"/>
      <c r="HM175" s="168"/>
      <c r="HN175" s="168"/>
      <c r="HO175" s="168"/>
      <c r="HP175" s="168"/>
      <c r="HQ175" s="168"/>
      <c r="HR175" s="168"/>
      <c r="HS175" s="168"/>
      <c r="HT175" s="168"/>
      <c r="HU175" s="168"/>
      <c r="HV175" s="168"/>
      <c r="HW175" s="168"/>
      <c r="HX175" s="168"/>
      <c r="HY175" s="168"/>
      <c r="HZ175" s="168"/>
      <c r="IA175" s="168"/>
      <c r="IB175" s="168"/>
      <c r="IC175" s="168"/>
      <c r="ID175" s="168"/>
      <c r="IE175" s="168"/>
      <c r="IF175" s="168"/>
      <c r="IG175" s="168"/>
      <c r="IH175" s="168"/>
      <c r="II175" s="168"/>
      <c r="IJ175" s="168"/>
      <c r="IK175" s="168"/>
      <c r="IL175" s="168"/>
      <c r="IM175" s="168"/>
      <c r="IN175" s="168"/>
      <c r="IO175" s="168"/>
      <c r="IP175" s="168"/>
      <c r="IQ175" s="168"/>
      <c r="IR175" s="168"/>
      <c r="IS175" s="168"/>
      <c r="IT175" s="168"/>
      <c r="IU175" s="168"/>
      <c r="IV175" s="168"/>
      <c r="IW175" s="168"/>
      <c r="IX175" s="168"/>
      <c r="IY175" s="168"/>
      <c r="IZ175" s="168"/>
      <c r="JA175" s="168"/>
      <c r="JB175" s="168"/>
      <c r="JC175" s="606"/>
      <c r="JD175" s="609"/>
      <c r="JE175" s="1"/>
      <c r="JF175" s="1"/>
    </row>
    <row r="176" spans="1:266" s="2" customFormat="1" ht="15" customHeight="1" x14ac:dyDescent="0.25">
      <c r="A176" s="283"/>
      <c r="B176" s="303"/>
      <c r="C176" s="301"/>
      <c r="D176" s="638"/>
      <c r="E176" s="2298"/>
      <c r="F176" s="1812"/>
      <c r="G176" s="3342"/>
      <c r="H176" s="66"/>
      <c r="I176" s="1746"/>
      <c r="J176" s="86"/>
      <c r="K176" s="105"/>
      <c r="L176" s="91"/>
      <c r="M176" s="92"/>
      <c r="N176" s="93"/>
      <c r="O176" s="94"/>
      <c r="P176" s="96"/>
      <c r="Q176" s="95"/>
      <c r="R176" s="993">
        <f t="shared" si="267"/>
        <v>0</v>
      </c>
      <c r="S176" s="23">
        <f t="shared" si="214"/>
        <v>0</v>
      </c>
      <c r="T176" s="24">
        <f t="shared" si="215"/>
        <v>0</v>
      </c>
      <c r="U176" s="24">
        <f t="shared" si="199"/>
        <v>0</v>
      </c>
      <c r="V176" s="24">
        <f t="shared" si="216"/>
        <v>0</v>
      </c>
      <c r="W176" s="24">
        <f t="shared" si="217"/>
        <v>0</v>
      </c>
      <c r="X176" s="72">
        <f t="shared" si="218"/>
        <v>0</v>
      </c>
      <c r="Y176" s="72">
        <f t="shared" si="219"/>
        <v>0</v>
      </c>
      <c r="Z176" s="24">
        <f t="shared" si="268"/>
        <v>0</v>
      </c>
      <c r="AA176" s="72">
        <f t="shared" si="220"/>
        <v>0</v>
      </c>
      <c r="AB176" s="24">
        <f t="shared" si="221"/>
        <v>0</v>
      </c>
      <c r="AC176" s="24" t="s">
        <v>5</v>
      </c>
      <c r="AD176" s="25">
        <f t="shared" si="269"/>
        <v>3</v>
      </c>
      <c r="AE176" s="25">
        <f t="shared" si="270"/>
        <v>0</v>
      </c>
      <c r="AF176" s="25">
        <f t="shared" si="271"/>
        <v>0</v>
      </c>
      <c r="AG176" s="25">
        <f t="shared" si="222"/>
        <v>1</v>
      </c>
      <c r="AH176" s="25" t="str">
        <f>IFERROR(MATCH(DY176,'2 Staff List'!$IA$64:$IA$114,0),"x")</f>
        <v>x</v>
      </c>
      <c r="AI176" s="1181">
        <f>IFERROR(INDEX('2 Staff List'!$EX$64:$EX$114,$AH176),0)</f>
        <v>0</v>
      </c>
      <c r="AJ176" s="25">
        <f>IFERROR(INDEX('2 Staff List'!$IW$64:$IW$114,$AH176),0)</f>
        <v>0</v>
      </c>
      <c r="AK176" s="25">
        <f>IFERROR(INDEX('2 Staff List'!$IB$64:$IB$114,$AH176),0)</f>
        <v>0</v>
      </c>
      <c r="AL176" s="25">
        <f>IF(OR(NOT(ISBLANK(DV176)),CX176=1),"&lt;Non-Labor&gt;",IFERROR(IF(AH176=0,0,INDEX('2 Staff List'!$HZ$64:$HZ$114,$AH176)),0))</f>
        <v>0</v>
      </c>
      <c r="AM176" s="25">
        <f>IFERROR(INDEX('2 Staff List'!$HW$64:$HW$114,$AH176),0)</f>
        <v>0</v>
      </c>
      <c r="AN176" s="25">
        <f t="shared" si="223"/>
        <v>1</v>
      </c>
      <c r="AO176" s="25">
        <f>IF($AO$127=0,0,IFERROR(INDEX('2 Staff List'!$JH$64:$JH$114,$AH176),0))</f>
        <v>0</v>
      </c>
      <c r="AP176" s="25">
        <f>IFERROR(INDEX('2 Staff List'!$HU$64:$HU$114,$AH176),0)</f>
        <v>0</v>
      </c>
      <c r="AQ176" s="25">
        <f t="shared" si="224"/>
        <v>0</v>
      </c>
      <c r="AR176" s="25">
        <f t="shared" si="225"/>
        <v>0</v>
      </c>
      <c r="AS176" s="25">
        <f t="shared" si="226"/>
        <v>0</v>
      </c>
      <c r="AT176" s="25">
        <f t="shared" si="227"/>
        <v>0</v>
      </c>
      <c r="AU176" s="25">
        <f t="shared" si="228"/>
        <v>0</v>
      </c>
      <c r="AV176" s="25">
        <f t="shared" si="229"/>
        <v>0</v>
      </c>
      <c r="AW176" s="25">
        <f t="shared" si="230"/>
        <v>0</v>
      </c>
      <c r="AX176" s="25">
        <f t="shared" si="231"/>
        <v>0</v>
      </c>
      <c r="AY176" s="25">
        <f t="shared" si="232"/>
        <v>0</v>
      </c>
      <c r="AZ176" s="25">
        <f t="shared" si="233"/>
        <v>0</v>
      </c>
      <c r="BA176" s="25">
        <f t="shared" si="234"/>
        <v>0</v>
      </c>
      <c r="BB176" s="25">
        <f t="shared" si="235"/>
        <v>0</v>
      </c>
      <c r="BC176" s="25">
        <f>IFERROR(INDEX('2 Staff List'!KS$64:KS$114,$AH176),0)</f>
        <v>0</v>
      </c>
      <c r="BD176" s="25">
        <f>IFERROR(INDEX('2 Staff List'!KT$64:KT$114,$AH176),0)</f>
        <v>0</v>
      </c>
      <c r="BE176" s="25">
        <f>IFERROR(INDEX('2 Staff List'!KU$64:KU$114,$AH176),0)</f>
        <v>0</v>
      </c>
      <c r="BF176" s="25">
        <f>IFERROR(INDEX('2 Staff List'!KV$64:KV$114,$AH176),0)</f>
        <v>0</v>
      </c>
      <c r="BG176" s="25">
        <f>IFERROR(INDEX('2 Staff List'!KW$64:KW$114,$AH176),0)</f>
        <v>0</v>
      </c>
      <c r="BH176" s="25">
        <f>IFERROR(INDEX('2 Staff List'!KX$64:KX$114,$AH176),0)</f>
        <v>0</v>
      </c>
      <c r="BI176" s="25">
        <f>IFERROR(INDEX('2 Staff List'!KY$64:KY$114,$AH176),0)</f>
        <v>0</v>
      </c>
      <c r="BJ176" s="25">
        <f>IFERROR(INDEX('2 Staff List'!KZ$64:KZ$114,$AH176),0)</f>
        <v>0</v>
      </c>
      <c r="BK176" s="25">
        <f>IFERROR(INDEX('2 Staff List'!LA$64:LA$114,$AH176),0)</f>
        <v>0</v>
      </c>
      <c r="BL176" s="25">
        <f>IFERROR(INDEX('2 Staff List'!LB$64:LB$114,$AH176),0)</f>
        <v>0</v>
      </c>
      <c r="BM176" s="25">
        <f>IFERROR(INDEX('2 Staff List'!FT$64:FT$114,$AH176),0)</f>
        <v>0</v>
      </c>
      <c r="BN176" s="25">
        <f>IFERROR(INDEX('2 Staff List'!FU$64:FU$114,$AH176),0)</f>
        <v>0</v>
      </c>
      <c r="BO176" s="25">
        <f>IFERROR(INDEX('2 Staff List'!FV$64:FV$114,$AH176),0)</f>
        <v>0</v>
      </c>
      <c r="BP176" s="25">
        <f>IFERROR(INDEX('2 Staff List'!FW$64:FW$114,$AH176),0)</f>
        <v>0</v>
      </c>
      <c r="BQ176" s="25">
        <f>IFERROR(INDEX('2 Staff List'!FX$64:FX$114,$AH176),0)</f>
        <v>0</v>
      </c>
      <c r="BR176" s="25">
        <f>IFERROR(INDEX('2 Staff List'!FY$64:FY$114,$AH176),0)</f>
        <v>0</v>
      </c>
      <c r="BS176" s="25">
        <f>IFERROR(INDEX('2 Staff List'!FZ$64:FZ$114,$AH176),0)</f>
        <v>0</v>
      </c>
      <c r="BT176" s="25">
        <f>IFERROR(INDEX('2 Staff List'!GA$64:GA$114,$AH176),0)</f>
        <v>0</v>
      </c>
      <c r="BU176" s="25">
        <f>IFERROR(INDEX('2 Staff List'!GB$64:GB$114,$AH176),0)</f>
        <v>0</v>
      </c>
      <c r="BV176" s="25">
        <f>IFERROR(INDEX('2 Staff List'!GC$64:GC$114,$AH176),0)</f>
        <v>0</v>
      </c>
      <c r="BW176" s="25">
        <f t="shared" si="236"/>
        <v>0</v>
      </c>
      <c r="BX176" s="25">
        <f t="shared" si="237"/>
        <v>0</v>
      </c>
      <c r="BY176" s="25">
        <f t="shared" si="238"/>
        <v>0</v>
      </c>
      <c r="BZ176" s="25">
        <f t="shared" si="239"/>
        <v>0</v>
      </c>
      <c r="CA176" s="25">
        <f t="shared" si="240"/>
        <v>0</v>
      </c>
      <c r="CB176" s="25">
        <f t="shared" si="241"/>
        <v>0</v>
      </c>
      <c r="CC176" s="25">
        <f t="shared" si="242"/>
        <v>0</v>
      </c>
      <c r="CD176" s="25">
        <f t="shared" si="243"/>
        <v>0</v>
      </c>
      <c r="CE176" s="25">
        <f t="shared" si="244"/>
        <v>0</v>
      </c>
      <c r="CF176" s="25">
        <f t="shared" si="245"/>
        <v>0</v>
      </c>
      <c r="CG176" s="25">
        <f t="shared" si="246"/>
        <v>0</v>
      </c>
      <c r="CH176" s="25">
        <f>IFERROR(INDEX('2 Staff List'!LO$64:LO$114,$AH176),0)</f>
        <v>0</v>
      </c>
      <c r="CI176" s="25">
        <f>IFERROR(INDEX('2 Staff List'!LP$64:LP$114,$AH176),0)</f>
        <v>0</v>
      </c>
      <c r="CJ176" s="25">
        <f>IFERROR(INDEX('2 Staff List'!LQ$64:LQ$114,$AH176),0)</f>
        <v>0</v>
      </c>
      <c r="CK176" s="25">
        <f>IFERROR(INDEX('2 Staff List'!LR$64:LR$114,$AH176),0)</f>
        <v>0</v>
      </c>
      <c r="CL176" s="25">
        <f>IFERROR(INDEX('2 Staff List'!LS$64:LS$114,$AH176),0)</f>
        <v>0</v>
      </c>
      <c r="CM176" s="25">
        <f>IFERROR(INDEX('2 Staff List'!LT$64:LT$114,$AH176),0)</f>
        <v>0</v>
      </c>
      <c r="CN176" s="25">
        <f>IFERROR(INDEX('2 Staff List'!LU$64:LU$114,$AH176),0)</f>
        <v>0</v>
      </c>
      <c r="CO176" s="25">
        <f>IFERROR(INDEX('2 Staff List'!LV$64:LV$114,$AH176),0)</f>
        <v>0</v>
      </c>
      <c r="CP176" s="25">
        <f>IFERROR(INDEX('2 Staff List'!LW$64:LW$114,$AH176),0)</f>
        <v>0</v>
      </c>
      <c r="CQ176" s="25">
        <f>IFERROR(INDEX('2 Staff List'!LX$64:LX$114,$AH176),0)</f>
        <v>0</v>
      </c>
      <c r="CR176" s="25">
        <f t="shared" si="272"/>
        <v>0</v>
      </c>
      <c r="CS176" s="25">
        <f t="shared" si="281"/>
        <v>1</v>
      </c>
      <c r="CT176" s="25">
        <f t="shared" si="248"/>
        <v>1</v>
      </c>
      <c r="CU176" s="25">
        <f t="shared" si="249"/>
        <v>1</v>
      </c>
      <c r="CV176" s="25">
        <f t="shared" si="250"/>
        <v>1</v>
      </c>
      <c r="CW176" s="25">
        <f t="shared" si="251"/>
        <v>1</v>
      </c>
      <c r="CX176" s="25">
        <f t="shared" si="252"/>
        <v>0</v>
      </c>
      <c r="CY176" s="25">
        <f t="shared" si="253"/>
        <v>0</v>
      </c>
      <c r="CZ176" s="25">
        <f t="shared" si="254"/>
        <v>0</v>
      </c>
      <c r="DA176" s="25">
        <f t="shared" si="255"/>
        <v>1</v>
      </c>
      <c r="DB176" s="25">
        <f t="shared" si="273"/>
        <v>1</v>
      </c>
      <c r="DC176" s="25">
        <f t="shared" si="256"/>
        <v>0</v>
      </c>
      <c r="DD176" s="25">
        <f>IF(OR($AD176&lt;&gt;3,F176="Exclude"),0,IF(ISERROR(MATCH($E176,'4 Sign-off'!$S$123:$X$123,0)),0,1))</f>
        <v>0</v>
      </c>
      <c r="DE176" s="25">
        <f t="shared" si="274"/>
        <v>0</v>
      </c>
      <c r="DF176" s="25">
        <f t="shared" si="257"/>
        <v>0</v>
      </c>
      <c r="DG176" s="25" t="str">
        <f t="shared" si="258"/>
        <v/>
      </c>
      <c r="DH176" s="25">
        <f t="shared" si="259"/>
        <v>0</v>
      </c>
      <c r="DI176" s="25">
        <f t="shared" si="260"/>
        <v>0</v>
      </c>
      <c r="DJ176" s="25">
        <f>IF(ISBLANK(J176),0,ISERROR(MATCH(J176,'5  Control Accounts'!$FA$29:$FA$96,0))*1)</f>
        <v>0</v>
      </c>
      <c r="DK176" s="25">
        <f t="shared" si="261"/>
        <v>0</v>
      </c>
      <c r="DL176" s="25">
        <f t="shared" si="275"/>
        <v>-1</v>
      </c>
      <c r="DM176" s="25" t="e">
        <f t="array" ref="DM176">MATCH(1,($EG176:$JD176&gt;0)*$EG$17:$JD$17,0)</f>
        <v>#N/A</v>
      </c>
      <c r="DN176" s="25" t="e">
        <f t="shared" si="276"/>
        <v>#N/A</v>
      </c>
      <c r="DO176" s="25" t="e">
        <f t="array" ref="DO176">MATCH(2,1/(EG176:JD176&gt;0))</f>
        <v>#N/A</v>
      </c>
      <c r="DP176" s="2993">
        <f t="shared" si="262"/>
        <v>0</v>
      </c>
      <c r="DQ176" s="3037">
        <f t="shared" si="263"/>
        <v>0</v>
      </c>
      <c r="DR176" s="111"/>
      <c r="DS176" s="1268">
        <f t="shared" si="266"/>
        <v>0</v>
      </c>
      <c r="DT176" s="1825"/>
      <c r="DU176" s="1826"/>
      <c r="DV176" s="1827"/>
      <c r="DW176" s="1828"/>
      <c r="DX176" s="659"/>
      <c r="DY176" s="1265"/>
      <c r="DZ176" s="1785">
        <f t="shared" si="277"/>
        <v>0</v>
      </c>
      <c r="EA176" s="1786">
        <f t="shared" si="278"/>
        <v>0</v>
      </c>
      <c r="EB176" s="1781">
        <f t="shared" si="279"/>
        <v>0</v>
      </c>
      <c r="EC176" s="1782">
        <f t="shared" si="280"/>
        <v>0</v>
      </c>
      <c r="ED176" s="1262"/>
      <c r="EE176" s="2280"/>
      <c r="EF176" s="1802"/>
      <c r="EG176" s="167"/>
      <c r="EH176" s="168"/>
      <c r="EI176" s="168"/>
      <c r="EJ176" s="168"/>
      <c r="EK176" s="168"/>
      <c r="EL176" s="168"/>
      <c r="EM176" s="168"/>
      <c r="EN176" s="168"/>
      <c r="EO176" s="168"/>
      <c r="EP176" s="168"/>
      <c r="EQ176" s="168"/>
      <c r="ER176" s="168"/>
      <c r="ES176" s="168"/>
      <c r="ET176" s="168"/>
      <c r="EU176" s="168"/>
      <c r="EV176" s="168"/>
      <c r="EW176" s="168"/>
      <c r="EX176" s="168"/>
      <c r="EY176" s="168"/>
      <c r="EZ176" s="168"/>
      <c r="FA176" s="168"/>
      <c r="FB176" s="168"/>
      <c r="FC176" s="168"/>
      <c r="FD176" s="168"/>
      <c r="FE176" s="168"/>
      <c r="FF176" s="168"/>
      <c r="FG176" s="168"/>
      <c r="FH176" s="168"/>
      <c r="FI176" s="168"/>
      <c r="FJ176" s="168"/>
      <c r="FK176" s="168"/>
      <c r="FL176" s="168"/>
      <c r="FM176" s="168"/>
      <c r="FN176" s="168"/>
      <c r="FO176" s="168"/>
      <c r="FP176" s="168"/>
      <c r="FQ176" s="168"/>
      <c r="FR176" s="168"/>
      <c r="FS176" s="168"/>
      <c r="FT176" s="168"/>
      <c r="FU176" s="168"/>
      <c r="FV176" s="168"/>
      <c r="FW176" s="168"/>
      <c r="FX176" s="168"/>
      <c r="FY176" s="168"/>
      <c r="FZ176" s="168"/>
      <c r="GA176" s="168"/>
      <c r="GB176" s="168"/>
      <c r="GC176" s="168"/>
      <c r="GD176" s="168"/>
      <c r="GE176" s="168"/>
      <c r="GF176" s="168"/>
      <c r="GG176" s="168"/>
      <c r="GH176" s="168"/>
      <c r="GI176" s="168"/>
      <c r="GJ176" s="168"/>
      <c r="GK176" s="168"/>
      <c r="GL176" s="168"/>
      <c r="GM176" s="168"/>
      <c r="GN176" s="168"/>
      <c r="GO176" s="168"/>
      <c r="GP176" s="168"/>
      <c r="GQ176" s="168"/>
      <c r="GR176" s="168"/>
      <c r="GS176" s="168"/>
      <c r="GT176" s="168"/>
      <c r="GU176" s="168"/>
      <c r="GV176" s="168"/>
      <c r="GW176" s="168"/>
      <c r="GX176" s="168"/>
      <c r="GY176" s="168"/>
      <c r="GZ176" s="168"/>
      <c r="HA176" s="168"/>
      <c r="HB176" s="168"/>
      <c r="HC176" s="168"/>
      <c r="HD176" s="168"/>
      <c r="HE176" s="168"/>
      <c r="HF176" s="168"/>
      <c r="HG176" s="168"/>
      <c r="HH176" s="168"/>
      <c r="HI176" s="168"/>
      <c r="HJ176" s="168"/>
      <c r="HK176" s="168"/>
      <c r="HL176" s="168"/>
      <c r="HM176" s="168"/>
      <c r="HN176" s="168"/>
      <c r="HO176" s="168"/>
      <c r="HP176" s="168"/>
      <c r="HQ176" s="168"/>
      <c r="HR176" s="168"/>
      <c r="HS176" s="168"/>
      <c r="HT176" s="168"/>
      <c r="HU176" s="168"/>
      <c r="HV176" s="168"/>
      <c r="HW176" s="168"/>
      <c r="HX176" s="168"/>
      <c r="HY176" s="168"/>
      <c r="HZ176" s="168"/>
      <c r="IA176" s="168"/>
      <c r="IB176" s="168"/>
      <c r="IC176" s="168"/>
      <c r="ID176" s="168"/>
      <c r="IE176" s="168"/>
      <c r="IF176" s="168"/>
      <c r="IG176" s="168"/>
      <c r="IH176" s="168"/>
      <c r="II176" s="168"/>
      <c r="IJ176" s="168"/>
      <c r="IK176" s="168"/>
      <c r="IL176" s="168"/>
      <c r="IM176" s="168"/>
      <c r="IN176" s="168"/>
      <c r="IO176" s="168"/>
      <c r="IP176" s="168"/>
      <c r="IQ176" s="168"/>
      <c r="IR176" s="168"/>
      <c r="IS176" s="168"/>
      <c r="IT176" s="168"/>
      <c r="IU176" s="168"/>
      <c r="IV176" s="168"/>
      <c r="IW176" s="168"/>
      <c r="IX176" s="168"/>
      <c r="IY176" s="168"/>
      <c r="IZ176" s="168"/>
      <c r="JA176" s="168"/>
      <c r="JB176" s="168"/>
      <c r="JC176" s="606"/>
      <c r="JD176" s="609"/>
      <c r="JE176" s="1"/>
      <c r="JF176" s="1"/>
    </row>
    <row r="177" spans="1:266" s="2" customFormat="1" ht="15" customHeight="1" x14ac:dyDescent="0.25">
      <c r="A177" s="283"/>
      <c r="B177" s="303"/>
      <c r="C177" s="301"/>
      <c r="D177" s="638"/>
      <c r="E177" s="2298"/>
      <c r="F177" s="1812"/>
      <c r="G177" s="3342"/>
      <c r="H177" s="66"/>
      <c r="I177" s="1746"/>
      <c r="J177" s="86"/>
      <c r="K177" s="105"/>
      <c r="L177" s="91"/>
      <c r="M177" s="92"/>
      <c r="N177" s="93"/>
      <c r="O177" s="94"/>
      <c r="P177" s="96"/>
      <c r="Q177" s="95"/>
      <c r="R177" s="993">
        <f t="shared" si="267"/>
        <v>0</v>
      </c>
      <c r="S177" s="23">
        <f t="shared" si="214"/>
        <v>0</v>
      </c>
      <c r="T177" s="24">
        <f t="shared" si="215"/>
        <v>0</v>
      </c>
      <c r="U177" s="24">
        <f t="shared" si="199"/>
        <v>0</v>
      </c>
      <c r="V177" s="24">
        <f t="shared" si="216"/>
        <v>0</v>
      </c>
      <c r="W177" s="24">
        <f t="shared" si="217"/>
        <v>0</v>
      </c>
      <c r="X177" s="72">
        <f t="shared" si="218"/>
        <v>0</v>
      </c>
      <c r="Y177" s="72">
        <f t="shared" si="219"/>
        <v>0</v>
      </c>
      <c r="Z177" s="24">
        <f t="shared" si="268"/>
        <v>0</v>
      </c>
      <c r="AA177" s="72">
        <f t="shared" si="220"/>
        <v>0</v>
      </c>
      <c r="AB177" s="24">
        <f t="shared" si="221"/>
        <v>0</v>
      </c>
      <c r="AC177" s="24" t="s">
        <v>5</v>
      </c>
      <c r="AD177" s="25">
        <f t="shared" si="269"/>
        <v>3</v>
      </c>
      <c r="AE177" s="25">
        <f t="shared" si="270"/>
        <v>0</v>
      </c>
      <c r="AF177" s="25">
        <f t="shared" si="271"/>
        <v>0</v>
      </c>
      <c r="AG177" s="25">
        <f t="shared" si="222"/>
        <v>1</v>
      </c>
      <c r="AH177" s="25" t="str">
        <f>IFERROR(MATCH(DY177,'2 Staff List'!$IA$64:$IA$114,0),"x")</f>
        <v>x</v>
      </c>
      <c r="AI177" s="1181">
        <f>IFERROR(INDEX('2 Staff List'!$EX$64:$EX$114,$AH177),0)</f>
        <v>0</v>
      </c>
      <c r="AJ177" s="25">
        <f>IFERROR(INDEX('2 Staff List'!$IW$64:$IW$114,$AH177),0)</f>
        <v>0</v>
      </c>
      <c r="AK177" s="25">
        <f>IFERROR(INDEX('2 Staff List'!$IB$64:$IB$114,$AH177),0)</f>
        <v>0</v>
      </c>
      <c r="AL177" s="25">
        <f>IF(OR(NOT(ISBLANK(DV177)),CX177=1),"&lt;Non-Labor&gt;",IFERROR(IF(AH177=0,0,INDEX('2 Staff List'!$HZ$64:$HZ$114,$AH177)),0))</f>
        <v>0</v>
      </c>
      <c r="AM177" s="25">
        <f>IFERROR(INDEX('2 Staff List'!$HW$64:$HW$114,$AH177),0)</f>
        <v>0</v>
      </c>
      <c r="AN177" s="25">
        <f t="shared" si="223"/>
        <v>1</v>
      </c>
      <c r="AO177" s="25">
        <f>IF($AO$127=0,0,IFERROR(INDEX('2 Staff List'!$JH$64:$JH$114,$AH177),0))</f>
        <v>0</v>
      </c>
      <c r="AP177" s="25">
        <f>IFERROR(INDEX('2 Staff List'!$HU$64:$HU$114,$AH177),0)</f>
        <v>0</v>
      </c>
      <c r="AQ177" s="25">
        <f t="shared" si="224"/>
        <v>0</v>
      </c>
      <c r="AR177" s="25">
        <f t="shared" si="225"/>
        <v>0</v>
      </c>
      <c r="AS177" s="25">
        <f t="shared" si="226"/>
        <v>0</v>
      </c>
      <c r="AT177" s="25">
        <f t="shared" si="227"/>
        <v>0</v>
      </c>
      <c r="AU177" s="25">
        <f t="shared" si="228"/>
        <v>0</v>
      </c>
      <c r="AV177" s="25">
        <f t="shared" si="229"/>
        <v>0</v>
      </c>
      <c r="AW177" s="25">
        <f t="shared" si="230"/>
        <v>0</v>
      </c>
      <c r="AX177" s="25">
        <f t="shared" si="231"/>
        <v>0</v>
      </c>
      <c r="AY177" s="25">
        <f t="shared" si="232"/>
        <v>0</v>
      </c>
      <c r="AZ177" s="25">
        <f t="shared" si="233"/>
        <v>0</v>
      </c>
      <c r="BA177" s="25">
        <f t="shared" si="234"/>
        <v>0</v>
      </c>
      <c r="BB177" s="25">
        <f t="shared" si="235"/>
        <v>0</v>
      </c>
      <c r="BC177" s="25">
        <f>IFERROR(INDEX('2 Staff List'!KS$64:KS$114,$AH177),0)</f>
        <v>0</v>
      </c>
      <c r="BD177" s="25">
        <f>IFERROR(INDEX('2 Staff List'!KT$64:KT$114,$AH177),0)</f>
        <v>0</v>
      </c>
      <c r="BE177" s="25">
        <f>IFERROR(INDEX('2 Staff List'!KU$64:KU$114,$AH177),0)</f>
        <v>0</v>
      </c>
      <c r="BF177" s="25">
        <f>IFERROR(INDEX('2 Staff List'!KV$64:KV$114,$AH177),0)</f>
        <v>0</v>
      </c>
      <c r="BG177" s="25">
        <f>IFERROR(INDEX('2 Staff List'!KW$64:KW$114,$AH177),0)</f>
        <v>0</v>
      </c>
      <c r="BH177" s="25">
        <f>IFERROR(INDEX('2 Staff List'!KX$64:KX$114,$AH177),0)</f>
        <v>0</v>
      </c>
      <c r="BI177" s="25">
        <f>IFERROR(INDEX('2 Staff List'!KY$64:KY$114,$AH177),0)</f>
        <v>0</v>
      </c>
      <c r="BJ177" s="25">
        <f>IFERROR(INDEX('2 Staff List'!KZ$64:KZ$114,$AH177),0)</f>
        <v>0</v>
      </c>
      <c r="BK177" s="25">
        <f>IFERROR(INDEX('2 Staff List'!LA$64:LA$114,$AH177),0)</f>
        <v>0</v>
      </c>
      <c r="BL177" s="25">
        <f>IFERROR(INDEX('2 Staff List'!LB$64:LB$114,$AH177),0)</f>
        <v>0</v>
      </c>
      <c r="BM177" s="25">
        <f>IFERROR(INDEX('2 Staff List'!FT$64:FT$114,$AH177),0)</f>
        <v>0</v>
      </c>
      <c r="BN177" s="25">
        <f>IFERROR(INDEX('2 Staff List'!FU$64:FU$114,$AH177),0)</f>
        <v>0</v>
      </c>
      <c r="BO177" s="25">
        <f>IFERROR(INDEX('2 Staff List'!FV$64:FV$114,$AH177),0)</f>
        <v>0</v>
      </c>
      <c r="BP177" s="25">
        <f>IFERROR(INDEX('2 Staff List'!FW$64:FW$114,$AH177),0)</f>
        <v>0</v>
      </c>
      <c r="BQ177" s="25">
        <f>IFERROR(INDEX('2 Staff List'!FX$64:FX$114,$AH177),0)</f>
        <v>0</v>
      </c>
      <c r="BR177" s="25">
        <f>IFERROR(INDEX('2 Staff List'!FY$64:FY$114,$AH177),0)</f>
        <v>0</v>
      </c>
      <c r="BS177" s="25">
        <f>IFERROR(INDEX('2 Staff List'!FZ$64:FZ$114,$AH177),0)</f>
        <v>0</v>
      </c>
      <c r="BT177" s="25">
        <f>IFERROR(INDEX('2 Staff List'!GA$64:GA$114,$AH177),0)</f>
        <v>0</v>
      </c>
      <c r="BU177" s="25">
        <f>IFERROR(INDEX('2 Staff List'!GB$64:GB$114,$AH177),0)</f>
        <v>0</v>
      </c>
      <c r="BV177" s="25">
        <f>IFERROR(INDEX('2 Staff List'!GC$64:GC$114,$AH177),0)</f>
        <v>0</v>
      </c>
      <c r="BW177" s="25">
        <f t="shared" si="236"/>
        <v>0</v>
      </c>
      <c r="BX177" s="25">
        <f t="shared" si="237"/>
        <v>0</v>
      </c>
      <c r="BY177" s="25">
        <f t="shared" si="238"/>
        <v>0</v>
      </c>
      <c r="BZ177" s="25">
        <f t="shared" si="239"/>
        <v>0</v>
      </c>
      <c r="CA177" s="25">
        <f t="shared" si="240"/>
        <v>0</v>
      </c>
      <c r="CB177" s="25">
        <f t="shared" si="241"/>
        <v>0</v>
      </c>
      <c r="CC177" s="25">
        <f t="shared" si="242"/>
        <v>0</v>
      </c>
      <c r="CD177" s="25">
        <f t="shared" si="243"/>
        <v>0</v>
      </c>
      <c r="CE177" s="25">
        <f t="shared" si="244"/>
        <v>0</v>
      </c>
      <c r="CF177" s="25">
        <f t="shared" si="245"/>
        <v>0</v>
      </c>
      <c r="CG177" s="25">
        <f t="shared" si="246"/>
        <v>0</v>
      </c>
      <c r="CH177" s="25">
        <f>IFERROR(INDEX('2 Staff List'!LO$64:LO$114,$AH177),0)</f>
        <v>0</v>
      </c>
      <c r="CI177" s="25">
        <f>IFERROR(INDEX('2 Staff List'!LP$64:LP$114,$AH177),0)</f>
        <v>0</v>
      </c>
      <c r="CJ177" s="25">
        <f>IFERROR(INDEX('2 Staff List'!LQ$64:LQ$114,$AH177),0)</f>
        <v>0</v>
      </c>
      <c r="CK177" s="25">
        <f>IFERROR(INDEX('2 Staff List'!LR$64:LR$114,$AH177),0)</f>
        <v>0</v>
      </c>
      <c r="CL177" s="25">
        <f>IFERROR(INDEX('2 Staff List'!LS$64:LS$114,$AH177),0)</f>
        <v>0</v>
      </c>
      <c r="CM177" s="25">
        <f>IFERROR(INDEX('2 Staff List'!LT$64:LT$114,$AH177),0)</f>
        <v>0</v>
      </c>
      <c r="CN177" s="25">
        <f>IFERROR(INDEX('2 Staff List'!LU$64:LU$114,$AH177),0)</f>
        <v>0</v>
      </c>
      <c r="CO177" s="25">
        <f>IFERROR(INDEX('2 Staff List'!LV$64:LV$114,$AH177),0)</f>
        <v>0</v>
      </c>
      <c r="CP177" s="25">
        <f>IFERROR(INDEX('2 Staff List'!LW$64:LW$114,$AH177),0)</f>
        <v>0</v>
      </c>
      <c r="CQ177" s="25">
        <f>IFERROR(INDEX('2 Staff List'!LX$64:LX$114,$AH177),0)</f>
        <v>0</v>
      </c>
      <c r="CR177" s="25">
        <f t="shared" si="272"/>
        <v>0</v>
      </c>
      <c r="CS177" s="25">
        <f t="shared" si="281"/>
        <v>1</v>
      </c>
      <c r="CT177" s="25">
        <f t="shared" si="248"/>
        <v>1</v>
      </c>
      <c r="CU177" s="25">
        <f t="shared" si="249"/>
        <v>1</v>
      </c>
      <c r="CV177" s="25">
        <f t="shared" si="250"/>
        <v>1</v>
      </c>
      <c r="CW177" s="25">
        <f t="shared" si="251"/>
        <v>1</v>
      </c>
      <c r="CX177" s="25">
        <f t="shared" si="252"/>
        <v>0</v>
      </c>
      <c r="CY177" s="25">
        <f t="shared" si="253"/>
        <v>0</v>
      </c>
      <c r="CZ177" s="25">
        <f t="shared" si="254"/>
        <v>0</v>
      </c>
      <c r="DA177" s="25">
        <f t="shared" si="255"/>
        <v>1</v>
      </c>
      <c r="DB177" s="25">
        <f t="shared" si="273"/>
        <v>1</v>
      </c>
      <c r="DC177" s="25">
        <f t="shared" si="256"/>
        <v>0</v>
      </c>
      <c r="DD177" s="25">
        <f>IF(OR($AD177&lt;&gt;3,F177="Exclude"),0,IF(ISERROR(MATCH($E177,'4 Sign-off'!$S$123:$X$123,0)),0,1))</f>
        <v>0</v>
      </c>
      <c r="DE177" s="25">
        <f t="shared" si="274"/>
        <v>0</v>
      </c>
      <c r="DF177" s="25">
        <f t="shared" si="257"/>
        <v>0</v>
      </c>
      <c r="DG177" s="25" t="str">
        <f t="shared" si="258"/>
        <v/>
      </c>
      <c r="DH177" s="25">
        <f t="shared" si="259"/>
        <v>0</v>
      </c>
      <c r="DI177" s="25">
        <f t="shared" si="260"/>
        <v>0</v>
      </c>
      <c r="DJ177" s="25">
        <f>IF(ISBLANK(J177),0,ISERROR(MATCH(J177,'5  Control Accounts'!$FA$29:$FA$96,0))*1)</f>
        <v>0</v>
      </c>
      <c r="DK177" s="25">
        <f t="shared" si="261"/>
        <v>0</v>
      </c>
      <c r="DL177" s="25">
        <f t="shared" si="275"/>
        <v>-1</v>
      </c>
      <c r="DM177" s="25" t="e">
        <f t="array" ref="DM177">MATCH(1,($EG177:$JD177&gt;0)*$EG$17:$JD$17,0)</f>
        <v>#N/A</v>
      </c>
      <c r="DN177" s="25" t="e">
        <f t="shared" si="276"/>
        <v>#N/A</v>
      </c>
      <c r="DO177" s="25" t="e">
        <f t="array" ref="DO177">MATCH(2,1/(EG177:JD177&gt;0))</f>
        <v>#N/A</v>
      </c>
      <c r="DP177" s="2993">
        <f t="shared" si="262"/>
        <v>0</v>
      </c>
      <c r="DQ177" s="3037">
        <f t="shared" si="263"/>
        <v>0</v>
      </c>
      <c r="DR177" s="111"/>
      <c r="DS177" s="1268">
        <f t="shared" si="266"/>
        <v>0</v>
      </c>
      <c r="DT177" s="1825"/>
      <c r="DU177" s="1826"/>
      <c r="DV177" s="1827"/>
      <c r="DW177" s="1828"/>
      <c r="DX177" s="659"/>
      <c r="DY177" s="1265"/>
      <c r="DZ177" s="1785">
        <f t="shared" si="277"/>
        <v>0</v>
      </c>
      <c r="EA177" s="1786">
        <f t="shared" si="278"/>
        <v>0</v>
      </c>
      <c r="EB177" s="1781">
        <f t="shared" si="279"/>
        <v>0</v>
      </c>
      <c r="EC177" s="1782">
        <f t="shared" si="280"/>
        <v>0</v>
      </c>
      <c r="ED177" s="1262"/>
      <c r="EE177" s="2280"/>
      <c r="EF177" s="1802"/>
      <c r="EG177" s="167"/>
      <c r="EH177" s="168"/>
      <c r="EI177" s="168"/>
      <c r="EJ177" s="168"/>
      <c r="EK177" s="168"/>
      <c r="EL177" s="168"/>
      <c r="EM177" s="168"/>
      <c r="EN177" s="168"/>
      <c r="EO177" s="168"/>
      <c r="EP177" s="168"/>
      <c r="EQ177" s="168"/>
      <c r="ER177" s="168"/>
      <c r="ES177" s="168"/>
      <c r="ET177" s="168"/>
      <c r="EU177" s="168"/>
      <c r="EV177" s="168"/>
      <c r="EW177" s="168"/>
      <c r="EX177" s="168"/>
      <c r="EY177" s="168"/>
      <c r="EZ177" s="168"/>
      <c r="FA177" s="168"/>
      <c r="FB177" s="168"/>
      <c r="FC177" s="168"/>
      <c r="FD177" s="168"/>
      <c r="FE177" s="168"/>
      <c r="FF177" s="168"/>
      <c r="FG177" s="168"/>
      <c r="FH177" s="168"/>
      <c r="FI177" s="168"/>
      <c r="FJ177" s="168"/>
      <c r="FK177" s="168"/>
      <c r="FL177" s="168"/>
      <c r="FM177" s="168"/>
      <c r="FN177" s="168"/>
      <c r="FO177" s="168"/>
      <c r="FP177" s="168"/>
      <c r="FQ177" s="168"/>
      <c r="FR177" s="168"/>
      <c r="FS177" s="168"/>
      <c r="FT177" s="168"/>
      <c r="FU177" s="168"/>
      <c r="FV177" s="168"/>
      <c r="FW177" s="168"/>
      <c r="FX177" s="168"/>
      <c r="FY177" s="168"/>
      <c r="FZ177" s="168"/>
      <c r="GA177" s="168"/>
      <c r="GB177" s="168"/>
      <c r="GC177" s="168"/>
      <c r="GD177" s="168"/>
      <c r="GE177" s="168"/>
      <c r="GF177" s="168"/>
      <c r="GG177" s="168"/>
      <c r="GH177" s="168"/>
      <c r="GI177" s="168"/>
      <c r="GJ177" s="168"/>
      <c r="GK177" s="168"/>
      <c r="GL177" s="168"/>
      <c r="GM177" s="168"/>
      <c r="GN177" s="168"/>
      <c r="GO177" s="168"/>
      <c r="GP177" s="168"/>
      <c r="GQ177" s="168"/>
      <c r="GR177" s="168"/>
      <c r="GS177" s="168"/>
      <c r="GT177" s="168"/>
      <c r="GU177" s="168"/>
      <c r="GV177" s="168"/>
      <c r="GW177" s="168"/>
      <c r="GX177" s="168"/>
      <c r="GY177" s="168"/>
      <c r="GZ177" s="168"/>
      <c r="HA177" s="168"/>
      <c r="HB177" s="168"/>
      <c r="HC177" s="168"/>
      <c r="HD177" s="168"/>
      <c r="HE177" s="168"/>
      <c r="HF177" s="168"/>
      <c r="HG177" s="168"/>
      <c r="HH177" s="168"/>
      <c r="HI177" s="168"/>
      <c r="HJ177" s="168"/>
      <c r="HK177" s="168"/>
      <c r="HL177" s="168"/>
      <c r="HM177" s="168"/>
      <c r="HN177" s="168"/>
      <c r="HO177" s="168"/>
      <c r="HP177" s="168"/>
      <c r="HQ177" s="168"/>
      <c r="HR177" s="168"/>
      <c r="HS177" s="168"/>
      <c r="HT177" s="168"/>
      <c r="HU177" s="168"/>
      <c r="HV177" s="168"/>
      <c r="HW177" s="168"/>
      <c r="HX177" s="168"/>
      <c r="HY177" s="168"/>
      <c r="HZ177" s="168"/>
      <c r="IA177" s="168"/>
      <c r="IB177" s="168"/>
      <c r="IC177" s="168"/>
      <c r="ID177" s="168"/>
      <c r="IE177" s="168"/>
      <c r="IF177" s="168"/>
      <c r="IG177" s="168"/>
      <c r="IH177" s="168"/>
      <c r="II177" s="168"/>
      <c r="IJ177" s="168"/>
      <c r="IK177" s="168"/>
      <c r="IL177" s="168"/>
      <c r="IM177" s="168"/>
      <c r="IN177" s="168"/>
      <c r="IO177" s="168"/>
      <c r="IP177" s="168"/>
      <c r="IQ177" s="168"/>
      <c r="IR177" s="168"/>
      <c r="IS177" s="168"/>
      <c r="IT177" s="168"/>
      <c r="IU177" s="168"/>
      <c r="IV177" s="168"/>
      <c r="IW177" s="168"/>
      <c r="IX177" s="168"/>
      <c r="IY177" s="168"/>
      <c r="IZ177" s="168"/>
      <c r="JA177" s="168"/>
      <c r="JB177" s="168"/>
      <c r="JC177" s="606"/>
      <c r="JD177" s="609"/>
      <c r="JE177" s="1"/>
      <c r="JF177" s="1"/>
    </row>
    <row r="178" spans="1:266" s="2" customFormat="1" ht="15" customHeight="1" x14ac:dyDescent="0.25">
      <c r="A178" s="283"/>
      <c r="B178" s="303"/>
      <c r="C178" s="301"/>
      <c r="D178" s="638"/>
      <c r="E178" s="2298"/>
      <c r="F178" s="1812"/>
      <c r="G178" s="3342"/>
      <c r="H178" s="66"/>
      <c r="I178" s="1746"/>
      <c r="J178" s="86"/>
      <c r="K178" s="105"/>
      <c r="L178" s="91"/>
      <c r="M178" s="92"/>
      <c r="N178" s="93"/>
      <c r="O178" s="94"/>
      <c r="P178" s="96"/>
      <c r="Q178" s="95"/>
      <c r="R178" s="993">
        <f t="shared" si="267"/>
        <v>0</v>
      </c>
      <c r="S178" s="23">
        <f t="shared" si="214"/>
        <v>0</v>
      </c>
      <c r="T178" s="24">
        <f t="shared" si="215"/>
        <v>0</v>
      </c>
      <c r="U178" s="24">
        <f t="shared" si="199"/>
        <v>0</v>
      </c>
      <c r="V178" s="24">
        <f t="shared" si="216"/>
        <v>0</v>
      </c>
      <c r="W178" s="24">
        <f t="shared" si="217"/>
        <v>0</v>
      </c>
      <c r="X178" s="72">
        <f t="shared" si="218"/>
        <v>0</v>
      </c>
      <c r="Y178" s="72">
        <f t="shared" si="219"/>
        <v>0</v>
      </c>
      <c r="Z178" s="24">
        <f t="shared" si="268"/>
        <v>0</v>
      </c>
      <c r="AA178" s="72">
        <f t="shared" si="220"/>
        <v>0</v>
      </c>
      <c r="AB178" s="24">
        <f t="shared" si="221"/>
        <v>0</v>
      </c>
      <c r="AC178" s="24" t="s">
        <v>5</v>
      </c>
      <c r="AD178" s="25">
        <f t="shared" si="269"/>
        <v>3</v>
      </c>
      <c r="AE178" s="25">
        <f t="shared" si="270"/>
        <v>0</v>
      </c>
      <c r="AF178" s="25">
        <f t="shared" si="271"/>
        <v>0</v>
      </c>
      <c r="AG178" s="25">
        <f t="shared" si="222"/>
        <v>1</v>
      </c>
      <c r="AH178" s="25" t="str">
        <f>IFERROR(MATCH(DY178,'2 Staff List'!$IA$64:$IA$114,0),"x")</f>
        <v>x</v>
      </c>
      <c r="AI178" s="1181">
        <f>IFERROR(INDEX('2 Staff List'!$EX$64:$EX$114,$AH178),0)</f>
        <v>0</v>
      </c>
      <c r="AJ178" s="25">
        <f>IFERROR(INDEX('2 Staff List'!$IW$64:$IW$114,$AH178),0)</f>
        <v>0</v>
      </c>
      <c r="AK178" s="25">
        <f>IFERROR(INDEX('2 Staff List'!$IB$64:$IB$114,$AH178),0)</f>
        <v>0</v>
      </c>
      <c r="AL178" s="25">
        <f>IF(OR(NOT(ISBLANK(DV178)),CX178=1),"&lt;Non-Labor&gt;",IFERROR(IF(AH178=0,0,INDEX('2 Staff List'!$HZ$64:$HZ$114,$AH178)),0))</f>
        <v>0</v>
      </c>
      <c r="AM178" s="25">
        <f>IFERROR(INDEX('2 Staff List'!$HW$64:$HW$114,$AH178),0)</f>
        <v>0</v>
      </c>
      <c r="AN178" s="25">
        <f t="shared" si="223"/>
        <v>1</v>
      </c>
      <c r="AO178" s="25">
        <f>IF($AO$127=0,0,IFERROR(INDEX('2 Staff List'!$JH$64:$JH$114,$AH178),0))</f>
        <v>0</v>
      </c>
      <c r="AP178" s="25">
        <f>IFERROR(INDEX('2 Staff List'!$HU$64:$HU$114,$AH178),0)</f>
        <v>0</v>
      </c>
      <c r="AQ178" s="25">
        <f t="shared" si="224"/>
        <v>0</v>
      </c>
      <c r="AR178" s="25">
        <f t="shared" si="225"/>
        <v>0</v>
      </c>
      <c r="AS178" s="25">
        <f t="shared" si="226"/>
        <v>0</v>
      </c>
      <c r="AT178" s="25">
        <f t="shared" si="227"/>
        <v>0</v>
      </c>
      <c r="AU178" s="25">
        <f t="shared" si="228"/>
        <v>0</v>
      </c>
      <c r="AV178" s="25">
        <f t="shared" si="229"/>
        <v>0</v>
      </c>
      <c r="AW178" s="25">
        <f t="shared" si="230"/>
        <v>0</v>
      </c>
      <c r="AX178" s="25">
        <f t="shared" si="231"/>
        <v>0</v>
      </c>
      <c r="AY178" s="25">
        <f t="shared" si="232"/>
        <v>0</v>
      </c>
      <c r="AZ178" s="25">
        <f t="shared" si="233"/>
        <v>0</v>
      </c>
      <c r="BA178" s="25">
        <f t="shared" si="234"/>
        <v>0</v>
      </c>
      <c r="BB178" s="25">
        <f t="shared" si="235"/>
        <v>0</v>
      </c>
      <c r="BC178" s="25">
        <f>IFERROR(INDEX('2 Staff List'!KS$64:KS$114,$AH178),0)</f>
        <v>0</v>
      </c>
      <c r="BD178" s="25">
        <f>IFERROR(INDEX('2 Staff List'!KT$64:KT$114,$AH178),0)</f>
        <v>0</v>
      </c>
      <c r="BE178" s="25">
        <f>IFERROR(INDEX('2 Staff List'!KU$64:KU$114,$AH178),0)</f>
        <v>0</v>
      </c>
      <c r="BF178" s="25">
        <f>IFERROR(INDEX('2 Staff List'!KV$64:KV$114,$AH178),0)</f>
        <v>0</v>
      </c>
      <c r="BG178" s="25">
        <f>IFERROR(INDEX('2 Staff List'!KW$64:KW$114,$AH178),0)</f>
        <v>0</v>
      </c>
      <c r="BH178" s="25">
        <f>IFERROR(INDEX('2 Staff List'!KX$64:KX$114,$AH178),0)</f>
        <v>0</v>
      </c>
      <c r="BI178" s="25">
        <f>IFERROR(INDEX('2 Staff List'!KY$64:KY$114,$AH178),0)</f>
        <v>0</v>
      </c>
      <c r="BJ178" s="25">
        <f>IFERROR(INDEX('2 Staff List'!KZ$64:KZ$114,$AH178),0)</f>
        <v>0</v>
      </c>
      <c r="BK178" s="25">
        <f>IFERROR(INDEX('2 Staff List'!LA$64:LA$114,$AH178),0)</f>
        <v>0</v>
      </c>
      <c r="BL178" s="25">
        <f>IFERROR(INDEX('2 Staff List'!LB$64:LB$114,$AH178),0)</f>
        <v>0</v>
      </c>
      <c r="BM178" s="25">
        <f>IFERROR(INDEX('2 Staff List'!FT$64:FT$114,$AH178),0)</f>
        <v>0</v>
      </c>
      <c r="BN178" s="25">
        <f>IFERROR(INDEX('2 Staff List'!FU$64:FU$114,$AH178),0)</f>
        <v>0</v>
      </c>
      <c r="BO178" s="25">
        <f>IFERROR(INDEX('2 Staff List'!FV$64:FV$114,$AH178),0)</f>
        <v>0</v>
      </c>
      <c r="BP178" s="25">
        <f>IFERROR(INDEX('2 Staff List'!FW$64:FW$114,$AH178),0)</f>
        <v>0</v>
      </c>
      <c r="BQ178" s="25">
        <f>IFERROR(INDEX('2 Staff List'!FX$64:FX$114,$AH178),0)</f>
        <v>0</v>
      </c>
      <c r="BR178" s="25">
        <f>IFERROR(INDEX('2 Staff List'!FY$64:FY$114,$AH178),0)</f>
        <v>0</v>
      </c>
      <c r="BS178" s="25">
        <f>IFERROR(INDEX('2 Staff List'!FZ$64:FZ$114,$AH178),0)</f>
        <v>0</v>
      </c>
      <c r="BT178" s="25">
        <f>IFERROR(INDEX('2 Staff List'!GA$64:GA$114,$AH178),0)</f>
        <v>0</v>
      </c>
      <c r="BU178" s="25">
        <f>IFERROR(INDEX('2 Staff List'!GB$64:GB$114,$AH178),0)</f>
        <v>0</v>
      </c>
      <c r="BV178" s="25">
        <f>IFERROR(INDEX('2 Staff List'!GC$64:GC$114,$AH178),0)</f>
        <v>0</v>
      </c>
      <c r="BW178" s="25">
        <f t="shared" si="236"/>
        <v>0</v>
      </c>
      <c r="BX178" s="25">
        <f t="shared" si="237"/>
        <v>0</v>
      </c>
      <c r="BY178" s="25">
        <f t="shared" si="238"/>
        <v>0</v>
      </c>
      <c r="BZ178" s="25">
        <f t="shared" si="239"/>
        <v>0</v>
      </c>
      <c r="CA178" s="25">
        <f t="shared" si="240"/>
        <v>0</v>
      </c>
      <c r="CB178" s="25">
        <f t="shared" si="241"/>
        <v>0</v>
      </c>
      <c r="CC178" s="25">
        <f t="shared" si="242"/>
        <v>0</v>
      </c>
      <c r="CD178" s="25">
        <f t="shared" si="243"/>
        <v>0</v>
      </c>
      <c r="CE178" s="25">
        <f t="shared" si="244"/>
        <v>0</v>
      </c>
      <c r="CF178" s="25">
        <f t="shared" si="245"/>
        <v>0</v>
      </c>
      <c r="CG178" s="25">
        <f t="shared" si="246"/>
        <v>0</v>
      </c>
      <c r="CH178" s="25">
        <f>IFERROR(INDEX('2 Staff List'!LO$64:LO$114,$AH178),0)</f>
        <v>0</v>
      </c>
      <c r="CI178" s="25">
        <f>IFERROR(INDEX('2 Staff List'!LP$64:LP$114,$AH178),0)</f>
        <v>0</v>
      </c>
      <c r="CJ178" s="25">
        <f>IFERROR(INDEX('2 Staff List'!LQ$64:LQ$114,$AH178),0)</f>
        <v>0</v>
      </c>
      <c r="CK178" s="25">
        <f>IFERROR(INDEX('2 Staff List'!LR$64:LR$114,$AH178),0)</f>
        <v>0</v>
      </c>
      <c r="CL178" s="25">
        <f>IFERROR(INDEX('2 Staff List'!LS$64:LS$114,$AH178),0)</f>
        <v>0</v>
      </c>
      <c r="CM178" s="25">
        <f>IFERROR(INDEX('2 Staff List'!LT$64:LT$114,$AH178),0)</f>
        <v>0</v>
      </c>
      <c r="CN178" s="25">
        <f>IFERROR(INDEX('2 Staff List'!LU$64:LU$114,$AH178),0)</f>
        <v>0</v>
      </c>
      <c r="CO178" s="25">
        <f>IFERROR(INDEX('2 Staff List'!LV$64:LV$114,$AH178),0)</f>
        <v>0</v>
      </c>
      <c r="CP178" s="25">
        <f>IFERROR(INDEX('2 Staff List'!LW$64:LW$114,$AH178),0)</f>
        <v>0</v>
      </c>
      <c r="CQ178" s="25">
        <f>IFERROR(INDEX('2 Staff List'!LX$64:LX$114,$AH178),0)</f>
        <v>0</v>
      </c>
      <c r="CR178" s="25">
        <f t="shared" si="272"/>
        <v>0</v>
      </c>
      <c r="CS178" s="25">
        <f t="shared" si="281"/>
        <v>1</v>
      </c>
      <c r="CT178" s="25">
        <f t="shared" si="248"/>
        <v>1</v>
      </c>
      <c r="CU178" s="25">
        <f t="shared" si="249"/>
        <v>1</v>
      </c>
      <c r="CV178" s="25">
        <f t="shared" si="250"/>
        <v>1</v>
      </c>
      <c r="CW178" s="25">
        <f t="shared" si="251"/>
        <v>1</v>
      </c>
      <c r="CX178" s="25">
        <f t="shared" si="252"/>
        <v>0</v>
      </c>
      <c r="CY178" s="25">
        <f t="shared" si="253"/>
        <v>0</v>
      </c>
      <c r="CZ178" s="25">
        <f t="shared" si="254"/>
        <v>0</v>
      </c>
      <c r="DA178" s="25">
        <f t="shared" si="255"/>
        <v>1</v>
      </c>
      <c r="DB178" s="25">
        <f t="shared" si="273"/>
        <v>1</v>
      </c>
      <c r="DC178" s="25">
        <f t="shared" si="256"/>
        <v>0</v>
      </c>
      <c r="DD178" s="25">
        <f>IF(OR($AD178&lt;&gt;3,F178="Exclude"),0,IF(ISERROR(MATCH($E178,'4 Sign-off'!$S$123:$X$123,0)),0,1))</f>
        <v>0</v>
      </c>
      <c r="DE178" s="25">
        <f t="shared" si="274"/>
        <v>0</v>
      </c>
      <c r="DF178" s="25">
        <f t="shared" si="257"/>
        <v>0</v>
      </c>
      <c r="DG178" s="25" t="str">
        <f t="shared" si="258"/>
        <v/>
      </c>
      <c r="DH178" s="25">
        <f t="shared" si="259"/>
        <v>0</v>
      </c>
      <c r="DI178" s="25">
        <f t="shared" si="260"/>
        <v>0</v>
      </c>
      <c r="DJ178" s="25">
        <f>IF(ISBLANK(J178),0,ISERROR(MATCH(J178,'5  Control Accounts'!$FA$29:$FA$96,0))*1)</f>
        <v>0</v>
      </c>
      <c r="DK178" s="25">
        <f t="shared" si="261"/>
        <v>0</v>
      </c>
      <c r="DL178" s="25">
        <f t="shared" si="275"/>
        <v>-1</v>
      </c>
      <c r="DM178" s="25" t="e">
        <f t="array" ref="DM178">MATCH(1,($EG178:$JD178&gt;0)*$EG$17:$JD$17,0)</f>
        <v>#N/A</v>
      </c>
      <c r="DN178" s="25" t="e">
        <f t="shared" si="276"/>
        <v>#N/A</v>
      </c>
      <c r="DO178" s="25" t="e">
        <f t="array" ref="DO178">MATCH(2,1/(EG178:JD178&gt;0))</f>
        <v>#N/A</v>
      </c>
      <c r="DP178" s="2993">
        <f t="shared" si="262"/>
        <v>0</v>
      </c>
      <c r="DQ178" s="3037">
        <f t="shared" si="263"/>
        <v>0</v>
      </c>
      <c r="DR178" s="111"/>
      <c r="DS178" s="1268">
        <f t="shared" si="266"/>
        <v>0</v>
      </c>
      <c r="DT178" s="1825"/>
      <c r="DU178" s="1826"/>
      <c r="DV178" s="1827"/>
      <c r="DW178" s="1828"/>
      <c r="DX178" s="659"/>
      <c r="DY178" s="1265"/>
      <c r="DZ178" s="1785">
        <f t="shared" si="277"/>
        <v>0</v>
      </c>
      <c r="EA178" s="1786">
        <f t="shared" si="278"/>
        <v>0</v>
      </c>
      <c r="EB178" s="1781">
        <f t="shared" si="279"/>
        <v>0</v>
      </c>
      <c r="EC178" s="1782">
        <f t="shared" si="280"/>
        <v>0</v>
      </c>
      <c r="ED178" s="1262"/>
      <c r="EE178" s="2280"/>
      <c r="EF178" s="1802"/>
      <c r="EG178" s="167"/>
      <c r="EH178" s="168"/>
      <c r="EI178" s="168"/>
      <c r="EJ178" s="168"/>
      <c r="EK178" s="168"/>
      <c r="EL178" s="168"/>
      <c r="EM178" s="168"/>
      <c r="EN178" s="168"/>
      <c r="EO178" s="168"/>
      <c r="EP178" s="168"/>
      <c r="EQ178" s="168"/>
      <c r="ER178" s="168"/>
      <c r="ES178" s="168"/>
      <c r="ET178" s="168"/>
      <c r="EU178" s="168"/>
      <c r="EV178" s="168"/>
      <c r="EW178" s="168"/>
      <c r="EX178" s="168"/>
      <c r="EY178" s="168"/>
      <c r="EZ178" s="168"/>
      <c r="FA178" s="168"/>
      <c r="FB178" s="168"/>
      <c r="FC178" s="168"/>
      <c r="FD178" s="168"/>
      <c r="FE178" s="168"/>
      <c r="FF178" s="168"/>
      <c r="FG178" s="168"/>
      <c r="FH178" s="168"/>
      <c r="FI178" s="168"/>
      <c r="FJ178" s="168"/>
      <c r="FK178" s="168"/>
      <c r="FL178" s="168"/>
      <c r="FM178" s="168"/>
      <c r="FN178" s="168"/>
      <c r="FO178" s="168"/>
      <c r="FP178" s="168"/>
      <c r="FQ178" s="168"/>
      <c r="FR178" s="168"/>
      <c r="FS178" s="168"/>
      <c r="FT178" s="168"/>
      <c r="FU178" s="168"/>
      <c r="FV178" s="168"/>
      <c r="FW178" s="168"/>
      <c r="FX178" s="168"/>
      <c r="FY178" s="168"/>
      <c r="FZ178" s="168"/>
      <c r="GA178" s="168"/>
      <c r="GB178" s="168"/>
      <c r="GC178" s="168"/>
      <c r="GD178" s="168"/>
      <c r="GE178" s="168"/>
      <c r="GF178" s="168"/>
      <c r="GG178" s="168"/>
      <c r="GH178" s="168"/>
      <c r="GI178" s="168"/>
      <c r="GJ178" s="168"/>
      <c r="GK178" s="168"/>
      <c r="GL178" s="168"/>
      <c r="GM178" s="168"/>
      <c r="GN178" s="168"/>
      <c r="GO178" s="168"/>
      <c r="GP178" s="168"/>
      <c r="GQ178" s="168"/>
      <c r="GR178" s="168"/>
      <c r="GS178" s="168"/>
      <c r="GT178" s="168"/>
      <c r="GU178" s="168"/>
      <c r="GV178" s="168"/>
      <c r="GW178" s="168"/>
      <c r="GX178" s="168"/>
      <c r="GY178" s="168"/>
      <c r="GZ178" s="168"/>
      <c r="HA178" s="168"/>
      <c r="HB178" s="168"/>
      <c r="HC178" s="168"/>
      <c r="HD178" s="168"/>
      <c r="HE178" s="168"/>
      <c r="HF178" s="168"/>
      <c r="HG178" s="168"/>
      <c r="HH178" s="168"/>
      <c r="HI178" s="168"/>
      <c r="HJ178" s="168"/>
      <c r="HK178" s="168"/>
      <c r="HL178" s="168"/>
      <c r="HM178" s="168"/>
      <c r="HN178" s="168"/>
      <c r="HO178" s="168"/>
      <c r="HP178" s="168"/>
      <c r="HQ178" s="168"/>
      <c r="HR178" s="168"/>
      <c r="HS178" s="168"/>
      <c r="HT178" s="168"/>
      <c r="HU178" s="168"/>
      <c r="HV178" s="168"/>
      <c r="HW178" s="168"/>
      <c r="HX178" s="168"/>
      <c r="HY178" s="168"/>
      <c r="HZ178" s="168"/>
      <c r="IA178" s="168"/>
      <c r="IB178" s="168"/>
      <c r="IC178" s="168"/>
      <c r="ID178" s="168"/>
      <c r="IE178" s="168"/>
      <c r="IF178" s="168"/>
      <c r="IG178" s="168"/>
      <c r="IH178" s="168"/>
      <c r="II178" s="168"/>
      <c r="IJ178" s="168"/>
      <c r="IK178" s="168"/>
      <c r="IL178" s="168"/>
      <c r="IM178" s="168"/>
      <c r="IN178" s="168"/>
      <c r="IO178" s="168"/>
      <c r="IP178" s="168"/>
      <c r="IQ178" s="168"/>
      <c r="IR178" s="168"/>
      <c r="IS178" s="168"/>
      <c r="IT178" s="168"/>
      <c r="IU178" s="168"/>
      <c r="IV178" s="168"/>
      <c r="IW178" s="168"/>
      <c r="IX178" s="168"/>
      <c r="IY178" s="168"/>
      <c r="IZ178" s="168"/>
      <c r="JA178" s="168"/>
      <c r="JB178" s="168"/>
      <c r="JC178" s="606"/>
      <c r="JD178" s="609"/>
      <c r="JE178" s="1"/>
      <c r="JF178" s="1"/>
    </row>
    <row r="179" spans="1:266" s="2" customFormat="1" ht="15" customHeight="1" x14ac:dyDescent="0.25">
      <c r="A179" s="283"/>
      <c r="B179" s="303"/>
      <c r="C179" s="301"/>
      <c r="D179" s="638"/>
      <c r="E179" s="2298"/>
      <c r="F179" s="1812"/>
      <c r="G179" s="3342"/>
      <c r="H179" s="66"/>
      <c r="I179" s="1746"/>
      <c r="J179" s="86"/>
      <c r="K179" s="105"/>
      <c r="L179" s="91"/>
      <c r="M179" s="92"/>
      <c r="N179" s="93"/>
      <c r="O179" s="94"/>
      <c r="P179" s="96"/>
      <c r="Q179" s="95"/>
      <c r="R179" s="993">
        <f t="shared" si="267"/>
        <v>0</v>
      </c>
      <c r="S179" s="23">
        <f t="shared" si="214"/>
        <v>0</v>
      </c>
      <c r="T179" s="24">
        <f t="shared" si="215"/>
        <v>0</v>
      </c>
      <c r="U179" s="24">
        <f t="shared" si="199"/>
        <v>0</v>
      </c>
      <c r="V179" s="24">
        <f t="shared" si="216"/>
        <v>0</v>
      </c>
      <c r="W179" s="24">
        <f t="shared" si="217"/>
        <v>0</v>
      </c>
      <c r="X179" s="72">
        <f t="shared" si="218"/>
        <v>0</v>
      </c>
      <c r="Y179" s="72">
        <f t="shared" si="219"/>
        <v>0</v>
      </c>
      <c r="Z179" s="24">
        <f t="shared" si="268"/>
        <v>0</v>
      </c>
      <c r="AA179" s="72">
        <f t="shared" si="220"/>
        <v>0</v>
      </c>
      <c r="AB179" s="24">
        <f t="shared" si="221"/>
        <v>0</v>
      </c>
      <c r="AC179" s="24" t="s">
        <v>5</v>
      </c>
      <c r="AD179" s="25">
        <f t="shared" si="269"/>
        <v>3</v>
      </c>
      <c r="AE179" s="25">
        <f t="shared" si="270"/>
        <v>0</v>
      </c>
      <c r="AF179" s="25">
        <f t="shared" si="271"/>
        <v>0</v>
      </c>
      <c r="AG179" s="25">
        <f t="shared" si="222"/>
        <v>1</v>
      </c>
      <c r="AH179" s="25" t="str">
        <f>IFERROR(MATCH(DY179,'2 Staff List'!$IA$64:$IA$114,0),"x")</f>
        <v>x</v>
      </c>
      <c r="AI179" s="1181">
        <f>IFERROR(INDEX('2 Staff List'!$EX$64:$EX$114,$AH179),0)</f>
        <v>0</v>
      </c>
      <c r="AJ179" s="25">
        <f>IFERROR(INDEX('2 Staff List'!$IW$64:$IW$114,$AH179),0)</f>
        <v>0</v>
      </c>
      <c r="AK179" s="25">
        <f>IFERROR(INDEX('2 Staff List'!$IB$64:$IB$114,$AH179),0)</f>
        <v>0</v>
      </c>
      <c r="AL179" s="25">
        <f>IF(OR(NOT(ISBLANK(DV179)),CX179=1),"&lt;Non-Labor&gt;",IFERROR(IF(AH179=0,0,INDEX('2 Staff List'!$HZ$64:$HZ$114,$AH179)),0))</f>
        <v>0</v>
      </c>
      <c r="AM179" s="25">
        <f>IFERROR(INDEX('2 Staff List'!$HW$64:$HW$114,$AH179),0)</f>
        <v>0</v>
      </c>
      <c r="AN179" s="25">
        <f t="shared" si="223"/>
        <v>1</v>
      </c>
      <c r="AO179" s="25">
        <f>IF($AO$127=0,0,IFERROR(INDEX('2 Staff List'!$JH$64:$JH$114,$AH179),0))</f>
        <v>0</v>
      </c>
      <c r="AP179" s="25">
        <f>IFERROR(INDEX('2 Staff List'!$HU$64:$HU$114,$AH179),0)</f>
        <v>0</v>
      </c>
      <c r="AQ179" s="25">
        <f t="shared" si="224"/>
        <v>0</v>
      </c>
      <c r="AR179" s="25">
        <f t="shared" si="225"/>
        <v>0</v>
      </c>
      <c r="AS179" s="25">
        <f t="shared" si="226"/>
        <v>0</v>
      </c>
      <c r="AT179" s="25">
        <f t="shared" si="227"/>
        <v>0</v>
      </c>
      <c r="AU179" s="25">
        <f t="shared" si="228"/>
        <v>0</v>
      </c>
      <c r="AV179" s="25">
        <f t="shared" si="229"/>
        <v>0</v>
      </c>
      <c r="AW179" s="25">
        <f t="shared" si="230"/>
        <v>0</v>
      </c>
      <c r="AX179" s="25">
        <f t="shared" si="231"/>
        <v>0</v>
      </c>
      <c r="AY179" s="25">
        <f t="shared" si="232"/>
        <v>0</v>
      </c>
      <c r="AZ179" s="25">
        <f t="shared" si="233"/>
        <v>0</v>
      </c>
      <c r="BA179" s="25">
        <f t="shared" si="234"/>
        <v>0</v>
      </c>
      <c r="BB179" s="25">
        <f t="shared" si="235"/>
        <v>0</v>
      </c>
      <c r="BC179" s="25">
        <f>IFERROR(INDEX('2 Staff List'!KS$64:KS$114,$AH179),0)</f>
        <v>0</v>
      </c>
      <c r="BD179" s="25">
        <f>IFERROR(INDEX('2 Staff List'!KT$64:KT$114,$AH179),0)</f>
        <v>0</v>
      </c>
      <c r="BE179" s="25">
        <f>IFERROR(INDEX('2 Staff List'!KU$64:KU$114,$AH179),0)</f>
        <v>0</v>
      </c>
      <c r="BF179" s="25">
        <f>IFERROR(INDEX('2 Staff List'!KV$64:KV$114,$AH179),0)</f>
        <v>0</v>
      </c>
      <c r="BG179" s="25">
        <f>IFERROR(INDEX('2 Staff List'!KW$64:KW$114,$AH179),0)</f>
        <v>0</v>
      </c>
      <c r="BH179" s="25">
        <f>IFERROR(INDEX('2 Staff List'!KX$64:KX$114,$AH179),0)</f>
        <v>0</v>
      </c>
      <c r="BI179" s="25">
        <f>IFERROR(INDEX('2 Staff List'!KY$64:KY$114,$AH179),0)</f>
        <v>0</v>
      </c>
      <c r="BJ179" s="25">
        <f>IFERROR(INDEX('2 Staff List'!KZ$64:KZ$114,$AH179),0)</f>
        <v>0</v>
      </c>
      <c r="BK179" s="25">
        <f>IFERROR(INDEX('2 Staff List'!LA$64:LA$114,$AH179),0)</f>
        <v>0</v>
      </c>
      <c r="BL179" s="25">
        <f>IFERROR(INDEX('2 Staff List'!LB$64:LB$114,$AH179),0)</f>
        <v>0</v>
      </c>
      <c r="BM179" s="25">
        <f>IFERROR(INDEX('2 Staff List'!FT$64:FT$114,$AH179),0)</f>
        <v>0</v>
      </c>
      <c r="BN179" s="25">
        <f>IFERROR(INDEX('2 Staff List'!FU$64:FU$114,$AH179),0)</f>
        <v>0</v>
      </c>
      <c r="BO179" s="25">
        <f>IFERROR(INDEX('2 Staff List'!FV$64:FV$114,$AH179),0)</f>
        <v>0</v>
      </c>
      <c r="BP179" s="25">
        <f>IFERROR(INDEX('2 Staff List'!FW$64:FW$114,$AH179),0)</f>
        <v>0</v>
      </c>
      <c r="BQ179" s="25">
        <f>IFERROR(INDEX('2 Staff List'!FX$64:FX$114,$AH179),0)</f>
        <v>0</v>
      </c>
      <c r="BR179" s="25">
        <f>IFERROR(INDEX('2 Staff List'!FY$64:FY$114,$AH179),0)</f>
        <v>0</v>
      </c>
      <c r="BS179" s="25">
        <f>IFERROR(INDEX('2 Staff List'!FZ$64:FZ$114,$AH179),0)</f>
        <v>0</v>
      </c>
      <c r="BT179" s="25">
        <f>IFERROR(INDEX('2 Staff List'!GA$64:GA$114,$AH179),0)</f>
        <v>0</v>
      </c>
      <c r="BU179" s="25">
        <f>IFERROR(INDEX('2 Staff List'!GB$64:GB$114,$AH179),0)</f>
        <v>0</v>
      </c>
      <c r="BV179" s="25">
        <f>IFERROR(INDEX('2 Staff List'!GC$64:GC$114,$AH179),0)</f>
        <v>0</v>
      </c>
      <c r="BW179" s="25">
        <f t="shared" si="236"/>
        <v>0</v>
      </c>
      <c r="BX179" s="25">
        <f t="shared" si="237"/>
        <v>0</v>
      </c>
      <c r="BY179" s="25">
        <f t="shared" si="238"/>
        <v>0</v>
      </c>
      <c r="BZ179" s="25">
        <f t="shared" si="239"/>
        <v>0</v>
      </c>
      <c r="CA179" s="25">
        <f t="shared" si="240"/>
        <v>0</v>
      </c>
      <c r="CB179" s="25">
        <f t="shared" si="241"/>
        <v>0</v>
      </c>
      <c r="CC179" s="25">
        <f t="shared" si="242"/>
        <v>0</v>
      </c>
      <c r="CD179" s="25">
        <f t="shared" si="243"/>
        <v>0</v>
      </c>
      <c r="CE179" s="25">
        <f t="shared" si="244"/>
        <v>0</v>
      </c>
      <c r="CF179" s="25">
        <f t="shared" si="245"/>
        <v>0</v>
      </c>
      <c r="CG179" s="25">
        <f t="shared" si="246"/>
        <v>0</v>
      </c>
      <c r="CH179" s="25">
        <f>IFERROR(INDEX('2 Staff List'!LO$64:LO$114,$AH179),0)</f>
        <v>0</v>
      </c>
      <c r="CI179" s="25">
        <f>IFERROR(INDEX('2 Staff List'!LP$64:LP$114,$AH179),0)</f>
        <v>0</v>
      </c>
      <c r="CJ179" s="25">
        <f>IFERROR(INDEX('2 Staff List'!LQ$64:LQ$114,$AH179),0)</f>
        <v>0</v>
      </c>
      <c r="CK179" s="25">
        <f>IFERROR(INDEX('2 Staff List'!LR$64:LR$114,$AH179),0)</f>
        <v>0</v>
      </c>
      <c r="CL179" s="25">
        <f>IFERROR(INDEX('2 Staff List'!LS$64:LS$114,$AH179),0)</f>
        <v>0</v>
      </c>
      <c r="CM179" s="25">
        <f>IFERROR(INDEX('2 Staff List'!LT$64:LT$114,$AH179),0)</f>
        <v>0</v>
      </c>
      <c r="CN179" s="25">
        <f>IFERROR(INDEX('2 Staff List'!LU$64:LU$114,$AH179),0)</f>
        <v>0</v>
      </c>
      <c r="CO179" s="25">
        <f>IFERROR(INDEX('2 Staff List'!LV$64:LV$114,$AH179),0)</f>
        <v>0</v>
      </c>
      <c r="CP179" s="25">
        <f>IFERROR(INDEX('2 Staff List'!LW$64:LW$114,$AH179),0)</f>
        <v>0</v>
      </c>
      <c r="CQ179" s="25">
        <f>IFERROR(INDEX('2 Staff List'!LX$64:LX$114,$AH179),0)</f>
        <v>0</v>
      </c>
      <c r="CR179" s="25">
        <f t="shared" si="272"/>
        <v>0</v>
      </c>
      <c r="CS179" s="25">
        <f t="shared" si="281"/>
        <v>1</v>
      </c>
      <c r="CT179" s="25">
        <f t="shared" si="248"/>
        <v>1</v>
      </c>
      <c r="CU179" s="25">
        <f t="shared" si="249"/>
        <v>1</v>
      </c>
      <c r="CV179" s="25">
        <f t="shared" si="250"/>
        <v>1</v>
      </c>
      <c r="CW179" s="25">
        <f t="shared" si="251"/>
        <v>1</v>
      </c>
      <c r="CX179" s="25">
        <f t="shared" si="252"/>
        <v>0</v>
      </c>
      <c r="CY179" s="25">
        <f t="shared" si="253"/>
        <v>0</v>
      </c>
      <c r="CZ179" s="25">
        <f t="shared" si="254"/>
        <v>0</v>
      </c>
      <c r="DA179" s="25">
        <f t="shared" si="255"/>
        <v>1</v>
      </c>
      <c r="DB179" s="25">
        <f t="shared" si="273"/>
        <v>1</v>
      </c>
      <c r="DC179" s="25">
        <f t="shared" si="256"/>
        <v>0</v>
      </c>
      <c r="DD179" s="25">
        <f>IF(OR($AD179&lt;&gt;3,F179="Exclude"),0,IF(ISERROR(MATCH($E179,'4 Sign-off'!$S$123:$X$123,0)),0,1))</f>
        <v>0</v>
      </c>
      <c r="DE179" s="25">
        <f t="shared" si="274"/>
        <v>0</v>
      </c>
      <c r="DF179" s="25">
        <f t="shared" si="257"/>
        <v>0</v>
      </c>
      <c r="DG179" s="25" t="str">
        <f t="shared" si="258"/>
        <v/>
      </c>
      <c r="DH179" s="25">
        <f t="shared" si="259"/>
        <v>0</v>
      </c>
      <c r="DI179" s="25">
        <f t="shared" si="260"/>
        <v>0</v>
      </c>
      <c r="DJ179" s="25">
        <f>IF(ISBLANK(J179),0,ISERROR(MATCH(J179,'5  Control Accounts'!$FA$29:$FA$96,0))*1)</f>
        <v>0</v>
      </c>
      <c r="DK179" s="25">
        <f t="shared" si="261"/>
        <v>0</v>
      </c>
      <c r="DL179" s="25">
        <f t="shared" si="275"/>
        <v>-1</v>
      </c>
      <c r="DM179" s="25" t="e">
        <f t="array" ref="DM179">MATCH(1,($EG179:$JD179&gt;0)*$EG$17:$JD$17,0)</f>
        <v>#N/A</v>
      </c>
      <c r="DN179" s="25" t="e">
        <f t="shared" si="276"/>
        <v>#N/A</v>
      </c>
      <c r="DO179" s="25" t="e">
        <f t="array" ref="DO179">MATCH(2,1/(EG179:JD179&gt;0))</f>
        <v>#N/A</v>
      </c>
      <c r="DP179" s="2993">
        <f t="shared" si="262"/>
        <v>0</v>
      </c>
      <c r="DQ179" s="3037">
        <f t="shared" si="263"/>
        <v>0</v>
      </c>
      <c r="DR179" s="111"/>
      <c r="DS179" s="1268">
        <f t="shared" si="266"/>
        <v>0</v>
      </c>
      <c r="DT179" s="1825"/>
      <c r="DU179" s="1826"/>
      <c r="DV179" s="1827"/>
      <c r="DW179" s="1828"/>
      <c r="DX179" s="659"/>
      <c r="DY179" s="1265"/>
      <c r="DZ179" s="1785">
        <f t="shared" si="277"/>
        <v>0</v>
      </c>
      <c r="EA179" s="1786">
        <f t="shared" si="278"/>
        <v>0</v>
      </c>
      <c r="EB179" s="1781">
        <f t="shared" si="279"/>
        <v>0</v>
      </c>
      <c r="EC179" s="1782">
        <f t="shared" si="280"/>
        <v>0</v>
      </c>
      <c r="ED179" s="1262"/>
      <c r="EE179" s="2280"/>
      <c r="EF179" s="1802"/>
      <c r="EG179" s="167"/>
      <c r="EH179" s="168"/>
      <c r="EI179" s="168"/>
      <c r="EJ179" s="168"/>
      <c r="EK179" s="168"/>
      <c r="EL179" s="168"/>
      <c r="EM179" s="168"/>
      <c r="EN179" s="168"/>
      <c r="EO179" s="168"/>
      <c r="EP179" s="168"/>
      <c r="EQ179" s="168"/>
      <c r="ER179" s="168"/>
      <c r="ES179" s="168"/>
      <c r="ET179" s="168"/>
      <c r="EU179" s="168"/>
      <c r="EV179" s="168"/>
      <c r="EW179" s="168"/>
      <c r="EX179" s="168"/>
      <c r="EY179" s="168"/>
      <c r="EZ179" s="168"/>
      <c r="FA179" s="168"/>
      <c r="FB179" s="168"/>
      <c r="FC179" s="168"/>
      <c r="FD179" s="168"/>
      <c r="FE179" s="168"/>
      <c r="FF179" s="168"/>
      <c r="FG179" s="168"/>
      <c r="FH179" s="168"/>
      <c r="FI179" s="168"/>
      <c r="FJ179" s="168"/>
      <c r="FK179" s="168"/>
      <c r="FL179" s="168"/>
      <c r="FM179" s="168"/>
      <c r="FN179" s="168"/>
      <c r="FO179" s="168"/>
      <c r="FP179" s="168"/>
      <c r="FQ179" s="168"/>
      <c r="FR179" s="168"/>
      <c r="FS179" s="168"/>
      <c r="FT179" s="168"/>
      <c r="FU179" s="168"/>
      <c r="FV179" s="168"/>
      <c r="FW179" s="168"/>
      <c r="FX179" s="168"/>
      <c r="FY179" s="168"/>
      <c r="FZ179" s="168"/>
      <c r="GA179" s="168"/>
      <c r="GB179" s="168"/>
      <c r="GC179" s="168"/>
      <c r="GD179" s="168"/>
      <c r="GE179" s="168"/>
      <c r="GF179" s="168"/>
      <c r="GG179" s="168"/>
      <c r="GH179" s="168"/>
      <c r="GI179" s="168"/>
      <c r="GJ179" s="168"/>
      <c r="GK179" s="168"/>
      <c r="GL179" s="168"/>
      <c r="GM179" s="168"/>
      <c r="GN179" s="168"/>
      <c r="GO179" s="168"/>
      <c r="GP179" s="168"/>
      <c r="GQ179" s="168"/>
      <c r="GR179" s="168"/>
      <c r="GS179" s="168"/>
      <c r="GT179" s="168"/>
      <c r="GU179" s="168"/>
      <c r="GV179" s="168"/>
      <c r="GW179" s="168"/>
      <c r="GX179" s="168"/>
      <c r="GY179" s="168"/>
      <c r="GZ179" s="168"/>
      <c r="HA179" s="168"/>
      <c r="HB179" s="168"/>
      <c r="HC179" s="168"/>
      <c r="HD179" s="168"/>
      <c r="HE179" s="168"/>
      <c r="HF179" s="168"/>
      <c r="HG179" s="168"/>
      <c r="HH179" s="168"/>
      <c r="HI179" s="168"/>
      <c r="HJ179" s="168"/>
      <c r="HK179" s="168"/>
      <c r="HL179" s="168"/>
      <c r="HM179" s="168"/>
      <c r="HN179" s="168"/>
      <c r="HO179" s="168"/>
      <c r="HP179" s="168"/>
      <c r="HQ179" s="168"/>
      <c r="HR179" s="168"/>
      <c r="HS179" s="168"/>
      <c r="HT179" s="168"/>
      <c r="HU179" s="168"/>
      <c r="HV179" s="168"/>
      <c r="HW179" s="168"/>
      <c r="HX179" s="168"/>
      <c r="HY179" s="168"/>
      <c r="HZ179" s="168"/>
      <c r="IA179" s="168"/>
      <c r="IB179" s="168"/>
      <c r="IC179" s="168"/>
      <c r="ID179" s="168"/>
      <c r="IE179" s="168"/>
      <c r="IF179" s="168"/>
      <c r="IG179" s="168"/>
      <c r="IH179" s="168"/>
      <c r="II179" s="168"/>
      <c r="IJ179" s="168"/>
      <c r="IK179" s="168"/>
      <c r="IL179" s="168"/>
      <c r="IM179" s="168"/>
      <c r="IN179" s="168"/>
      <c r="IO179" s="168"/>
      <c r="IP179" s="168"/>
      <c r="IQ179" s="168"/>
      <c r="IR179" s="168"/>
      <c r="IS179" s="168"/>
      <c r="IT179" s="168"/>
      <c r="IU179" s="168"/>
      <c r="IV179" s="168"/>
      <c r="IW179" s="168"/>
      <c r="IX179" s="168"/>
      <c r="IY179" s="168"/>
      <c r="IZ179" s="168"/>
      <c r="JA179" s="168"/>
      <c r="JB179" s="168"/>
      <c r="JC179" s="606"/>
      <c r="JD179" s="609"/>
      <c r="JE179" s="1"/>
      <c r="JF179" s="1"/>
    </row>
    <row r="180" spans="1:266" s="2" customFormat="1" ht="15" customHeight="1" x14ac:dyDescent="0.25">
      <c r="A180" s="283"/>
      <c r="B180" s="303"/>
      <c r="C180" s="301"/>
      <c r="D180" s="638"/>
      <c r="E180" s="2298"/>
      <c r="F180" s="1812"/>
      <c r="G180" s="3342"/>
      <c r="H180" s="66"/>
      <c r="I180" s="1746"/>
      <c r="J180" s="86"/>
      <c r="K180" s="105"/>
      <c r="L180" s="91"/>
      <c r="M180" s="92"/>
      <c r="N180" s="93"/>
      <c r="O180" s="94"/>
      <c r="P180" s="96"/>
      <c r="Q180" s="95"/>
      <c r="R180" s="993">
        <f t="shared" si="267"/>
        <v>0</v>
      </c>
      <c r="S180" s="23">
        <f t="shared" si="214"/>
        <v>0</v>
      </c>
      <c r="T180" s="24">
        <f t="shared" si="215"/>
        <v>0</v>
      </c>
      <c r="U180" s="24">
        <f t="shared" si="199"/>
        <v>0</v>
      </c>
      <c r="V180" s="24">
        <f t="shared" si="216"/>
        <v>0</v>
      </c>
      <c r="W180" s="24">
        <f t="shared" si="217"/>
        <v>0</v>
      </c>
      <c r="X180" s="72">
        <f t="shared" si="218"/>
        <v>0</v>
      </c>
      <c r="Y180" s="72">
        <f t="shared" si="219"/>
        <v>0</v>
      </c>
      <c r="Z180" s="24">
        <f t="shared" si="268"/>
        <v>0</v>
      </c>
      <c r="AA180" s="72">
        <f t="shared" si="220"/>
        <v>0</v>
      </c>
      <c r="AB180" s="24">
        <f t="shared" si="221"/>
        <v>0</v>
      </c>
      <c r="AC180" s="24" t="s">
        <v>5</v>
      </c>
      <c r="AD180" s="25">
        <f t="shared" si="269"/>
        <v>3</v>
      </c>
      <c r="AE180" s="25">
        <f t="shared" si="270"/>
        <v>0</v>
      </c>
      <c r="AF180" s="25">
        <f t="shared" si="271"/>
        <v>0</v>
      </c>
      <c r="AG180" s="25">
        <f t="shared" si="222"/>
        <v>1</v>
      </c>
      <c r="AH180" s="25" t="str">
        <f>IFERROR(MATCH(DY180,'2 Staff List'!$IA$64:$IA$114,0),"x")</f>
        <v>x</v>
      </c>
      <c r="AI180" s="1181">
        <f>IFERROR(INDEX('2 Staff List'!$EX$64:$EX$114,$AH180),0)</f>
        <v>0</v>
      </c>
      <c r="AJ180" s="25">
        <f>IFERROR(INDEX('2 Staff List'!$IW$64:$IW$114,$AH180),0)</f>
        <v>0</v>
      </c>
      <c r="AK180" s="25">
        <f>IFERROR(INDEX('2 Staff List'!$IB$64:$IB$114,$AH180),0)</f>
        <v>0</v>
      </c>
      <c r="AL180" s="25">
        <f>IF(OR(NOT(ISBLANK(DV180)),CX180=1),"&lt;Non-Labor&gt;",IFERROR(IF(AH180=0,0,INDEX('2 Staff List'!$HZ$64:$HZ$114,$AH180)),0))</f>
        <v>0</v>
      </c>
      <c r="AM180" s="25">
        <f>IFERROR(INDEX('2 Staff List'!$HW$64:$HW$114,$AH180),0)</f>
        <v>0</v>
      </c>
      <c r="AN180" s="25">
        <f t="shared" si="223"/>
        <v>1</v>
      </c>
      <c r="AO180" s="25">
        <f>IF($AO$127=0,0,IFERROR(INDEX('2 Staff List'!$JH$64:$JH$114,$AH180),0))</f>
        <v>0</v>
      </c>
      <c r="AP180" s="25">
        <f>IFERROR(INDEX('2 Staff List'!$HU$64:$HU$114,$AH180),0)</f>
        <v>0</v>
      </c>
      <c r="AQ180" s="25">
        <f t="shared" si="224"/>
        <v>0</v>
      </c>
      <c r="AR180" s="25">
        <f t="shared" si="225"/>
        <v>0</v>
      </c>
      <c r="AS180" s="25">
        <f t="shared" si="226"/>
        <v>0</v>
      </c>
      <c r="AT180" s="25">
        <f t="shared" si="227"/>
        <v>0</v>
      </c>
      <c r="AU180" s="25">
        <f t="shared" si="228"/>
        <v>0</v>
      </c>
      <c r="AV180" s="25">
        <f t="shared" si="229"/>
        <v>0</v>
      </c>
      <c r="AW180" s="25">
        <f t="shared" si="230"/>
        <v>0</v>
      </c>
      <c r="AX180" s="25">
        <f t="shared" si="231"/>
        <v>0</v>
      </c>
      <c r="AY180" s="25">
        <f t="shared" si="232"/>
        <v>0</v>
      </c>
      <c r="AZ180" s="25">
        <f t="shared" si="233"/>
        <v>0</v>
      </c>
      <c r="BA180" s="25">
        <f t="shared" si="234"/>
        <v>0</v>
      </c>
      <c r="BB180" s="25">
        <f t="shared" si="235"/>
        <v>0</v>
      </c>
      <c r="BC180" s="25">
        <f>IFERROR(INDEX('2 Staff List'!KS$64:KS$114,$AH180),0)</f>
        <v>0</v>
      </c>
      <c r="BD180" s="25">
        <f>IFERROR(INDEX('2 Staff List'!KT$64:KT$114,$AH180),0)</f>
        <v>0</v>
      </c>
      <c r="BE180" s="25">
        <f>IFERROR(INDEX('2 Staff List'!KU$64:KU$114,$AH180),0)</f>
        <v>0</v>
      </c>
      <c r="BF180" s="25">
        <f>IFERROR(INDEX('2 Staff List'!KV$64:KV$114,$AH180),0)</f>
        <v>0</v>
      </c>
      <c r="BG180" s="25">
        <f>IFERROR(INDEX('2 Staff List'!KW$64:KW$114,$AH180),0)</f>
        <v>0</v>
      </c>
      <c r="BH180" s="25">
        <f>IFERROR(INDEX('2 Staff List'!KX$64:KX$114,$AH180),0)</f>
        <v>0</v>
      </c>
      <c r="BI180" s="25">
        <f>IFERROR(INDEX('2 Staff List'!KY$64:KY$114,$AH180),0)</f>
        <v>0</v>
      </c>
      <c r="BJ180" s="25">
        <f>IFERROR(INDEX('2 Staff List'!KZ$64:KZ$114,$AH180),0)</f>
        <v>0</v>
      </c>
      <c r="BK180" s="25">
        <f>IFERROR(INDEX('2 Staff List'!LA$64:LA$114,$AH180),0)</f>
        <v>0</v>
      </c>
      <c r="BL180" s="25">
        <f>IFERROR(INDEX('2 Staff List'!LB$64:LB$114,$AH180),0)</f>
        <v>0</v>
      </c>
      <c r="BM180" s="25">
        <f>IFERROR(INDEX('2 Staff List'!FT$64:FT$114,$AH180),0)</f>
        <v>0</v>
      </c>
      <c r="BN180" s="25">
        <f>IFERROR(INDEX('2 Staff List'!FU$64:FU$114,$AH180),0)</f>
        <v>0</v>
      </c>
      <c r="BO180" s="25">
        <f>IFERROR(INDEX('2 Staff List'!FV$64:FV$114,$AH180),0)</f>
        <v>0</v>
      </c>
      <c r="BP180" s="25">
        <f>IFERROR(INDEX('2 Staff List'!FW$64:FW$114,$AH180),0)</f>
        <v>0</v>
      </c>
      <c r="BQ180" s="25">
        <f>IFERROR(INDEX('2 Staff List'!FX$64:FX$114,$AH180),0)</f>
        <v>0</v>
      </c>
      <c r="BR180" s="25">
        <f>IFERROR(INDEX('2 Staff List'!FY$64:FY$114,$AH180),0)</f>
        <v>0</v>
      </c>
      <c r="BS180" s="25">
        <f>IFERROR(INDEX('2 Staff List'!FZ$64:FZ$114,$AH180),0)</f>
        <v>0</v>
      </c>
      <c r="BT180" s="25">
        <f>IFERROR(INDEX('2 Staff List'!GA$64:GA$114,$AH180),0)</f>
        <v>0</v>
      </c>
      <c r="BU180" s="25">
        <f>IFERROR(INDEX('2 Staff List'!GB$64:GB$114,$AH180),0)</f>
        <v>0</v>
      </c>
      <c r="BV180" s="25">
        <f>IFERROR(INDEX('2 Staff List'!GC$64:GC$114,$AH180),0)</f>
        <v>0</v>
      </c>
      <c r="BW180" s="25">
        <f t="shared" si="236"/>
        <v>0</v>
      </c>
      <c r="BX180" s="25">
        <f t="shared" si="237"/>
        <v>0</v>
      </c>
      <c r="BY180" s="25">
        <f t="shared" si="238"/>
        <v>0</v>
      </c>
      <c r="BZ180" s="25">
        <f t="shared" si="239"/>
        <v>0</v>
      </c>
      <c r="CA180" s="25">
        <f t="shared" si="240"/>
        <v>0</v>
      </c>
      <c r="CB180" s="25">
        <f t="shared" si="241"/>
        <v>0</v>
      </c>
      <c r="CC180" s="25">
        <f t="shared" si="242"/>
        <v>0</v>
      </c>
      <c r="CD180" s="25">
        <f t="shared" si="243"/>
        <v>0</v>
      </c>
      <c r="CE180" s="25">
        <f t="shared" si="244"/>
        <v>0</v>
      </c>
      <c r="CF180" s="25">
        <f t="shared" si="245"/>
        <v>0</v>
      </c>
      <c r="CG180" s="25">
        <f t="shared" si="246"/>
        <v>0</v>
      </c>
      <c r="CH180" s="25">
        <f>IFERROR(INDEX('2 Staff List'!LO$64:LO$114,$AH180),0)</f>
        <v>0</v>
      </c>
      <c r="CI180" s="25">
        <f>IFERROR(INDEX('2 Staff List'!LP$64:LP$114,$AH180),0)</f>
        <v>0</v>
      </c>
      <c r="CJ180" s="25">
        <f>IFERROR(INDEX('2 Staff List'!LQ$64:LQ$114,$AH180),0)</f>
        <v>0</v>
      </c>
      <c r="CK180" s="25">
        <f>IFERROR(INDEX('2 Staff List'!LR$64:LR$114,$AH180),0)</f>
        <v>0</v>
      </c>
      <c r="CL180" s="25">
        <f>IFERROR(INDEX('2 Staff List'!LS$64:LS$114,$AH180),0)</f>
        <v>0</v>
      </c>
      <c r="CM180" s="25">
        <f>IFERROR(INDEX('2 Staff List'!LT$64:LT$114,$AH180),0)</f>
        <v>0</v>
      </c>
      <c r="CN180" s="25">
        <f>IFERROR(INDEX('2 Staff List'!LU$64:LU$114,$AH180),0)</f>
        <v>0</v>
      </c>
      <c r="CO180" s="25">
        <f>IFERROR(INDEX('2 Staff List'!LV$64:LV$114,$AH180),0)</f>
        <v>0</v>
      </c>
      <c r="CP180" s="25">
        <f>IFERROR(INDEX('2 Staff List'!LW$64:LW$114,$AH180),0)</f>
        <v>0</v>
      </c>
      <c r="CQ180" s="25">
        <f>IFERROR(INDEX('2 Staff List'!LX$64:LX$114,$AH180),0)</f>
        <v>0</v>
      </c>
      <c r="CR180" s="25">
        <f t="shared" si="272"/>
        <v>0</v>
      </c>
      <c r="CS180" s="25">
        <f t="shared" si="281"/>
        <v>1</v>
      </c>
      <c r="CT180" s="25">
        <f t="shared" si="248"/>
        <v>1</v>
      </c>
      <c r="CU180" s="25">
        <f t="shared" si="249"/>
        <v>1</v>
      </c>
      <c r="CV180" s="25">
        <f t="shared" si="250"/>
        <v>1</v>
      </c>
      <c r="CW180" s="25">
        <f t="shared" si="251"/>
        <v>1</v>
      </c>
      <c r="CX180" s="25">
        <f t="shared" si="252"/>
        <v>0</v>
      </c>
      <c r="CY180" s="25">
        <f t="shared" si="253"/>
        <v>0</v>
      </c>
      <c r="CZ180" s="25">
        <f t="shared" si="254"/>
        <v>0</v>
      </c>
      <c r="DA180" s="25">
        <f t="shared" si="255"/>
        <v>1</v>
      </c>
      <c r="DB180" s="25">
        <f t="shared" si="273"/>
        <v>1</v>
      </c>
      <c r="DC180" s="25">
        <f t="shared" si="256"/>
        <v>0</v>
      </c>
      <c r="DD180" s="25">
        <f>IF(OR($AD180&lt;&gt;3,F180="Exclude"),0,IF(ISERROR(MATCH($E180,'4 Sign-off'!$S$123:$X$123,0)),0,1))</f>
        <v>0</v>
      </c>
      <c r="DE180" s="25">
        <f t="shared" si="274"/>
        <v>0</v>
      </c>
      <c r="DF180" s="25">
        <f t="shared" si="257"/>
        <v>0</v>
      </c>
      <c r="DG180" s="25" t="str">
        <f t="shared" si="258"/>
        <v/>
      </c>
      <c r="DH180" s="25">
        <f t="shared" si="259"/>
        <v>0</v>
      </c>
      <c r="DI180" s="25">
        <f t="shared" si="260"/>
        <v>0</v>
      </c>
      <c r="DJ180" s="25">
        <f>IF(ISBLANK(J180),0,ISERROR(MATCH(J180,'5  Control Accounts'!$FA$29:$FA$96,0))*1)</f>
        <v>0</v>
      </c>
      <c r="DK180" s="25">
        <f t="shared" si="261"/>
        <v>0</v>
      </c>
      <c r="DL180" s="25">
        <f t="shared" si="275"/>
        <v>-1</v>
      </c>
      <c r="DM180" s="25" t="e">
        <f t="array" ref="DM180">MATCH(1,($EG180:$JD180&gt;0)*$EG$17:$JD$17,0)</f>
        <v>#N/A</v>
      </c>
      <c r="DN180" s="25" t="e">
        <f t="shared" si="276"/>
        <v>#N/A</v>
      </c>
      <c r="DO180" s="25" t="e">
        <f t="array" ref="DO180">MATCH(2,1/(EG180:JD180&gt;0))</f>
        <v>#N/A</v>
      </c>
      <c r="DP180" s="2993">
        <f t="shared" si="262"/>
        <v>0</v>
      </c>
      <c r="DQ180" s="3037">
        <f t="shared" si="263"/>
        <v>0</v>
      </c>
      <c r="DR180" s="111"/>
      <c r="DS180" s="1268">
        <f t="shared" si="266"/>
        <v>0</v>
      </c>
      <c r="DT180" s="1825"/>
      <c r="DU180" s="1826"/>
      <c r="DV180" s="1827"/>
      <c r="DW180" s="1828"/>
      <c r="DX180" s="659"/>
      <c r="DY180" s="1265"/>
      <c r="DZ180" s="1785">
        <f t="shared" si="277"/>
        <v>0</v>
      </c>
      <c r="EA180" s="1786">
        <f t="shared" si="278"/>
        <v>0</v>
      </c>
      <c r="EB180" s="1781">
        <f t="shared" si="279"/>
        <v>0</v>
      </c>
      <c r="EC180" s="1782">
        <f t="shared" si="280"/>
        <v>0</v>
      </c>
      <c r="ED180" s="1262"/>
      <c r="EE180" s="2280"/>
      <c r="EF180" s="1802"/>
      <c r="EG180" s="167"/>
      <c r="EH180" s="168"/>
      <c r="EI180" s="168"/>
      <c r="EJ180" s="168"/>
      <c r="EK180" s="168"/>
      <c r="EL180" s="168"/>
      <c r="EM180" s="168"/>
      <c r="EN180" s="168"/>
      <c r="EO180" s="168"/>
      <c r="EP180" s="168"/>
      <c r="EQ180" s="168"/>
      <c r="ER180" s="168"/>
      <c r="ES180" s="168"/>
      <c r="ET180" s="168"/>
      <c r="EU180" s="168"/>
      <c r="EV180" s="168"/>
      <c r="EW180" s="168"/>
      <c r="EX180" s="168"/>
      <c r="EY180" s="168"/>
      <c r="EZ180" s="168"/>
      <c r="FA180" s="168"/>
      <c r="FB180" s="168"/>
      <c r="FC180" s="168"/>
      <c r="FD180" s="168"/>
      <c r="FE180" s="168"/>
      <c r="FF180" s="168"/>
      <c r="FG180" s="168"/>
      <c r="FH180" s="168"/>
      <c r="FI180" s="168"/>
      <c r="FJ180" s="168"/>
      <c r="FK180" s="168"/>
      <c r="FL180" s="168"/>
      <c r="FM180" s="168"/>
      <c r="FN180" s="168"/>
      <c r="FO180" s="168"/>
      <c r="FP180" s="168"/>
      <c r="FQ180" s="168"/>
      <c r="FR180" s="168"/>
      <c r="FS180" s="168"/>
      <c r="FT180" s="168"/>
      <c r="FU180" s="168"/>
      <c r="FV180" s="168"/>
      <c r="FW180" s="168"/>
      <c r="FX180" s="168"/>
      <c r="FY180" s="168"/>
      <c r="FZ180" s="168"/>
      <c r="GA180" s="168"/>
      <c r="GB180" s="168"/>
      <c r="GC180" s="168"/>
      <c r="GD180" s="168"/>
      <c r="GE180" s="168"/>
      <c r="GF180" s="168"/>
      <c r="GG180" s="168"/>
      <c r="GH180" s="168"/>
      <c r="GI180" s="168"/>
      <c r="GJ180" s="168"/>
      <c r="GK180" s="168"/>
      <c r="GL180" s="168"/>
      <c r="GM180" s="168"/>
      <c r="GN180" s="168"/>
      <c r="GO180" s="168"/>
      <c r="GP180" s="168"/>
      <c r="GQ180" s="168"/>
      <c r="GR180" s="168"/>
      <c r="GS180" s="168"/>
      <c r="GT180" s="168"/>
      <c r="GU180" s="168"/>
      <c r="GV180" s="168"/>
      <c r="GW180" s="168"/>
      <c r="GX180" s="168"/>
      <c r="GY180" s="168"/>
      <c r="GZ180" s="168"/>
      <c r="HA180" s="168"/>
      <c r="HB180" s="168"/>
      <c r="HC180" s="168"/>
      <c r="HD180" s="168"/>
      <c r="HE180" s="168"/>
      <c r="HF180" s="168"/>
      <c r="HG180" s="168"/>
      <c r="HH180" s="168"/>
      <c r="HI180" s="168"/>
      <c r="HJ180" s="168"/>
      <c r="HK180" s="168"/>
      <c r="HL180" s="168"/>
      <c r="HM180" s="168"/>
      <c r="HN180" s="168"/>
      <c r="HO180" s="168"/>
      <c r="HP180" s="168"/>
      <c r="HQ180" s="168"/>
      <c r="HR180" s="168"/>
      <c r="HS180" s="168"/>
      <c r="HT180" s="168"/>
      <c r="HU180" s="168"/>
      <c r="HV180" s="168"/>
      <c r="HW180" s="168"/>
      <c r="HX180" s="168"/>
      <c r="HY180" s="168"/>
      <c r="HZ180" s="168"/>
      <c r="IA180" s="168"/>
      <c r="IB180" s="168"/>
      <c r="IC180" s="168"/>
      <c r="ID180" s="168"/>
      <c r="IE180" s="168"/>
      <c r="IF180" s="168"/>
      <c r="IG180" s="168"/>
      <c r="IH180" s="168"/>
      <c r="II180" s="168"/>
      <c r="IJ180" s="168"/>
      <c r="IK180" s="168"/>
      <c r="IL180" s="168"/>
      <c r="IM180" s="168"/>
      <c r="IN180" s="168"/>
      <c r="IO180" s="168"/>
      <c r="IP180" s="168"/>
      <c r="IQ180" s="168"/>
      <c r="IR180" s="168"/>
      <c r="IS180" s="168"/>
      <c r="IT180" s="168"/>
      <c r="IU180" s="168"/>
      <c r="IV180" s="168"/>
      <c r="IW180" s="168"/>
      <c r="IX180" s="168"/>
      <c r="IY180" s="168"/>
      <c r="IZ180" s="168"/>
      <c r="JA180" s="168"/>
      <c r="JB180" s="168"/>
      <c r="JC180" s="606"/>
      <c r="JD180" s="609"/>
      <c r="JE180" s="1"/>
      <c r="JF180" s="1"/>
    </row>
    <row r="181" spans="1:266" s="2" customFormat="1" ht="15" customHeight="1" x14ac:dyDescent="0.25">
      <c r="A181" s="283"/>
      <c r="B181" s="303"/>
      <c r="C181" s="301"/>
      <c r="D181" s="638"/>
      <c r="E181" s="2298"/>
      <c r="F181" s="1812"/>
      <c r="G181" s="3342"/>
      <c r="H181" s="66"/>
      <c r="I181" s="1746"/>
      <c r="J181" s="86"/>
      <c r="K181" s="105"/>
      <c r="L181" s="91"/>
      <c r="M181" s="92"/>
      <c r="N181" s="93"/>
      <c r="O181" s="94"/>
      <c r="P181" s="96"/>
      <c r="Q181" s="95"/>
      <c r="R181" s="993">
        <f t="shared" si="267"/>
        <v>0</v>
      </c>
      <c r="S181" s="23">
        <f t="shared" si="214"/>
        <v>0</v>
      </c>
      <c r="T181" s="24">
        <f t="shared" si="215"/>
        <v>0</v>
      </c>
      <c r="U181" s="24">
        <f t="shared" si="199"/>
        <v>0</v>
      </c>
      <c r="V181" s="24">
        <f t="shared" si="216"/>
        <v>0</v>
      </c>
      <c r="W181" s="24">
        <f t="shared" si="217"/>
        <v>0</v>
      </c>
      <c r="X181" s="72">
        <f t="shared" si="218"/>
        <v>0</v>
      </c>
      <c r="Y181" s="72">
        <f t="shared" si="219"/>
        <v>0</v>
      </c>
      <c r="Z181" s="24">
        <f t="shared" si="268"/>
        <v>0</v>
      </c>
      <c r="AA181" s="72">
        <f t="shared" si="220"/>
        <v>0</v>
      </c>
      <c r="AB181" s="24">
        <f t="shared" si="221"/>
        <v>0</v>
      </c>
      <c r="AC181" s="24" t="s">
        <v>5</v>
      </c>
      <c r="AD181" s="25">
        <f t="shared" si="269"/>
        <v>3</v>
      </c>
      <c r="AE181" s="25">
        <f t="shared" si="270"/>
        <v>0</v>
      </c>
      <c r="AF181" s="25">
        <f t="shared" si="271"/>
        <v>0</v>
      </c>
      <c r="AG181" s="25">
        <f t="shared" si="222"/>
        <v>1</v>
      </c>
      <c r="AH181" s="25" t="str">
        <f>IFERROR(MATCH(DY181,'2 Staff List'!$IA$64:$IA$114,0),"x")</f>
        <v>x</v>
      </c>
      <c r="AI181" s="1181">
        <f>IFERROR(INDEX('2 Staff List'!$EX$64:$EX$114,$AH181),0)</f>
        <v>0</v>
      </c>
      <c r="AJ181" s="25">
        <f>IFERROR(INDEX('2 Staff List'!$IW$64:$IW$114,$AH181),0)</f>
        <v>0</v>
      </c>
      <c r="AK181" s="25">
        <f>IFERROR(INDEX('2 Staff List'!$IB$64:$IB$114,$AH181),0)</f>
        <v>0</v>
      </c>
      <c r="AL181" s="25">
        <f>IF(OR(NOT(ISBLANK(DV181)),CX181=1),"&lt;Non-Labor&gt;",IFERROR(IF(AH181=0,0,INDEX('2 Staff List'!$HZ$64:$HZ$114,$AH181)),0))</f>
        <v>0</v>
      </c>
      <c r="AM181" s="25">
        <f>IFERROR(INDEX('2 Staff List'!$HW$64:$HW$114,$AH181),0)</f>
        <v>0</v>
      </c>
      <c r="AN181" s="25">
        <f t="shared" si="223"/>
        <v>1</v>
      </c>
      <c r="AO181" s="25">
        <f>IF($AO$127=0,0,IFERROR(INDEX('2 Staff List'!$JH$64:$JH$114,$AH181),0))</f>
        <v>0</v>
      </c>
      <c r="AP181" s="25">
        <f>IFERROR(INDEX('2 Staff List'!$HU$64:$HU$114,$AH181),0)</f>
        <v>0</v>
      </c>
      <c r="AQ181" s="25">
        <f t="shared" si="224"/>
        <v>0</v>
      </c>
      <c r="AR181" s="25">
        <f t="shared" si="225"/>
        <v>0</v>
      </c>
      <c r="AS181" s="25">
        <f t="shared" si="226"/>
        <v>0</v>
      </c>
      <c r="AT181" s="25">
        <f t="shared" si="227"/>
        <v>0</v>
      </c>
      <c r="AU181" s="25">
        <f t="shared" si="228"/>
        <v>0</v>
      </c>
      <c r="AV181" s="25">
        <f t="shared" si="229"/>
        <v>0</v>
      </c>
      <c r="AW181" s="25">
        <f t="shared" si="230"/>
        <v>0</v>
      </c>
      <c r="AX181" s="25">
        <f t="shared" si="231"/>
        <v>0</v>
      </c>
      <c r="AY181" s="25">
        <f t="shared" si="232"/>
        <v>0</v>
      </c>
      <c r="AZ181" s="25">
        <f t="shared" si="233"/>
        <v>0</v>
      </c>
      <c r="BA181" s="25">
        <f t="shared" si="234"/>
        <v>0</v>
      </c>
      <c r="BB181" s="25">
        <f t="shared" si="235"/>
        <v>0</v>
      </c>
      <c r="BC181" s="25">
        <f>IFERROR(INDEX('2 Staff List'!KS$64:KS$114,$AH181),0)</f>
        <v>0</v>
      </c>
      <c r="BD181" s="25">
        <f>IFERROR(INDEX('2 Staff List'!KT$64:KT$114,$AH181),0)</f>
        <v>0</v>
      </c>
      <c r="BE181" s="25">
        <f>IFERROR(INDEX('2 Staff List'!KU$64:KU$114,$AH181),0)</f>
        <v>0</v>
      </c>
      <c r="BF181" s="25">
        <f>IFERROR(INDEX('2 Staff List'!KV$64:KV$114,$AH181),0)</f>
        <v>0</v>
      </c>
      <c r="BG181" s="25">
        <f>IFERROR(INDEX('2 Staff List'!KW$64:KW$114,$AH181),0)</f>
        <v>0</v>
      </c>
      <c r="BH181" s="25">
        <f>IFERROR(INDEX('2 Staff List'!KX$64:KX$114,$AH181),0)</f>
        <v>0</v>
      </c>
      <c r="BI181" s="25">
        <f>IFERROR(INDEX('2 Staff List'!KY$64:KY$114,$AH181),0)</f>
        <v>0</v>
      </c>
      <c r="BJ181" s="25">
        <f>IFERROR(INDEX('2 Staff List'!KZ$64:KZ$114,$AH181),0)</f>
        <v>0</v>
      </c>
      <c r="BK181" s="25">
        <f>IFERROR(INDEX('2 Staff List'!LA$64:LA$114,$AH181),0)</f>
        <v>0</v>
      </c>
      <c r="BL181" s="25">
        <f>IFERROR(INDEX('2 Staff List'!LB$64:LB$114,$AH181),0)</f>
        <v>0</v>
      </c>
      <c r="BM181" s="25">
        <f>IFERROR(INDEX('2 Staff List'!FT$64:FT$114,$AH181),0)</f>
        <v>0</v>
      </c>
      <c r="BN181" s="25">
        <f>IFERROR(INDEX('2 Staff List'!FU$64:FU$114,$AH181),0)</f>
        <v>0</v>
      </c>
      <c r="BO181" s="25">
        <f>IFERROR(INDEX('2 Staff List'!FV$64:FV$114,$AH181),0)</f>
        <v>0</v>
      </c>
      <c r="BP181" s="25">
        <f>IFERROR(INDEX('2 Staff List'!FW$64:FW$114,$AH181),0)</f>
        <v>0</v>
      </c>
      <c r="BQ181" s="25">
        <f>IFERROR(INDEX('2 Staff List'!FX$64:FX$114,$AH181),0)</f>
        <v>0</v>
      </c>
      <c r="BR181" s="25">
        <f>IFERROR(INDEX('2 Staff List'!FY$64:FY$114,$AH181),0)</f>
        <v>0</v>
      </c>
      <c r="BS181" s="25">
        <f>IFERROR(INDEX('2 Staff List'!FZ$64:FZ$114,$AH181),0)</f>
        <v>0</v>
      </c>
      <c r="BT181" s="25">
        <f>IFERROR(INDEX('2 Staff List'!GA$64:GA$114,$AH181),0)</f>
        <v>0</v>
      </c>
      <c r="BU181" s="25">
        <f>IFERROR(INDEX('2 Staff List'!GB$64:GB$114,$AH181),0)</f>
        <v>0</v>
      </c>
      <c r="BV181" s="25">
        <f>IFERROR(INDEX('2 Staff List'!GC$64:GC$114,$AH181),0)</f>
        <v>0</v>
      </c>
      <c r="BW181" s="25">
        <f t="shared" si="236"/>
        <v>0</v>
      </c>
      <c r="BX181" s="25">
        <f t="shared" si="237"/>
        <v>0</v>
      </c>
      <c r="BY181" s="25">
        <f t="shared" si="238"/>
        <v>0</v>
      </c>
      <c r="BZ181" s="25">
        <f t="shared" si="239"/>
        <v>0</v>
      </c>
      <c r="CA181" s="25">
        <f t="shared" si="240"/>
        <v>0</v>
      </c>
      <c r="CB181" s="25">
        <f t="shared" si="241"/>
        <v>0</v>
      </c>
      <c r="CC181" s="25">
        <f t="shared" si="242"/>
        <v>0</v>
      </c>
      <c r="CD181" s="25">
        <f t="shared" si="243"/>
        <v>0</v>
      </c>
      <c r="CE181" s="25">
        <f t="shared" si="244"/>
        <v>0</v>
      </c>
      <c r="CF181" s="25">
        <f t="shared" si="245"/>
        <v>0</v>
      </c>
      <c r="CG181" s="25">
        <f t="shared" si="246"/>
        <v>0</v>
      </c>
      <c r="CH181" s="25">
        <f>IFERROR(INDEX('2 Staff List'!LO$64:LO$114,$AH181),0)</f>
        <v>0</v>
      </c>
      <c r="CI181" s="25">
        <f>IFERROR(INDEX('2 Staff List'!LP$64:LP$114,$AH181),0)</f>
        <v>0</v>
      </c>
      <c r="CJ181" s="25">
        <f>IFERROR(INDEX('2 Staff List'!LQ$64:LQ$114,$AH181),0)</f>
        <v>0</v>
      </c>
      <c r="CK181" s="25">
        <f>IFERROR(INDEX('2 Staff List'!LR$64:LR$114,$AH181),0)</f>
        <v>0</v>
      </c>
      <c r="CL181" s="25">
        <f>IFERROR(INDEX('2 Staff List'!LS$64:LS$114,$AH181),0)</f>
        <v>0</v>
      </c>
      <c r="CM181" s="25">
        <f>IFERROR(INDEX('2 Staff List'!LT$64:LT$114,$AH181),0)</f>
        <v>0</v>
      </c>
      <c r="CN181" s="25">
        <f>IFERROR(INDEX('2 Staff List'!LU$64:LU$114,$AH181),0)</f>
        <v>0</v>
      </c>
      <c r="CO181" s="25">
        <f>IFERROR(INDEX('2 Staff List'!LV$64:LV$114,$AH181),0)</f>
        <v>0</v>
      </c>
      <c r="CP181" s="25">
        <f>IFERROR(INDEX('2 Staff List'!LW$64:LW$114,$AH181),0)</f>
        <v>0</v>
      </c>
      <c r="CQ181" s="25">
        <f>IFERROR(INDEX('2 Staff List'!LX$64:LX$114,$AH181),0)</f>
        <v>0</v>
      </c>
      <c r="CR181" s="25">
        <f t="shared" si="272"/>
        <v>0</v>
      </c>
      <c r="CS181" s="25">
        <f t="shared" si="281"/>
        <v>1</v>
      </c>
      <c r="CT181" s="25">
        <f t="shared" si="248"/>
        <v>1</v>
      </c>
      <c r="CU181" s="25">
        <f t="shared" si="249"/>
        <v>1</v>
      </c>
      <c r="CV181" s="25">
        <f t="shared" si="250"/>
        <v>1</v>
      </c>
      <c r="CW181" s="25">
        <f t="shared" si="251"/>
        <v>1</v>
      </c>
      <c r="CX181" s="25">
        <f t="shared" si="252"/>
        <v>0</v>
      </c>
      <c r="CY181" s="25">
        <f t="shared" si="253"/>
        <v>0</v>
      </c>
      <c r="CZ181" s="25">
        <f t="shared" si="254"/>
        <v>0</v>
      </c>
      <c r="DA181" s="25">
        <f t="shared" si="255"/>
        <v>1</v>
      </c>
      <c r="DB181" s="25">
        <f t="shared" si="273"/>
        <v>1</v>
      </c>
      <c r="DC181" s="25">
        <f t="shared" si="256"/>
        <v>0</v>
      </c>
      <c r="DD181" s="25">
        <f>IF(OR($AD181&lt;&gt;3,F181="Exclude"),0,IF(ISERROR(MATCH($E181,'4 Sign-off'!$S$123:$X$123,0)),0,1))</f>
        <v>0</v>
      </c>
      <c r="DE181" s="25">
        <f t="shared" si="274"/>
        <v>0</v>
      </c>
      <c r="DF181" s="25">
        <f t="shared" si="257"/>
        <v>0</v>
      </c>
      <c r="DG181" s="25" t="str">
        <f t="shared" si="258"/>
        <v/>
      </c>
      <c r="DH181" s="25">
        <f t="shared" si="259"/>
        <v>0</v>
      </c>
      <c r="DI181" s="25">
        <f t="shared" si="260"/>
        <v>0</v>
      </c>
      <c r="DJ181" s="25">
        <f>IF(ISBLANK(J181),0,ISERROR(MATCH(J181,'5  Control Accounts'!$FA$29:$FA$96,0))*1)</f>
        <v>0</v>
      </c>
      <c r="DK181" s="25">
        <f t="shared" si="261"/>
        <v>0</v>
      </c>
      <c r="DL181" s="25">
        <f t="shared" si="275"/>
        <v>-1</v>
      </c>
      <c r="DM181" s="25" t="e">
        <f t="array" ref="DM181">MATCH(1,($EG181:$JD181&gt;0)*$EG$17:$JD$17,0)</f>
        <v>#N/A</v>
      </c>
      <c r="DN181" s="25" t="e">
        <f t="shared" si="276"/>
        <v>#N/A</v>
      </c>
      <c r="DO181" s="25" t="e">
        <f t="array" ref="DO181">MATCH(2,1/(EG181:JD181&gt;0))</f>
        <v>#N/A</v>
      </c>
      <c r="DP181" s="2993">
        <f t="shared" si="262"/>
        <v>0</v>
      </c>
      <c r="DQ181" s="3037">
        <f t="shared" si="263"/>
        <v>0</v>
      </c>
      <c r="DR181" s="111"/>
      <c r="DS181" s="1268">
        <f t="shared" si="266"/>
        <v>0</v>
      </c>
      <c r="DT181" s="1825"/>
      <c r="DU181" s="1826"/>
      <c r="DV181" s="1827"/>
      <c r="DW181" s="1828"/>
      <c r="DX181" s="659"/>
      <c r="DY181" s="1265"/>
      <c r="DZ181" s="1785">
        <f t="shared" si="277"/>
        <v>0</v>
      </c>
      <c r="EA181" s="1786">
        <f t="shared" si="278"/>
        <v>0</v>
      </c>
      <c r="EB181" s="1781">
        <f t="shared" si="279"/>
        <v>0</v>
      </c>
      <c r="EC181" s="1782">
        <f t="shared" si="280"/>
        <v>0</v>
      </c>
      <c r="ED181" s="1262"/>
      <c r="EE181" s="2280"/>
      <c r="EF181" s="1802"/>
      <c r="EG181" s="167"/>
      <c r="EH181" s="168"/>
      <c r="EI181" s="168"/>
      <c r="EJ181" s="168"/>
      <c r="EK181" s="168"/>
      <c r="EL181" s="168"/>
      <c r="EM181" s="168"/>
      <c r="EN181" s="168"/>
      <c r="EO181" s="168"/>
      <c r="EP181" s="168"/>
      <c r="EQ181" s="168"/>
      <c r="ER181" s="168"/>
      <c r="ES181" s="168"/>
      <c r="ET181" s="168"/>
      <c r="EU181" s="168"/>
      <c r="EV181" s="168"/>
      <c r="EW181" s="168"/>
      <c r="EX181" s="168"/>
      <c r="EY181" s="168"/>
      <c r="EZ181" s="168"/>
      <c r="FA181" s="168"/>
      <c r="FB181" s="168"/>
      <c r="FC181" s="168"/>
      <c r="FD181" s="168"/>
      <c r="FE181" s="168"/>
      <c r="FF181" s="168"/>
      <c r="FG181" s="168"/>
      <c r="FH181" s="168"/>
      <c r="FI181" s="168"/>
      <c r="FJ181" s="168"/>
      <c r="FK181" s="168"/>
      <c r="FL181" s="168"/>
      <c r="FM181" s="168"/>
      <c r="FN181" s="168"/>
      <c r="FO181" s="168"/>
      <c r="FP181" s="168"/>
      <c r="FQ181" s="168"/>
      <c r="FR181" s="168"/>
      <c r="FS181" s="168"/>
      <c r="FT181" s="168"/>
      <c r="FU181" s="168"/>
      <c r="FV181" s="168"/>
      <c r="FW181" s="168"/>
      <c r="FX181" s="168"/>
      <c r="FY181" s="168"/>
      <c r="FZ181" s="168"/>
      <c r="GA181" s="168"/>
      <c r="GB181" s="168"/>
      <c r="GC181" s="168"/>
      <c r="GD181" s="168"/>
      <c r="GE181" s="168"/>
      <c r="GF181" s="168"/>
      <c r="GG181" s="168"/>
      <c r="GH181" s="168"/>
      <c r="GI181" s="168"/>
      <c r="GJ181" s="168"/>
      <c r="GK181" s="168"/>
      <c r="GL181" s="168"/>
      <c r="GM181" s="168"/>
      <c r="GN181" s="168"/>
      <c r="GO181" s="168"/>
      <c r="GP181" s="168"/>
      <c r="GQ181" s="168"/>
      <c r="GR181" s="168"/>
      <c r="GS181" s="168"/>
      <c r="GT181" s="168"/>
      <c r="GU181" s="168"/>
      <c r="GV181" s="168"/>
      <c r="GW181" s="168"/>
      <c r="GX181" s="168"/>
      <c r="GY181" s="168"/>
      <c r="GZ181" s="168"/>
      <c r="HA181" s="168"/>
      <c r="HB181" s="168"/>
      <c r="HC181" s="168"/>
      <c r="HD181" s="168"/>
      <c r="HE181" s="168"/>
      <c r="HF181" s="168"/>
      <c r="HG181" s="168"/>
      <c r="HH181" s="168"/>
      <c r="HI181" s="168"/>
      <c r="HJ181" s="168"/>
      <c r="HK181" s="168"/>
      <c r="HL181" s="168"/>
      <c r="HM181" s="168"/>
      <c r="HN181" s="168"/>
      <c r="HO181" s="168"/>
      <c r="HP181" s="168"/>
      <c r="HQ181" s="168"/>
      <c r="HR181" s="168"/>
      <c r="HS181" s="168"/>
      <c r="HT181" s="168"/>
      <c r="HU181" s="168"/>
      <c r="HV181" s="168"/>
      <c r="HW181" s="168"/>
      <c r="HX181" s="168"/>
      <c r="HY181" s="168"/>
      <c r="HZ181" s="168"/>
      <c r="IA181" s="168"/>
      <c r="IB181" s="168"/>
      <c r="IC181" s="168"/>
      <c r="ID181" s="168"/>
      <c r="IE181" s="168"/>
      <c r="IF181" s="168"/>
      <c r="IG181" s="168"/>
      <c r="IH181" s="168"/>
      <c r="II181" s="168"/>
      <c r="IJ181" s="168"/>
      <c r="IK181" s="168"/>
      <c r="IL181" s="168"/>
      <c r="IM181" s="168"/>
      <c r="IN181" s="168"/>
      <c r="IO181" s="168"/>
      <c r="IP181" s="168"/>
      <c r="IQ181" s="168"/>
      <c r="IR181" s="168"/>
      <c r="IS181" s="168"/>
      <c r="IT181" s="168"/>
      <c r="IU181" s="168"/>
      <c r="IV181" s="168"/>
      <c r="IW181" s="168"/>
      <c r="IX181" s="168"/>
      <c r="IY181" s="168"/>
      <c r="IZ181" s="168"/>
      <c r="JA181" s="168"/>
      <c r="JB181" s="168"/>
      <c r="JC181" s="606"/>
      <c r="JD181" s="609"/>
      <c r="JE181" s="1"/>
      <c r="JF181" s="1"/>
    </row>
    <row r="182" spans="1:266" s="2" customFormat="1" ht="15" customHeight="1" x14ac:dyDescent="0.25">
      <c r="A182" s="283"/>
      <c r="B182" s="303"/>
      <c r="C182" s="301"/>
      <c r="D182" s="638"/>
      <c r="E182" s="2298"/>
      <c r="F182" s="1812"/>
      <c r="G182" s="3342"/>
      <c r="H182" s="66"/>
      <c r="I182" s="1746"/>
      <c r="J182" s="86"/>
      <c r="K182" s="105"/>
      <c r="L182" s="91"/>
      <c r="M182" s="92"/>
      <c r="N182" s="93"/>
      <c r="O182" s="94"/>
      <c r="P182" s="96"/>
      <c r="Q182" s="95"/>
      <c r="R182" s="993">
        <f t="shared" si="267"/>
        <v>0</v>
      </c>
      <c r="S182" s="23">
        <f t="shared" si="214"/>
        <v>0</v>
      </c>
      <c r="T182" s="24">
        <f t="shared" si="215"/>
        <v>0</v>
      </c>
      <c r="U182" s="24">
        <f t="shared" si="199"/>
        <v>0</v>
      </c>
      <c r="V182" s="24">
        <f t="shared" si="216"/>
        <v>0</v>
      </c>
      <c r="W182" s="24">
        <f t="shared" si="217"/>
        <v>0</v>
      </c>
      <c r="X182" s="72">
        <f t="shared" si="218"/>
        <v>0</v>
      </c>
      <c r="Y182" s="72">
        <f t="shared" si="219"/>
        <v>0</v>
      </c>
      <c r="Z182" s="24">
        <f t="shared" si="268"/>
        <v>0</v>
      </c>
      <c r="AA182" s="72">
        <f t="shared" si="220"/>
        <v>0</v>
      </c>
      <c r="AB182" s="24">
        <f t="shared" si="221"/>
        <v>0</v>
      </c>
      <c r="AC182" s="24" t="s">
        <v>5</v>
      </c>
      <c r="AD182" s="25">
        <f t="shared" si="269"/>
        <v>3</v>
      </c>
      <c r="AE182" s="25">
        <f t="shared" si="270"/>
        <v>0</v>
      </c>
      <c r="AF182" s="25">
        <f t="shared" si="271"/>
        <v>0</v>
      </c>
      <c r="AG182" s="25">
        <f t="shared" si="222"/>
        <v>1</v>
      </c>
      <c r="AH182" s="25" t="str">
        <f>IFERROR(MATCH(DY182,'2 Staff List'!$IA$64:$IA$114,0),"x")</f>
        <v>x</v>
      </c>
      <c r="AI182" s="1181">
        <f>IFERROR(INDEX('2 Staff List'!$EX$64:$EX$114,$AH182),0)</f>
        <v>0</v>
      </c>
      <c r="AJ182" s="25">
        <f>IFERROR(INDEX('2 Staff List'!$IW$64:$IW$114,$AH182),0)</f>
        <v>0</v>
      </c>
      <c r="AK182" s="25">
        <f>IFERROR(INDEX('2 Staff List'!$IB$64:$IB$114,$AH182),0)</f>
        <v>0</v>
      </c>
      <c r="AL182" s="25">
        <f>IF(OR(NOT(ISBLANK(DV182)),CX182=1),"&lt;Non-Labor&gt;",IFERROR(IF(AH182=0,0,INDEX('2 Staff List'!$HZ$64:$HZ$114,$AH182)),0))</f>
        <v>0</v>
      </c>
      <c r="AM182" s="25">
        <f>IFERROR(INDEX('2 Staff List'!$HW$64:$HW$114,$AH182),0)</f>
        <v>0</v>
      </c>
      <c r="AN182" s="25">
        <f t="shared" si="223"/>
        <v>1</v>
      </c>
      <c r="AO182" s="25">
        <f>IF($AO$127=0,0,IFERROR(INDEX('2 Staff List'!$JH$64:$JH$114,$AH182),0))</f>
        <v>0</v>
      </c>
      <c r="AP182" s="25">
        <f>IFERROR(INDEX('2 Staff List'!$HU$64:$HU$114,$AH182),0)</f>
        <v>0</v>
      </c>
      <c r="AQ182" s="25">
        <f t="shared" si="224"/>
        <v>0</v>
      </c>
      <c r="AR182" s="25">
        <f t="shared" si="225"/>
        <v>0</v>
      </c>
      <c r="AS182" s="25">
        <f t="shared" si="226"/>
        <v>0</v>
      </c>
      <c r="AT182" s="25">
        <f t="shared" si="227"/>
        <v>0</v>
      </c>
      <c r="AU182" s="25">
        <f t="shared" si="228"/>
        <v>0</v>
      </c>
      <c r="AV182" s="25">
        <f t="shared" si="229"/>
        <v>0</v>
      </c>
      <c r="AW182" s="25">
        <f t="shared" si="230"/>
        <v>0</v>
      </c>
      <c r="AX182" s="25">
        <f t="shared" si="231"/>
        <v>0</v>
      </c>
      <c r="AY182" s="25">
        <f t="shared" si="232"/>
        <v>0</v>
      </c>
      <c r="AZ182" s="25">
        <f t="shared" si="233"/>
        <v>0</v>
      </c>
      <c r="BA182" s="25">
        <f t="shared" si="234"/>
        <v>0</v>
      </c>
      <c r="BB182" s="25">
        <f t="shared" si="235"/>
        <v>0</v>
      </c>
      <c r="BC182" s="25">
        <f>IFERROR(INDEX('2 Staff List'!KS$64:KS$114,$AH182),0)</f>
        <v>0</v>
      </c>
      <c r="BD182" s="25">
        <f>IFERROR(INDEX('2 Staff List'!KT$64:KT$114,$AH182),0)</f>
        <v>0</v>
      </c>
      <c r="BE182" s="25">
        <f>IFERROR(INDEX('2 Staff List'!KU$64:KU$114,$AH182),0)</f>
        <v>0</v>
      </c>
      <c r="BF182" s="25">
        <f>IFERROR(INDEX('2 Staff List'!KV$64:KV$114,$AH182),0)</f>
        <v>0</v>
      </c>
      <c r="BG182" s="25">
        <f>IFERROR(INDEX('2 Staff List'!KW$64:KW$114,$AH182),0)</f>
        <v>0</v>
      </c>
      <c r="BH182" s="25">
        <f>IFERROR(INDEX('2 Staff List'!KX$64:KX$114,$AH182),0)</f>
        <v>0</v>
      </c>
      <c r="BI182" s="25">
        <f>IFERROR(INDEX('2 Staff List'!KY$64:KY$114,$AH182),0)</f>
        <v>0</v>
      </c>
      <c r="BJ182" s="25">
        <f>IFERROR(INDEX('2 Staff List'!KZ$64:KZ$114,$AH182),0)</f>
        <v>0</v>
      </c>
      <c r="BK182" s="25">
        <f>IFERROR(INDEX('2 Staff List'!LA$64:LA$114,$AH182),0)</f>
        <v>0</v>
      </c>
      <c r="BL182" s="25">
        <f>IFERROR(INDEX('2 Staff List'!LB$64:LB$114,$AH182),0)</f>
        <v>0</v>
      </c>
      <c r="BM182" s="25">
        <f>IFERROR(INDEX('2 Staff List'!FT$64:FT$114,$AH182),0)</f>
        <v>0</v>
      </c>
      <c r="BN182" s="25">
        <f>IFERROR(INDEX('2 Staff List'!FU$64:FU$114,$AH182),0)</f>
        <v>0</v>
      </c>
      <c r="BO182" s="25">
        <f>IFERROR(INDEX('2 Staff List'!FV$64:FV$114,$AH182),0)</f>
        <v>0</v>
      </c>
      <c r="BP182" s="25">
        <f>IFERROR(INDEX('2 Staff List'!FW$64:FW$114,$AH182),0)</f>
        <v>0</v>
      </c>
      <c r="BQ182" s="25">
        <f>IFERROR(INDEX('2 Staff List'!FX$64:FX$114,$AH182),0)</f>
        <v>0</v>
      </c>
      <c r="BR182" s="25">
        <f>IFERROR(INDEX('2 Staff List'!FY$64:FY$114,$AH182),0)</f>
        <v>0</v>
      </c>
      <c r="BS182" s="25">
        <f>IFERROR(INDEX('2 Staff List'!FZ$64:FZ$114,$AH182),0)</f>
        <v>0</v>
      </c>
      <c r="BT182" s="25">
        <f>IFERROR(INDEX('2 Staff List'!GA$64:GA$114,$AH182),0)</f>
        <v>0</v>
      </c>
      <c r="BU182" s="25">
        <f>IFERROR(INDEX('2 Staff List'!GB$64:GB$114,$AH182),0)</f>
        <v>0</v>
      </c>
      <c r="BV182" s="25">
        <f>IFERROR(INDEX('2 Staff List'!GC$64:GC$114,$AH182),0)</f>
        <v>0</v>
      </c>
      <c r="BW182" s="25">
        <f t="shared" si="236"/>
        <v>0</v>
      </c>
      <c r="BX182" s="25">
        <f t="shared" si="237"/>
        <v>0</v>
      </c>
      <c r="BY182" s="25">
        <f t="shared" si="238"/>
        <v>0</v>
      </c>
      <c r="BZ182" s="25">
        <f t="shared" si="239"/>
        <v>0</v>
      </c>
      <c r="CA182" s="25">
        <f t="shared" si="240"/>
        <v>0</v>
      </c>
      <c r="CB182" s="25">
        <f t="shared" si="241"/>
        <v>0</v>
      </c>
      <c r="CC182" s="25">
        <f t="shared" si="242"/>
        <v>0</v>
      </c>
      <c r="CD182" s="25">
        <f t="shared" si="243"/>
        <v>0</v>
      </c>
      <c r="CE182" s="25">
        <f t="shared" si="244"/>
        <v>0</v>
      </c>
      <c r="CF182" s="25">
        <f t="shared" si="245"/>
        <v>0</v>
      </c>
      <c r="CG182" s="25">
        <f t="shared" si="246"/>
        <v>0</v>
      </c>
      <c r="CH182" s="25">
        <f>IFERROR(INDEX('2 Staff List'!LO$64:LO$114,$AH182),0)</f>
        <v>0</v>
      </c>
      <c r="CI182" s="25">
        <f>IFERROR(INDEX('2 Staff List'!LP$64:LP$114,$AH182),0)</f>
        <v>0</v>
      </c>
      <c r="CJ182" s="25">
        <f>IFERROR(INDEX('2 Staff List'!LQ$64:LQ$114,$AH182),0)</f>
        <v>0</v>
      </c>
      <c r="CK182" s="25">
        <f>IFERROR(INDEX('2 Staff List'!LR$64:LR$114,$AH182),0)</f>
        <v>0</v>
      </c>
      <c r="CL182" s="25">
        <f>IFERROR(INDEX('2 Staff List'!LS$64:LS$114,$AH182),0)</f>
        <v>0</v>
      </c>
      <c r="CM182" s="25">
        <f>IFERROR(INDEX('2 Staff List'!LT$64:LT$114,$AH182),0)</f>
        <v>0</v>
      </c>
      <c r="CN182" s="25">
        <f>IFERROR(INDEX('2 Staff List'!LU$64:LU$114,$AH182),0)</f>
        <v>0</v>
      </c>
      <c r="CO182" s="25">
        <f>IFERROR(INDEX('2 Staff List'!LV$64:LV$114,$AH182),0)</f>
        <v>0</v>
      </c>
      <c r="CP182" s="25">
        <f>IFERROR(INDEX('2 Staff List'!LW$64:LW$114,$AH182),0)</f>
        <v>0</v>
      </c>
      <c r="CQ182" s="25">
        <f>IFERROR(INDEX('2 Staff List'!LX$64:LX$114,$AH182),0)</f>
        <v>0</v>
      </c>
      <c r="CR182" s="25">
        <f t="shared" si="272"/>
        <v>0</v>
      </c>
      <c r="CS182" s="25">
        <f t="shared" si="281"/>
        <v>1</v>
      </c>
      <c r="CT182" s="25">
        <f t="shared" si="248"/>
        <v>1</v>
      </c>
      <c r="CU182" s="25">
        <f t="shared" si="249"/>
        <v>1</v>
      </c>
      <c r="CV182" s="25">
        <f t="shared" si="250"/>
        <v>1</v>
      </c>
      <c r="CW182" s="25">
        <f t="shared" si="251"/>
        <v>1</v>
      </c>
      <c r="CX182" s="25">
        <f t="shared" si="252"/>
        <v>0</v>
      </c>
      <c r="CY182" s="25">
        <f t="shared" si="253"/>
        <v>0</v>
      </c>
      <c r="CZ182" s="25">
        <f t="shared" si="254"/>
        <v>0</v>
      </c>
      <c r="DA182" s="25">
        <f t="shared" si="255"/>
        <v>1</v>
      </c>
      <c r="DB182" s="25">
        <f t="shared" si="273"/>
        <v>1</v>
      </c>
      <c r="DC182" s="25">
        <f t="shared" si="256"/>
        <v>0</v>
      </c>
      <c r="DD182" s="25">
        <f>IF(OR($AD182&lt;&gt;3,F182="Exclude"),0,IF(ISERROR(MATCH($E182,'4 Sign-off'!$S$123:$X$123,0)),0,1))</f>
        <v>0</v>
      </c>
      <c r="DE182" s="25">
        <f t="shared" si="274"/>
        <v>0</v>
      </c>
      <c r="DF182" s="25">
        <f t="shared" si="257"/>
        <v>0</v>
      </c>
      <c r="DG182" s="25" t="str">
        <f t="shared" si="258"/>
        <v/>
      </c>
      <c r="DH182" s="25">
        <f t="shared" si="259"/>
        <v>0</v>
      </c>
      <c r="DI182" s="25">
        <f t="shared" si="260"/>
        <v>0</v>
      </c>
      <c r="DJ182" s="25">
        <f>IF(ISBLANK(J182),0,ISERROR(MATCH(J182,'5  Control Accounts'!$FA$29:$FA$96,0))*1)</f>
        <v>0</v>
      </c>
      <c r="DK182" s="25">
        <f t="shared" si="261"/>
        <v>0</v>
      </c>
      <c r="DL182" s="25">
        <f t="shared" si="275"/>
        <v>-1</v>
      </c>
      <c r="DM182" s="25" t="e">
        <f t="array" ref="DM182">MATCH(1,($EG182:$JD182&gt;0)*$EG$17:$JD$17,0)</f>
        <v>#N/A</v>
      </c>
      <c r="DN182" s="25" t="e">
        <f t="shared" si="276"/>
        <v>#N/A</v>
      </c>
      <c r="DO182" s="25" t="e">
        <f t="array" ref="DO182">MATCH(2,1/(EG182:JD182&gt;0))</f>
        <v>#N/A</v>
      </c>
      <c r="DP182" s="2993">
        <f t="shared" si="262"/>
        <v>0</v>
      </c>
      <c r="DQ182" s="3037">
        <f t="shared" si="263"/>
        <v>0</v>
      </c>
      <c r="DR182" s="111"/>
      <c r="DS182" s="1268">
        <f t="shared" si="266"/>
        <v>0</v>
      </c>
      <c r="DT182" s="1825"/>
      <c r="DU182" s="1826"/>
      <c r="DV182" s="1827"/>
      <c r="DW182" s="1828"/>
      <c r="DX182" s="659"/>
      <c r="DY182" s="1265"/>
      <c r="DZ182" s="1785">
        <f t="shared" si="277"/>
        <v>0</v>
      </c>
      <c r="EA182" s="1786">
        <f t="shared" si="278"/>
        <v>0</v>
      </c>
      <c r="EB182" s="1781">
        <f t="shared" si="279"/>
        <v>0</v>
      </c>
      <c r="EC182" s="1782">
        <f t="shared" si="280"/>
        <v>0</v>
      </c>
      <c r="ED182" s="1262"/>
      <c r="EE182" s="2280"/>
      <c r="EF182" s="1802"/>
      <c r="EG182" s="167"/>
      <c r="EH182" s="168"/>
      <c r="EI182" s="168"/>
      <c r="EJ182" s="168"/>
      <c r="EK182" s="168"/>
      <c r="EL182" s="168"/>
      <c r="EM182" s="168"/>
      <c r="EN182" s="168"/>
      <c r="EO182" s="168"/>
      <c r="EP182" s="168"/>
      <c r="EQ182" s="168"/>
      <c r="ER182" s="168"/>
      <c r="ES182" s="168"/>
      <c r="ET182" s="168"/>
      <c r="EU182" s="168"/>
      <c r="EV182" s="168"/>
      <c r="EW182" s="168"/>
      <c r="EX182" s="168"/>
      <c r="EY182" s="168"/>
      <c r="EZ182" s="168"/>
      <c r="FA182" s="168"/>
      <c r="FB182" s="168"/>
      <c r="FC182" s="168"/>
      <c r="FD182" s="168"/>
      <c r="FE182" s="168"/>
      <c r="FF182" s="168"/>
      <c r="FG182" s="168"/>
      <c r="FH182" s="168"/>
      <c r="FI182" s="168"/>
      <c r="FJ182" s="168"/>
      <c r="FK182" s="168"/>
      <c r="FL182" s="168"/>
      <c r="FM182" s="168"/>
      <c r="FN182" s="168"/>
      <c r="FO182" s="168"/>
      <c r="FP182" s="168"/>
      <c r="FQ182" s="168"/>
      <c r="FR182" s="168"/>
      <c r="FS182" s="168"/>
      <c r="FT182" s="168"/>
      <c r="FU182" s="168"/>
      <c r="FV182" s="168"/>
      <c r="FW182" s="168"/>
      <c r="FX182" s="168"/>
      <c r="FY182" s="168"/>
      <c r="FZ182" s="168"/>
      <c r="GA182" s="168"/>
      <c r="GB182" s="168"/>
      <c r="GC182" s="168"/>
      <c r="GD182" s="168"/>
      <c r="GE182" s="168"/>
      <c r="GF182" s="168"/>
      <c r="GG182" s="168"/>
      <c r="GH182" s="168"/>
      <c r="GI182" s="168"/>
      <c r="GJ182" s="168"/>
      <c r="GK182" s="168"/>
      <c r="GL182" s="168"/>
      <c r="GM182" s="168"/>
      <c r="GN182" s="168"/>
      <c r="GO182" s="168"/>
      <c r="GP182" s="168"/>
      <c r="GQ182" s="168"/>
      <c r="GR182" s="168"/>
      <c r="GS182" s="168"/>
      <c r="GT182" s="168"/>
      <c r="GU182" s="168"/>
      <c r="GV182" s="168"/>
      <c r="GW182" s="168"/>
      <c r="GX182" s="168"/>
      <c r="GY182" s="168"/>
      <c r="GZ182" s="168"/>
      <c r="HA182" s="168"/>
      <c r="HB182" s="168"/>
      <c r="HC182" s="168"/>
      <c r="HD182" s="168"/>
      <c r="HE182" s="168"/>
      <c r="HF182" s="168"/>
      <c r="HG182" s="168"/>
      <c r="HH182" s="168"/>
      <c r="HI182" s="168"/>
      <c r="HJ182" s="168"/>
      <c r="HK182" s="168"/>
      <c r="HL182" s="168"/>
      <c r="HM182" s="168"/>
      <c r="HN182" s="168"/>
      <c r="HO182" s="168"/>
      <c r="HP182" s="168"/>
      <c r="HQ182" s="168"/>
      <c r="HR182" s="168"/>
      <c r="HS182" s="168"/>
      <c r="HT182" s="168"/>
      <c r="HU182" s="168"/>
      <c r="HV182" s="168"/>
      <c r="HW182" s="168"/>
      <c r="HX182" s="168"/>
      <c r="HY182" s="168"/>
      <c r="HZ182" s="168"/>
      <c r="IA182" s="168"/>
      <c r="IB182" s="168"/>
      <c r="IC182" s="168"/>
      <c r="ID182" s="168"/>
      <c r="IE182" s="168"/>
      <c r="IF182" s="168"/>
      <c r="IG182" s="168"/>
      <c r="IH182" s="168"/>
      <c r="II182" s="168"/>
      <c r="IJ182" s="168"/>
      <c r="IK182" s="168"/>
      <c r="IL182" s="168"/>
      <c r="IM182" s="168"/>
      <c r="IN182" s="168"/>
      <c r="IO182" s="168"/>
      <c r="IP182" s="168"/>
      <c r="IQ182" s="168"/>
      <c r="IR182" s="168"/>
      <c r="IS182" s="168"/>
      <c r="IT182" s="168"/>
      <c r="IU182" s="168"/>
      <c r="IV182" s="168"/>
      <c r="IW182" s="168"/>
      <c r="IX182" s="168"/>
      <c r="IY182" s="168"/>
      <c r="IZ182" s="168"/>
      <c r="JA182" s="168"/>
      <c r="JB182" s="168"/>
      <c r="JC182" s="606"/>
      <c r="JD182" s="609"/>
      <c r="JE182" s="1"/>
      <c r="JF182" s="1"/>
    </row>
    <row r="183" spans="1:266" s="2" customFormat="1" ht="15" customHeight="1" x14ac:dyDescent="0.25">
      <c r="A183" s="283"/>
      <c r="B183" s="303"/>
      <c r="C183" s="301"/>
      <c r="D183" s="638"/>
      <c r="E183" s="2298"/>
      <c r="F183" s="1812"/>
      <c r="G183" s="3342"/>
      <c r="H183" s="66"/>
      <c r="I183" s="1746"/>
      <c r="J183" s="86"/>
      <c r="K183" s="105"/>
      <c r="L183" s="91"/>
      <c r="M183" s="92"/>
      <c r="N183" s="93"/>
      <c r="O183" s="94"/>
      <c r="P183" s="96"/>
      <c r="Q183" s="95"/>
      <c r="R183" s="993">
        <f t="shared" si="267"/>
        <v>0</v>
      </c>
      <c r="S183" s="23">
        <f t="shared" si="214"/>
        <v>0</v>
      </c>
      <c r="T183" s="24">
        <f t="shared" si="215"/>
        <v>0</v>
      </c>
      <c r="U183" s="24">
        <f t="shared" si="199"/>
        <v>0</v>
      </c>
      <c r="V183" s="24">
        <f t="shared" si="216"/>
        <v>0</v>
      </c>
      <c r="W183" s="24">
        <f t="shared" si="217"/>
        <v>0</v>
      </c>
      <c r="X183" s="72">
        <f t="shared" si="218"/>
        <v>0</v>
      </c>
      <c r="Y183" s="72">
        <f t="shared" si="219"/>
        <v>0</v>
      </c>
      <c r="Z183" s="24">
        <f t="shared" si="268"/>
        <v>0</v>
      </c>
      <c r="AA183" s="72">
        <f t="shared" si="220"/>
        <v>0</v>
      </c>
      <c r="AB183" s="24">
        <f t="shared" si="221"/>
        <v>0</v>
      </c>
      <c r="AC183" s="24" t="s">
        <v>5</v>
      </c>
      <c r="AD183" s="25">
        <f t="shared" si="269"/>
        <v>3</v>
      </c>
      <c r="AE183" s="25">
        <f t="shared" si="270"/>
        <v>0</v>
      </c>
      <c r="AF183" s="25">
        <f t="shared" si="271"/>
        <v>0</v>
      </c>
      <c r="AG183" s="25">
        <f t="shared" si="222"/>
        <v>1</v>
      </c>
      <c r="AH183" s="25" t="str">
        <f>IFERROR(MATCH(DY183,'2 Staff List'!$IA$64:$IA$114,0),"x")</f>
        <v>x</v>
      </c>
      <c r="AI183" s="1181">
        <f>IFERROR(INDEX('2 Staff List'!$EX$64:$EX$114,$AH183),0)</f>
        <v>0</v>
      </c>
      <c r="AJ183" s="25">
        <f>IFERROR(INDEX('2 Staff List'!$IW$64:$IW$114,$AH183),0)</f>
        <v>0</v>
      </c>
      <c r="AK183" s="25">
        <f>IFERROR(INDEX('2 Staff List'!$IB$64:$IB$114,$AH183),0)</f>
        <v>0</v>
      </c>
      <c r="AL183" s="25">
        <f>IF(OR(NOT(ISBLANK(DV183)),CX183=1),"&lt;Non-Labor&gt;",IFERROR(IF(AH183=0,0,INDEX('2 Staff List'!$HZ$64:$HZ$114,$AH183)),0))</f>
        <v>0</v>
      </c>
      <c r="AM183" s="25">
        <f>IFERROR(INDEX('2 Staff List'!$HW$64:$HW$114,$AH183),0)</f>
        <v>0</v>
      </c>
      <c r="AN183" s="25">
        <f t="shared" si="223"/>
        <v>1</v>
      </c>
      <c r="AO183" s="25">
        <f>IF($AO$127=0,0,IFERROR(INDEX('2 Staff List'!$JH$64:$JH$114,$AH183),0))</f>
        <v>0</v>
      </c>
      <c r="AP183" s="25">
        <f>IFERROR(INDEX('2 Staff List'!$HU$64:$HU$114,$AH183),0)</f>
        <v>0</v>
      </c>
      <c r="AQ183" s="25">
        <f t="shared" si="224"/>
        <v>0</v>
      </c>
      <c r="AR183" s="25">
        <f t="shared" si="225"/>
        <v>0</v>
      </c>
      <c r="AS183" s="25">
        <f t="shared" si="226"/>
        <v>0</v>
      </c>
      <c r="AT183" s="25">
        <f t="shared" si="227"/>
        <v>0</v>
      </c>
      <c r="AU183" s="25">
        <f t="shared" si="228"/>
        <v>0</v>
      </c>
      <c r="AV183" s="25">
        <f t="shared" si="229"/>
        <v>0</v>
      </c>
      <c r="AW183" s="25">
        <f t="shared" si="230"/>
        <v>0</v>
      </c>
      <c r="AX183" s="25">
        <f t="shared" si="231"/>
        <v>0</v>
      </c>
      <c r="AY183" s="25">
        <f t="shared" si="232"/>
        <v>0</v>
      </c>
      <c r="AZ183" s="25">
        <f t="shared" si="233"/>
        <v>0</v>
      </c>
      <c r="BA183" s="25">
        <f t="shared" si="234"/>
        <v>0</v>
      </c>
      <c r="BB183" s="25">
        <f t="shared" si="235"/>
        <v>0</v>
      </c>
      <c r="BC183" s="25">
        <f>IFERROR(INDEX('2 Staff List'!KS$64:KS$114,$AH183),0)</f>
        <v>0</v>
      </c>
      <c r="BD183" s="25">
        <f>IFERROR(INDEX('2 Staff List'!KT$64:KT$114,$AH183),0)</f>
        <v>0</v>
      </c>
      <c r="BE183" s="25">
        <f>IFERROR(INDEX('2 Staff List'!KU$64:KU$114,$AH183),0)</f>
        <v>0</v>
      </c>
      <c r="BF183" s="25">
        <f>IFERROR(INDEX('2 Staff List'!KV$64:KV$114,$AH183),0)</f>
        <v>0</v>
      </c>
      <c r="BG183" s="25">
        <f>IFERROR(INDEX('2 Staff List'!KW$64:KW$114,$AH183),0)</f>
        <v>0</v>
      </c>
      <c r="BH183" s="25">
        <f>IFERROR(INDEX('2 Staff List'!KX$64:KX$114,$AH183),0)</f>
        <v>0</v>
      </c>
      <c r="BI183" s="25">
        <f>IFERROR(INDEX('2 Staff List'!KY$64:KY$114,$AH183),0)</f>
        <v>0</v>
      </c>
      <c r="BJ183" s="25">
        <f>IFERROR(INDEX('2 Staff List'!KZ$64:KZ$114,$AH183),0)</f>
        <v>0</v>
      </c>
      <c r="BK183" s="25">
        <f>IFERROR(INDEX('2 Staff List'!LA$64:LA$114,$AH183),0)</f>
        <v>0</v>
      </c>
      <c r="BL183" s="25">
        <f>IFERROR(INDEX('2 Staff List'!LB$64:LB$114,$AH183),0)</f>
        <v>0</v>
      </c>
      <c r="BM183" s="25">
        <f>IFERROR(INDEX('2 Staff List'!FT$64:FT$114,$AH183),0)</f>
        <v>0</v>
      </c>
      <c r="BN183" s="25">
        <f>IFERROR(INDEX('2 Staff List'!FU$64:FU$114,$AH183),0)</f>
        <v>0</v>
      </c>
      <c r="BO183" s="25">
        <f>IFERROR(INDEX('2 Staff List'!FV$64:FV$114,$AH183),0)</f>
        <v>0</v>
      </c>
      <c r="BP183" s="25">
        <f>IFERROR(INDEX('2 Staff List'!FW$64:FW$114,$AH183),0)</f>
        <v>0</v>
      </c>
      <c r="BQ183" s="25">
        <f>IFERROR(INDEX('2 Staff List'!FX$64:FX$114,$AH183),0)</f>
        <v>0</v>
      </c>
      <c r="BR183" s="25">
        <f>IFERROR(INDEX('2 Staff List'!FY$64:FY$114,$AH183),0)</f>
        <v>0</v>
      </c>
      <c r="BS183" s="25">
        <f>IFERROR(INDEX('2 Staff List'!FZ$64:FZ$114,$AH183),0)</f>
        <v>0</v>
      </c>
      <c r="BT183" s="25">
        <f>IFERROR(INDEX('2 Staff List'!GA$64:GA$114,$AH183),0)</f>
        <v>0</v>
      </c>
      <c r="BU183" s="25">
        <f>IFERROR(INDEX('2 Staff List'!GB$64:GB$114,$AH183),0)</f>
        <v>0</v>
      </c>
      <c r="BV183" s="25">
        <f>IFERROR(INDEX('2 Staff List'!GC$64:GC$114,$AH183),0)</f>
        <v>0</v>
      </c>
      <c r="BW183" s="25">
        <f t="shared" si="236"/>
        <v>0</v>
      </c>
      <c r="BX183" s="25">
        <f t="shared" si="237"/>
        <v>0</v>
      </c>
      <c r="BY183" s="25">
        <f t="shared" si="238"/>
        <v>0</v>
      </c>
      <c r="BZ183" s="25">
        <f t="shared" si="239"/>
        <v>0</v>
      </c>
      <c r="CA183" s="25">
        <f t="shared" si="240"/>
        <v>0</v>
      </c>
      <c r="CB183" s="25">
        <f t="shared" si="241"/>
        <v>0</v>
      </c>
      <c r="CC183" s="25">
        <f t="shared" si="242"/>
        <v>0</v>
      </c>
      <c r="CD183" s="25">
        <f t="shared" si="243"/>
        <v>0</v>
      </c>
      <c r="CE183" s="25">
        <f t="shared" si="244"/>
        <v>0</v>
      </c>
      <c r="CF183" s="25">
        <f t="shared" si="245"/>
        <v>0</v>
      </c>
      <c r="CG183" s="25">
        <f t="shared" si="246"/>
        <v>0</v>
      </c>
      <c r="CH183" s="25">
        <f>IFERROR(INDEX('2 Staff List'!LO$64:LO$114,$AH183),0)</f>
        <v>0</v>
      </c>
      <c r="CI183" s="25">
        <f>IFERROR(INDEX('2 Staff List'!LP$64:LP$114,$AH183),0)</f>
        <v>0</v>
      </c>
      <c r="CJ183" s="25">
        <f>IFERROR(INDEX('2 Staff List'!LQ$64:LQ$114,$AH183),0)</f>
        <v>0</v>
      </c>
      <c r="CK183" s="25">
        <f>IFERROR(INDEX('2 Staff List'!LR$64:LR$114,$AH183),0)</f>
        <v>0</v>
      </c>
      <c r="CL183" s="25">
        <f>IFERROR(INDEX('2 Staff List'!LS$64:LS$114,$AH183),0)</f>
        <v>0</v>
      </c>
      <c r="CM183" s="25">
        <f>IFERROR(INDEX('2 Staff List'!LT$64:LT$114,$AH183),0)</f>
        <v>0</v>
      </c>
      <c r="CN183" s="25">
        <f>IFERROR(INDEX('2 Staff List'!LU$64:LU$114,$AH183),0)</f>
        <v>0</v>
      </c>
      <c r="CO183" s="25">
        <f>IFERROR(INDEX('2 Staff List'!LV$64:LV$114,$AH183),0)</f>
        <v>0</v>
      </c>
      <c r="CP183" s="25">
        <f>IFERROR(INDEX('2 Staff List'!LW$64:LW$114,$AH183),0)</f>
        <v>0</v>
      </c>
      <c r="CQ183" s="25">
        <f>IFERROR(INDEX('2 Staff List'!LX$64:LX$114,$AH183),0)</f>
        <v>0</v>
      </c>
      <c r="CR183" s="25">
        <f t="shared" si="272"/>
        <v>0</v>
      </c>
      <c r="CS183" s="25">
        <f t="shared" si="281"/>
        <v>1</v>
      </c>
      <c r="CT183" s="25">
        <f t="shared" si="248"/>
        <v>1</v>
      </c>
      <c r="CU183" s="25">
        <f t="shared" si="249"/>
        <v>1</v>
      </c>
      <c r="CV183" s="25">
        <f t="shared" si="250"/>
        <v>1</v>
      </c>
      <c r="CW183" s="25">
        <f t="shared" si="251"/>
        <v>1</v>
      </c>
      <c r="CX183" s="25">
        <f t="shared" si="252"/>
        <v>0</v>
      </c>
      <c r="CY183" s="25">
        <f t="shared" si="253"/>
        <v>0</v>
      </c>
      <c r="CZ183" s="25">
        <f t="shared" si="254"/>
        <v>0</v>
      </c>
      <c r="DA183" s="25">
        <f t="shared" si="255"/>
        <v>1</v>
      </c>
      <c r="DB183" s="25">
        <f t="shared" si="273"/>
        <v>1</v>
      </c>
      <c r="DC183" s="25">
        <f t="shared" si="256"/>
        <v>0</v>
      </c>
      <c r="DD183" s="25">
        <f>IF(OR($AD183&lt;&gt;3,F183="Exclude"),0,IF(ISERROR(MATCH($E183,'4 Sign-off'!$S$123:$X$123,0)),0,1))</f>
        <v>0</v>
      </c>
      <c r="DE183" s="25">
        <f t="shared" si="274"/>
        <v>0</v>
      </c>
      <c r="DF183" s="25">
        <f t="shared" si="257"/>
        <v>0</v>
      </c>
      <c r="DG183" s="25" t="str">
        <f t="shared" si="258"/>
        <v/>
      </c>
      <c r="DH183" s="25">
        <f t="shared" si="259"/>
        <v>0</v>
      </c>
      <c r="DI183" s="25">
        <f t="shared" si="260"/>
        <v>0</v>
      </c>
      <c r="DJ183" s="25">
        <f>IF(ISBLANK(J183),0,ISERROR(MATCH(J183,'5  Control Accounts'!$FA$29:$FA$96,0))*1)</f>
        <v>0</v>
      </c>
      <c r="DK183" s="25">
        <f t="shared" si="261"/>
        <v>0</v>
      </c>
      <c r="DL183" s="25">
        <f t="shared" si="275"/>
        <v>-1</v>
      </c>
      <c r="DM183" s="25" t="e">
        <f t="array" ref="DM183">MATCH(1,($EG183:$JD183&gt;0)*$EG$17:$JD$17,0)</f>
        <v>#N/A</v>
      </c>
      <c r="DN183" s="25" t="e">
        <f t="shared" si="276"/>
        <v>#N/A</v>
      </c>
      <c r="DO183" s="25" t="e">
        <f t="array" ref="DO183">MATCH(2,1/(EG183:JD183&gt;0))</f>
        <v>#N/A</v>
      </c>
      <c r="DP183" s="2993">
        <f t="shared" si="262"/>
        <v>0</v>
      </c>
      <c r="DQ183" s="3037">
        <f t="shared" si="263"/>
        <v>0</v>
      </c>
      <c r="DR183" s="111"/>
      <c r="DS183" s="1268">
        <f t="shared" si="266"/>
        <v>0</v>
      </c>
      <c r="DT183" s="1825"/>
      <c r="DU183" s="1826"/>
      <c r="DV183" s="1827"/>
      <c r="DW183" s="1828"/>
      <c r="DX183" s="659"/>
      <c r="DY183" s="1265"/>
      <c r="DZ183" s="1785">
        <f t="shared" si="277"/>
        <v>0</v>
      </c>
      <c r="EA183" s="1786">
        <f t="shared" si="278"/>
        <v>0</v>
      </c>
      <c r="EB183" s="1781">
        <f t="shared" si="279"/>
        <v>0</v>
      </c>
      <c r="EC183" s="1782">
        <f t="shared" si="280"/>
        <v>0</v>
      </c>
      <c r="ED183" s="1262"/>
      <c r="EE183" s="2280"/>
      <c r="EF183" s="1802"/>
      <c r="EG183" s="167"/>
      <c r="EH183" s="168"/>
      <c r="EI183" s="168"/>
      <c r="EJ183" s="168"/>
      <c r="EK183" s="168"/>
      <c r="EL183" s="168"/>
      <c r="EM183" s="168"/>
      <c r="EN183" s="168"/>
      <c r="EO183" s="168"/>
      <c r="EP183" s="168"/>
      <c r="EQ183" s="168"/>
      <c r="ER183" s="168"/>
      <c r="ES183" s="168"/>
      <c r="ET183" s="168"/>
      <c r="EU183" s="168"/>
      <c r="EV183" s="168"/>
      <c r="EW183" s="168"/>
      <c r="EX183" s="168"/>
      <c r="EY183" s="168"/>
      <c r="EZ183" s="168"/>
      <c r="FA183" s="168"/>
      <c r="FB183" s="168"/>
      <c r="FC183" s="168"/>
      <c r="FD183" s="168"/>
      <c r="FE183" s="168"/>
      <c r="FF183" s="168"/>
      <c r="FG183" s="168"/>
      <c r="FH183" s="168"/>
      <c r="FI183" s="168"/>
      <c r="FJ183" s="168"/>
      <c r="FK183" s="168"/>
      <c r="FL183" s="168"/>
      <c r="FM183" s="168"/>
      <c r="FN183" s="168"/>
      <c r="FO183" s="168"/>
      <c r="FP183" s="168"/>
      <c r="FQ183" s="168"/>
      <c r="FR183" s="168"/>
      <c r="FS183" s="168"/>
      <c r="FT183" s="168"/>
      <c r="FU183" s="168"/>
      <c r="FV183" s="168"/>
      <c r="FW183" s="168"/>
      <c r="FX183" s="168"/>
      <c r="FY183" s="168"/>
      <c r="FZ183" s="168"/>
      <c r="GA183" s="168"/>
      <c r="GB183" s="168"/>
      <c r="GC183" s="168"/>
      <c r="GD183" s="168"/>
      <c r="GE183" s="168"/>
      <c r="GF183" s="168"/>
      <c r="GG183" s="168"/>
      <c r="GH183" s="168"/>
      <c r="GI183" s="168"/>
      <c r="GJ183" s="168"/>
      <c r="GK183" s="168"/>
      <c r="GL183" s="168"/>
      <c r="GM183" s="168"/>
      <c r="GN183" s="168"/>
      <c r="GO183" s="168"/>
      <c r="GP183" s="168"/>
      <c r="GQ183" s="168"/>
      <c r="GR183" s="168"/>
      <c r="GS183" s="168"/>
      <c r="GT183" s="168"/>
      <c r="GU183" s="168"/>
      <c r="GV183" s="168"/>
      <c r="GW183" s="168"/>
      <c r="GX183" s="168"/>
      <c r="GY183" s="168"/>
      <c r="GZ183" s="168"/>
      <c r="HA183" s="168"/>
      <c r="HB183" s="168"/>
      <c r="HC183" s="168"/>
      <c r="HD183" s="168"/>
      <c r="HE183" s="168"/>
      <c r="HF183" s="168"/>
      <c r="HG183" s="168"/>
      <c r="HH183" s="168"/>
      <c r="HI183" s="168"/>
      <c r="HJ183" s="168"/>
      <c r="HK183" s="168"/>
      <c r="HL183" s="168"/>
      <c r="HM183" s="168"/>
      <c r="HN183" s="168"/>
      <c r="HO183" s="168"/>
      <c r="HP183" s="168"/>
      <c r="HQ183" s="168"/>
      <c r="HR183" s="168"/>
      <c r="HS183" s="168"/>
      <c r="HT183" s="168"/>
      <c r="HU183" s="168"/>
      <c r="HV183" s="168"/>
      <c r="HW183" s="168"/>
      <c r="HX183" s="168"/>
      <c r="HY183" s="168"/>
      <c r="HZ183" s="168"/>
      <c r="IA183" s="168"/>
      <c r="IB183" s="168"/>
      <c r="IC183" s="168"/>
      <c r="ID183" s="168"/>
      <c r="IE183" s="168"/>
      <c r="IF183" s="168"/>
      <c r="IG183" s="168"/>
      <c r="IH183" s="168"/>
      <c r="II183" s="168"/>
      <c r="IJ183" s="168"/>
      <c r="IK183" s="168"/>
      <c r="IL183" s="168"/>
      <c r="IM183" s="168"/>
      <c r="IN183" s="168"/>
      <c r="IO183" s="168"/>
      <c r="IP183" s="168"/>
      <c r="IQ183" s="168"/>
      <c r="IR183" s="168"/>
      <c r="IS183" s="168"/>
      <c r="IT183" s="168"/>
      <c r="IU183" s="168"/>
      <c r="IV183" s="168"/>
      <c r="IW183" s="168"/>
      <c r="IX183" s="168"/>
      <c r="IY183" s="168"/>
      <c r="IZ183" s="168"/>
      <c r="JA183" s="168"/>
      <c r="JB183" s="168"/>
      <c r="JC183" s="606"/>
      <c r="JD183" s="609"/>
      <c r="JE183" s="1"/>
      <c r="JF183" s="1"/>
    </row>
    <row r="184" spans="1:266" s="2" customFormat="1" ht="15" customHeight="1" x14ac:dyDescent="0.25">
      <c r="A184" s="283"/>
      <c r="B184" s="303"/>
      <c r="C184" s="301"/>
      <c r="D184" s="638"/>
      <c r="E184" s="2298"/>
      <c r="F184" s="1812"/>
      <c r="G184" s="3342"/>
      <c r="H184" s="66"/>
      <c r="I184" s="1746"/>
      <c r="J184" s="86"/>
      <c r="K184" s="105"/>
      <c r="L184" s="91"/>
      <c r="M184" s="92"/>
      <c r="N184" s="93"/>
      <c r="O184" s="94"/>
      <c r="P184" s="96"/>
      <c r="Q184" s="95"/>
      <c r="R184" s="993">
        <f t="shared" si="267"/>
        <v>0</v>
      </c>
      <c r="S184" s="23">
        <f t="shared" si="214"/>
        <v>0</v>
      </c>
      <c r="T184" s="24">
        <f t="shared" si="215"/>
        <v>0</v>
      </c>
      <c r="U184" s="24">
        <f t="shared" si="199"/>
        <v>0</v>
      </c>
      <c r="V184" s="24">
        <f t="shared" si="216"/>
        <v>0</v>
      </c>
      <c r="W184" s="24">
        <f t="shared" si="217"/>
        <v>0</v>
      </c>
      <c r="X184" s="72">
        <f t="shared" si="218"/>
        <v>0</v>
      </c>
      <c r="Y184" s="72">
        <f t="shared" si="219"/>
        <v>0</v>
      </c>
      <c r="Z184" s="24">
        <f t="shared" si="268"/>
        <v>0</v>
      </c>
      <c r="AA184" s="72">
        <f t="shared" si="220"/>
        <v>0</v>
      </c>
      <c r="AB184" s="24">
        <f t="shared" si="221"/>
        <v>0</v>
      </c>
      <c r="AC184" s="24" t="s">
        <v>5</v>
      </c>
      <c r="AD184" s="25">
        <f t="shared" si="269"/>
        <v>3</v>
      </c>
      <c r="AE184" s="25">
        <f t="shared" si="270"/>
        <v>0</v>
      </c>
      <c r="AF184" s="25">
        <f t="shared" si="271"/>
        <v>0</v>
      </c>
      <c r="AG184" s="25">
        <f t="shared" si="222"/>
        <v>1</v>
      </c>
      <c r="AH184" s="25" t="str">
        <f>IFERROR(MATCH(DY184,'2 Staff List'!$IA$64:$IA$114,0),"x")</f>
        <v>x</v>
      </c>
      <c r="AI184" s="1181">
        <f>IFERROR(INDEX('2 Staff List'!$EX$64:$EX$114,$AH184),0)</f>
        <v>0</v>
      </c>
      <c r="AJ184" s="25">
        <f>IFERROR(INDEX('2 Staff List'!$IW$64:$IW$114,$AH184),0)</f>
        <v>0</v>
      </c>
      <c r="AK184" s="25">
        <f>IFERROR(INDEX('2 Staff List'!$IB$64:$IB$114,$AH184),0)</f>
        <v>0</v>
      </c>
      <c r="AL184" s="25">
        <f>IF(OR(NOT(ISBLANK(DV184)),CX184=1),"&lt;Non-Labor&gt;",IFERROR(IF(AH184=0,0,INDEX('2 Staff List'!$HZ$64:$HZ$114,$AH184)),0))</f>
        <v>0</v>
      </c>
      <c r="AM184" s="25">
        <f>IFERROR(INDEX('2 Staff List'!$HW$64:$HW$114,$AH184),0)</f>
        <v>0</v>
      </c>
      <c r="AN184" s="25">
        <f t="shared" si="223"/>
        <v>1</v>
      </c>
      <c r="AO184" s="25">
        <f>IF($AO$127=0,0,IFERROR(INDEX('2 Staff List'!$JH$64:$JH$114,$AH184),0))</f>
        <v>0</v>
      </c>
      <c r="AP184" s="25">
        <f>IFERROR(INDEX('2 Staff List'!$HU$64:$HU$114,$AH184),0)</f>
        <v>0</v>
      </c>
      <c r="AQ184" s="25">
        <f t="shared" si="224"/>
        <v>0</v>
      </c>
      <c r="AR184" s="25">
        <f t="shared" si="225"/>
        <v>0</v>
      </c>
      <c r="AS184" s="25">
        <f t="shared" si="226"/>
        <v>0</v>
      </c>
      <c r="AT184" s="25">
        <f t="shared" si="227"/>
        <v>0</v>
      </c>
      <c r="AU184" s="25">
        <f t="shared" si="228"/>
        <v>0</v>
      </c>
      <c r="AV184" s="25">
        <f t="shared" si="229"/>
        <v>0</v>
      </c>
      <c r="AW184" s="25">
        <f t="shared" si="230"/>
        <v>0</v>
      </c>
      <c r="AX184" s="25">
        <f t="shared" si="231"/>
        <v>0</v>
      </c>
      <c r="AY184" s="25">
        <f t="shared" si="232"/>
        <v>0</v>
      </c>
      <c r="AZ184" s="25">
        <f t="shared" si="233"/>
        <v>0</v>
      </c>
      <c r="BA184" s="25">
        <f t="shared" si="234"/>
        <v>0</v>
      </c>
      <c r="BB184" s="25">
        <f t="shared" si="235"/>
        <v>0</v>
      </c>
      <c r="BC184" s="25">
        <f>IFERROR(INDEX('2 Staff List'!KS$64:KS$114,$AH184),0)</f>
        <v>0</v>
      </c>
      <c r="BD184" s="25">
        <f>IFERROR(INDEX('2 Staff List'!KT$64:KT$114,$AH184),0)</f>
        <v>0</v>
      </c>
      <c r="BE184" s="25">
        <f>IFERROR(INDEX('2 Staff List'!KU$64:KU$114,$AH184),0)</f>
        <v>0</v>
      </c>
      <c r="BF184" s="25">
        <f>IFERROR(INDEX('2 Staff List'!KV$64:KV$114,$AH184),0)</f>
        <v>0</v>
      </c>
      <c r="BG184" s="25">
        <f>IFERROR(INDEX('2 Staff List'!KW$64:KW$114,$AH184),0)</f>
        <v>0</v>
      </c>
      <c r="BH184" s="25">
        <f>IFERROR(INDEX('2 Staff List'!KX$64:KX$114,$AH184),0)</f>
        <v>0</v>
      </c>
      <c r="BI184" s="25">
        <f>IFERROR(INDEX('2 Staff List'!KY$64:KY$114,$AH184),0)</f>
        <v>0</v>
      </c>
      <c r="BJ184" s="25">
        <f>IFERROR(INDEX('2 Staff List'!KZ$64:KZ$114,$AH184),0)</f>
        <v>0</v>
      </c>
      <c r="BK184" s="25">
        <f>IFERROR(INDEX('2 Staff List'!LA$64:LA$114,$AH184),0)</f>
        <v>0</v>
      </c>
      <c r="BL184" s="25">
        <f>IFERROR(INDEX('2 Staff List'!LB$64:LB$114,$AH184),0)</f>
        <v>0</v>
      </c>
      <c r="BM184" s="25">
        <f>IFERROR(INDEX('2 Staff List'!FT$64:FT$114,$AH184),0)</f>
        <v>0</v>
      </c>
      <c r="BN184" s="25">
        <f>IFERROR(INDEX('2 Staff List'!FU$64:FU$114,$AH184),0)</f>
        <v>0</v>
      </c>
      <c r="BO184" s="25">
        <f>IFERROR(INDEX('2 Staff List'!FV$64:FV$114,$AH184),0)</f>
        <v>0</v>
      </c>
      <c r="BP184" s="25">
        <f>IFERROR(INDEX('2 Staff List'!FW$64:FW$114,$AH184),0)</f>
        <v>0</v>
      </c>
      <c r="BQ184" s="25">
        <f>IFERROR(INDEX('2 Staff List'!FX$64:FX$114,$AH184),0)</f>
        <v>0</v>
      </c>
      <c r="BR184" s="25">
        <f>IFERROR(INDEX('2 Staff List'!FY$64:FY$114,$AH184),0)</f>
        <v>0</v>
      </c>
      <c r="BS184" s="25">
        <f>IFERROR(INDEX('2 Staff List'!FZ$64:FZ$114,$AH184),0)</f>
        <v>0</v>
      </c>
      <c r="BT184" s="25">
        <f>IFERROR(INDEX('2 Staff List'!GA$64:GA$114,$AH184),0)</f>
        <v>0</v>
      </c>
      <c r="BU184" s="25">
        <f>IFERROR(INDEX('2 Staff List'!GB$64:GB$114,$AH184),0)</f>
        <v>0</v>
      </c>
      <c r="BV184" s="25">
        <f>IFERROR(INDEX('2 Staff List'!GC$64:GC$114,$AH184),0)</f>
        <v>0</v>
      </c>
      <c r="BW184" s="25">
        <f t="shared" si="236"/>
        <v>0</v>
      </c>
      <c r="BX184" s="25">
        <f t="shared" si="237"/>
        <v>0</v>
      </c>
      <c r="BY184" s="25">
        <f t="shared" si="238"/>
        <v>0</v>
      </c>
      <c r="BZ184" s="25">
        <f t="shared" si="239"/>
        <v>0</v>
      </c>
      <c r="CA184" s="25">
        <f t="shared" si="240"/>
        <v>0</v>
      </c>
      <c r="CB184" s="25">
        <f t="shared" si="241"/>
        <v>0</v>
      </c>
      <c r="CC184" s="25">
        <f t="shared" si="242"/>
        <v>0</v>
      </c>
      <c r="CD184" s="25">
        <f t="shared" si="243"/>
        <v>0</v>
      </c>
      <c r="CE184" s="25">
        <f t="shared" si="244"/>
        <v>0</v>
      </c>
      <c r="CF184" s="25">
        <f t="shared" si="245"/>
        <v>0</v>
      </c>
      <c r="CG184" s="25">
        <f t="shared" si="246"/>
        <v>0</v>
      </c>
      <c r="CH184" s="25">
        <f>IFERROR(INDEX('2 Staff List'!LO$64:LO$114,$AH184),0)</f>
        <v>0</v>
      </c>
      <c r="CI184" s="25">
        <f>IFERROR(INDEX('2 Staff List'!LP$64:LP$114,$AH184),0)</f>
        <v>0</v>
      </c>
      <c r="CJ184" s="25">
        <f>IFERROR(INDEX('2 Staff List'!LQ$64:LQ$114,$AH184),0)</f>
        <v>0</v>
      </c>
      <c r="CK184" s="25">
        <f>IFERROR(INDEX('2 Staff List'!LR$64:LR$114,$AH184),0)</f>
        <v>0</v>
      </c>
      <c r="CL184" s="25">
        <f>IFERROR(INDEX('2 Staff List'!LS$64:LS$114,$AH184),0)</f>
        <v>0</v>
      </c>
      <c r="CM184" s="25">
        <f>IFERROR(INDEX('2 Staff List'!LT$64:LT$114,$AH184),0)</f>
        <v>0</v>
      </c>
      <c r="CN184" s="25">
        <f>IFERROR(INDEX('2 Staff List'!LU$64:LU$114,$AH184),0)</f>
        <v>0</v>
      </c>
      <c r="CO184" s="25">
        <f>IFERROR(INDEX('2 Staff List'!LV$64:LV$114,$AH184),0)</f>
        <v>0</v>
      </c>
      <c r="CP184" s="25">
        <f>IFERROR(INDEX('2 Staff List'!LW$64:LW$114,$AH184),0)</f>
        <v>0</v>
      </c>
      <c r="CQ184" s="25">
        <f>IFERROR(INDEX('2 Staff List'!LX$64:LX$114,$AH184),0)</f>
        <v>0</v>
      </c>
      <c r="CR184" s="25">
        <f t="shared" si="272"/>
        <v>0</v>
      </c>
      <c r="CS184" s="25">
        <f t="shared" si="281"/>
        <v>1</v>
      </c>
      <c r="CT184" s="25">
        <f t="shared" si="248"/>
        <v>1</v>
      </c>
      <c r="CU184" s="25">
        <f t="shared" si="249"/>
        <v>1</v>
      </c>
      <c r="CV184" s="25">
        <f t="shared" si="250"/>
        <v>1</v>
      </c>
      <c r="CW184" s="25">
        <f t="shared" si="251"/>
        <v>1</v>
      </c>
      <c r="CX184" s="25">
        <f t="shared" si="252"/>
        <v>0</v>
      </c>
      <c r="CY184" s="25">
        <f t="shared" si="253"/>
        <v>0</v>
      </c>
      <c r="CZ184" s="25">
        <f t="shared" si="254"/>
        <v>0</v>
      </c>
      <c r="DA184" s="25">
        <f t="shared" si="255"/>
        <v>1</v>
      </c>
      <c r="DB184" s="25">
        <f t="shared" si="273"/>
        <v>1</v>
      </c>
      <c r="DC184" s="25">
        <f t="shared" si="256"/>
        <v>0</v>
      </c>
      <c r="DD184" s="25">
        <f>IF(OR($AD184&lt;&gt;3,F184="Exclude"),0,IF(ISERROR(MATCH($E184,'4 Sign-off'!$S$123:$X$123,0)),0,1))</f>
        <v>0</v>
      </c>
      <c r="DE184" s="25">
        <f t="shared" si="274"/>
        <v>0</v>
      </c>
      <c r="DF184" s="25">
        <f t="shared" si="257"/>
        <v>0</v>
      </c>
      <c r="DG184" s="25" t="str">
        <f t="shared" si="258"/>
        <v/>
      </c>
      <c r="DH184" s="25">
        <f t="shared" si="259"/>
        <v>0</v>
      </c>
      <c r="DI184" s="25">
        <f t="shared" si="260"/>
        <v>0</v>
      </c>
      <c r="DJ184" s="25">
        <f>IF(ISBLANK(J184),0,ISERROR(MATCH(J184,'5  Control Accounts'!$FA$29:$FA$96,0))*1)</f>
        <v>0</v>
      </c>
      <c r="DK184" s="25">
        <f t="shared" si="261"/>
        <v>0</v>
      </c>
      <c r="DL184" s="25">
        <f t="shared" si="275"/>
        <v>-1</v>
      </c>
      <c r="DM184" s="25" t="e">
        <f t="array" ref="DM184">MATCH(1,($EG184:$JD184&gt;0)*$EG$17:$JD$17,0)</f>
        <v>#N/A</v>
      </c>
      <c r="DN184" s="25" t="e">
        <f t="shared" si="276"/>
        <v>#N/A</v>
      </c>
      <c r="DO184" s="25" t="e">
        <f t="array" ref="DO184">MATCH(2,1/(EG184:JD184&gt;0))</f>
        <v>#N/A</v>
      </c>
      <c r="DP184" s="2993">
        <f t="shared" si="262"/>
        <v>0</v>
      </c>
      <c r="DQ184" s="3037">
        <f t="shared" si="263"/>
        <v>0</v>
      </c>
      <c r="DR184" s="111"/>
      <c r="DS184" s="1268">
        <f t="shared" si="266"/>
        <v>0</v>
      </c>
      <c r="DT184" s="1825"/>
      <c r="DU184" s="1826"/>
      <c r="DV184" s="1827"/>
      <c r="DW184" s="1828"/>
      <c r="DX184" s="659"/>
      <c r="DY184" s="1265"/>
      <c r="DZ184" s="1785">
        <f t="shared" si="277"/>
        <v>0</v>
      </c>
      <c r="EA184" s="1786">
        <f t="shared" si="278"/>
        <v>0</v>
      </c>
      <c r="EB184" s="1781">
        <f t="shared" si="279"/>
        <v>0</v>
      </c>
      <c r="EC184" s="1782">
        <f t="shared" si="280"/>
        <v>0</v>
      </c>
      <c r="ED184" s="1262"/>
      <c r="EE184" s="2280"/>
      <c r="EF184" s="1802"/>
      <c r="EG184" s="167"/>
      <c r="EH184" s="168"/>
      <c r="EI184" s="168"/>
      <c r="EJ184" s="168"/>
      <c r="EK184" s="168"/>
      <c r="EL184" s="168"/>
      <c r="EM184" s="168"/>
      <c r="EN184" s="168"/>
      <c r="EO184" s="168"/>
      <c r="EP184" s="168"/>
      <c r="EQ184" s="168"/>
      <c r="ER184" s="168"/>
      <c r="ES184" s="168"/>
      <c r="ET184" s="168"/>
      <c r="EU184" s="168"/>
      <c r="EV184" s="168"/>
      <c r="EW184" s="168"/>
      <c r="EX184" s="168"/>
      <c r="EY184" s="168"/>
      <c r="EZ184" s="168"/>
      <c r="FA184" s="168"/>
      <c r="FB184" s="168"/>
      <c r="FC184" s="168"/>
      <c r="FD184" s="168"/>
      <c r="FE184" s="168"/>
      <c r="FF184" s="168"/>
      <c r="FG184" s="168"/>
      <c r="FH184" s="168"/>
      <c r="FI184" s="168"/>
      <c r="FJ184" s="168"/>
      <c r="FK184" s="168"/>
      <c r="FL184" s="168"/>
      <c r="FM184" s="168"/>
      <c r="FN184" s="168"/>
      <c r="FO184" s="168"/>
      <c r="FP184" s="168"/>
      <c r="FQ184" s="168"/>
      <c r="FR184" s="168"/>
      <c r="FS184" s="168"/>
      <c r="FT184" s="168"/>
      <c r="FU184" s="168"/>
      <c r="FV184" s="168"/>
      <c r="FW184" s="168"/>
      <c r="FX184" s="168"/>
      <c r="FY184" s="168"/>
      <c r="FZ184" s="168"/>
      <c r="GA184" s="168"/>
      <c r="GB184" s="168"/>
      <c r="GC184" s="168"/>
      <c r="GD184" s="168"/>
      <c r="GE184" s="168"/>
      <c r="GF184" s="168"/>
      <c r="GG184" s="168"/>
      <c r="GH184" s="168"/>
      <c r="GI184" s="168"/>
      <c r="GJ184" s="168"/>
      <c r="GK184" s="168"/>
      <c r="GL184" s="168"/>
      <c r="GM184" s="168"/>
      <c r="GN184" s="168"/>
      <c r="GO184" s="168"/>
      <c r="GP184" s="168"/>
      <c r="GQ184" s="168"/>
      <c r="GR184" s="168"/>
      <c r="GS184" s="168"/>
      <c r="GT184" s="168"/>
      <c r="GU184" s="168"/>
      <c r="GV184" s="168"/>
      <c r="GW184" s="168"/>
      <c r="GX184" s="168"/>
      <c r="GY184" s="168"/>
      <c r="GZ184" s="168"/>
      <c r="HA184" s="168"/>
      <c r="HB184" s="168"/>
      <c r="HC184" s="168"/>
      <c r="HD184" s="168"/>
      <c r="HE184" s="168"/>
      <c r="HF184" s="168"/>
      <c r="HG184" s="168"/>
      <c r="HH184" s="168"/>
      <c r="HI184" s="168"/>
      <c r="HJ184" s="168"/>
      <c r="HK184" s="168"/>
      <c r="HL184" s="168"/>
      <c r="HM184" s="168"/>
      <c r="HN184" s="168"/>
      <c r="HO184" s="168"/>
      <c r="HP184" s="168"/>
      <c r="HQ184" s="168"/>
      <c r="HR184" s="168"/>
      <c r="HS184" s="168"/>
      <c r="HT184" s="168"/>
      <c r="HU184" s="168"/>
      <c r="HV184" s="168"/>
      <c r="HW184" s="168"/>
      <c r="HX184" s="168"/>
      <c r="HY184" s="168"/>
      <c r="HZ184" s="168"/>
      <c r="IA184" s="168"/>
      <c r="IB184" s="168"/>
      <c r="IC184" s="168"/>
      <c r="ID184" s="168"/>
      <c r="IE184" s="168"/>
      <c r="IF184" s="168"/>
      <c r="IG184" s="168"/>
      <c r="IH184" s="168"/>
      <c r="II184" s="168"/>
      <c r="IJ184" s="168"/>
      <c r="IK184" s="168"/>
      <c r="IL184" s="168"/>
      <c r="IM184" s="168"/>
      <c r="IN184" s="168"/>
      <c r="IO184" s="168"/>
      <c r="IP184" s="168"/>
      <c r="IQ184" s="168"/>
      <c r="IR184" s="168"/>
      <c r="IS184" s="168"/>
      <c r="IT184" s="168"/>
      <c r="IU184" s="168"/>
      <c r="IV184" s="168"/>
      <c r="IW184" s="168"/>
      <c r="IX184" s="168"/>
      <c r="IY184" s="168"/>
      <c r="IZ184" s="168"/>
      <c r="JA184" s="168"/>
      <c r="JB184" s="168"/>
      <c r="JC184" s="606"/>
      <c r="JD184" s="609"/>
      <c r="JE184" s="1"/>
      <c r="JF184" s="1"/>
    </row>
    <row r="185" spans="1:266" s="2" customFormat="1" ht="15" customHeight="1" x14ac:dyDescent="0.25">
      <c r="A185" s="283"/>
      <c r="B185" s="303"/>
      <c r="C185" s="301"/>
      <c r="D185" s="638"/>
      <c r="E185" s="2298"/>
      <c r="F185" s="1812"/>
      <c r="G185" s="3342"/>
      <c r="H185" s="66"/>
      <c r="I185" s="1746"/>
      <c r="J185" s="86"/>
      <c r="K185" s="105"/>
      <c r="L185" s="91"/>
      <c r="M185" s="92"/>
      <c r="N185" s="93"/>
      <c r="O185" s="94"/>
      <c r="P185" s="96"/>
      <c r="Q185" s="95"/>
      <c r="R185" s="993">
        <f t="shared" si="267"/>
        <v>0</v>
      </c>
      <c r="S185" s="23">
        <f t="shared" si="214"/>
        <v>0</v>
      </c>
      <c r="T185" s="24">
        <f t="shared" si="215"/>
        <v>0</v>
      </c>
      <c r="U185" s="24">
        <f t="shared" si="199"/>
        <v>0</v>
      </c>
      <c r="V185" s="24">
        <f t="shared" si="216"/>
        <v>0</v>
      </c>
      <c r="W185" s="24">
        <f t="shared" si="217"/>
        <v>0</v>
      </c>
      <c r="X185" s="72">
        <f t="shared" si="218"/>
        <v>0</v>
      </c>
      <c r="Y185" s="72">
        <f t="shared" si="219"/>
        <v>0</v>
      </c>
      <c r="Z185" s="24">
        <f t="shared" si="268"/>
        <v>0</v>
      </c>
      <c r="AA185" s="72">
        <f t="shared" si="220"/>
        <v>0</v>
      </c>
      <c r="AB185" s="24">
        <f t="shared" si="221"/>
        <v>0</v>
      </c>
      <c r="AC185" s="24" t="s">
        <v>5</v>
      </c>
      <c r="AD185" s="25">
        <f t="shared" si="269"/>
        <v>3</v>
      </c>
      <c r="AE185" s="25">
        <f t="shared" si="270"/>
        <v>0</v>
      </c>
      <c r="AF185" s="25">
        <f t="shared" si="271"/>
        <v>0</v>
      </c>
      <c r="AG185" s="25">
        <f t="shared" si="222"/>
        <v>1</v>
      </c>
      <c r="AH185" s="25" t="str">
        <f>IFERROR(MATCH(DY185,'2 Staff List'!$IA$64:$IA$114,0),"x")</f>
        <v>x</v>
      </c>
      <c r="AI185" s="1181">
        <f>IFERROR(INDEX('2 Staff List'!$EX$64:$EX$114,$AH185),0)</f>
        <v>0</v>
      </c>
      <c r="AJ185" s="25">
        <f>IFERROR(INDEX('2 Staff List'!$IW$64:$IW$114,$AH185),0)</f>
        <v>0</v>
      </c>
      <c r="AK185" s="25">
        <f>IFERROR(INDEX('2 Staff List'!$IB$64:$IB$114,$AH185),0)</f>
        <v>0</v>
      </c>
      <c r="AL185" s="25">
        <f>IF(OR(NOT(ISBLANK(DV185)),CX185=1),"&lt;Non-Labor&gt;",IFERROR(IF(AH185=0,0,INDEX('2 Staff List'!$HZ$64:$HZ$114,$AH185)),0))</f>
        <v>0</v>
      </c>
      <c r="AM185" s="25">
        <f>IFERROR(INDEX('2 Staff List'!$HW$64:$HW$114,$AH185),0)</f>
        <v>0</v>
      </c>
      <c r="AN185" s="25">
        <f t="shared" si="223"/>
        <v>1</v>
      </c>
      <c r="AO185" s="25">
        <f>IF($AO$127=0,0,IFERROR(INDEX('2 Staff List'!$JH$64:$JH$114,$AH185),0))</f>
        <v>0</v>
      </c>
      <c r="AP185" s="25">
        <f>IFERROR(INDEX('2 Staff List'!$HU$64:$HU$114,$AH185),0)</f>
        <v>0</v>
      </c>
      <c r="AQ185" s="25">
        <f t="shared" si="224"/>
        <v>0</v>
      </c>
      <c r="AR185" s="25">
        <f t="shared" si="225"/>
        <v>0</v>
      </c>
      <c r="AS185" s="25">
        <f t="shared" si="226"/>
        <v>0</v>
      </c>
      <c r="AT185" s="25">
        <f t="shared" si="227"/>
        <v>0</v>
      </c>
      <c r="AU185" s="25">
        <f t="shared" si="228"/>
        <v>0</v>
      </c>
      <c r="AV185" s="25">
        <f t="shared" si="229"/>
        <v>0</v>
      </c>
      <c r="AW185" s="25">
        <f t="shared" si="230"/>
        <v>0</v>
      </c>
      <c r="AX185" s="25">
        <f t="shared" si="231"/>
        <v>0</v>
      </c>
      <c r="AY185" s="25">
        <f t="shared" si="232"/>
        <v>0</v>
      </c>
      <c r="AZ185" s="25">
        <f t="shared" si="233"/>
        <v>0</v>
      </c>
      <c r="BA185" s="25">
        <f t="shared" si="234"/>
        <v>0</v>
      </c>
      <c r="BB185" s="25">
        <f t="shared" si="235"/>
        <v>0</v>
      </c>
      <c r="BC185" s="25">
        <f>IFERROR(INDEX('2 Staff List'!KS$64:KS$114,$AH185),0)</f>
        <v>0</v>
      </c>
      <c r="BD185" s="25">
        <f>IFERROR(INDEX('2 Staff List'!KT$64:KT$114,$AH185),0)</f>
        <v>0</v>
      </c>
      <c r="BE185" s="25">
        <f>IFERROR(INDEX('2 Staff List'!KU$64:KU$114,$AH185),0)</f>
        <v>0</v>
      </c>
      <c r="BF185" s="25">
        <f>IFERROR(INDEX('2 Staff List'!KV$64:KV$114,$AH185),0)</f>
        <v>0</v>
      </c>
      <c r="BG185" s="25">
        <f>IFERROR(INDEX('2 Staff List'!KW$64:KW$114,$AH185),0)</f>
        <v>0</v>
      </c>
      <c r="BH185" s="25">
        <f>IFERROR(INDEX('2 Staff List'!KX$64:KX$114,$AH185),0)</f>
        <v>0</v>
      </c>
      <c r="BI185" s="25">
        <f>IFERROR(INDEX('2 Staff List'!KY$64:KY$114,$AH185),0)</f>
        <v>0</v>
      </c>
      <c r="BJ185" s="25">
        <f>IFERROR(INDEX('2 Staff List'!KZ$64:KZ$114,$AH185),0)</f>
        <v>0</v>
      </c>
      <c r="BK185" s="25">
        <f>IFERROR(INDEX('2 Staff List'!LA$64:LA$114,$AH185),0)</f>
        <v>0</v>
      </c>
      <c r="BL185" s="25">
        <f>IFERROR(INDEX('2 Staff List'!LB$64:LB$114,$AH185),0)</f>
        <v>0</v>
      </c>
      <c r="BM185" s="25">
        <f>IFERROR(INDEX('2 Staff List'!FT$64:FT$114,$AH185),0)</f>
        <v>0</v>
      </c>
      <c r="BN185" s="25">
        <f>IFERROR(INDEX('2 Staff List'!FU$64:FU$114,$AH185),0)</f>
        <v>0</v>
      </c>
      <c r="BO185" s="25">
        <f>IFERROR(INDEX('2 Staff List'!FV$64:FV$114,$AH185),0)</f>
        <v>0</v>
      </c>
      <c r="BP185" s="25">
        <f>IFERROR(INDEX('2 Staff List'!FW$64:FW$114,$AH185),0)</f>
        <v>0</v>
      </c>
      <c r="BQ185" s="25">
        <f>IFERROR(INDEX('2 Staff List'!FX$64:FX$114,$AH185),0)</f>
        <v>0</v>
      </c>
      <c r="BR185" s="25">
        <f>IFERROR(INDEX('2 Staff List'!FY$64:FY$114,$AH185),0)</f>
        <v>0</v>
      </c>
      <c r="BS185" s="25">
        <f>IFERROR(INDEX('2 Staff List'!FZ$64:FZ$114,$AH185),0)</f>
        <v>0</v>
      </c>
      <c r="BT185" s="25">
        <f>IFERROR(INDEX('2 Staff List'!GA$64:GA$114,$AH185),0)</f>
        <v>0</v>
      </c>
      <c r="BU185" s="25">
        <f>IFERROR(INDEX('2 Staff List'!GB$64:GB$114,$AH185),0)</f>
        <v>0</v>
      </c>
      <c r="BV185" s="25">
        <f>IFERROR(INDEX('2 Staff List'!GC$64:GC$114,$AH185),0)</f>
        <v>0</v>
      </c>
      <c r="BW185" s="25">
        <f t="shared" si="236"/>
        <v>0</v>
      </c>
      <c r="BX185" s="25">
        <f t="shared" si="237"/>
        <v>0</v>
      </c>
      <c r="BY185" s="25">
        <f t="shared" si="238"/>
        <v>0</v>
      </c>
      <c r="BZ185" s="25">
        <f t="shared" si="239"/>
        <v>0</v>
      </c>
      <c r="CA185" s="25">
        <f t="shared" si="240"/>
        <v>0</v>
      </c>
      <c r="CB185" s="25">
        <f t="shared" si="241"/>
        <v>0</v>
      </c>
      <c r="CC185" s="25">
        <f t="shared" si="242"/>
        <v>0</v>
      </c>
      <c r="CD185" s="25">
        <f t="shared" si="243"/>
        <v>0</v>
      </c>
      <c r="CE185" s="25">
        <f t="shared" si="244"/>
        <v>0</v>
      </c>
      <c r="CF185" s="25">
        <f t="shared" si="245"/>
        <v>0</v>
      </c>
      <c r="CG185" s="25">
        <f t="shared" si="246"/>
        <v>0</v>
      </c>
      <c r="CH185" s="25">
        <f>IFERROR(INDEX('2 Staff List'!LO$64:LO$114,$AH185),0)</f>
        <v>0</v>
      </c>
      <c r="CI185" s="25">
        <f>IFERROR(INDEX('2 Staff List'!LP$64:LP$114,$AH185),0)</f>
        <v>0</v>
      </c>
      <c r="CJ185" s="25">
        <f>IFERROR(INDEX('2 Staff List'!LQ$64:LQ$114,$AH185),0)</f>
        <v>0</v>
      </c>
      <c r="CK185" s="25">
        <f>IFERROR(INDEX('2 Staff List'!LR$64:LR$114,$AH185),0)</f>
        <v>0</v>
      </c>
      <c r="CL185" s="25">
        <f>IFERROR(INDEX('2 Staff List'!LS$64:LS$114,$AH185),0)</f>
        <v>0</v>
      </c>
      <c r="CM185" s="25">
        <f>IFERROR(INDEX('2 Staff List'!LT$64:LT$114,$AH185),0)</f>
        <v>0</v>
      </c>
      <c r="CN185" s="25">
        <f>IFERROR(INDEX('2 Staff List'!LU$64:LU$114,$AH185),0)</f>
        <v>0</v>
      </c>
      <c r="CO185" s="25">
        <f>IFERROR(INDEX('2 Staff List'!LV$64:LV$114,$AH185),0)</f>
        <v>0</v>
      </c>
      <c r="CP185" s="25">
        <f>IFERROR(INDEX('2 Staff List'!LW$64:LW$114,$AH185),0)</f>
        <v>0</v>
      </c>
      <c r="CQ185" s="25">
        <f>IFERROR(INDEX('2 Staff List'!LX$64:LX$114,$AH185),0)</f>
        <v>0</v>
      </c>
      <c r="CR185" s="25">
        <f t="shared" si="272"/>
        <v>0</v>
      </c>
      <c r="CS185" s="25">
        <f t="shared" si="281"/>
        <v>1</v>
      </c>
      <c r="CT185" s="25">
        <f t="shared" si="248"/>
        <v>1</v>
      </c>
      <c r="CU185" s="25">
        <f t="shared" si="249"/>
        <v>1</v>
      </c>
      <c r="CV185" s="25">
        <f t="shared" si="250"/>
        <v>1</v>
      </c>
      <c r="CW185" s="25">
        <f t="shared" si="251"/>
        <v>1</v>
      </c>
      <c r="CX185" s="25">
        <f t="shared" si="252"/>
        <v>0</v>
      </c>
      <c r="CY185" s="25">
        <f t="shared" si="253"/>
        <v>0</v>
      </c>
      <c r="CZ185" s="25">
        <f t="shared" si="254"/>
        <v>0</v>
      </c>
      <c r="DA185" s="25">
        <f t="shared" si="255"/>
        <v>1</v>
      </c>
      <c r="DB185" s="25">
        <f t="shared" si="273"/>
        <v>1</v>
      </c>
      <c r="DC185" s="25">
        <f t="shared" si="256"/>
        <v>0</v>
      </c>
      <c r="DD185" s="25">
        <f>IF(OR($AD185&lt;&gt;3,F185="Exclude"),0,IF(ISERROR(MATCH($E185,'4 Sign-off'!$S$123:$X$123,0)),0,1))</f>
        <v>0</v>
      </c>
      <c r="DE185" s="25">
        <f t="shared" si="274"/>
        <v>0</v>
      </c>
      <c r="DF185" s="25">
        <f t="shared" si="257"/>
        <v>0</v>
      </c>
      <c r="DG185" s="25" t="str">
        <f t="shared" si="258"/>
        <v/>
      </c>
      <c r="DH185" s="25">
        <f t="shared" si="259"/>
        <v>0</v>
      </c>
      <c r="DI185" s="25">
        <f t="shared" si="260"/>
        <v>0</v>
      </c>
      <c r="DJ185" s="25">
        <f>IF(ISBLANK(J185),0,ISERROR(MATCH(J185,'5  Control Accounts'!$FA$29:$FA$96,0))*1)</f>
        <v>0</v>
      </c>
      <c r="DK185" s="25">
        <f t="shared" si="261"/>
        <v>0</v>
      </c>
      <c r="DL185" s="25">
        <f t="shared" si="275"/>
        <v>-1</v>
      </c>
      <c r="DM185" s="25" t="e">
        <f t="array" ref="DM185">MATCH(1,($EG185:$JD185&gt;0)*$EG$17:$JD$17,0)</f>
        <v>#N/A</v>
      </c>
      <c r="DN185" s="25" t="e">
        <f t="shared" si="276"/>
        <v>#N/A</v>
      </c>
      <c r="DO185" s="25" t="e">
        <f t="array" ref="DO185">MATCH(2,1/(EG185:JD185&gt;0))</f>
        <v>#N/A</v>
      </c>
      <c r="DP185" s="2993">
        <f t="shared" si="262"/>
        <v>0</v>
      </c>
      <c r="DQ185" s="3037">
        <f t="shared" si="263"/>
        <v>0</v>
      </c>
      <c r="DR185" s="111"/>
      <c r="DS185" s="1268">
        <f t="shared" ref="DS185:DS228" si="282">N185</f>
        <v>0</v>
      </c>
      <c r="DT185" s="1825"/>
      <c r="DU185" s="1826"/>
      <c r="DV185" s="1827"/>
      <c r="DW185" s="1828"/>
      <c r="DX185" s="659"/>
      <c r="DY185" s="1265"/>
      <c r="DZ185" s="1785">
        <f t="shared" si="277"/>
        <v>0</v>
      </c>
      <c r="EA185" s="1786">
        <f t="shared" si="278"/>
        <v>0</v>
      </c>
      <c r="EB185" s="1781">
        <f t="shared" si="279"/>
        <v>0</v>
      </c>
      <c r="EC185" s="1782">
        <f t="shared" si="280"/>
        <v>0</v>
      </c>
      <c r="ED185" s="1262"/>
      <c r="EE185" s="2280"/>
      <c r="EF185" s="1802"/>
      <c r="EG185" s="167"/>
      <c r="EH185" s="168"/>
      <c r="EI185" s="168"/>
      <c r="EJ185" s="168"/>
      <c r="EK185" s="168"/>
      <c r="EL185" s="168"/>
      <c r="EM185" s="168"/>
      <c r="EN185" s="168"/>
      <c r="EO185" s="168"/>
      <c r="EP185" s="168"/>
      <c r="EQ185" s="168"/>
      <c r="ER185" s="168"/>
      <c r="ES185" s="168"/>
      <c r="ET185" s="168"/>
      <c r="EU185" s="168"/>
      <c r="EV185" s="168"/>
      <c r="EW185" s="168"/>
      <c r="EX185" s="168"/>
      <c r="EY185" s="168"/>
      <c r="EZ185" s="168"/>
      <c r="FA185" s="168"/>
      <c r="FB185" s="168"/>
      <c r="FC185" s="168"/>
      <c r="FD185" s="168"/>
      <c r="FE185" s="168"/>
      <c r="FF185" s="168"/>
      <c r="FG185" s="168"/>
      <c r="FH185" s="168"/>
      <c r="FI185" s="168"/>
      <c r="FJ185" s="168"/>
      <c r="FK185" s="168"/>
      <c r="FL185" s="168"/>
      <c r="FM185" s="168"/>
      <c r="FN185" s="168"/>
      <c r="FO185" s="168"/>
      <c r="FP185" s="168"/>
      <c r="FQ185" s="168"/>
      <c r="FR185" s="168"/>
      <c r="FS185" s="168"/>
      <c r="FT185" s="168"/>
      <c r="FU185" s="168"/>
      <c r="FV185" s="168"/>
      <c r="FW185" s="168"/>
      <c r="FX185" s="168"/>
      <c r="FY185" s="168"/>
      <c r="FZ185" s="168"/>
      <c r="GA185" s="168"/>
      <c r="GB185" s="168"/>
      <c r="GC185" s="168"/>
      <c r="GD185" s="168"/>
      <c r="GE185" s="168"/>
      <c r="GF185" s="168"/>
      <c r="GG185" s="168"/>
      <c r="GH185" s="168"/>
      <c r="GI185" s="168"/>
      <c r="GJ185" s="168"/>
      <c r="GK185" s="168"/>
      <c r="GL185" s="168"/>
      <c r="GM185" s="168"/>
      <c r="GN185" s="168"/>
      <c r="GO185" s="168"/>
      <c r="GP185" s="168"/>
      <c r="GQ185" s="168"/>
      <c r="GR185" s="168"/>
      <c r="GS185" s="168"/>
      <c r="GT185" s="168"/>
      <c r="GU185" s="168"/>
      <c r="GV185" s="168"/>
      <c r="GW185" s="168"/>
      <c r="GX185" s="168"/>
      <c r="GY185" s="168"/>
      <c r="GZ185" s="168"/>
      <c r="HA185" s="168"/>
      <c r="HB185" s="168"/>
      <c r="HC185" s="168"/>
      <c r="HD185" s="168"/>
      <c r="HE185" s="168"/>
      <c r="HF185" s="168"/>
      <c r="HG185" s="168"/>
      <c r="HH185" s="168"/>
      <c r="HI185" s="168"/>
      <c r="HJ185" s="168"/>
      <c r="HK185" s="168"/>
      <c r="HL185" s="168"/>
      <c r="HM185" s="168"/>
      <c r="HN185" s="168"/>
      <c r="HO185" s="168"/>
      <c r="HP185" s="168"/>
      <c r="HQ185" s="168"/>
      <c r="HR185" s="168"/>
      <c r="HS185" s="168"/>
      <c r="HT185" s="168"/>
      <c r="HU185" s="168"/>
      <c r="HV185" s="168"/>
      <c r="HW185" s="168"/>
      <c r="HX185" s="168"/>
      <c r="HY185" s="168"/>
      <c r="HZ185" s="168"/>
      <c r="IA185" s="168"/>
      <c r="IB185" s="168"/>
      <c r="IC185" s="168"/>
      <c r="ID185" s="168"/>
      <c r="IE185" s="168"/>
      <c r="IF185" s="168"/>
      <c r="IG185" s="168"/>
      <c r="IH185" s="168"/>
      <c r="II185" s="168"/>
      <c r="IJ185" s="168"/>
      <c r="IK185" s="168"/>
      <c r="IL185" s="168"/>
      <c r="IM185" s="168"/>
      <c r="IN185" s="168"/>
      <c r="IO185" s="168"/>
      <c r="IP185" s="168"/>
      <c r="IQ185" s="168"/>
      <c r="IR185" s="168"/>
      <c r="IS185" s="168"/>
      <c r="IT185" s="168"/>
      <c r="IU185" s="168"/>
      <c r="IV185" s="168"/>
      <c r="IW185" s="168"/>
      <c r="IX185" s="168"/>
      <c r="IY185" s="168"/>
      <c r="IZ185" s="168"/>
      <c r="JA185" s="168"/>
      <c r="JB185" s="168"/>
      <c r="JC185" s="606"/>
      <c r="JD185" s="609"/>
      <c r="JE185" s="1"/>
      <c r="JF185" s="1"/>
    </row>
    <row r="186" spans="1:266" s="2" customFormat="1" ht="15" customHeight="1" x14ac:dyDescent="0.25">
      <c r="A186" s="283"/>
      <c r="B186" s="303"/>
      <c r="C186" s="301"/>
      <c r="D186" s="638"/>
      <c r="E186" s="2298"/>
      <c r="F186" s="1812"/>
      <c r="G186" s="3342"/>
      <c r="H186" s="66"/>
      <c r="I186" s="1746"/>
      <c r="J186" s="86"/>
      <c r="K186" s="105"/>
      <c r="L186" s="91"/>
      <c r="M186" s="92"/>
      <c r="N186" s="93"/>
      <c r="O186" s="94"/>
      <c r="P186" s="96"/>
      <c r="Q186" s="95"/>
      <c r="R186" s="993">
        <f t="shared" si="267"/>
        <v>0</v>
      </c>
      <c r="S186" s="23">
        <f t="shared" si="214"/>
        <v>0</v>
      </c>
      <c r="T186" s="24">
        <f t="shared" si="215"/>
        <v>0</v>
      </c>
      <c r="U186" s="24">
        <f t="shared" si="199"/>
        <v>0</v>
      </c>
      <c r="V186" s="24">
        <f t="shared" si="216"/>
        <v>0</v>
      </c>
      <c r="W186" s="24">
        <f t="shared" si="217"/>
        <v>0</v>
      </c>
      <c r="X186" s="72">
        <f t="shared" si="218"/>
        <v>0</v>
      </c>
      <c r="Y186" s="72">
        <f t="shared" si="219"/>
        <v>0</v>
      </c>
      <c r="Z186" s="24">
        <f t="shared" si="268"/>
        <v>0</v>
      </c>
      <c r="AA186" s="72">
        <f t="shared" si="220"/>
        <v>0</v>
      </c>
      <c r="AB186" s="24">
        <f t="shared" si="221"/>
        <v>0</v>
      </c>
      <c r="AC186" s="24" t="s">
        <v>5</v>
      </c>
      <c r="AD186" s="25">
        <f t="shared" si="269"/>
        <v>3</v>
      </c>
      <c r="AE186" s="25">
        <f t="shared" si="270"/>
        <v>0</v>
      </c>
      <c r="AF186" s="25">
        <f t="shared" si="271"/>
        <v>0</v>
      </c>
      <c r="AG186" s="25">
        <f t="shared" si="222"/>
        <v>1</v>
      </c>
      <c r="AH186" s="25" t="str">
        <f>IFERROR(MATCH(DY186,'2 Staff List'!$IA$64:$IA$114,0),"x")</f>
        <v>x</v>
      </c>
      <c r="AI186" s="1181">
        <f>IFERROR(INDEX('2 Staff List'!$EX$64:$EX$114,$AH186),0)</f>
        <v>0</v>
      </c>
      <c r="AJ186" s="25">
        <f>IFERROR(INDEX('2 Staff List'!$IW$64:$IW$114,$AH186),0)</f>
        <v>0</v>
      </c>
      <c r="AK186" s="25">
        <f>IFERROR(INDEX('2 Staff List'!$IB$64:$IB$114,$AH186),0)</f>
        <v>0</v>
      </c>
      <c r="AL186" s="25">
        <f>IF(OR(NOT(ISBLANK(DV186)),CX186=1),"&lt;Non-Labor&gt;",IFERROR(IF(AH186=0,0,INDEX('2 Staff List'!$HZ$64:$HZ$114,$AH186)),0))</f>
        <v>0</v>
      </c>
      <c r="AM186" s="25">
        <f>IFERROR(INDEX('2 Staff List'!$HW$64:$HW$114,$AH186),0)</f>
        <v>0</v>
      </c>
      <c r="AN186" s="25">
        <f t="shared" si="223"/>
        <v>1</v>
      </c>
      <c r="AO186" s="25">
        <f>IF($AO$127=0,0,IFERROR(INDEX('2 Staff List'!$JH$64:$JH$114,$AH186),0))</f>
        <v>0</v>
      </c>
      <c r="AP186" s="25">
        <f>IFERROR(INDEX('2 Staff List'!$HU$64:$HU$114,$AH186),0)</f>
        <v>0</v>
      </c>
      <c r="AQ186" s="25">
        <f t="shared" si="224"/>
        <v>0</v>
      </c>
      <c r="AR186" s="25">
        <f t="shared" si="225"/>
        <v>0</v>
      </c>
      <c r="AS186" s="25">
        <f t="shared" si="226"/>
        <v>0</v>
      </c>
      <c r="AT186" s="25">
        <f t="shared" si="227"/>
        <v>0</v>
      </c>
      <c r="AU186" s="25">
        <f t="shared" si="228"/>
        <v>0</v>
      </c>
      <c r="AV186" s="25">
        <f t="shared" si="229"/>
        <v>0</v>
      </c>
      <c r="AW186" s="25">
        <f t="shared" si="230"/>
        <v>0</v>
      </c>
      <c r="AX186" s="25">
        <f t="shared" si="231"/>
        <v>0</v>
      </c>
      <c r="AY186" s="25">
        <f t="shared" si="232"/>
        <v>0</v>
      </c>
      <c r="AZ186" s="25">
        <f t="shared" si="233"/>
        <v>0</v>
      </c>
      <c r="BA186" s="25">
        <f t="shared" si="234"/>
        <v>0</v>
      </c>
      <c r="BB186" s="25">
        <f t="shared" si="235"/>
        <v>0</v>
      </c>
      <c r="BC186" s="25">
        <f>IFERROR(INDEX('2 Staff List'!KS$64:KS$114,$AH186),0)</f>
        <v>0</v>
      </c>
      <c r="BD186" s="25">
        <f>IFERROR(INDEX('2 Staff List'!KT$64:KT$114,$AH186),0)</f>
        <v>0</v>
      </c>
      <c r="BE186" s="25">
        <f>IFERROR(INDEX('2 Staff List'!KU$64:KU$114,$AH186),0)</f>
        <v>0</v>
      </c>
      <c r="BF186" s="25">
        <f>IFERROR(INDEX('2 Staff List'!KV$64:KV$114,$AH186),0)</f>
        <v>0</v>
      </c>
      <c r="BG186" s="25">
        <f>IFERROR(INDEX('2 Staff List'!KW$64:KW$114,$AH186),0)</f>
        <v>0</v>
      </c>
      <c r="BH186" s="25">
        <f>IFERROR(INDEX('2 Staff List'!KX$64:KX$114,$AH186),0)</f>
        <v>0</v>
      </c>
      <c r="BI186" s="25">
        <f>IFERROR(INDEX('2 Staff List'!KY$64:KY$114,$AH186),0)</f>
        <v>0</v>
      </c>
      <c r="BJ186" s="25">
        <f>IFERROR(INDEX('2 Staff List'!KZ$64:KZ$114,$AH186),0)</f>
        <v>0</v>
      </c>
      <c r="BK186" s="25">
        <f>IFERROR(INDEX('2 Staff List'!LA$64:LA$114,$AH186),0)</f>
        <v>0</v>
      </c>
      <c r="BL186" s="25">
        <f>IFERROR(INDEX('2 Staff List'!LB$64:LB$114,$AH186),0)</f>
        <v>0</v>
      </c>
      <c r="BM186" s="25">
        <f>IFERROR(INDEX('2 Staff List'!FT$64:FT$114,$AH186),0)</f>
        <v>0</v>
      </c>
      <c r="BN186" s="25">
        <f>IFERROR(INDEX('2 Staff List'!FU$64:FU$114,$AH186),0)</f>
        <v>0</v>
      </c>
      <c r="BO186" s="25">
        <f>IFERROR(INDEX('2 Staff List'!FV$64:FV$114,$AH186),0)</f>
        <v>0</v>
      </c>
      <c r="BP186" s="25">
        <f>IFERROR(INDEX('2 Staff List'!FW$64:FW$114,$AH186),0)</f>
        <v>0</v>
      </c>
      <c r="BQ186" s="25">
        <f>IFERROR(INDEX('2 Staff List'!FX$64:FX$114,$AH186),0)</f>
        <v>0</v>
      </c>
      <c r="BR186" s="25">
        <f>IFERROR(INDEX('2 Staff List'!FY$64:FY$114,$AH186),0)</f>
        <v>0</v>
      </c>
      <c r="BS186" s="25">
        <f>IFERROR(INDEX('2 Staff List'!FZ$64:FZ$114,$AH186),0)</f>
        <v>0</v>
      </c>
      <c r="BT186" s="25">
        <f>IFERROR(INDEX('2 Staff List'!GA$64:GA$114,$AH186),0)</f>
        <v>0</v>
      </c>
      <c r="BU186" s="25">
        <f>IFERROR(INDEX('2 Staff List'!GB$64:GB$114,$AH186),0)</f>
        <v>0</v>
      </c>
      <c r="BV186" s="25">
        <f>IFERROR(INDEX('2 Staff List'!GC$64:GC$114,$AH186),0)</f>
        <v>0</v>
      </c>
      <c r="BW186" s="25">
        <f t="shared" si="236"/>
        <v>0</v>
      </c>
      <c r="BX186" s="25">
        <f t="shared" si="237"/>
        <v>0</v>
      </c>
      <c r="BY186" s="25">
        <f t="shared" si="238"/>
        <v>0</v>
      </c>
      <c r="BZ186" s="25">
        <f t="shared" si="239"/>
        <v>0</v>
      </c>
      <c r="CA186" s="25">
        <f t="shared" si="240"/>
        <v>0</v>
      </c>
      <c r="CB186" s="25">
        <f t="shared" si="241"/>
        <v>0</v>
      </c>
      <c r="CC186" s="25">
        <f t="shared" si="242"/>
        <v>0</v>
      </c>
      <c r="CD186" s="25">
        <f t="shared" si="243"/>
        <v>0</v>
      </c>
      <c r="CE186" s="25">
        <f t="shared" si="244"/>
        <v>0</v>
      </c>
      <c r="CF186" s="25">
        <f t="shared" si="245"/>
        <v>0</v>
      </c>
      <c r="CG186" s="25">
        <f t="shared" si="246"/>
        <v>0</v>
      </c>
      <c r="CH186" s="25">
        <f>IFERROR(INDEX('2 Staff List'!LO$64:LO$114,$AH186),0)</f>
        <v>0</v>
      </c>
      <c r="CI186" s="25">
        <f>IFERROR(INDEX('2 Staff List'!LP$64:LP$114,$AH186),0)</f>
        <v>0</v>
      </c>
      <c r="CJ186" s="25">
        <f>IFERROR(INDEX('2 Staff List'!LQ$64:LQ$114,$AH186),0)</f>
        <v>0</v>
      </c>
      <c r="CK186" s="25">
        <f>IFERROR(INDEX('2 Staff List'!LR$64:LR$114,$AH186),0)</f>
        <v>0</v>
      </c>
      <c r="CL186" s="25">
        <f>IFERROR(INDEX('2 Staff List'!LS$64:LS$114,$AH186),0)</f>
        <v>0</v>
      </c>
      <c r="CM186" s="25">
        <f>IFERROR(INDEX('2 Staff List'!LT$64:LT$114,$AH186),0)</f>
        <v>0</v>
      </c>
      <c r="CN186" s="25">
        <f>IFERROR(INDEX('2 Staff List'!LU$64:LU$114,$AH186),0)</f>
        <v>0</v>
      </c>
      <c r="CO186" s="25">
        <f>IFERROR(INDEX('2 Staff List'!LV$64:LV$114,$AH186),0)</f>
        <v>0</v>
      </c>
      <c r="CP186" s="25">
        <f>IFERROR(INDEX('2 Staff List'!LW$64:LW$114,$AH186),0)</f>
        <v>0</v>
      </c>
      <c r="CQ186" s="25">
        <f>IFERROR(INDEX('2 Staff List'!LX$64:LX$114,$AH186),0)</f>
        <v>0</v>
      </c>
      <c r="CR186" s="25">
        <f t="shared" si="272"/>
        <v>0</v>
      </c>
      <c r="CS186" s="25">
        <f t="shared" si="281"/>
        <v>1</v>
      </c>
      <c r="CT186" s="25">
        <f t="shared" si="248"/>
        <v>1</v>
      </c>
      <c r="CU186" s="25">
        <f t="shared" si="249"/>
        <v>1</v>
      </c>
      <c r="CV186" s="25">
        <f t="shared" si="250"/>
        <v>1</v>
      </c>
      <c r="CW186" s="25">
        <f t="shared" si="251"/>
        <v>1</v>
      </c>
      <c r="CX186" s="25">
        <f t="shared" si="252"/>
        <v>0</v>
      </c>
      <c r="CY186" s="25">
        <f t="shared" si="253"/>
        <v>0</v>
      </c>
      <c r="CZ186" s="25">
        <f t="shared" si="254"/>
        <v>0</v>
      </c>
      <c r="DA186" s="25">
        <f t="shared" si="255"/>
        <v>1</v>
      </c>
      <c r="DB186" s="25">
        <f t="shared" si="273"/>
        <v>1</v>
      </c>
      <c r="DC186" s="25">
        <f t="shared" si="256"/>
        <v>0</v>
      </c>
      <c r="DD186" s="25">
        <f>IF(OR($AD186&lt;&gt;3,F186="Exclude"),0,IF(ISERROR(MATCH($E186,'4 Sign-off'!$S$123:$X$123,0)),0,1))</f>
        <v>0</v>
      </c>
      <c r="DE186" s="25">
        <f t="shared" si="274"/>
        <v>0</v>
      </c>
      <c r="DF186" s="25">
        <f t="shared" si="257"/>
        <v>0</v>
      </c>
      <c r="DG186" s="25" t="str">
        <f t="shared" si="258"/>
        <v/>
      </c>
      <c r="DH186" s="25">
        <f t="shared" si="259"/>
        <v>0</v>
      </c>
      <c r="DI186" s="25">
        <f t="shared" si="260"/>
        <v>0</v>
      </c>
      <c r="DJ186" s="25">
        <f>IF(ISBLANK(J186),0,ISERROR(MATCH(J186,'5  Control Accounts'!$FA$29:$FA$96,0))*1)</f>
        <v>0</v>
      </c>
      <c r="DK186" s="25">
        <f t="shared" si="261"/>
        <v>0</v>
      </c>
      <c r="DL186" s="25">
        <f t="shared" si="275"/>
        <v>-1</v>
      </c>
      <c r="DM186" s="25" t="e">
        <f t="array" ref="DM186">MATCH(1,($EG186:$JD186&gt;0)*$EG$17:$JD$17,0)</f>
        <v>#N/A</v>
      </c>
      <c r="DN186" s="25" t="e">
        <f t="shared" si="276"/>
        <v>#N/A</v>
      </c>
      <c r="DO186" s="25" t="e">
        <f t="array" ref="DO186">MATCH(2,1/(EG186:JD186&gt;0))</f>
        <v>#N/A</v>
      </c>
      <c r="DP186" s="2993">
        <f t="shared" si="262"/>
        <v>0</v>
      </c>
      <c r="DQ186" s="3037">
        <f t="shared" si="263"/>
        <v>0</v>
      </c>
      <c r="DR186" s="111"/>
      <c r="DS186" s="1268">
        <f t="shared" si="282"/>
        <v>0</v>
      </c>
      <c r="DT186" s="1825"/>
      <c r="DU186" s="1826"/>
      <c r="DV186" s="1827"/>
      <c r="DW186" s="1828"/>
      <c r="DX186" s="659"/>
      <c r="DY186" s="1265"/>
      <c r="DZ186" s="1785">
        <f t="shared" si="277"/>
        <v>0</v>
      </c>
      <c r="EA186" s="1786">
        <f t="shared" si="278"/>
        <v>0</v>
      </c>
      <c r="EB186" s="1781">
        <f t="shared" si="279"/>
        <v>0</v>
      </c>
      <c r="EC186" s="1782">
        <f t="shared" si="280"/>
        <v>0</v>
      </c>
      <c r="ED186" s="1262"/>
      <c r="EE186" s="2280"/>
      <c r="EF186" s="1802"/>
      <c r="EG186" s="167"/>
      <c r="EH186" s="168"/>
      <c r="EI186" s="168"/>
      <c r="EJ186" s="168"/>
      <c r="EK186" s="168"/>
      <c r="EL186" s="168"/>
      <c r="EM186" s="168"/>
      <c r="EN186" s="168"/>
      <c r="EO186" s="168"/>
      <c r="EP186" s="168"/>
      <c r="EQ186" s="168"/>
      <c r="ER186" s="168"/>
      <c r="ES186" s="168"/>
      <c r="ET186" s="168"/>
      <c r="EU186" s="168"/>
      <c r="EV186" s="168"/>
      <c r="EW186" s="168"/>
      <c r="EX186" s="168"/>
      <c r="EY186" s="168"/>
      <c r="EZ186" s="168"/>
      <c r="FA186" s="168"/>
      <c r="FB186" s="168"/>
      <c r="FC186" s="168"/>
      <c r="FD186" s="168"/>
      <c r="FE186" s="168"/>
      <c r="FF186" s="168"/>
      <c r="FG186" s="168"/>
      <c r="FH186" s="168"/>
      <c r="FI186" s="168"/>
      <c r="FJ186" s="168"/>
      <c r="FK186" s="168"/>
      <c r="FL186" s="168"/>
      <c r="FM186" s="168"/>
      <c r="FN186" s="168"/>
      <c r="FO186" s="168"/>
      <c r="FP186" s="168"/>
      <c r="FQ186" s="168"/>
      <c r="FR186" s="168"/>
      <c r="FS186" s="168"/>
      <c r="FT186" s="168"/>
      <c r="FU186" s="168"/>
      <c r="FV186" s="168"/>
      <c r="FW186" s="168"/>
      <c r="FX186" s="168"/>
      <c r="FY186" s="168"/>
      <c r="FZ186" s="168"/>
      <c r="GA186" s="168"/>
      <c r="GB186" s="168"/>
      <c r="GC186" s="168"/>
      <c r="GD186" s="168"/>
      <c r="GE186" s="168"/>
      <c r="GF186" s="168"/>
      <c r="GG186" s="168"/>
      <c r="GH186" s="168"/>
      <c r="GI186" s="168"/>
      <c r="GJ186" s="168"/>
      <c r="GK186" s="168"/>
      <c r="GL186" s="168"/>
      <c r="GM186" s="168"/>
      <c r="GN186" s="168"/>
      <c r="GO186" s="168"/>
      <c r="GP186" s="168"/>
      <c r="GQ186" s="168"/>
      <c r="GR186" s="168"/>
      <c r="GS186" s="168"/>
      <c r="GT186" s="168"/>
      <c r="GU186" s="168"/>
      <c r="GV186" s="168"/>
      <c r="GW186" s="168"/>
      <c r="GX186" s="168"/>
      <c r="GY186" s="168"/>
      <c r="GZ186" s="168"/>
      <c r="HA186" s="168"/>
      <c r="HB186" s="168"/>
      <c r="HC186" s="168"/>
      <c r="HD186" s="168"/>
      <c r="HE186" s="168"/>
      <c r="HF186" s="168"/>
      <c r="HG186" s="168"/>
      <c r="HH186" s="168"/>
      <c r="HI186" s="168"/>
      <c r="HJ186" s="168"/>
      <c r="HK186" s="168"/>
      <c r="HL186" s="168"/>
      <c r="HM186" s="168"/>
      <c r="HN186" s="168"/>
      <c r="HO186" s="168"/>
      <c r="HP186" s="168"/>
      <c r="HQ186" s="168"/>
      <c r="HR186" s="168"/>
      <c r="HS186" s="168"/>
      <c r="HT186" s="168"/>
      <c r="HU186" s="168"/>
      <c r="HV186" s="168"/>
      <c r="HW186" s="168"/>
      <c r="HX186" s="168"/>
      <c r="HY186" s="168"/>
      <c r="HZ186" s="168"/>
      <c r="IA186" s="168"/>
      <c r="IB186" s="168"/>
      <c r="IC186" s="168"/>
      <c r="ID186" s="168"/>
      <c r="IE186" s="168"/>
      <c r="IF186" s="168"/>
      <c r="IG186" s="168"/>
      <c r="IH186" s="168"/>
      <c r="II186" s="168"/>
      <c r="IJ186" s="168"/>
      <c r="IK186" s="168"/>
      <c r="IL186" s="168"/>
      <c r="IM186" s="168"/>
      <c r="IN186" s="168"/>
      <c r="IO186" s="168"/>
      <c r="IP186" s="168"/>
      <c r="IQ186" s="168"/>
      <c r="IR186" s="168"/>
      <c r="IS186" s="168"/>
      <c r="IT186" s="168"/>
      <c r="IU186" s="168"/>
      <c r="IV186" s="168"/>
      <c r="IW186" s="168"/>
      <c r="IX186" s="168"/>
      <c r="IY186" s="168"/>
      <c r="IZ186" s="168"/>
      <c r="JA186" s="168"/>
      <c r="JB186" s="168"/>
      <c r="JC186" s="606"/>
      <c r="JD186" s="609"/>
      <c r="JE186" s="1"/>
      <c r="JF186" s="1"/>
    </row>
    <row r="187" spans="1:266" s="2" customFormat="1" ht="15" customHeight="1" x14ac:dyDescent="0.25">
      <c r="A187" s="283"/>
      <c r="B187" s="303"/>
      <c r="C187" s="301"/>
      <c r="D187" s="638"/>
      <c r="E187" s="2298"/>
      <c r="F187" s="1812"/>
      <c r="G187" s="3342"/>
      <c r="H187" s="66"/>
      <c r="I187" s="1746"/>
      <c r="J187" s="86"/>
      <c r="K187" s="105"/>
      <c r="L187" s="91"/>
      <c r="M187" s="92"/>
      <c r="N187" s="93"/>
      <c r="O187" s="94"/>
      <c r="P187" s="96"/>
      <c r="Q187" s="95"/>
      <c r="R187" s="993">
        <f t="shared" si="267"/>
        <v>0</v>
      </c>
      <c r="S187" s="23">
        <f t="shared" si="214"/>
        <v>0</v>
      </c>
      <c r="T187" s="24">
        <f t="shared" si="215"/>
        <v>0</v>
      </c>
      <c r="U187" s="24">
        <f t="shared" si="199"/>
        <v>0</v>
      </c>
      <c r="V187" s="24">
        <f t="shared" si="216"/>
        <v>0</v>
      </c>
      <c r="W187" s="24">
        <f t="shared" si="217"/>
        <v>0</v>
      </c>
      <c r="X187" s="72">
        <f t="shared" si="218"/>
        <v>0</v>
      </c>
      <c r="Y187" s="72">
        <f t="shared" si="219"/>
        <v>0</v>
      </c>
      <c r="Z187" s="24">
        <f t="shared" si="268"/>
        <v>0</v>
      </c>
      <c r="AA187" s="72">
        <f t="shared" si="220"/>
        <v>0</v>
      </c>
      <c r="AB187" s="24">
        <f t="shared" si="221"/>
        <v>0</v>
      </c>
      <c r="AC187" s="24" t="s">
        <v>5</v>
      </c>
      <c r="AD187" s="25">
        <f t="shared" si="269"/>
        <v>3</v>
      </c>
      <c r="AE187" s="25">
        <f t="shared" si="270"/>
        <v>0</v>
      </c>
      <c r="AF187" s="25">
        <f t="shared" si="271"/>
        <v>0</v>
      </c>
      <c r="AG187" s="25">
        <f t="shared" si="222"/>
        <v>1</v>
      </c>
      <c r="AH187" s="25" t="str">
        <f>IFERROR(MATCH(DY187,'2 Staff List'!$IA$64:$IA$114,0),"x")</f>
        <v>x</v>
      </c>
      <c r="AI187" s="1181">
        <f>IFERROR(INDEX('2 Staff List'!$EX$64:$EX$114,$AH187),0)</f>
        <v>0</v>
      </c>
      <c r="AJ187" s="25">
        <f>IFERROR(INDEX('2 Staff List'!$IW$64:$IW$114,$AH187),0)</f>
        <v>0</v>
      </c>
      <c r="AK187" s="25">
        <f>IFERROR(INDEX('2 Staff List'!$IB$64:$IB$114,$AH187),0)</f>
        <v>0</v>
      </c>
      <c r="AL187" s="25">
        <f>IF(OR(NOT(ISBLANK(DV187)),CX187=1),"&lt;Non-Labor&gt;",IFERROR(IF(AH187=0,0,INDEX('2 Staff List'!$HZ$64:$HZ$114,$AH187)),0))</f>
        <v>0</v>
      </c>
      <c r="AM187" s="25">
        <f>IFERROR(INDEX('2 Staff List'!$HW$64:$HW$114,$AH187),0)</f>
        <v>0</v>
      </c>
      <c r="AN187" s="25">
        <f t="shared" si="223"/>
        <v>1</v>
      </c>
      <c r="AO187" s="25">
        <f>IF($AO$127=0,0,IFERROR(INDEX('2 Staff List'!$JH$64:$JH$114,$AH187),0))</f>
        <v>0</v>
      </c>
      <c r="AP187" s="25">
        <f>IFERROR(INDEX('2 Staff List'!$HU$64:$HU$114,$AH187),0)</f>
        <v>0</v>
      </c>
      <c r="AQ187" s="25">
        <f t="shared" si="224"/>
        <v>0</v>
      </c>
      <c r="AR187" s="25">
        <f t="shared" si="225"/>
        <v>0</v>
      </c>
      <c r="AS187" s="25">
        <f t="shared" si="226"/>
        <v>0</v>
      </c>
      <c r="AT187" s="25">
        <f t="shared" si="227"/>
        <v>0</v>
      </c>
      <c r="AU187" s="25">
        <f t="shared" si="228"/>
        <v>0</v>
      </c>
      <c r="AV187" s="25">
        <f t="shared" si="229"/>
        <v>0</v>
      </c>
      <c r="AW187" s="25">
        <f t="shared" si="230"/>
        <v>0</v>
      </c>
      <c r="AX187" s="25">
        <f t="shared" si="231"/>
        <v>0</v>
      </c>
      <c r="AY187" s="25">
        <f t="shared" si="232"/>
        <v>0</v>
      </c>
      <c r="AZ187" s="25">
        <f t="shared" si="233"/>
        <v>0</v>
      </c>
      <c r="BA187" s="25">
        <f t="shared" si="234"/>
        <v>0</v>
      </c>
      <c r="BB187" s="25">
        <f t="shared" si="235"/>
        <v>0</v>
      </c>
      <c r="BC187" s="25">
        <f>IFERROR(INDEX('2 Staff List'!KS$64:KS$114,$AH187),0)</f>
        <v>0</v>
      </c>
      <c r="BD187" s="25">
        <f>IFERROR(INDEX('2 Staff List'!KT$64:KT$114,$AH187),0)</f>
        <v>0</v>
      </c>
      <c r="BE187" s="25">
        <f>IFERROR(INDEX('2 Staff List'!KU$64:KU$114,$AH187),0)</f>
        <v>0</v>
      </c>
      <c r="BF187" s="25">
        <f>IFERROR(INDEX('2 Staff List'!KV$64:KV$114,$AH187),0)</f>
        <v>0</v>
      </c>
      <c r="BG187" s="25">
        <f>IFERROR(INDEX('2 Staff List'!KW$64:KW$114,$AH187),0)</f>
        <v>0</v>
      </c>
      <c r="BH187" s="25">
        <f>IFERROR(INDEX('2 Staff List'!KX$64:KX$114,$AH187),0)</f>
        <v>0</v>
      </c>
      <c r="BI187" s="25">
        <f>IFERROR(INDEX('2 Staff List'!KY$64:KY$114,$AH187),0)</f>
        <v>0</v>
      </c>
      <c r="BJ187" s="25">
        <f>IFERROR(INDEX('2 Staff List'!KZ$64:KZ$114,$AH187),0)</f>
        <v>0</v>
      </c>
      <c r="BK187" s="25">
        <f>IFERROR(INDEX('2 Staff List'!LA$64:LA$114,$AH187),0)</f>
        <v>0</v>
      </c>
      <c r="BL187" s="25">
        <f>IFERROR(INDEX('2 Staff List'!LB$64:LB$114,$AH187),0)</f>
        <v>0</v>
      </c>
      <c r="BM187" s="25">
        <f>IFERROR(INDEX('2 Staff List'!FT$64:FT$114,$AH187),0)</f>
        <v>0</v>
      </c>
      <c r="BN187" s="25">
        <f>IFERROR(INDEX('2 Staff List'!FU$64:FU$114,$AH187),0)</f>
        <v>0</v>
      </c>
      <c r="BO187" s="25">
        <f>IFERROR(INDEX('2 Staff List'!FV$64:FV$114,$AH187),0)</f>
        <v>0</v>
      </c>
      <c r="BP187" s="25">
        <f>IFERROR(INDEX('2 Staff List'!FW$64:FW$114,$AH187),0)</f>
        <v>0</v>
      </c>
      <c r="BQ187" s="25">
        <f>IFERROR(INDEX('2 Staff List'!FX$64:FX$114,$AH187),0)</f>
        <v>0</v>
      </c>
      <c r="BR187" s="25">
        <f>IFERROR(INDEX('2 Staff List'!FY$64:FY$114,$AH187),0)</f>
        <v>0</v>
      </c>
      <c r="BS187" s="25">
        <f>IFERROR(INDEX('2 Staff List'!FZ$64:FZ$114,$AH187),0)</f>
        <v>0</v>
      </c>
      <c r="BT187" s="25">
        <f>IFERROR(INDEX('2 Staff List'!GA$64:GA$114,$AH187),0)</f>
        <v>0</v>
      </c>
      <c r="BU187" s="25">
        <f>IFERROR(INDEX('2 Staff List'!GB$64:GB$114,$AH187),0)</f>
        <v>0</v>
      </c>
      <c r="BV187" s="25">
        <f>IFERROR(INDEX('2 Staff List'!GC$64:GC$114,$AH187),0)</f>
        <v>0</v>
      </c>
      <c r="BW187" s="25">
        <f t="shared" si="236"/>
        <v>0</v>
      </c>
      <c r="BX187" s="25">
        <f t="shared" si="237"/>
        <v>0</v>
      </c>
      <c r="BY187" s="25">
        <f t="shared" si="238"/>
        <v>0</v>
      </c>
      <c r="BZ187" s="25">
        <f t="shared" si="239"/>
        <v>0</v>
      </c>
      <c r="CA187" s="25">
        <f t="shared" si="240"/>
        <v>0</v>
      </c>
      <c r="CB187" s="25">
        <f t="shared" si="241"/>
        <v>0</v>
      </c>
      <c r="CC187" s="25">
        <f t="shared" si="242"/>
        <v>0</v>
      </c>
      <c r="CD187" s="25">
        <f t="shared" si="243"/>
        <v>0</v>
      </c>
      <c r="CE187" s="25">
        <f t="shared" si="244"/>
        <v>0</v>
      </c>
      <c r="CF187" s="25">
        <f t="shared" si="245"/>
        <v>0</v>
      </c>
      <c r="CG187" s="25">
        <f t="shared" si="246"/>
        <v>0</v>
      </c>
      <c r="CH187" s="25">
        <f>IFERROR(INDEX('2 Staff List'!LO$64:LO$114,$AH187),0)</f>
        <v>0</v>
      </c>
      <c r="CI187" s="25">
        <f>IFERROR(INDEX('2 Staff List'!LP$64:LP$114,$AH187),0)</f>
        <v>0</v>
      </c>
      <c r="CJ187" s="25">
        <f>IFERROR(INDEX('2 Staff List'!LQ$64:LQ$114,$AH187),0)</f>
        <v>0</v>
      </c>
      <c r="CK187" s="25">
        <f>IFERROR(INDEX('2 Staff List'!LR$64:LR$114,$AH187),0)</f>
        <v>0</v>
      </c>
      <c r="CL187" s="25">
        <f>IFERROR(INDEX('2 Staff List'!LS$64:LS$114,$AH187),0)</f>
        <v>0</v>
      </c>
      <c r="CM187" s="25">
        <f>IFERROR(INDEX('2 Staff List'!LT$64:LT$114,$AH187),0)</f>
        <v>0</v>
      </c>
      <c r="CN187" s="25">
        <f>IFERROR(INDEX('2 Staff List'!LU$64:LU$114,$AH187),0)</f>
        <v>0</v>
      </c>
      <c r="CO187" s="25">
        <f>IFERROR(INDEX('2 Staff List'!LV$64:LV$114,$AH187),0)</f>
        <v>0</v>
      </c>
      <c r="CP187" s="25">
        <f>IFERROR(INDEX('2 Staff List'!LW$64:LW$114,$AH187),0)</f>
        <v>0</v>
      </c>
      <c r="CQ187" s="25">
        <f>IFERROR(INDEX('2 Staff List'!LX$64:LX$114,$AH187),0)</f>
        <v>0</v>
      </c>
      <c r="CR187" s="25">
        <f t="shared" si="272"/>
        <v>0</v>
      </c>
      <c r="CS187" s="25">
        <f t="shared" si="281"/>
        <v>1</v>
      </c>
      <c r="CT187" s="25">
        <f t="shared" si="248"/>
        <v>1</v>
      </c>
      <c r="CU187" s="25">
        <f t="shared" si="249"/>
        <v>1</v>
      </c>
      <c r="CV187" s="25">
        <f t="shared" si="250"/>
        <v>1</v>
      </c>
      <c r="CW187" s="25">
        <f t="shared" si="251"/>
        <v>1</v>
      </c>
      <c r="CX187" s="25">
        <f t="shared" si="252"/>
        <v>0</v>
      </c>
      <c r="CY187" s="25">
        <f t="shared" si="253"/>
        <v>0</v>
      </c>
      <c r="CZ187" s="25">
        <f t="shared" si="254"/>
        <v>0</v>
      </c>
      <c r="DA187" s="25">
        <f t="shared" si="255"/>
        <v>1</v>
      </c>
      <c r="DB187" s="25">
        <f t="shared" si="273"/>
        <v>1</v>
      </c>
      <c r="DC187" s="25">
        <f t="shared" si="256"/>
        <v>0</v>
      </c>
      <c r="DD187" s="25">
        <f>IF(OR($AD187&lt;&gt;3,F187="Exclude"),0,IF(ISERROR(MATCH($E187,'4 Sign-off'!$S$123:$X$123,0)),0,1))</f>
        <v>0</v>
      </c>
      <c r="DE187" s="25">
        <f t="shared" si="274"/>
        <v>0</v>
      </c>
      <c r="DF187" s="25">
        <f t="shared" si="257"/>
        <v>0</v>
      </c>
      <c r="DG187" s="25" t="str">
        <f t="shared" si="258"/>
        <v/>
      </c>
      <c r="DH187" s="25">
        <f t="shared" si="259"/>
        <v>0</v>
      </c>
      <c r="DI187" s="25">
        <f t="shared" si="260"/>
        <v>0</v>
      </c>
      <c r="DJ187" s="25">
        <f>IF(ISBLANK(J187),0,ISERROR(MATCH(J187,'5  Control Accounts'!$FA$29:$FA$96,0))*1)</f>
        <v>0</v>
      </c>
      <c r="DK187" s="25">
        <f t="shared" si="261"/>
        <v>0</v>
      </c>
      <c r="DL187" s="25">
        <f t="shared" si="275"/>
        <v>-1</v>
      </c>
      <c r="DM187" s="25" t="e">
        <f t="array" ref="DM187">MATCH(1,($EG187:$JD187&gt;0)*$EG$17:$JD$17,0)</f>
        <v>#N/A</v>
      </c>
      <c r="DN187" s="25" t="e">
        <f t="shared" si="276"/>
        <v>#N/A</v>
      </c>
      <c r="DO187" s="25" t="e">
        <f t="array" ref="DO187">MATCH(2,1/(EG187:JD187&gt;0))</f>
        <v>#N/A</v>
      </c>
      <c r="DP187" s="2993">
        <f t="shared" si="262"/>
        <v>0</v>
      </c>
      <c r="DQ187" s="3037">
        <f t="shared" si="263"/>
        <v>0</v>
      </c>
      <c r="DR187" s="111"/>
      <c r="DS187" s="1268">
        <f t="shared" si="282"/>
        <v>0</v>
      </c>
      <c r="DT187" s="1825"/>
      <c r="DU187" s="1826"/>
      <c r="DV187" s="1827"/>
      <c r="DW187" s="1828"/>
      <c r="DX187" s="659"/>
      <c r="DY187" s="1265"/>
      <c r="DZ187" s="1785">
        <f t="shared" si="277"/>
        <v>0</v>
      </c>
      <c r="EA187" s="1786">
        <f t="shared" si="278"/>
        <v>0</v>
      </c>
      <c r="EB187" s="1781">
        <f t="shared" si="279"/>
        <v>0</v>
      </c>
      <c r="EC187" s="1782">
        <f t="shared" si="280"/>
        <v>0</v>
      </c>
      <c r="ED187" s="1262"/>
      <c r="EE187" s="2280"/>
      <c r="EF187" s="1802"/>
      <c r="EG187" s="167"/>
      <c r="EH187" s="168"/>
      <c r="EI187" s="168"/>
      <c r="EJ187" s="168"/>
      <c r="EK187" s="168"/>
      <c r="EL187" s="168"/>
      <c r="EM187" s="168"/>
      <c r="EN187" s="168"/>
      <c r="EO187" s="168"/>
      <c r="EP187" s="168"/>
      <c r="EQ187" s="168"/>
      <c r="ER187" s="168"/>
      <c r="ES187" s="168"/>
      <c r="ET187" s="168"/>
      <c r="EU187" s="168"/>
      <c r="EV187" s="168"/>
      <c r="EW187" s="168"/>
      <c r="EX187" s="168"/>
      <c r="EY187" s="168"/>
      <c r="EZ187" s="168"/>
      <c r="FA187" s="168"/>
      <c r="FB187" s="168"/>
      <c r="FC187" s="168"/>
      <c r="FD187" s="168"/>
      <c r="FE187" s="168"/>
      <c r="FF187" s="168"/>
      <c r="FG187" s="168"/>
      <c r="FH187" s="168"/>
      <c r="FI187" s="168"/>
      <c r="FJ187" s="168"/>
      <c r="FK187" s="168"/>
      <c r="FL187" s="168"/>
      <c r="FM187" s="168"/>
      <c r="FN187" s="168"/>
      <c r="FO187" s="168"/>
      <c r="FP187" s="168"/>
      <c r="FQ187" s="168"/>
      <c r="FR187" s="168"/>
      <c r="FS187" s="168"/>
      <c r="FT187" s="168"/>
      <c r="FU187" s="168"/>
      <c r="FV187" s="168"/>
      <c r="FW187" s="168"/>
      <c r="FX187" s="168"/>
      <c r="FY187" s="168"/>
      <c r="FZ187" s="168"/>
      <c r="GA187" s="168"/>
      <c r="GB187" s="168"/>
      <c r="GC187" s="168"/>
      <c r="GD187" s="168"/>
      <c r="GE187" s="168"/>
      <c r="GF187" s="168"/>
      <c r="GG187" s="168"/>
      <c r="GH187" s="168"/>
      <c r="GI187" s="168"/>
      <c r="GJ187" s="168"/>
      <c r="GK187" s="168"/>
      <c r="GL187" s="168"/>
      <c r="GM187" s="168"/>
      <c r="GN187" s="168"/>
      <c r="GO187" s="168"/>
      <c r="GP187" s="168"/>
      <c r="GQ187" s="168"/>
      <c r="GR187" s="168"/>
      <c r="GS187" s="168"/>
      <c r="GT187" s="168"/>
      <c r="GU187" s="168"/>
      <c r="GV187" s="168"/>
      <c r="GW187" s="168"/>
      <c r="GX187" s="168"/>
      <c r="GY187" s="168"/>
      <c r="GZ187" s="168"/>
      <c r="HA187" s="168"/>
      <c r="HB187" s="168"/>
      <c r="HC187" s="168"/>
      <c r="HD187" s="168"/>
      <c r="HE187" s="168"/>
      <c r="HF187" s="168"/>
      <c r="HG187" s="168"/>
      <c r="HH187" s="168"/>
      <c r="HI187" s="168"/>
      <c r="HJ187" s="168"/>
      <c r="HK187" s="168"/>
      <c r="HL187" s="168"/>
      <c r="HM187" s="168"/>
      <c r="HN187" s="168"/>
      <c r="HO187" s="168"/>
      <c r="HP187" s="168"/>
      <c r="HQ187" s="168"/>
      <c r="HR187" s="168"/>
      <c r="HS187" s="168"/>
      <c r="HT187" s="168"/>
      <c r="HU187" s="168"/>
      <c r="HV187" s="168"/>
      <c r="HW187" s="168"/>
      <c r="HX187" s="168"/>
      <c r="HY187" s="168"/>
      <c r="HZ187" s="168"/>
      <c r="IA187" s="168"/>
      <c r="IB187" s="168"/>
      <c r="IC187" s="168"/>
      <c r="ID187" s="168"/>
      <c r="IE187" s="168"/>
      <c r="IF187" s="168"/>
      <c r="IG187" s="168"/>
      <c r="IH187" s="168"/>
      <c r="II187" s="168"/>
      <c r="IJ187" s="168"/>
      <c r="IK187" s="168"/>
      <c r="IL187" s="168"/>
      <c r="IM187" s="168"/>
      <c r="IN187" s="168"/>
      <c r="IO187" s="168"/>
      <c r="IP187" s="168"/>
      <c r="IQ187" s="168"/>
      <c r="IR187" s="168"/>
      <c r="IS187" s="168"/>
      <c r="IT187" s="168"/>
      <c r="IU187" s="168"/>
      <c r="IV187" s="168"/>
      <c r="IW187" s="168"/>
      <c r="IX187" s="168"/>
      <c r="IY187" s="168"/>
      <c r="IZ187" s="168"/>
      <c r="JA187" s="168"/>
      <c r="JB187" s="168"/>
      <c r="JC187" s="606"/>
      <c r="JD187" s="609"/>
      <c r="JE187" s="1"/>
      <c r="JF187" s="1"/>
    </row>
    <row r="188" spans="1:266" s="2" customFormat="1" ht="15" customHeight="1" x14ac:dyDescent="0.25">
      <c r="A188" s="283"/>
      <c r="B188" s="303"/>
      <c r="C188" s="301"/>
      <c r="D188" s="638"/>
      <c r="E188" s="2298"/>
      <c r="F188" s="1812"/>
      <c r="G188" s="3342"/>
      <c r="H188" s="66"/>
      <c r="I188" s="1746"/>
      <c r="J188" s="86"/>
      <c r="K188" s="105"/>
      <c r="L188" s="91"/>
      <c r="M188" s="92"/>
      <c r="N188" s="93"/>
      <c r="O188" s="94"/>
      <c r="P188" s="96"/>
      <c r="Q188" s="95"/>
      <c r="R188" s="993">
        <f t="shared" si="267"/>
        <v>0</v>
      </c>
      <c r="S188" s="23">
        <f t="shared" si="214"/>
        <v>0</v>
      </c>
      <c r="T188" s="24">
        <f t="shared" si="215"/>
        <v>0</v>
      </c>
      <c r="U188" s="24">
        <f t="shared" si="199"/>
        <v>0</v>
      </c>
      <c r="V188" s="24">
        <f t="shared" si="216"/>
        <v>0</v>
      </c>
      <c r="W188" s="24">
        <f t="shared" si="217"/>
        <v>0</v>
      </c>
      <c r="X188" s="72">
        <f t="shared" si="218"/>
        <v>0</v>
      </c>
      <c r="Y188" s="72">
        <f t="shared" si="219"/>
        <v>0</v>
      </c>
      <c r="Z188" s="24">
        <f t="shared" si="268"/>
        <v>0</v>
      </c>
      <c r="AA188" s="72">
        <f t="shared" si="220"/>
        <v>0</v>
      </c>
      <c r="AB188" s="24">
        <f t="shared" si="221"/>
        <v>0</v>
      </c>
      <c r="AC188" s="24" t="s">
        <v>5</v>
      </c>
      <c r="AD188" s="25">
        <f t="shared" si="269"/>
        <v>3</v>
      </c>
      <c r="AE188" s="25">
        <f t="shared" si="270"/>
        <v>0</v>
      </c>
      <c r="AF188" s="25">
        <f t="shared" si="271"/>
        <v>0</v>
      </c>
      <c r="AG188" s="25">
        <f t="shared" si="222"/>
        <v>1</v>
      </c>
      <c r="AH188" s="25" t="str">
        <f>IFERROR(MATCH(DY188,'2 Staff List'!$IA$64:$IA$114,0),"x")</f>
        <v>x</v>
      </c>
      <c r="AI188" s="1181">
        <f>IFERROR(INDEX('2 Staff List'!$EX$64:$EX$114,$AH188),0)</f>
        <v>0</v>
      </c>
      <c r="AJ188" s="25">
        <f>IFERROR(INDEX('2 Staff List'!$IW$64:$IW$114,$AH188),0)</f>
        <v>0</v>
      </c>
      <c r="AK188" s="25">
        <f>IFERROR(INDEX('2 Staff List'!$IB$64:$IB$114,$AH188),0)</f>
        <v>0</v>
      </c>
      <c r="AL188" s="25">
        <f>IF(OR(NOT(ISBLANK(DV188)),CX188=1),"&lt;Non-Labor&gt;",IFERROR(IF(AH188=0,0,INDEX('2 Staff List'!$HZ$64:$HZ$114,$AH188)),0))</f>
        <v>0</v>
      </c>
      <c r="AM188" s="25">
        <f>IFERROR(INDEX('2 Staff List'!$HW$64:$HW$114,$AH188),0)</f>
        <v>0</v>
      </c>
      <c r="AN188" s="25">
        <f t="shared" si="223"/>
        <v>1</v>
      </c>
      <c r="AO188" s="25">
        <f>IF($AO$127=0,0,IFERROR(INDEX('2 Staff List'!$JH$64:$JH$114,$AH188),0))</f>
        <v>0</v>
      </c>
      <c r="AP188" s="25">
        <f>IFERROR(INDEX('2 Staff List'!$HU$64:$HU$114,$AH188),0)</f>
        <v>0</v>
      </c>
      <c r="AQ188" s="25">
        <f t="shared" si="224"/>
        <v>0</v>
      </c>
      <c r="AR188" s="25">
        <f t="shared" si="225"/>
        <v>0</v>
      </c>
      <c r="AS188" s="25">
        <f t="shared" si="226"/>
        <v>0</v>
      </c>
      <c r="AT188" s="25">
        <f t="shared" si="227"/>
        <v>0</v>
      </c>
      <c r="AU188" s="25">
        <f t="shared" si="228"/>
        <v>0</v>
      </c>
      <c r="AV188" s="25">
        <f t="shared" si="229"/>
        <v>0</v>
      </c>
      <c r="AW188" s="25">
        <f t="shared" si="230"/>
        <v>0</v>
      </c>
      <c r="AX188" s="25">
        <f t="shared" si="231"/>
        <v>0</v>
      </c>
      <c r="AY188" s="25">
        <f t="shared" si="232"/>
        <v>0</v>
      </c>
      <c r="AZ188" s="25">
        <f t="shared" si="233"/>
        <v>0</v>
      </c>
      <c r="BA188" s="25">
        <f t="shared" si="234"/>
        <v>0</v>
      </c>
      <c r="BB188" s="25">
        <f t="shared" si="235"/>
        <v>0</v>
      </c>
      <c r="BC188" s="25">
        <f>IFERROR(INDEX('2 Staff List'!KS$64:KS$114,$AH188),0)</f>
        <v>0</v>
      </c>
      <c r="BD188" s="25">
        <f>IFERROR(INDEX('2 Staff List'!KT$64:KT$114,$AH188),0)</f>
        <v>0</v>
      </c>
      <c r="BE188" s="25">
        <f>IFERROR(INDEX('2 Staff List'!KU$64:KU$114,$AH188),0)</f>
        <v>0</v>
      </c>
      <c r="BF188" s="25">
        <f>IFERROR(INDEX('2 Staff List'!KV$64:KV$114,$AH188),0)</f>
        <v>0</v>
      </c>
      <c r="BG188" s="25">
        <f>IFERROR(INDEX('2 Staff List'!KW$64:KW$114,$AH188),0)</f>
        <v>0</v>
      </c>
      <c r="BH188" s="25">
        <f>IFERROR(INDEX('2 Staff List'!KX$64:KX$114,$AH188),0)</f>
        <v>0</v>
      </c>
      <c r="BI188" s="25">
        <f>IFERROR(INDEX('2 Staff List'!KY$64:KY$114,$AH188),0)</f>
        <v>0</v>
      </c>
      <c r="BJ188" s="25">
        <f>IFERROR(INDEX('2 Staff List'!KZ$64:KZ$114,$AH188),0)</f>
        <v>0</v>
      </c>
      <c r="BK188" s="25">
        <f>IFERROR(INDEX('2 Staff List'!LA$64:LA$114,$AH188),0)</f>
        <v>0</v>
      </c>
      <c r="BL188" s="25">
        <f>IFERROR(INDEX('2 Staff List'!LB$64:LB$114,$AH188),0)</f>
        <v>0</v>
      </c>
      <c r="BM188" s="25">
        <f>IFERROR(INDEX('2 Staff List'!FT$64:FT$114,$AH188),0)</f>
        <v>0</v>
      </c>
      <c r="BN188" s="25">
        <f>IFERROR(INDEX('2 Staff List'!FU$64:FU$114,$AH188),0)</f>
        <v>0</v>
      </c>
      <c r="BO188" s="25">
        <f>IFERROR(INDEX('2 Staff List'!FV$64:FV$114,$AH188),0)</f>
        <v>0</v>
      </c>
      <c r="BP188" s="25">
        <f>IFERROR(INDEX('2 Staff List'!FW$64:FW$114,$AH188),0)</f>
        <v>0</v>
      </c>
      <c r="BQ188" s="25">
        <f>IFERROR(INDEX('2 Staff List'!FX$64:FX$114,$AH188),0)</f>
        <v>0</v>
      </c>
      <c r="BR188" s="25">
        <f>IFERROR(INDEX('2 Staff List'!FY$64:FY$114,$AH188),0)</f>
        <v>0</v>
      </c>
      <c r="BS188" s="25">
        <f>IFERROR(INDEX('2 Staff List'!FZ$64:FZ$114,$AH188),0)</f>
        <v>0</v>
      </c>
      <c r="BT188" s="25">
        <f>IFERROR(INDEX('2 Staff List'!GA$64:GA$114,$AH188),0)</f>
        <v>0</v>
      </c>
      <c r="BU188" s="25">
        <f>IFERROR(INDEX('2 Staff List'!GB$64:GB$114,$AH188),0)</f>
        <v>0</v>
      </c>
      <c r="BV188" s="25">
        <f>IFERROR(INDEX('2 Staff List'!GC$64:GC$114,$AH188),0)</f>
        <v>0</v>
      </c>
      <c r="BW188" s="25">
        <f t="shared" si="236"/>
        <v>0</v>
      </c>
      <c r="BX188" s="25">
        <f t="shared" si="237"/>
        <v>0</v>
      </c>
      <c r="BY188" s="25">
        <f t="shared" si="238"/>
        <v>0</v>
      </c>
      <c r="BZ188" s="25">
        <f t="shared" si="239"/>
        <v>0</v>
      </c>
      <c r="CA188" s="25">
        <f t="shared" si="240"/>
        <v>0</v>
      </c>
      <c r="CB188" s="25">
        <f t="shared" si="241"/>
        <v>0</v>
      </c>
      <c r="CC188" s="25">
        <f t="shared" si="242"/>
        <v>0</v>
      </c>
      <c r="CD188" s="25">
        <f t="shared" si="243"/>
        <v>0</v>
      </c>
      <c r="CE188" s="25">
        <f t="shared" si="244"/>
        <v>0</v>
      </c>
      <c r="CF188" s="25">
        <f t="shared" si="245"/>
        <v>0</v>
      </c>
      <c r="CG188" s="25">
        <f t="shared" si="246"/>
        <v>0</v>
      </c>
      <c r="CH188" s="25">
        <f>IFERROR(INDEX('2 Staff List'!LO$64:LO$114,$AH188),0)</f>
        <v>0</v>
      </c>
      <c r="CI188" s="25">
        <f>IFERROR(INDEX('2 Staff List'!LP$64:LP$114,$AH188),0)</f>
        <v>0</v>
      </c>
      <c r="CJ188" s="25">
        <f>IFERROR(INDEX('2 Staff List'!LQ$64:LQ$114,$AH188),0)</f>
        <v>0</v>
      </c>
      <c r="CK188" s="25">
        <f>IFERROR(INDEX('2 Staff List'!LR$64:LR$114,$AH188),0)</f>
        <v>0</v>
      </c>
      <c r="CL188" s="25">
        <f>IFERROR(INDEX('2 Staff List'!LS$64:LS$114,$AH188),0)</f>
        <v>0</v>
      </c>
      <c r="CM188" s="25">
        <f>IFERROR(INDEX('2 Staff List'!LT$64:LT$114,$AH188),0)</f>
        <v>0</v>
      </c>
      <c r="CN188" s="25">
        <f>IFERROR(INDEX('2 Staff List'!LU$64:LU$114,$AH188),0)</f>
        <v>0</v>
      </c>
      <c r="CO188" s="25">
        <f>IFERROR(INDEX('2 Staff List'!LV$64:LV$114,$AH188),0)</f>
        <v>0</v>
      </c>
      <c r="CP188" s="25">
        <f>IFERROR(INDEX('2 Staff List'!LW$64:LW$114,$AH188),0)</f>
        <v>0</v>
      </c>
      <c r="CQ188" s="25">
        <f>IFERROR(INDEX('2 Staff List'!LX$64:LX$114,$AH188),0)</f>
        <v>0</v>
      </c>
      <c r="CR188" s="25">
        <f t="shared" si="272"/>
        <v>0</v>
      </c>
      <c r="CS188" s="25">
        <f t="shared" si="281"/>
        <v>1</v>
      </c>
      <c r="CT188" s="25">
        <f t="shared" si="248"/>
        <v>1</v>
      </c>
      <c r="CU188" s="25">
        <f t="shared" si="249"/>
        <v>1</v>
      </c>
      <c r="CV188" s="25">
        <f t="shared" si="250"/>
        <v>1</v>
      </c>
      <c r="CW188" s="25">
        <f t="shared" si="251"/>
        <v>1</v>
      </c>
      <c r="CX188" s="25">
        <f t="shared" si="252"/>
        <v>0</v>
      </c>
      <c r="CY188" s="25">
        <f t="shared" si="253"/>
        <v>0</v>
      </c>
      <c r="CZ188" s="25">
        <f t="shared" si="254"/>
        <v>0</v>
      </c>
      <c r="DA188" s="25">
        <f t="shared" si="255"/>
        <v>1</v>
      </c>
      <c r="DB188" s="25">
        <f t="shared" si="273"/>
        <v>1</v>
      </c>
      <c r="DC188" s="25">
        <f t="shared" si="256"/>
        <v>0</v>
      </c>
      <c r="DD188" s="25">
        <f>IF(OR($AD188&lt;&gt;3,F188="Exclude"),0,IF(ISERROR(MATCH($E188,'4 Sign-off'!$S$123:$X$123,0)),0,1))</f>
        <v>0</v>
      </c>
      <c r="DE188" s="25">
        <f t="shared" si="274"/>
        <v>0</v>
      </c>
      <c r="DF188" s="25">
        <f t="shared" si="257"/>
        <v>0</v>
      </c>
      <c r="DG188" s="25" t="str">
        <f t="shared" si="258"/>
        <v/>
      </c>
      <c r="DH188" s="25">
        <f t="shared" si="259"/>
        <v>0</v>
      </c>
      <c r="DI188" s="25">
        <f t="shared" si="260"/>
        <v>0</v>
      </c>
      <c r="DJ188" s="25">
        <f>IF(ISBLANK(J188),0,ISERROR(MATCH(J188,'5  Control Accounts'!$FA$29:$FA$96,0))*1)</f>
        <v>0</v>
      </c>
      <c r="DK188" s="25">
        <f t="shared" si="261"/>
        <v>0</v>
      </c>
      <c r="DL188" s="25">
        <f t="shared" si="275"/>
        <v>-1</v>
      </c>
      <c r="DM188" s="25" t="e">
        <f t="array" ref="DM188">MATCH(1,($EG188:$JD188&gt;0)*$EG$17:$JD$17,0)</f>
        <v>#N/A</v>
      </c>
      <c r="DN188" s="25" t="e">
        <f t="shared" si="276"/>
        <v>#N/A</v>
      </c>
      <c r="DO188" s="25" t="e">
        <f t="array" ref="DO188">MATCH(2,1/(EG188:JD188&gt;0))</f>
        <v>#N/A</v>
      </c>
      <c r="DP188" s="2993">
        <f t="shared" si="262"/>
        <v>0</v>
      </c>
      <c r="DQ188" s="3037">
        <f t="shared" si="263"/>
        <v>0</v>
      </c>
      <c r="DR188" s="111"/>
      <c r="DS188" s="1268">
        <f t="shared" si="282"/>
        <v>0</v>
      </c>
      <c r="DT188" s="1825"/>
      <c r="DU188" s="1826"/>
      <c r="DV188" s="1827"/>
      <c r="DW188" s="1828"/>
      <c r="DX188" s="659"/>
      <c r="DY188" s="1265"/>
      <c r="DZ188" s="1785">
        <f t="shared" si="277"/>
        <v>0</v>
      </c>
      <c r="EA188" s="1786">
        <f t="shared" si="278"/>
        <v>0</v>
      </c>
      <c r="EB188" s="1781">
        <f t="shared" si="279"/>
        <v>0</v>
      </c>
      <c r="EC188" s="1782">
        <f t="shared" si="280"/>
        <v>0</v>
      </c>
      <c r="ED188" s="1262"/>
      <c r="EE188" s="2280"/>
      <c r="EF188" s="1802"/>
      <c r="EG188" s="167"/>
      <c r="EH188" s="168"/>
      <c r="EI188" s="168"/>
      <c r="EJ188" s="168"/>
      <c r="EK188" s="168"/>
      <c r="EL188" s="168"/>
      <c r="EM188" s="168"/>
      <c r="EN188" s="168"/>
      <c r="EO188" s="168"/>
      <c r="EP188" s="168"/>
      <c r="EQ188" s="168"/>
      <c r="ER188" s="168"/>
      <c r="ES188" s="168"/>
      <c r="ET188" s="168"/>
      <c r="EU188" s="168"/>
      <c r="EV188" s="168"/>
      <c r="EW188" s="168"/>
      <c r="EX188" s="168"/>
      <c r="EY188" s="168"/>
      <c r="EZ188" s="168"/>
      <c r="FA188" s="168"/>
      <c r="FB188" s="168"/>
      <c r="FC188" s="168"/>
      <c r="FD188" s="168"/>
      <c r="FE188" s="168"/>
      <c r="FF188" s="168"/>
      <c r="FG188" s="168"/>
      <c r="FH188" s="168"/>
      <c r="FI188" s="168"/>
      <c r="FJ188" s="168"/>
      <c r="FK188" s="168"/>
      <c r="FL188" s="168"/>
      <c r="FM188" s="168"/>
      <c r="FN188" s="168"/>
      <c r="FO188" s="168"/>
      <c r="FP188" s="168"/>
      <c r="FQ188" s="168"/>
      <c r="FR188" s="168"/>
      <c r="FS188" s="168"/>
      <c r="FT188" s="168"/>
      <c r="FU188" s="168"/>
      <c r="FV188" s="168"/>
      <c r="FW188" s="168"/>
      <c r="FX188" s="168"/>
      <c r="FY188" s="168"/>
      <c r="FZ188" s="168"/>
      <c r="GA188" s="168"/>
      <c r="GB188" s="168"/>
      <c r="GC188" s="168"/>
      <c r="GD188" s="168"/>
      <c r="GE188" s="168"/>
      <c r="GF188" s="168"/>
      <c r="GG188" s="168"/>
      <c r="GH188" s="168"/>
      <c r="GI188" s="168"/>
      <c r="GJ188" s="168"/>
      <c r="GK188" s="168"/>
      <c r="GL188" s="168"/>
      <c r="GM188" s="168"/>
      <c r="GN188" s="168"/>
      <c r="GO188" s="168"/>
      <c r="GP188" s="168"/>
      <c r="GQ188" s="168"/>
      <c r="GR188" s="168"/>
      <c r="GS188" s="168"/>
      <c r="GT188" s="168"/>
      <c r="GU188" s="168"/>
      <c r="GV188" s="168"/>
      <c r="GW188" s="168"/>
      <c r="GX188" s="168"/>
      <c r="GY188" s="168"/>
      <c r="GZ188" s="168"/>
      <c r="HA188" s="168"/>
      <c r="HB188" s="168"/>
      <c r="HC188" s="168"/>
      <c r="HD188" s="168"/>
      <c r="HE188" s="168"/>
      <c r="HF188" s="168"/>
      <c r="HG188" s="168"/>
      <c r="HH188" s="168"/>
      <c r="HI188" s="168"/>
      <c r="HJ188" s="168"/>
      <c r="HK188" s="168"/>
      <c r="HL188" s="168"/>
      <c r="HM188" s="168"/>
      <c r="HN188" s="168"/>
      <c r="HO188" s="168"/>
      <c r="HP188" s="168"/>
      <c r="HQ188" s="168"/>
      <c r="HR188" s="168"/>
      <c r="HS188" s="168"/>
      <c r="HT188" s="168"/>
      <c r="HU188" s="168"/>
      <c r="HV188" s="168"/>
      <c r="HW188" s="168"/>
      <c r="HX188" s="168"/>
      <c r="HY188" s="168"/>
      <c r="HZ188" s="168"/>
      <c r="IA188" s="168"/>
      <c r="IB188" s="168"/>
      <c r="IC188" s="168"/>
      <c r="ID188" s="168"/>
      <c r="IE188" s="168"/>
      <c r="IF188" s="168"/>
      <c r="IG188" s="168"/>
      <c r="IH188" s="168"/>
      <c r="II188" s="168"/>
      <c r="IJ188" s="168"/>
      <c r="IK188" s="168"/>
      <c r="IL188" s="168"/>
      <c r="IM188" s="168"/>
      <c r="IN188" s="168"/>
      <c r="IO188" s="168"/>
      <c r="IP188" s="168"/>
      <c r="IQ188" s="168"/>
      <c r="IR188" s="168"/>
      <c r="IS188" s="168"/>
      <c r="IT188" s="168"/>
      <c r="IU188" s="168"/>
      <c r="IV188" s="168"/>
      <c r="IW188" s="168"/>
      <c r="IX188" s="168"/>
      <c r="IY188" s="168"/>
      <c r="IZ188" s="168"/>
      <c r="JA188" s="168"/>
      <c r="JB188" s="168"/>
      <c r="JC188" s="606"/>
      <c r="JD188" s="609"/>
      <c r="JE188" s="1"/>
      <c r="JF188" s="1"/>
    </row>
    <row r="189" spans="1:266" s="2" customFormat="1" ht="15" customHeight="1" x14ac:dyDescent="0.25">
      <c r="A189" s="283"/>
      <c r="B189" s="303"/>
      <c r="C189" s="301"/>
      <c r="D189" s="638"/>
      <c r="E189" s="2298"/>
      <c r="F189" s="1812"/>
      <c r="G189" s="3342"/>
      <c r="H189" s="66"/>
      <c r="I189" s="1746"/>
      <c r="J189" s="86"/>
      <c r="K189" s="105"/>
      <c r="L189" s="91"/>
      <c r="M189" s="92"/>
      <c r="N189" s="93"/>
      <c r="O189" s="94"/>
      <c r="P189" s="96"/>
      <c r="Q189" s="95"/>
      <c r="R189" s="993">
        <f t="shared" si="267"/>
        <v>0</v>
      </c>
      <c r="S189" s="23">
        <f t="shared" si="214"/>
        <v>0</v>
      </c>
      <c r="T189" s="24">
        <f t="shared" si="215"/>
        <v>0</v>
      </c>
      <c r="U189" s="24">
        <f t="shared" si="199"/>
        <v>0</v>
      </c>
      <c r="V189" s="24">
        <f t="shared" si="216"/>
        <v>0</v>
      </c>
      <c r="W189" s="24">
        <f t="shared" si="217"/>
        <v>0</v>
      </c>
      <c r="X189" s="72">
        <f t="shared" si="218"/>
        <v>0</v>
      </c>
      <c r="Y189" s="72">
        <f t="shared" si="219"/>
        <v>0</v>
      </c>
      <c r="Z189" s="24">
        <f t="shared" si="268"/>
        <v>0</v>
      </c>
      <c r="AA189" s="72">
        <f t="shared" si="220"/>
        <v>0</v>
      </c>
      <c r="AB189" s="24">
        <f t="shared" si="221"/>
        <v>0</v>
      </c>
      <c r="AC189" s="24" t="s">
        <v>5</v>
      </c>
      <c r="AD189" s="25">
        <f t="shared" si="269"/>
        <v>3</v>
      </c>
      <c r="AE189" s="25">
        <f t="shared" si="270"/>
        <v>0</v>
      </c>
      <c r="AF189" s="25">
        <f t="shared" si="271"/>
        <v>0</v>
      </c>
      <c r="AG189" s="25">
        <f t="shared" si="222"/>
        <v>1</v>
      </c>
      <c r="AH189" s="25" t="str">
        <f>IFERROR(MATCH(DY189,'2 Staff List'!$IA$64:$IA$114,0),"x")</f>
        <v>x</v>
      </c>
      <c r="AI189" s="1181">
        <f>IFERROR(INDEX('2 Staff List'!$EX$64:$EX$114,$AH189),0)</f>
        <v>0</v>
      </c>
      <c r="AJ189" s="25">
        <f>IFERROR(INDEX('2 Staff List'!$IW$64:$IW$114,$AH189),0)</f>
        <v>0</v>
      </c>
      <c r="AK189" s="25">
        <f>IFERROR(INDEX('2 Staff List'!$IB$64:$IB$114,$AH189),0)</f>
        <v>0</v>
      </c>
      <c r="AL189" s="25">
        <f>IF(OR(NOT(ISBLANK(DV189)),CX189=1),"&lt;Non-Labor&gt;",IFERROR(IF(AH189=0,0,INDEX('2 Staff List'!$HZ$64:$HZ$114,$AH189)),0))</f>
        <v>0</v>
      </c>
      <c r="AM189" s="25">
        <f>IFERROR(INDEX('2 Staff List'!$HW$64:$HW$114,$AH189),0)</f>
        <v>0</v>
      </c>
      <c r="AN189" s="25">
        <f t="shared" si="223"/>
        <v>1</v>
      </c>
      <c r="AO189" s="25">
        <f>IF($AO$127=0,0,IFERROR(INDEX('2 Staff List'!$JH$64:$JH$114,$AH189),0))</f>
        <v>0</v>
      </c>
      <c r="AP189" s="25">
        <f>IFERROR(INDEX('2 Staff List'!$HU$64:$HU$114,$AH189),0)</f>
        <v>0</v>
      </c>
      <c r="AQ189" s="25">
        <f t="shared" si="224"/>
        <v>0</v>
      </c>
      <c r="AR189" s="25">
        <f t="shared" si="225"/>
        <v>0</v>
      </c>
      <c r="AS189" s="25">
        <f t="shared" si="226"/>
        <v>0</v>
      </c>
      <c r="AT189" s="25">
        <f t="shared" si="227"/>
        <v>0</v>
      </c>
      <c r="AU189" s="25">
        <f t="shared" si="228"/>
        <v>0</v>
      </c>
      <c r="AV189" s="25">
        <f t="shared" si="229"/>
        <v>0</v>
      </c>
      <c r="AW189" s="25">
        <f t="shared" si="230"/>
        <v>0</v>
      </c>
      <c r="AX189" s="25">
        <f t="shared" si="231"/>
        <v>0</v>
      </c>
      <c r="AY189" s="25">
        <f t="shared" si="232"/>
        <v>0</v>
      </c>
      <c r="AZ189" s="25">
        <f t="shared" si="233"/>
        <v>0</v>
      </c>
      <c r="BA189" s="25">
        <f t="shared" si="234"/>
        <v>0</v>
      </c>
      <c r="BB189" s="25">
        <f t="shared" si="235"/>
        <v>0</v>
      </c>
      <c r="BC189" s="25">
        <f>IFERROR(INDEX('2 Staff List'!KS$64:KS$114,$AH189),0)</f>
        <v>0</v>
      </c>
      <c r="BD189" s="25">
        <f>IFERROR(INDEX('2 Staff List'!KT$64:KT$114,$AH189),0)</f>
        <v>0</v>
      </c>
      <c r="BE189" s="25">
        <f>IFERROR(INDEX('2 Staff List'!KU$64:KU$114,$AH189),0)</f>
        <v>0</v>
      </c>
      <c r="BF189" s="25">
        <f>IFERROR(INDEX('2 Staff List'!KV$64:KV$114,$AH189),0)</f>
        <v>0</v>
      </c>
      <c r="BG189" s="25">
        <f>IFERROR(INDEX('2 Staff List'!KW$64:KW$114,$AH189),0)</f>
        <v>0</v>
      </c>
      <c r="BH189" s="25">
        <f>IFERROR(INDEX('2 Staff List'!KX$64:KX$114,$AH189),0)</f>
        <v>0</v>
      </c>
      <c r="BI189" s="25">
        <f>IFERROR(INDEX('2 Staff List'!KY$64:KY$114,$AH189),0)</f>
        <v>0</v>
      </c>
      <c r="BJ189" s="25">
        <f>IFERROR(INDEX('2 Staff List'!KZ$64:KZ$114,$AH189),0)</f>
        <v>0</v>
      </c>
      <c r="BK189" s="25">
        <f>IFERROR(INDEX('2 Staff List'!LA$64:LA$114,$AH189),0)</f>
        <v>0</v>
      </c>
      <c r="BL189" s="25">
        <f>IFERROR(INDEX('2 Staff List'!LB$64:LB$114,$AH189),0)</f>
        <v>0</v>
      </c>
      <c r="BM189" s="25">
        <f>IFERROR(INDEX('2 Staff List'!FT$64:FT$114,$AH189),0)</f>
        <v>0</v>
      </c>
      <c r="BN189" s="25">
        <f>IFERROR(INDEX('2 Staff List'!FU$64:FU$114,$AH189),0)</f>
        <v>0</v>
      </c>
      <c r="BO189" s="25">
        <f>IFERROR(INDEX('2 Staff List'!FV$64:FV$114,$AH189),0)</f>
        <v>0</v>
      </c>
      <c r="BP189" s="25">
        <f>IFERROR(INDEX('2 Staff List'!FW$64:FW$114,$AH189),0)</f>
        <v>0</v>
      </c>
      <c r="BQ189" s="25">
        <f>IFERROR(INDEX('2 Staff List'!FX$64:FX$114,$AH189),0)</f>
        <v>0</v>
      </c>
      <c r="BR189" s="25">
        <f>IFERROR(INDEX('2 Staff List'!FY$64:FY$114,$AH189),0)</f>
        <v>0</v>
      </c>
      <c r="BS189" s="25">
        <f>IFERROR(INDEX('2 Staff List'!FZ$64:FZ$114,$AH189),0)</f>
        <v>0</v>
      </c>
      <c r="BT189" s="25">
        <f>IFERROR(INDEX('2 Staff List'!GA$64:GA$114,$AH189),0)</f>
        <v>0</v>
      </c>
      <c r="BU189" s="25">
        <f>IFERROR(INDEX('2 Staff List'!GB$64:GB$114,$AH189),0)</f>
        <v>0</v>
      </c>
      <c r="BV189" s="25">
        <f>IFERROR(INDEX('2 Staff List'!GC$64:GC$114,$AH189),0)</f>
        <v>0</v>
      </c>
      <c r="BW189" s="25">
        <f t="shared" si="236"/>
        <v>0</v>
      </c>
      <c r="BX189" s="25">
        <f t="shared" si="237"/>
        <v>0</v>
      </c>
      <c r="BY189" s="25">
        <f t="shared" si="238"/>
        <v>0</v>
      </c>
      <c r="BZ189" s="25">
        <f t="shared" si="239"/>
        <v>0</v>
      </c>
      <c r="CA189" s="25">
        <f t="shared" si="240"/>
        <v>0</v>
      </c>
      <c r="CB189" s="25">
        <f t="shared" si="241"/>
        <v>0</v>
      </c>
      <c r="CC189" s="25">
        <f t="shared" si="242"/>
        <v>0</v>
      </c>
      <c r="CD189" s="25">
        <f t="shared" si="243"/>
        <v>0</v>
      </c>
      <c r="CE189" s="25">
        <f t="shared" si="244"/>
        <v>0</v>
      </c>
      <c r="CF189" s="25">
        <f t="shared" si="245"/>
        <v>0</v>
      </c>
      <c r="CG189" s="25">
        <f t="shared" si="246"/>
        <v>0</v>
      </c>
      <c r="CH189" s="25">
        <f>IFERROR(INDEX('2 Staff List'!LO$64:LO$114,$AH189),0)</f>
        <v>0</v>
      </c>
      <c r="CI189" s="25">
        <f>IFERROR(INDEX('2 Staff List'!LP$64:LP$114,$AH189),0)</f>
        <v>0</v>
      </c>
      <c r="CJ189" s="25">
        <f>IFERROR(INDEX('2 Staff List'!LQ$64:LQ$114,$AH189),0)</f>
        <v>0</v>
      </c>
      <c r="CK189" s="25">
        <f>IFERROR(INDEX('2 Staff List'!LR$64:LR$114,$AH189),0)</f>
        <v>0</v>
      </c>
      <c r="CL189" s="25">
        <f>IFERROR(INDEX('2 Staff List'!LS$64:LS$114,$AH189),0)</f>
        <v>0</v>
      </c>
      <c r="CM189" s="25">
        <f>IFERROR(INDEX('2 Staff List'!LT$64:LT$114,$AH189),0)</f>
        <v>0</v>
      </c>
      <c r="CN189" s="25">
        <f>IFERROR(INDEX('2 Staff List'!LU$64:LU$114,$AH189),0)</f>
        <v>0</v>
      </c>
      <c r="CO189" s="25">
        <f>IFERROR(INDEX('2 Staff List'!LV$64:LV$114,$AH189),0)</f>
        <v>0</v>
      </c>
      <c r="CP189" s="25">
        <f>IFERROR(INDEX('2 Staff List'!LW$64:LW$114,$AH189),0)</f>
        <v>0</v>
      </c>
      <c r="CQ189" s="25">
        <f>IFERROR(INDEX('2 Staff List'!LX$64:LX$114,$AH189),0)</f>
        <v>0</v>
      </c>
      <c r="CR189" s="25">
        <f t="shared" si="272"/>
        <v>0</v>
      </c>
      <c r="CS189" s="25">
        <f t="shared" si="281"/>
        <v>1</v>
      </c>
      <c r="CT189" s="25">
        <f t="shared" si="248"/>
        <v>1</v>
      </c>
      <c r="CU189" s="25">
        <f t="shared" si="249"/>
        <v>1</v>
      </c>
      <c r="CV189" s="25">
        <f t="shared" si="250"/>
        <v>1</v>
      </c>
      <c r="CW189" s="25">
        <f t="shared" si="251"/>
        <v>1</v>
      </c>
      <c r="CX189" s="25">
        <f t="shared" si="252"/>
        <v>0</v>
      </c>
      <c r="CY189" s="25">
        <f t="shared" si="253"/>
        <v>0</v>
      </c>
      <c r="CZ189" s="25">
        <f t="shared" si="254"/>
        <v>0</v>
      </c>
      <c r="DA189" s="25">
        <f t="shared" si="255"/>
        <v>1</v>
      </c>
      <c r="DB189" s="25">
        <f t="shared" si="273"/>
        <v>1</v>
      </c>
      <c r="DC189" s="25">
        <f t="shared" si="256"/>
        <v>0</v>
      </c>
      <c r="DD189" s="25">
        <f>IF(OR($AD189&lt;&gt;3,F189="Exclude"),0,IF(ISERROR(MATCH($E189,'4 Sign-off'!$S$123:$X$123,0)),0,1))</f>
        <v>0</v>
      </c>
      <c r="DE189" s="25">
        <f t="shared" si="274"/>
        <v>0</v>
      </c>
      <c r="DF189" s="25">
        <f t="shared" si="257"/>
        <v>0</v>
      </c>
      <c r="DG189" s="25" t="str">
        <f t="shared" si="258"/>
        <v/>
      </c>
      <c r="DH189" s="25">
        <f t="shared" si="259"/>
        <v>0</v>
      </c>
      <c r="DI189" s="25">
        <f t="shared" si="260"/>
        <v>0</v>
      </c>
      <c r="DJ189" s="25">
        <f>IF(ISBLANK(J189),0,ISERROR(MATCH(J189,'5  Control Accounts'!$FA$29:$FA$96,0))*1)</f>
        <v>0</v>
      </c>
      <c r="DK189" s="25">
        <f t="shared" si="261"/>
        <v>0</v>
      </c>
      <c r="DL189" s="25">
        <f t="shared" si="275"/>
        <v>-1</v>
      </c>
      <c r="DM189" s="25" t="e">
        <f t="array" ref="DM189">MATCH(1,($EG189:$JD189&gt;0)*$EG$17:$JD$17,0)</f>
        <v>#N/A</v>
      </c>
      <c r="DN189" s="25" t="e">
        <f t="shared" si="276"/>
        <v>#N/A</v>
      </c>
      <c r="DO189" s="25" t="e">
        <f t="array" ref="DO189">MATCH(2,1/(EG189:JD189&gt;0))</f>
        <v>#N/A</v>
      </c>
      <c r="DP189" s="2993">
        <f t="shared" si="262"/>
        <v>0</v>
      </c>
      <c r="DQ189" s="3037">
        <f t="shared" si="263"/>
        <v>0</v>
      </c>
      <c r="DR189" s="111"/>
      <c r="DS189" s="1268">
        <f t="shared" si="282"/>
        <v>0</v>
      </c>
      <c r="DT189" s="1825"/>
      <c r="DU189" s="1826"/>
      <c r="DV189" s="1827"/>
      <c r="DW189" s="1828"/>
      <c r="DX189" s="659"/>
      <c r="DY189" s="1265"/>
      <c r="DZ189" s="1785">
        <f t="shared" si="277"/>
        <v>0</v>
      </c>
      <c r="EA189" s="1786">
        <f t="shared" si="278"/>
        <v>0</v>
      </c>
      <c r="EB189" s="1781">
        <f t="shared" si="279"/>
        <v>0</v>
      </c>
      <c r="EC189" s="1782">
        <f t="shared" si="280"/>
        <v>0</v>
      </c>
      <c r="ED189" s="1262"/>
      <c r="EE189" s="2280"/>
      <c r="EF189" s="1802"/>
      <c r="EG189" s="167"/>
      <c r="EH189" s="168"/>
      <c r="EI189" s="168"/>
      <c r="EJ189" s="168"/>
      <c r="EK189" s="168"/>
      <c r="EL189" s="168"/>
      <c r="EM189" s="168"/>
      <c r="EN189" s="168"/>
      <c r="EO189" s="168"/>
      <c r="EP189" s="168"/>
      <c r="EQ189" s="168"/>
      <c r="ER189" s="168"/>
      <c r="ES189" s="168"/>
      <c r="ET189" s="168"/>
      <c r="EU189" s="168"/>
      <c r="EV189" s="168"/>
      <c r="EW189" s="168"/>
      <c r="EX189" s="168"/>
      <c r="EY189" s="168"/>
      <c r="EZ189" s="168"/>
      <c r="FA189" s="168"/>
      <c r="FB189" s="168"/>
      <c r="FC189" s="168"/>
      <c r="FD189" s="168"/>
      <c r="FE189" s="168"/>
      <c r="FF189" s="168"/>
      <c r="FG189" s="168"/>
      <c r="FH189" s="168"/>
      <c r="FI189" s="168"/>
      <c r="FJ189" s="168"/>
      <c r="FK189" s="168"/>
      <c r="FL189" s="168"/>
      <c r="FM189" s="168"/>
      <c r="FN189" s="168"/>
      <c r="FO189" s="168"/>
      <c r="FP189" s="168"/>
      <c r="FQ189" s="168"/>
      <c r="FR189" s="168"/>
      <c r="FS189" s="168"/>
      <c r="FT189" s="168"/>
      <c r="FU189" s="168"/>
      <c r="FV189" s="168"/>
      <c r="FW189" s="168"/>
      <c r="FX189" s="168"/>
      <c r="FY189" s="168"/>
      <c r="FZ189" s="168"/>
      <c r="GA189" s="168"/>
      <c r="GB189" s="168"/>
      <c r="GC189" s="168"/>
      <c r="GD189" s="168"/>
      <c r="GE189" s="168"/>
      <c r="GF189" s="168"/>
      <c r="GG189" s="168"/>
      <c r="GH189" s="168"/>
      <c r="GI189" s="168"/>
      <c r="GJ189" s="168"/>
      <c r="GK189" s="168"/>
      <c r="GL189" s="168"/>
      <c r="GM189" s="168"/>
      <c r="GN189" s="168"/>
      <c r="GO189" s="168"/>
      <c r="GP189" s="168"/>
      <c r="GQ189" s="168"/>
      <c r="GR189" s="168"/>
      <c r="GS189" s="168"/>
      <c r="GT189" s="168"/>
      <c r="GU189" s="168"/>
      <c r="GV189" s="168"/>
      <c r="GW189" s="168"/>
      <c r="GX189" s="168"/>
      <c r="GY189" s="168"/>
      <c r="GZ189" s="168"/>
      <c r="HA189" s="168"/>
      <c r="HB189" s="168"/>
      <c r="HC189" s="168"/>
      <c r="HD189" s="168"/>
      <c r="HE189" s="168"/>
      <c r="HF189" s="168"/>
      <c r="HG189" s="168"/>
      <c r="HH189" s="168"/>
      <c r="HI189" s="168"/>
      <c r="HJ189" s="168"/>
      <c r="HK189" s="168"/>
      <c r="HL189" s="168"/>
      <c r="HM189" s="168"/>
      <c r="HN189" s="168"/>
      <c r="HO189" s="168"/>
      <c r="HP189" s="168"/>
      <c r="HQ189" s="168"/>
      <c r="HR189" s="168"/>
      <c r="HS189" s="168"/>
      <c r="HT189" s="168"/>
      <c r="HU189" s="168"/>
      <c r="HV189" s="168"/>
      <c r="HW189" s="168"/>
      <c r="HX189" s="168"/>
      <c r="HY189" s="168"/>
      <c r="HZ189" s="168"/>
      <c r="IA189" s="168"/>
      <c r="IB189" s="168"/>
      <c r="IC189" s="168"/>
      <c r="ID189" s="168"/>
      <c r="IE189" s="168"/>
      <c r="IF189" s="168"/>
      <c r="IG189" s="168"/>
      <c r="IH189" s="168"/>
      <c r="II189" s="168"/>
      <c r="IJ189" s="168"/>
      <c r="IK189" s="168"/>
      <c r="IL189" s="168"/>
      <c r="IM189" s="168"/>
      <c r="IN189" s="168"/>
      <c r="IO189" s="168"/>
      <c r="IP189" s="168"/>
      <c r="IQ189" s="168"/>
      <c r="IR189" s="168"/>
      <c r="IS189" s="168"/>
      <c r="IT189" s="168"/>
      <c r="IU189" s="168"/>
      <c r="IV189" s="168"/>
      <c r="IW189" s="168"/>
      <c r="IX189" s="168"/>
      <c r="IY189" s="168"/>
      <c r="IZ189" s="168"/>
      <c r="JA189" s="168"/>
      <c r="JB189" s="168"/>
      <c r="JC189" s="606"/>
      <c r="JD189" s="609"/>
      <c r="JE189" s="1"/>
      <c r="JF189" s="1"/>
    </row>
    <row r="190" spans="1:266" s="2" customFormat="1" ht="15" customHeight="1" x14ac:dyDescent="0.25">
      <c r="A190" s="283"/>
      <c r="B190" s="303"/>
      <c r="C190" s="301"/>
      <c r="D190" s="638"/>
      <c r="E190" s="2298"/>
      <c r="F190" s="1812"/>
      <c r="G190" s="3342"/>
      <c r="H190" s="66"/>
      <c r="I190" s="1746"/>
      <c r="J190" s="86"/>
      <c r="K190" s="105"/>
      <c r="L190" s="91"/>
      <c r="M190" s="92"/>
      <c r="N190" s="93"/>
      <c r="O190" s="94"/>
      <c r="P190" s="96"/>
      <c r="Q190" s="95"/>
      <c r="R190" s="993">
        <f t="shared" si="267"/>
        <v>0</v>
      </c>
      <c r="S190" s="23">
        <f t="shared" si="214"/>
        <v>0</v>
      </c>
      <c r="T190" s="24">
        <f t="shared" si="215"/>
        <v>0</v>
      </c>
      <c r="U190" s="24">
        <f t="shared" si="199"/>
        <v>0</v>
      </c>
      <c r="V190" s="24">
        <f t="shared" si="216"/>
        <v>0</v>
      </c>
      <c r="W190" s="24">
        <f t="shared" si="217"/>
        <v>0</v>
      </c>
      <c r="X190" s="72">
        <f t="shared" si="218"/>
        <v>0</v>
      </c>
      <c r="Y190" s="72">
        <f t="shared" si="219"/>
        <v>0</v>
      </c>
      <c r="Z190" s="24">
        <f t="shared" si="268"/>
        <v>0</v>
      </c>
      <c r="AA190" s="72">
        <f t="shared" si="220"/>
        <v>0</v>
      </c>
      <c r="AB190" s="24">
        <f t="shared" si="221"/>
        <v>0</v>
      </c>
      <c r="AC190" s="24" t="s">
        <v>5</v>
      </c>
      <c r="AD190" s="25">
        <f t="shared" si="269"/>
        <v>3</v>
      </c>
      <c r="AE190" s="25">
        <f t="shared" si="270"/>
        <v>0</v>
      </c>
      <c r="AF190" s="25">
        <f t="shared" si="271"/>
        <v>0</v>
      </c>
      <c r="AG190" s="25">
        <f t="shared" si="222"/>
        <v>1</v>
      </c>
      <c r="AH190" s="25" t="str">
        <f>IFERROR(MATCH(DY190,'2 Staff List'!$IA$64:$IA$114,0),"x")</f>
        <v>x</v>
      </c>
      <c r="AI190" s="1181">
        <f>IFERROR(INDEX('2 Staff List'!$EX$64:$EX$114,$AH190),0)</f>
        <v>0</v>
      </c>
      <c r="AJ190" s="25">
        <f>IFERROR(INDEX('2 Staff List'!$IW$64:$IW$114,$AH190),0)</f>
        <v>0</v>
      </c>
      <c r="AK190" s="25">
        <f>IFERROR(INDEX('2 Staff List'!$IB$64:$IB$114,$AH190),0)</f>
        <v>0</v>
      </c>
      <c r="AL190" s="25">
        <f>IF(OR(NOT(ISBLANK(DV190)),CX190=1),"&lt;Non-Labor&gt;",IFERROR(IF(AH190=0,0,INDEX('2 Staff List'!$HZ$64:$HZ$114,$AH190)),0))</f>
        <v>0</v>
      </c>
      <c r="AM190" s="25">
        <f>IFERROR(INDEX('2 Staff List'!$HW$64:$HW$114,$AH190),0)</f>
        <v>0</v>
      </c>
      <c r="AN190" s="25">
        <f t="shared" si="223"/>
        <v>1</v>
      </c>
      <c r="AO190" s="25">
        <f>IF($AO$127=0,0,IFERROR(INDEX('2 Staff List'!$JH$64:$JH$114,$AH190),0))</f>
        <v>0</v>
      </c>
      <c r="AP190" s="25">
        <f>IFERROR(INDEX('2 Staff List'!$HU$64:$HU$114,$AH190),0)</f>
        <v>0</v>
      </c>
      <c r="AQ190" s="25">
        <f t="shared" si="224"/>
        <v>0</v>
      </c>
      <c r="AR190" s="25">
        <f t="shared" si="225"/>
        <v>0</v>
      </c>
      <c r="AS190" s="25">
        <f t="shared" si="226"/>
        <v>0</v>
      </c>
      <c r="AT190" s="25">
        <f t="shared" si="227"/>
        <v>0</v>
      </c>
      <c r="AU190" s="25">
        <f t="shared" si="228"/>
        <v>0</v>
      </c>
      <c r="AV190" s="25">
        <f t="shared" si="229"/>
        <v>0</v>
      </c>
      <c r="AW190" s="25">
        <f t="shared" si="230"/>
        <v>0</v>
      </c>
      <c r="AX190" s="25">
        <f t="shared" si="231"/>
        <v>0</v>
      </c>
      <c r="AY190" s="25">
        <f t="shared" si="232"/>
        <v>0</v>
      </c>
      <c r="AZ190" s="25">
        <f t="shared" si="233"/>
        <v>0</v>
      </c>
      <c r="BA190" s="25">
        <f t="shared" si="234"/>
        <v>0</v>
      </c>
      <c r="BB190" s="25">
        <f t="shared" si="235"/>
        <v>0</v>
      </c>
      <c r="BC190" s="25">
        <f>IFERROR(INDEX('2 Staff List'!KS$64:KS$114,$AH190),0)</f>
        <v>0</v>
      </c>
      <c r="BD190" s="25">
        <f>IFERROR(INDEX('2 Staff List'!KT$64:KT$114,$AH190),0)</f>
        <v>0</v>
      </c>
      <c r="BE190" s="25">
        <f>IFERROR(INDEX('2 Staff List'!KU$64:KU$114,$AH190),0)</f>
        <v>0</v>
      </c>
      <c r="BF190" s="25">
        <f>IFERROR(INDEX('2 Staff List'!KV$64:KV$114,$AH190),0)</f>
        <v>0</v>
      </c>
      <c r="BG190" s="25">
        <f>IFERROR(INDEX('2 Staff List'!KW$64:KW$114,$AH190),0)</f>
        <v>0</v>
      </c>
      <c r="BH190" s="25">
        <f>IFERROR(INDEX('2 Staff List'!KX$64:KX$114,$AH190),0)</f>
        <v>0</v>
      </c>
      <c r="BI190" s="25">
        <f>IFERROR(INDEX('2 Staff List'!KY$64:KY$114,$AH190),0)</f>
        <v>0</v>
      </c>
      <c r="BJ190" s="25">
        <f>IFERROR(INDEX('2 Staff List'!KZ$64:KZ$114,$AH190),0)</f>
        <v>0</v>
      </c>
      <c r="BK190" s="25">
        <f>IFERROR(INDEX('2 Staff List'!LA$64:LA$114,$AH190),0)</f>
        <v>0</v>
      </c>
      <c r="BL190" s="25">
        <f>IFERROR(INDEX('2 Staff List'!LB$64:LB$114,$AH190),0)</f>
        <v>0</v>
      </c>
      <c r="BM190" s="25">
        <f>IFERROR(INDEX('2 Staff List'!FT$64:FT$114,$AH190),0)</f>
        <v>0</v>
      </c>
      <c r="BN190" s="25">
        <f>IFERROR(INDEX('2 Staff List'!FU$64:FU$114,$AH190),0)</f>
        <v>0</v>
      </c>
      <c r="BO190" s="25">
        <f>IFERROR(INDEX('2 Staff List'!FV$64:FV$114,$AH190),0)</f>
        <v>0</v>
      </c>
      <c r="BP190" s="25">
        <f>IFERROR(INDEX('2 Staff List'!FW$64:FW$114,$AH190),0)</f>
        <v>0</v>
      </c>
      <c r="BQ190" s="25">
        <f>IFERROR(INDEX('2 Staff List'!FX$64:FX$114,$AH190),0)</f>
        <v>0</v>
      </c>
      <c r="BR190" s="25">
        <f>IFERROR(INDEX('2 Staff List'!FY$64:FY$114,$AH190),0)</f>
        <v>0</v>
      </c>
      <c r="BS190" s="25">
        <f>IFERROR(INDEX('2 Staff List'!FZ$64:FZ$114,$AH190),0)</f>
        <v>0</v>
      </c>
      <c r="BT190" s="25">
        <f>IFERROR(INDEX('2 Staff List'!GA$64:GA$114,$AH190),0)</f>
        <v>0</v>
      </c>
      <c r="BU190" s="25">
        <f>IFERROR(INDEX('2 Staff List'!GB$64:GB$114,$AH190),0)</f>
        <v>0</v>
      </c>
      <c r="BV190" s="25">
        <f>IFERROR(INDEX('2 Staff List'!GC$64:GC$114,$AH190),0)</f>
        <v>0</v>
      </c>
      <c r="BW190" s="25">
        <f t="shared" si="236"/>
        <v>0</v>
      </c>
      <c r="BX190" s="25">
        <f t="shared" si="237"/>
        <v>0</v>
      </c>
      <c r="BY190" s="25">
        <f t="shared" si="238"/>
        <v>0</v>
      </c>
      <c r="BZ190" s="25">
        <f t="shared" si="239"/>
        <v>0</v>
      </c>
      <c r="CA190" s="25">
        <f t="shared" si="240"/>
        <v>0</v>
      </c>
      <c r="CB190" s="25">
        <f t="shared" si="241"/>
        <v>0</v>
      </c>
      <c r="CC190" s="25">
        <f t="shared" si="242"/>
        <v>0</v>
      </c>
      <c r="CD190" s="25">
        <f t="shared" si="243"/>
        <v>0</v>
      </c>
      <c r="CE190" s="25">
        <f t="shared" si="244"/>
        <v>0</v>
      </c>
      <c r="CF190" s="25">
        <f t="shared" si="245"/>
        <v>0</v>
      </c>
      <c r="CG190" s="25">
        <f t="shared" si="246"/>
        <v>0</v>
      </c>
      <c r="CH190" s="25">
        <f>IFERROR(INDEX('2 Staff List'!LO$64:LO$114,$AH190),0)</f>
        <v>0</v>
      </c>
      <c r="CI190" s="25">
        <f>IFERROR(INDEX('2 Staff List'!LP$64:LP$114,$AH190),0)</f>
        <v>0</v>
      </c>
      <c r="CJ190" s="25">
        <f>IFERROR(INDEX('2 Staff List'!LQ$64:LQ$114,$AH190),0)</f>
        <v>0</v>
      </c>
      <c r="CK190" s="25">
        <f>IFERROR(INDEX('2 Staff List'!LR$64:LR$114,$AH190),0)</f>
        <v>0</v>
      </c>
      <c r="CL190" s="25">
        <f>IFERROR(INDEX('2 Staff List'!LS$64:LS$114,$AH190),0)</f>
        <v>0</v>
      </c>
      <c r="CM190" s="25">
        <f>IFERROR(INDEX('2 Staff List'!LT$64:LT$114,$AH190),0)</f>
        <v>0</v>
      </c>
      <c r="CN190" s="25">
        <f>IFERROR(INDEX('2 Staff List'!LU$64:LU$114,$AH190),0)</f>
        <v>0</v>
      </c>
      <c r="CO190" s="25">
        <f>IFERROR(INDEX('2 Staff List'!LV$64:LV$114,$AH190),0)</f>
        <v>0</v>
      </c>
      <c r="CP190" s="25">
        <f>IFERROR(INDEX('2 Staff List'!LW$64:LW$114,$AH190),0)</f>
        <v>0</v>
      </c>
      <c r="CQ190" s="25">
        <f>IFERROR(INDEX('2 Staff List'!LX$64:LX$114,$AH190),0)</f>
        <v>0</v>
      </c>
      <c r="CR190" s="25">
        <f t="shared" si="272"/>
        <v>0</v>
      </c>
      <c r="CS190" s="25">
        <f t="shared" si="281"/>
        <v>1</v>
      </c>
      <c r="CT190" s="25">
        <f t="shared" si="248"/>
        <v>1</v>
      </c>
      <c r="CU190" s="25">
        <f t="shared" si="249"/>
        <v>1</v>
      </c>
      <c r="CV190" s="25">
        <f t="shared" si="250"/>
        <v>1</v>
      </c>
      <c r="CW190" s="25">
        <f t="shared" si="251"/>
        <v>1</v>
      </c>
      <c r="CX190" s="25">
        <f t="shared" si="252"/>
        <v>0</v>
      </c>
      <c r="CY190" s="25">
        <f t="shared" si="253"/>
        <v>0</v>
      </c>
      <c r="CZ190" s="25">
        <f t="shared" si="254"/>
        <v>0</v>
      </c>
      <c r="DA190" s="25">
        <f t="shared" si="255"/>
        <v>1</v>
      </c>
      <c r="DB190" s="25">
        <f t="shared" si="273"/>
        <v>1</v>
      </c>
      <c r="DC190" s="25">
        <f t="shared" si="256"/>
        <v>0</v>
      </c>
      <c r="DD190" s="25">
        <f>IF(OR($AD190&lt;&gt;3,F190="Exclude"),0,IF(ISERROR(MATCH($E190,'4 Sign-off'!$S$123:$X$123,0)),0,1))</f>
        <v>0</v>
      </c>
      <c r="DE190" s="25">
        <f t="shared" si="274"/>
        <v>0</v>
      </c>
      <c r="DF190" s="25">
        <f t="shared" si="257"/>
        <v>0</v>
      </c>
      <c r="DG190" s="25" t="str">
        <f t="shared" si="258"/>
        <v/>
      </c>
      <c r="DH190" s="25">
        <f t="shared" si="259"/>
        <v>0</v>
      </c>
      <c r="DI190" s="25">
        <f t="shared" si="260"/>
        <v>0</v>
      </c>
      <c r="DJ190" s="25">
        <f>IF(ISBLANK(J190),0,ISERROR(MATCH(J190,'5  Control Accounts'!$FA$29:$FA$96,0))*1)</f>
        <v>0</v>
      </c>
      <c r="DK190" s="25">
        <f t="shared" si="261"/>
        <v>0</v>
      </c>
      <c r="DL190" s="25">
        <f t="shared" si="275"/>
        <v>-1</v>
      </c>
      <c r="DM190" s="25" t="e">
        <f t="array" ref="DM190">MATCH(1,($EG190:$JD190&gt;0)*$EG$17:$JD$17,0)</f>
        <v>#N/A</v>
      </c>
      <c r="DN190" s="25" t="e">
        <f t="shared" si="276"/>
        <v>#N/A</v>
      </c>
      <c r="DO190" s="25" t="e">
        <f t="array" ref="DO190">MATCH(2,1/(EG190:JD190&gt;0))</f>
        <v>#N/A</v>
      </c>
      <c r="DP190" s="2993">
        <f t="shared" si="262"/>
        <v>0</v>
      </c>
      <c r="DQ190" s="3037">
        <f t="shared" si="263"/>
        <v>0</v>
      </c>
      <c r="DR190" s="111"/>
      <c r="DS190" s="1268">
        <f t="shared" si="282"/>
        <v>0</v>
      </c>
      <c r="DT190" s="1825"/>
      <c r="DU190" s="1826"/>
      <c r="DV190" s="1827"/>
      <c r="DW190" s="1828"/>
      <c r="DX190" s="659"/>
      <c r="DY190" s="1265"/>
      <c r="DZ190" s="1785">
        <f t="shared" si="277"/>
        <v>0</v>
      </c>
      <c r="EA190" s="1786">
        <f t="shared" si="278"/>
        <v>0</v>
      </c>
      <c r="EB190" s="1781">
        <f t="shared" si="279"/>
        <v>0</v>
      </c>
      <c r="EC190" s="1782">
        <f t="shared" si="280"/>
        <v>0</v>
      </c>
      <c r="ED190" s="1262"/>
      <c r="EE190" s="2280"/>
      <c r="EF190" s="1802"/>
      <c r="EG190" s="167"/>
      <c r="EH190" s="168"/>
      <c r="EI190" s="168"/>
      <c r="EJ190" s="168"/>
      <c r="EK190" s="168"/>
      <c r="EL190" s="168"/>
      <c r="EM190" s="168"/>
      <c r="EN190" s="168"/>
      <c r="EO190" s="168"/>
      <c r="EP190" s="168"/>
      <c r="EQ190" s="168"/>
      <c r="ER190" s="168"/>
      <c r="ES190" s="168"/>
      <c r="ET190" s="168"/>
      <c r="EU190" s="168"/>
      <c r="EV190" s="168"/>
      <c r="EW190" s="168"/>
      <c r="EX190" s="168"/>
      <c r="EY190" s="168"/>
      <c r="EZ190" s="168"/>
      <c r="FA190" s="168"/>
      <c r="FB190" s="168"/>
      <c r="FC190" s="168"/>
      <c r="FD190" s="168"/>
      <c r="FE190" s="168"/>
      <c r="FF190" s="168"/>
      <c r="FG190" s="168"/>
      <c r="FH190" s="168"/>
      <c r="FI190" s="168"/>
      <c r="FJ190" s="168"/>
      <c r="FK190" s="168"/>
      <c r="FL190" s="168"/>
      <c r="FM190" s="168"/>
      <c r="FN190" s="168"/>
      <c r="FO190" s="168"/>
      <c r="FP190" s="168"/>
      <c r="FQ190" s="168"/>
      <c r="FR190" s="168"/>
      <c r="FS190" s="168"/>
      <c r="FT190" s="168"/>
      <c r="FU190" s="168"/>
      <c r="FV190" s="168"/>
      <c r="FW190" s="168"/>
      <c r="FX190" s="168"/>
      <c r="FY190" s="168"/>
      <c r="FZ190" s="168"/>
      <c r="GA190" s="168"/>
      <c r="GB190" s="168"/>
      <c r="GC190" s="168"/>
      <c r="GD190" s="168"/>
      <c r="GE190" s="168"/>
      <c r="GF190" s="168"/>
      <c r="GG190" s="168"/>
      <c r="GH190" s="168"/>
      <c r="GI190" s="168"/>
      <c r="GJ190" s="168"/>
      <c r="GK190" s="168"/>
      <c r="GL190" s="168"/>
      <c r="GM190" s="168"/>
      <c r="GN190" s="168"/>
      <c r="GO190" s="168"/>
      <c r="GP190" s="168"/>
      <c r="GQ190" s="168"/>
      <c r="GR190" s="168"/>
      <c r="GS190" s="168"/>
      <c r="GT190" s="168"/>
      <c r="GU190" s="168"/>
      <c r="GV190" s="168"/>
      <c r="GW190" s="168"/>
      <c r="GX190" s="168"/>
      <c r="GY190" s="168"/>
      <c r="GZ190" s="168"/>
      <c r="HA190" s="168"/>
      <c r="HB190" s="168"/>
      <c r="HC190" s="168"/>
      <c r="HD190" s="168"/>
      <c r="HE190" s="168"/>
      <c r="HF190" s="168"/>
      <c r="HG190" s="168"/>
      <c r="HH190" s="168"/>
      <c r="HI190" s="168"/>
      <c r="HJ190" s="168"/>
      <c r="HK190" s="168"/>
      <c r="HL190" s="168"/>
      <c r="HM190" s="168"/>
      <c r="HN190" s="168"/>
      <c r="HO190" s="168"/>
      <c r="HP190" s="168"/>
      <c r="HQ190" s="168"/>
      <c r="HR190" s="168"/>
      <c r="HS190" s="168"/>
      <c r="HT190" s="168"/>
      <c r="HU190" s="168"/>
      <c r="HV190" s="168"/>
      <c r="HW190" s="168"/>
      <c r="HX190" s="168"/>
      <c r="HY190" s="168"/>
      <c r="HZ190" s="168"/>
      <c r="IA190" s="168"/>
      <c r="IB190" s="168"/>
      <c r="IC190" s="168"/>
      <c r="ID190" s="168"/>
      <c r="IE190" s="168"/>
      <c r="IF190" s="168"/>
      <c r="IG190" s="168"/>
      <c r="IH190" s="168"/>
      <c r="II190" s="168"/>
      <c r="IJ190" s="168"/>
      <c r="IK190" s="168"/>
      <c r="IL190" s="168"/>
      <c r="IM190" s="168"/>
      <c r="IN190" s="168"/>
      <c r="IO190" s="168"/>
      <c r="IP190" s="168"/>
      <c r="IQ190" s="168"/>
      <c r="IR190" s="168"/>
      <c r="IS190" s="168"/>
      <c r="IT190" s="168"/>
      <c r="IU190" s="168"/>
      <c r="IV190" s="168"/>
      <c r="IW190" s="168"/>
      <c r="IX190" s="168"/>
      <c r="IY190" s="168"/>
      <c r="IZ190" s="168"/>
      <c r="JA190" s="168"/>
      <c r="JB190" s="168"/>
      <c r="JC190" s="606"/>
      <c r="JD190" s="609"/>
      <c r="JE190" s="1"/>
      <c r="JF190" s="1"/>
    </row>
    <row r="191" spans="1:266" s="2" customFormat="1" ht="15" customHeight="1" x14ac:dyDescent="0.25">
      <c r="A191" s="283"/>
      <c r="B191" s="303"/>
      <c r="C191" s="301"/>
      <c r="D191" s="638"/>
      <c r="E191" s="2298"/>
      <c r="F191" s="1812"/>
      <c r="G191" s="3342"/>
      <c r="H191" s="66"/>
      <c r="I191" s="1746"/>
      <c r="J191" s="86"/>
      <c r="K191" s="105"/>
      <c r="L191" s="91"/>
      <c r="M191" s="92"/>
      <c r="N191" s="93"/>
      <c r="O191" s="94"/>
      <c r="P191" s="96"/>
      <c r="Q191" s="95"/>
      <c r="R191" s="993">
        <f t="shared" si="267"/>
        <v>0</v>
      </c>
      <c r="S191" s="23">
        <f t="shared" si="214"/>
        <v>0</v>
      </c>
      <c r="T191" s="24">
        <f t="shared" si="215"/>
        <v>0</v>
      </c>
      <c r="U191" s="24">
        <f t="shared" si="199"/>
        <v>0</v>
      </c>
      <c r="V191" s="24">
        <f t="shared" si="216"/>
        <v>0</v>
      </c>
      <c r="W191" s="24">
        <f t="shared" si="217"/>
        <v>0</v>
      </c>
      <c r="X191" s="72">
        <f t="shared" si="218"/>
        <v>0</v>
      </c>
      <c r="Y191" s="72">
        <f t="shared" si="219"/>
        <v>0</v>
      </c>
      <c r="Z191" s="24">
        <f t="shared" si="268"/>
        <v>0</v>
      </c>
      <c r="AA191" s="72">
        <f t="shared" si="220"/>
        <v>0</v>
      </c>
      <c r="AB191" s="24">
        <f t="shared" si="221"/>
        <v>0</v>
      </c>
      <c r="AC191" s="24" t="s">
        <v>5</v>
      </c>
      <c r="AD191" s="25">
        <f t="shared" si="269"/>
        <v>3</v>
      </c>
      <c r="AE191" s="25">
        <f t="shared" si="270"/>
        <v>0</v>
      </c>
      <c r="AF191" s="25">
        <f t="shared" si="271"/>
        <v>0</v>
      </c>
      <c r="AG191" s="25">
        <f t="shared" si="222"/>
        <v>1</v>
      </c>
      <c r="AH191" s="25" t="str">
        <f>IFERROR(MATCH(DY191,'2 Staff List'!$IA$64:$IA$114,0),"x")</f>
        <v>x</v>
      </c>
      <c r="AI191" s="1181">
        <f>IFERROR(INDEX('2 Staff List'!$EX$64:$EX$114,$AH191),0)</f>
        <v>0</v>
      </c>
      <c r="AJ191" s="25">
        <f>IFERROR(INDEX('2 Staff List'!$IW$64:$IW$114,$AH191),0)</f>
        <v>0</v>
      </c>
      <c r="AK191" s="25">
        <f>IFERROR(INDEX('2 Staff List'!$IB$64:$IB$114,$AH191),0)</f>
        <v>0</v>
      </c>
      <c r="AL191" s="25">
        <f>IF(OR(NOT(ISBLANK(DV191)),CX191=1),"&lt;Non-Labor&gt;",IFERROR(IF(AH191=0,0,INDEX('2 Staff List'!$HZ$64:$HZ$114,$AH191)),0))</f>
        <v>0</v>
      </c>
      <c r="AM191" s="25">
        <f>IFERROR(INDEX('2 Staff List'!$HW$64:$HW$114,$AH191),0)</f>
        <v>0</v>
      </c>
      <c r="AN191" s="25">
        <f t="shared" si="223"/>
        <v>1</v>
      </c>
      <c r="AO191" s="25">
        <f>IF($AO$127=0,0,IFERROR(INDEX('2 Staff List'!$JH$64:$JH$114,$AH191),0))</f>
        <v>0</v>
      </c>
      <c r="AP191" s="25">
        <f>IFERROR(INDEX('2 Staff List'!$HU$64:$HU$114,$AH191),0)</f>
        <v>0</v>
      </c>
      <c r="AQ191" s="25">
        <f t="shared" si="224"/>
        <v>0</v>
      </c>
      <c r="AR191" s="25">
        <f t="shared" si="225"/>
        <v>0</v>
      </c>
      <c r="AS191" s="25">
        <f t="shared" si="226"/>
        <v>0</v>
      </c>
      <c r="AT191" s="25">
        <f t="shared" si="227"/>
        <v>0</v>
      </c>
      <c r="AU191" s="25">
        <f t="shared" si="228"/>
        <v>0</v>
      </c>
      <c r="AV191" s="25">
        <f t="shared" si="229"/>
        <v>0</v>
      </c>
      <c r="AW191" s="25">
        <f t="shared" si="230"/>
        <v>0</v>
      </c>
      <c r="AX191" s="25">
        <f t="shared" si="231"/>
        <v>0</v>
      </c>
      <c r="AY191" s="25">
        <f t="shared" si="232"/>
        <v>0</v>
      </c>
      <c r="AZ191" s="25">
        <f t="shared" si="233"/>
        <v>0</v>
      </c>
      <c r="BA191" s="25">
        <f t="shared" si="234"/>
        <v>0</v>
      </c>
      <c r="BB191" s="25">
        <f t="shared" si="235"/>
        <v>0</v>
      </c>
      <c r="BC191" s="25">
        <f>IFERROR(INDEX('2 Staff List'!KS$64:KS$114,$AH191),0)</f>
        <v>0</v>
      </c>
      <c r="BD191" s="25">
        <f>IFERROR(INDEX('2 Staff List'!KT$64:KT$114,$AH191),0)</f>
        <v>0</v>
      </c>
      <c r="BE191" s="25">
        <f>IFERROR(INDEX('2 Staff List'!KU$64:KU$114,$AH191),0)</f>
        <v>0</v>
      </c>
      <c r="BF191" s="25">
        <f>IFERROR(INDEX('2 Staff List'!KV$64:KV$114,$AH191),0)</f>
        <v>0</v>
      </c>
      <c r="BG191" s="25">
        <f>IFERROR(INDEX('2 Staff List'!KW$64:KW$114,$AH191),0)</f>
        <v>0</v>
      </c>
      <c r="BH191" s="25">
        <f>IFERROR(INDEX('2 Staff List'!KX$64:KX$114,$AH191),0)</f>
        <v>0</v>
      </c>
      <c r="BI191" s="25">
        <f>IFERROR(INDEX('2 Staff List'!KY$64:KY$114,$AH191),0)</f>
        <v>0</v>
      </c>
      <c r="BJ191" s="25">
        <f>IFERROR(INDEX('2 Staff List'!KZ$64:KZ$114,$AH191),0)</f>
        <v>0</v>
      </c>
      <c r="BK191" s="25">
        <f>IFERROR(INDEX('2 Staff List'!LA$64:LA$114,$AH191),0)</f>
        <v>0</v>
      </c>
      <c r="BL191" s="25">
        <f>IFERROR(INDEX('2 Staff List'!LB$64:LB$114,$AH191),0)</f>
        <v>0</v>
      </c>
      <c r="BM191" s="25">
        <f>IFERROR(INDEX('2 Staff List'!FT$64:FT$114,$AH191),0)</f>
        <v>0</v>
      </c>
      <c r="BN191" s="25">
        <f>IFERROR(INDEX('2 Staff List'!FU$64:FU$114,$AH191),0)</f>
        <v>0</v>
      </c>
      <c r="BO191" s="25">
        <f>IFERROR(INDEX('2 Staff List'!FV$64:FV$114,$AH191),0)</f>
        <v>0</v>
      </c>
      <c r="BP191" s="25">
        <f>IFERROR(INDEX('2 Staff List'!FW$64:FW$114,$AH191),0)</f>
        <v>0</v>
      </c>
      <c r="BQ191" s="25">
        <f>IFERROR(INDEX('2 Staff List'!FX$64:FX$114,$AH191),0)</f>
        <v>0</v>
      </c>
      <c r="BR191" s="25">
        <f>IFERROR(INDEX('2 Staff List'!FY$64:FY$114,$AH191),0)</f>
        <v>0</v>
      </c>
      <c r="BS191" s="25">
        <f>IFERROR(INDEX('2 Staff List'!FZ$64:FZ$114,$AH191),0)</f>
        <v>0</v>
      </c>
      <c r="BT191" s="25">
        <f>IFERROR(INDEX('2 Staff List'!GA$64:GA$114,$AH191),0)</f>
        <v>0</v>
      </c>
      <c r="BU191" s="25">
        <f>IFERROR(INDEX('2 Staff List'!GB$64:GB$114,$AH191),0)</f>
        <v>0</v>
      </c>
      <c r="BV191" s="25">
        <f>IFERROR(INDEX('2 Staff List'!GC$64:GC$114,$AH191),0)</f>
        <v>0</v>
      </c>
      <c r="BW191" s="25">
        <f t="shared" si="236"/>
        <v>0</v>
      </c>
      <c r="BX191" s="25">
        <f t="shared" si="237"/>
        <v>0</v>
      </c>
      <c r="BY191" s="25">
        <f t="shared" si="238"/>
        <v>0</v>
      </c>
      <c r="BZ191" s="25">
        <f t="shared" si="239"/>
        <v>0</v>
      </c>
      <c r="CA191" s="25">
        <f t="shared" si="240"/>
        <v>0</v>
      </c>
      <c r="CB191" s="25">
        <f t="shared" si="241"/>
        <v>0</v>
      </c>
      <c r="CC191" s="25">
        <f t="shared" si="242"/>
        <v>0</v>
      </c>
      <c r="CD191" s="25">
        <f t="shared" si="243"/>
        <v>0</v>
      </c>
      <c r="CE191" s="25">
        <f t="shared" si="244"/>
        <v>0</v>
      </c>
      <c r="CF191" s="25">
        <f t="shared" si="245"/>
        <v>0</v>
      </c>
      <c r="CG191" s="25">
        <f t="shared" si="246"/>
        <v>0</v>
      </c>
      <c r="CH191" s="25">
        <f>IFERROR(INDEX('2 Staff List'!LO$64:LO$114,$AH191),0)</f>
        <v>0</v>
      </c>
      <c r="CI191" s="25">
        <f>IFERROR(INDEX('2 Staff List'!LP$64:LP$114,$AH191),0)</f>
        <v>0</v>
      </c>
      <c r="CJ191" s="25">
        <f>IFERROR(INDEX('2 Staff List'!LQ$64:LQ$114,$AH191),0)</f>
        <v>0</v>
      </c>
      <c r="CK191" s="25">
        <f>IFERROR(INDEX('2 Staff List'!LR$64:LR$114,$AH191),0)</f>
        <v>0</v>
      </c>
      <c r="CL191" s="25">
        <f>IFERROR(INDEX('2 Staff List'!LS$64:LS$114,$AH191),0)</f>
        <v>0</v>
      </c>
      <c r="CM191" s="25">
        <f>IFERROR(INDEX('2 Staff List'!LT$64:LT$114,$AH191),0)</f>
        <v>0</v>
      </c>
      <c r="CN191" s="25">
        <f>IFERROR(INDEX('2 Staff List'!LU$64:LU$114,$AH191),0)</f>
        <v>0</v>
      </c>
      <c r="CO191" s="25">
        <f>IFERROR(INDEX('2 Staff List'!LV$64:LV$114,$AH191),0)</f>
        <v>0</v>
      </c>
      <c r="CP191" s="25">
        <f>IFERROR(INDEX('2 Staff List'!LW$64:LW$114,$AH191),0)</f>
        <v>0</v>
      </c>
      <c r="CQ191" s="25">
        <f>IFERROR(INDEX('2 Staff List'!LX$64:LX$114,$AH191),0)</f>
        <v>0</v>
      </c>
      <c r="CR191" s="25">
        <f t="shared" si="272"/>
        <v>0</v>
      </c>
      <c r="CS191" s="25">
        <f t="shared" si="281"/>
        <v>1</v>
      </c>
      <c r="CT191" s="25">
        <f t="shared" si="248"/>
        <v>1</v>
      </c>
      <c r="CU191" s="25">
        <f t="shared" si="249"/>
        <v>1</v>
      </c>
      <c r="CV191" s="25">
        <f t="shared" si="250"/>
        <v>1</v>
      </c>
      <c r="CW191" s="25">
        <f t="shared" si="251"/>
        <v>1</v>
      </c>
      <c r="CX191" s="25">
        <f t="shared" si="252"/>
        <v>0</v>
      </c>
      <c r="CY191" s="25">
        <f t="shared" si="253"/>
        <v>0</v>
      </c>
      <c r="CZ191" s="25">
        <f t="shared" si="254"/>
        <v>0</v>
      </c>
      <c r="DA191" s="25">
        <f t="shared" si="255"/>
        <v>1</v>
      </c>
      <c r="DB191" s="25">
        <f t="shared" si="273"/>
        <v>1</v>
      </c>
      <c r="DC191" s="25">
        <f t="shared" si="256"/>
        <v>0</v>
      </c>
      <c r="DD191" s="25">
        <f>IF(OR($AD191&lt;&gt;3,F191="Exclude"),0,IF(ISERROR(MATCH($E191,'4 Sign-off'!$S$123:$X$123,0)),0,1))</f>
        <v>0</v>
      </c>
      <c r="DE191" s="25">
        <f t="shared" si="274"/>
        <v>0</v>
      </c>
      <c r="DF191" s="25">
        <f t="shared" si="257"/>
        <v>0</v>
      </c>
      <c r="DG191" s="25" t="str">
        <f t="shared" si="258"/>
        <v/>
      </c>
      <c r="DH191" s="25">
        <f t="shared" si="259"/>
        <v>0</v>
      </c>
      <c r="DI191" s="25">
        <f t="shared" si="260"/>
        <v>0</v>
      </c>
      <c r="DJ191" s="25">
        <f>IF(ISBLANK(J191),0,ISERROR(MATCH(J191,'5  Control Accounts'!$FA$29:$FA$96,0))*1)</f>
        <v>0</v>
      </c>
      <c r="DK191" s="25">
        <f t="shared" si="261"/>
        <v>0</v>
      </c>
      <c r="DL191" s="25">
        <f t="shared" si="275"/>
        <v>-1</v>
      </c>
      <c r="DM191" s="25" t="e">
        <f t="array" ref="DM191">MATCH(1,($EG191:$JD191&gt;0)*$EG$17:$JD$17,0)</f>
        <v>#N/A</v>
      </c>
      <c r="DN191" s="25" t="e">
        <f t="shared" si="276"/>
        <v>#N/A</v>
      </c>
      <c r="DO191" s="25" t="e">
        <f t="array" ref="DO191">MATCH(2,1/(EG191:JD191&gt;0))</f>
        <v>#N/A</v>
      </c>
      <c r="DP191" s="2993">
        <f t="shared" si="262"/>
        <v>0</v>
      </c>
      <c r="DQ191" s="3037">
        <f t="shared" si="263"/>
        <v>0</v>
      </c>
      <c r="DR191" s="111"/>
      <c r="DS191" s="1268">
        <f t="shared" si="282"/>
        <v>0</v>
      </c>
      <c r="DT191" s="1825"/>
      <c r="DU191" s="1826"/>
      <c r="DV191" s="1827"/>
      <c r="DW191" s="1828"/>
      <c r="DX191" s="659"/>
      <c r="DY191" s="1265"/>
      <c r="DZ191" s="1785">
        <f t="shared" si="277"/>
        <v>0</v>
      </c>
      <c r="EA191" s="1786">
        <f t="shared" si="278"/>
        <v>0</v>
      </c>
      <c r="EB191" s="1781">
        <f t="shared" si="279"/>
        <v>0</v>
      </c>
      <c r="EC191" s="1782">
        <f t="shared" si="280"/>
        <v>0</v>
      </c>
      <c r="ED191" s="1262"/>
      <c r="EE191" s="2280"/>
      <c r="EF191" s="1802"/>
      <c r="EG191" s="167"/>
      <c r="EH191" s="168"/>
      <c r="EI191" s="168"/>
      <c r="EJ191" s="168"/>
      <c r="EK191" s="168"/>
      <c r="EL191" s="168"/>
      <c r="EM191" s="168"/>
      <c r="EN191" s="168"/>
      <c r="EO191" s="168"/>
      <c r="EP191" s="168"/>
      <c r="EQ191" s="168"/>
      <c r="ER191" s="168"/>
      <c r="ES191" s="168"/>
      <c r="ET191" s="168"/>
      <c r="EU191" s="168"/>
      <c r="EV191" s="168"/>
      <c r="EW191" s="168"/>
      <c r="EX191" s="168"/>
      <c r="EY191" s="168"/>
      <c r="EZ191" s="168"/>
      <c r="FA191" s="168"/>
      <c r="FB191" s="168"/>
      <c r="FC191" s="168"/>
      <c r="FD191" s="168"/>
      <c r="FE191" s="168"/>
      <c r="FF191" s="168"/>
      <c r="FG191" s="168"/>
      <c r="FH191" s="168"/>
      <c r="FI191" s="168"/>
      <c r="FJ191" s="168"/>
      <c r="FK191" s="168"/>
      <c r="FL191" s="168"/>
      <c r="FM191" s="168"/>
      <c r="FN191" s="168"/>
      <c r="FO191" s="168"/>
      <c r="FP191" s="168"/>
      <c r="FQ191" s="168"/>
      <c r="FR191" s="168"/>
      <c r="FS191" s="168"/>
      <c r="FT191" s="168"/>
      <c r="FU191" s="168"/>
      <c r="FV191" s="168"/>
      <c r="FW191" s="168"/>
      <c r="FX191" s="168"/>
      <c r="FY191" s="168"/>
      <c r="FZ191" s="168"/>
      <c r="GA191" s="168"/>
      <c r="GB191" s="168"/>
      <c r="GC191" s="168"/>
      <c r="GD191" s="168"/>
      <c r="GE191" s="168"/>
      <c r="GF191" s="168"/>
      <c r="GG191" s="168"/>
      <c r="GH191" s="168"/>
      <c r="GI191" s="168"/>
      <c r="GJ191" s="168"/>
      <c r="GK191" s="168"/>
      <c r="GL191" s="168"/>
      <c r="GM191" s="168"/>
      <c r="GN191" s="168"/>
      <c r="GO191" s="168"/>
      <c r="GP191" s="168"/>
      <c r="GQ191" s="168"/>
      <c r="GR191" s="168"/>
      <c r="GS191" s="168"/>
      <c r="GT191" s="168"/>
      <c r="GU191" s="168"/>
      <c r="GV191" s="168"/>
      <c r="GW191" s="168"/>
      <c r="GX191" s="168"/>
      <c r="GY191" s="168"/>
      <c r="GZ191" s="168"/>
      <c r="HA191" s="168"/>
      <c r="HB191" s="168"/>
      <c r="HC191" s="168"/>
      <c r="HD191" s="168"/>
      <c r="HE191" s="168"/>
      <c r="HF191" s="168"/>
      <c r="HG191" s="168"/>
      <c r="HH191" s="168"/>
      <c r="HI191" s="168"/>
      <c r="HJ191" s="168"/>
      <c r="HK191" s="168"/>
      <c r="HL191" s="168"/>
      <c r="HM191" s="168"/>
      <c r="HN191" s="168"/>
      <c r="HO191" s="168"/>
      <c r="HP191" s="168"/>
      <c r="HQ191" s="168"/>
      <c r="HR191" s="168"/>
      <c r="HS191" s="168"/>
      <c r="HT191" s="168"/>
      <c r="HU191" s="168"/>
      <c r="HV191" s="168"/>
      <c r="HW191" s="168"/>
      <c r="HX191" s="168"/>
      <c r="HY191" s="168"/>
      <c r="HZ191" s="168"/>
      <c r="IA191" s="168"/>
      <c r="IB191" s="168"/>
      <c r="IC191" s="168"/>
      <c r="ID191" s="168"/>
      <c r="IE191" s="168"/>
      <c r="IF191" s="168"/>
      <c r="IG191" s="168"/>
      <c r="IH191" s="168"/>
      <c r="II191" s="168"/>
      <c r="IJ191" s="168"/>
      <c r="IK191" s="168"/>
      <c r="IL191" s="168"/>
      <c r="IM191" s="168"/>
      <c r="IN191" s="168"/>
      <c r="IO191" s="168"/>
      <c r="IP191" s="168"/>
      <c r="IQ191" s="168"/>
      <c r="IR191" s="168"/>
      <c r="IS191" s="168"/>
      <c r="IT191" s="168"/>
      <c r="IU191" s="168"/>
      <c r="IV191" s="168"/>
      <c r="IW191" s="168"/>
      <c r="IX191" s="168"/>
      <c r="IY191" s="168"/>
      <c r="IZ191" s="168"/>
      <c r="JA191" s="168"/>
      <c r="JB191" s="168"/>
      <c r="JC191" s="606"/>
      <c r="JD191" s="609"/>
      <c r="JE191" s="1"/>
      <c r="JF191" s="1"/>
    </row>
    <row r="192" spans="1:266" s="2" customFormat="1" ht="15" customHeight="1" x14ac:dyDescent="0.25">
      <c r="A192" s="283"/>
      <c r="B192" s="303"/>
      <c r="C192" s="301"/>
      <c r="D192" s="638"/>
      <c r="E192" s="2298"/>
      <c r="F192" s="1812"/>
      <c r="G192" s="3342"/>
      <c r="H192" s="66"/>
      <c r="I192" s="1746"/>
      <c r="J192" s="86"/>
      <c r="K192" s="105"/>
      <c r="L192" s="91"/>
      <c r="M192" s="92"/>
      <c r="N192" s="93"/>
      <c r="O192" s="94"/>
      <c r="P192" s="96"/>
      <c r="Q192" s="95"/>
      <c r="R192" s="993">
        <f t="shared" si="267"/>
        <v>0</v>
      </c>
      <c r="S192" s="23">
        <f t="shared" si="214"/>
        <v>0</v>
      </c>
      <c r="T192" s="24">
        <f t="shared" si="215"/>
        <v>0</v>
      </c>
      <c r="U192" s="24">
        <f t="shared" si="199"/>
        <v>0</v>
      </c>
      <c r="V192" s="24">
        <f t="shared" si="216"/>
        <v>0</v>
      </c>
      <c r="W192" s="24">
        <f t="shared" si="217"/>
        <v>0</v>
      </c>
      <c r="X192" s="72">
        <f t="shared" si="218"/>
        <v>0</v>
      </c>
      <c r="Y192" s="72">
        <f t="shared" si="219"/>
        <v>0</v>
      </c>
      <c r="Z192" s="24">
        <f t="shared" si="268"/>
        <v>0</v>
      </c>
      <c r="AA192" s="72">
        <f t="shared" si="220"/>
        <v>0</v>
      </c>
      <c r="AB192" s="24">
        <f t="shared" si="221"/>
        <v>0</v>
      </c>
      <c r="AC192" s="24" t="s">
        <v>5</v>
      </c>
      <c r="AD192" s="25">
        <f t="shared" si="269"/>
        <v>3</v>
      </c>
      <c r="AE192" s="25">
        <f t="shared" si="270"/>
        <v>0</v>
      </c>
      <c r="AF192" s="25">
        <f t="shared" si="271"/>
        <v>0</v>
      </c>
      <c r="AG192" s="25">
        <f t="shared" si="222"/>
        <v>1</v>
      </c>
      <c r="AH192" s="25" t="str">
        <f>IFERROR(MATCH(DY192,'2 Staff List'!$IA$64:$IA$114,0),"x")</f>
        <v>x</v>
      </c>
      <c r="AI192" s="1181">
        <f>IFERROR(INDEX('2 Staff List'!$EX$64:$EX$114,$AH192),0)</f>
        <v>0</v>
      </c>
      <c r="AJ192" s="25">
        <f>IFERROR(INDEX('2 Staff List'!$IW$64:$IW$114,$AH192),0)</f>
        <v>0</v>
      </c>
      <c r="AK192" s="25">
        <f>IFERROR(INDEX('2 Staff List'!$IB$64:$IB$114,$AH192),0)</f>
        <v>0</v>
      </c>
      <c r="AL192" s="25">
        <f>IF(OR(NOT(ISBLANK(DV192)),CX192=1),"&lt;Non-Labor&gt;",IFERROR(IF(AH192=0,0,INDEX('2 Staff List'!$HZ$64:$HZ$114,$AH192)),0))</f>
        <v>0</v>
      </c>
      <c r="AM192" s="25">
        <f>IFERROR(INDEX('2 Staff List'!$HW$64:$HW$114,$AH192),0)</f>
        <v>0</v>
      </c>
      <c r="AN192" s="25">
        <f t="shared" si="223"/>
        <v>1</v>
      </c>
      <c r="AO192" s="25">
        <f>IF($AO$127=0,0,IFERROR(INDEX('2 Staff List'!$JH$64:$JH$114,$AH192),0))</f>
        <v>0</v>
      </c>
      <c r="AP192" s="25">
        <f>IFERROR(INDEX('2 Staff List'!$HU$64:$HU$114,$AH192),0)</f>
        <v>0</v>
      </c>
      <c r="AQ192" s="25">
        <f t="shared" si="224"/>
        <v>0</v>
      </c>
      <c r="AR192" s="25">
        <f t="shared" si="225"/>
        <v>0</v>
      </c>
      <c r="AS192" s="25">
        <f t="shared" si="226"/>
        <v>0</v>
      </c>
      <c r="AT192" s="25">
        <f t="shared" si="227"/>
        <v>0</v>
      </c>
      <c r="AU192" s="25">
        <f t="shared" si="228"/>
        <v>0</v>
      </c>
      <c r="AV192" s="25">
        <f t="shared" si="229"/>
        <v>0</v>
      </c>
      <c r="AW192" s="25">
        <f t="shared" si="230"/>
        <v>0</v>
      </c>
      <c r="AX192" s="25">
        <f t="shared" si="231"/>
        <v>0</v>
      </c>
      <c r="AY192" s="25">
        <f t="shared" si="232"/>
        <v>0</v>
      </c>
      <c r="AZ192" s="25">
        <f t="shared" si="233"/>
        <v>0</v>
      </c>
      <c r="BA192" s="25">
        <f t="shared" si="234"/>
        <v>0</v>
      </c>
      <c r="BB192" s="25">
        <f t="shared" si="235"/>
        <v>0</v>
      </c>
      <c r="BC192" s="25">
        <f>IFERROR(INDEX('2 Staff List'!KS$64:KS$114,$AH192),0)</f>
        <v>0</v>
      </c>
      <c r="BD192" s="25">
        <f>IFERROR(INDEX('2 Staff List'!KT$64:KT$114,$AH192),0)</f>
        <v>0</v>
      </c>
      <c r="BE192" s="25">
        <f>IFERROR(INDEX('2 Staff List'!KU$64:KU$114,$AH192),0)</f>
        <v>0</v>
      </c>
      <c r="BF192" s="25">
        <f>IFERROR(INDEX('2 Staff List'!KV$64:KV$114,$AH192),0)</f>
        <v>0</v>
      </c>
      <c r="BG192" s="25">
        <f>IFERROR(INDEX('2 Staff List'!KW$64:KW$114,$AH192),0)</f>
        <v>0</v>
      </c>
      <c r="BH192" s="25">
        <f>IFERROR(INDEX('2 Staff List'!KX$64:KX$114,$AH192),0)</f>
        <v>0</v>
      </c>
      <c r="BI192" s="25">
        <f>IFERROR(INDEX('2 Staff List'!KY$64:KY$114,$AH192),0)</f>
        <v>0</v>
      </c>
      <c r="BJ192" s="25">
        <f>IFERROR(INDEX('2 Staff List'!KZ$64:KZ$114,$AH192),0)</f>
        <v>0</v>
      </c>
      <c r="BK192" s="25">
        <f>IFERROR(INDEX('2 Staff List'!LA$64:LA$114,$AH192),0)</f>
        <v>0</v>
      </c>
      <c r="BL192" s="25">
        <f>IFERROR(INDEX('2 Staff List'!LB$64:LB$114,$AH192),0)</f>
        <v>0</v>
      </c>
      <c r="BM192" s="25">
        <f>IFERROR(INDEX('2 Staff List'!FT$64:FT$114,$AH192),0)</f>
        <v>0</v>
      </c>
      <c r="BN192" s="25">
        <f>IFERROR(INDEX('2 Staff List'!FU$64:FU$114,$AH192),0)</f>
        <v>0</v>
      </c>
      <c r="BO192" s="25">
        <f>IFERROR(INDEX('2 Staff List'!FV$64:FV$114,$AH192),0)</f>
        <v>0</v>
      </c>
      <c r="BP192" s="25">
        <f>IFERROR(INDEX('2 Staff List'!FW$64:FW$114,$AH192),0)</f>
        <v>0</v>
      </c>
      <c r="BQ192" s="25">
        <f>IFERROR(INDEX('2 Staff List'!FX$64:FX$114,$AH192),0)</f>
        <v>0</v>
      </c>
      <c r="BR192" s="25">
        <f>IFERROR(INDEX('2 Staff List'!FY$64:FY$114,$AH192),0)</f>
        <v>0</v>
      </c>
      <c r="BS192" s="25">
        <f>IFERROR(INDEX('2 Staff List'!FZ$64:FZ$114,$AH192),0)</f>
        <v>0</v>
      </c>
      <c r="BT192" s="25">
        <f>IFERROR(INDEX('2 Staff List'!GA$64:GA$114,$AH192),0)</f>
        <v>0</v>
      </c>
      <c r="BU192" s="25">
        <f>IFERROR(INDEX('2 Staff List'!GB$64:GB$114,$AH192),0)</f>
        <v>0</v>
      </c>
      <c r="BV192" s="25">
        <f>IFERROR(INDEX('2 Staff List'!GC$64:GC$114,$AH192),0)</f>
        <v>0</v>
      </c>
      <c r="BW192" s="25">
        <f t="shared" si="236"/>
        <v>0</v>
      </c>
      <c r="BX192" s="25">
        <f t="shared" si="237"/>
        <v>0</v>
      </c>
      <c r="BY192" s="25">
        <f t="shared" si="238"/>
        <v>0</v>
      </c>
      <c r="BZ192" s="25">
        <f t="shared" si="239"/>
        <v>0</v>
      </c>
      <c r="CA192" s="25">
        <f t="shared" si="240"/>
        <v>0</v>
      </c>
      <c r="CB192" s="25">
        <f t="shared" si="241"/>
        <v>0</v>
      </c>
      <c r="CC192" s="25">
        <f t="shared" si="242"/>
        <v>0</v>
      </c>
      <c r="CD192" s="25">
        <f t="shared" si="243"/>
        <v>0</v>
      </c>
      <c r="CE192" s="25">
        <f t="shared" si="244"/>
        <v>0</v>
      </c>
      <c r="CF192" s="25">
        <f t="shared" si="245"/>
        <v>0</v>
      </c>
      <c r="CG192" s="25">
        <f t="shared" si="246"/>
        <v>0</v>
      </c>
      <c r="CH192" s="25">
        <f>IFERROR(INDEX('2 Staff List'!LO$64:LO$114,$AH192),0)</f>
        <v>0</v>
      </c>
      <c r="CI192" s="25">
        <f>IFERROR(INDEX('2 Staff List'!LP$64:LP$114,$AH192),0)</f>
        <v>0</v>
      </c>
      <c r="CJ192" s="25">
        <f>IFERROR(INDEX('2 Staff List'!LQ$64:LQ$114,$AH192),0)</f>
        <v>0</v>
      </c>
      <c r="CK192" s="25">
        <f>IFERROR(INDEX('2 Staff List'!LR$64:LR$114,$AH192),0)</f>
        <v>0</v>
      </c>
      <c r="CL192" s="25">
        <f>IFERROR(INDEX('2 Staff List'!LS$64:LS$114,$AH192),0)</f>
        <v>0</v>
      </c>
      <c r="CM192" s="25">
        <f>IFERROR(INDEX('2 Staff List'!LT$64:LT$114,$AH192),0)</f>
        <v>0</v>
      </c>
      <c r="CN192" s="25">
        <f>IFERROR(INDEX('2 Staff List'!LU$64:LU$114,$AH192),0)</f>
        <v>0</v>
      </c>
      <c r="CO192" s="25">
        <f>IFERROR(INDEX('2 Staff List'!LV$64:LV$114,$AH192),0)</f>
        <v>0</v>
      </c>
      <c r="CP192" s="25">
        <f>IFERROR(INDEX('2 Staff List'!LW$64:LW$114,$AH192),0)</f>
        <v>0</v>
      </c>
      <c r="CQ192" s="25">
        <f>IFERROR(INDEX('2 Staff List'!LX$64:LX$114,$AH192),0)</f>
        <v>0</v>
      </c>
      <c r="CR192" s="25">
        <f t="shared" si="272"/>
        <v>0</v>
      </c>
      <c r="CS192" s="25">
        <f t="shared" ref="CS192:CS201" si="283">IFERROR(1/CR192,1)</f>
        <v>1</v>
      </c>
      <c r="CT192" s="25">
        <f t="shared" si="248"/>
        <v>1</v>
      </c>
      <c r="CU192" s="25">
        <f t="shared" si="249"/>
        <v>1</v>
      </c>
      <c r="CV192" s="25">
        <f t="shared" si="250"/>
        <v>1</v>
      </c>
      <c r="CW192" s="25">
        <f t="shared" si="251"/>
        <v>1</v>
      </c>
      <c r="CX192" s="25">
        <f t="shared" si="252"/>
        <v>0</v>
      </c>
      <c r="CY192" s="25">
        <f t="shared" si="253"/>
        <v>0</v>
      </c>
      <c r="CZ192" s="25">
        <f t="shared" si="254"/>
        <v>0</v>
      </c>
      <c r="DA192" s="25">
        <f t="shared" si="255"/>
        <v>1</v>
      </c>
      <c r="DB192" s="25">
        <f t="shared" si="273"/>
        <v>1</v>
      </c>
      <c r="DC192" s="25">
        <f t="shared" si="256"/>
        <v>0</v>
      </c>
      <c r="DD192" s="25">
        <f>IF(OR($AD192&lt;&gt;3,F192="Exclude"),0,IF(ISERROR(MATCH($E192,'4 Sign-off'!$S$123:$X$123,0)),0,1))</f>
        <v>0</v>
      </c>
      <c r="DE192" s="25">
        <f t="shared" si="274"/>
        <v>0</v>
      </c>
      <c r="DF192" s="25">
        <f t="shared" si="257"/>
        <v>0</v>
      </c>
      <c r="DG192" s="25" t="str">
        <f t="shared" si="258"/>
        <v/>
      </c>
      <c r="DH192" s="25">
        <f t="shared" si="259"/>
        <v>0</v>
      </c>
      <c r="DI192" s="25">
        <f t="shared" si="260"/>
        <v>0</v>
      </c>
      <c r="DJ192" s="25">
        <f>IF(ISBLANK(J192),0,ISERROR(MATCH(J192,'5  Control Accounts'!$FA$29:$FA$96,0))*1)</f>
        <v>0</v>
      </c>
      <c r="DK192" s="25">
        <f t="shared" si="261"/>
        <v>0</v>
      </c>
      <c r="DL192" s="25">
        <f t="shared" si="275"/>
        <v>-1</v>
      </c>
      <c r="DM192" s="25" t="e">
        <f t="array" ref="DM192">MATCH(1,($EG192:$JD192&gt;0)*$EG$17:$JD$17,0)</f>
        <v>#N/A</v>
      </c>
      <c r="DN192" s="25" t="e">
        <f t="shared" si="276"/>
        <v>#N/A</v>
      </c>
      <c r="DO192" s="25" t="e">
        <f t="array" ref="DO192">MATCH(2,1/(EG192:JD192&gt;0))</f>
        <v>#N/A</v>
      </c>
      <c r="DP192" s="2993">
        <f t="shared" si="262"/>
        <v>0</v>
      </c>
      <c r="DQ192" s="3037">
        <f t="shared" si="263"/>
        <v>0</v>
      </c>
      <c r="DR192" s="111"/>
      <c r="DS192" s="1268">
        <f t="shared" si="282"/>
        <v>0</v>
      </c>
      <c r="DT192" s="1825"/>
      <c r="DU192" s="1826"/>
      <c r="DV192" s="1827"/>
      <c r="DW192" s="1828"/>
      <c r="DX192" s="659"/>
      <c r="DY192" s="1265"/>
      <c r="DZ192" s="1785">
        <f t="shared" si="277"/>
        <v>0</v>
      </c>
      <c r="EA192" s="1786">
        <f t="shared" si="278"/>
        <v>0</v>
      </c>
      <c r="EB192" s="1781">
        <f t="shared" si="279"/>
        <v>0</v>
      </c>
      <c r="EC192" s="1782">
        <f t="shared" si="280"/>
        <v>0</v>
      </c>
      <c r="ED192" s="1262"/>
      <c r="EE192" s="2280"/>
      <c r="EF192" s="1802"/>
      <c r="EG192" s="167"/>
      <c r="EH192" s="168"/>
      <c r="EI192" s="168"/>
      <c r="EJ192" s="168"/>
      <c r="EK192" s="168"/>
      <c r="EL192" s="168"/>
      <c r="EM192" s="168"/>
      <c r="EN192" s="168"/>
      <c r="EO192" s="168"/>
      <c r="EP192" s="168"/>
      <c r="EQ192" s="168"/>
      <c r="ER192" s="168"/>
      <c r="ES192" s="168"/>
      <c r="ET192" s="168"/>
      <c r="EU192" s="168"/>
      <c r="EV192" s="168"/>
      <c r="EW192" s="168"/>
      <c r="EX192" s="168"/>
      <c r="EY192" s="168"/>
      <c r="EZ192" s="168"/>
      <c r="FA192" s="168"/>
      <c r="FB192" s="168"/>
      <c r="FC192" s="168"/>
      <c r="FD192" s="168"/>
      <c r="FE192" s="168"/>
      <c r="FF192" s="168"/>
      <c r="FG192" s="168"/>
      <c r="FH192" s="168"/>
      <c r="FI192" s="168"/>
      <c r="FJ192" s="168"/>
      <c r="FK192" s="168"/>
      <c r="FL192" s="168"/>
      <c r="FM192" s="168"/>
      <c r="FN192" s="168"/>
      <c r="FO192" s="168"/>
      <c r="FP192" s="168"/>
      <c r="FQ192" s="168"/>
      <c r="FR192" s="168"/>
      <c r="FS192" s="168"/>
      <c r="FT192" s="168"/>
      <c r="FU192" s="168"/>
      <c r="FV192" s="168"/>
      <c r="FW192" s="168"/>
      <c r="FX192" s="168"/>
      <c r="FY192" s="168"/>
      <c r="FZ192" s="168"/>
      <c r="GA192" s="168"/>
      <c r="GB192" s="168"/>
      <c r="GC192" s="168"/>
      <c r="GD192" s="168"/>
      <c r="GE192" s="168"/>
      <c r="GF192" s="168"/>
      <c r="GG192" s="168"/>
      <c r="GH192" s="168"/>
      <c r="GI192" s="168"/>
      <c r="GJ192" s="168"/>
      <c r="GK192" s="168"/>
      <c r="GL192" s="168"/>
      <c r="GM192" s="168"/>
      <c r="GN192" s="168"/>
      <c r="GO192" s="168"/>
      <c r="GP192" s="168"/>
      <c r="GQ192" s="168"/>
      <c r="GR192" s="168"/>
      <c r="GS192" s="168"/>
      <c r="GT192" s="168"/>
      <c r="GU192" s="168"/>
      <c r="GV192" s="168"/>
      <c r="GW192" s="168"/>
      <c r="GX192" s="168"/>
      <c r="GY192" s="168"/>
      <c r="GZ192" s="168"/>
      <c r="HA192" s="168"/>
      <c r="HB192" s="168"/>
      <c r="HC192" s="168"/>
      <c r="HD192" s="168"/>
      <c r="HE192" s="168"/>
      <c r="HF192" s="168"/>
      <c r="HG192" s="168"/>
      <c r="HH192" s="168"/>
      <c r="HI192" s="168"/>
      <c r="HJ192" s="168"/>
      <c r="HK192" s="168"/>
      <c r="HL192" s="168"/>
      <c r="HM192" s="168"/>
      <c r="HN192" s="168"/>
      <c r="HO192" s="168"/>
      <c r="HP192" s="168"/>
      <c r="HQ192" s="168"/>
      <c r="HR192" s="168"/>
      <c r="HS192" s="168"/>
      <c r="HT192" s="168"/>
      <c r="HU192" s="168"/>
      <c r="HV192" s="168"/>
      <c r="HW192" s="168"/>
      <c r="HX192" s="168"/>
      <c r="HY192" s="168"/>
      <c r="HZ192" s="168"/>
      <c r="IA192" s="168"/>
      <c r="IB192" s="168"/>
      <c r="IC192" s="168"/>
      <c r="ID192" s="168"/>
      <c r="IE192" s="168"/>
      <c r="IF192" s="168"/>
      <c r="IG192" s="168"/>
      <c r="IH192" s="168"/>
      <c r="II192" s="168"/>
      <c r="IJ192" s="168"/>
      <c r="IK192" s="168"/>
      <c r="IL192" s="168"/>
      <c r="IM192" s="168"/>
      <c r="IN192" s="168"/>
      <c r="IO192" s="168"/>
      <c r="IP192" s="168"/>
      <c r="IQ192" s="168"/>
      <c r="IR192" s="168"/>
      <c r="IS192" s="168"/>
      <c r="IT192" s="168"/>
      <c r="IU192" s="168"/>
      <c r="IV192" s="168"/>
      <c r="IW192" s="168"/>
      <c r="IX192" s="168"/>
      <c r="IY192" s="168"/>
      <c r="IZ192" s="168"/>
      <c r="JA192" s="168"/>
      <c r="JB192" s="168"/>
      <c r="JC192" s="606"/>
      <c r="JD192" s="609"/>
      <c r="JE192" s="1"/>
      <c r="JF192" s="1"/>
    </row>
    <row r="193" spans="1:266" s="2" customFormat="1" ht="15" customHeight="1" x14ac:dyDescent="0.25">
      <c r="A193" s="283"/>
      <c r="B193" s="303"/>
      <c r="C193" s="301"/>
      <c r="D193" s="638"/>
      <c r="E193" s="2298"/>
      <c r="F193" s="1812"/>
      <c r="G193" s="3342"/>
      <c r="H193" s="66"/>
      <c r="I193" s="1746"/>
      <c r="J193" s="86"/>
      <c r="K193" s="105"/>
      <c r="L193" s="91"/>
      <c r="M193" s="92"/>
      <c r="N193" s="93"/>
      <c r="O193" s="94"/>
      <c r="P193" s="96"/>
      <c r="Q193" s="95"/>
      <c r="R193" s="993">
        <f t="shared" ref="R193:R239" si="284">CHOOSE(AD193,SUMIFS($T$129:$T$304,$AE$129:$AE$304,AE193,$AD$129:$AD$304,3,$DF$129:$DF$304,1,$AG$129:$AG$304,1),SUMIFS($T$129:$T$304,$AF$129:$AF$304,AF193,$AD$129:$AD$304,3,$DF$129:$DF$304,1,$AG$129:$AG$304,1),T193+U193)</f>
        <v>0</v>
      </c>
      <c r="S193" s="23">
        <f t="shared" si="214"/>
        <v>0</v>
      </c>
      <c r="T193" s="24">
        <f t="shared" si="215"/>
        <v>0</v>
      </c>
      <c r="U193" s="24">
        <f t="shared" si="199"/>
        <v>0</v>
      </c>
      <c r="V193" s="24">
        <f t="shared" si="216"/>
        <v>0</v>
      </c>
      <c r="W193" s="24">
        <f t="shared" si="217"/>
        <v>0</v>
      </c>
      <c r="X193" s="72">
        <f t="shared" si="218"/>
        <v>0</v>
      </c>
      <c r="Y193" s="72">
        <f t="shared" si="219"/>
        <v>0</v>
      </c>
      <c r="Z193" s="24">
        <f t="shared" ref="Z193:Z240" si="285">IF($AD193=3,SUMPRODUCT(AS193:BB193,BC193:BL193),0)</f>
        <v>0</v>
      </c>
      <c r="AA193" s="72">
        <f t="shared" si="220"/>
        <v>0</v>
      </c>
      <c r="AB193" s="24">
        <f t="shared" si="221"/>
        <v>0</v>
      </c>
      <c r="AC193" s="24" t="s">
        <v>5</v>
      </c>
      <c r="AD193" s="25">
        <f t="shared" ref="AD193:AD237" si="286">IF(N193="",3,IF(AND(L193&gt;0,M193&gt;0),2,1))</f>
        <v>3</v>
      </c>
      <c r="AE193" s="25">
        <f t="shared" ref="AE193:AE237" si="287">IF(AND(ISNUMBER(VALUE(L193)),RIGHT(L193,1)="0"),(L193+0.00001),L193)</f>
        <v>0</v>
      </c>
      <c r="AF193" s="25">
        <f t="shared" ref="AF193:AF237" si="288">IF(AND(ISNUMBER(VALUE(M193)),RIGHT(M193,1)="0"),(M193+0.00001),M193)</f>
        <v>0</v>
      </c>
      <c r="AG193" s="25">
        <f t="shared" si="222"/>
        <v>1</v>
      </c>
      <c r="AH193" s="25" t="str">
        <f>IFERROR(MATCH(DY193,'2 Staff List'!$IA$64:$IA$114,0),"x")</f>
        <v>x</v>
      </c>
      <c r="AI193" s="1181">
        <f>IFERROR(INDEX('2 Staff List'!$EX$64:$EX$114,$AH193),0)</f>
        <v>0</v>
      </c>
      <c r="AJ193" s="25">
        <f>IFERROR(INDEX('2 Staff List'!$IW$64:$IW$114,$AH193),0)</f>
        <v>0</v>
      </c>
      <c r="AK193" s="25">
        <f>IFERROR(INDEX('2 Staff List'!$IB$64:$IB$114,$AH193),0)</f>
        <v>0</v>
      </c>
      <c r="AL193" s="25">
        <f>IF(OR(NOT(ISBLANK(DV193)),CX193=1),"&lt;Non-Labor&gt;",IFERROR(IF(AH193=0,0,INDEX('2 Staff List'!$HZ$64:$HZ$114,$AH193)),0))</f>
        <v>0</v>
      </c>
      <c r="AM193" s="25">
        <f>IFERROR(INDEX('2 Staff List'!$HW$64:$HW$114,$AH193),0)</f>
        <v>0</v>
      </c>
      <c r="AN193" s="25">
        <f t="shared" si="223"/>
        <v>1</v>
      </c>
      <c r="AO193" s="25">
        <f>IF($AO$127=0,0,IFERROR(INDEX('2 Staff List'!$JH$64:$JH$114,$AH193),0))</f>
        <v>0</v>
      </c>
      <c r="AP193" s="25">
        <f>IFERROR(INDEX('2 Staff List'!$HU$64:$HU$114,$AH193),0)</f>
        <v>0</v>
      </c>
      <c r="AQ193" s="25">
        <f t="shared" si="224"/>
        <v>0</v>
      </c>
      <c r="AR193" s="25">
        <f t="shared" si="225"/>
        <v>0</v>
      </c>
      <c r="AS193" s="25">
        <f t="shared" si="226"/>
        <v>0</v>
      </c>
      <c r="AT193" s="25">
        <f t="shared" si="227"/>
        <v>0</v>
      </c>
      <c r="AU193" s="25">
        <f t="shared" si="228"/>
        <v>0</v>
      </c>
      <c r="AV193" s="25">
        <f t="shared" si="229"/>
        <v>0</v>
      </c>
      <c r="AW193" s="25">
        <f t="shared" si="230"/>
        <v>0</v>
      </c>
      <c r="AX193" s="25">
        <f t="shared" si="231"/>
        <v>0</v>
      </c>
      <c r="AY193" s="25">
        <f t="shared" si="232"/>
        <v>0</v>
      </c>
      <c r="AZ193" s="25">
        <f t="shared" si="233"/>
        <v>0</v>
      </c>
      <c r="BA193" s="25">
        <f t="shared" si="234"/>
        <v>0</v>
      </c>
      <c r="BB193" s="25">
        <f t="shared" si="235"/>
        <v>0</v>
      </c>
      <c r="BC193" s="25">
        <f>IFERROR(INDEX('2 Staff List'!KS$64:KS$114,$AH193),0)</f>
        <v>0</v>
      </c>
      <c r="BD193" s="25">
        <f>IFERROR(INDEX('2 Staff List'!KT$64:KT$114,$AH193),0)</f>
        <v>0</v>
      </c>
      <c r="BE193" s="25">
        <f>IFERROR(INDEX('2 Staff List'!KU$64:KU$114,$AH193),0)</f>
        <v>0</v>
      </c>
      <c r="BF193" s="25">
        <f>IFERROR(INDEX('2 Staff List'!KV$64:KV$114,$AH193),0)</f>
        <v>0</v>
      </c>
      <c r="BG193" s="25">
        <f>IFERROR(INDEX('2 Staff List'!KW$64:KW$114,$AH193),0)</f>
        <v>0</v>
      </c>
      <c r="BH193" s="25">
        <f>IFERROR(INDEX('2 Staff List'!KX$64:KX$114,$AH193),0)</f>
        <v>0</v>
      </c>
      <c r="BI193" s="25">
        <f>IFERROR(INDEX('2 Staff List'!KY$64:KY$114,$AH193),0)</f>
        <v>0</v>
      </c>
      <c r="BJ193" s="25">
        <f>IFERROR(INDEX('2 Staff List'!KZ$64:KZ$114,$AH193),0)</f>
        <v>0</v>
      </c>
      <c r="BK193" s="25">
        <f>IFERROR(INDEX('2 Staff List'!LA$64:LA$114,$AH193),0)</f>
        <v>0</v>
      </c>
      <c r="BL193" s="25">
        <f>IFERROR(INDEX('2 Staff List'!LB$64:LB$114,$AH193),0)</f>
        <v>0</v>
      </c>
      <c r="BM193" s="25">
        <f>IFERROR(INDEX('2 Staff List'!FT$64:FT$114,$AH193),0)</f>
        <v>0</v>
      </c>
      <c r="BN193" s="25">
        <f>IFERROR(INDEX('2 Staff List'!FU$64:FU$114,$AH193),0)</f>
        <v>0</v>
      </c>
      <c r="BO193" s="25">
        <f>IFERROR(INDEX('2 Staff List'!FV$64:FV$114,$AH193),0)</f>
        <v>0</v>
      </c>
      <c r="BP193" s="25">
        <f>IFERROR(INDEX('2 Staff List'!FW$64:FW$114,$AH193),0)</f>
        <v>0</v>
      </c>
      <c r="BQ193" s="25">
        <f>IFERROR(INDEX('2 Staff List'!FX$64:FX$114,$AH193),0)</f>
        <v>0</v>
      </c>
      <c r="BR193" s="25">
        <f>IFERROR(INDEX('2 Staff List'!FY$64:FY$114,$AH193),0)</f>
        <v>0</v>
      </c>
      <c r="BS193" s="25">
        <f>IFERROR(INDEX('2 Staff List'!FZ$64:FZ$114,$AH193),0)</f>
        <v>0</v>
      </c>
      <c r="BT193" s="25">
        <f>IFERROR(INDEX('2 Staff List'!GA$64:GA$114,$AH193),0)</f>
        <v>0</v>
      </c>
      <c r="BU193" s="25">
        <f>IFERROR(INDEX('2 Staff List'!GB$64:GB$114,$AH193),0)</f>
        <v>0</v>
      </c>
      <c r="BV193" s="25">
        <f>IFERROR(INDEX('2 Staff List'!GC$64:GC$114,$AH193),0)</f>
        <v>0</v>
      </c>
      <c r="BW193" s="25">
        <f t="shared" si="236"/>
        <v>0</v>
      </c>
      <c r="BX193" s="25">
        <f t="shared" si="237"/>
        <v>0</v>
      </c>
      <c r="BY193" s="25">
        <f t="shared" si="238"/>
        <v>0</v>
      </c>
      <c r="BZ193" s="25">
        <f t="shared" si="239"/>
        <v>0</v>
      </c>
      <c r="CA193" s="25">
        <f t="shared" si="240"/>
        <v>0</v>
      </c>
      <c r="CB193" s="25">
        <f t="shared" si="241"/>
        <v>0</v>
      </c>
      <c r="CC193" s="25">
        <f t="shared" si="242"/>
        <v>0</v>
      </c>
      <c r="CD193" s="25">
        <f t="shared" si="243"/>
        <v>0</v>
      </c>
      <c r="CE193" s="25">
        <f t="shared" si="244"/>
        <v>0</v>
      </c>
      <c r="CF193" s="25">
        <f t="shared" si="245"/>
        <v>0</v>
      </c>
      <c r="CG193" s="25">
        <f t="shared" si="246"/>
        <v>0</v>
      </c>
      <c r="CH193" s="25">
        <f>IFERROR(INDEX('2 Staff List'!LO$64:LO$114,$AH193),0)</f>
        <v>0</v>
      </c>
      <c r="CI193" s="25">
        <f>IFERROR(INDEX('2 Staff List'!LP$64:LP$114,$AH193),0)</f>
        <v>0</v>
      </c>
      <c r="CJ193" s="25">
        <f>IFERROR(INDEX('2 Staff List'!LQ$64:LQ$114,$AH193),0)</f>
        <v>0</v>
      </c>
      <c r="CK193" s="25">
        <f>IFERROR(INDEX('2 Staff List'!LR$64:LR$114,$AH193),0)</f>
        <v>0</v>
      </c>
      <c r="CL193" s="25">
        <f>IFERROR(INDEX('2 Staff List'!LS$64:LS$114,$AH193),0)</f>
        <v>0</v>
      </c>
      <c r="CM193" s="25">
        <f>IFERROR(INDEX('2 Staff List'!LT$64:LT$114,$AH193),0)</f>
        <v>0</v>
      </c>
      <c r="CN193" s="25">
        <f>IFERROR(INDEX('2 Staff List'!LU$64:LU$114,$AH193),0)</f>
        <v>0</v>
      </c>
      <c r="CO193" s="25">
        <f>IFERROR(INDEX('2 Staff List'!LV$64:LV$114,$AH193),0)</f>
        <v>0</v>
      </c>
      <c r="CP193" s="25">
        <f>IFERROR(INDEX('2 Staff List'!LW$64:LW$114,$AH193),0)</f>
        <v>0</v>
      </c>
      <c r="CQ193" s="25">
        <f>IFERROR(INDEX('2 Staff List'!LX$64:LX$114,$AH193),0)</f>
        <v>0</v>
      </c>
      <c r="CR193" s="25">
        <f t="shared" ref="CR193:CR240" si="289">IF(AD193=3,SUMPRODUCT($EG193:$JD193,$EG$17:$JD$17),0)</f>
        <v>0</v>
      </c>
      <c r="CS193" s="25">
        <f t="shared" si="283"/>
        <v>1</v>
      </c>
      <c r="CT193" s="25">
        <f t="shared" si="248"/>
        <v>1</v>
      </c>
      <c r="CU193" s="25">
        <f t="shared" si="249"/>
        <v>1</v>
      </c>
      <c r="CV193" s="25">
        <f t="shared" si="250"/>
        <v>1</v>
      </c>
      <c r="CW193" s="25">
        <f t="shared" si="251"/>
        <v>1</v>
      </c>
      <c r="CX193" s="25">
        <f t="shared" si="252"/>
        <v>0</v>
      </c>
      <c r="CY193" s="25">
        <f t="shared" si="253"/>
        <v>0</v>
      </c>
      <c r="CZ193" s="25">
        <f t="shared" si="254"/>
        <v>0</v>
      </c>
      <c r="DA193" s="25">
        <f t="shared" si="255"/>
        <v>1</v>
      </c>
      <c r="DB193" s="25">
        <f t="shared" ref="DB193:DB237" si="290">IF($AD193&lt;&gt;3,0,IF(F193="",1,0))</f>
        <v>1</v>
      </c>
      <c r="DC193" s="25">
        <f t="shared" si="256"/>
        <v>0</v>
      </c>
      <c r="DD193" s="25">
        <f>IF(OR($AD193&lt;&gt;3,F193="Exclude"),0,IF(ISERROR(MATCH($E193,'4 Sign-off'!$S$123:$X$123,0)),0,1))</f>
        <v>0</v>
      </c>
      <c r="DE193" s="25">
        <f t="shared" ref="DE193:DE212" si="291">IF($C$6&lt;&gt;"B",1,CHOOSE($DE$119,DD193,CZ193+DC193,CZ193,DC193))</f>
        <v>0</v>
      </c>
      <c r="DF193" s="25">
        <f t="shared" si="257"/>
        <v>0</v>
      </c>
      <c r="DG193" s="25" t="str">
        <f t="shared" si="258"/>
        <v/>
      </c>
      <c r="DH193" s="25">
        <f t="shared" si="259"/>
        <v>0</v>
      </c>
      <c r="DI193" s="25">
        <f t="shared" si="260"/>
        <v>0</v>
      </c>
      <c r="DJ193" s="25">
        <f>IF(ISBLANK(J193),0,ISERROR(MATCH(J193,'5  Control Accounts'!$FA$29:$FA$96,0))*1)</f>
        <v>0</v>
      </c>
      <c r="DK193" s="25">
        <f t="shared" si="261"/>
        <v>0</v>
      </c>
      <c r="DL193" s="25">
        <f t="shared" ref="DL193:DL237" si="292">IF(OR((T193+U193)&gt;0,(AA193+AB193)&gt;0),J193,-1)</f>
        <v>-1</v>
      </c>
      <c r="DM193" s="25" t="e">
        <f t="array" ref="DM193">MATCH(1,($EG193:$JD193&gt;0)*$EG$17:$JD$17,0)</f>
        <v>#N/A</v>
      </c>
      <c r="DN193" s="25" t="e">
        <f t="shared" ref="DN193:DN212" si="293">IF($C$6&lt;&gt;"F",DO193,IF(DO193&lt;$EB$17,NA(),DO193))</f>
        <v>#N/A</v>
      </c>
      <c r="DO193" s="25" t="e">
        <f t="array" ref="DO193">MATCH(2,1/(EG193:JD193&gt;0))</f>
        <v>#N/A</v>
      </c>
      <c r="DP193" s="2993">
        <f t="shared" si="262"/>
        <v>0</v>
      </c>
      <c r="DQ193" s="3037">
        <f t="shared" si="263"/>
        <v>0</v>
      </c>
      <c r="DR193" s="111"/>
      <c r="DS193" s="1268">
        <f t="shared" si="282"/>
        <v>0</v>
      </c>
      <c r="DT193" s="1825"/>
      <c r="DU193" s="1826"/>
      <c r="DV193" s="1827"/>
      <c r="DW193" s="1828"/>
      <c r="DX193" s="659"/>
      <c r="DY193" s="1265"/>
      <c r="DZ193" s="1785">
        <f t="shared" ref="DZ193:DZ240" si="294">AL193</f>
        <v>0</v>
      </c>
      <c r="EA193" s="1786">
        <f t="shared" ref="EA193:EA240" si="295">IF($AD193=3,T193+U193,0)</f>
        <v>0</v>
      </c>
      <c r="EB193" s="1781">
        <f t="shared" ref="EB193:EB212" si="296">IF(ISERROR(DM193),0,CHOOSE($DY$3,(DM193*7)+$EG$126-11,EOMONTH($EG$126,DM193-2)+1))</f>
        <v>0</v>
      </c>
      <c r="EC193" s="1782">
        <f t="shared" ref="EC193:EC212" si="297">IF(ISERROR(DN193),0,CHOOSE($DY$3,(DN193*7)+$EG$126-7,EOMONTH($EG$126,DN193-1)))</f>
        <v>0</v>
      </c>
      <c r="ED193" s="1262"/>
      <c r="EE193" s="2280"/>
      <c r="EF193" s="1802"/>
      <c r="EG193" s="167"/>
      <c r="EH193" s="168"/>
      <c r="EI193" s="168"/>
      <c r="EJ193" s="168"/>
      <c r="EK193" s="168"/>
      <c r="EL193" s="168"/>
      <c r="EM193" s="168"/>
      <c r="EN193" s="168"/>
      <c r="EO193" s="168"/>
      <c r="EP193" s="168"/>
      <c r="EQ193" s="168"/>
      <c r="ER193" s="168"/>
      <c r="ES193" s="168"/>
      <c r="ET193" s="168"/>
      <c r="EU193" s="168"/>
      <c r="EV193" s="168"/>
      <c r="EW193" s="168"/>
      <c r="EX193" s="168"/>
      <c r="EY193" s="168"/>
      <c r="EZ193" s="168"/>
      <c r="FA193" s="168"/>
      <c r="FB193" s="168"/>
      <c r="FC193" s="168"/>
      <c r="FD193" s="168"/>
      <c r="FE193" s="168"/>
      <c r="FF193" s="168"/>
      <c r="FG193" s="168"/>
      <c r="FH193" s="168"/>
      <c r="FI193" s="168"/>
      <c r="FJ193" s="168"/>
      <c r="FK193" s="168"/>
      <c r="FL193" s="168"/>
      <c r="FM193" s="168"/>
      <c r="FN193" s="168"/>
      <c r="FO193" s="168"/>
      <c r="FP193" s="168"/>
      <c r="FQ193" s="168"/>
      <c r="FR193" s="168"/>
      <c r="FS193" s="168"/>
      <c r="FT193" s="168"/>
      <c r="FU193" s="168"/>
      <c r="FV193" s="168"/>
      <c r="FW193" s="168"/>
      <c r="FX193" s="168"/>
      <c r="FY193" s="168"/>
      <c r="FZ193" s="168"/>
      <c r="GA193" s="168"/>
      <c r="GB193" s="168"/>
      <c r="GC193" s="168"/>
      <c r="GD193" s="168"/>
      <c r="GE193" s="168"/>
      <c r="GF193" s="168"/>
      <c r="GG193" s="168"/>
      <c r="GH193" s="168"/>
      <c r="GI193" s="168"/>
      <c r="GJ193" s="168"/>
      <c r="GK193" s="168"/>
      <c r="GL193" s="168"/>
      <c r="GM193" s="168"/>
      <c r="GN193" s="168"/>
      <c r="GO193" s="168"/>
      <c r="GP193" s="168"/>
      <c r="GQ193" s="168"/>
      <c r="GR193" s="168"/>
      <c r="GS193" s="168"/>
      <c r="GT193" s="168"/>
      <c r="GU193" s="168"/>
      <c r="GV193" s="168"/>
      <c r="GW193" s="168"/>
      <c r="GX193" s="168"/>
      <c r="GY193" s="168"/>
      <c r="GZ193" s="168"/>
      <c r="HA193" s="168"/>
      <c r="HB193" s="168"/>
      <c r="HC193" s="168"/>
      <c r="HD193" s="168"/>
      <c r="HE193" s="168"/>
      <c r="HF193" s="168"/>
      <c r="HG193" s="168"/>
      <c r="HH193" s="168"/>
      <c r="HI193" s="168"/>
      <c r="HJ193" s="168"/>
      <c r="HK193" s="168"/>
      <c r="HL193" s="168"/>
      <c r="HM193" s="168"/>
      <c r="HN193" s="168"/>
      <c r="HO193" s="168"/>
      <c r="HP193" s="168"/>
      <c r="HQ193" s="168"/>
      <c r="HR193" s="168"/>
      <c r="HS193" s="168"/>
      <c r="HT193" s="168"/>
      <c r="HU193" s="168"/>
      <c r="HV193" s="168"/>
      <c r="HW193" s="168"/>
      <c r="HX193" s="168"/>
      <c r="HY193" s="168"/>
      <c r="HZ193" s="168"/>
      <c r="IA193" s="168"/>
      <c r="IB193" s="168"/>
      <c r="IC193" s="168"/>
      <c r="ID193" s="168"/>
      <c r="IE193" s="168"/>
      <c r="IF193" s="168"/>
      <c r="IG193" s="168"/>
      <c r="IH193" s="168"/>
      <c r="II193" s="168"/>
      <c r="IJ193" s="168"/>
      <c r="IK193" s="168"/>
      <c r="IL193" s="168"/>
      <c r="IM193" s="168"/>
      <c r="IN193" s="168"/>
      <c r="IO193" s="168"/>
      <c r="IP193" s="168"/>
      <c r="IQ193" s="168"/>
      <c r="IR193" s="168"/>
      <c r="IS193" s="168"/>
      <c r="IT193" s="168"/>
      <c r="IU193" s="168"/>
      <c r="IV193" s="168"/>
      <c r="IW193" s="168"/>
      <c r="IX193" s="168"/>
      <c r="IY193" s="168"/>
      <c r="IZ193" s="168"/>
      <c r="JA193" s="168"/>
      <c r="JB193" s="168"/>
      <c r="JC193" s="606"/>
      <c r="JD193" s="609"/>
      <c r="JE193" s="1"/>
      <c r="JF193" s="1"/>
    </row>
    <row r="194" spans="1:266" s="2" customFormat="1" ht="15" customHeight="1" x14ac:dyDescent="0.25">
      <c r="A194" s="283"/>
      <c r="B194" s="303"/>
      <c r="C194" s="301"/>
      <c r="D194" s="638"/>
      <c r="E194" s="2298"/>
      <c r="F194" s="1812"/>
      <c r="G194" s="3342"/>
      <c r="H194" s="66"/>
      <c r="I194" s="1746"/>
      <c r="J194" s="86"/>
      <c r="K194" s="105"/>
      <c r="L194" s="91"/>
      <c r="M194" s="92"/>
      <c r="N194" s="93"/>
      <c r="O194" s="94"/>
      <c r="P194" s="96"/>
      <c r="Q194" s="95"/>
      <c r="R194" s="993">
        <f t="shared" si="284"/>
        <v>0</v>
      </c>
      <c r="S194" s="23">
        <f t="shared" ref="S194:S265" si="298">CHOOSE($AD194,SUMIFS($S$129:$S$304,$AE$129:$AE$304,AE194,$DF$129:$DF$304,1),SUMIFS($S$129:$S$304,$AF$129:$AF$304,AF194,$DF$129:$DF$304,1),V194+Y194+AB194)</f>
        <v>0</v>
      </c>
      <c r="T194" s="24">
        <f t="shared" ref="T194:T273" si="299">IF($AD194=3,BW194*AG194,0)</f>
        <v>0</v>
      </c>
      <c r="U194" s="24">
        <f t="shared" ref="U194:U273" si="300">IF($AD194=3,AR194*(1-AG194),0)</f>
        <v>0</v>
      </c>
      <c r="V194" s="24">
        <f t="shared" ref="V194:V268" si="301">T194*AP194*AG194</f>
        <v>0</v>
      </c>
      <c r="W194" s="24">
        <f t="shared" ref="W194:W270" si="302">X194*AO194</f>
        <v>0</v>
      </c>
      <c r="X194" s="72">
        <f t="shared" ref="X194:X268" si="303">IF($AD194=3,SUMPRODUCT(BX194:CG194,CH194:CQ194)*AG194,0)</f>
        <v>0</v>
      </c>
      <c r="Y194" s="72">
        <f t="shared" ref="Y194:Y273" si="304">IF($AD194=3,SUMPRODUCT(AS194:BB194,BM194:BV194),0)</f>
        <v>0</v>
      </c>
      <c r="Z194" s="24">
        <f t="shared" si="285"/>
        <v>0</v>
      </c>
      <c r="AA194" s="72">
        <f t="shared" ref="AA194:AA268" si="305">$DV194*$CT194*(1+DW194)*AG194</f>
        <v>0</v>
      </c>
      <c r="AB194" s="24">
        <f t="shared" ref="AB194:AB270" si="306">$DV194*$CT194*(1-$CX194)</f>
        <v>0</v>
      </c>
      <c r="AC194" s="24" t="s">
        <v>5</v>
      </c>
      <c r="AD194" s="25">
        <f t="shared" si="286"/>
        <v>3</v>
      </c>
      <c r="AE194" s="25">
        <f t="shared" si="287"/>
        <v>0</v>
      </c>
      <c r="AF194" s="25">
        <f t="shared" si="288"/>
        <v>0</v>
      </c>
      <c r="AG194" s="25">
        <f t="shared" ref="AG194:AG265" si="307">IF(OR($G194="NB",DG194="R"),0,1)</f>
        <v>1</v>
      </c>
      <c r="AH194" s="25" t="str">
        <f>IFERROR(MATCH(DY194,'2 Staff List'!$IA$64:$IA$114,0),"x")</f>
        <v>x</v>
      </c>
      <c r="AI194" s="1181">
        <f>IFERROR(INDEX('2 Staff List'!$EX$64:$EX$114,$AH194),0)</f>
        <v>0</v>
      </c>
      <c r="AJ194" s="25">
        <f>IFERROR(INDEX('2 Staff List'!$IW$64:$IW$114,$AH194),0)</f>
        <v>0</v>
      </c>
      <c r="AK194" s="25">
        <f>IFERROR(INDEX('2 Staff List'!$IB$64:$IB$114,$AH194),0)</f>
        <v>0</v>
      </c>
      <c r="AL194" s="25">
        <f>IF(OR(NOT(ISBLANK(DV194)),CX194=1),"&lt;Non-Labor&gt;",IFERROR(IF(AH194=0,0,INDEX('2 Staff List'!$HZ$64:$HZ$114,$AH194)),0))</f>
        <v>0</v>
      </c>
      <c r="AM194" s="25">
        <f>IFERROR(INDEX('2 Staff List'!$HW$64:$HW$114,$AH194),0)</f>
        <v>0</v>
      </c>
      <c r="AN194" s="25">
        <f t="shared" ref="AN194:AN272" si="308">(1+B194)*IF(ISBLANK(EE194),1,EE194)</f>
        <v>1</v>
      </c>
      <c r="AO194" s="25">
        <f>IF($AO$127=0,0,IFERROR(INDEX('2 Staff List'!$JH$64:$JH$114,$AH194),0))</f>
        <v>0</v>
      </c>
      <c r="AP194" s="25">
        <f>IFERROR(INDEX('2 Staff List'!$HU$64:$HU$114,$AH194),0)</f>
        <v>0</v>
      </c>
      <c r="AQ194" s="25">
        <f t="shared" ref="AQ194:AQ270" si="309">IF(AND(DV194&lt;&gt;0,SUMPRODUCT($EG194:$JD194,$EG$17:$JD$17)=0),1,0)</f>
        <v>0</v>
      </c>
      <c r="AR194" s="25">
        <f t="shared" ref="AR194:AR272" si="310">IF(OR($AD194&lt;&gt;3,$DV194&gt;0,$DY194=0),0,SUMIFS($EG194:$JD194,$EG$17:$JD$17,1)*AN194)</f>
        <v>0</v>
      </c>
      <c r="AS194" s="25">
        <f t="shared" ref="AS194:AS268" si="311">IF(OR($AD194&lt;&gt;3,$DV194&gt;0),0,SUMIFS($EG194:$JD194,$EG$17:$JD$17,1,$EG$124:$JD$124,1)*AN194)</f>
        <v>0</v>
      </c>
      <c r="AT194" s="25">
        <f t="shared" ref="AT194:AT268" si="312">IF(OR($AD194&lt;&gt;3,$DV194&gt;0),0,SUMIFS($EG194:$JD194,$EG$17:$JD$17,1,$EG$124:$JD$124,2)*AN194)</f>
        <v>0</v>
      </c>
      <c r="AU194" s="25">
        <f t="shared" ref="AU194:AU268" si="313">IF(OR($AD194&lt;&gt;3,$DV194&gt;0),0,SUMIFS($EG194:$JD194,$EG$17:$JD$17,1,$EG$124:$JD$124,3)*AN194)</f>
        <v>0</v>
      </c>
      <c r="AV194" s="25">
        <f t="shared" ref="AV194:AV268" si="314">IF(OR($AD194&lt;&gt;3,$DV194&gt;0),0,SUMIFS($EG194:$JD194,$EG$17:$JD$17,1,$EG$124:$JD$124,4)*AN194)</f>
        <v>0</v>
      </c>
      <c r="AW194" s="25">
        <f t="shared" ref="AW194:AW268" si="315">IF(OR($AD194&lt;&gt;3,$DV194&gt;0),0,SUMIFS($EG194:$JD194,$EG$17:$JD$17,1,$EG$124:$JD$124,5)*AN194)</f>
        <v>0</v>
      </c>
      <c r="AX194" s="25">
        <f t="shared" ref="AX194:AX268" si="316">IF(OR($AD194&lt;&gt;3,$DV194&gt;0),0,SUMIFS($EG194:$JD194,$EG$17:$JD$17,1,$EG$124:$JD$124,6)*AN194)</f>
        <v>0</v>
      </c>
      <c r="AY194" s="25">
        <f t="shared" ref="AY194:AY268" si="317">IF(OR($AD194&lt;&gt;3,$DV194&gt;0),0,SUMIFS($EG194:$JD194,$EG$17:$JD$17,1,$EG$124:$JD$124,7)*AN194)</f>
        <v>0</v>
      </c>
      <c r="AZ194" s="25">
        <f t="shared" ref="AZ194:AZ268" si="318">IF(OR($AD194&lt;&gt;3,$DV194&gt;0),0,SUMIFS($EG194:$JD194,$EG$17:$JD$17,1,$EG$124:$JD$124,8)*AN194)</f>
        <v>0</v>
      </c>
      <c r="BA194" s="25">
        <f t="shared" ref="BA194:BA268" si="319">IF(OR($AD194&lt;&gt;3,$DV194&gt;0),0,SUMIFS($EG194:$JD194,$EG$17:$JD$17,1,$EG$124:$JD$124,9)*AN194)</f>
        <v>0</v>
      </c>
      <c r="BB194" s="25">
        <f t="shared" ref="BB194:BB268" si="320">IF(OR($AD194&lt;&gt;3,$DV194&gt;0),0,SUMIFS($EG194:$JD194,$EG$17:$JD$17,1,$EG$124:$JD$124,10)*AN194)</f>
        <v>0</v>
      </c>
      <c r="BC194" s="25">
        <f>IFERROR(INDEX('2 Staff List'!KS$64:KS$114,$AH194),0)</f>
        <v>0</v>
      </c>
      <c r="BD194" s="25">
        <f>IFERROR(INDEX('2 Staff List'!KT$64:KT$114,$AH194),0)</f>
        <v>0</v>
      </c>
      <c r="BE194" s="25">
        <f>IFERROR(INDEX('2 Staff List'!KU$64:KU$114,$AH194),0)</f>
        <v>0</v>
      </c>
      <c r="BF194" s="25">
        <f>IFERROR(INDEX('2 Staff List'!KV$64:KV$114,$AH194),0)</f>
        <v>0</v>
      </c>
      <c r="BG194" s="25">
        <f>IFERROR(INDEX('2 Staff List'!KW$64:KW$114,$AH194),0)</f>
        <v>0</v>
      </c>
      <c r="BH194" s="25">
        <f>IFERROR(INDEX('2 Staff List'!KX$64:KX$114,$AH194),0)</f>
        <v>0</v>
      </c>
      <c r="BI194" s="25">
        <f>IFERROR(INDEX('2 Staff List'!KY$64:KY$114,$AH194),0)</f>
        <v>0</v>
      </c>
      <c r="BJ194" s="25">
        <f>IFERROR(INDEX('2 Staff List'!KZ$64:KZ$114,$AH194),0)</f>
        <v>0</v>
      </c>
      <c r="BK194" s="25">
        <f>IFERROR(INDEX('2 Staff List'!LA$64:LA$114,$AH194),0)</f>
        <v>0</v>
      </c>
      <c r="BL194" s="25">
        <f>IFERROR(INDEX('2 Staff List'!LB$64:LB$114,$AH194),0)</f>
        <v>0</v>
      </c>
      <c r="BM194" s="25">
        <f>IFERROR(INDEX('2 Staff List'!FT$64:FT$114,$AH194),0)</f>
        <v>0</v>
      </c>
      <c r="BN194" s="25">
        <f>IFERROR(INDEX('2 Staff List'!FU$64:FU$114,$AH194),0)</f>
        <v>0</v>
      </c>
      <c r="BO194" s="25">
        <f>IFERROR(INDEX('2 Staff List'!FV$64:FV$114,$AH194),0)</f>
        <v>0</v>
      </c>
      <c r="BP194" s="25">
        <f>IFERROR(INDEX('2 Staff List'!FW$64:FW$114,$AH194),0)</f>
        <v>0</v>
      </c>
      <c r="BQ194" s="25">
        <f>IFERROR(INDEX('2 Staff List'!FX$64:FX$114,$AH194),0)</f>
        <v>0</v>
      </c>
      <c r="BR194" s="25">
        <f>IFERROR(INDEX('2 Staff List'!FY$64:FY$114,$AH194),0)</f>
        <v>0</v>
      </c>
      <c r="BS194" s="25">
        <f>IFERROR(INDEX('2 Staff List'!FZ$64:FZ$114,$AH194),0)</f>
        <v>0</v>
      </c>
      <c r="BT194" s="25">
        <f>IFERROR(INDEX('2 Staff List'!GA$64:GA$114,$AH194),0)</f>
        <v>0</v>
      </c>
      <c r="BU194" s="25">
        <f>IFERROR(INDEX('2 Staff List'!GB$64:GB$114,$AH194),0)</f>
        <v>0</v>
      </c>
      <c r="BV194" s="25">
        <f>IFERROR(INDEX('2 Staff List'!GC$64:GC$114,$AH194),0)</f>
        <v>0</v>
      </c>
      <c r="BW194" s="25">
        <f t="shared" ref="BW194:BW272" si="321">IF(OR($AD194&lt;&gt;3,$DV194&gt;0,$DY194=0),0,SUMIFS($EG194:$JD194,$EG$17:$JD$17,1)*AN194*$AG194)</f>
        <v>0</v>
      </c>
      <c r="BX194" s="25">
        <f t="shared" ref="BX194:BX268" si="322">IF(OR($AD194&lt;&gt;3,$DV194&gt;0),0,SUMIFS($EG194:$JD194,$EG$17:$JD$17,1,$EG$123:$JD$123,1)*AN194)</f>
        <v>0</v>
      </c>
      <c r="BY194" s="25">
        <f t="shared" ref="BY194:BY268" si="323">IF(OR($AD194&lt;&gt;3,$DV194&gt;0),0,SUMIFS($EG194:$JD194,$EG$17:$JD$17,1,$EG$123:$JD$123,2)*AN194)</f>
        <v>0</v>
      </c>
      <c r="BZ194" s="25">
        <f t="shared" ref="BZ194:BZ268" si="324">IF(OR($AD194&lt;&gt;3,$DV194&gt;0),0,SUMIFS($EG194:$JD194,$EG$17:$JD$17,1,$EG$123:$JD$123,3)*AN194)</f>
        <v>0</v>
      </c>
      <c r="CA194" s="25">
        <f t="shared" ref="CA194:CA268" si="325">IF(OR($AD194&lt;&gt;3,$DV194&gt;0),0,SUMIFS($EG194:$JD194,$EG$17:$JD$17,1,$EG$123:$JD$123,4)*AN194)</f>
        <v>0</v>
      </c>
      <c r="CB194" s="25">
        <f t="shared" ref="CB194:CB268" si="326">IF(OR($AD194&lt;&gt;3,$DV194&gt;0),0,SUMIFS($EG194:$JD194,$EG$17:$JD$17,1,$EG$123:$JD$123,5)*AN194)</f>
        <v>0</v>
      </c>
      <c r="CC194" s="25">
        <f t="shared" ref="CC194:CC268" si="327">IF(OR($AD194&lt;&gt;3,$DV194&gt;0),0,SUMIFS($EG194:$JD194,$EG$17:$JD$17,1,$EG$123:$JD$123,6)*AN194)</f>
        <v>0</v>
      </c>
      <c r="CD194" s="25">
        <f t="shared" ref="CD194:CD268" si="328">IF(OR($AD194&lt;&gt;3,$DV194&gt;0),0,SUMIFS($EG194:$JD194,$EG$17:$JD$17,1,$EG$123:$JD$123,7)*AN194)</f>
        <v>0</v>
      </c>
      <c r="CE194" s="25">
        <f t="shared" ref="CE194:CE268" si="329">IF(OR($AD194&lt;&gt;3,$DV194&gt;0),0,SUMIFS($EG194:$JD194,$EG$17:$JD$17,1,$EG$123:$JD$123,8)*AN194)</f>
        <v>0</v>
      </c>
      <c r="CF194" s="25">
        <f t="shared" ref="CF194:CF268" si="330">IF(OR($AD194&lt;&gt;3,$DV194&gt;0),0,SUMIFS($EG194:$JD194,$EG$17:$JD$17,1,$EG$123:$JD$123,9)*AN194)</f>
        <v>0</v>
      </c>
      <c r="CG194" s="25">
        <f t="shared" ref="CG194:CG268" si="331">IF(OR($AD194&lt;&gt;3,$DV194&gt;0),0,SUMIFS($EG194:$JD194,$EG$17:$JD$17,1,$EG$123:$JD$123,10)*AN194)</f>
        <v>0</v>
      </c>
      <c r="CH194" s="25">
        <f>IFERROR(INDEX('2 Staff List'!LO$64:LO$114,$AH194),0)</f>
        <v>0</v>
      </c>
      <c r="CI194" s="25">
        <f>IFERROR(INDEX('2 Staff List'!LP$64:LP$114,$AH194),0)</f>
        <v>0</v>
      </c>
      <c r="CJ194" s="25">
        <f>IFERROR(INDEX('2 Staff List'!LQ$64:LQ$114,$AH194),0)</f>
        <v>0</v>
      </c>
      <c r="CK194" s="25">
        <f>IFERROR(INDEX('2 Staff List'!LR$64:LR$114,$AH194),0)</f>
        <v>0</v>
      </c>
      <c r="CL194" s="25">
        <f>IFERROR(INDEX('2 Staff List'!LS$64:LS$114,$AH194),0)</f>
        <v>0</v>
      </c>
      <c r="CM194" s="25">
        <f>IFERROR(INDEX('2 Staff List'!LT$64:LT$114,$AH194),0)</f>
        <v>0</v>
      </c>
      <c r="CN194" s="25">
        <f>IFERROR(INDEX('2 Staff List'!LU$64:LU$114,$AH194),0)</f>
        <v>0</v>
      </c>
      <c r="CO194" s="25">
        <f>IFERROR(INDEX('2 Staff List'!LV$64:LV$114,$AH194),0)</f>
        <v>0</v>
      </c>
      <c r="CP194" s="25">
        <f>IFERROR(INDEX('2 Staff List'!LW$64:LW$114,$AH194),0)</f>
        <v>0</v>
      </c>
      <c r="CQ194" s="25">
        <f>IFERROR(INDEX('2 Staff List'!LX$64:LX$114,$AH194),0)</f>
        <v>0</v>
      </c>
      <c r="CR194" s="25">
        <f t="shared" si="289"/>
        <v>0</v>
      </c>
      <c r="CS194" s="25">
        <f t="shared" ref="CS194:CS200" si="332">IFERROR(1/CR194,1)</f>
        <v>1</v>
      </c>
      <c r="CT194" s="25">
        <f t="shared" ref="CT194:CT273" si="333">IF(NOT(ISBLANK(DU194)),DU194,1)</f>
        <v>1</v>
      </c>
      <c r="CU194" s="25">
        <f t="shared" ref="CU194:CU270" si="334">IF(DT194=$CU$127,0,1)</f>
        <v>1</v>
      </c>
      <c r="CV194" s="25">
        <f t="shared" ref="CV194:CV268" si="335">IF(AND(AD194=3,OR(F194="",F194="Approved")),1,0)</f>
        <v>1</v>
      </c>
      <c r="CW194" s="25">
        <f t="shared" ref="CW194:CW272" si="336">IF(AD194&lt;&gt;3,0,IF(OR(F194="",F194="Approved",F194="Pend w FC"),1,0))</f>
        <v>1</v>
      </c>
      <c r="CX194" s="25">
        <f t="shared" ref="CX194:CX268" si="337">IF(AND(Z194=0,OR(G194="RO",DG194="V",DG194="W")),1,0)</f>
        <v>0</v>
      </c>
      <c r="CY194" s="25">
        <f t="shared" ref="CY194:CY258" si="338">IF(OR(DG194="S",DG194="R",DG194="V",DG194="U",DG194="W",DG194="Z"),1,0)</f>
        <v>0</v>
      </c>
      <c r="CZ194" s="25">
        <f t="shared" ref="CZ194:CZ272" si="339">IF(AD194&lt;&gt;3,0,IF(OR(F194="Pending",F194="Pend w FC"),1,0))</f>
        <v>0</v>
      </c>
      <c r="DA194" s="25">
        <f t="shared" ref="DA194:DA268" si="340">IF(OR($F194="Exclude",$AD194&lt;&gt;3),0,1)</f>
        <v>1</v>
      </c>
      <c r="DB194" s="25">
        <f t="shared" si="290"/>
        <v>1</v>
      </c>
      <c r="DC194" s="25">
        <f t="shared" ref="DC194:DC273" si="341">IF($F194="Approved",1,0)</f>
        <v>0</v>
      </c>
      <c r="DD194" s="25">
        <f>IF(OR($AD194&lt;&gt;3,F194="Exclude"),0,IF(ISERROR(MATCH($E194,'4 Sign-off'!$S$123:$X$123,0)),0,1))</f>
        <v>0</v>
      </c>
      <c r="DE194" s="25">
        <f t="shared" si="291"/>
        <v>0</v>
      </c>
      <c r="DF194" s="25">
        <f t="shared" ref="DF194:DF272" si="342">CHOOSE($DF$119,CV194,CW194,DE194)</f>
        <v>0</v>
      </c>
      <c r="DG194" s="25" t="str">
        <f t="shared" ref="DG194:DG272" si="343">LEFT(J194,1)</f>
        <v/>
      </c>
      <c r="DH194" s="25">
        <f t="shared" ref="DH194:DH258" si="344">IF(SUM(X194:AB194)=0,0,IF(ISBLANK(DV194),"L","N"))</f>
        <v>0</v>
      </c>
      <c r="DI194" s="25">
        <f t="shared" ref="DI194:DI257" si="345">IF(OR(DH194=0,DG194="S",ISBLANK(J194)),0,IF(OR(DG194="A",DG194="G",DG194="L"),IF(DH194="L",0,1),IF(DH194="N",0,1)))</f>
        <v>0</v>
      </c>
      <c r="DJ194" s="25">
        <f>IF(ISBLANK(J194),0,ISERROR(MATCH(J194,'5  Control Accounts'!$FA$29:$FA$96,0))*1)</f>
        <v>0</v>
      </c>
      <c r="DK194" s="25">
        <f t="shared" ref="DK194:DK268" si="346">AND($C$5,(T194+U194+AB194)&lt;&gt;0,ISBLANK(J194),F194&lt;&gt;"Exclude")*1</f>
        <v>0</v>
      </c>
      <c r="DL194" s="25">
        <f t="shared" si="292"/>
        <v>-1</v>
      </c>
      <c r="DM194" s="25" t="e">
        <f t="array" ref="DM194">MATCH(1,($EG194:$JD194&gt;0)*$EG$17:$JD$17,0)</f>
        <v>#N/A</v>
      </c>
      <c r="DN194" s="25" t="e">
        <f t="shared" si="293"/>
        <v>#N/A</v>
      </c>
      <c r="DO194" s="25" t="e">
        <f t="array" ref="DO194">MATCH(2,1/(EG194:JD194&gt;0))</f>
        <v>#N/A</v>
      </c>
      <c r="DP194" s="2993">
        <f t="shared" ref="DP194:DP268" si="347">CHOOSE($AD194,SUMIFS($DP$129:$DP$304,$AE$129:$AE$304,$AE194,$DF$129:$DF$304,1),SUMIFS($DP$129:$DP$304,$AF$129:$AF$304,$AF194,$DF$129:$DF$304,1),X194+AA194)</f>
        <v>0</v>
      </c>
      <c r="DQ194" s="3037">
        <f t="shared" ref="DQ194:DQ268" si="348">CHOOSE($AD194,SUMIFS($DQ$129:$DQ$304,$AE$129:$AE$304,$AE194,$DF$129:$DF$304,1),SUMIFS($DQ$129:$DQ$304,$AF$129:$AF$304,$AF194,$DF$129:$DF$304,1),DP194-S194)</f>
        <v>0</v>
      </c>
      <c r="DR194" s="111"/>
      <c r="DS194" s="1268">
        <f t="shared" si="282"/>
        <v>0</v>
      </c>
      <c r="DT194" s="1825"/>
      <c r="DU194" s="1826"/>
      <c r="DV194" s="1827"/>
      <c r="DW194" s="1828"/>
      <c r="DX194" s="659"/>
      <c r="DY194" s="1265"/>
      <c r="DZ194" s="1785">
        <f t="shared" si="294"/>
        <v>0</v>
      </c>
      <c r="EA194" s="1786">
        <f t="shared" si="295"/>
        <v>0</v>
      </c>
      <c r="EB194" s="1781">
        <f t="shared" si="296"/>
        <v>0</v>
      </c>
      <c r="EC194" s="1782">
        <f t="shared" si="297"/>
        <v>0</v>
      </c>
      <c r="ED194" s="1262"/>
      <c r="EE194" s="2280"/>
      <c r="EF194" s="1802"/>
      <c r="EG194" s="167"/>
      <c r="EH194" s="168"/>
      <c r="EI194" s="168"/>
      <c r="EJ194" s="168"/>
      <c r="EK194" s="168"/>
      <c r="EL194" s="168"/>
      <c r="EM194" s="168"/>
      <c r="EN194" s="168"/>
      <c r="EO194" s="168"/>
      <c r="EP194" s="168"/>
      <c r="EQ194" s="168"/>
      <c r="ER194" s="168"/>
      <c r="ES194" s="168"/>
      <c r="ET194" s="168"/>
      <c r="EU194" s="168"/>
      <c r="EV194" s="168"/>
      <c r="EW194" s="168"/>
      <c r="EX194" s="168"/>
      <c r="EY194" s="168"/>
      <c r="EZ194" s="168"/>
      <c r="FA194" s="168"/>
      <c r="FB194" s="168"/>
      <c r="FC194" s="168"/>
      <c r="FD194" s="168"/>
      <c r="FE194" s="168"/>
      <c r="FF194" s="168"/>
      <c r="FG194" s="168"/>
      <c r="FH194" s="168"/>
      <c r="FI194" s="168"/>
      <c r="FJ194" s="168"/>
      <c r="FK194" s="168"/>
      <c r="FL194" s="168"/>
      <c r="FM194" s="168"/>
      <c r="FN194" s="168"/>
      <c r="FO194" s="168"/>
      <c r="FP194" s="168"/>
      <c r="FQ194" s="168"/>
      <c r="FR194" s="168"/>
      <c r="FS194" s="168"/>
      <c r="FT194" s="168"/>
      <c r="FU194" s="168"/>
      <c r="FV194" s="168"/>
      <c r="FW194" s="168"/>
      <c r="FX194" s="168"/>
      <c r="FY194" s="168"/>
      <c r="FZ194" s="168"/>
      <c r="GA194" s="168"/>
      <c r="GB194" s="168"/>
      <c r="GC194" s="168"/>
      <c r="GD194" s="168"/>
      <c r="GE194" s="168"/>
      <c r="GF194" s="168"/>
      <c r="GG194" s="168"/>
      <c r="GH194" s="168"/>
      <c r="GI194" s="168"/>
      <c r="GJ194" s="168"/>
      <c r="GK194" s="168"/>
      <c r="GL194" s="168"/>
      <c r="GM194" s="168"/>
      <c r="GN194" s="168"/>
      <c r="GO194" s="168"/>
      <c r="GP194" s="168"/>
      <c r="GQ194" s="168"/>
      <c r="GR194" s="168"/>
      <c r="GS194" s="168"/>
      <c r="GT194" s="168"/>
      <c r="GU194" s="168"/>
      <c r="GV194" s="168"/>
      <c r="GW194" s="168"/>
      <c r="GX194" s="168"/>
      <c r="GY194" s="168"/>
      <c r="GZ194" s="168"/>
      <c r="HA194" s="168"/>
      <c r="HB194" s="168"/>
      <c r="HC194" s="168"/>
      <c r="HD194" s="168"/>
      <c r="HE194" s="168"/>
      <c r="HF194" s="168"/>
      <c r="HG194" s="168"/>
      <c r="HH194" s="168"/>
      <c r="HI194" s="168"/>
      <c r="HJ194" s="168"/>
      <c r="HK194" s="168"/>
      <c r="HL194" s="168"/>
      <c r="HM194" s="168"/>
      <c r="HN194" s="168"/>
      <c r="HO194" s="168"/>
      <c r="HP194" s="168"/>
      <c r="HQ194" s="168"/>
      <c r="HR194" s="168"/>
      <c r="HS194" s="168"/>
      <c r="HT194" s="168"/>
      <c r="HU194" s="168"/>
      <c r="HV194" s="168"/>
      <c r="HW194" s="168"/>
      <c r="HX194" s="168"/>
      <c r="HY194" s="168"/>
      <c r="HZ194" s="168"/>
      <c r="IA194" s="168"/>
      <c r="IB194" s="168"/>
      <c r="IC194" s="168"/>
      <c r="ID194" s="168"/>
      <c r="IE194" s="168"/>
      <c r="IF194" s="168"/>
      <c r="IG194" s="168"/>
      <c r="IH194" s="168"/>
      <c r="II194" s="168"/>
      <c r="IJ194" s="168"/>
      <c r="IK194" s="168"/>
      <c r="IL194" s="168"/>
      <c r="IM194" s="168"/>
      <c r="IN194" s="168"/>
      <c r="IO194" s="168"/>
      <c r="IP194" s="168"/>
      <c r="IQ194" s="168"/>
      <c r="IR194" s="168"/>
      <c r="IS194" s="168"/>
      <c r="IT194" s="168"/>
      <c r="IU194" s="168"/>
      <c r="IV194" s="168"/>
      <c r="IW194" s="168"/>
      <c r="IX194" s="168"/>
      <c r="IY194" s="168"/>
      <c r="IZ194" s="168"/>
      <c r="JA194" s="168"/>
      <c r="JB194" s="168"/>
      <c r="JC194" s="606"/>
      <c r="JD194" s="609"/>
      <c r="JE194" s="1"/>
      <c r="JF194" s="1"/>
    </row>
    <row r="195" spans="1:266" s="2" customFormat="1" ht="15" customHeight="1" x14ac:dyDescent="0.25">
      <c r="A195" s="283"/>
      <c r="B195" s="303"/>
      <c r="C195" s="301"/>
      <c r="D195" s="638"/>
      <c r="E195" s="2298"/>
      <c r="F195" s="1812"/>
      <c r="G195" s="3342"/>
      <c r="H195" s="66"/>
      <c r="I195" s="1746"/>
      <c r="J195" s="86"/>
      <c r="K195" s="105"/>
      <c r="L195" s="91"/>
      <c r="M195" s="92"/>
      <c r="N195" s="93"/>
      <c r="O195" s="94"/>
      <c r="P195" s="96"/>
      <c r="Q195" s="95"/>
      <c r="R195" s="993">
        <f t="shared" si="284"/>
        <v>0</v>
      </c>
      <c r="S195" s="23">
        <f t="shared" si="298"/>
        <v>0</v>
      </c>
      <c r="T195" s="24">
        <f t="shared" si="299"/>
        <v>0</v>
      </c>
      <c r="U195" s="24">
        <f t="shared" si="300"/>
        <v>0</v>
      </c>
      <c r="V195" s="24">
        <f t="shared" si="301"/>
        <v>0</v>
      </c>
      <c r="W195" s="24">
        <f t="shared" si="302"/>
        <v>0</v>
      </c>
      <c r="X195" s="72">
        <f t="shared" si="303"/>
        <v>0</v>
      </c>
      <c r="Y195" s="72">
        <f t="shared" si="304"/>
        <v>0</v>
      </c>
      <c r="Z195" s="24">
        <f t="shared" si="285"/>
        <v>0</v>
      </c>
      <c r="AA195" s="72">
        <f t="shared" si="305"/>
        <v>0</v>
      </c>
      <c r="AB195" s="24">
        <f t="shared" si="306"/>
        <v>0</v>
      </c>
      <c r="AC195" s="24" t="s">
        <v>5</v>
      </c>
      <c r="AD195" s="25">
        <f t="shared" si="286"/>
        <v>3</v>
      </c>
      <c r="AE195" s="25">
        <f t="shared" si="287"/>
        <v>0</v>
      </c>
      <c r="AF195" s="25">
        <f t="shared" si="288"/>
        <v>0</v>
      </c>
      <c r="AG195" s="25">
        <f t="shared" si="307"/>
        <v>1</v>
      </c>
      <c r="AH195" s="25" t="str">
        <f>IFERROR(MATCH(DY195,'2 Staff List'!$IA$64:$IA$114,0),"x")</f>
        <v>x</v>
      </c>
      <c r="AI195" s="1181">
        <f>IFERROR(INDEX('2 Staff List'!$EX$64:$EX$114,$AH195),0)</f>
        <v>0</v>
      </c>
      <c r="AJ195" s="25">
        <f>IFERROR(INDEX('2 Staff List'!$IW$64:$IW$114,$AH195),0)</f>
        <v>0</v>
      </c>
      <c r="AK195" s="25">
        <f>IFERROR(INDEX('2 Staff List'!$IB$64:$IB$114,$AH195),0)</f>
        <v>0</v>
      </c>
      <c r="AL195" s="25">
        <f>IF(OR(NOT(ISBLANK(DV195)),CX195=1),"&lt;Non-Labor&gt;",IFERROR(IF(AH195=0,0,INDEX('2 Staff List'!$HZ$64:$HZ$114,$AH195)),0))</f>
        <v>0</v>
      </c>
      <c r="AM195" s="25">
        <f>IFERROR(INDEX('2 Staff List'!$HW$64:$HW$114,$AH195),0)</f>
        <v>0</v>
      </c>
      <c r="AN195" s="25">
        <f t="shared" si="308"/>
        <v>1</v>
      </c>
      <c r="AO195" s="25">
        <f>IF($AO$127=0,0,IFERROR(INDEX('2 Staff List'!$JH$64:$JH$114,$AH195),0))</f>
        <v>0</v>
      </c>
      <c r="AP195" s="25">
        <f>IFERROR(INDEX('2 Staff List'!$HU$64:$HU$114,$AH195),0)</f>
        <v>0</v>
      </c>
      <c r="AQ195" s="25">
        <f t="shared" si="309"/>
        <v>0</v>
      </c>
      <c r="AR195" s="25">
        <f t="shared" si="310"/>
        <v>0</v>
      </c>
      <c r="AS195" s="25">
        <f t="shared" si="311"/>
        <v>0</v>
      </c>
      <c r="AT195" s="25">
        <f t="shared" si="312"/>
        <v>0</v>
      </c>
      <c r="AU195" s="25">
        <f t="shared" si="313"/>
        <v>0</v>
      </c>
      <c r="AV195" s="25">
        <f t="shared" si="314"/>
        <v>0</v>
      </c>
      <c r="AW195" s="25">
        <f t="shared" si="315"/>
        <v>0</v>
      </c>
      <c r="AX195" s="25">
        <f t="shared" si="316"/>
        <v>0</v>
      </c>
      <c r="AY195" s="25">
        <f t="shared" si="317"/>
        <v>0</v>
      </c>
      <c r="AZ195" s="25">
        <f t="shared" si="318"/>
        <v>0</v>
      </c>
      <c r="BA195" s="25">
        <f t="shared" si="319"/>
        <v>0</v>
      </c>
      <c r="BB195" s="25">
        <f t="shared" si="320"/>
        <v>0</v>
      </c>
      <c r="BC195" s="25">
        <f>IFERROR(INDEX('2 Staff List'!KS$64:KS$114,$AH195),0)</f>
        <v>0</v>
      </c>
      <c r="BD195" s="25">
        <f>IFERROR(INDEX('2 Staff List'!KT$64:KT$114,$AH195),0)</f>
        <v>0</v>
      </c>
      <c r="BE195" s="25">
        <f>IFERROR(INDEX('2 Staff List'!KU$64:KU$114,$AH195),0)</f>
        <v>0</v>
      </c>
      <c r="BF195" s="25">
        <f>IFERROR(INDEX('2 Staff List'!KV$64:KV$114,$AH195),0)</f>
        <v>0</v>
      </c>
      <c r="BG195" s="25">
        <f>IFERROR(INDEX('2 Staff List'!KW$64:KW$114,$AH195),0)</f>
        <v>0</v>
      </c>
      <c r="BH195" s="25">
        <f>IFERROR(INDEX('2 Staff List'!KX$64:KX$114,$AH195),0)</f>
        <v>0</v>
      </c>
      <c r="BI195" s="25">
        <f>IFERROR(INDEX('2 Staff List'!KY$64:KY$114,$AH195),0)</f>
        <v>0</v>
      </c>
      <c r="BJ195" s="25">
        <f>IFERROR(INDEX('2 Staff List'!KZ$64:KZ$114,$AH195),0)</f>
        <v>0</v>
      </c>
      <c r="BK195" s="25">
        <f>IFERROR(INDEX('2 Staff List'!LA$64:LA$114,$AH195),0)</f>
        <v>0</v>
      </c>
      <c r="BL195" s="25">
        <f>IFERROR(INDEX('2 Staff List'!LB$64:LB$114,$AH195),0)</f>
        <v>0</v>
      </c>
      <c r="BM195" s="25">
        <f>IFERROR(INDEX('2 Staff List'!FT$64:FT$114,$AH195),0)</f>
        <v>0</v>
      </c>
      <c r="BN195" s="25">
        <f>IFERROR(INDEX('2 Staff List'!FU$64:FU$114,$AH195),0)</f>
        <v>0</v>
      </c>
      <c r="BO195" s="25">
        <f>IFERROR(INDEX('2 Staff List'!FV$64:FV$114,$AH195),0)</f>
        <v>0</v>
      </c>
      <c r="BP195" s="25">
        <f>IFERROR(INDEX('2 Staff List'!FW$64:FW$114,$AH195),0)</f>
        <v>0</v>
      </c>
      <c r="BQ195" s="25">
        <f>IFERROR(INDEX('2 Staff List'!FX$64:FX$114,$AH195),0)</f>
        <v>0</v>
      </c>
      <c r="BR195" s="25">
        <f>IFERROR(INDEX('2 Staff List'!FY$64:FY$114,$AH195),0)</f>
        <v>0</v>
      </c>
      <c r="BS195" s="25">
        <f>IFERROR(INDEX('2 Staff List'!FZ$64:FZ$114,$AH195),0)</f>
        <v>0</v>
      </c>
      <c r="BT195" s="25">
        <f>IFERROR(INDEX('2 Staff List'!GA$64:GA$114,$AH195),0)</f>
        <v>0</v>
      </c>
      <c r="BU195" s="25">
        <f>IFERROR(INDEX('2 Staff List'!GB$64:GB$114,$AH195),0)</f>
        <v>0</v>
      </c>
      <c r="BV195" s="25">
        <f>IFERROR(INDEX('2 Staff List'!GC$64:GC$114,$AH195),0)</f>
        <v>0</v>
      </c>
      <c r="BW195" s="25">
        <f t="shared" si="321"/>
        <v>0</v>
      </c>
      <c r="BX195" s="25">
        <f t="shared" si="322"/>
        <v>0</v>
      </c>
      <c r="BY195" s="25">
        <f t="shared" si="323"/>
        <v>0</v>
      </c>
      <c r="BZ195" s="25">
        <f t="shared" si="324"/>
        <v>0</v>
      </c>
      <c r="CA195" s="25">
        <f t="shared" si="325"/>
        <v>0</v>
      </c>
      <c r="CB195" s="25">
        <f t="shared" si="326"/>
        <v>0</v>
      </c>
      <c r="CC195" s="25">
        <f t="shared" si="327"/>
        <v>0</v>
      </c>
      <c r="CD195" s="25">
        <f t="shared" si="328"/>
        <v>0</v>
      </c>
      <c r="CE195" s="25">
        <f t="shared" si="329"/>
        <v>0</v>
      </c>
      <c r="CF195" s="25">
        <f t="shared" si="330"/>
        <v>0</v>
      </c>
      <c r="CG195" s="25">
        <f t="shared" si="331"/>
        <v>0</v>
      </c>
      <c r="CH195" s="25">
        <f>IFERROR(INDEX('2 Staff List'!LO$64:LO$114,$AH195),0)</f>
        <v>0</v>
      </c>
      <c r="CI195" s="25">
        <f>IFERROR(INDEX('2 Staff List'!LP$64:LP$114,$AH195),0)</f>
        <v>0</v>
      </c>
      <c r="CJ195" s="25">
        <f>IFERROR(INDEX('2 Staff List'!LQ$64:LQ$114,$AH195),0)</f>
        <v>0</v>
      </c>
      <c r="CK195" s="25">
        <f>IFERROR(INDEX('2 Staff List'!LR$64:LR$114,$AH195),0)</f>
        <v>0</v>
      </c>
      <c r="CL195" s="25">
        <f>IFERROR(INDEX('2 Staff List'!LS$64:LS$114,$AH195),0)</f>
        <v>0</v>
      </c>
      <c r="CM195" s="25">
        <f>IFERROR(INDEX('2 Staff List'!LT$64:LT$114,$AH195),0)</f>
        <v>0</v>
      </c>
      <c r="CN195" s="25">
        <f>IFERROR(INDEX('2 Staff List'!LU$64:LU$114,$AH195),0)</f>
        <v>0</v>
      </c>
      <c r="CO195" s="25">
        <f>IFERROR(INDEX('2 Staff List'!LV$64:LV$114,$AH195),0)</f>
        <v>0</v>
      </c>
      <c r="CP195" s="25">
        <f>IFERROR(INDEX('2 Staff List'!LW$64:LW$114,$AH195),0)</f>
        <v>0</v>
      </c>
      <c r="CQ195" s="25">
        <f>IFERROR(INDEX('2 Staff List'!LX$64:LX$114,$AH195),0)</f>
        <v>0</v>
      </c>
      <c r="CR195" s="25">
        <f t="shared" si="289"/>
        <v>0</v>
      </c>
      <c r="CS195" s="25">
        <f t="shared" si="332"/>
        <v>1</v>
      </c>
      <c r="CT195" s="25">
        <f t="shared" si="333"/>
        <v>1</v>
      </c>
      <c r="CU195" s="25">
        <f t="shared" si="334"/>
        <v>1</v>
      </c>
      <c r="CV195" s="25">
        <f t="shared" si="335"/>
        <v>1</v>
      </c>
      <c r="CW195" s="25">
        <f t="shared" si="336"/>
        <v>1</v>
      </c>
      <c r="CX195" s="25">
        <f t="shared" si="337"/>
        <v>0</v>
      </c>
      <c r="CY195" s="25">
        <f t="shared" si="338"/>
        <v>0</v>
      </c>
      <c r="CZ195" s="25">
        <f t="shared" si="339"/>
        <v>0</v>
      </c>
      <c r="DA195" s="25">
        <f t="shared" si="340"/>
        <v>1</v>
      </c>
      <c r="DB195" s="25">
        <f t="shared" si="290"/>
        <v>1</v>
      </c>
      <c r="DC195" s="25">
        <f t="shared" si="341"/>
        <v>0</v>
      </c>
      <c r="DD195" s="25">
        <f>IF(OR($AD195&lt;&gt;3,F195="Exclude"),0,IF(ISERROR(MATCH($E195,'4 Sign-off'!$S$123:$X$123,0)),0,1))</f>
        <v>0</v>
      </c>
      <c r="DE195" s="25">
        <f t="shared" si="291"/>
        <v>0</v>
      </c>
      <c r="DF195" s="25">
        <f t="shared" si="342"/>
        <v>0</v>
      </c>
      <c r="DG195" s="25" t="str">
        <f t="shared" si="343"/>
        <v/>
      </c>
      <c r="DH195" s="25">
        <f t="shared" si="344"/>
        <v>0</v>
      </c>
      <c r="DI195" s="25">
        <f t="shared" si="345"/>
        <v>0</v>
      </c>
      <c r="DJ195" s="25">
        <f>IF(ISBLANK(J195),0,ISERROR(MATCH(J195,'5  Control Accounts'!$FA$29:$FA$96,0))*1)</f>
        <v>0</v>
      </c>
      <c r="DK195" s="25">
        <f t="shared" si="346"/>
        <v>0</v>
      </c>
      <c r="DL195" s="25">
        <f t="shared" si="292"/>
        <v>-1</v>
      </c>
      <c r="DM195" s="25" t="e">
        <f t="array" ref="DM195">MATCH(1,($EG195:$JD195&gt;0)*$EG$17:$JD$17,0)</f>
        <v>#N/A</v>
      </c>
      <c r="DN195" s="25" t="e">
        <f t="shared" si="293"/>
        <v>#N/A</v>
      </c>
      <c r="DO195" s="25" t="e">
        <f t="array" ref="DO195">MATCH(2,1/(EG195:JD195&gt;0))</f>
        <v>#N/A</v>
      </c>
      <c r="DP195" s="2993">
        <f t="shared" si="347"/>
        <v>0</v>
      </c>
      <c r="DQ195" s="3037">
        <f t="shared" si="348"/>
        <v>0</v>
      </c>
      <c r="DR195" s="111"/>
      <c r="DS195" s="1268">
        <f t="shared" si="282"/>
        <v>0</v>
      </c>
      <c r="DT195" s="1825"/>
      <c r="DU195" s="1826"/>
      <c r="DV195" s="1827"/>
      <c r="DW195" s="1828"/>
      <c r="DX195" s="659"/>
      <c r="DY195" s="1265"/>
      <c r="DZ195" s="1785">
        <f t="shared" si="294"/>
        <v>0</v>
      </c>
      <c r="EA195" s="1786">
        <f t="shared" si="295"/>
        <v>0</v>
      </c>
      <c r="EB195" s="1781">
        <f t="shared" si="296"/>
        <v>0</v>
      </c>
      <c r="EC195" s="1782">
        <f t="shared" si="297"/>
        <v>0</v>
      </c>
      <c r="ED195" s="1262"/>
      <c r="EE195" s="2280"/>
      <c r="EF195" s="1802"/>
      <c r="EG195" s="167"/>
      <c r="EH195" s="168"/>
      <c r="EI195" s="168"/>
      <c r="EJ195" s="168"/>
      <c r="EK195" s="168"/>
      <c r="EL195" s="168"/>
      <c r="EM195" s="168"/>
      <c r="EN195" s="168"/>
      <c r="EO195" s="168"/>
      <c r="EP195" s="168"/>
      <c r="EQ195" s="168"/>
      <c r="ER195" s="168"/>
      <c r="ES195" s="168"/>
      <c r="ET195" s="168"/>
      <c r="EU195" s="168"/>
      <c r="EV195" s="168"/>
      <c r="EW195" s="168"/>
      <c r="EX195" s="168"/>
      <c r="EY195" s="168"/>
      <c r="EZ195" s="168"/>
      <c r="FA195" s="168"/>
      <c r="FB195" s="168"/>
      <c r="FC195" s="168"/>
      <c r="FD195" s="168"/>
      <c r="FE195" s="168"/>
      <c r="FF195" s="168"/>
      <c r="FG195" s="168"/>
      <c r="FH195" s="168"/>
      <c r="FI195" s="168"/>
      <c r="FJ195" s="168"/>
      <c r="FK195" s="168"/>
      <c r="FL195" s="168"/>
      <c r="FM195" s="168"/>
      <c r="FN195" s="168"/>
      <c r="FO195" s="168"/>
      <c r="FP195" s="168"/>
      <c r="FQ195" s="168"/>
      <c r="FR195" s="168"/>
      <c r="FS195" s="168"/>
      <c r="FT195" s="168"/>
      <c r="FU195" s="168"/>
      <c r="FV195" s="168"/>
      <c r="FW195" s="168"/>
      <c r="FX195" s="168"/>
      <c r="FY195" s="168"/>
      <c r="FZ195" s="168"/>
      <c r="GA195" s="168"/>
      <c r="GB195" s="168"/>
      <c r="GC195" s="168"/>
      <c r="GD195" s="168"/>
      <c r="GE195" s="168"/>
      <c r="GF195" s="168"/>
      <c r="GG195" s="168"/>
      <c r="GH195" s="168"/>
      <c r="GI195" s="168"/>
      <c r="GJ195" s="168"/>
      <c r="GK195" s="168"/>
      <c r="GL195" s="168"/>
      <c r="GM195" s="168"/>
      <c r="GN195" s="168"/>
      <c r="GO195" s="168"/>
      <c r="GP195" s="168"/>
      <c r="GQ195" s="168"/>
      <c r="GR195" s="168"/>
      <c r="GS195" s="168"/>
      <c r="GT195" s="168"/>
      <c r="GU195" s="168"/>
      <c r="GV195" s="168"/>
      <c r="GW195" s="168"/>
      <c r="GX195" s="168"/>
      <c r="GY195" s="168"/>
      <c r="GZ195" s="168"/>
      <c r="HA195" s="168"/>
      <c r="HB195" s="168"/>
      <c r="HC195" s="168"/>
      <c r="HD195" s="168"/>
      <c r="HE195" s="168"/>
      <c r="HF195" s="168"/>
      <c r="HG195" s="168"/>
      <c r="HH195" s="168"/>
      <c r="HI195" s="168"/>
      <c r="HJ195" s="168"/>
      <c r="HK195" s="168"/>
      <c r="HL195" s="168"/>
      <c r="HM195" s="168"/>
      <c r="HN195" s="168"/>
      <c r="HO195" s="168"/>
      <c r="HP195" s="168"/>
      <c r="HQ195" s="168"/>
      <c r="HR195" s="168"/>
      <c r="HS195" s="168"/>
      <c r="HT195" s="168"/>
      <c r="HU195" s="168"/>
      <c r="HV195" s="168"/>
      <c r="HW195" s="168"/>
      <c r="HX195" s="168"/>
      <c r="HY195" s="168"/>
      <c r="HZ195" s="168"/>
      <c r="IA195" s="168"/>
      <c r="IB195" s="168"/>
      <c r="IC195" s="168"/>
      <c r="ID195" s="168"/>
      <c r="IE195" s="168"/>
      <c r="IF195" s="168"/>
      <c r="IG195" s="168"/>
      <c r="IH195" s="168"/>
      <c r="II195" s="168"/>
      <c r="IJ195" s="168"/>
      <c r="IK195" s="168"/>
      <c r="IL195" s="168"/>
      <c r="IM195" s="168"/>
      <c r="IN195" s="168"/>
      <c r="IO195" s="168"/>
      <c r="IP195" s="168"/>
      <c r="IQ195" s="168"/>
      <c r="IR195" s="168"/>
      <c r="IS195" s="168"/>
      <c r="IT195" s="168"/>
      <c r="IU195" s="168"/>
      <c r="IV195" s="168"/>
      <c r="IW195" s="168"/>
      <c r="IX195" s="168"/>
      <c r="IY195" s="168"/>
      <c r="IZ195" s="168"/>
      <c r="JA195" s="168"/>
      <c r="JB195" s="168"/>
      <c r="JC195" s="606"/>
      <c r="JD195" s="609"/>
      <c r="JE195" s="1"/>
      <c r="JF195" s="1"/>
    </row>
    <row r="196" spans="1:266" s="2" customFormat="1" ht="15" customHeight="1" x14ac:dyDescent="0.25">
      <c r="A196" s="283"/>
      <c r="B196" s="303"/>
      <c r="C196" s="301"/>
      <c r="D196" s="638"/>
      <c r="E196" s="2298"/>
      <c r="F196" s="1812"/>
      <c r="G196" s="3342"/>
      <c r="H196" s="66"/>
      <c r="I196" s="1746"/>
      <c r="J196" s="86"/>
      <c r="K196" s="105"/>
      <c r="L196" s="91"/>
      <c r="M196" s="92"/>
      <c r="N196" s="93"/>
      <c r="O196" s="94"/>
      <c r="P196" s="96"/>
      <c r="Q196" s="95"/>
      <c r="R196" s="993">
        <f t="shared" si="284"/>
        <v>0</v>
      </c>
      <c r="S196" s="23">
        <f t="shared" si="298"/>
        <v>0</v>
      </c>
      <c r="T196" s="24">
        <f t="shared" si="299"/>
        <v>0</v>
      </c>
      <c r="U196" s="24">
        <f t="shared" si="300"/>
        <v>0</v>
      </c>
      <c r="V196" s="24">
        <f t="shared" si="301"/>
        <v>0</v>
      </c>
      <c r="W196" s="24">
        <f t="shared" si="302"/>
        <v>0</v>
      </c>
      <c r="X196" s="72">
        <f t="shared" si="303"/>
        <v>0</v>
      </c>
      <c r="Y196" s="72">
        <f t="shared" si="304"/>
        <v>0</v>
      </c>
      <c r="Z196" s="24">
        <f t="shared" si="285"/>
        <v>0</v>
      </c>
      <c r="AA196" s="72">
        <f t="shared" si="305"/>
        <v>0</v>
      </c>
      <c r="AB196" s="24">
        <f t="shared" si="306"/>
        <v>0</v>
      </c>
      <c r="AC196" s="24" t="s">
        <v>5</v>
      </c>
      <c r="AD196" s="25">
        <f t="shared" si="286"/>
        <v>3</v>
      </c>
      <c r="AE196" s="25">
        <f t="shared" si="287"/>
        <v>0</v>
      </c>
      <c r="AF196" s="25">
        <f t="shared" si="288"/>
        <v>0</v>
      </c>
      <c r="AG196" s="25">
        <f t="shared" si="307"/>
        <v>1</v>
      </c>
      <c r="AH196" s="25" t="str">
        <f>IFERROR(MATCH(DY196,'2 Staff List'!$IA$64:$IA$114,0),"x")</f>
        <v>x</v>
      </c>
      <c r="AI196" s="1181">
        <f>IFERROR(INDEX('2 Staff List'!$EX$64:$EX$114,$AH196),0)</f>
        <v>0</v>
      </c>
      <c r="AJ196" s="25">
        <f>IFERROR(INDEX('2 Staff List'!$IW$64:$IW$114,$AH196),0)</f>
        <v>0</v>
      </c>
      <c r="AK196" s="25">
        <f>IFERROR(INDEX('2 Staff List'!$IB$64:$IB$114,$AH196),0)</f>
        <v>0</v>
      </c>
      <c r="AL196" s="25">
        <f>IF(OR(NOT(ISBLANK(DV196)),CX196=1),"&lt;Non-Labor&gt;",IFERROR(IF(AH196=0,0,INDEX('2 Staff List'!$HZ$64:$HZ$114,$AH196)),0))</f>
        <v>0</v>
      </c>
      <c r="AM196" s="25">
        <f>IFERROR(INDEX('2 Staff List'!$HW$64:$HW$114,$AH196),0)</f>
        <v>0</v>
      </c>
      <c r="AN196" s="25">
        <f t="shared" si="308"/>
        <v>1</v>
      </c>
      <c r="AO196" s="25">
        <f>IF($AO$127=0,0,IFERROR(INDEX('2 Staff List'!$JH$64:$JH$114,$AH196),0))</f>
        <v>0</v>
      </c>
      <c r="AP196" s="25">
        <f>IFERROR(INDEX('2 Staff List'!$HU$64:$HU$114,$AH196),0)</f>
        <v>0</v>
      </c>
      <c r="AQ196" s="25">
        <f t="shared" si="309"/>
        <v>0</v>
      </c>
      <c r="AR196" s="25">
        <f t="shared" si="310"/>
        <v>0</v>
      </c>
      <c r="AS196" s="25">
        <f t="shared" si="311"/>
        <v>0</v>
      </c>
      <c r="AT196" s="25">
        <f t="shared" si="312"/>
        <v>0</v>
      </c>
      <c r="AU196" s="25">
        <f t="shared" si="313"/>
        <v>0</v>
      </c>
      <c r="AV196" s="25">
        <f t="shared" si="314"/>
        <v>0</v>
      </c>
      <c r="AW196" s="25">
        <f t="shared" si="315"/>
        <v>0</v>
      </c>
      <c r="AX196" s="25">
        <f t="shared" si="316"/>
        <v>0</v>
      </c>
      <c r="AY196" s="25">
        <f t="shared" si="317"/>
        <v>0</v>
      </c>
      <c r="AZ196" s="25">
        <f t="shared" si="318"/>
        <v>0</v>
      </c>
      <c r="BA196" s="25">
        <f t="shared" si="319"/>
        <v>0</v>
      </c>
      <c r="BB196" s="25">
        <f t="shared" si="320"/>
        <v>0</v>
      </c>
      <c r="BC196" s="25">
        <f>IFERROR(INDEX('2 Staff List'!KS$64:KS$114,$AH196),0)</f>
        <v>0</v>
      </c>
      <c r="BD196" s="25">
        <f>IFERROR(INDEX('2 Staff List'!KT$64:KT$114,$AH196),0)</f>
        <v>0</v>
      </c>
      <c r="BE196" s="25">
        <f>IFERROR(INDEX('2 Staff List'!KU$64:KU$114,$AH196),0)</f>
        <v>0</v>
      </c>
      <c r="BF196" s="25">
        <f>IFERROR(INDEX('2 Staff List'!KV$64:KV$114,$AH196),0)</f>
        <v>0</v>
      </c>
      <c r="BG196" s="25">
        <f>IFERROR(INDEX('2 Staff List'!KW$64:KW$114,$AH196),0)</f>
        <v>0</v>
      </c>
      <c r="BH196" s="25">
        <f>IFERROR(INDEX('2 Staff List'!KX$64:KX$114,$AH196),0)</f>
        <v>0</v>
      </c>
      <c r="BI196" s="25">
        <f>IFERROR(INDEX('2 Staff List'!KY$64:KY$114,$AH196),0)</f>
        <v>0</v>
      </c>
      <c r="BJ196" s="25">
        <f>IFERROR(INDEX('2 Staff List'!KZ$64:KZ$114,$AH196),0)</f>
        <v>0</v>
      </c>
      <c r="BK196" s="25">
        <f>IFERROR(INDEX('2 Staff List'!LA$64:LA$114,$AH196),0)</f>
        <v>0</v>
      </c>
      <c r="BL196" s="25">
        <f>IFERROR(INDEX('2 Staff List'!LB$64:LB$114,$AH196),0)</f>
        <v>0</v>
      </c>
      <c r="BM196" s="25">
        <f>IFERROR(INDEX('2 Staff List'!FT$64:FT$114,$AH196),0)</f>
        <v>0</v>
      </c>
      <c r="BN196" s="25">
        <f>IFERROR(INDEX('2 Staff List'!FU$64:FU$114,$AH196),0)</f>
        <v>0</v>
      </c>
      <c r="BO196" s="25">
        <f>IFERROR(INDEX('2 Staff List'!FV$64:FV$114,$AH196),0)</f>
        <v>0</v>
      </c>
      <c r="BP196" s="25">
        <f>IFERROR(INDEX('2 Staff List'!FW$64:FW$114,$AH196),0)</f>
        <v>0</v>
      </c>
      <c r="BQ196" s="25">
        <f>IFERROR(INDEX('2 Staff List'!FX$64:FX$114,$AH196),0)</f>
        <v>0</v>
      </c>
      <c r="BR196" s="25">
        <f>IFERROR(INDEX('2 Staff List'!FY$64:FY$114,$AH196),0)</f>
        <v>0</v>
      </c>
      <c r="BS196" s="25">
        <f>IFERROR(INDEX('2 Staff List'!FZ$64:FZ$114,$AH196),0)</f>
        <v>0</v>
      </c>
      <c r="BT196" s="25">
        <f>IFERROR(INDEX('2 Staff List'!GA$64:GA$114,$AH196),0)</f>
        <v>0</v>
      </c>
      <c r="BU196" s="25">
        <f>IFERROR(INDEX('2 Staff List'!GB$64:GB$114,$AH196),0)</f>
        <v>0</v>
      </c>
      <c r="BV196" s="25">
        <f>IFERROR(INDEX('2 Staff List'!GC$64:GC$114,$AH196),0)</f>
        <v>0</v>
      </c>
      <c r="BW196" s="25">
        <f t="shared" si="321"/>
        <v>0</v>
      </c>
      <c r="BX196" s="25">
        <f t="shared" si="322"/>
        <v>0</v>
      </c>
      <c r="BY196" s="25">
        <f t="shared" si="323"/>
        <v>0</v>
      </c>
      <c r="BZ196" s="25">
        <f t="shared" si="324"/>
        <v>0</v>
      </c>
      <c r="CA196" s="25">
        <f t="shared" si="325"/>
        <v>0</v>
      </c>
      <c r="CB196" s="25">
        <f t="shared" si="326"/>
        <v>0</v>
      </c>
      <c r="CC196" s="25">
        <f t="shared" si="327"/>
        <v>0</v>
      </c>
      <c r="CD196" s="25">
        <f t="shared" si="328"/>
        <v>0</v>
      </c>
      <c r="CE196" s="25">
        <f t="shared" si="329"/>
        <v>0</v>
      </c>
      <c r="CF196" s="25">
        <f t="shared" si="330"/>
        <v>0</v>
      </c>
      <c r="CG196" s="25">
        <f t="shared" si="331"/>
        <v>0</v>
      </c>
      <c r="CH196" s="25">
        <f>IFERROR(INDEX('2 Staff List'!LO$64:LO$114,$AH196),0)</f>
        <v>0</v>
      </c>
      <c r="CI196" s="25">
        <f>IFERROR(INDEX('2 Staff List'!LP$64:LP$114,$AH196),0)</f>
        <v>0</v>
      </c>
      <c r="CJ196" s="25">
        <f>IFERROR(INDEX('2 Staff List'!LQ$64:LQ$114,$AH196),0)</f>
        <v>0</v>
      </c>
      <c r="CK196" s="25">
        <f>IFERROR(INDEX('2 Staff List'!LR$64:LR$114,$AH196),0)</f>
        <v>0</v>
      </c>
      <c r="CL196" s="25">
        <f>IFERROR(INDEX('2 Staff List'!LS$64:LS$114,$AH196),0)</f>
        <v>0</v>
      </c>
      <c r="CM196" s="25">
        <f>IFERROR(INDEX('2 Staff List'!LT$64:LT$114,$AH196),0)</f>
        <v>0</v>
      </c>
      <c r="CN196" s="25">
        <f>IFERROR(INDEX('2 Staff List'!LU$64:LU$114,$AH196),0)</f>
        <v>0</v>
      </c>
      <c r="CO196" s="25">
        <f>IFERROR(INDEX('2 Staff List'!LV$64:LV$114,$AH196),0)</f>
        <v>0</v>
      </c>
      <c r="CP196" s="25">
        <f>IFERROR(INDEX('2 Staff List'!LW$64:LW$114,$AH196),0)</f>
        <v>0</v>
      </c>
      <c r="CQ196" s="25">
        <f>IFERROR(INDEX('2 Staff List'!LX$64:LX$114,$AH196),0)</f>
        <v>0</v>
      </c>
      <c r="CR196" s="25">
        <f t="shared" si="289"/>
        <v>0</v>
      </c>
      <c r="CS196" s="25">
        <f t="shared" si="332"/>
        <v>1</v>
      </c>
      <c r="CT196" s="25">
        <f t="shared" si="333"/>
        <v>1</v>
      </c>
      <c r="CU196" s="25">
        <f t="shared" si="334"/>
        <v>1</v>
      </c>
      <c r="CV196" s="25">
        <f t="shared" si="335"/>
        <v>1</v>
      </c>
      <c r="CW196" s="25">
        <f t="shared" si="336"/>
        <v>1</v>
      </c>
      <c r="CX196" s="25">
        <f t="shared" si="337"/>
        <v>0</v>
      </c>
      <c r="CY196" s="25">
        <f t="shared" si="338"/>
        <v>0</v>
      </c>
      <c r="CZ196" s="25">
        <f t="shared" si="339"/>
        <v>0</v>
      </c>
      <c r="DA196" s="25">
        <f t="shared" si="340"/>
        <v>1</v>
      </c>
      <c r="DB196" s="25">
        <f t="shared" si="290"/>
        <v>1</v>
      </c>
      <c r="DC196" s="25">
        <f t="shared" si="341"/>
        <v>0</v>
      </c>
      <c r="DD196" s="25">
        <f>IF(OR($AD196&lt;&gt;3,F196="Exclude"),0,IF(ISERROR(MATCH($E196,'4 Sign-off'!$S$123:$X$123,0)),0,1))</f>
        <v>0</v>
      </c>
      <c r="DE196" s="25">
        <f t="shared" si="291"/>
        <v>0</v>
      </c>
      <c r="DF196" s="25">
        <f t="shared" si="342"/>
        <v>0</v>
      </c>
      <c r="DG196" s="25" t="str">
        <f t="shared" si="343"/>
        <v/>
      </c>
      <c r="DH196" s="25">
        <f t="shared" si="344"/>
        <v>0</v>
      </c>
      <c r="DI196" s="25">
        <f t="shared" si="345"/>
        <v>0</v>
      </c>
      <c r="DJ196" s="25">
        <f>IF(ISBLANK(J196),0,ISERROR(MATCH(J196,'5  Control Accounts'!$FA$29:$FA$96,0))*1)</f>
        <v>0</v>
      </c>
      <c r="DK196" s="25">
        <f t="shared" si="346"/>
        <v>0</v>
      </c>
      <c r="DL196" s="25">
        <f t="shared" si="292"/>
        <v>-1</v>
      </c>
      <c r="DM196" s="25" t="e">
        <f t="array" ref="DM196">MATCH(1,($EG196:$JD196&gt;0)*$EG$17:$JD$17,0)</f>
        <v>#N/A</v>
      </c>
      <c r="DN196" s="25" t="e">
        <f t="shared" si="293"/>
        <v>#N/A</v>
      </c>
      <c r="DO196" s="25" t="e">
        <f t="array" ref="DO196">MATCH(2,1/(EG196:JD196&gt;0))</f>
        <v>#N/A</v>
      </c>
      <c r="DP196" s="2993">
        <f t="shared" si="347"/>
        <v>0</v>
      </c>
      <c r="DQ196" s="3037">
        <f t="shared" si="348"/>
        <v>0</v>
      </c>
      <c r="DR196" s="111"/>
      <c r="DS196" s="1268">
        <f t="shared" si="282"/>
        <v>0</v>
      </c>
      <c r="DT196" s="1825"/>
      <c r="DU196" s="1826"/>
      <c r="DV196" s="1827"/>
      <c r="DW196" s="1828"/>
      <c r="DX196" s="659"/>
      <c r="DY196" s="1265"/>
      <c r="DZ196" s="1785">
        <f t="shared" si="294"/>
        <v>0</v>
      </c>
      <c r="EA196" s="1786">
        <f t="shared" si="295"/>
        <v>0</v>
      </c>
      <c r="EB196" s="1781">
        <f t="shared" si="296"/>
        <v>0</v>
      </c>
      <c r="EC196" s="1782">
        <f t="shared" si="297"/>
        <v>0</v>
      </c>
      <c r="ED196" s="1262"/>
      <c r="EE196" s="2280"/>
      <c r="EF196" s="1802"/>
      <c r="EG196" s="167"/>
      <c r="EH196" s="168"/>
      <c r="EI196" s="168"/>
      <c r="EJ196" s="168"/>
      <c r="EK196" s="168"/>
      <c r="EL196" s="168"/>
      <c r="EM196" s="168"/>
      <c r="EN196" s="168"/>
      <c r="EO196" s="168"/>
      <c r="EP196" s="168"/>
      <c r="EQ196" s="168"/>
      <c r="ER196" s="168"/>
      <c r="ES196" s="168"/>
      <c r="ET196" s="168"/>
      <c r="EU196" s="168"/>
      <c r="EV196" s="168"/>
      <c r="EW196" s="168"/>
      <c r="EX196" s="168"/>
      <c r="EY196" s="168"/>
      <c r="EZ196" s="168"/>
      <c r="FA196" s="168"/>
      <c r="FB196" s="168"/>
      <c r="FC196" s="168"/>
      <c r="FD196" s="168"/>
      <c r="FE196" s="168"/>
      <c r="FF196" s="168"/>
      <c r="FG196" s="168"/>
      <c r="FH196" s="168"/>
      <c r="FI196" s="168"/>
      <c r="FJ196" s="168"/>
      <c r="FK196" s="168"/>
      <c r="FL196" s="168"/>
      <c r="FM196" s="168"/>
      <c r="FN196" s="168"/>
      <c r="FO196" s="168"/>
      <c r="FP196" s="168"/>
      <c r="FQ196" s="168"/>
      <c r="FR196" s="168"/>
      <c r="FS196" s="168"/>
      <c r="FT196" s="168"/>
      <c r="FU196" s="168"/>
      <c r="FV196" s="168"/>
      <c r="FW196" s="168"/>
      <c r="FX196" s="168"/>
      <c r="FY196" s="168"/>
      <c r="FZ196" s="168"/>
      <c r="GA196" s="168"/>
      <c r="GB196" s="168"/>
      <c r="GC196" s="168"/>
      <c r="GD196" s="168"/>
      <c r="GE196" s="168"/>
      <c r="GF196" s="168"/>
      <c r="GG196" s="168"/>
      <c r="GH196" s="168"/>
      <c r="GI196" s="168"/>
      <c r="GJ196" s="168"/>
      <c r="GK196" s="168"/>
      <c r="GL196" s="168"/>
      <c r="GM196" s="168"/>
      <c r="GN196" s="168"/>
      <c r="GO196" s="168"/>
      <c r="GP196" s="168"/>
      <c r="GQ196" s="168"/>
      <c r="GR196" s="168"/>
      <c r="GS196" s="168"/>
      <c r="GT196" s="168"/>
      <c r="GU196" s="168"/>
      <c r="GV196" s="168"/>
      <c r="GW196" s="168"/>
      <c r="GX196" s="168"/>
      <c r="GY196" s="168"/>
      <c r="GZ196" s="168"/>
      <c r="HA196" s="168"/>
      <c r="HB196" s="168"/>
      <c r="HC196" s="168"/>
      <c r="HD196" s="168"/>
      <c r="HE196" s="168"/>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606"/>
      <c r="JD196" s="609"/>
      <c r="JE196" s="1"/>
      <c r="JF196" s="1"/>
    </row>
    <row r="197" spans="1:266" s="2" customFormat="1" ht="15" customHeight="1" x14ac:dyDescent="0.25">
      <c r="A197" s="283"/>
      <c r="B197" s="303"/>
      <c r="C197" s="301"/>
      <c r="D197" s="638"/>
      <c r="E197" s="2298"/>
      <c r="F197" s="1812"/>
      <c r="G197" s="3342"/>
      <c r="H197" s="66"/>
      <c r="I197" s="1746"/>
      <c r="J197" s="86"/>
      <c r="K197" s="105"/>
      <c r="L197" s="91"/>
      <c r="M197" s="92"/>
      <c r="N197" s="93"/>
      <c r="O197" s="94"/>
      <c r="P197" s="96"/>
      <c r="Q197" s="95"/>
      <c r="R197" s="993">
        <f t="shared" si="284"/>
        <v>0</v>
      </c>
      <c r="S197" s="23">
        <f t="shared" si="298"/>
        <v>0</v>
      </c>
      <c r="T197" s="24">
        <f t="shared" si="299"/>
        <v>0</v>
      </c>
      <c r="U197" s="24">
        <f t="shared" si="300"/>
        <v>0</v>
      </c>
      <c r="V197" s="24">
        <f t="shared" si="301"/>
        <v>0</v>
      </c>
      <c r="W197" s="24">
        <f t="shared" si="302"/>
        <v>0</v>
      </c>
      <c r="X197" s="72">
        <f t="shared" si="303"/>
        <v>0</v>
      </c>
      <c r="Y197" s="72">
        <f t="shared" si="304"/>
        <v>0</v>
      </c>
      <c r="Z197" s="24">
        <f t="shared" si="285"/>
        <v>0</v>
      </c>
      <c r="AA197" s="72">
        <f t="shared" si="305"/>
        <v>0</v>
      </c>
      <c r="AB197" s="24">
        <f t="shared" si="306"/>
        <v>0</v>
      </c>
      <c r="AC197" s="24" t="s">
        <v>5</v>
      </c>
      <c r="AD197" s="25">
        <f t="shared" si="286"/>
        <v>3</v>
      </c>
      <c r="AE197" s="25">
        <f t="shared" si="287"/>
        <v>0</v>
      </c>
      <c r="AF197" s="25">
        <f t="shared" si="288"/>
        <v>0</v>
      </c>
      <c r="AG197" s="25">
        <f t="shared" si="307"/>
        <v>1</v>
      </c>
      <c r="AH197" s="25" t="str">
        <f>IFERROR(MATCH(DY197,'2 Staff List'!$IA$64:$IA$114,0),"x")</f>
        <v>x</v>
      </c>
      <c r="AI197" s="1181">
        <f>IFERROR(INDEX('2 Staff List'!$EX$64:$EX$114,$AH197),0)</f>
        <v>0</v>
      </c>
      <c r="AJ197" s="25">
        <f>IFERROR(INDEX('2 Staff List'!$IW$64:$IW$114,$AH197),0)</f>
        <v>0</v>
      </c>
      <c r="AK197" s="25">
        <f>IFERROR(INDEX('2 Staff List'!$IB$64:$IB$114,$AH197),0)</f>
        <v>0</v>
      </c>
      <c r="AL197" s="25">
        <f>IF(OR(NOT(ISBLANK(DV197)),CX197=1),"&lt;Non-Labor&gt;",IFERROR(IF(AH197=0,0,INDEX('2 Staff List'!$HZ$64:$HZ$114,$AH197)),0))</f>
        <v>0</v>
      </c>
      <c r="AM197" s="25">
        <f>IFERROR(INDEX('2 Staff List'!$HW$64:$HW$114,$AH197),0)</f>
        <v>0</v>
      </c>
      <c r="AN197" s="25">
        <f t="shared" si="308"/>
        <v>1</v>
      </c>
      <c r="AO197" s="25">
        <f>IF($AO$127=0,0,IFERROR(INDEX('2 Staff List'!$JH$64:$JH$114,$AH197),0))</f>
        <v>0</v>
      </c>
      <c r="AP197" s="25">
        <f>IFERROR(INDEX('2 Staff List'!$HU$64:$HU$114,$AH197),0)</f>
        <v>0</v>
      </c>
      <c r="AQ197" s="25">
        <f t="shared" si="309"/>
        <v>0</v>
      </c>
      <c r="AR197" s="25">
        <f t="shared" si="310"/>
        <v>0</v>
      </c>
      <c r="AS197" s="25">
        <f t="shared" si="311"/>
        <v>0</v>
      </c>
      <c r="AT197" s="25">
        <f t="shared" si="312"/>
        <v>0</v>
      </c>
      <c r="AU197" s="25">
        <f t="shared" si="313"/>
        <v>0</v>
      </c>
      <c r="AV197" s="25">
        <f t="shared" si="314"/>
        <v>0</v>
      </c>
      <c r="AW197" s="25">
        <f t="shared" si="315"/>
        <v>0</v>
      </c>
      <c r="AX197" s="25">
        <f t="shared" si="316"/>
        <v>0</v>
      </c>
      <c r="AY197" s="25">
        <f t="shared" si="317"/>
        <v>0</v>
      </c>
      <c r="AZ197" s="25">
        <f t="shared" si="318"/>
        <v>0</v>
      </c>
      <c r="BA197" s="25">
        <f t="shared" si="319"/>
        <v>0</v>
      </c>
      <c r="BB197" s="25">
        <f t="shared" si="320"/>
        <v>0</v>
      </c>
      <c r="BC197" s="25">
        <f>IFERROR(INDEX('2 Staff List'!KS$64:KS$114,$AH197),0)</f>
        <v>0</v>
      </c>
      <c r="BD197" s="25">
        <f>IFERROR(INDEX('2 Staff List'!KT$64:KT$114,$AH197),0)</f>
        <v>0</v>
      </c>
      <c r="BE197" s="25">
        <f>IFERROR(INDEX('2 Staff List'!KU$64:KU$114,$AH197),0)</f>
        <v>0</v>
      </c>
      <c r="BF197" s="25">
        <f>IFERROR(INDEX('2 Staff List'!KV$64:KV$114,$AH197),0)</f>
        <v>0</v>
      </c>
      <c r="BG197" s="25">
        <f>IFERROR(INDEX('2 Staff List'!KW$64:KW$114,$AH197),0)</f>
        <v>0</v>
      </c>
      <c r="BH197" s="25">
        <f>IFERROR(INDEX('2 Staff List'!KX$64:KX$114,$AH197),0)</f>
        <v>0</v>
      </c>
      <c r="BI197" s="25">
        <f>IFERROR(INDEX('2 Staff List'!KY$64:KY$114,$AH197),0)</f>
        <v>0</v>
      </c>
      <c r="BJ197" s="25">
        <f>IFERROR(INDEX('2 Staff List'!KZ$64:KZ$114,$AH197),0)</f>
        <v>0</v>
      </c>
      <c r="BK197" s="25">
        <f>IFERROR(INDEX('2 Staff List'!LA$64:LA$114,$AH197),0)</f>
        <v>0</v>
      </c>
      <c r="BL197" s="25">
        <f>IFERROR(INDEX('2 Staff List'!LB$64:LB$114,$AH197),0)</f>
        <v>0</v>
      </c>
      <c r="BM197" s="25">
        <f>IFERROR(INDEX('2 Staff List'!FT$64:FT$114,$AH197),0)</f>
        <v>0</v>
      </c>
      <c r="BN197" s="25">
        <f>IFERROR(INDEX('2 Staff List'!FU$64:FU$114,$AH197),0)</f>
        <v>0</v>
      </c>
      <c r="BO197" s="25">
        <f>IFERROR(INDEX('2 Staff List'!FV$64:FV$114,$AH197),0)</f>
        <v>0</v>
      </c>
      <c r="BP197" s="25">
        <f>IFERROR(INDEX('2 Staff List'!FW$64:FW$114,$AH197),0)</f>
        <v>0</v>
      </c>
      <c r="BQ197" s="25">
        <f>IFERROR(INDEX('2 Staff List'!FX$64:FX$114,$AH197),0)</f>
        <v>0</v>
      </c>
      <c r="BR197" s="25">
        <f>IFERROR(INDEX('2 Staff List'!FY$64:FY$114,$AH197),0)</f>
        <v>0</v>
      </c>
      <c r="BS197" s="25">
        <f>IFERROR(INDEX('2 Staff List'!FZ$64:FZ$114,$AH197),0)</f>
        <v>0</v>
      </c>
      <c r="BT197" s="25">
        <f>IFERROR(INDEX('2 Staff List'!GA$64:GA$114,$AH197),0)</f>
        <v>0</v>
      </c>
      <c r="BU197" s="25">
        <f>IFERROR(INDEX('2 Staff List'!GB$64:GB$114,$AH197),0)</f>
        <v>0</v>
      </c>
      <c r="BV197" s="25">
        <f>IFERROR(INDEX('2 Staff List'!GC$64:GC$114,$AH197),0)</f>
        <v>0</v>
      </c>
      <c r="BW197" s="25">
        <f t="shared" si="321"/>
        <v>0</v>
      </c>
      <c r="BX197" s="25">
        <f t="shared" si="322"/>
        <v>0</v>
      </c>
      <c r="BY197" s="25">
        <f t="shared" si="323"/>
        <v>0</v>
      </c>
      <c r="BZ197" s="25">
        <f t="shared" si="324"/>
        <v>0</v>
      </c>
      <c r="CA197" s="25">
        <f t="shared" si="325"/>
        <v>0</v>
      </c>
      <c r="CB197" s="25">
        <f t="shared" si="326"/>
        <v>0</v>
      </c>
      <c r="CC197" s="25">
        <f t="shared" si="327"/>
        <v>0</v>
      </c>
      <c r="CD197" s="25">
        <f t="shared" si="328"/>
        <v>0</v>
      </c>
      <c r="CE197" s="25">
        <f t="shared" si="329"/>
        <v>0</v>
      </c>
      <c r="CF197" s="25">
        <f t="shared" si="330"/>
        <v>0</v>
      </c>
      <c r="CG197" s="25">
        <f t="shared" si="331"/>
        <v>0</v>
      </c>
      <c r="CH197" s="25">
        <f>IFERROR(INDEX('2 Staff List'!LO$64:LO$114,$AH197),0)</f>
        <v>0</v>
      </c>
      <c r="CI197" s="25">
        <f>IFERROR(INDEX('2 Staff List'!LP$64:LP$114,$AH197),0)</f>
        <v>0</v>
      </c>
      <c r="CJ197" s="25">
        <f>IFERROR(INDEX('2 Staff List'!LQ$64:LQ$114,$AH197),0)</f>
        <v>0</v>
      </c>
      <c r="CK197" s="25">
        <f>IFERROR(INDEX('2 Staff List'!LR$64:LR$114,$AH197),0)</f>
        <v>0</v>
      </c>
      <c r="CL197" s="25">
        <f>IFERROR(INDEX('2 Staff List'!LS$64:LS$114,$AH197),0)</f>
        <v>0</v>
      </c>
      <c r="CM197" s="25">
        <f>IFERROR(INDEX('2 Staff List'!LT$64:LT$114,$AH197),0)</f>
        <v>0</v>
      </c>
      <c r="CN197" s="25">
        <f>IFERROR(INDEX('2 Staff List'!LU$64:LU$114,$AH197),0)</f>
        <v>0</v>
      </c>
      <c r="CO197" s="25">
        <f>IFERROR(INDEX('2 Staff List'!LV$64:LV$114,$AH197),0)</f>
        <v>0</v>
      </c>
      <c r="CP197" s="25">
        <f>IFERROR(INDEX('2 Staff List'!LW$64:LW$114,$AH197),0)</f>
        <v>0</v>
      </c>
      <c r="CQ197" s="25">
        <f>IFERROR(INDEX('2 Staff List'!LX$64:LX$114,$AH197),0)</f>
        <v>0</v>
      </c>
      <c r="CR197" s="25">
        <f t="shared" si="289"/>
        <v>0</v>
      </c>
      <c r="CS197" s="25">
        <f t="shared" si="332"/>
        <v>1</v>
      </c>
      <c r="CT197" s="25">
        <f t="shared" si="333"/>
        <v>1</v>
      </c>
      <c r="CU197" s="25">
        <f t="shared" si="334"/>
        <v>1</v>
      </c>
      <c r="CV197" s="25">
        <f t="shared" si="335"/>
        <v>1</v>
      </c>
      <c r="CW197" s="25">
        <f t="shared" si="336"/>
        <v>1</v>
      </c>
      <c r="CX197" s="25">
        <f t="shared" si="337"/>
        <v>0</v>
      </c>
      <c r="CY197" s="25">
        <f t="shared" si="338"/>
        <v>0</v>
      </c>
      <c r="CZ197" s="25">
        <f t="shared" si="339"/>
        <v>0</v>
      </c>
      <c r="DA197" s="25">
        <f t="shared" si="340"/>
        <v>1</v>
      </c>
      <c r="DB197" s="25">
        <f t="shared" si="290"/>
        <v>1</v>
      </c>
      <c r="DC197" s="25">
        <f t="shared" si="341"/>
        <v>0</v>
      </c>
      <c r="DD197" s="25">
        <f>IF(OR($AD197&lt;&gt;3,F197="Exclude"),0,IF(ISERROR(MATCH($E197,'4 Sign-off'!$S$123:$X$123,0)),0,1))</f>
        <v>0</v>
      </c>
      <c r="DE197" s="25">
        <f t="shared" si="291"/>
        <v>0</v>
      </c>
      <c r="DF197" s="25">
        <f t="shared" si="342"/>
        <v>0</v>
      </c>
      <c r="DG197" s="25" t="str">
        <f t="shared" si="343"/>
        <v/>
      </c>
      <c r="DH197" s="25">
        <f t="shared" si="344"/>
        <v>0</v>
      </c>
      <c r="DI197" s="25">
        <f t="shared" si="345"/>
        <v>0</v>
      </c>
      <c r="DJ197" s="25">
        <f>IF(ISBLANK(J197),0,ISERROR(MATCH(J197,'5  Control Accounts'!$FA$29:$FA$96,0))*1)</f>
        <v>0</v>
      </c>
      <c r="DK197" s="25">
        <f t="shared" si="346"/>
        <v>0</v>
      </c>
      <c r="DL197" s="25">
        <f t="shared" si="292"/>
        <v>-1</v>
      </c>
      <c r="DM197" s="25" t="e">
        <f t="array" ref="DM197">MATCH(1,($EG197:$JD197&gt;0)*$EG$17:$JD$17,0)</f>
        <v>#N/A</v>
      </c>
      <c r="DN197" s="25" t="e">
        <f t="shared" si="293"/>
        <v>#N/A</v>
      </c>
      <c r="DO197" s="25" t="e">
        <f t="array" ref="DO197">MATCH(2,1/(EG197:JD197&gt;0))</f>
        <v>#N/A</v>
      </c>
      <c r="DP197" s="2993">
        <f t="shared" si="347"/>
        <v>0</v>
      </c>
      <c r="DQ197" s="3037">
        <f t="shared" si="348"/>
        <v>0</v>
      </c>
      <c r="DR197" s="111"/>
      <c r="DS197" s="1268">
        <f t="shared" si="282"/>
        <v>0</v>
      </c>
      <c r="DT197" s="1825"/>
      <c r="DU197" s="1826"/>
      <c r="DV197" s="1827"/>
      <c r="DW197" s="1828"/>
      <c r="DX197" s="659"/>
      <c r="DY197" s="1265"/>
      <c r="DZ197" s="1785">
        <f t="shared" si="294"/>
        <v>0</v>
      </c>
      <c r="EA197" s="1786">
        <f t="shared" si="295"/>
        <v>0</v>
      </c>
      <c r="EB197" s="1781">
        <f t="shared" si="296"/>
        <v>0</v>
      </c>
      <c r="EC197" s="1782">
        <f t="shared" si="297"/>
        <v>0</v>
      </c>
      <c r="ED197" s="1262"/>
      <c r="EE197" s="2280"/>
      <c r="EF197" s="1802"/>
      <c r="EG197" s="167"/>
      <c r="EH197" s="168"/>
      <c r="EI197" s="168"/>
      <c r="EJ197" s="168"/>
      <c r="EK197" s="168"/>
      <c r="EL197" s="168"/>
      <c r="EM197" s="168"/>
      <c r="EN197" s="168"/>
      <c r="EO197" s="168"/>
      <c r="EP197" s="168"/>
      <c r="EQ197" s="168"/>
      <c r="ER197" s="168"/>
      <c r="ES197" s="168"/>
      <c r="ET197" s="168"/>
      <c r="EU197" s="168"/>
      <c r="EV197" s="168"/>
      <c r="EW197" s="168"/>
      <c r="EX197" s="168"/>
      <c r="EY197" s="168"/>
      <c r="EZ197" s="168"/>
      <c r="FA197" s="168"/>
      <c r="FB197" s="168"/>
      <c r="FC197" s="168"/>
      <c r="FD197" s="168"/>
      <c r="FE197" s="168"/>
      <c r="FF197" s="168"/>
      <c r="FG197" s="168"/>
      <c r="FH197" s="168"/>
      <c r="FI197" s="168"/>
      <c r="FJ197" s="168"/>
      <c r="FK197" s="168"/>
      <c r="FL197" s="168"/>
      <c r="FM197" s="168"/>
      <c r="FN197" s="168"/>
      <c r="FO197" s="168"/>
      <c r="FP197" s="168"/>
      <c r="FQ197" s="168"/>
      <c r="FR197" s="168"/>
      <c r="FS197" s="168"/>
      <c r="FT197" s="168"/>
      <c r="FU197" s="168"/>
      <c r="FV197" s="168"/>
      <c r="FW197" s="168"/>
      <c r="FX197" s="168"/>
      <c r="FY197" s="168"/>
      <c r="FZ197" s="168"/>
      <c r="GA197" s="168"/>
      <c r="GB197" s="168"/>
      <c r="GC197" s="168"/>
      <c r="GD197" s="168"/>
      <c r="GE197" s="168"/>
      <c r="GF197" s="168"/>
      <c r="GG197" s="168"/>
      <c r="GH197" s="168"/>
      <c r="GI197" s="168"/>
      <c r="GJ197" s="168"/>
      <c r="GK197" s="168"/>
      <c r="GL197" s="168"/>
      <c r="GM197" s="168"/>
      <c r="GN197" s="168"/>
      <c r="GO197" s="168"/>
      <c r="GP197" s="168"/>
      <c r="GQ197" s="168"/>
      <c r="GR197" s="168"/>
      <c r="GS197" s="168"/>
      <c r="GT197" s="168"/>
      <c r="GU197" s="168"/>
      <c r="GV197" s="168"/>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606"/>
      <c r="JD197" s="609"/>
      <c r="JE197" s="1"/>
      <c r="JF197" s="1"/>
    </row>
    <row r="198" spans="1:266" s="2" customFormat="1" ht="15" customHeight="1" x14ac:dyDescent="0.25">
      <c r="A198" s="283"/>
      <c r="B198" s="303"/>
      <c r="C198" s="301"/>
      <c r="D198" s="638"/>
      <c r="E198" s="2298"/>
      <c r="F198" s="1812"/>
      <c r="G198" s="3342"/>
      <c r="H198" s="66"/>
      <c r="I198" s="1746"/>
      <c r="J198" s="86"/>
      <c r="K198" s="105"/>
      <c r="L198" s="91"/>
      <c r="M198" s="92"/>
      <c r="N198" s="93"/>
      <c r="O198" s="94"/>
      <c r="P198" s="96"/>
      <c r="Q198" s="95"/>
      <c r="R198" s="993">
        <f t="shared" si="284"/>
        <v>0</v>
      </c>
      <c r="S198" s="23">
        <f t="shared" si="298"/>
        <v>0</v>
      </c>
      <c r="T198" s="24">
        <f t="shared" si="299"/>
        <v>0</v>
      </c>
      <c r="U198" s="24">
        <f t="shared" si="300"/>
        <v>0</v>
      </c>
      <c r="V198" s="24">
        <f t="shared" si="301"/>
        <v>0</v>
      </c>
      <c r="W198" s="24">
        <f t="shared" si="302"/>
        <v>0</v>
      </c>
      <c r="X198" s="72">
        <f t="shared" si="303"/>
        <v>0</v>
      </c>
      <c r="Y198" s="72">
        <f t="shared" si="304"/>
        <v>0</v>
      </c>
      <c r="Z198" s="24">
        <f t="shared" si="285"/>
        <v>0</v>
      </c>
      <c r="AA198" s="72">
        <f t="shared" si="305"/>
        <v>0</v>
      </c>
      <c r="AB198" s="24">
        <f t="shared" si="306"/>
        <v>0</v>
      </c>
      <c r="AC198" s="24" t="s">
        <v>5</v>
      </c>
      <c r="AD198" s="25">
        <f t="shared" si="286"/>
        <v>3</v>
      </c>
      <c r="AE198" s="25">
        <f t="shared" si="287"/>
        <v>0</v>
      </c>
      <c r="AF198" s="25">
        <f t="shared" si="288"/>
        <v>0</v>
      </c>
      <c r="AG198" s="25">
        <f t="shared" si="307"/>
        <v>1</v>
      </c>
      <c r="AH198" s="25" t="str">
        <f>IFERROR(MATCH(DY198,'2 Staff List'!$IA$64:$IA$114,0),"x")</f>
        <v>x</v>
      </c>
      <c r="AI198" s="1181">
        <f>IFERROR(INDEX('2 Staff List'!$EX$64:$EX$114,$AH198),0)</f>
        <v>0</v>
      </c>
      <c r="AJ198" s="25">
        <f>IFERROR(INDEX('2 Staff List'!$IW$64:$IW$114,$AH198),0)</f>
        <v>0</v>
      </c>
      <c r="AK198" s="25">
        <f>IFERROR(INDEX('2 Staff List'!$IB$64:$IB$114,$AH198),0)</f>
        <v>0</v>
      </c>
      <c r="AL198" s="25">
        <f>IF(OR(NOT(ISBLANK(DV198)),CX198=1),"&lt;Non-Labor&gt;",IFERROR(IF(AH198=0,0,INDEX('2 Staff List'!$HZ$64:$HZ$114,$AH198)),0))</f>
        <v>0</v>
      </c>
      <c r="AM198" s="25">
        <f>IFERROR(INDEX('2 Staff List'!$HW$64:$HW$114,$AH198),0)</f>
        <v>0</v>
      </c>
      <c r="AN198" s="25">
        <f t="shared" si="308"/>
        <v>1</v>
      </c>
      <c r="AO198" s="25">
        <f>IF($AO$127=0,0,IFERROR(INDEX('2 Staff List'!$JH$64:$JH$114,$AH198),0))</f>
        <v>0</v>
      </c>
      <c r="AP198" s="25">
        <f>IFERROR(INDEX('2 Staff List'!$HU$64:$HU$114,$AH198),0)</f>
        <v>0</v>
      </c>
      <c r="AQ198" s="25">
        <f t="shared" si="309"/>
        <v>0</v>
      </c>
      <c r="AR198" s="25">
        <f t="shared" si="310"/>
        <v>0</v>
      </c>
      <c r="AS198" s="25">
        <f t="shared" si="311"/>
        <v>0</v>
      </c>
      <c r="AT198" s="25">
        <f t="shared" si="312"/>
        <v>0</v>
      </c>
      <c r="AU198" s="25">
        <f t="shared" si="313"/>
        <v>0</v>
      </c>
      <c r="AV198" s="25">
        <f t="shared" si="314"/>
        <v>0</v>
      </c>
      <c r="AW198" s="25">
        <f t="shared" si="315"/>
        <v>0</v>
      </c>
      <c r="AX198" s="25">
        <f t="shared" si="316"/>
        <v>0</v>
      </c>
      <c r="AY198" s="25">
        <f t="shared" si="317"/>
        <v>0</v>
      </c>
      <c r="AZ198" s="25">
        <f t="shared" si="318"/>
        <v>0</v>
      </c>
      <c r="BA198" s="25">
        <f t="shared" si="319"/>
        <v>0</v>
      </c>
      <c r="BB198" s="25">
        <f t="shared" si="320"/>
        <v>0</v>
      </c>
      <c r="BC198" s="25">
        <f>IFERROR(INDEX('2 Staff List'!KS$64:KS$114,$AH198),0)</f>
        <v>0</v>
      </c>
      <c r="BD198" s="25">
        <f>IFERROR(INDEX('2 Staff List'!KT$64:KT$114,$AH198),0)</f>
        <v>0</v>
      </c>
      <c r="BE198" s="25">
        <f>IFERROR(INDEX('2 Staff List'!KU$64:KU$114,$AH198),0)</f>
        <v>0</v>
      </c>
      <c r="BF198" s="25">
        <f>IFERROR(INDEX('2 Staff List'!KV$64:KV$114,$AH198),0)</f>
        <v>0</v>
      </c>
      <c r="BG198" s="25">
        <f>IFERROR(INDEX('2 Staff List'!KW$64:KW$114,$AH198),0)</f>
        <v>0</v>
      </c>
      <c r="BH198" s="25">
        <f>IFERROR(INDEX('2 Staff List'!KX$64:KX$114,$AH198),0)</f>
        <v>0</v>
      </c>
      <c r="BI198" s="25">
        <f>IFERROR(INDEX('2 Staff List'!KY$64:KY$114,$AH198),0)</f>
        <v>0</v>
      </c>
      <c r="BJ198" s="25">
        <f>IFERROR(INDEX('2 Staff List'!KZ$64:KZ$114,$AH198),0)</f>
        <v>0</v>
      </c>
      <c r="BK198" s="25">
        <f>IFERROR(INDEX('2 Staff List'!LA$64:LA$114,$AH198),0)</f>
        <v>0</v>
      </c>
      <c r="BL198" s="25">
        <f>IFERROR(INDEX('2 Staff List'!LB$64:LB$114,$AH198),0)</f>
        <v>0</v>
      </c>
      <c r="BM198" s="25">
        <f>IFERROR(INDEX('2 Staff List'!FT$64:FT$114,$AH198),0)</f>
        <v>0</v>
      </c>
      <c r="BN198" s="25">
        <f>IFERROR(INDEX('2 Staff List'!FU$64:FU$114,$AH198),0)</f>
        <v>0</v>
      </c>
      <c r="BO198" s="25">
        <f>IFERROR(INDEX('2 Staff List'!FV$64:FV$114,$AH198),0)</f>
        <v>0</v>
      </c>
      <c r="BP198" s="25">
        <f>IFERROR(INDEX('2 Staff List'!FW$64:FW$114,$AH198),0)</f>
        <v>0</v>
      </c>
      <c r="BQ198" s="25">
        <f>IFERROR(INDEX('2 Staff List'!FX$64:FX$114,$AH198),0)</f>
        <v>0</v>
      </c>
      <c r="BR198" s="25">
        <f>IFERROR(INDEX('2 Staff List'!FY$64:FY$114,$AH198),0)</f>
        <v>0</v>
      </c>
      <c r="BS198" s="25">
        <f>IFERROR(INDEX('2 Staff List'!FZ$64:FZ$114,$AH198),0)</f>
        <v>0</v>
      </c>
      <c r="BT198" s="25">
        <f>IFERROR(INDEX('2 Staff List'!GA$64:GA$114,$AH198),0)</f>
        <v>0</v>
      </c>
      <c r="BU198" s="25">
        <f>IFERROR(INDEX('2 Staff List'!GB$64:GB$114,$AH198),0)</f>
        <v>0</v>
      </c>
      <c r="BV198" s="25">
        <f>IFERROR(INDEX('2 Staff List'!GC$64:GC$114,$AH198),0)</f>
        <v>0</v>
      </c>
      <c r="BW198" s="25">
        <f t="shared" si="321"/>
        <v>0</v>
      </c>
      <c r="BX198" s="25">
        <f t="shared" si="322"/>
        <v>0</v>
      </c>
      <c r="BY198" s="25">
        <f t="shared" si="323"/>
        <v>0</v>
      </c>
      <c r="BZ198" s="25">
        <f t="shared" si="324"/>
        <v>0</v>
      </c>
      <c r="CA198" s="25">
        <f t="shared" si="325"/>
        <v>0</v>
      </c>
      <c r="CB198" s="25">
        <f t="shared" si="326"/>
        <v>0</v>
      </c>
      <c r="CC198" s="25">
        <f t="shared" si="327"/>
        <v>0</v>
      </c>
      <c r="CD198" s="25">
        <f t="shared" si="328"/>
        <v>0</v>
      </c>
      <c r="CE198" s="25">
        <f t="shared" si="329"/>
        <v>0</v>
      </c>
      <c r="CF198" s="25">
        <f t="shared" si="330"/>
        <v>0</v>
      </c>
      <c r="CG198" s="25">
        <f t="shared" si="331"/>
        <v>0</v>
      </c>
      <c r="CH198" s="25">
        <f>IFERROR(INDEX('2 Staff List'!LO$64:LO$114,$AH198),0)</f>
        <v>0</v>
      </c>
      <c r="CI198" s="25">
        <f>IFERROR(INDEX('2 Staff List'!LP$64:LP$114,$AH198),0)</f>
        <v>0</v>
      </c>
      <c r="CJ198" s="25">
        <f>IFERROR(INDEX('2 Staff List'!LQ$64:LQ$114,$AH198),0)</f>
        <v>0</v>
      </c>
      <c r="CK198" s="25">
        <f>IFERROR(INDEX('2 Staff List'!LR$64:LR$114,$AH198),0)</f>
        <v>0</v>
      </c>
      <c r="CL198" s="25">
        <f>IFERROR(INDEX('2 Staff List'!LS$64:LS$114,$AH198),0)</f>
        <v>0</v>
      </c>
      <c r="CM198" s="25">
        <f>IFERROR(INDEX('2 Staff List'!LT$64:LT$114,$AH198),0)</f>
        <v>0</v>
      </c>
      <c r="CN198" s="25">
        <f>IFERROR(INDEX('2 Staff List'!LU$64:LU$114,$AH198),0)</f>
        <v>0</v>
      </c>
      <c r="CO198" s="25">
        <f>IFERROR(INDEX('2 Staff List'!LV$64:LV$114,$AH198),0)</f>
        <v>0</v>
      </c>
      <c r="CP198" s="25">
        <f>IFERROR(INDEX('2 Staff List'!LW$64:LW$114,$AH198),0)</f>
        <v>0</v>
      </c>
      <c r="CQ198" s="25">
        <f>IFERROR(INDEX('2 Staff List'!LX$64:LX$114,$AH198),0)</f>
        <v>0</v>
      </c>
      <c r="CR198" s="25">
        <f t="shared" si="289"/>
        <v>0</v>
      </c>
      <c r="CS198" s="25">
        <f t="shared" si="332"/>
        <v>1</v>
      </c>
      <c r="CT198" s="25">
        <f t="shared" si="333"/>
        <v>1</v>
      </c>
      <c r="CU198" s="25">
        <f t="shared" si="334"/>
        <v>1</v>
      </c>
      <c r="CV198" s="25">
        <f t="shared" si="335"/>
        <v>1</v>
      </c>
      <c r="CW198" s="25">
        <f t="shared" si="336"/>
        <v>1</v>
      </c>
      <c r="CX198" s="25">
        <f t="shared" si="337"/>
        <v>0</v>
      </c>
      <c r="CY198" s="25">
        <f t="shared" si="338"/>
        <v>0</v>
      </c>
      <c r="CZ198" s="25">
        <f t="shared" si="339"/>
        <v>0</v>
      </c>
      <c r="DA198" s="25">
        <f t="shared" si="340"/>
        <v>1</v>
      </c>
      <c r="DB198" s="25">
        <f t="shared" si="290"/>
        <v>1</v>
      </c>
      <c r="DC198" s="25">
        <f t="shared" si="341"/>
        <v>0</v>
      </c>
      <c r="DD198" s="25">
        <f>IF(OR($AD198&lt;&gt;3,F198="Exclude"),0,IF(ISERROR(MATCH($E198,'4 Sign-off'!$S$123:$X$123,0)),0,1))</f>
        <v>0</v>
      </c>
      <c r="DE198" s="25">
        <f t="shared" si="291"/>
        <v>0</v>
      </c>
      <c r="DF198" s="25">
        <f t="shared" si="342"/>
        <v>0</v>
      </c>
      <c r="DG198" s="25" t="str">
        <f t="shared" si="343"/>
        <v/>
      </c>
      <c r="DH198" s="25">
        <f t="shared" si="344"/>
        <v>0</v>
      </c>
      <c r="DI198" s="25">
        <f t="shared" si="345"/>
        <v>0</v>
      </c>
      <c r="DJ198" s="25">
        <f>IF(ISBLANK(J198),0,ISERROR(MATCH(J198,'5  Control Accounts'!$FA$29:$FA$96,0))*1)</f>
        <v>0</v>
      </c>
      <c r="DK198" s="25">
        <f t="shared" si="346"/>
        <v>0</v>
      </c>
      <c r="DL198" s="25">
        <f t="shared" si="292"/>
        <v>-1</v>
      </c>
      <c r="DM198" s="25" t="e">
        <f t="array" ref="DM198">MATCH(1,($EG198:$JD198&gt;0)*$EG$17:$JD$17,0)</f>
        <v>#N/A</v>
      </c>
      <c r="DN198" s="25" t="e">
        <f t="shared" si="293"/>
        <v>#N/A</v>
      </c>
      <c r="DO198" s="25" t="e">
        <f t="array" ref="DO198">MATCH(2,1/(EG198:JD198&gt;0))</f>
        <v>#N/A</v>
      </c>
      <c r="DP198" s="2993">
        <f t="shared" si="347"/>
        <v>0</v>
      </c>
      <c r="DQ198" s="3037">
        <f t="shared" si="348"/>
        <v>0</v>
      </c>
      <c r="DR198" s="111"/>
      <c r="DS198" s="1268">
        <f t="shared" si="282"/>
        <v>0</v>
      </c>
      <c r="DT198" s="1825"/>
      <c r="DU198" s="1826"/>
      <c r="DV198" s="1827"/>
      <c r="DW198" s="1828"/>
      <c r="DX198" s="659"/>
      <c r="DY198" s="1265"/>
      <c r="DZ198" s="1785">
        <f t="shared" si="294"/>
        <v>0</v>
      </c>
      <c r="EA198" s="1786">
        <f t="shared" si="295"/>
        <v>0</v>
      </c>
      <c r="EB198" s="1781">
        <f t="shared" si="296"/>
        <v>0</v>
      </c>
      <c r="EC198" s="1782">
        <f t="shared" si="297"/>
        <v>0</v>
      </c>
      <c r="ED198" s="1262"/>
      <c r="EE198" s="2280"/>
      <c r="EF198" s="1802"/>
      <c r="EG198" s="167"/>
      <c r="EH198" s="168"/>
      <c r="EI198" s="168"/>
      <c r="EJ198" s="168"/>
      <c r="EK198" s="168"/>
      <c r="EL198" s="168"/>
      <c r="EM198" s="168"/>
      <c r="EN198" s="168"/>
      <c r="EO198" s="168"/>
      <c r="EP198" s="168"/>
      <c r="EQ198" s="168"/>
      <c r="ER198" s="168"/>
      <c r="ES198" s="168"/>
      <c r="ET198" s="168"/>
      <c r="EU198" s="168"/>
      <c r="EV198" s="168"/>
      <c r="EW198" s="168"/>
      <c r="EX198" s="168"/>
      <c r="EY198" s="168"/>
      <c r="EZ198" s="168"/>
      <c r="FA198" s="168"/>
      <c r="FB198" s="168"/>
      <c r="FC198" s="168"/>
      <c r="FD198" s="168"/>
      <c r="FE198" s="168"/>
      <c r="FF198" s="168"/>
      <c r="FG198" s="168"/>
      <c r="FH198" s="168"/>
      <c r="FI198" s="168"/>
      <c r="FJ198" s="168"/>
      <c r="FK198" s="168"/>
      <c r="FL198" s="168"/>
      <c r="FM198" s="168"/>
      <c r="FN198" s="168"/>
      <c r="FO198" s="168"/>
      <c r="FP198" s="168"/>
      <c r="FQ198" s="168"/>
      <c r="FR198" s="168"/>
      <c r="FS198" s="168"/>
      <c r="FT198" s="168"/>
      <c r="FU198" s="168"/>
      <c r="FV198" s="168"/>
      <c r="FW198" s="168"/>
      <c r="FX198" s="168"/>
      <c r="FY198" s="168"/>
      <c r="FZ198" s="168"/>
      <c r="GA198" s="168"/>
      <c r="GB198" s="168"/>
      <c r="GC198" s="168"/>
      <c r="GD198" s="168"/>
      <c r="GE198" s="168"/>
      <c r="GF198" s="168"/>
      <c r="GG198" s="168"/>
      <c r="GH198" s="168"/>
      <c r="GI198" s="168"/>
      <c r="GJ198" s="168"/>
      <c r="GK198" s="168"/>
      <c r="GL198" s="168"/>
      <c r="GM198" s="168"/>
      <c r="GN198" s="168"/>
      <c r="GO198" s="168"/>
      <c r="GP198" s="168"/>
      <c r="GQ198" s="168"/>
      <c r="GR198" s="168"/>
      <c r="GS198" s="168"/>
      <c r="GT198" s="168"/>
      <c r="GU198" s="168"/>
      <c r="GV198" s="168"/>
      <c r="GW198" s="168"/>
      <c r="GX198" s="168"/>
      <c r="GY198" s="168"/>
      <c r="GZ198" s="168"/>
      <c r="HA198" s="168"/>
      <c r="HB198" s="168"/>
      <c r="HC198" s="168"/>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606"/>
      <c r="JD198" s="609"/>
      <c r="JE198" s="1"/>
      <c r="JF198" s="1"/>
    </row>
    <row r="199" spans="1:266" s="2" customFormat="1" ht="15" customHeight="1" x14ac:dyDescent="0.25">
      <c r="A199" s="283"/>
      <c r="B199" s="303"/>
      <c r="C199" s="301"/>
      <c r="D199" s="638"/>
      <c r="E199" s="2298"/>
      <c r="F199" s="1812"/>
      <c r="G199" s="3342"/>
      <c r="H199" s="66"/>
      <c r="I199" s="1746"/>
      <c r="J199" s="86"/>
      <c r="K199" s="105"/>
      <c r="L199" s="91"/>
      <c r="M199" s="92"/>
      <c r="N199" s="93"/>
      <c r="O199" s="94"/>
      <c r="P199" s="96"/>
      <c r="Q199" s="95"/>
      <c r="R199" s="993">
        <f t="shared" si="284"/>
        <v>0</v>
      </c>
      <c r="S199" s="23">
        <f t="shared" si="298"/>
        <v>0</v>
      </c>
      <c r="T199" s="24">
        <f t="shared" si="299"/>
        <v>0</v>
      </c>
      <c r="U199" s="24">
        <f t="shared" si="300"/>
        <v>0</v>
      </c>
      <c r="V199" s="24">
        <f t="shared" si="301"/>
        <v>0</v>
      </c>
      <c r="W199" s="24">
        <f t="shared" si="302"/>
        <v>0</v>
      </c>
      <c r="X199" s="72">
        <f t="shared" si="303"/>
        <v>0</v>
      </c>
      <c r="Y199" s="72">
        <f t="shared" si="304"/>
        <v>0</v>
      </c>
      <c r="Z199" s="24">
        <f t="shared" si="285"/>
        <v>0</v>
      </c>
      <c r="AA199" s="72">
        <f t="shared" si="305"/>
        <v>0</v>
      </c>
      <c r="AB199" s="24">
        <f t="shared" si="306"/>
        <v>0</v>
      </c>
      <c r="AC199" s="24" t="s">
        <v>5</v>
      </c>
      <c r="AD199" s="25">
        <f t="shared" si="286"/>
        <v>3</v>
      </c>
      <c r="AE199" s="25">
        <f t="shared" si="287"/>
        <v>0</v>
      </c>
      <c r="AF199" s="25">
        <f t="shared" si="288"/>
        <v>0</v>
      </c>
      <c r="AG199" s="25">
        <f t="shared" si="307"/>
        <v>1</v>
      </c>
      <c r="AH199" s="25" t="str">
        <f>IFERROR(MATCH(DY199,'2 Staff List'!$IA$64:$IA$114,0),"x")</f>
        <v>x</v>
      </c>
      <c r="AI199" s="1181">
        <f>IFERROR(INDEX('2 Staff List'!$EX$64:$EX$114,$AH199),0)</f>
        <v>0</v>
      </c>
      <c r="AJ199" s="25">
        <f>IFERROR(INDEX('2 Staff List'!$IW$64:$IW$114,$AH199),0)</f>
        <v>0</v>
      </c>
      <c r="AK199" s="25">
        <f>IFERROR(INDEX('2 Staff List'!$IB$64:$IB$114,$AH199),0)</f>
        <v>0</v>
      </c>
      <c r="AL199" s="25">
        <f>IF(OR(NOT(ISBLANK(DV199)),CX199=1),"&lt;Non-Labor&gt;",IFERROR(IF(AH199=0,0,INDEX('2 Staff List'!$HZ$64:$HZ$114,$AH199)),0))</f>
        <v>0</v>
      </c>
      <c r="AM199" s="25">
        <f>IFERROR(INDEX('2 Staff List'!$HW$64:$HW$114,$AH199),0)</f>
        <v>0</v>
      </c>
      <c r="AN199" s="25">
        <f t="shared" si="308"/>
        <v>1</v>
      </c>
      <c r="AO199" s="25">
        <f>IF($AO$127=0,0,IFERROR(INDEX('2 Staff List'!$JH$64:$JH$114,$AH199),0))</f>
        <v>0</v>
      </c>
      <c r="AP199" s="25">
        <f>IFERROR(INDEX('2 Staff List'!$HU$64:$HU$114,$AH199),0)</f>
        <v>0</v>
      </c>
      <c r="AQ199" s="25">
        <f t="shared" si="309"/>
        <v>0</v>
      </c>
      <c r="AR199" s="25">
        <f t="shared" si="310"/>
        <v>0</v>
      </c>
      <c r="AS199" s="25">
        <f t="shared" si="311"/>
        <v>0</v>
      </c>
      <c r="AT199" s="25">
        <f t="shared" si="312"/>
        <v>0</v>
      </c>
      <c r="AU199" s="25">
        <f t="shared" si="313"/>
        <v>0</v>
      </c>
      <c r="AV199" s="25">
        <f t="shared" si="314"/>
        <v>0</v>
      </c>
      <c r="AW199" s="25">
        <f t="shared" si="315"/>
        <v>0</v>
      </c>
      <c r="AX199" s="25">
        <f t="shared" si="316"/>
        <v>0</v>
      </c>
      <c r="AY199" s="25">
        <f t="shared" si="317"/>
        <v>0</v>
      </c>
      <c r="AZ199" s="25">
        <f t="shared" si="318"/>
        <v>0</v>
      </c>
      <c r="BA199" s="25">
        <f t="shared" si="319"/>
        <v>0</v>
      </c>
      <c r="BB199" s="25">
        <f t="shared" si="320"/>
        <v>0</v>
      </c>
      <c r="BC199" s="25">
        <f>IFERROR(INDEX('2 Staff List'!KS$64:KS$114,$AH199),0)</f>
        <v>0</v>
      </c>
      <c r="BD199" s="25">
        <f>IFERROR(INDEX('2 Staff List'!KT$64:KT$114,$AH199),0)</f>
        <v>0</v>
      </c>
      <c r="BE199" s="25">
        <f>IFERROR(INDEX('2 Staff List'!KU$64:KU$114,$AH199),0)</f>
        <v>0</v>
      </c>
      <c r="BF199" s="25">
        <f>IFERROR(INDEX('2 Staff List'!KV$64:KV$114,$AH199),0)</f>
        <v>0</v>
      </c>
      <c r="BG199" s="25">
        <f>IFERROR(INDEX('2 Staff List'!KW$64:KW$114,$AH199),0)</f>
        <v>0</v>
      </c>
      <c r="BH199" s="25">
        <f>IFERROR(INDEX('2 Staff List'!KX$64:KX$114,$AH199),0)</f>
        <v>0</v>
      </c>
      <c r="BI199" s="25">
        <f>IFERROR(INDEX('2 Staff List'!KY$64:KY$114,$AH199),0)</f>
        <v>0</v>
      </c>
      <c r="BJ199" s="25">
        <f>IFERROR(INDEX('2 Staff List'!KZ$64:KZ$114,$AH199),0)</f>
        <v>0</v>
      </c>
      <c r="BK199" s="25">
        <f>IFERROR(INDEX('2 Staff List'!LA$64:LA$114,$AH199),0)</f>
        <v>0</v>
      </c>
      <c r="BL199" s="25">
        <f>IFERROR(INDEX('2 Staff List'!LB$64:LB$114,$AH199),0)</f>
        <v>0</v>
      </c>
      <c r="BM199" s="25">
        <f>IFERROR(INDEX('2 Staff List'!FT$64:FT$114,$AH199),0)</f>
        <v>0</v>
      </c>
      <c r="BN199" s="25">
        <f>IFERROR(INDEX('2 Staff List'!FU$64:FU$114,$AH199),0)</f>
        <v>0</v>
      </c>
      <c r="BO199" s="25">
        <f>IFERROR(INDEX('2 Staff List'!FV$64:FV$114,$AH199),0)</f>
        <v>0</v>
      </c>
      <c r="BP199" s="25">
        <f>IFERROR(INDEX('2 Staff List'!FW$64:FW$114,$AH199),0)</f>
        <v>0</v>
      </c>
      <c r="BQ199" s="25">
        <f>IFERROR(INDEX('2 Staff List'!FX$64:FX$114,$AH199),0)</f>
        <v>0</v>
      </c>
      <c r="BR199" s="25">
        <f>IFERROR(INDEX('2 Staff List'!FY$64:FY$114,$AH199),0)</f>
        <v>0</v>
      </c>
      <c r="BS199" s="25">
        <f>IFERROR(INDEX('2 Staff List'!FZ$64:FZ$114,$AH199),0)</f>
        <v>0</v>
      </c>
      <c r="BT199" s="25">
        <f>IFERROR(INDEX('2 Staff List'!GA$64:GA$114,$AH199),0)</f>
        <v>0</v>
      </c>
      <c r="BU199" s="25">
        <f>IFERROR(INDEX('2 Staff List'!GB$64:GB$114,$AH199),0)</f>
        <v>0</v>
      </c>
      <c r="BV199" s="25">
        <f>IFERROR(INDEX('2 Staff List'!GC$64:GC$114,$AH199),0)</f>
        <v>0</v>
      </c>
      <c r="BW199" s="25">
        <f t="shared" si="321"/>
        <v>0</v>
      </c>
      <c r="BX199" s="25">
        <f t="shared" si="322"/>
        <v>0</v>
      </c>
      <c r="BY199" s="25">
        <f t="shared" si="323"/>
        <v>0</v>
      </c>
      <c r="BZ199" s="25">
        <f t="shared" si="324"/>
        <v>0</v>
      </c>
      <c r="CA199" s="25">
        <f t="shared" si="325"/>
        <v>0</v>
      </c>
      <c r="CB199" s="25">
        <f t="shared" si="326"/>
        <v>0</v>
      </c>
      <c r="CC199" s="25">
        <f t="shared" si="327"/>
        <v>0</v>
      </c>
      <c r="CD199" s="25">
        <f t="shared" si="328"/>
        <v>0</v>
      </c>
      <c r="CE199" s="25">
        <f t="shared" si="329"/>
        <v>0</v>
      </c>
      <c r="CF199" s="25">
        <f t="shared" si="330"/>
        <v>0</v>
      </c>
      <c r="CG199" s="25">
        <f t="shared" si="331"/>
        <v>0</v>
      </c>
      <c r="CH199" s="25">
        <f>IFERROR(INDEX('2 Staff List'!LO$64:LO$114,$AH199),0)</f>
        <v>0</v>
      </c>
      <c r="CI199" s="25">
        <f>IFERROR(INDEX('2 Staff List'!LP$64:LP$114,$AH199),0)</f>
        <v>0</v>
      </c>
      <c r="CJ199" s="25">
        <f>IFERROR(INDEX('2 Staff List'!LQ$64:LQ$114,$AH199),0)</f>
        <v>0</v>
      </c>
      <c r="CK199" s="25">
        <f>IFERROR(INDEX('2 Staff List'!LR$64:LR$114,$AH199),0)</f>
        <v>0</v>
      </c>
      <c r="CL199" s="25">
        <f>IFERROR(INDEX('2 Staff List'!LS$64:LS$114,$AH199),0)</f>
        <v>0</v>
      </c>
      <c r="CM199" s="25">
        <f>IFERROR(INDEX('2 Staff List'!LT$64:LT$114,$AH199),0)</f>
        <v>0</v>
      </c>
      <c r="CN199" s="25">
        <f>IFERROR(INDEX('2 Staff List'!LU$64:LU$114,$AH199),0)</f>
        <v>0</v>
      </c>
      <c r="CO199" s="25">
        <f>IFERROR(INDEX('2 Staff List'!LV$64:LV$114,$AH199),0)</f>
        <v>0</v>
      </c>
      <c r="CP199" s="25">
        <f>IFERROR(INDEX('2 Staff List'!LW$64:LW$114,$AH199),0)</f>
        <v>0</v>
      </c>
      <c r="CQ199" s="25">
        <f>IFERROR(INDEX('2 Staff List'!LX$64:LX$114,$AH199),0)</f>
        <v>0</v>
      </c>
      <c r="CR199" s="25">
        <f t="shared" si="289"/>
        <v>0</v>
      </c>
      <c r="CS199" s="25">
        <f t="shared" si="332"/>
        <v>1</v>
      </c>
      <c r="CT199" s="25">
        <f t="shared" si="333"/>
        <v>1</v>
      </c>
      <c r="CU199" s="25">
        <f t="shared" si="334"/>
        <v>1</v>
      </c>
      <c r="CV199" s="25">
        <f t="shared" si="335"/>
        <v>1</v>
      </c>
      <c r="CW199" s="25">
        <f t="shared" si="336"/>
        <v>1</v>
      </c>
      <c r="CX199" s="25">
        <f t="shared" si="337"/>
        <v>0</v>
      </c>
      <c r="CY199" s="25">
        <f t="shared" si="338"/>
        <v>0</v>
      </c>
      <c r="CZ199" s="25">
        <f t="shared" si="339"/>
        <v>0</v>
      </c>
      <c r="DA199" s="25">
        <f t="shared" si="340"/>
        <v>1</v>
      </c>
      <c r="DB199" s="25">
        <f t="shared" si="290"/>
        <v>1</v>
      </c>
      <c r="DC199" s="25">
        <f t="shared" si="341"/>
        <v>0</v>
      </c>
      <c r="DD199" s="25">
        <f>IF(OR($AD199&lt;&gt;3,F199="Exclude"),0,IF(ISERROR(MATCH($E199,'4 Sign-off'!$S$123:$X$123,0)),0,1))</f>
        <v>0</v>
      </c>
      <c r="DE199" s="25">
        <f t="shared" si="291"/>
        <v>0</v>
      </c>
      <c r="DF199" s="25">
        <f t="shared" si="342"/>
        <v>0</v>
      </c>
      <c r="DG199" s="25" t="str">
        <f t="shared" si="343"/>
        <v/>
      </c>
      <c r="DH199" s="25">
        <f t="shared" si="344"/>
        <v>0</v>
      </c>
      <c r="DI199" s="25">
        <f t="shared" si="345"/>
        <v>0</v>
      </c>
      <c r="DJ199" s="25">
        <f>IF(ISBLANK(J199),0,ISERROR(MATCH(J199,'5  Control Accounts'!$FA$29:$FA$96,0))*1)</f>
        <v>0</v>
      </c>
      <c r="DK199" s="25">
        <f t="shared" si="346"/>
        <v>0</v>
      </c>
      <c r="DL199" s="25">
        <f t="shared" si="292"/>
        <v>-1</v>
      </c>
      <c r="DM199" s="25" t="e">
        <f t="array" ref="DM199">MATCH(1,($EG199:$JD199&gt;0)*$EG$17:$JD$17,0)</f>
        <v>#N/A</v>
      </c>
      <c r="DN199" s="25" t="e">
        <f t="shared" si="293"/>
        <v>#N/A</v>
      </c>
      <c r="DO199" s="25" t="e">
        <f t="array" ref="DO199">MATCH(2,1/(EG199:JD199&gt;0))</f>
        <v>#N/A</v>
      </c>
      <c r="DP199" s="2993">
        <f t="shared" si="347"/>
        <v>0</v>
      </c>
      <c r="DQ199" s="3037">
        <f t="shared" si="348"/>
        <v>0</v>
      </c>
      <c r="DR199" s="111"/>
      <c r="DS199" s="1268">
        <f t="shared" si="282"/>
        <v>0</v>
      </c>
      <c r="DT199" s="1825"/>
      <c r="DU199" s="1826"/>
      <c r="DV199" s="1827"/>
      <c r="DW199" s="1828"/>
      <c r="DX199" s="659"/>
      <c r="DY199" s="1265"/>
      <c r="DZ199" s="1785">
        <f t="shared" si="294"/>
        <v>0</v>
      </c>
      <c r="EA199" s="1786">
        <f t="shared" si="295"/>
        <v>0</v>
      </c>
      <c r="EB199" s="1781">
        <f t="shared" si="296"/>
        <v>0</v>
      </c>
      <c r="EC199" s="1782">
        <f t="shared" si="297"/>
        <v>0</v>
      </c>
      <c r="ED199" s="1262"/>
      <c r="EE199" s="2280"/>
      <c r="EF199" s="1802"/>
      <c r="EG199" s="167"/>
      <c r="EH199" s="168"/>
      <c r="EI199" s="168"/>
      <c r="EJ199" s="168"/>
      <c r="EK199" s="168"/>
      <c r="EL199" s="168"/>
      <c r="EM199" s="168"/>
      <c r="EN199" s="168"/>
      <c r="EO199" s="168"/>
      <c r="EP199" s="168"/>
      <c r="EQ199" s="168"/>
      <c r="ER199" s="168"/>
      <c r="ES199" s="168"/>
      <c r="ET199" s="168"/>
      <c r="EU199" s="168"/>
      <c r="EV199" s="168"/>
      <c r="EW199" s="168"/>
      <c r="EX199" s="168"/>
      <c r="EY199" s="168"/>
      <c r="EZ199" s="168"/>
      <c r="FA199" s="168"/>
      <c r="FB199" s="168"/>
      <c r="FC199" s="168"/>
      <c r="FD199" s="168"/>
      <c r="FE199" s="168"/>
      <c r="FF199" s="168"/>
      <c r="FG199" s="168"/>
      <c r="FH199" s="168"/>
      <c r="FI199" s="168"/>
      <c r="FJ199" s="168"/>
      <c r="FK199" s="168"/>
      <c r="FL199" s="168"/>
      <c r="FM199" s="168"/>
      <c r="FN199" s="168"/>
      <c r="FO199" s="168"/>
      <c r="FP199" s="168"/>
      <c r="FQ199" s="168"/>
      <c r="FR199" s="168"/>
      <c r="FS199" s="168"/>
      <c r="FT199" s="168"/>
      <c r="FU199" s="168"/>
      <c r="FV199" s="168"/>
      <c r="FW199" s="168"/>
      <c r="FX199" s="168"/>
      <c r="FY199" s="168"/>
      <c r="FZ199" s="168"/>
      <c r="GA199" s="168"/>
      <c r="GB199" s="168"/>
      <c r="GC199" s="168"/>
      <c r="GD199" s="168"/>
      <c r="GE199" s="168"/>
      <c r="GF199" s="168"/>
      <c r="GG199" s="168"/>
      <c r="GH199" s="168"/>
      <c r="GI199" s="168"/>
      <c r="GJ199" s="168"/>
      <c r="GK199" s="168"/>
      <c r="GL199" s="168"/>
      <c r="GM199" s="168"/>
      <c r="GN199" s="168"/>
      <c r="GO199" s="168"/>
      <c r="GP199" s="168"/>
      <c r="GQ199" s="168"/>
      <c r="GR199" s="168"/>
      <c r="GS199" s="168"/>
      <c r="GT199" s="168"/>
      <c r="GU199" s="168"/>
      <c r="GV199" s="168"/>
      <c r="GW199" s="168"/>
      <c r="GX199" s="168"/>
      <c r="GY199" s="168"/>
      <c r="GZ199" s="168"/>
      <c r="HA199" s="168"/>
      <c r="HB199" s="168"/>
      <c r="HC199" s="168"/>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606"/>
      <c r="JD199" s="609"/>
      <c r="JE199" s="1"/>
      <c r="JF199" s="1"/>
    </row>
    <row r="200" spans="1:266" s="2" customFormat="1" ht="15" customHeight="1" x14ac:dyDescent="0.25">
      <c r="A200" s="283"/>
      <c r="B200" s="303"/>
      <c r="C200" s="301"/>
      <c r="D200" s="638"/>
      <c r="E200" s="2298"/>
      <c r="F200" s="1812"/>
      <c r="G200" s="3342"/>
      <c r="H200" s="66"/>
      <c r="I200" s="1746"/>
      <c r="J200" s="86"/>
      <c r="K200" s="105"/>
      <c r="L200" s="91"/>
      <c r="M200" s="92"/>
      <c r="N200" s="93"/>
      <c r="O200" s="94"/>
      <c r="P200" s="96"/>
      <c r="Q200" s="95"/>
      <c r="R200" s="993">
        <f t="shared" si="284"/>
        <v>0</v>
      </c>
      <c r="S200" s="23">
        <f t="shared" si="298"/>
        <v>0</v>
      </c>
      <c r="T200" s="24">
        <f t="shared" si="299"/>
        <v>0</v>
      </c>
      <c r="U200" s="24">
        <f t="shared" si="300"/>
        <v>0</v>
      </c>
      <c r="V200" s="24">
        <f t="shared" si="301"/>
        <v>0</v>
      </c>
      <c r="W200" s="24">
        <f t="shared" si="302"/>
        <v>0</v>
      </c>
      <c r="X200" s="72">
        <f t="shared" si="303"/>
        <v>0</v>
      </c>
      <c r="Y200" s="72">
        <f t="shared" si="304"/>
        <v>0</v>
      </c>
      <c r="Z200" s="24">
        <f t="shared" si="285"/>
        <v>0</v>
      </c>
      <c r="AA200" s="72">
        <f t="shared" si="305"/>
        <v>0</v>
      </c>
      <c r="AB200" s="24">
        <f t="shared" si="306"/>
        <v>0</v>
      </c>
      <c r="AC200" s="24" t="s">
        <v>5</v>
      </c>
      <c r="AD200" s="25">
        <f t="shared" si="286"/>
        <v>3</v>
      </c>
      <c r="AE200" s="25">
        <f t="shared" si="287"/>
        <v>0</v>
      </c>
      <c r="AF200" s="25">
        <f t="shared" si="288"/>
        <v>0</v>
      </c>
      <c r="AG200" s="25">
        <f t="shared" si="307"/>
        <v>1</v>
      </c>
      <c r="AH200" s="25" t="str">
        <f>IFERROR(MATCH(DY200,'2 Staff List'!$IA$64:$IA$114,0),"x")</f>
        <v>x</v>
      </c>
      <c r="AI200" s="1181">
        <f>IFERROR(INDEX('2 Staff List'!$EX$64:$EX$114,$AH200),0)</f>
        <v>0</v>
      </c>
      <c r="AJ200" s="25">
        <f>IFERROR(INDEX('2 Staff List'!$IW$64:$IW$114,$AH200),0)</f>
        <v>0</v>
      </c>
      <c r="AK200" s="25">
        <f>IFERROR(INDEX('2 Staff List'!$IB$64:$IB$114,$AH200),0)</f>
        <v>0</v>
      </c>
      <c r="AL200" s="25">
        <f>IF(OR(NOT(ISBLANK(DV200)),CX200=1),"&lt;Non-Labor&gt;",IFERROR(IF(AH200=0,0,INDEX('2 Staff List'!$HZ$64:$HZ$114,$AH200)),0))</f>
        <v>0</v>
      </c>
      <c r="AM200" s="25">
        <f>IFERROR(INDEX('2 Staff List'!$HW$64:$HW$114,$AH200),0)</f>
        <v>0</v>
      </c>
      <c r="AN200" s="25">
        <f t="shared" si="308"/>
        <v>1</v>
      </c>
      <c r="AO200" s="25">
        <f>IF($AO$127=0,0,IFERROR(INDEX('2 Staff List'!$JH$64:$JH$114,$AH200),0))</f>
        <v>0</v>
      </c>
      <c r="AP200" s="25">
        <f>IFERROR(INDEX('2 Staff List'!$HU$64:$HU$114,$AH200),0)</f>
        <v>0</v>
      </c>
      <c r="AQ200" s="25">
        <f t="shared" si="309"/>
        <v>0</v>
      </c>
      <c r="AR200" s="25">
        <f t="shared" si="310"/>
        <v>0</v>
      </c>
      <c r="AS200" s="25">
        <f t="shared" si="311"/>
        <v>0</v>
      </c>
      <c r="AT200" s="25">
        <f t="shared" si="312"/>
        <v>0</v>
      </c>
      <c r="AU200" s="25">
        <f t="shared" si="313"/>
        <v>0</v>
      </c>
      <c r="AV200" s="25">
        <f t="shared" si="314"/>
        <v>0</v>
      </c>
      <c r="AW200" s="25">
        <f t="shared" si="315"/>
        <v>0</v>
      </c>
      <c r="AX200" s="25">
        <f t="shared" si="316"/>
        <v>0</v>
      </c>
      <c r="AY200" s="25">
        <f t="shared" si="317"/>
        <v>0</v>
      </c>
      <c r="AZ200" s="25">
        <f t="shared" si="318"/>
        <v>0</v>
      </c>
      <c r="BA200" s="25">
        <f t="shared" si="319"/>
        <v>0</v>
      </c>
      <c r="BB200" s="25">
        <f t="shared" si="320"/>
        <v>0</v>
      </c>
      <c r="BC200" s="25">
        <f>IFERROR(INDEX('2 Staff List'!KS$64:KS$114,$AH200),0)</f>
        <v>0</v>
      </c>
      <c r="BD200" s="25">
        <f>IFERROR(INDEX('2 Staff List'!KT$64:KT$114,$AH200),0)</f>
        <v>0</v>
      </c>
      <c r="BE200" s="25">
        <f>IFERROR(INDEX('2 Staff List'!KU$64:KU$114,$AH200),0)</f>
        <v>0</v>
      </c>
      <c r="BF200" s="25">
        <f>IFERROR(INDEX('2 Staff List'!KV$64:KV$114,$AH200),0)</f>
        <v>0</v>
      </c>
      <c r="BG200" s="25">
        <f>IFERROR(INDEX('2 Staff List'!KW$64:KW$114,$AH200),0)</f>
        <v>0</v>
      </c>
      <c r="BH200" s="25">
        <f>IFERROR(INDEX('2 Staff List'!KX$64:KX$114,$AH200),0)</f>
        <v>0</v>
      </c>
      <c r="BI200" s="25">
        <f>IFERROR(INDEX('2 Staff List'!KY$64:KY$114,$AH200),0)</f>
        <v>0</v>
      </c>
      <c r="BJ200" s="25">
        <f>IFERROR(INDEX('2 Staff List'!KZ$64:KZ$114,$AH200),0)</f>
        <v>0</v>
      </c>
      <c r="BK200" s="25">
        <f>IFERROR(INDEX('2 Staff List'!LA$64:LA$114,$AH200),0)</f>
        <v>0</v>
      </c>
      <c r="BL200" s="25">
        <f>IFERROR(INDEX('2 Staff List'!LB$64:LB$114,$AH200),0)</f>
        <v>0</v>
      </c>
      <c r="BM200" s="25">
        <f>IFERROR(INDEX('2 Staff List'!FT$64:FT$114,$AH200),0)</f>
        <v>0</v>
      </c>
      <c r="BN200" s="25">
        <f>IFERROR(INDEX('2 Staff List'!FU$64:FU$114,$AH200),0)</f>
        <v>0</v>
      </c>
      <c r="BO200" s="25">
        <f>IFERROR(INDEX('2 Staff List'!FV$64:FV$114,$AH200),0)</f>
        <v>0</v>
      </c>
      <c r="BP200" s="25">
        <f>IFERROR(INDEX('2 Staff List'!FW$64:FW$114,$AH200),0)</f>
        <v>0</v>
      </c>
      <c r="BQ200" s="25">
        <f>IFERROR(INDEX('2 Staff List'!FX$64:FX$114,$AH200),0)</f>
        <v>0</v>
      </c>
      <c r="BR200" s="25">
        <f>IFERROR(INDEX('2 Staff List'!FY$64:FY$114,$AH200),0)</f>
        <v>0</v>
      </c>
      <c r="BS200" s="25">
        <f>IFERROR(INDEX('2 Staff List'!FZ$64:FZ$114,$AH200),0)</f>
        <v>0</v>
      </c>
      <c r="BT200" s="25">
        <f>IFERROR(INDEX('2 Staff List'!GA$64:GA$114,$AH200),0)</f>
        <v>0</v>
      </c>
      <c r="BU200" s="25">
        <f>IFERROR(INDEX('2 Staff List'!GB$64:GB$114,$AH200),0)</f>
        <v>0</v>
      </c>
      <c r="BV200" s="25">
        <f>IFERROR(INDEX('2 Staff List'!GC$64:GC$114,$AH200),0)</f>
        <v>0</v>
      </c>
      <c r="BW200" s="25">
        <f t="shared" si="321"/>
        <v>0</v>
      </c>
      <c r="BX200" s="25">
        <f t="shared" si="322"/>
        <v>0</v>
      </c>
      <c r="BY200" s="25">
        <f t="shared" si="323"/>
        <v>0</v>
      </c>
      <c r="BZ200" s="25">
        <f t="shared" si="324"/>
        <v>0</v>
      </c>
      <c r="CA200" s="25">
        <f t="shared" si="325"/>
        <v>0</v>
      </c>
      <c r="CB200" s="25">
        <f t="shared" si="326"/>
        <v>0</v>
      </c>
      <c r="CC200" s="25">
        <f t="shared" si="327"/>
        <v>0</v>
      </c>
      <c r="CD200" s="25">
        <f t="shared" si="328"/>
        <v>0</v>
      </c>
      <c r="CE200" s="25">
        <f t="shared" si="329"/>
        <v>0</v>
      </c>
      <c r="CF200" s="25">
        <f t="shared" si="330"/>
        <v>0</v>
      </c>
      <c r="CG200" s="25">
        <f t="shared" si="331"/>
        <v>0</v>
      </c>
      <c r="CH200" s="25">
        <f>IFERROR(INDEX('2 Staff List'!LO$64:LO$114,$AH200),0)</f>
        <v>0</v>
      </c>
      <c r="CI200" s="25">
        <f>IFERROR(INDEX('2 Staff List'!LP$64:LP$114,$AH200),0)</f>
        <v>0</v>
      </c>
      <c r="CJ200" s="25">
        <f>IFERROR(INDEX('2 Staff List'!LQ$64:LQ$114,$AH200),0)</f>
        <v>0</v>
      </c>
      <c r="CK200" s="25">
        <f>IFERROR(INDEX('2 Staff List'!LR$64:LR$114,$AH200),0)</f>
        <v>0</v>
      </c>
      <c r="CL200" s="25">
        <f>IFERROR(INDEX('2 Staff List'!LS$64:LS$114,$AH200),0)</f>
        <v>0</v>
      </c>
      <c r="CM200" s="25">
        <f>IFERROR(INDEX('2 Staff List'!LT$64:LT$114,$AH200),0)</f>
        <v>0</v>
      </c>
      <c r="CN200" s="25">
        <f>IFERROR(INDEX('2 Staff List'!LU$64:LU$114,$AH200),0)</f>
        <v>0</v>
      </c>
      <c r="CO200" s="25">
        <f>IFERROR(INDEX('2 Staff List'!LV$64:LV$114,$AH200),0)</f>
        <v>0</v>
      </c>
      <c r="CP200" s="25">
        <f>IFERROR(INDEX('2 Staff List'!LW$64:LW$114,$AH200),0)</f>
        <v>0</v>
      </c>
      <c r="CQ200" s="25">
        <f>IFERROR(INDEX('2 Staff List'!LX$64:LX$114,$AH200),0)</f>
        <v>0</v>
      </c>
      <c r="CR200" s="25">
        <f t="shared" si="289"/>
        <v>0</v>
      </c>
      <c r="CS200" s="25">
        <f t="shared" si="332"/>
        <v>1</v>
      </c>
      <c r="CT200" s="25">
        <f t="shared" si="333"/>
        <v>1</v>
      </c>
      <c r="CU200" s="25">
        <f t="shared" si="334"/>
        <v>1</v>
      </c>
      <c r="CV200" s="25">
        <f t="shared" si="335"/>
        <v>1</v>
      </c>
      <c r="CW200" s="25">
        <f t="shared" si="336"/>
        <v>1</v>
      </c>
      <c r="CX200" s="25">
        <f t="shared" si="337"/>
        <v>0</v>
      </c>
      <c r="CY200" s="25">
        <f t="shared" si="338"/>
        <v>0</v>
      </c>
      <c r="CZ200" s="25">
        <f t="shared" si="339"/>
        <v>0</v>
      </c>
      <c r="DA200" s="25">
        <f t="shared" si="340"/>
        <v>1</v>
      </c>
      <c r="DB200" s="25">
        <f t="shared" si="290"/>
        <v>1</v>
      </c>
      <c r="DC200" s="25">
        <f t="shared" si="341"/>
        <v>0</v>
      </c>
      <c r="DD200" s="25">
        <f>IF(OR($AD200&lt;&gt;3,F200="Exclude"),0,IF(ISERROR(MATCH($E200,'4 Sign-off'!$S$123:$X$123,0)),0,1))</f>
        <v>0</v>
      </c>
      <c r="DE200" s="25">
        <f t="shared" si="291"/>
        <v>0</v>
      </c>
      <c r="DF200" s="25">
        <f t="shared" si="342"/>
        <v>0</v>
      </c>
      <c r="DG200" s="25" t="str">
        <f t="shared" si="343"/>
        <v/>
      </c>
      <c r="DH200" s="25">
        <f t="shared" si="344"/>
        <v>0</v>
      </c>
      <c r="DI200" s="25">
        <f t="shared" si="345"/>
        <v>0</v>
      </c>
      <c r="DJ200" s="25">
        <f>IF(ISBLANK(J200),0,ISERROR(MATCH(J200,'5  Control Accounts'!$FA$29:$FA$96,0))*1)</f>
        <v>0</v>
      </c>
      <c r="DK200" s="25">
        <f t="shared" si="346"/>
        <v>0</v>
      </c>
      <c r="DL200" s="25">
        <f t="shared" si="292"/>
        <v>-1</v>
      </c>
      <c r="DM200" s="25" t="e">
        <f t="array" ref="DM200">MATCH(1,($EG200:$JD200&gt;0)*$EG$17:$JD$17,0)</f>
        <v>#N/A</v>
      </c>
      <c r="DN200" s="25" t="e">
        <f t="shared" si="293"/>
        <v>#N/A</v>
      </c>
      <c r="DO200" s="25" t="e">
        <f t="array" ref="DO200">MATCH(2,1/(EG200:JD200&gt;0))</f>
        <v>#N/A</v>
      </c>
      <c r="DP200" s="2993">
        <f t="shared" si="347"/>
        <v>0</v>
      </c>
      <c r="DQ200" s="3037">
        <f t="shared" si="348"/>
        <v>0</v>
      </c>
      <c r="DR200" s="111"/>
      <c r="DS200" s="1268">
        <f t="shared" si="282"/>
        <v>0</v>
      </c>
      <c r="DT200" s="1825"/>
      <c r="DU200" s="1826"/>
      <c r="DV200" s="1827"/>
      <c r="DW200" s="1828"/>
      <c r="DX200" s="659"/>
      <c r="DY200" s="1265"/>
      <c r="DZ200" s="1785">
        <f t="shared" si="294"/>
        <v>0</v>
      </c>
      <c r="EA200" s="1786">
        <f t="shared" si="295"/>
        <v>0</v>
      </c>
      <c r="EB200" s="1781">
        <f t="shared" si="296"/>
        <v>0</v>
      </c>
      <c r="EC200" s="1782">
        <f t="shared" si="297"/>
        <v>0</v>
      </c>
      <c r="ED200" s="1262"/>
      <c r="EE200" s="2280"/>
      <c r="EF200" s="1802"/>
      <c r="EG200" s="167"/>
      <c r="EH200" s="168"/>
      <c r="EI200" s="168"/>
      <c r="EJ200" s="168"/>
      <c r="EK200" s="168"/>
      <c r="EL200" s="168"/>
      <c r="EM200" s="168"/>
      <c r="EN200" s="168"/>
      <c r="EO200" s="168"/>
      <c r="EP200" s="168"/>
      <c r="EQ200" s="168"/>
      <c r="ER200" s="168"/>
      <c r="ES200" s="168"/>
      <c r="ET200" s="168"/>
      <c r="EU200" s="168"/>
      <c r="EV200" s="168"/>
      <c r="EW200" s="168"/>
      <c r="EX200" s="168"/>
      <c r="EY200" s="168"/>
      <c r="EZ200" s="168"/>
      <c r="FA200" s="168"/>
      <c r="FB200" s="168"/>
      <c r="FC200" s="168"/>
      <c r="FD200" s="168"/>
      <c r="FE200" s="168"/>
      <c r="FF200" s="168"/>
      <c r="FG200" s="168"/>
      <c r="FH200" s="168"/>
      <c r="FI200" s="168"/>
      <c r="FJ200" s="168"/>
      <c r="FK200" s="168"/>
      <c r="FL200" s="168"/>
      <c r="FM200" s="168"/>
      <c r="FN200" s="168"/>
      <c r="FO200" s="168"/>
      <c r="FP200" s="168"/>
      <c r="FQ200" s="168"/>
      <c r="FR200" s="168"/>
      <c r="FS200" s="168"/>
      <c r="FT200" s="168"/>
      <c r="FU200" s="168"/>
      <c r="FV200" s="168"/>
      <c r="FW200" s="168"/>
      <c r="FX200" s="168"/>
      <c r="FY200" s="168"/>
      <c r="FZ200" s="168"/>
      <c r="GA200" s="168"/>
      <c r="GB200" s="168"/>
      <c r="GC200" s="168"/>
      <c r="GD200" s="168"/>
      <c r="GE200" s="168"/>
      <c r="GF200" s="168"/>
      <c r="GG200" s="168"/>
      <c r="GH200" s="168"/>
      <c r="GI200" s="168"/>
      <c r="GJ200" s="168"/>
      <c r="GK200" s="168"/>
      <c r="GL200" s="168"/>
      <c r="GM200" s="168"/>
      <c r="GN200" s="168"/>
      <c r="GO200" s="168"/>
      <c r="GP200" s="168"/>
      <c r="GQ200" s="168"/>
      <c r="GR200" s="168"/>
      <c r="GS200" s="168"/>
      <c r="GT200" s="168"/>
      <c r="GU200" s="168"/>
      <c r="GV200" s="168"/>
      <c r="GW200" s="168"/>
      <c r="GX200" s="168"/>
      <c r="GY200" s="168"/>
      <c r="GZ200" s="168"/>
      <c r="HA200" s="168"/>
      <c r="HB200" s="168"/>
      <c r="HC200" s="168"/>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606"/>
      <c r="JD200" s="609"/>
      <c r="JE200" s="1"/>
      <c r="JF200" s="1"/>
    </row>
    <row r="201" spans="1:266" s="2" customFormat="1" ht="15" customHeight="1" x14ac:dyDescent="0.25">
      <c r="A201" s="283"/>
      <c r="B201" s="303"/>
      <c r="C201" s="301"/>
      <c r="D201" s="638"/>
      <c r="E201" s="2298"/>
      <c r="F201" s="1812"/>
      <c r="G201" s="3342"/>
      <c r="H201" s="66"/>
      <c r="I201" s="1746"/>
      <c r="J201" s="86"/>
      <c r="K201" s="105"/>
      <c r="L201" s="91"/>
      <c r="M201" s="92"/>
      <c r="N201" s="93"/>
      <c r="O201" s="94"/>
      <c r="P201" s="96"/>
      <c r="Q201" s="95"/>
      <c r="R201" s="993">
        <f t="shared" si="284"/>
        <v>0</v>
      </c>
      <c r="S201" s="23">
        <f t="shared" si="298"/>
        <v>0</v>
      </c>
      <c r="T201" s="24">
        <f t="shared" si="299"/>
        <v>0</v>
      </c>
      <c r="U201" s="24">
        <f t="shared" si="300"/>
        <v>0</v>
      </c>
      <c r="V201" s="24">
        <f t="shared" si="301"/>
        <v>0</v>
      </c>
      <c r="W201" s="24">
        <f t="shared" si="302"/>
        <v>0</v>
      </c>
      <c r="X201" s="72">
        <f t="shared" si="303"/>
        <v>0</v>
      </c>
      <c r="Y201" s="72">
        <f t="shared" si="304"/>
        <v>0</v>
      </c>
      <c r="Z201" s="24">
        <f t="shared" si="285"/>
        <v>0</v>
      </c>
      <c r="AA201" s="72">
        <f t="shared" si="305"/>
        <v>0</v>
      </c>
      <c r="AB201" s="24">
        <f t="shared" si="306"/>
        <v>0</v>
      </c>
      <c r="AC201" s="24" t="s">
        <v>5</v>
      </c>
      <c r="AD201" s="25">
        <f t="shared" si="286"/>
        <v>3</v>
      </c>
      <c r="AE201" s="25">
        <f t="shared" si="287"/>
        <v>0</v>
      </c>
      <c r="AF201" s="25">
        <f t="shared" si="288"/>
        <v>0</v>
      </c>
      <c r="AG201" s="25">
        <f t="shared" si="307"/>
        <v>1</v>
      </c>
      <c r="AH201" s="25" t="str">
        <f>IFERROR(MATCH(DY201,'2 Staff List'!$IA$64:$IA$114,0),"x")</f>
        <v>x</v>
      </c>
      <c r="AI201" s="1181">
        <f>IFERROR(INDEX('2 Staff List'!$EX$64:$EX$114,$AH201),0)</f>
        <v>0</v>
      </c>
      <c r="AJ201" s="25">
        <f>IFERROR(INDEX('2 Staff List'!$IW$64:$IW$114,$AH201),0)</f>
        <v>0</v>
      </c>
      <c r="AK201" s="25">
        <f>IFERROR(INDEX('2 Staff List'!$IB$64:$IB$114,$AH201),0)</f>
        <v>0</v>
      </c>
      <c r="AL201" s="25">
        <f>IF(OR(NOT(ISBLANK(DV201)),CX201=1),"&lt;Non-Labor&gt;",IFERROR(IF(AH201=0,0,INDEX('2 Staff List'!$HZ$64:$HZ$114,$AH201)),0))</f>
        <v>0</v>
      </c>
      <c r="AM201" s="25">
        <f>IFERROR(INDEX('2 Staff List'!$HW$64:$HW$114,$AH201),0)</f>
        <v>0</v>
      </c>
      <c r="AN201" s="25">
        <f t="shared" si="308"/>
        <v>1</v>
      </c>
      <c r="AO201" s="25">
        <f>IF($AO$127=0,0,IFERROR(INDEX('2 Staff List'!$JH$64:$JH$114,$AH201),0))</f>
        <v>0</v>
      </c>
      <c r="AP201" s="25">
        <f>IFERROR(INDEX('2 Staff List'!$HU$64:$HU$114,$AH201),0)</f>
        <v>0</v>
      </c>
      <c r="AQ201" s="25">
        <f t="shared" si="309"/>
        <v>0</v>
      </c>
      <c r="AR201" s="25">
        <f t="shared" si="310"/>
        <v>0</v>
      </c>
      <c r="AS201" s="25">
        <f t="shared" si="311"/>
        <v>0</v>
      </c>
      <c r="AT201" s="25">
        <f t="shared" si="312"/>
        <v>0</v>
      </c>
      <c r="AU201" s="25">
        <f t="shared" si="313"/>
        <v>0</v>
      </c>
      <c r="AV201" s="25">
        <f t="shared" si="314"/>
        <v>0</v>
      </c>
      <c r="AW201" s="25">
        <f t="shared" si="315"/>
        <v>0</v>
      </c>
      <c r="AX201" s="25">
        <f t="shared" si="316"/>
        <v>0</v>
      </c>
      <c r="AY201" s="25">
        <f t="shared" si="317"/>
        <v>0</v>
      </c>
      <c r="AZ201" s="25">
        <f t="shared" si="318"/>
        <v>0</v>
      </c>
      <c r="BA201" s="25">
        <f t="shared" si="319"/>
        <v>0</v>
      </c>
      <c r="BB201" s="25">
        <f t="shared" si="320"/>
        <v>0</v>
      </c>
      <c r="BC201" s="25">
        <f>IFERROR(INDEX('2 Staff List'!KS$64:KS$114,$AH201),0)</f>
        <v>0</v>
      </c>
      <c r="BD201" s="25">
        <f>IFERROR(INDEX('2 Staff List'!KT$64:KT$114,$AH201),0)</f>
        <v>0</v>
      </c>
      <c r="BE201" s="25">
        <f>IFERROR(INDEX('2 Staff List'!KU$64:KU$114,$AH201),0)</f>
        <v>0</v>
      </c>
      <c r="BF201" s="25">
        <f>IFERROR(INDEX('2 Staff List'!KV$64:KV$114,$AH201),0)</f>
        <v>0</v>
      </c>
      <c r="BG201" s="25">
        <f>IFERROR(INDEX('2 Staff List'!KW$64:KW$114,$AH201),0)</f>
        <v>0</v>
      </c>
      <c r="BH201" s="25">
        <f>IFERROR(INDEX('2 Staff List'!KX$64:KX$114,$AH201),0)</f>
        <v>0</v>
      </c>
      <c r="BI201" s="25">
        <f>IFERROR(INDEX('2 Staff List'!KY$64:KY$114,$AH201),0)</f>
        <v>0</v>
      </c>
      <c r="BJ201" s="25">
        <f>IFERROR(INDEX('2 Staff List'!KZ$64:KZ$114,$AH201),0)</f>
        <v>0</v>
      </c>
      <c r="BK201" s="25">
        <f>IFERROR(INDEX('2 Staff List'!LA$64:LA$114,$AH201),0)</f>
        <v>0</v>
      </c>
      <c r="BL201" s="25">
        <f>IFERROR(INDEX('2 Staff List'!LB$64:LB$114,$AH201),0)</f>
        <v>0</v>
      </c>
      <c r="BM201" s="25">
        <f>IFERROR(INDEX('2 Staff List'!FT$64:FT$114,$AH201),0)</f>
        <v>0</v>
      </c>
      <c r="BN201" s="25">
        <f>IFERROR(INDEX('2 Staff List'!FU$64:FU$114,$AH201),0)</f>
        <v>0</v>
      </c>
      <c r="BO201" s="25">
        <f>IFERROR(INDEX('2 Staff List'!FV$64:FV$114,$AH201),0)</f>
        <v>0</v>
      </c>
      <c r="BP201" s="25">
        <f>IFERROR(INDEX('2 Staff List'!FW$64:FW$114,$AH201),0)</f>
        <v>0</v>
      </c>
      <c r="BQ201" s="25">
        <f>IFERROR(INDEX('2 Staff List'!FX$64:FX$114,$AH201),0)</f>
        <v>0</v>
      </c>
      <c r="BR201" s="25">
        <f>IFERROR(INDEX('2 Staff List'!FY$64:FY$114,$AH201),0)</f>
        <v>0</v>
      </c>
      <c r="BS201" s="25">
        <f>IFERROR(INDEX('2 Staff List'!FZ$64:FZ$114,$AH201),0)</f>
        <v>0</v>
      </c>
      <c r="BT201" s="25">
        <f>IFERROR(INDEX('2 Staff List'!GA$64:GA$114,$AH201),0)</f>
        <v>0</v>
      </c>
      <c r="BU201" s="25">
        <f>IFERROR(INDEX('2 Staff List'!GB$64:GB$114,$AH201),0)</f>
        <v>0</v>
      </c>
      <c r="BV201" s="25">
        <f>IFERROR(INDEX('2 Staff List'!GC$64:GC$114,$AH201),0)</f>
        <v>0</v>
      </c>
      <c r="BW201" s="25">
        <f t="shared" si="321"/>
        <v>0</v>
      </c>
      <c r="BX201" s="25">
        <f t="shared" si="322"/>
        <v>0</v>
      </c>
      <c r="BY201" s="25">
        <f t="shared" si="323"/>
        <v>0</v>
      </c>
      <c r="BZ201" s="25">
        <f t="shared" si="324"/>
        <v>0</v>
      </c>
      <c r="CA201" s="25">
        <f t="shared" si="325"/>
        <v>0</v>
      </c>
      <c r="CB201" s="25">
        <f t="shared" si="326"/>
        <v>0</v>
      </c>
      <c r="CC201" s="25">
        <f t="shared" si="327"/>
        <v>0</v>
      </c>
      <c r="CD201" s="25">
        <f t="shared" si="328"/>
        <v>0</v>
      </c>
      <c r="CE201" s="25">
        <f t="shared" si="329"/>
        <v>0</v>
      </c>
      <c r="CF201" s="25">
        <f t="shared" si="330"/>
        <v>0</v>
      </c>
      <c r="CG201" s="25">
        <f t="shared" si="331"/>
        <v>0</v>
      </c>
      <c r="CH201" s="25">
        <f>IFERROR(INDEX('2 Staff List'!LO$64:LO$114,$AH201),0)</f>
        <v>0</v>
      </c>
      <c r="CI201" s="25">
        <f>IFERROR(INDEX('2 Staff List'!LP$64:LP$114,$AH201),0)</f>
        <v>0</v>
      </c>
      <c r="CJ201" s="25">
        <f>IFERROR(INDEX('2 Staff List'!LQ$64:LQ$114,$AH201),0)</f>
        <v>0</v>
      </c>
      <c r="CK201" s="25">
        <f>IFERROR(INDEX('2 Staff List'!LR$64:LR$114,$AH201),0)</f>
        <v>0</v>
      </c>
      <c r="CL201" s="25">
        <f>IFERROR(INDEX('2 Staff List'!LS$64:LS$114,$AH201),0)</f>
        <v>0</v>
      </c>
      <c r="CM201" s="25">
        <f>IFERROR(INDEX('2 Staff List'!LT$64:LT$114,$AH201),0)</f>
        <v>0</v>
      </c>
      <c r="CN201" s="25">
        <f>IFERROR(INDEX('2 Staff List'!LU$64:LU$114,$AH201),0)</f>
        <v>0</v>
      </c>
      <c r="CO201" s="25">
        <f>IFERROR(INDEX('2 Staff List'!LV$64:LV$114,$AH201),0)</f>
        <v>0</v>
      </c>
      <c r="CP201" s="25">
        <f>IFERROR(INDEX('2 Staff List'!LW$64:LW$114,$AH201),0)</f>
        <v>0</v>
      </c>
      <c r="CQ201" s="25">
        <f>IFERROR(INDEX('2 Staff List'!LX$64:LX$114,$AH201),0)</f>
        <v>0</v>
      </c>
      <c r="CR201" s="25">
        <f t="shared" si="289"/>
        <v>0</v>
      </c>
      <c r="CS201" s="25">
        <f t="shared" si="283"/>
        <v>1</v>
      </c>
      <c r="CT201" s="25">
        <f t="shared" si="333"/>
        <v>1</v>
      </c>
      <c r="CU201" s="25">
        <f t="shared" si="334"/>
        <v>1</v>
      </c>
      <c r="CV201" s="25">
        <f t="shared" si="335"/>
        <v>1</v>
      </c>
      <c r="CW201" s="25">
        <f t="shared" si="336"/>
        <v>1</v>
      </c>
      <c r="CX201" s="25">
        <f t="shared" si="337"/>
        <v>0</v>
      </c>
      <c r="CY201" s="25">
        <f t="shared" si="338"/>
        <v>0</v>
      </c>
      <c r="CZ201" s="25">
        <f t="shared" si="339"/>
        <v>0</v>
      </c>
      <c r="DA201" s="25">
        <f t="shared" si="340"/>
        <v>1</v>
      </c>
      <c r="DB201" s="25">
        <f t="shared" si="290"/>
        <v>1</v>
      </c>
      <c r="DC201" s="25">
        <f t="shared" si="341"/>
        <v>0</v>
      </c>
      <c r="DD201" s="25">
        <f>IF(OR($AD201&lt;&gt;3,F201="Exclude"),0,IF(ISERROR(MATCH($E201,'4 Sign-off'!$S$123:$X$123,0)),0,1))</f>
        <v>0</v>
      </c>
      <c r="DE201" s="25">
        <f t="shared" si="291"/>
        <v>0</v>
      </c>
      <c r="DF201" s="25">
        <f t="shared" si="342"/>
        <v>0</v>
      </c>
      <c r="DG201" s="25" t="str">
        <f t="shared" si="343"/>
        <v/>
      </c>
      <c r="DH201" s="25">
        <f t="shared" si="344"/>
        <v>0</v>
      </c>
      <c r="DI201" s="25">
        <f t="shared" si="345"/>
        <v>0</v>
      </c>
      <c r="DJ201" s="25">
        <f>IF(ISBLANK(J201),0,ISERROR(MATCH(J201,'5  Control Accounts'!$FA$29:$FA$96,0))*1)</f>
        <v>0</v>
      </c>
      <c r="DK201" s="25">
        <f t="shared" si="346"/>
        <v>0</v>
      </c>
      <c r="DL201" s="25">
        <f t="shared" si="292"/>
        <v>-1</v>
      </c>
      <c r="DM201" s="25" t="e">
        <f t="array" ref="DM201">MATCH(1,($EG201:$JD201&gt;0)*$EG$17:$JD$17,0)</f>
        <v>#N/A</v>
      </c>
      <c r="DN201" s="25" t="e">
        <f t="shared" si="293"/>
        <v>#N/A</v>
      </c>
      <c r="DO201" s="25" t="e">
        <f t="array" ref="DO201">MATCH(2,1/(EG201:JD201&gt;0))</f>
        <v>#N/A</v>
      </c>
      <c r="DP201" s="2993">
        <f t="shared" si="347"/>
        <v>0</v>
      </c>
      <c r="DQ201" s="3037">
        <f t="shared" si="348"/>
        <v>0</v>
      </c>
      <c r="DR201" s="111"/>
      <c r="DS201" s="1268">
        <f t="shared" si="282"/>
        <v>0</v>
      </c>
      <c r="DT201" s="1825"/>
      <c r="DU201" s="1826"/>
      <c r="DV201" s="1827"/>
      <c r="DW201" s="1828"/>
      <c r="DX201" s="659"/>
      <c r="DY201" s="1265"/>
      <c r="DZ201" s="1785">
        <f t="shared" si="294"/>
        <v>0</v>
      </c>
      <c r="EA201" s="1786">
        <f t="shared" si="295"/>
        <v>0</v>
      </c>
      <c r="EB201" s="1781">
        <f t="shared" si="296"/>
        <v>0</v>
      </c>
      <c r="EC201" s="1782">
        <f t="shared" si="297"/>
        <v>0</v>
      </c>
      <c r="ED201" s="1262"/>
      <c r="EE201" s="2280"/>
      <c r="EF201" s="1802"/>
      <c r="EG201" s="167"/>
      <c r="EH201" s="168"/>
      <c r="EI201" s="168"/>
      <c r="EJ201" s="168"/>
      <c r="EK201" s="168"/>
      <c r="EL201" s="168"/>
      <c r="EM201" s="168"/>
      <c r="EN201" s="168"/>
      <c r="EO201" s="168"/>
      <c r="EP201" s="168"/>
      <c r="EQ201" s="168"/>
      <c r="ER201" s="168"/>
      <c r="ES201" s="168"/>
      <c r="ET201" s="168"/>
      <c r="EU201" s="168"/>
      <c r="EV201" s="168"/>
      <c r="EW201" s="168"/>
      <c r="EX201" s="168"/>
      <c r="EY201" s="168"/>
      <c r="EZ201" s="168"/>
      <c r="FA201" s="168"/>
      <c r="FB201" s="168"/>
      <c r="FC201" s="168"/>
      <c r="FD201" s="168"/>
      <c r="FE201" s="168"/>
      <c r="FF201" s="168"/>
      <c r="FG201" s="168"/>
      <c r="FH201" s="168"/>
      <c r="FI201" s="168"/>
      <c r="FJ201" s="168"/>
      <c r="FK201" s="168"/>
      <c r="FL201" s="168"/>
      <c r="FM201" s="168"/>
      <c r="FN201" s="168"/>
      <c r="FO201" s="168"/>
      <c r="FP201" s="168"/>
      <c r="FQ201" s="168"/>
      <c r="FR201" s="168"/>
      <c r="FS201" s="168"/>
      <c r="FT201" s="168"/>
      <c r="FU201" s="168"/>
      <c r="FV201" s="168"/>
      <c r="FW201" s="168"/>
      <c r="FX201" s="168"/>
      <c r="FY201" s="168"/>
      <c r="FZ201" s="168"/>
      <c r="GA201" s="168"/>
      <c r="GB201" s="168"/>
      <c r="GC201" s="168"/>
      <c r="GD201" s="168"/>
      <c r="GE201" s="168"/>
      <c r="GF201" s="168"/>
      <c r="GG201" s="168"/>
      <c r="GH201" s="168"/>
      <c r="GI201" s="168"/>
      <c r="GJ201" s="168"/>
      <c r="GK201" s="168"/>
      <c r="GL201" s="168"/>
      <c r="GM201" s="168"/>
      <c r="GN201" s="168"/>
      <c r="GO201" s="168"/>
      <c r="GP201" s="168"/>
      <c r="GQ201" s="168"/>
      <c r="GR201" s="168"/>
      <c r="GS201" s="168"/>
      <c r="GT201" s="168"/>
      <c r="GU201" s="168"/>
      <c r="GV201" s="168"/>
      <c r="GW201" s="168"/>
      <c r="GX201" s="168"/>
      <c r="GY201" s="168"/>
      <c r="GZ201" s="168"/>
      <c r="HA201" s="168"/>
      <c r="HB201" s="168"/>
      <c r="HC201" s="168"/>
      <c r="HD201" s="168"/>
      <c r="HE201" s="168"/>
      <c r="HF201" s="168"/>
      <c r="HG201" s="168"/>
      <c r="HH201" s="168"/>
      <c r="HI201" s="168"/>
      <c r="HJ201" s="168"/>
      <c r="HK201" s="168"/>
      <c r="HL201" s="168"/>
      <c r="HM201" s="168"/>
      <c r="HN201" s="168"/>
      <c r="HO201" s="168"/>
      <c r="HP201" s="168"/>
      <c r="HQ201" s="168"/>
      <c r="HR201" s="168"/>
      <c r="HS201" s="168"/>
      <c r="HT201" s="168"/>
      <c r="HU201" s="168"/>
      <c r="HV201" s="168"/>
      <c r="HW201" s="168"/>
      <c r="HX201" s="168"/>
      <c r="HY201" s="168"/>
      <c r="HZ201" s="168"/>
      <c r="IA201" s="168"/>
      <c r="IB201" s="168"/>
      <c r="IC201" s="168"/>
      <c r="ID201" s="168"/>
      <c r="IE201" s="168"/>
      <c r="IF201" s="168"/>
      <c r="IG201" s="168"/>
      <c r="IH201" s="168"/>
      <c r="II201" s="168"/>
      <c r="IJ201" s="168"/>
      <c r="IK201" s="168"/>
      <c r="IL201" s="168"/>
      <c r="IM201" s="168"/>
      <c r="IN201" s="168"/>
      <c r="IO201" s="168"/>
      <c r="IP201" s="168"/>
      <c r="IQ201" s="168"/>
      <c r="IR201" s="168"/>
      <c r="IS201" s="168"/>
      <c r="IT201" s="168"/>
      <c r="IU201" s="168"/>
      <c r="IV201" s="168"/>
      <c r="IW201" s="168"/>
      <c r="IX201" s="168"/>
      <c r="IY201" s="168"/>
      <c r="IZ201" s="168"/>
      <c r="JA201" s="168"/>
      <c r="JB201" s="168"/>
      <c r="JC201" s="606"/>
      <c r="JD201" s="609"/>
      <c r="JE201" s="1"/>
      <c r="JF201" s="1"/>
    </row>
    <row r="202" spans="1:266" s="2" customFormat="1" ht="15" customHeight="1" x14ac:dyDescent="0.25">
      <c r="A202" s="283"/>
      <c r="B202" s="303"/>
      <c r="C202" s="301"/>
      <c r="D202" s="638"/>
      <c r="E202" s="2298"/>
      <c r="F202" s="1812"/>
      <c r="G202" s="3342"/>
      <c r="H202" s="66"/>
      <c r="I202" s="1746"/>
      <c r="J202" s="86"/>
      <c r="K202" s="105"/>
      <c r="L202" s="91"/>
      <c r="M202" s="92"/>
      <c r="N202" s="93"/>
      <c r="O202" s="94"/>
      <c r="P202" s="96"/>
      <c r="Q202" s="95"/>
      <c r="R202" s="993">
        <f t="shared" si="284"/>
        <v>0</v>
      </c>
      <c r="S202" s="23">
        <f t="shared" si="298"/>
        <v>0</v>
      </c>
      <c r="T202" s="24">
        <f t="shared" si="299"/>
        <v>0</v>
      </c>
      <c r="U202" s="24">
        <f t="shared" si="300"/>
        <v>0</v>
      </c>
      <c r="V202" s="24">
        <f t="shared" si="301"/>
        <v>0</v>
      </c>
      <c r="W202" s="24">
        <f t="shared" si="302"/>
        <v>0</v>
      </c>
      <c r="X202" s="72">
        <f t="shared" si="303"/>
        <v>0</v>
      </c>
      <c r="Y202" s="72">
        <f t="shared" si="304"/>
        <v>0</v>
      </c>
      <c r="Z202" s="24">
        <f t="shared" si="285"/>
        <v>0</v>
      </c>
      <c r="AA202" s="72">
        <f t="shared" si="305"/>
        <v>0</v>
      </c>
      <c r="AB202" s="24">
        <f t="shared" si="306"/>
        <v>0</v>
      </c>
      <c r="AC202" s="24" t="s">
        <v>5</v>
      </c>
      <c r="AD202" s="25">
        <f t="shared" si="286"/>
        <v>3</v>
      </c>
      <c r="AE202" s="25">
        <f t="shared" si="287"/>
        <v>0</v>
      </c>
      <c r="AF202" s="25">
        <f t="shared" si="288"/>
        <v>0</v>
      </c>
      <c r="AG202" s="25">
        <f t="shared" si="307"/>
        <v>1</v>
      </c>
      <c r="AH202" s="25" t="str">
        <f>IFERROR(MATCH(DY202,'2 Staff List'!$IA$64:$IA$114,0),"x")</f>
        <v>x</v>
      </c>
      <c r="AI202" s="1181">
        <f>IFERROR(INDEX('2 Staff List'!$EX$64:$EX$114,$AH202),0)</f>
        <v>0</v>
      </c>
      <c r="AJ202" s="25">
        <f>IFERROR(INDEX('2 Staff List'!$IW$64:$IW$114,$AH202),0)</f>
        <v>0</v>
      </c>
      <c r="AK202" s="25">
        <f>IFERROR(INDEX('2 Staff List'!$IB$64:$IB$114,$AH202),0)</f>
        <v>0</v>
      </c>
      <c r="AL202" s="25">
        <f>IF(OR(NOT(ISBLANK(DV202)),CX202=1),"&lt;Non-Labor&gt;",IFERROR(IF(AH202=0,0,INDEX('2 Staff List'!$HZ$64:$HZ$114,$AH202)),0))</f>
        <v>0</v>
      </c>
      <c r="AM202" s="25">
        <f>IFERROR(INDEX('2 Staff List'!$HW$64:$HW$114,$AH202),0)</f>
        <v>0</v>
      </c>
      <c r="AN202" s="25">
        <f t="shared" si="308"/>
        <v>1</v>
      </c>
      <c r="AO202" s="25">
        <f>IF($AO$127=0,0,IFERROR(INDEX('2 Staff List'!$JH$64:$JH$114,$AH202),0))</f>
        <v>0</v>
      </c>
      <c r="AP202" s="25">
        <f>IFERROR(INDEX('2 Staff List'!$HU$64:$HU$114,$AH202),0)</f>
        <v>0</v>
      </c>
      <c r="AQ202" s="25">
        <f t="shared" si="309"/>
        <v>0</v>
      </c>
      <c r="AR202" s="25">
        <f t="shared" si="310"/>
        <v>0</v>
      </c>
      <c r="AS202" s="25">
        <f t="shared" si="311"/>
        <v>0</v>
      </c>
      <c r="AT202" s="25">
        <f t="shared" si="312"/>
        <v>0</v>
      </c>
      <c r="AU202" s="25">
        <f t="shared" si="313"/>
        <v>0</v>
      </c>
      <c r="AV202" s="25">
        <f t="shared" si="314"/>
        <v>0</v>
      </c>
      <c r="AW202" s="25">
        <f t="shared" si="315"/>
        <v>0</v>
      </c>
      <c r="AX202" s="25">
        <f t="shared" si="316"/>
        <v>0</v>
      </c>
      <c r="AY202" s="25">
        <f t="shared" si="317"/>
        <v>0</v>
      </c>
      <c r="AZ202" s="25">
        <f t="shared" si="318"/>
        <v>0</v>
      </c>
      <c r="BA202" s="25">
        <f t="shared" si="319"/>
        <v>0</v>
      </c>
      <c r="BB202" s="25">
        <f t="shared" si="320"/>
        <v>0</v>
      </c>
      <c r="BC202" s="25">
        <f>IFERROR(INDEX('2 Staff List'!KS$64:KS$114,$AH202),0)</f>
        <v>0</v>
      </c>
      <c r="BD202" s="25">
        <f>IFERROR(INDEX('2 Staff List'!KT$64:KT$114,$AH202),0)</f>
        <v>0</v>
      </c>
      <c r="BE202" s="25">
        <f>IFERROR(INDEX('2 Staff List'!KU$64:KU$114,$AH202),0)</f>
        <v>0</v>
      </c>
      <c r="BF202" s="25">
        <f>IFERROR(INDEX('2 Staff List'!KV$64:KV$114,$AH202),0)</f>
        <v>0</v>
      </c>
      <c r="BG202" s="25">
        <f>IFERROR(INDEX('2 Staff List'!KW$64:KW$114,$AH202),0)</f>
        <v>0</v>
      </c>
      <c r="BH202" s="25">
        <f>IFERROR(INDEX('2 Staff List'!KX$64:KX$114,$AH202),0)</f>
        <v>0</v>
      </c>
      <c r="BI202" s="25">
        <f>IFERROR(INDEX('2 Staff List'!KY$64:KY$114,$AH202),0)</f>
        <v>0</v>
      </c>
      <c r="BJ202" s="25">
        <f>IFERROR(INDEX('2 Staff List'!KZ$64:KZ$114,$AH202),0)</f>
        <v>0</v>
      </c>
      <c r="BK202" s="25">
        <f>IFERROR(INDEX('2 Staff List'!LA$64:LA$114,$AH202),0)</f>
        <v>0</v>
      </c>
      <c r="BL202" s="25">
        <f>IFERROR(INDEX('2 Staff List'!LB$64:LB$114,$AH202),0)</f>
        <v>0</v>
      </c>
      <c r="BM202" s="25">
        <f>IFERROR(INDEX('2 Staff List'!FT$64:FT$114,$AH202),0)</f>
        <v>0</v>
      </c>
      <c r="BN202" s="25">
        <f>IFERROR(INDEX('2 Staff List'!FU$64:FU$114,$AH202),0)</f>
        <v>0</v>
      </c>
      <c r="BO202" s="25">
        <f>IFERROR(INDEX('2 Staff List'!FV$64:FV$114,$AH202),0)</f>
        <v>0</v>
      </c>
      <c r="BP202" s="25">
        <f>IFERROR(INDEX('2 Staff List'!FW$64:FW$114,$AH202),0)</f>
        <v>0</v>
      </c>
      <c r="BQ202" s="25">
        <f>IFERROR(INDEX('2 Staff List'!FX$64:FX$114,$AH202),0)</f>
        <v>0</v>
      </c>
      <c r="BR202" s="25">
        <f>IFERROR(INDEX('2 Staff List'!FY$64:FY$114,$AH202),0)</f>
        <v>0</v>
      </c>
      <c r="BS202" s="25">
        <f>IFERROR(INDEX('2 Staff List'!FZ$64:FZ$114,$AH202),0)</f>
        <v>0</v>
      </c>
      <c r="BT202" s="25">
        <f>IFERROR(INDEX('2 Staff List'!GA$64:GA$114,$AH202),0)</f>
        <v>0</v>
      </c>
      <c r="BU202" s="25">
        <f>IFERROR(INDEX('2 Staff List'!GB$64:GB$114,$AH202),0)</f>
        <v>0</v>
      </c>
      <c r="BV202" s="25">
        <f>IFERROR(INDEX('2 Staff List'!GC$64:GC$114,$AH202),0)</f>
        <v>0</v>
      </c>
      <c r="BW202" s="25">
        <f t="shared" si="321"/>
        <v>0</v>
      </c>
      <c r="BX202" s="25">
        <f t="shared" si="322"/>
        <v>0</v>
      </c>
      <c r="BY202" s="25">
        <f t="shared" si="323"/>
        <v>0</v>
      </c>
      <c r="BZ202" s="25">
        <f t="shared" si="324"/>
        <v>0</v>
      </c>
      <c r="CA202" s="25">
        <f t="shared" si="325"/>
        <v>0</v>
      </c>
      <c r="CB202" s="25">
        <f t="shared" si="326"/>
        <v>0</v>
      </c>
      <c r="CC202" s="25">
        <f t="shared" si="327"/>
        <v>0</v>
      </c>
      <c r="CD202" s="25">
        <f t="shared" si="328"/>
        <v>0</v>
      </c>
      <c r="CE202" s="25">
        <f t="shared" si="329"/>
        <v>0</v>
      </c>
      <c r="CF202" s="25">
        <f t="shared" si="330"/>
        <v>0</v>
      </c>
      <c r="CG202" s="25">
        <f t="shared" si="331"/>
        <v>0</v>
      </c>
      <c r="CH202" s="25">
        <f>IFERROR(INDEX('2 Staff List'!LO$64:LO$114,$AH202),0)</f>
        <v>0</v>
      </c>
      <c r="CI202" s="25">
        <f>IFERROR(INDEX('2 Staff List'!LP$64:LP$114,$AH202),0)</f>
        <v>0</v>
      </c>
      <c r="CJ202" s="25">
        <f>IFERROR(INDEX('2 Staff List'!LQ$64:LQ$114,$AH202),0)</f>
        <v>0</v>
      </c>
      <c r="CK202" s="25">
        <f>IFERROR(INDEX('2 Staff List'!LR$64:LR$114,$AH202),0)</f>
        <v>0</v>
      </c>
      <c r="CL202" s="25">
        <f>IFERROR(INDEX('2 Staff List'!LS$64:LS$114,$AH202),0)</f>
        <v>0</v>
      </c>
      <c r="CM202" s="25">
        <f>IFERROR(INDEX('2 Staff List'!LT$64:LT$114,$AH202),0)</f>
        <v>0</v>
      </c>
      <c r="CN202" s="25">
        <f>IFERROR(INDEX('2 Staff List'!LU$64:LU$114,$AH202),0)</f>
        <v>0</v>
      </c>
      <c r="CO202" s="25">
        <f>IFERROR(INDEX('2 Staff List'!LV$64:LV$114,$AH202),0)</f>
        <v>0</v>
      </c>
      <c r="CP202" s="25">
        <f>IFERROR(INDEX('2 Staff List'!LW$64:LW$114,$AH202),0)</f>
        <v>0</v>
      </c>
      <c r="CQ202" s="25">
        <f>IFERROR(INDEX('2 Staff List'!LX$64:LX$114,$AH202),0)</f>
        <v>0</v>
      </c>
      <c r="CR202" s="25">
        <f t="shared" si="289"/>
        <v>0</v>
      </c>
      <c r="CS202" s="25">
        <f t="shared" ref="CS202:CS249" si="349">IFERROR(1/CR202,1)</f>
        <v>1</v>
      </c>
      <c r="CT202" s="25">
        <f t="shared" si="333"/>
        <v>1</v>
      </c>
      <c r="CU202" s="25">
        <f t="shared" si="334"/>
        <v>1</v>
      </c>
      <c r="CV202" s="25">
        <f t="shared" si="335"/>
        <v>1</v>
      </c>
      <c r="CW202" s="25">
        <f t="shared" si="336"/>
        <v>1</v>
      </c>
      <c r="CX202" s="25">
        <f t="shared" si="337"/>
        <v>0</v>
      </c>
      <c r="CY202" s="25">
        <f t="shared" si="338"/>
        <v>0</v>
      </c>
      <c r="CZ202" s="25">
        <f t="shared" si="339"/>
        <v>0</v>
      </c>
      <c r="DA202" s="25">
        <f t="shared" si="340"/>
        <v>1</v>
      </c>
      <c r="DB202" s="25">
        <f t="shared" si="290"/>
        <v>1</v>
      </c>
      <c r="DC202" s="25">
        <f t="shared" si="341"/>
        <v>0</v>
      </c>
      <c r="DD202" s="25">
        <f>IF(OR($AD202&lt;&gt;3,F202="Exclude"),0,IF(ISERROR(MATCH($E202,'4 Sign-off'!$S$123:$X$123,0)),0,1))</f>
        <v>0</v>
      </c>
      <c r="DE202" s="25">
        <f t="shared" si="291"/>
        <v>0</v>
      </c>
      <c r="DF202" s="25">
        <f t="shared" si="342"/>
        <v>0</v>
      </c>
      <c r="DG202" s="25" t="str">
        <f t="shared" si="343"/>
        <v/>
      </c>
      <c r="DH202" s="25">
        <f t="shared" si="344"/>
        <v>0</v>
      </c>
      <c r="DI202" s="25">
        <f t="shared" si="345"/>
        <v>0</v>
      </c>
      <c r="DJ202" s="25">
        <f>IF(ISBLANK(J202),0,ISERROR(MATCH(J202,'5  Control Accounts'!$FA$29:$FA$96,0))*1)</f>
        <v>0</v>
      </c>
      <c r="DK202" s="25">
        <f t="shared" si="346"/>
        <v>0</v>
      </c>
      <c r="DL202" s="25">
        <f t="shared" si="292"/>
        <v>-1</v>
      </c>
      <c r="DM202" s="25" t="e">
        <f t="array" ref="DM202">MATCH(1,($EG202:$JD202&gt;0)*$EG$17:$JD$17,0)</f>
        <v>#N/A</v>
      </c>
      <c r="DN202" s="25" t="e">
        <f t="shared" si="293"/>
        <v>#N/A</v>
      </c>
      <c r="DO202" s="25" t="e">
        <f t="array" ref="DO202">MATCH(2,1/(EG202:JD202&gt;0))</f>
        <v>#N/A</v>
      </c>
      <c r="DP202" s="2993">
        <f t="shared" si="347"/>
        <v>0</v>
      </c>
      <c r="DQ202" s="3037">
        <f t="shared" si="348"/>
        <v>0</v>
      </c>
      <c r="DR202" s="111"/>
      <c r="DS202" s="1268">
        <f t="shared" si="282"/>
        <v>0</v>
      </c>
      <c r="DT202" s="1825"/>
      <c r="DU202" s="1826"/>
      <c r="DV202" s="1827"/>
      <c r="DW202" s="1828"/>
      <c r="DX202" s="659"/>
      <c r="DY202" s="1265"/>
      <c r="DZ202" s="1785">
        <f t="shared" si="294"/>
        <v>0</v>
      </c>
      <c r="EA202" s="1786">
        <f t="shared" si="295"/>
        <v>0</v>
      </c>
      <c r="EB202" s="1781">
        <f t="shared" si="296"/>
        <v>0</v>
      </c>
      <c r="EC202" s="1782">
        <f t="shared" si="297"/>
        <v>0</v>
      </c>
      <c r="ED202" s="1262"/>
      <c r="EE202" s="2280"/>
      <c r="EF202" s="1802"/>
      <c r="EG202" s="167"/>
      <c r="EH202" s="168"/>
      <c r="EI202" s="168"/>
      <c r="EJ202" s="168"/>
      <c r="EK202" s="168"/>
      <c r="EL202" s="168"/>
      <c r="EM202" s="168"/>
      <c r="EN202" s="168"/>
      <c r="EO202" s="168"/>
      <c r="EP202" s="168"/>
      <c r="EQ202" s="168"/>
      <c r="ER202" s="168"/>
      <c r="ES202" s="168"/>
      <c r="ET202" s="168"/>
      <c r="EU202" s="168"/>
      <c r="EV202" s="168"/>
      <c r="EW202" s="168"/>
      <c r="EX202" s="168"/>
      <c r="EY202" s="168"/>
      <c r="EZ202" s="168"/>
      <c r="FA202" s="168"/>
      <c r="FB202" s="168"/>
      <c r="FC202" s="168"/>
      <c r="FD202" s="168"/>
      <c r="FE202" s="168"/>
      <c r="FF202" s="168"/>
      <c r="FG202" s="168"/>
      <c r="FH202" s="168"/>
      <c r="FI202" s="168"/>
      <c r="FJ202" s="168"/>
      <c r="FK202" s="168"/>
      <c r="FL202" s="168"/>
      <c r="FM202" s="168"/>
      <c r="FN202" s="168"/>
      <c r="FO202" s="168"/>
      <c r="FP202" s="168"/>
      <c r="FQ202" s="168"/>
      <c r="FR202" s="168"/>
      <c r="FS202" s="168"/>
      <c r="FT202" s="168"/>
      <c r="FU202" s="168"/>
      <c r="FV202" s="168"/>
      <c r="FW202" s="168"/>
      <c r="FX202" s="168"/>
      <c r="FY202" s="168"/>
      <c r="FZ202" s="168"/>
      <c r="GA202" s="168"/>
      <c r="GB202" s="168"/>
      <c r="GC202" s="168"/>
      <c r="GD202" s="168"/>
      <c r="GE202" s="168"/>
      <c r="GF202" s="168"/>
      <c r="GG202" s="168"/>
      <c r="GH202" s="168"/>
      <c r="GI202" s="168"/>
      <c r="GJ202" s="168"/>
      <c r="GK202" s="168"/>
      <c r="GL202" s="168"/>
      <c r="GM202" s="168"/>
      <c r="GN202" s="168"/>
      <c r="GO202" s="168"/>
      <c r="GP202" s="168"/>
      <c r="GQ202" s="168"/>
      <c r="GR202" s="168"/>
      <c r="GS202" s="168"/>
      <c r="GT202" s="168"/>
      <c r="GU202" s="168"/>
      <c r="GV202" s="168"/>
      <c r="GW202" s="168"/>
      <c r="GX202" s="168"/>
      <c r="GY202" s="168"/>
      <c r="GZ202" s="168"/>
      <c r="HA202" s="168"/>
      <c r="HB202" s="168"/>
      <c r="HC202" s="168"/>
      <c r="HD202" s="168"/>
      <c r="HE202" s="168"/>
      <c r="HF202" s="168"/>
      <c r="HG202" s="168"/>
      <c r="HH202" s="168"/>
      <c r="HI202" s="168"/>
      <c r="HJ202" s="168"/>
      <c r="HK202" s="168"/>
      <c r="HL202" s="168"/>
      <c r="HM202" s="168"/>
      <c r="HN202" s="168"/>
      <c r="HO202" s="168"/>
      <c r="HP202" s="168"/>
      <c r="HQ202" s="168"/>
      <c r="HR202" s="168"/>
      <c r="HS202" s="168"/>
      <c r="HT202" s="168"/>
      <c r="HU202" s="168"/>
      <c r="HV202" s="168"/>
      <c r="HW202" s="168"/>
      <c r="HX202" s="168"/>
      <c r="HY202" s="168"/>
      <c r="HZ202" s="168"/>
      <c r="IA202" s="168"/>
      <c r="IB202" s="168"/>
      <c r="IC202" s="168"/>
      <c r="ID202" s="168"/>
      <c r="IE202" s="168"/>
      <c r="IF202" s="168"/>
      <c r="IG202" s="168"/>
      <c r="IH202" s="168"/>
      <c r="II202" s="168"/>
      <c r="IJ202" s="168"/>
      <c r="IK202" s="168"/>
      <c r="IL202" s="168"/>
      <c r="IM202" s="168"/>
      <c r="IN202" s="168"/>
      <c r="IO202" s="168"/>
      <c r="IP202" s="168"/>
      <c r="IQ202" s="168"/>
      <c r="IR202" s="168"/>
      <c r="IS202" s="168"/>
      <c r="IT202" s="168"/>
      <c r="IU202" s="168"/>
      <c r="IV202" s="168"/>
      <c r="IW202" s="168"/>
      <c r="IX202" s="168"/>
      <c r="IY202" s="168"/>
      <c r="IZ202" s="168"/>
      <c r="JA202" s="168"/>
      <c r="JB202" s="168"/>
      <c r="JC202" s="606"/>
      <c r="JD202" s="609"/>
      <c r="JE202" s="1"/>
      <c r="JF202" s="1"/>
    </row>
    <row r="203" spans="1:266" s="2" customFormat="1" ht="15" customHeight="1" x14ac:dyDescent="0.25">
      <c r="A203" s="283"/>
      <c r="B203" s="303"/>
      <c r="C203" s="301"/>
      <c r="D203" s="638"/>
      <c r="E203" s="2298"/>
      <c r="F203" s="1812"/>
      <c r="G203" s="3342"/>
      <c r="H203" s="66"/>
      <c r="I203" s="1746"/>
      <c r="J203" s="86"/>
      <c r="K203" s="105"/>
      <c r="L203" s="91"/>
      <c r="M203" s="92"/>
      <c r="N203" s="93"/>
      <c r="O203" s="94"/>
      <c r="P203" s="96"/>
      <c r="Q203" s="95"/>
      <c r="R203" s="993">
        <f t="shared" si="284"/>
        <v>0</v>
      </c>
      <c r="S203" s="23">
        <f t="shared" si="298"/>
        <v>0</v>
      </c>
      <c r="T203" s="24">
        <f t="shared" si="299"/>
        <v>0</v>
      </c>
      <c r="U203" s="24">
        <f t="shared" si="300"/>
        <v>0</v>
      </c>
      <c r="V203" s="24">
        <f t="shared" si="301"/>
        <v>0</v>
      </c>
      <c r="W203" s="24">
        <f t="shared" si="302"/>
        <v>0</v>
      </c>
      <c r="X203" s="72">
        <f t="shared" si="303"/>
        <v>0</v>
      </c>
      <c r="Y203" s="72">
        <f t="shared" si="304"/>
        <v>0</v>
      </c>
      <c r="Z203" s="24">
        <f t="shared" si="285"/>
        <v>0</v>
      </c>
      <c r="AA203" s="72">
        <f t="shared" si="305"/>
        <v>0</v>
      </c>
      <c r="AB203" s="24">
        <f t="shared" si="306"/>
        <v>0</v>
      </c>
      <c r="AC203" s="24" t="s">
        <v>5</v>
      </c>
      <c r="AD203" s="25">
        <f t="shared" si="286"/>
        <v>3</v>
      </c>
      <c r="AE203" s="25">
        <f t="shared" si="287"/>
        <v>0</v>
      </c>
      <c r="AF203" s="25">
        <f t="shared" si="288"/>
        <v>0</v>
      </c>
      <c r="AG203" s="25">
        <f t="shared" si="307"/>
        <v>1</v>
      </c>
      <c r="AH203" s="25" t="str">
        <f>IFERROR(MATCH(DY203,'2 Staff List'!$IA$64:$IA$114,0),"x")</f>
        <v>x</v>
      </c>
      <c r="AI203" s="1181">
        <f>IFERROR(INDEX('2 Staff List'!$EX$64:$EX$114,$AH203),0)</f>
        <v>0</v>
      </c>
      <c r="AJ203" s="25">
        <f>IFERROR(INDEX('2 Staff List'!$IW$64:$IW$114,$AH203),0)</f>
        <v>0</v>
      </c>
      <c r="AK203" s="25">
        <f>IFERROR(INDEX('2 Staff List'!$IB$64:$IB$114,$AH203),0)</f>
        <v>0</v>
      </c>
      <c r="AL203" s="25">
        <f>IF(OR(NOT(ISBLANK(DV203)),CX203=1),"&lt;Non-Labor&gt;",IFERROR(IF(AH203=0,0,INDEX('2 Staff List'!$HZ$64:$HZ$114,$AH203)),0))</f>
        <v>0</v>
      </c>
      <c r="AM203" s="25">
        <f>IFERROR(INDEX('2 Staff List'!$HW$64:$HW$114,$AH203),0)</f>
        <v>0</v>
      </c>
      <c r="AN203" s="25">
        <f t="shared" si="308"/>
        <v>1</v>
      </c>
      <c r="AO203" s="25">
        <f>IF($AO$127=0,0,IFERROR(INDEX('2 Staff List'!$JH$64:$JH$114,$AH203),0))</f>
        <v>0</v>
      </c>
      <c r="AP203" s="25">
        <f>IFERROR(INDEX('2 Staff List'!$HU$64:$HU$114,$AH203),0)</f>
        <v>0</v>
      </c>
      <c r="AQ203" s="25">
        <f t="shared" si="309"/>
        <v>0</v>
      </c>
      <c r="AR203" s="25">
        <f t="shared" si="310"/>
        <v>0</v>
      </c>
      <c r="AS203" s="25">
        <f t="shared" si="311"/>
        <v>0</v>
      </c>
      <c r="AT203" s="25">
        <f t="shared" si="312"/>
        <v>0</v>
      </c>
      <c r="AU203" s="25">
        <f t="shared" si="313"/>
        <v>0</v>
      </c>
      <c r="AV203" s="25">
        <f t="shared" si="314"/>
        <v>0</v>
      </c>
      <c r="AW203" s="25">
        <f t="shared" si="315"/>
        <v>0</v>
      </c>
      <c r="AX203" s="25">
        <f t="shared" si="316"/>
        <v>0</v>
      </c>
      <c r="AY203" s="25">
        <f t="shared" si="317"/>
        <v>0</v>
      </c>
      <c r="AZ203" s="25">
        <f t="shared" si="318"/>
        <v>0</v>
      </c>
      <c r="BA203" s="25">
        <f t="shared" si="319"/>
        <v>0</v>
      </c>
      <c r="BB203" s="25">
        <f t="shared" si="320"/>
        <v>0</v>
      </c>
      <c r="BC203" s="25">
        <f>IFERROR(INDEX('2 Staff List'!KS$64:KS$114,$AH203),0)</f>
        <v>0</v>
      </c>
      <c r="BD203" s="25">
        <f>IFERROR(INDEX('2 Staff List'!KT$64:KT$114,$AH203),0)</f>
        <v>0</v>
      </c>
      <c r="BE203" s="25">
        <f>IFERROR(INDEX('2 Staff List'!KU$64:KU$114,$AH203),0)</f>
        <v>0</v>
      </c>
      <c r="BF203" s="25">
        <f>IFERROR(INDEX('2 Staff List'!KV$64:KV$114,$AH203),0)</f>
        <v>0</v>
      </c>
      <c r="BG203" s="25">
        <f>IFERROR(INDEX('2 Staff List'!KW$64:KW$114,$AH203),0)</f>
        <v>0</v>
      </c>
      <c r="BH203" s="25">
        <f>IFERROR(INDEX('2 Staff List'!KX$64:KX$114,$AH203),0)</f>
        <v>0</v>
      </c>
      <c r="BI203" s="25">
        <f>IFERROR(INDEX('2 Staff List'!KY$64:KY$114,$AH203),0)</f>
        <v>0</v>
      </c>
      <c r="BJ203" s="25">
        <f>IFERROR(INDEX('2 Staff List'!KZ$64:KZ$114,$AH203),0)</f>
        <v>0</v>
      </c>
      <c r="BK203" s="25">
        <f>IFERROR(INDEX('2 Staff List'!LA$64:LA$114,$AH203),0)</f>
        <v>0</v>
      </c>
      <c r="BL203" s="25">
        <f>IFERROR(INDEX('2 Staff List'!LB$64:LB$114,$AH203),0)</f>
        <v>0</v>
      </c>
      <c r="BM203" s="25">
        <f>IFERROR(INDEX('2 Staff List'!FT$64:FT$114,$AH203),0)</f>
        <v>0</v>
      </c>
      <c r="BN203" s="25">
        <f>IFERROR(INDEX('2 Staff List'!FU$64:FU$114,$AH203),0)</f>
        <v>0</v>
      </c>
      <c r="BO203" s="25">
        <f>IFERROR(INDEX('2 Staff List'!FV$64:FV$114,$AH203),0)</f>
        <v>0</v>
      </c>
      <c r="BP203" s="25">
        <f>IFERROR(INDEX('2 Staff List'!FW$64:FW$114,$AH203),0)</f>
        <v>0</v>
      </c>
      <c r="BQ203" s="25">
        <f>IFERROR(INDEX('2 Staff List'!FX$64:FX$114,$AH203),0)</f>
        <v>0</v>
      </c>
      <c r="BR203" s="25">
        <f>IFERROR(INDEX('2 Staff List'!FY$64:FY$114,$AH203),0)</f>
        <v>0</v>
      </c>
      <c r="BS203" s="25">
        <f>IFERROR(INDEX('2 Staff List'!FZ$64:FZ$114,$AH203),0)</f>
        <v>0</v>
      </c>
      <c r="BT203" s="25">
        <f>IFERROR(INDEX('2 Staff List'!GA$64:GA$114,$AH203),0)</f>
        <v>0</v>
      </c>
      <c r="BU203" s="25">
        <f>IFERROR(INDEX('2 Staff List'!GB$64:GB$114,$AH203),0)</f>
        <v>0</v>
      </c>
      <c r="BV203" s="25">
        <f>IFERROR(INDEX('2 Staff List'!GC$64:GC$114,$AH203),0)</f>
        <v>0</v>
      </c>
      <c r="BW203" s="25">
        <f t="shared" si="321"/>
        <v>0</v>
      </c>
      <c r="BX203" s="25">
        <f t="shared" si="322"/>
        <v>0</v>
      </c>
      <c r="BY203" s="25">
        <f t="shared" si="323"/>
        <v>0</v>
      </c>
      <c r="BZ203" s="25">
        <f t="shared" si="324"/>
        <v>0</v>
      </c>
      <c r="CA203" s="25">
        <f t="shared" si="325"/>
        <v>0</v>
      </c>
      <c r="CB203" s="25">
        <f t="shared" si="326"/>
        <v>0</v>
      </c>
      <c r="CC203" s="25">
        <f t="shared" si="327"/>
        <v>0</v>
      </c>
      <c r="CD203" s="25">
        <f t="shared" si="328"/>
        <v>0</v>
      </c>
      <c r="CE203" s="25">
        <f t="shared" si="329"/>
        <v>0</v>
      </c>
      <c r="CF203" s="25">
        <f t="shared" si="330"/>
        <v>0</v>
      </c>
      <c r="CG203" s="25">
        <f t="shared" si="331"/>
        <v>0</v>
      </c>
      <c r="CH203" s="25">
        <f>IFERROR(INDEX('2 Staff List'!LO$64:LO$114,$AH203),0)</f>
        <v>0</v>
      </c>
      <c r="CI203" s="25">
        <f>IFERROR(INDEX('2 Staff List'!LP$64:LP$114,$AH203),0)</f>
        <v>0</v>
      </c>
      <c r="CJ203" s="25">
        <f>IFERROR(INDEX('2 Staff List'!LQ$64:LQ$114,$AH203),0)</f>
        <v>0</v>
      </c>
      <c r="CK203" s="25">
        <f>IFERROR(INDEX('2 Staff List'!LR$64:LR$114,$AH203),0)</f>
        <v>0</v>
      </c>
      <c r="CL203" s="25">
        <f>IFERROR(INDEX('2 Staff List'!LS$64:LS$114,$AH203),0)</f>
        <v>0</v>
      </c>
      <c r="CM203" s="25">
        <f>IFERROR(INDEX('2 Staff List'!LT$64:LT$114,$AH203),0)</f>
        <v>0</v>
      </c>
      <c r="CN203" s="25">
        <f>IFERROR(INDEX('2 Staff List'!LU$64:LU$114,$AH203),0)</f>
        <v>0</v>
      </c>
      <c r="CO203" s="25">
        <f>IFERROR(INDEX('2 Staff List'!LV$64:LV$114,$AH203),0)</f>
        <v>0</v>
      </c>
      <c r="CP203" s="25">
        <f>IFERROR(INDEX('2 Staff List'!LW$64:LW$114,$AH203),0)</f>
        <v>0</v>
      </c>
      <c r="CQ203" s="25">
        <f>IFERROR(INDEX('2 Staff List'!LX$64:LX$114,$AH203),0)</f>
        <v>0</v>
      </c>
      <c r="CR203" s="25">
        <f t="shared" si="289"/>
        <v>0</v>
      </c>
      <c r="CS203" s="25">
        <f t="shared" si="349"/>
        <v>1</v>
      </c>
      <c r="CT203" s="25">
        <f t="shared" si="333"/>
        <v>1</v>
      </c>
      <c r="CU203" s="25">
        <f t="shared" si="334"/>
        <v>1</v>
      </c>
      <c r="CV203" s="25">
        <f t="shared" si="335"/>
        <v>1</v>
      </c>
      <c r="CW203" s="25">
        <f t="shared" si="336"/>
        <v>1</v>
      </c>
      <c r="CX203" s="25">
        <f t="shared" si="337"/>
        <v>0</v>
      </c>
      <c r="CY203" s="25">
        <f t="shared" si="338"/>
        <v>0</v>
      </c>
      <c r="CZ203" s="25">
        <f t="shared" si="339"/>
        <v>0</v>
      </c>
      <c r="DA203" s="25">
        <f t="shared" si="340"/>
        <v>1</v>
      </c>
      <c r="DB203" s="25">
        <f t="shared" si="290"/>
        <v>1</v>
      </c>
      <c r="DC203" s="25">
        <f t="shared" si="341"/>
        <v>0</v>
      </c>
      <c r="DD203" s="25">
        <f>IF(OR($AD203&lt;&gt;3,F203="Exclude"),0,IF(ISERROR(MATCH($E203,'4 Sign-off'!$S$123:$X$123,0)),0,1))</f>
        <v>0</v>
      </c>
      <c r="DE203" s="25">
        <f t="shared" si="291"/>
        <v>0</v>
      </c>
      <c r="DF203" s="25">
        <f t="shared" si="342"/>
        <v>0</v>
      </c>
      <c r="DG203" s="25" t="str">
        <f t="shared" si="343"/>
        <v/>
      </c>
      <c r="DH203" s="25">
        <f t="shared" si="344"/>
        <v>0</v>
      </c>
      <c r="DI203" s="25">
        <f t="shared" si="345"/>
        <v>0</v>
      </c>
      <c r="DJ203" s="25">
        <f>IF(ISBLANK(J203),0,ISERROR(MATCH(J203,'5  Control Accounts'!$FA$29:$FA$96,0))*1)</f>
        <v>0</v>
      </c>
      <c r="DK203" s="25">
        <f t="shared" si="346"/>
        <v>0</v>
      </c>
      <c r="DL203" s="25">
        <f t="shared" si="292"/>
        <v>-1</v>
      </c>
      <c r="DM203" s="25" t="e">
        <f t="array" ref="DM203">MATCH(1,($EG203:$JD203&gt;0)*$EG$17:$JD$17,0)</f>
        <v>#N/A</v>
      </c>
      <c r="DN203" s="25" t="e">
        <f t="shared" si="293"/>
        <v>#N/A</v>
      </c>
      <c r="DO203" s="25" t="e">
        <f t="array" ref="DO203">MATCH(2,1/(EG203:JD203&gt;0))</f>
        <v>#N/A</v>
      </c>
      <c r="DP203" s="2993">
        <f t="shared" si="347"/>
        <v>0</v>
      </c>
      <c r="DQ203" s="3037">
        <f t="shared" si="348"/>
        <v>0</v>
      </c>
      <c r="DR203" s="111"/>
      <c r="DS203" s="1268">
        <f t="shared" si="282"/>
        <v>0</v>
      </c>
      <c r="DT203" s="1825"/>
      <c r="DU203" s="1826"/>
      <c r="DV203" s="1827"/>
      <c r="DW203" s="1828"/>
      <c r="DX203" s="659"/>
      <c r="DY203" s="1265"/>
      <c r="DZ203" s="1785">
        <f t="shared" si="294"/>
        <v>0</v>
      </c>
      <c r="EA203" s="1786">
        <f t="shared" si="295"/>
        <v>0</v>
      </c>
      <c r="EB203" s="1781">
        <f t="shared" si="296"/>
        <v>0</v>
      </c>
      <c r="EC203" s="1782">
        <f t="shared" si="297"/>
        <v>0</v>
      </c>
      <c r="ED203" s="1262"/>
      <c r="EE203" s="2280"/>
      <c r="EF203" s="1802"/>
      <c r="EG203" s="167"/>
      <c r="EH203" s="168"/>
      <c r="EI203" s="168"/>
      <c r="EJ203" s="168"/>
      <c r="EK203" s="168"/>
      <c r="EL203" s="168"/>
      <c r="EM203" s="168"/>
      <c r="EN203" s="168"/>
      <c r="EO203" s="168"/>
      <c r="EP203" s="168"/>
      <c r="EQ203" s="168"/>
      <c r="ER203" s="168"/>
      <c r="ES203" s="168"/>
      <c r="ET203" s="168"/>
      <c r="EU203" s="168"/>
      <c r="EV203" s="168"/>
      <c r="EW203" s="168"/>
      <c r="EX203" s="168"/>
      <c r="EY203" s="168"/>
      <c r="EZ203" s="168"/>
      <c r="FA203" s="168"/>
      <c r="FB203" s="168"/>
      <c r="FC203" s="168"/>
      <c r="FD203" s="168"/>
      <c r="FE203" s="168"/>
      <c r="FF203" s="168"/>
      <c r="FG203" s="168"/>
      <c r="FH203" s="168"/>
      <c r="FI203" s="168"/>
      <c r="FJ203" s="168"/>
      <c r="FK203" s="168"/>
      <c r="FL203" s="168"/>
      <c r="FM203" s="168"/>
      <c r="FN203" s="168"/>
      <c r="FO203" s="168"/>
      <c r="FP203" s="168"/>
      <c r="FQ203" s="168"/>
      <c r="FR203" s="168"/>
      <c r="FS203" s="168"/>
      <c r="FT203" s="168"/>
      <c r="FU203" s="168"/>
      <c r="FV203" s="168"/>
      <c r="FW203" s="168"/>
      <c r="FX203" s="168"/>
      <c r="FY203" s="168"/>
      <c r="FZ203" s="168"/>
      <c r="GA203" s="168"/>
      <c r="GB203" s="168"/>
      <c r="GC203" s="168"/>
      <c r="GD203" s="168"/>
      <c r="GE203" s="168"/>
      <c r="GF203" s="168"/>
      <c r="GG203" s="168"/>
      <c r="GH203" s="168"/>
      <c r="GI203" s="168"/>
      <c r="GJ203" s="168"/>
      <c r="GK203" s="168"/>
      <c r="GL203" s="168"/>
      <c r="GM203" s="168"/>
      <c r="GN203" s="168"/>
      <c r="GO203" s="168"/>
      <c r="GP203" s="168"/>
      <c r="GQ203" s="168"/>
      <c r="GR203" s="168"/>
      <c r="GS203" s="168"/>
      <c r="GT203" s="168"/>
      <c r="GU203" s="168"/>
      <c r="GV203" s="168"/>
      <c r="GW203" s="168"/>
      <c r="GX203" s="168"/>
      <c r="GY203" s="168"/>
      <c r="GZ203" s="168"/>
      <c r="HA203" s="168"/>
      <c r="HB203" s="168"/>
      <c r="HC203" s="168"/>
      <c r="HD203" s="168"/>
      <c r="HE203" s="168"/>
      <c r="HF203" s="168"/>
      <c r="HG203" s="168"/>
      <c r="HH203" s="168"/>
      <c r="HI203" s="168"/>
      <c r="HJ203" s="168"/>
      <c r="HK203" s="168"/>
      <c r="HL203" s="168"/>
      <c r="HM203" s="168"/>
      <c r="HN203" s="168"/>
      <c r="HO203" s="168"/>
      <c r="HP203" s="168"/>
      <c r="HQ203" s="168"/>
      <c r="HR203" s="168"/>
      <c r="HS203" s="168"/>
      <c r="HT203" s="168"/>
      <c r="HU203" s="168"/>
      <c r="HV203" s="168"/>
      <c r="HW203" s="168"/>
      <c r="HX203" s="168"/>
      <c r="HY203" s="168"/>
      <c r="HZ203" s="168"/>
      <c r="IA203" s="168"/>
      <c r="IB203" s="168"/>
      <c r="IC203" s="168"/>
      <c r="ID203" s="168"/>
      <c r="IE203" s="168"/>
      <c r="IF203" s="168"/>
      <c r="IG203" s="168"/>
      <c r="IH203" s="168"/>
      <c r="II203" s="168"/>
      <c r="IJ203" s="168"/>
      <c r="IK203" s="168"/>
      <c r="IL203" s="168"/>
      <c r="IM203" s="168"/>
      <c r="IN203" s="168"/>
      <c r="IO203" s="168"/>
      <c r="IP203" s="168"/>
      <c r="IQ203" s="168"/>
      <c r="IR203" s="168"/>
      <c r="IS203" s="168"/>
      <c r="IT203" s="168"/>
      <c r="IU203" s="168"/>
      <c r="IV203" s="168"/>
      <c r="IW203" s="168"/>
      <c r="IX203" s="168"/>
      <c r="IY203" s="168"/>
      <c r="IZ203" s="168"/>
      <c r="JA203" s="168"/>
      <c r="JB203" s="168"/>
      <c r="JC203" s="606"/>
      <c r="JD203" s="609"/>
      <c r="JE203" s="1"/>
      <c r="JF203" s="1"/>
    </row>
    <row r="204" spans="1:266" s="2" customFormat="1" ht="15" customHeight="1" x14ac:dyDescent="0.25">
      <c r="A204" s="283"/>
      <c r="B204" s="303"/>
      <c r="C204" s="301"/>
      <c r="D204" s="638"/>
      <c r="E204" s="2298"/>
      <c r="F204" s="1812"/>
      <c r="G204" s="3342"/>
      <c r="H204" s="66"/>
      <c r="I204" s="1746"/>
      <c r="J204" s="86"/>
      <c r="K204" s="105"/>
      <c r="L204" s="91"/>
      <c r="M204" s="92"/>
      <c r="N204" s="93"/>
      <c r="O204" s="94"/>
      <c r="P204" s="96"/>
      <c r="Q204" s="95"/>
      <c r="R204" s="993">
        <f t="shared" si="284"/>
        <v>0</v>
      </c>
      <c r="S204" s="23">
        <f t="shared" si="298"/>
        <v>0</v>
      </c>
      <c r="T204" s="24">
        <f t="shared" si="299"/>
        <v>0</v>
      </c>
      <c r="U204" s="24">
        <f t="shared" si="300"/>
        <v>0</v>
      </c>
      <c r="V204" s="24">
        <f t="shared" si="301"/>
        <v>0</v>
      </c>
      <c r="W204" s="24">
        <f t="shared" si="302"/>
        <v>0</v>
      </c>
      <c r="X204" s="72">
        <f t="shared" si="303"/>
        <v>0</v>
      </c>
      <c r="Y204" s="72">
        <f t="shared" si="304"/>
        <v>0</v>
      </c>
      <c r="Z204" s="24">
        <f t="shared" si="285"/>
        <v>0</v>
      </c>
      <c r="AA204" s="72">
        <f t="shared" si="305"/>
        <v>0</v>
      </c>
      <c r="AB204" s="24">
        <f t="shared" si="306"/>
        <v>0</v>
      </c>
      <c r="AC204" s="24" t="s">
        <v>5</v>
      </c>
      <c r="AD204" s="25">
        <f t="shared" si="286"/>
        <v>3</v>
      </c>
      <c r="AE204" s="25">
        <f t="shared" si="287"/>
        <v>0</v>
      </c>
      <c r="AF204" s="25">
        <f t="shared" si="288"/>
        <v>0</v>
      </c>
      <c r="AG204" s="25">
        <f t="shared" si="307"/>
        <v>1</v>
      </c>
      <c r="AH204" s="25" t="str">
        <f>IFERROR(MATCH(DY204,'2 Staff List'!$IA$64:$IA$114,0),"x")</f>
        <v>x</v>
      </c>
      <c r="AI204" s="1181">
        <f>IFERROR(INDEX('2 Staff List'!$EX$64:$EX$114,$AH204),0)</f>
        <v>0</v>
      </c>
      <c r="AJ204" s="25">
        <f>IFERROR(INDEX('2 Staff List'!$IW$64:$IW$114,$AH204),0)</f>
        <v>0</v>
      </c>
      <c r="AK204" s="25">
        <f>IFERROR(INDEX('2 Staff List'!$IB$64:$IB$114,$AH204),0)</f>
        <v>0</v>
      </c>
      <c r="AL204" s="25">
        <f>IF(OR(NOT(ISBLANK(DV204)),CX204=1),"&lt;Non-Labor&gt;",IFERROR(IF(AH204=0,0,INDEX('2 Staff List'!$HZ$64:$HZ$114,$AH204)),0))</f>
        <v>0</v>
      </c>
      <c r="AM204" s="25">
        <f>IFERROR(INDEX('2 Staff List'!$HW$64:$HW$114,$AH204),0)</f>
        <v>0</v>
      </c>
      <c r="AN204" s="25">
        <f t="shared" si="308"/>
        <v>1</v>
      </c>
      <c r="AO204" s="25">
        <f>IF($AO$127=0,0,IFERROR(INDEX('2 Staff List'!$JH$64:$JH$114,$AH204),0))</f>
        <v>0</v>
      </c>
      <c r="AP204" s="25">
        <f>IFERROR(INDEX('2 Staff List'!$HU$64:$HU$114,$AH204),0)</f>
        <v>0</v>
      </c>
      <c r="AQ204" s="25">
        <f t="shared" si="309"/>
        <v>0</v>
      </c>
      <c r="AR204" s="25">
        <f t="shared" si="310"/>
        <v>0</v>
      </c>
      <c r="AS204" s="25">
        <f t="shared" si="311"/>
        <v>0</v>
      </c>
      <c r="AT204" s="25">
        <f t="shared" si="312"/>
        <v>0</v>
      </c>
      <c r="AU204" s="25">
        <f t="shared" si="313"/>
        <v>0</v>
      </c>
      <c r="AV204" s="25">
        <f t="shared" si="314"/>
        <v>0</v>
      </c>
      <c r="AW204" s="25">
        <f t="shared" si="315"/>
        <v>0</v>
      </c>
      <c r="AX204" s="25">
        <f t="shared" si="316"/>
        <v>0</v>
      </c>
      <c r="AY204" s="25">
        <f t="shared" si="317"/>
        <v>0</v>
      </c>
      <c r="AZ204" s="25">
        <f t="shared" si="318"/>
        <v>0</v>
      </c>
      <c r="BA204" s="25">
        <f t="shared" si="319"/>
        <v>0</v>
      </c>
      <c r="BB204" s="25">
        <f t="shared" si="320"/>
        <v>0</v>
      </c>
      <c r="BC204" s="25">
        <f>IFERROR(INDEX('2 Staff List'!KS$64:KS$114,$AH204),0)</f>
        <v>0</v>
      </c>
      <c r="BD204" s="25">
        <f>IFERROR(INDEX('2 Staff List'!KT$64:KT$114,$AH204),0)</f>
        <v>0</v>
      </c>
      <c r="BE204" s="25">
        <f>IFERROR(INDEX('2 Staff List'!KU$64:KU$114,$AH204),0)</f>
        <v>0</v>
      </c>
      <c r="BF204" s="25">
        <f>IFERROR(INDEX('2 Staff List'!KV$64:KV$114,$AH204),0)</f>
        <v>0</v>
      </c>
      <c r="BG204" s="25">
        <f>IFERROR(INDEX('2 Staff List'!KW$64:KW$114,$AH204),0)</f>
        <v>0</v>
      </c>
      <c r="BH204" s="25">
        <f>IFERROR(INDEX('2 Staff List'!KX$64:KX$114,$AH204),0)</f>
        <v>0</v>
      </c>
      <c r="BI204" s="25">
        <f>IFERROR(INDEX('2 Staff List'!KY$64:KY$114,$AH204),0)</f>
        <v>0</v>
      </c>
      <c r="BJ204" s="25">
        <f>IFERROR(INDEX('2 Staff List'!KZ$64:KZ$114,$AH204),0)</f>
        <v>0</v>
      </c>
      <c r="BK204" s="25">
        <f>IFERROR(INDEX('2 Staff List'!LA$64:LA$114,$AH204),0)</f>
        <v>0</v>
      </c>
      <c r="BL204" s="25">
        <f>IFERROR(INDEX('2 Staff List'!LB$64:LB$114,$AH204),0)</f>
        <v>0</v>
      </c>
      <c r="BM204" s="25">
        <f>IFERROR(INDEX('2 Staff List'!FT$64:FT$114,$AH204),0)</f>
        <v>0</v>
      </c>
      <c r="BN204" s="25">
        <f>IFERROR(INDEX('2 Staff List'!FU$64:FU$114,$AH204),0)</f>
        <v>0</v>
      </c>
      <c r="BO204" s="25">
        <f>IFERROR(INDEX('2 Staff List'!FV$64:FV$114,$AH204),0)</f>
        <v>0</v>
      </c>
      <c r="BP204" s="25">
        <f>IFERROR(INDEX('2 Staff List'!FW$64:FW$114,$AH204),0)</f>
        <v>0</v>
      </c>
      <c r="BQ204" s="25">
        <f>IFERROR(INDEX('2 Staff List'!FX$64:FX$114,$AH204),0)</f>
        <v>0</v>
      </c>
      <c r="BR204" s="25">
        <f>IFERROR(INDEX('2 Staff List'!FY$64:FY$114,$AH204),0)</f>
        <v>0</v>
      </c>
      <c r="BS204" s="25">
        <f>IFERROR(INDEX('2 Staff List'!FZ$64:FZ$114,$AH204),0)</f>
        <v>0</v>
      </c>
      <c r="BT204" s="25">
        <f>IFERROR(INDEX('2 Staff List'!GA$64:GA$114,$AH204),0)</f>
        <v>0</v>
      </c>
      <c r="BU204" s="25">
        <f>IFERROR(INDEX('2 Staff List'!GB$64:GB$114,$AH204),0)</f>
        <v>0</v>
      </c>
      <c r="BV204" s="25">
        <f>IFERROR(INDEX('2 Staff List'!GC$64:GC$114,$AH204),0)</f>
        <v>0</v>
      </c>
      <c r="BW204" s="25">
        <f t="shared" si="321"/>
        <v>0</v>
      </c>
      <c r="BX204" s="25">
        <f t="shared" si="322"/>
        <v>0</v>
      </c>
      <c r="BY204" s="25">
        <f t="shared" si="323"/>
        <v>0</v>
      </c>
      <c r="BZ204" s="25">
        <f t="shared" si="324"/>
        <v>0</v>
      </c>
      <c r="CA204" s="25">
        <f t="shared" si="325"/>
        <v>0</v>
      </c>
      <c r="CB204" s="25">
        <f t="shared" si="326"/>
        <v>0</v>
      </c>
      <c r="CC204" s="25">
        <f t="shared" si="327"/>
        <v>0</v>
      </c>
      <c r="CD204" s="25">
        <f t="shared" si="328"/>
        <v>0</v>
      </c>
      <c r="CE204" s="25">
        <f t="shared" si="329"/>
        <v>0</v>
      </c>
      <c r="CF204" s="25">
        <f t="shared" si="330"/>
        <v>0</v>
      </c>
      <c r="CG204" s="25">
        <f t="shared" si="331"/>
        <v>0</v>
      </c>
      <c r="CH204" s="25">
        <f>IFERROR(INDEX('2 Staff List'!LO$64:LO$114,$AH204),0)</f>
        <v>0</v>
      </c>
      <c r="CI204" s="25">
        <f>IFERROR(INDEX('2 Staff List'!LP$64:LP$114,$AH204),0)</f>
        <v>0</v>
      </c>
      <c r="CJ204" s="25">
        <f>IFERROR(INDEX('2 Staff List'!LQ$64:LQ$114,$AH204),0)</f>
        <v>0</v>
      </c>
      <c r="CK204" s="25">
        <f>IFERROR(INDEX('2 Staff List'!LR$64:LR$114,$AH204),0)</f>
        <v>0</v>
      </c>
      <c r="CL204" s="25">
        <f>IFERROR(INDEX('2 Staff List'!LS$64:LS$114,$AH204),0)</f>
        <v>0</v>
      </c>
      <c r="CM204" s="25">
        <f>IFERROR(INDEX('2 Staff List'!LT$64:LT$114,$AH204),0)</f>
        <v>0</v>
      </c>
      <c r="CN204" s="25">
        <f>IFERROR(INDEX('2 Staff List'!LU$64:LU$114,$AH204),0)</f>
        <v>0</v>
      </c>
      <c r="CO204" s="25">
        <f>IFERROR(INDEX('2 Staff List'!LV$64:LV$114,$AH204),0)</f>
        <v>0</v>
      </c>
      <c r="CP204" s="25">
        <f>IFERROR(INDEX('2 Staff List'!LW$64:LW$114,$AH204),0)</f>
        <v>0</v>
      </c>
      <c r="CQ204" s="25">
        <f>IFERROR(INDEX('2 Staff List'!LX$64:LX$114,$AH204),0)</f>
        <v>0</v>
      </c>
      <c r="CR204" s="25">
        <f t="shared" si="289"/>
        <v>0</v>
      </c>
      <c r="CS204" s="25">
        <f t="shared" si="349"/>
        <v>1</v>
      </c>
      <c r="CT204" s="25">
        <f t="shared" si="333"/>
        <v>1</v>
      </c>
      <c r="CU204" s="25">
        <f t="shared" si="334"/>
        <v>1</v>
      </c>
      <c r="CV204" s="25">
        <f t="shared" si="335"/>
        <v>1</v>
      </c>
      <c r="CW204" s="25">
        <f t="shared" si="336"/>
        <v>1</v>
      </c>
      <c r="CX204" s="25">
        <f t="shared" si="337"/>
        <v>0</v>
      </c>
      <c r="CY204" s="25">
        <f t="shared" si="338"/>
        <v>0</v>
      </c>
      <c r="CZ204" s="25">
        <f t="shared" si="339"/>
        <v>0</v>
      </c>
      <c r="DA204" s="25">
        <f t="shared" si="340"/>
        <v>1</v>
      </c>
      <c r="DB204" s="25">
        <f t="shared" si="290"/>
        <v>1</v>
      </c>
      <c r="DC204" s="25">
        <f t="shared" si="341"/>
        <v>0</v>
      </c>
      <c r="DD204" s="25">
        <f>IF(OR($AD204&lt;&gt;3,F204="Exclude"),0,IF(ISERROR(MATCH($E204,'4 Sign-off'!$S$123:$X$123,0)),0,1))</f>
        <v>0</v>
      </c>
      <c r="DE204" s="25">
        <f t="shared" si="291"/>
        <v>0</v>
      </c>
      <c r="DF204" s="25">
        <f t="shared" si="342"/>
        <v>0</v>
      </c>
      <c r="DG204" s="25" t="str">
        <f t="shared" si="343"/>
        <v/>
      </c>
      <c r="DH204" s="25">
        <f t="shared" si="344"/>
        <v>0</v>
      </c>
      <c r="DI204" s="25">
        <f t="shared" si="345"/>
        <v>0</v>
      </c>
      <c r="DJ204" s="25">
        <f>IF(ISBLANK(J204),0,ISERROR(MATCH(J204,'5  Control Accounts'!$FA$29:$FA$96,0))*1)</f>
        <v>0</v>
      </c>
      <c r="DK204" s="25">
        <f t="shared" si="346"/>
        <v>0</v>
      </c>
      <c r="DL204" s="25">
        <f t="shared" si="292"/>
        <v>-1</v>
      </c>
      <c r="DM204" s="25" t="e">
        <f t="array" ref="DM204">MATCH(1,($EG204:$JD204&gt;0)*$EG$17:$JD$17,0)</f>
        <v>#N/A</v>
      </c>
      <c r="DN204" s="25" t="e">
        <f t="shared" si="293"/>
        <v>#N/A</v>
      </c>
      <c r="DO204" s="25" t="e">
        <f t="array" ref="DO204">MATCH(2,1/(EG204:JD204&gt;0))</f>
        <v>#N/A</v>
      </c>
      <c r="DP204" s="2993">
        <f t="shared" si="347"/>
        <v>0</v>
      </c>
      <c r="DQ204" s="3037">
        <f t="shared" si="348"/>
        <v>0</v>
      </c>
      <c r="DR204" s="111"/>
      <c r="DS204" s="1268">
        <f t="shared" si="282"/>
        <v>0</v>
      </c>
      <c r="DT204" s="1825"/>
      <c r="DU204" s="1826"/>
      <c r="DV204" s="1827"/>
      <c r="DW204" s="1828"/>
      <c r="DX204" s="659"/>
      <c r="DY204" s="1265"/>
      <c r="DZ204" s="1785">
        <f t="shared" si="294"/>
        <v>0</v>
      </c>
      <c r="EA204" s="1786">
        <f t="shared" si="295"/>
        <v>0</v>
      </c>
      <c r="EB204" s="1781">
        <f t="shared" si="296"/>
        <v>0</v>
      </c>
      <c r="EC204" s="1782">
        <f t="shared" si="297"/>
        <v>0</v>
      </c>
      <c r="ED204" s="1262"/>
      <c r="EE204" s="2280"/>
      <c r="EF204" s="1802"/>
      <c r="EG204" s="167"/>
      <c r="EH204" s="168"/>
      <c r="EI204" s="168"/>
      <c r="EJ204" s="168"/>
      <c r="EK204" s="168"/>
      <c r="EL204" s="168"/>
      <c r="EM204" s="168"/>
      <c r="EN204" s="168"/>
      <c r="EO204" s="168"/>
      <c r="EP204" s="168"/>
      <c r="EQ204" s="168"/>
      <c r="ER204" s="168"/>
      <c r="ES204" s="168"/>
      <c r="ET204" s="168"/>
      <c r="EU204" s="168"/>
      <c r="EV204" s="168"/>
      <c r="EW204" s="168"/>
      <c r="EX204" s="168"/>
      <c r="EY204" s="168"/>
      <c r="EZ204" s="168"/>
      <c r="FA204" s="168"/>
      <c r="FB204" s="168"/>
      <c r="FC204" s="168"/>
      <c r="FD204" s="168"/>
      <c r="FE204" s="168"/>
      <c r="FF204" s="168"/>
      <c r="FG204" s="168"/>
      <c r="FH204" s="168"/>
      <c r="FI204" s="168"/>
      <c r="FJ204" s="168"/>
      <c r="FK204" s="168"/>
      <c r="FL204" s="168"/>
      <c r="FM204" s="168"/>
      <c r="FN204" s="168"/>
      <c r="FO204" s="168"/>
      <c r="FP204" s="168"/>
      <c r="FQ204" s="168"/>
      <c r="FR204" s="168"/>
      <c r="FS204" s="168"/>
      <c r="FT204" s="168"/>
      <c r="FU204" s="168"/>
      <c r="FV204" s="168"/>
      <c r="FW204" s="168"/>
      <c r="FX204" s="168"/>
      <c r="FY204" s="168"/>
      <c r="FZ204" s="168"/>
      <c r="GA204" s="168"/>
      <c r="GB204" s="168"/>
      <c r="GC204" s="168"/>
      <c r="GD204" s="168"/>
      <c r="GE204" s="168"/>
      <c r="GF204" s="168"/>
      <c r="GG204" s="168"/>
      <c r="GH204" s="168"/>
      <c r="GI204" s="168"/>
      <c r="GJ204" s="168"/>
      <c r="GK204" s="168"/>
      <c r="GL204" s="168"/>
      <c r="GM204" s="168"/>
      <c r="GN204" s="168"/>
      <c r="GO204" s="168"/>
      <c r="GP204" s="168"/>
      <c r="GQ204" s="168"/>
      <c r="GR204" s="168"/>
      <c r="GS204" s="168"/>
      <c r="GT204" s="168"/>
      <c r="GU204" s="168"/>
      <c r="GV204" s="168"/>
      <c r="GW204" s="168"/>
      <c r="GX204" s="168"/>
      <c r="GY204" s="168"/>
      <c r="GZ204" s="168"/>
      <c r="HA204" s="168"/>
      <c r="HB204" s="168"/>
      <c r="HC204" s="168"/>
      <c r="HD204" s="168"/>
      <c r="HE204" s="168"/>
      <c r="HF204" s="168"/>
      <c r="HG204" s="168"/>
      <c r="HH204" s="168"/>
      <c r="HI204" s="168"/>
      <c r="HJ204" s="168"/>
      <c r="HK204" s="168"/>
      <c r="HL204" s="168"/>
      <c r="HM204" s="168"/>
      <c r="HN204" s="168"/>
      <c r="HO204" s="168"/>
      <c r="HP204" s="168"/>
      <c r="HQ204" s="168"/>
      <c r="HR204" s="168"/>
      <c r="HS204" s="168"/>
      <c r="HT204" s="168"/>
      <c r="HU204" s="168"/>
      <c r="HV204" s="168"/>
      <c r="HW204" s="168"/>
      <c r="HX204" s="168"/>
      <c r="HY204" s="168"/>
      <c r="HZ204" s="168"/>
      <c r="IA204" s="168"/>
      <c r="IB204" s="168"/>
      <c r="IC204" s="168"/>
      <c r="ID204" s="168"/>
      <c r="IE204" s="168"/>
      <c r="IF204" s="168"/>
      <c r="IG204" s="168"/>
      <c r="IH204" s="168"/>
      <c r="II204" s="168"/>
      <c r="IJ204" s="168"/>
      <c r="IK204" s="168"/>
      <c r="IL204" s="168"/>
      <c r="IM204" s="168"/>
      <c r="IN204" s="168"/>
      <c r="IO204" s="168"/>
      <c r="IP204" s="168"/>
      <c r="IQ204" s="168"/>
      <c r="IR204" s="168"/>
      <c r="IS204" s="168"/>
      <c r="IT204" s="168"/>
      <c r="IU204" s="168"/>
      <c r="IV204" s="168"/>
      <c r="IW204" s="168"/>
      <c r="IX204" s="168"/>
      <c r="IY204" s="168"/>
      <c r="IZ204" s="168"/>
      <c r="JA204" s="168"/>
      <c r="JB204" s="168"/>
      <c r="JC204" s="606"/>
      <c r="JD204" s="609"/>
      <c r="JE204" s="1"/>
      <c r="JF204" s="1"/>
    </row>
    <row r="205" spans="1:266" s="2" customFormat="1" ht="15" customHeight="1" x14ac:dyDescent="0.25">
      <c r="A205" s="283"/>
      <c r="B205" s="303"/>
      <c r="C205" s="301"/>
      <c r="D205" s="638"/>
      <c r="E205" s="2298"/>
      <c r="F205" s="1812"/>
      <c r="G205" s="3342"/>
      <c r="H205" s="66"/>
      <c r="I205" s="1746"/>
      <c r="J205" s="86"/>
      <c r="K205" s="105"/>
      <c r="L205" s="91"/>
      <c r="M205" s="92"/>
      <c r="N205" s="93"/>
      <c r="O205" s="94"/>
      <c r="P205" s="96"/>
      <c r="Q205" s="95"/>
      <c r="R205" s="993">
        <f t="shared" si="284"/>
        <v>0</v>
      </c>
      <c r="S205" s="23">
        <f t="shared" si="298"/>
        <v>0</v>
      </c>
      <c r="T205" s="24">
        <f t="shared" si="299"/>
        <v>0</v>
      </c>
      <c r="U205" s="24">
        <f t="shared" si="300"/>
        <v>0</v>
      </c>
      <c r="V205" s="24">
        <f t="shared" si="301"/>
        <v>0</v>
      </c>
      <c r="W205" s="24">
        <f t="shared" si="302"/>
        <v>0</v>
      </c>
      <c r="X205" s="72">
        <f t="shared" si="303"/>
        <v>0</v>
      </c>
      <c r="Y205" s="72">
        <f t="shared" si="304"/>
        <v>0</v>
      </c>
      <c r="Z205" s="24">
        <f t="shared" si="285"/>
        <v>0</v>
      </c>
      <c r="AA205" s="72">
        <f t="shared" si="305"/>
        <v>0</v>
      </c>
      <c r="AB205" s="24">
        <f t="shared" si="306"/>
        <v>0</v>
      </c>
      <c r="AC205" s="24" t="s">
        <v>5</v>
      </c>
      <c r="AD205" s="25">
        <f t="shared" si="286"/>
        <v>3</v>
      </c>
      <c r="AE205" s="25">
        <f t="shared" si="287"/>
        <v>0</v>
      </c>
      <c r="AF205" s="25">
        <f t="shared" si="288"/>
        <v>0</v>
      </c>
      <c r="AG205" s="25">
        <f t="shared" si="307"/>
        <v>1</v>
      </c>
      <c r="AH205" s="25" t="str">
        <f>IFERROR(MATCH(DY205,'2 Staff List'!$IA$64:$IA$114,0),"x")</f>
        <v>x</v>
      </c>
      <c r="AI205" s="1181">
        <f>IFERROR(INDEX('2 Staff List'!$EX$64:$EX$114,$AH205),0)</f>
        <v>0</v>
      </c>
      <c r="AJ205" s="25">
        <f>IFERROR(INDEX('2 Staff List'!$IW$64:$IW$114,$AH205),0)</f>
        <v>0</v>
      </c>
      <c r="AK205" s="25">
        <f>IFERROR(INDEX('2 Staff List'!$IB$64:$IB$114,$AH205),0)</f>
        <v>0</v>
      </c>
      <c r="AL205" s="25">
        <f>IF(OR(NOT(ISBLANK(DV205)),CX205=1),"&lt;Non-Labor&gt;",IFERROR(IF(AH205=0,0,INDEX('2 Staff List'!$HZ$64:$HZ$114,$AH205)),0))</f>
        <v>0</v>
      </c>
      <c r="AM205" s="25">
        <f>IFERROR(INDEX('2 Staff List'!$HW$64:$HW$114,$AH205),0)</f>
        <v>0</v>
      </c>
      <c r="AN205" s="25">
        <f t="shared" si="308"/>
        <v>1</v>
      </c>
      <c r="AO205" s="25">
        <f>IF($AO$127=0,0,IFERROR(INDEX('2 Staff List'!$JH$64:$JH$114,$AH205),0))</f>
        <v>0</v>
      </c>
      <c r="AP205" s="25">
        <f>IFERROR(INDEX('2 Staff List'!$HU$64:$HU$114,$AH205),0)</f>
        <v>0</v>
      </c>
      <c r="AQ205" s="25">
        <f t="shared" si="309"/>
        <v>0</v>
      </c>
      <c r="AR205" s="25">
        <f t="shared" si="310"/>
        <v>0</v>
      </c>
      <c r="AS205" s="25">
        <f t="shared" si="311"/>
        <v>0</v>
      </c>
      <c r="AT205" s="25">
        <f t="shared" si="312"/>
        <v>0</v>
      </c>
      <c r="AU205" s="25">
        <f t="shared" si="313"/>
        <v>0</v>
      </c>
      <c r="AV205" s="25">
        <f t="shared" si="314"/>
        <v>0</v>
      </c>
      <c r="AW205" s="25">
        <f t="shared" si="315"/>
        <v>0</v>
      </c>
      <c r="AX205" s="25">
        <f t="shared" si="316"/>
        <v>0</v>
      </c>
      <c r="AY205" s="25">
        <f t="shared" si="317"/>
        <v>0</v>
      </c>
      <c r="AZ205" s="25">
        <f t="shared" si="318"/>
        <v>0</v>
      </c>
      <c r="BA205" s="25">
        <f t="shared" si="319"/>
        <v>0</v>
      </c>
      <c r="BB205" s="25">
        <f t="shared" si="320"/>
        <v>0</v>
      </c>
      <c r="BC205" s="25">
        <f>IFERROR(INDEX('2 Staff List'!KS$64:KS$114,$AH205),0)</f>
        <v>0</v>
      </c>
      <c r="BD205" s="25">
        <f>IFERROR(INDEX('2 Staff List'!KT$64:KT$114,$AH205),0)</f>
        <v>0</v>
      </c>
      <c r="BE205" s="25">
        <f>IFERROR(INDEX('2 Staff List'!KU$64:KU$114,$AH205),0)</f>
        <v>0</v>
      </c>
      <c r="BF205" s="25">
        <f>IFERROR(INDEX('2 Staff List'!KV$64:KV$114,$AH205),0)</f>
        <v>0</v>
      </c>
      <c r="BG205" s="25">
        <f>IFERROR(INDEX('2 Staff List'!KW$64:KW$114,$AH205),0)</f>
        <v>0</v>
      </c>
      <c r="BH205" s="25">
        <f>IFERROR(INDEX('2 Staff List'!KX$64:KX$114,$AH205),0)</f>
        <v>0</v>
      </c>
      <c r="BI205" s="25">
        <f>IFERROR(INDEX('2 Staff List'!KY$64:KY$114,$AH205),0)</f>
        <v>0</v>
      </c>
      <c r="BJ205" s="25">
        <f>IFERROR(INDEX('2 Staff List'!KZ$64:KZ$114,$AH205),0)</f>
        <v>0</v>
      </c>
      <c r="BK205" s="25">
        <f>IFERROR(INDEX('2 Staff List'!LA$64:LA$114,$AH205),0)</f>
        <v>0</v>
      </c>
      <c r="BL205" s="25">
        <f>IFERROR(INDEX('2 Staff List'!LB$64:LB$114,$AH205),0)</f>
        <v>0</v>
      </c>
      <c r="BM205" s="25">
        <f>IFERROR(INDEX('2 Staff List'!FT$64:FT$114,$AH205),0)</f>
        <v>0</v>
      </c>
      <c r="BN205" s="25">
        <f>IFERROR(INDEX('2 Staff List'!FU$64:FU$114,$AH205),0)</f>
        <v>0</v>
      </c>
      <c r="BO205" s="25">
        <f>IFERROR(INDEX('2 Staff List'!FV$64:FV$114,$AH205),0)</f>
        <v>0</v>
      </c>
      <c r="BP205" s="25">
        <f>IFERROR(INDEX('2 Staff List'!FW$64:FW$114,$AH205),0)</f>
        <v>0</v>
      </c>
      <c r="BQ205" s="25">
        <f>IFERROR(INDEX('2 Staff List'!FX$64:FX$114,$AH205),0)</f>
        <v>0</v>
      </c>
      <c r="BR205" s="25">
        <f>IFERROR(INDEX('2 Staff List'!FY$64:FY$114,$AH205),0)</f>
        <v>0</v>
      </c>
      <c r="BS205" s="25">
        <f>IFERROR(INDEX('2 Staff List'!FZ$64:FZ$114,$AH205),0)</f>
        <v>0</v>
      </c>
      <c r="BT205" s="25">
        <f>IFERROR(INDEX('2 Staff List'!GA$64:GA$114,$AH205),0)</f>
        <v>0</v>
      </c>
      <c r="BU205" s="25">
        <f>IFERROR(INDEX('2 Staff List'!GB$64:GB$114,$AH205),0)</f>
        <v>0</v>
      </c>
      <c r="BV205" s="25">
        <f>IFERROR(INDEX('2 Staff List'!GC$64:GC$114,$AH205),0)</f>
        <v>0</v>
      </c>
      <c r="BW205" s="25">
        <f t="shared" si="321"/>
        <v>0</v>
      </c>
      <c r="BX205" s="25">
        <f t="shared" si="322"/>
        <v>0</v>
      </c>
      <c r="BY205" s="25">
        <f t="shared" si="323"/>
        <v>0</v>
      </c>
      <c r="BZ205" s="25">
        <f t="shared" si="324"/>
        <v>0</v>
      </c>
      <c r="CA205" s="25">
        <f t="shared" si="325"/>
        <v>0</v>
      </c>
      <c r="CB205" s="25">
        <f t="shared" si="326"/>
        <v>0</v>
      </c>
      <c r="CC205" s="25">
        <f t="shared" si="327"/>
        <v>0</v>
      </c>
      <c r="CD205" s="25">
        <f t="shared" si="328"/>
        <v>0</v>
      </c>
      <c r="CE205" s="25">
        <f t="shared" si="329"/>
        <v>0</v>
      </c>
      <c r="CF205" s="25">
        <f t="shared" si="330"/>
        <v>0</v>
      </c>
      <c r="CG205" s="25">
        <f t="shared" si="331"/>
        <v>0</v>
      </c>
      <c r="CH205" s="25">
        <f>IFERROR(INDEX('2 Staff List'!LO$64:LO$114,$AH205),0)</f>
        <v>0</v>
      </c>
      <c r="CI205" s="25">
        <f>IFERROR(INDEX('2 Staff List'!LP$64:LP$114,$AH205),0)</f>
        <v>0</v>
      </c>
      <c r="CJ205" s="25">
        <f>IFERROR(INDEX('2 Staff List'!LQ$64:LQ$114,$AH205),0)</f>
        <v>0</v>
      </c>
      <c r="CK205" s="25">
        <f>IFERROR(INDEX('2 Staff List'!LR$64:LR$114,$AH205),0)</f>
        <v>0</v>
      </c>
      <c r="CL205" s="25">
        <f>IFERROR(INDEX('2 Staff List'!LS$64:LS$114,$AH205),0)</f>
        <v>0</v>
      </c>
      <c r="CM205" s="25">
        <f>IFERROR(INDEX('2 Staff List'!LT$64:LT$114,$AH205),0)</f>
        <v>0</v>
      </c>
      <c r="CN205" s="25">
        <f>IFERROR(INDEX('2 Staff List'!LU$64:LU$114,$AH205),0)</f>
        <v>0</v>
      </c>
      <c r="CO205" s="25">
        <f>IFERROR(INDEX('2 Staff List'!LV$64:LV$114,$AH205),0)</f>
        <v>0</v>
      </c>
      <c r="CP205" s="25">
        <f>IFERROR(INDEX('2 Staff List'!LW$64:LW$114,$AH205),0)</f>
        <v>0</v>
      </c>
      <c r="CQ205" s="25">
        <f>IFERROR(INDEX('2 Staff List'!LX$64:LX$114,$AH205),0)</f>
        <v>0</v>
      </c>
      <c r="CR205" s="25">
        <f t="shared" si="289"/>
        <v>0</v>
      </c>
      <c r="CS205" s="25">
        <f t="shared" si="349"/>
        <v>1</v>
      </c>
      <c r="CT205" s="25">
        <f t="shared" si="333"/>
        <v>1</v>
      </c>
      <c r="CU205" s="25">
        <f t="shared" si="334"/>
        <v>1</v>
      </c>
      <c r="CV205" s="25">
        <f t="shared" si="335"/>
        <v>1</v>
      </c>
      <c r="CW205" s="25">
        <f t="shared" si="336"/>
        <v>1</v>
      </c>
      <c r="CX205" s="25">
        <f t="shared" si="337"/>
        <v>0</v>
      </c>
      <c r="CY205" s="25">
        <f t="shared" si="338"/>
        <v>0</v>
      </c>
      <c r="CZ205" s="25">
        <f t="shared" si="339"/>
        <v>0</v>
      </c>
      <c r="DA205" s="25">
        <f t="shared" si="340"/>
        <v>1</v>
      </c>
      <c r="DB205" s="25">
        <f t="shared" si="290"/>
        <v>1</v>
      </c>
      <c r="DC205" s="25">
        <f t="shared" si="341"/>
        <v>0</v>
      </c>
      <c r="DD205" s="25">
        <f>IF(OR($AD205&lt;&gt;3,F205="Exclude"),0,IF(ISERROR(MATCH($E205,'4 Sign-off'!$S$123:$X$123,0)),0,1))</f>
        <v>0</v>
      </c>
      <c r="DE205" s="25">
        <f t="shared" si="291"/>
        <v>0</v>
      </c>
      <c r="DF205" s="25">
        <f t="shared" si="342"/>
        <v>0</v>
      </c>
      <c r="DG205" s="25" t="str">
        <f t="shared" si="343"/>
        <v/>
      </c>
      <c r="DH205" s="25">
        <f t="shared" si="344"/>
        <v>0</v>
      </c>
      <c r="DI205" s="25">
        <f t="shared" si="345"/>
        <v>0</v>
      </c>
      <c r="DJ205" s="25">
        <f>IF(ISBLANK(J205),0,ISERROR(MATCH(J205,'5  Control Accounts'!$FA$29:$FA$96,0))*1)</f>
        <v>0</v>
      </c>
      <c r="DK205" s="25">
        <f t="shared" si="346"/>
        <v>0</v>
      </c>
      <c r="DL205" s="25">
        <f t="shared" si="292"/>
        <v>-1</v>
      </c>
      <c r="DM205" s="25" t="e">
        <f t="array" ref="DM205">MATCH(1,($EG205:$JD205&gt;0)*$EG$17:$JD$17,0)</f>
        <v>#N/A</v>
      </c>
      <c r="DN205" s="25" t="e">
        <f t="shared" si="293"/>
        <v>#N/A</v>
      </c>
      <c r="DO205" s="25" t="e">
        <f t="array" ref="DO205">MATCH(2,1/(EG205:JD205&gt;0))</f>
        <v>#N/A</v>
      </c>
      <c r="DP205" s="2993">
        <f t="shared" si="347"/>
        <v>0</v>
      </c>
      <c r="DQ205" s="3037">
        <f t="shared" si="348"/>
        <v>0</v>
      </c>
      <c r="DR205" s="111"/>
      <c r="DS205" s="1268">
        <f t="shared" si="282"/>
        <v>0</v>
      </c>
      <c r="DT205" s="1825"/>
      <c r="DU205" s="1826"/>
      <c r="DV205" s="1827"/>
      <c r="DW205" s="1828"/>
      <c r="DX205" s="659"/>
      <c r="DY205" s="1265"/>
      <c r="DZ205" s="1785">
        <f t="shared" si="294"/>
        <v>0</v>
      </c>
      <c r="EA205" s="1786">
        <f t="shared" si="295"/>
        <v>0</v>
      </c>
      <c r="EB205" s="1781">
        <f t="shared" si="296"/>
        <v>0</v>
      </c>
      <c r="EC205" s="1782">
        <f t="shared" si="297"/>
        <v>0</v>
      </c>
      <c r="ED205" s="1262"/>
      <c r="EE205" s="2280"/>
      <c r="EF205" s="1802"/>
      <c r="EG205" s="167"/>
      <c r="EH205" s="168"/>
      <c r="EI205" s="168"/>
      <c r="EJ205" s="168"/>
      <c r="EK205" s="168"/>
      <c r="EL205" s="168"/>
      <c r="EM205" s="168"/>
      <c r="EN205" s="168"/>
      <c r="EO205" s="168"/>
      <c r="EP205" s="168"/>
      <c r="EQ205" s="168"/>
      <c r="ER205" s="168"/>
      <c r="ES205" s="168"/>
      <c r="ET205" s="168"/>
      <c r="EU205" s="168"/>
      <c r="EV205" s="168"/>
      <c r="EW205" s="168"/>
      <c r="EX205" s="168"/>
      <c r="EY205" s="168"/>
      <c r="EZ205" s="168"/>
      <c r="FA205" s="168"/>
      <c r="FB205" s="168"/>
      <c r="FC205" s="168"/>
      <c r="FD205" s="168"/>
      <c r="FE205" s="168"/>
      <c r="FF205" s="168"/>
      <c r="FG205" s="168"/>
      <c r="FH205" s="168"/>
      <c r="FI205" s="168"/>
      <c r="FJ205" s="168"/>
      <c r="FK205" s="168"/>
      <c r="FL205" s="168"/>
      <c r="FM205" s="168"/>
      <c r="FN205" s="168"/>
      <c r="FO205" s="168"/>
      <c r="FP205" s="168"/>
      <c r="FQ205" s="168"/>
      <c r="FR205" s="168"/>
      <c r="FS205" s="168"/>
      <c r="FT205" s="168"/>
      <c r="FU205" s="168"/>
      <c r="FV205" s="168"/>
      <c r="FW205" s="168"/>
      <c r="FX205" s="168"/>
      <c r="FY205" s="168"/>
      <c r="FZ205" s="168"/>
      <c r="GA205" s="168"/>
      <c r="GB205" s="168"/>
      <c r="GC205" s="168"/>
      <c r="GD205" s="168"/>
      <c r="GE205" s="168"/>
      <c r="GF205" s="168"/>
      <c r="GG205" s="168"/>
      <c r="GH205" s="168"/>
      <c r="GI205" s="168"/>
      <c r="GJ205" s="168"/>
      <c r="GK205" s="168"/>
      <c r="GL205" s="168"/>
      <c r="GM205" s="168"/>
      <c r="GN205" s="168"/>
      <c r="GO205" s="168"/>
      <c r="GP205" s="168"/>
      <c r="GQ205" s="168"/>
      <c r="GR205" s="168"/>
      <c r="GS205" s="168"/>
      <c r="GT205" s="168"/>
      <c r="GU205" s="168"/>
      <c r="GV205" s="168"/>
      <c r="GW205" s="168"/>
      <c r="GX205" s="168"/>
      <c r="GY205" s="168"/>
      <c r="GZ205" s="168"/>
      <c r="HA205" s="168"/>
      <c r="HB205" s="168"/>
      <c r="HC205" s="168"/>
      <c r="HD205" s="168"/>
      <c r="HE205" s="168"/>
      <c r="HF205" s="168"/>
      <c r="HG205" s="168"/>
      <c r="HH205" s="168"/>
      <c r="HI205" s="168"/>
      <c r="HJ205" s="168"/>
      <c r="HK205" s="168"/>
      <c r="HL205" s="168"/>
      <c r="HM205" s="168"/>
      <c r="HN205" s="168"/>
      <c r="HO205" s="168"/>
      <c r="HP205" s="168"/>
      <c r="HQ205" s="168"/>
      <c r="HR205" s="168"/>
      <c r="HS205" s="168"/>
      <c r="HT205" s="168"/>
      <c r="HU205" s="168"/>
      <c r="HV205" s="168"/>
      <c r="HW205" s="168"/>
      <c r="HX205" s="168"/>
      <c r="HY205" s="168"/>
      <c r="HZ205" s="168"/>
      <c r="IA205" s="168"/>
      <c r="IB205" s="168"/>
      <c r="IC205" s="168"/>
      <c r="ID205" s="168"/>
      <c r="IE205" s="168"/>
      <c r="IF205" s="168"/>
      <c r="IG205" s="168"/>
      <c r="IH205" s="168"/>
      <c r="II205" s="168"/>
      <c r="IJ205" s="168"/>
      <c r="IK205" s="168"/>
      <c r="IL205" s="168"/>
      <c r="IM205" s="168"/>
      <c r="IN205" s="168"/>
      <c r="IO205" s="168"/>
      <c r="IP205" s="168"/>
      <c r="IQ205" s="168"/>
      <c r="IR205" s="168"/>
      <c r="IS205" s="168"/>
      <c r="IT205" s="168"/>
      <c r="IU205" s="168"/>
      <c r="IV205" s="168"/>
      <c r="IW205" s="168"/>
      <c r="IX205" s="168"/>
      <c r="IY205" s="168"/>
      <c r="IZ205" s="168"/>
      <c r="JA205" s="168"/>
      <c r="JB205" s="168"/>
      <c r="JC205" s="606"/>
      <c r="JD205" s="609"/>
      <c r="JE205" s="1"/>
      <c r="JF205" s="1"/>
    </row>
    <row r="206" spans="1:266" s="2" customFormat="1" ht="15" customHeight="1" x14ac:dyDescent="0.25">
      <c r="A206" s="283"/>
      <c r="B206" s="303"/>
      <c r="C206" s="301"/>
      <c r="D206" s="638"/>
      <c r="E206" s="2298"/>
      <c r="F206" s="1812"/>
      <c r="G206" s="3342"/>
      <c r="H206" s="66"/>
      <c r="I206" s="1746"/>
      <c r="J206" s="86"/>
      <c r="K206" s="105"/>
      <c r="L206" s="91"/>
      <c r="M206" s="92"/>
      <c r="N206" s="93"/>
      <c r="O206" s="94"/>
      <c r="P206" s="96"/>
      <c r="Q206" s="95"/>
      <c r="R206" s="993">
        <f t="shared" si="284"/>
        <v>0</v>
      </c>
      <c r="S206" s="23">
        <f t="shared" si="298"/>
        <v>0</v>
      </c>
      <c r="T206" s="24">
        <f t="shared" si="299"/>
        <v>0</v>
      </c>
      <c r="U206" s="24">
        <f t="shared" si="300"/>
        <v>0</v>
      </c>
      <c r="V206" s="24">
        <f t="shared" si="301"/>
        <v>0</v>
      </c>
      <c r="W206" s="24">
        <f t="shared" si="302"/>
        <v>0</v>
      </c>
      <c r="X206" s="72">
        <f t="shared" si="303"/>
        <v>0</v>
      </c>
      <c r="Y206" s="72">
        <f t="shared" si="304"/>
        <v>0</v>
      </c>
      <c r="Z206" s="24">
        <f t="shared" si="285"/>
        <v>0</v>
      </c>
      <c r="AA206" s="72">
        <f t="shared" si="305"/>
        <v>0</v>
      </c>
      <c r="AB206" s="24">
        <f t="shared" si="306"/>
        <v>0</v>
      </c>
      <c r="AC206" s="24" t="s">
        <v>5</v>
      </c>
      <c r="AD206" s="25">
        <f t="shared" si="286"/>
        <v>3</v>
      </c>
      <c r="AE206" s="25">
        <f t="shared" si="287"/>
        <v>0</v>
      </c>
      <c r="AF206" s="25">
        <f t="shared" si="288"/>
        <v>0</v>
      </c>
      <c r="AG206" s="25">
        <f t="shared" si="307"/>
        <v>1</v>
      </c>
      <c r="AH206" s="25" t="str">
        <f>IFERROR(MATCH(DY206,'2 Staff List'!$IA$64:$IA$114,0),"x")</f>
        <v>x</v>
      </c>
      <c r="AI206" s="1181">
        <f>IFERROR(INDEX('2 Staff List'!$EX$64:$EX$114,$AH206),0)</f>
        <v>0</v>
      </c>
      <c r="AJ206" s="25">
        <f>IFERROR(INDEX('2 Staff List'!$IW$64:$IW$114,$AH206),0)</f>
        <v>0</v>
      </c>
      <c r="AK206" s="25">
        <f>IFERROR(INDEX('2 Staff List'!$IB$64:$IB$114,$AH206),0)</f>
        <v>0</v>
      </c>
      <c r="AL206" s="25">
        <f>IF(OR(NOT(ISBLANK(DV206)),CX206=1),"&lt;Non-Labor&gt;",IFERROR(IF(AH206=0,0,INDEX('2 Staff List'!$HZ$64:$HZ$114,$AH206)),0))</f>
        <v>0</v>
      </c>
      <c r="AM206" s="25">
        <f>IFERROR(INDEX('2 Staff List'!$HW$64:$HW$114,$AH206),0)</f>
        <v>0</v>
      </c>
      <c r="AN206" s="25">
        <f t="shared" si="308"/>
        <v>1</v>
      </c>
      <c r="AO206" s="25">
        <f>IF($AO$127=0,0,IFERROR(INDEX('2 Staff List'!$JH$64:$JH$114,$AH206),0))</f>
        <v>0</v>
      </c>
      <c r="AP206" s="25">
        <f>IFERROR(INDEX('2 Staff List'!$HU$64:$HU$114,$AH206),0)</f>
        <v>0</v>
      </c>
      <c r="AQ206" s="25">
        <f t="shared" si="309"/>
        <v>0</v>
      </c>
      <c r="AR206" s="25">
        <f t="shared" si="310"/>
        <v>0</v>
      </c>
      <c r="AS206" s="25">
        <f t="shared" si="311"/>
        <v>0</v>
      </c>
      <c r="AT206" s="25">
        <f t="shared" si="312"/>
        <v>0</v>
      </c>
      <c r="AU206" s="25">
        <f t="shared" si="313"/>
        <v>0</v>
      </c>
      <c r="AV206" s="25">
        <f t="shared" si="314"/>
        <v>0</v>
      </c>
      <c r="AW206" s="25">
        <f t="shared" si="315"/>
        <v>0</v>
      </c>
      <c r="AX206" s="25">
        <f t="shared" si="316"/>
        <v>0</v>
      </c>
      <c r="AY206" s="25">
        <f t="shared" si="317"/>
        <v>0</v>
      </c>
      <c r="AZ206" s="25">
        <f t="shared" si="318"/>
        <v>0</v>
      </c>
      <c r="BA206" s="25">
        <f t="shared" si="319"/>
        <v>0</v>
      </c>
      <c r="BB206" s="25">
        <f t="shared" si="320"/>
        <v>0</v>
      </c>
      <c r="BC206" s="25">
        <f>IFERROR(INDEX('2 Staff List'!KS$64:KS$114,$AH206),0)</f>
        <v>0</v>
      </c>
      <c r="BD206" s="25">
        <f>IFERROR(INDEX('2 Staff List'!KT$64:KT$114,$AH206),0)</f>
        <v>0</v>
      </c>
      <c r="BE206" s="25">
        <f>IFERROR(INDEX('2 Staff List'!KU$64:KU$114,$AH206),0)</f>
        <v>0</v>
      </c>
      <c r="BF206" s="25">
        <f>IFERROR(INDEX('2 Staff List'!KV$64:KV$114,$AH206),0)</f>
        <v>0</v>
      </c>
      <c r="BG206" s="25">
        <f>IFERROR(INDEX('2 Staff List'!KW$64:KW$114,$AH206),0)</f>
        <v>0</v>
      </c>
      <c r="BH206" s="25">
        <f>IFERROR(INDEX('2 Staff List'!KX$64:KX$114,$AH206),0)</f>
        <v>0</v>
      </c>
      <c r="BI206" s="25">
        <f>IFERROR(INDEX('2 Staff List'!KY$64:KY$114,$AH206),0)</f>
        <v>0</v>
      </c>
      <c r="BJ206" s="25">
        <f>IFERROR(INDEX('2 Staff List'!KZ$64:KZ$114,$AH206),0)</f>
        <v>0</v>
      </c>
      <c r="BK206" s="25">
        <f>IFERROR(INDEX('2 Staff List'!LA$64:LA$114,$AH206),0)</f>
        <v>0</v>
      </c>
      <c r="BL206" s="25">
        <f>IFERROR(INDEX('2 Staff List'!LB$64:LB$114,$AH206),0)</f>
        <v>0</v>
      </c>
      <c r="BM206" s="25">
        <f>IFERROR(INDEX('2 Staff List'!FT$64:FT$114,$AH206),0)</f>
        <v>0</v>
      </c>
      <c r="BN206" s="25">
        <f>IFERROR(INDEX('2 Staff List'!FU$64:FU$114,$AH206),0)</f>
        <v>0</v>
      </c>
      <c r="BO206" s="25">
        <f>IFERROR(INDEX('2 Staff List'!FV$64:FV$114,$AH206),0)</f>
        <v>0</v>
      </c>
      <c r="BP206" s="25">
        <f>IFERROR(INDEX('2 Staff List'!FW$64:FW$114,$AH206),0)</f>
        <v>0</v>
      </c>
      <c r="BQ206" s="25">
        <f>IFERROR(INDEX('2 Staff List'!FX$64:FX$114,$AH206),0)</f>
        <v>0</v>
      </c>
      <c r="BR206" s="25">
        <f>IFERROR(INDEX('2 Staff List'!FY$64:FY$114,$AH206),0)</f>
        <v>0</v>
      </c>
      <c r="BS206" s="25">
        <f>IFERROR(INDEX('2 Staff List'!FZ$64:FZ$114,$AH206),0)</f>
        <v>0</v>
      </c>
      <c r="BT206" s="25">
        <f>IFERROR(INDEX('2 Staff List'!GA$64:GA$114,$AH206),0)</f>
        <v>0</v>
      </c>
      <c r="BU206" s="25">
        <f>IFERROR(INDEX('2 Staff List'!GB$64:GB$114,$AH206),0)</f>
        <v>0</v>
      </c>
      <c r="BV206" s="25">
        <f>IFERROR(INDEX('2 Staff List'!GC$64:GC$114,$AH206),0)</f>
        <v>0</v>
      </c>
      <c r="BW206" s="25">
        <f t="shared" si="321"/>
        <v>0</v>
      </c>
      <c r="BX206" s="25">
        <f t="shared" si="322"/>
        <v>0</v>
      </c>
      <c r="BY206" s="25">
        <f t="shared" si="323"/>
        <v>0</v>
      </c>
      <c r="BZ206" s="25">
        <f t="shared" si="324"/>
        <v>0</v>
      </c>
      <c r="CA206" s="25">
        <f t="shared" si="325"/>
        <v>0</v>
      </c>
      <c r="CB206" s="25">
        <f t="shared" si="326"/>
        <v>0</v>
      </c>
      <c r="CC206" s="25">
        <f t="shared" si="327"/>
        <v>0</v>
      </c>
      <c r="CD206" s="25">
        <f t="shared" si="328"/>
        <v>0</v>
      </c>
      <c r="CE206" s="25">
        <f t="shared" si="329"/>
        <v>0</v>
      </c>
      <c r="CF206" s="25">
        <f t="shared" si="330"/>
        <v>0</v>
      </c>
      <c r="CG206" s="25">
        <f t="shared" si="331"/>
        <v>0</v>
      </c>
      <c r="CH206" s="25">
        <f>IFERROR(INDEX('2 Staff List'!LO$64:LO$114,$AH206),0)</f>
        <v>0</v>
      </c>
      <c r="CI206" s="25">
        <f>IFERROR(INDEX('2 Staff List'!LP$64:LP$114,$AH206),0)</f>
        <v>0</v>
      </c>
      <c r="CJ206" s="25">
        <f>IFERROR(INDEX('2 Staff List'!LQ$64:LQ$114,$AH206),0)</f>
        <v>0</v>
      </c>
      <c r="CK206" s="25">
        <f>IFERROR(INDEX('2 Staff List'!LR$64:LR$114,$AH206),0)</f>
        <v>0</v>
      </c>
      <c r="CL206" s="25">
        <f>IFERROR(INDEX('2 Staff List'!LS$64:LS$114,$AH206),0)</f>
        <v>0</v>
      </c>
      <c r="CM206" s="25">
        <f>IFERROR(INDEX('2 Staff List'!LT$64:LT$114,$AH206),0)</f>
        <v>0</v>
      </c>
      <c r="CN206" s="25">
        <f>IFERROR(INDEX('2 Staff List'!LU$64:LU$114,$AH206),0)</f>
        <v>0</v>
      </c>
      <c r="CO206" s="25">
        <f>IFERROR(INDEX('2 Staff List'!LV$64:LV$114,$AH206),0)</f>
        <v>0</v>
      </c>
      <c r="CP206" s="25">
        <f>IFERROR(INDEX('2 Staff List'!LW$64:LW$114,$AH206),0)</f>
        <v>0</v>
      </c>
      <c r="CQ206" s="25">
        <f>IFERROR(INDEX('2 Staff List'!LX$64:LX$114,$AH206),0)</f>
        <v>0</v>
      </c>
      <c r="CR206" s="25">
        <f t="shared" si="289"/>
        <v>0</v>
      </c>
      <c r="CS206" s="25">
        <f t="shared" si="349"/>
        <v>1</v>
      </c>
      <c r="CT206" s="25">
        <f t="shared" si="333"/>
        <v>1</v>
      </c>
      <c r="CU206" s="25">
        <f t="shared" si="334"/>
        <v>1</v>
      </c>
      <c r="CV206" s="25">
        <f t="shared" si="335"/>
        <v>1</v>
      </c>
      <c r="CW206" s="25">
        <f t="shared" si="336"/>
        <v>1</v>
      </c>
      <c r="CX206" s="25">
        <f t="shared" si="337"/>
        <v>0</v>
      </c>
      <c r="CY206" s="25">
        <f t="shared" si="338"/>
        <v>0</v>
      </c>
      <c r="CZ206" s="25">
        <f t="shared" si="339"/>
        <v>0</v>
      </c>
      <c r="DA206" s="25">
        <f t="shared" si="340"/>
        <v>1</v>
      </c>
      <c r="DB206" s="25">
        <f t="shared" si="290"/>
        <v>1</v>
      </c>
      <c r="DC206" s="25">
        <f t="shared" si="341"/>
        <v>0</v>
      </c>
      <c r="DD206" s="25">
        <f>IF(OR($AD206&lt;&gt;3,F206="Exclude"),0,IF(ISERROR(MATCH($E206,'4 Sign-off'!$S$123:$X$123,0)),0,1))</f>
        <v>0</v>
      </c>
      <c r="DE206" s="25">
        <f t="shared" si="291"/>
        <v>0</v>
      </c>
      <c r="DF206" s="25">
        <f t="shared" si="342"/>
        <v>0</v>
      </c>
      <c r="DG206" s="25" t="str">
        <f t="shared" si="343"/>
        <v/>
      </c>
      <c r="DH206" s="25">
        <f t="shared" si="344"/>
        <v>0</v>
      </c>
      <c r="DI206" s="25">
        <f t="shared" si="345"/>
        <v>0</v>
      </c>
      <c r="DJ206" s="25">
        <f>IF(ISBLANK(J206),0,ISERROR(MATCH(J206,'5  Control Accounts'!$FA$29:$FA$96,0))*1)</f>
        <v>0</v>
      </c>
      <c r="DK206" s="25">
        <f t="shared" si="346"/>
        <v>0</v>
      </c>
      <c r="DL206" s="25">
        <f t="shared" si="292"/>
        <v>-1</v>
      </c>
      <c r="DM206" s="25" t="e">
        <f t="array" ref="DM206">MATCH(1,($EG206:$JD206&gt;0)*$EG$17:$JD$17,0)</f>
        <v>#N/A</v>
      </c>
      <c r="DN206" s="25" t="e">
        <f t="shared" si="293"/>
        <v>#N/A</v>
      </c>
      <c r="DO206" s="25" t="e">
        <f t="array" ref="DO206">MATCH(2,1/(EG206:JD206&gt;0))</f>
        <v>#N/A</v>
      </c>
      <c r="DP206" s="2993">
        <f t="shared" si="347"/>
        <v>0</v>
      </c>
      <c r="DQ206" s="3037">
        <f t="shared" si="348"/>
        <v>0</v>
      </c>
      <c r="DR206" s="111"/>
      <c r="DS206" s="1268">
        <f t="shared" si="282"/>
        <v>0</v>
      </c>
      <c r="DT206" s="1825"/>
      <c r="DU206" s="1826"/>
      <c r="DV206" s="1827"/>
      <c r="DW206" s="1828"/>
      <c r="DX206" s="659"/>
      <c r="DY206" s="1265"/>
      <c r="DZ206" s="1785">
        <f t="shared" si="294"/>
        <v>0</v>
      </c>
      <c r="EA206" s="1786">
        <f t="shared" si="295"/>
        <v>0</v>
      </c>
      <c r="EB206" s="1781">
        <f t="shared" si="296"/>
        <v>0</v>
      </c>
      <c r="EC206" s="1782">
        <f t="shared" si="297"/>
        <v>0</v>
      </c>
      <c r="ED206" s="1262"/>
      <c r="EE206" s="2280"/>
      <c r="EF206" s="1802"/>
      <c r="EG206" s="167"/>
      <c r="EH206" s="168"/>
      <c r="EI206" s="168"/>
      <c r="EJ206" s="168"/>
      <c r="EK206" s="168"/>
      <c r="EL206" s="168"/>
      <c r="EM206" s="168"/>
      <c r="EN206" s="168"/>
      <c r="EO206" s="168"/>
      <c r="EP206" s="168"/>
      <c r="EQ206" s="168"/>
      <c r="ER206" s="168"/>
      <c r="ES206" s="168"/>
      <c r="ET206" s="168"/>
      <c r="EU206" s="168"/>
      <c r="EV206" s="168"/>
      <c r="EW206" s="168"/>
      <c r="EX206" s="168"/>
      <c r="EY206" s="168"/>
      <c r="EZ206" s="168"/>
      <c r="FA206" s="168"/>
      <c r="FB206" s="168"/>
      <c r="FC206" s="168"/>
      <c r="FD206" s="168"/>
      <c r="FE206" s="168"/>
      <c r="FF206" s="168"/>
      <c r="FG206" s="168"/>
      <c r="FH206" s="168"/>
      <c r="FI206" s="168"/>
      <c r="FJ206" s="168"/>
      <c r="FK206" s="168"/>
      <c r="FL206" s="168"/>
      <c r="FM206" s="168"/>
      <c r="FN206" s="168"/>
      <c r="FO206" s="168"/>
      <c r="FP206" s="168"/>
      <c r="FQ206" s="168"/>
      <c r="FR206" s="168"/>
      <c r="FS206" s="168"/>
      <c r="FT206" s="168"/>
      <c r="FU206" s="168"/>
      <c r="FV206" s="168"/>
      <c r="FW206" s="168"/>
      <c r="FX206" s="168"/>
      <c r="FY206" s="168"/>
      <c r="FZ206" s="168"/>
      <c r="GA206" s="168"/>
      <c r="GB206" s="168"/>
      <c r="GC206" s="168"/>
      <c r="GD206" s="168"/>
      <c r="GE206" s="168"/>
      <c r="GF206" s="168"/>
      <c r="GG206" s="168"/>
      <c r="GH206" s="168"/>
      <c r="GI206" s="168"/>
      <c r="GJ206" s="168"/>
      <c r="GK206" s="168"/>
      <c r="GL206" s="168"/>
      <c r="GM206" s="168"/>
      <c r="GN206" s="168"/>
      <c r="GO206" s="168"/>
      <c r="GP206" s="168"/>
      <c r="GQ206" s="168"/>
      <c r="GR206" s="168"/>
      <c r="GS206" s="168"/>
      <c r="GT206" s="168"/>
      <c r="GU206" s="168"/>
      <c r="GV206" s="168"/>
      <c r="GW206" s="168"/>
      <c r="GX206" s="168"/>
      <c r="GY206" s="168"/>
      <c r="GZ206" s="168"/>
      <c r="HA206" s="168"/>
      <c r="HB206" s="168"/>
      <c r="HC206" s="168"/>
      <c r="HD206" s="168"/>
      <c r="HE206" s="168"/>
      <c r="HF206" s="168"/>
      <c r="HG206" s="168"/>
      <c r="HH206" s="168"/>
      <c r="HI206" s="168"/>
      <c r="HJ206" s="168"/>
      <c r="HK206" s="168"/>
      <c r="HL206" s="168"/>
      <c r="HM206" s="168"/>
      <c r="HN206" s="168"/>
      <c r="HO206" s="168"/>
      <c r="HP206" s="168"/>
      <c r="HQ206" s="168"/>
      <c r="HR206" s="168"/>
      <c r="HS206" s="168"/>
      <c r="HT206" s="168"/>
      <c r="HU206" s="168"/>
      <c r="HV206" s="168"/>
      <c r="HW206" s="168"/>
      <c r="HX206" s="168"/>
      <c r="HY206" s="168"/>
      <c r="HZ206" s="168"/>
      <c r="IA206" s="168"/>
      <c r="IB206" s="168"/>
      <c r="IC206" s="168"/>
      <c r="ID206" s="168"/>
      <c r="IE206" s="168"/>
      <c r="IF206" s="168"/>
      <c r="IG206" s="168"/>
      <c r="IH206" s="168"/>
      <c r="II206" s="168"/>
      <c r="IJ206" s="168"/>
      <c r="IK206" s="168"/>
      <c r="IL206" s="168"/>
      <c r="IM206" s="168"/>
      <c r="IN206" s="168"/>
      <c r="IO206" s="168"/>
      <c r="IP206" s="168"/>
      <c r="IQ206" s="168"/>
      <c r="IR206" s="168"/>
      <c r="IS206" s="168"/>
      <c r="IT206" s="168"/>
      <c r="IU206" s="168"/>
      <c r="IV206" s="168"/>
      <c r="IW206" s="168"/>
      <c r="IX206" s="168"/>
      <c r="IY206" s="168"/>
      <c r="IZ206" s="168"/>
      <c r="JA206" s="168"/>
      <c r="JB206" s="168"/>
      <c r="JC206" s="606"/>
      <c r="JD206" s="609"/>
      <c r="JE206" s="1"/>
      <c r="JF206" s="1"/>
    </row>
    <row r="207" spans="1:266" s="2" customFormat="1" ht="15" customHeight="1" x14ac:dyDescent="0.25">
      <c r="A207" s="283"/>
      <c r="B207" s="303"/>
      <c r="C207" s="301"/>
      <c r="D207" s="638"/>
      <c r="E207" s="2298"/>
      <c r="F207" s="1812"/>
      <c r="G207" s="3342"/>
      <c r="H207" s="66"/>
      <c r="I207" s="1746"/>
      <c r="J207" s="86"/>
      <c r="K207" s="105"/>
      <c r="L207" s="91"/>
      <c r="M207" s="92"/>
      <c r="N207" s="93"/>
      <c r="O207" s="94"/>
      <c r="P207" s="96"/>
      <c r="Q207" s="95"/>
      <c r="R207" s="993">
        <f t="shared" si="284"/>
        <v>0</v>
      </c>
      <c r="S207" s="23">
        <f t="shared" si="298"/>
        <v>0</v>
      </c>
      <c r="T207" s="24">
        <f t="shared" si="299"/>
        <v>0</v>
      </c>
      <c r="U207" s="24">
        <f t="shared" si="300"/>
        <v>0</v>
      </c>
      <c r="V207" s="24">
        <f t="shared" si="301"/>
        <v>0</v>
      </c>
      <c r="W207" s="24">
        <f t="shared" si="302"/>
        <v>0</v>
      </c>
      <c r="X207" s="72">
        <f t="shared" si="303"/>
        <v>0</v>
      </c>
      <c r="Y207" s="72">
        <f t="shared" si="304"/>
        <v>0</v>
      </c>
      <c r="Z207" s="24">
        <f t="shared" si="285"/>
        <v>0</v>
      </c>
      <c r="AA207" s="72">
        <f t="shared" si="305"/>
        <v>0</v>
      </c>
      <c r="AB207" s="24">
        <f t="shared" si="306"/>
        <v>0</v>
      </c>
      <c r="AC207" s="24" t="s">
        <v>5</v>
      </c>
      <c r="AD207" s="25">
        <f t="shared" si="286"/>
        <v>3</v>
      </c>
      <c r="AE207" s="25">
        <f t="shared" si="287"/>
        <v>0</v>
      </c>
      <c r="AF207" s="25">
        <f t="shared" si="288"/>
        <v>0</v>
      </c>
      <c r="AG207" s="25">
        <f t="shared" si="307"/>
        <v>1</v>
      </c>
      <c r="AH207" s="25" t="str">
        <f>IFERROR(MATCH(DY207,'2 Staff List'!$IA$64:$IA$114,0),"x")</f>
        <v>x</v>
      </c>
      <c r="AI207" s="1181">
        <f>IFERROR(INDEX('2 Staff List'!$EX$64:$EX$114,$AH207),0)</f>
        <v>0</v>
      </c>
      <c r="AJ207" s="25">
        <f>IFERROR(INDEX('2 Staff List'!$IW$64:$IW$114,$AH207),0)</f>
        <v>0</v>
      </c>
      <c r="AK207" s="25">
        <f>IFERROR(INDEX('2 Staff List'!$IB$64:$IB$114,$AH207),0)</f>
        <v>0</v>
      </c>
      <c r="AL207" s="25">
        <f>IF(OR(NOT(ISBLANK(DV207)),CX207=1),"&lt;Non-Labor&gt;",IFERROR(IF(AH207=0,0,INDEX('2 Staff List'!$HZ$64:$HZ$114,$AH207)),0))</f>
        <v>0</v>
      </c>
      <c r="AM207" s="25">
        <f>IFERROR(INDEX('2 Staff List'!$HW$64:$HW$114,$AH207),0)</f>
        <v>0</v>
      </c>
      <c r="AN207" s="25">
        <f t="shared" si="308"/>
        <v>1</v>
      </c>
      <c r="AO207" s="25">
        <f>IF($AO$127=0,0,IFERROR(INDEX('2 Staff List'!$JH$64:$JH$114,$AH207),0))</f>
        <v>0</v>
      </c>
      <c r="AP207" s="25">
        <f>IFERROR(INDEX('2 Staff List'!$HU$64:$HU$114,$AH207),0)</f>
        <v>0</v>
      </c>
      <c r="AQ207" s="25">
        <f t="shared" si="309"/>
        <v>0</v>
      </c>
      <c r="AR207" s="25">
        <f t="shared" si="310"/>
        <v>0</v>
      </c>
      <c r="AS207" s="25">
        <f t="shared" si="311"/>
        <v>0</v>
      </c>
      <c r="AT207" s="25">
        <f t="shared" si="312"/>
        <v>0</v>
      </c>
      <c r="AU207" s="25">
        <f t="shared" si="313"/>
        <v>0</v>
      </c>
      <c r="AV207" s="25">
        <f t="shared" si="314"/>
        <v>0</v>
      </c>
      <c r="AW207" s="25">
        <f t="shared" si="315"/>
        <v>0</v>
      </c>
      <c r="AX207" s="25">
        <f t="shared" si="316"/>
        <v>0</v>
      </c>
      <c r="AY207" s="25">
        <f t="shared" si="317"/>
        <v>0</v>
      </c>
      <c r="AZ207" s="25">
        <f t="shared" si="318"/>
        <v>0</v>
      </c>
      <c r="BA207" s="25">
        <f t="shared" si="319"/>
        <v>0</v>
      </c>
      <c r="BB207" s="25">
        <f t="shared" si="320"/>
        <v>0</v>
      </c>
      <c r="BC207" s="25">
        <f>IFERROR(INDEX('2 Staff List'!KS$64:KS$114,$AH207),0)</f>
        <v>0</v>
      </c>
      <c r="BD207" s="25">
        <f>IFERROR(INDEX('2 Staff List'!KT$64:KT$114,$AH207),0)</f>
        <v>0</v>
      </c>
      <c r="BE207" s="25">
        <f>IFERROR(INDEX('2 Staff List'!KU$64:KU$114,$AH207),0)</f>
        <v>0</v>
      </c>
      <c r="BF207" s="25">
        <f>IFERROR(INDEX('2 Staff List'!KV$64:KV$114,$AH207),0)</f>
        <v>0</v>
      </c>
      <c r="BG207" s="25">
        <f>IFERROR(INDEX('2 Staff List'!KW$64:KW$114,$AH207),0)</f>
        <v>0</v>
      </c>
      <c r="BH207" s="25">
        <f>IFERROR(INDEX('2 Staff List'!KX$64:KX$114,$AH207),0)</f>
        <v>0</v>
      </c>
      <c r="BI207" s="25">
        <f>IFERROR(INDEX('2 Staff List'!KY$64:KY$114,$AH207),0)</f>
        <v>0</v>
      </c>
      <c r="BJ207" s="25">
        <f>IFERROR(INDEX('2 Staff List'!KZ$64:KZ$114,$AH207),0)</f>
        <v>0</v>
      </c>
      <c r="BK207" s="25">
        <f>IFERROR(INDEX('2 Staff List'!LA$64:LA$114,$AH207),0)</f>
        <v>0</v>
      </c>
      <c r="BL207" s="25">
        <f>IFERROR(INDEX('2 Staff List'!LB$64:LB$114,$AH207),0)</f>
        <v>0</v>
      </c>
      <c r="BM207" s="25">
        <f>IFERROR(INDEX('2 Staff List'!FT$64:FT$114,$AH207),0)</f>
        <v>0</v>
      </c>
      <c r="BN207" s="25">
        <f>IFERROR(INDEX('2 Staff List'!FU$64:FU$114,$AH207),0)</f>
        <v>0</v>
      </c>
      <c r="BO207" s="25">
        <f>IFERROR(INDEX('2 Staff List'!FV$64:FV$114,$AH207),0)</f>
        <v>0</v>
      </c>
      <c r="BP207" s="25">
        <f>IFERROR(INDEX('2 Staff List'!FW$64:FW$114,$AH207),0)</f>
        <v>0</v>
      </c>
      <c r="BQ207" s="25">
        <f>IFERROR(INDEX('2 Staff List'!FX$64:FX$114,$AH207),0)</f>
        <v>0</v>
      </c>
      <c r="BR207" s="25">
        <f>IFERROR(INDEX('2 Staff List'!FY$64:FY$114,$AH207),0)</f>
        <v>0</v>
      </c>
      <c r="BS207" s="25">
        <f>IFERROR(INDEX('2 Staff List'!FZ$64:FZ$114,$AH207),0)</f>
        <v>0</v>
      </c>
      <c r="BT207" s="25">
        <f>IFERROR(INDEX('2 Staff List'!GA$64:GA$114,$AH207),0)</f>
        <v>0</v>
      </c>
      <c r="BU207" s="25">
        <f>IFERROR(INDEX('2 Staff List'!GB$64:GB$114,$AH207),0)</f>
        <v>0</v>
      </c>
      <c r="BV207" s="25">
        <f>IFERROR(INDEX('2 Staff List'!GC$64:GC$114,$AH207),0)</f>
        <v>0</v>
      </c>
      <c r="BW207" s="25">
        <f t="shared" si="321"/>
        <v>0</v>
      </c>
      <c r="BX207" s="25">
        <f t="shared" si="322"/>
        <v>0</v>
      </c>
      <c r="BY207" s="25">
        <f t="shared" si="323"/>
        <v>0</v>
      </c>
      <c r="BZ207" s="25">
        <f t="shared" si="324"/>
        <v>0</v>
      </c>
      <c r="CA207" s="25">
        <f t="shared" si="325"/>
        <v>0</v>
      </c>
      <c r="CB207" s="25">
        <f t="shared" si="326"/>
        <v>0</v>
      </c>
      <c r="CC207" s="25">
        <f t="shared" si="327"/>
        <v>0</v>
      </c>
      <c r="CD207" s="25">
        <f t="shared" si="328"/>
        <v>0</v>
      </c>
      <c r="CE207" s="25">
        <f t="shared" si="329"/>
        <v>0</v>
      </c>
      <c r="CF207" s="25">
        <f t="shared" si="330"/>
        <v>0</v>
      </c>
      <c r="CG207" s="25">
        <f t="shared" si="331"/>
        <v>0</v>
      </c>
      <c r="CH207" s="25">
        <f>IFERROR(INDEX('2 Staff List'!LO$64:LO$114,$AH207),0)</f>
        <v>0</v>
      </c>
      <c r="CI207" s="25">
        <f>IFERROR(INDEX('2 Staff List'!LP$64:LP$114,$AH207),0)</f>
        <v>0</v>
      </c>
      <c r="CJ207" s="25">
        <f>IFERROR(INDEX('2 Staff List'!LQ$64:LQ$114,$AH207),0)</f>
        <v>0</v>
      </c>
      <c r="CK207" s="25">
        <f>IFERROR(INDEX('2 Staff List'!LR$64:LR$114,$AH207),0)</f>
        <v>0</v>
      </c>
      <c r="CL207" s="25">
        <f>IFERROR(INDEX('2 Staff List'!LS$64:LS$114,$AH207),0)</f>
        <v>0</v>
      </c>
      <c r="CM207" s="25">
        <f>IFERROR(INDEX('2 Staff List'!LT$64:LT$114,$AH207),0)</f>
        <v>0</v>
      </c>
      <c r="CN207" s="25">
        <f>IFERROR(INDEX('2 Staff List'!LU$64:LU$114,$AH207),0)</f>
        <v>0</v>
      </c>
      <c r="CO207" s="25">
        <f>IFERROR(INDEX('2 Staff List'!LV$64:LV$114,$AH207),0)</f>
        <v>0</v>
      </c>
      <c r="CP207" s="25">
        <f>IFERROR(INDEX('2 Staff List'!LW$64:LW$114,$AH207),0)</f>
        <v>0</v>
      </c>
      <c r="CQ207" s="25">
        <f>IFERROR(INDEX('2 Staff List'!LX$64:LX$114,$AH207),0)</f>
        <v>0</v>
      </c>
      <c r="CR207" s="25">
        <f t="shared" si="289"/>
        <v>0</v>
      </c>
      <c r="CS207" s="25">
        <f t="shared" si="349"/>
        <v>1</v>
      </c>
      <c r="CT207" s="25">
        <f t="shared" si="333"/>
        <v>1</v>
      </c>
      <c r="CU207" s="25">
        <f t="shared" si="334"/>
        <v>1</v>
      </c>
      <c r="CV207" s="25">
        <f t="shared" si="335"/>
        <v>1</v>
      </c>
      <c r="CW207" s="25">
        <f t="shared" si="336"/>
        <v>1</v>
      </c>
      <c r="CX207" s="25">
        <f t="shared" si="337"/>
        <v>0</v>
      </c>
      <c r="CY207" s="25">
        <f t="shared" si="338"/>
        <v>0</v>
      </c>
      <c r="CZ207" s="25">
        <f t="shared" si="339"/>
        <v>0</v>
      </c>
      <c r="DA207" s="25">
        <f t="shared" si="340"/>
        <v>1</v>
      </c>
      <c r="DB207" s="25">
        <f t="shared" si="290"/>
        <v>1</v>
      </c>
      <c r="DC207" s="25">
        <f t="shared" si="341"/>
        <v>0</v>
      </c>
      <c r="DD207" s="25">
        <f>IF(OR($AD207&lt;&gt;3,F207="Exclude"),0,IF(ISERROR(MATCH($E207,'4 Sign-off'!$S$123:$X$123,0)),0,1))</f>
        <v>0</v>
      </c>
      <c r="DE207" s="25">
        <f t="shared" si="291"/>
        <v>0</v>
      </c>
      <c r="DF207" s="25">
        <f t="shared" si="342"/>
        <v>0</v>
      </c>
      <c r="DG207" s="25" t="str">
        <f t="shared" si="343"/>
        <v/>
      </c>
      <c r="DH207" s="25">
        <f t="shared" si="344"/>
        <v>0</v>
      </c>
      <c r="DI207" s="25">
        <f t="shared" si="345"/>
        <v>0</v>
      </c>
      <c r="DJ207" s="25">
        <f>IF(ISBLANK(J207),0,ISERROR(MATCH(J207,'5  Control Accounts'!$FA$29:$FA$96,0))*1)</f>
        <v>0</v>
      </c>
      <c r="DK207" s="25">
        <f t="shared" si="346"/>
        <v>0</v>
      </c>
      <c r="DL207" s="25">
        <f t="shared" si="292"/>
        <v>-1</v>
      </c>
      <c r="DM207" s="25" t="e">
        <f t="array" ref="DM207">MATCH(1,($EG207:$JD207&gt;0)*$EG$17:$JD$17,0)</f>
        <v>#N/A</v>
      </c>
      <c r="DN207" s="25" t="e">
        <f t="shared" si="293"/>
        <v>#N/A</v>
      </c>
      <c r="DO207" s="25" t="e">
        <f t="array" ref="DO207">MATCH(2,1/(EG207:JD207&gt;0))</f>
        <v>#N/A</v>
      </c>
      <c r="DP207" s="2993">
        <f t="shared" si="347"/>
        <v>0</v>
      </c>
      <c r="DQ207" s="3037">
        <f t="shared" si="348"/>
        <v>0</v>
      </c>
      <c r="DR207" s="111"/>
      <c r="DS207" s="1268">
        <f t="shared" si="282"/>
        <v>0</v>
      </c>
      <c r="DT207" s="1825"/>
      <c r="DU207" s="1826"/>
      <c r="DV207" s="1827"/>
      <c r="DW207" s="1828"/>
      <c r="DX207" s="659"/>
      <c r="DY207" s="1265"/>
      <c r="DZ207" s="1785">
        <f t="shared" si="294"/>
        <v>0</v>
      </c>
      <c r="EA207" s="1786">
        <f t="shared" si="295"/>
        <v>0</v>
      </c>
      <c r="EB207" s="1781">
        <f t="shared" si="296"/>
        <v>0</v>
      </c>
      <c r="EC207" s="1782">
        <f t="shared" si="297"/>
        <v>0</v>
      </c>
      <c r="ED207" s="1262"/>
      <c r="EE207" s="2280"/>
      <c r="EF207" s="1802"/>
      <c r="EG207" s="167"/>
      <c r="EH207" s="168"/>
      <c r="EI207" s="168"/>
      <c r="EJ207" s="168"/>
      <c r="EK207" s="168"/>
      <c r="EL207" s="168"/>
      <c r="EM207" s="168"/>
      <c r="EN207" s="168"/>
      <c r="EO207" s="168"/>
      <c r="EP207" s="168"/>
      <c r="EQ207" s="168"/>
      <c r="ER207" s="168"/>
      <c r="ES207" s="168"/>
      <c r="ET207" s="168"/>
      <c r="EU207" s="168"/>
      <c r="EV207" s="168"/>
      <c r="EW207" s="168"/>
      <c r="EX207" s="168"/>
      <c r="EY207" s="168"/>
      <c r="EZ207" s="168"/>
      <c r="FA207" s="168"/>
      <c r="FB207" s="168"/>
      <c r="FC207" s="168"/>
      <c r="FD207" s="168"/>
      <c r="FE207" s="168"/>
      <c r="FF207" s="168"/>
      <c r="FG207" s="168"/>
      <c r="FH207" s="168"/>
      <c r="FI207" s="168"/>
      <c r="FJ207" s="168"/>
      <c r="FK207" s="168"/>
      <c r="FL207" s="168"/>
      <c r="FM207" s="168"/>
      <c r="FN207" s="168"/>
      <c r="FO207" s="168"/>
      <c r="FP207" s="168"/>
      <c r="FQ207" s="168"/>
      <c r="FR207" s="168"/>
      <c r="FS207" s="168"/>
      <c r="FT207" s="168"/>
      <c r="FU207" s="168"/>
      <c r="FV207" s="168"/>
      <c r="FW207" s="168"/>
      <c r="FX207" s="168"/>
      <c r="FY207" s="168"/>
      <c r="FZ207" s="168"/>
      <c r="GA207" s="168"/>
      <c r="GB207" s="168"/>
      <c r="GC207" s="168"/>
      <c r="GD207" s="168"/>
      <c r="GE207" s="168"/>
      <c r="GF207" s="168"/>
      <c r="GG207" s="168"/>
      <c r="GH207" s="168"/>
      <c r="GI207" s="168"/>
      <c r="GJ207" s="168"/>
      <c r="GK207" s="168"/>
      <c r="GL207" s="168"/>
      <c r="GM207" s="168"/>
      <c r="GN207" s="168"/>
      <c r="GO207" s="168"/>
      <c r="GP207" s="168"/>
      <c r="GQ207" s="168"/>
      <c r="GR207" s="168"/>
      <c r="GS207" s="168"/>
      <c r="GT207" s="168"/>
      <c r="GU207" s="168"/>
      <c r="GV207" s="168"/>
      <c r="GW207" s="168"/>
      <c r="GX207" s="168"/>
      <c r="GY207" s="168"/>
      <c r="GZ207" s="168"/>
      <c r="HA207" s="168"/>
      <c r="HB207" s="168"/>
      <c r="HC207" s="168"/>
      <c r="HD207" s="168"/>
      <c r="HE207" s="168"/>
      <c r="HF207" s="168"/>
      <c r="HG207" s="168"/>
      <c r="HH207" s="168"/>
      <c r="HI207" s="168"/>
      <c r="HJ207" s="168"/>
      <c r="HK207" s="168"/>
      <c r="HL207" s="168"/>
      <c r="HM207" s="168"/>
      <c r="HN207" s="168"/>
      <c r="HO207" s="168"/>
      <c r="HP207" s="168"/>
      <c r="HQ207" s="168"/>
      <c r="HR207" s="168"/>
      <c r="HS207" s="168"/>
      <c r="HT207" s="168"/>
      <c r="HU207" s="168"/>
      <c r="HV207" s="168"/>
      <c r="HW207" s="168"/>
      <c r="HX207" s="168"/>
      <c r="HY207" s="168"/>
      <c r="HZ207" s="168"/>
      <c r="IA207" s="168"/>
      <c r="IB207" s="168"/>
      <c r="IC207" s="168"/>
      <c r="ID207" s="168"/>
      <c r="IE207" s="168"/>
      <c r="IF207" s="168"/>
      <c r="IG207" s="168"/>
      <c r="IH207" s="168"/>
      <c r="II207" s="168"/>
      <c r="IJ207" s="168"/>
      <c r="IK207" s="168"/>
      <c r="IL207" s="168"/>
      <c r="IM207" s="168"/>
      <c r="IN207" s="168"/>
      <c r="IO207" s="168"/>
      <c r="IP207" s="168"/>
      <c r="IQ207" s="168"/>
      <c r="IR207" s="168"/>
      <c r="IS207" s="168"/>
      <c r="IT207" s="168"/>
      <c r="IU207" s="168"/>
      <c r="IV207" s="168"/>
      <c r="IW207" s="168"/>
      <c r="IX207" s="168"/>
      <c r="IY207" s="168"/>
      <c r="IZ207" s="168"/>
      <c r="JA207" s="168"/>
      <c r="JB207" s="168"/>
      <c r="JC207" s="606"/>
      <c r="JD207" s="609"/>
      <c r="JE207" s="1"/>
      <c r="JF207" s="1"/>
    </row>
    <row r="208" spans="1:266" s="2" customFormat="1" ht="15" customHeight="1" x14ac:dyDescent="0.25">
      <c r="A208" s="283"/>
      <c r="B208" s="303"/>
      <c r="C208" s="301"/>
      <c r="D208" s="638"/>
      <c r="E208" s="2298"/>
      <c r="F208" s="1812"/>
      <c r="G208" s="3342"/>
      <c r="H208" s="66"/>
      <c r="I208" s="1746"/>
      <c r="J208" s="86"/>
      <c r="K208" s="105"/>
      <c r="L208" s="91"/>
      <c r="M208" s="92"/>
      <c r="N208" s="93"/>
      <c r="O208" s="94"/>
      <c r="P208" s="96"/>
      <c r="Q208" s="95"/>
      <c r="R208" s="993">
        <f t="shared" si="284"/>
        <v>0</v>
      </c>
      <c r="S208" s="23">
        <f t="shared" si="298"/>
        <v>0</v>
      </c>
      <c r="T208" s="24">
        <f t="shared" si="299"/>
        <v>0</v>
      </c>
      <c r="U208" s="24">
        <f t="shared" si="300"/>
        <v>0</v>
      </c>
      <c r="V208" s="24">
        <f t="shared" si="301"/>
        <v>0</v>
      </c>
      <c r="W208" s="24">
        <f t="shared" si="302"/>
        <v>0</v>
      </c>
      <c r="X208" s="72">
        <f t="shared" si="303"/>
        <v>0</v>
      </c>
      <c r="Y208" s="72">
        <f t="shared" si="304"/>
        <v>0</v>
      </c>
      <c r="Z208" s="24">
        <f t="shared" si="285"/>
        <v>0</v>
      </c>
      <c r="AA208" s="72">
        <f t="shared" si="305"/>
        <v>0</v>
      </c>
      <c r="AB208" s="24">
        <f t="shared" si="306"/>
        <v>0</v>
      </c>
      <c r="AC208" s="24" t="s">
        <v>5</v>
      </c>
      <c r="AD208" s="25">
        <f t="shared" si="286"/>
        <v>3</v>
      </c>
      <c r="AE208" s="25">
        <f t="shared" si="287"/>
        <v>0</v>
      </c>
      <c r="AF208" s="25">
        <f t="shared" si="288"/>
        <v>0</v>
      </c>
      <c r="AG208" s="25">
        <f t="shared" si="307"/>
        <v>1</v>
      </c>
      <c r="AH208" s="25" t="str">
        <f>IFERROR(MATCH(DY208,'2 Staff List'!$IA$64:$IA$114,0),"x")</f>
        <v>x</v>
      </c>
      <c r="AI208" s="1181">
        <f>IFERROR(INDEX('2 Staff List'!$EX$64:$EX$114,$AH208),0)</f>
        <v>0</v>
      </c>
      <c r="AJ208" s="25">
        <f>IFERROR(INDEX('2 Staff List'!$IW$64:$IW$114,$AH208),0)</f>
        <v>0</v>
      </c>
      <c r="AK208" s="25">
        <f>IFERROR(INDEX('2 Staff List'!$IB$64:$IB$114,$AH208),0)</f>
        <v>0</v>
      </c>
      <c r="AL208" s="25">
        <f>IF(OR(NOT(ISBLANK(DV208)),CX208=1),"&lt;Non-Labor&gt;",IFERROR(IF(AH208=0,0,INDEX('2 Staff List'!$HZ$64:$HZ$114,$AH208)),0))</f>
        <v>0</v>
      </c>
      <c r="AM208" s="25">
        <f>IFERROR(INDEX('2 Staff List'!$HW$64:$HW$114,$AH208),0)</f>
        <v>0</v>
      </c>
      <c r="AN208" s="25">
        <f t="shared" si="308"/>
        <v>1</v>
      </c>
      <c r="AO208" s="25">
        <f>IF($AO$127=0,0,IFERROR(INDEX('2 Staff List'!$JH$64:$JH$114,$AH208),0))</f>
        <v>0</v>
      </c>
      <c r="AP208" s="25">
        <f>IFERROR(INDEX('2 Staff List'!$HU$64:$HU$114,$AH208),0)</f>
        <v>0</v>
      </c>
      <c r="AQ208" s="25">
        <f t="shared" si="309"/>
        <v>0</v>
      </c>
      <c r="AR208" s="25">
        <f t="shared" si="310"/>
        <v>0</v>
      </c>
      <c r="AS208" s="25">
        <f t="shared" si="311"/>
        <v>0</v>
      </c>
      <c r="AT208" s="25">
        <f t="shared" si="312"/>
        <v>0</v>
      </c>
      <c r="AU208" s="25">
        <f t="shared" si="313"/>
        <v>0</v>
      </c>
      <c r="AV208" s="25">
        <f t="shared" si="314"/>
        <v>0</v>
      </c>
      <c r="AW208" s="25">
        <f t="shared" si="315"/>
        <v>0</v>
      </c>
      <c r="AX208" s="25">
        <f t="shared" si="316"/>
        <v>0</v>
      </c>
      <c r="AY208" s="25">
        <f t="shared" si="317"/>
        <v>0</v>
      </c>
      <c r="AZ208" s="25">
        <f t="shared" si="318"/>
        <v>0</v>
      </c>
      <c r="BA208" s="25">
        <f t="shared" si="319"/>
        <v>0</v>
      </c>
      <c r="BB208" s="25">
        <f t="shared" si="320"/>
        <v>0</v>
      </c>
      <c r="BC208" s="25">
        <f>IFERROR(INDEX('2 Staff List'!KS$64:KS$114,$AH208),0)</f>
        <v>0</v>
      </c>
      <c r="BD208" s="25">
        <f>IFERROR(INDEX('2 Staff List'!KT$64:KT$114,$AH208),0)</f>
        <v>0</v>
      </c>
      <c r="BE208" s="25">
        <f>IFERROR(INDEX('2 Staff List'!KU$64:KU$114,$AH208),0)</f>
        <v>0</v>
      </c>
      <c r="BF208" s="25">
        <f>IFERROR(INDEX('2 Staff List'!KV$64:KV$114,$AH208),0)</f>
        <v>0</v>
      </c>
      <c r="BG208" s="25">
        <f>IFERROR(INDEX('2 Staff List'!KW$64:KW$114,$AH208),0)</f>
        <v>0</v>
      </c>
      <c r="BH208" s="25">
        <f>IFERROR(INDEX('2 Staff List'!KX$64:KX$114,$AH208),0)</f>
        <v>0</v>
      </c>
      <c r="BI208" s="25">
        <f>IFERROR(INDEX('2 Staff List'!KY$64:KY$114,$AH208),0)</f>
        <v>0</v>
      </c>
      <c r="BJ208" s="25">
        <f>IFERROR(INDEX('2 Staff List'!KZ$64:KZ$114,$AH208),0)</f>
        <v>0</v>
      </c>
      <c r="BK208" s="25">
        <f>IFERROR(INDEX('2 Staff List'!LA$64:LA$114,$AH208),0)</f>
        <v>0</v>
      </c>
      <c r="BL208" s="25">
        <f>IFERROR(INDEX('2 Staff List'!LB$64:LB$114,$AH208),0)</f>
        <v>0</v>
      </c>
      <c r="BM208" s="25">
        <f>IFERROR(INDEX('2 Staff List'!FT$64:FT$114,$AH208),0)</f>
        <v>0</v>
      </c>
      <c r="BN208" s="25">
        <f>IFERROR(INDEX('2 Staff List'!FU$64:FU$114,$AH208),0)</f>
        <v>0</v>
      </c>
      <c r="BO208" s="25">
        <f>IFERROR(INDEX('2 Staff List'!FV$64:FV$114,$AH208),0)</f>
        <v>0</v>
      </c>
      <c r="BP208" s="25">
        <f>IFERROR(INDEX('2 Staff List'!FW$64:FW$114,$AH208),0)</f>
        <v>0</v>
      </c>
      <c r="BQ208" s="25">
        <f>IFERROR(INDEX('2 Staff List'!FX$64:FX$114,$AH208),0)</f>
        <v>0</v>
      </c>
      <c r="BR208" s="25">
        <f>IFERROR(INDEX('2 Staff List'!FY$64:FY$114,$AH208),0)</f>
        <v>0</v>
      </c>
      <c r="BS208" s="25">
        <f>IFERROR(INDEX('2 Staff List'!FZ$64:FZ$114,$AH208),0)</f>
        <v>0</v>
      </c>
      <c r="BT208" s="25">
        <f>IFERROR(INDEX('2 Staff List'!GA$64:GA$114,$AH208),0)</f>
        <v>0</v>
      </c>
      <c r="BU208" s="25">
        <f>IFERROR(INDEX('2 Staff List'!GB$64:GB$114,$AH208),0)</f>
        <v>0</v>
      </c>
      <c r="BV208" s="25">
        <f>IFERROR(INDEX('2 Staff List'!GC$64:GC$114,$AH208),0)</f>
        <v>0</v>
      </c>
      <c r="BW208" s="25">
        <f t="shared" si="321"/>
        <v>0</v>
      </c>
      <c r="BX208" s="25">
        <f t="shared" si="322"/>
        <v>0</v>
      </c>
      <c r="BY208" s="25">
        <f t="shared" si="323"/>
        <v>0</v>
      </c>
      <c r="BZ208" s="25">
        <f t="shared" si="324"/>
        <v>0</v>
      </c>
      <c r="CA208" s="25">
        <f t="shared" si="325"/>
        <v>0</v>
      </c>
      <c r="CB208" s="25">
        <f t="shared" si="326"/>
        <v>0</v>
      </c>
      <c r="CC208" s="25">
        <f t="shared" si="327"/>
        <v>0</v>
      </c>
      <c r="CD208" s="25">
        <f t="shared" si="328"/>
        <v>0</v>
      </c>
      <c r="CE208" s="25">
        <f t="shared" si="329"/>
        <v>0</v>
      </c>
      <c r="CF208" s="25">
        <f t="shared" si="330"/>
        <v>0</v>
      </c>
      <c r="CG208" s="25">
        <f t="shared" si="331"/>
        <v>0</v>
      </c>
      <c r="CH208" s="25">
        <f>IFERROR(INDEX('2 Staff List'!LO$64:LO$114,$AH208),0)</f>
        <v>0</v>
      </c>
      <c r="CI208" s="25">
        <f>IFERROR(INDEX('2 Staff List'!LP$64:LP$114,$AH208),0)</f>
        <v>0</v>
      </c>
      <c r="CJ208" s="25">
        <f>IFERROR(INDEX('2 Staff List'!LQ$64:LQ$114,$AH208),0)</f>
        <v>0</v>
      </c>
      <c r="CK208" s="25">
        <f>IFERROR(INDEX('2 Staff List'!LR$64:LR$114,$AH208),0)</f>
        <v>0</v>
      </c>
      <c r="CL208" s="25">
        <f>IFERROR(INDEX('2 Staff List'!LS$64:LS$114,$AH208),0)</f>
        <v>0</v>
      </c>
      <c r="CM208" s="25">
        <f>IFERROR(INDEX('2 Staff List'!LT$64:LT$114,$AH208),0)</f>
        <v>0</v>
      </c>
      <c r="CN208" s="25">
        <f>IFERROR(INDEX('2 Staff List'!LU$64:LU$114,$AH208),0)</f>
        <v>0</v>
      </c>
      <c r="CO208" s="25">
        <f>IFERROR(INDEX('2 Staff List'!LV$64:LV$114,$AH208),0)</f>
        <v>0</v>
      </c>
      <c r="CP208" s="25">
        <f>IFERROR(INDEX('2 Staff List'!LW$64:LW$114,$AH208),0)</f>
        <v>0</v>
      </c>
      <c r="CQ208" s="25">
        <f>IFERROR(INDEX('2 Staff List'!LX$64:LX$114,$AH208),0)</f>
        <v>0</v>
      </c>
      <c r="CR208" s="25">
        <f t="shared" si="289"/>
        <v>0</v>
      </c>
      <c r="CS208" s="25">
        <f t="shared" si="349"/>
        <v>1</v>
      </c>
      <c r="CT208" s="25">
        <f t="shared" si="333"/>
        <v>1</v>
      </c>
      <c r="CU208" s="25">
        <f t="shared" si="334"/>
        <v>1</v>
      </c>
      <c r="CV208" s="25">
        <f t="shared" si="335"/>
        <v>1</v>
      </c>
      <c r="CW208" s="25">
        <f t="shared" si="336"/>
        <v>1</v>
      </c>
      <c r="CX208" s="25">
        <f t="shared" si="337"/>
        <v>0</v>
      </c>
      <c r="CY208" s="25">
        <f t="shared" si="338"/>
        <v>0</v>
      </c>
      <c r="CZ208" s="25">
        <f t="shared" si="339"/>
        <v>0</v>
      </c>
      <c r="DA208" s="25">
        <f t="shared" si="340"/>
        <v>1</v>
      </c>
      <c r="DB208" s="25">
        <f t="shared" si="290"/>
        <v>1</v>
      </c>
      <c r="DC208" s="25">
        <f t="shared" si="341"/>
        <v>0</v>
      </c>
      <c r="DD208" s="25">
        <f>IF(OR($AD208&lt;&gt;3,F208="Exclude"),0,IF(ISERROR(MATCH($E208,'4 Sign-off'!$S$123:$X$123,0)),0,1))</f>
        <v>0</v>
      </c>
      <c r="DE208" s="25">
        <f t="shared" si="291"/>
        <v>0</v>
      </c>
      <c r="DF208" s="25">
        <f t="shared" si="342"/>
        <v>0</v>
      </c>
      <c r="DG208" s="25" t="str">
        <f t="shared" si="343"/>
        <v/>
      </c>
      <c r="DH208" s="25">
        <f t="shared" si="344"/>
        <v>0</v>
      </c>
      <c r="DI208" s="25">
        <f t="shared" si="345"/>
        <v>0</v>
      </c>
      <c r="DJ208" s="25">
        <f>IF(ISBLANK(J208),0,ISERROR(MATCH(J208,'5  Control Accounts'!$FA$29:$FA$96,0))*1)</f>
        <v>0</v>
      </c>
      <c r="DK208" s="25">
        <f t="shared" si="346"/>
        <v>0</v>
      </c>
      <c r="DL208" s="25">
        <f t="shared" si="292"/>
        <v>-1</v>
      </c>
      <c r="DM208" s="25" t="e">
        <f t="array" ref="DM208">MATCH(1,($EG208:$JD208&gt;0)*$EG$17:$JD$17,0)</f>
        <v>#N/A</v>
      </c>
      <c r="DN208" s="25" t="e">
        <f t="shared" si="293"/>
        <v>#N/A</v>
      </c>
      <c r="DO208" s="25" t="e">
        <f t="array" ref="DO208">MATCH(2,1/(EG208:JD208&gt;0))</f>
        <v>#N/A</v>
      </c>
      <c r="DP208" s="2993">
        <f t="shared" si="347"/>
        <v>0</v>
      </c>
      <c r="DQ208" s="3037">
        <f t="shared" si="348"/>
        <v>0</v>
      </c>
      <c r="DR208" s="111"/>
      <c r="DS208" s="1268">
        <f t="shared" si="282"/>
        <v>0</v>
      </c>
      <c r="DT208" s="1825"/>
      <c r="DU208" s="1826"/>
      <c r="DV208" s="1827"/>
      <c r="DW208" s="1828"/>
      <c r="DX208" s="659"/>
      <c r="DY208" s="1265"/>
      <c r="DZ208" s="1785">
        <f t="shared" si="294"/>
        <v>0</v>
      </c>
      <c r="EA208" s="1786">
        <f t="shared" si="295"/>
        <v>0</v>
      </c>
      <c r="EB208" s="1781">
        <f t="shared" si="296"/>
        <v>0</v>
      </c>
      <c r="EC208" s="1782">
        <f t="shared" si="297"/>
        <v>0</v>
      </c>
      <c r="ED208" s="1262"/>
      <c r="EE208" s="2280"/>
      <c r="EF208" s="1802"/>
      <c r="EG208" s="167"/>
      <c r="EH208" s="168"/>
      <c r="EI208" s="168"/>
      <c r="EJ208" s="168"/>
      <c r="EK208" s="168"/>
      <c r="EL208" s="168"/>
      <c r="EM208" s="168"/>
      <c r="EN208" s="168"/>
      <c r="EO208" s="168"/>
      <c r="EP208" s="168"/>
      <c r="EQ208" s="168"/>
      <c r="ER208" s="168"/>
      <c r="ES208" s="168"/>
      <c r="ET208" s="168"/>
      <c r="EU208" s="168"/>
      <c r="EV208" s="168"/>
      <c r="EW208" s="168"/>
      <c r="EX208" s="168"/>
      <c r="EY208" s="168"/>
      <c r="EZ208" s="168"/>
      <c r="FA208" s="168"/>
      <c r="FB208" s="168"/>
      <c r="FC208" s="168"/>
      <c r="FD208" s="168"/>
      <c r="FE208" s="168"/>
      <c r="FF208" s="168"/>
      <c r="FG208" s="168"/>
      <c r="FH208" s="168"/>
      <c r="FI208" s="168"/>
      <c r="FJ208" s="168"/>
      <c r="FK208" s="168"/>
      <c r="FL208" s="168"/>
      <c r="FM208" s="168"/>
      <c r="FN208" s="168"/>
      <c r="FO208" s="168"/>
      <c r="FP208" s="168"/>
      <c r="FQ208" s="168"/>
      <c r="FR208" s="168"/>
      <c r="FS208" s="168"/>
      <c r="FT208" s="168"/>
      <c r="FU208" s="168"/>
      <c r="FV208" s="168"/>
      <c r="FW208" s="168"/>
      <c r="FX208" s="168"/>
      <c r="FY208" s="168"/>
      <c r="FZ208" s="168"/>
      <c r="GA208" s="168"/>
      <c r="GB208" s="168"/>
      <c r="GC208" s="168"/>
      <c r="GD208" s="168"/>
      <c r="GE208" s="168"/>
      <c r="GF208" s="168"/>
      <c r="GG208" s="168"/>
      <c r="GH208" s="168"/>
      <c r="GI208" s="168"/>
      <c r="GJ208" s="168"/>
      <c r="GK208" s="168"/>
      <c r="GL208" s="168"/>
      <c r="GM208" s="168"/>
      <c r="GN208" s="168"/>
      <c r="GO208" s="168"/>
      <c r="GP208" s="168"/>
      <c r="GQ208" s="168"/>
      <c r="GR208" s="168"/>
      <c r="GS208" s="168"/>
      <c r="GT208" s="168"/>
      <c r="GU208" s="168"/>
      <c r="GV208" s="168"/>
      <c r="GW208" s="168"/>
      <c r="GX208" s="168"/>
      <c r="GY208" s="168"/>
      <c r="GZ208" s="168"/>
      <c r="HA208" s="168"/>
      <c r="HB208" s="168"/>
      <c r="HC208" s="168"/>
      <c r="HD208" s="168"/>
      <c r="HE208" s="168"/>
      <c r="HF208" s="168"/>
      <c r="HG208" s="168"/>
      <c r="HH208" s="168"/>
      <c r="HI208" s="168"/>
      <c r="HJ208" s="168"/>
      <c r="HK208" s="168"/>
      <c r="HL208" s="168"/>
      <c r="HM208" s="168"/>
      <c r="HN208" s="168"/>
      <c r="HO208" s="168"/>
      <c r="HP208" s="168"/>
      <c r="HQ208" s="168"/>
      <c r="HR208" s="168"/>
      <c r="HS208" s="168"/>
      <c r="HT208" s="168"/>
      <c r="HU208" s="168"/>
      <c r="HV208" s="168"/>
      <c r="HW208" s="168"/>
      <c r="HX208" s="168"/>
      <c r="HY208" s="168"/>
      <c r="HZ208" s="168"/>
      <c r="IA208" s="168"/>
      <c r="IB208" s="168"/>
      <c r="IC208" s="168"/>
      <c r="ID208" s="168"/>
      <c r="IE208" s="168"/>
      <c r="IF208" s="168"/>
      <c r="IG208" s="168"/>
      <c r="IH208" s="168"/>
      <c r="II208" s="168"/>
      <c r="IJ208" s="168"/>
      <c r="IK208" s="168"/>
      <c r="IL208" s="168"/>
      <c r="IM208" s="168"/>
      <c r="IN208" s="168"/>
      <c r="IO208" s="168"/>
      <c r="IP208" s="168"/>
      <c r="IQ208" s="168"/>
      <c r="IR208" s="168"/>
      <c r="IS208" s="168"/>
      <c r="IT208" s="168"/>
      <c r="IU208" s="168"/>
      <c r="IV208" s="168"/>
      <c r="IW208" s="168"/>
      <c r="IX208" s="168"/>
      <c r="IY208" s="168"/>
      <c r="IZ208" s="168"/>
      <c r="JA208" s="168"/>
      <c r="JB208" s="168"/>
      <c r="JC208" s="606"/>
      <c r="JD208" s="609"/>
      <c r="JE208" s="1"/>
      <c r="JF208" s="1"/>
    </row>
    <row r="209" spans="1:266" s="2" customFormat="1" ht="15" customHeight="1" x14ac:dyDescent="0.25">
      <c r="A209" s="283"/>
      <c r="B209" s="303"/>
      <c r="C209" s="301"/>
      <c r="D209" s="638"/>
      <c r="E209" s="2298"/>
      <c r="F209" s="1812"/>
      <c r="G209" s="3342"/>
      <c r="H209" s="66"/>
      <c r="I209" s="1746"/>
      <c r="J209" s="86"/>
      <c r="K209" s="105"/>
      <c r="L209" s="91"/>
      <c r="M209" s="92"/>
      <c r="N209" s="93"/>
      <c r="O209" s="94"/>
      <c r="P209" s="96"/>
      <c r="Q209" s="95"/>
      <c r="R209" s="993">
        <f t="shared" si="284"/>
        <v>0</v>
      </c>
      <c r="S209" s="23">
        <f t="shared" si="298"/>
        <v>0</v>
      </c>
      <c r="T209" s="24">
        <f t="shared" si="299"/>
        <v>0</v>
      </c>
      <c r="U209" s="24">
        <f t="shared" si="300"/>
        <v>0</v>
      </c>
      <c r="V209" s="24">
        <f t="shared" si="301"/>
        <v>0</v>
      </c>
      <c r="W209" s="24">
        <f t="shared" si="302"/>
        <v>0</v>
      </c>
      <c r="X209" s="72">
        <f t="shared" si="303"/>
        <v>0</v>
      </c>
      <c r="Y209" s="72">
        <f t="shared" si="304"/>
        <v>0</v>
      </c>
      <c r="Z209" s="24">
        <f t="shared" si="285"/>
        <v>0</v>
      </c>
      <c r="AA209" s="72">
        <f t="shared" si="305"/>
        <v>0</v>
      </c>
      <c r="AB209" s="24">
        <f t="shared" si="306"/>
        <v>0</v>
      </c>
      <c r="AC209" s="24" t="s">
        <v>5</v>
      </c>
      <c r="AD209" s="25">
        <f t="shared" si="286"/>
        <v>3</v>
      </c>
      <c r="AE209" s="25">
        <f t="shared" si="287"/>
        <v>0</v>
      </c>
      <c r="AF209" s="25">
        <f t="shared" si="288"/>
        <v>0</v>
      </c>
      <c r="AG209" s="25">
        <f t="shared" si="307"/>
        <v>1</v>
      </c>
      <c r="AH209" s="25" t="str">
        <f>IFERROR(MATCH(DY209,'2 Staff List'!$IA$64:$IA$114,0),"x")</f>
        <v>x</v>
      </c>
      <c r="AI209" s="1181">
        <f>IFERROR(INDEX('2 Staff List'!$EX$64:$EX$114,$AH209),0)</f>
        <v>0</v>
      </c>
      <c r="AJ209" s="25">
        <f>IFERROR(INDEX('2 Staff List'!$IW$64:$IW$114,$AH209),0)</f>
        <v>0</v>
      </c>
      <c r="AK209" s="25">
        <f>IFERROR(INDEX('2 Staff List'!$IB$64:$IB$114,$AH209),0)</f>
        <v>0</v>
      </c>
      <c r="AL209" s="25">
        <f>IF(OR(NOT(ISBLANK(DV209)),CX209=1),"&lt;Non-Labor&gt;",IFERROR(IF(AH209=0,0,INDEX('2 Staff List'!$HZ$64:$HZ$114,$AH209)),0))</f>
        <v>0</v>
      </c>
      <c r="AM209" s="25">
        <f>IFERROR(INDEX('2 Staff List'!$HW$64:$HW$114,$AH209),0)</f>
        <v>0</v>
      </c>
      <c r="AN209" s="25">
        <f t="shared" si="308"/>
        <v>1</v>
      </c>
      <c r="AO209" s="25">
        <f>IF($AO$127=0,0,IFERROR(INDEX('2 Staff List'!$JH$64:$JH$114,$AH209),0))</f>
        <v>0</v>
      </c>
      <c r="AP209" s="25">
        <f>IFERROR(INDEX('2 Staff List'!$HU$64:$HU$114,$AH209),0)</f>
        <v>0</v>
      </c>
      <c r="AQ209" s="25">
        <f t="shared" si="309"/>
        <v>0</v>
      </c>
      <c r="AR209" s="25">
        <f t="shared" si="310"/>
        <v>0</v>
      </c>
      <c r="AS209" s="25">
        <f t="shared" si="311"/>
        <v>0</v>
      </c>
      <c r="AT209" s="25">
        <f t="shared" si="312"/>
        <v>0</v>
      </c>
      <c r="AU209" s="25">
        <f t="shared" si="313"/>
        <v>0</v>
      </c>
      <c r="AV209" s="25">
        <f t="shared" si="314"/>
        <v>0</v>
      </c>
      <c r="AW209" s="25">
        <f t="shared" si="315"/>
        <v>0</v>
      </c>
      <c r="AX209" s="25">
        <f t="shared" si="316"/>
        <v>0</v>
      </c>
      <c r="AY209" s="25">
        <f t="shared" si="317"/>
        <v>0</v>
      </c>
      <c r="AZ209" s="25">
        <f t="shared" si="318"/>
        <v>0</v>
      </c>
      <c r="BA209" s="25">
        <f t="shared" si="319"/>
        <v>0</v>
      </c>
      <c r="BB209" s="25">
        <f t="shared" si="320"/>
        <v>0</v>
      </c>
      <c r="BC209" s="25">
        <f>IFERROR(INDEX('2 Staff List'!KS$64:KS$114,$AH209),0)</f>
        <v>0</v>
      </c>
      <c r="BD209" s="25">
        <f>IFERROR(INDEX('2 Staff List'!KT$64:KT$114,$AH209),0)</f>
        <v>0</v>
      </c>
      <c r="BE209" s="25">
        <f>IFERROR(INDEX('2 Staff List'!KU$64:KU$114,$AH209),0)</f>
        <v>0</v>
      </c>
      <c r="BF209" s="25">
        <f>IFERROR(INDEX('2 Staff List'!KV$64:KV$114,$AH209),0)</f>
        <v>0</v>
      </c>
      <c r="BG209" s="25">
        <f>IFERROR(INDEX('2 Staff List'!KW$64:KW$114,$AH209),0)</f>
        <v>0</v>
      </c>
      <c r="BH209" s="25">
        <f>IFERROR(INDEX('2 Staff List'!KX$64:KX$114,$AH209),0)</f>
        <v>0</v>
      </c>
      <c r="BI209" s="25">
        <f>IFERROR(INDEX('2 Staff List'!KY$64:KY$114,$AH209),0)</f>
        <v>0</v>
      </c>
      <c r="BJ209" s="25">
        <f>IFERROR(INDEX('2 Staff List'!KZ$64:KZ$114,$AH209),0)</f>
        <v>0</v>
      </c>
      <c r="BK209" s="25">
        <f>IFERROR(INDEX('2 Staff List'!LA$64:LA$114,$AH209),0)</f>
        <v>0</v>
      </c>
      <c r="BL209" s="25">
        <f>IFERROR(INDEX('2 Staff List'!LB$64:LB$114,$AH209),0)</f>
        <v>0</v>
      </c>
      <c r="BM209" s="25">
        <f>IFERROR(INDEX('2 Staff List'!FT$64:FT$114,$AH209),0)</f>
        <v>0</v>
      </c>
      <c r="BN209" s="25">
        <f>IFERROR(INDEX('2 Staff List'!FU$64:FU$114,$AH209),0)</f>
        <v>0</v>
      </c>
      <c r="BO209" s="25">
        <f>IFERROR(INDEX('2 Staff List'!FV$64:FV$114,$AH209),0)</f>
        <v>0</v>
      </c>
      <c r="BP209" s="25">
        <f>IFERROR(INDEX('2 Staff List'!FW$64:FW$114,$AH209),0)</f>
        <v>0</v>
      </c>
      <c r="BQ209" s="25">
        <f>IFERROR(INDEX('2 Staff List'!FX$64:FX$114,$AH209),0)</f>
        <v>0</v>
      </c>
      <c r="BR209" s="25">
        <f>IFERROR(INDEX('2 Staff List'!FY$64:FY$114,$AH209),0)</f>
        <v>0</v>
      </c>
      <c r="BS209" s="25">
        <f>IFERROR(INDEX('2 Staff List'!FZ$64:FZ$114,$AH209),0)</f>
        <v>0</v>
      </c>
      <c r="BT209" s="25">
        <f>IFERROR(INDEX('2 Staff List'!GA$64:GA$114,$AH209),0)</f>
        <v>0</v>
      </c>
      <c r="BU209" s="25">
        <f>IFERROR(INDEX('2 Staff List'!GB$64:GB$114,$AH209),0)</f>
        <v>0</v>
      </c>
      <c r="BV209" s="25">
        <f>IFERROR(INDEX('2 Staff List'!GC$64:GC$114,$AH209),0)</f>
        <v>0</v>
      </c>
      <c r="BW209" s="25">
        <f t="shared" si="321"/>
        <v>0</v>
      </c>
      <c r="BX209" s="25">
        <f t="shared" si="322"/>
        <v>0</v>
      </c>
      <c r="BY209" s="25">
        <f t="shared" si="323"/>
        <v>0</v>
      </c>
      <c r="BZ209" s="25">
        <f t="shared" si="324"/>
        <v>0</v>
      </c>
      <c r="CA209" s="25">
        <f t="shared" si="325"/>
        <v>0</v>
      </c>
      <c r="CB209" s="25">
        <f t="shared" si="326"/>
        <v>0</v>
      </c>
      <c r="CC209" s="25">
        <f t="shared" si="327"/>
        <v>0</v>
      </c>
      <c r="CD209" s="25">
        <f t="shared" si="328"/>
        <v>0</v>
      </c>
      <c r="CE209" s="25">
        <f t="shared" si="329"/>
        <v>0</v>
      </c>
      <c r="CF209" s="25">
        <f t="shared" si="330"/>
        <v>0</v>
      </c>
      <c r="CG209" s="25">
        <f t="shared" si="331"/>
        <v>0</v>
      </c>
      <c r="CH209" s="25">
        <f>IFERROR(INDEX('2 Staff List'!LO$64:LO$114,$AH209),0)</f>
        <v>0</v>
      </c>
      <c r="CI209" s="25">
        <f>IFERROR(INDEX('2 Staff List'!LP$64:LP$114,$AH209),0)</f>
        <v>0</v>
      </c>
      <c r="CJ209" s="25">
        <f>IFERROR(INDEX('2 Staff List'!LQ$64:LQ$114,$AH209),0)</f>
        <v>0</v>
      </c>
      <c r="CK209" s="25">
        <f>IFERROR(INDEX('2 Staff List'!LR$64:LR$114,$AH209),0)</f>
        <v>0</v>
      </c>
      <c r="CL209" s="25">
        <f>IFERROR(INDEX('2 Staff List'!LS$64:LS$114,$AH209),0)</f>
        <v>0</v>
      </c>
      <c r="CM209" s="25">
        <f>IFERROR(INDEX('2 Staff List'!LT$64:LT$114,$AH209),0)</f>
        <v>0</v>
      </c>
      <c r="CN209" s="25">
        <f>IFERROR(INDEX('2 Staff List'!LU$64:LU$114,$AH209),0)</f>
        <v>0</v>
      </c>
      <c r="CO209" s="25">
        <f>IFERROR(INDEX('2 Staff List'!LV$64:LV$114,$AH209),0)</f>
        <v>0</v>
      </c>
      <c r="CP209" s="25">
        <f>IFERROR(INDEX('2 Staff List'!LW$64:LW$114,$AH209),0)</f>
        <v>0</v>
      </c>
      <c r="CQ209" s="25">
        <f>IFERROR(INDEX('2 Staff List'!LX$64:LX$114,$AH209),0)</f>
        <v>0</v>
      </c>
      <c r="CR209" s="25">
        <f t="shared" si="289"/>
        <v>0</v>
      </c>
      <c r="CS209" s="25">
        <f t="shared" si="349"/>
        <v>1</v>
      </c>
      <c r="CT209" s="25">
        <f t="shared" si="333"/>
        <v>1</v>
      </c>
      <c r="CU209" s="25">
        <f t="shared" si="334"/>
        <v>1</v>
      </c>
      <c r="CV209" s="25">
        <f t="shared" si="335"/>
        <v>1</v>
      </c>
      <c r="CW209" s="25">
        <f t="shared" si="336"/>
        <v>1</v>
      </c>
      <c r="CX209" s="25">
        <f t="shared" si="337"/>
        <v>0</v>
      </c>
      <c r="CY209" s="25">
        <f t="shared" si="338"/>
        <v>0</v>
      </c>
      <c r="CZ209" s="25">
        <f t="shared" si="339"/>
        <v>0</v>
      </c>
      <c r="DA209" s="25">
        <f t="shared" si="340"/>
        <v>1</v>
      </c>
      <c r="DB209" s="25">
        <f t="shared" si="290"/>
        <v>1</v>
      </c>
      <c r="DC209" s="25">
        <f t="shared" si="341"/>
        <v>0</v>
      </c>
      <c r="DD209" s="25">
        <f>IF(OR($AD209&lt;&gt;3,F209="Exclude"),0,IF(ISERROR(MATCH($E209,'4 Sign-off'!$S$123:$X$123,0)),0,1))</f>
        <v>0</v>
      </c>
      <c r="DE209" s="25">
        <f t="shared" si="291"/>
        <v>0</v>
      </c>
      <c r="DF209" s="25">
        <f t="shared" si="342"/>
        <v>0</v>
      </c>
      <c r="DG209" s="25" t="str">
        <f t="shared" si="343"/>
        <v/>
      </c>
      <c r="DH209" s="25">
        <f t="shared" si="344"/>
        <v>0</v>
      </c>
      <c r="DI209" s="25">
        <f t="shared" si="345"/>
        <v>0</v>
      </c>
      <c r="DJ209" s="25">
        <f>IF(ISBLANK(J209),0,ISERROR(MATCH(J209,'5  Control Accounts'!$FA$29:$FA$96,0))*1)</f>
        <v>0</v>
      </c>
      <c r="DK209" s="25">
        <f t="shared" si="346"/>
        <v>0</v>
      </c>
      <c r="DL209" s="25">
        <f t="shared" si="292"/>
        <v>-1</v>
      </c>
      <c r="DM209" s="25" t="e">
        <f t="array" ref="DM209">MATCH(1,($EG209:$JD209&gt;0)*$EG$17:$JD$17,0)</f>
        <v>#N/A</v>
      </c>
      <c r="DN209" s="25" t="e">
        <f t="shared" si="293"/>
        <v>#N/A</v>
      </c>
      <c r="DO209" s="25" t="e">
        <f t="array" ref="DO209">MATCH(2,1/(EG209:JD209&gt;0))</f>
        <v>#N/A</v>
      </c>
      <c r="DP209" s="2993">
        <f t="shared" si="347"/>
        <v>0</v>
      </c>
      <c r="DQ209" s="3037">
        <f t="shared" si="348"/>
        <v>0</v>
      </c>
      <c r="DR209" s="111"/>
      <c r="DS209" s="1268">
        <f t="shared" si="282"/>
        <v>0</v>
      </c>
      <c r="DT209" s="1825"/>
      <c r="DU209" s="1826"/>
      <c r="DV209" s="1827"/>
      <c r="DW209" s="1828"/>
      <c r="DX209" s="659"/>
      <c r="DY209" s="1265"/>
      <c r="DZ209" s="1785">
        <f t="shared" si="294"/>
        <v>0</v>
      </c>
      <c r="EA209" s="1786">
        <f t="shared" si="295"/>
        <v>0</v>
      </c>
      <c r="EB209" s="1781">
        <f t="shared" si="296"/>
        <v>0</v>
      </c>
      <c r="EC209" s="1782">
        <f t="shared" si="297"/>
        <v>0</v>
      </c>
      <c r="ED209" s="1262"/>
      <c r="EE209" s="2280"/>
      <c r="EF209" s="1802"/>
      <c r="EG209" s="167"/>
      <c r="EH209" s="168"/>
      <c r="EI209" s="168"/>
      <c r="EJ209" s="168"/>
      <c r="EK209" s="168"/>
      <c r="EL209" s="168"/>
      <c r="EM209" s="168"/>
      <c r="EN209" s="168"/>
      <c r="EO209" s="168"/>
      <c r="EP209" s="168"/>
      <c r="EQ209" s="168"/>
      <c r="ER209" s="168"/>
      <c r="ES209" s="168"/>
      <c r="ET209" s="168"/>
      <c r="EU209" s="168"/>
      <c r="EV209" s="168"/>
      <c r="EW209" s="168"/>
      <c r="EX209" s="168"/>
      <c r="EY209" s="168"/>
      <c r="EZ209" s="168"/>
      <c r="FA209" s="168"/>
      <c r="FB209" s="168"/>
      <c r="FC209" s="168"/>
      <c r="FD209" s="168"/>
      <c r="FE209" s="168"/>
      <c r="FF209" s="168"/>
      <c r="FG209" s="168"/>
      <c r="FH209" s="168"/>
      <c r="FI209" s="168"/>
      <c r="FJ209" s="168"/>
      <c r="FK209" s="168"/>
      <c r="FL209" s="168"/>
      <c r="FM209" s="168"/>
      <c r="FN209" s="168"/>
      <c r="FO209" s="168"/>
      <c r="FP209" s="168"/>
      <c r="FQ209" s="168"/>
      <c r="FR209" s="168"/>
      <c r="FS209" s="168"/>
      <c r="FT209" s="168"/>
      <c r="FU209" s="168"/>
      <c r="FV209" s="168"/>
      <c r="FW209" s="168"/>
      <c r="FX209" s="168"/>
      <c r="FY209" s="168"/>
      <c r="FZ209" s="168"/>
      <c r="GA209" s="168"/>
      <c r="GB209" s="168"/>
      <c r="GC209" s="168"/>
      <c r="GD209" s="168"/>
      <c r="GE209" s="168"/>
      <c r="GF209" s="168"/>
      <c r="GG209" s="168"/>
      <c r="GH209" s="168"/>
      <c r="GI209" s="168"/>
      <c r="GJ209" s="168"/>
      <c r="GK209" s="168"/>
      <c r="GL209" s="168"/>
      <c r="GM209" s="168"/>
      <c r="GN209" s="168"/>
      <c r="GO209" s="168"/>
      <c r="GP209" s="168"/>
      <c r="GQ209" s="168"/>
      <c r="GR209" s="168"/>
      <c r="GS209" s="168"/>
      <c r="GT209" s="168"/>
      <c r="GU209" s="168"/>
      <c r="GV209" s="168"/>
      <c r="GW209" s="168"/>
      <c r="GX209" s="168"/>
      <c r="GY209" s="168"/>
      <c r="GZ209" s="168"/>
      <c r="HA209" s="168"/>
      <c r="HB209" s="168"/>
      <c r="HC209" s="168"/>
      <c r="HD209" s="168"/>
      <c r="HE209" s="168"/>
      <c r="HF209" s="168"/>
      <c r="HG209" s="168"/>
      <c r="HH209" s="168"/>
      <c r="HI209" s="168"/>
      <c r="HJ209" s="168"/>
      <c r="HK209" s="168"/>
      <c r="HL209" s="168"/>
      <c r="HM209" s="168"/>
      <c r="HN209" s="168"/>
      <c r="HO209" s="168"/>
      <c r="HP209" s="168"/>
      <c r="HQ209" s="168"/>
      <c r="HR209" s="168"/>
      <c r="HS209" s="168"/>
      <c r="HT209" s="168"/>
      <c r="HU209" s="168"/>
      <c r="HV209" s="168"/>
      <c r="HW209" s="168"/>
      <c r="HX209" s="168"/>
      <c r="HY209" s="168"/>
      <c r="HZ209" s="168"/>
      <c r="IA209" s="168"/>
      <c r="IB209" s="168"/>
      <c r="IC209" s="168"/>
      <c r="ID209" s="168"/>
      <c r="IE209" s="168"/>
      <c r="IF209" s="168"/>
      <c r="IG209" s="168"/>
      <c r="IH209" s="168"/>
      <c r="II209" s="168"/>
      <c r="IJ209" s="168"/>
      <c r="IK209" s="168"/>
      <c r="IL209" s="168"/>
      <c r="IM209" s="168"/>
      <c r="IN209" s="168"/>
      <c r="IO209" s="168"/>
      <c r="IP209" s="168"/>
      <c r="IQ209" s="168"/>
      <c r="IR209" s="168"/>
      <c r="IS209" s="168"/>
      <c r="IT209" s="168"/>
      <c r="IU209" s="168"/>
      <c r="IV209" s="168"/>
      <c r="IW209" s="168"/>
      <c r="IX209" s="168"/>
      <c r="IY209" s="168"/>
      <c r="IZ209" s="168"/>
      <c r="JA209" s="168"/>
      <c r="JB209" s="168"/>
      <c r="JC209" s="606"/>
      <c r="JD209" s="609"/>
      <c r="JE209" s="1"/>
      <c r="JF209" s="1"/>
    </row>
    <row r="210" spans="1:266" s="2" customFormat="1" ht="15" customHeight="1" x14ac:dyDescent="0.25">
      <c r="A210" s="283"/>
      <c r="B210" s="303"/>
      <c r="C210" s="301"/>
      <c r="D210" s="2753"/>
      <c r="E210" s="2298"/>
      <c r="F210" s="1812"/>
      <c r="G210" s="3342"/>
      <c r="H210" s="66"/>
      <c r="I210" s="1746"/>
      <c r="J210" s="86"/>
      <c r="K210" s="105"/>
      <c r="L210" s="91"/>
      <c r="M210" s="92"/>
      <c r="N210" s="93"/>
      <c r="O210" s="94"/>
      <c r="P210" s="96"/>
      <c r="Q210" s="95"/>
      <c r="R210" s="993">
        <f t="shared" ref="R210:R224" si="350">CHOOSE(AD210,SUMIFS($T$129:$T$304,$AE$129:$AE$304,AE210,$AD$129:$AD$304,3,$DF$129:$DF$304,1,$AG$129:$AG$304,1),SUMIFS($T$129:$T$304,$AF$129:$AF$304,AF210,$AD$129:$AD$304,3,$DF$129:$DF$304,1,$AG$129:$AG$304,1),T210+U210)</f>
        <v>0</v>
      </c>
      <c r="S210" s="23">
        <f t="shared" si="298"/>
        <v>0</v>
      </c>
      <c r="T210" s="24">
        <f t="shared" ref="T210:T224" si="351">IF($AD210=3,BW210*AG210,0)</f>
        <v>0</v>
      </c>
      <c r="U210" s="24">
        <f t="shared" ref="U210:U224" si="352">IF($AD210=3,AR210*(1-AG210),0)</f>
        <v>0</v>
      </c>
      <c r="V210" s="24">
        <f t="shared" si="301"/>
        <v>0</v>
      </c>
      <c r="W210" s="24">
        <f t="shared" ref="W210:W224" si="353">X210*AO210</f>
        <v>0</v>
      </c>
      <c r="X210" s="72">
        <f t="shared" si="303"/>
        <v>0</v>
      </c>
      <c r="Y210" s="72">
        <f t="shared" ref="Y210:Y224" si="354">IF($AD210=3,SUMPRODUCT(AS210:BB210,BM210:BV210),0)</f>
        <v>0</v>
      </c>
      <c r="Z210" s="24">
        <f t="shared" ref="Z210:Z224" si="355">IF($AD210=3,SUMPRODUCT(AS210:BB210,BC210:BL210),0)</f>
        <v>0</v>
      </c>
      <c r="AA210" s="72">
        <f t="shared" si="305"/>
        <v>0</v>
      </c>
      <c r="AB210" s="24">
        <f t="shared" si="306"/>
        <v>0</v>
      </c>
      <c r="AC210" s="24" t="s">
        <v>5</v>
      </c>
      <c r="AD210" s="25">
        <f t="shared" ref="AD210:AD224" si="356">IF(N210="",3,IF(AND(L210&gt;0,M210&gt;0),2,1))</f>
        <v>3</v>
      </c>
      <c r="AE210" s="25">
        <f t="shared" ref="AE210:AE224" si="357">IF(AND(ISNUMBER(VALUE(L210)),RIGHT(L210,1)="0"),(L210+0.00001),L210)</f>
        <v>0</v>
      </c>
      <c r="AF210" s="25">
        <f t="shared" ref="AF210:AF224" si="358">IF(AND(ISNUMBER(VALUE(M210)),RIGHT(M210,1)="0"),(M210+0.00001),M210)</f>
        <v>0</v>
      </c>
      <c r="AG210" s="25">
        <f t="shared" si="307"/>
        <v>1</v>
      </c>
      <c r="AH210" s="25" t="str">
        <f>IFERROR(MATCH(DY210,'2 Staff List'!$IA$64:$IA$114,0),"x")</f>
        <v>x</v>
      </c>
      <c r="AI210" s="1181">
        <f>IFERROR(INDEX('2 Staff List'!$EX$64:$EX$114,$AH210),0)</f>
        <v>0</v>
      </c>
      <c r="AJ210" s="25">
        <f>IFERROR(INDEX('2 Staff List'!$IW$64:$IW$114,$AH210),0)</f>
        <v>0</v>
      </c>
      <c r="AK210" s="25">
        <f>IFERROR(INDEX('2 Staff List'!$IB$64:$IB$114,$AH210),0)</f>
        <v>0</v>
      </c>
      <c r="AL210" s="25">
        <f>IF(OR(NOT(ISBLANK(DV210)),CX210=1),"&lt;Non-Labor&gt;",IFERROR(IF(AH210=0,0,INDEX('2 Staff List'!$HZ$64:$HZ$114,$AH210)),0))</f>
        <v>0</v>
      </c>
      <c r="AM210" s="25">
        <f>IFERROR(INDEX('2 Staff List'!$HW$64:$HW$114,$AH210),0)</f>
        <v>0</v>
      </c>
      <c r="AN210" s="25">
        <f t="shared" ref="AN210:AN224" si="359">(1+B210)*IF(ISBLANK(EE210),1,EE210)</f>
        <v>1</v>
      </c>
      <c r="AO210" s="25">
        <f>IF($AO$127=0,0,IFERROR(INDEX('2 Staff List'!$JH$64:$JH$114,$AH210),0))</f>
        <v>0</v>
      </c>
      <c r="AP210" s="25">
        <f>IFERROR(INDEX('2 Staff List'!$HU$64:$HU$114,$AH210),0)</f>
        <v>0</v>
      </c>
      <c r="AQ210" s="25">
        <f t="shared" ref="AQ210:AQ224" si="360">IF(AND(DV210&lt;&gt;0,SUMPRODUCT($EG210:$JD210,$EG$17:$JD$17)=0),1,0)</f>
        <v>0</v>
      </c>
      <c r="AR210" s="25">
        <f t="shared" ref="AR210:AR224" si="361">IF(OR($AD210&lt;&gt;3,$DV210&gt;0,$DY210=0),0,SUMIFS($EG210:$JD210,$EG$17:$JD$17,1)*AN210)</f>
        <v>0</v>
      </c>
      <c r="AS210" s="25">
        <f t="shared" si="311"/>
        <v>0</v>
      </c>
      <c r="AT210" s="25">
        <f t="shared" si="312"/>
        <v>0</v>
      </c>
      <c r="AU210" s="25">
        <f t="shared" si="313"/>
        <v>0</v>
      </c>
      <c r="AV210" s="25">
        <f t="shared" si="314"/>
        <v>0</v>
      </c>
      <c r="AW210" s="25">
        <f t="shared" si="315"/>
        <v>0</v>
      </c>
      <c r="AX210" s="25">
        <f t="shared" si="316"/>
        <v>0</v>
      </c>
      <c r="AY210" s="25">
        <f t="shared" si="317"/>
        <v>0</v>
      </c>
      <c r="AZ210" s="25">
        <f t="shared" si="318"/>
        <v>0</v>
      </c>
      <c r="BA210" s="25">
        <f t="shared" si="319"/>
        <v>0</v>
      </c>
      <c r="BB210" s="25">
        <f t="shared" si="320"/>
        <v>0</v>
      </c>
      <c r="BC210" s="25">
        <f>IFERROR(INDEX('2 Staff List'!KS$64:KS$114,$AH210),0)</f>
        <v>0</v>
      </c>
      <c r="BD210" s="25">
        <f>IFERROR(INDEX('2 Staff List'!KT$64:KT$114,$AH210),0)</f>
        <v>0</v>
      </c>
      <c r="BE210" s="25">
        <f>IFERROR(INDEX('2 Staff List'!KU$64:KU$114,$AH210),0)</f>
        <v>0</v>
      </c>
      <c r="BF210" s="25">
        <f>IFERROR(INDEX('2 Staff List'!KV$64:KV$114,$AH210),0)</f>
        <v>0</v>
      </c>
      <c r="BG210" s="25">
        <f>IFERROR(INDEX('2 Staff List'!KW$64:KW$114,$AH210),0)</f>
        <v>0</v>
      </c>
      <c r="BH210" s="25">
        <f>IFERROR(INDEX('2 Staff List'!KX$64:KX$114,$AH210),0)</f>
        <v>0</v>
      </c>
      <c r="BI210" s="25">
        <f>IFERROR(INDEX('2 Staff List'!KY$64:KY$114,$AH210),0)</f>
        <v>0</v>
      </c>
      <c r="BJ210" s="25">
        <f>IFERROR(INDEX('2 Staff List'!KZ$64:KZ$114,$AH210),0)</f>
        <v>0</v>
      </c>
      <c r="BK210" s="25">
        <f>IFERROR(INDEX('2 Staff List'!LA$64:LA$114,$AH210),0)</f>
        <v>0</v>
      </c>
      <c r="BL210" s="25">
        <f>IFERROR(INDEX('2 Staff List'!LB$64:LB$114,$AH210),0)</f>
        <v>0</v>
      </c>
      <c r="BM210" s="25">
        <f>IFERROR(INDEX('2 Staff List'!FT$64:FT$114,$AH210),0)</f>
        <v>0</v>
      </c>
      <c r="BN210" s="25">
        <f>IFERROR(INDEX('2 Staff List'!FU$64:FU$114,$AH210),0)</f>
        <v>0</v>
      </c>
      <c r="BO210" s="25">
        <f>IFERROR(INDEX('2 Staff List'!FV$64:FV$114,$AH210),0)</f>
        <v>0</v>
      </c>
      <c r="BP210" s="25">
        <f>IFERROR(INDEX('2 Staff List'!FW$64:FW$114,$AH210),0)</f>
        <v>0</v>
      </c>
      <c r="BQ210" s="25">
        <f>IFERROR(INDEX('2 Staff List'!FX$64:FX$114,$AH210),0)</f>
        <v>0</v>
      </c>
      <c r="BR210" s="25">
        <f>IFERROR(INDEX('2 Staff List'!FY$64:FY$114,$AH210),0)</f>
        <v>0</v>
      </c>
      <c r="BS210" s="25">
        <f>IFERROR(INDEX('2 Staff List'!FZ$64:FZ$114,$AH210),0)</f>
        <v>0</v>
      </c>
      <c r="BT210" s="25">
        <f>IFERROR(INDEX('2 Staff List'!GA$64:GA$114,$AH210),0)</f>
        <v>0</v>
      </c>
      <c r="BU210" s="25">
        <f>IFERROR(INDEX('2 Staff List'!GB$64:GB$114,$AH210),0)</f>
        <v>0</v>
      </c>
      <c r="BV210" s="25">
        <f>IFERROR(INDEX('2 Staff List'!GC$64:GC$114,$AH210),0)</f>
        <v>0</v>
      </c>
      <c r="BW210" s="25">
        <f t="shared" ref="BW210:BW224" si="362">IF(OR($AD210&lt;&gt;3,$DV210&gt;0,$DY210=0),0,SUMIFS($EG210:$JD210,$EG$17:$JD$17,1)*AN210*$AG210)</f>
        <v>0</v>
      </c>
      <c r="BX210" s="25">
        <f t="shared" si="322"/>
        <v>0</v>
      </c>
      <c r="BY210" s="25">
        <f t="shared" si="323"/>
        <v>0</v>
      </c>
      <c r="BZ210" s="25">
        <f t="shared" si="324"/>
        <v>0</v>
      </c>
      <c r="CA210" s="25">
        <f t="shared" si="325"/>
        <v>0</v>
      </c>
      <c r="CB210" s="25">
        <f t="shared" si="326"/>
        <v>0</v>
      </c>
      <c r="CC210" s="25">
        <f t="shared" si="327"/>
        <v>0</v>
      </c>
      <c r="CD210" s="25">
        <f t="shared" si="328"/>
        <v>0</v>
      </c>
      <c r="CE210" s="25">
        <f t="shared" si="329"/>
        <v>0</v>
      </c>
      <c r="CF210" s="25">
        <f t="shared" si="330"/>
        <v>0</v>
      </c>
      <c r="CG210" s="25">
        <f t="shared" si="331"/>
        <v>0</v>
      </c>
      <c r="CH210" s="25">
        <f>IFERROR(INDEX('2 Staff List'!LO$64:LO$114,$AH210),0)</f>
        <v>0</v>
      </c>
      <c r="CI210" s="25">
        <f>IFERROR(INDEX('2 Staff List'!LP$64:LP$114,$AH210),0)</f>
        <v>0</v>
      </c>
      <c r="CJ210" s="25">
        <f>IFERROR(INDEX('2 Staff List'!LQ$64:LQ$114,$AH210),0)</f>
        <v>0</v>
      </c>
      <c r="CK210" s="25">
        <f>IFERROR(INDEX('2 Staff List'!LR$64:LR$114,$AH210),0)</f>
        <v>0</v>
      </c>
      <c r="CL210" s="25">
        <f>IFERROR(INDEX('2 Staff List'!LS$64:LS$114,$AH210),0)</f>
        <v>0</v>
      </c>
      <c r="CM210" s="25">
        <f>IFERROR(INDEX('2 Staff List'!LT$64:LT$114,$AH210),0)</f>
        <v>0</v>
      </c>
      <c r="CN210" s="25">
        <f>IFERROR(INDEX('2 Staff List'!LU$64:LU$114,$AH210),0)</f>
        <v>0</v>
      </c>
      <c r="CO210" s="25">
        <f>IFERROR(INDEX('2 Staff List'!LV$64:LV$114,$AH210),0)</f>
        <v>0</v>
      </c>
      <c r="CP210" s="25">
        <f>IFERROR(INDEX('2 Staff List'!LW$64:LW$114,$AH210),0)</f>
        <v>0</v>
      </c>
      <c r="CQ210" s="25">
        <f>IFERROR(INDEX('2 Staff List'!LX$64:LX$114,$AH210),0)</f>
        <v>0</v>
      </c>
      <c r="CR210" s="25">
        <f t="shared" ref="CR210:CR224" si="363">IF(AD210=3,SUMPRODUCT($EG210:$JD210,$EG$17:$JD$17),0)</f>
        <v>0</v>
      </c>
      <c r="CS210" s="25">
        <f t="shared" ref="CS210:CS224" si="364">IFERROR(1/CR210,1)</f>
        <v>1</v>
      </c>
      <c r="CT210" s="25">
        <f t="shared" ref="CT210:CT224" si="365">IF(NOT(ISBLANK(DU210)),DU210,1)</f>
        <v>1</v>
      </c>
      <c r="CU210" s="25">
        <f t="shared" ref="CU210:CU224" si="366">IF(DT210=$CU$127,0,1)</f>
        <v>1</v>
      </c>
      <c r="CV210" s="25">
        <f t="shared" si="335"/>
        <v>1</v>
      </c>
      <c r="CW210" s="25">
        <f t="shared" ref="CW210:CW224" si="367">IF(AD210&lt;&gt;3,0,IF(OR(F210="",F210="Approved",F210="Pend w FC"),1,0))</f>
        <v>1</v>
      </c>
      <c r="CX210" s="25">
        <f t="shared" si="337"/>
        <v>0</v>
      </c>
      <c r="CY210" s="25">
        <f t="shared" si="338"/>
        <v>0</v>
      </c>
      <c r="CZ210" s="25">
        <f t="shared" ref="CZ210:CZ224" si="368">IF(AD210&lt;&gt;3,0,IF(OR(F210="Pending",F210="Pend w FC"),1,0))</f>
        <v>0</v>
      </c>
      <c r="DA210" s="25">
        <f t="shared" si="340"/>
        <v>1</v>
      </c>
      <c r="DB210" s="25">
        <f t="shared" ref="DB210:DB224" si="369">IF($AD210&lt;&gt;3,0,IF(F210="",1,0))</f>
        <v>1</v>
      </c>
      <c r="DC210" s="25">
        <f t="shared" si="341"/>
        <v>0</v>
      </c>
      <c r="DD210" s="25">
        <f>IF(OR($AD210&lt;&gt;3,F210="Exclude"),0,IF(ISERROR(MATCH($E210,'4 Sign-off'!$S$123:$X$123,0)),0,1))</f>
        <v>0</v>
      </c>
      <c r="DE210" s="25">
        <f t="shared" si="291"/>
        <v>0</v>
      </c>
      <c r="DF210" s="25">
        <f t="shared" ref="DF210:DF224" si="370">CHOOSE($DF$119,CV210,CW210,DE210)</f>
        <v>0</v>
      </c>
      <c r="DG210" s="25" t="str">
        <f t="shared" ref="DG210:DG224" si="371">LEFT(J210,1)</f>
        <v/>
      </c>
      <c r="DH210" s="25">
        <f t="shared" si="344"/>
        <v>0</v>
      </c>
      <c r="DI210" s="25">
        <f t="shared" si="345"/>
        <v>0</v>
      </c>
      <c r="DJ210" s="25">
        <f>IF(ISBLANK(J210),0,ISERROR(MATCH(J210,'5  Control Accounts'!$FA$29:$FA$96,0))*1)</f>
        <v>0</v>
      </c>
      <c r="DK210" s="25">
        <f t="shared" si="346"/>
        <v>0</v>
      </c>
      <c r="DL210" s="25">
        <f t="shared" ref="DL210:DL224" si="372">IF(OR((T210+U210)&gt;0,(AA210+AB210)&gt;0),J210,-1)</f>
        <v>-1</v>
      </c>
      <c r="DM210" s="25" t="e">
        <f t="array" ref="DM210">MATCH(1,($EG210:$JD210&gt;0)*$EG$17:$JD$17,0)</f>
        <v>#N/A</v>
      </c>
      <c r="DN210" s="25" t="e">
        <f t="shared" si="293"/>
        <v>#N/A</v>
      </c>
      <c r="DO210" s="25" t="e">
        <f t="array" ref="DO210">MATCH(2,1/(EG210:JD210&gt;0))</f>
        <v>#N/A</v>
      </c>
      <c r="DP210" s="2993">
        <f t="shared" si="347"/>
        <v>0</v>
      </c>
      <c r="DQ210" s="3037">
        <f t="shared" si="348"/>
        <v>0</v>
      </c>
      <c r="DR210" s="111"/>
      <c r="DS210" s="1268">
        <f t="shared" ref="DS210:DS224" si="373">N210</f>
        <v>0</v>
      </c>
      <c r="DT210" s="1825"/>
      <c r="DU210" s="1826"/>
      <c r="DV210" s="1827"/>
      <c r="DW210" s="1828"/>
      <c r="DX210" s="659"/>
      <c r="DY210" s="1265"/>
      <c r="DZ210" s="1785">
        <f t="shared" ref="DZ210:DZ224" si="374">AL210</f>
        <v>0</v>
      </c>
      <c r="EA210" s="1786">
        <f t="shared" ref="EA210:EA224" si="375">IF($AD210=3,T210+U210,0)</f>
        <v>0</v>
      </c>
      <c r="EB210" s="1781">
        <f t="shared" si="296"/>
        <v>0</v>
      </c>
      <c r="EC210" s="1782">
        <f t="shared" si="297"/>
        <v>0</v>
      </c>
      <c r="ED210" s="1262"/>
      <c r="EE210" s="2280"/>
      <c r="EF210" s="1802"/>
      <c r="EG210" s="167"/>
      <c r="EH210" s="168"/>
      <c r="EI210" s="168"/>
      <c r="EJ210" s="168"/>
      <c r="EK210" s="168"/>
      <c r="EL210" s="168"/>
      <c r="EM210" s="168"/>
      <c r="EN210" s="168"/>
      <c r="EO210" s="168"/>
      <c r="EP210" s="168"/>
      <c r="EQ210" s="168"/>
      <c r="ER210" s="168"/>
      <c r="ES210" s="168"/>
      <c r="ET210" s="168"/>
      <c r="EU210" s="168"/>
      <c r="EV210" s="168"/>
      <c r="EW210" s="168"/>
      <c r="EX210" s="168"/>
      <c r="EY210" s="168"/>
      <c r="EZ210" s="168"/>
      <c r="FA210" s="168"/>
      <c r="FB210" s="168"/>
      <c r="FC210" s="168"/>
      <c r="FD210" s="168"/>
      <c r="FE210" s="168"/>
      <c r="FF210" s="168"/>
      <c r="FG210" s="168"/>
      <c r="FH210" s="168"/>
      <c r="FI210" s="168"/>
      <c r="FJ210" s="168"/>
      <c r="FK210" s="168"/>
      <c r="FL210" s="168"/>
      <c r="FM210" s="168"/>
      <c r="FN210" s="168"/>
      <c r="FO210" s="168"/>
      <c r="FP210" s="168"/>
      <c r="FQ210" s="168"/>
      <c r="FR210" s="168"/>
      <c r="FS210" s="168"/>
      <c r="FT210" s="168"/>
      <c r="FU210" s="168"/>
      <c r="FV210" s="168"/>
      <c r="FW210" s="168"/>
      <c r="FX210" s="168"/>
      <c r="FY210" s="168"/>
      <c r="FZ210" s="168"/>
      <c r="GA210" s="168"/>
      <c r="GB210" s="168"/>
      <c r="GC210" s="168"/>
      <c r="GD210" s="168"/>
      <c r="GE210" s="168"/>
      <c r="GF210" s="168"/>
      <c r="GG210" s="168"/>
      <c r="GH210" s="168"/>
      <c r="GI210" s="168"/>
      <c r="GJ210" s="168"/>
      <c r="GK210" s="168"/>
      <c r="GL210" s="168"/>
      <c r="GM210" s="168"/>
      <c r="GN210" s="168"/>
      <c r="GO210" s="168"/>
      <c r="GP210" s="168"/>
      <c r="GQ210" s="168"/>
      <c r="GR210" s="168"/>
      <c r="GS210" s="168"/>
      <c r="GT210" s="168"/>
      <c r="GU210" s="168"/>
      <c r="GV210" s="168"/>
      <c r="GW210" s="168"/>
      <c r="GX210" s="168"/>
      <c r="GY210" s="168"/>
      <c r="GZ210" s="168"/>
      <c r="HA210" s="168"/>
      <c r="HB210" s="168"/>
      <c r="HC210" s="168"/>
      <c r="HD210" s="168"/>
      <c r="HE210" s="168"/>
      <c r="HF210" s="168"/>
      <c r="HG210" s="168"/>
      <c r="HH210" s="168"/>
      <c r="HI210" s="168"/>
      <c r="HJ210" s="168"/>
      <c r="HK210" s="168"/>
      <c r="HL210" s="168"/>
      <c r="HM210" s="168"/>
      <c r="HN210" s="168"/>
      <c r="HO210" s="168"/>
      <c r="HP210" s="168"/>
      <c r="HQ210" s="168"/>
      <c r="HR210" s="168"/>
      <c r="HS210" s="168"/>
      <c r="HT210" s="168"/>
      <c r="HU210" s="168"/>
      <c r="HV210" s="168"/>
      <c r="HW210" s="168"/>
      <c r="HX210" s="168"/>
      <c r="HY210" s="168"/>
      <c r="HZ210" s="168"/>
      <c r="IA210" s="168"/>
      <c r="IB210" s="168"/>
      <c r="IC210" s="168"/>
      <c r="ID210" s="168"/>
      <c r="IE210" s="168"/>
      <c r="IF210" s="168"/>
      <c r="IG210" s="168"/>
      <c r="IH210" s="168"/>
      <c r="II210" s="168"/>
      <c r="IJ210" s="168"/>
      <c r="IK210" s="168"/>
      <c r="IL210" s="168"/>
      <c r="IM210" s="168"/>
      <c r="IN210" s="168"/>
      <c r="IO210" s="168"/>
      <c r="IP210" s="168"/>
      <c r="IQ210" s="168"/>
      <c r="IR210" s="168"/>
      <c r="IS210" s="168"/>
      <c r="IT210" s="168"/>
      <c r="IU210" s="168"/>
      <c r="IV210" s="168"/>
      <c r="IW210" s="168"/>
      <c r="IX210" s="168"/>
      <c r="IY210" s="168"/>
      <c r="IZ210" s="168"/>
      <c r="JA210" s="168"/>
      <c r="JB210" s="168"/>
      <c r="JC210" s="606"/>
      <c r="JD210" s="609"/>
      <c r="JE210" s="1"/>
      <c r="JF210" s="1"/>
    </row>
    <row r="211" spans="1:266" s="2" customFormat="1" ht="15" customHeight="1" x14ac:dyDescent="0.25">
      <c r="A211" s="283"/>
      <c r="B211" s="303"/>
      <c r="C211" s="301"/>
      <c r="D211" s="2753"/>
      <c r="E211" s="2298"/>
      <c r="F211" s="1812"/>
      <c r="G211" s="3342"/>
      <c r="H211" s="66"/>
      <c r="I211" s="1746"/>
      <c r="J211" s="86"/>
      <c r="K211" s="105"/>
      <c r="L211" s="91"/>
      <c r="M211" s="92"/>
      <c r="N211" s="93"/>
      <c r="O211" s="94"/>
      <c r="P211" s="96"/>
      <c r="Q211" s="95"/>
      <c r="R211" s="993">
        <f t="shared" si="350"/>
        <v>0</v>
      </c>
      <c r="S211" s="23">
        <f t="shared" si="298"/>
        <v>0</v>
      </c>
      <c r="T211" s="24">
        <f t="shared" si="351"/>
        <v>0</v>
      </c>
      <c r="U211" s="24">
        <f t="shared" si="352"/>
        <v>0</v>
      </c>
      <c r="V211" s="24">
        <f t="shared" si="301"/>
        <v>0</v>
      </c>
      <c r="W211" s="24">
        <f t="shared" si="353"/>
        <v>0</v>
      </c>
      <c r="X211" s="72">
        <f t="shared" si="303"/>
        <v>0</v>
      </c>
      <c r="Y211" s="72">
        <f t="shared" si="354"/>
        <v>0</v>
      </c>
      <c r="Z211" s="24">
        <f t="shared" si="355"/>
        <v>0</v>
      </c>
      <c r="AA211" s="72">
        <f t="shared" si="305"/>
        <v>0</v>
      </c>
      <c r="AB211" s="24">
        <f t="shared" si="306"/>
        <v>0</v>
      </c>
      <c r="AC211" s="24" t="s">
        <v>5</v>
      </c>
      <c r="AD211" s="25">
        <f t="shared" si="356"/>
        <v>3</v>
      </c>
      <c r="AE211" s="25">
        <f t="shared" si="357"/>
        <v>0</v>
      </c>
      <c r="AF211" s="25">
        <f t="shared" si="358"/>
        <v>0</v>
      </c>
      <c r="AG211" s="25">
        <f t="shared" si="307"/>
        <v>1</v>
      </c>
      <c r="AH211" s="25" t="str">
        <f>IFERROR(MATCH(DY211,'2 Staff List'!$IA$64:$IA$114,0),"x")</f>
        <v>x</v>
      </c>
      <c r="AI211" s="1181">
        <f>IFERROR(INDEX('2 Staff List'!$EX$64:$EX$114,$AH211),0)</f>
        <v>0</v>
      </c>
      <c r="AJ211" s="25">
        <f>IFERROR(INDEX('2 Staff List'!$IW$64:$IW$114,$AH211),0)</f>
        <v>0</v>
      </c>
      <c r="AK211" s="25">
        <f>IFERROR(INDEX('2 Staff List'!$IB$64:$IB$114,$AH211),0)</f>
        <v>0</v>
      </c>
      <c r="AL211" s="25">
        <f>IF(OR(NOT(ISBLANK(DV211)),CX211=1),"&lt;Non-Labor&gt;",IFERROR(IF(AH211=0,0,INDEX('2 Staff List'!$HZ$64:$HZ$114,$AH211)),0))</f>
        <v>0</v>
      </c>
      <c r="AM211" s="25">
        <f>IFERROR(INDEX('2 Staff List'!$HW$64:$HW$114,$AH211),0)</f>
        <v>0</v>
      </c>
      <c r="AN211" s="25">
        <f t="shared" si="359"/>
        <v>1</v>
      </c>
      <c r="AO211" s="25">
        <f>IF($AO$127=0,0,IFERROR(INDEX('2 Staff List'!$JH$64:$JH$114,$AH211),0))</f>
        <v>0</v>
      </c>
      <c r="AP211" s="25">
        <f>IFERROR(INDEX('2 Staff List'!$HU$64:$HU$114,$AH211),0)</f>
        <v>0</v>
      </c>
      <c r="AQ211" s="25">
        <f t="shared" si="360"/>
        <v>0</v>
      </c>
      <c r="AR211" s="25">
        <f t="shared" si="361"/>
        <v>0</v>
      </c>
      <c r="AS211" s="25">
        <f t="shared" si="311"/>
        <v>0</v>
      </c>
      <c r="AT211" s="25">
        <f t="shared" si="312"/>
        <v>0</v>
      </c>
      <c r="AU211" s="25">
        <f t="shared" si="313"/>
        <v>0</v>
      </c>
      <c r="AV211" s="25">
        <f t="shared" si="314"/>
        <v>0</v>
      </c>
      <c r="AW211" s="25">
        <f t="shared" si="315"/>
        <v>0</v>
      </c>
      <c r="AX211" s="25">
        <f t="shared" si="316"/>
        <v>0</v>
      </c>
      <c r="AY211" s="25">
        <f t="shared" si="317"/>
        <v>0</v>
      </c>
      <c r="AZ211" s="25">
        <f t="shared" si="318"/>
        <v>0</v>
      </c>
      <c r="BA211" s="25">
        <f t="shared" si="319"/>
        <v>0</v>
      </c>
      <c r="BB211" s="25">
        <f t="shared" si="320"/>
        <v>0</v>
      </c>
      <c r="BC211" s="25">
        <f>IFERROR(INDEX('2 Staff List'!KS$64:KS$114,$AH211),0)</f>
        <v>0</v>
      </c>
      <c r="BD211" s="25">
        <f>IFERROR(INDEX('2 Staff List'!KT$64:KT$114,$AH211),0)</f>
        <v>0</v>
      </c>
      <c r="BE211" s="25">
        <f>IFERROR(INDEX('2 Staff List'!KU$64:KU$114,$AH211),0)</f>
        <v>0</v>
      </c>
      <c r="BF211" s="25">
        <f>IFERROR(INDEX('2 Staff List'!KV$64:KV$114,$AH211),0)</f>
        <v>0</v>
      </c>
      <c r="BG211" s="25">
        <f>IFERROR(INDEX('2 Staff List'!KW$64:KW$114,$AH211),0)</f>
        <v>0</v>
      </c>
      <c r="BH211" s="25">
        <f>IFERROR(INDEX('2 Staff List'!KX$64:KX$114,$AH211),0)</f>
        <v>0</v>
      </c>
      <c r="BI211" s="25">
        <f>IFERROR(INDEX('2 Staff List'!KY$64:KY$114,$AH211),0)</f>
        <v>0</v>
      </c>
      <c r="BJ211" s="25">
        <f>IFERROR(INDEX('2 Staff List'!KZ$64:KZ$114,$AH211),0)</f>
        <v>0</v>
      </c>
      <c r="BK211" s="25">
        <f>IFERROR(INDEX('2 Staff List'!LA$64:LA$114,$AH211),0)</f>
        <v>0</v>
      </c>
      <c r="BL211" s="25">
        <f>IFERROR(INDEX('2 Staff List'!LB$64:LB$114,$AH211),0)</f>
        <v>0</v>
      </c>
      <c r="BM211" s="25">
        <f>IFERROR(INDEX('2 Staff List'!FT$64:FT$114,$AH211),0)</f>
        <v>0</v>
      </c>
      <c r="BN211" s="25">
        <f>IFERROR(INDEX('2 Staff List'!FU$64:FU$114,$AH211),0)</f>
        <v>0</v>
      </c>
      <c r="BO211" s="25">
        <f>IFERROR(INDEX('2 Staff List'!FV$64:FV$114,$AH211),0)</f>
        <v>0</v>
      </c>
      <c r="BP211" s="25">
        <f>IFERROR(INDEX('2 Staff List'!FW$64:FW$114,$AH211),0)</f>
        <v>0</v>
      </c>
      <c r="BQ211" s="25">
        <f>IFERROR(INDEX('2 Staff List'!FX$64:FX$114,$AH211),0)</f>
        <v>0</v>
      </c>
      <c r="BR211" s="25">
        <f>IFERROR(INDEX('2 Staff List'!FY$64:FY$114,$AH211),0)</f>
        <v>0</v>
      </c>
      <c r="BS211" s="25">
        <f>IFERROR(INDEX('2 Staff List'!FZ$64:FZ$114,$AH211),0)</f>
        <v>0</v>
      </c>
      <c r="BT211" s="25">
        <f>IFERROR(INDEX('2 Staff List'!GA$64:GA$114,$AH211),0)</f>
        <v>0</v>
      </c>
      <c r="BU211" s="25">
        <f>IFERROR(INDEX('2 Staff List'!GB$64:GB$114,$AH211),0)</f>
        <v>0</v>
      </c>
      <c r="BV211" s="25">
        <f>IFERROR(INDEX('2 Staff List'!GC$64:GC$114,$AH211),0)</f>
        <v>0</v>
      </c>
      <c r="BW211" s="25">
        <f t="shared" si="362"/>
        <v>0</v>
      </c>
      <c r="BX211" s="25">
        <f t="shared" si="322"/>
        <v>0</v>
      </c>
      <c r="BY211" s="25">
        <f t="shared" si="323"/>
        <v>0</v>
      </c>
      <c r="BZ211" s="25">
        <f t="shared" si="324"/>
        <v>0</v>
      </c>
      <c r="CA211" s="25">
        <f t="shared" si="325"/>
        <v>0</v>
      </c>
      <c r="CB211" s="25">
        <f t="shared" si="326"/>
        <v>0</v>
      </c>
      <c r="CC211" s="25">
        <f t="shared" si="327"/>
        <v>0</v>
      </c>
      <c r="CD211" s="25">
        <f t="shared" si="328"/>
        <v>0</v>
      </c>
      <c r="CE211" s="25">
        <f t="shared" si="329"/>
        <v>0</v>
      </c>
      <c r="CF211" s="25">
        <f t="shared" si="330"/>
        <v>0</v>
      </c>
      <c r="CG211" s="25">
        <f t="shared" si="331"/>
        <v>0</v>
      </c>
      <c r="CH211" s="25">
        <f>IFERROR(INDEX('2 Staff List'!LO$64:LO$114,$AH211),0)</f>
        <v>0</v>
      </c>
      <c r="CI211" s="25">
        <f>IFERROR(INDEX('2 Staff List'!LP$64:LP$114,$AH211),0)</f>
        <v>0</v>
      </c>
      <c r="CJ211" s="25">
        <f>IFERROR(INDEX('2 Staff List'!LQ$64:LQ$114,$AH211),0)</f>
        <v>0</v>
      </c>
      <c r="CK211" s="25">
        <f>IFERROR(INDEX('2 Staff List'!LR$64:LR$114,$AH211),0)</f>
        <v>0</v>
      </c>
      <c r="CL211" s="25">
        <f>IFERROR(INDEX('2 Staff List'!LS$64:LS$114,$AH211),0)</f>
        <v>0</v>
      </c>
      <c r="CM211" s="25">
        <f>IFERROR(INDEX('2 Staff List'!LT$64:LT$114,$AH211),0)</f>
        <v>0</v>
      </c>
      <c r="CN211" s="25">
        <f>IFERROR(INDEX('2 Staff List'!LU$64:LU$114,$AH211),0)</f>
        <v>0</v>
      </c>
      <c r="CO211" s="25">
        <f>IFERROR(INDEX('2 Staff List'!LV$64:LV$114,$AH211),0)</f>
        <v>0</v>
      </c>
      <c r="CP211" s="25">
        <f>IFERROR(INDEX('2 Staff List'!LW$64:LW$114,$AH211),0)</f>
        <v>0</v>
      </c>
      <c r="CQ211" s="25">
        <f>IFERROR(INDEX('2 Staff List'!LX$64:LX$114,$AH211),0)</f>
        <v>0</v>
      </c>
      <c r="CR211" s="25">
        <f t="shared" si="363"/>
        <v>0</v>
      </c>
      <c r="CS211" s="25">
        <f t="shared" si="364"/>
        <v>1</v>
      </c>
      <c r="CT211" s="25">
        <f t="shared" si="365"/>
        <v>1</v>
      </c>
      <c r="CU211" s="25">
        <f t="shared" si="366"/>
        <v>1</v>
      </c>
      <c r="CV211" s="25">
        <f t="shared" si="335"/>
        <v>1</v>
      </c>
      <c r="CW211" s="25">
        <f t="shared" si="367"/>
        <v>1</v>
      </c>
      <c r="CX211" s="25">
        <f t="shared" si="337"/>
        <v>0</v>
      </c>
      <c r="CY211" s="25">
        <f t="shared" si="338"/>
        <v>0</v>
      </c>
      <c r="CZ211" s="25">
        <f t="shared" si="368"/>
        <v>0</v>
      </c>
      <c r="DA211" s="25">
        <f t="shared" si="340"/>
        <v>1</v>
      </c>
      <c r="DB211" s="25">
        <f t="shared" si="369"/>
        <v>1</v>
      </c>
      <c r="DC211" s="25">
        <f t="shared" si="341"/>
        <v>0</v>
      </c>
      <c r="DD211" s="25">
        <f>IF(OR($AD211&lt;&gt;3,F211="Exclude"),0,IF(ISERROR(MATCH($E211,'4 Sign-off'!$S$123:$X$123,0)),0,1))</f>
        <v>0</v>
      </c>
      <c r="DE211" s="25">
        <f t="shared" si="291"/>
        <v>0</v>
      </c>
      <c r="DF211" s="25">
        <f t="shared" si="370"/>
        <v>0</v>
      </c>
      <c r="DG211" s="25" t="str">
        <f t="shared" si="371"/>
        <v/>
      </c>
      <c r="DH211" s="25">
        <f t="shared" si="344"/>
        <v>0</v>
      </c>
      <c r="DI211" s="25">
        <f t="shared" si="345"/>
        <v>0</v>
      </c>
      <c r="DJ211" s="25">
        <f>IF(ISBLANK(J211),0,ISERROR(MATCH(J211,'5  Control Accounts'!$FA$29:$FA$96,0))*1)</f>
        <v>0</v>
      </c>
      <c r="DK211" s="25">
        <f t="shared" si="346"/>
        <v>0</v>
      </c>
      <c r="DL211" s="25">
        <f t="shared" si="372"/>
        <v>-1</v>
      </c>
      <c r="DM211" s="25" t="e">
        <f t="array" ref="DM211">MATCH(1,($EG211:$JD211&gt;0)*$EG$17:$JD$17,0)</f>
        <v>#N/A</v>
      </c>
      <c r="DN211" s="25" t="e">
        <f t="shared" si="293"/>
        <v>#N/A</v>
      </c>
      <c r="DO211" s="25" t="e">
        <f t="array" ref="DO211">MATCH(2,1/(EG211:JD211&gt;0))</f>
        <v>#N/A</v>
      </c>
      <c r="DP211" s="2993">
        <f t="shared" si="347"/>
        <v>0</v>
      </c>
      <c r="DQ211" s="3037">
        <f t="shared" si="348"/>
        <v>0</v>
      </c>
      <c r="DR211" s="111"/>
      <c r="DS211" s="1268">
        <f t="shared" si="373"/>
        <v>0</v>
      </c>
      <c r="DT211" s="1825"/>
      <c r="DU211" s="1826"/>
      <c r="DV211" s="1827"/>
      <c r="DW211" s="1828"/>
      <c r="DX211" s="659"/>
      <c r="DY211" s="1265"/>
      <c r="DZ211" s="1785">
        <f t="shared" si="374"/>
        <v>0</v>
      </c>
      <c r="EA211" s="1786">
        <f t="shared" si="375"/>
        <v>0</v>
      </c>
      <c r="EB211" s="1781">
        <f t="shared" si="296"/>
        <v>0</v>
      </c>
      <c r="EC211" s="1782">
        <f t="shared" si="297"/>
        <v>0</v>
      </c>
      <c r="ED211" s="1262"/>
      <c r="EE211" s="2280"/>
      <c r="EF211" s="1802"/>
      <c r="EG211" s="167"/>
      <c r="EH211" s="168"/>
      <c r="EI211" s="168"/>
      <c r="EJ211" s="168"/>
      <c r="EK211" s="168"/>
      <c r="EL211" s="168"/>
      <c r="EM211" s="168"/>
      <c r="EN211" s="168"/>
      <c r="EO211" s="168"/>
      <c r="EP211" s="168"/>
      <c r="EQ211" s="168"/>
      <c r="ER211" s="168"/>
      <c r="ES211" s="168"/>
      <c r="ET211" s="168"/>
      <c r="EU211" s="168"/>
      <c r="EV211" s="168"/>
      <c r="EW211" s="168"/>
      <c r="EX211" s="168"/>
      <c r="EY211" s="168"/>
      <c r="EZ211" s="168"/>
      <c r="FA211" s="168"/>
      <c r="FB211" s="168"/>
      <c r="FC211" s="168"/>
      <c r="FD211" s="168"/>
      <c r="FE211" s="168"/>
      <c r="FF211" s="168"/>
      <c r="FG211" s="168"/>
      <c r="FH211" s="168"/>
      <c r="FI211" s="168"/>
      <c r="FJ211" s="168"/>
      <c r="FK211" s="168"/>
      <c r="FL211" s="168"/>
      <c r="FM211" s="168"/>
      <c r="FN211" s="168"/>
      <c r="FO211" s="168"/>
      <c r="FP211" s="168"/>
      <c r="FQ211" s="168"/>
      <c r="FR211" s="168"/>
      <c r="FS211" s="168"/>
      <c r="FT211" s="168"/>
      <c r="FU211" s="168"/>
      <c r="FV211" s="168"/>
      <c r="FW211" s="168"/>
      <c r="FX211" s="168"/>
      <c r="FY211" s="168"/>
      <c r="FZ211" s="168"/>
      <c r="GA211" s="168"/>
      <c r="GB211" s="168"/>
      <c r="GC211" s="168"/>
      <c r="GD211" s="168"/>
      <c r="GE211" s="168"/>
      <c r="GF211" s="168"/>
      <c r="GG211" s="168"/>
      <c r="GH211" s="168"/>
      <c r="GI211" s="168"/>
      <c r="GJ211" s="168"/>
      <c r="GK211" s="168"/>
      <c r="GL211" s="168"/>
      <c r="GM211" s="168"/>
      <c r="GN211" s="168"/>
      <c r="GO211" s="168"/>
      <c r="GP211" s="168"/>
      <c r="GQ211" s="168"/>
      <c r="GR211" s="168"/>
      <c r="GS211" s="168"/>
      <c r="GT211" s="168"/>
      <c r="GU211" s="168"/>
      <c r="GV211" s="168"/>
      <c r="GW211" s="168"/>
      <c r="GX211" s="168"/>
      <c r="GY211" s="168"/>
      <c r="GZ211" s="168"/>
      <c r="HA211" s="168"/>
      <c r="HB211" s="168"/>
      <c r="HC211" s="168"/>
      <c r="HD211" s="168"/>
      <c r="HE211" s="168"/>
      <c r="HF211" s="168"/>
      <c r="HG211" s="168"/>
      <c r="HH211" s="168"/>
      <c r="HI211" s="168"/>
      <c r="HJ211" s="168"/>
      <c r="HK211" s="168"/>
      <c r="HL211" s="168"/>
      <c r="HM211" s="168"/>
      <c r="HN211" s="168"/>
      <c r="HO211" s="168"/>
      <c r="HP211" s="168"/>
      <c r="HQ211" s="168"/>
      <c r="HR211" s="168"/>
      <c r="HS211" s="168"/>
      <c r="HT211" s="168"/>
      <c r="HU211" s="168"/>
      <c r="HV211" s="168"/>
      <c r="HW211" s="168"/>
      <c r="HX211" s="168"/>
      <c r="HY211" s="168"/>
      <c r="HZ211" s="168"/>
      <c r="IA211" s="168"/>
      <c r="IB211" s="168"/>
      <c r="IC211" s="168"/>
      <c r="ID211" s="168"/>
      <c r="IE211" s="168"/>
      <c r="IF211" s="168"/>
      <c r="IG211" s="168"/>
      <c r="IH211" s="168"/>
      <c r="II211" s="168"/>
      <c r="IJ211" s="168"/>
      <c r="IK211" s="168"/>
      <c r="IL211" s="168"/>
      <c r="IM211" s="168"/>
      <c r="IN211" s="168"/>
      <c r="IO211" s="168"/>
      <c r="IP211" s="168"/>
      <c r="IQ211" s="168"/>
      <c r="IR211" s="168"/>
      <c r="IS211" s="168"/>
      <c r="IT211" s="168"/>
      <c r="IU211" s="168"/>
      <c r="IV211" s="168"/>
      <c r="IW211" s="168"/>
      <c r="IX211" s="168"/>
      <c r="IY211" s="168"/>
      <c r="IZ211" s="168"/>
      <c r="JA211" s="168"/>
      <c r="JB211" s="168"/>
      <c r="JC211" s="606"/>
      <c r="JD211" s="609"/>
      <c r="JE211" s="1"/>
      <c r="JF211" s="1"/>
    </row>
    <row r="212" spans="1:266" s="2" customFormat="1" ht="15" customHeight="1" x14ac:dyDescent="0.25">
      <c r="A212" s="283"/>
      <c r="B212" s="303"/>
      <c r="C212" s="301"/>
      <c r="D212" s="3075"/>
      <c r="E212" s="2298"/>
      <c r="F212" s="1812"/>
      <c r="G212" s="3342"/>
      <c r="H212" s="66"/>
      <c r="I212" s="1746"/>
      <c r="J212" s="86"/>
      <c r="K212" s="105"/>
      <c r="L212" s="91"/>
      <c r="M212" s="92"/>
      <c r="N212" s="93"/>
      <c r="O212" s="94"/>
      <c r="P212" s="96"/>
      <c r="Q212" s="95"/>
      <c r="R212" s="993">
        <f t="shared" ref="R212:R215" si="376">CHOOSE(AD212,SUMIFS($T$129:$T$304,$AE$129:$AE$304,AE212,$AD$129:$AD$304,3,$DF$129:$DF$304,1,$AG$129:$AG$304,1),SUMIFS($T$129:$T$304,$AF$129:$AF$304,AF212,$AD$129:$AD$304,3,$DF$129:$DF$304,1,$AG$129:$AG$304,1),T212+U212)</f>
        <v>0</v>
      </c>
      <c r="S212" s="23">
        <f t="shared" si="298"/>
        <v>0</v>
      </c>
      <c r="T212" s="24">
        <f t="shared" ref="T212:T215" si="377">IF($AD212=3,BW212*AG212,0)</f>
        <v>0</v>
      </c>
      <c r="U212" s="24">
        <f t="shared" ref="U212:U215" si="378">IF($AD212=3,AR212*(1-AG212),0)</f>
        <v>0</v>
      </c>
      <c r="V212" s="24">
        <f t="shared" ref="V212:V215" si="379">T212*AP212*AG212</f>
        <v>0</v>
      </c>
      <c r="W212" s="24">
        <f t="shared" ref="W212:W215" si="380">X212*AO212</f>
        <v>0</v>
      </c>
      <c r="X212" s="72">
        <f t="shared" ref="X212:X215" si="381">IF($AD212=3,SUMPRODUCT(BX212:CG212,CH212:CQ212)*AG212,0)</f>
        <v>0</v>
      </c>
      <c r="Y212" s="72">
        <f t="shared" ref="Y212:Y215" si="382">IF($AD212=3,SUMPRODUCT(AS212:BB212,BM212:BV212),0)</f>
        <v>0</v>
      </c>
      <c r="Z212" s="24">
        <f t="shared" ref="Z212:Z215" si="383">IF($AD212=3,SUMPRODUCT(AS212:BB212,BC212:BL212),0)</f>
        <v>0</v>
      </c>
      <c r="AA212" s="72">
        <f t="shared" ref="AA212:AA215" si="384">$DV212*$CT212*(1+DW212)*AG212</f>
        <v>0</v>
      </c>
      <c r="AB212" s="24">
        <f t="shared" si="306"/>
        <v>0</v>
      </c>
      <c r="AC212" s="24" t="s">
        <v>5</v>
      </c>
      <c r="AD212" s="25">
        <f t="shared" ref="AD212:AD215" si="385">IF(N212="",3,IF(AND(L212&gt;0,M212&gt;0),2,1))</f>
        <v>3</v>
      </c>
      <c r="AE212" s="25">
        <f t="shared" ref="AE212:AE215" si="386">IF(AND(ISNUMBER(VALUE(L212)),RIGHT(L212,1)="0"),(L212+0.00001),L212)</f>
        <v>0</v>
      </c>
      <c r="AF212" s="25">
        <f t="shared" ref="AF212:AF215" si="387">IF(AND(ISNUMBER(VALUE(M212)),RIGHT(M212,1)="0"),(M212+0.00001),M212)</f>
        <v>0</v>
      </c>
      <c r="AG212" s="25">
        <f t="shared" si="307"/>
        <v>1</v>
      </c>
      <c r="AH212" s="25" t="str">
        <f>IFERROR(MATCH(DY212,'2 Staff List'!$IA$64:$IA$114,0),"x")</f>
        <v>x</v>
      </c>
      <c r="AI212" s="1181">
        <f>IFERROR(INDEX('2 Staff List'!$EX$64:$EX$114,$AH212),0)</f>
        <v>0</v>
      </c>
      <c r="AJ212" s="25">
        <f>IFERROR(INDEX('2 Staff List'!$IW$64:$IW$114,$AH212),0)</f>
        <v>0</v>
      </c>
      <c r="AK212" s="25">
        <f>IFERROR(INDEX('2 Staff List'!$IB$64:$IB$114,$AH212),0)</f>
        <v>0</v>
      </c>
      <c r="AL212" s="25">
        <f>IF(OR(NOT(ISBLANK(DV212)),CX212=1),"&lt;Non-Labor&gt;",IFERROR(IF(AH212=0,0,INDEX('2 Staff List'!$HZ$64:$HZ$114,$AH212)),0))</f>
        <v>0</v>
      </c>
      <c r="AM212" s="25">
        <f>IFERROR(INDEX('2 Staff List'!$HW$64:$HW$114,$AH212),0)</f>
        <v>0</v>
      </c>
      <c r="AN212" s="25">
        <f t="shared" ref="AN212:AN215" si="388">(1+B212)*IF(ISBLANK(EE212),1,EE212)</f>
        <v>1</v>
      </c>
      <c r="AO212" s="25">
        <f>IF($AO$127=0,0,IFERROR(INDEX('2 Staff List'!$JH$64:$JH$114,$AH212),0))</f>
        <v>0</v>
      </c>
      <c r="AP212" s="25">
        <f>IFERROR(INDEX('2 Staff List'!$HU$64:$HU$114,$AH212),0)</f>
        <v>0</v>
      </c>
      <c r="AQ212" s="25">
        <f t="shared" ref="AQ212:AQ215" si="389">IF(AND(DV212&lt;&gt;0,SUMPRODUCT($EG212:$JD212,$EG$17:$JD$17)=0),1,0)</f>
        <v>0</v>
      </c>
      <c r="AR212" s="25">
        <f t="shared" ref="AR212:AR215" si="390">IF(OR($AD212&lt;&gt;3,$DV212&gt;0,$DY212=0),0,SUMIFS($EG212:$JD212,$EG$17:$JD$17,1)*AN212)</f>
        <v>0</v>
      </c>
      <c r="AS212" s="25">
        <f t="shared" ref="AS212:AS215" si="391">IF(OR($AD212&lt;&gt;3,$DV212&gt;0),0,SUMIFS($EG212:$JD212,$EG$17:$JD$17,1,$EG$124:$JD$124,1)*AN212)</f>
        <v>0</v>
      </c>
      <c r="AT212" s="25">
        <f t="shared" ref="AT212:AT215" si="392">IF(OR($AD212&lt;&gt;3,$DV212&gt;0),0,SUMIFS($EG212:$JD212,$EG$17:$JD$17,1,$EG$124:$JD$124,2)*AN212)</f>
        <v>0</v>
      </c>
      <c r="AU212" s="25">
        <f t="shared" ref="AU212:AU215" si="393">IF(OR($AD212&lt;&gt;3,$DV212&gt;0),0,SUMIFS($EG212:$JD212,$EG$17:$JD$17,1,$EG$124:$JD$124,3)*AN212)</f>
        <v>0</v>
      </c>
      <c r="AV212" s="25">
        <f t="shared" ref="AV212:AV215" si="394">IF(OR($AD212&lt;&gt;3,$DV212&gt;0),0,SUMIFS($EG212:$JD212,$EG$17:$JD$17,1,$EG$124:$JD$124,4)*AN212)</f>
        <v>0</v>
      </c>
      <c r="AW212" s="25">
        <f t="shared" ref="AW212:AW215" si="395">IF(OR($AD212&lt;&gt;3,$DV212&gt;0),0,SUMIFS($EG212:$JD212,$EG$17:$JD$17,1,$EG$124:$JD$124,5)*AN212)</f>
        <v>0</v>
      </c>
      <c r="AX212" s="25">
        <f t="shared" ref="AX212:AX215" si="396">IF(OR($AD212&lt;&gt;3,$DV212&gt;0),0,SUMIFS($EG212:$JD212,$EG$17:$JD$17,1,$EG$124:$JD$124,6)*AN212)</f>
        <v>0</v>
      </c>
      <c r="AY212" s="25">
        <f t="shared" ref="AY212:AY215" si="397">IF(OR($AD212&lt;&gt;3,$DV212&gt;0),0,SUMIFS($EG212:$JD212,$EG$17:$JD$17,1,$EG$124:$JD$124,7)*AN212)</f>
        <v>0</v>
      </c>
      <c r="AZ212" s="25">
        <f t="shared" ref="AZ212:AZ215" si="398">IF(OR($AD212&lt;&gt;3,$DV212&gt;0),0,SUMIFS($EG212:$JD212,$EG$17:$JD$17,1,$EG$124:$JD$124,8)*AN212)</f>
        <v>0</v>
      </c>
      <c r="BA212" s="25">
        <f t="shared" ref="BA212:BA215" si="399">IF(OR($AD212&lt;&gt;3,$DV212&gt;0),0,SUMIFS($EG212:$JD212,$EG$17:$JD$17,1,$EG$124:$JD$124,9)*AN212)</f>
        <v>0</v>
      </c>
      <c r="BB212" s="25">
        <f t="shared" ref="BB212:BB215" si="400">IF(OR($AD212&lt;&gt;3,$DV212&gt;0),0,SUMIFS($EG212:$JD212,$EG$17:$JD$17,1,$EG$124:$JD$124,10)*AN212)</f>
        <v>0</v>
      </c>
      <c r="BC212" s="25">
        <f>IFERROR(INDEX('2 Staff List'!KS$64:KS$114,$AH212),0)</f>
        <v>0</v>
      </c>
      <c r="BD212" s="25">
        <f>IFERROR(INDEX('2 Staff List'!KT$64:KT$114,$AH212),0)</f>
        <v>0</v>
      </c>
      <c r="BE212" s="25">
        <f>IFERROR(INDEX('2 Staff List'!KU$64:KU$114,$AH212),0)</f>
        <v>0</v>
      </c>
      <c r="BF212" s="25">
        <f>IFERROR(INDEX('2 Staff List'!KV$64:KV$114,$AH212),0)</f>
        <v>0</v>
      </c>
      <c r="BG212" s="25">
        <f>IFERROR(INDEX('2 Staff List'!KW$64:KW$114,$AH212),0)</f>
        <v>0</v>
      </c>
      <c r="BH212" s="25">
        <f>IFERROR(INDEX('2 Staff List'!KX$64:KX$114,$AH212),0)</f>
        <v>0</v>
      </c>
      <c r="BI212" s="25">
        <f>IFERROR(INDEX('2 Staff List'!KY$64:KY$114,$AH212),0)</f>
        <v>0</v>
      </c>
      <c r="BJ212" s="25">
        <f>IFERROR(INDEX('2 Staff List'!KZ$64:KZ$114,$AH212),0)</f>
        <v>0</v>
      </c>
      <c r="BK212" s="25">
        <f>IFERROR(INDEX('2 Staff List'!LA$64:LA$114,$AH212),0)</f>
        <v>0</v>
      </c>
      <c r="BL212" s="25">
        <f>IFERROR(INDEX('2 Staff List'!LB$64:LB$114,$AH212),0)</f>
        <v>0</v>
      </c>
      <c r="BM212" s="25">
        <f>IFERROR(INDEX('2 Staff List'!FT$64:FT$114,$AH212),0)</f>
        <v>0</v>
      </c>
      <c r="BN212" s="25">
        <f>IFERROR(INDEX('2 Staff List'!FU$64:FU$114,$AH212),0)</f>
        <v>0</v>
      </c>
      <c r="BO212" s="25">
        <f>IFERROR(INDEX('2 Staff List'!FV$64:FV$114,$AH212),0)</f>
        <v>0</v>
      </c>
      <c r="BP212" s="25">
        <f>IFERROR(INDEX('2 Staff List'!FW$64:FW$114,$AH212),0)</f>
        <v>0</v>
      </c>
      <c r="BQ212" s="25">
        <f>IFERROR(INDEX('2 Staff List'!FX$64:FX$114,$AH212),0)</f>
        <v>0</v>
      </c>
      <c r="BR212" s="25">
        <f>IFERROR(INDEX('2 Staff List'!FY$64:FY$114,$AH212),0)</f>
        <v>0</v>
      </c>
      <c r="BS212" s="25">
        <f>IFERROR(INDEX('2 Staff List'!FZ$64:FZ$114,$AH212),0)</f>
        <v>0</v>
      </c>
      <c r="BT212" s="25">
        <f>IFERROR(INDEX('2 Staff List'!GA$64:GA$114,$AH212),0)</f>
        <v>0</v>
      </c>
      <c r="BU212" s="25">
        <f>IFERROR(INDEX('2 Staff List'!GB$64:GB$114,$AH212),0)</f>
        <v>0</v>
      </c>
      <c r="BV212" s="25">
        <f>IFERROR(INDEX('2 Staff List'!GC$64:GC$114,$AH212),0)</f>
        <v>0</v>
      </c>
      <c r="BW212" s="25">
        <f t="shared" ref="BW212:BW215" si="401">IF(OR($AD212&lt;&gt;3,$DV212&gt;0,$DY212=0),0,SUMIFS($EG212:$JD212,$EG$17:$JD$17,1)*AN212*$AG212)</f>
        <v>0</v>
      </c>
      <c r="BX212" s="25">
        <f t="shared" ref="BX212:BX215" si="402">IF(OR($AD212&lt;&gt;3,$DV212&gt;0),0,SUMIFS($EG212:$JD212,$EG$17:$JD$17,1,$EG$123:$JD$123,1)*AN212)</f>
        <v>0</v>
      </c>
      <c r="BY212" s="25">
        <f t="shared" ref="BY212:BY215" si="403">IF(OR($AD212&lt;&gt;3,$DV212&gt;0),0,SUMIFS($EG212:$JD212,$EG$17:$JD$17,1,$EG$123:$JD$123,2)*AN212)</f>
        <v>0</v>
      </c>
      <c r="BZ212" s="25">
        <f t="shared" ref="BZ212:BZ215" si="404">IF(OR($AD212&lt;&gt;3,$DV212&gt;0),0,SUMIFS($EG212:$JD212,$EG$17:$JD$17,1,$EG$123:$JD$123,3)*AN212)</f>
        <v>0</v>
      </c>
      <c r="CA212" s="25">
        <f t="shared" ref="CA212:CA215" si="405">IF(OR($AD212&lt;&gt;3,$DV212&gt;0),0,SUMIFS($EG212:$JD212,$EG$17:$JD$17,1,$EG$123:$JD$123,4)*AN212)</f>
        <v>0</v>
      </c>
      <c r="CB212" s="25">
        <f t="shared" ref="CB212:CB215" si="406">IF(OR($AD212&lt;&gt;3,$DV212&gt;0),0,SUMIFS($EG212:$JD212,$EG$17:$JD$17,1,$EG$123:$JD$123,5)*AN212)</f>
        <v>0</v>
      </c>
      <c r="CC212" s="25">
        <f t="shared" ref="CC212:CC215" si="407">IF(OR($AD212&lt;&gt;3,$DV212&gt;0),0,SUMIFS($EG212:$JD212,$EG$17:$JD$17,1,$EG$123:$JD$123,6)*AN212)</f>
        <v>0</v>
      </c>
      <c r="CD212" s="25">
        <f t="shared" ref="CD212:CD215" si="408">IF(OR($AD212&lt;&gt;3,$DV212&gt;0),0,SUMIFS($EG212:$JD212,$EG$17:$JD$17,1,$EG$123:$JD$123,7)*AN212)</f>
        <v>0</v>
      </c>
      <c r="CE212" s="25">
        <f t="shared" ref="CE212:CE215" si="409">IF(OR($AD212&lt;&gt;3,$DV212&gt;0),0,SUMIFS($EG212:$JD212,$EG$17:$JD$17,1,$EG$123:$JD$123,8)*AN212)</f>
        <v>0</v>
      </c>
      <c r="CF212" s="25">
        <f t="shared" ref="CF212:CF215" si="410">IF(OR($AD212&lt;&gt;3,$DV212&gt;0),0,SUMIFS($EG212:$JD212,$EG$17:$JD$17,1,$EG$123:$JD$123,9)*AN212)</f>
        <v>0</v>
      </c>
      <c r="CG212" s="25">
        <f t="shared" ref="CG212:CG215" si="411">IF(OR($AD212&lt;&gt;3,$DV212&gt;0),0,SUMIFS($EG212:$JD212,$EG$17:$JD$17,1,$EG$123:$JD$123,10)*AN212)</f>
        <v>0</v>
      </c>
      <c r="CH212" s="25">
        <f>IFERROR(INDEX('2 Staff List'!LO$64:LO$114,$AH212),0)</f>
        <v>0</v>
      </c>
      <c r="CI212" s="25">
        <f>IFERROR(INDEX('2 Staff List'!LP$64:LP$114,$AH212),0)</f>
        <v>0</v>
      </c>
      <c r="CJ212" s="25">
        <f>IFERROR(INDEX('2 Staff List'!LQ$64:LQ$114,$AH212),0)</f>
        <v>0</v>
      </c>
      <c r="CK212" s="25">
        <f>IFERROR(INDEX('2 Staff List'!LR$64:LR$114,$AH212),0)</f>
        <v>0</v>
      </c>
      <c r="CL212" s="25">
        <f>IFERROR(INDEX('2 Staff List'!LS$64:LS$114,$AH212),0)</f>
        <v>0</v>
      </c>
      <c r="CM212" s="25">
        <f>IFERROR(INDEX('2 Staff List'!LT$64:LT$114,$AH212),0)</f>
        <v>0</v>
      </c>
      <c r="CN212" s="25">
        <f>IFERROR(INDEX('2 Staff List'!LU$64:LU$114,$AH212),0)</f>
        <v>0</v>
      </c>
      <c r="CO212" s="25">
        <f>IFERROR(INDEX('2 Staff List'!LV$64:LV$114,$AH212),0)</f>
        <v>0</v>
      </c>
      <c r="CP212" s="25">
        <f>IFERROR(INDEX('2 Staff List'!LW$64:LW$114,$AH212),0)</f>
        <v>0</v>
      </c>
      <c r="CQ212" s="25">
        <f>IFERROR(INDEX('2 Staff List'!LX$64:LX$114,$AH212),0)</f>
        <v>0</v>
      </c>
      <c r="CR212" s="25">
        <f t="shared" ref="CR212:CR215" si="412">IF(AD212=3,SUMPRODUCT($EG212:$JD212,$EG$17:$JD$17),0)</f>
        <v>0</v>
      </c>
      <c r="CS212" s="25">
        <f t="shared" ref="CS212:CS215" si="413">IFERROR(1/CR212,1)</f>
        <v>1</v>
      </c>
      <c r="CT212" s="25">
        <f t="shared" ref="CT212:CT215" si="414">IF(NOT(ISBLANK(DU212)),DU212,1)</f>
        <v>1</v>
      </c>
      <c r="CU212" s="25">
        <f t="shared" ref="CU212:CU215" si="415">IF(DT212=$CU$127,0,1)</f>
        <v>1</v>
      </c>
      <c r="CV212" s="25">
        <f t="shared" ref="CV212:CV215" si="416">IF(AND(AD212=3,OR(F212="",F212="Approved")),1,0)</f>
        <v>1</v>
      </c>
      <c r="CW212" s="25">
        <f t="shared" ref="CW212:CW215" si="417">IF(AD212&lt;&gt;3,0,IF(OR(F212="",F212="Approved",F212="Pend w FC"),1,0))</f>
        <v>1</v>
      </c>
      <c r="CX212" s="25">
        <f t="shared" ref="CX212:CX215" si="418">IF(AND(Z212=0,OR(G212="RO",DG212="V",DG212="W")),1,0)</f>
        <v>0</v>
      </c>
      <c r="CY212" s="25">
        <f t="shared" si="338"/>
        <v>0</v>
      </c>
      <c r="CZ212" s="25">
        <f t="shared" ref="CZ212:CZ215" si="419">IF(AD212&lt;&gt;3,0,IF(OR(F212="Pending",F212="Pend w FC"),1,0))</f>
        <v>0</v>
      </c>
      <c r="DA212" s="25">
        <f t="shared" si="340"/>
        <v>1</v>
      </c>
      <c r="DB212" s="25">
        <f t="shared" ref="DB212:DB215" si="420">IF($AD212&lt;&gt;3,0,IF(F212="",1,0))</f>
        <v>1</v>
      </c>
      <c r="DC212" s="25">
        <f t="shared" si="341"/>
        <v>0</v>
      </c>
      <c r="DD212" s="25">
        <f>IF(OR($AD212&lt;&gt;3,F212="Exclude"),0,IF(ISERROR(MATCH($E212,'4 Sign-off'!$S$123:$X$123,0)),0,1))</f>
        <v>0</v>
      </c>
      <c r="DE212" s="25">
        <f t="shared" si="291"/>
        <v>0</v>
      </c>
      <c r="DF212" s="25">
        <f t="shared" ref="DF212:DF215" si="421">CHOOSE($DF$119,CV212,CW212,DE212)</f>
        <v>0</v>
      </c>
      <c r="DG212" s="25" t="str">
        <f t="shared" ref="DG212:DG215" si="422">LEFT(J212,1)</f>
        <v/>
      </c>
      <c r="DH212" s="25">
        <f t="shared" si="344"/>
        <v>0</v>
      </c>
      <c r="DI212" s="25">
        <f t="shared" si="345"/>
        <v>0</v>
      </c>
      <c r="DJ212" s="25">
        <f>IF(ISBLANK(J212),0,ISERROR(MATCH(J212,'5  Control Accounts'!$FA$29:$FA$96,0))*1)</f>
        <v>0</v>
      </c>
      <c r="DK212" s="25">
        <f t="shared" ref="DK212:DK215" si="423">AND($C$5,(T212+U212+AB212)&lt;&gt;0,ISBLANK(J212),F212&lt;&gt;"Exclude")*1</f>
        <v>0</v>
      </c>
      <c r="DL212" s="25">
        <f t="shared" ref="DL212:DL215" si="424">IF(OR((T212+U212)&gt;0,(AA212+AB212)&gt;0),J212,-1)</f>
        <v>-1</v>
      </c>
      <c r="DM212" s="25" t="e">
        <f t="array" ref="DM212">MATCH(1,($EG212:$JD212&gt;0)*$EG$17:$JD$17,0)</f>
        <v>#N/A</v>
      </c>
      <c r="DN212" s="25" t="e">
        <f t="shared" si="293"/>
        <v>#N/A</v>
      </c>
      <c r="DO212" s="25" t="e">
        <f t="array" ref="DO212">MATCH(2,1/(EG212:JD212&gt;0))</f>
        <v>#N/A</v>
      </c>
      <c r="DP212" s="2993">
        <f t="shared" ref="DP212:DP215" si="425">CHOOSE($AD212,SUMIFS($DP$129:$DP$304,$AE$129:$AE$304,$AE212,$DF$129:$DF$304,1),SUMIFS($DP$129:$DP$304,$AF$129:$AF$304,$AF212,$DF$129:$DF$304,1),X212+AA212)</f>
        <v>0</v>
      </c>
      <c r="DQ212" s="3037">
        <f t="shared" ref="DQ212:DQ215" si="426">CHOOSE($AD212,SUMIFS($DQ$129:$DQ$304,$AE$129:$AE$304,$AE212,$DF$129:$DF$304,1),SUMIFS($DQ$129:$DQ$304,$AF$129:$AF$304,$AF212,$DF$129:$DF$304,1),DP212-S212)</f>
        <v>0</v>
      </c>
      <c r="DR212" s="111"/>
      <c r="DS212" s="1268">
        <f t="shared" ref="DS212:DS215" si="427">N212</f>
        <v>0</v>
      </c>
      <c r="DT212" s="1825"/>
      <c r="DU212" s="1826"/>
      <c r="DV212" s="1827"/>
      <c r="DW212" s="1828"/>
      <c r="DX212" s="659"/>
      <c r="DY212" s="1265"/>
      <c r="DZ212" s="1785">
        <f t="shared" ref="DZ212:DZ215" si="428">AL212</f>
        <v>0</v>
      </c>
      <c r="EA212" s="1786">
        <f t="shared" ref="EA212:EA215" si="429">IF($AD212=3,T212+U212,0)</f>
        <v>0</v>
      </c>
      <c r="EB212" s="1781">
        <f t="shared" si="296"/>
        <v>0</v>
      </c>
      <c r="EC212" s="1782">
        <f t="shared" si="297"/>
        <v>0</v>
      </c>
      <c r="ED212" s="1262"/>
      <c r="EE212" s="2280"/>
      <c r="EF212" s="1802"/>
      <c r="EG212" s="167"/>
      <c r="EH212" s="168"/>
      <c r="EI212" s="168"/>
      <c r="EJ212" s="168"/>
      <c r="EK212" s="168"/>
      <c r="EL212" s="168"/>
      <c r="EM212" s="168"/>
      <c r="EN212" s="168"/>
      <c r="EO212" s="168"/>
      <c r="EP212" s="168"/>
      <c r="EQ212" s="168"/>
      <c r="ER212" s="168"/>
      <c r="ES212" s="168"/>
      <c r="ET212" s="168"/>
      <c r="EU212" s="168"/>
      <c r="EV212" s="168"/>
      <c r="EW212" s="168"/>
      <c r="EX212" s="168"/>
      <c r="EY212" s="168"/>
      <c r="EZ212" s="168"/>
      <c r="FA212" s="168"/>
      <c r="FB212" s="168"/>
      <c r="FC212" s="168"/>
      <c r="FD212" s="168"/>
      <c r="FE212" s="168"/>
      <c r="FF212" s="168"/>
      <c r="FG212" s="168"/>
      <c r="FH212" s="168"/>
      <c r="FI212" s="168"/>
      <c r="FJ212" s="168"/>
      <c r="FK212" s="168"/>
      <c r="FL212" s="168"/>
      <c r="FM212" s="168"/>
      <c r="FN212" s="168"/>
      <c r="FO212" s="168"/>
      <c r="FP212" s="168"/>
      <c r="FQ212" s="168"/>
      <c r="FR212" s="168"/>
      <c r="FS212" s="168"/>
      <c r="FT212" s="168"/>
      <c r="FU212" s="168"/>
      <c r="FV212" s="168"/>
      <c r="FW212" s="168"/>
      <c r="FX212" s="168"/>
      <c r="FY212" s="168"/>
      <c r="FZ212" s="168"/>
      <c r="GA212" s="168"/>
      <c r="GB212" s="168"/>
      <c r="GC212" s="168"/>
      <c r="GD212" s="168"/>
      <c r="GE212" s="168"/>
      <c r="GF212" s="168"/>
      <c r="GG212" s="168"/>
      <c r="GH212" s="168"/>
      <c r="GI212" s="168"/>
      <c r="GJ212" s="168"/>
      <c r="GK212" s="168"/>
      <c r="GL212" s="168"/>
      <c r="GM212" s="168"/>
      <c r="GN212" s="168"/>
      <c r="GO212" s="168"/>
      <c r="GP212" s="168"/>
      <c r="GQ212" s="168"/>
      <c r="GR212" s="168"/>
      <c r="GS212" s="168"/>
      <c r="GT212" s="168"/>
      <c r="GU212" s="168"/>
      <c r="GV212" s="168"/>
      <c r="GW212" s="168"/>
      <c r="GX212" s="168"/>
      <c r="GY212" s="168"/>
      <c r="GZ212" s="168"/>
      <c r="HA212" s="168"/>
      <c r="HB212" s="168"/>
      <c r="HC212" s="168"/>
      <c r="HD212" s="168"/>
      <c r="HE212" s="168"/>
      <c r="HF212" s="168"/>
      <c r="HG212" s="168"/>
      <c r="HH212" s="168"/>
      <c r="HI212" s="168"/>
      <c r="HJ212" s="168"/>
      <c r="HK212" s="168"/>
      <c r="HL212" s="168"/>
      <c r="HM212" s="168"/>
      <c r="HN212" s="168"/>
      <c r="HO212" s="168"/>
      <c r="HP212" s="168"/>
      <c r="HQ212" s="168"/>
      <c r="HR212" s="168"/>
      <c r="HS212" s="168"/>
      <c r="HT212" s="168"/>
      <c r="HU212" s="168"/>
      <c r="HV212" s="168"/>
      <c r="HW212" s="168"/>
      <c r="HX212" s="168"/>
      <c r="HY212" s="168"/>
      <c r="HZ212" s="168"/>
      <c r="IA212" s="168"/>
      <c r="IB212" s="168"/>
      <c r="IC212" s="168"/>
      <c r="ID212" s="168"/>
      <c r="IE212" s="168"/>
      <c r="IF212" s="168"/>
      <c r="IG212" s="168"/>
      <c r="IH212" s="168"/>
      <c r="II212" s="168"/>
      <c r="IJ212" s="168"/>
      <c r="IK212" s="168"/>
      <c r="IL212" s="168"/>
      <c r="IM212" s="168"/>
      <c r="IN212" s="168"/>
      <c r="IO212" s="168"/>
      <c r="IP212" s="168"/>
      <c r="IQ212" s="168"/>
      <c r="IR212" s="168"/>
      <c r="IS212" s="168"/>
      <c r="IT212" s="168"/>
      <c r="IU212" s="168"/>
      <c r="IV212" s="168"/>
      <c r="IW212" s="168"/>
      <c r="IX212" s="168"/>
      <c r="IY212" s="168"/>
      <c r="IZ212" s="168"/>
      <c r="JA212" s="168"/>
      <c r="JB212" s="168"/>
      <c r="JC212" s="606"/>
      <c r="JD212" s="609"/>
      <c r="JE212" s="1"/>
      <c r="JF212" s="1"/>
    </row>
    <row r="213" spans="1:266" s="2" customFormat="1" ht="15" customHeight="1" x14ac:dyDescent="0.25">
      <c r="A213" s="283"/>
      <c r="B213" s="303"/>
      <c r="C213" s="301"/>
      <c r="D213" s="3339"/>
      <c r="E213" s="2298"/>
      <c r="F213" s="1812"/>
      <c r="G213" s="3342"/>
      <c r="H213" s="66"/>
      <c r="I213" s="1746"/>
      <c r="J213" s="86"/>
      <c r="K213" s="105"/>
      <c r="L213" s="91"/>
      <c r="M213" s="92"/>
      <c r="N213" s="93"/>
      <c r="O213" s="94"/>
      <c r="P213" s="96"/>
      <c r="Q213" s="95"/>
      <c r="R213" s="993">
        <f t="shared" ref="R213" si="430">CHOOSE(AD213,SUMIFS($T$129:$T$304,$AE$129:$AE$304,AE213,$AD$129:$AD$304,3,$DF$129:$DF$304,1,$AG$129:$AG$304,1),SUMIFS($T$129:$T$304,$AF$129:$AF$304,AF213,$AD$129:$AD$304,3,$DF$129:$DF$304,1,$AG$129:$AG$304,1),T213+U213)</f>
        <v>0</v>
      </c>
      <c r="S213" s="23">
        <f t="shared" ref="S213" si="431">CHOOSE($AD213,SUMIFS($S$129:$S$304,$AE$129:$AE$304,AE213,$DF$129:$DF$304,1),SUMIFS($S$129:$S$304,$AF$129:$AF$304,AF213,$DF$129:$DF$304,1),V213+Y213+AB213)</f>
        <v>0</v>
      </c>
      <c r="T213" s="24">
        <f t="shared" ref="T213" si="432">IF($AD213=3,BW213*AG213,0)</f>
        <v>0</v>
      </c>
      <c r="U213" s="24">
        <f t="shared" ref="U213" si="433">IF($AD213=3,AR213*(1-AG213),0)</f>
        <v>0</v>
      </c>
      <c r="V213" s="24">
        <f t="shared" ref="V213" si="434">T213*AP213*AG213</f>
        <v>0</v>
      </c>
      <c r="W213" s="24">
        <f t="shared" ref="W213" si="435">X213*AO213</f>
        <v>0</v>
      </c>
      <c r="X213" s="72">
        <f t="shared" ref="X213" si="436">IF($AD213=3,SUMPRODUCT(BX213:CG213,CH213:CQ213)*AG213,0)</f>
        <v>0</v>
      </c>
      <c r="Y213" s="72">
        <f t="shared" ref="Y213" si="437">IF($AD213=3,SUMPRODUCT(AS213:BB213,BM213:BV213),0)</f>
        <v>0</v>
      </c>
      <c r="Z213" s="24">
        <f t="shared" ref="Z213" si="438">IF($AD213=3,SUMPRODUCT(AS213:BB213,BC213:BL213),0)</f>
        <v>0</v>
      </c>
      <c r="AA213" s="72">
        <f t="shared" ref="AA213" si="439">$DV213*$CT213*(1+DW213)*AG213</f>
        <v>0</v>
      </c>
      <c r="AB213" s="24">
        <f t="shared" si="306"/>
        <v>0</v>
      </c>
      <c r="AC213" s="24" t="s">
        <v>5</v>
      </c>
      <c r="AD213" s="25">
        <f t="shared" ref="AD213" si="440">IF(N213="",3,IF(AND(L213&gt;0,M213&gt;0),2,1))</f>
        <v>3</v>
      </c>
      <c r="AE213" s="25">
        <f t="shared" ref="AE213" si="441">IF(AND(ISNUMBER(VALUE(L213)),RIGHT(L213,1)="0"),(L213+0.00001),L213)</f>
        <v>0</v>
      </c>
      <c r="AF213" s="25">
        <f t="shared" ref="AF213" si="442">IF(AND(ISNUMBER(VALUE(M213)),RIGHT(M213,1)="0"),(M213+0.00001),M213)</f>
        <v>0</v>
      </c>
      <c r="AG213" s="25">
        <f t="shared" ref="AG213" si="443">IF(OR($G213="NB",DG213="R"),0,1)</f>
        <v>1</v>
      </c>
      <c r="AH213" s="25" t="str">
        <f>IFERROR(MATCH(DY213,'2 Staff List'!$IA$64:$IA$114,0),"x")</f>
        <v>x</v>
      </c>
      <c r="AI213" s="1181">
        <f>IFERROR(INDEX('2 Staff List'!$EX$64:$EX$114,$AH213),0)</f>
        <v>0</v>
      </c>
      <c r="AJ213" s="25">
        <f>IFERROR(INDEX('2 Staff List'!$IW$64:$IW$114,$AH213),0)</f>
        <v>0</v>
      </c>
      <c r="AK213" s="25">
        <f>IFERROR(INDEX('2 Staff List'!$IB$64:$IB$114,$AH213),0)</f>
        <v>0</v>
      </c>
      <c r="AL213" s="25">
        <f>IF(OR(NOT(ISBLANK(DV213)),CX213=1),"&lt;Non-Labor&gt;",IFERROR(IF(AH213=0,0,INDEX('2 Staff List'!$HZ$64:$HZ$114,$AH213)),0))</f>
        <v>0</v>
      </c>
      <c r="AM213" s="25">
        <f>IFERROR(INDEX('2 Staff List'!$HW$64:$HW$114,$AH213),0)</f>
        <v>0</v>
      </c>
      <c r="AN213" s="25">
        <f t="shared" ref="AN213" si="444">(1+B213)*IF(ISBLANK(EE213),1,EE213)</f>
        <v>1</v>
      </c>
      <c r="AO213" s="25">
        <f>IF($AO$127=0,0,IFERROR(INDEX('2 Staff List'!$JH$64:$JH$114,$AH213),0))</f>
        <v>0</v>
      </c>
      <c r="AP213" s="25">
        <f>IFERROR(INDEX('2 Staff List'!$HU$64:$HU$114,$AH213),0)</f>
        <v>0</v>
      </c>
      <c r="AQ213" s="25">
        <f t="shared" ref="AQ213" si="445">IF(AND(DV213&lt;&gt;0,SUMPRODUCT($EG213:$JD213,$EG$17:$JD$17)=0),1,0)</f>
        <v>0</v>
      </c>
      <c r="AR213" s="25">
        <f t="shared" ref="AR213" si="446">IF(OR($AD213&lt;&gt;3,$DV213&gt;0,$DY213=0),0,SUMIFS($EG213:$JD213,$EG$17:$JD$17,1)*AN213)</f>
        <v>0</v>
      </c>
      <c r="AS213" s="25">
        <f t="shared" ref="AS213" si="447">IF(OR($AD213&lt;&gt;3,$DV213&gt;0),0,SUMIFS($EG213:$JD213,$EG$17:$JD$17,1,$EG$124:$JD$124,1)*AN213)</f>
        <v>0</v>
      </c>
      <c r="AT213" s="25">
        <f t="shared" ref="AT213" si="448">IF(OR($AD213&lt;&gt;3,$DV213&gt;0),0,SUMIFS($EG213:$JD213,$EG$17:$JD$17,1,$EG$124:$JD$124,2)*AN213)</f>
        <v>0</v>
      </c>
      <c r="AU213" s="25">
        <f t="shared" ref="AU213" si="449">IF(OR($AD213&lt;&gt;3,$DV213&gt;0),0,SUMIFS($EG213:$JD213,$EG$17:$JD$17,1,$EG$124:$JD$124,3)*AN213)</f>
        <v>0</v>
      </c>
      <c r="AV213" s="25">
        <f t="shared" ref="AV213" si="450">IF(OR($AD213&lt;&gt;3,$DV213&gt;0),0,SUMIFS($EG213:$JD213,$EG$17:$JD$17,1,$EG$124:$JD$124,4)*AN213)</f>
        <v>0</v>
      </c>
      <c r="AW213" s="25">
        <f t="shared" ref="AW213" si="451">IF(OR($AD213&lt;&gt;3,$DV213&gt;0),0,SUMIFS($EG213:$JD213,$EG$17:$JD$17,1,$EG$124:$JD$124,5)*AN213)</f>
        <v>0</v>
      </c>
      <c r="AX213" s="25">
        <f t="shared" ref="AX213" si="452">IF(OR($AD213&lt;&gt;3,$DV213&gt;0),0,SUMIFS($EG213:$JD213,$EG$17:$JD$17,1,$EG$124:$JD$124,6)*AN213)</f>
        <v>0</v>
      </c>
      <c r="AY213" s="25">
        <f t="shared" ref="AY213" si="453">IF(OR($AD213&lt;&gt;3,$DV213&gt;0),0,SUMIFS($EG213:$JD213,$EG$17:$JD$17,1,$EG$124:$JD$124,7)*AN213)</f>
        <v>0</v>
      </c>
      <c r="AZ213" s="25">
        <f t="shared" ref="AZ213" si="454">IF(OR($AD213&lt;&gt;3,$DV213&gt;0),0,SUMIFS($EG213:$JD213,$EG$17:$JD$17,1,$EG$124:$JD$124,8)*AN213)</f>
        <v>0</v>
      </c>
      <c r="BA213" s="25">
        <f t="shared" ref="BA213" si="455">IF(OR($AD213&lt;&gt;3,$DV213&gt;0),0,SUMIFS($EG213:$JD213,$EG$17:$JD$17,1,$EG$124:$JD$124,9)*AN213)</f>
        <v>0</v>
      </c>
      <c r="BB213" s="25">
        <f t="shared" ref="BB213" si="456">IF(OR($AD213&lt;&gt;3,$DV213&gt;0),0,SUMIFS($EG213:$JD213,$EG$17:$JD$17,1,$EG$124:$JD$124,10)*AN213)</f>
        <v>0</v>
      </c>
      <c r="BC213" s="25">
        <f>IFERROR(INDEX('2 Staff List'!KS$64:KS$114,$AH213),0)</f>
        <v>0</v>
      </c>
      <c r="BD213" s="25">
        <f>IFERROR(INDEX('2 Staff List'!KT$64:KT$114,$AH213),0)</f>
        <v>0</v>
      </c>
      <c r="BE213" s="25">
        <f>IFERROR(INDEX('2 Staff List'!KU$64:KU$114,$AH213),0)</f>
        <v>0</v>
      </c>
      <c r="BF213" s="25">
        <f>IFERROR(INDEX('2 Staff List'!KV$64:KV$114,$AH213),0)</f>
        <v>0</v>
      </c>
      <c r="BG213" s="25">
        <f>IFERROR(INDEX('2 Staff List'!KW$64:KW$114,$AH213),0)</f>
        <v>0</v>
      </c>
      <c r="BH213" s="25">
        <f>IFERROR(INDEX('2 Staff List'!KX$64:KX$114,$AH213),0)</f>
        <v>0</v>
      </c>
      <c r="BI213" s="25">
        <f>IFERROR(INDEX('2 Staff List'!KY$64:KY$114,$AH213),0)</f>
        <v>0</v>
      </c>
      <c r="BJ213" s="25">
        <f>IFERROR(INDEX('2 Staff List'!KZ$64:KZ$114,$AH213),0)</f>
        <v>0</v>
      </c>
      <c r="BK213" s="25">
        <f>IFERROR(INDEX('2 Staff List'!LA$64:LA$114,$AH213),0)</f>
        <v>0</v>
      </c>
      <c r="BL213" s="25">
        <f>IFERROR(INDEX('2 Staff List'!LB$64:LB$114,$AH213),0)</f>
        <v>0</v>
      </c>
      <c r="BM213" s="25">
        <f>IFERROR(INDEX('2 Staff List'!FT$64:FT$114,$AH213),0)</f>
        <v>0</v>
      </c>
      <c r="BN213" s="25">
        <f>IFERROR(INDEX('2 Staff List'!FU$64:FU$114,$AH213),0)</f>
        <v>0</v>
      </c>
      <c r="BO213" s="25">
        <f>IFERROR(INDEX('2 Staff List'!FV$64:FV$114,$AH213),0)</f>
        <v>0</v>
      </c>
      <c r="BP213" s="25">
        <f>IFERROR(INDEX('2 Staff List'!FW$64:FW$114,$AH213),0)</f>
        <v>0</v>
      </c>
      <c r="BQ213" s="25">
        <f>IFERROR(INDEX('2 Staff List'!FX$64:FX$114,$AH213),0)</f>
        <v>0</v>
      </c>
      <c r="BR213" s="25">
        <f>IFERROR(INDEX('2 Staff List'!FY$64:FY$114,$AH213),0)</f>
        <v>0</v>
      </c>
      <c r="BS213" s="25">
        <f>IFERROR(INDEX('2 Staff List'!FZ$64:FZ$114,$AH213),0)</f>
        <v>0</v>
      </c>
      <c r="BT213" s="25">
        <f>IFERROR(INDEX('2 Staff List'!GA$64:GA$114,$AH213),0)</f>
        <v>0</v>
      </c>
      <c r="BU213" s="25">
        <f>IFERROR(INDEX('2 Staff List'!GB$64:GB$114,$AH213),0)</f>
        <v>0</v>
      </c>
      <c r="BV213" s="25">
        <f>IFERROR(INDEX('2 Staff List'!GC$64:GC$114,$AH213),0)</f>
        <v>0</v>
      </c>
      <c r="BW213" s="25">
        <f t="shared" ref="BW213" si="457">IF(OR($AD213&lt;&gt;3,$DV213&gt;0,$DY213=0),0,SUMIFS($EG213:$JD213,$EG$17:$JD$17,1)*AN213*$AG213)</f>
        <v>0</v>
      </c>
      <c r="BX213" s="25">
        <f t="shared" ref="BX213" si="458">IF(OR($AD213&lt;&gt;3,$DV213&gt;0),0,SUMIFS($EG213:$JD213,$EG$17:$JD$17,1,$EG$123:$JD$123,1)*AN213)</f>
        <v>0</v>
      </c>
      <c r="BY213" s="25">
        <f t="shared" ref="BY213" si="459">IF(OR($AD213&lt;&gt;3,$DV213&gt;0),0,SUMIFS($EG213:$JD213,$EG$17:$JD$17,1,$EG$123:$JD$123,2)*AN213)</f>
        <v>0</v>
      </c>
      <c r="BZ213" s="25">
        <f t="shared" ref="BZ213" si="460">IF(OR($AD213&lt;&gt;3,$DV213&gt;0),0,SUMIFS($EG213:$JD213,$EG$17:$JD$17,1,$EG$123:$JD$123,3)*AN213)</f>
        <v>0</v>
      </c>
      <c r="CA213" s="25">
        <f t="shared" ref="CA213" si="461">IF(OR($AD213&lt;&gt;3,$DV213&gt;0),0,SUMIFS($EG213:$JD213,$EG$17:$JD$17,1,$EG$123:$JD$123,4)*AN213)</f>
        <v>0</v>
      </c>
      <c r="CB213" s="25">
        <f t="shared" ref="CB213" si="462">IF(OR($AD213&lt;&gt;3,$DV213&gt;0),0,SUMIFS($EG213:$JD213,$EG$17:$JD$17,1,$EG$123:$JD$123,5)*AN213)</f>
        <v>0</v>
      </c>
      <c r="CC213" s="25">
        <f t="shared" ref="CC213" si="463">IF(OR($AD213&lt;&gt;3,$DV213&gt;0),0,SUMIFS($EG213:$JD213,$EG$17:$JD$17,1,$EG$123:$JD$123,6)*AN213)</f>
        <v>0</v>
      </c>
      <c r="CD213" s="25">
        <f t="shared" ref="CD213" si="464">IF(OR($AD213&lt;&gt;3,$DV213&gt;0),0,SUMIFS($EG213:$JD213,$EG$17:$JD$17,1,$EG$123:$JD$123,7)*AN213)</f>
        <v>0</v>
      </c>
      <c r="CE213" s="25">
        <f t="shared" ref="CE213" si="465">IF(OR($AD213&lt;&gt;3,$DV213&gt;0),0,SUMIFS($EG213:$JD213,$EG$17:$JD$17,1,$EG$123:$JD$123,8)*AN213)</f>
        <v>0</v>
      </c>
      <c r="CF213" s="25">
        <f t="shared" ref="CF213" si="466">IF(OR($AD213&lt;&gt;3,$DV213&gt;0),0,SUMIFS($EG213:$JD213,$EG$17:$JD$17,1,$EG$123:$JD$123,9)*AN213)</f>
        <v>0</v>
      </c>
      <c r="CG213" s="25">
        <f t="shared" ref="CG213" si="467">IF(OR($AD213&lt;&gt;3,$DV213&gt;0),0,SUMIFS($EG213:$JD213,$EG$17:$JD$17,1,$EG$123:$JD$123,10)*AN213)</f>
        <v>0</v>
      </c>
      <c r="CH213" s="25">
        <f>IFERROR(INDEX('2 Staff List'!LO$64:LO$114,$AH213),0)</f>
        <v>0</v>
      </c>
      <c r="CI213" s="25">
        <f>IFERROR(INDEX('2 Staff List'!LP$64:LP$114,$AH213),0)</f>
        <v>0</v>
      </c>
      <c r="CJ213" s="25">
        <f>IFERROR(INDEX('2 Staff List'!LQ$64:LQ$114,$AH213),0)</f>
        <v>0</v>
      </c>
      <c r="CK213" s="25">
        <f>IFERROR(INDEX('2 Staff List'!LR$64:LR$114,$AH213),0)</f>
        <v>0</v>
      </c>
      <c r="CL213" s="25">
        <f>IFERROR(INDEX('2 Staff List'!LS$64:LS$114,$AH213),0)</f>
        <v>0</v>
      </c>
      <c r="CM213" s="25">
        <f>IFERROR(INDEX('2 Staff List'!LT$64:LT$114,$AH213),0)</f>
        <v>0</v>
      </c>
      <c r="CN213" s="25">
        <f>IFERROR(INDEX('2 Staff List'!LU$64:LU$114,$AH213),0)</f>
        <v>0</v>
      </c>
      <c r="CO213" s="25">
        <f>IFERROR(INDEX('2 Staff List'!LV$64:LV$114,$AH213),0)</f>
        <v>0</v>
      </c>
      <c r="CP213" s="25">
        <f>IFERROR(INDEX('2 Staff List'!LW$64:LW$114,$AH213),0)</f>
        <v>0</v>
      </c>
      <c r="CQ213" s="25">
        <f>IFERROR(INDEX('2 Staff List'!LX$64:LX$114,$AH213),0)</f>
        <v>0</v>
      </c>
      <c r="CR213" s="25">
        <f t="shared" ref="CR213" si="468">IF(AD213=3,SUMPRODUCT($EG213:$JD213,$EG$17:$JD$17),0)</f>
        <v>0</v>
      </c>
      <c r="CS213" s="25">
        <f t="shared" ref="CS213" si="469">IFERROR(1/CR213,1)</f>
        <v>1</v>
      </c>
      <c r="CT213" s="25">
        <f t="shared" ref="CT213" si="470">IF(NOT(ISBLANK(DU213)),DU213,1)</f>
        <v>1</v>
      </c>
      <c r="CU213" s="25">
        <f t="shared" ref="CU213" si="471">IF(DT213=$CU$127,0,1)</f>
        <v>1</v>
      </c>
      <c r="CV213" s="25">
        <f t="shared" ref="CV213" si="472">IF(AND(AD213=3,OR(F213="",F213="Approved")),1,0)</f>
        <v>1</v>
      </c>
      <c r="CW213" s="25">
        <f t="shared" ref="CW213" si="473">IF(AD213&lt;&gt;3,0,IF(OR(F213="",F213="Approved",F213="Pend w FC"),1,0))</f>
        <v>1</v>
      </c>
      <c r="CX213" s="25">
        <f t="shared" ref="CX213" si="474">IF(AND(Z213=0,OR(G213="RO",DG213="V",DG213="W")),1,0)</f>
        <v>0</v>
      </c>
      <c r="CY213" s="25">
        <f t="shared" ref="CY213" si="475">IF(OR(DG213="S",DG213="R",DG213="V",DG213="U",DG213="W",DG213="Z"),1,0)</f>
        <v>0</v>
      </c>
      <c r="CZ213" s="25">
        <f t="shared" ref="CZ213" si="476">IF(AD213&lt;&gt;3,0,IF(OR(F213="Pending",F213="Pend w FC"),1,0))</f>
        <v>0</v>
      </c>
      <c r="DA213" s="25">
        <f t="shared" si="340"/>
        <v>1</v>
      </c>
      <c r="DB213" s="25">
        <f t="shared" ref="DB213" si="477">IF($AD213&lt;&gt;3,0,IF(F213="",1,0))</f>
        <v>1</v>
      </c>
      <c r="DC213" s="25">
        <f t="shared" si="341"/>
        <v>0</v>
      </c>
      <c r="DD213" s="25">
        <f>IF(OR($AD213&lt;&gt;3,F213="Exclude"),0,IF(ISERROR(MATCH($E213,'4 Sign-off'!$S$123:$X$123,0)),0,1))</f>
        <v>0</v>
      </c>
      <c r="DE213" s="25">
        <f t="shared" ref="DE213" si="478">IF($C$6&lt;&gt;"B",1,CHOOSE($DE$119,DD213,CZ213+DC213,CZ213,DC213))</f>
        <v>0</v>
      </c>
      <c r="DF213" s="25">
        <f t="shared" ref="DF213" si="479">CHOOSE($DF$119,CV213,CW213,DE213)</f>
        <v>0</v>
      </c>
      <c r="DG213" s="25" t="str">
        <f t="shared" ref="DG213" si="480">LEFT(J213,1)</f>
        <v/>
      </c>
      <c r="DH213" s="25">
        <f t="shared" ref="DH213" si="481">IF(SUM(X213:AB213)=0,0,IF(ISBLANK(DV213),"L","N"))</f>
        <v>0</v>
      </c>
      <c r="DI213" s="25">
        <f t="shared" si="345"/>
        <v>0</v>
      </c>
      <c r="DJ213" s="25">
        <f>IF(ISBLANK(J213),0,ISERROR(MATCH(J213,'5  Control Accounts'!$FA$29:$FA$96,0))*1)</f>
        <v>0</v>
      </c>
      <c r="DK213" s="25">
        <f t="shared" ref="DK213" si="482">AND($C$5,(T213+U213+AB213)&lt;&gt;0,ISBLANK(J213),F213&lt;&gt;"Exclude")*1</f>
        <v>0</v>
      </c>
      <c r="DL213" s="25">
        <f t="shared" ref="DL213" si="483">IF(OR((T213+U213)&gt;0,(AA213+AB213)&gt;0),J213,-1)</f>
        <v>-1</v>
      </c>
      <c r="DM213" s="25" t="e">
        <f t="array" ref="DM213">MATCH(1,($EG213:$JD213&gt;0)*$EG$17:$JD$17,0)</f>
        <v>#N/A</v>
      </c>
      <c r="DN213" s="25" t="e">
        <f t="shared" ref="DN213" si="484">IF($C$6&lt;&gt;"F",DO213,IF(DO213&lt;$EB$17,NA(),DO213))</f>
        <v>#N/A</v>
      </c>
      <c r="DO213" s="25" t="e">
        <f t="array" ref="DO213">MATCH(2,1/(EG213:JD213&gt;0))</f>
        <v>#N/A</v>
      </c>
      <c r="DP213" s="2993">
        <f t="shared" ref="DP213" si="485">CHOOSE($AD213,SUMIFS($DP$129:$DP$304,$AE$129:$AE$304,$AE213,$DF$129:$DF$304,1),SUMIFS($DP$129:$DP$304,$AF$129:$AF$304,$AF213,$DF$129:$DF$304,1),X213+AA213)</f>
        <v>0</v>
      </c>
      <c r="DQ213" s="3037">
        <f t="shared" ref="DQ213" si="486">CHOOSE($AD213,SUMIFS($DQ$129:$DQ$304,$AE$129:$AE$304,$AE213,$DF$129:$DF$304,1),SUMIFS($DQ$129:$DQ$304,$AF$129:$AF$304,$AF213,$DF$129:$DF$304,1),DP213-S213)</f>
        <v>0</v>
      </c>
      <c r="DR213" s="111"/>
      <c r="DS213" s="1268">
        <f t="shared" ref="DS213" si="487">N213</f>
        <v>0</v>
      </c>
      <c r="DT213" s="1825"/>
      <c r="DU213" s="1826"/>
      <c r="DV213" s="1827"/>
      <c r="DW213" s="1828"/>
      <c r="DX213" s="659"/>
      <c r="DY213" s="1265"/>
      <c r="DZ213" s="1785">
        <f t="shared" ref="DZ213" si="488">AL213</f>
        <v>0</v>
      </c>
      <c r="EA213" s="1786">
        <f t="shared" ref="EA213" si="489">IF($AD213=3,T213+U213,0)</f>
        <v>0</v>
      </c>
      <c r="EB213" s="1781">
        <f t="shared" ref="EB213" si="490">IF(ISERROR(DM213),0,CHOOSE($DY$3,(DM213*7)+$EG$126-11,EOMONTH($EG$126,DM213-2)+1))</f>
        <v>0</v>
      </c>
      <c r="EC213" s="1782">
        <f t="shared" ref="EC213" si="491">IF(ISERROR(DN213),0,CHOOSE($DY$3,(DN213*7)+$EG$126-7,EOMONTH($EG$126,DN213-1)))</f>
        <v>0</v>
      </c>
      <c r="ED213" s="1262"/>
      <c r="EE213" s="2280"/>
      <c r="EF213" s="1802"/>
      <c r="EG213" s="167"/>
      <c r="EH213" s="168"/>
      <c r="EI213" s="168"/>
      <c r="EJ213" s="168"/>
      <c r="EK213" s="168"/>
      <c r="EL213" s="168"/>
      <c r="EM213" s="168"/>
      <c r="EN213" s="168"/>
      <c r="EO213" s="168"/>
      <c r="EP213" s="168"/>
      <c r="EQ213" s="168"/>
      <c r="ER213" s="168"/>
      <c r="ES213" s="168"/>
      <c r="ET213" s="168"/>
      <c r="EU213" s="168"/>
      <c r="EV213" s="168"/>
      <c r="EW213" s="168"/>
      <c r="EX213" s="168"/>
      <c r="EY213" s="168"/>
      <c r="EZ213" s="168"/>
      <c r="FA213" s="168"/>
      <c r="FB213" s="168"/>
      <c r="FC213" s="168"/>
      <c r="FD213" s="168"/>
      <c r="FE213" s="168"/>
      <c r="FF213" s="168"/>
      <c r="FG213" s="168"/>
      <c r="FH213" s="168"/>
      <c r="FI213" s="168"/>
      <c r="FJ213" s="168"/>
      <c r="FK213" s="168"/>
      <c r="FL213" s="168"/>
      <c r="FM213" s="168"/>
      <c r="FN213" s="168"/>
      <c r="FO213" s="168"/>
      <c r="FP213" s="168"/>
      <c r="FQ213" s="168"/>
      <c r="FR213" s="168"/>
      <c r="FS213" s="168"/>
      <c r="FT213" s="168"/>
      <c r="FU213" s="168"/>
      <c r="FV213" s="168"/>
      <c r="FW213" s="168"/>
      <c r="FX213" s="168"/>
      <c r="FY213" s="168"/>
      <c r="FZ213" s="168"/>
      <c r="GA213" s="168"/>
      <c r="GB213" s="168"/>
      <c r="GC213" s="168"/>
      <c r="GD213" s="168"/>
      <c r="GE213" s="168"/>
      <c r="GF213" s="168"/>
      <c r="GG213" s="168"/>
      <c r="GH213" s="168"/>
      <c r="GI213" s="168"/>
      <c r="GJ213" s="168"/>
      <c r="GK213" s="168"/>
      <c r="GL213" s="168"/>
      <c r="GM213" s="168"/>
      <c r="GN213" s="168"/>
      <c r="GO213" s="168"/>
      <c r="GP213" s="168"/>
      <c r="GQ213" s="168"/>
      <c r="GR213" s="168"/>
      <c r="GS213" s="168"/>
      <c r="GT213" s="168"/>
      <c r="GU213" s="168"/>
      <c r="GV213" s="168"/>
      <c r="GW213" s="168"/>
      <c r="GX213" s="168"/>
      <c r="GY213" s="168"/>
      <c r="GZ213" s="168"/>
      <c r="HA213" s="168"/>
      <c r="HB213" s="168"/>
      <c r="HC213" s="168"/>
      <c r="HD213" s="168"/>
      <c r="HE213" s="168"/>
      <c r="HF213" s="168"/>
      <c r="HG213" s="168"/>
      <c r="HH213" s="168"/>
      <c r="HI213" s="168"/>
      <c r="HJ213" s="168"/>
      <c r="HK213" s="168"/>
      <c r="HL213" s="168"/>
      <c r="HM213" s="168"/>
      <c r="HN213" s="168"/>
      <c r="HO213" s="168"/>
      <c r="HP213" s="168"/>
      <c r="HQ213" s="168"/>
      <c r="HR213" s="168"/>
      <c r="HS213" s="168"/>
      <c r="HT213" s="168"/>
      <c r="HU213" s="168"/>
      <c r="HV213" s="168"/>
      <c r="HW213" s="168"/>
      <c r="HX213" s="168"/>
      <c r="HY213" s="168"/>
      <c r="HZ213" s="168"/>
      <c r="IA213" s="168"/>
      <c r="IB213" s="168"/>
      <c r="IC213" s="168"/>
      <c r="ID213" s="168"/>
      <c r="IE213" s="168"/>
      <c r="IF213" s="168"/>
      <c r="IG213" s="168"/>
      <c r="IH213" s="168"/>
      <c r="II213" s="168"/>
      <c r="IJ213" s="168"/>
      <c r="IK213" s="168"/>
      <c r="IL213" s="168"/>
      <c r="IM213" s="168"/>
      <c r="IN213" s="168"/>
      <c r="IO213" s="168"/>
      <c r="IP213" s="168"/>
      <c r="IQ213" s="168"/>
      <c r="IR213" s="168"/>
      <c r="IS213" s="168"/>
      <c r="IT213" s="168"/>
      <c r="IU213" s="168"/>
      <c r="IV213" s="168"/>
      <c r="IW213" s="168"/>
      <c r="IX213" s="168"/>
      <c r="IY213" s="168"/>
      <c r="IZ213" s="168"/>
      <c r="JA213" s="168"/>
      <c r="JB213" s="168"/>
      <c r="JC213" s="606"/>
      <c r="JD213" s="609"/>
      <c r="JE213" s="1"/>
      <c r="JF213" s="1"/>
    </row>
    <row r="214" spans="1:266" s="2" customFormat="1" ht="15" customHeight="1" x14ac:dyDescent="0.25">
      <c r="A214" s="283"/>
      <c r="B214" s="303"/>
      <c r="C214" s="301"/>
      <c r="D214" s="3075"/>
      <c r="E214" s="2298"/>
      <c r="F214" s="1812"/>
      <c r="G214" s="3342"/>
      <c r="H214" s="66"/>
      <c r="I214" s="1746"/>
      <c r="J214" s="86"/>
      <c r="K214" s="105"/>
      <c r="L214" s="91"/>
      <c r="M214" s="92"/>
      <c r="N214" s="93"/>
      <c r="O214" s="94"/>
      <c r="P214" s="96"/>
      <c r="Q214" s="95"/>
      <c r="R214" s="993">
        <f t="shared" ref="R214" si="492">CHOOSE(AD214,SUMIFS($T$129:$T$304,$AE$129:$AE$304,AE214,$AD$129:$AD$304,3,$DF$129:$DF$304,1,$AG$129:$AG$304,1),SUMIFS($T$129:$T$304,$AF$129:$AF$304,AF214,$AD$129:$AD$304,3,$DF$129:$DF$304,1,$AG$129:$AG$304,1),T214+U214)</f>
        <v>0</v>
      </c>
      <c r="S214" s="23">
        <f t="shared" si="298"/>
        <v>0</v>
      </c>
      <c r="T214" s="24">
        <f t="shared" ref="T214" si="493">IF($AD214=3,BW214*AG214,0)</f>
        <v>0</v>
      </c>
      <c r="U214" s="24">
        <f t="shared" ref="U214" si="494">IF($AD214=3,AR214*(1-AG214),0)</f>
        <v>0</v>
      </c>
      <c r="V214" s="24">
        <f t="shared" ref="V214" si="495">T214*AP214*AG214</f>
        <v>0</v>
      </c>
      <c r="W214" s="24">
        <f t="shared" ref="W214" si="496">X214*AO214</f>
        <v>0</v>
      </c>
      <c r="X214" s="72">
        <f t="shared" ref="X214" si="497">IF($AD214=3,SUMPRODUCT(BX214:CG214,CH214:CQ214)*AG214,0)</f>
        <v>0</v>
      </c>
      <c r="Y214" s="72">
        <f t="shared" ref="Y214" si="498">IF($AD214=3,SUMPRODUCT(AS214:BB214,BM214:BV214),0)</f>
        <v>0</v>
      </c>
      <c r="Z214" s="24">
        <f t="shared" ref="Z214" si="499">IF($AD214=3,SUMPRODUCT(AS214:BB214,BC214:BL214),0)</f>
        <v>0</v>
      </c>
      <c r="AA214" s="72">
        <f t="shared" ref="AA214" si="500">$DV214*$CT214*(1+DW214)*AG214</f>
        <v>0</v>
      </c>
      <c r="AB214" s="24">
        <f t="shared" si="306"/>
        <v>0</v>
      </c>
      <c r="AC214" s="24" t="s">
        <v>5</v>
      </c>
      <c r="AD214" s="25">
        <f t="shared" ref="AD214" si="501">IF(N214="",3,IF(AND(L214&gt;0,M214&gt;0),2,1))</f>
        <v>3</v>
      </c>
      <c r="AE214" s="25">
        <f t="shared" ref="AE214" si="502">IF(AND(ISNUMBER(VALUE(L214)),RIGHT(L214,1)="0"),(L214+0.00001),L214)</f>
        <v>0</v>
      </c>
      <c r="AF214" s="25">
        <f t="shared" ref="AF214" si="503">IF(AND(ISNUMBER(VALUE(M214)),RIGHT(M214,1)="0"),(M214+0.00001),M214)</f>
        <v>0</v>
      </c>
      <c r="AG214" s="25">
        <f t="shared" si="307"/>
        <v>1</v>
      </c>
      <c r="AH214" s="25" t="str">
        <f>IFERROR(MATCH(DY214,'2 Staff List'!$IA$64:$IA$114,0),"x")</f>
        <v>x</v>
      </c>
      <c r="AI214" s="1181">
        <f>IFERROR(INDEX('2 Staff List'!$EX$64:$EX$114,$AH214),0)</f>
        <v>0</v>
      </c>
      <c r="AJ214" s="25">
        <f>IFERROR(INDEX('2 Staff List'!$IW$64:$IW$114,$AH214),0)</f>
        <v>0</v>
      </c>
      <c r="AK214" s="25">
        <f>IFERROR(INDEX('2 Staff List'!$IB$64:$IB$114,$AH214),0)</f>
        <v>0</v>
      </c>
      <c r="AL214" s="25">
        <f>IF(OR(NOT(ISBLANK(DV214)),CX214=1),"&lt;Non-Labor&gt;",IFERROR(IF(AH214=0,0,INDEX('2 Staff List'!$HZ$64:$HZ$114,$AH214)),0))</f>
        <v>0</v>
      </c>
      <c r="AM214" s="25">
        <f>IFERROR(INDEX('2 Staff List'!$HW$64:$HW$114,$AH214),0)</f>
        <v>0</v>
      </c>
      <c r="AN214" s="25">
        <f t="shared" ref="AN214" si="504">(1+B214)*IF(ISBLANK(EE214),1,EE214)</f>
        <v>1</v>
      </c>
      <c r="AO214" s="25">
        <f>IF($AO$127=0,0,IFERROR(INDEX('2 Staff List'!$JH$64:$JH$114,$AH214),0))</f>
        <v>0</v>
      </c>
      <c r="AP214" s="25">
        <f>IFERROR(INDEX('2 Staff List'!$HU$64:$HU$114,$AH214),0)</f>
        <v>0</v>
      </c>
      <c r="AQ214" s="25">
        <f t="shared" ref="AQ214" si="505">IF(AND(DV214&lt;&gt;0,SUMPRODUCT($EG214:$JD214,$EG$17:$JD$17)=0),1,0)</f>
        <v>0</v>
      </c>
      <c r="AR214" s="25">
        <f t="shared" ref="AR214" si="506">IF(OR($AD214&lt;&gt;3,$DV214&gt;0,$DY214=0),0,SUMIFS($EG214:$JD214,$EG$17:$JD$17,1)*AN214)</f>
        <v>0</v>
      </c>
      <c r="AS214" s="25">
        <f t="shared" ref="AS214" si="507">IF(OR($AD214&lt;&gt;3,$DV214&gt;0),0,SUMIFS($EG214:$JD214,$EG$17:$JD$17,1,$EG$124:$JD$124,1)*AN214)</f>
        <v>0</v>
      </c>
      <c r="AT214" s="25">
        <f t="shared" ref="AT214" si="508">IF(OR($AD214&lt;&gt;3,$DV214&gt;0),0,SUMIFS($EG214:$JD214,$EG$17:$JD$17,1,$EG$124:$JD$124,2)*AN214)</f>
        <v>0</v>
      </c>
      <c r="AU214" s="25">
        <f t="shared" ref="AU214" si="509">IF(OR($AD214&lt;&gt;3,$DV214&gt;0),0,SUMIFS($EG214:$JD214,$EG$17:$JD$17,1,$EG$124:$JD$124,3)*AN214)</f>
        <v>0</v>
      </c>
      <c r="AV214" s="25">
        <f t="shared" ref="AV214" si="510">IF(OR($AD214&lt;&gt;3,$DV214&gt;0),0,SUMIFS($EG214:$JD214,$EG$17:$JD$17,1,$EG$124:$JD$124,4)*AN214)</f>
        <v>0</v>
      </c>
      <c r="AW214" s="25">
        <f t="shared" ref="AW214" si="511">IF(OR($AD214&lt;&gt;3,$DV214&gt;0),0,SUMIFS($EG214:$JD214,$EG$17:$JD$17,1,$EG$124:$JD$124,5)*AN214)</f>
        <v>0</v>
      </c>
      <c r="AX214" s="25">
        <f t="shared" ref="AX214" si="512">IF(OR($AD214&lt;&gt;3,$DV214&gt;0),0,SUMIFS($EG214:$JD214,$EG$17:$JD$17,1,$EG$124:$JD$124,6)*AN214)</f>
        <v>0</v>
      </c>
      <c r="AY214" s="25">
        <f t="shared" ref="AY214" si="513">IF(OR($AD214&lt;&gt;3,$DV214&gt;0),0,SUMIFS($EG214:$JD214,$EG$17:$JD$17,1,$EG$124:$JD$124,7)*AN214)</f>
        <v>0</v>
      </c>
      <c r="AZ214" s="25">
        <f t="shared" ref="AZ214" si="514">IF(OR($AD214&lt;&gt;3,$DV214&gt;0),0,SUMIFS($EG214:$JD214,$EG$17:$JD$17,1,$EG$124:$JD$124,8)*AN214)</f>
        <v>0</v>
      </c>
      <c r="BA214" s="25">
        <f t="shared" ref="BA214" si="515">IF(OR($AD214&lt;&gt;3,$DV214&gt;0),0,SUMIFS($EG214:$JD214,$EG$17:$JD$17,1,$EG$124:$JD$124,9)*AN214)</f>
        <v>0</v>
      </c>
      <c r="BB214" s="25">
        <f t="shared" ref="BB214" si="516">IF(OR($AD214&lt;&gt;3,$DV214&gt;0),0,SUMIFS($EG214:$JD214,$EG$17:$JD$17,1,$EG$124:$JD$124,10)*AN214)</f>
        <v>0</v>
      </c>
      <c r="BC214" s="25">
        <f>IFERROR(INDEX('2 Staff List'!KS$64:KS$114,$AH214),0)</f>
        <v>0</v>
      </c>
      <c r="BD214" s="25">
        <f>IFERROR(INDEX('2 Staff List'!KT$64:KT$114,$AH214),0)</f>
        <v>0</v>
      </c>
      <c r="BE214" s="25">
        <f>IFERROR(INDEX('2 Staff List'!KU$64:KU$114,$AH214),0)</f>
        <v>0</v>
      </c>
      <c r="BF214" s="25">
        <f>IFERROR(INDEX('2 Staff List'!KV$64:KV$114,$AH214),0)</f>
        <v>0</v>
      </c>
      <c r="BG214" s="25">
        <f>IFERROR(INDEX('2 Staff List'!KW$64:KW$114,$AH214),0)</f>
        <v>0</v>
      </c>
      <c r="BH214" s="25">
        <f>IFERROR(INDEX('2 Staff List'!KX$64:KX$114,$AH214),0)</f>
        <v>0</v>
      </c>
      <c r="BI214" s="25">
        <f>IFERROR(INDEX('2 Staff List'!KY$64:KY$114,$AH214),0)</f>
        <v>0</v>
      </c>
      <c r="BJ214" s="25">
        <f>IFERROR(INDEX('2 Staff List'!KZ$64:KZ$114,$AH214),0)</f>
        <v>0</v>
      </c>
      <c r="BK214" s="25">
        <f>IFERROR(INDEX('2 Staff List'!LA$64:LA$114,$AH214),0)</f>
        <v>0</v>
      </c>
      <c r="BL214" s="25">
        <f>IFERROR(INDEX('2 Staff List'!LB$64:LB$114,$AH214),0)</f>
        <v>0</v>
      </c>
      <c r="BM214" s="25">
        <f>IFERROR(INDEX('2 Staff List'!FT$64:FT$114,$AH214),0)</f>
        <v>0</v>
      </c>
      <c r="BN214" s="25">
        <f>IFERROR(INDEX('2 Staff List'!FU$64:FU$114,$AH214),0)</f>
        <v>0</v>
      </c>
      <c r="BO214" s="25">
        <f>IFERROR(INDEX('2 Staff List'!FV$64:FV$114,$AH214),0)</f>
        <v>0</v>
      </c>
      <c r="BP214" s="25">
        <f>IFERROR(INDEX('2 Staff List'!FW$64:FW$114,$AH214),0)</f>
        <v>0</v>
      </c>
      <c r="BQ214" s="25">
        <f>IFERROR(INDEX('2 Staff List'!FX$64:FX$114,$AH214),0)</f>
        <v>0</v>
      </c>
      <c r="BR214" s="25">
        <f>IFERROR(INDEX('2 Staff List'!FY$64:FY$114,$AH214),0)</f>
        <v>0</v>
      </c>
      <c r="BS214" s="25">
        <f>IFERROR(INDEX('2 Staff List'!FZ$64:FZ$114,$AH214),0)</f>
        <v>0</v>
      </c>
      <c r="BT214" s="25">
        <f>IFERROR(INDEX('2 Staff List'!GA$64:GA$114,$AH214),0)</f>
        <v>0</v>
      </c>
      <c r="BU214" s="25">
        <f>IFERROR(INDEX('2 Staff List'!GB$64:GB$114,$AH214),0)</f>
        <v>0</v>
      </c>
      <c r="BV214" s="25">
        <f>IFERROR(INDEX('2 Staff List'!GC$64:GC$114,$AH214),0)</f>
        <v>0</v>
      </c>
      <c r="BW214" s="25">
        <f t="shared" ref="BW214" si="517">IF(OR($AD214&lt;&gt;3,$DV214&gt;0,$DY214=0),0,SUMIFS($EG214:$JD214,$EG$17:$JD$17,1)*AN214*$AG214)</f>
        <v>0</v>
      </c>
      <c r="BX214" s="25">
        <f t="shared" ref="BX214" si="518">IF(OR($AD214&lt;&gt;3,$DV214&gt;0),0,SUMIFS($EG214:$JD214,$EG$17:$JD$17,1,$EG$123:$JD$123,1)*AN214)</f>
        <v>0</v>
      </c>
      <c r="BY214" s="25">
        <f t="shared" ref="BY214" si="519">IF(OR($AD214&lt;&gt;3,$DV214&gt;0),0,SUMIFS($EG214:$JD214,$EG$17:$JD$17,1,$EG$123:$JD$123,2)*AN214)</f>
        <v>0</v>
      </c>
      <c r="BZ214" s="25">
        <f t="shared" ref="BZ214" si="520">IF(OR($AD214&lt;&gt;3,$DV214&gt;0),0,SUMIFS($EG214:$JD214,$EG$17:$JD$17,1,$EG$123:$JD$123,3)*AN214)</f>
        <v>0</v>
      </c>
      <c r="CA214" s="25">
        <f t="shared" ref="CA214" si="521">IF(OR($AD214&lt;&gt;3,$DV214&gt;0),0,SUMIFS($EG214:$JD214,$EG$17:$JD$17,1,$EG$123:$JD$123,4)*AN214)</f>
        <v>0</v>
      </c>
      <c r="CB214" s="25">
        <f t="shared" ref="CB214" si="522">IF(OR($AD214&lt;&gt;3,$DV214&gt;0),0,SUMIFS($EG214:$JD214,$EG$17:$JD$17,1,$EG$123:$JD$123,5)*AN214)</f>
        <v>0</v>
      </c>
      <c r="CC214" s="25">
        <f t="shared" ref="CC214" si="523">IF(OR($AD214&lt;&gt;3,$DV214&gt;0),0,SUMIFS($EG214:$JD214,$EG$17:$JD$17,1,$EG$123:$JD$123,6)*AN214)</f>
        <v>0</v>
      </c>
      <c r="CD214" s="25">
        <f t="shared" ref="CD214" si="524">IF(OR($AD214&lt;&gt;3,$DV214&gt;0),0,SUMIFS($EG214:$JD214,$EG$17:$JD$17,1,$EG$123:$JD$123,7)*AN214)</f>
        <v>0</v>
      </c>
      <c r="CE214" s="25">
        <f t="shared" ref="CE214" si="525">IF(OR($AD214&lt;&gt;3,$DV214&gt;0),0,SUMIFS($EG214:$JD214,$EG$17:$JD$17,1,$EG$123:$JD$123,8)*AN214)</f>
        <v>0</v>
      </c>
      <c r="CF214" s="25">
        <f t="shared" ref="CF214" si="526">IF(OR($AD214&lt;&gt;3,$DV214&gt;0),0,SUMIFS($EG214:$JD214,$EG$17:$JD$17,1,$EG$123:$JD$123,9)*AN214)</f>
        <v>0</v>
      </c>
      <c r="CG214" s="25">
        <f t="shared" ref="CG214" si="527">IF(OR($AD214&lt;&gt;3,$DV214&gt;0),0,SUMIFS($EG214:$JD214,$EG$17:$JD$17,1,$EG$123:$JD$123,10)*AN214)</f>
        <v>0</v>
      </c>
      <c r="CH214" s="25">
        <f>IFERROR(INDEX('2 Staff List'!LO$64:LO$114,$AH214),0)</f>
        <v>0</v>
      </c>
      <c r="CI214" s="25">
        <f>IFERROR(INDEX('2 Staff List'!LP$64:LP$114,$AH214),0)</f>
        <v>0</v>
      </c>
      <c r="CJ214" s="25">
        <f>IFERROR(INDEX('2 Staff List'!LQ$64:LQ$114,$AH214),0)</f>
        <v>0</v>
      </c>
      <c r="CK214" s="25">
        <f>IFERROR(INDEX('2 Staff List'!LR$64:LR$114,$AH214),0)</f>
        <v>0</v>
      </c>
      <c r="CL214" s="25">
        <f>IFERROR(INDEX('2 Staff List'!LS$64:LS$114,$AH214),0)</f>
        <v>0</v>
      </c>
      <c r="CM214" s="25">
        <f>IFERROR(INDEX('2 Staff List'!LT$64:LT$114,$AH214),0)</f>
        <v>0</v>
      </c>
      <c r="CN214" s="25">
        <f>IFERROR(INDEX('2 Staff List'!LU$64:LU$114,$AH214),0)</f>
        <v>0</v>
      </c>
      <c r="CO214" s="25">
        <f>IFERROR(INDEX('2 Staff List'!LV$64:LV$114,$AH214),0)</f>
        <v>0</v>
      </c>
      <c r="CP214" s="25">
        <f>IFERROR(INDEX('2 Staff List'!LW$64:LW$114,$AH214),0)</f>
        <v>0</v>
      </c>
      <c r="CQ214" s="25">
        <f>IFERROR(INDEX('2 Staff List'!LX$64:LX$114,$AH214),0)</f>
        <v>0</v>
      </c>
      <c r="CR214" s="25">
        <f t="shared" ref="CR214" si="528">IF(AD214=3,SUMPRODUCT($EG214:$JD214,$EG$17:$JD$17),0)</f>
        <v>0</v>
      </c>
      <c r="CS214" s="25">
        <f t="shared" ref="CS214" si="529">IFERROR(1/CR214,1)</f>
        <v>1</v>
      </c>
      <c r="CT214" s="25">
        <f t="shared" ref="CT214" si="530">IF(NOT(ISBLANK(DU214)),DU214,1)</f>
        <v>1</v>
      </c>
      <c r="CU214" s="25">
        <f t="shared" ref="CU214" si="531">IF(DT214=$CU$127,0,1)</f>
        <v>1</v>
      </c>
      <c r="CV214" s="25">
        <f t="shared" ref="CV214" si="532">IF(AND(AD214=3,OR(F214="",F214="Approved")),1,0)</f>
        <v>1</v>
      </c>
      <c r="CW214" s="25">
        <f t="shared" ref="CW214" si="533">IF(AD214&lt;&gt;3,0,IF(OR(F214="",F214="Approved",F214="Pend w FC"),1,0))</f>
        <v>1</v>
      </c>
      <c r="CX214" s="25">
        <f t="shared" ref="CX214" si="534">IF(AND(Z214=0,OR(G214="RO",DG214="V",DG214="W")),1,0)</f>
        <v>0</v>
      </c>
      <c r="CY214" s="25">
        <f t="shared" si="338"/>
        <v>0</v>
      </c>
      <c r="CZ214" s="25">
        <f t="shared" ref="CZ214" si="535">IF(AD214&lt;&gt;3,0,IF(OR(F214="Pending",F214="Pend w FC"),1,0))</f>
        <v>0</v>
      </c>
      <c r="DA214" s="25">
        <f t="shared" si="340"/>
        <v>1</v>
      </c>
      <c r="DB214" s="25">
        <f t="shared" ref="DB214" si="536">IF($AD214&lt;&gt;3,0,IF(F214="",1,0))</f>
        <v>1</v>
      </c>
      <c r="DC214" s="25">
        <f t="shared" si="341"/>
        <v>0</v>
      </c>
      <c r="DD214" s="25">
        <f>IF(OR($AD214&lt;&gt;3,F214="Exclude"),0,IF(ISERROR(MATCH($E214,'4 Sign-off'!$S$123:$X$123,0)),0,1))</f>
        <v>0</v>
      </c>
      <c r="DE214" s="25">
        <f t="shared" ref="DE214" si="537">IF($C$6&lt;&gt;"B",1,CHOOSE($DE$119,DD214,CZ214+DC214,CZ214,DC214))</f>
        <v>0</v>
      </c>
      <c r="DF214" s="25">
        <f t="shared" ref="DF214" si="538">CHOOSE($DF$119,CV214,CW214,DE214)</f>
        <v>0</v>
      </c>
      <c r="DG214" s="25" t="str">
        <f t="shared" ref="DG214" si="539">LEFT(J214,1)</f>
        <v/>
      </c>
      <c r="DH214" s="25">
        <f t="shared" si="344"/>
        <v>0</v>
      </c>
      <c r="DI214" s="25">
        <f t="shared" si="345"/>
        <v>0</v>
      </c>
      <c r="DJ214" s="25">
        <f>IF(ISBLANK(J214),0,ISERROR(MATCH(J214,'5  Control Accounts'!$FA$29:$FA$96,0))*1)</f>
        <v>0</v>
      </c>
      <c r="DK214" s="25">
        <f t="shared" ref="DK214" si="540">AND($C$5,(T214+U214+AB214)&lt;&gt;0,ISBLANK(J214),F214&lt;&gt;"Exclude")*1</f>
        <v>0</v>
      </c>
      <c r="DL214" s="25">
        <f t="shared" ref="DL214" si="541">IF(OR((T214+U214)&gt;0,(AA214+AB214)&gt;0),J214,-1)</f>
        <v>-1</v>
      </c>
      <c r="DM214" s="25" t="e">
        <f t="array" ref="DM214">MATCH(1,($EG214:$JD214&gt;0)*$EG$17:$JD$17,0)</f>
        <v>#N/A</v>
      </c>
      <c r="DN214" s="25" t="e">
        <f t="shared" ref="DN214" si="542">IF($C$6&lt;&gt;"F",DO214,IF(DO214&lt;$EB$17,NA(),DO214))</f>
        <v>#N/A</v>
      </c>
      <c r="DO214" s="25" t="e">
        <f t="array" ref="DO214">MATCH(2,1/(EG214:JD214&gt;0))</f>
        <v>#N/A</v>
      </c>
      <c r="DP214" s="2993">
        <f t="shared" ref="DP214" si="543">CHOOSE($AD214,SUMIFS($DP$129:$DP$304,$AE$129:$AE$304,$AE214,$DF$129:$DF$304,1),SUMIFS($DP$129:$DP$304,$AF$129:$AF$304,$AF214,$DF$129:$DF$304,1),X214+AA214)</f>
        <v>0</v>
      </c>
      <c r="DQ214" s="3037">
        <f t="shared" ref="DQ214" si="544">CHOOSE($AD214,SUMIFS($DQ$129:$DQ$304,$AE$129:$AE$304,$AE214,$DF$129:$DF$304,1),SUMIFS($DQ$129:$DQ$304,$AF$129:$AF$304,$AF214,$DF$129:$DF$304,1),DP214-S214)</f>
        <v>0</v>
      </c>
      <c r="DR214" s="111"/>
      <c r="DS214" s="1268">
        <f t="shared" ref="DS214" si="545">N214</f>
        <v>0</v>
      </c>
      <c r="DT214" s="1825"/>
      <c r="DU214" s="1826"/>
      <c r="DV214" s="1827"/>
      <c r="DW214" s="1828"/>
      <c r="DX214" s="659"/>
      <c r="DY214" s="1265"/>
      <c r="DZ214" s="1785">
        <f t="shared" ref="DZ214" si="546">AL214</f>
        <v>0</v>
      </c>
      <c r="EA214" s="1786">
        <f t="shared" ref="EA214" si="547">IF($AD214=3,T214+U214,0)</f>
        <v>0</v>
      </c>
      <c r="EB214" s="1781">
        <f t="shared" ref="EB214" si="548">IF(ISERROR(DM214),0,CHOOSE($DY$3,(DM214*7)+$EG$126-11,EOMONTH($EG$126,DM214-2)+1))</f>
        <v>0</v>
      </c>
      <c r="EC214" s="1782">
        <f t="shared" ref="EC214" si="549">IF(ISERROR(DN214),0,CHOOSE($DY$3,(DN214*7)+$EG$126-7,EOMONTH($EG$126,DN214-1)))</f>
        <v>0</v>
      </c>
      <c r="ED214" s="1262"/>
      <c r="EE214" s="2280"/>
      <c r="EF214" s="1802"/>
      <c r="EG214" s="167"/>
      <c r="EH214" s="168"/>
      <c r="EI214" s="168"/>
      <c r="EJ214" s="168"/>
      <c r="EK214" s="168"/>
      <c r="EL214" s="168"/>
      <c r="EM214" s="168"/>
      <c r="EN214" s="168"/>
      <c r="EO214" s="168"/>
      <c r="EP214" s="168"/>
      <c r="EQ214" s="168"/>
      <c r="ER214" s="168"/>
      <c r="ES214" s="168"/>
      <c r="ET214" s="168"/>
      <c r="EU214" s="168"/>
      <c r="EV214" s="168"/>
      <c r="EW214" s="168"/>
      <c r="EX214" s="168"/>
      <c r="EY214" s="168"/>
      <c r="EZ214" s="168"/>
      <c r="FA214" s="168"/>
      <c r="FB214" s="168"/>
      <c r="FC214" s="168"/>
      <c r="FD214" s="168"/>
      <c r="FE214" s="168"/>
      <c r="FF214" s="168"/>
      <c r="FG214" s="168"/>
      <c r="FH214" s="168"/>
      <c r="FI214" s="168"/>
      <c r="FJ214" s="168"/>
      <c r="FK214" s="168"/>
      <c r="FL214" s="168"/>
      <c r="FM214" s="168"/>
      <c r="FN214" s="168"/>
      <c r="FO214" s="168"/>
      <c r="FP214" s="168"/>
      <c r="FQ214" s="168"/>
      <c r="FR214" s="168"/>
      <c r="FS214" s="168"/>
      <c r="FT214" s="168"/>
      <c r="FU214" s="168"/>
      <c r="FV214" s="168"/>
      <c r="FW214" s="168"/>
      <c r="FX214" s="168"/>
      <c r="FY214" s="168"/>
      <c r="FZ214" s="168"/>
      <c r="GA214" s="168"/>
      <c r="GB214" s="168"/>
      <c r="GC214" s="168"/>
      <c r="GD214" s="168"/>
      <c r="GE214" s="168"/>
      <c r="GF214" s="168"/>
      <c r="GG214" s="168"/>
      <c r="GH214" s="168"/>
      <c r="GI214" s="168"/>
      <c r="GJ214" s="168"/>
      <c r="GK214" s="168"/>
      <c r="GL214" s="168"/>
      <c r="GM214" s="168"/>
      <c r="GN214" s="168"/>
      <c r="GO214" s="168"/>
      <c r="GP214" s="168"/>
      <c r="GQ214" s="168"/>
      <c r="GR214" s="168"/>
      <c r="GS214" s="168"/>
      <c r="GT214" s="168"/>
      <c r="GU214" s="168"/>
      <c r="GV214" s="168"/>
      <c r="GW214" s="168"/>
      <c r="GX214" s="168"/>
      <c r="GY214" s="168"/>
      <c r="GZ214" s="168"/>
      <c r="HA214" s="168"/>
      <c r="HB214" s="168"/>
      <c r="HC214" s="168"/>
      <c r="HD214" s="168"/>
      <c r="HE214" s="168"/>
      <c r="HF214" s="168"/>
      <c r="HG214" s="168"/>
      <c r="HH214" s="168"/>
      <c r="HI214" s="168"/>
      <c r="HJ214" s="168"/>
      <c r="HK214" s="168"/>
      <c r="HL214" s="168"/>
      <c r="HM214" s="168"/>
      <c r="HN214" s="168"/>
      <c r="HO214" s="168"/>
      <c r="HP214" s="168"/>
      <c r="HQ214" s="168"/>
      <c r="HR214" s="168"/>
      <c r="HS214" s="168"/>
      <c r="HT214" s="168"/>
      <c r="HU214" s="168"/>
      <c r="HV214" s="168"/>
      <c r="HW214" s="168"/>
      <c r="HX214" s="168"/>
      <c r="HY214" s="168"/>
      <c r="HZ214" s="168"/>
      <c r="IA214" s="168"/>
      <c r="IB214" s="168"/>
      <c r="IC214" s="168"/>
      <c r="ID214" s="168"/>
      <c r="IE214" s="168"/>
      <c r="IF214" s="168"/>
      <c r="IG214" s="168"/>
      <c r="IH214" s="168"/>
      <c r="II214" s="168"/>
      <c r="IJ214" s="168"/>
      <c r="IK214" s="168"/>
      <c r="IL214" s="168"/>
      <c r="IM214" s="168"/>
      <c r="IN214" s="168"/>
      <c r="IO214" s="168"/>
      <c r="IP214" s="168"/>
      <c r="IQ214" s="168"/>
      <c r="IR214" s="168"/>
      <c r="IS214" s="168"/>
      <c r="IT214" s="168"/>
      <c r="IU214" s="168"/>
      <c r="IV214" s="168"/>
      <c r="IW214" s="168"/>
      <c r="IX214" s="168"/>
      <c r="IY214" s="168"/>
      <c r="IZ214" s="168"/>
      <c r="JA214" s="168"/>
      <c r="JB214" s="168"/>
      <c r="JC214" s="606"/>
      <c r="JD214" s="609"/>
      <c r="JE214" s="1"/>
      <c r="JF214" s="1"/>
    </row>
    <row r="215" spans="1:266" s="2" customFormat="1" ht="15" customHeight="1" x14ac:dyDescent="0.25">
      <c r="A215" s="283"/>
      <c r="B215" s="303"/>
      <c r="C215" s="301"/>
      <c r="D215" s="3075"/>
      <c r="E215" s="2298"/>
      <c r="F215" s="1812"/>
      <c r="G215" s="3342"/>
      <c r="H215" s="66"/>
      <c r="I215" s="1746"/>
      <c r="J215" s="86"/>
      <c r="K215" s="105"/>
      <c r="L215" s="91"/>
      <c r="M215" s="92"/>
      <c r="N215" s="93"/>
      <c r="O215" s="94"/>
      <c r="P215" s="96"/>
      <c r="Q215" s="95"/>
      <c r="R215" s="993">
        <f t="shared" si="376"/>
        <v>0</v>
      </c>
      <c r="S215" s="23">
        <f t="shared" si="298"/>
        <v>0</v>
      </c>
      <c r="T215" s="24">
        <f t="shared" si="377"/>
        <v>0</v>
      </c>
      <c r="U215" s="24">
        <f t="shared" si="378"/>
        <v>0</v>
      </c>
      <c r="V215" s="24">
        <f t="shared" si="379"/>
        <v>0</v>
      </c>
      <c r="W215" s="24">
        <f t="shared" si="380"/>
        <v>0</v>
      </c>
      <c r="X215" s="72">
        <f t="shared" si="381"/>
        <v>0</v>
      </c>
      <c r="Y215" s="72">
        <f t="shared" si="382"/>
        <v>0</v>
      </c>
      <c r="Z215" s="24">
        <f t="shared" si="383"/>
        <v>0</v>
      </c>
      <c r="AA215" s="72">
        <f t="shared" si="384"/>
        <v>0</v>
      </c>
      <c r="AB215" s="24">
        <f t="shared" si="306"/>
        <v>0</v>
      </c>
      <c r="AC215" s="24" t="s">
        <v>5</v>
      </c>
      <c r="AD215" s="25">
        <f t="shared" si="385"/>
        <v>3</v>
      </c>
      <c r="AE215" s="25">
        <f t="shared" si="386"/>
        <v>0</v>
      </c>
      <c r="AF215" s="25">
        <f t="shared" si="387"/>
        <v>0</v>
      </c>
      <c r="AG215" s="25">
        <f t="shared" si="307"/>
        <v>1</v>
      </c>
      <c r="AH215" s="25" t="str">
        <f>IFERROR(MATCH(DY215,'2 Staff List'!$IA$64:$IA$114,0),"x")</f>
        <v>x</v>
      </c>
      <c r="AI215" s="1181">
        <f>IFERROR(INDEX('2 Staff List'!$EX$64:$EX$114,$AH215),0)</f>
        <v>0</v>
      </c>
      <c r="AJ215" s="25">
        <f>IFERROR(INDEX('2 Staff List'!$IW$64:$IW$114,$AH215),0)</f>
        <v>0</v>
      </c>
      <c r="AK215" s="25">
        <f>IFERROR(INDEX('2 Staff List'!$IB$64:$IB$114,$AH215),0)</f>
        <v>0</v>
      </c>
      <c r="AL215" s="25">
        <f>IF(OR(NOT(ISBLANK(DV215)),CX215=1),"&lt;Non-Labor&gt;",IFERROR(IF(AH215=0,0,INDEX('2 Staff List'!$HZ$64:$HZ$114,$AH215)),0))</f>
        <v>0</v>
      </c>
      <c r="AM215" s="25">
        <f>IFERROR(INDEX('2 Staff List'!$HW$64:$HW$114,$AH215),0)</f>
        <v>0</v>
      </c>
      <c r="AN215" s="25">
        <f t="shared" si="388"/>
        <v>1</v>
      </c>
      <c r="AO215" s="25">
        <f>IF($AO$127=0,0,IFERROR(INDEX('2 Staff List'!$JH$64:$JH$114,$AH215),0))</f>
        <v>0</v>
      </c>
      <c r="AP215" s="25">
        <f>IFERROR(INDEX('2 Staff List'!$HU$64:$HU$114,$AH215),0)</f>
        <v>0</v>
      </c>
      <c r="AQ215" s="25">
        <f t="shared" si="389"/>
        <v>0</v>
      </c>
      <c r="AR215" s="25">
        <f t="shared" si="390"/>
        <v>0</v>
      </c>
      <c r="AS215" s="25">
        <f t="shared" si="391"/>
        <v>0</v>
      </c>
      <c r="AT215" s="25">
        <f t="shared" si="392"/>
        <v>0</v>
      </c>
      <c r="AU215" s="25">
        <f t="shared" si="393"/>
        <v>0</v>
      </c>
      <c r="AV215" s="25">
        <f t="shared" si="394"/>
        <v>0</v>
      </c>
      <c r="AW215" s="25">
        <f t="shared" si="395"/>
        <v>0</v>
      </c>
      <c r="AX215" s="25">
        <f t="shared" si="396"/>
        <v>0</v>
      </c>
      <c r="AY215" s="25">
        <f t="shared" si="397"/>
        <v>0</v>
      </c>
      <c r="AZ215" s="25">
        <f t="shared" si="398"/>
        <v>0</v>
      </c>
      <c r="BA215" s="25">
        <f t="shared" si="399"/>
        <v>0</v>
      </c>
      <c r="BB215" s="25">
        <f t="shared" si="400"/>
        <v>0</v>
      </c>
      <c r="BC215" s="25">
        <f>IFERROR(INDEX('2 Staff List'!KS$64:KS$114,$AH215),0)</f>
        <v>0</v>
      </c>
      <c r="BD215" s="25">
        <f>IFERROR(INDEX('2 Staff List'!KT$64:KT$114,$AH215),0)</f>
        <v>0</v>
      </c>
      <c r="BE215" s="25">
        <f>IFERROR(INDEX('2 Staff List'!KU$64:KU$114,$AH215),0)</f>
        <v>0</v>
      </c>
      <c r="BF215" s="25">
        <f>IFERROR(INDEX('2 Staff List'!KV$64:KV$114,$AH215),0)</f>
        <v>0</v>
      </c>
      <c r="BG215" s="25">
        <f>IFERROR(INDEX('2 Staff List'!KW$64:KW$114,$AH215),0)</f>
        <v>0</v>
      </c>
      <c r="BH215" s="25">
        <f>IFERROR(INDEX('2 Staff List'!KX$64:KX$114,$AH215),0)</f>
        <v>0</v>
      </c>
      <c r="BI215" s="25">
        <f>IFERROR(INDEX('2 Staff List'!KY$64:KY$114,$AH215),0)</f>
        <v>0</v>
      </c>
      <c r="BJ215" s="25">
        <f>IFERROR(INDEX('2 Staff List'!KZ$64:KZ$114,$AH215),0)</f>
        <v>0</v>
      </c>
      <c r="BK215" s="25">
        <f>IFERROR(INDEX('2 Staff List'!LA$64:LA$114,$AH215),0)</f>
        <v>0</v>
      </c>
      <c r="BL215" s="25">
        <f>IFERROR(INDEX('2 Staff List'!LB$64:LB$114,$AH215),0)</f>
        <v>0</v>
      </c>
      <c r="BM215" s="25">
        <f>IFERROR(INDEX('2 Staff List'!FT$64:FT$114,$AH215),0)</f>
        <v>0</v>
      </c>
      <c r="BN215" s="25">
        <f>IFERROR(INDEX('2 Staff List'!FU$64:FU$114,$AH215),0)</f>
        <v>0</v>
      </c>
      <c r="BO215" s="25">
        <f>IFERROR(INDEX('2 Staff List'!FV$64:FV$114,$AH215),0)</f>
        <v>0</v>
      </c>
      <c r="BP215" s="25">
        <f>IFERROR(INDEX('2 Staff List'!FW$64:FW$114,$AH215),0)</f>
        <v>0</v>
      </c>
      <c r="BQ215" s="25">
        <f>IFERROR(INDEX('2 Staff List'!FX$64:FX$114,$AH215),0)</f>
        <v>0</v>
      </c>
      <c r="BR215" s="25">
        <f>IFERROR(INDEX('2 Staff List'!FY$64:FY$114,$AH215),0)</f>
        <v>0</v>
      </c>
      <c r="BS215" s="25">
        <f>IFERROR(INDEX('2 Staff List'!FZ$64:FZ$114,$AH215),0)</f>
        <v>0</v>
      </c>
      <c r="BT215" s="25">
        <f>IFERROR(INDEX('2 Staff List'!GA$64:GA$114,$AH215),0)</f>
        <v>0</v>
      </c>
      <c r="BU215" s="25">
        <f>IFERROR(INDEX('2 Staff List'!GB$64:GB$114,$AH215),0)</f>
        <v>0</v>
      </c>
      <c r="BV215" s="25">
        <f>IFERROR(INDEX('2 Staff List'!GC$64:GC$114,$AH215),0)</f>
        <v>0</v>
      </c>
      <c r="BW215" s="25">
        <f t="shared" si="401"/>
        <v>0</v>
      </c>
      <c r="BX215" s="25">
        <f t="shared" si="402"/>
        <v>0</v>
      </c>
      <c r="BY215" s="25">
        <f t="shared" si="403"/>
        <v>0</v>
      </c>
      <c r="BZ215" s="25">
        <f t="shared" si="404"/>
        <v>0</v>
      </c>
      <c r="CA215" s="25">
        <f t="shared" si="405"/>
        <v>0</v>
      </c>
      <c r="CB215" s="25">
        <f t="shared" si="406"/>
        <v>0</v>
      </c>
      <c r="CC215" s="25">
        <f t="shared" si="407"/>
        <v>0</v>
      </c>
      <c r="CD215" s="25">
        <f t="shared" si="408"/>
        <v>0</v>
      </c>
      <c r="CE215" s="25">
        <f t="shared" si="409"/>
        <v>0</v>
      </c>
      <c r="CF215" s="25">
        <f t="shared" si="410"/>
        <v>0</v>
      </c>
      <c r="CG215" s="25">
        <f t="shared" si="411"/>
        <v>0</v>
      </c>
      <c r="CH215" s="25">
        <f>IFERROR(INDEX('2 Staff List'!LO$64:LO$114,$AH215),0)</f>
        <v>0</v>
      </c>
      <c r="CI215" s="25">
        <f>IFERROR(INDEX('2 Staff List'!LP$64:LP$114,$AH215),0)</f>
        <v>0</v>
      </c>
      <c r="CJ215" s="25">
        <f>IFERROR(INDEX('2 Staff List'!LQ$64:LQ$114,$AH215),0)</f>
        <v>0</v>
      </c>
      <c r="CK215" s="25">
        <f>IFERROR(INDEX('2 Staff List'!LR$64:LR$114,$AH215),0)</f>
        <v>0</v>
      </c>
      <c r="CL215" s="25">
        <f>IFERROR(INDEX('2 Staff List'!LS$64:LS$114,$AH215),0)</f>
        <v>0</v>
      </c>
      <c r="CM215" s="25">
        <f>IFERROR(INDEX('2 Staff List'!LT$64:LT$114,$AH215),0)</f>
        <v>0</v>
      </c>
      <c r="CN215" s="25">
        <f>IFERROR(INDEX('2 Staff List'!LU$64:LU$114,$AH215),0)</f>
        <v>0</v>
      </c>
      <c r="CO215" s="25">
        <f>IFERROR(INDEX('2 Staff List'!LV$64:LV$114,$AH215),0)</f>
        <v>0</v>
      </c>
      <c r="CP215" s="25">
        <f>IFERROR(INDEX('2 Staff List'!LW$64:LW$114,$AH215),0)</f>
        <v>0</v>
      </c>
      <c r="CQ215" s="25">
        <f>IFERROR(INDEX('2 Staff List'!LX$64:LX$114,$AH215),0)</f>
        <v>0</v>
      </c>
      <c r="CR215" s="25">
        <f t="shared" si="412"/>
        <v>0</v>
      </c>
      <c r="CS215" s="25">
        <f t="shared" si="413"/>
        <v>1</v>
      </c>
      <c r="CT215" s="25">
        <f t="shared" si="414"/>
        <v>1</v>
      </c>
      <c r="CU215" s="25">
        <f t="shared" si="415"/>
        <v>1</v>
      </c>
      <c r="CV215" s="25">
        <f t="shared" si="416"/>
        <v>1</v>
      </c>
      <c r="CW215" s="25">
        <f t="shared" si="417"/>
        <v>1</v>
      </c>
      <c r="CX215" s="25">
        <f t="shared" si="418"/>
        <v>0</v>
      </c>
      <c r="CY215" s="25">
        <f t="shared" si="338"/>
        <v>0</v>
      </c>
      <c r="CZ215" s="25">
        <f t="shared" si="419"/>
        <v>0</v>
      </c>
      <c r="DA215" s="25">
        <f t="shared" si="340"/>
        <v>1</v>
      </c>
      <c r="DB215" s="25">
        <f t="shared" si="420"/>
        <v>1</v>
      </c>
      <c r="DC215" s="25">
        <f t="shared" si="341"/>
        <v>0</v>
      </c>
      <c r="DD215" s="25">
        <f>IF(OR($AD215&lt;&gt;3,F215="Exclude"),0,IF(ISERROR(MATCH($E215,'4 Sign-off'!$S$123:$X$123,0)),0,1))</f>
        <v>0</v>
      </c>
      <c r="DE215" s="25">
        <f t="shared" ref="DE215:DE230" si="550">IF($C$6&lt;&gt;"B",1,CHOOSE($DE$119,DD215,CZ215+DC215,CZ215,DC215))</f>
        <v>0</v>
      </c>
      <c r="DF215" s="25">
        <f t="shared" si="421"/>
        <v>0</v>
      </c>
      <c r="DG215" s="25" t="str">
        <f t="shared" si="422"/>
        <v/>
      </c>
      <c r="DH215" s="25">
        <f t="shared" si="344"/>
        <v>0</v>
      </c>
      <c r="DI215" s="25">
        <f t="shared" si="345"/>
        <v>0</v>
      </c>
      <c r="DJ215" s="25">
        <f>IF(ISBLANK(J215),0,ISERROR(MATCH(J215,'5  Control Accounts'!$FA$29:$FA$96,0))*1)</f>
        <v>0</v>
      </c>
      <c r="DK215" s="25">
        <f t="shared" si="423"/>
        <v>0</v>
      </c>
      <c r="DL215" s="25">
        <f t="shared" si="424"/>
        <v>-1</v>
      </c>
      <c r="DM215" s="25" t="e">
        <f t="array" ref="DM215">MATCH(1,($EG215:$JD215&gt;0)*$EG$17:$JD$17,0)</f>
        <v>#N/A</v>
      </c>
      <c r="DN215" s="25" t="e">
        <f t="shared" ref="DN215:DN253" si="551">IF($C$6&lt;&gt;"F",DO215,IF(DO215&lt;$EB$17,NA(),DO215))</f>
        <v>#N/A</v>
      </c>
      <c r="DO215" s="25" t="e">
        <f t="array" ref="DO215">MATCH(2,1/(EG215:JD215&gt;0))</f>
        <v>#N/A</v>
      </c>
      <c r="DP215" s="2993">
        <f t="shared" si="425"/>
        <v>0</v>
      </c>
      <c r="DQ215" s="3037">
        <f t="shared" si="426"/>
        <v>0</v>
      </c>
      <c r="DR215" s="111"/>
      <c r="DS215" s="1268">
        <f t="shared" si="427"/>
        <v>0</v>
      </c>
      <c r="DT215" s="1825"/>
      <c r="DU215" s="1826"/>
      <c r="DV215" s="1827"/>
      <c r="DW215" s="1828"/>
      <c r="DX215" s="659"/>
      <c r="DY215" s="1265"/>
      <c r="DZ215" s="1785">
        <f t="shared" si="428"/>
        <v>0</v>
      </c>
      <c r="EA215" s="1786">
        <f t="shared" si="429"/>
        <v>0</v>
      </c>
      <c r="EB215" s="1781">
        <f t="shared" ref="EB215:EB253" si="552">IF(ISERROR(DM215),0,CHOOSE($DY$3,(DM215*7)+$EG$126-11,EOMONTH($EG$126,DM215-2)+1))</f>
        <v>0</v>
      </c>
      <c r="EC215" s="1782">
        <f t="shared" ref="EC215:EC253" si="553">IF(ISERROR(DN215),0,CHOOSE($DY$3,(DN215*7)+$EG$126-7,EOMONTH($EG$126,DN215-1)))</f>
        <v>0</v>
      </c>
      <c r="ED215" s="1262"/>
      <c r="EE215" s="2280"/>
      <c r="EF215" s="1802"/>
      <c r="EG215" s="167"/>
      <c r="EH215" s="168"/>
      <c r="EI215" s="168"/>
      <c r="EJ215" s="168"/>
      <c r="EK215" s="168"/>
      <c r="EL215" s="168"/>
      <c r="EM215" s="168"/>
      <c r="EN215" s="168"/>
      <c r="EO215" s="168"/>
      <c r="EP215" s="168"/>
      <c r="EQ215" s="168"/>
      <c r="ER215" s="168"/>
      <c r="ES215" s="168"/>
      <c r="ET215" s="168"/>
      <c r="EU215" s="168"/>
      <c r="EV215" s="168"/>
      <c r="EW215" s="168"/>
      <c r="EX215" s="168"/>
      <c r="EY215" s="168"/>
      <c r="EZ215" s="168"/>
      <c r="FA215" s="168"/>
      <c r="FB215" s="168"/>
      <c r="FC215" s="168"/>
      <c r="FD215" s="168"/>
      <c r="FE215" s="168"/>
      <c r="FF215" s="168"/>
      <c r="FG215" s="168"/>
      <c r="FH215" s="168"/>
      <c r="FI215" s="168"/>
      <c r="FJ215" s="168"/>
      <c r="FK215" s="168"/>
      <c r="FL215" s="168"/>
      <c r="FM215" s="168"/>
      <c r="FN215" s="168"/>
      <c r="FO215" s="168"/>
      <c r="FP215" s="168"/>
      <c r="FQ215" s="168"/>
      <c r="FR215" s="168"/>
      <c r="FS215" s="168"/>
      <c r="FT215" s="168"/>
      <c r="FU215" s="168"/>
      <c r="FV215" s="168"/>
      <c r="FW215" s="168"/>
      <c r="FX215" s="168"/>
      <c r="FY215" s="168"/>
      <c r="FZ215" s="168"/>
      <c r="GA215" s="168"/>
      <c r="GB215" s="168"/>
      <c r="GC215" s="168"/>
      <c r="GD215" s="168"/>
      <c r="GE215" s="168"/>
      <c r="GF215" s="168"/>
      <c r="GG215" s="168"/>
      <c r="GH215" s="168"/>
      <c r="GI215" s="168"/>
      <c r="GJ215" s="168"/>
      <c r="GK215" s="168"/>
      <c r="GL215" s="168"/>
      <c r="GM215" s="168"/>
      <c r="GN215" s="168"/>
      <c r="GO215" s="168"/>
      <c r="GP215" s="168"/>
      <c r="GQ215" s="168"/>
      <c r="GR215" s="168"/>
      <c r="GS215" s="168"/>
      <c r="GT215" s="168"/>
      <c r="GU215" s="168"/>
      <c r="GV215" s="168"/>
      <c r="GW215" s="168"/>
      <c r="GX215" s="168"/>
      <c r="GY215" s="168"/>
      <c r="GZ215" s="168"/>
      <c r="HA215" s="168"/>
      <c r="HB215" s="168"/>
      <c r="HC215" s="168"/>
      <c r="HD215" s="168"/>
      <c r="HE215" s="168"/>
      <c r="HF215" s="168"/>
      <c r="HG215" s="168"/>
      <c r="HH215" s="168"/>
      <c r="HI215" s="168"/>
      <c r="HJ215" s="168"/>
      <c r="HK215" s="168"/>
      <c r="HL215" s="168"/>
      <c r="HM215" s="168"/>
      <c r="HN215" s="168"/>
      <c r="HO215" s="168"/>
      <c r="HP215" s="168"/>
      <c r="HQ215" s="168"/>
      <c r="HR215" s="168"/>
      <c r="HS215" s="168"/>
      <c r="HT215" s="168"/>
      <c r="HU215" s="168"/>
      <c r="HV215" s="168"/>
      <c r="HW215" s="168"/>
      <c r="HX215" s="168"/>
      <c r="HY215" s="168"/>
      <c r="HZ215" s="168"/>
      <c r="IA215" s="168"/>
      <c r="IB215" s="168"/>
      <c r="IC215" s="168"/>
      <c r="ID215" s="168"/>
      <c r="IE215" s="168"/>
      <c r="IF215" s="168"/>
      <c r="IG215" s="168"/>
      <c r="IH215" s="168"/>
      <c r="II215" s="168"/>
      <c r="IJ215" s="168"/>
      <c r="IK215" s="168"/>
      <c r="IL215" s="168"/>
      <c r="IM215" s="168"/>
      <c r="IN215" s="168"/>
      <c r="IO215" s="168"/>
      <c r="IP215" s="168"/>
      <c r="IQ215" s="168"/>
      <c r="IR215" s="168"/>
      <c r="IS215" s="168"/>
      <c r="IT215" s="168"/>
      <c r="IU215" s="168"/>
      <c r="IV215" s="168"/>
      <c r="IW215" s="168"/>
      <c r="IX215" s="168"/>
      <c r="IY215" s="168"/>
      <c r="IZ215" s="168"/>
      <c r="JA215" s="168"/>
      <c r="JB215" s="168"/>
      <c r="JC215" s="606"/>
      <c r="JD215" s="609"/>
      <c r="JE215" s="1"/>
      <c r="JF215" s="1"/>
    </row>
    <row r="216" spans="1:266" s="2" customFormat="1" ht="15" customHeight="1" x14ac:dyDescent="0.25">
      <c r="A216" s="283"/>
      <c r="B216" s="303"/>
      <c r="C216" s="301"/>
      <c r="D216" s="2753"/>
      <c r="E216" s="2298"/>
      <c r="F216" s="1812"/>
      <c r="G216" s="3342"/>
      <c r="H216" s="66"/>
      <c r="I216" s="1746"/>
      <c r="J216" s="86"/>
      <c r="K216" s="105"/>
      <c r="L216" s="91"/>
      <c r="M216" s="92"/>
      <c r="N216" s="93"/>
      <c r="O216" s="94"/>
      <c r="P216" s="96"/>
      <c r="Q216" s="95"/>
      <c r="R216" s="993">
        <f t="shared" si="350"/>
        <v>0</v>
      </c>
      <c r="S216" s="23">
        <f t="shared" si="298"/>
        <v>0</v>
      </c>
      <c r="T216" s="24">
        <f t="shared" si="351"/>
        <v>0</v>
      </c>
      <c r="U216" s="24">
        <f t="shared" si="352"/>
        <v>0</v>
      </c>
      <c r="V216" s="24">
        <f t="shared" si="301"/>
        <v>0</v>
      </c>
      <c r="W216" s="24">
        <f t="shared" si="353"/>
        <v>0</v>
      </c>
      <c r="X216" s="72">
        <f t="shared" si="303"/>
        <v>0</v>
      </c>
      <c r="Y216" s="72">
        <f t="shared" si="354"/>
        <v>0</v>
      </c>
      <c r="Z216" s="24">
        <f t="shared" si="355"/>
        <v>0</v>
      </c>
      <c r="AA216" s="72">
        <f t="shared" si="305"/>
        <v>0</v>
      </c>
      <c r="AB216" s="24">
        <f t="shared" si="306"/>
        <v>0</v>
      </c>
      <c r="AC216" s="24" t="s">
        <v>5</v>
      </c>
      <c r="AD216" s="25">
        <f t="shared" si="356"/>
        <v>3</v>
      </c>
      <c r="AE216" s="25">
        <f t="shared" si="357"/>
        <v>0</v>
      </c>
      <c r="AF216" s="25">
        <f t="shared" si="358"/>
        <v>0</v>
      </c>
      <c r="AG216" s="25">
        <f t="shared" si="307"/>
        <v>1</v>
      </c>
      <c r="AH216" s="25" t="str">
        <f>IFERROR(MATCH(DY216,'2 Staff List'!$IA$64:$IA$114,0),"x")</f>
        <v>x</v>
      </c>
      <c r="AI216" s="1181">
        <f>IFERROR(INDEX('2 Staff List'!$EX$64:$EX$114,$AH216),0)</f>
        <v>0</v>
      </c>
      <c r="AJ216" s="25">
        <f>IFERROR(INDEX('2 Staff List'!$IW$64:$IW$114,$AH216),0)</f>
        <v>0</v>
      </c>
      <c r="AK216" s="25">
        <f>IFERROR(INDEX('2 Staff List'!$IB$64:$IB$114,$AH216),0)</f>
        <v>0</v>
      </c>
      <c r="AL216" s="25">
        <f>IF(OR(NOT(ISBLANK(DV216)),CX216=1),"&lt;Non-Labor&gt;",IFERROR(IF(AH216=0,0,INDEX('2 Staff List'!$HZ$64:$HZ$114,$AH216)),0))</f>
        <v>0</v>
      </c>
      <c r="AM216" s="25">
        <f>IFERROR(INDEX('2 Staff List'!$HW$64:$HW$114,$AH216),0)</f>
        <v>0</v>
      </c>
      <c r="AN216" s="25">
        <f t="shared" si="359"/>
        <v>1</v>
      </c>
      <c r="AO216" s="25">
        <f>IF($AO$127=0,0,IFERROR(INDEX('2 Staff List'!$JH$64:$JH$114,$AH216),0))</f>
        <v>0</v>
      </c>
      <c r="AP216" s="25">
        <f>IFERROR(INDEX('2 Staff List'!$HU$64:$HU$114,$AH216),0)</f>
        <v>0</v>
      </c>
      <c r="AQ216" s="25">
        <f t="shared" si="360"/>
        <v>0</v>
      </c>
      <c r="AR216" s="25">
        <f t="shared" si="361"/>
        <v>0</v>
      </c>
      <c r="AS216" s="25">
        <f t="shared" si="311"/>
        <v>0</v>
      </c>
      <c r="AT216" s="25">
        <f t="shared" si="312"/>
        <v>0</v>
      </c>
      <c r="AU216" s="25">
        <f t="shared" si="313"/>
        <v>0</v>
      </c>
      <c r="AV216" s="25">
        <f t="shared" si="314"/>
        <v>0</v>
      </c>
      <c r="AW216" s="25">
        <f t="shared" si="315"/>
        <v>0</v>
      </c>
      <c r="AX216" s="25">
        <f t="shared" si="316"/>
        <v>0</v>
      </c>
      <c r="AY216" s="25">
        <f t="shared" si="317"/>
        <v>0</v>
      </c>
      <c r="AZ216" s="25">
        <f t="shared" si="318"/>
        <v>0</v>
      </c>
      <c r="BA216" s="25">
        <f t="shared" si="319"/>
        <v>0</v>
      </c>
      <c r="BB216" s="25">
        <f t="shared" si="320"/>
        <v>0</v>
      </c>
      <c r="BC216" s="25">
        <f>IFERROR(INDEX('2 Staff List'!KS$64:KS$114,$AH216),0)</f>
        <v>0</v>
      </c>
      <c r="BD216" s="25">
        <f>IFERROR(INDEX('2 Staff List'!KT$64:KT$114,$AH216),0)</f>
        <v>0</v>
      </c>
      <c r="BE216" s="25">
        <f>IFERROR(INDEX('2 Staff List'!KU$64:KU$114,$AH216),0)</f>
        <v>0</v>
      </c>
      <c r="BF216" s="25">
        <f>IFERROR(INDEX('2 Staff List'!KV$64:KV$114,$AH216),0)</f>
        <v>0</v>
      </c>
      <c r="BG216" s="25">
        <f>IFERROR(INDEX('2 Staff List'!KW$64:KW$114,$AH216),0)</f>
        <v>0</v>
      </c>
      <c r="BH216" s="25">
        <f>IFERROR(INDEX('2 Staff List'!KX$64:KX$114,$AH216),0)</f>
        <v>0</v>
      </c>
      <c r="BI216" s="25">
        <f>IFERROR(INDEX('2 Staff List'!KY$64:KY$114,$AH216),0)</f>
        <v>0</v>
      </c>
      <c r="BJ216" s="25">
        <f>IFERROR(INDEX('2 Staff List'!KZ$64:KZ$114,$AH216),0)</f>
        <v>0</v>
      </c>
      <c r="BK216" s="25">
        <f>IFERROR(INDEX('2 Staff List'!LA$64:LA$114,$AH216),0)</f>
        <v>0</v>
      </c>
      <c r="BL216" s="25">
        <f>IFERROR(INDEX('2 Staff List'!LB$64:LB$114,$AH216),0)</f>
        <v>0</v>
      </c>
      <c r="BM216" s="25">
        <f>IFERROR(INDEX('2 Staff List'!FT$64:FT$114,$AH216),0)</f>
        <v>0</v>
      </c>
      <c r="BN216" s="25">
        <f>IFERROR(INDEX('2 Staff List'!FU$64:FU$114,$AH216),0)</f>
        <v>0</v>
      </c>
      <c r="BO216" s="25">
        <f>IFERROR(INDEX('2 Staff List'!FV$64:FV$114,$AH216),0)</f>
        <v>0</v>
      </c>
      <c r="BP216" s="25">
        <f>IFERROR(INDEX('2 Staff List'!FW$64:FW$114,$AH216),0)</f>
        <v>0</v>
      </c>
      <c r="BQ216" s="25">
        <f>IFERROR(INDEX('2 Staff List'!FX$64:FX$114,$AH216),0)</f>
        <v>0</v>
      </c>
      <c r="BR216" s="25">
        <f>IFERROR(INDEX('2 Staff List'!FY$64:FY$114,$AH216),0)</f>
        <v>0</v>
      </c>
      <c r="BS216" s="25">
        <f>IFERROR(INDEX('2 Staff List'!FZ$64:FZ$114,$AH216),0)</f>
        <v>0</v>
      </c>
      <c r="BT216" s="25">
        <f>IFERROR(INDEX('2 Staff List'!GA$64:GA$114,$AH216),0)</f>
        <v>0</v>
      </c>
      <c r="BU216" s="25">
        <f>IFERROR(INDEX('2 Staff List'!GB$64:GB$114,$AH216),0)</f>
        <v>0</v>
      </c>
      <c r="BV216" s="25">
        <f>IFERROR(INDEX('2 Staff List'!GC$64:GC$114,$AH216),0)</f>
        <v>0</v>
      </c>
      <c r="BW216" s="25">
        <f t="shared" si="362"/>
        <v>0</v>
      </c>
      <c r="BX216" s="25">
        <f t="shared" si="322"/>
        <v>0</v>
      </c>
      <c r="BY216" s="25">
        <f t="shared" si="323"/>
        <v>0</v>
      </c>
      <c r="BZ216" s="25">
        <f t="shared" si="324"/>
        <v>0</v>
      </c>
      <c r="CA216" s="25">
        <f t="shared" si="325"/>
        <v>0</v>
      </c>
      <c r="CB216" s="25">
        <f t="shared" si="326"/>
        <v>0</v>
      </c>
      <c r="CC216" s="25">
        <f t="shared" si="327"/>
        <v>0</v>
      </c>
      <c r="CD216" s="25">
        <f t="shared" si="328"/>
        <v>0</v>
      </c>
      <c r="CE216" s="25">
        <f t="shared" si="329"/>
        <v>0</v>
      </c>
      <c r="CF216" s="25">
        <f t="shared" si="330"/>
        <v>0</v>
      </c>
      <c r="CG216" s="25">
        <f t="shared" si="331"/>
        <v>0</v>
      </c>
      <c r="CH216" s="25">
        <f>IFERROR(INDEX('2 Staff List'!LO$64:LO$114,$AH216),0)</f>
        <v>0</v>
      </c>
      <c r="CI216" s="25">
        <f>IFERROR(INDEX('2 Staff List'!LP$64:LP$114,$AH216),0)</f>
        <v>0</v>
      </c>
      <c r="CJ216" s="25">
        <f>IFERROR(INDEX('2 Staff List'!LQ$64:LQ$114,$AH216),0)</f>
        <v>0</v>
      </c>
      <c r="CK216" s="25">
        <f>IFERROR(INDEX('2 Staff List'!LR$64:LR$114,$AH216),0)</f>
        <v>0</v>
      </c>
      <c r="CL216" s="25">
        <f>IFERROR(INDEX('2 Staff List'!LS$64:LS$114,$AH216),0)</f>
        <v>0</v>
      </c>
      <c r="CM216" s="25">
        <f>IFERROR(INDEX('2 Staff List'!LT$64:LT$114,$AH216),0)</f>
        <v>0</v>
      </c>
      <c r="CN216" s="25">
        <f>IFERROR(INDEX('2 Staff List'!LU$64:LU$114,$AH216),0)</f>
        <v>0</v>
      </c>
      <c r="CO216" s="25">
        <f>IFERROR(INDEX('2 Staff List'!LV$64:LV$114,$AH216),0)</f>
        <v>0</v>
      </c>
      <c r="CP216" s="25">
        <f>IFERROR(INDEX('2 Staff List'!LW$64:LW$114,$AH216),0)</f>
        <v>0</v>
      </c>
      <c r="CQ216" s="25">
        <f>IFERROR(INDEX('2 Staff List'!LX$64:LX$114,$AH216),0)</f>
        <v>0</v>
      </c>
      <c r="CR216" s="25">
        <f t="shared" si="363"/>
        <v>0</v>
      </c>
      <c r="CS216" s="25">
        <f t="shared" si="364"/>
        <v>1</v>
      </c>
      <c r="CT216" s="25">
        <f t="shared" si="365"/>
        <v>1</v>
      </c>
      <c r="CU216" s="25">
        <f t="shared" si="366"/>
        <v>1</v>
      </c>
      <c r="CV216" s="25">
        <f t="shared" si="335"/>
        <v>1</v>
      </c>
      <c r="CW216" s="25">
        <f t="shared" si="367"/>
        <v>1</v>
      </c>
      <c r="CX216" s="25">
        <f t="shared" si="337"/>
        <v>0</v>
      </c>
      <c r="CY216" s="25">
        <f t="shared" si="338"/>
        <v>0</v>
      </c>
      <c r="CZ216" s="25">
        <f t="shared" si="368"/>
        <v>0</v>
      </c>
      <c r="DA216" s="25">
        <f t="shared" si="340"/>
        <v>1</v>
      </c>
      <c r="DB216" s="25">
        <f t="shared" si="369"/>
        <v>1</v>
      </c>
      <c r="DC216" s="25">
        <f t="shared" si="341"/>
        <v>0</v>
      </c>
      <c r="DD216" s="25">
        <f>IF(OR($AD216&lt;&gt;3,F216="Exclude"),0,IF(ISERROR(MATCH($E216,'4 Sign-off'!$S$123:$X$123,0)),0,1))</f>
        <v>0</v>
      </c>
      <c r="DE216" s="25">
        <f t="shared" si="550"/>
        <v>0</v>
      </c>
      <c r="DF216" s="25">
        <f t="shared" si="370"/>
        <v>0</v>
      </c>
      <c r="DG216" s="25" t="str">
        <f t="shared" si="371"/>
        <v/>
      </c>
      <c r="DH216" s="25">
        <f t="shared" si="344"/>
        <v>0</v>
      </c>
      <c r="DI216" s="25">
        <f t="shared" si="345"/>
        <v>0</v>
      </c>
      <c r="DJ216" s="25">
        <f>IF(ISBLANK(J216),0,ISERROR(MATCH(J216,'5  Control Accounts'!$FA$29:$FA$96,0))*1)</f>
        <v>0</v>
      </c>
      <c r="DK216" s="25">
        <f t="shared" si="346"/>
        <v>0</v>
      </c>
      <c r="DL216" s="25">
        <f t="shared" si="372"/>
        <v>-1</v>
      </c>
      <c r="DM216" s="25" t="e">
        <f t="array" ref="DM216">MATCH(1,($EG216:$JD216&gt;0)*$EG$17:$JD$17,0)</f>
        <v>#N/A</v>
      </c>
      <c r="DN216" s="25" t="e">
        <f t="shared" si="551"/>
        <v>#N/A</v>
      </c>
      <c r="DO216" s="25" t="e">
        <f t="array" ref="DO216">MATCH(2,1/(EG216:JD216&gt;0))</f>
        <v>#N/A</v>
      </c>
      <c r="DP216" s="2993">
        <f t="shared" si="347"/>
        <v>0</v>
      </c>
      <c r="DQ216" s="3037">
        <f t="shared" si="348"/>
        <v>0</v>
      </c>
      <c r="DR216" s="111"/>
      <c r="DS216" s="1268">
        <f t="shared" si="373"/>
        <v>0</v>
      </c>
      <c r="DT216" s="1825"/>
      <c r="DU216" s="1826"/>
      <c r="DV216" s="1827"/>
      <c r="DW216" s="1828"/>
      <c r="DX216" s="659"/>
      <c r="DY216" s="1265"/>
      <c r="DZ216" s="1785">
        <f t="shared" si="374"/>
        <v>0</v>
      </c>
      <c r="EA216" s="1786">
        <f t="shared" si="375"/>
        <v>0</v>
      </c>
      <c r="EB216" s="1781">
        <f t="shared" si="552"/>
        <v>0</v>
      </c>
      <c r="EC216" s="1782">
        <f t="shared" si="553"/>
        <v>0</v>
      </c>
      <c r="ED216" s="1262"/>
      <c r="EE216" s="2280"/>
      <c r="EF216" s="1802"/>
      <c r="EG216" s="167"/>
      <c r="EH216" s="168"/>
      <c r="EI216" s="168"/>
      <c r="EJ216" s="168"/>
      <c r="EK216" s="168"/>
      <c r="EL216" s="168"/>
      <c r="EM216" s="168"/>
      <c r="EN216" s="168"/>
      <c r="EO216" s="168"/>
      <c r="EP216" s="168"/>
      <c r="EQ216" s="168"/>
      <c r="ER216" s="168"/>
      <c r="ES216" s="168"/>
      <c r="ET216" s="168"/>
      <c r="EU216" s="168"/>
      <c r="EV216" s="168"/>
      <c r="EW216" s="168"/>
      <c r="EX216" s="168"/>
      <c r="EY216" s="168"/>
      <c r="EZ216" s="168"/>
      <c r="FA216" s="168"/>
      <c r="FB216" s="168"/>
      <c r="FC216" s="168"/>
      <c r="FD216" s="168"/>
      <c r="FE216" s="168"/>
      <c r="FF216" s="168"/>
      <c r="FG216" s="168"/>
      <c r="FH216" s="168"/>
      <c r="FI216" s="168"/>
      <c r="FJ216" s="168"/>
      <c r="FK216" s="168"/>
      <c r="FL216" s="168"/>
      <c r="FM216" s="168"/>
      <c r="FN216" s="168"/>
      <c r="FO216" s="168"/>
      <c r="FP216" s="168"/>
      <c r="FQ216" s="168"/>
      <c r="FR216" s="168"/>
      <c r="FS216" s="168"/>
      <c r="FT216" s="168"/>
      <c r="FU216" s="168"/>
      <c r="FV216" s="168"/>
      <c r="FW216" s="168"/>
      <c r="FX216" s="168"/>
      <c r="FY216" s="168"/>
      <c r="FZ216" s="168"/>
      <c r="GA216" s="168"/>
      <c r="GB216" s="168"/>
      <c r="GC216" s="168"/>
      <c r="GD216" s="168"/>
      <c r="GE216" s="168"/>
      <c r="GF216" s="168"/>
      <c r="GG216" s="168"/>
      <c r="GH216" s="168"/>
      <c r="GI216" s="168"/>
      <c r="GJ216" s="168"/>
      <c r="GK216" s="168"/>
      <c r="GL216" s="168"/>
      <c r="GM216" s="168"/>
      <c r="GN216" s="168"/>
      <c r="GO216" s="168"/>
      <c r="GP216" s="168"/>
      <c r="GQ216" s="168"/>
      <c r="GR216" s="168"/>
      <c r="GS216" s="168"/>
      <c r="GT216" s="168"/>
      <c r="GU216" s="168"/>
      <c r="GV216" s="168"/>
      <c r="GW216" s="168"/>
      <c r="GX216" s="168"/>
      <c r="GY216" s="168"/>
      <c r="GZ216" s="168"/>
      <c r="HA216" s="168"/>
      <c r="HB216" s="168"/>
      <c r="HC216" s="168"/>
      <c r="HD216" s="168"/>
      <c r="HE216" s="168"/>
      <c r="HF216" s="168"/>
      <c r="HG216" s="168"/>
      <c r="HH216" s="168"/>
      <c r="HI216" s="168"/>
      <c r="HJ216" s="168"/>
      <c r="HK216" s="168"/>
      <c r="HL216" s="168"/>
      <c r="HM216" s="168"/>
      <c r="HN216" s="168"/>
      <c r="HO216" s="168"/>
      <c r="HP216" s="168"/>
      <c r="HQ216" s="168"/>
      <c r="HR216" s="168"/>
      <c r="HS216" s="168"/>
      <c r="HT216" s="168"/>
      <c r="HU216" s="168"/>
      <c r="HV216" s="168"/>
      <c r="HW216" s="168"/>
      <c r="HX216" s="168"/>
      <c r="HY216" s="168"/>
      <c r="HZ216" s="168"/>
      <c r="IA216" s="168"/>
      <c r="IB216" s="168"/>
      <c r="IC216" s="168"/>
      <c r="ID216" s="168"/>
      <c r="IE216" s="168"/>
      <c r="IF216" s="168"/>
      <c r="IG216" s="168"/>
      <c r="IH216" s="168"/>
      <c r="II216" s="168"/>
      <c r="IJ216" s="168"/>
      <c r="IK216" s="168"/>
      <c r="IL216" s="168"/>
      <c r="IM216" s="168"/>
      <c r="IN216" s="168"/>
      <c r="IO216" s="168"/>
      <c r="IP216" s="168"/>
      <c r="IQ216" s="168"/>
      <c r="IR216" s="168"/>
      <c r="IS216" s="168"/>
      <c r="IT216" s="168"/>
      <c r="IU216" s="168"/>
      <c r="IV216" s="168"/>
      <c r="IW216" s="168"/>
      <c r="IX216" s="168"/>
      <c r="IY216" s="168"/>
      <c r="IZ216" s="168"/>
      <c r="JA216" s="168"/>
      <c r="JB216" s="168"/>
      <c r="JC216" s="606"/>
      <c r="JD216" s="609"/>
      <c r="JE216" s="1"/>
      <c r="JF216" s="1"/>
    </row>
    <row r="217" spans="1:266" s="2" customFormat="1" ht="15" customHeight="1" x14ac:dyDescent="0.25">
      <c r="A217" s="283"/>
      <c r="B217" s="303"/>
      <c r="C217" s="301"/>
      <c r="D217" s="3332"/>
      <c r="E217" s="2298"/>
      <c r="F217" s="1812"/>
      <c r="G217" s="3342"/>
      <c r="H217" s="66"/>
      <c r="I217" s="1746"/>
      <c r="J217" s="86"/>
      <c r="K217" s="105"/>
      <c r="L217" s="91"/>
      <c r="M217" s="92"/>
      <c r="N217" s="93"/>
      <c r="O217" s="94"/>
      <c r="P217" s="96"/>
      <c r="Q217" s="95"/>
      <c r="R217" s="993">
        <f t="shared" ref="R217:R223" si="554">CHOOSE(AD217,SUMIFS($T$129:$T$304,$AE$129:$AE$304,AE217,$AD$129:$AD$304,3,$DF$129:$DF$304,1,$AG$129:$AG$304,1),SUMIFS($T$129:$T$304,$AF$129:$AF$304,AF217,$AD$129:$AD$304,3,$DF$129:$DF$304,1,$AG$129:$AG$304,1),T217+U217)</f>
        <v>0</v>
      </c>
      <c r="S217" s="23">
        <f t="shared" ref="S217:S223" si="555">CHOOSE($AD217,SUMIFS($S$129:$S$304,$AE$129:$AE$304,AE217,$DF$129:$DF$304,1),SUMIFS($S$129:$S$304,$AF$129:$AF$304,AF217,$DF$129:$DF$304,1),V217+Y217+AB217)</f>
        <v>0</v>
      </c>
      <c r="T217" s="24">
        <f t="shared" ref="T217:T223" si="556">IF($AD217=3,BW217*AG217,0)</f>
        <v>0</v>
      </c>
      <c r="U217" s="24">
        <f t="shared" ref="U217:U223" si="557">IF($AD217=3,AR217*(1-AG217),0)</f>
        <v>0</v>
      </c>
      <c r="V217" s="24">
        <f t="shared" ref="V217:V223" si="558">T217*AP217*AG217</f>
        <v>0</v>
      </c>
      <c r="W217" s="24">
        <f t="shared" ref="W217:W223" si="559">X217*AO217</f>
        <v>0</v>
      </c>
      <c r="X217" s="72">
        <f t="shared" ref="X217:X223" si="560">IF($AD217=3,SUMPRODUCT(BX217:CG217,CH217:CQ217)*AG217,0)</f>
        <v>0</v>
      </c>
      <c r="Y217" s="72">
        <f t="shared" ref="Y217:Y223" si="561">IF($AD217=3,SUMPRODUCT(AS217:BB217,BM217:BV217),0)</f>
        <v>0</v>
      </c>
      <c r="Z217" s="24">
        <f t="shared" ref="Z217:Z223" si="562">IF($AD217=3,SUMPRODUCT(AS217:BB217,BC217:BL217),0)</f>
        <v>0</v>
      </c>
      <c r="AA217" s="72">
        <f t="shared" ref="AA217:AA223" si="563">$DV217*$CT217*(1+DW217)*AG217</f>
        <v>0</v>
      </c>
      <c r="AB217" s="24">
        <f t="shared" si="306"/>
        <v>0</v>
      </c>
      <c r="AC217" s="24" t="s">
        <v>5</v>
      </c>
      <c r="AD217" s="25">
        <f t="shared" ref="AD217:AD223" si="564">IF(N217="",3,IF(AND(L217&gt;0,M217&gt;0),2,1))</f>
        <v>3</v>
      </c>
      <c r="AE217" s="25">
        <f t="shared" ref="AE217:AE223" si="565">IF(AND(ISNUMBER(VALUE(L217)),RIGHT(L217,1)="0"),(L217+0.00001),L217)</f>
        <v>0</v>
      </c>
      <c r="AF217" s="25">
        <f t="shared" ref="AF217:AF223" si="566">IF(AND(ISNUMBER(VALUE(M217)),RIGHT(M217,1)="0"),(M217+0.00001),M217)</f>
        <v>0</v>
      </c>
      <c r="AG217" s="25">
        <f t="shared" ref="AG217:AG223" si="567">IF(OR($G217="NB",DG217="R"),0,1)</f>
        <v>1</v>
      </c>
      <c r="AH217" s="25" t="str">
        <f>IFERROR(MATCH(DY217,'2 Staff List'!$IA$64:$IA$114,0),"x")</f>
        <v>x</v>
      </c>
      <c r="AI217" s="1181">
        <f>IFERROR(INDEX('2 Staff List'!$EX$64:$EX$114,$AH217),0)</f>
        <v>0</v>
      </c>
      <c r="AJ217" s="25">
        <f>IFERROR(INDEX('2 Staff List'!$IW$64:$IW$114,$AH217),0)</f>
        <v>0</v>
      </c>
      <c r="AK217" s="25">
        <f>IFERROR(INDEX('2 Staff List'!$IB$64:$IB$114,$AH217),0)</f>
        <v>0</v>
      </c>
      <c r="AL217" s="25">
        <f>IF(OR(NOT(ISBLANK(DV217)),CX217=1),"&lt;Non-Labor&gt;",IFERROR(IF(AH217=0,0,INDEX('2 Staff List'!$HZ$64:$HZ$114,$AH217)),0))</f>
        <v>0</v>
      </c>
      <c r="AM217" s="25">
        <f>IFERROR(INDEX('2 Staff List'!$HW$64:$HW$114,$AH217),0)</f>
        <v>0</v>
      </c>
      <c r="AN217" s="25">
        <f t="shared" ref="AN217:AN223" si="568">(1+B217)*IF(ISBLANK(EE217),1,EE217)</f>
        <v>1</v>
      </c>
      <c r="AO217" s="25">
        <f>IF($AO$127=0,0,IFERROR(INDEX('2 Staff List'!$JH$64:$JH$114,$AH217),0))</f>
        <v>0</v>
      </c>
      <c r="AP217" s="25">
        <f>IFERROR(INDEX('2 Staff List'!$HU$64:$HU$114,$AH217),0)</f>
        <v>0</v>
      </c>
      <c r="AQ217" s="25">
        <f t="shared" ref="AQ217:AQ223" si="569">IF(AND(DV217&lt;&gt;0,SUMPRODUCT($EG217:$JD217,$EG$17:$JD$17)=0),1,0)</f>
        <v>0</v>
      </c>
      <c r="AR217" s="25">
        <f t="shared" ref="AR217:AR223" si="570">IF(OR($AD217&lt;&gt;3,$DV217&gt;0,$DY217=0),0,SUMIFS($EG217:$JD217,$EG$17:$JD$17,1)*AN217)</f>
        <v>0</v>
      </c>
      <c r="AS217" s="25">
        <f t="shared" ref="AS217:AS223" si="571">IF(OR($AD217&lt;&gt;3,$DV217&gt;0),0,SUMIFS($EG217:$JD217,$EG$17:$JD$17,1,$EG$124:$JD$124,1)*AN217)</f>
        <v>0</v>
      </c>
      <c r="AT217" s="25">
        <f t="shared" ref="AT217:AT223" si="572">IF(OR($AD217&lt;&gt;3,$DV217&gt;0),0,SUMIFS($EG217:$JD217,$EG$17:$JD$17,1,$EG$124:$JD$124,2)*AN217)</f>
        <v>0</v>
      </c>
      <c r="AU217" s="25">
        <f t="shared" ref="AU217:AU223" si="573">IF(OR($AD217&lt;&gt;3,$DV217&gt;0),0,SUMIFS($EG217:$JD217,$EG$17:$JD$17,1,$EG$124:$JD$124,3)*AN217)</f>
        <v>0</v>
      </c>
      <c r="AV217" s="25">
        <f t="shared" ref="AV217:AV223" si="574">IF(OR($AD217&lt;&gt;3,$DV217&gt;0),0,SUMIFS($EG217:$JD217,$EG$17:$JD$17,1,$EG$124:$JD$124,4)*AN217)</f>
        <v>0</v>
      </c>
      <c r="AW217" s="25">
        <f t="shared" ref="AW217:AW223" si="575">IF(OR($AD217&lt;&gt;3,$DV217&gt;0),0,SUMIFS($EG217:$JD217,$EG$17:$JD$17,1,$EG$124:$JD$124,5)*AN217)</f>
        <v>0</v>
      </c>
      <c r="AX217" s="25">
        <f t="shared" ref="AX217:AX223" si="576">IF(OR($AD217&lt;&gt;3,$DV217&gt;0),0,SUMIFS($EG217:$JD217,$EG$17:$JD$17,1,$EG$124:$JD$124,6)*AN217)</f>
        <v>0</v>
      </c>
      <c r="AY217" s="25">
        <f t="shared" ref="AY217:AY223" si="577">IF(OR($AD217&lt;&gt;3,$DV217&gt;0),0,SUMIFS($EG217:$JD217,$EG$17:$JD$17,1,$EG$124:$JD$124,7)*AN217)</f>
        <v>0</v>
      </c>
      <c r="AZ217" s="25">
        <f t="shared" ref="AZ217:AZ223" si="578">IF(OR($AD217&lt;&gt;3,$DV217&gt;0),0,SUMIFS($EG217:$JD217,$EG$17:$JD$17,1,$EG$124:$JD$124,8)*AN217)</f>
        <v>0</v>
      </c>
      <c r="BA217" s="25">
        <f t="shared" ref="BA217:BA223" si="579">IF(OR($AD217&lt;&gt;3,$DV217&gt;0),0,SUMIFS($EG217:$JD217,$EG$17:$JD$17,1,$EG$124:$JD$124,9)*AN217)</f>
        <v>0</v>
      </c>
      <c r="BB217" s="25">
        <f t="shared" ref="BB217:BB223" si="580">IF(OR($AD217&lt;&gt;3,$DV217&gt;0),0,SUMIFS($EG217:$JD217,$EG$17:$JD$17,1,$EG$124:$JD$124,10)*AN217)</f>
        <v>0</v>
      </c>
      <c r="BC217" s="25">
        <f>IFERROR(INDEX('2 Staff List'!KS$64:KS$114,$AH217),0)</f>
        <v>0</v>
      </c>
      <c r="BD217" s="25">
        <f>IFERROR(INDEX('2 Staff List'!KT$64:KT$114,$AH217),0)</f>
        <v>0</v>
      </c>
      <c r="BE217" s="25">
        <f>IFERROR(INDEX('2 Staff List'!KU$64:KU$114,$AH217),0)</f>
        <v>0</v>
      </c>
      <c r="BF217" s="25">
        <f>IFERROR(INDEX('2 Staff List'!KV$64:KV$114,$AH217),0)</f>
        <v>0</v>
      </c>
      <c r="BG217" s="25">
        <f>IFERROR(INDEX('2 Staff List'!KW$64:KW$114,$AH217),0)</f>
        <v>0</v>
      </c>
      <c r="BH217" s="25">
        <f>IFERROR(INDEX('2 Staff List'!KX$64:KX$114,$AH217),0)</f>
        <v>0</v>
      </c>
      <c r="BI217" s="25">
        <f>IFERROR(INDEX('2 Staff List'!KY$64:KY$114,$AH217),0)</f>
        <v>0</v>
      </c>
      <c r="BJ217" s="25">
        <f>IFERROR(INDEX('2 Staff List'!KZ$64:KZ$114,$AH217),0)</f>
        <v>0</v>
      </c>
      <c r="BK217" s="25">
        <f>IFERROR(INDEX('2 Staff List'!LA$64:LA$114,$AH217),0)</f>
        <v>0</v>
      </c>
      <c r="BL217" s="25">
        <f>IFERROR(INDEX('2 Staff List'!LB$64:LB$114,$AH217),0)</f>
        <v>0</v>
      </c>
      <c r="BM217" s="25">
        <f>IFERROR(INDEX('2 Staff List'!FT$64:FT$114,$AH217),0)</f>
        <v>0</v>
      </c>
      <c r="BN217" s="25">
        <f>IFERROR(INDEX('2 Staff List'!FU$64:FU$114,$AH217),0)</f>
        <v>0</v>
      </c>
      <c r="BO217" s="25">
        <f>IFERROR(INDEX('2 Staff List'!FV$64:FV$114,$AH217),0)</f>
        <v>0</v>
      </c>
      <c r="BP217" s="25">
        <f>IFERROR(INDEX('2 Staff List'!FW$64:FW$114,$AH217),0)</f>
        <v>0</v>
      </c>
      <c r="BQ217" s="25">
        <f>IFERROR(INDEX('2 Staff List'!FX$64:FX$114,$AH217),0)</f>
        <v>0</v>
      </c>
      <c r="BR217" s="25">
        <f>IFERROR(INDEX('2 Staff List'!FY$64:FY$114,$AH217),0)</f>
        <v>0</v>
      </c>
      <c r="BS217" s="25">
        <f>IFERROR(INDEX('2 Staff List'!FZ$64:FZ$114,$AH217),0)</f>
        <v>0</v>
      </c>
      <c r="BT217" s="25">
        <f>IFERROR(INDEX('2 Staff List'!GA$64:GA$114,$AH217),0)</f>
        <v>0</v>
      </c>
      <c r="BU217" s="25">
        <f>IFERROR(INDEX('2 Staff List'!GB$64:GB$114,$AH217),0)</f>
        <v>0</v>
      </c>
      <c r="BV217" s="25">
        <f>IFERROR(INDEX('2 Staff List'!GC$64:GC$114,$AH217),0)</f>
        <v>0</v>
      </c>
      <c r="BW217" s="25">
        <f t="shared" ref="BW217:BW223" si="581">IF(OR($AD217&lt;&gt;3,$DV217&gt;0,$DY217=0),0,SUMIFS($EG217:$JD217,$EG$17:$JD$17,1)*AN217*$AG217)</f>
        <v>0</v>
      </c>
      <c r="BX217" s="25">
        <f t="shared" ref="BX217:BX223" si="582">IF(OR($AD217&lt;&gt;3,$DV217&gt;0),0,SUMIFS($EG217:$JD217,$EG$17:$JD$17,1,$EG$123:$JD$123,1)*AN217)</f>
        <v>0</v>
      </c>
      <c r="BY217" s="25">
        <f t="shared" ref="BY217:BY223" si="583">IF(OR($AD217&lt;&gt;3,$DV217&gt;0),0,SUMIFS($EG217:$JD217,$EG$17:$JD$17,1,$EG$123:$JD$123,2)*AN217)</f>
        <v>0</v>
      </c>
      <c r="BZ217" s="25">
        <f t="shared" ref="BZ217:BZ223" si="584">IF(OR($AD217&lt;&gt;3,$DV217&gt;0),0,SUMIFS($EG217:$JD217,$EG$17:$JD$17,1,$EG$123:$JD$123,3)*AN217)</f>
        <v>0</v>
      </c>
      <c r="CA217" s="25">
        <f t="shared" ref="CA217:CA223" si="585">IF(OR($AD217&lt;&gt;3,$DV217&gt;0),0,SUMIFS($EG217:$JD217,$EG$17:$JD$17,1,$EG$123:$JD$123,4)*AN217)</f>
        <v>0</v>
      </c>
      <c r="CB217" s="25">
        <f t="shared" ref="CB217:CB223" si="586">IF(OR($AD217&lt;&gt;3,$DV217&gt;0),0,SUMIFS($EG217:$JD217,$EG$17:$JD$17,1,$EG$123:$JD$123,5)*AN217)</f>
        <v>0</v>
      </c>
      <c r="CC217" s="25">
        <f t="shared" ref="CC217:CC223" si="587">IF(OR($AD217&lt;&gt;3,$DV217&gt;0),0,SUMIFS($EG217:$JD217,$EG$17:$JD$17,1,$EG$123:$JD$123,6)*AN217)</f>
        <v>0</v>
      </c>
      <c r="CD217" s="25">
        <f t="shared" ref="CD217:CD223" si="588">IF(OR($AD217&lt;&gt;3,$DV217&gt;0),0,SUMIFS($EG217:$JD217,$EG$17:$JD$17,1,$EG$123:$JD$123,7)*AN217)</f>
        <v>0</v>
      </c>
      <c r="CE217" s="25">
        <f t="shared" ref="CE217:CE223" si="589">IF(OR($AD217&lt;&gt;3,$DV217&gt;0),0,SUMIFS($EG217:$JD217,$EG$17:$JD$17,1,$EG$123:$JD$123,8)*AN217)</f>
        <v>0</v>
      </c>
      <c r="CF217" s="25">
        <f t="shared" ref="CF217:CF223" si="590">IF(OR($AD217&lt;&gt;3,$DV217&gt;0),0,SUMIFS($EG217:$JD217,$EG$17:$JD$17,1,$EG$123:$JD$123,9)*AN217)</f>
        <v>0</v>
      </c>
      <c r="CG217" s="25">
        <f t="shared" ref="CG217:CG223" si="591">IF(OR($AD217&lt;&gt;3,$DV217&gt;0),0,SUMIFS($EG217:$JD217,$EG$17:$JD$17,1,$EG$123:$JD$123,10)*AN217)</f>
        <v>0</v>
      </c>
      <c r="CH217" s="25">
        <f>IFERROR(INDEX('2 Staff List'!LO$64:LO$114,$AH217),0)</f>
        <v>0</v>
      </c>
      <c r="CI217" s="25">
        <f>IFERROR(INDEX('2 Staff List'!LP$64:LP$114,$AH217),0)</f>
        <v>0</v>
      </c>
      <c r="CJ217" s="25">
        <f>IFERROR(INDEX('2 Staff List'!LQ$64:LQ$114,$AH217),0)</f>
        <v>0</v>
      </c>
      <c r="CK217" s="25">
        <f>IFERROR(INDEX('2 Staff List'!LR$64:LR$114,$AH217),0)</f>
        <v>0</v>
      </c>
      <c r="CL217" s="25">
        <f>IFERROR(INDEX('2 Staff List'!LS$64:LS$114,$AH217),0)</f>
        <v>0</v>
      </c>
      <c r="CM217" s="25">
        <f>IFERROR(INDEX('2 Staff List'!LT$64:LT$114,$AH217),0)</f>
        <v>0</v>
      </c>
      <c r="CN217" s="25">
        <f>IFERROR(INDEX('2 Staff List'!LU$64:LU$114,$AH217),0)</f>
        <v>0</v>
      </c>
      <c r="CO217" s="25">
        <f>IFERROR(INDEX('2 Staff List'!LV$64:LV$114,$AH217),0)</f>
        <v>0</v>
      </c>
      <c r="CP217" s="25">
        <f>IFERROR(INDEX('2 Staff List'!LW$64:LW$114,$AH217),0)</f>
        <v>0</v>
      </c>
      <c r="CQ217" s="25">
        <f>IFERROR(INDEX('2 Staff List'!LX$64:LX$114,$AH217),0)</f>
        <v>0</v>
      </c>
      <c r="CR217" s="25">
        <f t="shared" ref="CR217:CR223" si="592">IF(AD217=3,SUMPRODUCT($EG217:$JD217,$EG$17:$JD$17),0)</f>
        <v>0</v>
      </c>
      <c r="CS217" s="25">
        <f t="shared" ref="CS217:CS223" si="593">IFERROR(1/CR217,1)</f>
        <v>1</v>
      </c>
      <c r="CT217" s="25">
        <f t="shared" ref="CT217:CT223" si="594">IF(NOT(ISBLANK(DU217)),DU217,1)</f>
        <v>1</v>
      </c>
      <c r="CU217" s="25">
        <f t="shared" ref="CU217:CU223" si="595">IF(DT217=$CU$127,0,1)</f>
        <v>1</v>
      </c>
      <c r="CV217" s="25">
        <f t="shared" ref="CV217:CV223" si="596">IF(AND(AD217=3,OR(F217="",F217="Approved")),1,0)</f>
        <v>1</v>
      </c>
      <c r="CW217" s="25">
        <f t="shared" ref="CW217:CW223" si="597">IF(AD217&lt;&gt;3,0,IF(OR(F217="",F217="Approved",F217="Pend w FC"),1,0))</f>
        <v>1</v>
      </c>
      <c r="CX217" s="25">
        <f t="shared" ref="CX217:CX223" si="598">IF(AND(Z217=0,OR(G217="RO",DG217="V",DG217="W")),1,0)</f>
        <v>0</v>
      </c>
      <c r="CY217" s="25">
        <f t="shared" si="338"/>
        <v>0</v>
      </c>
      <c r="CZ217" s="25">
        <f t="shared" ref="CZ217:CZ223" si="599">IF(AD217&lt;&gt;3,0,IF(OR(F217="Pending",F217="Pend w FC"),1,0))</f>
        <v>0</v>
      </c>
      <c r="DA217" s="25">
        <f t="shared" si="340"/>
        <v>1</v>
      </c>
      <c r="DB217" s="25">
        <f t="shared" ref="DB217:DB223" si="600">IF($AD217&lt;&gt;3,0,IF(F217="",1,0))</f>
        <v>1</v>
      </c>
      <c r="DC217" s="25">
        <f t="shared" si="341"/>
        <v>0</v>
      </c>
      <c r="DD217" s="25">
        <f>IF(OR($AD217&lt;&gt;3,F217="Exclude"),0,IF(ISERROR(MATCH($E217,'4 Sign-off'!$S$123:$X$123,0)),0,1))</f>
        <v>0</v>
      </c>
      <c r="DE217" s="25">
        <f t="shared" ref="DE217:DE223" si="601">IF($C$6&lt;&gt;"B",1,CHOOSE($DE$119,DD217,CZ217+DC217,CZ217,DC217))</f>
        <v>0</v>
      </c>
      <c r="DF217" s="25">
        <f t="shared" ref="DF217:DF223" si="602">CHOOSE($DF$119,CV217,CW217,DE217)</f>
        <v>0</v>
      </c>
      <c r="DG217" s="25" t="str">
        <f t="shared" ref="DG217:DG223" si="603">LEFT(J217,1)</f>
        <v/>
      </c>
      <c r="DH217" s="25">
        <f t="shared" si="344"/>
        <v>0</v>
      </c>
      <c r="DI217" s="25">
        <f t="shared" si="345"/>
        <v>0</v>
      </c>
      <c r="DJ217" s="25">
        <f>IF(ISBLANK(J217),0,ISERROR(MATCH(J217,'5  Control Accounts'!$FA$29:$FA$96,0))*1)</f>
        <v>0</v>
      </c>
      <c r="DK217" s="25">
        <f t="shared" ref="DK217:DK223" si="604">AND($C$5,(T217+U217+AB217)&lt;&gt;0,ISBLANK(J217),F217&lt;&gt;"Exclude")*1</f>
        <v>0</v>
      </c>
      <c r="DL217" s="25">
        <f t="shared" ref="DL217:DL223" si="605">IF(OR((T217+U217)&gt;0,(AA217+AB217)&gt;0),J217,-1)</f>
        <v>-1</v>
      </c>
      <c r="DM217" s="25" t="e">
        <f t="array" ref="DM217">MATCH(1,($EG217:$JD217&gt;0)*$EG$17:$JD$17,0)</f>
        <v>#N/A</v>
      </c>
      <c r="DN217" s="25" t="e">
        <f t="shared" ref="DN217:DN223" si="606">IF($C$6&lt;&gt;"F",DO217,IF(DO217&lt;$EB$17,NA(),DO217))</f>
        <v>#N/A</v>
      </c>
      <c r="DO217" s="25" t="e">
        <f t="array" ref="DO217">MATCH(2,1/(EG217:JD217&gt;0))</f>
        <v>#N/A</v>
      </c>
      <c r="DP217" s="2993">
        <f t="shared" ref="DP217:DP223" si="607">CHOOSE($AD217,SUMIFS($DP$129:$DP$304,$AE$129:$AE$304,$AE217,$DF$129:$DF$304,1),SUMIFS($DP$129:$DP$304,$AF$129:$AF$304,$AF217,$DF$129:$DF$304,1),X217+AA217)</f>
        <v>0</v>
      </c>
      <c r="DQ217" s="3037">
        <f t="shared" ref="DQ217:DQ223" si="608">CHOOSE($AD217,SUMIFS($DQ$129:$DQ$304,$AE$129:$AE$304,$AE217,$DF$129:$DF$304,1),SUMIFS($DQ$129:$DQ$304,$AF$129:$AF$304,$AF217,$DF$129:$DF$304,1),DP217-S217)</f>
        <v>0</v>
      </c>
      <c r="DR217" s="111"/>
      <c r="DS217" s="1268">
        <f t="shared" ref="DS217:DS223" si="609">N217</f>
        <v>0</v>
      </c>
      <c r="DT217" s="1825"/>
      <c r="DU217" s="1826"/>
      <c r="DV217" s="1827"/>
      <c r="DW217" s="1828"/>
      <c r="DX217" s="659"/>
      <c r="DY217" s="1265"/>
      <c r="DZ217" s="1785">
        <f t="shared" ref="DZ217:DZ223" si="610">AL217</f>
        <v>0</v>
      </c>
      <c r="EA217" s="1786">
        <f t="shared" ref="EA217:EA223" si="611">IF($AD217=3,T217+U217,0)</f>
        <v>0</v>
      </c>
      <c r="EB217" s="1781">
        <f t="shared" ref="EB217:EB223" si="612">IF(ISERROR(DM217),0,CHOOSE($DY$3,(DM217*7)+$EG$126-11,EOMONTH($EG$126,DM217-2)+1))</f>
        <v>0</v>
      </c>
      <c r="EC217" s="1782">
        <f t="shared" ref="EC217:EC223" si="613">IF(ISERROR(DN217),0,CHOOSE($DY$3,(DN217*7)+$EG$126-7,EOMONTH($EG$126,DN217-1)))</f>
        <v>0</v>
      </c>
      <c r="ED217" s="1262"/>
      <c r="EE217" s="2280"/>
      <c r="EF217" s="1802"/>
      <c r="EG217" s="167"/>
      <c r="EH217" s="168"/>
      <c r="EI217" s="168"/>
      <c r="EJ217" s="168"/>
      <c r="EK217" s="168"/>
      <c r="EL217" s="168"/>
      <c r="EM217" s="168"/>
      <c r="EN217" s="168"/>
      <c r="EO217" s="168"/>
      <c r="EP217" s="168"/>
      <c r="EQ217" s="168"/>
      <c r="ER217" s="168"/>
      <c r="ES217" s="168"/>
      <c r="ET217" s="168"/>
      <c r="EU217" s="168"/>
      <c r="EV217" s="168"/>
      <c r="EW217" s="168"/>
      <c r="EX217" s="168"/>
      <c r="EY217" s="168"/>
      <c r="EZ217" s="168"/>
      <c r="FA217" s="168"/>
      <c r="FB217" s="168"/>
      <c r="FC217" s="168"/>
      <c r="FD217" s="168"/>
      <c r="FE217" s="168"/>
      <c r="FF217" s="168"/>
      <c r="FG217" s="168"/>
      <c r="FH217" s="168"/>
      <c r="FI217" s="168"/>
      <c r="FJ217" s="168"/>
      <c r="FK217" s="168"/>
      <c r="FL217" s="168"/>
      <c r="FM217" s="168"/>
      <c r="FN217" s="168"/>
      <c r="FO217" s="168"/>
      <c r="FP217" s="168"/>
      <c r="FQ217" s="168"/>
      <c r="FR217" s="168"/>
      <c r="FS217" s="168"/>
      <c r="FT217" s="168"/>
      <c r="FU217" s="168"/>
      <c r="FV217" s="168"/>
      <c r="FW217" s="168"/>
      <c r="FX217" s="168"/>
      <c r="FY217" s="168"/>
      <c r="FZ217" s="168"/>
      <c r="GA217" s="168"/>
      <c r="GB217" s="168"/>
      <c r="GC217" s="168"/>
      <c r="GD217" s="168"/>
      <c r="GE217" s="168"/>
      <c r="GF217" s="168"/>
      <c r="GG217" s="168"/>
      <c r="GH217" s="168"/>
      <c r="GI217" s="168"/>
      <c r="GJ217" s="168"/>
      <c r="GK217" s="168"/>
      <c r="GL217" s="168"/>
      <c r="GM217" s="168"/>
      <c r="GN217" s="168"/>
      <c r="GO217" s="168"/>
      <c r="GP217" s="168"/>
      <c r="GQ217" s="168"/>
      <c r="GR217" s="168"/>
      <c r="GS217" s="168"/>
      <c r="GT217" s="168"/>
      <c r="GU217" s="168"/>
      <c r="GV217" s="168"/>
      <c r="GW217" s="168"/>
      <c r="GX217" s="168"/>
      <c r="GY217" s="168"/>
      <c r="GZ217" s="168"/>
      <c r="HA217" s="168"/>
      <c r="HB217" s="168"/>
      <c r="HC217" s="168"/>
      <c r="HD217" s="168"/>
      <c r="HE217" s="168"/>
      <c r="HF217" s="168"/>
      <c r="HG217" s="168"/>
      <c r="HH217" s="168"/>
      <c r="HI217" s="168"/>
      <c r="HJ217" s="168"/>
      <c r="HK217" s="168"/>
      <c r="HL217" s="168"/>
      <c r="HM217" s="168"/>
      <c r="HN217" s="168"/>
      <c r="HO217" s="168"/>
      <c r="HP217" s="168"/>
      <c r="HQ217" s="168"/>
      <c r="HR217" s="168"/>
      <c r="HS217" s="168"/>
      <c r="HT217" s="168"/>
      <c r="HU217" s="168"/>
      <c r="HV217" s="168"/>
      <c r="HW217" s="168"/>
      <c r="HX217" s="168"/>
      <c r="HY217" s="168"/>
      <c r="HZ217" s="168"/>
      <c r="IA217" s="168"/>
      <c r="IB217" s="168"/>
      <c r="IC217" s="168"/>
      <c r="ID217" s="168"/>
      <c r="IE217" s="168"/>
      <c r="IF217" s="168"/>
      <c r="IG217" s="168"/>
      <c r="IH217" s="168"/>
      <c r="II217" s="168"/>
      <c r="IJ217" s="168"/>
      <c r="IK217" s="168"/>
      <c r="IL217" s="168"/>
      <c r="IM217" s="168"/>
      <c r="IN217" s="168"/>
      <c r="IO217" s="168"/>
      <c r="IP217" s="168"/>
      <c r="IQ217" s="168"/>
      <c r="IR217" s="168"/>
      <c r="IS217" s="168"/>
      <c r="IT217" s="168"/>
      <c r="IU217" s="168"/>
      <c r="IV217" s="168"/>
      <c r="IW217" s="168"/>
      <c r="IX217" s="168"/>
      <c r="IY217" s="168"/>
      <c r="IZ217" s="168"/>
      <c r="JA217" s="168"/>
      <c r="JB217" s="168"/>
      <c r="JC217" s="606"/>
      <c r="JD217" s="609"/>
      <c r="JE217" s="1"/>
      <c r="JF217" s="1"/>
    </row>
    <row r="218" spans="1:266" s="2" customFormat="1" ht="15" customHeight="1" x14ac:dyDescent="0.25">
      <c r="A218" s="283"/>
      <c r="B218" s="303"/>
      <c r="C218" s="301"/>
      <c r="D218" s="3332"/>
      <c r="E218" s="2298"/>
      <c r="F218" s="1812"/>
      <c r="G218" s="3342"/>
      <c r="H218" s="66"/>
      <c r="I218" s="1746"/>
      <c r="J218" s="86"/>
      <c r="K218" s="105"/>
      <c r="L218" s="91"/>
      <c r="M218" s="92"/>
      <c r="N218" s="93"/>
      <c r="O218" s="94"/>
      <c r="P218" s="96"/>
      <c r="Q218" s="95"/>
      <c r="R218" s="993">
        <f t="shared" ref="R218:R222" si="614">CHOOSE(AD218,SUMIFS($T$129:$T$304,$AE$129:$AE$304,AE218,$AD$129:$AD$304,3,$DF$129:$DF$304,1,$AG$129:$AG$304,1),SUMIFS($T$129:$T$304,$AF$129:$AF$304,AF218,$AD$129:$AD$304,3,$DF$129:$DF$304,1,$AG$129:$AG$304,1),T218+U218)</f>
        <v>0</v>
      </c>
      <c r="S218" s="23">
        <f t="shared" ref="S218:S222" si="615">CHOOSE($AD218,SUMIFS($S$129:$S$304,$AE$129:$AE$304,AE218,$DF$129:$DF$304,1),SUMIFS($S$129:$S$304,$AF$129:$AF$304,AF218,$DF$129:$DF$304,1),V218+Y218+AB218)</f>
        <v>0</v>
      </c>
      <c r="T218" s="24">
        <f t="shared" ref="T218:T222" si="616">IF($AD218=3,BW218*AG218,0)</f>
        <v>0</v>
      </c>
      <c r="U218" s="24">
        <f t="shared" ref="U218:U222" si="617">IF($AD218=3,AR218*(1-AG218),0)</f>
        <v>0</v>
      </c>
      <c r="V218" s="24">
        <f t="shared" ref="V218:V222" si="618">T218*AP218*AG218</f>
        <v>0</v>
      </c>
      <c r="W218" s="24">
        <f t="shared" ref="W218:W222" si="619">X218*AO218</f>
        <v>0</v>
      </c>
      <c r="X218" s="72">
        <f t="shared" ref="X218:X222" si="620">IF($AD218=3,SUMPRODUCT(BX218:CG218,CH218:CQ218)*AG218,0)</f>
        <v>0</v>
      </c>
      <c r="Y218" s="72">
        <f t="shared" ref="Y218:Y222" si="621">IF($AD218=3,SUMPRODUCT(AS218:BB218,BM218:BV218),0)</f>
        <v>0</v>
      </c>
      <c r="Z218" s="24">
        <f t="shared" ref="Z218:Z222" si="622">IF($AD218=3,SUMPRODUCT(AS218:BB218,BC218:BL218),0)</f>
        <v>0</v>
      </c>
      <c r="AA218" s="72">
        <f t="shared" ref="AA218:AA222" si="623">$DV218*$CT218*(1+DW218)*AG218</f>
        <v>0</v>
      </c>
      <c r="AB218" s="24">
        <f t="shared" si="306"/>
        <v>0</v>
      </c>
      <c r="AC218" s="24" t="s">
        <v>5</v>
      </c>
      <c r="AD218" s="25">
        <f t="shared" ref="AD218:AD222" si="624">IF(N218="",3,IF(AND(L218&gt;0,M218&gt;0),2,1))</f>
        <v>3</v>
      </c>
      <c r="AE218" s="25">
        <f t="shared" ref="AE218:AE222" si="625">IF(AND(ISNUMBER(VALUE(L218)),RIGHT(L218,1)="0"),(L218+0.00001),L218)</f>
        <v>0</v>
      </c>
      <c r="AF218" s="25">
        <f t="shared" ref="AF218:AF222" si="626">IF(AND(ISNUMBER(VALUE(M218)),RIGHT(M218,1)="0"),(M218+0.00001),M218)</f>
        <v>0</v>
      </c>
      <c r="AG218" s="25">
        <f t="shared" ref="AG218:AG222" si="627">IF(OR($G218="NB",DG218="R"),0,1)</f>
        <v>1</v>
      </c>
      <c r="AH218" s="25" t="str">
        <f>IFERROR(MATCH(DY218,'2 Staff List'!$IA$64:$IA$114,0),"x")</f>
        <v>x</v>
      </c>
      <c r="AI218" s="1181">
        <f>IFERROR(INDEX('2 Staff List'!$EX$64:$EX$114,$AH218),0)</f>
        <v>0</v>
      </c>
      <c r="AJ218" s="25">
        <f>IFERROR(INDEX('2 Staff List'!$IW$64:$IW$114,$AH218),0)</f>
        <v>0</v>
      </c>
      <c r="AK218" s="25">
        <f>IFERROR(INDEX('2 Staff List'!$IB$64:$IB$114,$AH218),0)</f>
        <v>0</v>
      </c>
      <c r="AL218" s="25">
        <f>IF(OR(NOT(ISBLANK(DV218)),CX218=1),"&lt;Non-Labor&gt;",IFERROR(IF(AH218=0,0,INDEX('2 Staff List'!$HZ$64:$HZ$114,$AH218)),0))</f>
        <v>0</v>
      </c>
      <c r="AM218" s="25">
        <f>IFERROR(INDEX('2 Staff List'!$HW$64:$HW$114,$AH218),0)</f>
        <v>0</v>
      </c>
      <c r="AN218" s="25">
        <f t="shared" ref="AN218:AN222" si="628">(1+B218)*IF(ISBLANK(EE218),1,EE218)</f>
        <v>1</v>
      </c>
      <c r="AO218" s="25">
        <f>IF($AO$127=0,0,IFERROR(INDEX('2 Staff List'!$JH$64:$JH$114,$AH218),0))</f>
        <v>0</v>
      </c>
      <c r="AP218" s="25">
        <f>IFERROR(INDEX('2 Staff List'!$HU$64:$HU$114,$AH218),0)</f>
        <v>0</v>
      </c>
      <c r="AQ218" s="25">
        <f t="shared" ref="AQ218:AQ222" si="629">IF(AND(DV218&lt;&gt;0,SUMPRODUCT($EG218:$JD218,$EG$17:$JD$17)=0),1,0)</f>
        <v>0</v>
      </c>
      <c r="AR218" s="25">
        <f t="shared" ref="AR218:AR222" si="630">IF(OR($AD218&lt;&gt;3,$DV218&gt;0,$DY218=0),0,SUMIFS($EG218:$JD218,$EG$17:$JD$17,1)*AN218)</f>
        <v>0</v>
      </c>
      <c r="AS218" s="25">
        <f t="shared" ref="AS218:AS222" si="631">IF(OR($AD218&lt;&gt;3,$DV218&gt;0),0,SUMIFS($EG218:$JD218,$EG$17:$JD$17,1,$EG$124:$JD$124,1)*AN218)</f>
        <v>0</v>
      </c>
      <c r="AT218" s="25">
        <f t="shared" ref="AT218:AT222" si="632">IF(OR($AD218&lt;&gt;3,$DV218&gt;0),0,SUMIFS($EG218:$JD218,$EG$17:$JD$17,1,$EG$124:$JD$124,2)*AN218)</f>
        <v>0</v>
      </c>
      <c r="AU218" s="25">
        <f t="shared" ref="AU218:AU222" si="633">IF(OR($AD218&lt;&gt;3,$DV218&gt;0),0,SUMIFS($EG218:$JD218,$EG$17:$JD$17,1,$EG$124:$JD$124,3)*AN218)</f>
        <v>0</v>
      </c>
      <c r="AV218" s="25">
        <f t="shared" ref="AV218:AV222" si="634">IF(OR($AD218&lt;&gt;3,$DV218&gt;0),0,SUMIFS($EG218:$JD218,$EG$17:$JD$17,1,$EG$124:$JD$124,4)*AN218)</f>
        <v>0</v>
      </c>
      <c r="AW218" s="25">
        <f t="shared" ref="AW218:AW222" si="635">IF(OR($AD218&lt;&gt;3,$DV218&gt;0),0,SUMIFS($EG218:$JD218,$EG$17:$JD$17,1,$EG$124:$JD$124,5)*AN218)</f>
        <v>0</v>
      </c>
      <c r="AX218" s="25">
        <f t="shared" ref="AX218:AX222" si="636">IF(OR($AD218&lt;&gt;3,$DV218&gt;0),0,SUMIFS($EG218:$JD218,$EG$17:$JD$17,1,$EG$124:$JD$124,6)*AN218)</f>
        <v>0</v>
      </c>
      <c r="AY218" s="25">
        <f t="shared" ref="AY218:AY222" si="637">IF(OR($AD218&lt;&gt;3,$DV218&gt;0),0,SUMIFS($EG218:$JD218,$EG$17:$JD$17,1,$EG$124:$JD$124,7)*AN218)</f>
        <v>0</v>
      </c>
      <c r="AZ218" s="25">
        <f t="shared" ref="AZ218:AZ222" si="638">IF(OR($AD218&lt;&gt;3,$DV218&gt;0),0,SUMIFS($EG218:$JD218,$EG$17:$JD$17,1,$EG$124:$JD$124,8)*AN218)</f>
        <v>0</v>
      </c>
      <c r="BA218" s="25">
        <f t="shared" ref="BA218:BA222" si="639">IF(OR($AD218&lt;&gt;3,$DV218&gt;0),0,SUMIFS($EG218:$JD218,$EG$17:$JD$17,1,$EG$124:$JD$124,9)*AN218)</f>
        <v>0</v>
      </c>
      <c r="BB218" s="25">
        <f t="shared" ref="BB218:BB222" si="640">IF(OR($AD218&lt;&gt;3,$DV218&gt;0),0,SUMIFS($EG218:$JD218,$EG$17:$JD$17,1,$EG$124:$JD$124,10)*AN218)</f>
        <v>0</v>
      </c>
      <c r="BC218" s="25">
        <f>IFERROR(INDEX('2 Staff List'!KS$64:KS$114,$AH218),0)</f>
        <v>0</v>
      </c>
      <c r="BD218" s="25">
        <f>IFERROR(INDEX('2 Staff List'!KT$64:KT$114,$AH218),0)</f>
        <v>0</v>
      </c>
      <c r="BE218" s="25">
        <f>IFERROR(INDEX('2 Staff List'!KU$64:KU$114,$AH218),0)</f>
        <v>0</v>
      </c>
      <c r="BF218" s="25">
        <f>IFERROR(INDEX('2 Staff List'!KV$64:KV$114,$AH218),0)</f>
        <v>0</v>
      </c>
      <c r="BG218" s="25">
        <f>IFERROR(INDEX('2 Staff List'!KW$64:KW$114,$AH218),0)</f>
        <v>0</v>
      </c>
      <c r="BH218" s="25">
        <f>IFERROR(INDEX('2 Staff List'!KX$64:KX$114,$AH218),0)</f>
        <v>0</v>
      </c>
      <c r="BI218" s="25">
        <f>IFERROR(INDEX('2 Staff List'!KY$64:KY$114,$AH218),0)</f>
        <v>0</v>
      </c>
      <c r="BJ218" s="25">
        <f>IFERROR(INDEX('2 Staff List'!KZ$64:KZ$114,$AH218),0)</f>
        <v>0</v>
      </c>
      <c r="BK218" s="25">
        <f>IFERROR(INDEX('2 Staff List'!LA$64:LA$114,$AH218),0)</f>
        <v>0</v>
      </c>
      <c r="BL218" s="25">
        <f>IFERROR(INDEX('2 Staff List'!LB$64:LB$114,$AH218),0)</f>
        <v>0</v>
      </c>
      <c r="BM218" s="25">
        <f>IFERROR(INDEX('2 Staff List'!FT$64:FT$114,$AH218),0)</f>
        <v>0</v>
      </c>
      <c r="BN218" s="25">
        <f>IFERROR(INDEX('2 Staff List'!FU$64:FU$114,$AH218),0)</f>
        <v>0</v>
      </c>
      <c r="BO218" s="25">
        <f>IFERROR(INDEX('2 Staff List'!FV$64:FV$114,$AH218),0)</f>
        <v>0</v>
      </c>
      <c r="BP218" s="25">
        <f>IFERROR(INDEX('2 Staff List'!FW$64:FW$114,$AH218),0)</f>
        <v>0</v>
      </c>
      <c r="BQ218" s="25">
        <f>IFERROR(INDEX('2 Staff List'!FX$64:FX$114,$AH218),0)</f>
        <v>0</v>
      </c>
      <c r="BR218" s="25">
        <f>IFERROR(INDEX('2 Staff List'!FY$64:FY$114,$AH218),0)</f>
        <v>0</v>
      </c>
      <c r="BS218" s="25">
        <f>IFERROR(INDEX('2 Staff List'!FZ$64:FZ$114,$AH218),0)</f>
        <v>0</v>
      </c>
      <c r="BT218" s="25">
        <f>IFERROR(INDEX('2 Staff List'!GA$64:GA$114,$AH218),0)</f>
        <v>0</v>
      </c>
      <c r="BU218" s="25">
        <f>IFERROR(INDEX('2 Staff List'!GB$64:GB$114,$AH218),0)</f>
        <v>0</v>
      </c>
      <c r="BV218" s="25">
        <f>IFERROR(INDEX('2 Staff List'!GC$64:GC$114,$AH218),0)</f>
        <v>0</v>
      </c>
      <c r="BW218" s="25">
        <f t="shared" ref="BW218:BW222" si="641">IF(OR($AD218&lt;&gt;3,$DV218&gt;0,$DY218=0),0,SUMIFS($EG218:$JD218,$EG$17:$JD$17,1)*AN218*$AG218)</f>
        <v>0</v>
      </c>
      <c r="BX218" s="25">
        <f t="shared" ref="BX218:BX222" si="642">IF(OR($AD218&lt;&gt;3,$DV218&gt;0),0,SUMIFS($EG218:$JD218,$EG$17:$JD$17,1,$EG$123:$JD$123,1)*AN218)</f>
        <v>0</v>
      </c>
      <c r="BY218" s="25">
        <f t="shared" ref="BY218:BY222" si="643">IF(OR($AD218&lt;&gt;3,$DV218&gt;0),0,SUMIFS($EG218:$JD218,$EG$17:$JD$17,1,$EG$123:$JD$123,2)*AN218)</f>
        <v>0</v>
      </c>
      <c r="BZ218" s="25">
        <f t="shared" ref="BZ218:BZ222" si="644">IF(OR($AD218&lt;&gt;3,$DV218&gt;0),0,SUMIFS($EG218:$JD218,$EG$17:$JD$17,1,$EG$123:$JD$123,3)*AN218)</f>
        <v>0</v>
      </c>
      <c r="CA218" s="25">
        <f t="shared" ref="CA218:CA222" si="645">IF(OR($AD218&lt;&gt;3,$DV218&gt;0),0,SUMIFS($EG218:$JD218,$EG$17:$JD$17,1,$EG$123:$JD$123,4)*AN218)</f>
        <v>0</v>
      </c>
      <c r="CB218" s="25">
        <f t="shared" ref="CB218:CB222" si="646">IF(OR($AD218&lt;&gt;3,$DV218&gt;0),0,SUMIFS($EG218:$JD218,$EG$17:$JD$17,1,$EG$123:$JD$123,5)*AN218)</f>
        <v>0</v>
      </c>
      <c r="CC218" s="25">
        <f t="shared" ref="CC218:CC222" si="647">IF(OR($AD218&lt;&gt;3,$DV218&gt;0),0,SUMIFS($EG218:$JD218,$EG$17:$JD$17,1,$EG$123:$JD$123,6)*AN218)</f>
        <v>0</v>
      </c>
      <c r="CD218" s="25">
        <f t="shared" ref="CD218:CD222" si="648">IF(OR($AD218&lt;&gt;3,$DV218&gt;0),0,SUMIFS($EG218:$JD218,$EG$17:$JD$17,1,$EG$123:$JD$123,7)*AN218)</f>
        <v>0</v>
      </c>
      <c r="CE218" s="25">
        <f t="shared" ref="CE218:CE222" si="649">IF(OR($AD218&lt;&gt;3,$DV218&gt;0),0,SUMIFS($EG218:$JD218,$EG$17:$JD$17,1,$EG$123:$JD$123,8)*AN218)</f>
        <v>0</v>
      </c>
      <c r="CF218" s="25">
        <f t="shared" ref="CF218:CF222" si="650">IF(OR($AD218&lt;&gt;3,$DV218&gt;0),0,SUMIFS($EG218:$JD218,$EG$17:$JD$17,1,$EG$123:$JD$123,9)*AN218)</f>
        <v>0</v>
      </c>
      <c r="CG218" s="25">
        <f t="shared" ref="CG218:CG222" si="651">IF(OR($AD218&lt;&gt;3,$DV218&gt;0),0,SUMIFS($EG218:$JD218,$EG$17:$JD$17,1,$EG$123:$JD$123,10)*AN218)</f>
        <v>0</v>
      </c>
      <c r="CH218" s="25">
        <f>IFERROR(INDEX('2 Staff List'!LO$64:LO$114,$AH218),0)</f>
        <v>0</v>
      </c>
      <c r="CI218" s="25">
        <f>IFERROR(INDEX('2 Staff List'!LP$64:LP$114,$AH218),0)</f>
        <v>0</v>
      </c>
      <c r="CJ218" s="25">
        <f>IFERROR(INDEX('2 Staff List'!LQ$64:LQ$114,$AH218),0)</f>
        <v>0</v>
      </c>
      <c r="CK218" s="25">
        <f>IFERROR(INDEX('2 Staff List'!LR$64:LR$114,$AH218),0)</f>
        <v>0</v>
      </c>
      <c r="CL218" s="25">
        <f>IFERROR(INDEX('2 Staff List'!LS$64:LS$114,$AH218),0)</f>
        <v>0</v>
      </c>
      <c r="CM218" s="25">
        <f>IFERROR(INDEX('2 Staff List'!LT$64:LT$114,$AH218),0)</f>
        <v>0</v>
      </c>
      <c r="CN218" s="25">
        <f>IFERROR(INDEX('2 Staff List'!LU$64:LU$114,$AH218),0)</f>
        <v>0</v>
      </c>
      <c r="CO218" s="25">
        <f>IFERROR(INDEX('2 Staff List'!LV$64:LV$114,$AH218),0)</f>
        <v>0</v>
      </c>
      <c r="CP218" s="25">
        <f>IFERROR(INDEX('2 Staff List'!LW$64:LW$114,$AH218),0)</f>
        <v>0</v>
      </c>
      <c r="CQ218" s="25">
        <f>IFERROR(INDEX('2 Staff List'!LX$64:LX$114,$AH218),0)</f>
        <v>0</v>
      </c>
      <c r="CR218" s="25">
        <f t="shared" ref="CR218:CR222" si="652">IF(AD218=3,SUMPRODUCT($EG218:$JD218,$EG$17:$JD$17),0)</f>
        <v>0</v>
      </c>
      <c r="CS218" s="25">
        <f t="shared" ref="CS218:CS222" si="653">IFERROR(1/CR218,1)</f>
        <v>1</v>
      </c>
      <c r="CT218" s="25">
        <f t="shared" ref="CT218:CT222" si="654">IF(NOT(ISBLANK(DU218)),DU218,1)</f>
        <v>1</v>
      </c>
      <c r="CU218" s="25">
        <f t="shared" ref="CU218:CU222" si="655">IF(DT218=$CU$127,0,1)</f>
        <v>1</v>
      </c>
      <c r="CV218" s="25">
        <f t="shared" ref="CV218:CV222" si="656">IF(AND(AD218=3,OR(F218="",F218="Approved")),1,0)</f>
        <v>1</v>
      </c>
      <c r="CW218" s="25">
        <f t="shared" ref="CW218:CW222" si="657">IF(AD218&lt;&gt;3,0,IF(OR(F218="",F218="Approved",F218="Pend w FC"),1,0))</f>
        <v>1</v>
      </c>
      <c r="CX218" s="25">
        <f t="shared" ref="CX218:CX222" si="658">IF(AND(Z218=0,OR(G218="RO",DG218="V",DG218="W")),1,0)</f>
        <v>0</v>
      </c>
      <c r="CY218" s="25">
        <f t="shared" si="338"/>
        <v>0</v>
      </c>
      <c r="CZ218" s="25">
        <f t="shared" ref="CZ218:CZ222" si="659">IF(AD218&lt;&gt;3,0,IF(OR(F218="Pending",F218="Pend w FC"),1,0))</f>
        <v>0</v>
      </c>
      <c r="DA218" s="25">
        <f t="shared" si="340"/>
        <v>1</v>
      </c>
      <c r="DB218" s="25">
        <f t="shared" ref="DB218:DB222" si="660">IF($AD218&lt;&gt;3,0,IF(F218="",1,0))</f>
        <v>1</v>
      </c>
      <c r="DC218" s="25">
        <f t="shared" si="341"/>
        <v>0</v>
      </c>
      <c r="DD218" s="25">
        <f>IF(OR($AD218&lt;&gt;3,F218="Exclude"),0,IF(ISERROR(MATCH($E218,'4 Sign-off'!$S$123:$X$123,0)),0,1))</f>
        <v>0</v>
      </c>
      <c r="DE218" s="25">
        <f t="shared" ref="DE218:DE222" si="661">IF($C$6&lt;&gt;"B",1,CHOOSE($DE$119,DD218,CZ218+DC218,CZ218,DC218))</f>
        <v>0</v>
      </c>
      <c r="DF218" s="25">
        <f t="shared" ref="DF218:DF222" si="662">CHOOSE($DF$119,CV218,CW218,DE218)</f>
        <v>0</v>
      </c>
      <c r="DG218" s="25" t="str">
        <f t="shared" ref="DG218:DG222" si="663">LEFT(J218,1)</f>
        <v/>
      </c>
      <c r="DH218" s="25">
        <f t="shared" si="344"/>
        <v>0</v>
      </c>
      <c r="DI218" s="25">
        <f t="shared" si="345"/>
        <v>0</v>
      </c>
      <c r="DJ218" s="25">
        <f>IF(ISBLANK(J218),0,ISERROR(MATCH(J218,'5  Control Accounts'!$FA$29:$FA$96,0))*1)</f>
        <v>0</v>
      </c>
      <c r="DK218" s="25">
        <f t="shared" ref="DK218:DK222" si="664">AND($C$5,(T218+U218+AB218)&lt;&gt;0,ISBLANK(J218),F218&lt;&gt;"Exclude")*1</f>
        <v>0</v>
      </c>
      <c r="DL218" s="25">
        <f t="shared" ref="DL218:DL222" si="665">IF(OR((T218+U218)&gt;0,(AA218+AB218)&gt;0),J218,-1)</f>
        <v>-1</v>
      </c>
      <c r="DM218" s="25" t="e">
        <f t="array" ref="DM218">MATCH(1,($EG218:$JD218&gt;0)*$EG$17:$JD$17,0)</f>
        <v>#N/A</v>
      </c>
      <c r="DN218" s="25" t="e">
        <f t="shared" ref="DN218:DN222" si="666">IF($C$6&lt;&gt;"F",DO218,IF(DO218&lt;$EB$17,NA(),DO218))</f>
        <v>#N/A</v>
      </c>
      <c r="DO218" s="25" t="e">
        <f t="array" ref="DO218">MATCH(2,1/(EG218:JD218&gt;0))</f>
        <v>#N/A</v>
      </c>
      <c r="DP218" s="2993">
        <f t="shared" ref="DP218:DP222" si="667">CHOOSE($AD218,SUMIFS($DP$129:$DP$304,$AE$129:$AE$304,$AE218,$DF$129:$DF$304,1),SUMIFS($DP$129:$DP$304,$AF$129:$AF$304,$AF218,$DF$129:$DF$304,1),X218+AA218)</f>
        <v>0</v>
      </c>
      <c r="DQ218" s="3037">
        <f t="shared" ref="DQ218:DQ222" si="668">CHOOSE($AD218,SUMIFS($DQ$129:$DQ$304,$AE$129:$AE$304,$AE218,$DF$129:$DF$304,1),SUMIFS($DQ$129:$DQ$304,$AF$129:$AF$304,$AF218,$DF$129:$DF$304,1),DP218-S218)</f>
        <v>0</v>
      </c>
      <c r="DR218" s="111"/>
      <c r="DS218" s="1268">
        <f t="shared" ref="DS218:DS222" si="669">N218</f>
        <v>0</v>
      </c>
      <c r="DT218" s="1825"/>
      <c r="DU218" s="1826"/>
      <c r="DV218" s="1827"/>
      <c r="DW218" s="1828"/>
      <c r="DX218" s="659"/>
      <c r="DY218" s="1265"/>
      <c r="DZ218" s="1785">
        <f t="shared" ref="DZ218:DZ222" si="670">AL218</f>
        <v>0</v>
      </c>
      <c r="EA218" s="1786">
        <f t="shared" ref="EA218:EA222" si="671">IF($AD218=3,T218+U218,0)</f>
        <v>0</v>
      </c>
      <c r="EB218" s="1781">
        <f t="shared" ref="EB218:EB222" si="672">IF(ISERROR(DM218),0,CHOOSE($DY$3,(DM218*7)+$EG$126-11,EOMONTH($EG$126,DM218-2)+1))</f>
        <v>0</v>
      </c>
      <c r="EC218" s="1782">
        <f t="shared" ref="EC218:EC222" si="673">IF(ISERROR(DN218),0,CHOOSE($DY$3,(DN218*7)+$EG$126-7,EOMONTH($EG$126,DN218-1)))</f>
        <v>0</v>
      </c>
      <c r="ED218" s="1262"/>
      <c r="EE218" s="2280"/>
      <c r="EF218" s="1802"/>
      <c r="EG218" s="167"/>
      <c r="EH218" s="168"/>
      <c r="EI218" s="168"/>
      <c r="EJ218" s="168"/>
      <c r="EK218" s="168"/>
      <c r="EL218" s="168"/>
      <c r="EM218" s="168"/>
      <c r="EN218" s="168"/>
      <c r="EO218" s="168"/>
      <c r="EP218" s="168"/>
      <c r="EQ218" s="168"/>
      <c r="ER218" s="168"/>
      <c r="ES218" s="168"/>
      <c r="ET218" s="168"/>
      <c r="EU218" s="168"/>
      <c r="EV218" s="168"/>
      <c r="EW218" s="168"/>
      <c r="EX218" s="168"/>
      <c r="EY218" s="168"/>
      <c r="EZ218" s="168"/>
      <c r="FA218" s="168"/>
      <c r="FB218" s="168"/>
      <c r="FC218" s="168"/>
      <c r="FD218" s="168"/>
      <c r="FE218" s="168"/>
      <c r="FF218" s="168"/>
      <c r="FG218" s="168"/>
      <c r="FH218" s="168"/>
      <c r="FI218" s="168"/>
      <c r="FJ218" s="168"/>
      <c r="FK218" s="168"/>
      <c r="FL218" s="168"/>
      <c r="FM218" s="168"/>
      <c r="FN218" s="168"/>
      <c r="FO218" s="168"/>
      <c r="FP218" s="168"/>
      <c r="FQ218" s="168"/>
      <c r="FR218" s="168"/>
      <c r="FS218" s="168"/>
      <c r="FT218" s="168"/>
      <c r="FU218" s="168"/>
      <c r="FV218" s="168"/>
      <c r="FW218" s="168"/>
      <c r="FX218" s="168"/>
      <c r="FY218" s="168"/>
      <c r="FZ218" s="168"/>
      <c r="GA218" s="168"/>
      <c r="GB218" s="168"/>
      <c r="GC218" s="168"/>
      <c r="GD218" s="168"/>
      <c r="GE218" s="168"/>
      <c r="GF218" s="168"/>
      <c r="GG218" s="168"/>
      <c r="GH218" s="168"/>
      <c r="GI218" s="168"/>
      <c r="GJ218" s="168"/>
      <c r="GK218" s="168"/>
      <c r="GL218" s="168"/>
      <c r="GM218" s="168"/>
      <c r="GN218" s="168"/>
      <c r="GO218" s="168"/>
      <c r="GP218" s="168"/>
      <c r="GQ218" s="168"/>
      <c r="GR218" s="168"/>
      <c r="GS218" s="168"/>
      <c r="GT218" s="168"/>
      <c r="GU218" s="168"/>
      <c r="GV218" s="168"/>
      <c r="GW218" s="168"/>
      <c r="GX218" s="168"/>
      <c r="GY218" s="168"/>
      <c r="GZ218" s="168"/>
      <c r="HA218" s="168"/>
      <c r="HB218" s="168"/>
      <c r="HC218" s="168"/>
      <c r="HD218" s="168"/>
      <c r="HE218" s="168"/>
      <c r="HF218" s="168"/>
      <c r="HG218" s="168"/>
      <c r="HH218" s="168"/>
      <c r="HI218" s="168"/>
      <c r="HJ218" s="168"/>
      <c r="HK218" s="168"/>
      <c r="HL218" s="168"/>
      <c r="HM218" s="168"/>
      <c r="HN218" s="168"/>
      <c r="HO218" s="168"/>
      <c r="HP218" s="168"/>
      <c r="HQ218" s="168"/>
      <c r="HR218" s="168"/>
      <c r="HS218" s="168"/>
      <c r="HT218" s="168"/>
      <c r="HU218" s="168"/>
      <c r="HV218" s="168"/>
      <c r="HW218" s="168"/>
      <c r="HX218" s="168"/>
      <c r="HY218" s="168"/>
      <c r="HZ218" s="168"/>
      <c r="IA218" s="168"/>
      <c r="IB218" s="168"/>
      <c r="IC218" s="168"/>
      <c r="ID218" s="168"/>
      <c r="IE218" s="168"/>
      <c r="IF218" s="168"/>
      <c r="IG218" s="168"/>
      <c r="IH218" s="168"/>
      <c r="II218" s="168"/>
      <c r="IJ218" s="168"/>
      <c r="IK218" s="168"/>
      <c r="IL218" s="168"/>
      <c r="IM218" s="168"/>
      <c r="IN218" s="168"/>
      <c r="IO218" s="168"/>
      <c r="IP218" s="168"/>
      <c r="IQ218" s="168"/>
      <c r="IR218" s="168"/>
      <c r="IS218" s="168"/>
      <c r="IT218" s="168"/>
      <c r="IU218" s="168"/>
      <c r="IV218" s="168"/>
      <c r="IW218" s="168"/>
      <c r="IX218" s="168"/>
      <c r="IY218" s="168"/>
      <c r="IZ218" s="168"/>
      <c r="JA218" s="168"/>
      <c r="JB218" s="168"/>
      <c r="JC218" s="606"/>
      <c r="JD218" s="609"/>
      <c r="JE218" s="1"/>
      <c r="JF218" s="1"/>
    </row>
    <row r="219" spans="1:266" s="2" customFormat="1" ht="15" customHeight="1" x14ac:dyDescent="0.25">
      <c r="A219" s="283"/>
      <c r="B219" s="303"/>
      <c r="C219" s="301"/>
      <c r="D219" s="3332"/>
      <c r="E219" s="2298"/>
      <c r="F219" s="1812"/>
      <c r="G219" s="3342"/>
      <c r="H219" s="66"/>
      <c r="I219" s="1746"/>
      <c r="J219" s="86"/>
      <c r="K219" s="105"/>
      <c r="L219" s="91"/>
      <c r="M219" s="92"/>
      <c r="N219" s="93"/>
      <c r="O219" s="94"/>
      <c r="P219" s="96"/>
      <c r="Q219" s="95"/>
      <c r="R219" s="993">
        <f t="shared" si="614"/>
        <v>0</v>
      </c>
      <c r="S219" s="23">
        <f t="shared" si="615"/>
        <v>0</v>
      </c>
      <c r="T219" s="24">
        <f t="shared" si="616"/>
        <v>0</v>
      </c>
      <c r="U219" s="24">
        <f t="shared" si="617"/>
        <v>0</v>
      </c>
      <c r="V219" s="24">
        <f t="shared" si="618"/>
        <v>0</v>
      </c>
      <c r="W219" s="24">
        <f t="shared" si="619"/>
        <v>0</v>
      </c>
      <c r="X219" s="72">
        <f t="shared" si="620"/>
        <v>0</v>
      </c>
      <c r="Y219" s="72">
        <f t="shared" si="621"/>
        <v>0</v>
      </c>
      <c r="Z219" s="24">
        <f t="shared" si="622"/>
        <v>0</v>
      </c>
      <c r="AA219" s="72">
        <f t="shared" si="623"/>
        <v>0</v>
      </c>
      <c r="AB219" s="24">
        <f t="shared" si="306"/>
        <v>0</v>
      </c>
      <c r="AC219" s="24" t="s">
        <v>5</v>
      </c>
      <c r="AD219" s="25">
        <f t="shared" si="624"/>
        <v>3</v>
      </c>
      <c r="AE219" s="25">
        <f t="shared" si="625"/>
        <v>0</v>
      </c>
      <c r="AF219" s="25">
        <f t="shared" si="626"/>
        <v>0</v>
      </c>
      <c r="AG219" s="25">
        <f t="shared" si="627"/>
        <v>1</v>
      </c>
      <c r="AH219" s="25" t="str">
        <f>IFERROR(MATCH(DY219,'2 Staff List'!$IA$64:$IA$114,0),"x")</f>
        <v>x</v>
      </c>
      <c r="AI219" s="1181">
        <f>IFERROR(INDEX('2 Staff List'!$EX$64:$EX$114,$AH219),0)</f>
        <v>0</v>
      </c>
      <c r="AJ219" s="25">
        <f>IFERROR(INDEX('2 Staff List'!$IW$64:$IW$114,$AH219),0)</f>
        <v>0</v>
      </c>
      <c r="AK219" s="25">
        <f>IFERROR(INDEX('2 Staff List'!$IB$64:$IB$114,$AH219),0)</f>
        <v>0</v>
      </c>
      <c r="AL219" s="25">
        <f>IF(OR(NOT(ISBLANK(DV219)),CX219=1),"&lt;Non-Labor&gt;",IFERROR(IF(AH219=0,0,INDEX('2 Staff List'!$HZ$64:$HZ$114,$AH219)),0))</f>
        <v>0</v>
      </c>
      <c r="AM219" s="25">
        <f>IFERROR(INDEX('2 Staff List'!$HW$64:$HW$114,$AH219),0)</f>
        <v>0</v>
      </c>
      <c r="AN219" s="25">
        <f t="shared" si="628"/>
        <v>1</v>
      </c>
      <c r="AO219" s="25">
        <f>IF($AO$127=0,0,IFERROR(INDEX('2 Staff List'!$JH$64:$JH$114,$AH219),0))</f>
        <v>0</v>
      </c>
      <c r="AP219" s="25">
        <f>IFERROR(INDEX('2 Staff List'!$HU$64:$HU$114,$AH219),0)</f>
        <v>0</v>
      </c>
      <c r="AQ219" s="25">
        <f t="shared" si="629"/>
        <v>0</v>
      </c>
      <c r="AR219" s="25">
        <f t="shared" si="630"/>
        <v>0</v>
      </c>
      <c r="AS219" s="25">
        <f t="shared" si="631"/>
        <v>0</v>
      </c>
      <c r="AT219" s="25">
        <f t="shared" si="632"/>
        <v>0</v>
      </c>
      <c r="AU219" s="25">
        <f t="shared" si="633"/>
        <v>0</v>
      </c>
      <c r="AV219" s="25">
        <f t="shared" si="634"/>
        <v>0</v>
      </c>
      <c r="AW219" s="25">
        <f t="shared" si="635"/>
        <v>0</v>
      </c>
      <c r="AX219" s="25">
        <f t="shared" si="636"/>
        <v>0</v>
      </c>
      <c r="AY219" s="25">
        <f t="shared" si="637"/>
        <v>0</v>
      </c>
      <c r="AZ219" s="25">
        <f t="shared" si="638"/>
        <v>0</v>
      </c>
      <c r="BA219" s="25">
        <f t="shared" si="639"/>
        <v>0</v>
      </c>
      <c r="BB219" s="25">
        <f t="shared" si="640"/>
        <v>0</v>
      </c>
      <c r="BC219" s="25">
        <f>IFERROR(INDEX('2 Staff List'!KS$64:KS$114,$AH219),0)</f>
        <v>0</v>
      </c>
      <c r="BD219" s="25">
        <f>IFERROR(INDEX('2 Staff List'!KT$64:KT$114,$AH219),0)</f>
        <v>0</v>
      </c>
      <c r="BE219" s="25">
        <f>IFERROR(INDEX('2 Staff List'!KU$64:KU$114,$AH219),0)</f>
        <v>0</v>
      </c>
      <c r="BF219" s="25">
        <f>IFERROR(INDEX('2 Staff List'!KV$64:KV$114,$AH219),0)</f>
        <v>0</v>
      </c>
      <c r="BG219" s="25">
        <f>IFERROR(INDEX('2 Staff List'!KW$64:KW$114,$AH219),0)</f>
        <v>0</v>
      </c>
      <c r="BH219" s="25">
        <f>IFERROR(INDEX('2 Staff List'!KX$64:KX$114,$AH219),0)</f>
        <v>0</v>
      </c>
      <c r="BI219" s="25">
        <f>IFERROR(INDEX('2 Staff List'!KY$64:KY$114,$AH219),0)</f>
        <v>0</v>
      </c>
      <c r="BJ219" s="25">
        <f>IFERROR(INDEX('2 Staff List'!KZ$64:KZ$114,$AH219),0)</f>
        <v>0</v>
      </c>
      <c r="BK219" s="25">
        <f>IFERROR(INDEX('2 Staff List'!LA$64:LA$114,$AH219),0)</f>
        <v>0</v>
      </c>
      <c r="BL219" s="25">
        <f>IFERROR(INDEX('2 Staff List'!LB$64:LB$114,$AH219),0)</f>
        <v>0</v>
      </c>
      <c r="BM219" s="25">
        <f>IFERROR(INDEX('2 Staff List'!FT$64:FT$114,$AH219),0)</f>
        <v>0</v>
      </c>
      <c r="BN219" s="25">
        <f>IFERROR(INDEX('2 Staff List'!FU$64:FU$114,$AH219),0)</f>
        <v>0</v>
      </c>
      <c r="BO219" s="25">
        <f>IFERROR(INDEX('2 Staff List'!FV$64:FV$114,$AH219),0)</f>
        <v>0</v>
      </c>
      <c r="BP219" s="25">
        <f>IFERROR(INDEX('2 Staff List'!FW$64:FW$114,$AH219),0)</f>
        <v>0</v>
      </c>
      <c r="BQ219" s="25">
        <f>IFERROR(INDEX('2 Staff List'!FX$64:FX$114,$AH219),0)</f>
        <v>0</v>
      </c>
      <c r="BR219" s="25">
        <f>IFERROR(INDEX('2 Staff List'!FY$64:FY$114,$AH219),0)</f>
        <v>0</v>
      </c>
      <c r="BS219" s="25">
        <f>IFERROR(INDEX('2 Staff List'!FZ$64:FZ$114,$AH219),0)</f>
        <v>0</v>
      </c>
      <c r="BT219" s="25">
        <f>IFERROR(INDEX('2 Staff List'!GA$64:GA$114,$AH219),0)</f>
        <v>0</v>
      </c>
      <c r="BU219" s="25">
        <f>IFERROR(INDEX('2 Staff List'!GB$64:GB$114,$AH219),0)</f>
        <v>0</v>
      </c>
      <c r="BV219" s="25">
        <f>IFERROR(INDEX('2 Staff List'!GC$64:GC$114,$AH219),0)</f>
        <v>0</v>
      </c>
      <c r="BW219" s="25">
        <f t="shared" si="641"/>
        <v>0</v>
      </c>
      <c r="BX219" s="25">
        <f t="shared" si="642"/>
        <v>0</v>
      </c>
      <c r="BY219" s="25">
        <f t="shared" si="643"/>
        <v>0</v>
      </c>
      <c r="BZ219" s="25">
        <f t="shared" si="644"/>
        <v>0</v>
      </c>
      <c r="CA219" s="25">
        <f t="shared" si="645"/>
        <v>0</v>
      </c>
      <c r="CB219" s="25">
        <f t="shared" si="646"/>
        <v>0</v>
      </c>
      <c r="CC219" s="25">
        <f t="shared" si="647"/>
        <v>0</v>
      </c>
      <c r="CD219" s="25">
        <f t="shared" si="648"/>
        <v>0</v>
      </c>
      <c r="CE219" s="25">
        <f t="shared" si="649"/>
        <v>0</v>
      </c>
      <c r="CF219" s="25">
        <f t="shared" si="650"/>
        <v>0</v>
      </c>
      <c r="CG219" s="25">
        <f t="shared" si="651"/>
        <v>0</v>
      </c>
      <c r="CH219" s="25">
        <f>IFERROR(INDEX('2 Staff List'!LO$64:LO$114,$AH219),0)</f>
        <v>0</v>
      </c>
      <c r="CI219" s="25">
        <f>IFERROR(INDEX('2 Staff List'!LP$64:LP$114,$AH219),0)</f>
        <v>0</v>
      </c>
      <c r="CJ219" s="25">
        <f>IFERROR(INDEX('2 Staff List'!LQ$64:LQ$114,$AH219),0)</f>
        <v>0</v>
      </c>
      <c r="CK219" s="25">
        <f>IFERROR(INDEX('2 Staff List'!LR$64:LR$114,$AH219),0)</f>
        <v>0</v>
      </c>
      <c r="CL219" s="25">
        <f>IFERROR(INDEX('2 Staff List'!LS$64:LS$114,$AH219),0)</f>
        <v>0</v>
      </c>
      <c r="CM219" s="25">
        <f>IFERROR(INDEX('2 Staff List'!LT$64:LT$114,$AH219),0)</f>
        <v>0</v>
      </c>
      <c r="CN219" s="25">
        <f>IFERROR(INDEX('2 Staff List'!LU$64:LU$114,$AH219),0)</f>
        <v>0</v>
      </c>
      <c r="CO219" s="25">
        <f>IFERROR(INDEX('2 Staff List'!LV$64:LV$114,$AH219),0)</f>
        <v>0</v>
      </c>
      <c r="CP219" s="25">
        <f>IFERROR(INDEX('2 Staff List'!LW$64:LW$114,$AH219),0)</f>
        <v>0</v>
      </c>
      <c r="CQ219" s="25">
        <f>IFERROR(INDEX('2 Staff List'!LX$64:LX$114,$AH219),0)</f>
        <v>0</v>
      </c>
      <c r="CR219" s="25">
        <f t="shared" si="652"/>
        <v>0</v>
      </c>
      <c r="CS219" s="25">
        <f t="shared" si="653"/>
        <v>1</v>
      </c>
      <c r="CT219" s="25">
        <f t="shared" si="654"/>
        <v>1</v>
      </c>
      <c r="CU219" s="25">
        <f t="shared" si="655"/>
        <v>1</v>
      </c>
      <c r="CV219" s="25">
        <f t="shared" si="656"/>
        <v>1</v>
      </c>
      <c r="CW219" s="25">
        <f t="shared" si="657"/>
        <v>1</v>
      </c>
      <c r="CX219" s="25">
        <f t="shared" si="658"/>
        <v>0</v>
      </c>
      <c r="CY219" s="25">
        <f t="shared" si="338"/>
        <v>0</v>
      </c>
      <c r="CZ219" s="25">
        <f t="shared" si="659"/>
        <v>0</v>
      </c>
      <c r="DA219" s="25">
        <f t="shared" si="340"/>
        <v>1</v>
      </c>
      <c r="DB219" s="25">
        <f t="shared" si="660"/>
        <v>1</v>
      </c>
      <c r="DC219" s="25">
        <f t="shared" si="341"/>
        <v>0</v>
      </c>
      <c r="DD219" s="25">
        <f>IF(OR($AD219&lt;&gt;3,F219="Exclude"),0,IF(ISERROR(MATCH($E219,'4 Sign-off'!$S$123:$X$123,0)),0,1))</f>
        <v>0</v>
      </c>
      <c r="DE219" s="25">
        <f t="shared" si="661"/>
        <v>0</v>
      </c>
      <c r="DF219" s="25">
        <f t="shared" si="662"/>
        <v>0</v>
      </c>
      <c r="DG219" s="25" t="str">
        <f t="shared" si="663"/>
        <v/>
      </c>
      <c r="DH219" s="25">
        <f t="shared" si="344"/>
        <v>0</v>
      </c>
      <c r="DI219" s="25">
        <f t="shared" si="345"/>
        <v>0</v>
      </c>
      <c r="DJ219" s="25">
        <f>IF(ISBLANK(J219),0,ISERROR(MATCH(J219,'5  Control Accounts'!$FA$29:$FA$96,0))*1)</f>
        <v>0</v>
      </c>
      <c r="DK219" s="25">
        <f t="shared" si="664"/>
        <v>0</v>
      </c>
      <c r="DL219" s="25">
        <f t="shared" si="665"/>
        <v>-1</v>
      </c>
      <c r="DM219" s="25" t="e">
        <f t="array" ref="DM219">MATCH(1,($EG219:$JD219&gt;0)*$EG$17:$JD$17,0)</f>
        <v>#N/A</v>
      </c>
      <c r="DN219" s="25" t="e">
        <f t="shared" si="666"/>
        <v>#N/A</v>
      </c>
      <c r="DO219" s="25" t="e">
        <f t="array" ref="DO219">MATCH(2,1/(EG219:JD219&gt;0))</f>
        <v>#N/A</v>
      </c>
      <c r="DP219" s="2993">
        <f t="shared" si="667"/>
        <v>0</v>
      </c>
      <c r="DQ219" s="3037">
        <f t="shared" si="668"/>
        <v>0</v>
      </c>
      <c r="DR219" s="111"/>
      <c r="DS219" s="1268">
        <f t="shared" si="669"/>
        <v>0</v>
      </c>
      <c r="DT219" s="1825"/>
      <c r="DU219" s="1826"/>
      <c r="DV219" s="1827"/>
      <c r="DW219" s="1828"/>
      <c r="DX219" s="659"/>
      <c r="DY219" s="1265"/>
      <c r="DZ219" s="1785">
        <f t="shared" si="670"/>
        <v>0</v>
      </c>
      <c r="EA219" s="1786">
        <f t="shared" si="671"/>
        <v>0</v>
      </c>
      <c r="EB219" s="1781">
        <f t="shared" si="672"/>
        <v>0</v>
      </c>
      <c r="EC219" s="1782">
        <f t="shared" si="673"/>
        <v>0</v>
      </c>
      <c r="ED219" s="1262"/>
      <c r="EE219" s="2280"/>
      <c r="EF219" s="1802"/>
      <c r="EG219" s="167"/>
      <c r="EH219" s="168"/>
      <c r="EI219" s="168"/>
      <c r="EJ219" s="168"/>
      <c r="EK219" s="168"/>
      <c r="EL219" s="168"/>
      <c r="EM219" s="168"/>
      <c r="EN219" s="168"/>
      <c r="EO219" s="168"/>
      <c r="EP219" s="168"/>
      <c r="EQ219" s="168"/>
      <c r="ER219" s="168"/>
      <c r="ES219" s="168"/>
      <c r="ET219" s="168"/>
      <c r="EU219" s="168"/>
      <c r="EV219" s="168"/>
      <c r="EW219" s="168"/>
      <c r="EX219" s="168"/>
      <c r="EY219" s="168"/>
      <c r="EZ219" s="168"/>
      <c r="FA219" s="168"/>
      <c r="FB219" s="168"/>
      <c r="FC219" s="168"/>
      <c r="FD219" s="168"/>
      <c r="FE219" s="168"/>
      <c r="FF219" s="168"/>
      <c r="FG219" s="168"/>
      <c r="FH219" s="168"/>
      <c r="FI219" s="168"/>
      <c r="FJ219" s="168"/>
      <c r="FK219" s="168"/>
      <c r="FL219" s="168"/>
      <c r="FM219" s="168"/>
      <c r="FN219" s="168"/>
      <c r="FO219" s="168"/>
      <c r="FP219" s="168"/>
      <c r="FQ219" s="168"/>
      <c r="FR219" s="168"/>
      <c r="FS219" s="168"/>
      <c r="FT219" s="168"/>
      <c r="FU219" s="168"/>
      <c r="FV219" s="168"/>
      <c r="FW219" s="168"/>
      <c r="FX219" s="168"/>
      <c r="FY219" s="168"/>
      <c r="FZ219" s="168"/>
      <c r="GA219" s="168"/>
      <c r="GB219" s="168"/>
      <c r="GC219" s="168"/>
      <c r="GD219" s="168"/>
      <c r="GE219" s="168"/>
      <c r="GF219" s="168"/>
      <c r="GG219" s="168"/>
      <c r="GH219" s="168"/>
      <c r="GI219" s="168"/>
      <c r="GJ219" s="168"/>
      <c r="GK219" s="168"/>
      <c r="GL219" s="168"/>
      <c r="GM219" s="168"/>
      <c r="GN219" s="168"/>
      <c r="GO219" s="168"/>
      <c r="GP219" s="168"/>
      <c r="GQ219" s="168"/>
      <c r="GR219" s="168"/>
      <c r="GS219" s="168"/>
      <c r="GT219" s="168"/>
      <c r="GU219" s="168"/>
      <c r="GV219" s="168"/>
      <c r="GW219" s="168"/>
      <c r="GX219" s="168"/>
      <c r="GY219" s="168"/>
      <c r="GZ219" s="168"/>
      <c r="HA219" s="168"/>
      <c r="HB219" s="168"/>
      <c r="HC219" s="168"/>
      <c r="HD219" s="168"/>
      <c r="HE219" s="168"/>
      <c r="HF219" s="168"/>
      <c r="HG219" s="168"/>
      <c r="HH219" s="168"/>
      <c r="HI219" s="168"/>
      <c r="HJ219" s="168"/>
      <c r="HK219" s="168"/>
      <c r="HL219" s="168"/>
      <c r="HM219" s="168"/>
      <c r="HN219" s="168"/>
      <c r="HO219" s="168"/>
      <c r="HP219" s="168"/>
      <c r="HQ219" s="168"/>
      <c r="HR219" s="168"/>
      <c r="HS219" s="168"/>
      <c r="HT219" s="168"/>
      <c r="HU219" s="168"/>
      <c r="HV219" s="168"/>
      <c r="HW219" s="168"/>
      <c r="HX219" s="168"/>
      <c r="HY219" s="168"/>
      <c r="HZ219" s="168"/>
      <c r="IA219" s="168"/>
      <c r="IB219" s="168"/>
      <c r="IC219" s="168"/>
      <c r="ID219" s="168"/>
      <c r="IE219" s="168"/>
      <c r="IF219" s="168"/>
      <c r="IG219" s="168"/>
      <c r="IH219" s="168"/>
      <c r="II219" s="168"/>
      <c r="IJ219" s="168"/>
      <c r="IK219" s="168"/>
      <c r="IL219" s="168"/>
      <c r="IM219" s="168"/>
      <c r="IN219" s="168"/>
      <c r="IO219" s="168"/>
      <c r="IP219" s="168"/>
      <c r="IQ219" s="168"/>
      <c r="IR219" s="168"/>
      <c r="IS219" s="168"/>
      <c r="IT219" s="168"/>
      <c r="IU219" s="168"/>
      <c r="IV219" s="168"/>
      <c r="IW219" s="168"/>
      <c r="IX219" s="168"/>
      <c r="IY219" s="168"/>
      <c r="IZ219" s="168"/>
      <c r="JA219" s="168"/>
      <c r="JB219" s="168"/>
      <c r="JC219" s="606"/>
      <c r="JD219" s="609"/>
      <c r="JE219" s="1"/>
      <c r="JF219" s="1"/>
    </row>
    <row r="220" spans="1:266" s="2" customFormat="1" ht="15" customHeight="1" x14ac:dyDescent="0.25">
      <c r="A220" s="283"/>
      <c r="B220" s="303"/>
      <c r="C220" s="301"/>
      <c r="D220" s="3332"/>
      <c r="E220" s="2298"/>
      <c r="F220" s="1812"/>
      <c r="G220" s="3342"/>
      <c r="H220" s="66"/>
      <c r="I220" s="1746"/>
      <c r="J220" s="86"/>
      <c r="K220" s="105"/>
      <c r="L220" s="91"/>
      <c r="M220" s="92"/>
      <c r="N220" s="93"/>
      <c r="O220" s="94"/>
      <c r="P220" s="96"/>
      <c r="Q220" s="95"/>
      <c r="R220" s="993">
        <f t="shared" si="614"/>
        <v>0</v>
      </c>
      <c r="S220" s="23">
        <f t="shared" si="615"/>
        <v>0</v>
      </c>
      <c r="T220" s="24">
        <f t="shared" si="616"/>
        <v>0</v>
      </c>
      <c r="U220" s="24">
        <f t="shared" si="617"/>
        <v>0</v>
      </c>
      <c r="V220" s="24">
        <f t="shared" si="618"/>
        <v>0</v>
      </c>
      <c r="W220" s="24">
        <f t="shared" si="619"/>
        <v>0</v>
      </c>
      <c r="X220" s="72">
        <f t="shared" si="620"/>
        <v>0</v>
      </c>
      <c r="Y220" s="72">
        <f t="shared" si="621"/>
        <v>0</v>
      </c>
      <c r="Z220" s="24">
        <f t="shared" si="622"/>
        <v>0</v>
      </c>
      <c r="AA220" s="72">
        <f t="shared" si="623"/>
        <v>0</v>
      </c>
      <c r="AB220" s="24">
        <f t="shared" si="306"/>
        <v>0</v>
      </c>
      <c r="AC220" s="24" t="s">
        <v>5</v>
      </c>
      <c r="AD220" s="25">
        <f t="shared" si="624"/>
        <v>3</v>
      </c>
      <c r="AE220" s="25">
        <f t="shared" si="625"/>
        <v>0</v>
      </c>
      <c r="AF220" s="25">
        <f t="shared" si="626"/>
        <v>0</v>
      </c>
      <c r="AG220" s="25">
        <f t="shared" si="627"/>
        <v>1</v>
      </c>
      <c r="AH220" s="25" t="str">
        <f>IFERROR(MATCH(DY220,'2 Staff List'!$IA$64:$IA$114,0),"x")</f>
        <v>x</v>
      </c>
      <c r="AI220" s="1181">
        <f>IFERROR(INDEX('2 Staff List'!$EX$64:$EX$114,$AH220),0)</f>
        <v>0</v>
      </c>
      <c r="AJ220" s="25">
        <f>IFERROR(INDEX('2 Staff List'!$IW$64:$IW$114,$AH220),0)</f>
        <v>0</v>
      </c>
      <c r="AK220" s="25">
        <f>IFERROR(INDEX('2 Staff List'!$IB$64:$IB$114,$AH220),0)</f>
        <v>0</v>
      </c>
      <c r="AL220" s="25">
        <f>IF(OR(NOT(ISBLANK(DV220)),CX220=1),"&lt;Non-Labor&gt;",IFERROR(IF(AH220=0,0,INDEX('2 Staff List'!$HZ$64:$HZ$114,$AH220)),0))</f>
        <v>0</v>
      </c>
      <c r="AM220" s="25">
        <f>IFERROR(INDEX('2 Staff List'!$HW$64:$HW$114,$AH220),0)</f>
        <v>0</v>
      </c>
      <c r="AN220" s="25">
        <f t="shared" si="628"/>
        <v>1</v>
      </c>
      <c r="AO220" s="25">
        <f>IF($AO$127=0,0,IFERROR(INDEX('2 Staff List'!$JH$64:$JH$114,$AH220),0))</f>
        <v>0</v>
      </c>
      <c r="AP220" s="25">
        <f>IFERROR(INDEX('2 Staff List'!$HU$64:$HU$114,$AH220),0)</f>
        <v>0</v>
      </c>
      <c r="AQ220" s="25">
        <f t="shared" si="629"/>
        <v>0</v>
      </c>
      <c r="AR220" s="25">
        <f t="shared" si="630"/>
        <v>0</v>
      </c>
      <c r="AS220" s="25">
        <f t="shared" si="631"/>
        <v>0</v>
      </c>
      <c r="AT220" s="25">
        <f t="shared" si="632"/>
        <v>0</v>
      </c>
      <c r="AU220" s="25">
        <f t="shared" si="633"/>
        <v>0</v>
      </c>
      <c r="AV220" s="25">
        <f t="shared" si="634"/>
        <v>0</v>
      </c>
      <c r="AW220" s="25">
        <f t="shared" si="635"/>
        <v>0</v>
      </c>
      <c r="AX220" s="25">
        <f t="shared" si="636"/>
        <v>0</v>
      </c>
      <c r="AY220" s="25">
        <f t="shared" si="637"/>
        <v>0</v>
      </c>
      <c r="AZ220" s="25">
        <f t="shared" si="638"/>
        <v>0</v>
      </c>
      <c r="BA220" s="25">
        <f t="shared" si="639"/>
        <v>0</v>
      </c>
      <c r="BB220" s="25">
        <f t="shared" si="640"/>
        <v>0</v>
      </c>
      <c r="BC220" s="25">
        <f>IFERROR(INDEX('2 Staff List'!KS$64:KS$114,$AH220),0)</f>
        <v>0</v>
      </c>
      <c r="BD220" s="25">
        <f>IFERROR(INDEX('2 Staff List'!KT$64:KT$114,$AH220),0)</f>
        <v>0</v>
      </c>
      <c r="BE220" s="25">
        <f>IFERROR(INDEX('2 Staff List'!KU$64:KU$114,$AH220),0)</f>
        <v>0</v>
      </c>
      <c r="BF220" s="25">
        <f>IFERROR(INDEX('2 Staff List'!KV$64:KV$114,$AH220),0)</f>
        <v>0</v>
      </c>
      <c r="BG220" s="25">
        <f>IFERROR(INDEX('2 Staff List'!KW$64:KW$114,$AH220),0)</f>
        <v>0</v>
      </c>
      <c r="BH220" s="25">
        <f>IFERROR(INDEX('2 Staff List'!KX$64:KX$114,$AH220),0)</f>
        <v>0</v>
      </c>
      <c r="BI220" s="25">
        <f>IFERROR(INDEX('2 Staff List'!KY$64:KY$114,$AH220),0)</f>
        <v>0</v>
      </c>
      <c r="BJ220" s="25">
        <f>IFERROR(INDEX('2 Staff List'!KZ$64:KZ$114,$AH220),0)</f>
        <v>0</v>
      </c>
      <c r="BK220" s="25">
        <f>IFERROR(INDEX('2 Staff List'!LA$64:LA$114,$AH220),0)</f>
        <v>0</v>
      </c>
      <c r="BL220" s="25">
        <f>IFERROR(INDEX('2 Staff List'!LB$64:LB$114,$AH220),0)</f>
        <v>0</v>
      </c>
      <c r="BM220" s="25">
        <f>IFERROR(INDEX('2 Staff List'!FT$64:FT$114,$AH220),0)</f>
        <v>0</v>
      </c>
      <c r="BN220" s="25">
        <f>IFERROR(INDEX('2 Staff List'!FU$64:FU$114,$AH220),0)</f>
        <v>0</v>
      </c>
      <c r="BO220" s="25">
        <f>IFERROR(INDEX('2 Staff List'!FV$64:FV$114,$AH220),0)</f>
        <v>0</v>
      </c>
      <c r="BP220" s="25">
        <f>IFERROR(INDEX('2 Staff List'!FW$64:FW$114,$AH220),0)</f>
        <v>0</v>
      </c>
      <c r="BQ220" s="25">
        <f>IFERROR(INDEX('2 Staff List'!FX$64:FX$114,$AH220),0)</f>
        <v>0</v>
      </c>
      <c r="BR220" s="25">
        <f>IFERROR(INDEX('2 Staff List'!FY$64:FY$114,$AH220),0)</f>
        <v>0</v>
      </c>
      <c r="BS220" s="25">
        <f>IFERROR(INDEX('2 Staff List'!FZ$64:FZ$114,$AH220),0)</f>
        <v>0</v>
      </c>
      <c r="BT220" s="25">
        <f>IFERROR(INDEX('2 Staff List'!GA$64:GA$114,$AH220),0)</f>
        <v>0</v>
      </c>
      <c r="BU220" s="25">
        <f>IFERROR(INDEX('2 Staff List'!GB$64:GB$114,$AH220),0)</f>
        <v>0</v>
      </c>
      <c r="BV220" s="25">
        <f>IFERROR(INDEX('2 Staff List'!GC$64:GC$114,$AH220),0)</f>
        <v>0</v>
      </c>
      <c r="BW220" s="25">
        <f t="shared" si="641"/>
        <v>0</v>
      </c>
      <c r="BX220" s="25">
        <f t="shared" si="642"/>
        <v>0</v>
      </c>
      <c r="BY220" s="25">
        <f t="shared" si="643"/>
        <v>0</v>
      </c>
      <c r="BZ220" s="25">
        <f t="shared" si="644"/>
        <v>0</v>
      </c>
      <c r="CA220" s="25">
        <f t="shared" si="645"/>
        <v>0</v>
      </c>
      <c r="CB220" s="25">
        <f t="shared" si="646"/>
        <v>0</v>
      </c>
      <c r="CC220" s="25">
        <f t="shared" si="647"/>
        <v>0</v>
      </c>
      <c r="CD220" s="25">
        <f t="shared" si="648"/>
        <v>0</v>
      </c>
      <c r="CE220" s="25">
        <f t="shared" si="649"/>
        <v>0</v>
      </c>
      <c r="CF220" s="25">
        <f t="shared" si="650"/>
        <v>0</v>
      </c>
      <c r="CG220" s="25">
        <f t="shared" si="651"/>
        <v>0</v>
      </c>
      <c r="CH220" s="25">
        <f>IFERROR(INDEX('2 Staff List'!LO$64:LO$114,$AH220),0)</f>
        <v>0</v>
      </c>
      <c r="CI220" s="25">
        <f>IFERROR(INDEX('2 Staff List'!LP$64:LP$114,$AH220),0)</f>
        <v>0</v>
      </c>
      <c r="CJ220" s="25">
        <f>IFERROR(INDEX('2 Staff List'!LQ$64:LQ$114,$AH220),0)</f>
        <v>0</v>
      </c>
      <c r="CK220" s="25">
        <f>IFERROR(INDEX('2 Staff List'!LR$64:LR$114,$AH220),0)</f>
        <v>0</v>
      </c>
      <c r="CL220" s="25">
        <f>IFERROR(INDEX('2 Staff List'!LS$64:LS$114,$AH220),0)</f>
        <v>0</v>
      </c>
      <c r="CM220" s="25">
        <f>IFERROR(INDEX('2 Staff List'!LT$64:LT$114,$AH220),0)</f>
        <v>0</v>
      </c>
      <c r="CN220" s="25">
        <f>IFERROR(INDEX('2 Staff List'!LU$64:LU$114,$AH220),0)</f>
        <v>0</v>
      </c>
      <c r="CO220" s="25">
        <f>IFERROR(INDEX('2 Staff List'!LV$64:LV$114,$AH220),0)</f>
        <v>0</v>
      </c>
      <c r="CP220" s="25">
        <f>IFERROR(INDEX('2 Staff List'!LW$64:LW$114,$AH220),0)</f>
        <v>0</v>
      </c>
      <c r="CQ220" s="25">
        <f>IFERROR(INDEX('2 Staff List'!LX$64:LX$114,$AH220),0)</f>
        <v>0</v>
      </c>
      <c r="CR220" s="25">
        <f t="shared" si="652"/>
        <v>0</v>
      </c>
      <c r="CS220" s="25">
        <f t="shared" si="653"/>
        <v>1</v>
      </c>
      <c r="CT220" s="25">
        <f t="shared" si="654"/>
        <v>1</v>
      </c>
      <c r="CU220" s="25">
        <f t="shared" si="655"/>
        <v>1</v>
      </c>
      <c r="CV220" s="25">
        <f t="shared" si="656"/>
        <v>1</v>
      </c>
      <c r="CW220" s="25">
        <f t="shared" si="657"/>
        <v>1</v>
      </c>
      <c r="CX220" s="25">
        <f t="shared" si="658"/>
        <v>0</v>
      </c>
      <c r="CY220" s="25">
        <f t="shared" si="338"/>
        <v>0</v>
      </c>
      <c r="CZ220" s="25">
        <f t="shared" si="659"/>
        <v>0</v>
      </c>
      <c r="DA220" s="25">
        <f t="shared" si="340"/>
        <v>1</v>
      </c>
      <c r="DB220" s="25">
        <f t="shared" si="660"/>
        <v>1</v>
      </c>
      <c r="DC220" s="25">
        <f t="shared" si="341"/>
        <v>0</v>
      </c>
      <c r="DD220" s="25">
        <f>IF(OR($AD220&lt;&gt;3,F220="Exclude"),0,IF(ISERROR(MATCH($E220,'4 Sign-off'!$S$123:$X$123,0)),0,1))</f>
        <v>0</v>
      </c>
      <c r="DE220" s="25">
        <f t="shared" si="661"/>
        <v>0</v>
      </c>
      <c r="DF220" s="25">
        <f t="shared" si="662"/>
        <v>0</v>
      </c>
      <c r="DG220" s="25" t="str">
        <f t="shared" si="663"/>
        <v/>
      </c>
      <c r="DH220" s="25">
        <f t="shared" si="344"/>
        <v>0</v>
      </c>
      <c r="DI220" s="25">
        <f t="shared" si="345"/>
        <v>0</v>
      </c>
      <c r="DJ220" s="25">
        <f>IF(ISBLANK(J220),0,ISERROR(MATCH(J220,'5  Control Accounts'!$FA$29:$FA$96,0))*1)</f>
        <v>0</v>
      </c>
      <c r="DK220" s="25">
        <f t="shared" si="664"/>
        <v>0</v>
      </c>
      <c r="DL220" s="25">
        <f t="shared" si="665"/>
        <v>-1</v>
      </c>
      <c r="DM220" s="25" t="e">
        <f t="array" ref="DM220">MATCH(1,($EG220:$JD220&gt;0)*$EG$17:$JD$17,0)</f>
        <v>#N/A</v>
      </c>
      <c r="DN220" s="25" t="e">
        <f t="shared" si="666"/>
        <v>#N/A</v>
      </c>
      <c r="DO220" s="25" t="e">
        <f t="array" ref="DO220">MATCH(2,1/(EG220:JD220&gt;0))</f>
        <v>#N/A</v>
      </c>
      <c r="DP220" s="2993">
        <f t="shared" si="667"/>
        <v>0</v>
      </c>
      <c r="DQ220" s="3037">
        <f t="shared" si="668"/>
        <v>0</v>
      </c>
      <c r="DR220" s="111"/>
      <c r="DS220" s="1268">
        <f t="shared" si="669"/>
        <v>0</v>
      </c>
      <c r="DT220" s="1825"/>
      <c r="DU220" s="1826"/>
      <c r="DV220" s="1827"/>
      <c r="DW220" s="1828"/>
      <c r="DX220" s="659"/>
      <c r="DY220" s="1265"/>
      <c r="DZ220" s="1785">
        <f t="shared" si="670"/>
        <v>0</v>
      </c>
      <c r="EA220" s="1786">
        <f t="shared" si="671"/>
        <v>0</v>
      </c>
      <c r="EB220" s="1781">
        <f t="shared" si="672"/>
        <v>0</v>
      </c>
      <c r="EC220" s="1782">
        <f t="shared" si="673"/>
        <v>0</v>
      </c>
      <c r="ED220" s="1262"/>
      <c r="EE220" s="2280"/>
      <c r="EF220" s="1802"/>
      <c r="EG220" s="167"/>
      <c r="EH220" s="168"/>
      <c r="EI220" s="168"/>
      <c r="EJ220" s="168"/>
      <c r="EK220" s="168"/>
      <c r="EL220" s="168"/>
      <c r="EM220" s="168"/>
      <c r="EN220" s="168"/>
      <c r="EO220" s="168"/>
      <c r="EP220" s="168"/>
      <c r="EQ220" s="168"/>
      <c r="ER220" s="168"/>
      <c r="ES220" s="168"/>
      <c r="ET220" s="168"/>
      <c r="EU220" s="168"/>
      <c r="EV220" s="168"/>
      <c r="EW220" s="168"/>
      <c r="EX220" s="168"/>
      <c r="EY220" s="168"/>
      <c r="EZ220" s="168"/>
      <c r="FA220" s="168"/>
      <c r="FB220" s="168"/>
      <c r="FC220" s="168"/>
      <c r="FD220" s="168"/>
      <c r="FE220" s="168"/>
      <c r="FF220" s="168"/>
      <c r="FG220" s="168"/>
      <c r="FH220" s="168"/>
      <c r="FI220" s="168"/>
      <c r="FJ220" s="168"/>
      <c r="FK220" s="168"/>
      <c r="FL220" s="168"/>
      <c r="FM220" s="168"/>
      <c r="FN220" s="168"/>
      <c r="FO220" s="168"/>
      <c r="FP220" s="168"/>
      <c r="FQ220" s="168"/>
      <c r="FR220" s="168"/>
      <c r="FS220" s="168"/>
      <c r="FT220" s="168"/>
      <c r="FU220" s="168"/>
      <c r="FV220" s="168"/>
      <c r="FW220" s="168"/>
      <c r="FX220" s="168"/>
      <c r="FY220" s="168"/>
      <c r="FZ220" s="168"/>
      <c r="GA220" s="168"/>
      <c r="GB220" s="168"/>
      <c r="GC220" s="168"/>
      <c r="GD220" s="168"/>
      <c r="GE220" s="168"/>
      <c r="GF220" s="168"/>
      <c r="GG220" s="168"/>
      <c r="GH220" s="168"/>
      <c r="GI220" s="168"/>
      <c r="GJ220" s="168"/>
      <c r="GK220" s="168"/>
      <c r="GL220" s="168"/>
      <c r="GM220" s="168"/>
      <c r="GN220" s="168"/>
      <c r="GO220" s="168"/>
      <c r="GP220" s="168"/>
      <c r="GQ220" s="168"/>
      <c r="GR220" s="168"/>
      <c r="GS220" s="168"/>
      <c r="GT220" s="168"/>
      <c r="GU220" s="168"/>
      <c r="GV220" s="168"/>
      <c r="GW220" s="168"/>
      <c r="GX220" s="168"/>
      <c r="GY220" s="168"/>
      <c r="GZ220" s="168"/>
      <c r="HA220" s="168"/>
      <c r="HB220" s="168"/>
      <c r="HC220" s="168"/>
      <c r="HD220" s="168"/>
      <c r="HE220" s="168"/>
      <c r="HF220" s="168"/>
      <c r="HG220" s="168"/>
      <c r="HH220" s="168"/>
      <c r="HI220" s="168"/>
      <c r="HJ220" s="168"/>
      <c r="HK220" s="168"/>
      <c r="HL220" s="168"/>
      <c r="HM220" s="168"/>
      <c r="HN220" s="168"/>
      <c r="HO220" s="168"/>
      <c r="HP220" s="168"/>
      <c r="HQ220" s="168"/>
      <c r="HR220" s="168"/>
      <c r="HS220" s="168"/>
      <c r="HT220" s="168"/>
      <c r="HU220" s="168"/>
      <c r="HV220" s="168"/>
      <c r="HW220" s="168"/>
      <c r="HX220" s="168"/>
      <c r="HY220" s="168"/>
      <c r="HZ220" s="168"/>
      <c r="IA220" s="168"/>
      <c r="IB220" s="168"/>
      <c r="IC220" s="168"/>
      <c r="ID220" s="168"/>
      <c r="IE220" s="168"/>
      <c r="IF220" s="168"/>
      <c r="IG220" s="168"/>
      <c r="IH220" s="168"/>
      <c r="II220" s="168"/>
      <c r="IJ220" s="168"/>
      <c r="IK220" s="168"/>
      <c r="IL220" s="168"/>
      <c r="IM220" s="168"/>
      <c r="IN220" s="168"/>
      <c r="IO220" s="168"/>
      <c r="IP220" s="168"/>
      <c r="IQ220" s="168"/>
      <c r="IR220" s="168"/>
      <c r="IS220" s="168"/>
      <c r="IT220" s="168"/>
      <c r="IU220" s="168"/>
      <c r="IV220" s="168"/>
      <c r="IW220" s="168"/>
      <c r="IX220" s="168"/>
      <c r="IY220" s="168"/>
      <c r="IZ220" s="168"/>
      <c r="JA220" s="168"/>
      <c r="JB220" s="168"/>
      <c r="JC220" s="606"/>
      <c r="JD220" s="609"/>
      <c r="JE220" s="1"/>
      <c r="JF220" s="1"/>
    </row>
    <row r="221" spans="1:266" s="2" customFormat="1" ht="15" customHeight="1" x14ac:dyDescent="0.25">
      <c r="A221" s="283"/>
      <c r="B221" s="303"/>
      <c r="C221" s="301"/>
      <c r="D221" s="3332"/>
      <c r="E221" s="2298"/>
      <c r="F221" s="1812"/>
      <c r="G221" s="3342"/>
      <c r="H221" s="66"/>
      <c r="I221" s="1746"/>
      <c r="J221" s="86"/>
      <c r="K221" s="105"/>
      <c r="L221" s="91"/>
      <c r="M221" s="92"/>
      <c r="N221" s="93"/>
      <c r="O221" s="94"/>
      <c r="P221" s="96"/>
      <c r="Q221" s="95"/>
      <c r="R221" s="993">
        <f t="shared" ref="R221" si="674">CHOOSE(AD221,SUMIFS($T$129:$T$304,$AE$129:$AE$304,AE221,$AD$129:$AD$304,3,$DF$129:$DF$304,1,$AG$129:$AG$304,1),SUMIFS($T$129:$T$304,$AF$129:$AF$304,AF221,$AD$129:$AD$304,3,$DF$129:$DF$304,1,$AG$129:$AG$304,1),T221+U221)</f>
        <v>0</v>
      </c>
      <c r="S221" s="23">
        <f t="shared" ref="S221" si="675">CHOOSE($AD221,SUMIFS($S$129:$S$304,$AE$129:$AE$304,AE221,$DF$129:$DF$304,1),SUMIFS($S$129:$S$304,$AF$129:$AF$304,AF221,$DF$129:$DF$304,1),V221+Y221+AB221)</f>
        <v>0</v>
      </c>
      <c r="T221" s="24">
        <f t="shared" ref="T221" si="676">IF($AD221=3,BW221*AG221,0)</f>
        <v>0</v>
      </c>
      <c r="U221" s="24">
        <f t="shared" ref="U221" si="677">IF($AD221=3,AR221*(1-AG221),0)</f>
        <v>0</v>
      </c>
      <c r="V221" s="24">
        <f t="shared" ref="V221" si="678">T221*AP221*AG221</f>
        <v>0</v>
      </c>
      <c r="W221" s="24">
        <f t="shared" ref="W221" si="679">X221*AO221</f>
        <v>0</v>
      </c>
      <c r="X221" s="72">
        <f t="shared" ref="X221" si="680">IF($AD221=3,SUMPRODUCT(BX221:CG221,CH221:CQ221)*AG221,0)</f>
        <v>0</v>
      </c>
      <c r="Y221" s="72">
        <f t="shared" ref="Y221" si="681">IF($AD221=3,SUMPRODUCT(AS221:BB221,BM221:BV221),0)</f>
        <v>0</v>
      </c>
      <c r="Z221" s="24">
        <f t="shared" ref="Z221" si="682">IF($AD221=3,SUMPRODUCT(AS221:BB221,BC221:BL221),0)</f>
        <v>0</v>
      </c>
      <c r="AA221" s="72">
        <f t="shared" ref="AA221" si="683">$DV221*$CT221*(1+DW221)*AG221</f>
        <v>0</v>
      </c>
      <c r="AB221" s="24">
        <f t="shared" si="306"/>
        <v>0</v>
      </c>
      <c r="AC221" s="24" t="s">
        <v>5</v>
      </c>
      <c r="AD221" s="25">
        <f t="shared" ref="AD221" si="684">IF(N221="",3,IF(AND(L221&gt;0,M221&gt;0),2,1))</f>
        <v>3</v>
      </c>
      <c r="AE221" s="25">
        <f t="shared" ref="AE221" si="685">IF(AND(ISNUMBER(VALUE(L221)),RIGHT(L221,1)="0"),(L221+0.00001),L221)</f>
        <v>0</v>
      </c>
      <c r="AF221" s="25">
        <f t="shared" ref="AF221" si="686">IF(AND(ISNUMBER(VALUE(M221)),RIGHT(M221,1)="0"),(M221+0.00001),M221)</f>
        <v>0</v>
      </c>
      <c r="AG221" s="25">
        <f t="shared" ref="AG221" si="687">IF(OR($G221="NB",DG221="R"),0,1)</f>
        <v>1</v>
      </c>
      <c r="AH221" s="25" t="str">
        <f>IFERROR(MATCH(DY221,'2 Staff List'!$IA$64:$IA$114,0),"x")</f>
        <v>x</v>
      </c>
      <c r="AI221" s="1181">
        <f>IFERROR(INDEX('2 Staff List'!$EX$64:$EX$114,$AH221),0)</f>
        <v>0</v>
      </c>
      <c r="AJ221" s="25">
        <f>IFERROR(INDEX('2 Staff List'!$IW$64:$IW$114,$AH221),0)</f>
        <v>0</v>
      </c>
      <c r="AK221" s="25">
        <f>IFERROR(INDEX('2 Staff List'!$IB$64:$IB$114,$AH221),0)</f>
        <v>0</v>
      </c>
      <c r="AL221" s="25">
        <f>IF(OR(NOT(ISBLANK(DV221)),CX221=1),"&lt;Non-Labor&gt;",IFERROR(IF(AH221=0,0,INDEX('2 Staff List'!$HZ$64:$HZ$114,$AH221)),0))</f>
        <v>0</v>
      </c>
      <c r="AM221" s="25">
        <f>IFERROR(INDEX('2 Staff List'!$HW$64:$HW$114,$AH221),0)</f>
        <v>0</v>
      </c>
      <c r="AN221" s="25">
        <f t="shared" ref="AN221" si="688">(1+B221)*IF(ISBLANK(EE221),1,EE221)</f>
        <v>1</v>
      </c>
      <c r="AO221" s="25">
        <f>IF($AO$127=0,0,IFERROR(INDEX('2 Staff List'!$JH$64:$JH$114,$AH221),0))</f>
        <v>0</v>
      </c>
      <c r="AP221" s="25">
        <f>IFERROR(INDEX('2 Staff List'!$HU$64:$HU$114,$AH221),0)</f>
        <v>0</v>
      </c>
      <c r="AQ221" s="25">
        <f t="shared" ref="AQ221" si="689">IF(AND(DV221&lt;&gt;0,SUMPRODUCT($EG221:$JD221,$EG$17:$JD$17)=0),1,0)</f>
        <v>0</v>
      </c>
      <c r="AR221" s="25">
        <f t="shared" ref="AR221" si="690">IF(OR($AD221&lt;&gt;3,$DV221&gt;0,$DY221=0),0,SUMIFS($EG221:$JD221,$EG$17:$JD$17,1)*AN221)</f>
        <v>0</v>
      </c>
      <c r="AS221" s="25">
        <f t="shared" ref="AS221" si="691">IF(OR($AD221&lt;&gt;3,$DV221&gt;0),0,SUMIFS($EG221:$JD221,$EG$17:$JD$17,1,$EG$124:$JD$124,1)*AN221)</f>
        <v>0</v>
      </c>
      <c r="AT221" s="25">
        <f t="shared" ref="AT221" si="692">IF(OR($AD221&lt;&gt;3,$DV221&gt;0),0,SUMIFS($EG221:$JD221,$EG$17:$JD$17,1,$EG$124:$JD$124,2)*AN221)</f>
        <v>0</v>
      </c>
      <c r="AU221" s="25">
        <f t="shared" ref="AU221" si="693">IF(OR($AD221&lt;&gt;3,$DV221&gt;0),0,SUMIFS($EG221:$JD221,$EG$17:$JD$17,1,$EG$124:$JD$124,3)*AN221)</f>
        <v>0</v>
      </c>
      <c r="AV221" s="25">
        <f t="shared" ref="AV221" si="694">IF(OR($AD221&lt;&gt;3,$DV221&gt;0),0,SUMIFS($EG221:$JD221,$EG$17:$JD$17,1,$EG$124:$JD$124,4)*AN221)</f>
        <v>0</v>
      </c>
      <c r="AW221" s="25">
        <f t="shared" ref="AW221" si="695">IF(OR($AD221&lt;&gt;3,$DV221&gt;0),0,SUMIFS($EG221:$JD221,$EG$17:$JD$17,1,$EG$124:$JD$124,5)*AN221)</f>
        <v>0</v>
      </c>
      <c r="AX221" s="25">
        <f t="shared" ref="AX221" si="696">IF(OR($AD221&lt;&gt;3,$DV221&gt;0),0,SUMIFS($EG221:$JD221,$EG$17:$JD$17,1,$EG$124:$JD$124,6)*AN221)</f>
        <v>0</v>
      </c>
      <c r="AY221" s="25">
        <f t="shared" ref="AY221" si="697">IF(OR($AD221&lt;&gt;3,$DV221&gt;0),0,SUMIFS($EG221:$JD221,$EG$17:$JD$17,1,$EG$124:$JD$124,7)*AN221)</f>
        <v>0</v>
      </c>
      <c r="AZ221" s="25">
        <f t="shared" ref="AZ221" si="698">IF(OR($AD221&lt;&gt;3,$DV221&gt;0),0,SUMIFS($EG221:$JD221,$EG$17:$JD$17,1,$EG$124:$JD$124,8)*AN221)</f>
        <v>0</v>
      </c>
      <c r="BA221" s="25">
        <f t="shared" ref="BA221" si="699">IF(OR($AD221&lt;&gt;3,$DV221&gt;0),0,SUMIFS($EG221:$JD221,$EG$17:$JD$17,1,$EG$124:$JD$124,9)*AN221)</f>
        <v>0</v>
      </c>
      <c r="BB221" s="25">
        <f t="shared" ref="BB221" si="700">IF(OR($AD221&lt;&gt;3,$DV221&gt;0),0,SUMIFS($EG221:$JD221,$EG$17:$JD$17,1,$EG$124:$JD$124,10)*AN221)</f>
        <v>0</v>
      </c>
      <c r="BC221" s="25">
        <f>IFERROR(INDEX('2 Staff List'!KS$64:KS$114,$AH221),0)</f>
        <v>0</v>
      </c>
      <c r="BD221" s="25">
        <f>IFERROR(INDEX('2 Staff List'!KT$64:KT$114,$AH221),0)</f>
        <v>0</v>
      </c>
      <c r="BE221" s="25">
        <f>IFERROR(INDEX('2 Staff List'!KU$64:KU$114,$AH221),0)</f>
        <v>0</v>
      </c>
      <c r="BF221" s="25">
        <f>IFERROR(INDEX('2 Staff List'!KV$64:KV$114,$AH221),0)</f>
        <v>0</v>
      </c>
      <c r="BG221" s="25">
        <f>IFERROR(INDEX('2 Staff List'!KW$64:KW$114,$AH221),0)</f>
        <v>0</v>
      </c>
      <c r="BH221" s="25">
        <f>IFERROR(INDEX('2 Staff List'!KX$64:KX$114,$AH221),0)</f>
        <v>0</v>
      </c>
      <c r="BI221" s="25">
        <f>IFERROR(INDEX('2 Staff List'!KY$64:KY$114,$AH221),0)</f>
        <v>0</v>
      </c>
      <c r="BJ221" s="25">
        <f>IFERROR(INDEX('2 Staff List'!KZ$64:KZ$114,$AH221),0)</f>
        <v>0</v>
      </c>
      <c r="BK221" s="25">
        <f>IFERROR(INDEX('2 Staff List'!LA$64:LA$114,$AH221),0)</f>
        <v>0</v>
      </c>
      <c r="BL221" s="25">
        <f>IFERROR(INDEX('2 Staff List'!LB$64:LB$114,$AH221),0)</f>
        <v>0</v>
      </c>
      <c r="BM221" s="25">
        <f>IFERROR(INDEX('2 Staff List'!FT$64:FT$114,$AH221),0)</f>
        <v>0</v>
      </c>
      <c r="BN221" s="25">
        <f>IFERROR(INDEX('2 Staff List'!FU$64:FU$114,$AH221),0)</f>
        <v>0</v>
      </c>
      <c r="BO221" s="25">
        <f>IFERROR(INDEX('2 Staff List'!FV$64:FV$114,$AH221),0)</f>
        <v>0</v>
      </c>
      <c r="BP221" s="25">
        <f>IFERROR(INDEX('2 Staff List'!FW$64:FW$114,$AH221),0)</f>
        <v>0</v>
      </c>
      <c r="BQ221" s="25">
        <f>IFERROR(INDEX('2 Staff List'!FX$64:FX$114,$AH221),0)</f>
        <v>0</v>
      </c>
      <c r="BR221" s="25">
        <f>IFERROR(INDEX('2 Staff List'!FY$64:FY$114,$AH221),0)</f>
        <v>0</v>
      </c>
      <c r="BS221" s="25">
        <f>IFERROR(INDEX('2 Staff List'!FZ$64:FZ$114,$AH221),0)</f>
        <v>0</v>
      </c>
      <c r="BT221" s="25">
        <f>IFERROR(INDEX('2 Staff List'!GA$64:GA$114,$AH221),0)</f>
        <v>0</v>
      </c>
      <c r="BU221" s="25">
        <f>IFERROR(INDEX('2 Staff List'!GB$64:GB$114,$AH221),0)</f>
        <v>0</v>
      </c>
      <c r="BV221" s="25">
        <f>IFERROR(INDEX('2 Staff List'!GC$64:GC$114,$AH221),0)</f>
        <v>0</v>
      </c>
      <c r="BW221" s="25">
        <f t="shared" ref="BW221" si="701">IF(OR($AD221&lt;&gt;3,$DV221&gt;0,$DY221=0),0,SUMIFS($EG221:$JD221,$EG$17:$JD$17,1)*AN221*$AG221)</f>
        <v>0</v>
      </c>
      <c r="BX221" s="25">
        <f t="shared" ref="BX221" si="702">IF(OR($AD221&lt;&gt;3,$DV221&gt;0),0,SUMIFS($EG221:$JD221,$EG$17:$JD$17,1,$EG$123:$JD$123,1)*AN221)</f>
        <v>0</v>
      </c>
      <c r="BY221" s="25">
        <f t="shared" ref="BY221" si="703">IF(OR($AD221&lt;&gt;3,$DV221&gt;0),0,SUMIFS($EG221:$JD221,$EG$17:$JD$17,1,$EG$123:$JD$123,2)*AN221)</f>
        <v>0</v>
      </c>
      <c r="BZ221" s="25">
        <f t="shared" ref="BZ221" si="704">IF(OR($AD221&lt;&gt;3,$DV221&gt;0),0,SUMIFS($EG221:$JD221,$EG$17:$JD$17,1,$EG$123:$JD$123,3)*AN221)</f>
        <v>0</v>
      </c>
      <c r="CA221" s="25">
        <f t="shared" ref="CA221" si="705">IF(OR($AD221&lt;&gt;3,$DV221&gt;0),0,SUMIFS($EG221:$JD221,$EG$17:$JD$17,1,$EG$123:$JD$123,4)*AN221)</f>
        <v>0</v>
      </c>
      <c r="CB221" s="25">
        <f t="shared" ref="CB221" si="706">IF(OR($AD221&lt;&gt;3,$DV221&gt;0),0,SUMIFS($EG221:$JD221,$EG$17:$JD$17,1,$EG$123:$JD$123,5)*AN221)</f>
        <v>0</v>
      </c>
      <c r="CC221" s="25">
        <f t="shared" ref="CC221" si="707">IF(OR($AD221&lt;&gt;3,$DV221&gt;0),0,SUMIFS($EG221:$JD221,$EG$17:$JD$17,1,$EG$123:$JD$123,6)*AN221)</f>
        <v>0</v>
      </c>
      <c r="CD221" s="25">
        <f t="shared" ref="CD221" si="708">IF(OR($AD221&lt;&gt;3,$DV221&gt;0),0,SUMIFS($EG221:$JD221,$EG$17:$JD$17,1,$EG$123:$JD$123,7)*AN221)</f>
        <v>0</v>
      </c>
      <c r="CE221" s="25">
        <f t="shared" ref="CE221" si="709">IF(OR($AD221&lt;&gt;3,$DV221&gt;0),0,SUMIFS($EG221:$JD221,$EG$17:$JD$17,1,$EG$123:$JD$123,8)*AN221)</f>
        <v>0</v>
      </c>
      <c r="CF221" s="25">
        <f t="shared" ref="CF221" si="710">IF(OR($AD221&lt;&gt;3,$DV221&gt;0),0,SUMIFS($EG221:$JD221,$EG$17:$JD$17,1,$EG$123:$JD$123,9)*AN221)</f>
        <v>0</v>
      </c>
      <c r="CG221" s="25">
        <f t="shared" ref="CG221" si="711">IF(OR($AD221&lt;&gt;3,$DV221&gt;0),0,SUMIFS($EG221:$JD221,$EG$17:$JD$17,1,$EG$123:$JD$123,10)*AN221)</f>
        <v>0</v>
      </c>
      <c r="CH221" s="25">
        <f>IFERROR(INDEX('2 Staff List'!LO$64:LO$114,$AH221),0)</f>
        <v>0</v>
      </c>
      <c r="CI221" s="25">
        <f>IFERROR(INDEX('2 Staff List'!LP$64:LP$114,$AH221),0)</f>
        <v>0</v>
      </c>
      <c r="CJ221" s="25">
        <f>IFERROR(INDEX('2 Staff List'!LQ$64:LQ$114,$AH221),0)</f>
        <v>0</v>
      </c>
      <c r="CK221" s="25">
        <f>IFERROR(INDEX('2 Staff List'!LR$64:LR$114,$AH221),0)</f>
        <v>0</v>
      </c>
      <c r="CL221" s="25">
        <f>IFERROR(INDEX('2 Staff List'!LS$64:LS$114,$AH221),0)</f>
        <v>0</v>
      </c>
      <c r="CM221" s="25">
        <f>IFERROR(INDEX('2 Staff List'!LT$64:LT$114,$AH221),0)</f>
        <v>0</v>
      </c>
      <c r="CN221" s="25">
        <f>IFERROR(INDEX('2 Staff List'!LU$64:LU$114,$AH221),0)</f>
        <v>0</v>
      </c>
      <c r="CO221" s="25">
        <f>IFERROR(INDEX('2 Staff List'!LV$64:LV$114,$AH221),0)</f>
        <v>0</v>
      </c>
      <c r="CP221" s="25">
        <f>IFERROR(INDEX('2 Staff List'!LW$64:LW$114,$AH221),0)</f>
        <v>0</v>
      </c>
      <c r="CQ221" s="25">
        <f>IFERROR(INDEX('2 Staff List'!LX$64:LX$114,$AH221),0)</f>
        <v>0</v>
      </c>
      <c r="CR221" s="25">
        <f t="shared" ref="CR221" si="712">IF(AD221=3,SUMPRODUCT($EG221:$JD221,$EG$17:$JD$17),0)</f>
        <v>0</v>
      </c>
      <c r="CS221" s="25">
        <f t="shared" ref="CS221" si="713">IFERROR(1/CR221,1)</f>
        <v>1</v>
      </c>
      <c r="CT221" s="25">
        <f t="shared" ref="CT221" si="714">IF(NOT(ISBLANK(DU221)),DU221,1)</f>
        <v>1</v>
      </c>
      <c r="CU221" s="25">
        <f t="shared" ref="CU221" si="715">IF(DT221=$CU$127,0,1)</f>
        <v>1</v>
      </c>
      <c r="CV221" s="25">
        <f t="shared" ref="CV221" si="716">IF(AND(AD221=3,OR(F221="",F221="Approved")),1,0)</f>
        <v>1</v>
      </c>
      <c r="CW221" s="25">
        <f t="shared" ref="CW221" si="717">IF(AD221&lt;&gt;3,0,IF(OR(F221="",F221="Approved",F221="Pend w FC"),1,0))</f>
        <v>1</v>
      </c>
      <c r="CX221" s="25">
        <f t="shared" ref="CX221" si="718">IF(AND(Z221=0,OR(G221="RO",DG221="V",DG221="W")),1,0)</f>
        <v>0</v>
      </c>
      <c r="CY221" s="25">
        <f t="shared" si="338"/>
        <v>0</v>
      </c>
      <c r="CZ221" s="25">
        <f t="shared" ref="CZ221" si="719">IF(AD221&lt;&gt;3,0,IF(OR(F221="Pending",F221="Pend w FC"),1,0))</f>
        <v>0</v>
      </c>
      <c r="DA221" s="25">
        <f t="shared" si="340"/>
        <v>1</v>
      </c>
      <c r="DB221" s="25">
        <f t="shared" ref="DB221" si="720">IF($AD221&lt;&gt;3,0,IF(F221="",1,0))</f>
        <v>1</v>
      </c>
      <c r="DC221" s="25">
        <f t="shared" si="341"/>
        <v>0</v>
      </c>
      <c r="DD221" s="25">
        <f>IF(OR($AD221&lt;&gt;3,F221="Exclude"),0,IF(ISERROR(MATCH($E221,'4 Sign-off'!$S$123:$X$123,0)),0,1))</f>
        <v>0</v>
      </c>
      <c r="DE221" s="25">
        <f t="shared" ref="DE221" si="721">IF($C$6&lt;&gt;"B",1,CHOOSE($DE$119,DD221,CZ221+DC221,CZ221,DC221))</f>
        <v>0</v>
      </c>
      <c r="DF221" s="25">
        <f t="shared" ref="DF221" si="722">CHOOSE($DF$119,CV221,CW221,DE221)</f>
        <v>0</v>
      </c>
      <c r="DG221" s="25" t="str">
        <f t="shared" ref="DG221" si="723">LEFT(J221,1)</f>
        <v/>
      </c>
      <c r="DH221" s="25">
        <f t="shared" si="344"/>
        <v>0</v>
      </c>
      <c r="DI221" s="25">
        <f t="shared" si="345"/>
        <v>0</v>
      </c>
      <c r="DJ221" s="25">
        <f>IF(ISBLANK(J221),0,ISERROR(MATCH(J221,'5  Control Accounts'!$FA$29:$FA$96,0))*1)</f>
        <v>0</v>
      </c>
      <c r="DK221" s="25">
        <f t="shared" ref="DK221" si="724">AND($C$5,(T221+U221+AB221)&lt;&gt;0,ISBLANK(J221),F221&lt;&gt;"Exclude")*1</f>
        <v>0</v>
      </c>
      <c r="DL221" s="25">
        <f t="shared" ref="DL221" si="725">IF(OR((T221+U221)&gt;0,(AA221+AB221)&gt;0),J221,-1)</f>
        <v>-1</v>
      </c>
      <c r="DM221" s="25" t="e">
        <f t="array" ref="DM221">MATCH(1,($EG221:$JD221&gt;0)*$EG$17:$JD$17,0)</f>
        <v>#N/A</v>
      </c>
      <c r="DN221" s="25" t="e">
        <f t="shared" ref="DN221" si="726">IF($C$6&lt;&gt;"F",DO221,IF(DO221&lt;$EB$17,NA(),DO221))</f>
        <v>#N/A</v>
      </c>
      <c r="DO221" s="25" t="e">
        <f t="array" ref="DO221">MATCH(2,1/(EG221:JD221&gt;0))</f>
        <v>#N/A</v>
      </c>
      <c r="DP221" s="2993">
        <f t="shared" ref="DP221" si="727">CHOOSE($AD221,SUMIFS($DP$129:$DP$304,$AE$129:$AE$304,$AE221,$DF$129:$DF$304,1),SUMIFS($DP$129:$DP$304,$AF$129:$AF$304,$AF221,$DF$129:$DF$304,1),X221+AA221)</f>
        <v>0</v>
      </c>
      <c r="DQ221" s="3037">
        <f t="shared" ref="DQ221" si="728">CHOOSE($AD221,SUMIFS($DQ$129:$DQ$304,$AE$129:$AE$304,$AE221,$DF$129:$DF$304,1),SUMIFS($DQ$129:$DQ$304,$AF$129:$AF$304,$AF221,$DF$129:$DF$304,1),DP221-S221)</f>
        <v>0</v>
      </c>
      <c r="DR221" s="111"/>
      <c r="DS221" s="1268">
        <f t="shared" ref="DS221" si="729">N221</f>
        <v>0</v>
      </c>
      <c r="DT221" s="1825"/>
      <c r="DU221" s="1826"/>
      <c r="DV221" s="1827"/>
      <c r="DW221" s="1828"/>
      <c r="DX221" s="659"/>
      <c r="DY221" s="1265"/>
      <c r="DZ221" s="1785">
        <f t="shared" ref="DZ221" si="730">AL221</f>
        <v>0</v>
      </c>
      <c r="EA221" s="1786">
        <f t="shared" ref="EA221" si="731">IF($AD221=3,T221+U221,0)</f>
        <v>0</v>
      </c>
      <c r="EB221" s="1781">
        <f t="shared" ref="EB221" si="732">IF(ISERROR(DM221),0,CHOOSE($DY$3,(DM221*7)+$EG$126-11,EOMONTH($EG$126,DM221-2)+1))</f>
        <v>0</v>
      </c>
      <c r="EC221" s="1782">
        <f t="shared" ref="EC221" si="733">IF(ISERROR(DN221),0,CHOOSE($DY$3,(DN221*7)+$EG$126-7,EOMONTH($EG$126,DN221-1)))</f>
        <v>0</v>
      </c>
      <c r="ED221" s="1262"/>
      <c r="EE221" s="2280"/>
      <c r="EF221" s="1802"/>
      <c r="EG221" s="167"/>
      <c r="EH221" s="168"/>
      <c r="EI221" s="168"/>
      <c r="EJ221" s="168"/>
      <c r="EK221" s="168"/>
      <c r="EL221" s="168"/>
      <c r="EM221" s="168"/>
      <c r="EN221" s="168"/>
      <c r="EO221" s="168"/>
      <c r="EP221" s="168"/>
      <c r="EQ221" s="168"/>
      <c r="ER221" s="168"/>
      <c r="ES221" s="168"/>
      <c r="ET221" s="168"/>
      <c r="EU221" s="168"/>
      <c r="EV221" s="168"/>
      <c r="EW221" s="168"/>
      <c r="EX221" s="168"/>
      <c r="EY221" s="168"/>
      <c r="EZ221" s="168"/>
      <c r="FA221" s="168"/>
      <c r="FB221" s="168"/>
      <c r="FC221" s="168"/>
      <c r="FD221" s="168"/>
      <c r="FE221" s="168"/>
      <c r="FF221" s="168"/>
      <c r="FG221" s="168"/>
      <c r="FH221" s="168"/>
      <c r="FI221" s="168"/>
      <c r="FJ221" s="168"/>
      <c r="FK221" s="168"/>
      <c r="FL221" s="168"/>
      <c r="FM221" s="168"/>
      <c r="FN221" s="168"/>
      <c r="FO221" s="168"/>
      <c r="FP221" s="168"/>
      <c r="FQ221" s="168"/>
      <c r="FR221" s="168"/>
      <c r="FS221" s="168"/>
      <c r="FT221" s="168"/>
      <c r="FU221" s="168"/>
      <c r="FV221" s="168"/>
      <c r="FW221" s="168"/>
      <c r="FX221" s="168"/>
      <c r="FY221" s="168"/>
      <c r="FZ221" s="168"/>
      <c r="GA221" s="168"/>
      <c r="GB221" s="168"/>
      <c r="GC221" s="168"/>
      <c r="GD221" s="168"/>
      <c r="GE221" s="168"/>
      <c r="GF221" s="168"/>
      <c r="GG221" s="168"/>
      <c r="GH221" s="168"/>
      <c r="GI221" s="168"/>
      <c r="GJ221" s="168"/>
      <c r="GK221" s="168"/>
      <c r="GL221" s="168"/>
      <c r="GM221" s="168"/>
      <c r="GN221" s="168"/>
      <c r="GO221" s="168"/>
      <c r="GP221" s="168"/>
      <c r="GQ221" s="168"/>
      <c r="GR221" s="168"/>
      <c r="GS221" s="168"/>
      <c r="GT221" s="168"/>
      <c r="GU221" s="168"/>
      <c r="GV221" s="168"/>
      <c r="GW221" s="168"/>
      <c r="GX221" s="168"/>
      <c r="GY221" s="168"/>
      <c r="GZ221" s="168"/>
      <c r="HA221" s="168"/>
      <c r="HB221" s="168"/>
      <c r="HC221" s="168"/>
      <c r="HD221" s="168"/>
      <c r="HE221" s="168"/>
      <c r="HF221" s="168"/>
      <c r="HG221" s="168"/>
      <c r="HH221" s="168"/>
      <c r="HI221" s="168"/>
      <c r="HJ221" s="168"/>
      <c r="HK221" s="168"/>
      <c r="HL221" s="168"/>
      <c r="HM221" s="168"/>
      <c r="HN221" s="168"/>
      <c r="HO221" s="168"/>
      <c r="HP221" s="168"/>
      <c r="HQ221" s="168"/>
      <c r="HR221" s="168"/>
      <c r="HS221" s="168"/>
      <c r="HT221" s="168"/>
      <c r="HU221" s="168"/>
      <c r="HV221" s="168"/>
      <c r="HW221" s="168"/>
      <c r="HX221" s="168"/>
      <c r="HY221" s="168"/>
      <c r="HZ221" s="168"/>
      <c r="IA221" s="168"/>
      <c r="IB221" s="168"/>
      <c r="IC221" s="168"/>
      <c r="ID221" s="168"/>
      <c r="IE221" s="168"/>
      <c r="IF221" s="168"/>
      <c r="IG221" s="168"/>
      <c r="IH221" s="168"/>
      <c r="II221" s="168"/>
      <c r="IJ221" s="168"/>
      <c r="IK221" s="168"/>
      <c r="IL221" s="168"/>
      <c r="IM221" s="168"/>
      <c r="IN221" s="168"/>
      <c r="IO221" s="168"/>
      <c r="IP221" s="168"/>
      <c r="IQ221" s="168"/>
      <c r="IR221" s="168"/>
      <c r="IS221" s="168"/>
      <c r="IT221" s="168"/>
      <c r="IU221" s="168"/>
      <c r="IV221" s="168"/>
      <c r="IW221" s="168"/>
      <c r="IX221" s="168"/>
      <c r="IY221" s="168"/>
      <c r="IZ221" s="168"/>
      <c r="JA221" s="168"/>
      <c r="JB221" s="168"/>
      <c r="JC221" s="606"/>
      <c r="JD221" s="609"/>
      <c r="JE221" s="1"/>
      <c r="JF221" s="1"/>
    </row>
    <row r="222" spans="1:266" s="2" customFormat="1" ht="15" customHeight="1" x14ac:dyDescent="0.25">
      <c r="A222" s="283"/>
      <c r="B222" s="303"/>
      <c r="C222" s="301"/>
      <c r="D222" s="3332"/>
      <c r="E222" s="2298"/>
      <c r="F222" s="1812"/>
      <c r="G222" s="3342"/>
      <c r="H222" s="66"/>
      <c r="I222" s="1746"/>
      <c r="J222" s="86"/>
      <c r="K222" s="105"/>
      <c r="L222" s="91"/>
      <c r="M222" s="92"/>
      <c r="N222" s="93"/>
      <c r="O222" s="94"/>
      <c r="P222" s="96"/>
      <c r="Q222" s="95"/>
      <c r="R222" s="993">
        <f t="shared" si="614"/>
        <v>0</v>
      </c>
      <c r="S222" s="23">
        <f t="shared" si="615"/>
        <v>0</v>
      </c>
      <c r="T222" s="24">
        <f t="shared" si="616"/>
        <v>0</v>
      </c>
      <c r="U222" s="24">
        <f t="shared" si="617"/>
        <v>0</v>
      </c>
      <c r="V222" s="24">
        <f t="shared" si="618"/>
        <v>0</v>
      </c>
      <c r="W222" s="24">
        <f t="shared" si="619"/>
        <v>0</v>
      </c>
      <c r="X222" s="72">
        <f t="shared" si="620"/>
        <v>0</v>
      </c>
      <c r="Y222" s="72">
        <f t="shared" si="621"/>
        <v>0</v>
      </c>
      <c r="Z222" s="24">
        <f t="shared" si="622"/>
        <v>0</v>
      </c>
      <c r="AA222" s="72">
        <f t="shared" si="623"/>
        <v>0</v>
      </c>
      <c r="AB222" s="24">
        <f t="shared" si="306"/>
        <v>0</v>
      </c>
      <c r="AC222" s="24" t="s">
        <v>5</v>
      </c>
      <c r="AD222" s="25">
        <f t="shared" si="624"/>
        <v>3</v>
      </c>
      <c r="AE222" s="25">
        <f t="shared" si="625"/>
        <v>0</v>
      </c>
      <c r="AF222" s="25">
        <f t="shared" si="626"/>
        <v>0</v>
      </c>
      <c r="AG222" s="25">
        <f t="shared" si="627"/>
        <v>1</v>
      </c>
      <c r="AH222" s="25" t="str">
        <f>IFERROR(MATCH(DY222,'2 Staff List'!$IA$64:$IA$114,0),"x")</f>
        <v>x</v>
      </c>
      <c r="AI222" s="1181">
        <f>IFERROR(INDEX('2 Staff List'!$EX$64:$EX$114,$AH222),0)</f>
        <v>0</v>
      </c>
      <c r="AJ222" s="25">
        <f>IFERROR(INDEX('2 Staff List'!$IW$64:$IW$114,$AH222),0)</f>
        <v>0</v>
      </c>
      <c r="AK222" s="25">
        <f>IFERROR(INDEX('2 Staff List'!$IB$64:$IB$114,$AH222),0)</f>
        <v>0</v>
      </c>
      <c r="AL222" s="25">
        <f>IF(OR(NOT(ISBLANK(DV222)),CX222=1),"&lt;Non-Labor&gt;",IFERROR(IF(AH222=0,0,INDEX('2 Staff List'!$HZ$64:$HZ$114,$AH222)),0))</f>
        <v>0</v>
      </c>
      <c r="AM222" s="25">
        <f>IFERROR(INDEX('2 Staff List'!$HW$64:$HW$114,$AH222),0)</f>
        <v>0</v>
      </c>
      <c r="AN222" s="25">
        <f t="shared" si="628"/>
        <v>1</v>
      </c>
      <c r="AO222" s="25">
        <f>IF($AO$127=0,0,IFERROR(INDEX('2 Staff List'!$JH$64:$JH$114,$AH222),0))</f>
        <v>0</v>
      </c>
      <c r="AP222" s="25">
        <f>IFERROR(INDEX('2 Staff List'!$HU$64:$HU$114,$AH222),0)</f>
        <v>0</v>
      </c>
      <c r="AQ222" s="25">
        <f t="shared" si="629"/>
        <v>0</v>
      </c>
      <c r="AR222" s="25">
        <f t="shared" si="630"/>
        <v>0</v>
      </c>
      <c r="AS222" s="25">
        <f t="shared" si="631"/>
        <v>0</v>
      </c>
      <c r="AT222" s="25">
        <f t="shared" si="632"/>
        <v>0</v>
      </c>
      <c r="AU222" s="25">
        <f t="shared" si="633"/>
        <v>0</v>
      </c>
      <c r="AV222" s="25">
        <f t="shared" si="634"/>
        <v>0</v>
      </c>
      <c r="AW222" s="25">
        <f t="shared" si="635"/>
        <v>0</v>
      </c>
      <c r="AX222" s="25">
        <f t="shared" si="636"/>
        <v>0</v>
      </c>
      <c r="AY222" s="25">
        <f t="shared" si="637"/>
        <v>0</v>
      </c>
      <c r="AZ222" s="25">
        <f t="shared" si="638"/>
        <v>0</v>
      </c>
      <c r="BA222" s="25">
        <f t="shared" si="639"/>
        <v>0</v>
      </c>
      <c r="BB222" s="25">
        <f t="shared" si="640"/>
        <v>0</v>
      </c>
      <c r="BC222" s="25">
        <f>IFERROR(INDEX('2 Staff List'!KS$64:KS$114,$AH222),0)</f>
        <v>0</v>
      </c>
      <c r="BD222" s="25">
        <f>IFERROR(INDEX('2 Staff List'!KT$64:KT$114,$AH222),0)</f>
        <v>0</v>
      </c>
      <c r="BE222" s="25">
        <f>IFERROR(INDEX('2 Staff List'!KU$64:KU$114,$AH222),0)</f>
        <v>0</v>
      </c>
      <c r="BF222" s="25">
        <f>IFERROR(INDEX('2 Staff List'!KV$64:KV$114,$AH222),0)</f>
        <v>0</v>
      </c>
      <c r="BG222" s="25">
        <f>IFERROR(INDEX('2 Staff List'!KW$64:KW$114,$AH222),0)</f>
        <v>0</v>
      </c>
      <c r="BH222" s="25">
        <f>IFERROR(INDEX('2 Staff List'!KX$64:KX$114,$AH222),0)</f>
        <v>0</v>
      </c>
      <c r="BI222" s="25">
        <f>IFERROR(INDEX('2 Staff List'!KY$64:KY$114,$AH222),0)</f>
        <v>0</v>
      </c>
      <c r="BJ222" s="25">
        <f>IFERROR(INDEX('2 Staff List'!KZ$64:KZ$114,$AH222),0)</f>
        <v>0</v>
      </c>
      <c r="BK222" s="25">
        <f>IFERROR(INDEX('2 Staff List'!LA$64:LA$114,$AH222),0)</f>
        <v>0</v>
      </c>
      <c r="BL222" s="25">
        <f>IFERROR(INDEX('2 Staff List'!LB$64:LB$114,$AH222),0)</f>
        <v>0</v>
      </c>
      <c r="BM222" s="25">
        <f>IFERROR(INDEX('2 Staff List'!FT$64:FT$114,$AH222),0)</f>
        <v>0</v>
      </c>
      <c r="BN222" s="25">
        <f>IFERROR(INDEX('2 Staff List'!FU$64:FU$114,$AH222),0)</f>
        <v>0</v>
      </c>
      <c r="BO222" s="25">
        <f>IFERROR(INDEX('2 Staff List'!FV$64:FV$114,$AH222),0)</f>
        <v>0</v>
      </c>
      <c r="BP222" s="25">
        <f>IFERROR(INDEX('2 Staff List'!FW$64:FW$114,$AH222),0)</f>
        <v>0</v>
      </c>
      <c r="BQ222" s="25">
        <f>IFERROR(INDEX('2 Staff List'!FX$64:FX$114,$AH222),0)</f>
        <v>0</v>
      </c>
      <c r="BR222" s="25">
        <f>IFERROR(INDEX('2 Staff List'!FY$64:FY$114,$AH222),0)</f>
        <v>0</v>
      </c>
      <c r="BS222" s="25">
        <f>IFERROR(INDEX('2 Staff List'!FZ$64:FZ$114,$AH222),0)</f>
        <v>0</v>
      </c>
      <c r="BT222" s="25">
        <f>IFERROR(INDEX('2 Staff List'!GA$64:GA$114,$AH222),0)</f>
        <v>0</v>
      </c>
      <c r="BU222" s="25">
        <f>IFERROR(INDEX('2 Staff List'!GB$64:GB$114,$AH222),0)</f>
        <v>0</v>
      </c>
      <c r="BV222" s="25">
        <f>IFERROR(INDEX('2 Staff List'!GC$64:GC$114,$AH222),0)</f>
        <v>0</v>
      </c>
      <c r="BW222" s="25">
        <f t="shared" si="641"/>
        <v>0</v>
      </c>
      <c r="BX222" s="25">
        <f t="shared" si="642"/>
        <v>0</v>
      </c>
      <c r="BY222" s="25">
        <f t="shared" si="643"/>
        <v>0</v>
      </c>
      <c r="BZ222" s="25">
        <f t="shared" si="644"/>
        <v>0</v>
      </c>
      <c r="CA222" s="25">
        <f t="shared" si="645"/>
        <v>0</v>
      </c>
      <c r="CB222" s="25">
        <f t="shared" si="646"/>
        <v>0</v>
      </c>
      <c r="CC222" s="25">
        <f t="shared" si="647"/>
        <v>0</v>
      </c>
      <c r="CD222" s="25">
        <f t="shared" si="648"/>
        <v>0</v>
      </c>
      <c r="CE222" s="25">
        <f t="shared" si="649"/>
        <v>0</v>
      </c>
      <c r="CF222" s="25">
        <f t="shared" si="650"/>
        <v>0</v>
      </c>
      <c r="CG222" s="25">
        <f t="shared" si="651"/>
        <v>0</v>
      </c>
      <c r="CH222" s="25">
        <f>IFERROR(INDEX('2 Staff List'!LO$64:LO$114,$AH222),0)</f>
        <v>0</v>
      </c>
      <c r="CI222" s="25">
        <f>IFERROR(INDEX('2 Staff List'!LP$64:LP$114,$AH222),0)</f>
        <v>0</v>
      </c>
      <c r="CJ222" s="25">
        <f>IFERROR(INDEX('2 Staff List'!LQ$64:LQ$114,$AH222),0)</f>
        <v>0</v>
      </c>
      <c r="CK222" s="25">
        <f>IFERROR(INDEX('2 Staff List'!LR$64:LR$114,$AH222),0)</f>
        <v>0</v>
      </c>
      <c r="CL222" s="25">
        <f>IFERROR(INDEX('2 Staff List'!LS$64:LS$114,$AH222),0)</f>
        <v>0</v>
      </c>
      <c r="CM222" s="25">
        <f>IFERROR(INDEX('2 Staff List'!LT$64:LT$114,$AH222),0)</f>
        <v>0</v>
      </c>
      <c r="CN222" s="25">
        <f>IFERROR(INDEX('2 Staff List'!LU$64:LU$114,$AH222),0)</f>
        <v>0</v>
      </c>
      <c r="CO222" s="25">
        <f>IFERROR(INDEX('2 Staff List'!LV$64:LV$114,$AH222),0)</f>
        <v>0</v>
      </c>
      <c r="CP222" s="25">
        <f>IFERROR(INDEX('2 Staff List'!LW$64:LW$114,$AH222),0)</f>
        <v>0</v>
      </c>
      <c r="CQ222" s="25">
        <f>IFERROR(INDEX('2 Staff List'!LX$64:LX$114,$AH222),0)</f>
        <v>0</v>
      </c>
      <c r="CR222" s="25">
        <f t="shared" si="652"/>
        <v>0</v>
      </c>
      <c r="CS222" s="25">
        <f t="shared" si="653"/>
        <v>1</v>
      </c>
      <c r="CT222" s="25">
        <f t="shared" si="654"/>
        <v>1</v>
      </c>
      <c r="CU222" s="25">
        <f t="shared" si="655"/>
        <v>1</v>
      </c>
      <c r="CV222" s="25">
        <f t="shared" si="656"/>
        <v>1</v>
      </c>
      <c r="CW222" s="25">
        <f t="shared" si="657"/>
        <v>1</v>
      </c>
      <c r="CX222" s="25">
        <f t="shared" si="658"/>
        <v>0</v>
      </c>
      <c r="CY222" s="25">
        <f t="shared" si="338"/>
        <v>0</v>
      </c>
      <c r="CZ222" s="25">
        <f t="shared" si="659"/>
        <v>0</v>
      </c>
      <c r="DA222" s="25">
        <f t="shared" si="340"/>
        <v>1</v>
      </c>
      <c r="DB222" s="25">
        <f t="shared" si="660"/>
        <v>1</v>
      </c>
      <c r="DC222" s="25">
        <f t="shared" si="341"/>
        <v>0</v>
      </c>
      <c r="DD222" s="25">
        <f>IF(OR($AD222&lt;&gt;3,F222="Exclude"),0,IF(ISERROR(MATCH($E222,'4 Sign-off'!$S$123:$X$123,0)),0,1))</f>
        <v>0</v>
      </c>
      <c r="DE222" s="25">
        <f t="shared" si="661"/>
        <v>0</v>
      </c>
      <c r="DF222" s="25">
        <f t="shared" si="662"/>
        <v>0</v>
      </c>
      <c r="DG222" s="25" t="str">
        <f t="shared" si="663"/>
        <v/>
      </c>
      <c r="DH222" s="25">
        <f t="shared" si="344"/>
        <v>0</v>
      </c>
      <c r="DI222" s="25">
        <f t="shared" si="345"/>
        <v>0</v>
      </c>
      <c r="DJ222" s="25">
        <f>IF(ISBLANK(J222),0,ISERROR(MATCH(J222,'5  Control Accounts'!$FA$29:$FA$96,0))*1)</f>
        <v>0</v>
      </c>
      <c r="DK222" s="25">
        <f t="shared" si="664"/>
        <v>0</v>
      </c>
      <c r="DL222" s="25">
        <f t="shared" si="665"/>
        <v>-1</v>
      </c>
      <c r="DM222" s="25" t="e">
        <f t="array" ref="DM222">MATCH(1,($EG222:$JD222&gt;0)*$EG$17:$JD$17,0)</f>
        <v>#N/A</v>
      </c>
      <c r="DN222" s="25" t="e">
        <f t="shared" si="666"/>
        <v>#N/A</v>
      </c>
      <c r="DO222" s="25" t="e">
        <f t="array" ref="DO222">MATCH(2,1/(EG222:JD222&gt;0))</f>
        <v>#N/A</v>
      </c>
      <c r="DP222" s="2993">
        <f t="shared" si="667"/>
        <v>0</v>
      </c>
      <c r="DQ222" s="3037">
        <f t="shared" si="668"/>
        <v>0</v>
      </c>
      <c r="DR222" s="111"/>
      <c r="DS222" s="1268">
        <f t="shared" si="669"/>
        <v>0</v>
      </c>
      <c r="DT222" s="1825"/>
      <c r="DU222" s="1826"/>
      <c r="DV222" s="1827"/>
      <c r="DW222" s="1828"/>
      <c r="DX222" s="659"/>
      <c r="DY222" s="1265"/>
      <c r="DZ222" s="1785">
        <f t="shared" si="670"/>
        <v>0</v>
      </c>
      <c r="EA222" s="1786">
        <f t="shared" si="671"/>
        <v>0</v>
      </c>
      <c r="EB222" s="1781">
        <f t="shared" si="672"/>
        <v>0</v>
      </c>
      <c r="EC222" s="1782">
        <f t="shared" si="673"/>
        <v>0</v>
      </c>
      <c r="ED222" s="1262"/>
      <c r="EE222" s="2280"/>
      <c r="EF222" s="1802"/>
      <c r="EG222" s="167"/>
      <c r="EH222" s="168"/>
      <c r="EI222" s="168"/>
      <c r="EJ222" s="168"/>
      <c r="EK222" s="168"/>
      <c r="EL222" s="168"/>
      <c r="EM222" s="168"/>
      <c r="EN222" s="168"/>
      <c r="EO222" s="168"/>
      <c r="EP222" s="168"/>
      <c r="EQ222" s="168"/>
      <c r="ER222" s="168"/>
      <c r="ES222" s="168"/>
      <c r="ET222" s="168"/>
      <c r="EU222" s="168"/>
      <c r="EV222" s="168"/>
      <c r="EW222" s="168"/>
      <c r="EX222" s="168"/>
      <c r="EY222" s="168"/>
      <c r="EZ222" s="168"/>
      <c r="FA222" s="168"/>
      <c r="FB222" s="168"/>
      <c r="FC222" s="168"/>
      <c r="FD222" s="168"/>
      <c r="FE222" s="168"/>
      <c r="FF222" s="168"/>
      <c r="FG222" s="168"/>
      <c r="FH222" s="168"/>
      <c r="FI222" s="168"/>
      <c r="FJ222" s="168"/>
      <c r="FK222" s="168"/>
      <c r="FL222" s="168"/>
      <c r="FM222" s="168"/>
      <c r="FN222" s="168"/>
      <c r="FO222" s="168"/>
      <c r="FP222" s="168"/>
      <c r="FQ222" s="168"/>
      <c r="FR222" s="168"/>
      <c r="FS222" s="168"/>
      <c r="FT222" s="168"/>
      <c r="FU222" s="168"/>
      <c r="FV222" s="168"/>
      <c r="FW222" s="168"/>
      <c r="FX222" s="168"/>
      <c r="FY222" s="168"/>
      <c r="FZ222" s="168"/>
      <c r="GA222" s="168"/>
      <c r="GB222" s="168"/>
      <c r="GC222" s="168"/>
      <c r="GD222" s="168"/>
      <c r="GE222" s="168"/>
      <c r="GF222" s="168"/>
      <c r="GG222" s="168"/>
      <c r="GH222" s="168"/>
      <c r="GI222" s="168"/>
      <c r="GJ222" s="168"/>
      <c r="GK222" s="168"/>
      <c r="GL222" s="168"/>
      <c r="GM222" s="168"/>
      <c r="GN222" s="168"/>
      <c r="GO222" s="168"/>
      <c r="GP222" s="168"/>
      <c r="GQ222" s="168"/>
      <c r="GR222" s="168"/>
      <c r="GS222" s="168"/>
      <c r="GT222" s="168"/>
      <c r="GU222" s="168"/>
      <c r="GV222" s="168"/>
      <c r="GW222" s="168"/>
      <c r="GX222" s="168"/>
      <c r="GY222" s="168"/>
      <c r="GZ222" s="168"/>
      <c r="HA222" s="168"/>
      <c r="HB222" s="168"/>
      <c r="HC222" s="168"/>
      <c r="HD222" s="168"/>
      <c r="HE222" s="168"/>
      <c r="HF222" s="168"/>
      <c r="HG222" s="168"/>
      <c r="HH222" s="168"/>
      <c r="HI222" s="168"/>
      <c r="HJ222" s="168"/>
      <c r="HK222" s="168"/>
      <c r="HL222" s="168"/>
      <c r="HM222" s="168"/>
      <c r="HN222" s="168"/>
      <c r="HO222" s="168"/>
      <c r="HP222" s="168"/>
      <c r="HQ222" s="168"/>
      <c r="HR222" s="168"/>
      <c r="HS222" s="168"/>
      <c r="HT222" s="168"/>
      <c r="HU222" s="168"/>
      <c r="HV222" s="168"/>
      <c r="HW222" s="168"/>
      <c r="HX222" s="168"/>
      <c r="HY222" s="168"/>
      <c r="HZ222" s="168"/>
      <c r="IA222" s="168"/>
      <c r="IB222" s="168"/>
      <c r="IC222" s="168"/>
      <c r="ID222" s="168"/>
      <c r="IE222" s="168"/>
      <c r="IF222" s="168"/>
      <c r="IG222" s="168"/>
      <c r="IH222" s="168"/>
      <c r="II222" s="168"/>
      <c r="IJ222" s="168"/>
      <c r="IK222" s="168"/>
      <c r="IL222" s="168"/>
      <c r="IM222" s="168"/>
      <c r="IN222" s="168"/>
      <c r="IO222" s="168"/>
      <c r="IP222" s="168"/>
      <c r="IQ222" s="168"/>
      <c r="IR222" s="168"/>
      <c r="IS222" s="168"/>
      <c r="IT222" s="168"/>
      <c r="IU222" s="168"/>
      <c r="IV222" s="168"/>
      <c r="IW222" s="168"/>
      <c r="IX222" s="168"/>
      <c r="IY222" s="168"/>
      <c r="IZ222" s="168"/>
      <c r="JA222" s="168"/>
      <c r="JB222" s="168"/>
      <c r="JC222" s="606"/>
      <c r="JD222" s="609"/>
      <c r="JE222" s="1"/>
      <c r="JF222" s="1"/>
    </row>
    <row r="223" spans="1:266" s="2" customFormat="1" ht="15" customHeight="1" x14ac:dyDescent="0.25">
      <c r="A223" s="283"/>
      <c r="B223" s="303"/>
      <c r="C223" s="301"/>
      <c r="D223" s="3332"/>
      <c r="E223" s="2298"/>
      <c r="F223" s="1812"/>
      <c r="G223" s="3342"/>
      <c r="H223" s="66"/>
      <c r="I223" s="1746"/>
      <c r="J223" s="86"/>
      <c r="K223" s="105"/>
      <c r="L223" s="91"/>
      <c r="M223" s="92"/>
      <c r="N223" s="93"/>
      <c r="O223" s="94"/>
      <c r="P223" s="96"/>
      <c r="Q223" s="95"/>
      <c r="R223" s="993">
        <f t="shared" si="554"/>
        <v>0</v>
      </c>
      <c r="S223" s="23">
        <f t="shared" si="555"/>
        <v>0</v>
      </c>
      <c r="T223" s="24">
        <f t="shared" si="556"/>
        <v>0</v>
      </c>
      <c r="U223" s="24">
        <f t="shared" si="557"/>
        <v>0</v>
      </c>
      <c r="V223" s="24">
        <f t="shared" si="558"/>
        <v>0</v>
      </c>
      <c r="W223" s="24">
        <f t="shared" si="559"/>
        <v>0</v>
      </c>
      <c r="X223" s="72">
        <f t="shared" si="560"/>
        <v>0</v>
      </c>
      <c r="Y223" s="72">
        <f t="shared" si="561"/>
        <v>0</v>
      </c>
      <c r="Z223" s="24">
        <f t="shared" si="562"/>
        <v>0</v>
      </c>
      <c r="AA223" s="72">
        <f t="shared" si="563"/>
        <v>0</v>
      </c>
      <c r="AB223" s="24">
        <f t="shared" si="306"/>
        <v>0</v>
      </c>
      <c r="AC223" s="24" t="s">
        <v>5</v>
      </c>
      <c r="AD223" s="25">
        <f t="shared" si="564"/>
        <v>3</v>
      </c>
      <c r="AE223" s="25">
        <f t="shared" si="565"/>
        <v>0</v>
      </c>
      <c r="AF223" s="25">
        <f t="shared" si="566"/>
        <v>0</v>
      </c>
      <c r="AG223" s="25">
        <f t="shared" si="567"/>
        <v>1</v>
      </c>
      <c r="AH223" s="25" t="str">
        <f>IFERROR(MATCH(DY223,'2 Staff List'!$IA$64:$IA$114,0),"x")</f>
        <v>x</v>
      </c>
      <c r="AI223" s="1181">
        <f>IFERROR(INDEX('2 Staff List'!$EX$64:$EX$114,$AH223),0)</f>
        <v>0</v>
      </c>
      <c r="AJ223" s="25">
        <f>IFERROR(INDEX('2 Staff List'!$IW$64:$IW$114,$AH223),0)</f>
        <v>0</v>
      </c>
      <c r="AK223" s="25">
        <f>IFERROR(INDEX('2 Staff List'!$IB$64:$IB$114,$AH223),0)</f>
        <v>0</v>
      </c>
      <c r="AL223" s="25">
        <f>IF(OR(NOT(ISBLANK(DV223)),CX223=1),"&lt;Non-Labor&gt;",IFERROR(IF(AH223=0,0,INDEX('2 Staff List'!$HZ$64:$HZ$114,$AH223)),0))</f>
        <v>0</v>
      </c>
      <c r="AM223" s="25">
        <f>IFERROR(INDEX('2 Staff List'!$HW$64:$HW$114,$AH223),0)</f>
        <v>0</v>
      </c>
      <c r="AN223" s="25">
        <f t="shared" si="568"/>
        <v>1</v>
      </c>
      <c r="AO223" s="25">
        <f>IF($AO$127=0,0,IFERROR(INDEX('2 Staff List'!$JH$64:$JH$114,$AH223),0))</f>
        <v>0</v>
      </c>
      <c r="AP223" s="25">
        <f>IFERROR(INDEX('2 Staff List'!$HU$64:$HU$114,$AH223),0)</f>
        <v>0</v>
      </c>
      <c r="AQ223" s="25">
        <f t="shared" si="569"/>
        <v>0</v>
      </c>
      <c r="AR223" s="25">
        <f t="shared" si="570"/>
        <v>0</v>
      </c>
      <c r="AS223" s="25">
        <f t="shared" si="571"/>
        <v>0</v>
      </c>
      <c r="AT223" s="25">
        <f t="shared" si="572"/>
        <v>0</v>
      </c>
      <c r="AU223" s="25">
        <f t="shared" si="573"/>
        <v>0</v>
      </c>
      <c r="AV223" s="25">
        <f t="shared" si="574"/>
        <v>0</v>
      </c>
      <c r="AW223" s="25">
        <f t="shared" si="575"/>
        <v>0</v>
      </c>
      <c r="AX223" s="25">
        <f t="shared" si="576"/>
        <v>0</v>
      </c>
      <c r="AY223" s="25">
        <f t="shared" si="577"/>
        <v>0</v>
      </c>
      <c r="AZ223" s="25">
        <f t="shared" si="578"/>
        <v>0</v>
      </c>
      <c r="BA223" s="25">
        <f t="shared" si="579"/>
        <v>0</v>
      </c>
      <c r="BB223" s="25">
        <f t="shared" si="580"/>
        <v>0</v>
      </c>
      <c r="BC223" s="25">
        <f>IFERROR(INDEX('2 Staff List'!KS$64:KS$114,$AH223),0)</f>
        <v>0</v>
      </c>
      <c r="BD223" s="25">
        <f>IFERROR(INDEX('2 Staff List'!KT$64:KT$114,$AH223),0)</f>
        <v>0</v>
      </c>
      <c r="BE223" s="25">
        <f>IFERROR(INDEX('2 Staff List'!KU$64:KU$114,$AH223),0)</f>
        <v>0</v>
      </c>
      <c r="BF223" s="25">
        <f>IFERROR(INDEX('2 Staff List'!KV$64:KV$114,$AH223),0)</f>
        <v>0</v>
      </c>
      <c r="BG223" s="25">
        <f>IFERROR(INDEX('2 Staff List'!KW$64:KW$114,$AH223),0)</f>
        <v>0</v>
      </c>
      <c r="BH223" s="25">
        <f>IFERROR(INDEX('2 Staff List'!KX$64:KX$114,$AH223),0)</f>
        <v>0</v>
      </c>
      <c r="BI223" s="25">
        <f>IFERROR(INDEX('2 Staff List'!KY$64:KY$114,$AH223),0)</f>
        <v>0</v>
      </c>
      <c r="BJ223" s="25">
        <f>IFERROR(INDEX('2 Staff List'!KZ$64:KZ$114,$AH223),0)</f>
        <v>0</v>
      </c>
      <c r="BK223" s="25">
        <f>IFERROR(INDEX('2 Staff List'!LA$64:LA$114,$AH223),0)</f>
        <v>0</v>
      </c>
      <c r="BL223" s="25">
        <f>IFERROR(INDEX('2 Staff List'!LB$64:LB$114,$AH223),0)</f>
        <v>0</v>
      </c>
      <c r="BM223" s="25">
        <f>IFERROR(INDEX('2 Staff List'!FT$64:FT$114,$AH223),0)</f>
        <v>0</v>
      </c>
      <c r="BN223" s="25">
        <f>IFERROR(INDEX('2 Staff List'!FU$64:FU$114,$AH223),0)</f>
        <v>0</v>
      </c>
      <c r="BO223" s="25">
        <f>IFERROR(INDEX('2 Staff List'!FV$64:FV$114,$AH223),0)</f>
        <v>0</v>
      </c>
      <c r="BP223" s="25">
        <f>IFERROR(INDEX('2 Staff List'!FW$64:FW$114,$AH223),0)</f>
        <v>0</v>
      </c>
      <c r="BQ223" s="25">
        <f>IFERROR(INDEX('2 Staff List'!FX$64:FX$114,$AH223),0)</f>
        <v>0</v>
      </c>
      <c r="BR223" s="25">
        <f>IFERROR(INDEX('2 Staff List'!FY$64:FY$114,$AH223),0)</f>
        <v>0</v>
      </c>
      <c r="BS223" s="25">
        <f>IFERROR(INDEX('2 Staff List'!FZ$64:FZ$114,$AH223),0)</f>
        <v>0</v>
      </c>
      <c r="BT223" s="25">
        <f>IFERROR(INDEX('2 Staff List'!GA$64:GA$114,$AH223),0)</f>
        <v>0</v>
      </c>
      <c r="BU223" s="25">
        <f>IFERROR(INDEX('2 Staff List'!GB$64:GB$114,$AH223),0)</f>
        <v>0</v>
      </c>
      <c r="BV223" s="25">
        <f>IFERROR(INDEX('2 Staff List'!GC$64:GC$114,$AH223),0)</f>
        <v>0</v>
      </c>
      <c r="BW223" s="25">
        <f t="shared" si="581"/>
        <v>0</v>
      </c>
      <c r="BX223" s="25">
        <f t="shared" si="582"/>
        <v>0</v>
      </c>
      <c r="BY223" s="25">
        <f t="shared" si="583"/>
        <v>0</v>
      </c>
      <c r="BZ223" s="25">
        <f t="shared" si="584"/>
        <v>0</v>
      </c>
      <c r="CA223" s="25">
        <f t="shared" si="585"/>
        <v>0</v>
      </c>
      <c r="CB223" s="25">
        <f t="shared" si="586"/>
        <v>0</v>
      </c>
      <c r="CC223" s="25">
        <f t="shared" si="587"/>
        <v>0</v>
      </c>
      <c r="CD223" s="25">
        <f t="shared" si="588"/>
        <v>0</v>
      </c>
      <c r="CE223" s="25">
        <f t="shared" si="589"/>
        <v>0</v>
      </c>
      <c r="CF223" s="25">
        <f t="shared" si="590"/>
        <v>0</v>
      </c>
      <c r="CG223" s="25">
        <f t="shared" si="591"/>
        <v>0</v>
      </c>
      <c r="CH223" s="25">
        <f>IFERROR(INDEX('2 Staff List'!LO$64:LO$114,$AH223),0)</f>
        <v>0</v>
      </c>
      <c r="CI223" s="25">
        <f>IFERROR(INDEX('2 Staff List'!LP$64:LP$114,$AH223),0)</f>
        <v>0</v>
      </c>
      <c r="CJ223" s="25">
        <f>IFERROR(INDEX('2 Staff List'!LQ$64:LQ$114,$AH223),0)</f>
        <v>0</v>
      </c>
      <c r="CK223" s="25">
        <f>IFERROR(INDEX('2 Staff List'!LR$64:LR$114,$AH223),0)</f>
        <v>0</v>
      </c>
      <c r="CL223" s="25">
        <f>IFERROR(INDEX('2 Staff List'!LS$64:LS$114,$AH223),0)</f>
        <v>0</v>
      </c>
      <c r="CM223" s="25">
        <f>IFERROR(INDEX('2 Staff List'!LT$64:LT$114,$AH223),0)</f>
        <v>0</v>
      </c>
      <c r="CN223" s="25">
        <f>IFERROR(INDEX('2 Staff List'!LU$64:LU$114,$AH223),0)</f>
        <v>0</v>
      </c>
      <c r="CO223" s="25">
        <f>IFERROR(INDEX('2 Staff List'!LV$64:LV$114,$AH223),0)</f>
        <v>0</v>
      </c>
      <c r="CP223" s="25">
        <f>IFERROR(INDEX('2 Staff List'!LW$64:LW$114,$AH223),0)</f>
        <v>0</v>
      </c>
      <c r="CQ223" s="25">
        <f>IFERROR(INDEX('2 Staff List'!LX$64:LX$114,$AH223),0)</f>
        <v>0</v>
      </c>
      <c r="CR223" s="25">
        <f t="shared" si="592"/>
        <v>0</v>
      </c>
      <c r="CS223" s="25">
        <f t="shared" si="593"/>
        <v>1</v>
      </c>
      <c r="CT223" s="25">
        <f t="shared" si="594"/>
        <v>1</v>
      </c>
      <c r="CU223" s="25">
        <f t="shared" si="595"/>
        <v>1</v>
      </c>
      <c r="CV223" s="25">
        <f t="shared" si="596"/>
        <v>1</v>
      </c>
      <c r="CW223" s="25">
        <f t="shared" si="597"/>
        <v>1</v>
      </c>
      <c r="CX223" s="25">
        <f t="shared" si="598"/>
        <v>0</v>
      </c>
      <c r="CY223" s="25">
        <f t="shared" si="338"/>
        <v>0</v>
      </c>
      <c r="CZ223" s="25">
        <f t="shared" si="599"/>
        <v>0</v>
      </c>
      <c r="DA223" s="25">
        <f t="shared" si="340"/>
        <v>1</v>
      </c>
      <c r="DB223" s="25">
        <f t="shared" si="600"/>
        <v>1</v>
      </c>
      <c r="DC223" s="25">
        <f t="shared" si="341"/>
        <v>0</v>
      </c>
      <c r="DD223" s="25">
        <f>IF(OR($AD223&lt;&gt;3,F223="Exclude"),0,IF(ISERROR(MATCH($E223,'4 Sign-off'!$S$123:$X$123,0)),0,1))</f>
        <v>0</v>
      </c>
      <c r="DE223" s="25">
        <f t="shared" si="601"/>
        <v>0</v>
      </c>
      <c r="DF223" s="25">
        <f t="shared" si="602"/>
        <v>0</v>
      </c>
      <c r="DG223" s="25" t="str">
        <f t="shared" si="603"/>
        <v/>
      </c>
      <c r="DH223" s="25">
        <f t="shared" si="344"/>
        <v>0</v>
      </c>
      <c r="DI223" s="25">
        <f t="shared" si="345"/>
        <v>0</v>
      </c>
      <c r="DJ223" s="25">
        <f>IF(ISBLANK(J223),0,ISERROR(MATCH(J223,'5  Control Accounts'!$FA$29:$FA$96,0))*1)</f>
        <v>0</v>
      </c>
      <c r="DK223" s="25">
        <f t="shared" si="604"/>
        <v>0</v>
      </c>
      <c r="DL223" s="25">
        <f t="shared" si="605"/>
        <v>-1</v>
      </c>
      <c r="DM223" s="25" t="e">
        <f t="array" ref="DM223">MATCH(1,($EG223:$JD223&gt;0)*$EG$17:$JD$17,0)</f>
        <v>#N/A</v>
      </c>
      <c r="DN223" s="25" t="e">
        <f t="shared" si="606"/>
        <v>#N/A</v>
      </c>
      <c r="DO223" s="25" t="e">
        <f t="array" ref="DO223">MATCH(2,1/(EG223:JD223&gt;0))</f>
        <v>#N/A</v>
      </c>
      <c r="DP223" s="2993">
        <f t="shared" si="607"/>
        <v>0</v>
      </c>
      <c r="DQ223" s="3037">
        <f t="shared" si="608"/>
        <v>0</v>
      </c>
      <c r="DR223" s="111"/>
      <c r="DS223" s="1268">
        <f t="shared" si="609"/>
        <v>0</v>
      </c>
      <c r="DT223" s="1825"/>
      <c r="DU223" s="1826"/>
      <c r="DV223" s="1827"/>
      <c r="DW223" s="1828"/>
      <c r="DX223" s="659"/>
      <c r="DY223" s="1265"/>
      <c r="DZ223" s="1785">
        <f t="shared" si="610"/>
        <v>0</v>
      </c>
      <c r="EA223" s="1786">
        <f t="shared" si="611"/>
        <v>0</v>
      </c>
      <c r="EB223" s="1781">
        <f t="shared" si="612"/>
        <v>0</v>
      </c>
      <c r="EC223" s="1782">
        <f t="shared" si="613"/>
        <v>0</v>
      </c>
      <c r="ED223" s="1262"/>
      <c r="EE223" s="2280"/>
      <c r="EF223" s="1802"/>
      <c r="EG223" s="167"/>
      <c r="EH223" s="168"/>
      <c r="EI223" s="168"/>
      <c r="EJ223" s="168"/>
      <c r="EK223" s="168"/>
      <c r="EL223" s="168"/>
      <c r="EM223" s="168"/>
      <c r="EN223" s="168"/>
      <c r="EO223" s="168"/>
      <c r="EP223" s="168"/>
      <c r="EQ223" s="168"/>
      <c r="ER223" s="168"/>
      <c r="ES223" s="168"/>
      <c r="ET223" s="168"/>
      <c r="EU223" s="168"/>
      <c r="EV223" s="168"/>
      <c r="EW223" s="168"/>
      <c r="EX223" s="168"/>
      <c r="EY223" s="168"/>
      <c r="EZ223" s="168"/>
      <c r="FA223" s="168"/>
      <c r="FB223" s="168"/>
      <c r="FC223" s="168"/>
      <c r="FD223" s="168"/>
      <c r="FE223" s="168"/>
      <c r="FF223" s="168"/>
      <c r="FG223" s="168"/>
      <c r="FH223" s="168"/>
      <c r="FI223" s="168"/>
      <c r="FJ223" s="168"/>
      <c r="FK223" s="168"/>
      <c r="FL223" s="168"/>
      <c r="FM223" s="168"/>
      <c r="FN223" s="168"/>
      <c r="FO223" s="168"/>
      <c r="FP223" s="168"/>
      <c r="FQ223" s="168"/>
      <c r="FR223" s="168"/>
      <c r="FS223" s="168"/>
      <c r="FT223" s="168"/>
      <c r="FU223" s="168"/>
      <c r="FV223" s="168"/>
      <c r="FW223" s="168"/>
      <c r="FX223" s="168"/>
      <c r="FY223" s="168"/>
      <c r="FZ223" s="168"/>
      <c r="GA223" s="168"/>
      <c r="GB223" s="168"/>
      <c r="GC223" s="168"/>
      <c r="GD223" s="168"/>
      <c r="GE223" s="168"/>
      <c r="GF223" s="168"/>
      <c r="GG223" s="168"/>
      <c r="GH223" s="168"/>
      <c r="GI223" s="168"/>
      <c r="GJ223" s="168"/>
      <c r="GK223" s="168"/>
      <c r="GL223" s="168"/>
      <c r="GM223" s="168"/>
      <c r="GN223" s="168"/>
      <c r="GO223" s="168"/>
      <c r="GP223" s="168"/>
      <c r="GQ223" s="168"/>
      <c r="GR223" s="168"/>
      <c r="GS223" s="168"/>
      <c r="GT223" s="168"/>
      <c r="GU223" s="168"/>
      <c r="GV223" s="168"/>
      <c r="GW223" s="168"/>
      <c r="GX223" s="168"/>
      <c r="GY223" s="168"/>
      <c r="GZ223" s="168"/>
      <c r="HA223" s="168"/>
      <c r="HB223" s="168"/>
      <c r="HC223" s="168"/>
      <c r="HD223" s="168"/>
      <c r="HE223" s="168"/>
      <c r="HF223" s="168"/>
      <c r="HG223" s="168"/>
      <c r="HH223" s="168"/>
      <c r="HI223" s="168"/>
      <c r="HJ223" s="168"/>
      <c r="HK223" s="168"/>
      <c r="HL223" s="168"/>
      <c r="HM223" s="168"/>
      <c r="HN223" s="168"/>
      <c r="HO223" s="168"/>
      <c r="HP223" s="168"/>
      <c r="HQ223" s="168"/>
      <c r="HR223" s="168"/>
      <c r="HS223" s="168"/>
      <c r="HT223" s="168"/>
      <c r="HU223" s="168"/>
      <c r="HV223" s="168"/>
      <c r="HW223" s="168"/>
      <c r="HX223" s="168"/>
      <c r="HY223" s="168"/>
      <c r="HZ223" s="168"/>
      <c r="IA223" s="168"/>
      <c r="IB223" s="168"/>
      <c r="IC223" s="168"/>
      <c r="ID223" s="168"/>
      <c r="IE223" s="168"/>
      <c r="IF223" s="168"/>
      <c r="IG223" s="168"/>
      <c r="IH223" s="168"/>
      <c r="II223" s="168"/>
      <c r="IJ223" s="168"/>
      <c r="IK223" s="168"/>
      <c r="IL223" s="168"/>
      <c r="IM223" s="168"/>
      <c r="IN223" s="168"/>
      <c r="IO223" s="168"/>
      <c r="IP223" s="168"/>
      <c r="IQ223" s="168"/>
      <c r="IR223" s="168"/>
      <c r="IS223" s="168"/>
      <c r="IT223" s="168"/>
      <c r="IU223" s="168"/>
      <c r="IV223" s="168"/>
      <c r="IW223" s="168"/>
      <c r="IX223" s="168"/>
      <c r="IY223" s="168"/>
      <c r="IZ223" s="168"/>
      <c r="JA223" s="168"/>
      <c r="JB223" s="168"/>
      <c r="JC223" s="606"/>
      <c r="JD223" s="609"/>
      <c r="JE223" s="1"/>
      <c r="JF223" s="1"/>
    </row>
    <row r="224" spans="1:266" s="2" customFormat="1" ht="15" customHeight="1" x14ac:dyDescent="0.25">
      <c r="A224" s="283"/>
      <c r="B224" s="303"/>
      <c r="C224" s="301"/>
      <c r="D224" s="2753"/>
      <c r="E224" s="2298"/>
      <c r="F224" s="1812"/>
      <c r="G224" s="3342"/>
      <c r="H224" s="66"/>
      <c r="I224" s="1746"/>
      <c r="J224" s="86"/>
      <c r="K224" s="105"/>
      <c r="L224" s="91"/>
      <c r="M224" s="92"/>
      <c r="N224" s="93"/>
      <c r="O224" s="94"/>
      <c r="P224" s="96"/>
      <c r="Q224" s="95"/>
      <c r="R224" s="993">
        <f t="shared" si="350"/>
        <v>0</v>
      </c>
      <c r="S224" s="23">
        <f t="shared" si="298"/>
        <v>0</v>
      </c>
      <c r="T224" s="24">
        <f t="shared" si="351"/>
        <v>0</v>
      </c>
      <c r="U224" s="24">
        <f t="shared" si="352"/>
        <v>0</v>
      </c>
      <c r="V224" s="24">
        <f t="shared" si="301"/>
        <v>0</v>
      </c>
      <c r="W224" s="24">
        <f t="shared" si="353"/>
        <v>0</v>
      </c>
      <c r="X224" s="72">
        <f t="shared" si="303"/>
        <v>0</v>
      </c>
      <c r="Y224" s="72">
        <f t="shared" si="354"/>
        <v>0</v>
      </c>
      <c r="Z224" s="24">
        <f t="shared" si="355"/>
        <v>0</v>
      </c>
      <c r="AA224" s="72">
        <f t="shared" si="305"/>
        <v>0</v>
      </c>
      <c r="AB224" s="24">
        <f t="shared" si="306"/>
        <v>0</v>
      </c>
      <c r="AC224" s="24" t="s">
        <v>5</v>
      </c>
      <c r="AD224" s="25">
        <f t="shared" si="356"/>
        <v>3</v>
      </c>
      <c r="AE224" s="25">
        <f t="shared" si="357"/>
        <v>0</v>
      </c>
      <c r="AF224" s="25">
        <f t="shared" si="358"/>
        <v>0</v>
      </c>
      <c r="AG224" s="25">
        <f t="shared" si="307"/>
        <v>1</v>
      </c>
      <c r="AH224" s="25" t="str">
        <f>IFERROR(MATCH(DY224,'2 Staff List'!$IA$64:$IA$114,0),"x")</f>
        <v>x</v>
      </c>
      <c r="AI224" s="1181">
        <f>IFERROR(INDEX('2 Staff List'!$EX$64:$EX$114,$AH224),0)</f>
        <v>0</v>
      </c>
      <c r="AJ224" s="25">
        <f>IFERROR(INDEX('2 Staff List'!$IW$64:$IW$114,$AH224),0)</f>
        <v>0</v>
      </c>
      <c r="AK224" s="25">
        <f>IFERROR(INDEX('2 Staff List'!$IB$64:$IB$114,$AH224),0)</f>
        <v>0</v>
      </c>
      <c r="AL224" s="25">
        <f>IF(OR(NOT(ISBLANK(DV224)),CX224=1),"&lt;Non-Labor&gt;",IFERROR(IF(AH224=0,0,INDEX('2 Staff List'!$HZ$64:$HZ$114,$AH224)),0))</f>
        <v>0</v>
      </c>
      <c r="AM224" s="25">
        <f>IFERROR(INDEX('2 Staff List'!$HW$64:$HW$114,$AH224),0)</f>
        <v>0</v>
      </c>
      <c r="AN224" s="25">
        <f t="shared" si="359"/>
        <v>1</v>
      </c>
      <c r="AO224" s="25">
        <f>IF($AO$127=0,0,IFERROR(INDEX('2 Staff List'!$JH$64:$JH$114,$AH224),0))</f>
        <v>0</v>
      </c>
      <c r="AP224" s="25">
        <f>IFERROR(INDEX('2 Staff List'!$HU$64:$HU$114,$AH224),0)</f>
        <v>0</v>
      </c>
      <c r="AQ224" s="25">
        <f t="shared" si="360"/>
        <v>0</v>
      </c>
      <c r="AR224" s="25">
        <f t="shared" si="361"/>
        <v>0</v>
      </c>
      <c r="AS224" s="25">
        <f t="shared" si="311"/>
        <v>0</v>
      </c>
      <c r="AT224" s="25">
        <f t="shared" si="312"/>
        <v>0</v>
      </c>
      <c r="AU224" s="25">
        <f t="shared" si="313"/>
        <v>0</v>
      </c>
      <c r="AV224" s="25">
        <f t="shared" si="314"/>
        <v>0</v>
      </c>
      <c r="AW224" s="25">
        <f t="shared" si="315"/>
        <v>0</v>
      </c>
      <c r="AX224" s="25">
        <f t="shared" si="316"/>
        <v>0</v>
      </c>
      <c r="AY224" s="25">
        <f t="shared" si="317"/>
        <v>0</v>
      </c>
      <c r="AZ224" s="25">
        <f t="shared" si="318"/>
        <v>0</v>
      </c>
      <c r="BA224" s="25">
        <f t="shared" si="319"/>
        <v>0</v>
      </c>
      <c r="BB224" s="25">
        <f t="shared" si="320"/>
        <v>0</v>
      </c>
      <c r="BC224" s="25">
        <f>IFERROR(INDEX('2 Staff List'!KS$64:KS$114,$AH224),0)</f>
        <v>0</v>
      </c>
      <c r="BD224" s="25">
        <f>IFERROR(INDEX('2 Staff List'!KT$64:KT$114,$AH224),0)</f>
        <v>0</v>
      </c>
      <c r="BE224" s="25">
        <f>IFERROR(INDEX('2 Staff List'!KU$64:KU$114,$AH224),0)</f>
        <v>0</v>
      </c>
      <c r="BF224" s="25">
        <f>IFERROR(INDEX('2 Staff List'!KV$64:KV$114,$AH224),0)</f>
        <v>0</v>
      </c>
      <c r="BG224" s="25">
        <f>IFERROR(INDEX('2 Staff List'!KW$64:KW$114,$AH224),0)</f>
        <v>0</v>
      </c>
      <c r="BH224" s="25">
        <f>IFERROR(INDEX('2 Staff List'!KX$64:KX$114,$AH224),0)</f>
        <v>0</v>
      </c>
      <c r="BI224" s="25">
        <f>IFERROR(INDEX('2 Staff List'!KY$64:KY$114,$AH224),0)</f>
        <v>0</v>
      </c>
      <c r="BJ224" s="25">
        <f>IFERROR(INDEX('2 Staff List'!KZ$64:KZ$114,$AH224),0)</f>
        <v>0</v>
      </c>
      <c r="BK224" s="25">
        <f>IFERROR(INDEX('2 Staff List'!LA$64:LA$114,$AH224),0)</f>
        <v>0</v>
      </c>
      <c r="BL224" s="25">
        <f>IFERROR(INDEX('2 Staff List'!LB$64:LB$114,$AH224),0)</f>
        <v>0</v>
      </c>
      <c r="BM224" s="25">
        <f>IFERROR(INDEX('2 Staff List'!FT$64:FT$114,$AH224),0)</f>
        <v>0</v>
      </c>
      <c r="BN224" s="25">
        <f>IFERROR(INDEX('2 Staff List'!FU$64:FU$114,$AH224),0)</f>
        <v>0</v>
      </c>
      <c r="BO224" s="25">
        <f>IFERROR(INDEX('2 Staff List'!FV$64:FV$114,$AH224),0)</f>
        <v>0</v>
      </c>
      <c r="BP224" s="25">
        <f>IFERROR(INDEX('2 Staff List'!FW$64:FW$114,$AH224),0)</f>
        <v>0</v>
      </c>
      <c r="BQ224" s="25">
        <f>IFERROR(INDEX('2 Staff List'!FX$64:FX$114,$AH224),0)</f>
        <v>0</v>
      </c>
      <c r="BR224" s="25">
        <f>IFERROR(INDEX('2 Staff List'!FY$64:FY$114,$AH224),0)</f>
        <v>0</v>
      </c>
      <c r="BS224" s="25">
        <f>IFERROR(INDEX('2 Staff List'!FZ$64:FZ$114,$AH224),0)</f>
        <v>0</v>
      </c>
      <c r="BT224" s="25">
        <f>IFERROR(INDEX('2 Staff List'!GA$64:GA$114,$AH224),0)</f>
        <v>0</v>
      </c>
      <c r="BU224" s="25">
        <f>IFERROR(INDEX('2 Staff List'!GB$64:GB$114,$AH224),0)</f>
        <v>0</v>
      </c>
      <c r="BV224" s="25">
        <f>IFERROR(INDEX('2 Staff List'!GC$64:GC$114,$AH224),0)</f>
        <v>0</v>
      </c>
      <c r="BW224" s="25">
        <f t="shared" si="362"/>
        <v>0</v>
      </c>
      <c r="BX224" s="25">
        <f t="shared" si="322"/>
        <v>0</v>
      </c>
      <c r="BY224" s="25">
        <f t="shared" si="323"/>
        <v>0</v>
      </c>
      <c r="BZ224" s="25">
        <f t="shared" si="324"/>
        <v>0</v>
      </c>
      <c r="CA224" s="25">
        <f t="shared" si="325"/>
        <v>0</v>
      </c>
      <c r="CB224" s="25">
        <f t="shared" si="326"/>
        <v>0</v>
      </c>
      <c r="CC224" s="25">
        <f t="shared" si="327"/>
        <v>0</v>
      </c>
      <c r="CD224" s="25">
        <f t="shared" si="328"/>
        <v>0</v>
      </c>
      <c r="CE224" s="25">
        <f t="shared" si="329"/>
        <v>0</v>
      </c>
      <c r="CF224" s="25">
        <f t="shared" si="330"/>
        <v>0</v>
      </c>
      <c r="CG224" s="25">
        <f t="shared" si="331"/>
        <v>0</v>
      </c>
      <c r="CH224" s="25">
        <f>IFERROR(INDEX('2 Staff List'!LO$64:LO$114,$AH224),0)</f>
        <v>0</v>
      </c>
      <c r="CI224" s="25">
        <f>IFERROR(INDEX('2 Staff List'!LP$64:LP$114,$AH224),0)</f>
        <v>0</v>
      </c>
      <c r="CJ224" s="25">
        <f>IFERROR(INDEX('2 Staff List'!LQ$64:LQ$114,$AH224),0)</f>
        <v>0</v>
      </c>
      <c r="CK224" s="25">
        <f>IFERROR(INDEX('2 Staff List'!LR$64:LR$114,$AH224),0)</f>
        <v>0</v>
      </c>
      <c r="CL224" s="25">
        <f>IFERROR(INDEX('2 Staff List'!LS$64:LS$114,$AH224),0)</f>
        <v>0</v>
      </c>
      <c r="CM224" s="25">
        <f>IFERROR(INDEX('2 Staff List'!LT$64:LT$114,$AH224),0)</f>
        <v>0</v>
      </c>
      <c r="CN224" s="25">
        <f>IFERROR(INDEX('2 Staff List'!LU$64:LU$114,$AH224),0)</f>
        <v>0</v>
      </c>
      <c r="CO224" s="25">
        <f>IFERROR(INDEX('2 Staff List'!LV$64:LV$114,$AH224),0)</f>
        <v>0</v>
      </c>
      <c r="CP224" s="25">
        <f>IFERROR(INDEX('2 Staff List'!LW$64:LW$114,$AH224),0)</f>
        <v>0</v>
      </c>
      <c r="CQ224" s="25">
        <f>IFERROR(INDEX('2 Staff List'!LX$64:LX$114,$AH224),0)</f>
        <v>0</v>
      </c>
      <c r="CR224" s="25">
        <f t="shared" si="363"/>
        <v>0</v>
      </c>
      <c r="CS224" s="25">
        <f t="shared" si="364"/>
        <v>1</v>
      </c>
      <c r="CT224" s="25">
        <f t="shared" si="365"/>
        <v>1</v>
      </c>
      <c r="CU224" s="25">
        <f t="shared" si="366"/>
        <v>1</v>
      </c>
      <c r="CV224" s="25">
        <f t="shared" si="335"/>
        <v>1</v>
      </c>
      <c r="CW224" s="25">
        <f t="shared" si="367"/>
        <v>1</v>
      </c>
      <c r="CX224" s="25">
        <f t="shared" si="337"/>
        <v>0</v>
      </c>
      <c r="CY224" s="25">
        <f t="shared" si="338"/>
        <v>0</v>
      </c>
      <c r="CZ224" s="25">
        <f t="shared" si="368"/>
        <v>0</v>
      </c>
      <c r="DA224" s="25">
        <f t="shared" si="340"/>
        <v>1</v>
      </c>
      <c r="DB224" s="25">
        <f t="shared" si="369"/>
        <v>1</v>
      </c>
      <c r="DC224" s="25">
        <f t="shared" si="341"/>
        <v>0</v>
      </c>
      <c r="DD224" s="25">
        <f>IF(OR($AD224&lt;&gt;3,F224="Exclude"),0,IF(ISERROR(MATCH($E224,'4 Sign-off'!$S$123:$X$123,0)),0,1))</f>
        <v>0</v>
      </c>
      <c r="DE224" s="25">
        <f t="shared" si="550"/>
        <v>0</v>
      </c>
      <c r="DF224" s="25">
        <f t="shared" si="370"/>
        <v>0</v>
      </c>
      <c r="DG224" s="25" t="str">
        <f t="shared" si="371"/>
        <v/>
      </c>
      <c r="DH224" s="25">
        <f t="shared" si="344"/>
        <v>0</v>
      </c>
      <c r="DI224" s="25">
        <f t="shared" si="345"/>
        <v>0</v>
      </c>
      <c r="DJ224" s="25">
        <f>IF(ISBLANK(J224),0,ISERROR(MATCH(J224,'5  Control Accounts'!$FA$29:$FA$96,0))*1)</f>
        <v>0</v>
      </c>
      <c r="DK224" s="25">
        <f t="shared" si="346"/>
        <v>0</v>
      </c>
      <c r="DL224" s="25">
        <f t="shared" si="372"/>
        <v>-1</v>
      </c>
      <c r="DM224" s="25" t="e">
        <f t="array" ref="DM224">MATCH(1,($EG224:$JD224&gt;0)*$EG$17:$JD$17,0)</f>
        <v>#N/A</v>
      </c>
      <c r="DN224" s="25" t="e">
        <f t="shared" si="551"/>
        <v>#N/A</v>
      </c>
      <c r="DO224" s="25" t="e">
        <f t="array" ref="DO224">MATCH(2,1/(EG224:JD224&gt;0))</f>
        <v>#N/A</v>
      </c>
      <c r="DP224" s="2993">
        <f t="shared" si="347"/>
        <v>0</v>
      </c>
      <c r="DQ224" s="3037">
        <f t="shared" si="348"/>
        <v>0</v>
      </c>
      <c r="DR224" s="111"/>
      <c r="DS224" s="1268">
        <f t="shared" si="373"/>
        <v>0</v>
      </c>
      <c r="DT224" s="1825"/>
      <c r="DU224" s="1826"/>
      <c r="DV224" s="1827"/>
      <c r="DW224" s="1828"/>
      <c r="DX224" s="659"/>
      <c r="DY224" s="1265"/>
      <c r="DZ224" s="1785">
        <f t="shared" si="374"/>
        <v>0</v>
      </c>
      <c r="EA224" s="1786">
        <f t="shared" si="375"/>
        <v>0</v>
      </c>
      <c r="EB224" s="1781">
        <f t="shared" si="552"/>
        <v>0</v>
      </c>
      <c r="EC224" s="1782">
        <f t="shared" si="553"/>
        <v>0</v>
      </c>
      <c r="ED224" s="1262"/>
      <c r="EE224" s="2280"/>
      <c r="EF224" s="1802"/>
      <c r="EG224" s="167"/>
      <c r="EH224" s="168"/>
      <c r="EI224" s="168"/>
      <c r="EJ224" s="168"/>
      <c r="EK224" s="168"/>
      <c r="EL224" s="168"/>
      <c r="EM224" s="168"/>
      <c r="EN224" s="168"/>
      <c r="EO224" s="168"/>
      <c r="EP224" s="168"/>
      <c r="EQ224" s="168"/>
      <c r="ER224" s="168"/>
      <c r="ES224" s="168"/>
      <c r="ET224" s="168"/>
      <c r="EU224" s="168"/>
      <c r="EV224" s="168"/>
      <c r="EW224" s="168"/>
      <c r="EX224" s="168"/>
      <c r="EY224" s="168"/>
      <c r="EZ224" s="168"/>
      <c r="FA224" s="168"/>
      <c r="FB224" s="168"/>
      <c r="FC224" s="168"/>
      <c r="FD224" s="168"/>
      <c r="FE224" s="168"/>
      <c r="FF224" s="168"/>
      <c r="FG224" s="168"/>
      <c r="FH224" s="168"/>
      <c r="FI224" s="168"/>
      <c r="FJ224" s="168"/>
      <c r="FK224" s="168"/>
      <c r="FL224" s="168"/>
      <c r="FM224" s="168"/>
      <c r="FN224" s="168"/>
      <c r="FO224" s="168"/>
      <c r="FP224" s="168"/>
      <c r="FQ224" s="168"/>
      <c r="FR224" s="168"/>
      <c r="FS224" s="168"/>
      <c r="FT224" s="168"/>
      <c r="FU224" s="168"/>
      <c r="FV224" s="168"/>
      <c r="FW224" s="168"/>
      <c r="FX224" s="168"/>
      <c r="FY224" s="168"/>
      <c r="FZ224" s="168"/>
      <c r="GA224" s="168"/>
      <c r="GB224" s="168"/>
      <c r="GC224" s="168"/>
      <c r="GD224" s="168"/>
      <c r="GE224" s="168"/>
      <c r="GF224" s="168"/>
      <c r="GG224" s="168"/>
      <c r="GH224" s="168"/>
      <c r="GI224" s="168"/>
      <c r="GJ224" s="168"/>
      <c r="GK224" s="168"/>
      <c r="GL224" s="168"/>
      <c r="GM224" s="168"/>
      <c r="GN224" s="168"/>
      <c r="GO224" s="168"/>
      <c r="GP224" s="168"/>
      <c r="GQ224" s="168"/>
      <c r="GR224" s="168"/>
      <c r="GS224" s="168"/>
      <c r="GT224" s="168"/>
      <c r="GU224" s="168"/>
      <c r="GV224" s="168"/>
      <c r="GW224" s="168"/>
      <c r="GX224" s="168"/>
      <c r="GY224" s="168"/>
      <c r="GZ224" s="168"/>
      <c r="HA224" s="168"/>
      <c r="HB224" s="168"/>
      <c r="HC224" s="168"/>
      <c r="HD224" s="168"/>
      <c r="HE224" s="168"/>
      <c r="HF224" s="168"/>
      <c r="HG224" s="168"/>
      <c r="HH224" s="168"/>
      <c r="HI224" s="168"/>
      <c r="HJ224" s="168"/>
      <c r="HK224" s="168"/>
      <c r="HL224" s="168"/>
      <c r="HM224" s="168"/>
      <c r="HN224" s="168"/>
      <c r="HO224" s="168"/>
      <c r="HP224" s="168"/>
      <c r="HQ224" s="168"/>
      <c r="HR224" s="168"/>
      <c r="HS224" s="168"/>
      <c r="HT224" s="168"/>
      <c r="HU224" s="168"/>
      <c r="HV224" s="168"/>
      <c r="HW224" s="168"/>
      <c r="HX224" s="168"/>
      <c r="HY224" s="168"/>
      <c r="HZ224" s="168"/>
      <c r="IA224" s="168"/>
      <c r="IB224" s="168"/>
      <c r="IC224" s="168"/>
      <c r="ID224" s="168"/>
      <c r="IE224" s="168"/>
      <c r="IF224" s="168"/>
      <c r="IG224" s="168"/>
      <c r="IH224" s="168"/>
      <c r="II224" s="168"/>
      <c r="IJ224" s="168"/>
      <c r="IK224" s="168"/>
      <c r="IL224" s="168"/>
      <c r="IM224" s="168"/>
      <c r="IN224" s="168"/>
      <c r="IO224" s="168"/>
      <c r="IP224" s="168"/>
      <c r="IQ224" s="168"/>
      <c r="IR224" s="168"/>
      <c r="IS224" s="168"/>
      <c r="IT224" s="168"/>
      <c r="IU224" s="168"/>
      <c r="IV224" s="168"/>
      <c r="IW224" s="168"/>
      <c r="IX224" s="168"/>
      <c r="IY224" s="168"/>
      <c r="IZ224" s="168"/>
      <c r="JA224" s="168"/>
      <c r="JB224" s="168"/>
      <c r="JC224" s="606"/>
      <c r="JD224" s="609"/>
      <c r="JE224" s="1"/>
      <c r="JF224" s="1"/>
    </row>
    <row r="225" spans="1:266" s="2" customFormat="1" ht="15" customHeight="1" x14ac:dyDescent="0.25">
      <c r="A225" s="283"/>
      <c r="B225" s="303"/>
      <c r="C225" s="301"/>
      <c r="D225" s="638"/>
      <c r="E225" s="2298"/>
      <c r="F225" s="1812"/>
      <c r="G225" s="3342"/>
      <c r="H225" s="66"/>
      <c r="I225" s="1746"/>
      <c r="J225" s="86"/>
      <c r="K225" s="105"/>
      <c r="L225" s="91"/>
      <c r="M225" s="92"/>
      <c r="N225" s="93"/>
      <c r="O225" s="94"/>
      <c r="P225" s="96"/>
      <c r="Q225" s="95"/>
      <c r="R225" s="993">
        <f t="shared" si="284"/>
        <v>0</v>
      </c>
      <c r="S225" s="23">
        <f t="shared" si="298"/>
        <v>0</v>
      </c>
      <c r="T225" s="24">
        <f t="shared" si="299"/>
        <v>0</v>
      </c>
      <c r="U225" s="24">
        <f t="shared" si="300"/>
        <v>0</v>
      </c>
      <c r="V225" s="24">
        <f t="shared" si="301"/>
        <v>0</v>
      </c>
      <c r="W225" s="24">
        <f t="shared" si="302"/>
        <v>0</v>
      </c>
      <c r="X225" s="72">
        <f t="shared" si="303"/>
        <v>0</v>
      </c>
      <c r="Y225" s="72">
        <f t="shared" si="304"/>
        <v>0</v>
      </c>
      <c r="Z225" s="24">
        <f t="shared" si="285"/>
        <v>0</v>
      </c>
      <c r="AA225" s="72">
        <f t="shared" si="305"/>
        <v>0</v>
      </c>
      <c r="AB225" s="24">
        <f t="shared" si="306"/>
        <v>0</v>
      </c>
      <c r="AC225" s="24" t="s">
        <v>5</v>
      </c>
      <c r="AD225" s="25">
        <f t="shared" si="286"/>
        <v>3</v>
      </c>
      <c r="AE225" s="25">
        <f t="shared" si="287"/>
        <v>0</v>
      </c>
      <c r="AF225" s="25">
        <f t="shared" si="288"/>
        <v>0</v>
      </c>
      <c r="AG225" s="25">
        <f t="shared" si="307"/>
        <v>1</v>
      </c>
      <c r="AH225" s="25" t="str">
        <f>IFERROR(MATCH(DY225,'2 Staff List'!$IA$64:$IA$114,0),"x")</f>
        <v>x</v>
      </c>
      <c r="AI225" s="1181">
        <f>IFERROR(INDEX('2 Staff List'!$EX$64:$EX$114,$AH225),0)</f>
        <v>0</v>
      </c>
      <c r="AJ225" s="25">
        <f>IFERROR(INDEX('2 Staff List'!$IW$64:$IW$114,$AH225),0)</f>
        <v>0</v>
      </c>
      <c r="AK225" s="25">
        <f>IFERROR(INDEX('2 Staff List'!$IB$64:$IB$114,$AH225),0)</f>
        <v>0</v>
      </c>
      <c r="AL225" s="25">
        <f>IF(OR(NOT(ISBLANK(DV225)),CX225=1),"&lt;Non-Labor&gt;",IFERROR(IF(AH225=0,0,INDEX('2 Staff List'!$HZ$64:$HZ$114,$AH225)),0))</f>
        <v>0</v>
      </c>
      <c r="AM225" s="25">
        <f>IFERROR(INDEX('2 Staff List'!$HW$64:$HW$114,$AH225),0)</f>
        <v>0</v>
      </c>
      <c r="AN225" s="25">
        <f t="shared" si="308"/>
        <v>1</v>
      </c>
      <c r="AO225" s="25">
        <f>IF($AO$127=0,0,IFERROR(INDEX('2 Staff List'!$JH$64:$JH$114,$AH225),0))</f>
        <v>0</v>
      </c>
      <c r="AP225" s="25">
        <f>IFERROR(INDEX('2 Staff List'!$HU$64:$HU$114,$AH225),0)</f>
        <v>0</v>
      </c>
      <c r="AQ225" s="25">
        <f t="shared" si="309"/>
        <v>0</v>
      </c>
      <c r="AR225" s="25">
        <f t="shared" si="310"/>
        <v>0</v>
      </c>
      <c r="AS225" s="25">
        <f t="shared" si="311"/>
        <v>0</v>
      </c>
      <c r="AT225" s="25">
        <f t="shared" si="312"/>
        <v>0</v>
      </c>
      <c r="AU225" s="25">
        <f t="shared" si="313"/>
        <v>0</v>
      </c>
      <c r="AV225" s="25">
        <f t="shared" si="314"/>
        <v>0</v>
      </c>
      <c r="AW225" s="25">
        <f t="shared" si="315"/>
        <v>0</v>
      </c>
      <c r="AX225" s="25">
        <f t="shared" si="316"/>
        <v>0</v>
      </c>
      <c r="AY225" s="25">
        <f t="shared" si="317"/>
        <v>0</v>
      </c>
      <c r="AZ225" s="25">
        <f t="shared" si="318"/>
        <v>0</v>
      </c>
      <c r="BA225" s="25">
        <f t="shared" si="319"/>
        <v>0</v>
      </c>
      <c r="BB225" s="25">
        <f t="shared" si="320"/>
        <v>0</v>
      </c>
      <c r="BC225" s="25">
        <f>IFERROR(INDEX('2 Staff List'!KS$64:KS$114,$AH225),0)</f>
        <v>0</v>
      </c>
      <c r="BD225" s="25">
        <f>IFERROR(INDEX('2 Staff List'!KT$64:KT$114,$AH225),0)</f>
        <v>0</v>
      </c>
      <c r="BE225" s="25">
        <f>IFERROR(INDEX('2 Staff List'!KU$64:KU$114,$AH225),0)</f>
        <v>0</v>
      </c>
      <c r="BF225" s="25">
        <f>IFERROR(INDEX('2 Staff List'!KV$64:KV$114,$AH225),0)</f>
        <v>0</v>
      </c>
      <c r="BG225" s="25">
        <f>IFERROR(INDEX('2 Staff List'!KW$64:KW$114,$AH225),0)</f>
        <v>0</v>
      </c>
      <c r="BH225" s="25">
        <f>IFERROR(INDEX('2 Staff List'!KX$64:KX$114,$AH225),0)</f>
        <v>0</v>
      </c>
      <c r="BI225" s="25">
        <f>IFERROR(INDEX('2 Staff List'!KY$64:KY$114,$AH225),0)</f>
        <v>0</v>
      </c>
      <c r="BJ225" s="25">
        <f>IFERROR(INDEX('2 Staff List'!KZ$64:KZ$114,$AH225),0)</f>
        <v>0</v>
      </c>
      <c r="BK225" s="25">
        <f>IFERROR(INDEX('2 Staff List'!LA$64:LA$114,$AH225),0)</f>
        <v>0</v>
      </c>
      <c r="BL225" s="25">
        <f>IFERROR(INDEX('2 Staff List'!LB$64:LB$114,$AH225),0)</f>
        <v>0</v>
      </c>
      <c r="BM225" s="25">
        <f>IFERROR(INDEX('2 Staff List'!FT$64:FT$114,$AH225),0)</f>
        <v>0</v>
      </c>
      <c r="BN225" s="25">
        <f>IFERROR(INDEX('2 Staff List'!FU$64:FU$114,$AH225),0)</f>
        <v>0</v>
      </c>
      <c r="BO225" s="25">
        <f>IFERROR(INDEX('2 Staff List'!FV$64:FV$114,$AH225),0)</f>
        <v>0</v>
      </c>
      <c r="BP225" s="25">
        <f>IFERROR(INDEX('2 Staff List'!FW$64:FW$114,$AH225),0)</f>
        <v>0</v>
      </c>
      <c r="BQ225" s="25">
        <f>IFERROR(INDEX('2 Staff List'!FX$64:FX$114,$AH225),0)</f>
        <v>0</v>
      </c>
      <c r="BR225" s="25">
        <f>IFERROR(INDEX('2 Staff List'!FY$64:FY$114,$AH225),0)</f>
        <v>0</v>
      </c>
      <c r="BS225" s="25">
        <f>IFERROR(INDEX('2 Staff List'!FZ$64:FZ$114,$AH225),0)</f>
        <v>0</v>
      </c>
      <c r="BT225" s="25">
        <f>IFERROR(INDEX('2 Staff List'!GA$64:GA$114,$AH225),0)</f>
        <v>0</v>
      </c>
      <c r="BU225" s="25">
        <f>IFERROR(INDEX('2 Staff List'!GB$64:GB$114,$AH225),0)</f>
        <v>0</v>
      </c>
      <c r="BV225" s="25">
        <f>IFERROR(INDEX('2 Staff List'!GC$64:GC$114,$AH225),0)</f>
        <v>0</v>
      </c>
      <c r="BW225" s="25">
        <f t="shared" si="321"/>
        <v>0</v>
      </c>
      <c r="BX225" s="25">
        <f t="shared" si="322"/>
        <v>0</v>
      </c>
      <c r="BY225" s="25">
        <f t="shared" si="323"/>
        <v>0</v>
      </c>
      <c r="BZ225" s="25">
        <f t="shared" si="324"/>
        <v>0</v>
      </c>
      <c r="CA225" s="25">
        <f t="shared" si="325"/>
        <v>0</v>
      </c>
      <c r="CB225" s="25">
        <f t="shared" si="326"/>
        <v>0</v>
      </c>
      <c r="CC225" s="25">
        <f t="shared" si="327"/>
        <v>0</v>
      </c>
      <c r="CD225" s="25">
        <f t="shared" si="328"/>
        <v>0</v>
      </c>
      <c r="CE225" s="25">
        <f t="shared" si="329"/>
        <v>0</v>
      </c>
      <c r="CF225" s="25">
        <f t="shared" si="330"/>
        <v>0</v>
      </c>
      <c r="CG225" s="25">
        <f t="shared" si="331"/>
        <v>0</v>
      </c>
      <c r="CH225" s="25">
        <f>IFERROR(INDEX('2 Staff List'!LO$64:LO$114,$AH225),0)</f>
        <v>0</v>
      </c>
      <c r="CI225" s="25">
        <f>IFERROR(INDEX('2 Staff List'!LP$64:LP$114,$AH225),0)</f>
        <v>0</v>
      </c>
      <c r="CJ225" s="25">
        <f>IFERROR(INDEX('2 Staff List'!LQ$64:LQ$114,$AH225),0)</f>
        <v>0</v>
      </c>
      <c r="CK225" s="25">
        <f>IFERROR(INDEX('2 Staff List'!LR$64:LR$114,$AH225),0)</f>
        <v>0</v>
      </c>
      <c r="CL225" s="25">
        <f>IFERROR(INDEX('2 Staff List'!LS$64:LS$114,$AH225),0)</f>
        <v>0</v>
      </c>
      <c r="CM225" s="25">
        <f>IFERROR(INDEX('2 Staff List'!LT$64:LT$114,$AH225),0)</f>
        <v>0</v>
      </c>
      <c r="CN225" s="25">
        <f>IFERROR(INDEX('2 Staff List'!LU$64:LU$114,$AH225),0)</f>
        <v>0</v>
      </c>
      <c r="CO225" s="25">
        <f>IFERROR(INDEX('2 Staff List'!LV$64:LV$114,$AH225),0)</f>
        <v>0</v>
      </c>
      <c r="CP225" s="25">
        <f>IFERROR(INDEX('2 Staff List'!LW$64:LW$114,$AH225),0)</f>
        <v>0</v>
      </c>
      <c r="CQ225" s="25">
        <f>IFERROR(INDEX('2 Staff List'!LX$64:LX$114,$AH225),0)</f>
        <v>0</v>
      </c>
      <c r="CR225" s="25">
        <f t="shared" si="289"/>
        <v>0</v>
      </c>
      <c r="CS225" s="25">
        <f t="shared" si="349"/>
        <v>1</v>
      </c>
      <c r="CT225" s="25">
        <f t="shared" si="333"/>
        <v>1</v>
      </c>
      <c r="CU225" s="25">
        <f t="shared" si="334"/>
        <v>1</v>
      </c>
      <c r="CV225" s="25">
        <f t="shared" si="335"/>
        <v>1</v>
      </c>
      <c r="CW225" s="25">
        <f t="shared" si="336"/>
        <v>1</v>
      </c>
      <c r="CX225" s="25">
        <f t="shared" si="337"/>
        <v>0</v>
      </c>
      <c r="CY225" s="25">
        <f t="shared" si="338"/>
        <v>0</v>
      </c>
      <c r="CZ225" s="25">
        <f t="shared" si="339"/>
        <v>0</v>
      </c>
      <c r="DA225" s="25">
        <f t="shared" si="340"/>
        <v>1</v>
      </c>
      <c r="DB225" s="25">
        <f t="shared" si="290"/>
        <v>1</v>
      </c>
      <c r="DC225" s="25">
        <f t="shared" si="341"/>
        <v>0</v>
      </c>
      <c r="DD225" s="25">
        <f>IF(OR($AD225&lt;&gt;3,F225="Exclude"),0,IF(ISERROR(MATCH($E225,'4 Sign-off'!$S$123:$X$123,0)),0,1))</f>
        <v>0</v>
      </c>
      <c r="DE225" s="25">
        <f t="shared" si="550"/>
        <v>0</v>
      </c>
      <c r="DF225" s="25">
        <f t="shared" si="342"/>
        <v>0</v>
      </c>
      <c r="DG225" s="25" t="str">
        <f t="shared" si="343"/>
        <v/>
      </c>
      <c r="DH225" s="25">
        <f t="shared" si="344"/>
        <v>0</v>
      </c>
      <c r="DI225" s="25">
        <f t="shared" si="345"/>
        <v>0</v>
      </c>
      <c r="DJ225" s="25">
        <f>IF(ISBLANK(J225),0,ISERROR(MATCH(J225,'5  Control Accounts'!$FA$29:$FA$96,0))*1)</f>
        <v>0</v>
      </c>
      <c r="DK225" s="25">
        <f t="shared" si="346"/>
        <v>0</v>
      </c>
      <c r="DL225" s="25">
        <f t="shared" si="292"/>
        <v>-1</v>
      </c>
      <c r="DM225" s="25" t="e">
        <f t="array" ref="DM225">MATCH(1,($EG225:$JD225&gt;0)*$EG$17:$JD$17,0)</f>
        <v>#N/A</v>
      </c>
      <c r="DN225" s="25" t="e">
        <f t="shared" si="551"/>
        <v>#N/A</v>
      </c>
      <c r="DO225" s="25" t="e">
        <f t="array" ref="DO225">MATCH(2,1/(EG225:JD225&gt;0))</f>
        <v>#N/A</v>
      </c>
      <c r="DP225" s="2993">
        <f t="shared" si="347"/>
        <v>0</v>
      </c>
      <c r="DQ225" s="3037">
        <f t="shared" si="348"/>
        <v>0</v>
      </c>
      <c r="DR225" s="111"/>
      <c r="DS225" s="1268">
        <f t="shared" si="282"/>
        <v>0</v>
      </c>
      <c r="DT225" s="1825"/>
      <c r="DU225" s="1826"/>
      <c r="DV225" s="1827"/>
      <c r="DW225" s="1828"/>
      <c r="DX225" s="659"/>
      <c r="DY225" s="1265"/>
      <c r="DZ225" s="1785">
        <f t="shared" si="294"/>
        <v>0</v>
      </c>
      <c r="EA225" s="1786">
        <f t="shared" si="295"/>
        <v>0</v>
      </c>
      <c r="EB225" s="1781">
        <f t="shared" si="552"/>
        <v>0</v>
      </c>
      <c r="EC225" s="1782">
        <f t="shared" si="553"/>
        <v>0</v>
      </c>
      <c r="ED225" s="1262"/>
      <c r="EE225" s="2280"/>
      <c r="EF225" s="1802"/>
      <c r="EG225" s="167"/>
      <c r="EH225" s="168"/>
      <c r="EI225" s="168"/>
      <c r="EJ225" s="168"/>
      <c r="EK225" s="168"/>
      <c r="EL225" s="168"/>
      <c r="EM225" s="168"/>
      <c r="EN225" s="168"/>
      <c r="EO225" s="168"/>
      <c r="EP225" s="168"/>
      <c r="EQ225" s="168"/>
      <c r="ER225" s="168"/>
      <c r="ES225" s="168"/>
      <c r="ET225" s="168"/>
      <c r="EU225" s="168"/>
      <c r="EV225" s="168"/>
      <c r="EW225" s="168"/>
      <c r="EX225" s="168"/>
      <c r="EY225" s="168"/>
      <c r="EZ225" s="168"/>
      <c r="FA225" s="168"/>
      <c r="FB225" s="168"/>
      <c r="FC225" s="168"/>
      <c r="FD225" s="168"/>
      <c r="FE225" s="168"/>
      <c r="FF225" s="168"/>
      <c r="FG225" s="168"/>
      <c r="FH225" s="168"/>
      <c r="FI225" s="168"/>
      <c r="FJ225" s="168"/>
      <c r="FK225" s="168"/>
      <c r="FL225" s="168"/>
      <c r="FM225" s="168"/>
      <c r="FN225" s="168"/>
      <c r="FO225" s="168"/>
      <c r="FP225" s="168"/>
      <c r="FQ225" s="168"/>
      <c r="FR225" s="168"/>
      <c r="FS225" s="168"/>
      <c r="FT225" s="168"/>
      <c r="FU225" s="168"/>
      <c r="FV225" s="168"/>
      <c r="FW225" s="168"/>
      <c r="FX225" s="168"/>
      <c r="FY225" s="168"/>
      <c r="FZ225" s="168"/>
      <c r="GA225" s="168"/>
      <c r="GB225" s="168"/>
      <c r="GC225" s="168"/>
      <c r="GD225" s="168"/>
      <c r="GE225" s="168"/>
      <c r="GF225" s="168"/>
      <c r="GG225" s="168"/>
      <c r="GH225" s="168"/>
      <c r="GI225" s="168"/>
      <c r="GJ225" s="168"/>
      <c r="GK225" s="168"/>
      <c r="GL225" s="168"/>
      <c r="GM225" s="168"/>
      <c r="GN225" s="168"/>
      <c r="GO225" s="168"/>
      <c r="GP225" s="168"/>
      <c r="GQ225" s="168"/>
      <c r="GR225" s="168"/>
      <c r="GS225" s="168"/>
      <c r="GT225" s="168"/>
      <c r="GU225" s="168"/>
      <c r="GV225" s="168"/>
      <c r="GW225" s="168"/>
      <c r="GX225" s="168"/>
      <c r="GY225" s="168"/>
      <c r="GZ225" s="168"/>
      <c r="HA225" s="168"/>
      <c r="HB225" s="168"/>
      <c r="HC225" s="168"/>
      <c r="HD225" s="168"/>
      <c r="HE225" s="168"/>
      <c r="HF225" s="168"/>
      <c r="HG225" s="168"/>
      <c r="HH225" s="168"/>
      <c r="HI225" s="168"/>
      <c r="HJ225" s="168"/>
      <c r="HK225" s="168"/>
      <c r="HL225" s="168"/>
      <c r="HM225" s="168"/>
      <c r="HN225" s="168"/>
      <c r="HO225" s="168"/>
      <c r="HP225" s="168"/>
      <c r="HQ225" s="168"/>
      <c r="HR225" s="168"/>
      <c r="HS225" s="168"/>
      <c r="HT225" s="168"/>
      <c r="HU225" s="168"/>
      <c r="HV225" s="168"/>
      <c r="HW225" s="168"/>
      <c r="HX225" s="168"/>
      <c r="HY225" s="168"/>
      <c r="HZ225" s="168"/>
      <c r="IA225" s="168"/>
      <c r="IB225" s="168"/>
      <c r="IC225" s="168"/>
      <c r="ID225" s="168"/>
      <c r="IE225" s="168"/>
      <c r="IF225" s="168"/>
      <c r="IG225" s="168"/>
      <c r="IH225" s="168"/>
      <c r="II225" s="168"/>
      <c r="IJ225" s="168"/>
      <c r="IK225" s="168"/>
      <c r="IL225" s="168"/>
      <c r="IM225" s="168"/>
      <c r="IN225" s="168"/>
      <c r="IO225" s="168"/>
      <c r="IP225" s="168"/>
      <c r="IQ225" s="168"/>
      <c r="IR225" s="168"/>
      <c r="IS225" s="168"/>
      <c r="IT225" s="168"/>
      <c r="IU225" s="168"/>
      <c r="IV225" s="168"/>
      <c r="IW225" s="168"/>
      <c r="IX225" s="168"/>
      <c r="IY225" s="168"/>
      <c r="IZ225" s="168"/>
      <c r="JA225" s="168"/>
      <c r="JB225" s="168"/>
      <c r="JC225" s="606"/>
      <c r="JD225" s="609"/>
      <c r="JE225" s="1"/>
      <c r="JF225" s="1"/>
    </row>
    <row r="226" spans="1:266" s="2" customFormat="1" ht="15" customHeight="1" x14ac:dyDescent="0.25">
      <c r="A226" s="283"/>
      <c r="B226" s="303"/>
      <c r="C226" s="301"/>
      <c r="D226" s="638"/>
      <c r="E226" s="2298"/>
      <c r="F226" s="1812"/>
      <c r="G226" s="3342"/>
      <c r="H226" s="66"/>
      <c r="I226" s="1746"/>
      <c r="J226" s="86"/>
      <c r="K226" s="105"/>
      <c r="L226" s="91"/>
      <c r="M226" s="92"/>
      <c r="N226" s="93"/>
      <c r="O226" s="94"/>
      <c r="P226" s="96"/>
      <c r="Q226" s="95"/>
      <c r="R226" s="993">
        <f t="shared" si="284"/>
        <v>0</v>
      </c>
      <c r="S226" s="23">
        <f t="shared" si="298"/>
        <v>0</v>
      </c>
      <c r="T226" s="24">
        <f t="shared" si="299"/>
        <v>0</v>
      </c>
      <c r="U226" s="24">
        <f t="shared" si="300"/>
        <v>0</v>
      </c>
      <c r="V226" s="24">
        <f t="shared" si="301"/>
        <v>0</v>
      </c>
      <c r="W226" s="24">
        <f t="shared" si="302"/>
        <v>0</v>
      </c>
      <c r="X226" s="72">
        <f t="shared" si="303"/>
        <v>0</v>
      </c>
      <c r="Y226" s="72">
        <f t="shared" si="304"/>
        <v>0</v>
      </c>
      <c r="Z226" s="24">
        <f t="shared" si="285"/>
        <v>0</v>
      </c>
      <c r="AA226" s="72">
        <f t="shared" si="305"/>
        <v>0</v>
      </c>
      <c r="AB226" s="24">
        <f t="shared" si="306"/>
        <v>0</v>
      </c>
      <c r="AC226" s="24" t="s">
        <v>5</v>
      </c>
      <c r="AD226" s="25">
        <f t="shared" si="286"/>
        <v>3</v>
      </c>
      <c r="AE226" s="25">
        <f t="shared" si="287"/>
        <v>0</v>
      </c>
      <c r="AF226" s="25">
        <f t="shared" si="288"/>
        <v>0</v>
      </c>
      <c r="AG226" s="25">
        <f t="shared" si="307"/>
        <v>1</v>
      </c>
      <c r="AH226" s="25" t="str">
        <f>IFERROR(MATCH(DY226,'2 Staff List'!$IA$64:$IA$114,0),"x")</f>
        <v>x</v>
      </c>
      <c r="AI226" s="1181">
        <f>IFERROR(INDEX('2 Staff List'!$EX$64:$EX$114,$AH226),0)</f>
        <v>0</v>
      </c>
      <c r="AJ226" s="25">
        <f>IFERROR(INDEX('2 Staff List'!$IW$64:$IW$114,$AH226),0)</f>
        <v>0</v>
      </c>
      <c r="AK226" s="25">
        <f>IFERROR(INDEX('2 Staff List'!$IB$64:$IB$114,$AH226),0)</f>
        <v>0</v>
      </c>
      <c r="AL226" s="25">
        <f>IF(OR(NOT(ISBLANK(DV226)),CX226=1),"&lt;Non-Labor&gt;",IFERROR(IF(AH226=0,0,INDEX('2 Staff List'!$HZ$64:$HZ$114,$AH226)),0))</f>
        <v>0</v>
      </c>
      <c r="AM226" s="25">
        <f>IFERROR(INDEX('2 Staff List'!$HW$64:$HW$114,$AH226),0)</f>
        <v>0</v>
      </c>
      <c r="AN226" s="25">
        <f t="shared" si="308"/>
        <v>1</v>
      </c>
      <c r="AO226" s="25">
        <f>IF($AO$127=0,0,IFERROR(INDEX('2 Staff List'!$JH$64:$JH$114,$AH226),0))</f>
        <v>0</v>
      </c>
      <c r="AP226" s="25">
        <f>IFERROR(INDEX('2 Staff List'!$HU$64:$HU$114,$AH226),0)</f>
        <v>0</v>
      </c>
      <c r="AQ226" s="25">
        <f t="shared" si="309"/>
        <v>0</v>
      </c>
      <c r="AR226" s="25">
        <f t="shared" si="310"/>
        <v>0</v>
      </c>
      <c r="AS226" s="25">
        <f t="shared" si="311"/>
        <v>0</v>
      </c>
      <c r="AT226" s="25">
        <f t="shared" si="312"/>
        <v>0</v>
      </c>
      <c r="AU226" s="25">
        <f t="shared" si="313"/>
        <v>0</v>
      </c>
      <c r="AV226" s="25">
        <f t="shared" si="314"/>
        <v>0</v>
      </c>
      <c r="AW226" s="25">
        <f t="shared" si="315"/>
        <v>0</v>
      </c>
      <c r="AX226" s="25">
        <f t="shared" si="316"/>
        <v>0</v>
      </c>
      <c r="AY226" s="25">
        <f t="shared" si="317"/>
        <v>0</v>
      </c>
      <c r="AZ226" s="25">
        <f t="shared" si="318"/>
        <v>0</v>
      </c>
      <c r="BA226" s="25">
        <f t="shared" si="319"/>
        <v>0</v>
      </c>
      <c r="BB226" s="25">
        <f t="shared" si="320"/>
        <v>0</v>
      </c>
      <c r="BC226" s="25">
        <f>IFERROR(INDEX('2 Staff List'!KS$64:KS$114,$AH226),0)</f>
        <v>0</v>
      </c>
      <c r="BD226" s="25">
        <f>IFERROR(INDEX('2 Staff List'!KT$64:KT$114,$AH226),0)</f>
        <v>0</v>
      </c>
      <c r="BE226" s="25">
        <f>IFERROR(INDEX('2 Staff List'!KU$64:KU$114,$AH226),0)</f>
        <v>0</v>
      </c>
      <c r="BF226" s="25">
        <f>IFERROR(INDEX('2 Staff List'!KV$64:KV$114,$AH226),0)</f>
        <v>0</v>
      </c>
      <c r="BG226" s="25">
        <f>IFERROR(INDEX('2 Staff List'!KW$64:KW$114,$AH226),0)</f>
        <v>0</v>
      </c>
      <c r="BH226" s="25">
        <f>IFERROR(INDEX('2 Staff List'!KX$64:KX$114,$AH226),0)</f>
        <v>0</v>
      </c>
      <c r="BI226" s="25">
        <f>IFERROR(INDEX('2 Staff List'!KY$64:KY$114,$AH226),0)</f>
        <v>0</v>
      </c>
      <c r="BJ226" s="25">
        <f>IFERROR(INDEX('2 Staff List'!KZ$64:KZ$114,$AH226),0)</f>
        <v>0</v>
      </c>
      <c r="BK226" s="25">
        <f>IFERROR(INDEX('2 Staff List'!LA$64:LA$114,$AH226),0)</f>
        <v>0</v>
      </c>
      <c r="BL226" s="25">
        <f>IFERROR(INDEX('2 Staff List'!LB$64:LB$114,$AH226),0)</f>
        <v>0</v>
      </c>
      <c r="BM226" s="25">
        <f>IFERROR(INDEX('2 Staff List'!FT$64:FT$114,$AH226),0)</f>
        <v>0</v>
      </c>
      <c r="BN226" s="25">
        <f>IFERROR(INDEX('2 Staff List'!FU$64:FU$114,$AH226),0)</f>
        <v>0</v>
      </c>
      <c r="BO226" s="25">
        <f>IFERROR(INDEX('2 Staff List'!FV$64:FV$114,$AH226),0)</f>
        <v>0</v>
      </c>
      <c r="BP226" s="25">
        <f>IFERROR(INDEX('2 Staff List'!FW$64:FW$114,$AH226),0)</f>
        <v>0</v>
      </c>
      <c r="BQ226" s="25">
        <f>IFERROR(INDEX('2 Staff List'!FX$64:FX$114,$AH226),0)</f>
        <v>0</v>
      </c>
      <c r="BR226" s="25">
        <f>IFERROR(INDEX('2 Staff List'!FY$64:FY$114,$AH226),0)</f>
        <v>0</v>
      </c>
      <c r="BS226" s="25">
        <f>IFERROR(INDEX('2 Staff List'!FZ$64:FZ$114,$AH226),0)</f>
        <v>0</v>
      </c>
      <c r="BT226" s="25">
        <f>IFERROR(INDEX('2 Staff List'!GA$64:GA$114,$AH226),0)</f>
        <v>0</v>
      </c>
      <c r="BU226" s="25">
        <f>IFERROR(INDEX('2 Staff List'!GB$64:GB$114,$AH226),0)</f>
        <v>0</v>
      </c>
      <c r="BV226" s="25">
        <f>IFERROR(INDEX('2 Staff List'!GC$64:GC$114,$AH226),0)</f>
        <v>0</v>
      </c>
      <c r="BW226" s="25">
        <f t="shared" si="321"/>
        <v>0</v>
      </c>
      <c r="BX226" s="25">
        <f t="shared" si="322"/>
        <v>0</v>
      </c>
      <c r="BY226" s="25">
        <f t="shared" si="323"/>
        <v>0</v>
      </c>
      <c r="BZ226" s="25">
        <f t="shared" si="324"/>
        <v>0</v>
      </c>
      <c r="CA226" s="25">
        <f t="shared" si="325"/>
        <v>0</v>
      </c>
      <c r="CB226" s="25">
        <f t="shared" si="326"/>
        <v>0</v>
      </c>
      <c r="CC226" s="25">
        <f t="shared" si="327"/>
        <v>0</v>
      </c>
      <c r="CD226" s="25">
        <f t="shared" si="328"/>
        <v>0</v>
      </c>
      <c r="CE226" s="25">
        <f t="shared" si="329"/>
        <v>0</v>
      </c>
      <c r="CF226" s="25">
        <f t="shared" si="330"/>
        <v>0</v>
      </c>
      <c r="CG226" s="25">
        <f t="shared" si="331"/>
        <v>0</v>
      </c>
      <c r="CH226" s="25">
        <f>IFERROR(INDEX('2 Staff List'!LO$64:LO$114,$AH226),0)</f>
        <v>0</v>
      </c>
      <c r="CI226" s="25">
        <f>IFERROR(INDEX('2 Staff List'!LP$64:LP$114,$AH226),0)</f>
        <v>0</v>
      </c>
      <c r="CJ226" s="25">
        <f>IFERROR(INDEX('2 Staff List'!LQ$64:LQ$114,$AH226),0)</f>
        <v>0</v>
      </c>
      <c r="CK226" s="25">
        <f>IFERROR(INDEX('2 Staff List'!LR$64:LR$114,$AH226),0)</f>
        <v>0</v>
      </c>
      <c r="CL226" s="25">
        <f>IFERROR(INDEX('2 Staff List'!LS$64:LS$114,$AH226),0)</f>
        <v>0</v>
      </c>
      <c r="CM226" s="25">
        <f>IFERROR(INDEX('2 Staff List'!LT$64:LT$114,$AH226),0)</f>
        <v>0</v>
      </c>
      <c r="CN226" s="25">
        <f>IFERROR(INDEX('2 Staff List'!LU$64:LU$114,$AH226),0)</f>
        <v>0</v>
      </c>
      <c r="CO226" s="25">
        <f>IFERROR(INDEX('2 Staff List'!LV$64:LV$114,$AH226),0)</f>
        <v>0</v>
      </c>
      <c r="CP226" s="25">
        <f>IFERROR(INDEX('2 Staff List'!LW$64:LW$114,$AH226),0)</f>
        <v>0</v>
      </c>
      <c r="CQ226" s="25">
        <f>IFERROR(INDEX('2 Staff List'!LX$64:LX$114,$AH226),0)</f>
        <v>0</v>
      </c>
      <c r="CR226" s="25">
        <f t="shared" si="289"/>
        <v>0</v>
      </c>
      <c r="CS226" s="25">
        <f t="shared" si="349"/>
        <v>1</v>
      </c>
      <c r="CT226" s="25">
        <f t="shared" si="333"/>
        <v>1</v>
      </c>
      <c r="CU226" s="25">
        <f t="shared" si="334"/>
        <v>1</v>
      </c>
      <c r="CV226" s="25">
        <f t="shared" si="335"/>
        <v>1</v>
      </c>
      <c r="CW226" s="25">
        <f t="shared" si="336"/>
        <v>1</v>
      </c>
      <c r="CX226" s="25">
        <f t="shared" si="337"/>
        <v>0</v>
      </c>
      <c r="CY226" s="25">
        <f t="shared" si="338"/>
        <v>0</v>
      </c>
      <c r="CZ226" s="25">
        <f t="shared" si="339"/>
        <v>0</v>
      </c>
      <c r="DA226" s="25">
        <f t="shared" si="340"/>
        <v>1</v>
      </c>
      <c r="DB226" s="25">
        <f t="shared" si="290"/>
        <v>1</v>
      </c>
      <c r="DC226" s="25">
        <f t="shared" si="341"/>
        <v>0</v>
      </c>
      <c r="DD226" s="25">
        <f>IF(OR($AD226&lt;&gt;3,F226="Exclude"),0,IF(ISERROR(MATCH($E226,'4 Sign-off'!$S$123:$X$123,0)),0,1))</f>
        <v>0</v>
      </c>
      <c r="DE226" s="25">
        <f t="shared" si="550"/>
        <v>0</v>
      </c>
      <c r="DF226" s="25">
        <f t="shared" si="342"/>
        <v>0</v>
      </c>
      <c r="DG226" s="25" t="str">
        <f t="shared" si="343"/>
        <v/>
      </c>
      <c r="DH226" s="25">
        <f t="shared" si="344"/>
        <v>0</v>
      </c>
      <c r="DI226" s="25">
        <f t="shared" si="345"/>
        <v>0</v>
      </c>
      <c r="DJ226" s="25">
        <f>IF(ISBLANK(J226),0,ISERROR(MATCH(J226,'5  Control Accounts'!$FA$29:$FA$96,0))*1)</f>
        <v>0</v>
      </c>
      <c r="DK226" s="25">
        <f t="shared" si="346"/>
        <v>0</v>
      </c>
      <c r="DL226" s="25">
        <f t="shared" si="292"/>
        <v>-1</v>
      </c>
      <c r="DM226" s="25" t="e">
        <f t="array" ref="DM226">MATCH(1,($EG226:$JD226&gt;0)*$EG$17:$JD$17,0)</f>
        <v>#N/A</v>
      </c>
      <c r="DN226" s="25" t="e">
        <f t="shared" si="551"/>
        <v>#N/A</v>
      </c>
      <c r="DO226" s="25" t="e">
        <f t="array" ref="DO226">MATCH(2,1/(EG226:JD226&gt;0))</f>
        <v>#N/A</v>
      </c>
      <c r="DP226" s="2993">
        <f t="shared" si="347"/>
        <v>0</v>
      </c>
      <c r="DQ226" s="3037">
        <f t="shared" si="348"/>
        <v>0</v>
      </c>
      <c r="DR226" s="111"/>
      <c r="DS226" s="1268">
        <f t="shared" si="282"/>
        <v>0</v>
      </c>
      <c r="DT226" s="1825"/>
      <c r="DU226" s="1826"/>
      <c r="DV226" s="1827"/>
      <c r="DW226" s="1828"/>
      <c r="DX226" s="659"/>
      <c r="DY226" s="1265"/>
      <c r="DZ226" s="1785">
        <f t="shared" si="294"/>
        <v>0</v>
      </c>
      <c r="EA226" s="1786">
        <f t="shared" si="295"/>
        <v>0</v>
      </c>
      <c r="EB226" s="1781">
        <f t="shared" si="552"/>
        <v>0</v>
      </c>
      <c r="EC226" s="1782">
        <f t="shared" si="553"/>
        <v>0</v>
      </c>
      <c r="ED226" s="1262"/>
      <c r="EE226" s="2280"/>
      <c r="EF226" s="1802"/>
      <c r="EG226" s="167"/>
      <c r="EH226" s="168"/>
      <c r="EI226" s="168"/>
      <c r="EJ226" s="168"/>
      <c r="EK226" s="168"/>
      <c r="EL226" s="168"/>
      <c r="EM226" s="168"/>
      <c r="EN226" s="168"/>
      <c r="EO226" s="168"/>
      <c r="EP226" s="168"/>
      <c r="EQ226" s="168"/>
      <c r="ER226" s="168"/>
      <c r="ES226" s="168"/>
      <c r="ET226" s="168"/>
      <c r="EU226" s="168"/>
      <c r="EV226" s="168"/>
      <c r="EW226" s="168"/>
      <c r="EX226" s="168"/>
      <c r="EY226" s="168"/>
      <c r="EZ226" s="168"/>
      <c r="FA226" s="168"/>
      <c r="FB226" s="168"/>
      <c r="FC226" s="168"/>
      <c r="FD226" s="168"/>
      <c r="FE226" s="168"/>
      <c r="FF226" s="168"/>
      <c r="FG226" s="168"/>
      <c r="FH226" s="168"/>
      <c r="FI226" s="168"/>
      <c r="FJ226" s="168"/>
      <c r="FK226" s="168"/>
      <c r="FL226" s="168"/>
      <c r="FM226" s="168"/>
      <c r="FN226" s="168"/>
      <c r="FO226" s="168"/>
      <c r="FP226" s="168"/>
      <c r="FQ226" s="168"/>
      <c r="FR226" s="168"/>
      <c r="FS226" s="168"/>
      <c r="FT226" s="168"/>
      <c r="FU226" s="168"/>
      <c r="FV226" s="168"/>
      <c r="FW226" s="168"/>
      <c r="FX226" s="168"/>
      <c r="FY226" s="168"/>
      <c r="FZ226" s="168"/>
      <c r="GA226" s="168"/>
      <c r="GB226" s="168"/>
      <c r="GC226" s="168"/>
      <c r="GD226" s="168"/>
      <c r="GE226" s="168"/>
      <c r="GF226" s="168"/>
      <c r="GG226" s="168"/>
      <c r="GH226" s="168"/>
      <c r="GI226" s="168"/>
      <c r="GJ226" s="168"/>
      <c r="GK226" s="168"/>
      <c r="GL226" s="168"/>
      <c r="GM226" s="168"/>
      <c r="GN226" s="168"/>
      <c r="GO226" s="168"/>
      <c r="GP226" s="168"/>
      <c r="GQ226" s="168"/>
      <c r="GR226" s="168"/>
      <c r="GS226" s="168"/>
      <c r="GT226" s="168"/>
      <c r="GU226" s="168"/>
      <c r="GV226" s="168"/>
      <c r="GW226" s="168"/>
      <c r="GX226" s="168"/>
      <c r="GY226" s="168"/>
      <c r="GZ226" s="168"/>
      <c r="HA226" s="168"/>
      <c r="HB226" s="168"/>
      <c r="HC226" s="168"/>
      <c r="HD226" s="168"/>
      <c r="HE226" s="168"/>
      <c r="HF226" s="168"/>
      <c r="HG226" s="168"/>
      <c r="HH226" s="168"/>
      <c r="HI226" s="168"/>
      <c r="HJ226" s="168"/>
      <c r="HK226" s="168"/>
      <c r="HL226" s="168"/>
      <c r="HM226" s="168"/>
      <c r="HN226" s="168"/>
      <c r="HO226" s="168"/>
      <c r="HP226" s="168"/>
      <c r="HQ226" s="168"/>
      <c r="HR226" s="168"/>
      <c r="HS226" s="168"/>
      <c r="HT226" s="168"/>
      <c r="HU226" s="168"/>
      <c r="HV226" s="168"/>
      <c r="HW226" s="168"/>
      <c r="HX226" s="168"/>
      <c r="HY226" s="168"/>
      <c r="HZ226" s="168"/>
      <c r="IA226" s="168"/>
      <c r="IB226" s="168"/>
      <c r="IC226" s="168"/>
      <c r="ID226" s="168"/>
      <c r="IE226" s="168"/>
      <c r="IF226" s="168"/>
      <c r="IG226" s="168"/>
      <c r="IH226" s="168"/>
      <c r="II226" s="168"/>
      <c r="IJ226" s="168"/>
      <c r="IK226" s="168"/>
      <c r="IL226" s="168"/>
      <c r="IM226" s="168"/>
      <c r="IN226" s="168"/>
      <c r="IO226" s="168"/>
      <c r="IP226" s="168"/>
      <c r="IQ226" s="168"/>
      <c r="IR226" s="168"/>
      <c r="IS226" s="168"/>
      <c r="IT226" s="168"/>
      <c r="IU226" s="168"/>
      <c r="IV226" s="168"/>
      <c r="IW226" s="168"/>
      <c r="IX226" s="168"/>
      <c r="IY226" s="168"/>
      <c r="IZ226" s="168"/>
      <c r="JA226" s="168"/>
      <c r="JB226" s="168"/>
      <c r="JC226" s="606"/>
      <c r="JD226" s="609"/>
      <c r="JE226" s="1"/>
      <c r="JF226" s="1"/>
    </row>
    <row r="227" spans="1:266" s="2" customFormat="1" ht="15" customHeight="1" x14ac:dyDescent="0.25">
      <c r="A227" s="283"/>
      <c r="B227" s="303"/>
      <c r="C227" s="301"/>
      <c r="D227" s="1928"/>
      <c r="E227" s="2298"/>
      <c r="F227" s="1812"/>
      <c r="G227" s="3342"/>
      <c r="H227" s="66"/>
      <c r="I227" s="1746"/>
      <c r="J227" s="86"/>
      <c r="K227" s="105"/>
      <c r="L227" s="91"/>
      <c r="M227" s="92"/>
      <c r="N227" s="93"/>
      <c r="O227" s="94"/>
      <c r="P227" s="96"/>
      <c r="Q227" s="95"/>
      <c r="R227" s="993">
        <f t="shared" si="284"/>
        <v>0</v>
      </c>
      <c r="S227" s="23">
        <f t="shared" si="298"/>
        <v>0</v>
      </c>
      <c r="T227" s="24">
        <f t="shared" ref="T227" si="734">IF($AD227=3,BW227*AG227,0)</f>
        <v>0</v>
      </c>
      <c r="U227" s="24">
        <f t="shared" ref="U227" si="735">IF($AD227=3,AR227*(1-AG227),0)</f>
        <v>0</v>
      </c>
      <c r="V227" s="24">
        <f t="shared" si="301"/>
        <v>0</v>
      </c>
      <c r="W227" s="24">
        <f t="shared" si="302"/>
        <v>0</v>
      </c>
      <c r="X227" s="72">
        <f t="shared" si="303"/>
        <v>0</v>
      </c>
      <c r="Y227" s="72">
        <f t="shared" ref="Y227" si="736">IF($AD227=3,SUMPRODUCT(AS227:BB227,BM227:BV227),0)</f>
        <v>0</v>
      </c>
      <c r="Z227" s="24">
        <f t="shared" ref="Z227" si="737">IF($AD227=3,SUMPRODUCT(AS227:BB227,BC227:BL227),0)</f>
        <v>0</v>
      </c>
      <c r="AA227" s="72">
        <f t="shared" si="305"/>
        <v>0</v>
      </c>
      <c r="AB227" s="24">
        <f t="shared" si="306"/>
        <v>0</v>
      </c>
      <c r="AC227" s="24" t="s">
        <v>5</v>
      </c>
      <c r="AD227" s="25">
        <f t="shared" si="286"/>
        <v>3</v>
      </c>
      <c r="AE227" s="25">
        <f t="shared" si="287"/>
        <v>0</v>
      </c>
      <c r="AF227" s="25">
        <f t="shared" si="288"/>
        <v>0</v>
      </c>
      <c r="AG227" s="25">
        <f t="shared" si="307"/>
        <v>1</v>
      </c>
      <c r="AH227" s="25" t="str">
        <f>IFERROR(MATCH(DY227,'2 Staff List'!$IA$64:$IA$114,0),"x")</f>
        <v>x</v>
      </c>
      <c r="AI227" s="1181">
        <f>IFERROR(INDEX('2 Staff List'!$EX$64:$EX$114,$AH227),0)</f>
        <v>0</v>
      </c>
      <c r="AJ227" s="25">
        <f>IFERROR(INDEX('2 Staff List'!$IW$64:$IW$114,$AH227),0)</f>
        <v>0</v>
      </c>
      <c r="AK227" s="25">
        <f>IFERROR(INDEX('2 Staff List'!$IB$64:$IB$114,$AH227),0)</f>
        <v>0</v>
      </c>
      <c r="AL227" s="25">
        <f>IF(OR(NOT(ISBLANK(DV227)),CX227=1),"&lt;Non-Labor&gt;",IFERROR(IF(AH227=0,0,INDEX('2 Staff List'!$HZ$64:$HZ$114,$AH227)),0))</f>
        <v>0</v>
      </c>
      <c r="AM227" s="25">
        <f>IFERROR(INDEX('2 Staff List'!$HW$64:$HW$114,$AH227),0)</f>
        <v>0</v>
      </c>
      <c r="AN227" s="25">
        <f t="shared" si="308"/>
        <v>1</v>
      </c>
      <c r="AO227" s="25">
        <f>IF($AO$127=0,0,IFERROR(INDEX('2 Staff List'!$JH$64:$JH$114,$AH227),0))</f>
        <v>0</v>
      </c>
      <c r="AP227" s="25">
        <f>IFERROR(INDEX('2 Staff List'!$HU$64:$HU$114,$AH227),0)</f>
        <v>0</v>
      </c>
      <c r="AQ227" s="25">
        <f t="shared" si="309"/>
        <v>0</v>
      </c>
      <c r="AR227" s="25">
        <f t="shared" si="310"/>
        <v>0</v>
      </c>
      <c r="AS227" s="25">
        <f t="shared" si="311"/>
        <v>0</v>
      </c>
      <c r="AT227" s="25">
        <f t="shared" si="312"/>
        <v>0</v>
      </c>
      <c r="AU227" s="25">
        <f t="shared" si="313"/>
        <v>0</v>
      </c>
      <c r="AV227" s="25">
        <f t="shared" si="314"/>
        <v>0</v>
      </c>
      <c r="AW227" s="25">
        <f t="shared" si="315"/>
        <v>0</v>
      </c>
      <c r="AX227" s="25">
        <f t="shared" si="316"/>
        <v>0</v>
      </c>
      <c r="AY227" s="25">
        <f t="shared" si="317"/>
        <v>0</v>
      </c>
      <c r="AZ227" s="25">
        <f t="shared" si="318"/>
        <v>0</v>
      </c>
      <c r="BA227" s="25">
        <f t="shared" si="319"/>
        <v>0</v>
      </c>
      <c r="BB227" s="25">
        <f t="shared" si="320"/>
        <v>0</v>
      </c>
      <c r="BC227" s="25">
        <f>IFERROR(INDEX('2 Staff List'!KS$64:KS$114,$AH227),0)</f>
        <v>0</v>
      </c>
      <c r="BD227" s="25">
        <f>IFERROR(INDEX('2 Staff List'!KT$64:KT$114,$AH227),0)</f>
        <v>0</v>
      </c>
      <c r="BE227" s="25">
        <f>IFERROR(INDEX('2 Staff List'!KU$64:KU$114,$AH227),0)</f>
        <v>0</v>
      </c>
      <c r="BF227" s="25">
        <f>IFERROR(INDEX('2 Staff List'!KV$64:KV$114,$AH227),0)</f>
        <v>0</v>
      </c>
      <c r="BG227" s="25">
        <f>IFERROR(INDEX('2 Staff List'!KW$64:KW$114,$AH227),0)</f>
        <v>0</v>
      </c>
      <c r="BH227" s="25">
        <f>IFERROR(INDEX('2 Staff List'!KX$64:KX$114,$AH227),0)</f>
        <v>0</v>
      </c>
      <c r="BI227" s="25">
        <f>IFERROR(INDEX('2 Staff List'!KY$64:KY$114,$AH227),0)</f>
        <v>0</v>
      </c>
      <c r="BJ227" s="25">
        <f>IFERROR(INDEX('2 Staff List'!KZ$64:KZ$114,$AH227),0)</f>
        <v>0</v>
      </c>
      <c r="BK227" s="25">
        <f>IFERROR(INDEX('2 Staff List'!LA$64:LA$114,$AH227),0)</f>
        <v>0</v>
      </c>
      <c r="BL227" s="25">
        <f>IFERROR(INDEX('2 Staff List'!LB$64:LB$114,$AH227),0)</f>
        <v>0</v>
      </c>
      <c r="BM227" s="25">
        <f>IFERROR(INDEX('2 Staff List'!FT$64:FT$114,$AH227),0)</f>
        <v>0</v>
      </c>
      <c r="BN227" s="25">
        <f>IFERROR(INDEX('2 Staff List'!FU$64:FU$114,$AH227),0)</f>
        <v>0</v>
      </c>
      <c r="BO227" s="25">
        <f>IFERROR(INDEX('2 Staff List'!FV$64:FV$114,$AH227),0)</f>
        <v>0</v>
      </c>
      <c r="BP227" s="25">
        <f>IFERROR(INDEX('2 Staff List'!FW$64:FW$114,$AH227),0)</f>
        <v>0</v>
      </c>
      <c r="BQ227" s="25">
        <f>IFERROR(INDEX('2 Staff List'!FX$64:FX$114,$AH227),0)</f>
        <v>0</v>
      </c>
      <c r="BR227" s="25">
        <f>IFERROR(INDEX('2 Staff List'!FY$64:FY$114,$AH227),0)</f>
        <v>0</v>
      </c>
      <c r="BS227" s="25">
        <f>IFERROR(INDEX('2 Staff List'!FZ$64:FZ$114,$AH227),0)</f>
        <v>0</v>
      </c>
      <c r="BT227" s="25">
        <f>IFERROR(INDEX('2 Staff List'!GA$64:GA$114,$AH227),0)</f>
        <v>0</v>
      </c>
      <c r="BU227" s="25">
        <f>IFERROR(INDEX('2 Staff List'!GB$64:GB$114,$AH227),0)</f>
        <v>0</v>
      </c>
      <c r="BV227" s="25">
        <f>IFERROR(INDEX('2 Staff List'!GC$64:GC$114,$AH227),0)</f>
        <v>0</v>
      </c>
      <c r="BW227" s="25">
        <f t="shared" si="321"/>
        <v>0</v>
      </c>
      <c r="BX227" s="25">
        <f t="shared" si="322"/>
        <v>0</v>
      </c>
      <c r="BY227" s="25">
        <f t="shared" si="323"/>
        <v>0</v>
      </c>
      <c r="BZ227" s="25">
        <f t="shared" si="324"/>
        <v>0</v>
      </c>
      <c r="CA227" s="25">
        <f t="shared" si="325"/>
        <v>0</v>
      </c>
      <c r="CB227" s="25">
        <f t="shared" si="326"/>
        <v>0</v>
      </c>
      <c r="CC227" s="25">
        <f t="shared" si="327"/>
        <v>0</v>
      </c>
      <c r="CD227" s="25">
        <f t="shared" si="328"/>
        <v>0</v>
      </c>
      <c r="CE227" s="25">
        <f t="shared" si="329"/>
        <v>0</v>
      </c>
      <c r="CF227" s="25">
        <f t="shared" si="330"/>
        <v>0</v>
      </c>
      <c r="CG227" s="25">
        <f t="shared" si="331"/>
        <v>0</v>
      </c>
      <c r="CH227" s="25">
        <f>IFERROR(INDEX('2 Staff List'!LO$64:LO$114,$AH227),0)</f>
        <v>0</v>
      </c>
      <c r="CI227" s="25">
        <f>IFERROR(INDEX('2 Staff List'!LP$64:LP$114,$AH227),0)</f>
        <v>0</v>
      </c>
      <c r="CJ227" s="25">
        <f>IFERROR(INDEX('2 Staff List'!LQ$64:LQ$114,$AH227),0)</f>
        <v>0</v>
      </c>
      <c r="CK227" s="25">
        <f>IFERROR(INDEX('2 Staff List'!LR$64:LR$114,$AH227),0)</f>
        <v>0</v>
      </c>
      <c r="CL227" s="25">
        <f>IFERROR(INDEX('2 Staff List'!LS$64:LS$114,$AH227),0)</f>
        <v>0</v>
      </c>
      <c r="CM227" s="25">
        <f>IFERROR(INDEX('2 Staff List'!LT$64:LT$114,$AH227),0)</f>
        <v>0</v>
      </c>
      <c r="CN227" s="25">
        <f>IFERROR(INDEX('2 Staff List'!LU$64:LU$114,$AH227),0)</f>
        <v>0</v>
      </c>
      <c r="CO227" s="25">
        <f>IFERROR(INDEX('2 Staff List'!LV$64:LV$114,$AH227),0)</f>
        <v>0</v>
      </c>
      <c r="CP227" s="25">
        <f>IFERROR(INDEX('2 Staff List'!LW$64:LW$114,$AH227),0)</f>
        <v>0</v>
      </c>
      <c r="CQ227" s="25">
        <f>IFERROR(INDEX('2 Staff List'!LX$64:LX$114,$AH227),0)</f>
        <v>0</v>
      </c>
      <c r="CR227" s="25">
        <f t="shared" ref="CR227" si="738">IF(AD227=3,SUMPRODUCT($EG227:$JD227,$EG$17:$JD$17),0)</f>
        <v>0</v>
      </c>
      <c r="CS227" s="25">
        <f t="shared" ref="CS227" si="739">IFERROR(1/CR227,1)</f>
        <v>1</v>
      </c>
      <c r="CT227" s="25">
        <f t="shared" ref="CT227" si="740">IF(NOT(ISBLANK(DU227)),DU227,1)</f>
        <v>1</v>
      </c>
      <c r="CU227" s="25">
        <f t="shared" si="334"/>
        <v>1</v>
      </c>
      <c r="CV227" s="25">
        <f t="shared" si="335"/>
        <v>1</v>
      </c>
      <c r="CW227" s="25">
        <f t="shared" si="336"/>
        <v>1</v>
      </c>
      <c r="CX227" s="25">
        <f t="shared" si="337"/>
        <v>0</v>
      </c>
      <c r="CY227" s="25">
        <f t="shared" si="338"/>
        <v>0</v>
      </c>
      <c r="CZ227" s="25">
        <f t="shared" si="339"/>
        <v>0</v>
      </c>
      <c r="DA227" s="25">
        <f t="shared" si="340"/>
        <v>1</v>
      </c>
      <c r="DB227" s="25">
        <f t="shared" si="290"/>
        <v>1</v>
      </c>
      <c r="DC227" s="25">
        <f t="shared" si="341"/>
        <v>0</v>
      </c>
      <c r="DD227" s="25">
        <f>IF(OR($AD227&lt;&gt;3,F227="Exclude"),0,IF(ISERROR(MATCH($E227,'4 Sign-off'!$S$123:$X$123,0)),0,1))</f>
        <v>0</v>
      </c>
      <c r="DE227" s="25">
        <f t="shared" si="550"/>
        <v>0</v>
      </c>
      <c r="DF227" s="25">
        <f t="shared" si="342"/>
        <v>0</v>
      </c>
      <c r="DG227" s="25" t="str">
        <f t="shared" si="343"/>
        <v/>
      </c>
      <c r="DH227" s="25">
        <f t="shared" si="344"/>
        <v>0</v>
      </c>
      <c r="DI227" s="25">
        <f t="shared" si="345"/>
        <v>0</v>
      </c>
      <c r="DJ227" s="25">
        <f>IF(ISBLANK(J227),0,ISERROR(MATCH(J227,'5  Control Accounts'!$FA$29:$FA$96,0))*1)</f>
        <v>0</v>
      </c>
      <c r="DK227" s="25">
        <f t="shared" si="346"/>
        <v>0</v>
      </c>
      <c r="DL227" s="25">
        <f t="shared" si="292"/>
        <v>-1</v>
      </c>
      <c r="DM227" s="25" t="e">
        <f t="array" ref="DM227">MATCH(1,($EG227:$JD227&gt;0)*$EG$17:$JD$17,0)</f>
        <v>#N/A</v>
      </c>
      <c r="DN227" s="25" t="e">
        <f t="shared" si="551"/>
        <v>#N/A</v>
      </c>
      <c r="DO227" s="25" t="e">
        <f t="array" ref="DO227">MATCH(2,1/(EG227:JD227&gt;0))</f>
        <v>#N/A</v>
      </c>
      <c r="DP227" s="2993">
        <f t="shared" si="347"/>
        <v>0</v>
      </c>
      <c r="DQ227" s="3037">
        <f t="shared" si="348"/>
        <v>0</v>
      </c>
      <c r="DR227" s="111"/>
      <c r="DS227" s="1268">
        <f t="shared" si="282"/>
        <v>0</v>
      </c>
      <c r="DT227" s="1825"/>
      <c r="DU227" s="1826"/>
      <c r="DV227" s="1827"/>
      <c r="DW227" s="1828"/>
      <c r="DX227" s="659"/>
      <c r="DY227" s="1265"/>
      <c r="DZ227" s="1785">
        <f t="shared" ref="DZ227" si="741">AL227</f>
        <v>0</v>
      </c>
      <c r="EA227" s="1786">
        <f t="shared" ref="EA227" si="742">IF($AD227=3,T227+U227,0)</f>
        <v>0</v>
      </c>
      <c r="EB227" s="1781">
        <f t="shared" si="552"/>
        <v>0</v>
      </c>
      <c r="EC227" s="1782">
        <f t="shared" si="553"/>
        <v>0</v>
      </c>
      <c r="ED227" s="1262"/>
      <c r="EE227" s="2280"/>
      <c r="EF227" s="1802"/>
      <c r="EG227" s="167"/>
      <c r="EH227" s="168"/>
      <c r="EI227" s="168"/>
      <c r="EJ227" s="168"/>
      <c r="EK227" s="168"/>
      <c r="EL227" s="168"/>
      <c r="EM227" s="168"/>
      <c r="EN227" s="168"/>
      <c r="EO227" s="168"/>
      <c r="EP227" s="168"/>
      <c r="EQ227" s="168"/>
      <c r="ER227" s="168"/>
      <c r="ES227" s="168"/>
      <c r="ET227" s="168"/>
      <c r="EU227" s="168"/>
      <c r="EV227" s="168"/>
      <c r="EW227" s="168"/>
      <c r="EX227" s="168"/>
      <c r="EY227" s="168"/>
      <c r="EZ227" s="168"/>
      <c r="FA227" s="168"/>
      <c r="FB227" s="168"/>
      <c r="FC227" s="168"/>
      <c r="FD227" s="168"/>
      <c r="FE227" s="168"/>
      <c r="FF227" s="168"/>
      <c r="FG227" s="168"/>
      <c r="FH227" s="168"/>
      <c r="FI227" s="168"/>
      <c r="FJ227" s="168"/>
      <c r="FK227" s="168"/>
      <c r="FL227" s="168"/>
      <c r="FM227" s="168"/>
      <c r="FN227" s="168"/>
      <c r="FO227" s="168"/>
      <c r="FP227" s="168"/>
      <c r="FQ227" s="168"/>
      <c r="FR227" s="168"/>
      <c r="FS227" s="168"/>
      <c r="FT227" s="168"/>
      <c r="FU227" s="168"/>
      <c r="FV227" s="168"/>
      <c r="FW227" s="168"/>
      <c r="FX227" s="168"/>
      <c r="FY227" s="168"/>
      <c r="FZ227" s="168"/>
      <c r="GA227" s="168"/>
      <c r="GB227" s="168"/>
      <c r="GC227" s="168"/>
      <c r="GD227" s="168"/>
      <c r="GE227" s="168"/>
      <c r="GF227" s="168"/>
      <c r="GG227" s="168"/>
      <c r="GH227" s="168"/>
      <c r="GI227" s="168"/>
      <c r="GJ227" s="168"/>
      <c r="GK227" s="168"/>
      <c r="GL227" s="168"/>
      <c r="GM227" s="168"/>
      <c r="GN227" s="168"/>
      <c r="GO227" s="168"/>
      <c r="GP227" s="168"/>
      <c r="GQ227" s="168"/>
      <c r="GR227" s="168"/>
      <c r="GS227" s="168"/>
      <c r="GT227" s="168"/>
      <c r="GU227" s="168"/>
      <c r="GV227" s="168"/>
      <c r="GW227" s="168"/>
      <c r="GX227" s="168"/>
      <c r="GY227" s="168"/>
      <c r="GZ227" s="168"/>
      <c r="HA227" s="168"/>
      <c r="HB227" s="168"/>
      <c r="HC227" s="168"/>
      <c r="HD227" s="168"/>
      <c r="HE227" s="168"/>
      <c r="HF227" s="168"/>
      <c r="HG227" s="168"/>
      <c r="HH227" s="168"/>
      <c r="HI227" s="168"/>
      <c r="HJ227" s="168"/>
      <c r="HK227" s="168"/>
      <c r="HL227" s="168"/>
      <c r="HM227" s="168"/>
      <c r="HN227" s="168"/>
      <c r="HO227" s="168"/>
      <c r="HP227" s="168"/>
      <c r="HQ227" s="168"/>
      <c r="HR227" s="168"/>
      <c r="HS227" s="168"/>
      <c r="HT227" s="168"/>
      <c r="HU227" s="168"/>
      <c r="HV227" s="168"/>
      <c r="HW227" s="168"/>
      <c r="HX227" s="168"/>
      <c r="HY227" s="168"/>
      <c r="HZ227" s="168"/>
      <c r="IA227" s="168"/>
      <c r="IB227" s="168"/>
      <c r="IC227" s="168"/>
      <c r="ID227" s="168"/>
      <c r="IE227" s="168"/>
      <c r="IF227" s="168"/>
      <c r="IG227" s="168"/>
      <c r="IH227" s="168"/>
      <c r="II227" s="168"/>
      <c r="IJ227" s="168"/>
      <c r="IK227" s="168"/>
      <c r="IL227" s="168"/>
      <c r="IM227" s="168"/>
      <c r="IN227" s="168"/>
      <c r="IO227" s="168"/>
      <c r="IP227" s="168"/>
      <c r="IQ227" s="168"/>
      <c r="IR227" s="168"/>
      <c r="IS227" s="168"/>
      <c r="IT227" s="168"/>
      <c r="IU227" s="168"/>
      <c r="IV227" s="168"/>
      <c r="IW227" s="168"/>
      <c r="IX227" s="168"/>
      <c r="IY227" s="168"/>
      <c r="IZ227" s="168"/>
      <c r="JA227" s="168"/>
      <c r="JB227" s="168"/>
      <c r="JC227" s="606"/>
      <c r="JD227" s="609"/>
      <c r="JE227" s="1"/>
      <c r="JF227" s="1"/>
    </row>
    <row r="228" spans="1:266" s="2" customFormat="1" ht="15" customHeight="1" x14ac:dyDescent="0.25">
      <c r="A228" s="283"/>
      <c r="B228" s="303"/>
      <c r="C228" s="301"/>
      <c r="D228" s="638"/>
      <c r="E228" s="2298"/>
      <c r="F228" s="1812"/>
      <c r="G228" s="3342"/>
      <c r="H228" s="66"/>
      <c r="I228" s="1746"/>
      <c r="J228" s="86"/>
      <c r="K228" s="105"/>
      <c r="L228" s="91"/>
      <c r="M228" s="92"/>
      <c r="N228" s="93"/>
      <c r="O228" s="94"/>
      <c r="P228" s="96"/>
      <c r="Q228" s="95"/>
      <c r="R228" s="993">
        <f t="shared" si="284"/>
        <v>0</v>
      </c>
      <c r="S228" s="23">
        <f t="shared" si="298"/>
        <v>0</v>
      </c>
      <c r="T228" s="24">
        <f t="shared" si="299"/>
        <v>0</v>
      </c>
      <c r="U228" s="24">
        <f t="shared" si="300"/>
        <v>0</v>
      </c>
      <c r="V228" s="24">
        <f t="shared" si="301"/>
        <v>0</v>
      </c>
      <c r="W228" s="24">
        <f t="shared" si="302"/>
        <v>0</v>
      </c>
      <c r="X228" s="72">
        <f t="shared" si="303"/>
        <v>0</v>
      </c>
      <c r="Y228" s="72">
        <f t="shared" si="304"/>
        <v>0</v>
      </c>
      <c r="Z228" s="24">
        <f t="shared" si="285"/>
        <v>0</v>
      </c>
      <c r="AA228" s="72">
        <f t="shared" si="305"/>
        <v>0</v>
      </c>
      <c r="AB228" s="24">
        <f t="shared" si="306"/>
        <v>0</v>
      </c>
      <c r="AC228" s="24" t="s">
        <v>5</v>
      </c>
      <c r="AD228" s="25">
        <f t="shared" si="286"/>
        <v>3</v>
      </c>
      <c r="AE228" s="25">
        <f t="shared" si="287"/>
        <v>0</v>
      </c>
      <c r="AF228" s="25">
        <f t="shared" si="288"/>
        <v>0</v>
      </c>
      <c r="AG228" s="25">
        <f t="shared" si="307"/>
        <v>1</v>
      </c>
      <c r="AH228" s="25" t="str">
        <f>IFERROR(MATCH(DY228,'2 Staff List'!$IA$64:$IA$114,0),"x")</f>
        <v>x</v>
      </c>
      <c r="AI228" s="1181">
        <f>IFERROR(INDEX('2 Staff List'!$EX$64:$EX$114,$AH228),0)</f>
        <v>0</v>
      </c>
      <c r="AJ228" s="25">
        <f>IFERROR(INDEX('2 Staff List'!$IW$64:$IW$114,$AH228),0)</f>
        <v>0</v>
      </c>
      <c r="AK228" s="25">
        <f>IFERROR(INDEX('2 Staff List'!$IB$64:$IB$114,$AH228),0)</f>
        <v>0</v>
      </c>
      <c r="AL228" s="25">
        <f>IF(OR(NOT(ISBLANK(DV228)),CX228=1),"&lt;Non-Labor&gt;",IFERROR(IF(AH228=0,0,INDEX('2 Staff List'!$HZ$64:$HZ$114,$AH228)),0))</f>
        <v>0</v>
      </c>
      <c r="AM228" s="25">
        <f>IFERROR(INDEX('2 Staff List'!$HW$64:$HW$114,$AH228),0)</f>
        <v>0</v>
      </c>
      <c r="AN228" s="25">
        <f t="shared" si="308"/>
        <v>1</v>
      </c>
      <c r="AO228" s="25">
        <f>IF($AO$127=0,0,IFERROR(INDEX('2 Staff List'!$JH$64:$JH$114,$AH228),0))</f>
        <v>0</v>
      </c>
      <c r="AP228" s="25">
        <f>IFERROR(INDEX('2 Staff List'!$HU$64:$HU$114,$AH228),0)</f>
        <v>0</v>
      </c>
      <c r="AQ228" s="25">
        <f t="shared" si="309"/>
        <v>0</v>
      </c>
      <c r="AR228" s="25">
        <f t="shared" si="310"/>
        <v>0</v>
      </c>
      <c r="AS228" s="25">
        <f t="shared" si="311"/>
        <v>0</v>
      </c>
      <c r="AT228" s="25">
        <f t="shared" si="312"/>
        <v>0</v>
      </c>
      <c r="AU228" s="25">
        <f t="shared" si="313"/>
        <v>0</v>
      </c>
      <c r="AV228" s="25">
        <f t="shared" si="314"/>
        <v>0</v>
      </c>
      <c r="AW228" s="25">
        <f t="shared" si="315"/>
        <v>0</v>
      </c>
      <c r="AX228" s="25">
        <f t="shared" si="316"/>
        <v>0</v>
      </c>
      <c r="AY228" s="25">
        <f t="shared" si="317"/>
        <v>0</v>
      </c>
      <c r="AZ228" s="25">
        <f t="shared" si="318"/>
        <v>0</v>
      </c>
      <c r="BA228" s="25">
        <f t="shared" si="319"/>
        <v>0</v>
      </c>
      <c r="BB228" s="25">
        <f t="shared" si="320"/>
        <v>0</v>
      </c>
      <c r="BC228" s="25">
        <f>IFERROR(INDEX('2 Staff List'!KS$64:KS$114,$AH228),0)</f>
        <v>0</v>
      </c>
      <c r="BD228" s="25">
        <f>IFERROR(INDEX('2 Staff List'!KT$64:KT$114,$AH228),0)</f>
        <v>0</v>
      </c>
      <c r="BE228" s="25">
        <f>IFERROR(INDEX('2 Staff List'!KU$64:KU$114,$AH228),0)</f>
        <v>0</v>
      </c>
      <c r="BF228" s="25">
        <f>IFERROR(INDEX('2 Staff List'!KV$64:KV$114,$AH228),0)</f>
        <v>0</v>
      </c>
      <c r="BG228" s="25">
        <f>IFERROR(INDEX('2 Staff List'!KW$64:KW$114,$AH228),0)</f>
        <v>0</v>
      </c>
      <c r="BH228" s="25">
        <f>IFERROR(INDEX('2 Staff List'!KX$64:KX$114,$AH228),0)</f>
        <v>0</v>
      </c>
      <c r="BI228" s="25">
        <f>IFERROR(INDEX('2 Staff List'!KY$64:KY$114,$AH228),0)</f>
        <v>0</v>
      </c>
      <c r="BJ228" s="25">
        <f>IFERROR(INDEX('2 Staff List'!KZ$64:KZ$114,$AH228),0)</f>
        <v>0</v>
      </c>
      <c r="BK228" s="25">
        <f>IFERROR(INDEX('2 Staff List'!LA$64:LA$114,$AH228),0)</f>
        <v>0</v>
      </c>
      <c r="BL228" s="25">
        <f>IFERROR(INDEX('2 Staff List'!LB$64:LB$114,$AH228),0)</f>
        <v>0</v>
      </c>
      <c r="BM228" s="25">
        <f>IFERROR(INDEX('2 Staff List'!FT$64:FT$114,$AH228),0)</f>
        <v>0</v>
      </c>
      <c r="BN228" s="25">
        <f>IFERROR(INDEX('2 Staff List'!FU$64:FU$114,$AH228),0)</f>
        <v>0</v>
      </c>
      <c r="BO228" s="25">
        <f>IFERROR(INDEX('2 Staff List'!FV$64:FV$114,$AH228),0)</f>
        <v>0</v>
      </c>
      <c r="BP228" s="25">
        <f>IFERROR(INDEX('2 Staff List'!FW$64:FW$114,$AH228),0)</f>
        <v>0</v>
      </c>
      <c r="BQ228" s="25">
        <f>IFERROR(INDEX('2 Staff List'!FX$64:FX$114,$AH228),0)</f>
        <v>0</v>
      </c>
      <c r="BR228" s="25">
        <f>IFERROR(INDEX('2 Staff List'!FY$64:FY$114,$AH228),0)</f>
        <v>0</v>
      </c>
      <c r="BS228" s="25">
        <f>IFERROR(INDEX('2 Staff List'!FZ$64:FZ$114,$AH228),0)</f>
        <v>0</v>
      </c>
      <c r="BT228" s="25">
        <f>IFERROR(INDEX('2 Staff List'!GA$64:GA$114,$AH228),0)</f>
        <v>0</v>
      </c>
      <c r="BU228" s="25">
        <f>IFERROR(INDEX('2 Staff List'!GB$64:GB$114,$AH228),0)</f>
        <v>0</v>
      </c>
      <c r="BV228" s="25">
        <f>IFERROR(INDEX('2 Staff List'!GC$64:GC$114,$AH228),0)</f>
        <v>0</v>
      </c>
      <c r="BW228" s="25">
        <f t="shared" si="321"/>
        <v>0</v>
      </c>
      <c r="BX228" s="25">
        <f t="shared" si="322"/>
        <v>0</v>
      </c>
      <c r="BY228" s="25">
        <f t="shared" si="323"/>
        <v>0</v>
      </c>
      <c r="BZ228" s="25">
        <f t="shared" si="324"/>
        <v>0</v>
      </c>
      <c r="CA228" s="25">
        <f t="shared" si="325"/>
        <v>0</v>
      </c>
      <c r="CB228" s="25">
        <f t="shared" si="326"/>
        <v>0</v>
      </c>
      <c r="CC228" s="25">
        <f t="shared" si="327"/>
        <v>0</v>
      </c>
      <c r="CD228" s="25">
        <f t="shared" si="328"/>
        <v>0</v>
      </c>
      <c r="CE228" s="25">
        <f t="shared" si="329"/>
        <v>0</v>
      </c>
      <c r="CF228" s="25">
        <f t="shared" si="330"/>
        <v>0</v>
      </c>
      <c r="CG228" s="25">
        <f t="shared" si="331"/>
        <v>0</v>
      </c>
      <c r="CH228" s="25">
        <f>IFERROR(INDEX('2 Staff List'!LO$64:LO$114,$AH228),0)</f>
        <v>0</v>
      </c>
      <c r="CI228" s="25">
        <f>IFERROR(INDEX('2 Staff List'!LP$64:LP$114,$AH228),0)</f>
        <v>0</v>
      </c>
      <c r="CJ228" s="25">
        <f>IFERROR(INDEX('2 Staff List'!LQ$64:LQ$114,$AH228),0)</f>
        <v>0</v>
      </c>
      <c r="CK228" s="25">
        <f>IFERROR(INDEX('2 Staff List'!LR$64:LR$114,$AH228),0)</f>
        <v>0</v>
      </c>
      <c r="CL228" s="25">
        <f>IFERROR(INDEX('2 Staff List'!LS$64:LS$114,$AH228),0)</f>
        <v>0</v>
      </c>
      <c r="CM228" s="25">
        <f>IFERROR(INDEX('2 Staff List'!LT$64:LT$114,$AH228),0)</f>
        <v>0</v>
      </c>
      <c r="CN228" s="25">
        <f>IFERROR(INDEX('2 Staff List'!LU$64:LU$114,$AH228),0)</f>
        <v>0</v>
      </c>
      <c r="CO228" s="25">
        <f>IFERROR(INDEX('2 Staff List'!LV$64:LV$114,$AH228),0)</f>
        <v>0</v>
      </c>
      <c r="CP228" s="25">
        <f>IFERROR(INDEX('2 Staff List'!LW$64:LW$114,$AH228),0)</f>
        <v>0</v>
      </c>
      <c r="CQ228" s="25">
        <f>IFERROR(INDEX('2 Staff List'!LX$64:LX$114,$AH228),0)</f>
        <v>0</v>
      </c>
      <c r="CR228" s="25">
        <f t="shared" si="289"/>
        <v>0</v>
      </c>
      <c r="CS228" s="25">
        <f t="shared" si="349"/>
        <v>1</v>
      </c>
      <c r="CT228" s="25">
        <f t="shared" si="333"/>
        <v>1</v>
      </c>
      <c r="CU228" s="25">
        <f t="shared" si="334"/>
        <v>1</v>
      </c>
      <c r="CV228" s="25">
        <f t="shared" si="335"/>
        <v>1</v>
      </c>
      <c r="CW228" s="25">
        <f t="shared" si="336"/>
        <v>1</v>
      </c>
      <c r="CX228" s="25">
        <f t="shared" si="337"/>
        <v>0</v>
      </c>
      <c r="CY228" s="25">
        <f t="shared" si="338"/>
        <v>0</v>
      </c>
      <c r="CZ228" s="25">
        <f t="shared" si="339"/>
        <v>0</v>
      </c>
      <c r="DA228" s="25">
        <f t="shared" si="340"/>
        <v>1</v>
      </c>
      <c r="DB228" s="25">
        <f t="shared" si="290"/>
        <v>1</v>
      </c>
      <c r="DC228" s="25">
        <f t="shared" si="341"/>
        <v>0</v>
      </c>
      <c r="DD228" s="25">
        <f>IF(OR($AD228&lt;&gt;3,F228="Exclude"),0,IF(ISERROR(MATCH($E228,'4 Sign-off'!$S$123:$X$123,0)),0,1))</f>
        <v>0</v>
      </c>
      <c r="DE228" s="25">
        <f t="shared" si="550"/>
        <v>0</v>
      </c>
      <c r="DF228" s="25">
        <f t="shared" si="342"/>
        <v>0</v>
      </c>
      <c r="DG228" s="25" t="str">
        <f t="shared" si="343"/>
        <v/>
      </c>
      <c r="DH228" s="25">
        <f t="shared" si="344"/>
        <v>0</v>
      </c>
      <c r="DI228" s="25">
        <f t="shared" si="345"/>
        <v>0</v>
      </c>
      <c r="DJ228" s="25">
        <f>IF(ISBLANK(J228),0,ISERROR(MATCH(J228,'5  Control Accounts'!$FA$29:$FA$96,0))*1)</f>
        <v>0</v>
      </c>
      <c r="DK228" s="25">
        <f t="shared" si="346"/>
        <v>0</v>
      </c>
      <c r="DL228" s="25">
        <f t="shared" si="292"/>
        <v>-1</v>
      </c>
      <c r="DM228" s="25" t="e">
        <f t="array" ref="DM228">MATCH(1,($EG228:$JD228&gt;0)*$EG$17:$JD$17,0)</f>
        <v>#N/A</v>
      </c>
      <c r="DN228" s="25" t="e">
        <f t="shared" si="551"/>
        <v>#N/A</v>
      </c>
      <c r="DO228" s="25" t="e">
        <f t="array" ref="DO228">MATCH(2,1/(EG228:JD228&gt;0))</f>
        <v>#N/A</v>
      </c>
      <c r="DP228" s="2993">
        <f t="shared" si="347"/>
        <v>0</v>
      </c>
      <c r="DQ228" s="3037">
        <f t="shared" si="348"/>
        <v>0</v>
      </c>
      <c r="DR228" s="111"/>
      <c r="DS228" s="1268">
        <f t="shared" si="282"/>
        <v>0</v>
      </c>
      <c r="DT228" s="1825"/>
      <c r="DU228" s="1826"/>
      <c r="DV228" s="1827"/>
      <c r="DW228" s="1828"/>
      <c r="DX228" s="659"/>
      <c r="DY228" s="1265"/>
      <c r="DZ228" s="1785">
        <f t="shared" si="294"/>
        <v>0</v>
      </c>
      <c r="EA228" s="1786">
        <f t="shared" si="295"/>
        <v>0</v>
      </c>
      <c r="EB228" s="1781">
        <f t="shared" si="552"/>
        <v>0</v>
      </c>
      <c r="EC228" s="1782">
        <f t="shared" si="553"/>
        <v>0</v>
      </c>
      <c r="ED228" s="1262"/>
      <c r="EE228" s="2280"/>
      <c r="EF228" s="1802"/>
      <c r="EG228" s="167"/>
      <c r="EH228" s="168"/>
      <c r="EI228" s="168"/>
      <c r="EJ228" s="168"/>
      <c r="EK228" s="168"/>
      <c r="EL228" s="168"/>
      <c r="EM228" s="168"/>
      <c r="EN228" s="168"/>
      <c r="EO228" s="168"/>
      <c r="EP228" s="168"/>
      <c r="EQ228" s="168"/>
      <c r="ER228" s="168"/>
      <c r="ES228" s="168"/>
      <c r="ET228" s="168"/>
      <c r="EU228" s="168"/>
      <c r="EV228" s="168"/>
      <c r="EW228" s="168"/>
      <c r="EX228" s="168"/>
      <c r="EY228" s="168"/>
      <c r="EZ228" s="168"/>
      <c r="FA228" s="168"/>
      <c r="FB228" s="168"/>
      <c r="FC228" s="168"/>
      <c r="FD228" s="168"/>
      <c r="FE228" s="168"/>
      <c r="FF228" s="168"/>
      <c r="FG228" s="168"/>
      <c r="FH228" s="168"/>
      <c r="FI228" s="168"/>
      <c r="FJ228" s="168"/>
      <c r="FK228" s="168"/>
      <c r="FL228" s="168"/>
      <c r="FM228" s="168"/>
      <c r="FN228" s="168"/>
      <c r="FO228" s="168"/>
      <c r="FP228" s="168"/>
      <c r="FQ228" s="168"/>
      <c r="FR228" s="168"/>
      <c r="FS228" s="168"/>
      <c r="FT228" s="168"/>
      <c r="FU228" s="168"/>
      <c r="FV228" s="168"/>
      <c r="FW228" s="168"/>
      <c r="FX228" s="168"/>
      <c r="FY228" s="168"/>
      <c r="FZ228" s="168"/>
      <c r="GA228" s="168"/>
      <c r="GB228" s="168"/>
      <c r="GC228" s="168"/>
      <c r="GD228" s="168"/>
      <c r="GE228" s="168"/>
      <c r="GF228" s="168"/>
      <c r="GG228" s="168"/>
      <c r="GH228" s="168"/>
      <c r="GI228" s="168"/>
      <c r="GJ228" s="168"/>
      <c r="GK228" s="168"/>
      <c r="GL228" s="168"/>
      <c r="GM228" s="168"/>
      <c r="GN228" s="168"/>
      <c r="GO228" s="168"/>
      <c r="GP228" s="168"/>
      <c r="GQ228" s="168"/>
      <c r="GR228" s="168"/>
      <c r="GS228" s="168"/>
      <c r="GT228" s="168"/>
      <c r="GU228" s="168"/>
      <c r="GV228" s="168"/>
      <c r="GW228" s="168"/>
      <c r="GX228" s="168"/>
      <c r="GY228" s="168"/>
      <c r="GZ228" s="168"/>
      <c r="HA228" s="168"/>
      <c r="HB228" s="168"/>
      <c r="HC228" s="168"/>
      <c r="HD228" s="168"/>
      <c r="HE228" s="168"/>
      <c r="HF228" s="168"/>
      <c r="HG228" s="168"/>
      <c r="HH228" s="168"/>
      <c r="HI228" s="168"/>
      <c r="HJ228" s="168"/>
      <c r="HK228" s="168"/>
      <c r="HL228" s="168"/>
      <c r="HM228" s="168"/>
      <c r="HN228" s="168"/>
      <c r="HO228" s="168"/>
      <c r="HP228" s="168"/>
      <c r="HQ228" s="168"/>
      <c r="HR228" s="168"/>
      <c r="HS228" s="168"/>
      <c r="HT228" s="168"/>
      <c r="HU228" s="168"/>
      <c r="HV228" s="168"/>
      <c r="HW228" s="168"/>
      <c r="HX228" s="168"/>
      <c r="HY228" s="168"/>
      <c r="HZ228" s="168"/>
      <c r="IA228" s="168"/>
      <c r="IB228" s="168"/>
      <c r="IC228" s="168"/>
      <c r="ID228" s="168"/>
      <c r="IE228" s="168"/>
      <c r="IF228" s="168"/>
      <c r="IG228" s="168"/>
      <c r="IH228" s="168"/>
      <c r="II228" s="168"/>
      <c r="IJ228" s="168"/>
      <c r="IK228" s="168"/>
      <c r="IL228" s="168"/>
      <c r="IM228" s="168"/>
      <c r="IN228" s="168"/>
      <c r="IO228" s="168"/>
      <c r="IP228" s="168"/>
      <c r="IQ228" s="168"/>
      <c r="IR228" s="168"/>
      <c r="IS228" s="168"/>
      <c r="IT228" s="168"/>
      <c r="IU228" s="168"/>
      <c r="IV228" s="168"/>
      <c r="IW228" s="168"/>
      <c r="IX228" s="168"/>
      <c r="IY228" s="168"/>
      <c r="IZ228" s="168"/>
      <c r="JA228" s="168"/>
      <c r="JB228" s="168"/>
      <c r="JC228" s="606"/>
      <c r="JD228" s="609"/>
      <c r="JE228" s="1"/>
      <c r="JF228" s="1"/>
    </row>
    <row r="229" spans="1:266" s="2" customFormat="1" ht="15" customHeight="1" x14ac:dyDescent="0.25">
      <c r="A229" s="283"/>
      <c r="B229" s="303"/>
      <c r="C229" s="301"/>
      <c r="D229" s="638"/>
      <c r="E229" s="2298"/>
      <c r="F229" s="1812"/>
      <c r="G229" s="3342"/>
      <c r="H229" s="66"/>
      <c r="I229" s="1746"/>
      <c r="J229" s="86"/>
      <c r="K229" s="105"/>
      <c r="L229" s="91"/>
      <c r="M229" s="92"/>
      <c r="N229" s="93"/>
      <c r="O229" s="94"/>
      <c r="P229" s="96"/>
      <c r="Q229" s="95"/>
      <c r="R229" s="993">
        <f t="shared" si="284"/>
        <v>0</v>
      </c>
      <c r="S229" s="23">
        <f t="shared" si="298"/>
        <v>0</v>
      </c>
      <c r="T229" s="24">
        <f t="shared" si="299"/>
        <v>0</v>
      </c>
      <c r="U229" s="24">
        <f t="shared" si="300"/>
        <v>0</v>
      </c>
      <c r="V229" s="24">
        <f t="shared" si="301"/>
        <v>0</v>
      </c>
      <c r="W229" s="24">
        <f t="shared" si="302"/>
        <v>0</v>
      </c>
      <c r="X229" s="72">
        <f t="shared" si="303"/>
        <v>0</v>
      </c>
      <c r="Y229" s="72">
        <f t="shared" si="304"/>
        <v>0</v>
      </c>
      <c r="Z229" s="24">
        <f t="shared" si="285"/>
        <v>0</v>
      </c>
      <c r="AA229" s="72">
        <f t="shared" si="305"/>
        <v>0</v>
      </c>
      <c r="AB229" s="24">
        <f t="shared" si="306"/>
        <v>0</v>
      </c>
      <c r="AC229" s="24" t="s">
        <v>5</v>
      </c>
      <c r="AD229" s="25">
        <f t="shared" si="286"/>
        <v>3</v>
      </c>
      <c r="AE229" s="25">
        <f t="shared" si="287"/>
        <v>0</v>
      </c>
      <c r="AF229" s="25">
        <f t="shared" si="288"/>
        <v>0</v>
      </c>
      <c r="AG229" s="25">
        <f t="shared" si="307"/>
        <v>1</v>
      </c>
      <c r="AH229" s="25" t="str">
        <f>IFERROR(MATCH(DY229,'2 Staff List'!$IA$64:$IA$114,0),"x")</f>
        <v>x</v>
      </c>
      <c r="AI229" s="1181">
        <f>IFERROR(INDEX('2 Staff List'!$EX$64:$EX$114,$AH229),0)</f>
        <v>0</v>
      </c>
      <c r="AJ229" s="25">
        <f>IFERROR(INDEX('2 Staff List'!$IW$64:$IW$114,$AH229),0)</f>
        <v>0</v>
      </c>
      <c r="AK229" s="25">
        <f>IFERROR(INDEX('2 Staff List'!$IB$64:$IB$114,$AH229),0)</f>
        <v>0</v>
      </c>
      <c r="AL229" s="25">
        <f>IF(OR(NOT(ISBLANK(DV229)),CX229=1),"&lt;Non-Labor&gt;",IFERROR(IF(AH229=0,0,INDEX('2 Staff List'!$HZ$64:$HZ$114,$AH229)),0))</f>
        <v>0</v>
      </c>
      <c r="AM229" s="25">
        <f>IFERROR(INDEX('2 Staff List'!$HW$64:$HW$114,$AH229),0)</f>
        <v>0</v>
      </c>
      <c r="AN229" s="25">
        <f t="shared" si="308"/>
        <v>1</v>
      </c>
      <c r="AO229" s="25">
        <f>IF($AO$127=0,0,IFERROR(INDEX('2 Staff List'!$JH$64:$JH$114,$AH229),0))</f>
        <v>0</v>
      </c>
      <c r="AP229" s="25">
        <f>IFERROR(INDEX('2 Staff List'!$HU$64:$HU$114,$AH229),0)</f>
        <v>0</v>
      </c>
      <c r="AQ229" s="25">
        <f t="shared" si="309"/>
        <v>0</v>
      </c>
      <c r="AR229" s="25">
        <f t="shared" si="310"/>
        <v>0</v>
      </c>
      <c r="AS229" s="25">
        <f t="shared" si="311"/>
        <v>0</v>
      </c>
      <c r="AT229" s="25">
        <f t="shared" si="312"/>
        <v>0</v>
      </c>
      <c r="AU229" s="25">
        <f t="shared" si="313"/>
        <v>0</v>
      </c>
      <c r="AV229" s="25">
        <f t="shared" si="314"/>
        <v>0</v>
      </c>
      <c r="AW229" s="25">
        <f t="shared" si="315"/>
        <v>0</v>
      </c>
      <c r="AX229" s="25">
        <f t="shared" si="316"/>
        <v>0</v>
      </c>
      <c r="AY229" s="25">
        <f t="shared" si="317"/>
        <v>0</v>
      </c>
      <c r="AZ229" s="25">
        <f t="shared" si="318"/>
        <v>0</v>
      </c>
      <c r="BA229" s="25">
        <f t="shared" si="319"/>
        <v>0</v>
      </c>
      <c r="BB229" s="25">
        <f t="shared" si="320"/>
        <v>0</v>
      </c>
      <c r="BC229" s="25">
        <f>IFERROR(INDEX('2 Staff List'!KS$64:KS$114,$AH229),0)</f>
        <v>0</v>
      </c>
      <c r="BD229" s="25">
        <f>IFERROR(INDEX('2 Staff List'!KT$64:KT$114,$AH229),0)</f>
        <v>0</v>
      </c>
      <c r="BE229" s="25">
        <f>IFERROR(INDEX('2 Staff List'!KU$64:KU$114,$AH229),0)</f>
        <v>0</v>
      </c>
      <c r="BF229" s="25">
        <f>IFERROR(INDEX('2 Staff List'!KV$64:KV$114,$AH229),0)</f>
        <v>0</v>
      </c>
      <c r="BG229" s="25">
        <f>IFERROR(INDEX('2 Staff List'!KW$64:KW$114,$AH229),0)</f>
        <v>0</v>
      </c>
      <c r="BH229" s="25">
        <f>IFERROR(INDEX('2 Staff List'!KX$64:KX$114,$AH229),0)</f>
        <v>0</v>
      </c>
      <c r="BI229" s="25">
        <f>IFERROR(INDEX('2 Staff List'!KY$64:KY$114,$AH229),0)</f>
        <v>0</v>
      </c>
      <c r="BJ229" s="25">
        <f>IFERROR(INDEX('2 Staff List'!KZ$64:KZ$114,$AH229),0)</f>
        <v>0</v>
      </c>
      <c r="BK229" s="25">
        <f>IFERROR(INDEX('2 Staff List'!LA$64:LA$114,$AH229),0)</f>
        <v>0</v>
      </c>
      <c r="BL229" s="25">
        <f>IFERROR(INDEX('2 Staff List'!LB$64:LB$114,$AH229),0)</f>
        <v>0</v>
      </c>
      <c r="BM229" s="25">
        <f>IFERROR(INDEX('2 Staff List'!FT$64:FT$114,$AH229),0)</f>
        <v>0</v>
      </c>
      <c r="BN229" s="25">
        <f>IFERROR(INDEX('2 Staff List'!FU$64:FU$114,$AH229),0)</f>
        <v>0</v>
      </c>
      <c r="BO229" s="25">
        <f>IFERROR(INDEX('2 Staff List'!FV$64:FV$114,$AH229),0)</f>
        <v>0</v>
      </c>
      <c r="BP229" s="25">
        <f>IFERROR(INDEX('2 Staff List'!FW$64:FW$114,$AH229),0)</f>
        <v>0</v>
      </c>
      <c r="BQ229" s="25">
        <f>IFERROR(INDEX('2 Staff List'!FX$64:FX$114,$AH229),0)</f>
        <v>0</v>
      </c>
      <c r="BR229" s="25">
        <f>IFERROR(INDEX('2 Staff List'!FY$64:FY$114,$AH229),0)</f>
        <v>0</v>
      </c>
      <c r="BS229" s="25">
        <f>IFERROR(INDEX('2 Staff List'!FZ$64:FZ$114,$AH229),0)</f>
        <v>0</v>
      </c>
      <c r="BT229" s="25">
        <f>IFERROR(INDEX('2 Staff List'!GA$64:GA$114,$AH229),0)</f>
        <v>0</v>
      </c>
      <c r="BU229" s="25">
        <f>IFERROR(INDEX('2 Staff List'!GB$64:GB$114,$AH229),0)</f>
        <v>0</v>
      </c>
      <c r="BV229" s="25">
        <f>IFERROR(INDEX('2 Staff List'!GC$64:GC$114,$AH229),0)</f>
        <v>0</v>
      </c>
      <c r="BW229" s="25">
        <f t="shared" si="321"/>
        <v>0</v>
      </c>
      <c r="BX229" s="25">
        <f t="shared" si="322"/>
        <v>0</v>
      </c>
      <c r="BY229" s="25">
        <f t="shared" si="323"/>
        <v>0</v>
      </c>
      <c r="BZ229" s="25">
        <f t="shared" si="324"/>
        <v>0</v>
      </c>
      <c r="CA229" s="25">
        <f t="shared" si="325"/>
        <v>0</v>
      </c>
      <c r="CB229" s="25">
        <f t="shared" si="326"/>
        <v>0</v>
      </c>
      <c r="CC229" s="25">
        <f t="shared" si="327"/>
        <v>0</v>
      </c>
      <c r="CD229" s="25">
        <f t="shared" si="328"/>
        <v>0</v>
      </c>
      <c r="CE229" s="25">
        <f t="shared" si="329"/>
        <v>0</v>
      </c>
      <c r="CF229" s="25">
        <f t="shared" si="330"/>
        <v>0</v>
      </c>
      <c r="CG229" s="25">
        <f t="shared" si="331"/>
        <v>0</v>
      </c>
      <c r="CH229" s="25">
        <f>IFERROR(INDEX('2 Staff List'!LO$64:LO$114,$AH229),0)</f>
        <v>0</v>
      </c>
      <c r="CI229" s="25">
        <f>IFERROR(INDEX('2 Staff List'!LP$64:LP$114,$AH229),0)</f>
        <v>0</v>
      </c>
      <c r="CJ229" s="25">
        <f>IFERROR(INDEX('2 Staff List'!LQ$64:LQ$114,$AH229),0)</f>
        <v>0</v>
      </c>
      <c r="CK229" s="25">
        <f>IFERROR(INDEX('2 Staff List'!LR$64:LR$114,$AH229),0)</f>
        <v>0</v>
      </c>
      <c r="CL229" s="25">
        <f>IFERROR(INDEX('2 Staff List'!LS$64:LS$114,$AH229),0)</f>
        <v>0</v>
      </c>
      <c r="CM229" s="25">
        <f>IFERROR(INDEX('2 Staff List'!LT$64:LT$114,$AH229),0)</f>
        <v>0</v>
      </c>
      <c r="CN229" s="25">
        <f>IFERROR(INDEX('2 Staff List'!LU$64:LU$114,$AH229),0)</f>
        <v>0</v>
      </c>
      <c r="CO229" s="25">
        <f>IFERROR(INDEX('2 Staff List'!LV$64:LV$114,$AH229),0)</f>
        <v>0</v>
      </c>
      <c r="CP229" s="25">
        <f>IFERROR(INDEX('2 Staff List'!LW$64:LW$114,$AH229),0)</f>
        <v>0</v>
      </c>
      <c r="CQ229" s="25">
        <f>IFERROR(INDEX('2 Staff List'!LX$64:LX$114,$AH229),0)</f>
        <v>0</v>
      </c>
      <c r="CR229" s="25">
        <f t="shared" si="289"/>
        <v>0</v>
      </c>
      <c r="CS229" s="25">
        <f t="shared" si="349"/>
        <v>1</v>
      </c>
      <c r="CT229" s="25">
        <f t="shared" si="333"/>
        <v>1</v>
      </c>
      <c r="CU229" s="25">
        <f t="shared" si="334"/>
        <v>1</v>
      </c>
      <c r="CV229" s="25">
        <f t="shared" si="335"/>
        <v>1</v>
      </c>
      <c r="CW229" s="25">
        <f t="shared" si="336"/>
        <v>1</v>
      </c>
      <c r="CX229" s="25">
        <f t="shared" si="337"/>
        <v>0</v>
      </c>
      <c r="CY229" s="25">
        <f t="shared" si="338"/>
        <v>0</v>
      </c>
      <c r="CZ229" s="25">
        <f t="shared" si="339"/>
        <v>0</v>
      </c>
      <c r="DA229" s="25">
        <f t="shared" si="340"/>
        <v>1</v>
      </c>
      <c r="DB229" s="25">
        <f t="shared" si="290"/>
        <v>1</v>
      </c>
      <c r="DC229" s="25">
        <f t="shared" si="341"/>
        <v>0</v>
      </c>
      <c r="DD229" s="25">
        <f>IF(OR($AD229&lt;&gt;3,F229="Exclude"),0,IF(ISERROR(MATCH($E229,'4 Sign-off'!$S$123:$X$123,0)),0,1))</f>
        <v>0</v>
      </c>
      <c r="DE229" s="25">
        <f t="shared" si="550"/>
        <v>0</v>
      </c>
      <c r="DF229" s="25">
        <f t="shared" si="342"/>
        <v>0</v>
      </c>
      <c r="DG229" s="25" t="str">
        <f t="shared" si="343"/>
        <v/>
      </c>
      <c r="DH229" s="25">
        <f t="shared" si="344"/>
        <v>0</v>
      </c>
      <c r="DI229" s="25">
        <f t="shared" si="345"/>
        <v>0</v>
      </c>
      <c r="DJ229" s="25">
        <f>IF(ISBLANK(J229),0,ISERROR(MATCH(J229,'5  Control Accounts'!$FA$29:$FA$96,0))*1)</f>
        <v>0</v>
      </c>
      <c r="DK229" s="25">
        <f t="shared" si="346"/>
        <v>0</v>
      </c>
      <c r="DL229" s="25">
        <f t="shared" si="292"/>
        <v>-1</v>
      </c>
      <c r="DM229" s="25" t="e">
        <f t="array" ref="DM229">MATCH(1,($EG229:$JD229&gt;0)*$EG$17:$JD$17,0)</f>
        <v>#N/A</v>
      </c>
      <c r="DN229" s="25" t="e">
        <f t="shared" si="551"/>
        <v>#N/A</v>
      </c>
      <c r="DO229" s="25" t="e">
        <f t="array" ref="DO229">MATCH(2,1/(EG229:JD229&gt;0))</f>
        <v>#N/A</v>
      </c>
      <c r="DP229" s="2993">
        <f t="shared" si="347"/>
        <v>0</v>
      </c>
      <c r="DQ229" s="3037">
        <f t="shared" si="348"/>
        <v>0</v>
      </c>
      <c r="DR229" s="111"/>
      <c r="DS229" s="1268">
        <f t="shared" ref="DS229:DS261" si="743">N229</f>
        <v>0</v>
      </c>
      <c r="DT229" s="1825"/>
      <c r="DU229" s="1826"/>
      <c r="DV229" s="1827"/>
      <c r="DW229" s="1828"/>
      <c r="DX229" s="659"/>
      <c r="DY229" s="1265"/>
      <c r="DZ229" s="1785">
        <f t="shared" si="294"/>
        <v>0</v>
      </c>
      <c r="EA229" s="1786">
        <f t="shared" si="295"/>
        <v>0</v>
      </c>
      <c r="EB229" s="1781">
        <f t="shared" si="552"/>
        <v>0</v>
      </c>
      <c r="EC229" s="1782">
        <f t="shared" si="553"/>
        <v>0</v>
      </c>
      <c r="ED229" s="1262"/>
      <c r="EE229" s="2280"/>
      <c r="EF229" s="1802"/>
      <c r="EG229" s="167"/>
      <c r="EH229" s="168"/>
      <c r="EI229" s="168"/>
      <c r="EJ229" s="168"/>
      <c r="EK229" s="168"/>
      <c r="EL229" s="168"/>
      <c r="EM229" s="168"/>
      <c r="EN229" s="168"/>
      <c r="EO229" s="168"/>
      <c r="EP229" s="168"/>
      <c r="EQ229" s="168"/>
      <c r="ER229" s="168"/>
      <c r="ES229" s="168"/>
      <c r="ET229" s="168"/>
      <c r="EU229" s="168"/>
      <c r="EV229" s="168"/>
      <c r="EW229" s="168"/>
      <c r="EX229" s="168"/>
      <c r="EY229" s="168"/>
      <c r="EZ229" s="168"/>
      <c r="FA229" s="168"/>
      <c r="FB229" s="168"/>
      <c r="FC229" s="168"/>
      <c r="FD229" s="168"/>
      <c r="FE229" s="168"/>
      <c r="FF229" s="168"/>
      <c r="FG229" s="168"/>
      <c r="FH229" s="168"/>
      <c r="FI229" s="168"/>
      <c r="FJ229" s="168"/>
      <c r="FK229" s="168"/>
      <c r="FL229" s="168"/>
      <c r="FM229" s="168"/>
      <c r="FN229" s="168"/>
      <c r="FO229" s="168"/>
      <c r="FP229" s="168"/>
      <c r="FQ229" s="168"/>
      <c r="FR229" s="168"/>
      <c r="FS229" s="168"/>
      <c r="FT229" s="168"/>
      <c r="FU229" s="168"/>
      <c r="FV229" s="168"/>
      <c r="FW229" s="168"/>
      <c r="FX229" s="168"/>
      <c r="FY229" s="168"/>
      <c r="FZ229" s="168"/>
      <c r="GA229" s="168"/>
      <c r="GB229" s="168"/>
      <c r="GC229" s="168"/>
      <c r="GD229" s="168"/>
      <c r="GE229" s="168"/>
      <c r="GF229" s="168"/>
      <c r="GG229" s="168"/>
      <c r="GH229" s="168"/>
      <c r="GI229" s="168"/>
      <c r="GJ229" s="168"/>
      <c r="GK229" s="168"/>
      <c r="GL229" s="168"/>
      <c r="GM229" s="168"/>
      <c r="GN229" s="168"/>
      <c r="GO229" s="168"/>
      <c r="GP229" s="168"/>
      <c r="GQ229" s="168"/>
      <c r="GR229" s="168"/>
      <c r="GS229" s="168"/>
      <c r="GT229" s="168"/>
      <c r="GU229" s="168"/>
      <c r="GV229" s="168"/>
      <c r="GW229" s="168"/>
      <c r="GX229" s="168"/>
      <c r="GY229" s="168"/>
      <c r="GZ229" s="168"/>
      <c r="HA229" s="168"/>
      <c r="HB229" s="168"/>
      <c r="HC229" s="168"/>
      <c r="HD229" s="168"/>
      <c r="HE229" s="168"/>
      <c r="HF229" s="168"/>
      <c r="HG229" s="168"/>
      <c r="HH229" s="168"/>
      <c r="HI229" s="168"/>
      <c r="HJ229" s="168"/>
      <c r="HK229" s="168"/>
      <c r="HL229" s="168"/>
      <c r="HM229" s="168"/>
      <c r="HN229" s="168"/>
      <c r="HO229" s="168"/>
      <c r="HP229" s="168"/>
      <c r="HQ229" s="168"/>
      <c r="HR229" s="168"/>
      <c r="HS229" s="168"/>
      <c r="HT229" s="168"/>
      <c r="HU229" s="168"/>
      <c r="HV229" s="168"/>
      <c r="HW229" s="168"/>
      <c r="HX229" s="168"/>
      <c r="HY229" s="168"/>
      <c r="HZ229" s="168"/>
      <c r="IA229" s="168"/>
      <c r="IB229" s="168"/>
      <c r="IC229" s="168"/>
      <c r="ID229" s="168"/>
      <c r="IE229" s="168"/>
      <c r="IF229" s="168"/>
      <c r="IG229" s="168"/>
      <c r="IH229" s="168"/>
      <c r="II229" s="168"/>
      <c r="IJ229" s="168"/>
      <c r="IK229" s="168"/>
      <c r="IL229" s="168"/>
      <c r="IM229" s="168"/>
      <c r="IN229" s="168"/>
      <c r="IO229" s="168"/>
      <c r="IP229" s="168"/>
      <c r="IQ229" s="168"/>
      <c r="IR229" s="168"/>
      <c r="IS229" s="168"/>
      <c r="IT229" s="168"/>
      <c r="IU229" s="168"/>
      <c r="IV229" s="168"/>
      <c r="IW229" s="168"/>
      <c r="IX229" s="168"/>
      <c r="IY229" s="168"/>
      <c r="IZ229" s="168"/>
      <c r="JA229" s="168"/>
      <c r="JB229" s="168"/>
      <c r="JC229" s="606"/>
      <c r="JD229" s="609"/>
      <c r="JE229" s="1"/>
      <c r="JF229" s="1"/>
    </row>
    <row r="230" spans="1:266" s="2" customFormat="1" ht="15" customHeight="1" x14ac:dyDescent="0.25">
      <c r="A230" s="283"/>
      <c r="B230" s="303"/>
      <c r="C230" s="301"/>
      <c r="D230" s="638"/>
      <c r="E230" s="2298"/>
      <c r="F230" s="1812"/>
      <c r="G230" s="3342"/>
      <c r="H230" s="66"/>
      <c r="I230" s="1746"/>
      <c r="J230" s="86"/>
      <c r="K230" s="105"/>
      <c r="L230" s="91"/>
      <c r="M230" s="92"/>
      <c r="N230" s="93"/>
      <c r="O230" s="94"/>
      <c r="P230" s="96"/>
      <c r="Q230" s="95"/>
      <c r="R230" s="993">
        <f t="shared" si="284"/>
        <v>0</v>
      </c>
      <c r="S230" s="23">
        <f t="shared" si="298"/>
        <v>0</v>
      </c>
      <c r="T230" s="24">
        <f t="shared" si="299"/>
        <v>0</v>
      </c>
      <c r="U230" s="24">
        <f t="shared" si="300"/>
        <v>0</v>
      </c>
      <c r="V230" s="24">
        <f t="shared" si="301"/>
        <v>0</v>
      </c>
      <c r="W230" s="24">
        <f t="shared" si="302"/>
        <v>0</v>
      </c>
      <c r="X230" s="72">
        <f t="shared" si="303"/>
        <v>0</v>
      </c>
      <c r="Y230" s="72">
        <f t="shared" si="304"/>
        <v>0</v>
      </c>
      <c r="Z230" s="24">
        <f t="shared" si="285"/>
        <v>0</v>
      </c>
      <c r="AA230" s="72">
        <f t="shared" si="305"/>
        <v>0</v>
      </c>
      <c r="AB230" s="24">
        <f t="shared" si="306"/>
        <v>0</v>
      </c>
      <c r="AC230" s="24" t="s">
        <v>5</v>
      </c>
      <c r="AD230" s="25">
        <f t="shared" si="286"/>
        <v>3</v>
      </c>
      <c r="AE230" s="25">
        <f t="shared" si="287"/>
        <v>0</v>
      </c>
      <c r="AF230" s="25">
        <f t="shared" si="288"/>
        <v>0</v>
      </c>
      <c r="AG230" s="25">
        <f t="shared" si="307"/>
        <v>1</v>
      </c>
      <c r="AH230" s="25" t="str">
        <f>IFERROR(MATCH(DY230,'2 Staff List'!$IA$64:$IA$114,0),"x")</f>
        <v>x</v>
      </c>
      <c r="AI230" s="1181">
        <f>IFERROR(INDEX('2 Staff List'!$EX$64:$EX$114,$AH230),0)</f>
        <v>0</v>
      </c>
      <c r="AJ230" s="25">
        <f>IFERROR(INDEX('2 Staff List'!$IW$64:$IW$114,$AH230),0)</f>
        <v>0</v>
      </c>
      <c r="AK230" s="25">
        <f>IFERROR(INDEX('2 Staff List'!$IB$64:$IB$114,$AH230),0)</f>
        <v>0</v>
      </c>
      <c r="AL230" s="25">
        <f>IF(OR(NOT(ISBLANK(DV230)),CX230=1),"&lt;Non-Labor&gt;",IFERROR(IF(AH230=0,0,INDEX('2 Staff List'!$HZ$64:$HZ$114,$AH230)),0))</f>
        <v>0</v>
      </c>
      <c r="AM230" s="25">
        <f>IFERROR(INDEX('2 Staff List'!$HW$64:$HW$114,$AH230),0)</f>
        <v>0</v>
      </c>
      <c r="AN230" s="25">
        <f t="shared" si="308"/>
        <v>1</v>
      </c>
      <c r="AO230" s="25">
        <f>IF($AO$127=0,0,IFERROR(INDEX('2 Staff List'!$JH$64:$JH$114,$AH230),0))</f>
        <v>0</v>
      </c>
      <c r="AP230" s="25">
        <f>IFERROR(INDEX('2 Staff List'!$HU$64:$HU$114,$AH230),0)</f>
        <v>0</v>
      </c>
      <c r="AQ230" s="25">
        <f t="shared" si="309"/>
        <v>0</v>
      </c>
      <c r="AR230" s="25">
        <f t="shared" si="310"/>
        <v>0</v>
      </c>
      <c r="AS230" s="25">
        <f t="shared" si="311"/>
        <v>0</v>
      </c>
      <c r="AT230" s="25">
        <f t="shared" si="312"/>
        <v>0</v>
      </c>
      <c r="AU230" s="25">
        <f t="shared" si="313"/>
        <v>0</v>
      </c>
      <c r="AV230" s="25">
        <f t="shared" si="314"/>
        <v>0</v>
      </c>
      <c r="AW230" s="25">
        <f t="shared" si="315"/>
        <v>0</v>
      </c>
      <c r="AX230" s="25">
        <f t="shared" si="316"/>
        <v>0</v>
      </c>
      <c r="AY230" s="25">
        <f t="shared" si="317"/>
        <v>0</v>
      </c>
      <c r="AZ230" s="25">
        <f t="shared" si="318"/>
        <v>0</v>
      </c>
      <c r="BA230" s="25">
        <f t="shared" si="319"/>
        <v>0</v>
      </c>
      <c r="BB230" s="25">
        <f t="shared" si="320"/>
        <v>0</v>
      </c>
      <c r="BC230" s="25">
        <f>IFERROR(INDEX('2 Staff List'!KS$64:KS$114,$AH230),0)</f>
        <v>0</v>
      </c>
      <c r="BD230" s="25">
        <f>IFERROR(INDEX('2 Staff List'!KT$64:KT$114,$AH230),0)</f>
        <v>0</v>
      </c>
      <c r="BE230" s="25">
        <f>IFERROR(INDEX('2 Staff List'!KU$64:KU$114,$AH230),0)</f>
        <v>0</v>
      </c>
      <c r="BF230" s="25">
        <f>IFERROR(INDEX('2 Staff List'!KV$64:KV$114,$AH230),0)</f>
        <v>0</v>
      </c>
      <c r="BG230" s="25">
        <f>IFERROR(INDEX('2 Staff List'!KW$64:KW$114,$AH230),0)</f>
        <v>0</v>
      </c>
      <c r="BH230" s="25">
        <f>IFERROR(INDEX('2 Staff List'!KX$64:KX$114,$AH230),0)</f>
        <v>0</v>
      </c>
      <c r="BI230" s="25">
        <f>IFERROR(INDEX('2 Staff List'!KY$64:KY$114,$AH230),0)</f>
        <v>0</v>
      </c>
      <c r="BJ230" s="25">
        <f>IFERROR(INDEX('2 Staff List'!KZ$64:KZ$114,$AH230),0)</f>
        <v>0</v>
      </c>
      <c r="BK230" s="25">
        <f>IFERROR(INDEX('2 Staff List'!LA$64:LA$114,$AH230),0)</f>
        <v>0</v>
      </c>
      <c r="BL230" s="25">
        <f>IFERROR(INDEX('2 Staff List'!LB$64:LB$114,$AH230),0)</f>
        <v>0</v>
      </c>
      <c r="BM230" s="25">
        <f>IFERROR(INDEX('2 Staff List'!FT$64:FT$114,$AH230),0)</f>
        <v>0</v>
      </c>
      <c r="BN230" s="25">
        <f>IFERROR(INDEX('2 Staff List'!FU$64:FU$114,$AH230),0)</f>
        <v>0</v>
      </c>
      <c r="BO230" s="25">
        <f>IFERROR(INDEX('2 Staff List'!FV$64:FV$114,$AH230),0)</f>
        <v>0</v>
      </c>
      <c r="BP230" s="25">
        <f>IFERROR(INDEX('2 Staff List'!FW$64:FW$114,$AH230),0)</f>
        <v>0</v>
      </c>
      <c r="BQ230" s="25">
        <f>IFERROR(INDEX('2 Staff List'!FX$64:FX$114,$AH230),0)</f>
        <v>0</v>
      </c>
      <c r="BR230" s="25">
        <f>IFERROR(INDEX('2 Staff List'!FY$64:FY$114,$AH230),0)</f>
        <v>0</v>
      </c>
      <c r="BS230" s="25">
        <f>IFERROR(INDEX('2 Staff List'!FZ$64:FZ$114,$AH230),0)</f>
        <v>0</v>
      </c>
      <c r="BT230" s="25">
        <f>IFERROR(INDEX('2 Staff List'!GA$64:GA$114,$AH230),0)</f>
        <v>0</v>
      </c>
      <c r="BU230" s="25">
        <f>IFERROR(INDEX('2 Staff List'!GB$64:GB$114,$AH230),0)</f>
        <v>0</v>
      </c>
      <c r="BV230" s="25">
        <f>IFERROR(INDEX('2 Staff List'!GC$64:GC$114,$AH230),0)</f>
        <v>0</v>
      </c>
      <c r="BW230" s="25">
        <f t="shared" si="321"/>
        <v>0</v>
      </c>
      <c r="BX230" s="25">
        <f t="shared" si="322"/>
        <v>0</v>
      </c>
      <c r="BY230" s="25">
        <f t="shared" si="323"/>
        <v>0</v>
      </c>
      <c r="BZ230" s="25">
        <f t="shared" si="324"/>
        <v>0</v>
      </c>
      <c r="CA230" s="25">
        <f t="shared" si="325"/>
        <v>0</v>
      </c>
      <c r="CB230" s="25">
        <f t="shared" si="326"/>
        <v>0</v>
      </c>
      <c r="CC230" s="25">
        <f t="shared" si="327"/>
        <v>0</v>
      </c>
      <c r="CD230" s="25">
        <f t="shared" si="328"/>
        <v>0</v>
      </c>
      <c r="CE230" s="25">
        <f t="shared" si="329"/>
        <v>0</v>
      </c>
      <c r="CF230" s="25">
        <f t="shared" si="330"/>
        <v>0</v>
      </c>
      <c r="CG230" s="25">
        <f t="shared" si="331"/>
        <v>0</v>
      </c>
      <c r="CH230" s="25">
        <f>IFERROR(INDEX('2 Staff List'!LO$64:LO$114,$AH230),0)</f>
        <v>0</v>
      </c>
      <c r="CI230" s="25">
        <f>IFERROR(INDEX('2 Staff List'!LP$64:LP$114,$AH230),0)</f>
        <v>0</v>
      </c>
      <c r="CJ230" s="25">
        <f>IFERROR(INDEX('2 Staff List'!LQ$64:LQ$114,$AH230),0)</f>
        <v>0</v>
      </c>
      <c r="CK230" s="25">
        <f>IFERROR(INDEX('2 Staff List'!LR$64:LR$114,$AH230),0)</f>
        <v>0</v>
      </c>
      <c r="CL230" s="25">
        <f>IFERROR(INDEX('2 Staff List'!LS$64:LS$114,$AH230),0)</f>
        <v>0</v>
      </c>
      <c r="CM230" s="25">
        <f>IFERROR(INDEX('2 Staff List'!LT$64:LT$114,$AH230),0)</f>
        <v>0</v>
      </c>
      <c r="CN230" s="25">
        <f>IFERROR(INDEX('2 Staff List'!LU$64:LU$114,$AH230),0)</f>
        <v>0</v>
      </c>
      <c r="CO230" s="25">
        <f>IFERROR(INDEX('2 Staff List'!LV$64:LV$114,$AH230),0)</f>
        <v>0</v>
      </c>
      <c r="CP230" s="25">
        <f>IFERROR(INDEX('2 Staff List'!LW$64:LW$114,$AH230),0)</f>
        <v>0</v>
      </c>
      <c r="CQ230" s="25">
        <f>IFERROR(INDEX('2 Staff List'!LX$64:LX$114,$AH230),0)</f>
        <v>0</v>
      </c>
      <c r="CR230" s="25">
        <f t="shared" si="289"/>
        <v>0</v>
      </c>
      <c r="CS230" s="25">
        <f t="shared" si="349"/>
        <v>1</v>
      </c>
      <c r="CT230" s="25">
        <f t="shared" si="333"/>
        <v>1</v>
      </c>
      <c r="CU230" s="25">
        <f t="shared" si="334"/>
        <v>1</v>
      </c>
      <c r="CV230" s="25">
        <f t="shared" si="335"/>
        <v>1</v>
      </c>
      <c r="CW230" s="25">
        <f t="shared" si="336"/>
        <v>1</v>
      </c>
      <c r="CX230" s="25">
        <f t="shared" si="337"/>
        <v>0</v>
      </c>
      <c r="CY230" s="25">
        <f t="shared" si="338"/>
        <v>0</v>
      </c>
      <c r="CZ230" s="25">
        <f t="shared" si="339"/>
        <v>0</v>
      </c>
      <c r="DA230" s="25">
        <f t="shared" si="340"/>
        <v>1</v>
      </c>
      <c r="DB230" s="25">
        <f t="shared" si="290"/>
        <v>1</v>
      </c>
      <c r="DC230" s="25">
        <f t="shared" si="341"/>
        <v>0</v>
      </c>
      <c r="DD230" s="25">
        <f>IF(OR($AD230&lt;&gt;3,F230="Exclude"),0,IF(ISERROR(MATCH($E230,'4 Sign-off'!$S$123:$X$123,0)),0,1))</f>
        <v>0</v>
      </c>
      <c r="DE230" s="25">
        <f t="shared" si="550"/>
        <v>0</v>
      </c>
      <c r="DF230" s="25">
        <f t="shared" si="342"/>
        <v>0</v>
      </c>
      <c r="DG230" s="25" t="str">
        <f t="shared" si="343"/>
        <v/>
      </c>
      <c r="DH230" s="25">
        <f t="shared" si="344"/>
        <v>0</v>
      </c>
      <c r="DI230" s="25">
        <f t="shared" si="345"/>
        <v>0</v>
      </c>
      <c r="DJ230" s="25">
        <f>IF(ISBLANK(J230),0,ISERROR(MATCH(J230,'5  Control Accounts'!$FA$29:$FA$96,0))*1)</f>
        <v>0</v>
      </c>
      <c r="DK230" s="25">
        <f t="shared" si="346"/>
        <v>0</v>
      </c>
      <c r="DL230" s="25">
        <f t="shared" si="292"/>
        <v>-1</v>
      </c>
      <c r="DM230" s="25" t="e">
        <f t="array" ref="DM230">MATCH(1,($EG230:$JD230&gt;0)*$EG$17:$JD$17,0)</f>
        <v>#N/A</v>
      </c>
      <c r="DN230" s="25" t="e">
        <f t="shared" si="551"/>
        <v>#N/A</v>
      </c>
      <c r="DO230" s="25" t="e">
        <f t="array" ref="DO230">MATCH(2,1/(EG230:JD230&gt;0))</f>
        <v>#N/A</v>
      </c>
      <c r="DP230" s="2993">
        <f t="shared" si="347"/>
        <v>0</v>
      </c>
      <c r="DQ230" s="3037">
        <f t="shared" si="348"/>
        <v>0</v>
      </c>
      <c r="DR230" s="111"/>
      <c r="DS230" s="1268">
        <f t="shared" si="743"/>
        <v>0</v>
      </c>
      <c r="DT230" s="1825"/>
      <c r="DU230" s="1826"/>
      <c r="DV230" s="1827"/>
      <c r="DW230" s="1828"/>
      <c r="DX230" s="659"/>
      <c r="DY230" s="1265"/>
      <c r="DZ230" s="1785">
        <f t="shared" si="294"/>
        <v>0</v>
      </c>
      <c r="EA230" s="1786">
        <f t="shared" si="295"/>
        <v>0</v>
      </c>
      <c r="EB230" s="1781">
        <f t="shared" si="552"/>
        <v>0</v>
      </c>
      <c r="EC230" s="1782">
        <f t="shared" si="553"/>
        <v>0</v>
      </c>
      <c r="ED230" s="1262"/>
      <c r="EE230" s="2280"/>
      <c r="EF230" s="1802"/>
      <c r="EG230" s="167"/>
      <c r="EH230" s="168"/>
      <c r="EI230" s="168"/>
      <c r="EJ230" s="168"/>
      <c r="EK230" s="168"/>
      <c r="EL230" s="168"/>
      <c r="EM230" s="168"/>
      <c r="EN230" s="168"/>
      <c r="EO230" s="168"/>
      <c r="EP230" s="168"/>
      <c r="EQ230" s="168"/>
      <c r="ER230" s="168"/>
      <c r="ES230" s="168"/>
      <c r="ET230" s="168"/>
      <c r="EU230" s="168"/>
      <c r="EV230" s="168"/>
      <c r="EW230" s="168"/>
      <c r="EX230" s="168"/>
      <c r="EY230" s="168"/>
      <c r="EZ230" s="168"/>
      <c r="FA230" s="168"/>
      <c r="FB230" s="168"/>
      <c r="FC230" s="168"/>
      <c r="FD230" s="168"/>
      <c r="FE230" s="168"/>
      <c r="FF230" s="168"/>
      <c r="FG230" s="168"/>
      <c r="FH230" s="168"/>
      <c r="FI230" s="168"/>
      <c r="FJ230" s="168"/>
      <c r="FK230" s="168"/>
      <c r="FL230" s="168"/>
      <c r="FM230" s="168"/>
      <c r="FN230" s="168"/>
      <c r="FO230" s="168"/>
      <c r="FP230" s="168"/>
      <c r="FQ230" s="168"/>
      <c r="FR230" s="168"/>
      <c r="FS230" s="168"/>
      <c r="FT230" s="168"/>
      <c r="FU230" s="168"/>
      <c r="FV230" s="168"/>
      <c r="FW230" s="168"/>
      <c r="FX230" s="168"/>
      <c r="FY230" s="168"/>
      <c r="FZ230" s="168"/>
      <c r="GA230" s="168"/>
      <c r="GB230" s="168"/>
      <c r="GC230" s="168"/>
      <c r="GD230" s="168"/>
      <c r="GE230" s="168"/>
      <c r="GF230" s="168"/>
      <c r="GG230" s="168"/>
      <c r="GH230" s="168"/>
      <c r="GI230" s="168"/>
      <c r="GJ230" s="168"/>
      <c r="GK230" s="168"/>
      <c r="GL230" s="168"/>
      <c r="GM230" s="168"/>
      <c r="GN230" s="168"/>
      <c r="GO230" s="168"/>
      <c r="GP230" s="168"/>
      <c r="GQ230" s="168"/>
      <c r="GR230" s="168"/>
      <c r="GS230" s="168"/>
      <c r="GT230" s="168"/>
      <c r="GU230" s="168"/>
      <c r="GV230" s="168"/>
      <c r="GW230" s="168"/>
      <c r="GX230" s="168"/>
      <c r="GY230" s="168"/>
      <c r="GZ230" s="168"/>
      <c r="HA230" s="168"/>
      <c r="HB230" s="168"/>
      <c r="HC230" s="168"/>
      <c r="HD230" s="168"/>
      <c r="HE230" s="168"/>
      <c r="HF230" s="168"/>
      <c r="HG230" s="168"/>
      <c r="HH230" s="168"/>
      <c r="HI230" s="168"/>
      <c r="HJ230" s="168"/>
      <c r="HK230" s="168"/>
      <c r="HL230" s="168"/>
      <c r="HM230" s="168"/>
      <c r="HN230" s="168"/>
      <c r="HO230" s="168"/>
      <c r="HP230" s="168"/>
      <c r="HQ230" s="168"/>
      <c r="HR230" s="168"/>
      <c r="HS230" s="168"/>
      <c r="HT230" s="168"/>
      <c r="HU230" s="168"/>
      <c r="HV230" s="168"/>
      <c r="HW230" s="168"/>
      <c r="HX230" s="168"/>
      <c r="HY230" s="168"/>
      <c r="HZ230" s="168"/>
      <c r="IA230" s="168"/>
      <c r="IB230" s="168"/>
      <c r="IC230" s="168"/>
      <c r="ID230" s="168"/>
      <c r="IE230" s="168"/>
      <c r="IF230" s="168"/>
      <c r="IG230" s="168"/>
      <c r="IH230" s="168"/>
      <c r="II230" s="168"/>
      <c r="IJ230" s="168"/>
      <c r="IK230" s="168"/>
      <c r="IL230" s="168"/>
      <c r="IM230" s="168"/>
      <c r="IN230" s="168"/>
      <c r="IO230" s="168"/>
      <c r="IP230" s="168"/>
      <c r="IQ230" s="168"/>
      <c r="IR230" s="168"/>
      <c r="IS230" s="168"/>
      <c r="IT230" s="168"/>
      <c r="IU230" s="168"/>
      <c r="IV230" s="168"/>
      <c r="IW230" s="168"/>
      <c r="IX230" s="168"/>
      <c r="IY230" s="168"/>
      <c r="IZ230" s="168"/>
      <c r="JA230" s="168"/>
      <c r="JB230" s="168"/>
      <c r="JC230" s="606"/>
      <c r="JD230" s="609"/>
      <c r="JE230" s="1"/>
      <c r="JF230" s="1"/>
    </row>
    <row r="231" spans="1:266" s="2" customFormat="1" ht="15" customHeight="1" x14ac:dyDescent="0.25">
      <c r="A231" s="283"/>
      <c r="B231" s="303"/>
      <c r="C231" s="301"/>
      <c r="D231" s="2069"/>
      <c r="E231" s="2298"/>
      <c r="F231" s="1812"/>
      <c r="G231" s="3342"/>
      <c r="H231" s="66"/>
      <c r="I231" s="1746"/>
      <c r="J231" s="86"/>
      <c r="K231" s="105"/>
      <c r="L231" s="91"/>
      <c r="M231" s="92"/>
      <c r="N231" s="93"/>
      <c r="O231" s="94"/>
      <c r="P231" s="96"/>
      <c r="Q231" s="95"/>
      <c r="R231" s="993">
        <f t="shared" si="284"/>
        <v>0</v>
      </c>
      <c r="S231" s="23">
        <f t="shared" si="298"/>
        <v>0</v>
      </c>
      <c r="T231" s="24">
        <f t="shared" ref="T231" si="744">IF($AD231=3,BW231*AG231,0)</f>
        <v>0</v>
      </c>
      <c r="U231" s="24">
        <f t="shared" ref="U231" si="745">IF($AD231=3,AR231*(1-AG231),0)</f>
        <v>0</v>
      </c>
      <c r="V231" s="24">
        <f t="shared" si="301"/>
        <v>0</v>
      </c>
      <c r="W231" s="24">
        <f t="shared" ref="W231" si="746">X231*AO231</f>
        <v>0</v>
      </c>
      <c r="X231" s="72">
        <f t="shared" si="303"/>
        <v>0</v>
      </c>
      <c r="Y231" s="72">
        <f t="shared" ref="Y231" si="747">IF($AD231=3,SUMPRODUCT(AS231:BB231,BM231:BV231),0)</f>
        <v>0</v>
      </c>
      <c r="Z231" s="24">
        <f t="shared" ref="Z231" si="748">IF($AD231=3,SUMPRODUCT(AS231:BB231,BC231:BL231),0)</f>
        <v>0</v>
      </c>
      <c r="AA231" s="72">
        <f t="shared" si="305"/>
        <v>0</v>
      </c>
      <c r="AB231" s="24">
        <f t="shared" si="306"/>
        <v>0</v>
      </c>
      <c r="AC231" s="24" t="s">
        <v>5</v>
      </c>
      <c r="AD231" s="25">
        <f t="shared" ref="AD231" si="749">IF(N231="",3,IF(AND(L231&gt;0,M231&gt;0),2,1))</f>
        <v>3</v>
      </c>
      <c r="AE231" s="25">
        <f t="shared" ref="AE231" si="750">IF(AND(ISNUMBER(VALUE(L231)),RIGHT(L231,1)="0"),(L231+0.00001),L231)</f>
        <v>0</v>
      </c>
      <c r="AF231" s="25">
        <f t="shared" ref="AF231" si="751">IF(AND(ISNUMBER(VALUE(M231)),RIGHT(M231,1)="0"),(M231+0.00001),M231)</f>
        <v>0</v>
      </c>
      <c r="AG231" s="25">
        <f t="shared" si="307"/>
        <v>1</v>
      </c>
      <c r="AH231" s="25" t="str">
        <f>IFERROR(MATCH(DY231,'2 Staff List'!$IA$64:$IA$114,0),"x")</f>
        <v>x</v>
      </c>
      <c r="AI231" s="1181">
        <f>IFERROR(INDEX('2 Staff List'!$EX$64:$EX$114,$AH231),0)</f>
        <v>0</v>
      </c>
      <c r="AJ231" s="25">
        <f>IFERROR(INDEX('2 Staff List'!$IW$64:$IW$114,$AH231),0)</f>
        <v>0</v>
      </c>
      <c r="AK231" s="25">
        <f>IFERROR(INDEX('2 Staff List'!$IB$64:$IB$114,$AH231),0)</f>
        <v>0</v>
      </c>
      <c r="AL231" s="25">
        <f>IF(OR(NOT(ISBLANK(DV231)),CX231=1),"&lt;Non-Labor&gt;",IFERROR(IF(AH231=0,0,INDEX('2 Staff List'!$HZ$64:$HZ$114,$AH231)),0))</f>
        <v>0</v>
      </c>
      <c r="AM231" s="25">
        <f>IFERROR(INDEX('2 Staff List'!$HW$64:$HW$114,$AH231),0)</f>
        <v>0</v>
      </c>
      <c r="AN231" s="25">
        <f t="shared" si="308"/>
        <v>1</v>
      </c>
      <c r="AO231" s="25">
        <f>IF($AO$127=0,0,IFERROR(INDEX('2 Staff List'!$JH$64:$JH$114,$AH231),0))</f>
        <v>0</v>
      </c>
      <c r="AP231" s="25">
        <f>IFERROR(INDEX('2 Staff List'!$HU$64:$HU$114,$AH231),0)</f>
        <v>0</v>
      </c>
      <c r="AQ231" s="25">
        <f t="shared" ref="AQ231" si="752">IF(AND(DV231&lt;&gt;0,SUMPRODUCT($EG231:$JD231,$EG$17:$JD$17)=0),1,0)</f>
        <v>0</v>
      </c>
      <c r="AR231" s="25">
        <f t="shared" si="310"/>
        <v>0</v>
      </c>
      <c r="AS231" s="25">
        <f t="shared" si="311"/>
        <v>0</v>
      </c>
      <c r="AT231" s="25">
        <f t="shared" si="312"/>
        <v>0</v>
      </c>
      <c r="AU231" s="25">
        <f t="shared" si="313"/>
        <v>0</v>
      </c>
      <c r="AV231" s="25">
        <f t="shared" si="314"/>
        <v>0</v>
      </c>
      <c r="AW231" s="25">
        <f t="shared" si="315"/>
        <v>0</v>
      </c>
      <c r="AX231" s="25">
        <f t="shared" si="316"/>
        <v>0</v>
      </c>
      <c r="AY231" s="25">
        <f t="shared" si="317"/>
        <v>0</v>
      </c>
      <c r="AZ231" s="25">
        <f t="shared" si="318"/>
        <v>0</v>
      </c>
      <c r="BA231" s="25">
        <f t="shared" si="319"/>
        <v>0</v>
      </c>
      <c r="BB231" s="25">
        <f t="shared" si="320"/>
        <v>0</v>
      </c>
      <c r="BC231" s="25">
        <f>IFERROR(INDEX('2 Staff List'!KS$64:KS$114,$AH231),0)</f>
        <v>0</v>
      </c>
      <c r="BD231" s="25">
        <f>IFERROR(INDEX('2 Staff List'!KT$64:KT$114,$AH231),0)</f>
        <v>0</v>
      </c>
      <c r="BE231" s="25">
        <f>IFERROR(INDEX('2 Staff List'!KU$64:KU$114,$AH231),0)</f>
        <v>0</v>
      </c>
      <c r="BF231" s="25">
        <f>IFERROR(INDEX('2 Staff List'!KV$64:KV$114,$AH231),0)</f>
        <v>0</v>
      </c>
      <c r="BG231" s="25">
        <f>IFERROR(INDEX('2 Staff List'!KW$64:KW$114,$AH231),0)</f>
        <v>0</v>
      </c>
      <c r="BH231" s="25">
        <f>IFERROR(INDEX('2 Staff List'!KX$64:KX$114,$AH231),0)</f>
        <v>0</v>
      </c>
      <c r="BI231" s="25">
        <f>IFERROR(INDEX('2 Staff List'!KY$64:KY$114,$AH231),0)</f>
        <v>0</v>
      </c>
      <c r="BJ231" s="25">
        <f>IFERROR(INDEX('2 Staff List'!KZ$64:KZ$114,$AH231),0)</f>
        <v>0</v>
      </c>
      <c r="BK231" s="25">
        <f>IFERROR(INDEX('2 Staff List'!LA$64:LA$114,$AH231),0)</f>
        <v>0</v>
      </c>
      <c r="BL231" s="25">
        <f>IFERROR(INDEX('2 Staff List'!LB$64:LB$114,$AH231),0)</f>
        <v>0</v>
      </c>
      <c r="BM231" s="25">
        <f>IFERROR(INDEX('2 Staff List'!FT$64:FT$114,$AH231),0)</f>
        <v>0</v>
      </c>
      <c r="BN231" s="25">
        <f>IFERROR(INDEX('2 Staff List'!FU$64:FU$114,$AH231),0)</f>
        <v>0</v>
      </c>
      <c r="BO231" s="25">
        <f>IFERROR(INDEX('2 Staff List'!FV$64:FV$114,$AH231),0)</f>
        <v>0</v>
      </c>
      <c r="BP231" s="25">
        <f>IFERROR(INDEX('2 Staff List'!FW$64:FW$114,$AH231),0)</f>
        <v>0</v>
      </c>
      <c r="BQ231" s="25">
        <f>IFERROR(INDEX('2 Staff List'!FX$64:FX$114,$AH231),0)</f>
        <v>0</v>
      </c>
      <c r="BR231" s="25">
        <f>IFERROR(INDEX('2 Staff List'!FY$64:FY$114,$AH231),0)</f>
        <v>0</v>
      </c>
      <c r="BS231" s="25">
        <f>IFERROR(INDEX('2 Staff List'!FZ$64:FZ$114,$AH231),0)</f>
        <v>0</v>
      </c>
      <c r="BT231" s="25">
        <f>IFERROR(INDEX('2 Staff List'!GA$64:GA$114,$AH231),0)</f>
        <v>0</v>
      </c>
      <c r="BU231" s="25">
        <f>IFERROR(INDEX('2 Staff List'!GB$64:GB$114,$AH231),0)</f>
        <v>0</v>
      </c>
      <c r="BV231" s="25">
        <f>IFERROR(INDEX('2 Staff List'!GC$64:GC$114,$AH231),0)</f>
        <v>0</v>
      </c>
      <c r="BW231" s="25">
        <f t="shared" si="321"/>
        <v>0</v>
      </c>
      <c r="BX231" s="25">
        <f t="shared" si="322"/>
        <v>0</v>
      </c>
      <c r="BY231" s="25">
        <f t="shared" si="323"/>
        <v>0</v>
      </c>
      <c r="BZ231" s="25">
        <f t="shared" si="324"/>
        <v>0</v>
      </c>
      <c r="CA231" s="25">
        <f t="shared" si="325"/>
        <v>0</v>
      </c>
      <c r="CB231" s="25">
        <f t="shared" si="326"/>
        <v>0</v>
      </c>
      <c r="CC231" s="25">
        <f t="shared" si="327"/>
        <v>0</v>
      </c>
      <c r="CD231" s="25">
        <f t="shared" si="328"/>
        <v>0</v>
      </c>
      <c r="CE231" s="25">
        <f t="shared" si="329"/>
        <v>0</v>
      </c>
      <c r="CF231" s="25">
        <f t="shared" si="330"/>
        <v>0</v>
      </c>
      <c r="CG231" s="25">
        <f t="shared" si="331"/>
        <v>0</v>
      </c>
      <c r="CH231" s="25">
        <f>IFERROR(INDEX('2 Staff List'!LO$64:LO$114,$AH231),0)</f>
        <v>0</v>
      </c>
      <c r="CI231" s="25">
        <f>IFERROR(INDEX('2 Staff List'!LP$64:LP$114,$AH231),0)</f>
        <v>0</v>
      </c>
      <c r="CJ231" s="25">
        <f>IFERROR(INDEX('2 Staff List'!LQ$64:LQ$114,$AH231),0)</f>
        <v>0</v>
      </c>
      <c r="CK231" s="25">
        <f>IFERROR(INDEX('2 Staff List'!LR$64:LR$114,$AH231),0)</f>
        <v>0</v>
      </c>
      <c r="CL231" s="25">
        <f>IFERROR(INDEX('2 Staff List'!LS$64:LS$114,$AH231),0)</f>
        <v>0</v>
      </c>
      <c r="CM231" s="25">
        <f>IFERROR(INDEX('2 Staff List'!LT$64:LT$114,$AH231),0)</f>
        <v>0</v>
      </c>
      <c r="CN231" s="25">
        <f>IFERROR(INDEX('2 Staff List'!LU$64:LU$114,$AH231),0)</f>
        <v>0</v>
      </c>
      <c r="CO231" s="25">
        <f>IFERROR(INDEX('2 Staff List'!LV$64:LV$114,$AH231),0)</f>
        <v>0</v>
      </c>
      <c r="CP231" s="25">
        <f>IFERROR(INDEX('2 Staff List'!LW$64:LW$114,$AH231),0)</f>
        <v>0</v>
      </c>
      <c r="CQ231" s="25">
        <f>IFERROR(INDEX('2 Staff List'!LX$64:LX$114,$AH231),0)</f>
        <v>0</v>
      </c>
      <c r="CR231" s="25">
        <f t="shared" ref="CR231" si="753">IF(AD231=3,SUMPRODUCT($EG231:$JD231,$EG$17:$JD$17),0)</f>
        <v>0</v>
      </c>
      <c r="CS231" s="25">
        <f t="shared" ref="CS231" si="754">IFERROR(1/CR231,1)</f>
        <v>1</v>
      </c>
      <c r="CT231" s="25">
        <f t="shared" ref="CT231" si="755">IF(NOT(ISBLANK(DU231)),DU231,1)</f>
        <v>1</v>
      </c>
      <c r="CU231" s="25">
        <f t="shared" ref="CU231" si="756">IF(DT231=$CU$127,0,1)</f>
        <v>1</v>
      </c>
      <c r="CV231" s="25">
        <f t="shared" si="335"/>
        <v>1</v>
      </c>
      <c r="CW231" s="25">
        <f t="shared" si="336"/>
        <v>1</v>
      </c>
      <c r="CX231" s="25">
        <f t="shared" si="337"/>
        <v>0</v>
      </c>
      <c r="CY231" s="25">
        <f t="shared" si="338"/>
        <v>0</v>
      </c>
      <c r="CZ231" s="25">
        <f t="shared" si="339"/>
        <v>0</v>
      </c>
      <c r="DA231" s="25">
        <f t="shared" si="340"/>
        <v>1</v>
      </c>
      <c r="DB231" s="25">
        <f t="shared" ref="DB231" si="757">IF($AD231&lt;&gt;3,0,IF(F231="",1,0))</f>
        <v>1</v>
      </c>
      <c r="DC231" s="25">
        <f t="shared" si="341"/>
        <v>0</v>
      </c>
      <c r="DD231" s="25">
        <f>IF(OR($AD231&lt;&gt;3,F231="Exclude"),0,IF(ISERROR(MATCH($E231,'4 Sign-off'!$S$123:$X$123,0)),0,1))</f>
        <v>0</v>
      </c>
      <c r="DE231" s="25">
        <f t="shared" ref="DE231" si="758">IF($C$6&lt;&gt;"B",1,CHOOSE($DE$119,DD231,CZ231+DC231,CZ231,DC231))</f>
        <v>0</v>
      </c>
      <c r="DF231" s="25">
        <f t="shared" si="342"/>
        <v>0</v>
      </c>
      <c r="DG231" s="25" t="str">
        <f t="shared" si="343"/>
        <v/>
      </c>
      <c r="DH231" s="25">
        <f t="shared" si="344"/>
        <v>0</v>
      </c>
      <c r="DI231" s="25">
        <f t="shared" si="345"/>
        <v>0</v>
      </c>
      <c r="DJ231" s="25">
        <f>IF(ISBLANK(J231),0,ISERROR(MATCH(J231,'5  Control Accounts'!$FA$29:$FA$96,0))*1)</f>
        <v>0</v>
      </c>
      <c r="DK231" s="25">
        <f t="shared" si="346"/>
        <v>0</v>
      </c>
      <c r="DL231" s="25">
        <f t="shared" ref="DL231" si="759">IF(OR((T231+U231)&gt;0,(AA231+AB231)&gt;0),J231,-1)</f>
        <v>-1</v>
      </c>
      <c r="DM231" s="25" t="e">
        <f t="array" ref="DM231">MATCH(1,($EG231:$JD231&gt;0)*$EG$17:$JD$17,0)</f>
        <v>#N/A</v>
      </c>
      <c r="DN231" s="25" t="e">
        <f t="shared" si="551"/>
        <v>#N/A</v>
      </c>
      <c r="DO231" s="25" t="e">
        <f t="array" ref="DO231">MATCH(2,1/(EG231:JD231&gt;0))</f>
        <v>#N/A</v>
      </c>
      <c r="DP231" s="2993">
        <f t="shared" si="347"/>
        <v>0</v>
      </c>
      <c r="DQ231" s="3037">
        <f t="shared" si="348"/>
        <v>0</v>
      </c>
      <c r="DR231" s="111"/>
      <c r="DS231" s="1268">
        <f t="shared" ref="DS231" si="760">N231</f>
        <v>0</v>
      </c>
      <c r="DT231" s="1825"/>
      <c r="DU231" s="1826"/>
      <c r="DV231" s="1827"/>
      <c r="DW231" s="1828"/>
      <c r="DX231" s="659"/>
      <c r="DY231" s="1265"/>
      <c r="DZ231" s="1785">
        <f t="shared" ref="DZ231" si="761">AL231</f>
        <v>0</v>
      </c>
      <c r="EA231" s="1786">
        <f t="shared" ref="EA231" si="762">IF($AD231=3,T231+U231,0)</f>
        <v>0</v>
      </c>
      <c r="EB231" s="1781">
        <f t="shared" si="552"/>
        <v>0</v>
      </c>
      <c r="EC231" s="1782">
        <f t="shared" si="553"/>
        <v>0</v>
      </c>
      <c r="ED231" s="1262"/>
      <c r="EE231" s="2280"/>
      <c r="EF231" s="1802"/>
      <c r="EG231" s="167"/>
      <c r="EH231" s="168"/>
      <c r="EI231" s="168"/>
      <c r="EJ231" s="168"/>
      <c r="EK231" s="168"/>
      <c r="EL231" s="168"/>
      <c r="EM231" s="168"/>
      <c r="EN231" s="168"/>
      <c r="EO231" s="168"/>
      <c r="EP231" s="168"/>
      <c r="EQ231" s="168"/>
      <c r="ER231" s="168"/>
      <c r="ES231" s="168"/>
      <c r="ET231" s="168"/>
      <c r="EU231" s="168"/>
      <c r="EV231" s="168"/>
      <c r="EW231" s="168"/>
      <c r="EX231" s="168"/>
      <c r="EY231" s="168"/>
      <c r="EZ231" s="168"/>
      <c r="FA231" s="168"/>
      <c r="FB231" s="168"/>
      <c r="FC231" s="168"/>
      <c r="FD231" s="168"/>
      <c r="FE231" s="168"/>
      <c r="FF231" s="168"/>
      <c r="FG231" s="168"/>
      <c r="FH231" s="168"/>
      <c r="FI231" s="168"/>
      <c r="FJ231" s="168"/>
      <c r="FK231" s="168"/>
      <c r="FL231" s="168"/>
      <c r="FM231" s="168"/>
      <c r="FN231" s="168"/>
      <c r="FO231" s="168"/>
      <c r="FP231" s="168"/>
      <c r="FQ231" s="168"/>
      <c r="FR231" s="168"/>
      <c r="FS231" s="168"/>
      <c r="FT231" s="168"/>
      <c r="FU231" s="168"/>
      <c r="FV231" s="168"/>
      <c r="FW231" s="168"/>
      <c r="FX231" s="168"/>
      <c r="FY231" s="168"/>
      <c r="FZ231" s="168"/>
      <c r="GA231" s="168"/>
      <c r="GB231" s="168"/>
      <c r="GC231" s="168"/>
      <c r="GD231" s="168"/>
      <c r="GE231" s="168"/>
      <c r="GF231" s="168"/>
      <c r="GG231" s="168"/>
      <c r="GH231" s="168"/>
      <c r="GI231" s="168"/>
      <c r="GJ231" s="168"/>
      <c r="GK231" s="168"/>
      <c r="GL231" s="168"/>
      <c r="GM231" s="168"/>
      <c r="GN231" s="168"/>
      <c r="GO231" s="168"/>
      <c r="GP231" s="168"/>
      <c r="GQ231" s="168"/>
      <c r="GR231" s="168"/>
      <c r="GS231" s="168"/>
      <c r="GT231" s="168"/>
      <c r="GU231" s="168"/>
      <c r="GV231" s="168"/>
      <c r="GW231" s="168"/>
      <c r="GX231" s="168"/>
      <c r="GY231" s="168"/>
      <c r="GZ231" s="168"/>
      <c r="HA231" s="168"/>
      <c r="HB231" s="168"/>
      <c r="HC231" s="168"/>
      <c r="HD231" s="168"/>
      <c r="HE231" s="168"/>
      <c r="HF231" s="168"/>
      <c r="HG231" s="168"/>
      <c r="HH231" s="168"/>
      <c r="HI231" s="168"/>
      <c r="HJ231" s="168"/>
      <c r="HK231" s="168"/>
      <c r="HL231" s="168"/>
      <c r="HM231" s="168"/>
      <c r="HN231" s="168"/>
      <c r="HO231" s="168"/>
      <c r="HP231" s="168"/>
      <c r="HQ231" s="168"/>
      <c r="HR231" s="168"/>
      <c r="HS231" s="168"/>
      <c r="HT231" s="168"/>
      <c r="HU231" s="168"/>
      <c r="HV231" s="168"/>
      <c r="HW231" s="168"/>
      <c r="HX231" s="168"/>
      <c r="HY231" s="168"/>
      <c r="HZ231" s="168"/>
      <c r="IA231" s="168"/>
      <c r="IB231" s="168"/>
      <c r="IC231" s="168"/>
      <c r="ID231" s="168"/>
      <c r="IE231" s="168"/>
      <c r="IF231" s="168"/>
      <c r="IG231" s="168"/>
      <c r="IH231" s="168"/>
      <c r="II231" s="168"/>
      <c r="IJ231" s="168"/>
      <c r="IK231" s="168"/>
      <c r="IL231" s="168"/>
      <c r="IM231" s="168"/>
      <c r="IN231" s="168"/>
      <c r="IO231" s="168"/>
      <c r="IP231" s="168"/>
      <c r="IQ231" s="168"/>
      <c r="IR231" s="168"/>
      <c r="IS231" s="168"/>
      <c r="IT231" s="168"/>
      <c r="IU231" s="168"/>
      <c r="IV231" s="168"/>
      <c r="IW231" s="168"/>
      <c r="IX231" s="168"/>
      <c r="IY231" s="168"/>
      <c r="IZ231" s="168"/>
      <c r="JA231" s="168"/>
      <c r="JB231" s="168"/>
      <c r="JC231" s="606"/>
      <c r="JD231" s="609"/>
      <c r="JE231" s="1"/>
      <c r="JF231" s="1"/>
    </row>
    <row r="232" spans="1:266" s="2" customFormat="1" ht="15" customHeight="1" x14ac:dyDescent="0.25">
      <c r="A232" s="283"/>
      <c r="B232" s="303"/>
      <c r="C232" s="301"/>
      <c r="D232" s="638"/>
      <c r="E232" s="2298"/>
      <c r="F232" s="1812"/>
      <c r="G232" s="3342"/>
      <c r="H232" s="66"/>
      <c r="I232" s="1746"/>
      <c r="J232" s="86"/>
      <c r="K232" s="105"/>
      <c r="L232" s="91"/>
      <c r="M232" s="92"/>
      <c r="N232" s="93"/>
      <c r="O232" s="94"/>
      <c r="P232" s="96"/>
      <c r="Q232" s="95"/>
      <c r="R232" s="993">
        <f t="shared" si="284"/>
        <v>0</v>
      </c>
      <c r="S232" s="23">
        <f t="shared" si="298"/>
        <v>0</v>
      </c>
      <c r="T232" s="24">
        <f t="shared" si="299"/>
        <v>0</v>
      </c>
      <c r="U232" s="24">
        <f t="shared" si="300"/>
        <v>0</v>
      </c>
      <c r="V232" s="24">
        <f t="shared" si="301"/>
        <v>0</v>
      </c>
      <c r="W232" s="24">
        <f t="shared" si="302"/>
        <v>0</v>
      </c>
      <c r="X232" s="72">
        <f t="shared" si="303"/>
        <v>0</v>
      </c>
      <c r="Y232" s="72">
        <f t="shared" si="304"/>
        <v>0</v>
      </c>
      <c r="Z232" s="24">
        <f t="shared" si="285"/>
        <v>0</v>
      </c>
      <c r="AA232" s="72">
        <f t="shared" si="305"/>
        <v>0</v>
      </c>
      <c r="AB232" s="24">
        <f t="shared" si="306"/>
        <v>0</v>
      </c>
      <c r="AC232" s="24" t="s">
        <v>5</v>
      </c>
      <c r="AD232" s="25">
        <f t="shared" si="286"/>
        <v>3</v>
      </c>
      <c r="AE232" s="25">
        <f t="shared" si="287"/>
        <v>0</v>
      </c>
      <c r="AF232" s="25">
        <f t="shared" si="288"/>
        <v>0</v>
      </c>
      <c r="AG232" s="25">
        <f t="shared" si="307"/>
        <v>1</v>
      </c>
      <c r="AH232" s="25" t="str">
        <f>IFERROR(MATCH(DY232,'2 Staff List'!$IA$64:$IA$114,0),"x")</f>
        <v>x</v>
      </c>
      <c r="AI232" s="1181">
        <f>IFERROR(INDEX('2 Staff List'!$EX$64:$EX$114,$AH232),0)</f>
        <v>0</v>
      </c>
      <c r="AJ232" s="25">
        <f>IFERROR(INDEX('2 Staff List'!$IW$64:$IW$114,$AH232),0)</f>
        <v>0</v>
      </c>
      <c r="AK232" s="25">
        <f>IFERROR(INDEX('2 Staff List'!$IB$64:$IB$114,$AH232),0)</f>
        <v>0</v>
      </c>
      <c r="AL232" s="25">
        <f>IF(OR(NOT(ISBLANK(DV232)),CX232=1),"&lt;Non-Labor&gt;",IFERROR(IF(AH232=0,0,INDEX('2 Staff List'!$HZ$64:$HZ$114,$AH232)),0))</f>
        <v>0</v>
      </c>
      <c r="AM232" s="25">
        <f>IFERROR(INDEX('2 Staff List'!$HW$64:$HW$114,$AH232),0)</f>
        <v>0</v>
      </c>
      <c r="AN232" s="25">
        <f t="shared" si="308"/>
        <v>1</v>
      </c>
      <c r="AO232" s="25">
        <f>IF($AO$127=0,0,IFERROR(INDEX('2 Staff List'!$JH$64:$JH$114,$AH232),0))</f>
        <v>0</v>
      </c>
      <c r="AP232" s="25">
        <f>IFERROR(INDEX('2 Staff List'!$HU$64:$HU$114,$AH232),0)</f>
        <v>0</v>
      </c>
      <c r="AQ232" s="25">
        <f t="shared" si="309"/>
        <v>0</v>
      </c>
      <c r="AR232" s="25">
        <f t="shared" si="310"/>
        <v>0</v>
      </c>
      <c r="AS232" s="25">
        <f t="shared" si="311"/>
        <v>0</v>
      </c>
      <c r="AT232" s="25">
        <f t="shared" si="312"/>
        <v>0</v>
      </c>
      <c r="AU232" s="25">
        <f t="shared" si="313"/>
        <v>0</v>
      </c>
      <c r="AV232" s="25">
        <f t="shared" si="314"/>
        <v>0</v>
      </c>
      <c r="AW232" s="25">
        <f t="shared" si="315"/>
        <v>0</v>
      </c>
      <c r="AX232" s="25">
        <f t="shared" si="316"/>
        <v>0</v>
      </c>
      <c r="AY232" s="25">
        <f t="shared" si="317"/>
        <v>0</v>
      </c>
      <c r="AZ232" s="25">
        <f t="shared" si="318"/>
        <v>0</v>
      </c>
      <c r="BA232" s="25">
        <f t="shared" si="319"/>
        <v>0</v>
      </c>
      <c r="BB232" s="25">
        <f t="shared" si="320"/>
        <v>0</v>
      </c>
      <c r="BC232" s="25">
        <f>IFERROR(INDEX('2 Staff List'!KS$64:KS$114,$AH232),0)</f>
        <v>0</v>
      </c>
      <c r="BD232" s="25">
        <f>IFERROR(INDEX('2 Staff List'!KT$64:KT$114,$AH232),0)</f>
        <v>0</v>
      </c>
      <c r="BE232" s="25">
        <f>IFERROR(INDEX('2 Staff List'!KU$64:KU$114,$AH232),0)</f>
        <v>0</v>
      </c>
      <c r="BF232" s="25">
        <f>IFERROR(INDEX('2 Staff List'!KV$64:KV$114,$AH232),0)</f>
        <v>0</v>
      </c>
      <c r="BG232" s="25">
        <f>IFERROR(INDEX('2 Staff List'!KW$64:KW$114,$AH232),0)</f>
        <v>0</v>
      </c>
      <c r="BH232" s="25">
        <f>IFERROR(INDEX('2 Staff List'!KX$64:KX$114,$AH232),0)</f>
        <v>0</v>
      </c>
      <c r="BI232" s="25">
        <f>IFERROR(INDEX('2 Staff List'!KY$64:KY$114,$AH232),0)</f>
        <v>0</v>
      </c>
      <c r="BJ232" s="25">
        <f>IFERROR(INDEX('2 Staff List'!KZ$64:KZ$114,$AH232),0)</f>
        <v>0</v>
      </c>
      <c r="BK232" s="25">
        <f>IFERROR(INDEX('2 Staff List'!LA$64:LA$114,$AH232),0)</f>
        <v>0</v>
      </c>
      <c r="BL232" s="25">
        <f>IFERROR(INDEX('2 Staff List'!LB$64:LB$114,$AH232),0)</f>
        <v>0</v>
      </c>
      <c r="BM232" s="25">
        <f>IFERROR(INDEX('2 Staff List'!FT$64:FT$114,$AH232),0)</f>
        <v>0</v>
      </c>
      <c r="BN232" s="25">
        <f>IFERROR(INDEX('2 Staff List'!FU$64:FU$114,$AH232),0)</f>
        <v>0</v>
      </c>
      <c r="BO232" s="25">
        <f>IFERROR(INDEX('2 Staff List'!FV$64:FV$114,$AH232),0)</f>
        <v>0</v>
      </c>
      <c r="BP232" s="25">
        <f>IFERROR(INDEX('2 Staff List'!FW$64:FW$114,$AH232),0)</f>
        <v>0</v>
      </c>
      <c r="BQ232" s="25">
        <f>IFERROR(INDEX('2 Staff List'!FX$64:FX$114,$AH232),0)</f>
        <v>0</v>
      </c>
      <c r="BR232" s="25">
        <f>IFERROR(INDEX('2 Staff List'!FY$64:FY$114,$AH232),0)</f>
        <v>0</v>
      </c>
      <c r="BS232" s="25">
        <f>IFERROR(INDEX('2 Staff List'!FZ$64:FZ$114,$AH232),0)</f>
        <v>0</v>
      </c>
      <c r="BT232" s="25">
        <f>IFERROR(INDEX('2 Staff List'!GA$64:GA$114,$AH232),0)</f>
        <v>0</v>
      </c>
      <c r="BU232" s="25">
        <f>IFERROR(INDEX('2 Staff List'!GB$64:GB$114,$AH232),0)</f>
        <v>0</v>
      </c>
      <c r="BV232" s="25">
        <f>IFERROR(INDEX('2 Staff List'!GC$64:GC$114,$AH232),0)</f>
        <v>0</v>
      </c>
      <c r="BW232" s="25">
        <f t="shared" si="321"/>
        <v>0</v>
      </c>
      <c r="BX232" s="25">
        <f t="shared" si="322"/>
        <v>0</v>
      </c>
      <c r="BY232" s="25">
        <f t="shared" si="323"/>
        <v>0</v>
      </c>
      <c r="BZ232" s="25">
        <f t="shared" si="324"/>
        <v>0</v>
      </c>
      <c r="CA232" s="25">
        <f t="shared" si="325"/>
        <v>0</v>
      </c>
      <c r="CB232" s="25">
        <f t="shared" si="326"/>
        <v>0</v>
      </c>
      <c r="CC232" s="25">
        <f t="shared" si="327"/>
        <v>0</v>
      </c>
      <c r="CD232" s="25">
        <f t="shared" si="328"/>
        <v>0</v>
      </c>
      <c r="CE232" s="25">
        <f t="shared" si="329"/>
        <v>0</v>
      </c>
      <c r="CF232" s="25">
        <f t="shared" si="330"/>
        <v>0</v>
      </c>
      <c r="CG232" s="25">
        <f t="shared" si="331"/>
        <v>0</v>
      </c>
      <c r="CH232" s="25">
        <f>IFERROR(INDEX('2 Staff List'!LO$64:LO$114,$AH232),0)</f>
        <v>0</v>
      </c>
      <c r="CI232" s="25">
        <f>IFERROR(INDEX('2 Staff List'!LP$64:LP$114,$AH232),0)</f>
        <v>0</v>
      </c>
      <c r="CJ232" s="25">
        <f>IFERROR(INDEX('2 Staff List'!LQ$64:LQ$114,$AH232),0)</f>
        <v>0</v>
      </c>
      <c r="CK232" s="25">
        <f>IFERROR(INDEX('2 Staff List'!LR$64:LR$114,$AH232),0)</f>
        <v>0</v>
      </c>
      <c r="CL232" s="25">
        <f>IFERROR(INDEX('2 Staff List'!LS$64:LS$114,$AH232),0)</f>
        <v>0</v>
      </c>
      <c r="CM232" s="25">
        <f>IFERROR(INDEX('2 Staff List'!LT$64:LT$114,$AH232),0)</f>
        <v>0</v>
      </c>
      <c r="CN232" s="25">
        <f>IFERROR(INDEX('2 Staff List'!LU$64:LU$114,$AH232),0)</f>
        <v>0</v>
      </c>
      <c r="CO232" s="25">
        <f>IFERROR(INDEX('2 Staff List'!LV$64:LV$114,$AH232),0)</f>
        <v>0</v>
      </c>
      <c r="CP232" s="25">
        <f>IFERROR(INDEX('2 Staff List'!LW$64:LW$114,$AH232),0)</f>
        <v>0</v>
      </c>
      <c r="CQ232" s="25">
        <f>IFERROR(INDEX('2 Staff List'!LX$64:LX$114,$AH232),0)</f>
        <v>0</v>
      </c>
      <c r="CR232" s="25">
        <f t="shared" si="289"/>
        <v>0</v>
      </c>
      <c r="CS232" s="25">
        <f t="shared" si="349"/>
        <v>1</v>
      </c>
      <c r="CT232" s="25">
        <f t="shared" si="333"/>
        <v>1</v>
      </c>
      <c r="CU232" s="25">
        <f t="shared" si="334"/>
        <v>1</v>
      </c>
      <c r="CV232" s="25">
        <f t="shared" si="335"/>
        <v>1</v>
      </c>
      <c r="CW232" s="25">
        <f t="shared" si="336"/>
        <v>1</v>
      </c>
      <c r="CX232" s="25">
        <f t="shared" si="337"/>
        <v>0</v>
      </c>
      <c r="CY232" s="25">
        <f t="shared" si="338"/>
        <v>0</v>
      </c>
      <c r="CZ232" s="25">
        <f t="shared" si="339"/>
        <v>0</v>
      </c>
      <c r="DA232" s="25">
        <f t="shared" si="340"/>
        <v>1</v>
      </c>
      <c r="DB232" s="25">
        <f t="shared" si="290"/>
        <v>1</v>
      </c>
      <c r="DC232" s="25">
        <f t="shared" si="341"/>
        <v>0</v>
      </c>
      <c r="DD232" s="25">
        <f>IF(OR($AD232&lt;&gt;3,F232="Exclude"),0,IF(ISERROR(MATCH($E232,'4 Sign-off'!$S$123:$X$123,0)),0,1))</f>
        <v>0</v>
      </c>
      <c r="DE232" s="25">
        <f t="shared" ref="DE232:DE263" si="763">IF($C$6&lt;&gt;"B",1,CHOOSE($DE$119,DD232,CZ232+DC232,CZ232,DC232))</f>
        <v>0</v>
      </c>
      <c r="DF232" s="25">
        <f t="shared" si="342"/>
        <v>0</v>
      </c>
      <c r="DG232" s="25" t="str">
        <f t="shared" si="343"/>
        <v/>
      </c>
      <c r="DH232" s="25">
        <f t="shared" si="344"/>
        <v>0</v>
      </c>
      <c r="DI232" s="25">
        <f t="shared" si="345"/>
        <v>0</v>
      </c>
      <c r="DJ232" s="25">
        <f>IF(ISBLANK(J232),0,ISERROR(MATCH(J232,'5  Control Accounts'!$FA$29:$FA$96,0))*1)</f>
        <v>0</v>
      </c>
      <c r="DK232" s="25">
        <f t="shared" si="346"/>
        <v>0</v>
      </c>
      <c r="DL232" s="25">
        <f t="shared" si="292"/>
        <v>-1</v>
      </c>
      <c r="DM232" s="25" t="e">
        <f t="array" ref="DM232">MATCH(1,($EG232:$JD232&gt;0)*$EG$17:$JD$17,0)</f>
        <v>#N/A</v>
      </c>
      <c r="DN232" s="25" t="e">
        <f t="shared" si="551"/>
        <v>#N/A</v>
      </c>
      <c r="DO232" s="25" t="e">
        <f t="array" ref="DO232">MATCH(2,1/(EG232:JD232&gt;0))</f>
        <v>#N/A</v>
      </c>
      <c r="DP232" s="2993">
        <f t="shared" si="347"/>
        <v>0</v>
      </c>
      <c r="DQ232" s="3037">
        <f t="shared" si="348"/>
        <v>0</v>
      </c>
      <c r="DR232" s="111"/>
      <c r="DS232" s="1268">
        <f t="shared" si="743"/>
        <v>0</v>
      </c>
      <c r="DT232" s="1825"/>
      <c r="DU232" s="1826"/>
      <c r="DV232" s="1827"/>
      <c r="DW232" s="1828"/>
      <c r="DX232" s="659"/>
      <c r="DY232" s="1265"/>
      <c r="DZ232" s="1785">
        <f t="shared" si="294"/>
        <v>0</v>
      </c>
      <c r="EA232" s="1786">
        <f t="shared" si="295"/>
        <v>0</v>
      </c>
      <c r="EB232" s="1781">
        <f t="shared" si="552"/>
        <v>0</v>
      </c>
      <c r="EC232" s="1782">
        <f t="shared" si="553"/>
        <v>0</v>
      </c>
      <c r="ED232" s="1262"/>
      <c r="EE232" s="2280"/>
      <c r="EF232" s="1802"/>
      <c r="EG232" s="167"/>
      <c r="EH232" s="168"/>
      <c r="EI232" s="168"/>
      <c r="EJ232" s="168"/>
      <c r="EK232" s="168"/>
      <c r="EL232" s="168"/>
      <c r="EM232" s="168"/>
      <c r="EN232" s="168"/>
      <c r="EO232" s="168"/>
      <c r="EP232" s="168"/>
      <c r="EQ232" s="168"/>
      <c r="ER232" s="168"/>
      <c r="ES232" s="168"/>
      <c r="ET232" s="168"/>
      <c r="EU232" s="168"/>
      <c r="EV232" s="168"/>
      <c r="EW232" s="168"/>
      <c r="EX232" s="168"/>
      <c r="EY232" s="168"/>
      <c r="EZ232" s="168"/>
      <c r="FA232" s="168"/>
      <c r="FB232" s="168"/>
      <c r="FC232" s="168"/>
      <c r="FD232" s="168"/>
      <c r="FE232" s="168"/>
      <c r="FF232" s="168"/>
      <c r="FG232" s="168"/>
      <c r="FH232" s="168"/>
      <c r="FI232" s="168"/>
      <c r="FJ232" s="168"/>
      <c r="FK232" s="168"/>
      <c r="FL232" s="168"/>
      <c r="FM232" s="168"/>
      <c r="FN232" s="168"/>
      <c r="FO232" s="168"/>
      <c r="FP232" s="168"/>
      <c r="FQ232" s="168"/>
      <c r="FR232" s="168"/>
      <c r="FS232" s="168"/>
      <c r="FT232" s="168"/>
      <c r="FU232" s="168"/>
      <c r="FV232" s="168"/>
      <c r="FW232" s="168"/>
      <c r="FX232" s="168"/>
      <c r="FY232" s="168"/>
      <c r="FZ232" s="168"/>
      <c r="GA232" s="168"/>
      <c r="GB232" s="168"/>
      <c r="GC232" s="168"/>
      <c r="GD232" s="168"/>
      <c r="GE232" s="168"/>
      <c r="GF232" s="168"/>
      <c r="GG232" s="168"/>
      <c r="GH232" s="168"/>
      <c r="GI232" s="168"/>
      <c r="GJ232" s="168"/>
      <c r="GK232" s="168"/>
      <c r="GL232" s="168"/>
      <c r="GM232" s="168"/>
      <c r="GN232" s="168"/>
      <c r="GO232" s="168"/>
      <c r="GP232" s="168"/>
      <c r="GQ232" s="168"/>
      <c r="GR232" s="168"/>
      <c r="GS232" s="168"/>
      <c r="GT232" s="168"/>
      <c r="GU232" s="168"/>
      <c r="GV232" s="168"/>
      <c r="GW232" s="168"/>
      <c r="GX232" s="168"/>
      <c r="GY232" s="168"/>
      <c r="GZ232" s="168"/>
      <c r="HA232" s="168"/>
      <c r="HB232" s="168"/>
      <c r="HC232" s="168"/>
      <c r="HD232" s="168"/>
      <c r="HE232" s="168"/>
      <c r="HF232" s="168"/>
      <c r="HG232" s="168"/>
      <c r="HH232" s="168"/>
      <c r="HI232" s="168"/>
      <c r="HJ232" s="168"/>
      <c r="HK232" s="168"/>
      <c r="HL232" s="168"/>
      <c r="HM232" s="168"/>
      <c r="HN232" s="168"/>
      <c r="HO232" s="168"/>
      <c r="HP232" s="168"/>
      <c r="HQ232" s="168"/>
      <c r="HR232" s="168"/>
      <c r="HS232" s="168"/>
      <c r="HT232" s="168"/>
      <c r="HU232" s="168"/>
      <c r="HV232" s="168"/>
      <c r="HW232" s="168"/>
      <c r="HX232" s="168"/>
      <c r="HY232" s="168"/>
      <c r="HZ232" s="168"/>
      <c r="IA232" s="168"/>
      <c r="IB232" s="168"/>
      <c r="IC232" s="168"/>
      <c r="ID232" s="168"/>
      <c r="IE232" s="168"/>
      <c r="IF232" s="168"/>
      <c r="IG232" s="168"/>
      <c r="IH232" s="168"/>
      <c r="II232" s="168"/>
      <c r="IJ232" s="168"/>
      <c r="IK232" s="168"/>
      <c r="IL232" s="168"/>
      <c r="IM232" s="168"/>
      <c r="IN232" s="168"/>
      <c r="IO232" s="168"/>
      <c r="IP232" s="168"/>
      <c r="IQ232" s="168"/>
      <c r="IR232" s="168"/>
      <c r="IS232" s="168"/>
      <c r="IT232" s="168"/>
      <c r="IU232" s="168"/>
      <c r="IV232" s="168"/>
      <c r="IW232" s="168"/>
      <c r="IX232" s="168"/>
      <c r="IY232" s="168"/>
      <c r="IZ232" s="168"/>
      <c r="JA232" s="168"/>
      <c r="JB232" s="168"/>
      <c r="JC232" s="606"/>
      <c r="JD232" s="609"/>
      <c r="JE232" s="1"/>
      <c r="JF232" s="1"/>
    </row>
    <row r="233" spans="1:266" s="2" customFormat="1" ht="15" customHeight="1" x14ac:dyDescent="0.25">
      <c r="A233" s="283"/>
      <c r="B233" s="303"/>
      <c r="C233" s="301"/>
      <c r="D233" s="638"/>
      <c r="E233" s="2298"/>
      <c r="F233" s="1812"/>
      <c r="G233" s="3342"/>
      <c r="H233" s="66"/>
      <c r="I233" s="1746"/>
      <c r="J233" s="86"/>
      <c r="K233" s="105"/>
      <c r="L233" s="91"/>
      <c r="M233" s="92"/>
      <c r="N233" s="93"/>
      <c r="O233" s="94"/>
      <c r="P233" s="96"/>
      <c r="Q233" s="95"/>
      <c r="R233" s="993">
        <f t="shared" si="284"/>
        <v>0</v>
      </c>
      <c r="S233" s="23">
        <f t="shared" si="298"/>
        <v>0</v>
      </c>
      <c r="T233" s="24">
        <f t="shared" si="299"/>
        <v>0</v>
      </c>
      <c r="U233" s="24">
        <f t="shared" si="300"/>
        <v>0</v>
      </c>
      <c r="V233" s="24">
        <f t="shared" si="301"/>
        <v>0</v>
      </c>
      <c r="W233" s="24">
        <f t="shared" si="302"/>
        <v>0</v>
      </c>
      <c r="X233" s="72">
        <f t="shared" si="303"/>
        <v>0</v>
      </c>
      <c r="Y233" s="72">
        <f t="shared" si="304"/>
        <v>0</v>
      </c>
      <c r="Z233" s="24">
        <f t="shared" si="285"/>
        <v>0</v>
      </c>
      <c r="AA233" s="72">
        <f t="shared" si="305"/>
        <v>0</v>
      </c>
      <c r="AB233" s="24">
        <f t="shared" si="306"/>
        <v>0</v>
      </c>
      <c r="AC233" s="24" t="s">
        <v>5</v>
      </c>
      <c r="AD233" s="25">
        <f t="shared" si="286"/>
        <v>3</v>
      </c>
      <c r="AE233" s="25">
        <f t="shared" si="287"/>
        <v>0</v>
      </c>
      <c r="AF233" s="25">
        <f t="shared" si="288"/>
        <v>0</v>
      </c>
      <c r="AG233" s="25">
        <f t="shared" si="307"/>
        <v>1</v>
      </c>
      <c r="AH233" s="25" t="str">
        <f>IFERROR(MATCH(DY233,'2 Staff List'!$IA$64:$IA$114,0),"x")</f>
        <v>x</v>
      </c>
      <c r="AI233" s="1181">
        <f>IFERROR(INDEX('2 Staff List'!$EX$64:$EX$114,$AH233),0)</f>
        <v>0</v>
      </c>
      <c r="AJ233" s="25">
        <f>IFERROR(INDEX('2 Staff List'!$IW$64:$IW$114,$AH233),0)</f>
        <v>0</v>
      </c>
      <c r="AK233" s="25">
        <f>IFERROR(INDEX('2 Staff List'!$IB$64:$IB$114,$AH233),0)</f>
        <v>0</v>
      </c>
      <c r="AL233" s="25">
        <f>IF(OR(NOT(ISBLANK(DV233)),CX233=1),"&lt;Non-Labor&gt;",IFERROR(IF(AH233=0,0,INDEX('2 Staff List'!$HZ$64:$HZ$114,$AH233)),0))</f>
        <v>0</v>
      </c>
      <c r="AM233" s="25">
        <f>IFERROR(INDEX('2 Staff List'!$HW$64:$HW$114,$AH233),0)</f>
        <v>0</v>
      </c>
      <c r="AN233" s="25">
        <f t="shared" si="308"/>
        <v>1</v>
      </c>
      <c r="AO233" s="25">
        <f>IF($AO$127=0,0,IFERROR(INDEX('2 Staff List'!$JH$64:$JH$114,$AH233),0))</f>
        <v>0</v>
      </c>
      <c r="AP233" s="25">
        <f>IFERROR(INDEX('2 Staff List'!$HU$64:$HU$114,$AH233),0)</f>
        <v>0</v>
      </c>
      <c r="AQ233" s="25">
        <f t="shared" si="309"/>
        <v>0</v>
      </c>
      <c r="AR233" s="25">
        <f t="shared" si="310"/>
        <v>0</v>
      </c>
      <c r="AS233" s="25">
        <f t="shared" si="311"/>
        <v>0</v>
      </c>
      <c r="AT233" s="25">
        <f t="shared" si="312"/>
        <v>0</v>
      </c>
      <c r="AU233" s="25">
        <f t="shared" si="313"/>
        <v>0</v>
      </c>
      <c r="AV233" s="25">
        <f t="shared" si="314"/>
        <v>0</v>
      </c>
      <c r="AW233" s="25">
        <f t="shared" si="315"/>
        <v>0</v>
      </c>
      <c r="AX233" s="25">
        <f t="shared" si="316"/>
        <v>0</v>
      </c>
      <c r="AY233" s="25">
        <f t="shared" si="317"/>
        <v>0</v>
      </c>
      <c r="AZ233" s="25">
        <f t="shared" si="318"/>
        <v>0</v>
      </c>
      <c r="BA233" s="25">
        <f t="shared" si="319"/>
        <v>0</v>
      </c>
      <c r="BB233" s="25">
        <f t="shared" si="320"/>
        <v>0</v>
      </c>
      <c r="BC233" s="25">
        <f>IFERROR(INDEX('2 Staff List'!KS$64:KS$114,$AH233),0)</f>
        <v>0</v>
      </c>
      <c r="BD233" s="25">
        <f>IFERROR(INDEX('2 Staff List'!KT$64:KT$114,$AH233),0)</f>
        <v>0</v>
      </c>
      <c r="BE233" s="25">
        <f>IFERROR(INDEX('2 Staff List'!KU$64:KU$114,$AH233),0)</f>
        <v>0</v>
      </c>
      <c r="BF233" s="25">
        <f>IFERROR(INDEX('2 Staff List'!KV$64:KV$114,$AH233),0)</f>
        <v>0</v>
      </c>
      <c r="BG233" s="25">
        <f>IFERROR(INDEX('2 Staff List'!KW$64:KW$114,$AH233),0)</f>
        <v>0</v>
      </c>
      <c r="BH233" s="25">
        <f>IFERROR(INDEX('2 Staff List'!KX$64:KX$114,$AH233),0)</f>
        <v>0</v>
      </c>
      <c r="BI233" s="25">
        <f>IFERROR(INDEX('2 Staff List'!KY$64:KY$114,$AH233),0)</f>
        <v>0</v>
      </c>
      <c r="BJ233" s="25">
        <f>IFERROR(INDEX('2 Staff List'!KZ$64:KZ$114,$AH233),0)</f>
        <v>0</v>
      </c>
      <c r="BK233" s="25">
        <f>IFERROR(INDEX('2 Staff List'!LA$64:LA$114,$AH233),0)</f>
        <v>0</v>
      </c>
      <c r="BL233" s="25">
        <f>IFERROR(INDEX('2 Staff List'!LB$64:LB$114,$AH233),0)</f>
        <v>0</v>
      </c>
      <c r="BM233" s="25">
        <f>IFERROR(INDEX('2 Staff List'!FT$64:FT$114,$AH233),0)</f>
        <v>0</v>
      </c>
      <c r="BN233" s="25">
        <f>IFERROR(INDEX('2 Staff List'!FU$64:FU$114,$AH233),0)</f>
        <v>0</v>
      </c>
      <c r="BO233" s="25">
        <f>IFERROR(INDEX('2 Staff List'!FV$64:FV$114,$AH233),0)</f>
        <v>0</v>
      </c>
      <c r="BP233" s="25">
        <f>IFERROR(INDEX('2 Staff List'!FW$64:FW$114,$AH233),0)</f>
        <v>0</v>
      </c>
      <c r="BQ233" s="25">
        <f>IFERROR(INDEX('2 Staff List'!FX$64:FX$114,$AH233),0)</f>
        <v>0</v>
      </c>
      <c r="BR233" s="25">
        <f>IFERROR(INDEX('2 Staff List'!FY$64:FY$114,$AH233),0)</f>
        <v>0</v>
      </c>
      <c r="BS233" s="25">
        <f>IFERROR(INDEX('2 Staff List'!FZ$64:FZ$114,$AH233),0)</f>
        <v>0</v>
      </c>
      <c r="BT233" s="25">
        <f>IFERROR(INDEX('2 Staff List'!GA$64:GA$114,$AH233),0)</f>
        <v>0</v>
      </c>
      <c r="BU233" s="25">
        <f>IFERROR(INDEX('2 Staff List'!GB$64:GB$114,$AH233),0)</f>
        <v>0</v>
      </c>
      <c r="BV233" s="25">
        <f>IFERROR(INDEX('2 Staff List'!GC$64:GC$114,$AH233),0)</f>
        <v>0</v>
      </c>
      <c r="BW233" s="25">
        <f t="shared" si="321"/>
        <v>0</v>
      </c>
      <c r="BX233" s="25">
        <f t="shared" si="322"/>
        <v>0</v>
      </c>
      <c r="BY233" s="25">
        <f t="shared" si="323"/>
        <v>0</v>
      </c>
      <c r="BZ233" s="25">
        <f t="shared" si="324"/>
        <v>0</v>
      </c>
      <c r="CA233" s="25">
        <f t="shared" si="325"/>
        <v>0</v>
      </c>
      <c r="CB233" s="25">
        <f t="shared" si="326"/>
        <v>0</v>
      </c>
      <c r="CC233" s="25">
        <f t="shared" si="327"/>
        <v>0</v>
      </c>
      <c r="CD233" s="25">
        <f t="shared" si="328"/>
        <v>0</v>
      </c>
      <c r="CE233" s="25">
        <f t="shared" si="329"/>
        <v>0</v>
      </c>
      <c r="CF233" s="25">
        <f t="shared" si="330"/>
        <v>0</v>
      </c>
      <c r="CG233" s="25">
        <f t="shared" si="331"/>
        <v>0</v>
      </c>
      <c r="CH233" s="25">
        <f>IFERROR(INDEX('2 Staff List'!LO$64:LO$114,$AH233),0)</f>
        <v>0</v>
      </c>
      <c r="CI233" s="25">
        <f>IFERROR(INDEX('2 Staff List'!LP$64:LP$114,$AH233),0)</f>
        <v>0</v>
      </c>
      <c r="CJ233" s="25">
        <f>IFERROR(INDEX('2 Staff List'!LQ$64:LQ$114,$AH233),0)</f>
        <v>0</v>
      </c>
      <c r="CK233" s="25">
        <f>IFERROR(INDEX('2 Staff List'!LR$64:LR$114,$AH233),0)</f>
        <v>0</v>
      </c>
      <c r="CL233" s="25">
        <f>IFERROR(INDEX('2 Staff List'!LS$64:LS$114,$AH233),0)</f>
        <v>0</v>
      </c>
      <c r="CM233" s="25">
        <f>IFERROR(INDEX('2 Staff List'!LT$64:LT$114,$AH233),0)</f>
        <v>0</v>
      </c>
      <c r="CN233" s="25">
        <f>IFERROR(INDEX('2 Staff List'!LU$64:LU$114,$AH233),0)</f>
        <v>0</v>
      </c>
      <c r="CO233" s="25">
        <f>IFERROR(INDEX('2 Staff List'!LV$64:LV$114,$AH233),0)</f>
        <v>0</v>
      </c>
      <c r="CP233" s="25">
        <f>IFERROR(INDEX('2 Staff List'!LW$64:LW$114,$AH233),0)</f>
        <v>0</v>
      </c>
      <c r="CQ233" s="25">
        <f>IFERROR(INDEX('2 Staff List'!LX$64:LX$114,$AH233),0)</f>
        <v>0</v>
      </c>
      <c r="CR233" s="25">
        <f t="shared" si="289"/>
        <v>0</v>
      </c>
      <c r="CS233" s="25">
        <f t="shared" si="349"/>
        <v>1</v>
      </c>
      <c r="CT233" s="25">
        <f t="shared" si="333"/>
        <v>1</v>
      </c>
      <c r="CU233" s="25">
        <f t="shared" si="334"/>
        <v>1</v>
      </c>
      <c r="CV233" s="25">
        <f t="shared" si="335"/>
        <v>1</v>
      </c>
      <c r="CW233" s="25">
        <f t="shared" si="336"/>
        <v>1</v>
      </c>
      <c r="CX233" s="25">
        <f t="shared" si="337"/>
        <v>0</v>
      </c>
      <c r="CY233" s="25">
        <f t="shared" si="338"/>
        <v>0</v>
      </c>
      <c r="CZ233" s="25">
        <f t="shared" si="339"/>
        <v>0</v>
      </c>
      <c r="DA233" s="25">
        <f t="shared" si="340"/>
        <v>1</v>
      </c>
      <c r="DB233" s="25">
        <f t="shared" si="290"/>
        <v>1</v>
      </c>
      <c r="DC233" s="25">
        <f t="shared" si="341"/>
        <v>0</v>
      </c>
      <c r="DD233" s="25">
        <f>IF(OR($AD233&lt;&gt;3,F233="Exclude"),0,IF(ISERROR(MATCH($E233,'4 Sign-off'!$S$123:$X$123,0)),0,1))</f>
        <v>0</v>
      </c>
      <c r="DE233" s="25">
        <f t="shared" si="763"/>
        <v>0</v>
      </c>
      <c r="DF233" s="25">
        <f t="shared" si="342"/>
        <v>0</v>
      </c>
      <c r="DG233" s="25" t="str">
        <f t="shared" si="343"/>
        <v/>
      </c>
      <c r="DH233" s="25">
        <f t="shared" si="344"/>
        <v>0</v>
      </c>
      <c r="DI233" s="25">
        <f t="shared" si="345"/>
        <v>0</v>
      </c>
      <c r="DJ233" s="25">
        <f>IF(ISBLANK(J233),0,ISERROR(MATCH(J233,'5  Control Accounts'!$FA$29:$FA$96,0))*1)</f>
        <v>0</v>
      </c>
      <c r="DK233" s="25">
        <f t="shared" si="346"/>
        <v>0</v>
      </c>
      <c r="DL233" s="25">
        <f t="shared" si="292"/>
        <v>-1</v>
      </c>
      <c r="DM233" s="25" t="e">
        <f t="array" ref="DM233">MATCH(1,($EG233:$JD233&gt;0)*$EG$17:$JD$17,0)</f>
        <v>#N/A</v>
      </c>
      <c r="DN233" s="25" t="e">
        <f t="shared" si="551"/>
        <v>#N/A</v>
      </c>
      <c r="DO233" s="25" t="e">
        <f t="array" ref="DO233">MATCH(2,1/(EG233:JD233&gt;0))</f>
        <v>#N/A</v>
      </c>
      <c r="DP233" s="2993">
        <f t="shared" si="347"/>
        <v>0</v>
      </c>
      <c r="DQ233" s="3037">
        <f t="shared" si="348"/>
        <v>0</v>
      </c>
      <c r="DR233" s="111"/>
      <c r="DS233" s="1268">
        <f t="shared" si="743"/>
        <v>0</v>
      </c>
      <c r="DT233" s="1825"/>
      <c r="DU233" s="1826"/>
      <c r="DV233" s="1827"/>
      <c r="DW233" s="1828"/>
      <c r="DX233" s="659"/>
      <c r="DY233" s="1265"/>
      <c r="DZ233" s="1785">
        <f t="shared" si="294"/>
        <v>0</v>
      </c>
      <c r="EA233" s="1786">
        <f t="shared" si="295"/>
        <v>0</v>
      </c>
      <c r="EB233" s="1781">
        <f t="shared" si="552"/>
        <v>0</v>
      </c>
      <c r="EC233" s="1782">
        <f t="shared" si="553"/>
        <v>0</v>
      </c>
      <c r="ED233" s="1262"/>
      <c r="EE233" s="2280"/>
      <c r="EF233" s="1802"/>
      <c r="EG233" s="167"/>
      <c r="EH233" s="168"/>
      <c r="EI233" s="168"/>
      <c r="EJ233" s="168"/>
      <c r="EK233" s="168"/>
      <c r="EL233" s="168"/>
      <c r="EM233" s="168"/>
      <c r="EN233" s="168"/>
      <c r="EO233" s="168"/>
      <c r="EP233" s="168"/>
      <c r="EQ233" s="168"/>
      <c r="ER233" s="168"/>
      <c r="ES233" s="168"/>
      <c r="ET233" s="168"/>
      <c r="EU233" s="168"/>
      <c r="EV233" s="168"/>
      <c r="EW233" s="168"/>
      <c r="EX233" s="168"/>
      <c r="EY233" s="168"/>
      <c r="EZ233" s="168"/>
      <c r="FA233" s="168"/>
      <c r="FB233" s="168"/>
      <c r="FC233" s="168"/>
      <c r="FD233" s="168"/>
      <c r="FE233" s="168"/>
      <c r="FF233" s="168"/>
      <c r="FG233" s="168"/>
      <c r="FH233" s="168"/>
      <c r="FI233" s="168"/>
      <c r="FJ233" s="168"/>
      <c r="FK233" s="168"/>
      <c r="FL233" s="168"/>
      <c r="FM233" s="168"/>
      <c r="FN233" s="168"/>
      <c r="FO233" s="168"/>
      <c r="FP233" s="168"/>
      <c r="FQ233" s="168"/>
      <c r="FR233" s="168"/>
      <c r="FS233" s="168"/>
      <c r="FT233" s="168"/>
      <c r="FU233" s="168"/>
      <c r="FV233" s="168"/>
      <c r="FW233" s="168"/>
      <c r="FX233" s="168"/>
      <c r="FY233" s="168"/>
      <c r="FZ233" s="168"/>
      <c r="GA233" s="168"/>
      <c r="GB233" s="168"/>
      <c r="GC233" s="168"/>
      <c r="GD233" s="168"/>
      <c r="GE233" s="168"/>
      <c r="GF233" s="168"/>
      <c r="GG233" s="168"/>
      <c r="GH233" s="168"/>
      <c r="GI233" s="168"/>
      <c r="GJ233" s="168"/>
      <c r="GK233" s="168"/>
      <c r="GL233" s="168"/>
      <c r="GM233" s="168"/>
      <c r="GN233" s="168"/>
      <c r="GO233" s="168"/>
      <c r="GP233" s="168"/>
      <c r="GQ233" s="168"/>
      <c r="GR233" s="168"/>
      <c r="GS233" s="168"/>
      <c r="GT233" s="168"/>
      <c r="GU233" s="168"/>
      <c r="GV233" s="168"/>
      <c r="GW233" s="168"/>
      <c r="GX233" s="168"/>
      <c r="GY233" s="168"/>
      <c r="GZ233" s="168"/>
      <c r="HA233" s="168"/>
      <c r="HB233" s="168"/>
      <c r="HC233" s="168"/>
      <c r="HD233" s="168"/>
      <c r="HE233" s="168"/>
      <c r="HF233" s="168"/>
      <c r="HG233" s="168"/>
      <c r="HH233" s="168"/>
      <c r="HI233" s="168"/>
      <c r="HJ233" s="168"/>
      <c r="HK233" s="168"/>
      <c r="HL233" s="168"/>
      <c r="HM233" s="168"/>
      <c r="HN233" s="168"/>
      <c r="HO233" s="168"/>
      <c r="HP233" s="168"/>
      <c r="HQ233" s="168"/>
      <c r="HR233" s="168"/>
      <c r="HS233" s="168"/>
      <c r="HT233" s="168"/>
      <c r="HU233" s="168"/>
      <c r="HV233" s="168"/>
      <c r="HW233" s="168"/>
      <c r="HX233" s="168"/>
      <c r="HY233" s="168"/>
      <c r="HZ233" s="168"/>
      <c r="IA233" s="168"/>
      <c r="IB233" s="168"/>
      <c r="IC233" s="168"/>
      <c r="ID233" s="168"/>
      <c r="IE233" s="168"/>
      <c r="IF233" s="168"/>
      <c r="IG233" s="168"/>
      <c r="IH233" s="168"/>
      <c r="II233" s="168"/>
      <c r="IJ233" s="168"/>
      <c r="IK233" s="168"/>
      <c r="IL233" s="168"/>
      <c r="IM233" s="168"/>
      <c r="IN233" s="168"/>
      <c r="IO233" s="168"/>
      <c r="IP233" s="168"/>
      <c r="IQ233" s="168"/>
      <c r="IR233" s="168"/>
      <c r="IS233" s="168"/>
      <c r="IT233" s="168"/>
      <c r="IU233" s="168"/>
      <c r="IV233" s="168"/>
      <c r="IW233" s="168"/>
      <c r="IX233" s="168"/>
      <c r="IY233" s="168"/>
      <c r="IZ233" s="168"/>
      <c r="JA233" s="168"/>
      <c r="JB233" s="168"/>
      <c r="JC233" s="606"/>
      <c r="JD233" s="609"/>
      <c r="JE233" s="1"/>
      <c r="JF233" s="1"/>
    </row>
    <row r="234" spans="1:266" s="2" customFormat="1" ht="15" customHeight="1" x14ac:dyDescent="0.25">
      <c r="A234" s="283"/>
      <c r="B234" s="303"/>
      <c r="C234" s="301"/>
      <c r="D234" s="638"/>
      <c r="E234" s="2298"/>
      <c r="F234" s="1812"/>
      <c r="G234" s="3342"/>
      <c r="H234" s="66"/>
      <c r="I234" s="1746"/>
      <c r="J234" s="86"/>
      <c r="K234" s="105"/>
      <c r="L234" s="91"/>
      <c r="M234" s="92"/>
      <c r="N234" s="93"/>
      <c r="O234" s="94"/>
      <c r="P234" s="96"/>
      <c r="Q234" s="95"/>
      <c r="R234" s="993">
        <f t="shared" si="284"/>
        <v>0</v>
      </c>
      <c r="S234" s="23">
        <f t="shared" si="298"/>
        <v>0</v>
      </c>
      <c r="T234" s="24">
        <f t="shared" si="299"/>
        <v>0</v>
      </c>
      <c r="U234" s="24">
        <f t="shared" si="300"/>
        <v>0</v>
      </c>
      <c r="V234" s="24">
        <f t="shared" si="301"/>
        <v>0</v>
      </c>
      <c r="W234" s="24">
        <f t="shared" si="302"/>
        <v>0</v>
      </c>
      <c r="X234" s="72">
        <f t="shared" si="303"/>
        <v>0</v>
      </c>
      <c r="Y234" s="72">
        <f t="shared" si="304"/>
        <v>0</v>
      </c>
      <c r="Z234" s="24">
        <f t="shared" si="285"/>
        <v>0</v>
      </c>
      <c r="AA234" s="72">
        <f t="shared" si="305"/>
        <v>0</v>
      </c>
      <c r="AB234" s="24">
        <f t="shared" si="306"/>
        <v>0</v>
      </c>
      <c r="AC234" s="24" t="s">
        <v>5</v>
      </c>
      <c r="AD234" s="25">
        <f t="shared" si="286"/>
        <v>3</v>
      </c>
      <c r="AE234" s="25">
        <f t="shared" si="287"/>
        <v>0</v>
      </c>
      <c r="AF234" s="25">
        <f t="shared" si="288"/>
        <v>0</v>
      </c>
      <c r="AG234" s="25">
        <f t="shared" si="307"/>
        <v>1</v>
      </c>
      <c r="AH234" s="25" t="str">
        <f>IFERROR(MATCH(DY234,'2 Staff List'!$IA$64:$IA$114,0),"x")</f>
        <v>x</v>
      </c>
      <c r="AI234" s="1181">
        <f>IFERROR(INDEX('2 Staff List'!$EX$64:$EX$114,$AH234),0)</f>
        <v>0</v>
      </c>
      <c r="AJ234" s="25">
        <f>IFERROR(INDEX('2 Staff List'!$IW$64:$IW$114,$AH234),0)</f>
        <v>0</v>
      </c>
      <c r="AK234" s="25">
        <f>IFERROR(INDEX('2 Staff List'!$IB$64:$IB$114,$AH234),0)</f>
        <v>0</v>
      </c>
      <c r="AL234" s="25">
        <f>IF(OR(NOT(ISBLANK(DV234)),CX234=1),"&lt;Non-Labor&gt;",IFERROR(IF(AH234=0,0,INDEX('2 Staff List'!$HZ$64:$HZ$114,$AH234)),0))</f>
        <v>0</v>
      </c>
      <c r="AM234" s="25">
        <f>IFERROR(INDEX('2 Staff List'!$HW$64:$HW$114,$AH234),0)</f>
        <v>0</v>
      </c>
      <c r="AN234" s="25">
        <f t="shared" si="308"/>
        <v>1</v>
      </c>
      <c r="AO234" s="25">
        <f>IF($AO$127=0,0,IFERROR(INDEX('2 Staff List'!$JH$64:$JH$114,$AH234),0))</f>
        <v>0</v>
      </c>
      <c r="AP234" s="25">
        <f>IFERROR(INDEX('2 Staff List'!$HU$64:$HU$114,$AH234),0)</f>
        <v>0</v>
      </c>
      <c r="AQ234" s="25">
        <f t="shared" si="309"/>
        <v>0</v>
      </c>
      <c r="AR234" s="25">
        <f t="shared" si="310"/>
        <v>0</v>
      </c>
      <c r="AS234" s="25">
        <f t="shared" si="311"/>
        <v>0</v>
      </c>
      <c r="AT234" s="25">
        <f t="shared" si="312"/>
        <v>0</v>
      </c>
      <c r="AU234" s="25">
        <f t="shared" si="313"/>
        <v>0</v>
      </c>
      <c r="AV234" s="25">
        <f t="shared" si="314"/>
        <v>0</v>
      </c>
      <c r="AW234" s="25">
        <f t="shared" si="315"/>
        <v>0</v>
      </c>
      <c r="AX234" s="25">
        <f t="shared" si="316"/>
        <v>0</v>
      </c>
      <c r="AY234" s="25">
        <f t="shared" si="317"/>
        <v>0</v>
      </c>
      <c r="AZ234" s="25">
        <f t="shared" si="318"/>
        <v>0</v>
      </c>
      <c r="BA234" s="25">
        <f t="shared" si="319"/>
        <v>0</v>
      </c>
      <c r="BB234" s="25">
        <f t="shared" si="320"/>
        <v>0</v>
      </c>
      <c r="BC234" s="25">
        <f>IFERROR(INDEX('2 Staff List'!KS$64:KS$114,$AH234),0)</f>
        <v>0</v>
      </c>
      <c r="BD234" s="25">
        <f>IFERROR(INDEX('2 Staff List'!KT$64:KT$114,$AH234),0)</f>
        <v>0</v>
      </c>
      <c r="BE234" s="25">
        <f>IFERROR(INDEX('2 Staff List'!KU$64:KU$114,$AH234),0)</f>
        <v>0</v>
      </c>
      <c r="BF234" s="25">
        <f>IFERROR(INDEX('2 Staff List'!KV$64:KV$114,$AH234),0)</f>
        <v>0</v>
      </c>
      <c r="BG234" s="25">
        <f>IFERROR(INDEX('2 Staff List'!KW$64:KW$114,$AH234),0)</f>
        <v>0</v>
      </c>
      <c r="BH234" s="25">
        <f>IFERROR(INDEX('2 Staff List'!KX$64:KX$114,$AH234),0)</f>
        <v>0</v>
      </c>
      <c r="BI234" s="25">
        <f>IFERROR(INDEX('2 Staff List'!KY$64:KY$114,$AH234),0)</f>
        <v>0</v>
      </c>
      <c r="BJ234" s="25">
        <f>IFERROR(INDEX('2 Staff List'!KZ$64:KZ$114,$AH234),0)</f>
        <v>0</v>
      </c>
      <c r="BK234" s="25">
        <f>IFERROR(INDEX('2 Staff List'!LA$64:LA$114,$AH234),0)</f>
        <v>0</v>
      </c>
      <c r="BL234" s="25">
        <f>IFERROR(INDEX('2 Staff List'!LB$64:LB$114,$AH234),0)</f>
        <v>0</v>
      </c>
      <c r="BM234" s="25">
        <f>IFERROR(INDEX('2 Staff List'!FT$64:FT$114,$AH234),0)</f>
        <v>0</v>
      </c>
      <c r="BN234" s="25">
        <f>IFERROR(INDEX('2 Staff List'!FU$64:FU$114,$AH234),0)</f>
        <v>0</v>
      </c>
      <c r="BO234" s="25">
        <f>IFERROR(INDEX('2 Staff List'!FV$64:FV$114,$AH234),0)</f>
        <v>0</v>
      </c>
      <c r="BP234" s="25">
        <f>IFERROR(INDEX('2 Staff List'!FW$64:FW$114,$AH234),0)</f>
        <v>0</v>
      </c>
      <c r="BQ234" s="25">
        <f>IFERROR(INDEX('2 Staff List'!FX$64:FX$114,$AH234),0)</f>
        <v>0</v>
      </c>
      <c r="BR234" s="25">
        <f>IFERROR(INDEX('2 Staff List'!FY$64:FY$114,$AH234),0)</f>
        <v>0</v>
      </c>
      <c r="BS234" s="25">
        <f>IFERROR(INDEX('2 Staff List'!FZ$64:FZ$114,$AH234),0)</f>
        <v>0</v>
      </c>
      <c r="BT234" s="25">
        <f>IFERROR(INDEX('2 Staff List'!GA$64:GA$114,$AH234),0)</f>
        <v>0</v>
      </c>
      <c r="BU234" s="25">
        <f>IFERROR(INDEX('2 Staff List'!GB$64:GB$114,$AH234),0)</f>
        <v>0</v>
      </c>
      <c r="BV234" s="25">
        <f>IFERROR(INDEX('2 Staff List'!GC$64:GC$114,$AH234),0)</f>
        <v>0</v>
      </c>
      <c r="BW234" s="25">
        <f t="shared" si="321"/>
        <v>0</v>
      </c>
      <c r="BX234" s="25">
        <f t="shared" si="322"/>
        <v>0</v>
      </c>
      <c r="BY234" s="25">
        <f t="shared" si="323"/>
        <v>0</v>
      </c>
      <c r="BZ234" s="25">
        <f t="shared" si="324"/>
        <v>0</v>
      </c>
      <c r="CA234" s="25">
        <f t="shared" si="325"/>
        <v>0</v>
      </c>
      <c r="CB234" s="25">
        <f t="shared" si="326"/>
        <v>0</v>
      </c>
      <c r="CC234" s="25">
        <f t="shared" si="327"/>
        <v>0</v>
      </c>
      <c r="CD234" s="25">
        <f t="shared" si="328"/>
        <v>0</v>
      </c>
      <c r="CE234" s="25">
        <f t="shared" si="329"/>
        <v>0</v>
      </c>
      <c r="CF234" s="25">
        <f t="shared" si="330"/>
        <v>0</v>
      </c>
      <c r="CG234" s="25">
        <f t="shared" si="331"/>
        <v>0</v>
      </c>
      <c r="CH234" s="25">
        <f>IFERROR(INDEX('2 Staff List'!LO$64:LO$114,$AH234),0)</f>
        <v>0</v>
      </c>
      <c r="CI234" s="25">
        <f>IFERROR(INDEX('2 Staff List'!LP$64:LP$114,$AH234),0)</f>
        <v>0</v>
      </c>
      <c r="CJ234" s="25">
        <f>IFERROR(INDEX('2 Staff List'!LQ$64:LQ$114,$AH234),0)</f>
        <v>0</v>
      </c>
      <c r="CK234" s="25">
        <f>IFERROR(INDEX('2 Staff List'!LR$64:LR$114,$AH234),0)</f>
        <v>0</v>
      </c>
      <c r="CL234" s="25">
        <f>IFERROR(INDEX('2 Staff List'!LS$64:LS$114,$AH234),0)</f>
        <v>0</v>
      </c>
      <c r="CM234" s="25">
        <f>IFERROR(INDEX('2 Staff List'!LT$64:LT$114,$AH234),0)</f>
        <v>0</v>
      </c>
      <c r="CN234" s="25">
        <f>IFERROR(INDEX('2 Staff List'!LU$64:LU$114,$AH234),0)</f>
        <v>0</v>
      </c>
      <c r="CO234" s="25">
        <f>IFERROR(INDEX('2 Staff List'!LV$64:LV$114,$AH234),0)</f>
        <v>0</v>
      </c>
      <c r="CP234" s="25">
        <f>IFERROR(INDEX('2 Staff List'!LW$64:LW$114,$AH234),0)</f>
        <v>0</v>
      </c>
      <c r="CQ234" s="25">
        <f>IFERROR(INDEX('2 Staff List'!LX$64:LX$114,$AH234),0)</f>
        <v>0</v>
      </c>
      <c r="CR234" s="25">
        <f t="shared" si="289"/>
        <v>0</v>
      </c>
      <c r="CS234" s="25">
        <f t="shared" si="349"/>
        <v>1</v>
      </c>
      <c r="CT234" s="25">
        <f t="shared" si="333"/>
        <v>1</v>
      </c>
      <c r="CU234" s="25">
        <f t="shared" si="334"/>
        <v>1</v>
      </c>
      <c r="CV234" s="25">
        <f t="shared" si="335"/>
        <v>1</v>
      </c>
      <c r="CW234" s="25">
        <f t="shared" si="336"/>
        <v>1</v>
      </c>
      <c r="CX234" s="25">
        <f t="shared" si="337"/>
        <v>0</v>
      </c>
      <c r="CY234" s="25">
        <f t="shared" si="338"/>
        <v>0</v>
      </c>
      <c r="CZ234" s="25">
        <f t="shared" si="339"/>
        <v>0</v>
      </c>
      <c r="DA234" s="25">
        <f t="shared" si="340"/>
        <v>1</v>
      </c>
      <c r="DB234" s="25">
        <f t="shared" si="290"/>
        <v>1</v>
      </c>
      <c r="DC234" s="25">
        <f t="shared" si="341"/>
        <v>0</v>
      </c>
      <c r="DD234" s="25">
        <f>IF(OR($AD234&lt;&gt;3,F234="Exclude"),0,IF(ISERROR(MATCH($E234,'4 Sign-off'!$S$123:$X$123,0)),0,1))</f>
        <v>0</v>
      </c>
      <c r="DE234" s="25">
        <f t="shared" si="763"/>
        <v>0</v>
      </c>
      <c r="DF234" s="25">
        <f t="shared" si="342"/>
        <v>0</v>
      </c>
      <c r="DG234" s="25" t="str">
        <f t="shared" si="343"/>
        <v/>
      </c>
      <c r="DH234" s="25">
        <f t="shared" si="344"/>
        <v>0</v>
      </c>
      <c r="DI234" s="25">
        <f t="shared" si="345"/>
        <v>0</v>
      </c>
      <c r="DJ234" s="25">
        <f>IF(ISBLANK(J234),0,ISERROR(MATCH(J234,'5  Control Accounts'!$FA$29:$FA$96,0))*1)</f>
        <v>0</v>
      </c>
      <c r="DK234" s="25">
        <f t="shared" si="346"/>
        <v>0</v>
      </c>
      <c r="DL234" s="25">
        <f t="shared" si="292"/>
        <v>-1</v>
      </c>
      <c r="DM234" s="25" t="e">
        <f t="array" ref="DM234">MATCH(1,($EG234:$JD234&gt;0)*$EG$17:$JD$17,0)</f>
        <v>#N/A</v>
      </c>
      <c r="DN234" s="25" t="e">
        <f t="shared" si="551"/>
        <v>#N/A</v>
      </c>
      <c r="DO234" s="25" t="e">
        <f t="array" ref="DO234">MATCH(2,1/(EG234:JD234&gt;0))</f>
        <v>#N/A</v>
      </c>
      <c r="DP234" s="2993">
        <f t="shared" si="347"/>
        <v>0</v>
      </c>
      <c r="DQ234" s="3037">
        <f t="shared" si="348"/>
        <v>0</v>
      </c>
      <c r="DR234" s="111"/>
      <c r="DS234" s="1268">
        <f t="shared" si="743"/>
        <v>0</v>
      </c>
      <c r="DT234" s="1825"/>
      <c r="DU234" s="1826"/>
      <c r="DV234" s="1827"/>
      <c r="DW234" s="1828"/>
      <c r="DX234" s="659"/>
      <c r="DY234" s="1265"/>
      <c r="DZ234" s="1785">
        <f t="shared" si="294"/>
        <v>0</v>
      </c>
      <c r="EA234" s="1786">
        <f t="shared" si="295"/>
        <v>0</v>
      </c>
      <c r="EB234" s="1781">
        <f t="shared" si="552"/>
        <v>0</v>
      </c>
      <c r="EC234" s="1782">
        <f t="shared" si="553"/>
        <v>0</v>
      </c>
      <c r="ED234" s="1262"/>
      <c r="EE234" s="2280"/>
      <c r="EF234" s="1802"/>
      <c r="EG234" s="167"/>
      <c r="EH234" s="168"/>
      <c r="EI234" s="168"/>
      <c r="EJ234" s="168"/>
      <c r="EK234" s="168"/>
      <c r="EL234" s="168"/>
      <c r="EM234" s="168"/>
      <c r="EN234" s="168"/>
      <c r="EO234" s="168"/>
      <c r="EP234" s="168"/>
      <c r="EQ234" s="168"/>
      <c r="ER234" s="168"/>
      <c r="ES234" s="168"/>
      <c r="ET234" s="168"/>
      <c r="EU234" s="168"/>
      <c r="EV234" s="168"/>
      <c r="EW234" s="168"/>
      <c r="EX234" s="168"/>
      <c r="EY234" s="168"/>
      <c r="EZ234" s="168"/>
      <c r="FA234" s="168"/>
      <c r="FB234" s="168"/>
      <c r="FC234" s="168"/>
      <c r="FD234" s="168"/>
      <c r="FE234" s="168"/>
      <c r="FF234" s="168"/>
      <c r="FG234" s="168"/>
      <c r="FH234" s="168"/>
      <c r="FI234" s="168"/>
      <c r="FJ234" s="168"/>
      <c r="FK234" s="168"/>
      <c r="FL234" s="168"/>
      <c r="FM234" s="168"/>
      <c r="FN234" s="168"/>
      <c r="FO234" s="168"/>
      <c r="FP234" s="168"/>
      <c r="FQ234" s="168"/>
      <c r="FR234" s="168"/>
      <c r="FS234" s="168"/>
      <c r="FT234" s="168"/>
      <c r="FU234" s="168"/>
      <c r="FV234" s="168"/>
      <c r="FW234" s="168"/>
      <c r="FX234" s="168"/>
      <c r="FY234" s="168"/>
      <c r="FZ234" s="168"/>
      <c r="GA234" s="168"/>
      <c r="GB234" s="168"/>
      <c r="GC234" s="168"/>
      <c r="GD234" s="168"/>
      <c r="GE234" s="168"/>
      <c r="GF234" s="168"/>
      <c r="GG234" s="168"/>
      <c r="GH234" s="168"/>
      <c r="GI234" s="168"/>
      <c r="GJ234" s="168"/>
      <c r="GK234" s="168"/>
      <c r="GL234" s="168"/>
      <c r="GM234" s="168"/>
      <c r="GN234" s="168"/>
      <c r="GO234" s="168"/>
      <c r="GP234" s="168"/>
      <c r="GQ234" s="168"/>
      <c r="GR234" s="168"/>
      <c r="GS234" s="168"/>
      <c r="GT234" s="168"/>
      <c r="GU234" s="168"/>
      <c r="GV234" s="168"/>
      <c r="GW234" s="168"/>
      <c r="GX234" s="168"/>
      <c r="GY234" s="168"/>
      <c r="GZ234" s="168"/>
      <c r="HA234" s="168"/>
      <c r="HB234" s="168"/>
      <c r="HC234" s="168"/>
      <c r="HD234" s="168"/>
      <c r="HE234" s="168"/>
      <c r="HF234" s="168"/>
      <c r="HG234" s="168"/>
      <c r="HH234" s="168"/>
      <c r="HI234" s="168"/>
      <c r="HJ234" s="168"/>
      <c r="HK234" s="168"/>
      <c r="HL234" s="168"/>
      <c r="HM234" s="168"/>
      <c r="HN234" s="168"/>
      <c r="HO234" s="168"/>
      <c r="HP234" s="168"/>
      <c r="HQ234" s="168"/>
      <c r="HR234" s="168"/>
      <c r="HS234" s="168"/>
      <c r="HT234" s="168"/>
      <c r="HU234" s="168"/>
      <c r="HV234" s="168"/>
      <c r="HW234" s="168"/>
      <c r="HX234" s="168"/>
      <c r="HY234" s="168"/>
      <c r="HZ234" s="168"/>
      <c r="IA234" s="168"/>
      <c r="IB234" s="168"/>
      <c r="IC234" s="168"/>
      <c r="ID234" s="168"/>
      <c r="IE234" s="168"/>
      <c r="IF234" s="168"/>
      <c r="IG234" s="168"/>
      <c r="IH234" s="168"/>
      <c r="II234" s="168"/>
      <c r="IJ234" s="168"/>
      <c r="IK234" s="168"/>
      <c r="IL234" s="168"/>
      <c r="IM234" s="168"/>
      <c r="IN234" s="168"/>
      <c r="IO234" s="168"/>
      <c r="IP234" s="168"/>
      <c r="IQ234" s="168"/>
      <c r="IR234" s="168"/>
      <c r="IS234" s="168"/>
      <c r="IT234" s="168"/>
      <c r="IU234" s="168"/>
      <c r="IV234" s="168"/>
      <c r="IW234" s="168"/>
      <c r="IX234" s="168"/>
      <c r="IY234" s="168"/>
      <c r="IZ234" s="168"/>
      <c r="JA234" s="168"/>
      <c r="JB234" s="168"/>
      <c r="JC234" s="606"/>
      <c r="JD234" s="609"/>
      <c r="JE234" s="1"/>
      <c r="JF234" s="1"/>
    </row>
    <row r="235" spans="1:266" s="2" customFormat="1" ht="15" customHeight="1" x14ac:dyDescent="0.25">
      <c r="A235" s="283"/>
      <c r="B235" s="303"/>
      <c r="C235" s="301"/>
      <c r="D235" s="638"/>
      <c r="E235" s="2298"/>
      <c r="F235" s="1812"/>
      <c r="G235" s="3342"/>
      <c r="H235" s="66"/>
      <c r="I235" s="1746"/>
      <c r="J235" s="86"/>
      <c r="K235" s="105"/>
      <c r="L235" s="91"/>
      <c r="M235" s="92"/>
      <c r="N235" s="93"/>
      <c r="O235" s="94"/>
      <c r="P235" s="96"/>
      <c r="Q235" s="95"/>
      <c r="R235" s="993">
        <f t="shared" si="284"/>
        <v>0</v>
      </c>
      <c r="S235" s="23">
        <f t="shared" si="298"/>
        <v>0</v>
      </c>
      <c r="T235" s="24">
        <f t="shared" si="299"/>
        <v>0</v>
      </c>
      <c r="U235" s="24">
        <f t="shared" si="300"/>
        <v>0</v>
      </c>
      <c r="V235" s="24">
        <f t="shared" si="301"/>
        <v>0</v>
      </c>
      <c r="W235" s="24">
        <f t="shared" si="302"/>
        <v>0</v>
      </c>
      <c r="X235" s="72">
        <f t="shared" si="303"/>
        <v>0</v>
      </c>
      <c r="Y235" s="72">
        <f t="shared" si="304"/>
        <v>0</v>
      </c>
      <c r="Z235" s="24">
        <f t="shared" si="285"/>
        <v>0</v>
      </c>
      <c r="AA235" s="72">
        <f t="shared" si="305"/>
        <v>0</v>
      </c>
      <c r="AB235" s="24">
        <f t="shared" si="306"/>
        <v>0</v>
      </c>
      <c r="AC235" s="24" t="s">
        <v>5</v>
      </c>
      <c r="AD235" s="25">
        <f t="shared" si="286"/>
        <v>3</v>
      </c>
      <c r="AE235" s="25">
        <f t="shared" si="287"/>
        <v>0</v>
      </c>
      <c r="AF235" s="25">
        <f t="shared" si="288"/>
        <v>0</v>
      </c>
      <c r="AG235" s="25">
        <f t="shared" si="307"/>
        <v>1</v>
      </c>
      <c r="AH235" s="25" t="str">
        <f>IFERROR(MATCH(DY235,'2 Staff List'!$IA$64:$IA$114,0),"x")</f>
        <v>x</v>
      </c>
      <c r="AI235" s="1181">
        <f>IFERROR(INDEX('2 Staff List'!$EX$64:$EX$114,$AH235),0)</f>
        <v>0</v>
      </c>
      <c r="AJ235" s="25">
        <f>IFERROR(INDEX('2 Staff List'!$IW$64:$IW$114,$AH235),0)</f>
        <v>0</v>
      </c>
      <c r="AK235" s="25">
        <f>IFERROR(INDEX('2 Staff List'!$IB$64:$IB$114,$AH235),0)</f>
        <v>0</v>
      </c>
      <c r="AL235" s="25">
        <f>IF(OR(NOT(ISBLANK(DV235)),CX235=1),"&lt;Non-Labor&gt;",IFERROR(IF(AH235=0,0,INDEX('2 Staff List'!$HZ$64:$HZ$114,$AH235)),0))</f>
        <v>0</v>
      </c>
      <c r="AM235" s="25">
        <f>IFERROR(INDEX('2 Staff List'!$HW$64:$HW$114,$AH235),0)</f>
        <v>0</v>
      </c>
      <c r="AN235" s="25">
        <f t="shared" si="308"/>
        <v>1</v>
      </c>
      <c r="AO235" s="25">
        <f>IF($AO$127=0,0,IFERROR(INDEX('2 Staff List'!$JH$64:$JH$114,$AH235),0))</f>
        <v>0</v>
      </c>
      <c r="AP235" s="25">
        <f>IFERROR(INDEX('2 Staff List'!$HU$64:$HU$114,$AH235),0)</f>
        <v>0</v>
      </c>
      <c r="AQ235" s="25">
        <f t="shared" si="309"/>
        <v>0</v>
      </c>
      <c r="AR235" s="25">
        <f t="shared" si="310"/>
        <v>0</v>
      </c>
      <c r="AS235" s="25">
        <f t="shared" si="311"/>
        <v>0</v>
      </c>
      <c r="AT235" s="25">
        <f t="shared" si="312"/>
        <v>0</v>
      </c>
      <c r="AU235" s="25">
        <f t="shared" si="313"/>
        <v>0</v>
      </c>
      <c r="AV235" s="25">
        <f t="shared" si="314"/>
        <v>0</v>
      </c>
      <c r="AW235" s="25">
        <f t="shared" si="315"/>
        <v>0</v>
      </c>
      <c r="AX235" s="25">
        <f t="shared" si="316"/>
        <v>0</v>
      </c>
      <c r="AY235" s="25">
        <f t="shared" si="317"/>
        <v>0</v>
      </c>
      <c r="AZ235" s="25">
        <f t="shared" si="318"/>
        <v>0</v>
      </c>
      <c r="BA235" s="25">
        <f t="shared" si="319"/>
        <v>0</v>
      </c>
      <c r="BB235" s="25">
        <f t="shared" si="320"/>
        <v>0</v>
      </c>
      <c r="BC235" s="25">
        <f>IFERROR(INDEX('2 Staff List'!KS$64:KS$114,$AH235),0)</f>
        <v>0</v>
      </c>
      <c r="BD235" s="25">
        <f>IFERROR(INDEX('2 Staff List'!KT$64:KT$114,$AH235),0)</f>
        <v>0</v>
      </c>
      <c r="BE235" s="25">
        <f>IFERROR(INDEX('2 Staff List'!KU$64:KU$114,$AH235),0)</f>
        <v>0</v>
      </c>
      <c r="BF235" s="25">
        <f>IFERROR(INDEX('2 Staff List'!KV$64:KV$114,$AH235),0)</f>
        <v>0</v>
      </c>
      <c r="BG235" s="25">
        <f>IFERROR(INDEX('2 Staff List'!KW$64:KW$114,$AH235),0)</f>
        <v>0</v>
      </c>
      <c r="BH235" s="25">
        <f>IFERROR(INDEX('2 Staff List'!KX$64:KX$114,$AH235),0)</f>
        <v>0</v>
      </c>
      <c r="BI235" s="25">
        <f>IFERROR(INDEX('2 Staff List'!KY$64:KY$114,$AH235),0)</f>
        <v>0</v>
      </c>
      <c r="BJ235" s="25">
        <f>IFERROR(INDEX('2 Staff List'!KZ$64:KZ$114,$AH235),0)</f>
        <v>0</v>
      </c>
      <c r="BK235" s="25">
        <f>IFERROR(INDEX('2 Staff List'!LA$64:LA$114,$AH235),0)</f>
        <v>0</v>
      </c>
      <c r="BL235" s="25">
        <f>IFERROR(INDEX('2 Staff List'!LB$64:LB$114,$AH235),0)</f>
        <v>0</v>
      </c>
      <c r="BM235" s="25">
        <f>IFERROR(INDEX('2 Staff List'!FT$64:FT$114,$AH235),0)</f>
        <v>0</v>
      </c>
      <c r="BN235" s="25">
        <f>IFERROR(INDEX('2 Staff List'!FU$64:FU$114,$AH235),0)</f>
        <v>0</v>
      </c>
      <c r="BO235" s="25">
        <f>IFERROR(INDEX('2 Staff List'!FV$64:FV$114,$AH235),0)</f>
        <v>0</v>
      </c>
      <c r="BP235" s="25">
        <f>IFERROR(INDEX('2 Staff List'!FW$64:FW$114,$AH235),0)</f>
        <v>0</v>
      </c>
      <c r="BQ235" s="25">
        <f>IFERROR(INDEX('2 Staff List'!FX$64:FX$114,$AH235),0)</f>
        <v>0</v>
      </c>
      <c r="BR235" s="25">
        <f>IFERROR(INDEX('2 Staff List'!FY$64:FY$114,$AH235),0)</f>
        <v>0</v>
      </c>
      <c r="BS235" s="25">
        <f>IFERROR(INDEX('2 Staff List'!FZ$64:FZ$114,$AH235),0)</f>
        <v>0</v>
      </c>
      <c r="BT235" s="25">
        <f>IFERROR(INDEX('2 Staff List'!GA$64:GA$114,$AH235),0)</f>
        <v>0</v>
      </c>
      <c r="BU235" s="25">
        <f>IFERROR(INDEX('2 Staff List'!GB$64:GB$114,$AH235),0)</f>
        <v>0</v>
      </c>
      <c r="BV235" s="25">
        <f>IFERROR(INDEX('2 Staff List'!GC$64:GC$114,$AH235),0)</f>
        <v>0</v>
      </c>
      <c r="BW235" s="25">
        <f t="shared" si="321"/>
        <v>0</v>
      </c>
      <c r="BX235" s="25">
        <f t="shared" si="322"/>
        <v>0</v>
      </c>
      <c r="BY235" s="25">
        <f t="shared" si="323"/>
        <v>0</v>
      </c>
      <c r="BZ235" s="25">
        <f t="shared" si="324"/>
        <v>0</v>
      </c>
      <c r="CA235" s="25">
        <f t="shared" si="325"/>
        <v>0</v>
      </c>
      <c r="CB235" s="25">
        <f t="shared" si="326"/>
        <v>0</v>
      </c>
      <c r="CC235" s="25">
        <f t="shared" si="327"/>
        <v>0</v>
      </c>
      <c r="CD235" s="25">
        <f t="shared" si="328"/>
        <v>0</v>
      </c>
      <c r="CE235" s="25">
        <f t="shared" si="329"/>
        <v>0</v>
      </c>
      <c r="CF235" s="25">
        <f t="shared" si="330"/>
        <v>0</v>
      </c>
      <c r="CG235" s="25">
        <f t="shared" si="331"/>
        <v>0</v>
      </c>
      <c r="CH235" s="25">
        <f>IFERROR(INDEX('2 Staff List'!LO$64:LO$114,$AH235),0)</f>
        <v>0</v>
      </c>
      <c r="CI235" s="25">
        <f>IFERROR(INDEX('2 Staff List'!LP$64:LP$114,$AH235),0)</f>
        <v>0</v>
      </c>
      <c r="CJ235" s="25">
        <f>IFERROR(INDEX('2 Staff List'!LQ$64:LQ$114,$AH235),0)</f>
        <v>0</v>
      </c>
      <c r="CK235" s="25">
        <f>IFERROR(INDEX('2 Staff List'!LR$64:LR$114,$AH235),0)</f>
        <v>0</v>
      </c>
      <c r="CL235" s="25">
        <f>IFERROR(INDEX('2 Staff List'!LS$64:LS$114,$AH235),0)</f>
        <v>0</v>
      </c>
      <c r="CM235" s="25">
        <f>IFERROR(INDEX('2 Staff List'!LT$64:LT$114,$AH235),0)</f>
        <v>0</v>
      </c>
      <c r="CN235" s="25">
        <f>IFERROR(INDEX('2 Staff List'!LU$64:LU$114,$AH235),0)</f>
        <v>0</v>
      </c>
      <c r="CO235" s="25">
        <f>IFERROR(INDEX('2 Staff List'!LV$64:LV$114,$AH235),0)</f>
        <v>0</v>
      </c>
      <c r="CP235" s="25">
        <f>IFERROR(INDEX('2 Staff List'!LW$64:LW$114,$AH235),0)</f>
        <v>0</v>
      </c>
      <c r="CQ235" s="25">
        <f>IFERROR(INDEX('2 Staff List'!LX$64:LX$114,$AH235),0)</f>
        <v>0</v>
      </c>
      <c r="CR235" s="25">
        <f t="shared" si="289"/>
        <v>0</v>
      </c>
      <c r="CS235" s="25">
        <f t="shared" si="349"/>
        <v>1</v>
      </c>
      <c r="CT235" s="25">
        <f t="shared" si="333"/>
        <v>1</v>
      </c>
      <c r="CU235" s="25">
        <f t="shared" si="334"/>
        <v>1</v>
      </c>
      <c r="CV235" s="25">
        <f t="shared" si="335"/>
        <v>1</v>
      </c>
      <c r="CW235" s="25">
        <f t="shared" si="336"/>
        <v>1</v>
      </c>
      <c r="CX235" s="25">
        <f t="shared" si="337"/>
        <v>0</v>
      </c>
      <c r="CY235" s="25">
        <f t="shared" si="338"/>
        <v>0</v>
      </c>
      <c r="CZ235" s="25">
        <f t="shared" si="339"/>
        <v>0</v>
      </c>
      <c r="DA235" s="25">
        <f t="shared" si="340"/>
        <v>1</v>
      </c>
      <c r="DB235" s="25">
        <f t="shared" si="290"/>
        <v>1</v>
      </c>
      <c r="DC235" s="25">
        <f t="shared" si="341"/>
        <v>0</v>
      </c>
      <c r="DD235" s="25">
        <f>IF(OR($AD235&lt;&gt;3,F235="Exclude"),0,IF(ISERROR(MATCH($E235,'4 Sign-off'!$S$123:$X$123,0)),0,1))</f>
        <v>0</v>
      </c>
      <c r="DE235" s="25">
        <f t="shared" si="763"/>
        <v>0</v>
      </c>
      <c r="DF235" s="25">
        <f t="shared" si="342"/>
        <v>0</v>
      </c>
      <c r="DG235" s="25" t="str">
        <f t="shared" si="343"/>
        <v/>
      </c>
      <c r="DH235" s="25">
        <f t="shared" si="344"/>
        <v>0</v>
      </c>
      <c r="DI235" s="25">
        <f t="shared" si="345"/>
        <v>0</v>
      </c>
      <c r="DJ235" s="25">
        <f>IF(ISBLANK(J235),0,ISERROR(MATCH(J235,'5  Control Accounts'!$FA$29:$FA$96,0))*1)</f>
        <v>0</v>
      </c>
      <c r="DK235" s="25">
        <f t="shared" si="346"/>
        <v>0</v>
      </c>
      <c r="DL235" s="25">
        <f t="shared" si="292"/>
        <v>-1</v>
      </c>
      <c r="DM235" s="25" t="e">
        <f t="array" ref="DM235">MATCH(1,($EG235:$JD235&gt;0)*$EG$17:$JD$17,0)</f>
        <v>#N/A</v>
      </c>
      <c r="DN235" s="25" t="e">
        <f t="shared" si="551"/>
        <v>#N/A</v>
      </c>
      <c r="DO235" s="25" t="e">
        <f t="array" ref="DO235">MATCH(2,1/(EG235:JD235&gt;0))</f>
        <v>#N/A</v>
      </c>
      <c r="DP235" s="2993">
        <f t="shared" si="347"/>
        <v>0</v>
      </c>
      <c r="DQ235" s="3037">
        <f t="shared" si="348"/>
        <v>0</v>
      </c>
      <c r="DR235" s="111"/>
      <c r="DS235" s="1268">
        <f t="shared" si="743"/>
        <v>0</v>
      </c>
      <c r="DT235" s="1825"/>
      <c r="DU235" s="1826"/>
      <c r="DV235" s="1827"/>
      <c r="DW235" s="1828"/>
      <c r="DX235" s="659"/>
      <c r="DY235" s="1265"/>
      <c r="DZ235" s="1785">
        <f t="shared" si="294"/>
        <v>0</v>
      </c>
      <c r="EA235" s="1786">
        <f t="shared" si="295"/>
        <v>0</v>
      </c>
      <c r="EB235" s="1781">
        <f t="shared" si="552"/>
        <v>0</v>
      </c>
      <c r="EC235" s="1782">
        <f t="shared" si="553"/>
        <v>0</v>
      </c>
      <c r="ED235" s="1262"/>
      <c r="EE235" s="2280"/>
      <c r="EF235" s="1802"/>
      <c r="EG235" s="167"/>
      <c r="EH235" s="168"/>
      <c r="EI235" s="168"/>
      <c r="EJ235" s="168"/>
      <c r="EK235" s="168"/>
      <c r="EL235" s="168"/>
      <c r="EM235" s="168"/>
      <c r="EN235" s="168"/>
      <c r="EO235" s="168"/>
      <c r="EP235" s="168"/>
      <c r="EQ235" s="168"/>
      <c r="ER235" s="168"/>
      <c r="ES235" s="168"/>
      <c r="ET235" s="168"/>
      <c r="EU235" s="168"/>
      <c r="EV235" s="168"/>
      <c r="EW235" s="168"/>
      <c r="EX235" s="168"/>
      <c r="EY235" s="168"/>
      <c r="EZ235" s="168"/>
      <c r="FA235" s="168"/>
      <c r="FB235" s="168"/>
      <c r="FC235" s="168"/>
      <c r="FD235" s="168"/>
      <c r="FE235" s="168"/>
      <c r="FF235" s="168"/>
      <c r="FG235" s="168"/>
      <c r="FH235" s="168"/>
      <c r="FI235" s="168"/>
      <c r="FJ235" s="168"/>
      <c r="FK235" s="168"/>
      <c r="FL235" s="168"/>
      <c r="FM235" s="168"/>
      <c r="FN235" s="168"/>
      <c r="FO235" s="168"/>
      <c r="FP235" s="168"/>
      <c r="FQ235" s="168"/>
      <c r="FR235" s="168"/>
      <c r="FS235" s="168"/>
      <c r="FT235" s="168"/>
      <c r="FU235" s="168"/>
      <c r="FV235" s="168"/>
      <c r="FW235" s="168"/>
      <c r="FX235" s="168"/>
      <c r="FY235" s="168"/>
      <c r="FZ235" s="168"/>
      <c r="GA235" s="168"/>
      <c r="GB235" s="168"/>
      <c r="GC235" s="168"/>
      <c r="GD235" s="168"/>
      <c r="GE235" s="168"/>
      <c r="GF235" s="168"/>
      <c r="GG235" s="168"/>
      <c r="GH235" s="168"/>
      <c r="GI235" s="168"/>
      <c r="GJ235" s="168"/>
      <c r="GK235" s="168"/>
      <c r="GL235" s="168"/>
      <c r="GM235" s="168"/>
      <c r="GN235" s="168"/>
      <c r="GO235" s="168"/>
      <c r="GP235" s="168"/>
      <c r="GQ235" s="168"/>
      <c r="GR235" s="168"/>
      <c r="GS235" s="168"/>
      <c r="GT235" s="168"/>
      <c r="GU235" s="168"/>
      <c r="GV235" s="168"/>
      <c r="GW235" s="168"/>
      <c r="GX235" s="168"/>
      <c r="GY235" s="168"/>
      <c r="GZ235" s="168"/>
      <c r="HA235" s="168"/>
      <c r="HB235" s="168"/>
      <c r="HC235" s="168"/>
      <c r="HD235" s="168"/>
      <c r="HE235" s="168"/>
      <c r="HF235" s="168"/>
      <c r="HG235" s="168"/>
      <c r="HH235" s="168"/>
      <c r="HI235" s="168"/>
      <c r="HJ235" s="168"/>
      <c r="HK235" s="168"/>
      <c r="HL235" s="168"/>
      <c r="HM235" s="168"/>
      <c r="HN235" s="168"/>
      <c r="HO235" s="168"/>
      <c r="HP235" s="168"/>
      <c r="HQ235" s="168"/>
      <c r="HR235" s="168"/>
      <c r="HS235" s="168"/>
      <c r="HT235" s="168"/>
      <c r="HU235" s="168"/>
      <c r="HV235" s="168"/>
      <c r="HW235" s="168"/>
      <c r="HX235" s="168"/>
      <c r="HY235" s="168"/>
      <c r="HZ235" s="168"/>
      <c r="IA235" s="168"/>
      <c r="IB235" s="168"/>
      <c r="IC235" s="168"/>
      <c r="ID235" s="168"/>
      <c r="IE235" s="168"/>
      <c r="IF235" s="168"/>
      <c r="IG235" s="168"/>
      <c r="IH235" s="168"/>
      <c r="II235" s="168"/>
      <c r="IJ235" s="168"/>
      <c r="IK235" s="168"/>
      <c r="IL235" s="168"/>
      <c r="IM235" s="168"/>
      <c r="IN235" s="168"/>
      <c r="IO235" s="168"/>
      <c r="IP235" s="168"/>
      <c r="IQ235" s="168"/>
      <c r="IR235" s="168"/>
      <c r="IS235" s="168"/>
      <c r="IT235" s="168"/>
      <c r="IU235" s="168"/>
      <c r="IV235" s="168"/>
      <c r="IW235" s="168"/>
      <c r="IX235" s="168"/>
      <c r="IY235" s="168"/>
      <c r="IZ235" s="168"/>
      <c r="JA235" s="168"/>
      <c r="JB235" s="168"/>
      <c r="JC235" s="606"/>
      <c r="JD235" s="609"/>
      <c r="JE235" s="1"/>
      <c r="JF235" s="1"/>
    </row>
    <row r="236" spans="1:266" s="2" customFormat="1" ht="15" customHeight="1" x14ac:dyDescent="0.25">
      <c r="A236" s="283"/>
      <c r="B236" s="303"/>
      <c r="C236" s="301"/>
      <c r="D236" s="638"/>
      <c r="E236" s="2298"/>
      <c r="F236" s="1812"/>
      <c r="G236" s="3342"/>
      <c r="H236" s="66"/>
      <c r="I236" s="1746"/>
      <c r="J236" s="86"/>
      <c r="K236" s="105"/>
      <c r="L236" s="91"/>
      <c r="M236" s="92"/>
      <c r="N236" s="93"/>
      <c r="O236" s="94"/>
      <c r="P236" s="96"/>
      <c r="Q236" s="95"/>
      <c r="R236" s="993">
        <f t="shared" si="284"/>
        <v>0</v>
      </c>
      <c r="S236" s="23">
        <f t="shared" si="298"/>
        <v>0</v>
      </c>
      <c r="T236" s="24">
        <f t="shared" si="299"/>
        <v>0</v>
      </c>
      <c r="U236" s="24">
        <f t="shared" si="300"/>
        <v>0</v>
      </c>
      <c r="V236" s="24">
        <f t="shared" si="301"/>
        <v>0</v>
      </c>
      <c r="W236" s="24">
        <f t="shared" si="302"/>
        <v>0</v>
      </c>
      <c r="X236" s="72">
        <f t="shared" si="303"/>
        <v>0</v>
      </c>
      <c r="Y236" s="72">
        <f t="shared" si="304"/>
        <v>0</v>
      </c>
      <c r="Z236" s="24">
        <f t="shared" si="285"/>
        <v>0</v>
      </c>
      <c r="AA236" s="72">
        <f t="shared" si="305"/>
        <v>0</v>
      </c>
      <c r="AB236" s="24">
        <f t="shared" si="306"/>
        <v>0</v>
      </c>
      <c r="AC236" s="24" t="s">
        <v>5</v>
      </c>
      <c r="AD236" s="25">
        <f t="shared" si="286"/>
        <v>3</v>
      </c>
      <c r="AE236" s="25">
        <f t="shared" si="287"/>
        <v>0</v>
      </c>
      <c r="AF236" s="25">
        <f t="shared" si="288"/>
        <v>0</v>
      </c>
      <c r="AG236" s="25">
        <f t="shared" si="307"/>
        <v>1</v>
      </c>
      <c r="AH236" s="25" t="str">
        <f>IFERROR(MATCH(DY236,'2 Staff List'!$IA$64:$IA$114,0),"x")</f>
        <v>x</v>
      </c>
      <c r="AI236" s="1181">
        <f>IFERROR(INDEX('2 Staff List'!$EX$64:$EX$114,$AH236),0)</f>
        <v>0</v>
      </c>
      <c r="AJ236" s="25">
        <f>IFERROR(INDEX('2 Staff List'!$IW$64:$IW$114,$AH236),0)</f>
        <v>0</v>
      </c>
      <c r="AK236" s="25">
        <f>IFERROR(INDEX('2 Staff List'!$IB$64:$IB$114,$AH236),0)</f>
        <v>0</v>
      </c>
      <c r="AL236" s="25">
        <f>IF(OR(NOT(ISBLANK(DV236)),CX236=1),"&lt;Non-Labor&gt;",IFERROR(IF(AH236=0,0,INDEX('2 Staff List'!$HZ$64:$HZ$114,$AH236)),0))</f>
        <v>0</v>
      </c>
      <c r="AM236" s="25">
        <f>IFERROR(INDEX('2 Staff List'!$HW$64:$HW$114,$AH236),0)</f>
        <v>0</v>
      </c>
      <c r="AN236" s="25">
        <f t="shared" si="308"/>
        <v>1</v>
      </c>
      <c r="AO236" s="25">
        <f>IF($AO$127=0,0,IFERROR(INDEX('2 Staff List'!$JH$64:$JH$114,$AH236),0))</f>
        <v>0</v>
      </c>
      <c r="AP236" s="25">
        <f>IFERROR(INDEX('2 Staff List'!$HU$64:$HU$114,$AH236),0)</f>
        <v>0</v>
      </c>
      <c r="AQ236" s="25">
        <f t="shared" si="309"/>
        <v>0</v>
      </c>
      <c r="AR236" s="25">
        <f t="shared" si="310"/>
        <v>0</v>
      </c>
      <c r="AS236" s="25">
        <f t="shared" si="311"/>
        <v>0</v>
      </c>
      <c r="AT236" s="25">
        <f t="shared" si="312"/>
        <v>0</v>
      </c>
      <c r="AU236" s="25">
        <f t="shared" si="313"/>
        <v>0</v>
      </c>
      <c r="AV236" s="25">
        <f t="shared" si="314"/>
        <v>0</v>
      </c>
      <c r="AW236" s="25">
        <f t="shared" si="315"/>
        <v>0</v>
      </c>
      <c r="AX236" s="25">
        <f t="shared" si="316"/>
        <v>0</v>
      </c>
      <c r="AY236" s="25">
        <f t="shared" si="317"/>
        <v>0</v>
      </c>
      <c r="AZ236" s="25">
        <f t="shared" si="318"/>
        <v>0</v>
      </c>
      <c r="BA236" s="25">
        <f t="shared" si="319"/>
        <v>0</v>
      </c>
      <c r="BB236" s="25">
        <f t="shared" si="320"/>
        <v>0</v>
      </c>
      <c r="BC236" s="25">
        <f>IFERROR(INDEX('2 Staff List'!KS$64:KS$114,$AH236),0)</f>
        <v>0</v>
      </c>
      <c r="BD236" s="25">
        <f>IFERROR(INDEX('2 Staff List'!KT$64:KT$114,$AH236),0)</f>
        <v>0</v>
      </c>
      <c r="BE236" s="25">
        <f>IFERROR(INDEX('2 Staff List'!KU$64:KU$114,$AH236),0)</f>
        <v>0</v>
      </c>
      <c r="BF236" s="25">
        <f>IFERROR(INDEX('2 Staff List'!KV$64:KV$114,$AH236),0)</f>
        <v>0</v>
      </c>
      <c r="BG236" s="25">
        <f>IFERROR(INDEX('2 Staff List'!KW$64:KW$114,$AH236),0)</f>
        <v>0</v>
      </c>
      <c r="BH236" s="25">
        <f>IFERROR(INDEX('2 Staff List'!KX$64:KX$114,$AH236),0)</f>
        <v>0</v>
      </c>
      <c r="BI236" s="25">
        <f>IFERROR(INDEX('2 Staff List'!KY$64:KY$114,$AH236),0)</f>
        <v>0</v>
      </c>
      <c r="BJ236" s="25">
        <f>IFERROR(INDEX('2 Staff List'!KZ$64:KZ$114,$AH236),0)</f>
        <v>0</v>
      </c>
      <c r="BK236" s="25">
        <f>IFERROR(INDEX('2 Staff List'!LA$64:LA$114,$AH236),0)</f>
        <v>0</v>
      </c>
      <c r="BL236" s="25">
        <f>IFERROR(INDEX('2 Staff List'!LB$64:LB$114,$AH236),0)</f>
        <v>0</v>
      </c>
      <c r="BM236" s="25">
        <f>IFERROR(INDEX('2 Staff List'!FT$64:FT$114,$AH236),0)</f>
        <v>0</v>
      </c>
      <c r="BN236" s="25">
        <f>IFERROR(INDEX('2 Staff List'!FU$64:FU$114,$AH236),0)</f>
        <v>0</v>
      </c>
      <c r="BO236" s="25">
        <f>IFERROR(INDEX('2 Staff List'!FV$64:FV$114,$AH236),0)</f>
        <v>0</v>
      </c>
      <c r="BP236" s="25">
        <f>IFERROR(INDEX('2 Staff List'!FW$64:FW$114,$AH236),0)</f>
        <v>0</v>
      </c>
      <c r="BQ236" s="25">
        <f>IFERROR(INDEX('2 Staff List'!FX$64:FX$114,$AH236),0)</f>
        <v>0</v>
      </c>
      <c r="BR236" s="25">
        <f>IFERROR(INDEX('2 Staff List'!FY$64:FY$114,$AH236),0)</f>
        <v>0</v>
      </c>
      <c r="BS236" s="25">
        <f>IFERROR(INDEX('2 Staff List'!FZ$64:FZ$114,$AH236),0)</f>
        <v>0</v>
      </c>
      <c r="BT236" s="25">
        <f>IFERROR(INDEX('2 Staff List'!GA$64:GA$114,$AH236),0)</f>
        <v>0</v>
      </c>
      <c r="BU236" s="25">
        <f>IFERROR(INDEX('2 Staff List'!GB$64:GB$114,$AH236),0)</f>
        <v>0</v>
      </c>
      <c r="BV236" s="25">
        <f>IFERROR(INDEX('2 Staff List'!GC$64:GC$114,$AH236),0)</f>
        <v>0</v>
      </c>
      <c r="BW236" s="25">
        <f t="shared" si="321"/>
        <v>0</v>
      </c>
      <c r="BX236" s="25">
        <f t="shared" si="322"/>
        <v>0</v>
      </c>
      <c r="BY236" s="25">
        <f t="shared" si="323"/>
        <v>0</v>
      </c>
      <c r="BZ236" s="25">
        <f t="shared" si="324"/>
        <v>0</v>
      </c>
      <c r="CA236" s="25">
        <f t="shared" si="325"/>
        <v>0</v>
      </c>
      <c r="CB236" s="25">
        <f t="shared" si="326"/>
        <v>0</v>
      </c>
      <c r="CC236" s="25">
        <f t="shared" si="327"/>
        <v>0</v>
      </c>
      <c r="CD236" s="25">
        <f t="shared" si="328"/>
        <v>0</v>
      </c>
      <c r="CE236" s="25">
        <f t="shared" si="329"/>
        <v>0</v>
      </c>
      <c r="CF236" s="25">
        <f t="shared" si="330"/>
        <v>0</v>
      </c>
      <c r="CG236" s="25">
        <f t="shared" si="331"/>
        <v>0</v>
      </c>
      <c r="CH236" s="25">
        <f>IFERROR(INDEX('2 Staff List'!LO$64:LO$114,$AH236),0)</f>
        <v>0</v>
      </c>
      <c r="CI236" s="25">
        <f>IFERROR(INDEX('2 Staff List'!LP$64:LP$114,$AH236),0)</f>
        <v>0</v>
      </c>
      <c r="CJ236" s="25">
        <f>IFERROR(INDEX('2 Staff List'!LQ$64:LQ$114,$AH236),0)</f>
        <v>0</v>
      </c>
      <c r="CK236" s="25">
        <f>IFERROR(INDEX('2 Staff List'!LR$64:LR$114,$AH236),0)</f>
        <v>0</v>
      </c>
      <c r="CL236" s="25">
        <f>IFERROR(INDEX('2 Staff List'!LS$64:LS$114,$AH236),0)</f>
        <v>0</v>
      </c>
      <c r="CM236" s="25">
        <f>IFERROR(INDEX('2 Staff List'!LT$64:LT$114,$AH236),0)</f>
        <v>0</v>
      </c>
      <c r="CN236" s="25">
        <f>IFERROR(INDEX('2 Staff List'!LU$64:LU$114,$AH236),0)</f>
        <v>0</v>
      </c>
      <c r="CO236" s="25">
        <f>IFERROR(INDEX('2 Staff List'!LV$64:LV$114,$AH236),0)</f>
        <v>0</v>
      </c>
      <c r="CP236" s="25">
        <f>IFERROR(INDEX('2 Staff List'!LW$64:LW$114,$AH236),0)</f>
        <v>0</v>
      </c>
      <c r="CQ236" s="25">
        <f>IFERROR(INDEX('2 Staff List'!LX$64:LX$114,$AH236),0)</f>
        <v>0</v>
      </c>
      <c r="CR236" s="25">
        <f t="shared" si="289"/>
        <v>0</v>
      </c>
      <c r="CS236" s="25">
        <f t="shared" si="349"/>
        <v>1</v>
      </c>
      <c r="CT236" s="25">
        <f t="shared" si="333"/>
        <v>1</v>
      </c>
      <c r="CU236" s="25">
        <f t="shared" si="334"/>
        <v>1</v>
      </c>
      <c r="CV236" s="25">
        <f t="shared" si="335"/>
        <v>1</v>
      </c>
      <c r="CW236" s="25">
        <f t="shared" si="336"/>
        <v>1</v>
      </c>
      <c r="CX236" s="25">
        <f t="shared" si="337"/>
        <v>0</v>
      </c>
      <c r="CY236" s="25">
        <f t="shared" si="338"/>
        <v>0</v>
      </c>
      <c r="CZ236" s="25">
        <f t="shared" si="339"/>
        <v>0</v>
      </c>
      <c r="DA236" s="25">
        <f t="shared" si="340"/>
        <v>1</v>
      </c>
      <c r="DB236" s="25">
        <f t="shared" si="290"/>
        <v>1</v>
      </c>
      <c r="DC236" s="25">
        <f t="shared" si="341"/>
        <v>0</v>
      </c>
      <c r="DD236" s="25">
        <f>IF(OR($AD236&lt;&gt;3,F236="Exclude"),0,IF(ISERROR(MATCH($E236,'4 Sign-off'!$S$123:$X$123,0)),0,1))</f>
        <v>0</v>
      </c>
      <c r="DE236" s="25">
        <f t="shared" si="763"/>
        <v>0</v>
      </c>
      <c r="DF236" s="25">
        <f t="shared" si="342"/>
        <v>0</v>
      </c>
      <c r="DG236" s="25" t="str">
        <f t="shared" si="343"/>
        <v/>
      </c>
      <c r="DH236" s="25">
        <f t="shared" si="344"/>
        <v>0</v>
      </c>
      <c r="DI236" s="25">
        <f t="shared" si="345"/>
        <v>0</v>
      </c>
      <c r="DJ236" s="25">
        <f>IF(ISBLANK(J236),0,ISERROR(MATCH(J236,'5  Control Accounts'!$FA$29:$FA$96,0))*1)</f>
        <v>0</v>
      </c>
      <c r="DK236" s="25">
        <f t="shared" si="346"/>
        <v>0</v>
      </c>
      <c r="DL236" s="25">
        <f t="shared" si="292"/>
        <v>-1</v>
      </c>
      <c r="DM236" s="25" t="e">
        <f t="array" ref="DM236">MATCH(1,($EG236:$JD236&gt;0)*$EG$17:$JD$17,0)</f>
        <v>#N/A</v>
      </c>
      <c r="DN236" s="25" t="e">
        <f t="shared" si="551"/>
        <v>#N/A</v>
      </c>
      <c r="DO236" s="25" t="e">
        <f t="array" ref="DO236">MATCH(2,1/(EG236:JD236&gt;0))</f>
        <v>#N/A</v>
      </c>
      <c r="DP236" s="2993">
        <f t="shared" si="347"/>
        <v>0</v>
      </c>
      <c r="DQ236" s="3037">
        <f t="shared" si="348"/>
        <v>0</v>
      </c>
      <c r="DR236" s="111"/>
      <c r="DS236" s="1268">
        <f t="shared" si="743"/>
        <v>0</v>
      </c>
      <c r="DT236" s="1825"/>
      <c r="DU236" s="1826"/>
      <c r="DV236" s="1827"/>
      <c r="DW236" s="1828"/>
      <c r="DX236" s="659"/>
      <c r="DY236" s="1265"/>
      <c r="DZ236" s="1785">
        <f t="shared" si="294"/>
        <v>0</v>
      </c>
      <c r="EA236" s="1786">
        <f t="shared" si="295"/>
        <v>0</v>
      </c>
      <c r="EB236" s="1781">
        <f t="shared" si="552"/>
        <v>0</v>
      </c>
      <c r="EC236" s="1782">
        <f t="shared" si="553"/>
        <v>0</v>
      </c>
      <c r="ED236" s="1262"/>
      <c r="EE236" s="2280"/>
      <c r="EF236" s="1802"/>
      <c r="EG236" s="167"/>
      <c r="EH236" s="168"/>
      <c r="EI236" s="168"/>
      <c r="EJ236" s="168"/>
      <c r="EK236" s="168"/>
      <c r="EL236" s="168"/>
      <c r="EM236" s="168"/>
      <c r="EN236" s="168"/>
      <c r="EO236" s="168"/>
      <c r="EP236" s="168"/>
      <c r="EQ236" s="168"/>
      <c r="ER236" s="168"/>
      <c r="ES236" s="168"/>
      <c r="ET236" s="168"/>
      <c r="EU236" s="168"/>
      <c r="EV236" s="168"/>
      <c r="EW236" s="168"/>
      <c r="EX236" s="168"/>
      <c r="EY236" s="168"/>
      <c r="EZ236" s="168"/>
      <c r="FA236" s="168"/>
      <c r="FB236" s="168"/>
      <c r="FC236" s="168"/>
      <c r="FD236" s="168"/>
      <c r="FE236" s="168"/>
      <c r="FF236" s="168"/>
      <c r="FG236" s="168"/>
      <c r="FH236" s="168"/>
      <c r="FI236" s="168"/>
      <c r="FJ236" s="168"/>
      <c r="FK236" s="168"/>
      <c r="FL236" s="168"/>
      <c r="FM236" s="168"/>
      <c r="FN236" s="168"/>
      <c r="FO236" s="168"/>
      <c r="FP236" s="168"/>
      <c r="FQ236" s="168"/>
      <c r="FR236" s="168"/>
      <c r="FS236" s="168"/>
      <c r="FT236" s="168"/>
      <c r="FU236" s="168"/>
      <c r="FV236" s="168"/>
      <c r="FW236" s="168"/>
      <c r="FX236" s="168"/>
      <c r="FY236" s="168"/>
      <c r="FZ236" s="168"/>
      <c r="GA236" s="168"/>
      <c r="GB236" s="168"/>
      <c r="GC236" s="168"/>
      <c r="GD236" s="168"/>
      <c r="GE236" s="168"/>
      <c r="GF236" s="168"/>
      <c r="GG236" s="168"/>
      <c r="GH236" s="168"/>
      <c r="GI236" s="168"/>
      <c r="GJ236" s="168"/>
      <c r="GK236" s="168"/>
      <c r="GL236" s="168"/>
      <c r="GM236" s="168"/>
      <c r="GN236" s="168"/>
      <c r="GO236" s="168"/>
      <c r="GP236" s="168"/>
      <c r="GQ236" s="168"/>
      <c r="GR236" s="168"/>
      <c r="GS236" s="168"/>
      <c r="GT236" s="168"/>
      <c r="GU236" s="168"/>
      <c r="GV236" s="168"/>
      <c r="GW236" s="168"/>
      <c r="GX236" s="168"/>
      <c r="GY236" s="168"/>
      <c r="GZ236" s="168"/>
      <c r="HA236" s="168"/>
      <c r="HB236" s="168"/>
      <c r="HC236" s="168"/>
      <c r="HD236" s="168"/>
      <c r="HE236" s="168"/>
      <c r="HF236" s="168"/>
      <c r="HG236" s="168"/>
      <c r="HH236" s="168"/>
      <c r="HI236" s="168"/>
      <c r="HJ236" s="168"/>
      <c r="HK236" s="168"/>
      <c r="HL236" s="168"/>
      <c r="HM236" s="168"/>
      <c r="HN236" s="168"/>
      <c r="HO236" s="168"/>
      <c r="HP236" s="168"/>
      <c r="HQ236" s="168"/>
      <c r="HR236" s="168"/>
      <c r="HS236" s="168"/>
      <c r="HT236" s="168"/>
      <c r="HU236" s="168"/>
      <c r="HV236" s="168"/>
      <c r="HW236" s="168"/>
      <c r="HX236" s="168"/>
      <c r="HY236" s="168"/>
      <c r="HZ236" s="168"/>
      <c r="IA236" s="168"/>
      <c r="IB236" s="168"/>
      <c r="IC236" s="168"/>
      <c r="ID236" s="168"/>
      <c r="IE236" s="168"/>
      <c r="IF236" s="168"/>
      <c r="IG236" s="168"/>
      <c r="IH236" s="168"/>
      <c r="II236" s="168"/>
      <c r="IJ236" s="168"/>
      <c r="IK236" s="168"/>
      <c r="IL236" s="168"/>
      <c r="IM236" s="168"/>
      <c r="IN236" s="168"/>
      <c r="IO236" s="168"/>
      <c r="IP236" s="168"/>
      <c r="IQ236" s="168"/>
      <c r="IR236" s="168"/>
      <c r="IS236" s="168"/>
      <c r="IT236" s="168"/>
      <c r="IU236" s="168"/>
      <c r="IV236" s="168"/>
      <c r="IW236" s="168"/>
      <c r="IX236" s="168"/>
      <c r="IY236" s="168"/>
      <c r="IZ236" s="168"/>
      <c r="JA236" s="168"/>
      <c r="JB236" s="168"/>
      <c r="JC236" s="606"/>
      <c r="JD236" s="609"/>
      <c r="JE236" s="1"/>
      <c r="JF236" s="1"/>
    </row>
    <row r="237" spans="1:266" s="2" customFormat="1" ht="15" customHeight="1" x14ac:dyDescent="0.25">
      <c r="A237" s="283"/>
      <c r="B237" s="303"/>
      <c r="C237" s="301"/>
      <c r="D237" s="638"/>
      <c r="E237" s="2298"/>
      <c r="F237" s="1812"/>
      <c r="G237" s="3342"/>
      <c r="H237" s="66"/>
      <c r="I237" s="1746"/>
      <c r="J237" s="86"/>
      <c r="K237" s="105"/>
      <c r="L237" s="91"/>
      <c r="M237" s="92"/>
      <c r="N237" s="93"/>
      <c r="O237" s="94"/>
      <c r="P237" s="96"/>
      <c r="Q237" s="95"/>
      <c r="R237" s="993">
        <f t="shared" si="284"/>
        <v>0</v>
      </c>
      <c r="S237" s="23">
        <f t="shared" si="298"/>
        <v>0</v>
      </c>
      <c r="T237" s="24">
        <f t="shared" si="299"/>
        <v>0</v>
      </c>
      <c r="U237" s="24">
        <f t="shared" si="300"/>
        <v>0</v>
      </c>
      <c r="V237" s="24">
        <f t="shared" si="301"/>
        <v>0</v>
      </c>
      <c r="W237" s="24">
        <f t="shared" si="302"/>
        <v>0</v>
      </c>
      <c r="X237" s="72">
        <f t="shared" si="303"/>
        <v>0</v>
      </c>
      <c r="Y237" s="72">
        <f t="shared" si="304"/>
        <v>0</v>
      </c>
      <c r="Z237" s="24">
        <f t="shared" si="285"/>
        <v>0</v>
      </c>
      <c r="AA237" s="72">
        <f t="shared" si="305"/>
        <v>0</v>
      </c>
      <c r="AB237" s="24">
        <f t="shared" si="306"/>
        <v>0</v>
      </c>
      <c r="AC237" s="24" t="s">
        <v>5</v>
      </c>
      <c r="AD237" s="25">
        <f t="shared" si="286"/>
        <v>3</v>
      </c>
      <c r="AE237" s="25">
        <f t="shared" si="287"/>
        <v>0</v>
      </c>
      <c r="AF237" s="25">
        <f t="shared" si="288"/>
        <v>0</v>
      </c>
      <c r="AG237" s="25">
        <f t="shared" si="307"/>
        <v>1</v>
      </c>
      <c r="AH237" s="25" t="str">
        <f>IFERROR(MATCH(DY237,'2 Staff List'!$IA$64:$IA$114,0),"x")</f>
        <v>x</v>
      </c>
      <c r="AI237" s="1181">
        <f>IFERROR(INDEX('2 Staff List'!$EX$64:$EX$114,$AH237),0)</f>
        <v>0</v>
      </c>
      <c r="AJ237" s="25">
        <f>IFERROR(INDEX('2 Staff List'!$IW$64:$IW$114,$AH237),0)</f>
        <v>0</v>
      </c>
      <c r="AK237" s="25">
        <f>IFERROR(INDEX('2 Staff List'!$IB$64:$IB$114,$AH237),0)</f>
        <v>0</v>
      </c>
      <c r="AL237" s="25">
        <f>IF(OR(NOT(ISBLANK(DV237)),CX237=1),"&lt;Non-Labor&gt;",IFERROR(IF(AH237=0,0,INDEX('2 Staff List'!$HZ$64:$HZ$114,$AH237)),0))</f>
        <v>0</v>
      </c>
      <c r="AM237" s="25">
        <f>IFERROR(INDEX('2 Staff List'!$HW$64:$HW$114,$AH237),0)</f>
        <v>0</v>
      </c>
      <c r="AN237" s="25">
        <f t="shared" si="308"/>
        <v>1</v>
      </c>
      <c r="AO237" s="25">
        <f>IF($AO$127=0,0,IFERROR(INDEX('2 Staff List'!$JH$64:$JH$114,$AH237),0))</f>
        <v>0</v>
      </c>
      <c r="AP237" s="25">
        <f>IFERROR(INDEX('2 Staff List'!$HU$64:$HU$114,$AH237),0)</f>
        <v>0</v>
      </c>
      <c r="AQ237" s="25">
        <f t="shared" si="309"/>
        <v>0</v>
      </c>
      <c r="AR237" s="25">
        <f t="shared" si="310"/>
        <v>0</v>
      </c>
      <c r="AS237" s="25">
        <f t="shared" si="311"/>
        <v>0</v>
      </c>
      <c r="AT237" s="25">
        <f t="shared" si="312"/>
        <v>0</v>
      </c>
      <c r="AU237" s="25">
        <f t="shared" si="313"/>
        <v>0</v>
      </c>
      <c r="AV237" s="25">
        <f t="shared" si="314"/>
        <v>0</v>
      </c>
      <c r="AW237" s="25">
        <f t="shared" si="315"/>
        <v>0</v>
      </c>
      <c r="AX237" s="25">
        <f t="shared" si="316"/>
        <v>0</v>
      </c>
      <c r="AY237" s="25">
        <f t="shared" si="317"/>
        <v>0</v>
      </c>
      <c r="AZ237" s="25">
        <f t="shared" si="318"/>
        <v>0</v>
      </c>
      <c r="BA237" s="25">
        <f t="shared" si="319"/>
        <v>0</v>
      </c>
      <c r="BB237" s="25">
        <f t="shared" si="320"/>
        <v>0</v>
      </c>
      <c r="BC237" s="25">
        <f>IFERROR(INDEX('2 Staff List'!KS$64:KS$114,$AH237),0)</f>
        <v>0</v>
      </c>
      <c r="BD237" s="25">
        <f>IFERROR(INDEX('2 Staff List'!KT$64:KT$114,$AH237),0)</f>
        <v>0</v>
      </c>
      <c r="BE237" s="25">
        <f>IFERROR(INDEX('2 Staff List'!KU$64:KU$114,$AH237),0)</f>
        <v>0</v>
      </c>
      <c r="BF237" s="25">
        <f>IFERROR(INDEX('2 Staff List'!KV$64:KV$114,$AH237),0)</f>
        <v>0</v>
      </c>
      <c r="BG237" s="25">
        <f>IFERROR(INDEX('2 Staff List'!KW$64:KW$114,$AH237),0)</f>
        <v>0</v>
      </c>
      <c r="BH237" s="25">
        <f>IFERROR(INDEX('2 Staff List'!KX$64:KX$114,$AH237),0)</f>
        <v>0</v>
      </c>
      <c r="BI237" s="25">
        <f>IFERROR(INDEX('2 Staff List'!KY$64:KY$114,$AH237),0)</f>
        <v>0</v>
      </c>
      <c r="BJ237" s="25">
        <f>IFERROR(INDEX('2 Staff List'!KZ$64:KZ$114,$AH237),0)</f>
        <v>0</v>
      </c>
      <c r="BK237" s="25">
        <f>IFERROR(INDEX('2 Staff List'!LA$64:LA$114,$AH237),0)</f>
        <v>0</v>
      </c>
      <c r="BL237" s="25">
        <f>IFERROR(INDEX('2 Staff List'!LB$64:LB$114,$AH237),0)</f>
        <v>0</v>
      </c>
      <c r="BM237" s="25">
        <f>IFERROR(INDEX('2 Staff List'!FT$64:FT$114,$AH237),0)</f>
        <v>0</v>
      </c>
      <c r="BN237" s="25">
        <f>IFERROR(INDEX('2 Staff List'!FU$64:FU$114,$AH237),0)</f>
        <v>0</v>
      </c>
      <c r="BO237" s="25">
        <f>IFERROR(INDEX('2 Staff List'!FV$64:FV$114,$AH237),0)</f>
        <v>0</v>
      </c>
      <c r="BP237" s="25">
        <f>IFERROR(INDEX('2 Staff List'!FW$64:FW$114,$AH237),0)</f>
        <v>0</v>
      </c>
      <c r="BQ237" s="25">
        <f>IFERROR(INDEX('2 Staff List'!FX$64:FX$114,$AH237),0)</f>
        <v>0</v>
      </c>
      <c r="BR237" s="25">
        <f>IFERROR(INDEX('2 Staff List'!FY$64:FY$114,$AH237),0)</f>
        <v>0</v>
      </c>
      <c r="BS237" s="25">
        <f>IFERROR(INDEX('2 Staff List'!FZ$64:FZ$114,$AH237),0)</f>
        <v>0</v>
      </c>
      <c r="BT237" s="25">
        <f>IFERROR(INDEX('2 Staff List'!GA$64:GA$114,$AH237),0)</f>
        <v>0</v>
      </c>
      <c r="BU237" s="25">
        <f>IFERROR(INDEX('2 Staff List'!GB$64:GB$114,$AH237),0)</f>
        <v>0</v>
      </c>
      <c r="BV237" s="25">
        <f>IFERROR(INDEX('2 Staff List'!GC$64:GC$114,$AH237),0)</f>
        <v>0</v>
      </c>
      <c r="BW237" s="25">
        <f t="shared" si="321"/>
        <v>0</v>
      </c>
      <c r="BX237" s="25">
        <f t="shared" si="322"/>
        <v>0</v>
      </c>
      <c r="BY237" s="25">
        <f t="shared" si="323"/>
        <v>0</v>
      </c>
      <c r="BZ237" s="25">
        <f t="shared" si="324"/>
        <v>0</v>
      </c>
      <c r="CA237" s="25">
        <f t="shared" si="325"/>
        <v>0</v>
      </c>
      <c r="CB237" s="25">
        <f t="shared" si="326"/>
        <v>0</v>
      </c>
      <c r="CC237" s="25">
        <f t="shared" si="327"/>
        <v>0</v>
      </c>
      <c r="CD237" s="25">
        <f t="shared" si="328"/>
        <v>0</v>
      </c>
      <c r="CE237" s="25">
        <f t="shared" si="329"/>
        <v>0</v>
      </c>
      <c r="CF237" s="25">
        <f t="shared" si="330"/>
        <v>0</v>
      </c>
      <c r="CG237" s="25">
        <f t="shared" si="331"/>
        <v>0</v>
      </c>
      <c r="CH237" s="25">
        <f>IFERROR(INDEX('2 Staff List'!LO$64:LO$114,$AH237),0)</f>
        <v>0</v>
      </c>
      <c r="CI237" s="25">
        <f>IFERROR(INDEX('2 Staff List'!LP$64:LP$114,$AH237),0)</f>
        <v>0</v>
      </c>
      <c r="CJ237" s="25">
        <f>IFERROR(INDEX('2 Staff List'!LQ$64:LQ$114,$AH237),0)</f>
        <v>0</v>
      </c>
      <c r="CK237" s="25">
        <f>IFERROR(INDEX('2 Staff List'!LR$64:LR$114,$AH237),0)</f>
        <v>0</v>
      </c>
      <c r="CL237" s="25">
        <f>IFERROR(INDEX('2 Staff List'!LS$64:LS$114,$AH237),0)</f>
        <v>0</v>
      </c>
      <c r="CM237" s="25">
        <f>IFERROR(INDEX('2 Staff List'!LT$64:LT$114,$AH237),0)</f>
        <v>0</v>
      </c>
      <c r="CN237" s="25">
        <f>IFERROR(INDEX('2 Staff List'!LU$64:LU$114,$AH237),0)</f>
        <v>0</v>
      </c>
      <c r="CO237" s="25">
        <f>IFERROR(INDEX('2 Staff List'!LV$64:LV$114,$AH237),0)</f>
        <v>0</v>
      </c>
      <c r="CP237" s="25">
        <f>IFERROR(INDEX('2 Staff List'!LW$64:LW$114,$AH237),0)</f>
        <v>0</v>
      </c>
      <c r="CQ237" s="25">
        <f>IFERROR(INDEX('2 Staff List'!LX$64:LX$114,$AH237),0)</f>
        <v>0</v>
      </c>
      <c r="CR237" s="25">
        <f t="shared" si="289"/>
        <v>0</v>
      </c>
      <c r="CS237" s="25">
        <f t="shared" si="349"/>
        <v>1</v>
      </c>
      <c r="CT237" s="25">
        <f t="shared" si="333"/>
        <v>1</v>
      </c>
      <c r="CU237" s="25">
        <f t="shared" si="334"/>
        <v>1</v>
      </c>
      <c r="CV237" s="25">
        <f t="shared" si="335"/>
        <v>1</v>
      </c>
      <c r="CW237" s="25">
        <f t="shared" si="336"/>
        <v>1</v>
      </c>
      <c r="CX237" s="25">
        <f t="shared" si="337"/>
        <v>0</v>
      </c>
      <c r="CY237" s="25">
        <f t="shared" si="338"/>
        <v>0</v>
      </c>
      <c r="CZ237" s="25">
        <f t="shared" si="339"/>
        <v>0</v>
      </c>
      <c r="DA237" s="25">
        <f t="shared" si="340"/>
        <v>1</v>
      </c>
      <c r="DB237" s="25">
        <f t="shared" si="290"/>
        <v>1</v>
      </c>
      <c r="DC237" s="25">
        <f t="shared" si="341"/>
        <v>0</v>
      </c>
      <c r="DD237" s="25">
        <f>IF(OR($AD237&lt;&gt;3,F237="Exclude"),0,IF(ISERROR(MATCH($E237,'4 Sign-off'!$S$123:$X$123,0)),0,1))</f>
        <v>0</v>
      </c>
      <c r="DE237" s="25">
        <f t="shared" si="763"/>
        <v>0</v>
      </c>
      <c r="DF237" s="25">
        <f t="shared" si="342"/>
        <v>0</v>
      </c>
      <c r="DG237" s="25" t="str">
        <f t="shared" si="343"/>
        <v/>
      </c>
      <c r="DH237" s="25">
        <f t="shared" si="344"/>
        <v>0</v>
      </c>
      <c r="DI237" s="25">
        <f t="shared" si="345"/>
        <v>0</v>
      </c>
      <c r="DJ237" s="25">
        <f>IF(ISBLANK(J237),0,ISERROR(MATCH(J237,'5  Control Accounts'!$FA$29:$FA$96,0))*1)</f>
        <v>0</v>
      </c>
      <c r="DK237" s="25">
        <f t="shared" si="346"/>
        <v>0</v>
      </c>
      <c r="DL237" s="25">
        <f t="shared" si="292"/>
        <v>-1</v>
      </c>
      <c r="DM237" s="25" t="e">
        <f t="array" ref="DM237">MATCH(1,($EG237:$JD237&gt;0)*$EG$17:$JD$17,0)</f>
        <v>#N/A</v>
      </c>
      <c r="DN237" s="25" t="e">
        <f t="shared" si="551"/>
        <v>#N/A</v>
      </c>
      <c r="DO237" s="25" t="e">
        <f t="array" ref="DO237">MATCH(2,1/(EG237:JD237&gt;0))</f>
        <v>#N/A</v>
      </c>
      <c r="DP237" s="2993">
        <f t="shared" si="347"/>
        <v>0</v>
      </c>
      <c r="DQ237" s="3037">
        <f t="shared" si="348"/>
        <v>0</v>
      </c>
      <c r="DR237" s="111"/>
      <c r="DS237" s="1268">
        <f t="shared" si="743"/>
        <v>0</v>
      </c>
      <c r="DT237" s="1825"/>
      <c r="DU237" s="1826"/>
      <c r="DV237" s="1827"/>
      <c r="DW237" s="1828"/>
      <c r="DX237" s="659"/>
      <c r="DY237" s="1265"/>
      <c r="DZ237" s="1785">
        <f t="shared" si="294"/>
        <v>0</v>
      </c>
      <c r="EA237" s="1786">
        <f t="shared" si="295"/>
        <v>0</v>
      </c>
      <c r="EB237" s="1781">
        <f t="shared" si="552"/>
        <v>0</v>
      </c>
      <c r="EC237" s="1782">
        <f t="shared" si="553"/>
        <v>0</v>
      </c>
      <c r="ED237" s="1262"/>
      <c r="EE237" s="2280"/>
      <c r="EF237" s="1802"/>
      <c r="EG237" s="167"/>
      <c r="EH237" s="168"/>
      <c r="EI237" s="168"/>
      <c r="EJ237" s="168"/>
      <c r="EK237" s="168"/>
      <c r="EL237" s="168"/>
      <c r="EM237" s="168"/>
      <c r="EN237" s="168"/>
      <c r="EO237" s="168"/>
      <c r="EP237" s="168"/>
      <c r="EQ237" s="168"/>
      <c r="ER237" s="168"/>
      <c r="ES237" s="168"/>
      <c r="ET237" s="168"/>
      <c r="EU237" s="168"/>
      <c r="EV237" s="168"/>
      <c r="EW237" s="168"/>
      <c r="EX237" s="168"/>
      <c r="EY237" s="168"/>
      <c r="EZ237" s="168"/>
      <c r="FA237" s="168"/>
      <c r="FB237" s="168"/>
      <c r="FC237" s="168"/>
      <c r="FD237" s="168"/>
      <c r="FE237" s="168"/>
      <c r="FF237" s="168"/>
      <c r="FG237" s="168"/>
      <c r="FH237" s="168"/>
      <c r="FI237" s="168"/>
      <c r="FJ237" s="168"/>
      <c r="FK237" s="168"/>
      <c r="FL237" s="168"/>
      <c r="FM237" s="168"/>
      <c r="FN237" s="168"/>
      <c r="FO237" s="168"/>
      <c r="FP237" s="168"/>
      <c r="FQ237" s="168"/>
      <c r="FR237" s="168"/>
      <c r="FS237" s="168"/>
      <c r="FT237" s="168"/>
      <c r="FU237" s="168"/>
      <c r="FV237" s="168"/>
      <c r="FW237" s="168"/>
      <c r="FX237" s="168"/>
      <c r="FY237" s="168"/>
      <c r="FZ237" s="168"/>
      <c r="GA237" s="168"/>
      <c r="GB237" s="168"/>
      <c r="GC237" s="168"/>
      <c r="GD237" s="168"/>
      <c r="GE237" s="168"/>
      <c r="GF237" s="168"/>
      <c r="GG237" s="168"/>
      <c r="GH237" s="168"/>
      <c r="GI237" s="168"/>
      <c r="GJ237" s="168"/>
      <c r="GK237" s="168"/>
      <c r="GL237" s="168"/>
      <c r="GM237" s="168"/>
      <c r="GN237" s="168"/>
      <c r="GO237" s="168"/>
      <c r="GP237" s="168"/>
      <c r="GQ237" s="168"/>
      <c r="GR237" s="168"/>
      <c r="GS237" s="168"/>
      <c r="GT237" s="168"/>
      <c r="GU237" s="168"/>
      <c r="GV237" s="168"/>
      <c r="GW237" s="168"/>
      <c r="GX237" s="168"/>
      <c r="GY237" s="168"/>
      <c r="GZ237" s="168"/>
      <c r="HA237" s="168"/>
      <c r="HB237" s="168"/>
      <c r="HC237" s="168"/>
      <c r="HD237" s="168"/>
      <c r="HE237" s="168"/>
      <c r="HF237" s="168"/>
      <c r="HG237" s="168"/>
      <c r="HH237" s="168"/>
      <c r="HI237" s="168"/>
      <c r="HJ237" s="168"/>
      <c r="HK237" s="168"/>
      <c r="HL237" s="168"/>
      <c r="HM237" s="168"/>
      <c r="HN237" s="168"/>
      <c r="HO237" s="168"/>
      <c r="HP237" s="168"/>
      <c r="HQ237" s="168"/>
      <c r="HR237" s="168"/>
      <c r="HS237" s="168"/>
      <c r="HT237" s="168"/>
      <c r="HU237" s="168"/>
      <c r="HV237" s="168"/>
      <c r="HW237" s="168"/>
      <c r="HX237" s="168"/>
      <c r="HY237" s="168"/>
      <c r="HZ237" s="168"/>
      <c r="IA237" s="168"/>
      <c r="IB237" s="168"/>
      <c r="IC237" s="168"/>
      <c r="ID237" s="168"/>
      <c r="IE237" s="168"/>
      <c r="IF237" s="168"/>
      <c r="IG237" s="168"/>
      <c r="IH237" s="168"/>
      <c r="II237" s="168"/>
      <c r="IJ237" s="168"/>
      <c r="IK237" s="168"/>
      <c r="IL237" s="168"/>
      <c r="IM237" s="168"/>
      <c r="IN237" s="168"/>
      <c r="IO237" s="168"/>
      <c r="IP237" s="168"/>
      <c r="IQ237" s="168"/>
      <c r="IR237" s="168"/>
      <c r="IS237" s="168"/>
      <c r="IT237" s="168"/>
      <c r="IU237" s="168"/>
      <c r="IV237" s="168"/>
      <c r="IW237" s="168"/>
      <c r="IX237" s="168"/>
      <c r="IY237" s="168"/>
      <c r="IZ237" s="168"/>
      <c r="JA237" s="168"/>
      <c r="JB237" s="168"/>
      <c r="JC237" s="606"/>
      <c r="JD237" s="609"/>
      <c r="JE237" s="1"/>
      <c r="JF237" s="1"/>
    </row>
    <row r="238" spans="1:266" s="2" customFormat="1" ht="15" customHeight="1" x14ac:dyDescent="0.25">
      <c r="A238" s="283"/>
      <c r="B238" s="303"/>
      <c r="C238" s="301"/>
      <c r="D238" s="638"/>
      <c r="E238" s="2298"/>
      <c r="F238" s="1812"/>
      <c r="G238" s="3342"/>
      <c r="H238" s="66"/>
      <c r="I238" s="1746"/>
      <c r="J238" s="86"/>
      <c r="K238" s="105"/>
      <c r="L238" s="91"/>
      <c r="M238" s="92"/>
      <c r="N238" s="93"/>
      <c r="O238" s="94"/>
      <c r="P238" s="96"/>
      <c r="Q238" s="95"/>
      <c r="R238" s="993">
        <f t="shared" si="284"/>
        <v>0</v>
      </c>
      <c r="S238" s="23">
        <f t="shared" si="298"/>
        <v>0</v>
      </c>
      <c r="T238" s="24">
        <f t="shared" si="299"/>
        <v>0</v>
      </c>
      <c r="U238" s="24">
        <f t="shared" si="300"/>
        <v>0</v>
      </c>
      <c r="V238" s="24">
        <f t="shared" si="301"/>
        <v>0</v>
      </c>
      <c r="W238" s="24">
        <f t="shared" si="302"/>
        <v>0</v>
      </c>
      <c r="X238" s="72">
        <f t="shared" si="303"/>
        <v>0</v>
      </c>
      <c r="Y238" s="72">
        <f t="shared" si="304"/>
        <v>0</v>
      </c>
      <c r="Z238" s="24">
        <f t="shared" si="285"/>
        <v>0</v>
      </c>
      <c r="AA238" s="72">
        <f t="shared" si="305"/>
        <v>0</v>
      </c>
      <c r="AB238" s="24">
        <f t="shared" si="306"/>
        <v>0</v>
      </c>
      <c r="AC238" s="24" t="s">
        <v>5</v>
      </c>
      <c r="AD238" s="25">
        <f t="shared" ref="AD238:AD269" si="764">IF(N238="",3,IF(AND(L238&gt;0,M238&gt;0),2,1))</f>
        <v>3</v>
      </c>
      <c r="AE238" s="25">
        <f t="shared" ref="AE238:AE269" si="765">IF(AND(ISNUMBER(VALUE(L238)),RIGHT(L238,1)="0"),(L238+0.00001),L238)</f>
        <v>0</v>
      </c>
      <c r="AF238" s="25">
        <f t="shared" ref="AF238:AF269" si="766">IF(AND(ISNUMBER(VALUE(M238)),RIGHT(M238,1)="0"),(M238+0.00001),M238)</f>
        <v>0</v>
      </c>
      <c r="AG238" s="25">
        <f t="shared" si="307"/>
        <v>1</v>
      </c>
      <c r="AH238" s="25" t="str">
        <f>IFERROR(MATCH(DY238,'2 Staff List'!$IA$64:$IA$114,0),"x")</f>
        <v>x</v>
      </c>
      <c r="AI238" s="1181">
        <f>IFERROR(INDEX('2 Staff List'!$EX$64:$EX$114,$AH238),0)</f>
        <v>0</v>
      </c>
      <c r="AJ238" s="25">
        <f>IFERROR(INDEX('2 Staff List'!$IW$64:$IW$114,$AH238),0)</f>
        <v>0</v>
      </c>
      <c r="AK238" s="25">
        <f>IFERROR(INDEX('2 Staff List'!$IB$64:$IB$114,$AH238),0)</f>
        <v>0</v>
      </c>
      <c r="AL238" s="25">
        <f>IF(OR(NOT(ISBLANK(DV238)),CX238=1),"&lt;Non-Labor&gt;",IFERROR(IF(AH238=0,0,INDEX('2 Staff List'!$HZ$64:$HZ$114,$AH238)),0))</f>
        <v>0</v>
      </c>
      <c r="AM238" s="25">
        <f>IFERROR(INDEX('2 Staff List'!$HW$64:$HW$114,$AH238),0)</f>
        <v>0</v>
      </c>
      <c r="AN238" s="25">
        <f t="shared" si="308"/>
        <v>1</v>
      </c>
      <c r="AO238" s="25">
        <f>IF($AO$127=0,0,IFERROR(INDEX('2 Staff List'!$JH$64:$JH$114,$AH238),0))</f>
        <v>0</v>
      </c>
      <c r="AP238" s="25">
        <f>IFERROR(INDEX('2 Staff List'!$HU$64:$HU$114,$AH238),0)</f>
        <v>0</v>
      </c>
      <c r="AQ238" s="25">
        <f t="shared" si="309"/>
        <v>0</v>
      </c>
      <c r="AR238" s="25">
        <f t="shared" si="310"/>
        <v>0</v>
      </c>
      <c r="AS238" s="25">
        <f t="shared" si="311"/>
        <v>0</v>
      </c>
      <c r="AT238" s="25">
        <f t="shared" si="312"/>
        <v>0</v>
      </c>
      <c r="AU238" s="25">
        <f t="shared" si="313"/>
        <v>0</v>
      </c>
      <c r="AV238" s="25">
        <f t="shared" si="314"/>
        <v>0</v>
      </c>
      <c r="AW238" s="25">
        <f t="shared" si="315"/>
        <v>0</v>
      </c>
      <c r="AX238" s="25">
        <f t="shared" si="316"/>
        <v>0</v>
      </c>
      <c r="AY238" s="25">
        <f t="shared" si="317"/>
        <v>0</v>
      </c>
      <c r="AZ238" s="25">
        <f t="shared" si="318"/>
        <v>0</v>
      </c>
      <c r="BA238" s="25">
        <f t="shared" si="319"/>
        <v>0</v>
      </c>
      <c r="BB238" s="25">
        <f t="shared" si="320"/>
        <v>0</v>
      </c>
      <c r="BC238" s="25">
        <f>IFERROR(INDEX('2 Staff List'!KS$64:KS$114,$AH238),0)</f>
        <v>0</v>
      </c>
      <c r="BD238" s="25">
        <f>IFERROR(INDEX('2 Staff List'!KT$64:KT$114,$AH238),0)</f>
        <v>0</v>
      </c>
      <c r="BE238" s="25">
        <f>IFERROR(INDEX('2 Staff List'!KU$64:KU$114,$AH238),0)</f>
        <v>0</v>
      </c>
      <c r="BF238" s="25">
        <f>IFERROR(INDEX('2 Staff List'!KV$64:KV$114,$AH238),0)</f>
        <v>0</v>
      </c>
      <c r="BG238" s="25">
        <f>IFERROR(INDEX('2 Staff List'!KW$64:KW$114,$AH238),0)</f>
        <v>0</v>
      </c>
      <c r="BH238" s="25">
        <f>IFERROR(INDEX('2 Staff List'!KX$64:KX$114,$AH238),0)</f>
        <v>0</v>
      </c>
      <c r="BI238" s="25">
        <f>IFERROR(INDEX('2 Staff List'!KY$64:KY$114,$AH238),0)</f>
        <v>0</v>
      </c>
      <c r="BJ238" s="25">
        <f>IFERROR(INDEX('2 Staff List'!KZ$64:KZ$114,$AH238),0)</f>
        <v>0</v>
      </c>
      <c r="BK238" s="25">
        <f>IFERROR(INDEX('2 Staff List'!LA$64:LA$114,$AH238),0)</f>
        <v>0</v>
      </c>
      <c r="BL238" s="25">
        <f>IFERROR(INDEX('2 Staff List'!LB$64:LB$114,$AH238),0)</f>
        <v>0</v>
      </c>
      <c r="BM238" s="25">
        <f>IFERROR(INDEX('2 Staff List'!FT$64:FT$114,$AH238),0)</f>
        <v>0</v>
      </c>
      <c r="BN238" s="25">
        <f>IFERROR(INDEX('2 Staff List'!FU$64:FU$114,$AH238),0)</f>
        <v>0</v>
      </c>
      <c r="BO238" s="25">
        <f>IFERROR(INDEX('2 Staff List'!FV$64:FV$114,$AH238),0)</f>
        <v>0</v>
      </c>
      <c r="BP238" s="25">
        <f>IFERROR(INDEX('2 Staff List'!FW$64:FW$114,$AH238),0)</f>
        <v>0</v>
      </c>
      <c r="BQ238" s="25">
        <f>IFERROR(INDEX('2 Staff List'!FX$64:FX$114,$AH238),0)</f>
        <v>0</v>
      </c>
      <c r="BR238" s="25">
        <f>IFERROR(INDEX('2 Staff List'!FY$64:FY$114,$AH238),0)</f>
        <v>0</v>
      </c>
      <c r="BS238" s="25">
        <f>IFERROR(INDEX('2 Staff List'!FZ$64:FZ$114,$AH238),0)</f>
        <v>0</v>
      </c>
      <c r="BT238" s="25">
        <f>IFERROR(INDEX('2 Staff List'!GA$64:GA$114,$AH238),0)</f>
        <v>0</v>
      </c>
      <c r="BU238" s="25">
        <f>IFERROR(INDEX('2 Staff List'!GB$64:GB$114,$AH238),0)</f>
        <v>0</v>
      </c>
      <c r="BV238" s="25">
        <f>IFERROR(INDEX('2 Staff List'!GC$64:GC$114,$AH238),0)</f>
        <v>0</v>
      </c>
      <c r="BW238" s="25">
        <f t="shared" si="321"/>
        <v>0</v>
      </c>
      <c r="BX238" s="25">
        <f t="shared" si="322"/>
        <v>0</v>
      </c>
      <c r="BY238" s="25">
        <f t="shared" si="323"/>
        <v>0</v>
      </c>
      <c r="BZ238" s="25">
        <f t="shared" si="324"/>
        <v>0</v>
      </c>
      <c r="CA238" s="25">
        <f t="shared" si="325"/>
        <v>0</v>
      </c>
      <c r="CB238" s="25">
        <f t="shared" si="326"/>
        <v>0</v>
      </c>
      <c r="CC238" s="25">
        <f t="shared" si="327"/>
        <v>0</v>
      </c>
      <c r="CD238" s="25">
        <f t="shared" si="328"/>
        <v>0</v>
      </c>
      <c r="CE238" s="25">
        <f t="shared" si="329"/>
        <v>0</v>
      </c>
      <c r="CF238" s="25">
        <f t="shared" si="330"/>
        <v>0</v>
      </c>
      <c r="CG238" s="25">
        <f t="shared" si="331"/>
        <v>0</v>
      </c>
      <c r="CH238" s="25">
        <f>IFERROR(INDEX('2 Staff List'!LO$64:LO$114,$AH238),0)</f>
        <v>0</v>
      </c>
      <c r="CI238" s="25">
        <f>IFERROR(INDEX('2 Staff List'!LP$64:LP$114,$AH238),0)</f>
        <v>0</v>
      </c>
      <c r="CJ238" s="25">
        <f>IFERROR(INDEX('2 Staff List'!LQ$64:LQ$114,$AH238),0)</f>
        <v>0</v>
      </c>
      <c r="CK238" s="25">
        <f>IFERROR(INDEX('2 Staff List'!LR$64:LR$114,$AH238),0)</f>
        <v>0</v>
      </c>
      <c r="CL238" s="25">
        <f>IFERROR(INDEX('2 Staff List'!LS$64:LS$114,$AH238),0)</f>
        <v>0</v>
      </c>
      <c r="CM238" s="25">
        <f>IFERROR(INDEX('2 Staff List'!LT$64:LT$114,$AH238),0)</f>
        <v>0</v>
      </c>
      <c r="CN238" s="25">
        <f>IFERROR(INDEX('2 Staff List'!LU$64:LU$114,$AH238),0)</f>
        <v>0</v>
      </c>
      <c r="CO238" s="25">
        <f>IFERROR(INDEX('2 Staff List'!LV$64:LV$114,$AH238),0)</f>
        <v>0</v>
      </c>
      <c r="CP238" s="25">
        <f>IFERROR(INDEX('2 Staff List'!LW$64:LW$114,$AH238),0)</f>
        <v>0</v>
      </c>
      <c r="CQ238" s="25">
        <f>IFERROR(INDEX('2 Staff List'!LX$64:LX$114,$AH238),0)</f>
        <v>0</v>
      </c>
      <c r="CR238" s="25">
        <f t="shared" si="289"/>
        <v>0</v>
      </c>
      <c r="CS238" s="25">
        <f t="shared" si="349"/>
        <v>1</v>
      </c>
      <c r="CT238" s="25">
        <f t="shared" si="333"/>
        <v>1</v>
      </c>
      <c r="CU238" s="25">
        <f t="shared" si="334"/>
        <v>1</v>
      </c>
      <c r="CV238" s="25">
        <f t="shared" si="335"/>
        <v>1</v>
      </c>
      <c r="CW238" s="25">
        <f t="shared" si="336"/>
        <v>1</v>
      </c>
      <c r="CX238" s="25">
        <f t="shared" si="337"/>
        <v>0</v>
      </c>
      <c r="CY238" s="25">
        <f t="shared" si="338"/>
        <v>0</v>
      </c>
      <c r="CZ238" s="25">
        <f t="shared" si="339"/>
        <v>0</v>
      </c>
      <c r="DA238" s="25">
        <f t="shared" si="340"/>
        <v>1</v>
      </c>
      <c r="DB238" s="25">
        <f t="shared" ref="DB238:DB269" si="767">IF($AD238&lt;&gt;3,0,IF(F238="",1,0))</f>
        <v>1</v>
      </c>
      <c r="DC238" s="25">
        <f t="shared" si="341"/>
        <v>0</v>
      </c>
      <c r="DD238" s="25">
        <f>IF(OR($AD238&lt;&gt;3,F238="Exclude"),0,IF(ISERROR(MATCH($E238,'4 Sign-off'!$S$123:$X$123,0)),0,1))</f>
        <v>0</v>
      </c>
      <c r="DE238" s="25">
        <f t="shared" si="763"/>
        <v>0</v>
      </c>
      <c r="DF238" s="25">
        <f t="shared" si="342"/>
        <v>0</v>
      </c>
      <c r="DG238" s="25" t="str">
        <f t="shared" si="343"/>
        <v/>
      </c>
      <c r="DH238" s="25">
        <f t="shared" si="344"/>
        <v>0</v>
      </c>
      <c r="DI238" s="25">
        <f t="shared" si="345"/>
        <v>0</v>
      </c>
      <c r="DJ238" s="25">
        <f>IF(ISBLANK(J238),0,ISERROR(MATCH(J238,'5  Control Accounts'!$FA$29:$FA$96,0))*1)</f>
        <v>0</v>
      </c>
      <c r="DK238" s="25">
        <f t="shared" si="346"/>
        <v>0</v>
      </c>
      <c r="DL238" s="25">
        <f t="shared" ref="DL238:DL269" si="768">IF(OR((T238+U238)&gt;0,(AA238+AB238)&gt;0),J238,-1)</f>
        <v>-1</v>
      </c>
      <c r="DM238" s="25" t="e">
        <f t="array" ref="DM238">MATCH(1,($EG238:$JD238&gt;0)*$EG$17:$JD$17,0)</f>
        <v>#N/A</v>
      </c>
      <c r="DN238" s="25" t="e">
        <f t="shared" si="551"/>
        <v>#N/A</v>
      </c>
      <c r="DO238" s="25" t="e">
        <f t="array" ref="DO238">MATCH(2,1/(EG238:JD238&gt;0))</f>
        <v>#N/A</v>
      </c>
      <c r="DP238" s="2993">
        <f t="shared" si="347"/>
        <v>0</v>
      </c>
      <c r="DQ238" s="3037">
        <f t="shared" si="348"/>
        <v>0</v>
      </c>
      <c r="DR238" s="111"/>
      <c r="DS238" s="1268">
        <f t="shared" si="743"/>
        <v>0</v>
      </c>
      <c r="DT238" s="1825"/>
      <c r="DU238" s="1826"/>
      <c r="DV238" s="1827"/>
      <c r="DW238" s="1828"/>
      <c r="DX238" s="659"/>
      <c r="DY238" s="1265"/>
      <c r="DZ238" s="1785">
        <f t="shared" si="294"/>
        <v>0</v>
      </c>
      <c r="EA238" s="1786">
        <f t="shared" si="295"/>
        <v>0</v>
      </c>
      <c r="EB238" s="1781">
        <f t="shared" si="552"/>
        <v>0</v>
      </c>
      <c r="EC238" s="1782">
        <f t="shared" si="553"/>
        <v>0</v>
      </c>
      <c r="ED238" s="1262"/>
      <c r="EE238" s="2280"/>
      <c r="EF238" s="1802"/>
      <c r="EG238" s="167"/>
      <c r="EH238" s="168"/>
      <c r="EI238" s="168"/>
      <c r="EJ238" s="168"/>
      <c r="EK238" s="168"/>
      <c r="EL238" s="168"/>
      <c r="EM238" s="168"/>
      <c r="EN238" s="168"/>
      <c r="EO238" s="168"/>
      <c r="EP238" s="168"/>
      <c r="EQ238" s="168"/>
      <c r="ER238" s="168"/>
      <c r="ES238" s="168"/>
      <c r="ET238" s="168"/>
      <c r="EU238" s="168"/>
      <c r="EV238" s="168"/>
      <c r="EW238" s="168"/>
      <c r="EX238" s="168"/>
      <c r="EY238" s="168"/>
      <c r="EZ238" s="168"/>
      <c r="FA238" s="168"/>
      <c r="FB238" s="168"/>
      <c r="FC238" s="168"/>
      <c r="FD238" s="168"/>
      <c r="FE238" s="168"/>
      <c r="FF238" s="168"/>
      <c r="FG238" s="168"/>
      <c r="FH238" s="168"/>
      <c r="FI238" s="168"/>
      <c r="FJ238" s="168"/>
      <c r="FK238" s="168"/>
      <c r="FL238" s="168"/>
      <c r="FM238" s="168"/>
      <c r="FN238" s="168"/>
      <c r="FO238" s="168"/>
      <c r="FP238" s="168"/>
      <c r="FQ238" s="168"/>
      <c r="FR238" s="168"/>
      <c r="FS238" s="168"/>
      <c r="FT238" s="168"/>
      <c r="FU238" s="168"/>
      <c r="FV238" s="168"/>
      <c r="FW238" s="168"/>
      <c r="FX238" s="168"/>
      <c r="FY238" s="168"/>
      <c r="FZ238" s="168"/>
      <c r="GA238" s="168"/>
      <c r="GB238" s="168"/>
      <c r="GC238" s="168"/>
      <c r="GD238" s="168"/>
      <c r="GE238" s="168"/>
      <c r="GF238" s="168"/>
      <c r="GG238" s="168"/>
      <c r="GH238" s="168"/>
      <c r="GI238" s="168"/>
      <c r="GJ238" s="168"/>
      <c r="GK238" s="168"/>
      <c r="GL238" s="168"/>
      <c r="GM238" s="168"/>
      <c r="GN238" s="168"/>
      <c r="GO238" s="168"/>
      <c r="GP238" s="168"/>
      <c r="GQ238" s="168"/>
      <c r="GR238" s="168"/>
      <c r="GS238" s="168"/>
      <c r="GT238" s="168"/>
      <c r="GU238" s="168"/>
      <c r="GV238" s="168"/>
      <c r="GW238" s="168"/>
      <c r="GX238" s="168"/>
      <c r="GY238" s="168"/>
      <c r="GZ238" s="168"/>
      <c r="HA238" s="168"/>
      <c r="HB238" s="168"/>
      <c r="HC238" s="168"/>
      <c r="HD238" s="168"/>
      <c r="HE238" s="168"/>
      <c r="HF238" s="168"/>
      <c r="HG238" s="168"/>
      <c r="HH238" s="168"/>
      <c r="HI238" s="168"/>
      <c r="HJ238" s="168"/>
      <c r="HK238" s="168"/>
      <c r="HL238" s="168"/>
      <c r="HM238" s="168"/>
      <c r="HN238" s="168"/>
      <c r="HO238" s="168"/>
      <c r="HP238" s="168"/>
      <c r="HQ238" s="168"/>
      <c r="HR238" s="168"/>
      <c r="HS238" s="168"/>
      <c r="HT238" s="168"/>
      <c r="HU238" s="168"/>
      <c r="HV238" s="168"/>
      <c r="HW238" s="168"/>
      <c r="HX238" s="168"/>
      <c r="HY238" s="168"/>
      <c r="HZ238" s="168"/>
      <c r="IA238" s="168"/>
      <c r="IB238" s="168"/>
      <c r="IC238" s="168"/>
      <c r="ID238" s="168"/>
      <c r="IE238" s="168"/>
      <c r="IF238" s="168"/>
      <c r="IG238" s="168"/>
      <c r="IH238" s="168"/>
      <c r="II238" s="168"/>
      <c r="IJ238" s="168"/>
      <c r="IK238" s="168"/>
      <c r="IL238" s="168"/>
      <c r="IM238" s="168"/>
      <c r="IN238" s="168"/>
      <c r="IO238" s="168"/>
      <c r="IP238" s="168"/>
      <c r="IQ238" s="168"/>
      <c r="IR238" s="168"/>
      <c r="IS238" s="168"/>
      <c r="IT238" s="168"/>
      <c r="IU238" s="168"/>
      <c r="IV238" s="168"/>
      <c r="IW238" s="168"/>
      <c r="IX238" s="168"/>
      <c r="IY238" s="168"/>
      <c r="IZ238" s="168"/>
      <c r="JA238" s="168"/>
      <c r="JB238" s="168"/>
      <c r="JC238" s="606"/>
      <c r="JD238" s="609"/>
      <c r="JE238" s="1"/>
      <c r="JF238" s="1"/>
    </row>
    <row r="239" spans="1:266" s="2" customFormat="1" ht="15" customHeight="1" x14ac:dyDescent="0.25">
      <c r="A239" s="283"/>
      <c r="B239" s="303"/>
      <c r="C239" s="301"/>
      <c r="D239" s="638"/>
      <c r="E239" s="2298"/>
      <c r="F239" s="1812"/>
      <c r="G239" s="3342"/>
      <c r="H239" s="66"/>
      <c r="I239" s="1746"/>
      <c r="J239" s="86"/>
      <c r="K239" s="105"/>
      <c r="L239" s="91"/>
      <c r="M239" s="92"/>
      <c r="N239" s="93"/>
      <c r="O239" s="94"/>
      <c r="P239" s="96"/>
      <c r="Q239" s="95"/>
      <c r="R239" s="993">
        <f t="shared" si="284"/>
        <v>0</v>
      </c>
      <c r="S239" s="23">
        <f t="shared" si="298"/>
        <v>0</v>
      </c>
      <c r="T239" s="24">
        <f t="shared" si="299"/>
        <v>0</v>
      </c>
      <c r="U239" s="24">
        <f t="shared" si="300"/>
        <v>0</v>
      </c>
      <c r="V239" s="24">
        <f t="shared" si="301"/>
        <v>0</v>
      </c>
      <c r="W239" s="24">
        <f t="shared" si="302"/>
        <v>0</v>
      </c>
      <c r="X239" s="72">
        <f t="shared" si="303"/>
        <v>0</v>
      </c>
      <c r="Y239" s="72">
        <f t="shared" si="304"/>
        <v>0</v>
      </c>
      <c r="Z239" s="24">
        <f t="shared" si="285"/>
        <v>0</v>
      </c>
      <c r="AA239" s="72">
        <f t="shared" si="305"/>
        <v>0</v>
      </c>
      <c r="AB239" s="24">
        <f t="shared" si="306"/>
        <v>0</v>
      </c>
      <c r="AC239" s="24" t="s">
        <v>5</v>
      </c>
      <c r="AD239" s="25">
        <f t="shared" si="764"/>
        <v>3</v>
      </c>
      <c r="AE239" s="25">
        <f t="shared" si="765"/>
        <v>0</v>
      </c>
      <c r="AF239" s="25">
        <f t="shared" si="766"/>
        <v>0</v>
      </c>
      <c r="AG239" s="25">
        <f t="shared" si="307"/>
        <v>1</v>
      </c>
      <c r="AH239" s="25" t="str">
        <f>IFERROR(MATCH(DY239,'2 Staff List'!$IA$64:$IA$114,0),"x")</f>
        <v>x</v>
      </c>
      <c r="AI239" s="1181">
        <f>IFERROR(INDEX('2 Staff List'!$EX$64:$EX$114,$AH239),0)</f>
        <v>0</v>
      </c>
      <c r="AJ239" s="25">
        <f>IFERROR(INDEX('2 Staff List'!$IW$64:$IW$114,$AH239),0)</f>
        <v>0</v>
      </c>
      <c r="AK239" s="25">
        <f>IFERROR(INDEX('2 Staff List'!$IB$64:$IB$114,$AH239),0)</f>
        <v>0</v>
      </c>
      <c r="AL239" s="25">
        <f>IF(OR(NOT(ISBLANK(DV239)),CX239=1),"&lt;Non-Labor&gt;",IFERROR(IF(AH239=0,0,INDEX('2 Staff List'!$HZ$64:$HZ$114,$AH239)),0))</f>
        <v>0</v>
      </c>
      <c r="AM239" s="25">
        <f>IFERROR(INDEX('2 Staff List'!$HW$64:$HW$114,$AH239),0)</f>
        <v>0</v>
      </c>
      <c r="AN239" s="25">
        <f t="shared" si="308"/>
        <v>1</v>
      </c>
      <c r="AO239" s="25">
        <f>IF($AO$127=0,0,IFERROR(INDEX('2 Staff List'!$JH$64:$JH$114,$AH239),0))</f>
        <v>0</v>
      </c>
      <c r="AP239" s="25">
        <f>IFERROR(INDEX('2 Staff List'!$HU$64:$HU$114,$AH239),0)</f>
        <v>0</v>
      </c>
      <c r="AQ239" s="25">
        <f t="shared" si="309"/>
        <v>0</v>
      </c>
      <c r="AR239" s="25">
        <f t="shared" si="310"/>
        <v>0</v>
      </c>
      <c r="AS239" s="25">
        <f t="shared" si="311"/>
        <v>0</v>
      </c>
      <c r="AT239" s="25">
        <f t="shared" si="312"/>
        <v>0</v>
      </c>
      <c r="AU239" s="25">
        <f t="shared" si="313"/>
        <v>0</v>
      </c>
      <c r="AV239" s="25">
        <f t="shared" si="314"/>
        <v>0</v>
      </c>
      <c r="AW239" s="25">
        <f t="shared" si="315"/>
        <v>0</v>
      </c>
      <c r="AX239" s="25">
        <f t="shared" si="316"/>
        <v>0</v>
      </c>
      <c r="AY239" s="25">
        <f t="shared" si="317"/>
        <v>0</v>
      </c>
      <c r="AZ239" s="25">
        <f t="shared" si="318"/>
        <v>0</v>
      </c>
      <c r="BA239" s="25">
        <f t="shared" si="319"/>
        <v>0</v>
      </c>
      <c r="BB239" s="25">
        <f t="shared" si="320"/>
        <v>0</v>
      </c>
      <c r="BC239" s="25">
        <f>IFERROR(INDEX('2 Staff List'!KS$64:KS$114,$AH239),0)</f>
        <v>0</v>
      </c>
      <c r="BD239" s="25">
        <f>IFERROR(INDEX('2 Staff List'!KT$64:KT$114,$AH239),0)</f>
        <v>0</v>
      </c>
      <c r="BE239" s="25">
        <f>IFERROR(INDEX('2 Staff List'!KU$64:KU$114,$AH239),0)</f>
        <v>0</v>
      </c>
      <c r="BF239" s="25">
        <f>IFERROR(INDEX('2 Staff List'!KV$64:KV$114,$AH239),0)</f>
        <v>0</v>
      </c>
      <c r="BG239" s="25">
        <f>IFERROR(INDEX('2 Staff List'!KW$64:KW$114,$AH239),0)</f>
        <v>0</v>
      </c>
      <c r="BH239" s="25">
        <f>IFERROR(INDEX('2 Staff List'!KX$64:KX$114,$AH239),0)</f>
        <v>0</v>
      </c>
      <c r="BI239" s="25">
        <f>IFERROR(INDEX('2 Staff List'!KY$64:KY$114,$AH239),0)</f>
        <v>0</v>
      </c>
      <c r="BJ239" s="25">
        <f>IFERROR(INDEX('2 Staff List'!KZ$64:KZ$114,$AH239),0)</f>
        <v>0</v>
      </c>
      <c r="BK239" s="25">
        <f>IFERROR(INDEX('2 Staff List'!LA$64:LA$114,$AH239),0)</f>
        <v>0</v>
      </c>
      <c r="BL239" s="25">
        <f>IFERROR(INDEX('2 Staff List'!LB$64:LB$114,$AH239),0)</f>
        <v>0</v>
      </c>
      <c r="BM239" s="25">
        <f>IFERROR(INDEX('2 Staff List'!FT$64:FT$114,$AH239),0)</f>
        <v>0</v>
      </c>
      <c r="BN239" s="25">
        <f>IFERROR(INDEX('2 Staff List'!FU$64:FU$114,$AH239),0)</f>
        <v>0</v>
      </c>
      <c r="BO239" s="25">
        <f>IFERROR(INDEX('2 Staff List'!FV$64:FV$114,$AH239),0)</f>
        <v>0</v>
      </c>
      <c r="BP239" s="25">
        <f>IFERROR(INDEX('2 Staff List'!FW$64:FW$114,$AH239),0)</f>
        <v>0</v>
      </c>
      <c r="BQ239" s="25">
        <f>IFERROR(INDEX('2 Staff List'!FX$64:FX$114,$AH239),0)</f>
        <v>0</v>
      </c>
      <c r="BR239" s="25">
        <f>IFERROR(INDEX('2 Staff List'!FY$64:FY$114,$AH239),0)</f>
        <v>0</v>
      </c>
      <c r="BS239" s="25">
        <f>IFERROR(INDEX('2 Staff List'!FZ$64:FZ$114,$AH239),0)</f>
        <v>0</v>
      </c>
      <c r="BT239" s="25">
        <f>IFERROR(INDEX('2 Staff List'!GA$64:GA$114,$AH239),0)</f>
        <v>0</v>
      </c>
      <c r="BU239" s="25">
        <f>IFERROR(INDEX('2 Staff List'!GB$64:GB$114,$AH239),0)</f>
        <v>0</v>
      </c>
      <c r="BV239" s="25">
        <f>IFERROR(INDEX('2 Staff List'!GC$64:GC$114,$AH239),0)</f>
        <v>0</v>
      </c>
      <c r="BW239" s="25">
        <f t="shared" si="321"/>
        <v>0</v>
      </c>
      <c r="BX239" s="25">
        <f t="shared" si="322"/>
        <v>0</v>
      </c>
      <c r="BY239" s="25">
        <f t="shared" si="323"/>
        <v>0</v>
      </c>
      <c r="BZ239" s="25">
        <f t="shared" si="324"/>
        <v>0</v>
      </c>
      <c r="CA239" s="25">
        <f t="shared" si="325"/>
        <v>0</v>
      </c>
      <c r="CB239" s="25">
        <f t="shared" si="326"/>
        <v>0</v>
      </c>
      <c r="CC239" s="25">
        <f t="shared" si="327"/>
        <v>0</v>
      </c>
      <c r="CD239" s="25">
        <f t="shared" si="328"/>
        <v>0</v>
      </c>
      <c r="CE239" s="25">
        <f t="shared" si="329"/>
        <v>0</v>
      </c>
      <c r="CF239" s="25">
        <f t="shared" si="330"/>
        <v>0</v>
      </c>
      <c r="CG239" s="25">
        <f t="shared" si="331"/>
        <v>0</v>
      </c>
      <c r="CH239" s="25">
        <f>IFERROR(INDEX('2 Staff List'!LO$64:LO$114,$AH239),0)</f>
        <v>0</v>
      </c>
      <c r="CI239" s="25">
        <f>IFERROR(INDEX('2 Staff List'!LP$64:LP$114,$AH239),0)</f>
        <v>0</v>
      </c>
      <c r="CJ239" s="25">
        <f>IFERROR(INDEX('2 Staff List'!LQ$64:LQ$114,$AH239),0)</f>
        <v>0</v>
      </c>
      <c r="CK239" s="25">
        <f>IFERROR(INDEX('2 Staff List'!LR$64:LR$114,$AH239),0)</f>
        <v>0</v>
      </c>
      <c r="CL239" s="25">
        <f>IFERROR(INDEX('2 Staff List'!LS$64:LS$114,$AH239),0)</f>
        <v>0</v>
      </c>
      <c r="CM239" s="25">
        <f>IFERROR(INDEX('2 Staff List'!LT$64:LT$114,$AH239),0)</f>
        <v>0</v>
      </c>
      <c r="CN239" s="25">
        <f>IFERROR(INDEX('2 Staff List'!LU$64:LU$114,$AH239),0)</f>
        <v>0</v>
      </c>
      <c r="CO239" s="25">
        <f>IFERROR(INDEX('2 Staff List'!LV$64:LV$114,$AH239),0)</f>
        <v>0</v>
      </c>
      <c r="CP239" s="25">
        <f>IFERROR(INDEX('2 Staff List'!LW$64:LW$114,$AH239),0)</f>
        <v>0</v>
      </c>
      <c r="CQ239" s="25">
        <f>IFERROR(INDEX('2 Staff List'!LX$64:LX$114,$AH239),0)</f>
        <v>0</v>
      </c>
      <c r="CR239" s="25">
        <f t="shared" si="289"/>
        <v>0</v>
      </c>
      <c r="CS239" s="25">
        <f t="shared" si="349"/>
        <v>1</v>
      </c>
      <c r="CT239" s="25">
        <f t="shared" si="333"/>
        <v>1</v>
      </c>
      <c r="CU239" s="25">
        <f t="shared" si="334"/>
        <v>1</v>
      </c>
      <c r="CV239" s="25">
        <f t="shared" si="335"/>
        <v>1</v>
      </c>
      <c r="CW239" s="25">
        <f t="shared" si="336"/>
        <v>1</v>
      </c>
      <c r="CX239" s="25">
        <f t="shared" si="337"/>
        <v>0</v>
      </c>
      <c r="CY239" s="25">
        <f t="shared" si="338"/>
        <v>0</v>
      </c>
      <c r="CZ239" s="25">
        <f t="shared" si="339"/>
        <v>0</v>
      </c>
      <c r="DA239" s="25">
        <f t="shared" si="340"/>
        <v>1</v>
      </c>
      <c r="DB239" s="25">
        <f t="shared" si="767"/>
        <v>1</v>
      </c>
      <c r="DC239" s="25">
        <f t="shared" si="341"/>
        <v>0</v>
      </c>
      <c r="DD239" s="25">
        <f>IF(OR($AD239&lt;&gt;3,F239="Exclude"),0,IF(ISERROR(MATCH($E239,'4 Sign-off'!$S$123:$X$123,0)),0,1))</f>
        <v>0</v>
      </c>
      <c r="DE239" s="25">
        <f t="shared" si="763"/>
        <v>0</v>
      </c>
      <c r="DF239" s="25">
        <f t="shared" si="342"/>
        <v>0</v>
      </c>
      <c r="DG239" s="25" t="str">
        <f t="shared" si="343"/>
        <v/>
      </c>
      <c r="DH239" s="25">
        <f t="shared" si="344"/>
        <v>0</v>
      </c>
      <c r="DI239" s="25">
        <f t="shared" si="345"/>
        <v>0</v>
      </c>
      <c r="DJ239" s="25">
        <f>IF(ISBLANK(J239),0,ISERROR(MATCH(J239,'5  Control Accounts'!$FA$29:$FA$96,0))*1)</f>
        <v>0</v>
      </c>
      <c r="DK239" s="25">
        <f t="shared" si="346"/>
        <v>0</v>
      </c>
      <c r="DL239" s="25">
        <f t="shared" si="768"/>
        <v>-1</v>
      </c>
      <c r="DM239" s="25" t="e">
        <f t="array" ref="DM239">MATCH(1,($EG239:$JD239&gt;0)*$EG$17:$JD$17,0)</f>
        <v>#N/A</v>
      </c>
      <c r="DN239" s="25" t="e">
        <f t="shared" si="551"/>
        <v>#N/A</v>
      </c>
      <c r="DO239" s="25" t="e">
        <f t="array" ref="DO239">MATCH(2,1/(EG239:JD239&gt;0))</f>
        <v>#N/A</v>
      </c>
      <c r="DP239" s="2993">
        <f t="shared" si="347"/>
        <v>0</v>
      </c>
      <c r="DQ239" s="3037">
        <f t="shared" si="348"/>
        <v>0</v>
      </c>
      <c r="DR239" s="111"/>
      <c r="DS239" s="1268">
        <f t="shared" si="743"/>
        <v>0</v>
      </c>
      <c r="DT239" s="1825"/>
      <c r="DU239" s="1826"/>
      <c r="DV239" s="1827"/>
      <c r="DW239" s="1828"/>
      <c r="DX239" s="659"/>
      <c r="DY239" s="1265"/>
      <c r="DZ239" s="1785">
        <f t="shared" si="294"/>
        <v>0</v>
      </c>
      <c r="EA239" s="1786">
        <f t="shared" si="295"/>
        <v>0</v>
      </c>
      <c r="EB239" s="1781">
        <f t="shared" si="552"/>
        <v>0</v>
      </c>
      <c r="EC239" s="1782">
        <f t="shared" si="553"/>
        <v>0</v>
      </c>
      <c r="ED239" s="1262"/>
      <c r="EE239" s="2280"/>
      <c r="EF239" s="1802"/>
      <c r="EG239" s="167"/>
      <c r="EH239" s="168"/>
      <c r="EI239" s="168"/>
      <c r="EJ239" s="168"/>
      <c r="EK239" s="168"/>
      <c r="EL239" s="168"/>
      <c r="EM239" s="168"/>
      <c r="EN239" s="168"/>
      <c r="EO239" s="168"/>
      <c r="EP239" s="168"/>
      <c r="EQ239" s="168"/>
      <c r="ER239" s="168"/>
      <c r="ES239" s="168"/>
      <c r="ET239" s="168"/>
      <c r="EU239" s="168"/>
      <c r="EV239" s="168"/>
      <c r="EW239" s="168"/>
      <c r="EX239" s="168"/>
      <c r="EY239" s="168"/>
      <c r="EZ239" s="168"/>
      <c r="FA239" s="168"/>
      <c r="FB239" s="168"/>
      <c r="FC239" s="168"/>
      <c r="FD239" s="168"/>
      <c r="FE239" s="168"/>
      <c r="FF239" s="168"/>
      <c r="FG239" s="168"/>
      <c r="FH239" s="168"/>
      <c r="FI239" s="168"/>
      <c r="FJ239" s="168"/>
      <c r="FK239" s="168"/>
      <c r="FL239" s="168"/>
      <c r="FM239" s="168"/>
      <c r="FN239" s="168"/>
      <c r="FO239" s="168"/>
      <c r="FP239" s="168"/>
      <c r="FQ239" s="168"/>
      <c r="FR239" s="168"/>
      <c r="FS239" s="168"/>
      <c r="FT239" s="168"/>
      <c r="FU239" s="168"/>
      <c r="FV239" s="168"/>
      <c r="FW239" s="168"/>
      <c r="FX239" s="168"/>
      <c r="FY239" s="168"/>
      <c r="FZ239" s="168"/>
      <c r="GA239" s="168"/>
      <c r="GB239" s="168"/>
      <c r="GC239" s="168"/>
      <c r="GD239" s="168"/>
      <c r="GE239" s="168"/>
      <c r="GF239" s="168"/>
      <c r="GG239" s="168"/>
      <c r="GH239" s="168"/>
      <c r="GI239" s="168"/>
      <c r="GJ239" s="168"/>
      <c r="GK239" s="168"/>
      <c r="GL239" s="168"/>
      <c r="GM239" s="168"/>
      <c r="GN239" s="168"/>
      <c r="GO239" s="168"/>
      <c r="GP239" s="168"/>
      <c r="GQ239" s="168"/>
      <c r="GR239" s="168"/>
      <c r="GS239" s="168"/>
      <c r="GT239" s="168"/>
      <c r="GU239" s="168"/>
      <c r="GV239" s="168"/>
      <c r="GW239" s="168"/>
      <c r="GX239" s="168"/>
      <c r="GY239" s="168"/>
      <c r="GZ239" s="168"/>
      <c r="HA239" s="168"/>
      <c r="HB239" s="168"/>
      <c r="HC239" s="168"/>
      <c r="HD239" s="168"/>
      <c r="HE239" s="168"/>
      <c r="HF239" s="168"/>
      <c r="HG239" s="168"/>
      <c r="HH239" s="168"/>
      <c r="HI239" s="168"/>
      <c r="HJ239" s="168"/>
      <c r="HK239" s="168"/>
      <c r="HL239" s="168"/>
      <c r="HM239" s="168"/>
      <c r="HN239" s="168"/>
      <c r="HO239" s="168"/>
      <c r="HP239" s="168"/>
      <c r="HQ239" s="168"/>
      <c r="HR239" s="168"/>
      <c r="HS239" s="168"/>
      <c r="HT239" s="168"/>
      <c r="HU239" s="168"/>
      <c r="HV239" s="168"/>
      <c r="HW239" s="168"/>
      <c r="HX239" s="168"/>
      <c r="HY239" s="168"/>
      <c r="HZ239" s="168"/>
      <c r="IA239" s="168"/>
      <c r="IB239" s="168"/>
      <c r="IC239" s="168"/>
      <c r="ID239" s="168"/>
      <c r="IE239" s="168"/>
      <c r="IF239" s="168"/>
      <c r="IG239" s="168"/>
      <c r="IH239" s="168"/>
      <c r="II239" s="168"/>
      <c r="IJ239" s="168"/>
      <c r="IK239" s="168"/>
      <c r="IL239" s="168"/>
      <c r="IM239" s="168"/>
      <c r="IN239" s="168"/>
      <c r="IO239" s="168"/>
      <c r="IP239" s="168"/>
      <c r="IQ239" s="168"/>
      <c r="IR239" s="168"/>
      <c r="IS239" s="168"/>
      <c r="IT239" s="168"/>
      <c r="IU239" s="168"/>
      <c r="IV239" s="168"/>
      <c r="IW239" s="168"/>
      <c r="IX239" s="168"/>
      <c r="IY239" s="168"/>
      <c r="IZ239" s="168"/>
      <c r="JA239" s="168"/>
      <c r="JB239" s="168"/>
      <c r="JC239" s="606"/>
      <c r="JD239" s="609"/>
      <c r="JE239" s="1"/>
      <c r="JF239" s="1"/>
    </row>
    <row r="240" spans="1:266" s="2" customFormat="1" ht="15" customHeight="1" x14ac:dyDescent="0.25">
      <c r="A240" s="283"/>
      <c r="B240" s="303"/>
      <c r="C240" s="301"/>
      <c r="D240" s="638"/>
      <c r="E240" s="2298"/>
      <c r="F240" s="1812"/>
      <c r="G240" s="3342"/>
      <c r="H240" s="66"/>
      <c r="I240" s="1746"/>
      <c r="J240" s="86"/>
      <c r="K240" s="105"/>
      <c r="L240" s="91"/>
      <c r="M240" s="92"/>
      <c r="N240" s="93"/>
      <c r="O240" s="94"/>
      <c r="P240" s="96"/>
      <c r="Q240" s="95"/>
      <c r="R240" s="993">
        <f t="shared" ref="R240:R271" si="769">CHOOSE(AD240,SUMIFS($T$129:$T$304,$AE$129:$AE$304,AE240,$AD$129:$AD$304,3,$DF$129:$DF$304,1,$AG$129:$AG$304,1),SUMIFS($T$129:$T$304,$AF$129:$AF$304,AF240,$AD$129:$AD$304,3,$DF$129:$DF$304,1,$AG$129:$AG$304,1),T240+U240)</f>
        <v>0</v>
      </c>
      <c r="S240" s="23">
        <f t="shared" si="298"/>
        <v>0</v>
      </c>
      <c r="T240" s="24">
        <f t="shared" si="299"/>
        <v>0</v>
      </c>
      <c r="U240" s="24">
        <f t="shared" si="300"/>
        <v>0</v>
      </c>
      <c r="V240" s="24">
        <f t="shared" si="301"/>
        <v>0</v>
      </c>
      <c r="W240" s="24">
        <f t="shared" si="302"/>
        <v>0</v>
      </c>
      <c r="X240" s="72">
        <f t="shared" si="303"/>
        <v>0</v>
      </c>
      <c r="Y240" s="72">
        <f t="shared" si="304"/>
        <v>0</v>
      </c>
      <c r="Z240" s="24">
        <f t="shared" si="285"/>
        <v>0</v>
      </c>
      <c r="AA240" s="72">
        <f t="shared" si="305"/>
        <v>0</v>
      </c>
      <c r="AB240" s="24">
        <f t="shared" si="306"/>
        <v>0</v>
      </c>
      <c r="AC240" s="24" t="s">
        <v>5</v>
      </c>
      <c r="AD240" s="25">
        <f t="shared" si="764"/>
        <v>3</v>
      </c>
      <c r="AE240" s="25">
        <f t="shared" si="765"/>
        <v>0</v>
      </c>
      <c r="AF240" s="25">
        <f t="shared" si="766"/>
        <v>0</v>
      </c>
      <c r="AG240" s="25">
        <f t="shared" si="307"/>
        <v>1</v>
      </c>
      <c r="AH240" s="25" t="str">
        <f>IFERROR(MATCH(DY240,'2 Staff List'!$IA$64:$IA$114,0),"x")</f>
        <v>x</v>
      </c>
      <c r="AI240" s="1181">
        <f>IFERROR(INDEX('2 Staff List'!$EX$64:$EX$114,$AH240),0)</f>
        <v>0</v>
      </c>
      <c r="AJ240" s="25">
        <f>IFERROR(INDEX('2 Staff List'!$IW$64:$IW$114,$AH240),0)</f>
        <v>0</v>
      </c>
      <c r="AK240" s="25">
        <f>IFERROR(INDEX('2 Staff List'!$IB$64:$IB$114,$AH240),0)</f>
        <v>0</v>
      </c>
      <c r="AL240" s="25">
        <f>IF(OR(NOT(ISBLANK(DV240)),CX240=1),"&lt;Non-Labor&gt;",IFERROR(IF(AH240=0,0,INDEX('2 Staff List'!$HZ$64:$HZ$114,$AH240)),0))</f>
        <v>0</v>
      </c>
      <c r="AM240" s="25">
        <f>IFERROR(INDEX('2 Staff List'!$HW$64:$HW$114,$AH240),0)</f>
        <v>0</v>
      </c>
      <c r="AN240" s="25">
        <f t="shared" si="308"/>
        <v>1</v>
      </c>
      <c r="AO240" s="25">
        <f>IF($AO$127=0,0,IFERROR(INDEX('2 Staff List'!$JH$64:$JH$114,$AH240),0))</f>
        <v>0</v>
      </c>
      <c r="AP240" s="25">
        <f>IFERROR(INDEX('2 Staff List'!$HU$64:$HU$114,$AH240),0)</f>
        <v>0</v>
      </c>
      <c r="AQ240" s="25">
        <f t="shared" si="309"/>
        <v>0</v>
      </c>
      <c r="AR240" s="25">
        <f t="shared" si="310"/>
        <v>0</v>
      </c>
      <c r="AS240" s="25">
        <f t="shared" si="311"/>
        <v>0</v>
      </c>
      <c r="AT240" s="25">
        <f t="shared" si="312"/>
        <v>0</v>
      </c>
      <c r="AU240" s="25">
        <f t="shared" si="313"/>
        <v>0</v>
      </c>
      <c r="AV240" s="25">
        <f t="shared" si="314"/>
        <v>0</v>
      </c>
      <c r="AW240" s="25">
        <f t="shared" si="315"/>
        <v>0</v>
      </c>
      <c r="AX240" s="25">
        <f t="shared" si="316"/>
        <v>0</v>
      </c>
      <c r="AY240" s="25">
        <f t="shared" si="317"/>
        <v>0</v>
      </c>
      <c r="AZ240" s="25">
        <f t="shared" si="318"/>
        <v>0</v>
      </c>
      <c r="BA240" s="25">
        <f t="shared" si="319"/>
        <v>0</v>
      </c>
      <c r="BB240" s="25">
        <f t="shared" si="320"/>
        <v>0</v>
      </c>
      <c r="BC240" s="25">
        <f>IFERROR(INDEX('2 Staff List'!KS$64:KS$114,$AH240),0)</f>
        <v>0</v>
      </c>
      <c r="BD240" s="25">
        <f>IFERROR(INDEX('2 Staff List'!KT$64:KT$114,$AH240),0)</f>
        <v>0</v>
      </c>
      <c r="BE240" s="25">
        <f>IFERROR(INDEX('2 Staff List'!KU$64:KU$114,$AH240),0)</f>
        <v>0</v>
      </c>
      <c r="BF240" s="25">
        <f>IFERROR(INDEX('2 Staff List'!KV$64:KV$114,$AH240),0)</f>
        <v>0</v>
      </c>
      <c r="BG240" s="25">
        <f>IFERROR(INDEX('2 Staff List'!KW$64:KW$114,$AH240),0)</f>
        <v>0</v>
      </c>
      <c r="BH240" s="25">
        <f>IFERROR(INDEX('2 Staff List'!KX$64:KX$114,$AH240),0)</f>
        <v>0</v>
      </c>
      <c r="BI240" s="25">
        <f>IFERROR(INDEX('2 Staff List'!KY$64:KY$114,$AH240),0)</f>
        <v>0</v>
      </c>
      <c r="BJ240" s="25">
        <f>IFERROR(INDEX('2 Staff List'!KZ$64:KZ$114,$AH240),0)</f>
        <v>0</v>
      </c>
      <c r="BK240" s="25">
        <f>IFERROR(INDEX('2 Staff List'!LA$64:LA$114,$AH240),0)</f>
        <v>0</v>
      </c>
      <c r="BL240" s="25">
        <f>IFERROR(INDEX('2 Staff List'!LB$64:LB$114,$AH240),0)</f>
        <v>0</v>
      </c>
      <c r="BM240" s="25">
        <f>IFERROR(INDEX('2 Staff List'!FT$64:FT$114,$AH240),0)</f>
        <v>0</v>
      </c>
      <c r="BN240" s="25">
        <f>IFERROR(INDEX('2 Staff List'!FU$64:FU$114,$AH240),0)</f>
        <v>0</v>
      </c>
      <c r="BO240" s="25">
        <f>IFERROR(INDEX('2 Staff List'!FV$64:FV$114,$AH240),0)</f>
        <v>0</v>
      </c>
      <c r="BP240" s="25">
        <f>IFERROR(INDEX('2 Staff List'!FW$64:FW$114,$AH240),0)</f>
        <v>0</v>
      </c>
      <c r="BQ240" s="25">
        <f>IFERROR(INDEX('2 Staff List'!FX$64:FX$114,$AH240),0)</f>
        <v>0</v>
      </c>
      <c r="BR240" s="25">
        <f>IFERROR(INDEX('2 Staff List'!FY$64:FY$114,$AH240),0)</f>
        <v>0</v>
      </c>
      <c r="BS240" s="25">
        <f>IFERROR(INDEX('2 Staff List'!FZ$64:FZ$114,$AH240),0)</f>
        <v>0</v>
      </c>
      <c r="BT240" s="25">
        <f>IFERROR(INDEX('2 Staff List'!GA$64:GA$114,$AH240),0)</f>
        <v>0</v>
      </c>
      <c r="BU240" s="25">
        <f>IFERROR(INDEX('2 Staff List'!GB$64:GB$114,$AH240),0)</f>
        <v>0</v>
      </c>
      <c r="BV240" s="25">
        <f>IFERROR(INDEX('2 Staff List'!GC$64:GC$114,$AH240),0)</f>
        <v>0</v>
      </c>
      <c r="BW240" s="25">
        <f t="shared" si="321"/>
        <v>0</v>
      </c>
      <c r="BX240" s="25">
        <f t="shared" si="322"/>
        <v>0</v>
      </c>
      <c r="BY240" s="25">
        <f t="shared" si="323"/>
        <v>0</v>
      </c>
      <c r="BZ240" s="25">
        <f t="shared" si="324"/>
        <v>0</v>
      </c>
      <c r="CA240" s="25">
        <f t="shared" si="325"/>
        <v>0</v>
      </c>
      <c r="CB240" s="25">
        <f t="shared" si="326"/>
        <v>0</v>
      </c>
      <c r="CC240" s="25">
        <f t="shared" si="327"/>
        <v>0</v>
      </c>
      <c r="CD240" s="25">
        <f t="shared" si="328"/>
        <v>0</v>
      </c>
      <c r="CE240" s="25">
        <f t="shared" si="329"/>
        <v>0</v>
      </c>
      <c r="CF240" s="25">
        <f t="shared" si="330"/>
        <v>0</v>
      </c>
      <c r="CG240" s="25">
        <f t="shared" si="331"/>
        <v>0</v>
      </c>
      <c r="CH240" s="25">
        <f>IFERROR(INDEX('2 Staff List'!LO$64:LO$114,$AH240),0)</f>
        <v>0</v>
      </c>
      <c r="CI240" s="25">
        <f>IFERROR(INDEX('2 Staff List'!LP$64:LP$114,$AH240),0)</f>
        <v>0</v>
      </c>
      <c r="CJ240" s="25">
        <f>IFERROR(INDEX('2 Staff List'!LQ$64:LQ$114,$AH240),0)</f>
        <v>0</v>
      </c>
      <c r="CK240" s="25">
        <f>IFERROR(INDEX('2 Staff List'!LR$64:LR$114,$AH240),0)</f>
        <v>0</v>
      </c>
      <c r="CL240" s="25">
        <f>IFERROR(INDEX('2 Staff List'!LS$64:LS$114,$AH240),0)</f>
        <v>0</v>
      </c>
      <c r="CM240" s="25">
        <f>IFERROR(INDEX('2 Staff List'!LT$64:LT$114,$AH240),0)</f>
        <v>0</v>
      </c>
      <c r="CN240" s="25">
        <f>IFERROR(INDEX('2 Staff List'!LU$64:LU$114,$AH240),0)</f>
        <v>0</v>
      </c>
      <c r="CO240" s="25">
        <f>IFERROR(INDEX('2 Staff List'!LV$64:LV$114,$AH240),0)</f>
        <v>0</v>
      </c>
      <c r="CP240" s="25">
        <f>IFERROR(INDEX('2 Staff List'!LW$64:LW$114,$AH240),0)</f>
        <v>0</v>
      </c>
      <c r="CQ240" s="25">
        <f>IFERROR(INDEX('2 Staff List'!LX$64:LX$114,$AH240),0)</f>
        <v>0</v>
      </c>
      <c r="CR240" s="25">
        <f t="shared" si="289"/>
        <v>0</v>
      </c>
      <c r="CS240" s="25">
        <f t="shared" si="349"/>
        <v>1</v>
      </c>
      <c r="CT240" s="25">
        <f t="shared" si="333"/>
        <v>1</v>
      </c>
      <c r="CU240" s="25">
        <f t="shared" si="334"/>
        <v>1</v>
      </c>
      <c r="CV240" s="25">
        <f t="shared" si="335"/>
        <v>1</v>
      </c>
      <c r="CW240" s="25">
        <f t="shared" si="336"/>
        <v>1</v>
      </c>
      <c r="CX240" s="25">
        <f t="shared" si="337"/>
        <v>0</v>
      </c>
      <c r="CY240" s="25">
        <f t="shared" si="338"/>
        <v>0</v>
      </c>
      <c r="CZ240" s="25">
        <f t="shared" si="339"/>
        <v>0</v>
      </c>
      <c r="DA240" s="25">
        <f t="shared" si="340"/>
        <v>1</v>
      </c>
      <c r="DB240" s="25">
        <f t="shared" si="767"/>
        <v>1</v>
      </c>
      <c r="DC240" s="25">
        <f t="shared" si="341"/>
        <v>0</v>
      </c>
      <c r="DD240" s="25">
        <f>IF(OR($AD240&lt;&gt;3,F240="Exclude"),0,IF(ISERROR(MATCH($E240,'4 Sign-off'!$S$123:$X$123,0)),0,1))</f>
        <v>0</v>
      </c>
      <c r="DE240" s="25">
        <f t="shared" si="763"/>
        <v>0</v>
      </c>
      <c r="DF240" s="25">
        <f t="shared" si="342"/>
        <v>0</v>
      </c>
      <c r="DG240" s="25" t="str">
        <f t="shared" si="343"/>
        <v/>
      </c>
      <c r="DH240" s="25">
        <f t="shared" si="344"/>
        <v>0</v>
      </c>
      <c r="DI240" s="25">
        <f t="shared" si="345"/>
        <v>0</v>
      </c>
      <c r="DJ240" s="25">
        <f>IF(ISBLANK(J240),0,ISERROR(MATCH(J240,'5  Control Accounts'!$FA$29:$FA$96,0))*1)</f>
        <v>0</v>
      </c>
      <c r="DK240" s="25">
        <f t="shared" si="346"/>
        <v>0</v>
      </c>
      <c r="DL240" s="25">
        <f t="shared" si="768"/>
        <v>-1</v>
      </c>
      <c r="DM240" s="25" t="e">
        <f t="array" ref="DM240">MATCH(1,($EG240:$JD240&gt;0)*$EG$17:$JD$17,0)</f>
        <v>#N/A</v>
      </c>
      <c r="DN240" s="25" t="e">
        <f t="shared" si="551"/>
        <v>#N/A</v>
      </c>
      <c r="DO240" s="25" t="e">
        <f t="array" ref="DO240">MATCH(2,1/(EG240:JD240&gt;0))</f>
        <v>#N/A</v>
      </c>
      <c r="DP240" s="2993">
        <f t="shared" si="347"/>
        <v>0</v>
      </c>
      <c r="DQ240" s="3037">
        <f t="shared" si="348"/>
        <v>0</v>
      </c>
      <c r="DR240" s="111"/>
      <c r="DS240" s="1268">
        <f t="shared" si="743"/>
        <v>0</v>
      </c>
      <c r="DT240" s="1825"/>
      <c r="DU240" s="1826"/>
      <c r="DV240" s="1827"/>
      <c r="DW240" s="1828"/>
      <c r="DX240" s="659"/>
      <c r="DY240" s="1265"/>
      <c r="DZ240" s="1785">
        <f t="shared" si="294"/>
        <v>0</v>
      </c>
      <c r="EA240" s="1786">
        <f t="shared" si="295"/>
        <v>0</v>
      </c>
      <c r="EB240" s="1781">
        <f t="shared" si="552"/>
        <v>0</v>
      </c>
      <c r="EC240" s="1782">
        <f t="shared" si="553"/>
        <v>0</v>
      </c>
      <c r="ED240" s="1262"/>
      <c r="EE240" s="2280"/>
      <c r="EF240" s="1802"/>
      <c r="EG240" s="167"/>
      <c r="EH240" s="168"/>
      <c r="EI240" s="168"/>
      <c r="EJ240" s="168"/>
      <c r="EK240" s="168"/>
      <c r="EL240" s="168"/>
      <c r="EM240" s="168"/>
      <c r="EN240" s="168"/>
      <c r="EO240" s="168"/>
      <c r="EP240" s="168"/>
      <c r="EQ240" s="168"/>
      <c r="ER240" s="168"/>
      <c r="ES240" s="168"/>
      <c r="ET240" s="168"/>
      <c r="EU240" s="168"/>
      <c r="EV240" s="168"/>
      <c r="EW240" s="168"/>
      <c r="EX240" s="168"/>
      <c r="EY240" s="168"/>
      <c r="EZ240" s="168"/>
      <c r="FA240" s="168"/>
      <c r="FB240" s="168"/>
      <c r="FC240" s="168"/>
      <c r="FD240" s="168"/>
      <c r="FE240" s="168"/>
      <c r="FF240" s="168"/>
      <c r="FG240" s="168"/>
      <c r="FH240" s="168"/>
      <c r="FI240" s="168"/>
      <c r="FJ240" s="168"/>
      <c r="FK240" s="168"/>
      <c r="FL240" s="168"/>
      <c r="FM240" s="168"/>
      <c r="FN240" s="168"/>
      <c r="FO240" s="168"/>
      <c r="FP240" s="168"/>
      <c r="FQ240" s="168"/>
      <c r="FR240" s="168"/>
      <c r="FS240" s="168"/>
      <c r="FT240" s="168"/>
      <c r="FU240" s="168"/>
      <c r="FV240" s="168"/>
      <c r="FW240" s="168"/>
      <c r="FX240" s="168"/>
      <c r="FY240" s="168"/>
      <c r="FZ240" s="168"/>
      <c r="GA240" s="168"/>
      <c r="GB240" s="168"/>
      <c r="GC240" s="168"/>
      <c r="GD240" s="168"/>
      <c r="GE240" s="168"/>
      <c r="GF240" s="168"/>
      <c r="GG240" s="168"/>
      <c r="GH240" s="168"/>
      <c r="GI240" s="168"/>
      <c r="GJ240" s="168"/>
      <c r="GK240" s="168"/>
      <c r="GL240" s="168"/>
      <c r="GM240" s="168"/>
      <c r="GN240" s="168"/>
      <c r="GO240" s="168"/>
      <c r="GP240" s="168"/>
      <c r="GQ240" s="168"/>
      <c r="GR240" s="168"/>
      <c r="GS240" s="168"/>
      <c r="GT240" s="168"/>
      <c r="GU240" s="168"/>
      <c r="GV240" s="168"/>
      <c r="GW240" s="168"/>
      <c r="GX240" s="168"/>
      <c r="GY240" s="168"/>
      <c r="GZ240" s="168"/>
      <c r="HA240" s="168"/>
      <c r="HB240" s="168"/>
      <c r="HC240" s="168"/>
      <c r="HD240" s="168"/>
      <c r="HE240" s="168"/>
      <c r="HF240" s="168"/>
      <c r="HG240" s="168"/>
      <c r="HH240" s="168"/>
      <c r="HI240" s="168"/>
      <c r="HJ240" s="168"/>
      <c r="HK240" s="168"/>
      <c r="HL240" s="168"/>
      <c r="HM240" s="168"/>
      <c r="HN240" s="168"/>
      <c r="HO240" s="168"/>
      <c r="HP240" s="168"/>
      <c r="HQ240" s="168"/>
      <c r="HR240" s="168"/>
      <c r="HS240" s="168"/>
      <c r="HT240" s="168"/>
      <c r="HU240" s="168"/>
      <c r="HV240" s="168"/>
      <c r="HW240" s="168"/>
      <c r="HX240" s="168"/>
      <c r="HY240" s="168"/>
      <c r="HZ240" s="168"/>
      <c r="IA240" s="168"/>
      <c r="IB240" s="168"/>
      <c r="IC240" s="168"/>
      <c r="ID240" s="168"/>
      <c r="IE240" s="168"/>
      <c r="IF240" s="168"/>
      <c r="IG240" s="168"/>
      <c r="IH240" s="168"/>
      <c r="II240" s="168"/>
      <c r="IJ240" s="168"/>
      <c r="IK240" s="168"/>
      <c r="IL240" s="168"/>
      <c r="IM240" s="168"/>
      <c r="IN240" s="168"/>
      <c r="IO240" s="168"/>
      <c r="IP240" s="168"/>
      <c r="IQ240" s="168"/>
      <c r="IR240" s="168"/>
      <c r="IS240" s="168"/>
      <c r="IT240" s="168"/>
      <c r="IU240" s="168"/>
      <c r="IV240" s="168"/>
      <c r="IW240" s="168"/>
      <c r="IX240" s="168"/>
      <c r="IY240" s="168"/>
      <c r="IZ240" s="168"/>
      <c r="JA240" s="168"/>
      <c r="JB240" s="168"/>
      <c r="JC240" s="606"/>
      <c r="JD240" s="609"/>
      <c r="JE240" s="1"/>
      <c r="JF240" s="1"/>
    </row>
    <row r="241" spans="1:266" s="2" customFormat="1" ht="15" customHeight="1" x14ac:dyDescent="0.25">
      <c r="A241" s="283"/>
      <c r="B241" s="303"/>
      <c r="C241" s="301"/>
      <c r="D241" s="638"/>
      <c r="E241" s="2298"/>
      <c r="F241" s="1812"/>
      <c r="G241" s="3342"/>
      <c r="H241" s="66"/>
      <c r="I241" s="1746"/>
      <c r="J241" s="86"/>
      <c r="K241" s="105"/>
      <c r="L241" s="91"/>
      <c r="M241" s="92"/>
      <c r="N241" s="93"/>
      <c r="O241" s="94"/>
      <c r="P241" s="96"/>
      <c r="Q241" s="95"/>
      <c r="R241" s="993">
        <f t="shared" si="769"/>
        <v>0</v>
      </c>
      <c r="S241" s="23">
        <f t="shared" si="298"/>
        <v>0</v>
      </c>
      <c r="T241" s="24">
        <f t="shared" si="299"/>
        <v>0</v>
      </c>
      <c r="U241" s="24">
        <f t="shared" si="300"/>
        <v>0</v>
      </c>
      <c r="V241" s="24">
        <f t="shared" si="301"/>
        <v>0</v>
      </c>
      <c r="W241" s="24">
        <f t="shared" si="302"/>
        <v>0</v>
      </c>
      <c r="X241" s="72">
        <f t="shared" si="303"/>
        <v>0</v>
      </c>
      <c r="Y241" s="72">
        <f t="shared" si="304"/>
        <v>0</v>
      </c>
      <c r="Z241" s="24">
        <f t="shared" ref="Z241:Z272" si="770">IF($AD241=3,SUMPRODUCT(AS241:BB241,BC241:BL241),0)</f>
        <v>0</v>
      </c>
      <c r="AA241" s="72">
        <f t="shared" si="305"/>
        <v>0</v>
      </c>
      <c r="AB241" s="24">
        <f t="shared" si="306"/>
        <v>0</v>
      </c>
      <c r="AC241" s="24" t="s">
        <v>5</v>
      </c>
      <c r="AD241" s="25">
        <f t="shared" si="764"/>
        <v>3</v>
      </c>
      <c r="AE241" s="25">
        <f t="shared" si="765"/>
        <v>0</v>
      </c>
      <c r="AF241" s="25">
        <f t="shared" si="766"/>
        <v>0</v>
      </c>
      <c r="AG241" s="25">
        <f t="shared" si="307"/>
        <v>1</v>
      </c>
      <c r="AH241" s="25" t="str">
        <f>IFERROR(MATCH(DY241,'2 Staff List'!$IA$64:$IA$114,0),"x")</f>
        <v>x</v>
      </c>
      <c r="AI241" s="1181">
        <f>IFERROR(INDEX('2 Staff List'!$EX$64:$EX$114,$AH241),0)</f>
        <v>0</v>
      </c>
      <c r="AJ241" s="25">
        <f>IFERROR(INDEX('2 Staff List'!$IW$64:$IW$114,$AH241),0)</f>
        <v>0</v>
      </c>
      <c r="AK241" s="25">
        <f>IFERROR(INDEX('2 Staff List'!$IB$64:$IB$114,$AH241),0)</f>
        <v>0</v>
      </c>
      <c r="AL241" s="25">
        <f>IF(OR(NOT(ISBLANK(DV241)),CX241=1),"&lt;Non-Labor&gt;",IFERROR(IF(AH241=0,0,INDEX('2 Staff List'!$HZ$64:$HZ$114,$AH241)),0))</f>
        <v>0</v>
      </c>
      <c r="AM241" s="25">
        <f>IFERROR(INDEX('2 Staff List'!$HW$64:$HW$114,$AH241),0)</f>
        <v>0</v>
      </c>
      <c r="AN241" s="25">
        <f t="shared" si="308"/>
        <v>1</v>
      </c>
      <c r="AO241" s="25">
        <f>IF($AO$127=0,0,IFERROR(INDEX('2 Staff List'!$JH$64:$JH$114,$AH241),0))</f>
        <v>0</v>
      </c>
      <c r="AP241" s="25">
        <f>IFERROR(INDEX('2 Staff List'!$HU$64:$HU$114,$AH241),0)</f>
        <v>0</v>
      </c>
      <c r="AQ241" s="25">
        <f t="shared" si="309"/>
        <v>0</v>
      </c>
      <c r="AR241" s="25">
        <f t="shared" si="310"/>
        <v>0</v>
      </c>
      <c r="AS241" s="25">
        <f t="shared" si="311"/>
        <v>0</v>
      </c>
      <c r="AT241" s="25">
        <f t="shared" si="312"/>
        <v>0</v>
      </c>
      <c r="AU241" s="25">
        <f t="shared" si="313"/>
        <v>0</v>
      </c>
      <c r="AV241" s="25">
        <f t="shared" si="314"/>
        <v>0</v>
      </c>
      <c r="AW241" s="25">
        <f t="shared" si="315"/>
        <v>0</v>
      </c>
      <c r="AX241" s="25">
        <f t="shared" si="316"/>
        <v>0</v>
      </c>
      <c r="AY241" s="25">
        <f t="shared" si="317"/>
        <v>0</v>
      </c>
      <c r="AZ241" s="25">
        <f t="shared" si="318"/>
        <v>0</v>
      </c>
      <c r="BA241" s="25">
        <f t="shared" si="319"/>
        <v>0</v>
      </c>
      <c r="BB241" s="25">
        <f t="shared" si="320"/>
        <v>0</v>
      </c>
      <c r="BC241" s="25">
        <f>IFERROR(INDEX('2 Staff List'!KS$64:KS$114,$AH241),0)</f>
        <v>0</v>
      </c>
      <c r="BD241" s="25">
        <f>IFERROR(INDEX('2 Staff List'!KT$64:KT$114,$AH241),0)</f>
        <v>0</v>
      </c>
      <c r="BE241" s="25">
        <f>IFERROR(INDEX('2 Staff List'!KU$64:KU$114,$AH241),0)</f>
        <v>0</v>
      </c>
      <c r="BF241" s="25">
        <f>IFERROR(INDEX('2 Staff List'!KV$64:KV$114,$AH241),0)</f>
        <v>0</v>
      </c>
      <c r="BG241" s="25">
        <f>IFERROR(INDEX('2 Staff List'!KW$64:KW$114,$AH241),0)</f>
        <v>0</v>
      </c>
      <c r="BH241" s="25">
        <f>IFERROR(INDEX('2 Staff List'!KX$64:KX$114,$AH241),0)</f>
        <v>0</v>
      </c>
      <c r="BI241" s="25">
        <f>IFERROR(INDEX('2 Staff List'!KY$64:KY$114,$AH241),0)</f>
        <v>0</v>
      </c>
      <c r="BJ241" s="25">
        <f>IFERROR(INDEX('2 Staff List'!KZ$64:KZ$114,$AH241),0)</f>
        <v>0</v>
      </c>
      <c r="BK241" s="25">
        <f>IFERROR(INDEX('2 Staff List'!LA$64:LA$114,$AH241),0)</f>
        <v>0</v>
      </c>
      <c r="BL241" s="25">
        <f>IFERROR(INDEX('2 Staff List'!LB$64:LB$114,$AH241),0)</f>
        <v>0</v>
      </c>
      <c r="BM241" s="25">
        <f>IFERROR(INDEX('2 Staff List'!FT$64:FT$114,$AH241),0)</f>
        <v>0</v>
      </c>
      <c r="BN241" s="25">
        <f>IFERROR(INDEX('2 Staff List'!FU$64:FU$114,$AH241),0)</f>
        <v>0</v>
      </c>
      <c r="BO241" s="25">
        <f>IFERROR(INDEX('2 Staff List'!FV$64:FV$114,$AH241),0)</f>
        <v>0</v>
      </c>
      <c r="BP241" s="25">
        <f>IFERROR(INDEX('2 Staff List'!FW$64:FW$114,$AH241),0)</f>
        <v>0</v>
      </c>
      <c r="BQ241" s="25">
        <f>IFERROR(INDEX('2 Staff List'!FX$64:FX$114,$AH241),0)</f>
        <v>0</v>
      </c>
      <c r="BR241" s="25">
        <f>IFERROR(INDEX('2 Staff List'!FY$64:FY$114,$AH241),0)</f>
        <v>0</v>
      </c>
      <c r="BS241" s="25">
        <f>IFERROR(INDEX('2 Staff List'!FZ$64:FZ$114,$AH241),0)</f>
        <v>0</v>
      </c>
      <c r="BT241" s="25">
        <f>IFERROR(INDEX('2 Staff List'!GA$64:GA$114,$AH241),0)</f>
        <v>0</v>
      </c>
      <c r="BU241" s="25">
        <f>IFERROR(INDEX('2 Staff List'!GB$64:GB$114,$AH241),0)</f>
        <v>0</v>
      </c>
      <c r="BV241" s="25">
        <f>IFERROR(INDEX('2 Staff List'!GC$64:GC$114,$AH241),0)</f>
        <v>0</v>
      </c>
      <c r="BW241" s="25">
        <f t="shared" si="321"/>
        <v>0</v>
      </c>
      <c r="BX241" s="25">
        <f t="shared" si="322"/>
        <v>0</v>
      </c>
      <c r="BY241" s="25">
        <f t="shared" si="323"/>
        <v>0</v>
      </c>
      <c r="BZ241" s="25">
        <f t="shared" si="324"/>
        <v>0</v>
      </c>
      <c r="CA241" s="25">
        <f t="shared" si="325"/>
        <v>0</v>
      </c>
      <c r="CB241" s="25">
        <f t="shared" si="326"/>
        <v>0</v>
      </c>
      <c r="CC241" s="25">
        <f t="shared" si="327"/>
        <v>0</v>
      </c>
      <c r="CD241" s="25">
        <f t="shared" si="328"/>
        <v>0</v>
      </c>
      <c r="CE241" s="25">
        <f t="shared" si="329"/>
        <v>0</v>
      </c>
      <c r="CF241" s="25">
        <f t="shared" si="330"/>
        <v>0</v>
      </c>
      <c r="CG241" s="25">
        <f t="shared" si="331"/>
        <v>0</v>
      </c>
      <c r="CH241" s="25">
        <f>IFERROR(INDEX('2 Staff List'!LO$64:LO$114,$AH241),0)</f>
        <v>0</v>
      </c>
      <c r="CI241" s="25">
        <f>IFERROR(INDEX('2 Staff List'!LP$64:LP$114,$AH241),0)</f>
        <v>0</v>
      </c>
      <c r="CJ241" s="25">
        <f>IFERROR(INDEX('2 Staff List'!LQ$64:LQ$114,$AH241),0)</f>
        <v>0</v>
      </c>
      <c r="CK241" s="25">
        <f>IFERROR(INDEX('2 Staff List'!LR$64:LR$114,$AH241),0)</f>
        <v>0</v>
      </c>
      <c r="CL241" s="25">
        <f>IFERROR(INDEX('2 Staff List'!LS$64:LS$114,$AH241),0)</f>
        <v>0</v>
      </c>
      <c r="CM241" s="25">
        <f>IFERROR(INDEX('2 Staff List'!LT$64:LT$114,$AH241),0)</f>
        <v>0</v>
      </c>
      <c r="CN241" s="25">
        <f>IFERROR(INDEX('2 Staff List'!LU$64:LU$114,$AH241),0)</f>
        <v>0</v>
      </c>
      <c r="CO241" s="25">
        <f>IFERROR(INDEX('2 Staff List'!LV$64:LV$114,$AH241),0)</f>
        <v>0</v>
      </c>
      <c r="CP241" s="25">
        <f>IFERROR(INDEX('2 Staff List'!LW$64:LW$114,$AH241),0)</f>
        <v>0</v>
      </c>
      <c r="CQ241" s="25">
        <f>IFERROR(INDEX('2 Staff List'!LX$64:LX$114,$AH241),0)</f>
        <v>0</v>
      </c>
      <c r="CR241" s="25">
        <f t="shared" ref="CR241:CR272" si="771">IF(AD241=3,SUMPRODUCT($EG241:$JD241,$EG$17:$JD$17),0)</f>
        <v>0</v>
      </c>
      <c r="CS241" s="25">
        <f t="shared" si="349"/>
        <v>1</v>
      </c>
      <c r="CT241" s="25">
        <f t="shared" si="333"/>
        <v>1</v>
      </c>
      <c r="CU241" s="25">
        <f t="shared" si="334"/>
        <v>1</v>
      </c>
      <c r="CV241" s="25">
        <f t="shared" si="335"/>
        <v>1</v>
      </c>
      <c r="CW241" s="25">
        <f t="shared" si="336"/>
        <v>1</v>
      </c>
      <c r="CX241" s="25">
        <f t="shared" si="337"/>
        <v>0</v>
      </c>
      <c r="CY241" s="25">
        <f t="shared" si="338"/>
        <v>0</v>
      </c>
      <c r="CZ241" s="25">
        <f t="shared" si="339"/>
        <v>0</v>
      </c>
      <c r="DA241" s="25">
        <f t="shared" si="340"/>
        <v>1</v>
      </c>
      <c r="DB241" s="25">
        <f t="shared" si="767"/>
        <v>1</v>
      </c>
      <c r="DC241" s="25">
        <f t="shared" si="341"/>
        <v>0</v>
      </c>
      <c r="DD241" s="25">
        <f>IF(OR($AD241&lt;&gt;3,F241="Exclude"),0,IF(ISERROR(MATCH($E241,'4 Sign-off'!$S$123:$X$123,0)),0,1))</f>
        <v>0</v>
      </c>
      <c r="DE241" s="25">
        <f t="shared" si="763"/>
        <v>0</v>
      </c>
      <c r="DF241" s="25">
        <f t="shared" si="342"/>
        <v>0</v>
      </c>
      <c r="DG241" s="25" t="str">
        <f t="shared" si="343"/>
        <v/>
      </c>
      <c r="DH241" s="25">
        <f t="shared" si="344"/>
        <v>0</v>
      </c>
      <c r="DI241" s="25">
        <f t="shared" si="345"/>
        <v>0</v>
      </c>
      <c r="DJ241" s="25">
        <f>IF(ISBLANK(J241),0,ISERROR(MATCH(J241,'5  Control Accounts'!$FA$29:$FA$96,0))*1)</f>
        <v>0</v>
      </c>
      <c r="DK241" s="25">
        <f t="shared" si="346"/>
        <v>0</v>
      </c>
      <c r="DL241" s="25">
        <f t="shared" si="768"/>
        <v>-1</v>
      </c>
      <c r="DM241" s="25" t="e">
        <f t="array" ref="DM241">MATCH(1,($EG241:$JD241&gt;0)*$EG$17:$JD$17,0)</f>
        <v>#N/A</v>
      </c>
      <c r="DN241" s="25" t="e">
        <f t="shared" si="551"/>
        <v>#N/A</v>
      </c>
      <c r="DO241" s="25" t="e">
        <f t="array" ref="DO241">MATCH(2,1/(EG241:JD241&gt;0))</f>
        <v>#N/A</v>
      </c>
      <c r="DP241" s="2993">
        <f t="shared" si="347"/>
        <v>0</v>
      </c>
      <c r="DQ241" s="3037">
        <f t="shared" si="348"/>
        <v>0</v>
      </c>
      <c r="DR241" s="111"/>
      <c r="DS241" s="1268">
        <f t="shared" si="743"/>
        <v>0</v>
      </c>
      <c r="DT241" s="1825"/>
      <c r="DU241" s="1826"/>
      <c r="DV241" s="1827"/>
      <c r="DW241" s="1828"/>
      <c r="DX241" s="659"/>
      <c r="DY241" s="1265"/>
      <c r="DZ241" s="1785">
        <f t="shared" ref="DZ241:DZ272" si="772">AL241</f>
        <v>0</v>
      </c>
      <c r="EA241" s="1786">
        <f t="shared" ref="EA241:EA273" si="773">IF($AD241=3,T241+U241,0)</f>
        <v>0</v>
      </c>
      <c r="EB241" s="1781">
        <f t="shared" si="552"/>
        <v>0</v>
      </c>
      <c r="EC241" s="1782">
        <f t="shared" si="553"/>
        <v>0</v>
      </c>
      <c r="ED241" s="1262"/>
      <c r="EE241" s="2280"/>
      <c r="EF241" s="1802"/>
      <c r="EG241" s="167"/>
      <c r="EH241" s="168"/>
      <c r="EI241" s="168"/>
      <c r="EJ241" s="168"/>
      <c r="EK241" s="168"/>
      <c r="EL241" s="168"/>
      <c r="EM241" s="168"/>
      <c r="EN241" s="168"/>
      <c r="EO241" s="168"/>
      <c r="EP241" s="168"/>
      <c r="EQ241" s="168"/>
      <c r="ER241" s="168"/>
      <c r="ES241" s="168"/>
      <c r="ET241" s="168"/>
      <c r="EU241" s="168"/>
      <c r="EV241" s="168"/>
      <c r="EW241" s="168"/>
      <c r="EX241" s="168"/>
      <c r="EY241" s="168"/>
      <c r="EZ241" s="168"/>
      <c r="FA241" s="168"/>
      <c r="FB241" s="168"/>
      <c r="FC241" s="168"/>
      <c r="FD241" s="168"/>
      <c r="FE241" s="168"/>
      <c r="FF241" s="168"/>
      <c r="FG241" s="168"/>
      <c r="FH241" s="168"/>
      <c r="FI241" s="168"/>
      <c r="FJ241" s="168"/>
      <c r="FK241" s="168"/>
      <c r="FL241" s="168"/>
      <c r="FM241" s="168"/>
      <c r="FN241" s="168"/>
      <c r="FO241" s="168"/>
      <c r="FP241" s="168"/>
      <c r="FQ241" s="168"/>
      <c r="FR241" s="168"/>
      <c r="FS241" s="168"/>
      <c r="FT241" s="168"/>
      <c r="FU241" s="168"/>
      <c r="FV241" s="168"/>
      <c r="FW241" s="168"/>
      <c r="FX241" s="168"/>
      <c r="FY241" s="168"/>
      <c r="FZ241" s="168"/>
      <c r="GA241" s="168"/>
      <c r="GB241" s="168"/>
      <c r="GC241" s="168"/>
      <c r="GD241" s="168"/>
      <c r="GE241" s="168"/>
      <c r="GF241" s="168"/>
      <c r="GG241" s="168"/>
      <c r="GH241" s="168"/>
      <c r="GI241" s="168"/>
      <c r="GJ241" s="168"/>
      <c r="GK241" s="168"/>
      <c r="GL241" s="168"/>
      <c r="GM241" s="168"/>
      <c r="GN241" s="168"/>
      <c r="GO241" s="168"/>
      <c r="GP241" s="168"/>
      <c r="GQ241" s="168"/>
      <c r="GR241" s="168"/>
      <c r="GS241" s="168"/>
      <c r="GT241" s="168"/>
      <c r="GU241" s="168"/>
      <c r="GV241" s="168"/>
      <c r="GW241" s="168"/>
      <c r="GX241" s="168"/>
      <c r="GY241" s="168"/>
      <c r="GZ241" s="168"/>
      <c r="HA241" s="168"/>
      <c r="HB241" s="168"/>
      <c r="HC241" s="168"/>
      <c r="HD241" s="168"/>
      <c r="HE241" s="168"/>
      <c r="HF241" s="168"/>
      <c r="HG241" s="168"/>
      <c r="HH241" s="168"/>
      <c r="HI241" s="168"/>
      <c r="HJ241" s="168"/>
      <c r="HK241" s="168"/>
      <c r="HL241" s="168"/>
      <c r="HM241" s="168"/>
      <c r="HN241" s="168"/>
      <c r="HO241" s="168"/>
      <c r="HP241" s="168"/>
      <c r="HQ241" s="168"/>
      <c r="HR241" s="168"/>
      <c r="HS241" s="168"/>
      <c r="HT241" s="168"/>
      <c r="HU241" s="168"/>
      <c r="HV241" s="168"/>
      <c r="HW241" s="168"/>
      <c r="HX241" s="168"/>
      <c r="HY241" s="168"/>
      <c r="HZ241" s="168"/>
      <c r="IA241" s="168"/>
      <c r="IB241" s="168"/>
      <c r="IC241" s="168"/>
      <c r="ID241" s="168"/>
      <c r="IE241" s="168"/>
      <c r="IF241" s="168"/>
      <c r="IG241" s="168"/>
      <c r="IH241" s="168"/>
      <c r="II241" s="168"/>
      <c r="IJ241" s="168"/>
      <c r="IK241" s="168"/>
      <c r="IL241" s="168"/>
      <c r="IM241" s="168"/>
      <c r="IN241" s="168"/>
      <c r="IO241" s="168"/>
      <c r="IP241" s="168"/>
      <c r="IQ241" s="168"/>
      <c r="IR241" s="168"/>
      <c r="IS241" s="168"/>
      <c r="IT241" s="168"/>
      <c r="IU241" s="168"/>
      <c r="IV241" s="168"/>
      <c r="IW241" s="168"/>
      <c r="IX241" s="168"/>
      <c r="IY241" s="168"/>
      <c r="IZ241" s="168"/>
      <c r="JA241" s="168"/>
      <c r="JB241" s="168"/>
      <c r="JC241" s="606"/>
      <c r="JD241" s="609"/>
      <c r="JE241" s="1"/>
      <c r="JF241" s="1"/>
    </row>
    <row r="242" spans="1:266" s="2" customFormat="1" ht="15" customHeight="1" x14ac:dyDescent="0.25">
      <c r="A242" s="283"/>
      <c r="B242" s="303"/>
      <c r="C242" s="301"/>
      <c r="D242" s="638"/>
      <c r="E242" s="2298"/>
      <c r="F242" s="1812"/>
      <c r="G242" s="3342"/>
      <c r="H242" s="66"/>
      <c r="I242" s="1746"/>
      <c r="J242" s="86"/>
      <c r="K242" s="105"/>
      <c r="L242" s="91"/>
      <c r="M242" s="92"/>
      <c r="N242" s="93"/>
      <c r="O242" s="94"/>
      <c r="P242" s="96"/>
      <c r="Q242" s="95"/>
      <c r="R242" s="993">
        <f t="shared" si="769"/>
        <v>0</v>
      </c>
      <c r="S242" s="23">
        <f t="shared" si="298"/>
        <v>0</v>
      </c>
      <c r="T242" s="24">
        <f t="shared" si="299"/>
        <v>0</v>
      </c>
      <c r="U242" s="24">
        <f t="shared" si="300"/>
        <v>0</v>
      </c>
      <c r="V242" s="24">
        <f t="shared" si="301"/>
        <v>0</v>
      </c>
      <c r="W242" s="24">
        <f t="shared" si="302"/>
        <v>0</v>
      </c>
      <c r="X242" s="72">
        <f t="shared" si="303"/>
        <v>0</v>
      </c>
      <c r="Y242" s="72">
        <f t="shared" si="304"/>
        <v>0</v>
      </c>
      <c r="Z242" s="24">
        <f t="shared" si="770"/>
        <v>0</v>
      </c>
      <c r="AA242" s="72">
        <f t="shared" si="305"/>
        <v>0</v>
      </c>
      <c r="AB242" s="24">
        <f t="shared" si="306"/>
        <v>0</v>
      </c>
      <c r="AC242" s="24" t="s">
        <v>5</v>
      </c>
      <c r="AD242" s="25">
        <f t="shared" si="764"/>
        <v>3</v>
      </c>
      <c r="AE242" s="25">
        <f t="shared" si="765"/>
        <v>0</v>
      </c>
      <c r="AF242" s="25">
        <f t="shared" si="766"/>
        <v>0</v>
      </c>
      <c r="AG242" s="25">
        <f t="shared" si="307"/>
        <v>1</v>
      </c>
      <c r="AH242" s="25" t="str">
        <f>IFERROR(MATCH(DY242,'2 Staff List'!$IA$64:$IA$114,0),"x")</f>
        <v>x</v>
      </c>
      <c r="AI242" s="1181">
        <f>IFERROR(INDEX('2 Staff List'!$EX$64:$EX$114,$AH242),0)</f>
        <v>0</v>
      </c>
      <c r="AJ242" s="25">
        <f>IFERROR(INDEX('2 Staff List'!$IW$64:$IW$114,$AH242),0)</f>
        <v>0</v>
      </c>
      <c r="AK242" s="25">
        <f>IFERROR(INDEX('2 Staff List'!$IB$64:$IB$114,$AH242),0)</f>
        <v>0</v>
      </c>
      <c r="AL242" s="25">
        <f>IF(OR(NOT(ISBLANK(DV242)),CX242=1),"&lt;Non-Labor&gt;",IFERROR(IF(AH242=0,0,INDEX('2 Staff List'!$HZ$64:$HZ$114,$AH242)),0))</f>
        <v>0</v>
      </c>
      <c r="AM242" s="25">
        <f>IFERROR(INDEX('2 Staff List'!$HW$64:$HW$114,$AH242),0)</f>
        <v>0</v>
      </c>
      <c r="AN242" s="25">
        <f t="shared" si="308"/>
        <v>1</v>
      </c>
      <c r="AO242" s="25">
        <f>IF($AO$127=0,0,IFERROR(INDEX('2 Staff List'!$JH$64:$JH$114,$AH242),0))</f>
        <v>0</v>
      </c>
      <c r="AP242" s="25">
        <f>IFERROR(INDEX('2 Staff List'!$HU$64:$HU$114,$AH242),0)</f>
        <v>0</v>
      </c>
      <c r="AQ242" s="25">
        <f t="shared" si="309"/>
        <v>0</v>
      </c>
      <c r="AR242" s="25">
        <f t="shared" si="310"/>
        <v>0</v>
      </c>
      <c r="AS242" s="25">
        <f t="shared" si="311"/>
        <v>0</v>
      </c>
      <c r="AT242" s="25">
        <f t="shared" si="312"/>
        <v>0</v>
      </c>
      <c r="AU242" s="25">
        <f t="shared" si="313"/>
        <v>0</v>
      </c>
      <c r="AV242" s="25">
        <f t="shared" si="314"/>
        <v>0</v>
      </c>
      <c r="AW242" s="25">
        <f t="shared" si="315"/>
        <v>0</v>
      </c>
      <c r="AX242" s="25">
        <f t="shared" si="316"/>
        <v>0</v>
      </c>
      <c r="AY242" s="25">
        <f t="shared" si="317"/>
        <v>0</v>
      </c>
      <c r="AZ242" s="25">
        <f t="shared" si="318"/>
        <v>0</v>
      </c>
      <c r="BA242" s="25">
        <f t="shared" si="319"/>
        <v>0</v>
      </c>
      <c r="BB242" s="25">
        <f t="shared" si="320"/>
        <v>0</v>
      </c>
      <c r="BC242" s="25">
        <f>IFERROR(INDEX('2 Staff List'!KS$64:KS$114,$AH242),0)</f>
        <v>0</v>
      </c>
      <c r="BD242" s="25">
        <f>IFERROR(INDEX('2 Staff List'!KT$64:KT$114,$AH242),0)</f>
        <v>0</v>
      </c>
      <c r="BE242" s="25">
        <f>IFERROR(INDEX('2 Staff List'!KU$64:KU$114,$AH242),0)</f>
        <v>0</v>
      </c>
      <c r="BF242" s="25">
        <f>IFERROR(INDEX('2 Staff List'!KV$64:KV$114,$AH242),0)</f>
        <v>0</v>
      </c>
      <c r="BG242" s="25">
        <f>IFERROR(INDEX('2 Staff List'!KW$64:KW$114,$AH242),0)</f>
        <v>0</v>
      </c>
      <c r="BH242" s="25">
        <f>IFERROR(INDEX('2 Staff List'!KX$64:KX$114,$AH242),0)</f>
        <v>0</v>
      </c>
      <c r="BI242" s="25">
        <f>IFERROR(INDEX('2 Staff List'!KY$64:KY$114,$AH242),0)</f>
        <v>0</v>
      </c>
      <c r="BJ242" s="25">
        <f>IFERROR(INDEX('2 Staff List'!KZ$64:KZ$114,$AH242),0)</f>
        <v>0</v>
      </c>
      <c r="BK242" s="25">
        <f>IFERROR(INDEX('2 Staff List'!LA$64:LA$114,$AH242),0)</f>
        <v>0</v>
      </c>
      <c r="BL242" s="25">
        <f>IFERROR(INDEX('2 Staff List'!LB$64:LB$114,$AH242),0)</f>
        <v>0</v>
      </c>
      <c r="BM242" s="25">
        <f>IFERROR(INDEX('2 Staff List'!FT$64:FT$114,$AH242),0)</f>
        <v>0</v>
      </c>
      <c r="BN242" s="25">
        <f>IFERROR(INDEX('2 Staff List'!FU$64:FU$114,$AH242),0)</f>
        <v>0</v>
      </c>
      <c r="BO242" s="25">
        <f>IFERROR(INDEX('2 Staff List'!FV$64:FV$114,$AH242),0)</f>
        <v>0</v>
      </c>
      <c r="BP242" s="25">
        <f>IFERROR(INDEX('2 Staff List'!FW$64:FW$114,$AH242),0)</f>
        <v>0</v>
      </c>
      <c r="BQ242" s="25">
        <f>IFERROR(INDEX('2 Staff List'!FX$64:FX$114,$AH242),0)</f>
        <v>0</v>
      </c>
      <c r="BR242" s="25">
        <f>IFERROR(INDEX('2 Staff List'!FY$64:FY$114,$AH242),0)</f>
        <v>0</v>
      </c>
      <c r="BS242" s="25">
        <f>IFERROR(INDEX('2 Staff List'!FZ$64:FZ$114,$AH242),0)</f>
        <v>0</v>
      </c>
      <c r="BT242" s="25">
        <f>IFERROR(INDEX('2 Staff List'!GA$64:GA$114,$AH242),0)</f>
        <v>0</v>
      </c>
      <c r="BU242" s="25">
        <f>IFERROR(INDEX('2 Staff List'!GB$64:GB$114,$AH242),0)</f>
        <v>0</v>
      </c>
      <c r="BV242" s="25">
        <f>IFERROR(INDEX('2 Staff List'!GC$64:GC$114,$AH242),0)</f>
        <v>0</v>
      </c>
      <c r="BW242" s="25">
        <f t="shared" si="321"/>
        <v>0</v>
      </c>
      <c r="BX242" s="25">
        <f t="shared" si="322"/>
        <v>0</v>
      </c>
      <c r="BY242" s="25">
        <f t="shared" si="323"/>
        <v>0</v>
      </c>
      <c r="BZ242" s="25">
        <f t="shared" si="324"/>
        <v>0</v>
      </c>
      <c r="CA242" s="25">
        <f t="shared" si="325"/>
        <v>0</v>
      </c>
      <c r="CB242" s="25">
        <f t="shared" si="326"/>
        <v>0</v>
      </c>
      <c r="CC242" s="25">
        <f t="shared" si="327"/>
        <v>0</v>
      </c>
      <c r="CD242" s="25">
        <f t="shared" si="328"/>
        <v>0</v>
      </c>
      <c r="CE242" s="25">
        <f t="shared" si="329"/>
        <v>0</v>
      </c>
      <c r="CF242" s="25">
        <f t="shared" si="330"/>
        <v>0</v>
      </c>
      <c r="CG242" s="25">
        <f t="shared" si="331"/>
        <v>0</v>
      </c>
      <c r="CH242" s="25">
        <f>IFERROR(INDEX('2 Staff List'!LO$64:LO$114,$AH242),0)</f>
        <v>0</v>
      </c>
      <c r="CI242" s="25">
        <f>IFERROR(INDEX('2 Staff List'!LP$64:LP$114,$AH242),0)</f>
        <v>0</v>
      </c>
      <c r="CJ242" s="25">
        <f>IFERROR(INDEX('2 Staff List'!LQ$64:LQ$114,$AH242),0)</f>
        <v>0</v>
      </c>
      <c r="CK242" s="25">
        <f>IFERROR(INDEX('2 Staff List'!LR$64:LR$114,$AH242),0)</f>
        <v>0</v>
      </c>
      <c r="CL242" s="25">
        <f>IFERROR(INDEX('2 Staff List'!LS$64:LS$114,$AH242),0)</f>
        <v>0</v>
      </c>
      <c r="CM242" s="25">
        <f>IFERROR(INDEX('2 Staff List'!LT$64:LT$114,$AH242),0)</f>
        <v>0</v>
      </c>
      <c r="CN242" s="25">
        <f>IFERROR(INDEX('2 Staff List'!LU$64:LU$114,$AH242),0)</f>
        <v>0</v>
      </c>
      <c r="CO242" s="25">
        <f>IFERROR(INDEX('2 Staff List'!LV$64:LV$114,$AH242),0)</f>
        <v>0</v>
      </c>
      <c r="CP242" s="25">
        <f>IFERROR(INDEX('2 Staff List'!LW$64:LW$114,$AH242),0)</f>
        <v>0</v>
      </c>
      <c r="CQ242" s="25">
        <f>IFERROR(INDEX('2 Staff List'!LX$64:LX$114,$AH242),0)</f>
        <v>0</v>
      </c>
      <c r="CR242" s="25">
        <f t="shared" si="771"/>
        <v>0</v>
      </c>
      <c r="CS242" s="25">
        <f t="shared" si="349"/>
        <v>1</v>
      </c>
      <c r="CT242" s="25">
        <f t="shared" si="333"/>
        <v>1</v>
      </c>
      <c r="CU242" s="25">
        <f t="shared" si="334"/>
        <v>1</v>
      </c>
      <c r="CV242" s="25">
        <f t="shared" si="335"/>
        <v>1</v>
      </c>
      <c r="CW242" s="25">
        <f t="shared" si="336"/>
        <v>1</v>
      </c>
      <c r="CX242" s="25">
        <f t="shared" si="337"/>
        <v>0</v>
      </c>
      <c r="CY242" s="25">
        <f t="shared" si="338"/>
        <v>0</v>
      </c>
      <c r="CZ242" s="25">
        <f t="shared" si="339"/>
        <v>0</v>
      </c>
      <c r="DA242" s="25">
        <f t="shared" si="340"/>
        <v>1</v>
      </c>
      <c r="DB242" s="25">
        <f t="shared" si="767"/>
        <v>1</v>
      </c>
      <c r="DC242" s="25">
        <f t="shared" si="341"/>
        <v>0</v>
      </c>
      <c r="DD242" s="25">
        <f>IF(OR($AD242&lt;&gt;3,F242="Exclude"),0,IF(ISERROR(MATCH($E242,'4 Sign-off'!$S$123:$X$123,0)),0,1))</f>
        <v>0</v>
      </c>
      <c r="DE242" s="25">
        <f t="shared" si="763"/>
        <v>0</v>
      </c>
      <c r="DF242" s="25">
        <f t="shared" si="342"/>
        <v>0</v>
      </c>
      <c r="DG242" s="25" t="str">
        <f t="shared" si="343"/>
        <v/>
      </c>
      <c r="DH242" s="25">
        <f t="shared" si="344"/>
        <v>0</v>
      </c>
      <c r="DI242" s="25">
        <f t="shared" si="345"/>
        <v>0</v>
      </c>
      <c r="DJ242" s="25">
        <f>IF(ISBLANK(J242),0,ISERROR(MATCH(J242,'5  Control Accounts'!$FA$29:$FA$96,0))*1)</f>
        <v>0</v>
      </c>
      <c r="DK242" s="25">
        <f t="shared" si="346"/>
        <v>0</v>
      </c>
      <c r="DL242" s="25">
        <f t="shared" si="768"/>
        <v>-1</v>
      </c>
      <c r="DM242" s="25" t="e">
        <f t="array" ref="DM242">MATCH(1,($EG242:$JD242&gt;0)*$EG$17:$JD$17,0)</f>
        <v>#N/A</v>
      </c>
      <c r="DN242" s="25" t="e">
        <f t="shared" si="551"/>
        <v>#N/A</v>
      </c>
      <c r="DO242" s="25" t="e">
        <f t="array" ref="DO242">MATCH(2,1/(EG242:JD242&gt;0))</f>
        <v>#N/A</v>
      </c>
      <c r="DP242" s="2993">
        <f t="shared" si="347"/>
        <v>0</v>
      </c>
      <c r="DQ242" s="3037">
        <f t="shared" si="348"/>
        <v>0</v>
      </c>
      <c r="DR242" s="111"/>
      <c r="DS242" s="1268">
        <f t="shared" si="743"/>
        <v>0</v>
      </c>
      <c r="DT242" s="1825"/>
      <c r="DU242" s="1826"/>
      <c r="DV242" s="1827"/>
      <c r="DW242" s="1828"/>
      <c r="DX242" s="659"/>
      <c r="DY242" s="1265"/>
      <c r="DZ242" s="1785">
        <f t="shared" si="772"/>
        <v>0</v>
      </c>
      <c r="EA242" s="1786">
        <f t="shared" si="773"/>
        <v>0</v>
      </c>
      <c r="EB242" s="1781">
        <f t="shared" si="552"/>
        <v>0</v>
      </c>
      <c r="EC242" s="1782">
        <f t="shared" si="553"/>
        <v>0</v>
      </c>
      <c r="ED242" s="1262"/>
      <c r="EE242" s="2280"/>
      <c r="EF242" s="1802"/>
      <c r="EG242" s="167"/>
      <c r="EH242" s="168"/>
      <c r="EI242" s="168"/>
      <c r="EJ242" s="168"/>
      <c r="EK242" s="168"/>
      <c r="EL242" s="168"/>
      <c r="EM242" s="168"/>
      <c r="EN242" s="168"/>
      <c r="EO242" s="168"/>
      <c r="EP242" s="168"/>
      <c r="EQ242" s="168"/>
      <c r="ER242" s="168"/>
      <c r="ES242" s="168"/>
      <c r="ET242" s="168"/>
      <c r="EU242" s="168"/>
      <c r="EV242" s="168"/>
      <c r="EW242" s="168"/>
      <c r="EX242" s="168"/>
      <c r="EY242" s="168"/>
      <c r="EZ242" s="168"/>
      <c r="FA242" s="168"/>
      <c r="FB242" s="168"/>
      <c r="FC242" s="168"/>
      <c r="FD242" s="168"/>
      <c r="FE242" s="168"/>
      <c r="FF242" s="168"/>
      <c r="FG242" s="168"/>
      <c r="FH242" s="168"/>
      <c r="FI242" s="168"/>
      <c r="FJ242" s="168"/>
      <c r="FK242" s="168"/>
      <c r="FL242" s="168"/>
      <c r="FM242" s="168"/>
      <c r="FN242" s="168"/>
      <c r="FO242" s="168"/>
      <c r="FP242" s="168"/>
      <c r="FQ242" s="168"/>
      <c r="FR242" s="168"/>
      <c r="FS242" s="168"/>
      <c r="FT242" s="168"/>
      <c r="FU242" s="168"/>
      <c r="FV242" s="168"/>
      <c r="FW242" s="168"/>
      <c r="FX242" s="168"/>
      <c r="FY242" s="168"/>
      <c r="FZ242" s="168"/>
      <c r="GA242" s="168"/>
      <c r="GB242" s="168"/>
      <c r="GC242" s="168"/>
      <c r="GD242" s="168"/>
      <c r="GE242" s="168"/>
      <c r="GF242" s="168"/>
      <c r="GG242" s="168"/>
      <c r="GH242" s="168"/>
      <c r="GI242" s="168"/>
      <c r="GJ242" s="168"/>
      <c r="GK242" s="168"/>
      <c r="GL242" s="168"/>
      <c r="GM242" s="168"/>
      <c r="GN242" s="168"/>
      <c r="GO242" s="168"/>
      <c r="GP242" s="168"/>
      <c r="GQ242" s="168"/>
      <c r="GR242" s="168"/>
      <c r="GS242" s="168"/>
      <c r="GT242" s="168"/>
      <c r="GU242" s="168"/>
      <c r="GV242" s="168"/>
      <c r="GW242" s="168"/>
      <c r="GX242" s="168"/>
      <c r="GY242" s="168"/>
      <c r="GZ242" s="168"/>
      <c r="HA242" s="168"/>
      <c r="HB242" s="168"/>
      <c r="HC242" s="168"/>
      <c r="HD242" s="168"/>
      <c r="HE242" s="168"/>
      <c r="HF242" s="168"/>
      <c r="HG242" s="168"/>
      <c r="HH242" s="168"/>
      <c r="HI242" s="168"/>
      <c r="HJ242" s="168"/>
      <c r="HK242" s="168"/>
      <c r="HL242" s="168"/>
      <c r="HM242" s="168"/>
      <c r="HN242" s="168"/>
      <c r="HO242" s="168"/>
      <c r="HP242" s="168"/>
      <c r="HQ242" s="168"/>
      <c r="HR242" s="168"/>
      <c r="HS242" s="168"/>
      <c r="HT242" s="168"/>
      <c r="HU242" s="168"/>
      <c r="HV242" s="168"/>
      <c r="HW242" s="168"/>
      <c r="HX242" s="168"/>
      <c r="HY242" s="168"/>
      <c r="HZ242" s="168"/>
      <c r="IA242" s="168"/>
      <c r="IB242" s="168"/>
      <c r="IC242" s="168"/>
      <c r="ID242" s="168"/>
      <c r="IE242" s="168"/>
      <c r="IF242" s="168"/>
      <c r="IG242" s="168"/>
      <c r="IH242" s="168"/>
      <c r="II242" s="168"/>
      <c r="IJ242" s="168"/>
      <c r="IK242" s="168"/>
      <c r="IL242" s="168"/>
      <c r="IM242" s="168"/>
      <c r="IN242" s="168"/>
      <c r="IO242" s="168"/>
      <c r="IP242" s="168"/>
      <c r="IQ242" s="168"/>
      <c r="IR242" s="168"/>
      <c r="IS242" s="168"/>
      <c r="IT242" s="168"/>
      <c r="IU242" s="168"/>
      <c r="IV242" s="168"/>
      <c r="IW242" s="168"/>
      <c r="IX242" s="168"/>
      <c r="IY242" s="168"/>
      <c r="IZ242" s="168"/>
      <c r="JA242" s="168"/>
      <c r="JB242" s="168"/>
      <c r="JC242" s="606"/>
      <c r="JD242" s="609"/>
      <c r="JE242" s="1"/>
      <c r="JF242" s="1"/>
    </row>
    <row r="243" spans="1:266" s="2" customFormat="1" ht="15" customHeight="1" x14ac:dyDescent="0.25">
      <c r="A243" s="283"/>
      <c r="B243" s="303"/>
      <c r="C243" s="301"/>
      <c r="D243" s="638"/>
      <c r="E243" s="2298"/>
      <c r="F243" s="1812"/>
      <c r="G243" s="3342"/>
      <c r="H243" s="66"/>
      <c r="I243" s="1746"/>
      <c r="J243" s="86"/>
      <c r="K243" s="105"/>
      <c r="L243" s="91"/>
      <c r="M243" s="92"/>
      <c r="N243" s="93"/>
      <c r="O243" s="94"/>
      <c r="P243" s="96"/>
      <c r="Q243" s="95"/>
      <c r="R243" s="993">
        <f t="shared" si="769"/>
        <v>0</v>
      </c>
      <c r="S243" s="23">
        <f t="shared" si="298"/>
        <v>0</v>
      </c>
      <c r="T243" s="24">
        <f t="shared" si="299"/>
        <v>0</v>
      </c>
      <c r="U243" s="24">
        <f t="shared" si="300"/>
        <v>0</v>
      </c>
      <c r="V243" s="24">
        <f t="shared" si="301"/>
        <v>0</v>
      </c>
      <c r="W243" s="24">
        <f t="shared" si="302"/>
        <v>0</v>
      </c>
      <c r="X243" s="72">
        <f t="shared" si="303"/>
        <v>0</v>
      </c>
      <c r="Y243" s="72">
        <f t="shared" si="304"/>
        <v>0</v>
      </c>
      <c r="Z243" s="24">
        <f t="shared" si="770"/>
        <v>0</v>
      </c>
      <c r="AA243" s="72">
        <f t="shared" si="305"/>
        <v>0</v>
      </c>
      <c r="AB243" s="24">
        <f t="shared" si="306"/>
        <v>0</v>
      </c>
      <c r="AC243" s="24" t="s">
        <v>5</v>
      </c>
      <c r="AD243" s="25">
        <f t="shared" si="764"/>
        <v>3</v>
      </c>
      <c r="AE243" s="25">
        <f t="shared" si="765"/>
        <v>0</v>
      </c>
      <c r="AF243" s="25">
        <f t="shared" si="766"/>
        <v>0</v>
      </c>
      <c r="AG243" s="25">
        <f t="shared" si="307"/>
        <v>1</v>
      </c>
      <c r="AH243" s="25" t="str">
        <f>IFERROR(MATCH(DY243,'2 Staff List'!$IA$64:$IA$114,0),"x")</f>
        <v>x</v>
      </c>
      <c r="AI243" s="1181">
        <f>IFERROR(INDEX('2 Staff List'!$EX$64:$EX$114,$AH243),0)</f>
        <v>0</v>
      </c>
      <c r="AJ243" s="25">
        <f>IFERROR(INDEX('2 Staff List'!$IW$64:$IW$114,$AH243),0)</f>
        <v>0</v>
      </c>
      <c r="AK243" s="25">
        <f>IFERROR(INDEX('2 Staff List'!$IB$64:$IB$114,$AH243),0)</f>
        <v>0</v>
      </c>
      <c r="AL243" s="25">
        <f>IF(OR(NOT(ISBLANK(DV243)),CX243=1),"&lt;Non-Labor&gt;",IFERROR(IF(AH243=0,0,INDEX('2 Staff List'!$HZ$64:$HZ$114,$AH243)),0))</f>
        <v>0</v>
      </c>
      <c r="AM243" s="25">
        <f>IFERROR(INDEX('2 Staff List'!$HW$64:$HW$114,$AH243),0)</f>
        <v>0</v>
      </c>
      <c r="AN243" s="25">
        <f t="shared" si="308"/>
        <v>1</v>
      </c>
      <c r="AO243" s="25">
        <f>IF($AO$127=0,0,IFERROR(INDEX('2 Staff List'!$JH$64:$JH$114,$AH243),0))</f>
        <v>0</v>
      </c>
      <c r="AP243" s="25">
        <f>IFERROR(INDEX('2 Staff List'!$HU$64:$HU$114,$AH243),0)</f>
        <v>0</v>
      </c>
      <c r="AQ243" s="25">
        <f t="shared" si="309"/>
        <v>0</v>
      </c>
      <c r="AR243" s="25">
        <f t="shared" si="310"/>
        <v>0</v>
      </c>
      <c r="AS243" s="25">
        <f t="shared" si="311"/>
        <v>0</v>
      </c>
      <c r="AT243" s="25">
        <f t="shared" si="312"/>
        <v>0</v>
      </c>
      <c r="AU243" s="25">
        <f t="shared" si="313"/>
        <v>0</v>
      </c>
      <c r="AV243" s="25">
        <f t="shared" si="314"/>
        <v>0</v>
      </c>
      <c r="AW243" s="25">
        <f t="shared" si="315"/>
        <v>0</v>
      </c>
      <c r="AX243" s="25">
        <f t="shared" si="316"/>
        <v>0</v>
      </c>
      <c r="AY243" s="25">
        <f t="shared" si="317"/>
        <v>0</v>
      </c>
      <c r="AZ243" s="25">
        <f t="shared" si="318"/>
        <v>0</v>
      </c>
      <c r="BA243" s="25">
        <f t="shared" si="319"/>
        <v>0</v>
      </c>
      <c r="BB243" s="25">
        <f t="shared" si="320"/>
        <v>0</v>
      </c>
      <c r="BC243" s="25">
        <f>IFERROR(INDEX('2 Staff List'!KS$64:KS$114,$AH243),0)</f>
        <v>0</v>
      </c>
      <c r="BD243" s="25">
        <f>IFERROR(INDEX('2 Staff List'!KT$64:KT$114,$AH243),0)</f>
        <v>0</v>
      </c>
      <c r="BE243" s="25">
        <f>IFERROR(INDEX('2 Staff List'!KU$64:KU$114,$AH243),0)</f>
        <v>0</v>
      </c>
      <c r="BF243" s="25">
        <f>IFERROR(INDEX('2 Staff List'!KV$64:KV$114,$AH243),0)</f>
        <v>0</v>
      </c>
      <c r="BG243" s="25">
        <f>IFERROR(INDEX('2 Staff List'!KW$64:KW$114,$AH243),0)</f>
        <v>0</v>
      </c>
      <c r="BH243" s="25">
        <f>IFERROR(INDEX('2 Staff List'!KX$64:KX$114,$AH243),0)</f>
        <v>0</v>
      </c>
      <c r="BI243" s="25">
        <f>IFERROR(INDEX('2 Staff List'!KY$64:KY$114,$AH243),0)</f>
        <v>0</v>
      </c>
      <c r="BJ243" s="25">
        <f>IFERROR(INDEX('2 Staff List'!KZ$64:KZ$114,$AH243),0)</f>
        <v>0</v>
      </c>
      <c r="BK243" s="25">
        <f>IFERROR(INDEX('2 Staff List'!LA$64:LA$114,$AH243),0)</f>
        <v>0</v>
      </c>
      <c r="BL243" s="25">
        <f>IFERROR(INDEX('2 Staff List'!LB$64:LB$114,$AH243),0)</f>
        <v>0</v>
      </c>
      <c r="BM243" s="25">
        <f>IFERROR(INDEX('2 Staff List'!FT$64:FT$114,$AH243),0)</f>
        <v>0</v>
      </c>
      <c r="BN243" s="25">
        <f>IFERROR(INDEX('2 Staff List'!FU$64:FU$114,$AH243),0)</f>
        <v>0</v>
      </c>
      <c r="BO243" s="25">
        <f>IFERROR(INDEX('2 Staff List'!FV$64:FV$114,$AH243),0)</f>
        <v>0</v>
      </c>
      <c r="BP243" s="25">
        <f>IFERROR(INDEX('2 Staff List'!FW$64:FW$114,$AH243),0)</f>
        <v>0</v>
      </c>
      <c r="BQ243" s="25">
        <f>IFERROR(INDEX('2 Staff List'!FX$64:FX$114,$AH243),0)</f>
        <v>0</v>
      </c>
      <c r="BR243" s="25">
        <f>IFERROR(INDEX('2 Staff List'!FY$64:FY$114,$AH243),0)</f>
        <v>0</v>
      </c>
      <c r="BS243" s="25">
        <f>IFERROR(INDEX('2 Staff List'!FZ$64:FZ$114,$AH243),0)</f>
        <v>0</v>
      </c>
      <c r="BT243" s="25">
        <f>IFERROR(INDEX('2 Staff List'!GA$64:GA$114,$AH243),0)</f>
        <v>0</v>
      </c>
      <c r="BU243" s="25">
        <f>IFERROR(INDEX('2 Staff List'!GB$64:GB$114,$AH243),0)</f>
        <v>0</v>
      </c>
      <c r="BV243" s="25">
        <f>IFERROR(INDEX('2 Staff List'!GC$64:GC$114,$AH243),0)</f>
        <v>0</v>
      </c>
      <c r="BW243" s="25">
        <f t="shared" si="321"/>
        <v>0</v>
      </c>
      <c r="BX243" s="25">
        <f t="shared" si="322"/>
        <v>0</v>
      </c>
      <c r="BY243" s="25">
        <f t="shared" si="323"/>
        <v>0</v>
      </c>
      <c r="BZ243" s="25">
        <f t="shared" si="324"/>
        <v>0</v>
      </c>
      <c r="CA243" s="25">
        <f t="shared" si="325"/>
        <v>0</v>
      </c>
      <c r="CB243" s="25">
        <f t="shared" si="326"/>
        <v>0</v>
      </c>
      <c r="CC243" s="25">
        <f t="shared" si="327"/>
        <v>0</v>
      </c>
      <c r="CD243" s="25">
        <f t="shared" si="328"/>
        <v>0</v>
      </c>
      <c r="CE243" s="25">
        <f t="shared" si="329"/>
        <v>0</v>
      </c>
      <c r="CF243" s="25">
        <f t="shared" si="330"/>
        <v>0</v>
      </c>
      <c r="CG243" s="25">
        <f t="shared" si="331"/>
        <v>0</v>
      </c>
      <c r="CH243" s="25">
        <f>IFERROR(INDEX('2 Staff List'!LO$64:LO$114,$AH243),0)</f>
        <v>0</v>
      </c>
      <c r="CI243" s="25">
        <f>IFERROR(INDEX('2 Staff List'!LP$64:LP$114,$AH243),0)</f>
        <v>0</v>
      </c>
      <c r="CJ243" s="25">
        <f>IFERROR(INDEX('2 Staff List'!LQ$64:LQ$114,$AH243),0)</f>
        <v>0</v>
      </c>
      <c r="CK243" s="25">
        <f>IFERROR(INDEX('2 Staff List'!LR$64:LR$114,$AH243),0)</f>
        <v>0</v>
      </c>
      <c r="CL243" s="25">
        <f>IFERROR(INDEX('2 Staff List'!LS$64:LS$114,$AH243),0)</f>
        <v>0</v>
      </c>
      <c r="CM243" s="25">
        <f>IFERROR(INDEX('2 Staff List'!LT$64:LT$114,$AH243),0)</f>
        <v>0</v>
      </c>
      <c r="CN243" s="25">
        <f>IFERROR(INDEX('2 Staff List'!LU$64:LU$114,$AH243),0)</f>
        <v>0</v>
      </c>
      <c r="CO243" s="25">
        <f>IFERROR(INDEX('2 Staff List'!LV$64:LV$114,$AH243),0)</f>
        <v>0</v>
      </c>
      <c r="CP243" s="25">
        <f>IFERROR(INDEX('2 Staff List'!LW$64:LW$114,$AH243),0)</f>
        <v>0</v>
      </c>
      <c r="CQ243" s="25">
        <f>IFERROR(INDEX('2 Staff List'!LX$64:LX$114,$AH243),0)</f>
        <v>0</v>
      </c>
      <c r="CR243" s="25">
        <f t="shared" si="771"/>
        <v>0</v>
      </c>
      <c r="CS243" s="25">
        <f t="shared" si="349"/>
        <v>1</v>
      </c>
      <c r="CT243" s="25">
        <f t="shared" si="333"/>
        <v>1</v>
      </c>
      <c r="CU243" s="25">
        <f t="shared" si="334"/>
        <v>1</v>
      </c>
      <c r="CV243" s="25">
        <f t="shared" si="335"/>
        <v>1</v>
      </c>
      <c r="CW243" s="25">
        <f t="shared" si="336"/>
        <v>1</v>
      </c>
      <c r="CX243" s="25">
        <f t="shared" si="337"/>
        <v>0</v>
      </c>
      <c r="CY243" s="25">
        <f t="shared" si="338"/>
        <v>0</v>
      </c>
      <c r="CZ243" s="25">
        <f t="shared" si="339"/>
        <v>0</v>
      </c>
      <c r="DA243" s="25">
        <f t="shared" si="340"/>
        <v>1</v>
      </c>
      <c r="DB243" s="25">
        <f t="shared" si="767"/>
        <v>1</v>
      </c>
      <c r="DC243" s="25">
        <f t="shared" si="341"/>
        <v>0</v>
      </c>
      <c r="DD243" s="25">
        <f>IF(OR($AD243&lt;&gt;3,F243="Exclude"),0,IF(ISERROR(MATCH($E243,'4 Sign-off'!$S$123:$X$123,0)),0,1))</f>
        <v>0</v>
      </c>
      <c r="DE243" s="25">
        <f t="shared" si="763"/>
        <v>0</v>
      </c>
      <c r="DF243" s="25">
        <f t="shared" si="342"/>
        <v>0</v>
      </c>
      <c r="DG243" s="25" t="str">
        <f t="shared" si="343"/>
        <v/>
      </c>
      <c r="DH243" s="25">
        <f t="shared" si="344"/>
        <v>0</v>
      </c>
      <c r="DI243" s="25">
        <f t="shared" si="345"/>
        <v>0</v>
      </c>
      <c r="DJ243" s="25">
        <f>IF(ISBLANK(J243),0,ISERROR(MATCH(J243,'5  Control Accounts'!$FA$29:$FA$96,0))*1)</f>
        <v>0</v>
      </c>
      <c r="DK243" s="25">
        <f t="shared" si="346"/>
        <v>0</v>
      </c>
      <c r="DL243" s="25">
        <f t="shared" si="768"/>
        <v>-1</v>
      </c>
      <c r="DM243" s="25" t="e">
        <f t="array" ref="DM243">MATCH(1,($EG243:$JD243&gt;0)*$EG$17:$JD$17,0)</f>
        <v>#N/A</v>
      </c>
      <c r="DN243" s="25" t="e">
        <f t="shared" si="551"/>
        <v>#N/A</v>
      </c>
      <c r="DO243" s="25" t="e">
        <f t="array" ref="DO243">MATCH(2,1/(EG243:JD243&gt;0))</f>
        <v>#N/A</v>
      </c>
      <c r="DP243" s="2993">
        <f t="shared" si="347"/>
        <v>0</v>
      </c>
      <c r="DQ243" s="3037">
        <f t="shared" si="348"/>
        <v>0</v>
      </c>
      <c r="DR243" s="111"/>
      <c r="DS243" s="1268">
        <f t="shared" si="743"/>
        <v>0</v>
      </c>
      <c r="DT243" s="1825"/>
      <c r="DU243" s="1826"/>
      <c r="DV243" s="1827"/>
      <c r="DW243" s="1828"/>
      <c r="DX243" s="659"/>
      <c r="DY243" s="1265"/>
      <c r="DZ243" s="1785">
        <f t="shared" si="772"/>
        <v>0</v>
      </c>
      <c r="EA243" s="1786">
        <f t="shared" si="773"/>
        <v>0</v>
      </c>
      <c r="EB243" s="1781">
        <f t="shared" si="552"/>
        <v>0</v>
      </c>
      <c r="EC243" s="1782">
        <f t="shared" si="553"/>
        <v>0</v>
      </c>
      <c r="ED243" s="1262"/>
      <c r="EE243" s="2280"/>
      <c r="EF243" s="1802"/>
      <c r="EG243" s="167"/>
      <c r="EH243" s="168"/>
      <c r="EI243" s="168"/>
      <c r="EJ243" s="168"/>
      <c r="EK243" s="168"/>
      <c r="EL243" s="168"/>
      <c r="EM243" s="168"/>
      <c r="EN243" s="168"/>
      <c r="EO243" s="168"/>
      <c r="EP243" s="168"/>
      <c r="EQ243" s="168"/>
      <c r="ER243" s="168"/>
      <c r="ES243" s="168"/>
      <c r="ET243" s="168"/>
      <c r="EU243" s="168"/>
      <c r="EV243" s="168"/>
      <c r="EW243" s="168"/>
      <c r="EX243" s="168"/>
      <c r="EY243" s="168"/>
      <c r="EZ243" s="168"/>
      <c r="FA243" s="168"/>
      <c r="FB243" s="168"/>
      <c r="FC243" s="168"/>
      <c r="FD243" s="168"/>
      <c r="FE243" s="168"/>
      <c r="FF243" s="168"/>
      <c r="FG243" s="168"/>
      <c r="FH243" s="168"/>
      <c r="FI243" s="168"/>
      <c r="FJ243" s="168"/>
      <c r="FK243" s="168"/>
      <c r="FL243" s="168"/>
      <c r="FM243" s="168"/>
      <c r="FN243" s="168"/>
      <c r="FO243" s="168"/>
      <c r="FP243" s="168"/>
      <c r="FQ243" s="168"/>
      <c r="FR243" s="168"/>
      <c r="FS243" s="168"/>
      <c r="FT243" s="168"/>
      <c r="FU243" s="168"/>
      <c r="FV243" s="168"/>
      <c r="FW243" s="168"/>
      <c r="FX243" s="168"/>
      <c r="FY243" s="168"/>
      <c r="FZ243" s="168"/>
      <c r="GA243" s="168"/>
      <c r="GB243" s="168"/>
      <c r="GC243" s="168"/>
      <c r="GD243" s="168"/>
      <c r="GE243" s="168"/>
      <c r="GF243" s="168"/>
      <c r="GG243" s="168"/>
      <c r="GH243" s="168"/>
      <c r="GI243" s="168"/>
      <c r="GJ243" s="168"/>
      <c r="GK243" s="168"/>
      <c r="GL243" s="168"/>
      <c r="GM243" s="168"/>
      <c r="GN243" s="168"/>
      <c r="GO243" s="168"/>
      <c r="GP243" s="168"/>
      <c r="GQ243" s="168"/>
      <c r="GR243" s="168"/>
      <c r="GS243" s="168"/>
      <c r="GT243" s="168"/>
      <c r="GU243" s="168"/>
      <c r="GV243" s="168"/>
      <c r="GW243" s="168"/>
      <c r="GX243" s="168"/>
      <c r="GY243" s="168"/>
      <c r="GZ243" s="168"/>
      <c r="HA243" s="168"/>
      <c r="HB243" s="168"/>
      <c r="HC243" s="168"/>
      <c r="HD243" s="168"/>
      <c r="HE243" s="168"/>
      <c r="HF243" s="168"/>
      <c r="HG243" s="168"/>
      <c r="HH243" s="168"/>
      <c r="HI243" s="168"/>
      <c r="HJ243" s="168"/>
      <c r="HK243" s="168"/>
      <c r="HL243" s="168"/>
      <c r="HM243" s="168"/>
      <c r="HN243" s="168"/>
      <c r="HO243" s="168"/>
      <c r="HP243" s="168"/>
      <c r="HQ243" s="168"/>
      <c r="HR243" s="168"/>
      <c r="HS243" s="168"/>
      <c r="HT243" s="168"/>
      <c r="HU243" s="168"/>
      <c r="HV243" s="168"/>
      <c r="HW243" s="168"/>
      <c r="HX243" s="168"/>
      <c r="HY243" s="168"/>
      <c r="HZ243" s="168"/>
      <c r="IA243" s="168"/>
      <c r="IB243" s="168"/>
      <c r="IC243" s="168"/>
      <c r="ID243" s="168"/>
      <c r="IE243" s="168"/>
      <c r="IF243" s="168"/>
      <c r="IG243" s="168"/>
      <c r="IH243" s="168"/>
      <c r="II243" s="168"/>
      <c r="IJ243" s="168"/>
      <c r="IK243" s="168"/>
      <c r="IL243" s="168"/>
      <c r="IM243" s="168"/>
      <c r="IN243" s="168"/>
      <c r="IO243" s="168"/>
      <c r="IP243" s="168"/>
      <c r="IQ243" s="168"/>
      <c r="IR243" s="168"/>
      <c r="IS243" s="168"/>
      <c r="IT243" s="168"/>
      <c r="IU243" s="168"/>
      <c r="IV243" s="168"/>
      <c r="IW243" s="168"/>
      <c r="IX243" s="168"/>
      <c r="IY243" s="168"/>
      <c r="IZ243" s="168"/>
      <c r="JA243" s="168"/>
      <c r="JB243" s="168"/>
      <c r="JC243" s="606"/>
      <c r="JD243" s="609"/>
      <c r="JE243" s="1"/>
      <c r="JF243" s="1"/>
    </row>
    <row r="244" spans="1:266" s="2" customFormat="1" ht="15" customHeight="1" x14ac:dyDescent="0.25">
      <c r="A244" s="283"/>
      <c r="B244" s="303"/>
      <c r="C244" s="301"/>
      <c r="D244" s="638"/>
      <c r="E244" s="2298"/>
      <c r="F244" s="1812"/>
      <c r="G244" s="3342"/>
      <c r="H244" s="66"/>
      <c r="I244" s="1746"/>
      <c r="J244" s="86"/>
      <c r="K244" s="105"/>
      <c r="L244" s="91"/>
      <c r="M244" s="92"/>
      <c r="N244" s="93"/>
      <c r="O244" s="94"/>
      <c r="P244" s="96"/>
      <c r="Q244" s="95"/>
      <c r="R244" s="993">
        <f t="shared" si="769"/>
        <v>0</v>
      </c>
      <c r="S244" s="23">
        <f t="shared" si="298"/>
        <v>0</v>
      </c>
      <c r="T244" s="24">
        <f t="shared" si="299"/>
        <v>0</v>
      </c>
      <c r="U244" s="24">
        <f t="shared" si="300"/>
        <v>0</v>
      </c>
      <c r="V244" s="24">
        <f t="shared" si="301"/>
        <v>0</v>
      </c>
      <c r="W244" s="24">
        <f t="shared" si="302"/>
        <v>0</v>
      </c>
      <c r="X244" s="72">
        <f t="shared" si="303"/>
        <v>0</v>
      </c>
      <c r="Y244" s="72">
        <f t="shared" si="304"/>
        <v>0</v>
      </c>
      <c r="Z244" s="24">
        <f t="shared" si="770"/>
        <v>0</v>
      </c>
      <c r="AA244" s="72">
        <f t="shared" si="305"/>
        <v>0</v>
      </c>
      <c r="AB244" s="24">
        <f t="shared" si="306"/>
        <v>0</v>
      </c>
      <c r="AC244" s="24" t="s">
        <v>5</v>
      </c>
      <c r="AD244" s="25">
        <f t="shared" si="764"/>
        <v>3</v>
      </c>
      <c r="AE244" s="25">
        <f t="shared" si="765"/>
        <v>0</v>
      </c>
      <c r="AF244" s="25">
        <f t="shared" si="766"/>
        <v>0</v>
      </c>
      <c r="AG244" s="25">
        <f t="shared" si="307"/>
        <v>1</v>
      </c>
      <c r="AH244" s="25" t="str">
        <f>IFERROR(MATCH(DY244,'2 Staff List'!$IA$64:$IA$114,0),"x")</f>
        <v>x</v>
      </c>
      <c r="AI244" s="1181">
        <f>IFERROR(INDEX('2 Staff List'!$EX$64:$EX$114,$AH244),0)</f>
        <v>0</v>
      </c>
      <c r="AJ244" s="25">
        <f>IFERROR(INDEX('2 Staff List'!$IW$64:$IW$114,$AH244),0)</f>
        <v>0</v>
      </c>
      <c r="AK244" s="25">
        <f>IFERROR(INDEX('2 Staff List'!$IB$64:$IB$114,$AH244),0)</f>
        <v>0</v>
      </c>
      <c r="AL244" s="25">
        <f>IF(OR(NOT(ISBLANK(DV244)),CX244=1),"&lt;Non-Labor&gt;",IFERROR(IF(AH244=0,0,INDEX('2 Staff List'!$HZ$64:$HZ$114,$AH244)),0))</f>
        <v>0</v>
      </c>
      <c r="AM244" s="25">
        <f>IFERROR(INDEX('2 Staff List'!$HW$64:$HW$114,$AH244),0)</f>
        <v>0</v>
      </c>
      <c r="AN244" s="25">
        <f t="shared" si="308"/>
        <v>1</v>
      </c>
      <c r="AO244" s="25">
        <f>IF($AO$127=0,0,IFERROR(INDEX('2 Staff List'!$JH$64:$JH$114,$AH244),0))</f>
        <v>0</v>
      </c>
      <c r="AP244" s="25">
        <f>IFERROR(INDEX('2 Staff List'!$HU$64:$HU$114,$AH244),0)</f>
        <v>0</v>
      </c>
      <c r="AQ244" s="25">
        <f t="shared" si="309"/>
        <v>0</v>
      </c>
      <c r="AR244" s="25">
        <f t="shared" si="310"/>
        <v>0</v>
      </c>
      <c r="AS244" s="25">
        <f t="shared" si="311"/>
        <v>0</v>
      </c>
      <c r="AT244" s="25">
        <f t="shared" si="312"/>
        <v>0</v>
      </c>
      <c r="AU244" s="25">
        <f t="shared" si="313"/>
        <v>0</v>
      </c>
      <c r="AV244" s="25">
        <f t="shared" si="314"/>
        <v>0</v>
      </c>
      <c r="AW244" s="25">
        <f t="shared" si="315"/>
        <v>0</v>
      </c>
      <c r="AX244" s="25">
        <f t="shared" si="316"/>
        <v>0</v>
      </c>
      <c r="AY244" s="25">
        <f t="shared" si="317"/>
        <v>0</v>
      </c>
      <c r="AZ244" s="25">
        <f t="shared" si="318"/>
        <v>0</v>
      </c>
      <c r="BA244" s="25">
        <f t="shared" si="319"/>
        <v>0</v>
      </c>
      <c r="BB244" s="25">
        <f t="shared" si="320"/>
        <v>0</v>
      </c>
      <c r="BC244" s="25">
        <f>IFERROR(INDEX('2 Staff List'!KS$64:KS$114,$AH244),0)</f>
        <v>0</v>
      </c>
      <c r="BD244" s="25">
        <f>IFERROR(INDEX('2 Staff List'!KT$64:KT$114,$AH244),0)</f>
        <v>0</v>
      </c>
      <c r="BE244" s="25">
        <f>IFERROR(INDEX('2 Staff List'!KU$64:KU$114,$AH244),0)</f>
        <v>0</v>
      </c>
      <c r="BF244" s="25">
        <f>IFERROR(INDEX('2 Staff List'!KV$64:KV$114,$AH244),0)</f>
        <v>0</v>
      </c>
      <c r="BG244" s="25">
        <f>IFERROR(INDEX('2 Staff List'!KW$64:KW$114,$AH244),0)</f>
        <v>0</v>
      </c>
      <c r="BH244" s="25">
        <f>IFERROR(INDEX('2 Staff List'!KX$64:KX$114,$AH244),0)</f>
        <v>0</v>
      </c>
      <c r="BI244" s="25">
        <f>IFERROR(INDEX('2 Staff List'!KY$64:KY$114,$AH244),0)</f>
        <v>0</v>
      </c>
      <c r="BJ244" s="25">
        <f>IFERROR(INDEX('2 Staff List'!KZ$64:KZ$114,$AH244),0)</f>
        <v>0</v>
      </c>
      <c r="BK244" s="25">
        <f>IFERROR(INDEX('2 Staff List'!LA$64:LA$114,$AH244),0)</f>
        <v>0</v>
      </c>
      <c r="BL244" s="25">
        <f>IFERROR(INDEX('2 Staff List'!LB$64:LB$114,$AH244),0)</f>
        <v>0</v>
      </c>
      <c r="BM244" s="25">
        <f>IFERROR(INDEX('2 Staff List'!FT$64:FT$114,$AH244),0)</f>
        <v>0</v>
      </c>
      <c r="BN244" s="25">
        <f>IFERROR(INDEX('2 Staff List'!FU$64:FU$114,$AH244),0)</f>
        <v>0</v>
      </c>
      <c r="BO244" s="25">
        <f>IFERROR(INDEX('2 Staff List'!FV$64:FV$114,$AH244),0)</f>
        <v>0</v>
      </c>
      <c r="BP244" s="25">
        <f>IFERROR(INDEX('2 Staff List'!FW$64:FW$114,$AH244),0)</f>
        <v>0</v>
      </c>
      <c r="BQ244" s="25">
        <f>IFERROR(INDEX('2 Staff List'!FX$64:FX$114,$AH244),0)</f>
        <v>0</v>
      </c>
      <c r="BR244" s="25">
        <f>IFERROR(INDEX('2 Staff List'!FY$64:FY$114,$AH244),0)</f>
        <v>0</v>
      </c>
      <c r="BS244" s="25">
        <f>IFERROR(INDEX('2 Staff List'!FZ$64:FZ$114,$AH244),0)</f>
        <v>0</v>
      </c>
      <c r="BT244" s="25">
        <f>IFERROR(INDEX('2 Staff List'!GA$64:GA$114,$AH244),0)</f>
        <v>0</v>
      </c>
      <c r="BU244" s="25">
        <f>IFERROR(INDEX('2 Staff List'!GB$64:GB$114,$AH244),0)</f>
        <v>0</v>
      </c>
      <c r="BV244" s="25">
        <f>IFERROR(INDEX('2 Staff List'!GC$64:GC$114,$AH244),0)</f>
        <v>0</v>
      </c>
      <c r="BW244" s="25">
        <f t="shared" si="321"/>
        <v>0</v>
      </c>
      <c r="BX244" s="25">
        <f t="shared" si="322"/>
        <v>0</v>
      </c>
      <c r="BY244" s="25">
        <f t="shared" si="323"/>
        <v>0</v>
      </c>
      <c r="BZ244" s="25">
        <f t="shared" si="324"/>
        <v>0</v>
      </c>
      <c r="CA244" s="25">
        <f t="shared" si="325"/>
        <v>0</v>
      </c>
      <c r="CB244" s="25">
        <f t="shared" si="326"/>
        <v>0</v>
      </c>
      <c r="CC244" s="25">
        <f t="shared" si="327"/>
        <v>0</v>
      </c>
      <c r="CD244" s="25">
        <f t="shared" si="328"/>
        <v>0</v>
      </c>
      <c r="CE244" s="25">
        <f t="shared" si="329"/>
        <v>0</v>
      </c>
      <c r="CF244" s="25">
        <f t="shared" si="330"/>
        <v>0</v>
      </c>
      <c r="CG244" s="25">
        <f t="shared" si="331"/>
        <v>0</v>
      </c>
      <c r="CH244" s="25">
        <f>IFERROR(INDEX('2 Staff List'!LO$64:LO$114,$AH244),0)</f>
        <v>0</v>
      </c>
      <c r="CI244" s="25">
        <f>IFERROR(INDEX('2 Staff List'!LP$64:LP$114,$AH244),0)</f>
        <v>0</v>
      </c>
      <c r="CJ244" s="25">
        <f>IFERROR(INDEX('2 Staff List'!LQ$64:LQ$114,$AH244),0)</f>
        <v>0</v>
      </c>
      <c r="CK244" s="25">
        <f>IFERROR(INDEX('2 Staff List'!LR$64:LR$114,$AH244),0)</f>
        <v>0</v>
      </c>
      <c r="CL244" s="25">
        <f>IFERROR(INDEX('2 Staff List'!LS$64:LS$114,$AH244),0)</f>
        <v>0</v>
      </c>
      <c r="CM244" s="25">
        <f>IFERROR(INDEX('2 Staff List'!LT$64:LT$114,$AH244),0)</f>
        <v>0</v>
      </c>
      <c r="CN244" s="25">
        <f>IFERROR(INDEX('2 Staff List'!LU$64:LU$114,$AH244),0)</f>
        <v>0</v>
      </c>
      <c r="CO244" s="25">
        <f>IFERROR(INDEX('2 Staff List'!LV$64:LV$114,$AH244),0)</f>
        <v>0</v>
      </c>
      <c r="CP244" s="25">
        <f>IFERROR(INDEX('2 Staff List'!LW$64:LW$114,$AH244),0)</f>
        <v>0</v>
      </c>
      <c r="CQ244" s="25">
        <f>IFERROR(INDEX('2 Staff List'!LX$64:LX$114,$AH244),0)</f>
        <v>0</v>
      </c>
      <c r="CR244" s="25">
        <f t="shared" si="771"/>
        <v>0</v>
      </c>
      <c r="CS244" s="25">
        <f t="shared" si="349"/>
        <v>1</v>
      </c>
      <c r="CT244" s="25">
        <f t="shared" si="333"/>
        <v>1</v>
      </c>
      <c r="CU244" s="25">
        <f t="shared" si="334"/>
        <v>1</v>
      </c>
      <c r="CV244" s="25">
        <f t="shared" si="335"/>
        <v>1</v>
      </c>
      <c r="CW244" s="25">
        <f t="shared" si="336"/>
        <v>1</v>
      </c>
      <c r="CX244" s="25">
        <f t="shared" si="337"/>
        <v>0</v>
      </c>
      <c r="CY244" s="25">
        <f t="shared" si="338"/>
        <v>0</v>
      </c>
      <c r="CZ244" s="25">
        <f t="shared" si="339"/>
        <v>0</v>
      </c>
      <c r="DA244" s="25">
        <f t="shared" si="340"/>
        <v>1</v>
      </c>
      <c r="DB244" s="25">
        <f t="shared" si="767"/>
        <v>1</v>
      </c>
      <c r="DC244" s="25">
        <f t="shared" si="341"/>
        <v>0</v>
      </c>
      <c r="DD244" s="25">
        <f>IF(OR($AD244&lt;&gt;3,F244="Exclude"),0,IF(ISERROR(MATCH($E244,'4 Sign-off'!$S$123:$X$123,0)),0,1))</f>
        <v>0</v>
      </c>
      <c r="DE244" s="25">
        <f t="shared" si="763"/>
        <v>0</v>
      </c>
      <c r="DF244" s="25">
        <f t="shared" si="342"/>
        <v>0</v>
      </c>
      <c r="DG244" s="25" t="str">
        <f t="shared" si="343"/>
        <v/>
      </c>
      <c r="DH244" s="25">
        <f t="shared" si="344"/>
        <v>0</v>
      </c>
      <c r="DI244" s="25">
        <f t="shared" si="345"/>
        <v>0</v>
      </c>
      <c r="DJ244" s="25">
        <f>IF(ISBLANK(J244),0,ISERROR(MATCH(J244,'5  Control Accounts'!$FA$29:$FA$96,0))*1)</f>
        <v>0</v>
      </c>
      <c r="DK244" s="25">
        <f t="shared" si="346"/>
        <v>0</v>
      </c>
      <c r="DL244" s="25">
        <f t="shared" si="768"/>
        <v>-1</v>
      </c>
      <c r="DM244" s="25" t="e">
        <f t="array" ref="DM244">MATCH(1,($EG244:$JD244&gt;0)*$EG$17:$JD$17,0)</f>
        <v>#N/A</v>
      </c>
      <c r="DN244" s="25" t="e">
        <f t="shared" si="551"/>
        <v>#N/A</v>
      </c>
      <c r="DO244" s="25" t="e">
        <f t="array" ref="DO244">MATCH(2,1/(EG244:JD244&gt;0))</f>
        <v>#N/A</v>
      </c>
      <c r="DP244" s="2993">
        <f t="shared" si="347"/>
        <v>0</v>
      </c>
      <c r="DQ244" s="3037">
        <f t="shared" si="348"/>
        <v>0</v>
      </c>
      <c r="DR244" s="111"/>
      <c r="DS244" s="1268">
        <f t="shared" si="743"/>
        <v>0</v>
      </c>
      <c r="DT244" s="1825"/>
      <c r="DU244" s="1826"/>
      <c r="DV244" s="1827"/>
      <c r="DW244" s="1828"/>
      <c r="DX244" s="659"/>
      <c r="DY244" s="1265"/>
      <c r="DZ244" s="1785">
        <f t="shared" si="772"/>
        <v>0</v>
      </c>
      <c r="EA244" s="1786">
        <f t="shared" si="773"/>
        <v>0</v>
      </c>
      <c r="EB244" s="1781">
        <f t="shared" si="552"/>
        <v>0</v>
      </c>
      <c r="EC244" s="1782">
        <f t="shared" si="553"/>
        <v>0</v>
      </c>
      <c r="ED244" s="1262"/>
      <c r="EE244" s="2280"/>
      <c r="EF244" s="1802"/>
      <c r="EG244" s="167"/>
      <c r="EH244" s="168"/>
      <c r="EI244" s="168"/>
      <c r="EJ244" s="168"/>
      <c r="EK244" s="168"/>
      <c r="EL244" s="168"/>
      <c r="EM244" s="168"/>
      <c r="EN244" s="168"/>
      <c r="EO244" s="168"/>
      <c r="EP244" s="168"/>
      <c r="EQ244" s="168"/>
      <c r="ER244" s="168"/>
      <c r="ES244" s="168"/>
      <c r="ET244" s="168"/>
      <c r="EU244" s="168"/>
      <c r="EV244" s="168"/>
      <c r="EW244" s="168"/>
      <c r="EX244" s="168"/>
      <c r="EY244" s="168"/>
      <c r="EZ244" s="168"/>
      <c r="FA244" s="168"/>
      <c r="FB244" s="168"/>
      <c r="FC244" s="168"/>
      <c r="FD244" s="168"/>
      <c r="FE244" s="168"/>
      <c r="FF244" s="168"/>
      <c r="FG244" s="168"/>
      <c r="FH244" s="168"/>
      <c r="FI244" s="168"/>
      <c r="FJ244" s="168"/>
      <c r="FK244" s="168"/>
      <c r="FL244" s="168"/>
      <c r="FM244" s="168"/>
      <c r="FN244" s="168"/>
      <c r="FO244" s="168"/>
      <c r="FP244" s="168"/>
      <c r="FQ244" s="168"/>
      <c r="FR244" s="168"/>
      <c r="FS244" s="168"/>
      <c r="FT244" s="168"/>
      <c r="FU244" s="168"/>
      <c r="FV244" s="168"/>
      <c r="FW244" s="168"/>
      <c r="FX244" s="168"/>
      <c r="FY244" s="168"/>
      <c r="FZ244" s="168"/>
      <c r="GA244" s="168"/>
      <c r="GB244" s="168"/>
      <c r="GC244" s="168"/>
      <c r="GD244" s="168"/>
      <c r="GE244" s="168"/>
      <c r="GF244" s="168"/>
      <c r="GG244" s="168"/>
      <c r="GH244" s="168"/>
      <c r="GI244" s="168"/>
      <c r="GJ244" s="168"/>
      <c r="GK244" s="168"/>
      <c r="GL244" s="168"/>
      <c r="GM244" s="168"/>
      <c r="GN244" s="168"/>
      <c r="GO244" s="168"/>
      <c r="GP244" s="168"/>
      <c r="GQ244" s="168"/>
      <c r="GR244" s="168"/>
      <c r="GS244" s="168"/>
      <c r="GT244" s="168"/>
      <c r="GU244" s="168"/>
      <c r="GV244" s="168"/>
      <c r="GW244" s="168"/>
      <c r="GX244" s="168"/>
      <c r="GY244" s="168"/>
      <c r="GZ244" s="168"/>
      <c r="HA244" s="168"/>
      <c r="HB244" s="168"/>
      <c r="HC244" s="168"/>
      <c r="HD244" s="168"/>
      <c r="HE244" s="168"/>
      <c r="HF244" s="168"/>
      <c r="HG244" s="168"/>
      <c r="HH244" s="168"/>
      <c r="HI244" s="168"/>
      <c r="HJ244" s="168"/>
      <c r="HK244" s="168"/>
      <c r="HL244" s="168"/>
      <c r="HM244" s="168"/>
      <c r="HN244" s="168"/>
      <c r="HO244" s="168"/>
      <c r="HP244" s="168"/>
      <c r="HQ244" s="168"/>
      <c r="HR244" s="168"/>
      <c r="HS244" s="168"/>
      <c r="HT244" s="168"/>
      <c r="HU244" s="168"/>
      <c r="HV244" s="168"/>
      <c r="HW244" s="168"/>
      <c r="HX244" s="168"/>
      <c r="HY244" s="168"/>
      <c r="HZ244" s="168"/>
      <c r="IA244" s="168"/>
      <c r="IB244" s="168"/>
      <c r="IC244" s="168"/>
      <c r="ID244" s="168"/>
      <c r="IE244" s="168"/>
      <c r="IF244" s="168"/>
      <c r="IG244" s="168"/>
      <c r="IH244" s="168"/>
      <c r="II244" s="168"/>
      <c r="IJ244" s="168"/>
      <c r="IK244" s="168"/>
      <c r="IL244" s="168"/>
      <c r="IM244" s="168"/>
      <c r="IN244" s="168"/>
      <c r="IO244" s="168"/>
      <c r="IP244" s="168"/>
      <c r="IQ244" s="168"/>
      <c r="IR244" s="168"/>
      <c r="IS244" s="168"/>
      <c r="IT244" s="168"/>
      <c r="IU244" s="168"/>
      <c r="IV244" s="168"/>
      <c r="IW244" s="168"/>
      <c r="IX244" s="168"/>
      <c r="IY244" s="168"/>
      <c r="IZ244" s="168"/>
      <c r="JA244" s="168"/>
      <c r="JB244" s="168"/>
      <c r="JC244" s="606"/>
      <c r="JD244" s="609"/>
      <c r="JE244" s="1"/>
      <c r="JF244" s="1"/>
    </row>
    <row r="245" spans="1:266" s="2" customFormat="1" ht="15" customHeight="1" x14ac:dyDescent="0.25">
      <c r="A245" s="283"/>
      <c r="B245" s="303"/>
      <c r="C245" s="301"/>
      <c r="D245" s="638"/>
      <c r="E245" s="2298"/>
      <c r="F245" s="1812"/>
      <c r="G245" s="3342"/>
      <c r="H245" s="66"/>
      <c r="I245" s="1746"/>
      <c r="J245" s="86"/>
      <c r="K245" s="105"/>
      <c r="L245" s="91"/>
      <c r="M245" s="92"/>
      <c r="N245" s="93"/>
      <c r="O245" s="94"/>
      <c r="P245" s="96"/>
      <c r="Q245" s="95"/>
      <c r="R245" s="993">
        <f t="shared" si="769"/>
        <v>0</v>
      </c>
      <c r="S245" s="23">
        <f t="shared" si="298"/>
        <v>0</v>
      </c>
      <c r="T245" s="24">
        <f t="shared" si="299"/>
        <v>0</v>
      </c>
      <c r="U245" s="24">
        <f t="shared" si="300"/>
        <v>0</v>
      </c>
      <c r="V245" s="24">
        <f t="shared" si="301"/>
        <v>0</v>
      </c>
      <c r="W245" s="24">
        <f t="shared" si="302"/>
        <v>0</v>
      </c>
      <c r="X245" s="72">
        <f t="shared" si="303"/>
        <v>0</v>
      </c>
      <c r="Y245" s="72">
        <f t="shared" si="304"/>
        <v>0</v>
      </c>
      <c r="Z245" s="24">
        <f t="shared" si="770"/>
        <v>0</v>
      </c>
      <c r="AA245" s="72">
        <f t="shared" si="305"/>
        <v>0</v>
      </c>
      <c r="AB245" s="24">
        <f t="shared" si="306"/>
        <v>0</v>
      </c>
      <c r="AC245" s="24" t="s">
        <v>5</v>
      </c>
      <c r="AD245" s="25">
        <f t="shared" si="764"/>
        <v>3</v>
      </c>
      <c r="AE245" s="25">
        <f t="shared" si="765"/>
        <v>0</v>
      </c>
      <c r="AF245" s="25">
        <f t="shared" si="766"/>
        <v>0</v>
      </c>
      <c r="AG245" s="25">
        <f t="shared" si="307"/>
        <v>1</v>
      </c>
      <c r="AH245" s="25" t="str">
        <f>IFERROR(MATCH(DY245,'2 Staff List'!$IA$64:$IA$114,0),"x")</f>
        <v>x</v>
      </c>
      <c r="AI245" s="1181">
        <f>IFERROR(INDEX('2 Staff List'!$EX$64:$EX$114,$AH245),0)</f>
        <v>0</v>
      </c>
      <c r="AJ245" s="25">
        <f>IFERROR(INDEX('2 Staff List'!$IW$64:$IW$114,$AH245),0)</f>
        <v>0</v>
      </c>
      <c r="AK245" s="25">
        <f>IFERROR(INDEX('2 Staff List'!$IB$64:$IB$114,$AH245),0)</f>
        <v>0</v>
      </c>
      <c r="AL245" s="25">
        <f>IF(OR(NOT(ISBLANK(DV245)),CX245=1),"&lt;Non-Labor&gt;",IFERROR(IF(AH245=0,0,INDEX('2 Staff List'!$HZ$64:$HZ$114,$AH245)),0))</f>
        <v>0</v>
      </c>
      <c r="AM245" s="25">
        <f>IFERROR(INDEX('2 Staff List'!$HW$64:$HW$114,$AH245),0)</f>
        <v>0</v>
      </c>
      <c r="AN245" s="25">
        <f t="shared" si="308"/>
        <v>1</v>
      </c>
      <c r="AO245" s="25">
        <f>IF($AO$127=0,0,IFERROR(INDEX('2 Staff List'!$JH$64:$JH$114,$AH245),0))</f>
        <v>0</v>
      </c>
      <c r="AP245" s="25">
        <f>IFERROR(INDEX('2 Staff List'!$HU$64:$HU$114,$AH245),0)</f>
        <v>0</v>
      </c>
      <c r="AQ245" s="25">
        <f t="shared" si="309"/>
        <v>0</v>
      </c>
      <c r="AR245" s="25">
        <f t="shared" si="310"/>
        <v>0</v>
      </c>
      <c r="AS245" s="25">
        <f t="shared" si="311"/>
        <v>0</v>
      </c>
      <c r="AT245" s="25">
        <f t="shared" si="312"/>
        <v>0</v>
      </c>
      <c r="AU245" s="25">
        <f t="shared" si="313"/>
        <v>0</v>
      </c>
      <c r="AV245" s="25">
        <f t="shared" si="314"/>
        <v>0</v>
      </c>
      <c r="AW245" s="25">
        <f t="shared" si="315"/>
        <v>0</v>
      </c>
      <c r="AX245" s="25">
        <f t="shared" si="316"/>
        <v>0</v>
      </c>
      <c r="AY245" s="25">
        <f t="shared" si="317"/>
        <v>0</v>
      </c>
      <c r="AZ245" s="25">
        <f t="shared" si="318"/>
        <v>0</v>
      </c>
      <c r="BA245" s="25">
        <f t="shared" si="319"/>
        <v>0</v>
      </c>
      <c r="BB245" s="25">
        <f t="shared" si="320"/>
        <v>0</v>
      </c>
      <c r="BC245" s="25">
        <f>IFERROR(INDEX('2 Staff List'!KS$64:KS$114,$AH245),0)</f>
        <v>0</v>
      </c>
      <c r="BD245" s="25">
        <f>IFERROR(INDEX('2 Staff List'!KT$64:KT$114,$AH245),0)</f>
        <v>0</v>
      </c>
      <c r="BE245" s="25">
        <f>IFERROR(INDEX('2 Staff List'!KU$64:KU$114,$AH245),0)</f>
        <v>0</v>
      </c>
      <c r="BF245" s="25">
        <f>IFERROR(INDEX('2 Staff List'!KV$64:KV$114,$AH245),0)</f>
        <v>0</v>
      </c>
      <c r="BG245" s="25">
        <f>IFERROR(INDEX('2 Staff List'!KW$64:KW$114,$AH245),0)</f>
        <v>0</v>
      </c>
      <c r="BH245" s="25">
        <f>IFERROR(INDEX('2 Staff List'!KX$64:KX$114,$AH245),0)</f>
        <v>0</v>
      </c>
      <c r="BI245" s="25">
        <f>IFERROR(INDEX('2 Staff List'!KY$64:KY$114,$AH245),0)</f>
        <v>0</v>
      </c>
      <c r="BJ245" s="25">
        <f>IFERROR(INDEX('2 Staff List'!KZ$64:KZ$114,$AH245),0)</f>
        <v>0</v>
      </c>
      <c r="BK245" s="25">
        <f>IFERROR(INDEX('2 Staff List'!LA$64:LA$114,$AH245),0)</f>
        <v>0</v>
      </c>
      <c r="BL245" s="25">
        <f>IFERROR(INDEX('2 Staff List'!LB$64:LB$114,$AH245),0)</f>
        <v>0</v>
      </c>
      <c r="BM245" s="25">
        <f>IFERROR(INDEX('2 Staff List'!FT$64:FT$114,$AH245),0)</f>
        <v>0</v>
      </c>
      <c r="BN245" s="25">
        <f>IFERROR(INDEX('2 Staff List'!FU$64:FU$114,$AH245),0)</f>
        <v>0</v>
      </c>
      <c r="BO245" s="25">
        <f>IFERROR(INDEX('2 Staff List'!FV$64:FV$114,$AH245),0)</f>
        <v>0</v>
      </c>
      <c r="BP245" s="25">
        <f>IFERROR(INDEX('2 Staff List'!FW$64:FW$114,$AH245),0)</f>
        <v>0</v>
      </c>
      <c r="BQ245" s="25">
        <f>IFERROR(INDEX('2 Staff List'!FX$64:FX$114,$AH245),0)</f>
        <v>0</v>
      </c>
      <c r="BR245" s="25">
        <f>IFERROR(INDEX('2 Staff List'!FY$64:FY$114,$AH245),0)</f>
        <v>0</v>
      </c>
      <c r="BS245" s="25">
        <f>IFERROR(INDEX('2 Staff List'!FZ$64:FZ$114,$AH245),0)</f>
        <v>0</v>
      </c>
      <c r="BT245" s="25">
        <f>IFERROR(INDEX('2 Staff List'!GA$64:GA$114,$AH245),0)</f>
        <v>0</v>
      </c>
      <c r="BU245" s="25">
        <f>IFERROR(INDEX('2 Staff List'!GB$64:GB$114,$AH245),0)</f>
        <v>0</v>
      </c>
      <c r="BV245" s="25">
        <f>IFERROR(INDEX('2 Staff List'!GC$64:GC$114,$AH245),0)</f>
        <v>0</v>
      </c>
      <c r="BW245" s="25">
        <f t="shared" si="321"/>
        <v>0</v>
      </c>
      <c r="BX245" s="25">
        <f t="shared" si="322"/>
        <v>0</v>
      </c>
      <c r="BY245" s="25">
        <f t="shared" si="323"/>
        <v>0</v>
      </c>
      <c r="BZ245" s="25">
        <f t="shared" si="324"/>
        <v>0</v>
      </c>
      <c r="CA245" s="25">
        <f t="shared" si="325"/>
        <v>0</v>
      </c>
      <c r="CB245" s="25">
        <f t="shared" si="326"/>
        <v>0</v>
      </c>
      <c r="CC245" s="25">
        <f t="shared" si="327"/>
        <v>0</v>
      </c>
      <c r="CD245" s="25">
        <f t="shared" si="328"/>
        <v>0</v>
      </c>
      <c r="CE245" s="25">
        <f t="shared" si="329"/>
        <v>0</v>
      </c>
      <c r="CF245" s="25">
        <f t="shared" si="330"/>
        <v>0</v>
      </c>
      <c r="CG245" s="25">
        <f t="shared" si="331"/>
        <v>0</v>
      </c>
      <c r="CH245" s="25">
        <f>IFERROR(INDEX('2 Staff List'!LO$64:LO$114,$AH245),0)</f>
        <v>0</v>
      </c>
      <c r="CI245" s="25">
        <f>IFERROR(INDEX('2 Staff List'!LP$64:LP$114,$AH245),0)</f>
        <v>0</v>
      </c>
      <c r="CJ245" s="25">
        <f>IFERROR(INDEX('2 Staff List'!LQ$64:LQ$114,$AH245),0)</f>
        <v>0</v>
      </c>
      <c r="CK245" s="25">
        <f>IFERROR(INDEX('2 Staff List'!LR$64:LR$114,$AH245),0)</f>
        <v>0</v>
      </c>
      <c r="CL245" s="25">
        <f>IFERROR(INDEX('2 Staff List'!LS$64:LS$114,$AH245),0)</f>
        <v>0</v>
      </c>
      <c r="CM245" s="25">
        <f>IFERROR(INDEX('2 Staff List'!LT$64:LT$114,$AH245),0)</f>
        <v>0</v>
      </c>
      <c r="CN245" s="25">
        <f>IFERROR(INDEX('2 Staff List'!LU$64:LU$114,$AH245),0)</f>
        <v>0</v>
      </c>
      <c r="CO245" s="25">
        <f>IFERROR(INDEX('2 Staff List'!LV$64:LV$114,$AH245),0)</f>
        <v>0</v>
      </c>
      <c r="CP245" s="25">
        <f>IFERROR(INDEX('2 Staff List'!LW$64:LW$114,$AH245),0)</f>
        <v>0</v>
      </c>
      <c r="CQ245" s="25">
        <f>IFERROR(INDEX('2 Staff List'!LX$64:LX$114,$AH245),0)</f>
        <v>0</v>
      </c>
      <c r="CR245" s="25">
        <f t="shared" si="771"/>
        <v>0</v>
      </c>
      <c r="CS245" s="25">
        <f t="shared" si="349"/>
        <v>1</v>
      </c>
      <c r="CT245" s="25">
        <f t="shared" si="333"/>
        <v>1</v>
      </c>
      <c r="CU245" s="25">
        <f t="shared" si="334"/>
        <v>1</v>
      </c>
      <c r="CV245" s="25">
        <f t="shared" si="335"/>
        <v>1</v>
      </c>
      <c r="CW245" s="25">
        <f t="shared" si="336"/>
        <v>1</v>
      </c>
      <c r="CX245" s="25">
        <f t="shared" si="337"/>
        <v>0</v>
      </c>
      <c r="CY245" s="25">
        <f t="shared" si="338"/>
        <v>0</v>
      </c>
      <c r="CZ245" s="25">
        <f t="shared" si="339"/>
        <v>0</v>
      </c>
      <c r="DA245" s="25">
        <f t="shared" si="340"/>
        <v>1</v>
      </c>
      <c r="DB245" s="25">
        <f t="shared" si="767"/>
        <v>1</v>
      </c>
      <c r="DC245" s="25">
        <f t="shared" si="341"/>
        <v>0</v>
      </c>
      <c r="DD245" s="25">
        <f>IF(OR($AD245&lt;&gt;3,F245="Exclude"),0,IF(ISERROR(MATCH($E245,'4 Sign-off'!$S$123:$X$123,0)),0,1))</f>
        <v>0</v>
      </c>
      <c r="DE245" s="25">
        <f t="shared" si="763"/>
        <v>0</v>
      </c>
      <c r="DF245" s="25">
        <f t="shared" si="342"/>
        <v>0</v>
      </c>
      <c r="DG245" s="25" t="str">
        <f t="shared" si="343"/>
        <v/>
      </c>
      <c r="DH245" s="25">
        <f t="shared" si="344"/>
        <v>0</v>
      </c>
      <c r="DI245" s="25">
        <f t="shared" si="345"/>
        <v>0</v>
      </c>
      <c r="DJ245" s="25">
        <f>IF(ISBLANK(J245),0,ISERROR(MATCH(J245,'5  Control Accounts'!$FA$29:$FA$96,0))*1)</f>
        <v>0</v>
      </c>
      <c r="DK245" s="25">
        <f t="shared" si="346"/>
        <v>0</v>
      </c>
      <c r="DL245" s="25">
        <f t="shared" si="768"/>
        <v>-1</v>
      </c>
      <c r="DM245" s="25" t="e">
        <f t="array" ref="DM245">MATCH(1,($EG245:$JD245&gt;0)*$EG$17:$JD$17,0)</f>
        <v>#N/A</v>
      </c>
      <c r="DN245" s="25" t="e">
        <f t="shared" si="551"/>
        <v>#N/A</v>
      </c>
      <c r="DO245" s="25" t="e">
        <f t="array" ref="DO245">MATCH(2,1/(EG245:JD245&gt;0))</f>
        <v>#N/A</v>
      </c>
      <c r="DP245" s="2993">
        <f t="shared" si="347"/>
        <v>0</v>
      </c>
      <c r="DQ245" s="3037">
        <f t="shared" si="348"/>
        <v>0</v>
      </c>
      <c r="DR245" s="111"/>
      <c r="DS245" s="1268">
        <f t="shared" si="743"/>
        <v>0</v>
      </c>
      <c r="DT245" s="1825"/>
      <c r="DU245" s="1826"/>
      <c r="DV245" s="1827"/>
      <c r="DW245" s="1828"/>
      <c r="DX245" s="659"/>
      <c r="DY245" s="1265"/>
      <c r="DZ245" s="1785">
        <f t="shared" si="772"/>
        <v>0</v>
      </c>
      <c r="EA245" s="1786">
        <f t="shared" si="773"/>
        <v>0</v>
      </c>
      <c r="EB245" s="1781">
        <f t="shared" si="552"/>
        <v>0</v>
      </c>
      <c r="EC245" s="1782">
        <f t="shared" si="553"/>
        <v>0</v>
      </c>
      <c r="ED245" s="1262"/>
      <c r="EE245" s="2280"/>
      <c r="EF245" s="1802"/>
      <c r="EG245" s="167"/>
      <c r="EH245" s="168"/>
      <c r="EI245" s="168"/>
      <c r="EJ245" s="168"/>
      <c r="EK245" s="168"/>
      <c r="EL245" s="168"/>
      <c r="EM245" s="168"/>
      <c r="EN245" s="168"/>
      <c r="EO245" s="168"/>
      <c r="EP245" s="168"/>
      <c r="EQ245" s="168"/>
      <c r="ER245" s="168"/>
      <c r="ES245" s="168"/>
      <c r="ET245" s="168"/>
      <c r="EU245" s="168"/>
      <c r="EV245" s="168"/>
      <c r="EW245" s="168"/>
      <c r="EX245" s="168"/>
      <c r="EY245" s="168"/>
      <c r="EZ245" s="168"/>
      <c r="FA245" s="168"/>
      <c r="FB245" s="168"/>
      <c r="FC245" s="168"/>
      <c r="FD245" s="168"/>
      <c r="FE245" s="168"/>
      <c r="FF245" s="168"/>
      <c r="FG245" s="168"/>
      <c r="FH245" s="168"/>
      <c r="FI245" s="168"/>
      <c r="FJ245" s="168"/>
      <c r="FK245" s="168"/>
      <c r="FL245" s="168"/>
      <c r="FM245" s="168"/>
      <c r="FN245" s="168"/>
      <c r="FO245" s="168"/>
      <c r="FP245" s="168"/>
      <c r="FQ245" s="168"/>
      <c r="FR245" s="168"/>
      <c r="FS245" s="168"/>
      <c r="FT245" s="168"/>
      <c r="FU245" s="168"/>
      <c r="FV245" s="168"/>
      <c r="FW245" s="168"/>
      <c r="FX245" s="168"/>
      <c r="FY245" s="168"/>
      <c r="FZ245" s="168"/>
      <c r="GA245" s="168"/>
      <c r="GB245" s="168"/>
      <c r="GC245" s="168"/>
      <c r="GD245" s="168"/>
      <c r="GE245" s="168"/>
      <c r="GF245" s="168"/>
      <c r="GG245" s="168"/>
      <c r="GH245" s="168"/>
      <c r="GI245" s="168"/>
      <c r="GJ245" s="168"/>
      <c r="GK245" s="168"/>
      <c r="GL245" s="168"/>
      <c r="GM245" s="168"/>
      <c r="GN245" s="168"/>
      <c r="GO245" s="168"/>
      <c r="GP245" s="168"/>
      <c r="GQ245" s="168"/>
      <c r="GR245" s="168"/>
      <c r="GS245" s="168"/>
      <c r="GT245" s="168"/>
      <c r="GU245" s="168"/>
      <c r="GV245" s="168"/>
      <c r="GW245" s="168"/>
      <c r="GX245" s="168"/>
      <c r="GY245" s="168"/>
      <c r="GZ245" s="168"/>
      <c r="HA245" s="168"/>
      <c r="HB245" s="168"/>
      <c r="HC245" s="168"/>
      <c r="HD245" s="168"/>
      <c r="HE245" s="168"/>
      <c r="HF245" s="168"/>
      <c r="HG245" s="168"/>
      <c r="HH245" s="168"/>
      <c r="HI245" s="168"/>
      <c r="HJ245" s="168"/>
      <c r="HK245" s="168"/>
      <c r="HL245" s="168"/>
      <c r="HM245" s="168"/>
      <c r="HN245" s="168"/>
      <c r="HO245" s="168"/>
      <c r="HP245" s="168"/>
      <c r="HQ245" s="168"/>
      <c r="HR245" s="168"/>
      <c r="HS245" s="168"/>
      <c r="HT245" s="168"/>
      <c r="HU245" s="168"/>
      <c r="HV245" s="168"/>
      <c r="HW245" s="168"/>
      <c r="HX245" s="168"/>
      <c r="HY245" s="168"/>
      <c r="HZ245" s="168"/>
      <c r="IA245" s="168"/>
      <c r="IB245" s="168"/>
      <c r="IC245" s="168"/>
      <c r="ID245" s="168"/>
      <c r="IE245" s="168"/>
      <c r="IF245" s="168"/>
      <c r="IG245" s="168"/>
      <c r="IH245" s="168"/>
      <c r="II245" s="168"/>
      <c r="IJ245" s="168"/>
      <c r="IK245" s="168"/>
      <c r="IL245" s="168"/>
      <c r="IM245" s="168"/>
      <c r="IN245" s="168"/>
      <c r="IO245" s="168"/>
      <c r="IP245" s="168"/>
      <c r="IQ245" s="168"/>
      <c r="IR245" s="168"/>
      <c r="IS245" s="168"/>
      <c r="IT245" s="168"/>
      <c r="IU245" s="168"/>
      <c r="IV245" s="168"/>
      <c r="IW245" s="168"/>
      <c r="IX245" s="168"/>
      <c r="IY245" s="168"/>
      <c r="IZ245" s="168"/>
      <c r="JA245" s="168"/>
      <c r="JB245" s="168"/>
      <c r="JC245" s="606"/>
      <c r="JD245" s="609"/>
      <c r="JE245" s="1"/>
      <c r="JF245" s="1"/>
    </row>
    <row r="246" spans="1:266" s="2" customFormat="1" ht="15" customHeight="1" x14ac:dyDescent="0.25">
      <c r="A246" s="283"/>
      <c r="B246" s="303"/>
      <c r="C246" s="301"/>
      <c r="D246" s="638"/>
      <c r="E246" s="2298"/>
      <c r="F246" s="1812"/>
      <c r="G246" s="3342"/>
      <c r="H246" s="66"/>
      <c r="I246" s="1746"/>
      <c r="J246" s="86"/>
      <c r="K246" s="105"/>
      <c r="L246" s="91"/>
      <c r="M246" s="92"/>
      <c r="N246" s="93"/>
      <c r="O246" s="94"/>
      <c r="P246" s="96"/>
      <c r="Q246" s="95"/>
      <c r="R246" s="993">
        <f t="shared" si="769"/>
        <v>0</v>
      </c>
      <c r="S246" s="23">
        <f t="shared" si="298"/>
        <v>0</v>
      </c>
      <c r="T246" s="24">
        <f t="shared" si="299"/>
        <v>0</v>
      </c>
      <c r="U246" s="24">
        <f t="shared" si="300"/>
        <v>0</v>
      </c>
      <c r="V246" s="24">
        <f t="shared" si="301"/>
        <v>0</v>
      </c>
      <c r="W246" s="24">
        <f t="shared" si="302"/>
        <v>0</v>
      </c>
      <c r="X246" s="72">
        <f t="shared" si="303"/>
        <v>0</v>
      </c>
      <c r="Y246" s="72">
        <f t="shared" si="304"/>
        <v>0</v>
      </c>
      <c r="Z246" s="24">
        <f t="shared" si="770"/>
        <v>0</v>
      </c>
      <c r="AA246" s="72">
        <f t="shared" si="305"/>
        <v>0</v>
      </c>
      <c r="AB246" s="24">
        <f t="shared" si="306"/>
        <v>0</v>
      </c>
      <c r="AC246" s="24" t="s">
        <v>5</v>
      </c>
      <c r="AD246" s="25">
        <f t="shared" si="764"/>
        <v>3</v>
      </c>
      <c r="AE246" s="25">
        <f t="shared" si="765"/>
        <v>0</v>
      </c>
      <c r="AF246" s="25">
        <f t="shared" si="766"/>
        <v>0</v>
      </c>
      <c r="AG246" s="25">
        <f t="shared" si="307"/>
        <v>1</v>
      </c>
      <c r="AH246" s="25" t="str">
        <f>IFERROR(MATCH(DY246,'2 Staff List'!$IA$64:$IA$114,0),"x")</f>
        <v>x</v>
      </c>
      <c r="AI246" s="1181">
        <f>IFERROR(INDEX('2 Staff List'!$EX$64:$EX$114,$AH246),0)</f>
        <v>0</v>
      </c>
      <c r="AJ246" s="25">
        <f>IFERROR(INDEX('2 Staff List'!$IW$64:$IW$114,$AH246),0)</f>
        <v>0</v>
      </c>
      <c r="AK246" s="25">
        <f>IFERROR(INDEX('2 Staff List'!$IB$64:$IB$114,$AH246),0)</f>
        <v>0</v>
      </c>
      <c r="AL246" s="25">
        <f>IF(OR(NOT(ISBLANK(DV246)),CX246=1),"&lt;Non-Labor&gt;",IFERROR(IF(AH246=0,0,INDEX('2 Staff List'!$HZ$64:$HZ$114,$AH246)),0))</f>
        <v>0</v>
      </c>
      <c r="AM246" s="25">
        <f>IFERROR(INDEX('2 Staff List'!$HW$64:$HW$114,$AH246),0)</f>
        <v>0</v>
      </c>
      <c r="AN246" s="25">
        <f t="shared" si="308"/>
        <v>1</v>
      </c>
      <c r="AO246" s="25">
        <f>IF($AO$127=0,0,IFERROR(INDEX('2 Staff List'!$JH$64:$JH$114,$AH246),0))</f>
        <v>0</v>
      </c>
      <c r="AP246" s="25">
        <f>IFERROR(INDEX('2 Staff List'!$HU$64:$HU$114,$AH246),0)</f>
        <v>0</v>
      </c>
      <c r="AQ246" s="25">
        <f t="shared" si="309"/>
        <v>0</v>
      </c>
      <c r="AR246" s="25">
        <f t="shared" si="310"/>
        <v>0</v>
      </c>
      <c r="AS246" s="25">
        <f t="shared" si="311"/>
        <v>0</v>
      </c>
      <c r="AT246" s="25">
        <f t="shared" si="312"/>
        <v>0</v>
      </c>
      <c r="AU246" s="25">
        <f t="shared" si="313"/>
        <v>0</v>
      </c>
      <c r="AV246" s="25">
        <f t="shared" si="314"/>
        <v>0</v>
      </c>
      <c r="AW246" s="25">
        <f t="shared" si="315"/>
        <v>0</v>
      </c>
      <c r="AX246" s="25">
        <f t="shared" si="316"/>
        <v>0</v>
      </c>
      <c r="AY246" s="25">
        <f t="shared" si="317"/>
        <v>0</v>
      </c>
      <c r="AZ246" s="25">
        <f t="shared" si="318"/>
        <v>0</v>
      </c>
      <c r="BA246" s="25">
        <f t="shared" si="319"/>
        <v>0</v>
      </c>
      <c r="BB246" s="25">
        <f t="shared" si="320"/>
        <v>0</v>
      </c>
      <c r="BC246" s="25">
        <f>IFERROR(INDEX('2 Staff List'!KS$64:KS$114,$AH246),0)</f>
        <v>0</v>
      </c>
      <c r="BD246" s="25">
        <f>IFERROR(INDEX('2 Staff List'!KT$64:KT$114,$AH246),0)</f>
        <v>0</v>
      </c>
      <c r="BE246" s="25">
        <f>IFERROR(INDEX('2 Staff List'!KU$64:KU$114,$AH246),0)</f>
        <v>0</v>
      </c>
      <c r="BF246" s="25">
        <f>IFERROR(INDEX('2 Staff List'!KV$64:KV$114,$AH246),0)</f>
        <v>0</v>
      </c>
      <c r="BG246" s="25">
        <f>IFERROR(INDEX('2 Staff List'!KW$64:KW$114,$AH246),0)</f>
        <v>0</v>
      </c>
      <c r="BH246" s="25">
        <f>IFERROR(INDEX('2 Staff List'!KX$64:KX$114,$AH246),0)</f>
        <v>0</v>
      </c>
      <c r="BI246" s="25">
        <f>IFERROR(INDEX('2 Staff List'!KY$64:KY$114,$AH246),0)</f>
        <v>0</v>
      </c>
      <c r="BJ246" s="25">
        <f>IFERROR(INDEX('2 Staff List'!KZ$64:KZ$114,$AH246),0)</f>
        <v>0</v>
      </c>
      <c r="BK246" s="25">
        <f>IFERROR(INDEX('2 Staff List'!LA$64:LA$114,$AH246),0)</f>
        <v>0</v>
      </c>
      <c r="BL246" s="25">
        <f>IFERROR(INDEX('2 Staff List'!LB$64:LB$114,$AH246),0)</f>
        <v>0</v>
      </c>
      <c r="BM246" s="25">
        <f>IFERROR(INDEX('2 Staff List'!FT$64:FT$114,$AH246),0)</f>
        <v>0</v>
      </c>
      <c r="BN246" s="25">
        <f>IFERROR(INDEX('2 Staff List'!FU$64:FU$114,$AH246),0)</f>
        <v>0</v>
      </c>
      <c r="BO246" s="25">
        <f>IFERROR(INDEX('2 Staff List'!FV$64:FV$114,$AH246),0)</f>
        <v>0</v>
      </c>
      <c r="BP246" s="25">
        <f>IFERROR(INDEX('2 Staff List'!FW$64:FW$114,$AH246),0)</f>
        <v>0</v>
      </c>
      <c r="BQ246" s="25">
        <f>IFERROR(INDEX('2 Staff List'!FX$64:FX$114,$AH246),0)</f>
        <v>0</v>
      </c>
      <c r="BR246" s="25">
        <f>IFERROR(INDEX('2 Staff List'!FY$64:FY$114,$AH246),0)</f>
        <v>0</v>
      </c>
      <c r="BS246" s="25">
        <f>IFERROR(INDEX('2 Staff List'!FZ$64:FZ$114,$AH246),0)</f>
        <v>0</v>
      </c>
      <c r="BT246" s="25">
        <f>IFERROR(INDEX('2 Staff List'!GA$64:GA$114,$AH246),0)</f>
        <v>0</v>
      </c>
      <c r="BU246" s="25">
        <f>IFERROR(INDEX('2 Staff List'!GB$64:GB$114,$AH246),0)</f>
        <v>0</v>
      </c>
      <c r="BV246" s="25">
        <f>IFERROR(INDEX('2 Staff List'!GC$64:GC$114,$AH246),0)</f>
        <v>0</v>
      </c>
      <c r="BW246" s="25">
        <f t="shared" si="321"/>
        <v>0</v>
      </c>
      <c r="BX246" s="25">
        <f t="shared" si="322"/>
        <v>0</v>
      </c>
      <c r="BY246" s="25">
        <f t="shared" si="323"/>
        <v>0</v>
      </c>
      <c r="BZ246" s="25">
        <f t="shared" si="324"/>
        <v>0</v>
      </c>
      <c r="CA246" s="25">
        <f t="shared" si="325"/>
        <v>0</v>
      </c>
      <c r="CB246" s="25">
        <f t="shared" si="326"/>
        <v>0</v>
      </c>
      <c r="CC246" s="25">
        <f t="shared" si="327"/>
        <v>0</v>
      </c>
      <c r="CD246" s="25">
        <f t="shared" si="328"/>
        <v>0</v>
      </c>
      <c r="CE246" s="25">
        <f t="shared" si="329"/>
        <v>0</v>
      </c>
      <c r="CF246" s="25">
        <f t="shared" si="330"/>
        <v>0</v>
      </c>
      <c r="CG246" s="25">
        <f t="shared" si="331"/>
        <v>0</v>
      </c>
      <c r="CH246" s="25">
        <f>IFERROR(INDEX('2 Staff List'!LO$64:LO$114,$AH246),0)</f>
        <v>0</v>
      </c>
      <c r="CI246" s="25">
        <f>IFERROR(INDEX('2 Staff List'!LP$64:LP$114,$AH246),0)</f>
        <v>0</v>
      </c>
      <c r="CJ246" s="25">
        <f>IFERROR(INDEX('2 Staff List'!LQ$64:LQ$114,$AH246),0)</f>
        <v>0</v>
      </c>
      <c r="CK246" s="25">
        <f>IFERROR(INDEX('2 Staff List'!LR$64:LR$114,$AH246),0)</f>
        <v>0</v>
      </c>
      <c r="CL246" s="25">
        <f>IFERROR(INDEX('2 Staff List'!LS$64:LS$114,$AH246),0)</f>
        <v>0</v>
      </c>
      <c r="CM246" s="25">
        <f>IFERROR(INDEX('2 Staff List'!LT$64:LT$114,$AH246),0)</f>
        <v>0</v>
      </c>
      <c r="CN246" s="25">
        <f>IFERROR(INDEX('2 Staff List'!LU$64:LU$114,$AH246),0)</f>
        <v>0</v>
      </c>
      <c r="CO246" s="25">
        <f>IFERROR(INDEX('2 Staff List'!LV$64:LV$114,$AH246),0)</f>
        <v>0</v>
      </c>
      <c r="CP246" s="25">
        <f>IFERROR(INDEX('2 Staff List'!LW$64:LW$114,$AH246),0)</f>
        <v>0</v>
      </c>
      <c r="CQ246" s="25">
        <f>IFERROR(INDEX('2 Staff List'!LX$64:LX$114,$AH246),0)</f>
        <v>0</v>
      </c>
      <c r="CR246" s="25">
        <f t="shared" si="771"/>
        <v>0</v>
      </c>
      <c r="CS246" s="25">
        <f t="shared" si="349"/>
        <v>1</v>
      </c>
      <c r="CT246" s="25">
        <f t="shared" si="333"/>
        <v>1</v>
      </c>
      <c r="CU246" s="25">
        <f t="shared" si="334"/>
        <v>1</v>
      </c>
      <c r="CV246" s="25">
        <f t="shared" si="335"/>
        <v>1</v>
      </c>
      <c r="CW246" s="25">
        <f t="shared" si="336"/>
        <v>1</v>
      </c>
      <c r="CX246" s="25">
        <f t="shared" si="337"/>
        <v>0</v>
      </c>
      <c r="CY246" s="25">
        <f t="shared" si="338"/>
        <v>0</v>
      </c>
      <c r="CZ246" s="25">
        <f t="shared" si="339"/>
        <v>0</v>
      </c>
      <c r="DA246" s="25">
        <f t="shared" si="340"/>
        <v>1</v>
      </c>
      <c r="DB246" s="25">
        <f t="shared" si="767"/>
        <v>1</v>
      </c>
      <c r="DC246" s="25">
        <f t="shared" si="341"/>
        <v>0</v>
      </c>
      <c r="DD246" s="25">
        <f>IF(OR($AD246&lt;&gt;3,F246="Exclude"),0,IF(ISERROR(MATCH($E246,'4 Sign-off'!$S$123:$X$123,0)),0,1))</f>
        <v>0</v>
      </c>
      <c r="DE246" s="25">
        <f t="shared" si="763"/>
        <v>0</v>
      </c>
      <c r="DF246" s="25">
        <f t="shared" si="342"/>
        <v>0</v>
      </c>
      <c r="DG246" s="25" t="str">
        <f t="shared" si="343"/>
        <v/>
      </c>
      <c r="DH246" s="25">
        <f t="shared" si="344"/>
        <v>0</v>
      </c>
      <c r="DI246" s="25">
        <f t="shared" si="345"/>
        <v>0</v>
      </c>
      <c r="DJ246" s="25">
        <f>IF(ISBLANK(J246),0,ISERROR(MATCH(J246,'5  Control Accounts'!$FA$29:$FA$96,0))*1)</f>
        <v>0</v>
      </c>
      <c r="DK246" s="25">
        <f t="shared" si="346"/>
        <v>0</v>
      </c>
      <c r="DL246" s="25">
        <f t="shared" si="768"/>
        <v>-1</v>
      </c>
      <c r="DM246" s="25" t="e">
        <f t="array" ref="DM246">MATCH(1,($EG246:$JD246&gt;0)*$EG$17:$JD$17,0)</f>
        <v>#N/A</v>
      </c>
      <c r="DN246" s="25" t="e">
        <f t="shared" si="551"/>
        <v>#N/A</v>
      </c>
      <c r="DO246" s="25" t="e">
        <f t="array" ref="DO246">MATCH(2,1/(EG246:JD246&gt;0))</f>
        <v>#N/A</v>
      </c>
      <c r="DP246" s="2993">
        <f t="shared" si="347"/>
        <v>0</v>
      </c>
      <c r="DQ246" s="3037">
        <f t="shared" si="348"/>
        <v>0</v>
      </c>
      <c r="DR246" s="111"/>
      <c r="DS246" s="1268">
        <f t="shared" si="743"/>
        <v>0</v>
      </c>
      <c r="DT246" s="1825"/>
      <c r="DU246" s="1826"/>
      <c r="DV246" s="1827"/>
      <c r="DW246" s="1828"/>
      <c r="DX246" s="659"/>
      <c r="DY246" s="1265"/>
      <c r="DZ246" s="1785">
        <f t="shared" si="772"/>
        <v>0</v>
      </c>
      <c r="EA246" s="1786">
        <f t="shared" si="773"/>
        <v>0</v>
      </c>
      <c r="EB246" s="1781">
        <f t="shared" si="552"/>
        <v>0</v>
      </c>
      <c r="EC246" s="1782">
        <f t="shared" si="553"/>
        <v>0</v>
      </c>
      <c r="ED246" s="1262"/>
      <c r="EE246" s="2280"/>
      <c r="EF246" s="1802"/>
      <c r="EG246" s="167"/>
      <c r="EH246" s="168"/>
      <c r="EI246" s="168"/>
      <c r="EJ246" s="168"/>
      <c r="EK246" s="168"/>
      <c r="EL246" s="168"/>
      <c r="EM246" s="168"/>
      <c r="EN246" s="168"/>
      <c r="EO246" s="168"/>
      <c r="EP246" s="168"/>
      <c r="EQ246" s="168"/>
      <c r="ER246" s="168"/>
      <c r="ES246" s="168"/>
      <c r="ET246" s="168"/>
      <c r="EU246" s="168"/>
      <c r="EV246" s="168"/>
      <c r="EW246" s="168"/>
      <c r="EX246" s="168"/>
      <c r="EY246" s="168"/>
      <c r="EZ246" s="168"/>
      <c r="FA246" s="168"/>
      <c r="FB246" s="168"/>
      <c r="FC246" s="168"/>
      <c r="FD246" s="168"/>
      <c r="FE246" s="168"/>
      <c r="FF246" s="168"/>
      <c r="FG246" s="168"/>
      <c r="FH246" s="168"/>
      <c r="FI246" s="168"/>
      <c r="FJ246" s="168"/>
      <c r="FK246" s="168"/>
      <c r="FL246" s="168"/>
      <c r="FM246" s="168"/>
      <c r="FN246" s="168"/>
      <c r="FO246" s="168"/>
      <c r="FP246" s="168"/>
      <c r="FQ246" s="168"/>
      <c r="FR246" s="168"/>
      <c r="FS246" s="168"/>
      <c r="FT246" s="168"/>
      <c r="FU246" s="168"/>
      <c r="FV246" s="168"/>
      <c r="FW246" s="168"/>
      <c r="FX246" s="168"/>
      <c r="FY246" s="168"/>
      <c r="FZ246" s="168"/>
      <c r="GA246" s="168"/>
      <c r="GB246" s="168"/>
      <c r="GC246" s="168"/>
      <c r="GD246" s="168"/>
      <c r="GE246" s="168"/>
      <c r="GF246" s="168"/>
      <c r="GG246" s="168"/>
      <c r="GH246" s="168"/>
      <c r="GI246" s="168"/>
      <c r="GJ246" s="168"/>
      <c r="GK246" s="168"/>
      <c r="GL246" s="168"/>
      <c r="GM246" s="168"/>
      <c r="GN246" s="168"/>
      <c r="GO246" s="168"/>
      <c r="GP246" s="168"/>
      <c r="GQ246" s="168"/>
      <c r="GR246" s="168"/>
      <c r="GS246" s="168"/>
      <c r="GT246" s="168"/>
      <c r="GU246" s="168"/>
      <c r="GV246" s="168"/>
      <c r="GW246" s="168"/>
      <c r="GX246" s="168"/>
      <c r="GY246" s="168"/>
      <c r="GZ246" s="168"/>
      <c r="HA246" s="168"/>
      <c r="HB246" s="168"/>
      <c r="HC246" s="168"/>
      <c r="HD246" s="168"/>
      <c r="HE246" s="168"/>
      <c r="HF246" s="168"/>
      <c r="HG246" s="168"/>
      <c r="HH246" s="168"/>
      <c r="HI246" s="168"/>
      <c r="HJ246" s="168"/>
      <c r="HK246" s="168"/>
      <c r="HL246" s="168"/>
      <c r="HM246" s="168"/>
      <c r="HN246" s="168"/>
      <c r="HO246" s="168"/>
      <c r="HP246" s="168"/>
      <c r="HQ246" s="168"/>
      <c r="HR246" s="168"/>
      <c r="HS246" s="168"/>
      <c r="HT246" s="168"/>
      <c r="HU246" s="168"/>
      <c r="HV246" s="168"/>
      <c r="HW246" s="168"/>
      <c r="HX246" s="168"/>
      <c r="HY246" s="168"/>
      <c r="HZ246" s="168"/>
      <c r="IA246" s="168"/>
      <c r="IB246" s="168"/>
      <c r="IC246" s="168"/>
      <c r="ID246" s="168"/>
      <c r="IE246" s="168"/>
      <c r="IF246" s="168"/>
      <c r="IG246" s="168"/>
      <c r="IH246" s="168"/>
      <c r="II246" s="168"/>
      <c r="IJ246" s="168"/>
      <c r="IK246" s="168"/>
      <c r="IL246" s="168"/>
      <c r="IM246" s="168"/>
      <c r="IN246" s="168"/>
      <c r="IO246" s="168"/>
      <c r="IP246" s="168"/>
      <c r="IQ246" s="168"/>
      <c r="IR246" s="168"/>
      <c r="IS246" s="168"/>
      <c r="IT246" s="168"/>
      <c r="IU246" s="168"/>
      <c r="IV246" s="168"/>
      <c r="IW246" s="168"/>
      <c r="IX246" s="168"/>
      <c r="IY246" s="168"/>
      <c r="IZ246" s="168"/>
      <c r="JA246" s="168"/>
      <c r="JB246" s="168"/>
      <c r="JC246" s="606"/>
      <c r="JD246" s="609"/>
      <c r="JE246" s="1"/>
      <c r="JF246" s="1"/>
    </row>
    <row r="247" spans="1:266" s="2" customFormat="1" ht="15" customHeight="1" x14ac:dyDescent="0.25">
      <c r="A247" s="283"/>
      <c r="B247" s="303"/>
      <c r="C247" s="301"/>
      <c r="D247" s="638"/>
      <c r="E247" s="2298"/>
      <c r="F247" s="1812"/>
      <c r="G247" s="3342"/>
      <c r="H247" s="66"/>
      <c r="I247" s="1746"/>
      <c r="J247" s="86"/>
      <c r="K247" s="105"/>
      <c r="L247" s="91"/>
      <c r="M247" s="92"/>
      <c r="N247" s="93"/>
      <c r="O247" s="94"/>
      <c r="P247" s="96"/>
      <c r="Q247" s="95"/>
      <c r="R247" s="993">
        <f t="shared" si="769"/>
        <v>0</v>
      </c>
      <c r="S247" s="23">
        <f t="shared" si="298"/>
        <v>0</v>
      </c>
      <c r="T247" s="24">
        <f t="shared" si="299"/>
        <v>0</v>
      </c>
      <c r="U247" s="24">
        <f t="shared" si="300"/>
        <v>0</v>
      </c>
      <c r="V247" s="24">
        <f t="shared" si="301"/>
        <v>0</v>
      </c>
      <c r="W247" s="24">
        <f t="shared" si="302"/>
        <v>0</v>
      </c>
      <c r="X247" s="72">
        <f t="shared" si="303"/>
        <v>0</v>
      </c>
      <c r="Y247" s="72">
        <f t="shared" si="304"/>
        <v>0</v>
      </c>
      <c r="Z247" s="24">
        <f t="shared" si="770"/>
        <v>0</v>
      </c>
      <c r="AA247" s="72">
        <f t="shared" si="305"/>
        <v>0</v>
      </c>
      <c r="AB247" s="24">
        <f t="shared" si="306"/>
        <v>0</v>
      </c>
      <c r="AC247" s="24" t="s">
        <v>5</v>
      </c>
      <c r="AD247" s="25">
        <f t="shared" si="764"/>
        <v>3</v>
      </c>
      <c r="AE247" s="25">
        <f t="shared" si="765"/>
        <v>0</v>
      </c>
      <c r="AF247" s="25">
        <f t="shared" si="766"/>
        <v>0</v>
      </c>
      <c r="AG247" s="25">
        <f t="shared" si="307"/>
        <v>1</v>
      </c>
      <c r="AH247" s="25" t="str">
        <f>IFERROR(MATCH(DY247,'2 Staff List'!$IA$64:$IA$114,0),"x")</f>
        <v>x</v>
      </c>
      <c r="AI247" s="1181">
        <f>IFERROR(INDEX('2 Staff List'!$EX$64:$EX$114,$AH247),0)</f>
        <v>0</v>
      </c>
      <c r="AJ247" s="25">
        <f>IFERROR(INDEX('2 Staff List'!$IW$64:$IW$114,$AH247),0)</f>
        <v>0</v>
      </c>
      <c r="AK247" s="25">
        <f>IFERROR(INDEX('2 Staff List'!$IB$64:$IB$114,$AH247),0)</f>
        <v>0</v>
      </c>
      <c r="AL247" s="25">
        <f>IF(OR(NOT(ISBLANK(DV247)),CX247=1),"&lt;Non-Labor&gt;",IFERROR(IF(AH247=0,0,INDEX('2 Staff List'!$HZ$64:$HZ$114,$AH247)),0))</f>
        <v>0</v>
      </c>
      <c r="AM247" s="25">
        <f>IFERROR(INDEX('2 Staff List'!$HW$64:$HW$114,$AH247),0)</f>
        <v>0</v>
      </c>
      <c r="AN247" s="25">
        <f t="shared" si="308"/>
        <v>1</v>
      </c>
      <c r="AO247" s="25">
        <f>IF($AO$127=0,0,IFERROR(INDEX('2 Staff List'!$JH$64:$JH$114,$AH247),0))</f>
        <v>0</v>
      </c>
      <c r="AP247" s="25">
        <f>IFERROR(INDEX('2 Staff List'!$HU$64:$HU$114,$AH247),0)</f>
        <v>0</v>
      </c>
      <c r="AQ247" s="25">
        <f t="shared" si="309"/>
        <v>0</v>
      </c>
      <c r="AR247" s="25">
        <f t="shared" si="310"/>
        <v>0</v>
      </c>
      <c r="AS247" s="25">
        <f t="shared" si="311"/>
        <v>0</v>
      </c>
      <c r="AT247" s="25">
        <f t="shared" si="312"/>
        <v>0</v>
      </c>
      <c r="AU247" s="25">
        <f t="shared" si="313"/>
        <v>0</v>
      </c>
      <c r="AV247" s="25">
        <f t="shared" si="314"/>
        <v>0</v>
      </c>
      <c r="AW247" s="25">
        <f t="shared" si="315"/>
        <v>0</v>
      </c>
      <c r="AX247" s="25">
        <f t="shared" si="316"/>
        <v>0</v>
      </c>
      <c r="AY247" s="25">
        <f t="shared" si="317"/>
        <v>0</v>
      </c>
      <c r="AZ247" s="25">
        <f t="shared" si="318"/>
        <v>0</v>
      </c>
      <c r="BA247" s="25">
        <f t="shared" si="319"/>
        <v>0</v>
      </c>
      <c r="BB247" s="25">
        <f t="shared" si="320"/>
        <v>0</v>
      </c>
      <c r="BC247" s="25">
        <f>IFERROR(INDEX('2 Staff List'!KS$64:KS$114,$AH247),0)</f>
        <v>0</v>
      </c>
      <c r="BD247" s="25">
        <f>IFERROR(INDEX('2 Staff List'!KT$64:KT$114,$AH247),0)</f>
        <v>0</v>
      </c>
      <c r="BE247" s="25">
        <f>IFERROR(INDEX('2 Staff List'!KU$64:KU$114,$AH247),0)</f>
        <v>0</v>
      </c>
      <c r="BF247" s="25">
        <f>IFERROR(INDEX('2 Staff List'!KV$64:KV$114,$AH247),0)</f>
        <v>0</v>
      </c>
      <c r="BG247" s="25">
        <f>IFERROR(INDEX('2 Staff List'!KW$64:KW$114,$AH247),0)</f>
        <v>0</v>
      </c>
      <c r="BH247" s="25">
        <f>IFERROR(INDEX('2 Staff List'!KX$64:KX$114,$AH247),0)</f>
        <v>0</v>
      </c>
      <c r="BI247" s="25">
        <f>IFERROR(INDEX('2 Staff List'!KY$64:KY$114,$AH247),0)</f>
        <v>0</v>
      </c>
      <c r="BJ247" s="25">
        <f>IFERROR(INDEX('2 Staff List'!KZ$64:KZ$114,$AH247),0)</f>
        <v>0</v>
      </c>
      <c r="BK247" s="25">
        <f>IFERROR(INDEX('2 Staff List'!LA$64:LA$114,$AH247),0)</f>
        <v>0</v>
      </c>
      <c r="BL247" s="25">
        <f>IFERROR(INDEX('2 Staff List'!LB$64:LB$114,$AH247),0)</f>
        <v>0</v>
      </c>
      <c r="BM247" s="25">
        <f>IFERROR(INDEX('2 Staff List'!FT$64:FT$114,$AH247),0)</f>
        <v>0</v>
      </c>
      <c r="BN247" s="25">
        <f>IFERROR(INDEX('2 Staff List'!FU$64:FU$114,$AH247),0)</f>
        <v>0</v>
      </c>
      <c r="BO247" s="25">
        <f>IFERROR(INDEX('2 Staff List'!FV$64:FV$114,$AH247),0)</f>
        <v>0</v>
      </c>
      <c r="BP247" s="25">
        <f>IFERROR(INDEX('2 Staff List'!FW$64:FW$114,$AH247),0)</f>
        <v>0</v>
      </c>
      <c r="BQ247" s="25">
        <f>IFERROR(INDEX('2 Staff List'!FX$64:FX$114,$AH247),0)</f>
        <v>0</v>
      </c>
      <c r="BR247" s="25">
        <f>IFERROR(INDEX('2 Staff List'!FY$64:FY$114,$AH247),0)</f>
        <v>0</v>
      </c>
      <c r="BS247" s="25">
        <f>IFERROR(INDEX('2 Staff List'!FZ$64:FZ$114,$AH247),0)</f>
        <v>0</v>
      </c>
      <c r="BT247" s="25">
        <f>IFERROR(INDEX('2 Staff List'!GA$64:GA$114,$AH247),0)</f>
        <v>0</v>
      </c>
      <c r="BU247" s="25">
        <f>IFERROR(INDEX('2 Staff List'!GB$64:GB$114,$AH247),0)</f>
        <v>0</v>
      </c>
      <c r="BV247" s="25">
        <f>IFERROR(INDEX('2 Staff List'!GC$64:GC$114,$AH247),0)</f>
        <v>0</v>
      </c>
      <c r="BW247" s="25">
        <f t="shared" si="321"/>
        <v>0</v>
      </c>
      <c r="BX247" s="25">
        <f t="shared" si="322"/>
        <v>0</v>
      </c>
      <c r="BY247" s="25">
        <f t="shared" si="323"/>
        <v>0</v>
      </c>
      <c r="BZ247" s="25">
        <f t="shared" si="324"/>
        <v>0</v>
      </c>
      <c r="CA247" s="25">
        <f t="shared" si="325"/>
        <v>0</v>
      </c>
      <c r="CB247" s="25">
        <f t="shared" si="326"/>
        <v>0</v>
      </c>
      <c r="CC247" s="25">
        <f t="shared" si="327"/>
        <v>0</v>
      </c>
      <c r="CD247" s="25">
        <f t="shared" si="328"/>
        <v>0</v>
      </c>
      <c r="CE247" s="25">
        <f t="shared" si="329"/>
        <v>0</v>
      </c>
      <c r="CF247" s="25">
        <f t="shared" si="330"/>
        <v>0</v>
      </c>
      <c r="CG247" s="25">
        <f t="shared" si="331"/>
        <v>0</v>
      </c>
      <c r="CH247" s="25">
        <f>IFERROR(INDEX('2 Staff List'!LO$64:LO$114,$AH247),0)</f>
        <v>0</v>
      </c>
      <c r="CI247" s="25">
        <f>IFERROR(INDEX('2 Staff List'!LP$64:LP$114,$AH247),0)</f>
        <v>0</v>
      </c>
      <c r="CJ247" s="25">
        <f>IFERROR(INDEX('2 Staff List'!LQ$64:LQ$114,$AH247),0)</f>
        <v>0</v>
      </c>
      <c r="CK247" s="25">
        <f>IFERROR(INDEX('2 Staff List'!LR$64:LR$114,$AH247),0)</f>
        <v>0</v>
      </c>
      <c r="CL247" s="25">
        <f>IFERROR(INDEX('2 Staff List'!LS$64:LS$114,$AH247),0)</f>
        <v>0</v>
      </c>
      <c r="CM247" s="25">
        <f>IFERROR(INDEX('2 Staff List'!LT$64:LT$114,$AH247),0)</f>
        <v>0</v>
      </c>
      <c r="CN247" s="25">
        <f>IFERROR(INDEX('2 Staff List'!LU$64:LU$114,$AH247),0)</f>
        <v>0</v>
      </c>
      <c r="CO247" s="25">
        <f>IFERROR(INDEX('2 Staff List'!LV$64:LV$114,$AH247),0)</f>
        <v>0</v>
      </c>
      <c r="CP247" s="25">
        <f>IFERROR(INDEX('2 Staff List'!LW$64:LW$114,$AH247),0)</f>
        <v>0</v>
      </c>
      <c r="CQ247" s="25">
        <f>IFERROR(INDEX('2 Staff List'!LX$64:LX$114,$AH247),0)</f>
        <v>0</v>
      </c>
      <c r="CR247" s="25">
        <f t="shared" si="771"/>
        <v>0</v>
      </c>
      <c r="CS247" s="25">
        <f t="shared" si="349"/>
        <v>1</v>
      </c>
      <c r="CT247" s="25">
        <f t="shared" si="333"/>
        <v>1</v>
      </c>
      <c r="CU247" s="25">
        <f t="shared" si="334"/>
        <v>1</v>
      </c>
      <c r="CV247" s="25">
        <f t="shared" si="335"/>
        <v>1</v>
      </c>
      <c r="CW247" s="25">
        <f t="shared" si="336"/>
        <v>1</v>
      </c>
      <c r="CX247" s="25">
        <f t="shared" si="337"/>
        <v>0</v>
      </c>
      <c r="CY247" s="25">
        <f t="shared" si="338"/>
        <v>0</v>
      </c>
      <c r="CZ247" s="25">
        <f t="shared" si="339"/>
        <v>0</v>
      </c>
      <c r="DA247" s="25">
        <f t="shared" si="340"/>
        <v>1</v>
      </c>
      <c r="DB247" s="25">
        <f t="shared" si="767"/>
        <v>1</v>
      </c>
      <c r="DC247" s="25">
        <f t="shared" si="341"/>
        <v>0</v>
      </c>
      <c r="DD247" s="25">
        <f>IF(OR($AD247&lt;&gt;3,F247="Exclude"),0,IF(ISERROR(MATCH($E247,'4 Sign-off'!$S$123:$X$123,0)),0,1))</f>
        <v>0</v>
      </c>
      <c r="DE247" s="25">
        <f t="shared" si="763"/>
        <v>0</v>
      </c>
      <c r="DF247" s="25">
        <f t="shared" si="342"/>
        <v>0</v>
      </c>
      <c r="DG247" s="25" t="str">
        <f t="shared" si="343"/>
        <v/>
      </c>
      <c r="DH247" s="25">
        <f t="shared" si="344"/>
        <v>0</v>
      </c>
      <c r="DI247" s="25">
        <f t="shared" si="345"/>
        <v>0</v>
      </c>
      <c r="DJ247" s="25">
        <f>IF(ISBLANK(J247),0,ISERROR(MATCH(J247,'5  Control Accounts'!$FA$29:$FA$96,0))*1)</f>
        <v>0</v>
      </c>
      <c r="DK247" s="25">
        <f t="shared" si="346"/>
        <v>0</v>
      </c>
      <c r="DL247" s="25">
        <f t="shared" si="768"/>
        <v>-1</v>
      </c>
      <c r="DM247" s="25" t="e">
        <f t="array" ref="DM247">MATCH(1,($EG247:$JD247&gt;0)*$EG$17:$JD$17,0)</f>
        <v>#N/A</v>
      </c>
      <c r="DN247" s="25" t="e">
        <f t="shared" si="551"/>
        <v>#N/A</v>
      </c>
      <c r="DO247" s="25" t="e">
        <f t="array" ref="DO247">MATCH(2,1/(EG247:JD247&gt;0))</f>
        <v>#N/A</v>
      </c>
      <c r="DP247" s="2993">
        <f t="shared" si="347"/>
        <v>0</v>
      </c>
      <c r="DQ247" s="3037">
        <f t="shared" si="348"/>
        <v>0</v>
      </c>
      <c r="DR247" s="111"/>
      <c r="DS247" s="1268">
        <f t="shared" si="743"/>
        <v>0</v>
      </c>
      <c r="DT247" s="1825"/>
      <c r="DU247" s="1826"/>
      <c r="DV247" s="1827"/>
      <c r="DW247" s="1828"/>
      <c r="DX247" s="659"/>
      <c r="DY247" s="1265"/>
      <c r="DZ247" s="1785">
        <f t="shared" si="772"/>
        <v>0</v>
      </c>
      <c r="EA247" s="1786">
        <f t="shared" si="773"/>
        <v>0</v>
      </c>
      <c r="EB247" s="1781">
        <f t="shared" si="552"/>
        <v>0</v>
      </c>
      <c r="EC247" s="1782">
        <f t="shared" si="553"/>
        <v>0</v>
      </c>
      <c r="ED247" s="1262"/>
      <c r="EE247" s="2280"/>
      <c r="EF247" s="1802"/>
      <c r="EG247" s="167"/>
      <c r="EH247" s="168"/>
      <c r="EI247" s="168"/>
      <c r="EJ247" s="168"/>
      <c r="EK247" s="168"/>
      <c r="EL247" s="168"/>
      <c r="EM247" s="168"/>
      <c r="EN247" s="168"/>
      <c r="EO247" s="168"/>
      <c r="EP247" s="168"/>
      <c r="EQ247" s="168"/>
      <c r="ER247" s="168"/>
      <c r="ES247" s="168"/>
      <c r="ET247" s="168"/>
      <c r="EU247" s="168"/>
      <c r="EV247" s="168"/>
      <c r="EW247" s="168"/>
      <c r="EX247" s="168"/>
      <c r="EY247" s="168"/>
      <c r="EZ247" s="168"/>
      <c r="FA247" s="168"/>
      <c r="FB247" s="168"/>
      <c r="FC247" s="168"/>
      <c r="FD247" s="168"/>
      <c r="FE247" s="168"/>
      <c r="FF247" s="168"/>
      <c r="FG247" s="168"/>
      <c r="FH247" s="168"/>
      <c r="FI247" s="168"/>
      <c r="FJ247" s="168"/>
      <c r="FK247" s="168"/>
      <c r="FL247" s="168"/>
      <c r="FM247" s="168"/>
      <c r="FN247" s="168"/>
      <c r="FO247" s="168"/>
      <c r="FP247" s="168"/>
      <c r="FQ247" s="168"/>
      <c r="FR247" s="168"/>
      <c r="FS247" s="168"/>
      <c r="FT247" s="168"/>
      <c r="FU247" s="168"/>
      <c r="FV247" s="168"/>
      <c r="FW247" s="168"/>
      <c r="FX247" s="168"/>
      <c r="FY247" s="168"/>
      <c r="FZ247" s="168"/>
      <c r="GA247" s="168"/>
      <c r="GB247" s="168"/>
      <c r="GC247" s="168"/>
      <c r="GD247" s="168"/>
      <c r="GE247" s="168"/>
      <c r="GF247" s="168"/>
      <c r="GG247" s="168"/>
      <c r="GH247" s="168"/>
      <c r="GI247" s="168"/>
      <c r="GJ247" s="168"/>
      <c r="GK247" s="168"/>
      <c r="GL247" s="168"/>
      <c r="GM247" s="168"/>
      <c r="GN247" s="168"/>
      <c r="GO247" s="168"/>
      <c r="GP247" s="168"/>
      <c r="GQ247" s="168"/>
      <c r="GR247" s="168"/>
      <c r="GS247" s="168"/>
      <c r="GT247" s="168"/>
      <c r="GU247" s="168"/>
      <c r="GV247" s="168"/>
      <c r="GW247" s="168"/>
      <c r="GX247" s="168"/>
      <c r="GY247" s="168"/>
      <c r="GZ247" s="168"/>
      <c r="HA247" s="168"/>
      <c r="HB247" s="168"/>
      <c r="HC247" s="168"/>
      <c r="HD247" s="168"/>
      <c r="HE247" s="168"/>
      <c r="HF247" s="168"/>
      <c r="HG247" s="168"/>
      <c r="HH247" s="168"/>
      <c r="HI247" s="168"/>
      <c r="HJ247" s="168"/>
      <c r="HK247" s="168"/>
      <c r="HL247" s="168"/>
      <c r="HM247" s="168"/>
      <c r="HN247" s="168"/>
      <c r="HO247" s="168"/>
      <c r="HP247" s="168"/>
      <c r="HQ247" s="168"/>
      <c r="HR247" s="168"/>
      <c r="HS247" s="168"/>
      <c r="HT247" s="168"/>
      <c r="HU247" s="168"/>
      <c r="HV247" s="168"/>
      <c r="HW247" s="168"/>
      <c r="HX247" s="168"/>
      <c r="HY247" s="168"/>
      <c r="HZ247" s="168"/>
      <c r="IA247" s="168"/>
      <c r="IB247" s="168"/>
      <c r="IC247" s="168"/>
      <c r="ID247" s="168"/>
      <c r="IE247" s="168"/>
      <c r="IF247" s="168"/>
      <c r="IG247" s="168"/>
      <c r="IH247" s="168"/>
      <c r="II247" s="168"/>
      <c r="IJ247" s="168"/>
      <c r="IK247" s="168"/>
      <c r="IL247" s="168"/>
      <c r="IM247" s="168"/>
      <c r="IN247" s="168"/>
      <c r="IO247" s="168"/>
      <c r="IP247" s="168"/>
      <c r="IQ247" s="168"/>
      <c r="IR247" s="168"/>
      <c r="IS247" s="168"/>
      <c r="IT247" s="168"/>
      <c r="IU247" s="168"/>
      <c r="IV247" s="168"/>
      <c r="IW247" s="168"/>
      <c r="IX247" s="168"/>
      <c r="IY247" s="168"/>
      <c r="IZ247" s="168"/>
      <c r="JA247" s="168"/>
      <c r="JB247" s="168"/>
      <c r="JC247" s="606"/>
      <c r="JD247" s="609"/>
      <c r="JE247" s="1"/>
      <c r="JF247" s="1"/>
    </row>
    <row r="248" spans="1:266" s="2" customFormat="1" ht="15" customHeight="1" x14ac:dyDescent="0.25">
      <c r="A248" s="283"/>
      <c r="B248" s="303"/>
      <c r="C248" s="301"/>
      <c r="D248" s="638"/>
      <c r="E248" s="2298"/>
      <c r="F248" s="1812"/>
      <c r="G248" s="3342"/>
      <c r="H248" s="66"/>
      <c r="I248" s="1746"/>
      <c r="J248" s="86"/>
      <c r="K248" s="105"/>
      <c r="L248" s="91"/>
      <c r="M248" s="92"/>
      <c r="N248" s="93"/>
      <c r="O248" s="94"/>
      <c r="P248" s="96"/>
      <c r="Q248" s="95"/>
      <c r="R248" s="993">
        <f t="shared" si="769"/>
        <v>0</v>
      </c>
      <c r="S248" s="23">
        <f t="shared" si="298"/>
        <v>0</v>
      </c>
      <c r="T248" s="24">
        <f t="shared" si="299"/>
        <v>0</v>
      </c>
      <c r="U248" s="24">
        <f t="shared" si="300"/>
        <v>0</v>
      </c>
      <c r="V248" s="24">
        <f t="shared" si="301"/>
        <v>0</v>
      </c>
      <c r="W248" s="24">
        <f t="shared" si="302"/>
        <v>0</v>
      </c>
      <c r="X248" s="72">
        <f t="shared" si="303"/>
        <v>0</v>
      </c>
      <c r="Y248" s="72">
        <f t="shared" si="304"/>
        <v>0</v>
      </c>
      <c r="Z248" s="24">
        <f t="shared" si="770"/>
        <v>0</v>
      </c>
      <c r="AA248" s="72">
        <f t="shared" si="305"/>
        <v>0</v>
      </c>
      <c r="AB248" s="24">
        <f t="shared" si="306"/>
        <v>0</v>
      </c>
      <c r="AC248" s="24" t="s">
        <v>5</v>
      </c>
      <c r="AD248" s="25">
        <f t="shared" si="764"/>
        <v>3</v>
      </c>
      <c r="AE248" s="25">
        <f t="shared" si="765"/>
        <v>0</v>
      </c>
      <c r="AF248" s="25">
        <f t="shared" si="766"/>
        <v>0</v>
      </c>
      <c r="AG248" s="25">
        <f t="shared" si="307"/>
        <v>1</v>
      </c>
      <c r="AH248" s="25" t="str">
        <f>IFERROR(MATCH(DY248,'2 Staff List'!$IA$64:$IA$114,0),"x")</f>
        <v>x</v>
      </c>
      <c r="AI248" s="1181">
        <f>IFERROR(INDEX('2 Staff List'!$EX$64:$EX$114,$AH248),0)</f>
        <v>0</v>
      </c>
      <c r="AJ248" s="25">
        <f>IFERROR(INDEX('2 Staff List'!$IW$64:$IW$114,$AH248),0)</f>
        <v>0</v>
      </c>
      <c r="AK248" s="25">
        <f>IFERROR(INDEX('2 Staff List'!$IB$64:$IB$114,$AH248),0)</f>
        <v>0</v>
      </c>
      <c r="AL248" s="25">
        <f>IF(OR(NOT(ISBLANK(DV248)),CX248=1),"&lt;Non-Labor&gt;",IFERROR(IF(AH248=0,0,INDEX('2 Staff List'!$HZ$64:$HZ$114,$AH248)),0))</f>
        <v>0</v>
      </c>
      <c r="AM248" s="25">
        <f>IFERROR(INDEX('2 Staff List'!$HW$64:$HW$114,$AH248),0)</f>
        <v>0</v>
      </c>
      <c r="AN248" s="25">
        <f t="shared" si="308"/>
        <v>1</v>
      </c>
      <c r="AO248" s="25">
        <f>IF($AO$127=0,0,IFERROR(INDEX('2 Staff List'!$JH$64:$JH$114,$AH248),0))</f>
        <v>0</v>
      </c>
      <c r="AP248" s="25">
        <f>IFERROR(INDEX('2 Staff List'!$HU$64:$HU$114,$AH248),0)</f>
        <v>0</v>
      </c>
      <c r="AQ248" s="25">
        <f t="shared" si="309"/>
        <v>0</v>
      </c>
      <c r="AR248" s="25">
        <f t="shared" si="310"/>
        <v>0</v>
      </c>
      <c r="AS248" s="25">
        <f t="shared" si="311"/>
        <v>0</v>
      </c>
      <c r="AT248" s="25">
        <f t="shared" si="312"/>
        <v>0</v>
      </c>
      <c r="AU248" s="25">
        <f t="shared" si="313"/>
        <v>0</v>
      </c>
      <c r="AV248" s="25">
        <f t="shared" si="314"/>
        <v>0</v>
      </c>
      <c r="AW248" s="25">
        <f t="shared" si="315"/>
        <v>0</v>
      </c>
      <c r="AX248" s="25">
        <f t="shared" si="316"/>
        <v>0</v>
      </c>
      <c r="AY248" s="25">
        <f t="shared" si="317"/>
        <v>0</v>
      </c>
      <c r="AZ248" s="25">
        <f t="shared" si="318"/>
        <v>0</v>
      </c>
      <c r="BA248" s="25">
        <f t="shared" si="319"/>
        <v>0</v>
      </c>
      <c r="BB248" s="25">
        <f t="shared" si="320"/>
        <v>0</v>
      </c>
      <c r="BC248" s="25">
        <f>IFERROR(INDEX('2 Staff List'!KS$64:KS$114,$AH248),0)</f>
        <v>0</v>
      </c>
      <c r="BD248" s="25">
        <f>IFERROR(INDEX('2 Staff List'!KT$64:KT$114,$AH248),0)</f>
        <v>0</v>
      </c>
      <c r="BE248" s="25">
        <f>IFERROR(INDEX('2 Staff List'!KU$64:KU$114,$AH248),0)</f>
        <v>0</v>
      </c>
      <c r="BF248" s="25">
        <f>IFERROR(INDEX('2 Staff List'!KV$64:KV$114,$AH248),0)</f>
        <v>0</v>
      </c>
      <c r="BG248" s="25">
        <f>IFERROR(INDEX('2 Staff List'!KW$64:KW$114,$AH248),0)</f>
        <v>0</v>
      </c>
      <c r="BH248" s="25">
        <f>IFERROR(INDEX('2 Staff List'!KX$64:KX$114,$AH248),0)</f>
        <v>0</v>
      </c>
      <c r="BI248" s="25">
        <f>IFERROR(INDEX('2 Staff List'!KY$64:KY$114,$AH248),0)</f>
        <v>0</v>
      </c>
      <c r="BJ248" s="25">
        <f>IFERROR(INDEX('2 Staff List'!KZ$64:KZ$114,$AH248),0)</f>
        <v>0</v>
      </c>
      <c r="BK248" s="25">
        <f>IFERROR(INDEX('2 Staff List'!LA$64:LA$114,$AH248),0)</f>
        <v>0</v>
      </c>
      <c r="BL248" s="25">
        <f>IFERROR(INDEX('2 Staff List'!LB$64:LB$114,$AH248),0)</f>
        <v>0</v>
      </c>
      <c r="BM248" s="25">
        <f>IFERROR(INDEX('2 Staff List'!FT$64:FT$114,$AH248),0)</f>
        <v>0</v>
      </c>
      <c r="BN248" s="25">
        <f>IFERROR(INDEX('2 Staff List'!FU$64:FU$114,$AH248),0)</f>
        <v>0</v>
      </c>
      <c r="BO248" s="25">
        <f>IFERROR(INDEX('2 Staff List'!FV$64:FV$114,$AH248),0)</f>
        <v>0</v>
      </c>
      <c r="BP248" s="25">
        <f>IFERROR(INDEX('2 Staff List'!FW$64:FW$114,$AH248),0)</f>
        <v>0</v>
      </c>
      <c r="BQ248" s="25">
        <f>IFERROR(INDEX('2 Staff List'!FX$64:FX$114,$AH248),0)</f>
        <v>0</v>
      </c>
      <c r="BR248" s="25">
        <f>IFERROR(INDEX('2 Staff List'!FY$64:FY$114,$AH248),0)</f>
        <v>0</v>
      </c>
      <c r="BS248" s="25">
        <f>IFERROR(INDEX('2 Staff List'!FZ$64:FZ$114,$AH248),0)</f>
        <v>0</v>
      </c>
      <c r="BT248" s="25">
        <f>IFERROR(INDEX('2 Staff List'!GA$64:GA$114,$AH248),0)</f>
        <v>0</v>
      </c>
      <c r="BU248" s="25">
        <f>IFERROR(INDEX('2 Staff List'!GB$64:GB$114,$AH248),0)</f>
        <v>0</v>
      </c>
      <c r="BV248" s="25">
        <f>IFERROR(INDEX('2 Staff List'!GC$64:GC$114,$AH248),0)</f>
        <v>0</v>
      </c>
      <c r="BW248" s="25">
        <f t="shared" si="321"/>
        <v>0</v>
      </c>
      <c r="BX248" s="25">
        <f t="shared" si="322"/>
        <v>0</v>
      </c>
      <c r="BY248" s="25">
        <f t="shared" si="323"/>
        <v>0</v>
      </c>
      <c r="BZ248" s="25">
        <f t="shared" si="324"/>
        <v>0</v>
      </c>
      <c r="CA248" s="25">
        <f t="shared" si="325"/>
        <v>0</v>
      </c>
      <c r="CB248" s="25">
        <f t="shared" si="326"/>
        <v>0</v>
      </c>
      <c r="CC248" s="25">
        <f t="shared" si="327"/>
        <v>0</v>
      </c>
      <c r="CD248" s="25">
        <f t="shared" si="328"/>
        <v>0</v>
      </c>
      <c r="CE248" s="25">
        <f t="shared" si="329"/>
        <v>0</v>
      </c>
      <c r="CF248" s="25">
        <f t="shared" si="330"/>
        <v>0</v>
      </c>
      <c r="CG248" s="25">
        <f t="shared" si="331"/>
        <v>0</v>
      </c>
      <c r="CH248" s="25">
        <f>IFERROR(INDEX('2 Staff List'!LO$64:LO$114,$AH248),0)</f>
        <v>0</v>
      </c>
      <c r="CI248" s="25">
        <f>IFERROR(INDEX('2 Staff List'!LP$64:LP$114,$AH248),0)</f>
        <v>0</v>
      </c>
      <c r="CJ248" s="25">
        <f>IFERROR(INDEX('2 Staff List'!LQ$64:LQ$114,$AH248),0)</f>
        <v>0</v>
      </c>
      <c r="CK248" s="25">
        <f>IFERROR(INDEX('2 Staff List'!LR$64:LR$114,$AH248),0)</f>
        <v>0</v>
      </c>
      <c r="CL248" s="25">
        <f>IFERROR(INDEX('2 Staff List'!LS$64:LS$114,$AH248),0)</f>
        <v>0</v>
      </c>
      <c r="CM248" s="25">
        <f>IFERROR(INDEX('2 Staff List'!LT$64:LT$114,$AH248),0)</f>
        <v>0</v>
      </c>
      <c r="CN248" s="25">
        <f>IFERROR(INDEX('2 Staff List'!LU$64:LU$114,$AH248),0)</f>
        <v>0</v>
      </c>
      <c r="CO248" s="25">
        <f>IFERROR(INDEX('2 Staff List'!LV$64:LV$114,$AH248),0)</f>
        <v>0</v>
      </c>
      <c r="CP248" s="25">
        <f>IFERROR(INDEX('2 Staff List'!LW$64:LW$114,$AH248),0)</f>
        <v>0</v>
      </c>
      <c r="CQ248" s="25">
        <f>IFERROR(INDEX('2 Staff List'!LX$64:LX$114,$AH248),0)</f>
        <v>0</v>
      </c>
      <c r="CR248" s="25">
        <f t="shared" si="771"/>
        <v>0</v>
      </c>
      <c r="CS248" s="25">
        <f t="shared" si="349"/>
        <v>1</v>
      </c>
      <c r="CT248" s="25">
        <f t="shared" si="333"/>
        <v>1</v>
      </c>
      <c r="CU248" s="25">
        <f t="shared" si="334"/>
        <v>1</v>
      </c>
      <c r="CV248" s="25">
        <f t="shared" si="335"/>
        <v>1</v>
      </c>
      <c r="CW248" s="25">
        <f t="shared" si="336"/>
        <v>1</v>
      </c>
      <c r="CX248" s="25">
        <f t="shared" si="337"/>
        <v>0</v>
      </c>
      <c r="CY248" s="25">
        <f t="shared" si="338"/>
        <v>0</v>
      </c>
      <c r="CZ248" s="25">
        <f t="shared" si="339"/>
        <v>0</v>
      </c>
      <c r="DA248" s="25">
        <f t="shared" si="340"/>
        <v>1</v>
      </c>
      <c r="DB248" s="25">
        <f t="shared" si="767"/>
        <v>1</v>
      </c>
      <c r="DC248" s="25">
        <f t="shared" si="341"/>
        <v>0</v>
      </c>
      <c r="DD248" s="25">
        <f>IF(OR($AD248&lt;&gt;3,F248="Exclude"),0,IF(ISERROR(MATCH($E248,'4 Sign-off'!$S$123:$X$123,0)),0,1))</f>
        <v>0</v>
      </c>
      <c r="DE248" s="25">
        <f t="shared" si="763"/>
        <v>0</v>
      </c>
      <c r="DF248" s="25">
        <f t="shared" si="342"/>
        <v>0</v>
      </c>
      <c r="DG248" s="25" t="str">
        <f t="shared" si="343"/>
        <v/>
      </c>
      <c r="DH248" s="25">
        <f t="shared" si="344"/>
        <v>0</v>
      </c>
      <c r="DI248" s="25">
        <f t="shared" si="345"/>
        <v>0</v>
      </c>
      <c r="DJ248" s="25">
        <f>IF(ISBLANK(J248),0,ISERROR(MATCH(J248,'5  Control Accounts'!$FA$29:$FA$96,0))*1)</f>
        <v>0</v>
      </c>
      <c r="DK248" s="25">
        <f t="shared" si="346"/>
        <v>0</v>
      </c>
      <c r="DL248" s="25">
        <f t="shared" si="768"/>
        <v>-1</v>
      </c>
      <c r="DM248" s="25" t="e">
        <f t="array" ref="DM248">MATCH(1,($EG248:$JD248&gt;0)*$EG$17:$JD$17,0)</f>
        <v>#N/A</v>
      </c>
      <c r="DN248" s="25" t="e">
        <f t="shared" si="551"/>
        <v>#N/A</v>
      </c>
      <c r="DO248" s="25" t="e">
        <f t="array" ref="DO248">MATCH(2,1/(EG248:JD248&gt;0))</f>
        <v>#N/A</v>
      </c>
      <c r="DP248" s="2993">
        <f t="shared" si="347"/>
        <v>0</v>
      </c>
      <c r="DQ248" s="3037">
        <f t="shared" si="348"/>
        <v>0</v>
      </c>
      <c r="DR248" s="111"/>
      <c r="DS248" s="1268">
        <f t="shared" si="743"/>
        <v>0</v>
      </c>
      <c r="DT248" s="1825"/>
      <c r="DU248" s="1826"/>
      <c r="DV248" s="1827"/>
      <c r="DW248" s="1828"/>
      <c r="DX248" s="659"/>
      <c r="DY248" s="1265"/>
      <c r="DZ248" s="1785">
        <f t="shared" si="772"/>
        <v>0</v>
      </c>
      <c r="EA248" s="1786">
        <f t="shared" si="773"/>
        <v>0</v>
      </c>
      <c r="EB248" s="1781">
        <f t="shared" si="552"/>
        <v>0</v>
      </c>
      <c r="EC248" s="1782">
        <f t="shared" si="553"/>
        <v>0</v>
      </c>
      <c r="ED248" s="1262"/>
      <c r="EE248" s="2280"/>
      <c r="EF248" s="1802"/>
      <c r="EG248" s="167"/>
      <c r="EH248" s="168"/>
      <c r="EI248" s="168"/>
      <c r="EJ248" s="168"/>
      <c r="EK248" s="168"/>
      <c r="EL248" s="168"/>
      <c r="EM248" s="168"/>
      <c r="EN248" s="168"/>
      <c r="EO248" s="168"/>
      <c r="EP248" s="168"/>
      <c r="EQ248" s="168"/>
      <c r="ER248" s="168"/>
      <c r="ES248" s="168"/>
      <c r="ET248" s="168"/>
      <c r="EU248" s="168"/>
      <c r="EV248" s="168"/>
      <c r="EW248" s="168"/>
      <c r="EX248" s="168"/>
      <c r="EY248" s="168"/>
      <c r="EZ248" s="168"/>
      <c r="FA248" s="168"/>
      <c r="FB248" s="168"/>
      <c r="FC248" s="168"/>
      <c r="FD248" s="168"/>
      <c r="FE248" s="168"/>
      <c r="FF248" s="168"/>
      <c r="FG248" s="168"/>
      <c r="FH248" s="168"/>
      <c r="FI248" s="168"/>
      <c r="FJ248" s="168"/>
      <c r="FK248" s="168"/>
      <c r="FL248" s="168"/>
      <c r="FM248" s="168"/>
      <c r="FN248" s="168"/>
      <c r="FO248" s="168"/>
      <c r="FP248" s="168"/>
      <c r="FQ248" s="168"/>
      <c r="FR248" s="168"/>
      <c r="FS248" s="168"/>
      <c r="FT248" s="168"/>
      <c r="FU248" s="168"/>
      <c r="FV248" s="168"/>
      <c r="FW248" s="168"/>
      <c r="FX248" s="168"/>
      <c r="FY248" s="168"/>
      <c r="FZ248" s="168"/>
      <c r="GA248" s="168"/>
      <c r="GB248" s="168"/>
      <c r="GC248" s="168"/>
      <c r="GD248" s="168"/>
      <c r="GE248" s="168"/>
      <c r="GF248" s="168"/>
      <c r="GG248" s="168"/>
      <c r="GH248" s="168"/>
      <c r="GI248" s="168"/>
      <c r="GJ248" s="168"/>
      <c r="GK248" s="168"/>
      <c r="GL248" s="168"/>
      <c r="GM248" s="168"/>
      <c r="GN248" s="168"/>
      <c r="GO248" s="168"/>
      <c r="GP248" s="168"/>
      <c r="GQ248" s="168"/>
      <c r="GR248" s="168"/>
      <c r="GS248" s="168"/>
      <c r="GT248" s="168"/>
      <c r="GU248" s="168"/>
      <c r="GV248" s="168"/>
      <c r="GW248" s="168"/>
      <c r="GX248" s="168"/>
      <c r="GY248" s="168"/>
      <c r="GZ248" s="168"/>
      <c r="HA248" s="168"/>
      <c r="HB248" s="168"/>
      <c r="HC248" s="168"/>
      <c r="HD248" s="168"/>
      <c r="HE248" s="168"/>
      <c r="HF248" s="168"/>
      <c r="HG248" s="168"/>
      <c r="HH248" s="168"/>
      <c r="HI248" s="168"/>
      <c r="HJ248" s="168"/>
      <c r="HK248" s="168"/>
      <c r="HL248" s="168"/>
      <c r="HM248" s="168"/>
      <c r="HN248" s="168"/>
      <c r="HO248" s="168"/>
      <c r="HP248" s="168"/>
      <c r="HQ248" s="168"/>
      <c r="HR248" s="168"/>
      <c r="HS248" s="168"/>
      <c r="HT248" s="168"/>
      <c r="HU248" s="168"/>
      <c r="HV248" s="168"/>
      <c r="HW248" s="168"/>
      <c r="HX248" s="168"/>
      <c r="HY248" s="168"/>
      <c r="HZ248" s="168"/>
      <c r="IA248" s="168"/>
      <c r="IB248" s="168"/>
      <c r="IC248" s="168"/>
      <c r="ID248" s="168"/>
      <c r="IE248" s="168"/>
      <c r="IF248" s="168"/>
      <c r="IG248" s="168"/>
      <c r="IH248" s="168"/>
      <c r="II248" s="168"/>
      <c r="IJ248" s="168"/>
      <c r="IK248" s="168"/>
      <c r="IL248" s="168"/>
      <c r="IM248" s="168"/>
      <c r="IN248" s="168"/>
      <c r="IO248" s="168"/>
      <c r="IP248" s="168"/>
      <c r="IQ248" s="168"/>
      <c r="IR248" s="168"/>
      <c r="IS248" s="168"/>
      <c r="IT248" s="168"/>
      <c r="IU248" s="168"/>
      <c r="IV248" s="168"/>
      <c r="IW248" s="168"/>
      <c r="IX248" s="168"/>
      <c r="IY248" s="168"/>
      <c r="IZ248" s="168"/>
      <c r="JA248" s="168"/>
      <c r="JB248" s="168"/>
      <c r="JC248" s="606"/>
      <c r="JD248" s="609"/>
      <c r="JE248" s="1"/>
      <c r="JF248" s="1"/>
    </row>
    <row r="249" spans="1:266" s="2" customFormat="1" ht="15" customHeight="1" x14ac:dyDescent="0.25">
      <c r="A249" s="283"/>
      <c r="B249" s="303"/>
      <c r="C249" s="301"/>
      <c r="D249" s="638"/>
      <c r="E249" s="2298"/>
      <c r="F249" s="1812"/>
      <c r="G249" s="3342"/>
      <c r="H249" s="66"/>
      <c r="I249" s="1746"/>
      <c r="J249" s="86"/>
      <c r="K249" s="105"/>
      <c r="L249" s="91"/>
      <c r="M249" s="92"/>
      <c r="N249" s="93"/>
      <c r="O249" s="94"/>
      <c r="P249" s="96"/>
      <c r="Q249" s="95"/>
      <c r="R249" s="993">
        <f t="shared" si="769"/>
        <v>0</v>
      </c>
      <c r="S249" s="23">
        <f t="shared" si="298"/>
        <v>0</v>
      </c>
      <c r="T249" s="24">
        <f t="shared" si="299"/>
        <v>0</v>
      </c>
      <c r="U249" s="24">
        <f t="shared" si="300"/>
        <v>0</v>
      </c>
      <c r="V249" s="24">
        <f t="shared" si="301"/>
        <v>0</v>
      </c>
      <c r="W249" s="24">
        <f t="shared" si="302"/>
        <v>0</v>
      </c>
      <c r="X249" s="72">
        <f t="shared" si="303"/>
        <v>0</v>
      </c>
      <c r="Y249" s="72">
        <f t="shared" si="304"/>
        <v>0</v>
      </c>
      <c r="Z249" s="24">
        <f t="shared" si="770"/>
        <v>0</v>
      </c>
      <c r="AA249" s="72">
        <f t="shared" si="305"/>
        <v>0</v>
      </c>
      <c r="AB249" s="24">
        <f t="shared" si="306"/>
        <v>0</v>
      </c>
      <c r="AC249" s="24" t="s">
        <v>5</v>
      </c>
      <c r="AD249" s="25">
        <f t="shared" si="764"/>
        <v>3</v>
      </c>
      <c r="AE249" s="25">
        <f t="shared" si="765"/>
        <v>0</v>
      </c>
      <c r="AF249" s="25">
        <f t="shared" si="766"/>
        <v>0</v>
      </c>
      <c r="AG249" s="25">
        <f t="shared" si="307"/>
        <v>1</v>
      </c>
      <c r="AH249" s="25" t="str">
        <f>IFERROR(MATCH(DY249,'2 Staff List'!$IA$64:$IA$114,0),"x")</f>
        <v>x</v>
      </c>
      <c r="AI249" s="1181">
        <f>IFERROR(INDEX('2 Staff List'!$EX$64:$EX$114,$AH249),0)</f>
        <v>0</v>
      </c>
      <c r="AJ249" s="25">
        <f>IFERROR(INDEX('2 Staff List'!$IW$64:$IW$114,$AH249),0)</f>
        <v>0</v>
      </c>
      <c r="AK249" s="25">
        <f>IFERROR(INDEX('2 Staff List'!$IB$64:$IB$114,$AH249),0)</f>
        <v>0</v>
      </c>
      <c r="AL249" s="25">
        <f>IF(OR(NOT(ISBLANK(DV249)),CX249=1),"&lt;Non-Labor&gt;",IFERROR(IF(AH249=0,0,INDEX('2 Staff List'!$HZ$64:$HZ$114,$AH249)),0))</f>
        <v>0</v>
      </c>
      <c r="AM249" s="25">
        <f>IFERROR(INDEX('2 Staff List'!$HW$64:$HW$114,$AH249),0)</f>
        <v>0</v>
      </c>
      <c r="AN249" s="25">
        <f t="shared" si="308"/>
        <v>1</v>
      </c>
      <c r="AO249" s="25">
        <f>IF($AO$127=0,0,IFERROR(INDEX('2 Staff List'!$JH$64:$JH$114,$AH249),0))</f>
        <v>0</v>
      </c>
      <c r="AP249" s="25">
        <f>IFERROR(INDEX('2 Staff List'!$HU$64:$HU$114,$AH249),0)</f>
        <v>0</v>
      </c>
      <c r="AQ249" s="25">
        <f t="shared" si="309"/>
        <v>0</v>
      </c>
      <c r="AR249" s="25">
        <f t="shared" si="310"/>
        <v>0</v>
      </c>
      <c r="AS249" s="25">
        <f t="shared" si="311"/>
        <v>0</v>
      </c>
      <c r="AT249" s="25">
        <f t="shared" si="312"/>
        <v>0</v>
      </c>
      <c r="AU249" s="25">
        <f t="shared" si="313"/>
        <v>0</v>
      </c>
      <c r="AV249" s="25">
        <f t="shared" si="314"/>
        <v>0</v>
      </c>
      <c r="AW249" s="25">
        <f t="shared" si="315"/>
        <v>0</v>
      </c>
      <c r="AX249" s="25">
        <f t="shared" si="316"/>
        <v>0</v>
      </c>
      <c r="AY249" s="25">
        <f t="shared" si="317"/>
        <v>0</v>
      </c>
      <c r="AZ249" s="25">
        <f t="shared" si="318"/>
        <v>0</v>
      </c>
      <c r="BA249" s="25">
        <f t="shared" si="319"/>
        <v>0</v>
      </c>
      <c r="BB249" s="25">
        <f t="shared" si="320"/>
        <v>0</v>
      </c>
      <c r="BC249" s="25">
        <f>IFERROR(INDEX('2 Staff List'!KS$64:KS$114,$AH249),0)</f>
        <v>0</v>
      </c>
      <c r="BD249" s="25">
        <f>IFERROR(INDEX('2 Staff List'!KT$64:KT$114,$AH249),0)</f>
        <v>0</v>
      </c>
      <c r="BE249" s="25">
        <f>IFERROR(INDEX('2 Staff List'!KU$64:KU$114,$AH249),0)</f>
        <v>0</v>
      </c>
      <c r="BF249" s="25">
        <f>IFERROR(INDEX('2 Staff List'!KV$64:KV$114,$AH249),0)</f>
        <v>0</v>
      </c>
      <c r="BG249" s="25">
        <f>IFERROR(INDEX('2 Staff List'!KW$64:KW$114,$AH249),0)</f>
        <v>0</v>
      </c>
      <c r="BH249" s="25">
        <f>IFERROR(INDEX('2 Staff List'!KX$64:KX$114,$AH249),0)</f>
        <v>0</v>
      </c>
      <c r="BI249" s="25">
        <f>IFERROR(INDEX('2 Staff List'!KY$64:KY$114,$AH249),0)</f>
        <v>0</v>
      </c>
      <c r="BJ249" s="25">
        <f>IFERROR(INDEX('2 Staff List'!KZ$64:KZ$114,$AH249),0)</f>
        <v>0</v>
      </c>
      <c r="BK249" s="25">
        <f>IFERROR(INDEX('2 Staff List'!LA$64:LA$114,$AH249),0)</f>
        <v>0</v>
      </c>
      <c r="BL249" s="25">
        <f>IFERROR(INDEX('2 Staff List'!LB$64:LB$114,$AH249),0)</f>
        <v>0</v>
      </c>
      <c r="BM249" s="25">
        <f>IFERROR(INDEX('2 Staff List'!FT$64:FT$114,$AH249),0)</f>
        <v>0</v>
      </c>
      <c r="BN249" s="25">
        <f>IFERROR(INDEX('2 Staff List'!FU$64:FU$114,$AH249),0)</f>
        <v>0</v>
      </c>
      <c r="BO249" s="25">
        <f>IFERROR(INDEX('2 Staff List'!FV$64:FV$114,$AH249),0)</f>
        <v>0</v>
      </c>
      <c r="BP249" s="25">
        <f>IFERROR(INDEX('2 Staff List'!FW$64:FW$114,$AH249),0)</f>
        <v>0</v>
      </c>
      <c r="BQ249" s="25">
        <f>IFERROR(INDEX('2 Staff List'!FX$64:FX$114,$AH249),0)</f>
        <v>0</v>
      </c>
      <c r="BR249" s="25">
        <f>IFERROR(INDEX('2 Staff List'!FY$64:FY$114,$AH249),0)</f>
        <v>0</v>
      </c>
      <c r="BS249" s="25">
        <f>IFERROR(INDEX('2 Staff List'!FZ$64:FZ$114,$AH249),0)</f>
        <v>0</v>
      </c>
      <c r="BT249" s="25">
        <f>IFERROR(INDEX('2 Staff List'!GA$64:GA$114,$AH249),0)</f>
        <v>0</v>
      </c>
      <c r="BU249" s="25">
        <f>IFERROR(INDEX('2 Staff List'!GB$64:GB$114,$AH249),0)</f>
        <v>0</v>
      </c>
      <c r="BV249" s="25">
        <f>IFERROR(INDEX('2 Staff List'!GC$64:GC$114,$AH249),0)</f>
        <v>0</v>
      </c>
      <c r="BW249" s="25">
        <f t="shared" si="321"/>
        <v>0</v>
      </c>
      <c r="BX249" s="25">
        <f t="shared" si="322"/>
        <v>0</v>
      </c>
      <c r="BY249" s="25">
        <f t="shared" si="323"/>
        <v>0</v>
      </c>
      <c r="BZ249" s="25">
        <f t="shared" si="324"/>
        <v>0</v>
      </c>
      <c r="CA249" s="25">
        <f t="shared" si="325"/>
        <v>0</v>
      </c>
      <c r="CB249" s="25">
        <f t="shared" si="326"/>
        <v>0</v>
      </c>
      <c r="CC249" s="25">
        <f t="shared" si="327"/>
        <v>0</v>
      </c>
      <c r="CD249" s="25">
        <f t="shared" si="328"/>
        <v>0</v>
      </c>
      <c r="CE249" s="25">
        <f t="shared" si="329"/>
        <v>0</v>
      </c>
      <c r="CF249" s="25">
        <f t="shared" si="330"/>
        <v>0</v>
      </c>
      <c r="CG249" s="25">
        <f t="shared" si="331"/>
        <v>0</v>
      </c>
      <c r="CH249" s="25">
        <f>IFERROR(INDEX('2 Staff List'!LO$64:LO$114,$AH249),0)</f>
        <v>0</v>
      </c>
      <c r="CI249" s="25">
        <f>IFERROR(INDEX('2 Staff List'!LP$64:LP$114,$AH249),0)</f>
        <v>0</v>
      </c>
      <c r="CJ249" s="25">
        <f>IFERROR(INDEX('2 Staff List'!LQ$64:LQ$114,$AH249),0)</f>
        <v>0</v>
      </c>
      <c r="CK249" s="25">
        <f>IFERROR(INDEX('2 Staff List'!LR$64:LR$114,$AH249),0)</f>
        <v>0</v>
      </c>
      <c r="CL249" s="25">
        <f>IFERROR(INDEX('2 Staff List'!LS$64:LS$114,$AH249),0)</f>
        <v>0</v>
      </c>
      <c r="CM249" s="25">
        <f>IFERROR(INDEX('2 Staff List'!LT$64:LT$114,$AH249),0)</f>
        <v>0</v>
      </c>
      <c r="CN249" s="25">
        <f>IFERROR(INDEX('2 Staff List'!LU$64:LU$114,$AH249),0)</f>
        <v>0</v>
      </c>
      <c r="CO249" s="25">
        <f>IFERROR(INDEX('2 Staff List'!LV$64:LV$114,$AH249),0)</f>
        <v>0</v>
      </c>
      <c r="CP249" s="25">
        <f>IFERROR(INDEX('2 Staff List'!LW$64:LW$114,$AH249),0)</f>
        <v>0</v>
      </c>
      <c r="CQ249" s="25">
        <f>IFERROR(INDEX('2 Staff List'!LX$64:LX$114,$AH249),0)</f>
        <v>0</v>
      </c>
      <c r="CR249" s="25">
        <f t="shared" si="771"/>
        <v>0</v>
      </c>
      <c r="CS249" s="25">
        <f t="shared" si="349"/>
        <v>1</v>
      </c>
      <c r="CT249" s="25">
        <f t="shared" si="333"/>
        <v>1</v>
      </c>
      <c r="CU249" s="25">
        <f t="shared" si="334"/>
        <v>1</v>
      </c>
      <c r="CV249" s="25">
        <f t="shared" si="335"/>
        <v>1</v>
      </c>
      <c r="CW249" s="25">
        <f t="shared" si="336"/>
        <v>1</v>
      </c>
      <c r="CX249" s="25">
        <f t="shared" si="337"/>
        <v>0</v>
      </c>
      <c r="CY249" s="25">
        <f t="shared" si="338"/>
        <v>0</v>
      </c>
      <c r="CZ249" s="25">
        <f t="shared" si="339"/>
        <v>0</v>
      </c>
      <c r="DA249" s="25">
        <f t="shared" si="340"/>
        <v>1</v>
      </c>
      <c r="DB249" s="25">
        <f t="shared" si="767"/>
        <v>1</v>
      </c>
      <c r="DC249" s="25">
        <f t="shared" si="341"/>
        <v>0</v>
      </c>
      <c r="DD249" s="25">
        <f>IF(OR($AD249&lt;&gt;3,F249="Exclude"),0,IF(ISERROR(MATCH($E249,'4 Sign-off'!$S$123:$X$123,0)),0,1))</f>
        <v>0</v>
      </c>
      <c r="DE249" s="25">
        <f t="shared" si="763"/>
        <v>0</v>
      </c>
      <c r="DF249" s="25">
        <f t="shared" si="342"/>
        <v>0</v>
      </c>
      <c r="DG249" s="25" t="str">
        <f t="shared" si="343"/>
        <v/>
      </c>
      <c r="DH249" s="25">
        <f t="shared" si="344"/>
        <v>0</v>
      </c>
      <c r="DI249" s="25">
        <f t="shared" si="345"/>
        <v>0</v>
      </c>
      <c r="DJ249" s="25">
        <f>IF(ISBLANK(J249),0,ISERROR(MATCH(J249,'5  Control Accounts'!$FA$29:$FA$96,0))*1)</f>
        <v>0</v>
      </c>
      <c r="DK249" s="25">
        <f t="shared" si="346"/>
        <v>0</v>
      </c>
      <c r="DL249" s="25">
        <f t="shared" si="768"/>
        <v>-1</v>
      </c>
      <c r="DM249" s="25" t="e">
        <f t="array" ref="DM249">MATCH(1,($EG249:$JD249&gt;0)*$EG$17:$JD$17,0)</f>
        <v>#N/A</v>
      </c>
      <c r="DN249" s="25" t="e">
        <f t="shared" si="551"/>
        <v>#N/A</v>
      </c>
      <c r="DO249" s="25" t="e">
        <f t="array" ref="DO249">MATCH(2,1/(EG249:JD249&gt;0))</f>
        <v>#N/A</v>
      </c>
      <c r="DP249" s="2993">
        <f t="shared" si="347"/>
        <v>0</v>
      </c>
      <c r="DQ249" s="3037">
        <f t="shared" si="348"/>
        <v>0</v>
      </c>
      <c r="DR249" s="111"/>
      <c r="DS249" s="1268">
        <f t="shared" si="743"/>
        <v>0</v>
      </c>
      <c r="DT249" s="1825"/>
      <c r="DU249" s="1826"/>
      <c r="DV249" s="1827"/>
      <c r="DW249" s="1828"/>
      <c r="DX249" s="659"/>
      <c r="DY249" s="1265"/>
      <c r="DZ249" s="1785">
        <f t="shared" si="772"/>
        <v>0</v>
      </c>
      <c r="EA249" s="1786">
        <f t="shared" si="773"/>
        <v>0</v>
      </c>
      <c r="EB249" s="1781">
        <f t="shared" si="552"/>
        <v>0</v>
      </c>
      <c r="EC249" s="1782">
        <f t="shared" si="553"/>
        <v>0</v>
      </c>
      <c r="ED249" s="1262"/>
      <c r="EE249" s="2280"/>
      <c r="EF249" s="1802"/>
      <c r="EG249" s="167"/>
      <c r="EH249" s="168"/>
      <c r="EI249" s="168"/>
      <c r="EJ249" s="168"/>
      <c r="EK249" s="168"/>
      <c r="EL249" s="168"/>
      <c r="EM249" s="168"/>
      <c r="EN249" s="168"/>
      <c r="EO249" s="168"/>
      <c r="EP249" s="168"/>
      <c r="EQ249" s="168"/>
      <c r="ER249" s="168"/>
      <c r="ES249" s="168"/>
      <c r="ET249" s="168"/>
      <c r="EU249" s="168"/>
      <c r="EV249" s="168"/>
      <c r="EW249" s="168"/>
      <c r="EX249" s="168"/>
      <c r="EY249" s="168"/>
      <c r="EZ249" s="168"/>
      <c r="FA249" s="168"/>
      <c r="FB249" s="168"/>
      <c r="FC249" s="168"/>
      <c r="FD249" s="168"/>
      <c r="FE249" s="168"/>
      <c r="FF249" s="168"/>
      <c r="FG249" s="168"/>
      <c r="FH249" s="168"/>
      <c r="FI249" s="168"/>
      <c r="FJ249" s="168"/>
      <c r="FK249" s="168"/>
      <c r="FL249" s="168"/>
      <c r="FM249" s="168"/>
      <c r="FN249" s="168"/>
      <c r="FO249" s="168"/>
      <c r="FP249" s="168"/>
      <c r="FQ249" s="168"/>
      <c r="FR249" s="168"/>
      <c r="FS249" s="168"/>
      <c r="FT249" s="168"/>
      <c r="FU249" s="168"/>
      <c r="FV249" s="168"/>
      <c r="FW249" s="168"/>
      <c r="FX249" s="168"/>
      <c r="FY249" s="168"/>
      <c r="FZ249" s="168"/>
      <c r="GA249" s="168"/>
      <c r="GB249" s="168"/>
      <c r="GC249" s="168"/>
      <c r="GD249" s="168"/>
      <c r="GE249" s="168"/>
      <c r="GF249" s="168"/>
      <c r="GG249" s="168"/>
      <c r="GH249" s="168"/>
      <c r="GI249" s="168"/>
      <c r="GJ249" s="168"/>
      <c r="GK249" s="168"/>
      <c r="GL249" s="168"/>
      <c r="GM249" s="168"/>
      <c r="GN249" s="168"/>
      <c r="GO249" s="168"/>
      <c r="GP249" s="168"/>
      <c r="GQ249" s="168"/>
      <c r="GR249" s="168"/>
      <c r="GS249" s="168"/>
      <c r="GT249" s="168"/>
      <c r="GU249" s="168"/>
      <c r="GV249" s="168"/>
      <c r="GW249" s="168"/>
      <c r="GX249" s="168"/>
      <c r="GY249" s="168"/>
      <c r="GZ249" s="168"/>
      <c r="HA249" s="168"/>
      <c r="HB249" s="168"/>
      <c r="HC249" s="168"/>
      <c r="HD249" s="168"/>
      <c r="HE249" s="168"/>
      <c r="HF249" s="168"/>
      <c r="HG249" s="168"/>
      <c r="HH249" s="168"/>
      <c r="HI249" s="168"/>
      <c r="HJ249" s="168"/>
      <c r="HK249" s="168"/>
      <c r="HL249" s="168"/>
      <c r="HM249" s="168"/>
      <c r="HN249" s="168"/>
      <c r="HO249" s="168"/>
      <c r="HP249" s="168"/>
      <c r="HQ249" s="168"/>
      <c r="HR249" s="168"/>
      <c r="HS249" s="168"/>
      <c r="HT249" s="168"/>
      <c r="HU249" s="168"/>
      <c r="HV249" s="168"/>
      <c r="HW249" s="168"/>
      <c r="HX249" s="168"/>
      <c r="HY249" s="168"/>
      <c r="HZ249" s="168"/>
      <c r="IA249" s="168"/>
      <c r="IB249" s="168"/>
      <c r="IC249" s="168"/>
      <c r="ID249" s="168"/>
      <c r="IE249" s="168"/>
      <c r="IF249" s="168"/>
      <c r="IG249" s="168"/>
      <c r="IH249" s="168"/>
      <c r="II249" s="168"/>
      <c r="IJ249" s="168"/>
      <c r="IK249" s="168"/>
      <c r="IL249" s="168"/>
      <c r="IM249" s="168"/>
      <c r="IN249" s="168"/>
      <c r="IO249" s="168"/>
      <c r="IP249" s="168"/>
      <c r="IQ249" s="168"/>
      <c r="IR249" s="168"/>
      <c r="IS249" s="168"/>
      <c r="IT249" s="168"/>
      <c r="IU249" s="168"/>
      <c r="IV249" s="168"/>
      <c r="IW249" s="168"/>
      <c r="IX249" s="168"/>
      <c r="IY249" s="168"/>
      <c r="IZ249" s="168"/>
      <c r="JA249" s="168"/>
      <c r="JB249" s="168"/>
      <c r="JC249" s="606"/>
      <c r="JD249" s="609"/>
      <c r="JE249" s="1"/>
      <c r="JF249" s="1"/>
    </row>
    <row r="250" spans="1:266" s="2" customFormat="1" ht="15" customHeight="1" x14ac:dyDescent="0.25">
      <c r="A250" s="283"/>
      <c r="B250" s="303"/>
      <c r="C250" s="301"/>
      <c r="D250" s="638"/>
      <c r="E250" s="2298"/>
      <c r="F250" s="1812"/>
      <c r="G250" s="3342"/>
      <c r="H250" s="66"/>
      <c r="I250" s="1746"/>
      <c r="J250" s="86"/>
      <c r="K250" s="105"/>
      <c r="L250" s="91"/>
      <c r="M250" s="92"/>
      <c r="N250" s="93"/>
      <c r="O250" s="94"/>
      <c r="P250" s="96"/>
      <c r="Q250" s="95"/>
      <c r="R250" s="993">
        <f t="shared" si="769"/>
        <v>0</v>
      </c>
      <c r="S250" s="23">
        <f t="shared" si="298"/>
        <v>0</v>
      </c>
      <c r="T250" s="24">
        <f t="shared" si="299"/>
        <v>0</v>
      </c>
      <c r="U250" s="24">
        <f t="shared" si="300"/>
        <v>0</v>
      </c>
      <c r="V250" s="24">
        <f t="shared" si="301"/>
        <v>0</v>
      </c>
      <c r="W250" s="24">
        <f t="shared" si="302"/>
        <v>0</v>
      </c>
      <c r="X250" s="72">
        <f t="shared" si="303"/>
        <v>0</v>
      </c>
      <c r="Y250" s="72">
        <f t="shared" si="304"/>
        <v>0</v>
      </c>
      <c r="Z250" s="24">
        <f t="shared" si="770"/>
        <v>0</v>
      </c>
      <c r="AA250" s="72">
        <f t="shared" si="305"/>
        <v>0</v>
      </c>
      <c r="AB250" s="24">
        <f t="shared" si="306"/>
        <v>0</v>
      </c>
      <c r="AC250" s="24" t="s">
        <v>5</v>
      </c>
      <c r="AD250" s="25">
        <f t="shared" si="764"/>
        <v>3</v>
      </c>
      <c r="AE250" s="25">
        <f t="shared" si="765"/>
        <v>0</v>
      </c>
      <c r="AF250" s="25">
        <f t="shared" si="766"/>
        <v>0</v>
      </c>
      <c r="AG250" s="25">
        <f t="shared" si="307"/>
        <v>1</v>
      </c>
      <c r="AH250" s="25" t="str">
        <f>IFERROR(MATCH(DY250,'2 Staff List'!$IA$64:$IA$114,0),"x")</f>
        <v>x</v>
      </c>
      <c r="AI250" s="1181">
        <f>IFERROR(INDEX('2 Staff List'!$EX$64:$EX$114,$AH250),0)</f>
        <v>0</v>
      </c>
      <c r="AJ250" s="25">
        <f>IFERROR(INDEX('2 Staff List'!$IW$64:$IW$114,$AH250),0)</f>
        <v>0</v>
      </c>
      <c r="AK250" s="25">
        <f>IFERROR(INDEX('2 Staff List'!$IB$64:$IB$114,$AH250),0)</f>
        <v>0</v>
      </c>
      <c r="AL250" s="25">
        <f>IF(OR(NOT(ISBLANK(DV250)),CX250=1),"&lt;Non-Labor&gt;",IFERROR(IF(AH250=0,0,INDEX('2 Staff List'!$HZ$64:$HZ$114,$AH250)),0))</f>
        <v>0</v>
      </c>
      <c r="AM250" s="25">
        <f>IFERROR(INDEX('2 Staff List'!$HW$64:$HW$114,$AH250),0)</f>
        <v>0</v>
      </c>
      <c r="AN250" s="25">
        <f t="shared" si="308"/>
        <v>1</v>
      </c>
      <c r="AO250" s="25">
        <f>IF($AO$127=0,0,IFERROR(INDEX('2 Staff List'!$JH$64:$JH$114,$AH250),0))</f>
        <v>0</v>
      </c>
      <c r="AP250" s="25">
        <f>IFERROR(INDEX('2 Staff List'!$HU$64:$HU$114,$AH250),0)</f>
        <v>0</v>
      </c>
      <c r="AQ250" s="25">
        <f t="shared" si="309"/>
        <v>0</v>
      </c>
      <c r="AR250" s="25">
        <f t="shared" si="310"/>
        <v>0</v>
      </c>
      <c r="AS250" s="25">
        <f t="shared" si="311"/>
        <v>0</v>
      </c>
      <c r="AT250" s="25">
        <f t="shared" si="312"/>
        <v>0</v>
      </c>
      <c r="AU250" s="25">
        <f t="shared" si="313"/>
        <v>0</v>
      </c>
      <c r="AV250" s="25">
        <f t="shared" si="314"/>
        <v>0</v>
      </c>
      <c r="AW250" s="25">
        <f t="shared" si="315"/>
        <v>0</v>
      </c>
      <c r="AX250" s="25">
        <f t="shared" si="316"/>
        <v>0</v>
      </c>
      <c r="AY250" s="25">
        <f t="shared" si="317"/>
        <v>0</v>
      </c>
      <c r="AZ250" s="25">
        <f t="shared" si="318"/>
        <v>0</v>
      </c>
      <c r="BA250" s="25">
        <f t="shared" si="319"/>
        <v>0</v>
      </c>
      <c r="BB250" s="25">
        <f t="shared" si="320"/>
        <v>0</v>
      </c>
      <c r="BC250" s="25">
        <f>IFERROR(INDEX('2 Staff List'!KS$64:KS$114,$AH250),0)</f>
        <v>0</v>
      </c>
      <c r="BD250" s="25">
        <f>IFERROR(INDEX('2 Staff List'!KT$64:KT$114,$AH250),0)</f>
        <v>0</v>
      </c>
      <c r="BE250" s="25">
        <f>IFERROR(INDEX('2 Staff List'!KU$64:KU$114,$AH250),0)</f>
        <v>0</v>
      </c>
      <c r="BF250" s="25">
        <f>IFERROR(INDEX('2 Staff List'!KV$64:KV$114,$AH250),0)</f>
        <v>0</v>
      </c>
      <c r="BG250" s="25">
        <f>IFERROR(INDEX('2 Staff List'!KW$64:KW$114,$AH250),0)</f>
        <v>0</v>
      </c>
      <c r="BH250" s="25">
        <f>IFERROR(INDEX('2 Staff List'!KX$64:KX$114,$AH250),0)</f>
        <v>0</v>
      </c>
      <c r="BI250" s="25">
        <f>IFERROR(INDEX('2 Staff List'!KY$64:KY$114,$AH250),0)</f>
        <v>0</v>
      </c>
      <c r="BJ250" s="25">
        <f>IFERROR(INDEX('2 Staff List'!KZ$64:KZ$114,$AH250),0)</f>
        <v>0</v>
      </c>
      <c r="BK250" s="25">
        <f>IFERROR(INDEX('2 Staff List'!LA$64:LA$114,$AH250),0)</f>
        <v>0</v>
      </c>
      <c r="BL250" s="25">
        <f>IFERROR(INDEX('2 Staff List'!LB$64:LB$114,$AH250),0)</f>
        <v>0</v>
      </c>
      <c r="BM250" s="25">
        <f>IFERROR(INDEX('2 Staff List'!FT$64:FT$114,$AH250),0)</f>
        <v>0</v>
      </c>
      <c r="BN250" s="25">
        <f>IFERROR(INDEX('2 Staff List'!FU$64:FU$114,$AH250),0)</f>
        <v>0</v>
      </c>
      <c r="BO250" s="25">
        <f>IFERROR(INDEX('2 Staff List'!FV$64:FV$114,$AH250),0)</f>
        <v>0</v>
      </c>
      <c r="BP250" s="25">
        <f>IFERROR(INDEX('2 Staff List'!FW$64:FW$114,$AH250),0)</f>
        <v>0</v>
      </c>
      <c r="BQ250" s="25">
        <f>IFERROR(INDEX('2 Staff List'!FX$64:FX$114,$AH250),0)</f>
        <v>0</v>
      </c>
      <c r="BR250" s="25">
        <f>IFERROR(INDEX('2 Staff List'!FY$64:FY$114,$AH250),0)</f>
        <v>0</v>
      </c>
      <c r="BS250" s="25">
        <f>IFERROR(INDEX('2 Staff List'!FZ$64:FZ$114,$AH250),0)</f>
        <v>0</v>
      </c>
      <c r="BT250" s="25">
        <f>IFERROR(INDEX('2 Staff List'!GA$64:GA$114,$AH250),0)</f>
        <v>0</v>
      </c>
      <c r="BU250" s="25">
        <f>IFERROR(INDEX('2 Staff List'!GB$64:GB$114,$AH250),0)</f>
        <v>0</v>
      </c>
      <c r="BV250" s="25">
        <f>IFERROR(INDEX('2 Staff List'!GC$64:GC$114,$AH250),0)</f>
        <v>0</v>
      </c>
      <c r="BW250" s="25">
        <f t="shared" si="321"/>
        <v>0</v>
      </c>
      <c r="BX250" s="25">
        <f t="shared" si="322"/>
        <v>0</v>
      </c>
      <c r="BY250" s="25">
        <f t="shared" si="323"/>
        <v>0</v>
      </c>
      <c r="BZ250" s="25">
        <f t="shared" si="324"/>
        <v>0</v>
      </c>
      <c r="CA250" s="25">
        <f t="shared" si="325"/>
        <v>0</v>
      </c>
      <c r="CB250" s="25">
        <f t="shared" si="326"/>
        <v>0</v>
      </c>
      <c r="CC250" s="25">
        <f t="shared" si="327"/>
        <v>0</v>
      </c>
      <c r="CD250" s="25">
        <f t="shared" si="328"/>
        <v>0</v>
      </c>
      <c r="CE250" s="25">
        <f t="shared" si="329"/>
        <v>0</v>
      </c>
      <c r="CF250" s="25">
        <f t="shared" si="330"/>
        <v>0</v>
      </c>
      <c r="CG250" s="25">
        <f t="shared" si="331"/>
        <v>0</v>
      </c>
      <c r="CH250" s="25">
        <f>IFERROR(INDEX('2 Staff List'!LO$64:LO$114,$AH250),0)</f>
        <v>0</v>
      </c>
      <c r="CI250" s="25">
        <f>IFERROR(INDEX('2 Staff List'!LP$64:LP$114,$AH250),0)</f>
        <v>0</v>
      </c>
      <c r="CJ250" s="25">
        <f>IFERROR(INDEX('2 Staff List'!LQ$64:LQ$114,$AH250),0)</f>
        <v>0</v>
      </c>
      <c r="CK250" s="25">
        <f>IFERROR(INDEX('2 Staff List'!LR$64:LR$114,$AH250),0)</f>
        <v>0</v>
      </c>
      <c r="CL250" s="25">
        <f>IFERROR(INDEX('2 Staff List'!LS$64:LS$114,$AH250),0)</f>
        <v>0</v>
      </c>
      <c r="CM250" s="25">
        <f>IFERROR(INDEX('2 Staff List'!LT$64:LT$114,$AH250),0)</f>
        <v>0</v>
      </c>
      <c r="CN250" s="25">
        <f>IFERROR(INDEX('2 Staff List'!LU$64:LU$114,$AH250),0)</f>
        <v>0</v>
      </c>
      <c r="CO250" s="25">
        <f>IFERROR(INDEX('2 Staff List'!LV$64:LV$114,$AH250),0)</f>
        <v>0</v>
      </c>
      <c r="CP250" s="25">
        <f>IFERROR(INDEX('2 Staff List'!LW$64:LW$114,$AH250),0)</f>
        <v>0</v>
      </c>
      <c r="CQ250" s="25">
        <f>IFERROR(INDEX('2 Staff List'!LX$64:LX$114,$AH250),0)</f>
        <v>0</v>
      </c>
      <c r="CR250" s="25">
        <f t="shared" si="771"/>
        <v>0</v>
      </c>
      <c r="CS250" s="25">
        <f t="shared" ref="CS250:CS281" si="774">IFERROR(1/CR250,1)</f>
        <v>1</v>
      </c>
      <c r="CT250" s="25">
        <f t="shared" si="333"/>
        <v>1</v>
      </c>
      <c r="CU250" s="25">
        <f t="shared" si="334"/>
        <v>1</v>
      </c>
      <c r="CV250" s="25">
        <f t="shared" si="335"/>
        <v>1</v>
      </c>
      <c r="CW250" s="25">
        <f t="shared" si="336"/>
        <v>1</v>
      </c>
      <c r="CX250" s="25">
        <f t="shared" si="337"/>
        <v>0</v>
      </c>
      <c r="CY250" s="25">
        <f t="shared" si="338"/>
        <v>0</v>
      </c>
      <c r="CZ250" s="25">
        <f t="shared" si="339"/>
        <v>0</v>
      </c>
      <c r="DA250" s="25">
        <f t="shared" si="340"/>
        <v>1</v>
      </c>
      <c r="DB250" s="25">
        <f t="shared" si="767"/>
        <v>1</v>
      </c>
      <c r="DC250" s="25">
        <f t="shared" si="341"/>
        <v>0</v>
      </c>
      <c r="DD250" s="25">
        <f>IF(OR($AD250&lt;&gt;3,F250="Exclude"),0,IF(ISERROR(MATCH($E250,'4 Sign-off'!$S$123:$X$123,0)),0,1))</f>
        <v>0</v>
      </c>
      <c r="DE250" s="25">
        <f t="shared" si="763"/>
        <v>0</v>
      </c>
      <c r="DF250" s="25">
        <f t="shared" si="342"/>
        <v>0</v>
      </c>
      <c r="DG250" s="25" t="str">
        <f t="shared" si="343"/>
        <v/>
      </c>
      <c r="DH250" s="25">
        <f t="shared" si="344"/>
        <v>0</v>
      </c>
      <c r="DI250" s="25">
        <f t="shared" si="345"/>
        <v>0</v>
      </c>
      <c r="DJ250" s="25">
        <f>IF(ISBLANK(J250),0,ISERROR(MATCH(J250,'5  Control Accounts'!$FA$29:$FA$96,0))*1)</f>
        <v>0</v>
      </c>
      <c r="DK250" s="25">
        <f t="shared" si="346"/>
        <v>0</v>
      </c>
      <c r="DL250" s="25">
        <f t="shared" si="768"/>
        <v>-1</v>
      </c>
      <c r="DM250" s="25" t="e">
        <f t="array" ref="DM250">MATCH(1,($EG250:$JD250&gt;0)*$EG$17:$JD$17,0)</f>
        <v>#N/A</v>
      </c>
      <c r="DN250" s="25" t="e">
        <f t="shared" si="551"/>
        <v>#N/A</v>
      </c>
      <c r="DO250" s="25" t="e">
        <f t="array" ref="DO250">MATCH(2,1/(EG250:JD250&gt;0))</f>
        <v>#N/A</v>
      </c>
      <c r="DP250" s="2993">
        <f t="shared" si="347"/>
        <v>0</v>
      </c>
      <c r="DQ250" s="3037">
        <f t="shared" si="348"/>
        <v>0</v>
      </c>
      <c r="DR250" s="111"/>
      <c r="DS250" s="1268">
        <f t="shared" si="743"/>
        <v>0</v>
      </c>
      <c r="DT250" s="1825"/>
      <c r="DU250" s="1826"/>
      <c r="DV250" s="1827"/>
      <c r="DW250" s="1828"/>
      <c r="DX250" s="659"/>
      <c r="DY250" s="1265"/>
      <c r="DZ250" s="1785">
        <f t="shared" si="772"/>
        <v>0</v>
      </c>
      <c r="EA250" s="1786">
        <f t="shared" si="773"/>
        <v>0</v>
      </c>
      <c r="EB250" s="1781">
        <f t="shared" si="552"/>
        <v>0</v>
      </c>
      <c r="EC250" s="1782">
        <f t="shared" si="553"/>
        <v>0</v>
      </c>
      <c r="ED250" s="1262"/>
      <c r="EE250" s="2280"/>
      <c r="EF250" s="1802"/>
      <c r="EG250" s="167"/>
      <c r="EH250" s="168"/>
      <c r="EI250" s="168"/>
      <c r="EJ250" s="168"/>
      <c r="EK250" s="168"/>
      <c r="EL250" s="168"/>
      <c r="EM250" s="168"/>
      <c r="EN250" s="168"/>
      <c r="EO250" s="168"/>
      <c r="EP250" s="168"/>
      <c r="EQ250" s="168"/>
      <c r="ER250" s="168"/>
      <c r="ES250" s="168"/>
      <c r="ET250" s="168"/>
      <c r="EU250" s="168"/>
      <c r="EV250" s="168"/>
      <c r="EW250" s="168"/>
      <c r="EX250" s="168"/>
      <c r="EY250" s="168"/>
      <c r="EZ250" s="168"/>
      <c r="FA250" s="168"/>
      <c r="FB250" s="168"/>
      <c r="FC250" s="168"/>
      <c r="FD250" s="168"/>
      <c r="FE250" s="168"/>
      <c r="FF250" s="168"/>
      <c r="FG250" s="168"/>
      <c r="FH250" s="168"/>
      <c r="FI250" s="168"/>
      <c r="FJ250" s="168"/>
      <c r="FK250" s="168"/>
      <c r="FL250" s="168"/>
      <c r="FM250" s="168"/>
      <c r="FN250" s="168"/>
      <c r="FO250" s="168"/>
      <c r="FP250" s="168"/>
      <c r="FQ250" s="168"/>
      <c r="FR250" s="168"/>
      <c r="FS250" s="168"/>
      <c r="FT250" s="168"/>
      <c r="FU250" s="168"/>
      <c r="FV250" s="168"/>
      <c r="FW250" s="168"/>
      <c r="FX250" s="168"/>
      <c r="FY250" s="168"/>
      <c r="FZ250" s="168"/>
      <c r="GA250" s="168"/>
      <c r="GB250" s="168"/>
      <c r="GC250" s="168"/>
      <c r="GD250" s="168"/>
      <c r="GE250" s="168"/>
      <c r="GF250" s="168"/>
      <c r="GG250" s="168"/>
      <c r="GH250" s="168"/>
      <c r="GI250" s="168"/>
      <c r="GJ250" s="168"/>
      <c r="GK250" s="168"/>
      <c r="GL250" s="168"/>
      <c r="GM250" s="168"/>
      <c r="GN250" s="168"/>
      <c r="GO250" s="168"/>
      <c r="GP250" s="168"/>
      <c r="GQ250" s="168"/>
      <c r="GR250" s="168"/>
      <c r="GS250" s="168"/>
      <c r="GT250" s="168"/>
      <c r="GU250" s="168"/>
      <c r="GV250" s="168"/>
      <c r="GW250" s="168"/>
      <c r="GX250" s="168"/>
      <c r="GY250" s="168"/>
      <c r="GZ250" s="168"/>
      <c r="HA250" s="168"/>
      <c r="HB250" s="168"/>
      <c r="HC250" s="168"/>
      <c r="HD250" s="168"/>
      <c r="HE250" s="168"/>
      <c r="HF250" s="168"/>
      <c r="HG250" s="168"/>
      <c r="HH250" s="168"/>
      <c r="HI250" s="168"/>
      <c r="HJ250" s="168"/>
      <c r="HK250" s="168"/>
      <c r="HL250" s="168"/>
      <c r="HM250" s="168"/>
      <c r="HN250" s="168"/>
      <c r="HO250" s="168"/>
      <c r="HP250" s="168"/>
      <c r="HQ250" s="168"/>
      <c r="HR250" s="168"/>
      <c r="HS250" s="168"/>
      <c r="HT250" s="168"/>
      <c r="HU250" s="168"/>
      <c r="HV250" s="168"/>
      <c r="HW250" s="168"/>
      <c r="HX250" s="168"/>
      <c r="HY250" s="168"/>
      <c r="HZ250" s="168"/>
      <c r="IA250" s="168"/>
      <c r="IB250" s="168"/>
      <c r="IC250" s="168"/>
      <c r="ID250" s="168"/>
      <c r="IE250" s="168"/>
      <c r="IF250" s="168"/>
      <c r="IG250" s="168"/>
      <c r="IH250" s="168"/>
      <c r="II250" s="168"/>
      <c r="IJ250" s="168"/>
      <c r="IK250" s="168"/>
      <c r="IL250" s="168"/>
      <c r="IM250" s="168"/>
      <c r="IN250" s="168"/>
      <c r="IO250" s="168"/>
      <c r="IP250" s="168"/>
      <c r="IQ250" s="168"/>
      <c r="IR250" s="168"/>
      <c r="IS250" s="168"/>
      <c r="IT250" s="168"/>
      <c r="IU250" s="168"/>
      <c r="IV250" s="168"/>
      <c r="IW250" s="168"/>
      <c r="IX250" s="168"/>
      <c r="IY250" s="168"/>
      <c r="IZ250" s="168"/>
      <c r="JA250" s="168"/>
      <c r="JB250" s="168"/>
      <c r="JC250" s="606"/>
      <c r="JD250" s="609"/>
      <c r="JE250" s="1"/>
      <c r="JF250" s="1"/>
    </row>
    <row r="251" spans="1:266" s="2" customFormat="1" ht="15" customHeight="1" x14ac:dyDescent="0.25">
      <c r="A251" s="283"/>
      <c r="B251" s="303"/>
      <c r="C251" s="301"/>
      <c r="D251" s="638"/>
      <c r="E251" s="2298"/>
      <c r="F251" s="1812"/>
      <c r="G251" s="3342"/>
      <c r="H251" s="66"/>
      <c r="I251" s="1746"/>
      <c r="J251" s="86"/>
      <c r="K251" s="105"/>
      <c r="L251" s="91"/>
      <c r="M251" s="92"/>
      <c r="N251" s="93"/>
      <c r="O251" s="94"/>
      <c r="P251" s="96"/>
      <c r="Q251" s="95"/>
      <c r="R251" s="993">
        <f t="shared" si="769"/>
        <v>0</v>
      </c>
      <c r="S251" s="23">
        <f t="shared" si="298"/>
        <v>0</v>
      </c>
      <c r="T251" s="24">
        <f t="shared" si="299"/>
        <v>0</v>
      </c>
      <c r="U251" s="24">
        <f t="shared" si="300"/>
        <v>0</v>
      </c>
      <c r="V251" s="24">
        <f t="shared" si="301"/>
        <v>0</v>
      </c>
      <c r="W251" s="24">
        <f t="shared" si="302"/>
        <v>0</v>
      </c>
      <c r="X251" s="72">
        <f t="shared" si="303"/>
        <v>0</v>
      </c>
      <c r="Y251" s="72">
        <f t="shared" si="304"/>
        <v>0</v>
      </c>
      <c r="Z251" s="24">
        <f t="shared" si="770"/>
        <v>0</v>
      </c>
      <c r="AA251" s="72">
        <f t="shared" si="305"/>
        <v>0</v>
      </c>
      <c r="AB251" s="24">
        <f t="shared" si="306"/>
        <v>0</v>
      </c>
      <c r="AC251" s="24" t="s">
        <v>5</v>
      </c>
      <c r="AD251" s="25">
        <f t="shared" si="764"/>
        <v>3</v>
      </c>
      <c r="AE251" s="25">
        <f t="shared" si="765"/>
        <v>0</v>
      </c>
      <c r="AF251" s="25">
        <f t="shared" si="766"/>
        <v>0</v>
      </c>
      <c r="AG251" s="25">
        <f t="shared" si="307"/>
        <v>1</v>
      </c>
      <c r="AH251" s="25" t="str">
        <f>IFERROR(MATCH(DY251,'2 Staff List'!$IA$64:$IA$114,0),"x")</f>
        <v>x</v>
      </c>
      <c r="AI251" s="1181">
        <f>IFERROR(INDEX('2 Staff List'!$EX$64:$EX$114,$AH251),0)</f>
        <v>0</v>
      </c>
      <c r="AJ251" s="25">
        <f>IFERROR(INDEX('2 Staff List'!$IW$64:$IW$114,$AH251),0)</f>
        <v>0</v>
      </c>
      <c r="AK251" s="25">
        <f>IFERROR(INDEX('2 Staff List'!$IB$64:$IB$114,$AH251),0)</f>
        <v>0</v>
      </c>
      <c r="AL251" s="25">
        <f>IF(OR(NOT(ISBLANK(DV251)),CX251=1),"&lt;Non-Labor&gt;",IFERROR(IF(AH251=0,0,INDEX('2 Staff List'!$HZ$64:$HZ$114,$AH251)),0))</f>
        <v>0</v>
      </c>
      <c r="AM251" s="25">
        <f>IFERROR(INDEX('2 Staff List'!$HW$64:$HW$114,$AH251),0)</f>
        <v>0</v>
      </c>
      <c r="AN251" s="25">
        <f t="shared" si="308"/>
        <v>1</v>
      </c>
      <c r="AO251" s="25">
        <f>IF($AO$127=0,0,IFERROR(INDEX('2 Staff List'!$JH$64:$JH$114,$AH251),0))</f>
        <v>0</v>
      </c>
      <c r="AP251" s="25">
        <f>IFERROR(INDEX('2 Staff List'!$HU$64:$HU$114,$AH251),0)</f>
        <v>0</v>
      </c>
      <c r="AQ251" s="25">
        <f t="shared" si="309"/>
        <v>0</v>
      </c>
      <c r="AR251" s="25">
        <f t="shared" si="310"/>
        <v>0</v>
      </c>
      <c r="AS251" s="25">
        <f t="shared" si="311"/>
        <v>0</v>
      </c>
      <c r="AT251" s="25">
        <f t="shared" si="312"/>
        <v>0</v>
      </c>
      <c r="AU251" s="25">
        <f t="shared" si="313"/>
        <v>0</v>
      </c>
      <c r="AV251" s="25">
        <f t="shared" si="314"/>
        <v>0</v>
      </c>
      <c r="AW251" s="25">
        <f t="shared" si="315"/>
        <v>0</v>
      </c>
      <c r="AX251" s="25">
        <f t="shared" si="316"/>
        <v>0</v>
      </c>
      <c r="AY251" s="25">
        <f t="shared" si="317"/>
        <v>0</v>
      </c>
      <c r="AZ251" s="25">
        <f t="shared" si="318"/>
        <v>0</v>
      </c>
      <c r="BA251" s="25">
        <f t="shared" si="319"/>
        <v>0</v>
      </c>
      <c r="BB251" s="25">
        <f t="shared" si="320"/>
        <v>0</v>
      </c>
      <c r="BC251" s="25">
        <f>IFERROR(INDEX('2 Staff List'!KS$64:KS$114,$AH251),0)</f>
        <v>0</v>
      </c>
      <c r="BD251" s="25">
        <f>IFERROR(INDEX('2 Staff List'!KT$64:KT$114,$AH251),0)</f>
        <v>0</v>
      </c>
      <c r="BE251" s="25">
        <f>IFERROR(INDEX('2 Staff List'!KU$64:KU$114,$AH251),0)</f>
        <v>0</v>
      </c>
      <c r="BF251" s="25">
        <f>IFERROR(INDEX('2 Staff List'!KV$64:KV$114,$AH251),0)</f>
        <v>0</v>
      </c>
      <c r="BG251" s="25">
        <f>IFERROR(INDEX('2 Staff List'!KW$64:KW$114,$AH251),0)</f>
        <v>0</v>
      </c>
      <c r="BH251" s="25">
        <f>IFERROR(INDEX('2 Staff List'!KX$64:KX$114,$AH251),0)</f>
        <v>0</v>
      </c>
      <c r="BI251" s="25">
        <f>IFERROR(INDEX('2 Staff List'!KY$64:KY$114,$AH251),0)</f>
        <v>0</v>
      </c>
      <c r="BJ251" s="25">
        <f>IFERROR(INDEX('2 Staff List'!KZ$64:KZ$114,$AH251),0)</f>
        <v>0</v>
      </c>
      <c r="BK251" s="25">
        <f>IFERROR(INDEX('2 Staff List'!LA$64:LA$114,$AH251),0)</f>
        <v>0</v>
      </c>
      <c r="BL251" s="25">
        <f>IFERROR(INDEX('2 Staff List'!LB$64:LB$114,$AH251),0)</f>
        <v>0</v>
      </c>
      <c r="BM251" s="25">
        <f>IFERROR(INDEX('2 Staff List'!FT$64:FT$114,$AH251),0)</f>
        <v>0</v>
      </c>
      <c r="BN251" s="25">
        <f>IFERROR(INDEX('2 Staff List'!FU$64:FU$114,$AH251),0)</f>
        <v>0</v>
      </c>
      <c r="BO251" s="25">
        <f>IFERROR(INDEX('2 Staff List'!FV$64:FV$114,$AH251),0)</f>
        <v>0</v>
      </c>
      <c r="BP251" s="25">
        <f>IFERROR(INDEX('2 Staff List'!FW$64:FW$114,$AH251),0)</f>
        <v>0</v>
      </c>
      <c r="BQ251" s="25">
        <f>IFERROR(INDEX('2 Staff List'!FX$64:FX$114,$AH251),0)</f>
        <v>0</v>
      </c>
      <c r="BR251" s="25">
        <f>IFERROR(INDEX('2 Staff List'!FY$64:FY$114,$AH251),0)</f>
        <v>0</v>
      </c>
      <c r="BS251" s="25">
        <f>IFERROR(INDEX('2 Staff List'!FZ$64:FZ$114,$AH251),0)</f>
        <v>0</v>
      </c>
      <c r="BT251" s="25">
        <f>IFERROR(INDEX('2 Staff List'!GA$64:GA$114,$AH251),0)</f>
        <v>0</v>
      </c>
      <c r="BU251" s="25">
        <f>IFERROR(INDEX('2 Staff List'!GB$64:GB$114,$AH251),0)</f>
        <v>0</v>
      </c>
      <c r="BV251" s="25">
        <f>IFERROR(INDEX('2 Staff List'!GC$64:GC$114,$AH251),0)</f>
        <v>0</v>
      </c>
      <c r="BW251" s="25">
        <f t="shared" si="321"/>
        <v>0</v>
      </c>
      <c r="BX251" s="25">
        <f t="shared" si="322"/>
        <v>0</v>
      </c>
      <c r="BY251" s="25">
        <f t="shared" si="323"/>
        <v>0</v>
      </c>
      <c r="BZ251" s="25">
        <f t="shared" si="324"/>
        <v>0</v>
      </c>
      <c r="CA251" s="25">
        <f t="shared" si="325"/>
        <v>0</v>
      </c>
      <c r="CB251" s="25">
        <f t="shared" si="326"/>
        <v>0</v>
      </c>
      <c r="CC251" s="25">
        <f t="shared" si="327"/>
        <v>0</v>
      </c>
      <c r="CD251" s="25">
        <f t="shared" si="328"/>
        <v>0</v>
      </c>
      <c r="CE251" s="25">
        <f t="shared" si="329"/>
        <v>0</v>
      </c>
      <c r="CF251" s="25">
        <f t="shared" si="330"/>
        <v>0</v>
      </c>
      <c r="CG251" s="25">
        <f t="shared" si="331"/>
        <v>0</v>
      </c>
      <c r="CH251" s="25">
        <f>IFERROR(INDEX('2 Staff List'!LO$64:LO$114,$AH251),0)</f>
        <v>0</v>
      </c>
      <c r="CI251" s="25">
        <f>IFERROR(INDEX('2 Staff List'!LP$64:LP$114,$AH251),0)</f>
        <v>0</v>
      </c>
      <c r="CJ251" s="25">
        <f>IFERROR(INDEX('2 Staff List'!LQ$64:LQ$114,$AH251),0)</f>
        <v>0</v>
      </c>
      <c r="CK251" s="25">
        <f>IFERROR(INDEX('2 Staff List'!LR$64:LR$114,$AH251),0)</f>
        <v>0</v>
      </c>
      <c r="CL251" s="25">
        <f>IFERROR(INDEX('2 Staff List'!LS$64:LS$114,$AH251),0)</f>
        <v>0</v>
      </c>
      <c r="CM251" s="25">
        <f>IFERROR(INDEX('2 Staff List'!LT$64:LT$114,$AH251),0)</f>
        <v>0</v>
      </c>
      <c r="CN251" s="25">
        <f>IFERROR(INDEX('2 Staff List'!LU$64:LU$114,$AH251),0)</f>
        <v>0</v>
      </c>
      <c r="CO251" s="25">
        <f>IFERROR(INDEX('2 Staff List'!LV$64:LV$114,$AH251),0)</f>
        <v>0</v>
      </c>
      <c r="CP251" s="25">
        <f>IFERROR(INDEX('2 Staff List'!LW$64:LW$114,$AH251),0)</f>
        <v>0</v>
      </c>
      <c r="CQ251" s="25">
        <f>IFERROR(INDEX('2 Staff List'!LX$64:LX$114,$AH251),0)</f>
        <v>0</v>
      </c>
      <c r="CR251" s="25">
        <f t="shared" si="771"/>
        <v>0</v>
      </c>
      <c r="CS251" s="25">
        <f t="shared" si="774"/>
        <v>1</v>
      </c>
      <c r="CT251" s="25">
        <f t="shared" si="333"/>
        <v>1</v>
      </c>
      <c r="CU251" s="25">
        <f t="shared" si="334"/>
        <v>1</v>
      </c>
      <c r="CV251" s="25">
        <f t="shared" si="335"/>
        <v>1</v>
      </c>
      <c r="CW251" s="25">
        <f t="shared" si="336"/>
        <v>1</v>
      </c>
      <c r="CX251" s="25">
        <f t="shared" si="337"/>
        <v>0</v>
      </c>
      <c r="CY251" s="25">
        <f t="shared" si="338"/>
        <v>0</v>
      </c>
      <c r="CZ251" s="25">
        <f t="shared" si="339"/>
        <v>0</v>
      </c>
      <c r="DA251" s="25">
        <f t="shared" si="340"/>
        <v>1</v>
      </c>
      <c r="DB251" s="25">
        <f t="shared" si="767"/>
        <v>1</v>
      </c>
      <c r="DC251" s="25">
        <f t="shared" si="341"/>
        <v>0</v>
      </c>
      <c r="DD251" s="25">
        <f>IF(OR($AD251&lt;&gt;3,F251="Exclude"),0,IF(ISERROR(MATCH($E251,'4 Sign-off'!$S$123:$X$123,0)),0,1))</f>
        <v>0</v>
      </c>
      <c r="DE251" s="25">
        <f t="shared" si="763"/>
        <v>0</v>
      </c>
      <c r="DF251" s="25">
        <f t="shared" si="342"/>
        <v>0</v>
      </c>
      <c r="DG251" s="25" t="str">
        <f t="shared" si="343"/>
        <v/>
      </c>
      <c r="DH251" s="25">
        <f t="shared" si="344"/>
        <v>0</v>
      </c>
      <c r="DI251" s="25">
        <f t="shared" si="345"/>
        <v>0</v>
      </c>
      <c r="DJ251" s="25">
        <f>IF(ISBLANK(J251),0,ISERROR(MATCH(J251,'5  Control Accounts'!$FA$29:$FA$96,0))*1)</f>
        <v>0</v>
      </c>
      <c r="DK251" s="25">
        <f t="shared" si="346"/>
        <v>0</v>
      </c>
      <c r="DL251" s="25">
        <f t="shared" si="768"/>
        <v>-1</v>
      </c>
      <c r="DM251" s="25" t="e">
        <f t="array" ref="DM251">MATCH(1,($EG251:$JD251&gt;0)*$EG$17:$JD$17,0)</f>
        <v>#N/A</v>
      </c>
      <c r="DN251" s="25" t="e">
        <f t="shared" si="551"/>
        <v>#N/A</v>
      </c>
      <c r="DO251" s="25" t="e">
        <f t="array" ref="DO251">MATCH(2,1/(EG251:JD251&gt;0))</f>
        <v>#N/A</v>
      </c>
      <c r="DP251" s="2993">
        <f t="shared" si="347"/>
        <v>0</v>
      </c>
      <c r="DQ251" s="3037">
        <f t="shared" si="348"/>
        <v>0</v>
      </c>
      <c r="DR251" s="111"/>
      <c r="DS251" s="1268">
        <f t="shared" si="743"/>
        <v>0</v>
      </c>
      <c r="DT251" s="1825"/>
      <c r="DU251" s="1826"/>
      <c r="DV251" s="1827"/>
      <c r="DW251" s="1828"/>
      <c r="DX251" s="659"/>
      <c r="DY251" s="1265"/>
      <c r="DZ251" s="1785">
        <f t="shared" si="772"/>
        <v>0</v>
      </c>
      <c r="EA251" s="1786">
        <f t="shared" si="773"/>
        <v>0</v>
      </c>
      <c r="EB251" s="1781">
        <f t="shared" si="552"/>
        <v>0</v>
      </c>
      <c r="EC251" s="1782">
        <f t="shared" si="553"/>
        <v>0</v>
      </c>
      <c r="ED251" s="1262"/>
      <c r="EE251" s="2280"/>
      <c r="EF251" s="1802"/>
      <c r="EG251" s="167"/>
      <c r="EH251" s="168"/>
      <c r="EI251" s="168"/>
      <c r="EJ251" s="168"/>
      <c r="EK251" s="168"/>
      <c r="EL251" s="168"/>
      <c r="EM251" s="168"/>
      <c r="EN251" s="168"/>
      <c r="EO251" s="168"/>
      <c r="EP251" s="168"/>
      <c r="EQ251" s="168"/>
      <c r="ER251" s="168"/>
      <c r="ES251" s="168"/>
      <c r="ET251" s="168"/>
      <c r="EU251" s="168"/>
      <c r="EV251" s="168"/>
      <c r="EW251" s="168"/>
      <c r="EX251" s="168"/>
      <c r="EY251" s="168"/>
      <c r="EZ251" s="168"/>
      <c r="FA251" s="168"/>
      <c r="FB251" s="168"/>
      <c r="FC251" s="168"/>
      <c r="FD251" s="168"/>
      <c r="FE251" s="168"/>
      <c r="FF251" s="168"/>
      <c r="FG251" s="168"/>
      <c r="FH251" s="168"/>
      <c r="FI251" s="168"/>
      <c r="FJ251" s="168"/>
      <c r="FK251" s="168"/>
      <c r="FL251" s="168"/>
      <c r="FM251" s="168"/>
      <c r="FN251" s="168"/>
      <c r="FO251" s="168"/>
      <c r="FP251" s="168"/>
      <c r="FQ251" s="168"/>
      <c r="FR251" s="168"/>
      <c r="FS251" s="168"/>
      <c r="FT251" s="168"/>
      <c r="FU251" s="168"/>
      <c r="FV251" s="168"/>
      <c r="FW251" s="168"/>
      <c r="FX251" s="168"/>
      <c r="FY251" s="168"/>
      <c r="FZ251" s="168"/>
      <c r="GA251" s="168"/>
      <c r="GB251" s="168"/>
      <c r="GC251" s="168"/>
      <c r="GD251" s="168"/>
      <c r="GE251" s="168"/>
      <c r="GF251" s="168"/>
      <c r="GG251" s="168"/>
      <c r="GH251" s="168"/>
      <c r="GI251" s="168"/>
      <c r="GJ251" s="168"/>
      <c r="GK251" s="168"/>
      <c r="GL251" s="168"/>
      <c r="GM251" s="168"/>
      <c r="GN251" s="168"/>
      <c r="GO251" s="168"/>
      <c r="GP251" s="168"/>
      <c r="GQ251" s="168"/>
      <c r="GR251" s="168"/>
      <c r="GS251" s="168"/>
      <c r="GT251" s="168"/>
      <c r="GU251" s="168"/>
      <c r="GV251" s="168"/>
      <c r="GW251" s="168"/>
      <c r="GX251" s="168"/>
      <c r="GY251" s="168"/>
      <c r="GZ251" s="168"/>
      <c r="HA251" s="168"/>
      <c r="HB251" s="168"/>
      <c r="HC251" s="168"/>
      <c r="HD251" s="168"/>
      <c r="HE251" s="168"/>
      <c r="HF251" s="168"/>
      <c r="HG251" s="168"/>
      <c r="HH251" s="168"/>
      <c r="HI251" s="168"/>
      <c r="HJ251" s="168"/>
      <c r="HK251" s="168"/>
      <c r="HL251" s="168"/>
      <c r="HM251" s="168"/>
      <c r="HN251" s="168"/>
      <c r="HO251" s="168"/>
      <c r="HP251" s="168"/>
      <c r="HQ251" s="168"/>
      <c r="HR251" s="168"/>
      <c r="HS251" s="168"/>
      <c r="HT251" s="168"/>
      <c r="HU251" s="168"/>
      <c r="HV251" s="168"/>
      <c r="HW251" s="168"/>
      <c r="HX251" s="168"/>
      <c r="HY251" s="168"/>
      <c r="HZ251" s="168"/>
      <c r="IA251" s="168"/>
      <c r="IB251" s="168"/>
      <c r="IC251" s="168"/>
      <c r="ID251" s="168"/>
      <c r="IE251" s="168"/>
      <c r="IF251" s="168"/>
      <c r="IG251" s="168"/>
      <c r="IH251" s="168"/>
      <c r="II251" s="168"/>
      <c r="IJ251" s="168"/>
      <c r="IK251" s="168"/>
      <c r="IL251" s="168"/>
      <c r="IM251" s="168"/>
      <c r="IN251" s="168"/>
      <c r="IO251" s="168"/>
      <c r="IP251" s="168"/>
      <c r="IQ251" s="168"/>
      <c r="IR251" s="168"/>
      <c r="IS251" s="168"/>
      <c r="IT251" s="168"/>
      <c r="IU251" s="168"/>
      <c r="IV251" s="168"/>
      <c r="IW251" s="168"/>
      <c r="IX251" s="168"/>
      <c r="IY251" s="168"/>
      <c r="IZ251" s="168"/>
      <c r="JA251" s="168"/>
      <c r="JB251" s="168"/>
      <c r="JC251" s="606"/>
      <c r="JD251" s="609"/>
      <c r="JE251" s="1"/>
      <c r="JF251" s="1"/>
    </row>
    <row r="252" spans="1:266" s="2" customFormat="1" ht="15" customHeight="1" x14ac:dyDescent="0.25">
      <c r="A252" s="283"/>
      <c r="B252" s="303"/>
      <c r="C252" s="301"/>
      <c r="D252" s="638"/>
      <c r="E252" s="2298"/>
      <c r="F252" s="1812"/>
      <c r="G252" s="3342"/>
      <c r="H252" s="66"/>
      <c r="I252" s="1746"/>
      <c r="J252" s="86"/>
      <c r="K252" s="105"/>
      <c r="L252" s="91"/>
      <c r="M252" s="92"/>
      <c r="N252" s="93"/>
      <c r="O252" s="94"/>
      <c r="P252" s="96"/>
      <c r="Q252" s="95"/>
      <c r="R252" s="993">
        <f t="shared" si="769"/>
        <v>0</v>
      </c>
      <c r="S252" s="23">
        <f t="shared" si="298"/>
        <v>0</v>
      </c>
      <c r="T252" s="24">
        <f t="shared" si="299"/>
        <v>0</v>
      </c>
      <c r="U252" s="24">
        <f t="shared" si="300"/>
        <v>0</v>
      </c>
      <c r="V252" s="24">
        <f t="shared" si="301"/>
        <v>0</v>
      </c>
      <c r="W252" s="24">
        <f t="shared" si="302"/>
        <v>0</v>
      </c>
      <c r="X252" s="72">
        <f t="shared" si="303"/>
        <v>0</v>
      </c>
      <c r="Y252" s="72">
        <f t="shared" si="304"/>
        <v>0</v>
      </c>
      <c r="Z252" s="24">
        <f t="shared" si="770"/>
        <v>0</v>
      </c>
      <c r="AA252" s="72">
        <f t="shared" si="305"/>
        <v>0</v>
      </c>
      <c r="AB252" s="24">
        <f t="shared" si="306"/>
        <v>0</v>
      </c>
      <c r="AC252" s="24" t="s">
        <v>5</v>
      </c>
      <c r="AD252" s="25">
        <f t="shared" si="764"/>
        <v>3</v>
      </c>
      <c r="AE252" s="25">
        <f t="shared" si="765"/>
        <v>0</v>
      </c>
      <c r="AF252" s="25">
        <f t="shared" si="766"/>
        <v>0</v>
      </c>
      <c r="AG252" s="25">
        <f t="shared" si="307"/>
        <v>1</v>
      </c>
      <c r="AH252" s="25" t="str">
        <f>IFERROR(MATCH(DY252,'2 Staff List'!$IA$64:$IA$114,0),"x")</f>
        <v>x</v>
      </c>
      <c r="AI252" s="1181">
        <f>IFERROR(INDEX('2 Staff List'!$EX$64:$EX$114,$AH252),0)</f>
        <v>0</v>
      </c>
      <c r="AJ252" s="25">
        <f>IFERROR(INDEX('2 Staff List'!$IW$64:$IW$114,$AH252),0)</f>
        <v>0</v>
      </c>
      <c r="AK252" s="25">
        <f>IFERROR(INDEX('2 Staff List'!$IB$64:$IB$114,$AH252),0)</f>
        <v>0</v>
      </c>
      <c r="AL252" s="25">
        <f>IF(OR(NOT(ISBLANK(DV252)),CX252=1),"&lt;Non-Labor&gt;",IFERROR(IF(AH252=0,0,INDEX('2 Staff List'!$HZ$64:$HZ$114,$AH252)),0))</f>
        <v>0</v>
      </c>
      <c r="AM252" s="25">
        <f>IFERROR(INDEX('2 Staff List'!$HW$64:$HW$114,$AH252),0)</f>
        <v>0</v>
      </c>
      <c r="AN252" s="25">
        <f t="shared" si="308"/>
        <v>1</v>
      </c>
      <c r="AO252" s="25">
        <f>IF($AO$127=0,0,IFERROR(INDEX('2 Staff List'!$JH$64:$JH$114,$AH252),0))</f>
        <v>0</v>
      </c>
      <c r="AP252" s="25">
        <f>IFERROR(INDEX('2 Staff List'!$HU$64:$HU$114,$AH252),0)</f>
        <v>0</v>
      </c>
      <c r="AQ252" s="25">
        <f t="shared" si="309"/>
        <v>0</v>
      </c>
      <c r="AR252" s="25">
        <f t="shared" si="310"/>
        <v>0</v>
      </c>
      <c r="AS252" s="25">
        <f t="shared" si="311"/>
        <v>0</v>
      </c>
      <c r="AT252" s="25">
        <f t="shared" si="312"/>
        <v>0</v>
      </c>
      <c r="AU252" s="25">
        <f t="shared" si="313"/>
        <v>0</v>
      </c>
      <c r="AV252" s="25">
        <f t="shared" si="314"/>
        <v>0</v>
      </c>
      <c r="AW252" s="25">
        <f t="shared" si="315"/>
        <v>0</v>
      </c>
      <c r="AX252" s="25">
        <f t="shared" si="316"/>
        <v>0</v>
      </c>
      <c r="AY252" s="25">
        <f t="shared" si="317"/>
        <v>0</v>
      </c>
      <c r="AZ252" s="25">
        <f t="shared" si="318"/>
        <v>0</v>
      </c>
      <c r="BA252" s="25">
        <f t="shared" si="319"/>
        <v>0</v>
      </c>
      <c r="BB252" s="25">
        <f t="shared" si="320"/>
        <v>0</v>
      </c>
      <c r="BC252" s="25">
        <f>IFERROR(INDEX('2 Staff List'!KS$64:KS$114,$AH252),0)</f>
        <v>0</v>
      </c>
      <c r="BD252" s="25">
        <f>IFERROR(INDEX('2 Staff List'!KT$64:KT$114,$AH252),0)</f>
        <v>0</v>
      </c>
      <c r="BE252" s="25">
        <f>IFERROR(INDEX('2 Staff List'!KU$64:KU$114,$AH252),0)</f>
        <v>0</v>
      </c>
      <c r="BF252" s="25">
        <f>IFERROR(INDEX('2 Staff List'!KV$64:KV$114,$AH252),0)</f>
        <v>0</v>
      </c>
      <c r="BG252" s="25">
        <f>IFERROR(INDEX('2 Staff List'!KW$64:KW$114,$AH252),0)</f>
        <v>0</v>
      </c>
      <c r="BH252" s="25">
        <f>IFERROR(INDEX('2 Staff List'!KX$64:KX$114,$AH252),0)</f>
        <v>0</v>
      </c>
      <c r="BI252" s="25">
        <f>IFERROR(INDEX('2 Staff List'!KY$64:KY$114,$AH252),0)</f>
        <v>0</v>
      </c>
      <c r="BJ252" s="25">
        <f>IFERROR(INDEX('2 Staff List'!KZ$64:KZ$114,$AH252),0)</f>
        <v>0</v>
      </c>
      <c r="BK252" s="25">
        <f>IFERROR(INDEX('2 Staff List'!LA$64:LA$114,$AH252),0)</f>
        <v>0</v>
      </c>
      <c r="BL252" s="25">
        <f>IFERROR(INDEX('2 Staff List'!LB$64:LB$114,$AH252),0)</f>
        <v>0</v>
      </c>
      <c r="BM252" s="25">
        <f>IFERROR(INDEX('2 Staff List'!FT$64:FT$114,$AH252),0)</f>
        <v>0</v>
      </c>
      <c r="BN252" s="25">
        <f>IFERROR(INDEX('2 Staff List'!FU$64:FU$114,$AH252),0)</f>
        <v>0</v>
      </c>
      <c r="BO252" s="25">
        <f>IFERROR(INDEX('2 Staff List'!FV$64:FV$114,$AH252),0)</f>
        <v>0</v>
      </c>
      <c r="BP252" s="25">
        <f>IFERROR(INDEX('2 Staff List'!FW$64:FW$114,$AH252),0)</f>
        <v>0</v>
      </c>
      <c r="BQ252" s="25">
        <f>IFERROR(INDEX('2 Staff List'!FX$64:FX$114,$AH252),0)</f>
        <v>0</v>
      </c>
      <c r="BR252" s="25">
        <f>IFERROR(INDEX('2 Staff List'!FY$64:FY$114,$AH252),0)</f>
        <v>0</v>
      </c>
      <c r="BS252" s="25">
        <f>IFERROR(INDEX('2 Staff List'!FZ$64:FZ$114,$AH252),0)</f>
        <v>0</v>
      </c>
      <c r="BT252" s="25">
        <f>IFERROR(INDEX('2 Staff List'!GA$64:GA$114,$AH252),0)</f>
        <v>0</v>
      </c>
      <c r="BU252" s="25">
        <f>IFERROR(INDEX('2 Staff List'!GB$64:GB$114,$AH252),0)</f>
        <v>0</v>
      </c>
      <c r="BV252" s="25">
        <f>IFERROR(INDEX('2 Staff List'!GC$64:GC$114,$AH252),0)</f>
        <v>0</v>
      </c>
      <c r="BW252" s="25">
        <f t="shared" si="321"/>
        <v>0</v>
      </c>
      <c r="BX252" s="25">
        <f t="shared" si="322"/>
        <v>0</v>
      </c>
      <c r="BY252" s="25">
        <f t="shared" si="323"/>
        <v>0</v>
      </c>
      <c r="BZ252" s="25">
        <f t="shared" si="324"/>
        <v>0</v>
      </c>
      <c r="CA252" s="25">
        <f t="shared" si="325"/>
        <v>0</v>
      </c>
      <c r="CB252" s="25">
        <f t="shared" si="326"/>
        <v>0</v>
      </c>
      <c r="CC252" s="25">
        <f t="shared" si="327"/>
        <v>0</v>
      </c>
      <c r="CD252" s="25">
        <f t="shared" si="328"/>
        <v>0</v>
      </c>
      <c r="CE252" s="25">
        <f t="shared" si="329"/>
        <v>0</v>
      </c>
      <c r="CF252" s="25">
        <f t="shared" si="330"/>
        <v>0</v>
      </c>
      <c r="CG252" s="25">
        <f t="shared" si="331"/>
        <v>0</v>
      </c>
      <c r="CH252" s="25">
        <f>IFERROR(INDEX('2 Staff List'!LO$64:LO$114,$AH252),0)</f>
        <v>0</v>
      </c>
      <c r="CI252" s="25">
        <f>IFERROR(INDEX('2 Staff List'!LP$64:LP$114,$AH252),0)</f>
        <v>0</v>
      </c>
      <c r="CJ252" s="25">
        <f>IFERROR(INDEX('2 Staff List'!LQ$64:LQ$114,$AH252),0)</f>
        <v>0</v>
      </c>
      <c r="CK252" s="25">
        <f>IFERROR(INDEX('2 Staff List'!LR$64:LR$114,$AH252),0)</f>
        <v>0</v>
      </c>
      <c r="CL252" s="25">
        <f>IFERROR(INDEX('2 Staff List'!LS$64:LS$114,$AH252),0)</f>
        <v>0</v>
      </c>
      <c r="CM252" s="25">
        <f>IFERROR(INDEX('2 Staff List'!LT$64:LT$114,$AH252),0)</f>
        <v>0</v>
      </c>
      <c r="CN252" s="25">
        <f>IFERROR(INDEX('2 Staff List'!LU$64:LU$114,$AH252),0)</f>
        <v>0</v>
      </c>
      <c r="CO252" s="25">
        <f>IFERROR(INDEX('2 Staff List'!LV$64:LV$114,$AH252),0)</f>
        <v>0</v>
      </c>
      <c r="CP252" s="25">
        <f>IFERROR(INDEX('2 Staff List'!LW$64:LW$114,$AH252),0)</f>
        <v>0</v>
      </c>
      <c r="CQ252" s="25">
        <f>IFERROR(INDEX('2 Staff List'!LX$64:LX$114,$AH252),0)</f>
        <v>0</v>
      </c>
      <c r="CR252" s="25">
        <f t="shared" si="771"/>
        <v>0</v>
      </c>
      <c r="CS252" s="25">
        <f t="shared" si="774"/>
        <v>1</v>
      </c>
      <c r="CT252" s="25">
        <f t="shared" si="333"/>
        <v>1</v>
      </c>
      <c r="CU252" s="25">
        <f t="shared" si="334"/>
        <v>1</v>
      </c>
      <c r="CV252" s="25">
        <f t="shared" si="335"/>
        <v>1</v>
      </c>
      <c r="CW252" s="25">
        <f t="shared" si="336"/>
        <v>1</v>
      </c>
      <c r="CX252" s="25">
        <f t="shared" si="337"/>
        <v>0</v>
      </c>
      <c r="CY252" s="25">
        <f t="shared" si="338"/>
        <v>0</v>
      </c>
      <c r="CZ252" s="25">
        <f t="shared" si="339"/>
        <v>0</v>
      </c>
      <c r="DA252" s="25">
        <f t="shared" si="340"/>
        <v>1</v>
      </c>
      <c r="DB252" s="25">
        <f t="shared" si="767"/>
        <v>1</v>
      </c>
      <c r="DC252" s="25">
        <f t="shared" si="341"/>
        <v>0</v>
      </c>
      <c r="DD252" s="25">
        <f>IF(OR($AD252&lt;&gt;3,F252="Exclude"),0,IF(ISERROR(MATCH($E252,'4 Sign-off'!$S$123:$X$123,0)),0,1))</f>
        <v>0</v>
      </c>
      <c r="DE252" s="25">
        <f t="shared" si="763"/>
        <v>0</v>
      </c>
      <c r="DF252" s="25">
        <f t="shared" si="342"/>
        <v>0</v>
      </c>
      <c r="DG252" s="25" t="str">
        <f t="shared" si="343"/>
        <v/>
      </c>
      <c r="DH252" s="25">
        <f t="shared" si="344"/>
        <v>0</v>
      </c>
      <c r="DI252" s="25">
        <f t="shared" si="345"/>
        <v>0</v>
      </c>
      <c r="DJ252" s="25">
        <f>IF(ISBLANK(J252),0,ISERROR(MATCH(J252,'5  Control Accounts'!$FA$29:$FA$96,0))*1)</f>
        <v>0</v>
      </c>
      <c r="DK252" s="25">
        <f t="shared" si="346"/>
        <v>0</v>
      </c>
      <c r="DL252" s="25">
        <f t="shared" si="768"/>
        <v>-1</v>
      </c>
      <c r="DM252" s="25" t="e">
        <f t="array" ref="DM252">MATCH(1,($EG252:$JD252&gt;0)*$EG$17:$JD$17,0)</f>
        <v>#N/A</v>
      </c>
      <c r="DN252" s="25" t="e">
        <f t="shared" si="551"/>
        <v>#N/A</v>
      </c>
      <c r="DO252" s="25" t="e">
        <f t="array" ref="DO252">MATCH(2,1/(EG252:JD252&gt;0))</f>
        <v>#N/A</v>
      </c>
      <c r="DP252" s="2993">
        <f t="shared" si="347"/>
        <v>0</v>
      </c>
      <c r="DQ252" s="3037">
        <f t="shared" si="348"/>
        <v>0</v>
      </c>
      <c r="DR252" s="111"/>
      <c r="DS252" s="1268">
        <f t="shared" si="743"/>
        <v>0</v>
      </c>
      <c r="DT252" s="1825"/>
      <c r="DU252" s="1826"/>
      <c r="DV252" s="1827"/>
      <c r="DW252" s="1828"/>
      <c r="DX252" s="659"/>
      <c r="DY252" s="1265"/>
      <c r="DZ252" s="1785">
        <f t="shared" si="772"/>
        <v>0</v>
      </c>
      <c r="EA252" s="1786">
        <f t="shared" si="773"/>
        <v>0</v>
      </c>
      <c r="EB252" s="1781">
        <f t="shared" si="552"/>
        <v>0</v>
      </c>
      <c r="EC252" s="1782">
        <f t="shared" si="553"/>
        <v>0</v>
      </c>
      <c r="ED252" s="1262"/>
      <c r="EE252" s="2280"/>
      <c r="EF252" s="1802"/>
      <c r="EG252" s="167"/>
      <c r="EH252" s="168"/>
      <c r="EI252" s="168"/>
      <c r="EJ252" s="168"/>
      <c r="EK252" s="168"/>
      <c r="EL252" s="168"/>
      <c r="EM252" s="168"/>
      <c r="EN252" s="168"/>
      <c r="EO252" s="168"/>
      <c r="EP252" s="168"/>
      <c r="EQ252" s="168"/>
      <c r="ER252" s="168"/>
      <c r="ES252" s="168"/>
      <c r="ET252" s="168"/>
      <c r="EU252" s="168"/>
      <c r="EV252" s="168"/>
      <c r="EW252" s="168"/>
      <c r="EX252" s="168"/>
      <c r="EY252" s="168"/>
      <c r="EZ252" s="168"/>
      <c r="FA252" s="168"/>
      <c r="FB252" s="168"/>
      <c r="FC252" s="168"/>
      <c r="FD252" s="168"/>
      <c r="FE252" s="168"/>
      <c r="FF252" s="168"/>
      <c r="FG252" s="168"/>
      <c r="FH252" s="168"/>
      <c r="FI252" s="168"/>
      <c r="FJ252" s="168"/>
      <c r="FK252" s="168"/>
      <c r="FL252" s="168"/>
      <c r="FM252" s="168"/>
      <c r="FN252" s="168"/>
      <c r="FO252" s="168"/>
      <c r="FP252" s="168"/>
      <c r="FQ252" s="168"/>
      <c r="FR252" s="168"/>
      <c r="FS252" s="168"/>
      <c r="FT252" s="168"/>
      <c r="FU252" s="168"/>
      <c r="FV252" s="168"/>
      <c r="FW252" s="168"/>
      <c r="FX252" s="168"/>
      <c r="FY252" s="168"/>
      <c r="FZ252" s="168"/>
      <c r="GA252" s="168"/>
      <c r="GB252" s="168"/>
      <c r="GC252" s="168"/>
      <c r="GD252" s="168"/>
      <c r="GE252" s="168"/>
      <c r="GF252" s="168"/>
      <c r="GG252" s="168"/>
      <c r="GH252" s="168"/>
      <c r="GI252" s="168"/>
      <c r="GJ252" s="168"/>
      <c r="GK252" s="168"/>
      <c r="GL252" s="168"/>
      <c r="GM252" s="168"/>
      <c r="GN252" s="168"/>
      <c r="GO252" s="168"/>
      <c r="GP252" s="168"/>
      <c r="GQ252" s="168"/>
      <c r="GR252" s="168"/>
      <c r="GS252" s="168"/>
      <c r="GT252" s="168"/>
      <c r="GU252" s="168"/>
      <c r="GV252" s="168"/>
      <c r="GW252" s="168"/>
      <c r="GX252" s="168"/>
      <c r="GY252" s="168"/>
      <c r="GZ252" s="168"/>
      <c r="HA252" s="168"/>
      <c r="HB252" s="168"/>
      <c r="HC252" s="168"/>
      <c r="HD252" s="168"/>
      <c r="HE252" s="168"/>
      <c r="HF252" s="168"/>
      <c r="HG252" s="168"/>
      <c r="HH252" s="168"/>
      <c r="HI252" s="168"/>
      <c r="HJ252" s="168"/>
      <c r="HK252" s="168"/>
      <c r="HL252" s="168"/>
      <c r="HM252" s="168"/>
      <c r="HN252" s="168"/>
      <c r="HO252" s="168"/>
      <c r="HP252" s="168"/>
      <c r="HQ252" s="168"/>
      <c r="HR252" s="168"/>
      <c r="HS252" s="168"/>
      <c r="HT252" s="168"/>
      <c r="HU252" s="168"/>
      <c r="HV252" s="168"/>
      <c r="HW252" s="168"/>
      <c r="HX252" s="168"/>
      <c r="HY252" s="168"/>
      <c r="HZ252" s="168"/>
      <c r="IA252" s="168"/>
      <c r="IB252" s="168"/>
      <c r="IC252" s="168"/>
      <c r="ID252" s="168"/>
      <c r="IE252" s="168"/>
      <c r="IF252" s="168"/>
      <c r="IG252" s="168"/>
      <c r="IH252" s="168"/>
      <c r="II252" s="168"/>
      <c r="IJ252" s="168"/>
      <c r="IK252" s="168"/>
      <c r="IL252" s="168"/>
      <c r="IM252" s="168"/>
      <c r="IN252" s="168"/>
      <c r="IO252" s="168"/>
      <c r="IP252" s="168"/>
      <c r="IQ252" s="168"/>
      <c r="IR252" s="168"/>
      <c r="IS252" s="168"/>
      <c r="IT252" s="168"/>
      <c r="IU252" s="168"/>
      <c r="IV252" s="168"/>
      <c r="IW252" s="168"/>
      <c r="IX252" s="168"/>
      <c r="IY252" s="168"/>
      <c r="IZ252" s="168"/>
      <c r="JA252" s="168"/>
      <c r="JB252" s="168"/>
      <c r="JC252" s="606"/>
      <c r="JD252" s="609"/>
      <c r="JE252" s="1"/>
      <c r="JF252" s="1"/>
    </row>
    <row r="253" spans="1:266" s="2" customFormat="1" ht="15" customHeight="1" x14ac:dyDescent="0.25">
      <c r="A253" s="283"/>
      <c r="B253" s="303"/>
      <c r="C253" s="301"/>
      <c r="D253" s="638"/>
      <c r="E253" s="2298"/>
      <c r="F253" s="1812"/>
      <c r="G253" s="3342"/>
      <c r="H253" s="66"/>
      <c r="I253" s="1746"/>
      <c r="J253" s="86"/>
      <c r="K253" s="105"/>
      <c r="L253" s="91"/>
      <c r="M253" s="92"/>
      <c r="N253" s="93"/>
      <c r="O253" s="94"/>
      <c r="P253" s="96"/>
      <c r="Q253" s="95"/>
      <c r="R253" s="993">
        <f t="shared" si="769"/>
        <v>0</v>
      </c>
      <c r="S253" s="23">
        <f t="shared" si="298"/>
        <v>0</v>
      </c>
      <c r="T253" s="24">
        <f t="shared" si="299"/>
        <v>0</v>
      </c>
      <c r="U253" s="24">
        <f t="shared" si="300"/>
        <v>0</v>
      </c>
      <c r="V253" s="24">
        <f t="shared" si="301"/>
        <v>0</v>
      </c>
      <c r="W253" s="24">
        <f t="shared" si="302"/>
        <v>0</v>
      </c>
      <c r="X253" s="72">
        <f t="shared" si="303"/>
        <v>0</v>
      </c>
      <c r="Y253" s="72">
        <f t="shared" si="304"/>
        <v>0</v>
      </c>
      <c r="Z253" s="24">
        <f t="shared" si="770"/>
        <v>0</v>
      </c>
      <c r="AA253" s="72">
        <f t="shared" si="305"/>
        <v>0</v>
      </c>
      <c r="AB253" s="24">
        <f t="shared" si="306"/>
        <v>0</v>
      </c>
      <c r="AC253" s="24" t="s">
        <v>5</v>
      </c>
      <c r="AD253" s="25">
        <f t="shared" si="764"/>
        <v>3</v>
      </c>
      <c r="AE253" s="25">
        <f t="shared" si="765"/>
        <v>0</v>
      </c>
      <c r="AF253" s="25">
        <f t="shared" si="766"/>
        <v>0</v>
      </c>
      <c r="AG253" s="25">
        <f t="shared" si="307"/>
        <v>1</v>
      </c>
      <c r="AH253" s="25" t="str">
        <f>IFERROR(MATCH(DY253,'2 Staff List'!$IA$64:$IA$114,0),"x")</f>
        <v>x</v>
      </c>
      <c r="AI253" s="1181">
        <f>IFERROR(INDEX('2 Staff List'!$EX$64:$EX$114,$AH253),0)</f>
        <v>0</v>
      </c>
      <c r="AJ253" s="25">
        <f>IFERROR(INDEX('2 Staff List'!$IW$64:$IW$114,$AH253),0)</f>
        <v>0</v>
      </c>
      <c r="AK253" s="25">
        <f>IFERROR(INDEX('2 Staff List'!$IB$64:$IB$114,$AH253),0)</f>
        <v>0</v>
      </c>
      <c r="AL253" s="25">
        <f>IF(OR(NOT(ISBLANK(DV253)),CX253=1),"&lt;Non-Labor&gt;",IFERROR(IF(AH253=0,0,INDEX('2 Staff List'!$HZ$64:$HZ$114,$AH253)),0))</f>
        <v>0</v>
      </c>
      <c r="AM253" s="25">
        <f>IFERROR(INDEX('2 Staff List'!$HW$64:$HW$114,$AH253),0)</f>
        <v>0</v>
      </c>
      <c r="AN253" s="25">
        <f t="shared" si="308"/>
        <v>1</v>
      </c>
      <c r="AO253" s="25">
        <f>IF($AO$127=0,0,IFERROR(INDEX('2 Staff List'!$JH$64:$JH$114,$AH253),0))</f>
        <v>0</v>
      </c>
      <c r="AP253" s="25">
        <f>IFERROR(INDEX('2 Staff List'!$HU$64:$HU$114,$AH253),0)</f>
        <v>0</v>
      </c>
      <c r="AQ253" s="25">
        <f t="shared" si="309"/>
        <v>0</v>
      </c>
      <c r="AR253" s="25">
        <f t="shared" si="310"/>
        <v>0</v>
      </c>
      <c r="AS253" s="25">
        <f t="shared" si="311"/>
        <v>0</v>
      </c>
      <c r="AT253" s="25">
        <f t="shared" si="312"/>
        <v>0</v>
      </c>
      <c r="AU253" s="25">
        <f t="shared" si="313"/>
        <v>0</v>
      </c>
      <c r="AV253" s="25">
        <f t="shared" si="314"/>
        <v>0</v>
      </c>
      <c r="AW253" s="25">
        <f t="shared" si="315"/>
        <v>0</v>
      </c>
      <c r="AX253" s="25">
        <f t="shared" si="316"/>
        <v>0</v>
      </c>
      <c r="AY253" s="25">
        <f t="shared" si="317"/>
        <v>0</v>
      </c>
      <c r="AZ253" s="25">
        <f t="shared" si="318"/>
        <v>0</v>
      </c>
      <c r="BA253" s="25">
        <f t="shared" si="319"/>
        <v>0</v>
      </c>
      <c r="BB253" s="25">
        <f t="shared" si="320"/>
        <v>0</v>
      </c>
      <c r="BC253" s="25">
        <f>IFERROR(INDEX('2 Staff List'!KS$64:KS$114,$AH253),0)</f>
        <v>0</v>
      </c>
      <c r="BD253" s="25">
        <f>IFERROR(INDEX('2 Staff List'!KT$64:KT$114,$AH253),0)</f>
        <v>0</v>
      </c>
      <c r="BE253" s="25">
        <f>IFERROR(INDEX('2 Staff List'!KU$64:KU$114,$AH253),0)</f>
        <v>0</v>
      </c>
      <c r="BF253" s="25">
        <f>IFERROR(INDEX('2 Staff List'!KV$64:KV$114,$AH253),0)</f>
        <v>0</v>
      </c>
      <c r="BG253" s="25">
        <f>IFERROR(INDEX('2 Staff List'!KW$64:KW$114,$AH253),0)</f>
        <v>0</v>
      </c>
      <c r="BH253" s="25">
        <f>IFERROR(INDEX('2 Staff List'!KX$64:KX$114,$AH253),0)</f>
        <v>0</v>
      </c>
      <c r="BI253" s="25">
        <f>IFERROR(INDEX('2 Staff List'!KY$64:KY$114,$AH253),0)</f>
        <v>0</v>
      </c>
      <c r="BJ253" s="25">
        <f>IFERROR(INDEX('2 Staff List'!KZ$64:KZ$114,$AH253),0)</f>
        <v>0</v>
      </c>
      <c r="BK253" s="25">
        <f>IFERROR(INDEX('2 Staff List'!LA$64:LA$114,$AH253),0)</f>
        <v>0</v>
      </c>
      <c r="BL253" s="25">
        <f>IFERROR(INDEX('2 Staff List'!LB$64:LB$114,$AH253),0)</f>
        <v>0</v>
      </c>
      <c r="BM253" s="25">
        <f>IFERROR(INDEX('2 Staff List'!FT$64:FT$114,$AH253),0)</f>
        <v>0</v>
      </c>
      <c r="BN253" s="25">
        <f>IFERROR(INDEX('2 Staff List'!FU$64:FU$114,$AH253),0)</f>
        <v>0</v>
      </c>
      <c r="BO253" s="25">
        <f>IFERROR(INDEX('2 Staff List'!FV$64:FV$114,$AH253),0)</f>
        <v>0</v>
      </c>
      <c r="BP253" s="25">
        <f>IFERROR(INDEX('2 Staff List'!FW$64:FW$114,$AH253),0)</f>
        <v>0</v>
      </c>
      <c r="BQ253" s="25">
        <f>IFERROR(INDEX('2 Staff List'!FX$64:FX$114,$AH253),0)</f>
        <v>0</v>
      </c>
      <c r="BR253" s="25">
        <f>IFERROR(INDEX('2 Staff List'!FY$64:FY$114,$AH253),0)</f>
        <v>0</v>
      </c>
      <c r="BS253" s="25">
        <f>IFERROR(INDEX('2 Staff List'!FZ$64:FZ$114,$AH253),0)</f>
        <v>0</v>
      </c>
      <c r="BT253" s="25">
        <f>IFERROR(INDEX('2 Staff List'!GA$64:GA$114,$AH253),0)</f>
        <v>0</v>
      </c>
      <c r="BU253" s="25">
        <f>IFERROR(INDEX('2 Staff List'!GB$64:GB$114,$AH253),0)</f>
        <v>0</v>
      </c>
      <c r="BV253" s="25">
        <f>IFERROR(INDEX('2 Staff List'!GC$64:GC$114,$AH253),0)</f>
        <v>0</v>
      </c>
      <c r="BW253" s="25">
        <f t="shared" si="321"/>
        <v>0</v>
      </c>
      <c r="BX253" s="25">
        <f t="shared" si="322"/>
        <v>0</v>
      </c>
      <c r="BY253" s="25">
        <f t="shared" si="323"/>
        <v>0</v>
      </c>
      <c r="BZ253" s="25">
        <f t="shared" si="324"/>
        <v>0</v>
      </c>
      <c r="CA253" s="25">
        <f t="shared" si="325"/>
        <v>0</v>
      </c>
      <c r="CB253" s="25">
        <f t="shared" si="326"/>
        <v>0</v>
      </c>
      <c r="CC253" s="25">
        <f t="shared" si="327"/>
        <v>0</v>
      </c>
      <c r="CD253" s="25">
        <f t="shared" si="328"/>
        <v>0</v>
      </c>
      <c r="CE253" s="25">
        <f t="shared" si="329"/>
        <v>0</v>
      </c>
      <c r="CF253" s="25">
        <f t="shared" si="330"/>
        <v>0</v>
      </c>
      <c r="CG253" s="25">
        <f t="shared" si="331"/>
        <v>0</v>
      </c>
      <c r="CH253" s="25">
        <f>IFERROR(INDEX('2 Staff List'!LO$64:LO$114,$AH253),0)</f>
        <v>0</v>
      </c>
      <c r="CI253" s="25">
        <f>IFERROR(INDEX('2 Staff List'!LP$64:LP$114,$AH253),0)</f>
        <v>0</v>
      </c>
      <c r="CJ253" s="25">
        <f>IFERROR(INDEX('2 Staff List'!LQ$64:LQ$114,$AH253),0)</f>
        <v>0</v>
      </c>
      <c r="CK253" s="25">
        <f>IFERROR(INDEX('2 Staff List'!LR$64:LR$114,$AH253),0)</f>
        <v>0</v>
      </c>
      <c r="CL253" s="25">
        <f>IFERROR(INDEX('2 Staff List'!LS$64:LS$114,$AH253),0)</f>
        <v>0</v>
      </c>
      <c r="CM253" s="25">
        <f>IFERROR(INDEX('2 Staff List'!LT$64:LT$114,$AH253),0)</f>
        <v>0</v>
      </c>
      <c r="CN253" s="25">
        <f>IFERROR(INDEX('2 Staff List'!LU$64:LU$114,$AH253),0)</f>
        <v>0</v>
      </c>
      <c r="CO253" s="25">
        <f>IFERROR(INDEX('2 Staff List'!LV$64:LV$114,$AH253),0)</f>
        <v>0</v>
      </c>
      <c r="CP253" s="25">
        <f>IFERROR(INDEX('2 Staff List'!LW$64:LW$114,$AH253),0)</f>
        <v>0</v>
      </c>
      <c r="CQ253" s="25">
        <f>IFERROR(INDEX('2 Staff List'!LX$64:LX$114,$AH253),0)</f>
        <v>0</v>
      </c>
      <c r="CR253" s="25">
        <f t="shared" si="771"/>
        <v>0</v>
      </c>
      <c r="CS253" s="25">
        <f t="shared" si="774"/>
        <v>1</v>
      </c>
      <c r="CT253" s="25">
        <f t="shared" si="333"/>
        <v>1</v>
      </c>
      <c r="CU253" s="25">
        <f t="shared" si="334"/>
        <v>1</v>
      </c>
      <c r="CV253" s="25">
        <f t="shared" si="335"/>
        <v>1</v>
      </c>
      <c r="CW253" s="25">
        <f t="shared" si="336"/>
        <v>1</v>
      </c>
      <c r="CX253" s="25">
        <f t="shared" si="337"/>
        <v>0</v>
      </c>
      <c r="CY253" s="25">
        <f t="shared" si="338"/>
        <v>0</v>
      </c>
      <c r="CZ253" s="25">
        <f t="shared" si="339"/>
        <v>0</v>
      </c>
      <c r="DA253" s="25">
        <f t="shared" si="340"/>
        <v>1</v>
      </c>
      <c r="DB253" s="25">
        <f t="shared" si="767"/>
        <v>1</v>
      </c>
      <c r="DC253" s="25">
        <f t="shared" si="341"/>
        <v>0</v>
      </c>
      <c r="DD253" s="25">
        <f>IF(OR($AD253&lt;&gt;3,F253="Exclude"),0,IF(ISERROR(MATCH($E253,'4 Sign-off'!$S$123:$X$123,0)),0,1))</f>
        <v>0</v>
      </c>
      <c r="DE253" s="25">
        <f t="shared" si="763"/>
        <v>0</v>
      </c>
      <c r="DF253" s="25">
        <f t="shared" si="342"/>
        <v>0</v>
      </c>
      <c r="DG253" s="25" t="str">
        <f t="shared" si="343"/>
        <v/>
      </c>
      <c r="DH253" s="25">
        <f t="shared" si="344"/>
        <v>0</v>
      </c>
      <c r="DI253" s="25">
        <f t="shared" si="345"/>
        <v>0</v>
      </c>
      <c r="DJ253" s="25">
        <f>IF(ISBLANK(J253),0,ISERROR(MATCH(J253,'5  Control Accounts'!$FA$29:$FA$96,0))*1)</f>
        <v>0</v>
      </c>
      <c r="DK253" s="25">
        <f t="shared" si="346"/>
        <v>0</v>
      </c>
      <c r="DL253" s="25">
        <f t="shared" si="768"/>
        <v>-1</v>
      </c>
      <c r="DM253" s="25" t="e">
        <f t="array" ref="DM253">MATCH(1,($EG253:$JD253&gt;0)*$EG$17:$JD$17,0)</f>
        <v>#N/A</v>
      </c>
      <c r="DN253" s="25" t="e">
        <f t="shared" si="551"/>
        <v>#N/A</v>
      </c>
      <c r="DO253" s="25" t="e">
        <f t="array" ref="DO253">MATCH(2,1/(EG253:JD253&gt;0))</f>
        <v>#N/A</v>
      </c>
      <c r="DP253" s="2993">
        <f t="shared" si="347"/>
        <v>0</v>
      </c>
      <c r="DQ253" s="3037">
        <f t="shared" si="348"/>
        <v>0</v>
      </c>
      <c r="DR253" s="111"/>
      <c r="DS253" s="1268">
        <f t="shared" si="743"/>
        <v>0</v>
      </c>
      <c r="DT253" s="1825"/>
      <c r="DU253" s="1826"/>
      <c r="DV253" s="1827"/>
      <c r="DW253" s="1828"/>
      <c r="DX253" s="659"/>
      <c r="DY253" s="1265"/>
      <c r="DZ253" s="1785">
        <f t="shared" si="772"/>
        <v>0</v>
      </c>
      <c r="EA253" s="1786">
        <f t="shared" si="773"/>
        <v>0</v>
      </c>
      <c r="EB253" s="1781">
        <f t="shared" si="552"/>
        <v>0</v>
      </c>
      <c r="EC253" s="1782">
        <f t="shared" si="553"/>
        <v>0</v>
      </c>
      <c r="ED253" s="1262"/>
      <c r="EE253" s="2280"/>
      <c r="EF253" s="1802"/>
      <c r="EG253" s="167"/>
      <c r="EH253" s="168"/>
      <c r="EI253" s="168"/>
      <c r="EJ253" s="168"/>
      <c r="EK253" s="168"/>
      <c r="EL253" s="168"/>
      <c r="EM253" s="168"/>
      <c r="EN253" s="168"/>
      <c r="EO253" s="168"/>
      <c r="EP253" s="168"/>
      <c r="EQ253" s="168"/>
      <c r="ER253" s="168"/>
      <c r="ES253" s="168"/>
      <c r="ET253" s="168"/>
      <c r="EU253" s="168"/>
      <c r="EV253" s="168"/>
      <c r="EW253" s="168"/>
      <c r="EX253" s="168"/>
      <c r="EY253" s="168"/>
      <c r="EZ253" s="168"/>
      <c r="FA253" s="168"/>
      <c r="FB253" s="168"/>
      <c r="FC253" s="168"/>
      <c r="FD253" s="168"/>
      <c r="FE253" s="168"/>
      <c r="FF253" s="168"/>
      <c r="FG253" s="168"/>
      <c r="FH253" s="168"/>
      <c r="FI253" s="168"/>
      <c r="FJ253" s="168"/>
      <c r="FK253" s="168"/>
      <c r="FL253" s="168"/>
      <c r="FM253" s="168"/>
      <c r="FN253" s="168"/>
      <c r="FO253" s="168"/>
      <c r="FP253" s="168"/>
      <c r="FQ253" s="168"/>
      <c r="FR253" s="168"/>
      <c r="FS253" s="168"/>
      <c r="FT253" s="168"/>
      <c r="FU253" s="168"/>
      <c r="FV253" s="168"/>
      <c r="FW253" s="168"/>
      <c r="FX253" s="168"/>
      <c r="FY253" s="168"/>
      <c r="FZ253" s="168"/>
      <c r="GA253" s="168"/>
      <c r="GB253" s="168"/>
      <c r="GC253" s="168"/>
      <c r="GD253" s="168"/>
      <c r="GE253" s="168"/>
      <c r="GF253" s="168"/>
      <c r="GG253" s="168"/>
      <c r="GH253" s="168"/>
      <c r="GI253" s="168"/>
      <c r="GJ253" s="168"/>
      <c r="GK253" s="168"/>
      <c r="GL253" s="168"/>
      <c r="GM253" s="168"/>
      <c r="GN253" s="168"/>
      <c r="GO253" s="168"/>
      <c r="GP253" s="168"/>
      <c r="GQ253" s="168"/>
      <c r="GR253" s="168"/>
      <c r="GS253" s="168"/>
      <c r="GT253" s="168"/>
      <c r="GU253" s="168"/>
      <c r="GV253" s="168"/>
      <c r="GW253" s="168"/>
      <c r="GX253" s="168"/>
      <c r="GY253" s="168"/>
      <c r="GZ253" s="168"/>
      <c r="HA253" s="168"/>
      <c r="HB253" s="168"/>
      <c r="HC253" s="168"/>
      <c r="HD253" s="168"/>
      <c r="HE253" s="168"/>
      <c r="HF253" s="168"/>
      <c r="HG253" s="168"/>
      <c r="HH253" s="168"/>
      <c r="HI253" s="168"/>
      <c r="HJ253" s="168"/>
      <c r="HK253" s="168"/>
      <c r="HL253" s="168"/>
      <c r="HM253" s="168"/>
      <c r="HN253" s="168"/>
      <c r="HO253" s="168"/>
      <c r="HP253" s="168"/>
      <c r="HQ253" s="168"/>
      <c r="HR253" s="168"/>
      <c r="HS253" s="168"/>
      <c r="HT253" s="168"/>
      <c r="HU253" s="168"/>
      <c r="HV253" s="168"/>
      <c r="HW253" s="168"/>
      <c r="HX253" s="168"/>
      <c r="HY253" s="168"/>
      <c r="HZ253" s="168"/>
      <c r="IA253" s="168"/>
      <c r="IB253" s="168"/>
      <c r="IC253" s="168"/>
      <c r="ID253" s="168"/>
      <c r="IE253" s="168"/>
      <c r="IF253" s="168"/>
      <c r="IG253" s="168"/>
      <c r="IH253" s="168"/>
      <c r="II253" s="168"/>
      <c r="IJ253" s="168"/>
      <c r="IK253" s="168"/>
      <c r="IL253" s="168"/>
      <c r="IM253" s="168"/>
      <c r="IN253" s="168"/>
      <c r="IO253" s="168"/>
      <c r="IP253" s="168"/>
      <c r="IQ253" s="168"/>
      <c r="IR253" s="168"/>
      <c r="IS253" s="168"/>
      <c r="IT253" s="168"/>
      <c r="IU253" s="168"/>
      <c r="IV253" s="168"/>
      <c r="IW253" s="168"/>
      <c r="IX253" s="168"/>
      <c r="IY253" s="168"/>
      <c r="IZ253" s="168"/>
      <c r="JA253" s="168"/>
      <c r="JB253" s="168"/>
      <c r="JC253" s="606"/>
      <c r="JD253" s="609"/>
      <c r="JE253" s="1"/>
      <c r="JF253" s="1"/>
    </row>
    <row r="254" spans="1:266" s="2" customFormat="1" ht="15" customHeight="1" x14ac:dyDescent="0.25">
      <c r="A254" s="283"/>
      <c r="B254" s="303"/>
      <c r="C254" s="301"/>
      <c r="D254" s="638"/>
      <c r="E254" s="2298"/>
      <c r="F254" s="1812"/>
      <c r="G254" s="3342"/>
      <c r="H254" s="66"/>
      <c r="I254" s="1746"/>
      <c r="J254" s="86"/>
      <c r="K254" s="105"/>
      <c r="L254" s="91"/>
      <c r="M254" s="92"/>
      <c r="N254" s="93"/>
      <c r="O254" s="94"/>
      <c r="P254" s="96"/>
      <c r="Q254" s="95"/>
      <c r="R254" s="993">
        <f t="shared" si="769"/>
        <v>0</v>
      </c>
      <c r="S254" s="23">
        <f t="shared" si="298"/>
        <v>0</v>
      </c>
      <c r="T254" s="24">
        <f t="shared" si="299"/>
        <v>0</v>
      </c>
      <c r="U254" s="24">
        <f t="shared" si="300"/>
        <v>0</v>
      </c>
      <c r="V254" s="24">
        <f t="shared" si="301"/>
        <v>0</v>
      </c>
      <c r="W254" s="24">
        <f t="shared" si="302"/>
        <v>0</v>
      </c>
      <c r="X254" s="72">
        <f t="shared" si="303"/>
        <v>0</v>
      </c>
      <c r="Y254" s="72">
        <f t="shared" si="304"/>
        <v>0</v>
      </c>
      <c r="Z254" s="24">
        <f t="shared" si="770"/>
        <v>0</v>
      </c>
      <c r="AA254" s="72">
        <f t="shared" si="305"/>
        <v>0</v>
      </c>
      <c r="AB254" s="24">
        <f t="shared" si="306"/>
        <v>0</v>
      </c>
      <c r="AC254" s="24" t="s">
        <v>5</v>
      </c>
      <c r="AD254" s="25">
        <f t="shared" si="764"/>
        <v>3</v>
      </c>
      <c r="AE254" s="25">
        <f t="shared" si="765"/>
        <v>0</v>
      </c>
      <c r="AF254" s="25">
        <f t="shared" si="766"/>
        <v>0</v>
      </c>
      <c r="AG254" s="25">
        <f t="shared" si="307"/>
        <v>1</v>
      </c>
      <c r="AH254" s="25" t="str">
        <f>IFERROR(MATCH(DY254,'2 Staff List'!$IA$64:$IA$114,0),"x")</f>
        <v>x</v>
      </c>
      <c r="AI254" s="1181">
        <f>IFERROR(INDEX('2 Staff List'!$EX$64:$EX$114,$AH254),0)</f>
        <v>0</v>
      </c>
      <c r="AJ254" s="25">
        <f>IFERROR(INDEX('2 Staff List'!$IW$64:$IW$114,$AH254),0)</f>
        <v>0</v>
      </c>
      <c r="AK254" s="25">
        <f>IFERROR(INDEX('2 Staff List'!$IB$64:$IB$114,$AH254),0)</f>
        <v>0</v>
      </c>
      <c r="AL254" s="25">
        <f>IF(OR(NOT(ISBLANK(DV254)),CX254=1),"&lt;Non-Labor&gt;",IFERROR(IF(AH254=0,0,INDEX('2 Staff List'!$HZ$64:$HZ$114,$AH254)),0))</f>
        <v>0</v>
      </c>
      <c r="AM254" s="25">
        <f>IFERROR(INDEX('2 Staff List'!$HW$64:$HW$114,$AH254),0)</f>
        <v>0</v>
      </c>
      <c r="AN254" s="25">
        <f t="shared" si="308"/>
        <v>1</v>
      </c>
      <c r="AO254" s="25">
        <f>IF($AO$127=0,0,IFERROR(INDEX('2 Staff List'!$JH$64:$JH$114,$AH254),0))</f>
        <v>0</v>
      </c>
      <c r="AP254" s="25">
        <f>IFERROR(INDEX('2 Staff List'!$HU$64:$HU$114,$AH254),0)</f>
        <v>0</v>
      </c>
      <c r="AQ254" s="25">
        <f t="shared" si="309"/>
        <v>0</v>
      </c>
      <c r="AR254" s="25">
        <f t="shared" si="310"/>
        <v>0</v>
      </c>
      <c r="AS254" s="25">
        <f t="shared" si="311"/>
        <v>0</v>
      </c>
      <c r="AT254" s="25">
        <f t="shared" si="312"/>
        <v>0</v>
      </c>
      <c r="AU254" s="25">
        <f t="shared" si="313"/>
        <v>0</v>
      </c>
      <c r="AV254" s="25">
        <f t="shared" si="314"/>
        <v>0</v>
      </c>
      <c r="AW254" s="25">
        <f t="shared" si="315"/>
        <v>0</v>
      </c>
      <c r="AX254" s="25">
        <f t="shared" si="316"/>
        <v>0</v>
      </c>
      <c r="AY254" s="25">
        <f t="shared" si="317"/>
        <v>0</v>
      </c>
      <c r="AZ254" s="25">
        <f t="shared" si="318"/>
        <v>0</v>
      </c>
      <c r="BA254" s="25">
        <f t="shared" si="319"/>
        <v>0</v>
      </c>
      <c r="BB254" s="25">
        <f t="shared" si="320"/>
        <v>0</v>
      </c>
      <c r="BC254" s="25">
        <f>IFERROR(INDEX('2 Staff List'!KS$64:KS$114,$AH254),0)</f>
        <v>0</v>
      </c>
      <c r="BD254" s="25">
        <f>IFERROR(INDEX('2 Staff List'!KT$64:KT$114,$AH254),0)</f>
        <v>0</v>
      </c>
      <c r="BE254" s="25">
        <f>IFERROR(INDEX('2 Staff List'!KU$64:KU$114,$AH254),0)</f>
        <v>0</v>
      </c>
      <c r="BF254" s="25">
        <f>IFERROR(INDEX('2 Staff List'!KV$64:KV$114,$AH254),0)</f>
        <v>0</v>
      </c>
      <c r="BG254" s="25">
        <f>IFERROR(INDEX('2 Staff List'!KW$64:KW$114,$AH254),0)</f>
        <v>0</v>
      </c>
      <c r="BH254" s="25">
        <f>IFERROR(INDEX('2 Staff List'!KX$64:KX$114,$AH254),0)</f>
        <v>0</v>
      </c>
      <c r="BI254" s="25">
        <f>IFERROR(INDEX('2 Staff List'!KY$64:KY$114,$AH254),0)</f>
        <v>0</v>
      </c>
      <c r="BJ254" s="25">
        <f>IFERROR(INDEX('2 Staff List'!KZ$64:KZ$114,$AH254),0)</f>
        <v>0</v>
      </c>
      <c r="BK254" s="25">
        <f>IFERROR(INDEX('2 Staff List'!LA$64:LA$114,$AH254),0)</f>
        <v>0</v>
      </c>
      <c r="BL254" s="25">
        <f>IFERROR(INDEX('2 Staff List'!LB$64:LB$114,$AH254),0)</f>
        <v>0</v>
      </c>
      <c r="BM254" s="25">
        <f>IFERROR(INDEX('2 Staff List'!FT$64:FT$114,$AH254),0)</f>
        <v>0</v>
      </c>
      <c r="BN254" s="25">
        <f>IFERROR(INDEX('2 Staff List'!FU$64:FU$114,$AH254),0)</f>
        <v>0</v>
      </c>
      <c r="BO254" s="25">
        <f>IFERROR(INDEX('2 Staff List'!FV$64:FV$114,$AH254),0)</f>
        <v>0</v>
      </c>
      <c r="BP254" s="25">
        <f>IFERROR(INDEX('2 Staff List'!FW$64:FW$114,$AH254),0)</f>
        <v>0</v>
      </c>
      <c r="BQ254" s="25">
        <f>IFERROR(INDEX('2 Staff List'!FX$64:FX$114,$AH254),0)</f>
        <v>0</v>
      </c>
      <c r="BR254" s="25">
        <f>IFERROR(INDEX('2 Staff List'!FY$64:FY$114,$AH254),0)</f>
        <v>0</v>
      </c>
      <c r="BS254" s="25">
        <f>IFERROR(INDEX('2 Staff List'!FZ$64:FZ$114,$AH254),0)</f>
        <v>0</v>
      </c>
      <c r="BT254" s="25">
        <f>IFERROR(INDEX('2 Staff List'!GA$64:GA$114,$AH254),0)</f>
        <v>0</v>
      </c>
      <c r="BU254" s="25">
        <f>IFERROR(INDEX('2 Staff List'!GB$64:GB$114,$AH254),0)</f>
        <v>0</v>
      </c>
      <c r="BV254" s="25">
        <f>IFERROR(INDEX('2 Staff List'!GC$64:GC$114,$AH254),0)</f>
        <v>0</v>
      </c>
      <c r="BW254" s="25">
        <f t="shared" si="321"/>
        <v>0</v>
      </c>
      <c r="BX254" s="25">
        <f t="shared" si="322"/>
        <v>0</v>
      </c>
      <c r="BY254" s="25">
        <f t="shared" si="323"/>
        <v>0</v>
      </c>
      <c r="BZ254" s="25">
        <f t="shared" si="324"/>
        <v>0</v>
      </c>
      <c r="CA254" s="25">
        <f t="shared" si="325"/>
        <v>0</v>
      </c>
      <c r="CB254" s="25">
        <f t="shared" si="326"/>
        <v>0</v>
      </c>
      <c r="CC254" s="25">
        <f t="shared" si="327"/>
        <v>0</v>
      </c>
      <c r="CD254" s="25">
        <f t="shared" si="328"/>
        <v>0</v>
      </c>
      <c r="CE254" s="25">
        <f t="shared" si="329"/>
        <v>0</v>
      </c>
      <c r="CF254" s="25">
        <f t="shared" si="330"/>
        <v>0</v>
      </c>
      <c r="CG254" s="25">
        <f t="shared" si="331"/>
        <v>0</v>
      </c>
      <c r="CH254" s="25">
        <f>IFERROR(INDEX('2 Staff List'!LO$64:LO$114,$AH254),0)</f>
        <v>0</v>
      </c>
      <c r="CI254" s="25">
        <f>IFERROR(INDEX('2 Staff List'!LP$64:LP$114,$AH254),0)</f>
        <v>0</v>
      </c>
      <c r="CJ254" s="25">
        <f>IFERROR(INDEX('2 Staff List'!LQ$64:LQ$114,$AH254),0)</f>
        <v>0</v>
      </c>
      <c r="CK254" s="25">
        <f>IFERROR(INDEX('2 Staff List'!LR$64:LR$114,$AH254),0)</f>
        <v>0</v>
      </c>
      <c r="CL254" s="25">
        <f>IFERROR(INDEX('2 Staff List'!LS$64:LS$114,$AH254),0)</f>
        <v>0</v>
      </c>
      <c r="CM254" s="25">
        <f>IFERROR(INDEX('2 Staff List'!LT$64:LT$114,$AH254),0)</f>
        <v>0</v>
      </c>
      <c r="CN254" s="25">
        <f>IFERROR(INDEX('2 Staff List'!LU$64:LU$114,$AH254),0)</f>
        <v>0</v>
      </c>
      <c r="CO254" s="25">
        <f>IFERROR(INDEX('2 Staff List'!LV$64:LV$114,$AH254),0)</f>
        <v>0</v>
      </c>
      <c r="CP254" s="25">
        <f>IFERROR(INDEX('2 Staff List'!LW$64:LW$114,$AH254),0)</f>
        <v>0</v>
      </c>
      <c r="CQ254" s="25">
        <f>IFERROR(INDEX('2 Staff List'!LX$64:LX$114,$AH254),0)</f>
        <v>0</v>
      </c>
      <c r="CR254" s="25">
        <f t="shared" si="771"/>
        <v>0</v>
      </c>
      <c r="CS254" s="25">
        <f t="shared" si="774"/>
        <v>1</v>
      </c>
      <c r="CT254" s="25">
        <f t="shared" si="333"/>
        <v>1</v>
      </c>
      <c r="CU254" s="25">
        <f t="shared" si="334"/>
        <v>1</v>
      </c>
      <c r="CV254" s="25">
        <f t="shared" si="335"/>
        <v>1</v>
      </c>
      <c r="CW254" s="25">
        <f t="shared" si="336"/>
        <v>1</v>
      </c>
      <c r="CX254" s="25">
        <f t="shared" si="337"/>
        <v>0</v>
      </c>
      <c r="CY254" s="25">
        <f t="shared" si="338"/>
        <v>0</v>
      </c>
      <c r="CZ254" s="25">
        <f t="shared" si="339"/>
        <v>0</v>
      </c>
      <c r="DA254" s="25">
        <f t="shared" si="340"/>
        <v>1</v>
      </c>
      <c r="DB254" s="25">
        <f t="shared" si="767"/>
        <v>1</v>
      </c>
      <c r="DC254" s="25">
        <f t="shared" si="341"/>
        <v>0</v>
      </c>
      <c r="DD254" s="25">
        <f>IF(OR($AD254&lt;&gt;3,F254="Exclude"),0,IF(ISERROR(MATCH($E254,'4 Sign-off'!$S$123:$X$123,0)),0,1))</f>
        <v>0</v>
      </c>
      <c r="DE254" s="25">
        <f t="shared" si="763"/>
        <v>0</v>
      </c>
      <c r="DF254" s="25">
        <f t="shared" si="342"/>
        <v>0</v>
      </c>
      <c r="DG254" s="25" t="str">
        <f t="shared" si="343"/>
        <v/>
      </c>
      <c r="DH254" s="25">
        <f t="shared" si="344"/>
        <v>0</v>
      </c>
      <c r="DI254" s="25">
        <f t="shared" si="345"/>
        <v>0</v>
      </c>
      <c r="DJ254" s="25">
        <f>IF(ISBLANK(J254),0,ISERROR(MATCH(J254,'5  Control Accounts'!$FA$29:$FA$96,0))*1)</f>
        <v>0</v>
      </c>
      <c r="DK254" s="25">
        <f t="shared" si="346"/>
        <v>0</v>
      </c>
      <c r="DL254" s="25">
        <f t="shared" si="768"/>
        <v>-1</v>
      </c>
      <c r="DM254" s="25" t="e">
        <f t="array" ref="DM254">MATCH(1,($EG254:$JD254&gt;0)*$EG$17:$JD$17,0)</f>
        <v>#N/A</v>
      </c>
      <c r="DN254" s="25" t="e">
        <f t="shared" ref="DN254:DN285" si="775">IF($C$6&lt;&gt;"F",DO254,IF(DO254&lt;$EB$17,NA(),DO254))</f>
        <v>#N/A</v>
      </c>
      <c r="DO254" s="25" t="e">
        <f t="array" ref="DO254">MATCH(2,1/(EG254:JD254&gt;0))</f>
        <v>#N/A</v>
      </c>
      <c r="DP254" s="2993">
        <f t="shared" si="347"/>
        <v>0</v>
      </c>
      <c r="DQ254" s="3037">
        <f t="shared" si="348"/>
        <v>0</v>
      </c>
      <c r="DR254" s="111"/>
      <c r="DS254" s="1268">
        <f t="shared" si="743"/>
        <v>0</v>
      </c>
      <c r="DT254" s="1825"/>
      <c r="DU254" s="1826"/>
      <c r="DV254" s="1827"/>
      <c r="DW254" s="1828"/>
      <c r="DX254" s="659"/>
      <c r="DY254" s="1265"/>
      <c r="DZ254" s="1785">
        <f t="shared" si="772"/>
        <v>0</v>
      </c>
      <c r="EA254" s="1786">
        <f t="shared" si="773"/>
        <v>0</v>
      </c>
      <c r="EB254" s="1781">
        <f t="shared" ref="EB254:EB285" si="776">IF(ISERROR(DM254),0,CHOOSE($DY$3,(DM254*7)+$EG$126-11,EOMONTH($EG$126,DM254-2)+1))</f>
        <v>0</v>
      </c>
      <c r="EC254" s="1782">
        <f t="shared" ref="EC254:EC285" si="777">IF(ISERROR(DN254),0,CHOOSE($DY$3,(DN254*7)+$EG$126-7,EOMONTH($EG$126,DN254-1)))</f>
        <v>0</v>
      </c>
      <c r="ED254" s="1262"/>
      <c r="EE254" s="2280"/>
      <c r="EF254" s="1802"/>
      <c r="EG254" s="167"/>
      <c r="EH254" s="168"/>
      <c r="EI254" s="168"/>
      <c r="EJ254" s="168"/>
      <c r="EK254" s="168"/>
      <c r="EL254" s="168"/>
      <c r="EM254" s="168"/>
      <c r="EN254" s="168"/>
      <c r="EO254" s="168"/>
      <c r="EP254" s="168"/>
      <c r="EQ254" s="168"/>
      <c r="ER254" s="168"/>
      <c r="ES254" s="168"/>
      <c r="ET254" s="168"/>
      <c r="EU254" s="168"/>
      <c r="EV254" s="168"/>
      <c r="EW254" s="168"/>
      <c r="EX254" s="168"/>
      <c r="EY254" s="168"/>
      <c r="EZ254" s="168"/>
      <c r="FA254" s="168"/>
      <c r="FB254" s="168"/>
      <c r="FC254" s="168"/>
      <c r="FD254" s="168"/>
      <c r="FE254" s="168"/>
      <c r="FF254" s="168"/>
      <c r="FG254" s="168"/>
      <c r="FH254" s="168"/>
      <c r="FI254" s="168"/>
      <c r="FJ254" s="168"/>
      <c r="FK254" s="168"/>
      <c r="FL254" s="168"/>
      <c r="FM254" s="168"/>
      <c r="FN254" s="168"/>
      <c r="FO254" s="168"/>
      <c r="FP254" s="168"/>
      <c r="FQ254" s="168"/>
      <c r="FR254" s="168"/>
      <c r="FS254" s="168"/>
      <c r="FT254" s="168"/>
      <c r="FU254" s="168"/>
      <c r="FV254" s="168"/>
      <c r="FW254" s="168"/>
      <c r="FX254" s="168"/>
      <c r="FY254" s="168"/>
      <c r="FZ254" s="168"/>
      <c r="GA254" s="168"/>
      <c r="GB254" s="168"/>
      <c r="GC254" s="168"/>
      <c r="GD254" s="168"/>
      <c r="GE254" s="168"/>
      <c r="GF254" s="168"/>
      <c r="GG254" s="168"/>
      <c r="GH254" s="168"/>
      <c r="GI254" s="168"/>
      <c r="GJ254" s="168"/>
      <c r="GK254" s="168"/>
      <c r="GL254" s="168"/>
      <c r="GM254" s="168"/>
      <c r="GN254" s="168"/>
      <c r="GO254" s="168"/>
      <c r="GP254" s="168"/>
      <c r="GQ254" s="168"/>
      <c r="GR254" s="168"/>
      <c r="GS254" s="168"/>
      <c r="GT254" s="168"/>
      <c r="GU254" s="168"/>
      <c r="GV254" s="168"/>
      <c r="GW254" s="168"/>
      <c r="GX254" s="168"/>
      <c r="GY254" s="168"/>
      <c r="GZ254" s="168"/>
      <c r="HA254" s="168"/>
      <c r="HB254" s="168"/>
      <c r="HC254" s="168"/>
      <c r="HD254" s="168"/>
      <c r="HE254" s="168"/>
      <c r="HF254" s="168"/>
      <c r="HG254" s="168"/>
      <c r="HH254" s="168"/>
      <c r="HI254" s="168"/>
      <c r="HJ254" s="168"/>
      <c r="HK254" s="168"/>
      <c r="HL254" s="168"/>
      <c r="HM254" s="168"/>
      <c r="HN254" s="168"/>
      <c r="HO254" s="168"/>
      <c r="HP254" s="168"/>
      <c r="HQ254" s="168"/>
      <c r="HR254" s="168"/>
      <c r="HS254" s="168"/>
      <c r="HT254" s="168"/>
      <c r="HU254" s="168"/>
      <c r="HV254" s="168"/>
      <c r="HW254" s="168"/>
      <c r="HX254" s="168"/>
      <c r="HY254" s="168"/>
      <c r="HZ254" s="168"/>
      <c r="IA254" s="168"/>
      <c r="IB254" s="168"/>
      <c r="IC254" s="168"/>
      <c r="ID254" s="168"/>
      <c r="IE254" s="168"/>
      <c r="IF254" s="168"/>
      <c r="IG254" s="168"/>
      <c r="IH254" s="168"/>
      <c r="II254" s="168"/>
      <c r="IJ254" s="168"/>
      <c r="IK254" s="168"/>
      <c r="IL254" s="168"/>
      <c r="IM254" s="168"/>
      <c r="IN254" s="168"/>
      <c r="IO254" s="168"/>
      <c r="IP254" s="168"/>
      <c r="IQ254" s="168"/>
      <c r="IR254" s="168"/>
      <c r="IS254" s="168"/>
      <c r="IT254" s="168"/>
      <c r="IU254" s="168"/>
      <c r="IV254" s="168"/>
      <c r="IW254" s="168"/>
      <c r="IX254" s="168"/>
      <c r="IY254" s="168"/>
      <c r="IZ254" s="168"/>
      <c r="JA254" s="168"/>
      <c r="JB254" s="168"/>
      <c r="JC254" s="606"/>
      <c r="JD254" s="609"/>
      <c r="JE254" s="1"/>
      <c r="JF254" s="1"/>
    </row>
    <row r="255" spans="1:266" s="2" customFormat="1" ht="15" customHeight="1" x14ac:dyDescent="0.25">
      <c r="A255" s="283"/>
      <c r="B255" s="303"/>
      <c r="C255" s="301"/>
      <c r="D255" s="638"/>
      <c r="E255" s="2298"/>
      <c r="F255" s="1812"/>
      <c r="G255" s="3342"/>
      <c r="H255" s="66"/>
      <c r="I255" s="1746"/>
      <c r="J255" s="86"/>
      <c r="K255" s="105"/>
      <c r="L255" s="91"/>
      <c r="M255" s="92"/>
      <c r="N255" s="93"/>
      <c r="O255" s="94"/>
      <c r="P255" s="96"/>
      <c r="Q255" s="95"/>
      <c r="R255" s="993">
        <f t="shared" si="769"/>
        <v>0</v>
      </c>
      <c r="S255" s="23">
        <f t="shared" si="298"/>
        <v>0</v>
      </c>
      <c r="T255" s="24">
        <f t="shared" si="299"/>
        <v>0</v>
      </c>
      <c r="U255" s="24">
        <f t="shared" si="300"/>
        <v>0</v>
      </c>
      <c r="V255" s="24">
        <f t="shared" si="301"/>
        <v>0</v>
      </c>
      <c r="W255" s="24">
        <f t="shared" si="302"/>
        <v>0</v>
      </c>
      <c r="X255" s="72">
        <f t="shared" si="303"/>
        <v>0</v>
      </c>
      <c r="Y255" s="72">
        <f t="shared" si="304"/>
        <v>0</v>
      </c>
      <c r="Z255" s="24">
        <f t="shared" si="770"/>
        <v>0</v>
      </c>
      <c r="AA255" s="72">
        <f t="shared" si="305"/>
        <v>0</v>
      </c>
      <c r="AB255" s="24">
        <f t="shared" si="306"/>
        <v>0</v>
      </c>
      <c r="AC255" s="24" t="s">
        <v>5</v>
      </c>
      <c r="AD255" s="25">
        <f t="shared" si="764"/>
        <v>3</v>
      </c>
      <c r="AE255" s="25">
        <f t="shared" si="765"/>
        <v>0</v>
      </c>
      <c r="AF255" s="25">
        <f t="shared" si="766"/>
        <v>0</v>
      </c>
      <c r="AG255" s="25">
        <f t="shared" si="307"/>
        <v>1</v>
      </c>
      <c r="AH255" s="25" t="str">
        <f>IFERROR(MATCH(DY255,'2 Staff List'!$IA$64:$IA$114,0),"x")</f>
        <v>x</v>
      </c>
      <c r="AI255" s="1181">
        <f>IFERROR(INDEX('2 Staff List'!$EX$64:$EX$114,$AH255),0)</f>
        <v>0</v>
      </c>
      <c r="AJ255" s="25">
        <f>IFERROR(INDEX('2 Staff List'!$IW$64:$IW$114,$AH255),0)</f>
        <v>0</v>
      </c>
      <c r="AK255" s="25">
        <f>IFERROR(INDEX('2 Staff List'!$IB$64:$IB$114,$AH255),0)</f>
        <v>0</v>
      </c>
      <c r="AL255" s="25">
        <f>IF(OR(NOT(ISBLANK(DV255)),CX255=1),"&lt;Non-Labor&gt;",IFERROR(IF(AH255=0,0,INDEX('2 Staff List'!$HZ$64:$HZ$114,$AH255)),0))</f>
        <v>0</v>
      </c>
      <c r="AM255" s="25">
        <f>IFERROR(INDEX('2 Staff List'!$HW$64:$HW$114,$AH255),0)</f>
        <v>0</v>
      </c>
      <c r="AN255" s="25">
        <f t="shared" si="308"/>
        <v>1</v>
      </c>
      <c r="AO255" s="25">
        <f>IF($AO$127=0,0,IFERROR(INDEX('2 Staff List'!$JH$64:$JH$114,$AH255),0))</f>
        <v>0</v>
      </c>
      <c r="AP255" s="25">
        <f>IFERROR(INDEX('2 Staff List'!$HU$64:$HU$114,$AH255),0)</f>
        <v>0</v>
      </c>
      <c r="AQ255" s="25">
        <f t="shared" si="309"/>
        <v>0</v>
      </c>
      <c r="AR255" s="25">
        <f t="shared" si="310"/>
        <v>0</v>
      </c>
      <c r="AS255" s="25">
        <f t="shared" si="311"/>
        <v>0</v>
      </c>
      <c r="AT255" s="25">
        <f t="shared" si="312"/>
        <v>0</v>
      </c>
      <c r="AU255" s="25">
        <f t="shared" si="313"/>
        <v>0</v>
      </c>
      <c r="AV255" s="25">
        <f t="shared" si="314"/>
        <v>0</v>
      </c>
      <c r="AW255" s="25">
        <f t="shared" si="315"/>
        <v>0</v>
      </c>
      <c r="AX255" s="25">
        <f t="shared" si="316"/>
        <v>0</v>
      </c>
      <c r="AY255" s="25">
        <f t="shared" si="317"/>
        <v>0</v>
      </c>
      <c r="AZ255" s="25">
        <f t="shared" si="318"/>
        <v>0</v>
      </c>
      <c r="BA255" s="25">
        <f t="shared" si="319"/>
        <v>0</v>
      </c>
      <c r="BB255" s="25">
        <f t="shared" si="320"/>
        <v>0</v>
      </c>
      <c r="BC255" s="25">
        <f>IFERROR(INDEX('2 Staff List'!KS$64:KS$114,$AH255),0)</f>
        <v>0</v>
      </c>
      <c r="BD255" s="25">
        <f>IFERROR(INDEX('2 Staff List'!KT$64:KT$114,$AH255),0)</f>
        <v>0</v>
      </c>
      <c r="BE255" s="25">
        <f>IFERROR(INDEX('2 Staff List'!KU$64:KU$114,$AH255),0)</f>
        <v>0</v>
      </c>
      <c r="BF255" s="25">
        <f>IFERROR(INDEX('2 Staff List'!KV$64:KV$114,$AH255),0)</f>
        <v>0</v>
      </c>
      <c r="BG255" s="25">
        <f>IFERROR(INDEX('2 Staff List'!KW$64:KW$114,$AH255),0)</f>
        <v>0</v>
      </c>
      <c r="BH255" s="25">
        <f>IFERROR(INDEX('2 Staff List'!KX$64:KX$114,$AH255),0)</f>
        <v>0</v>
      </c>
      <c r="BI255" s="25">
        <f>IFERROR(INDEX('2 Staff List'!KY$64:KY$114,$AH255),0)</f>
        <v>0</v>
      </c>
      <c r="BJ255" s="25">
        <f>IFERROR(INDEX('2 Staff List'!KZ$64:KZ$114,$AH255),0)</f>
        <v>0</v>
      </c>
      <c r="BK255" s="25">
        <f>IFERROR(INDEX('2 Staff List'!LA$64:LA$114,$AH255),0)</f>
        <v>0</v>
      </c>
      <c r="BL255" s="25">
        <f>IFERROR(INDEX('2 Staff List'!LB$64:LB$114,$AH255),0)</f>
        <v>0</v>
      </c>
      <c r="BM255" s="25">
        <f>IFERROR(INDEX('2 Staff List'!FT$64:FT$114,$AH255),0)</f>
        <v>0</v>
      </c>
      <c r="BN255" s="25">
        <f>IFERROR(INDEX('2 Staff List'!FU$64:FU$114,$AH255),0)</f>
        <v>0</v>
      </c>
      <c r="BO255" s="25">
        <f>IFERROR(INDEX('2 Staff List'!FV$64:FV$114,$AH255),0)</f>
        <v>0</v>
      </c>
      <c r="BP255" s="25">
        <f>IFERROR(INDEX('2 Staff List'!FW$64:FW$114,$AH255),0)</f>
        <v>0</v>
      </c>
      <c r="BQ255" s="25">
        <f>IFERROR(INDEX('2 Staff List'!FX$64:FX$114,$AH255),0)</f>
        <v>0</v>
      </c>
      <c r="BR255" s="25">
        <f>IFERROR(INDEX('2 Staff List'!FY$64:FY$114,$AH255),0)</f>
        <v>0</v>
      </c>
      <c r="BS255" s="25">
        <f>IFERROR(INDEX('2 Staff List'!FZ$64:FZ$114,$AH255),0)</f>
        <v>0</v>
      </c>
      <c r="BT255" s="25">
        <f>IFERROR(INDEX('2 Staff List'!GA$64:GA$114,$AH255),0)</f>
        <v>0</v>
      </c>
      <c r="BU255" s="25">
        <f>IFERROR(INDEX('2 Staff List'!GB$64:GB$114,$AH255),0)</f>
        <v>0</v>
      </c>
      <c r="BV255" s="25">
        <f>IFERROR(INDEX('2 Staff List'!GC$64:GC$114,$AH255),0)</f>
        <v>0</v>
      </c>
      <c r="BW255" s="25">
        <f t="shared" si="321"/>
        <v>0</v>
      </c>
      <c r="BX255" s="25">
        <f t="shared" si="322"/>
        <v>0</v>
      </c>
      <c r="BY255" s="25">
        <f t="shared" si="323"/>
        <v>0</v>
      </c>
      <c r="BZ255" s="25">
        <f t="shared" si="324"/>
        <v>0</v>
      </c>
      <c r="CA255" s="25">
        <f t="shared" si="325"/>
        <v>0</v>
      </c>
      <c r="CB255" s="25">
        <f t="shared" si="326"/>
        <v>0</v>
      </c>
      <c r="CC255" s="25">
        <f t="shared" si="327"/>
        <v>0</v>
      </c>
      <c r="CD255" s="25">
        <f t="shared" si="328"/>
        <v>0</v>
      </c>
      <c r="CE255" s="25">
        <f t="shared" si="329"/>
        <v>0</v>
      </c>
      <c r="CF255" s="25">
        <f t="shared" si="330"/>
        <v>0</v>
      </c>
      <c r="CG255" s="25">
        <f t="shared" si="331"/>
        <v>0</v>
      </c>
      <c r="CH255" s="25">
        <f>IFERROR(INDEX('2 Staff List'!LO$64:LO$114,$AH255),0)</f>
        <v>0</v>
      </c>
      <c r="CI255" s="25">
        <f>IFERROR(INDEX('2 Staff List'!LP$64:LP$114,$AH255),0)</f>
        <v>0</v>
      </c>
      <c r="CJ255" s="25">
        <f>IFERROR(INDEX('2 Staff List'!LQ$64:LQ$114,$AH255),0)</f>
        <v>0</v>
      </c>
      <c r="CK255" s="25">
        <f>IFERROR(INDEX('2 Staff List'!LR$64:LR$114,$AH255),0)</f>
        <v>0</v>
      </c>
      <c r="CL255" s="25">
        <f>IFERROR(INDEX('2 Staff List'!LS$64:LS$114,$AH255),0)</f>
        <v>0</v>
      </c>
      <c r="CM255" s="25">
        <f>IFERROR(INDEX('2 Staff List'!LT$64:LT$114,$AH255),0)</f>
        <v>0</v>
      </c>
      <c r="CN255" s="25">
        <f>IFERROR(INDEX('2 Staff List'!LU$64:LU$114,$AH255),0)</f>
        <v>0</v>
      </c>
      <c r="CO255" s="25">
        <f>IFERROR(INDEX('2 Staff List'!LV$64:LV$114,$AH255),0)</f>
        <v>0</v>
      </c>
      <c r="CP255" s="25">
        <f>IFERROR(INDEX('2 Staff List'!LW$64:LW$114,$AH255),0)</f>
        <v>0</v>
      </c>
      <c r="CQ255" s="25">
        <f>IFERROR(INDEX('2 Staff List'!LX$64:LX$114,$AH255),0)</f>
        <v>0</v>
      </c>
      <c r="CR255" s="25">
        <f t="shared" si="771"/>
        <v>0</v>
      </c>
      <c r="CS255" s="25">
        <f t="shared" si="774"/>
        <v>1</v>
      </c>
      <c r="CT255" s="25">
        <f t="shared" si="333"/>
        <v>1</v>
      </c>
      <c r="CU255" s="25">
        <f t="shared" si="334"/>
        <v>1</v>
      </c>
      <c r="CV255" s="25">
        <f t="shared" si="335"/>
        <v>1</v>
      </c>
      <c r="CW255" s="25">
        <f t="shared" si="336"/>
        <v>1</v>
      </c>
      <c r="CX255" s="25">
        <f t="shared" si="337"/>
        <v>0</v>
      </c>
      <c r="CY255" s="25">
        <f t="shared" si="338"/>
        <v>0</v>
      </c>
      <c r="CZ255" s="25">
        <f t="shared" si="339"/>
        <v>0</v>
      </c>
      <c r="DA255" s="25">
        <f t="shared" si="340"/>
        <v>1</v>
      </c>
      <c r="DB255" s="25">
        <f t="shared" si="767"/>
        <v>1</v>
      </c>
      <c r="DC255" s="25">
        <f t="shared" si="341"/>
        <v>0</v>
      </c>
      <c r="DD255" s="25">
        <f>IF(OR($AD255&lt;&gt;3,F255="Exclude"),0,IF(ISERROR(MATCH($E255,'4 Sign-off'!$S$123:$X$123,0)),0,1))</f>
        <v>0</v>
      </c>
      <c r="DE255" s="25">
        <f t="shared" si="763"/>
        <v>0</v>
      </c>
      <c r="DF255" s="25">
        <f t="shared" si="342"/>
        <v>0</v>
      </c>
      <c r="DG255" s="25" t="str">
        <f t="shared" si="343"/>
        <v/>
      </c>
      <c r="DH255" s="25">
        <f t="shared" si="344"/>
        <v>0</v>
      </c>
      <c r="DI255" s="25">
        <f t="shared" si="345"/>
        <v>0</v>
      </c>
      <c r="DJ255" s="25">
        <f>IF(ISBLANK(J255),0,ISERROR(MATCH(J255,'5  Control Accounts'!$FA$29:$FA$96,0))*1)</f>
        <v>0</v>
      </c>
      <c r="DK255" s="25">
        <f t="shared" si="346"/>
        <v>0</v>
      </c>
      <c r="DL255" s="25">
        <f t="shared" si="768"/>
        <v>-1</v>
      </c>
      <c r="DM255" s="25" t="e">
        <f t="array" ref="DM255">MATCH(1,($EG255:$JD255&gt;0)*$EG$17:$JD$17,0)</f>
        <v>#N/A</v>
      </c>
      <c r="DN255" s="25" t="e">
        <f t="shared" si="775"/>
        <v>#N/A</v>
      </c>
      <c r="DO255" s="25" t="e">
        <f t="array" ref="DO255">MATCH(2,1/(EG255:JD255&gt;0))</f>
        <v>#N/A</v>
      </c>
      <c r="DP255" s="2993">
        <f t="shared" si="347"/>
        <v>0</v>
      </c>
      <c r="DQ255" s="3037">
        <f t="shared" si="348"/>
        <v>0</v>
      </c>
      <c r="DR255" s="111"/>
      <c r="DS255" s="1268">
        <f t="shared" si="743"/>
        <v>0</v>
      </c>
      <c r="DT255" s="1825"/>
      <c r="DU255" s="1826"/>
      <c r="DV255" s="1827"/>
      <c r="DW255" s="1828"/>
      <c r="DX255" s="659"/>
      <c r="DY255" s="1265"/>
      <c r="DZ255" s="1785">
        <f t="shared" si="772"/>
        <v>0</v>
      </c>
      <c r="EA255" s="1786">
        <f t="shared" si="773"/>
        <v>0</v>
      </c>
      <c r="EB255" s="1781">
        <f t="shared" si="776"/>
        <v>0</v>
      </c>
      <c r="EC255" s="1782">
        <f t="shared" si="777"/>
        <v>0</v>
      </c>
      <c r="ED255" s="1262"/>
      <c r="EE255" s="2280"/>
      <c r="EF255" s="1802"/>
      <c r="EG255" s="167"/>
      <c r="EH255" s="168"/>
      <c r="EI255" s="168"/>
      <c r="EJ255" s="168"/>
      <c r="EK255" s="168"/>
      <c r="EL255" s="168"/>
      <c r="EM255" s="168"/>
      <c r="EN255" s="168"/>
      <c r="EO255" s="168"/>
      <c r="EP255" s="168"/>
      <c r="EQ255" s="168"/>
      <c r="ER255" s="168"/>
      <c r="ES255" s="168"/>
      <c r="ET255" s="168"/>
      <c r="EU255" s="168"/>
      <c r="EV255" s="168"/>
      <c r="EW255" s="168"/>
      <c r="EX255" s="168"/>
      <c r="EY255" s="168"/>
      <c r="EZ255" s="168"/>
      <c r="FA255" s="168"/>
      <c r="FB255" s="168"/>
      <c r="FC255" s="168"/>
      <c r="FD255" s="168"/>
      <c r="FE255" s="168"/>
      <c r="FF255" s="168"/>
      <c r="FG255" s="168"/>
      <c r="FH255" s="168"/>
      <c r="FI255" s="168"/>
      <c r="FJ255" s="168"/>
      <c r="FK255" s="168"/>
      <c r="FL255" s="168"/>
      <c r="FM255" s="168"/>
      <c r="FN255" s="168"/>
      <c r="FO255" s="168"/>
      <c r="FP255" s="168"/>
      <c r="FQ255" s="168"/>
      <c r="FR255" s="168"/>
      <c r="FS255" s="168"/>
      <c r="FT255" s="168"/>
      <c r="FU255" s="168"/>
      <c r="FV255" s="168"/>
      <c r="FW255" s="168"/>
      <c r="FX255" s="168"/>
      <c r="FY255" s="168"/>
      <c r="FZ255" s="168"/>
      <c r="GA255" s="168"/>
      <c r="GB255" s="168"/>
      <c r="GC255" s="168"/>
      <c r="GD255" s="168"/>
      <c r="GE255" s="168"/>
      <c r="GF255" s="168"/>
      <c r="GG255" s="168"/>
      <c r="GH255" s="168"/>
      <c r="GI255" s="168"/>
      <c r="GJ255" s="168"/>
      <c r="GK255" s="168"/>
      <c r="GL255" s="168"/>
      <c r="GM255" s="168"/>
      <c r="GN255" s="168"/>
      <c r="GO255" s="168"/>
      <c r="GP255" s="168"/>
      <c r="GQ255" s="168"/>
      <c r="GR255" s="168"/>
      <c r="GS255" s="168"/>
      <c r="GT255" s="168"/>
      <c r="GU255" s="168"/>
      <c r="GV255" s="168"/>
      <c r="GW255" s="168"/>
      <c r="GX255" s="168"/>
      <c r="GY255" s="168"/>
      <c r="GZ255" s="168"/>
      <c r="HA255" s="168"/>
      <c r="HB255" s="168"/>
      <c r="HC255" s="168"/>
      <c r="HD255" s="168"/>
      <c r="HE255" s="168"/>
      <c r="HF255" s="168"/>
      <c r="HG255" s="168"/>
      <c r="HH255" s="168"/>
      <c r="HI255" s="168"/>
      <c r="HJ255" s="168"/>
      <c r="HK255" s="168"/>
      <c r="HL255" s="168"/>
      <c r="HM255" s="168"/>
      <c r="HN255" s="168"/>
      <c r="HO255" s="168"/>
      <c r="HP255" s="168"/>
      <c r="HQ255" s="168"/>
      <c r="HR255" s="168"/>
      <c r="HS255" s="168"/>
      <c r="HT255" s="168"/>
      <c r="HU255" s="168"/>
      <c r="HV255" s="168"/>
      <c r="HW255" s="168"/>
      <c r="HX255" s="168"/>
      <c r="HY255" s="168"/>
      <c r="HZ255" s="168"/>
      <c r="IA255" s="168"/>
      <c r="IB255" s="168"/>
      <c r="IC255" s="168"/>
      <c r="ID255" s="168"/>
      <c r="IE255" s="168"/>
      <c r="IF255" s="168"/>
      <c r="IG255" s="168"/>
      <c r="IH255" s="168"/>
      <c r="II255" s="168"/>
      <c r="IJ255" s="168"/>
      <c r="IK255" s="168"/>
      <c r="IL255" s="168"/>
      <c r="IM255" s="168"/>
      <c r="IN255" s="168"/>
      <c r="IO255" s="168"/>
      <c r="IP255" s="168"/>
      <c r="IQ255" s="168"/>
      <c r="IR255" s="168"/>
      <c r="IS255" s="168"/>
      <c r="IT255" s="168"/>
      <c r="IU255" s="168"/>
      <c r="IV255" s="168"/>
      <c r="IW255" s="168"/>
      <c r="IX255" s="168"/>
      <c r="IY255" s="168"/>
      <c r="IZ255" s="168"/>
      <c r="JA255" s="168"/>
      <c r="JB255" s="168"/>
      <c r="JC255" s="606"/>
      <c r="JD255" s="609"/>
      <c r="JE255" s="1"/>
      <c r="JF255" s="1"/>
    </row>
    <row r="256" spans="1:266" s="2" customFormat="1" ht="15" customHeight="1" x14ac:dyDescent="0.25">
      <c r="A256" s="283"/>
      <c r="B256" s="303"/>
      <c r="C256" s="301"/>
      <c r="D256" s="638"/>
      <c r="E256" s="2298"/>
      <c r="F256" s="1812"/>
      <c r="G256" s="3342"/>
      <c r="H256" s="66"/>
      <c r="I256" s="1746"/>
      <c r="J256" s="86"/>
      <c r="K256" s="105"/>
      <c r="L256" s="91"/>
      <c r="M256" s="92"/>
      <c r="N256" s="93"/>
      <c r="O256" s="94"/>
      <c r="P256" s="96"/>
      <c r="Q256" s="95"/>
      <c r="R256" s="993">
        <f t="shared" si="769"/>
        <v>0</v>
      </c>
      <c r="S256" s="23">
        <f t="shared" si="298"/>
        <v>0</v>
      </c>
      <c r="T256" s="24">
        <f t="shared" si="299"/>
        <v>0</v>
      </c>
      <c r="U256" s="24">
        <f t="shared" si="300"/>
        <v>0</v>
      </c>
      <c r="V256" s="24">
        <f t="shared" si="301"/>
        <v>0</v>
      </c>
      <c r="W256" s="24">
        <f t="shared" si="302"/>
        <v>0</v>
      </c>
      <c r="X256" s="72">
        <f t="shared" si="303"/>
        <v>0</v>
      </c>
      <c r="Y256" s="72">
        <f t="shared" si="304"/>
        <v>0</v>
      </c>
      <c r="Z256" s="24">
        <f t="shared" si="770"/>
        <v>0</v>
      </c>
      <c r="AA256" s="72">
        <f t="shared" si="305"/>
        <v>0</v>
      </c>
      <c r="AB256" s="24">
        <f t="shared" si="306"/>
        <v>0</v>
      </c>
      <c r="AC256" s="24" t="s">
        <v>5</v>
      </c>
      <c r="AD256" s="25">
        <f t="shared" si="764"/>
        <v>3</v>
      </c>
      <c r="AE256" s="25">
        <f t="shared" si="765"/>
        <v>0</v>
      </c>
      <c r="AF256" s="25">
        <f t="shared" si="766"/>
        <v>0</v>
      </c>
      <c r="AG256" s="25">
        <f t="shared" si="307"/>
        <v>1</v>
      </c>
      <c r="AH256" s="25" t="str">
        <f>IFERROR(MATCH(DY256,'2 Staff List'!$IA$64:$IA$114,0),"x")</f>
        <v>x</v>
      </c>
      <c r="AI256" s="1181">
        <f>IFERROR(INDEX('2 Staff List'!$EX$64:$EX$114,$AH256),0)</f>
        <v>0</v>
      </c>
      <c r="AJ256" s="25">
        <f>IFERROR(INDEX('2 Staff List'!$IW$64:$IW$114,$AH256),0)</f>
        <v>0</v>
      </c>
      <c r="AK256" s="25">
        <f>IFERROR(INDEX('2 Staff List'!$IB$64:$IB$114,$AH256),0)</f>
        <v>0</v>
      </c>
      <c r="AL256" s="25">
        <f>IF(OR(NOT(ISBLANK(DV256)),CX256=1),"&lt;Non-Labor&gt;",IFERROR(IF(AH256=0,0,INDEX('2 Staff List'!$HZ$64:$HZ$114,$AH256)),0))</f>
        <v>0</v>
      </c>
      <c r="AM256" s="25">
        <f>IFERROR(INDEX('2 Staff List'!$HW$64:$HW$114,$AH256),0)</f>
        <v>0</v>
      </c>
      <c r="AN256" s="25">
        <f t="shared" si="308"/>
        <v>1</v>
      </c>
      <c r="AO256" s="25">
        <f>IF($AO$127=0,0,IFERROR(INDEX('2 Staff List'!$JH$64:$JH$114,$AH256),0))</f>
        <v>0</v>
      </c>
      <c r="AP256" s="25">
        <f>IFERROR(INDEX('2 Staff List'!$HU$64:$HU$114,$AH256),0)</f>
        <v>0</v>
      </c>
      <c r="AQ256" s="25">
        <f t="shared" si="309"/>
        <v>0</v>
      </c>
      <c r="AR256" s="25">
        <f t="shared" si="310"/>
        <v>0</v>
      </c>
      <c r="AS256" s="25">
        <f t="shared" si="311"/>
        <v>0</v>
      </c>
      <c r="AT256" s="25">
        <f t="shared" si="312"/>
        <v>0</v>
      </c>
      <c r="AU256" s="25">
        <f t="shared" si="313"/>
        <v>0</v>
      </c>
      <c r="AV256" s="25">
        <f t="shared" si="314"/>
        <v>0</v>
      </c>
      <c r="AW256" s="25">
        <f t="shared" si="315"/>
        <v>0</v>
      </c>
      <c r="AX256" s="25">
        <f t="shared" si="316"/>
        <v>0</v>
      </c>
      <c r="AY256" s="25">
        <f t="shared" si="317"/>
        <v>0</v>
      </c>
      <c r="AZ256" s="25">
        <f t="shared" si="318"/>
        <v>0</v>
      </c>
      <c r="BA256" s="25">
        <f t="shared" si="319"/>
        <v>0</v>
      </c>
      <c r="BB256" s="25">
        <f t="shared" si="320"/>
        <v>0</v>
      </c>
      <c r="BC256" s="25">
        <f>IFERROR(INDEX('2 Staff List'!KS$64:KS$114,$AH256),0)</f>
        <v>0</v>
      </c>
      <c r="BD256" s="25">
        <f>IFERROR(INDEX('2 Staff List'!KT$64:KT$114,$AH256),0)</f>
        <v>0</v>
      </c>
      <c r="BE256" s="25">
        <f>IFERROR(INDEX('2 Staff List'!KU$64:KU$114,$AH256),0)</f>
        <v>0</v>
      </c>
      <c r="BF256" s="25">
        <f>IFERROR(INDEX('2 Staff List'!KV$64:KV$114,$AH256),0)</f>
        <v>0</v>
      </c>
      <c r="BG256" s="25">
        <f>IFERROR(INDEX('2 Staff List'!KW$64:KW$114,$AH256),0)</f>
        <v>0</v>
      </c>
      <c r="BH256" s="25">
        <f>IFERROR(INDEX('2 Staff List'!KX$64:KX$114,$AH256),0)</f>
        <v>0</v>
      </c>
      <c r="BI256" s="25">
        <f>IFERROR(INDEX('2 Staff List'!KY$64:KY$114,$AH256),0)</f>
        <v>0</v>
      </c>
      <c r="BJ256" s="25">
        <f>IFERROR(INDEX('2 Staff List'!KZ$64:KZ$114,$AH256),0)</f>
        <v>0</v>
      </c>
      <c r="BK256" s="25">
        <f>IFERROR(INDEX('2 Staff List'!LA$64:LA$114,$AH256),0)</f>
        <v>0</v>
      </c>
      <c r="BL256" s="25">
        <f>IFERROR(INDEX('2 Staff List'!LB$64:LB$114,$AH256),0)</f>
        <v>0</v>
      </c>
      <c r="BM256" s="25">
        <f>IFERROR(INDEX('2 Staff List'!FT$64:FT$114,$AH256),0)</f>
        <v>0</v>
      </c>
      <c r="BN256" s="25">
        <f>IFERROR(INDEX('2 Staff List'!FU$64:FU$114,$AH256),0)</f>
        <v>0</v>
      </c>
      <c r="BO256" s="25">
        <f>IFERROR(INDEX('2 Staff List'!FV$64:FV$114,$AH256),0)</f>
        <v>0</v>
      </c>
      <c r="BP256" s="25">
        <f>IFERROR(INDEX('2 Staff List'!FW$64:FW$114,$AH256),0)</f>
        <v>0</v>
      </c>
      <c r="BQ256" s="25">
        <f>IFERROR(INDEX('2 Staff List'!FX$64:FX$114,$AH256),0)</f>
        <v>0</v>
      </c>
      <c r="BR256" s="25">
        <f>IFERROR(INDEX('2 Staff List'!FY$64:FY$114,$AH256),0)</f>
        <v>0</v>
      </c>
      <c r="BS256" s="25">
        <f>IFERROR(INDEX('2 Staff List'!FZ$64:FZ$114,$AH256),0)</f>
        <v>0</v>
      </c>
      <c r="BT256" s="25">
        <f>IFERROR(INDEX('2 Staff List'!GA$64:GA$114,$AH256),0)</f>
        <v>0</v>
      </c>
      <c r="BU256" s="25">
        <f>IFERROR(INDEX('2 Staff List'!GB$64:GB$114,$AH256),0)</f>
        <v>0</v>
      </c>
      <c r="BV256" s="25">
        <f>IFERROR(INDEX('2 Staff List'!GC$64:GC$114,$AH256),0)</f>
        <v>0</v>
      </c>
      <c r="BW256" s="25">
        <f t="shared" si="321"/>
        <v>0</v>
      </c>
      <c r="BX256" s="25">
        <f t="shared" si="322"/>
        <v>0</v>
      </c>
      <c r="BY256" s="25">
        <f t="shared" si="323"/>
        <v>0</v>
      </c>
      <c r="BZ256" s="25">
        <f t="shared" si="324"/>
        <v>0</v>
      </c>
      <c r="CA256" s="25">
        <f t="shared" si="325"/>
        <v>0</v>
      </c>
      <c r="CB256" s="25">
        <f t="shared" si="326"/>
        <v>0</v>
      </c>
      <c r="CC256" s="25">
        <f t="shared" si="327"/>
        <v>0</v>
      </c>
      <c r="CD256" s="25">
        <f t="shared" si="328"/>
        <v>0</v>
      </c>
      <c r="CE256" s="25">
        <f t="shared" si="329"/>
        <v>0</v>
      </c>
      <c r="CF256" s="25">
        <f t="shared" si="330"/>
        <v>0</v>
      </c>
      <c r="CG256" s="25">
        <f t="shared" si="331"/>
        <v>0</v>
      </c>
      <c r="CH256" s="25">
        <f>IFERROR(INDEX('2 Staff List'!LO$64:LO$114,$AH256),0)</f>
        <v>0</v>
      </c>
      <c r="CI256" s="25">
        <f>IFERROR(INDEX('2 Staff List'!LP$64:LP$114,$AH256),0)</f>
        <v>0</v>
      </c>
      <c r="CJ256" s="25">
        <f>IFERROR(INDEX('2 Staff List'!LQ$64:LQ$114,$AH256),0)</f>
        <v>0</v>
      </c>
      <c r="CK256" s="25">
        <f>IFERROR(INDEX('2 Staff List'!LR$64:LR$114,$AH256),0)</f>
        <v>0</v>
      </c>
      <c r="CL256" s="25">
        <f>IFERROR(INDEX('2 Staff List'!LS$64:LS$114,$AH256),0)</f>
        <v>0</v>
      </c>
      <c r="CM256" s="25">
        <f>IFERROR(INDEX('2 Staff List'!LT$64:LT$114,$AH256),0)</f>
        <v>0</v>
      </c>
      <c r="CN256" s="25">
        <f>IFERROR(INDEX('2 Staff List'!LU$64:LU$114,$AH256),0)</f>
        <v>0</v>
      </c>
      <c r="CO256" s="25">
        <f>IFERROR(INDEX('2 Staff List'!LV$64:LV$114,$AH256),0)</f>
        <v>0</v>
      </c>
      <c r="CP256" s="25">
        <f>IFERROR(INDEX('2 Staff List'!LW$64:LW$114,$AH256),0)</f>
        <v>0</v>
      </c>
      <c r="CQ256" s="25">
        <f>IFERROR(INDEX('2 Staff List'!LX$64:LX$114,$AH256),0)</f>
        <v>0</v>
      </c>
      <c r="CR256" s="25">
        <f t="shared" si="771"/>
        <v>0</v>
      </c>
      <c r="CS256" s="25">
        <f t="shared" si="774"/>
        <v>1</v>
      </c>
      <c r="CT256" s="25">
        <f t="shared" si="333"/>
        <v>1</v>
      </c>
      <c r="CU256" s="25">
        <f t="shared" si="334"/>
        <v>1</v>
      </c>
      <c r="CV256" s="25">
        <f t="shared" si="335"/>
        <v>1</v>
      </c>
      <c r="CW256" s="25">
        <f t="shared" si="336"/>
        <v>1</v>
      </c>
      <c r="CX256" s="25">
        <f t="shared" si="337"/>
        <v>0</v>
      </c>
      <c r="CY256" s="25">
        <f t="shared" si="338"/>
        <v>0</v>
      </c>
      <c r="CZ256" s="25">
        <f t="shared" si="339"/>
        <v>0</v>
      </c>
      <c r="DA256" s="25">
        <f t="shared" si="340"/>
        <v>1</v>
      </c>
      <c r="DB256" s="25">
        <f t="shared" si="767"/>
        <v>1</v>
      </c>
      <c r="DC256" s="25">
        <f t="shared" si="341"/>
        <v>0</v>
      </c>
      <c r="DD256" s="25">
        <f>IF(OR($AD256&lt;&gt;3,F256="Exclude"),0,IF(ISERROR(MATCH($E256,'4 Sign-off'!$S$123:$X$123,0)),0,1))</f>
        <v>0</v>
      </c>
      <c r="DE256" s="25">
        <f t="shared" si="763"/>
        <v>0</v>
      </c>
      <c r="DF256" s="25">
        <f t="shared" si="342"/>
        <v>0</v>
      </c>
      <c r="DG256" s="25" t="str">
        <f t="shared" si="343"/>
        <v/>
      </c>
      <c r="DH256" s="25">
        <f t="shared" si="344"/>
        <v>0</v>
      </c>
      <c r="DI256" s="25">
        <f t="shared" si="345"/>
        <v>0</v>
      </c>
      <c r="DJ256" s="25">
        <f>IF(ISBLANK(J256),0,ISERROR(MATCH(J256,'5  Control Accounts'!$FA$29:$FA$96,0))*1)</f>
        <v>0</v>
      </c>
      <c r="DK256" s="25">
        <f t="shared" si="346"/>
        <v>0</v>
      </c>
      <c r="DL256" s="25">
        <f t="shared" si="768"/>
        <v>-1</v>
      </c>
      <c r="DM256" s="25" t="e">
        <f t="array" ref="DM256">MATCH(1,($EG256:$JD256&gt;0)*$EG$17:$JD$17,0)</f>
        <v>#N/A</v>
      </c>
      <c r="DN256" s="25" t="e">
        <f t="shared" si="775"/>
        <v>#N/A</v>
      </c>
      <c r="DO256" s="25" t="e">
        <f t="array" ref="DO256">MATCH(2,1/(EG256:JD256&gt;0))</f>
        <v>#N/A</v>
      </c>
      <c r="DP256" s="2993">
        <f t="shared" si="347"/>
        <v>0</v>
      </c>
      <c r="DQ256" s="3037">
        <f t="shared" si="348"/>
        <v>0</v>
      </c>
      <c r="DR256" s="111"/>
      <c r="DS256" s="1268">
        <f t="shared" si="743"/>
        <v>0</v>
      </c>
      <c r="DT256" s="1825"/>
      <c r="DU256" s="1826"/>
      <c r="DV256" s="1827"/>
      <c r="DW256" s="1828"/>
      <c r="DX256" s="659"/>
      <c r="DY256" s="1265"/>
      <c r="DZ256" s="1785">
        <f t="shared" si="772"/>
        <v>0</v>
      </c>
      <c r="EA256" s="1786">
        <f t="shared" si="773"/>
        <v>0</v>
      </c>
      <c r="EB256" s="1781">
        <f t="shared" si="776"/>
        <v>0</v>
      </c>
      <c r="EC256" s="1782">
        <f t="shared" si="777"/>
        <v>0</v>
      </c>
      <c r="ED256" s="1262"/>
      <c r="EE256" s="2280"/>
      <c r="EF256" s="1802"/>
      <c r="EG256" s="167"/>
      <c r="EH256" s="168"/>
      <c r="EI256" s="168"/>
      <c r="EJ256" s="168"/>
      <c r="EK256" s="168"/>
      <c r="EL256" s="168"/>
      <c r="EM256" s="168"/>
      <c r="EN256" s="168"/>
      <c r="EO256" s="168"/>
      <c r="EP256" s="168"/>
      <c r="EQ256" s="168"/>
      <c r="ER256" s="168"/>
      <c r="ES256" s="168"/>
      <c r="ET256" s="168"/>
      <c r="EU256" s="168"/>
      <c r="EV256" s="168"/>
      <c r="EW256" s="168"/>
      <c r="EX256" s="168"/>
      <c r="EY256" s="168"/>
      <c r="EZ256" s="168"/>
      <c r="FA256" s="168"/>
      <c r="FB256" s="168"/>
      <c r="FC256" s="168"/>
      <c r="FD256" s="168"/>
      <c r="FE256" s="168"/>
      <c r="FF256" s="168"/>
      <c r="FG256" s="168"/>
      <c r="FH256" s="168"/>
      <c r="FI256" s="168"/>
      <c r="FJ256" s="168"/>
      <c r="FK256" s="168"/>
      <c r="FL256" s="168"/>
      <c r="FM256" s="168"/>
      <c r="FN256" s="168"/>
      <c r="FO256" s="168"/>
      <c r="FP256" s="168"/>
      <c r="FQ256" s="168"/>
      <c r="FR256" s="168"/>
      <c r="FS256" s="168"/>
      <c r="FT256" s="168"/>
      <c r="FU256" s="168"/>
      <c r="FV256" s="168"/>
      <c r="FW256" s="168"/>
      <c r="FX256" s="168"/>
      <c r="FY256" s="168"/>
      <c r="FZ256" s="168"/>
      <c r="GA256" s="168"/>
      <c r="GB256" s="168"/>
      <c r="GC256" s="168"/>
      <c r="GD256" s="168"/>
      <c r="GE256" s="168"/>
      <c r="GF256" s="168"/>
      <c r="GG256" s="168"/>
      <c r="GH256" s="168"/>
      <c r="GI256" s="168"/>
      <c r="GJ256" s="168"/>
      <c r="GK256" s="168"/>
      <c r="GL256" s="168"/>
      <c r="GM256" s="168"/>
      <c r="GN256" s="168"/>
      <c r="GO256" s="168"/>
      <c r="GP256" s="168"/>
      <c r="GQ256" s="168"/>
      <c r="GR256" s="168"/>
      <c r="GS256" s="168"/>
      <c r="GT256" s="168"/>
      <c r="GU256" s="168"/>
      <c r="GV256" s="168"/>
      <c r="GW256" s="168"/>
      <c r="GX256" s="168"/>
      <c r="GY256" s="168"/>
      <c r="GZ256" s="168"/>
      <c r="HA256" s="168"/>
      <c r="HB256" s="168"/>
      <c r="HC256" s="168"/>
      <c r="HD256" s="168"/>
      <c r="HE256" s="168"/>
      <c r="HF256" s="168"/>
      <c r="HG256" s="168"/>
      <c r="HH256" s="168"/>
      <c r="HI256" s="168"/>
      <c r="HJ256" s="168"/>
      <c r="HK256" s="168"/>
      <c r="HL256" s="168"/>
      <c r="HM256" s="168"/>
      <c r="HN256" s="168"/>
      <c r="HO256" s="168"/>
      <c r="HP256" s="168"/>
      <c r="HQ256" s="168"/>
      <c r="HR256" s="168"/>
      <c r="HS256" s="168"/>
      <c r="HT256" s="168"/>
      <c r="HU256" s="168"/>
      <c r="HV256" s="168"/>
      <c r="HW256" s="168"/>
      <c r="HX256" s="168"/>
      <c r="HY256" s="168"/>
      <c r="HZ256" s="168"/>
      <c r="IA256" s="168"/>
      <c r="IB256" s="168"/>
      <c r="IC256" s="168"/>
      <c r="ID256" s="168"/>
      <c r="IE256" s="168"/>
      <c r="IF256" s="168"/>
      <c r="IG256" s="168"/>
      <c r="IH256" s="168"/>
      <c r="II256" s="168"/>
      <c r="IJ256" s="168"/>
      <c r="IK256" s="168"/>
      <c r="IL256" s="168"/>
      <c r="IM256" s="168"/>
      <c r="IN256" s="168"/>
      <c r="IO256" s="168"/>
      <c r="IP256" s="168"/>
      <c r="IQ256" s="168"/>
      <c r="IR256" s="168"/>
      <c r="IS256" s="168"/>
      <c r="IT256" s="168"/>
      <c r="IU256" s="168"/>
      <c r="IV256" s="168"/>
      <c r="IW256" s="168"/>
      <c r="IX256" s="168"/>
      <c r="IY256" s="168"/>
      <c r="IZ256" s="168"/>
      <c r="JA256" s="168"/>
      <c r="JB256" s="168"/>
      <c r="JC256" s="606"/>
      <c r="JD256" s="609"/>
      <c r="JE256" s="1"/>
      <c r="JF256" s="1"/>
    </row>
    <row r="257" spans="1:266" s="2" customFormat="1" ht="15" customHeight="1" x14ac:dyDescent="0.25">
      <c r="A257" s="283"/>
      <c r="B257" s="303"/>
      <c r="C257" s="301"/>
      <c r="D257" s="638"/>
      <c r="E257" s="2298"/>
      <c r="F257" s="1812"/>
      <c r="G257" s="3342"/>
      <c r="H257" s="66"/>
      <c r="I257" s="1746"/>
      <c r="J257" s="86"/>
      <c r="K257" s="105"/>
      <c r="L257" s="91"/>
      <c r="M257" s="92"/>
      <c r="N257" s="93"/>
      <c r="O257" s="94"/>
      <c r="P257" s="96"/>
      <c r="Q257" s="95"/>
      <c r="R257" s="993">
        <f t="shared" si="769"/>
        <v>0</v>
      </c>
      <c r="S257" s="23">
        <f t="shared" si="298"/>
        <v>0</v>
      </c>
      <c r="T257" s="24">
        <f t="shared" si="299"/>
        <v>0</v>
      </c>
      <c r="U257" s="24">
        <f t="shared" si="300"/>
        <v>0</v>
      </c>
      <c r="V257" s="24">
        <f t="shared" si="301"/>
        <v>0</v>
      </c>
      <c r="W257" s="24">
        <f t="shared" si="302"/>
        <v>0</v>
      </c>
      <c r="X257" s="72">
        <f t="shared" si="303"/>
        <v>0</v>
      </c>
      <c r="Y257" s="72">
        <f t="shared" si="304"/>
        <v>0</v>
      </c>
      <c r="Z257" s="24">
        <f t="shared" si="770"/>
        <v>0</v>
      </c>
      <c r="AA257" s="72">
        <f t="shared" si="305"/>
        <v>0</v>
      </c>
      <c r="AB257" s="24">
        <f t="shared" si="306"/>
        <v>0</v>
      </c>
      <c r="AC257" s="24" t="s">
        <v>5</v>
      </c>
      <c r="AD257" s="25">
        <f t="shared" si="764"/>
        <v>3</v>
      </c>
      <c r="AE257" s="25">
        <f t="shared" si="765"/>
        <v>0</v>
      </c>
      <c r="AF257" s="25">
        <f t="shared" si="766"/>
        <v>0</v>
      </c>
      <c r="AG257" s="25">
        <f t="shared" si="307"/>
        <v>1</v>
      </c>
      <c r="AH257" s="25" t="str">
        <f>IFERROR(MATCH(DY257,'2 Staff List'!$IA$64:$IA$114,0),"x")</f>
        <v>x</v>
      </c>
      <c r="AI257" s="1181">
        <f>IFERROR(INDEX('2 Staff List'!$EX$64:$EX$114,$AH257),0)</f>
        <v>0</v>
      </c>
      <c r="AJ257" s="25">
        <f>IFERROR(INDEX('2 Staff List'!$IW$64:$IW$114,$AH257),0)</f>
        <v>0</v>
      </c>
      <c r="AK257" s="25">
        <f>IFERROR(INDEX('2 Staff List'!$IB$64:$IB$114,$AH257),0)</f>
        <v>0</v>
      </c>
      <c r="AL257" s="25">
        <f>IF(OR(NOT(ISBLANK(DV257)),CX257=1),"&lt;Non-Labor&gt;",IFERROR(IF(AH257=0,0,INDEX('2 Staff List'!$HZ$64:$HZ$114,$AH257)),0))</f>
        <v>0</v>
      </c>
      <c r="AM257" s="25">
        <f>IFERROR(INDEX('2 Staff List'!$HW$64:$HW$114,$AH257),0)</f>
        <v>0</v>
      </c>
      <c r="AN257" s="25">
        <f t="shared" si="308"/>
        <v>1</v>
      </c>
      <c r="AO257" s="25">
        <f>IF($AO$127=0,0,IFERROR(INDEX('2 Staff List'!$JH$64:$JH$114,$AH257),0))</f>
        <v>0</v>
      </c>
      <c r="AP257" s="25">
        <f>IFERROR(INDEX('2 Staff List'!$HU$64:$HU$114,$AH257),0)</f>
        <v>0</v>
      </c>
      <c r="AQ257" s="25">
        <f t="shared" si="309"/>
        <v>0</v>
      </c>
      <c r="AR257" s="25">
        <f t="shared" si="310"/>
        <v>0</v>
      </c>
      <c r="AS257" s="25">
        <f t="shared" si="311"/>
        <v>0</v>
      </c>
      <c r="AT257" s="25">
        <f t="shared" si="312"/>
        <v>0</v>
      </c>
      <c r="AU257" s="25">
        <f t="shared" si="313"/>
        <v>0</v>
      </c>
      <c r="AV257" s="25">
        <f t="shared" si="314"/>
        <v>0</v>
      </c>
      <c r="AW257" s="25">
        <f t="shared" si="315"/>
        <v>0</v>
      </c>
      <c r="AX257" s="25">
        <f t="shared" si="316"/>
        <v>0</v>
      </c>
      <c r="AY257" s="25">
        <f t="shared" si="317"/>
        <v>0</v>
      </c>
      <c r="AZ257" s="25">
        <f t="shared" si="318"/>
        <v>0</v>
      </c>
      <c r="BA257" s="25">
        <f t="shared" si="319"/>
        <v>0</v>
      </c>
      <c r="BB257" s="25">
        <f t="shared" si="320"/>
        <v>0</v>
      </c>
      <c r="BC257" s="25">
        <f>IFERROR(INDEX('2 Staff List'!KS$64:KS$114,$AH257),0)</f>
        <v>0</v>
      </c>
      <c r="BD257" s="25">
        <f>IFERROR(INDEX('2 Staff List'!KT$64:KT$114,$AH257),0)</f>
        <v>0</v>
      </c>
      <c r="BE257" s="25">
        <f>IFERROR(INDEX('2 Staff List'!KU$64:KU$114,$AH257),0)</f>
        <v>0</v>
      </c>
      <c r="BF257" s="25">
        <f>IFERROR(INDEX('2 Staff List'!KV$64:KV$114,$AH257),0)</f>
        <v>0</v>
      </c>
      <c r="BG257" s="25">
        <f>IFERROR(INDEX('2 Staff List'!KW$64:KW$114,$AH257),0)</f>
        <v>0</v>
      </c>
      <c r="BH257" s="25">
        <f>IFERROR(INDEX('2 Staff List'!KX$64:KX$114,$AH257),0)</f>
        <v>0</v>
      </c>
      <c r="BI257" s="25">
        <f>IFERROR(INDEX('2 Staff List'!KY$64:KY$114,$AH257),0)</f>
        <v>0</v>
      </c>
      <c r="BJ257" s="25">
        <f>IFERROR(INDEX('2 Staff List'!KZ$64:KZ$114,$AH257),0)</f>
        <v>0</v>
      </c>
      <c r="BK257" s="25">
        <f>IFERROR(INDEX('2 Staff List'!LA$64:LA$114,$AH257),0)</f>
        <v>0</v>
      </c>
      <c r="BL257" s="25">
        <f>IFERROR(INDEX('2 Staff List'!LB$64:LB$114,$AH257),0)</f>
        <v>0</v>
      </c>
      <c r="BM257" s="25">
        <f>IFERROR(INDEX('2 Staff List'!FT$64:FT$114,$AH257),0)</f>
        <v>0</v>
      </c>
      <c r="BN257" s="25">
        <f>IFERROR(INDEX('2 Staff List'!FU$64:FU$114,$AH257),0)</f>
        <v>0</v>
      </c>
      <c r="BO257" s="25">
        <f>IFERROR(INDEX('2 Staff List'!FV$64:FV$114,$AH257),0)</f>
        <v>0</v>
      </c>
      <c r="BP257" s="25">
        <f>IFERROR(INDEX('2 Staff List'!FW$64:FW$114,$AH257),0)</f>
        <v>0</v>
      </c>
      <c r="BQ257" s="25">
        <f>IFERROR(INDEX('2 Staff List'!FX$64:FX$114,$AH257),0)</f>
        <v>0</v>
      </c>
      <c r="BR257" s="25">
        <f>IFERROR(INDEX('2 Staff List'!FY$64:FY$114,$AH257),0)</f>
        <v>0</v>
      </c>
      <c r="BS257" s="25">
        <f>IFERROR(INDEX('2 Staff List'!FZ$64:FZ$114,$AH257),0)</f>
        <v>0</v>
      </c>
      <c r="BT257" s="25">
        <f>IFERROR(INDEX('2 Staff List'!GA$64:GA$114,$AH257),0)</f>
        <v>0</v>
      </c>
      <c r="BU257" s="25">
        <f>IFERROR(INDEX('2 Staff List'!GB$64:GB$114,$AH257),0)</f>
        <v>0</v>
      </c>
      <c r="BV257" s="25">
        <f>IFERROR(INDEX('2 Staff List'!GC$64:GC$114,$AH257),0)</f>
        <v>0</v>
      </c>
      <c r="BW257" s="25">
        <f t="shared" si="321"/>
        <v>0</v>
      </c>
      <c r="BX257" s="25">
        <f t="shared" si="322"/>
        <v>0</v>
      </c>
      <c r="BY257" s="25">
        <f t="shared" si="323"/>
        <v>0</v>
      </c>
      <c r="BZ257" s="25">
        <f t="shared" si="324"/>
        <v>0</v>
      </c>
      <c r="CA257" s="25">
        <f t="shared" si="325"/>
        <v>0</v>
      </c>
      <c r="CB257" s="25">
        <f t="shared" si="326"/>
        <v>0</v>
      </c>
      <c r="CC257" s="25">
        <f t="shared" si="327"/>
        <v>0</v>
      </c>
      <c r="CD257" s="25">
        <f t="shared" si="328"/>
        <v>0</v>
      </c>
      <c r="CE257" s="25">
        <f t="shared" si="329"/>
        <v>0</v>
      </c>
      <c r="CF257" s="25">
        <f t="shared" si="330"/>
        <v>0</v>
      </c>
      <c r="CG257" s="25">
        <f t="shared" si="331"/>
        <v>0</v>
      </c>
      <c r="CH257" s="25">
        <f>IFERROR(INDEX('2 Staff List'!LO$64:LO$114,$AH257),0)</f>
        <v>0</v>
      </c>
      <c r="CI257" s="25">
        <f>IFERROR(INDEX('2 Staff List'!LP$64:LP$114,$AH257),0)</f>
        <v>0</v>
      </c>
      <c r="CJ257" s="25">
        <f>IFERROR(INDEX('2 Staff List'!LQ$64:LQ$114,$AH257),0)</f>
        <v>0</v>
      </c>
      <c r="CK257" s="25">
        <f>IFERROR(INDEX('2 Staff List'!LR$64:LR$114,$AH257),0)</f>
        <v>0</v>
      </c>
      <c r="CL257" s="25">
        <f>IFERROR(INDEX('2 Staff List'!LS$64:LS$114,$AH257),0)</f>
        <v>0</v>
      </c>
      <c r="CM257" s="25">
        <f>IFERROR(INDEX('2 Staff List'!LT$64:LT$114,$AH257),0)</f>
        <v>0</v>
      </c>
      <c r="CN257" s="25">
        <f>IFERROR(INDEX('2 Staff List'!LU$64:LU$114,$AH257),0)</f>
        <v>0</v>
      </c>
      <c r="CO257" s="25">
        <f>IFERROR(INDEX('2 Staff List'!LV$64:LV$114,$AH257),0)</f>
        <v>0</v>
      </c>
      <c r="CP257" s="25">
        <f>IFERROR(INDEX('2 Staff List'!LW$64:LW$114,$AH257),0)</f>
        <v>0</v>
      </c>
      <c r="CQ257" s="25">
        <f>IFERROR(INDEX('2 Staff List'!LX$64:LX$114,$AH257),0)</f>
        <v>0</v>
      </c>
      <c r="CR257" s="25">
        <f t="shared" si="771"/>
        <v>0</v>
      </c>
      <c r="CS257" s="25">
        <f t="shared" si="774"/>
        <v>1</v>
      </c>
      <c r="CT257" s="25">
        <f t="shared" si="333"/>
        <v>1</v>
      </c>
      <c r="CU257" s="25">
        <f t="shared" si="334"/>
        <v>1</v>
      </c>
      <c r="CV257" s="25">
        <f t="shared" si="335"/>
        <v>1</v>
      </c>
      <c r="CW257" s="25">
        <f t="shared" si="336"/>
        <v>1</v>
      </c>
      <c r="CX257" s="25">
        <f t="shared" si="337"/>
        <v>0</v>
      </c>
      <c r="CY257" s="25">
        <f t="shared" si="338"/>
        <v>0</v>
      </c>
      <c r="CZ257" s="25">
        <f t="shared" si="339"/>
        <v>0</v>
      </c>
      <c r="DA257" s="25">
        <f t="shared" si="340"/>
        <v>1</v>
      </c>
      <c r="DB257" s="25">
        <f t="shared" si="767"/>
        <v>1</v>
      </c>
      <c r="DC257" s="25">
        <f t="shared" si="341"/>
        <v>0</v>
      </c>
      <c r="DD257" s="25">
        <f>IF(OR($AD257&lt;&gt;3,F257="Exclude"),0,IF(ISERROR(MATCH($E257,'4 Sign-off'!$S$123:$X$123,0)),0,1))</f>
        <v>0</v>
      </c>
      <c r="DE257" s="25">
        <f t="shared" si="763"/>
        <v>0</v>
      </c>
      <c r="DF257" s="25">
        <f t="shared" si="342"/>
        <v>0</v>
      </c>
      <c r="DG257" s="25" t="str">
        <f t="shared" si="343"/>
        <v/>
      </c>
      <c r="DH257" s="25">
        <f t="shared" si="344"/>
        <v>0</v>
      </c>
      <c r="DI257" s="25">
        <f t="shared" si="345"/>
        <v>0</v>
      </c>
      <c r="DJ257" s="25">
        <f>IF(ISBLANK(J257),0,ISERROR(MATCH(J257,'5  Control Accounts'!$FA$29:$FA$96,0))*1)</f>
        <v>0</v>
      </c>
      <c r="DK257" s="25">
        <f t="shared" si="346"/>
        <v>0</v>
      </c>
      <c r="DL257" s="25">
        <f t="shared" si="768"/>
        <v>-1</v>
      </c>
      <c r="DM257" s="25" t="e">
        <f t="array" ref="DM257">MATCH(1,($EG257:$JD257&gt;0)*$EG$17:$JD$17,0)</f>
        <v>#N/A</v>
      </c>
      <c r="DN257" s="25" t="e">
        <f t="shared" si="775"/>
        <v>#N/A</v>
      </c>
      <c r="DO257" s="25" t="e">
        <f t="array" ref="DO257">MATCH(2,1/(EG257:JD257&gt;0))</f>
        <v>#N/A</v>
      </c>
      <c r="DP257" s="2993">
        <f t="shared" si="347"/>
        <v>0</v>
      </c>
      <c r="DQ257" s="3037">
        <f t="shared" si="348"/>
        <v>0</v>
      </c>
      <c r="DR257" s="111"/>
      <c r="DS257" s="1268">
        <f t="shared" si="743"/>
        <v>0</v>
      </c>
      <c r="DT257" s="1825"/>
      <c r="DU257" s="1826"/>
      <c r="DV257" s="1827"/>
      <c r="DW257" s="1828"/>
      <c r="DX257" s="659"/>
      <c r="DY257" s="1265"/>
      <c r="DZ257" s="1785">
        <f t="shared" si="772"/>
        <v>0</v>
      </c>
      <c r="EA257" s="1786">
        <f t="shared" si="773"/>
        <v>0</v>
      </c>
      <c r="EB257" s="1781">
        <f t="shared" si="776"/>
        <v>0</v>
      </c>
      <c r="EC257" s="1782">
        <f t="shared" si="777"/>
        <v>0</v>
      </c>
      <c r="ED257" s="1262"/>
      <c r="EE257" s="2280"/>
      <c r="EF257" s="1802"/>
      <c r="EG257" s="167"/>
      <c r="EH257" s="168"/>
      <c r="EI257" s="168"/>
      <c r="EJ257" s="168"/>
      <c r="EK257" s="168"/>
      <c r="EL257" s="168"/>
      <c r="EM257" s="168"/>
      <c r="EN257" s="168"/>
      <c r="EO257" s="168"/>
      <c r="EP257" s="168"/>
      <c r="EQ257" s="168"/>
      <c r="ER257" s="168"/>
      <c r="ES257" s="168"/>
      <c r="ET257" s="168"/>
      <c r="EU257" s="168"/>
      <c r="EV257" s="168"/>
      <c r="EW257" s="168"/>
      <c r="EX257" s="168"/>
      <c r="EY257" s="168"/>
      <c r="EZ257" s="168"/>
      <c r="FA257" s="168"/>
      <c r="FB257" s="168"/>
      <c r="FC257" s="168"/>
      <c r="FD257" s="168"/>
      <c r="FE257" s="168"/>
      <c r="FF257" s="168"/>
      <c r="FG257" s="168"/>
      <c r="FH257" s="168"/>
      <c r="FI257" s="168"/>
      <c r="FJ257" s="168"/>
      <c r="FK257" s="168"/>
      <c r="FL257" s="168"/>
      <c r="FM257" s="168"/>
      <c r="FN257" s="168"/>
      <c r="FO257" s="168"/>
      <c r="FP257" s="168"/>
      <c r="FQ257" s="168"/>
      <c r="FR257" s="168"/>
      <c r="FS257" s="168"/>
      <c r="FT257" s="168"/>
      <c r="FU257" s="168"/>
      <c r="FV257" s="168"/>
      <c r="FW257" s="168"/>
      <c r="FX257" s="168"/>
      <c r="FY257" s="168"/>
      <c r="FZ257" s="168"/>
      <c r="GA257" s="168"/>
      <c r="GB257" s="168"/>
      <c r="GC257" s="168"/>
      <c r="GD257" s="168"/>
      <c r="GE257" s="168"/>
      <c r="GF257" s="168"/>
      <c r="GG257" s="168"/>
      <c r="GH257" s="168"/>
      <c r="GI257" s="168"/>
      <c r="GJ257" s="168"/>
      <c r="GK257" s="168"/>
      <c r="GL257" s="168"/>
      <c r="GM257" s="168"/>
      <c r="GN257" s="168"/>
      <c r="GO257" s="168"/>
      <c r="GP257" s="168"/>
      <c r="GQ257" s="168"/>
      <c r="GR257" s="168"/>
      <c r="GS257" s="168"/>
      <c r="GT257" s="168"/>
      <c r="GU257" s="168"/>
      <c r="GV257" s="168"/>
      <c r="GW257" s="168"/>
      <c r="GX257" s="168"/>
      <c r="GY257" s="168"/>
      <c r="GZ257" s="168"/>
      <c r="HA257" s="168"/>
      <c r="HB257" s="168"/>
      <c r="HC257" s="168"/>
      <c r="HD257" s="168"/>
      <c r="HE257" s="168"/>
      <c r="HF257" s="168"/>
      <c r="HG257" s="168"/>
      <c r="HH257" s="168"/>
      <c r="HI257" s="168"/>
      <c r="HJ257" s="168"/>
      <c r="HK257" s="168"/>
      <c r="HL257" s="168"/>
      <c r="HM257" s="168"/>
      <c r="HN257" s="168"/>
      <c r="HO257" s="168"/>
      <c r="HP257" s="168"/>
      <c r="HQ257" s="168"/>
      <c r="HR257" s="168"/>
      <c r="HS257" s="168"/>
      <c r="HT257" s="168"/>
      <c r="HU257" s="168"/>
      <c r="HV257" s="168"/>
      <c r="HW257" s="168"/>
      <c r="HX257" s="168"/>
      <c r="HY257" s="168"/>
      <c r="HZ257" s="168"/>
      <c r="IA257" s="168"/>
      <c r="IB257" s="168"/>
      <c r="IC257" s="168"/>
      <c r="ID257" s="168"/>
      <c r="IE257" s="168"/>
      <c r="IF257" s="168"/>
      <c r="IG257" s="168"/>
      <c r="IH257" s="168"/>
      <c r="II257" s="168"/>
      <c r="IJ257" s="168"/>
      <c r="IK257" s="168"/>
      <c r="IL257" s="168"/>
      <c r="IM257" s="168"/>
      <c r="IN257" s="168"/>
      <c r="IO257" s="168"/>
      <c r="IP257" s="168"/>
      <c r="IQ257" s="168"/>
      <c r="IR257" s="168"/>
      <c r="IS257" s="168"/>
      <c r="IT257" s="168"/>
      <c r="IU257" s="168"/>
      <c r="IV257" s="168"/>
      <c r="IW257" s="168"/>
      <c r="IX257" s="168"/>
      <c r="IY257" s="168"/>
      <c r="IZ257" s="168"/>
      <c r="JA257" s="168"/>
      <c r="JB257" s="168"/>
      <c r="JC257" s="606"/>
      <c r="JD257" s="609"/>
      <c r="JE257" s="1"/>
      <c r="JF257" s="1"/>
    </row>
    <row r="258" spans="1:266" s="2" customFormat="1" ht="15" customHeight="1" x14ac:dyDescent="0.25">
      <c r="A258" s="283"/>
      <c r="B258" s="303"/>
      <c r="C258" s="301"/>
      <c r="D258" s="638"/>
      <c r="E258" s="2298"/>
      <c r="F258" s="1812"/>
      <c r="G258" s="3342"/>
      <c r="H258" s="66"/>
      <c r="I258" s="1746"/>
      <c r="J258" s="86"/>
      <c r="K258" s="105"/>
      <c r="L258" s="91"/>
      <c r="M258" s="92"/>
      <c r="N258" s="93"/>
      <c r="O258" s="94"/>
      <c r="P258" s="96"/>
      <c r="Q258" s="95"/>
      <c r="R258" s="993">
        <f t="shared" si="769"/>
        <v>0</v>
      </c>
      <c r="S258" s="23">
        <f t="shared" si="298"/>
        <v>0</v>
      </c>
      <c r="T258" s="24">
        <f t="shared" si="299"/>
        <v>0</v>
      </c>
      <c r="U258" s="24">
        <f t="shared" si="300"/>
        <v>0</v>
      </c>
      <c r="V258" s="24">
        <f t="shared" si="301"/>
        <v>0</v>
      </c>
      <c r="W258" s="24">
        <f t="shared" si="302"/>
        <v>0</v>
      </c>
      <c r="X258" s="72">
        <f t="shared" si="303"/>
        <v>0</v>
      </c>
      <c r="Y258" s="72">
        <f t="shared" si="304"/>
        <v>0</v>
      </c>
      <c r="Z258" s="24">
        <f t="shared" si="770"/>
        <v>0</v>
      </c>
      <c r="AA258" s="72">
        <f t="shared" si="305"/>
        <v>0</v>
      </c>
      <c r="AB258" s="24">
        <f t="shared" si="306"/>
        <v>0</v>
      </c>
      <c r="AC258" s="24" t="s">
        <v>5</v>
      </c>
      <c r="AD258" s="25">
        <f t="shared" si="764"/>
        <v>3</v>
      </c>
      <c r="AE258" s="25">
        <f t="shared" si="765"/>
        <v>0</v>
      </c>
      <c r="AF258" s="25">
        <f t="shared" si="766"/>
        <v>0</v>
      </c>
      <c r="AG258" s="25">
        <f t="shared" si="307"/>
        <v>1</v>
      </c>
      <c r="AH258" s="25" t="str">
        <f>IFERROR(MATCH(DY258,'2 Staff List'!$IA$64:$IA$114,0),"x")</f>
        <v>x</v>
      </c>
      <c r="AI258" s="1181">
        <f>IFERROR(INDEX('2 Staff List'!$EX$64:$EX$114,$AH258),0)</f>
        <v>0</v>
      </c>
      <c r="AJ258" s="25">
        <f>IFERROR(INDEX('2 Staff List'!$IW$64:$IW$114,$AH258),0)</f>
        <v>0</v>
      </c>
      <c r="AK258" s="25">
        <f>IFERROR(INDEX('2 Staff List'!$IB$64:$IB$114,$AH258),0)</f>
        <v>0</v>
      </c>
      <c r="AL258" s="25">
        <f>IF(OR(NOT(ISBLANK(DV258)),CX258=1),"&lt;Non-Labor&gt;",IFERROR(IF(AH258=0,0,INDEX('2 Staff List'!$HZ$64:$HZ$114,$AH258)),0))</f>
        <v>0</v>
      </c>
      <c r="AM258" s="25">
        <f>IFERROR(INDEX('2 Staff List'!$HW$64:$HW$114,$AH258),0)</f>
        <v>0</v>
      </c>
      <c r="AN258" s="25">
        <f t="shared" si="308"/>
        <v>1</v>
      </c>
      <c r="AO258" s="25">
        <f>IF($AO$127=0,0,IFERROR(INDEX('2 Staff List'!$JH$64:$JH$114,$AH258),0))</f>
        <v>0</v>
      </c>
      <c r="AP258" s="25">
        <f>IFERROR(INDEX('2 Staff List'!$HU$64:$HU$114,$AH258),0)</f>
        <v>0</v>
      </c>
      <c r="AQ258" s="25">
        <f t="shared" si="309"/>
        <v>0</v>
      </c>
      <c r="AR258" s="25">
        <f t="shared" si="310"/>
        <v>0</v>
      </c>
      <c r="AS258" s="25">
        <f t="shared" si="311"/>
        <v>0</v>
      </c>
      <c r="AT258" s="25">
        <f t="shared" si="312"/>
        <v>0</v>
      </c>
      <c r="AU258" s="25">
        <f t="shared" si="313"/>
        <v>0</v>
      </c>
      <c r="AV258" s="25">
        <f t="shared" si="314"/>
        <v>0</v>
      </c>
      <c r="AW258" s="25">
        <f t="shared" si="315"/>
        <v>0</v>
      </c>
      <c r="AX258" s="25">
        <f t="shared" si="316"/>
        <v>0</v>
      </c>
      <c r="AY258" s="25">
        <f t="shared" si="317"/>
        <v>0</v>
      </c>
      <c r="AZ258" s="25">
        <f t="shared" si="318"/>
        <v>0</v>
      </c>
      <c r="BA258" s="25">
        <f t="shared" si="319"/>
        <v>0</v>
      </c>
      <c r="BB258" s="25">
        <f t="shared" si="320"/>
        <v>0</v>
      </c>
      <c r="BC258" s="25">
        <f>IFERROR(INDEX('2 Staff List'!KS$64:KS$114,$AH258),0)</f>
        <v>0</v>
      </c>
      <c r="BD258" s="25">
        <f>IFERROR(INDEX('2 Staff List'!KT$64:KT$114,$AH258),0)</f>
        <v>0</v>
      </c>
      <c r="BE258" s="25">
        <f>IFERROR(INDEX('2 Staff List'!KU$64:KU$114,$AH258),0)</f>
        <v>0</v>
      </c>
      <c r="BF258" s="25">
        <f>IFERROR(INDEX('2 Staff List'!KV$64:KV$114,$AH258),0)</f>
        <v>0</v>
      </c>
      <c r="BG258" s="25">
        <f>IFERROR(INDEX('2 Staff List'!KW$64:KW$114,$AH258),0)</f>
        <v>0</v>
      </c>
      <c r="BH258" s="25">
        <f>IFERROR(INDEX('2 Staff List'!KX$64:KX$114,$AH258),0)</f>
        <v>0</v>
      </c>
      <c r="BI258" s="25">
        <f>IFERROR(INDEX('2 Staff List'!KY$64:KY$114,$AH258),0)</f>
        <v>0</v>
      </c>
      <c r="BJ258" s="25">
        <f>IFERROR(INDEX('2 Staff List'!KZ$64:KZ$114,$AH258),0)</f>
        <v>0</v>
      </c>
      <c r="BK258" s="25">
        <f>IFERROR(INDEX('2 Staff List'!LA$64:LA$114,$AH258),0)</f>
        <v>0</v>
      </c>
      <c r="BL258" s="25">
        <f>IFERROR(INDEX('2 Staff List'!LB$64:LB$114,$AH258),0)</f>
        <v>0</v>
      </c>
      <c r="BM258" s="25">
        <f>IFERROR(INDEX('2 Staff List'!FT$64:FT$114,$AH258),0)</f>
        <v>0</v>
      </c>
      <c r="BN258" s="25">
        <f>IFERROR(INDEX('2 Staff List'!FU$64:FU$114,$AH258),0)</f>
        <v>0</v>
      </c>
      <c r="BO258" s="25">
        <f>IFERROR(INDEX('2 Staff List'!FV$64:FV$114,$AH258),0)</f>
        <v>0</v>
      </c>
      <c r="BP258" s="25">
        <f>IFERROR(INDEX('2 Staff List'!FW$64:FW$114,$AH258),0)</f>
        <v>0</v>
      </c>
      <c r="BQ258" s="25">
        <f>IFERROR(INDEX('2 Staff List'!FX$64:FX$114,$AH258),0)</f>
        <v>0</v>
      </c>
      <c r="BR258" s="25">
        <f>IFERROR(INDEX('2 Staff List'!FY$64:FY$114,$AH258),0)</f>
        <v>0</v>
      </c>
      <c r="BS258" s="25">
        <f>IFERROR(INDEX('2 Staff List'!FZ$64:FZ$114,$AH258),0)</f>
        <v>0</v>
      </c>
      <c r="BT258" s="25">
        <f>IFERROR(INDEX('2 Staff List'!GA$64:GA$114,$AH258),0)</f>
        <v>0</v>
      </c>
      <c r="BU258" s="25">
        <f>IFERROR(INDEX('2 Staff List'!GB$64:GB$114,$AH258),0)</f>
        <v>0</v>
      </c>
      <c r="BV258" s="25">
        <f>IFERROR(INDEX('2 Staff List'!GC$64:GC$114,$AH258),0)</f>
        <v>0</v>
      </c>
      <c r="BW258" s="25">
        <f t="shared" si="321"/>
        <v>0</v>
      </c>
      <c r="BX258" s="25">
        <f t="shared" si="322"/>
        <v>0</v>
      </c>
      <c r="BY258" s="25">
        <f t="shared" si="323"/>
        <v>0</v>
      </c>
      <c r="BZ258" s="25">
        <f t="shared" si="324"/>
        <v>0</v>
      </c>
      <c r="CA258" s="25">
        <f t="shared" si="325"/>
        <v>0</v>
      </c>
      <c r="CB258" s="25">
        <f t="shared" si="326"/>
        <v>0</v>
      </c>
      <c r="CC258" s="25">
        <f t="shared" si="327"/>
        <v>0</v>
      </c>
      <c r="CD258" s="25">
        <f t="shared" si="328"/>
        <v>0</v>
      </c>
      <c r="CE258" s="25">
        <f t="shared" si="329"/>
        <v>0</v>
      </c>
      <c r="CF258" s="25">
        <f t="shared" si="330"/>
        <v>0</v>
      </c>
      <c r="CG258" s="25">
        <f t="shared" si="331"/>
        <v>0</v>
      </c>
      <c r="CH258" s="25">
        <f>IFERROR(INDEX('2 Staff List'!LO$64:LO$114,$AH258),0)</f>
        <v>0</v>
      </c>
      <c r="CI258" s="25">
        <f>IFERROR(INDEX('2 Staff List'!LP$64:LP$114,$AH258),0)</f>
        <v>0</v>
      </c>
      <c r="CJ258" s="25">
        <f>IFERROR(INDEX('2 Staff List'!LQ$64:LQ$114,$AH258),0)</f>
        <v>0</v>
      </c>
      <c r="CK258" s="25">
        <f>IFERROR(INDEX('2 Staff List'!LR$64:LR$114,$AH258),0)</f>
        <v>0</v>
      </c>
      <c r="CL258" s="25">
        <f>IFERROR(INDEX('2 Staff List'!LS$64:LS$114,$AH258),0)</f>
        <v>0</v>
      </c>
      <c r="CM258" s="25">
        <f>IFERROR(INDEX('2 Staff List'!LT$64:LT$114,$AH258),0)</f>
        <v>0</v>
      </c>
      <c r="CN258" s="25">
        <f>IFERROR(INDEX('2 Staff List'!LU$64:LU$114,$AH258),0)</f>
        <v>0</v>
      </c>
      <c r="CO258" s="25">
        <f>IFERROR(INDEX('2 Staff List'!LV$64:LV$114,$AH258),0)</f>
        <v>0</v>
      </c>
      <c r="CP258" s="25">
        <f>IFERROR(INDEX('2 Staff List'!LW$64:LW$114,$AH258),0)</f>
        <v>0</v>
      </c>
      <c r="CQ258" s="25">
        <f>IFERROR(INDEX('2 Staff List'!LX$64:LX$114,$AH258),0)</f>
        <v>0</v>
      </c>
      <c r="CR258" s="25">
        <f t="shared" si="771"/>
        <v>0</v>
      </c>
      <c r="CS258" s="25">
        <f t="shared" si="774"/>
        <v>1</v>
      </c>
      <c r="CT258" s="25">
        <f t="shared" si="333"/>
        <v>1</v>
      </c>
      <c r="CU258" s="25">
        <f t="shared" si="334"/>
        <v>1</v>
      </c>
      <c r="CV258" s="25">
        <f t="shared" si="335"/>
        <v>1</v>
      </c>
      <c r="CW258" s="25">
        <f t="shared" si="336"/>
        <v>1</v>
      </c>
      <c r="CX258" s="25">
        <f t="shared" si="337"/>
        <v>0</v>
      </c>
      <c r="CY258" s="25">
        <f t="shared" si="338"/>
        <v>0</v>
      </c>
      <c r="CZ258" s="25">
        <f t="shared" si="339"/>
        <v>0</v>
      </c>
      <c r="DA258" s="25">
        <f t="shared" si="340"/>
        <v>1</v>
      </c>
      <c r="DB258" s="25">
        <f t="shared" si="767"/>
        <v>1</v>
      </c>
      <c r="DC258" s="25">
        <f t="shared" si="341"/>
        <v>0</v>
      </c>
      <c r="DD258" s="25">
        <f>IF(OR($AD258&lt;&gt;3,F258="Exclude"),0,IF(ISERROR(MATCH($E258,'4 Sign-off'!$S$123:$X$123,0)),0,1))</f>
        <v>0</v>
      </c>
      <c r="DE258" s="25">
        <f t="shared" si="763"/>
        <v>0</v>
      </c>
      <c r="DF258" s="25">
        <f t="shared" si="342"/>
        <v>0</v>
      </c>
      <c r="DG258" s="25" t="str">
        <f t="shared" si="343"/>
        <v/>
      </c>
      <c r="DH258" s="25">
        <f t="shared" si="344"/>
        <v>0</v>
      </c>
      <c r="DI258" s="25">
        <f t="shared" ref="DI258:DI304" si="778">IF(OR(DH258=0,DG258="S",ISBLANK(J258)),0,IF(OR(DG258="A",DG258="G",DG258="L"),IF(DH258="L",0,1),IF(DH258="N",0,1)))</f>
        <v>0</v>
      </c>
      <c r="DJ258" s="25">
        <f>IF(ISBLANK(J258),0,ISERROR(MATCH(J258,'5  Control Accounts'!$FA$29:$FA$96,0))*1)</f>
        <v>0</v>
      </c>
      <c r="DK258" s="25">
        <f t="shared" si="346"/>
        <v>0</v>
      </c>
      <c r="DL258" s="25">
        <f t="shared" si="768"/>
        <v>-1</v>
      </c>
      <c r="DM258" s="25" t="e">
        <f t="array" ref="DM258">MATCH(1,($EG258:$JD258&gt;0)*$EG$17:$JD$17,0)</f>
        <v>#N/A</v>
      </c>
      <c r="DN258" s="25" t="e">
        <f t="shared" si="775"/>
        <v>#N/A</v>
      </c>
      <c r="DO258" s="25" t="e">
        <f t="array" ref="DO258">MATCH(2,1/(EG258:JD258&gt;0))</f>
        <v>#N/A</v>
      </c>
      <c r="DP258" s="2993">
        <f t="shared" si="347"/>
        <v>0</v>
      </c>
      <c r="DQ258" s="3037">
        <f t="shared" si="348"/>
        <v>0</v>
      </c>
      <c r="DR258" s="111"/>
      <c r="DS258" s="1268">
        <f t="shared" si="743"/>
        <v>0</v>
      </c>
      <c r="DT258" s="1825"/>
      <c r="DU258" s="1826"/>
      <c r="DV258" s="1827"/>
      <c r="DW258" s="1828"/>
      <c r="DX258" s="659"/>
      <c r="DY258" s="1265"/>
      <c r="DZ258" s="1785">
        <f t="shared" si="772"/>
        <v>0</v>
      </c>
      <c r="EA258" s="1786">
        <f t="shared" si="773"/>
        <v>0</v>
      </c>
      <c r="EB258" s="1781">
        <f t="shared" si="776"/>
        <v>0</v>
      </c>
      <c r="EC258" s="1782">
        <f t="shared" si="777"/>
        <v>0</v>
      </c>
      <c r="ED258" s="1262"/>
      <c r="EE258" s="2280"/>
      <c r="EF258" s="1802"/>
      <c r="EG258" s="167"/>
      <c r="EH258" s="168"/>
      <c r="EI258" s="168"/>
      <c r="EJ258" s="168"/>
      <c r="EK258" s="168"/>
      <c r="EL258" s="168"/>
      <c r="EM258" s="168"/>
      <c r="EN258" s="168"/>
      <c r="EO258" s="168"/>
      <c r="EP258" s="168"/>
      <c r="EQ258" s="168"/>
      <c r="ER258" s="168"/>
      <c r="ES258" s="168"/>
      <c r="ET258" s="168"/>
      <c r="EU258" s="168"/>
      <c r="EV258" s="168"/>
      <c r="EW258" s="168"/>
      <c r="EX258" s="168"/>
      <c r="EY258" s="168"/>
      <c r="EZ258" s="168"/>
      <c r="FA258" s="168"/>
      <c r="FB258" s="168"/>
      <c r="FC258" s="168"/>
      <c r="FD258" s="168"/>
      <c r="FE258" s="168"/>
      <c r="FF258" s="168"/>
      <c r="FG258" s="168"/>
      <c r="FH258" s="168"/>
      <c r="FI258" s="168"/>
      <c r="FJ258" s="168"/>
      <c r="FK258" s="168"/>
      <c r="FL258" s="168"/>
      <c r="FM258" s="168"/>
      <c r="FN258" s="168"/>
      <c r="FO258" s="168"/>
      <c r="FP258" s="168"/>
      <c r="FQ258" s="168"/>
      <c r="FR258" s="168"/>
      <c r="FS258" s="168"/>
      <c r="FT258" s="168"/>
      <c r="FU258" s="168"/>
      <c r="FV258" s="168"/>
      <c r="FW258" s="168"/>
      <c r="FX258" s="168"/>
      <c r="FY258" s="168"/>
      <c r="FZ258" s="168"/>
      <c r="GA258" s="168"/>
      <c r="GB258" s="168"/>
      <c r="GC258" s="168"/>
      <c r="GD258" s="168"/>
      <c r="GE258" s="168"/>
      <c r="GF258" s="168"/>
      <c r="GG258" s="168"/>
      <c r="GH258" s="168"/>
      <c r="GI258" s="168"/>
      <c r="GJ258" s="168"/>
      <c r="GK258" s="168"/>
      <c r="GL258" s="168"/>
      <c r="GM258" s="168"/>
      <c r="GN258" s="168"/>
      <c r="GO258" s="168"/>
      <c r="GP258" s="168"/>
      <c r="GQ258" s="168"/>
      <c r="GR258" s="168"/>
      <c r="GS258" s="168"/>
      <c r="GT258" s="168"/>
      <c r="GU258" s="168"/>
      <c r="GV258" s="168"/>
      <c r="GW258" s="168"/>
      <c r="GX258" s="168"/>
      <c r="GY258" s="168"/>
      <c r="GZ258" s="168"/>
      <c r="HA258" s="168"/>
      <c r="HB258" s="168"/>
      <c r="HC258" s="168"/>
      <c r="HD258" s="168"/>
      <c r="HE258" s="168"/>
      <c r="HF258" s="168"/>
      <c r="HG258" s="168"/>
      <c r="HH258" s="168"/>
      <c r="HI258" s="168"/>
      <c r="HJ258" s="168"/>
      <c r="HK258" s="168"/>
      <c r="HL258" s="168"/>
      <c r="HM258" s="168"/>
      <c r="HN258" s="168"/>
      <c r="HO258" s="168"/>
      <c r="HP258" s="168"/>
      <c r="HQ258" s="168"/>
      <c r="HR258" s="168"/>
      <c r="HS258" s="168"/>
      <c r="HT258" s="168"/>
      <c r="HU258" s="168"/>
      <c r="HV258" s="168"/>
      <c r="HW258" s="168"/>
      <c r="HX258" s="168"/>
      <c r="HY258" s="168"/>
      <c r="HZ258" s="168"/>
      <c r="IA258" s="168"/>
      <c r="IB258" s="168"/>
      <c r="IC258" s="168"/>
      <c r="ID258" s="168"/>
      <c r="IE258" s="168"/>
      <c r="IF258" s="168"/>
      <c r="IG258" s="168"/>
      <c r="IH258" s="168"/>
      <c r="II258" s="168"/>
      <c r="IJ258" s="168"/>
      <c r="IK258" s="168"/>
      <c r="IL258" s="168"/>
      <c r="IM258" s="168"/>
      <c r="IN258" s="168"/>
      <c r="IO258" s="168"/>
      <c r="IP258" s="168"/>
      <c r="IQ258" s="168"/>
      <c r="IR258" s="168"/>
      <c r="IS258" s="168"/>
      <c r="IT258" s="168"/>
      <c r="IU258" s="168"/>
      <c r="IV258" s="168"/>
      <c r="IW258" s="168"/>
      <c r="IX258" s="168"/>
      <c r="IY258" s="168"/>
      <c r="IZ258" s="168"/>
      <c r="JA258" s="168"/>
      <c r="JB258" s="168"/>
      <c r="JC258" s="606"/>
      <c r="JD258" s="609"/>
      <c r="JE258" s="1"/>
      <c r="JF258" s="1"/>
    </row>
    <row r="259" spans="1:266" s="2" customFormat="1" ht="15" customHeight="1" x14ac:dyDescent="0.25">
      <c r="A259" s="283"/>
      <c r="B259" s="303"/>
      <c r="C259" s="301"/>
      <c r="D259" s="638"/>
      <c r="E259" s="2298"/>
      <c r="F259" s="1812"/>
      <c r="G259" s="3342"/>
      <c r="H259" s="66"/>
      <c r="I259" s="1746"/>
      <c r="J259" s="86"/>
      <c r="K259" s="105"/>
      <c r="L259" s="91"/>
      <c r="M259" s="92"/>
      <c r="N259" s="93"/>
      <c r="O259" s="94"/>
      <c r="P259" s="96"/>
      <c r="Q259" s="95"/>
      <c r="R259" s="993">
        <f t="shared" si="769"/>
        <v>0</v>
      </c>
      <c r="S259" s="23">
        <f t="shared" si="298"/>
        <v>0</v>
      </c>
      <c r="T259" s="24">
        <f t="shared" si="299"/>
        <v>0</v>
      </c>
      <c r="U259" s="24">
        <f t="shared" si="300"/>
        <v>0</v>
      </c>
      <c r="V259" s="24">
        <f t="shared" si="301"/>
        <v>0</v>
      </c>
      <c r="W259" s="24">
        <f t="shared" si="302"/>
        <v>0</v>
      </c>
      <c r="X259" s="72">
        <f t="shared" si="303"/>
        <v>0</v>
      </c>
      <c r="Y259" s="72">
        <f t="shared" si="304"/>
        <v>0</v>
      </c>
      <c r="Z259" s="24">
        <f t="shared" si="770"/>
        <v>0</v>
      </c>
      <c r="AA259" s="72">
        <f t="shared" si="305"/>
        <v>0</v>
      </c>
      <c r="AB259" s="24">
        <f t="shared" si="306"/>
        <v>0</v>
      </c>
      <c r="AC259" s="24" t="s">
        <v>5</v>
      </c>
      <c r="AD259" s="25">
        <f t="shared" si="764"/>
        <v>3</v>
      </c>
      <c r="AE259" s="25">
        <f t="shared" si="765"/>
        <v>0</v>
      </c>
      <c r="AF259" s="25">
        <f t="shared" si="766"/>
        <v>0</v>
      </c>
      <c r="AG259" s="25">
        <f t="shared" si="307"/>
        <v>1</v>
      </c>
      <c r="AH259" s="25" t="str">
        <f>IFERROR(MATCH(DY259,'2 Staff List'!$IA$64:$IA$114,0),"x")</f>
        <v>x</v>
      </c>
      <c r="AI259" s="1181">
        <f>IFERROR(INDEX('2 Staff List'!$EX$64:$EX$114,$AH259),0)</f>
        <v>0</v>
      </c>
      <c r="AJ259" s="25">
        <f>IFERROR(INDEX('2 Staff List'!$IW$64:$IW$114,$AH259),0)</f>
        <v>0</v>
      </c>
      <c r="AK259" s="25">
        <f>IFERROR(INDEX('2 Staff List'!$IB$64:$IB$114,$AH259),0)</f>
        <v>0</v>
      </c>
      <c r="AL259" s="25">
        <f>IF(OR(NOT(ISBLANK(DV259)),CX259=1),"&lt;Non-Labor&gt;",IFERROR(IF(AH259=0,0,INDEX('2 Staff List'!$HZ$64:$HZ$114,$AH259)),0))</f>
        <v>0</v>
      </c>
      <c r="AM259" s="25">
        <f>IFERROR(INDEX('2 Staff List'!$HW$64:$HW$114,$AH259),0)</f>
        <v>0</v>
      </c>
      <c r="AN259" s="25">
        <f t="shared" si="308"/>
        <v>1</v>
      </c>
      <c r="AO259" s="25">
        <f>IF($AO$127=0,0,IFERROR(INDEX('2 Staff List'!$JH$64:$JH$114,$AH259),0))</f>
        <v>0</v>
      </c>
      <c r="AP259" s="25">
        <f>IFERROR(INDEX('2 Staff List'!$HU$64:$HU$114,$AH259),0)</f>
        <v>0</v>
      </c>
      <c r="AQ259" s="25">
        <f t="shared" si="309"/>
        <v>0</v>
      </c>
      <c r="AR259" s="25">
        <f t="shared" si="310"/>
        <v>0</v>
      </c>
      <c r="AS259" s="25">
        <f t="shared" si="311"/>
        <v>0</v>
      </c>
      <c r="AT259" s="25">
        <f t="shared" si="312"/>
        <v>0</v>
      </c>
      <c r="AU259" s="25">
        <f t="shared" si="313"/>
        <v>0</v>
      </c>
      <c r="AV259" s="25">
        <f t="shared" si="314"/>
        <v>0</v>
      </c>
      <c r="AW259" s="25">
        <f t="shared" si="315"/>
        <v>0</v>
      </c>
      <c r="AX259" s="25">
        <f t="shared" si="316"/>
        <v>0</v>
      </c>
      <c r="AY259" s="25">
        <f t="shared" si="317"/>
        <v>0</v>
      </c>
      <c r="AZ259" s="25">
        <f t="shared" si="318"/>
        <v>0</v>
      </c>
      <c r="BA259" s="25">
        <f t="shared" si="319"/>
        <v>0</v>
      </c>
      <c r="BB259" s="25">
        <f t="shared" si="320"/>
        <v>0</v>
      </c>
      <c r="BC259" s="25">
        <f>IFERROR(INDEX('2 Staff List'!KS$64:KS$114,$AH259),0)</f>
        <v>0</v>
      </c>
      <c r="BD259" s="25">
        <f>IFERROR(INDEX('2 Staff List'!KT$64:KT$114,$AH259),0)</f>
        <v>0</v>
      </c>
      <c r="BE259" s="25">
        <f>IFERROR(INDEX('2 Staff List'!KU$64:KU$114,$AH259),0)</f>
        <v>0</v>
      </c>
      <c r="BF259" s="25">
        <f>IFERROR(INDEX('2 Staff List'!KV$64:KV$114,$AH259),0)</f>
        <v>0</v>
      </c>
      <c r="BG259" s="25">
        <f>IFERROR(INDEX('2 Staff List'!KW$64:KW$114,$AH259),0)</f>
        <v>0</v>
      </c>
      <c r="BH259" s="25">
        <f>IFERROR(INDEX('2 Staff List'!KX$64:KX$114,$AH259),0)</f>
        <v>0</v>
      </c>
      <c r="BI259" s="25">
        <f>IFERROR(INDEX('2 Staff List'!KY$64:KY$114,$AH259),0)</f>
        <v>0</v>
      </c>
      <c r="BJ259" s="25">
        <f>IFERROR(INDEX('2 Staff List'!KZ$64:KZ$114,$AH259),0)</f>
        <v>0</v>
      </c>
      <c r="BK259" s="25">
        <f>IFERROR(INDEX('2 Staff List'!LA$64:LA$114,$AH259),0)</f>
        <v>0</v>
      </c>
      <c r="BL259" s="25">
        <f>IFERROR(INDEX('2 Staff List'!LB$64:LB$114,$AH259),0)</f>
        <v>0</v>
      </c>
      <c r="BM259" s="25">
        <f>IFERROR(INDEX('2 Staff List'!FT$64:FT$114,$AH259),0)</f>
        <v>0</v>
      </c>
      <c r="BN259" s="25">
        <f>IFERROR(INDEX('2 Staff List'!FU$64:FU$114,$AH259),0)</f>
        <v>0</v>
      </c>
      <c r="BO259" s="25">
        <f>IFERROR(INDEX('2 Staff List'!FV$64:FV$114,$AH259),0)</f>
        <v>0</v>
      </c>
      <c r="BP259" s="25">
        <f>IFERROR(INDEX('2 Staff List'!FW$64:FW$114,$AH259),0)</f>
        <v>0</v>
      </c>
      <c r="BQ259" s="25">
        <f>IFERROR(INDEX('2 Staff List'!FX$64:FX$114,$AH259),0)</f>
        <v>0</v>
      </c>
      <c r="BR259" s="25">
        <f>IFERROR(INDEX('2 Staff List'!FY$64:FY$114,$AH259),0)</f>
        <v>0</v>
      </c>
      <c r="BS259" s="25">
        <f>IFERROR(INDEX('2 Staff List'!FZ$64:FZ$114,$AH259),0)</f>
        <v>0</v>
      </c>
      <c r="BT259" s="25">
        <f>IFERROR(INDEX('2 Staff List'!GA$64:GA$114,$AH259),0)</f>
        <v>0</v>
      </c>
      <c r="BU259" s="25">
        <f>IFERROR(INDEX('2 Staff List'!GB$64:GB$114,$AH259),0)</f>
        <v>0</v>
      </c>
      <c r="BV259" s="25">
        <f>IFERROR(INDEX('2 Staff List'!GC$64:GC$114,$AH259),0)</f>
        <v>0</v>
      </c>
      <c r="BW259" s="25">
        <f t="shared" si="321"/>
        <v>0</v>
      </c>
      <c r="BX259" s="25">
        <f t="shared" si="322"/>
        <v>0</v>
      </c>
      <c r="BY259" s="25">
        <f t="shared" si="323"/>
        <v>0</v>
      </c>
      <c r="BZ259" s="25">
        <f t="shared" si="324"/>
        <v>0</v>
      </c>
      <c r="CA259" s="25">
        <f t="shared" si="325"/>
        <v>0</v>
      </c>
      <c r="CB259" s="25">
        <f t="shared" si="326"/>
        <v>0</v>
      </c>
      <c r="CC259" s="25">
        <f t="shared" si="327"/>
        <v>0</v>
      </c>
      <c r="CD259" s="25">
        <f t="shared" si="328"/>
        <v>0</v>
      </c>
      <c r="CE259" s="25">
        <f t="shared" si="329"/>
        <v>0</v>
      </c>
      <c r="CF259" s="25">
        <f t="shared" si="330"/>
        <v>0</v>
      </c>
      <c r="CG259" s="25">
        <f t="shared" si="331"/>
        <v>0</v>
      </c>
      <c r="CH259" s="25">
        <f>IFERROR(INDEX('2 Staff List'!LO$64:LO$114,$AH259),0)</f>
        <v>0</v>
      </c>
      <c r="CI259" s="25">
        <f>IFERROR(INDEX('2 Staff List'!LP$64:LP$114,$AH259),0)</f>
        <v>0</v>
      </c>
      <c r="CJ259" s="25">
        <f>IFERROR(INDEX('2 Staff List'!LQ$64:LQ$114,$AH259),0)</f>
        <v>0</v>
      </c>
      <c r="CK259" s="25">
        <f>IFERROR(INDEX('2 Staff List'!LR$64:LR$114,$AH259),0)</f>
        <v>0</v>
      </c>
      <c r="CL259" s="25">
        <f>IFERROR(INDEX('2 Staff List'!LS$64:LS$114,$AH259),0)</f>
        <v>0</v>
      </c>
      <c r="CM259" s="25">
        <f>IFERROR(INDEX('2 Staff List'!LT$64:LT$114,$AH259),0)</f>
        <v>0</v>
      </c>
      <c r="CN259" s="25">
        <f>IFERROR(INDEX('2 Staff List'!LU$64:LU$114,$AH259),0)</f>
        <v>0</v>
      </c>
      <c r="CO259" s="25">
        <f>IFERROR(INDEX('2 Staff List'!LV$64:LV$114,$AH259),0)</f>
        <v>0</v>
      </c>
      <c r="CP259" s="25">
        <f>IFERROR(INDEX('2 Staff List'!LW$64:LW$114,$AH259),0)</f>
        <v>0</v>
      </c>
      <c r="CQ259" s="25">
        <f>IFERROR(INDEX('2 Staff List'!LX$64:LX$114,$AH259),0)</f>
        <v>0</v>
      </c>
      <c r="CR259" s="25">
        <f t="shared" si="771"/>
        <v>0</v>
      </c>
      <c r="CS259" s="25">
        <f t="shared" si="774"/>
        <v>1</v>
      </c>
      <c r="CT259" s="25">
        <f t="shared" si="333"/>
        <v>1</v>
      </c>
      <c r="CU259" s="25">
        <f t="shared" si="334"/>
        <v>1</v>
      </c>
      <c r="CV259" s="25">
        <f t="shared" si="335"/>
        <v>1</v>
      </c>
      <c r="CW259" s="25">
        <f t="shared" si="336"/>
        <v>1</v>
      </c>
      <c r="CX259" s="25">
        <f t="shared" si="337"/>
        <v>0</v>
      </c>
      <c r="CY259" s="25">
        <f t="shared" ref="CY259:CY304" si="779">IF(OR(DG259="S",DG259="R",DG259="V",DG259="U",DG259="W",DG259="Z"),1,0)</f>
        <v>0</v>
      </c>
      <c r="CZ259" s="25">
        <f t="shared" si="339"/>
        <v>0</v>
      </c>
      <c r="DA259" s="25">
        <f t="shared" si="340"/>
        <v>1</v>
      </c>
      <c r="DB259" s="25">
        <f t="shared" si="767"/>
        <v>1</v>
      </c>
      <c r="DC259" s="25">
        <f t="shared" si="341"/>
        <v>0</v>
      </c>
      <c r="DD259" s="25">
        <f>IF(OR($AD259&lt;&gt;3,F259="Exclude"),0,IF(ISERROR(MATCH($E259,'4 Sign-off'!$S$123:$X$123,0)),0,1))</f>
        <v>0</v>
      </c>
      <c r="DE259" s="25">
        <f t="shared" si="763"/>
        <v>0</v>
      </c>
      <c r="DF259" s="25">
        <f t="shared" si="342"/>
        <v>0</v>
      </c>
      <c r="DG259" s="25" t="str">
        <f t="shared" si="343"/>
        <v/>
      </c>
      <c r="DH259" s="25">
        <f t="shared" ref="DH259:DH304" si="780">IF(SUM(X259:AB259)=0,0,IF(ISBLANK(DV259),"L","N"))</f>
        <v>0</v>
      </c>
      <c r="DI259" s="25">
        <f t="shared" si="778"/>
        <v>0</v>
      </c>
      <c r="DJ259" s="25">
        <f>IF(ISBLANK(J259),0,ISERROR(MATCH(J259,'5  Control Accounts'!$FA$29:$FA$96,0))*1)</f>
        <v>0</v>
      </c>
      <c r="DK259" s="25">
        <f t="shared" si="346"/>
        <v>0</v>
      </c>
      <c r="DL259" s="25">
        <f t="shared" si="768"/>
        <v>-1</v>
      </c>
      <c r="DM259" s="25" t="e">
        <f t="array" ref="DM259">MATCH(1,($EG259:$JD259&gt;0)*$EG$17:$JD$17,0)</f>
        <v>#N/A</v>
      </c>
      <c r="DN259" s="25" t="e">
        <f t="shared" si="775"/>
        <v>#N/A</v>
      </c>
      <c r="DO259" s="25" t="e">
        <f t="array" ref="DO259">MATCH(2,1/(EG259:JD259&gt;0))</f>
        <v>#N/A</v>
      </c>
      <c r="DP259" s="2993">
        <f t="shared" si="347"/>
        <v>0</v>
      </c>
      <c r="DQ259" s="3037">
        <f t="shared" si="348"/>
        <v>0</v>
      </c>
      <c r="DR259" s="111"/>
      <c r="DS259" s="1268">
        <f t="shared" si="743"/>
        <v>0</v>
      </c>
      <c r="DT259" s="1825"/>
      <c r="DU259" s="1826"/>
      <c r="DV259" s="1827"/>
      <c r="DW259" s="1828"/>
      <c r="DX259" s="659"/>
      <c r="DY259" s="1265"/>
      <c r="DZ259" s="1785">
        <f t="shared" si="772"/>
        <v>0</v>
      </c>
      <c r="EA259" s="1786">
        <f t="shared" si="773"/>
        <v>0</v>
      </c>
      <c r="EB259" s="1781">
        <f t="shared" si="776"/>
        <v>0</v>
      </c>
      <c r="EC259" s="1782">
        <f t="shared" si="777"/>
        <v>0</v>
      </c>
      <c r="ED259" s="1262"/>
      <c r="EE259" s="2280"/>
      <c r="EF259" s="1802"/>
      <c r="EG259" s="167"/>
      <c r="EH259" s="168"/>
      <c r="EI259" s="168"/>
      <c r="EJ259" s="168"/>
      <c r="EK259" s="168"/>
      <c r="EL259" s="168"/>
      <c r="EM259" s="168"/>
      <c r="EN259" s="168"/>
      <c r="EO259" s="168"/>
      <c r="EP259" s="168"/>
      <c r="EQ259" s="168"/>
      <c r="ER259" s="168"/>
      <c r="ES259" s="168"/>
      <c r="ET259" s="168"/>
      <c r="EU259" s="168"/>
      <c r="EV259" s="168"/>
      <c r="EW259" s="168"/>
      <c r="EX259" s="168"/>
      <c r="EY259" s="168"/>
      <c r="EZ259" s="168"/>
      <c r="FA259" s="168"/>
      <c r="FB259" s="168"/>
      <c r="FC259" s="168"/>
      <c r="FD259" s="168"/>
      <c r="FE259" s="168"/>
      <c r="FF259" s="168"/>
      <c r="FG259" s="168"/>
      <c r="FH259" s="168"/>
      <c r="FI259" s="168"/>
      <c r="FJ259" s="168"/>
      <c r="FK259" s="168"/>
      <c r="FL259" s="168"/>
      <c r="FM259" s="168"/>
      <c r="FN259" s="168"/>
      <c r="FO259" s="168"/>
      <c r="FP259" s="168"/>
      <c r="FQ259" s="168"/>
      <c r="FR259" s="168"/>
      <c r="FS259" s="168"/>
      <c r="FT259" s="168"/>
      <c r="FU259" s="168"/>
      <c r="FV259" s="168"/>
      <c r="FW259" s="168"/>
      <c r="FX259" s="168"/>
      <c r="FY259" s="168"/>
      <c r="FZ259" s="168"/>
      <c r="GA259" s="168"/>
      <c r="GB259" s="168"/>
      <c r="GC259" s="168"/>
      <c r="GD259" s="168"/>
      <c r="GE259" s="168"/>
      <c r="GF259" s="168"/>
      <c r="GG259" s="168"/>
      <c r="GH259" s="168"/>
      <c r="GI259" s="168"/>
      <c r="GJ259" s="168"/>
      <c r="GK259" s="168"/>
      <c r="GL259" s="168"/>
      <c r="GM259" s="168"/>
      <c r="GN259" s="168"/>
      <c r="GO259" s="168"/>
      <c r="GP259" s="168"/>
      <c r="GQ259" s="168"/>
      <c r="GR259" s="168"/>
      <c r="GS259" s="168"/>
      <c r="GT259" s="168"/>
      <c r="GU259" s="168"/>
      <c r="GV259" s="168"/>
      <c r="GW259" s="168"/>
      <c r="GX259" s="168"/>
      <c r="GY259" s="168"/>
      <c r="GZ259" s="168"/>
      <c r="HA259" s="168"/>
      <c r="HB259" s="168"/>
      <c r="HC259" s="168"/>
      <c r="HD259" s="168"/>
      <c r="HE259" s="168"/>
      <c r="HF259" s="168"/>
      <c r="HG259" s="168"/>
      <c r="HH259" s="168"/>
      <c r="HI259" s="168"/>
      <c r="HJ259" s="168"/>
      <c r="HK259" s="168"/>
      <c r="HL259" s="168"/>
      <c r="HM259" s="168"/>
      <c r="HN259" s="168"/>
      <c r="HO259" s="168"/>
      <c r="HP259" s="168"/>
      <c r="HQ259" s="168"/>
      <c r="HR259" s="168"/>
      <c r="HS259" s="168"/>
      <c r="HT259" s="168"/>
      <c r="HU259" s="168"/>
      <c r="HV259" s="168"/>
      <c r="HW259" s="168"/>
      <c r="HX259" s="168"/>
      <c r="HY259" s="168"/>
      <c r="HZ259" s="168"/>
      <c r="IA259" s="168"/>
      <c r="IB259" s="168"/>
      <c r="IC259" s="168"/>
      <c r="ID259" s="168"/>
      <c r="IE259" s="168"/>
      <c r="IF259" s="168"/>
      <c r="IG259" s="168"/>
      <c r="IH259" s="168"/>
      <c r="II259" s="168"/>
      <c r="IJ259" s="168"/>
      <c r="IK259" s="168"/>
      <c r="IL259" s="168"/>
      <c r="IM259" s="168"/>
      <c r="IN259" s="168"/>
      <c r="IO259" s="168"/>
      <c r="IP259" s="168"/>
      <c r="IQ259" s="168"/>
      <c r="IR259" s="168"/>
      <c r="IS259" s="168"/>
      <c r="IT259" s="168"/>
      <c r="IU259" s="168"/>
      <c r="IV259" s="168"/>
      <c r="IW259" s="168"/>
      <c r="IX259" s="168"/>
      <c r="IY259" s="168"/>
      <c r="IZ259" s="168"/>
      <c r="JA259" s="168"/>
      <c r="JB259" s="168"/>
      <c r="JC259" s="606"/>
      <c r="JD259" s="609"/>
      <c r="JE259" s="1"/>
      <c r="JF259" s="1"/>
    </row>
    <row r="260" spans="1:266" s="2" customFormat="1" ht="15" customHeight="1" x14ac:dyDescent="0.25">
      <c r="A260" s="283"/>
      <c r="B260" s="303"/>
      <c r="C260" s="301"/>
      <c r="D260" s="638"/>
      <c r="E260" s="2298"/>
      <c r="F260" s="1812"/>
      <c r="G260" s="3342"/>
      <c r="H260" s="66"/>
      <c r="I260" s="1746"/>
      <c r="J260" s="86"/>
      <c r="K260" s="105"/>
      <c r="L260" s="91"/>
      <c r="M260" s="92"/>
      <c r="N260" s="93"/>
      <c r="O260" s="94"/>
      <c r="P260" s="96"/>
      <c r="Q260" s="95"/>
      <c r="R260" s="993">
        <f t="shared" si="769"/>
        <v>0</v>
      </c>
      <c r="S260" s="23">
        <f t="shared" si="298"/>
        <v>0</v>
      </c>
      <c r="T260" s="24">
        <f t="shared" si="299"/>
        <v>0</v>
      </c>
      <c r="U260" s="24">
        <f t="shared" si="300"/>
        <v>0</v>
      </c>
      <c r="V260" s="24">
        <f t="shared" si="301"/>
        <v>0</v>
      </c>
      <c r="W260" s="24">
        <f t="shared" si="302"/>
        <v>0</v>
      </c>
      <c r="X260" s="72">
        <f t="shared" si="303"/>
        <v>0</v>
      </c>
      <c r="Y260" s="72">
        <f t="shared" si="304"/>
        <v>0</v>
      </c>
      <c r="Z260" s="24">
        <f t="shared" si="770"/>
        <v>0</v>
      </c>
      <c r="AA260" s="72">
        <f t="shared" si="305"/>
        <v>0</v>
      </c>
      <c r="AB260" s="24">
        <f t="shared" si="306"/>
        <v>0</v>
      </c>
      <c r="AC260" s="24" t="s">
        <v>5</v>
      </c>
      <c r="AD260" s="25">
        <f t="shared" si="764"/>
        <v>3</v>
      </c>
      <c r="AE260" s="25">
        <f t="shared" si="765"/>
        <v>0</v>
      </c>
      <c r="AF260" s="25">
        <f t="shared" si="766"/>
        <v>0</v>
      </c>
      <c r="AG260" s="25">
        <f t="shared" si="307"/>
        <v>1</v>
      </c>
      <c r="AH260" s="25" t="str">
        <f>IFERROR(MATCH(DY260,'2 Staff List'!$IA$64:$IA$114,0),"x")</f>
        <v>x</v>
      </c>
      <c r="AI260" s="1181">
        <f>IFERROR(INDEX('2 Staff List'!$EX$64:$EX$114,$AH260),0)</f>
        <v>0</v>
      </c>
      <c r="AJ260" s="25">
        <f>IFERROR(INDEX('2 Staff List'!$IW$64:$IW$114,$AH260),0)</f>
        <v>0</v>
      </c>
      <c r="AK260" s="25">
        <f>IFERROR(INDEX('2 Staff List'!$IB$64:$IB$114,$AH260),0)</f>
        <v>0</v>
      </c>
      <c r="AL260" s="25">
        <f>IF(OR(NOT(ISBLANK(DV260)),CX260=1),"&lt;Non-Labor&gt;",IFERROR(IF(AH260=0,0,INDEX('2 Staff List'!$HZ$64:$HZ$114,$AH260)),0))</f>
        <v>0</v>
      </c>
      <c r="AM260" s="25">
        <f>IFERROR(INDEX('2 Staff List'!$HW$64:$HW$114,$AH260),0)</f>
        <v>0</v>
      </c>
      <c r="AN260" s="25">
        <f t="shared" si="308"/>
        <v>1</v>
      </c>
      <c r="AO260" s="25">
        <f>IF($AO$127=0,0,IFERROR(INDEX('2 Staff List'!$JH$64:$JH$114,$AH260),0))</f>
        <v>0</v>
      </c>
      <c r="AP260" s="25">
        <f>IFERROR(INDEX('2 Staff List'!$HU$64:$HU$114,$AH260),0)</f>
        <v>0</v>
      </c>
      <c r="AQ260" s="25">
        <f t="shared" si="309"/>
        <v>0</v>
      </c>
      <c r="AR260" s="25">
        <f t="shared" si="310"/>
        <v>0</v>
      </c>
      <c r="AS260" s="25">
        <f t="shared" si="311"/>
        <v>0</v>
      </c>
      <c r="AT260" s="25">
        <f t="shared" si="312"/>
        <v>0</v>
      </c>
      <c r="AU260" s="25">
        <f t="shared" si="313"/>
        <v>0</v>
      </c>
      <c r="AV260" s="25">
        <f t="shared" si="314"/>
        <v>0</v>
      </c>
      <c r="AW260" s="25">
        <f t="shared" si="315"/>
        <v>0</v>
      </c>
      <c r="AX260" s="25">
        <f t="shared" si="316"/>
        <v>0</v>
      </c>
      <c r="AY260" s="25">
        <f t="shared" si="317"/>
        <v>0</v>
      </c>
      <c r="AZ260" s="25">
        <f t="shared" si="318"/>
        <v>0</v>
      </c>
      <c r="BA260" s="25">
        <f t="shared" si="319"/>
        <v>0</v>
      </c>
      <c r="BB260" s="25">
        <f t="shared" si="320"/>
        <v>0</v>
      </c>
      <c r="BC260" s="25">
        <f>IFERROR(INDEX('2 Staff List'!KS$64:KS$114,$AH260),0)</f>
        <v>0</v>
      </c>
      <c r="BD260" s="25">
        <f>IFERROR(INDEX('2 Staff List'!KT$64:KT$114,$AH260),0)</f>
        <v>0</v>
      </c>
      <c r="BE260" s="25">
        <f>IFERROR(INDEX('2 Staff List'!KU$64:KU$114,$AH260),0)</f>
        <v>0</v>
      </c>
      <c r="BF260" s="25">
        <f>IFERROR(INDEX('2 Staff List'!KV$64:KV$114,$AH260),0)</f>
        <v>0</v>
      </c>
      <c r="BG260" s="25">
        <f>IFERROR(INDEX('2 Staff List'!KW$64:KW$114,$AH260),0)</f>
        <v>0</v>
      </c>
      <c r="BH260" s="25">
        <f>IFERROR(INDEX('2 Staff List'!KX$64:KX$114,$AH260),0)</f>
        <v>0</v>
      </c>
      <c r="BI260" s="25">
        <f>IFERROR(INDEX('2 Staff List'!KY$64:KY$114,$AH260),0)</f>
        <v>0</v>
      </c>
      <c r="BJ260" s="25">
        <f>IFERROR(INDEX('2 Staff List'!KZ$64:KZ$114,$AH260),0)</f>
        <v>0</v>
      </c>
      <c r="BK260" s="25">
        <f>IFERROR(INDEX('2 Staff List'!LA$64:LA$114,$AH260),0)</f>
        <v>0</v>
      </c>
      <c r="BL260" s="25">
        <f>IFERROR(INDEX('2 Staff List'!LB$64:LB$114,$AH260),0)</f>
        <v>0</v>
      </c>
      <c r="BM260" s="25">
        <f>IFERROR(INDEX('2 Staff List'!FT$64:FT$114,$AH260),0)</f>
        <v>0</v>
      </c>
      <c r="BN260" s="25">
        <f>IFERROR(INDEX('2 Staff List'!FU$64:FU$114,$AH260),0)</f>
        <v>0</v>
      </c>
      <c r="BO260" s="25">
        <f>IFERROR(INDEX('2 Staff List'!FV$64:FV$114,$AH260),0)</f>
        <v>0</v>
      </c>
      <c r="BP260" s="25">
        <f>IFERROR(INDEX('2 Staff List'!FW$64:FW$114,$AH260),0)</f>
        <v>0</v>
      </c>
      <c r="BQ260" s="25">
        <f>IFERROR(INDEX('2 Staff List'!FX$64:FX$114,$AH260),0)</f>
        <v>0</v>
      </c>
      <c r="BR260" s="25">
        <f>IFERROR(INDEX('2 Staff List'!FY$64:FY$114,$AH260),0)</f>
        <v>0</v>
      </c>
      <c r="BS260" s="25">
        <f>IFERROR(INDEX('2 Staff List'!FZ$64:FZ$114,$AH260),0)</f>
        <v>0</v>
      </c>
      <c r="BT260" s="25">
        <f>IFERROR(INDEX('2 Staff List'!GA$64:GA$114,$AH260),0)</f>
        <v>0</v>
      </c>
      <c r="BU260" s="25">
        <f>IFERROR(INDEX('2 Staff List'!GB$64:GB$114,$AH260),0)</f>
        <v>0</v>
      </c>
      <c r="BV260" s="25">
        <f>IFERROR(INDEX('2 Staff List'!GC$64:GC$114,$AH260),0)</f>
        <v>0</v>
      </c>
      <c r="BW260" s="25">
        <f t="shared" si="321"/>
        <v>0</v>
      </c>
      <c r="BX260" s="25">
        <f t="shared" si="322"/>
        <v>0</v>
      </c>
      <c r="BY260" s="25">
        <f t="shared" si="323"/>
        <v>0</v>
      </c>
      <c r="BZ260" s="25">
        <f t="shared" si="324"/>
        <v>0</v>
      </c>
      <c r="CA260" s="25">
        <f t="shared" si="325"/>
        <v>0</v>
      </c>
      <c r="CB260" s="25">
        <f t="shared" si="326"/>
        <v>0</v>
      </c>
      <c r="CC260" s="25">
        <f t="shared" si="327"/>
        <v>0</v>
      </c>
      <c r="CD260" s="25">
        <f t="shared" si="328"/>
        <v>0</v>
      </c>
      <c r="CE260" s="25">
        <f t="shared" si="329"/>
        <v>0</v>
      </c>
      <c r="CF260" s="25">
        <f t="shared" si="330"/>
        <v>0</v>
      </c>
      <c r="CG260" s="25">
        <f t="shared" si="331"/>
        <v>0</v>
      </c>
      <c r="CH260" s="25">
        <f>IFERROR(INDEX('2 Staff List'!LO$64:LO$114,$AH260),0)</f>
        <v>0</v>
      </c>
      <c r="CI260" s="25">
        <f>IFERROR(INDEX('2 Staff List'!LP$64:LP$114,$AH260),0)</f>
        <v>0</v>
      </c>
      <c r="CJ260" s="25">
        <f>IFERROR(INDEX('2 Staff List'!LQ$64:LQ$114,$AH260),0)</f>
        <v>0</v>
      </c>
      <c r="CK260" s="25">
        <f>IFERROR(INDEX('2 Staff List'!LR$64:LR$114,$AH260),0)</f>
        <v>0</v>
      </c>
      <c r="CL260" s="25">
        <f>IFERROR(INDEX('2 Staff List'!LS$64:LS$114,$AH260),0)</f>
        <v>0</v>
      </c>
      <c r="CM260" s="25">
        <f>IFERROR(INDEX('2 Staff List'!LT$64:LT$114,$AH260),0)</f>
        <v>0</v>
      </c>
      <c r="CN260" s="25">
        <f>IFERROR(INDEX('2 Staff List'!LU$64:LU$114,$AH260),0)</f>
        <v>0</v>
      </c>
      <c r="CO260" s="25">
        <f>IFERROR(INDEX('2 Staff List'!LV$64:LV$114,$AH260),0)</f>
        <v>0</v>
      </c>
      <c r="CP260" s="25">
        <f>IFERROR(INDEX('2 Staff List'!LW$64:LW$114,$AH260),0)</f>
        <v>0</v>
      </c>
      <c r="CQ260" s="25">
        <f>IFERROR(INDEX('2 Staff List'!LX$64:LX$114,$AH260),0)</f>
        <v>0</v>
      </c>
      <c r="CR260" s="25">
        <f t="shared" si="771"/>
        <v>0</v>
      </c>
      <c r="CS260" s="25">
        <f t="shared" si="774"/>
        <v>1</v>
      </c>
      <c r="CT260" s="25">
        <f t="shared" si="333"/>
        <v>1</v>
      </c>
      <c r="CU260" s="25">
        <f t="shared" si="334"/>
        <v>1</v>
      </c>
      <c r="CV260" s="25">
        <f t="shared" si="335"/>
        <v>1</v>
      </c>
      <c r="CW260" s="25">
        <f t="shared" si="336"/>
        <v>1</v>
      </c>
      <c r="CX260" s="25">
        <f t="shared" si="337"/>
        <v>0</v>
      </c>
      <c r="CY260" s="25">
        <f t="shared" si="779"/>
        <v>0</v>
      </c>
      <c r="CZ260" s="25">
        <f t="shared" si="339"/>
        <v>0</v>
      </c>
      <c r="DA260" s="25">
        <f t="shared" si="340"/>
        <v>1</v>
      </c>
      <c r="DB260" s="25">
        <f t="shared" si="767"/>
        <v>1</v>
      </c>
      <c r="DC260" s="25">
        <f t="shared" si="341"/>
        <v>0</v>
      </c>
      <c r="DD260" s="25">
        <f>IF(OR($AD260&lt;&gt;3,F260="Exclude"),0,IF(ISERROR(MATCH($E260,'4 Sign-off'!$S$123:$X$123,0)),0,1))</f>
        <v>0</v>
      </c>
      <c r="DE260" s="25">
        <f t="shared" si="763"/>
        <v>0</v>
      </c>
      <c r="DF260" s="25">
        <f t="shared" si="342"/>
        <v>0</v>
      </c>
      <c r="DG260" s="25" t="str">
        <f t="shared" si="343"/>
        <v/>
      </c>
      <c r="DH260" s="25">
        <f t="shared" si="780"/>
        <v>0</v>
      </c>
      <c r="DI260" s="25">
        <f t="shared" si="778"/>
        <v>0</v>
      </c>
      <c r="DJ260" s="25">
        <f>IF(ISBLANK(J260),0,ISERROR(MATCH(J260,'5  Control Accounts'!$FA$29:$FA$96,0))*1)</f>
        <v>0</v>
      </c>
      <c r="DK260" s="25">
        <f t="shared" si="346"/>
        <v>0</v>
      </c>
      <c r="DL260" s="25">
        <f t="shared" si="768"/>
        <v>-1</v>
      </c>
      <c r="DM260" s="25" t="e">
        <f t="array" ref="DM260">MATCH(1,($EG260:$JD260&gt;0)*$EG$17:$JD$17,0)</f>
        <v>#N/A</v>
      </c>
      <c r="DN260" s="25" t="e">
        <f t="shared" si="775"/>
        <v>#N/A</v>
      </c>
      <c r="DO260" s="25" t="e">
        <f t="array" ref="DO260">MATCH(2,1/(EG260:JD260&gt;0))</f>
        <v>#N/A</v>
      </c>
      <c r="DP260" s="2993">
        <f t="shared" si="347"/>
        <v>0</v>
      </c>
      <c r="DQ260" s="3037">
        <f t="shared" si="348"/>
        <v>0</v>
      </c>
      <c r="DR260" s="111"/>
      <c r="DS260" s="1268">
        <f t="shared" si="743"/>
        <v>0</v>
      </c>
      <c r="DT260" s="1825"/>
      <c r="DU260" s="1826"/>
      <c r="DV260" s="1827"/>
      <c r="DW260" s="1828"/>
      <c r="DX260" s="659"/>
      <c r="DY260" s="1265"/>
      <c r="DZ260" s="1785">
        <f t="shared" si="772"/>
        <v>0</v>
      </c>
      <c r="EA260" s="1786">
        <f t="shared" si="773"/>
        <v>0</v>
      </c>
      <c r="EB260" s="1781">
        <f t="shared" si="776"/>
        <v>0</v>
      </c>
      <c r="EC260" s="1782">
        <f t="shared" si="777"/>
        <v>0</v>
      </c>
      <c r="ED260" s="1262"/>
      <c r="EE260" s="2280"/>
      <c r="EF260" s="1802"/>
      <c r="EG260" s="167"/>
      <c r="EH260" s="168"/>
      <c r="EI260" s="168"/>
      <c r="EJ260" s="168"/>
      <c r="EK260" s="168"/>
      <c r="EL260" s="168"/>
      <c r="EM260" s="168"/>
      <c r="EN260" s="168"/>
      <c r="EO260" s="168"/>
      <c r="EP260" s="168"/>
      <c r="EQ260" s="168"/>
      <c r="ER260" s="168"/>
      <c r="ES260" s="168"/>
      <c r="ET260" s="168"/>
      <c r="EU260" s="168"/>
      <c r="EV260" s="168"/>
      <c r="EW260" s="168"/>
      <c r="EX260" s="168"/>
      <c r="EY260" s="168"/>
      <c r="EZ260" s="168"/>
      <c r="FA260" s="168"/>
      <c r="FB260" s="168"/>
      <c r="FC260" s="168"/>
      <c r="FD260" s="168"/>
      <c r="FE260" s="168"/>
      <c r="FF260" s="168"/>
      <c r="FG260" s="168"/>
      <c r="FH260" s="168"/>
      <c r="FI260" s="168"/>
      <c r="FJ260" s="168"/>
      <c r="FK260" s="168"/>
      <c r="FL260" s="168"/>
      <c r="FM260" s="168"/>
      <c r="FN260" s="168"/>
      <c r="FO260" s="168"/>
      <c r="FP260" s="168"/>
      <c r="FQ260" s="168"/>
      <c r="FR260" s="168"/>
      <c r="FS260" s="168"/>
      <c r="FT260" s="168"/>
      <c r="FU260" s="168"/>
      <c r="FV260" s="168"/>
      <c r="FW260" s="168"/>
      <c r="FX260" s="168"/>
      <c r="FY260" s="168"/>
      <c r="FZ260" s="168"/>
      <c r="GA260" s="168"/>
      <c r="GB260" s="168"/>
      <c r="GC260" s="168"/>
      <c r="GD260" s="168"/>
      <c r="GE260" s="168"/>
      <c r="GF260" s="168"/>
      <c r="GG260" s="168"/>
      <c r="GH260" s="168"/>
      <c r="GI260" s="168"/>
      <c r="GJ260" s="168"/>
      <c r="GK260" s="168"/>
      <c r="GL260" s="168"/>
      <c r="GM260" s="168"/>
      <c r="GN260" s="168"/>
      <c r="GO260" s="168"/>
      <c r="GP260" s="168"/>
      <c r="GQ260" s="168"/>
      <c r="GR260" s="168"/>
      <c r="GS260" s="168"/>
      <c r="GT260" s="168"/>
      <c r="GU260" s="168"/>
      <c r="GV260" s="168"/>
      <c r="GW260" s="168"/>
      <c r="GX260" s="168"/>
      <c r="GY260" s="168"/>
      <c r="GZ260" s="168"/>
      <c r="HA260" s="168"/>
      <c r="HB260" s="168"/>
      <c r="HC260" s="168"/>
      <c r="HD260" s="168"/>
      <c r="HE260" s="168"/>
      <c r="HF260" s="168"/>
      <c r="HG260" s="168"/>
      <c r="HH260" s="168"/>
      <c r="HI260" s="168"/>
      <c r="HJ260" s="168"/>
      <c r="HK260" s="168"/>
      <c r="HL260" s="168"/>
      <c r="HM260" s="168"/>
      <c r="HN260" s="168"/>
      <c r="HO260" s="168"/>
      <c r="HP260" s="168"/>
      <c r="HQ260" s="168"/>
      <c r="HR260" s="168"/>
      <c r="HS260" s="168"/>
      <c r="HT260" s="168"/>
      <c r="HU260" s="168"/>
      <c r="HV260" s="168"/>
      <c r="HW260" s="168"/>
      <c r="HX260" s="168"/>
      <c r="HY260" s="168"/>
      <c r="HZ260" s="168"/>
      <c r="IA260" s="168"/>
      <c r="IB260" s="168"/>
      <c r="IC260" s="168"/>
      <c r="ID260" s="168"/>
      <c r="IE260" s="168"/>
      <c r="IF260" s="168"/>
      <c r="IG260" s="168"/>
      <c r="IH260" s="168"/>
      <c r="II260" s="168"/>
      <c r="IJ260" s="168"/>
      <c r="IK260" s="168"/>
      <c r="IL260" s="168"/>
      <c r="IM260" s="168"/>
      <c r="IN260" s="168"/>
      <c r="IO260" s="168"/>
      <c r="IP260" s="168"/>
      <c r="IQ260" s="168"/>
      <c r="IR260" s="168"/>
      <c r="IS260" s="168"/>
      <c r="IT260" s="168"/>
      <c r="IU260" s="168"/>
      <c r="IV260" s="168"/>
      <c r="IW260" s="168"/>
      <c r="IX260" s="168"/>
      <c r="IY260" s="168"/>
      <c r="IZ260" s="168"/>
      <c r="JA260" s="168"/>
      <c r="JB260" s="168"/>
      <c r="JC260" s="606"/>
      <c r="JD260" s="609"/>
      <c r="JE260" s="1"/>
      <c r="JF260" s="1"/>
    </row>
    <row r="261" spans="1:266" s="2" customFormat="1" ht="15" customHeight="1" x14ac:dyDescent="0.25">
      <c r="A261" s="283"/>
      <c r="B261" s="303"/>
      <c r="C261" s="301"/>
      <c r="D261" s="638"/>
      <c r="E261" s="2298"/>
      <c r="F261" s="1812"/>
      <c r="G261" s="3342"/>
      <c r="H261" s="66"/>
      <c r="I261" s="1746"/>
      <c r="J261" s="86"/>
      <c r="K261" s="105"/>
      <c r="L261" s="91"/>
      <c r="M261" s="92"/>
      <c r="N261" s="93"/>
      <c r="O261" s="94"/>
      <c r="P261" s="96"/>
      <c r="Q261" s="95"/>
      <c r="R261" s="993">
        <f t="shared" si="769"/>
        <v>0</v>
      </c>
      <c r="S261" s="23">
        <f t="shared" si="298"/>
        <v>0</v>
      </c>
      <c r="T261" s="24">
        <f t="shared" si="299"/>
        <v>0</v>
      </c>
      <c r="U261" s="24">
        <f t="shared" si="300"/>
        <v>0</v>
      </c>
      <c r="V261" s="24">
        <f t="shared" si="301"/>
        <v>0</v>
      </c>
      <c r="W261" s="24">
        <f t="shared" si="302"/>
        <v>0</v>
      </c>
      <c r="X261" s="72">
        <f t="shared" si="303"/>
        <v>0</v>
      </c>
      <c r="Y261" s="72">
        <f t="shared" si="304"/>
        <v>0</v>
      </c>
      <c r="Z261" s="24">
        <f t="shared" si="770"/>
        <v>0</v>
      </c>
      <c r="AA261" s="72">
        <f t="shared" si="305"/>
        <v>0</v>
      </c>
      <c r="AB261" s="24">
        <f t="shared" si="306"/>
        <v>0</v>
      </c>
      <c r="AC261" s="24" t="s">
        <v>5</v>
      </c>
      <c r="AD261" s="25">
        <f t="shared" si="764"/>
        <v>3</v>
      </c>
      <c r="AE261" s="25">
        <f t="shared" si="765"/>
        <v>0</v>
      </c>
      <c r="AF261" s="25">
        <f t="shared" si="766"/>
        <v>0</v>
      </c>
      <c r="AG261" s="25">
        <f t="shared" si="307"/>
        <v>1</v>
      </c>
      <c r="AH261" s="25" t="str">
        <f>IFERROR(MATCH(DY261,'2 Staff List'!$IA$64:$IA$114,0),"x")</f>
        <v>x</v>
      </c>
      <c r="AI261" s="1181">
        <f>IFERROR(INDEX('2 Staff List'!$EX$64:$EX$114,$AH261),0)</f>
        <v>0</v>
      </c>
      <c r="AJ261" s="25">
        <f>IFERROR(INDEX('2 Staff List'!$IW$64:$IW$114,$AH261),0)</f>
        <v>0</v>
      </c>
      <c r="AK261" s="25">
        <f>IFERROR(INDEX('2 Staff List'!$IB$64:$IB$114,$AH261),0)</f>
        <v>0</v>
      </c>
      <c r="AL261" s="25">
        <f>IF(OR(NOT(ISBLANK(DV261)),CX261=1),"&lt;Non-Labor&gt;",IFERROR(IF(AH261=0,0,INDEX('2 Staff List'!$HZ$64:$HZ$114,$AH261)),0))</f>
        <v>0</v>
      </c>
      <c r="AM261" s="25">
        <f>IFERROR(INDEX('2 Staff List'!$HW$64:$HW$114,$AH261),0)</f>
        <v>0</v>
      </c>
      <c r="AN261" s="25">
        <f t="shared" si="308"/>
        <v>1</v>
      </c>
      <c r="AO261" s="25">
        <f>IF($AO$127=0,0,IFERROR(INDEX('2 Staff List'!$JH$64:$JH$114,$AH261),0))</f>
        <v>0</v>
      </c>
      <c r="AP261" s="25">
        <f>IFERROR(INDEX('2 Staff List'!$HU$64:$HU$114,$AH261),0)</f>
        <v>0</v>
      </c>
      <c r="AQ261" s="25">
        <f t="shared" si="309"/>
        <v>0</v>
      </c>
      <c r="AR261" s="25">
        <f t="shared" si="310"/>
        <v>0</v>
      </c>
      <c r="AS261" s="25">
        <f t="shared" si="311"/>
        <v>0</v>
      </c>
      <c r="AT261" s="25">
        <f t="shared" si="312"/>
        <v>0</v>
      </c>
      <c r="AU261" s="25">
        <f t="shared" si="313"/>
        <v>0</v>
      </c>
      <c r="AV261" s="25">
        <f t="shared" si="314"/>
        <v>0</v>
      </c>
      <c r="AW261" s="25">
        <f t="shared" si="315"/>
        <v>0</v>
      </c>
      <c r="AX261" s="25">
        <f t="shared" si="316"/>
        <v>0</v>
      </c>
      <c r="AY261" s="25">
        <f t="shared" si="317"/>
        <v>0</v>
      </c>
      <c r="AZ261" s="25">
        <f t="shared" si="318"/>
        <v>0</v>
      </c>
      <c r="BA261" s="25">
        <f t="shared" si="319"/>
        <v>0</v>
      </c>
      <c r="BB261" s="25">
        <f t="shared" si="320"/>
        <v>0</v>
      </c>
      <c r="BC261" s="25">
        <f>IFERROR(INDEX('2 Staff List'!KS$64:KS$114,$AH261),0)</f>
        <v>0</v>
      </c>
      <c r="BD261" s="25">
        <f>IFERROR(INDEX('2 Staff List'!KT$64:KT$114,$AH261),0)</f>
        <v>0</v>
      </c>
      <c r="BE261" s="25">
        <f>IFERROR(INDEX('2 Staff List'!KU$64:KU$114,$AH261),0)</f>
        <v>0</v>
      </c>
      <c r="BF261" s="25">
        <f>IFERROR(INDEX('2 Staff List'!KV$64:KV$114,$AH261),0)</f>
        <v>0</v>
      </c>
      <c r="BG261" s="25">
        <f>IFERROR(INDEX('2 Staff List'!KW$64:KW$114,$AH261),0)</f>
        <v>0</v>
      </c>
      <c r="BH261" s="25">
        <f>IFERROR(INDEX('2 Staff List'!KX$64:KX$114,$AH261),0)</f>
        <v>0</v>
      </c>
      <c r="BI261" s="25">
        <f>IFERROR(INDEX('2 Staff List'!KY$64:KY$114,$AH261),0)</f>
        <v>0</v>
      </c>
      <c r="BJ261" s="25">
        <f>IFERROR(INDEX('2 Staff List'!KZ$64:KZ$114,$AH261),0)</f>
        <v>0</v>
      </c>
      <c r="BK261" s="25">
        <f>IFERROR(INDEX('2 Staff List'!LA$64:LA$114,$AH261),0)</f>
        <v>0</v>
      </c>
      <c r="BL261" s="25">
        <f>IFERROR(INDEX('2 Staff List'!LB$64:LB$114,$AH261),0)</f>
        <v>0</v>
      </c>
      <c r="BM261" s="25">
        <f>IFERROR(INDEX('2 Staff List'!FT$64:FT$114,$AH261),0)</f>
        <v>0</v>
      </c>
      <c r="BN261" s="25">
        <f>IFERROR(INDEX('2 Staff List'!FU$64:FU$114,$AH261),0)</f>
        <v>0</v>
      </c>
      <c r="BO261" s="25">
        <f>IFERROR(INDEX('2 Staff List'!FV$64:FV$114,$AH261),0)</f>
        <v>0</v>
      </c>
      <c r="BP261" s="25">
        <f>IFERROR(INDEX('2 Staff List'!FW$64:FW$114,$AH261),0)</f>
        <v>0</v>
      </c>
      <c r="BQ261" s="25">
        <f>IFERROR(INDEX('2 Staff List'!FX$64:FX$114,$AH261),0)</f>
        <v>0</v>
      </c>
      <c r="BR261" s="25">
        <f>IFERROR(INDEX('2 Staff List'!FY$64:FY$114,$AH261),0)</f>
        <v>0</v>
      </c>
      <c r="BS261" s="25">
        <f>IFERROR(INDEX('2 Staff List'!FZ$64:FZ$114,$AH261),0)</f>
        <v>0</v>
      </c>
      <c r="BT261" s="25">
        <f>IFERROR(INDEX('2 Staff List'!GA$64:GA$114,$AH261),0)</f>
        <v>0</v>
      </c>
      <c r="BU261" s="25">
        <f>IFERROR(INDEX('2 Staff List'!GB$64:GB$114,$AH261),0)</f>
        <v>0</v>
      </c>
      <c r="BV261" s="25">
        <f>IFERROR(INDEX('2 Staff List'!GC$64:GC$114,$AH261),0)</f>
        <v>0</v>
      </c>
      <c r="BW261" s="25">
        <f t="shared" si="321"/>
        <v>0</v>
      </c>
      <c r="BX261" s="25">
        <f t="shared" si="322"/>
        <v>0</v>
      </c>
      <c r="BY261" s="25">
        <f t="shared" si="323"/>
        <v>0</v>
      </c>
      <c r="BZ261" s="25">
        <f t="shared" si="324"/>
        <v>0</v>
      </c>
      <c r="CA261" s="25">
        <f t="shared" si="325"/>
        <v>0</v>
      </c>
      <c r="CB261" s="25">
        <f t="shared" si="326"/>
        <v>0</v>
      </c>
      <c r="CC261" s="25">
        <f t="shared" si="327"/>
        <v>0</v>
      </c>
      <c r="CD261" s="25">
        <f t="shared" si="328"/>
        <v>0</v>
      </c>
      <c r="CE261" s="25">
        <f t="shared" si="329"/>
        <v>0</v>
      </c>
      <c r="CF261" s="25">
        <f t="shared" si="330"/>
        <v>0</v>
      </c>
      <c r="CG261" s="25">
        <f t="shared" si="331"/>
        <v>0</v>
      </c>
      <c r="CH261" s="25">
        <f>IFERROR(INDEX('2 Staff List'!LO$64:LO$114,$AH261),0)</f>
        <v>0</v>
      </c>
      <c r="CI261" s="25">
        <f>IFERROR(INDEX('2 Staff List'!LP$64:LP$114,$AH261),0)</f>
        <v>0</v>
      </c>
      <c r="CJ261" s="25">
        <f>IFERROR(INDEX('2 Staff List'!LQ$64:LQ$114,$AH261),0)</f>
        <v>0</v>
      </c>
      <c r="CK261" s="25">
        <f>IFERROR(INDEX('2 Staff List'!LR$64:LR$114,$AH261),0)</f>
        <v>0</v>
      </c>
      <c r="CL261" s="25">
        <f>IFERROR(INDEX('2 Staff List'!LS$64:LS$114,$AH261),0)</f>
        <v>0</v>
      </c>
      <c r="CM261" s="25">
        <f>IFERROR(INDEX('2 Staff List'!LT$64:LT$114,$AH261),0)</f>
        <v>0</v>
      </c>
      <c r="CN261" s="25">
        <f>IFERROR(INDEX('2 Staff List'!LU$64:LU$114,$AH261),0)</f>
        <v>0</v>
      </c>
      <c r="CO261" s="25">
        <f>IFERROR(INDEX('2 Staff List'!LV$64:LV$114,$AH261),0)</f>
        <v>0</v>
      </c>
      <c r="CP261" s="25">
        <f>IFERROR(INDEX('2 Staff List'!LW$64:LW$114,$AH261),0)</f>
        <v>0</v>
      </c>
      <c r="CQ261" s="25">
        <f>IFERROR(INDEX('2 Staff List'!LX$64:LX$114,$AH261),0)</f>
        <v>0</v>
      </c>
      <c r="CR261" s="25">
        <f t="shared" si="771"/>
        <v>0</v>
      </c>
      <c r="CS261" s="25">
        <f t="shared" si="774"/>
        <v>1</v>
      </c>
      <c r="CT261" s="25">
        <f t="shared" si="333"/>
        <v>1</v>
      </c>
      <c r="CU261" s="25">
        <f t="shared" si="334"/>
        <v>1</v>
      </c>
      <c r="CV261" s="25">
        <f t="shared" si="335"/>
        <v>1</v>
      </c>
      <c r="CW261" s="25">
        <f t="shared" si="336"/>
        <v>1</v>
      </c>
      <c r="CX261" s="25">
        <f t="shared" si="337"/>
        <v>0</v>
      </c>
      <c r="CY261" s="25">
        <f t="shared" si="779"/>
        <v>0</v>
      </c>
      <c r="CZ261" s="25">
        <f t="shared" si="339"/>
        <v>0</v>
      </c>
      <c r="DA261" s="25">
        <f t="shared" si="340"/>
        <v>1</v>
      </c>
      <c r="DB261" s="25">
        <f t="shared" si="767"/>
        <v>1</v>
      </c>
      <c r="DC261" s="25">
        <f t="shared" si="341"/>
        <v>0</v>
      </c>
      <c r="DD261" s="25">
        <f>IF(OR($AD261&lt;&gt;3,F261="Exclude"),0,IF(ISERROR(MATCH($E261,'4 Sign-off'!$S$123:$X$123,0)),0,1))</f>
        <v>0</v>
      </c>
      <c r="DE261" s="25">
        <f t="shared" si="763"/>
        <v>0</v>
      </c>
      <c r="DF261" s="25">
        <f t="shared" si="342"/>
        <v>0</v>
      </c>
      <c r="DG261" s="25" t="str">
        <f t="shared" si="343"/>
        <v/>
      </c>
      <c r="DH261" s="25">
        <f t="shared" si="780"/>
        <v>0</v>
      </c>
      <c r="DI261" s="25">
        <f t="shared" si="778"/>
        <v>0</v>
      </c>
      <c r="DJ261" s="25">
        <f>IF(ISBLANK(J261),0,ISERROR(MATCH(J261,'5  Control Accounts'!$FA$29:$FA$96,0))*1)</f>
        <v>0</v>
      </c>
      <c r="DK261" s="25">
        <f t="shared" si="346"/>
        <v>0</v>
      </c>
      <c r="DL261" s="25">
        <f t="shared" si="768"/>
        <v>-1</v>
      </c>
      <c r="DM261" s="25" t="e">
        <f t="array" ref="DM261">MATCH(1,($EG261:$JD261&gt;0)*$EG$17:$JD$17,0)</f>
        <v>#N/A</v>
      </c>
      <c r="DN261" s="25" t="e">
        <f t="shared" si="775"/>
        <v>#N/A</v>
      </c>
      <c r="DO261" s="25" t="e">
        <f t="array" ref="DO261">MATCH(2,1/(EG261:JD261&gt;0))</f>
        <v>#N/A</v>
      </c>
      <c r="DP261" s="2993">
        <f t="shared" si="347"/>
        <v>0</v>
      </c>
      <c r="DQ261" s="3037">
        <f t="shared" si="348"/>
        <v>0</v>
      </c>
      <c r="DR261" s="111"/>
      <c r="DS261" s="1268">
        <f t="shared" si="743"/>
        <v>0</v>
      </c>
      <c r="DT261" s="1825"/>
      <c r="DU261" s="1826"/>
      <c r="DV261" s="1827"/>
      <c r="DW261" s="1828"/>
      <c r="DX261" s="659"/>
      <c r="DY261" s="1265"/>
      <c r="DZ261" s="1785">
        <f t="shared" si="772"/>
        <v>0</v>
      </c>
      <c r="EA261" s="1786">
        <f t="shared" si="773"/>
        <v>0</v>
      </c>
      <c r="EB261" s="1781">
        <f t="shared" si="776"/>
        <v>0</v>
      </c>
      <c r="EC261" s="1782">
        <f t="shared" si="777"/>
        <v>0</v>
      </c>
      <c r="ED261" s="1262"/>
      <c r="EE261" s="2280"/>
      <c r="EF261" s="1802"/>
      <c r="EG261" s="167"/>
      <c r="EH261" s="168"/>
      <c r="EI261" s="168"/>
      <c r="EJ261" s="168"/>
      <c r="EK261" s="168"/>
      <c r="EL261" s="168"/>
      <c r="EM261" s="168"/>
      <c r="EN261" s="168"/>
      <c r="EO261" s="168"/>
      <c r="EP261" s="168"/>
      <c r="EQ261" s="168"/>
      <c r="ER261" s="168"/>
      <c r="ES261" s="168"/>
      <c r="ET261" s="168"/>
      <c r="EU261" s="168"/>
      <c r="EV261" s="168"/>
      <c r="EW261" s="168"/>
      <c r="EX261" s="168"/>
      <c r="EY261" s="168"/>
      <c r="EZ261" s="168"/>
      <c r="FA261" s="168"/>
      <c r="FB261" s="168"/>
      <c r="FC261" s="168"/>
      <c r="FD261" s="168"/>
      <c r="FE261" s="168"/>
      <c r="FF261" s="168"/>
      <c r="FG261" s="168"/>
      <c r="FH261" s="168"/>
      <c r="FI261" s="168"/>
      <c r="FJ261" s="168"/>
      <c r="FK261" s="168"/>
      <c r="FL261" s="168"/>
      <c r="FM261" s="168"/>
      <c r="FN261" s="168"/>
      <c r="FO261" s="168"/>
      <c r="FP261" s="168"/>
      <c r="FQ261" s="168"/>
      <c r="FR261" s="168"/>
      <c r="FS261" s="168"/>
      <c r="FT261" s="168"/>
      <c r="FU261" s="168"/>
      <c r="FV261" s="168"/>
      <c r="FW261" s="168"/>
      <c r="FX261" s="168"/>
      <c r="FY261" s="168"/>
      <c r="FZ261" s="168"/>
      <c r="GA261" s="168"/>
      <c r="GB261" s="168"/>
      <c r="GC261" s="168"/>
      <c r="GD261" s="168"/>
      <c r="GE261" s="168"/>
      <c r="GF261" s="168"/>
      <c r="GG261" s="168"/>
      <c r="GH261" s="168"/>
      <c r="GI261" s="168"/>
      <c r="GJ261" s="168"/>
      <c r="GK261" s="168"/>
      <c r="GL261" s="168"/>
      <c r="GM261" s="168"/>
      <c r="GN261" s="168"/>
      <c r="GO261" s="168"/>
      <c r="GP261" s="168"/>
      <c r="GQ261" s="168"/>
      <c r="GR261" s="168"/>
      <c r="GS261" s="168"/>
      <c r="GT261" s="168"/>
      <c r="GU261" s="168"/>
      <c r="GV261" s="168"/>
      <c r="GW261" s="168"/>
      <c r="GX261" s="168"/>
      <c r="GY261" s="168"/>
      <c r="GZ261" s="168"/>
      <c r="HA261" s="168"/>
      <c r="HB261" s="168"/>
      <c r="HC261" s="168"/>
      <c r="HD261" s="168"/>
      <c r="HE261" s="168"/>
      <c r="HF261" s="168"/>
      <c r="HG261" s="168"/>
      <c r="HH261" s="168"/>
      <c r="HI261" s="168"/>
      <c r="HJ261" s="168"/>
      <c r="HK261" s="168"/>
      <c r="HL261" s="168"/>
      <c r="HM261" s="168"/>
      <c r="HN261" s="168"/>
      <c r="HO261" s="168"/>
      <c r="HP261" s="168"/>
      <c r="HQ261" s="168"/>
      <c r="HR261" s="168"/>
      <c r="HS261" s="168"/>
      <c r="HT261" s="168"/>
      <c r="HU261" s="168"/>
      <c r="HV261" s="168"/>
      <c r="HW261" s="168"/>
      <c r="HX261" s="168"/>
      <c r="HY261" s="168"/>
      <c r="HZ261" s="168"/>
      <c r="IA261" s="168"/>
      <c r="IB261" s="168"/>
      <c r="IC261" s="168"/>
      <c r="ID261" s="168"/>
      <c r="IE261" s="168"/>
      <c r="IF261" s="168"/>
      <c r="IG261" s="168"/>
      <c r="IH261" s="168"/>
      <c r="II261" s="168"/>
      <c r="IJ261" s="168"/>
      <c r="IK261" s="168"/>
      <c r="IL261" s="168"/>
      <c r="IM261" s="168"/>
      <c r="IN261" s="168"/>
      <c r="IO261" s="168"/>
      <c r="IP261" s="168"/>
      <c r="IQ261" s="168"/>
      <c r="IR261" s="168"/>
      <c r="IS261" s="168"/>
      <c r="IT261" s="168"/>
      <c r="IU261" s="168"/>
      <c r="IV261" s="168"/>
      <c r="IW261" s="168"/>
      <c r="IX261" s="168"/>
      <c r="IY261" s="168"/>
      <c r="IZ261" s="168"/>
      <c r="JA261" s="168"/>
      <c r="JB261" s="168"/>
      <c r="JC261" s="606"/>
      <c r="JD261" s="609"/>
      <c r="JE261" s="1"/>
      <c r="JF261" s="1"/>
    </row>
    <row r="262" spans="1:266" s="2" customFormat="1" ht="15" customHeight="1" x14ac:dyDescent="0.25">
      <c r="A262" s="283"/>
      <c r="B262" s="303"/>
      <c r="C262" s="301"/>
      <c r="D262" s="638"/>
      <c r="E262" s="2298"/>
      <c r="F262" s="1812"/>
      <c r="G262" s="3342"/>
      <c r="H262" s="66"/>
      <c r="I262" s="1746"/>
      <c r="J262" s="86"/>
      <c r="K262" s="105"/>
      <c r="L262" s="91"/>
      <c r="M262" s="92"/>
      <c r="N262" s="93"/>
      <c r="O262" s="94"/>
      <c r="P262" s="96"/>
      <c r="Q262" s="95"/>
      <c r="R262" s="993">
        <f t="shared" si="769"/>
        <v>0</v>
      </c>
      <c r="S262" s="23">
        <f t="shared" si="298"/>
        <v>0</v>
      </c>
      <c r="T262" s="24">
        <f t="shared" si="299"/>
        <v>0</v>
      </c>
      <c r="U262" s="24">
        <f t="shared" si="300"/>
        <v>0</v>
      </c>
      <c r="V262" s="24">
        <f t="shared" si="301"/>
        <v>0</v>
      </c>
      <c r="W262" s="24">
        <f t="shared" si="302"/>
        <v>0</v>
      </c>
      <c r="X262" s="72">
        <f t="shared" si="303"/>
        <v>0</v>
      </c>
      <c r="Y262" s="72">
        <f t="shared" si="304"/>
        <v>0</v>
      </c>
      <c r="Z262" s="24">
        <f t="shared" si="770"/>
        <v>0</v>
      </c>
      <c r="AA262" s="72">
        <f t="shared" si="305"/>
        <v>0</v>
      </c>
      <c r="AB262" s="24">
        <f t="shared" si="306"/>
        <v>0</v>
      </c>
      <c r="AC262" s="24" t="s">
        <v>5</v>
      </c>
      <c r="AD262" s="25">
        <f t="shared" si="764"/>
        <v>3</v>
      </c>
      <c r="AE262" s="25">
        <f t="shared" si="765"/>
        <v>0</v>
      </c>
      <c r="AF262" s="25">
        <f t="shared" si="766"/>
        <v>0</v>
      </c>
      <c r="AG262" s="25">
        <f t="shared" si="307"/>
        <v>1</v>
      </c>
      <c r="AH262" s="25" t="str">
        <f>IFERROR(MATCH(DY262,'2 Staff List'!$IA$64:$IA$114,0),"x")</f>
        <v>x</v>
      </c>
      <c r="AI262" s="1181">
        <f>IFERROR(INDEX('2 Staff List'!$EX$64:$EX$114,$AH262),0)</f>
        <v>0</v>
      </c>
      <c r="AJ262" s="25">
        <f>IFERROR(INDEX('2 Staff List'!$IW$64:$IW$114,$AH262),0)</f>
        <v>0</v>
      </c>
      <c r="AK262" s="25">
        <f>IFERROR(INDEX('2 Staff List'!$IB$64:$IB$114,$AH262),0)</f>
        <v>0</v>
      </c>
      <c r="AL262" s="25">
        <f>IF(OR(NOT(ISBLANK(DV262)),CX262=1),"&lt;Non-Labor&gt;",IFERROR(IF(AH262=0,0,INDEX('2 Staff List'!$HZ$64:$HZ$114,$AH262)),0))</f>
        <v>0</v>
      </c>
      <c r="AM262" s="25">
        <f>IFERROR(INDEX('2 Staff List'!$HW$64:$HW$114,$AH262),0)</f>
        <v>0</v>
      </c>
      <c r="AN262" s="25">
        <f t="shared" si="308"/>
        <v>1</v>
      </c>
      <c r="AO262" s="25">
        <f>IF($AO$127=0,0,IFERROR(INDEX('2 Staff List'!$JH$64:$JH$114,$AH262),0))</f>
        <v>0</v>
      </c>
      <c r="AP262" s="25">
        <f>IFERROR(INDEX('2 Staff List'!$HU$64:$HU$114,$AH262),0)</f>
        <v>0</v>
      </c>
      <c r="AQ262" s="25">
        <f t="shared" si="309"/>
        <v>0</v>
      </c>
      <c r="AR262" s="25">
        <f t="shared" si="310"/>
        <v>0</v>
      </c>
      <c r="AS262" s="25">
        <f t="shared" si="311"/>
        <v>0</v>
      </c>
      <c r="AT262" s="25">
        <f t="shared" si="312"/>
        <v>0</v>
      </c>
      <c r="AU262" s="25">
        <f t="shared" si="313"/>
        <v>0</v>
      </c>
      <c r="AV262" s="25">
        <f t="shared" si="314"/>
        <v>0</v>
      </c>
      <c r="AW262" s="25">
        <f t="shared" si="315"/>
        <v>0</v>
      </c>
      <c r="AX262" s="25">
        <f t="shared" si="316"/>
        <v>0</v>
      </c>
      <c r="AY262" s="25">
        <f t="shared" si="317"/>
        <v>0</v>
      </c>
      <c r="AZ262" s="25">
        <f t="shared" si="318"/>
        <v>0</v>
      </c>
      <c r="BA262" s="25">
        <f t="shared" si="319"/>
        <v>0</v>
      </c>
      <c r="BB262" s="25">
        <f t="shared" si="320"/>
        <v>0</v>
      </c>
      <c r="BC262" s="25">
        <f>IFERROR(INDEX('2 Staff List'!KS$64:KS$114,$AH262),0)</f>
        <v>0</v>
      </c>
      <c r="BD262" s="25">
        <f>IFERROR(INDEX('2 Staff List'!KT$64:KT$114,$AH262),0)</f>
        <v>0</v>
      </c>
      <c r="BE262" s="25">
        <f>IFERROR(INDEX('2 Staff List'!KU$64:KU$114,$AH262),0)</f>
        <v>0</v>
      </c>
      <c r="BF262" s="25">
        <f>IFERROR(INDEX('2 Staff List'!KV$64:KV$114,$AH262),0)</f>
        <v>0</v>
      </c>
      <c r="BG262" s="25">
        <f>IFERROR(INDEX('2 Staff List'!KW$64:KW$114,$AH262),0)</f>
        <v>0</v>
      </c>
      <c r="BH262" s="25">
        <f>IFERROR(INDEX('2 Staff List'!KX$64:KX$114,$AH262),0)</f>
        <v>0</v>
      </c>
      <c r="BI262" s="25">
        <f>IFERROR(INDEX('2 Staff List'!KY$64:KY$114,$AH262),0)</f>
        <v>0</v>
      </c>
      <c r="BJ262" s="25">
        <f>IFERROR(INDEX('2 Staff List'!KZ$64:KZ$114,$AH262),0)</f>
        <v>0</v>
      </c>
      <c r="BK262" s="25">
        <f>IFERROR(INDEX('2 Staff List'!LA$64:LA$114,$AH262),0)</f>
        <v>0</v>
      </c>
      <c r="BL262" s="25">
        <f>IFERROR(INDEX('2 Staff List'!LB$64:LB$114,$AH262),0)</f>
        <v>0</v>
      </c>
      <c r="BM262" s="25">
        <f>IFERROR(INDEX('2 Staff List'!FT$64:FT$114,$AH262),0)</f>
        <v>0</v>
      </c>
      <c r="BN262" s="25">
        <f>IFERROR(INDEX('2 Staff List'!FU$64:FU$114,$AH262),0)</f>
        <v>0</v>
      </c>
      <c r="BO262" s="25">
        <f>IFERROR(INDEX('2 Staff List'!FV$64:FV$114,$AH262),0)</f>
        <v>0</v>
      </c>
      <c r="BP262" s="25">
        <f>IFERROR(INDEX('2 Staff List'!FW$64:FW$114,$AH262),0)</f>
        <v>0</v>
      </c>
      <c r="BQ262" s="25">
        <f>IFERROR(INDEX('2 Staff List'!FX$64:FX$114,$AH262),0)</f>
        <v>0</v>
      </c>
      <c r="BR262" s="25">
        <f>IFERROR(INDEX('2 Staff List'!FY$64:FY$114,$AH262),0)</f>
        <v>0</v>
      </c>
      <c r="BS262" s="25">
        <f>IFERROR(INDEX('2 Staff List'!FZ$64:FZ$114,$AH262),0)</f>
        <v>0</v>
      </c>
      <c r="BT262" s="25">
        <f>IFERROR(INDEX('2 Staff List'!GA$64:GA$114,$AH262),0)</f>
        <v>0</v>
      </c>
      <c r="BU262" s="25">
        <f>IFERROR(INDEX('2 Staff List'!GB$64:GB$114,$AH262),0)</f>
        <v>0</v>
      </c>
      <c r="BV262" s="25">
        <f>IFERROR(INDEX('2 Staff List'!GC$64:GC$114,$AH262),0)</f>
        <v>0</v>
      </c>
      <c r="BW262" s="25">
        <f t="shared" si="321"/>
        <v>0</v>
      </c>
      <c r="BX262" s="25">
        <f t="shared" si="322"/>
        <v>0</v>
      </c>
      <c r="BY262" s="25">
        <f t="shared" si="323"/>
        <v>0</v>
      </c>
      <c r="BZ262" s="25">
        <f t="shared" si="324"/>
        <v>0</v>
      </c>
      <c r="CA262" s="25">
        <f t="shared" si="325"/>
        <v>0</v>
      </c>
      <c r="CB262" s="25">
        <f t="shared" si="326"/>
        <v>0</v>
      </c>
      <c r="CC262" s="25">
        <f t="shared" si="327"/>
        <v>0</v>
      </c>
      <c r="CD262" s="25">
        <f t="shared" si="328"/>
        <v>0</v>
      </c>
      <c r="CE262" s="25">
        <f t="shared" si="329"/>
        <v>0</v>
      </c>
      <c r="CF262" s="25">
        <f t="shared" si="330"/>
        <v>0</v>
      </c>
      <c r="CG262" s="25">
        <f t="shared" si="331"/>
        <v>0</v>
      </c>
      <c r="CH262" s="25">
        <f>IFERROR(INDEX('2 Staff List'!LO$64:LO$114,$AH262),0)</f>
        <v>0</v>
      </c>
      <c r="CI262" s="25">
        <f>IFERROR(INDEX('2 Staff List'!LP$64:LP$114,$AH262),0)</f>
        <v>0</v>
      </c>
      <c r="CJ262" s="25">
        <f>IFERROR(INDEX('2 Staff List'!LQ$64:LQ$114,$AH262),0)</f>
        <v>0</v>
      </c>
      <c r="CK262" s="25">
        <f>IFERROR(INDEX('2 Staff List'!LR$64:LR$114,$AH262),0)</f>
        <v>0</v>
      </c>
      <c r="CL262" s="25">
        <f>IFERROR(INDEX('2 Staff List'!LS$64:LS$114,$AH262),0)</f>
        <v>0</v>
      </c>
      <c r="CM262" s="25">
        <f>IFERROR(INDEX('2 Staff List'!LT$64:LT$114,$AH262),0)</f>
        <v>0</v>
      </c>
      <c r="CN262" s="25">
        <f>IFERROR(INDEX('2 Staff List'!LU$64:LU$114,$AH262),0)</f>
        <v>0</v>
      </c>
      <c r="CO262" s="25">
        <f>IFERROR(INDEX('2 Staff List'!LV$64:LV$114,$AH262),0)</f>
        <v>0</v>
      </c>
      <c r="CP262" s="25">
        <f>IFERROR(INDEX('2 Staff List'!LW$64:LW$114,$AH262),0)</f>
        <v>0</v>
      </c>
      <c r="CQ262" s="25">
        <f>IFERROR(INDEX('2 Staff List'!LX$64:LX$114,$AH262),0)</f>
        <v>0</v>
      </c>
      <c r="CR262" s="25">
        <f t="shared" si="771"/>
        <v>0</v>
      </c>
      <c r="CS262" s="25">
        <f t="shared" si="774"/>
        <v>1</v>
      </c>
      <c r="CT262" s="25">
        <f t="shared" si="333"/>
        <v>1</v>
      </c>
      <c r="CU262" s="25">
        <f t="shared" si="334"/>
        <v>1</v>
      </c>
      <c r="CV262" s="25">
        <f t="shared" si="335"/>
        <v>1</v>
      </c>
      <c r="CW262" s="25">
        <f t="shared" si="336"/>
        <v>1</v>
      </c>
      <c r="CX262" s="25">
        <f t="shared" si="337"/>
        <v>0</v>
      </c>
      <c r="CY262" s="25">
        <f t="shared" si="779"/>
        <v>0</v>
      </c>
      <c r="CZ262" s="25">
        <f t="shared" si="339"/>
        <v>0</v>
      </c>
      <c r="DA262" s="25">
        <f t="shared" si="340"/>
        <v>1</v>
      </c>
      <c r="DB262" s="25">
        <f t="shared" si="767"/>
        <v>1</v>
      </c>
      <c r="DC262" s="25">
        <f t="shared" si="341"/>
        <v>0</v>
      </c>
      <c r="DD262" s="25">
        <f>IF(OR($AD262&lt;&gt;3,F262="Exclude"),0,IF(ISERROR(MATCH($E262,'4 Sign-off'!$S$123:$X$123,0)),0,1))</f>
        <v>0</v>
      </c>
      <c r="DE262" s="25">
        <f t="shared" si="763"/>
        <v>0</v>
      </c>
      <c r="DF262" s="25">
        <f t="shared" si="342"/>
        <v>0</v>
      </c>
      <c r="DG262" s="25" t="str">
        <f t="shared" si="343"/>
        <v/>
      </c>
      <c r="DH262" s="25">
        <f t="shared" si="780"/>
        <v>0</v>
      </c>
      <c r="DI262" s="25">
        <f t="shared" si="778"/>
        <v>0</v>
      </c>
      <c r="DJ262" s="25">
        <f>IF(ISBLANK(J262),0,ISERROR(MATCH(J262,'5  Control Accounts'!$FA$29:$FA$96,0))*1)</f>
        <v>0</v>
      </c>
      <c r="DK262" s="25">
        <f t="shared" si="346"/>
        <v>0</v>
      </c>
      <c r="DL262" s="25">
        <f t="shared" si="768"/>
        <v>-1</v>
      </c>
      <c r="DM262" s="25" t="e">
        <f t="array" ref="DM262">MATCH(1,($EG262:$JD262&gt;0)*$EG$17:$JD$17,0)</f>
        <v>#N/A</v>
      </c>
      <c r="DN262" s="25" t="e">
        <f t="shared" si="775"/>
        <v>#N/A</v>
      </c>
      <c r="DO262" s="25" t="e">
        <f t="array" ref="DO262">MATCH(2,1/(EG262:JD262&gt;0))</f>
        <v>#N/A</v>
      </c>
      <c r="DP262" s="2993">
        <f t="shared" si="347"/>
        <v>0</v>
      </c>
      <c r="DQ262" s="3037">
        <f t="shared" si="348"/>
        <v>0</v>
      </c>
      <c r="DR262" s="111"/>
      <c r="DS262" s="1268">
        <f t="shared" ref="DS262:DS296" si="781">N262</f>
        <v>0</v>
      </c>
      <c r="DT262" s="1825"/>
      <c r="DU262" s="1826"/>
      <c r="DV262" s="1827"/>
      <c r="DW262" s="1828"/>
      <c r="DX262" s="659"/>
      <c r="DY262" s="1265"/>
      <c r="DZ262" s="1785">
        <f t="shared" si="772"/>
        <v>0</v>
      </c>
      <c r="EA262" s="1786">
        <f t="shared" si="773"/>
        <v>0</v>
      </c>
      <c r="EB262" s="1781">
        <f t="shared" si="776"/>
        <v>0</v>
      </c>
      <c r="EC262" s="1782">
        <f t="shared" si="777"/>
        <v>0</v>
      </c>
      <c r="ED262" s="1262"/>
      <c r="EE262" s="2280"/>
      <c r="EF262" s="1802"/>
      <c r="EG262" s="167"/>
      <c r="EH262" s="168"/>
      <c r="EI262" s="168"/>
      <c r="EJ262" s="168"/>
      <c r="EK262" s="168"/>
      <c r="EL262" s="168"/>
      <c r="EM262" s="168"/>
      <c r="EN262" s="168"/>
      <c r="EO262" s="168"/>
      <c r="EP262" s="168"/>
      <c r="EQ262" s="168"/>
      <c r="ER262" s="168"/>
      <c r="ES262" s="168"/>
      <c r="ET262" s="168"/>
      <c r="EU262" s="168"/>
      <c r="EV262" s="168"/>
      <c r="EW262" s="168"/>
      <c r="EX262" s="168"/>
      <c r="EY262" s="168"/>
      <c r="EZ262" s="168"/>
      <c r="FA262" s="168"/>
      <c r="FB262" s="168"/>
      <c r="FC262" s="168"/>
      <c r="FD262" s="168"/>
      <c r="FE262" s="168"/>
      <c r="FF262" s="168"/>
      <c r="FG262" s="168"/>
      <c r="FH262" s="168"/>
      <c r="FI262" s="168"/>
      <c r="FJ262" s="168"/>
      <c r="FK262" s="168"/>
      <c r="FL262" s="168"/>
      <c r="FM262" s="168"/>
      <c r="FN262" s="168"/>
      <c r="FO262" s="168"/>
      <c r="FP262" s="168"/>
      <c r="FQ262" s="168"/>
      <c r="FR262" s="168"/>
      <c r="FS262" s="168"/>
      <c r="FT262" s="168"/>
      <c r="FU262" s="168"/>
      <c r="FV262" s="168"/>
      <c r="FW262" s="168"/>
      <c r="FX262" s="168"/>
      <c r="FY262" s="168"/>
      <c r="FZ262" s="168"/>
      <c r="GA262" s="168"/>
      <c r="GB262" s="168"/>
      <c r="GC262" s="168"/>
      <c r="GD262" s="168"/>
      <c r="GE262" s="168"/>
      <c r="GF262" s="168"/>
      <c r="GG262" s="168"/>
      <c r="GH262" s="168"/>
      <c r="GI262" s="168"/>
      <c r="GJ262" s="168"/>
      <c r="GK262" s="168"/>
      <c r="GL262" s="168"/>
      <c r="GM262" s="168"/>
      <c r="GN262" s="168"/>
      <c r="GO262" s="168"/>
      <c r="GP262" s="168"/>
      <c r="GQ262" s="168"/>
      <c r="GR262" s="168"/>
      <c r="GS262" s="168"/>
      <c r="GT262" s="168"/>
      <c r="GU262" s="168"/>
      <c r="GV262" s="168"/>
      <c r="GW262" s="168"/>
      <c r="GX262" s="168"/>
      <c r="GY262" s="168"/>
      <c r="GZ262" s="168"/>
      <c r="HA262" s="168"/>
      <c r="HB262" s="168"/>
      <c r="HC262" s="168"/>
      <c r="HD262" s="168"/>
      <c r="HE262" s="168"/>
      <c r="HF262" s="168"/>
      <c r="HG262" s="168"/>
      <c r="HH262" s="168"/>
      <c r="HI262" s="168"/>
      <c r="HJ262" s="168"/>
      <c r="HK262" s="168"/>
      <c r="HL262" s="168"/>
      <c r="HM262" s="168"/>
      <c r="HN262" s="168"/>
      <c r="HO262" s="168"/>
      <c r="HP262" s="168"/>
      <c r="HQ262" s="168"/>
      <c r="HR262" s="168"/>
      <c r="HS262" s="168"/>
      <c r="HT262" s="168"/>
      <c r="HU262" s="168"/>
      <c r="HV262" s="168"/>
      <c r="HW262" s="168"/>
      <c r="HX262" s="168"/>
      <c r="HY262" s="168"/>
      <c r="HZ262" s="168"/>
      <c r="IA262" s="168"/>
      <c r="IB262" s="168"/>
      <c r="IC262" s="168"/>
      <c r="ID262" s="168"/>
      <c r="IE262" s="168"/>
      <c r="IF262" s="168"/>
      <c r="IG262" s="168"/>
      <c r="IH262" s="168"/>
      <c r="II262" s="168"/>
      <c r="IJ262" s="168"/>
      <c r="IK262" s="168"/>
      <c r="IL262" s="168"/>
      <c r="IM262" s="168"/>
      <c r="IN262" s="168"/>
      <c r="IO262" s="168"/>
      <c r="IP262" s="168"/>
      <c r="IQ262" s="168"/>
      <c r="IR262" s="168"/>
      <c r="IS262" s="168"/>
      <c r="IT262" s="168"/>
      <c r="IU262" s="168"/>
      <c r="IV262" s="168"/>
      <c r="IW262" s="168"/>
      <c r="IX262" s="168"/>
      <c r="IY262" s="168"/>
      <c r="IZ262" s="168"/>
      <c r="JA262" s="168"/>
      <c r="JB262" s="168"/>
      <c r="JC262" s="606"/>
      <c r="JD262" s="609"/>
      <c r="JE262" s="1"/>
      <c r="JF262" s="1"/>
    </row>
    <row r="263" spans="1:266" s="2" customFormat="1" ht="15" customHeight="1" x14ac:dyDescent="0.25">
      <c r="A263" s="283"/>
      <c r="B263" s="303"/>
      <c r="C263" s="301"/>
      <c r="D263" s="638"/>
      <c r="E263" s="2298"/>
      <c r="F263" s="1812"/>
      <c r="G263" s="3342"/>
      <c r="H263" s="66"/>
      <c r="I263" s="1746"/>
      <c r="J263" s="86"/>
      <c r="K263" s="105"/>
      <c r="L263" s="91"/>
      <c r="M263" s="92"/>
      <c r="N263" s="93"/>
      <c r="O263" s="94"/>
      <c r="P263" s="96"/>
      <c r="Q263" s="95"/>
      <c r="R263" s="993">
        <f t="shared" si="769"/>
        <v>0</v>
      </c>
      <c r="S263" s="23">
        <f t="shared" si="298"/>
        <v>0</v>
      </c>
      <c r="T263" s="24">
        <f t="shared" si="299"/>
        <v>0</v>
      </c>
      <c r="U263" s="24">
        <f t="shared" si="300"/>
        <v>0</v>
      </c>
      <c r="V263" s="24">
        <f t="shared" si="301"/>
        <v>0</v>
      </c>
      <c r="W263" s="24">
        <f t="shared" si="302"/>
        <v>0</v>
      </c>
      <c r="X263" s="72">
        <f t="shared" si="303"/>
        <v>0</v>
      </c>
      <c r="Y263" s="72">
        <f t="shared" si="304"/>
        <v>0</v>
      </c>
      <c r="Z263" s="24">
        <f t="shared" si="770"/>
        <v>0</v>
      </c>
      <c r="AA263" s="72">
        <f t="shared" si="305"/>
        <v>0</v>
      </c>
      <c r="AB263" s="24">
        <f t="shared" si="306"/>
        <v>0</v>
      </c>
      <c r="AC263" s="24" t="s">
        <v>5</v>
      </c>
      <c r="AD263" s="25">
        <f t="shared" si="764"/>
        <v>3</v>
      </c>
      <c r="AE263" s="25">
        <f t="shared" si="765"/>
        <v>0</v>
      </c>
      <c r="AF263" s="25">
        <f t="shared" si="766"/>
        <v>0</v>
      </c>
      <c r="AG263" s="25">
        <f t="shared" si="307"/>
        <v>1</v>
      </c>
      <c r="AH263" s="25" t="str">
        <f>IFERROR(MATCH(DY263,'2 Staff List'!$IA$64:$IA$114,0),"x")</f>
        <v>x</v>
      </c>
      <c r="AI263" s="1181">
        <f>IFERROR(INDEX('2 Staff List'!$EX$64:$EX$114,$AH263),0)</f>
        <v>0</v>
      </c>
      <c r="AJ263" s="25">
        <f>IFERROR(INDEX('2 Staff List'!$IW$64:$IW$114,$AH263),0)</f>
        <v>0</v>
      </c>
      <c r="AK263" s="25">
        <f>IFERROR(INDEX('2 Staff List'!$IB$64:$IB$114,$AH263),0)</f>
        <v>0</v>
      </c>
      <c r="AL263" s="25">
        <f>IF(OR(NOT(ISBLANK(DV263)),CX263=1),"&lt;Non-Labor&gt;",IFERROR(IF(AH263=0,0,INDEX('2 Staff List'!$HZ$64:$HZ$114,$AH263)),0))</f>
        <v>0</v>
      </c>
      <c r="AM263" s="25">
        <f>IFERROR(INDEX('2 Staff List'!$HW$64:$HW$114,$AH263),0)</f>
        <v>0</v>
      </c>
      <c r="AN263" s="25">
        <f t="shared" si="308"/>
        <v>1</v>
      </c>
      <c r="AO263" s="25">
        <f>IF($AO$127=0,0,IFERROR(INDEX('2 Staff List'!$JH$64:$JH$114,$AH263),0))</f>
        <v>0</v>
      </c>
      <c r="AP263" s="25">
        <f>IFERROR(INDEX('2 Staff List'!$HU$64:$HU$114,$AH263),0)</f>
        <v>0</v>
      </c>
      <c r="AQ263" s="25">
        <f t="shared" si="309"/>
        <v>0</v>
      </c>
      <c r="AR263" s="25">
        <f t="shared" si="310"/>
        <v>0</v>
      </c>
      <c r="AS263" s="25">
        <f t="shared" si="311"/>
        <v>0</v>
      </c>
      <c r="AT263" s="25">
        <f t="shared" si="312"/>
        <v>0</v>
      </c>
      <c r="AU263" s="25">
        <f t="shared" si="313"/>
        <v>0</v>
      </c>
      <c r="AV263" s="25">
        <f t="shared" si="314"/>
        <v>0</v>
      </c>
      <c r="AW263" s="25">
        <f t="shared" si="315"/>
        <v>0</v>
      </c>
      <c r="AX263" s="25">
        <f t="shared" si="316"/>
        <v>0</v>
      </c>
      <c r="AY263" s="25">
        <f t="shared" si="317"/>
        <v>0</v>
      </c>
      <c r="AZ263" s="25">
        <f t="shared" si="318"/>
        <v>0</v>
      </c>
      <c r="BA263" s="25">
        <f t="shared" si="319"/>
        <v>0</v>
      </c>
      <c r="BB263" s="25">
        <f t="shared" si="320"/>
        <v>0</v>
      </c>
      <c r="BC263" s="25">
        <f>IFERROR(INDEX('2 Staff List'!KS$64:KS$114,$AH263),0)</f>
        <v>0</v>
      </c>
      <c r="BD263" s="25">
        <f>IFERROR(INDEX('2 Staff List'!KT$64:KT$114,$AH263),0)</f>
        <v>0</v>
      </c>
      <c r="BE263" s="25">
        <f>IFERROR(INDEX('2 Staff List'!KU$64:KU$114,$AH263),0)</f>
        <v>0</v>
      </c>
      <c r="BF263" s="25">
        <f>IFERROR(INDEX('2 Staff List'!KV$64:KV$114,$AH263),0)</f>
        <v>0</v>
      </c>
      <c r="BG263" s="25">
        <f>IFERROR(INDEX('2 Staff List'!KW$64:KW$114,$AH263),0)</f>
        <v>0</v>
      </c>
      <c r="BH263" s="25">
        <f>IFERROR(INDEX('2 Staff List'!KX$64:KX$114,$AH263),0)</f>
        <v>0</v>
      </c>
      <c r="BI263" s="25">
        <f>IFERROR(INDEX('2 Staff List'!KY$64:KY$114,$AH263),0)</f>
        <v>0</v>
      </c>
      <c r="BJ263" s="25">
        <f>IFERROR(INDEX('2 Staff List'!KZ$64:KZ$114,$AH263),0)</f>
        <v>0</v>
      </c>
      <c r="BK263" s="25">
        <f>IFERROR(INDEX('2 Staff List'!LA$64:LA$114,$AH263),0)</f>
        <v>0</v>
      </c>
      <c r="BL263" s="25">
        <f>IFERROR(INDEX('2 Staff List'!LB$64:LB$114,$AH263),0)</f>
        <v>0</v>
      </c>
      <c r="BM263" s="25">
        <f>IFERROR(INDEX('2 Staff List'!FT$64:FT$114,$AH263),0)</f>
        <v>0</v>
      </c>
      <c r="BN263" s="25">
        <f>IFERROR(INDEX('2 Staff List'!FU$64:FU$114,$AH263),0)</f>
        <v>0</v>
      </c>
      <c r="BO263" s="25">
        <f>IFERROR(INDEX('2 Staff List'!FV$64:FV$114,$AH263),0)</f>
        <v>0</v>
      </c>
      <c r="BP263" s="25">
        <f>IFERROR(INDEX('2 Staff List'!FW$64:FW$114,$AH263),0)</f>
        <v>0</v>
      </c>
      <c r="BQ263" s="25">
        <f>IFERROR(INDEX('2 Staff List'!FX$64:FX$114,$AH263),0)</f>
        <v>0</v>
      </c>
      <c r="BR263" s="25">
        <f>IFERROR(INDEX('2 Staff List'!FY$64:FY$114,$AH263),0)</f>
        <v>0</v>
      </c>
      <c r="BS263" s="25">
        <f>IFERROR(INDEX('2 Staff List'!FZ$64:FZ$114,$AH263),0)</f>
        <v>0</v>
      </c>
      <c r="BT263" s="25">
        <f>IFERROR(INDEX('2 Staff List'!GA$64:GA$114,$AH263),0)</f>
        <v>0</v>
      </c>
      <c r="BU263" s="25">
        <f>IFERROR(INDEX('2 Staff List'!GB$64:GB$114,$AH263),0)</f>
        <v>0</v>
      </c>
      <c r="BV263" s="25">
        <f>IFERROR(INDEX('2 Staff List'!GC$64:GC$114,$AH263),0)</f>
        <v>0</v>
      </c>
      <c r="BW263" s="25">
        <f t="shared" si="321"/>
        <v>0</v>
      </c>
      <c r="BX263" s="25">
        <f t="shared" si="322"/>
        <v>0</v>
      </c>
      <c r="BY263" s="25">
        <f t="shared" si="323"/>
        <v>0</v>
      </c>
      <c r="BZ263" s="25">
        <f t="shared" si="324"/>
        <v>0</v>
      </c>
      <c r="CA263" s="25">
        <f t="shared" si="325"/>
        <v>0</v>
      </c>
      <c r="CB263" s="25">
        <f t="shared" si="326"/>
        <v>0</v>
      </c>
      <c r="CC263" s="25">
        <f t="shared" si="327"/>
        <v>0</v>
      </c>
      <c r="CD263" s="25">
        <f t="shared" si="328"/>
        <v>0</v>
      </c>
      <c r="CE263" s="25">
        <f t="shared" si="329"/>
        <v>0</v>
      </c>
      <c r="CF263" s="25">
        <f t="shared" si="330"/>
        <v>0</v>
      </c>
      <c r="CG263" s="25">
        <f t="shared" si="331"/>
        <v>0</v>
      </c>
      <c r="CH263" s="25">
        <f>IFERROR(INDEX('2 Staff List'!LO$64:LO$114,$AH263),0)</f>
        <v>0</v>
      </c>
      <c r="CI263" s="25">
        <f>IFERROR(INDEX('2 Staff List'!LP$64:LP$114,$AH263),0)</f>
        <v>0</v>
      </c>
      <c r="CJ263" s="25">
        <f>IFERROR(INDEX('2 Staff List'!LQ$64:LQ$114,$AH263),0)</f>
        <v>0</v>
      </c>
      <c r="CK263" s="25">
        <f>IFERROR(INDEX('2 Staff List'!LR$64:LR$114,$AH263),0)</f>
        <v>0</v>
      </c>
      <c r="CL263" s="25">
        <f>IFERROR(INDEX('2 Staff List'!LS$64:LS$114,$AH263),0)</f>
        <v>0</v>
      </c>
      <c r="CM263" s="25">
        <f>IFERROR(INDEX('2 Staff List'!LT$64:LT$114,$AH263),0)</f>
        <v>0</v>
      </c>
      <c r="CN263" s="25">
        <f>IFERROR(INDEX('2 Staff List'!LU$64:LU$114,$AH263),0)</f>
        <v>0</v>
      </c>
      <c r="CO263" s="25">
        <f>IFERROR(INDEX('2 Staff List'!LV$64:LV$114,$AH263),0)</f>
        <v>0</v>
      </c>
      <c r="CP263" s="25">
        <f>IFERROR(INDEX('2 Staff List'!LW$64:LW$114,$AH263),0)</f>
        <v>0</v>
      </c>
      <c r="CQ263" s="25">
        <f>IFERROR(INDEX('2 Staff List'!LX$64:LX$114,$AH263),0)</f>
        <v>0</v>
      </c>
      <c r="CR263" s="25">
        <f t="shared" si="771"/>
        <v>0</v>
      </c>
      <c r="CS263" s="25">
        <f t="shared" si="774"/>
        <v>1</v>
      </c>
      <c r="CT263" s="25">
        <f t="shared" si="333"/>
        <v>1</v>
      </c>
      <c r="CU263" s="25">
        <f t="shared" si="334"/>
        <v>1</v>
      </c>
      <c r="CV263" s="25">
        <f t="shared" si="335"/>
        <v>1</v>
      </c>
      <c r="CW263" s="25">
        <f t="shared" si="336"/>
        <v>1</v>
      </c>
      <c r="CX263" s="25">
        <f t="shared" si="337"/>
        <v>0</v>
      </c>
      <c r="CY263" s="25">
        <f t="shared" si="779"/>
        <v>0</v>
      </c>
      <c r="CZ263" s="25">
        <f t="shared" si="339"/>
        <v>0</v>
      </c>
      <c r="DA263" s="25">
        <f t="shared" si="340"/>
        <v>1</v>
      </c>
      <c r="DB263" s="25">
        <f t="shared" si="767"/>
        <v>1</v>
      </c>
      <c r="DC263" s="25">
        <f t="shared" si="341"/>
        <v>0</v>
      </c>
      <c r="DD263" s="25">
        <f>IF(OR($AD263&lt;&gt;3,F263="Exclude"),0,IF(ISERROR(MATCH($E263,'4 Sign-off'!$S$123:$X$123,0)),0,1))</f>
        <v>0</v>
      </c>
      <c r="DE263" s="25">
        <f t="shared" si="763"/>
        <v>0</v>
      </c>
      <c r="DF263" s="25">
        <f t="shared" si="342"/>
        <v>0</v>
      </c>
      <c r="DG263" s="25" t="str">
        <f t="shared" si="343"/>
        <v/>
      </c>
      <c r="DH263" s="25">
        <f t="shared" si="780"/>
        <v>0</v>
      </c>
      <c r="DI263" s="25">
        <f t="shared" si="778"/>
        <v>0</v>
      </c>
      <c r="DJ263" s="25">
        <f>IF(ISBLANK(J263),0,ISERROR(MATCH(J263,'5  Control Accounts'!$FA$29:$FA$96,0))*1)</f>
        <v>0</v>
      </c>
      <c r="DK263" s="25">
        <f t="shared" si="346"/>
        <v>0</v>
      </c>
      <c r="DL263" s="25">
        <f t="shared" si="768"/>
        <v>-1</v>
      </c>
      <c r="DM263" s="25" t="e">
        <f t="array" ref="DM263">MATCH(1,($EG263:$JD263&gt;0)*$EG$17:$JD$17,0)</f>
        <v>#N/A</v>
      </c>
      <c r="DN263" s="25" t="e">
        <f t="shared" si="775"/>
        <v>#N/A</v>
      </c>
      <c r="DO263" s="25" t="e">
        <f t="array" ref="DO263">MATCH(2,1/(EG263:JD263&gt;0))</f>
        <v>#N/A</v>
      </c>
      <c r="DP263" s="2993">
        <f t="shared" si="347"/>
        <v>0</v>
      </c>
      <c r="DQ263" s="3037">
        <f t="shared" si="348"/>
        <v>0</v>
      </c>
      <c r="DR263" s="111"/>
      <c r="DS263" s="1268">
        <f t="shared" si="781"/>
        <v>0</v>
      </c>
      <c r="DT263" s="1825"/>
      <c r="DU263" s="1826"/>
      <c r="DV263" s="1827"/>
      <c r="DW263" s="1828"/>
      <c r="DX263" s="659"/>
      <c r="DY263" s="1265"/>
      <c r="DZ263" s="1785">
        <f t="shared" si="772"/>
        <v>0</v>
      </c>
      <c r="EA263" s="1786">
        <f t="shared" si="773"/>
        <v>0</v>
      </c>
      <c r="EB263" s="1781">
        <f t="shared" si="776"/>
        <v>0</v>
      </c>
      <c r="EC263" s="1782">
        <f t="shared" si="777"/>
        <v>0</v>
      </c>
      <c r="ED263" s="1262"/>
      <c r="EE263" s="2280"/>
      <c r="EF263" s="1802"/>
      <c r="EG263" s="167"/>
      <c r="EH263" s="168"/>
      <c r="EI263" s="168"/>
      <c r="EJ263" s="168"/>
      <c r="EK263" s="168"/>
      <c r="EL263" s="168"/>
      <c r="EM263" s="168"/>
      <c r="EN263" s="168"/>
      <c r="EO263" s="168"/>
      <c r="EP263" s="168"/>
      <c r="EQ263" s="168"/>
      <c r="ER263" s="168"/>
      <c r="ES263" s="168"/>
      <c r="ET263" s="168"/>
      <c r="EU263" s="168"/>
      <c r="EV263" s="168"/>
      <c r="EW263" s="168"/>
      <c r="EX263" s="168"/>
      <c r="EY263" s="168"/>
      <c r="EZ263" s="168"/>
      <c r="FA263" s="168"/>
      <c r="FB263" s="168"/>
      <c r="FC263" s="168"/>
      <c r="FD263" s="168"/>
      <c r="FE263" s="168"/>
      <c r="FF263" s="168"/>
      <c r="FG263" s="168"/>
      <c r="FH263" s="168"/>
      <c r="FI263" s="168"/>
      <c r="FJ263" s="168"/>
      <c r="FK263" s="168"/>
      <c r="FL263" s="168"/>
      <c r="FM263" s="168"/>
      <c r="FN263" s="168"/>
      <c r="FO263" s="168"/>
      <c r="FP263" s="168"/>
      <c r="FQ263" s="168"/>
      <c r="FR263" s="168"/>
      <c r="FS263" s="168"/>
      <c r="FT263" s="168"/>
      <c r="FU263" s="168"/>
      <c r="FV263" s="168"/>
      <c r="FW263" s="168"/>
      <c r="FX263" s="168"/>
      <c r="FY263" s="168"/>
      <c r="FZ263" s="168"/>
      <c r="GA263" s="168"/>
      <c r="GB263" s="168"/>
      <c r="GC263" s="168"/>
      <c r="GD263" s="168"/>
      <c r="GE263" s="168"/>
      <c r="GF263" s="168"/>
      <c r="GG263" s="168"/>
      <c r="GH263" s="168"/>
      <c r="GI263" s="168"/>
      <c r="GJ263" s="168"/>
      <c r="GK263" s="168"/>
      <c r="GL263" s="168"/>
      <c r="GM263" s="168"/>
      <c r="GN263" s="168"/>
      <c r="GO263" s="168"/>
      <c r="GP263" s="168"/>
      <c r="GQ263" s="168"/>
      <c r="GR263" s="168"/>
      <c r="GS263" s="168"/>
      <c r="GT263" s="168"/>
      <c r="GU263" s="168"/>
      <c r="GV263" s="168"/>
      <c r="GW263" s="168"/>
      <c r="GX263" s="168"/>
      <c r="GY263" s="168"/>
      <c r="GZ263" s="168"/>
      <c r="HA263" s="168"/>
      <c r="HB263" s="168"/>
      <c r="HC263" s="168"/>
      <c r="HD263" s="168"/>
      <c r="HE263" s="168"/>
      <c r="HF263" s="168"/>
      <c r="HG263" s="168"/>
      <c r="HH263" s="168"/>
      <c r="HI263" s="168"/>
      <c r="HJ263" s="168"/>
      <c r="HK263" s="168"/>
      <c r="HL263" s="168"/>
      <c r="HM263" s="168"/>
      <c r="HN263" s="168"/>
      <c r="HO263" s="168"/>
      <c r="HP263" s="168"/>
      <c r="HQ263" s="168"/>
      <c r="HR263" s="168"/>
      <c r="HS263" s="168"/>
      <c r="HT263" s="168"/>
      <c r="HU263" s="168"/>
      <c r="HV263" s="168"/>
      <c r="HW263" s="168"/>
      <c r="HX263" s="168"/>
      <c r="HY263" s="168"/>
      <c r="HZ263" s="168"/>
      <c r="IA263" s="168"/>
      <c r="IB263" s="168"/>
      <c r="IC263" s="168"/>
      <c r="ID263" s="168"/>
      <c r="IE263" s="168"/>
      <c r="IF263" s="168"/>
      <c r="IG263" s="168"/>
      <c r="IH263" s="168"/>
      <c r="II263" s="168"/>
      <c r="IJ263" s="168"/>
      <c r="IK263" s="168"/>
      <c r="IL263" s="168"/>
      <c r="IM263" s="168"/>
      <c r="IN263" s="168"/>
      <c r="IO263" s="168"/>
      <c r="IP263" s="168"/>
      <c r="IQ263" s="168"/>
      <c r="IR263" s="168"/>
      <c r="IS263" s="168"/>
      <c r="IT263" s="168"/>
      <c r="IU263" s="168"/>
      <c r="IV263" s="168"/>
      <c r="IW263" s="168"/>
      <c r="IX263" s="168"/>
      <c r="IY263" s="168"/>
      <c r="IZ263" s="168"/>
      <c r="JA263" s="168"/>
      <c r="JB263" s="168"/>
      <c r="JC263" s="606"/>
      <c r="JD263" s="609"/>
      <c r="JE263" s="1"/>
      <c r="JF263" s="1"/>
    </row>
    <row r="264" spans="1:266" s="2" customFormat="1" ht="15" customHeight="1" x14ac:dyDescent="0.25">
      <c r="A264" s="283"/>
      <c r="B264" s="303"/>
      <c r="C264" s="301"/>
      <c r="D264" s="638"/>
      <c r="E264" s="2298"/>
      <c r="F264" s="1812"/>
      <c r="G264" s="3342"/>
      <c r="H264" s="66"/>
      <c r="I264" s="1746"/>
      <c r="J264" s="86"/>
      <c r="K264" s="105"/>
      <c r="L264" s="91"/>
      <c r="M264" s="92"/>
      <c r="N264" s="93"/>
      <c r="O264" s="94"/>
      <c r="P264" s="96"/>
      <c r="Q264" s="95"/>
      <c r="R264" s="993">
        <f t="shared" si="769"/>
        <v>0</v>
      </c>
      <c r="S264" s="23">
        <f t="shared" si="298"/>
        <v>0</v>
      </c>
      <c r="T264" s="24">
        <f t="shared" si="299"/>
        <v>0</v>
      </c>
      <c r="U264" s="24">
        <f t="shared" si="300"/>
        <v>0</v>
      </c>
      <c r="V264" s="24">
        <f t="shared" si="301"/>
        <v>0</v>
      </c>
      <c r="W264" s="24">
        <f t="shared" si="302"/>
        <v>0</v>
      </c>
      <c r="X264" s="72">
        <f t="shared" si="303"/>
        <v>0</v>
      </c>
      <c r="Y264" s="72">
        <f t="shared" si="304"/>
        <v>0</v>
      </c>
      <c r="Z264" s="24">
        <f t="shared" si="770"/>
        <v>0</v>
      </c>
      <c r="AA264" s="72">
        <f t="shared" si="305"/>
        <v>0</v>
      </c>
      <c r="AB264" s="24">
        <f t="shared" si="306"/>
        <v>0</v>
      </c>
      <c r="AC264" s="24" t="s">
        <v>5</v>
      </c>
      <c r="AD264" s="25">
        <f t="shared" si="764"/>
        <v>3</v>
      </c>
      <c r="AE264" s="25">
        <f t="shared" si="765"/>
        <v>0</v>
      </c>
      <c r="AF264" s="25">
        <f t="shared" si="766"/>
        <v>0</v>
      </c>
      <c r="AG264" s="25">
        <f t="shared" si="307"/>
        <v>1</v>
      </c>
      <c r="AH264" s="25" t="str">
        <f>IFERROR(MATCH(DY264,'2 Staff List'!$IA$64:$IA$114,0),"x")</f>
        <v>x</v>
      </c>
      <c r="AI264" s="1181">
        <f>IFERROR(INDEX('2 Staff List'!$EX$64:$EX$114,$AH264),0)</f>
        <v>0</v>
      </c>
      <c r="AJ264" s="25">
        <f>IFERROR(INDEX('2 Staff List'!$IW$64:$IW$114,$AH264),0)</f>
        <v>0</v>
      </c>
      <c r="AK264" s="25">
        <f>IFERROR(INDEX('2 Staff List'!$IB$64:$IB$114,$AH264),0)</f>
        <v>0</v>
      </c>
      <c r="AL264" s="25">
        <f>IF(OR(NOT(ISBLANK(DV264)),CX264=1),"&lt;Non-Labor&gt;",IFERROR(IF(AH264=0,0,INDEX('2 Staff List'!$HZ$64:$HZ$114,$AH264)),0))</f>
        <v>0</v>
      </c>
      <c r="AM264" s="25">
        <f>IFERROR(INDEX('2 Staff List'!$HW$64:$HW$114,$AH264),0)</f>
        <v>0</v>
      </c>
      <c r="AN264" s="25">
        <f t="shared" si="308"/>
        <v>1</v>
      </c>
      <c r="AO264" s="25">
        <f>IF($AO$127=0,0,IFERROR(INDEX('2 Staff List'!$JH$64:$JH$114,$AH264),0))</f>
        <v>0</v>
      </c>
      <c r="AP264" s="25">
        <f>IFERROR(INDEX('2 Staff List'!$HU$64:$HU$114,$AH264),0)</f>
        <v>0</v>
      </c>
      <c r="AQ264" s="25">
        <f t="shared" si="309"/>
        <v>0</v>
      </c>
      <c r="AR264" s="25">
        <f t="shared" si="310"/>
        <v>0</v>
      </c>
      <c r="AS264" s="25">
        <f t="shared" si="311"/>
        <v>0</v>
      </c>
      <c r="AT264" s="25">
        <f t="shared" si="312"/>
        <v>0</v>
      </c>
      <c r="AU264" s="25">
        <f t="shared" si="313"/>
        <v>0</v>
      </c>
      <c r="AV264" s="25">
        <f t="shared" si="314"/>
        <v>0</v>
      </c>
      <c r="AW264" s="25">
        <f t="shared" si="315"/>
        <v>0</v>
      </c>
      <c r="AX264" s="25">
        <f t="shared" si="316"/>
        <v>0</v>
      </c>
      <c r="AY264" s="25">
        <f t="shared" si="317"/>
        <v>0</v>
      </c>
      <c r="AZ264" s="25">
        <f t="shared" si="318"/>
        <v>0</v>
      </c>
      <c r="BA264" s="25">
        <f t="shared" si="319"/>
        <v>0</v>
      </c>
      <c r="BB264" s="25">
        <f t="shared" si="320"/>
        <v>0</v>
      </c>
      <c r="BC264" s="25">
        <f>IFERROR(INDEX('2 Staff List'!KS$64:KS$114,$AH264),0)</f>
        <v>0</v>
      </c>
      <c r="BD264" s="25">
        <f>IFERROR(INDEX('2 Staff List'!KT$64:KT$114,$AH264),0)</f>
        <v>0</v>
      </c>
      <c r="BE264" s="25">
        <f>IFERROR(INDEX('2 Staff List'!KU$64:KU$114,$AH264),0)</f>
        <v>0</v>
      </c>
      <c r="BF264" s="25">
        <f>IFERROR(INDEX('2 Staff List'!KV$64:KV$114,$AH264),0)</f>
        <v>0</v>
      </c>
      <c r="BG264" s="25">
        <f>IFERROR(INDEX('2 Staff List'!KW$64:KW$114,$AH264),0)</f>
        <v>0</v>
      </c>
      <c r="BH264" s="25">
        <f>IFERROR(INDEX('2 Staff List'!KX$64:KX$114,$AH264),0)</f>
        <v>0</v>
      </c>
      <c r="BI264" s="25">
        <f>IFERROR(INDEX('2 Staff List'!KY$64:KY$114,$AH264),0)</f>
        <v>0</v>
      </c>
      <c r="BJ264" s="25">
        <f>IFERROR(INDEX('2 Staff List'!KZ$64:KZ$114,$AH264),0)</f>
        <v>0</v>
      </c>
      <c r="BK264" s="25">
        <f>IFERROR(INDEX('2 Staff List'!LA$64:LA$114,$AH264),0)</f>
        <v>0</v>
      </c>
      <c r="BL264" s="25">
        <f>IFERROR(INDEX('2 Staff List'!LB$64:LB$114,$AH264),0)</f>
        <v>0</v>
      </c>
      <c r="BM264" s="25">
        <f>IFERROR(INDEX('2 Staff List'!FT$64:FT$114,$AH264),0)</f>
        <v>0</v>
      </c>
      <c r="BN264" s="25">
        <f>IFERROR(INDEX('2 Staff List'!FU$64:FU$114,$AH264),0)</f>
        <v>0</v>
      </c>
      <c r="BO264" s="25">
        <f>IFERROR(INDEX('2 Staff List'!FV$64:FV$114,$AH264),0)</f>
        <v>0</v>
      </c>
      <c r="BP264" s="25">
        <f>IFERROR(INDEX('2 Staff List'!FW$64:FW$114,$AH264),0)</f>
        <v>0</v>
      </c>
      <c r="BQ264" s="25">
        <f>IFERROR(INDEX('2 Staff List'!FX$64:FX$114,$AH264),0)</f>
        <v>0</v>
      </c>
      <c r="BR264" s="25">
        <f>IFERROR(INDEX('2 Staff List'!FY$64:FY$114,$AH264),0)</f>
        <v>0</v>
      </c>
      <c r="BS264" s="25">
        <f>IFERROR(INDEX('2 Staff List'!FZ$64:FZ$114,$AH264),0)</f>
        <v>0</v>
      </c>
      <c r="BT264" s="25">
        <f>IFERROR(INDEX('2 Staff List'!GA$64:GA$114,$AH264),0)</f>
        <v>0</v>
      </c>
      <c r="BU264" s="25">
        <f>IFERROR(INDEX('2 Staff List'!GB$64:GB$114,$AH264),0)</f>
        <v>0</v>
      </c>
      <c r="BV264" s="25">
        <f>IFERROR(INDEX('2 Staff List'!GC$64:GC$114,$AH264),0)</f>
        <v>0</v>
      </c>
      <c r="BW264" s="25">
        <f t="shared" si="321"/>
        <v>0</v>
      </c>
      <c r="BX264" s="25">
        <f t="shared" si="322"/>
        <v>0</v>
      </c>
      <c r="BY264" s="25">
        <f t="shared" si="323"/>
        <v>0</v>
      </c>
      <c r="BZ264" s="25">
        <f t="shared" si="324"/>
        <v>0</v>
      </c>
      <c r="CA264" s="25">
        <f t="shared" si="325"/>
        <v>0</v>
      </c>
      <c r="CB264" s="25">
        <f t="shared" si="326"/>
        <v>0</v>
      </c>
      <c r="CC264" s="25">
        <f t="shared" si="327"/>
        <v>0</v>
      </c>
      <c r="CD264" s="25">
        <f t="shared" si="328"/>
        <v>0</v>
      </c>
      <c r="CE264" s="25">
        <f t="shared" si="329"/>
        <v>0</v>
      </c>
      <c r="CF264" s="25">
        <f t="shared" si="330"/>
        <v>0</v>
      </c>
      <c r="CG264" s="25">
        <f t="shared" si="331"/>
        <v>0</v>
      </c>
      <c r="CH264" s="25">
        <f>IFERROR(INDEX('2 Staff List'!LO$64:LO$114,$AH264),0)</f>
        <v>0</v>
      </c>
      <c r="CI264" s="25">
        <f>IFERROR(INDEX('2 Staff List'!LP$64:LP$114,$AH264),0)</f>
        <v>0</v>
      </c>
      <c r="CJ264" s="25">
        <f>IFERROR(INDEX('2 Staff List'!LQ$64:LQ$114,$AH264),0)</f>
        <v>0</v>
      </c>
      <c r="CK264" s="25">
        <f>IFERROR(INDEX('2 Staff List'!LR$64:LR$114,$AH264),0)</f>
        <v>0</v>
      </c>
      <c r="CL264" s="25">
        <f>IFERROR(INDEX('2 Staff List'!LS$64:LS$114,$AH264),0)</f>
        <v>0</v>
      </c>
      <c r="CM264" s="25">
        <f>IFERROR(INDEX('2 Staff List'!LT$64:LT$114,$AH264),0)</f>
        <v>0</v>
      </c>
      <c r="CN264" s="25">
        <f>IFERROR(INDEX('2 Staff List'!LU$64:LU$114,$AH264),0)</f>
        <v>0</v>
      </c>
      <c r="CO264" s="25">
        <f>IFERROR(INDEX('2 Staff List'!LV$64:LV$114,$AH264),0)</f>
        <v>0</v>
      </c>
      <c r="CP264" s="25">
        <f>IFERROR(INDEX('2 Staff List'!LW$64:LW$114,$AH264),0)</f>
        <v>0</v>
      </c>
      <c r="CQ264" s="25">
        <f>IFERROR(INDEX('2 Staff List'!LX$64:LX$114,$AH264),0)</f>
        <v>0</v>
      </c>
      <c r="CR264" s="25">
        <f t="shared" si="771"/>
        <v>0</v>
      </c>
      <c r="CS264" s="25">
        <f t="shared" si="774"/>
        <v>1</v>
      </c>
      <c r="CT264" s="25">
        <f t="shared" si="333"/>
        <v>1</v>
      </c>
      <c r="CU264" s="25">
        <f t="shared" si="334"/>
        <v>1</v>
      </c>
      <c r="CV264" s="25">
        <f t="shared" si="335"/>
        <v>1</v>
      </c>
      <c r="CW264" s="25">
        <f t="shared" si="336"/>
        <v>1</v>
      </c>
      <c r="CX264" s="25">
        <f t="shared" si="337"/>
        <v>0</v>
      </c>
      <c r="CY264" s="25">
        <f t="shared" si="779"/>
        <v>0</v>
      </c>
      <c r="CZ264" s="25">
        <f t="shared" si="339"/>
        <v>0</v>
      </c>
      <c r="DA264" s="25">
        <f t="shared" si="340"/>
        <v>1</v>
      </c>
      <c r="DB264" s="25">
        <f t="shared" si="767"/>
        <v>1</v>
      </c>
      <c r="DC264" s="25">
        <f t="shared" si="341"/>
        <v>0</v>
      </c>
      <c r="DD264" s="25">
        <f>IF(OR($AD264&lt;&gt;3,F264="Exclude"),0,IF(ISERROR(MATCH($E264,'4 Sign-off'!$S$123:$X$123,0)),0,1))</f>
        <v>0</v>
      </c>
      <c r="DE264" s="25">
        <f t="shared" ref="DE264:DE295" si="782">IF($C$6&lt;&gt;"B",1,CHOOSE($DE$119,DD264,CZ264+DC264,CZ264,DC264))</f>
        <v>0</v>
      </c>
      <c r="DF264" s="25">
        <f t="shared" si="342"/>
        <v>0</v>
      </c>
      <c r="DG264" s="25" t="str">
        <f t="shared" si="343"/>
        <v/>
      </c>
      <c r="DH264" s="25">
        <f t="shared" si="780"/>
        <v>0</v>
      </c>
      <c r="DI264" s="25">
        <f t="shared" si="778"/>
        <v>0</v>
      </c>
      <c r="DJ264" s="25">
        <f>IF(ISBLANK(J264),0,ISERROR(MATCH(J264,'5  Control Accounts'!$FA$29:$FA$96,0))*1)</f>
        <v>0</v>
      </c>
      <c r="DK264" s="25">
        <f t="shared" si="346"/>
        <v>0</v>
      </c>
      <c r="DL264" s="25">
        <f t="shared" si="768"/>
        <v>-1</v>
      </c>
      <c r="DM264" s="25" t="e">
        <f t="array" ref="DM264">MATCH(1,($EG264:$JD264&gt;0)*$EG$17:$JD$17,0)</f>
        <v>#N/A</v>
      </c>
      <c r="DN264" s="25" t="e">
        <f t="shared" si="775"/>
        <v>#N/A</v>
      </c>
      <c r="DO264" s="25" t="e">
        <f t="array" ref="DO264">MATCH(2,1/(EG264:JD264&gt;0))</f>
        <v>#N/A</v>
      </c>
      <c r="DP264" s="2993">
        <f t="shared" si="347"/>
        <v>0</v>
      </c>
      <c r="DQ264" s="3037">
        <f t="shared" si="348"/>
        <v>0</v>
      </c>
      <c r="DR264" s="111"/>
      <c r="DS264" s="1268">
        <f t="shared" si="781"/>
        <v>0</v>
      </c>
      <c r="DT264" s="1825"/>
      <c r="DU264" s="1826"/>
      <c r="DV264" s="1827"/>
      <c r="DW264" s="1828"/>
      <c r="DX264" s="659"/>
      <c r="DY264" s="1265"/>
      <c r="DZ264" s="1785">
        <f t="shared" si="772"/>
        <v>0</v>
      </c>
      <c r="EA264" s="1786">
        <f t="shared" si="773"/>
        <v>0</v>
      </c>
      <c r="EB264" s="1781">
        <f t="shared" si="776"/>
        <v>0</v>
      </c>
      <c r="EC264" s="1782">
        <f t="shared" si="777"/>
        <v>0</v>
      </c>
      <c r="ED264" s="1262"/>
      <c r="EE264" s="2280"/>
      <c r="EF264" s="1802"/>
      <c r="EG264" s="167"/>
      <c r="EH264" s="168"/>
      <c r="EI264" s="168"/>
      <c r="EJ264" s="168"/>
      <c r="EK264" s="168"/>
      <c r="EL264" s="168"/>
      <c r="EM264" s="168"/>
      <c r="EN264" s="168"/>
      <c r="EO264" s="168"/>
      <c r="EP264" s="168"/>
      <c r="EQ264" s="168"/>
      <c r="ER264" s="168"/>
      <c r="ES264" s="168"/>
      <c r="ET264" s="168"/>
      <c r="EU264" s="168"/>
      <c r="EV264" s="168"/>
      <c r="EW264" s="168"/>
      <c r="EX264" s="168"/>
      <c r="EY264" s="168"/>
      <c r="EZ264" s="168"/>
      <c r="FA264" s="168"/>
      <c r="FB264" s="168"/>
      <c r="FC264" s="168"/>
      <c r="FD264" s="168"/>
      <c r="FE264" s="168"/>
      <c r="FF264" s="168"/>
      <c r="FG264" s="168"/>
      <c r="FH264" s="168"/>
      <c r="FI264" s="168"/>
      <c r="FJ264" s="168"/>
      <c r="FK264" s="168"/>
      <c r="FL264" s="168"/>
      <c r="FM264" s="168"/>
      <c r="FN264" s="168"/>
      <c r="FO264" s="168"/>
      <c r="FP264" s="168"/>
      <c r="FQ264" s="168"/>
      <c r="FR264" s="168"/>
      <c r="FS264" s="168"/>
      <c r="FT264" s="168"/>
      <c r="FU264" s="168"/>
      <c r="FV264" s="168"/>
      <c r="FW264" s="168"/>
      <c r="FX264" s="168"/>
      <c r="FY264" s="168"/>
      <c r="FZ264" s="168"/>
      <c r="GA264" s="168"/>
      <c r="GB264" s="168"/>
      <c r="GC264" s="168"/>
      <c r="GD264" s="168"/>
      <c r="GE264" s="168"/>
      <c r="GF264" s="168"/>
      <c r="GG264" s="168"/>
      <c r="GH264" s="168"/>
      <c r="GI264" s="168"/>
      <c r="GJ264" s="168"/>
      <c r="GK264" s="168"/>
      <c r="GL264" s="168"/>
      <c r="GM264" s="168"/>
      <c r="GN264" s="168"/>
      <c r="GO264" s="168"/>
      <c r="GP264" s="168"/>
      <c r="GQ264" s="168"/>
      <c r="GR264" s="168"/>
      <c r="GS264" s="168"/>
      <c r="GT264" s="168"/>
      <c r="GU264" s="168"/>
      <c r="GV264" s="168"/>
      <c r="GW264" s="168"/>
      <c r="GX264" s="168"/>
      <c r="GY264" s="168"/>
      <c r="GZ264" s="168"/>
      <c r="HA264" s="168"/>
      <c r="HB264" s="168"/>
      <c r="HC264" s="168"/>
      <c r="HD264" s="168"/>
      <c r="HE264" s="168"/>
      <c r="HF264" s="168"/>
      <c r="HG264" s="168"/>
      <c r="HH264" s="168"/>
      <c r="HI264" s="168"/>
      <c r="HJ264" s="168"/>
      <c r="HK264" s="168"/>
      <c r="HL264" s="168"/>
      <c r="HM264" s="168"/>
      <c r="HN264" s="168"/>
      <c r="HO264" s="168"/>
      <c r="HP264" s="168"/>
      <c r="HQ264" s="168"/>
      <c r="HR264" s="168"/>
      <c r="HS264" s="168"/>
      <c r="HT264" s="168"/>
      <c r="HU264" s="168"/>
      <c r="HV264" s="168"/>
      <c r="HW264" s="168"/>
      <c r="HX264" s="168"/>
      <c r="HY264" s="168"/>
      <c r="HZ264" s="168"/>
      <c r="IA264" s="168"/>
      <c r="IB264" s="168"/>
      <c r="IC264" s="168"/>
      <c r="ID264" s="168"/>
      <c r="IE264" s="168"/>
      <c r="IF264" s="168"/>
      <c r="IG264" s="168"/>
      <c r="IH264" s="168"/>
      <c r="II264" s="168"/>
      <c r="IJ264" s="168"/>
      <c r="IK264" s="168"/>
      <c r="IL264" s="168"/>
      <c r="IM264" s="168"/>
      <c r="IN264" s="168"/>
      <c r="IO264" s="168"/>
      <c r="IP264" s="168"/>
      <c r="IQ264" s="168"/>
      <c r="IR264" s="168"/>
      <c r="IS264" s="168"/>
      <c r="IT264" s="168"/>
      <c r="IU264" s="168"/>
      <c r="IV264" s="168"/>
      <c r="IW264" s="168"/>
      <c r="IX264" s="168"/>
      <c r="IY264" s="168"/>
      <c r="IZ264" s="168"/>
      <c r="JA264" s="168"/>
      <c r="JB264" s="168"/>
      <c r="JC264" s="606"/>
      <c r="JD264" s="609"/>
      <c r="JE264" s="1"/>
      <c r="JF264" s="1"/>
    </row>
    <row r="265" spans="1:266" s="2" customFormat="1" ht="15" customHeight="1" x14ac:dyDescent="0.25">
      <c r="A265" s="283"/>
      <c r="B265" s="303"/>
      <c r="C265" s="301"/>
      <c r="D265" s="638"/>
      <c r="E265" s="2298"/>
      <c r="F265" s="1812"/>
      <c r="G265" s="3342"/>
      <c r="H265" s="66"/>
      <c r="I265" s="1746"/>
      <c r="J265" s="86"/>
      <c r="K265" s="105"/>
      <c r="L265" s="91"/>
      <c r="M265" s="92"/>
      <c r="N265" s="93"/>
      <c r="O265" s="94"/>
      <c r="P265" s="96"/>
      <c r="Q265" s="95"/>
      <c r="R265" s="993">
        <f t="shared" si="769"/>
        <v>0</v>
      </c>
      <c r="S265" s="23">
        <f t="shared" si="298"/>
        <v>0</v>
      </c>
      <c r="T265" s="24">
        <f t="shared" si="299"/>
        <v>0</v>
      </c>
      <c r="U265" s="24">
        <f t="shared" si="300"/>
        <v>0</v>
      </c>
      <c r="V265" s="24">
        <f t="shared" si="301"/>
        <v>0</v>
      </c>
      <c r="W265" s="24">
        <f t="shared" si="302"/>
        <v>0</v>
      </c>
      <c r="X265" s="72">
        <f t="shared" si="303"/>
        <v>0</v>
      </c>
      <c r="Y265" s="72">
        <f t="shared" si="304"/>
        <v>0</v>
      </c>
      <c r="Z265" s="24">
        <f t="shared" si="770"/>
        <v>0</v>
      </c>
      <c r="AA265" s="72">
        <f t="shared" si="305"/>
        <v>0</v>
      </c>
      <c r="AB265" s="24">
        <f t="shared" si="306"/>
        <v>0</v>
      </c>
      <c r="AC265" s="24" t="s">
        <v>5</v>
      </c>
      <c r="AD265" s="25">
        <f t="shared" si="764"/>
        <v>3</v>
      </c>
      <c r="AE265" s="25">
        <f t="shared" si="765"/>
        <v>0</v>
      </c>
      <c r="AF265" s="25">
        <f t="shared" si="766"/>
        <v>0</v>
      </c>
      <c r="AG265" s="25">
        <f t="shared" si="307"/>
        <v>1</v>
      </c>
      <c r="AH265" s="25" t="str">
        <f>IFERROR(MATCH(DY265,'2 Staff List'!$IA$64:$IA$114,0),"x")</f>
        <v>x</v>
      </c>
      <c r="AI265" s="1181">
        <f>IFERROR(INDEX('2 Staff List'!$EX$64:$EX$114,$AH265),0)</f>
        <v>0</v>
      </c>
      <c r="AJ265" s="25">
        <f>IFERROR(INDEX('2 Staff List'!$IW$64:$IW$114,$AH265),0)</f>
        <v>0</v>
      </c>
      <c r="AK265" s="25">
        <f>IFERROR(INDEX('2 Staff List'!$IB$64:$IB$114,$AH265),0)</f>
        <v>0</v>
      </c>
      <c r="AL265" s="25">
        <f>IF(OR(NOT(ISBLANK(DV265)),CX265=1),"&lt;Non-Labor&gt;",IFERROR(IF(AH265=0,0,INDEX('2 Staff List'!$HZ$64:$HZ$114,$AH265)),0))</f>
        <v>0</v>
      </c>
      <c r="AM265" s="25">
        <f>IFERROR(INDEX('2 Staff List'!$HW$64:$HW$114,$AH265),0)</f>
        <v>0</v>
      </c>
      <c r="AN265" s="25">
        <f t="shared" si="308"/>
        <v>1</v>
      </c>
      <c r="AO265" s="25">
        <f>IF($AO$127=0,0,IFERROR(INDEX('2 Staff List'!$JH$64:$JH$114,$AH265),0))</f>
        <v>0</v>
      </c>
      <c r="AP265" s="25">
        <f>IFERROR(INDEX('2 Staff List'!$HU$64:$HU$114,$AH265),0)</f>
        <v>0</v>
      </c>
      <c r="AQ265" s="25">
        <f t="shared" si="309"/>
        <v>0</v>
      </c>
      <c r="AR265" s="25">
        <f t="shared" si="310"/>
        <v>0</v>
      </c>
      <c r="AS265" s="25">
        <f t="shared" si="311"/>
        <v>0</v>
      </c>
      <c r="AT265" s="25">
        <f t="shared" si="312"/>
        <v>0</v>
      </c>
      <c r="AU265" s="25">
        <f t="shared" si="313"/>
        <v>0</v>
      </c>
      <c r="AV265" s="25">
        <f t="shared" si="314"/>
        <v>0</v>
      </c>
      <c r="AW265" s="25">
        <f t="shared" si="315"/>
        <v>0</v>
      </c>
      <c r="AX265" s="25">
        <f t="shared" si="316"/>
        <v>0</v>
      </c>
      <c r="AY265" s="25">
        <f t="shared" si="317"/>
        <v>0</v>
      </c>
      <c r="AZ265" s="25">
        <f t="shared" si="318"/>
        <v>0</v>
      </c>
      <c r="BA265" s="25">
        <f t="shared" si="319"/>
        <v>0</v>
      </c>
      <c r="BB265" s="25">
        <f t="shared" si="320"/>
        <v>0</v>
      </c>
      <c r="BC265" s="25">
        <f>IFERROR(INDEX('2 Staff List'!KS$64:KS$114,$AH265),0)</f>
        <v>0</v>
      </c>
      <c r="BD265" s="25">
        <f>IFERROR(INDEX('2 Staff List'!KT$64:KT$114,$AH265),0)</f>
        <v>0</v>
      </c>
      <c r="BE265" s="25">
        <f>IFERROR(INDEX('2 Staff List'!KU$64:KU$114,$AH265),0)</f>
        <v>0</v>
      </c>
      <c r="BF265" s="25">
        <f>IFERROR(INDEX('2 Staff List'!KV$64:KV$114,$AH265),0)</f>
        <v>0</v>
      </c>
      <c r="BG265" s="25">
        <f>IFERROR(INDEX('2 Staff List'!KW$64:KW$114,$AH265),0)</f>
        <v>0</v>
      </c>
      <c r="BH265" s="25">
        <f>IFERROR(INDEX('2 Staff List'!KX$64:KX$114,$AH265),0)</f>
        <v>0</v>
      </c>
      <c r="BI265" s="25">
        <f>IFERROR(INDEX('2 Staff List'!KY$64:KY$114,$AH265),0)</f>
        <v>0</v>
      </c>
      <c r="BJ265" s="25">
        <f>IFERROR(INDEX('2 Staff List'!KZ$64:KZ$114,$AH265),0)</f>
        <v>0</v>
      </c>
      <c r="BK265" s="25">
        <f>IFERROR(INDEX('2 Staff List'!LA$64:LA$114,$AH265),0)</f>
        <v>0</v>
      </c>
      <c r="BL265" s="25">
        <f>IFERROR(INDEX('2 Staff List'!LB$64:LB$114,$AH265),0)</f>
        <v>0</v>
      </c>
      <c r="BM265" s="25">
        <f>IFERROR(INDEX('2 Staff List'!FT$64:FT$114,$AH265),0)</f>
        <v>0</v>
      </c>
      <c r="BN265" s="25">
        <f>IFERROR(INDEX('2 Staff List'!FU$64:FU$114,$AH265),0)</f>
        <v>0</v>
      </c>
      <c r="BO265" s="25">
        <f>IFERROR(INDEX('2 Staff List'!FV$64:FV$114,$AH265),0)</f>
        <v>0</v>
      </c>
      <c r="BP265" s="25">
        <f>IFERROR(INDEX('2 Staff List'!FW$64:FW$114,$AH265),0)</f>
        <v>0</v>
      </c>
      <c r="BQ265" s="25">
        <f>IFERROR(INDEX('2 Staff List'!FX$64:FX$114,$AH265),0)</f>
        <v>0</v>
      </c>
      <c r="BR265" s="25">
        <f>IFERROR(INDEX('2 Staff List'!FY$64:FY$114,$AH265),0)</f>
        <v>0</v>
      </c>
      <c r="BS265" s="25">
        <f>IFERROR(INDEX('2 Staff List'!FZ$64:FZ$114,$AH265),0)</f>
        <v>0</v>
      </c>
      <c r="BT265" s="25">
        <f>IFERROR(INDEX('2 Staff List'!GA$64:GA$114,$AH265),0)</f>
        <v>0</v>
      </c>
      <c r="BU265" s="25">
        <f>IFERROR(INDEX('2 Staff List'!GB$64:GB$114,$AH265),0)</f>
        <v>0</v>
      </c>
      <c r="BV265" s="25">
        <f>IFERROR(INDEX('2 Staff List'!GC$64:GC$114,$AH265),0)</f>
        <v>0</v>
      </c>
      <c r="BW265" s="25">
        <f t="shared" si="321"/>
        <v>0</v>
      </c>
      <c r="BX265" s="25">
        <f t="shared" si="322"/>
        <v>0</v>
      </c>
      <c r="BY265" s="25">
        <f t="shared" si="323"/>
        <v>0</v>
      </c>
      <c r="BZ265" s="25">
        <f t="shared" si="324"/>
        <v>0</v>
      </c>
      <c r="CA265" s="25">
        <f t="shared" si="325"/>
        <v>0</v>
      </c>
      <c r="CB265" s="25">
        <f t="shared" si="326"/>
        <v>0</v>
      </c>
      <c r="CC265" s="25">
        <f t="shared" si="327"/>
        <v>0</v>
      </c>
      <c r="CD265" s="25">
        <f t="shared" si="328"/>
        <v>0</v>
      </c>
      <c r="CE265" s="25">
        <f t="shared" si="329"/>
        <v>0</v>
      </c>
      <c r="CF265" s="25">
        <f t="shared" si="330"/>
        <v>0</v>
      </c>
      <c r="CG265" s="25">
        <f t="shared" si="331"/>
        <v>0</v>
      </c>
      <c r="CH265" s="25">
        <f>IFERROR(INDEX('2 Staff List'!LO$64:LO$114,$AH265),0)</f>
        <v>0</v>
      </c>
      <c r="CI265" s="25">
        <f>IFERROR(INDEX('2 Staff List'!LP$64:LP$114,$AH265),0)</f>
        <v>0</v>
      </c>
      <c r="CJ265" s="25">
        <f>IFERROR(INDEX('2 Staff List'!LQ$64:LQ$114,$AH265),0)</f>
        <v>0</v>
      </c>
      <c r="CK265" s="25">
        <f>IFERROR(INDEX('2 Staff List'!LR$64:LR$114,$AH265),0)</f>
        <v>0</v>
      </c>
      <c r="CL265" s="25">
        <f>IFERROR(INDEX('2 Staff List'!LS$64:LS$114,$AH265),0)</f>
        <v>0</v>
      </c>
      <c r="CM265" s="25">
        <f>IFERROR(INDEX('2 Staff List'!LT$64:LT$114,$AH265),0)</f>
        <v>0</v>
      </c>
      <c r="CN265" s="25">
        <f>IFERROR(INDEX('2 Staff List'!LU$64:LU$114,$AH265),0)</f>
        <v>0</v>
      </c>
      <c r="CO265" s="25">
        <f>IFERROR(INDEX('2 Staff List'!LV$64:LV$114,$AH265),0)</f>
        <v>0</v>
      </c>
      <c r="CP265" s="25">
        <f>IFERROR(INDEX('2 Staff List'!LW$64:LW$114,$AH265),0)</f>
        <v>0</v>
      </c>
      <c r="CQ265" s="25">
        <f>IFERROR(INDEX('2 Staff List'!LX$64:LX$114,$AH265),0)</f>
        <v>0</v>
      </c>
      <c r="CR265" s="25">
        <f t="shared" si="771"/>
        <v>0</v>
      </c>
      <c r="CS265" s="25">
        <f t="shared" si="774"/>
        <v>1</v>
      </c>
      <c r="CT265" s="25">
        <f t="shared" si="333"/>
        <v>1</v>
      </c>
      <c r="CU265" s="25">
        <f t="shared" si="334"/>
        <v>1</v>
      </c>
      <c r="CV265" s="25">
        <f t="shared" si="335"/>
        <v>1</v>
      </c>
      <c r="CW265" s="25">
        <f t="shared" si="336"/>
        <v>1</v>
      </c>
      <c r="CX265" s="25">
        <f t="shared" si="337"/>
        <v>0</v>
      </c>
      <c r="CY265" s="25">
        <f t="shared" si="779"/>
        <v>0</v>
      </c>
      <c r="CZ265" s="25">
        <f t="shared" si="339"/>
        <v>0</v>
      </c>
      <c r="DA265" s="25">
        <f t="shared" si="340"/>
        <v>1</v>
      </c>
      <c r="DB265" s="25">
        <f t="shared" si="767"/>
        <v>1</v>
      </c>
      <c r="DC265" s="25">
        <f t="shared" si="341"/>
        <v>0</v>
      </c>
      <c r="DD265" s="25">
        <f>IF(OR($AD265&lt;&gt;3,F265="Exclude"),0,IF(ISERROR(MATCH($E265,'4 Sign-off'!$S$123:$X$123,0)),0,1))</f>
        <v>0</v>
      </c>
      <c r="DE265" s="25">
        <f t="shared" si="782"/>
        <v>0</v>
      </c>
      <c r="DF265" s="25">
        <f t="shared" si="342"/>
        <v>0</v>
      </c>
      <c r="DG265" s="25" t="str">
        <f t="shared" si="343"/>
        <v/>
      </c>
      <c r="DH265" s="25">
        <f t="shared" si="780"/>
        <v>0</v>
      </c>
      <c r="DI265" s="25">
        <f t="shared" si="778"/>
        <v>0</v>
      </c>
      <c r="DJ265" s="25">
        <f>IF(ISBLANK(J265),0,ISERROR(MATCH(J265,'5  Control Accounts'!$FA$29:$FA$96,0))*1)</f>
        <v>0</v>
      </c>
      <c r="DK265" s="25">
        <f t="shared" si="346"/>
        <v>0</v>
      </c>
      <c r="DL265" s="25">
        <f t="shared" si="768"/>
        <v>-1</v>
      </c>
      <c r="DM265" s="25" t="e">
        <f t="array" ref="DM265">MATCH(1,($EG265:$JD265&gt;0)*$EG$17:$JD$17,0)</f>
        <v>#N/A</v>
      </c>
      <c r="DN265" s="25" t="e">
        <f t="shared" si="775"/>
        <v>#N/A</v>
      </c>
      <c r="DO265" s="25" t="e">
        <f t="array" ref="DO265">MATCH(2,1/(EG265:JD265&gt;0))</f>
        <v>#N/A</v>
      </c>
      <c r="DP265" s="2993">
        <f t="shared" si="347"/>
        <v>0</v>
      </c>
      <c r="DQ265" s="3037">
        <f t="shared" si="348"/>
        <v>0</v>
      </c>
      <c r="DR265" s="111"/>
      <c r="DS265" s="1268">
        <f t="shared" si="781"/>
        <v>0</v>
      </c>
      <c r="DT265" s="1825"/>
      <c r="DU265" s="1826"/>
      <c r="DV265" s="1827"/>
      <c r="DW265" s="1828"/>
      <c r="DX265" s="659"/>
      <c r="DY265" s="1265"/>
      <c r="DZ265" s="1785">
        <f t="shared" si="772"/>
        <v>0</v>
      </c>
      <c r="EA265" s="1786">
        <f t="shared" si="773"/>
        <v>0</v>
      </c>
      <c r="EB265" s="1781">
        <f t="shared" si="776"/>
        <v>0</v>
      </c>
      <c r="EC265" s="1782">
        <f t="shared" si="777"/>
        <v>0</v>
      </c>
      <c r="ED265" s="1262"/>
      <c r="EE265" s="2280"/>
      <c r="EF265" s="1802"/>
      <c r="EG265" s="167"/>
      <c r="EH265" s="168"/>
      <c r="EI265" s="168"/>
      <c r="EJ265" s="168"/>
      <c r="EK265" s="168"/>
      <c r="EL265" s="168"/>
      <c r="EM265" s="168"/>
      <c r="EN265" s="168"/>
      <c r="EO265" s="168"/>
      <c r="EP265" s="168"/>
      <c r="EQ265" s="168"/>
      <c r="ER265" s="168"/>
      <c r="ES265" s="168"/>
      <c r="ET265" s="168"/>
      <c r="EU265" s="168"/>
      <c r="EV265" s="168"/>
      <c r="EW265" s="168"/>
      <c r="EX265" s="168"/>
      <c r="EY265" s="168"/>
      <c r="EZ265" s="168"/>
      <c r="FA265" s="168"/>
      <c r="FB265" s="168"/>
      <c r="FC265" s="168"/>
      <c r="FD265" s="168"/>
      <c r="FE265" s="168"/>
      <c r="FF265" s="168"/>
      <c r="FG265" s="168"/>
      <c r="FH265" s="168"/>
      <c r="FI265" s="168"/>
      <c r="FJ265" s="168"/>
      <c r="FK265" s="168"/>
      <c r="FL265" s="168"/>
      <c r="FM265" s="168"/>
      <c r="FN265" s="168"/>
      <c r="FO265" s="168"/>
      <c r="FP265" s="168"/>
      <c r="FQ265" s="168"/>
      <c r="FR265" s="168"/>
      <c r="FS265" s="168"/>
      <c r="FT265" s="168"/>
      <c r="FU265" s="168"/>
      <c r="FV265" s="168"/>
      <c r="FW265" s="168"/>
      <c r="FX265" s="168"/>
      <c r="FY265" s="168"/>
      <c r="FZ265" s="168"/>
      <c r="GA265" s="168"/>
      <c r="GB265" s="168"/>
      <c r="GC265" s="168"/>
      <c r="GD265" s="168"/>
      <c r="GE265" s="168"/>
      <c r="GF265" s="168"/>
      <c r="GG265" s="168"/>
      <c r="GH265" s="168"/>
      <c r="GI265" s="168"/>
      <c r="GJ265" s="168"/>
      <c r="GK265" s="168"/>
      <c r="GL265" s="168"/>
      <c r="GM265" s="168"/>
      <c r="GN265" s="168"/>
      <c r="GO265" s="168"/>
      <c r="GP265" s="168"/>
      <c r="GQ265" s="168"/>
      <c r="GR265" s="168"/>
      <c r="GS265" s="168"/>
      <c r="GT265" s="168"/>
      <c r="GU265" s="168"/>
      <c r="GV265" s="168"/>
      <c r="GW265" s="168"/>
      <c r="GX265" s="168"/>
      <c r="GY265" s="168"/>
      <c r="GZ265" s="168"/>
      <c r="HA265" s="168"/>
      <c r="HB265" s="168"/>
      <c r="HC265" s="168"/>
      <c r="HD265" s="168"/>
      <c r="HE265" s="168"/>
      <c r="HF265" s="168"/>
      <c r="HG265" s="168"/>
      <c r="HH265" s="168"/>
      <c r="HI265" s="168"/>
      <c r="HJ265" s="168"/>
      <c r="HK265" s="168"/>
      <c r="HL265" s="168"/>
      <c r="HM265" s="168"/>
      <c r="HN265" s="168"/>
      <c r="HO265" s="168"/>
      <c r="HP265" s="168"/>
      <c r="HQ265" s="168"/>
      <c r="HR265" s="168"/>
      <c r="HS265" s="168"/>
      <c r="HT265" s="168"/>
      <c r="HU265" s="168"/>
      <c r="HV265" s="168"/>
      <c r="HW265" s="168"/>
      <c r="HX265" s="168"/>
      <c r="HY265" s="168"/>
      <c r="HZ265" s="168"/>
      <c r="IA265" s="168"/>
      <c r="IB265" s="168"/>
      <c r="IC265" s="168"/>
      <c r="ID265" s="168"/>
      <c r="IE265" s="168"/>
      <c r="IF265" s="168"/>
      <c r="IG265" s="168"/>
      <c r="IH265" s="168"/>
      <c r="II265" s="168"/>
      <c r="IJ265" s="168"/>
      <c r="IK265" s="168"/>
      <c r="IL265" s="168"/>
      <c r="IM265" s="168"/>
      <c r="IN265" s="168"/>
      <c r="IO265" s="168"/>
      <c r="IP265" s="168"/>
      <c r="IQ265" s="168"/>
      <c r="IR265" s="168"/>
      <c r="IS265" s="168"/>
      <c r="IT265" s="168"/>
      <c r="IU265" s="168"/>
      <c r="IV265" s="168"/>
      <c r="IW265" s="168"/>
      <c r="IX265" s="168"/>
      <c r="IY265" s="168"/>
      <c r="IZ265" s="168"/>
      <c r="JA265" s="168"/>
      <c r="JB265" s="168"/>
      <c r="JC265" s="606"/>
      <c r="JD265" s="609"/>
      <c r="JE265" s="1"/>
      <c r="JF265" s="1"/>
    </row>
    <row r="266" spans="1:266" s="2" customFormat="1" ht="15" customHeight="1" x14ac:dyDescent="0.25">
      <c r="A266" s="283"/>
      <c r="B266" s="303"/>
      <c r="C266" s="301"/>
      <c r="D266" s="638"/>
      <c r="E266" s="2298"/>
      <c r="F266" s="1812"/>
      <c r="G266" s="3342"/>
      <c r="H266" s="66"/>
      <c r="I266" s="1746"/>
      <c r="J266" s="86"/>
      <c r="K266" s="105"/>
      <c r="L266" s="91"/>
      <c r="M266" s="92"/>
      <c r="N266" s="93"/>
      <c r="O266" s="94"/>
      <c r="P266" s="96"/>
      <c r="Q266" s="95"/>
      <c r="R266" s="993">
        <f t="shared" si="769"/>
        <v>0</v>
      </c>
      <c r="S266" s="23">
        <f t="shared" ref="S266:S304" si="783">CHOOSE($AD266,SUMIFS($S$129:$S$304,$AE$129:$AE$304,AE266,$DF$129:$DF$304,1),SUMIFS($S$129:$S$304,$AF$129:$AF$304,AF266,$DF$129:$DF$304,1),V266+Y266+AB266)</f>
        <v>0</v>
      </c>
      <c r="T266" s="24">
        <f t="shared" si="299"/>
        <v>0</v>
      </c>
      <c r="U266" s="24">
        <f t="shared" si="300"/>
        <v>0</v>
      </c>
      <c r="V266" s="24">
        <f t="shared" si="301"/>
        <v>0</v>
      </c>
      <c r="W266" s="24">
        <f t="shared" si="302"/>
        <v>0</v>
      </c>
      <c r="X266" s="72">
        <f t="shared" si="303"/>
        <v>0</v>
      </c>
      <c r="Y266" s="72">
        <f t="shared" si="304"/>
        <v>0</v>
      </c>
      <c r="Z266" s="24">
        <f t="shared" si="770"/>
        <v>0</v>
      </c>
      <c r="AA266" s="72">
        <f t="shared" si="305"/>
        <v>0</v>
      </c>
      <c r="AB266" s="24">
        <f t="shared" si="306"/>
        <v>0</v>
      </c>
      <c r="AC266" s="24" t="s">
        <v>5</v>
      </c>
      <c r="AD266" s="25">
        <f t="shared" si="764"/>
        <v>3</v>
      </c>
      <c r="AE266" s="25">
        <f t="shared" si="765"/>
        <v>0</v>
      </c>
      <c r="AF266" s="25">
        <f t="shared" si="766"/>
        <v>0</v>
      </c>
      <c r="AG266" s="25">
        <f t="shared" ref="AG266:AG304" si="784">IF(OR($G266="NB",DG266="R"),0,1)</f>
        <v>1</v>
      </c>
      <c r="AH266" s="25" t="str">
        <f>IFERROR(MATCH(DY266,'2 Staff List'!$IA$64:$IA$114,0),"x")</f>
        <v>x</v>
      </c>
      <c r="AI266" s="1181">
        <f>IFERROR(INDEX('2 Staff List'!$EX$64:$EX$114,$AH266),0)</f>
        <v>0</v>
      </c>
      <c r="AJ266" s="25">
        <f>IFERROR(INDEX('2 Staff List'!$IW$64:$IW$114,$AH266),0)</f>
        <v>0</v>
      </c>
      <c r="AK266" s="25">
        <f>IFERROR(INDEX('2 Staff List'!$IB$64:$IB$114,$AH266),0)</f>
        <v>0</v>
      </c>
      <c r="AL266" s="25">
        <f>IF(OR(NOT(ISBLANK(DV266)),CX266=1),"&lt;Non-Labor&gt;",IFERROR(IF(AH266=0,0,INDEX('2 Staff List'!$HZ$64:$HZ$114,$AH266)),0))</f>
        <v>0</v>
      </c>
      <c r="AM266" s="25">
        <f>IFERROR(INDEX('2 Staff List'!$HW$64:$HW$114,$AH266),0)</f>
        <v>0</v>
      </c>
      <c r="AN266" s="25">
        <f t="shared" si="308"/>
        <v>1</v>
      </c>
      <c r="AO266" s="25">
        <f>IF($AO$127=0,0,IFERROR(INDEX('2 Staff List'!$JH$64:$JH$114,$AH266),0))</f>
        <v>0</v>
      </c>
      <c r="AP266" s="25">
        <f>IFERROR(INDEX('2 Staff List'!$HU$64:$HU$114,$AH266),0)</f>
        <v>0</v>
      </c>
      <c r="AQ266" s="25">
        <f t="shared" si="309"/>
        <v>0</v>
      </c>
      <c r="AR266" s="25">
        <f t="shared" si="310"/>
        <v>0</v>
      </c>
      <c r="AS266" s="25">
        <f t="shared" si="311"/>
        <v>0</v>
      </c>
      <c r="AT266" s="25">
        <f t="shared" si="312"/>
        <v>0</v>
      </c>
      <c r="AU266" s="25">
        <f t="shared" si="313"/>
        <v>0</v>
      </c>
      <c r="AV266" s="25">
        <f t="shared" si="314"/>
        <v>0</v>
      </c>
      <c r="AW266" s="25">
        <f t="shared" si="315"/>
        <v>0</v>
      </c>
      <c r="AX266" s="25">
        <f t="shared" si="316"/>
        <v>0</v>
      </c>
      <c r="AY266" s="25">
        <f t="shared" si="317"/>
        <v>0</v>
      </c>
      <c r="AZ266" s="25">
        <f t="shared" si="318"/>
        <v>0</v>
      </c>
      <c r="BA266" s="25">
        <f t="shared" si="319"/>
        <v>0</v>
      </c>
      <c r="BB266" s="25">
        <f t="shared" si="320"/>
        <v>0</v>
      </c>
      <c r="BC266" s="25">
        <f>IFERROR(INDEX('2 Staff List'!KS$64:KS$114,$AH266),0)</f>
        <v>0</v>
      </c>
      <c r="BD266" s="25">
        <f>IFERROR(INDEX('2 Staff List'!KT$64:KT$114,$AH266),0)</f>
        <v>0</v>
      </c>
      <c r="BE266" s="25">
        <f>IFERROR(INDEX('2 Staff List'!KU$64:KU$114,$AH266),0)</f>
        <v>0</v>
      </c>
      <c r="BF266" s="25">
        <f>IFERROR(INDEX('2 Staff List'!KV$64:KV$114,$AH266),0)</f>
        <v>0</v>
      </c>
      <c r="BG266" s="25">
        <f>IFERROR(INDEX('2 Staff List'!KW$64:KW$114,$AH266),0)</f>
        <v>0</v>
      </c>
      <c r="BH266" s="25">
        <f>IFERROR(INDEX('2 Staff List'!KX$64:KX$114,$AH266),0)</f>
        <v>0</v>
      </c>
      <c r="BI266" s="25">
        <f>IFERROR(INDEX('2 Staff List'!KY$64:KY$114,$AH266),0)</f>
        <v>0</v>
      </c>
      <c r="BJ266" s="25">
        <f>IFERROR(INDEX('2 Staff List'!KZ$64:KZ$114,$AH266),0)</f>
        <v>0</v>
      </c>
      <c r="BK266" s="25">
        <f>IFERROR(INDEX('2 Staff List'!LA$64:LA$114,$AH266),0)</f>
        <v>0</v>
      </c>
      <c r="BL266" s="25">
        <f>IFERROR(INDEX('2 Staff List'!LB$64:LB$114,$AH266),0)</f>
        <v>0</v>
      </c>
      <c r="BM266" s="25">
        <f>IFERROR(INDEX('2 Staff List'!FT$64:FT$114,$AH266),0)</f>
        <v>0</v>
      </c>
      <c r="BN266" s="25">
        <f>IFERROR(INDEX('2 Staff List'!FU$64:FU$114,$AH266),0)</f>
        <v>0</v>
      </c>
      <c r="BO266" s="25">
        <f>IFERROR(INDEX('2 Staff List'!FV$64:FV$114,$AH266),0)</f>
        <v>0</v>
      </c>
      <c r="BP266" s="25">
        <f>IFERROR(INDEX('2 Staff List'!FW$64:FW$114,$AH266),0)</f>
        <v>0</v>
      </c>
      <c r="BQ266" s="25">
        <f>IFERROR(INDEX('2 Staff List'!FX$64:FX$114,$AH266),0)</f>
        <v>0</v>
      </c>
      <c r="BR266" s="25">
        <f>IFERROR(INDEX('2 Staff List'!FY$64:FY$114,$AH266),0)</f>
        <v>0</v>
      </c>
      <c r="BS266" s="25">
        <f>IFERROR(INDEX('2 Staff List'!FZ$64:FZ$114,$AH266),0)</f>
        <v>0</v>
      </c>
      <c r="BT266" s="25">
        <f>IFERROR(INDEX('2 Staff List'!GA$64:GA$114,$AH266),0)</f>
        <v>0</v>
      </c>
      <c r="BU266" s="25">
        <f>IFERROR(INDEX('2 Staff List'!GB$64:GB$114,$AH266),0)</f>
        <v>0</v>
      </c>
      <c r="BV266" s="25">
        <f>IFERROR(INDEX('2 Staff List'!GC$64:GC$114,$AH266),0)</f>
        <v>0</v>
      </c>
      <c r="BW266" s="25">
        <f t="shared" si="321"/>
        <v>0</v>
      </c>
      <c r="BX266" s="25">
        <f t="shared" si="322"/>
        <v>0</v>
      </c>
      <c r="BY266" s="25">
        <f t="shared" si="323"/>
        <v>0</v>
      </c>
      <c r="BZ266" s="25">
        <f t="shared" si="324"/>
        <v>0</v>
      </c>
      <c r="CA266" s="25">
        <f t="shared" si="325"/>
        <v>0</v>
      </c>
      <c r="CB266" s="25">
        <f t="shared" si="326"/>
        <v>0</v>
      </c>
      <c r="CC266" s="25">
        <f t="shared" si="327"/>
        <v>0</v>
      </c>
      <c r="CD266" s="25">
        <f t="shared" si="328"/>
        <v>0</v>
      </c>
      <c r="CE266" s="25">
        <f t="shared" si="329"/>
        <v>0</v>
      </c>
      <c r="CF266" s="25">
        <f t="shared" si="330"/>
        <v>0</v>
      </c>
      <c r="CG266" s="25">
        <f t="shared" si="331"/>
        <v>0</v>
      </c>
      <c r="CH266" s="25">
        <f>IFERROR(INDEX('2 Staff List'!LO$64:LO$114,$AH266),0)</f>
        <v>0</v>
      </c>
      <c r="CI266" s="25">
        <f>IFERROR(INDEX('2 Staff List'!LP$64:LP$114,$AH266),0)</f>
        <v>0</v>
      </c>
      <c r="CJ266" s="25">
        <f>IFERROR(INDEX('2 Staff List'!LQ$64:LQ$114,$AH266),0)</f>
        <v>0</v>
      </c>
      <c r="CK266" s="25">
        <f>IFERROR(INDEX('2 Staff List'!LR$64:LR$114,$AH266),0)</f>
        <v>0</v>
      </c>
      <c r="CL266" s="25">
        <f>IFERROR(INDEX('2 Staff List'!LS$64:LS$114,$AH266),0)</f>
        <v>0</v>
      </c>
      <c r="CM266" s="25">
        <f>IFERROR(INDEX('2 Staff List'!LT$64:LT$114,$AH266),0)</f>
        <v>0</v>
      </c>
      <c r="CN266" s="25">
        <f>IFERROR(INDEX('2 Staff List'!LU$64:LU$114,$AH266),0)</f>
        <v>0</v>
      </c>
      <c r="CO266" s="25">
        <f>IFERROR(INDEX('2 Staff List'!LV$64:LV$114,$AH266),0)</f>
        <v>0</v>
      </c>
      <c r="CP266" s="25">
        <f>IFERROR(INDEX('2 Staff List'!LW$64:LW$114,$AH266),0)</f>
        <v>0</v>
      </c>
      <c r="CQ266" s="25">
        <f>IFERROR(INDEX('2 Staff List'!LX$64:LX$114,$AH266),0)</f>
        <v>0</v>
      </c>
      <c r="CR266" s="25">
        <f t="shared" si="771"/>
        <v>0</v>
      </c>
      <c r="CS266" s="25">
        <f t="shared" si="774"/>
        <v>1</v>
      </c>
      <c r="CT266" s="25">
        <f t="shared" si="333"/>
        <v>1</v>
      </c>
      <c r="CU266" s="25">
        <f t="shared" si="334"/>
        <v>1</v>
      </c>
      <c r="CV266" s="25">
        <f t="shared" si="335"/>
        <v>1</v>
      </c>
      <c r="CW266" s="25">
        <f t="shared" si="336"/>
        <v>1</v>
      </c>
      <c r="CX266" s="25">
        <f t="shared" si="337"/>
        <v>0</v>
      </c>
      <c r="CY266" s="25">
        <f t="shared" si="779"/>
        <v>0</v>
      </c>
      <c r="CZ266" s="25">
        <f t="shared" si="339"/>
        <v>0</v>
      </c>
      <c r="DA266" s="25">
        <f t="shared" si="340"/>
        <v>1</v>
      </c>
      <c r="DB266" s="25">
        <f t="shared" si="767"/>
        <v>1</v>
      </c>
      <c r="DC266" s="25">
        <f t="shared" si="341"/>
        <v>0</v>
      </c>
      <c r="DD266" s="25">
        <f>IF(OR($AD266&lt;&gt;3,F266="Exclude"),0,IF(ISERROR(MATCH($E266,'4 Sign-off'!$S$123:$X$123,0)),0,1))</f>
        <v>0</v>
      </c>
      <c r="DE266" s="25">
        <f t="shared" si="782"/>
        <v>0</v>
      </c>
      <c r="DF266" s="25">
        <f t="shared" si="342"/>
        <v>0</v>
      </c>
      <c r="DG266" s="25" t="str">
        <f t="shared" si="343"/>
        <v/>
      </c>
      <c r="DH266" s="25">
        <f t="shared" si="780"/>
        <v>0</v>
      </c>
      <c r="DI266" s="25">
        <f t="shared" si="778"/>
        <v>0</v>
      </c>
      <c r="DJ266" s="25">
        <f>IF(ISBLANK(J266),0,ISERROR(MATCH(J266,'5  Control Accounts'!$FA$29:$FA$96,0))*1)</f>
        <v>0</v>
      </c>
      <c r="DK266" s="25">
        <f t="shared" si="346"/>
        <v>0</v>
      </c>
      <c r="DL266" s="25">
        <f t="shared" si="768"/>
        <v>-1</v>
      </c>
      <c r="DM266" s="25" t="e">
        <f t="array" ref="DM266">MATCH(1,($EG266:$JD266&gt;0)*$EG$17:$JD$17,0)</f>
        <v>#N/A</v>
      </c>
      <c r="DN266" s="25" t="e">
        <f t="shared" si="775"/>
        <v>#N/A</v>
      </c>
      <c r="DO266" s="25" t="e">
        <f t="array" ref="DO266">MATCH(2,1/(EG266:JD266&gt;0))</f>
        <v>#N/A</v>
      </c>
      <c r="DP266" s="2993">
        <f t="shared" si="347"/>
        <v>0</v>
      </c>
      <c r="DQ266" s="3037">
        <f t="shared" si="348"/>
        <v>0</v>
      </c>
      <c r="DR266" s="111"/>
      <c r="DS266" s="1268">
        <f t="shared" si="781"/>
        <v>0</v>
      </c>
      <c r="DT266" s="1825"/>
      <c r="DU266" s="1826"/>
      <c r="DV266" s="1827"/>
      <c r="DW266" s="1828"/>
      <c r="DX266" s="659"/>
      <c r="DY266" s="1265"/>
      <c r="DZ266" s="1785">
        <f t="shared" si="772"/>
        <v>0</v>
      </c>
      <c r="EA266" s="1786">
        <f t="shared" si="773"/>
        <v>0</v>
      </c>
      <c r="EB266" s="1781">
        <f t="shared" si="776"/>
        <v>0</v>
      </c>
      <c r="EC266" s="1782">
        <f t="shared" si="777"/>
        <v>0</v>
      </c>
      <c r="ED266" s="1262"/>
      <c r="EE266" s="2280"/>
      <c r="EF266" s="1802"/>
      <c r="EG266" s="167"/>
      <c r="EH266" s="168"/>
      <c r="EI266" s="168"/>
      <c r="EJ266" s="168"/>
      <c r="EK266" s="168"/>
      <c r="EL266" s="168"/>
      <c r="EM266" s="168"/>
      <c r="EN266" s="168"/>
      <c r="EO266" s="168"/>
      <c r="EP266" s="168"/>
      <c r="EQ266" s="168"/>
      <c r="ER266" s="168"/>
      <c r="ES266" s="168"/>
      <c r="ET266" s="168"/>
      <c r="EU266" s="168"/>
      <c r="EV266" s="168"/>
      <c r="EW266" s="168"/>
      <c r="EX266" s="168"/>
      <c r="EY266" s="168"/>
      <c r="EZ266" s="168"/>
      <c r="FA266" s="168"/>
      <c r="FB266" s="168"/>
      <c r="FC266" s="168"/>
      <c r="FD266" s="168"/>
      <c r="FE266" s="168"/>
      <c r="FF266" s="168"/>
      <c r="FG266" s="168"/>
      <c r="FH266" s="168"/>
      <c r="FI266" s="168"/>
      <c r="FJ266" s="168"/>
      <c r="FK266" s="168"/>
      <c r="FL266" s="168"/>
      <c r="FM266" s="168"/>
      <c r="FN266" s="168"/>
      <c r="FO266" s="168"/>
      <c r="FP266" s="168"/>
      <c r="FQ266" s="168"/>
      <c r="FR266" s="168"/>
      <c r="FS266" s="168"/>
      <c r="FT266" s="168"/>
      <c r="FU266" s="168"/>
      <c r="FV266" s="168"/>
      <c r="FW266" s="168"/>
      <c r="FX266" s="168"/>
      <c r="FY266" s="168"/>
      <c r="FZ266" s="168"/>
      <c r="GA266" s="168"/>
      <c r="GB266" s="168"/>
      <c r="GC266" s="168"/>
      <c r="GD266" s="168"/>
      <c r="GE266" s="168"/>
      <c r="GF266" s="168"/>
      <c r="GG266" s="168"/>
      <c r="GH266" s="168"/>
      <c r="GI266" s="168"/>
      <c r="GJ266" s="168"/>
      <c r="GK266" s="168"/>
      <c r="GL266" s="168"/>
      <c r="GM266" s="168"/>
      <c r="GN266" s="168"/>
      <c r="GO266" s="168"/>
      <c r="GP266" s="168"/>
      <c r="GQ266" s="168"/>
      <c r="GR266" s="168"/>
      <c r="GS266" s="168"/>
      <c r="GT266" s="168"/>
      <c r="GU266" s="168"/>
      <c r="GV266" s="168"/>
      <c r="GW266" s="168"/>
      <c r="GX266" s="168"/>
      <c r="GY266" s="168"/>
      <c r="GZ266" s="168"/>
      <c r="HA266" s="168"/>
      <c r="HB266" s="168"/>
      <c r="HC266" s="168"/>
      <c r="HD266" s="168"/>
      <c r="HE266" s="168"/>
      <c r="HF266" s="168"/>
      <c r="HG266" s="168"/>
      <c r="HH266" s="168"/>
      <c r="HI266" s="168"/>
      <c r="HJ266" s="168"/>
      <c r="HK266" s="168"/>
      <c r="HL266" s="168"/>
      <c r="HM266" s="168"/>
      <c r="HN266" s="168"/>
      <c r="HO266" s="168"/>
      <c r="HP266" s="168"/>
      <c r="HQ266" s="168"/>
      <c r="HR266" s="168"/>
      <c r="HS266" s="168"/>
      <c r="HT266" s="168"/>
      <c r="HU266" s="168"/>
      <c r="HV266" s="168"/>
      <c r="HW266" s="168"/>
      <c r="HX266" s="168"/>
      <c r="HY266" s="168"/>
      <c r="HZ266" s="168"/>
      <c r="IA266" s="168"/>
      <c r="IB266" s="168"/>
      <c r="IC266" s="168"/>
      <c r="ID266" s="168"/>
      <c r="IE266" s="168"/>
      <c r="IF266" s="168"/>
      <c r="IG266" s="168"/>
      <c r="IH266" s="168"/>
      <c r="II266" s="168"/>
      <c r="IJ266" s="168"/>
      <c r="IK266" s="168"/>
      <c r="IL266" s="168"/>
      <c r="IM266" s="168"/>
      <c r="IN266" s="168"/>
      <c r="IO266" s="168"/>
      <c r="IP266" s="168"/>
      <c r="IQ266" s="168"/>
      <c r="IR266" s="168"/>
      <c r="IS266" s="168"/>
      <c r="IT266" s="168"/>
      <c r="IU266" s="168"/>
      <c r="IV266" s="168"/>
      <c r="IW266" s="168"/>
      <c r="IX266" s="168"/>
      <c r="IY266" s="168"/>
      <c r="IZ266" s="168"/>
      <c r="JA266" s="168"/>
      <c r="JB266" s="168"/>
      <c r="JC266" s="606"/>
      <c r="JD266" s="609"/>
      <c r="JE266" s="1"/>
      <c r="JF266" s="1"/>
    </row>
    <row r="267" spans="1:266" s="2" customFormat="1" ht="15" customHeight="1" x14ac:dyDescent="0.25">
      <c r="A267" s="283"/>
      <c r="B267" s="303"/>
      <c r="C267" s="301"/>
      <c r="D267" s="638"/>
      <c r="E267" s="2298"/>
      <c r="F267" s="1812"/>
      <c r="G267" s="3342"/>
      <c r="H267" s="66"/>
      <c r="I267" s="1746"/>
      <c r="J267" s="86"/>
      <c r="K267" s="105"/>
      <c r="L267" s="91"/>
      <c r="M267" s="92"/>
      <c r="N267" s="93"/>
      <c r="O267" s="94"/>
      <c r="P267" s="96"/>
      <c r="Q267" s="95"/>
      <c r="R267" s="993">
        <f t="shared" si="769"/>
        <v>0</v>
      </c>
      <c r="S267" s="23">
        <f t="shared" si="783"/>
        <v>0</v>
      </c>
      <c r="T267" s="24">
        <f t="shared" si="299"/>
        <v>0</v>
      </c>
      <c r="U267" s="24">
        <f t="shared" si="300"/>
        <v>0</v>
      </c>
      <c r="V267" s="24">
        <f t="shared" si="301"/>
        <v>0</v>
      </c>
      <c r="W267" s="24">
        <f t="shared" si="302"/>
        <v>0</v>
      </c>
      <c r="X267" s="72">
        <f t="shared" si="303"/>
        <v>0</v>
      </c>
      <c r="Y267" s="72">
        <f t="shared" si="304"/>
        <v>0</v>
      </c>
      <c r="Z267" s="24">
        <f t="shared" si="770"/>
        <v>0</v>
      </c>
      <c r="AA267" s="72">
        <f t="shared" si="305"/>
        <v>0</v>
      </c>
      <c r="AB267" s="24">
        <f t="shared" si="306"/>
        <v>0</v>
      </c>
      <c r="AC267" s="24" t="s">
        <v>5</v>
      </c>
      <c r="AD267" s="25">
        <f t="shared" si="764"/>
        <v>3</v>
      </c>
      <c r="AE267" s="25">
        <f t="shared" si="765"/>
        <v>0</v>
      </c>
      <c r="AF267" s="25">
        <f t="shared" si="766"/>
        <v>0</v>
      </c>
      <c r="AG267" s="25">
        <f t="shared" si="784"/>
        <v>1</v>
      </c>
      <c r="AH267" s="25" t="str">
        <f>IFERROR(MATCH(DY267,'2 Staff List'!$IA$64:$IA$114,0),"x")</f>
        <v>x</v>
      </c>
      <c r="AI267" s="1181">
        <f>IFERROR(INDEX('2 Staff List'!$EX$64:$EX$114,$AH267),0)</f>
        <v>0</v>
      </c>
      <c r="AJ267" s="25">
        <f>IFERROR(INDEX('2 Staff List'!$IW$64:$IW$114,$AH267),0)</f>
        <v>0</v>
      </c>
      <c r="AK267" s="25">
        <f>IFERROR(INDEX('2 Staff List'!$IB$64:$IB$114,$AH267),0)</f>
        <v>0</v>
      </c>
      <c r="AL267" s="25">
        <f>IF(OR(NOT(ISBLANK(DV267)),CX267=1),"&lt;Non-Labor&gt;",IFERROR(IF(AH267=0,0,INDEX('2 Staff List'!$HZ$64:$HZ$114,$AH267)),0))</f>
        <v>0</v>
      </c>
      <c r="AM267" s="25">
        <f>IFERROR(INDEX('2 Staff List'!$HW$64:$HW$114,$AH267),0)</f>
        <v>0</v>
      </c>
      <c r="AN267" s="25">
        <f t="shared" si="308"/>
        <v>1</v>
      </c>
      <c r="AO267" s="25">
        <f>IF($AO$127=0,0,IFERROR(INDEX('2 Staff List'!$JH$64:$JH$114,$AH267),0))</f>
        <v>0</v>
      </c>
      <c r="AP267" s="25">
        <f>IFERROR(INDEX('2 Staff List'!$HU$64:$HU$114,$AH267),0)</f>
        <v>0</v>
      </c>
      <c r="AQ267" s="25">
        <f t="shared" si="309"/>
        <v>0</v>
      </c>
      <c r="AR267" s="25">
        <f t="shared" si="310"/>
        <v>0</v>
      </c>
      <c r="AS267" s="25">
        <f t="shared" si="311"/>
        <v>0</v>
      </c>
      <c r="AT267" s="25">
        <f t="shared" si="312"/>
        <v>0</v>
      </c>
      <c r="AU267" s="25">
        <f t="shared" si="313"/>
        <v>0</v>
      </c>
      <c r="AV267" s="25">
        <f t="shared" si="314"/>
        <v>0</v>
      </c>
      <c r="AW267" s="25">
        <f t="shared" si="315"/>
        <v>0</v>
      </c>
      <c r="AX267" s="25">
        <f t="shared" si="316"/>
        <v>0</v>
      </c>
      <c r="AY267" s="25">
        <f t="shared" si="317"/>
        <v>0</v>
      </c>
      <c r="AZ267" s="25">
        <f t="shared" si="318"/>
        <v>0</v>
      </c>
      <c r="BA267" s="25">
        <f t="shared" si="319"/>
        <v>0</v>
      </c>
      <c r="BB267" s="25">
        <f t="shared" si="320"/>
        <v>0</v>
      </c>
      <c r="BC267" s="25">
        <f>IFERROR(INDEX('2 Staff List'!KS$64:KS$114,$AH267),0)</f>
        <v>0</v>
      </c>
      <c r="BD267" s="25">
        <f>IFERROR(INDEX('2 Staff List'!KT$64:KT$114,$AH267),0)</f>
        <v>0</v>
      </c>
      <c r="BE267" s="25">
        <f>IFERROR(INDEX('2 Staff List'!KU$64:KU$114,$AH267),0)</f>
        <v>0</v>
      </c>
      <c r="BF267" s="25">
        <f>IFERROR(INDEX('2 Staff List'!KV$64:KV$114,$AH267),0)</f>
        <v>0</v>
      </c>
      <c r="BG267" s="25">
        <f>IFERROR(INDEX('2 Staff List'!KW$64:KW$114,$AH267),0)</f>
        <v>0</v>
      </c>
      <c r="BH267" s="25">
        <f>IFERROR(INDEX('2 Staff List'!KX$64:KX$114,$AH267),0)</f>
        <v>0</v>
      </c>
      <c r="BI267" s="25">
        <f>IFERROR(INDEX('2 Staff List'!KY$64:KY$114,$AH267),0)</f>
        <v>0</v>
      </c>
      <c r="BJ267" s="25">
        <f>IFERROR(INDEX('2 Staff List'!KZ$64:KZ$114,$AH267),0)</f>
        <v>0</v>
      </c>
      <c r="BK267" s="25">
        <f>IFERROR(INDEX('2 Staff List'!LA$64:LA$114,$AH267),0)</f>
        <v>0</v>
      </c>
      <c r="BL267" s="25">
        <f>IFERROR(INDEX('2 Staff List'!LB$64:LB$114,$AH267),0)</f>
        <v>0</v>
      </c>
      <c r="BM267" s="25">
        <f>IFERROR(INDEX('2 Staff List'!FT$64:FT$114,$AH267),0)</f>
        <v>0</v>
      </c>
      <c r="BN267" s="25">
        <f>IFERROR(INDEX('2 Staff List'!FU$64:FU$114,$AH267),0)</f>
        <v>0</v>
      </c>
      <c r="BO267" s="25">
        <f>IFERROR(INDEX('2 Staff List'!FV$64:FV$114,$AH267),0)</f>
        <v>0</v>
      </c>
      <c r="BP267" s="25">
        <f>IFERROR(INDEX('2 Staff List'!FW$64:FW$114,$AH267),0)</f>
        <v>0</v>
      </c>
      <c r="BQ267" s="25">
        <f>IFERROR(INDEX('2 Staff List'!FX$64:FX$114,$AH267),0)</f>
        <v>0</v>
      </c>
      <c r="BR267" s="25">
        <f>IFERROR(INDEX('2 Staff List'!FY$64:FY$114,$AH267),0)</f>
        <v>0</v>
      </c>
      <c r="BS267" s="25">
        <f>IFERROR(INDEX('2 Staff List'!FZ$64:FZ$114,$AH267),0)</f>
        <v>0</v>
      </c>
      <c r="BT267" s="25">
        <f>IFERROR(INDEX('2 Staff List'!GA$64:GA$114,$AH267),0)</f>
        <v>0</v>
      </c>
      <c r="BU267" s="25">
        <f>IFERROR(INDEX('2 Staff List'!GB$64:GB$114,$AH267),0)</f>
        <v>0</v>
      </c>
      <c r="BV267" s="25">
        <f>IFERROR(INDEX('2 Staff List'!GC$64:GC$114,$AH267),0)</f>
        <v>0</v>
      </c>
      <c r="BW267" s="25">
        <f t="shared" si="321"/>
        <v>0</v>
      </c>
      <c r="BX267" s="25">
        <f t="shared" si="322"/>
        <v>0</v>
      </c>
      <c r="BY267" s="25">
        <f t="shared" si="323"/>
        <v>0</v>
      </c>
      <c r="BZ267" s="25">
        <f t="shared" si="324"/>
        <v>0</v>
      </c>
      <c r="CA267" s="25">
        <f t="shared" si="325"/>
        <v>0</v>
      </c>
      <c r="CB267" s="25">
        <f t="shared" si="326"/>
        <v>0</v>
      </c>
      <c r="CC267" s="25">
        <f t="shared" si="327"/>
        <v>0</v>
      </c>
      <c r="CD267" s="25">
        <f t="shared" si="328"/>
        <v>0</v>
      </c>
      <c r="CE267" s="25">
        <f t="shared" si="329"/>
        <v>0</v>
      </c>
      <c r="CF267" s="25">
        <f t="shared" si="330"/>
        <v>0</v>
      </c>
      <c r="CG267" s="25">
        <f t="shared" si="331"/>
        <v>0</v>
      </c>
      <c r="CH267" s="25">
        <f>IFERROR(INDEX('2 Staff List'!LO$64:LO$114,$AH267),0)</f>
        <v>0</v>
      </c>
      <c r="CI267" s="25">
        <f>IFERROR(INDEX('2 Staff List'!LP$64:LP$114,$AH267),0)</f>
        <v>0</v>
      </c>
      <c r="CJ267" s="25">
        <f>IFERROR(INDEX('2 Staff List'!LQ$64:LQ$114,$AH267),0)</f>
        <v>0</v>
      </c>
      <c r="CK267" s="25">
        <f>IFERROR(INDEX('2 Staff List'!LR$64:LR$114,$AH267),0)</f>
        <v>0</v>
      </c>
      <c r="CL267" s="25">
        <f>IFERROR(INDEX('2 Staff List'!LS$64:LS$114,$AH267),0)</f>
        <v>0</v>
      </c>
      <c r="CM267" s="25">
        <f>IFERROR(INDEX('2 Staff List'!LT$64:LT$114,$AH267),0)</f>
        <v>0</v>
      </c>
      <c r="CN267" s="25">
        <f>IFERROR(INDEX('2 Staff List'!LU$64:LU$114,$AH267),0)</f>
        <v>0</v>
      </c>
      <c r="CO267" s="25">
        <f>IFERROR(INDEX('2 Staff List'!LV$64:LV$114,$AH267),0)</f>
        <v>0</v>
      </c>
      <c r="CP267" s="25">
        <f>IFERROR(INDEX('2 Staff List'!LW$64:LW$114,$AH267),0)</f>
        <v>0</v>
      </c>
      <c r="CQ267" s="25">
        <f>IFERROR(INDEX('2 Staff List'!LX$64:LX$114,$AH267),0)</f>
        <v>0</v>
      </c>
      <c r="CR267" s="25">
        <f t="shared" si="771"/>
        <v>0</v>
      </c>
      <c r="CS267" s="25">
        <f t="shared" si="774"/>
        <v>1</v>
      </c>
      <c r="CT267" s="25">
        <f t="shared" si="333"/>
        <v>1</v>
      </c>
      <c r="CU267" s="25">
        <f t="shared" si="334"/>
        <v>1</v>
      </c>
      <c r="CV267" s="25">
        <f t="shared" si="335"/>
        <v>1</v>
      </c>
      <c r="CW267" s="25">
        <f t="shared" si="336"/>
        <v>1</v>
      </c>
      <c r="CX267" s="25">
        <f t="shared" si="337"/>
        <v>0</v>
      </c>
      <c r="CY267" s="25">
        <f t="shared" si="779"/>
        <v>0</v>
      </c>
      <c r="CZ267" s="25">
        <f t="shared" si="339"/>
        <v>0</v>
      </c>
      <c r="DA267" s="25">
        <f t="shared" si="340"/>
        <v>1</v>
      </c>
      <c r="DB267" s="25">
        <f t="shared" si="767"/>
        <v>1</v>
      </c>
      <c r="DC267" s="25">
        <f t="shared" si="341"/>
        <v>0</v>
      </c>
      <c r="DD267" s="25">
        <f>IF(OR($AD267&lt;&gt;3,F267="Exclude"),0,IF(ISERROR(MATCH($E267,'4 Sign-off'!$S$123:$X$123,0)),0,1))</f>
        <v>0</v>
      </c>
      <c r="DE267" s="25">
        <f t="shared" si="782"/>
        <v>0</v>
      </c>
      <c r="DF267" s="25">
        <f t="shared" si="342"/>
        <v>0</v>
      </c>
      <c r="DG267" s="25" t="str">
        <f t="shared" si="343"/>
        <v/>
      </c>
      <c r="DH267" s="25">
        <f t="shared" si="780"/>
        <v>0</v>
      </c>
      <c r="DI267" s="25">
        <f t="shared" si="778"/>
        <v>0</v>
      </c>
      <c r="DJ267" s="25">
        <f>IF(ISBLANK(J267),0,ISERROR(MATCH(J267,'5  Control Accounts'!$FA$29:$FA$96,0))*1)</f>
        <v>0</v>
      </c>
      <c r="DK267" s="25">
        <f t="shared" si="346"/>
        <v>0</v>
      </c>
      <c r="DL267" s="25">
        <f t="shared" si="768"/>
        <v>-1</v>
      </c>
      <c r="DM267" s="25" t="e">
        <f t="array" ref="DM267">MATCH(1,($EG267:$JD267&gt;0)*$EG$17:$JD$17,0)</f>
        <v>#N/A</v>
      </c>
      <c r="DN267" s="25" t="e">
        <f t="shared" si="775"/>
        <v>#N/A</v>
      </c>
      <c r="DO267" s="25" t="e">
        <f t="array" ref="DO267">MATCH(2,1/(EG267:JD267&gt;0))</f>
        <v>#N/A</v>
      </c>
      <c r="DP267" s="2993">
        <f t="shared" si="347"/>
        <v>0</v>
      </c>
      <c r="DQ267" s="3037">
        <f t="shared" si="348"/>
        <v>0</v>
      </c>
      <c r="DR267" s="111"/>
      <c r="DS267" s="1268">
        <f t="shared" si="781"/>
        <v>0</v>
      </c>
      <c r="DT267" s="1825"/>
      <c r="DU267" s="1826"/>
      <c r="DV267" s="1827"/>
      <c r="DW267" s="1828"/>
      <c r="DX267" s="659"/>
      <c r="DY267" s="1265"/>
      <c r="DZ267" s="1785">
        <f t="shared" si="772"/>
        <v>0</v>
      </c>
      <c r="EA267" s="1786">
        <f t="shared" si="773"/>
        <v>0</v>
      </c>
      <c r="EB267" s="1781">
        <f t="shared" si="776"/>
        <v>0</v>
      </c>
      <c r="EC267" s="1782">
        <f t="shared" si="777"/>
        <v>0</v>
      </c>
      <c r="ED267" s="1262"/>
      <c r="EE267" s="2280"/>
      <c r="EF267" s="1802"/>
      <c r="EG267" s="167"/>
      <c r="EH267" s="168"/>
      <c r="EI267" s="168"/>
      <c r="EJ267" s="168"/>
      <c r="EK267" s="168"/>
      <c r="EL267" s="168"/>
      <c r="EM267" s="168"/>
      <c r="EN267" s="168"/>
      <c r="EO267" s="168"/>
      <c r="EP267" s="168"/>
      <c r="EQ267" s="168"/>
      <c r="ER267" s="168"/>
      <c r="ES267" s="168"/>
      <c r="ET267" s="168"/>
      <c r="EU267" s="168"/>
      <c r="EV267" s="168"/>
      <c r="EW267" s="168"/>
      <c r="EX267" s="168"/>
      <c r="EY267" s="168"/>
      <c r="EZ267" s="168"/>
      <c r="FA267" s="168"/>
      <c r="FB267" s="168"/>
      <c r="FC267" s="168"/>
      <c r="FD267" s="168"/>
      <c r="FE267" s="168"/>
      <c r="FF267" s="168"/>
      <c r="FG267" s="168"/>
      <c r="FH267" s="168"/>
      <c r="FI267" s="168"/>
      <c r="FJ267" s="168"/>
      <c r="FK267" s="168"/>
      <c r="FL267" s="168"/>
      <c r="FM267" s="168"/>
      <c r="FN267" s="168"/>
      <c r="FO267" s="168"/>
      <c r="FP267" s="168"/>
      <c r="FQ267" s="168"/>
      <c r="FR267" s="168"/>
      <c r="FS267" s="168"/>
      <c r="FT267" s="168"/>
      <c r="FU267" s="168"/>
      <c r="FV267" s="168"/>
      <c r="FW267" s="168"/>
      <c r="FX267" s="168"/>
      <c r="FY267" s="168"/>
      <c r="FZ267" s="168"/>
      <c r="GA267" s="168"/>
      <c r="GB267" s="168"/>
      <c r="GC267" s="168"/>
      <c r="GD267" s="168"/>
      <c r="GE267" s="168"/>
      <c r="GF267" s="168"/>
      <c r="GG267" s="168"/>
      <c r="GH267" s="168"/>
      <c r="GI267" s="168"/>
      <c r="GJ267" s="168"/>
      <c r="GK267" s="168"/>
      <c r="GL267" s="168"/>
      <c r="GM267" s="168"/>
      <c r="GN267" s="168"/>
      <c r="GO267" s="168"/>
      <c r="GP267" s="168"/>
      <c r="GQ267" s="168"/>
      <c r="GR267" s="168"/>
      <c r="GS267" s="168"/>
      <c r="GT267" s="168"/>
      <c r="GU267" s="168"/>
      <c r="GV267" s="168"/>
      <c r="GW267" s="168"/>
      <c r="GX267" s="168"/>
      <c r="GY267" s="168"/>
      <c r="GZ267" s="168"/>
      <c r="HA267" s="168"/>
      <c r="HB267" s="168"/>
      <c r="HC267" s="168"/>
      <c r="HD267" s="168"/>
      <c r="HE267" s="168"/>
      <c r="HF267" s="168"/>
      <c r="HG267" s="168"/>
      <c r="HH267" s="168"/>
      <c r="HI267" s="168"/>
      <c r="HJ267" s="168"/>
      <c r="HK267" s="168"/>
      <c r="HL267" s="168"/>
      <c r="HM267" s="168"/>
      <c r="HN267" s="168"/>
      <c r="HO267" s="168"/>
      <c r="HP267" s="168"/>
      <c r="HQ267" s="168"/>
      <c r="HR267" s="168"/>
      <c r="HS267" s="168"/>
      <c r="HT267" s="168"/>
      <c r="HU267" s="168"/>
      <c r="HV267" s="168"/>
      <c r="HW267" s="168"/>
      <c r="HX267" s="168"/>
      <c r="HY267" s="168"/>
      <c r="HZ267" s="168"/>
      <c r="IA267" s="168"/>
      <c r="IB267" s="168"/>
      <c r="IC267" s="168"/>
      <c r="ID267" s="168"/>
      <c r="IE267" s="168"/>
      <c r="IF267" s="168"/>
      <c r="IG267" s="168"/>
      <c r="IH267" s="168"/>
      <c r="II267" s="168"/>
      <c r="IJ267" s="168"/>
      <c r="IK267" s="168"/>
      <c r="IL267" s="168"/>
      <c r="IM267" s="168"/>
      <c r="IN267" s="168"/>
      <c r="IO267" s="168"/>
      <c r="IP267" s="168"/>
      <c r="IQ267" s="168"/>
      <c r="IR267" s="168"/>
      <c r="IS267" s="168"/>
      <c r="IT267" s="168"/>
      <c r="IU267" s="168"/>
      <c r="IV267" s="168"/>
      <c r="IW267" s="168"/>
      <c r="IX267" s="168"/>
      <c r="IY267" s="168"/>
      <c r="IZ267" s="168"/>
      <c r="JA267" s="168"/>
      <c r="JB267" s="168"/>
      <c r="JC267" s="606"/>
      <c r="JD267" s="609"/>
      <c r="JE267" s="1"/>
      <c r="JF267" s="1"/>
    </row>
    <row r="268" spans="1:266" s="2" customFormat="1" ht="15" customHeight="1" x14ac:dyDescent="0.25">
      <c r="A268" s="283"/>
      <c r="B268" s="303"/>
      <c r="C268" s="301"/>
      <c r="D268" s="638"/>
      <c r="E268" s="2298"/>
      <c r="F268" s="1812"/>
      <c r="G268" s="3342"/>
      <c r="H268" s="66"/>
      <c r="I268" s="1746"/>
      <c r="J268" s="86"/>
      <c r="K268" s="105"/>
      <c r="L268" s="91"/>
      <c r="M268" s="92"/>
      <c r="N268" s="93"/>
      <c r="O268" s="94"/>
      <c r="P268" s="96"/>
      <c r="Q268" s="95"/>
      <c r="R268" s="993">
        <f t="shared" si="769"/>
        <v>0</v>
      </c>
      <c r="S268" s="23">
        <f t="shared" si="783"/>
        <v>0</v>
      </c>
      <c r="T268" s="24">
        <f t="shared" si="299"/>
        <v>0</v>
      </c>
      <c r="U268" s="24">
        <f t="shared" si="300"/>
        <v>0</v>
      </c>
      <c r="V268" s="24">
        <f t="shared" si="301"/>
        <v>0</v>
      </c>
      <c r="W268" s="24">
        <f t="shared" si="302"/>
        <v>0</v>
      </c>
      <c r="X268" s="72">
        <f t="shared" si="303"/>
        <v>0</v>
      </c>
      <c r="Y268" s="72">
        <f t="shared" si="304"/>
        <v>0</v>
      </c>
      <c r="Z268" s="24">
        <f t="shared" si="770"/>
        <v>0</v>
      </c>
      <c r="AA268" s="72">
        <f t="shared" si="305"/>
        <v>0</v>
      </c>
      <c r="AB268" s="24">
        <f t="shared" si="306"/>
        <v>0</v>
      </c>
      <c r="AC268" s="24" t="s">
        <v>5</v>
      </c>
      <c r="AD268" s="25">
        <f t="shared" si="764"/>
        <v>3</v>
      </c>
      <c r="AE268" s="25">
        <f t="shared" si="765"/>
        <v>0</v>
      </c>
      <c r="AF268" s="25">
        <f t="shared" si="766"/>
        <v>0</v>
      </c>
      <c r="AG268" s="25">
        <f t="shared" si="784"/>
        <v>1</v>
      </c>
      <c r="AH268" s="25" t="str">
        <f>IFERROR(MATCH(DY268,'2 Staff List'!$IA$64:$IA$114,0),"x")</f>
        <v>x</v>
      </c>
      <c r="AI268" s="1181">
        <f>IFERROR(INDEX('2 Staff List'!$EX$64:$EX$114,$AH268),0)</f>
        <v>0</v>
      </c>
      <c r="AJ268" s="25">
        <f>IFERROR(INDEX('2 Staff List'!$IW$64:$IW$114,$AH268),0)</f>
        <v>0</v>
      </c>
      <c r="AK268" s="25">
        <f>IFERROR(INDEX('2 Staff List'!$IB$64:$IB$114,$AH268),0)</f>
        <v>0</v>
      </c>
      <c r="AL268" s="25">
        <f>IF(OR(NOT(ISBLANK(DV268)),CX268=1),"&lt;Non-Labor&gt;",IFERROR(IF(AH268=0,0,INDEX('2 Staff List'!$HZ$64:$HZ$114,$AH268)),0))</f>
        <v>0</v>
      </c>
      <c r="AM268" s="25">
        <f>IFERROR(INDEX('2 Staff List'!$HW$64:$HW$114,$AH268),0)</f>
        <v>0</v>
      </c>
      <c r="AN268" s="25">
        <f t="shared" si="308"/>
        <v>1</v>
      </c>
      <c r="AO268" s="25">
        <f>IF($AO$127=0,0,IFERROR(INDEX('2 Staff List'!$JH$64:$JH$114,$AH268),0))</f>
        <v>0</v>
      </c>
      <c r="AP268" s="25">
        <f>IFERROR(INDEX('2 Staff List'!$HU$64:$HU$114,$AH268),0)</f>
        <v>0</v>
      </c>
      <c r="AQ268" s="25">
        <f t="shared" si="309"/>
        <v>0</v>
      </c>
      <c r="AR268" s="25">
        <f t="shared" si="310"/>
        <v>0</v>
      </c>
      <c r="AS268" s="25">
        <f t="shared" si="311"/>
        <v>0</v>
      </c>
      <c r="AT268" s="25">
        <f t="shared" si="312"/>
        <v>0</v>
      </c>
      <c r="AU268" s="25">
        <f t="shared" si="313"/>
        <v>0</v>
      </c>
      <c r="AV268" s="25">
        <f t="shared" si="314"/>
        <v>0</v>
      </c>
      <c r="AW268" s="25">
        <f t="shared" si="315"/>
        <v>0</v>
      </c>
      <c r="AX268" s="25">
        <f t="shared" si="316"/>
        <v>0</v>
      </c>
      <c r="AY268" s="25">
        <f t="shared" si="317"/>
        <v>0</v>
      </c>
      <c r="AZ268" s="25">
        <f t="shared" si="318"/>
        <v>0</v>
      </c>
      <c r="BA268" s="25">
        <f t="shared" si="319"/>
        <v>0</v>
      </c>
      <c r="BB268" s="25">
        <f t="shared" si="320"/>
        <v>0</v>
      </c>
      <c r="BC268" s="25">
        <f>IFERROR(INDEX('2 Staff List'!KS$64:KS$114,$AH268),0)</f>
        <v>0</v>
      </c>
      <c r="BD268" s="25">
        <f>IFERROR(INDEX('2 Staff List'!KT$64:KT$114,$AH268),0)</f>
        <v>0</v>
      </c>
      <c r="BE268" s="25">
        <f>IFERROR(INDEX('2 Staff List'!KU$64:KU$114,$AH268),0)</f>
        <v>0</v>
      </c>
      <c r="BF268" s="25">
        <f>IFERROR(INDEX('2 Staff List'!KV$64:KV$114,$AH268),0)</f>
        <v>0</v>
      </c>
      <c r="BG268" s="25">
        <f>IFERROR(INDEX('2 Staff List'!KW$64:KW$114,$AH268),0)</f>
        <v>0</v>
      </c>
      <c r="BH268" s="25">
        <f>IFERROR(INDEX('2 Staff List'!KX$64:KX$114,$AH268),0)</f>
        <v>0</v>
      </c>
      <c r="BI268" s="25">
        <f>IFERROR(INDEX('2 Staff List'!KY$64:KY$114,$AH268),0)</f>
        <v>0</v>
      </c>
      <c r="BJ268" s="25">
        <f>IFERROR(INDEX('2 Staff List'!KZ$64:KZ$114,$AH268),0)</f>
        <v>0</v>
      </c>
      <c r="BK268" s="25">
        <f>IFERROR(INDEX('2 Staff List'!LA$64:LA$114,$AH268),0)</f>
        <v>0</v>
      </c>
      <c r="BL268" s="25">
        <f>IFERROR(INDEX('2 Staff List'!LB$64:LB$114,$AH268),0)</f>
        <v>0</v>
      </c>
      <c r="BM268" s="25">
        <f>IFERROR(INDEX('2 Staff List'!FT$64:FT$114,$AH268),0)</f>
        <v>0</v>
      </c>
      <c r="BN268" s="25">
        <f>IFERROR(INDEX('2 Staff List'!FU$64:FU$114,$AH268),0)</f>
        <v>0</v>
      </c>
      <c r="BO268" s="25">
        <f>IFERROR(INDEX('2 Staff List'!FV$64:FV$114,$AH268),0)</f>
        <v>0</v>
      </c>
      <c r="BP268" s="25">
        <f>IFERROR(INDEX('2 Staff List'!FW$64:FW$114,$AH268),0)</f>
        <v>0</v>
      </c>
      <c r="BQ268" s="25">
        <f>IFERROR(INDEX('2 Staff List'!FX$64:FX$114,$AH268),0)</f>
        <v>0</v>
      </c>
      <c r="BR268" s="25">
        <f>IFERROR(INDEX('2 Staff List'!FY$64:FY$114,$AH268),0)</f>
        <v>0</v>
      </c>
      <c r="BS268" s="25">
        <f>IFERROR(INDEX('2 Staff List'!FZ$64:FZ$114,$AH268),0)</f>
        <v>0</v>
      </c>
      <c r="BT268" s="25">
        <f>IFERROR(INDEX('2 Staff List'!GA$64:GA$114,$AH268),0)</f>
        <v>0</v>
      </c>
      <c r="BU268" s="25">
        <f>IFERROR(INDEX('2 Staff List'!GB$64:GB$114,$AH268),0)</f>
        <v>0</v>
      </c>
      <c r="BV268" s="25">
        <f>IFERROR(INDEX('2 Staff List'!GC$64:GC$114,$AH268),0)</f>
        <v>0</v>
      </c>
      <c r="BW268" s="25">
        <f t="shared" si="321"/>
        <v>0</v>
      </c>
      <c r="BX268" s="25">
        <f t="shared" si="322"/>
        <v>0</v>
      </c>
      <c r="BY268" s="25">
        <f t="shared" si="323"/>
        <v>0</v>
      </c>
      <c r="BZ268" s="25">
        <f t="shared" si="324"/>
        <v>0</v>
      </c>
      <c r="CA268" s="25">
        <f t="shared" si="325"/>
        <v>0</v>
      </c>
      <c r="CB268" s="25">
        <f t="shared" si="326"/>
        <v>0</v>
      </c>
      <c r="CC268" s="25">
        <f t="shared" si="327"/>
        <v>0</v>
      </c>
      <c r="CD268" s="25">
        <f t="shared" si="328"/>
        <v>0</v>
      </c>
      <c r="CE268" s="25">
        <f t="shared" si="329"/>
        <v>0</v>
      </c>
      <c r="CF268" s="25">
        <f t="shared" si="330"/>
        <v>0</v>
      </c>
      <c r="CG268" s="25">
        <f t="shared" si="331"/>
        <v>0</v>
      </c>
      <c r="CH268" s="25">
        <f>IFERROR(INDEX('2 Staff List'!LO$64:LO$114,$AH268),0)</f>
        <v>0</v>
      </c>
      <c r="CI268" s="25">
        <f>IFERROR(INDEX('2 Staff List'!LP$64:LP$114,$AH268),0)</f>
        <v>0</v>
      </c>
      <c r="CJ268" s="25">
        <f>IFERROR(INDEX('2 Staff List'!LQ$64:LQ$114,$AH268),0)</f>
        <v>0</v>
      </c>
      <c r="CK268" s="25">
        <f>IFERROR(INDEX('2 Staff List'!LR$64:LR$114,$AH268),0)</f>
        <v>0</v>
      </c>
      <c r="CL268" s="25">
        <f>IFERROR(INDEX('2 Staff List'!LS$64:LS$114,$AH268),0)</f>
        <v>0</v>
      </c>
      <c r="CM268" s="25">
        <f>IFERROR(INDEX('2 Staff List'!LT$64:LT$114,$AH268),0)</f>
        <v>0</v>
      </c>
      <c r="CN268" s="25">
        <f>IFERROR(INDEX('2 Staff List'!LU$64:LU$114,$AH268),0)</f>
        <v>0</v>
      </c>
      <c r="CO268" s="25">
        <f>IFERROR(INDEX('2 Staff List'!LV$64:LV$114,$AH268),0)</f>
        <v>0</v>
      </c>
      <c r="CP268" s="25">
        <f>IFERROR(INDEX('2 Staff List'!LW$64:LW$114,$AH268),0)</f>
        <v>0</v>
      </c>
      <c r="CQ268" s="25">
        <f>IFERROR(INDEX('2 Staff List'!LX$64:LX$114,$AH268),0)</f>
        <v>0</v>
      </c>
      <c r="CR268" s="25">
        <f t="shared" si="771"/>
        <v>0</v>
      </c>
      <c r="CS268" s="25">
        <f t="shared" si="774"/>
        <v>1</v>
      </c>
      <c r="CT268" s="25">
        <f t="shared" si="333"/>
        <v>1</v>
      </c>
      <c r="CU268" s="25">
        <f t="shared" si="334"/>
        <v>1</v>
      </c>
      <c r="CV268" s="25">
        <f t="shared" si="335"/>
        <v>1</v>
      </c>
      <c r="CW268" s="25">
        <f t="shared" si="336"/>
        <v>1</v>
      </c>
      <c r="CX268" s="25">
        <f t="shared" si="337"/>
        <v>0</v>
      </c>
      <c r="CY268" s="25">
        <f t="shared" si="779"/>
        <v>0</v>
      </c>
      <c r="CZ268" s="25">
        <f t="shared" si="339"/>
        <v>0</v>
      </c>
      <c r="DA268" s="25">
        <f t="shared" si="340"/>
        <v>1</v>
      </c>
      <c r="DB268" s="25">
        <f t="shared" si="767"/>
        <v>1</v>
      </c>
      <c r="DC268" s="25">
        <f t="shared" si="341"/>
        <v>0</v>
      </c>
      <c r="DD268" s="25">
        <f>IF(OR($AD268&lt;&gt;3,F268="Exclude"),0,IF(ISERROR(MATCH($E268,'4 Sign-off'!$S$123:$X$123,0)),0,1))</f>
        <v>0</v>
      </c>
      <c r="DE268" s="25">
        <f t="shared" si="782"/>
        <v>0</v>
      </c>
      <c r="DF268" s="25">
        <f t="shared" si="342"/>
        <v>0</v>
      </c>
      <c r="DG268" s="25" t="str">
        <f t="shared" si="343"/>
        <v/>
      </c>
      <c r="DH268" s="25">
        <f t="shared" si="780"/>
        <v>0</v>
      </c>
      <c r="DI268" s="25">
        <f t="shared" si="778"/>
        <v>0</v>
      </c>
      <c r="DJ268" s="25">
        <f>IF(ISBLANK(J268),0,ISERROR(MATCH(J268,'5  Control Accounts'!$FA$29:$FA$96,0))*1)</f>
        <v>0</v>
      </c>
      <c r="DK268" s="25">
        <f t="shared" si="346"/>
        <v>0</v>
      </c>
      <c r="DL268" s="25">
        <f t="shared" si="768"/>
        <v>-1</v>
      </c>
      <c r="DM268" s="25" t="e">
        <f t="array" ref="DM268">MATCH(1,($EG268:$JD268&gt;0)*$EG$17:$JD$17,0)</f>
        <v>#N/A</v>
      </c>
      <c r="DN268" s="25" t="e">
        <f t="shared" si="775"/>
        <v>#N/A</v>
      </c>
      <c r="DO268" s="25" t="e">
        <f t="array" ref="DO268">MATCH(2,1/(EG268:JD268&gt;0))</f>
        <v>#N/A</v>
      </c>
      <c r="DP268" s="2993">
        <f t="shared" si="347"/>
        <v>0</v>
      </c>
      <c r="DQ268" s="3037">
        <f t="shared" si="348"/>
        <v>0</v>
      </c>
      <c r="DR268" s="111"/>
      <c r="DS268" s="1268">
        <f t="shared" si="781"/>
        <v>0</v>
      </c>
      <c r="DT268" s="1825"/>
      <c r="DU268" s="1826"/>
      <c r="DV268" s="1827"/>
      <c r="DW268" s="1828"/>
      <c r="DX268" s="659"/>
      <c r="DY268" s="1265"/>
      <c r="DZ268" s="1785">
        <f t="shared" si="772"/>
        <v>0</v>
      </c>
      <c r="EA268" s="1786">
        <f t="shared" si="773"/>
        <v>0</v>
      </c>
      <c r="EB268" s="1781">
        <f t="shared" si="776"/>
        <v>0</v>
      </c>
      <c r="EC268" s="1782">
        <f t="shared" si="777"/>
        <v>0</v>
      </c>
      <c r="ED268" s="1262"/>
      <c r="EE268" s="2280"/>
      <c r="EF268" s="1802"/>
      <c r="EG268" s="167"/>
      <c r="EH268" s="168"/>
      <c r="EI268" s="168"/>
      <c r="EJ268" s="168"/>
      <c r="EK268" s="168"/>
      <c r="EL268" s="168"/>
      <c r="EM268" s="168"/>
      <c r="EN268" s="168"/>
      <c r="EO268" s="168"/>
      <c r="EP268" s="168"/>
      <c r="EQ268" s="168"/>
      <c r="ER268" s="168"/>
      <c r="ES268" s="168"/>
      <c r="ET268" s="168"/>
      <c r="EU268" s="168"/>
      <c r="EV268" s="168"/>
      <c r="EW268" s="168"/>
      <c r="EX268" s="168"/>
      <c r="EY268" s="168"/>
      <c r="EZ268" s="168"/>
      <c r="FA268" s="168"/>
      <c r="FB268" s="168"/>
      <c r="FC268" s="168"/>
      <c r="FD268" s="168"/>
      <c r="FE268" s="168"/>
      <c r="FF268" s="168"/>
      <c r="FG268" s="168"/>
      <c r="FH268" s="168"/>
      <c r="FI268" s="168"/>
      <c r="FJ268" s="168"/>
      <c r="FK268" s="168"/>
      <c r="FL268" s="168"/>
      <c r="FM268" s="168"/>
      <c r="FN268" s="168"/>
      <c r="FO268" s="168"/>
      <c r="FP268" s="168"/>
      <c r="FQ268" s="168"/>
      <c r="FR268" s="168"/>
      <c r="FS268" s="168"/>
      <c r="FT268" s="168"/>
      <c r="FU268" s="168"/>
      <c r="FV268" s="168"/>
      <c r="FW268" s="168"/>
      <c r="FX268" s="168"/>
      <c r="FY268" s="168"/>
      <c r="FZ268" s="168"/>
      <c r="GA268" s="168"/>
      <c r="GB268" s="168"/>
      <c r="GC268" s="168"/>
      <c r="GD268" s="168"/>
      <c r="GE268" s="168"/>
      <c r="GF268" s="168"/>
      <c r="GG268" s="168"/>
      <c r="GH268" s="168"/>
      <c r="GI268" s="168"/>
      <c r="GJ268" s="168"/>
      <c r="GK268" s="168"/>
      <c r="GL268" s="168"/>
      <c r="GM268" s="168"/>
      <c r="GN268" s="168"/>
      <c r="GO268" s="168"/>
      <c r="GP268" s="168"/>
      <c r="GQ268" s="168"/>
      <c r="GR268" s="168"/>
      <c r="GS268" s="168"/>
      <c r="GT268" s="168"/>
      <c r="GU268" s="168"/>
      <c r="GV268" s="168"/>
      <c r="GW268" s="168"/>
      <c r="GX268" s="168"/>
      <c r="GY268" s="168"/>
      <c r="GZ268" s="168"/>
      <c r="HA268" s="168"/>
      <c r="HB268" s="168"/>
      <c r="HC268" s="168"/>
      <c r="HD268" s="168"/>
      <c r="HE268" s="168"/>
      <c r="HF268" s="168"/>
      <c r="HG268" s="168"/>
      <c r="HH268" s="168"/>
      <c r="HI268" s="168"/>
      <c r="HJ268" s="168"/>
      <c r="HK268" s="168"/>
      <c r="HL268" s="168"/>
      <c r="HM268" s="168"/>
      <c r="HN268" s="168"/>
      <c r="HO268" s="168"/>
      <c r="HP268" s="168"/>
      <c r="HQ268" s="168"/>
      <c r="HR268" s="168"/>
      <c r="HS268" s="168"/>
      <c r="HT268" s="168"/>
      <c r="HU268" s="168"/>
      <c r="HV268" s="168"/>
      <c r="HW268" s="168"/>
      <c r="HX268" s="168"/>
      <c r="HY268" s="168"/>
      <c r="HZ268" s="168"/>
      <c r="IA268" s="168"/>
      <c r="IB268" s="168"/>
      <c r="IC268" s="168"/>
      <c r="ID268" s="168"/>
      <c r="IE268" s="168"/>
      <c r="IF268" s="168"/>
      <c r="IG268" s="168"/>
      <c r="IH268" s="168"/>
      <c r="II268" s="168"/>
      <c r="IJ268" s="168"/>
      <c r="IK268" s="168"/>
      <c r="IL268" s="168"/>
      <c r="IM268" s="168"/>
      <c r="IN268" s="168"/>
      <c r="IO268" s="168"/>
      <c r="IP268" s="168"/>
      <c r="IQ268" s="168"/>
      <c r="IR268" s="168"/>
      <c r="IS268" s="168"/>
      <c r="IT268" s="168"/>
      <c r="IU268" s="168"/>
      <c r="IV268" s="168"/>
      <c r="IW268" s="168"/>
      <c r="IX268" s="168"/>
      <c r="IY268" s="168"/>
      <c r="IZ268" s="168"/>
      <c r="JA268" s="168"/>
      <c r="JB268" s="168"/>
      <c r="JC268" s="606"/>
      <c r="JD268" s="609"/>
      <c r="JE268" s="1"/>
      <c r="JF268" s="1"/>
    </row>
    <row r="269" spans="1:266" s="2" customFormat="1" ht="15" customHeight="1" x14ac:dyDescent="0.25">
      <c r="A269" s="283"/>
      <c r="B269" s="303"/>
      <c r="C269" s="301"/>
      <c r="D269" s="638"/>
      <c r="E269" s="2298"/>
      <c r="F269" s="1812"/>
      <c r="G269" s="3342"/>
      <c r="H269" s="66"/>
      <c r="I269" s="1746"/>
      <c r="J269" s="86"/>
      <c r="K269" s="105"/>
      <c r="L269" s="91"/>
      <c r="M269" s="92"/>
      <c r="N269" s="93"/>
      <c r="O269" s="94"/>
      <c r="P269" s="96"/>
      <c r="Q269" s="95"/>
      <c r="R269" s="993">
        <f t="shared" si="769"/>
        <v>0</v>
      </c>
      <c r="S269" s="23">
        <f t="shared" si="783"/>
        <v>0</v>
      </c>
      <c r="T269" s="24">
        <f t="shared" si="299"/>
        <v>0</v>
      </c>
      <c r="U269" s="24">
        <f t="shared" si="300"/>
        <v>0</v>
      </c>
      <c r="V269" s="24">
        <f t="shared" ref="V269:V304" si="785">T269*AP269*AG269</f>
        <v>0</v>
      </c>
      <c r="W269" s="24">
        <f t="shared" si="302"/>
        <v>0</v>
      </c>
      <c r="X269" s="72">
        <f t="shared" ref="X269:X304" si="786">IF($AD269=3,SUMPRODUCT(BX269:CG269,CH269:CQ269)*AG269,0)</f>
        <v>0</v>
      </c>
      <c r="Y269" s="72">
        <f t="shared" si="304"/>
        <v>0</v>
      </c>
      <c r="Z269" s="24">
        <f t="shared" si="770"/>
        <v>0</v>
      </c>
      <c r="AA269" s="72">
        <f t="shared" ref="AA269:AA304" si="787">$DV269*$CT269*(1+DW269)*AG269</f>
        <v>0</v>
      </c>
      <c r="AB269" s="24">
        <f t="shared" si="306"/>
        <v>0</v>
      </c>
      <c r="AC269" s="24" t="s">
        <v>5</v>
      </c>
      <c r="AD269" s="25">
        <f t="shared" si="764"/>
        <v>3</v>
      </c>
      <c r="AE269" s="25">
        <f t="shared" si="765"/>
        <v>0</v>
      </c>
      <c r="AF269" s="25">
        <f t="shared" si="766"/>
        <v>0</v>
      </c>
      <c r="AG269" s="25">
        <f t="shared" si="784"/>
        <v>1</v>
      </c>
      <c r="AH269" s="25" t="str">
        <f>IFERROR(MATCH(DY269,'2 Staff List'!$IA$64:$IA$114,0),"x")</f>
        <v>x</v>
      </c>
      <c r="AI269" s="1181">
        <f>IFERROR(INDEX('2 Staff List'!$EX$64:$EX$114,$AH269),0)</f>
        <v>0</v>
      </c>
      <c r="AJ269" s="25">
        <f>IFERROR(INDEX('2 Staff List'!$IW$64:$IW$114,$AH269),0)</f>
        <v>0</v>
      </c>
      <c r="AK269" s="25">
        <f>IFERROR(INDEX('2 Staff List'!$IB$64:$IB$114,$AH269),0)</f>
        <v>0</v>
      </c>
      <c r="AL269" s="25">
        <f>IF(OR(NOT(ISBLANK(DV269)),CX269=1),"&lt;Non-Labor&gt;",IFERROR(IF(AH269=0,0,INDEX('2 Staff List'!$HZ$64:$HZ$114,$AH269)),0))</f>
        <v>0</v>
      </c>
      <c r="AM269" s="25">
        <f>IFERROR(INDEX('2 Staff List'!$HW$64:$HW$114,$AH269),0)</f>
        <v>0</v>
      </c>
      <c r="AN269" s="25">
        <f t="shared" si="308"/>
        <v>1</v>
      </c>
      <c r="AO269" s="25">
        <f>IF($AO$127=0,0,IFERROR(INDEX('2 Staff List'!$JH$64:$JH$114,$AH269),0))</f>
        <v>0</v>
      </c>
      <c r="AP269" s="25">
        <f>IFERROR(INDEX('2 Staff List'!$HU$64:$HU$114,$AH269),0)</f>
        <v>0</v>
      </c>
      <c r="AQ269" s="25">
        <f t="shared" si="309"/>
        <v>0</v>
      </c>
      <c r="AR269" s="25">
        <f t="shared" si="310"/>
        <v>0</v>
      </c>
      <c r="AS269" s="25">
        <f t="shared" ref="AS269:AS304" si="788">IF(OR($AD269&lt;&gt;3,$DV269&gt;0),0,SUMIFS($EG269:$JD269,$EG$17:$JD$17,1,$EG$124:$JD$124,1)*AN269)</f>
        <v>0</v>
      </c>
      <c r="AT269" s="25">
        <f t="shared" ref="AT269:AT304" si="789">IF(OR($AD269&lt;&gt;3,$DV269&gt;0),0,SUMIFS($EG269:$JD269,$EG$17:$JD$17,1,$EG$124:$JD$124,2)*AN269)</f>
        <v>0</v>
      </c>
      <c r="AU269" s="25">
        <f t="shared" ref="AU269:AU304" si="790">IF(OR($AD269&lt;&gt;3,$DV269&gt;0),0,SUMIFS($EG269:$JD269,$EG$17:$JD$17,1,$EG$124:$JD$124,3)*AN269)</f>
        <v>0</v>
      </c>
      <c r="AV269" s="25">
        <f t="shared" ref="AV269:AV304" si="791">IF(OR($AD269&lt;&gt;3,$DV269&gt;0),0,SUMIFS($EG269:$JD269,$EG$17:$JD$17,1,$EG$124:$JD$124,4)*AN269)</f>
        <v>0</v>
      </c>
      <c r="AW269" s="25">
        <f t="shared" ref="AW269:AW304" si="792">IF(OR($AD269&lt;&gt;3,$DV269&gt;0),0,SUMIFS($EG269:$JD269,$EG$17:$JD$17,1,$EG$124:$JD$124,5)*AN269)</f>
        <v>0</v>
      </c>
      <c r="AX269" s="25">
        <f t="shared" ref="AX269:AX304" si="793">IF(OR($AD269&lt;&gt;3,$DV269&gt;0),0,SUMIFS($EG269:$JD269,$EG$17:$JD$17,1,$EG$124:$JD$124,6)*AN269)</f>
        <v>0</v>
      </c>
      <c r="AY269" s="25">
        <f t="shared" ref="AY269:AY304" si="794">IF(OR($AD269&lt;&gt;3,$DV269&gt;0),0,SUMIFS($EG269:$JD269,$EG$17:$JD$17,1,$EG$124:$JD$124,7)*AN269)</f>
        <v>0</v>
      </c>
      <c r="AZ269" s="25">
        <f t="shared" ref="AZ269:AZ304" si="795">IF(OR($AD269&lt;&gt;3,$DV269&gt;0),0,SUMIFS($EG269:$JD269,$EG$17:$JD$17,1,$EG$124:$JD$124,8)*AN269)</f>
        <v>0</v>
      </c>
      <c r="BA269" s="25">
        <f t="shared" ref="BA269:BA304" si="796">IF(OR($AD269&lt;&gt;3,$DV269&gt;0),0,SUMIFS($EG269:$JD269,$EG$17:$JD$17,1,$EG$124:$JD$124,9)*AN269)</f>
        <v>0</v>
      </c>
      <c r="BB269" s="25">
        <f t="shared" ref="BB269:BB304" si="797">IF(OR($AD269&lt;&gt;3,$DV269&gt;0),0,SUMIFS($EG269:$JD269,$EG$17:$JD$17,1,$EG$124:$JD$124,10)*AN269)</f>
        <v>0</v>
      </c>
      <c r="BC269" s="25">
        <f>IFERROR(INDEX('2 Staff List'!KS$64:KS$114,$AH269),0)</f>
        <v>0</v>
      </c>
      <c r="BD269" s="25">
        <f>IFERROR(INDEX('2 Staff List'!KT$64:KT$114,$AH269),0)</f>
        <v>0</v>
      </c>
      <c r="BE269" s="25">
        <f>IFERROR(INDEX('2 Staff List'!KU$64:KU$114,$AH269),0)</f>
        <v>0</v>
      </c>
      <c r="BF269" s="25">
        <f>IFERROR(INDEX('2 Staff List'!KV$64:KV$114,$AH269),0)</f>
        <v>0</v>
      </c>
      <c r="BG269" s="25">
        <f>IFERROR(INDEX('2 Staff List'!KW$64:KW$114,$AH269),0)</f>
        <v>0</v>
      </c>
      <c r="BH269" s="25">
        <f>IFERROR(INDEX('2 Staff List'!KX$64:KX$114,$AH269),0)</f>
        <v>0</v>
      </c>
      <c r="BI269" s="25">
        <f>IFERROR(INDEX('2 Staff List'!KY$64:KY$114,$AH269),0)</f>
        <v>0</v>
      </c>
      <c r="BJ269" s="25">
        <f>IFERROR(INDEX('2 Staff List'!KZ$64:KZ$114,$AH269),0)</f>
        <v>0</v>
      </c>
      <c r="BK269" s="25">
        <f>IFERROR(INDEX('2 Staff List'!LA$64:LA$114,$AH269),0)</f>
        <v>0</v>
      </c>
      <c r="BL269" s="25">
        <f>IFERROR(INDEX('2 Staff List'!LB$64:LB$114,$AH269),0)</f>
        <v>0</v>
      </c>
      <c r="BM269" s="25">
        <f>IFERROR(INDEX('2 Staff List'!FT$64:FT$114,$AH269),0)</f>
        <v>0</v>
      </c>
      <c r="BN269" s="25">
        <f>IFERROR(INDEX('2 Staff List'!FU$64:FU$114,$AH269),0)</f>
        <v>0</v>
      </c>
      <c r="BO269" s="25">
        <f>IFERROR(INDEX('2 Staff List'!FV$64:FV$114,$AH269),0)</f>
        <v>0</v>
      </c>
      <c r="BP269" s="25">
        <f>IFERROR(INDEX('2 Staff List'!FW$64:FW$114,$AH269),0)</f>
        <v>0</v>
      </c>
      <c r="BQ269" s="25">
        <f>IFERROR(INDEX('2 Staff List'!FX$64:FX$114,$AH269),0)</f>
        <v>0</v>
      </c>
      <c r="BR269" s="25">
        <f>IFERROR(INDEX('2 Staff List'!FY$64:FY$114,$AH269),0)</f>
        <v>0</v>
      </c>
      <c r="BS269" s="25">
        <f>IFERROR(INDEX('2 Staff List'!FZ$64:FZ$114,$AH269),0)</f>
        <v>0</v>
      </c>
      <c r="BT269" s="25">
        <f>IFERROR(INDEX('2 Staff List'!GA$64:GA$114,$AH269),0)</f>
        <v>0</v>
      </c>
      <c r="BU269" s="25">
        <f>IFERROR(INDEX('2 Staff List'!GB$64:GB$114,$AH269),0)</f>
        <v>0</v>
      </c>
      <c r="BV269" s="25">
        <f>IFERROR(INDEX('2 Staff List'!GC$64:GC$114,$AH269),0)</f>
        <v>0</v>
      </c>
      <c r="BW269" s="25">
        <f t="shared" si="321"/>
        <v>0</v>
      </c>
      <c r="BX269" s="25">
        <f t="shared" ref="BX269:BX304" si="798">IF(OR($AD269&lt;&gt;3,$DV269&gt;0),0,SUMIFS($EG269:$JD269,$EG$17:$JD$17,1,$EG$123:$JD$123,1)*AN269)</f>
        <v>0</v>
      </c>
      <c r="BY269" s="25">
        <f t="shared" ref="BY269:BY304" si="799">IF(OR($AD269&lt;&gt;3,$DV269&gt;0),0,SUMIFS($EG269:$JD269,$EG$17:$JD$17,1,$EG$123:$JD$123,2)*AN269)</f>
        <v>0</v>
      </c>
      <c r="BZ269" s="25">
        <f t="shared" ref="BZ269:BZ304" si="800">IF(OR($AD269&lt;&gt;3,$DV269&gt;0),0,SUMIFS($EG269:$JD269,$EG$17:$JD$17,1,$EG$123:$JD$123,3)*AN269)</f>
        <v>0</v>
      </c>
      <c r="CA269" s="25">
        <f t="shared" ref="CA269:CA304" si="801">IF(OR($AD269&lt;&gt;3,$DV269&gt;0),0,SUMIFS($EG269:$JD269,$EG$17:$JD$17,1,$EG$123:$JD$123,4)*AN269)</f>
        <v>0</v>
      </c>
      <c r="CB269" s="25">
        <f t="shared" ref="CB269:CB304" si="802">IF(OR($AD269&lt;&gt;3,$DV269&gt;0),0,SUMIFS($EG269:$JD269,$EG$17:$JD$17,1,$EG$123:$JD$123,5)*AN269)</f>
        <v>0</v>
      </c>
      <c r="CC269" s="25">
        <f t="shared" ref="CC269:CC304" si="803">IF(OR($AD269&lt;&gt;3,$DV269&gt;0),0,SUMIFS($EG269:$JD269,$EG$17:$JD$17,1,$EG$123:$JD$123,6)*AN269)</f>
        <v>0</v>
      </c>
      <c r="CD269" s="25">
        <f t="shared" ref="CD269:CD304" si="804">IF(OR($AD269&lt;&gt;3,$DV269&gt;0),0,SUMIFS($EG269:$JD269,$EG$17:$JD$17,1,$EG$123:$JD$123,7)*AN269)</f>
        <v>0</v>
      </c>
      <c r="CE269" s="25">
        <f t="shared" ref="CE269:CE304" si="805">IF(OR($AD269&lt;&gt;3,$DV269&gt;0),0,SUMIFS($EG269:$JD269,$EG$17:$JD$17,1,$EG$123:$JD$123,8)*AN269)</f>
        <v>0</v>
      </c>
      <c r="CF269" s="25">
        <f t="shared" ref="CF269:CF304" si="806">IF(OR($AD269&lt;&gt;3,$DV269&gt;0),0,SUMIFS($EG269:$JD269,$EG$17:$JD$17,1,$EG$123:$JD$123,9)*AN269)</f>
        <v>0</v>
      </c>
      <c r="CG269" s="25">
        <f t="shared" ref="CG269:CG304" si="807">IF(OR($AD269&lt;&gt;3,$DV269&gt;0),0,SUMIFS($EG269:$JD269,$EG$17:$JD$17,1,$EG$123:$JD$123,10)*AN269)</f>
        <v>0</v>
      </c>
      <c r="CH269" s="25">
        <f>IFERROR(INDEX('2 Staff List'!LO$64:LO$114,$AH269),0)</f>
        <v>0</v>
      </c>
      <c r="CI269" s="25">
        <f>IFERROR(INDEX('2 Staff List'!LP$64:LP$114,$AH269),0)</f>
        <v>0</v>
      </c>
      <c r="CJ269" s="25">
        <f>IFERROR(INDEX('2 Staff List'!LQ$64:LQ$114,$AH269),0)</f>
        <v>0</v>
      </c>
      <c r="CK269" s="25">
        <f>IFERROR(INDEX('2 Staff List'!LR$64:LR$114,$AH269),0)</f>
        <v>0</v>
      </c>
      <c r="CL269" s="25">
        <f>IFERROR(INDEX('2 Staff List'!LS$64:LS$114,$AH269),0)</f>
        <v>0</v>
      </c>
      <c r="CM269" s="25">
        <f>IFERROR(INDEX('2 Staff List'!LT$64:LT$114,$AH269),0)</f>
        <v>0</v>
      </c>
      <c r="CN269" s="25">
        <f>IFERROR(INDEX('2 Staff List'!LU$64:LU$114,$AH269),0)</f>
        <v>0</v>
      </c>
      <c r="CO269" s="25">
        <f>IFERROR(INDEX('2 Staff List'!LV$64:LV$114,$AH269),0)</f>
        <v>0</v>
      </c>
      <c r="CP269" s="25">
        <f>IFERROR(INDEX('2 Staff List'!LW$64:LW$114,$AH269),0)</f>
        <v>0</v>
      </c>
      <c r="CQ269" s="25">
        <f>IFERROR(INDEX('2 Staff List'!LX$64:LX$114,$AH269),0)</f>
        <v>0</v>
      </c>
      <c r="CR269" s="25">
        <f t="shared" si="771"/>
        <v>0</v>
      </c>
      <c r="CS269" s="25">
        <f t="shared" si="774"/>
        <v>1</v>
      </c>
      <c r="CT269" s="25">
        <f t="shared" si="333"/>
        <v>1</v>
      </c>
      <c r="CU269" s="25">
        <f t="shared" si="334"/>
        <v>1</v>
      </c>
      <c r="CV269" s="25">
        <f t="shared" ref="CV269:CV304" si="808">IF(AND(AD269=3,OR(F269="",F269="Approved")),1,0)</f>
        <v>1</v>
      </c>
      <c r="CW269" s="25">
        <f t="shared" si="336"/>
        <v>1</v>
      </c>
      <c r="CX269" s="25">
        <f t="shared" ref="CX269:CX304" si="809">IF(AND(Z269=0,OR(G269="RO",DG269="V",DG269="W")),1,0)</f>
        <v>0</v>
      </c>
      <c r="CY269" s="25">
        <f t="shared" si="779"/>
        <v>0</v>
      </c>
      <c r="CZ269" s="25">
        <f t="shared" si="339"/>
        <v>0</v>
      </c>
      <c r="DA269" s="25">
        <f t="shared" ref="DA269:DA304" si="810">IF(OR($F269="Exclude",$AD269&lt;&gt;3),0,1)</f>
        <v>1</v>
      </c>
      <c r="DB269" s="25">
        <f t="shared" si="767"/>
        <v>1</v>
      </c>
      <c r="DC269" s="25">
        <f t="shared" si="341"/>
        <v>0</v>
      </c>
      <c r="DD269" s="25">
        <f>IF(OR($AD269&lt;&gt;3,F269="Exclude"),0,IF(ISERROR(MATCH($E269,'4 Sign-off'!$S$123:$X$123,0)),0,1))</f>
        <v>0</v>
      </c>
      <c r="DE269" s="25">
        <f t="shared" si="782"/>
        <v>0</v>
      </c>
      <c r="DF269" s="25">
        <f t="shared" si="342"/>
        <v>0</v>
      </c>
      <c r="DG269" s="25" t="str">
        <f t="shared" si="343"/>
        <v/>
      </c>
      <c r="DH269" s="25">
        <f t="shared" si="780"/>
        <v>0</v>
      </c>
      <c r="DI269" s="25">
        <f t="shared" si="778"/>
        <v>0</v>
      </c>
      <c r="DJ269" s="25">
        <f>IF(ISBLANK(J269),0,ISERROR(MATCH(J269,'5  Control Accounts'!$FA$29:$FA$96,0))*1)</f>
        <v>0</v>
      </c>
      <c r="DK269" s="25">
        <f t="shared" ref="DK269:DK304" si="811">AND($C$5,(T269+U269+AB269)&lt;&gt;0,ISBLANK(J269),F269&lt;&gt;"Exclude")*1</f>
        <v>0</v>
      </c>
      <c r="DL269" s="25">
        <f t="shared" si="768"/>
        <v>-1</v>
      </c>
      <c r="DM269" s="25" t="e">
        <f t="array" ref="DM269">MATCH(1,($EG269:$JD269&gt;0)*$EG$17:$JD$17,0)</f>
        <v>#N/A</v>
      </c>
      <c r="DN269" s="25" t="e">
        <f t="shared" si="775"/>
        <v>#N/A</v>
      </c>
      <c r="DO269" s="25" t="e">
        <f t="array" ref="DO269">MATCH(2,1/(EG269:JD269&gt;0))</f>
        <v>#N/A</v>
      </c>
      <c r="DP269" s="2993">
        <f t="shared" ref="DP269:DP304" si="812">CHOOSE($AD269,SUMIFS($DP$129:$DP$304,$AE$129:$AE$304,$AE269,$DF$129:$DF$304,1),SUMIFS($DP$129:$DP$304,$AF$129:$AF$304,$AF269,$DF$129:$DF$304,1),X269+AA269)</f>
        <v>0</v>
      </c>
      <c r="DQ269" s="3037">
        <f t="shared" ref="DQ269:DQ304" si="813">CHOOSE($AD269,SUMIFS($DQ$129:$DQ$304,$AE$129:$AE$304,$AE269,$DF$129:$DF$304,1),SUMIFS($DQ$129:$DQ$304,$AF$129:$AF$304,$AF269,$DF$129:$DF$304,1),DP269-S269)</f>
        <v>0</v>
      </c>
      <c r="DR269" s="111"/>
      <c r="DS269" s="1268">
        <f t="shared" si="781"/>
        <v>0</v>
      </c>
      <c r="DT269" s="1825"/>
      <c r="DU269" s="1826"/>
      <c r="DV269" s="1827"/>
      <c r="DW269" s="1828"/>
      <c r="DX269" s="659"/>
      <c r="DY269" s="1265"/>
      <c r="DZ269" s="1785">
        <f t="shared" si="772"/>
        <v>0</v>
      </c>
      <c r="EA269" s="1786">
        <f t="shared" si="773"/>
        <v>0</v>
      </c>
      <c r="EB269" s="1781">
        <f t="shared" si="776"/>
        <v>0</v>
      </c>
      <c r="EC269" s="1782">
        <f t="shared" si="777"/>
        <v>0</v>
      </c>
      <c r="ED269" s="1262"/>
      <c r="EE269" s="2280"/>
      <c r="EF269" s="1802"/>
      <c r="EG269" s="167"/>
      <c r="EH269" s="168"/>
      <c r="EI269" s="168"/>
      <c r="EJ269" s="168"/>
      <c r="EK269" s="168"/>
      <c r="EL269" s="168"/>
      <c r="EM269" s="168"/>
      <c r="EN269" s="168"/>
      <c r="EO269" s="168"/>
      <c r="EP269" s="168"/>
      <c r="EQ269" s="168"/>
      <c r="ER269" s="168"/>
      <c r="ES269" s="168"/>
      <c r="ET269" s="168"/>
      <c r="EU269" s="168"/>
      <c r="EV269" s="168"/>
      <c r="EW269" s="168"/>
      <c r="EX269" s="168"/>
      <c r="EY269" s="168"/>
      <c r="EZ269" s="168"/>
      <c r="FA269" s="168"/>
      <c r="FB269" s="168"/>
      <c r="FC269" s="168"/>
      <c r="FD269" s="168"/>
      <c r="FE269" s="168"/>
      <c r="FF269" s="168"/>
      <c r="FG269" s="168"/>
      <c r="FH269" s="168"/>
      <c r="FI269" s="168"/>
      <c r="FJ269" s="168"/>
      <c r="FK269" s="168"/>
      <c r="FL269" s="168"/>
      <c r="FM269" s="168"/>
      <c r="FN269" s="168"/>
      <c r="FO269" s="168"/>
      <c r="FP269" s="168"/>
      <c r="FQ269" s="168"/>
      <c r="FR269" s="168"/>
      <c r="FS269" s="168"/>
      <c r="FT269" s="168"/>
      <c r="FU269" s="168"/>
      <c r="FV269" s="168"/>
      <c r="FW269" s="168"/>
      <c r="FX269" s="168"/>
      <c r="FY269" s="168"/>
      <c r="FZ269" s="168"/>
      <c r="GA269" s="168"/>
      <c r="GB269" s="168"/>
      <c r="GC269" s="168"/>
      <c r="GD269" s="168"/>
      <c r="GE269" s="168"/>
      <c r="GF269" s="168"/>
      <c r="GG269" s="168"/>
      <c r="GH269" s="168"/>
      <c r="GI269" s="168"/>
      <c r="GJ269" s="168"/>
      <c r="GK269" s="168"/>
      <c r="GL269" s="168"/>
      <c r="GM269" s="168"/>
      <c r="GN269" s="168"/>
      <c r="GO269" s="168"/>
      <c r="GP269" s="168"/>
      <c r="GQ269" s="168"/>
      <c r="GR269" s="168"/>
      <c r="GS269" s="168"/>
      <c r="GT269" s="168"/>
      <c r="GU269" s="168"/>
      <c r="GV269" s="168"/>
      <c r="GW269" s="168"/>
      <c r="GX269" s="168"/>
      <c r="GY269" s="168"/>
      <c r="GZ269" s="168"/>
      <c r="HA269" s="168"/>
      <c r="HB269" s="168"/>
      <c r="HC269" s="168"/>
      <c r="HD269" s="168"/>
      <c r="HE269" s="168"/>
      <c r="HF269" s="168"/>
      <c r="HG269" s="168"/>
      <c r="HH269" s="168"/>
      <c r="HI269" s="168"/>
      <c r="HJ269" s="168"/>
      <c r="HK269" s="168"/>
      <c r="HL269" s="168"/>
      <c r="HM269" s="168"/>
      <c r="HN269" s="168"/>
      <c r="HO269" s="168"/>
      <c r="HP269" s="168"/>
      <c r="HQ269" s="168"/>
      <c r="HR269" s="168"/>
      <c r="HS269" s="168"/>
      <c r="HT269" s="168"/>
      <c r="HU269" s="168"/>
      <c r="HV269" s="168"/>
      <c r="HW269" s="168"/>
      <c r="HX269" s="168"/>
      <c r="HY269" s="168"/>
      <c r="HZ269" s="168"/>
      <c r="IA269" s="168"/>
      <c r="IB269" s="168"/>
      <c r="IC269" s="168"/>
      <c r="ID269" s="168"/>
      <c r="IE269" s="168"/>
      <c r="IF269" s="168"/>
      <c r="IG269" s="168"/>
      <c r="IH269" s="168"/>
      <c r="II269" s="168"/>
      <c r="IJ269" s="168"/>
      <c r="IK269" s="168"/>
      <c r="IL269" s="168"/>
      <c r="IM269" s="168"/>
      <c r="IN269" s="168"/>
      <c r="IO269" s="168"/>
      <c r="IP269" s="168"/>
      <c r="IQ269" s="168"/>
      <c r="IR269" s="168"/>
      <c r="IS269" s="168"/>
      <c r="IT269" s="168"/>
      <c r="IU269" s="168"/>
      <c r="IV269" s="168"/>
      <c r="IW269" s="168"/>
      <c r="IX269" s="168"/>
      <c r="IY269" s="168"/>
      <c r="IZ269" s="168"/>
      <c r="JA269" s="168"/>
      <c r="JB269" s="168"/>
      <c r="JC269" s="606"/>
      <c r="JD269" s="609"/>
      <c r="JE269" s="1"/>
      <c r="JF269" s="1"/>
    </row>
    <row r="270" spans="1:266" s="2" customFormat="1" ht="15" customHeight="1" x14ac:dyDescent="0.25">
      <c r="A270" s="283"/>
      <c r="B270" s="303"/>
      <c r="C270" s="301"/>
      <c r="D270" s="638"/>
      <c r="E270" s="2298"/>
      <c r="F270" s="1812"/>
      <c r="G270" s="3342"/>
      <c r="H270" s="66"/>
      <c r="I270" s="1746"/>
      <c r="J270" s="86"/>
      <c r="K270" s="105"/>
      <c r="L270" s="91"/>
      <c r="M270" s="92"/>
      <c r="N270" s="93"/>
      <c r="O270" s="94"/>
      <c r="P270" s="96"/>
      <c r="Q270" s="95"/>
      <c r="R270" s="993">
        <f t="shared" si="769"/>
        <v>0</v>
      </c>
      <c r="S270" s="23">
        <f t="shared" si="783"/>
        <v>0</v>
      </c>
      <c r="T270" s="24">
        <f t="shared" si="299"/>
        <v>0</v>
      </c>
      <c r="U270" s="24">
        <f t="shared" si="300"/>
        <v>0</v>
      </c>
      <c r="V270" s="24">
        <f t="shared" si="785"/>
        <v>0</v>
      </c>
      <c r="W270" s="24">
        <f t="shared" si="302"/>
        <v>0</v>
      </c>
      <c r="X270" s="72">
        <f t="shared" si="786"/>
        <v>0</v>
      </c>
      <c r="Y270" s="72">
        <f t="shared" si="304"/>
        <v>0</v>
      </c>
      <c r="Z270" s="24">
        <f t="shared" si="770"/>
        <v>0</v>
      </c>
      <c r="AA270" s="72">
        <f t="shared" si="787"/>
        <v>0</v>
      </c>
      <c r="AB270" s="24">
        <f t="shared" si="306"/>
        <v>0</v>
      </c>
      <c r="AC270" s="24" t="s">
        <v>5</v>
      </c>
      <c r="AD270" s="25">
        <f t="shared" ref="AD270:AD304" si="814">IF(N270="",3,IF(AND(L270&gt;0,M270&gt;0),2,1))</f>
        <v>3</v>
      </c>
      <c r="AE270" s="25">
        <f t="shared" ref="AE270:AE304" si="815">IF(AND(ISNUMBER(VALUE(L270)),RIGHT(L270,1)="0"),(L270+0.00001),L270)</f>
        <v>0</v>
      </c>
      <c r="AF270" s="25">
        <f t="shared" ref="AF270:AF304" si="816">IF(AND(ISNUMBER(VALUE(M270)),RIGHT(M270,1)="0"),(M270+0.00001),M270)</f>
        <v>0</v>
      </c>
      <c r="AG270" s="25">
        <f t="shared" si="784"/>
        <v>1</v>
      </c>
      <c r="AH270" s="25" t="str">
        <f>IFERROR(MATCH(DY270,'2 Staff List'!$IA$64:$IA$114,0),"x")</f>
        <v>x</v>
      </c>
      <c r="AI270" s="1181">
        <f>IFERROR(INDEX('2 Staff List'!$EX$64:$EX$114,$AH270),0)</f>
        <v>0</v>
      </c>
      <c r="AJ270" s="25">
        <f>IFERROR(INDEX('2 Staff List'!$IW$64:$IW$114,$AH270),0)</f>
        <v>0</v>
      </c>
      <c r="AK270" s="25">
        <f>IFERROR(INDEX('2 Staff List'!$IB$64:$IB$114,$AH270),0)</f>
        <v>0</v>
      </c>
      <c r="AL270" s="25">
        <f>IF(OR(NOT(ISBLANK(DV270)),CX270=1),"&lt;Non-Labor&gt;",IFERROR(IF(AH270=0,0,INDEX('2 Staff List'!$HZ$64:$HZ$114,$AH270)),0))</f>
        <v>0</v>
      </c>
      <c r="AM270" s="25">
        <f>IFERROR(INDEX('2 Staff List'!$HW$64:$HW$114,$AH270),0)</f>
        <v>0</v>
      </c>
      <c r="AN270" s="25">
        <f t="shared" si="308"/>
        <v>1</v>
      </c>
      <c r="AO270" s="25">
        <f>IF($AO$127=0,0,IFERROR(INDEX('2 Staff List'!$JH$64:$JH$114,$AH270),0))</f>
        <v>0</v>
      </c>
      <c r="AP270" s="25">
        <f>IFERROR(INDEX('2 Staff List'!$HU$64:$HU$114,$AH270),0)</f>
        <v>0</v>
      </c>
      <c r="AQ270" s="25">
        <f t="shared" si="309"/>
        <v>0</v>
      </c>
      <c r="AR270" s="25">
        <f t="shared" si="310"/>
        <v>0</v>
      </c>
      <c r="AS270" s="25">
        <f t="shared" si="788"/>
        <v>0</v>
      </c>
      <c r="AT270" s="25">
        <f t="shared" si="789"/>
        <v>0</v>
      </c>
      <c r="AU270" s="25">
        <f t="shared" si="790"/>
        <v>0</v>
      </c>
      <c r="AV270" s="25">
        <f t="shared" si="791"/>
        <v>0</v>
      </c>
      <c r="AW270" s="25">
        <f t="shared" si="792"/>
        <v>0</v>
      </c>
      <c r="AX270" s="25">
        <f t="shared" si="793"/>
        <v>0</v>
      </c>
      <c r="AY270" s="25">
        <f t="shared" si="794"/>
        <v>0</v>
      </c>
      <c r="AZ270" s="25">
        <f t="shared" si="795"/>
        <v>0</v>
      </c>
      <c r="BA270" s="25">
        <f t="shared" si="796"/>
        <v>0</v>
      </c>
      <c r="BB270" s="25">
        <f t="shared" si="797"/>
        <v>0</v>
      </c>
      <c r="BC270" s="25">
        <f>IFERROR(INDEX('2 Staff List'!KS$64:KS$114,$AH270),0)</f>
        <v>0</v>
      </c>
      <c r="BD270" s="25">
        <f>IFERROR(INDEX('2 Staff List'!KT$64:KT$114,$AH270),0)</f>
        <v>0</v>
      </c>
      <c r="BE270" s="25">
        <f>IFERROR(INDEX('2 Staff List'!KU$64:KU$114,$AH270),0)</f>
        <v>0</v>
      </c>
      <c r="BF270" s="25">
        <f>IFERROR(INDEX('2 Staff List'!KV$64:KV$114,$AH270),0)</f>
        <v>0</v>
      </c>
      <c r="BG270" s="25">
        <f>IFERROR(INDEX('2 Staff List'!KW$64:KW$114,$AH270),0)</f>
        <v>0</v>
      </c>
      <c r="BH270" s="25">
        <f>IFERROR(INDEX('2 Staff List'!KX$64:KX$114,$AH270),0)</f>
        <v>0</v>
      </c>
      <c r="BI270" s="25">
        <f>IFERROR(INDEX('2 Staff List'!KY$64:KY$114,$AH270),0)</f>
        <v>0</v>
      </c>
      <c r="BJ270" s="25">
        <f>IFERROR(INDEX('2 Staff List'!KZ$64:KZ$114,$AH270),0)</f>
        <v>0</v>
      </c>
      <c r="BK270" s="25">
        <f>IFERROR(INDEX('2 Staff List'!LA$64:LA$114,$AH270),0)</f>
        <v>0</v>
      </c>
      <c r="BL270" s="25">
        <f>IFERROR(INDEX('2 Staff List'!LB$64:LB$114,$AH270),0)</f>
        <v>0</v>
      </c>
      <c r="BM270" s="25">
        <f>IFERROR(INDEX('2 Staff List'!FT$64:FT$114,$AH270),0)</f>
        <v>0</v>
      </c>
      <c r="BN270" s="25">
        <f>IFERROR(INDEX('2 Staff List'!FU$64:FU$114,$AH270),0)</f>
        <v>0</v>
      </c>
      <c r="BO270" s="25">
        <f>IFERROR(INDEX('2 Staff List'!FV$64:FV$114,$AH270),0)</f>
        <v>0</v>
      </c>
      <c r="BP270" s="25">
        <f>IFERROR(INDEX('2 Staff List'!FW$64:FW$114,$AH270),0)</f>
        <v>0</v>
      </c>
      <c r="BQ270" s="25">
        <f>IFERROR(INDEX('2 Staff List'!FX$64:FX$114,$AH270),0)</f>
        <v>0</v>
      </c>
      <c r="BR270" s="25">
        <f>IFERROR(INDEX('2 Staff List'!FY$64:FY$114,$AH270),0)</f>
        <v>0</v>
      </c>
      <c r="BS270" s="25">
        <f>IFERROR(INDEX('2 Staff List'!FZ$64:FZ$114,$AH270),0)</f>
        <v>0</v>
      </c>
      <c r="BT270" s="25">
        <f>IFERROR(INDEX('2 Staff List'!GA$64:GA$114,$AH270),0)</f>
        <v>0</v>
      </c>
      <c r="BU270" s="25">
        <f>IFERROR(INDEX('2 Staff List'!GB$64:GB$114,$AH270),0)</f>
        <v>0</v>
      </c>
      <c r="BV270" s="25">
        <f>IFERROR(INDEX('2 Staff List'!GC$64:GC$114,$AH270),0)</f>
        <v>0</v>
      </c>
      <c r="BW270" s="25">
        <f t="shared" si="321"/>
        <v>0</v>
      </c>
      <c r="BX270" s="25">
        <f t="shared" si="798"/>
        <v>0</v>
      </c>
      <c r="BY270" s="25">
        <f t="shared" si="799"/>
        <v>0</v>
      </c>
      <c r="BZ270" s="25">
        <f t="shared" si="800"/>
        <v>0</v>
      </c>
      <c r="CA270" s="25">
        <f t="shared" si="801"/>
        <v>0</v>
      </c>
      <c r="CB270" s="25">
        <f t="shared" si="802"/>
        <v>0</v>
      </c>
      <c r="CC270" s="25">
        <f t="shared" si="803"/>
        <v>0</v>
      </c>
      <c r="CD270" s="25">
        <f t="shared" si="804"/>
        <v>0</v>
      </c>
      <c r="CE270" s="25">
        <f t="shared" si="805"/>
        <v>0</v>
      </c>
      <c r="CF270" s="25">
        <f t="shared" si="806"/>
        <v>0</v>
      </c>
      <c r="CG270" s="25">
        <f t="shared" si="807"/>
        <v>0</v>
      </c>
      <c r="CH270" s="25">
        <f>IFERROR(INDEX('2 Staff List'!LO$64:LO$114,$AH270),0)</f>
        <v>0</v>
      </c>
      <c r="CI270" s="25">
        <f>IFERROR(INDEX('2 Staff List'!LP$64:LP$114,$AH270),0)</f>
        <v>0</v>
      </c>
      <c r="CJ270" s="25">
        <f>IFERROR(INDEX('2 Staff List'!LQ$64:LQ$114,$AH270),0)</f>
        <v>0</v>
      </c>
      <c r="CK270" s="25">
        <f>IFERROR(INDEX('2 Staff List'!LR$64:LR$114,$AH270),0)</f>
        <v>0</v>
      </c>
      <c r="CL270" s="25">
        <f>IFERROR(INDEX('2 Staff List'!LS$64:LS$114,$AH270),0)</f>
        <v>0</v>
      </c>
      <c r="CM270" s="25">
        <f>IFERROR(INDEX('2 Staff List'!LT$64:LT$114,$AH270),0)</f>
        <v>0</v>
      </c>
      <c r="CN270" s="25">
        <f>IFERROR(INDEX('2 Staff List'!LU$64:LU$114,$AH270),0)</f>
        <v>0</v>
      </c>
      <c r="CO270" s="25">
        <f>IFERROR(INDEX('2 Staff List'!LV$64:LV$114,$AH270),0)</f>
        <v>0</v>
      </c>
      <c r="CP270" s="25">
        <f>IFERROR(INDEX('2 Staff List'!LW$64:LW$114,$AH270),0)</f>
        <v>0</v>
      </c>
      <c r="CQ270" s="25">
        <f>IFERROR(INDEX('2 Staff List'!LX$64:LX$114,$AH270),0)</f>
        <v>0</v>
      </c>
      <c r="CR270" s="25">
        <f t="shared" si="771"/>
        <v>0</v>
      </c>
      <c r="CS270" s="25">
        <f t="shared" si="774"/>
        <v>1</v>
      </c>
      <c r="CT270" s="25">
        <f t="shared" si="333"/>
        <v>1</v>
      </c>
      <c r="CU270" s="25">
        <f t="shared" si="334"/>
        <v>1</v>
      </c>
      <c r="CV270" s="25">
        <f t="shared" si="808"/>
        <v>1</v>
      </c>
      <c r="CW270" s="25">
        <f t="shared" si="336"/>
        <v>1</v>
      </c>
      <c r="CX270" s="25">
        <f t="shared" si="809"/>
        <v>0</v>
      </c>
      <c r="CY270" s="25">
        <f t="shared" si="779"/>
        <v>0</v>
      </c>
      <c r="CZ270" s="25">
        <f t="shared" si="339"/>
        <v>0</v>
      </c>
      <c r="DA270" s="25">
        <f t="shared" si="810"/>
        <v>1</v>
      </c>
      <c r="DB270" s="25">
        <f t="shared" ref="DB270:DB304" si="817">IF($AD270&lt;&gt;3,0,IF(F270="",1,0))</f>
        <v>1</v>
      </c>
      <c r="DC270" s="25">
        <f t="shared" si="341"/>
        <v>0</v>
      </c>
      <c r="DD270" s="25">
        <f>IF(OR($AD270&lt;&gt;3,F270="Exclude"),0,IF(ISERROR(MATCH($E270,'4 Sign-off'!$S$123:$X$123,0)),0,1))</f>
        <v>0</v>
      </c>
      <c r="DE270" s="25">
        <f t="shared" si="782"/>
        <v>0</v>
      </c>
      <c r="DF270" s="25">
        <f t="shared" si="342"/>
        <v>0</v>
      </c>
      <c r="DG270" s="25" t="str">
        <f t="shared" si="343"/>
        <v/>
      </c>
      <c r="DH270" s="25">
        <f t="shared" si="780"/>
        <v>0</v>
      </c>
      <c r="DI270" s="25">
        <f t="shared" si="778"/>
        <v>0</v>
      </c>
      <c r="DJ270" s="25">
        <f>IF(ISBLANK(J270),0,ISERROR(MATCH(J270,'5  Control Accounts'!$FA$29:$FA$96,0))*1)</f>
        <v>0</v>
      </c>
      <c r="DK270" s="25">
        <f t="shared" si="811"/>
        <v>0</v>
      </c>
      <c r="DL270" s="25">
        <f t="shared" ref="DL270:DL304" si="818">IF(OR((T270+U270)&gt;0,(AA270+AB270)&gt;0),J270,-1)</f>
        <v>-1</v>
      </c>
      <c r="DM270" s="25" t="e">
        <f t="array" ref="DM270">MATCH(1,($EG270:$JD270&gt;0)*$EG$17:$JD$17,0)</f>
        <v>#N/A</v>
      </c>
      <c r="DN270" s="25" t="e">
        <f t="shared" si="775"/>
        <v>#N/A</v>
      </c>
      <c r="DO270" s="25" t="e">
        <f t="array" ref="DO270">MATCH(2,1/(EG270:JD270&gt;0))</f>
        <v>#N/A</v>
      </c>
      <c r="DP270" s="2993">
        <f t="shared" si="812"/>
        <v>0</v>
      </c>
      <c r="DQ270" s="3037">
        <f t="shared" si="813"/>
        <v>0</v>
      </c>
      <c r="DR270" s="111"/>
      <c r="DS270" s="1268">
        <f t="shared" si="781"/>
        <v>0</v>
      </c>
      <c r="DT270" s="1825"/>
      <c r="DU270" s="1826"/>
      <c r="DV270" s="1827"/>
      <c r="DW270" s="1828"/>
      <c r="DX270" s="659"/>
      <c r="DY270" s="1265"/>
      <c r="DZ270" s="1785">
        <f t="shared" si="772"/>
        <v>0</v>
      </c>
      <c r="EA270" s="1786">
        <f t="shared" si="773"/>
        <v>0</v>
      </c>
      <c r="EB270" s="1781">
        <f t="shared" si="776"/>
        <v>0</v>
      </c>
      <c r="EC270" s="1782">
        <f t="shared" si="777"/>
        <v>0</v>
      </c>
      <c r="ED270" s="1262"/>
      <c r="EE270" s="2280"/>
      <c r="EF270" s="1802"/>
      <c r="EG270" s="167"/>
      <c r="EH270" s="168"/>
      <c r="EI270" s="168"/>
      <c r="EJ270" s="168"/>
      <c r="EK270" s="168"/>
      <c r="EL270" s="168"/>
      <c r="EM270" s="168"/>
      <c r="EN270" s="168"/>
      <c r="EO270" s="168"/>
      <c r="EP270" s="168"/>
      <c r="EQ270" s="168"/>
      <c r="ER270" s="168"/>
      <c r="ES270" s="168"/>
      <c r="ET270" s="168"/>
      <c r="EU270" s="168"/>
      <c r="EV270" s="168"/>
      <c r="EW270" s="168"/>
      <c r="EX270" s="168"/>
      <c r="EY270" s="168"/>
      <c r="EZ270" s="168"/>
      <c r="FA270" s="168"/>
      <c r="FB270" s="168"/>
      <c r="FC270" s="168"/>
      <c r="FD270" s="168"/>
      <c r="FE270" s="168"/>
      <c r="FF270" s="168"/>
      <c r="FG270" s="168"/>
      <c r="FH270" s="168"/>
      <c r="FI270" s="168"/>
      <c r="FJ270" s="168"/>
      <c r="FK270" s="168"/>
      <c r="FL270" s="168"/>
      <c r="FM270" s="168"/>
      <c r="FN270" s="168"/>
      <c r="FO270" s="168"/>
      <c r="FP270" s="168"/>
      <c r="FQ270" s="168"/>
      <c r="FR270" s="168"/>
      <c r="FS270" s="168"/>
      <c r="FT270" s="168"/>
      <c r="FU270" s="168"/>
      <c r="FV270" s="168"/>
      <c r="FW270" s="168"/>
      <c r="FX270" s="168"/>
      <c r="FY270" s="168"/>
      <c r="FZ270" s="168"/>
      <c r="GA270" s="168"/>
      <c r="GB270" s="168"/>
      <c r="GC270" s="168"/>
      <c r="GD270" s="168"/>
      <c r="GE270" s="168"/>
      <c r="GF270" s="168"/>
      <c r="GG270" s="168"/>
      <c r="GH270" s="168"/>
      <c r="GI270" s="168"/>
      <c r="GJ270" s="168"/>
      <c r="GK270" s="168"/>
      <c r="GL270" s="168"/>
      <c r="GM270" s="168"/>
      <c r="GN270" s="168"/>
      <c r="GO270" s="168"/>
      <c r="GP270" s="168"/>
      <c r="GQ270" s="168"/>
      <c r="GR270" s="168"/>
      <c r="GS270" s="168"/>
      <c r="GT270" s="168"/>
      <c r="GU270" s="168"/>
      <c r="GV270" s="168"/>
      <c r="GW270" s="168"/>
      <c r="GX270" s="168"/>
      <c r="GY270" s="168"/>
      <c r="GZ270" s="168"/>
      <c r="HA270" s="168"/>
      <c r="HB270" s="168"/>
      <c r="HC270" s="168"/>
      <c r="HD270" s="168"/>
      <c r="HE270" s="168"/>
      <c r="HF270" s="168"/>
      <c r="HG270" s="168"/>
      <c r="HH270" s="168"/>
      <c r="HI270" s="168"/>
      <c r="HJ270" s="168"/>
      <c r="HK270" s="168"/>
      <c r="HL270" s="168"/>
      <c r="HM270" s="168"/>
      <c r="HN270" s="168"/>
      <c r="HO270" s="168"/>
      <c r="HP270" s="168"/>
      <c r="HQ270" s="168"/>
      <c r="HR270" s="168"/>
      <c r="HS270" s="168"/>
      <c r="HT270" s="168"/>
      <c r="HU270" s="168"/>
      <c r="HV270" s="168"/>
      <c r="HW270" s="168"/>
      <c r="HX270" s="168"/>
      <c r="HY270" s="168"/>
      <c r="HZ270" s="168"/>
      <c r="IA270" s="168"/>
      <c r="IB270" s="168"/>
      <c r="IC270" s="168"/>
      <c r="ID270" s="168"/>
      <c r="IE270" s="168"/>
      <c r="IF270" s="168"/>
      <c r="IG270" s="168"/>
      <c r="IH270" s="168"/>
      <c r="II270" s="168"/>
      <c r="IJ270" s="168"/>
      <c r="IK270" s="168"/>
      <c r="IL270" s="168"/>
      <c r="IM270" s="168"/>
      <c r="IN270" s="168"/>
      <c r="IO270" s="168"/>
      <c r="IP270" s="168"/>
      <c r="IQ270" s="168"/>
      <c r="IR270" s="168"/>
      <c r="IS270" s="168"/>
      <c r="IT270" s="168"/>
      <c r="IU270" s="168"/>
      <c r="IV270" s="168"/>
      <c r="IW270" s="168"/>
      <c r="IX270" s="168"/>
      <c r="IY270" s="168"/>
      <c r="IZ270" s="168"/>
      <c r="JA270" s="168"/>
      <c r="JB270" s="168"/>
      <c r="JC270" s="606"/>
      <c r="JD270" s="609"/>
      <c r="JE270" s="1"/>
      <c r="JF270" s="1"/>
    </row>
    <row r="271" spans="1:266" s="2" customFormat="1" ht="15" customHeight="1" x14ac:dyDescent="0.25">
      <c r="A271" s="283"/>
      <c r="B271" s="303"/>
      <c r="C271" s="301"/>
      <c r="D271" s="638"/>
      <c r="E271" s="2298"/>
      <c r="F271" s="1812"/>
      <c r="G271" s="3342"/>
      <c r="H271" s="66"/>
      <c r="I271" s="1746"/>
      <c r="J271" s="86"/>
      <c r="K271" s="105"/>
      <c r="L271" s="91"/>
      <c r="M271" s="92"/>
      <c r="N271" s="93"/>
      <c r="O271" s="94"/>
      <c r="P271" s="96"/>
      <c r="Q271" s="95"/>
      <c r="R271" s="993">
        <f t="shared" si="769"/>
        <v>0</v>
      </c>
      <c r="S271" s="23">
        <f t="shared" si="783"/>
        <v>0</v>
      </c>
      <c r="T271" s="24">
        <f t="shared" si="299"/>
        <v>0</v>
      </c>
      <c r="U271" s="24">
        <f t="shared" si="300"/>
        <v>0</v>
      </c>
      <c r="V271" s="24">
        <f t="shared" si="785"/>
        <v>0</v>
      </c>
      <c r="W271" s="24">
        <f t="shared" ref="W271:W304" si="819">X271*AO271</f>
        <v>0</v>
      </c>
      <c r="X271" s="72">
        <f t="shared" si="786"/>
        <v>0</v>
      </c>
      <c r="Y271" s="72">
        <f t="shared" si="304"/>
        <v>0</v>
      </c>
      <c r="Z271" s="24">
        <f t="shared" si="770"/>
        <v>0</v>
      </c>
      <c r="AA271" s="72">
        <f t="shared" si="787"/>
        <v>0</v>
      </c>
      <c r="AB271" s="24">
        <f t="shared" ref="AB271:AB304" si="820">$DV271*$CT271*(1-$CX271)</f>
        <v>0</v>
      </c>
      <c r="AC271" s="24" t="s">
        <v>5</v>
      </c>
      <c r="AD271" s="25">
        <f t="shared" si="814"/>
        <v>3</v>
      </c>
      <c r="AE271" s="25">
        <f t="shared" si="815"/>
        <v>0</v>
      </c>
      <c r="AF271" s="25">
        <f t="shared" si="816"/>
        <v>0</v>
      </c>
      <c r="AG271" s="25">
        <f t="shared" si="784"/>
        <v>1</v>
      </c>
      <c r="AH271" s="25" t="str">
        <f>IFERROR(MATCH(DY271,'2 Staff List'!$IA$64:$IA$114,0),"x")</f>
        <v>x</v>
      </c>
      <c r="AI271" s="1181">
        <f>IFERROR(INDEX('2 Staff List'!$EX$64:$EX$114,$AH271),0)</f>
        <v>0</v>
      </c>
      <c r="AJ271" s="25">
        <f>IFERROR(INDEX('2 Staff List'!$IW$64:$IW$114,$AH271),0)</f>
        <v>0</v>
      </c>
      <c r="AK271" s="25">
        <f>IFERROR(INDEX('2 Staff List'!$IB$64:$IB$114,$AH271),0)</f>
        <v>0</v>
      </c>
      <c r="AL271" s="25">
        <f>IF(OR(NOT(ISBLANK(DV271)),CX271=1),"&lt;Non-Labor&gt;",IFERROR(IF(AH271=0,0,INDEX('2 Staff List'!$HZ$64:$HZ$114,$AH271)),0))</f>
        <v>0</v>
      </c>
      <c r="AM271" s="25">
        <f>IFERROR(INDEX('2 Staff List'!$HW$64:$HW$114,$AH271),0)</f>
        <v>0</v>
      </c>
      <c r="AN271" s="25">
        <f t="shared" si="308"/>
        <v>1</v>
      </c>
      <c r="AO271" s="25">
        <f>IF($AO$127=0,0,IFERROR(INDEX('2 Staff List'!$JH$64:$JH$114,$AH271),0))</f>
        <v>0</v>
      </c>
      <c r="AP271" s="25">
        <f>IFERROR(INDEX('2 Staff List'!$HU$64:$HU$114,$AH271),0)</f>
        <v>0</v>
      </c>
      <c r="AQ271" s="25">
        <f t="shared" ref="AQ271:AQ304" si="821">IF(AND(DV271&lt;&gt;0,SUMPRODUCT($EG271:$JD271,$EG$17:$JD$17)=0),1,0)</f>
        <v>0</v>
      </c>
      <c r="AR271" s="25">
        <f t="shared" si="310"/>
        <v>0</v>
      </c>
      <c r="AS271" s="25">
        <f t="shared" si="788"/>
        <v>0</v>
      </c>
      <c r="AT271" s="25">
        <f t="shared" si="789"/>
        <v>0</v>
      </c>
      <c r="AU271" s="25">
        <f t="shared" si="790"/>
        <v>0</v>
      </c>
      <c r="AV271" s="25">
        <f t="shared" si="791"/>
        <v>0</v>
      </c>
      <c r="AW271" s="25">
        <f t="shared" si="792"/>
        <v>0</v>
      </c>
      <c r="AX271" s="25">
        <f t="shared" si="793"/>
        <v>0</v>
      </c>
      <c r="AY271" s="25">
        <f t="shared" si="794"/>
        <v>0</v>
      </c>
      <c r="AZ271" s="25">
        <f t="shared" si="795"/>
        <v>0</v>
      </c>
      <c r="BA271" s="25">
        <f t="shared" si="796"/>
        <v>0</v>
      </c>
      <c r="BB271" s="25">
        <f t="shared" si="797"/>
        <v>0</v>
      </c>
      <c r="BC271" s="25">
        <f>IFERROR(INDEX('2 Staff List'!KS$64:KS$114,$AH271),0)</f>
        <v>0</v>
      </c>
      <c r="BD271" s="25">
        <f>IFERROR(INDEX('2 Staff List'!KT$64:KT$114,$AH271),0)</f>
        <v>0</v>
      </c>
      <c r="BE271" s="25">
        <f>IFERROR(INDEX('2 Staff List'!KU$64:KU$114,$AH271),0)</f>
        <v>0</v>
      </c>
      <c r="BF271" s="25">
        <f>IFERROR(INDEX('2 Staff List'!KV$64:KV$114,$AH271),0)</f>
        <v>0</v>
      </c>
      <c r="BG271" s="25">
        <f>IFERROR(INDEX('2 Staff List'!KW$64:KW$114,$AH271),0)</f>
        <v>0</v>
      </c>
      <c r="BH271" s="25">
        <f>IFERROR(INDEX('2 Staff List'!KX$64:KX$114,$AH271),0)</f>
        <v>0</v>
      </c>
      <c r="BI271" s="25">
        <f>IFERROR(INDEX('2 Staff List'!KY$64:KY$114,$AH271),0)</f>
        <v>0</v>
      </c>
      <c r="BJ271" s="25">
        <f>IFERROR(INDEX('2 Staff List'!KZ$64:KZ$114,$AH271),0)</f>
        <v>0</v>
      </c>
      <c r="BK271" s="25">
        <f>IFERROR(INDEX('2 Staff List'!LA$64:LA$114,$AH271),0)</f>
        <v>0</v>
      </c>
      <c r="BL271" s="25">
        <f>IFERROR(INDEX('2 Staff List'!LB$64:LB$114,$AH271),0)</f>
        <v>0</v>
      </c>
      <c r="BM271" s="25">
        <f>IFERROR(INDEX('2 Staff List'!FT$64:FT$114,$AH271),0)</f>
        <v>0</v>
      </c>
      <c r="BN271" s="25">
        <f>IFERROR(INDEX('2 Staff List'!FU$64:FU$114,$AH271),0)</f>
        <v>0</v>
      </c>
      <c r="BO271" s="25">
        <f>IFERROR(INDEX('2 Staff List'!FV$64:FV$114,$AH271),0)</f>
        <v>0</v>
      </c>
      <c r="BP271" s="25">
        <f>IFERROR(INDEX('2 Staff List'!FW$64:FW$114,$AH271),0)</f>
        <v>0</v>
      </c>
      <c r="BQ271" s="25">
        <f>IFERROR(INDEX('2 Staff List'!FX$64:FX$114,$AH271),0)</f>
        <v>0</v>
      </c>
      <c r="BR271" s="25">
        <f>IFERROR(INDEX('2 Staff List'!FY$64:FY$114,$AH271),0)</f>
        <v>0</v>
      </c>
      <c r="BS271" s="25">
        <f>IFERROR(INDEX('2 Staff List'!FZ$64:FZ$114,$AH271),0)</f>
        <v>0</v>
      </c>
      <c r="BT271" s="25">
        <f>IFERROR(INDEX('2 Staff List'!GA$64:GA$114,$AH271),0)</f>
        <v>0</v>
      </c>
      <c r="BU271" s="25">
        <f>IFERROR(INDEX('2 Staff List'!GB$64:GB$114,$AH271),0)</f>
        <v>0</v>
      </c>
      <c r="BV271" s="25">
        <f>IFERROR(INDEX('2 Staff List'!GC$64:GC$114,$AH271),0)</f>
        <v>0</v>
      </c>
      <c r="BW271" s="25">
        <f t="shared" si="321"/>
        <v>0</v>
      </c>
      <c r="BX271" s="25">
        <f t="shared" si="798"/>
        <v>0</v>
      </c>
      <c r="BY271" s="25">
        <f t="shared" si="799"/>
        <v>0</v>
      </c>
      <c r="BZ271" s="25">
        <f t="shared" si="800"/>
        <v>0</v>
      </c>
      <c r="CA271" s="25">
        <f t="shared" si="801"/>
        <v>0</v>
      </c>
      <c r="CB271" s="25">
        <f t="shared" si="802"/>
        <v>0</v>
      </c>
      <c r="CC271" s="25">
        <f t="shared" si="803"/>
        <v>0</v>
      </c>
      <c r="CD271" s="25">
        <f t="shared" si="804"/>
        <v>0</v>
      </c>
      <c r="CE271" s="25">
        <f t="shared" si="805"/>
        <v>0</v>
      </c>
      <c r="CF271" s="25">
        <f t="shared" si="806"/>
        <v>0</v>
      </c>
      <c r="CG271" s="25">
        <f t="shared" si="807"/>
        <v>0</v>
      </c>
      <c r="CH271" s="25">
        <f>IFERROR(INDEX('2 Staff List'!LO$64:LO$114,$AH271),0)</f>
        <v>0</v>
      </c>
      <c r="CI271" s="25">
        <f>IFERROR(INDEX('2 Staff List'!LP$64:LP$114,$AH271),0)</f>
        <v>0</v>
      </c>
      <c r="CJ271" s="25">
        <f>IFERROR(INDEX('2 Staff List'!LQ$64:LQ$114,$AH271),0)</f>
        <v>0</v>
      </c>
      <c r="CK271" s="25">
        <f>IFERROR(INDEX('2 Staff List'!LR$64:LR$114,$AH271),0)</f>
        <v>0</v>
      </c>
      <c r="CL271" s="25">
        <f>IFERROR(INDEX('2 Staff List'!LS$64:LS$114,$AH271),0)</f>
        <v>0</v>
      </c>
      <c r="CM271" s="25">
        <f>IFERROR(INDEX('2 Staff List'!LT$64:LT$114,$AH271),0)</f>
        <v>0</v>
      </c>
      <c r="CN271" s="25">
        <f>IFERROR(INDEX('2 Staff List'!LU$64:LU$114,$AH271),0)</f>
        <v>0</v>
      </c>
      <c r="CO271" s="25">
        <f>IFERROR(INDEX('2 Staff List'!LV$64:LV$114,$AH271),0)</f>
        <v>0</v>
      </c>
      <c r="CP271" s="25">
        <f>IFERROR(INDEX('2 Staff List'!LW$64:LW$114,$AH271),0)</f>
        <v>0</v>
      </c>
      <c r="CQ271" s="25">
        <f>IFERROR(INDEX('2 Staff List'!LX$64:LX$114,$AH271),0)</f>
        <v>0</v>
      </c>
      <c r="CR271" s="25">
        <f t="shared" si="771"/>
        <v>0</v>
      </c>
      <c r="CS271" s="25">
        <f t="shared" si="774"/>
        <v>1</v>
      </c>
      <c r="CT271" s="25">
        <f t="shared" si="333"/>
        <v>1</v>
      </c>
      <c r="CU271" s="25">
        <f t="shared" ref="CU271:CU304" si="822">IF(DT271=$CU$127,0,1)</f>
        <v>1</v>
      </c>
      <c r="CV271" s="25">
        <f t="shared" si="808"/>
        <v>1</v>
      </c>
      <c r="CW271" s="25">
        <f t="shared" si="336"/>
        <v>1</v>
      </c>
      <c r="CX271" s="25">
        <f t="shared" si="809"/>
        <v>0</v>
      </c>
      <c r="CY271" s="25">
        <f t="shared" si="779"/>
        <v>0</v>
      </c>
      <c r="CZ271" s="25">
        <f t="shared" si="339"/>
        <v>0</v>
      </c>
      <c r="DA271" s="25">
        <f t="shared" si="810"/>
        <v>1</v>
      </c>
      <c r="DB271" s="25">
        <f t="shared" si="817"/>
        <v>1</v>
      </c>
      <c r="DC271" s="25">
        <f t="shared" si="341"/>
        <v>0</v>
      </c>
      <c r="DD271" s="25">
        <f>IF(OR($AD271&lt;&gt;3,F271="Exclude"),0,IF(ISERROR(MATCH($E271,'4 Sign-off'!$S$123:$X$123,0)),0,1))</f>
        <v>0</v>
      </c>
      <c r="DE271" s="25">
        <f t="shared" si="782"/>
        <v>0</v>
      </c>
      <c r="DF271" s="25">
        <f t="shared" si="342"/>
        <v>0</v>
      </c>
      <c r="DG271" s="25" t="str">
        <f t="shared" si="343"/>
        <v/>
      </c>
      <c r="DH271" s="25">
        <f t="shared" si="780"/>
        <v>0</v>
      </c>
      <c r="DI271" s="25">
        <f t="shared" si="778"/>
        <v>0</v>
      </c>
      <c r="DJ271" s="25">
        <f>IF(ISBLANK(J271),0,ISERROR(MATCH(J271,'5  Control Accounts'!$FA$29:$FA$96,0))*1)</f>
        <v>0</v>
      </c>
      <c r="DK271" s="25">
        <f t="shared" si="811"/>
        <v>0</v>
      </c>
      <c r="DL271" s="25">
        <f t="shared" si="818"/>
        <v>-1</v>
      </c>
      <c r="DM271" s="25" t="e">
        <f t="array" ref="DM271">MATCH(1,($EG271:$JD271&gt;0)*$EG$17:$JD$17,0)</f>
        <v>#N/A</v>
      </c>
      <c r="DN271" s="25" t="e">
        <f t="shared" si="775"/>
        <v>#N/A</v>
      </c>
      <c r="DO271" s="25" t="e">
        <f t="array" ref="DO271">MATCH(2,1/(EG271:JD271&gt;0))</f>
        <v>#N/A</v>
      </c>
      <c r="DP271" s="2993">
        <f t="shared" si="812"/>
        <v>0</v>
      </c>
      <c r="DQ271" s="3037">
        <f t="shared" si="813"/>
        <v>0</v>
      </c>
      <c r="DR271" s="111"/>
      <c r="DS271" s="1268">
        <f t="shared" si="781"/>
        <v>0</v>
      </c>
      <c r="DT271" s="1825"/>
      <c r="DU271" s="1826"/>
      <c r="DV271" s="1827"/>
      <c r="DW271" s="1828"/>
      <c r="DX271" s="659"/>
      <c r="DY271" s="1265"/>
      <c r="DZ271" s="1785">
        <f t="shared" si="772"/>
        <v>0</v>
      </c>
      <c r="EA271" s="1786">
        <f t="shared" si="773"/>
        <v>0</v>
      </c>
      <c r="EB271" s="1781">
        <f t="shared" si="776"/>
        <v>0</v>
      </c>
      <c r="EC271" s="1782">
        <f t="shared" si="777"/>
        <v>0</v>
      </c>
      <c r="ED271" s="1262"/>
      <c r="EE271" s="2280"/>
      <c r="EF271" s="1802"/>
      <c r="EG271" s="167"/>
      <c r="EH271" s="168"/>
      <c r="EI271" s="168"/>
      <c r="EJ271" s="168"/>
      <c r="EK271" s="168"/>
      <c r="EL271" s="168"/>
      <c r="EM271" s="168"/>
      <c r="EN271" s="168"/>
      <c r="EO271" s="168"/>
      <c r="EP271" s="168"/>
      <c r="EQ271" s="168"/>
      <c r="ER271" s="168"/>
      <c r="ES271" s="168"/>
      <c r="ET271" s="168"/>
      <c r="EU271" s="168"/>
      <c r="EV271" s="168"/>
      <c r="EW271" s="168"/>
      <c r="EX271" s="168"/>
      <c r="EY271" s="168"/>
      <c r="EZ271" s="168"/>
      <c r="FA271" s="168"/>
      <c r="FB271" s="168"/>
      <c r="FC271" s="168"/>
      <c r="FD271" s="168"/>
      <c r="FE271" s="168"/>
      <c r="FF271" s="168"/>
      <c r="FG271" s="168"/>
      <c r="FH271" s="168"/>
      <c r="FI271" s="168"/>
      <c r="FJ271" s="168"/>
      <c r="FK271" s="168"/>
      <c r="FL271" s="168"/>
      <c r="FM271" s="168"/>
      <c r="FN271" s="168"/>
      <c r="FO271" s="168"/>
      <c r="FP271" s="168"/>
      <c r="FQ271" s="168"/>
      <c r="FR271" s="168"/>
      <c r="FS271" s="168"/>
      <c r="FT271" s="168"/>
      <c r="FU271" s="168"/>
      <c r="FV271" s="168"/>
      <c r="FW271" s="168"/>
      <c r="FX271" s="168"/>
      <c r="FY271" s="168"/>
      <c r="FZ271" s="168"/>
      <c r="GA271" s="168"/>
      <c r="GB271" s="168"/>
      <c r="GC271" s="168"/>
      <c r="GD271" s="168"/>
      <c r="GE271" s="168"/>
      <c r="GF271" s="168"/>
      <c r="GG271" s="168"/>
      <c r="GH271" s="168"/>
      <c r="GI271" s="168"/>
      <c r="GJ271" s="168"/>
      <c r="GK271" s="168"/>
      <c r="GL271" s="168"/>
      <c r="GM271" s="168"/>
      <c r="GN271" s="168"/>
      <c r="GO271" s="168"/>
      <c r="GP271" s="168"/>
      <c r="GQ271" s="168"/>
      <c r="GR271" s="168"/>
      <c r="GS271" s="168"/>
      <c r="GT271" s="168"/>
      <c r="GU271" s="168"/>
      <c r="GV271" s="168"/>
      <c r="GW271" s="168"/>
      <c r="GX271" s="168"/>
      <c r="GY271" s="168"/>
      <c r="GZ271" s="168"/>
      <c r="HA271" s="168"/>
      <c r="HB271" s="168"/>
      <c r="HC271" s="168"/>
      <c r="HD271" s="168"/>
      <c r="HE271" s="168"/>
      <c r="HF271" s="168"/>
      <c r="HG271" s="168"/>
      <c r="HH271" s="168"/>
      <c r="HI271" s="168"/>
      <c r="HJ271" s="168"/>
      <c r="HK271" s="168"/>
      <c r="HL271" s="168"/>
      <c r="HM271" s="168"/>
      <c r="HN271" s="168"/>
      <c r="HO271" s="168"/>
      <c r="HP271" s="168"/>
      <c r="HQ271" s="168"/>
      <c r="HR271" s="168"/>
      <c r="HS271" s="168"/>
      <c r="HT271" s="168"/>
      <c r="HU271" s="168"/>
      <c r="HV271" s="168"/>
      <c r="HW271" s="168"/>
      <c r="HX271" s="168"/>
      <c r="HY271" s="168"/>
      <c r="HZ271" s="168"/>
      <c r="IA271" s="168"/>
      <c r="IB271" s="168"/>
      <c r="IC271" s="168"/>
      <c r="ID271" s="168"/>
      <c r="IE271" s="168"/>
      <c r="IF271" s="168"/>
      <c r="IG271" s="168"/>
      <c r="IH271" s="168"/>
      <c r="II271" s="168"/>
      <c r="IJ271" s="168"/>
      <c r="IK271" s="168"/>
      <c r="IL271" s="168"/>
      <c r="IM271" s="168"/>
      <c r="IN271" s="168"/>
      <c r="IO271" s="168"/>
      <c r="IP271" s="168"/>
      <c r="IQ271" s="168"/>
      <c r="IR271" s="168"/>
      <c r="IS271" s="168"/>
      <c r="IT271" s="168"/>
      <c r="IU271" s="168"/>
      <c r="IV271" s="168"/>
      <c r="IW271" s="168"/>
      <c r="IX271" s="168"/>
      <c r="IY271" s="168"/>
      <c r="IZ271" s="168"/>
      <c r="JA271" s="168"/>
      <c r="JB271" s="168"/>
      <c r="JC271" s="606"/>
      <c r="JD271" s="609"/>
      <c r="JE271" s="1"/>
      <c r="JF271" s="1"/>
    </row>
    <row r="272" spans="1:266" s="2" customFormat="1" ht="15" customHeight="1" x14ac:dyDescent="0.25">
      <c r="A272" s="283"/>
      <c r="B272" s="303"/>
      <c r="C272" s="301"/>
      <c r="D272" s="638"/>
      <c r="E272" s="2298"/>
      <c r="F272" s="1812"/>
      <c r="G272" s="3342"/>
      <c r="H272" s="66"/>
      <c r="I272" s="1746"/>
      <c r="J272" s="86"/>
      <c r="K272" s="105"/>
      <c r="L272" s="91"/>
      <c r="M272" s="92"/>
      <c r="N272" s="93"/>
      <c r="O272" s="94"/>
      <c r="P272" s="96"/>
      <c r="Q272" s="95"/>
      <c r="R272" s="993">
        <f t="shared" ref="R272:R304" si="823">CHOOSE(AD272,SUMIFS($T$129:$T$304,$AE$129:$AE$304,AE272,$AD$129:$AD$304,3,$DF$129:$DF$304,1,$AG$129:$AG$304,1),SUMIFS($T$129:$T$304,$AF$129:$AF$304,AF272,$AD$129:$AD$304,3,$DF$129:$DF$304,1,$AG$129:$AG$304,1),T272+U272)</f>
        <v>0</v>
      </c>
      <c r="S272" s="23">
        <f t="shared" si="783"/>
        <v>0</v>
      </c>
      <c r="T272" s="24">
        <f t="shared" si="299"/>
        <v>0</v>
      </c>
      <c r="U272" s="24">
        <f t="shared" si="300"/>
        <v>0</v>
      </c>
      <c r="V272" s="24">
        <f t="shared" si="785"/>
        <v>0</v>
      </c>
      <c r="W272" s="24">
        <f t="shared" si="819"/>
        <v>0</v>
      </c>
      <c r="X272" s="72">
        <f t="shared" si="786"/>
        <v>0</v>
      </c>
      <c r="Y272" s="72">
        <f t="shared" si="304"/>
        <v>0</v>
      </c>
      <c r="Z272" s="24">
        <f t="shared" si="770"/>
        <v>0</v>
      </c>
      <c r="AA272" s="72">
        <f t="shared" si="787"/>
        <v>0</v>
      </c>
      <c r="AB272" s="24">
        <f t="shared" si="820"/>
        <v>0</v>
      </c>
      <c r="AC272" s="24" t="s">
        <v>5</v>
      </c>
      <c r="AD272" s="25">
        <f t="shared" si="814"/>
        <v>3</v>
      </c>
      <c r="AE272" s="25">
        <f t="shared" si="815"/>
        <v>0</v>
      </c>
      <c r="AF272" s="25">
        <f t="shared" si="816"/>
        <v>0</v>
      </c>
      <c r="AG272" s="25">
        <f t="shared" si="784"/>
        <v>1</v>
      </c>
      <c r="AH272" s="25" t="str">
        <f>IFERROR(MATCH(DY272,'2 Staff List'!$IA$64:$IA$114,0),"x")</f>
        <v>x</v>
      </c>
      <c r="AI272" s="1181">
        <f>IFERROR(INDEX('2 Staff List'!$EX$64:$EX$114,$AH272),0)</f>
        <v>0</v>
      </c>
      <c r="AJ272" s="25">
        <f>IFERROR(INDEX('2 Staff List'!$IW$64:$IW$114,$AH272),0)</f>
        <v>0</v>
      </c>
      <c r="AK272" s="25">
        <f>IFERROR(INDEX('2 Staff List'!$IB$64:$IB$114,$AH272),0)</f>
        <v>0</v>
      </c>
      <c r="AL272" s="25">
        <f>IF(OR(NOT(ISBLANK(DV272)),CX272=1),"&lt;Non-Labor&gt;",IFERROR(IF(AH272=0,0,INDEX('2 Staff List'!$HZ$64:$HZ$114,$AH272)),0))</f>
        <v>0</v>
      </c>
      <c r="AM272" s="25">
        <f>IFERROR(INDEX('2 Staff List'!$HW$64:$HW$114,$AH272),0)</f>
        <v>0</v>
      </c>
      <c r="AN272" s="25">
        <f t="shared" si="308"/>
        <v>1</v>
      </c>
      <c r="AO272" s="25">
        <f>IF($AO$127=0,0,IFERROR(INDEX('2 Staff List'!$JH$64:$JH$114,$AH272),0))</f>
        <v>0</v>
      </c>
      <c r="AP272" s="25">
        <f>IFERROR(INDEX('2 Staff List'!$HU$64:$HU$114,$AH272),0)</f>
        <v>0</v>
      </c>
      <c r="AQ272" s="25">
        <f t="shared" si="821"/>
        <v>0</v>
      </c>
      <c r="AR272" s="25">
        <f t="shared" si="310"/>
        <v>0</v>
      </c>
      <c r="AS272" s="25">
        <f t="shared" si="788"/>
        <v>0</v>
      </c>
      <c r="AT272" s="25">
        <f t="shared" si="789"/>
        <v>0</v>
      </c>
      <c r="AU272" s="25">
        <f t="shared" si="790"/>
        <v>0</v>
      </c>
      <c r="AV272" s="25">
        <f t="shared" si="791"/>
        <v>0</v>
      </c>
      <c r="AW272" s="25">
        <f t="shared" si="792"/>
        <v>0</v>
      </c>
      <c r="AX272" s="25">
        <f t="shared" si="793"/>
        <v>0</v>
      </c>
      <c r="AY272" s="25">
        <f t="shared" si="794"/>
        <v>0</v>
      </c>
      <c r="AZ272" s="25">
        <f t="shared" si="795"/>
        <v>0</v>
      </c>
      <c r="BA272" s="25">
        <f t="shared" si="796"/>
        <v>0</v>
      </c>
      <c r="BB272" s="25">
        <f t="shared" si="797"/>
        <v>0</v>
      </c>
      <c r="BC272" s="25">
        <f>IFERROR(INDEX('2 Staff List'!KS$64:KS$114,$AH272),0)</f>
        <v>0</v>
      </c>
      <c r="BD272" s="25">
        <f>IFERROR(INDEX('2 Staff List'!KT$64:KT$114,$AH272),0)</f>
        <v>0</v>
      </c>
      <c r="BE272" s="25">
        <f>IFERROR(INDEX('2 Staff List'!KU$64:KU$114,$AH272),0)</f>
        <v>0</v>
      </c>
      <c r="BF272" s="25">
        <f>IFERROR(INDEX('2 Staff List'!KV$64:KV$114,$AH272),0)</f>
        <v>0</v>
      </c>
      <c r="BG272" s="25">
        <f>IFERROR(INDEX('2 Staff List'!KW$64:KW$114,$AH272),0)</f>
        <v>0</v>
      </c>
      <c r="BH272" s="25">
        <f>IFERROR(INDEX('2 Staff List'!KX$64:KX$114,$AH272),0)</f>
        <v>0</v>
      </c>
      <c r="BI272" s="25">
        <f>IFERROR(INDEX('2 Staff List'!KY$64:KY$114,$AH272),0)</f>
        <v>0</v>
      </c>
      <c r="BJ272" s="25">
        <f>IFERROR(INDEX('2 Staff List'!KZ$64:KZ$114,$AH272),0)</f>
        <v>0</v>
      </c>
      <c r="BK272" s="25">
        <f>IFERROR(INDEX('2 Staff List'!LA$64:LA$114,$AH272),0)</f>
        <v>0</v>
      </c>
      <c r="BL272" s="25">
        <f>IFERROR(INDEX('2 Staff List'!LB$64:LB$114,$AH272),0)</f>
        <v>0</v>
      </c>
      <c r="BM272" s="25">
        <f>IFERROR(INDEX('2 Staff List'!FT$64:FT$114,$AH272),0)</f>
        <v>0</v>
      </c>
      <c r="BN272" s="25">
        <f>IFERROR(INDEX('2 Staff List'!FU$64:FU$114,$AH272),0)</f>
        <v>0</v>
      </c>
      <c r="BO272" s="25">
        <f>IFERROR(INDEX('2 Staff List'!FV$64:FV$114,$AH272),0)</f>
        <v>0</v>
      </c>
      <c r="BP272" s="25">
        <f>IFERROR(INDEX('2 Staff List'!FW$64:FW$114,$AH272),0)</f>
        <v>0</v>
      </c>
      <c r="BQ272" s="25">
        <f>IFERROR(INDEX('2 Staff List'!FX$64:FX$114,$AH272),0)</f>
        <v>0</v>
      </c>
      <c r="BR272" s="25">
        <f>IFERROR(INDEX('2 Staff List'!FY$64:FY$114,$AH272),0)</f>
        <v>0</v>
      </c>
      <c r="BS272" s="25">
        <f>IFERROR(INDEX('2 Staff List'!FZ$64:FZ$114,$AH272),0)</f>
        <v>0</v>
      </c>
      <c r="BT272" s="25">
        <f>IFERROR(INDEX('2 Staff List'!GA$64:GA$114,$AH272),0)</f>
        <v>0</v>
      </c>
      <c r="BU272" s="25">
        <f>IFERROR(INDEX('2 Staff List'!GB$64:GB$114,$AH272),0)</f>
        <v>0</v>
      </c>
      <c r="BV272" s="25">
        <f>IFERROR(INDEX('2 Staff List'!GC$64:GC$114,$AH272),0)</f>
        <v>0</v>
      </c>
      <c r="BW272" s="25">
        <f t="shared" si="321"/>
        <v>0</v>
      </c>
      <c r="BX272" s="25">
        <f t="shared" si="798"/>
        <v>0</v>
      </c>
      <c r="BY272" s="25">
        <f t="shared" si="799"/>
        <v>0</v>
      </c>
      <c r="BZ272" s="25">
        <f t="shared" si="800"/>
        <v>0</v>
      </c>
      <c r="CA272" s="25">
        <f t="shared" si="801"/>
        <v>0</v>
      </c>
      <c r="CB272" s="25">
        <f t="shared" si="802"/>
        <v>0</v>
      </c>
      <c r="CC272" s="25">
        <f t="shared" si="803"/>
        <v>0</v>
      </c>
      <c r="CD272" s="25">
        <f t="shared" si="804"/>
        <v>0</v>
      </c>
      <c r="CE272" s="25">
        <f t="shared" si="805"/>
        <v>0</v>
      </c>
      <c r="CF272" s="25">
        <f t="shared" si="806"/>
        <v>0</v>
      </c>
      <c r="CG272" s="25">
        <f t="shared" si="807"/>
        <v>0</v>
      </c>
      <c r="CH272" s="25">
        <f>IFERROR(INDEX('2 Staff List'!LO$64:LO$114,$AH272),0)</f>
        <v>0</v>
      </c>
      <c r="CI272" s="25">
        <f>IFERROR(INDEX('2 Staff List'!LP$64:LP$114,$AH272),0)</f>
        <v>0</v>
      </c>
      <c r="CJ272" s="25">
        <f>IFERROR(INDEX('2 Staff List'!LQ$64:LQ$114,$AH272),0)</f>
        <v>0</v>
      </c>
      <c r="CK272" s="25">
        <f>IFERROR(INDEX('2 Staff List'!LR$64:LR$114,$AH272),0)</f>
        <v>0</v>
      </c>
      <c r="CL272" s="25">
        <f>IFERROR(INDEX('2 Staff List'!LS$64:LS$114,$AH272),0)</f>
        <v>0</v>
      </c>
      <c r="CM272" s="25">
        <f>IFERROR(INDEX('2 Staff List'!LT$64:LT$114,$AH272),0)</f>
        <v>0</v>
      </c>
      <c r="CN272" s="25">
        <f>IFERROR(INDEX('2 Staff List'!LU$64:LU$114,$AH272),0)</f>
        <v>0</v>
      </c>
      <c r="CO272" s="25">
        <f>IFERROR(INDEX('2 Staff List'!LV$64:LV$114,$AH272),0)</f>
        <v>0</v>
      </c>
      <c r="CP272" s="25">
        <f>IFERROR(INDEX('2 Staff List'!LW$64:LW$114,$AH272),0)</f>
        <v>0</v>
      </c>
      <c r="CQ272" s="25">
        <f>IFERROR(INDEX('2 Staff List'!LX$64:LX$114,$AH272),0)</f>
        <v>0</v>
      </c>
      <c r="CR272" s="25">
        <f t="shared" si="771"/>
        <v>0</v>
      </c>
      <c r="CS272" s="25">
        <f t="shared" si="774"/>
        <v>1</v>
      </c>
      <c r="CT272" s="25">
        <f t="shared" si="333"/>
        <v>1</v>
      </c>
      <c r="CU272" s="25">
        <f t="shared" si="822"/>
        <v>1</v>
      </c>
      <c r="CV272" s="25">
        <f t="shared" si="808"/>
        <v>1</v>
      </c>
      <c r="CW272" s="25">
        <f t="shared" si="336"/>
        <v>1</v>
      </c>
      <c r="CX272" s="25">
        <f t="shared" si="809"/>
        <v>0</v>
      </c>
      <c r="CY272" s="25">
        <f t="shared" si="779"/>
        <v>0</v>
      </c>
      <c r="CZ272" s="25">
        <f t="shared" si="339"/>
        <v>0</v>
      </c>
      <c r="DA272" s="25">
        <f t="shared" si="810"/>
        <v>1</v>
      </c>
      <c r="DB272" s="25">
        <f t="shared" si="817"/>
        <v>1</v>
      </c>
      <c r="DC272" s="25">
        <f t="shared" si="341"/>
        <v>0</v>
      </c>
      <c r="DD272" s="25">
        <f>IF(OR($AD272&lt;&gt;3,F272="Exclude"),0,IF(ISERROR(MATCH($E272,'4 Sign-off'!$S$123:$X$123,0)),0,1))</f>
        <v>0</v>
      </c>
      <c r="DE272" s="25">
        <f t="shared" si="782"/>
        <v>0</v>
      </c>
      <c r="DF272" s="25">
        <f t="shared" si="342"/>
        <v>0</v>
      </c>
      <c r="DG272" s="25" t="str">
        <f t="shared" si="343"/>
        <v/>
      </c>
      <c r="DH272" s="25">
        <f t="shared" si="780"/>
        <v>0</v>
      </c>
      <c r="DI272" s="25">
        <f t="shared" si="778"/>
        <v>0</v>
      </c>
      <c r="DJ272" s="25">
        <f>IF(ISBLANK(J272),0,ISERROR(MATCH(J272,'5  Control Accounts'!$FA$29:$FA$96,0))*1)</f>
        <v>0</v>
      </c>
      <c r="DK272" s="25">
        <f t="shared" si="811"/>
        <v>0</v>
      </c>
      <c r="DL272" s="25">
        <f t="shared" si="818"/>
        <v>-1</v>
      </c>
      <c r="DM272" s="25" t="e">
        <f t="array" ref="DM272">MATCH(1,($EG272:$JD272&gt;0)*$EG$17:$JD$17,0)</f>
        <v>#N/A</v>
      </c>
      <c r="DN272" s="25" t="e">
        <f t="shared" si="775"/>
        <v>#N/A</v>
      </c>
      <c r="DO272" s="25" t="e">
        <f t="array" ref="DO272">MATCH(2,1/(EG272:JD272&gt;0))</f>
        <v>#N/A</v>
      </c>
      <c r="DP272" s="2993">
        <f t="shared" si="812"/>
        <v>0</v>
      </c>
      <c r="DQ272" s="3037">
        <f t="shared" si="813"/>
        <v>0</v>
      </c>
      <c r="DR272" s="111"/>
      <c r="DS272" s="1268">
        <f t="shared" si="781"/>
        <v>0</v>
      </c>
      <c r="DT272" s="1825"/>
      <c r="DU272" s="1826"/>
      <c r="DV272" s="1827"/>
      <c r="DW272" s="1828"/>
      <c r="DX272" s="659"/>
      <c r="DY272" s="1265"/>
      <c r="DZ272" s="1785">
        <f t="shared" si="772"/>
        <v>0</v>
      </c>
      <c r="EA272" s="1786">
        <f t="shared" si="773"/>
        <v>0</v>
      </c>
      <c r="EB272" s="1781">
        <f t="shared" si="776"/>
        <v>0</v>
      </c>
      <c r="EC272" s="1782">
        <f t="shared" si="777"/>
        <v>0</v>
      </c>
      <c r="ED272" s="1262"/>
      <c r="EE272" s="2280"/>
      <c r="EF272" s="1802"/>
      <c r="EG272" s="167"/>
      <c r="EH272" s="168"/>
      <c r="EI272" s="168"/>
      <c r="EJ272" s="168"/>
      <c r="EK272" s="168"/>
      <c r="EL272" s="168"/>
      <c r="EM272" s="168"/>
      <c r="EN272" s="168"/>
      <c r="EO272" s="168"/>
      <c r="EP272" s="168"/>
      <c r="EQ272" s="168"/>
      <c r="ER272" s="168"/>
      <c r="ES272" s="168"/>
      <c r="ET272" s="168"/>
      <c r="EU272" s="168"/>
      <c r="EV272" s="168"/>
      <c r="EW272" s="168"/>
      <c r="EX272" s="168"/>
      <c r="EY272" s="168"/>
      <c r="EZ272" s="168"/>
      <c r="FA272" s="168"/>
      <c r="FB272" s="168"/>
      <c r="FC272" s="168"/>
      <c r="FD272" s="168"/>
      <c r="FE272" s="168"/>
      <c r="FF272" s="168"/>
      <c r="FG272" s="168"/>
      <c r="FH272" s="168"/>
      <c r="FI272" s="168"/>
      <c r="FJ272" s="168"/>
      <c r="FK272" s="168"/>
      <c r="FL272" s="168"/>
      <c r="FM272" s="168"/>
      <c r="FN272" s="168"/>
      <c r="FO272" s="168"/>
      <c r="FP272" s="168"/>
      <c r="FQ272" s="168"/>
      <c r="FR272" s="168"/>
      <c r="FS272" s="168"/>
      <c r="FT272" s="168"/>
      <c r="FU272" s="168"/>
      <c r="FV272" s="168"/>
      <c r="FW272" s="168"/>
      <c r="FX272" s="168"/>
      <c r="FY272" s="168"/>
      <c r="FZ272" s="168"/>
      <c r="GA272" s="168"/>
      <c r="GB272" s="168"/>
      <c r="GC272" s="168"/>
      <c r="GD272" s="168"/>
      <c r="GE272" s="168"/>
      <c r="GF272" s="168"/>
      <c r="GG272" s="168"/>
      <c r="GH272" s="168"/>
      <c r="GI272" s="168"/>
      <c r="GJ272" s="168"/>
      <c r="GK272" s="168"/>
      <c r="GL272" s="168"/>
      <c r="GM272" s="168"/>
      <c r="GN272" s="168"/>
      <c r="GO272" s="168"/>
      <c r="GP272" s="168"/>
      <c r="GQ272" s="168"/>
      <c r="GR272" s="168"/>
      <c r="GS272" s="168"/>
      <c r="GT272" s="168"/>
      <c r="GU272" s="168"/>
      <c r="GV272" s="168"/>
      <c r="GW272" s="168"/>
      <c r="GX272" s="168"/>
      <c r="GY272" s="168"/>
      <c r="GZ272" s="168"/>
      <c r="HA272" s="168"/>
      <c r="HB272" s="168"/>
      <c r="HC272" s="168"/>
      <c r="HD272" s="168"/>
      <c r="HE272" s="168"/>
      <c r="HF272" s="168"/>
      <c r="HG272" s="168"/>
      <c r="HH272" s="168"/>
      <c r="HI272" s="168"/>
      <c r="HJ272" s="168"/>
      <c r="HK272" s="168"/>
      <c r="HL272" s="168"/>
      <c r="HM272" s="168"/>
      <c r="HN272" s="168"/>
      <c r="HO272" s="168"/>
      <c r="HP272" s="168"/>
      <c r="HQ272" s="168"/>
      <c r="HR272" s="168"/>
      <c r="HS272" s="168"/>
      <c r="HT272" s="168"/>
      <c r="HU272" s="168"/>
      <c r="HV272" s="168"/>
      <c r="HW272" s="168"/>
      <c r="HX272" s="168"/>
      <c r="HY272" s="168"/>
      <c r="HZ272" s="168"/>
      <c r="IA272" s="168"/>
      <c r="IB272" s="168"/>
      <c r="IC272" s="168"/>
      <c r="ID272" s="168"/>
      <c r="IE272" s="168"/>
      <c r="IF272" s="168"/>
      <c r="IG272" s="168"/>
      <c r="IH272" s="168"/>
      <c r="II272" s="168"/>
      <c r="IJ272" s="168"/>
      <c r="IK272" s="168"/>
      <c r="IL272" s="168"/>
      <c r="IM272" s="168"/>
      <c r="IN272" s="168"/>
      <c r="IO272" s="168"/>
      <c r="IP272" s="168"/>
      <c r="IQ272" s="168"/>
      <c r="IR272" s="168"/>
      <c r="IS272" s="168"/>
      <c r="IT272" s="168"/>
      <c r="IU272" s="168"/>
      <c r="IV272" s="168"/>
      <c r="IW272" s="168"/>
      <c r="IX272" s="168"/>
      <c r="IY272" s="168"/>
      <c r="IZ272" s="168"/>
      <c r="JA272" s="168"/>
      <c r="JB272" s="168"/>
      <c r="JC272" s="606"/>
      <c r="JD272" s="609"/>
      <c r="JE272" s="1"/>
      <c r="JF272" s="1"/>
    </row>
    <row r="273" spans="1:266" s="2" customFormat="1" ht="15" customHeight="1" x14ac:dyDescent="0.25">
      <c r="A273" s="283"/>
      <c r="B273" s="303"/>
      <c r="C273" s="301"/>
      <c r="D273" s="638"/>
      <c r="E273" s="2298"/>
      <c r="F273" s="1812"/>
      <c r="G273" s="3342"/>
      <c r="H273" s="66"/>
      <c r="I273" s="1746"/>
      <c r="J273" s="86"/>
      <c r="K273" s="105"/>
      <c r="L273" s="91"/>
      <c r="M273" s="92"/>
      <c r="N273" s="93"/>
      <c r="O273" s="94"/>
      <c r="P273" s="96"/>
      <c r="Q273" s="95"/>
      <c r="R273" s="993">
        <f t="shared" si="823"/>
        <v>0</v>
      </c>
      <c r="S273" s="23">
        <f t="shared" si="783"/>
        <v>0</v>
      </c>
      <c r="T273" s="24">
        <f t="shared" si="299"/>
        <v>0</v>
      </c>
      <c r="U273" s="24">
        <f t="shared" si="300"/>
        <v>0</v>
      </c>
      <c r="V273" s="24">
        <f t="shared" si="785"/>
        <v>0</v>
      </c>
      <c r="W273" s="24">
        <f t="shared" si="819"/>
        <v>0</v>
      </c>
      <c r="X273" s="72">
        <f t="shared" si="786"/>
        <v>0</v>
      </c>
      <c r="Y273" s="72">
        <f t="shared" si="304"/>
        <v>0</v>
      </c>
      <c r="Z273" s="24">
        <f t="shared" ref="Z273:Z304" si="824">IF($AD273=3,SUMPRODUCT(AS273:BB273,BC273:BL273),0)</f>
        <v>0</v>
      </c>
      <c r="AA273" s="72">
        <f t="shared" si="787"/>
        <v>0</v>
      </c>
      <c r="AB273" s="24">
        <f t="shared" si="820"/>
        <v>0</v>
      </c>
      <c r="AC273" s="24" t="s">
        <v>5</v>
      </c>
      <c r="AD273" s="25">
        <f t="shared" si="814"/>
        <v>3</v>
      </c>
      <c r="AE273" s="25">
        <f t="shared" si="815"/>
        <v>0</v>
      </c>
      <c r="AF273" s="25">
        <f t="shared" si="816"/>
        <v>0</v>
      </c>
      <c r="AG273" s="25">
        <f t="shared" si="784"/>
        <v>1</v>
      </c>
      <c r="AH273" s="25" t="str">
        <f>IFERROR(MATCH(DY273,'2 Staff List'!$IA$64:$IA$114,0),"x")</f>
        <v>x</v>
      </c>
      <c r="AI273" s="1181">
        <f>IFERROR(INDEX('2 Staff List'!$EX$64:$EX$114,$AH273),0)</f>
        <v>0</v>
      </c>
      <c r="AJ273" s="25">
        <f>IFERROR(INDEX('2 Staff List'!$IW$64:$IW$114,$AH273),0)</f>
        <v>0</v>
      </c>
      <c r="AK273" s="25">
        <f>IFERROR(INDEX('2 Staff List'!$IB$64:$IB$114,$AH273),0)</f>
        <v>0</v>
      </c>
      <c r="AL273" s="25">
        <f>IF(OR(NOT(ISBLANK(DV273)),CX273=1),"&lt;Non-Labor&gt;",IFERROR(IF(AH273=0,0,INDEX('2 Staff List'!$HZ$64:$HZ$114,$AH273)),0))</f>
        <v>0</v>
      </c>
      <c r="AM273" s="25">
        <f>IFERROR(INDEX('2 Staff List'!$HW$64:$HW$114,$AH273),0)</f>
        <v>0</v>
      </c>
      <c r="AN273" s="25">
        <f t="shared" ref="AN273:AN304" si="825">(1+B273)*IF(ISBLANK(EE273),1,EE273)</f>
        <v>1</v>
      </c>
      <c r="AO273" s="25">
        <f>IF($AO$127=0,0,IFERROR(INDEX('2 Staff List'!$JH$64:$JH$114,$AH273),0))</f>
        <v>0</v>
      </c>
      <c r="AP273" s="25">
        <f>IFERROR(INDEX('2 Staff List'!$HU$64:$HU$114,$AH273),0)</f>
        <v>0</v>
      </c>
      <c r="AQ273" s="25">
        <f t="shared" si="821"/>
        <v>0</v>
      </c>
      <c r="AR273" s="25">
        <f t="shared" ref="AR273:AR304" si="826">IF(OR($AD273&lt;&gt;3,$DV273&gt;0,$DY273=0),0,SUMIFS($EG273:$JD273,$EG$17:$JD$17,1)*AN273)</f>
        <v>0</v>
      </c>
      <c r="AS273" s="25">
        <f t="shared" si="788"/>
        <v>0</v>
      </c>
      <c r="AT273" s="25">
        <f t="shared" si="789"/>
        <v>0</v>
      </c>
      <c r="AU273" s="25">
        <f t="shared" si="790"/>
        <v>0</v>
      </c>
      <c r="AV273" s="25">
        <f t="shared" si="791"/>
        <v>0</v>
      </c>
      <c r="AW273" s="25">
        <f t="shared" si="792"/>
        <v>0</v>
      </c>
      <c r="AX273" s="25">
        <f t="shared" si="793"/>
        <v>0</v>
      </c>
      <c r="AY273" s="25">
        <f t="shared" si="794"/>
        <v>0</v>
      </c>
      <c r="AZ273" s="25">
        <f t="shared" si="795"/>
        <v>0</v>
      </c>
      <c r="BA273" s="25">
        <f t="shared" si="796"/>
        <v>0</v>
      </c>
      <c r="BB273" s="25">
        <f t="shared" si="797"/>
        <v>0</v>
      </c>
      <c r="BC273" s="25">
        <f>IFERROR(INDEX('2 Staff List'!KS$64:KS$114,$AH273),0)</f>
        <v>0</v>
      </c>
      <c r="BD273" s="25">
        <f>IFERROR(INDEX('2 Staff List'!KT$64:KT$114,$AH273),0)</f>
        <v>0</v>
      </c>
      <c r="BE273" s="25">
        <f>IFERROR(INDEX('2 Staff List'!KU$64:KU$114,$AH273),0)</f>
        <v>0</v>
      </c>
      <c r="BF273" s="25">
        <f>IFERROR(INDEX('2 Staff List'!KV$64:KV$114,$AH273),0)</f>
        <v>0</v>
      </c>
      <c r="BG273" s="25">
        <f>IFERROR(INDEX('2 Staff List'!KW$64:KW$114,$AH273),0)</f>
        <v>0</v>
      </c>
      <c r="BH273" s="25">
        <f>IFERROR(INDEX('2 Staff List'!KX$64:KX$114,$AH273),0)</f>
        <v>0</v>
      </c>
      <c r="BI273" s="25">
        <f>IFERROR(INDEX('2 Staff List'!KY$64:KY$114,$AH273),0)</f>
        <v>0</v>
      </c>
      <c r="BJ273" s="25">
        <f>IFERROR(INDEX('2 Staff List'!KZ$64:KZ$114,$AH273),0)</f>
        <v>0</v>
      </c>
      <c r="BK273" s="25">
        <f>IFERROR(INDEX('2 Staff List'!LA$64:LA$114,$AH273),0)</f>
        <v>0</v>
      </c>
      <c r="BL273" s="25">
        <f>IFERROR(INDEX('2 Staff List'!LB$64:LB$114,$AH273),0)</f>
        <v>0</v>
      </c>
      <c r="BM273" s="25">
        <f>IFERROR(INDEX('2 Staff List'!FT$64:FT$114,$AH273),0)</f>
        <v>0</v>
      </c>
      <c r="BN273" s="25">
        <f>IFERROR(INDEX('2 Staff List'!FU$64:FU$114,$AH273),0)</f>
        <v>0</v>
      </c>
      <c r="BO273" s="25">
        <f>IFERROR(INDEX('2 Staff List'!FV$64:FV$114,$AH273),0)</f>
        <v>0</v>
      </c>
      <c r="BP273" s="25">
        <f>IFERROR(INDEX('2 Staff List'!FW$64:FW$114,$AH273),0)</f>
        <v>0</v>
      </c>
      <c r="BQ273" s="25">
        <f>IFERROR(INDEX('2 Staff List'!FX$64:FX$114,$AH273),0)</f>
        <v>0</v>
      </c>
      <c r="BR273" s="25">
        <f>IFERROR(INDEX('2 Staff List'!FY$64:FY$114,$AH273),0)</f>
        <v>0</v>
      </c>
      <c r="BS273" s="25">
        <f>IFERROR(INDEX('2 Staff List'!FZ$64:FZ$114,$AH273),0)</f>
        <v>0</v>
      </c>
      <c r="BT273" s="25">
        <f>IFERROR(INDEX('2 Staff List'!GA$64:GA$114,$AH273),0)</f>
        <v>0</v>
      </c>
      <c r="BU273" s="25">
        <f>IFERROR(INDEX('2 Staff List'!GB$64:GB$114,$AH273),0)</f>
        <v>0</v>
      </c>
      <c r="BV273" s="25">
        <f>IFERROR(INDEX('2 Staff List'!GC$64:GC$114,$AH273),0)</f>
        <v>0</v>
      </c>
      <c r="BW273" s="25">
        <f t="shared" ref="BW273:BW304" si="827">IF(OR($AD273&lt;&gt;3,$DV273&gt;0,$DY273=0),0,SUMIFS($EG273:$JD273,$EG$17:$JD$17,1)*AN273*$AG273)</f>
        <v>0</v>
      </c>
      <c r="BX273" s="25">
        <f t="shared" si="798"/>
        <v>0</v>
      </c>
      <c r="BY273" s="25">
        <f t="shared" si="799"/>
        <v>0</v>
      </c>
      <c r="BZ273" s="25">
        <f t="shared" si="800"/>
        <v>0</v>
      </c>
      <c r="CA273" s="25">
        <f t="shared" si="801"/>
        <v>0</v>
      </c>
      <c r="CB273" s="25">
        <f t="shared" si="802"/>
        <v>0</v>
      </c>
      <c r="CC273" s="25">
        <f t="shared" si="803"/>
        <v>0</v>
      </c>
      <c r="CD273" s="25">
        <f t="shared" si="804"/>
        <v>0</v>
      </c>
      <c r="CE273" s="25">
        <f t="shared" si="805"/>
        <v>0</v>
      </c>
      <c r="CF273" s="25">
        <f t="shared" si="806"/>
        <v>0</v>
      </c>
      <c r="CG273" s="25">
        <f t="shared" si="807"/>
        <v>0</v>
      </c>
      <c r="CH273" s="25">
        <f>IFERROR(INDEX('2 Staff List'!LO$64:LO$114,$AH273),0)</f>
        <v>0</v>
      </c>
      <c r="CI273" s="25">
        <f>IFERROR(INDEX('2 Staff List'!LP$64:LP$114,$AH273),0)</f>
        <v>0</v>
      </c>
      <c r="CJ273" s="25">
        <f>IFERROR(INDEX('2 Staff List'!LQ$64:LQ$114,$AH273),0)</f>
        <v>0</v>
      </c>
      <c r="CK273" s="25">
        <f>IFERROR(INDEX('2 Staff List'!LR$64:LR$114,$AH273),0)</f>
        <v>0</v>
      </c>
      <c r="CL273" s="25">
        <f>IFERROR(INDEX('2 Staff List'!LS$64:LS$114,$AH273),0)</f>
        <v>0</v>
      </c>
      <c r="CM273" s="25">
        <f>IFERROR(INDEX('2 Staff List'!LT$64:LT$114,$AH273),0)</f>
        <v>0</v>
      </c>
      <c r="CN273" s="25">
        <f>IFERROR(INDEX('2 Staff List'!LU$64:LU$114,$AH273),0)</f>
        <v>0</v>
      </c>
      <c r="CO273" s="25">
        <f>IFERROR(INDEX('2 Staff List'!LV$64:LV$114,$AH273),0)</f>
        <v>0</v>
      </c>
      <c r="CP273" s="25">
        <f>IFERROR(INDEX('2 Staff List'!LW$64:LW$114,$AH273),0)</f>
        <v>0</v>
      </c>
      <c r="CQ273" s="25">
        <f>IFERROR(INDEX('2 Staff List'!LX$64:LX$114,$AH273),0)</f>
        <v>0</v>
      </c>
      <c r="CR273" s="25">
        <f t="shared" ref="CR273:CR304" si="828">IF(AD273=3,SUMPRODUCT($EG273:$JD273,$EG$17:$JD$17),0)</f>
        <v>0</v>
      </c>
      <c r="CS273" s="25">
        <f t="shared" si="774"/>
        <v>1</v>
      </c>
      <c r="CT273" s="25">
        <f t="shared" si="333"/>
        <v>1</v>
      </c>
      <c r="CU273" s="25">
        <f t="shared" si="822"/>
        <v>1</v>
      </c>
      <c r="CV273" s="25">
        <f t="shared" si="808"/>
        <v>1</v>
      </c>
      <c r="CW273" s="25">
        <f t="shared" ref="CW273:CW304" si="829">IF(AD273&lt;&gt;3,0,IF(OR(F273="",F273="Approved",F273="Pend w FC"),1,0))</f>
        <v>1</v>
      </c>
      <c r="CX273" s="25">
        <f t="shared" si="809"/>
        <v>0</v>
      </c>
      <c r="CY273" s="25">
        <f t="shared" si="779"/>
        <v>0</v>
      </c>
      <c r="CZ273" s="25">
        <f t="shared" ref="CZ273:CZ304" si="830">IF(AD273&lt;&gt;3,0,IF(OR(F273="Pending",F273="Pend w FC"),1,0))</f>
        <v>0</v>
      </c>
      <c r="DA273" s="25">
        <f t="shared" si="810"/>
        <v>1</v>
      </c>
      <c r="DB273" s="25">
        <f t="shared" si="817"/>
        <v>1</v>
      </c>
      <c r="DC273" s="25">
        <f t="shared" si="341"/>
        <v>0</v>
      </c>
      <c r="DD273" s="25">
        <f>IF(OR($AD273&lt;&gt;3,F273="Exclude"),0,IF(ISERROR(MATCH($E273,'4 Sign-off'!$S$123:$X$123,0)),0,1))</f>
        <v>0</v>
      </c>
      <c r="DE273" s="25">
        <f t="shared" si="782"/>
        <v>0</v>
      </c>
      <c r="DF273" s="25">
        <f t="shared" ref="DF273:DF304" si="831">CHOOSE($DF$119,CV273,CW273,DE273)</f>
        <v>0</v>
      </c>
      <c r="DG273" s="25" t="str">
        <f t="shared" ref="DG273:DG304" si="832">LEFT(J273,1)</f>
        <v/>
      </c>
      <c r="DH273" s="25">
        <f t="shared" si="780"/>
        <v>0</v>
      </c>
      <c r="DI273" s="25">
        <f t="shared" si="778"/>
        <v>0</v>
      </c>
      <c r="DJ273" s="25">
        <f>IF(ISBLANK(J273),0,ISERROR(MATCH(J273,'5  Control Accounts'!$FA$29:$FA$96,0))*1)</f>
        <v>0</v>
      </c>
      <c r="DK273" s="25">
        <f t="shared" si="811"/>
        <v>0</v>
      </c>
      <c r="DL273" s="25">
        <f t="shared" si="818"/>
        <v>-1</v>
      </c>
      <c r="DM273" s="25" t="e">
        <f t="array" ref="DM273">MATCH(1,($EG273:$JD273&gt;0)*$EG$17:$JD$17,0)</f>
        <v>#N/A</v>
      </c>
      <c r="DN273" s="25" t="e">
        <f t="shared" si="775"/>
        <v>#N/A</v>
      </c>
      <c r="DO273" s="25" t="e">
        <f t="array" ref="DO273">MATCH(2,1/(EG273:JD273&gt;0))</f>
        <v>#N/A</v>
      </c>
      <c r="DP273" s="2993">
        <f t="shared" si="812"/>
        <v>0</v>
      </c>
      <c r="DQ273" s="3037">
        <f t="shared" si="813"/>
        <v>0</v>
      </c>
      <c r="DR273" s="111"/>
      <c r="DS273" s="1268">
        <f t="shared" si="781"/>
        <v>0</v>
      </c>
      <c r="DT273" s="1825"/>
      <c r="DU273" s="1826"/>
      <c r="DV273" s="1827"/>
      <c r="DW273" s="1828"/>
      <c r="DX273" s="659"/>
      <c r="DY273" s="1265"/>
      <c r="DZ273" s="1785">
        <f t="shared" ref="DZ273:DZ304" si="833">AL273</f>
        <v>0</v>
      </c>
      <c r="EA273" s="1786">
        <f t="shared" si="773"/>
        <v>0</v>
      </c>
      <c r="EB273" s="1781">
        <f t="shared" si="776"/>
        <v>0</v>
      </c>
      <c r="EC273" s="1782">
        <f t="shared" si="777"/>
        <v>0</v>
      </c>
      <c r="ED273" s="1262"/>
      <c r="EE273" s="2280"/>
      <c r="EF273" s="1802"/>
      <c r="EG273" s="167"/>
      <c r="EH273" s="168"/>
      <c r="EI273" s="168"/>
      <c r="EJ273" s="168"/>
      <c r="EK273" s="168"/>
      <c r="EL273" s="168"/>
      <c r="EM273" s="168"/>
      <c r="EN273" s="168"/>
      <c r="EO273" s="168"/>
      <c r="EP273" s="168"/>
      <c r="EQ273" s="168"/>
      <c r="ER273" s="168"/>
      <c r="ES273" s="168"/>
      <c r="ET273" s="168"/>
      <c r="EU273" s="168"/>
      <c r="EV273" s="168"/>
      <c r="EW273" s="168"/>
      <c r="EX273" s="168"/>
      <c r="EY273" s="168"/>
      <c r="EZ273" s="168"/>
      <c r="FA273" s="168"/>
      <c r="FB273" s="168"/>
      <c r="FC273" s="168"/>
      <c r="FD273" s="168"/>
      <c r="FE273" s="168"/>
      <c r="FF273" s="168"/>
      <c r="FG273" s="168"/>
      <c r="FH273" s="168"/>
      <c r="FI273" s="168"/>
      <c r="FJ273" s="168"/>
      <c r="FK273" s="168"/>
      <c r="FL273" s="168"/>
      <c r="FM273" s="168"/>
      <c r="FN273" s="168"/>
      <c r="FO273" s="168"/>
      <c r="FP273" s="168"/>
      <c r="FQ273" s="168"/>
      <c r="FR273" s="168"/>
      <c r="FS273" s="168"/>
      <c r="FT273" s="168"/>
      <c r="FU273" s="168"/>
      <c r="FV273" s="168"/>
      <c r="FW273" s="168"/>
      <c r="FX273" s="168"/>
      <c r="FY273" s="168"/>
      <c r="FZ273" s="168"/>
      <c r="GA273" s="168"/>
      <c r="GB273" s="168"/>
      <c r="GC273" s="168"/>
      <c r="GD273" s="168"/>
      <c r="GE273" s="168"/>
      <c r="GF273" s="168"/>
      <c r="GG273" s="168"/>
      <c r="GH273" s="168"/>
      <c r="GI273" s="168"/>
      <c r="GJ273" s="168"/>
      <c r="GK273" s="168"/>
      <c r="GL273" s="168"/>
      <c r="GM273" s="168"/>
      <c r="GN273" s="168"/>
      <c r="GO273" s="168"/>
      <c r="GP273" s="168"/>
      <c r="GQ273" s="168"/>
      <c r="GR273" s="168"/>
      <c r="GS273" s="168"/>
      <c r="GT273" s="168"/>
      <c r="GU273" s="168"/>
      <c r="GV273" s="168"/>
      <c r="GW273" s="168"/>
      <c r="GX273" s="168"/>
      <c r="GY273" s="168"/>
      <c r="GZ273" s="168"/>
      <c r="HA273" s="168"/>
      <c r="HB273" s="168"/>
      <c r="HC273" s="168"/>
      <c r="HD273" s="168"/>
      <c r="HE273" s="168"/>
      <c r="HF273" s="168"/>
      <c r="HG273" s="168"/>
      <c r="HH273" s="168"/>
      <c r="HI273" s="168"/>
      <c r="HJ273" s="168"/>
      <c r="HK273" s="168"/>
      <c r="HL273" s="168"/>
      <c r="HM273" s="168"/>
      <c r="HN273" s="168"/>
      <c r="HO273" s="168"/>
      <c r="HP273" s="168"/>
      <c r="HQ273" s="168"/>
      <c r="HR273" s="168"/>
      <c r="HS273" s="168"/>
      <c r="HT273" s="168"/>
      <c r="HU273" s="168"/>
      <c r="HV273" s="168"/>
      <c r="HW273" s="168"/>
      <c r="HX273" s="168"/>
      <c r="HY273" s="168"/>
      <c r="HZ273" s="168"/>
      <c r="IA273" s="168"/>
      <c r="IB273" s="168"/>
      <c r="IC273" s="168"/>
      <c r="ID273" s="168"/>
      <c r="IE273" s="168"/>
      <c r="IF273" s="168"/>
      <c r="IG273" s="168"/>
      <c r="IH273" s="168"/>
      <c r="II273" s="168"/>
      <c r="IJ273" s="168"/>
      <c r="IK273" s="168"/>
      <c r="IL273" s="168"/>
      <c r="IM273" s="168"/>
      <c r="IN273" s="168"/>
      <c r="IO273" s="168"/>
      <c r="IP273" s="168"/>
      <c r="IQ273" s="168"/>
      <c r="IR273" s="168"/>
      <c r="IS273" s="168"/>
      <c r="IT273" s="168"/>
      <c r="IU273" s="168"/>
      <c r="IV273" s="168"/>
      <c r="IW273" s="168"/>
      <c r="IX273" s="168"/>
      <c r="IY273" s="168"/>
      <c r="IZ273" s="168"/>
      <c r="JA273" s="168"/>
      <c r="JB273" s="168"/>
      <c r="JC273" s="606"/>
      <c r="JD273" s="609"/>
      <c r="JE273" s="1"/>
      <c r="JF273" s="1"/>
    </row>
    <row r="274" spans="1:266" s="2" customFormat="1" ht="15" customHeight="1" x14ac:dyDescent="0.25">
      <c r="A274" s="283"/>
      <c r="B274" s="303"/>
      <c r="C274" s="301"/>
      <c r="D274" s="638"/>
      <c r="E274" s="2298"/>
      <c r="F274" s="1812"/>
      <c r="G274" s="3342"/>
      <c r="H274" s="66"/>
      <c r="I274" s="1746"/>
      <c r="J274" s="86"/>
      <c r="K274" s="105"/>
      <c r="L274" s="91"/>
      <c r="M274" s="92"/>
      <c r="N274" s="93"/>
      <c r="O274" s="94"/>
      <c r="P274" s="96"/>
      <c r="Q274" s="95"/>
      <c r="R274" s="993">
        <f t="shared" si="823"/>
        <v>0</v>
      </c>
      <c r="S274" s="23">
        <f t="shared" si="783"/>
        <v>0</v>
      </c>
      <c r="T274" s="24">
        <f t="shared" ref="T274:T304" si="834">IF($AD274=3,BW274*AG274,0)</f>
        <v>0</v>
      </c>
      <c r="U274" s="24">
        <f t="shared" ref="U274:U304" si="835">IF($AD274=3,AR274*(1-AG274),0)</f>
        <v>0</v>
      </c>
      <c r="V274" s="24">
        <f t="shared" si="785"/>
        <v>0</v>
      </c>
      <c r="W274" s="24">
        <f t="shared" si="819"/>
        <v>0</v>
      </c>
      <c r="X274" s="72">
        <f t="shared" si="786"/>
        <v>0</v>
      </c>
      <c r="Y274" s="72">
        <f t="shared" ref="Y274:Y304" si="836">IF($AD274=3,SUMPRODUCT(AS274:BB274,BM274:BV274),0)</f>
        <v>0</v>
      </c>
      <c r="Z274" s="24">
        <f t="shared" si="824"/>
        <v>0</v>
      </c>
      <c r="AA274" s="72">
        <f t="shared" si="787"/>
        <v>0</v>
      </c>
      <c r="AB274" s="24">
        <f t="shared" si="820"/>
        <v>0</v>
      </c>
      <c r="AC274" s="24" t="s">
        <v>5</v>
      </c>
      <c r="AD274" s="25">
        <f t="shared" si="814"/>
        <v>3</v>
      </c>
      <c r="AE274" s="25">
        <f t="shared" si="815"/>
        <v>0</v>
      </c>
      <c r="AF274" s="25">
        <f t="shared" si="816"/>
        <v>0</v>
      </c>
      <c r="AG274" s="25">
        <f t="shared" si="784"/>
        <v>1</v>
      </c>
      <c r="AH274" s="25" t="str">
        <f>IFERROR(MATCH(DY274,'2 Staff List'!$IA$64:$IA$114,0),"x")</f>
        <v>x</v>
      </c>
      <c r="AI274" s="1181">
        <f>IFERROR(INDEX('2 Staff List'!$EX$64:$EX$114,$AH274),0)</f>
        <v>0</v>
      </c>
      <c r="AJ274" s="25">
        <f>IFERROR(INDEX('2 Staff List'!$IW$64:$IW$114,$AH274),0)</f>
        <v>0</v>
      </c>
      <c r="AK274" s="25">
        <f>IFERROR(INDEX('2 Staff List'!$IB$64:$IB$114,$AH274),0)</f>
        <v>0</v>
      </c>
      <c r="AL274" s="25">
        <f>IF(OR(NOT(ISBLANK(DV274)),CX274=1),"&lt;Non-Labor&gt;",IFERROR(IF(AH274=0,0,INDEX('2 Staff List'!$HZ$64:$HZ$114,$AH274)),0))</f>
        <v>0</v>
      </c>
      <c r="AM274" s="25">
        <f>IFERROR(INDEX('2 Staff List'!$HW$64:$HW$114,$AH274),0)</f>
        <v>0</v>
      </c>
      <c r="AN274" s="25">
        <f t="shared" si="825"/>
        <v>1</v>
      </c>
      <c r="AO274" s="25">
        <f>IF($AO$127=0,0,IFERROR(INDEX('2 Staff List'!$JH$64:$JH$114,$AH274),0))</f>
        <v>0</v>
      </c>
      <c r="AP274" s="25">
        <f>IFERROR(INDEX('2 Staff List'!$HU$64:$HU$114,$AH274),0)</f>
        <v>0</v>
      </c>
      <c r="AQ274" s="25">
        <f t="shared" si="821"/>
        <v>0</v>
      </c>
      <c r="AR274" s="25">
        <f t="shared" si="826"/>
        <v>0</v>
      </c>
      <c r="AS274" s="25">
        <f t="shared" si="788"/>
        <v>0</v>
      </c>
      <c r="AT274" s="25">
        <f t="shared" si="789"/>
        <v>0</v>
      </c>
      <c r="AU274" s="25">
        <f t="shared" si="790"/>
        <v>0</v>
      </c>
      <c r="AV274" s="25">
        <f t="shared" si="791"/>
        <v>0</v>
      </c>
      <c r="AW274" s="25">
        <f t="shared" si="792"/>
        <v>0</v>
      </c>
      <c r="AX274" s="25">
        <f t="shared" si="793"/>
        <v>0</v>
      </c>
      <c r="AY274" s="25">
        <f t="shared" si="794"/>
        <v>0</v>
      </c>
      <c r="AZ274" s="25">
        <f t="shared" si="795"/>
        <v>0</v>
      </c>
      <c r="BA274" s="25">
        <f t="shared" si="796"/>
        <v>0</v>
      </c>
      <c r="BB274" s="25">
        <f t="shared" si="797"/>
        <v>0</v>
      </c>
      <c r="BC274" s="25">
        <f>IFERROR(INDEX('2 Staff List'!KS$64:KS$114,$AH274),0)</f>
        <v>0</v>
      </c>
      <c r="BD274" s="25">
        <f>IFERROR(INDEX('2 Staff List'!KT$64:KT$114,$AH274),0)</f>
        <v>0</v>
      </c>
      <c r="BE274" s="25">
        <f>IFERROR(INDEX('2 Staff List'!KU$64:KU$114,$AH274),0)</f>
        <v>0</v>
      </c>
      <c r="BF274" s="25">
        <f>IFERROR(INDEX('2 Staff List'!KV$64:KV$114,$AH274),0)</f>
        <v>0</v>
      </c>
      <c r="BG274" s="25">
        <f>IFERROR(INDEX('2 Staff List'!KW$64:KW$114,$AH274),0)</f>
        <v>0</v>
      </c>
      <c r="BH274" s="25">
        <f>IFERROR(INDEX('2 Staff List'!KX$64:KX$114,$AH274),0)</f>
        <v>0</v>
      </c>
      <c r="BI274" s="25">
        <f>IFERROR(INDEX('2 Staff List'!KY$64:KY$114,$AH274),0)</f>
        <v>0</v>
      </c>
      <c r="BJ274" s="25">
        <f>IFERROR(INDEX('2 Staff List'!KZ$64:KZ$114,$AH274),0)</f>
        <v>0</v>
      </c>
      <c r="BK274" s="25">
        <f>IFERROR(INDEX('2 Staff List'!LA$64:LA$114,$AH274),0)</f>
        <v>0</v>
      </c>
      <c r="BL274" s="25">
        <f>IFERROR(INDEX('2 Staff List'!LB$64:LB$114,$AH274),0)</f>
        <v>0</v>
      </c>
      <c r="BM274" s="25">
        <f>IFERROR(INDEX('2 Staff List'!FT$64:FT$114,$AH274),0)</f>
        <v>0</v>
      </c>
      <c r="BN274" s="25">
        <f>IFERROR(INDEX('2 Staff List'!FU$64:FU$114,$AH274),0)</f>
        <v>0</v>
      </c>
      <c r="BO274" s="25">
        <f>IFERROR(INDEX('2 Staff List'!FV$64:FV$114,$AH274),0)</f>
        <v>0</v>
      </c>
      <c r="BP274" s="25">
        <f>IFERROR(INDEX('2 Staff List'!FW$64:FW$114,$AH274),0)</f>
        <v>0</v>
      </c>
      <c r="BQ274" s="25">
        <f>IFERROR(INDEX('2 Staff List'!FX$64:FX$114,$AH274),0)</f>
        <v>0</v>
      </c>
      <c r="BR274" s="25">
        <f>IFERROR(INDEX('2 Staff List'!FY$64:FY$114,$AH274),0)</f>
        <v>0</v>
      </c>
      <c r="BS274" s="25">
        <f>IFERROR(INDEX('2 Staff List'!FZ$64:FZ$114,$AH274),0)</f>
        <v>0</v>
      </c>
      <c r="BT274" s="25">
        <f>IFERROR(INDEX('2 Staff List'!GA$64:GA$114,$AH274),0)</f>
        <v>0</v>
      </c>
      <c r="BU274" s="25">
        <f>IFERROR(INDEX('2 Staff List'!GB$64:GB$114,$AH274),0)</f>
        <v>0</v>
      </c>
      <c r="BV274" s="25">
        <f>IFERROR(INDEX('2 Staff List'!GC$64:GC$114,$AH274),0)</f>
        <v>0</v>
      </c>
      <c r="BW274" s="25">
        <f t="shared" si="827"/>
        <v>0</v>
      </c>
      <c r="BX274" s="25">
        <f t="shared" si="798"/>
        <v>0</v>
      </c>
      <c r="BY274" s="25">
        <f t="shared" si="799"/>
        <v>0</v>
      </c>
      <c r="BZ274" s="25">
        <f t="shared" si="800"/>
        <v>0</v>
      </c>
      <c r="CA274" s="25">
        <f t="shared" si="801"/>
        <v>0</v>
      </c>
      <c r="CB274" s="25">
        <f t="shared" si="802"/>
        <v>0</v>
      </c>
      <c r="CC274" s="25">
        <f t="shared" si="803"/>
        <v>0</v>
      </c>
      <c r="CD274" s="25">
        <f t="shared" si="804"/>
        <v>0</v>
      </c>
      <c r="CE274" s="25">
        <f t="shared" si="805"/>
        <v>0</v>
      </c>
      <c r="CF274" s="25">
        <f t="shared" si="806"/>
        <v>0</v>
      </c>
      <c r="CG274" s="25">
        <f t="shared" si="807"/>
        <v>0</v>
      </c>
      <c r="CH274" s="25">
        <f>IFERROR(INDEX('2 Staff List'!LO$64:LO$114,$AH274),0)</f>
        <v>0</v>
      </c>
      <c r="CI274" s="25">
        <f>IFERROR(INDEX('2 Staff List'!LP$64:LP$114,$AH274),0)</f>
        <v>0</v>
      </c>
      <c r="CJ274" s="25">
        <f>IFERROR(INDEX('2 Staff List'!LQ$64:LQ$114,$AH274),0)</f>
        <v>0</v>
      </c>
      <c r="CK274" s="25">
        <f>IFERROR(INDEX('2 Staff List'!LR$64:LR$114,$AH274),0)</f>
        <v>0</v>
      </c>
      <c r="CL274" s="25">
        <f>IFERROR(INDEX('2 Staff List'!LS$64:LS$114,$AH274),0)</f>
        <v>0</v>
      </c>
      <c r="CM274" s="25">
        <f>IFERROR(INDEX('2 Staff List'!LT$64:LT$114,$AH274),0)</f>
        <v>0</v>
      </c>
      <c r="CN274" s="25">
        <f>IFERROR(INDEX('2 Staff List'!LU$64:LU$114,$AH274),0)</f>
        <v>0</v>
      </c>
      <c r="CO274" s="25">
        <f>IFERROR(INDEX('2 Staff List'!LV$64:LV$114,$AH274),0)</f>
        <v>0</v>
      </c>
      <c r="CP274" s="25">
        <f>IFERROR(INDEX('2 Staff List'!LW$64:LW$114,$AH274),0)</f>
        <v>0</v>
      </c>
      <c r="CQ274" s="25">
        <f>IFERROR(INDEX('2 Staff List'!LX$64:LX$114,$AH274),0)</f>
        <v>0</v>
      </c>
      <c r="CR274" s="25">
        <f t="shared" si="828"/>
        <v>0</v>
      </c>
      <c r="CS274" s="25">
        <f t="shared" si="774"/>
        <v>1</v>
      </c>
      <c r="CT274" s="25">
        <f t="shared" ref="CT274:CT304" si="837">IF(NOT(ISBLANK(DU274)),DU274,1)</f>
        <v>1</v>
      </c>
      <c r="CU274" s="25">
        <f t="shared" si="822"/>
        <v>1</v>
      </c>
      <c r="CV274" s="25">
        <f t="shared" si="808"/>
        <v>1</v>
      </c>
      <c r="CW274" s="25">
        <f t="shared" si="829"/>
        <v>1</v>
      </c>
      <c r="CX274" s="25">
        <f t="shared" si="809"/>
        <v>0</v>
      </c>
      <c r="CY274" s="25">
        <f t="shared" si="779"/>
        <v>0</v>
      </c>
      <c r="CZ274" s="25">
        <f t="shared" si="830"/>
        <v>0</v>
      </c>
      <c r="DA274" s="25">
        <f t="shared" si="810"/>
        <v>1</v>
      </c>
      <c r="DB274" s="25">
        <f t="shared" si="817"/>
        <v>1</v>
      </c>
      <c r="DC274" s="25">
        <f t="shared" ref="DC274:DC304" si="838">IF($F274="Approved",1,0)</f>
        <v>0</v>
      </c>
      <c r="DD274" s="25">
        <f>IF(OR($AD274&lt;&gt;3,F274="Exclude"),0,IF(ISERROR(MATCH($E274,'4 Sign-off'!$S$123:$X$123,0)),0,1))</f>
        <v>0</v>
      </c>
      <c r="DE274" s="25">
        <f t="shared" si="782"/>
        <v>0</v>
      </c>
      <c r="DF274" s="25">
        <f t="shared" si="831"/>
        <v>0</v>
      </c>
      <c r="DG274" s="25" t="str">
        <f t="shared" si="832"/>
        <v/>
      </c>
      <c r="DH274" s="25">
        <f t="shared" si="780"/>
        <v>0</v>
      </c>
      <c r="DI274" s="25">
        <f t="shared" si="778"/>
        <v>0</v>
      </c>
      <c r="DJ274" s="25">
        <f>IF(ISBLANK(J274),0,ISERROR(MATCH(J274,'5  Control Accounts'!$FA$29:$FA$96,0))*1)</f>
        <v>0</v>
      </c>
      <c r="DK274" s="25">
        <f t="shared" si="811"/>
        <v>0</v>
      </c>
      <c r="DL274" s="25">
        <f t="shared" si="818"/>
        <v>-1</v>
      </c>
      <c r="DM274" s="25" t="e">
        <f t="array" ref="DM274">MATCH(1,($EG274:$JD274&gt;0)*$EG$17:$JD$17,0)</f>
        <v>#N/A</v>
      </c>
      <c r="DN274" s="25" t="e">
        <f t="shared" si="775"/>
        <v>#N/A</v>
      </c>
      <c r="DO274" s="25" t="e">
        <f t="array" ref="DO274">MATCH(2,1/(EG274:JD274&gt;0))</f>
        <v>#N/A</v>
      </c>
      <c r="DP274" s="2993">
        <f t="shared" si="812"/>
        <v>0</v>
      </c>
      <c r="DQ274" s="3037">
        <f t="shared" si="813"/>
        <v>0</v>
      </c>
      <c r="DR274" s="111"/>
      <c r="DS274" s="1268">
        <f t="shared" si="781"/>
        <v>0</v>
      </c>
      <c r="DT274" s="1825"/>
      <c r="DU274" s="1826"/>
      <c r="DV274" s="1827"/>
      <c r="DW274" s="1828"/>
      <c r="DX274" s="659"/>
      <c r="DY274" s="1265"/>
      <c r="DZ274" s="1785">
        <f t="shared" si="833"/>
        <v>0</v>
      </c>
      <c r="EA274" s="1786">
        <f t="shared" ref="EA274:EA304" si="839">IF($AD274=3,T274+U274,0)</f>
        <v>0</v>
      </c>
      <c r="EB274" s="1781">
        <f t="shared" si="776"/>
        <v>0</v>
      </c>
      <c r="EC274" s="1782">
        <f t="shared" si="777"/>
        <v>0</v>
      </c>
      <c r="ED274" s="1262"/>
      <c r="EE274" s="2280"/>
      <c r="EF274" s="1802"/>
      <c r="EG274" s="167"/>
      <c r="EH274" s="168"/>
      <c r="EI274" s="168"/>
      <c r="EJ274" s="168"/>
      <c r="EK274" s="168"/>
      <c r="EL274" s="168"/>
      <c r="EM274" s="168"/>
      <c r="EN274" s="168"/>
      <c r="EO274" s="168"/>
      <c r="EP274" s="168"/>
      <c r="EQ274" s="168"/>
      <c r="ER274" s="168"/>
      <c r="ES274" s="168"/>
      <c r="ET274" s="168"/>
      <c r="EU274" s="168"/>
      <c r="EV274" s="168"/>
      <c r="EW274" s="168"/>
      <c r="EX274" s="168"/>
      <c r="EY274" s="168"/>
      <c r="EZ274" s="168"/>
      <c r="FA274" s="168"/>
      <c r="FB274" s="168"/>
      <c r="FC274" s="168"/>
      <c r="FD274" s="168"/>
      <c r="FE274" s="168"/>
      <c r="FF274" s="168"/>
      <c r="FG274" s="168"/>
      <c r="FH274" s="168"/>
      <c r="FI274" s="168"/>
      <c r="FJ274" s="168"/>
      <c r="FK274" s="168"/>
      <c r="FL274" s="168"/>
      <c r="FM274" s="168"/>
      <c r="FN274" s="168"/>
      <c r="FO274" s="168"/>
      <c r="FP274" s="168"/>
      <c r="FQ274" s="168"/>
      <c r="FR274" s="168"/>
      <c r="FS274" s="168"/>
      <c r="FT274" s="168"/>
      <c r="FU274" s="168"/>
      <c r="FV274" s="168"/>
      <c r="FW274" s="168"/>
      <c r="FX274" s="168"/>
      <c r="FY274" s="168"/>
      <c r="FZ274" s="168"/>
      <c r="GA274" s="168"/>
      <c r="GB274" s="168"/>
      <c r="GC274" s="168"/>
      <c r="GD274" s="168"/>
      <c r="GE274" s="168"/>
      <c r="GF274" s="168"/>
      <c r="GG274" s="168"/>
      <c r="GH274" s="168"/>
      <c r="GI274" s="168"/>
      <c r="GJ274" s="168"/>
      <c r="GK274" s="168"/>
      <c r="GL274" s="168"/>
      <c r="GM274" s="168"/>
      <c r="GN274" s="168"/>
      <c r="GO274" s="168"/>
      <c r="GP274" s="168"/>
      <c r="GQ274" s="168"/>
      <c r="GR274" s="168"/>
      <c r="GS274" s="168"/>
      <c r="GT274" s="168"/>
      <c r="GU274" s="168"/>
      <c r="GV274" s="168"/>
      <c r="GW274" s="168"/>
      <c r="GX274" s="168"/>
      <c r="GY274" s="168"/>
      <c r="GZ274" s="168"/>
      <c r="HA274" s="168"/>
      <c r="HB274" s="168"/>
      <c r="HC274" s="168"/>
      <c r="HD274" s="168"/>
      <c r="HE274" s="168"/>
      <c r="HF274" s="168"/>
      <c r="HG274" s="168"/>
      <c r="HH274" s="168"/>
      <c r="HI274" s="168"/>
      <c r="HJ274" s="168"/>
      <c r="HK274" s="168"/>
      <c r="HL274" s="168"/>
      <c r="HM274" s="168"/>
      <c r="HN274" s="168"/>
      <c r="HO274" s="168"/>
      <c r="HP274" s="168"/>
      <c r="HQ274" s="168"/>
      <c r="HR274" s="168"/>
      <c r="HS274" s="168"/>
      <c r="HT274" s="168"/>
      <c r="HU274" s="168"/>
      <c r="HV274" s="168"/>
      <c r="HW274" s="168"/>
      <c r="HX274" s="168"/>
      <c r="HY274" s="168"/>
      <c r="HZ274" s="168"/>
      <c r="IA274" s="168"/>
      <c r="IB274" s="168"/>
      <c r="IC274" s="168"/>
      <c r="ID274" s="168"/>
      <c r="IE274" s="168"/>
      <c r="IF274" s="168"/>
      <c r="IG274" s="168"/>
      <c r="IH274" s="168"/>
      <c r="II274" s="168"/>
      <c r="IJ274" s="168"/>
      <c r="IK274" s="168"/>
      <c r="IL274" s="168"/>
      <c r="IM274" s="168"/>
      <c r="IN274" s="168"/>
      <c r="IO274" s="168"/>
      <c r="IP274" s="168"/>
      <c r="IQ274" s="168"/>
      <c r="IR274" s="168"/>
      <c r="IS274" s="168"/>
      <c r="IT274" s="168"/>
      <c r="IU274" s="168"/>
      <c r="IV274" s="168"/>
      <c r="IW274" s="168"/>
      <c r="IX274" s="168"/>
      <c r="IY274" s="168"/>
      <c r="IZ274" s="168"/>
      <c r="JA274" s="168"/>
      <c r="JB274" s="168"/>
      <c r="JC274" s="606"/>
      <c r="JD274" s="609"/>
      <c r="JE274" s="1"/>
      <c r="JF274" s="1"/>
    </row>
    <row r="275" spans="1:266" s="2" customFormat="1" ht="15" customHeight="1" x14ac:dyDescent="0.25">
      <c r="A275" s="283"/>
      <c r="B275" s="303"/>
      <c r="C275" s="301"/>
      <c r="D275" s="638"/>
      <c r="E275" s="2298"/>
      <c r="F275" s="1812"/>
      <c r="G275" s="3342"/>
      <c r="H275" s="66"/>
      <c r="I275" s="1746"/>
      <c r="J275" s="86"/>
      <c r="K275" s="105"/>
      <c r="L275" s="91"/>
      <c r="M275" s="92"/>
      <c r="N275" s="93"/>
      <c r="O275" s="94"/>
      <c r="P275" s="96"/>
      <c r="Q275" s="95"/>
      <c r="R275" s="993">
        <f t="shared" si="823"/>
        <v>0</v>
      </c>
      <c r="S275" s="23">
        <f t="shared" si="783"/>
        <v>0</v>
      </c>
      <c r="T275" s="24">
        <f t="shared" si="834"/>
        <v>0</v>
      </c>
      <c r="U275" s="24">
        <f t="shared" si="835"/>
        <v>0</v>
      </c>
      <c r="V275" s="24">
        <f t="shared" si="785"/>
        <v>0</v>
      </c>
      <c r="W275" s="24">
        <f t="shared" si="819"/>
        <v>0</v>
      </c>
      <c r="X275" s="72">
        <f t="shared" si="786"/>
        <v>0</v>
      </c>
      <c r="Y275" s="72">
        <f t="shared" si="836"/>
        <v>0</v>
      </c>
      <c r="Z275" s="24">
        <f t="shared" si="824"/>
        <v>0</v>
      </c>
      <c r="AA275" s="72">
        <f t="shared" si="787"/>
        <v>0</v>
      </c>
      <c r="AB275" s="24">
        <f t="shared" si="820"/>
        <v>0</v>
      </c>
      <c r="AC275" s="24" t="s">
        <v>5</v>
      </c>
      <c r="AD275" s="25">
        <f t="shared" si="814"/>
        <v>3</v>
      </c>
      <c r="AE275" s="25">
        <f t="shared" si="815"/>
        <v>0</v>
      </c>
      <c r="AF275" s="25">
        <f t="shared" si="816"/>
        <v>0</v>
      </c>
      <c r="AG275" s="25">
        <f t="shared" si="784"/>
        <v>1</v>
      </c>
      <c r="AH275" s="25" t="str">
        <f>IFERROR(MATCH(DY275,'2 Staff List'!$IA$64:$IA$114,0),"x")</f>
        <v>x</v>
      </c>
      <c r="AI275" s="1181">
        <f>IFERROR(INDEX('2 Staff List'!$EX$64:$EX$114,$AH275),0)</f>
        <v>0</v>
      </c>
      <c r="AJ275" s="25">
        <f>IFERROR(INDEX('2 Staff List'!$IW$64:$IW$114,$AH275),0)</f>
        <v>0</v>
      </c>
      <c r="AK275" s="25">
        <f>IFERROR(INDEX('2 Staff List'!$IB$64:$IB$114,$AH275),0)</f>
        <v>0</v>
      </c>
      <c r="AL275" s="25">
        <f>IF(OR(NOT(ISBLANK(DV275)),CX275=1),"&lt;Non-Labor&gt;",IFERROR(IF(AH275=0,0,INDEX('2 Staff List'!$HZ$64:$HZ$114,$AH275)),0))</f>
        <v>0</v>
      </c>
      <c r="AM275" s="25">
        <f>IFERROR(INDEX('2 Staff List'!$HW$64:$HW$114,$AH275),0)</f>
        <v>0</v>
      </c>
      <c r="AN275" s="25">
        <f t="shared" si="825"/>
        <v>1</v>
      </c>
      <c r="AO275" s="25">
        <f>IF($AO$127=0,0,IFERROR(INDEX('2 Staff List'!$JH$64:$JH$114,$AH275),0))</f>
        <v>0</v>
      </c>
      <c r="AP275" s="25">
        <f>IFERROR(INDEX('2 Staff List'!$HU$64:$HU$114,$AH275),0)</f>
        <v>0</v>
      </c>
      <c r="AQ275" s="25">
        <f t="shared" si="821"/>
        <v>0</v>
      </c>
      <c r="AR275" s="25">
        <f t="shared" si="826"/>
        <v>0</v>
      </c>
      <c r="AS275" s="25">
        <f t="shared" si="788"/>
        <v>0</v>
      </c>
      <c r="AT275" s="25">
        <f t="shared" si="789"/>
        <v>0</v>
      </c>
      <c r="AU275" s="25">
        <f t="shared" si="790"/>
        <v>0</v>
      </c>
      <c r="AV275" s="25">
        <f t="shared" si="791"/>
        <v>0</v>
      </c>
      <c r="AW275" s="25">
        <f t="shared" si="792"/>
        <v>0</v>
      </c>
      <c r="AX275" s="25">
        <f t="shared" si="793"/>
        <v>0</v>
      </c>
      <c r="AY275" s="25">
        <f t="shared" si="794"/>
        <v>0</v>
      </c>
      <c r="AZ275" s="25">
        <f t="shared" si="795"/>
        <v>0</v>
      </c>
      <c r="BA275" s="25">
        <f t="shared" si="796"/>
        <v>0</v>
      </c>
      <c r="BB275" s="25">
        <f t="shared" si="797"/>
        <v>0</v>
      </c>
      <c r="BC275" s="25">
        <f>IFERROR(INDEX('2 Staff List'!KS$64:KS$114,$AH275),0)</f>
        <v>0</v>
      </c>
      <c r="BD275" s="25">
        <f>IFERROR(INDEX('2 Staff List'!KT$64:KT$114,$AH275),0)</f>
        <v>0</v>
      </c>
      <c r="BE275" s="25">
        <f>IFERROR(INDEX('2 Staff List'!KU$64:KU$114,$AH275),0)</f>
        <v>0</v>
      </c>
      <c r="BF275" s="25">
        <f>IFERROR(INDEX('2 Staff List'!KV$64:KV$114,$AH275),0)</f>
        <v>0</v>
      </c>
      <c r="BG275" s="25">
        <f>IFERROR(INDEX('2 Staff List'!KW$64:KW$114,$AH275),0)</f>
        <v>0</v>
      </c>
      <c r="BH275" s="25">
        <f>IFERROR(INDEX('2 Staff List'!KX$64:KX$114,$AH275),0)</f>
        <v>0</v>
      </c>
      <c r="BI275" s="25">
        <f>IFERROR(INDEX('2 Staff List'!KY$64:KY$114,$AH275),0)</f>
        <v>0</v>
      </c>
      <c r="BJ275" s="25">
        <f>IFERROR(INDEX('2 Staff List'!KZ$64:KZ$114,$AH275),0)</f>
        <v>0</v>
      </c>
      <c r="BK275" s="25">
        <f>IFERROR(INDEX('2 Staff List'!LA$64:LA$114,$AH275),0)</f>
        <v>0</v>
      </c>
      <c r="BL275" s="25">
        <f>IFERROR(INDEX('2 Staff List'!LB$64:LB$114,$AH275),0)</f>
        <v>0</v>
      </c>
      <c r="BM275" s="25">
        <f>IFERROR(INDEX('2 Staff List'!FT$64:FT$114,$AH275),0)</f>
        <v>0</v>
      </c>
      <c r="BN275" s="25">
        <f>IFERROR(INDEX('2 Staff List'!FU$64:FU$114,$AH275),0)</f>
        <v>0</v>
      </c>
      <c r="BO275" s="25">
        <f>IFERROR(INDEX('2 Staff List'!FV$64:FV$114,$AH275),0)</f>
        <v>0</v>
      </c>
      <c r="BP275" s="25">
        <f>IFERROR(INDEX('2 Staff List'!FW$64:FW$114,$AH275),0)</f>
        <v>0</v>
      </c>
      <c r="BQ275" s="25">
        <f>IFERROR(INDEX('2 Staff List'!FX$64:FX$114,$AH275),0)</f>
        <v>0</v>
      </c>
      <c r="BR275" s="25">
        <f>IFERROR(INDEX('2 Staff List'!FY$64:FY$114,$AH275),0)</f>
        <v>0</v>
      </c>
      <c r="BS275" s="25">
        <f>IFERROR(INDEX('2 Staff List'!FZ$64:FZ$114,$AH275),0)</f>
        <v>0</v>
      </c>
      <c r="BT275" s="25">
        <f>IFERROR(INDEX('2 Staff List'!GA$64:GA$114,$AH275),0)</f>
        <v>0</v>
      </c>
      <c r="BU275" s="25">
        <f>IFERROR(INDEX('2 Staff List'!GB$64:GB$114,$AH275),0)</f>
        <v>0</v>
      </c>
      <c r="BV275" s="25">
        <f>IFERROR(INDEX('2 Staff List'!GC$64:GC$114,$AH275),0)</f>
        <v>0</v>
      </c>
      <c r="BW275" s="25">
        <f t="shared" si="827"/>
        <v>0</v>
      </c>
      <c r="BX275" s="25">
        <f t="shared" si="798"/>
        <v>0</v>
      </c>
      <c r="BY275" s="25">
        <f t="shared" si="799"/>
        <v>0</v>
      </c>
      <c r="BZ275" s="25">
        <f t="shared" si="800"/>
        <v>0</v>
      </c>
      <c r="CA275" s="25">
        <f t="shared" si="801"/>
        <v>0</v>
      </c>
      <c r="CB275" s="25">
        <f t="shared" si="802"/>
        <v>0</v>
      </c>
      <c r="CC275" s="25">
        <f t="shared" si="803"/>
        <v>0</v>
      </c>
      <c r="CD275" s="25">
        <f t="shared" si="804"/>
        <v>0</v>
      </c>
      <c r="CE275" s="25">
        <f t="shared" si="805"/>
        <v>0</v>
      </c>
      <c r="CF275" s="25">
        <f t="shared" si="806"/>
        <v>0</v>
      </c>
      <c r="CG275" s="25">
        <f t="shared" si="807"/>
        <v>0</v>
      </c>
      <c r="CH275" s="25">
        <f>IFERROR(INDEX('2 Staff List'!LO$64:LO$114,$AH275),0)</f>
        <v>0</v>
      </c>
      <c r="CI275" s="25">
        <f>IFERROR(INDEX('2 Staff List'!LP$64:LP$114,$AH275),0)</f>
        <v>0</v>
      </c>
      <c r="CJ275" s="25">
        <f>IFERROR(INDEX('2 Staff List'!LQ$64:LQ$114,$AH275),0)</f>
        <v>0</v>
      </c>
      <c r="CK275" s="25">
        <f>IFERROR(INDEX('2 Staff List'!LR$64:LR$114,$AH275),0)</f>
        <v>0</v>
      </c>
      <c r="CL275" s="25">
        <f>IFERROR(INDEX('2 Staff List'!LS$64:LS$114,$AH275),0)</f>
        <v>0</v>
      </c>
      <c r="CM275" s="25">
        <f>IFERROR(INDEX('2 Staff List'!LT$64:LT$114,$AH275),0)</f>
        <v>0</v>
      </c>
      <c r="CN275" s="25">
        <f>IFERROR(INDEX('2 Staff List'!LU$64:LU$114,$AH275),0)</f>
        <v>0</v>
      </c>
      <c r="CO275" s="25">
        <f>IFERROR(INDEX('2 Staff List'!LV$64:LV$114,$AH275),0)</f>
        <v>0</v>
      </c>
      <c r="CP275" s="25">
        <f>IFERROR(INDEX('2 Staff List'!LW$64:LW$114,$AH275),0)</f>
        <v>0</v>
      </c>
      <c r="CQ275" s="25">
        <f>IFERROR(INDEX('2 Staff List'!LX$64:LX$114,$AH275),0)</f>
        <v>0</v>
      </c>
      <c r="CR275" s="25">
        <f t="shared" si="828"/>
        <v>0</v>
      </c>
      <c r="CS275" s="25">
        <f t="shared" si="774"/>
        <v>1</v>
      </c>
      <c r="CT275" s="25">
        <f t="shared" si="837"/>
        <v>1</v>
      </c>
      <c r="CU275" s="25">
        <f t="shared" si="822"/>
        <v>1</v>
      </c>
      <c r="CV275" s="25">
        <f t="shared" si="808"/>
        <v>1</v>
      </c>
      <c r="CW275" s="25">
        <f t="shared" si="829"/>
        <v>1</v>
      </c>
      <c r="CX275" s="25">
        <f t="shared" si="809"/>
        <v>0</v>
      </c>
      <c r="CY275" s="25">
        <f t="shared" si="779"/>
        <v>0</v>
      </c>
      <c r="CZ275" s="25">
        <f t="shared" si="830"/>
        <v>0</v>
      </c>
      <c r="DA275" s="25">
        <f t="shared" si="810"/>
        <v>1</v>
      </c>
      <c r="DB275" s="25">
        <f t="shared" si="817"/>
        <v>1</v>
      </c>
      <c r="DC275" s="25">
        <f t="shared" si="838"/>
        <v>0</v>
      </c>
      <c r="DD275" s="25">
        <f>IF(OR($AD275&lt;&gt;3,F275="Exclude"),0,IF(ISERROR(MATCH($E275,'4 Sign-off'!$S$123:$X$123,0)),0,1))</f>
        <v>0</v>
      </c>
      <c r="DE275" s="25">
        <f t="shared" si="782"/>
        <v>0</v>
      </c>
      <c r="DF275" s="25">
        <f t="shared" si="831"/>
        <v>0</v>
      </c>
      <c r="DG275" s="25" t="str">
        <f t="shared" si="832"/>
        <v/>
      </c>
      <c r="DH275" s="25">
        <f t="shared" si="780"/>
        <v>0</v>
      </c>
      <c r="DI275" s="25">
        <f t="shared" si="778"/>
        <v>0</v>
      </c>
      <c r="DJ275" s="25">
        <f>IF(ISBLANK(J275),0,ISERROR(MATCH(J275,'5  Control Accounts'!$FA$29:$FA$96,0))*1)</f>
        <v>0</v>
      </c>
      <c r="DK275" s="25">
        <f t="shared" si="811"/>
        <v>0</v>
      </c>
      <c r="DL275" s="25">
        <f t="shared" si="818"/>
        <v>-1</v>
      </c>
      <c r="DM275" s="25" t="e">
        <f t="array" ref="DM275">MATCH(1,($EG275:$JD275&gt;0)*$EG$17:$JD$17,0)</f>
        <v>#N/A</v>
      </c>
      <c r="DN275" s="25" t="e">
        <f t="shared" si="775"/>
        <v>#N/A</v>
      </c>
      <c r="DO275" s="25" t="e">
        <f t="array" ref="DO275">MATCH(2,1/(EG275:JD275&gt;0))</f>
        <v>#N/A</v>
      </c>
      <c r="DP275" s="2993">
        <f t="shared" si="812"/>
        <v>0</v>
      </c>
      <c r="DQ275" s="3037">
        <f t="shared" si="813"/>
        <v>0</v>
      </c>
      <c r="DR275" s="111"/>
      <c r="DS275" s="1268">
        <f t="shared" si="781"/>
        <v>0</v>
      </c>
      <c r="DT275" s="1825"/>
      <c r="DU275" s="1826"/>
      <c r="DV275" s="1827"/>
      <c r="DW275" s="1828"/>
      <c r="DX275" s="659"/>
      <c r="DY275" s="1265"/>
      <c r="DZ275" s="1785">
        <f t="shared" si="833"/>
        <v>0</v>
      </c>
      <c r="EA275" s="1786">
        <f t="shared" si="839"/>
        <v>0</v>
      </c>
      <c r="EB275" s="1781">
        <f t="shared" si="776"/>
        <v>0</v>
      </c>
      <c r="EC275" s="1782">
        <f t="shared" si="777"/>
        <v>0</v>
      </c>
      <c r="ED275" s="1262"/>
      <c r="EE275" s="2280"/>
      <c r="EF275" s="1802"/>
      <c r="EG275" s="167"/>
      <c r="EH275" s="168"/>
      <c r="EI275" s="168"/>
      <c r="EJ275" s="168"/>
      <c r="EK275" s="168"/>
      <c r="EL275" s="168"/>
      <c r="EM275" s="168"/>
      <c r="EN275" s="168"/>
      <c r="EO275" s="168"/>
      <c r="EP275" s="168"/>
      <c r="EQ275" s="168"/>
      <c r="ER275" s="168"/>
      <c r="ES275" s="168"/>
      <c r="ET275" s="168"/>
      <c r="EU275" s="168"/>
      <c r="EV275" s="168"/>
      <c r="EW275" s="168"/>
      <c r="EX275" s="168"/>
      <c r="EY275" s="168"/>
      <c r="EZ275" s="168"/>
      <c r="FA275" s="168"/>
      <c r="FB275" s="168"/>
      <c r="FC275" s="168"/>
      <c r="FD275" s="168"/>
      <c r="FE275" s="168"/>
      <c r="FF275" s="168"/>
      <c r="FG275" s="168"/>
      <c r="FH275" s="168"/>
      <c r="FI275" s="168"/>
      <c r="FJ275" s="168"/>
      <c r="FK275" s="168"/>
      <c r="FL275" s="168"/>
      <c r="FM275" s="168"/>
      <c r="FN275" s="168"/>
      <c r="FO275" s="168"/>
      <c r="FP275" s="168"/>
      <c r="FQ275" s="168"/>
      <c r="FR275" s="168"/>
      <c r="FS275" s="168"/>
      <c r="FT275" s="168"/>
      <c r="FU275" s="168"/>
      <c r="FV275" s="168"/>
      <c r="FW275" s="168"/>
      <c r="FX275" s="168"/>
      <c r="FY275" s="168"/>
      <c r="FZ275" s="168"/>
      <c r="GA275" s="168"/>
      <c r="GB275" s="168"/>
      <c r="GC275" s="168"/>
      <c r="GD275" s="168"/>
      <c r="GE275" s="168"/>
      <c r="GF275" s="168"/>
      <c r="GG275" s="168"/>
      <c r="GH275" s="168"/>
      <c r="GI275" s="168"/>
      <c r="GJ275" s="168"/>
      <c r="GK275" s="168"/>
      <c r="GL275" s="168"/>
      <c r="GM275" s="168"/>
      <c r="GN275" s="168"/>
      <c r="GO275" s="168"/>
      <c r="GP275" s="168"/>
      <c r="GQ275" s="168"/>
      <c r="GR275" s="168"/>
      <c r="GS275" s="168"/>
      <c r="GT275" s="168"/>
      <c r="GU275" s="168"/>
      <c r="GV275" s="168"/>
      <c r="GW275" s="168"/>
      <c r="GX275" s="168"/>
      <c r="GY275" s="168"/>
      <c r="GZ275" s="168"/>
      <c r="HA275" s="168"/>
      <c r="HB275" s="168"/>
      <c r="HC275" s="168"/>
      <c r="HD275" s="168"/>
      <c r="HE275" s="168"/>
      <c r="HF275" s="168"/>
      <c r="HG275" s="168"/>
      <c r="HH275" s="168"/>
      <c r="HI275" s="168"/>
      <c r="HJ275" s="168"/>
      <c r="HK275" s="168"/>
      <c r="HL275" s="168"/>
      <c r="HM275" s="168"/>
      <c r="HN275" s="168"/>
      <c r="HO275" s="168"/>
      <c r="HP275" s="168"/>
      <c r="HQ275" s="168"/>
      <c r="HR275" s="168"/>
      <c r="HS275" s="168"/>
      <c r="HT275" s="168"/>
      <c r="HU275" s="168"/>
      <c r="HV275" s="168"/>
      <c r="HW275" s="168"/>
      <c r="HX275" s="168"/>
      <c r="HY275" s="168"/>
      <c r="HZ275" s="168"/>
      <c r="IA275" s="168"/>
      <c r="IB275" s="168"/>
      <c r="IC275" s="168"/>
      <c r="ID275" s="168"/>
      <c r="IE275" s="168"/>
      <c r="IF275" s="168"/>
      <c r="IG275" s="168"/>
      <c r="IH275" s="168"/>
      <c r="II275" s="168"/>
      <c r="IJ275" s="168"/>
      <c r="IK275" s="168"/>
      <c r="IL275" s="168"/>
      <c r="IM275" s="168"/>
      <c r="IN275" s="168"/>
      <c r="IO275" s="168"/>
      <c r="IP275" s="168"/>
      <c r="IQ275" s="168"/>
      <c r="IR275" s="168"/>
      <c r="IS275" s="168"/>
      <c r="IT275" s="168"/>
      <c r="IU275" s="168"/>
      <c r="IV275" s="168"/>
      <c r="IW275" s="168"/>
      <c r="IX275" s="168"/>
      <c r="IY275" s="168"/>
      <c r="IZ275" s="168"/>
      <c r="JA275" s="168"/>
      <c r="JB275" s="168"/>
      <c r="JC275" s="606"/>
      <c r="JD275" s="609"/>
      <c r="JE275" s="1"/>
      <c r="JF275" s="1"/>
    </row>
    <row r="276" spans="1:266" s="2" customFormat="1" ht="15" customHeight="1" x14ac:dyDescent="0.25">
      <c r="A276" s="283"/>
      <c r="B276" s="303"/>
      <c r="C276" s="301"/>
      <c r="D276" s="638"/>
      <c r="E276" s="2298"/>
      <c r="F276" s="1812"/>
      <c r="G276" s="3342"/>
      <c r="H276" s="66"/>
      <c r="I276" s="1746"/>
      <c r="J276" s="86"/>
      <c r="K276" s="105"/>
      <c r="L276" s="91"/>
      <c r="M276" s="92"/>
      <c r="N276" s="93"/>
      <c r="O276" s="94"/>
      <c r="P276" s="96"/>
      <c r="Q276" s="95"/>
      <c r="R276" s="993">
        <f t="shared" si="823"/>
        <v>0</v>
      </c>
      <c r="S276" s="23">
        <f t="shared" si="783"/>
        <v>0</v>
      </c>
      <c r="T276" s="24">
        <f t="shared" si="834"/>
        <v>0</v>
      </c>
      <c r="U276" s="24">
        <f t="shared" si="835"/>
        <v>0</v>
      </c>
      <c r="V276" s="24">
        <f t="shared" si="785"/>
        <v>0</v>
      </c>
      <c r="W276" s="24">
        <f t="shared" si="819"/>
        <v>0</v>
      </c>
      <c r="X276" s="72">
        <f t="shared" si="786"/>
        <v>0</v>
      </c>
      <c r="Y276" s="72">
        <f t="shared" si="836"/>
        <v>0</v>
      </c>
      <c r="Z276" s="24">
        <f t="shared" si="824"/>
        <v>0</v>
      </c>
      <c r="AA276" s="72">
        <f t="shared" si="787"/>
        <v>0</v>
      </c>
      <c r="AB276" s="24">
        <f t="shared" si="820"/>
        <v>0</v>
      </c>
      <c r="AC276" s="24" t="s">
        <v>5</v>
      </c>
      <c r="AD276" s="25">
        <f t="shared" si="814"/>
        <v>3</v>
      </c>
      <c r="AE276" s="25">
        <f t="shared" si="815"/>
        <v>0</v>
      </c>
      <c r="AF276" s="25">
        <f t="shared" si="816"/>
        <v>0</v>
      </c>
      <c r="AG276" s="25">
        <f t="shared" si="784"/>
        <v>1</v>
      </c>
      <c r="AH276" s="25" t="str">
        <f>IFERROR(MATCH(DY276,'2 Staff List'!$IA$64:$IA$114,0),"x")</f>
        <v>x</v>
      </c>
      <c r="AI276" s="1181">
        <f>IFERROR(INDEX('2 Staff List'!$EX$64:$EX$114,$AH276),0)</f>
        <v>0</v>
      </c>
      <c r="AJ276" s="25">
        <f>IFERROR(INDEX('2 Staff List'!$IW$64:$IW$114,$AH276),0)</f>
        <v>0</v>
      </c>
      <c r="AK276" s="25">
        <f>IFERROR(INDEX('2 Staff List'!$IB$64:$IB$114,$AH276),0)</f>
        <v>0</v>
      </c>
      <c r="AL276" s="25">
        <f>IF(OR(NOT(ISBLANK(DV276)),CX276=1),"&lt;Non-Labor&gt;",IFERROR(IF(AH276=0,0,INDEX('2 Staff List'!$HZ$64:$HZ$114,$AH276)),0))</f>
        <v>0</v>
      </c>
      <c r="AM276" s="25">
        <f>IFERROR(INDEX('2 Staff List'!$HW$64:$HW$114,$AH276),0)</f>
        <v>0</v>
      </c>
      <c r="AN276" s="25">
        <f t="shared" si="825"/>
        <v>1</v>
      </c>
      <c r="AO276" s="25">
        <f>IF($AO$127=0,0,IFERROR(INDEX('2 Staff List'!$JH$64:$JH$114,$AH276),0))</f>
        <v>0</v>
      </c>
      <c r="AP276" s="25">
        <f>IFERROR(INDEX('2 Staff List'!$HU$64:$HU$114,$AH276),0)</f>
        <v>0</v>
      </c>
      <c r="AQ276" s="25">
        <f t="shared" si="821"/>
        <v>0</v>
      </c>
      <c r="AR276" s="25">
        <f t="shared" si="826"/>
        <v>0</v>
      </c>
      <c r="AS276" s="25">
        <f t="shared" si="788"/>
        <v>0</v>
      </c>
      <c r="AT276" s="25">
        <f t="shared" si="789"/>
        <v>0</v>
      </c>
      <c r="AU276" s="25">
        <f t="shared" si="790"/>
        <v>0</v>
      </c>
      <c r="AV276" s="25">
        <f t="shared" si="791"/>
        <v>0</v>
      </c>
      <c r="AW276" s="25">
        <f t="shared" si="792"/>
        <v>0</v>
      </c>
      <c r="AX276" s="25">
        <f t="shared" si="793"/>
        <v>0</v>
      </c>
      <c r="AY276" s="25">
        <f t="shared" si="794"/>
        <v>0</v>
      </c>
      <c r="AZ276" s="25">
        <f t="shared" si="795"/>
        <v>0</v>
      </c>
      <c r="BA276" s="25">
        <f t="shared" si="796"/>
        <v>0</v>
      </c>
      <c r="BB276" s="25">
        <f t="shared" si="797"/>
        <v>0</v>
      </c>
      <c r="BC276" s="25">
        <f>IFERROR(INDEX('2 Staff List'!KS$64:KS$114,$AH276),0)</f>
        <v>0</v>
      </c>
      <c r="BD276" s="25">
        <f>IFERROR(INDEX('2 Staff List'!KT$64:KT$114,$AH276),0)</f>
        <v>0</v>
      </c>
      <c r="BE276" s="25">
        <f>IFERROR(INDEX('2 Staff List'!KU$64:KU$114,$AH276),0)</f>
        <v>0</v>
      </c>
      <c r="BF276" s="25">
        <f>IFERROR(INDEX('2 Staff List'!KV$64:KV$114,$AH276),0)</f>
        <v>0</v>
      </c>
      <c r="BG276" s="25">
        <f>IFERROR(INDEX('2 Staff List'!KW$64:KW$114,$AH276),0)</f>
        <v>0</v>
      </c>
      <c r="BH276" s="25">
        <f>IFERROR(INDEX('2 Staff List'!KX$64:KX$114,$AH276),0)</f>
        <v>0</v>
      </c>
      <c r="BI276" s="25">
        <f>IFERROR(INDEX('2 Staff List'!KY$64:KY$114,$AH276),0)</f>
        <v>0</v>
      </c>
      <c r="BJ276" s="25">
        <f>IFERROR(INDEX('2 Staff List'!KZ$64:KZ$114,$AH276),0)</f>
        <v>0</v>
      </c>
      <c r="BK276" s="25">
        <f>IFERROR(INDEX('2 Staff List'!LA$64:LA$114,$AH276),0)</f>
        <v>0</v>
      </c>
      <c r="BL276" s="25">
        <f>IFERROR(INDEX('2 Staff List'!LB$64:LB$114,$AH276),0)</f>
        <v>0</v>
      </c>
      <c r="BM276" s="25">
        <f>IFERROR(INDEX('2 Staff List'!FT$64:FT$114,$AH276),0)</f>
        <v>0</v>
      </c>
      <c r="BN276" s="25">
        <f>IFERROR(INDEX('2 Staff List'!FU$64:FU$114,$AH276),0)</f>
        <v>0</v>
      </c>
      <c r="BO276" s="25">
        <f>IFERROR(INDEX('2 Staff List'!FV$64:FV$114,$AH276),0)</f>
        <v>0</v>
      </c>
      <c r="BP276" s="25">
        <f>IFERROR(INDEX('2 Staff List'!FW$64:FW$114,$AH276),0)</f>
        <v>0</v>
      </c>
      <c r="BQ276" s="25">
        <f>IFERROR(INDEX('2 Staff List'!FX$64:FX$114,$AH276),0)</f>
        <v>0</v>
      </c>
      <c r="BR276" s="25">
        <f>IFERROR(INDEX('2 Staff List'!FY$64:FY$114,$AH276),0)</f>
        <v>0</v>
      </c>
      <c r="BS276" s="25">
        <f>IFERROR(INDEX('2 Staff List'!FZ$64:FZ$114,$AH276),0)</f>
        <v>0</v>
      </c>
      <c r="BT276" s="25">
        <f>IFERROR(INDEX('2 Staff List'!GA$64:GA$114,$AH276),0)</f>
        <v>0</v>
      </c>
      <c r="BU276" s="25">
        <f>IFERROR(INDEX('2 Staff List'!GB$64:GB$114,$AH276),0)</f>
        <v>0</v>
      </c>
      <c r="BV276" s="25">
        <f>IFERROR(INDEX('2 Staff List'!GC$64:GC$114,$AH276),0)</f>
        <v>0</v>
      </c>
      <c r="BW276" s="25">
        <f t="shared" si="827"/>
        <v>0</v>
      </c>
      <c r="BX276" s="25">
        <f t="shared" si="798"/>
        <v>0</v>
      </c>
      <c r="BY276" s="25">
        <f t="shared" si="799"/>
        <v>0</v>
      </c>
      <c r="BZ276" s="25">
        <f t="shared" si="800"/>
        <v>0</v>
      </c>
      <c r="CA276" s="25">
        <f t="shared" si="801"/>
        <v>0</v>
      </c>
      <c r="CB276" s="25">
        <f t="shared" si="802"/>
        <v>0</v>
      </c>
      <c r="CC276" s="25">
        <f t="shared" si="803"/>
        <v>0</v>
      </c>
      <c r="CD276" s="25">
        <f t="shared" si="804"/>
        <v>0</v>
      </c>
      <c r="CE276" s="25">
        <f t="shared" si="805"/>
        <v>0</v>
      </c>
      <c r="CF276" s="25">
        <f t="shared" si="806"/>
        <v>0</v>
      </c>
      <c r="CG276" s="25">
        <f t="shared" si="807"/>
        <v>0</v>
      </c>
      <c r="CH276" s="25">
        <f>IFERROR(INDEX('2 Staff List'!LO$64:LO$114,$AH276),0)</f>
        <v>0</v>
      </c>
      <c r="CI276" s="25">
        <f>IFERROR(INDEX('2 Staff List'!LP$64:LP$114,$AH276),0)</f>
        <v>0</v>
      </c>
      <c r="CJ276" s="25">
        <f>IFERROR(INDEX('2 Staff List'!LQ$64:LQ$114,$AH276),0)</f>
        <v>0</v>
      </c>
      <c r="CK276" s="25">
        <f>IFERROR(INDEX('2 Staff List'!LR$64:LR$114,$AH276),0)</f>
        <v>0</v>
      </c>
      <c r="CL276" s="25">
        <f>IFERROR(INDEX('2 Staff List'!LS$64:LS$114,$AH276),0)</f>
        <v>0</v>
      </c>
      <c r="CM276" s="25">
        <f>IFERROR(INDEX('2 Staff List'!LT$64:LT$114,$AH276),0)</f>
        <v>0</v>
      </c>
      <c r="CN276" s="25">
        <f>IFERROR(INDEX('2 Staff List'!LU$64:LU$114,$AH276),0)</f>
        <v>0</v>
      </c>
      <c r="CO276" s="25">
        <f>IFERROR(INDEX('2 Staff List'!LV$64:LV$114,$AH276),0)</f>
        <v>0</v>
      </c>
      <c r="CP276" s="25">
        <f>IFERROR(INDEX('2 Staff List'!LW$64:LW$114,$AH276),0)</f>
        <v>0</v>
      </c>
      <c r="CQ276" s="25">
        <f>IFERROR(INDEX('2 Staff List'!LX$64:LX$114,$AH276),0)</f>
        <v>0</v>
      </c>
      <c r="CR276" s="25">
        <f t="shared" si="828"/>
        <v>0</v>
      </c>
      <c r="CS276" s="25">
        <f t="shared" si="774"/>
        <v>1</v>
      </c>
      <c r="CT276" s="25">
        <f t="shared" si="837"/>
        <v>1</v>
      </c>
      <c r="CU276" s="25">
        <f t="shared" si="822"/>
        <v>1</v>
      </c>
      <c r="CV276" s="25">
        <f t="shared" si="808"/>
        <v>1</v>
      </c>
      <c r="CW276" s="25">
        <f t="shared" si="829"/>
        <v>1</v>
      </c>
      <c r="CX276" s="25">
        <f t="shared" si="809"/>
        <v>0</v>
      </c>
      <c r="CY276" s="25">
        <f t="shared" si="779"/>
        <v>0</v>
      </c>
      <c r="CZ276" s="25">
        <f t="shared" si="830"/>
        <v>0</v>
      </c>
      <c r="DA276" s="25">
        <f t="shared" si="810"/>
        <v>1</v>
      </c>
      <c r="DB276" s="25">
        <f t="shared" si="817"/>
        <v>1</v>
      </c>
      <c r="DC276" s="25">
        <f t="shared" si="838"/>
        <v>0</v>
      </c>
      <c r="DD276" s="25">
        <f>IF(OR($AD276&lt;&gt;3,F276="Exclude"),0,IF(ISERROR(MATCH($E276,'4 Sign-off'!$S$123:$X$123,0)),0,1))</f>
        <v>0</v>
      </c>
      <c r="DE276" s="25">
        <f t="shared" si="782"/>
        <v>0</v>
      </c>
      <c r="DF276" s="25">
        <f t="shared" si="831"/>
        <v>0</v>
      </c>
      <c r="DG276" s="25" t="str">
        <f t="shared" si="832"/>
        <v/>
      </c>
      <c r="DH276" s="25">
        <f t="shared" si="780"/>
        <v>0</v>
      </c>
      <c r="DI276" s="25">
        <f t="shared" si="778"/>
        <v>0</v>
      </c>
      <c r="DJ276" s="25">
        <f>IF(ISBLANK(J276),0,ISERROR(MATCH(J276,'5  Control Accounts'!$FA$29:$FA$96,0))*1)</f>
        <v>0</v>
      </c>
      <c r="DK276" s="25">
        <f t="shared" si="811"/>
        <v>0</v>
      </c>
      <c r="DL276" s="25">
        <f t="shared" si="818"/>
        <v>-1</v>
      </c>
      <c r="DM276" s="25" t="e">
        <f t="array" ref="DM276">MATCH(1,($EG276:$JD276&gt;0)*$EG$17:$JD$17,0)</f>
        <v>#N/A</v>
      </c>
      <c r="DN276" s="25" t="e">
        <f t="shared" si="775"/>
        <v>#N/A</v>
      </c>
      <c r="DO276" s="25" t="e">
        <f t="array" ref="DO276">MATCH(2,1/(EG276:JD276&gt;0))</f>
        <v>#N/A</v>
      </c>
      <c r="DP276" s="2993">
        <f t="shared" si="812"/>
        <v>0</v>
      </c>
      <c r="DQ276" s="3037">
        <f t="shared" si="813"/>
        <v>0</v>
      </c>
      <c r="DR276" s="111"/>
      <c r="DS276" s="1268">
        <f t="shared" si="781"/>
        <v>0</v>
      </c>
      <c r="DT276" s="1825"/>
      <c r="DU276" s="1826"/>
      <c r="DV276" s="1827"/>
      <c r="DW276" s="1828"/>
      <c r="DX276" s="659"/>
      <c r="DY276" s="1265"/>
      <c r="DZ276" s="1785">
        <f t="shared" si="833"/>
        <v>0</v>
      </c>
      <c r="EA276" s="1786">
        <f t="shared" si="839"/>
        <v>0</v>
      </c>
      <c r="EB276" s="1781">
        <f t="shared" si="776"/>
        <v>0</v>
      </c>
      <c r="EC276" s="1782">
        <f t="shared" si="777"/>
        <v>0</v>
      </c>
      <c r="ED276" s="1262"/>
      <c r="EE276" s="2280"/>
      <c r="EF276" s="1802"/>
      <c r="EG276" s="167"/>
      <c r="EH276" s="168"/>
      <c r="EI276" s="168"/>
      <c r="EJ276" s="168"/>
      <c r="EK276" s="168"/>
      <c r="EL276" s="168"/>
      <c r="EM276" s="168"/>
      <c r="EN276" s="168"/>
      <c r="EO276" s="168"/>
      <c r="EP276" s="168"/>
      <c r="EQ276" s="168"/>
      <c r="ER276" s="168"/>
      <c r="ES276" s="168"/>
      <c r="ET276" s="168"/>
      <c r="EU276" s="168"/>
      <c r="EV276" s="168"/>
      <c r="EW276" s="168"/>
      <c r="EX276" s="168"/>
      <c r="EY276" s="168"/>
      <c r="EZ276" s="168"/>
      <c r="FA276" s="168"/>
      <c r="FB276" s="168"/>
      <c r="FC276" s="168"/>
      <c r="FD276" s="168"/>
      <c r="FE276" s="168"/>
      <c r="FF276" s="168"/>
      <c r="FG276" s="168"/>
      <c r="FH276" s="168"/>
      <c r="FI276" s="168"/>
      <c r="FJ276" s="168"/>
      <c r="FK276" s="168"/>
      <c r="FL276" s="168"/>
      <c r="FM276" s="168"/>
      <c r="FN276" s="168"/>
      <c r="FO276" s="168"/>
      <c r="FP276" s="168"/>
      <c r="FQ276" s="168"/>
      <c r="FR276" s="168"/>
      <c r="FS276" s="168"/>
      <c r="FT276" s="168"/>
      <c r="FU276" s="168"/>
      <c r="FV276" s="168"/>
      <c r="FW276" s="168"/>
      <c r="FX276" s="168"/>
      <c r="FY276" s="168"/>
      <c r="FZ276" s="168"/>
      <c r="GA276" s="168"/>
      <c r="GB276" s="168"/>
      <c r="GC276" s="168"/>
      <c r="GD276" s="168"/>
      <c r="GE276" s="168"/>
      <c r="GF276" s="168"/>
      <c r="GG276" s="168"/>
      <c r="GH276" s="168"/>
      <c r="GI276" s="168"/>
      <c r="GJ276" s="168"/>
      <c r="GK276" s="168"/>
      <c r="GL276" s="168"/>
      <c r="GM276" s="168"/>
      <c r="GN276" s="168"/>
      <c r="GO276" s="168"/>
      <c r="GP276" s="168"/>
      <c r="GQ276" s="168"/>
      <c r="GR276" s="168"/>
      <c r="GS276" s="168"/>
      <c r="GT276" s="168"/>
      <c r="GU276" s="168"/>
      <c r="GV276" s="168"/>
      <c r="GW276" s="168"/>
      <c r="GX276" s="168"/>
      <c r="GY276" s="168"/>
      <c r="GZ276" s="168"/>
      <c r="HA276" s="168"/>
      <c r="HB276" s="168"/>
      <c r="HC276" s="168"/>
      <c r="HD276" s="168"/>
      <c r="HE276" s="168"/>
      <c r="HF276" s="168"/>
      <c r="HG276" s="168"/>
      <c r="HH276" s="168"/>
      <c r="HI276" s="168"/>
      <c r="HJ276" s="168"/>
      <c r="HK276" s="168"/>
      <c r="HL276" s="168"/>
      <c r="HM276" s="168"/>
      <c r="HN276" s="168"/>
      <c r="HO276" s="168"/>
      <c r="HP276" s="168"/>
      <c r="HQ276" s="168"/>
      <c r="HR276" s="168"/>
      <c r="HS276" s="168"/>
      <c r="HT276" s="168"/>
      <c r="HU276" s="168"/>
      <c r="HV276" s="168"/>
      <c r="HW276" s="168"/>
      <c r="HX276" s="168"/>
      <c r="HY276" s="168"/>
      <c r="HZ276" s="168"/>
      <c r="IA276" s="168"/>
      <c r="IB276" s="168"/>
      <c r="IC276" s="168"/>
      <c r="ID276" s="168"/>
      <c r="IE276" s="168"/>
      <c r="IF276" s="168"/>
      <c r="IG276" s="168"/>
      <c r="IH276" s="168"/>
      <c r="II276" s="168"/>
      <c r="IJ276" s="168"/>
      <c r="IK276" s="168"/>
      <c r="IL276" s="168"/>
      <c r="IM276" s="168"/>
      <c r="IN276" s="168"/>
      <c r="IO276" s="168"/>
      <c r="IP276" s="168"/>
      <c r="IQ276" s="168"/>
      <c r="IR276" s="168"/>
      <c r="IS276" s="168"/>
      <c r="IT276" s="168"/>
      <c r="IU276" s="168"/>
      <c r="IV276" s="168"/>
      <c r="IW276" s="168"/>
      <c r="IX276" s="168"/>
      <c r="IY276" s="168"/>
      <c r="IZ276" s="168"/>
      <c r="JA276" s="168"/>
      <c r="JB276" s="168"/>
      <c r="JC276" s="606"/>
      <c r="JD276" s="609"/>
      <c r="JE276" s="1"/>
      <c r="JF276" s="1"/>
    </row>
    <row r="277" spans="1:266" s="2" customFormat="1" ht="15" customHeight="1" x14ac:dyDescent="0.25">
      <c r="A277" s="283"/>
      <c r="B277" s="303"/>
      <c r="C277" s="301"/>
      <c r="D277" s="638"/>
      <c r="E277" s="2298"/>
      <c r="F277" s="1812"/>
      <c r="G277" s="3342"/>
      <c r="H277" s="66"/>
      <c r="I277" s="1746"/>
      <c r="J277" s="86"/>
      <c r="K277" s="105"/>
      <c r="L277" s="91"/>
      <c r="M277" s="92"/>
      <c r="N277" s="93"/>
      <c r="O277" s="94"/>
      <c r="P277" s="96"/>
      <c r="Q277" s="95"/>
      <c r="R277" s="993">
        <f t="shared" si="823"/>
        <v>0</v>
      </c>
      <c r="S277" s="23">
        <f t="shared" si="783"/>
        <v>0</v>
      </c>
      <c r="T277" s="24">
        <f t="shared" si="834"/>
        <v>0</v>
      </c>
      <c r="U277" s="24">
        <f t="shared" si="835"/>
        <v>0</v>
      </c>
      <c r="V277" s="24">
        <f t="shared" si="785"/>
        <v>0</v>
      </c>
      <c r="W277" s="24">
        <f t="shared" si="819"/>
        <v>0</v>
      </c>
      <c r="X277" s="72">
        <f t="shared" si="786"/>
        <v>0</v>
      </c>
      <c r="Y277" s="72">
        <f t="shared" si="836"/>
        <v>0</v>
      </c>
      <c r="Z277" s="24">
        <f t="shared" si="824"/>
        <v>0</v>
      </c>
      <c r="AA277" s="72">
        <f t="shared" si="787"/>
        <v>0</v>
      </c>
      <c r="AB277" s="24">
        <f t="shared" si="820"/>
        <v>0</v>
      </c>
      <c r="AC277" s="24" t="s">
        <v>5</v>
      </c>
      <c r="AD277" s="25">
        <f t="shared" si="814"/>
        <v>3</v>
      </c>
      <c r="AE277" s="25">
        <f t="shared" si="815"/>
        <v>0</v>
      </c>
      <c r="AF277" s="25">
        <f t="shared" si="816"/>
        <v>0</v>
      </c>
      <c r="AG277" s="25">
        <f t="shared" si="784"/>
        <v>1</v>
      </c>
      <c r="AH277" s="25" t="str">
        <f>IFERROR(MATCH(DY277,'2 Staff List'!$IA$64:$IA$114,0),"x")</f>
        <v>x</v>
      </c>
      <c r="AI277" s="1181">
        <f>IFERROR(INDEX('2 Staff List'!$EX$64:$EX$114,$AH277),0)</f>
        <v>0</v>
      </c>
      <c r="AJ277" s="25">
        <f>IFERROR(INDEX('2 Staff List'!$IW$64:$IW$114,$AH277),0)</f>
        <v>0</v>
      </c>
      <c r="AK277" s="25">
        <f>IFERROR(INDEX('2 Staff List'!$IB$64:$IB$114,$AH277),0)</f>
        <v>0</v>
      </c>
      <c r="AL277" s="25">
        <f>IF(OR(NOT(ISBLANK(DV277)),CX277=1),"&lt;Non-Labor&gt;",IFERROR(IF(AH277=0,0,INDEX('2 Staff List'!$HZ$64:$HZ$114,$AH277)),0))</f>
        <v>0</v>
      </c>
      <c r="AM277" s="25">
        <f>IFERROR(INDEX('2 Staff List'!$HW$64:$HW$114,$AH277),0)</f>
        <v>0</v>
      </c>
      <c r="AN277" s="25">
        <f t="shared" si="825"/>
        <v>1</v>
      </c>
      <c r="AO277" s="25">
        <f>IF($AO$127=0,0,IFERROR(INDEX('2 Staff List'!$JH$64:$JH$114,$AH277),0))</f>
        <v>0</v>
      </c>
      <c r="AP277" s="25">
        <f>IFERROR(INDEX('2 Staff List'!$HU$64:$HU$114,$AH277),0)</f>
        <v>0</v>
      </c>
      <c r="AQ277" s="25">
        <f t="shared" si="821"/>
        <v>0</v>
      </c>
      <c r="AR277" s="25">
        <f t="shared" si="826"/>
        <v>0</v>
      </c>
      <c r="AS277" s="25">
        <f t="shared" si="788"/>
        <v>0</v>
      </c>
      <c r="AT277" s="25">
        <f t="shared" si="789"/>
        <v>0</v>
      </c>
      <c r="AU277" s="25">
        <f t="shared" si="790"/>
        <v>0</v>
      </c>
      <c r="AV277" s="25">
        <f t="shared" si="791"/>
        <v>0</v>
      </c>
      <c r="AW277" s="25">
        <f t="shared" si="792"/>
        <v>0</v>
      </c>
      <c r="AX277" s="25">
        <f t="shared" si="793"/>
        <v>0</v>
      </c>
      <c r="AY277" s="25">
        <f t="shared" si="794"/>
        <v>0</v>
      </c>
      <c r="AZ277" s="25">
        <f t="shared" si="795"/>
        <v>0</v>
      </c>
      <c r="BA277" s="25">
        <f t="shared" si="796"/>
        <v>0</v>
      </c>
      <c r="BB277" s="25">
        <f t="shared" si="797"/>
        <v>0</v>
      </c>
      <c r="BC277" s="25">
        <f>IFERROR(INDEX('2 Staff List'!KS$64:KS$114,$AH277),0)</f>
        <v>0</v>
      </c>
      <c r="BD277" s="25">
        <f>IFERROR(INDEX('2 Staff List'!KT$64:KT$114,$AH277),0)</f>
        <v>0</v>
      </c>
      <c r="BE277" s="25">
        <f>IFERROR(INDEX('2 Staff List'!KU$64:KU$114,$AH277),0)</f>
        <v>0</v>
      </c>
      <c r="BF277" s="25">
        <f>IFERROR(INDEX('2 Staff List'!KV$64:KV$114,$AH277),0)</f>
        <v>0</v>
      </c>
      <c r="BG277" s="25">
        <f>IFERROR(INDEX('2 Staff List'!KW$64:KW$114,$AH277),0)</f>
        <v>0</v>
      </c>
      <c r="BH277" s="25">
        <f>IFERROR(INDEX('2 Staff List'!KX$64:KX$114,$AH277),0)</f>
        <v>0</v>
      </c>
      <c r="BI277" s="25">
        <f>IFERROR(INDEX('2 Staff List'!KY$64:KY$114,$AH277),0)</f>
        <v>0</v>
      </c>
      <c r="BJ277" s="25">
        <f>IFERROR(INDEX('2 Staff List'!KZ$64:KZ$114,$AH277),0)</f>
        <v>0</v>
      </c>
      <c r="BK277" s="25">
        <f>IFERROR(INDEX('2 Staff List'!LA$64:LA$114,$AH277),0)</f>
        <v>0</v>
      </c>
      <c r="BL277" s="25">
        <f>IFERROR(INDEX('2 Staff List'!LB$64:LB$114,$AH277),0)</f>
        <v>0</v>
      </c>
      <c r="BM277" s="25">
        <f>IFERROR(INDEX('2 Staff List'!FT$64:FT$114,$AH277),0)</f>
        <v>0</v>
      </c>
      <c r="BN277" s="25">
        <f>IFERROR(INDEX('2 Staff List'!FU$64:FU$114,$AH277),0)</f>
        <v>0</v>
      </c>
      <c r="BO277" s="25">
        <f>IFERROR(INDEX('2 Staff List'!FV$64:FV$114,$AH277),0)</f>
        <v>0</v>
      </c>
      <c r="BP277" s="25">
        <f>IFERROR(INDEX('2 Staff List'!FW$64:FW$114,$AH277),0)</f>
        <v>0</v>
      </c>
      <c r="BQ277" s="25">
        <f>IFERROR(INDEX('2 Staff List'!FX$64:FX$114,$AH277),0)</f>
        <v>0</v>
      </c>
      <c r="BR277" s="25">
        <f>IFERROR(INDEX('2 Staff List'!FY$64:FY$114,$AH277),0)</f>
        <v>0</v>
      </c>
      <c r="BS277" s="25">
        <f>IFERROR(INDEX('2 Staff List'!FZ$64:FZ$114,$AH277),0)</f>
        <v>0</v>
      </c>
      <c r="BT277" s="25">
        <f>IFERROR(INDEX('2 Staff List'!GA$64:GA$114,$AH277),0)</f>
        <v>0</v>
      </c>
      <c r="BU277" s="25">
        <f>IFERROR(INDEX('2 Staff List'!GB$64:GB$114,$AH277),0)</f>
        <v>0</v>
      </c>
      <c r="BV277" s="25">
        <f>IFERROR(INDEX('2 Staff List'!GC$64:GC$114,$AH277),0)</f>
        <v>0</v>
      </c>
      <c r="BW277" s="25">
        <f t="shared" si="827"/>
        <v>0</v>
      </c>
      <c r="BX277" s="25">
        <f t="shared" si="798"/>
        <v>0</v>
      </c>
      <c r="BY277" s="25">
        <f t="shared" si="799"/>
        <v>0</v>
      </c>
      <c r="BZ277" s="25">
        <f t="shared" si="800"/>
        <v>0</v>
      </c>
      <c r="CA277" s="25">
        <f t="shared" si="801"/>
        <v>0</v>
      </c>
      <c r="CB277" s="25">
        <f t="shared" si="802"/>
        <v>0</v>
      </c>
      <c r="CC277" s="25">
        <f t="shared" si="803"/>
        <v>0</v>
      </c>
      <c r="CD277" s="25">
        <f t="shared" si="804"/>
        <v>0</v>
      </c>
      <c r="CE277" s="25">
        <f t="shared" si="805"/>
        <v>0</v>
      </c>
      <c r="CF277" s="25">
        <f t="shared" si="806"/>
        <v>0</v>
      </c>
      <c r="CG277" s="25">
        <f t="shared" si="807"/>
        <v>0</v>
      </c>
      <c r="CH277" s="25">
        <f>IFERROR(INDEX('2 Staff List'!LO$64:LO$114,$AH277),0)</f>
        <v>0</v>
      </c>
      <c r="CI277" s="25">
        <f>IFERROR(INDEX('2 Staff List'!LP$64:LP$114,$AH277),0)</f>
        <v>0</v>
      </c>
      <c r="CJ277" s="25">
        <f>IFERROR(INDEX('2 Staff List'!LQ$64:LQ$114,$AH277),0)</f>
        <v>0</v>
      </c>
      <c r="CK277" s="25">
        <f>IFERROR(INDEX('2 Staff List'!LR$64:LR$114,$AH277),0)</f>
        <v>0</v>
      </c>
      <c r="CL277" s="25">
        <f>IFERROR(INDEX('2 Staff List'!LS$64:LS$114,$AH277),0)</f>
        <v>0</v>
      </c>
      <c r="CM277" s="25">
        <f>IFERROR(INDEX('2 Staff List'!LT$64:LT$114,$AH277),0)</f>
        <v>0</v>
      </c>
      <c r="CN277" s="25">
        <f>IFERROR(INDEX('2 Staff List'!LU$64:LU$114,$AH277),0)</f>
        <v>0</v>
      </c>
      <c r="CO277" s="25">
        <f>IFERROR(INDEX('2 Staff List'!LV$64:LV$114,$AH277),0)</f>
        <v>0</v>
      </c>
      <c r="CP277" s="25">
        <f>IFERROR(INDEX('2 Staff List'!LW$64:LW$114,$AH277),0)</f>
        <v>0</v>
      </c>
      <c r="CQ277" s="25">
        <f>IFERROR(INDEX('2 Staff List'!LX$64:LX$114,$AH277),0)</f>
        <v>0</v>
      </c>
      <c r="CR277" s="25">
        <f t="shared" si="828"/>
        <v>0</v>
      </c>
      <c r="CS277" s="25">
        <f t="shared" si="774"/>
        <v>1</v>
      </c>
      <c r="CT277" s="25">
        <f t="shared" si="837"/>
        <v>1</v>
      </c>
      <c r="CU277" s="25">
        <f t="shared" si="822"/>
        <v>1</v>
      </c>
      <c r="CV277" s="25">
        <f t="shared" si="808"/>
        <v>1</v>
      </c>
      <c r="CW277" s="25">
        <f t="shared" si="829"/>
        <v>1</v>
      </c>
      <c r="CX277" s="25">
        <f t="shared" si="809"/>
        <v>0</v>
      </c>
      <c r="CY277" s="25">
        <f t="shared" si="779"/>
        <v>0</v>
      </c>
      <c r="CZ277" s="25">
        <f t="shared" si="830"/>
        <v>0</v>
      </c>
      <c r="DA277" s="25">
        <f t="shared" si="810"/>
        <v>1</v>
      </c>
      <c r="DB277" s="25">
        <f t="shared" si="817"/>
        <v>1</v>
      </c>
      <c r="DC277" s="25">
        <f t="shared" si="838"/>
        <v>0</v>
      </c>
      <c r="DD277" s="25">
        <f>IF(OR($AD277&lt;&gt;3,F277="Exclude"),0,IF(ISERROR(MATCH($E277,'4 Sign-off'!$S$123:$X$123,0)),0,1))</f>
        <v>0</v>
      </c>
      <c r="DE277" s="25">
        <f t="shared" si="782"/>
        <v>0</v>
      </c>
      <c r="DF277" s="25">
        <f t="shared" si="831"/>
        <v>0</v>
      </c>
      <c r="DG277" s="25" t="str">
        <f t="shared" si="832"/>
        <v/>
      </c>
      <c r="DH277" s="25">
        <f t="shared" si="780"/>
        <v>0</v>
      </c>
      <c r="DI277" s="25">
        <f t="shared" si="778"/>
        <v>0</v>
      </c>
      <c r="DJ277" s="25">
        <f>IF(ISBLANK(J277),0,ISERROR(MATCH(J277,'5  Control Accounts'!$FA$29:$FA$96,0))*1)</f>
        <v>0</v>
      </c>
      <c r="DK277" s="25">
        <f t="shared" si="811"/>
        <v>0</v>
      </c>
      <c r="DL277" s="25">
        <f t="shared" si="818"/>
        <v>-1</v>
      </c>
      <c r="DM277" s="25" t="e">
        <f t="array" ref="DM277">MATCH(1,($EG277:$JD277&gt;0)*$EG$17:$JD$17,0)</f>
        <v>#N/A</v>
      </c>
      <c r="DN277" s="25" t="e">
        <f t="shared" si="775"/>
        <v>#N/A</v>
      </c>
      <c r="DO277" s="25" t="e">
        <f t="array" ref="DO277">MATCH(2,1/(EG277:JD277&gt;0))</f>
        <v>#N/A</v>
      </c>
      <c r="DP277" s="2993">
        <f t="shared" si="812"/>
        <v>0</v>
      </c>
      <c r="DQ277" s="3037">
        <f t="shared" si="813"/>
        <v>0</v>
      </c>
      <c r="DR277" s="111"/>
      <c r="DS277" s="1268">
        <f t="shared" si="781"/>
        <v>0</v>
      </c>
      <c r="DT277" s="1825"/>
      <c r="DU277" s="1826"/>
      <c r="DV277" s="1827"/>
      <c r="DW277" s="1828"/>
      <c r="DX277" s="659"/>
      <c r="DY277" s="1265"/>
      <c r="DZ277" s="1785">
        <f t="shared" si="833"/>
        <v>0</v>
      </c>
      <c r="EA277" s="1786">
        <f t="shared" si="839"/>
        <v>0</v>
      </c>
      <c r="EB277" s="1781">
        <f t="shared" si="776"/>
        <v>0</v>
      </c>
      <c r="EC277" s="1782">
        <f t="shared" si="777"/>
        <v>0</v>
      </c>
      <c r="ED277" s="1262"/>
      <c r="EE277" s="2280"/>
      <c r="EF277" s="1802"/>
      <c r="EG277" s="167"/>
      <c r="EH277" s="168"/>
      <c r="EI277" s="168"/>
      <c r="EJ277" s="168"/>
      <c r="EK277" s="168"/>
      <c r="EL277" s="168"/>
      <c r="EM277" s="168"/>
      <c r="EN277" s="168"/>
      <c r="EO277" s="168"/>
      <c r="EP277" s="168"/>
      <c r="EQ277" s="168"/>
      <c r="ER277" s="168"/>
      <c r="ES277" s="168"/>
      <c r="ET277" s="168"/>
      <c r="EU277" s="168"/>
      <c r="EV277" s="168"/>
      <c r="EW277" s="168"/>
      <c r="EX277" s="168"/>
      <c r="EY277" s="168"/>
      <c r="EZ277" s="168"/>
      <c r="FA277" s="168"/>
      <c r="FB277" s="168"/>
      <c r="FC277" s="168"/>
      <c r="FD277" s="168"/>
      <c r="FE277" s="168"/>
      <c r="FF277" s="168"/>
      <c r="FG277" s="168"/>
      <c r="FH277" s="168"/>
      <c r="FI277" s="168"/>
      <c r="FJ277" s="168"/>
      <c r="FK277" s="168"/>
      <c r="FL277" s="168"/>
      <c r="FM277" s="168"/>
      <c r="FN277" s="168"/>
      <c r="FO277" s="168"/>
      <c r="FP277" s="168"/>
      <c r="FQ277" s="168"/>
      <c r="FR277" s="168"/>
      <c r="FS277" s="168"/>
      <c r="FT277" s="168"/>
      <c r="FU277" s="168"/>
      <c r="FV277" s="168"/>
      <c r="FW277" s="168"/>
      <c r="FX277" s="168"/>
      <c r="FY277" s="168"/>
      <c r="FZ277" s="168"/>
      <c r="GA277" s="168"/>
      <c r="GB277" s="168"/>
      <c r="GC277" s="168"/>
      <c r="GD277" s="168"/>
      <c r="GE277" s="168"/>
      <c r="GF277" s="168"/>
      <c r="GG277" s="168"/>
      <c r="GH277" s="168"/>
      <c r="GI277" s="168"/>
      <c r="GJ277" s="168"/>
      <c r="GK277" s="168"/>
      <c r="GL277" s="168"/>
      <c r="GM277" s="168"/>
      <c r="GN277" s="168"/>
      <c r="GO277" s="168"/>
      <c r="GP277" s="168"/>
      <c r="GQ277" s="168"/>
      <c r="GR277" s="168"/>
      <c r="GS277" s="168"/>
      <c r="GT277" s="168"/>
      <c r="GU277" s="168"/>
      <c r="GV277" s="168"/>
      <c r="GW277" s="168"/>
      <c r="GX277" s="168"/>
      <c r="GY277" s="168"/>
      <c r="GZ277" s="168"/>
      <c r="HA277" s="168"/>
      <c r="HB277" s="168"/>
      <c r="HC277" s="168"/>
      <c r="HD277" s="168"/>
      <c r="HE277" s="168"/>
      <c r="HF277" s="168"/>
      <c r="HG277" s="168"/>
      <c r="HH277" s="168"/>
      <c r="HI277" s="168"/>
      <c r="HJ277" s="168"/>
      <c r="HK277" s="168"/>
      <c r="HL277" s="168"/>
      <c r="HM277" s="168"/>
      <c r="HN277" s="168"/>
      <c r="HO277" s="168"/>
      <c r="HP277" s="168"/>
      <c r="HQ277" s="168"/>
      <c r="HR277" s="168"/>
      <c r="HS277" s="168"/>
      <c r="HT277" s="168"/>
      <c r="HU277" s="168"/>
      <c r="HV277" s="168"/>
      <c r="HW277" s="168"/>
      <c r="HX277" s="168"/>
      <c r="HY277" s="168"/>
      <c r="HZ277" s="168"/>
      <c r="IA277" s="168"/>
      <c r="IB277" s="168"/>
      <c r="IC277" s="168"/>
      <c r="ID277" s="168"/>
      <c r="IE277" s="168"/>
      <c r="IF277" s="168"/>
      <c r="IG277" s="168"/>
      <c r="IH277" s="168"/>
      <c r="II277" s="168"/>
      <c r="IJ277" s="168"/>
      <c r="IK277" s="168"/>
      <c r="IL277" s="168"/>
      <c r="IM277" s="168"/>
      <c r="IN277" s="168"/>
      <c r="IO277" s="168"/>
      <c r="IP277" s="168"/>
      <c r="IQ277" s="168"/>
      <c r="IR277" s="168"/>
      <c r="IS277" s="168"/>
      <c r="IT277" s="168"/>
      <c r="IU277" s="168"/>
      <c r="IV277" s="168"/>
      <c r="IW277" s="168"/>
      <c r="IX277" s="168"/>
      <c r="IY277" s="168"/>
      <c r="IZ277" s="168"/>
      <c r="JA277" s="168"/>
      <c r="JB277" s="168"/>
      <c r="JC277" s="606"/>
      <c r="JD277" s="609"/>
      <c r="JE277" s="1"/>
      <c r="JF277" s="1"/>
    </row>
    <row r="278" spans="1:266" s="2" customFormat="1" ht="15" customHeight="1" x14ac:dyDescent="0.25">
      <c r="A278" s="283"/>
      <c r="B278" s="303"/>
      <c r="C278" s="301"/>
      <c r="D278" s="638"/>
      <c r="E278" s="2298"/>
      <c r="F278" s="1812"/>
      <c r="G278" s="3342"/>
      <c r="H278" s="66"/>
      <c r="I278" s="1746"/>
      <c r="J278" s="86"/>
      <c r="K278" s="105"/>
      <c r="L278" s="91"/>
      <c r="M278" s="92"/>
      <c r="N278" s="93"/>
      <c r="O278" s="94"/>
      <c r="P278" s="96"/>
      <c r="Q278" s="95"/>
      <c r="R278" s="993">
        <f t="shared" si="823"/>
        <v>0</v>
      </c>
      <c r="S278" s="23">
        <f t="shared" si="783"/>
        <v>0</v>
      </c>
      <c r="T278" s="24">
        <f t="shared" si="834"/>
        <v>0</v>
      </c>
      <c r="U278" s="24">
        <f t="shared" si="835"/>
        <v>0</v>
      </c>
      <c r="V278" s="24">
        <f t="shared" si="785"/>
        <v>0</v>
      </c>
      <c r="W278" s="24">
        <f t="shared" si="819"/>
        <v>0</v>
      </c>
      <c r="X278" s="72">
        <f t="shared" si="786"/>
        <v>0</v>
      </c>
      <c r="Y278" s="72">
        <f t="shared" si="836"/>
        <v>0</v>
      </c>
      <c r="Z278" s="24">
        <f t="shared" si="824"/>
        <v>0</v>
      </c>
      <c r="AA278" s="72">
        <f t="shared" si="787"/>
        <v>0</v>
      </c>
      <c r="AB278" s="24">
        <f t="shared" si="820"/>
        <v>0</v>
      </c>
      <c r="AC278" s="24" t="s">
        <v>5</v>
      </c>
      <c r="AD278" s="25">
        <f t="shared" si="814"/>
        <v>3</v>
      </c>
      <c r="AE278" s="25">
        <f t="shared" si="815"/>
        <v>0</v>
      </c>
      <c r="AF278" s="25">
        <f t="shared" si="816"/>
        <v>0</v>
      </c>
      <c r="AG278" s="25">
        <f t="shared" si="784"/>
        <v>1</v>
      </c>
      <c r="AH278" s="25" t="str">
        <f>IFERROR(MATCH(DY278,'2 Staff List'!$IA$64:$IA$114,0),"x")</f>
        <v>x</v>
      </c>
      <c r="AI278" s="1181">
        <f>IFERROR(INDEX('2 Staff List'!$EX$64:$EX$114,$AH278),0)</f>
        <v>0</v>
      </c>
      <c r="AJ278" s="25">
        <f>IFERROR(INDEX('2 Staff List'!$IW$64:$IW$114,$AH278),0)</f>
        <v>0</v>
      </c>
      <c r="AK278" s="25">
        <f>IFERROR(INDEX('2 Staff List'!$IB$64:$IB$114,$AH278),0)</f>
        <v>0</v>
      </c>
      <c r="AL278" s="25">
        <f>IF(OR(NOT(ISBLANK(DV278)),CX278=1),"&lt;Non-Labor&gt;",IFERROR(IF(AH278=0,0,INDEX('2 Staff List'!$HZ$64:$HZ$114,$AH278)),0))</f>
        <v>0</v>
      </c>
      <c r="AM278" s="25">
        <f>IFERROR(INDEX('2 Staff List'!$HW$64:$HW$114,$AH278),0)</f>
        <v>0</v>
      </c>
      <c r="AN278" s="25">
        <f t="shared" si="825"/>
        <v>1</v>
      </c>
      <c r="AO278" s="25">
        <f>IF($AO$127=0,0,IFERROR(INDEX('2 Staff List'!$JH$64:$JH$114,$AH278),0))</f>
        <v>0</v>
      </c>
      <c r="AP278" s="25">
        <f>IFERROR(INDEX('2 Staff List'!$HU$64:$HU$114,$AH278),0)</f>
        <v>0</v>
      </c>
      <c r="AQ278" s="25">
        <f t="shared" si="821"/>
        <v>0</v>
      </c>
      <c r="AR278" s="25">
        <f t="shared" si="826"/>
        <v>0</v>
      </c>
      <c r="AS278" s="25">
        <f t="shared" si="788"/>
        <v>0</v>
      </c>
      <c r="AT278" s="25">
        <f t="shared" si="789"/>
        <v>0</v>
      </c>
      <c r="AU278" s="25">
        <f t="shared" si="790"/>
        <v>0</v>
      </c>
      <c r="AV278" s="25">
        <f t="shared" si="791"/>
        <v>0</v>
      </c>
      <c r="AW278" s="25">
        <f t="shared" si="792"/>
        <v>0</v>
      </c>
      <c r="AX278" s="25">
        <f t="shared" si="793"/>
        <v>0</v>
      </c>
      <c r="AY278" s="25">
        <f t="shared" si="794"/>
        <v>0</v>
      </c>
      <c r="AZ278" s="25">
        <f t="shared" si="795"/>
        <v>0</v>
      </c>
      <c r="BA278" s="25">
        <f t="shared" si="796"/>
        <v>0</v>
      </c>
      <c r="BB278" s="25">
        <f t="shared" si="797"/>
        <v>0</v>
      </c>
      <c r="BC278" s="25">
        <f>IFERROR(INDEX('2 Staff List'!KS$64:KS$114,$AH278),0)</f>
        <v>0</v>
      </c>
      <c r="BD278" s="25">
        <f>IFERROR(INDEX('2 Staff List'!KT$64:KT$114,$AH278),0)</f>
        <v>0</v>
      </c>
      <c r="BE278" s="25">
        <f>IFERROR(INDEX('2 Staff List'!KU$64:KU$114,$AH278),0)</f>
        <v>0</v>
      </c>
      <c r="BF278" s="25">
        <f>IFERROR(INDEX('2 Staff List'!KV$64:KV$114,$AH278),0)</f>
        <v>0</v>
      </c>
      <c r="BG278" s="25">
        <f>IFERROR(INDEX('2 Staff List'!KW$64:KW$114,$AH278),0)</f>
        <v>0</v>
      </c>
      <c r="BH278" s="25">
        <f>IFERROR(INDEX('2 Staff List'!KX$64:KX$114,$AH278),0)</f>
        <v>0</v>
      </c>
      <c r="BI278" s="25">
        <f>IFERROR(INDEX('2 Staff List'!KY$64:KY$114,$AH278),0)</f>
        <v>0</v>
      </c>
      <c r="BJ278" s="25">
        <f>IFERROR(INDEX('2 Staff List'!KZ$64:KZ$114,$AH278),0)</f>
        <v>0</v>
      </c>
      <c r="BK278" s="25">
        <f>IFERROR(INDEX('2 Staff List'!LA$64:LA$114,$AH278),0)</f>
        <v>0</v>
      </c>
      <c r="BL278" s="25">
        <f>IFERROR(INDEX('2 Staff List'!LB$64:LB$114,$AH278),0)</f>
        <v>0</v>
      </c>
      <c r="BM278" s="25">
        <f>IFERROR(INDEX('2 Staff List'!FT$64:FT$114,$AH278),0)</f>
        <v>0</v>
      </c>
      <c r="BN278" s="25">
        <f>IFERROR(INDEX('2 Staff List'!FU$64:FU$114,$AH278),0)</f>
        <v>0</v>
      </c>
      <c r="BO278" s="25">
        <f>IFERROR(INDEX('2 Staff List'!FV$64:FV$114,$AH278),0)</f>
        <v>0</v>
      </c>
      <c r="BP278" s="25">
        <f>IFERROR(INDEX('2 Staff List'!FW$64:FW$114,$AH278),0)</f>
        <v>0</v>
      </c>
      <c r="BQ278" s="25">
        <f>IFERROR(INDEX('2 Staff List'!FX$64:FX$114,$AH278),0)</f>
        <v>0</v>
      </c>
      <c r="BR278" s="25">
        <f>IFERROR(INDEX('2 Staff List'!FY$64:FY$114,$AH278),0)</f>
        <v>0</v>
      </c>
      <c r="BS278" s="25">
        <f>IFERROR(INDEX('2 Staff List'!FZ$64:FZ$114,$AH278),0)</f>
        <v>0</v>
      </c>
      <c r="BT278" s="25">
        <f>IFERROR(INDEX('2 Staff List'!GA$64:GA$114,$AH278),0)</f>
        <v>0</v>
      </c>
      <c r="BU278" s="25">
        <f>IFERROR(INDEX('2 Staff List'!GB$64:GB$114,$AH278),0)</f>
        <v>0</v>
      </c>
      <c r="BV278" s="25">
        <f>IFERROR(INDEX('2 Staff List'!GC$64:GC$114,$AH278),0)</f>
        <v>0</v>
      </c>
      <c r="BW278" s="25">
        <f t="shared" si="827"/>
        <v>0</v>
      </c>
      <c r="BX278" s="25">
        <f t="shared" si="798"/>
        <v>0</v>
      </c>
      <c r="BY278" s="25">
        <f t="shared" si="799"/>
        <v>0</v>
      </c>
      <c r="BZ278" s="25">
        <f t="shared" si="800"/>
        <v>0</v>
      </c>
      <c r="CA278" s="25">
        <f t="shared" si="801"/>
        <v>0</v>
      </c>
      <c r="CB278" s="25">
        <f t="shared" si="802"/>
        <v>0</v>
      </c>
      <c r="CC278" s="25">
        <f t="shared" si="803"/>
        <v>0</v>
      </c>
      <c r="CD278" s="25">
        <f t="shared" si="804"/>
        <v>0</v>
      </c>
      <c r="CE278" s="25">
        <f t="shared" si="805"/>
        <v>0</v>
      </c>
      <c r="CF278" s="25">
        <f t="shared" si="806"/>
        <v>0</v>
      </c>
      <c r="CG278" s="25">
        <f t="shared" si="807"/>
        <v>0</v>
      </c>
      <c r="CH278" s="25">
        <f>IFERROR(INDEX('2 Staff List'!LO$64:LO$114,$AH278),0)</f>
        <v>0</v>
      </c>
      <c r="CI278" s="25">
        <f>IFERROR(INDEX('2 Staff List'!LP$64:LP$114,$AH278),0)</f>
        <v>0</v>
      </c>
      <c r="CJ278" s="25">
        <f>IFERROR(INDEX('2 Staff List'!LQ$64:LQ$114,$AH278),0)</f>
        <v>0</v>
      </c>
      <c r="CK278" s="25">
        <f>IFERROR(INDEX('2 Staff List'!LR$64:LR$114,$AH278),0)</f>
        <v>0</v>
      </c>
      <c r="CL278" s="25">
        <f>IFERROR(INDEX('2 Staff List'!LS$64:LS$114,$AH278),0)</f>
        <v>0</v>
      </c>
      <c r="CM278" s="25">
        <f>IFERROR(INDEX('2 Staff List'!LT$64:LT$114,$AH278),0)</f>
        <v>0</v>
      </c>
      <c r="CN278" s="25">
        <f>IFERROR(INDEX('2 Staff List'!LU$64:LU$114,$AH278),0)</f>
        <v>0</v>
      </c>
      <c r="CO278" s="25">
        <f>IFERROR(INDEX('2 Staff List'!LV$64:LV$114,$AH278),0)</f>
        <v>0</v>
      </c>
      <c r="CP278" s="25">
        <f>IFERROR(INDEX('2 Staff List'!LW$64:LW$114,$AH278),0)</f>
        <v>0</v>
      </c>
      <c r="CQ278" s="25">
        <f>IFERROR(INDEX('2 Staff List'!LX$64:LX$114,$AH278),0)</f>
        <v>0</v>
      </c>
      <c r="CR278" s="25">
        <f t="shared" si="828"/>
        <v>0</v>
      </c>
      <c r="CS278" s="25">
        <f t="shared" si="774"/>
        <v>1</v>
      </c>
      <c r="CT278" s="25">
        <f t="shared" si="837"/>
        <v>1</v>
      </c>
      <c r="CU278" s="25">
        <f t="shared" si="822"/>
        <v>1</v>
      </c>
      <c r="CV278" s="25">
        <f t="shared" si="808"/>
        <v>1</v>
      </c>
      <c r="CW278" s="25">
        <f t="shared" si="829"/>
        <v>1</v>
      </c>
      <c r="CX278" s="25">
        <f t="shared" si="809"/>
        <v>0</v>
      </c>
      <c r="CY278" s="25">
        <f t="shared" si="779"/>
        <v>0</v>
      </c>
      <c r="CZ278" s="25">
        <f t="shared" si="830"/>
        <v>0</v>
      </c>
      <c r="DA278" s="25">
        <f t="shared" si="810"/>
        <v>1</v>
      </c>
      <c r="DB278" s="25">
        <f t="shared" si="817"/>
        <v>1</v>
      </c>
      <c r="DC278" s="25">
        <f t="shared" si="838"/>
        <v>0</v>
      </c>
      <c r="DD278" s="25">
        <f>IF(OR($AD278&lt;&gt;3,F278="Exclude"),0,IF(ISERROR(MATCH($E278,'4 Sign-off'!$S$123:$X$123,0)),0,1))</f>
        <v>0</v>
      </c>
      <c r="DE278" s="25">
        <f t="shared" si="782"/>
        <v>0</v>
      </c>
      <c r="DF278" s="25">
        <f t="shared" si="831"/>
        <v>0</v>
      </c>
      <c r="DG278" s="25" t="str">
        <f t="shared" si="832"/>
        <v/>
      </c>
      <c r="DH278" s="25">
        <f t="shared" si="780"/>
        <v>0</v>
      </c>
      <c r="DI278" s="25">
        <f t="shared" si="778"/>
        <v>0</v>
      </c>
      <c r="DJ278" s="25">
        <f>IF(ISBLANK(J278),0,ISERROR(MATCH(J278,'5  Control Accounts'!$FA$29:$FA$96,0))*1)</f>
        <v>0</v>
      </c>
      <c r="DK278" s="25">
        <f t="shared" si="811"/>
        <v>0</v>
      </c>
      <c r="DL278" s="25">
        <f t="shared" si="818"/>
        <v>-1</v>
      </c>
      <c r="DM278" s="25" t="e">
        <f t="array" ref="DM278">MATCH(1,($EG278:$JD278&gt;0)*$EG$17:$JD$17,0)</f>
        <v>#N/A</v>
      </c>
      <c r="DN278" s="25" t="e">
        <f t="shared" si="775"/>
        <v>#N/A</v>
      </c>
      <c r="DO278" s="25" t="e">
        <f t="array" ref="DO278">MATCH(2,1/(EG278:JD278&gt;0))</f>
        <v>#N/A</v>
      </c>
      <c r="DP278" s="2993">
        <f t="shared" si="812"/>
        <v>0</v>
      </c>
      <c r="DQ278" s="3037">
        <f t="shared" si="813"/>
        <v>0</v>
      </c>
      <c r="DR278" s="111"/>
      <c r="DS278" s="1268">
        <f t="shared" si="781"/>
        <v>0</v>
      </c>
      <c r="DT278" s="1825"/>
      <c r="DU278" s="1826"/>
      <c r="DV278" s="1827"/>
      <c r="DW278" s="1828"/>
      <c r="DX278" s="659"/>
      <c r="DY278" s="1265"/>
      <c r="DZ278" s="1785">
        <f t="shared" si="833"/>
        <v>0</v>
      </c>
      <c r="EA278" s="1786">
        <f t="shared" si="839"/>
        <v>0</v>
      </c>
      <c r="EB278" s="1781">
        <f t="shared" si="776"/>
        <v>0</v>
      </c>
      <c r="EC278" s="1782">
        <f t="shared" si="777"/>
        <v>0</v>
      </c>
      <c r="ED278" s="1262"/>
      <c r="EE278" s="2280"/>
      <c r="EF278" s="1802"/>
      <c r="EG278" s="167"/>
      <c r="EH278" s="168"/>
      <c r="EI278" s="168"/>
      <c r="EJ278" s="168"/>
      <c r="EK278" s="168"/>
      <c r="EL278" s="168"/>
      <c r="EM278" s="168"/>
      <c r="EN278" s="168"/>
      <c r="EO278" s="168"/>
      <c r="EP278" s="168"/>
      <c r="EQ278" s="168"/>
      <c r="ER278" s="168"/>
      <c r="ES278" s="168"/>
      <c r="ET278" s="168"/>
      <c r="EU278" s="168"/>
      <c r="EV278" s="168"/>
      <c r="EW278" s="168"/>
      <c r="EX278" s="168"/>
      <c r="EY278" s="168"/>
      <c r="EZ278" s="168"/>
      <c r="FA278" s="168"/>
      <c r="FB278" s="168"/>
      <c r="FC278" s="168"/>
      <c r="FD278" s="168"/>
      <c r="FE278" s="168"/>
      <c r="FF278" s="168"/>
      <c r="FG278" s="168"/>
      <c r="FH278" s="168"/>
      <c r="FI278" s="168"/>
      <c r="FJ278" s="168"/>
      <c r="FK278" s="168"/>
      <c r="FL278" s="168"/>
      <c r="FM278" s="168"/>
      <c r="FN278" s="168"/>
      <c r="FO278" s="168"/>
      <c r="FP278" s="168"/>
      <c r="FQ278" s="168"/>
      <c r="FR278" s="168"/>
      <c r="FS278" s="168"/>
      <c r="FT278" s="168"/>
      <c r="FU278" s="168"/>
      <c r="FV278" s="168"/>
      <c r="FW278" s="168"/>
      <c r="FX278" s="168"/>
      <c r="FY278" s="168"/>
      <c r="FZ278" s="168"/>
      <c r="GA278" s="168"/>
      <c r="GB278" s="168"/>
      <c r="GC278" s="168"/>
      <c r="GD278" s="168"/>
      <c r="GE278" s="168"/>
      <c r="GF278" s="168"/>
      <c r="GG278" s="168"/>
      <c r="GH278" s="168"/>
      <c r="GI278" s="168"/>
      <c r="GJ278" s="168"/>
      <c r="GK278" s="168"/>
      <c r="GL278" s="168"/>
      <c r="GM278" s="168"/>
      <c r="GN278" s="168"/>
      <c r="GO278" s="168"/>
      <c r="GP278" s="168"/>
      <c r="GQ278" s="168"/>
      <c r="GR278" s="168"/>
      <c r="GS278" s="168"/>
      <c r="GT278" s="168"/>
      <c r="GU278" s="168"/>
      <c r="GV278" s="168"/>
      <c r="GW278" s="168"/>
      <c r="GX278" s="168"/>
      <c r="GY278" s="168"/>
      <c r="GZ278" s="168"/>
      <c r="HA278" s="168"/>
      <c r="HB278" s="168"/>
      <c r="HC278" s="168"/>
      <c r="HD278" s="168"/>
      <c r="HE278" s="168"/>
      <c r="HF278" s="168"/>
      <c r="HG278" s="168"/>
      <c r="HH278" s="168"/>
      <c r="HI278" s="168"/>
      <c r="HJ278" s="168"/>
      <c r="HK278" s="168"/>
      <c r="HL278" s="168"/>
      <c r="HM278" s="168"/>
      <c r="HN278" s="168"/>
      <c r="HO278" s="168"/>
      <c r="HP278" s="168"/>
      <c r="HQ278" s="168"/>
      <c r="HR278" s="168"/>
      <c r="HS278" s="168"/>
      <c r="HT278" s="168"/>
      <c r="HU278" s="168"/>
      <c r="HV278" s="168"/>
      <c r="HW278" s="168"/>
      <c r="HX278" s="168"/>
      <c r="HY278" s="168"/>
      <c r="HZ278" s="168"/>
      <c r="IA278" s="168"/>
      <c r="IB278" s="168"/>
      <c r="IC278" s="168"/>
      <c r="ID278" s="168"/>
      <c r="IE278" s="168"/>
      <c r="IF278" s="168"/>
      <c r="IG278" s="168"/>
      <c r="IH278" s="168"/>
      <c r="II278" s="168"/>
      <c r="IJ278" s="168"/>
      <c r="IK278" s="168"/>
      <c r="IL278" s="168"/>
      <c r="IM278" s="168"/>
      <c r="IN278" s="168"/>
      <c r="IO278" s="168"/>
      <c r="IP278" s="168"/>
      <c r="IQ278" s="168"/>
      <c r="IR278" s="168"/>
      <c r="IS278" s="168"/>
      <c r="IT278" s="168"/>
      <c r="IU278" s="168"/>
      <c r="IV278" s="168"/>
      <c r="IW278" s="168"/>
      <c r="IX278" s="168"/>
      <c r="IY278" s="168"/>
      <c r="IZ278" s="168"/>
      <c r="JA278" s="168"/>
      <c r="JB278" s="168"/>
      <c r="JC278" s="606"/>
      <c r="JD278" s="609"/>
      <c r="JE278" s="1"/>
      <c r="JF278" s="1"/>
    </row>
    <row r="279" spans="1:266" s="2" customFormat="1" ht="15" customHeight="1" x14ac:dyDescent="0.25">
      <c r="A279" s="283"/>
      <c r="B279" s="303"/>
      <c r="C279" s="301"/>
      <c r="D279" s="638"/>
      <c r="E279" s="2298"/>
      <c r="F279" s="1812"/>
      <c r="G279" s="3342"/>
      <c r="H279" s="66"/>
      <c r="I279" s="1746"/>
      <c r="J279" s="86"/>
      <c r="K279" s="105"/>
      <c r="L279" s="91"/>
      <c r="M279" s="92"/>
      <c r="N279" s="93"/>
      <c r="O279" s="94"/>
      <c r="P279" s="94"/>
      <c r="Q279" s="97"/>
      <c r="R279" s="993">
        <f t="shared" si="823"/>
        <v>0</v>
      </c>
      <c r="S279" s="23">
        <f t="shared" si="783"/>
        <v>0</v>
      </c>
      <c r="T279" s="24">
        <f t="shared" si="834"/>
        <v>0</v>
      </c>
      <c r="U279" s="24">
        <f t="shared" si="835"/>
        <v>0</v>
      </c>
      <c r="V279" s="24">
        <f t="shared" si="785"/>
        <v>0</v>
      </c>
      <c r="W279" s="24">
        <f t="shared" si="819"/>
        <v>0</v>
      </c>
      <c r="X279" s="72">
        <f t="shared" si="786"/>
        <v>0</v>
      </c>
      <c r="Y279" s="72">
        <f t="shared" si="836"/>
        <v>0</v>
      </c>
      <c r="Z279" s="24">
        <f t="shared" si="824"/>
        <v>0</v>
      </c>
      <c r="AA279" s="72">
        <f t="shared" si="787"/>
        <v>0</v>
      </c>
      <c r="AB279" s="24">
        <f t="shared" si="820"/>
        <v>0</v>
      </c>
      <c r="AC279" s="24" t="s">
        <v>5</v>
      </c>
      <c r="AD279" s="25">
        <f t="shared" si="814"/>
        <v>3</v>
      </c>
      <c r="AE279" s="25">
        <f t="shared" si="815"/>
        <v>0</v>
      </c>
      <c r="AF279" s="25">
        <f t="shared" si="816"/>
        <v>0</v>
      </c>
      <c r="AG279" s="25">
        <f t="shared" si="784"/>
        <v>1</v>
      </c>
      <c r="AH279" s="25" t="str">
        <f>IFERROR(MATCH(DY279,'2 Staff List'!$IA$64:$IA$114,0),"x")</f>
        <v>x</v>
      </c>
      <c r="AI279" s="1181">
        <f>IFERROR(INDEX('2 Staff List'!$EX$64:$EX$114,$AH279),0)</f>
        <v>0</v>
      </c>
      <c r="AJ279" s="25">
        <f>IFERROR(INDEX('2 Staff List'!$IW$64:$IW$114,$AH279),0)</f>
        <v>0</v>
      </c>
      <c r="AK279" s="25">
        <f>IFERROR(INDEX('2 Staff List'!$IB$64:$IB$114,$AH279),0)</f>
        <v>0</v>
      </c>
      <c r="AL279" s="25">
        <f>IF(OR(NOT(ISBLANK(DV279)),CX279=1),"&lt;Non-Labor&gt;",IFERROR(IF(AH279=0,0,INDEX('2 Staff List'!$HZ$64:$HZ$114,$AH279)),0))</f>
        <v>0</v>
      </c>
      <c r="AM279" s="25">
        <f>IFERROR(INDEX('2 Staff List'!$HW$64:$HW$114,$AH279),0)</f>
        <v>0</v>
      </c>
      <c r="AN279" s="25">
        <f t="shared" si="825"/>
        <v>1</v>
      </c>
      <c r="AO279" s="25">
        <f>IF($AO$127=0,0,IFERROR(INDEX('2 Staff List'!$JH$64:$JH$114,$AH279),0))</f>
        <v>0</v>
      </c>
      <c r="AP279" s="25">
        <f>IFERROR(INDEX('2 Staff List'!$HU$64:$HU$114,$AH279),0)</f>
        <v>0</v>
      </c>
      <c r="AQ279" s="25">
        <f t="shared" si="821"/>
        <v>0</v>
      </c>
      <c r="AR279" s="25">
        <f t="shared" si="826"/>
        <v>0</v>
      </c>
      <c r="AS279" s="25">
        <f t="shared" si="788"/>
        <v>0</v>
      </c>
      <c r="AT279" s="25">
        <f t="shared" si="789"/>
        <v>0</v>
      </c>
      <c r="AU279" s="25">
        <f t="shared" si="790"/>
        <v>0</v>
      </c>
      <c r="AV279" s="25">
        <f t="shared" si="791"/>
        <v>0</v>
      </c>
      <c r="AW279" s="25">
        <f t="shared" si="792"/>
        <v>0</v>
      </c>
      <c r="AX279" s="25">
        <f t="shared" si="793"/>
        <v>0</v>
      </c>
      <c r="AY279" s="25">
        <f t="shared" si="794"/>
        <v>0</v>
      </c>
      <c r="AZ279" s="25">
        <f t="shared" si="795"/>
        <v>0</v>
      </c>
      <c r="BA279" s="25">
        <f t="shared" si="796"/>
        <v>0</v>
      </c>
      <c r="BB279" s="25">
        <f t="shared" si="797"/>
        <v>0</v>
      </c>
      <c r="BC279" s="25">
        <f>IFERROR(INDEX('2 Staff List'!KS$64:KS$114,$AH279),0)</f>
        <v>0</v>
      </c>
      <c r="BD279" s="25">
        <f>IFERROR(INDEX('2 Staff List'!KT$64:KT$114,$AH279),0)</f>
        <v>0</v>
      </c>
      <c r="BE279" s="25">
        <f>IFERROR(INDEX('2 Staff List'!KU$64:KU$114,$AH279),0)</f>
        <v>0</v>
      </c>
      <c r="BF279" s="25">
        <f>IFERROR(INDEX('2 Staff List'!KV$64:KV$114,$AH279),0)</f>
        <v>0</v>
      </c>
      <c r="BG279" s="25">
        <f>IFERROR(INDEX('2 Staff List'!KW$64:KW$114,$AH279),0)</f>
        <v>0</v>
      </c>
      <c r="BH279" s="25">
        <f>IFERROR(INDEX('2 Staff List'!KX$64:KX$114,$AH279),0)</f>
        <v>0</v>
      </c>
      <c r="BI279" s="25">
        <f>IFERROR(INDEX('2 Staff List'!KY$64:KY$114,$AH279),0)</f>
        <v>0</v>
      </c>
      <c r="BJ279" s="25">
        <f>IFERROR(INDEX('2 Staff List'!KZ$64:KZ$114,$AH279),0)</f>
        <v>0</v>
      </c>
      <c r="BK279" s="25">
        <f>IFERROR(INDEX('2 Staff List'!LA$64:LA$114,$AH279),0)</f>
        <v>0</v>
      </c>
      <c r="BL279" s="25">
        <f>IFERROR(INDEX('2 Staff List'!LB$64:LB$114,$AH279),0)</f>
        <v>0</v>
      </c>
      <c r="BM279" s="25">
        <f>IFERROR(INDEX('2 Staff List'!FT$64:FT$114,$AH279),0)</f>
        <v>0</v>
      </c>
      <c r="BN279" s="25">
        <f>IFERROR(INDEX('2 Staff List'!FU$64:FU$114,$AH279),0)</f>
        <v>0</v>
      </c>
      <c r="BO279" s="25">
        <f>IFERROR(INDEX('2 Staff List'!FV$64:FV$114,$AH279),0)</f>
        <v>0</v>
      </c>
      <c r="BP279" s="25">
        <f>IFERROR(INDEX('2 Staff List'!FW$64:FW$114,$AH279),0)</f>
        <v>0</v>
      </c>
      <c r="BQ279" s="25">
        <f>IFERROR(INDEX('2 Staff List'!FX$64:FX$114,$AH279),0)</f>
        <v>0</v>
      </c>
      <c r="BR279" s="25">
        <f>IFERROR(INDEX('2 Staff List'!FY$64:FY$114,$AH279),0)</f>
        <v>0</v>
      </c>
      <c r="BS279" s="25">
        <f>IFERROR(INDEX('2 Staff List'!FZ$64:FZ$114,$AH279),0)</f>
        <v>0</v>
      </c>
      <c r="BT279" s="25">
        <f>IFERROR(INDEX('2 Staff List'!GA$64:GA$114,$AH279),0)</f>
        <v>0</v>
      </c>
      <c r="BU279" s="25">
        <f>IFERROR(INDEX('2 Staff List'!GB$64:GB$114,$AH279),0)</f>
        <v>0</v>
      </c>
      <c r="BV279" s="25">
        <f>IFERROR(INDEX('2 Staff List'!GC$64:GC$114,$AH279),0)</f>
        <v>0</v>
      </c>
      <c r="BW279" s="25">
        <f t="shared" si="827"/>
        <v>0</v>
      </c>
      <c r="BX279" s="25">
        <f t="shared" si="798"/>
        <v>0</v>
      </c>
      <c r="BY279" s="25">
        <f t="shared" si="799"/>
        <v>0</v>
      </c>
      <c r="BZ279" s="25">
        <f t="shared" si="800"/>
        <v>0</v>
      </c>
      <c r="CA279" s="25">
        <f t="shared" si="801"/>
        <v>0</v>
      </c>
      <c r="CB279" s="25">
        <f t="shared" si="802"/>
        <v>0</v>
      </c>
      <c r="CC279" s="25">
        <f t="shared" si="803"/>
        <v>0</v>
      </c>
      <c r="CD279" s="25">
        <f t="shared" si="804"/>
        <v>0</v>
      </c>
      <c r="CE279" s="25">
        <f t="shared" si="805"/>
        <v>0</v>
      </c>
      <c r="CF279" s="25">
        <f t="shared" si="806"/>
        <v>0</v>
      </c>
      <c r="CG279" s="25">
        <f t="shared" si="807"/>
        <v>0</v>
      </c>
      <c r="CH279" s="25">
        <f>IFERROR(INDEX('2 Staff List'!LO$64:LO$114,$AH279),0)</f>
        <v>0</v>
      </c>
      <c r="CI279" s="25">
        <f>IFERROR(INDEX('2 Staff List'!LP$64:LP$114,$AH279),0)</f>
        <v>0</v>
      </c>
      <c r="CJ279" s="25">
        <f>IFERROR(INDEX('2 Staff List'!LQ$64:LQ$114,$AH279),0)</f>
        <v>0</v>
      </c>
      <c r="CK279" s="25">
        <f>IFERROR(INDEX('2 Staff List'!LR$64:LR$114,$AH279),0)</f>
        <v>0</v>
      </c>
      <c r="CL279" s="25">
        <f>IFERROR(INDEX('2 Staff List'!LS$64:LS$114,$AH279),0)</f>
        <v>0</v>
      </c>
      <c r="CM279" s="25">
        <f>IFERROR(INDEX('2 Staff List'!LT$64:LT$114,$AH279),0)</f>
        <v>0</v>
      </c>
      <c r="CN279" s="25">
        <f>IFERROR(INDEX('2 Staff List'!LU$64:LU$114,$AH279),0)</f>
        <v>0</v>
      </c>
      <c r="CO279" s="25">
        <f>IFERROR(INDEX('2 Staff List'!LV$64:LV$114,$AH279),0)</f>
        <v>0</v>
      </c>
      <c r="CP279" s="25">
        <f>IFERROR(INDEX('2 Staff List'!LW$64:LW$114,$AH279),0)</f>
        <v>0</v>
      </c>
      <c r="CQ279" s="25">
        <f>IFERROR(INDEX('2 Staff List'!LX$64:LX$114,$AH279),0)</f>
        <v>0</v>
      </c>
      <c r="CR279" s="25">
        <f t="shared" si="828"/>
        <v>0</v>
      </c>
      <c r="CS279" s="25">
        <f t="shared" si="774"/>
        <v>1</v>
      </c>
      <c r="CT279" s="25">
        <f t="shared" si="837"/>
        <v>1</v>
      </c>
      <c r="CU279" s="25">
        <f t="shared" si="822"/>
        <v>1</v>
      </c>
      <c r="CV279" s="25">
        <f t="shared" si="808"/>
        <v>1</v>
      </c>
      <c r="CW279" s="25">
        <f t="shared" si="829"/>
        <v>1</v>
      </c>
      <c r="CX279" s="25">
        <f t="shared" si="809"/>
        <v>0</v>
      </c>
      <c r="CY279" s="25">
        <f t="shared" si="779"/>
        <v>0</v>
      </c>
      <c r="CZ279" s="25">
        <f t="shared" si="830"/>
        <v>0</v>
      </c>
      <c r="DA279" s="25">
        <f t="shared" si="810"/>
        <v>1</v>
      </c>
      <c r="DB279" s="25">
        <f t="shared" si="817"/>
        <v>1</v>
      </c>
      <c r="DC279" s="25">
        <f t="shared" si="838"/>
        <v>0</v>
      </c>
      <c r="DD279" s="25">
        <f>IF(OR($AD279&lt;&gt;3,F279="Exclude"),0,IF(ISERROR(MATCH($E279,'4 Sign-off'!$S$123:$X$123,0)),0,1))</f>
        <v>0</v>
      </c>
      <c r="DE279" s="25">
        <f t="shared" si="782"/>
        <v>0</v>
      </c>
      <c r="DF279" s="25">
        <f t="shared" si="831"/>
        <v>0</v>
      </c>
      <c r="DG279" s="25" t="str">
        <f t="shared" si="832"/>
        <v/>
      </c>
      <c r="DH279" s="25">
        <f t="shared" si="780"/>
        <v>0</v>
      </c>
      <c r="DI279" s="25">
        <f t="shared" si="778"/>
        <v>0</v>
      </c>
      <c r="DJ279" s="25">
        <f>IF(ISBLANK(J279),0,ISERROR(MATCH(J279,'5  Control Accounts'!$FA$29:$FA$96,0))*1)</f>
        <v>0</v>
      </c>
      <c r="DK279" s="25">
        <f t="shared" si="811"/>
        <v>0</v>
      </c>
      <c r="DL279" s="25">
        <f t="shared" si="818"/>
        <v>-1</v>
      </c>
      <c r="DM279" s="25" t="e">
        <f t="array" ref="DM279">MATCH(1,($EG279:$JD279&gt;0)*$EG$17:$JD$17,0)</f>
        <v>#N/A</v>
      </c>
      <c r="DN279" s="25" t="e">
        <f t="shared" si="775"/>
        <v>#N/A</v>
      </c>
      <c r="DO279" s="25" t="e">
        <f t="array" ref="DO279">MATCH(2,1/(EG279:JD279&gt;0))</f>
        <v>#N/A</v>
      </c>
      <c r="DP279" s="2993">
        <f t="shared" si="812"/>
        <v>0</v>
      </c>
      <c r="DQ279" s="3037">
        <f t="shared" si="813"/>
        <v>0</v>
      </c>
      <c r="DR279" s="111"/>
      <c r="DS279" s="1268">
        <f t="shared" si="781"/>
        <v>0</v>
      </c>
      <c r="DT279" s="1825"/>
      <c r="DU279" s="1826"/>
      <c r="DV279" s="1827"/>
      <c r="DW279" s="1828"/>
      <c r="DX279" s="659"/>
      <c r="DY279" s="1265"/>
      <c r="DZ279" s="1785">
        <f t="shared" si="833"/>
        <v>0</v>
      </c>
      <c r="EA279" s="1786">
        <f t="shared" si="839"/>
        <v>0</v>
      </c>
      <c r="EB279" s="1781">
        <f t="shared" si="776"/>
        <v>0</v>
      </c>
      <c r="EC279" s="1782">
        <f t="shared" si="777"/>
        <v>0</v>
      </c>
      <c r="ED279" s="1262"/>
      <c r="EE279" s="2280"/>
      <c r="EF279" s="1802"/>
      <c r="EG279" s="167"/>
      <c r="EH279" s="168"/>
      <c r="EI279" s="168"/>
      <c r="EJ279" s="168"/>
      <c r="EK279" s="168"/>
      <c r="EL279" s="168"/>
      <c r="EM279" s="168"/>
      <c r="EN279" s="168"/>
      <c r="EO279" s="168"/>
      <c r="EP279" s="168"/>
      <c r="EQ279" s="168"/>
      <c r="ER279" s="168"/>
      <c r="ES279" s="168"/>
      <c r="ET279" s="168"/>
      <c r="EU279" s="168"/>
      <c r="EV279" s="168"/>
      <c r="EW279" s="168"/>
      <c r="EX279" s="168"/>
      <c r="EY279" s="168"/>
      <c r="EZ279" s="168"/>
      <c r="FA279" s="168"/>
      <c r="FB279" s="168"/>
      <c r="FC279" s="168"/>
      <c r="FD279" s="168"/>
      <c r="FE279" s="168"/>
      <c r="FF279" s="168"/>
      <c r="FG279" s="168"/>
      <c r="FH279" s="168"/>
      <c r="FI279" s="168"/>
      <c r="FJ279" s="168"/>
      <c r="FK279" s="168"/>
      <c r="FL279" s="168"/>
      <c r="FM279" s="168"/>
      <c r="FN279" s="168"/>
      <c r="FO279" s="168"/>
      <c r="FP279" s="168"/>
      <c r="FQ279" s="168"/>
      <c r="FR279" s="168"/>
      <c r="FS279" s="168"/>
      <c r="FT279" s="168"/>
      <c r="FU279" s="168"/>
      <c r="FV279" s="168"/>
      <c r="FW279" s="168"/>
      <c r="FX279" s="168"/>
      <c r="FY279" s="168"/>
      <c r="FZ279" s="168"/>
      <c r="GA279" s="168"/>
      <c r="GB279" s="168"/>
      <c r="GC279" s="168"/>
      <c r="GD279" s="168"/>
      <c r="GE279" s="168"/>
      <c r="GF279" s="168"/>
      <c r="GG279" s="168"/>
      <c r="GH279" s="168"/>
      <c r="GI279" s="168"/>
      <c r="GJ279" s="168"/>
      <c r="GK279" s="168"/>
      <c r="GL279" s="168"/>
      <c r="GM279" s="168"/>
      <c r="GN279" s="168"/>
      <c r="GO279" s="168"/>
      <c r="GP279" s="168"/>
      <c r="GQ279" s="168"/>
      <c r="GR279" s="168"/>
      <c r="GS279" s="168"/>
      <c r="GT279" s="168"/>
      <c r="GU279" s="168"/>
      <c r="GV279" s="168"/>
      <c r="GW279" s="168"/>
      <c r="GX279" s="168"/>
      <c r="GY279" s="168"/>
      <c r="GZ279" s="168"/>
      <c r="HA279" s="168"/>
      <c r="HB279" s="168"/>
      <c r="HC279" s="168"/>
      <c r="HD279" s="168"/>
      <c r="HE279" s="168"/>
      <c r="HF279" s="168"/>
      <c r="HG279" s="168"/>
      <c r="HH279" s="168"/>
      <c r="HI279" s="168"/>
      <c r="HJ279" s="168"/>
      <c r="HK279" s="168"/>
      <c r="HL279" s="168"/>
      <c r="HM279" s="168"/>
      <c r="HN279" s="168"/>
      <c r="HO279" s="168"/>
      <c r="HP279" s="168"/>
      <c r="HQ279" s="168"/>
      <c r="HR279" s="168"/>
      <c r="HS279" s="168"/>
      <c r="HT279" s="168"/>
      <c r="HU279" s="168"/>
      <c r="HV279" s="168"/>
      <c r="HW279" s="168"/>
      <c r="HX279" s="168"/>
      <c r="HY279" s="168"/>
      <c r="HZ279" s="168"/>
      <c r="IA279" s="168"/>
      <c r="IB279" s="168"/>
      <c r="IC279" s="168"/>
      <c r="ID279" s="168"/>
      <c r="IE279" s="168"/>
      <c r="IF279" s="168"/>
      <c r="IG279" s="168"/>
      <c r="IH279" s="168"/>
      <c r="II279" s="168"/>
      <c r="IJ279" s="168"/>
      <c r="IK279" s="168"/>
      <c r="IL279" s="168"/>
      <c r="IM279" s="168"/>
      <c r="IN279" s="168"/>
      <c r="IO279" s="168"/>
      <c r="IP279" s="168"/>
      <c r="IQ279" s="168"/>
      <c r="IR279" s="168"/>
      <c r="IS279" s="168"/>
      <c r="IT279" s="168"/>
      <c r="IU279" s="168"/>
      <c r="IV279" s="168"/>
      <c r="IW279" s="168"/>
      <c r="IX279" s="168"/>
      <c r="IY279" s="168"/>
      <c r="IZ279" s="168"/>
      <c r="JA279" s="168"/>
      <c r="JB279" s="168"/>
      <c r="JC279" s="606"/>
      <c r="JD279" s="609"/>
      <c r="JE279" s="1"/>
      <c r="JF279" s="1"/>
    </row>
    <row r="280" spans="1:266" s="2" customFormat="1" ht="15" customHeight="1" x14ac:dyDescent="0.25">
      <c r="A280" s="283"/>
      <c r="B280" s="303"/>
      <c r="C280" s="301"/>
      <c r="D280" s="638"/>
      <c r="E280" s="2298"/>
      <c r="F280" s="1812"/>
      <c r="G280" s="3342"/>
      <c r="H280" s="66"/>
      <c r="I280" s="1746"/>
      <c r="J280" s="86"/>
      <c r="K280" s="105"/>
      <c r="L280" s="91"/>
      <c r="M280" s="92"/>
      <c r="N280" s="93"/>
      <c r="O280" s="94"/>
      <c r="P280" s="94"/>
      <c r="Q280" s="97"/>
      <c r="R280" s="993">
        <f t="shared" si="823"/>
        <v>0</v>
      </c>
      <c r="S280" s="23">
        <f t="shared" si="783"/>
        <v>0</v>
      </c>
      <c r="T280" s="24">
        <f t="shared" si="834"/>
        <v>0</v>
      </c>
      <c r="U280" s="24">
        <f t="shared" si="835"/>
        <v>0</v>
      </c>
      <c r="V280" s="24">
        <f t="shared" si="785"/>
        <v>0</v>
      </c>
      <c r="W280" s="24">
        <f t="shared" si="819"/>
        <v>0</v>
      </c>
      <c r="X280" s="72">
        <f t="shared" si="786"/>
        <v>0</v>
      </c>
      <c r="Y280" s="72">
        <f t="shared" si="836"/>
        <v>0</v>
      </c>
      <c r="Z280" s="24">
        <f t="shared" si="824"/>
        <v>0</v>
      </c>
      <c r="AA280" s="72">
        <f t="shared" si="787"/>
        <v>0</v>
      </c>
      <c r="AB280" s="24">
        <f t="shared" si="820"/>
        <v>0</v>
      </c>
      <c r="AC280" s="24" t="s">
        <v>5</v>
      </c>
      <c r="AD280" s="25">
        <f t="shared" si="814"/>
        <v>3</v>
      </c>
      <c r="AE280" s="25">
        <f t="shared" si="815"/>
        <v>0</v>
      </c>
      <c r="AF280" s="25">
        <f t="shared" si="816"/>
        <v>0</v>
      </c>
      <c r="AG280" s="25">
        <f t="shared" si="784"/>
        <v>1</v>
      </c>
      <c r="AH280" s="25" t="str">
        <f>IFERROR(MATCH(DY280,'2 Staff List'!$IA$64:$IA$114,0),"x")</f>
        <v>x</v>
      </c>
      <c r="AI280" s="1181">
        <f>IFERROR(INDEX('2 Staff List'!$EX$64:$EX$114,$AH280),0)</f>
        <v>0</v>
      </c>
      <c r="AJ280" s="25">
        <f>IFERROR(INDEX('2 Staff List'!$IW$64:$IW$114,$AH280),0)</f>
        <v>0</v>
      </c>
      <c r="AK280" s="25">
        <f>IFERROR(INDEX('2 Staff List'!$IB$64:$IB$114,$AH280),0)</f>
        <v>0</v>
      </c>
      <c r="AL280" s="25">
        <f>IF(OR(NOT(ISBLANK(DV280)),CX280=1),"&lt;Non-Labor&gt;",IFERROR(IF(AH280=0,0,INDEX('2 Staff List'!$HZ$64:$HZ$114,$AH280)),0))</f>
        <v>0</v>
      </c>
      <c r="AM280" s="25">
        <f>IFERROR(INDEX('2 Staff List'!$HW$64:$HW$114,$AH280),0)</f>
        <v>0</v>
      </c>
      <c r="AN280" s="25">
        <f t="shared" si="825"/>
        <v>1</v>
      </c>
      <c r="AO280" s="25">
        <f>IF($AO$127=0,0,IFERROR(INDEX('2 Staff List'!$JH$64:$JH$114,$AH280),0))</f>
        <v>0</v>
      </c>
      <c r="AP280" s="25">
        <f>IFERROR(INDEX('2 Staff List'!$HU$64:$HU$114,$AH280),0)</f>
        <v>0</v>
      </c>
      <c r="AQ280" s="25">
        <f t="shared" si="821"/>
        <v>0</v>
      </c>
      <c r="AR280" s="25">
        <f t="shared" si="826"/>
        <v>0</v>
      </c>
      <c r="AS280" s="25">
        <f t="shared" si="788"/>
        <v>0</v>
      </c>
      <c r="AT280" s="25">
        <f t="shared" si="789"/>
        <v>0</v>
      </c>
      <c r="AU280" s="25">
        <f t="shared" si="790"/>
        <v>0</v>
      </c>
      <c r="AV280" s="25">
        <f t="shared" si="791"/>
        <v>0</v>
      </c>
      <c r="AW280" s="25">
        <f t="shared" si="792"/>
        <v>0</v>
      </c>
      <c r="AX280" s="25">
        <f t="shared" si="793"/>
        <v>0</v>
      </c>
      <c r="AY280" s="25">
        <f t="shared" si="794"/>
        <v>0</v>
      </c>
      <c r="AZ280" s="25">
        <f t="shared" si="795"/>
        <v>0</v>
      </c>
      <c r="BA280" s="25">
        <f t="shared" si="796"/>
        <v>0</v>
      </c>
      <c r="BB280" s="25">
        <f t="shared" si="797"/>
        <v>0</v>
      </c>
      <c r="BC280" s="25">
        <f>IFERROR(INDEX('2 Staff List'!KS$64:KS$114,$AH280),0)</f>
        <v>0</v>
      </c>
      <c r="BD280" s="25">
        <f>IFERROR(INDEX('2 Staff List'!KT$64:KT$114,$AH280),0)</f>
        <v>0</v>
      </c>
      <c r="BE280" s="25">
        <f>IFERROR(INDEX('2 Staff List'!KU$64:KU$114,$AH280),0)</f>
        <v>0</v>
      </c>
      <c r="BF280" s="25">
        <f>IFERROR(INDEX('2 Staff List'!KV$64:KV$114,$AH280),0)</f>
        <v>0</v>
      </c>
      <c r="BG280" s="25">
        <f>IFERROR(INDEX('2 Staff List'!KW$64:KW$114,$AH280),0)</f>
        <v>0</v>
      </c>
      <c r="BH280" s="25">
        <f>IFERROR(INDEX('2 Staff List'!KX$64:KX$114,$AH280),0)</f>
        <v>0</v>
      </c>
      <c r="BI280" s="25">
        <f>IFERROR(INDEX('2 Staff List'!KY$64:KY$114,$AH280),0)</f>
        <v>0</v>
      </c>
      <c r="BJ280" s="25">
        <f>IFERROR(INDEX('2 Staff List'!KZ$64:KZ$114,$AH280),0)</f>
        <v>0</v>
      </c>
      <c r="BK280" s="25">
        <f>IFERROR(INDEX('2 Staff List'!LA$64:LA$114,$AH280),0)</f>
        <v>0</v>
      </c>
      <c r="BL280" s="25">
        <f>IFERROR(INDEX('2 Staff List'!LB$64:LB$114,$AH280),0)</f>
        <v>0</v>
      </c>
      <c r="BM280" s="25">
        <f>IFERROR(INDEX('2 Staff List'!FT$64:FT$114,$AH280),0)</f>
        <v>0</v>
      </c>
      <c r="BN280" s="25">
        <f>IFERROR(INDEX('2 Staff List'!FU$64:FU$114,$AH280),0)</f>
        <v>0</v>
      </c>
      <c r="BO280" s="25">
        <f>IFERROR(INDEX('2 Staff List'!FV$64:FV$114,$AH280),0)</f>
        <v>0</v>
      </c>
      <c r="BP280" s="25">
        <f>IFERROR(INDEX('2 Staff List'!FW$64:FW$114,$AH280),0)</f>
        <v>0</v>
      </c>
      <c r="BQ280" s="25">
        <f>IFERROR(INDEX('2 Staff List'!FX$64:FX$114,$AH280),0)</f>
        <v>0</v>
      </c>
      <c r="BR280" s="25">
        <f>IFERROR(INDEX('2 Staff List'!FY$64:FY$114,$AH280),0)</f>
        <v>0</v>
      </c>
      <c r="BS280" s="25">
        <f>IFERROR(INDEX('2 Staff List'!FZ$64:FZ$114,$AH280),0)</f>
        <v>0</v>
      </c>
      <c r="BT280" s="25">
        <f>IFERROR(INDEX('2 Staff List'!GA$64:GA$114,$AH280),0)</f>
        <v>0</v>
      </c>
      <c r="BU280" s="25">
        <f>IFERROR(INDEX('2 Staff List'!GB$64:GB$114,$AH280),0)</f>
        <v>0</v>
      </c>
      <c r="BV280" s="25">
        <f>IFERROR(INDEX('2 Staff List'!GC$64:GC$114,$AH280),0)</f>
        <v>0</v>
      </c>
      <c r="BW280" s="25">
        <f t="shared" si="827"/>
        <v>0</v>
      </c>
      <c r="BX280" s="25">
        <f t="shared" si="798"/>
        <v>0</v>
      </c>
      <c r="BY280" s="25">
        <f t="shared" si="799"/>
        <v>0</v>
      </c>
      <c r="BZ280" s="25">
        <f t="shared" si="800"/>
        <v>0</v>
      </c>
      <c r="CA280" s="25">
        <f t="shared" si="801"/>
        <v>0</v>
      </c>
      <c r="CB280" s="25">
        <f t="shared" si="802"/>
        <v>0</v>
      </c>
      <c r="CC280" s="25">
        <f t="shared" si="803"/>
        <v>0</v>
      </c>
      <c r="CD280" s="25">
        <f t="shared" si="804"/>
        <v>0</v>
      </c>
      <c r="CE280" s="25">
        <f t="shared" si="805"/>
        <v>0</v>
      </c>
      <c r="CF280" s="25">
        <f t="shared" si="806"/>
        <v>0</v>
      </c>
      <c r="CG280" s="25">
        <f t="shared" si="807"/>
        <v>0</v>
      </c>
      <c r="CH280" s="25">
        <f>IFERROR(INDEX('2 Staff List'!LO$64:LO$114,$AH280),0)</f>
        <v>0</v>
      </c>
      <c r="CI280" s="25">
        <f>IFERROR(INDEX('2 Staff List'!LP$64:LP$114,$AH280),0)</f>
        <v>0</v>
      </c>
      <c r="CJ280" s="25">
        <f>IFERROR(INDEX('2 Staff List'!LQ$64:LQ$114,$AH280),0)</f>
        <v>0</v>
      </c>
      <c r="CK280" s="25">
        <f>IFERROR(INDEX('2 Staff List'!LR$64:LR$114,$AH280),0)</f>
        <v>0</v>
      </c>
      <c r="CL280" s="25">
        <f>IFERROR(INDEX('2 Staff List'!LS$64:LS$114,$AH280),0)</f>
        <v>0</v>
      </c>
      <c r="CM280" s="25">
        <f>IFERROR(INDEX('2 Staff List'!LT$64:LT$114,$AH280),0)</f>
        <v>0</v>
      </c>
      <c r="CN280" s="25">
        <f>IFERROR(INDEX('2 Staff List'!LU$64:LU$114,$AH280),0)</f>
        <v>0</v>
      </c>
      <c r="CO280" s="25">
        <f>IFERROR(INDEX('2 Staff List'!LV$64:LV$114,$AH280),0)</f>
        <v>0</v>
      </c>
      <c r="CP280" s="25">
        <f>IFERROR(INDEX('2 Staff List'!LW$64:LW$114,$AH280),0)</f>
        <v>0</v>
      </c>
      <c r="CQ280" s="25">
        <f>IFERROR(INDEX('2 Staff List'!LX$64:LX$114,$AH280),0)</f>
        <v>0</v>
      </c>
      <c r="CR280" s="25">
        <f t="shared" si="828"/>
        <v>0</v>
      </c>
      <c r="CS280" s="25">
        <f t="shared" si="774"/>
        <v>1</v>
      </c>
      <c r="CT280" s="25">
        <f t="shared" si="837"/>
        <v>1</v>
      </c>
      <c r="CU280" s="25">
        <f t="shared" si="822"/>
        <v>1</v>
      </c>
      <c r="CV280" s="25">
        <f t="shared" si="808"/>
        <v>1</v>
      </c>
      <c r="CW280" s="25">
        <f t="shared" si="829"/>
        <v>1</v>
      </c>
      <c r="CX280" s="25">
        <f t="shared" si="809"/>
        <v>0</v>
      </c>
      <c r="CY280" s="25">
        <f t="shared" si="779"/>
        <v>0</v>
      </c>
      <c r="CZ280" s="25">
        <f t="shared" si="830"/>
        <v>0</v>
      </c>
      <c r="DA280" s="25">
        <f t="shared" si="810"/>
        <v>1</v>
      </c>
      <c r="DB280" s="25">
        <f t="shared" si="817"/>
        <v>1</v>
      </c>
      <c r="DC280" s="25">
        <f t="shared" si="838"/>
        <v>0</v>
      </c>
      <c r="DD280" s="25">
        <f>IF(OR($AD280&lt;&gt;3,F280="Exclude"),0,IF(ISERROR(MATCH($E280,'4 Sign-off'!$S$123:$X$123,0)),0,1))</f>
        <v>0</v>
      </c>
      <c r="DE280" s="25">
        <f t="shared" si="782"/>
        <v>0</v>
      </c>
      <c r="DF280" s="25">
        <f t="shared" si="831"/>
        <v>0</v>
      </c>
      <c r="DG280" s="25" t="str">
        <f t="shared" si="832"/>
        <v/>
      </c>
      <c r="DH280" s="25">
        <f t="shared" si="780"/>
        <v>0</v>
      </c>
      <c r="DI280" s="25">
        <f t="shared" si="778"/>
        <v>0</v>
      </c>
      <c r="DJ280" s="25">
        <f>IF(ISBLANK(J280),0,ISERROR(MATCH(J280,'5  Control Accounts'!$FA$29:$FA$96,0))*1)</f>
        <v>0</v>
      </c>
      <c r="DK280" s="25">
        <f t="shared" si="811"/>
        <v>0</v>
      </c>
      <c r="DL280" s="25">
        <f t="shared" si="818"/>
        <v>-1</v>
      </c>
      <c r="DM280" s="25" t="e">
        <f t="array" ref="DM280">MATCH(1,($EG280:$JD280&gt;0)*$EG$17:$JD$17,0)</f>
        <v>#N/A</v>
      </c>
      <c r="DN280" s="25" t="e">
        <f t="shared" si="775"/>
        <v>#N/A</v>
      </c>
      <c r="DO280" s="25" t="e">
        <f t="array" ref="DO280">MATCH(2,1/(EG280:JD280&gt;0))</f>
        <v>#N/A</v>
      </c>
      <c r="DP280" s="2993">
        <f t="shared" si="812"/>
        <v>0</v>
      </c>
      <c r="DQ280" s="3037">
        <f t="shared" si="813"/>
        <v>0</v>
      </c>
      <c r="DR280" s="111"/>
      <c r="DS280" s="1268">
        <f t="shared" si="781"/>
        <v>0</v>
      </c>
      <c r="DT280" s="1825"/>
      <c r="DU280" s="1826"/>
      <c r="DV280" s="1827"/>
      <c r="DW280" s="1828"/>
      <c r="DX280" s="659"/>
      <c r="DY280" s="1265"/>
      <c r="DZ280" s="1785">
        <f t="shared" si="833"/>
        <v>0</v>
      </c>
      <c r="EA280" s="1786">
        <f t="shared" si="839"/>
        <v>0</v>
      </c>
      <c r="EB280" s="1781">
        <f t="shared" si="776"/>
        <v>0</v>
      </c>
      <c r="EC280" s="1782">
        <f t="shared" si="777"/>
        <v>0</v>
      </c>
      <c r="ED280" s="1262"/>
      <c r="EE280" s="2280"/>
      <c r="EF280" s="1802"/>
      <c r="EG280" s="167"/>
      <c r="EH280" s="168"/>
      <c r="EI280" s="168"/>
      <c r="EJ280" s="168"/>
      <c r="EK280" s="168"/>
      <c r="EL280" s="168"/>
      <c r="EM280" s="168"/>
      <c r="EN280" s="168"/>
      <c r="EO280" s="168"/>
      <c r="EP280" s="168"/>
      <c r="EQ280" s="168"/>
      <c r="ER280" s="168"/>
      <c r="ES280" s="168"/>
      <c r="ET280" s="168"/>
      <c r="EU280" s="168"/>
      <c r="EV280" s="168"/>
      <c r="EW280" s="168"/>
      <c r="EX280" s="168"/>
      <c r="EY280" s="168"/>
      <c r="EZ280" s="168"/>
      <c r="FA280" s="168"/>
      <c r="FB280" s="168"/>
      <c r="FC280" s="168"/>
      <c r="FD280" s="168"/>
      <c r="FE280" s="168"/>
      <c r="FF280" s="168"/>
      <c r="FG280" s="168"/>
      <c r="FH280" s="168"/>
      <c r="FI280" s="168"/>
      <c r="FJ280" s="168"/>
      <c r="FK280" s="168"/>
      <c r="FL280" s="168"/>
      <c r="FM280" s="168"/>
      <c r="FN280" s="168"/>
      <c r="FO280" s="168"/>
      <c r="FP280" s="168"/>
      <c r="FQ280" s="168"/>
      <c r="FR280" s="168"/>
      <c r="FS280" s="168"/>
      <c r="FT280" s="168"/>
      <c r="FU280" s="168"/>
      <c r="FV280" s="168"/>
      <c r="FW280" s="168"/>
      <c r="FX280" s="168"/>
      <c r="FY280" s="168"/>
      <c r="FZ280" s="168"/>
      <c r="GA280" s="168"/>
      <c r="GB280" s="168"/>
      <c r="GC280" s="168"/>
      <c r="GD280" s="168"/>
      <c r="GE280" s="168"/>
      <c r="GF280" s="168"/>
      <c r="GG280" s="168"/>
      <c r="GH280" s="168"/>
      <c r="GI280" s="168"/>
      <c r="GJ280" s="168"/>
      <c r="GK280" s="168"/>
      <c r="GL280" s="168"/>
      <c r="GM280" s="168"/>
      <c r="GN280" s="168"/>
      <c r="GO280" s="168"/>
      <c r="GP280" s="168"/>
      <c r="GQ280" s="168"/>
      <c r="GR280" s="168"/>
      <c r="GS280" s="168"/>
      <c r="GT280" s="168"/>
      <c r="GU280" s="168"/>
      <c r="GV280" s="168"/>
      <c r="GW280" s="168"/>
      <c r="GX280" s="168"/>
      <c r="GY280" s="168"/>
      <c r="GZ280" s="168"/>
      <c r="HA280" s="168"/>
      <c r="HB280" s="168"/>
      <c r="HC280" s="168"/>
      <c r="HD280" s="168"/>
      <c r="HE280" s="168"/>
      <c r="HF280" s="168"/>
      <c r="HG280" s="168"/>
      <c r="HH280" s="168"/>
      <c r="HI280" s="168"/>
      <c r="HJ280" s="168"/>
      <c r="HK280" s="168"/>
      <c r="HL280" s="168"/>
      <c r="HM280" s="168"/>
      <c r="HN280" s="168"/>
      <c r="HO280" s="168"/>
      <c r="HP280" s="168"/>
      <c r="HQ280" s="168"/>
      <c r="HR280" s="168"/>
      <c r="HS280" s="168"/>
      <c r="HT280" s="168"/>
      <c r="HU280" s="168"/>
      <c r="HV280" s="168"/>
      <c r="HW280" s="168"/>
      <c r="HX280" s="168"/>
      <c r="HY280" s="168"/>
      <c r="HZ280" s="168"/>
      <c r="IA280" s="168"/>
      <c r="IB280" s="168"/>
      <c r="IC280" s="168"/>
      <c r="ID280" s="168"/>
      <c r="IE280" s="168"/>
      <c r="IF280" s="168"/>
      <c r="IG280" s="168"/>
      <c r="IH280" s="168"/>
      <c r="II280" s="168"/>
      <c r="IJ280" s="168"/>
      <c r="IK280" s="168"/>
      <c r="IL280" s="168"/>
      <c r="IM280" s="168"/>
      <c r="IN280" s="168"/>
      <c r="IO280" s="168"/>
      <c r="IP280" s="168"/>
      <c r="IQ280" s="168"/>
      <c r="IR280" s="168"/>
      <c r="IS280" s="168"/>
      <c r="IT280" s="168"/>
      <c r="IU280" s="168"/>
      <c r="IV280" s="168"/>
      <c r="IW280" s="168"/>
      <c r="IX280" s="168"/>
      <c r="IY280" s="168"/>
      <c r="IZ280" s="168"/>
      <c r="JA280" s="168"/>
      <c r="JB280" s="168"/>
      <c r="JC280" s="606"/>
      <c r="JD280" s="609"/>
      <c r="JE280" s="1"/>
      <c r="JF280" s="1"/>
    </row>
    <row r="281" spans="1:266" s="2" customFormat="1" ht="15" customHeight="1" x14ac:dyDescent="0.25">
      <c r="A281" s="283"/>
      <c r="B281" s="303"/>
      <c r="C281" s="301"/>
      <c r="D281" s="638"/>
      <c r="E281" s="2298"/>
      <c r="F281" s="1812"/>
      <c r="G281" s="3342"/>
      <c r="H281" s="66"/>
      <c r="I281" s="1746"/>
      <c r="J281" s="86"/>
      <c r="K281" s="105"/>
      <c r="L281" s="91"/>
      <c r="M281" s="92"/>
      <c r="N281" s="93"/>
      <c r="O281" s="94"/>
      <c r="P281" s="94"/>
      <c r="Q281" s="97"/>
      <c r="R281" s="993">
        <f t="shared" si="823"/>
        <v>0</v>
      </c>
      <c r="S281" s="23">
        <f t="shared" si="783"/>
        <v>0</v>
      </c>
      <c r="T281" s="24">
        <f t="shared" si="834"/>
        <v>0</v>
      </c>
      <c r="U281" s="24">
        <f t="shared" si="835"/>
        <v>0</v>
      </c>
      <c r="V281" s="24">
        <f t="shared" si="785"/>
        <v>0</v>
      </c>
      <c r="W281" s="24">
        <f t="shared" si="819"/>
        <v>0</v>
      </c>
      <c r="X281" s="72">
        <f t="shared" si="786"/>
        <v>0</v>
      </c>
      <c r="Y281" s="72">
        <f t="shared" si="836"/>
        <v>0</v>
      </c>
      <c r="Z281" s="24">
        <f t="shared" si="824"/>
        <v>0</v>
      </c>
      <c r="AA281" s="72">
        <f t="shared" si="787"/>
        <v>0</v>
      </c>
      <c r="AB281" s="24">
        <f t="shared" si="820"/>
        <v>0</v>
      </c>
      <c r="AC281" s="24" t="s">
        <v>5</v>
      </c>
      <c r="AD281" s="25">
        <f t="shared" si="814"/>
        <v>3</v>
      </c>
      <c r="AE281" s="25">
        <f t="shared" si="815"/>
        <v>0</v>
      </c>
      <c r="AF281" s="25">
        <f t="shared" si="816"/>
        <v>0</v>
      </c>
      <c r="AG281" s="25">
        <f t="shared" si="784"/>
        <v>1</v>
      </c>
      <c r="AH281" s="25" t="str">
        <f>IFERROR(MATCH(DY281,'2 Staff List'!$IA$64:$IA$114,0),"x")</f>
        <v>x</v>
      </c>
      <c r="AI281" s="1181">
        <f>IFERROR(INDEX('2 Staff List'!$EX$64:$EX$114,$AH281),0)</f>
        <v>0</v>
      </c>
      <c r="AJ281" s="25">
        <f>IFERROR(INDEX('2 Staff List'!$IW$64:$IW$114,$AH281),0)</f>
        <v>0</v>
      </c>
      <c r="AK281" s="25">
        <f>IFERROR(INDEX('2 Staff List'!$IB$64:$IB$114,$AH281),0)</f>
        <v>0</v>
      </c>
      <c r="AL281" s="25">
        <f>IF(OR(NOT(ISBLANK(DV281)),CX281=1),"&lt;Non-Labor&gt;",IFERROR(IF(AH281=0,0,INDEX('2 Staff List'!$HZ$64:$HZ$114,$AH281)),0))</f>
        <v>0</v>
      </c>
      <c r="AM281" s="25">
        <f>IFERROR(INDEX('2 Staff List'!$HW$64:$HW$114,$AH281),0)</f>
        <v>0</v>
      </c>
      <c r="AN281" s="25">
        <f t="shared" si="825"/>
        <v>1</v>
      </c>
      <c r="AO281" s="25">
        <f>IF($AO$127=0,0,IFERROR(INDEX('2 Staff List'!$JH$64:$JH$114,$AH281),0))</f>
        <v>0</v>
      </c>
      <c r="AP281" s="25">
        <f>IFERROR(INDEX('2 Staff List'!$HU$64:$HU$114,$AH281),0)</f>
        <v>0</v>
      </c>
      <c r="AQ281" s="25">
        <f t="shared" si="821"/>
        <v>0</v>
      </c>
      <c r="AR281" s="25">
        <f t="shared" si="826"/>
        <v>0</v>
      </c>
      <c r="AS281" s="25">
        <f t="shared" si="788"/>
        <v>0</v>
      </c>
      <c r="AT281" s="25">
        <f t="shared" si="789"/>
        <v>0</v>
      </c>
      <c r="AU281" s="25">
        <f t="shared" si="790"/>
        <v>0</v>
      </c>
      <c r="AV281" s="25">
        <f t="shared" si="791"/>
        <v>0</v>
      </c>
      <c r="AW281" s="25">
        <f t="shared" si="792"/>
        <v>0</v>
      </c>
      <c r="AX281" s="25">
        <f t="shared" si="793"/>
        <v>0</v>
      </c>
      <c r="AY281" s="25">
        <f t="shared" si="794"/>
        <v>0</v>
      </c>
      <c r="AZ281" s="25">
        <f t="shared" si="795"/>
        <v>0</v>
      </c>
      <c r="BA281" s="25">
        <f t="shared" si="796"/>
        <v>0</v>
      </c>
      <c r="BB281" s="25">
        <f t="shared" si="797"/>
        <v>0</v>
      </c>
      <c r="BC281" s="25">
        <f>IFERROR(INDEX('2 Staff List'!KS$64:KS$114,$AH281),0)</f>
        <v>0</v>
      </c>
      <c r="BD281" s="25">
        <f>IFERROR(INDEX('2 Staff List'!KT$64:KT$114,$AH281),0)</f>
        <v>0</v>
      </c>
      <c r="BE281" s="25">
        <f>IFERROR(INDEX('2 Staff List'!KU$64:KU$114,$AH281),0)</f>
        <v>0</v>
      </c>
      <c r="BF281" s="25">
        <f>IFERROR(INDEX('2 Staff List'!KV$64:KV$114,$AH281),0)</f>
        <v>0</v>
      </c>
      <c r="BG281" s="25">
        <f>IFERROR(INDEX('2 Staff List'!KW$64:KW$114,$AH281),0)</f>
        <v>0</v>
      </c>
      <c r="BH281" s="25">
        <f>IFERROR(INDEX('2 Staff List'!KX$64:KX$114,$AH281),0)</f>
        <v>0</v>
      </c>
      <c r="BI281" s="25">
        <f>IFERROR(INDEX('2 Staff List'!KY$64:KY$114,$AH281),0)</f>
        <v>0</v>
      </c>
      <c r="BJ281" s="25">
        <f>IFERROR(INDEX('2 Staff List'!KZ$64:KZ$114,$AH281),0)</f>
        <v>0</v>
      </c>
      <c r="BK281" s="25">
        <f>IFERROR(INDEX('2 Staff List'!LA$64:LA$114,$AH281),0)</f>
        <v>0</v>
      </c>
      <c r="BL281" s="25">
        <f>IFERROR(INDEX('2 Staff List'!LB$64:LB$114,$AH281),0)</f>
        <v>0</v>
      </c>
      <c r="BM281" s="25">
        <f>IFERROR(INDEX('2 Staff List'!FT$64:FT$114,$AH281),0)</f>
        <v>0</v>
      </c>
      <c r="BN281" s="25">
        <f>IFERROR(INDEX('2 Staff List'!FU$64:FU$114,$AH281),0)</f>
        <v>0</v>
      </c>
      <c r="BO281" s="25">
        <f>IFERROR(INDEX('2 Staff List'!FV$64:FV$114,$AH281),0)</f>
        <v>0</v>
      </c>
      <c r="BP281" s="25">
        <f>IFERROR(INDEX('2 Staff List'!FW$64:FW$114,$AH281),0)</f>
        <v>0</v>
      </c>
      <c r="BQ281" s="25">
        <f>IFERROR(INDEX('2 Staff List'!FX$64:FX$114,$AH281),0)</f>
        <v>0</v>
      </c>
      <c r="BR281" s="25">
        <f>IFERROR(INDEX('2 Staff List'!FY$64:FY$114,$AH281),0)</f>
        <v>0</v>
      </c>
      <c r="BS281" s="25">
        <f>IFERROR(INDEX('2 Staff List'!FZ$64:FZ$114,$AH281),0)</f>
        <v>0</v>
      </c>
      <c r="BT281" s="25">
        <f>IFERROR(INDEX('2 Staff List'!GA$64:GA$114,$AH281),0)</f>
        <v>0</v>
      </c>
      <c r="BU281" s="25">
        <f>IFERROR(INDEX('2 Staff List'!GB$64:GB$114,$AH281),0)</f>
        <v>0</v>
      </c>
      <c r="BV281" s="25">
        <f>IFERROR(INDEX('2 Staff List'!GC$64:GC$114,$AH281),0)</f>
        <v>0</v>
      </c>
      <c r="BW281" s="25">
        <f t="shared" si="827"/>
        <v>0</v>
      </c>
      <c r="BX281" s="25">
        <f t="shared" si="798"/>
        <v>0</v>
      </c>
      <c r="BY281" s="25">
        <f t="shared" si="799"/>
        <v>0</v>
      </c>
      <c r="BZ281" s="25">
        <f t="shared" si="800"/>
        <v>0</v>
      </c>
      <c r="CA281" s="25">
        <f t="shared" si="801"/>
        <v>0</v>
      </c>
      <c r="CB281" s="25">
        <f t="shared" si="802"/>
        <v>0</v>
      </c>
      <c r="CC281" s="25">
        <f t="shared" si="803"/>
        <v>0</v>
      </c>
      <c r="CD281" s="25">
        <f t="shared" si="804"/>
        <v>0</v>
      </c>
      <c r="CE281" s="25">
        <f t="shared" si="805"/>
        <v>0</v>
      </c>
      <c r="CF281" s="25">
        <f t="shared" si="806"/>
        <v>0</v>
      </c>
      <c r="CG281" s="25">
        <f t="shared" si="807"/>
        <v>0</v>
      </c>
      <c r="CH281" s="25">
        <f>IFERROR(INDEX('2 Staff List'!LO$64:LO$114,$AH281),0)</f>
        <v>0</v>
      </c>
      <c r="CI281" s="25">
        <f>IFERROR(INDEX('2 Staff List'!LP$64:LP$114,$AH281),0)</f>
        <v>0</v>
      </c>
      <c r="CJ281" s="25">
        <f>IFERROR(INDEX('2 Staff List'!LQ$64:LQ$114,$AH281),0)</f>
        <v>0</v>
      </c>
      <c r="CK281" s="25">
        <f>IFERROR(INDEX('2 Staff List'!LR$64:LR$114,$AH281),0)</f>
        <v>0</v>
      </c>
      <c r="CL281" s="25">
        <f>IFERROR(INDEX('2 Staff List'!LS$64:LS$114,$AH281),0)</f>
        <v>0</v>
      </c>
      <c r="CM281" s="25">
        <f>IFERROR(INDEX('2 Staff List'!LT$64:LT$114,$AH281),0)</f>
        <v>0</v>
      </c>
      <c r="CN281" s="25">
        <f>IFERROR(INDEX('2 Staff List'!LU$64:LU$114,$AH281),0)</f>
        <v>0</v>
      </c>
      <c r="CO281" s="25">
        <f>IFERROR(INDEX('2 Staff List'!LV$64:LV$114,$AH281),0)</f>
        <v>0</v>
      </c>
      <c r="CP281" s="25">
        <f>IFERROR(INDEX('2 Staff List'!LW$64:LW$114,$AH281),0)</f>
        <v>0</v>
      </c>
      <c r="CQ281" s="25">
        <f>IFERROR(INDEX('2 Staff List'!LX$64:LX$114,$AH281),0)</f>
        <v>0</v>
      </c>
      <c r="CR281" s="25">
        <f t="shared" si="828"/>
        <v>0</v>
      </c>
      <c r="CS281" s="25">
        <f t="shared" si="774"/>
        <v>1</v>
      </c>
      <c r="CT281" s="25">
        <f t="shared" si="837"/>
        <v>1</v>
      </c>
      <c r="CU281" s="25">
        <f t="shared" si="822"/>
        <v>1</v>
      </c>
      <c r="CV281" s="25">
        <f t="shared" si="808"/>
        <v>1</v>
      </c>
      <c r="CW281" s="25">
        <f t="shared" si="829"/>
        <v>1</v>
      </c>
      <c r="CX281" s="25">
        <f t="shared" si="809"/>
        <v>0</v>
      </c>
      <c r="CY281" s="25">
        <f t="shared" si="779"/>
        <v>0</v>
      </c>
      <c r="CZ281" s="25">
        <f t="shared" si="830"/>
        <v>0</v>
      </c>
      <c r="DA281" s="25">
        <f t="shared" si="810"/>
        <v>1</v>
      </c>
      <c r="DB281" s="25">
        <f t="shared" si="817"/>
        <v>1</v>
      </c>
      <c r="DC281" s="25">
        <f t="shared" si="838"/>
        <v>0</v>
      </c>
      <c r="DD281" s="25">
        <f>IF(OR($AD281&lt;&gt;3,F281="Exclude"),0,IF(ISERROR(MATCH($E281,'4 Sign-off'!$S$123:$X$123,0)),0,1))</f>
        <v>0</v>
      </c>
      <c r="DE281" s="25">
        <f t="shared" si="782"/>
        <v>0</v>
      </c>
      <c r="DF281" s="25">
        <f t="shared" si="831"/>
        <v>0</v>
      </c>
      <c r="DG281" s="25" t="str">
        <f t="shared" si="832"/>
        <v/>
      </c>
      <c r="DH281" s="25">
        <f t="shared" si="780"/>
        <v>0</v>
      </c>
      <c r="DI281" s="25">
        <f t="shared" si="778"/>
        <v>0</v>
      </c>
      <c r="DJ281" s="25">
        <f>IF(ISBLANK(J281),0,ISERROR(MATCH(J281,'5  Control Accounts'!$FA$29:$FA$96,0))*1)</f>
        <v>0</v>
      </c>
      <c r="DK281" s="25">
        <f t="shared" si="811"/>
        <v>0</v>
      </c>
      <c r="DL281" s="25">
        <f t="shared" si="818"/>
        <v>-1</v>
      </c>
      <c r="DM281" s="25" t="e">
        <f t="array" ref="DM281">MATCH(1,($EG281:$JD281&gt;0)*$EG$17:$JD$17,0)</f>
        <v>#N/A</v>
      </c>
      <c r="DN281" s="25" t="e">
        <f t="shared" si="775"/>
        <v>#N/A</v>
      </c>
      <c r="DO281" s="25" t="e">
        <f t="array" ref="DO281">MATCH(2,1/(EG281:JD281&gt;0))</f>
        <v>#N/A</v>
      </c>
      <c r="DP281" s="2993">
        <f t="shared" si="812"/>
        <v>0</v>
      </c>
      <c r="DQ281" s="3037">
        <f t="shared" si="813"/>
        <v>0</v>
      </c>
      <c r="DR281" s="111"/>
      <c r="DS281" s="1268">
        <f t="shared" si="781"/>
        <v>0</v>
      </c>
      <c r="DT281" s="1825"/>
      <c r="DU281" s="1826"/>
      <c r="DV281" s="1827"/>
      <c r="DW281" s="1828"/>
      <c r="DX281" s="659"/>
      <c r="DY281" s="1265"/>
      <c r="DZ281" s="1785">
        <f t="shared" si="833"/>
        <v>0</v>
      </c>
      <c r="EA281" s="1786">
        <f t="shared" si="839"/>
        <v>0</v>
      </c>
      <c r="EB281" s="1781">
        <f t="shared" si="776"/>
        <v>0</v>
      </c>
      <c r="EC281" s="1782">
        <f t="shared" si="777"/>
        <v>0</v>
      </c>
      <c r="ED281" s="1262"/>
      <c r="EE281" s="2280"/>
      <c r="EF281" s="1802"/>
      <c r="EG281" s="167"/>
      <c r="EH281" s="168"/>
      <c r="EI281" s="168"/>
      <c r="EJ281" s="168"/>
      <c r="EK281" s="168"/>
      <c r="EL281" s="168"/>
      <c r="EM281" s="168"/>
      <c r="EN281" s="168"/>
      <c r="EO281" s="168"/>
      <c r="EP281" s="168"/>
      <c r="EQ281" s="168"/>
      <c r="ER281" s="168"/>
      <c r="ES281" s="168"/>
      <c r="ET281" s="168"/>
      <c r="EU281" s="168"/>
      <c r="EV281" s="168"/>
      <c r="EW281" s="168"/>
      <c r="EX281" s="168"/>
      <c r="EY281" s="168"/>
      <c r="EZ281" s="168"/>
      <c r="FA281" s="168"/>
      <c r="FB281" s="168"/>
      <c r="FC281" s="168"/>
      <c r="FD281" s="168"/>
      <c r="FE281" s="168"/>
      <c r="FF281" s="168"/>
      <c r="FG281" s="168"/>
      <c r="FH281" s="168"/>
      <c r="FI281" s="168"/>
      <c r="FJ281" s="168"/>
      <c r="FK281" s="168"/>
      <c r="FL281" s="168"/>
      <c r="FM281" s="168"/>
      <c r="FN281" s="168"/>
      <c r="FO281" s="168"/>
      <c r="FP281" s="168"/>
      <c r="FQ281" s="168"/>
      <c r="FR281" s="168"/>
      <c r="FS281" s="168"/>
      <c r="FT281" s="168"/>
      <c r="FU281" s="168"/>
      <c r="FV281" s="168"/>
      <c r="FW281" s="168"/>
      <c r="FX281" s="168"/>
      <c r="FY281" s="168"/>
      <c r="FZ281" s="168"/>
      <c r="GA281" s="168"/>
      <c r="GB281" s="168"/>
      <c r="GC281" s="168"/>
      <c r="GD281" s="168"/>
      <c r="GE281" s="168"/>
      <c r="GF281" s="168"/>
      <c r="GG281" s="168"/>
      <c r="GH281" s="168"/>
      <c r="GI281" s="168"/>
      <c r="GJ281" s="168"/>
      <c r="GK281" s="168"/>
      <c r="GL281" s="168"/>
      <c r="GM281" s="168"/>
      <c r="GN281" s="168"/>
      <c r="GO281" s="168"/>
      <c r="GP281" s="168"/>
      <c r="GQ281" s="168"/>
      <c r="GR281" s="168"/>
      <c r="GS281" s="168"/>
      <c r="GT281" s="168"/>
      <c r="GU281" s="168"/>
      <c r="GV281" s="168"/>
      <c r="GW281" s="168"/>
      <c r="GX281" s="168"/>
      <c r="GY281" s="168"/>
      <c r="GZ281" s="168"/>
      <c r="HA281" s="168"/>
      <c r="HB281" s="168"/>
      <c r="HC281" s="168"/>
      <c r="HD281" s="168"/>
      <c r="HE281" s="168"/>
      <c r="HF281" s="168"/>
      <c r="HG281" s="168"/>
      <c r="HH281" s="168"/>
      <c r="HI281" s="168"/>
      <c r="HJ281" s="168"/>
      <c r="HK281" s="168"/>
      <c r="HL281" s="168"/>
      <c r="HM281" s="168"/>
      <c r="HN281" s="168"/>
      <c r="HO281" s="168"/>
      <c r="HP281" s="168"/>
      <c r="HQ281" s="168"/>
      <c r="HR281" s="168"/>
      <c r="HS281" s="168"/>
      <c r="HT281" s="168"/>
      <c r="HU281" s="168"/>
      <c r="HV281" s="168"/>
      <c r="HW281" s="168"/>
      <c r="HX281" s="168"/>
      <c r="HY281" s="168"/>
      <c r="HZ281" s="168"/>
      <c r="IA281" s="168"/>
      <c r="IB281" s="168"/>
      <c r="IC281" s="168"/>
      <c r="ID281" s="168"/>
      <c r="IE281" s="168"/>
      <c r="IF281" s="168"/>
      <c r="IG281" s="168"/>
      <c r="IH281" s="168"/>
      <c r="II281" s="168"/>
      <c r="IJ281" s="168"/>
      <c r="IK281" s="168"/>
      <c r="IL281" s="168"/>
      <c r="IM281" s="168"/>
      <c r="IN281" s="168"/>
      <c r="IO281" s="168"/>
      <c r="IP281" s="168"/>
      <c r="IQ281" s="168"/>
      <c r="IR281" s="168"/>
      <c r="IS281" s="168"/>
      <c r="IT281" s="168"/>
      <c r="IU281" s="168"/>
      <c r="IV281" s="168"/>
      <c r="IW281" s="168"/>
      <c r="IX281" s="168"/>
      <c r="IY281" s="168"/>
      <c r="IZ281" s="168"/>
      <c r="JA281" s="168"/>
      <c r="JB281" s="168"/>
      <c r="JC281" s="606"/>
      <c r="JD281" s="609"/>
      <c r="JE281" s="1"/>
      <c r="JF281" s="1"/>
    </row>
    <row r="282" spans="1:266" s="2" customFormat="1" ht="15" customHeight="1" x14ac:dyDescent="0.25">
      <c r="A282" s="283"/>
      <c r="B282" s="303"/>
      <c r="C282" s="301"/>
      <c r="D282" s="638"/>
      <c r="E282" s="2298"/>
      <c r="F282" s="1812"/>
      <c r="G282" s="3342"/>
      <c r="H282" s="66"/>
      <c r="I282" s="1746"/>
      <c r="J282" s="86"/>
      <c r="K282" s="105"/>
      <c r="L282" s="91"/>
      <c r="M282" s="92"/>
      <c r="N282" s="93"/>
      <c r="O282" s="94"/>
      <c r="P282" s="94"/>
      <c r="Q282" s="97"/>
      <c r="R282" s="993">
        <f t="shared" si="823"/>
        <v>0</v>
      </c>
      <c r="S282" s="23">
        <f t="shared" si="783"/>
        <v>0</v>
      </c>
      <c r="T282" s="24">
        <f t="shared" si="834"/>
        <v>0</v>
      </c>
      <c r="U282" s="24">
        <f t="shared" si="835"/>
        <v>0</v>
      </c>
      <c r="V282" s="24">
        <f t="shared" si="785"/>
        <v>0</v>
      </c>
      <c r="W282" s="24">
        <f t="shared" si="819"/>
        <v>0</v>
      </c>
      <c r="X282" s="72">
        <f t="shared" si="786"/>
        <v>0</v>
      </c>
      <c r="Y282" s="72">
        <f t="shared" si="836"/>
        <v>0</v>
      </c>
      <c r="Z282" s="24">
        <f t="shared" si="824"/>
        <v>0</v>
      </c>
      <c r="AA282" s="72">
        <f t="shared" si="787"/>
        <v>0</v>
      </c>
      <c r="AB282" s="24">
        <f t="shared" si="820"/>
        <v>0</v>
      </c>
      <c r="AC282" s="24" t="s">
        <v>5</v>
      </c>
      <c r="AD282" s="25">
        <f t="shared" si="814"/>
        <v>3</v>
      </c>
      <c r="AE282" s="25">
        <f t="shared" si="815"/>
        <v>0</v>
      </c>
      <c r="AF282" s="25">
        <f t="shared" si="816"/>
        <v>0</v>
      </c>
      <c r="AG282" s="25">
        <f t="shared" si="784"/>
        <v>1</v>
      </c>
      <c r="AH282" s="25" t="str">
        <f>IFERROR(MATCH(DY282,'2 Staff List'!$IA$64:$IA$114,0),"x")</f>
        <v>x</v>
      </c>
      <c r="AI282" s="1181">
        <f>IFERROR(INDEX('2 Staff List'!$EX$64:$EX$114,$AH282),0)</f>
        <v>0</v>
      </c>
      <c r="AJ282" s="25">
        <f>IFERROR(INDEX('2 Staff List'!$IW$64:$IW$114,$AH282),0)</f>
        <v>0</v>
      </c>
      <c r="AK282" s="25">
        <f>IFERROR(INDEX('2 Staff List'!$IB$64:$IB$114,$AH282),0)</f>
        <v>0</v>
      </c>
      <c r="AL282" s="25">
        <f>IF(OR(NOT(ISBLANK(DV282)),CX282=1),"&lt;Non-Labor&gt;",IFERROR(IF(AH282=0,0,INDEX('2 Staff List'!$HZ$64:$HZ$114,$AH282)),0))</f>
        <v>0</v>
      </c>
      <c r="AM282" s="25">
        <f>IFERROR(INDEX('2 Staff List'!$HW$64:$HW$114,$AH282),0)</f>
        <v>0</v>
      </c>
      <c r="AN282" s="25">
        <f t="shared" si="825"/>
        <v>1</v>
      </c>
      <c r="AO282" s="25">
        <f>IF($AO$127=0,0,IFERROR(INDEX('2 Staff List'!$JH$64:$JH$114,$AH282),0))</f>
        <v>0</v>
      </c>
      <c r="AP282" s="25">
        <f>IFERROR(INDEX('2 Staff List'!$HU$64:$HU$114,$AH282),0)</f>
        <v>0</v>
      </c>
      <c r="AQ282" s="25">
        <f t="shared" si="821"/>
        <v>0</v>
      </c>
      <c r="AR282" s="25">
        <f t="shared" si="826"/>
        <v>0</v>
      </c>
      <c r="AS282" s="25">
        <f t="shared" si="788"/>
        <v>0</v>
      </c>
      <c r="AT282" s="25">
        <f t="shared" si="789"/>
        <v>0</v>
      </c>
      <c r="AU282" s="25">
        <f t="shared" si="790"/>
        <v>0</v>
      </c>
      <c r="AV282" s="25">
        <f t="shared" si="791"/>
        <v>0</v>
      </c>
      <c r="AW282" s="25">
        <f t="shared" si="792"/>
        <v>0</v>
      </c>
      <c r="AX282" s="25">
        <f t="shared" si="793"/>
        <v>0</v>
      </c>
      <c r="AY282" s="25">
        <f t="shared" si="794"/>
        <v>0</v>
      </c>
      <c r="AZ282" s="25">
        <f t="shared" si="795"/>
        <v>0</v>
      </c>
      <c r="BA282" s="25">
        <f t="shared" si="796"/>
        <v>0</v>
      </c>
      <c r="BB282" s="25">
        <f t="shared" si="797"/>
        <v>0</v>
      </c>
      <c r="BC282" s="25">
        <f>IFERROR(INDEX('2 Staff List'!KS$64:KS$114,$AH282),0)</f>
        <v>0</v>
      </c>
      <c r="BD282" s="25">
        <f>IFERROR(INDEX('2 Staff List'!KT$64:KT$114,$AH282),0)</f>
        <v>0</v>
      </c>
      <c r="BE282" s="25">
        <f>IFERROR(INDEX('2 Staff List'!KU$64:KU$114,$AH282),0)</f>
        <v>0</v>
      </c>
      <c r="BF282" s="25">
        <f>IFERROR(INDEX('2 Staff List'!KV$64:KV$114,$AH282),0)</f>
        <v>0</v>
      </c>
      <c r="BG282" s="25">
        <f>IFERROR(INDEX('2 Staff List'!KW$64:KW$114,$AH282),0)</f>
        <v>0</v>
      </c>
      <c r="BH282" s="25">
        <f>IFERROR(INDEX('2 Staff List'!KX$64:KX$114,$AH282),0)</f>
        <v>0</v>
      </c>
      <c r="BI282" s="25">
        <f>IFERROR(INDEX('2 Staff List'!KY$64:KY$114,$AH282),0)</f>
        <v>0</v>
      </c>
      <c r="BJ282" s="25">
        <f>IFERROR(INDEX('2 Staff List'!KZ$64:KZ$114,$AH282),0)</f>
        <v>0</v>
      </c>
      <c r="BK282" s="25">
        <f>IFERROR(INDEX('2 Staff List'!LA$64:LA$114,$AH282),0)</f>
        <v>0</v>
      </c>
      <c r="BL282" s="25">
        <f>IFERROR(INDEX('2 Staff List'!LB$64:LB$114,$AH282),0)</f>
        <v>0</v>
      </c>
      <c r="BM282" s="25">
        <f>IFERROR(INDEX('2 Staff List'!FT$64:FT$114,$AH282),0)</f>
        <v>0</v>
      </c>
      <c r="BN282" s="25">
        <f>IFERROR(INDEX('2 Staff List'!FU$64:FU$114,$AH282),0)</f>
        <v>0</v>
      </c>
      <c r="BO282" s="25">
        <f>IFERROR(INDEX('2 Staff List'!FV$64:FV$114,$AH282),0)</f>
        <v>0</v>
      </c>
      <c r="BP282" s="25">
        <f>IFERROR(INDEX('2 Staff List'!FW$64:FW$114,$AH282),0)</f>
        <v>0</v>
      </c>
      <c r="BQ282" s="25">
        <f>IFERROR(INDEX('2 Staff List'!FX$64:FX$114,$AH282),0)</f>
        <v>0</v>
      </c>
      <c r="BR282" s="25">
        <f>IFERROR(INDEX('2 Staff List'!FY$64:FY$114,$AH282),0)</f>
        <v>0</v>
      </c>
      <c r="BS282" s="25">
        <f>IFERROR(INDEX('2 Staff List'!FZ$64:FZ$114,$AH282),0)</f>
        <v>0</v>
      </c>
      <c r="BT282" s="25">
        <f>IFERROR(INDEX('2 Staff List'!GA$64:GA$114,$AH282),0)</f>
        <v>0</v>
      </c>
      <c r="BU282" s="25">
        <f>IFERROR(INDEX('2 Staff List'!GB$64:GB$114,$AH282),0)</f>
        <v>0</v>
      </c>
      <c r="BV282" s="25">
        <f>IFERROR(INDEX('2 Staff List'!GC$64:GC$114,$AH282),0)</f>
        <v>0</v>
      </c>
      <c r="BW282" s="25">
        <f t="shared" si="827"/>
        <v>0</v>
      </c>
      <c r="BX282" s="25">
        <f t="shared" si="798"/>
        <v>0</v>
      </c>
      <c r="BY282" s="25">
        <f t="shared" si="799"/>
        <v>0</v>
      </c>
      <c r="BZ282" s="25">
        <f t="shared" si="800"/>
        <v>0</v>
      </c>
      <c r="CA282" s="25">
        <f t="shared" si="801"/>
        <v>0</v>
      </c>
      <c r="CB282" s="25">
        <f t="shared" si="802"/>
        <v>0</v>
      </c>
      <c r="CC282" s="25">
        <f t="shared" si="803"/>
        <v>0</v>
      </c>
      <c r="CD282" s="25">
        <f t="shared" si="804"/>
        <v>0</v>
      </c>
      <c r="CE282" s="25">
        <f t="shared" si="805"/>
        <v>0</v>
      </c>
      <c r="CF282" s="25">
        <f t="shared" si="806"/>
        <v>0</v>
      </c>
      <c r="CG282" s="25">
        <f t="shared" si="807"/>
        <v>0</v>
      </c>
      <c r="CH282" s="25">
        <f>IFERROR(INDEX('2 Staff List'!LO$64:LO$114,$AH282),0)</f>
        <v>0</v>
      </c>
      <c r="CI282" s="25">
        <f>IFERROR(INDEX('2 Staff List'!LP$64:LP$114,$AH282),0)</f>
        <v>0</v>
      </c>
      <c r="CJ282" s="25">
        <f>IFERROR(INDEX('2 Staff List'!LQ$64:LQ$114,$AH282),0)</f>
        <v>0</v>
      </c>
      <c r="CK282" s="25">
        <f>IFERROR(INDEX('2 Staff List'!LR$64:LR$114,$AH282),0)</f>
        <v>0</v>
      </c>
      <c r="CL282" s="25">
        <f>IFERROR(INDEX('2 Staff List'!LS$64:LS$114,$AH282),0)</f>
        <v>0</v>
      </c>
      <c r="CM282" s="25">
        <f>IFERROR(INDEX('2 Staff List'!LT$64:LT$114,$AH282),0)</f>
        <v>0</v>
      </c>
      <c r="CN282" s="25">
        <f>IFERROR(INDEX('2 Staff List'!LU$64:LU$114,$AH282),0)</f>
        <v>0</v>
      </c>
      <c r="CO282" s="25">
        <f>IFERROR(INDEX('2 Staff List'!LV$64:LV$114,$AH282),0)</f>
        <v>0</v>
      </c>
      <c r="CP282" s="25">
        <f>IFERROR(INDEX('2 Staff List'!LW$64:LW$114,$AH282),0)</f>
        <v>0</v>
      </c>
      <c r="CQ282" s="25">
        <f>IFERROR(INDEX('2 Staff List'!LX$64:LX$114,$AH282),0)</f>
        <v>0</v>
      </c>
      <c r="CR282" s="25">
        <f t="shared" si="828"/>
        <v>0</v>
      </c>
      <c r="CS282" s="25">
        <f t="shared" ref="CS282:CS304" si="840">IFERROR(1/CR282,1)</f>
        <v>1</v>
      </c>
      <c r="CT282" s="25">
        <f t="shared" si="837"/>
        <v>1</v>
      </c>
      <c r="CU282" s="25">
        <f t="shared" si="822"/>
        <v>1</v>
      </c>
      <c r="CV282" s="25">
        <f t="shared" si="808"/>
        <v>1</v>
      </c>
      <c r="CW282" s="25">
        <f t="shared" si="829"/>
        <v>1</v>
      </c>
      <c r="CX282" s="25">
        <f t="shared" si="809"/>
        <v>0</v>
      </c>
      <c r="CY282" s="25">
        <f t="shared" si="779"/>
        <v>0</v>
      </c>
      <c r="CZ282" s="25">
        <f t="shared" si="830"/>
        <v>0</v>
      </c>
      <c r="DA282" s="25">
        <f t="shared" si="810"/>
        <v>1</v>
      </c>
      <c r="DB282" s="25">
        <f t="shared" si="817"/>
        <v>1</v>
      </c>
      <c r="DC282" s="25">
        <f t="shared" si="838"/>
        <v>0</v>
      </c>
      <c r="DD282" s="25">
        <f>IF(OR($AD282&lt;&gt;3,F282="Exclude"),0,IF(ISERROR(MATCH($E282,'4 Sign-off'!$S$123:$X$123,0)),0,1))</f>
        <v>0</v>
      </c>
      <c r="DE282" s="25">
        <f t="shared" si="782"/>
        <v>0</v>
      </c>
      <c r="DF282" s="25">
        <f t="shared" si="831"/>
        <v>0</v>
      </c>
      <c r="DG282" s="25" t="str">
        <f t="shared" si="832"/>
        <v/>
      </c>
      <c r="DH282" s="25">
        <f t="shared" si="780"/>
        <v>0</v>
      </c>
      <c r="DI282" s="25">
        <f t="shared" si="778"/>
        <v>0</v>
      </c>
      <c r="DJ282" s="25">
        <f>IF(ISBLANK(J282),0,ISERROR(MATCH(J282,'5  Control Accounts'!$FA$29:$FA$96,0))*1)</f>
        <v>0</v>
      </c>
      <c r="DK282" s="25">
        <f t="shared" si="811"/>
        <v>0</v>
      </c>
      <c r="DL282" s="25">
        <f t="shared" si="818"/>
        <v>-1</v>
      </c>
      <c r="DM282" s="25" t="e">
        <f t="array" ref="DM282">MATCH(1,($EG282:$JD282&gt;0)*$EG$17:$JD$17,0)</f>
        <v>#N/A</v>
      </c>
      <c r="DN282" s="25" t="e">
        <f t="shared" si="775"/>
        <v>#N/A</v>
      </c>
      <c r="DO282" s="25" t="e">
        <f t="array" ref="DO282">MATCH(2,1/(EG282:JD282&gt;0))</f>
        <v>#N/A</v>
      </c>
      <c r="DP282" s="2993">
        <f t="shared" si="812"/>
        <v>0</v>
      </c>
      <c r="DQ282" s="3037">
        <f t="shared" si="813"/>
        <v>0</v>
      </c>
      <c r="DR282" s="111"/>
      <c r="DS282" s="1268">
        <f t="shared" si="781"/>
        <v>0</v>
      </c>
      <c r="DT282" s="1825"/>
      <c r="DU282" s="1826"/>
      <c r="DV282" s="1827"/>
      <c r="DW282" s="1828"/>
      <c r="DX282" s="659"/>
      <c r="DY282" s="1265"/>
      <c r="DZ282" s="1785">
        <f t="shared" si="833"/>
        <v>0</v>
      </c>
      <c r="EA282" s="1786">
        <f t="shared" si="839"/>
        <v>0</v>
      </c>
      <c r="EB282" s="1781">
        <f t="shared" si="776"/>
        <v>0</v>
      </c>
      <c r="EC282" s="1782">
        <f t="shared" si="777"/>
        <v>0</v>
      </c>
      <c r="ED282" s="1262"/>
      <c r="EE282" s="2280"/>
      <c r="EF282" s="1802"/>
      <c r="EG282" s="167"/>
      <c r="EH282" s="168"/>
      <c r="EI282" s="168"/>
      <c r="EJ282" s="168"/>
      <c r="EK282" s="168"/>
      <c r="EL282" s="168"/>
      <c r="EM282" s="168"/>
      <c r="EN282" s="168"/>
      <c r="EO282" s="168"/>
      <c r="EP282" s="168"/>
      <c r="EQ282" s="168"/>
      <c r="ER282" s="168"/>
      <c r="ES282" s="168"/>
      <c r="ET282" s="168"/>
      <c r="EU282" s="168"/>
      <c r="EV282" s="168"/>
      <c r="EW282" s="168"/>
      <c r="EX282" s="168"/>
      <c r="EY282" s="168"/>
      <c r="EZ282" s="168"/>
      <c r="FA282" s="168"/>
      <c r="FB282" s="168"/>
      <c r="FC282" s="168"/>
      <c r="FD282" s="168"/>
      <c r="FE282" s="168"/>
      <c r="FF282" s="168"/>
      <c r="FG282" s="168"/>
      <c r="FH282" s="168"/>
      <c r="FI282" s="168"/>
      <c r="FJ282" s="168"/>
      <c r="FK282" s="168"/>
      <c r="FL282" s="168"/>
      <c r="FM282" s="168"/>
      <c r="FN282" s="168"/>
      <c r="FO282" s="168"/>
      <c r="FP282" s="168"/>
      <c r="FQ282" s="168"/>
      <c r="FR282" s="168"/>
      <c r="FS282" s="168"/>
      <c r="FT282" s="168"/>
      <c r="FU282" s="168"/>
      <c r="FV282" s="168"/>
      <c r="FW282" s="168"/>
      <c r="FX282" s="168"/>
      <c r="FY282" s="168"/>
      <c r="FZ282" s="168"/>
      <c r="GA282" s="168"/>
      <c r="GB282" s="168"/>
      <c r="GC282" s="168"/>
      <c r="GD282" s="168"/>
      <c r="GE282" s="168"/>
      <c r="GF282" s="168"/>
      <c r="GG282" s="168"/>
      <c r="GH282" s="168"/>
      <c r="GI282" s="168"/>
      <c r="GJ282" s="168"/>
      <c r="GK282" s="168"/>
      <c r="GL282" s="168"/>
      <c r="GM282" s="168"/>
      <c r="GN282" s="168"/>
      <c r="GO282" s="168"/>
      <c r="GP282" s="168"/>
      <c r="GQ282" s="168"/>
      <c r="GR282" s="168"/>
      <c r="GS282" s="168"/>
      <c r="GT282" s="168"/>
      <c r="GU282" s="168"/>
      <c r="GV282" s="168"/>
      <c r="GW282" s="168"/>
      <c r="GX282" s="168"/>
      <c r="GY282" s="168"/>
      <c r="GZ282" s="168"/>
      <c r="HA282" s="168"/>
      <c r="HB282" s="168"/>
      <c r="HC282" s="168"/>
      <c r="HD282" s="168"/>
      <c r="HE282" s="168"/>
      <c r="HF282" s="168"/>
      <c r="HG282" s="168"/>
      <c r="HH282" s="168"/>
      <c r="HI282" s="168"/>
      <c r="HJ282" s="168"/>
      <c r="HK282" s="168"/>
      <c r="HL282" s="168"/>
      <c r="HM282" s="168"/>
      <c r="HN282" s="168"/>
      <c r="HO282" s="168"/>
      <c r="HP282" s="168"/>
      <c r="HQ282" s="168"/>
      <c r="HR282" s="168"/>
      <c r="HS282" s="168"/>
      <c r="HT282" s="168"/>
      <c r="HU282" s="168"/>
      <c r="HV282" s="168"/>
      <c r="HW282" s="168"/>
      <c r="HX282" s="168"/>
      <c r="HY282" s="168"/>
      <c r="HZ282" s="168"/>
      <c r="IA282" s="168"/>
      <c r="IB282" s="168"/>
      <c r="IC282" s="168"/>
      <c r="ID282" s="168"/>
      <c r="IE282" s="168"/>
      <c r="IF282" s="168"/>
      <c r="IG282" s="168"/>
      <c r="IH282" s="168"/>
      <c r="II282" s="168"/>
      <c r="IJ282" s="168"/>
      <c r="IK282" s="168"/>
      <c r="IL282" s="168"/>
      <c r="IM282" s="168"/>
      <c r="IN282" s="168"/>
      <c r="IO282" s="168"/>
      <c r="IP282" s="168"/>
      <c r="IQ282" s="168"/>
      <c r="IR282" s="168"/>
      <c r="IS282" s="168"/>
      <c r="IT282" s="168"/>
      <c r="IU282" s="168"/>
      <c r="IV282" s="168"/>
      <c r="IW282" s="168"/>
      <c r="IX282" s="168"/>
      <c r="IY282" s="168"/>
      <c r="IZ282" s="168"/>
      <c r="JA282" s="168"/>
      <c r="JB282" s="168"/>
      <c r="JC282" s="606"/>
      <c r="JD282" s="609"/>
      <c r="JE282" s="1"/>
      <c r="JF282" s="1"/>
    </row>
    <row r="283" spans="1:266" s="2" customFormat="1" ht="15" customHeight="1" x14ac:dyDescent="0.25">
      <c r="A283" s="283"/>
      <c r="B283" s="303"/>
      <c r="C283" s="301"/>
      <c r="D283" s="638"/>
      <c r="E283" s="2298"/>
      <c r="F283" s="1812"/>
      <c r="G283" s="3342"/>
      <c r="H283" s="66"/>
      <c r="I283" s="1746"/>
      <c r="J283" s="86"/>
      <c r="K283" s="105"/>
      <c r="L283" s="91"/>
      <c r="M283" s="92"/>
      <c r="N283" s="93"/>
      <c r="O283" s="94"/>
      <c r="P283" s="94"/>
      <c r="Q283" s="97"/>
      <c r="R283" s="993">
        <f t="shared" si="823"/>
        <v>0</v>
      </c>
      <c r="S283" s="23">
        <f t="shared" si="783"/>
        <v>0</v>
      </c>
      <c r="T283" s="24">
        <f t="shared" si="834"/>
        <v>0</v>
      </c>
      <c r="U283" s="24">
        <f t="shared" si="835"/>
        <v>0</v>
      </c>
      <c r="V283" s="24">
        <f t="shared" si="785"/>
        <v>0</v>
      </c>
      <c r="W283" s="24">
        <f t="shared" si="819"/>
        <v>0</v>
      </c>
      <c r="X283" s="72">
        <f t="shared" si="786"/>
        <v>0</v>
      </c>
      <c r="Y283" s="72">
        <f t="shared" si="836"/>
        <v>0</v>
      </c>
      <c r="Z283" s="24">
        <f t="shared" si="824"/>
        <v>0</v>
      </c>
      <c r="AA283" s="72">
        <f t="shared" si="787"/>
        <v>0</v>
      </c>
      <c r="AB283" s="24">
        <f t="shared" si="820"/>
        <v>0</v>
      </c>
      <c r="AC283" s="24" t="s">
        <v>5</v>
      </c>
      <c r="AD283" s="25">
        <f t="shared" si="814"/>
        <v>3</v>
      </c>
      <c r="AE283" s="25">
        <f t="shared" si="815"/>
        <v>0</v>
      </c>
      <c r="AF283" s="25">
        <f t="shared" si="816"/>
        <v>0</v>
      </c>
      <c r="AG283" s="25">
        <f t="shared" si="784"/>
        <v>1</v>
      </c>
      <c r="AH283" s="25" t="str">
        <f>IFERROR(MATCH(DY283,'2 Staff List'!$IA$64:$IA$114,0),"x")</f>
        <v>x</v>
      </c>
      <c r="AI283" s="1181">
        <f>IFERROR(INDEX('2 Staff List'!$EX$64:$EX$114,$AH283),0)</f>
        <v>0</v>
      </c>
      <c r="AJ283" s="25">
        <f>IFERROR(INDEX('2 Staff List'!$IW$64:$IW$114,$AH283),0)</f>
        <v>0</v>
      </c>
      <c r="AK283" s="25">
        <f>IFERROR(INDEX('2 Staff List'!$IB$64:$IB$114,$AH283),0)</f>
        <v>0</v>
      </c>
      <c r="AL283" s="25">
        <f>IF(OR(NOT(ISBLANK(DV283)),CX283=1),"&lt;Non-Labor&gt;",IFERROR(IF(AH283=0,0,INDEX('2 Staff List'!$HZ$64:$HZ$114,$AH283)),0))</f>
        <v>0</v>
      </c>
      <c r="AM283" s="25">
        <f>IFERROR(INDEX('2 Staff List'!$HW$64:$HW$114,$AH283),0)</f>
        <v>0</v>
      </c>
      <c r="AN283" s="25">
        <f t="shared" si="825"/>
        <v>1</v>
      </c>
      <c r="AO283" s="25">
        <f>IF($AO$127=0,0,IFERROR(INDEX('2 Staff List'!$JH$64:$JH$114,$AH283),0))</f>
        <v>0</v>
      </c>
      <c r="AP283" s="25">
        <f>IFERROR(INDEX('2 Staff List'!$HU$64:$HU$114,$AH283),0)</f>
        <v>0</v>
      </c>
      <c r="AQ283" s="25">
        <f t="shared" si="821"/>
        <v>0</v>
      </c>
      <c r="AR283" s="25">
        <f t="shared" si="826"/>
        <v>0</v>
      </c>
      <c r="AS283" s="25">
        <f t="shared" si="788"/>
        <v>0</v>
      </c>
      <c r="AT283" s="25">
        <f t="shared" si="789"/>
        <v>0</v>
      </c>
      <c r="AU283" s="25">
        <f t="shared" si="790"/>
        <v>0</v>
      </c>
      <c r="AV283" s="25">
        <f t="shared" si="791"/>
        <v>0</v>
      </c>
      <c r="AW283" s="25">
        <f t="shared" si="792"/>
        <v>0</v>
      </c>
      <c r="AX283" s="25">
        <f t="shared" si="793"/>
        <v>0</v>
      </c>
      <c r="AY283" s="25">
        <f t="shared" si="794"/>
        <v>0</v>
      </c>
      <c r="AZ283" s="25">
        <f t="shared" si="795"/>
        <v>0</v>
      </c>
      <c r="BA283" s="25">
        <f t="shared" si="796"/>
        <v>0</v>
      </c>
      <c r="BB283" s="25">
        <f t="shared" si="797"/>
        <v>0</v>
      </c>
      <c r="BC283" s="25">
        <f>IFERROR(INDEX('2 Staff List'!KS$64:KS$114,$AH283),0)</f>
        <v>0</v>
      </c>
      <c r="BD283" s="25">
        <f>IFERROR(INDEX('2 Staff List'!KT$64:KT$114,$AH283),0)</f>
        <v>0</v>
      </c>
      <c r="BE283" s="25">
        <f>IFERROR(INDEX('2 Staff List'!KU$64:KU$114,$AH283),0)</f>
        <v>0</v>
      </c>
      <c r="BF283" s="25">
        <f>IFERROR(INDEX('2 Staff List'!KV$64:KV$114,$AH283),0)</f>
        <v>0</v>
      </c>
      <c r="BG283" s="25">
        <f>IFERROR(INDEX('2 Staff List'!KW$64:KW$114,$AH283),0)</f>
        <v>0</v>
      </c>
      <c r="BH283" s="25">
        <f>IFERROR(INDEX('2 Staff List'!KX$64:KX$114,$AH283),0)</f>
        <v>0</v>
      </c>
      <c r="BI283" s="25">
        <f>IFERROR(INDEX('2 Staff List'!KY$64:KY$114,$AH283),0)</f>
        <v>0</v>
      </c>
      <c r="BJ283" s="25">
        <f>IFERROR(INDEX('2 Staff List'!KZ$64:KZ$114,$AH283),0)</f>
        <v>0</v>
      </c>
      <c r="BK283" s="25">
        <f>IFERROR(INDEX('2 Staff List'!LA$64:LA$114,$AH283),0)</f>
        <v>0</v>
      </c>
      <c r="BL283" s="25">
        <f>IFERROR(INDEX('2 Staff List'!LB$64:LB$114,$AH283),0)</f>
        <v>0</v>
      </c>
      <c r="BM283" s="25">
        <f>IFERROR(INDEX('2 Staff List'!FT$64:FT$114,$AH283),0)</f>
        <v>0</v>
      </c>
      <c r="BN283" s="25">
        <f>IFERROR(INDEX('2 Staff List'!FU$64:FU$114,$AH283),0)</f>
        <v>0</v>
      </c>
      <c r="BO283" s="25">
        <f>IFERROR(INDEX('2 Staff List'!FV$64:FV$114,$AH283),0)</f>
        <v>0</v>
      </c>
      <c r="BP283" s="25">
        <f>IFERROR(INDEX('2 Staff List'!FW$64:FW$114,$AH283),0)</f>
        <v>0</v>
      </c>
      <c r="BQ283" s="25">
        <f>IFERROR(INDEX('2 Staff List'!FX$64:FX$114,$AH283),0)</f>
        <v>0</v>
      </c>
      <c r="BR283" s="25">
        <f>IFERROR(INDEX('2 Staff List'!FY$64:FY$114,$AH283),0)</f>
        <v>0</v>
      </c>
      <c r="BS283" s="25">
        <f>IFERROR(INDEX('2 Staff List'!FZ$64:FZ$114,$AH283),0)</f>
        <v>0</v>
      </c>
      <c r="BT283" s="25">
        <f>IFERROR(INDEX('2 Staff List'!GA$64:GA$114,$AH283),0)</f>
        <v>0</v>
      </c>
      <c r="BU283" s="25">
        <f>IFERROR(INDEX('2 Staff List'!GB$64:GB$114,$AH283),0)</f>
        <v>0</v>
      </c>
      <c r="BV283" s="25">
        <f>IFERROR(INDEX('2 Staff List'!GC$64:GC$114,$AH283),0)</f>
        <v>0</v>
      </c>
      <c r="BW283" s="25">
        <f t="shared" si="827"/>
        <v>0</v>
      </c>
      <c r="BX283" s="25">
        <f t="shared" si="798"/>
        <v>0</v>
      </c>
      <c r="BY283" s="25">
        <f t="shared" si="799"/>
        <v>0</v>
      </c>
      <c r="BZ283" s="25">
        <f t="shared" si="800"/>
        <v>0</v>
      </c>
      <c r="CA283" s="25">
        <f t="shared" si="801"/>
        <v>0</v>
      </c>
      <c r="CB283" s="25">
        <f t="shared" si="802"/>
        <v>0</v>
      </c>
      <c r="CC283" s="25">
        <f t="shared" si="803"/>
        <v>0</v>
      </c>
      <c r="CD283" s="25">
        <f t="shared" si="804"/>
        <v>0</v>
      </c>
      <c r="CE283" s="25">
        <f t="shared" si="805"/>
        <v>0</v>
      </c>
      <c r="CF283" s="25">
        <f t="shared" si="806"/>
        <v>0</v>
      </c>
      <c r="CG283" s="25">
        <f t="shared" si="807"/>
        <v>0</v>
      </c>
      <c r="CH283" s="25">
        <f>IFERROR(INDEX('2 Staff List'!LO$64:LO$114,$AH283),0)</f>
        <v>0</v>
      </c>
      <c r="CI283" s="25">
        <f>IFERROR(INDEX('2 Staff List'!LP$64:LP$114,$AH283),0)</f>
        <v>0</v>
      </c>
      <c r="CJ283" s="25">
        <f>IFERROR(INDEX('2 Staff List'!LQ$64:LQ$114,$AH283),0)</f>
        <v>0</v>
      </c>
      <c r="CK283" s="25">
        <f>IFERROR(INDEX('2 Staff List'!LR$64:LR$114,$AH283),0)</f>
        <v>0</v>
      </c>
      <c r="CL283" s="25">
        <f>IFERROR(INDEX('2 Staff List'!LS$64:LS$114,$AH283),0)</f>
        <v>0</v>
      </c>
      <c r="CM283" s="25">
        <f>IFERROR(INDEX('2 Staff List'!LT$64:LT$114,$AH283),0)</f>
        <v>0</v>
      </c>
      <c r="CN283" s="25">
        <f>IFERROR(INDEX('2 Staff List'!LU$64:LU$114,$AH283),0)</f>
        <v>0</v>
      </c>
      <c r="CO283" s="25">
        <f>IFERROR(INDEX('2 Staff List'!LV$64:LV$114,$AH283),0)</f>
        <v>0</v>
      </c>
      <c r="CP283" s="25">
        <f>IFERROR(INDEX('2 Staff List'!LW$64:LW$114,$AH283),0)</f>
        <v>0</v>
      </c>
      <c r="CQ283" s="25">
        <f>IFERROR(INDEX('2 Staff List'!LX$64:LX$114,$AH283),0)</f>
        <v>0</v>
      </c>
      <c r="CR283" s="25">
        <f t="shared" si="828"/>
        <v>0</v>
      </c>
      <c r="CS283" s="25">
        <f t="shared" si="840"/>
        <v>1</v>
      </c>
      <c r="CT283" s="25">
        <f t="shared" si="837"/>
        <v>1</v>
      </c>
      <c r="CU283" s="25">
        <f t="shared" si="822"/>
        <v>1</v>
      </c>
      <c r="CV283" s="25">
        <f t="shared" si="808"/>
        <v>1</v>
      </c>
      <c r="CW283" s="25">
        <f t="shared" si="829"/>
        <v>1</v>
      </c>
      <c r="CX283" s="25">
        <f t="shared" si="809"/>
        <v>0</v>
      </c>
      <c r="CY283" s="25">
        <f t="shared" si="779"/>
        <v>0</v>
      </c>
      <c r="CZ283" s="25">
        <f t="shared" si="830"/>
        <v>0</v>
      </c>
      <c r="DA283" s="25">
        <f t="shared" si="810"/>
        <v>1</v>
      </c>
      <c r="DB283" s="25">
        <f t="shared" si="817"/>
        <v>1</v>
      </c>
      <c r="DC283" s="25">
        <f t="shared" si="838"/>
        <v>0</v>
      </c>
      <c r="DD283" s="25">
        <f>IF(OR($AD283&lt;&gt;3,F283="Exclude"),0,IF(ISERROR(MATCH($E283,'4 Sign-off'!$S$123:$X$123,0)),0,1))</f>
        <v>0</v>
      </c>
      <c r="DE283" s="25">
        <f t="shared" si="782"/>
        <v>0</v>
      </c>
      <c r="DF283" s="25">
        <f t="shared" si="831"/>
        <v>0</v>
      </c>
      <c r="DG283" s="25" t="str">
        <f t="shared" si="832"/>
        <v/>
      </c>
      <c r="DH283" s="25">
        <f t="shared" si="780"/>
        <v>0</v>
      </c>
      <c r="DI283" s="25">
        <f t="shared" si="778"/>
        <v>0</v>
      </c>
      <c r="DJ283" s="25">
        <f>IF(ISBLANK(J283),0,ISERROR(MATCH(J283,'5  Control Accounts'!$FA$29:$FA$96,0))*1)</f>
        <v>0</v>
      </c>
      <c r="DK283" s="25">
        <f t="shared" si="811"/>
        <v>0</v>
      </c>
      <c r="DL283" s="25">
        <f t="shared" si="818"/>
        <v>-1</v>
      </c>
      <c r="DM283" s="25" t="e">
        <f t="array" ref="DM283">MATCH(1,($EG283:$JD283&gt;0)*$EG$17:$JD$17,0)</f>
        <v>#N/A</v>
      </c>
      <c r="DN283" s="25" t="e">
        <f t="shared" si="775"/>
        <v>#N/A</v>
      </c>
      <c r="DO283" s="25" t="e">
        <f t="array" ref="DO283">MATCH(2,1/(EG283:JD283&gt;0))</f>
        <v>#N/A</v>
      </c>
      <c r="DP283" s="2993">
        <f t="shared" si="812"/>
        <v>0</v>
      </c>
      <c r="DQ283" s="3037">
        <f t="shared" si="813"/>
        <v>0</v>
      </c>
      <c r="DR283" s="111"/>
      <c r="DS283" s="1268">
        <f t="shared" si="781"/>
        <v>0</v>
      </c>
      <c r="DT283" s="1825"/>
      <c r="DU283" s="1826"/>
      <c r="DV283" s="1827"/>
      <c r="DW283" s="1828"/>
      <c r="DX283" s="659"/>
      <c r="DY283" s="1265"/>
      <c r="DZ283" s="1785">
        <f t="shared" si="833"/>
        <v>0</v>
      </c>
      <c r="EA283" s="1786">
        <f t="shared" si="839"/>
        <v>0</v>
      </c>
      <c r="EB283" s="1781">
        <f t="shared" si="776"/>
        <v>0</v>
      </c>
      <c r="EC283" s="1782">
        <f t="shared" si="777"/>
        <v>0</v>
      </c>
      <c r="ED283" s="1262"/>
      <c r="EE283" s="2280"/>
      <c r="EF283" s="1802"/>
      <c r="EG283" s="167"/>
      <c r="EH283" s="168"/>
      <c r="EI283" s="168"/>
      <c r="EJ283" s="168"/>
      <c r="EK283" s="168"/>
      <c r="EL283" s="168"/>
      <c r="EM283" s="168"/>
      <c r="EN283" s="168"/>
      <c r="EO283" s="168"/>
      <c r="EP283" s="168"/>
      <c r="EQ283" s="168"/>
      <c r="ER283" s="168"/>
      <c r="ES283" s="168"/>
      <c r="ET283" s="168"/>
      <c r="EU283" s="168"/>
      <c r="EV283" s="168"/>
      <c r="EW283" s="168"/>
      <c r="EX283" s="168"/>
      <c r="EY283" s="168"/>
      <c r="EZ283" s="168"/>
      <c r="FA283" s="168"/>
      <c r="FB283" s="168"/>
      <c r="FC283" s="168"/>
      <c r="FD283" s="168"/>
      <c r="FE283" s="168"/>
      <c r="FF283" s="168"/>
      <c r="FG283" s="168"/>
      <c r="FH283" s="168"/>
      <c r="FI283" s="168"/>
      <c r="FJ283" s="168"/>
      <c r="FK283" s="168"/>
      <c r="FL283" s="168"/>
      <c r="FM283" s="168"/>
      <c r="FN283" s="168"/>
      <c r="FO283" s="168"/>
      <c r="FP283" s="168"/>
      <c r="FQ283" s="168"/>
      <c r="FR283" s="168"/>
      <c r="FS283" s="168"/>
      <c r="FT283" s="168"/>
      <c r="FU283" s="168"/>
      <c r="FV283" s="168"/>
      <c r="FW283" s="168"/>
      <c r="FX283" s="168"/>
      <c r="FY283" s="168"/>
      <c r="FZ283" s="168"/>
      <c r="GA283" s="168"/>
      <c r="GB283" s="168"/>
      <c r="GC283" s="168"/>
      <c r="GD283" s="168"/>
      <c r="GE283" s="168"/>
      <c r="GF283" s="168"/>
      <c r="GG283" s="168"/>
      <c r="GH283" s="168"/>
      <c r="GI283" s="168"/>
      <c r="GJ283" s="168"/>
      <c r="GK283" s="168"/>
      <c r="GL283" s="168"/>
      <c r="GM283" s="168"/>
      <c r="GN283" s="168"/>
      <c r="GO283" s="168"/>
      <c r="GP283" s="168"/>
      <c r="GQ283" s="168"/>
      <c r="GR283" s="168"/>
      <c r="GS283" s="168"/>
      <c r="GT283" s="168"/>
      <c r="GU283" s="168"/>
      <c r="GV283" s="168"/>
      <c r="GW283" s="168"/>
      <c r="GX283" s="168"/>
      <c r="GY283" s="168"/>
      <c r="GZ283" s="168"/>
      <c r="HA283" s="168"/>
      <c r="HB283" s="168"/>
      <c r="HC283" s="168"/>
      <c r="HD283" s="168"/>
      <c r="HE283" s="168"/>
      <c r="HF283" s="168"/>
      <c r="HG283" s="168"/>
      <c r="HH283" s="168"/>
      <c r="HI283" s="168"/>
      <c r="HJ283" s="168"/>
      <c r="HK283" s="168"/>
      <c r="HL283" s="168"/>
      <c r="HM283" s="168"/>
      <c r="HN283" s="168"/>
      <c r="HO283" s="168"/>
      <c r="HP283" s="168"/>
      <c r="HQ283" s="168"/>
      <c r="HR283" s="168"/>
      <c r="HS283" s="168"/>
      <c r="HT283" s="168"/>
      <c r="HU283" s="168"/>
      <c r="HV283" s="168"/>
      <c r="HW283" s="168"/>
      <c r="HX283" s="168"/>
      <c r="HY283" s="168"/>
      <c r="HZ283" s="168"/>
      <c r="IA283" s="168"/>
      <c r="IB283" s="168"/>
      <c r="IC283" s="168"/>
      <c r="ID283" s="168"/>
      <c r="IE283" s="168"/>
      <c r="IF283" s="168"/>
      <c r="IG283" s="168"/>
      <c r="IH283" s="168"/>
      <c r="II283" s="168"/>
      <c r="IJ283" s="168"/>
      <c r="IK283" s="168"/>
      <c r="IL283" s="168"/>
      <c r="IM283" s="168"/>
      <c r="IN283" s="168"/>
      <c r="IO283" s="168"/>
      <c r="IP283" s="168"/>
      <c r="IQ283" s="168"/>
      <c r="IR283" s="168"/>
      <c r="IS283" s="168"/>
      <c r="IT283" s="168"/>
      <c r="IU283" s="168"/>
      <c r="IV283" s="168"/>
      <c r="IW283" s="168"/>
      <c r="IX283" s="168"/>
      <c r="IY283" s="168"/>
      <c r="IZ283" s="168"/>
      <c r="JA283" s="168"/>
      <c r="JB283" s="168"/>
      <c r="JC283" s="606"/>
      <c r="JD283" s="609"/>
      <c r="JE283" s="1"/>
      <c r="JF283" s="1"/>
    </row>
    <row r="284" spans="1:266" s="2" customFormat="1" ht="15" customHeight="1" x14ac:dyDescent="0.25">
      <c r="A284" s="283"/>
      <c r="B284" s="303"/>
      <c r="C284" s="301"/>
      <c r="D284" s="638"/>
      <c r="E284" s="2298"/>
      <c r="F284" s="1812"/>
      <c r="G284" s="3342"/>
      <c r="H284" s="66"/>
      <c r="I284" s="1746"/>
      <c r="J284" s="86"/>
      <c r="K284" s="105"/>
      <c r="L284" s="91"/>
      <c r="M284" s="92"/>
      <c r="N284" s="93"/>
      <c r="O284" s="94"/>
      <c r="P284" s="94"/>
      <c r="Q284" s="97"/>
      <c r="R284" s="993">
        <f t="shared" si="823"/>
        <v>0</v>
      </c>
      <c r="S284" s="23">
        <f t="shared" si="783"/>
        <v>0</v>
      </c>
      <c r="T284" s="24">
        <f t="shared" si="834"/>
        <v>0</v>
      </c>
      <c r="U284" s="24">
        <f t="shared" si="835"/>
        <v>0</v>
      </c>
      <c r="V284" s="24">
        <f t="shared" si="785"/>
        <v>0</v>
      </c>
      <c r="W284" s="24">
        <f t="shared" si="819"/>
        <v>0</v>
      </c>
      <c r="X284" s="72">
        <f t="shared" si="786"/>
        <v>0</v>
      </c>
      <c r="Y284" s="72">
        <f t="shared" si="836"/>
        <v>0</v>
      </c>
      <c r="Z284" s="24">
        <f t="shared" si="824"/>
        <v>0</v>
      </c>
      <c r="AA284" s="72">
        <f t="shared" si="787"/>
        <v>0</v>
      </c>
      <c r="AB284" s="24">
        <f t="shared" si="820"/>
        <v>0</v>
      </c>
      <c r="AC284" s="24" t="s">
        <v>5</v>
      </c>
      <c r="AD284" s="25">
        <f t="shared" si="814"/>
        <v>3</v>
      </c>
      <c r="AE284" s="25">
        <f t="shared" si="815"/>
        <v>0</v>
      </c>
      <c r="AF284" s="25">
        <f t="shared" si="816"/>
        <v>0</v>
      </c>
      <c r="AG284" s="25">
        <f t="shared" si="784"/>
        <v>1</v>
      </c>
      <c r="AH284" s="25" t="str">
        <f>IFERROR(MATCH(DY284,'2 Staff List'!$IA$64:$IA$114,0),"x")</f>
        <v>x</v>
      </c>
      <c r="AI284" s="1181">
        <f>IFERROR(INDEX('2 Staff List'!$EX$64:$EX$114,$AH284),0)</f>
        <v>0</v>
      </c>
      <c r="AJ284" s="25">
        <f>IFERROR(INDEX('2 Staff List'!$IW$64:$IW$114,$AH284),0)</f>
        <v>0</v>
      </c>
      <c r="AK284" s="25">
        <f>IFERROR(INDEX('2 Staff List'!$IB$64:$IB$114,$AH284),0)</f>
        <v>0</v>
      </c>
      <c r="AL284" s="25">
        <f>IF(OR(NOT(ISBLANK(DV284)),CX284=1),"&lt;Non-Labor&gt;",IFERROR(IF(AH284=0,0,INDEX('2 Staff List'!$HZ$64:$HZ$114,$AH284)),0))</f>
        <v>0</v>
      </c>
      <c r="AM284" s="25">
        <f>IFERROR(INDEX('2 Staff List'!$HW$64:$HW$114,$AH284),0)</f>
        <v>0</v>
      </c>
      <c r="AN284" s="25">
        <f t="shared" si="825"/>
        <v>1</v>
      </c>
      <c r="AO284" s="25">
        <f>IF($AO$127=0,0,IFERROR(INDEX('2 Staff List'!$JH$64:$JH$114,$AH284),0))</f>
        <v>0</v>
      </c>
      <c r="AP284" s="25">
        <f>IFERROR(INDEX('2 Staff List'!$HU$64:$HU$114,$AH284),0)</f>
        <v>0</v>
      </c>
      <c r="AQ284" s="25">
        <f t="shared" si="821"/>
        <v>0</v>
      </c>
      <c r="AR284" s="25">
        <f t="shared" si="826"/>
        <v>0</v>
      </c>
      <c r="AS284" s="25">
        <f t="shared" si="788"/>
        <v>0</v>
      </c>
      <c r="AT284" s="25">
        <f t="shared" si="789"/>
        <v>0</v>
      </c>
      <c r="AU284" s="25">
        <f t="shared" si="790"/>
        <v>0</v>
      </c>
      <c r="AV284" s="25">
        <f t="shared" si="791"/>
        <v>0</v>
      </c>
      <c r="AW284" s="25">
        <f t="shared" si="792"/>
        <v>0</v>
      </c>
      <c r="AX284" s="25">
        <f t="shared" si="793"/>
        <v>0</v>
      </c>
      <c r="AY284" s="25">
        <f t="shared" si="794"/>
        <v>0</v>
      </c>
      <c r="AZ284" s="25">
        <f t="shared" si="795"/>
        <v>0</v>
      </c>
      <c r="BA284" s="25">
        <f t="shared" si="796"/>
        <v>0</v>
      </c>
      <c r="BB284" s="25">
        <f t="shared" si="797"/>
        <v>0</v>
      </c>
      <c r="BC284" s="25">
        <f>IFERROR(INDEX('2 Staff List'!KS$64:KS$114,$AH284),0)</f>
        <v>0</v>
      </c>
      <c r="BD284" s="25">
        <f>IFERROR(INDEX('2 Staff List'!KT$64:KT$114,$AH284),0)</f>
        <v>0</v>
      </c>
      <c r="BE284" s="25">
        <f>IFERROR(INDEX('2 Staff List'!KU$64:KU$114,$AH284),0)</f>
        <v>0</v>
      </c>
      <c r="BF284" s="25">
        <f>IFERROR(INDEX('2 Staff List'!KV$64:KV$114,$AH284),0)</f>
        <v>0</v>
      </c>
      <c r="BG284" s="25">
        <f>IFERROR(INDEX('2 Staff List'!KW$64:KW$114,$AH284),0)</f>
        <v>0</v>
      </c>
      <c r="BH284" s="25">
        <f>IFERROR(INDEX('2 Staff List'!KX$64:KX$114,$AH284),0)</f>
        <v>0</v>
      </c>
      <c r="BI284" s="25">
        <f>IFERROR(INDEX('2 Staff List'!KY$64:KY$114,$AH284),0)</f>
        <v>0</v>
      </c>
      <c r="BJ284" s="25">
        <f>IFERROR(INDEX('2 Staff List'!KZ$64:KZ$114,$AH284),0)</f>
        <v>0</v>
      </c>
      <c r="BK284" s="25">
        <f>IFERROR(INDEX('2 Staff List'!LA$64:LA$114,$AH284),0)</f>
        <v>0</v>
      </c>
      <c r="BL284" s="25">
        <f>IFERROR(INDEX('2 Staff List'!LB$64:LB$114,$AH284),0)</f>
        <v>0</v>
      </c>
      <c r="BM284" s="25">
        <f>IFERROR(INDEX('2 Staff List'!FT$64:FT$114,$AH284),0)</f>
        <v>0</v>
      </c>
      <c r="BN284" s="25">
        <f>IFERROR(INDEX('2 Staff List'!FU$64:FU$114,$AH284),0)</f>
        <v>0</v>
      </c>
      <c r="BO284" s="25">
        <f>IFERROR(INDEX('2 Staff List'!FV$64:FV$114,$AH284),0)</f>
        <v>0</v>
      </c>
      <c r="BP284" s="25">
        <f>IFERROR(INDEX('2 Staff List'!FW$64:FW$114,$AH284),0)</f>
        <v>0</v>
      </c>
      <c r="BQ284" s="25">
        <f>IFERROR(INDEX('2 Staff List'!FX$64:FX$114,$AH284),0)</f>
        <v>0</v>
      </c>
      <c r="BR284" s="25">
        <f>IFERROR(INDEX('2 Staff List'!FY$64:FY$114,$AH284),0)</f>
        <v>0</v>
      </c>
      <c r="BS284" s="25">
        <f>IFERROR(INDEX('2 Staff List'!FZ$64:FZ$114,$AH284),0)</f>
        <v>0</v>
      </c>
      <c r="BT284" s="25">
        <f>IFERROR(INDEX('2 Staff List'!GA$64:GA$114,$AH284),0)</f>
        <v>0</v>
      </c>
      <c r="BU284" s="25">
        <f>IFERROR(INDEX('2 Staff List'!GB$64:GB$114,$AH284),0)</f>
        <v>0</v>
      </c>
      <c r="BV284" s="25">
        <f>IFERROR(INDEX('2 Staff List'!GC$64:GC$114,$AH284),0)</f>
        <v>0</v>
      </c>
      <c r="BW284" s="25">
        <f t="shared" si="827"/>
        <v>0</v>
      </c>
      <c r="BX284" s="25">
        <f t="shared" si="798"/>
        <v>0</v>
      </c>
      <c r="BY284" s="25">
        <f t="shared" si="799"/>
        <v>0</v>
      </c>
      <c r="BZ284" s="25">
        <f t="shared" si="800"/>
        <v>0</v>
      </c>
      <c r="CA284" s="25">
        <f t="shared" si="801"/>
        <v>0</v>
      </c>
      <c r="CB284" s="25">
        <f t="shared" si="802"/>
        <v>0</v>
      </c>
      <c r="CC284" s="25">
        <f t="shared" si="803"/>
        <v>0</v>
      </c>
      <c r="CD284" s="25">
        <f t="shared" si="804"/>
        <v>0</v>
      </c>
      <c r="CE284" s="25">
        <f t="shared" si="805"/>
        <v>0</v>
      </c>
      <c r="CF284" s="25">
        <f t="shared" si="806"/>
        <v>0</v>
      </c>
      <c r="CG284" s="25">
        <f t="shared" si="807"/>
        <v>0</v>
      </c>
      <c r="CH284" s="25">
        <f>IFERROR(INDEX('2 Staff List'!LO$64:LO$114,$AH284),0)</f>
        <v>0</v>
      </c>
      <c r="CI284" s="25">
        <f>IFERROR(INDEX('2 Staff List'!LP$64:LP$114,$AH284),0)</f>
        <v>0</v>
      </c>
      <c r="CJ284" s="25">
        <f>IFERROR(INDEX('2 Staff List'!LQ$64:LQ$114,$AH284),0)</f>
        <v>0</v>
      </c>
      <c r="CK284" s="25">
        <f>IFERROR(INDEX('2 Staff List'!LR$64:LR$114,$AH284),0)</f>
        <v>0</v>
      </c>
      <c r="CL284" s="25">
        <f>IFERROR(INDEX('2 Staff List'!LS$64:LS$114,$AH284),0)</f>
        <v>0</v>
      </c>
      <c r="CM284" s="25">
        <f>IFERROR(INDEX('2 Staff List'!LT$64:LT$114,$AH284),0)</f>
        <v>0</v>
      </c>
      <c r="CN284" s="25">
        <f>IFERROR(INDEX('2 Staff List'!LU$64:LU$114,$AH284),0)</f>
        <v>0</v>
      </c>
      <c r="CO284" s="25">
        <f>IFERROR(INDEX('2 Staff List'!LV$64:LV$114,$AH284),0)</f>
        <v>0</v>
      </c>
      <c r="CP284" s="25">
        <f>IFERROR(INDEX('2 Staff List'!LW$64:LW$114,$AH284),0)</f>
        <v>0</v>
      </c>
      <c r="CQ284" s="25">
        <f>IFERROR(INDEX('2 Staff List'!LX$64:LX$114,$AH284),0)</f>
        <v>0</v>
      </c>
      <c r="CR284" s="25">
        <f t="shared" si="828"/>
        <v>0</v>
      </c>
      <c r="CS284" s="25">
        <f t="shared" si="840"/>
        <v>1</v>
      </c>
      <c r="CT284" s="25">
        <f t="shared" si="837"/>
        <v>1</v>
      </c>
      <c r="CU284" s="25">
        <f t="shared" si="822"/>
        <v>1</v>
      </c>
      <c r="CV284" s="25">
        <f t="shared" si="808"/>
        <v>1</v>
      </c>
      <c r="CW284" s="25">
        <f t="shared" si="829"/>
        <v>1</v>
      </c>
      <c r="CX284" s="25">
        <f t="shared" si="809"/>
        <v>0</v>
      </c>
      <c r="CY284" s="25">
        <f t="shared" si="779"/>
        <v>0</v>
      </c>
      <c r="CZ284" s="25">
        <f t="shared" si="830"/>
        <v>0</v>
      </c>
      <c r="DA284" s="25">
        <f t="shared" si="810"/>
        <v>1</v>
      </c>
      <c r="DB284" s="25">
        <f t="shared" si="817"/>
        <v>1</v>
      </c>
      <c r="DC284" s="25">
        <f t="shared" si="838"/>
        <v>0</v>
      </c>
      <c r="DD284" s="25">
        <f>IF(OR($AD284&lt;&gt;3,F284="Exclude"),0,IF(ISERROR(MATCH($E284,'4 Sign-off'!$S$123:$X$123,0)),0,1))</f>
        <v>0</v>
      </c>
      <c r="DE284" s="25">
        <f t="shared" si="782"/>
        <v>0</v>
      </c>
      <c r="DF284" s="25">
        <f t="shared" si="831"/>
        <v>0</v>
      </c>
      <c r="DG284" s="25" t="str">
        <f t="shared" si="832"/>
        <v/>
      </c>
      <c r="DH284" s="25">
        <f t="shared" si="780"/>
        <v>0</v>
      </c>
      <c r="DI284" s="25">
        <f t="shared" si="778"/>
        <v>0</v>
      </c>
      <c r="DJ284" s="25">
        <f>IF(ISBLANK(J284),0,ISERROR(MATCH(J284,'5  Control Accounts'!$FA$29:$FA$96,0))*1)</f>
        <v>0</v>
      </c>
      <c r="DK284" s="25">
        <f t="shared" si="811"/>
        <v>0</v>
      </c>
      <c r="DL284" s="25">
        <f t="shared" si="818"/>
        <v>-1</v>
      </c>
      <c r="DM284" s="25" t="e">
        <f t="array" ref="DM284">MATCH(1,($EG284:$JD284&gt;0)*$EG$17:$JD$17,0)</f>
        <v>#N/A</v>
      </c>
      <c r="DN284" s="25" t="e">
        <f t="shared" si="775"/>
        <v>#N/A</v>
      </c>
      <c r="DO284" s="25" t="e">
        <f t="array" ref="DO284">MATCH(2,1/(EG284:JD284&gt;0))</f>
        <v>#N/A</v>
      </c>
      <c r="DP284" s="2993">
        <f t="shared" si="812"/>
        <v>0</v>
      </c>
      <c r="DQ284" s="3037">
        <f t="shared" si="813"/>
        <v>0</v>
      </c>
      <c r="DR284" s="111"/>
      <c r="DS284" s="1268">
        <f t="shared" si="781"/>
        <v>0</v>
      </c>
      <c r="DT284" s="1825"/>
      <c r="DU284" s="1826"/>
      <c r="DV284" s="1827"/>
      <c r="DW284" s="1828"/>
      <c r="DX284" s="659"/>
      <c r="DY284" s="1265"/>
      <c r="DZ284" s="1785">
        <f t="shared" si="833"/>
        <v>0</v>
      </c>
      <c r="EA284" s="1786">
        <f t="shared" si="839"/>
        <v>0</v>
      </c>
      <c r="EB284" s="1781">
        <f t="shared" si="776"/>
        <v>0</v>
      </c>
      <c r="EC284" s="1782">
        <f t="shared" si="777"/>
        <v>0</v>
      </c>
      <c r="ED284" s="1262"/>
      <c r="EE284" s="2280"/>
      <c r="EF284" s="1802"/>
      <c r="EG284" s="167"/>
      <c r="EH284" s="168"/>
      <c r="EI284" s="168"/>
      <c r="EJ284" s="168"/>
      <c r="EK284" s="168"/>
      <c r="EL284" s="168"/>
      <c r="EM284" s="168"/>
      <c r="EN284" s="168"/>
      <c r="EO284" s="168"/>
      <c r="EP284" s="168"/>
      <c r="EQ284" s="168"/>
      <c r="ER284" s="168"/>
      <c r="ES284" s="168"/>
      <c r="ET284" s="168"/>
      <c r="EU284" s="168"/>
      <c r="EV284" s="168"/>
      <c r="EW284" s="168"/>
      <c r="EX284" s="168"/>
      <c r="EY284" s="168"/>
      <c r="EZ284" s="168"/>
      <c r="FA284" s="168"/>
      <c r="FB284" s="168"/>
      <c r="FC284" s="168"/>
      <c r="FD284" s="168"/>
      <c r="FE284" s="168"/>
      <c r="FF284" s="168"/>
      <c r="FG284" s="168"/>
      <c r="FH284" s="168"/>
      <c r="FI284" s="168"/>
      <c r="FJ284" s="168"/>
      <c r="FK284" s="168"/>
      <c r="FL284" s="168"/>
      <c r="FM284" s="168"/>
      <c r="FN284" s="168"/>
      <c r="FO284" s="168"/>
      <c r="FP284" s="168"/>
      <c r="FQ284" s="168"/>
      <c r="FR284" s="168"/>
      <c r="FS284" s="168"/>
      <c r="FT284" s="168"/>
      <c r="FU284" s="168"/>
      <c r="FV284" s="168"/>
      <c r="FW284" s="168"/>
      <c r="FX284" s="168"/>
      <c r="FY284" s="168"/>
      <c r="FZ284" s="168"/>
      <c r="GA284" s="168"/>
      <c r="GB284" s="168"/>
      <c r="GC284" s="168"/>
      <c r="GD284" s="168"/>
      <c r="GE284" s="168"/>
      <c r="GF284" s="168"/>
      <c r="GG284" s="168"/>
      <c r="GH284" s="168"/>
      <c r="GI284" s="168"/>
      <c r="GJ284" s="168"/>
      <c r="GK284" s="168"/>
      <c r="GL284" s="168"/>
      <c r="GM284" s="168"/>
      <c r="GN284" s="168"/>
      <c r="GO284" s="168"/>
      <c r="GP284" s="168"/>
      <c r="GQ284" s="168"/>
      <c r="GR284" s="168"/>
      <c r="GS284" s="168"/>
      <c r="GT284" s="168"/>
      <c r="GU284" s="168"/>
      <c r="GV284" s="168"/>
      <c r="GW284" s="168"/>
      <c r="GX284" s="168"/>
      <c r="GY284" s="168"/>
      <c r="GZ284" s="168"/>
      <c r="HA284" s="168"/>
      <c r="HB284" s="168"/>
      <c r="HC284" s="168"/>
      <c r="HD284" s="168"/>
      <c r="HE284" s="168"/>
      <c r="HF284" s="168"/>
      <c r="HG284" s="168"/>
      <c r="HH284" s="168"/>
      <c r="HI284" s="168"/>
      <c r="HJ284" s="168"/>
      <c r="HK284" s="168"/>
      <c r="HL284" s="168"/>
      <c r="HM284" s="168"/>
      <c r="HN284" s="168"/>
      <c r="HO284" s="168"/>
      <c r="HP284" s="168"/>
      <c r="HQ284" s="168"/>
      <c r="HR284" s="168"/>
      <c r="HS284" s="168"/>
      <c r="HT284" s="168"/>
      <c r="HU284" s="168"/>
      <c r="HV284" s="168"/>
      <c r="HW284" s="168"/>
      <c r="HX284" s="168"/>
      <c r="HY284" s="168"/>
      <c r="HZ284" s="168"/>
      <c r="IA284" s="168"/>
      <c r="IB284" s="168"/>
      <c r="IC284" s="168"/>
      <c r="ID284" s="168"/>
      <c r="IE284" s="168"/>
      <c r="IF284" s="168"/>
      <c r="IG284" s="168"/>
      <c r="IH284" s="168"/>
      <c r="II284" s="168"/>
      <c r="IJ284" s="168"/>
      <c r="IK284" s="168"/>
      <c r="IL284" s="168"/>
      <c r="IM284" s="168"/>
      <c r="IN284" s="168"/>
      <c r="IO284" s="168"/>
      <c r="IP284" s="168"/>
      <c r="IQ284" s="168"/>
      <c r="IR284" s="168"/>
      <c r="IS284" s="168"/>
      <c r="IT284" s="168"/>
      <c r="IU284" s="168"/>
      <c r="IV284" s="168"/>
      <c r="IW284" s="168"/>
      <c r="IX284" s="168"/>
      <c r="IY284" s="168"/>
      <c r="IZ284" s="168"/>
      <c r="JA284" s="168"/>
      <c r="JB284" s="168"/>
      <c r="JC284" s="606"/>
      <c r="JD284" s="609"/>
      <c r="JE284" s="1"/>
      <c r="JF284" s="1"/>
    </row>
    <row r="285" spans="1:266" s="2" customFormat="1" ht="15" customHeight="1" x14ac:dyDescent="0.25">
      <c r="A285" s="283"/>
      <c r="B285" s="303"/>
      <c r="C285" s="301"/>
      <c r="D285" s="638"/>
      <c r="E285" s="2298"/>
      <c r="F285" s="1812"/>
      <c r="G285" s="3342"/>
      <c r="H285" s="66"/>
      <c r="I285" s="1746"/>
      <c r="J285" s="86"/>
      <c r="K285" s="105"/>
      <c r="L285" s="91"/>
      <c r="M285" s="92"/>
      <c r="N285" s="93"/>
      <c r="O285" s="94"/>
      <c r="P285" s="94"/>
      <c r="Q285" s="97"/>
      <c r="R285" s="993">
        <f t="shared" si="823"/>
        <v>0</v>
      </c>
      <c r="S285" s="23">
        <f t="shared" si="783"/>
        <v>0</v>
      </c>
      <c r="T285" s="24">
        <f t="shared" si="834"/>
        <v>0</v>
      </c>
      <c r="U285" s="24">
        <f t="shared" si="835"/>
        <v>0</v>
      </c>
      <c r="V285" s="24">
        <f t="shared" si="785"/>
        <v>0</v>
      </c>
      <c r="W285" s="24">
        <f t="shared" si="819"/>
        <v>0</v>
      </c>
      <c r="X285" s="72">
        <f t="shared" si="786"/>
        <v>0</v>
      </c>
      <c r="Y285" s="72">
        <f t="shared" si="836"/>
        <v>0</v>
      </c>
      <c r="Z285" s="24">
        <f t="shared" si="824"/>
        <v>0</v>
      </c>
      <c r="AA285" s="72">
        <f t="shared" si="787"/>
        <v>0</v>
      </c>
      <c r="AB285" s="24">
        <f t="shared" si="820"/>
        <v>0</v>
      </c>
      <c r="AC285" s="24" t="s">
        <v>5</v>
      </c>
      <c r="AD285" s="25">
        <f t="shared" si="814"/>
        <v>3</v>
      </c>
      <c r="AE285" s="25">
        <f t="shared" si="815"/>
        <v>0</v>
      </c>
      <c r="AF285" s="25">
        <f t="shared" si="816"/>
        <v>0</v>
      </c>
      <c r="AG285" s="25">
        <f t="shared" si="784"/>
        <v>1</v>
      </c>
      <c r="AH285" s="25" t="str">
        <f>IFERROR(MATCH(DY285,'2 Staff List'!$IA$64:$IA$114,0),"x")</f>
        <v>x</v>
      </c>
      <c r="AI285" s="1181">
        <f>IFERROR(INDEX('2 Staff List'!$EX$64:$EX$114,$AH285),0)</f>
        <v>0</v>
      </c>
      <c r="AJ285" s="25">
        <f>IFERROR(INDEX('2 Staff List'!$IW$64:$IW$114,$AH285),0)</f>
        <v>0</v>
      </c>
      <c r="AK285" s="25">
        <f>IFERROR(INDEX('2 Staff List'!$IB$64:$IB$114,$AH285),0)</f>
        <v>0</v>
      </c>
      <c r="AL285" s="25">
        <f>IF(OR(NOT(ISBLANK(DV285)),CX285=1),"&lt;Non-Labor&gt;",IFERROR(IF(AH285=0,0,INDEX('2 Staff List'!$HZ$64:$HZ$114,$AH285)),0))</f>
        <v>0</v>
      </c>
      <c r="AM285" s="25">
        <f>IFERROR(INDEX('2 Staff List'!$HW$64:$HW$114,$AH285),0)</f>
        <v>0</v>
      </c>
      <c r="AN285" s="25">
        <f t="shared" si="825"/>
        <v>1</v>
      </c>
      <c r="AO285" s="25">
        <f>IF($AO$127=0,0,IFERROR(INDEX('2 Staff List'!$JH$64:$JH$114,$AH285),0))</f>
        <v>0</v>
      </c>
      <c r="AP285" s="25">
        <f>IFERROR(INDEX('2 Staff List'!$HU$64:$HU$114,$AH285),0)</f>
        <v>0</v>
      </c>
      <c r="AQ285" s="25">
        <f t="shared" si="821"/>
        <v>0</v>
      </c>
      <c r="AR285" s="25">
        <f t="shared" si="826"/>
        <v>0</v>
      </c>
      <c r="AS285" s="25">
        <f t="shared" si="788"/>
        <v>0</v>
      </c>
      <c r="AT285" s="25">
        <f t="shared" si="789"/>
        <v>0</v>
      </c>
      <c r="AU285" s="25">
        <f t="shared" si="790"/>
        <v>0</v>
      </c>
      <c r="AV285" s="25">
        <f t="shared" si="791"/>
        <v>0</v>
      </c>
      <c r="AW285" s="25">
        <f t="shared" si="792"/>
        <v>0</v>
      </c>
      <c r="AX285" s="25">
        <f t="shared" si="793"/>
        <v>0</v>
      </c>
      <c r="AY285" s="25">
        <f t="shared" si="794"/>
        <v>0</v>
      </c>
      <c r="AZ285" s="25">
        <f t="shared" si="795"/>
        <v>0</v>
      </c>
      <c r="BA285" s="25">
        <f t="shared" si="796"/>
        <v>0</v>
      </c>
      <c r="BB285" s="25">
        <f t="shared" si="797"/>
        <v>0</v>
      </c>
      <c r="BC285" s="25">
        <f>IFERROR(INDEX('2 Staff List'!KS$64:KS$114,$AH285),0)</f>
        <v>0</v>
      </c>
      <c r="BD285" s="25">
        <f>IFERROR(INDEX('2 Staff List'!KT$64:KT$114,$AH285),0)</f>
        <v>0</v>
      </c>
      <c r="BE285" s="25">
        <f>IFERROR(INDEX('2 Staff List'!KU$64:KU$114,$AH285),0)</f>
        <v>0</v>
      </c>
      <c r="BF285" s="25">
        <f>IFERROR(INDEX('2 Staff List'!KV$64:KV$114,$AH285),0)</f>
        <v>0</v>
      </c>
      <c r="BG285" s="25">
        <f>IFERROR(INDEX('2 Staff List'!KW$64:KW$114,$AH285),0)</f>
        <v>0</v>
      </c>
      <c r="BH285" s="25">
        <f>IFERROR(INDEX('2 Staff List'!KX$64:KX$114,$AH285),0)</f>
        <v>0</v>
      </c>
      <c r="BI285" s="25">
        <f>IFERROR(INDEX('2 Staff List'!KY$64:KY$114,$AH285),0)</f>
        <v>0</v>
      </c>
      <c r="BJ285" s="25">
        <f>IFERROR(INDEX('2 Staff List'!KZ$64:KZ$114,$AH285),0)</f>
        <v>0</v>
      </c>
      <c r="BK285" s="25">
        <f>IFERROR(INDEX('2 Staff List'!LA$64:LA$114,$AH285),0)</f>
        <v>0</v>
      </c>
      <c r="BL285" s="25">
        <f>IFERROR(INDEX('2 Staff List'!LB$64:LB$114,$AH285),0)</f>
        <v>0</v>
      </c>
      <c r="BM285" s="25">
        <f>IFERROR(INDEX('2 Staff List'!FT$64:FT$114,$AH285),0)</f>
        <v>0</v>
      </c>
      <c r="BN285" s="25">
        <f>IFERROR(INDEX('2 Staff List'!FU$64:FU$114,$AH285),0)</f>
        <v>0</v>
      </c>
      <c r="BO285" s="25">
        <f>IFERROR(INDEX('2 Staff List'!FV$64:FV$114,$AH285),0)</f>
        <v>0</v>
      </c>
      <c r="BP285" s="25">
        <f>IFERROR(INDEX('2 Staff List'!FW$64:FW$114,$AH285),0)</f>
        <v>0</v>
      </c>
      <c r="BQ285" s="25">
        <f>IFERROR(INDEX('2 Staff List'!FX$64:FX$114,$AH285),0)</f>
        <v>0</v>
      </c>
      <c r="BR285" s="25">
        <f>IFERROR(INDEX('2 Staff List'!FY$64:FY$114,$AH285),0)</f>
        <v>0</v>
      </c>
      <c r="BS285" s="25">
        <f>IFERROR(INDEX('2 Staff List'!FZ$64:FZ$114,$AH285),0)</f>
        <v>0</v>
      </c>
      <c r="BT285" s="25">
        <f>IFERROR(INDEX('2 Staff List'!GA$64:GA$114,$AH285),0)</f>
        <v>0</v>
      </c>
      <c r="BU285" s="25">
        <f>IFERROR(INDEX('2 Staff List'!GB$64:GB$114,$AH285),0)</f>
        <v>0</v>
      </c>
      <c r="BV285" s="25">
        <f>IFERROR(INDEX('2 Staff List'!GC$64:GC$114,$AH285),0)</f>
        <v>0</v>
      </c>
      <c r="BW285" s="25">
        <f t="shared" si="827"/>
        <v>0</v>
      </c>
      <c r="BX285" s="25">
        <f t="shared" si="798"/>
        <v>0</v>
      </c>
      <c r="BY285" s="25">
        <f t="shared" si="799"/>
        <v>0</v>
      </c>
      <c r="BZ285" s="25">
        <f t="shared" si="800"/>
        <v>0</v>
      </c>
      <c r="CA285" s="25">
        <f t="shared" si="801"/>
        <v>0</v>
      </c>
      <c r="CB285" s="25">
        <f t="shared" si="802"/>
        <v>0</v>
      </c>
      <c r="CC285" s="25">
        <f t="shared" si="803"/>
        <v>0</v>
      </c>
      <c r="CD285" s="25">
        <f t="shared" si="804"/>
        <v>0</v>
      </c>
      <c r="CE285" s="25">
        <f t="shared" si="805"/>
        <v>0</v>
      </c>
      <c r="CF285" s="25">
        <f t="shared" si="806"/>
        <v>0</v>
      </c>
      <c r="CG285" s="25">
        <f t="shared" si="807"/>
        <v>0</v>
      </c>
      <c r="CH285" s="25">
        <f>IFERROR(INDEX('2 Staff List'!LO$64:LO$114,$AH285),0)</f>
        <v>0</v>
      </c>
      <c r="CI285" s="25">
        <f>IFERROR(INDEX('2 Staff List'!LP$64:LP$114,$AH285),0)</f>
        <v>0</v>
      </c>
      <c r="CJ285" s="25">
        <f>IFERROR(INDEX('2 Staff List'!LQ$64:LQ$114,$AH285),0)</f>
        <v>0</v>
      </c>
      <c r="CK285" s="25">
        <f>IFERROR(INDEX('2 Staff List'!LR$64:LR$114,$AH285),0)</f>
        <v>0</v>
      </c>
      <c r="CL285" s="25">
        <f>IFERROR(INDEX('2 Staff List'!LS$64:LS$114,$AH285),0)</f>
        <v>0</v>
      </c>
      <c r="CM285" s="25">
        <f>IFERROR(INDEX('2 Staff List'!LT$64:LT$114,$AH285),0)</f>
        <v>0</v>
      </c>
      <c r="CN285" s="25">
        <f>IFERROR(INDEX('2 Staff List'!LU$64:LU$114,$AH285),0)</f>
        <v>0</v>
      </c>
      <c r="CO285" s="25">
        <f>IFERROR(INDEX('2 Staff List'!LV$64:LV$114,$AH285),0)</f>
        <v>0</v>
      </c>
      <c r="CP285" s="25">
        <f>IFERROR(INDEX('2 Staff List'!LW$64:LW$114,$AH285),0)</f>
        <v>0</v>
      </c>
      <c r="CQ285" s="25">
        <f>IFERROR(INDEX('2 Staff List'!LX$64:LX$114,$AH285),0)</f>
        <v>0</v>
      </c>
      <c r="CR285" s="25">
        <f t="shared" si="828"/>
        <v>0</v>
      </c>
      <c r="CS285" s="25">
        <f t="shared" si="840"/>
        <v>1</v>
      </c>
      <c r="CT285" s="25">
        <f t="shared" si="837"/>
        <v>1</v>
      </c>
      <c r="CU285" s="25">
        <f t="shared" si="822"/>
        <v>1</v>
      </c>
      <c r="CV285" s="25">
        <f t="shared" si="808"/>
        <v>1</v>
      </c>
      <c r="CW285" s="25">
        <f t="shared" si="829"/>
        <v>1</v>
      </c>
      <c r="CX285" s="25">
        <f t="shared" si="809"/>
        <v>0</v>
      </c>
      <c r="CY285" s="25">
        <f t="shared" si="779"/>
        <v>0</v>
      </c>
      <c r="CZ285" s="25">
        <f t="shared" si="830"/>
        <v>0</v>
      </c>
      <c r="DA285" s="25">
        <f t="shared" si="810"/>
        <v>1</v>
      </c>
      <c r="DB285" s="25">
        <f t="shared" si="817"/>
        <v>1</v>
      </c>
      <c r="DC285" s="25">
        <f t="shared" si="838"/>
        <v>0</v>
      </c>
      <c r="DD285" s="25">
        <f>IF(OR($AD285&lt;&gt;3,F285="Exclude"),0,IF(ISERROR(MATCH($E285,'4 Sign-off'!$S$123:$X$123,0)),0,1))</f>
        <v>0</v>
      </c>
      <c r="DE285" s="25">
        <f t="shared" si="782"/>
        <v>0</v>
      </c>
      <c r="DF285" s="25">
        <f t="shared" si="831"/>
        <v>0</v>
      </c>
      <c r="DG285" s="25" t="str">
        <f t="shared" si="832"/>
        <v/>
      </c>
      <c r="DH285" s="25">
        <f t="shared" si="780"/>
        <v>0</v>
      </c>
      <c r="DI285" s="25">
        <f t="shared" si="778"/>
        <v>0</v>
      </c>
      <c r="DJ285" s="25">
        <f>IF(ISBLANK(J285),0,ISERROR(MATCH(J285,'5  Control Accounts'!$FA$29:$FA$96,0))*1)</f>
        <v>0</v>
      </c>
      <c r="DK285" s="25">
        <f t="shared" si="811"/>
        <v>0</v>
      </c>
      <c r="DL285" s="25">
        <f t="shared" si="818"/>
        <v>-1</v>
      </c>
      <c r="DM285" s="25" t="e">
        <f t="array" ref="DM285">MATCH(1,($EG285:$JD285&gt;0)*$EG$17:$JD$17,0)</f>
        <v>#N/A</v>
      </c>
      <c r="DN285" s="25" t="e">
        <f t="shared" si="775"/>
        <v>#N/A</v>
      </c>
      <c r="DO285" s="25" t="e">
        <f t="array" ref="DO285">MATCH(2,1/(EG285:JD285&gt;0))</f>
        <v>#N/A</v>
      </c>
      <c r="DP285" s="2993">
        <f t="shared" si="812"/>
        <v>0</v>
      </c>
      <c r="DQ285" s="3037">
        <f t="shared" si="813"/>
        <v>0</v>
      </c>
      <c r="DR285" s="111"/>
      <c r="DS285" s="1268">
        <f t="shared" si="781"/>
        <v>0</v>
      </c>
      <c r="DT285" s="1825"/>
      <c r="DU285" s="1826"/>
      <c r="DV285" s="1827"/>
      <c r="DW285" s="1828"/>
      <c r="DX285" s="659"/>
      <c r="DY285" s="1265"/>
      <c r="DZ285" s="1785">
        <f t="shared" si="833"/>
        <v>0</v>
      </c>
      <c r="EA285" s="1786">
        <f t="shared" si="839"/>
        <v>0</v>
      </c>
      <c r="EB285" s="1781">
        <f t="shared" si="776"/>
        <v>0</v>
      </c>
      <c r="EC285" s="1782">
        <f t="shared" si="777"/>
        <v>0</v>
      </c>
      <c r="ED285" s="1262"/>
      <c r="EE285" s="2280"/>
      <c r="EF285" s="1802"/>
      <c r="EG285" s="167"/>
      <c r="EH285" s="168"/>
      <c r="EI285" s="168"/>
      <c r="EJ285" s="168"/>
      <c r="EK285" s="168"/>
      <c r="EL285" s="168"/>
      <c r="EM285" s="168"/>
      <c r="EN285" s="168"/>
      <c r="EO285" s="168"/>
      <c r="EP285" s="168"/>
      <c r="EQ285" s="168"/>
      <c r="ER285" s="168"/>
      <c r="ES285" s="168"/>
      <c r="ET285" s="168"/>
      <c r="EU285" s="168"/>
      <c r="EV285" s="168"/>
      <c r="EW285" s="168"/>
      <c r="EX285" s="168"/>
      <c r="EY285" s="168"/>
      <c r="EZ285" s="168"/>
      <c r="FA285" s="168"/>
      <c r="FB285" s="168"/>
      <c r="FC285" s="168"/>
      <c r="FD285" s="168"/>
      <c r="FE285" s="168"/>
      <c r="FF285" s="168"/>
      <c r="FG285" s="168"/>
      <c r="FH285" s="168"/>
      <c r="FI285" s="168"/>
      <c r="FJ285" s="168"/>
      <c r="FK285" s="168"/>
      <c r="FL285" s="168"/>
      <c r="FM285" s="168"/>
      <c r="FN285" s="168"/>
      <c r="FO285" s="168"/>
      <c r="FP285" s="168"/>
      <c r="FQ285" s="168"/>
      <c r="FR285" s="168"/>
      <c r="FS285" s="168"/>
      <c r="FT285" s="168"/>
      <c r="FU285" s="168"/>
      <c r="FV285" s="168"/>
      <c r="FW285" s="168"/>
      <c r="FX285" s="168"/>
      <c r="FY285" s="168"/>
      <c r="FZ285" s="168"/>
      <c r="GA285" s="168"/>
      <c r="GB285" s="168"/>
      <c r="GC285" s="168"/>
      <c r="GD285" s="168"/>
      <c r="GE285" s="168"/>
      <c r="GF285" s="168"/>
      <c r="GG285" s="168"/>
      <c r="GH285" s="168"/>
      <c r="GI285" s="168"/>
      <c r="GJ285" s="168"/>
      <c r="GK285" s="168"/>
      <c r="GL285" s="168"/>
      <c r="GM285" s="168"/>
      <c r="GN285" s="168"/>
      <c r="GO285" s="168"/>
      <c r="GP285" s="168"/>
      <c r="GQ285" s="168"/>
      <c r="GR285" s="168"/>
      <c r="GS285" s="168"/>
      <c r="GT285" s="168"/>
      <c r="GU285" s="168"/>
      <c r="GV285" s="168"/>
      <c r="GW285" s="168"/>
      <c r="GX285" s="168"/>
      <c r="GY285" s="168"/>
      <c r="GZ285" s="168"/>
      <c r="HA285" s="168"/>
      <c r="HB285" s="168"/>
      <c r="HC285" s="168"/>
      <c r="HD285" s="168"/>
      <c r="HE285" s="168"/>
      <c r="HF285" s="168"/>
      <c r="HG285" s="168"/>
      <c r="HH285" s="168"/>
      <c r="HI285" s="168"/>
      <c r="HJ285" s="168"/>
      <c r="HK285" s="168"/>
      <c r="HL285" s="168"/>
      <c r="HM285" s="168"/>
      <c r="HN285" s="168"/>
      <c r="HO285" s="168"/>
      <c r="HP285" s="168"/>
      <c r="HQ285" s="168"/>
      <c r="HR285" s="168"/>
      <c r="HS285" s="168"/>
      <c r="HT285" s="168"/>
      <c r="HU285" s="168"/>
      <c r="HV285" s="168"/>
      <c r="HW285" s="168"/>
      <c r="HX285" s="168"/>
      <c r="HY285" s="168"/>
      <c r="HZ285" s="168"/>
      <c r="IA285" s="168"/>
      <c r="IB285" s="168"/>
      <c r="IC285" s="168"/>
      <c r="ID285" s="168"/>
      <c r="IE285" s="168"/>
      <c r="IF285" s="168"/>
      <c r="IG285" s="168"/>
      <c r="IH285" s="168"/>
      <c r="II285" s="168"/>
      <c r="IJ285" s="168"/>
      <c r="IK285" s="168"/>
      <c r="IL285" s="168"/>
      <c r="IM285" s="168"/>
      <c r="IN285" s="168"/>
      <c r="IO285" s="168"/>
      <c r="IP285" s="168"/>
      <c r="IQ285" s="168"/>
      <c r="IR285" s="168"/>
      <c r="IS285" s="168"/>
      <c r="IT285" s="168"/>
      <c r="IU285" s="168"/>
      <c r="IV285" s="168"/>
      <c r="IW285" s="168"/>
      <c r="IX285" s="168"/>
      <c r="IY285" s="168"/>
      <c r="IZ285" s="168"/>
      <c r="JA285" s="168"/>
      <c r="JB285" s="168"/>
      <c r="JC285" s="606"/>
      <c r="JD285" s="609"/>
      <c r="JE285" s="1"/>
      <c r="JF285" s="1"/>
    </row>
    <row r="286" spans="1:266" s="2" customFormat="1" ht="15" customHeight="1" x14ac:dyDescent="0.25">
      <c r="A286" s="283"/>
      <c r="B286" s="303"/>
      <c r="C286" s="301"/>
      <c r="D286" s="638"/>
      <c r="E286" s="2298"/>
      <c r="F286" s="1812"/>
      <c r="G286" s="3342"/>
      <c r="H286" s="66"/>
      <c r="I286" s="1746"/>
      <c r="J286" s="86"/>
      <c r="K286" s="105"/>
      <c r="L286" s="91"/>
      <c r="M286" s="92"/>
      <c r="N286" s="93"/>
      <c r="O286" s="94"/>
      <c r="P286" s="94"/>
      <c r="Q286" s="97"/>
      <c r="R286" s="993">
        <f t="shared" si="823"/>
        <v>0</v>
      </c>
      <c r="S286" s="23">
        <f t="shared" si="783"/>
        <v>0</v>
      </c>
      <c r="T286" s="24">
        <f t="shared" si="834"/>
        <v>0</v>
      </c>
      <c r="U286" s="24">
        <f t="shared" si="835"/>
        <v>0</v>
      </c>
      <c r="V286" s="24">
        <f t="shared" si="785"/>
        <v>0</v>
      </c>
      <c r="W286" s="24">
        <f t="shared" si="819"/>
        <v>0</v>
      </c>
      <c r="X286" s="72">
        <f t="shared" si="786"/>
        <v>0</v>
      </c>
      <c r="Y286" s="72">
        <f t="shared" si="836"/>
        <v>0</v>
      </c>
      <c r="Z286" s="24">
        <f t="shared" si="824"/>
        <v>0</v>
      </c>
      <c r="AA286" s="72">
        <f t="shared" si="787"/>
        <v>0</v>
      </c>
      <c r="AB286" s="24">
        <f t="shared" si="820"/>
        <v>0</v>
      </c>
      <c r="AC286" s="24" t="s">
        <v>5</v>
      </c>
      <c r="AD286" s="25">
        <f t="shared" si="814"/>
        <v>3</v>
      </c>
      <c r="AE286" s="25">
        <f t="shared" si="815"/>
        <v>0</v>
      </c>
      <c r="AF286" s="25">
        <f t="shared" si="816"/>
        <v>0</v>
      </c>
      <c r="AG286" s="25">
        <f t="shared" si="784"/>
        <v>1</v>
      </c>
      <c r="AH286" s="25" t="str">
        <f>IFERROR(MATCH(DY286,'2 Staff List'!$IA$64:$IA$114,0),"x")</f>
        <v>x</v>
      </c>
      <c r="AI286" s="1181">
        <f>IFERROR(INDEX('2 Staff List'!$EX$64:$EX$114,$AH286),0)</f>
        <v>0</v>
      </c>
      <c r="AJ286" s="25">
        <f>IFERROR(INDEX('2 Staff List'!$IW$64:$IW$114,$AH286),0)</f>
        <v>0</v>
      </c>
      <c r="AK286" s="25">
        <f>IFERROR(INDEX('2 Staff List'!$IB$64:$IB$114,$AH286),0)</f>
        <v>0</v>
      </c>
      <c r="AL286" s="25">
        <f>IF(OR(NOT(ISBLANK(DV286)),CX286=1),"&lt;Non-Labor&gt;",IFERROR(IF(AH286=0,0,INDEX('2 Staff List'!$HZ$64:$HZ$114,$AH286)),0))</f>
        <v>0</v>
      </c>
      <c r="AM286" s="25">
        <f>IFERROR(INDEX('2 Staff List'!$HW$64:$HW$114,$AH286),0)</f>
        <v>0</v>
      </c>
      <c r="AN286" s="25">
        <f t="shared" si="825"/>
        <v>1</v>
      </c>
      <c r="AO286" s="25">
        <f>IF($AO$127=0,0,IFERROR(INDEX('2 Staff List'!$JH$64:$JH$114,$AH286),0))</f>
        <v>0</v>
      </c>
      <c r="AP286" s="25">
        <f>IFERROR(INDEX('2 Staff List'!$HU$64:$HU$114,$AH286),0)</f>
        <v>0</v>
      </c>
      <c r="AQ286" s="25">
        <f t="shared" si="821"/>
        <v>0</v>
      </c>
      <c r="AR286" s="25">
        <f t="shared" si="826"/>
        <v>0</v>
      </c>
      <c r="AS286" s="25">
        <f t="shared" si="788"/>
        <v>0</v>
      </c>
      <c r="AT286" s="25">
        <f t="shared" si="789"/>
        <v>0</v>
      </c>
      <c r="AU286" s="25">
        <f t="shared" si="790"/>
        <v>0</v>
      </c>
      <c r="AV286" s="25">
        <f t="shared" si="791"/>
        <v>0</v>
      </c>
      <c r="AW286" s="25">
        <f t="shared" si="792"/>
        <v>0</v>
      </c>
      <c r="AX286" s="25">
        <f t="shared" si="793"/>
        <v>0</v>
      </c>
      <c r="AY286" s="25">
        <f t="shared" si="794"/>
        <v>0</v>
      </c>
      <c r="AZ286" s="25">
        <f t="shared" si="795"/>
        <v>0</v>
      </c>
      <c r="BA286" s="25">
        <f t="shared" si="796"/>
        <v>0</v>
      </c>
      <c r="BB286" s="25">
        <f t="shared" si="797"/>
        <v>0</v>
      </c>
      <c r="BC286" s="25">
        <f>IFERROR(INDEX('2 Staff List'!KS$64:KS$114,$AH286),0)</f>
        <v>0</v>
      </c>
      <c r="BD286" s="25">
        <f>IFERROR(INDEX('2 Staff List'!KT$64:KT$114,$AH286),0)</f>
        <v>0</v>
      </c>
      <c r="BE286" s="25">
        <f>IFERROR(INDEX('2 Staff List'!KU$64:KU$114,$AH286),0)</f>
        <v>0</v>
      </c>
      <c r="BF286" s="25">
        <f>IFERROR(INDEX('2 Staff List'!KV$64:KV$114,$AH286),0)</f>
        <v>0</v>
      </c>
      <c r="BG286" s="25">
        <f>IFERROR(INDEX('2 Staff List'!KW$64:KW$114,$AH286),0)</f>
        <v>0</v>
      </c>
      <c r="BH286" s="25">
        <f>IFERROR(INDEX('2 Staff List'!KX$64:KX$114,$AH286),0)</f>
        <v>0</v>
      </c>
      <c r="BI286" s="25">
        <f>IFERROR(INDEX('2 Staff List'!KY$64:KY$114,$AH286),0)</f>
        <v>0</v>
      </c>
      <c r="BJ286" s="25">
        <f>IFERROR(INDEX('2 Staff List'!KZ$64:KZ$114,$AH286),0)</f>
        <v>0</v>
      </c>
      <c r="BK286" s="25">
        <f>IFERROR(INDEX('2 Staff List'!LA$64:LA$114,$AH286),0)</f>
        <v>0</v>
      </c>
      <c r="BL286" s="25">
        <f>IFERROR(INDEX('2 Staff List'!LB$64:LB$114,$AH286),0)</f>
        <v>0</v>
      </c>
      <c r="BM286" s="25">
        <f>IFERROR(INDEX('2 Staff List'!FT$64:FT$114,$AH286),0)</f>
        <v>0</v>
      </c>
      <c r="BN286" s="25">
        <f>IFERROR(INDEX('2 Staff List'!FU$64:FU$114,$AH286),0)</f>
        <v>0</v>
      </c>
      <c r="BO286" s="25">
        <f>IFERROR(INDEX('2 Staff List'!FV$64:FV$114,$AH286),0)</f>
        <v>0</v>
      </c>
      <c r="BP286" s="25">
        <f>IFERROR(INDEX('2 Staff List'!FW$64:FW$114,$AH286),0)</f>
        <v>0</v>
      </c>
      <c r="BQ286" s="25">
        <f>IFERROR(INDEX('2 Staff List'!FX$64:FX$114,$AH286),0)</f>
        <v>0</v>
      </c>
      <c r="BR286" s="25">
        <f>IFERROR(INDEX('2 Staff List'!FY$64:FY$114,$AH286),0)</f>
        <v>0</v>
      </c>
      <c r="BS286" s="25">
        <f>IFERROR(INDEX('2 Staff List'!FZ$64:FZ$114,$AH286),0)</f>
        <v>0</v>
      </c>
      <c r="BT286" s="25">
        <f>IFERROR(INDEX('2 Staff List'!GA$64:GA$114,$AH286),0)</f>
        <v>0</v>
      </c>
      <c r="BU286" s="25">
        <f>IFERROR(INDEX('2 Staff List'!GB$64:GB$114,$AH286),0)</f>
        <v>0</v>
      </c>
      <c r="BV286" s="25">
        <f>IFERROR(INDEX('2 Staff List'!GC$64:GC$114,$AH286),0)</f>
        <v>0</v>
      </c>
      <c r="BW286" s="25">
        <f t="shared" si="827"/>
        <v>0</v>
      </c>
      <c r="BX286" s="25">
        <f t="shared" si="798"/>
        <v>0</v>
      </c>
      <c r="BY286" s="25">
        <f t="shared" si="799"/>
        <v>0</v>
      </c>
      <c r="BZ286" s="25">
        <f t="shared" si="800"/>
        <v>0</v>
      </c>
      <c r="CA286" s="25">
        <f t="shared" si="801"/>
        <v>0</v>
      </c>
      <c r="CB286" s="25">
        <f t="shared" si="802"/>
        <v>0</v>
      </c>
      <c r="CC286" s="25">
        <f t="shared" si="803"/>
        <v>0</v>
      </c>
      <c r="CD286" s="25">
        <f t="shared" si="804"/>
        <v>0</v>
      </c>
      <c r="CE286" s="25">
        <f t="shared" si="805"/>
        <v>0</v>
      </c>
      <c r="CF286" s="25">
        <f t="shared" si="806"/>
        <v>0</v>
      </c>
      <c r="CG286" s="25">
        <f t="shared" si="807"/>
        <v>0</v>
      </c>
      <c r="CH286" s="25">
        <f>IFERROR(INDEX('2 Staff List'!LO$64:LO$114,$AH286),0)</f>
        <v>0</v>
      </c>
      <c r="CI286" s="25">
        <f>IFERROR(INDEX('2 Staff List'!LP$64:LP$114,$AH286),0)</f>
        <v>0</v>
      </c>
      <c r="CJ286" s="25">
        <f>IFERROR(INDEX('2 Staff List'!LQ$64:LQ$114,$AH286),0)</f>
        <v>0</v>
      </c>
      <c r="CK286" s="25">
        <f>IFERROR(INDEX('2 Staff List'!LR$64:LR$114,$AH286),0)</f>
        <v>0</v>
      </c>
      <c r="CL286" s="25">
        <f>IFERROR(INDEX('2 Staff List'!LS$64:LS$114,$AH286),0)</f>
        <v>0</v>
      </c>
      <c r="CM286" s="25">
        <f>IFERROR(INDEX('2 Staff List'!LT$64:LT$114,$AH286),0)</f>
        <v>0</v>
      </c>
      <c r="CN286" s="25">
        <f>IFERROR(INDEX('2 Staff List'!LU$64:LU$114,$AH286),0)</f>
        <v>0</v>
      </c>
      <c r="CO286" s="25">
        <f>IFERROR(INDEX('2 Staff List'!LV$64:LV$114,$AH286),0)</f>
        <v>0</v>
      </c>
      <c r="CP286" s="25">
        <f>IFERROR(INDEX('2 Staff List'!LW$64:LW$114,$AH286),0)</f>
        <v>0</v>
      </c>
      <c r="CQ286" s="25">
        <f>IFERROR(INDEX('2 Staff List'!LX$64:LX$114,$AH286),0)</f>
        <v>0</v>
      </c>
      <c r="CR286" s="25">
        <f t="shared" si="828"/>
        <v>0</v>
      </c>
      <c r="CS286" s="25">
        <f t="shared" si="840"/>
        <v>1</v>
      </c>
      <c r="CT286" s="25">
        <f t="shared" si="837"/>
        <v>1</v>
      </c>
      <c r="CU286" s="25">
        <f t="shared" si="822"/>
        <v>1</v>
      </c>
      <c r="CV286" s="25">
        <f t="shared" si="808"/>
        <v>1</v>
      </c>
      <c r="CW286" s="25">
        <f t="shared" si="829"/>
        <v>1</v>
      </c>
      <c r="CX286" s="25">
        <f t="shared" si="809"/>
        <v>0</v>
      </c>
      <c r="CY286" s="25">
        <f t="shared" si="779"/>
        <v>0</v>
      </c>
      <c r="CZ286" s="25">
        <f t="shared" si="830"/>
        <v>0</v>
      </c>
      <c r="DA286" s="25">
        <f t="shared" si="810"/>
        <v>1</v>
      </c>
      <c r="DB286" s="25">
        <f t="shared" si="817"/>
        <v>1</v>
      </c>
      <c r="DC286" s="25">
        <f t="shared" si="838"/>
        <v>0</v>
      </c>
      <c r="DD286" s="25">
        <f>IF(OR($AD286&lt;&gt;3,F286="Exclude"),0,IF(ISERROR(MATCH($E286,'4 Sign-off'!$S$123:$X$123,0)),0,1))</f>
        <v>0</v>
      </c>
      <c r="DE286" s="25">
        <f t="shared" si="782"/>
        <v>0</v>
      </c>
      <c r="DF286" s="25">
        <f t="shared" si="831"/>
        <v>0</v>
      </c>
      <c r="DG286" s="25" t="str">
        <f t="shared" si="832"/>
        <v/>
      </c>
      <c r="DH286" s="25">
        <f t="shared" si="780"/>
        <v>0</v>
      </c>
      <c r="DI286" s="25">
        <f t="shared" si="778"/>
        <v>0</v>
      </c>
      <c r="DJ286" s="25">
        <f>IF(ISBLANK(J286),0,ISERROR(MATCH(J286,'5  Control Accounts'!$FA$29:$FA$96,0))*1)</f>
        <v>0</v>
      </c>
      <c r="DK286" s="25">
        <f t="shared" si="811"/>
        <v>0</v>
      </c>
      <c r="DL286" s="25">
        <f t="shared" si="818"/>
        <v>-1</v>
      </c>
      <c r="DM286" s="25" t="e">
        <f t="array" ref="DM286">MATCH(1,($EG286:$JD286&gt;0)*$EG$17:$JD$17,0)</f>
        <v>#N/A</v>
      </c>
      <c r="DN286" s="25" t="e">
        <f t="shared" ref="DN286:DN304" si="841">IF($C$6&lt;&gt;"F",DO286,IF(DO286&lt;$EB$17,NA(),DO286))</f>
        <v>#N/A</v>
      </c>
      <c r="DO286" s="25" t="e">
        <f t="array" ref="DO286">MATCH(2,1/(EG286:JD286&gt;0))</f>
        <v>#N/A</v>
      </c>
      <c r="DP286" s="2993">
        <f t="shared" si="812"/>
        <v>0</v>
      </c>
      <c r="DQ286" s="3037">
        <f t="shared" si="813"/>
        <v>0</v>
      </c>
      <c r="DR286" s="111"/>
      <c r="DS286" s="1268">
        <f t="shared" si="781"/>
        <v>0</v>
      </c>
      <c r="DT286" s="1825"/>
      <c r="DU286" s="1826"/>
      <c r="DV286" s="1827"/>
      <c r="DW286" s="1828"/>
      <c r="DX286" s="659"/>
      <c r="DY286" s="1265"/>
      <c r="DZ286" s="1785">
        <f t="shared" si="833"/>
        <v>0</v>
      </c>
      <c r="EA286" s="1786">
        <f t="shared" si="839"/>
        <v>0</v>
      </c>
      <c r="EB286" s="1781">
        <f t="shared" ref="EB286:EB304" si="842">IF(ISERROR(DM286),0,CHOOSE($DY$3,(DM286*7)+$EG$126-11,EOMONTH($EG$126,DM286-2)+1))</f>
        <v>0</v>
      </c>
      <c r="EC286" s="1782">
        <f t="shared" ref="EC286:EC304" si="843">IF(ISERROR(DN286),0,CHOOSE($DY$3,(DN286*7)+$EG$126-7,EOMONTH($EG$126,DN286-1)))</f>
        <v>0</v>
      </c>
      <c r="ED286" s="1262"/>
      <c r="EE286" s="2280"/>
      <c r="EF286" s="1802"/>
      <c r="EG286" s="167"/>
      <c r="EH286" s="168"/>
      <c r="EI286" s="168"/>
      <c r="EJ286" s="168"/>
      <c r="EK286" s="168"/>
      <c r="EL286" s="168"/>
      <c r="EM286" s="168"/>
      <c r="EN286" s="168"/>
      <c r="EO286" s="168"/>
      <c r="EP286" s="168"/>
      <c r="EQ286" s="168"/>
      <c r="ER286" s="168"/>
      <c r="ES286" s="168"/>
      <c r="ET286" s="168"/>
      <c r="EU286" s="168"/>
      <c r="EV286" s="168"/>
      <c r="EW286" s="168"/>
      <c r="EX286" s="168"/>
      <c r="EY286" s="168"/>
      <c r="EZ286" s="168"/>
      <c r="FA286" s="168"/>
      <c r="FB286" s="168"/>
      <c r="FC286" s="168"/>
      <c r="FD286" s="168"/>
      <c r="FE286" s="168"/>
      <c r="FF286" s="168"/>
      <c r="FG286" s="168"/>
      <c r="FH286" s="168"/>
      <c r="FI286" s="168"/>
      <c r="FJ286" s="168"/>
      <c r="FK286" s="168"/>
      <c r="FL286" s="168"/>
      <c r="FM286" s="168"/>
      <c r="FN286" s="168"/>
      <c r="FO286" s="168"/>
      <c r="FP286" s="168"/>
      <c r="FQ286" s="168"/>
      <c r="FR286" s="168"/>
      <c r="FS286" s="168"/>
      <c r="FT286" s="168"/>
      <c r="FU286" s="168"/>
      <c r="FV286" s="168"/>
      <c r="FW286" s="168"/>
      <c r="FX286" s="168"/>
      <c r="FY286" s="168"/>
      <c r="FZ286" s="168"/>
      <c r="GA286" s="168"/>
      <c r="GB286" s="168"/>
      <c r="GC286" s="168"/>
      <c r="GD286" s="168"/>
      <c r="GE286" s="168"/>
      <c r="GF286" s="168"/>
      <c r="GG286" s="168"/>
      <c r="GH286" s="168"/>
      <c r="GI286" s="168"/>
      <c r="GJ286" s="168"/>
      <c r="GK286" s="168"/>
      <c r="GL286" s="168"/>
      <c r="GM286" s="168"/>
      <c r="GN286" s="168"/>
      <c r="GO286" s="168"/>
      <c r="GP286" s="168"/>
      <c r="GQ286" s="168"/>
      <c r="GR286" s="168"/>
      <c r="GS286" s="168"/>
      <c r="GT286" s="168"/>
      <c r="GU286" s="168"/>
      <c r="GV286" s="168"/>
      <c r="GW286" s="168"/>
      <c r="GX286" s="168"/>
      <c r="GY286" s="168"/>
      <c r="GZ286" s="168"/>
      <c r="HA286" s="168"/>
      <c r="HB286" s="168"/>
      <c r="HC286" s="168"/>
      <c r="HD286" s="168"/>
      <c r="HE286" s="168"/>
      <c r="HF286" s="168"/>
      <c r="HG286" s="168"/>
      <c r="HH286" s="168"/>
      <c r="HI286" s="168"/>
      <c r="HJ286" s="168"/>
      <c r="HK286" s="168"/>
      <c r="HL286" s="168"/>
      <c r="HM286" s="168"/>
      <c r="HN286" s="168"/>
      <c r="HO286" s="168"/>
      <c r="HP286" s="168"/>
      <c r="HQ286" s="168"/>
      <c r="HR286" s="168"/>
      <c r="HS286" s="168"/>
      <c r="HT286" s="168"/>
      <c r="HU286" s="168"/>
      <c r="HV286" s="168"/>
      <c r="HW286" s="168"/>
      <c r="HX286" s="168"/>
      <c r="HY286" s="168"/>
      <c r="HZ286" s="168"/>
      <c r="IA286" s="168"/>
      <c r="IB286" s="168"/>
      <c r="IC286" s="168"/>
      <c r="ID286" s="168"/>
      <c r="IE286" s="168"/>
      <c r="IF286" s="168"/>
      <c r="IG286" s="168"/>
      <c r="IH286" s="168"/>
      <c r="II286" s="168"/>
      <c r="IJ286" s="168"/>
      <c r="IK286" s="168"/>
      <c r="IL286" s="168"/>
      <c r="IM286" s="168"/>
      <c r="IN286" s="168"/>
      <c r="IO286" s="168"/>
      <c r="IP286" s="168"/>
      <c r="IQ286" s="168"/>
      <c r="IR286" s="168"/>
      <c r="IS286" s="168"/>
      <c r="IT286" s="168"/>
      <c r="IU286" s="168"/>
      <c r="IV286" s="168"/>
      <c r="IW286" s="168"/>
      <c r="IX286" s="168"/>
      <c r="IY286" s="168"/>
      <c r="IZ286" s="168"/>
      <c r="JA286" s="168"/>
      <c r="JB286" s="168"/>
      <c r="JC286" s="606"/>
      <c r="JD286" s="609"/>
      <c r="JE286" s="1"/>
      <c r="JF286" s="1"/>
    </row>
    <row r="287" spans="1:266" s="2" customFormat="1" ht="15" customHeight="1" x14ac:dyDescent="0.25">
      <c r="A287" s="283"/>
      <c r="B287" s="303"/>
      <c r="C287" s="301"/>
      <c r="D287" s="638"/>
      <c r="E287" s="2298"/>
      <c r="F287" s="1812"/>
      <c r="G287" s="3342"/>
      <c r="H287" s="66"/>
      <c r="I287" s="1746"/>
      <c r="J287" s="86"/>
      <c r="K287" s="105"/>
      <c r="L287" s="91"/>
      <c r="M287" s="92"/>
      <c r="N287" s="93"/>
      <c r="O287" s="94"/>
      <c r="P287" s="94"/>
      <c r="Q287" s="97"/>
      <c r="R287" s="993">
        <f t="shared" si="823"/>
        <v>0</v>
      </c>
      <c r="S287" s="23">
        <f t="shared" si="783"/>
        <v>0</v>
      </c>
      <c r="T287" s="24">
        <f t="shared" si="834"/>
        <v>0</v>
      </c>
      <c r="U287" s="24">
        <f t="shared" si="835"/>
        <v>0</v>
      </c>
      <c r="V287" s="24">
        <f t="shared" si="785"/>
        <v>0</v>
      </c>
      <c r="W287" s="24">
        <f t="shared" si="819"/>
        <v>0</v>
      </c>
      <c r="X287" s="72">
        <f t="shared" si="786"/>
        <v>0</v>
      </c>
      <c r="Y287" s="72">
        <f t="shared" si="836"/>
        <v>0</v>
      </c>
      <c r="Z287" s="24">
        <f t="shared" si="824"/>
        <v>0</v>
      </c>
      <c r="AA287" s="72">
        <f t="shared" si="787"/>
        <v>0</v>
      </c>
      <c r="AB287" s="24">
        <f t="shared" si="820"/>
        <v>0</v>
      </c>
      <c r="AC287" s="24" t="s">
        <v>5</v>
      </c>
      <c r="AD287" s="25">
        <f t="shared" si="814"/>
        <v>3</v>
      </c>
      <c r="AE287" s="25">
        <f t="shared" si="815"/>
        <v>0</v>
      </c>
      <c r="AF287" s="25">
        <f t="shared" si="816"/>
        <v>0</v>
      </c>
      <c r="AG287" s="25">
        <f t="shared" si="784"/>
        <v>1</v>
      </c>
      <c r="AH287" s="25" t="str">
        <f>IFERROR(MATCH(DY287,'2 Staff List'!$IA$64:$IA$114,0),"x")</f>
        <v>x</v>
      </c>
      <c r="AI287" s="1181">
        <f>IFERROR(INDEX('2 Staff List'!$EX$64:$EX$114,$AH287),0)</f>
        <v>0</v>
      </c>
      <c r="AJ287" s="25">
        <f>IFERROR(INDEX('2 Staff List'!$IW$64:$IW$114,$AH287),0)</f>
        <v>0</v>
      </c>
      <c r="AK287" s="25">
        <f>IFERROR(INDEX('2 Staff List'!$IB$64:$IB$114,$AH287),0)</f>
        <v>0</v>
      </c>
      <c r="AL287" s="25">
        <f>IF(OR(NOT(ISBLANK(DV287)),CX287=1),"&lt;Non-Labor&gt;",IFERROR(IF(AH287=0,0,INDEX('2 Staff List'!$HZ$64:$HZ$114,$AH287)),0))</f>
        <v>0</v>
      </c>
      <c r="AM287" s="25">
        <f>IFERROR(INDEX('2 Staff List'!$HW$64:$HW$114,$AH287),0)</f>
        <v>0</v>
      </c>
      <c r="AN287" s="25">
        <f t="shared" si="825"/>
        <v>1</v>
      </c>
      <c r="AO287" s="25">
        <f>IF($AO$127=0,0,IFERROR(INDEX('2 Staff List'!$JH$64:$JH$114,$AH287),0))</f>
        <v>0</v>
      </c>
      <c r="AP287" s="25">
        <f>IFERROR(INDEX('2 Staff List'!$HU$64:$HU$114,$AH287),0)</f>
        <v>0</v>
      </c>
      <c r="AQ287" s="25">
        <f t="shared" si="821"/>
        <v>0</v>
      </c>
      <c r="AR287" s="25">
        <f t="shared" si="826"/>
        <v>0</v>
      </c>
      <c r="AS287" s="25">
        <f t="shared" si="788"/>
        <v>0</v>
      </c>
      <c r="AT287" s="25">
        <f t="shared" si="789"/>
        <v>0</v>
      </c>
      <c r="AU287" s="25">
        <f t="shared" si="790"/>
        <v>0</v>
      </c>
      <c r="AV287" s="25">
        <f t="shared" si="791"/>
        <v>0</v>
      </c>
      <c r="AW287" s="25">
        <f t="shared" si="792"/>
        <v>0</v>
      </c>
      <c r="AX287" s="25">
        <f t="shared" si="793"/>
        <v>0</v>
      </c>
      <c r="AY287" s="25">
        <f t="shared" si="794"/>
        <v>0</v>
      </c>
      <c r="AZ287" s="25">
        <f t="shared" si="795"/>
        <v>0</v>
      </c>
      <c r="BA287" s="25">
        <f t="shared" si="796"/>
        <v>0</v>
      </c>
      <c r="BB287" s="25">
        <f t="shared" si="797"/>
        <v>0</v>
      </c>
      <c r="BC287" s="25">
        <f>IFERROR(INDEX('2 Staff List'!KS$64:KS$114,$AH287),0)</f>
        <v>0</v>
      </c>
      <c r="BD287" s="25">
        <f>IFERROR(INDEX('2 Staff List'!KT$64:KT$114,$AH287),0)</f>
        <v>0</v>
      </c>
      <c r="BE287" s="25">
        <f>IFERROR(INDEX('2 Staff List'!KU$64:KU$114,$AH287),0)</f>
        <v>0</v>
      </c>
      <c r="BF287" s="25">
        <f>IFERROR(INDEX('2 Staff List'!KV$64:KV$114,$AH287),0)</f>
        <v>0</v>
      </c>
      <c r="BG287" s="25">
        <f>IFERROR(INDEX('2 Staff List'!KW$64:KW$114,$AH287),0)</f>
        <v>0</v>
      </c>
      <c r="BH287" s="25">
        <f>IFERROR(INDEX('2 Staff List'!KX$64:KX$114,$AH287),0)</f>
        <v>0</v>
      </c>
      <c r="BI287" s="25">
        <f>IFERROR(INDEX('2 Staff List'!KY$64:KY$114,$AH287),0)</f>
        <v>0</v>
      </c>
      <c r="BJ287" s="25">
        <f>IFERROR(INDEX('2 Staff List'!KZ$64:KZ$114,$AH287),0)</f>
        <v>0</v>
      </c>
      <c r="BK287" s="25">
        <f>IFERROR(INDEX('2 Staff List'!LA$64:LA$114,$AH287),0)</f>
        <v>0</v>
      </c>
      <c r="BL287" s="25">
        <f>IFERROR(INDEX('2 Staff List'!LB$64:LB$114,$AH287),0)</f>
        <v>0</v>
      </c>
      <c r="BM287" s="25">
        <f>IFERROR(INDEX('2 Staff List'!FT$64:FT$114,$AH287),0)</f>
        <v>0</v>
      </c>
      <c r="BN287" s="25">
        <f>IFERROR(INDEX('2 Staff List'!FU$64:FU$114,$AH287),0)</f>
        <v>0</v>
      </c>
      <c r="BO287" s="25">
        <f>IFERROR(INDEX('2 Staff List'!FV$64:FV$114,$AH287),0)</f>
        <v>0</v>
      </c>
      <c r="BP287" s="25">
        <f>IFERROR(INDEX('2 Staff List'!FW$64:FW$114,$AH287),0)</f>
        <v>0</v>
      </c>
      <c r="BQ287" s="25">
        <f>IFERROR(INDEX('2 Staff List'!FX$64:FX$114,$AH287),0)</f>
        <v>0</v>
      </c>
      <c r="BR287" s="25">
        <f>IFERROR(INDEX('2 Staff List'!FY$64:FY$114,$AH287),0)</f>
        <v>0</v>
      </c>
      <c r="BS287" s="25">
        <f>IFERROR(INDEX('2 Staff List'!FZ$64:FZ$114,$AH287),0)</f>
        <v>0</v>
      </c>
      <c r="BT287" s="25">
        <f>IFERROR(INDEX('2 Staff List'!GA$64:GA$114,$AH287),0)</f>
        <v>0</v>
      </c>
      <c r="BU287" s="25">
        <f>IFERROR(INDEX('2 Staff List'!GB$64:GB$114,$AH287),0)</f>
        <v>0</v>
      </c>
      <c r="BV287" s="25">
        <f>IFERROR(INDEX('2 Staff List'!GC$64:GC$114,$AH287),0)</f>
        <v>0</v>
      </c>
      <c r="BW287" s="25">
        <f t="shared" si="827"/>
        <v>0</v>
      </c>
      <c r="BX287" s="25">
        <f t="shared" si="798"/>
        <v>0</v>
      </c>
      <c r="BY287" s="25">
        <f t="shared" si="799"/>
        <v>0</v>
      </c>
      <c r="BZ287" s="25">
        <f t="shared" si="800"/>
        <v>0</v>
      </c>
      <c r="CA287" s="25">
        <f t="shared" si="801"/>
        <v>0</v>
      </c>
      <c r="CB287" s="25">
        <f t="shared" si="802"/>
        <v>0</v>
      </c>
      <c r="CC287" s="25">
        <f t="shared" si="803"/>
        <v>0</v>
      </c>
      <c r="CD287" s="25">
        <f t="shared" si="804"/>
        <v>0</v>
      </c>
      <c r="CE287" s="25">
        <f t="shared" si="805"/>
        <v>0</v>
      </c>
      <c r="CF287" s="25">
        <f t="shared" si="806"/>
        <v>0</v>
      </c>
      <c r="CG287" s="25">
        <f t="shared" si="807"/>
        <v>0</v>
      </c>
      <c r="CH287" s="25">
        <f>IFERROR(INDEX('2 Staff List'!LO$64:LO$114,$AH287),0)</f>
        <v>0</v>
      </c>
      <c r="CI287" s="25">
        <f>IFERROR(INDEX('2 Staff List'!LP$64:LP$114,$AH287),0)</f>
        <v>0</v>
      </c>
      <c r="CJ287" s="25">
        <f>IFERROR(INDEX('2 Staff List'!LQ$64:LQ$114,$AH287),0)</f>
        <v>0</v>
      </c>
      <c r="CK287" s="25">
        <f>IFERROR(INDEX('2 Staff List'!LR$64:LR$114,$AH287),0)</f>
        <v>0</v>
      </c>
      <c r="CL287" s="25">
        <f>IFERROR(INDEX('2 Staff List'!LS$64:LS$114,$AH287),0)</f>
        <v>0</v>
      </c>
      <c r="CM287" s="25">
        <f>IFERROR(INDEX('2 Staff List'!LT$64:LT$114,$AH287),0)</f>
        <v>0</v>
      </c>
      <c r="CN287" s="25">
        <f>IFERROR(INDEX('2 Staff List'!LU$64:LU$114,$AH287),0)</f>
        <v>0</v>
      </c>
      <c r="CO287" s="25">
        <f>IFERROR(INDEX('2 Staff List'!LV$64:LV$114,$AH287),0)</f>
        <v>0</v>
      </c>
      <c r="CP287" s="25">
        <f>IFERROR(INDEX('2 Staff List'!LW$64:LW$114,$AH287),0)</f>
        <v>0</v>
      </c>
      <c r="CQ287" s="25">
        <f>IFERROR(INDEX('2 Staff List'!LX$64:LX$114,$AH287),0)</f>
        <v>0</v>
      </c>
      <c r="CR287" s="25">
        <f t="shared" si="828"/>
        <v>0</v>
      </c>
      <c r="CS287" s="25">
        <f t="shared" si="840"/>
        <v>1</v>
      </c>
      <c r="CT287" s="25">
        <f t="shared" si="837"/>
        <v>1</v>
      </c>
      <c r="CU287" s="25">
        <f t="shared" si="822"/>
        <v>1</v>
      </c>
      <c r="CV287" s="25">
        <f t="shared" si="808"/>
        <v>1</v>
      </c>
      <c r="CW287" s="25">
        <f t="shared" si="829"/>
        <v>1</v>
      </c>
      <c r="CX287" s="25">
        <f t="shared" si="809"/>
        <v>0</v>
      </c>
      <c r="CY287" s="25">
        <f t="shared" si="779"/>
        <v>0</v>
      </c>
      <c r="CZ287" s="25">
        <f t="shared" si="830"/>
        <v>0</v>
      </c>
      <c r="DA287" s="25">
        <f t="shared" si="810"/>
        <v>1</v>
      </c>
      <c r="DB287" s="25">
        <f t="shared" si="817"/>
        <v>1</v>
      </c>
      <c r="DC287" s="25">
        <f t="shared" si="838"/>
        <v>0</v>
      </c>
      <c r="DD287" s="25">
        <f>IF(OR($AD287&lt;&gt;3,F287="Exclude"),0,IF(ISERROR(MATCH($E287,'4 Sign-off'!$S$123:$X$123,0)),0,1))</f>
        <v>0</v>
      </c>
      <c r="DE287" s="25">
        <f t="shared" si="782"/>
        <v>0</v>
      </c>
      <c r="DF287" s="25">
        <f t="shared" si="831"/>
        <v>0</v>
      </c>
      <c r="DG287" s="25" t="str">
        <f t="shared" si="832"/>
        <v/>
      </c>
      <c r="DH287" s="25">
        <f t="shared" si="780"/>
        <v>0</v>
      </c>
      <c r="DI287" s="25">
        <f t="shared" si="778"/>
        <v>0</v>
      </c>
      <c r="DJ287" s="25">
        <f>IF(ISBLANK(J287),0,ISERROR(MATCH(J287,'5  Control Accounts'!$FA$29:$FA$96,0))*1)</f>
        <v>0</v>
      </c>
      <c r="DK287" s="25">
        <f t="shared" si="811"/>
        <v>0</v>
      </c>
      <c r="DL287" s="25">
        <f t="shared" si="818"/>
        <v>-1</v>
      </c>
      <c r="DM287" s="25" t="e">
        <f t="array" ref="DM287">MATCH(1,($EG287:$JD287&gt;0)*$EG$17:$JD$17,0)</f>
        <v>#N/A</v>
      </c>
      <c r="DN287" s="25" t="e">
        <f t="shared" si="841"/>
        <v>#N/A</v>
      </c>
      <c r="DO287" s="25" t="e">
        <f t="array" ref="DO287">MATCH(2,1/(EG287:JD287&gt;0))</f>
        <v>#N/A</v>
      </c>
      <c r="DP287" s="2993">
        <f t="shared" si="812"/>
        <v>0</v>
      </c>
      <c r="DQ287" s="3037">
        <f t="shared" si="813"/>
        <v>0</v>
      </c>
      <c r="DR287" s="111"/>
      <c r="DS287" s="1268">
        <f t="shared" si="781"/>
        <v>0</v>
      </c>
      <c r="DT287" s="1825"/>
      <c r="DU287" s="1826"/>
      <c r="DV287" s="1827"/>
      <c r="DW287" s="1828"/>
      <c r="DX287" s="659"/>
      <c r="DY287" s="1265"/>
      <c r="DZ287" s="1785">
        <f t="shared" si="833"/>
        <v>0</v>
      </c>
      <c r="EA287" s="1786">
        <f t="shared" si="839"/>
        <v>0</v>
      </c>
      <c r="EB287" s="1781">
        <f t="shared" si="842"/>
        <v>0</v>
      </c>
      <c r="EC287" s="1782">
        <f t="shared" si="843"/>
        <v>0</v>
      </c>
      <c r="ED287" s="1262"/>
      <c r="EE287" s="2280"/>
      <c r="EF287" s="1802"/>
      <c r="EG287" s="167"/>
      <c r="EH287" s="168"/>
      <c r="EI287" s="168"/>
      <c r="EJ287" s="168"/>
      <c r="EK287" s="168"/>
      <c r="EL287" s="168"/>
      <c r="EM287" s="168"/>
      <c r="EN287" s="168"/>
      <c r="EO287" s="168"/>
      <c r="EP287" s="168"/>
      <c r="EQ287" s="168"/>
      <c r="ER287" s="168"/>
      <c r="ES287" s="168"/>
      <c r="ET287" s="168"/>
      <c r="EU287" s="168"/>
      <c r="EV287" s="168"/>
      <c r="EW287" s="168"/>
      <c r="EX287" s="168"/>
      <c r="EY287" s="168"/>
      <c r="EZ287" s="168"/>
      <c r="FA287" s="168"/>
      <c r="FB287" s="168"/>
      <c r="FC287" s="168"/>
      <c r="FD287" s="168"/>
      <c r="FE287" s="168"/>
      <c r="FF287" s="168"/>
      <c r="FG287" s="168"/>
      <c r="FH287" s="168"/>
      <c r="FI287" s="168"/>
      <c r="FJ287" s="168"/>
      <c r="FK287" s="168"/>
      <c r="FL287" s="168"/>
      <c r="FM287" s="168"/>
      <c r="FN287" s="168"/>
      <c r="FO287" s="168"/>
      <c r="FP287" s="168"/>
      <c r="FQ287" s="168"/>
      <c r="FR287" s="168"/>
      <c r="FS287" s="168"/>
      <c r="FT287" s="168"/>
      <c r="FU287" s="168"/>
      <c r="FV287" s="168"/>
      <c r="FW287" s="168"/>
      <c r="FX287" s="168"/>
      <c r="FY287" s="168"/>
      <c r="FZ287" s="168"/>
      <c r="GA287" s="168"/>
      <c r="GB287" s="168"/>
      <c r="GC287" s="168"/>
      <c r="GD287" s="168"/>
      <c r="GE287" s="168"/>
      <c r="GF287" s="168"/>
      <c r="GG287" s="168"/>
      <c r="GH287" s="168"/>
      <c r="GI287" s="168"/>
      <c r="GJ287" s="168"/>
      <c r="GK287" s="168"/>
      <c r="GL287" s="168"/>
      <c r="GM287" s="168"/>
      <c r="GN287" s="168"/>
      <c r="GO287" s="168"/>
      <c r="GP287" s="168"/>
      <c r="GQ287" s="168"/>
      <c r="GR287" s="168"/>
      <c r="GS287" s="168"/>
      <c r="GT287" s="168"/>
      <c r="GU287" s="168"/>
      <c r="GV287" s="168"/>
      <c r="GW287" s="168"/>
      <c r="GX287" s="168"/>
      <c r="GY287" s="168"/>
      <c r="GZ287" s="168"/>
      <c r="HA287" s="168"/>
      <c r="HB287" s="168"/>
      <c r="HC287" s="168"/>
      <c r="HD287" s="168"/>
      <c r="HE287" s="168"/>
      <c r="HF287" s="168"/>
      <c r="HG287" s="168"/>
      <c r="HH287" s="168"/>
      <c r="HI287" s="168"/>
      <c r="HJ287" s="168"/>
      <c r="HK287" s="168"/>
      <c r="HL287" s="168"/>
      <c r="HM287" s="168"/>
      <c r="HN287" s="168"/>
      <c r="HO287" s="168"/>
      <c r="HP287" s="168"/>
      <c r="HQ287" s="168"/>
      <c r="HR287" s="168"/>
      <c r="HS287" s="168"/>
      <c r="HT287" s="168"/>
      <c r="HU287" s="168"/>
      <c r="HV287" s="168"/>
      <c r="HW287" s="168"/>
      <c r="HX287" s="168"/>
      <c r="HY287" s="168"/>
      <c r="HZ287" s="168"/>
      <c r="IA287" s="168"/>
      <c r="IB287" s="168"/>
      <c r="IC287" s="168"/>
      <c r="ID287" s="168"/>
      <c r="IE287" s="168"/>
      <c r="IF287" s="168"/>
      <c r="IG287" s="168"/>
      <c r="IH287" s="168"/>
      <c r="II287" s="168"/>
      <c r="IJ287" s="168"/>
      <c r="IK287" s="168"/>
      <c r="IL287" s="168"/>
      <c r="IM287" s="168"/>
      <c r="IN287" s="168"/>
      <c r="IO287" s="168"/>
      <c r="IP287" s="168"/>
      <c r="IQ287" s="168"/>
      <c r="IR287" s="168"/>
      <c r="IS287" s="168"/>
      <c r="IT287" s="168"/>
      <c r="IU287" s="168"/>
      <c r="IV287" s="168"/>
      <c r="IW287" s="168"/>
      <c r="IX287" s="168"/>
      <c r="IY287" s="168"/>
      <c r="IZ287" s="168"/>
      <c r="JA287" s="168"/>
      <c r="JB287" s="168"/>
      <c r="JC287" s="606"/>
      <c r="JD287" s="609"/>
      <c r="JE287" s="1"/>
      <c r="JF287" s="1"/>
    </row>
    <row r="288" spans="1:266" s="2" customFormat="1" ht="15" customHeight="1" x14ac:dyDescent="0.25">
      <c r="A288" s="283"/>
      <c r="B288" s="303"/>
      <c r="C288" s="301"/>
      <c r="D288" s="638"/>
      <c r="E288" s="2298"/>
      <c r="F288" s="1812"/>
      <c r="G288" s="3342"/>
      <c r="H288" s="66"/>
      <c r="I288" s="1746"/>
      <c r="J288" s="86"/>
      <c r="K288" s="105"/>
      <c r="L288" s="91"/>
      <c r="M288" s="92"/>
      <c r="N288" s="93"/>
      <c r="O288" s="94"/>
      <c r="P288" s="94"/>
      <c r="Q288" s="97"/>
      <c r="R288" s="993">
        <f t="shared" si="823"/>
        <v>0</v>
      </c>
      <c r="S288" s="23">
        <f t="shared" si="783"/>
        <v>0</v>
      </c>
      <c r="T288" s="24">
        <f t="shared" si="834"/>
        <v>0</v>
      </c>
      <c r="U288" s="24">
        <f t="shared" si="835"/>
        <v>0</v>
      </c>
      <c r="V288" s="24">
        <f t="shared" si="785"/>
        <v>0</v>
      </c>
      <c r="W288" s="24">
        <f t="shared" si="819"/>
        <v>0</v>
      </c>
      <c r="X288" s="72">
        <f t="shared" si="786"/>
        <v>0</v>
      </c>
      <c r="Y288" s="72">
        <f t="shared" si="836"/>
        <v>0</v>
      </c>
      <c r="Z288" s="24">
        <f t="shared" si="824"/>
        <v>0</v>
      </c>
      <c r="AA288" s="72">
        <f t="shared" si="787"/>
        <v>0</v>
      </c>
      <c r="AB288" s="24">
        <f t="shared" si="820"/>
        <v>0</v>
      </c>
      <c r="AC288" s="24" t="s">
        <v>5</v>
      </c>
      <c r="AD288" s="25">
        <f t="shared" si="814"/>
        <v>3</v>
      </c>
      <c r="AE288" s="25">
        <f t="shared" si="815"/>
        <v>0</v>
      </c>
      <c r="AF288" s="25">
        <f t="shared" si="816"/>
        <v>0</v>
      </c>
      <c r="AG288" s="25">
        <f t="shared" si="784"/>
        <v>1</v>
      </c>
      <c r="AH288" s="25" t="str">
        <f>IFERROR(MATCH(DY288,'2 Staff List'!$IA$64:$IA$114,0),"x")</f>
        <v>x</v>
      </c>
      <c r="AI288" s="1181">
        <f>IFERROR(INDEX('2 Staff List'!$EX$64:$EX$114,$AH288),0)</f>
        <v>0</v>
      </c>
      <c r="AJ288" s="25">
        <f>IFERROR(INDEX('2 Staff List'!$IW$64:$IW$114,$AH288),0)</f>
        <v>0</v>
      </c>
      <c r="AK288" s="25">
        <f>IFERROR(INDEX('2 Staff List'!$IB$64:$IB$114,$AH288),0)</f>
        <v>0</v>
      </c>
      <c r="AL288" s="25">
        <f>IF(OR(NOT(ISBLANK(DV288)),CX288=1),"&lt;Non-Labor&gt;",IFERROR(IF(AH288=0,0,INDEX('2 Staff List'!$HZ$64:$HZ$114,$AH288)),0))</f>
        <v>0</v>
      </c>
      <c r="AM288" s="25">
        <f>IFERROR(INDEX('2 Staff List'!$HW$64:$HW$114,$AH288),0)</f>
        <v>0</v>
      </c>
      <c r="AN288" s="25">
        <f t="shared" si="825"/>
        <v>1</v>
      </c>
      <c r="AO288" s="25">
        <f>IF($AO$127=0,0,IFERROR(INDEX('2 Staff List'!$JH$64:$JH$114,$AH288),0))</f>
        <v>0</v>
      </c>
      <c r="AP288" s="25">
        <f>IFERROR(INDEX('2 Staff List'!$HU$64:$HU$114,$AH288),0)</f>
        <v>0</v>
      </c>
      <c r="AQ288" s="25">
        <f t="shared" si="821"/>
        <v>0</v>
      </c>
      <c r="AR288" s="25">
        <f t="shared" si="826"/>
        <v>0</v>
      </c>
      <c r="AS288" s="25">
        <f t="shared" si="788"/>
        <v>0</v>
      </c>
      <c r="AT288" s="25">
        <f t="shared" si="789"/>
        <v>0</v>
      </c>
      <c r="AU288" s="25">
        <f t="shared" si="790"/>
        <v>0</v>
      </c>
      <c r="AV288" s="25">
        <f t="shared" si="791"/>
        <v>0</v>
      </c>
      <c r="AW288" s="25">
        <f t="shared" si="792"/>
        <v>0</v>
      </c>
      <c r="AX288" s="25">
        <f t="shared" si="793"/>
        <v>0</v>
      </c>
      <c r="AY288" s="25">
        <f t="shared" si="794"/>
        <v>0</v>
      </c>
      <c r="AZ288" s="25">
        <f t="shared" si="795"/>
        <v>0</v>
      </c>
      <c r="BA288" s="25">
        <f t="shared" si="796"/>
        <v>0</v>
      </c>
      <c r="BB288" s="25">
        <f t="shared" si="797"/>
        <v>0</v>
      </c>
      <c r="BC288" s="25">
        <f>IFERROR(INDEX('2 Staff List'!KS$64:KS$114,$AH288),0)</f>
        <v>0</v>
      </c>
      <c r="BD288" s="25">
        <f>IFERROR(INDEX('2 Staff List'!KT$64:KT$114,$AH288),0)</f>
        <v>0</v>
      </c>
      <c r="BE288" s="25">
        <f>IFERROR(INDEX('2 Staff List'!KU$64:KU$114,$AH288),0)</f>
        <v>0</v>
      </c>
      <c r="BF288" s="25">
        <f>IFERROR(INDEX('2 Staff List'!KV$64:KV$114,$AH288),0)</f>
        <v>0</v>
      </c>
      <c r="BG288" s="25">
        <f>IFERROR(INDEX('2 Staff List'!KW$64:KW$114,$AH288),0)</f>
        <v>0</v>
      </c>
      <c r="BH288" s="25">
        <f>IFERROR(INDEX('2 Staff List'!KX$64:KX$114,$AH288),0)</f>
        <v>0</v>
      </c>
      <c r="BI288" s="25">
        <f>IFERROR(INDEX('2 Staff List'!KY$64:KY$114,$AH288),0)</f>
        <v>0</v>
      </c>
      <c r="BJ288" s="25">
        <f>IFERROR(INDEX('2 Staff List'!KZ$64:KZ$114,$AH288),0)</f>
        <v>0</v>
      </c>
      <c r="BK288" s="25">
        <f>IFERROR(INDEX('2 Staff List'!LA$64:LA$114,$AH288),0)</f>
        <v>0</v>
      </c>
      <c r="BL288" s="25">
        <f>IFERROR(INDEX('2 Staff List'!LB$64:LB$114,$AH288),0)</f>
        <v>0</v>
      </c>
      <c r="BM288" s="25">
        <f>IFERROR(INDEX('2 Staff List'!FT$64:FT$114,$AH288),0)</f>
        <v>0</v>
      </c>
      <c r="BN288" s="25">
        <f>IFERROR(INDEX('2 Staff List'!FU$64:FU$114,$AH288),0)</f>
        <v>0</v>
      </c>
      <c r="BO288" s="25">
        <f>IFERROR(INDEX('2 Staff List'!FV$64:FV$114,$AH288),0)</f>
        <v>0</v>
      </c>
      <c r="BP288" s="25">
        <f>IFERROR(INDEX('2 Staff List'!FW$64:FW$114,$AH288),0)</f>
        <v>0</v>
      </c>
      <c r="BQ288" s="25">
        <f>IFERROR(INDEX('2 Staff List'!FX$64:FX$114,$AH288),0)</f>
        <v>0</v>
      </c>
      <c r="BR288" s="25">
        <f>IFERROR(INDEX('2 Staff List'!FY$64:FY$114,$AH288),0)</f>
        <v>0</v>
      </c>
      <c r="BS288" s="25">
        <f>IFERROR(INDEX('2 Staff List'!FZ$64:FZ$114,$AH288),0)</f>
        <v>0</v>
      </c>
      <c r="BT288" s="25">
        <f>IFERROR(INDEX('2 Staff List'!GA$64:GA$114,$AH288),0)</f>
        <v>0</v>
      </c>
      <c r="BU288" s="25">
        <f>IFERROR(INDEX('2 Staff List'!GB$64:GB$114,$AH288),0)</f>
        <v>0</v>
      </c>
      <c r="BV288" s="25">
        <f>IFERROR(INDEX('2 Staff List'!GC$64:GC$114,$AH288),0)</f>
        <v>0</v>
      </c>
      <c r="BW288" s="25">
        <f t="shared" si="827"/>
        <v>0</v>
      </c>
      <c r="BX288" s="25">
        <f t="shared" si="798"/>
        <v>0</v>
      </c>
      <c r="BY288" s="25">
        <f t="shared" si="799"/>
        <v>0</v>
      </c>
      <c r="BZ288" s="25">
        <f t="shared" si="800"/>
        <v>0</v>
      </c>
      <c r="CA288" s="25">
        <f t="shared" si="801"/>
        <v>0</v>
      </c>
      <c r="CB288" s="25">
        <f t="shared" si="802"/>
        <v>0</v>
      </c>
      <c r="CC288" s="25">
        <f t="shared" si="803"/>
        <v>0</v>
      </c>
      <c r="CD288" s="25">
        <f t="shared" si="804"/>
        <v>0</v>
      </c>
      <c r="CE288" s="25">
        <f t="shared" si="805"/>
        <v>0</v>
      </c>
      <c r="CF288" s="25">
        <f t="shared" si="806"/>
        <v>0</v>
      </c>
      <c r="CG288" s="25">
        <f t="shared" si="807"/>
        <v>0</v>
      </c>
      <c r="CH288" s="25">
        <f>IFERROR(INDEX('2 Staff List'!LO$64:LO$114,$AH288),0)</f>
        <v>0</v>
      </c>
      <c r="CI288" s="25">
        <f>IFERROR(INDEX('2 Staff List'!LP$64:LP$114,$AH288),0)</f>
        <v>0</v>
      </c>
      <c r="CJ288" s="25">
        <f>IFERROR(INDEX('2 Staff List'!LQ$64:LQ$114,$AH288),0)</f>
        <v>0</v>
      </c>
      <c r="CK288" s="25">
        <f>IFERROR(INDEX('2 Staff List'!LR$64:LR$114,$AH288),0)</f>
        <v>0</v>
      </c>
      <c r="CL288" s="25">
        <f>IFERROR(INDEX('2 Staff List'!LS$64:LS$114,$AH288),0)</f>
        <v>0</v>
      </c>
      <c r="CM288" s="25">
        <f>IFERROR(INDEX('2 Staff List'!LT$64:LT$114,$AH288),0)</f>
        <v>0</v>
      </c>
      <c r="CN288" s="25">
        <f>IFERROR(INDEX('2 Staff List'!LU$64:LU$114,$AH288),0)</f>
        <v>0</v>
      </c>
      <c r="CO288" s="25">
        <f>IFERROR(INDEX('2 Staff List'!LV$64:LV$114,$AH288),0)</f>
        <v>0</v>
      </c>
      <c r="CP288" s="25">
        <f>IFERROR(INDEX('2 Staff List'!LW$64:LW$114,$AH288),0)</f>
        <v>0</v>
      </c>
      <c r="CQ288" s="25">
        <f>IFERROR(INDEX('2 Staff List'!LX$64:LX$114,$AH288),0)</f>
        <v>0</v>
      </c>
      <c r="CR288" s="25">
        <f t="shared" si="828"/>
        <v>0</v>
      </c>
      <c r="CS288" s="25">
        <f t="shared" si="840"/>
        <v>1</v>
      </c>
      <c r="CT288" s="25">
        <f t="shared" si="837"/>
        <v>1</v>
      </c>
      <c r="CU288" s="25">
        <f t="shared" si="822"/>
        <v>1</v>
      </c>
      <c r="CV288" s="25">
        <f t="shared" si="808"/>
        <v>1</v>
      </c>
      <c r="CW288" s="25">
        <f t="shared" si="829"/>
        <v>1</v>
      </c>
      <c r="CX288" s="25">
        <f t="shared" si="809"/>
        <v>0</v>
      </c>
      <c r="CY288" s="25">
        <f t="shared" si="779"/>
        <v>0</v>
      </c>
      <c r="CZ288" s="25">
        <f t="shared" si="830"/>
        <v>0</v>
      </c>
      <c r="DA288" s="25">
        <f t="shared" si="810"/>
        <v>1</v>
      </c>
      <c r="DB288" s="25">
        <f t="shared" si="817"/>
        <v>1</v>
      </c>
      <c r="DC288" s="25">
        <f t="shared" si="838"/>
        <v>0</v>
      </c>
      <c r="DD288" s="25">
        <f>IF(OR($AD288&lt;&gt;3,F288="Exclude"),0,IF(ISERROR(MATCH($E288,'4 Sign-off'!$S$123:$X$123,0)),0,1))</f>
        <v>0</v>
      </c>
      <c r="DE288" s="25">
        <f t="shared" si="782"/>
        <v>0</v>
      </c>
      <c r="DF288" s="25">
        <f t="shared" si="831"/>
        <v>0</v>
      </c>
      <c r="DG288" s="25" t="str">
        <f t="shared" si="832"/>
        <v/>
      </c>
      <c r="DH288" s="25">
        <f t="shared" si="780"/>
        <v>0</v>
      </c>
      <c r="DI288" s="25">
        <f t="shared" si="778"/>
        <v>0</v>
      </c>
      <c r="DJ288" s="25">
        <f>IF(ISBLANK(J288),0,ISERROR(MATCH(J288,'5  Control Accounts'!$FA$29:$FA$96,0))*1)</f>
        <v>0</v>
      </c>
      <c r="DK288" s="25">
        <f t="shared" si="811"/>
        <v>0</v>
      </c>
      <c r="DL288" s="25">
        <f t="shared" si="818"/>
        <v>-1</v>
      </c>
      <c r="DM288" s="25" t="e">
        <f t="array" ref="DM288">MATCH(1,($EG288:$JD288&gt;0)*$EG$17:$JD$17,0)</f>
        <v>#N/A</v>
      </c>
      <c r="DN288" s="25" t="e">
        <f t="shared" si="841"/>
        <v>#N/A</v>
      </c>
      <c r="DO288" s="25" t="e">
        <f t="array" ref="DO288">MATCH(2,1/(EG288:JD288&gt;0))</f>
        <v>#N/A</v>
      </c>
      <c r="DP288" s="2993">
        <f t="shared" si="812"/>
        <v>0</v>
      </c>
      <c r="DQ288" s="3037">
        <f t="shared" si="813"/>
        <v>0</v>
      </c>
      <c r="DR288" s="111"/>
      <c r="DS288" s="1268">
        <f t="shared" si="781"/>
        <v>0</v>
      </c>
      <c r="DT288" s="1825"/>
      <c r="DU288" s="1826"/>
      <c r="DV288" s="1827"/>
      <c r="DW288" s="1828"/>
      <c r="DX288" s="659"/>
      <c r="DY288" s="1265"/>
      <c r="DZ288" s="1785">
        <f t="shared" si="833"/>
        <v>0</v>
      </c>
      <c r="EA288" s="1786">
        <f t="shared" si="839"/>
        <v>0</v>
      </c>
      <c r="EB288" s="1781">
        <f t="shared" si="842"/>
        <v>0</v>
      </c>
      <c r="EC288" s="1782">
        <f t="shared" si="843"/>
        <v>0</v>
      </c>
      <c r="ED288" s="1262"/>
      <c r="EE288" s="2280"/>
      <c r="EF288" s="1802"/>
      <c r="EG288" s="167"/>
      <c r="EH288" s="168"/>
      <c r="EI288" s="168"/>
      <c r="EJ288" s="168"/>
      <c r="EK288" s="168"/>
      <c r="EL288" s="168"/>
      <c r="EM288" s="168"/>
      <c r="EN288" s="168"/>
      <c r="EO288" s="168"/>
      <c r="EP288" s="168"/>
      <c r="EQ288" s="168"/>
      <c r="ER288" s="168"/>
      <c r="ES288" s="168"/>
      <c r="ET288" s="168"/>
      <c r="EU288" s="168"/>
      <c r="EV288" s="168"/>
      <c r="EW288" s="168"/>
      <c r="EX288" s="168"/>
      <c r="EY288" s="168"/>
      <c r="EZ288" s="168"/>
      <c r="FA288" s="168"/>
      <c r="FB288" s="168"/>
      <c r="FC288" s="168"/>
      <c r="FD288" s="168"/>
      <c r="FE288" s="168"/>
      <c r="FF288" s="168"/>
      <c r="FG288" s="168"/>
      <c r="FH288" s="168"/>
      <c r="FI288" s="168"/>
      <c r="FJ288" s="168"/>
      <c r="FK288" s="168"/>
      <c r="FL288" s="168"/>
      <c r="FM288" s="168"/>
      <c r="FN288" s="168"/>
      <c r="FO288" s="168"/>
      <c r="FP288" s="168"/>
      <c r="FQ288" s="168"/>
      <c r="FR288" s="168"/>
      <c r="FS288" s="168"/>
      <c r="FT288" s="168"/>
      <c r="FU288" s="168"/>
      <c r="FV288" s="168"/>
      <c r="FW288" s="168"/>
      <c r="FX288" s="168"/>
      <c r="FY288" s="168"/>
      <c r="FZ288" s="168"/>
      <c r="GA288" s="168"/>
      <c r="GB288" s="168"/>
      <c r="GC288" s="168"/>
      <c r="GD288" s="168"/>
      <c r="GE288" s="168"/>
      <c r="GF288" s="168"/>
      <c r="GG288" s="168"/>
      <c r="GH288" s="168"/>
      <c r="GI288" s="168"/>
      <c r="GJ288" s="168"/>
      <c r="GK288" s="168"/>
      <c r="GL288" s="168"/>
      <c r="GM288" s="168"/>
      <c r="GN288" s="168"/>
      <c r="GO288" s="168"/>
      <c r="GP288" s="168"/>
      <c r="GQ288" s="168"/>
      <c r="GR288" s="168"/>
      <c r="GS288" s="168"/>
      <c r="GT288" s="168"/>
      <c r="GU288" s="168"/>
      <c r="GV288" s="168"/>
      <c r="GW288" s="168"/>
      <c r="GX288" s="168"/>
      <c r="GY288" s="168"/>
      <c r="GZ288" s="168"/>
      <c r="HA288" s="168"/>
      <c r="HB288" s="168"/>
      <c r="HC288" s="168"/>
      <c r="HD288" s="168"/>
      <c r="HE288" s="168"/>
      <c r="HF288" s="168"/>
      <c r="HG288" s="168"/>
      <c r="HH288" s="168"/>
      <c r="HI288" s="168"/>
      <c r="HJ288" s="168"/>
      <c r="HK288" s="168"/>
      <c r="HL288" s="168"/>
      <c r="HM288" s="168"/>
      <c r="HN288" s="168"/>
      <c r="HO288" s="168"/>
      <c r="HP288" s="168"/>
      <c r="HQ288" s="168"/>
      <c r="HR288" s="168"/>
      <c r="HS288" s="168"/>
      <c r="HT288" s="168"/>
      <c r="HU288" s="168"/>
      <c r="HV288" s="168"/>
      <c r="HW288" s="168"/>
      <c r="HX288" s="168"/>
      <c r="HY288" s="168"/>
      <c r="HZ288" s="168"/>
      <c r="IA288" s="168"/>
      <c r="IB288" s="168"/>
      <c r="IC288" s="168"/>
      <c r="ID288" s="168"/>
      <c r="IE288" s="168"/>
      <c r="IF288" s="168"/>
      <c r="IG288" s="168"/>
      <c r="IH288" s="168"/>
      <c r="II288" s="168"/>
      <c r="IJ288" s="168"/>
      <c r="IK288" s="168"/>
      <c r="IL288" s="168"/>
      <c r="IM288" s="168"/>
      <c r="IN288" s="168"/>
      <c r="IO288" s="168"/>
      <c r="IP288" s="168"/>
      <c r="IQ288" s="168"/>
      <c r="IR288" s="168"/>
      <c r="IS288" s="168"/>
      <c r="IT288" s="168"/>
      <c r="IU288" s="168"/>
      <c r="IV288" s="168"/>
      <c r="IW288" s="168"/>
      <c r="IX288" s="168"/>
      <c r="IY288" s="168"/>
      <c r="IZ288" s="168"/>
      <c r="JA288" s="168"/>
      <c r="JB288" s="168"/>
      <c r="JC288" s="606"/>
      <c r="JD288" s="609"/>
      <c r="JE288" s="1"/>
      <c r="JF288" s="1"/>
    </row>
    <row r="289" spans="1:266" s="2" customFormat="1" ht="15" customHeight="1" x14ac:dyDescent="0.25">
      <c r="A289" s="283"/>
      <c r="B289" s="303"/>
      <c r="C289" s="301"/>
      <c r="D289" s="638"/>
      <c r="E289" s="2298"/>
      <c r="F289" s="1812"/>
      <c r="G289" s="3342"/>
      <c r="H289" s="66"/>
      <c r="I289" s="1746"/>
      <c r="J289" s="86"/>
      <c r="K289" s="105"/>
      <c r="L289" s="91"/>
      <c r="M289" s="92"/>
      <c r="N289" s="93"/>
      <c r="O289" s="94"/>
      <c r="P289" s="94"/>
      <c r="Q289" s="97"/>
      <c r="R289" s="993">
        <f t="shared" si="823"/>
        <v>0</v>
      </c>
      <c r="S289" s="23">
        <f t="shared" si="783"/>
        <v>0</v>
      </c>
      <c r="T289" s="24">
        <f t="shared" si="834"/>
        <v>0</v>
      </c>
      <c r="U289" s="24">
        <f t="shared" si="835"/>
        <v>0</v>
      </c>
      <c r="V289" s="24">
        <f t="shared" si="785"/>
        <v>0</v>
      </c>
      <c r="W289" s="24">
        <f t="shared" si="819"/>
        <v>0</v>
      </c>
      <c r="X289" s="72">
        <f t="shared" si="786"/>
        <v>0</v>
      </c>
      <c r="Y289" s="72">
        <f t="shared" si="836"/>
        <v>0</v>
      </c>
      <c r="Z289" s="24">
        <f t="shared" si="824"/>
        <v>0</v>
      </c>
      <c r="AA289" s="72">
        <f t="shared" si="787"/>
        <v>0</v>
      </c>
      <c r="AB289" s="24">
        <f t="shared" si="820"/>
        <v>0</v>
      </c>
      <c r="AC289" s="24" t="s">
        <v>5</v>
      </c>
      <c r="AD289" s="25">
        <f t="shared" si="814"/>
        <v>3</v>
      </c>
      <c r="AE289" s="25">
        <f t="shared" si="815"/>
        <v>0</v>
      </c>
      <c r="AF289" s="25">
        <f t="shared" si="816"/>
        <v>0</v>
      </c>
      <c r="AG289" s="25">
        <f t="shared" si="784"/>
        <v>1</v>
      </c>
      <c r="AH289" s="25" t="str">
        <f>IFERROR(MATCH(DY289,'2 Staff List'!$IA$64:$IA$114,0),"x")</f>
        <v>x</v>
      </c>
      <c r="AI289" s="1181">
        <f>IFERROR(INDEX('2 Staff List'!$EX$64:$EX$114,$AH289),0)</f>
        <v>0</v>
      </c>
      <c r="AJ289" s="25">
        <f>IFERROR(INDEX('2 Staff List'!$IW$64:$IW$114,$AH289),0)</f>
        <v>0</v>
      </c>
      <c r="AK289" s="25">
        <f>IFERROR(INDEX('2 Staff List'!$IB$64:$IB$114,$AH289),0)</f>
        <v>0</v>
      </c>
      <c r="AL289" s="25">
        <f>IF(OR(NOT(ISBLANK(DV289)),CX289=1),"&lt;Non-Labor&gt;",IFERROR(IF(AH289=0,0,INDEX('2 Staff List'!$HZ$64:$HZ$114,$AH289)),0))</f>
        <v>0</v>
      </c>
      <c r="AM289" s="25">
        <f>IFERROR(INDEX('2 Staff List'!$HW$64:$HW$114,$AH289),0)</f>
        <v>0</v>
      </c>
      <c r="AN289" s="25">
        <f t="shared" si="825"/>
        <v>1</v>
      </c>
      <c r="AO289" s="25">
        <f>IF($AO$127=0,0,IFERROR(INDEX('2 Staff List'!$JH$64:$JH$114,$AH289),0))</f>
        <v>0</v>
      </c>
      <c r="AP289" s="25">
        <f>IFERROR(INDEX('2 Staff List'!$HU$64:$HU$114,$AH289),0)</f>
        <v>0</v>
      </c>
      <c r="AQ289" s="25">
        <f t="shared" si="821"/>
        <v>0</v>
      </c>
      <c r="AR289" s="25">
        <f t="shared" si="826"/>
        <v>0</v>
      </c>
      <c r="AS289" s="25">
        <f t="shared" si="788"/>
        <v>0</v>
      </c>
      <c r="AT289" s="25">
        <f t="shared" si="789"/>
        <v>0</v>
      </c>
      <c r="AU289" s="25">
        <f t="shared" si="790"/>
        <v>0</v>
      </c>
      <c r="AV289" s="25">
        <f t="shared" si="791"/>
        <v>0</v>
      </c>
      <c r="AW289" s="25">
        <f t="shared" si="792"/>
        <v>0</v>
      </c>
      <c r="AX289" s="25">
        <f t="shared" si="793"/>
        <v>0</v>
      </c>
      <c r="AY289" s="25">
        <f t="shared" si="794"/>
        <v>0</v>
      </c>
      <c r="AZ289" s="25">
        <f t="shared" si="795"/>
        <v>0</v>
      </c>
      <c r="BA289" s="25">
        <f t="shared" si="796"/>
        <v>0</v>
      </c>
      <c r="BB289" s="25">
        <f t="shared" si="797"/>
        <v>0</v>
      </c>
      <c r="BC289" s="25">
        <f>IFERROR(INDEX('2 Staff List'!KS$64:KS$114,$AH289),0)</f>
        <v>0</v>
      </c>
      <c r="BD289" s="25">
        <f>IFERROR(INDEX('2 Staff List'!KT$64:KT$114,$AH289),0)</f>
        <v>0</v>
      </c>
      <c r="BE289" s="25">
        <f>IFERROR(INDEX('2 Staff List'!KU$64:KU$114,$AH289),0)</f>
        <v>0</v>
      </c>
      <c r="BF289" s="25">
        <f>IFERROR(INDEX('2 Staff List'!KV$64:KV$114,$AH289),0)</f>
        <v>0</v>
      </c>
      <c r="BG289" s="25">
        <f>IFERROR(INDEX('2 Staff List'!KW$64:KW$114,$AH289),0)</f>
        <v>0</v>
      </c>
      <c r="BH289" s="25">
        <f>IFERROR(INDEX('2 Staff List'!KX$64:KX$114,$AH289),0)</f>
        <v>0</v>
      </c>
      <c r="BI289" s="25">
        <f>IFERROR(INDEX('2 Staff List'!KY$64:KY$114,$AH289),0)</f>
        <v>0</v>
      </c>
      <c r="BJ289" s="25">
        <f>IFERROR(INDEX('2 Staff List'!KZ$64:KZ$114,$AH289),0)</f>
        <v>0</v>
      </c>
      <c r="BK289" s="25">
        <f>IFERROR(INDEX('2 Staff List'!LA$64:LA$114,$AH289),0)</f>
        <v>0</v>
      </c>
      <c r="BL289" s="25">
        <f>IFERROR(INDEX('2 Staff List'!LB$64:LB$114,$AH289),0)</f>
        <v>0</v>
      </c>
      <c r="BM289" s="25">
        <f>IFERROR(INDEX('2 Staff List'!FT$64:FT$114,$AH289),0)</f>
        <v>0</v>
      </c>
      <c r="BN289" s="25">
        <f>IFERROR(INDEX('2 Staff List'!FU$64:FU$114,$AH289),0)</f>
        <v>0</v>
      </c>
      <c r="BO289" s="25">
        <f>IFERROR(INDEX('2 Staff List'!FV$64:FV$114,$AH289),0)</f>
        <v>0</v>
      </c>
      <c r="BP289" s="25">
        <f>IFERROR(INDEX('2 Staff List'!FW$64:FW$114,$AH289),0)</f>
        <v>0</v>
      </c>
      <c r="BQ289" s="25">
        <f>IFERROR(INDEX('2 Staff List'!FX$64:FX$114,$AH289),0)</f>
        <v>0</v>
      </c>
      <c r="BR289" s="25">
        <f>IFERROR(INDEX('2 Staff List'!FY$64:FY$114,$AH289),0)</f>
        <v>0</v>
      </c>
      <c r="BS289" s="25">
        <f>IFERROR(INDEX('2 Staff List'!FZ$64:FZ$114,$AH289),0)</f>
        <v>0</v>
      </c>
      <c r="BT289" s="25">
        <f>IFERROR(INDEX('2 Staff List'!GA$64:GA$114,$AH289),0)</f>
        <v>0</v>
      </c>
      <c r="BU289" s="25">
        <f>IFERROR(INDEX('2 Staff List'!GB$64:GB$114,$AH289),0)</f>
        <v>0</v>
      </c>
      <c r="BV289" s="25">
        <f>IFERROR(INDEX('2 Staff List'!GC$64:GC$114,$AH289),0)</f>
        <v>0</v>
      </c>
      <c r="BW289" s="25">
        <f t="shared" si="827"/>
        <v>0</v>
      </c>
      <c r="BX289" s="25">
        <f t="shared" si="798"/>
        <v>0</v>
      </c>
      <c r="BY289" s="25">
        <f t="shared" si="799"/>
        <v>0</v>
      </c>
      <c r="BZ289" s="25">
        <f t="shared" si="800"/>
        <v>0</v>
      </c>
      <c r="CA289" s="25">
        <f t="shared" si="801"/>
        <v>0</v>
      </c>
      <c r="CB289" s="25">
        <f t="shared" si="802"/>
        <v>0</v>
      </c>
      <c r="CC289" s="25">
        <f t="shared" si="803"/>
        <v>0</v>
      </c>
      <c r="CD289" s="25">
        <f t="shared" si="804"/>
        <v>0</v>
      </c>
      <c r="CE289" s="25">
        <f t="shared" si="805"/>
        <v>0</v>
      </c>
      <c r="CF289" s="25">
        <f t="shared" si="806"/>
        <v>0</v>
      </c>
      <c r="CG289" s="25">
        <f t="shared" si="807"/>
        <v>0</v>
      </c>
      <c r="CH289" s="25">
        <f>IFERROR(INDEX('2 Staff List'!LO$64:LO$114,$AH289),0)</f>
        <v>0</v>
      </c>
      <c r="CI289" s="25">
        <f>IFERROR(INDEX('2 Staff List'!LP$64:LP$114,$AH289),0)</f>
        <v>0</v>
      </c>
      <c r="CJ289" s="25">
        <f>IFERROR(INDEX('2 Staff List'!LQ$64:LQ$114,$AH289),0)</f>
        <v>0</v>
      </c>
      <c r="CK289" s="25">
        <f>IFERROR(INDEX('2 Staff List'!LR$64:LR$114,$AH289),0)</f>
        <v>0</v>
      </c>
      <c r="CL289" s="25">
        <f>IFERROR(INDEX('2 Staff List'!LS$64:LS$114,$AH289),0)</f>
        <v>0</v>
      </c>
      <c r="CM289" s="25">
        <f>IFERROR(INDEX('2 Staff List'!LT$64:LT$114,$AH289),0)</f>
        <v>0</v>
      </c>
      <c r="CN289" s="25">
        <f>IFERROR(INDEX('2 Staff List'!LU$64:LU$114,$AH289),0)</f>
        <v>0</v>
      </c>
      <c r="CO289" s="25">
        <f>IFERROR(INDEX('2 Staff List'!LV$64:LV$114,$AH289),0)</f>
        <v>0</v>
      </c>
      <c r="CP289" s="25">
        <f>IFERROR(INDEX('2 Staff List'!LW$64:LW$114,$AH289),0)</f>
        <v>0</v>
      </c>
      <c r="CQ289" s="25">
        <f>IFERROR(INDEX('2 Staff List'!LX$64:LX$114,$AH289),0)</f>
        <v>0</v>
      </c>
      <c r="CR289" s="25">
        <f t="shared" si="828"/>
        <v>0</v>
      </c>
      <c r="CS289" s="25">
        <f t="shared" si="840"/>
        <v>1</v>
      </c>
      <c r="CT289" s="25">
        <f t="shared" si="837"/>
        <v>1</v>
      </c>
      <c r="CU289" s="25">
        <f t="shared" si="822"/>
        <v>1</v>
      </c>
      <c r="CV289" s="25">
        <f t="shared" si="808"/>
        <v>1</v>
      </c>
      <c r="CW289" s="25">
        <f t="shared" si="829"/>
        <v>1</v>
      </c>
      <c r="CX289" s="25">
        <f t="shared" si="809"/>
        <v>0</v>
      </c>
      <c r="CY289" s="25">
        <f t="shared" si="779"/>
        <v>0</v>
      </c>
      <c r="CZ289" s="25">
        <f t="shared" si="830"/>
        <v>0</v>
      </c>
      <c r="DA289" s="25">
        <f t="shared" si="810"/>
        <v>1</v>
      </c>
      <c r="DB289" s="25">
        <f t="shared" si="817"/>
        <v>1</v>
      </c>
      <c r="DC289" s="25">
        <f t="shared" si="838"/>
        <v>0</v>
      </c>
      <c r="DD289" s="25">
        <f>IF(OR($AD289&lt;&gt;3,F289="Exclude"),0,IF(ISERROR(MATCH($E289,'4 Sign-off'!$S$123:$X$123,0)),0,1))</f>
        <v>0</v>
      </c>
      <c r="DE289" s="25">
        <f t="shared" si="782"/>
        <v>0</v>
      </c>
      <c r="DF289" s="25">
        <f t="shared" si="831"/>
        <v>0</v>
      </c>
      <c r="DG289" s="25" t="str">
        <f t="shared" si="832"/>
        <v/>
      </c>
      <c r="DH289" s="25">
        <f t="shared" si="780"/>
        <v>0</v>
      </c>
      <c r="DI289" s="25">
        <f t="shared" si="778"/>
        <v>0</v>
      </c>
      <c r="DJ289" s="25">
        <f>IF(ISBLANK(J289),0,ISERROR(MATCH(J289,'5  Control Accounts'!$FA$29:$FA$96,0))*1)</f>
        <v>0</v>
      </c>
      <c r="DK289" s="25">
        <f t="shared" si="811"/>
        <v>0</v>
      </c>
      <c r="DL289" s="25">
        <f t="shared" si="818"/>
        <v>-1</v>
      </c>
      <c r="DM289" s="25" t="e">
        <f t="array" ref="DM289">MATCH(1,($EG289:$JD289&gt;0)*$EG$17:$JD$17,0)</f>
        <v>#N/A</v>
      </c>
      <c r="DN289" s="25" t="e">
        <f t="shared" si="841"/>
        <v>#N/A</v>
      </c>
      <c r="DO289" s="25" t="e">
        <f t="array" ref="DO289">MATCH(2,1/(EG289:JD289&gt;0))</f>
        <v>#N/A</v>
      </c>
      <c r="DP289" s="2993">
        <f t="shared" si="812"/>
        <v>0</v>
      </c>
      <c r="DQ289" s="3037">
        <f t="shared" si="813"/>
        <v>0</v>
      </c>
      <c r="DR289" s="111"/>
      <c r="DS289" s="1268">
        <f t="shared" si="781"/>
        <v>0</v>
      </c>
      <c r="DT289" s="1825"/>
      <c r="DU289" s="1826"/>
      <c r="DV289" s="1827"/>
      <c r="DW289" s="1828"/>
      <c r="DX289" s="659"/>
      <c r="DY289" s="1265"/>
      <c r="DZ289" s="1785">
        <f t="shared" si="833"/>
        <v>0</v>
      </c>
      <c r="EA289" s="1786">
        <f t="shared" si="839"/>
        <v>0</v>
      </c>
      <c r="EB289" s="1781">
        <f t="shared" si="842"/>
        <v>0</v>
      </c>
      <c r="EC289" s="1782">
        <f t="shared" si="843"/>
        <v>0</v>
      </c>
      <c r="ED289" s="1262"/>
      <c r="EE289" s="2280"/>
      <c r="EF289" s="1802"/>
      <c r="EG289" s="167"/>
      <c r="EH289" s="168"/>
      <c r="EI289" s="168"/>
      <c r="EJ289" s="168"/>
      <c r="EK289" s="168"/>
      <c r="EL289" s="168"/>
      <c r="EM289" s="168"/>
      <c r="EN289" s="168"/>
      <c r="EO289" s="168"/>
      <c r="EP289" s="168"/>
      <c r="EQ289" s="168"/>
      <c r="ER289" s="168"/>
      <c r="ES289" s="168"/>
      <c r="ET289" s="168"/>
      <c r="EU289" s="168"/>
      <c r="EV289" s="168"/>
      <c r="EW289" s="168"/>
      <c r="EX289" s="168"/>
      <c r="EY289" s="168"/>
      <c r="EZ289" s="168"/>
      <c r="FA289" s="168"/>
      <c r="FB289" s="168"/>
      <c r="FC289" s="168"/>
      <c r="FD289" s="168"/>
      <c r="FE289" s="168"/>
      <c r="FF289" s="168"/>
      <c r="FG289" s="168"/>
      <c r="FH289" s="168"/>
      <c r="FI289" s="168"/>
      <c r="FJ289" s="168"/>
      <c r="FK289" s="168"/>
      <c r="FL289" s="168"/>
      <c r="FM289" s="168"/>
      <c r="FN289" s="168"/>
      <c r="FO289" s="168"/>
      <c r="FP289" s="168"/>
      <c r="FQ289" s="168"/>
      <c r="FR289" s="168"/>
      <c r="FS289" s="168"/>
      <c r="FT289" s="168"/>
      <c r="FU289" s="168"/>
      <c r="FV289" s="168"/>
      <c r="FW289" s="168"/>
      <c r="FX289" s="168"/>
      <c r="FY289" s="168"/>
      <c r="FZ289" s="168"/>
      <c r="GA289" s="168"/>
      <c r="GB289" s="168"/>
      <c r="GC289" s="168"/>
      <c r="GD289" s="168"/>
      <c r="GE289" s="168"/>
      <c r="GF289" s="168"/>
      <c r="GG289" s="168"/>
      <c r="GH289" s="168"/>
      <c r="GI289" s="168"/>
      <c r="GJ289" s="168"/>
      <c r="GK289" s="168"/>
      <c r="GL289" s="168"/>
      <c r="GM289" s="168"/>
      <c r="GN289" s="168"/>
      <c r="GO289" s="168"/>
      <c r="GP289" s="168"/>
      <c r="GQ289" s="168"/>
      <c r="GR289" s="168"/>
      <c r="GS289" s="168"/>
      <c r="GT289" s="168"/>
      <c r="GU289" s="168"/>
      <c r="GV289" s="168"/>
      <c r="GW289" s="168"/>
      <c r="GX289" s="168"/>
      <c r="GY289" s="168"/>
      <c r="GZ289" s="168"/>
      <c r="HA289" s="168"/>
      <c r="HB289" s="168"/>
      <c r="HC289" s="168"/>
      <c r="HD289" s="168"/>
      <c r="HE289" s="168"/>
      <c r="HF289" s="168"/>
      <c r="HG289" s="168"/>
      <c r="HH289" s="168"/>
      <c r="HI289" s="168"/>
      <c r="HJ289" s="168"/>
      <c r="HK289" s="168"/>
      <c r="HL289" s="168"/>
      <c r="HM289" s="168"/>
      <c r="HN289" s="168"/>
      <c r="HO289" s="168"/>
      <c r="HP289" s="168"/>
      <c r="HQ289" s="168"/>
      <c r="HR289" s="168"/>
      <c r="HS289" s="168"/>
      <c r="HT289" s="168"/>
      <c r="HU289" s="168"/>
      <c r="HV289" s="168"/>
      <c r="HW289" s="168"/>
      <c r="HX289" s="168"/>
      <c r="HY289" s="168"/>
      <c r="HZ289" s="168"/>
      <c r="IA289" s="168"/>
      <c r="IB289" s="168"/>
      <c r="IC289" s="168"/>
      <c r="ID289" s="168"/>
      <c r="IE289" s="168"/>
      <c r="IF289" s="168"/>
      <c r="IG289" s="168"/>
      <c r="IH289" s="168"/>
      <c r="II289" s="168"/>
      <c r="IJ289" s="168"/>
      <c r="IK289" s="168"/>
      <c r="IL289" s="168"/>
      <c r="IM289" s="168"/>
      <c r="IN289" s="168"/>
      <c r="IO289" s="168"/>
      <c r="IP289" s="168"/>
      <c r="IQ289" s="168"/>
      <c r="IR289" s="168"/>
      <c r="IS289" s="168"/>
      <c r="IT289" s="168"/>
      <c r="IU289" s="168"/>
      <c r="IV289" s="168"/>
      <c r="IW289" s="168"/>
      <c r="IX289" s="168"/>
      <c r="IY289" s="168"/>
      <c r="IZ289" s="168"/>
      <c r="JA289" s="168"/>
      <c r="JB289" s="168"/>
      <c r="JC289" s="606"/>
      <c r="JD289" s="609"/>
      <c r="JE289" s="1"/>
      <c r="JF289" s="1"/>
    </row>
    <row r="290" spans="1:266" s="2" customFormat="1" ht="15" customHeight="1" x14ac:dyDescent="0.25">
      <c r="A290" s="283"/>
      <c r="B290" s="303"/>
      <c r="C290" s="301"/>
      <c r="D290" s="638"/>
      <c r="E290" s="2298"/>
      <c r="F290" s="1812"/>
      <c r="G290" s="3342"/>
      <c r="H290" s="66"/>
      <c r="I290" s="1746"/>
      <c r="J290" s="86"/>
      <c r="K290" s="105"/>
      <c r="L290" s="91"/>
      <c r="M290" s="92"/>
      <c r="N290" s="93"/>
      <c r="O290" s="94"/>
      <c r="P290" s="94"/>
      <c r="Q290" s="97"/>
      <c r="R290" s="993">
        <f t="shared" si="823"/>
        <v>0</v>
      </c>
      <c r="S290" s="23">
        <f t="shared" si="783"/>
        <v>0</v>
      </c>
      <c r="T290" s="24">
        <f t="shared" si="834"/>
        <v>0</v>
      </c>
      <c r="U290" s="24">
        <f t="shared" si="835"/>
        <v>0</v>
      </c>
      <c r="V290" s="24">
        <f t="shared" si="785"/>
        <v>0</v>
      </c>
      <c r="W290" s="24">
        <f t="shared" si="819"/>
        <v>0</v>
      </c>
      <c r="X290" s="72">
        <f t="shared" si="786"/>
        <v>0</v>
      </c>
      <c r="Y290" s="72">
        <f t="shared" si="836"/>
        <v>0</v>
      </c>
      <c r="Z290" s="24">
        <f t="shared" si="824"/>
        <v>0</v>
      </c>
      <c r="AA290" s="72">
        <f t="shared" si="787"/>
        <v>0</v>
      </c>
      <c r="AB290" s="24">
        <f t="shared" si="820"/>
        <v>0</v>
      </c>
      <c r="AC290" s="24" t="s">
        <v>5</v>
      </c>
      <c r="AD290" s="25">
        <f t="shared" si="814"/>
        <v>3</v>
      </c>
      <c r="AE290" s="25">
        <f t="shared" si="815"/>
        <v>0</v>
      </c>
      <c r="AF290" s="25">
        <f t="shared" si="816"/>
        <v>0</v>
      </c>
      <c r="AG290" s="25">
        <f t="shared" si="784"/>
        <v>1</v>
      </c>
      <c r="AH290" s="25" t="str">
        <f>IFERROR(MATCH(DY290,'2 Staff List'!$IA$64:$IA$114,0),"x")</f>
        <v>x</v>
      </c>
      <c r="AI290" s="1181">
        <f>IFERROR(INDEX('2 Staff List'!$EX$64:$EX$114,$AH290),0)</f>
        <v>0</v>
      </c>
      <c r="AJ290" s="25">
        <f>IFERROR(INDEX('2 Staff List'!$IW$64:$IW$114,$AH290),0)</f>
        <v>0</v>
      </c>
      <c r="AK290" s="25">
        <f>IFERROR(INDEX('2 Staff List'!$IB$64:$IB$114,$AH290),0)</f>
        <v>0</v>
      </c>
      <c r="AL290" s="25">
        <f>IF(OR(NOT(ISBLANK(DV290)),CX290=1),"&lt;Non-Labor&gt;",IFERROR(IF(AH290=0,0,INDEX('2 Staff List'!$HZ$64:$HZ$114,$AH290)),0))</f>
        <v>0</v>
      </c>
      <c r="AM290" s="25">
        <f>IFERROR(INDEX('2 Staff List'!$HW$64:$HW$114,$AH290),0)</f>
        <v>0</v>
      </c>
      <c r="AN290" s="25">
        <f t="shared" si="825"/>
        <v>1</v>
      </c>
      <c r="AO290" s="25">
        <f>IF($AO$127=0,0,IFERROR(INDEX('2 Staff List'!$JH$64:$JH$114,$AH290),0))</f>
        <v>0</v>
      </c>
      <c r="AP290" s="25">
        <f>IFERROR(INDEX('2 Staff List'!$HU$64:$HU$114,$AH290),0)</f>
        <v>0</v>
      </c>
      <c r="AQ290" s="25">
        <f t="shared" si="821"/>
        <v>0</v>
      </c>
      <c r="AR290" s="25">
        <f t="shared" si="826"/>
        <v>0</v>
      </c>
      <c r="AS290" s="25">
        <f t="shared" si="788"/>
        <v>0</v>
      </c>
      <c r="AT290" s="25">
        <f t="shared" si="789"/>
        <v>0</v>
      </c>
      <c r="AU290" s="25">
        <f t="shared" si="790"/>
        <v>0</v>
      </c>
      <c r="AV290" s="25">
        <f t="shared" si="791"/>
        <v>0</v>
      </c>
      <c r="AW290" s="25">
        <f t="shared" si="792"/>
        <v>0</v>
      </c>
      <c r="AX290" s="25">
        <f t="shared" si="793"/>
        <v>0</v>
      </c>
      <c r="AY290" s="25">
        <f t="shared" si="794"/>
        <v>0</v>
      </c>
      <c r="AZ290" s="25">
        <f t="shared" si="795"/>
        <v>0</v>
      </c>
      <c r="BA290" s="25">
        <f t="shared" si="796"/>
        <v>0</v>
      </c>
      <c r="BB290" s="25">
        <f t="shared" si="797"/>
        <v>0</v>
      </c>
      <c r="BC290" s="25">
        <f>IFERROR(INDEX('2 Staff List'!KS$64:KS$114,$AH290),0)</f>
        <v>0</v>
      </c>
      <c r="BD290" s="25">
        <f>IFERROR(INDEX('2 Staff List'!KT$64:KT$114,$AH290),0)</f>
        <v>0</v>
      </c>
      <c r="BE290" s="25">
        <f>IFERROR(INDEX('2 Staff List'!KU$64:KU$114,$AH290),0)</f>
        <v>0</v>
      </c>
      <c r="BF290" s="25">
        <f>IFERROR(INDEX('2 Staff List'!KV$64:KV$114,$AH290),0)</f>
        <v>0</v>
      </c>
      <c r="BG290" s="25">
        <f>IFERROR(INDEX('2 Staff List'!KW$64:KW$114,$AH290),0)</f>
        <v>0</v>
      </c>
      <c r="BH290" s="25">
        <f>IFERROR(INDEX('2 Staff List'!KX$64:KX$114,$AH290),0)</f>
        <v>0</v>
      </c>
      <c r="BI290" s="25">
        <f>IFERROR(INDEX('2 Staff List'!KY$64:KY$114,$AH290),0)</f>
        <v>0</v>
      </c>
      <c r="BJ290" s="25">
        <f>IFERROR(INDEX('2 Staff List'!KZ$64:KZ$114,$AH290),0)</f>
        <v>0</v>
      </c>
      <c r="BK290" s="25">
        <f>IFERROR(INDEX('2 Staff List'!LA$64:LA$114,$AH290),0)</f>
        <v>0</v>
      </c>
      <c r="BL290" s="25">
        <f>IFERROR(INDEX('2 Staff List'!LB$64:LB$114,$AH290),0)</f>
        <v>0</v>
      </c>
      <c r="BM290" s="25">
        <f>IFERROR(INDEX('2 Staff List'!FT$64:FT$114,$AH290),0)</f>
        <v>0</v>
      </c>
      <c r="BN290" s="25">
        <f>IFERROR(INDEX('2 Staff List'!FU$64:FU$114,$AH290),0)</f>
        <v>0</v>
      </c>
      <c r="BO290" s="25">
        <f>IFERROR(INDEX('2 Staff List'!FV$64:FV$114,$AH290),0)</f>
        <v>0</v>
      </c>
      <c r="BP290" s="25">
        <f>IFERROR(INDEX('2 Staff List'!FW$64:FW$114,$AH290),0)</f>
        <v>0</v>
      </c>
      <c r="BQ290" s="25">
        <f>IFERROR(INDEX('2 Staff List'!FX$64:FX$114,$AH290),0)</f>
        <v>0</v>
      </c>
      <c r="BR290" s="25">
        <f>IFERROR(INDEX('2 Staff List'!FY$64:FY$114,$AH290),0)</f>
        <v>0</v>
      </c>
      <c r="BS290" s="25">
        <f>IFERROR(INDEX('2 Staff List'!FZ$64:FZ$114,$AH290),0)</f>
        <v>0</v>
      </c>
      <c r="BT290" s="25">
        <f>IFERROR(INDEX('2 Staff List'!GA$64:GA$114,$AH290),0)</f>
        <v>0</v>
      </c>
      <c r="BU290" s="25">
        <f>IFERROR(INDEX('2 Staff List'!GB$64:GB$114,$AH290),0)</f>
        <v>0</v>
      </c>
      <c r="BV290" s="25">
        <f>IFERROR(INDEX('2 Staff List'!GC$64:GC$114,$AH290),0)</f>
        <v>0</v>
      </c>
      <c r="BW290" s="25">
        <f t="shared" si="827"/>
        <v>0</v>
      </c>
      <c r="BX290" s="25">
        <f t="shared" si="798"/>
        <v>0</v>
      </c>
      <c r="BY290" s="25">
        <f t="shared" si="799"/>
        <v>0</v>
      </c>
      <c r="BZ290" s="25">
        <f t="shared" si="800"/>
        <v>0</v>
      </c>
      <c r="CA290" s="25">
        <f t="shared" si="801"/>
        <v>0</v>
      </c>
      <c r="CB290" s="25">
        <f t="shared" si="802"/>
        <v>0</v>
      </c>
      <c r="CC290" s="25">
        <f t="shared" si="803"/>
        <v>0</v>
      </c>
      <c r="CD290" s="25">
        <f t="shared" si="804"/>
        <v>0</v>
      </c>
      <c r="CE290" s="25">
        <f t="shared" si="805"/>
        <v>0</v>
      </c>
      <c r="CF290" s="25">
        <f t="shared" si="806"/>
        <v>0</v>
      </c>
      <c r="CG290" s="25">
        <f t="shared" si="807"/>
        <v>0</v>
      </c>
      <c r="CH290" s="25">
        <f>IFERROR(INDEX('2 Staff List'!LO$64:LO$114,$AH290),0)</f>
        <v>0</v>
      </c>
      <c r="CI290" s="25">
        <f>IFERROR(INDEX('2 Staff List'!LP$64:LP$114,$AH290),0)</f>
        <v>0</v>
      </c>
      <c r="CJ290" s="25">
        <f>IFERROR(INDEX('2 Staff List'!LQ$64:LQ$114,$AH290),0)</f>
        <v>0</v>
      </c>
      <c r="CK290" s="25">
        <f>IFERROR(INDEX('2 Staff List'!LR$64:LR$114,$AH290),0)</f>
        <v>0</v>
      </c>
      <c r="CL290" s="25">
        <f>IFERROR(INDEX('2 Staff List'!LS$64:LS$114,$AH290),0)</f>
        <v>0</v>
      </c>
      <c r="CM290" s="25">
        <f>IFERROR(INDEX('2 Staff List'!LT$64:LT$114,$AH290),0)</f>
        <v>0</v>
      </c>
      <c r="CN290" s="25">
        <f>IFERROR(INDEX('2 Staff List'!LU$64:LU$114,$AH290),0)</f>
        <v>0</v>
      </c>
      <c r="CO290" s="25">
        <f>IFERROR(INDEX('2 Staff List'!LV$64:LV$114,$AH290),0)</f>
        <v>0</v>
      </c>
      <c r="CP290" s="25">
        <f>IFERROR(INDEX('2 Staff List'!LW$64:LW$114,$AH290),0)</f>
        <v>0</v>
      </c>
      <c r="CQ290" s="25">
        <f>IFERROR(INDEX('2 Staff List'!LX$64:LX$114,$AH290),0)</f>
        <v>0</v>
      </c>
      <c r="CR290" s="25">
        <f t="shared" si="828"/>
        <v>0</v>
      </c>
      <c r="CS290" s="25">
        <f t="shared" si="840"/>
        <v>1</v>
      </c>
      <c r="CT290" s="25">
        <f t="shared" si="837"/>
        <v>1</v>
      </c>
      <c r="CU290" s="25">
        <f t="shared" si="822"/>
        <v>1</v>
      </c>
      <c r="CV290" s="25">
        <f t="shared" si="808"/>
        <v>1</v>
      </c>
      <c r="CW290" s="25">
        <f t="shared" si="829"/>
        <v>1</v>
      </c>
      <c r="CX290" s="25">
        <f t="shared" si="809"/>
        <v>0</v>
      </c>
      <c r="CY290" s="25">
        <f t="shared" si="779"/>
        <v>0</v>
      </c>
      <c r="CZ290" s="25">
        <f t="shared" si="830"/>
        <v>0</v>
      </c>
      <c r="DA290" s="25">
        <f t="shared" si="810"/>
        <v>1</v>
      </c>
      <c r="DB290" s="25">
        <f t="shared" si="817"/>
        <v>1</v>
      </c>
      <c r="DC290" s="25">
        <f t="shared" si="838"/>
        <v>0</v>
      </c>
      <c r="DD290" s="25">
        <f>IF(OR($AD290&lt;&gt;3,F290="Exclude"),0,IF(ISERROR(MATCH($E290,'4 Sign-off'!$S$123:$X$123,0)),0,1))</f>
        <v>0</v>
      </c>
      <c r="DE290" s="25">
        <f t="shared" si="782"/>
        <v>0</v>
      </c>
      <c r="DF290" s="25">
        <f t="shared" si="831"/>
        <v>0</v>
      </c>
      <c r="DG290" s="25" t="str">
        <f t="shared" si="832"/>
        <v/>
      </c>
      <c r="DH290" s="25">
        <f t="shared" si="780"/>
        <v>0</v>
      </c>
      <c r="DI290" s="25">
        <f t="shared" si="778"/>
        <v>0</v>
      </c>
      <c r="DJ290" s="25">
        <f>IF(ISBLANK(J290),0,ISERROR(MATCH(J290,'5  Control Accounts'!$FA$29:$FA$96,0))*1)</f>
        <v>0</v>
      </c>
      <c r="DK290" s="25">
        <f t="shared" si="811"/>
        <v>0</v>
      </c>
      <c r="DL290" s="25">
        <f t="shared" si="818"/>
        <v>-1</v>
      </c>
      <c r="DM290" s="25" t="e">
        <f t="array" ref="DM290">MATCH(1,($EG290:$JD290&gt;0)*$EG$17:$JD$17,0)</f>
        <v>#N/A</v>
      </c>
      <c r="DN290" s="25" t="e">
        <f t="shared" si="841"/>
        <v>#N/A</v>
      </c>
      <c r="DO290" s="25" t="e">
        <f t="array" ref="DO290">MATCH(2,1/(EG290:JD290&gt;0))</f>
        <v>#N/A</v>
      </c>
      <c r="DP290" s="2993">
        <f t="shared" si="812"/>
        <v>0</v>
      </c>
      <c r="DQ290" s="3037">
        <f t="shared" si="813"/>
        <v>0</v>
      </c>
      <c r="DR290" s="111"/>
      <c r="DS290" s="1268">
        <f t="shared" si="781"/>
        <v>0</v>
      </c>
      <c r="DT290" s="1825"/>
      <c r="DU290" s="1826"/>
      <c r="DV290" s="1827"/>
      <c r="DW290" s="1828"/>
      <c r="DX290" s="659"/>
      <c r="DY290" s="1265"/>
      <c r="DZ290" s="1785">
        <f t="shared" si="833"/>
        <v>0</v>
      </c>
      <c r="EA290" s="1786">
        <f t="shared" si="839"/>
        <v>0</v>
      </c>
      <c r="EB290" s="1781">
        <f t="shared" si="842"/>
        <v>0</v>
      </c>
      <c r="EC290" s="1782">
        <f t="shared" si="843"/>
        <v>0</v>
      </c>
      <c r="ED290" s="1262"/>
      <c r="EE290" s="2280"/>
      <c r="EF290" s="1802">
        <f t="shared" ref="EF290:EF304" si="844">N290</f>
        <v>0</v>
      </c>
      <c r="EG290" s="167"/>
      <c r="EH290" s="168"/>
      <c r="EI290" s="168"/>
      <c r="EJ290" s="168"/>
      <c r="EK290" s="168"/>
      <c r="EL290" s="168"/>
      <c r="EM290" s="168"/>
      <c r="EN290" s="168"/>
      <c r="EO290" s="168"/>
      <c r="EP290" s="168"/>
      <c r="EQ290" s="168"/>
      <c r="ER290" s="168"/>
      <c r="ES290" s="168"/>
      <c r="ET290" s="168"/>
      <c r="EU290" s="168"/>
      <c r="EV290" s="168"/>
      <c r="EW290" s="168"/>
      <c r="EX290" s="168"/>
      <c r="EY290" s="168"/>
      <c r="EZ290" s="168"/>
      <c r="FA290" s="168"/>
      <c r="FB290" s="168"/>
      <c r="FC290" s="168"/>
      <c r="FD290" s="168"/>
      <c r="FE290" s="168"/>
      <c r="FF290" s="168"/>
      <c r="FG290" s="168"/>
      <c r="FH290" s="168"/>
      <c r="FI290" s="168"/>
      <c r="FJ290" s="168"/>
      <c r="FK290" s="168"/>
      <c r="FL290" s="168"/>
      <c r="FM290" s="168"/>
      <c r="FN290" s="168"/>
      <c r="FO290" s="168"/>
      <c r="FP290" s="168"/>
      <c r="FQ290" s="168"/>
      <c r="FR290" s="168"/>
      <c r="FS290" s="168"/>
      <c r="FT290" s="168"/>
      <c r="FU290" s="168"/>
      <c r="FV290" s="168"/>
      <c r="FW290" s="168"/>
      <c r="FX290" s="168"/>
      <c r="FY290" s="168"/>
      <c r="FZ290" s="168"/>
      <c r="GA290" s="168"/>
      <c r="GB290" s="168"/>
      <c r="GC290" s="168"/>
      <c r="GD290" s="168"/>
      <c r="GE290" s="168"/>
      <c r="GF290" s="168"/>
      <c r="GG290" s="168"/>
      <c r="GH290" s="168"/>
      <c r="GI290" s="168"/>
      <c r="GJ290" s="168"/>
      <c r="GK290" s="168"/>
      <c r="GL290" s="168"/>
      <c r="GM290" s="168"/>
      <c r="GN290" s="168"/>
      <c r="GO290" s="168"/>
      <c r="GP290" s="168"/>
      <c r="GQ290" s="168"/>
      <c r="GR290" s="168"/>
      <c r="GS290" s="168"/>
      <c r="GT290" s="168"/>
      <c r="GU290" s="168"/>
      <c r="GV290" s="168"/>
      <c r="GW290" s="168"/>
      <c r="GX290" s="168"/>
      <c r="GY290" s="168"/>
      <c r="GZ290" s="168"/>
      <c r="HA290" s="168"/>
      <c r="HB290" s="168"/>
      <c r="HC290" s="168"/>
      <c r="HD290" s="168"/>
      <c r="HE290" s="168"/>
      <c r="HF290" s="168"/>
      <c r="HG290" s="168"/>
      <c r="HH290" s="168"/>
      <c r="HI290" s="168"/>
      <c r="HJ290" s="168"/>
      <c r="HK290" s="168"/>
      <c r="HL290" s="168"/>
      <c r="HM290" s="168"/>
      <c r="HN290" s="168"/>
      <c r="HO290" s="168"/>
      <c r="HP290" s="168"/>
      <c r="HQ290" s="168"/>
      <c r="HR290" s="168"/>
      <c r="HS290" s="168"/>
      <c r="HT290" s="168"/>
      <c r="HU290" s="168"/>
      <c r="HV290" s="168"/>
      <c r="HW290" s="168"/>
      <c r="HX290" s="168"/>
      <c r="HY290" s="168"/>
      <c r="HZ290" s="168"/>
      <c r="IA290" s="168"/>
      <c r="IB290" s="168"/>
      <c r="IC290" s="168"/>
      <c r="ID290" s="168"/>
      <c r="IE290" s="168"/>
      <c r="IF290" s="168"/>
      <c r="IG290" s="168"/>
      <c r="IH290" s="168"/>
      <c r="II290" s="168"/>
      <c r="IJ290" s="168"/>
      <c r="IK290" s="168"/>
      <c r="IL290" s="168"/>
      <c r="IM290" s="168"/>
      <c r="IN290" s="168"/>
      <c r="IO290" s="168"/>
      <c r="IP290" s="168"/>
      <c r="IQ290" s="168"/>
      <c r="IR290" s="168"/>
      <c r="IS290" s="168"/>
      <c r="IT290" s="168"/>
      <c r="IU290" s="168"/>
      <c r="IV290" s="168"/>
      <c r="IW290" s="168"/>
      <c r="IX290" s="168"/>
      <c r="IY290" s="168"/>
      <c r="IZ290" s="168"/>
      <c r="JA290" s="168"/>
      <c r="JB290" s="168"/>
      <c r="JC290" s="606"/>
      <c r="JD290" s="609"/>
      <c r="JE290" s="1"/>
      <c r="JF290" s="1"/>
    </row>
    <row r="291" spans="1:266" s="2" customFormat="1" ht="15" customHeight="1" x14ac:dyDescent="0.25">
      <c r="A291" s="283"/>
      <c r="B291" s="303"/>
      <c r="C291" s="301"/>
      <c r="D291" s="638"/>
      <c r="E291" s="2298"/>
      <c r="F291" s="1812"/>
      <c r="G291" s="3342"/>
      <c r="H291" s="66"/>
      <c r="I291" s="1746"/>
      <c r="J291" s="86"/>
      <c r="K291" s="105"/>
      <c r="L291" s="91"/>
      <c r="M291" s="92"/>
      <c r="N291" s="93"/>
      <c r="O291" s="94"/>
      <c r="P291" s="94"/>
      <c r="Q291" s="97"/>
      <c r="R291" s="993">
        <f t="shared" si="823"/>
        <v>0</v>
      </c>
      <c r="S291" s="23">
        <f t="shared" si="783"/>
        <v>0</v>
      </c>
      <c r="T291" s="24">
        <f t="shared" si="834"/>
        <v>0</v>
      </c>
      <c r="U291" s="24">
        <f t="shared" si="835"/>
        <v>0</v>
      </c>
      <c r="V291" s="24">
        <f t="shared" si="785"/>
        <v>0</v>
      </c>
      <c r="W291" s="24">
        <f t="shared" si="819"/>
        <v>0</v>
      </c>
      <c r="X291" s="72">
        <f t="shared" si="786"/>
        <v>0</v>
      </c>
      <c r="Y291" s="72">
        <f t="shared" si="836"/>
        <v>0</v>
      </c>
      <c r="Z291" s="24">
        <f t="shared" si="824"/>
        <v>0</v>
      </c>
      <c r="AA291" s="72">
        <f t="shared" si="787"/>
        <v>0</v>
      </c>
      <c r="AB291" s="24">
        <f t="shared" si="820"/>
        <v>0</v>
      </c>
      <c r="AC291" s="24" t="s">
        <v>5</v>
      </c>
      <c r="AD291" s="25">
        <f t="shared" si="814"/>
        <v>3</v>
      </c>
      <c r="AE291" s="25">
        <f t="shared" si="815"/>
        <v>0</v>
      </c>
      <c r="AF291" s="25">
        <f t="shared" si="816"/>
        <v>0</v>
      </c>
      <c r="AG291" s="25">
        <f t="shared" si="784"/>
        <v>1</v>
      </c>
      <c r="AH291" s="25" t="str">
        <f>IFERROR(MATCH(DY291,'2 Staff List'!$IA$64:$IA$114,0),"x")</f>
        <v>x</v>
      </c>
      <c r="AI291" s="1181">
        <f>IFERROR(INDEX('2 Staff List'!$EX$64:$EX$114,$AH291),0)</f>
        <v>0</v>
      </c>
      <c r="AJ291" s="25">
        <f>IFERROR(INDEX('2 Staff List'!$IW$64:$IW$114,$AH291),0)</f>
        <v>0</v>
      </c>
      <c r="AK291" s="25">
        <f>IFERROR(INDEX('2 Staff List'!$IB$64:$IB$114,$AH291),0)</f>
        <v>0</v>
      </c>
      <c r="AL291" s="25">
        <f>IF(OR(NOT(ISBLANK(DV291)),CX291=1),"&lt;Non-Labor&gt;",IFERROR(IF(AH291=0,0,INDEX('2 Staff List'!$HZ$64:$HZ$114,$AH291)),0))</f>
        <v>0</v>
      </c>
      <c r="AM291" s="25">
        <f>IFERROR(INDEX('2 Staff List'!$HW$64:$HW$114,$AH291),0)</f>
        <v>0</v>
      </c>
      <c r="AN291" s="25">
        <f t="shared" si="825"/>
        <v>1</v>
      </c>
      <c r="AO291" s="25">
        <f>IF($AO$127=0,0,IFERROR(INDEX('2 Staff List'!$JH$64:$JH$114,$AH291),0))</f>
        <v>0</v>
      </c>
      <c r="AP291" s="25">
        <f>IFERROR(INDEX('2 Staff List'!$HU$64:$HU$114,$AH291),0)</f>
        <v>0</v>
      </c>
      <c r="AQ291" s="25">
        <f t="shared" si="821"/>
        <v>0</v>
      </c>
      <c r="AR291" s="25">
        <f t="shared" si="826"/>
        <v>0</v>
      </c>
      <c r="AS291" s="25">
        <f t="shared" si="788"/>
        <v>0</v>
      </c>
      <c r="AT291" s="25">
        <f t="shared" si="789"/>
        <v>0</v>
      </c>
      <c r="AU291" s="25">
        <f t="shared" si="790"/>
        <v>0</v>
      </c>
      <c r="AV291" s="25">
        <f t="shared" si="791"/>
        <v>0</v>
      </c>
      <c r="AW291" s="25">
        <f t="shared" si="792"/>
        <v>0</v>
      </c>
      <c r="AX291" s="25">
        <f t="shared" si="793"/>
        <v>0</v>
      </c>
      <c r="AY291" s="25">
        <f t="shared" si="794"/>
        <v>0</v>
      </c>
      <c r="AZ291" s="25">
        <f t="shared" si="795"/>
        <v>0</v>
      </c>
      <c r="BA291" s="25">
        <f t="shared" si="796"/>
        <v>0</v>
      </c>
      <c r="BB291" s="25">
        <f t="shared" si="797"/>
        <v>0</v>
      </c>
      <c r="BC291" s="25">
        <f>IFERROR(INDEX('2 Staff List'!KS$64:KS$114,$AH291),0)</f>
        <v>0</v>
      </c>
      <c r="BD291" s="25">
        <f>IFERROR(INDEX('2 Staff List'!KT$64:KT$114,$AH291),0)</f>
        <v>0</v>
      </c>
      <c r="BE291" s="25">
        <f>IFERROR(INDEX('2 Staff List'!KU$64:KU$114,$AH291),0)</f>
        <v>0</v>
      </c>
      <c r="BF291" s="25">
        <f>IFERROR(INDEX('2 Staff List'!KV$64:KV$114,$AH291),0)</f>
        <v>0</v>
      </c>
      <c r="BG291" s="25">
        <f>IFERROR(INDEX('2 Staff List'!KW$64:KW$114,$AH291),0)</f>
        <v>0</v>
      </c>
      <c r="BH291" s="25">
        <f>IFERROR(INDEX('2 Staff List'!KX$64:KX$114,$AH291),0)</f>
        <v>0</v>
      </c>
      <c r="BI291" s="25">
        <f>IFERROR(INDEX('2 Staff List'!KY$64:KY$114,$AH291),0)</f>
        <v>0</v>
      </c>
      <c r="BJ291" s="25">
        <f>IFERROR(INDEX('2 Staff List'!KZ$64:KZ$114,$AH291),0)</f>
        <v>0</v>
      </c>
      <c r="BK291" s="25">
        <f>IFERROR(INDEX('2 Staff List'!LA$64:LA$114,$AH291),0)</f>
        <v>0</v>
      </c>
      <c r="BL291" s="25">
        <f>IFERROR(INDEX('2 Staff List'!LB$64:LB$114,$AH291),0)</f>
        <v>0</v>
      </c>
      <c r="BM291" s="25">
        <f>IFERROR(INDEX('2 Staff List'!FT$64:FT$114,$AH291),0)</f>
        <v>0</v>
      </c>
      <c r="BN291" s="25">
        <f>IFERROR(INDEX('2 Staff List'!FU$64:FU$114,$AH291),0)</f>
        <v>0</v>
      </c>
      <c r="BO291" s="25">
        <f>IFERROR(INDEX('2 Staff List'!FV$64:FV$114,$AH291),0)</f>
        <v>0</v>
      </c>
      <c r="BP291" s="25">
        <f>IFERROR(INDEX('2 Staff List'!FW$64:FW$114,$AH291),0)</f>
        <v>0</v>
      </c>
      <c r="BQ291" s="25">
        <f>IFERROR(INDEX('2 Staff List'!FX$64:FX$114,$AH291),0)</f>
        <v>0</v>
      </c>
      <c r="BR291" s="25">
        <f>IFERROR(INDEX('2 Staff List'!FY$64:FY$114,$AH291),0)</f>
        <v>0</v>
      </c>
      <c r="BS291" s="25">
        <f>IFERROR(INDEX('2 Staff List'!FZ$64:FZ$114,$AH291),0)</f>
        <v>0</v>
      </c>
      <c r="BT291" s="25">
        <f>IFERROR(INDEX('2 Staff List'!GA$64:GA$114,$AH291),0)</f>
        <v>0</v>
      </c>
      <c r="BU291" s="25">
        <f>IFERROR(INDEX('2 Staff List'!GB$64:GB$114,$AH291),0)</f>
        <v>0</v>
      </c>
      <c r="BV291" s="25">
        <f>IFERROR(INDEX('2 Staff List'!GC$64:GC$114,$AH291),0)</f>
        <v>0</v>
      </c>
      <c r="BW291" s="25">
        <f t="shared" si="827"/>
        <v>0</v>
      </c>
      <c r="BX291" s="25">
        <f t="shared" si="798"/>
        <v>0</v>
      </c>
      <c r="BY291" s="25">
        <f t="shared" si="799"/>
        <v>0</v>
      </c>
      <c r="BZ291" s="25">
        <f t="shared" si="800"/>
        <v>0</v>
      </c>
      <c r="CA291" s="25">
        <f t="shared" si="801"/>
        <v>0</v>
      </c>
      <c r="CB291" s="25">
        <f t="shared" si="802"/>
        <v>0</v>
      </c>
      <c r="CC291" s="25">
        <f t="shared" si="803"/>
        <v>0</v>
      </c>
      <c r="CD291" s="25">
        <f t="shared" si="804"/>
        <v>0</v>
      </c>
      <c r="CE291" s="25">
        <f t="shared" si="805"/>
        <v>0</v>
      </c>
      <c r="CF291" s="25">
        <f t="shared" si="806"/>
        <v>0</v>
      </c>
      <c r="CG291" s="25">
        <f t="shared" si="807"/>
        <v>0</v>
      </c>
      <c r="CH291" s="25">
        <f>IFERROR(INDEX('2 Staff List'!LO$64:LO$114,$AH291),0)</f>
        <v>0</v>
      </c>
      <c r="CI291" s="25">
        <f>IFERROR(INDEX('2 Staff List'!LP$64:LP$114,$AH291),0)</f>
        <v>0</v>
      </c>
      <c r="CJ291" s="25">
        <f>IFERROR(INDEX('2 Staff List'!LQ$64:LQ$114,$AH291),0)</f>
        <v>0</v>
      </c>
      <c r="CK291" s="25">
        <f>IFERROR(INDEX('2 Staff List'!LR$64:LR$114,$AH291),0)</f>
        <v>0</v>
      </c>
      <c r="CL291" s="25">
        <f>IFERROR(INDEX('2 Staff List'!LS$64:LS$114,$AH291),0)</f>
        <v>0</v>
      </c>
      <c r="CM291" s="25">
        <f>IFERROR(INDEX('2 Staff List'!LT$64:LT$114,$AH291),0)</f>
        <v>0</v>
      </c>
      <c r="CN291" s="25">
        <f>IFERROR(INDEX('2 Staff List'!LU$64:LU$114,$AH291),0)</f>
        <v>0</v>
      </c>
      <c r="CO291" s="25">
        <f>IFERROR(INDEX('2 Staff List'!LV$64:LV$114,$AH291),0)</f>
        <v>0</v>
      </c>
      <c r="CP291" s="25">
        <f>IFERROR(INDEX('2 Staff List'!LW$64:LW$114,$AH291),0)</f>
        <v>0</v>
      </c>
      <c r="CQ291" s="25">
        <f>IFERROR(INDEX('2 Staff List'!LX$64:LX$114,$AH291),0)</f>
        <v>0</v>
      </c>
      <c r="CR291" s="25">
        <f t="shared" si="828"/>
        <v>0</v>
      </c>
      <c r="CS291" s="25">
        <f t="shared" si="840"/>
        <v>1</v>
      </c>
      <c r="CT291" s="25">
        <f t="shared" si="837"/>
        <v>1</v>
      </c>
      <c r="CU291" s="25">
        <f t="shared" si="822"/>
        <v>1</v>
      </c>
      <c r="CV291" s="25">
        <f t="shared" si="808"/>
        <v>1</v>
      </c>
      <c r="CW291" s="25">
        <f t="shared" si="829"/>
        <v>1</v>
      </c>
      <c r="CX291" s="25">
        <f t="shared" si="809"/>
        <v>0</v>
      </c>
      <c r="CY291" s="25">
        <f t="shared" si="779"/>
        <v>0</v>
      </c>
      <c r="CZ291" s="25">
        <f t="shared" si="830"/>
        <v>0</v>
      </c>
      <c r="DA291" s="25">
        <f t="shared" si="810"/>
        <v>1</v>
      </c>
      <c r="DB291" s="25">
        <f t="shared" si="817"/>
        <v>1</v>
      </c>
      <c r="DC291" s="25">
        <f t="shared" si="838"/>
        <v>0</v>
      </c>
      <c r="DD291" s="25">
        <f>IF(OR($AD291&lt;&gt;3,F291="Exclude"),0,IF(ISERROR(MATCH($E291,'4 Sign-off'!$S$123:$X$123,0)),0,1))</f>
        <v>0</v>
      </c>
      <c r="DE291" s="25">
        <f t="shared" si="782"/>
        <v>0</v>
      </c>
      <c r="DF291" s="25">
        <f t="shared" si="831"/>
        <v>0</v>
      </c>
      <c r="DG291" s="25" t="str">
        <f t="shared" si="832"/>
        <v/>
      </c>
      <c r="DH291" s="25">
        <f t="shared" si="780"/>
        <v>0</v>
      </c>
      <c r="DI291" s="25">
        <f t="shared" si="778"/>
        <v>0</v>
      </c>
      <c r="DJ291" s="25">
        <f>IF(ISBLANK(J291),0,ISERROR(MATCH(J291,'5  Control Accounts'!$FA$29:$FA$96,0))*1)</f>
        <v>0</v>
      </c>
      <c r="DK291" s="25">
        <f t="shared" si="811"/>
        <v>0</v>
      </c>
      <c r="DL291" s="25">
        <f t="shared" si="818"/>
        <v>-1</v>
      </c>
      <c r="DM291" s="25" t="e">
        <f t="array" ref="DM291">MATCH(1,($EG291:$JD291&gt;0)*$EG$17:$JD$17,0)</f>
        <v>#N/A</v>
      </c>
      <c r="DN291" s="25" t="e">
        <f t="shared" si="841"/>
        <v>#N/A</v>
      </c>
      <c r="DO291" s="25" t="e">
        <f t="array" ref="DO291">MATCH(2,1/(EG291:JD291&gt;0))</f>
        <v>#N/A</v>
      </c>
      <c r="DP291" s="2993">
        <f t="shared" si="812"/>
        <v>0</v>
      </c>
      <c r="DQ291" s="3037">
        <f t="shared" si="813"/>
        <v>0</v>
      </c>
      <c r="DR291" s="111"/>
      <c r="DS291" s="1268">
        <f t="shared" si="781"/>
        <v>0</v>
      </c>
      <c r="DT291" s="1825"/>
      <c r="DU291" s="1826"/>
      <c r="DV291" s="1827"/>
      <c r="DW291" s="1828"/>
      <c r="DX291" s="659"/>
      <c r="DY291" s="1265"/>
      <c r="DZ291" s="1785">
        <f t="shared" si="833"/>
        <v>0</v>
      </c>
      <c r="EA291" s="1786">
        <f t="shared" si="839"/>
        <v>0</v>
      </c>
      <c r="EB291" s="1781">
        <f t="shared" si="842"/>
        <v>0</v>
      </c>
      <c r="EC291" s="1782">
        <f t="shared" si="843"/>
        <v>0</v>
      </c>
      <c r="ED291" s="1262"/>
      <c r="EE291" s="2280"/>
      <c r="EF291" s="1802">
        <f t="shared" si="844"/>
        <v>0</v>
      </c>
      <c r="EG291" s="167"/>
      <c r="EH291" s="168"/>
      <c r="EI291" s="168"/>
      <c r="EJ291" s="168"/>
      <c r="EK291" s="168"/>
      <c r="EL291" s="168"/>
      <c r="EM291" s="168"/>
      <c r="EN291" s="168"/>
      <c r="EO291" s="168"/>
      <c r="EP291" s="168"/>
      <c r="EQ291" s="168"/>
      <c r="ER291" s="168"/>
      <c r="ES291" s="168"/>
      <c r="ET291" s="168"/>
      <c r="EU291" s="168"/>
      <c r="EV291" s="168"/>
      <c r="EW291" s="168"/>
      <c r="EX291" s="168"/>
      <c r="EY291" s="168"/>
      <c r="EZ291" s="168"/>
      <c r="FA291" s="168"/>
      <c r="FB291" s="168"/>
      <c r="FC291" s="168"/>
      <c r="FD291" s="168"/>
      <c r="FE291" s="168"/>
      <c r="FF291" s="168"/>
      <c r="FG291" s="168"/>
      <c r="FH291" s="168"/>
      <c r="FI291" s="168"/>
      <c r="FJ291" s="168"/>
      <c r="FK291" s="168"/>
      <c r="FL291" s="168"/>
      <c r="FM291" s="168"/>
      <c r="FN291" s="168"/>
      <c r="FO291" s="168"/>
      <c r="FP291" s="168"/>
      <c r="FQ291" s="168"/>
      <c r="FR291" s="168"/>
      <c r="FS291" s="168"/>
      <c r="FT291" s="168"/>
      <c r="FU291" s="168"/>
      <c r="FV291" s="168"/>
      <c r="FW291" s="168"/>
      <c r="FX291" s="168"/>
      <c r="FY291" s="168"/>
      <c r="FZ291" s="168"/>
      <c r="GA291" s="168"/>
      <c r="GB291" s="168"/>
      <c r="GC291" s="168"/>
      <c r="GD291" s="168"/>
      <c r="GE291" s="168"/>
      <c r="GF291" s="168"/>
      <c r="GG291" s="168"/>
      <c r="GH291" s="168"/>
      <c r="GI291" s="168"/>
      <c r="GJ291" s="168"/>
      <c r="GK291" s="168"/>
      <c r="GL291" s="168"/>
      <c r="GM291" s="168"/>
      <c r="GN291" s="168"/>
      <c r="GO291" s="168"/>
      <c r="GP291" s="168"/>
      <c r="GQ291" s="168"/>
      <c r="GR291" s="168"/>
      <c r="GS291" s="168"/>
      <c r="GT291" s="168"/>
      <c r="GU291" s="168"/>
      <c r="GV291" s="168"/>
      <c r="GW291" s="168"/>
      <c r="GX291" s="168"/>
      <c r="GY291" s="168"/>
      <c r="GZ291" s="168"/>
      <c r="HA291" s="168"/>
      <c r="HB291" s="168"/>
      <c r="HC291" s="168"/>
      <c r="HD291" s="168"/>
      <c r="HE291" s="168"/>
      <c r="HF291" s="168"/>
      <c r="HG291" s="168"/>
      <c r="HH291" s="168"/>
      <c r="HI291" s="168"/>
      <c r="HJ291" s="168"/>
      <c r="HK291" s="168"/>
      <c r="HL291" s="168"/>
      <c r="HM291" s="168"/>
      <c r="HN291" s="168"/>
      <c r="HO291" s="168"/>
      <c r="HP291" s="168"/>
      <c r="HQ291" s="168"/>
      <c r="HR291" s="168"/>
      <c r="HS291" s="168"/>
      <c r="HT291" s="168"/>
      <c r="HU291" s="168"/>
      <c r="HV291" s="168"/>
      <c r="HW291" s="168"/>
      <c r="HX291" s="168"/>
      <c r="HY291" s="168"/>
      <c r="HZ291" s="168"/>
      <c r="IA291" s="168"/>
      <c r="IB291" s="168"/>
      <c r="IC291" s="168"/>
      <c r="ID291" s="168"/>
      <c r="IE291" s="168"/>
      <c r="IF291" s="168"/>
      <c r="IG291" s="168"/>
      <c r="IH291" s="168"/>
      <c r="II291" s="168"/>
      <c r="IJ291" s="168"/>
      <c r="IK291" s="168"/>
      <c r="IL291" s="168"/>
      <c r="IM291" s="168"/>
      <c r="IN291" s="168"/>
      <c r="IO291" s="168"/>
      <c r="IP291" s="168"/>
      <c r="IQ291" s="168"/>
      <c r="IR291" s="168"/>
      <c r="IS291" s="168"/>
      <c r="IT291" s="168"/>
      <c r="IU291" s="168"/>
      <c r="IV291" s="168"/>
      <c r="IW291" s="168"/>
      <c r="IX291" s="168"/>
      <c r="IY291" s="168"/>
      <c r="IZ291" s="168"/>
      <c r="JA291" s="168"/>
      <c r="JB291" s="168"/>
      <c r="JC291" s="606"/>
      <c r="JD291" s="609"/>
      <c r="JE291" s="1"/>
      <c r="JF291" s="1"/>
    </row>
    <row r="292" spans="1:266" s="2" customFormat="1" ht="15" customHeight="1" x14ac:dyDescent="0.25">
      <c r="A292" s="283"/>
      <c r="B292" s="303"/>
      <c r="C292" s="301"/>
      <c r="D292" s="638"/>
      <c r="E292" s="2298"/>
      <c r="F292" s="1812"/>
      <c r="G292" s="3342"/>
      <c r="H292" s="66"/>
      <c r="I292" s="1746"/>
      <c r="J292" s="86"/>
      <c r="K292" s="105"/>
      <c r="L292" s="91"/>
      <c r="M292" s="92"/>
      <c r="N292" s="93"/>
      <c r="O292" s="94"/>
      <c r="P292" s="94"/>
      <c r="Q292" s="97"/>
      <c r="R292" s="993">
        <f t="shared" si="823"/>
        <v>0</v>
      </c>
      <c r="S292" s="23">
        <f t="shared" si="783"/>
        <v>0</v>
      </c>
      <c r="T292" s="24">
        <f t="shared" si="834"/>
        <v>0</v>
      </c>
      <c r="U292" s="24">
        <f t="shared" si="835"/>
        <v>0</v>
      </c>
      <c r="V292" s="24">
        <f t="shared" si="785"/>
        <v>0</v>
      </c>
      <c r="W292" s="24">
        <f t="shared" si="819"/>
        <v>0</v>
      </c>
      <c r="X292" s="72">
        <f t="shared" si="786"/>
        <v>0</v>
      </c>
      <c r="Y292" s="72">
        <f t="shared" si="836"/>
        <v>0</v>
      </c>
      <c r="Z292" s="24">
        <f t="shared" si="824"/>
        <v>0</v>
      </c>
      <c r="AA292" s="72">
        <f t="shared" si="787"/>
        <v>0</v>
      </c>
      <c r="AB292" s="24">
        <f t="shared" si="820"/>
        <v>0</v>
      </c>
      <c r="AC292" s="24" t="s">
        <v>5</v>
      </c>
      <c r="AD292" s="25">
        <f t="shared" si="814"/>
        <v>3</v>
      </c>
      <c r="AE292" s="25">
        <f t="shared" si="815"/>
        <v>0</v>
      </c>
      <c r="AF292" s="25">
        <f t="shared" si="816"/>
        <v>0</v>
      </c>
      <c r="AG292" s="25">
        <f t="shared" si="784"/>
        <v>1</v>
      </c>
      <c r="AH292" s="25" t="str">
        <f>IFERROR(MATCH(DY292,'2 Staff List'!$IA$64:$IA$114,0),"x")</f>
        <v>x</v>
      </c>
      <c r="AI292" s="1181">
        <f>IFERROR(INDEX('2 Staff List'!$EX$64:$EX$114,$AH292),0)</f>
        <v>0</v>
      </c>
      <c r="AJ292" s="25">
        <f>IFERROR(INDEX('2 Staff List'!$IW$64:$IW$114,$AH292),0)</f>
        <v>0</v>
      </c>
      <c r="AK292" s="25">
        <f>IFERROR(INDEX('2 Staff List'!$IB$64:$IB$114,$AH292),0)</f>
        <v>0</v>
      </c>
      <c r="AL292" s="25">
        <f>IF(OR(NOT(ISBLANK(DV292)),CX292=1),"&lt;Non-Labor&gt;",IFERROR(IF(AH292=0,0,INDEX('2 Staff List'!$HZ$64:$HZ$114,$AH292)),0))</f>
        <v>0</v>
      </c>
      <c r="AM292" s="25">
        <f>IFERROR(INDEX('2 Staff List'!$HW$64:$HW$114,$AH292),0)</f>
        <v>0</v>
      </c>
      <c r="AN292" s="25">
        <f t="shared" si="825"/>
        <v>1</v>
      </c>
      <c r="AO292" s="25">
        <f>IF($AO$127=0,0,IFERROR(INDEX('2 Staff List'!$JH$64:$JH$114,$AH292),0))</f>
        <v>0</v>
      </c>
      <c r="AP292" s="25">
        <f>IFERROR(INDEX('2 Staff List'!$HU$64:$HU$114,$AH292),0)</f>
        <v>0</v>
      </c>
      <c r="AQ292" s="25">
        <f t="shared" si="821"/>
        <v>0</v>
      </c>
      <c r="AR292" s="25">
        <f t="shared" si="826"/>
        <v>0</v>
      </c>
      <c r="AS292" s="25">
        <f t="shared" si="788"/>
        <v>0</v>
      </c>
      <c r="AT292" s="25">
        <f t="shared" si="789"/>
        <v>0</v>
      </c>
      <c r="AU292" s="25">
        <f t="shared" si="790"/>
        <v>0</v>
      </c>
      <c r="AV292" s="25">
        <f t="shared" si="791"/>
        <v>0</v>
      </c>
      <c r="AW292" s="25">
        <f t="shared" si="792"/>
        <v>0</v>
      </c>
      <c r="AX292" s="25">
        <f t="shared" si="793"/>
        <v>0</v>
      </c>
      <c r="AY292" s="25">
        <f t="shared" si="794"/>
        <v>0</v>
      </c>
      <c r="AZ292" s="25">
        <f t="shared" si="795"/>
        <v>0</v>
      </c>
      <c r="BA292" s="25">
        <f t="shared" si="796"/>
        <v>0</v>
      </c>
      <c r="BB292" s="25">
        <f t="shared" si="797"/>
        <v>0</v>
      </c>
      <c r="BC292" s="25">
        <f>IFERROR(INDEX('2 Staff List'!KS$64:KS$114,$AH292),0)</f>
        <v>0</v>
      </c>
      <c r="BD292" s="25">
        <f>IFERROR(INDEX('2 Staff List'!KT$64:KT$114,$AH292),0)</f>
        <v>0</v>
      </c>
      <c r="BE292" s="25">
        <f>IFERROR(INDEX('2 Staff List'!KU$64:KU$114,$AH292),0)</f>
        <v>0</v>
      </c>
      <c r="BF292" s="25">
        <f>IFERROR(INDEX('2 Staff List'!KV$64:KV$114,$AH292),0)</f>
        <v>0</v>
      </c>
      <c r="BG292" s="25">
        <f>IFERROR(INDEX('2 Staff List'!KW$64:KW$114,$AH292),0)</f>
        <v>0</v>
      </c>
      <c r="BH292" s="25">
        <f>IFERROR(INDEX('2 Staff List'!KX$64:KX$114,$AH292),0)</f>
        <v>0</v>
      </c>
      <c r="BI292" s="25">
        <f>IFERROR(INDEX('2 Staff List'!KY$64:KY$114,$AH292),0)</f>
        <v>0</v>
      </c>
      <c r="BJ292" s="25">
        <f>IFERROR(INDEX('2 Staff List'!KZ$64:KZ$114,$AH292),0)</f>
        <v>0</v>
      </c>
      <c r="BK292" s="25">
        <f>IFERROR(INDEX('2 Staff List'!LA$64:LA$114,$AH292),0)</f>
        <v>0</v>
      </c>
      <c r="BL292" s="25">
        <f>IFERROR(INDEX('2 Staff List'!LB$64:LB$114,$AH292),0)</f>
        <v>0</v>
      </c>
      <c r="BM292" s="25">
        <f>IFERROR(INDEX('2 Staff List'!FT$64:FT$114,$AH292),0)</f>
        <v>0</v>
      </c>
      <c r="BN292" s="25">
        <f>IFERROR(INDEX('2 Staff List'!FU$64:FU$114,$AH292),0)</f>
        <v>0</v>
      </c>
      <c r="BO292" s="25">
        <f>IFERROR(INDEX('2 Staff List'!FV$64:FV$114,$AH292),0)</f>
        <v>0</v>
      </c>
      <c r="BP292" s="25">
        <f>IFERROR(INDEX('2 Staff List'!FW$64:FW$114,$AH292),0)</f>
        <v>0</v>
      </c>
      <c r="BQ292" s="25">
        <f>IFERROR(INDEX('2 Staff List'!FX$64:FX$114,$AH292),0)</f>
        <v>0</v>
      </c>
      <c r="BR292" s="25">
        <f>IFERROR(INDEX('2 Staff List'!FY$64:FY$114,$AH292),0)</f>
        <v>0</v>
      </c>
      <c r="BS292" s="25">
        <f>IFERROR(INDEX('2 Staff List'!FZ$64:FZ$114,$AH292),0)</f>
        <v>0</v>
      </c>
      <c r="BT292" s="25">
        <f>IFERROR(INDEX('2 Staff List'!GA$64:GA$114,$AH292),0)</f>
        <v>0</v>
      </c>
      <c r="BU292" s="25">
        <f>IFERROR(INDEX('2 Staff List'!GB$64:GB$114,$AH292),0)</f>
        <v>0</v>
      </c>
      <c r="BV292" s="25">
        <f>IFERROR(INDEX('2 Staff List'!GC$64:GC$114,$AH292),0)</f>
        <v>0</v>
      </c>
      <c r="BW292" s="25">
        <f t="shared" si="827"/>
        <v>0</v>
      </c>
      <c r="BX292" s="25">
        <f t="shared" si="798"/>
        <v>0</v>
      </c>
      <c r="BY292" s="25">
        <f t="shared" si="799"/>
        <v>0</v>
      </c>
      <c r="BZ292" s="25">
        <f t="shared" si="800"/>
        <v>0</v>
      </c>
      <c r="CA292" s="25">
        <f t="shared" si="801"/>
        <v>0</v>
      </c>
      <c r="CB292" s="25">
        <f t="shared" si="802"/>
        <v>0</v>
      </c>
      <c r="CC292" s="25">
        <f t="shared" si="803"/>
        <v>0</v>
      </c>
      <c r="CD292" s="25">
        <f t="shared" si="804"/>
        <v>0</v>
      </c>
      <c r="CE292" s="25">
        <f t="shared" si="805"/>
        <v>0</v>
      </c>
      <c r="CF292" s="25">
        <f t="shared" si="806"/>
        <v>0</v>
      </c>
      <c r="CG292" s="25">
        <f t="shared" si="807"/>
        <v>0</v>
      </c>
      <c r="CH292" s="25">
        <f>IFERROR(INDEX('2 Staff List'!LO$64:LO$114,$AH292),0)</f>
        <v>0</v>
      </c>
      <c r="CI292" s="25">
        <f>IFERROR(INDEX('2 Staff List'!LP$64:LP$114,$AH292),0)</f>
        <v>0</v>
      </c>
      <c r="CJ292" s="25">
        <f>IFERROR(INDEX('2 Staff List'!LQ$64:LQ$114,$AH292),0)</f>
        <v>0</v>
      </c>
      <c r="CK292" s="25">
        <f>IFERROR(INDEX('2 Staff List'!LR$64:LR$114,$AH292),0)</f>
        <v>0</v>
      </c>
      <c r="CL292" s="25">
        <f>IFERROR(INDEX('2 Staff List'!LS$64:LS$114,$AH292),0)</f>
        <v>0</v>
      </c>
      <c r="CM292" s="25">
        <f>IFERROR(INDEX('2 Staff List'!LT$64:LT$114,$AH292),0)</f>
        <v>0</v>
      </c>
      <c r="CN292" s="25">
        <f>IFERROR(INDEX('2 Staff List'!LU$64:LU$114,$AH292),0)</f>
        <v>0</v>
      </c>
      <c r="CO292" s="25">
        <f>IFERROR(INDEX('2 Staff List'!LV$64:LV$114,$AH292),0)</f>
        <v>0</v>
      </c>
      <c r="CP292" s="25">
        <f>IFERROR(INDEX('2 Staff List'!LW$64:LW$114,$AH292),0)</f>
        <v>0</v>
      </c>
      <c r="CQ292" s="25">
        <f>IFERROR(INDEX('2 Staff List'!LX$64:LX$114,$AH292),0)</f>
        <v>0</v>
      </c>
      <c r="CR292" s="25">
        <f t="shared" si="828"/>
        <v>0</v>
      </c>
      <c r="CS292" s="25">
        <f t="shared" si="840"/>
        <v>1</v>
      </c>
      <c r="CT292" s="25">
        <f t="shared" si="837"/>
        <v>1</v>
      </c>
      <c r="CU292" s="25">
        <f t="shared" si="822"/>
        <v>1</v>
      </c>
      <c r="CV292" s="25">
        <f t="shared" si="808"/>
        <v>1</v>
      </c>
      <c r="CW292" s="25">
        <f t="shared" si="829"/>
        <v>1</v>
      </c>
      <c r="CX292" s="25">
        <f t="shared" si="809"/>
        <v>0</v>
      </c>
      <c r="CY292" s="25">
        <f t="shared" si="779"/>
        <v>0</v>
      </c>
      <c r="CZ292" s="25">
        <f t="shared" si="830"/>
        <v>0</v>
      </c>
      <c r="DA292" s="25">
        <f t="shared" si="810"/>
        <v>1</v>
      </c>
      <c r="DB292" s="25">
        <f t="shared" si="817"/>
        <v>1</v>
      </c>
      <c r="DC292" s="25">
        <f t="shared" si="838"/>
        <v>0</v>
      </c>
      <c r="DD292" s="25">
        <f>IF(OR($AD292&lt;&gt;3,F292="Exclude"),0,IF(ISERROR(MATCH($E292,'4 Sign-off'!$S$123:$X$123,0)),0,1))</f>
        <v>0</v>
      </c>
      <c r="DE292" s="25">
        <f t="shared" si="782"/>
        <v>0</v>
      </c>
      <c r="DF292" s="25">
        <f t="shared" si="831"/>
        <v>0</v>
      </c>
      <c r="DG292" s="25" t="str">
        <f t="shared" si="832"/>
        <v/>
      </c>
      <c r="DH292" s="25">
        <f t="shared" si="780"/>
        <v>0</v>
      </c>
      <c r="DI292" s="25">
        <f t="shared" si="778"/>
        <v>0</v>
      </c>
      <c r="DJ292" s="25">
        <f>IF(ISBLANK(J292),0,ISERROR(MATCH(J292,'5  Control Accounts'!$FA$29:$FA$96,0))*1)</f>
        <v>0</v>
      </c>
      <c r="DK292" s="25">
        <f t="shared" si="811"/>
        <v>0</v>
      </c>
      <c r="DL292" s="25">
        <f t="shared" si="818"/>
        <v>-1</v>
      </c>
      <c r="DM292" s="25" t="e">
        <f t="array" ref="DM292">MATCH(1,($EG292:$JD292&gt;0)*$EG$17:$JD$17,0)</f>
        <v>#N/A</v>
      </c>
      <c r="DN292" s="25" t="e">
        <f t="shared" si="841"/>
        <v>#N/A</v>
      </c>
      <c r="DO292" s="25" t="e">
        <f t="array" ref="DO292">MATCH(2,1/(EG292:JD292&gt;0))</f>
        <v>#N/A</v>
      </c>
      <c r="DP292" s="2993">
        <f t="shared" si="812"/>
        <v>0</v>
      </c>
      <c r="DQ292" s="3037">
        <f t="shared" si="813"/>
        <v>0</v>
      </c>
      <c r="DR292" s="111"/>
      <c r="DS292" s="1268">
        <f t="shared" si="781"/>
        <v>0</v>
      </c>
      <c r="DT292" s="1825"/>
      <c r="DU292" s="1826"/>
      <c r="DV292" s="1827"/>
      <c r="DW292" s="1828"/>
      <c r="DX292" s="659"/>
      <c r="DY292" s="1265"/>
      <c r="DZ292" s="1785">
        <f t="shared" si="833"/>
        <v>0</v>
      </c>
      <c r="EA292" s="1786">
        <f t="shared" si="839"/>
        <v>0</v>
      </c>
      <c r="EB292" s="1781">
        <f t="shared" si="842"/>
        <v>0</v>
      </c>
      <c r="EC292" s="1782">
        <f t="shared" si="843"/>
        <v>0</v>
      </c>
      <c r="ED292" s="1262"/>
      <c r="EE292" s="2280"/>
      <c r="EF292" s="1802">
        <f t="shared" si="844"/>
        <v>0</v>
      </c>
      <c r="EG292" s="167"/>
      <c r="EH292" s="168"/>
      <c r="EI292" s="168"/>
      <c r="EJ292" s="168"/>
      <c r="EK292" s="168"/>
      <c r="EL292" s="168"/>
      <c r="EM292" s="168"/>
      <c r="EN292" s="168"/>
      <c r="EO292" s="168"/>
      <c r="EP292" s="168"/>
      <c r="EQ292" s="168"/>
      <c r="ER292" s="168"/>
      <c r="ES292" s="168"/>
      <c r="ET292" s="168"/>
      <c r="EU292" s="168"/>
      <c r="EV292" s="168"/>
      <c r="EW292" s="168"/>
      <c r="EX292" s="168"/>
      <c r="EY292" s="168"/>
      <c r="EZ292" s="168"/>
      <c r="FA292" s="168"/>
      <c r="FB292" s="168"/>
      <c r="FC292" s="168"/>
      <c r="FD292" s="168"/>
      <c r="FE292" s="168"/>
      <c r="FF292" s="168"/>
      <c r="FG292" s="168"/>
      <c r="FH292" s="168"/>
      <c r="FI292" s="168"/>
      <c r="FJ292" s="168"/>
      <c r="FK292" s="168"/>
      <c r="FL292" s="168"/>
      <c r="FM292" s="168"/>
      <c r="FN292" s="168"/>
      <c r="FO292" s="168"/>
      <c r="FP292" s="168"/>
      <c r="FQ292" s="168"/>
      <c r="FR292" s="168"/>
      <c r="FS292" s="168"/>
      <c r="FT292" s="168"/>
      <c r="FU292" s="168"/>
      <c r="FV292" s="168"/>
      <c r="FW292" s="168"/>
      <c r="FX292" s="168"/>
      <c r="FY292" s="168"/>
      <c r="FZ292" s="168"/>
      <c r="GA292" s="168"/>
      <c r="GB292" s="168"/>
      <c r="GC292" s="168"/>
      <c r="GD292" s="168"/>
      <c r="GE292" s="168"/>
      <c r="GF292" s="168"/>
      <c r="GG292" s="168"/>
      <c r="GH292" s="168"/>
      <c r="GI292" s="168"/>
      <c r="GJ292" s="168"/>
      <c r="GK292" s="168"/>
      <c r="GL292" s="168"/>
      <c r="GM292" s="168"/>
      <c r="GN292" s="168"/>
      <c r="GO292" s="168"/>
      <c r="GP292" s="168"/>
      <c r="GQ292" s="168"/>
      <c r="GR292" s="168"/>
      <c r="GS292" s="168"/>
      <c r="GT292" s="168"/>
      <c r="GU292" s="168"/>
      <c r="GV292" s="168"/>
      <c r="GW292" s="168"/>
      <c r="GX292" s="168"/>
      <c r="GY292" s="168"/>
      <c r="GZ292" s="168"/>
      <c r="HA292" s="168"/>
      <c r="HB292" s="168"/>
      <c r="HC292" s="168"/>
      <c r="HD292" s="168"/>
      <c r="HE292" s="168"/>
      <c r="HF292" s="168"/>
      <c r="HG292" s="168"/>
      <c r="HH292" s="168"/>
      <c r="HI292" s="168"/>
      <c r="HJ292" s="168"/>
      <c r="HK292" s="168"/>
      <c r="HL292" s="168"/>
      <c r="HM292" s="168"/>
      <c r="HN292" s="168"/>
      <c r="HO292" s="168"/>
      <c r="HP292" s="168"/>
      <c r="HQ292" s="168"/>
      <c r="HR292" s="168"/>
      <c r="HS292" s="168"/>
      <c r="HT292" s="168"/>
      <c r="HU292" s="168"/>
      <c r="HV292" s="168"/>
      <c r="HW292" s="168"/>
      <c r="HX292" s="168"/>
      <c r="HY292" s="168"/>
      <c r="HZ292" s="168"/>
      <c r="IA292" s="168"/>
      <c r="IB292" s="168"/>
      <c r="IC292" s="168"/>
      <c r="ID292" s="168"/>
      <c r="IE292" s="168"/>
      <c r="IF292" s="168"/>
      <c r="IG292" s="168"/>
      <c r="IH292" s="168"/>
      <c r="II292" s="168"/>
      <c r="IJ292" s="168"/>
      <c r="IK292" s="168"/>
      <c r="IL292" s="168"/>
      <c r="IM292" s="168"/>
      <c r="IN292" s="168"/>
      <c r="IO292" s="168"/>
      <c r="IP292" s="168"/>
      <c r="IQ292" s="168"/>
      <c r="IR292" s="168"/>
      <c r="IS292" s="168"/>
      <c r="IT292" s="168"/>
      <c r="IU292" s="168"/>
      <c r="IV292" s="168"/>
      <c r="IW292" s="168"/>
      <c r="IX292" s="168"/>
      <c r="IY292" s="168"/>
      <c r="IZ292" s="168"/>
      <c r="JA292" s="168"/>
      <c r="JB292" s="168"/>
      <c r="JC292" s="606"/>
      <c r="JD292" s="609"/>
      <c r="JE292" s="1"/>
      <c r="JF292" s="1"/>
    </row>
    <row r="293" spans="1:266" s="2" customFormat="1" ht="15" customHeight="1" x14ac:dyDescent="0.25">
      <c r="A293" s="283"/>
      <c r="B293" s="303"/>
      <c r="C293" s="301"/>
      <c r="D293" s="638"/>
      <c r="E293" s="2298"/>
      <c r="F293" s="1812"/>
      <c r="G293" s="3342"/>
      <c r="H293" s="66"/>
      <c r="I293" s="1746"/>
      <c r="J293" s="86"/>
      <c r="K293" s="105"/>
      <c r="L293" s="91"/>
      <c r="M293" s="92"/>
      <c r="N293" s="93"/>
      <c r="O293" s="94"/>
      <c r="P293" s="94"/>
      <c r="Q293" s="97"/>
      <c r="R293" s="993">
        <f t="shared" si="823"/>
        <v>0</v>
      </c>
      <c r="S293" s="23">
        <f t="shared" si="783"/>
        <v>0</v>
      </c>
      <c r="T293" s="24">
        <f t="shared" si="834"/>
        <v>0</v>
      </c>
      <c r="U293" s="24">
        <f t="shared" si="835"/>
        <v>0</v>
      </c>
      <c r="V293" s="24">
        <f t="shared" si="785"/>
        <v>0</v>
      </c>
      <c r="W293" s="24">
        <f t="shared" si="819"/>
        <v>0</v>
      </c>
      <c r="X293" s="72">
        <f t="shared" si="786"/>
        <v>0</v>
      </c>
      <c r="Y293" s="72">
        <f t="shared" si="836"/>
        <v>0</v>
      </c>
      <c r="Z293" s="24">
        <f t="shared" si="824"/>
        <v>0</v>
      </c>
      <c r="AA293" s="72">
        <f t="shared" si="787"/>
        <v>0</v>
      </c>
      <c r="AB293" s="24">
        <f t="shared" si="820"/>
        <v>0</v>
      </c>
      <c r="AC293" s="24" t="s">
        <v>5</v>
      </c>
      <c r="AD293" s="25">
        <f t="shared" si="814"/>
        <v>3</v>
      </c>
      <c r="AE293" s="25">
        <f t="shared" si="815"/>
        <v>0</v>
      </c>
      <c r="AF293" s="25">
        <f t="shared" si="816"/>
        <v>0</v>
      </c>
      <c r="AG293" s="25">
        <f t="shared" si="784"/>
        <v>1</v>
      </c>
      <c r="AH293" s="25" t="str">
        <f>IFERROR(MATCH(DY293,'2 Staff List'!$IA$64:$IA$114,0),"x")</f>
        <v>x</v>
      </c>
      <c r="AI293" s="1181">
        <f>IFERROR(INDEX('2 Staff List'!$EX$64:$EX$114,$AH293),0)</f>
        <v>0</v>
      </c>
      <c r="AJ293" s="25">
        <f>IFERROR(INDEX('2 Staff List'!$IW$64:$IW$114,$AH293),0)</f>
        <v>0</v>
      </c>
      <c r="AK293" s="25">
        <f>IFERROR(INDEX('2 Staff List'!$IB$64:$IB$114,$AH293),0)</f>
        <v>0</v>
      </c>
      <c r="AL293" s="25">
        <f>IF(OR(NOT(ISBLANK(DV293)),CX293=1),"&lt;Non-Labor&gt;",IFERROR(IF(AH293=0,0,INDEX('2 Staff List'!$HZ$64:$HZ$114,$AH293)),0))</f>
        <v>0</v>
      </c>
      <c r="AM293" s="25">
        <f>IFERROR(INDEX('2 Staff List'!$HW$64:$HW$114,$AH293),0)</f>
        <v>0</v>
      </c>
      <c r="AN293" s="25">
        <f t="shared" si="825"/>
        <v>1</v>
      </c>
      <c r="AO293" s="25">
        <f>IF($AO$127=0,0,IFERROR(INDEX('2 Staff List'!$JH$64:$JH$114,$AH293),0))</f>
        <v>0</v>
      </c>
      <c r="AP293" s="25">
        <f>IFERROR(INDEX('2 Staff List'!$HU$64:$HU$114,$AH293),0)</f>
        <v>0</v>
      </c>
      <c r="AQ293" s="25">
        <f t="shared" si="821"/>
        <v>0</v>
      </c>
      <c r="AR293" s="25">
        <f t="shared" si="826"/>
        <v>0</v>
      </c>
      <c r="AS293" s="25">
        <f t="shared" si="788"/>
        <v>0</v>
      </c>
      <c r="AT293" s="25">
        <f t="shared" si="789"/>
        <v>0</v>
      </c>
      <c r="AU293" s="25">
        <f t="shared" si="790"/>
        <v>0</v>
      </c>
      <c r="AV293" s="25">
        <f t="shared" si="791"/>
        <v>0</v>
      </c>
      <c r="AW293" s="25">
        <f t="shared" si="792"/>
        <v>0</v>
      </c>
      <c r="AX293" s="25">
        <f t="shared" si="793"/>
        <v>0</v>
      </c>
      <c r="AY293" s="25">
        <f t="shared" si="794"/>
        <v>0</v>
      </c>
      <c r="AZ293" s="25">
        <f t="shared" si="795"/>
        <v>0</v>
      </c>
      <c r="BA293" s="25">
        <f t="shared" si="796"/>
        <v>0</v>
      </c>
      <c r="BB293" s="25">
        <f t="shared" si="797"/>
        <v>0</v>
      </c>
      <c r="BC293" s="25">
        <f>IFERROR(INDEX('2 Staff List'!KS$64:KS$114,$AH293),0)</f>
        <v>0</v>
      </c>
      <c r="BD293" s="25">
        <f>IFERROR(INDEX('2 Staff List'!KT$64:KT$114,$AH293),0)</f>
        <v>0</v>
      </c>
      <c r="BE293" s="25">
        <f>IFERROR(INDEX('2 Staff List'!KU$64:KU$114,$AH293),0)</f>
        <v>0</v>
      </c>
      <c r="BF293" s="25">
        <f>IFERROR(INDEX('2 Staff List'!KV$64:KV$114,$AH293),0)</f>
        <v>0</v>
      </c>
      <c r="BG293" s="25">
        <f>IFERROR(INDEX('2 Staff List'!KW$64:KW$114,$AH293),0)</f>
        <v>0</v>
      </c>
      <c r="BH293" s="25">
        <f>IFERROR(INDEX('2 Staff List'!KX$64:KX$114,$AH293),0)</f>
        <v>0</v>
      </c>
      <c r="BI293" s="25">
        <f>IFERROR(INDEX('2 Staff List'!KY$64:KY$114,$AH293),0)</f>
        <v>0</v>
      </c>
      <c r="BJ293" s="25">
        <f>IFERROR(INDEX('2 Staff List'!KZ$64:KZ$114,$AH293),0)</f>
        <v>0</v>
      </c>
      <c r="BK293" s="25">
        <f>IFERROR(INDEX('2 Staff List'!LA$64:LA$114,$AH293),0)</f>
        <v>0</v>
      </c>
      <c r="BL293" s="25">
        <f>IFERROR(INDEX('2 Staff List'!LB$64:LB$114,$AH293),0)</f>
        <v>0</v>
      </c>
      <c r="BM293" s="25">
        <f>IFERROR(INDEX('2 Staff List'!FT$64:FT$114,$AH293),0)</f>
        <v>0</v>
      </c>
      <c r="BN293" s="25">
        <f>IFERROR(INDEX('2 Staff List'!FU$64:FU$114,$AH293),0)</f>
        <v>0</v>
      </c>
      <c r="BO293" s="25">
        <f>IFERROR(INDEX('2 Staff List'!FV$64:FV$114,$AH293),0)</f>
        <v>0</v>
      </c>
      <c r="BP293" s="25">
        <f>IFERROR(INDEX('2 Staff List'!FW$64:FW$114,$AH293),0)</f>
        <v>0</v>
      </c>
      <c r="BQ293" s="25">
        <f>IFERROR(INDEX('2 Staff List'!FX$64:FX$114,$AH293),0)</f>
        <v>0</v>
      </c>
      <c r="BR293" s="25">
        <f>IFERROR(INDEX('2 Staff List'!FY$64:FY$114,$AH293),0)</f>
        <v>0</v>
      </c>
      <c r="BS293" s="25">
        <f>IFERROR(INDEX('2 Staff List'!FZ$64:FZ$114,$AH293),0)</f>
        <v>0</v>
      </c>
      <c r="BT293" s="25">
        <f>IFERROR(INDEX('2 Staff List'!GA$64:GA$114,$AH293),0)</f>
        <v>0</v>
      </c>
      <c r="BU293" s="25">
        <f>IFERROR(INDEX('2 Staff List'!GB$64:GB$114,$AH293),0)</f>
        <v>0</v>
      </c>
      <c r="BV293" s="25">
        <f>IFERROR(INDEX('2 Staff List'!GC$64:GC$114,$AH293),0)</f>
        <v>0</v>
      </c>
      <c r="BW293" s="25">
        <f t="shared" si="827"/>
        <v>0</v>
      </c>
      <c r="BX293" s="25">
        <f t="shared" si="798"/>
        <v>0</v>
      </c>
      <c r="BY293" s="25">
        <f t="shared" si="799"/>
        <v>0</v>
      </c>
      <c r="BZ293" s="25">
        <f t="shared" si="800"/>
        <v>0</v>
      </c>
      <c r="CA293" s="25">
        <f t="shared" si="801"/>
        <v>0</v>
      </c>
      <c r="CB293" s="25">
        <f t="shared" si="802"/>
        <v>0</v>
      </c>
      <c r="CC293" s="25">
        <f t="shared" si="803"/>
        <v>0</v>
      </c>
      <c r="CD293" s="25">
        <f t="shared" si="804"/>
        <v>0</v>
      </c>
      <c r="CE293" s="25">
        <f t="shared" si="805"/>
        <v>0</v>
      </c>
      <c r="CF293" s="25">
        <f t="shared" si="806"/>
        <v>0</v>
      </c>
      <c r="CG293" s="25">
        <f t="shared" si="807"/>
        <v>0</v>
      </c>
      <c r="CH293" s="25">
        <f>IFERROR(INDEX('2 Staff List'!LO$64:LO$114,$AH293),0)</f>
        <v>0</v>
      </c>
      <c r="CI293" s="25">
        <f>IFERROR(INDEX('2 Staff List'!LP$64:LP$114,$AH293),0)</f>
        <v>0</v>
      </c>
      <c r="CJ293" s="25">
        <f>IFERROR(INDEX('2 Staff List'!LQ$64:LQ$114,$AH293),0)</f>
        <v>0</v>
      </c>
      <c r="CK293" s="25">
        <f>IFERROR(INDEX('2 Staff List'!LR$64:LR$114,$AH293),0)</f>
        <v>0</v>
      </c>
      <c r="CL293" s="25">
        <f>IFERROR(INDEX('2 Staff List'!LS$64:LS$114,$AH293),0)</f>
        <v>0</v>
      </c>
      <c r="CM293" s="25">
        <f>IFERROR(INDEX('2 Staff List'!LT$64:LT$114,$AH293),0)</f>
        <v>0</v>
      </c>
      <c r="CN293" s="25">
        <f>IFERROR(INDEX('2 Staff List'!LU$64:LU$114,$AH293),0)</f>
        <v>0</v>
      </c>
      <c r="CO293" s="25">
        <f>IFERROR(INDEX('2 Staff List'!LV$64:LV$114,$AH293),0)</f>
        <v>0</v>
      </c>
      <c r="CP293" s="25">
        <f>IFERROR(INDEX('2 Staff List'!LW$64:LW$114,$AH293),0)</f>
        <v>0</v>
      </c>
      <c r="CQ293" s="25">
        <f>IFERROR(INDEX('2 Staff List'!LX$64:LX$114,$AH293),0)</f>
        <v>0</v>
      </c>
      <c r="CR293" s="25">
        <f t="shared" si="828"/>
        <v>0</v>
      </c>
      <c r="CS293" s="25">
        <f t="shared" si="840"/>
        <v>1</v>
      </c>
      <c r="CT293" s="25">
        <f t="shared" si="837"/>
        <v>1</v>
      </c>
      <c r="CU293" s="25">
        <f t="shared" si="822"/>
        <v>1</v>
      </c>
      <c r="CV293" s="25">
        <f t="shared" si="808"/>
        <v>1</v>
      </c>
      <c r="CW293" s="25">
        <f t="shared" si="829"/>
        <v>1</v>
      </c>
      <c r="CX293" s="25">
        <f t="shared" si="809"/>
        <v>0</v>
      </c>
      <c r="CY293" s="25">
        <f t="shared" si="779"/>
        <v>0</v>
      </c>
      <c r="CZ293" s="25">
        <f t="shared" si="830"/>
        <v>0</v>
      </c>
      <c r="DA293" s="25">
        <f t="shared" si="810"/>
        <v>1</v>
      </c>
      <c r="DB293" s="25">
        <f t="shared" si="817"/>
        <v>1</v>
      </c>
      <c r="DC293" s="25">
        <f t="shared" si="838"/>
        <v>0</v>
      </c>
      <c r="DD293" s="25">
        <f>IF(OR($AD293&lt;&gt;3,F293="Exclude"),0,IF(ISERROR(MATCH($E293,'4 Sign-off'!$S$123:$X$123,0)),0,1))</f>
        <v>0</v>
      </c>
      <c r="DE293" s="25">
        <f t="shared" si="782"/>
        <v>0</v>
      </c>
      <c r="DF293" s="25">
        <f t="shared" si="831"/>
        <v>0</v>
      </c>
      <c r="DG293" s="25" t="str">
        <f t="shared" si="832"/>
        <v/>
      </c>
      <c r="DH293" s="25">
        <f t="shared" si="780"/>
        <v>0</v>
      </c>
      <c r="DI293" s="25">
        <f t="shared" si="778"/>
        <v>0</v>
      </c>
      <c r="DJ293" s="25">
        <f>IF(ISBLANK(J293),0,ISERROR(MATCH(J293,'5  Control Accounts'!$FA$29:$FA$96,0))*1)</f>
        <v>0</v>
      </c>
      <c r="DK293" s="25">
        <f t="shared" si="811"/>
        <v>0</v>
      </c>
      <c r="DL293" s="25">
        <f t="shared" si="818"/>
        <v>-1</v>
      </c>
      <c r="DM293" s="25" t="e">
        <f t="array" ref="DM293">MATCH(1,($EG293:$JD293&gt;0)*$EG$17:$JD$17,0)</f>
        <v>#N/A</v>
      </c>
      <c r="DN293" s="25" t="e">
        <f t="shared" si="841"/>
        <v>#N/A</v>
      </c>
      <c r="DO293" s="25" t="e">
        <f t="array" ref="DO293">MATCH(2,1/(EG293:JD293&gt;0))</f>
        <v>#N/A</v>
      </c>
      <c r="DP293" s="2993">
        <f t="shared" si="812"/>
        <v>0</v>
      </c>
      <c r="DQ293" s="3037">
        <f t="shared" si="813"/>
        <v>0</v>
      </c>
      <c r="DR293" s="111"/>
      <c r="DS293" s="1268">
        <f t="shared" si="781"/>
        <v>0</v>
      </c>
      <c r="DT293" s="1825"/>
      <c r="DU293" s="1826"/>
      <c r="DV293" s="1827"/>
      <c r="DW293" s="1828"/>
      <c r="DX293" s="659"/>
      <c r="DY293" s="1265"/>
      <c r="DZ293" s="1785">
        <f t="shared" si="833"/>
        <v>0</v>
      </c>
      <c r="EA293" s="1786">
        <f t="shared" si="839"/>
        <v>0</v>
      </c>
      <c r="EB293" s="1781">
        <f t="shared" si="842"/>
        <v>0</v>
      </c>
      <c r="EC293" s="1782">
        <f t="shared" si="843"/>
        <v>0</v>
      </c>
      <c r="ED293" s="1262"/>
      <c r="EE293" s="2280"/>
      <c r="EF293" s="1802">
        <f t="shared" si="844"/>
        <v>0</v>
      </c>
      <c r="EG293" s="167"/>
      <c r="EH293" s="168"/>
      <c r="EI293" s="168"/>
      <c r="EJ293" s="168"/>
      <c r="EK293" s="168"/>
      <c r="EL293" s="168"/>
      <c r="EM293" s="168"/>
      <c r="EN293" s="168"/>
      <c r="EO293" s="168"/>
      <c r="EP293" s="168"/>
      <c r="EQ293" s="168"/>
      <c r="ER293" s="168"/>
      <c r="ES293" s="168"/>
      <c r="ET293" s="168"/>
      <c r="EU293" s="168"/>
      <c r="EV293" s="168"/>
      <c r="EW293" s="168"/>
      <c r="EX293" s="168"/>
      <c r="EY293" s="168"/>
      <c r="EZ293" s="168"/>
      <c r="FA293" s="168"/>
      <c r="FB293" s="168"/>
      <c r="FC293" s="168"/>
      <c r="FD293" s="168"/>
      <c r="FE293" s="168"/>
      <c r="FF293" s="168"/>
      <c r="FG293" s="168"/>
      <c r="FH293" s="168"/>
      <c r="FI293" s="168"/>
      <c r="FJ293" s="168"/>
      <c r="FK293" s="168"/>
      <c r="FL293" s="168"/>
      <c r="FM293" s="168"/>
      <c r="FN293" s="168"/>
      <c r="FO293" s="168"/>
      <c r="FP293" s="168"/>
      <c r="FQ293" s="168"/>
      <c r="FR293" s="168"/>
      <c r="FS293" s="168"/>
      <c r="FT293" s="168"/>
      <c r="FU293" s="168"/>
      <c r="FV293" s="168"/>
      <c r="FW293" s="168"/>
      <c r="FX293" s="168"/>
      <c r="FY293" s="168"/>
      <c r="FZ293" s="168"/>
      <c r="GA293" s="168"/>
      <c r="GB293" s="168"/>
      <c r="GC293" s="168"/>
      <c r="GD293" s="168"/>
      <c r="GE293" s="168"/>
      <c r="GF293" s="168"/>
      <c r="GG293" s="168"/>
      <c r="GH293" s="168"/>
      <c r="GI293" s="168"/>
      <c r="GJ293" s="168"/>
      <c r="GK293" s="168"/>
      <c r="GL293" s="168"/>
      <c r="GM293" s="168"/>
      <c r="GN293" s="168"/>
      <c r="GO293" s="168"/>
      <c r="GP293" s="168"/>
      <c r="GQ293" s="168"/>
      <c r="GR293" s="168"/>
      <c r="GS293" s="168"/>
      <c r="GT293" s="168"/>
      <c r="GU293" s="168"/>
      <c r="GV293" s="168"/>
      <c r="GW293" s="168"/>
      <c r="GX293" s="168"/>
      <c r="GY293" s="168"/>
      <c r="GZ293" s="168"/>
      <c r="HA293" s="168"/>
      <c r="HB293" s="168"/>
      <c r="HC293" s="168"/>
      <c r="HD293" s="168"/>
      <c r="HE293" s="168"/>
      <c r="HF293" s="168"/>
      <c r="HG293" s="168"/>
      <c r="HH293" s="168"/>
      <c r="HI293" s="168"/>
      <c r="HJ293" s="168"/>
      <c r="HK293" s="168"/>
      <c r="HL293" s="168"/>
      <c r="HM293" s="168"/>
      <c r="HN293" s="168"/>
      <c r="HO293" s="168"/>
      <c r="HP293" s="168"/>
      <c r="HQ293" s="168"/>
      <c r="HR293" s="168"/>
      <c r="HS293" s="168"/>
      <c r="HT293" s="168"/>
      <c r="HU293" s="168"/>
      <c r="HV293" s="168"/>
      <c r="HW293" s="168"/>
      <c r="HX293" s="168"/>
      <c r="HY293" s="168"/>
      <c r="HZ293" s="168"/>
      <c r="IA293" s="168"/>
      <c r="IB293" s="168"/>
      <c r="IC293" s="168"/>
      <c r="ID293" s="168"/>
      <c r="IE293" s="168"/>
      <c r="IF293" s="168"/>
      <c r="IG293" s="168"/>
      <c r="IH293" s="168"/>
      <c r="II293" s="168"/>
      <c r="IJ293" s="168"/>
      <c r="IK293" s="168"/>
      <c r="IL293" s="168"/>
      <c r="IM293" s="168"/>
      <c r="IN293" s="168"/>
      <c r="IO293" s="168"/>
      <c r="IP293" s="168"/>
      <c r="IQ293" s="168"/>
      <c r="IR293" s="168"/>
      <c r="IS293" s="168"/>
      <c r="IT293" s="168"/>
      <c r="IU293" s="168"/>
      <c r="IV293" s="168"/>
      <c r="IW293" s="168"/>
      <c r="IX293" s="168"/>
      <c r="IY293" s="168"/>
      <c r="IZ293" s="168"/>
      <c r="JA293" s="168"/>
      <c r="JB293" s="168"/>
      <c r="JC293" s="606"/>
      <c r="JD293" s="609"/>
      <c r="JE293" s="1"/>
      <c r="JF293" s="1"/>
    </row>
    <row r="294" spans="1:266" s="2" customFormat="1" ht="15" customHeight="1" x14ac:dyDescent="0.25">
      <c r="A294" s="283"/>
      <c r="B294" s="303"/>
      <c r="C294" s="301"/>
      <c r="D294" s="638"/>
      <c r="E294" s="2298"/>
      <c r="F294" s="1812"/>
      <c r="G294" s="3342"/>
      <c r="H294" s="66"/>
      <c r="I294" s="1746"/>
      <c r="J294" s="86"/>
      <c r="K294" s="105"/>
      <c r="L294" s="91"/>
      <c r="M294" s="92"/>
      <c r="N294" s="93"/>
      <c r="O294" s="94"/>
      <c r="P294" s="94"/>
      <c r="Q294" s="97"/>
      <c r="R294" s="993">
        <f t="shared" si="823"/>
        <v>0</v>
      </c>
      <c r="S294" s="23">
        <f t="shared" si="783"/>
        <v>0</v>
      </c>
      <c r="T294" s="24">
        <f t="shared" si="834"/>
        <v>0</v>
      </c>
      <c r="U294" s="24">
        <f t="shared" si="835"/>
        <v>0</v>
      </c>
      <c r="V294" s="24">
        <f t="shared" si="785"/>
        <v>0</v>
      </c>
      <c r="W294" s="24">
        <f t="shared" si="819"/>
        <v>0</v>
      </c>
      <c r="X294" s="72">
        <f t="shared" si="786"/>
        <v>0</v>
      </c>
      <c r="Y294" s="72">
        <f t="shared" si="836"/>
        <v>0</v>
      </c>
      <c r="Z294" s="24">
        <f t="shared" si="824"/>
        <v>0</v>
      </c>
      <c r="AA294" s="72">
        <f t="shared" si="787"/>
        <v>0</v>
      </c>
      <c r="AB294" s="24">
        <f t="shared" si="820"/>
        <v>0</v>
      </c>
      <c r="AC294" s="24" t="s">
        <v>5</v>
      </c>
      <c r="AD294" s="25">
        <f t="shared" si="814"/>
        <v>3</v>
      </c>
      <c r="AE294" s="25">
        <f t="shared" si="815"/>
        <v>0</v>
      </c>
      <c r="AF294" s="25">
        <f t="shared" si="816"/>
        <v>0</v>
      </c>
      <c r="AG294" s="25">
        <f t="shared" si="784"/>
        <v>1</v>
      </c>
      <c r="AH294" s="25" t="str">
        <f>IFERROR(MATCH(DY294,'2 Staff List'!$IA$64:$IA$114,0),"x")</f>
        <v>x</v>
      </c>
      <c r="AI294" s="1181">
        <f>IFERROR(INDEX('2 Staff List'!$EX$64:$EX$114,$AH294),0)</f>
        <v>0</v>
      </c>
      <c r="AJ294" s="25">
        <f>IFERROR(INDEX('2 Staff List'!$IW$64:$IW$114,$AH294),0)</f>
        <v>0</v>
      </c>
      <c r="AK294" s="25">
        <f>IFERROR(INDEX('2 Staff List'!$IB$64:$IB$114,$AH294),0)</f>
        <v>0</v>
      </c>
      <c r="AL294" s="25">
        <f>IF(OR(NOT(ISBLANK(DV294)),CX294=1),"&lt;Non-Labor&gt;",IFERROR(IF(AH294=0,0,INDEX('2 Staff List'!$HZ$64:$HZ$114,$AH294)),0))</f>
        <v>0</v>
      </c>
      <c r="AM294" s="25">
        <f>IFERROR(INDEX('2 Staff List'!$HW$64:$HW$114,$AH294),0)</f>
        <v>0</v>
      </c>
      <c r="AN294" s="25">
        <f t="shared" si="825"/>
        <v>1</v>
      </c>
      <c r="AO294" s="25">
        <f>IF($AO$127=0,0,IFERROR(INDEX('2 Staff List'!$JH$64:$JH$114,$AH294),0))</f>
        <v>0</v>
      </c>
      <c r="AP294" s="25">
        <f>IFERROR(INDEX('2 Staff List'!$HU$64:$HU$114,$AH294),0)</f>
        <v>0</v>
      </c>
      <c r="AQ294" s="25">
        <f t="shared" si="821"/>
        <v>0</v>
      </c>
      <c r="AR294" s="25">
        <f t="shared" si="826"/>
        <v>0</v>
      </c>
      <c r="AS294" s="25">
        <f t="shared" si="788"/>
        <v>0</v>
      </c>
      <c r="AT294" s="25">
        <f t="shared" si="789"/>
        <v>0</v>
      </c>
      <c r="AU294" s="25">
        <f t="shared" si="790"/>
        <v>0</v>
      </c>
      <c r="AV294" s="25">
        <f t="shared" si="791"/>
        <v>0</v>
      </c>
      <c r="AW294" s="25">
        <f t="shared" si="792"/>
        <v>0</v>
      </c>
      <c r="AX294" s="25">
        <f t="shared" si="793"/>
        <v>0</v>
      </c>
      <c r="AY294" s="25">
        <f t="shared" si="794"/>
        <v>0</v>
      </c>
      <c r="AZ294" s="25">
        <f t="shared" si="795"/>
        <v>0</v>
      </c>
      <c r="BA294" s="25">
        <f t="shared" si="796"/>
        <v>0</v>
      </c>
      <c r="BB294" s="25">
        <f t="shared" si="797"/>
        <v>0</v>
      </c>
      <c r="BC294" s="25">
        <f>IFERROR(INDEX('2 Staff List'!KS$64:KS$114,$AH294),0)</f>
        <v>0</v>
      </c>
      <c r="BD294" s="25">
        <f>IFERROR(INDEX('2 Staff List'!KT$64:KT$114,$AH294),0)</f>
        <v>0</v>
      </c>
      <c r="BE294" s="25">
        <f>IFERROR(INDEX('2 Staff List'!KU$64:KU$114,$AH294),0)</f>
        <v>0</v>
      </c>
      <c r="BF294" s="25">
        <f>IFERROR(INDEX('2 Staff List'!KV$64:KV$114,$AH294),0)</f>
        <v>0</v>
      </c>
      <c r="BG294" s="25">
        <f>IFERROR(INDEX('2 Staff List'!KW$64:KW$114,$AH294),0)</f>
        <v>0</v>
      </c>
      <c r="BH294" s="25">
        <f>IFERROR(INDEX('2 Staff List'!KX$64:KX$114,$AH294),0)</f>
        <v>0</v>
      </c>
      <c r="BI294" s="25">
        <f>IFERROR(INDEX('2 Staff List'!KY$64:KY$114,$AH294),0)</f>
        <v>0</v>
      </c>
      <c r="BJ294" s="25">
        <f>IFERROR(INDEX('2 Staff List'!KZ$64:KZ$114,$AH294),0)</f>
        <v>0</v>
      </c>
      <c r="BK294" s="25">
        <f>IFERROR(INDEX('2 Staff List'!LA$64:LA$114,$AH294),0)</f>
        <v>0</v>
      </c>
      <c r="BL294" s="25">
        <f>IFERROR(INDEX('2 Staff List'!LB$64:LB$114,$AH294),0)</f>
        <v>0</v>
      </c>
      <c r="BM294" s="25">
        <f>IFERROR(INDEX('2 Staff List'!FT$64:FT$114,$AH294),0)</f>
        <v>0</v>
      </c>
      <c r="BN294" s="25">
        <f>IFERROR(INDEX('2 Staff List'!FU$64:FU$114,$AH294),0)</f>
        <v>0</v>
      </c>
      <c r="BO294" s="25">
        <f>IFERROR(INDEX('2 Staff List'!FV$64:FV$114,$AH294),0)</f>
        <v>0</v>
      </c>
      <c r="BP294" s="25">
        <f>IFERROR(INDEX('2 Staff List'!FW$64:FW$114,$AH294),0)</f>
        <v>0</v>
      </c>
      <c r="BQ294" s="25">
        <f>IFERROR(INDEX('2 Staff List'!FX$64:FX$114,$AH294),0)</f>
        <v>0</v>
      </c>
      <c r="BR294" s="25">
        <f>IFERROR(INDEX('2 Staff List'!FY$64:FY$114,$AH294),0)</f>
        <v>0</v>
      </c>
      <c r="BS294" s="25">
        <f>IFERROR(INDEX('2 Staff List'!FZ$64:FZ$114,$AH294),0)</f>
        <v>0</v>
      </c>
      <c r="BT294" s="25">
        <f>IFERROR(INDEX('2 Staff List'!GA$64:GA$114,$AH294),0)</f>
        <v>0</v>
      </c>
      <c r="BU294" s="25">
        <f>IFERROR(INDEX('2 Staff List'!GB$64:GB$114,$AH294),0)</f>
        <v>0</v>
      </c>
      <c r="BV294" s="25">
        <f>IFERROR(INDEX('2 Staff List'!GC$64:GC$114,$AH294),0)</f>
        <v>0</v>
      </c>
      <c r="BW294" s="25">
        <f t="shared" si="827"/>
        <v>0</v>
      </c>
      <c r="BX294" s="25">
        <f t="shared" si="798"/>
        <v>0</v>
      </c>
      <c r="BY294" s="25">
        <f t="shared" si="799"/>
        <v>0</v>
      </c>
      <c r="BZ294" s="25">
        <f t="shared" si="800"/>
        <v>0</v>
      </c>
      <c r="CA294" s="25">
        <f t="shared" si="801"/>
        <v>0</v>
      </c>
      <c r="CB294" s="25">
        <f t="shared" si="802"/>
        <v>0</v>
      </c>
      <c r="CC294" s="25">
        <f t="shared" si="803"/>
        <v>0</v>
      </c>
      <c r="CD294" s="25">
        <f t="shared" si="804"/>
        <v>0</v>
      </c>
      <c r="CE294" s="25">
        <f t="shared" si="805"/>
        <v>0</v>
      </c>
      <c r="CF294" s="25">
        <f t="shared" si="806"/>
        <v>0</v>
      </c>
      <c r="CG294" s="25">
        <f t="shared" si="807"/>
        <v>0</v>
      </c>
      <c r="CH294" s="25">
        <f>IFERROR(INDEX('2 Staff List'!LO$64:LO$114,$AH294),0)</f>
        <v>0</v>
      </c>
      <c r="CI294" s="25">
        <f>IFERROR(INDEX('2 Staff List'!LP$64:LP$114,$AH294),0)</f>
        <v>0</v>
      </c>
      <c r="CJ294" s="25">
        <f>IFERROR(INDEX('2 Staff List'!LQ$64:LQ$114,$AH294),0)</f>
        <v>0</v>
      </c>
      <c r="CK294" s="25">
        <f>IFERROR(INDEX('2 Staff List'!LR$64:LR$114,$AH294),0)</f>
        <v>0</v>
      </c>
      <c r="CL294" s="25">
        <f>IFERROR(INDEX('2 Staff List'!LS$64:LS$114,$AH294),0)</f>
        <v>0</v>
      </c>
      <c r="CM294" s="25">
        <f>IFERROR(INDEX('2 Staff List'!LT$64:LT$114,$AH294),0)</f>
        <v>0</v>
      </c>
      <c r="CN294" s="25">
        <f>IFERROR(INDEX('2 Staff List'!LU$64:LU$114,$AH294),0)</f>
        <v>0</v>
      </c>
      <c r="CO294" s="25">
        <f>IFERROR(INDEX('2 Staff List'!LV$64:LV$114,$AH294),0)</f>
        <v>0</v>
      </c>
      <c r="CP294" s="25">
        <f>IFERROR(INDEX('2 Staff List'!LW$64:LW$114,$AH294),0)</f>
        <v>0</v>
      </c>
      <c r="CQ294" s="25">
        <f>IFERROR(INDEX('2 Staff List'!LX$64:LX$114,$AH294),0)</f>
        <v>0</v>
      </c>
      <c r="CR294" s="25">
        <f t="shared" si="828"/>
        <v>0</v>
      </c>
      <c r="CS294" s="25">
        <f t="shared" si="840"/>
        <v>1</v>
      </c>
      <c r="CT294" s="25">
        <f t="shared" si="837"/>
        <v>1</v>
      </c>
      <c r="CU294" s="25">
        <f t="shared" si="822"/>
        <v>1</v>
      </c>
      <c r="CV294" s="25">
        <f t="shared" si="808"/>
        <v>1</v>
      </c>
      <c r="CW294" s="25">
        <f t="shared" si="829"/>
        <v>1</v>
      </c>
      <c r="CX294" s="25">
        <f t="shared" si="809"/>
        <v>0</v>
      </c>
      <c r="CY294" s="25">
        <f t="shared" si="779"/>
        <v>0</v>
      </c>
      <c r="CZ294" s="25">
        <f t="shared" si="830"/>
        <v>0</v>
      </c>
      <c r="DA294" s="25">
        <f t="shared" si="810"/>
        <v>1</v>
      </c>
      <c r="DB294" s="25">
        <f t="shared" si="817"/>
        <v>1</v>
      </c>
      <c r="DC294" s="25">
        <f t="shared" si="838"/>
        <v>0</v>
      </c>
      <c r="DD294" s="25">
        <f>IF(OR($AD294&lt;&gt;3,F294="Exclude"),0,IF(ISERROR(MATCH($E294,'4 Sign-off'!$S$123:$X$123,0)),0,1))</f>
        <v>0</v>
      </c>
      <c r="DE294" s="25">
        <f t="shared" si="782"/>
        <v>0</v>
      </c>
      <c r="DF294" s="25">
        <f t="shared" si="831"/>
        <v>0</v>
      </c>
      <c r="DG294" s="25" t="str">
        <f t="shared" si="832"/>
        <v/>
      </c>
      <c r="DH294" s="25">
        <f t="shared" si="780"/>
        <v>0</v>
      </c>
      <c r="DI294" s="25">
        <f t="shared" si="778"/>
        <v>0</v>
      </c>
      <c r="DJ294" s="25">
        <f>IF(ISBLANK(J294),0,ISERROR(MATCH(J294,'5  Control Accounts'!$FA$29:$FA$96,0))*1)</f>
        <v>0</v>
      </c>
      <c r="DK294" s="25">
        <f t="shared" si="811"/>
        <v>0</v>
      </c>
      <c r="DL294" s="25">
        <f t="shared" si="818"/>
        <v>-1</v>
      </c>
      <c r="DM294" s="25" t="e">
        <f t="array" ref="DM294">MATCH(1,($EG294:$JD294&gt;0)*$EG$17:$JD$17,0)</f>
        <v>#N/A</v>
      </c>
      <c r="DN294" s="25" t="e">
        <f t="shared" si="841"/>
        <v>#N/A</v>
      </c>
      <c r="DO294" s="25" t="e">
        <f t="array" ref="DO294">MATCH(2,1/(EG294:JD294&gt;0))</f>
        <v>#N/A</v>
      </c>
      <c r="DP294" s="2993">
        <f t="shared" si="812"/>
        <v>0</v>
      </c>
      <c r="DQ294" s="3037">
        <f t="shared" si="813"/>
        <v>0</v>
      </c>
      <c r="DR294" s="111"/>
      <c r="DS294" s="1268">
        <f t="shared" si="781"/>
        <v>0</v>
      </c>
      <c r="DT294" s="1825"/>
      <c r="DU294" s="1826"/>
      <c r="DV294" s="1827"/>
      <c r="DW294" s="1828"/>
      <c r="DX294" s="659"/>
      <c r="DY294" s="1265"/>
      <c r="DZ294" s="1785">
        <f t="shared" si="833"/>
        <v>0</v>
      </c>
      <c r="EA294" s="1786">
        <f t="shared" si="839"/>
        <v>0</v>
      </c>
      <c r="EB294" s="1781">
        <f t="shared" si="842"/>
        <v>0</v>
      </c>
      <c r="EC294" s="1782">
        <f t="shared" si="843"/>
        <v>0</v>
      </c>
      <c r="ED294" s="1262"/>
      <c r="EE294" s="2280"/>
      <c r="EF294" s="1802">
        <f t="shared" si="844"/>
        <v>0</v>
      </c>
      <c r="EG294" s="167"/>
      <c r="EH294" s="168"/>
      <c r="EI294" s="168"/>
      <c r="EJ294" s="168"/>
      <c r="EK294" s="168"/>
      <c r="EL294" s="168"/>
      <c r="EM294" s="168"/>
      <c r="EN294" s="168"/>
      <c r="EO294" s="168"/>
      <c r="EP294" s="168"/>
      <c r="EQ294" s="168"/>
      <c r="ER294" s="168"/>
      <c r="ES294" s="168"/>
      <c r="ET294" s="168"/>
      <c r="EU294" s="168"/>
      <c r="EV294" s="168"/>
      <c r="EW294" s="168"/>
      <c r="EX294" s="168"/>
      <c r="EY294" s="168"/>
      <c r="EZ294" s="168"/>
      <c r="FA294" s="168"/>
      <c r="FB294" s="168"/>
      <c r="FC294" s="168"/>
      <c r="FD294" s="168"/>
      <c r="FE294" s="168"/>
      <c r="FF294" s="168"/>
      <c r="FG294" s="168"/>
      <c r="FH294" s="168"/>
      <c r="FI294" s="168"/>
      <c r="FJ294" s="168"/>
      <c r="FK294" s="168"/>
      <c r="FL294" s="168"/>
      <c r="FM294" s="168"/>
      <c r="FN294" s="168"/>
      <c r="FO294" s="168"/>
      <c r="FP294" s="168"/>
      <c r="FQ294" s="168"/>
      <c r="FR294" s="168"/>
      <c r="FS294" s="168"/>
      <c r="FT294" s="168"/>
      <c r="FU294" s="168"/>
      <c r="FV294" s="168"/>
      <c r="FW294" s="168"/>
      <c r="FX294" s="168"/>
      <c r="FY294" s="168"/>
      <c r="FZ294" s="168"/>
      <c r="GA294" s="168"/>
      <c r="GB294" s="168"/>
      <c r="GC294" s="168"/>
      <c r="GD294" s="168"/>
      <c r="GE294" s="168"/>
      <c r="GF294" s="168"/>
      <c r="GG294" s="168"/>
      <c r="GH294" s="168"/>
      <c r="GI294" s="168"/>
      <c r="GJ294" s="168"/>
      <c r="GK294" s="168"/>
      <c r="GL294" s="168"/>
      <c r="GM294" s="168"/>
      <c r="GN294" s="168"/>
      <c r="GO294" s="168"/>
      <c r="GP294" s="168"/>
      <c r="GQ294" s="168"/>
      <c r="GR294" s="168"/>
      <c r="GS294" s="168"/>
      <c r="GT294" s="168"/>
      <c r="GU294" s="168"/>
      <c r="GV294" s="168"/>
      <c r="GW294" s="168"/>
      <c r="GX294" s="168"/>
      <c r="GY294" s="168"/>
      <c r="GZ294" s="168"/>
      <c r="HA294" s="168"/>
      <c r="HB294" s="168"/>
      <c r="HC294" s="168"/>
      <c r="HD294" s="168"/>
      <c r="HE294" s="168"/>
      <c r="HF294" s="168"/>
      <c r="HG294" s="168"/>
      <c r="HH294" s="168"/>
      <c r="HI294" s="168"/>
      <c r="HJ294" s="168"/>
      <c r="HK294" s="168"/>
      <c r="HL294" s="168"/>
      <c r="HM294" s="168"/>
      <c r="HN294" s="168"/>
      <c r="HO294" s="168"/>
      <c r="HP294" s="168"/>
      <c r="HQ294" s="168"/>
      <c r="HR294" s="168"/>
      <c r="HS294" s="168"/>
      <c r="HT294" s="168"/>
      <c r="HU294" s="168"/>
      <c r="HV294" s="168"/>
      <c r="HW294" s="168"/>
      <c r="HX294" s="168"/>
      <c r="HY294" s="168"/>
      <c r="HZ294" s="168"/>
      <c r="IA294" s="168"/>
      <c r="IB294" s="168"/>
      <c r="IC294" s="168"/>
      <c r="ID294" s="168"/>
      <c r="IE294" s="168"/>
      <c r="IF294" s="168"/>
      <c r="IG294" s="168"/>
      <c r="IH294" s="168"/>
      <c r="II294" s="168"/>
      <c r="IJ294" s="168"/>
      <c r="IK294" s="168"/>
      <c r="IL294" s="168"/>
      <c r="IM294" s="168"/>
      <c r="IN294" s="168"/>
      <c r="IO294" s="168"/>
      <c r="IP294" s="168"/>
      <c r="IQ294" s="168"/>
      <c r="IR294" s="168"/>
      <c r="IS294" s="168"/>
      <c r="IT294" s="168"/>
      <c r="IU294" s="168"/>
      <c r="IV294" s="168"/>
      <c r="IW294" s="168"/>
      <c r="IX294" s="168"/>
      <c r="IY294" s="168"/>
      <c r="IZ294" s="168"/>
      <c r="JA294" s="168"/>
      <c r="JB294" s="168"/>
      <c r="JC294" s="606"/>
      <c r="JD294" s="609"/>
      <c r="JE294" s="1"/>
      <c r="JF294" s="1"/>
    </row>
    <row r="295" spans="1:266" s="2" customFormat="1" ht="15" customHeight="1" x14ac:dyDescent="0.25">
      <c r="A295" s="283"/>
      <c r="B295" s="303"/>
      <c r="C295" s="301"/>
      <c r="D295" s="638"/>
      <c r="E295" s="2298"/>
      <c r="F295" s="1812"/>
      <c r="G295" s="3342"/>
      <c r="H295" s="66"/>
      <c r="I295" s="1746"/>
      <c r="J295" s="86"/>
      <c r="K295" s="105"/>
      <c r="L295" s="91"/>
      <c r="M295" s="92"/>
      <c r="N295" s="93"/>
      <c r="O295" s="94"/>
      <c r="P295" s="94"/>
      <c r="Q295" s="97"/>
      <c r="R295" s="993">
        <f t="shared" si="823"/>
        <v>0</v>
      </c>
      <c r="S295" s="23">
        <f t="shared" si="783"/>
        <v>0</v>
      </c>
      <c r="T295" s="24">
        <f t="shared" si="834"/>
        <v>0</v>
      </c>
      <c r="U295" s="24">
        <f t="shared" si="835"/>
        <v>0</v>
      </c>
      <c r="V295" s="24">
        <f t="shared" si="785"/>
        <v>0</v>
      </c>
      <c r="W295" s="24">
        <f t="shared" si="819"/>
        <v>0</v>
      </c>
      <c r="X295" s="72">
        <f t="shared" si="786"/>
        <v>0</v>
      </c>
      <c r="Y295" s="72">
        <f t="shared" si="836"/>
        <v>0</v>
      </c>
      <c r="Z295" s="24">
        <f t="shared" si="824"/>
        <v>0</v>
      </c>
      <c r="AA295" s="72">
        <f t="shared" si="787"/>
        <v>0</v>
      </c>
      <c r="AB295" s="24">
        <f t="shared" si="820"/>
        <v>0</v>
      </c>
      <c r="AC295" s="24" t="s">
        <v>5</v>
      </c>
      <c r="AD295" s="25">
        <f t="shared" si="814"/>
        <v>3</v>
      </c>
      <c r="AE295" s="25">
        <f t="shared" si="815"/>
        <v>0</v>
      </c>
      <c r="AF295" s="25">
        <f t="shared" si="816"/>
        <v>0</v>
      </c>
      <c r="AG295" s="25">
        <f t="shared" si="784"/>
        <v>1</v>
      </c>
      <c r="AH295" s="25" t="str">
        <f>IFERROR(MATCH(DY295,'2 Staff List'!$IA$64:$IA$114,0),"x")</f>
        <v>x</v>
      </c>
      <c r="AI295" s="1181">
        <f>IFERROR(INDEX('2 Staff List'!$EX$64:$EX$114,$AH295),0)</f>
        <v>0</v>
      </c>
      <c r="AJ295" s="25">
        <f>IFERROR(INDEX('2 Staff List'!$IW$64:$IW$114,$AH295),0)</f>
        <v>0</v>
      </c>
      <c r="AK295" s="25">
        <f>IFERROR(INDEX('2 Staff List'!$IB$64:$IB$114,$AH295),0)</f>
        <v>0</v>
      </c>
      <c r="AL295" s="25">
        <f>IF(OR(NOT(ISBLANK(DV295)),CX295=1),"&lt;Non-Labor&gt;",IFERROR(IF(AH295=0,0,INDEX('2 Staff List'!$HZ$64:$HZ$114,$AH295)),0))</f>
        <v>0</v>
      </c>
      <c r="AM295" s="25">
        <f>IFERROR(INDEX('2 Staff List'!$HW$64:$HW$114,$AH295),0)</f>
        <v>0</v>
      </c>
      <c r="AN295" s="25">
        <f t="shared" si="825"/>
        <v>1</v>
      </c>
      <c r="AO295" s="25">
        <f>IF($AO$127=0,0,IFERROR(INDEX('2 Staff List'!$JH$64:$JH$114,$AH295),0))</f>
        <v>0</v>
      </c>
      <c r="AP295" s="25">
        <f>IFERROR(INDEX('2 Staff List'!$HU$64:$HU$114,$AH295),0)</f>
        <v>0</v>
      </c>
      <c r="AQ295" s="25">
        <f t="shared" si="821"/>
        <v>0</v>
      </c>
      <c r="AR295" s="25">
        <f t="shared" si="826"/>
        <v>0</v>
      </c>
      <c r="AS295" s="25">
        <f t="shared" si="788"/>
        <v>0</v>
      </c>
      <c r="AT295" s="25">
        <f t="shared" si="789"/>
        <v>0</v>
      </c>
      <c r="AU295" s="25">
        <f t="shared" si="790"/>
        <v>0</v>
      </c>
      <c r="AV295" s="25">
        <f t="shared" si="791"/>
        <v>0</v>
      </c>
      <c r="AW295" s="25">
        <f t="shared" si="792"/>
        <v>0</v>
      </c>
      <c r="AX295" s="25">
        <f t="shared" si="793"/>
        <v>0</v>
      </c>
      <c r="AY295" s="25">
        <f t="shared" si="794"/>
        <v>0</v>
      </c>
      <c r="AZ295" s="25">
        <f t="shared" si="795"/>
        <v>0</v>
      </c>
      <c r="BA295" s="25">
        <f t="shared" si="796"/>
        <v>0</v>
      </c>
      <c r="BB295" s="25">
        <f t="shared" si="797"/>
        <v>0</v>
      </c>
      <c r="BC295" s="25">
        <f>IFERROR(INDEX('2 Staff List'!KS$64:KS$114,$AH295),0)</f>
        <v>0</v>
      </c>
      <c r="BD295" s="25">
        <f>IFERROR(INDEX('2 Staff List'!KT$64:KT$114,$AH295),0)</f>
        <v>0</v>
      </c>
      <c r="BE295" s="25">
        <f>IFERROR(INDEX('2 Staff List'!KU$64:KU$114,$AH295),0)</f>
        <v>0</v>
      </c>
      <c r="BF295" s="25">
        <f>IFERROR(INDEX('2 Staff List'!KV$64:KV$114,$AH295),0)</f>
        <v>0</v>
      </c>
      <c r="BG295" s="25">
        <f>IFERROR(INDEX('2 Staff List'!KW$64:KW$114,$AH295),0)</f>
        <v>0</v>
      </c>
      <c r="BH295" s="25">
        <f>IFERROR(INDEX('2 Staff List'!KX$64:KX$114,$AH295),0)</f>
        <v>0</v>
      </c>
      <c r="BI295" s="25">
        <f>IFERROR(INDEX('2 Staff List'!KY$64:KY$114,$AH295),0)</f>
        <v>0</v>
      </c>
      <c r="BJ295" s="25">
        <f>IFERROR(INDEX('2 Staff List'!KZ$64:KZ$114,$AH295),0)</f>
        <v>0</v>
      </c>
      <c r="BK295" s="25">
        <f>IFERROR(INDEX('2 Staff List'!LA$64:LA$114,$AH295),0)</f>
        <v>0</v>
      </c>
      <c r="BL295" s="25">
        <f>IFERROR(INDEX('2 Staff List'!LB$64:LB$114,$AH295),0)</f>
        <v>0</v>
      </c>
      <c r="BM295" s="25">
        <f>IFERROR(INDEX('2 Staff List'!FT$64:FT$114,$AH295),0)</f>
        <v>0</v>
      </c>
      <c r="BN295" s="25">
        <f>IFERROR(INDEX('2 Staff List'!FU$64:FU$114,$AH295),0)</f>
        <v>0</v>
      </c>
      <c r="BO295" s="25">
        <f>IFERROR(INDEX('2 Staff List'!FV$64:FV$114,$AH295),0)</f>
        <v>0</v>
      </c>
      <c r="BP295" s="25">
        <f>IFERROR(INDEX('2 Staff List'!FW$64:FW$114,$AH295),0)</f>
        <v>0</v>
      </c>
      <c r="BQ295" s="25">
        <f>IFERROR(INDEX('2 Staff List'!FX$64:FX$114,$AH295),0)</f>
        <v>0</v>
      </c>
      <c r="BR295" s="25">
        <f>IFERROR(INDEX('2 Staff List'!FY$64:FY$114,$AH295),0)</f>
        <v>0</v>
      </c>
      <c r="BS295" s="25">
        <f>IFERROR(INDEX('2 Staff List'!FZ$64:FZ$114,$AH295),0)</f>
        <v>0</v>
      </c>
      <c r="BT295" s="25">
        <f>IFERROR(INDEX('2 Staff List'!GA$64:GA$114,$AH295),0)</f>
        <v>0</v>
      </c>
      <c r="BU295" s="25">
        <f>IFERROR(INDEX('2 Staff List'!GB$64:GB$114,$AH295),0)</f>
        <v>0</v>
      </c>
      <c r="BV295" s="25">
        <f>IFERROR(INDEX('2 Staff List'!GC$64:GC$114,$AH295),0)</f>
        <v>0</v>
      </c>
      <c r="BW295" s="25">
        <f t="shared" si="827"/>
        <v>0</v>
      </c>
      <c r="BX295" s="25">
        <f t="shared" si="798"/>
        <v>0</v>
      </c>
      <c r="BY295" s="25">
        <f t="shared" si="799"/>
        <v>0</v>
      </c>
      <c r="BZ295" s="25">
        <f t="shared" si="800"/>
        <v>0</v>
      </c>
      <c r="CA295" s="25">
        <f t="shared" si="801"/>
        <v>0</v>
      </c>
      <c r="CB295" s="25">
        <f t="shared" si="802"/>
        <v>0</v>
      </c>
      <c r="CC295" s="25">
        <f t="shared" si="803"/>
        <v>0</v>
      </c>
      <c r="CD295" s="25">
        <f t="shared" si="804"/>
        <v>0</v>
      </c>
      <c r="CE295" s="25">
        <f t="shared" si="805"/>
        <v>0</v>
      </c>
      <c r="CF295" s="25">
        <f t="shared" si="806"/>
        <v>0</v>
      </c>
      <c r="CG295" s="25">
        <f t="shared" si="807"/>
        <v>0</v>
      </c>
      <c r="CH295" s="25">
        <f>IFERROR(INDEX('2 Staff List'!LO$64:LO$114,$AH295),0)</f>
        <v>0</v>
      </c>
      <c r="CI295" s="25">
        <f>IFERROR(INDEX('2 Staff List'!LP$64:LP$114,$AH295),0)</f>
        <v>0</v>
      </c>
      <c r="CJ295" s="25">
        <f>IFERROR(INDEX('2 Staff List'!LQ$64:LQ$114,$AH295),0)</f>
        <v>0</v>
      </c>
      <c r="CK295" s="25">
        <f>IFERROR(INDEX('2 Staff List'!LR$64:LR$114,$AH295),0)</f>
        <v>0</v>
      </c>
      <c r="CL295" s="25">
        <f>IFERROR(INDEX('2 Staff List'!LS$64:LS$114,$AH295),0)</f>
        <v>0</v>
      </c>
      <c r="CM295" s="25">
        <f>IFERROR(INDEX('2 Staff List'!LT$64:LT$114,$AH295),0)</f>
        <v>0</v>
      </c>
      <c r="CN295" s="25">
        <f>IFERROR(INDEX('2 Staff List'!LU$64:LU$114,$AH295),0)</f>
        <v>0</v>
      </c>
      <c r="CO295" s="25">
        <f>IFERROR(INDEX('2 Staff List'!LV$64:LV$114,$AH295),0)</f>
        <v>0</v>
      </c>
      <c r="CP295" s="25">
        <f>IFERROR(INDEX('2 Staff List'!LW$64:LW$114,$AH295),0)</f>
        <v>0</v>
      </c>
      <c r="CQ295" s="25">
        <f>IFERROR(INDEX('2 Staff List'!LX$64:LX$114,$AH295),0)</f>
        <v>0</v>
      </c>
      <c r="CR295" s="25">
        <f t="shared" si="828"/>
        <v>0</v>
      </c>
      <c r="CS295" s="25">
        <f t="shared" si="840"/>
        <v>1</v>
      </c>
      <c r="CT295" s="25">
        <f t="shared" si="837"/>
        <v>1</v>
      </c>
      <c r="CU295" s="25">
        <f t="shared" si="822"/>
        <v>1</v>
      </c>
      <c r="CV295" s="25">
        <f t="shared" si="808"/>
        <v>1</v>
      </c>
      <c r="CW295" s="25">
        <f t="shared" si="829"/>
        <v>1</v>
      </c>
      <c r="CX295" s="25">
        <f t="shared" si="809"/>
        <v>0</v>
      </c>
      <c r="CY295" s="25">
        <f t="shared" si="779"/>
        <v>0</v>
      </c>
      <c r="CZ295" s="25">
        <f t="shared" si="830"/>
        <v>0</v>
      </c>
      <c r="DA295" s="25">
        <f t="shared" si="810"/>
        <v>1</v>
      </c>
      <c r="DB295" s="25">
        <f t="shared" si="817"/>
        <v>1</v>
      </c>
      <c r="DC295" s="25">
        <f t="shared" si="838"/>
        <v>0</v>
      </c>
      <c r="DD295" s="25">
        <f>IF(OR($AD295&lt;&gt;3,F295="Exclude"),0,IF(ISERROR(MATCH($E295,'4 Sign-off'!$S$123:$X$123,0)),0,1))</f>
        <v>0</v>
      </c>
      <c r="DE295" s="25">
        <f t="shared" si="782"/>
        <v>0</v>
      </c>
      <c r="DF295" s="25">
        <f t="shared" si="831"/>
        <v>0</v>
      </c>
      <c r="DG295" s="25" t="str">
        <f t="shared" si="832"/>
        <v/>
      </c>
      <c r="DH295" s="25">
        <f t="shared" si="780"/>
        <v>0</v>
      </c>
      <c r="DI295" s="25">
        <f t="shared" si="778"/>
        <v>0</v>
      </c>
      <c r="DJ295" s="25">
        <f>IF(ISBLANK(J295),0,ISERROR(MATCH(J295,'5  Control Accounts'!$FA$29:$FA$96,0))*1)</f>
        <v>0</v>
      </c>
      <c r="DK295" s="25">
        <f t="shared" si="811"/>
        <v>0</v>
      </c>
      <c r="DL295" s="25">
        <f t="shared" si="818"/>
        <v>-1</v>
      </c>
      <c r="DM295" s="25" t="e">
        <f t="array" ref="DM295">MATCH(1,($EG295:$JD295&gt;0)*$EG$17:$JD$17,0)</f>
        <v>#N/A</v>
      </c>
      <c r="DN295" s="25" t="e">
        <f t="shared" si="841"/>
        <v>#N/A</v>
      </c>
      <c r="DO295" s="25" t="e">
        <f t="array" ref="DO295">MATCH(2,1/(EG295:JD295&gt;0))</f>
        <v>#N/A</v>
      </c>
      <c r="DP295" s="2993">
        <f t="shared" si="812"/>
        <v>0</v>
      </c>
      <c r="DQ295" s="3037">
        <f t="shared" si="813"/>
        <v>0</v>
      </c>
      <c r="DR295" s="111"/>
      <c r="DS295" s="1268">
        <f t="shared" si="781"/>
        <v>0</v>
      </c>
      <c r="DT295" s="1825"/>
      <c r="DU295" s="1826"/>
      <c r="DV295" s="1827"/>
      <c r="DW295" s="1828"/>
      <c r="DX295" s="659"/>
      <c r="DY295" s="1265"/>
      <c r="DZ295" s="1785">
        <f t="shared" si="833"/>
        <v>0</v>
      </c>
      <c r="EA295" s="1786">
        <f t="shared" si="839"/>
        <v>0</v>
      </c>
      <c r="EB295" s="1781">
        <f t="shared" si="842"/>
        <v>0</v>
      </c>
      <c r="EC295" s="1782">
        <f t="shared" si="843"/>
        <v>0</v>
      </c>
      <c r="ED295" s="1262"/>
      <c r="EE295" s="2280"/>
      <c r="EF295" s="1802">
        <f t="shared" si="844"/>
        <v>0</v>
      </c>
      <c r="EG295" s="167"/>
      <c r="EH295" s="168"/>
      <c r="EI295" s="168"/>
      <c r="EJ295" s="168"/>
      <c r="EK295" s="168"/>
      <c r="EL295" s="168"/>
      <c r="EM295" s="168"/>
      <c r="EN295" s="168"/>
      <c r="EO295" s="168"/>
      <c r="EP295" s="168"/>
      <c r="EQ295" s="168"/>
      <c r="ER295" s="168"/>
      <c r="ES295" s="168"/>
      <c r="ET295" s="168"/>
      <c r="EU295" s="168"/>
      <c r="EV295" s="168"/>
      <c r="EW295" s="168"/>
      <c r="EX295" s="168"/>
      <c r="EY295" s="168"/>
      <c r="EZ295" s="168"/>
      <c r="FA295" s="168"/>
      <c r="FB295" s="168"/>
      <c r="FC295" s="168"/>
      <c r="FD295" s="168"/>
      <c r="FE295" s="168"/>
      <c r="FF295" s="168"/>
      <c r="FG295" s="168"/>
      <c r="FH295" s="168"/>
      <c r="FI295" s="168"/>
      <c r="FJ295" s="168"/>
      <c r="FK295" s="168"/>
      <c r="FL295" s="168"/>
      <c r="FM295" s="168"/>
      <c r="FN295" s="168"/>
      <c r="FO295" s="168"/>
      <c r="FP295" s="168"/>
      <c r="FQ295" s="168"/>
      <c r="FR295" s="168"/>
      <c r="FS295" s="168"/>
      <c r="FT295" s="168"/>
      <c r="FU295" s="168"/>
      <c r="FV295" s="168"/>
      <c r="FW295" s="168"/>
      <c r="FX295" s="168"/>
      <c r="FY295" s="168"/>
      <c r="FZ295" s="168"/>
      <c r="GA295" s="168"/>
      <c r="GB295" s="168"/>
      <c r="GC295" s="168"/>
      <c r="GD295" s="168"/>
      <c r="GE295" s="168"/>
      <c r="GF295" s="168"/>
      <c r="GG295" s="168"/>
      <c r="GH295" s="168"/>
      <c r="GI295" s="168"/>
      <c r="GJ295" s="168"/>
      <c r="GK295" s="168"/>
      <c r="GL295" s="168"/>
      <c r="GM295" s="168"/>
      <c r="GN295" s="168"/>
      <c r="GO295" s="168"/>
      <c r="GP295" s="168"/>
      <c r="GQ295" s="168"/>
      <c r="GR295" s="168"/>
      <c r="GS295" s="168"/>
      <c r="GT295" s="168"/>
      <c r="GU295" s="168"/>
      <c r="GV295" s="168"/>
      <c r="GW295" s="168"/>
      <c r="GX295" s="168"/>
      <c r="GY295" s="168"/>
      <c r="GZ295" s="168"/>
      <c r="HA295" s="168"/>
      <c r="HB295" s="168"/>
      <c r="HC295" s="168"/>
      <c r="HD295" s="168"/>
      <c r="HE295" s="168"/>
      <c r="HF295" s="168"/>
      <c r="HG295" s="168"/>
      <c r="HH295" s="168"/>
      <c r="HI295" s="168"/>
      <c r="HJ295" s="168"/>
      <c r="HK295" s="168"/>
      <c r="HL295" s="168"/>
      <c r="HM295" s="168"/>
      <c r="HN295" s="168"/>
      <c r="HO295" s="168"/>
      <c r="HP295" s="168"/>
      <c r="HQ295" s="168"/>
      <c r="HR295" s="168"/>
      <c r="HS295" s="168"/>
      <c r="HT295" s="168"/>
      <c r="HU295" s="168"/>
      <c r="HV295" s="168"/>
      <c r="HW295" s="168"/>
      <c r="HX295" s="168"/>
      <c r="HY295" s="168"/>
      <c r="HZ295" s="168"/>
      <c r="IA295" s="168"/>
      <c r="IB295" s="168"/>
      <c r="IC295" s="168"/>
      <c r="ID295" s="168"/>
      <c r="IE295" s="168"/>
      <c r="IF295" s="168"/>
      <c r="IG295" s="168"/>
      <c r="IH295" s="168"/>
      <c r="II295" s="168"/>
      <c r="IJ295" s="168"/>
      <c r="IK295" s="168"/>
      <c r="IL295" s="168"/>
      <c r="IM295" s="168"/>
      <c r="IN295" s="168"/>
      <c r="IO295" s="168"/>
      <c r="IP295" s="168"/>
      <c r="IQ295" s="168"/>
      <c r="IR295" s="168"/>
      <c r="IS295" s="168"/>
      <c r="IT295" s="168"/>
      <c r="IU295" s="168"/>
      <c r="IV295" s="168"/>
      <c r="IW295" s="168"/>
      <c r="IX295" s="168"/>
      <c r="IY295" s="168"/>
      <c r="IZ295" s="168"/>
      <c r="JA295" s="168"/>
      <c r="JB295" s="168"/>
      <c r="JC295" s="606"/>
      <c r="JD295" s="609"/>
      <c r="JE295" s="1"/>
      <c r="JF295" s="1"/>
    </row>
    <row r="296" spans="1:266" s="2" customFormat="1" ht="15" customHeight="1" x14ac:dyDescent="0.25">
      <c r="A296" s="283"/>
      <c r="B296" s="303"/>
      <c r="C296" s="301"/>
      <c r="D296" s="638"/>
      <c r="E296" s="2298"/>
      <c r="F296" s="1812"/>
      <c r="G296" s="3342"/>
      <c r="H296" s="66"/>
      <c r="I296" s="1746"/>
      <c r="J296" s="86"/>
      <c r="K296" s="105"/>
      <c r="L296" s="91"/>
      <c r="M296" s="92"/>
      <c r="N296" s="93"/>
      <c r="O296" s="94"/>
      <c r="P296" s="94"/>
      <c r="Q296" s="97"/>
      <c r="R296" s="993">
        <f t="shared" si="823"/>
        <v>0</v>
      </c>
      <c r="S296" s="23">
        <f t="shared" si="783"/>
        <v>0</v>
      </c>
      <c r="T296" s="24">
        <f t="shared" si="834"/>
        <v>0</v>
      </c>
      <c r="U296" s="24">
        <f t="shared" si="835"/>
        <v>0</v>
      </c>
      <c r="V296" s="24">
        <f t="shared" si="785"/>
        <v>0</v>
      </c>
      <c r="W296" s="24">
        <f t="shared" si="819"/>
        <v>0</v>
      </c>
      <c r="X296" s="72">
        <f t="shared" si="786"/>
        <v>0</v>
      </c>
      <c r="Y296" s="72">
        <f t="shared" si="836"/>
        <v>0</v>
      </c>
      <c r="Z296" s="24">
        <f t="shared" si="824"/>
        <v>0</v>
      </c>
      <c r="AA296" s="72">
        <f t="shared" si="787"/>
        <v>0</v>
      </c>
      <c r="AB296" s="24">
        <f t="shared" si="820"/>
        <v>0</v>
      </c>
      <c r="AC296" s="24" t="s">
        <v>5</v>
      </c>
      <c r="AD296" s="25">
        <f t="shared" si="814"/>
        <v>3</v>
      </c>
      <c r="AE296" s="25">
        <f t="shared" si="815"/>
        <v>0</v>
      </c>
      <c r="AF296" s="25">
        <f t="shared" si="816"/>
        <v>0</v>
      </c>
      <c r="AG296" s="25">
        <f t="shared" si="784"/>
        <v>1</v>
      </c>
      <c r="AH296" s="25" t="str">
        <f>IFERROR(MATCH(DY296,'2 Staff List'!$IA$64:$IA$114,0),"x")</f>
        <v>x</v>
      </c>
      <c r="AI296" s="1181">
        <f>IFERROR(INDEX('2 Staff List'!$EX$64:$EX$114,$AH296),0)</f>
        <v>0</v>
      </c>
      <c r="AJ296" s="25">
        <f>IFERROR(INDEX('2 Staff List'!$IW$64:$IW$114,$AH296),0)</f>
        <v>0</v>
      </c>
      <c r="AK296" s="25">
        <f>IFERROR(INDEX('2 Staff List'!$IB$64:$IB$114,$AH296),0)</f>
        <v>0</v>
      </c>
      <c r="AL296" s="25">
        <f>IF(OR(NOT(ISBLANK(DV296)),CX296=1),"&lt;Non-Labor&gt;",IFERROR(IF(AH296=0,0,INDEX('2 Staff List'!$HZ$64:$HZ$114,$AH296)),0))</f>
        <v>0</v>
      </c>
      <c r="AM296" s="25">
        <f>IFERROR(INDEX('2 Staff List'!$HW$64:$HW$114,$AH296),0)</f>
        <v>0</v>
      </c>
      <c r="AN296" s="25">
        <f t="shared" si="825"/>
        <v>1</v>
      </c>
      <c r="AO296" s="25">
        <f>IF($AO$127=0,0,IFERROR(INDEX('2 Staff List'!$JH$64:$JH$114,$AH296),0))</f>
        <v>0</v>
      </c>
      <c r="AP296" s="25">
        <f>IFERROR(INDEX('2 Staff List'!$HU$64:$HU$114,$AH296),0)</f>
        <v>0</v>
      </c>
      <c r="AQ296" s="25">
        <f t="shared" si="821"/>
        <v>0</v>
      </c>
      <c r="AR296" s="25">
        <f t="shared" si="826"/>
        <v>0</v>
      </c>
      <c r="AS296" s="25">
        <f t="shared" si="788"/>
        <v>0</v>
      </c>
      <c r="AT296" s="25">
        <f t="shared" si="789"/>
        <v>0</v>
      </c>
      <c r="AU296" s="25">
        <f t="shared" si="790"/>
        <v>0</v>
      </c>
      <c r="AV296" s="25">
        <f t="shared" si="791"/>
        <v>0</v>
      </c>
      <c r="AW296" s="25">
        <f t="shared" si="792"/>
        <v>0</v>
      </c>
      <c r="AX296" s="25">
        <f t="shared" si="793"/>
        <v>0</v>
      </c>
      <c r="AY296" s="25">
        <f t="shared" si="794"/>
        <v>0</v>
      </c>
      <c r="AZ296" s="25">
        <f t="shared" si="795"/>
        <v>0</v>
      </c>
      <c r="BA296" s="25">
        <f t="shared" si="796"/>
        <v>0</v>
      </c>
      <c r="BB296" s="25">
        <f t="shared" si="797"/>
        <v>0</v>
      </c>
      <c r="BC296" s="25">
        <f>IFERROR(INDEX('2 Staff List'!KS$64:KS$114,$AH296),0)</f>
        <v>0</v>
      </c>
      <c r="BD296" s="25">
        <f>IFERROR(INDEX('2 Staff List'!KT$64:KT$114,$AH296),0)</f>
        <v>0</v>
      </c>
      <c r="BE296" s="25">
        <f>IFERROR(INDEX('2 Staff List'!KU$64:KU$114,$AH296),0)</f>
        <v>0</v>
      </c>
      <c r="BF296" s="25">
        <f>IFERROR(INDEX('2 Staff List'!KV$64:KV$114,$AH296),0)</f>
        <v>0</v>
      </c>
      <c r="BG296" s="25">
        <f>IFERROR(INDEX('2 Staff List'!KW$64:KW$114,$AH296),0)</f>
        <v>0</v>
      </c>
      <c r="BH296" s="25">
        <f>IFERROR(INDEX('2 Staff List'!KX$64:KX$114,$AH296),0)</f>
        <v>0</v>
      </c>
      <c r="BI296" s="25">
        <f>IFERROR(INDEX('2 Staff List'!KY$64:KY$114,$AH296),0)</f>
        <v>0</v>
      </c>
      <c r="BJ296" s="25">
        <f>IFERROR(INDEX('2 Staff List'!KZ$64:KZ$114,$AH296),0)</f>
        <v>0</v>
      </c>
      <c r="BK296" s="25">
        <f>IFERROR(INDEX('2 Staff List'!LA$64:LA$114,$AH296),0)</f>
        <v>0</v>
      </c>
      <c r="BL296" s="25">
        <f>IFERROR(INDEX('2 Staff List'!LB$64:LB$114,$AH296),0)</f>
        <v>0</v>
      </c>
      <c r="BM296" s="25">
        <f>IFERROR(INDEX('2 Staff List'!FT$64:FT$114,$AH296),0)</f>
        <v>0</v>
      </c>
      <c r="BN296" s="25">
        <f>IFERROR(INDEX('2 Staff List'!FU$64:FU$114,$AH296),0)</f>
        <v>0</v>
      </c>
      <c r="BO296" s="25">
        <f>IFERROR(INDEX('2 Staff List'!FV$64:FV$114,$AH296),0)</f>
        <v>0</v>
      </c>
      <c r="BP296" s="25">
        <f>IFERROR(INDEX('2 Staff List'!FW$64:FW$114,$AH296),0)</f>
        <v>0</v>
      </c>
      <c r="BQ296" s="25">
        <f>IFERROR(INDEX('2 Staff List'!FX$64:FX$114,$AH296),0)</f>
        <v>0</v>
      </c>
      <c r="BR296" s="25">
        <f>IFERROR(INDEX('2 Staff List'!FY$64:FY$114,$AH296),0)</f>
        <v>0</v>
      </c>
      <c r="BS296" s="25">
        <f>IFERROR(INDEX('2 Staff List'!FZ$64:FZ$114,$AH296),0)</f>
        <v>0</v>
      </c>
      <c r="BT296" s="25">
        <f>IFERROR(INDEX('2 Staff List'!GA$64:GA$114,$AH296),0)</f>
        <v>0</v>
      </c>
      <c r="BU296" s="25">
        <f>IFERROR(INDEX('2 Staff List'!GB$64:GB$114,$AH296),0)</f>
        <v>0</v>
      </c>
      <c r="BV296" s="25">
        <f>IFERROR(INDEX('2 Staff List'!GC$64:GC$114,$AH296),0)</f>
        <v>0</v>
      </c>
      <c r="BW296" s="25">
        <f t="shared" si="827"/>
        <v>0</v>
      </c>
      <c r="BX296" s="25">
        <f t="shared" si="798"/>
        <v>0</v>
      </c>
      <c r="BY296" s="25">
        <f t="shared" si="799"/>
        <v>0</v>
      </c>
      <c r="BZ296" s="25">
        <f t="shared" si="800"/>
        <v>0</v>
      </c>
      <c r="CA296" s="25">
        <f t="shared" si="801"/>
        <v>0</v>
      </c>
      <c r="CB296" s="25">
        <f t="shared" si="802"/>
        <v>0</v>
      </c>
      <c r="CC296" s="25">
        <f t="shared" si="803"/>
        <v>0</v>
      </c>
      <c r="CD296" s="25">
        <f t="shared" si="804"/>
        <v>0</v>
      </c>
      <c r="CE296" s="25">
        <f t="shared" si="805"/>
        <v>0</v>
      </c>
      <c r="CF296" s="25">
        <f t="shared" si="806"/>
        <v>0</v>
      </c>
      <c r="CG296" s="25">
        <f t="shared" si="807"/>
        <v>0</v>
      </c>
      <c r="CH296" s="25">
        <f>IFERROR(INDEX('2 Staff List'!LO$64:LO$114,$AH296),0)</f>
        <v>0</v>
      </c>
      <c r="CI296" s="25">
        <f>IFERROR(INDEX('2 Staff List'!LP$64:LP$114,$AH296),0)</f>
        <v>0</v>
      </c>
      <c r="CJ296" s="25">
        <f>IFERROR(INDEX('2 Staff List'!LQ$64:LQ$114,$AH296),0)</f>
        <v>0</v>
      </c>
      <c r="CK296" s="25">
        <f>IFERROR(INDEX('2 Staff List'!LR$64:LR$114,$AH296),0)</f>
        <v>0</v>
      </c>
      <c r="CL296" s="25">
        <f>IFERROR(INDEX('2 Staff List'!LS$64:LS$114,$AH296),0)</f>
        <v>0</v>
      </c>
      <c r="CM296" s="25">
        <f>IFERROR(INDEX('2 Staff List'!LT$64:LT$114,$AH296),0)</f>
        <v>0</v>
      </c>
      <c r="CN296" s="25">
        <f>IFERROR(INDEX('2 Staff List'!LU$64:LU$114,$AH296),0)</f>
        <v>0</v>
      </c>
      <c r="CO296" s="25">
        <f>IFERROR(INDEX('2 Staff List'!LV$64:LV$114,$AH296),0)</f>
        <v>0</v>
      </c>
      <c r="CP296" s="25">
        <f>IFERROR(INDEX('2 Staff List'!LW$64:LW$114,$AH296),0)</f>
        <v>0</v>
      </c>
      <c r="CQ296" s="25">
        <f>IFERROR(INDEX('2 Staff List'!LX$64:LX$114,$AH296),0)</f>
        <v>0</v>
      </c>
      <c r="CR296" s="25">
        <f t="shared" si="828"/>
        <v>0</v>
      </c>
      <c r="CS296" s="25">
        <f t="shared" si="840"/>
        <v>1</v>
      </c>
      <c r="CT296" s="25">
        <f t="shared" si="837"/>
        <v>1</v>
      </c>
      <c r="CU296" s="25">
        <f t="shared" si="822"/>
        <v>1</v>
      </c>
      <c r="CV296" s="25">
        <f t="shared" si="808"/>
        <v>1</v>
      </c>
      <c r="CW296" s="25">
        <f t="shared" si="829"/>
        <v>1</v>
      </c>
      <c r="CX296" s="25">
        <f t="shared" si="809"/>
        <v>0</v>
      </c>
      <c r="CY296" s="25">
        <f t="shared" si="779"/>
        <v>0</v>
      </c>
      <c r="CZ296" s="25">
        <f t="shared" si="830"/>
        <v>0</v>
      </c>
      <c r="DA296" s="25">
        <f t="shared" si="810"/>
        <v>1</v>
      </c>
      <c r="DB296" s="25">
        <f t="shared" si="817"/>
        <v>1</v>
      </c>
      <c r="DC296" s="25">
        <f t="shared" si="838"/>
        <v>0</v>
      </c>
      <c r="DD296" s="25">
        <f>IF(OR($AD296&lt;&gt;3,F296="Exclude"),0,IF(ISERROR(MATCH($E296,'4 Sign-off'!$S$123:$X$123,0)),0,1))</f>
        <v>0</v>
      </c>
      <c r="DE296" s="25">
        <f t="shared" ref="DE296:DE304" si="845">IF($C$6&lt;&gt;"B",1,CHOOSE($DE$119,DD296,CZ296+DC296,CZ296,DC296))</f>
        <v>0</v>
      </c>
      <c r="DF296" s="25">
        <f t="shared" si="831"/>
        <v>0</v>
      </c>
      <c r="DG296" s="25" t="str">
        <f t="shared" si="832"/>
        <v/>
      </c>
      <c r="DH296" s="25">
        <f t="shared" si="780"/>
        <v>0</v>
      </c>
      <c r="DI296" s="25">
        <f t="shared" si="778"/>
        <v>0</v>
      </c>
      <c r="DJ296" s="25">
        <f>IF(ISBLANK(J296),0,ISERROR(MATCH(J296,'5  Control Accounts'!$FA$29:$FA$96,0))*1)</f>
        <v>0</v>
      </c>
      <c r="DK296" s="25">
        <f t="shared" si="811"/>
        <v>0</v>
      </c>
      <c r="DL296" s="25">
        <f t="shared" si="818"/>
        <v>-1</v>
      </c>
      <c r="DM296" s="25" t="e">
        <f t="array" ref="DM296">MATCH(1,($EG296:$JD296&gt;0)*$EG$17:$JD$17,0)</f>
        <v>#N/A</v>
      </c>
      <c r="DN296" s="25" t="e">
        <f t="shared" si="841"/>
        <v>#N/A</v>
      </c>
      <c r="DO296" s="25" t="e">
        <f t="array" ref="DO296">MATCH(2,1/(EG296:JD296&gt;0))</f>
        <v>#N/A</v>
      </c>
      <c r="DP296" s="2993">
        <f t="shared" si="812"/>
        <v>0</v>
      </c>
      <c r="DQ296" s="3037">
        <f t="shared" si="813"/>
        <v>0</v>
      </c>
      <c r="DR296" s="111"/>
      <c r="DS296" s="1268">
        <f t="shared" si="781"/>
        <v>0</v>
      </c>
      <c r="DT296" s="1825"/>
      <c r="DU296" s="1826"/>
      <c r="DV296" s="1827"/>
      <c r="DW296" s="1828"/>
      <c r="DX296" s="659"/>
      <c r="DY296" s="1265"/>
      <c r="DZ296" s="1785">
        <f t="shared" si="833"/>
        <v>0</v>
      </c>
      <c r="EA296" s="1786">
        <f t="shared" si="839"/>
        <v>0</v>
      </c>
      <c r="EB296" s="1781">
        <f t="shared" si="842"/>
        <v>0</v>
      </c>
      <c r="EC296" s="1782">
        <f t="shared" si="843"/>
        <v>0</v>
      </c>
      <c r="ED296" s="1262"/>
      <c r="EE296" s="2280"/>
      <c r="EF296" s="1802">
        <f t="shared" si="844"/>
        <v>0</v>
      </c>
      <c r="EG296" s="167"/>
      <c r="EH296" s="168"/>
      <c r="EI296" s="168"/>
      <c r="EJ296" s="168"/>
      <c r="EK296" s="168"/>
      <c r="EL296" s="168"/>
      <c r="EM296" s="168"/>
      <c r="EN296" s="168"/>
      <c r="EO296" s="168"/>
      <c r="EP296" s="168"/>
      <c r="EQ296" s="168"/>
      <c r="ER296" s="168"/>
      <c r="ES296" s="168"/>
      <c r="ET296" s="168"/>
      <c r="EU296" s="168"/>
      <c r="EV296" s="168"/>
      <c r="EW296" s="168"/>
      <c r="EX296" s="168"/>
      <c r="EY296" s="168"/>
      <c r="EZ296" s="168"/>
      <c r="FA296" s="168"/>
      <c r="FB296" s="168"/>
      <c r="FC296" s="168"/>
      <c r="FD296" s="168"/>
      <c r="FE296" s="168"/>
      <c r="FF296" s="168"/>
      <c r="FG296" s="168"/>
      <c r="FH296" s="168"/>
      <c r="FI296" s="168"/>
      <c r="FJ296" s="168"/>
      <c r="FK296" s="168"/>
      <c r="FL296" s="168"/>
      <c r="FM296" s="168"/>
      <c r="FN296" s="168"/>
      <c r="FO296" s="168"/>
      <c r="FP296" s="168"/>
      <c r="FQ296" s="168"/>
      <c r="FR296" s="168"/>
      <c r="FS296" s="168"/>
      <c r="FT296" s="168"/>
      <c r="FU296" s="168"/>
      <c r="FV296" s="168"/>
      <c r="FW296" s="168"/>
      <c r="FX296" s="168"/>
      <c r="FY296" s="168"/>
      <c r="FZ296" s="168"/>
      <c r="GA296" s="168"/>
      <c r="GB296" s="168"/>
      <c r="GC296" s="168"/>
      <c r="GD296" s="168"/>
      <c r="GE296" s="168"/>
      <c r="GF296" s="168"/>
      <c r="GG296" s="168"/>
      <c r="GH296" s="168"/>
      <c r="GI296" s="168"/>
      <c r="GJ296" s="168"/>
      <c r="GK296" s="168"/>
      <c r="GL296" s="168"/>
      <c r="GM296" s="168"/>
      <c r="GN296" s="168"/>
      <c r="GO296" s="168"/>
      <c r="GP296" s="168"/>
      <c r="GQ296" s="168"/>
      <c r="GR296" s="168"/>
      <c r="GS296" s="168"/>
      <c r="GT296" s="168"/>
      <c r="GU296" s="168"/>
      <c r="GV296" s="168"/>
      <c r="GW296" s="168"/>
      <c r="GX296" s="168"/>
      <c r="GY296" s="168"/>
      <c r="GZ296" s="168"/>
      <c r="HA296" s="168"/>
      <c r="HB296" s="168"/>
      <c r="HC296" s="168"/>
      <c r="HD296" s="168"/>
      <c r="HE296" s="168"/>
      <c r="HF296" s="168"/>
      <c r="HG296" s="168"/>
      <c r="HH296" s="168"/>
      <c r="HI296" s="168"/>
      <c r="HJ296" s="168"/>
      <c r="HK296" s="168"/>
      <c r="HL296" s="168"/>
      <c r="HM296" s="168"/>
      <c r="HN296" s="168"/>
      <c r="HO296" s="168"/>
      <c r="HP296" s="168"/>
      <c r="HQ296" s="168"/>
      <c r="HR296" s="168"/>
      <c r="HS296" s="168"/>
      <c r="HT296" s="168"/>
      <c r="HU296" s="168"/>
      <c r="HV296" s="168"/>
      <c r="HW296" s="168"/>
      <c r="HX296" s="168"/>
      <c r="HY296" s="168"/>
      <c r="HZ296" s="168"/>
      <c r="IA296" s="168"/>
      <c r="IB296" s="168"/>
      <c r="IC296" s="168"/>
      <c r="ID296" s="168"/>
      <c r="IE296" s="168"/>
      <c r="IF296" s="168"/>
      <c r="IG296" s="168"/>
      <c r="IH296" s="168"/>
      <c r="II296" s="168"/>
      <c r="IJ296" s="168"/>
      <c r="IK296" s="168"/>
      <c r="IL296" s="168"/>
      <c r="IM296" s="168"/>
      <c r="IN296" s="168"/>
      <c r="IO296" s="168"/>
      <c r="IP296" s="168"/>
      <c r="IQ296" s="168"/>
      <c r="IR296" s="168"/>
      <c r="IS296" s="168"/>
      <c r="IT296" s="168"/>
      <c r="IU296" s="168"/>
      <c r="IV296" s="168"/>
      <c r="IW296" s="168"/>
      <c r="IX296" s="168"/>
      <c r="IY296" s="168"/>
      <c r="IZ296" s="168"/>
      <c r="JA296" s="168"/>
      <c r="JB296" s="168"/>
      <c r="JC296" s="606"/>
      <c r="JD296" s="609"/>
      <c r="JE296" s="1"/>
      <c r="JF296" s="1"/>
    </row>
    <row r="297" spans="1:266" s="2" customFormat="1" ht="15" customHeight="1" x14ac:dyDescent="0.25">
      <c r="A297" s="283"/>
      <c r="B297" s="303"/>
      <c r="C297" s="301"/>
      <c r="D297" s="638"/>
      <c r="E297" s="2298"/>
      <c r="F297" s="1812"/>
      <c r="G297" s="3342"/>
      <c r="H297" s="66"/>
      <c r="I297" s="1746"/>
      <c r="J297" s="86"/>
      <c r="K297" s="105"/>
      <c r="L297" s="91"/>
      <c r="M297" s="92"/>
      <c r="N297" s="93"/>
      <c r="O297" s="94"/>
      <c r="P297" s="94"/>
      <c r="Q297" s="97"/>
      <c r="R297" s="993">
        <f t="shared" si="823"/>
        <v>0</v>
      </c>
      <c r="S297" s="23">
        <f t="shared" si="783"/>
        <v>0</v>
      </c>
      <c r="T297" s="24">
        <f t="shared" si="834"/>
        <v>0</v>
      </c>
      <c r="U297" s="24">
        <f t="shared" si="835"/>
        <v>0</v>
      </c>
      <c r="V297" s="24">
        <f t="shared" si="785"/>
        <v>0</v>
      </c>
      <c r="W297" s="24">
        <f t="shared" si="819"/>
        <v>0</v>
      </c>
      <c r="X297" s="72">
        <f t="shared" si="786"/>
        <v>0</v>
      </c>
      <c r="Y297" s="72">
        <f t="shared" si="836"/>
        <v>0</v>
      </c>
      <c r="Z297" s="24">
        <f t="shared" si="824"/>
        <v>0</v>
      </c>
      <c r="AA297" s="72">
        <f t="shared" si="787"/>
        <v>0</v>
      </c>
      <c r="AB297" s="24">
        <f t="shared" si="820"/>
        <v>0</v>
      </c>
      <c r="AC297" s="24" t="s">
        <v>5</v>
      </c>
      <c r="AD297" s="25">
        <f t="shared" si="814"/>
        <v>3</v>
      </c>
      <c r="AE297" s="25">
        <f t="shared" si="815"/>
        <v>0</v>
      </c>
      <c r="AF297" s="25">
        <f t="shared" si="816"/>
        <v>0</v>
      </c>
      <c r="AG297" s="25">
        <f t="shared" si="784"/>
        <v>1</v>
      </c>
      <c r="AH297" s="25" t="str">
        <f>IFERROR(MATCH(DY297,'2 Staff List'!$IA$64:$IA$114,0),"x")</f>
        <v>x</v>
      </c>
      <c r="AI297" s="1181">
        <f>IFERROR(INDEX('2 Staff List'!$EX$64:$EX$114,$AH297),0)</f>
        <v>0</v>
      </c>
      <c r="AJ297" s="25">
        <f>IFERROR(INDEX('2 Staff List'!$IW$64:$IW$114,$AH297),0)</f>
        <v>0</v>
      </c>
      <c r="AK297" s="25">
        <f>IFERROR(INDEX('2 Staff List'!$IB$64:$IB$114,$AH297),0)</f>
        <v>0</v>
      </c>
      <c r="AL297" s="25">
        <f>IF(OR(NOT(ISBLANK(DV297)),CX297=1),"&lt;Non-Labor&gt;",IFERROR(IF(AH297=0,0,INDEX('2 Staff List'!$HZ$64:$HZ$114,$AH297)),0))</f>
        <v>0</v>
      </c>
      <c r="AM297" s="25">
        <f>IFERROR(INDEX('2 Staff List'!$HW$64:$HW$114,$AH297),0)</f>
        <v>0</v>
      </c>
      <c r="AN297" s="25">
        <f t="shared" si="825"/>
        <v>1</v>
      </c>
      <c r="AO297" s="25">
        <f>IF($AO$127=0,0,IFERROR(INDEX('2 Staff List'!$JH$64:$JH$114,$AH297),0))</f>
        <v>0</v>
      </c>
      <c r="AP297" s="25">
        <f>IFERROR(INDEX('2 Staff List'!$HU$64:$HU$114,$AH297),0)</f>
        <v>0</v>
      </c>
      <c r="AQ297" s="25">
        <f t="shared" si="821"/>
        <v>0</v>
      </c>
      <c r="AR297" s="25">
        <f t="shared" si="826"/>
        <v>0</v>
      </c>
      <c r="AS297" s="25">
        <f t="shared" si="788"/>
        <v>0</v>
      </c>
      <c r="AT297" s="25">
        <f t="shared" si="789"/>
        <v>0</v>
      </c>
      <c r="AU297" s="25">
        <f t="shared" si="790"/>
        <v>0</v>
      </c>
      <c r="AV297" s="25">
        <f t="shared" si="791"/>
        <v>0</v>
      </c>
      <c r="AW297" s="25">
        <f t="shared" si="792"/>
        <v>0</v>
      </c>
      <c r="AX297" s="25">
        <f t="shared" si="793"/>
        <v>0</v>
      </c>
      <c r="AY297" s="25">
        <f t="shared" si="794"/>
        <v>0</v>
      </c>
      <c r="AZ297" s="25">
        <f t="shared" si="795"/>
        <v>0</v>
      </c>
      <c r="BA297" s="25">
        <f t="shared" si="796"/>
        <v>0</v>
      </c>
      <c r="BB297" s="25">
        <f t="shared" si="797"/>
        <v>0</v>
      </c>
      <c r="BC297" s="25">
        <f>IFERROR(INDEX('2 Staff List'!KS$64:KS$114,$AH297),0)</f>
        <v>0</v>
      </c>
      <c r="BD297" s="25">
        <f>IFERROR(INDEX('2 Staff List'!KT$64:KT$114,$AH297),0)</f>
        <v>0</v>
      </c>
      <c r="BE297" s="25">
        <f>IFERROR(INDEX('2 Staff List'!KU$64:KU$114,$AH297),0)</f>
        <v>0</v>
      </c>
      <c r="BF297" s="25">
        <f>IFERROR(INDEX('2 Staff List'!KV$64:KV$114,$AH297),0)</f>
        <v>0</v>
      </c>
      <c r="BG297" s="25">
        <f>IFERROR(INDEX('2 Staff List'!KW$64:KW$114,$AH297),0)</f>
        <v>0</v>
      </c>
      <c r="BH297" s="25">
        <f>IFERROR(INDEX('2 Staff List'!KX$64:KX$114,$AH297),0)</f>
        <v>0</v>
      </c>
      <c r="BI297" s="25">
        <f>IFERROR(INDEX('2 Staff List'!KY$64:KY$114,$AH297),0)</f>
        <v>0</v>
      </c>
      <c r="BJ297" s="25">
        <f>IFERROR(INDEX('2 Staff List'!KZ$64:KZ$114,$AH297),0)</f>
        <v>0</v>
      </c>
      <c r="BK297" s="25">
        <f>IFERROR(INDEX('2 Staff List'!LA$64:LA$114,$AH297),0)</f>
        <v>0</v>
      </c>
      <c r="BL297" s="25">
        <f>IFERROR(INDEX('2 Staff List'!LB$64:LB$114,$AH297),0)</f>
        <v>0</v>
      </c>
      <c r="BM297" s="25">
        <f>IFERROR(INDEX('2 Staff List'!FT$64:FT$114,$AH297),0)</f>
        <v>0</v>
      </c>
      <c r="BN297" s="25">
        <f>IFERROR(INDEX('2 Staff List'!FU$64:FU$114,$AH297),0)</f>
        <v>0</v>
      </c>
      <c r="BO297" s="25">
        <f>IFERROR(INDEX('2 Staff List'!FV$64:FV$114,$AH297),0)</f>
        <v>0</v>
      </c>
      <c r="BP297" s="25">
        <f>IFERROR(INDEX('2 Staff List'!FW$64:FW$114,$AH297),0)</f>
        <v>0</v>
      </c>
      <c r="BQ297" s="25">
        <f>IFERROR(INDEX('2 Staff List'!FX$64:FX$114,$AH297),0)</f>
        <v>0</v>
      </c>
      <c r="BR297" s="25">
        <f>IFERROR(INDEX('2 Staff List'!FY$64:FY$114,$AH297),0)</f>
        <v>0</v>
      </c>
      <c r="BS297" s="25">
        <f>IFERROR(INDEX('2 Staff List'!FZ$64:FZ$114,$AH297),0)</f>
        <v>0</v>
      </c>
      <c r="BT297" s="25">
        <f>IFERROR(INDEX('2 Staff List'!GA$64:GA$114,$AH297),0)</f>
        <v>0</v>
      </c>
      <c r="BU297" s="25">
        <f>IFERROR(INDEX('2 Staff List'!GB$64:GB$114,$AH297),0)</f>
        <v>0</v>
      </c>
      <c r="BV297" s="25">
        <f>IFERROR(INDEX('2 Staff List'!GC$64:GC$114,$AH297),0)</f>
        <v>0</v>
      </c>
      <c r="BW297" s="25">
        <f t="shared" si="827"/>
        <v>0</v>
      </c>
      <c r="BX297" s="25">
        <f t="shared" si="798"/>
        <v>0</v>
      </c>
      <c r="BY297" s="25">
        <f t="shared" si="799"/>
        <v>0</v>
      </c>
      <c r="BZ297" s="25">
        <f t="shared" si="800"/>
        <v>0</v>
      </c>
      <c r="CA297" s="25">
        <f t="shared" si="801"/>
        <v>0</v>
      </c>
      <c r="CB297" s="25">
        <f t="shared" si="802"/>
        <v>0</v>
      </c>
      <c r="CC297" s="25">
        <f t="shared" si="803"/>
        <v>0</v>
      </c>
      <c r="CD297" s="25">
        <f t="shared" si="804"/>
        <v>0</v>
      </c>
      <c r="CE297" s="25">
        <f t="shared" si="805"/>
        <v>0</v>
      </c>
      <c r="CF297" s="25">
        <f t="shared" si="806"/>
        <v>0</v>
      </c>
      <c r="CG297" s="25">
        <f t="shared" si="807"/>
        <v>0</v>
      </c>
      <c r="CH297" s="25">
        <f>IFERROR(INDEX('2 Staff List'!LO$64:LO$114,$AH297),0)</f>
        <v>0</v>
      </c>
      <c r="CI297" s="25">
        <f>IFERROR(INDEX('2 Staff List'!LP$64:LP$114,$AH297),0)</f>
        <v>0</v>
      </c>
      <c r="CJ297" s="25">
        <f>IFERROR(INDEX('2 Staff List'!LQ$64:LQ$114,$AH297),0)</f>
        <v>0</v>
      </c>
      <c r="CK297" s="25">
        <f>IFERROR(INDEX('2 Staff List'!LR$64:LR$114,$AH297),0)</f>
        <v>0</v>
      </c>
      <c r="CL297" s="25">
        <f>IFERROR(INDEX('2 Staff List'!LS$64:LS$114,$AH297),0)</f>
        <v>0</v>
      </c>
      <c r="CM297" s="25">
        <f>IFERROR(INDEX('2 Staff List'!LT$64:LT$114,$AH297),0)</f>
        <v>0</v>
      </c>
      <c r="CN297" s="25">
        <f>IFERROR(INDEX('2 Staff List'!LU$64:LU$114,$AH297),0)</f>
        <v>0</v>
      </c>
      <c r="CO297" s="25">
        <f>IFERROR(INDEX('2 Staff List'!LV$64:LV$114,$AH297),0)</f>
        <v>0</v>
      </c>
      <c r="CP297" s="25">
        <f>IFERROR(INDEX('2 Staff List'!LW$64:LW$114,$AH297),0)</f>
        <v>0</v>
      </c>
      <c r="CQ297" s="25">
        <f>IFERROR(INDEX('2 Staff List'!LX$64:LX$114,$AH297),0)</f>
        <v>0</v>
      </c>
      <c r="CR297" s="25">
        <f t="shared" si="828"/>
        <v>0</v>
      </c>
      <c r="CS297" s="25">
        <f t="shared" si="840"/>
        <v>1</v>
      </c>
      <c r="CT297" s="25">
        <f t="shared" si="837"/>
        <v>1</v>
      </c>
      <c r="CU297" s="25">
        <f t="shared" si="822"/>
        <v>1</v>
      </c>
      <c r="CV297" s="25">
        <f t="shared" si="808"/>
        <v>1</v>
      </c>
      <c r="CW297" s="25">
        <f t="shared" si="829"/>
        <v>1</v>
      </c>
      <c r="CX297" s="25">
        <f t="shared" si="809"/>
        <v>0</v>
      </c>
      <c r="CY297" s="25">
        <f t="shared" si="779"/>
        <v>0</v>
      </c>
      <c r="CZ297" s="25">
        <f t="shared" si="830"/>
        <v>0</v>
      </c>
      <c r="DA297" s="25">
        <f t="shared" si="810"/>
        <v>1</v>
      </c>
      <c r="DB297" s="25">
        <f t="shared" si="817"/>
        <v>1</v>
      </c>
      <c r="DC297" s="25">
        <f t="shared" si="838"/>
        <v>0</v>
      </c>
      <c r="DD297" s="25">
        <f>IF(OR($AD297&lt;&gt;3,F297="Exclude"),0,IF(ISERROR(MATCH($E297,'4 Sign-off'!$S$123:$X$123,0)),0,1))</f>
        <v>0</v>
      </c>
      <c r="DE297" s="25">
        <f t="shared" si="845"/>
        <v>0</v>
      </c>
      <c r="DF297" s="25">
        <f t="shared" si="831"/>
        <v>0</v>
      </c>
      <c r="DG297" s="25" t="str">
        <f t="shared" si="832"/>
        <v/>
      </c>
      <c r="DH297" s="25">
        <f t="shared" si="780"/>
        <v>0</v>
      </c>
      <c r="DI297" s="25">
        <f t="shared" si="778"/>
        <v>0</v>
      </c>
      <c r="DJ297" s="25">
        <f>IF(ISBLANK(J297),0,ISERROR(MATCH(J297,'5  Control Accounts'!$FA$29:$FA$96,0))*1)</f>
        <v>0</v>
      </c>
      <c r="DK297" s="25">
        <f t="shared" si="811"/>
        <v>0</v>
      </c>
      <c r="DL297" s="25">
        <f t="shared" si="818"/>
        <v>-1</v>
      </c>
      <c r="DM297" s="25" t="e">
        <f t="array" ref="DM297">MATCH(1,($EG297:$JD297&gt;0)*$EG$17:$JD$17,0)</f>
        <v>#N/A</v>
      </c>
      <c r="DN297" s="25" t="e">
        <f t="shared" si="841"/>
        <v>#N/A</v>
      </c>
      <c r="DO297" s="25" t="e">
        <f t="array" ref="DO297">MATCH(2,1/(EG297:JD297&gt;0))</f>
        <v>#N/A</v>
      </c>
      <c r="DP297" s="2993">
        <f t="shared" si="812"/>
        <v>0</v>
      </c>
      <c r="DQ297" s="3037">
        <f t="shared" si="813"/>
        <v>0</v>
      </c>
      <c r="DR297" s="111"/>
      <c r="DS297" s="1268">
        <f t="shared" ref="DS297:DS304" si="846">N297</f>
        <v>0</v>
      </c>
      <c r="DT297" s="1825"/>
      <c r="DU297" s="1826"/>
      <c r="DV297" s="1827"/>
      <c r="DW297" s="1828"/>
      <c r="DX297" s="659"/>
      <c r="DY297" s="1265"/>
      <c r="DZ297" s="1785">
        <f t="shared" si="833"/>
        <v>0</v>
      </c>
      <c r="EA297" s="1786">
        <f t="shared" si="839"/>
        <v>0</v>
      </c>
      <c r="EB297" s="1781">
        <f t="shared" si="842"/>
        <v>0</v>
      </c>
      <c r="EC297" s="1782">
        <f t="shared" si="843"/>
        <v>0</v>
      </c>
      <c r="ED297" s="1262"/>
      <c r="EE297" s="2280"/>
      <c r="EF297" s="1802">
        <f t="shared" si="844"/>
        <v>0</v>
      </c>
      <c r="EG297" s="167"/>
      <c r="EH297" s="168"/>
      <c r="EI297" s="168"/>
      <c r="EJ297" s="168"/>
      <c r="EK297" s="168"/>
      <c r="EL297" s="168"/>
      <c r="EM297" s="168"/>
      <c r="EN297" s="168"/>
      <c r="EO297" s="168"/>
      <c r="EP297" s="168"/>
      <c r="EQ297" s="168"/>
      <c r="ER297" s="168"/>
      <c r="ES297" s="168"/>
      <c r="ET297" s="168"/>
      <c r="EU297" s="168"/>
      <c r="EV297" s="168"/>
      <c r="EW297" s="168"/>
      <c r="EX297" s="168"/>
      <c r="EY297" s="168"/>
      <c r="EZ297" s="168"/>
      <c r="FA297" s="168"/>
      <c r="FB297" s="168"/>
      <c r="FC297" s="168"/>
      <c r="FD297" s="168"/>
      <c r="FE297" s="168"/>
      <c r="FF297" s="168"/>
      <c r="FG297" s="168"/>
      <c r="FH297" s="168"/>
      <c r="FI297" s="168"/>
      <c r="FJ297" s="168"/>
      <c r="FK297" s="168"/>
      <c r="FL297" s="168"/>
      <c r="FM297" s="168"/>
      <c r="FN297" s="168"/>
      <c r="FO297" s="168"/>
      <c r="FP297" s="168"/>
      <c r="FQ297" s="168"/>
      <c r="FR297" s="168"/>
      <c r="FS297" s="168"/>
      <c r="FT297" s="168"/>
      <c r="FU297" s="168"/>
      <c r="FV297" s="168"/>
      <c r="FW297" s="168"/>
      <c r="FX297" s="168"/>
      <c r="FY297" s="168"/>
      <c r="FZ297" s="168"/>
      <c r="GA297" s="168"/>
      <c r="GB297" s="168"/>
      <c r="GC297" s="168"/>
      <c r="GD297" s="168"/>
      <c r="GE297" s="168"/>
      <c r="GF297" s="168"/>
      <c r="GG297" s="168"/>
      <c r="GH297" s="168"/>
      <c r="GI297" s="168"/>
      <c r="GJ297" s="168"/>
      <c r="GK297" s="168"/>
      <c r="GL297" s="168"/>
      <c r="GM297" s="168"/>
      <c r="GN297" s="168"/>
      <c r="GO297" s="168"/>
      <c r="GP297" s="168"/>
      <c r="GQ297" s="168"/>
      <c r="GR297" s="168"/>
      <c r="GS297" s="168"/>
      <c r="GT297" s="168"/>
      <c r="GU297" s="168"/>
      <c r="GV297" s="168"/>
      <c r="GW297" s="168"/>
      <c r="GX297" s="168"/>
      <c r="GY297" s="168"/>
      <c r="GZ297" s="168"/>
      <c r="HA297" s="168"/>
      <c r="HB297" s="168"/>
      <c r="HC297" s="168"/>
      <c r="HD297" s="168"/>
      <c r="HE297" s="168"/>
      <c r="HF297" s="168"/>
      <c r="HG297" s="168"/>
      <c r="HH297" s="168"/>
      <c r="HI297" s="168"/>
      <c r="HJ297" s="168"/>
      <c r="HK297" s="168"/>
      <c r="HL297" s="168"/>
      <c r="HM297" s="168"/>
      <c r="HN297" s="168"/>
      <c r="HO297" s="168"/>
      <c r="HP297" s="168"/>
      <c r="HQ297" s="168"/>
      <c r="HR297" s="168"/>
      <c r="HS297" s="168"/>
      <c r="HT297" s="168"/>
      <c r="HU297" s="168"/>
      <c r="HV297" s="168"/>
      <c r="HW297" s="168"/>
      <c r="HX297" s="168"/>
      <c r="HY297" s="168"/>
      <c r="HZ297" s="168"/>
      <c r="IA297" s="168"/>
      <c r="IB297" s="168"/>
      <c r="IC297" s="168"/>
      <c r="ID297" s="168"/>
      <c r="IE297" s="168"/>
      <c r="IF297" s="168"/>
      <c r="IG297" s="168"/>
      <c r="IH297" s="168"/>
      <c r="II297" s="168"/>
      <c r="IJ297" s="168"/>
      <c r="IK297" s="168"/>
      <c r="IL297" s="168"/>
      <c r="IM297" s="168"/>
      <c r="IN297" s="168"/>
      <c r="IO297" s="168"/>
      <c r="IP297" s="168"/>
      <c r="IQ297" s="168"/>
      <c r="IR297" s="168"/>
      <c r="IS297" s="168"/>
      <c r="IT297" s="168"/>
      <c r="IU297" s="168"/>
      <c r="IV297" s="168"/>
      <c r="IW297" s="168"/>
      <c r="IX297" s="168"/>
      <c r="IY297" s="168"/>
      <c r="IZ297" s="168"/>
      <c r="JA297" s="168"/>
      <c r="JB297" s="168"/>
      <c r="JC297" s="606"/>
      <c r="JD297" s="609"/>
      <c r="JE297" s="1"/>
      <c r="JF297" s="1"/>
    </row>
    <row r="298" spans="1:266" s="2" customFormat="1" ht="15" customHeight="1" x14ac:dyDescent="0.25">
      <c r="A298" s="283"/>
      <c r="B298" s="303"/>
      <c r="C298" s="301"/>
      <c r="D298" s="638"/>
      <c r="E298" s="2298"/>
      <c r="F298" s="1812"/>
      <c r="G298" s="3342"/>
      <c r="H298" s="66"/>
      <c r="I298" s="1746"/>
      <c r="J298" s="86"/>
      <c r="K298" s="105"/>
      <c r="L298" s="91"/>
      <c r="M298" s="92"/>
      <c r="N298" s="93"/>
      <c r="O298" s="94"/>
      <c r="P298" s="94"/>
      <c r="Q298" s="97"/>
      <c r="R298" s="993">
        <f t="shared" si="823"/>
        <v>0</v>
      </c>
      <c r="S298" s="23">
        <f t="shared" si="783"/>
        <v>0</v>
      </c>
      <c r="T298" s="24">
        <f t="shared" si="834"/>
        <v>0</v>
      </c>
      <c r="U298" s="24">
        <f t="shared" si="835"/>
        <v>0</v>
      </c>
      <c r="V298" s="24">
        <f t="shared" si="785"/>
        <v>0</v>
      </c>
      <c r="W298" s="24">
        <f t="shared" si="819"/>
        <v>0</v>
      </c>
      <c r="X298" s="72">
        <f t="shared" si="786"/>
        <v>0</v>
      </c>
      <c r="Y298" s="72">
        <f t="shared" si="836"/>
        <v>0</v>
      </c>
      <c r="Z298" s="24">
        <f t="shared" si="824"/>
        <v>0</v>
      </c>
      <c r="AA298" s="72">
        <f t="shared" si="787"/>
        <v>0</v>
      </c>
      <c r="AB298" s="24">
        <f t="shared" si="820"/>
        <v>0</v>
      </c>
      <c r="AC298" s="24" t="s">
        <v>5</v>
      </c>
      <c r="AD298" s="25">
        <f t="shared" si="814"/>
        <v>3</v>
      </c>
      <c r="AE298" s="25">
        <f t="shared" si="815"/>
        <v>0</v>
      </c>
      <c r="AF298" s="25">
        <f t="shared" si="816"/>
        <v>0</v>
      </c>
      <c r="AG298" s="25">
        <f t="shared" si="784"/>
        <v>1</v>
      </c>
      <c r="AH298" s="25" t="str">
        <f>IFERROR(MATCH(DY298,'2 Staff List'!$IA$64:$IA$114,0),"x")</f>
        <v>x</v>
      </c>
      <c r="AI298" s="1181">
        <f>IFERROR(INDEX('2 Staff List'!$EX$64:$EX$114,$AH298),0)</f>
        <v>0</v>
      </c>
      <c r="AJ298" s="25">
        <f>IFERROR(INDEX('2 Staff List'!$IW$64:$IW$114,$AH298),0)</f>
        <v>0</v>
      </c>
      <c r="AK298" s="25">
        <f>IFERROR(INDEX('2 Staff List'!$IB$64:$IB$114,$AH298),0)</f>
        <v>0</v>
      </c>
      <c r="AL298" s="25">
        <f>IF(OR(NOT(ISBLANK(DV298)),CX298=1),"&lt;Non-Labor&gt;",IFERROR(IF(AH298=0,0,INDEX('2 Staff List'!$HZ$64:$HZ$114,$AH298)),0))</f>
        <v>0</v>
      </c>
      <c r="AM298" s="25">
        <f>IFERROR(INDEX('2 Staff List'!$HW$64:$HW$114,$AH298),0)</f>
        <v>0</v>
      </c>
      <c r="AN298" s="25">
        <f t="shared" si="825"/>
        <v>1</v>
      </c>
      <c r="AO298" s="25">
        <f>IF($AO$127=0,0,IFERROR(INDEX('2 Staff List'!$JH$64:$JH$114,$AH298),0))</f>
        <v>0</v>
      </c>
      <c r="AP298" s="25">
        <f>IFERROR(INDEX('2 Staff List'!$HU$64:$HU$114,$AH298),0)</f>
        <v>0</v>
      </c>
      <c r="AQ298" s="25">
        <f t="shared" si="821"/>
        <v>0</v>
      </c>
      <c r="AR298" s="25">
        <f t="shared" si="826"/>
        <v>0</v>
      </c>
      <c r="AS298" s="25">
        <f t="shared" si="788"/>
        <v>0</v>
      </c>
      <c r="AT298" s="25">
        <f t="shared" si="789"/>
        <v>0</v>
      </c>
      <c r="AU298" s="25">
        <f t="shared" si="790"/>
        <v>0</v>
      </c>
      <c r="AV298" s="25">
        <f t="shared" si="791"/>
        <v>0</v>
      </c>
      <c r="AW298" s="25">
        <f t="shared" si="792"/>
        <v>0</v>
      </c>
      <c r="AX298" s="25">
        <f t="shared" si="793"/>
        <v>0</v>
      </c>
      <c r="AY298" s="25">
        <f t="shared" si="794"/>
        <v>0</v>
      </c>
      <c r="AZ298" s="25">
        <f t="shared" si="795"/>
        <v>0</v>
      </c>
      <c r="BA298" s="25">
        <f t="shared" si="796"/>
        <v>0</v>
      </c>
      <c r="BB298" s="25">
        <f t="shared" si="797"/>
        <v>0</v>
      </c>
      <c r="BC298" s="25">
        <f>IFERROR(INDEX('2 Staff List'!KS$64:KS$114,$AH298),0)</f>
        <v>0</v>
      </c>
      <c r="BD298" s="25">
        <f>IFERROR(INDEX('2 Staff List'!KT$64:KT$114,$AH298),0)</f>
        <v>0</v>
      </c>
      <c r="BE298" s="25">
        <f>IFERROR(INDEX('2 Staff List'!KU$64:KU$114,$AH298),0)</f>
        <v>0</v>
      </c>
      <c r="BF298" s="25">
        <f>IFERROR(INDEX('2 Staff List'!KV$64:KV$114,$AH298),0)</f>
        <v>0</v>
      </c>
      <c r="BG298" s="25">
        <f>IFERROR(INDEX('2 Staff List'!KW$64:KW$114,$AH298),0)</f>
        <v>0</v>
      </c>
      <c r="BH298" s="25">
        <f>IFERROR(INDEX('2 Staff List'!KX$64:KX$114,$AH298),0)</f>
        <v>0</v>
      </c>
      <c r="BI298" s="25">
        <f>IFERROR(INDEX('2 Staff List'!KY$64:KY$114,$AH298),0)</f>
        <v>0</v>
      </c>
      <c r="BJ298" s="25">
        <f>IFERROR(INDEX('2 Staff List'!KZ$64:KZ$114,$AH298),0)</f>
        <v>0</v>
      </c>
      <c r="BK298" s="25">
        <f>IFERROR(INDEX('2 Staff List'!LA$64:LA$114,$AH298),0)</f>
        <v>0</v>
      </c>
      <c r="BL298" s="25">
        <f>IFERROR(INDEX('2 Staff List'!LB$64:LB$114,$AH298),0)</f>
        <v>0</v>
      </c>
      <c r="BM298" s="25">
        <f>IFERROR(INDEX('2 Staff List'!FT$64:FT$114,$AH298),0)</f>
        <v>0</v>
      </c>
      <c r="BN298" s="25">
        <f>IFERROR(INDEX('2 Staff List'!FU$64:FU$114,$AH298),0)</f>
        <v>0</v>
      </c>
      <c r="BO298" s="25">
        <f>IFERROR(INDEX('2 Staff List'!FV$64:FV$114,$AH298),0)</f>
        <v>0</v>
      </c>
      <c r="BP298" s="25">
        <f>IFERROR(INDEX('2 Staff List'!FW$64:FW$114,$AH298),0)</f>
        <v>0</v>
      </c>
      <c r="BQ298" s="25">
        <f>IFERROR(INDEX('2 Staff List'!FX$64:FX$114,$AH298),0)</f>
        <v>0</v>
      </c>
      <c r="BR298" s="25">
        <f>IFERROR(INDEX('2 Staff List'!FY$64:FY$114,$AH298),0)</f>
        <v>0</v>
      </c>
      <c r="BS298" s="25">
        <f>IFERROR(INDEX('2 Staff List'!FZ$64:FZ$114,$AH298),0)</f>
        <v>0</v>
      </c>
      <c r="BT298" s="25">
        <f>IFERROR(INDEX('2 Staff List'!GA$64:GA$114,$AH298),0)</f>
        <v>0</v>
      </c>
      <c r="BU298" s="25">
        <f>IFERROR(INDEX('2 Staff List'!GB$64:GB$114,$AH298),0)</f>
        <v>0</v>
      </c>
      <c r="BV298" s="25">
        <f>IFERROR(INDEX('2 Staff List'!GC$64:GC$114,$AH298),0)</f>
        <v>0</v>
      </c>
      <c r="BW298" s="25">
        <f t="shared" si="827"/>
        <v>0</v>
      </c>
      <c r="BX298" s="25">
        <f t="shared" si="798"/>
        <v>0</v>
      </c>
      <c r="BY298" s="25">
        <f t="shared" si="799"/>
        <v>0</v>
      </c>
      <c r="BZ298" s="25">
        <f t="shared" si="800"/>
        <v>0</v>
      </c>
      <c r="CA298" s="25">
        <f t="shared" si="801"/>
        <v>0</v>
      </c>
      <c r="CB298" s="25">
        <f t="shared" si="802"/>
        <v>0</v>
      </c>
      <c r="CC298" s="25">
        <f t="shared" si="803"/>
        <v>0</v>
      </c>
      <c r="CD298" s="25">
        <f t="shared" si="804"/>
        <v>0</v>
      </c>
      <c r="CE298" s="25">
        <f t="shared" si="805"/>
        <v>0</v>
      </c>
      <c r="CF298" s="25">
        <f t="shared" si="806"/>
        <v>0</v>
      </c>
      <c r="CG298" s="25">
        <f t="shared" si="807"/>
        <v>0</v>
      </c>
      <c r="CH298" s="25">
        <f>IFERROR(INDEX('2 Staff List'!LO$64:LO$114,$AH298),0)</f>
        <v>0</v>
      </c>
      <c r="CI298" s="25">
        <f>IFERROR(INDEX('2 Staff List'!LP$64:LP$114,$AH298),0)</f>
        <v>0</v>
      </c>
      <c r="CJ298" s="25">
        <f>IFERROR(INDEX('2 Staff List'!LQ$64:LQ$114,$AH298),0)</f>
        <v>0</v>
      </c>
      <c r="CK298" s="25">
        <f>IFERROR(INDEX('2 Staff List'!LR$64:LR$114,$AH298),0)</f>
        <v>0</v>
      </c>
      <c r="CL298" s="25">
        <f>IFERROR(INDEX('2 Staff List'!LS$64:LS$114,$AH298),0)</f>
        <v>0</v>
      </c>
      <c r="CM298" s="25">
        <f>IFERROR(INDEX('2 Staff List'!LT$64:LT$114,$AH298),0)</f>
        <v>0</v>
      </c>
      <c r="CN298" s="25">
        <f>IFERROR(INDEX('2 Staff List'!LU$64:LU$114,$AH298),0)</f>
        <v>0</v>
      </c>
      <c r="CO298" s="25">
        <f>IFERROR(INDEX('2 Staff List'!LV$64:LV$114,$AH298),0)</f>
        <v>0</v>
      </c>
      <c r="CP298" s="25">
        <f>IFERROR(INDEX('2 Staff List'!LW$64:LW$114,$AH298),0)</f>
        <v>0</v>
      </c>
      <c r="CQ298" s="25">
        <f>IFERROR(INDEX('2 Staff List'!LX$64:LX$114,$AH298),0)</f>
        <v>0</v>
      </c>
      <c r="CR298" s="25">
        <f t="shared" si="828"/>
        <v>0</v>
      </c>
      <c r="CS298" s="25">
        <f t="shared" si="840"/>
        <v>1</v>
      </c>
      <c r="CT298" s="25">
        <f t="shared" si="837"/>
        <v>1</v>
      </c>
      <c r="CU298" s="25">
        <f t="shared" si="822"/>
        <v>1</v>
      </c>
      <c r="CV298" s="25">
        <f t="shared" si="808"/>
        <v>1</v>
      </c>
      <c r="CW298" s="25">
        <f t="shared" si="829"/>
        <v>1</v>
      </c>
      <c r="CX298" s="25">
        <f t="shared" si="809"/>
        <v>0</v>
      </c>
      <c r="CY298" s="25">
        <f t="shared" si="779"/>
        <v>0</v>
      </c>
      <c r="CZ298" s="25">
        <f t="shared" si="830"/>
        <v>0</v>
      </c>
      <c r="DA298" s="25">
        <f t="shared" si="810"/>
        <v>1</v>
      </c>
      <c r="DB298" s="25">
        <f t="shared" si="817"/>
        <v>1</v>
      </c>
      <c r="DC298" s="25">
        <f t="shared" si="838"/>
        <v>0</v>
      </c>
      <c r="DD298" s="25">
        <f>IF(OR($AD298&lt;&gt;3,F298="Exclude"),0,IF(ISERROR(MATCH($E298,'4 Sign-off'!$S$123:$X$123,0)),0,1))</f>
        <v>0</v>
      </c>
      <c r="DE298" s="25">
        <f t="shared" si="845"/>
        <v>0</v>
      </c>
      <c r="DF298" s="25">
        <f t="shared" si="831"/>
        <v>0</v>
      </c>
      <c r="DG298" s="25" t="str">
        <f t="shared" si="832"/>
        <v/>
      </c>
      <c r="DH298" s="25">
        <f t="shared" si="780"/>
        <v>0</v>
      </c>
      <c r="DI298" s="25">
        <f t="shared" si="778"/>
        <v>0</v>
      </c>
      <c r="DJ298" s="25">
        <f>IF(ISBLANK(J298),0,ISERROR(MATCH(J298,'5  Control Accounts'!$FA$29:$FA$96,0))*1)</f>
        <v>0</v>
      </c>
      <c r="DK298" s="25">
        <f t="shared" si="811"/>
        <v>0</v>
      </c>
      <c r="DL298" s="25">
        <f t="shared" si="818"/>
        <v>-1</v>
      </c>
      <c r="DM298" s="25" t="e">
        <f t="array" ref="DM298">MATCH(1,($EG298:$JD298&gt;0)*$EG$17:$JD$17,0)</f>
        <v>#N/A</v>
      </c>
      <c r="DN298" s="25" t="e">
        <f t="shared" si="841"/>
        <v>#N/A</v>
      </c>
      <c r="DO298" s="25" t="e">
        <f t="array" ref="DO298">MATCH(2,1/(EG298:JD298&gt;0))</f>
        <v>#N/A</v>
      </c>
      <c r="DP298" s="2993">
        <f t="shared" si="812"/>
        <v>0</v>
      </c>
      <c r="DQ298" s="3037">
        <f t="shared" si="813"/>
        <v>0</v>
      </c>
      <c r="DR298" s="111"/>
      <c r="DS298" s="1268">
        <f t="shared" si="846"/>
        <v>0</v>
      </c>
      <c r="DT298" s="1825"/>
      <c r="DU298" s="1826"/>
      <c r="DV298" s="1827"/>
      <c r="DW298" s="1828"/>
      <c r="DX298" s="659"/>
      <c r="DY298" s="1265"/>
      <c r="DZ298" s="1785">
        <f t="shared" si="833"/>
        <v>0</v>
      </c>
      <c r="EA298" s="1786">
        <f t="shared" si="839"/>
        <v>0</v>
      </c>
      <c r="EB298" s="1781">
        <f t="shared" si="842"/>
        <v>0</v>
      </c>
      <c r="EC298" s="1782">
        <f t="shared" si="843"/>
        <v>0</v>
      </c>
      <c r="ED298" s="1262"/>
      <c r="EE298" s="2280"/>
      <c r="EF298" s="1802">
        <f t="shared" si="844"/>
        <v>0</v>
      </c>
      <c r="EG298" s="167"/>
      <c r="EH298" s="168"/>
      <c r="EI298" s="168"/>
      <c r="EJ298" s="168"/>
      <c r="EK298" s="168"/>
      <c r="EL298" s="168"/>
      <c r="EM298" s="168"/>
      <c r="EN298" s="168"/>
      <c r="EO298" s="168"/>
      <c r="EP298" s="168"/>
      <c r="EQ298" s="168"/>
      <c r="ER298" s="168"/>
      <c r="ES298" s="168"/>
      <c r="ET298" s="168"/>
      <c r="EU298" s="168"/>
      <c r="EV298" s="168"/>
      <c r="EW298" s="168"/>
      <c r="EX298" s="168"/>
      <c r="EY298" s="168"/>
      <c r="EZ298" s="168"/>
      <c r="FA298" s="168"/>
      <c r="FB298" s="168"/>
      <c r="FC298" s="168"/>
      <c r="FD298" s="168"/>
      <c r="FE298" s="168"/>
      <c r="FF298" s="168"/>
      <c r="FG298" s="168"/>
      <c r="FH298" s="168"/>
      <c r="FI298" s="168"/>
      <c r="FJ298" s="168"/>
      <c r="FK298" s="168"/>
      <c r="FL298" s="168"/>
      <c r="FM298" s="168"/>
      <c r="FN298" s="168"/>
      <c r="FO298" s="168"/>
      <c r="FP298" s="168"/>
      <c r="FQ298" s="168"/>
      <c r="FR298" s="168"/>
      <c r="FS298" s="168"/>
      <c r="FT298" s="168"/>
      <c r="FU298" s="168"/>
      <c r="FV298" s="168"/>
      <c r="FW298" s="168"/>
      <c r="FX298" s="168"/>
      <c r="FY298" s="168"/>
      <c r="FZ298" s="168"/>
      <c r="GA298" s="168"/>
      <c r="GB298" s="168"/>
      <c r="GC298" s="168"/>
      <c r="GD298" s="168"/>
      <c r="GE298" s="168"/>
      <c r="GF298" s="168"/>
      <c r="GG298" s="168"/>
      <c r="GH298" s="168"/>
      <c r="GI298" s="168"/>
      <c r="GJ298" s="168"/>
      <c r="GK298" s="168"/>
      <c r="GL298" s="168"/>
      <c r="GM298" s="168"/>
      <c r="GN298" s="168"/>
      <c r="GO298" s="168"/>
      <c r="GP298" s="168"/>
      <c r="GQ298" s="168"/>
      <c r="GR298" s="168"/>
      <c r="GS298" s="168"/>
      <c r="GT298" s="168"/>
      <c r="GU298" s="168"/>
      <c r="GV298" s="168"/>
      <c r="GW298" s="168"/>
      <c r="GX298" s="168"/>
      <c r="GY298" s="168"/>
      <c r="GZ298" s="168"/>
      <c r="HA298" s="168"/>
      <c r="HB298" s="168"/>
      <c r="HC298" s="168"/>
      <c r="HD298" s="168"/>
      <c r="HE298" s="168"/>
      <c r="HF298" s="168"/>
      <c r="HG298" s="168"/>
      <c r="HH298" s="168"/>
      <c r="HI298" s="168"/>
      <c r="HJ298" s="168"/>
      <c r="HK298" s="168"/>
      <c r="HL298" s="168"/>
      <c r="HM298" s="168"/>
      <c r="HN298" s="168"/>
      <c r="HO298" s="168"/>
      <c r="HP298" s="168"/>
      <c r="HQ298" s="168"/>
      <c r="HR298" s="168"/>
      <c r="HS298" s="168"/>
      <c r="HT298" s="168"/>
      <c r="HU298" s="168"/>
      <c r="HV298" s="168"/>
      <c r="HW298" s="168"/>
      <c r="HX298" s="168"/>
      <c r="HY298" s="168"/>
      <c r="HZ298" s="168"/>
      <c r="IA298" s="168"/>
      <c r="IB298" s="168"/>
      <c r="IC298" s="168"/>
      <c r="ID298" s="168"/>
      <c r="IE298" s="168"/>
      <c r="IF298" s="168"/>
      <c r="IG298" s="168"/>
      <c r="IH298" s="168"/>
      <c r="II298" s="168"/>
      <c r="IJ298" s="168"/>
      <c r="IK298" s="168"/>
      <c r="IL298" s="168"/>
      <c r="IM298" s="168"/>
      <c r="IN298" s="168"/>
      <c r="IO298" s="168"/>
      <c r="IP298" s="168"/>
      <c r="IQ298" s="168"/>
      <c r="IR298" s="168"/>
      <c r="IS298" s="168"/>
      <c r="IT298" s="168"/>
      <c r="IU298" s="168"/>
      <c r="IV298" s="168"/>
      <c r="IW298" s="168"/>
      <c r="IX298" s="168"/>
      <c r="IY298" s="168"/>
      <c r="IZ298" s="168"/>
      <c r="JA298" s="168"/>
      <c r="JB298" s="168"/>
      <c r="JC298" s="606"/>
      <c r="JD298" s="609"/>
      <c r="JE298" s="1"/>
      <c r="JF298" s="1"/>
    </row>
    <row r="299" spans="1:266" s="2" customFormat="1" ht="15" customHeight="1" x14ac:dyDescent="0.25">
      <c r="A299" s="283"/>
      <c r="B299" s="303"/>
      <c r="C299" s="301"/>
      <c r="D299" s="638"/>
      <c r="E299" s="2298"/>
      <c r="F299" s="1812"/>
      <c r="G299" s="3342"/>
      <c r="H299" s="66"/>
      <c r="I299" s="1746"/>
      <c r="J299" s="86"/>
      <c r="K299" s="105"/>
      <c r="L299" s="91"/>
      <c r="M299" s="92"/>
      <c r="N299" s="93"/>
      <c r="O299" s="94"/>
      <c r="P299" s="94"/>
      <c r="Q299" s="97"/>
      <c r="R299" s="993">
        <f t="shared" si="823"/>
        <v>0</v>
      </c>
      <c r="S299" s="23">
        <f t="shared" si="783"/>
        <v>0</v>
      </c>
      <c r="T299" s="24">
        <f t="shared" si="834"/>
        <v>0</v>
      </c>
      <c r="U299" s="24">
        <f t="shared" si="835"/>
        <v>0</v>
      </c>
      <c r="V299" s="24">
        <f t="shared" si="785"/>
        <v>0</v>
      </c>
      <c r="W299" s="24">
        <f t="shared" si="819"/>
        <v>0</v>
      </c>
      <c r="X299" s="72">
        <f t="shared" si="786"/>
        <v>0</v>
      </c>
      <c r="Y299" s="72">
        <f t="shared" si="836"/>
        <v>0</v>
      </c>
      <c r="Z299" s="24">
        <f t="shared" si="824"/>
        <v>0</v>
      </c>
      <c r="AA299" s="72">
        <f t="shared" si="787"/>
        <v>0</v>
      </c>
      <c r="AB299" s="24">
        <f t="shared" si="820"/>
        <v>0</v>
      </c>
      <c r="AC299" s="24" t="s">
        <v>5</v>
      </c>
      <c r="AD299" s="25">
        <f t="shared" si="814"/>
        <v>3</v>
      </c>
      <c r="AE299" s="25">
        <f t="shared" si="815"/>
        <v>0</v>
      </c>
      <c r="AF299" s="25">
        <f t="shared" si="816"/>
        <v>0</v>
      </c>
      <c r="AG299" s="25">
        <f t="shared" si="784"/>
        <v>1</v>
      </c>
      <c r="AH299" s="25" t="str">
        <f>IFERROR(MATCH(DY299,'2 Staff List'!$IA$64:$IA$114,0),"x")</f>
        <v>x</v>
      </c>
      <c r="AI299" s="1181">
        <f>IFERROR(INDEX('2 Staff List'!$EX$64:$EX$114,$AH299),0)</f>
        <v>0</v>
      </c>
      <c r="AJ299" s="25">
        <f>IFERROR(INDEX('2 Staff List'!$IW$64:$IW$114,$AH299),0)</f>
        <v>0</v>
      </c>
      <c r="AK299" s="25">
        <f>IFERROR(INDEX('2 Staff List'!$IB$64:$IB$114,$AH299),0)</f>
        <v>0</v>
      </c>
      <c r="AL299" s="25">
        <f>IF(OR(NOT(ISBLANK(DV299)),CX299=1),"&lt;Non-Labor&gt;",IFERROR(IF(AH299=0,0,INDEX('2 Staff List'!$HZ$64:$HZ$114,$AH299)),0))</f>
        <v>0</v>
      </c>
      <c r="AM299" s="25">
        <f>IFERROR(INDEX('2 Staff List'!$HW$64:$HW$114,$AH299),0)</f>
        <v>0</v>
      </c>
      <c r="AN299" s="25">
        <f t="shared" si="825"/>
        <v>1</v>
      </c>
      <c r="AO299" s="25">
        <f>IF($AO$127=0,0,IFERROR(INDEX('2 Staff List'!$JH$64:$JH$114,$AH299),0))</f>
        <v>0</v>
      </c>
      <c r="AP299" s="25">
        <f>IFERROR(INDEX('2 Staff List'!$HU$64:$HU$114,$AH299),0)</f>
        <v>0</v>
      </c>
      <c r="AQ299" s="25">
        <f t="shared" si="821"/>
        <v>0</v>
      </c>
      <c r="AR299" s="25">
        <f t="shared" si="826"/>
        <v>0</v>
      </c>
      <c r="AS299" s="25">
        <f t="shared" si="788"/>
        <v>0</v>
      </c>
      <c r="AT299" s="25">
        <f t="shared" si="789"/>
        <v>0</v>
      </c>
      <c r="AU299" s="25">
        <f t="shared" si="790"/>
        <v>0</v>
      </c>
      <c r="AV299" s="25">
        <f t="shared" si="791"/>
        <v>0</v>
      </c>
      <c r="AW299" s="25">
        <f t="shared" si="792"/>
        <v>0</v>
      </c>
      <c r="AX299" s="25">
        <f t="shared" si="793"/>
        <v>0</v>
      </c>
      <c r="AY299" s="25">
        <f t="shared" si="794"/>
        <v>0</v>
      </c>
      <c r="AZ299" s="25">
        <f t="shared" si="795"/>
        <v>0</v>
      </c>
      <c r="BA299" s="25">
        <f t="shared" si="796"/>
        <v>0</v>
      </c>
      <c r="BB299" s="25">
        <f t="shared" si="797"/>
        <v>0</v>
      </c>
      <c r="BC299" s="25">
        <f>IFERROR(INDEX('2 Staff List'!KS$64:KS$114,$AH299),0)</f>
        <v>0</v>
      </c>
      <c r="BD299" s="25">
        <f>IFERROR(INDEX('2 Staff List'!KT$64:KT$114,$AH299),0)</f>
        <v>0</v>
      </c>
      <c r="BE299" s="25">
        <f>IFERROR(INDEX('2 Staff List'!KU$64:KU$114,$AH299),0)</f>
        <v>0</v>
      </c>
      <c r="BF299" s="25">
        <f>IFERROR(INDEX('2 Staff List'!KV$64:KV$114,$AH299),0)</f>
        <v>0</v>
      </c>
      <c r="BG299" s="25">
        <f>IFERROR(INDEX('2 Staff List'!KW$64:KW$114,$AH299),0)</f>
        <v>0</v>
      </c>
      <c r="BH299" s="25">
        <f>IFERROR(INDEX('2 Staff List'!KX$64:KX$114,$AH299),0)</f>
        <v>0</v>
      </c>
      <c r="BI299" s="25">
        <f>IFERROR(INDEX('2 Staff List'!KY$64:KY$114,$AH299),0)</f>
        <v>0</v>
      </c>
      <c r="BJ299" s="25">
        <f>IFERROR(INDEX('2 Staff List'!KZ$64:KZ$114,$AH299),0)</f>
        <v>0</v>
      </c>
      <c r="BK299" s="25">
        <f>IFERROR(INDEX('2 Staff List'!LA$64:LA$114,$AH299),0)</f>
        <v>0</v>
      </c>
      <c r="BL299" s="25">
        <f>IFERROR(INDEX('2 Staff List'!LB$64:LB$114,$AH299),0)</f>
        <v>0</v>
      </c>
      <c r="BM299" s="25">
        <f>IFERROR(INDEX('2 Staff List'!FT$64:FT$114,$AH299),0)</f>
        <v>0</v>
      </c>
      <c r="BN299" s="25">
        <f>IFERROR(INDEX('2 Staff List'!FU$64:FU$114,$AH299),0)</f>
        <v>0</v>
      </c>
      <c r="BO299" s="25">
        <f>IFERROR(INDEX('2 Staff List'!FV$64:FV$114,$AH299),0)</f>
        <v>0</v>
      </c>
      <c r="BP299" s="25">
        <f>IFERROR(INDEX('2 Staff List'!FW$64:FW$114,$AH299),0)</f>
        <v>0</v>
      </c>
      <c r="BQ299" s="25">
        <f>IFERROR(INDEX('2 Staff List'!FX$64:FX$114,$AH299),0)</f>
        <v>0</v>
      </c>
      <c r="BR299" s="25">
        <f>IFERROR(INDEX('2 Staff List'!FY$64:FY$114,$AH299),0)</f>
        <v>0</v>
      </c>
      <c r="BS299" s="25">
        <f>IFERROR(INDEX('2 Staff List'!FZ$64:FZ$114,$AH299),0)</f>
        <v>0</v>
      </c>
      <c r="BT299" s="25">
        <f>IFERROR(INDEX('2 Staff List'!GA$64:GA$114,$AH299),0)</f>
        <v>0</v>
      </c>
      <c r="BU299" s="25">
        <f>IFERROR(INDEX('2 Staff List'!GB$64:GB$114,$AH299),0)</f>
        <v>0</v>
      </c>
      <c r="BV299" s="25">
        <f>IFERROR(INDEX('2 Staff List'!GC$64:GC$114,$AH299),0)</f>
        <v>0</v>
      </c>
      <c r="BW299" s="25">
        <f t="shared" si="827"/>
        <v>0</v>
      </c>
      <c r="BX299" s="25">
        <f t="shared" si="798"/>
        <v>0</v>
      </c>
      <c r="BY299" s="25">
        <f t="shared" si="799"/>
        <v>0</v>
      </c>
      <c r="BZ299" s="25">
        <f t="shared" si="800"/>
        <v>0</v>
      </c>
      <c r="CA299" s="25">
        <f t="shared" si="801"/>
        <v>0</v>
      </c>
      <c r="CB299" s="25">
        <f t="shared" si="802"/>
        <v>0</v>
      </c>
      <c r="CC299" s="25">
        <f t="shared" si="803"/>
        <v>0</v>
      </c>
      <c r="CD299" s="25">
        <f t="shared" si="804"/>
        <v>0</v>
      </c>
      <c r="CE299" s="25">
        <f t="shared" si="805"/>
        <v>0</v>
      </c>
      <c r="CF299" s="25">
        <f t="shared" si="806"/>
        <v>0</v>
      </c>
      <c r="CG299" s="25">
        <f t="shared" si="807"/>
        <v>0</v>
      </c>
      <c r="CH299" s="25">
        <f>IFERROR(INDEX('2 Staff List'!LO$64:LO$114,$AH299),0)</f>
        <v>0</v>
      </c>
      <c r="CI299" s="25">
        <f>IFERROR(INDEX('2 Staff List'!LP$64:LP$114,$AH299),0)</f>
        <v>0</v>
      </c>
      <c r="CJ299" s="25">
        <f>IFERROR(INDEX('2 Staff List'!LQ$64:LQ$114,$AH299),0)</f>
        <v>0</v>
      </c>
      <c r="CK299" s="25">
        <f>IFERROR(INDEX('2 Staff List'!LR$64:LR$114,$AH299),0)</f>
        <v>0</v>
      </c>
      <c r="CL299" s="25">
        <f>IFERROR(INDEX('2 Staff List'!LS$64:LS$114,$AH299),0)</f>
        <v>0</v>
      </c>
      <c r="CM299" s="25">
        <f>IFERROR(INDEX('2 Staff List'!LT$64:LT$114,$AH299),0)</f>
        <v>0</v>
      </c>
      <c r="CN299" s="25">
        <f>IFERROR(INDEX('2 Staff List'!LU$64:LU$114,$AH299),0)</f>
        <v>0</v>
      </c>
      <c r="CO299" s="25">
        <f>IFERROR(INDEX('2 Staff List'!LV$64:LV$114,$AH299),0)</f>
        <v>0</v>
      </c>
      <c r="CP299" s="25">
        <f>IFERROR(INDEX('2 Staff List'!LW$64:LW$114,$AH299),0)</f>
        <v>0</v>
      </c>
      <c r="CQ299" s="25">
        <f>IFERROR(INDEX('2 Staff List'!LX$64:LX$114,$AH299),0)</f>
        <v>0</v>
      </c>
      <c r="CR299" s="25">
        <f t="shared" si="828"/>
        <v>0</v>
      </c>
      <c r="CS299" s="25">
        <f t="shared" si="840"/>
        <v>1</v>
      </c>
      <c r="CT299" s="25">
        <f t="shared" si="837"/>
        <v>1</v>
      </c>
      <c r="CU299" s="25">
        <f t="shared" si="822"/>
        <v>1</v>
      </c>
      <c r="CV299" s="25">
        <f t="shared" si="808"/>
        <v>1</v>
      </c>
      <c r="CW299" s="25">
        <f t="shared" si="829"/>
        <v>1</v>
      </c>
      <c r="CX299" s="25">
        <f t="shared" si="809"/>
        <v>0</v>
      </c>
      <c r="CY299" s="25">
        <f t="shared" si="779"/>
        <v>0</v>
      </c>
      <c r="CZ299" s="25">
        <f t="shared" si="830"/>
        <v>0</v>
      </c>
      <c r="DA299" s="25">
        <f t="shared" si="810"/>
        <v>1</v>
      </c>
      <c r="DB299" s="25">
        <f t="shared" si="817"/>
        <v>1</v>
      </c>
      <c r="DC299" s="25">
        <f t="shared" si="838"/>
        <v>0</v>
      </c>
      <c r="DD299" s="25">
        <f>IF(OR($AD299&lt;&gt;3,F299="Exclude"),0,IF(ISERROR(MATCH($E299,'4 Sign-off'!$S$123:$X$123,0)),0,1))</f>
        <v>0</v>
      </c>
      <c r="DE299" s="25">
        <f t="shared" si="845"/>
        <v>0</v>
      </c>
      <c r="DF299" s="25">
        <f t="shared" si="831"/>
        <v>0</v>
      </c>
      <c r="DG299" s="25" t="str">
        <f t="shared" si="832"/>
        <v/>
      </c>
      <c r="DH299" s="25">
        <f t="shared" si="780"/>
        <v>0</v>
      </c>
      <c r="DI299" s="25">
        <f t="shared" si="778"/>
        <v>0</v>
      </c>
      <c r="DJ299" s="25">
        <f>IF(ISBLANK(J299),0,ISERROR(MATCH(J299,'5  Control Accounts'!$FA$29:$FA$96,0))*1)</f>
        <v>0</v>
      </c>
      <c r="DK299" s="25">
        <f t="shared" si="811"/>
        <v>0</v>
      </c>
      <c r="DL299" s="25">
        <f t="shared" si="818"/>
        <v>-1</v>
      </c>
      <c r="DM299" s="25" t="e">
        <f t="array" ref="DM299">MATCH(1,($EG299:$JD299&gt;0)*$EG$17:$JD$17,0)</f>
        <v>#N/A</v>
      </c>
      <c r="DN299" s="25" t="e">
        <f t="shared" si="841"/>
        <v>#N/A</v>
      </c>
      <c r="DO299" s="25" t="e">
        <f t="array" ref="DO299">MATCH(2,1/(EG299:JD299&gt;0))</f>
        <v>#N/A</v>
      </c>
      <c r="DP299" s="2993">
        <f t="shared" si="812"/>
        <v>0</v>
      </c>
      <c r="DQ299" s="3037">
        <f t="shared" si="813"/>
        <v>0</v>
      </c>
      <c r="DR299" s="111"/>
      <c r="DS299" s="1268">
        <f t="shared" si="846"/>
        <v>0</v>
      </c>
      <c r="DT299" s="1825"/>
      <c r="DU299" s="1826"/>
      <c r="DV299" s="1827"/>
      <c r="DW299" s="1828"/>
      <c r="DX299" s="659"/>
      <c r="DY299" s="1265"/>
      <c r="DZ299" s="1785">
        <f t="shared" si="833"/>
        <v>0</v>
      </c>
      <c r="EA299" s="1786">
        <f t="shared" si="839"/>
        <v>0</v>
      </c>
      <c r="EB299" s="1781">
        <f t="shared" si="842"/>
        <v>0</v>
      </c>
      <c r="EC299" s="1782">
        <f t="shared" si="843"/>
        <v>0</v>
      </c>
      <c r="ED299" s="1262"/>
      <c r="EE299" s="2280"/>
      <c r="EF299" s="1802">
        <f t="shared" si="844"/>
        <v>0</v>
      </c>
      <c r="EG299" s="167"/>
      <c r="EH299" s="168"/>
      <c r="EI299" s="168"/>
      <c r="EJ299" s="168"/>
      <c r="EK299" s="168"/>
      <c r="EL299" s="168"/>
      <c r="EM299" s="168"/>
      <c r="EN299" s="168"/>
      <c r="EO299" s="168"/>
      <c r="EP299" s="168"/>
      <c r="EQ299" s="168"/>
      <c r="ER299" s="168"/>
      <c r="ES299" s="168"/>
      <c r="ET299" s="168"/>
      <c r="EU299" s="168"/>
      <c r="EV299" s="168"/>
      <c r="EW299" s="168"/>
      <c r="EX299" s="168"/>
      <c r="EY299" s="168"/>
      <c r="EZ299" s="168"/>
      <c r="FA299" s="168"/>
      <c r="FB299" s="168"/>
      <c r="FC299" s="168"/>
      <c r="FD299" s="168"/>
      <c r="FE299" s="168"/>
      <c r="FF299" s="168"/>
      <c r="FG299" s="168"/>
      <c r="FH299" s="168"/>
      <c r="FI299" s="168"/>
      <c r="FJ299" s="168"/>
      <c r="FK299" s="168"/>
      <c r="FL299" s="168"/>
      <c r="FM299" s="168"/>
      <c r="FN299" s="168"/>
      <c r="FO299" s="168"/>
      <c r="FP299" s="168"/>
      <c r="FQ299" s="168"/>
      <c r="FR299" s="168"/>
      <c r="FS299" s="168"/>
      <c r="FT299" s="168"/>
      <c r="FU299" s="168"/>
      <c r="FV299" s="168"/>
      <c r="FW299" s="168"/>
      <c r="FX299" s="168"/>
      <c r="FY299" s="168"/>
      <c r="FZ299" s="168"/>
      <c r="GA299" s="168"/>
      <c r="GB299" s="168"/>
      <c r="GC299" s="168"/>
      <c r="GD299" s="168"/>
      <c r="GE299" s="168"/>
      <c r="GF299" s="168"/>
      <c r="GG299" s="168"/>
      <c r="GH299" s="168"/>
      <c r="GI299" s="168"/>
      <c r="GJ299" s="168"/>
      <c r="GK299" s="168"/>
      <c r="GL299" s="168"/>
      <c r="GM299" s="168"/>
      <c r="GN299" s="168"/>
      <c r="GO299" s="168"/>
      <c r="GP299" s="168"/>
      <c r="GQ299" s="168"/>
      <c r="GR299" s="168"/>
      <c r="GS299" s="168"/>
      <c r="GT299" s="168"/>
      <c r="GU299" s="168"/>
      <c r="GV299" s="168"/>
      <c r="GW299" s="168"/>
      <c r="GX299" s="168"/>
      <c r="GY299" s="168"/>
      <c r="GZ299" s="168"/>
      <c r="HA299" s="168"/>
      <c r="HB299" s="168"/>
      <c r="HC299" s="168"/>
      <c r="HD299" s="168"/>
      <c r="HE299" s="168"/>
      <c r="HF299" s="168"/>
      <c r="HG299" s="168"/>
      <c r="HH299" s="168"/>
      <c r="HI299" s="168"/>
      <c r="HJ299" s="168"/>
      <c r="HK299" s="168"/>
      <c r="HL299" s="168"/>
      <c r="HM299" s="168"/>
      <c r="HN299" s="168"/>
      <c r="HO299" s="168"/>
      <c r="HP299" s="168"/>
      <c r="HQ299" s="168"/>
      <c r="HR299" s="168"/>
      <c r="HS299" s="168"/>
      <c r="HT299" s="168"/>
      <c r="HU299" s="168"/>
      <c r="HV299" s="168"/>
      <c r="HW299" s="168"/>
      <c r="HX299" s="168"/>
      <c r="HY299" s="168"/>
      <c r="HZ299" s="168"/>
      <c r="IA299" s="168"/>
      <c r="IB299" s="168"/>
      <c r="IC299" s="168"/>
      <c r="ID299" s="168"/>
      <c r="IE299" s="168"/>
      <c r="IF299" s="168"/>
      <c r="IG299" s="168"/>
      <c r="IH299" s="168"/>
      <c r="II299" s="168"/>
      <c r="IJ299" s="168"/>
      <c r="IK299" s="168"/>
      <c r="IL299" s="168"/>
      <c r="IM299" s="168"/>
      <c r="IN299" s="168"/>
      <c r="IO299" s="168"/>
      <c r="IP299" s="168"/>
      <c r="IQ299" s="168"/>
      <c r="IR299" s="168"/>
      <c r="IS299" s="168"/>
      <c r="IT299" s="168"/>
      <c r="IU299" s="168"/>
      <c r="IV299" s="168"/>
      <c r="IW299" s="168"/>
      <c r="IX299" s="168"/>
      <c r="IY299" s="168"/>
      <c r="IZ299" s="168"/>
      <c r="JA299" s="168"/>
      <c r="JB299" s="168"/>
      <c r="JC299" s="606"/>
      <c r="JD299" s="609"/>
      <c r="JE299" s="1"/>
      <c r="JF299" s="1"/>
    </row>
    <row r="300" spans="1:266" s="2" customFormat="1" ht="15" customHeight="1" x14ac:dyDescent="0.25">
      <c r="A300" s="283"/>
      <c r="B300" s="303"/>
      <c r="C300" s="301"/>
      <c r="D300" s="638"/>
      <c r="E300" s="2298"/>
      <c r="F300" s="1812"/>
      <c r="G300" s="3342"/>
      <c r="H300" s="66"/>
      <c r="I300" s="1746"/>
      <c r="J300" s="86"/>
      <c r="K300" s="105"/>
      <c r="L300" s="91"/>
      <c r="M300" s="92"/>
      <c r="N300" s="93"/>
      <c r="O300" s="94"/>
      <c r="P300" s="94"/>
      <c r="Q300" s="97"/>
      <c r="R300" s="993">
        <f t="shared" si="823"/>
        <v>0</v>
      </c>
      <c r="S300" s="23">
        <f t="shared" si="783"/>
        <v>0</v>
      </c>
      <c r="T300" s="24">
        <f t="shared" si="834"/>
        <v>0</v>
      </c>
      <c r="U300" s="24">
        <f t="shared" si="835"/>
        <v>0</v>
      </c>
      <c r="V300" s="24">
        <f t="shared" si="785"/>
        <v>0</v>
      </c>
      <c r="W300" s="24">
        <f t="shared" si="819"/>
        <v>0</v>
      </c>
      <c r="X300" s="72">
        <f t="shared" si="786"/>
        <v>0</v>
      </c>
      <c r="Y300" s="72">
        <f t="shared" si="836"/>
        <v>0</v>
      </c>
      <c r="Z300" s="24">
        <f t="shared" si="824"/>
        <v>0</v>
      </c>
      <c r="AA300" s="72">
        <f t="shared" si="787"/>
        <v>0</v>
      </c>
      <c r="AB300" s="24">
        <f t="shared" si="820"/>
        <v>0</v>
      </c>
      <c r="AC300" s="24" t="s">
        <v>5</v>
      </c>
      <c r="AD300" s="25">
        <f t="shared" si="814"/>
        <v>3</v>
      </c>
      <c r="AE300" s="25">
        <f t="shared" si="815"/>
        <v>0</v>
      </c>
      <c r="AF300" s="25">
        <f t="shared" si="816"/>
        <v>0</v>
      </c>
      <c r="AG300" s="25">
        <f t="shared" si="784"/>
        <v>1</v>
      </c>
      <c r="AH300" s="25" t="str">
        <f>IFERROR(MATCH(DY300,'2 Staff List'!$IA$64:$IA$114,0),"x")</f>
        <v>x</v>
      </c>
      <c r="AI300" s="1181">
        <f>IFERROR(INDEX('2 Staff List'!$EX$64:$EX$114,$AH300),0)</f>
        <v>0</v>
      </c>
      <c r="AJ300" s="25">
        <f>IFERROR(INDEX('2 Staff List'!$IW$64:$IW$114,$AH300),0)</f>
        <v>0</v>
      </c>
      <c r="AK300" s="25">
        <f>IFERROR(INDEX('2 Staff List'!$IB$64:$IB$114,$AH300),0)</f>
        <v>0</v>
      </c>
      <c r="AL300" s="25">
        <f>IF(OR(NOT(ISBLANK(DV300)),CX300=1),"&lt;Non-Labor&gt;",IFERROR(IF(AH300=0,0,INDEX('2 Staff List'!$HZ$64:$HZ$114,$AH300)),0))</f>
        <v>0</v>
      </c>
      <c r="AM300" s="25">
        <f>IFERROR(INDEX('2 Staff List'!$HW$64:$HW$114,$AH300),0)</f>
        <v>0</v>
      </c>
      <c r="AN300" s="25">
        <f t="shared" si="825"/>
        <v>1</v>
      </c>
      <c r="AO300" s="25">
        <f>IF($AO$127=0,0,IFERROR(INDEX('2 Staff List'!$JH$64:$JH$114,$AH300),0))</f>
        <v>0</v>
      </c>
      <c r="AP300" s="25">
        <f>IFERROR(INDEX('2 Staff List'!$HU$64:$HU$114,$AH300),0)</f>
        <v>0</v>
      </c>
      <c r="AQ300" s="25">
        <f t="shared" si="821"/>
        <v>0</v>
      </c>
      <c r="AR300" s="25">
        <f t="shared" si="826"/>
        <v>0</v>
      </c>
      <c r="AS300" s="25">
        <f t="shared" si="788"/>
        <v>0</v>
      </c>
      <c r="AT300" s="25">
        <f t="shared" si="789"/>
        <v>0</v>
      </c>
      <c r="AU300" s="25">
        <f t="shared" si="790"/>
        <v>0</v>
      </c>
      <c r="AV300" s="25">
        <f t="shared" si="791"/>
        <v>0</v>
      </c>
      <c r="AW300" s="25">
        <f t="shared" si="792"/>
        <v>0</v>
      </c>
      <c r="AX300" s="25">
        <f t="shared" si="793"/>
        <v>0</v>
      </c>
      <c r="AY300" s="25">
        <f t="shared" si="794"/>
        <v>0</v>
      </c>
      <c r="AZ300" s="25">
        <f t="shared" si="795"/>
        <v>0</v>
      </c>
      <c r="BA300" s="25">
        <f t="shared" si="796"/>
        <v>0</v>
      </c>
      <c r="BB300" s="25">
        <f t="shared" si="797"/>
        <v>0</v>
      </c>
      <c r="BC300" s="25">
        <f>IFERROR(INDEX('2 Staff List'!KS$64:KS$114,$AH300),0)</f>
        <v>0</v>
      </c>
      <c r="BD300" s="25">
        <f>IFERROR(INDEX('2 Staff List'!KT$64:KT$114,$AH300),0)</f>
        <v>0</v>
      </c>
      <c r="BE300" s="25">
        <f>IFERROR(INDEX('2 Staff List'!KU$64:KU$114,$AH300),0)</f>
        <v>0</v>
      </c>
      <c r="BF300" s="25">
        <f>IFERROR(INDEX('2 Staff List'!KV$64:KV$114,$AH300),0)</f>
        <v>0</v>
      </c>
      <c r="BG300" s="25">
        <f>IFERROR(INDEX('2 Staff List'!KW$64:KW$114,$AH300),0)</f>
        <v>0</v>
      </c>
      <c r="BH300" s="25">
        <f>IFERROR(INDEX('2 Staff List'!KX$64:KX$114,$AH300),0)</f>
        <v>0</v>
      </c>
      <c r="BI300" s="25">
        <f>IFERROR(INDEX('2 Staff List'!KY$64:KY$114,$AH300),0)</f>
        <v>0</v>
      </c>
      <c r="BJ300" s="25">
        <f>IFERROR(INDEX('2 Staff List'!KZ$64:KZ$114,$AH300),0)</f>
        <v>0</v>
      </c>
      <c r="BK300" s="25">
        <f>IFERROR(INDEX('2 Staff List'!LA$64:LA$114,$AH300),0)</f>
        <v>0</v>
      </c>
      <c r="BL300" s="25">
        <f>IFERROR(INDEX('2 Staff List'!LB$64:LB$114,$AH300),0)</f>
        <v>0</v>
      </c>
      <c r="BM300" s="25">
        <f>IFERROR(INDEX('2 Staff List'!FT$64:FT$114,$AH300),0)</f>
        <v>0</v>
      </c>
      <c r="BN300" s="25">
        <f>IFERROR(INDEX('2 Staff List'!FU$64:FU$114,$AH300),0)</f>
        <v>0</v>
      </c>
      <c r="BO300" s="25">
        <f>IFERROR(INDEX('2 Staff List'!FV$64:FV$114,$AH300),0)</f>
        <v>0</v>
      </c>
      <c r="BP300" s="25">
        <f>IFERROR(INDEX('2 Staff List'!FW$64:FW$114,$AH300),0)</f>
        <v>0</v>
      </c>
      <c r="BQ300" s="25">
        <f>IFERROR(INDEX('2 Staff List'!FX$64:FX$114,$AH300),0)</f>
        <v>0</v>
      </c>
      <c r="BR300" s="25">
        <f>IFERROR(INDEX('2 Staff List'!FY$64:FY$114,$AH300),0)</f>
        <v>0</v>
      </c>
      <c r="BS300" s="25">
        <f>IFERROR(INDEX('2 Staff List'!FZ$64:FZ$114,$AH300),0)</f>
        <v>0</v>
      </c>
      <c r="BT300" s="25">
        <f>IFERROR(INDEX('2 Staff List'!GA$64:GA$114,$AH300),0)</f>
        <v>0</v>
      </c>
      <c r="BU300" s="25">
        <f>IFERROR(INDEX('2 Staff List'!GB$64:GB$114,$AH300),0)</f>
        <v>0</v>
      </c>
      <c r="BV300" s="25">
        <f>IFERROR(INDEX('2 Staff List'!GC$64:GC$114,$AH300),0)</f>
        <v>0</v>
      </c>
      <c r="BW300" s="25">
        <f t="shared" si="827"/>
        <v>0</v>
      </c>
      <c r="BX300" s="25">
        <f t="shared" si="798"/>
        <v>0</v>
      </c>
      <c r="BY300" s="25">
        <f t="shared" si="799"/>
        <v>0</v>
      </c>
      <c r="BZ300" s="25">
        <f t="shared" si="800"/>
        <v>0</v>
      </c>
      <c r="CA300" s="25">
        <f t="shared" si="801"/>
        <v>0</v>
      </c>
      <c r="CB300" s="25">
        <f t="shared" si="802"/>
        <v>0</v>
      </c>
      <c r="CC300" s="25">
        <f t="shared" si="803"/>
        <v>0</v>
      </c>
      <c r="CD300" s="25">
        <f t="shared" si="804"/>
        <v>0</v>
      </c>
      <c r="CE300" s="25">
        <f t="shared" si="805"/>
        <v>0</v>
      </c>
      <c r="CF300" s="25">
        <f t="shared" si="806"/>
        <v>0</v>
      </c>
      <c r="CG300" s="25">
        <f t="shared" si="807"/>
        <v>0</v>
      </c>
      <c r="CH300" s="25">
        <f>IFERROR(INDEX('2 Staff List'!LO$64:LO$114,$AH300),0)</f>
        <v>0</v>
      </c>
      <c r="CI300" s="25">
        <f>IFERROR(INDEX('2 Staff List'!LP$64:LP$114,$AH300),0)</f>
        <v>0</v>
      </c>
      <c r="CJ300" s="25">
        <f>IFERROR(INDEX('2 Staff List'!LQ$64:LQ$114,$AH300),0)</f>
        <v>0</v>
      </c>
      <c r="CK300" s="25">
        <f>IFERROR(INDEX('2 Staff List'!LR$64:LR$114,$AH300),0)</f>
        <v>0</v>
      </c>
      <c r="CL300" s="25">
        <f>IFERROR(INDEX('2 Staff List'!LS$64:LS$114,$AH300),0)</f>
        <v>0</v>
      </c>
      <c r="CM300" s="25">
        <f>IFERROR(INDEX('2 Staff List'!LT$64:LT$114,$AH300),0)</f>
        <v>0</v>
      </c>
      <c r="CN300" s="25">
        <f>IFERROR(INDEX('2 Staff List'!LU$64:LU$114,$AH300),0)</f>
        <v>0</v>
      </c>
      <c r="CO300" s="25">
        <f>IFERROR(INDEX('2 Staff List'!LV$64:LV$114,$AH300),0)</f>
        <v>0</v>
      </c>
      <c r="CP300" s="25">
        <f>IFERROR(INDEX('2 Staff List'!LW$64:LW$114,$AH300),0)</f>
        <v>0</v>
      </c>
      <c r="CQ300" s="25">
        <f>IFERROR(INDEX('2 Staff List'!LX$64:LX$114,$AH300),0)</f>
        <v>0</v>
      </c>
      <c r="CR300" s="25">
        <f t="shared" si="828"/>
        <v>0</v>
      </c>
      <c r="CS300" s="25">
        <f t="shared" si="840"/>
        <v>1</v>
      </c>
      <c r="CT300" s="25">
        <f t="shared" si="837"/>
        <v>1</v>
      </c>
      <c r="CU300" s="25">
        <f t="shared" si="822"/>
        <v>1</v>
      </c>
      <c r="CV300" s="25">
        <f t="shared" si="808"/>
        <v>1</v>
      </c>
      <c r="CW300" s="25">
        <f t="shared" si="829"/>
        <v>1</v>
      </c>
      <c r="CX300" s="25">
        <f t="shared" si="809"/>
        <v>0</v>
      </c>
      <c r="CY300" s="25">
        <f t="shared" si="779"/>
        <v>0</v>
      </c>
      <c r="CZ300" s="25">
        <f t="shared" si="830"/>
        <v>0</v>
      </c>
      <c r="DA300" s="25">
        <f t="shared" si="810"/>
        <v>1</v>
      </c>
      <c r="DB300" s="25">
        <f t="shared" si="817"/>
        <v>1</v>
      </c>
      <c r="DC300" s="25">
        <f t="shared" si="838"/>
        <v>0</v>
      </c>
      <c r="DD300" s="25">
        <f>IF(OR($AD300&lt;&gt;3,F300="Exclude"),0,IF(ISERROR(MATCH($E300,'4 Sign-off'!$S$123:$X$123,0)),0,1))</f>
        <v>0</v>
      </c>
      <c r="DE300" s="25">
        <f t="shared" si="845"/>
        <v>0</v>
      </c>
      <c r="DF300" s="25">
        <f t="shared" si="831"/>
        <v>0</v>
      </c>
      <c r="DG300" s="25" t="str">
        <f t="shared" si="832"/>
        <v/>
      </c>
      <c r="DH300" s="25">
        <f t="shared" si="780"/>
        <v>0</v>
      </c>
      <c r="DI300" s="25">
        <f t="shared" si="778"/>
        <v>0</v>
      </c>
      <c r="DJ300" s="25">
        <f>IF(ISBLANK(J300),0,ISERROR(MATCH(J300,'5  Control Accounts'!$FA$29:$FA$96,0))*1)</f>
        <v>0</v>
      </c>
      <c r="DK300" s="25">
        <f t="shared" si="811"/>
        <v>0</v>
      </c>
      <c r="DL300" s="25">
        <f t="shared" si="818"/>
        <v>-1</v>
      </c>
      <c r="DM300" s="25" t="e">
        <f t="array" ref="DM300">MATCH(1,($EG300:$JD300&gt;0)*$EG$17:$JD$17,0)</f>
        <v>#N/A</v>
      </c>
      <c r="DN300" s="25" t="e">
        <f t="shared" si="841"/>
        <v>#N/A</v>
      </c>
      <c r="DO300" s="25" t="e">
        <f t="array" ref="DO300">MATCH(2,1/(EG300:JD300&gt;0))</f>
        <v>#N/A</v>
      </c>
      <c r="DP300" s="2993">
        <f t="shared" si="812"/>
        <v>0</v>
      </c>
      <c r="DQ300" s="3037">
        <f t="shared" si="813"/>
        <v>0</v>
      </c>
      <c r="DR300" s="111"/>
      <c r="DS300" s="1268">
        <f t="shared" si="846"/>
        <v>0</v>
      </c>
      <c r="DT300" s="1825"/>
      <c r="DU300" s="1826"/>
      <c r="DV300" s="1827"/>
      <c r="DW300" s="1828"/>
      <c r="DX300" s="659"/>
      <c r="DY300" s="1265"/>
      <c r="DZ300" s="1785">
        <f t="shared" si="833"/>
        <v>0</v>
      </c>
      <c r="EA300" s="1786">
        <f t="shared" si="839"/>
        <v>0</v>
      </c>
      <c r="EB300" s="1781">
        <f t="shared" si="842"/>
        <v>0</v>
      </c>
      <c r="EC300" s="1782">
        <f t="shared" si="843"/>
        <v>0</v>
      </c>
      <c r="ED300" s="1262"/>
      <c r="EE300" s="2280"/>
      <c r="EF300" s="1802">
        <f t="shared" si="844"/>
        <v>0</v>
      </c>
      <c r="EG300" s="167"/>
      <c r="EH300" s="168"/>
      <c r="EI300" s="168"/>
      <c r="EJ300" s="168"/>
      <c r="EK300" s="168"/>
      <c r="EL300" s="168"/>
      <c r="EM300" s="168"/>
      <c r="EN300" s="168"/>
      <c r="EO300" s="168"/>
      <c r="EP300" s="168"/>
      <c r="EQ300" s="168"/>
      <c r="ER300" s="168"/>
      <c r="ES300" s="168"/>
      <c r="ET300" s="168"/>
      <c r="EU300" s="168"/>
      <c r="EV300" s="168"/>
      <c r="EW300" s="168"/>
      <c r="EX300" s="168"/>
      <c r="EY300" s="168"/>
      <c r="EZ300" s="168"/>
      <c r="FA300" s="168"/>
      <c r="FB300" s="168"/>
      <c r="FC300" s="168"/>
      <c r="FD300" s="168"/>
      <c r="FE300" s="168"/>
      <c r="FF300" s="168"/>
      <c r="FG300" s="168"/>
      <c r="FH300" s="168"/>
      <c r="FI300" s="168"/>
      <c r="FJ300" s="168"/>
      <c r="FK300" s="168"/>
      <c r="FL300" s="168"/>
      <c r="FM300" s="168"/>
      <c r="FN300" s="168"/>
      <c r="FO300" s="168"/>
      <c r="FP300" s="168"/>
      <c r="FQ300" s="168"/>
      <c r="FR300" s="168"/>
      <c r="FS300" s="168"/>
      <c r="FT300" s="168"/>
      <c r="FU300" s="168"/>
      <c r="FV300" s="168"/>
      <c r="FW300" s="168"/>
      <c r="FX300" s="168"/>
      <c r="FY300" s="168"/>
      <c r="FZ300" s="168"/>
      <c r="GA300" s="168"/>
      <c r="GB300" s="168"/>
      <c r="GC300" s="168"/>
      <c r="GD300" s="168"/>
      <c r="GE300" s="168"/>
      <c r="GF300" s="168"/>
      <c r="GG300" s="168"/>
      <c r="GH300" s="168"/>
      <c r="GI300" s="168"/>
      <c r="GJ300" s="168"/>
      <c r="GK300" s="168"/>
      <c r="GL300" s="168"/>
      <c r="GM300" s="168"/>
      <c r="GN300" s="168"/>
      <c r="GO300" s="168"/>
      <c r="GP300" s="168"/>
      <c r="GQ300" s="168"/>
      <c r="GR300" s="168"/>
      <c r="GS300" s="168"/>
      <c r="GT300" s="168"/>
      <c r="GU300" s="168"/>
      <c r="GV300" s="168"/>
      <c r="GW300" s="168"/>
      <c r="GX300" s="168"/>
      <c r="GY300" s="168"/>
      <c r="GZ300" s="168"/>
      <c r="HA300" s="168"/>
      <c r="HB300" s="168"/>
      <c r="HC300" s="168"/>
      <c r="HD300" s="168"/>
      <c r="HE300" s="168"/>
      <c r="HF300" s="168"/>
      <c r="HG300" s="168"/>
      <c r="HH300" s="168"/>
      <c r="HI300" s="168"/>
      <c r="HJ300" s="168"/>
      <c r="HK300" s="168"/>
      <c r="HL300" s="168"/>
      <c r="HM300" s="168"/>
      <c r="HN300" s="168"/>
      <c r="HO300" s="168"/>
      <c r="HP300" s="168"/>
      <c r="HQ300" s="168"/>
      <c r="HR300" s="168"/>
      <c r="HS300" s="168"/>
      <c r="HT300" s="168"/>
      <c r="HU300" s="168"/>
      <c r="HV300" s="168"/>
      <c r="HW300" s="168"/>
      <c r="HX300" s="168"/>
      <c r="HY300" s="168"/>
      <c r="HZ300" s="168"/>
      <c r="IA300" s="168"/>
      <c r="IB300" s="168"/>
      <c r="IC300" s="168"/>
      <c r="ID300" s="168"/>
      <c r="IE300" s="168"/>
      <c r="IF300" s="168"/>
      <c r="IG300" s="168"/>
      <c r="IH300" s="168"/>
      <c r="II300" s="168"/>
      <c r="IJ300" s="168"/>
      <c r="IK300" s="168"/>
      <c r="IL300" s="168"/>
      <c r="IM300" s="168"/>
      <c r="IN300" s="168"/>
      <c r="IO300" s="168"/>
      <c r="IP300" s="168"/>
      <c r="IQ300" s="168"/>
      <c r="IR300" s="168"/>
      <c r="IS300" s="168"/>
      <c r="IT300" s="168"/>
      <c r="IU300" s="168"/>
      <c r="IV300" s="168"/>
      <c r="IW300" s="168"/>
      <c r="IX300" s="168"/>
      <c r="IY300" s="168"/>
      <c r="IZ300" s="168"/>
      <c r="JA300" s="168"/>
      <c r="JB300" s="168"/>
      <c r="JC300" s="606"/>
      <c r="JD300" s="609"/>
      <c r="JE300" s="1"/>
      <c r="JF300" s="1"/>
    </row>
    <row r="301" spans="1:266" s="2" customFormat="1" ht="15" customHeight="1" x14ac:dyDescent="0.25">
      <c r="A301" s="283"/>
      <c r="B301" s="303"/>
      <c r="C301" s="301"/>
      <c r="D301" s="638"/>
      <c r="E301" s="2298"/>
      <c r="F301" s="1812"/>
      <c r="G301" s="3342"/>
      <c r="H301" s="66"/>
      <c r="I301" s="1746"/>
      <c r="J301" s="86"/>
      <c r="K301" s="105"/>
      <c r="L301" s="91"/>
      <c r="M301" s="92"/>
      <c r="N301" s="93"/>
      <c r="O301" s="94"/>
      <c r="P301" s="94"/>
      <c r="Q301" s="97"/>
      <c r="R301" s="993">
        <f t="shared" si="823"/>
        <v>0</v>
      </c>
      <c r="S301" s="23">
        <f t="shared" si="783"/>
        <v>0</v>
      </c>
      <c r="T301" s="24">
        <f t="shared" si="834"/>
        <v>0</v>
      </c>
      <c r="U301" s="24">
        <f t="shared" si="835"/>
        <v>0</v>
      </c>
      <c r="V301" s="24">
        <f t="shared" si="785"/>
        <v>0</v>
      </c>
      <c r="W301" s="24">
        <f t="shared" si="819"/>
        <v>0</v>
      </c>
      <c r="X301" s="72">
        <f t="shared" si="786"/>
        <v>0</v>
      </c>
      <c r="Y301" s="72">
        <f t="shared" si="836"/>
        <v>0</v>
      </c>
      <c r="Z301" s="24">
        <f t="shared" si="824"/>
        <v>0</v>
      </c>
      <c r="AA301" s="72">
        <f t="shared" si="787"/>
        <v>0</v>
      </c>
      <c r="AB301" s="24">
        <f t="shared" si="820"/>
        <v>0</v>
      </c>
      <c r="AC301" s="24" t="s">
        <v>5</v>
      </c>
      <c r="AD301" s="25">
        <f t="shared" si="814"/>
        <v>3</v>
      </c>
      <c r="AE301" s="25">
        <f t="shared" si="815"/>
        <v>0</v>
      </c>
      <c r="AF301" s="25">
        <f t="shared" si="816"/>
        <v>0</v>
      </c>
      <c r="AG301" s="25">
        <f t="shared" si="784"/>
        <v>1</v>
      </c>
      <c r="AH301" s="25" t="str">
        <f>IFERROR(MATCH(DY301,'2 Staff List'!$IA$64:$IA$114,0),"x")</f>
        <v>x</v>
      </c>
      <c r="AI301" s="1181">
        <f>IFERROR(INDEX('2 Staff List'!$EX$64:$EX$114,$AH301),0)</f>
        <v>0</v>
      </c>
      <c r="AJ301" s="25">
        <f>IFERROR(INDEX('2 Staff List'!$IW$64:$IW$114,$AH301),0)</f>
        <v>0</v>
      </c>
      <c r="AK301" s="25">
        <f>IFERROR(INDEX('2 Staff List'!$IB$64:$IB$114,$AH301),0)</f>
        <v>0</v>
      </c>
      <c r="AL301" s="25">
        <f>IF(OR(NOT(ISBLANK(DV301)),CX301=1),"&lt;Non-Labor&gt;",IFERROR(IF(AH301=0,0,INDEX('2 Staff List'!$HZ$64:$HZ$114,$AH301)),0))</f>
        <v>0</v>
      </c>
      <c r="AM301" s="25">
        <f>IFERROR(INDEX('2 Staff List'!$HW$64:$HW$114,$AH301),0)</f>
        <v>0</v>
      </c>
      <c r="AN301" s="25">
        <f t="shared" si="825"/>
        <v>1</v>
      </c>
      <c r="AO301" s="25">
        <f>IF($AO$127=0,0,IFERROR(INDEX('2 Staff List'!$JH$64:$JH$114,$AH301),0))</f>
        <v>0</v>
      </c>
      <c r="AP301" s="25">
        <f>IFERROR(INDEX('2 Staff List'!$HU$64:$HU$114,$AH301),0)</f>
        <v>0</v>
      </c>
      <c r="AQ301" s="25">
        <f t="shared" si="821"/>
        <v>0</v>
      </c>
      <c r="AR301" s="25">
        <f t="shared" si="826"/>
        <v>0</v>
      </c>
      <c r="AS301" s="25">
        <f t="shared" si="788"/>
        <v>0</v>
      </c>
      <c r="AT301" s="25">
        <f t="shared" si="789"/>
        <v>0</v>
      </c>
      <c r="AU301" s="25">
        <f t="shared" si="790"/>
        <v>0</v>
      </c>
      <c r="AV301" s="25">
        <f t="shared" si="791"/>
        <v>0</v>
      </c>
      <c r="AW301" s="25">
        <f t="shared" si="792"/>
        <v>0</v>
      </c>
      <c r="AX301" s="25">
        <f t="shared" si="793"/>
        <v>0</v>
      </c>
      <c r="AY301" s="25">
        <f t="shared" si="794"/>
        <v>0</v>
      </c>
      <c r="AZ301" s="25">
        <f t="shared" si="795"/>
        <v>0</v>
      </c>
      <c r="BA301" s="25">
        <f t="shared" si="796"/>
        <v>0</v>
      </c>
      <c r="BB301" s="25">
        <f t="shared" si="797"/>
        <v>0</v>
      </c>
      <c r="BC301" s="25">
        <f>IFERROR(INDEX('2 Staff List'!KS$64:KS$114,$AH301),0)</f>
        <v>0</v>
      </c>
      <c r="BD301" s="25">
        <f>IFERROR(INDEX('2 Staff List'!KT$64:KT$114,$AH301),0)</f>
        <v>0</v>
      </c>
      <c r="BE301" s="25">
        <f>IFERROR(INDEX('2 Staff List'!KU$64:KU$114,$AH301),0)</f>
        <v>0</v>
      </c>
      <c r="BF301" s="25">
        <f>IFERROR(INDEX('2 Staff List'!KV$64:KV$114,$AH301),0)</f>
        <v>0</v>
      </c>
      <c r="BG301" s="25">
        <f>IFERROR(INDEX('2 Staff List'!KW$64:KW$114,$AH301),0)</f>
        <v>0</v>
      </c>
      <c r="BH301" s="25">
        <f>IFERROR(INDEX('2 Staff List'!KX$64:KX$114,$AH301),0)</f>
        <v>0</v>
      </c>
      <c r="BI301" s="25">
        <f>IFERROR(INDEX('2 Staff List'!KY$64:KY$114,$AH301),0)</f>
        <v>0</v>
      </c>
      <c r="BJ301" s="25">
        <f>IFERROR(INDEX('2 Staff List'!KZ$64:KZ$114,$AH301),0)</f>
        <v>0</v>
      </c>
      <c r="BK301" s="25">
        <f>IFERROR(INDEX('2 Staff List'!LA$64:LA$114,$AH301),0)</f>
        <v>0</v>
      </c>
      <c r="BL301" s="25">
        <f>IFERROR(INDEX('2 Staff List'!LB$64:LB$114,$AH301),0)</f>
        <v>0</v>
      </c>
      <c r="BM301" s="25">
        <f>IFERROR(INDEX('2 Staff List'!FT$64:FT$114,$AH301),0)</f>
        <v>0</v>
      </c>
      <c r="BN301" s="25">
        <f>IFERROR(INDEX('2 Staff List'!FU$64:FU$114,$AH301),0)</f>
        <v>0</v>
      </c>
      <c r="BO301" s="25">
        <f>IFERROR(INDEX('2 Staff List'!FV$64:FV$114,$AH301),0)</f>
        <v>0</v>
      </c>
      <c r="BP301" s="25">
        <f>IFERROR(INDEX('2 Staff List'!FW$64:FW$114,$AH301),0)</f>
        <v>0</v>
      </c>
      <c r="BQ301" s="25">
        <f>IFERROR(INDEX('2 Staff List'!FX$64:FX$114,$AH301),0)</f>
        <v>0</v>
      </c>
      <c r="BR301" s="25">
        <f>IFERROR(INDEX('2 Staff List'!FY$64:FY$114,$AH301),0)</f>
        <v>0</v>
      </c>
      <c r="BS301" s="25">
        <f>IFERROR(INDEX('2 Staff List'!FZ$64:FZ$114,$AH301),0)</f>
        <v>0</v>
      </c>
      <c r="BT301" s="25">
        <f>IFERROR(INDEX('2 Staff List'!GA$64:GA$114,$AH301),0)</f>
        <v>0</v>
      </c>
      <c r="BU301" s="25">
        <f>IFERROR(INDEX('2 Staff List'!GB$64:GB$114,$AH301),0)</f>
        <v>0</v>
      </c>
      <c r="BV301" s="25">
        <f>IFERROR(INDEX('2 Staff List'!GC$64:GC$114,$AH301),0)</f>
        <v>0</v>
      </c>
      <c r="BW301" s="25">
        <f t="shared" si="827"/>
        <v>0</v>
      </c>
      <c r="BX301" s="25">
        <f t="shared" si="798"/>
        <v>0</v>
      </c>
      <c r="BY301" s="25">
        <f t="shared" si="799"/>
        <v>0</v>
      </c>
      <c r="BZ301" s="25">
        <f t="shared" si="800"/>
        <v>0</v>
      </c>
      <c r="CA301" s="25">
        <f t="shared" si="801"/>
        <v>0</v>
      </c>
      <c r="CB301" s="25">
        <f t="shared" si="802"/>
        <v>0</v>
      </c>
      <c r="CC301" s="25">
        <f t="shared" si="803"/>
        <v>0</v>
      </c>
      <c r="CD301" s="25">
        <f t="shared" si="804"/>
        <v>0</v>
      </c>
      <c r="CE301" s="25">
        <f t="shared" si="805"/>
        <v>0</v>
      </c>
      <c r="CF301" s="25">
        <f t="shared" si="806"/>
        <v>0</v>
      </c>
      <c r="CG301" s="25">
        <f t="shared" si="807"/>
        <v>0</v>
      </c>
      <c r="CH301" s="25">
        <f>IFERROR(INDEX('2 Staff List'!LO$64:LO$114,$AH301),0)</f>
        <v>0</v>
      </c>
      <c r="CI301" s="25">
        <f>IFERROR(INDEX('2 Staff List'!LP$64:LP$114,$AH301),0)</f>
        <v>0</v>
      </c>
      <c r="CJ301" s="25">
        <f>IFERROR(INDEX('2 Staff List'!LQ$64:LQ$114,$AH301),0)</f>
        <v>0</v>
      </c>
      <c r="CK301" s="25">
        <f>IFERROR(INDEX('2 Staff List'!LR$64:LR$114,$AH301),0)</f>
        <v>0</v>
      </c>
      <c r="CL301" s="25">
        <f>IFERROR(INDEX('2 Staff List'!LS$64:LS$114,$AH301),0)</f>
        <v>0</v>
      </c>
      <c r="CM301" s="25">
        <f>IFERROR(INDEX('2 Staff List'!LT$64:LT$114,$AH301),0)</f>
        <v>0</v>
      </c>
      <c r="CN301" s="25">
        <f>IFERROR(INDEX('2 Staff List'!LU$64:LU$114,$AH301),0)</f>
        <v>0</v>
      </c>
      <c r="CO301" s="25">
        <f>IFERROR(INDEX('2 Staff List'!LV$64:LV$114,$AH301),0)</f>
        <v>0</v>
      </c>
      <c r="CP301" s="25">
        <f>IFERROR(INDEX('2 Staff List'!LW$64:LW$114,$AH301),0)</f>
        <v>0</v>
      </c>
      <c r="CQ301" s="25">
        <f>IFERROR(INDEX('2 Staff List'!LX$64:LX$114,$AH301),0)</f>
        <v>0</v>
      </c>
      <c r="CR301" s="25">
        <f t="shared" si="828"/>
        <v>0</v>
      </c>
      <c r="CS301" s="25">
        <f t="shared" si="840"/>
        <v>1</v>
      </c>
      <c r="CT301" s="25">
        <f t="shared" si="837"/>
        <v>1</v>
      </c>
      <c r="CU301" s="25">
        <f t="shared" si="822"/>
        <v>1</v>
      </c>
      <c r="CV301" s="25">
        <f t="shared" si="808"/>
        <v>1</v>
      </c>
      <c r="CW301" s="25">
        <f t="shared" si="829"/>
        <v>1</v>
      </c>
      <c r="CX301" s="25">
        <f t="shared" si="809"/>
        <v>0</v>
      </c>
      <c r="CY301" s="25">
        <f t="shared" si="779"/>
        <v>0</v>
      </c>
      <c r="CZ301" s="25">
        <f t="shared" si="830"/>
        <v>0</v>
      </c>
      <c r="DA301" s="25">
        <f t="shared" si="810"/>
        <v>1</v>
      </c>
      <c r="DB301" s="25">
        <f t="shared" si="817"/>
        <v>1</v>
      </c>
      <c r="DC301" s="25">
        <f t="shared" si="838"/>
        <v>0</v>
      </c>
      <c r="DD301" s="25">
        <f>IF(OR($AD301&lt;&gt;3,F301="Exclude"),0,IF(ISERROR(MATCH($E301,'4 Sign-off'!$S$123:$X$123,0)),0,1))</f>
        <v>0</v>
      </c>
      <c r="DE301" s="25">
        <f t="shared" si="845"/>
        <v>0</v>
      </c>
      <c r="DF301" s="25">
        <f t="shared" si="831"/>
        <v>0</v>
      </c>
      <c r="DG301" s="25" t="str">
        <f t="shared" si="832"/>
        <v/>
      </c>
      <c r="DH301" s="25">
        <f t="shared" si="780"/>
        <v>0</v>
      </c>
      <c r="DI301" s="25">
        <f t="shared" si="778"/>
        <v>0</v>
      </c>
      <c r="DJ301" s="25">
        <f>IF(ISBLANK(J301),0,ISERROR(MATCH(J301,'5  Control Accounts'!$FA$29:$FA$96,0))*1)</f>
        <v>0</v>
      </c>
      <c r="DK301" s="25">
        <f t="shared" si="811"/>
        <v>0</v>
      </c>
      <c r="DL301" s="25">
        <f t="shared" si="818"/>
        <v>-1</v>
      </c>
      <c r="DM301" s="25" t="e">
        <f t="array" ref="DM301">MATCH(1,($EG301:$JD301&gt;0)*$EG$17:$JD$17,0)</f>
        <v>#N/A</v>
      </c>
      <c r="DN301" s="25" t="e">
        <f t="shared" si="841"/>
        <v>#N/A</v>
      </c>
      <c r="DO301" s="25" t="e">
        <f t="array" ref="DO301">MATCH(2,1/(EG301:JD301&gt;0))</f>
        <v>#N/A</v>
      </c>
      <c r="DP301" s="2993">
        <f t="shared" si="812"/>
        <v>0</v>
      </c>
      <c r="DQ301" s="3037">
        <f t="shared" si="813"/>
        <v>0</v>
      </c>
      <c r="DR301" s="111"/>
      <c r="DS301" s="1268">
        <f t="shared" si="846"/>
        <v>0</v>
      </c>
      <c r="DT301" s="1825"/>
      <c r="DU301" s="1826"/>
      <c r="DV301" s="1827"/>
      <c r="DW301" s="1828"/>
      <c r="DX301" s="659"/>
      <c r="DY301" s="1265"/>
      <c r="DZ301" s="1785">
        <f t="shared" si="833"/>
        <v>0</v>
      </c>
      <c r="EA301" s="1786">
        <f t="shared" si="839"/>
        <v>0</v>
      </c>
      <c r="EB301" s="1781">
        <f t="shared" si="842"/>
        <v>0</v>
      </c>
      <c r="EC301" s="1782">
        <f t="shared" si="843"/>
        <v>0</v>
      </c>
      <c r="ED301" s="1262"/>
      <c r="EE301" s="2280"/>
      <c r="EF301" s="1802">
        <f t="shared" si="844"/>
        <v>0</v>
      </c>
      <c r="EG301" s="167"/>
      <c r="EH301" s="168"/>
      <c r="EI301" s="168"/>
      <c r="EJ301" s="168"/>
      <c r="EK301" s="168"/>
      <c r="EL301" s="168"/>
      <c r="EM301" s="168"/>
      <c r="EN301" s="168"/>
      <c r="EO301" s="168"/>
      <c r="EP301" s="168"/>
      <c r="EQ301" s="168"/>
      <c r="ER301" s="168"/>
      <c r="ES301" s="168"/>
      <c r="ET301" s="168"/>
      <c r="EU301" s="168"/>
      <c r="EV301" s="168"/>
      <c r="EW301" s="168"/>
      <c r="EX301" s="168"/>
      <c r="EY301" s="168"/>
      <c r="EZ301" s="168"/>
      <c r="FA301" s="168"/>
      <c r="FB301" s="168"/>
      <c r="FC301" s="168"/>
      <c r="FD301" s="168"/>
      <c r="FE301" s="168"/>
      <c r="FF301" s="168"/>
      <c r="FG301" s="168"/>
      <c r="FH301" s="168"/>
      <c r="FI301" s="168"/>
      <c r="FJ301" s="168"/>
      <c r="FK301" s="168"/>
      <c r="FL301" s="168"/>
      <c r="FM301" s="168"/>
      <c r="FN301" s="168"/>
      <c r="FO301" s="168"/>
      <c r="FP301" s="168"/>
      <c r="FQ301" s="168"/>
      <c r="FR301" s="168"/>
      <c r="FS301" s="168"/>
      <c r="FT301" s="168"/>
      <c r="FU301" s="168"/>
      <c r="FV301" s="168"/>
      <c r="FW301" s="168"/>
      <c r="FX301" s="168"/>
      <c r="FY301" s="168"/>
      <c r="FZ301" s="168"/>
      <c r="GA301" s="168"/>
      <c r="GB301" s="168"/>
      <c r="GC301" s="168"/>
      <c r="GD301" s="168"/>
      <c r="GE301" s="168"/>
      <c r="GF301" s="168"/>
      <c r="GG301" s="168"/>
      <c r="GH301" s="168"/>
      <c r="GI301" s="168"/>
      <c r="GJ301" s="168"/>
      <c r="GK301" s="168"/>
      <c r="GL301" s="168"/>
      <c r="GM301" s="168"/>
      <c r="GN301" s="168"/>
      <c r="GO301" s="168"/>
      <c r="GP301" s="168"/>
      <c r="GQ301" s="168"/>
      <c r="GR301" s="168"/>
      <c r="GS301" s="168"/>
      <c r="GT301" s="168"/>
      <c r="GU301" s="168"/>
      <c r="GV301" s="168"/>
      <c r="GW301" s="168"/>
      <c r="GX301" s="168"/>
      <c r="GY301" s="168"/>
      <c r="GZ301" s="168"/>
      <c r="HA301" s="168"/>
      <c r="HB301" s="168"/>
      <c r="HC301" s="168"/>
      <c r="HD301" s="168"/>
      <c r="HE301" s="168"/>
      <c r="HF301" s="168"/>
      <c r="HG301" s="168"/>
      <c r="HH301" s="168"/>
      <c r="HI301" s="168"/>
      <c r="HJ301" s="168"/>
      <c r="HK301" s="168"/>
      <c r="HL301" s="168"/>
      <c r="HM301" s="168"/>
      <c r="HN301" s="168"/>
      <c r="HO301" s="168"/>
      <c r="HP301" s="168"/>
      <c r="HQ301" s="168"/>
      <c r="HR301" s="168"/>
      <c r="HS301" s="168"/>
      <c r="HT301" s="168"/>
      <c r="HU301" s="168"/>
      <c r="HV301" s="168"/>
      <c r="HW301" s="168"/>
      <c r="HX301" s="168"/>
      <c r="HY301" s="168"/>
      <c r="HZ301" s="168"/>
      <c r="IA301" s="168"/>
      <c r="IB301" s="168"/>
      <c r="IC301" s="168"/>
      <c r="ID301" s="168"/>
      <c r="IE301" s="168"/>
      <c r="IF301" s="168"/>
      <c r="IG301" s="168"/>
      <c r="IH301" s="168"/>
      <c r="II301" s="168"/>
      <c r="IJ301" s="168"/>
      <c r="IK301" s="168"/>
      <c r="IL301" s="168"/>
      <c r="IM301" s="168"/>
      <c r="IN301" s="168"/>
      <c r="IO301" s="168"/>
      <c r="IP301" s="168"/>
      <c r="IQ301" s="168"/>
      <c r="IR301" s="168"/>
      <c r="IS301" s="168"/>
      <c r="IT301" s="168"/>
      <c r="IU301" s="168"/>
      <c r="IV301" s="168"/>
      <c r="IW301" s="168"/>
      <c r="IX301" s="168"/>
      <c r="IY301" s="168"/>
      <c r="IZ301" s="168"/>
      <c r="JA301" s="168"/>
      <c r="JB301" s="168"/>
      <c r="JC301" s="606"/>
      <c r="JD301" s="609"/>
      <c r="JE301" s="1"/>
      <c r="JF301" s="1"/>
    </row>
    <row r="302" spans="1:266" s="2" customFormat="1" ht="15" customHeight="1" x14ac:dyDescent="0.25">
      <c r="A302" s="283"/>
      <c r="B302" s="303"/>
      <c r="C302" s="301"/>
      <c r="D302" s="638"/>
      <c r="E302" s="2298"/>
      <c r="F302" s="1812"/>
      <c r="G302" s="3342"/>
      <c r="H302" s="66"/>
      <c r="I302" s="1746"/>
      <c r="J302" s="86"/>
      <c r="K302" s="105"/>
      <c r="L302" s="91"/>
      <c r="M302" s="92"/>
      <c r="N302" s="93"/>
      <c r="O302" s="94"/>
      <c r="P302" s="94"/>
      <c r="Q302" s="97"/>
      <c r="R302" s="993">
        <f t="shared" si="823"/>
        <v>0</v>
      </c>
      <c r="S302" s="23">
        <f t="shared" si="783"/>
        <v>0</v>
      </c>
      <c r="T302" s="24">
        <f t="shared" si="834"/>
        <v>0</v>
      </c>
      <c r="U302" s="24">
        <f t="shared" si="835"/>
        <v>0</v>
      </c>
      <c r="V302" s="24">
        <f t="shared" si="785"/>
        <v>0</v>
      </c>
      <c r="W302" s="24">
        <f t="shared" si="819"/>
        <v>0</v>
      </c>
      <c r="X302" s="72">
        <f t="shared" si="786"/>
        <v>0</v>
      </c>
      <c r="Y302" s="72">
        <f t="shared" si="836"/>
        <v>0</v>
      </c>
      <c r="Z302" s="24">
        <f t="shared" si="824"/>
        <v>0</v>
      </c>
      <c r="AA302" s="72">
        <f t="shared" si="787"/>
        <v>0</v>
      </c>
      <c r="AB302" s="24">
        <f t="shared" si="820"/>
        <v>0</v>
      </c>
      <c r="AC302" s="24" t="s">
        <v>5</v>
      </c>
      <c r="AD302" s="25">
        <f t="shared" si="814"/>
        <v>3</v>
      </c>
      <c r="AE302" s="25">
        <f t="shared" si="815"/>
        <v>0</v>
      </c>
      <c r="AF302" s="25">
        <f t="shared" si="816"/>
        <v>0</v>
      </c>
      <c r="AG302" s="25">
        <f t="shared" si="784"/>
        <v>1</v>
      </c>
      <c r="AH302" s="25" t="str">
        <f>IFERROR(MATCH(DY302,'2 Staff List'!$IA$64:$IA$114,0),"x")</f>
        <v>x</v>
      </c>
      <c r="AI302" s="1181">
        <f>IFERROR(INDEX('2 Staff List'!$EX$64:$EX$114,$AH302),0)</f>
        <v>0</v>
      </c>
      <c r="AJ302" s="25">
        <f>IFERROR(INDEX('2 Staff List'!$IW$64:$IW$114,$AH302),0)</f>
        <v>0</v>
      </c>
      <c r="AK302" s="25">
        <f>IFERROR(INDEX('2 Staff List'!$IB$64:$IB$114,$AH302),0)</f>
        <v>0</v>
      </c>
      <c r="AL302" s="25">
        <f>IF(OR(NOT(ISBLANK(DV302)),CX302=1),"&lt;Non-Labor&gt;",IFERROR(IF(AH302=0,0,INDEX('2 Staff List'!$HZ$64:$HZ$114,$AH302)),0))</f>
        <v>0</v>
      </c>
      <c r="AM302" s="25">
        <f>IFERROR(INDEX('2 Staff List'!$HW$64:$HW$114,$AH302),0)</f>
        <v>0</v>
      </c>
      <c r="AN302" s="25">
        <f t="shared" si="825"/>
        <v>1</v>
      </c>
      <c r="AO302" s="25">
        <f>IF($AO$127=0,0,IFERROR(INDEX('2 Staff List'!$JH$64:$JH$114,$AH302),0))</f>
        <v>0</v>
      </c>
      <c r="AP302" s="25">
        <f>IFERROR(INDEX('2 Staff List'!$HU$64:$HU$114,$AH302),0)</f>
        <v>0</v>
      </c>
      <c r="AQ302" s="25">
        <f t="shared" si="821"/>
        <v>0</v>
      </c>
      <c r="AR302" s="25">
        <f t="shared" si="826"/>
        <v>0</v>
      </c>
      <c r="AS302" s="25">
        <f t="shared" si="788"/>
        <v>0</v>
      </c>
      <c r="AT302" s="25">
        <f t="shared" si="789"/>
        <v>0</v>
      </c>
      <c r="AU302" s="25">
        <f t="shared" si="790"/>
        <v>0</v>
      </c>
      <c r="AV302" s="25">
        <f t="shared" si="791"/>
        <v>0</v>
      </c>
      <c r="AW302" s="25">
        <f t="shared" si="792"/>
        <v>0</v>
      </c>
      <c r="AX302" s="25">
        <f t="shared" si="793"/>
        <v>0</v>
      </c>
      <c r="AY302" s="25">
        <f t="shared" si="794"/>
        <v>0</v>
      </c>
      <c r="AZ302" s="25">
        <f t="shared" si="795"/>
        <v>0</v>
      </c>
      <c r="BA302" s="25">
        <f t="shared" si="796"/>
        <v>0</v>
      </c>
      <c r="BB302" s="25">
        <f t="shared" si="797"/>
        <v>0</v>
      </c>
      <c r="BC302" s="25">
        <f>IFERROR(INDEX('2 Staff List'!KS$64:KS$114,$AH302),0)</f>
        <v>0</v>
      </c>
      <c r="BD302" s="25">
        <f>IFERROR(INDEX('2 Staff List'!KT$64:KT$114,$AH302),0)</f>
        <v>0</v>
      </c>
      <c r="BE302" s="25">
        <f>IFERROR(INDEX('2 Staff List'!KU$64:KU$114,$AH302),0)</f>
        <v>0</v>
      </c>
      <c r="BF302" s="25">
        <f>IFERROR(INDEX('2 Staff List'!KV$64:KV$114,$AH302),0)</f>
        <v>0</v>
      </c>
      <c r="BG302" s="25">
        <f>IFERROR(INDEX('2 Staff List'!KW$64:KW$114,$AH302),0)</f>
        <v>0</v>
      </c>
      <c r="BH302" s="25">
        <f>IFERROR(INDEX('2 Staff List'!KX$64:KX$114,$AH302),0)</f>
        <v>0</v>
      </c>
      <c r="BI302" s="25">
        <f>IFERROR(INDEX('2 Staff List'!KY$64:KY$114,$AH302),0)</f>
        <v>0</v>
      </c>
      <c r="BJ302" s="25">
        <f>IFERROR(INDEX('2 Staff List'!KZ$64:KZ$114,$AH302),0)</f>
        <v>0</v>
      </c>
      <c r="BK302" s="25">
        <f>IFERROR(INDEX('2 Staff List'!LA$64:LA$114,$AH302),0)</f>
        <v>0</v>
      </c>
      <c r="BL302" s="25">
        <f>IFERROR(INDEX('2 Staff List'!LB$64:LB$114,$AH302),0)</f>
        <v>0</v>
      </c>
      <c r="BM302" s="25">
        <f>IFERROR(INDEX('2 Staff List'!FT$64:FT$114,$AH302),0)</f>
        <v>0</v>
      </c>
      <c r="BN302" s="25">
        <f>IFERROR(INDEX('2 Staff List'!FU$64:FU$114,$AH302),0)</f>
        <v>0</v>
      </c>
      <c r="BO302" s="25">
        <f>IFERROR(INDEX('2 Staff List'!FV$64:FV$114,$AH302),0)</f>
        <v>0</v>
      </c>
      <c r="BP302" s="25">
        <f>IFERROR(INDEX('2 Staff List'!FW$64:FW$114,$AH302),0)</f>
        <v>0</v>
      </c>
      <c r="BQ302" s="25">
        <f>IFERROR(INDEX('2 Staff List'!FX$64:FX$114,$AH302),0)</f>
        <v>0</v>
      </c>
      <c r="BR302" s="25">
        <f>IFERROR(INDEX('2 Staff List'!FY$64:FY$114,$AH302),0)</f>
        <v>0</v>
      </c>
      <c r="BS302" s="25">
        <f>IFERROR(INDEX('2 Staff List'!FZ$64:FZ$114,$AH302),0)</f>
        <v>0</v>
      </c>
      <c r="BT302" s="25">
        <f>IFERROR(INDEX('2 Staff List'!GA$64:GA$114,$AH302),0)</f>
        <v>0</v>
      </c>
      <c r="BU302" s="25">
        <f>IFERROR(INDEX('2 Staff List'!GB$64:GB$114,$AH302),0)</f>
        <v>0</v>
      </c>
      <c r="BV302" s="25">
        <f>IFERROR(INDEX('2 Staff List'!GC$64:GC$114,$AH302),0)</f>
        <v>0</v>
      </c>
      <c r="BW302" s="25">
        <f t="shared" si="827"/>
        <v>0</v>
      </c>
      <c r="BX302" s="25">
        <f t="shared" si="798"/>
        <v>0</v>
      </c>
      <c r="BY302" s="25">
        <f t="shared" si="799"/>
        <v>0</v>
      </c>
      <c r="BZ302" s="25">
        <f t="shared" si="800"/>
        <v>0</v>
      </c>
      <c r="CA302" s="25">
        <f t="shared" si="801"/>
        <v>0</v>
      </c>
      <c r="CB302" s="25">
        <f t="shared" si="802"/>
        <v>0</v>
      </c>
      <c r="CC302" s="25">
        <f t="shared" si="803"/>
        <v>0</v>
      </c>
      <c r="CD302" s="25">
        <f t="shared" si="804"/>
        <v>0</v>
      </c>
      <c r="CE302" s="25">
        <f t="shared" si="805"/>
        <v>0</v>
      </c>
      <c r="CF302" s="25">
        <f t="shared" si="806"/>
        <v>0</v>
      </c>
      <c r="CG302" s="25">
        <f t="shared" si="807"/>
        <v>0</v>
      </c>
      <c r="CH302" s="25">
        <f>IFERROR(INDEX('2 Staff List'!LO$64:LO$114,$AH302),0)</f>
        <v>0</v>
      </c>
      <c r="CI302" s="25">
        <f>IFERROR(INDEX('2 Staff List'!LP$64:LP$114,$AH302),0)</f>
        <v>0</v>
      </c>
      <c r="CJ302" s="25">
        <f>IFERROR(INDEX('2 Staff List'!LQ$64:LQ$114,$AH302),0)</f>
        <v>0</v>
      </c>
      <c r="CK302" s="25">
        <f>IFERROR(INDEX('2 Staff List'!LR$64:LR$114,$AH302),0)</f>
        <v>0</v>
      </c>
      <c r="CL302" s="25">
        <f>IFERROR(INDEX('2 Staff List'!LS$64:LS$114,$AH302),0)</f>
        <v>0</v>
      </c>
      <c r="CM302" s="25">
        <f>IFERROR(INDEX('2 Staff List'!LT$64:LT$114,$AH302),0)</f>
        <v>0</v>
      </c>
      <c r="CN302" s="25">
        <f>IFERROR(INDEX('2 Staff List'!LU$64:LU$114,$AH302),0)</f>
        <v>0</v>
      </c>
      <c r="CO302" s="25">
        <f>IFERROR(INDEX('2 Staff List'!LV$64:LV$114,$AH302),0)</f>
        <v>0</v>
      </c>
      <c r="CP302" s="25">
        <f>IFERROR(INDEX('2 Staff List'!LW$64:LW$114,$AH302),0)</f>
        <v>0</v>
      </c>
      <c r="CQ302" s="25">
        <f>IFERROR(INDEX('2 Staff List'!LX$64:LX$114,$AH302),0)</f>
        <v>0</v>
      </c>
      <c r="CR302" s="25">
        <f t="shared" si="828"/>
        <v>0</v>
      </c>
      <c r="CS302" s="25">
        <f t="shared" si="840"/>
        <v>1</v>
      </c>
      <c r="CT302" s="25">
        <f t="shared" si="837"/>
        <v>1</v>
      </c>
      <c r="CU302" s="25">
        <f t="shared" si="822"/>
        <v>1</v>
      </c>
      <c r="CV302" s="25">
        <f t="shared" si="808"/>
        <v>1</v>
      </c>
      <c r="CW302" s="25">
        <f t="shared" si="829"/>
        <v>1</v>
      </c>
      <c r="CX302" s="25">
        <f t="shared" si="809"/>
        <v>0</v>
      </c>
      <c r="CY302" s="25">
        <f t="shared" si="779"/>
        <v>0</v>
      </c>
      <c r="CZ302" s="25">
        <f t="shared" si="830"/>
        <v>0</v>
      </c>
      <c r="DA302" s="25">
        <f t="shared" si="810"/>
        <v>1</v>
      </c>
      <c r="DB302" s="25">
        <f t="shared" si="817"/>
        <v>1</v>
      </c>
      <c r="DC302" s="25">
        <f t="shared" si="838"/>
        <v>0</v>
      </c>
      <c r="DD302" s="25">
        <f>IF(OR($AD302&lt;&gt;3,F302="Exclude"),0,IF(ISERROR(MATCH($E302,'4 Sign-off'!$S$123:$X$123,0)),0,1))</f>
        <v>0</v>
      </c>
      <c r="DE302" s="25">
        <f t="shared" si="845"/>
        <v>0</v>
      </c>
      <c r="DF302" s="25">
        <f t="shared" si="831"/>
        <v>0</v>
      </c>
      <c r="DG302" s="25" t="str">
        <f t="shared" si="832"/>
        <v/>
      </c>
      <c r="DH302" s="25">
        <f t="shared" si="780"/>
        <v>0</v>
      </c>
      <c r="DI302" s="25">
        <f t="shared" si="778"/>
        <v>0</v>
      </c>
      <c r="DJ302" s="25">
        <f>IF(ISBLANK(J302),0,ISERROR(MATCH(J302,'5  Control Accounts'!$FA$29:$FA$96,0))*1)</f>
        <v>0</v>
      </c>
      <c r="DK302" s="25">
        <f t="shared" si="811"/>
        <v>0</v>
      </c>
      <c r="DL302" s="25">
        <f t="shared" si="818"/>
        <v>-1</v>
      </c>
      <c r="DM302" s="25" t="e">
        <f t="array" ref="DM302">MATCH(1,($EG302:$JD302&gt;0)*$EG$17:$JD$17,0)</f>
        <v>#N/A</v>
      </c>
      <c r="DN302" s="25" t="e">
        <f t="shared" si="841"/>
        <v>#N/A</v>
      </c>
      <c r="DO302" s="25" t="e">
        <f t="array" ref="DO302">MATCH(2,1/(EG302:JD302&gt;0))</f>
        <v>#N/A</v>
      </c>
      <c r="DP302" s="2993">
        <f t="shared" si="812"/>
        <v>0</v>
      </c>
      <c r="DQ302" s="3037">
        <f t="shared" si="813"/>
        <v>0</v>
      </c>
      <c r="DR302" s="111"/>
      <c r="DS302" s="1268">
        <f t="shared" si="846"/>
        <v>0</v>
      </c>
      <c r="DT302" s="1825"/>
      <c r="DU302" s="1826"/>
      <c r="DV302" s="1827"/>
      <c r="DW302" s="1828"/>
      <c r="DX302" s="659"/>
      <c r="DY302" s="1265"/>
      <c r="DZ302" s="1785">
        <f t="shared" si="833"/>
        <v>0</v>
      </c>
      <c r="EA302" s="1786">
        <f t="shared" si="839"/>
        <v>0</v>
      </c>
      <c r="EB302" s="1781">
        <f t="shared" si="842"/>
        <v>0</v>
      </c>
      <c r="EC302" s="1782">
        <f t="shared" si="843"/>
        <v>0</v>
      </c>
      <c r="ED302" s="1262"/>
      <c r="EE302" s="2280"/>
      <c r="EF302" s="1802">
        <f t="shared" si="844"/>
        <v>0</v>
      </c>
      <c r="EG302" s="167"/>
      <c r="EH302" s="168"/>
      <c r="EI302" s="168"/>
      <c r="EJ302" s="168"/>
      <c r="EK302" s="168"/>
      <c r="EL302" s="168"/>
      <c r="EM302" s="168"/>
      <c r="EN302" s="168"/>
      <c r="EO302" s="168"/>
      <c r="EP302" s="168"/>
      <c r="EQ302" s="168"/>
      <c r="ER302" s="168"/>
      <c r="ES302" s="168"/>
      <c r="ET302" s="168"/>
      <c r="EU302" s="168"/>
      <c r="EV302" s="168"/>
      <c r="EW302" s="168"/>
      <c r="EX302" s="168"/>
      <c r="EY302" s="168"/>
      <c r="EZ302" s="168"/>
      <c r="FA302" s="168"/>
      <c r="FB302" s="168"/>
      <c r="FC302" s="168"/>
      <c r="FD302" s="168"/>
      <c r="FE302" s="168"/>
      <c r="FF302" s="168"/>
      <c r="FG302" s="168"/>
      <c r="FH302" s="168"/>
      <c r="FI302" s="168"/>
      <c r="FJ302" s="168"/>
      <c r="FK302" s="168"/>
      <c r="FL302" s="168"/>
      <c r="FM302" s="168"/>
      <c r="FN302" s="168"/>
      <c r="FO302" s="168"/>
      <c r="FP302" s="168"/>
      <c r="FQ302" s="168"/>
      <c r="FR302" s="168"/>
      <c r="FS302" s="168"/>
      <c r="FT302" s="168"/>
      <c r="FU302" s="168"/>
      <c r="FV302" s="168"/>
      <c r="FW302" s="168"/>
      <c r="FX302" s="168"/>
      <c r="FY302" s="168"/>
      <c r="FZ302" s="168"/>
      <c r="GA302" s="168"/>
      <c r="GB302" s="168"/>
      <c r="GC302" s="168"/>
      <c r="GD302" s="168"/>
      <c r="GE302" s="168"/>
      <c r="GF302" s="168"/>
      <c r="GG302" s="168"/>
      <c r="GH302" s="168"/>
      <c r="GI302" s="168"/>
      <c r="GJ302" s="168"/>
      <c r="GK302" s="168"/>
      <c r="GL302" s="168"/>
      <c r="GM302" s="168"/>
      <c r="GN302" s="168"/>
      <c r="GO302" s="168"/>
      <c r="GP302" s="168"/>
      <c r="GQ302" s="168"/>
      <c r="GR302" s="168"/>
      <c r="GS302" s="168"/>
      <c r="GT302" s="168"/>
      <c r="GU302" s="168"/>
      <c r="GV302" s="168"/>
      <c r="GW302" s="168"/>
      <c r="GX302" s="168"/>
      <c r="GY302" s="168"/>
      <c r="GZ302" s="168"/>
      <c r="HA302" s="168"/>
      <c r="HB302" s="168"/>
      <c r="HC302" s="168"/>
      <c r="HD302" s="168"/>
      <c r="HE302" s="168"/>
      <c r="HF302" s="168"/>
      <c r="HG302" s="168"/>
      <c r="HH302" s="168"/>
      <c r="HI302" s="168"/>
      <c r="HJ302" s="168"/>
      <c r="HK302" s="168"/>
      <c r="HL302" s="168"/>
      <c r="HM302" s="168"/>
      <c r="HN302" s="168"/>
      <c r="HO302" s="168"/>
      <c r="HP302" s="168"/>
      <c r="HQ302" s="168"/>
      <c r="HR302" s="168"/>
      <c r="HS302" s="168"/>
      <c r="HT302" s="168"/>
      <c r="HU302" s="168"/>
      <c r="HV302" s="168"/>
      <c r="HW302" s="168"/>
      <c r="HX302" s="168"/>
      <c r="HY302" s="168"/>
      <c r="HZ302" s="168"/>
      <c r="IA302" s="168"/>
      <c r="IB302" s="168"/>
      <c r="IC302" s="168"/>
      <c r="ID302" s="168"/>
      <c r="IE302" s="168"/>
      <c r="IF302" s="168"/>
      <c r="IG302" s="168"/>
      <c r="IH302" s="168"/>
      <c r="II302" s="168"/>
      <c r="IJ302" s="168"/>
      <c r="IK302" s="168"/>
      <c r="IL302" s="168"/>
      <c r="IM302" s="168"/>
      <c r="IN302" s="168"/>
      <c r="IO302" s="168"/>
      <c r="IP302" s="168"/>
      <c r="IQ302" s="168"/>
      <c r="IR302" s="168"/>
      <c r="IS302" s="168"/>
      <c r="IT302" s="168"/>
      <c r="IU302" s="168"/>
      <c r="IV302" s="168"/>
      <c r="IW302" s="168"/>
      <c r="IX302" s="168"/>
      <c r="IY302" s="168"/>
      <c r="IZ302" s="168"/>
      <c r="JA302" s="168"/>
      <c r="JB302" s="168"/>
      <c r="JC302" s="606"/>
      <c r="JD302" s="609"/>
      <c r="JE302" s="1"/>
      <c r="JF302" s="1"/>
    </row>
    <row r="303" spans="1:266" s="2" customFormat="1" ht="15" customHeight="1" x14ac:dyDescent="0.25">
      <c r="A303" s="283"/>
      <c r="B303" s="303"/>
      <c r="C303" s="301"/>
      <c r="D303" s="638"/>
      <c r="E303" s="2298"/>
      <c r="F303" s="1812"/>
      <c r="G303" s="3342"/>
      <c r="H303" s="66"/>
      <c r="I303" s="1746"/>
      <c r="J303" s="86"/>
      <c r="K303" s="105"/>
      <c r="L303" s="91"/>
      <c r="M303" s="92"/>
      <c r="N303" s="93"/>
      <c r="O303" s="94"/>
      <c r="P303" s="94"/>
      <c r="Q303" s="97"/>
      <c r="R303" s="993">
        <f t="shared" si="823"/>
        <v>0</v>
      </c>
      <c r="S303" s="23">
        <f t="shared" si="783"/>
        <v>0</v>
      </c>
      <c r="T303" s="24">
        <f t="shared" si="834"/>
        <v>0</v>
      </c>
      <c r="U303" s="24">
        <f t="shared" si="835"/>
        <v>0</v>
      </c>
      <c r="V303" s="24">
        <f t="shared" si="785"/>
        <v>0</v>
      </c>
      <c r="W303" s="24">
        <f t="shared" si="819"/>
        <v>0</v>
      </c>
      <c r="X303" s="72">
        <f t="shared" si="786"/>
        <v>0</v>
      </c>
      <c r="Y303" s="72">
        <f t="shared" si="836"/>
        <v>0</v>
      </c>
      <c r="Z303" s="24">
        <f t="shared" si="824"/>
        <v>0</v>
      </c>
      <c r="AA303" s="72">
        <f t="shared" si="787"/>
        <v>0</v>
      </c>
      <c r="AB303" s="24">
        <f t="shared" si="820"/>
        <v>0</v>
      </c>
      <c r="AC303" s="24" t="s">
        <v>5</v>
      </c>
      <c r="AD303" s="25">
        <f t="shared" si="814"/>
        <v>3</v>
      </c>
      <c r="AE303" s="25">
        <f t="shared" si="815"/>
        <v>0</v>
      </c>
      <c r="AF303" s="25">
        <f t="shared" si="816"/>
        <v>0</v>
      </c>
      <c r="AG303" s="25">
        <f t="shared" si="784"/>
        <v>1</v>
      </c>
      <c r="AH303" s="25" t="str">
        <f>IFERROR(MATCH(DY303,'2 Staff List'!$IA$64:$IA$114,0),"x")</f>
        <v>x</v>
      </c>
      <c r="AI303" s="1181">
        <f>IFERROR(INDEX('2 Staff List'!$EX$64:$EX$114,$AH303),0)</f>
        <v>0</v>
      </c>
      <c r="AJ303" s="25">
        <f>IFERROR(INDEX('2 Staff List'!$IW$64:$IW$114,$AH303),0)</f>
        <v>0</v>
      </c>
      <c r="AK303" s="25">
        <f>IFERROR(INDEX('2 Staff List'!$IB$64:$IB$114,$AH303),0)</f>
        <v>0</v>
      </c>
      <c r="AL303" s="25">
        <f>IF(OR(NOT(ISBLANK(DV303)),CX303=1),"&lt;Non-Labor&gt;",IFERROR(IF(AH303=0,0,INDEX('2 Staff List'!$HZ$64:$HZ$114,$AH303)),0))</f>
        <v>0</v>
      </c>
      <c r="AM303" s="25">
        <f>IFERROR(INDEX('2 Staff List'!$HW$64:$HW$114,$AH303),0)</f>
        <v>0</v>
      </c>
      <c r="AN303" s="25">
        <f t="shared" si="825"/>
        <v>1</v>
      </c>
      <c r="AO303" s="25">
        <f>IF($AO$127=0,0,IFERROR(INDEX('2 Staff List'!$JH$64:$JH$114,$AH303),0))</f>
        <v>0</v>
      </c>
      <c r="AP303" s="25">
        <f>IFERROR(INDEX('2 Staff List'!$HU$64:$HU$114,$AH303),0)</f>
        <v>0</v>
      </c>
      <c r="AQ303" s="25">
        <f t="shared" si="821"/>
        <v>0</v>
      </c>
      <c r="AR303" s="25">
        <f t="shared" si="826"/>
        <v>0</v>
      </c>
      <c r="AS303" s="25">
        <f t="shared" si="788"/>
        <v>0</v>
      </c>
      <c r="AT303" s="25">
        <f t="shared" si="789"/>
        <v>0</v>
      </c>
      <c r="AU303" s="25">
        <f t="shared" si="790"/>
        <v>0</v>
      </c>
      <c r="AV303" s="25">
        <f t="shared" si="791"/>
        <v>0</v>
      </c>
      <c r="AW303" s="25">
        <f t="shared" si="792"/>
        <v>0</v>
      </c>
      <c r="AX303" s="25">
        <f t="shared" si="793"/>
        <v>0</v>
      </c>
      <c r="AY303" s="25">
        <f t="shared" si="794"/>
        <v>0</v>
      </c>
      <c r="AZ303" s="25">
        <f t="shared" si="795"/>
        <v>0</v>
      </c>
      <c r="BA303" s="25">
        <f t="shared" si="796"/>
        <v>0</v>
      </c>
      <c r="BB303" s="25">
        <f t="shared" si="797"/>
        <v>0</v>
      </c>
      <c r="BC303" s="25">
        <f>IFERROR(INDEX('2 Staff List'!KS$64:KS$114,$AH303),0)</f>
        <v>0</v>
      </c>
      <c r="BD303" s="25">
        <f>IFERROR(INDEX('2 Staff List'!KT$64:KT$114,$AH303),0)</f>
        <v>0</v>
      </c>
      <c r="BE303" s="25">
        <f>IFERROR(INDEX('2 Staff List'!KU$64:KU$114,$AH303),0)</f>
        <v>0</v>
      </c>
      <c r="BF303" s="25">
        <f>IFERROR(INDEX('2 Staff List'!KV$64:KV$114,$AH303),0)</f>
        <v>0</v>
      </c>
      <c r="BG303" s="25">
        <f>IFERROR(INDEX('2 Staff List'!KW$64:KW$114,$AH303),0)</f>
        <v>0</v>
      </c>
      <c r="BH303" s="25">
        <f>IFERROR(INDEX('2 Staff List'!KX$64:KX$114,$AH303),0)</f>
        <v>0</v>
      </c>
      <c r="BI303" s="25">
        <f>IFERROR(INDEX('2 Staff List'!KY$64:KY$114,$AH303),0)</f>
        <v>0</v>
      </c>
      <c r="BJ303" s="25">
        <f>IFERROR(INDEX('2 Staff List'!KZ$64:KZ$114,$AH303),0)</f>
        <v>0</v>
      </c>
      <c r="BK303" s="25">
        <f>IFERROR(INDEX('2 Staff List'!LA$64:LA$114,$AH303),0)</f>
        <v>0</v>
      </c>
      <c r="BL303" s="25">
        <f>IFERROR(INDEX('2 Staff List'!LB$64:LB$114,$AH303),0)</f>
        <v>0</v>
      </c>
      <c r="BM303" s="25">
        <f>IFERROR(INDEX('2 Staff List'!FT$64:FT$114,$AH303),0)</f>
        <v>0</v>
      </c>
      <c r="BN303" s="25">
        <f>IFERROR(INDEX('2 Staff List'!FU$64:FU$114,$AH303),0)</f>
        <v>0</v>
      </c>
      <c r="BO303" s="25">
        <f>IFERROR(INDEX('2 Staff List'!FV$64:FV$114,$AH303),0)</f>
        <v>0</v>
      </c>
      <c r="BP303" s="25">
        <f>IFERROR(INDEX('2 Staff List'!FW$64:FW$114,$AH303),0)</f>
        <v>0</v>
      </c>
      <c r="BQ303" s="25">
        <f>IFERROR(INDEX('2 Staff List'!FX$64:FX$114,$AH303),0)</f>
        <v>0</v>
      </c>
      <c r="BR303" s="25">
        <f>IFERROR(INDEX('2 Staff List'!FY$64:FY$114,$AH303),0)</f>
        <v>0</v>
      </c>
      <c r="BS303" s="25">
        <f>IFERROR(INDEX('2 Staff List'!FZ$64:FZ$114,$AH303),0)</f>
        <v>0</v>
      </c>
      <c r="BT303" s="25">
        <f>IFERROR(INDEX('2 Staff List'!GA$64:GA$114,$AH303),0)</f>
        <v>0</v>
      </c>
      <c r="BU303" s="25">
        <f>IFERROR(INDEX('2 Staff List'!GB$64:GB$114,$AH303),0)</f>
        <v>0</v>
      </c>
      <c r="BV303" s="25">
        <f>IFERROR(INDEX('2 Staff List'!GC$64:GC$114,$AH303),0)</f>
        <v>0</v>
      </c>
      <c r="BW303" s="25">
        <f t="shared" si="827"/>
        <v>0</v>
      </c>
      <c r="BX303" s="25">
        <f t="shared" si="798"/>
        <v>0</v>
      </c>
      <c r="BY303" s="25">
        <f t="shared" si="799"/>
        <v>0</v>
      </c>
      <c r="BZ303" s="25">
        <f t="shared" si="800"/>
        <v>0</v>
      </c>
      <c r="CA303" s="25">
        <f t="shared" si="801"/>
        <v>0</v>
      </c>
      <c r="CB303" s="25">
        <f t="shared" si="802"/>
        <v>0</v>
      </c>
      <c r="CC303" s="25">
        <f t="shared" si="803"/>
        <v>0</v>
      </c>
      <c r="CD303" s="25">
        <f t="shared" si="804"/>
        <v>0</v>
      </c>
      <c r="CE303" s="25">
        <f t="shared" si="805"/>
        <v>0</v>
      </c>
      <c r="CF303" s="25">
        <f t="shared" si="806"/>
        <v>0</v>
      </c>
      <c r="CG303" s="25">
        <f t="shared" si="807"/>
        <v>0</v>
      </c>
      <c r="CH303" s="25">
        <f>IFERROR(INDEX('2 Staff List'!LO$64:LO$114,$AH303),0)</f>
        <v>0</v>
      </c>
      <c r="CI303" s="25">
        <f>IFERROR(INDEX('2 Staff List'!LP$64:LP$114,$AH303),0)</f>
        <v>0</v>
      </c>
      <c r="CJ303" s="25">
        <f>IFERROR(INDEX('2 Staff List'!LQ$64:LQ$114,$AH303),0)</f>
        <v>0</v>
      </c>
      <c r="CK303" s="25">
        <f>IFERROR(INDEX('2 Staff List'!LR$64:LR$114,$AH303),0)</f>
        <v>0</v>
      </c>
      <c r="CL303" s="25">
        <f>IFERROR(INDEX('2 Staff List'!LS$64:LS$114,$AH303),0)</f>
        <v>0</v>
      </c>
      <c r="CM303" s="25">
        <f>IFERROR(INDEX('2 Staff List'!LT$64:LT$114,$AH303),0)</f>
        <v>0</v>
      </c>
      <c r="CN303" s="25">
        <f>IFERROR(INDEX('2 Staff List'!LU$64:LU$114,$AH303),0)</f>
        <v>0</v>
      </c>
      <c r="CO303" s="25">
        <f>IFERROR(INDEX('2 Staff List'!LV$64:LV$114,$AH303),0)</f>
        <v>0</v>
      </c>
      <c r="CP303" s="25">
        <f>IFERROR(INDEX('2 Staff List'!LW$64:LW$114,$AH303),0)</f>
        <v>0</v>
      </c>
      <c r="CQ303" s="25">
        <f>IFERROR(INDEX('2 Staff List'!LX$64:LX$114,$AH303),0)</f>
        <v>0</v>
      </c>
      <c r="CR303" s="25">
        <f t="shared" si="828"/>
        <v>0</v>
      </c>
      <c r="CS303" s="25">
        <f t="shared" si="840"/>
        <v>1</v>
      </c>
      <c r="CT303" s="25">
        <f t="shared" si="837"/>
        <v>1</v>
      </c>
      <c r="CU303" s="25">
        <f t="shared" si="822"/>
        <v>1</v>
      </c>
      <c r="CV303" s="25">
        <f t="shared" si="808"/>
        <v>1</v>
      </c>
      <c r="CW303" s="25">
        <f t="shared" si="829"/>
        <v>1</v>
      </c>
      <c r="CX303" s="25">
        <f t="shared" si="809"/>
        <v>0</v>
      </c>
      <c r="CY303" s="25">
        <f t="shared" si="779"/>
        <v>0</v>
      </c>
      <c r="CZ303" s="25">
        <f t="shared" si="830"/>
        <v>0</v>
      </c>
      <c r="DA303" s="25">
        <f t="shared" si="810"/>
        <v>1</v>
      </c>
      <c r="DB303" s="25">
        <f t="shared" si="817"/>
        <v>1</v>
      </c>
      <c r="DC303" s="25">
        <f t="shared" si="838"/>
        <v>0</v>
      </c>
      <c r="DD303" s="25">
        <f>IF(OR($AD303&lt;&gt;3,F303="Exclude"),0,IF(ISERROR(MATCH($E303,'4 Sign-off'!$S$123:$X$123,0)),0,1))</f>
        <v>0</v>
      </c>
      <c r="DE303" s="25">
        <f t="shared" si="845"/>
        <v>0</v>
      </c>
      <c r="DF303" s="25">
        <f t="shared" si="831"/>
        <v>0</v>
      </c>
      <c r="DG303" s="25" t="str">
        <f t="shared" si="832"/>
        <v/>
      </c>
      <c r="DH303" s="25">
        <f t="shared" si="780"/>
        <v>0</v>
      </c>
      <c r="DI303" s="25">
        <f t="shared" si="778"/>
        <v>0</v>
      </c>
      <c r="DJ303" s="25">
        <f>IF(ISBLANK(J303),0,ISERROR(MATCH(J303,'5  Control Accounts'!$FA$29:$FA$96,0))*1)</f>
        <v>0</v>
      </c>
      <c r="DK303" s="25">
        <f t="shared" si="811"/>
        <v>0</v>
      </c>
      <c r="DL303" s="25">
        <f t="shared" si="818"/>
        <v>-1</v>
      </c>
      <c r="DM303" s="25" t="e">
        <f t="array" ref="DM303">MATCH(1,($EG303:$JD303&gt;0)*$EG$17:$JD$17,0)</f>
        <v>#N/A</v>
      </c>
      <c r="DN303" s="25" t="e">
        <f t="shared" si="841"/>
        <v>#N/A</v>
      </c>
      <c r="DO303" s="25" t="e">
        <f t="array" ref="DO303">MATCH(2,1/(EG303:JD303&gt;0))</f>
        <v>#N/A</v>
      </c>
      <c r="DP303" s="2993">
        <f t="shared" si="812"/>
        <v>0</v>
      </c>
      <c r="DQ303" s="3037">
        <f t="shared" si="813"/>
        <v>0</v>
      </c>
      <c r="DR303" s="111"/>
      <c r="DS303" s="1268">
        <f t="shared" si="846"/>
        <v>0</v>
      </c>
      <c r="DT303" s="1825"/>
      <c r="DU303" s="1826"/>
      <c r="DV303" s="1827"/>
      <c r="DW303" s="1828"/>
      <c r="DX303" s="659"/>
      <c r="DY303" s="1265"/>
      <c r="DZ303" s="1785">
        <f t="shared" si="833"/>
        <v>0</v>
      </c>
      <c r="EA303" s="1786">
        <f t="shared" si="839"/>
        <v>0</v>
      </c>
      <c r="EB303" s="1781">
        <f t="shared" si="842"/>
        <v>0</v>
      </c>
      <c r="EC303" s="1782">
        <f t="shared" si="843"/>
        <v>0</v>
      </c>
      <c r="ED303" s="1262"/>
      <c r="EE303" s="2280"/>
      <c r="EF303" s="1802">
        <f t="shared" si="844"/>
        <v>0</v>
      </c>
      <c r="EG303" s="167"/>
      <c r="EH303" s="168"/>
      <c r="EI303" s="168"/>
      <c r="EJ303" s="168"/>
      <c r="EK303" s="168"/>
      <c r="EL303" s="168"/>
      <c r="EM303" s="168"/>
      <c r="EN303" s="168"/>
      <c r="EO303" s="168"/>
      <c r="EP303" s="168"/>
      <c r="EQ303" s="168"/>
      <c r="ER303" s="168"/>
      <c r="ES303" s="168"/>
      <c r="ET303" s="168"/>
      <c r="EU303" s="168"/>
      <c r="EV303" s="168"/>
      <c r="EW303" s="168"/>
      <c r="EX303" s="168"/>
      <c r="EY303" s="168"/>
      <c r="EZ303" s="168"/>
      <c r="FA303" s="168"/>
      <c r="FB303" s="168"/>
      <c r="FC303" s="168"/>
      <c r="FD303" s="168"/>
      <c r="FE303" s="168"/>
      <c r="FF303" s="168"/>
      <c r="FG303" s="168"/>
      <c r="FH303" s="168"/>
      <c r="FI303" s="168"/>
      <c r="FJ303" s="168"/>
      <c r="FK303" s="168"/>
      <c r="FL303" s="168"/>
      <c r="FM303" s="168"/>
      <c r="FN303" s="168"/>
      <c r="FO303" s="168"/>
      <c r="FP303" s="168"/>
      <c r="FQ303" s="168"/>
      <c r="FR303" s="168"/>
      <c r="FS303" s="168"/>
      <c r="FT303" s="168"/>
      <c r="FU303" s="168"/>
      <c r="FV303" s="168"/>
      <c r="FW303" s="168"/>
      <c r="FX303" s="168"/>
      <c r="FY303" s="168"/>
      <c r="FZ303" s="168"/>
      <c r="GA303" s="168"/>
      <c r="GB303" s="168"/>
      <c r="GC303" s="168"/>
      <c r="GD303" s="168"/>
      <c r="GE303" s="168"/>
      <c r="GF303" s="168"/>
      <c r="GG303" s="168"/>
      <c r="GH303" s="168"/>
      <c r="GI303" s="168"/>
      <c r="GJ303" s="168"/>
      <c r="GK303" s="168"/>
      <c r="GL303" s="168"/>
      <c r="GM303" s="168"/>
      <c r="GN303" s="168"/>
      <c r="GO303" s="168"/>
      <c r="GP303" s="168"/>
      <c r="GQ303" s="168"/>
      <c r="GR303" s="168"/>
      <c r="GS303" s="168"/>
      <c r="GT303" s="168"/>
      <c r="GU303" s="168"/>
      <c r="GV303" s="168"/>
      <c r="GW303" s="168"/>
      <c r="GX303" s="168"/>
      <c r="GY303" s="168"/>
      <c r="GZ303" s="168"/>
      <c r="HA303" s="168"/>
      <c r="HB303" s="168"/>
      <c r="HC303" s="168"/>
      <c r="HD303" s="168"/>
      <c r="HE303" s="168"/>
      <c r="HF303" s="168"/>
      <c r="HG303" s="168"/>
      <c r="HH303" s="168"/>
      <c r="HI303" s="168"/>
      <c r="HJ303" s="168"/>
      <c r="HK303" s="168"/>
      <c r="HL303" s="168"/>
      <c r="HM303" s="168"/>
      <c r="HN303" s="168"/>
      <c r="HO303" s="168"/>
      <c r="HP303" s="168"/>
      <c r="HQ303" s="168"/>
      <c r="HR303" s="168"/>
      <c r="HS303" s="168"/>
      <c r="HT303" s="168"/>
      <c r="HU303" s="168"/>
      <c r="HV303" s="168"/>
      <c r="HW303" s="168"/>
      <c r="HX303" s="168"/>
      <c r="HY303" s="168"/>
      <c r="HZ303" s="168"/>
      <c r="IA303" s="168"/>
      <c r="IB303" s="168"/>
      <c r="IC303" s="168"/>
      <c r="ID303" s="168"/>
      <c r="IE303" s="168"/>
      <c r="IF303" s="168"/>
      <c r="IG303" s="168"/>
      <c r="IH303" s="168"/>
      <c r="II303" s="168"/>
      <c r="IJ303" s="168"/>
      <c r="IK303" s="168"/>
      <c r="IL303" s="168"/>
      <c r="IM303" s="168"/>
      <c r="IN303" s="168"/>
      <c r="IO303" s="168"/>
      <c r="IP303" s="168"/>
      <c r="IQ303" s="168"/>
      <c r="IR303" s="168"/>
      <c r="IS303" s="168"/>
      <c r="IT303" s="168"/>
      <c r="IU303" s="168"/>
      <c r="IV303" s="168"/>
      <c r="IW303" s="168"/>
      <c r="IX303" s="168"/>
      <c r="IY303" s="168"/>
      <c r="IZ303" s="168"/>
      <c r="JA303" s="168"/>
      <c r="JB303" s="168"/>
      <c r="JC303" s="606"/>
      <c r="JD303" s="609"/>
      <c r="JE303" s="1"/>
      <c r="JF303" s="1"/>
    </row>
    <row r="304" spans="1:266" s="2" customFormat="1" ht="15" customHeight="1" x14ac:dyDescent="0.25">
      <c r="A304" s="283"/>
      <c r="B304" s="886"/>
      <c r="C304" s="887"/>
      <c r="D304" s="638"/>
      <c r="E304" s="2299"/>
      <c r="F304" s="1813"/>
      <c r="G304" s="3343"/>
      <c r="H304" s="66"/>
      <c r="I304" s="1747"/>
      <c r="J304" s="86"/>
      <c r="K304" s="105"/>
      <c r="L304" s="888"/>
      <c r="M304" s="889"/>
      <c r="N304" s="890"/>
      <c r="O304" s="891"/>
      <c r="P304" s="1850"/>
      <c r="Q304" s="1852"/>
      <c r="R304" s="994">
        <f t="shared" si="823"/>
        <v>0</v>
      </c>
      <c r="S304" s="892">
        <f t="shared" si="783"/>
        <v>0</v>
      </c>
      <c r="T304" s="24">
        <f t="shared" si="834"/>
        <v>0</v>
      </c>
      <c r="U304" s="24">
        <f t="shared" si="835"/>
        <v>0</v>
      </c>
      <c r="V304" s="24">
        <f t="shared" si="785"/>
        <v>0</v>
      </c>
      <c r="W304" s="24">
        <f t="shared" si="819"/>
        <v>0</v>
      </c>
      <c r="X304" s="72">
        <f t="shared" si="786"/>
        <v>0</v>
      </c>
      <c r="Y304" s="72">
        <f t="shared" si="836"/>
        <v>0</v>
      </c>
      <c r="Z304" s="24">
        <f t="shared" si="824"/>
        <v>0</v>
      </c>
      <c r="AA304" s="72">
        <f t="shared" si="787"/>
        <v>0</v>
      </c>
      <c r="AB304" s="24">
        <f t="shared" si="820"/>
        <v>0</v>
      </c>
      <c r="AC304" s="24" t="s">
        <v>5</v>
      </c>
      <c r="AD304" s="25">
        <f t="shared" si="814"/>
        <v>3</v>
      </c>
      <c r="AE304" s="25">
        <f t="shared" si="815"/>
        <v>0</v>
      </c>
      <c r="AF304" s="25">
        <f t="shared" si="816"/>
        <v>0</v>
      </c>
      <c r="AG304" s="25">
        <f t="shared" si="784"/>
        <v>1</v>
      </c>
      <c r="AH304" s="25" t="str">
        <f>IFERROR(MATCH(DY304,'2 Staff List'!$IA$64:$IA$114,0),"x")</f>
        <v>x</v>
      </c>
      <c r="AI304" s="1181">
        <f>IFERROR(INDEX('2 Staff List'!$EX$64:$EX$114,$AH304),0)</f>
        <v>0</v>
      </c>
      <c r="AJ304" s="25">
        <f>IFERROR(INDEX('2 Staff List'!$IW$64:$IW$114,$AH304),0)</f>
        <v>0</v>
      </c>
      <c r="AK304" s="25">
        <f>IFERROR(INDEX('2 Staff List'!$IB$64:$IB$114,$AH304),0)</f>
        <v>0</v>
      </c>
      <c r="AL304" s="25">
        <f>IF(OR(NOT(ISBLANK(DV304)),CX304=1),"&lt;Non-Labor&gt;",IFERROR(IF(AH304=0,0,INDEX('2 Staff List'!$HZ$64:$HZ$114,$AH304)),0))</f>
        <v>0</v>
      </c>
      <c r="AM304" s="25">
        <f>IFERROR(INDEX('2 Staff List'!$HW$64:$HW$114,$AH304),0)</f>
        <v>0</v>
      </c>
      <c r="AN304" s="25">
        <f t="shared" si="825"/>
        <v>1</v>
      </c>
      <c r="AO304" s="25">
        <f>IF($AO$127=0,0,IFERROR(INDEX('2 Staff List'!$JH$64:$JH$114,$AH304),0))</f>
        <v>0</v>
      </c>
      <c r="AP304" s="25">
        <f>IFERROR(INDEX('2 Staff List'!$HU$64:$HU$114,$AH304),0)</f>
        <v>0</v>
      </c>
      <c r="AQ304" s="25">
        <f t="shared" si="821"/>
        <v>0</v>
      </c>
      <c r="AR304" s="25">
        <f t="shared" si="826"/>
        <v>0</v>
      </c>
      <c r="AS304" s="25">
        <f t="shared" si="788"/>
        <v>0</v>
      </c>
      <c r="AT304" s="25">
        <f t="shared" si="789"/>
        <v>0</v>
      </c>
      <c r="AU304" s="25">
        <f t="shared" si="790"/>
        <v>0</v>
      </c>
      <c r="AV304" s="25">
        <f t="shared" si="791"/>
        <v>0</v>
      </c>
      <c r="AW304" s="25">
        <f t="shared" si="792"/>
        <v>0</v>
      </c>
      <c r="AX304" s="25">
        <f t="shared" si="793"/>
        <v>0</v>
      </c>
      <c r="AY304" s="25">
        <f t="shared" si="794"/>
        <v>0</v>
      </c>
      <c r="AZ304" s="25">
        <f t="shared" si="795"/>
        <v>0</v>
      </c>
      <c r="BA304" s="25">
        <f t="shared" si="796"/>
        <v>0</v>
      </c>
      <c r="BB304" s="25">
        <f t="shared" si="797"/>
        <v>0</v>
      </c>
      <c r="BC304" s="25">
        <f>IFERROR(INDEX('2 Staff List'!KS$64:KS$114,$AH304),0)</f>
        <v>0</v>
      </c>
      <c r="BD304" s="25">
        <f>IFERROR(INDEX('2 Staff List'!KT$64:KT$114,$AH304),0)</f>
        <v>0</v>
      </c>
      <c r="BE304" s="25">
        <f>IFERROR(INDEX('2 Staff List'!KU$64:KU$114,$AH304),0)</f>
        <v>0</v>
      </c>
      <c r="BF304" s="25">
        <f>IFERROR(INDEX('2 Staff List'!KV$64:KV$114,$AH304),0)</f>
        <v>0</v>
      </c>
      <c r="BG304" s="25">
        <f>IFERROR(INDEX('2 Staff List'!KW$64:KW$114,$AH304),0)</f>
        <v>0</v>
      </c>
      <c r="BH304" s="25">
        <f>IFERROR(INDEX('2 Staff List'!KX$64:KX$114,$AH304),0)</f>
        <v>0</v>
      </c>
      <c r="BI304" s="25">
        <f>IFERROR(INDEX('2 Staff List'!KY$64:KY$114,$AH304),0)</f>
        <v>0</v>
      </c>
      <c r="BJ304" s="25">
        <f>IFERROR(INDEX('2 Staff List'!KZ$64:KZ$114,$AH304),0)</f>
        <v>0</v>
      </c>
      <c r="BK304" s="25">
        <f>IFERROR(INDEX('2 Staff List'!LA$64:LA$114,$AH304),0)</f>
        <v>0</v>
      </c>
      <c r="BL304" s="25">
        <f>IFERROR(INDEX('2 Staff List'!LB$64:LB$114,$AH304),0)</f>
        <v>0</v>
      </c>
      <c r="BM304" s="25">
        <f>IFERROR(INDEX('2 Staff List'!FT$64:FT$114,$AH304),0)</f>
        <v>0</v>
      </c>
      <c r="BN304" s="25">
        <f>IFERROR(INDEX('2 Staff List'!FU$64:FU$114,$AH304),0)</f>
        <v>0</v>
      </c>
      <c r="BO304" s="25">
        <f>IFERROR(INDEX('2 Staff List'!FV$64:FV$114,$AH304),0)</f>
        <v>0</v>
      </c>
      <c r="BP304" s="25">
        <f>IFERROR(INDEX('2 Staff List'!FW$64:FW$114,$AH304),0)</f>
        <v>0</v>
      </c>
      <c r="BQ304" s="25">
        <f>IFERROR(INDEX('2 Staff List'!FX$64:FX$114,$AH304),0)</f>
        <v>0</v>
      </c>
      <c r="BR304" s="25">
        <f>IFERROR(INDEX('2 Staff List'!FY$64:FY$114,$AH304),0)</f>
        <v>0</v>
      </c>
      <c r="BS304" s="25">
        <f>IFERROR(INDEX('2 Staff List'!FZ$64:FZ$114,$AH304),0)</f>
        <v>0</v>
      </c>
      <c r="BT304" s="25">
        <f>IFERROR(INDEX('2 Staff List'!GA$64:GA$114,$AH304),0)</f>
        <v>0</v>
      </c>
      <c r="BU304" s="25">
        <f>IFERROR(INDEX('2 Staff List'!GB$64:GB$114,$AH304),0)</f>
        <v>0</v>
      </c>
      <c r="BV304" s="25">
        <f>IFERROR(INDEX('2 Staff List'!GC$64:GC$114,$AH304),0)</f>
        <v>0</v>
      </c>
      <c r="BW304" s="25">
        <f t="shared" si="827"/>
        <v>0</v>
      </c>
      <c r="BX304" s="25">
        <f t="shared" si="798"/>
        <v>0</v>
      </c>
      <c r="BY304" s="25">
        <f t="shared" si="799"/>
        <v>0</v>
      </c>
      <c r="BZ304" s="25">
        <f t="shared" si="800"/>
        <v>0</v>
      </c>
      <c r="CA304" s="25">
        <f t="shared" si="801"/>
        <v>0</v>
      </c>
      <c r="CB304" s="25">
        <f t="shared" si="802"/>
        <v>0</v>
      </c>
      <c r="CC304" s="25">
        <f t="shared" si="803"/>
        <v>0</v>
      </c>
      <c r="CD304" s="25">
        <f t="shared" si="804"/>
        <v>0</v>
      </c>
      <c r="CE304" s="25">
        <f t="shared" si="805"/>
        <v>0</v>
      </c>
      <c r="CF304" s="25">
        <f t="shared" si="806"/>
        <v>0</v>
      </c>
      <c r="CG304" s="25">
        <f t="shared" si="807"/>
        <v>0</v>
      </c>
      <c r="CH304" s="25">
        <f>IFERROR(INDEX('2 Staff List'!LO$64:LO$114,$AH304),0)</f>
        <v>0</v>
      </c>
      <c r="CI304" s="25">
        <f>IFERROR(INDEX('2 Staff List'!LP$64:LP$114,$AH304),0)</f>
        <v>0</v>
      </c>
      <c r="CJ304" s="25">
        <f>IFERROR(INDEX('2 Staff List'!LQ$64:LQ$114,$AH304),0)</f>
        <v>0</v>
      </c>
      <c r="CK304" s="25">
        <f>IFERROR(INDEX('2 Staff List'!LR$64:LR$114,$AH304),0)</f>
        <v>0</v>
      </c>
      <c r="CL304" s="25">
        <f>IFERROR(INDEX('2 Staff List'!LS$64:LS$114,$AH304),0)</f>
        <v>0</v>
      </c>
      <c r="CM304" s="25">
        <f>IFERROR(INDEX('2 Staff List'!LT$64:LT$114,$AH304),0)</f>
        <v>0</v>
      </c>
      <c r="CN304" s="25">
        <f>IFERROR(INDEX('2 Staff List'!LU$64:LU$114,$AH304),0)</f>
        <v>0</v>
      </c>
      <c r="CO304" s="25">
        <f>IFERROR(INDEX('2 Staff List'!LV$64:LV$114,$AH304),0)</f>
        <v>0</v>
      </c>
      <c r="CP304" s="25">
        <f>IFERROR(INDEX('2 Staff List'!LW$64:LW$114,$AH304),0)</f>
        <v>0</v>
      </c>
      <c r="CQ304" s="25">
        <f>IFERROR(INDEX('2 Staff List'!LX$64:LX$114,$AH304),0)</f>
        <v>0</v>
      </c>
      <c r="CR304" s="25">
        <f t="shared" si="828"/>
        <v>0</v>
      </c>
      <c r="CS304" s="25">
        <f t="shared" si="840"/>
        <v>1</v>
      </c>
      <c r="CT304" s="25">
        <f t="shared" si="837"/>
        <v>1</v>
      </c>
      <c r="CU304" s="25">
        <f t="shared" si="822"/>
        <v>1</v>
      </c>
      <c r="CV304" s="25">
        <f t="shared" si="808"/>
        <v>1</v>
      </c>
      <c r="CW304" s="25">
        <f t="shared" si="829"/>
        <v>1</v>
      </c>
      <c r="CX304" s="25">
        <f t="shared" si="809"/>
        <v>0</v>
      </c>
      <c r="CY304" s="25">
        <f t="shared" si="779"/>
        <v>0</v>
      </c>
      <c r="CZ304" s="25">
        <f t="shared" si="830"/>
        <v>0</v>
      </c>
      <c r="DA304" s="25">
        <f t="shared" si="810"/>
        <v>1</v>
      </c>
      <c r="DB304" s="25">
        <f t="shared" si="817"/>
        <v>1</v>
      </c>
      <c r="DC304" s="25">
        <f t="shared" si="838"/>
        <v>0</v>
      </c>
      <c r="DD304" s="25">
        <f>IF(OR($AD304&lt;&gt;3,F304="Exclude"),0,IF(ISERROR(MATCH($E304,'4 Sign-off'!$S$123:$X$123,0)),0,1))</f>
        <v>0</v>
      </c>
      <c r="DE304" s="25">
        <f t="shared" si="845"/>
        <v>0</v>
      </c>
      <c r="DF304" s="25">
        <f t="shared" si="831"/>
        <v>0</v>
      </c>
      <c r="DG304" s="25" t="str">
        <f t="shared" si="832"/>
        <v/>
      </c>
      <c r="DH304" s="25">
        <f t="shared" si="780"/>
        <v>0</v>
      </c>
      <c r="DI304" s="25">
        <f t="shared" si="778"/>
        <v>0</v>
      </c>
      <c r="DJ304" s="25">
        <f>IF(ISBLANK(J304),0,ISERROR(MATCH(J304,'5  Control Accounts'!$FA$29:$FA$96,0))*1)</f>
        <v>0</v>
      </c>
      <c r="DK304" s="25">
        <f t="shared" si="811"/>
        <v>0</v>
      </c>
      <c r="DL304" s="25">
        <f t="shared" si="818"/>
        <v>-1</v>
      </c>
      <c r="DM304" s="25" t="e">
        <f t="array" ref="DM304">MATCH(1,($EG304:$JD304&gt;0)*$EG$17:$JD$17,0)</f>
        <v>#N/A</v>
      </c>
      <c r="DN304" s="25" t="e">
        <f t="shared" si="841"/>
        <v>#N/A</v>
      </c>
      <c r="DO304" s="25" t="e">
        <f t="array" ref="DO304">MATCH(2,1/(EG304:JD304&gt;0))</f>
        <v>#N/A</v>
      </c>
      <c r="DP304" s="2994">
        <f t="shared" si="812"/>
        <v>0</v>
      </c>
      <c r="DQ304" s="3038">
        <f t="shared" si="813"/>
        <v>0</v>
      </c>
      <c r="DR304" s="111"/>
      <c r="DS304" s="1270">
        <f t="shared" si="846"/>
        <v>0</v>
      </c>
      <c r="DT304" s="1829"/>
      <c r="DU304" s="1830"/>
      <c r="DV304" s="1831"/>
      <c r="DW304" s="1832"/>
      <c r="DX304" s="659"/>
      <c r="DY304" s="1264"/>
      <c r="DZ304" s="1787">
        <f t="shared" si="833"/>
        <v>0</v>
      </c>
      <c r="EA304" s="1788">
        <f t="shared" si="839"/>
        <v>0</v>
      </c>
      <c r="EB304" s="1779">
        <f t="shared" si="842"/>
        <v>0</v>
      </c>
      <c r="EC304" s="1780">
        <f t="shared" si="843"/>
        <v>0</v>
      </c>
      <c r="ED304" s="1260"/>
      <c r="EE304" s="2281"/>
      <c r="EF304" s="1802">
        <f t="shared" si="844"/>
        <v>0</v>
      </c>
      <c r="EG304" s="169"/>
      <c r="EH304" s="170"/>
      <c r="EI304" s="170"/>
      <c r="EJ304" s="170"/>
      <c r="EK304" s="170"/>
      <c r="EL304" s="170"/>
      <c r="EM304" s="170"/>
      <c r="EN304" s="170"/>
      <c r="EO304" s="170"/>
      <c r="EP304" s="170"/>
      <c r="EQ304" s="170"/>
      <c r="ER304" s="170"/>
      <c r="ES304" s="170"/>
      <c r="ET304" s="170"/>
      <c r="EU304" s="170"/>
      <c r="EV304" s="170"/>
      <c r="EW304" s="170"/>
      <c r="EX304" s="170"/>
      <c r="EY304" s="170"/>
      <c r="EZ304" s="170"/>
      <c r="FA304" s="170"/>
      <c r="FB304" s="170"/>
      <c r="FC304" s="170"/>
      <c r="FD304" s="170"/>
      <c r="FE304" s="170"/>
      <c r="FF304" s="170"/>
      <c r="FG304" s="170"/>
      <c r="FH304" s="170"/>
      <c r="FI304" s="170"/>
      <c r="FJ304" s="170"/>
      <c r="FK304" s="170"/>
      <c r="FL304" s="170"/>
      <c r="FM304" s="170"/>
      <c r="FN304" s="170"/>
      <c r="FO304" s="170"/>
      <c r="FP304" s="170"/>
      <c r="FQ304" s="170"/>
      <c r="FR304" s="170"/>
      <c r="FS304" s="170"/>
      <c r="FT304" s="170"/>
      <c r="FU304" s="170"/>
      <c r="FV304" s="170"/>
      <c r="FW304" s="170"/>
      <c r="FX304" s="170"/>
      <c r="FY304" s="170"/>
      <c r="FZ304" s="170"/>
      <c r="GA304" s="170"/>
      <c r="GB304" s="170"/>
      <c r="GC304" s="170"/>
      <c r="GD304" s="170"/>
      <c r="GE304" s="170"/>
      <c r="GF304" s="170"/>
      <c r="GG304" s="170"/>
      <c r="GH304" s="170"/>
      <c r="GI304" s="170"/>
      <c r="GJ304" s="170"/>
      <c r="GK304" s="170"/>
      <c r="GL304" s="170"/>
      <c r="GM304" s="170"/>
      <c r="GN304" s="170"/>
      <c r="GO304" s="170"/>
      <c r="GP304" s="170"/>
      <c r="GQ304" s="170"/>
      <c r="GR304" s="170"/>
      <c r="GS304" s="170"/>
      <c r="GT304" s="170"/>
      <c r="GU304" s="170"/>
      <c r="GV304" s="170"/>
      <c r="GW304" s="170"/>
      <c r="GX304" s="170"/>
      <c r="GY304" s="170"/>
      <c r="GZ304" s="170"/>
      <c r="HA304" s="170"/>
      <c r="HB304" s="170"/>
      <c r="HC304" s="170"/>
      <c r="HD304" s="170"/>
      <c r="HE304" s="170"/>
      <c r="HF304" s="170"/>
      <c r="HG304" s="170"/>
      <c r="HH304" s="170"/>
      <c r="HI304" s="170"/>
      <c r="HJ304" s="170"/>
      <c r="HK304" s="170"/>
      <c r="HL304" s="170"/>
      <c r="HM304" s="170"/>
      <c r="HN304" s="170"/>
      <c r="HO304" s="170"/>
      <c r="HP304" s="170"/>
      <c r="HQ304" s="170"/>
      <c r="HR304" s="170"/>
      <c r="HS304" s="170"/>
      <c r="HT304" s="170"/>
      <c r="HU304" s="170"/>
      <c r="HV304" s="170"/>
      <c r="HW304" s="170"/>
      <c r="HX304" s="170"/>
      <c r="HY304" s="170"/>
      <c r="HZ304" s="170"/>
      <c r="IA304" s="170"/>
      <c r="IB304" s="170"/>
      <c r="IC304" s="170"/>
      <c r="ID304" s="170"/>
      <c r="IE304" s="170"/>
      <c r="IF304" s="170"/>
      <c r="IG304" s="170"/>
      <c r="IH304" s="170"/>
      <c r="II304" s="170"/>
      <c r="IJ304" s="170"/>
      <c r="IK304" s="170"/>
      <c r="IL304" s="170"/>
      <c r="IM304" s="170"/>
      <c r="IN304" s="170"/>
      <c r="IO304" s="170"/>
      <c r="IP304" s="170"/>
      <c r="IQ304" s="170"/>
      <c r="IR304" s="170"/>
      <c r="IS304" s="170"/>
      <c r="IT304" s="170"/>
      <c r="IU304" s="170"/>
      <c r="IV304" s="170"/>
      <c r="IW304" s="170"/>
      <c r="IX304" s="170"/>
      <c r="IY304" s="170"/>
      <c r="IZ304" s="170"/>
      <c r="JA304" s="170"/>
      <c r="JB304" s="170"/>
      <c r="JC304" s="607"/>
      <c r="JD304" s="610"/>
      <c r="JE304" s="1"/>
      <c r="JF304" s="1"/>
    </row>
    <row r="305" spans="1:266" s="2" customFormat="1" ht="21" customHeight="1" x14ac:dyDescent="0.25">
      <c r="A305" s="882"/>
      <c r="B305" s="895" t="s">
        <v>1413</v>
      </c>
      <c r="C305" s="893"/>
      <c r="D305" s="884"/>
      <c r="E305" s="884"/>
      <c r="F305" s="884"/>
      <c r="G305" s="884"/>
      <c r="H305" s="884"/>
      <c r="I305" s="884"/>
      <c r="J305" s="884"/>
      <c r="K305" s="884"/>
      <c r="L305" s="884"/>
      <c r="M305" s="894"/>
      <c r="N305" s="884"/>
      <c r="O305" s="884"/>
      <c r="P305" s="884"/>
      <c r="Q305" s="884"/>
      <c r="R305" s="884"/>
      <c r="S305" s="884"/>
      <c r="T305" s="884"/>
      <c r="U305" s="884"/>
      <c r="V305" s="884"/>
      <c r="W305" s="884"/>
      <c r="X305" s="884"/>
      <c r="Y305" s="884"/>
      <c r="Z305" s="884"/>
      <c r="AA305" s="884"/>
      <c r="AB305" s="884"/>
      <c r="AC305" s="884"/>
      <c r="AD305" s="884"/>
      <c r="AE305" s="884"/>
      <c r="AF305" s="884"/>
      <c r="AG305" s="884"/>
      <c r="AH305" s="884"/>
      <c r="AI305" s="884"/>
      <c r="AJ305" s="884"/>
      <c r="AK305" s="884"/>
      <c r="AL305" s="884"/>
      <c r="AM305" s="884"/>
      <c r="AN305" s="884"/>
      <c r="AO305" s="884"/>
      <c r="AP305" s="884"/>
      <c r="AQ305" s="884"/>
      <c r="AR305" s="884"/>
      <c r="AS305" s="884"/>
      <c r="AT305" s="884"/>
      <c r="AU305" s="884"/>
      <c r="AV305" s="884"/>
      <c r="AW305" s="884"/>
      <c r="AX305" s="884"/>
      <c r="AY305" s="884"/>
      <c r="AZ305" s="884"/>
      <c r="BA305" s="884"/>
      <c r="BB305" s="884"/>
      <c r="BC305" s="884"/>
      <c r="BD305" s="884"/>
      <c r="BE305" s="884"/>
      <c r="BF305" s="884"/>
      <c r="BG305" s="884"/>
      <c r="BH305" s="884"/>
      <c r="BI305" s="884"/>
      <c r="BJ305" s="884"/>
      <c r="BK305" s="884"/>
      <c r="BL305" s="884"/>
      <c r="BM305" s="884"/>
      <c r="BN305" s="884"/>
      <c r="BO305" s="884"/>
      <c r="BP305" s="884"/>
      <c r="BQ305" s="884"/>
      <c r="BR305" s="884"/>
      <c r="BS305" s="884"/>
      <c r="BT305" s="884"/>
      <c r="BU305" s="884"/>
      <c r="BV305" s="884"/>
      <c r="BW305" s="884"/>
      <c r="BX305" s="884"/>
      <c r="BY305" s="884"/>
      <c r="BZ305" s="884"/>
      <c r="CA305" s="884"/>
      <c r="CB305" s="884"/>
      <c r="CC305" s="884"/>
      <c r="CD305" s="884"/>
      <c r="CE305" s="884"/>
      <c r="CF305" s="884"/>
      <c r="CG305" s="884"/>
      <c r="CH305" s="884"/>
      <c r="CI305" s="884"/>
      <c r="CJ305" s="884"/>
      <c r="CK305" s="884"/>
      <c r="CL305" s="884"/>
      <c r="CM305" s="884"/>
      <c r="CN305" s="884"/>
      <c r="CO305" s="884"/>
      <c r="CP305" s="884"/>
      <c r="CQ305" s="884"/>
      <c r="CR305" s="884"/>
      <c r="CS305" s="884"/>
      <c r="CT305" s="884"/>
      <c r="CU305" s="884"/>
      <c r="CV305" s="884"/>
      <c r="CW305" s="884"/>
      <c r="CX305" s="884"/>
      <c r="CY305" s="884"/>
      <c r="CZ305" s="884"/>
      <c r="DA305" s="884"/>
      <c r="DB305" s="884"/>
      <c r="DC305" s="884"/>
      <c r="DD305" s="884"/>
      <c r="DE305" s="884"/>
      <c r="DF305" s="884"/>
      <c r="DG305" s="884"/>
      <c r="DH305" s="884"/>
      <c r="DI305" s="884"/>
      <c r="DJ305" s="884"/>
      <c r="DK305" s="884"/>
      <c r="DL305" s="884"/>
      <c r="DM305" s="884"/>
      <c r="DN305" s="884"/>
      <c r="DO305" s="884"/>
      <c r="DP305" s="884"/>
      <c r="DQ305" s="884"/>
      <c r="DR305" s="884"/>
      <c r="DS305" s="884"/>
      <c r="DT305" s="897"/>
      <c r="DU305" s="897"/>
      <c r="DV305" s="897" t="s">
        <v>1414</v>
      </c>
      <c r="DW305" s="884"/>
      <c r="DX305" s="884"/>
      <c r="DY305" s="897"/>
      <c r="DZ305" s="884"/>
      <c r="EA305" s="884"/>
      <c r="EB305" s="884"/>
      <c r="EC305" s="884"/>
      <c r="ED305" s="884"/>
      <c r="EE305" s="885"/>
      <c r="EF305" s="885"/>
      <c r="EG305" s="885"/>
      <c r="EH305" s="885"/>
      <c r="EI305" s="885"/>
      <c r="EJ305" s="885"/>
      <c r="EK305" s="885"/>
      <c r="EL305" s="885"/>
      <c r="EM305" s="885"/>
      <c r="EN305" s="885"/>
      <c r="EO305" s="884"/>
      <c r="EP305" s="884"/>
      <c r="EQ305" s="884"/>
      <c r="ER305" s="884"/>
      <c r="ES305" s="884"/>
      <c r="ET305" s="884"/>
      <c r="EU305" s="884"/>
      <c r="EV305" s="884"/>
      <c r="EW305" s="884"/>
      <c r="EX305" s="884"/>
      <c r="EY305" s="884"/>
      <c r="EZ305" s="884"/>
      <c r="FA305" s="884"/>
      <c r="FB305" s="884"/>
      <c r="FC305" s="884"/>
      <c r="FD305" s="884"/>
      <c r="FE305" s="884"/>
      <c r="FF305" s="884"/>
      <c r="FG305" s="884"/>
      <c r="FH305" s="884"/>
      <c r="FI305" s="884"/>
      <c r="FJ305" s="884"/>
      <c r="FK305" s="884"/>
      <c r="FL305" s="884"/>
      <c r="FM305" s="897" t="s">
        <v>1414</v>
      </c>
      <c r="FN305" s="884"/>
      <c r="FO305" s="884"/>
      <c r="FP305" s="884"/>
      <c r="FQ305" s="884"/>
      <c r="FR305" s="884"/>
      <c r="FS305" s="884"/>
      <c r="FT305" s="884"/>
      <c r="FU305" s="884"/>
      <c r="FV305" s="884"/>
      <c r="FW305" s="884"/>
      <c r="FX305" s="884"/>
      <c r="FY305" s="884"/>
      <c r="FZ305" s="884"/>
      <c r="GA305" s="884"/>
      <c r="GB305" s="884"/>
      <c r="GC305" s="884"/>
      <c r="GD305" s="884"/>
      <c r="GE305" s="884"/>
      <c r="GF305" s="884"/>
      <c r="GG305" s="884"/>
      <c r="GH305" s="884"/>
      <c r="GI305" s="884"/>
      <c r="GJ305" s="884"/>
      <c r="GK305" s="884"/>
      <c r="GL305" s="884"/>
      <c r="GM305" s="884"/>
      <c r="GN305" s="884"/>
      <c r="GO305" s="884"/>
      <c r="GP305" s="884"/>
      <c r="GQ305" s="884"/>
      <c r="GR305" s="884"/>
      <c r="GS305" s="884"/>
      <c r="GT305" s="884"/>
      <c r="GU305" s="884"/>
      <c r="GV305" s="884"/>
      <c r="GW305" s="884"/>
      <c r="GX305" s="884"/>
      <c r="GY305" s="884"/>
      <c r="GZ305" s="884"/>
      <c r="HA305" s="884"/>
      <c r="HB305" s="884"/>
      <c r="HC305" s="884"/>
      <c r="HD305" s="884"/>
      <c r="HE305" s="884"/>
      <c r="HF305" s="884"/>
      <c r="HG305" s="884"/>
      <c r="HH305" s="884"/>
      <c r="HI305" s="884"/>
      <c r="HJ305" s="884"/>
      <c r="HK305" s="884"/>
      <c r="HL305" s="884"/>
      <c r="HM305" s="884"/>
      <c r="HN305" s="884"/>
      <c r="HO305" s="884"/>
      <c r="HP305" s="884"/>
      <c r="HQ305" s="884"/>
      <c r="HR305" s="884"/>
      <c r="HS305" s="884"/>
      <c r="HT305" s="884"/>
      <c r="HU305" s="884"/>
      <c r="HV305" s="884"/>
      <c r="HW305" s="884"/>
      <c r="HX305" s="884"/>
      <c r="HY305" s="884"/>
      <c r="HZ305" s="884"/>
      <c r="IA305" s="884"/>
      <c r="IB305" s="884"/>
      <c r="IC305" s="884"/>
      <c r="ID305" s="884"/>
      <c r="IE305" s="884"/>
      <c r="IF305" s="884"/>
      <c r="IG305" s="884"/>
      <c r="IH305" s="884"/>
      <c r="II305" s="884"/>
      <c r="IJ305" s="884"/>
      <c r="IK305" s="884"/>
      <c r="IL305" s="884"/>
      <c r="IM305" s="884"/>
      <c r="IN305" s="884"/>
      <c r="IO305" s="884"/>
      <c r="IP305" s="884"/>
      <c r="IQ305" s="884"/>
      <c r="IR305" s="884"/>
      <c r="IS305" s="884"/>
      <c r="IT305" s="884"/>
      <c r="IU305" s="884"/>
      <c r="IV305" s="884"/>
      <c r="IW305" s="884"/>
      <c r="IX305" s="884"/>
      <c r="IY305" s="884"/>
      <c r="IZ305" s="884"/>
      <c r="JA305" s="884"/>
      <c r="JB305" s="884"/>
      <c r="JC305" s="884"/>
      <c r="JD305" s="885"/>
      <c r="JE305" s="1"/>
      <c r="JF305" s="1"/>
    </row>
    <row r="306" spans="1:266" s="2" customFormat="1" ht="15" customHeight="1" x14ac:dyDescent="0.25">
      <c r="A306" s="883"/>
      <c r="B306" s="883"/>
      <c r="C306" s="284"/>
      <c r="D306" s="284"/>
      <c r="E306" s="284"/>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c r="DX306" s="11"/>
      <c r="DY306" s="883"/>
      <c r="DZ306" s="883"/>
      <c r="EA306" s="883"/>
      <c r="EB306" s="883"/>
      <c r="EC306" s="883"/>
      <c r="ED306" s="883"/>
      <c r="EE306" s="883"/>
      <c r="EF306" s="883"/>
      <c r="EG306" s="883"/>
      <c r="EH306" s="883"/>
      <c r="EI306" s="883"/>
      <c r="EJ306" s="883"/>
      <c r="EK306" s="883"/>
      <c r="EL306" s="883"/>
      <c r="EM306" s="883"/>
      <c r="EN306" s="883"/>
      <c r="EO306" s="883"/>
      <c r="EP306" s="883"/>
      <c r="EQ306" s="883"/>
      <c r="ER306" s="883"/>
      <c r="ES306" s="883"/>
      <c r="ET306" s="883"/>
      <c r="EU306" s="883"/>
      <c r="EV306" s="883"/>
      <c r="EW306" s="883"/>
      <c r="EX306" s="883"/>
      <c r="EY306" s="883"/>
      <c r="EZ306" s="883"/>
      <c r="FA306" s="883"/>
      <c r="FB306" s="883"/>
      <c r="FC306" s="883"/>
      <c r="FD306" s="883"/>
      <c r="FE306" s="883"/>
      <c r="FF306" s="883"/>
      <c r="FG306" s="883"/>
      <c r="FH306" s="883"/>
      <c r="FI306" s="883"/>
      <c r="FJ306" s="883"/>
      <c r="FK306" s="883"/>
      <c r="FL306" s="883"/>
      <c r="FM306" s="883"/>
      <c r="FN306" s="883"/>
      <c r="FO306" s="883"/>
      <c r="FP306" s="883"/>
      <c r="FQ306" s="883"/>
      <c r="FR306" s="883"/>
      <c r="FS306" s="883"/>
      <c r="FT306" s="883"/>
      <c r="FU306" s="883"/>
      <c r="FV306" s="883"/>
      <c r="FW306" s="883"/>
      <c r="FX306" s="883"/>
      <c r="FY306" s="883"/>
      <c r="FZ306" s="883"/>
      <c r="GA306" s="883"/>
      <c r="GB306" s="883"/>
      <c r="GC306" s="883"/>
      <c r="GD306" s="883"/>
      <c r="GE306" s="883"/>
      <c r="GF306" s="883"/>
      <c r="GG306" s="883"/>
      <c r="GH306" s="883"/>
      <c r="GI306" s="883"/>
      <c r="GJ306" s="883"/>
      <c r="GK306" s="883"/>
      <c r="GL306" s="883"/>
      <c r="GM306" s="883"/>
      <c r="GN306" s="883"/>
      <c r="GO306" s="883"/>
      <c r="GP306" s="883"/>
      <c r="GQ306" s="883"/>
      <c r="GR306" s="883"/>
      <c r="GS306" s="883"/>
      <c r="GT306" s="883"/>
      <c r="GU306" s="883"/>
      <c r="GV306" s="883"/>
      <c r="GW306" s="883"/>
      <c r="GX306" s="883"/>
      <c r="GY306" s="883"/>
      <c r="GZ306" s="883"/>
      <c r="HA306" s="883"/>
      <c r="HB306" s="883"/>
      <c r="HC306" s="883"/>
      <c r="HD306" s="883"/>
      <c r="HE306" s="883"/>
      <c r="HF306" s="883"/>
      <c r="HG306" s="883"/>
      <c r="HH306" s="883"/>
      <c r="HI306" s="883"/>
      <c r="HJ306" s="883"/>
      <c r="HK306" s="883"/>
      <c r="HL306" s="883"/>
      <c r="HM306" s="883"/>
      <c r="HN306" s="883"/>
      <c r="HO306" s="883"/>
      <c r="HP306" s="883"/>
      <c r="HQ306" s="883"/>
      <c r="HR306" s="883"/>
      <c r="HS306" s="883"/>
      <c r="HT306" s="883"/>
      <c r="HU306" s="883"/>
      <c r="HV306" s="883"/>
      <c r="HW306" s="883"/>
      <c r="HX306" s="883"/>
      <c r="HY306" s="883"/>
      <c r="HZ306" s="883"/>
      <c r="IA306" s="883"/>
      <c r="IB306" s="883"/>
      <c r="IC306" s="883"/>
      <c r="ID306" s="883"/>
      <c r="IE306" s="883"/>
      <c r="IF306" s="883"/>
      <c r="IG306" s="883"/>
      <c r="IH306" s="883"/>
      <c r="II306" s="883"/>
      <c r="IJ306" s="883"/>
      <c r="IK306" s="883"/>
      <c r="IL306" s="883"/>
      <c r="IM306" s="883"/>
      <c r="IN306" s="883"/>
      <c r="IO306" s="883"/>
      <c r="IP306" s="883"/>
      <c r="IQ306" s="883"/>
      <c r="IR306" s="883"/>
      <c r="IS306" s="883"/>
      <c r="IT306" s="883"/>
      <c r="IU306" s="883"/>
      <c r="IV306" s="883"/>
      <c r="IW306" s="883"/>
      <c r="IX306" s="883"/>
      <c r="IY306" s="883"/>
      <c r="IZ306" s="883"/>
      <c r="JA306" s="883"/>
      <c r="JB306" s="883"/>
      <c r="JC306" s="883"/>
      <c r="JD306" s="883"/>
      <c r="JE306" s="1"/>
      <c r="JF306" s="1"/>
    </row>
    <row r="307" spans="1:266" s="2" customFormat="1" ht="15" customHeight="1" x14ac:dyDescent="0.25">
      <c r="A307" s="7"/>
      <c r="B307" s="7"/>
      <c r="C307" s="84"/>
      <c r="D307" s="7"/>
      <c r="E307" s="7"/>
      <c r="F307" s="7"/>
      <c r="G307" s="7"/>
      <c r="H307" s="7"/>
      <c r="I307" s="7"/>
      <c r="J307" s="7"/>
      <c r="K307" s="7"/>
      <c r="L307" s="7"/>
      <c r="M307" s="8"/>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JE307" s="1"/>
      <c r="JF307" s="1"/>
    </row>
    <row r="308" spans="1:266" s="2" customFormat="1" ht="15" customHeight="1" x14ac:dyDescent="0.25">
      <c r="A308" s="7"/>
      <c r="B308" s="7"/>
      <c r="C308" s="84"/>
      <c r="D308" s="7"/>
      <c r="E308" s="7"/>
      <c r="F308" s="7"/>
      <c r="G308" s="7"/>
      <c r="H308" s="7"/>
      <c r="I308" s="7"/>
      <c r="J308" s="7"/>
      <c r="K308" s="7"/>
      <c r="L308" s="7"/>
      <c r="M308" s="8"/>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JE308" s="1"/>
      <c r="JF308" s="1"/>
    </row>
    <row r="309" spans="1:266" s="2" customFormat="1" ht="15" customHeight="1" x14ac:dyDescent="0.25">
      <c r="A309" s="7"/>
      <c r="B309" s="7"/>
      <c r="C309" s="84"/>
      <c r="D309" s="7"/>
      <c r="E309" s="7"/>
      <c r="F309" s="7"/>
      <c r="G309" s="7"/>
      <c r="H309" s="7"/>
      <c r="I309" s="7"/>
      <c r="J309" s="7"/>
      <c r="K309" s="7"/>
      <c r="L309" s="7"/>
      <c r="M309" s="8"/>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JE309" s="1"/>
      <c r="JF309" s="1"/>
    </row>
    <row r="310" spans="1:266" s="2" customFormat="1" ht="15" customHeight="1" x14ac:dyDescent="0.25">
      <c r="A310" s="7"/>
      <c r="B310" s="7"/>
      <c r="C310" s="84"/>
      <c r="D310" s="7"/>
      <c r="E310" s="7"/>
      <c r="F310" s="7"/>
      <c r="G310" s="7"/>
      <c r="H310" s="7"/>
      <c r="I310" s="7"/>
      <c r="J310" s="7"/>
      <c r="K310" s="7"/>
      <c r="L310" s="7"/>
      <c r="M310" s="8"/>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JE310" s="1"/>
      <c r="JF310" s="1"/>
    </row>
    <row r="311" spans="1:266" s="2" customFormat="1" ht="15" customHeight="1" x14ac:dyDescent="0.25">
      <c r="A311" s="7"/>
      <c r="B311" s="7"/>
      <c r="C311" s="84"/>
      <c r="D311" s="7"/>
      <c r="E311" s="7"/>
      <c r="F311" s="7"/>
      <c r="G311" s="7"/>
      <c r="H311" s="7"/>
      <c r="I311" s="7"/>
      <c r="J311" s="7"/>
      <c r="K311" s="7"/>
      <c r="L311" s="7"/>
      <c r="M311" s="8"/>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JE311" s="1"/>
      <c r="JF311" s="1"/>
    </row>
    <row r="312" spans="1:266" s="2" customFormat="1" ht="15" customHeight="1" x14ac:dyDescent="0.25">
      <c r="A312" s="7"/>
      <c r="B312" s="7"/>
      <c r="C312" s="84"/>
      <c r="D312" s="7"/>
      <c r="E312" s="7"/>
      <c r="F312" s="7"/>
      <c r="G312" s="7"/>
      <c r="H312" s="7"/>
      <c r="I312" s="7"/>
      <c r="J312" s="7"/>
      <c r="K312" s="7"/>
      <c r="L312" s="7"/>
      <c r="M312" s="8"/>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JE312" s="1"/>
      <c r="JF312" s="1"/>
    </row>
    <row r="313" spans="1:266" s="2" customFormat="1" ht="15" customHeight="1" x14ac:dyDescent="0.3">
      <c r="A313" s="7"/>
      <c r="B313" s="7"/>
      <c r="C313" s="84"/>
      <c r="D313" s="7"/>
      <c r="E313" s="7"/>
      <c r="F313" s="7"/>
      <c r="G313" s="7"/>
      <c r="H313" s="7"/>
      <c r="I313" s="7"/>
      <c r="J313" s="7"/>
      <c r="K313" s="7"/>
      <c r="L313" s="7"/>
      <c r="M313" s="8"/>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row>
    <row r="314" spans="1:266" s="2" customFormat="1" ht="15" customHeight="1" x14ac:dyDescent="0.3">
      <c r="A314" s="7"/>
      <c r="B314" s="7"/>
      <c r="C314" s="84"/>
      <c r="D314" s="7"/>
      <c r="E314" s="7"/>
      <c r="F314" s="7"/>
      <c r="G314" s="7"/>
      <c r="H314" s="7"/>
      <c r="I314" s="7"/>
      <c r="J314" s="7"/>
      <c r="K314" s="7"/>
      <c r="L314" s="7"/>
      <c r="M314" s="8"/>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row>
    <row r="315" spans="1:266" s="2" customFormat="1" ht="15" customHeight="1" x14ac:dyDescent="0.3">
      <c r="A315" s="7"/>
      <c r="B315" s="7"/>
      <c r="C315" s="84"/>
      <c r="D315" s="7"/>
      <c r="E315" s="7"/>
      <c r="F315" s="7"/>
      <c r="G315" s="7"/>
      <c r="H315" s="7"/>
      <c r="I315" s="7"/>
      <c r="J315" s="7"/>
      <c r="K315" s="7"/>
      <c r="L315" s="7"/>
      <c r="M315" s="8"/>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row>
    <row r="316" spans="1:266" s="2" customFormat="1" ht="15" customHeight="1" x14ac:dyDescent="0.3">
      <c r="A316" s="7"/>
      <c r="B316" s="7"/>
      <c r="C316" s="84"/>
      <c r="D316" s="7"/>
      <c r="E316" s="7"/>
      <c r="F316" s="7"/>
      <c r="G316" s="7"/>
      <c r="H316" s="7"/>
      <c r="I316" s="7"/>
      <c r="J316" s="7"/>
      <c r="K316" s="7"/>
      <c r="L316" s="7"/>
      <c r="M316" s="8"/>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row>
    <row r="317" spans="1:266" s="2" customFormat="1" ht="15" customHeight="1" x14ac:dyDescent="0.3">
      <c r="A317" s="7"/>
      <c r="B317" s="7"/>
      <c r="C317" s="84"/>
      <c r="D317" s="7"/>
      <c r="E317" s="7"/>
      <c r="F317" s="7"/>
      <c r="G317" s="7"/>
      <c r="H317" s="7"/>
      <c r="I317" s="7"/>
      <c r="J317" s="7"/>
      <c r="K317" s="7"/>
      <c r="L317" s="7"/>
      <c r="M317" s="8"/>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row>
    <row r="318" spans="1:266" s="2" customFormat="1" ht="15" customHeight="1" x14ac:dyDescent="0.3">
      <c r="A318" s="7"/>
      <c r="B318" s="7"/>
      <c r="C318" s="84"/>
      <c r="D318" s="7"/>
      <c r="E318" s="7"/>
      <c r="F318" s="7"/>
      <c r="G318" s="7"/>
      <c r="H318" s="7"/>
      <c r="I318" s="7"/>
      <c r="J318" s="7"/>
      <c r="K318" s="7"/>
      <c r="L318" s="7"/>
      <c r="M318" s="8"/>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row>
    <row r="319" spans="1:266" s="2" customFormat="1" ht="15" customHeight="1" x14ac:dyDescent="0.3">
      <c r="A319" s="7"/>
      <c r="B319" s="7"/>
      <c r="C319" s="84"/>
      <c r="D319" s="7"/>
      <c r="E319" s="7"/>
      <c r="F319" s="7"/>
      <c r="G319" s="7"/>
      <c r="H319" s="7"/>
      <c r="I319" s="7"/>
      <c r="J319" s="7"/>
      <c r="K319" s="7"/>
      <c r="L319" s="7"/>
      <c r="M319" s="8"/>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row>
    <row r="320" spans="1:266" x14ac:dyDescent="0.25">
      <c r="A320" s="7"/>
      <c r="B320" s="7"/>
      <c r="C320" s="84"/>
      <c r="D320" s="7"/>
      <c r="E320" s="7"/>
      <c r="F320" s="7"/>
      <c r="G320" s="7"/>
      <c r="H320" s="7"/>
      <c r="I320" s="7"/>
      <c r="J320" s="7"/>
      <c r="K320" s="7"/>
      <c r="L320" s="7"/>
      <c r="M320" s="8"/>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row>
    <row r="321" spans="1:128" x14ac:dyDescent="0.25">
      <c r="A321" s="7"/>
      <c r="B321" s="7"/>
      <c r="C321" s="84"/>
      <c r="D321" s="7"/>
      <c r="E321" s="7"/>
      <c r="F321" s="7"/>
      <c r="G321" s="7"/>
      <c r="H321" s="7"/>
      <c r="I321" s="7"/>
      <c r="J321" s="7"/>
      <c r="K321" s="7"/>
      <c r="L321" s="7"/>
      <c r="M321" s="8"/>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row>
    <row r="322" spans="1:128" x14ac:dyDescent="0.25">
      <c r="A322" s="7"/>
      <c r="B322" s="7"/>
      <c r="C322" s="84"/>
      <c r="D322" s="7"/>
      <c r="E322" s="7"/>
      <c r="F322" s="7"/>
      <c r="G322" s="7"/>
      <c r="H322" s="7"/>
      <c r="I322" s="7"/>
      <c r="J322" s="7"/>
      <c r="K322" s="7"/>
      <c r="L322" s="7"/>
      <c r="M322" s="8"/>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row>
    <row r="323" spans="1:128" x14ac:dyDescent="0.25">
      <c r="A323" s="7"/>
      <c r="B323" s="7"/>
      <c r="C323" s="84"/>
      <c r="D323" s="7"/>
      <c r="E323" s="7"/>
      <c r="F323" s="7"/>
      <c r="G323" s="7"/>
      <c r="H323" s="7"/>
      <c r="I323" s="7"/>
      <c r="J323" s="7"/>
      <c r="K323" s="7"/>
      <c r="L323" s="7"/>
      <c r="M323" s="8"/>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row>
    <row r="324" spans="1:128" x14ac:dyDescent="0.25">
      <c r="A324" s="7"/>
      <c r="B324" s="7"/>
      <c r="C324" s="84"/>
      <c r="D324" s="7"/>
      <c r="E324" s="7"/>
      <c r="F324" s="7"/>
      <c r="G324" s="7"/>
      <c r="H324" s="7"/>
      <c r="I324" s="7"/>
      <c r="J324" s="7"/>
      <c r="K324" s="7"/>
      <c r="L324" s="7"/>
      <c r="M324" s="8"/>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row>
    <row r="325" spans="1:128" x14ac:dyDescent="0.25">
      <c r="A325" s="7"/>
      <c r="B325" s="7"/>
      <c r="C325" s="84"/>
      <c r="D325" s="7"/>
      <c r="E325" s="7"/>
      <c r="F325" s="7"/>
      <c r="G325" s="7"/>
      <c r="H325" s="7"/>
      <c r="I325" s="7"/>
      <c r="J325" s="7"/>
      <c r="K325" s="7"/>
      <c r="L325" s="7"/>
      <c r="M325" s="8"/>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row>
    <row r="326" spans="1:128" x14ac:dyDescent="0.25">
      <c r="A326" s="7"/>
      <c r="B326" s="7"/>
      <c r="C326" s="84"/>
      <c r="D326" s="7"/>
      <c r="E326" s="7"/>
      <c r="F326" s="7"/>
      <c r="G326" s="7"/>
      <c r="H326" s="7"/>
      <c r="I326" s="7"/>
      <c r="J326" s="7"/>
      <c r="K326" s="7"/>
      <c r="L326" s="7"/>
      <c r="M326" s="8"/>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row>
    <row r="327" spans="1:128" x14ac:dyDescent="0.25">
      <c r="A327" s="7"/>
      <c r="B327" s="7"/>
      <c r="C327" s="84"/>
      <c r="D327" s="7"/>
      <c r="E327" s="7"/>
      <c r="F327" s="7"/>
      <c r="G327" s="7"/>
      <c r="H327" s="7"/>
      <c r="I327" s="7"/>
      <c r="J327" s="7"/>
      <c r="K327" s="7"/>
      <c r="L327" s="7"/>
      <c r="M327" s="8"/>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row>
    <row r="328" spans="1:128" x14ac:dyDescent="0.25">
      <c r="A328" s="7"/>
      <c r="B328" s="7"/>
      <c r="C328" s="84"/>
      <c r="D328" s="7"/>
      <c r="E328" s="7"/>
      <c r="F328" s="7"/>
      <c r="G328" s="7"/>
      <c r="H328" s="7"/>
      <c r="I328" s="7"/>
      <c r="J328" s="7"/>
      <c r="K328" s="7"/>
      <c r="L328" s="7"/>
      <c r="M328" s="8"/>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row>
    <row r="329" spans="1:128" x14ac:dyDescent="0.25">
      <c r="A329" s="7"/>
      <c r="B329" s="7"/>
      <c r="C329" s="84"/>
      <c r="D329" s="7"/>
      <c r="E329" s="7"/>
      <c r="F329" s="7"/>
      <c r="G329" s="7"/>
      <c r="H329" s="7"/>
      <c r="I329" s="7"/>
      <c r="J329" s="7"/>
      <c r="K329" s="7"/>
      <c r="L329" s="7"/>
      <c r="M329" s="8"/>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row>
  </sheetData>
  <mergeCells count="605">
    <mergeCell ref="B125:C125"/>
    <mergeCell ref="E125:G125"/>
    <mergeCell ref="DN124:DN126"/>
    <mergeCell ref="DM124:DM126"/>
    <mergeCell ref="DO124:DO126"/>
    <mergeCell ref="DW124:DW128"/>
    <mergeCell ref="G126:G128"/>
    <mergeCell ref="DV127:DV128"/>
    <mergeCell ref="EB125:EF125"/>
    <mergeCell ref="EA126:EA128"/>
    <mergeCell ref="I127:I128"/>
    <mergeCell ref="P127:P128"/>
    <mergeCell ref="L126:L128"/>
    <mergeCell ref="M126:M128"/>
    <mergeCell ref="N126:N128"/>
    <mergeCell ref="O126:O128"/>
    <mergeCell ref="R127:R128"/>
    <mergeCell ref="AD97:AD101"/>
    <mergeCell ref="AE97:AE101"/>
    <mergeCell ref="AF97:AF101"/>
    <mergeCell ref="AH97:AH101"/>
    <mergeCell ref="EE127:EE128"/>
    <mergeCell ref="DU126:DU128"/>
    <mergeCell ref="DT127:DT128"/>
    <mergeCell ref="DT115:DT116"/>
    <mergeCell ref="DZ117:EB118"/>
    <mergeCell ref="EB127:EB128"/>
    <mergeCell ref="EC127:EC128"/>
    <mergeCell ref="DY127:DY128"/>
    <mergeCell ref="DZ127:DZ128"/>
    <mergeCell ref="S115:DQ115"/>
    <mergeCell ref="S111:S112"/>
    <mergeCell ref="DP111:DP112"/>
    <mergeCell ref="DQ111:DQ112"/>
    <mergeCell ref="S127:S128"/>
    <mergeCell ref="DP127:DP128"/>
    <mergeCell ref="DQ127:DQ128"/>
    <mergeCell ref="DY99:EA101"/>
    <mergeCell ref="AI97:AI101"/>
    <mergeCell ref="DZ123:EF123"/>
    <mergeCell ref="DZ124:EF124"/>
    <mergeCell ref="JB117:JB118"/>
    <mergeCell ref="JC117:JC118"/>
    <mergeCell ref="B126:B128"/>
    <mergeCell ref="C126:C128"/>
    <mergeCell ref="E126:E128"/>
    <mergeCell ref="F126:F128"/>
    <mergeCell ref="J126:J128"/>
    <mergeCell ref="IV117:IV118"/>
    <mergeCell ref="IW117:IW118"/>
    <mergeCell ref="IX117:IX118"/>
    <mergeCell ref="IY117:IY118"/>
    <mergeCell ref="IZ117:IZ118"/>
    <mergeCell ref="JA117:JA118"/>
    <mergeCell ref="IP117:IP118"/>
    <mergeCell ref="IQ117:IQ118"/>
    <mergeCell ref="IR117:IR118"/>
    <mergeCell ref="IS117:IS118"/>
    <mergeCell ref="IT117:IT118"/>
    <mergeCell ref="IU117:IU118"/>
    <mergeCell ref="IJ117:IJ118"/>
    <mergeCell ref="IK117:IK118"/>
    <mergeCell ref="IL117:IL118"/>
    <mergeCell ref="EB126:ED126"/>
    <mergeCell ref="EC117:EE118"/>
    <mergeCell ref="IM117:IM118"/>
    <mergeCell ref="IN117:IN118"/>
    <mergeCell ref="IO117:IO118"/>
    <mergeCell ref="ID117:ID118"/>
    <mergeCell ref="IE117:IE118"/>
    <mergeCell ref="IF117:IF118"/>
    <mergeCell ref="IG117:IG118"/>
    <mergeCell ref="IH117:IH118"/>
    <mergeCell ref="II117:II118"/>
    <mergeCell ref="HX117:HX118"/>
    <mergeCell ref="HY117:HY118"/>
    <mergeCell ref="HZ117:HZ118"/>
    <mergeCell ref="IA117:IA118"/>
    <mergeCell ref="IB117:IB118"/>
    <mergeCell ref="IC117:IC118"/>
    <mergeCell ref="HR117:HR118"/>
    <mergeCell ref="HS117:HS118"/>
    <mergeCell ref="HT117:HT118"/>
    <mergeCell ref="HU117:HU118"/>
    <mergeCell ref="HV117:HV118"/>
    <mergeCell ref="HW117:HW118"/>
    <mergeCell ref="HL117:HL118"/>
    <mergeCell ref="HM117:HM118"/>
    <mergeCell ref="HN117:HN118"/>
    <mergeCell ref="HO117:HO118"/>
    <mergeCell ref="HP117:HP118"/>
    <mergeCell ref="HQ117:HQ118"/>
    <mergeCell ref="HF117:HF118"/>
    <mergeCell ref="HG117:HG118"/>
    <mergeCell ref="HH117:HH118"/>
    <mergeCell ref="HI117:HI118"/>
    <mergeCell ref="HJ117:HJ118"/>
    <mergeCell ref="HK117:HK118"/>
    <mergeCell ref="GZ117:GZ118"/>
    <mergeCell ref="HA117:HA118"/>
    <mergeCell ref="HB117:HB118"/>
    <mergeCell ref="HC117:HC118"/>
    <mergeCell ref="HD117:HD118"/>
    <mergeCell ref="HE117:HE118"/>
    <mergeCell ref="GT117:GT118"/>
    <mergeCell ref="GU117:GU118"/>
    <mergeCell ref="GV117:GV118"/>
    <mergeCell ref="GW117:GW118"/>
    <mergeCell ref="GX117:GX118"/>
    <mergeCell ref="GY117:GY118"/>
    <mergeCell ref="GN117:GN118"/>
    <mergeCell ref="GO117:GO118"/>
    <mergeCell ref="GP117:GP118"/>
    <mergeCell ref="GQ117:GQ118"/>
    <mergeCell ref="GR117:GR118"/>
    <mergeCell ref="GS117:GS118"/>
    <mergeCell ref="GH117:GH118"/>
    <mergeCell ref="GI117:GI118"/>
    <mergeCell ref="GJ117:GJ118"/>
    <mergeCell ref="GK117:GK118"/>
    <mergeCell ref="GL117:GL118"/>
    <mergeCell ref="GM117:GM118"/>
    <mergeCell ref="GB117:GB118"/>
    <mergeCell ref="GC117:GC118"/>
    <mergeCell ref="GD117:GD118"/>
    <mergeCell ref="GE117:GE118"/>
    <mergeCell ref="GF117:GF118"/>
    <mergeCell ref="GG117:GG118"/>
    <mergeCell ref="FV117:FV118"/>
    <mergeCell ref="FW117:FW118"/>
    <mergeCell ref="FX117:FX118"/>
    <mergeCell ref="FY117:FY118"/>
    <mergeCell ref="FZ117:FZ118"/>
    <mergeCell ref="GA117:GA118"/>
    <mergeCell ref="FP117:FP118"/>
    <mergeCell ref="FQ117:FQ118"/>
    <mergeCell ref="FR117:FR118"/>
    <mergeCell ref="FS117:FS118"/>
    <mergeCell ref="FT117:FT118"/>
    <mergeCell ref="FU117:FU118"/>
    <mergeCell ref="FJ117:FJ118"/>
    <mergeCell ref="FK117:FK118"/>
    <mergeCell ref="FL117:FL118"/>
    <mergeCell ref="FM117:FM118"/>
    <mergeCell ref="FN117:FN118"/>
    <mergeCell ref="FO117:FO118"/>
    <mergeCell ref="FD117:FD118"/>
    <mergeCell ref="FE117:FE118"/>
    <mergeCell ref="FF117:FF118"/>
    <mergeCell ref="FG117:FG118"/>
    <mergeCell ref="FH117:FH118"/>
    <mergeCell ref="FI117:FI118"/>
    <mergeCell ref="EX117:EX118"/>
    <mergeCell ref="EY117:EY118"/>
    <mergeCell ref="EZ117:EZ118"/>
    <mergeCell ref="FA117:FA118"/>
    <mergeCell ref="FB117:FB118"/>
    <mergeCell ref="FC117:FC118"/>
    <mergeCell ref="ET117:ET118"/>
    <mergeCell ref="EU117:EU118"/>
    <mergeCell ref="EV117:EV118"/>
    <mergeCell ref="EW117:EW118"/>
    <mergeCell ref="EL117:EL118"/>
    <mergeCell ref="EM117:EM118"/>
    <mergeCell ref="EN117:EN118"/>
    <mergeCell ref="EO117:EO118"/>
    <mergeCell ref="EP117:EP118"/>
    <mergeCell ref="EQ117:EQ118"/>
    <mergeCell ref="IL98:IL105"/>
    <mergeCell ref="ID98:ID105"/>
    <mergeCell ref="IE98:IE105"/>
    <mergeCell ref="EC109:EE109"/>
    <mergeCell ref="IJ98:IJ105"/>
    <mergeCell ref="IK98:IK105"/>
    <mergeCell ref="IF98:IF105"/>
    <mergeCell ref="HU98:HU105"/>
    <mergeCell ref="HV98:HV105"/>
    <mergeCell ref="HW98:HW105"/>
    <mergeCell ref="HX98:HX105"/>
    <mergeCell ref="HY98:HY105"/>
    <mergeCell ref="HZ98:HZ105"/>
    <mergeCell ref="HR98:HR105"/>
    <mergeCell ref="HS98:HS105"/>
    <mergeCell ref="HT98:HT105"/>
    <mergeCell ref="HI98:HI105"/>
    <mergeCell ref="HJ98:HJ105"/>
    <mergeCell ref="HK98:HK105"/>
    <mergeCell ref="HL98:HL105"/>
    <mergeCell ref="HM98:HM105"/>
    <mergeCell ref="HN98:HN105"/>
    <mergeCell ref="HO98:HO105"/>
    <mergeCell ref="HP98:HP105"/>
    <mergeCell ref="IZ98:IZ105"/>
    <mergeCell ref="JA98:JA105"/>
    <mergeCell ref="JB98:JB105"/>
    <mergeCell ref="JC98:JC105"/>
    <mergeCell ref="DY102:DZ105"/>
    <mergeCell ref="IS98:IS105"/>
    <mergeCell ref="IT98:IT105"/>
    <mergeCell ref="IU98:IU105"/>
    <mergeCell ref="IV98:IV105"/>
    <mergeCell ref="IW98:IW105"/>
    <mergeCell ref="IX98:IX105"/>
    <mergeCell ref="IM98:IM105"/>
    <mergeCell ref="IN98:IN105"/>
    <mergeCell ref="IO98:IO105"/>
    <mergeCell ref="IP98:IP105"/>
    <mergeCell ref="IQ98:IQ105"/>
    <mergeCell ref="IR98:IR105"/>
    <mergeCell ref="IG98:IG105"/>
    <mergeCell ref="IH98:IH105"/>
    <mergeCell ref="II98:II105"/>
    <mergeCell ref="IY98:IY105"/>
    <mergeCell ref="IA98:IA105"/>
    <mergeCell ref="IB98:IB105"/>
    <mergeCell ref="IC98:IC105"/>
    <mergeCell ref="HQ98:HQ105"/>
    <mergeCell ref="HC98:HC105"/>
    <mergeCell ref="HD98:HD105"/>
    <mergeCell ref="HE98:HE105"/>
    <mergeCell ref="HF98:HF105"/>
    <mergeCell ref="HG98:HG105"/>
    <mergeCell ref="HH98:HH105"/>
    <mergeCell ref="GW98:GW105"/>
    <mergeCell ref="GX98:GX105"/>
    <mergeCell ref="GY98:GY105"/>
    <mergeCell ref="GZ98:GZ105"/>
    <mergeCell ref="HA98:HA105"/>
    <mergeCell ref="HB98:HB105"/>
    <mergeCell ref="GQ98:GQ105"/>
    <mergeCell ref="GR98:GR105"/>
    <mergeCell ref="GS98:GS105"/>
    <mergeCell ref="GT98:GT105"/>
    <mergeCell ref="GU98:GU105"/>
    <mergeCell ref="GV98:GV105"/>
    <mergeCell ref="GK98:GK105"/>
    <mergeCell ref="GL98:GL105"/>
    <mergeCell ref="GM98:GM105"/>
    <mergeCell ref="GN98:GN105"/>
    <mergeCell ref="GO98:GO105"/>
    <mergeCell ref="GP98:GP105"/>
    <mergeCell ref="GE98:GE105"/>
    <mergeCell ref="GF98:GF105"/>
    <mergeCell ref="GG98:GG105"/>
    <mergeCell ref="GH98:GH105"/>
    <mergeCell ref="GI98:GI105"/>
    <mergeCell ref="GJ98:GJ105"/>
    <mergeCell ref="FJ98:FJ105"/>
    <mergeCell ref="FK98:FK105"/>
    <mergeCell ref="FL98:FL105"/>
    <mergeCell ref="FY98:FY105"/>
    <mergeCell ref="FZ98:FZ105"/>
    <mergeCell ref="GA98:GA105"/>
    <mergeCell ref="GB98:GB105"/>
    <mergeCell ref="GC98:GC105"/>
    <mergeCell ref="GD98:GD105"/>
    <mergeCell ref="FS98:FS105"/>
    <mergeCell ref="FT98:FT105"/>
    <mergeCell ref="FU98:FU105"/>
    <mergeCell ref="FV98:FV105"/>
    <mergeCell ref="FW98:FW105"/>
    <mergeCell ref="FX98:FX105"/>
    <mergeCell ref="JD97:JD106"/>
    <mergeCell ref="EG98:EG105"/>
    <mergeCell ref="EH98:EH105"/>
    <mergeCell ref="EI98:EI105"/>
    <mergeCell ref="EJ98:EJ105"/>
    <mergeCell ref="EK98:EK105"/>
    <mergeCell ref="EL98:EL105"/>
    <mergeCell ref="EM98:EM105"/>
    <mergeCell ref="EN98:EN105"/>
    <mergeCell ref="EU98:EU105"/>
    <mergeCell ref="EV98:EV105"/>
    <mergeCell ref="EW98:EW105"/>
    <mergeCell ref="EX98:EX105"/>
    <mergeCell ref="EY98:EY105"/>
    <mergeCell ref="EZ98:EZ105"/>
    <mergeCell ref="EO98:EO105"/>
    <mergeCell ref="EP98:EP105"/>
    <mergeCell ref="EQ98:EQ105"/>
    <mergeCell ref="FM98:FM105"/>
    <mergeCell ref="FN98:FN105"/>
    <mergeCell ref="FO98:FO105"/>
    <mergeCell ref="FP98:FP105"/>
    <mergeCell ref="FQ98:FQ105"/>
    <mergeCell ref="FR98:FR105"/>
    <mergeCell ref="ER98:ER105"/>
    <mergeCell ref="ES98:ES105"/>
    <mergeCell ref="ET98:ET105"/>
    <mergeCell ref="FG98:FG105"/>
    <mergeCell ref="FH98:FH105"/>
    <mergeCell ref="FI98:FI105"/>
    <mergeCell ref="EE94:EF94"/>
    <mergeCell ref="EE95:EF95"/>
    <mergeCell ref="EE96:EF96"/>
    <mergeCell ref="FA98:FA105"/>
    <mergeCell ref="FB98:FB105"/>
    <mergeCell ref="FC98:FC105"/>
    <mergeCell ref="FD98:FD105"/>
    <mergeCell ref="FE98:FE105"/>
    <mergeCell ref="FF98:FF105"/>
    <mergeCell ref="EE91:EF91"/>
    <mergeCell ref="EE92:EF92"/>
    <mergeCell ref="EE93:EF93"/>
    <mergeCell ref="EA91:EB91"/>
    <mergeCell ref="EA92:EB92"/>
    <mergeCell ref="EA93:EB93"/>
    <mergeCell ref="EA94:EB94"/>
    <mergeCell ref="EA95:EB95"/>
    <mergeCell ref="EA96:EB96"/>
    <mergeCell ref="EC91:ED91"/>
    <mergeCell ref="EC92:ED92"/>
    <mergeCell ref="EC93:ED93"/>
    <mergeCell ref="EC94:ED94"/>
    <mergeCell ref="EC95:ED95"/>
    <mergeCell ref="EC96:ED96"/>
    <mergeCell ref="EE87:EF87"/>
    <mergeCell ref="EA85:EB85"/>
    <mergeCell ref="EA86:EB86"/>
    <mergeCell ref="EA87:EB87"/>
    <mergeCell ref="EA88:EB88"/>
    <mergeCell ref="EA89:EB89"/>
    <mergeCell ref="EA90:EB90"/>
    <mergeCell ref="EC85:ED85"/>
    <mergeCell ref="EC86:ED86"/>
    <mergeCell ref="EC87:ED87"/>
    <mergeCell ref="EC88:ED88"/>
    <mergeCell ref="EC89:ED89"/>
    <mergeCell ref="EC90:ED90"/>
    <mergeCell ref="EE89:EF89"/>
    <mergeCell ref="EE90:EF90"/>
    <mergeCell ref="EA51:EB51"/>
    <mergeCell ref="EE64:EF64"/>
    <mergeCell ref="EE72:EF72"/>
    <mergeCell ref="EE67:EF67"/>
    <mergeCell ref="EE68:EF68"/>
    <mergeCell ref="EE69:EF69"/>
    <mergeCell ref="EE63:EF63"/>
    <mergeCell ref="EE70:EF70"/>
    <mergeCell ref="EC67:ED67"/>
    <mergeCell ref="EC59:ED59"/>
    <mergeCell ref="EC60:ED60"/>
    <mergeCell ref="EC61:ED61"/>
    <mergeCell ref="EC62:ED62"/>
    <mergeCell ref="EC71:ED71"/>
    <mergeCell ref="EC72:ED72"/>
    <mergeCell ref="EE71:EF71"/>
    <mergeCell ref="EE62:EF62"/>
    <mergeCell ref="EE61:EF61"/>
    <mergeCell ref="EC63:ED63"/>
    <mergeCell ref="EE51:EF51"/>
    <mergeCell ref="EA71:EB71"/>
    <mergeCell ref="EC68:ED68"/>
    <mergeCell ref="EE58:EF58"/>
    <mergeCell ref="EE59:EF59"/>
    <mergeCell ref="EE55:EF55"/>
    <mergeCell ref="EE56:EF56"/>
    <mergeCell ref="EE57:EF57"/>
    <mergeCell ref="EE46:EF46"/>
    <mergeCell ref="EE60:EF60"/>
    <mergeCell ref="EC50:ED50"/>
    <mergeCell ref="EC66:ED66"/>
    <mergeCell ref="EC65:ED65"/>
    <mergeCell ref="EC51:ED51"/>
    <mergeCell ref="EE52:EF52"/>
    <mergeCell ref="EE53:EF53"/>
    <mergeCell ref="EE54:EF54"/>
    <mergeCell ref="EC52:ED52"/>
    <mergeCell ref="EC53:ED53"/>
    <mergeCell ref="EC54:ED54"/>
    <mergeCell ref="EC55:ED55"/>
    <mergeCell ref="EC56:ED56"/>
    <mergeCell ref="EC57:ED57"/>
    <mergeCell ref="EC58:ED58"/>
    <mergeCell ref="EC64:ED64"/>
    <mergeCell ref="EE65:EF65"/>
    <mergeCell ref="EE66:EF66"/>
    <mergeCell ref="EA30:EB30"/>
    <mergeCell ref="EA43:EB43"/>
    <mergeCell ref="EA44:EB44"/>
    <mergeCell ref="EA45:EB45"/>
    <mergeCell ref="EA46:EB46"/>
    <mergeCell ref="EA47:EB47"/>
    <mergeCell ref="EA48:EB48"/>
    <mergeCell ref="EA49:EB49"/>
    <mergeCell ref="EA50:EB50"/>
    <mergeCell ref="DY42:GE42"/>
    <mergeCell ref="EE43:EF43"/>
    <mergeCell ref="EE44:EF44"/>
    <mergeCell ref="EE45:EF45"/>
    <mergeCell ref="EE49:EF49"/>
    <mergeCell ref="EE50:EF50"/>
    <mergeCell ref="EC43:ED43"/>
    <mergeCell ref="EC44:ED44"/>
    <mergeCell ref="EC45:ED45"/>
    <mergeCell ref="EC46:ED46"/>
    <mergeCell ref="EC47:ED47"/>
    <mergeCell ref="EC48:ED48"/>
    <mergeCell ref="EC49:ED49"/>
    <mergeCell ref="EE47:EF47"/>
    <mergeCell ref="EE48:EF48"/>
    <mergeCell ref="EE73:EF73"/>
    <mergeCell ref="EC73:ED73"/>
    <mergeCell ref="EC74:ED74"/>
    <mergeCell ref="EC75:ED75"/>
    <mergeCell ref="EC76:ED76"/>
    <mergeCell ref="EC77:ED77"/>
    <mergeCell ref="EC78:ED78"/>
    <mergeCell ref="EE74:EF74"/>
    <mergeCell ref="EE75:EF75"/>
    <mergeCell ref="EE77:EF77"/>
    <mergeCell ref="EE78:EF78"/>
    <mergeCell ref="EE84:EF84"/>
    <mergeCell ref="EA84:EB84"/>
    <mergeCell ref="EC84:ED84"/>
    <mergeCell ref="EE88:EF88"/>
    <mergeCell ref="EE76:EF76"/>
    <mergeCell ref="EA76:EB76"/>
    <mergeCell ref="EA77:EB77"/>
    <mergeCell ref="EE82:EF82"/>
    <mergeCell ref="EE83:EF83"/>
    <mergeCell ref="EE79:EF79"/>
    <mergeCell ref="EE80:EF80"/>
    <mergeCell ref="EE81:EF81"/>
    <mergeCell ref="EA79:EB79"/>
    <mergeCell ref="EA80:EB80"/>
    <mergeCell ref="EA81:EB81"/>
    <mergeCell ref="EA82:EB82"/>
    <mergeCell ref="EA83:EB83"/>
    <mergeCell ref="EC79:ED79"/>
    <mergeCell ref="EC80:ED80"/>
    <mergeCell ref="EC81:ED81"/>
    <mergeCell ref="EC82:ED82"/>
    <mergeCell ref="EC83:ED83"/>
    <mergeCell ref="EE85:EF85"/>
    <mergeCell ref="EE86:EF86"/>
    <mergeCell ref="EA64:EB64"/>
    <mergeCell ref="EA65:EB65"/>
    <mergeCell ref="EA66:EB66"/>
    <mergeCell ref="EC97:ED97"/>
    <mergeCell ref="EA97:EB97"/>
    <mergeCell ref="EC69:ED69"/>
    <mergeCell ref="EC70:ED70"/>
    <mergeCell ref="EA78:EB78"/>
    <mergeCell ref="EA72:EB72"/>
    <mergeCell ref="EA73:EB73"/>
    <mergeCell ref="EA74:EB74"/>
    <mergeCell ref="EA75:EB75"/>
    <mergeCell ref="AJ97:AJ101"/>
    <mergeCell ref="EE97:EF99"/>
    <mergeCell ref="EG117:EG118"/>
    <mergeCell ref="EH117:EH118"/>
    <mergeCell ref="EI117:EI118"/>
    <mergeCell ref="EJ117:EJ118"/>
    <mergeCell ref="EK117:EK118"/>
    <mergeCell ref="EC115:EE115"/>
    <mergeCell ref="EA52:EB52"/>
    <mergeCell ref="EA53:EB53"/>
    <mergeCell ref="EA54:EB54"/>
    <mergeCell ref="EA55:EB55"/>
    <mergeCell ref="EA56:EB56"/>
    <mergeCell ref="EA60:EB60"/>
    <mergeCell ref="EA61:EB61"/>
    <mergeCell ref="EA62:EB62"/>
    <mergeCell ref="EA57:EB57"/>
    <mergeCell ref="EA58:EB58"/>
    <mergeCell ref="EA59:EB59"/>
    <mergeCell ref="EA63:EB63"/>
    <mergeCell ref="EA67:EB67"/>
    <mergeCell ref="EA68:EB68"/>
    <mergeCell ref="EA69:EB69"/>
    <mergeCell ref="EA70:EB70"/>
    <mergeCell ref="EB122:EF122"/>
    <mergeCell ref="EL111:EL113"/>
    <mergeCell ref="EM111:EM113"/>
    <mergeCell ref="EN111:EN113"/>
    <mergeCell ref="EO111:EO113"/>
    <mergeCell ref="EP111:EP113"/>
    <mergeCell ref="EQ111:EQ113"/>
    <mergeCell ref="ER111:ER113"/>
    <mergeCell ref="ES111:ES113"/>
    <mergeCell ref="EG111:EG113"/>
    <mergeCell ref="EC111:EE113"/>
    <mergeCell ref="EH111:EH113"/>
    <mergeCell ref="EI111:EI113"/>
    <mergeCell ref="EJ111:EJ113"/>
    <mergeCell ref="EK111:EK113"/>
    <mergeCell ref="ER117:ER118"/>
    <mergeCell ref="ES117:ES118"/>
    <mergeCell ref="EA115:EB115"/>
    <mergeCell ref="ET111:ET113"/>
    <mergeCell ref="EU111:EU113"/>
    <mergeCell ref="EV111:EV113"/>
    <mergeCell ref="EW111:EW113"/>
    <mergeCell ref="EX111:EX113"/>
    <mergeCell ref="EY111:EY113"/>
    <mergeCell ref="EZ111:EZ113"/>
    <mergeCell ref="FA111:FA113"/>
    <mergeCell ref="FB111:FB113"/>
    <mergeCell ref="FC111:FC113"/>
    <mergeCell ref="FD111:FD113"/>
    <mergeCell ref="FE111:FE113"/>
    <mergeCell ref="FF111:FF113"/>
    <mergeCell ref="FG111:FG113"/>
    <mergeCell ref="FH111:FH113"/>
    <mergeCell ref="FI111:FI113"/>
    <mergeCell ref="FJ111:FJ113"/>
    <mergeCell ref="FK111:FK113"/>
    <mergeCell ref="FL111:FL113"/>
    <mergeCell ref="FM111:FM113"/>
    <mergeCell ref="FN111:FN113"/>
    <mergeCell ref="FO111:FO113"/>
    <mergeCell ref="FP111:FP113"/>
    <mergeCell ref="FQ111:FQ113"/>
    <mergeCell ref="FR111:FR113"/>
    <mergeCell ref="FS111:FS113"/>
    <mergeCell ref="FT111:FT113"/>
    <mergeCell ref="FU111:FU113"/>
    <mergeCell ref="FV111:FV113"/>
    <mergeCell ref="FW111:FW113"/>
    <mergeCell ref="FX111:FX113"/>
    <mergeCell ref="FY111:FY113"/>
    <mergeCell ref="FZ111:FZ113"/>
    <mergeCell ref="GA111:GA113"/>
    <mergeCell ref="GB111:GB113"/>
    <mergeCell ref="GC111:GC113"/>
    <mergeCell ref="GD111:GD113"/>
    <mergeCell ref="GE111:GE113"/>
    <mergeCell ref="GF111:GF113"/>
    <mergeCell ref="GG111:GG113"/>
    <mergeCell ref="GH111:GH113"/>
    <mergeCell ref="GI111:GI113"/>
    <mergeCell ref="GJ111:GJ113"/>
    <mergeCell ref="GK111:GK113"/>
    <mergeCell ref="GL111:GL113"/>
    <mergeCell ref="GM111:GM113"/>
    <mergeCell ref="GN111:GN113"/>
    <mergeCell ref="GO111:GO113"/>
    <mergeCell ref="GP111:GP113"/>
    <mergeCell ref="GQ111:GQ113"/>
    <mergeCell ref="GR111:GR113"/>
    <mergeCell ref="GS111:GS113"/>
    <mergeCell ref="GT111:GT113"/>
    <mergeCell ref="GU111:GU113"/>
    <mergeCell ref="GV111:GV113"/>
    <mergeCell ref="GW111:GW113"/>
    <mergeCell ref="GX111:GX113"/>
    <mergeCell ref="GY111:GY113"/>
    <mergeCell ref="GZ111:GZ113"/>
    <mergeCell ref="HA111:HA113"/>
    <mergeCell ref="HB111:HB113"/>
    <mergeCell ref="HC111:HC113"/>
    <mergeCell ref="HD111:HD113"/>
    <mergeCell ref="HE111:HE113"/>
    <mergeCell ref="HF111:HF113"/>
    <mergeCell ref="HG111:HG113"/>
    <mergeCell ref="HH111:HH113"/>
    <mergeCell ref="HI111:HI113"/>
    <mergeCell ref="HJ111:HJ113"/>
    <mergeCell ref="HK111:HK113"/>
    <mergeCell ref="HL111:HL113"/>
    <mergeCell ref="HM111:HM113"/>
    <mergeCell ref="HN111:HN113"/>
    <mergeCell ref="HO111:HO113"/>
    <mergeCell ref="HP111:HP113"/>
    <mergeCell ref="HQ111:HQ113"/>
    <mergeCell ref="HR111:HR113"/>
    <mergeCell ref="HS111:HS113"/>
    <mergeCell ref="HT111:HT113"/>
    <mergeCell ref="HU111:HU113"/>
    <mergeCell ref="HV111:HV113"/>
    <mergeCell ref="IN111:IN113"/>
    <mergeCell ref="HW111:HW113"/>
    <mergeCell ref="HX111:HX113"/>
    <mergeCell ref="HY111:HY113"/>
    <mergeCell ref="HZ111:HZ113"/>
    <mergeCell ref="IA111:IA113"/>
    <mergeCell ref="IB111:IB113"/>
    <mergeCell ref="IC111:IC113"/>
    <mergeCell ref="ID111:ID113"/>
    <mergeCell ref="IE111:IE113"/>
    <mergeCell ref="IO111:IO113"/>
    <mergeCell ref="IF111:IF113"/>
    <mergeCell ref="IY111:IY113"/>
    <mergeCell ref="IZ111:IZ113"/>
    <mergeCell ref="JA111:JA113"/>
    <mergeCell ref="JB111:JB113"/>
    <mergeCell ref="JC111:JC113"/>
    <mergeCell ref="EB111:EB113"/>
    <mergeCell ref="IP111:IP113"/>
    <mergeCell ref="IQ111:IQ113"/>
    <mergeCell ref="IR111:IR113"/>
    <mergeCell ref="IS111:IS113"/>
    <mergeCell ref="IT111:IT113"/>
    <mergeCell ref="IU111:IU113"/>
    <mergeCell ref="IV111:IV113"/>
    <mergeCell ref="IW111:IW113"/>
    <mergeCell ref="IX111:IX113"/>
    <mergeCell ref="IG111:IG113"/>
    <mergeCell ref="IH111:IH113"/>
    <mergeCell ref="II111:II113"/>
    <mergeCell ref="IJ111:IJ113"/>
    <mergeCell ref="IK111:IK113"/>
    <mergeCell ref="IL111:IL113"/>
    <mergeCell ref="IM111:IM113"/>
  </mergeCells>
  <conditionalFormatting sqref="EG106:JC106">
    <cfRule type="expression" dxfId="720" priority="242">
      <formula>(EG127&gt;0)</formula>
    </cfRule>
  </conditionalFormatting>
  <conditionalFormatting sqref="EG97:JC97">
    <cfRule type="expression" dxfId="719" priority="237">
      <formula>TRUE</formula>
    </cfRule>
  </conditionalFormatting>
  <conditionalFormatting sqref="EF129:EF304">
    <cfRule type="expression" dxfId="718" priority="82">
      <formula>($AD129=1)</formula>
    </cfRule>
    <cfRule type="expression" dxfId="717" priority="232">
      <formula>TRUE</formula>
    </cfRule>
  </conditionalFormatting>
  <conditionalFormatting sqref="A136:A138 A129:A132 A141:A147 A149:A304">
    <cfRule type="expression" dxfId="716" priority="231">
      <formula>TRUE</formula>
    </cfRule>
  </conditionalFormatting>
  <conditionalFormatting sqref="EA43:EA96">
    <cfRule type="expression" dxfId="715" priority="233">
      <formula>(#REF!="P")</formula>
    </cfRule>
    <cfRule type="expression" dxfId="714" priority="234">
      <formula>(#REF!="B")</formula>
    </cfRule>
    <cfRule type="expression" dxfId="713" priority="235">
      <formula>(#REF!="G")</formula>
    </cfRule>
    <cfRule type="expression" dxfId="712" priority="236">
      <formula>(#REF!="O")</formula>
    </cfRule>
  </conditionalFormatting>
  <conditionalFormatting sqref="EG43:JC96">
    <cfRule type="expression" dxfId="711" priority="220" stopIfTrue="1">
      <formula>ISBLANK(EG43)</formula>
    </cfRule>
    <cfRule type="expression" priority="254" stopIfTrue="1">
      <formula>(EG43=0)</formula>
    </cfRule>
    <cfRule type="expression" dxfId="710" priority="256" stopIfTrue="1">
      <formula>(EG43&gt;=$AH43)</formula>
    </cfRule>
    <cfRule type="expression" dxfId="709" priority="257" stopIfTrue="1">
      <formula>(EG43&gt;=$AF43)</formula>
    </cfRule>
    <cfRule type="expression" dxfId="708" priority="258">
      <formula>(EG43&gt;0)</formula>
    </cfRule>
  </conditionalFormatting>
  <conditionalFormatting sqref="A134:A135">
    <cfRule type="expression" dxfId="707" priority="219">
      <formula>TRUE</formula>
    </cfRule>
  </conditionalFormatting>
  <conditionalFormatting sqref="A139">
    <cfRule type="expression" dxfId="706" priority="218">
      <formula>TRUE</formula>
    </cfRule>
  </conditionalFormatting>
  <conditionalFormatting sqref="A140">
    <cfRule type="expression" dxfId="705" priority="217">
      <formula>TRUE</formula>
    </cfRule>
  </conditionalFormatting>
  <conditionalFormatting sqref="EG127:JC127">
    <cfRule type="expression" dxfId="704" priority="26">
      <formula>(EG18=1)</formula>
    </cfRule>
    <cfRule type="expression" dxfId="703" priority="28">
      <formula>AND(EG127&gt;0,EG$17=0)</formula>
    </cfRule>
    <cfRule type="expression" dxfId="702" priority="214">
      <formula>AND(EG127&gt;0,EG$17=1)</formula>
    </cfRule>
  </conditionalFormatting>
  <conditionalFormatting sqref="EC115">
    <cfRule type="expression" dxfId="701" priority="213">
      <formula>(#REF!&gt;0)</formula>
    </cfRule>
  </conditionalFormatting>
  <conditionalFormatting sqref="EC117">
    <cfRule type="expression" dxfId="700" priority="212">
      <formula>(#REF!&gt;0)</formula>
    </cfRule>
  </conditionalFormatting>
  <conditionalFormatting sqref="EC117">
    <cfRule type="expression" dxfId="699" priority="211">
      <formula>(#REF!&gt;0)</formula>
    </cfRule>
  </conditionalFormatting>
  <conditionalFormatting sqref="DX129:DX304 DR129:DR304">
    <cfRule type="expression" dxfId="698" priority="208">
      <formula>($AD129&lt;&gt;3)</formula>
    </cfRule>
  </conditionalFormatting>
  <conditionalFormatting sqref="K129:K304">
    <cfRule type="expression" dxfId="697" priority="203">
      <formula>($AD129&lt;&gt;3)</formula>
    </cfRule>
  </conditionalFormatting>
  <conditionalFormatting sqref="D129:D304">
    <cfRule type="expression" dxfId="696" priority="202">
      <formula>($AD129&lt;&gt;3)</formula>
    </cfRule>
  </conditionalFormatting>
  <conditionalFormatting sqref="L129:L304">
    <cfRule type="expression" dxfId="695" priority="201" stopIfTrue="1">
      <formula>(L129&gt;0)</formula>
    </cfRule>
  </conditionalFormatting>
  <conditionalFormatting sqref="EC115 EC117">
    <cfRule type="expression" dxfId="694" priority="270">
      <formula>(EB$19&gt;$EB$19)</formula>
    </cfRule>
  </conditionalFormatting>
  <conditionalFormatting sqref="DW129:DW304">
    <cfRule type="expression" dxfId="693" priority="196">
      <formula>(DW129&lt;&gt;0)</formula>
    </cfRule>
  </conditionalFormatting>
  <conditionalFormatting sqref="R117:S117 DP117:DQ117">
    <cfRule type="expression" dxfId="692" priority="185">
      <formula>ISBLANK(R117)</formula>
    </cfRule>
  </conditionalFormatting>
  <conditionalFormatting sqref="A133">
    <cfRule type="expression" dxfId="691" priority="184">
      <formula>TRUE</formula>
    </cfRule>
  </conditionalFormatting>
  <conditionalFormatting sqref="A148">
    <cfRule type="expression" dxfId="690" priority="181">
      <formula>TRUE</formula>
    </cfRule>
  </conditionalFormatting>
  <conditionalFormatting sqref="ED129:ED130">
    <cfRule type="expression" dxfId="689" priority="288">
      <formula>($C$6="F")</formula>
    </cfRule>
  </conditionalFormatting>
  <conditionalFormatting sqref="R115:S115">
    <cfRule type="expression" dxfId="688" priority="22">
      <formula>ISBLANK($S$115)</formula>
    </cfRule>
    <cfRule type="expression" dxfId="687" priority="76">
      <formula>NOT($C$3)</formula>
    </cfRule>
    <cfRule type="expression" dxfId="686" priority="308">
      <formula>($C$6="B")</formula>
    </cfRule>
    <cfRule type="expression" dxfId="685" priority="309">
      <formula>($C$6="F")</formula>
    </cfRule>
  </conditionalFormatting>
  <conditionalFormatting sqref="B129:C304">
    <cfRule type="expression" dxfId="684" priority="192" stopIfTrue="1">
      <formula>($AD129=1)</formula>
    </cfRule>
    <cfRule type="expression" dxfId="683" priority="193" stopIfTrue="1">
      <formula>($AD129=2)</formula>
    </cfRule>
  </conditionalFormatting>
  <conditionalFormatting sqref="B129:B304">
    <cfRule type="expression" dxfId="682" priority="206" stopIfTrue="1">
      <formula>AND(AD129=3,B129&gt;0)</formula>
    </cfRule>
    <cfRule type="expression" dxfId="681" priority="207" stopIfTrue="1">
      <formula>AND($AD129=3,B129&lt;0)</formula>
    </cfRule>
  </conditionalFormatting>
  <conditionalFormatting sqref="I129:J304">
    <cfRule type="expression" dxfId="680" priority="46" stopIfTrue="1">
      <formula>($AD129=1)</formula>
    </cfRule>
    <cfRule type="expression" dxfId="679" priority="127" stopIfTrue="1">
      <formula>($AD129=2)</formula>
    </cfRule>
  </conditionalFormatting>
  <conditionalFormatting sqref="DV129:DV304">
    <cfRule type="expression" dxfId="678" priority="187">
      <formula>(DP129&lt;0)</formula>
    </cfRule>
    <cfRule type="expression" dxfId="677" priority="200" stopIfTrue="1">
      <formula>(DV129&gt;0)</formula>
    </cfRule>
  </conditionalFormatting>
  <conditionalFormatting sqref="DP124:DP125">
    <cfRule type="expression" dxfId="676" priority="171">
      <formula>ISBLANK(DP124)</formula>
    </cfRule>
  </conditionalFormatting>
  <conditionalFormatting sqref="S124:S125">
    <cfRule type="expression" dxfId="675" priority="170">
      <formula>ISBLANK(S124)</formula>
    </cfRule>
  </conditionalFormatting>
  <conditionalFormatting sqref="DY43:EC96">
    <cfRule type="expression" dxfId="674" priority="9084">
      <formula>ISBLANK(DY43)</formula>
    </cfRule>
    <cfRule type="expression" dxfId="673" priority="9085">
      <formula>($AE43="P")</formula>
    </cfRule>
    <cfRule type="expression" dxfId="672" priority="9086">
      <formula>($AE43="B")</formula>
    </cfRule>
    <cfRule type="expression" dxfId="671" priority="9087">
      <formula>($AE43="G")</formula>
    </cfRule>
    <cfRule type="expression" dxfId="670" priority="9088">
      <formula>($AE43="O")</formula>
    </cfRule>
  </conditionalFormatting>
  <conditionalFormatting sqref="DY129:EC304">
    <cfRule type="expression" dxfId="669" priority="147" stopIfTrue="1">
      <formula>($AK129="B")</formula>
    </cfRule>
    <cfRule type="expression" dxfId="668" priority="150" stopIfTrue="1">
      <formula>($AK129="G")</formula>
    </cfRule>
    <cfRule type="expression" dxfId="667" priority="153" stopIfTrue="1">
      <formula>($AK129="P")</formula>
    </cfRule>
    <cfRule type="expression" dxfId="666" priority="154" stopIfTrue="1">
      <formula>($AK129="O")</formula>
    </cfRule>
  </conditionalFormatting>
  <conditionalFormatting sqref="EH126:JC126">
    <cfRule type="expression" dxfId="665" priority="25">
      <formula>(EH18=1)</formula>
    </cfRule>
    <cfRule type="expression" dxfId="664" priority="123">
      <formula>(EH$17=0)</formula>
    </cfRule>
    <cfRule type="expression" dxfId="663" priority="139">
      <formula>($DY$3=2)</formula>
    </cfRule>
  </conditionalFormatting>
  <conditionalFormatting sqref="EG97:JC97">
    <cfRule type="expression" dxfId="662" priority="138">
      <formula>($DY$3=2)</formula>
    </cfRule>
  </conditionalFormatting>
  <conditionalFormatting sqref="S129:S304">
    <cfRule type="expression" dxfId="661" priority="10193">
      <formula>AND($AD129=3,$B129&lt;&gt;0)</formula>
    </cfRule>
  </conditionalFormatting>
  <conditionalFormatting sqref="DS129:DS304">
    <cfRule type="expression" dxfId="660" priority="10213" stopIfTrue="1">
      <formula>($AD129=1)</formula>
    </cfRule>
    <cfRule type="expression" dxfId="659" priority="10215">
      <formula>AND(NOT(ISBLANK($N129)),$AD129=2)</formula>
    </cfRule>
  </conditionalFormatting>
  <conditionalFormatting sqref="DT129:DW304">
    <cfRule type="expression" dxfId="658" priority="58" stopIfTrue="1">
      <formula>($AD129=1)</formula>
    </cfRule>
    <cfRule type="expression" dxfId="657" priority="94" stopIfTrue="1">
      <formula>($AD129=2)</formula>
    </cfRule>
  </conditionalFormatting>
  <conditionalFormatting sqref="EG129:JC304">
    <cfRule type="expression" priority="29" stopIfTrue="1">
      <formula>AND(EG129=0,$N129=0,#REF!=0,EG$18=0,EG$20=0,EG$21=0)</formula>
    </cfRule>
    <cfRule type="expression" dxfId="656" priority="37" stopIfTrue="1">
      <formula>($AD129=1)</formula>
    </cfRule>
    <cfRule type="expression" dxfId="655" priority="59" stopIfTrue="1">
      <formula>($AD129=2)</formula>
    </cfRule>
    <cfRule type="expression" dxfId="654" priority="131" stopIfTrue="1">
      <formula>AND($AQ129=1,EG$17=1)</formula>
    </cfRule>
    <cfRule type="expression" dxfId="653" priority="10540">
      <formula>(EG$24="P")</formula>
    </cfRule>
    <cfRule type="expression" dxfId="652" priority="10541">
      <formula>(EG$24="Q")</formula>
    </cfRule>
    <cfRule type="expression" dxfId="651" priority="10542">
      <formula>(EG$24="Y")</formula>
    </cfRule>
    <cfRule type="expression" dxfId="650" priority="10543" stopIfTrue="1">
      <formula>AND(NOT(ISBLANK(EG129)),EG$17=0)</formula>
    </cfRule>
    <cfRule type="expression" dxfId="649" priority="10544" stopIfTrue="1">
      <formula>AND(NOT(ISBLANK(EG129)),$DF129=0)</formula>
    </cfRule>
    <cfRule type="expression" dxfId="648" priority="10545" stopIfTrue="1">
      <formula>(EG$17=0)</formula>
    </cfRule>
    <cfRule type="expression" dxfId="647" priority="10546">
      <formula>(EG129&lt;0)</formula>
    </cfRule>
    <cfRule type="expression" dxfId="646" priority="10547" stopIfTrue="1">
      <formula>AND(EG129&gt;0,$DH129="N")</formula>
    </cfRule>
    <cfRule type="expression" dxfId="645" priority="10548" stopIfTrue="1">
      <formula>(EG129&gt;0)</formula>
    </cfRule>
  </conditionalFormatting>
  <conditionalFormatting sqref="R129:R304">
    <cfRule type="expression" dxfId="644" priority="11242">
      <formula>AND($AD129=3,OR($DF129=0,$AG129=0))</formula>
    </cfRule>
    <cfRule type="expression" dxfId="643" priority="11243">
      <formula>AND($AD129=3,$B129&lt;&gt;0)</formula>
    </cfRule>
  </conditionalFormatting>
  <conditionalFormatting sqref="DU129:DU304">
    <cfRule type="expression" dxfId="642" priority="95">
      <formula>(DU129&lt;0)</formula>
    </cfRule>
    <cfRule type="expression" dxfId="641" priority="10526">
      <formula>AND(NOT(ISBLANK(DU129)),$DE129=0)</formula>
    </cfRule>
    <cfRule type="expression" dxfId="640" priority="10527">
      <formula>NOT(ISBLANK(DU129))</formula>
    </cfRule>
  </conditionalFormatting>
  <conditionalFormatting sqref="EA129:EA304">
    <cfRule type="expression" dxfId="639" priority="146">
      <formula>NOT(ISBLANK($DV129))</formula>
    </cfRule>
  </conditionalFormatting>
  <conditionalFormatting sqref="EG25:JC25">
    <cfRule type="cellIs" dxfId="638" priority="129" operator="equal">
      <formula>1</formula>
    </cfRule>
  </conditionalFormatting>
  <conditionalFormatting sqref="EG23:JC23">
    <cfRule type="cellIs" dxfId="637" priority="128" operator="equal">
      <formula>1</formula>
    </cfRule>
  </conditionalFormatting>
  <conditionalFormatting sqref="EG109:JC109">
    <cfRule type="expression" dxfId="636" priority="126">
      <formula>ISBLANK(EG109)</formula>
    </cfRule>
  </conditionalFormatting>
  <conditionalFormatting sqref="EG115:JC115">
    <cfRule type="expression" dxfId="635" priority="125">
      <formula>ISBLANK(EG115)</formula>
    </cfRule>
  </conditionalFormatting>
  <conditionalFormatting sqref="EG117:JC118">
    <cfRule type="expression" dxfId="634" priority="124">
      <formula>ISBLANK(EG117)</formula>
    </cfRule>
  </conditionalFormatting>
  <conditionalFormatting sqref="EG97:JC106">
    <cfRule type="expression" dxfId="633" priority="122">
      <formula>ISBLANK(EG97)</formula>
    </cfRule>
  </conditionalFormatting>
  <conditionalFormatting sqref="EG27:JC27">
    <cfRule type="cellIs" dxfId="632" priority="121" operator="equal">
      <formula>1</formula>
    </cfRule>
  </conditionalFormatting>
  <conditionalFormatting sqref="EG123:JC124">
    <cfRule type="expression" dxfId="631" priority="116">
      <formula>NOT(_xlfn.ISFORMULA(EG123))</formula>
    </cfRule>
    <cfRule type="expression" dxfId="630" priority="117">
      <formula>ISEVEN(EG123)</formula>
    </cfRule>
  </conditionalFormatting>
  <conditionalFormatting sqref="BX129:CG129 BX130:BX212 BW129:BW212 BW213:BX304">
    <cfRule type="expression" dxfId="629" priority="113">
      <formula>AND($AD129=3,$CV129=0)</formula>
    </cfRule>
  </conditionalFormatting>
  <conditionalFormatting sqref="BX129:CG129">
    <cfRule type="expression" dxfId="628" priority="108">
      <formula>ISBLANK(BX129)</formula>
    </cfRule>
  </conditionalFormatting>
  <conditionalFormatting sqref="BX129:CG129">
    <cfRule type="expression" dxfId="627" priority="110">
      <formula>($AD129=1)</formula>
    </cfRule>
    <cfRule type="expression" dxfId="626" priority="111">
      <formula>($AD129=2)</formula>
    </cfRule>
  </conditionalFormatting>
  <conditionalFormatting sqref="E129:E304">
    <cfRule type="expression" dxfId="625" priority="12433" stopIfTrue="1">
      <formula>AND(E129&gt;0,OR($F129=$C$20,$F129="Pending",F129="Pend w FC"))</formula>
    </cfRule>
    <cfRule type="expression" dxfId="624" priority="12434" stopIfTrue="1">
      <formula>AND(E129&gt;0,F129="Approved")</formula>
    </cfRule>
    <cfRule type="expression" dxfId="623" priority="12436" stopIfTrue="1">
      <formula>AND(E129&gt;0,F129="Exclude")</formula>
    </cfRule>
  </conditionalFormatting>
  <conditionalFormatting sqref="DT117">
    <cfRule type="expression" dxfId="622" priority="102">
      <formula>OR($C$6="F",DT117&gt;0)</formula>
    </cfRule>
  </conditionalFormatting>
  <conditionalFormatting sqref="J129:J304">
    <cfRule type="expression" dxfId="621" priority="12610">
      <formula>AND($C$10,$DK129=1)</formula>
    </cfRule>
    <cfRule type="expression" dxfId="620" priority="12611">
      <formula>(DI129=1)</formula>
    </cfRule>
    <cfRule type="expression" dxfId="619" priority="12612">
      <formula>AND($C$10,$DJ129=1)</formula>
    </cfRule>
    <cfRule type="expression" dxfId="618" priority="12613">
      <formula>(J129&gt;0)</formula>
    </cfRule>
  </conditionalFormatting>
  <conditionalFormatting sqref="F129:F304">
    <cfRule type="expression" dxfId="617" priority="12441">
      <formula>($F129="Approved")</formula>
    </cfRule>
    <cfRule type="expression" dxfId="616" priority="12442">
      <formula>($F129="Exclude")</formula>
    </cfRule>
    <cfRule type="expression" dxfId="615" priority="12443">
      <formula>OR($F129="Pending",$F129="Pend w FC")</formula>
    </cfRule>
  </conditionalFormatting>
  <conditionalFormatting sqref="G129:G304">
    <cfRule type="expression" dxfId="614" priority="12432" stopIfTrue="1">
      <formula>(AG129=0)</formula>
    </cfRule>
    <cfRule type="expression" dxfId="613" priority="12444" stopIfTrue="1">
      <formula>AND(CX129=1,Z129=0)</formula>
    </cfRule>
  </conditionalFormatting>
  <conditionalFormatting sqref="Q119">
    <cfRule type="expression" dxfId="612" priority="40">
      <formula>OR(NOT(_xlfn.ISFORMULA(R119)),NOT(_xlfn.ISFORMULA(S119)))</formula>
    </cfRule>
    <cfRule type="expression" dxfId="611" priority="74">
      <formula>($C$6="B")</formula>
    </cfRule>
  </conditionalFormatting>
  <conditionalFormatting sqref="R119:S119 DP119">
    <cfRule type="expression" dxfId="610" priority="73">
      <formula>($C$6="B")</formula>
    </cfRule>
  </conditionalFormatting>
  <conditionalFormatting sqref="DP120">
    <cfRule type="expression" dxfId="609" priority="69">
      <formula>($C$6="B")</formula>
    </cfRule>
  </conditionalFormatting>
  <conditionalFormatting sqref="P121">
    <cfRule type="expression" dxfId="608" priority="61">
      <formula>OR($C$6&lt;&gt;"F",$U$121=0)</formula>
    </cfRule>
  </conditionalFormatting>
  <conditionalFormatting sqref="DV129:DW304">
    <cfRule type="expression" dxfId="607" priority="199" stopIfTrue="1">
      <formula>AND(NOT(ISBLANK(DV129)),OR(DV129=0,$DE129=0))</formula>
    </cfRule>
  </conditionalFormatting>
  <conditionalFormatting sqref="P122:P123">
    <cfRule type="expression" dxfId="606" priority="75">
      <formula>($AO$127=0)</formula>
    </cfRule>
  </conditionalFormatting>
  <conditionalFormatting sqref="DS121">
    <cfRule type="expression" dxfId="605" priority="31">
      <formula>($C$6="F")</formula>
    </cfRule>
  </conditionalFormatting>
  <conditionalFormatting sqref="DP122:DQ122">
    <cfRule type="expression" dxfId="604" priority="34">
      <formula>AND($AO$127=1,$C$6="F",NOT(_xlfn.ISFORMULA(DP122)))</formula>
    </cfRule>
    <cfRule type="expression" dxfId="603" priority="35">
      <formula>AND($AO$127=1,$C$6="F")</formula>
    </cfRule>
    <cfRule type="expression" dxfId="602" priority="177">
      <formula>OR($W$122=0,$C$6="B")</formula>
    </cfRule>
  </conditionalFormatting>
  <conditionalFormatting sqref="DS119:DS120">
    <cfRule type="expression" dxfId="601" priority="30">
      <formula>($C$6="B")</formula>
    </cfRule>
  </conditionalFormatting>
  <conditionalFormatting sqref="EG126">
    <cfRule type="expression" dxfId="600" priority="24">
      <formula>($DY$3=2)</formula>
    </cfRule>
  </conditionalFormatting>
  <conditionalFormatting sqref="EH122:JC126">
    <cfRule type="expression" dxfId="599" priority="312">
      <formula>(EH$24="P")</formula>
    </cfRule>
    <cfRule type="expression" dxfId="598" priority="313">
      <formula>(EH$24="Q")</formula>
    </cfRule>
    <cfRule type="expression" dxfId="597" priority="314">
      <formula>(EH$24="Y")</formula>
    </cfRule>
  </conditionalFormatting>
  <conditionalFormatting sqref="S113:DQ113">
    <cfRule type="expression" dxfId="596" priority="21">
      <formula>NOT($C$3)</formula>
    </cfRule>
  </conditionalFormatting>
  <conditionalFormatting sqref="EE129:EE304">
    <cfRule type="expression" dxfId="595" priority="20" stopIfTrue="1">
      <formula>(EE129&gt;0)</formula>
    </cfRule>
    <cfRule type="expression" dxfId="594" priority="83" stopIfTrue="1">
      <formula>(EE129&lt;0)</formula>
    </cfRule>
    <cfRule type="expression" dxfId="593" priority="84" stopIfTrue="1">
      <formula>AND(EE129=0,NOT(ISBLANK(EE129)))</formula>
    </cfRule>
  </conditionalFormatting>
  <conditionalFormatting sqref="DY129:EE304">
    <cfRule type="expression" dxfId="592" priority="17" stopIfTrue="1">
      <formula>($AD129=1)</formula>
    </cfRule>
    <cfRule type="expression" dxfId="591" priority="19" stopIfTrue="1">
      <formula>($AD129=2)</formula>
    </cfRule>
  </conditionalFormatting>
  <conditionalFormatting sqref="E129:G304">
    <cfRule type="expression" dxfId="590" priority="10" stopIfTrue="1">
      <formula>($AD129=1)</formula>
    </cfRule>
    <cfRule type="expression" dxfId="589" priority="14" stopIfTrue="1">
      <formula>($AD129=2)</formula>
    </cfRule>
  </conditionalFormatting>
  <conditionalFormatting sqref="M129:M304">
    <cfRule type="expression" dxfId="588" priority="10204" stopIfTrue="1">
      <formula>($AD129=1)</formula>
    </cfRule>
    <cfRule type="expression" dxfId="587" priority="10205" stopIfTrue="1">
      <formula>AND(NOT(ISBLANK($M129)),$AD129=2)</formula>
    </cfRule>
    <cfRule type="expression" dxfId="586" priority="10206" stopIfTrue="1">
      <formula>AND(NOT(ISBLANK($M129)),$AD129=3)</formula>
    </cfRule>
  </conditionalFormatting>
  <conditionalFormatting sqref="R129:DQ304">
    <cfRule type="expression" dxfId="585" priority="227" stopIfTrue="1">
      <formula>ISBLANK(R129)</formula>
    </cfRule>
  </conditionalFormatting>
  <conditionalFormatting sqref="N129:DQ304">
    <cfRule type="expression" dxfId="584" priority="10208" stopIfTrue="1">
      <formula>($AD129=1)</formula>
    </cfRule>
    <cfRule type="expression" dxfId="583" priority="11240" stopIfTrue="1">
      <formula>($AD129=2)</formula>
    </cfRule>
    <cfRule type="expression" dxfId="582" priority="12547">
      <formula>AND($AD129=3,$DF129=0)</formula>
    </cfRule>
  </conditionalFormatting>
  <conditionalFormatting sqref="P119">
    <cfRule type="expression" dxfId="581" priority="9">
      <formula>($C$6="B")</formula>
    </cfRule>
  </conditionalFormatting>
  <conditionalFormatting sqref="Q120">
    <cfRule type="expression" dxfId="580" priority="8">
      <formula>($C$6="B")</formula>
    </cfRule>
  </conditionalFormatting>
  <conditionalFormatting sqref="Q119 S120:S121 DP120">
    <cfRule type="expression" dxfId="579" priority="6">
      <formula>($G$17=0)</formula>
    </cfRule>
  </conditionalFormatting>
  <conditionalFormatting sqref="Q121">
    <cfRule type="expression" dxfId="578" priority="5">
      <formula>($C$6="B")</formula>
    </cfRule>
  </conditionalFormatting>
  <conditionalFormatting sqref="S120:S121">
    <cfRule type="expression" dxfId="577" priority="4">
      <formula>($C$6="B")</formula>
    </cfRule>
  </conditionalFormatting>
  <conditionalFormatting sqref="DP121">
    <cfRule type="expression" dxfId="576" priority="14168">
      <formula>AND($C$6="F",$U$121&gt;0,NOT(_xlfn.ISFORMULA(HK122)))</formula>
    </cfRule>
    <cfRule type="expression" dxfId="575" priority="14169">
      <formula>AND($C$6="F",$U$121&gt;0)</formula>
    </cfRule>
    <cfRule type="expression" dxfId="574" priority="14170">
      <formula>OR($C$6&lt;&gt;"F",$U$121=0)</formula>
    </cfRule>
    <cfRule type="expression" dxfId="573" priority="14171">
      <formula>ISBLANK(DP121)</formula>
    </cfRule>
  </conditionalFormatting>
  <conditionalFormatting sqref="EG110:JC110">
    <cfRule type="expression" dxfId="572" priority="1">
      <formula>(EG$122="Y")</formula>
    </cfRule>
    <cfRule type="expression" dxfId="571" priority="2">
      <formula>(EG$122="Q")</formula>
    </cfRule>
    <cfRule type="expression" dxfId="570" priority="3">
      <formula>(EG$122="P")</formula>
    </cfRule>
  </conditionalFormatting>
  <conditionalFormatting sqref="EG109:JC118">
    <cfRule type="expression" dxfId="569" priority="14165">
      <formula>(EG$122="Y")</formula>
    </cfRule>
    <cfRule type="expression" dxfId="568" priority="14166">
      <formula>(EG$122="Q")</formula>
    </cfRule>
    <cfRule type="expression" dxfId="567" priority="14167">
      <formula>(EG$122="P")</formula>
    </cfRule>
  </conditionalFormatting>
  <conditionalFormatting sqref="S119 DP119">
    <cfRule type="expression" dxfId="566" priority="38">
      <formula>AND($C$6="F",NOT(_xlfn.ISFORMULA(S119)))</formula>
    </cfRule>
    <cfRule type="expression" dxfId="565" priority="41">
      <formula>($C$6="F")</formula>
    </cfRule>
  </conditionalFormatting>
  <dataValidations count="8">
    <dataValidation type="custom" allowBlank="1" showInputMessage="1" showErrorMessage="1" error="In weekly mode, this date must be a FRIDAY" promptTitle="Must be a FRIDAY" sqref="EG126" xr:uid="{00000000-0002-0000-0800-000000000000}">
      <formula1>OR(WEEKDAY(EG126)=6,$DY$3=2)</formula1>
    </dataValidation>
    <dataValidation type="custom" allowBlank="1" showInputMessage="1" showErrorMessage="1" sqref="DY43:ED96 EG97:JC97 D3:D5 ED129:ED304 DZ129:EA304" xr:uid="{00000000-0002-0000-0800-000001000000}">
      <formula1>""""""</formula1>
    </dataValidation>
    <dataValidation type="list" allowBlank="1" showInputMessage="1" showErrorMessage="1" sqref="EE126" xr:uid="{00000000-0002-0000-0800-000002000000}">
      <formula1>$DY$4:$DY$5</formula1>
    </dataValidation>
    <dataValidation type="list" allowBlank="1" showInputMessage="1" showErrorMessage="1" sqref="B129:B304" xr:uid="{00000000-0002-0000-0800-000004000000}">
      <formula1>$C$24:$C$38</formula1>
    </dataValidation>
    <dataValidation type="list" allowBlank="1" showInputMessage="1" showErrorMessage="1" sqref="G129:G304" xr:uid="{00000000-0002-0000-0800-000005000000}">
      <formula1>$G$12:$G$14</formula1>
    </dataValidation>
    <dataValidation type="list" allowBlank="1" showInputMessage="1" showErrorMessage="1" sqref="F129:F304" xr:uid="{00000000-0002-0000-0800-000007000000}">
      <formula1>$C$14:$C$18</formula1>
    </dataValidation>
    <dataValidation type="custom" allowBlank="1" showInputMessage="1" showErrorMessage="1" error="Please do not overtype formulae" sqref="DI122:DI128 CY127:CY128 CY122:CY125 DH127:DH128 CZ122:DG304 DH122:DH125 W123:W304 R122:V304 X122:CX304 DJ122:DO304 DQ122:DQ304 DP122 DP124:DP304" xr:uid="{96ECB4AB-F397-48F9-8DDC-D4115F4209C7}">
      <formula1>""""""</formula1>
    </dataValidation>
    <dataValidation allowBlank="1" showInputMessage="1" showErrorMessage="1" error="Please do not overtype formulae" sqref="CY126 CY129:CY304 DH126 DH129:DI304 W122 DP123" xr:uid="{01CE8735-E895-4131-9CC3-39BFBBAC1397}"/>
  </dataValidations>
  <pageMargins left="0.31496062992125984" right="0.31496062992125984" top="0.74803149606299213" bottom="0.35433070866141736" header="0.31496062992125984" footer="0.31496062992125984"/>
  <pageSetup paperSize="8" scale="70"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7" id="{8C4CB4B0-1FCB-4A49-ABC5-27CF49A1E868}">
            <xm:f>OR('1 Setup'!$G$8=4,'1 Setup'!$G$8=5)</xm:f>
            <x14:dxf>
              <font>
                <color theme="1"/>
              </font>
              <fill>
                <patternFill>
                  <bgColor theme="0"/>
                </patternFill>
              </fill>
            </x14:dxf>
          </x14:cfRule>
          <xm:sqref>Q122:Q123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8000000}">
          <x14:formula1>
            <xm:f>OFFSET('3c Plan Analysis'!$DC$18:$DJ$18,0,0,1,COUNTA('3c Plan Analysis'!$DC$18:$DJ$18))</xm:f>
          </x14:formula1>
          <xm:sqref>C129:C304</xm:sqref>
        </x14:dataValidation>
        <x14:dataValidation type="list" allowBlank="1" showInputMessage="1" showErrorMessage="1" xr:uid="{00000000-0002-0000-0800-000009000000}">
          <x14:formula1>
            <xm:f>'2 Staff List'!$HB$45:$HB$52</xm:f>
          </x14:formula1>
          <xm:sqref>DT129:DT304</xm:sqref>
        </x14:dataValidation>
        <x14:dataValidation type="list" allowBlank="1" showInputMessage="1" showErrorMessage="1" xr:uid="{00000000-0002-0000-0800-00000A000000}">
          <x14:formula1>
            <xm:f>OFFSET('5  Control Accounts'!$BJ$29,0,0,$J$11,1)</xm:f>
          </x14:formula1>
          <xm:sqref>J129:J304</xm:sqref>
        </x14:dataValidation>
        <x14:dataValidation type="list" allowBlank="1" showInputMessage="1" showErrorMessage="1" xr:uid="{00000000-0002-0000-0800-00000B000000}">
          <x14:formula1>
            <xm:f>OFFSET('2 Staff List'!$IA$64,0,0,'2 Staff List'!$GV$62)</xm:f>
          </x14:formula1>
          <xm:sqref>DY129:DY304</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LT389"/>
  <sheetViews>
    <sheetView showGridLines="0" tabSelected="1" topLeftCell="A155" zoomScale="90" zoomScaleNormal="90" workbookViewId="0">
      <selection activeCell="GT182" sqref="GT182:HE186"/>
    </sheetView>
  </sheetViews>
  <sheetFormatPr defaultColWidth="9.109375" defaultRowHeight="14.4" x14ac:dyDescent="0.3"/>
  <cols>
    <col min="1" max="1" width="1.88671875" style="1" customWidth="1"/>
    <col min="2" max="2" width="6.44140625" style="1" customWidth="1"/>
    <col min="3" max="3" width="11.5546875" style="85" customWidth="1"/>
    <col min="4" max="4" width="0.88671875" style="1" customWidth="1"/>
    <col min="5" max="5" width="4.44140625" style="1" customWidth="1"/>
    <col min="6" max="6" width="8.44140625" style="1" customWidth="1"/>
    <col min="7" max="7" width="4.33203125" style="1" customWidth="1"/>
    <col min="8" max="8" width="0.88671875" style="1" customWidth="1"/>
    <col min="9" max="9" width="39.109375" style="1" customWidth="1"/>
    <col min="10" max="10" width="13.6640625" style="1" customWidth="1"/>
    <col min="11" max="11" width="0.88671875" style="1" customWidth="1"/>
    <col min="12" max="12" width="3.5546875" style="1" customWidth="1"/>
    <col min="13" max="13" width="4.109375" style="3" customWidth="1"/>
    <col min="14" max="14" width="1.88671875" style="1" customWidth="1"/>
    <col min="15" max="15" width="5.5546875" style="1" customWidth="1"/>
    <col min="16" max="16" width="33.6640625" style="1" customWidth="1"/>
    <col min="17" max="17" width="5" style="1" customWidth="1"/>
    <col min="18" max="18" width="9.33203125" style="1" customWidth="1"/>
    <col min="19" max="19" width="12.109375" style="1" customWidth="1"/>
    <col min="20" max="23" width="8.6640625" style="1" hidden="1" customWidth="1"/>
    <col min="24" max="25" width="10.33203125" style="1" hidden="1" customWidth="1"/>
    <col min="26" max="26" width="9.88671875" style="1" hidden="1" customWidth="1"/>
    <col min="27" max="27" width="9.44140625" style="1" hidden="1" customWidth="1"/>
    <col min="28" max="30" width="8.6640625" style="1" hidden="1" customWidth="1"/>
    <col min="31" max="31" width="2.6640625" style="1" hidden="1" customWidth="1"/>
    <col min="32" max="32" width="3.109375" style="1" hidden="1" customWidth="1"/>
    <col min="33" max="33" width="3" style="1" hidden="1" customWidth="1"/>
    <col min="34" max="34" width="2.6640625" style="2516" hidden="1" customWidth="1"/>
    <col min="35" max="39" width="3" style="1" hidden="1" customWidth="1"/>
    <col min="40" max="103" width="2.6640625" style="1" hidden="1" customWidth="1"/>
    <col min="104" max="105" width="11.44140625" style="1" customWidth="1"/>
    <col min="106" max="106" width="0.88671875" style="1" customWidth="1"/>
    <col min="107" max="107" width="20.6640625" style="1" customWidth="1"/>
    <col min="108" max="108" width="4" style="1" customWidth="1"/>
    <col min="109" max="109" width="11.33203125" style="1" customWidth="1"/>
    <col min="110" max="110" width="3.6640625" style="1" customWidth="1"/>
    <col min="111" max="111" width="0.88671875" style="1" customWidth="1"/>
    <col min="112" max="112" width="3.88671875" style="1" customWidth="1"/>
    <col min="113" max="113" width="0.33203125" style="1" customWidth="1"/>
    <col min="114" max="120" width="3.33203125" style="1" customWidth="1"/>
    <col min="121" max="121" width="5.44140625" style="1" customWidth="1"/>
    <col min="122" max="122" width="4.77734375" style="1" customWidth="1"/>
    <col min="123" max="123" width="4.33203125" style="1" customWidth="1"/>
    <col min="124" max="163" width="3.33203125" style="1" customWidth="1"/>
    <col min="164" max="164" width="4" style="1" customWidth="1"/>
    <col min="165" max="165" width="11.44140625" style="1" customWidth="1"/>
    <col min="166" max="167" width="1.33203125" customWidth="1"/>
    <col min="168" max="168" width="13.5546875" style="1" customWidth="1"/>
    <col min="169" max="169" width="24.33203125" style="1" customWidth="1"/>
    <col min="170" max="170" width="8.33203125" style="1" customWidth="1"/>
    <col min="171" max="176" width="4.6640625" style="1" hidden="1" customWidth="1"/>
    <col min="177" max="177" width="8.88671875" style="1" hidden="1" customWidth="1"/>
    <col min="178" max="178" width="8.5546875" style="1" hidden="1" customWidth="1"/>
    <col min="179" max="179" width="8.6640625" style="1" hidden="1" customWidth="1"/>
    <col min="180" max="183" width="4.6640625" style="1" hidden="1" customWidth="1"/>
    <col min="184" max="184" width="14.5546875" style="1" hidden="1" customWidth="1"/>
    <col min="185" max="195" width="4.6640625" style="1" hidden="1" customWidth="1"/>
    <col min="196" max="197" width="8.6640625" style="1" customWidth="1"/>
    <col min="198" max="198" width="8.33203125" style="1" customWidth="1"/>
    <col min="199" max="199" width="1" style="1" hidden="1" customWidth="1"/>
    <col min="200" max="200" width="4.44140625" style="1" customWidth="1"/>
    <col min="201" max="201" width="0.88671875" style="1" customWidth="1"/>
    <col min="202" max="328" width="3.44140625" style="1" customWidth="1"/>
    <col min="329" max="329" width="3.6640625" style="1" customWidth="1"/>
    <col min="330" max="16384" width="9.109375" style="1"/>
  </cols>
  <sheetData>
    <row r="1" spans="1:328" ht="13.2" hidden="1" x14ac:dyDescent="0.25">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285"/>
      <c r="EB1" s="285"/>
      <c r="EC1" s="285"/>
      <c r="ED1" s="285"/>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417" t="s">
        <v>153</v>
      </c>
      <c r="GO1" s="417" t="s">
        <v>4056</v>
      </c>
      <c r="GP1" s="285"/>
      <c r="GQ1" s="285"/>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c r="JD1" s="285"/>
      <c r="JE1" s="285"/>
      <c r="JF1" s="285"/>
      <c r="JG1" s="285"/>
      <c r="JH1" s="285"/>
      <c r="JI1" s="285"/>
      <c r="JJ1" s="285"/>
      <c r="JK1" s="285"/>
      <c r="JL1" s="285"/>
      <c r="JM1" s="285"/>
      <c r="JN1" s="285"/>
      <c r="JO1" s="285"/>
      <c r="JP1" s="285"/>
      <c r="JQ1" s="285"/>
      <c r="JR1" s="285"/>
      <c r="JS1" s="285"/>
      <c r="JT1" s="285"/>
      <c r="JU1" s="285"/>
      <c r="JV1" s="285"/>
      <c r="JW1" s="285"/>
      <c r="JX1" s="285"/>
      <c r="JY1" s="285"/>
      <c r="JZ1" s="285"/>
      <c r="KA1" s="285"/>
      <c r="KB1" s="285"/>
      <c r="KC1" s="285"/>
      <c r="KD1" s="285"/>
      <c r="KE1" s="285"/>
      <c r="KF1" s="285"/>
      <c r="KG1" s="285"/>
      <c r="KH1" s="285"/>
      <c r="KI1" s="285"/>
      <c r="KJ1" s="285"/>
      <c r="KK1" s="285"/>
      <c r="KL1" s="285"/>
      <c r="KM1" s="285"/>
      <c r="KN1" s="285"/>
      <c r="KO1" s="285"/>
      <c r="KP1" s="285"/>
      <c r="KQ1" s="285"/>
      <c r="KR1" s="285"/>
      <c r="KS1" s="285"/>
      <c r="KT1" s="285"/>
      <c r="KU1" s="285"/>
      <c r="KV1" s="285"/>
      <c r="KW1" s="285"/>
      <c r="KX1" s="285"/>
      <c r="KY1" s="285"/>
      <c r="KZ1" s="285"/>
      <c r="LA1" s="285"/>
      <c r="LB1" s="285"/>
      <c r="LC1" s="285"/>
      <c r="LD1" s="285"/>
      <c r="LE1" s="285"/>
      <c r="LF1" s="285"/>
      <c r="LG1" s="285"/>
      <c r="LH1" s="285"/>
      <c r="LI1" s="285"/>
      <c r="LJ1" s="285"/>
      <c r="LK1" s="285"/>
      <c r="LL1" s="285"/>
      <c r="LM1" s="285"/>
      <c r="LN1" s="285"/>
      <c r="LO1" s="285"/>
      <c r="LP1" s="285"/>
    </row>
    <row r="2" spans="1:328" hidden="1" x14ac:dyDescent="0.3">
      <c r="A2" s="285"/>
      <c r="B2" s="285"/>
      <c r="C2" s="286"/>
      <c r="D2" s="285"/>
      <c r="E2" s="285"/>
      <c r="F2" s="285"/>
      <c r="G2" s="285"/>
      <c r="H2" s="285"/>
      <c r="I2" s="285"/>
      <c r="J2" s="285"/>
      <c r="K2" s="285"/>
      <c r="L2" s="285"/>
      <c r="M2" s="287"/>
      <c r="N2" s="285"/>
      <c r="O2" s="285"/>
      <c r="P2" s="288"/>
      <c r="Q2" s="288"/>
      <c r="R2" s="285"/>
      <c r="S2" s="285"/>
      <c r="T2" s="285"/>
      <c r="U2" s="285"/>
      <c r="V2" s="285"/>
      <c r="W2" s="285"/>
      <c r="X2" s="285"/>
      <c r="Y2" s="285"/>
      <c r="Z2" s="285"/>
      <c r="AA2" s="285"/>
      <c r="AB2" s="285"/>
      <c r="AC2" s="285"/>
      <c r="AD2" s="285"/>
      <c r="AE2" s="285"/>
      <c r="AF2" s="285"/>
      <c r="AG2" s="285"/>
      <c r="AH2" s="2513"/>
      <c r="AI2" s="285"/>
      <c r="AJ2" s="285"/>
      <c r="AK2" s="285"/>
      <c r="AL2" s="285"/>
      <c r="AM2" s="285"/>
      <c r="AN2" s="285"/>
      <c r="AO2" s="285"/>
      <c r="AP2" s="285"/>
      <c r="AQ2" s="285"/>
      <c r="AR2" s="285"/>
      <c r="AS2" s="285"/>
      <c r="AT2" s="285"/>
      <c r="AU2" s="285"/>
      <c r="AV2" s="285"/>
      <c r="AW2" s="285"/>
      <c r="AX2" s="285"/>
      <c r="AY2" s="285"/>
      <c r="AZ2" s="285"/>
      <c r="BA2" s="285"/>
      <c r="BB2" s="285"/>
      <c r="BC2" s="285"/>
      <c r="BD2" s="285"/>
      <c r="BE2" s="285"/>
      <c r="BF2" s="285"/>
      <c r="BG2" s="285"/>
      <c r="BH2" s="285"/>
      <c r="BI2" s="285"/>
      <c r="BJ2" s="285"/>
      <c r="BK2" s="285"/>
      <c r="BL2" s="285"/>
      <c r="BM2" s="285"/>
      <c r="BN2" s="285"/>
      <c r="BO2" s="285"/>
      <c r="BP2" s="285"/>
      <c r="BQ2" s="285"/>
      <c r="BR2" s="285"/>
      <c r="BS2" s="285"/>
      <c r="BT2" s="285"/>
      <c r="BU2" s="285"/>
      <c r="BV2" s="285"/>
      <c r="BW2" s="285"/>
      <c r="BX2" s="285"/>
      <c r="BY2" s="285"/>
      <c r="BZ2" s="285"/>
      <c r="CA2" s="285"/>
      <c r="CB2" s="285"/>
      <c r="CC2" s="285"/>
      <c r="CD2" s="285"/>
      <c r="CE2" s="285"/>
      <c r="CF2" s="285"/>
      <c r="CG2" s="285"/>
      <c r="CH2" s="285"/>
      <c r="CI2" s="285"/>
      <c r="CJ2" s="285"/>
      <c r="CK2" s="285"/>
      <c r="CL2" s="285"/>
      <c r="CM2" s="285"/>
      <c r="CN2" s="285"/>
      <c r="CO2" s="285"/>
      <c r="CP2" s="285"/>
      <c r="CQ2" s="285"/>
      <c r="CR2" s="285"/>
      <c r="CS2" s="285"/>
      <c r="CT2" s="285"/>
      <c r="CU2" s="285"/>
      <c r="CV2" s="285"/>
      <c r="CW2" s="285"/>
      <c r="CX2" s="285"/>
      <c r="CY2" s="285"/>
      <c r="CZ2" s="285"/>
      <c r="DA2" s="285"/>
      <c r="DB2" s="285"/>
      <c r="DC2" s="285"/>
      <c r="DD2" s="285"/>
      <c r="DE2" s="285"/>
      <c r="DF2" s="285"/>
      <c r="DG2" s="285"/>
      <c r="DH2" s="285"/>
      <c r="DI2" s="285"/>
      <c r="DJ2" s="285"/>
      <c r="DK2" s="285"/>
      <c r="DL2" s="285"/>
      <c r="DM2" s="285"/>
      <c r="DN2" s="285"/>
      <c r="DO2" s="285"/>
      <c r="DP2" s="285"/>
      <c r="DQ2" s="285"/>
      <c r="DR2" s="285"/>
      <c r="DS2" s="285"/>
      <c r="DT2" s="285"/>
      <c r="DU2" s="285"/>
      <c r="DV2" s="285"/>
      <c r="DW2" s="285"/>
      <c r="DX2" s="285"/>
      <c r="DY2" s="285"/>
      <c r="DZ2" s="285"/>
      <c r="EA2" s="285"/>
      <c r="EB2" s="285"/>
      <c r="EC2" s="285"/>
      <c r="ED2" s="285"/>
      <c r="EE2" s="285"/>
      <c r="EF2" s="285"/>
      <c r="EG2" s="285"/>
      <c r="EH2" s="285"/>
      <c r="EI2" s="285"/>
      <c r="EJ2" s="285"/>
      <c r="EK2" s="285"/>
      <c r="EL2" s="285"/>
      <c r="EM2" s="285"/>
      <c r="EN2" s="285"/>
      <c r="EO2" s="285"/>
      <c r="EP2" s="285"/>
      <c r="EQ2" s="285"/>
      <c r="ER2" s="285"/>
      <c r="ES2" s="285"/>
      <c r="ET2" s="285"/>
      <c r="EU2" s="285"/>
      <c r="EV2" s="285"/>
      <c r="EW2" s="285"/>
      <c r="EX2" s="285"/>
      <c r="EY2" s="285"/>
      <c r="EZ2" s="285"/>
      <c r="FA2" s="285"/>
      <c r="FB2" s="285"/>
      <c r="FC2" s="285"/>
      <c r="FD2" s="285"/>
      <c r="FE2" s="285"/>
      <c r="FF2" s="285"/>
      <c r="FG2" s="285"/>
      <c r="FH2" s="285"/>
      <c r="FI2" s="285"/>
      <c r="FJ2" s="307"/>
      <c r="FK2" s="307"/>
      <c r="FL2" s="285"/>
      <c r="FM2" s="285"/>
      <c r="FN2" s="285"/>
      <c r="FO2" s="285"/>
      <c r="FP2" s="285"/>
      <c r="FQ2" s="285"/>
      <c r="FR2" s="285"/>
      <c r="FS2" s="285"/>
      <c r="FT2" s="285"/>
      <c r="FU2" s="285"/>
      <c r="FV2" s="285"/>
      <c r="FW2" s="285"/>
      <c r="FX2" s="285"/>
      <c r="FY2" s="285"/>
      <c r="FZ2" s="285"/>
      <c r="GA2" s="285"/>
      <c r="GB2" s="285"/>
      <c r="GC2" s="285"/>
      <c r="GD2" s="285"/>
      <c r="GE2" s="285"/>
      <c r="GF2" s="285"/>
      <c r="GG2" s="285"/>
      <c r="GH2" s="285"/>
      <c r="GI2" s="285"/>
      <c r="GJ2" s="285"/>
      <c r="GK2" s="285"/>
      <c r="GL2" s="285"/>
      <c r="GM2" s="285"/>
      <c r="GN2" s="314">
        <f>R163*G30</f>
        <v>0</v>
      </c>
      <c r="GO2" s="314">
        <f>MAX(SUM(GT12:LQ12),1)</f>
        <v>1363</v>
      </c>
      <c r="GP2" s="285"/>
      <c r="GQ2" s="285"/>
      <c r="GR2" s="412"/>
      <c r="GS2" s="308" t="s">
        <v>4047</v>
      </c>
      <c r="GT2" s="56">
        <f>GT12*$GN$2/$GO$2</f>
        <v>0</v>
      </c>
      <c r="GU2" s="55">
        <f t="shared" ref="GU2:JF2" si="0">GU12*$GN$2/$GO$2</f>
        <v>0</v>
      </c>
      <c r="GV2" s="55">
        <f t="shared" si="0"/>
        <v>0</v>
      </c>
      <c r="GW2" s="55">
        <f t="shared" si="0"/>
        <v>0</v>
      </c>
      <c r="GX2" s="55">
        <f t="shared" si="0"/>
        <v>0</v>
      </c>
      <c r="GY2" s="55">
        <f t="shared" si="0"/>
        <v>0</v>
      </c>
      <c r="GZ2" s="55">
        <f t="shared" si="0"/>
        <v>0</v>
      </c>
      <c r="HA2" s="55">
        <f t="shared" si="0"/>
        <v>0</v>
      </c>
      <c r="HB2" s="55">
        <f t="shared" si="0"/>
        <v>0</v>
      </c>
      <c r="HC2" s="55">
        <f t="shared" si="0"/>
        <v>0</v>
      </c>
      <c r="HD2" s="55">
        <f t="shared" si="0"/>
        <v>0</v>
      </c>
      <c r="HE2" s="55">
        <f t="shared" si="0"/>
        <v>0</v>
      </c>
      <c r="HF2" s="55">
        <f t="shared" si="0"/>
        <v>0</v>
      </c>
      <c r="HG2" s="55">
        <f t="shared" si="0"/>
        <v>0</v>
      </c>
      <c r="HH2" s="55">
        <f t="shared" si="0"/>
        <v>0</v>
      </c>
      <c r="HI2" s="55">
        <f t="shared" si="0"/>
        <v>0</v>
      </c>
      <c r="HJ2" s="55">
        <f t="shared" si="0"/>
        <v>0</v>
      </c>
      <c r="HK2" s="55">
        <f t="shared" si="0"/>
        <v>0</v>
      </c>
      <c r="HL2" s="55">
        <f t="shared" si="0"/>
        <v>0</v>
      </c>
      <c r="HM2" s="55">
        <f t="shared" si="0"/>
        <v>0</v>
      </c>
      <c r="HN2" s="55">
        <f t="shared" si="0"/>
        <v>0</v>
      </c>
      <c r="HO2" s="55">
        <f t="shared" si="0"/>
        <v>0</v>
      </c>
      <c r="HP2" s="55">
        <f t="shared" si="0"/>
        <v>0</v>
      </c>
      <c r="HQ2" s="55">
        <f t="shared" si="0"/>
        <v>0</v>
      </c>
      <c r="HR2" s="55">
        <f t="shared" si="0"/>
        <v>0</v>
      </c>
      <c r="HS2" s="55">
        <f t="shared" si="0"/>
        <v>0</v>
      </c>
      <c r="HT2" s="55">
        <f t="shared" si="0"/>
        <v>0</v>
      </c>
      <c r="HU2" s="55">
        <f t="shared" si="0"/>
        <v>0</v>
      </c>
      <c r="HV2" s="55">
        <f t="shared" si="0"/>
        <v>0</v>
      </c>
      <c r="HW2" s="55">
        <f t="shared" si="0"/>
        <v>0</v>
      </c>
      <c r="HX2" s="55">
        <f t="shared" si="0"/>
        <v>0</v>
      </c>
      <c r="HY2" s="55">
        <f t="shared" si="0"/>
        <v>0</v>
      </c>
      <c r="HZ2" s="55">
        <f t="shared" si="0"/>
        <v>0</v>
      </c>
      <c r="IA2" s="55">
        <f t="shared" si="0"/>
        <v>0</v>
      </c>
      <c r="IB2" s="55">
        <f t="shared" si="0"/>
        <v>0</v>
      </c>
      <c r="IC2" s="55">
        <f t="shared" si="0"/>
        <v>0</v>
      </c>
      <c r="ID2" s="55">
        <f t="shared" si="0"/>
        <v>0</v>
      </c>
      <c r="IE2" s="55">
        <f t="shared" si="0"/>
        <v>0</v>
      </c>
      <c r="IF2" s="55">
        <f t="shared" si="0"/>
        <v>0</v>
      </c>
      <c r="IG2" s="55">
        <f t="shared" si="0"/>
        <v>0</v>
      </c>
      <c r="IH2" s="55">
        <f t="shared" si="0"/>
        <v>0</v>
      </c>
      <c r="II2" s="55">
        <f t="shared" si="0"/>
        <v>0</v>
      </c>
      <c r="IJ2" s="55">
        <f t="shared" si="0"/>
        <v>0</v>
      </c>
      <c r="IK2" s="55">
        <f t="shared" si="0"/>
        <v>0</v>
      </c>
      <c r="IL2" s="55">
        <f t="shared" si="0"/>
        <v>0</v>
      </c>
      <c r="IM2" s="55">
        <f t="shared" si="0"/>
        <v>0</v>
      </c>
      <c r="IN2" s="55">
        <f t="shared" si="0"/>
        <v>0</v>
      </c>
      <c r="IO2" s="55">
        <f t="shared" si="0"/>
        <v>0</v>
      </c>
      <c r="IP2" s="55">
        <f t="shared" si="0"/>
        <v>0</v>
      </c>
      <c r="IQ2" s="55">
        <f t="shared" si="0"/>
        <v>0</v>
      </c>
      <c r="IR2" s="55">
        <f t="shared" si="0"/>
        <v>0</v>
      </c>
      <c r="IS2" s="55">
        <f t="shared" si="0"/>
        <v>0</v>
      </c>
      <c r="IT2" s="55">
        <f t="shared" si="0"/>
        <v>0</v>
      </c>
      <c r="IU2" s="55">
        <f t="shared" si="0"/>
        <v>0</v>
      </c>
      <c r="IV2" s="55">
        <f t="shared" si="0"/>
        <v>0</v>
      </c>
      <c r="IW2" s="55">
        <f t="shared" si="0"/>
        <v>0</v>
      </c>
      <c r="IX2" s="55">
        <f t="shared" si="0"/>
        <v>0</v>
      </c>
      <c r="IY2" s="55">
        <f t="shared" si="0"/>
        <v>0</v>
      </c>
      <c r="IZ2" s="55">
        <f t="shared" si="0"/>
        <v>0</v>
      </c>
      <c r="JA2" s="55">
        <f t="shared" si="0"/>
        <v>0</v>
      </c>
      <c r="JB2" s="55">
        <f t="shared" si="0"/>
        <v>0</v>
      </c>
      <c r="JC2" s="55">
        <f t="shared" si="0"/>
        <v>0</v>
      </c>
      <c r="JD2" s="55">
        <f t="shared" si="0"/>
        <v>0</v>
      </c>
      <c r="JE2" s="55">
        <f t="shared" si="0"/>
        <v>0</v>
      </c>
      <c r="JF2" s="55">
        <f t="shared" si="0"/>
        <v>0</v>
      </c>
      <c r="JG2" s="55">
        <f t="shared" ref="JG2:LP2" si="1">JG12*$GN$2/$GO$2</f>
        <v>0</v>
      </c>
      <c r="JH2" s="55">
        <f t="shared" si="1"/>
        <v>0</v>
      </c>
      <c r="JI2" s="55">
        <f t="shared" si="1"/>
        <v>0</v>
      </c>
      <c r="JJ2" s="55">
        <f t="shared" si="1"/>
        <v>0</v>
      </c>
      <c r="JK2" s="55">
        <f t="shared" si="1"/>
        <v>0</v>
      </c>
      <c r="JL2" s="55">
        <f t="shared" si="1"/>
        <v>0</v>
      </c>
      <c r="JM2" s="55">
        <f t="shared" si="1"/>
        <v>0</v>
      </c>
      <c r="JN2" s="55">
        <f t="shared" si="1"/>
        <v>0</v>
      </c>
      <c r="JO2" s="55">
        <f t="shared" si="1"/>
        <v>0</v>
      </c>
      <c r="JP2" s="55">
        <f t="shared" si="1"/>
        <v>0</v>
      </c>
      <c r="JQ2" s="55">
        <f t="shared" si="1"/>
        <v>0</v>
      </c>
      <c r="JR2" s="55">
        <f t="shared" si="1"/>
        <v>0</v>
      </c>
      <c r="JS2" s="55">
        <f t="shared" si="1"/>
        <v>0</v>
      </c>
      <c r="JT2" s="55">
        <f t="shared" si="1"/>
        <v>0</v>
      </c>
      <c r="JU2" s="55">
        <f t="shared" si="1"/>
        <v>0</v>
      </c>
      <c r="JV2" s="55">
        <f t="shared" si="1"/>
        <v>0</v>
      </c>
      <c r="JW2" s="55">
        <f t="shared" si="1"/>
        <v>0</v>
      </c>
      <c r="JX2" s="55">
        <f t="shared" si="1"/>
        <v>0</v>
      </c>
      <c r="JY2" s="55">
        <f t="shared" si="1"/>
        <v>0</v>
      </c>
      <c r="JZ2" s="55">
        <f t="shared" si="1"/>
        <v>0</v>
      </c>
      <c r="KA2" s="55">
        <f t="shared" si="1"/>
        <v>0</v>
      </c>
      <c r="KB2" s="55">
        <f t="shared" si="1"/>
        <v>0</v>
      </c>
      <c r="KC2" s="55">
        <f t="shared" si="1"/>
        <v>0</v>
      </c>
      <c r="KD2" s="55">
        <f t="shared" si="1"/>
        <v>0</v>
      </c>
      <c r="KE2" s="55">
        <f t="shared" si="1"/>
        <v>0</v>
      </c>
      <c r="KF2" s="55">
        <f t="shared" si="1"/>
        <v>0</v>
      </c>
      <c r="KG2" s="55">
        <f t="shared" si="1"/>
        <v>0</v>
      </c>
      <c r="KH2" s="55">
        <f t="shared" si="1"/>
        <v>0</v>
      </c>
      <c r="KI2" s="55">
        <f t="shared" si="1"/>
        <v>0</v>
      </c>
      <c r="KJ2" s="55">
        <f t="shared" si="1"/>
        <v>0</v>
      </c>
      <c r="KK2" s="55">
        <f t="shared" si="1"/>
        <v>0</v>
      </c>
      <c r="KL2" s="55">
        <f t="shared" si="1"/>
        <v>0</v>
      </c>
      <c r="KM2" s="55">
        <f t="shared" si="1"/>
        <v>0</v>
      </c>
      <c r="KN2" s="55">
        <f t="shared" si="1"/>
        <v>0</v>
      </c>
      <c r="KO2" s="55">
        <f t="shared" si="1"/>
        <v>0</v>
      </c>
      <c r="KP2" s="55">
        <f t="shared" si="1"/>
        <v>0</v>
      </c>
      <c r="KQ2" s="55">
        <f t="shared" si="1"/>
        <v>0</v>
      </c>
      <c r="KR2" s="55">
        <f t="shared" si="1"/>
        <v>0</v>
      </c>
      <c r="KS2" s="55">
        <f t="shared" si="1"/>
        <v>0</v>
      </c>
      <c r="KT2" s="55">
        <f t="shared" si="1"/>
        <v>0</v>
      </c>
      <c r="KU2" s="55">
        <f t="shared" si="1"/>
        <v>0</v>
      </c>
      <c r="KV2" s="55">
        <f t="shared" si="1"/>
        <v>0</v>
      </c>
      <c r="KW2" s="55">
        <f t="shared" si="1"/>
        <v>0</v>
      </c>
      <c r="KX2" s="55">
        <f t="shared" si="1"/>
        <v>0</v>
      </c>
      <c r="KY2" s="55">
        <f t="shared" si="1"/>
        <v>0</v>
      </c>
      <c r="KZ2" s="55">
        <f t="shared" si="1"/>
        <v>0</v>
      </c>
      <c r="LA2" s="55">
        <f t="shared" si="1"/>
        <v>0</v>
      </c>
      <c r="LB2" s="55">
        <f t="shared" si="1"/>
        <v>0</v>
      </c>
      <c r="LC2" s="55">
        <f t="shared" si="1"/>
        <v>0</v>
      </c>
      <c r="LD2" s="55">
        <f t="shared" si="1"/>
        <v>0</v>
      </c>
      <c r="LE2" s="55">
        <f t="shared" si="1"/>
        <v>0</v>
      </c>
      <c r="LF2" s="55">
        <f t="shared" si="1"/>
        <v>0</v>
      </c>
      <c r="LG2" s="55">
        <f t="shared" si="1"/>
        <v>0</v>
      </c>
      <c r="LH2" s="55">
        <f t="shared" si="1"/>
        <v>0</v>
      </c>
      <c r="LI2" s="55">
        <f t="shared" si="1"/>
        <v>0</v>
      </c>
      <c r="LJ2" s="55">
        <f t="shared" si="1"/>
        <v>0</v>
      </c>
      <c r="LK2" s="55">
        <f t="shared" si="1"/>
        <v>0</v>
      </c>
      <c r="LL2" s="55">
        <f t="shared" si="1"/>
        <v>0</v>
      </c>
      <c r="LM2" s="55">
        <f t="shared" si="1"/>
        <v>0</v>
      </c>
      <c r="LN2" s="55">
        <f t="shared" si="1"/>
        <v>0</v>
      </c>
      <c r="LO2" s="55">
        <f t="shared" si="1"/>
        <v>0</v>
      </c>
      <c r="LP2" s="55">
        <f t="shared" si="1"/>
        <v>0</v>
      </c>
    </row>
    <row r="3" spans="1:328" ht="17.25" hidden="1" customHeight="1" x14ac:dyDescent="0.3">
      <c r="A3" s="285"/>
      <c r="B3" s="285"/>
      <c r="C3" s="286"/>
      <c r="D3" s="285"/>
      <c r="E3" s="285"/>
      <c r="F3" s="285"/>
      <c r="G3" s="285"/>
      <c r="H3" s="285"/>
      <c r="I3" s="285"/>
      <c r="J3" s="285"/>
      <c r="K3" s="285"/>
      <c r="L3" s="285"/>
      <c r="M3" s="287"/>
      <c r="N3" s="289" t="s">
        <v>76</v>
      </c>
      <c r="O3" s="12">
        <f>'1 Setup'!G2</f>
        <v>3</v>
      </c>
      <c r="P3" s="616" t="s">
        <v>3938</v>
      </c>
      <c r="Q3" s="288"/>
      <c r="R3" s="285"/>
      <c r="S3" s="411" t="str">
        <f>"Enter the "&amp;IF($C$7="F","ETC start ","Current ")&amp;IF(FM5=1,"week","month")&amp;" 
into the box below.  
(Refer calendar row "&amp;ROW(GT171)&amp;" )"</f>
        <v>Enter the Current week 
into the box below.  
(Refer calendar row 171 )</v>
      </c>
      <c r="T3" s="285"/>
      <c r="U3" s="285"/>
      <c r="V3" s="285"/>
      <c r="W3" s="285"/>
      <c r="X3" s="285"/>
      <c r="Y3" s="285"/>
      <c r="Z3" s="285"/>
      <c r="AA3" s="285"/>
      <c r="AB3" s="285"/>
      <c r="AC3" s="285"/>
      <c r="AD3" s="285"/>
      <c r="AE3" s="285"/>
      <c r="AF3" s="285"/>
      <c r="AG3" s="285"/>
      <c r="AH3" s="2513"/>
      <c r="AI3" s="285"/>
      <c r="AJ3" s="285"/>
      <c r="AK3" s="285"/>
      <c r="AL3" s="285"/>
      <c r="AM3" s="285"/>
      <c r="AN3" s="285"/>
      <c r="AO3" s="285"/>
      <c r="AP3" s="285"/>
      <c r="AQ3" s="285"/>
      <c r="AR3" s="285"/>
      <c r="AS3" s="285"/>
      <c r="AT3" s="285"/>
      <c r="AU3" s="285"/>
      <c r="AV3" s="285"/>
      <c r="AW3" s="285"/>
      <c r="AX3" s="285"/>
      <c r="AY3" s="285"/>
      <c r="AZ3" s="285"/>
      <c r="BA3" s="285"/>
      <c r="BB3" s="285"/>
      <c r="BC3" s="285"/>
      <c r="BD3" s="285"/>
      <c r="BE3" s="285"/>
      <c r="BF3" s="285"/>
      <c r="BG3" s="285"/>
      <c r="BH3" s="285"/>
      <c r="BI3" s="285"/>
      <c r="BJ3" s="285"/>
      <c r="BK3" s="285"/>
      <c r="BL3" s="285"/>
      <c r="BM3" s="285"/>
      <c r="BN3" s="285"/>
      <c r="BO3" s="285"/>
      <c r="BP3" s="285"/>
      <c r="BQ3" s="285"/>
      <c r="BR3" s="285"/>
      <c r="BS3" s="285"/>
      <c r="BT3" s="285"/>
      <c r="BU3" s="285"/>
      <c r="BV3" s="285"/>
      <c r="BW3" s="285"/>
      <c r="BX3" s="285"/>
      <c r="BY3" s="285"/>
      <c r="BZ3" s="285"/>
      <c r="CA3" s="285"/>
      <c r="CB3" s="285"/>
      <c r="CC3" s="285"/>
      <c r="CD3" s="285"/>
      <c r="CE3" s="285"/>
      <c r="CF3" s="285"/>
      <c r="CG3" s="285"/>
      <c r="CH3" s="285"/>
      <c r="CI3" s="285"/>
      <c r="CJ3" s="285"/>
      <c r="CK3" s="285"/>
      <c r="CL3" s="285"/>
      <c r="CM3" s="285"/>
      <c r="CN3" s="285"/>
      <c r="CO3" s="285"/>
      <c r="CP3" s="285"/>
      <c r="CQ3" s="285"/>
      <c r="CR3" s="285"/>
      <c r="CS3" s="285"/>
      <c r="CT3" s="285"/>
      <c r="CU3" s="285"/>
      <c r="CV3" s="285"/>
      <c r="CW3" s="285"/>
      <c r="CX3" s="285"/>
      <c r="CY3" s="285"/>
      <c r="CZ3" s="290" t="s">
        <v>5</v>
      </c>
      <c r="DA3" s="290"/>
      <c r="DB3" s="285"/>
      <c r="DC3" s="285"/>
      <c r="DD3" s="285"/>
      <c r="DE3" s="285"/>
      <c r="DF3" s="285"/>
      <c r="DG3" s="285"/>
      <c r="DH3" s="308"/>
      <c r="DI3" s="285"/>
      <c r="DJ3" s="76"/>
      <c r="DK3" s="76"/>
      <c r="DL3" s="76"/>
      <c r="DM3" s="76"/>
      <c r="DN3" s="76"/>
      <c r="DO3" s="76"/>
      <c r="DP3" s="76"/>
      <c r="DQ3" s="76"/>
      <c r="DR3" s="76"/>
      <c r="DS3" s="76"/>
      <c r="DT3" s="76"/>
      <c r="DU3" s="76"/>
      <c r="DV3" s="76"/>
      <c r="DW3" s="76"/>
      <c r="DX3" s="76"/>
      <c r="DY3" s="76"/>
      <c r="DZ3" s="76"/>
      <c r="EA3" s="76"/>
      <c r="EB3" s="76"/>
      <c r="EC3" s="76"/>
      <c r="ED3" s="76"/>
      <c r="EE3" s="76"/>
      <c r="EF3" s="76"/>
      <c r="EG3" s="76"/>
      <c r="EH3" s="76"/>
      <c r="EI3" s="76"/>
      <c r="EJ3" s="76"/>
      <c r="EK3" s="76"/>
      <c r="EL3" s="76"/>
      <c r="EM3" s="76"/>
      <c r="EN3" s="76"/>
      <c r="EO3" s="76"/>
      <c r="EP3" s="76"/>
      <c r="EQ3" s="76"/>
      <c r="ER3" s="76"/>
      <c r="ES3" s="76"/>
      <c r="ET3" s="76"/>
      <c r="EU3" s="76"/>
      <c r="EV3" s="76"/>
      <c r="EW3" s="76"/>
      <c r="EX3" s="76"/>
      <c r="EY3" s="76"/>
      <c r="EZ3" s="76"/>
      <c r="FA3" s="76"/>
      <c r="FB3" s="76"/>
      <c r="FC3" s="76"/>
      <c r="FD3" s="76"/>
      <c r="FE3" s="76"/>
      <c r="FF3" s="76"/>
      <c r="FG3" s="76"/>
      <c r="FH3" s="603"/>
      <c r="FI3" s="285"/>
      <c r="FJ3" s="307"/>
      <c r="FK3" s="307"/>
      <c r="FL3" s="285"/>
      <c r="FM3" s="285"/>
      <c r="FN3" s="285"/>
      <c r="FO3" s="285"/>
      <c r="FP3" s="285"/>
      <c r="FQ3" s="285"/>
      <c r="FR3" s="285"/>
      <c r="FS3" s="285"/>
      <c r="FT3" s="285"/>
      <c r="FU3" s="285"/>
      <c r="FV3" s="285"/>
      <c r="FW3" s="285"/>
      <c r="FX3" s="285"/>
      <c r="FY3" s="285"/>
      <c r="FZ3" s="285"/>
      <c r="GA3" s="285"/>
      <c r="GB3" s="285"/>
      <c r="GC3" s="285"/>
      <c r="GD3" s="285"/>
      <c r="GE3" s="285"/>
      <c r="GF3" s="285"/>
      <c r="GG3" s="285"/>
      <c r="GH3" s="285"/>
      <c r="GI3" s="285"/>
      <c r="GJ3" s="285"/>
      <c r="GK3" s="285"/>
      <c r="GL3" s="285"/>
      <c r="GM3" s="285"/>
      <c r="GN3" s="314">
        <f>(S163+S164+S165)*G30</f>
        <v>0</v>
      </c>
      <c r="GO3" s="314">
        <f>MAX(SUM(GT9:LQ9),1)</f>
        <v>37383.684232000007</v>
      </c>
      <c r="GP3" s="285"/>
      <c r="GQ3" s="285"/>
      <c r="GR3" s="412"/>
      <c r="GS3" s="308" t="s">
        <v>4048</v>
      </c>
      <c r="GT3" s="54">
        <f>GT9*$GN$3/$GO$3</f>
        <v>0</v>
      </c>
      <c r="GU3" s="55">
        <f t="shared" ref="GU3:JF3" si="2">GU9*$GN$3/$GO$3</f>
        <v>0</v>
      </c>
      <c r="GV3" s="55">
        <f t="shared" si="2"/>
        <v>0</v>
      </c>
      <c r="GW3" s="55">
        <f t="shared" si="2"/>
        <v>0</v>
      </c>
      <c r="GX3" s="55">
        <f t="shared" si="2"/>
        <v>0</v>
      </c>
      <c r="GY3" s="55">
        <f t="shared" si="2"/>
        <v>0</v>
      </c>
      <c r="GZ3" s="55">
        <f t="shared" si="2"/>
        <v>0</v>
      </c>
      <c r="HA3" s="55">
        <f t="shared" si="2"/>
        <v>0</v>
      </c>
      <c r="HB3" s="55">
        <f t="shared" si="2"/>
        <v>0</v>
      </c>
      <c r="HC3" s="55">
        <f t="shared" si="2"/>
        <v>0</v>
      </c>
      <c r="HD3" s="55">
        <f t="shared" si="2"/>
        <v>0</v>
      </c>
      <c r="HE3" s="55">
        <f t="shared" si="2"/>
        <v>0</v>
      </c>
      <c r="HF3" s="55">
        <f t="shared" si="2"/>
        <v>0</v>
      </c>
      <c r="HG3" s="55">
        <f t="shared" si="2"/>
        <v>0</v>
      </c>
      <c r="HH3" s="55">
        <f t="shared" si="2"/>
        <v>0</v>
      </c>
      <c r="HI3" s="55">
        <f t="shared" si="2"/>
        <v>0</v>
      </c>
      <c r="HJ3" s="55">
        <f t="shared" si="2"/>
        <v>0</v>
      </c>
      <c r="HK3" s="55">
        <f t="shared" si="2"/>
        <v>0</v>
      </c>
      <c r="HL3" s="55">
        <f t="shared" si="2"/>
        <v>0</v>
      </c>
      <c r="HM3" s="55">
        <f t="shared" si="2"/>
        <v>0</v>
      </c>
      <c r="HN3" s="55">
        <f t="shared" si="2"/>
        <v>0</v>
      </c>
      <c r="HO3" s="55">
        <f t="shared" si="2"/>
        <v>0</v>
      </c>
      <c r="HP3" s="55">
        <f t="shared" si="2"/>
        <v>0</v>
      </c>
      <c r="HQ3" s="55">
        <f t="shared" si="2"/>
        <v>0</v>
      </c>
      <c r="HR3" s="55">
        <f t="shared" si="2"/>
        <v>0</v>
      </c>
      <c r="HS3" s="55">
        <f t="shared" si="2"/>
        <v>0</v>
      </c>
      <c r="HT3" s="55">
        <f t="shared" si="2"/>
        <v>0</v>
      </c>
      <c r="HU3" s="55">
        <f t="shared" si="2"/>
        <v>0</v>
      </c>
      <c r="HV3" s="55">
        <f t="shared" si="2"/>
        <v>0</v>
      </c>
      <c r="HW3" s="55">
        <f t="shared" si="2"/>
        <v>0</v>
      </c>
      <c r="HX3" s="55">
        <f t="shared" si="2"/>
        <v>0</v>
      </c>
      <c r="HY3" s="55">
        <f t="shared" si="2"/>
        <v>0</v>
      </c>
      <c r="HZ3" s="55">
        <f t="shared" si="2"/>
        <v>0</v>
      </c>
      <c r="IA3" s="55">
        <f t="shared" si="2"/>
        <v>0</v>
      </c>
      <c r="IB3" s="55">
        <f t="shared" si="2"/>
        <v>0</v>
      </c>
      <c r="IC3" s="55">
        <f t="shared" si="2"/>
        <v>0</v>
      </c>
      <c r="ID3" s="55">
        <f t="shared" si="2"/>
        <v>0</v>
      </c>
      <c r="IE3" s="55">
        <f t="shared" si="2"/>
        <v>0</v>
      </c>
      <c r="IF3" s="55">
        <f t="shared" si="2"/>
        <v>0</v>
      </c>
      <c r="IG3" s="55">
        <f t="shared" si="2"/>
        <v>0</v>
      </c>
      <c r="IH3" s="55">
        <f t="shared" si="2"/>
        <v>0</v>
      </c>
      <c r="II3" s="55">
        <f t="shared" si="2"/>
        <v>0</v>
      </c>
      <c r="IJ3" s="55">
        <f t="shared" si="2"/>
        <v>0</v>
      </c>
      <c r="IK3" s="55">
        <f t="shared" si="2"/>
        <v>0</v>
      </c>
      <c r="IL3" s="55">
        <f t="shared" si="2"/>
        <v>0</v>
      </c>
      <c r="IM3" s="55">
        <f t="shared" si="2"/>
        <v>0</v>
      </c>
      <c r="IN3" s="55">
        <f t="shared" si="2"/>
        <v>0</v>
      </c>
      <c r="IO3" s="55">
        <f t="shared" si="2"/>
        <v>0</v>
      </c>
      <c r="IP3" s="55">
        <f t="shared" si="2"/>
        <v>0</v>
      </c>
      <c r="IQ3" s="55">
        <f t="shared" si="2"/>
        <v>0</v>
      </c>
      <c r="IR3" s="55">
        <f t="shared" si="2"/>
        <v>0</v>
      </c>
      <c r="IS3" s="55">
        <f t="shared" si="2"/>
        <v>0</v>
      </c>
      <c r="IT3" s="55">
        <f t="shared" si="2"/>
        <v>0</v>
      </c>
      <c r="IU3" s="55">
        <f t="shared" si="2"/>
        <v>0</v>
      </c>
      <c r="IV3" s="55">
        <f t="shared" si="2"/>
        <v>0</v>
      </c>
      <c r="IW3" s="55">
        <f t="shared" si="2"/>
        <v>0</v>
      </c>
      <c r="IX3" s="55">
        <f t="shared" si="2"/>
        <v>0</v>
      </c>
      <c r="IY3" s="55">
        <f t="shared" si="2"/>
        <v>0</v>
      </c>
      <c r="IZ3" s="55">
        <f t="shared" si="2"/>
        <v>0</v>
      </c>
      <c r="JA3" s="55">
        <f t="shared" si="2"/>
        <v>0</v>
      </c>
      <c r="JB3" s="55">
        <f t="shared" si="2"/>
        <v>0</v>
      </c>
      <c r="JC3" s="55">
        <f t="shared" si="2"/>
        <v>0</v>
      </c>
      <c r="JD3" s="55">
        <f t="shared" si="2"/>
        <v>0</v>
      </c>
      <c r="JE3" s="55">
        <f t="shared" si="2"/>
        <v>0</v>
      </c>
      <c r="JF3" s="55">
        <f t="shared" si="2"/>
        <v>0</v>
      </c>
      <c r="JG3" s="55">
        <f t="shared" ref="JG3:LP3" si="3">JG9*$GN$3/$GO$3</f>
        <v>0</v>
      </c>
      <c r="JH3" s="55">
        <f t="shared" si="3"/>
        <v>0</v>
      </c>
      <c r="JI3" s="55">
        <f t="shared" si="3"/>
        <v>0</v>
      </c>
      <c r="JJ3" s="55">
        <f t="shared" si="3"/>
        <v>0</v>
      </c>
      <c r="JK3" s="55">
        <f t="shared" si="3"/>
        <v>0</v>
      </c>
      <c r="JL3" s="55">
        <f t="shared" si="3"/>
        <v>0</v>
      </c>
      <c r="JM3" s="55">
        <f t="shared" si="3"/>
        <v>0</v>
      </c>
      <c r="JN3" s="55">
        <f t="shared" si="3"/>
        <v>0</v>
      </c>
      <c r="JO3" s="55">
        <f t="shared" si="3"/>
        <v>0</v>
      </c>
      <c r="JP3" s="55">
        <f t="shared" si="3"/>
        <v>0</v>
      </c>
      <c r="JQ3" s="55">
        <f t="shared" si="3"/>
        <v>0</v>
      </c>
      <c r="JR3" s="55">
        <f t="shared" si="3"/>
        <v>0</v>
      </c>
      <c r="JS3" s="55">
        <f t="shared" si="3"/>
        <v>0</v>
      </c>
      <c r="JT3" s="55">
        <f t="shared" si="3"/>
        <v>0</v>
      </c>
      <c r="JU3" s="55">
        <f t="shared" si="3"/>
        <v>0</v>
      </c>
      <c r="JV3" s="55">
        <f t="shared" si="3"/>
        <v>0</v>
      </c>
      <c r="JW3" s="55">
        <f t="shared" si="3"/>
        <v>0</v>
      </c>
      <c r="JX3" s="55">
        <f t="shared" si="3"/>
        <v>0</v>
      </c>
      <c r="JY3" s="55">
        <f t="shared" si="3"/>
        <v>0</v>
      </c>
      <c r="JZ3" s="55">
        <f t="shared" si="3"/>
        <v>0</v>
      </c>
      <c r="KA3" s="55">
        <f t="shared" si="3"/>
        <v>0</v>
      </c>
      <c r="KB3" s="55">
        <f t="shared" si="3"/>
        <v>0</v>
      </c>
      <c r="KC3" s="55">
        <f t="shared" si="3"/>
        <v>0</v>
      </c>
      <c r="KD3" s="55">
        <f t="shared" si="3"/>
        <v>0</v>
      </c>
      <c r="KE3" s="55">
        <f t="shared" si="3"/>
        <v>0</v>
      </c>
      <c r="KF3" s="55">
        <f t="shared" si="3"/>
        <v>0</v>
      </c>
      <c r="KG3" s="55">
        <f t="shared" si="3"/>
        <v>0</v>
      </c>
      <c r="KH3" s="55">
        <f t="shared" si="3"/>
        <v>0</v>
      </c>
      <c r="KI3" s="55">
        <f t="shared" si="3"/>
        <v>0</v>
      </c>
      <c r="KJ3" s="55">
        <f t="shared" si="3"/>
        <v>0</v>
      </c>
      <c r="KK3" s="55">
        <f t="shared" si="3"/>
        <v>0</v>
      </c>
      <c r="KL3" s="55">
        <f t="shared" si="3"/>
        <v>0</v>
      </c>
      <c r="KM3" s="55">
        <f t="shared" si="3"/>
        <v>0</v>
      </c>
      <c r="KN3" s="55">
        <f t="shared" si="3"/>
        <v>0</v>
      </c>
      <c r="KO3" s="55">
        <f t="shared" si="3"/>
        <v>0</v>
      </c>
      <c r="KP3" s="55">
        <f t="shared" si="3"/>
        <v>0</v>
      </c>
      <c r="KQ3" s="55">
        <f t="shared" si="3"/>
        <v>0</v>
      </c>
      <c r="KR3" s="55">
        <f t="shared" si="3"/>
        <v>0</v>
      </c>
      <c r="KS3" s="55">
        <f t="shared" si="3"/>
        <v>0</v>
      </c>
      <c r="KT3" s="55">
        <f t="shared" si="3"/>
        <v>0</v>
      </c>
      <c r="KU3" s="55">
        <f t="shared" si="3"/>
        <v>0</v>
      </c>
      <c r="KV3" s="55">
        <f t="shared" si="3"/>
        <v>0</v>
      </c>
      <c r="KW3" s="55">
        <f t="shared" si="3"/>
        <v>0</v>
      </c>
      <c r="KX3" s="55">
        <f t="shared" si="3"/>
        <v>0</v>
      </c>
      <c r="KY3" s="55">
        <f t="shared" si="3"/>
        <v>0</v>
      </c>
      <c r="KZ3" s="55">
        <f t="shared" si="3"/>
        <v>0</v>
      </c>
      <c r="LA3" s="55">
        <f t="shared" si="3"/>
        <v>0</v>
      </c>
      <c r="LB3" s="55">
        <f t="shared" si="3"/>
        <v>0</v>
      </c>
      <c r="LC3" s="55">
        <f t="shared" si="3"/>
        <v>0</v>
      </c>
      <c r="LD3" s="55">
        <f t="shared" si="3"/>
        <v>0</v>
      </c>
      <c r="LE3" s="55">
        <f t="shared" si="3"/>
        <v>0</v>
      </c>
      <c r="LF3" s="55">
        <f t="shared" si="3"/>
        <v>0</v>
      </c>
      <c r="LG3" s="55">
        <f t="shared" si="3"/>
        <v>0</v>
      </c>
      <c r="LH3" s="55">
        <f t="shared" si="3"/>
        <v>0</v>
      </c>
      <c r="LI3" s="55">
        <f t="shared" si="3"/>
        <v>0</v>
      </c>
      <c r="LJ3" s="55">
        <f t="shared" si="3"/>
        <v>0</v>
      </c>
      <c r="LK3" s="55">
        <f t="shared" si="3"/>
        <v>0</v>
      </c>
      <c r="LL3" s="55">
        <f t="shared" si="3"/>
        <v>0</v>
      </c>
      <c r="LM3" s="55">
        <f t="shared" si="3"/>
        <v>0</v>
      </c>
      <c r="LN3" s="55">
        <f t="shared" si="3"/>
        <v>0</v>
      </c>
      <c r="LO3" s="55">
        <f t="shared" si="3"/>
        <v>0</v>
      </c>
      <c r="LP3" s="55">
        <f t="shared" si="3"/>
        <v>0</v>
      </c>
    </row>
    <row r="4" spans="1:328" ht="15.75" hidden="1" customHeight="1" x14ac:dyDescent="0.3">
      <c r="A4" s="285"/>
      <c r="B4" s="285"/>
      <c r="C4" s="76" t="b">
        <f>CHOOSE('1 Setup'!$L$2,TRUE,FALSE,TRUE)</f>
        <v>1</v>
      </c>
      <c r="D4" s="313"/>
      <c r="E4" s="306" t="s">
        <v>2533</v>
      </c>
      <c r="F4" s="285"/>
      <c r="G4" s="285"/>
      <c r="H4" s="285"/>
      <c r="I4" s="285"/>
      <c r="J4" s="285"/>
      <c r="K4" s="306"/>
      <c r="L4" s="285"/>
      <c r="M4" s="287"/>
      <c r="N4" s="287"/>
      <c r="O4" s="287"/>
      <c r="P4" s="617" t="s">
        <v>4197</v>
      </c>
      <c r="Q4" s="288"/>
      <c r="R4" s="285"/>
      <c r="S4" s="411" t="str">
        <f>"Actuals to Fri "&amp;TEXT(GN21-7,"dd-mmm-yyyy")&amp;"
ETC starts Sat "&amp;TEXT(GN21-6,"dd-mmm-yyyy")</f>
        <v>Actuals to Fri 03-Jan-2020
ETC starts Sat 04-Jan-2020</v>
      </c>
      <c r="T4" s="285"/>
      <c r="U4" s="285"/>
      <c r="V4" s="285"/>
      <c r="W4" s="285"/>
      <c r="X4" s="285"/>
      <c r="Y4" s="285"/>
      <c r="Z4" s="285"/>
      <c r="AA4" s="285"/>
      <c r="AB4" s="285"/>
      <c r="AC4" s="285"/>
      <c r="AD4" s="285"/>
      <c r="AE4" s="285"/>
      <c r="AF4" s="285"/>
      <c r="AG4" s="285"/>
      <c r="AH4" s="2513"/>
      <c r="AI4" s="285"/>
      <c r="AJ4" s="285"/>
      <c r="AK4" s="285"/>
      <c r="AL4" s="285"/>
      <c r="AM4" s="285"/>
      <c r="AN4" s="285"/>
      <c r="AO4" s="285"/>
      <c r="AP4" s="285"/>
      <c r="AQ4" s="285"/>
      <c r="AR4" s="285"/>
      <c r="AS4" s="285"/>
      <c r="AT4" s="285"/>
      <c r="AU4" s="285"/>
      <c r="AV4" s="285"/>
      <c r="AW4" s="285"/>
      <c r="AX4" s="285"/>
      <c r="AY4" s="285"/>
      <c r="AZ4" s="285"/>
      <c r="BA4" s="285"/>
      <c r="BB4" s="285"/>
      <c r="BC4" s="285"/>
      <c r="BD4" s="285"/>
      <c r="BE4" s="285"/>
      <c r="BF4" s="285"/>
      <c r="BG4" s="285"/>
      <c r="BH4" s="285"/>
      <c r="BI4" s="285"/>
      <c r="BJ4" s="285"/>
      <c r="BK4" s="285"/>
      <c r="BL4" s="285"/>
      <c r="BM4" s="285"/>
      <c r="BN4" s="285"/>
      <c r="BO4" s="285"/>
      <c r="BP4" s="285"/>
      <c r="BQ4" s="285"/>
      <c r="BR4" s="285"/>
      <c r="BS4" s="285"/>
      <c r="BT4" s="285"/>
      <c r="BU4" s="285"/>
      <c r="BV4" s="285"/>
      <c r="BW4" s="285"/>
      <c r="BX4" s="285"/>
      <c r="BY4" s="285"/>
      <c r="BZ4" s="285"/>
      <c r="CA4" s="285"/>
      <c r="CB4" s="285"/>
      <c r="CC4" s="285"/>
      <c r="CD4" s="285"/>
      <c r="CE4" s="285"/>
      <c r="CF4" s="285"/>
      <c r="CG4" s="285"/>
      <c r="CH4" s="285"/>
      <c r="CI4" s="285"/>
      <c r="CJ4" s="285"/>
      <c r="CK4" s="285"/>
      <c r="CL4" s="285"/>
      <c r="CM4" s="285"/>
      <c r="CN4" s="285"/>
      <c r="CO4" s="285"/>
      <c r="CP4" s="285"/>
      <c r="CQ4" s="285"/>
      <c r="CR4" s="285"/>
      <c r="CS4" s="285"/>
      <c r="CT4" s="285"/>
      <c r="CU4" s="285"/>
      <c r="CV4" s="285"/>
      <c r="CW4" s="285"/>
      <c r="CX4" s="285"/>
      <c r="CY4" s="285"/>
      <c r="CZ4" s="290" t="s">
        <v>5</v>
      </c>
      <c r="DA4" s="290"/>
      <c r="DB4" s="285"/>
      <c r="DC4" s="285"/>
      <c r="DD4" s="285"/>
      <c r="DE4" s="285"/>
      <c r="DF4" s="442" t="s">
        <v>1801</v>
      </c>
      <c r="DG4" s="442"/>
      <c r="DH4" s="76">
        <f>SUM(DJ4:FH4)</f>
        <v>0</v>
      </c>
      <c r="DI4" s="285"/>
      <c r="DJ4" s="76">
        <f>IF(AND(DJ6&gt;0,COUNTIFS($DJ$171:$FH$171,DJ171)&gt;1),1,0)</f>
        <v>0</v>
      </c>
      <c r="DK4" s="76">
        <f t="shared" ref="DK4:FG4" si="4">IF(AND(DK6&gt;0,COUNTIFS($DJ$171:$FH$171,DK171)&gt;1),1,0)</f>
        <v>0</v>
      </c>
      <c r="DL4" s="76">
        <f t="shared" si="4"/>
        <v>0</v>
      </c>
      <c r="DM4" s="76">
        <f t="shared" si="4"/>
        <v>0</v>
      </c>
      <c r="DN4" s="76">
        <f t="shared" si="4"/>
        <v>0</v>
      </c>
      <c r="DO4" s="76">
        <f t="shared" si="4"/>
        <v>0</v>
      </c>
      <c r="DP4" s="76">
        <f t="shared" si="4"/>
        <v>0</v>
      </c>
      <c r="DQ4" s="76">
        <f t="shared" si="4"/>
        <v>0</v>
      </c>
      <c r="DR4" s="76">
        <f t="shared" si="4"/>
        <v>0</v>
      </c>
      <c r="DS4" s="76">
        <f t="shared" si="4"/>
        <v>0</v>
      </c>
      <c r="DT4" s="76">
        <f t="shared" si="4"/>
        <v>0</v>
      </c>
      <c r="DU4" s="76">
        <f t="shared" si="4"/>
        <v>0</v>
      </c>
      <c r="DV4" s="76">
        <f t="shared" si="4"/>
        <v>0</v>
      </c>
      <c r="DW4" s="76">
        <f t="shared" si="4"/>
        <v>0</v>
      </c>
      <c r="DX4" s="76">
        <f t="shared" si="4"/>
        <v>0</v>
      </c>
      <c r="DY4" s="76">
        <f t="shared" si="4"/>
        <v>0</v>
      </c>
      <c r="DZ4" s="76">
        <f t="shared" si="4"/>
        <v>0</v>
      </c>
      <c r="EA4" s="76">
        <f t="shared" si="4"/>
        <v>0</v>
      </c>
      <c r="EB4" s="76">
        <f t="shared" si="4"/>
        <v>0</v>
      </c>
      <c r="EC4" s="76">
        <f t="shared" si="4"/>
        <v>0</v>
      </c>
      <c r="ED4" s="76">
        <f t="shared" si="4"/>
        <v>0</v>
      </c>
      <c r="EE4" s="76">
        <f t="shared" si="4"/>
        <v>0</v>
      </c>
      <c r="EF4" s="76">
        <f t="shared" si="4"/>
        <v>0</v>
      </c>
      <c r="EG4" s="76">
        <f t="shared" si="4"/>
        <v>0</v>
      </c>
      <c r="EH4" s="76">
        <f t="shared" si="4"/>
        <v>0</v>
      </c>
      <c r="EI4" s="76">
        <f t="shared" si="4"/>
        <v>0</v>
      </c>
      <c r="EJ4" s="76">
        <f t="shared" si="4"/>
        <v>0</v>
      </c>
      <c r="EK4" s="76">
        <f t="shared" si="4"/>
        <v>0</v>
      </c>
      <c r="EL4" s="76">
        <f t="shared" si="4"/>
        <v>0</v>
      </c>
      <c r="EM4" s="76">
        <f t="shared" si="4"/>
        <v>0</v>
      </c>
      <c r="EN4" s="76">
        <f t="shared" si="4"/>
        <v>0</v>
      </c>
      <c r="EO4" s="76">
        <f t="shared" si="4"/>
        <v>0</v>
      </c>
      <c r="EP4" s="76">
        <f t="shared" si="4"/>
        <v>0</v>
      </c>
      <c r="EQ4" s="76">
        <f t="shared" si="4"/>
        <v>0</v>
      </c>
      <c r="ER4" s="76">
        <f t="shared" si="4"/>
        <v>0</v>
      </c>
      <c r="ES4" s="76">
        <f t="shared" si="4"/>
        <v>0</v>
      </c>
      <c r="ET4" s="76">
        <f t="shared" si="4"/>
        <v>0</v>
      </c>
      <c r="EU4" s="76">
        <f t="shared" si="4"/>
        <v>0</v>
      </c>
      <c r="EV4" s="76">
        <f t="shared" si="4"/>
        <v>0</v>
      </c>
      <c r="EW4" s="76">
        <f t="shared" si="4"/>
        <v>0</v>
      </c>
      <c r="EX4" s="76">
        <f t="shared" si="4"/>
        <v>0</v>
      </c>
      <c r="EY4" s="76">
        <f t="shared" si="4"/>
        <v>0</v>
      </c>
      <c r="EZ4" s="76">
        <f t="shared" si="4"/>
        <v>0</v>
      </c>
      <c r="FA4" s="76">
        <f t="shared" si="4"/>
        <v>0</v>
      </c>
      <c r="FB4" s="76">
        <f t="shared" si="4"/>
        <v>0</v>
      </c>
      <c r="FC4" s="76">
        <f t="shared" si="4"/>
        <v>0</v>
      </c>
      <c r="FD4" s="76">
        <f t="shared" si="4"/>
        <v>0</v>
      </c>
      <c r="FE4" s="76">
        <f t="shared" si="4"/>
        <v>0</v>
      </c>
      <c r="FF4" s="76">
        <f t="shared" si="4"/>
        <v>0</v>
      </c>
      <c r="FG4" s="76">
        <f t="shared" si="4"/>
        <v>0</v>
      </c>
      <c r="FH4" s="604"/>
      <c r="FI4" s="285"/>
      <c r="FJ4" s="307"/>
      <c r="FK4" s="307"/>
      <c r="FL4" s="285"/>
      <c r="FM4" s="412" t="s">
        <v>792</v>
      </c>
      <c r="FN4" s="285"/>
      <c r="FO4" s="285"/>
      <c r="FP4" s="285"/>
      <c r="FQ4" s="285"/>
      <c r="FR4" s="285"/>
      <c r="FS4" s="285"/>
      <c r="FT4" s="285"/>
      <c r="FU4" s="285"/>
      <c r="FV4" s="285"/>
      <c r="FW4" s="285"/>
      <c r="FX4" s="285"/>
      <c r="FY4" s="285"/>
      <c r="FZ4" s="285"/>
      <c r="GA4" s="285"/>
      <c r="GB4" s="285"/>
      <c r="GC4" s="285"/>
      <c r="GD4" s="285"/>
      <c r="GE4" s="285"/>
      <c r="GF4" s="285"/>
      <c r="GG4" s="285"/>
      <c r="GH4" s="285"/>
      <c r="GI4" s="285"/>
      <c r="GJ4" s="285"/>
      <c r="GK4" s="285"/>
      <c r="GL4" s="285"/>
      <c r="GM4" s="285"/>
      <c r="GN4" s="314">
        <f>(CZ163+CZ164)*G30</f>
        <v>0</v>
      </c>
      <c r="GO4" s="314">
        <f ca="1">MAX(SUM(GT6:LQ6),1)</f>
        <v>68492.781824999998</v>
      </c>
      <c r="GP4" s="285"/>
      <c r="GQ4" s="285"/>
      <c r="GR4" s="412"/>
      <c r="GS4" s="308" t="s">
        <v>4057</v>
      </c>
      <c r="GT4" s="443">
        <f ca="1">GT6*$GN$4/$GO$4</f>
        <v>0</v>
      </c>
      <c r="GU4" s="444">
        <f t="shared" ref="GU4:JF4" ca="1" si="5">GU6*$GN$4/$GO$4</f>
        <v>0</v>
      </c>
      <c r="GV4" s="444">
        <f t="shared" ca="1" si="5"/>
        <v>0</v>
      </c>
      <c r="GW4" s="444">
        <f t="shared" ca="1" si="5"/>
        <v>0</v>
      </c>
      <c r="GX4" s="444">
        <f t="shared" ca="1" si="5"/>
        <v>0</v>
      </c>
      <c r="GY4" s="444">
        <f t="shared" ca="1" si="5"/>
        <v>0</v>
      </c>
      <c r="GZ4" s="444">
        <f t="shared" ca="1" si="5"/>
        <v>0</v>
      </c>
      <c r="HA4" s="444">
        <f t="shared" ca="1" si="5"/>
        <v>0</v>
      </c>
      <c r="HB4" s="444">
        <f t="shared" ca="1" si="5"/>
        <v>0</v>
      </c>
      <c r="HC4" s="444">
        <f t="shared" ca="1" si="5"/>
        <v>0</v>
      </c>
      <c r="HD4" s="444">
        <f t="shared" ca="1" si="5"/>
        <v>0</v>
      </c>
      <c r="HE4" s="444">
        <f t="shared" ca="1" si="5"/>
        <v>0</v>
      </c>
      <c r="HF4" s="444">
        <f t="shared" ca="1" si="5"/>
        <v>0</v>
      </c>
      <c r="HG4" s="444">
        <f t="shared" ca="1" si="5"/>
        <v>0</v>
      </c>
      <c r="HH4" s="444">
        <f t="shared" ca="1" si="5"/>
        <v>0</v>
      </c>
      <c r="HI4" s="444">
        <f t="shared" ca="1" si="5"/>
        <v>0</v>
      </c>
      <c r="HJ4" s="444">
        <f t="shared" ca="1" si="5"/>
        <v>0</v>
      </c>
      <c r="HK4" s="444">
        <f t="shared" ca="1" si="5"/>
        <v>0</v>
      </c>
      <c r="HL4" s="444">
        <f t="shared" ca="1" si="5"/>
        <v>0</v>
      </c>
      <c r="HM4" s="444">
        <f t="shared" ca="1" si="5"/>
        <v>0</v>
      </c>
      <c r="HN4" s="444">
        <f t="shared" ca="1" si="5"/>
        <v>0</v>
      </c>
      <c r="HO4" s="444">
        <f t="shared" ca="1" si="5"/>
        <v>0</v>
      </c>
      <c r="HP4" s="444">
        <f t="shared" ca="1" si="5"/>
        <v>0</v>
      </c>
      <c r="HQ4" s="444">
        <f t="shared" ca="1" si="5"/>
        <v>0</v>
      </c>
      <c r="HR4" s="444">
        <f t="shared" ca="1" si="5"/>
        <v>0</v>
      </c>
      <c r="HS4" s="444">
        <f t="shared" ca="1" si="5"/>
        <v>0</v>
      </c>
      <c r="HT4" s="444">
        <f t="shared" ca="1" si="5"/>
        <v>0</v>
      </c>
      <c r="HU4" s="444">
        <f t="shared" ca="1" si="5"/>
        <v>0</v>
      </c>
      <c r="HV4" s="444">
        <f t="shared" ca="1" si="5"/>
        <v>0</v>
      </c>
      <c r="HW4" s="444">
        <f t="shared" ca="1" si="5"/>
        <v>0</v>
      </c>
      <c r="HX4" s="444">
        <f t="shared" ca="1" si="5"/>
        <v>0</v>
      </c>
      <c r="HY4" s="444">
        <f t="shared" ca="1" si="5"/>
        <v>0</v>
      </c>
      <c r="HZ4" s="444">
        <f t="shared" ca="1" si="5"/>
        <v>0</v>
      </c>
      <c r="IA4" s="444">
        <f t="shared" ca="1" si="5"/>
        <v>0</v>
      </c>
      <c r="IB4" s="444">
        <f t="shared" ca="1" si="5"/>
        <v>0</v>
      </c>
      <c r="IC4" s="444">
        <f t="shared" ca="1" si="5"/>
        <v>0</v>
      </c>
      <c r="ID4" s="444">
        <f t="shared" ca="1" si="5"/>
        <v>0</v>
      </c>
      <c r="IE4" s="444">
        <f t="shared" ca="1" si="5"/>
        <v>0</v>
      </c>
      <c r="IF4" s="444">
        <f t="shared" ca="1" si="5"/>
        <v>0</v>
      </c>
      <c r="IG4" s="444">
        <f t="shared" ca="1" si="5"/>
        <v>0</v>
      </c>
      <c r="IH4" s="444">
        <f t="shared" ca="1" si="5"/>
        <v>0</v>
      </c>
      <c r="II4" s="444">
        <f t="shared" ca="1" si="5"/>
        <v>0</v>
      </c>
      <c r="IJ4" s="444">
        <f t="shared" ca="1" si="5"/>
        <v>0</v>
      </c>
      <c r="IK4" s="444">
        <f t="shared" ca="1" si="5"/>
        <v>0</v>
      </c>
      <c r="IL4" s="444">
        <f t="shared" ca="1" si="5"/>
        <v>0</v>
      </c>
      <c r="IM4" s="444">
        <f t="shared" ca="1" si="5"/>
        <v>0</v>
      </c>
      <c r="IN4" s="444">
        <f t="shared" ca="1" si="5"/>
        <v>0</v>
      </c>
      <c r="IO4" s="444">
        <f t="shared" ca="1" si="5"/>
        <v>0</v>
      </c>
      <c r="IP4" s="444">
        <f t="shared" ca="1" si="5"/>
        <v>0</v>
      </c>
      <c r="IQ4" s="444">
        <f t="shared" ca="1" si="5"/>
        <v>0</v>
      </c>
      <c r="IR4" s="444">
        <f t="shared" ca="1" si="5"/>
        <v>0</v>
      </c>
      <c r="IS4" s="444">
        <f t="shared" ca="1" si="5"/>
        <v>0</v>
      </c>
      <c r="IT4" s="444">
        <f t="shared" ca="1" si="5"/>
        <v>0</v>
      </c>
      <c r="IU4" s="444">
        <f t="shared" ca="1" si="5"/>
        <v>0</v>
      </c>
      <c r="IV4" s="444">
        <f t="shared" ca="1" si="5"/>
        <v>0</v>
      </c>
      <c r="IW4" s="444">
        <f t="shared" ca="1" si="5"/>
        <v>0</v>
      </c>
      <c r="IX4" s="444">
        <f t="shared" ca="1" si="5"/>
        <v>0</v>
      </c>
      <c r="IY4" s="444">
        <f t="shared" ca="1" si="5"/>
        <v>0</v>
      </c>
      <c r="IZ4" s="444">
        <f t="shared" ca="1" si="5"/>
        <v>0</v>
      </c>
      <c r="JA4" s="444">
        <f t="shared" ca="1" si="5"/>
        <v>0</v>
      </c>
      <c r="JB4" s="444">
        <f t="shared" ca="1" si="5"/>
        <v>0</v>
      </c>
      <c r="JC4" s="444">
        <f t="shared" ca="1" si="5"/>
        <v>0</v>
      </c>
      <c r="JD4" s="444">
        <f t="shared" ca="1" si="5"/>
        <v>0</v>
      </c>
      <c r="JE4" s="444">
        <f t="shared" ca="1" si="5"/>
        <v>0</v>
      </c>
      <c r="JF4" s="444">
        <f t="shared" ca="1" si="5"/>
        <v>0</v>
      </c>
      <c r="JG4" s="444">
        <f t="shared" ref="JG4:LP4" ca="1" si="6">JG6*$GN$4/$GO$4</f>
        <v>0</v>
      </c>
      <c r="JH4" s="444">
        <f t="shared" ca="1" si="6"/>
        <v>0</v>
      </c>
      <c r="JI4" s="444">
        <f t="shared" ca="1" si="6"/>
        <v>0</v>
      </c>
      <c r="JJ4" s="444">
        <f t="shared" ca="1" si="6"/>
        <v>0</v>
      </c>
      <c r="JK4" s="444">
        <f t="shared" ca="1" si="6"/>
        <v>0</v>
      </c>
      <c r="JL4" s="444">
        <f t="shared" ca="1" si="6"/>
        <v>0</v>
      </c>
      <c r="JM4" s="444">
        <f t="shared" ca="1" si="6"/>
        <v>0</v>
      </c>
      <c r="JN4" s="444">
        <f t="shared" ca="1" si="6"/>
        <v>0</v>
      </c>
      <c r="JO4" s="444">
        <f t="shared" ca="1" si="6"/>
        <v>0</v>
      </c>
      <c r="JP4" s="444">
        <f t="shared" ca="1" si="6"/>
        <v>0</v>
      </c>
      <c r="JQ4" s="444">
        <f t="shared" ca="1" si="6"/>
        <v>0</v>
      </c>
      <c r="JR4" s="444">
        <f t="shared" ca="1" si="6"/>
        <v>0</v>
      </c>
      <c r="JS4" s="444">
        <f t="shared" ca="1" si="6"/>
        <v>0</v>
      </c>
      <c r="JT4" s="444">
        <f t="shared" ca="1" si="6"/>
        <v>0</v>
      </c>
      <c r="JU4" s="444">
        <f t="shared" ca="1" si="6"/>
        <v>0</v>
      </c>
      <c r="JV4" s="444">
        <f t="shared" ca="1" si="6"/>
        <v>0</v>
      </c>
      <c r="JW4" s="444">
        <f t="shared" ca="1" si="6"/>
        <v>0</v>
      </c>
      <c r="JX4" s="444">
        <f t="shared" ca="1" si="6"/>
        <v>0</v>
      </c>
      <c r="JY4" s="444">
        <f t="shared" ca="1" si="6"/>
        <v>0</v>
      </c>
      <c r="JZ4" s="444">
        <f t="shared" ca="1" si="6"/>
        <v>0</v>
      </c>
      <c r="KA4" s="444">
        <f t="shared" ca="1" si="6"/>
        <v>0</v>
      </c>
      <c r="KB4" s="444">
        <f t="shared" ca="1" si="6"/>
        <v>0</v>
      </c>
      <c r="KC4" s="444">
        <f t="shared" ca="1" si="6"/>
        <v>0</v>
      </c>
      <c r="KD4" s="444">
        <f t="shared" ca="1" si="6"/>
        <v>0</v>
      </c>
      <c r="KE4" s="444">
        <f t="shared" ca="1" si="6"/>
        <v>0</v>
      </c>
      <c r="KF4" s="444">
        <f t="shared" ca="1" si="6"/>
        <v>0</v>
      </c>
      <c r="KG4" s="444">
        <f t="shared" ca="1" si="6"/>
        <v>0</v>
      </c>
      <c r="KH4" s="444">
        <f t="shared" ca="1" si="6"/>
        <v>0</v>
      </c>
      <c r="KI4" s="444">
        <f t="shared" ca="1" si="6"/>
        <v>0</v>
      </c>
      <c r="KJ4" s="444">
        <f t="shared" ca="1" si="6"/>
        <v>0</v>
      </c>
      <c r="KK4" s="444">
        <f t="shared" ca="1" si="6"/>
        <v>0</v>
      </c>
      <c r="KL4" s="444">
        <f t="shared" ca="1" si="6"/>
        <v>0</v>
      </c>
      <c r="KM4" s="444">
        <f t="shared" ca="1" si="6"/>
        <v>0</v>
      </c>
      <c r="KN4" s="444">
        <f t="shared" ca="1" si="6"/>
        <v>0</v>
      </c>
      <c r="KO4" s="444">
        <f t="shared" ca="1" si="6"/>
        <v>0</v>
      </c>
      <c r="KP4" s="444">
        <f t="shared" ca="1" si="6"/>
        <v>0</v>
      </c>
      <c r="KQ4" s="444">
        <f t="shared" ca="1" si="6"/>
        <v>0</v>
      </c>
      <c r="KR4" s="444">
        <f t="shared" ca="1" si="6"/>
        <v>0</v>
      </c>
      <c r="KS4" s="444">
        <f t="shared" ca="1" si="6"/>
        <v>0</v>
      </c>
      <c r="KT4" s="444">
        <f t="shared" ca="1" si="6"/>
        <v>0</v>
      </c>
      <c r="KU4" s="444">
        <f t="shared" ca="1" si="6"/>
        <v>0</v>
      </c>
      <c r="KV4" s="444">
        <f t="shared" ca="1" si="6"/>
        <v>0</v>
      </c>
      <c r="KW4" s="444">
        <f t="shared" ca="1" si="6"/>
        <v>0</v>
      </c>
      <c r="KX4" s="444">
        <f t="shared" ca="1" si="6"/>
        <v>0</v>
      </c>
      <c r="KY4" s="444">
        <f t="shared" ca="1" si="6"/>
        <v>0</v>
      </c>
      <c r="KZ4" s="444">
        <f t="shared" ca="1" si="6"/>
        <v>0</v>
      </c>
      <c r="LA4" s="444">
        <f t="shared" ca="1" si="6"/>
        <v>0</v>
      </c>
      <c r="LB4" s="444">
        <f t="shared" ca="1" si="6"/>
        <v>0</v>
      </c>
      <c r="LC4" s="444">
        <f t="shared" ca="1" si="6"/>
        <v>0</v>
      </c>
      <c r="LD4" s="444">
        <f t="shared" ca="1" si="6"/>
        <v>0</v>
      </c>
      <c r="LE4" s="444">
        <f t="shared" ca="1" si="6"/>
        <v>0</v>
      </c>
      <c r="LF4" s="444">
        <f t="shared" ca="1" si="6"/>
        <v>0</v>
      </c>
      <c r="LG4" s="444">
        <f t="shared" ca="1" si="6"/>
        <v>0</v>
      </c>
      <c r="LH4" s="444">
        <f t="shared" ca="1" si="6"/>
        <v>0</v>
      </c>
      <c r="LI4" s="444">
        <f t="shared" ca="1" si="6"/>
        <v>0</v>
      </c>
      <c r="LJ4" s="444">
        <f t="shared" ca="1" si="6"/>
        <v>0</v>
      </c>
      <c r="LK4" s="444">
        <f t="shared" ca="1" si="6"/>
        <v>0</v>
      </c>
      <c r="LL4" s="444">
        <f t="shared" ca="1" si="6"/>
        <v>0</v>
      </c>
      <c r="LM4" s="444">
        <f t="shared" ca="1" si="6"/>
        <v>0</v>
      </c>
      <c r="LN4" s="444">
        <f t="shared" ca="1" si="6"/>
        <v>0</v>
      </c>
      <c r="LO4" s="444">
        <f t="shared" ca="1" si="6"/>
        <v>0</v>
      </c>
      <c r="LP4" s="444">
        <f t="shared" ca="1" si="6"/>
        <v>0</v>
      </c>
    </row>
    <row r="5" spans="1:328" ht="15.75" hidden="1" customHeight="1" thickBot="1" x14ac:dyDescent="0.35">
      <c r="A5" s="285"/>
      <c r="B5" s="285"/>
      <c r="C5" s="76" t="b">
        <f>(COUNTIFS(F173:F365,C22)+COUNTIFS(F173:F365,C23)+COUNTIFS(F173:F365,C24)&gt;0)</f>
        <v>0</v>
      </c>
      <c r="D5" s="291"/>
      <c r="E5" s="306" t="s">
        <v>662</v>
      </c>
      <c r="F5" s="285"/>
      <c r="G5" s="285"/>
      <c r="H5" s="285"/>
      <c r="I5" s="285"/>
      <c r="J5" s="285"/>
      <c r="K5" s="306"/>
      <c r="L5" s="285"/>
      <c r="M5" s="287"/>
      <c r="N5" s="287"/>
      <c r="O5" s="287"/>
      <c r="P5" s="618" t="s">
        <v>4196</v>
      </c>
      <c r="Q5" s="288"/>
      <c r="R5" s="285"/>
      <c r="S5" s="411" t="str">
        <f>"Actuals to end "&amp;TEXT(GN21-15,"mmm yyyy")&amp;"
ETC starts "&amp;TEXT(GN21,"mmm yyyy")</f>
        <v>Actuals to end Dec 2019
ETC starts Jan 2020</v>
      </c>
      <c r="T5" s="285"/>
      <c r="U5" s="285"/>
      <c r="V5" s="285"/>
      <c r="W5" s="285"/>
      <c r="X5" s="285"/>
      <c r="Y5" s="285"/>
      <c r="Z5" s="285"/>
      <c r="AA5" s="285"/>
      <c r="AB5" s="285"/>
      <c r="AC5" s="285"/>
      <c r="AD5" s="285"/>
      <c r="AE5" s="285"/>
      <c r="AF5" s="285"/>
      <c r="AG5" s="285"/>
      <c r="AH5" s="2513"/>
      <c r="AI5" s="285"/>
      <c r="AJ5" s="285"/>
      <c r="AK5" s="285"/>
      <c r="AL5" s="285"/>
      <c r="AM5" s="285"/>
      <c r="AN5" s="285"/>
      <c r="AO5" s="285"/>
      <c r="AP5" s="285"/>
      <c r="AQ5" s="285"/>
      <c r="AR5" s="285"/>
      <c r="AS5" s="285"/>
      <c r="AT5" s="285"/>
      <c r="AU5" s="285"/>
      <c r="AV5" s="285"/>
      <c r="AW5" s="285"/>
      <c r="AX5" s="285"/>
      <c r="AY5" s="285"/>
      <c r="AZ5" s="285"/>
      <c r="BA5" s="285"/>
      <c r="BB5" s="285"/>
      <c r="BC5" s="285"/>
      <c r="BD5" s="285"/>
      <c r="BE5" s="285"/>
      <c r="BF5" s="285"/>
      <c r="BG5" s="285"/>
      <c r="BH5" s="285"/>
      <c r="BI5" s="285"/>
      <c r="BJ5" s="285"/>
      <c r="BK5" s="285"/>
      <c r="BL5" s="285"/>
      <c r="BM5" s="285"/>
      <c r="BN5" s="285"/>
      <c r="BO5" s="285"/>
      <c r="BP5" s="285"/>
      <c r="BQ5" s="285"/>
      <c r="BR5" s="285"/>
      <c r="BS5" s="285"/>
      <c r="BT5" s="285"/>
      <c r="BU5" s="285"/>
      <c r="BV5" s="285"/>
      <c r="BW5" s="285"/>
      <c r="BX5" s="285"/>
      <c r="BY5" s="285"/>
      <c r="BZ5" s="285"/>
      <c r="CA5" s="285"/>
      <c r="CB5" s="285"/>
      <c r="CC5" s="285"/>
      <c r="CD5" s="285"/>
      <c r="CE5" s="285"/>
      <c r="CF5" s="285"/>
      <c r="CG5" s="285"/>
      <c r="CH5" s="285"/>
      <c r="CI5" s="285"/>
      <c r="CJ5" s="285"/>
      <c r="CK5" s="285"/>
      <c r="CL5" s="285"/>
      <c r="CM5" s="285"/>
      <c r="CN5" s="285"/>
      <c r="CO5" s="285"/>
      <c r="CP5" s="285"/>
      <c r="CQ5" s="285"/>
      <c r="CR5" s="285"/>
      <c r="CS5" s="285"/>
      <c r="CT5" s="285"/>
      <c r="CU5" s="285"/>
      <c r="CV5" s="285"/>
      <c r="CW5" s="285"/>
      <c r="CX5" s="285"/>
      <c r="CY5" s="285"/>
      <c r="CZ5" s="290" t="s">
        <v>5</v>
      </c>
      <c r="DA5" s="290"/>
      <c r="DB5" s="285"/>
      <c r="DC5" s="285"/>
      <c r="DD5" s="285"/>
      <c r="DE5" s="285"/>
      <c r="DF5" s="285"/>
      <c r="DG5" s="285"/>
      <c r="DH5" s="1888"/>
      <c r="DI5" s="285"/>
      <c r="DJ5" s="1889"/>
      <c r="DK5" s="1889"/>
      <c r="DL5" s="1889"/>
      <c r="DM5" s="1889"/>
      <c r="DN5" s="1889"/>
      <c r="DO5" s="1889"/>
      <c r="DP5" s="1889"/>
      <c r="DQ5" s="1889"/>
      <c r="DR5" s="1889"/>
      <c r="DS5" s="1889"/>
      <c r="DT5" s="1889"/>
      <c r="DU5" s="1889"/>
      <c r="DV5" s="1889"/>
      <c r="DW5" s="1889"/>
      <c r="DX5" s="1889"/>
      <c r="DY5" s="1889"/>
      <c r="DZ5" s="1889"/>
      <c r="EA5" s="1889"/>
      <c r="EB5" s="1889"/>
      <c r="EC5" s="1889"/>
      <c r="ED5" s="1889"/>
      <c r="EE5" s="1889"/>
      <c r="EF5" s="1889"/>
      <c r="EG5" s="1889"/>
      <c r="EH5" s="1889"/>
      <c r="EI5" s="1889"/>
      <c r="EJ5" s="1889"/>
      <c r="EK5" s="1889"/>
      <c r="EL5" s="1889"/>
      <c r="EM5" s="1889"/>
      <c r="EN5" s="1889"/>
      <c r="EO5" s="1889"/>
      <c r="EP5" s="1889"/>
      <c r="EQ5" s="1889"/>
      <c r="ER5" s="1889"/>
      <c r="ES5" s="1889"/>
      <c r="ET5" s="1889"/>
      <c r="EU5" s="1889"/>
      <c r="EV5" s="1889"/>
      <c r="EW5" s="1889"/>
      <c r="EX5" s="1889"/>
      <c r="EY5" s="1889"/>
      <c r="EZ5" s="1889"/>
      <c r="FA5" s="1889"/>
      <c r="FB5" s="1889"/>
      <c r="FC5" s="1889"/>
      <c r="FD5" s="1889"/>
      <c r="FE5" s="1889"/>
      <c r="FF5" s="1889"/>
      <c r="FG5" s="1889"/>
      <c r="FH5" s="604"/>
      <c r="FI5" s="285"/>
      <c r="FJ5" s="307"/>
      <c r="FK5" s="307"/>
      <c r="FL5" s="285"/>
      <c r="FM5" s="984">
        <f>IF($GR$170=$FM$6,1,2)</f>
        <v>1</v>
      </c>
      <c r="FN5" s="984">
        <f>IF($GR$170=$FM$6,FN6,FN7)</f>
        <v>7</v>
      </c>
      <c r="FO5" s="285"/>
      <c r="FP5" s="285"/>
      <c r="FQ5" s="285"/>
      <c r="FR5" s="285"/>
      <c r="FS5" s="285"/>
      <c r="FT5" s="285"/>
      <c r="FU5" s="285"/>
      <c r="FV5" s="285"/>
      <c r="FW5" s="285"/>
      <c r="FX5" s="285"/>
      <c r="FY5" s="285"/>
      <c r="FZ5" s="285"/>
      <c r="GA5" s="285"/>
      <c r="GB5" s="285"/>
      <c r="GC5" s="285"/>
      <c r="GD5" s="285"/>
      <c r="GE5" s="285"/>
      <c r="GF5" s="285"/>
      <c r="GG5" s="285"/>
      <c r="GH5" s="285"/>
      <c r="GI5" s="285"/>
      <c r="GJ5" s="285"/>
      <c r="GK5" s="285"/>
      <c r="GL5" s="285"/>
      <c r="GM5" s="285"/>
      <c r="GN5" s="285"/>
      <c r="GO5" s="285"/>
      <c r="GP5" s="285"/>
      <c r="GQ5" s="285"/>
      <c r="GR5" s="412"/>
      <c r="GS5" s="308" t="s">
        <v>1719</v>
      </c>
      <c r="GT5" s="3266">
        <f t="shared" ref="GT5:HY5" ca="1" si="7">IF(GT22=0,0,SUMPRODUCT($AC$173:$AC$364,$CY$173:$CY$364,$FP$173:$FP$364,$AH$173:$AH$364,GT$173:GT$364)*GT25)</f>
        <v>5707.7318187499995</v>
      </c>
      <c r="GU5" s="55">
        <f t="shared" ca="1" si="7"/>
        <v>5707.7318187499995</v>
      </c>
      <c r="GV5" s="55">
        <f t="shared" ca="1" si="7"/>
        <v>5707.7318187499995</v>
      </c>
      <c r="GW5" s="55">
        <f t="shared" ca="1" si="7"/>
        <v>5707.7318187499995</v>
      </c>
      <c r="GX5" s="55">
        <f t="shared" ca="1" si="7"/>
        <v>5707.7318187499995</v>
      </c>
      <c r="GY5" s="55">
        <f t="shared" ca="1" si="7"/>
        <v>5707.7318187499995</v>
      </c>
      <c r="GZ5" s="55">
        <f t="shared" ca="1" si="7"/>
        <v>5707.7318187499995</v>
      </c>
      <c r="HA5" s="55">
        <f t="shared" ca="1" si="7"/>
        <v>5707.7318187499995</v>
      </c>
      <c r="HB5" s="55">
        <f t="shared" ca="1" si="7"/>
        <v>5707.7318187499995</v>
      </c>
      <c r="HC5" s="55">
        <f t="shared" ca="1" si="7"/>
        <v>5707.7318187499995</v>
      </c>
      <c r="HD5" s="55">
        <f t="shared" ca="1" si="7"/>
        <v>5707.7318187499995</v>
      </c>
      <c r="HE5" s="55">
        <f t="shared" ca="1" si="7"/>
        <v>5707.7318187499995</v>
      </c>
      <c r="HF5" s="55">
        <f t="shared" si="7"/>
        <v>0</v>
      </c>
      <c r="HG5" s="55">
        <f t="shared" si="7"/>
        <v>0</v>
      </c>
      <c r="HH5" s="55">
        <f t="shared" si="7"/>
        <v>0</v>
      </c>
      <c r="HI5" s="55">
        <f t="shared" si="7"/>
        <v>0</v>
      </c>
      <c r="HJ5" s="55">
        <f t="shared" si="7"/>
        <v>0</v>
      </c>
      <c r="HK5" s="55">
        <f t="shared" si="7"/>
        <v>0</v>
      </c>
      <c r="HL5" s="55">
        <f t="shared" si="7"/>
        <v>0</v>
      </c>
      <c r="HM5" s="55">
        <f t="shared" si="7"/>
        <v>0</v>
      </c>
      <c r="HN5" s="55">
        <f t="shared" si="7"/>
        <v>0</v>
      </c>
      <c r="HO5" s="55">
        <f t="shared" si="7"/>
        <v>0</v>
      </c>
      <c r="HP5" s="55">
        <f t="shared" si="7"/>
        <v>0</v>
      </c>
      <c r="HQ5" s="55">
        <f t="shared" si="7"/>
        <v>0</v>
      </c>
      <c r="HR5" s="55">
        <f t="shared" si="7"/>
        <v>0</v>
      </c>
      <c r="HS5" s="55">
        <f t="shared" si="7"/>
        <v>0</v>
      </c>
      <c r="HT5" s="55">
        <f t="shared" si="7"/>
        <v>0</v>
      </c>
      <c r="HU5" s="55">
        <f t="shared" si="7"/>
        <v>0</v>
      </c>
      <c r="HV5" s="55">
        <f t="shared" si="7"/>
        <v>0</v>
      </c>
      <c r="HW5" s="55">
        <f t="shared" si="7"/>
        <v>0</v>
      </c>
      <c r="HX5" s="55">
        <f t="shared" si="7"/>
        <v>0</v>
      </c>
      <c r="HY5" s="55">
        <f t="shared" si="7"/>
        <v>0</v>
      </c>
      <c r="HZ5" s="55">
        <f t="shared" ref="HZ5:JE5" si="8">IF(HZ22=0,0,SUMPRODUCT($AC$173:$AC$364,$CY$173:$CY$364,$FP$173:$FP$364,$AH$173:$AH$364,HZ$173:HZ$364)*HZ25)</f>
        <v>0</v>
      </c>
      <c r="IA5" s="55">
        <f t="shared" si="8"/>
        <v>0</v>
      </c>
      <c r="IB5" s="55">
        <f t="shared" si="8"/>
        <v>0</v>
      </c>
      <c r="IC5" s="55">
        <f t="shared" si="8"/>
        <v>0</v>
      </c>
      <c r="ID5" s="55">
        <f t="shared" si="8"/>
        <v>0</v>
      </c>
      <c r="IE5" s="55">
        <f t="shared" si="8"/>
        <v>0</v>
      </c>
      <c r="IF5" s="55">
        <f t="shared" si="8"/>
        <v>0</v>
      </c>
      <c r="IG5" s="55">
        <f t="shared" si="8"/>
        <v>0</v>
      </c>
      <c r="IH5" s="55">
        <f t="shared" si="8"/>
        <v>0</v>
      </c>
      <c r="II5" s="55">
        <f t="shared" si="8"/>
        <v>0</v>
      </c>
      <c r="IJ5" s="55">
        <f t="shared" si="8"/>
        <v>0</v>
      </c>
      <c r="IK5" s="55">
        <f t="shared" si="8"/>
        <v>0</v>
      </c>
      <c r="IL5" s="55">
        <f t="shared" si="8"/>
        <v>0</v>
      </c>
      <c r="IM5" s="55">
        <f t="shared" si="8"/>
        <v>0</v>
      </c>
      <c r="IN5" s="55">
        <f t="shared" si="8"/>
        <v>0</v>
      </c>
      <c r="IO5" s="55">
        <f t="shared" si="8"/>
        <v>0</v>
      </c>
      <c r="IP5" s="55">
        <f t="shared" si="8"/>
        <v>0</v>
      </c>
      <c r="IQ5" s="55">
        <f t="shared" si="8"/>
        <v>0</v>
      </c>
      <c r="IR5" s="55">
        <f t="shared" si="8"/>
        <v>0</v>
      </c>
      <c r="IS5" s="55">
        <f t="shared" si="8"/>
        <v>0</v>
      </c>
      <c r="IT5" s="55">
        <f t="shared" si="8"/>
        <v>0</v>
      </c>
      <c r="IU5" s="55">
        <f t="shared" si="8"/>
        <v>0</v>
      </c>
      <c r="IV5" s="55">
        <f t="shared" si="8"/>
        <v>0</v>
      </c>
      <c r="IW5" s="55">
        <f t="shared" si="8"/>
        <v>0</v>
      </c>
      <c r="IX5" s="55">
        <f t="shared" si="8"/>
        <v>0</v>
      </c>
      <c r="IY5" s="55">
        <f t="shared" si="8"/>
        <v>0</v>
      </c>
      <c r="IZ5" s="55">
        <f t="shared" si="8"/>
        <v>0</v>
      </c>
      <c r="JA5" s="55">
        <f t="shared" si="8"/>
        <v>0</v>
      </c>
      <c r="JB5" s="55">
        <f t="shared" si="8"/>
        <v>0</v>
      </c>
      <c r="JC5" s="55">
        <f t="shared" si="8"/>
        <v>0</v>
      </c>
      <c r="JD5" s="55">
        <f t="shared" si="8"/>
        <v>0</v>
      </c>
      <c r="JE5" s="55">
        <f t="shared" si="8"/>
        <v>0</v>
      </c>
      <c r="JF5" s="55">
        <f t="shared" ref="JF5:KK5" si="9">IF(JF22=0,0,SUMPRODUCT($AC$173:$AC$364,$CY$173:$CY$364,$FP$173:$FP$364,$AH$173:$AH$364,JF$173:JF$364)*JF25)</f>
        <v>0</v>
      </c>
      <c r="JG5" s="55">
        <f t="shared" si="9"/>
        <v>0</v>
      </c>
      <c r="JH5" s="55">
        <f t="shared" si="9"/>
        <v>0</v>
      </c>
      <c r="JI5" s="55">
        <f t="shared" si="9"/>
        <v>0</v>
      </c>
      <c r="JJ5" s="55">
        <f t="shared" si="9"/>
        <v>0</v>
      </c>
      <c r="JK5" s="55">
        <f t="shared" si="9"/>
        <v>0</v>
      </c>
      <c r="JL5" s="55">
        <f t="shared" si="9"/>
        <v>0</v>
      </c>
      <c r="JM5" s="55">
        <f t="shared" si="9"/>
        <v>0</v>
      </c>
      <c r="JN5" s="55">
        <f t="shared" si="9"/>
        <v>0</v>
      </c>
      <c r="JO5" s="55">
        <f t="shared" si="9"/>
        <v>0</v>
      </c>
      <c r="JP5" s="55">
        <f t="shared" si="9"/>
        <v>0</v>
      </c>
      <c r="JQ5" s="55">
        <f t="shared" si="9"/>
        <v>0</v>
      </c>
      <c r="JR5" s="55">
        <f t="shared" si="9"/>
        <v>0</v>
      </c>
      <c r="JS5" s="55">
        <f t="shared" si="9"/>
        <v>0</v>
      </c>
      <c r="JT5" s="55">
        <f t="shared" si="9"/>
        <v>0</v>
      </c>
      <c r="JU5" s="55">
        <f t="shared" si="9"/>
        <v>0</v>
      </c>
      <c r="JV5" s="55">
        <f t="shared" si="9"/>
        <v>0</v>
      </c>
      <c r="JW5" s="55">
        <f t="shared" si="9"/>
        <v>0</v>
      </c>
      <c r="JX5" s="55">
        <f t="shared" si="9"/>
        <v>0</v>
      </c>
      <c r="JY5" s="55">
        <f t="shared" si="9"/>
        <v>0</v>
      </c>
      <c r="JZ5" s="55">
        <f t="shared" si="9"/>
        <v>0</v>
      </c>
      <c r="KA5" s="55">
        <f t="shared" si="9"/>
        <v>0</v>
      </c>
      <c r="KB5" s="55">
        <f t="shared" si="9"/>
        <v>0</v>
      </c>
      <c r="KC5" s="55">
        <f t="shared" si="9"/>
        <v>0</v>
      </c>
      <c r="KD5" s="55">
        <f t="shared" si="9"/>
        <v>0</v>
      </c>
      <c r="KE5" s="55">
        <f t="shared" si="9"/>
        <v>0</v>
      </c>
      <c r="KF5" s="55">
        <f t="shared" si="9"/>
        <v>0</v>
      </c>
      <c r="KG5" s="55">
        <f t="shared" si="9"/>
        <v>0</v>
      </c>
      <c r="KH5" s="55">
        <f t="shared" si="9"/>
        <v>0</v>
      </c>
      <c r="KI5" s="55">
        <f t="shared" si="9"/>
        <v>0</v>
      </c>
      <c r="KJ5" s="55">
        <f t="shared" si="9"/>
        <v>0</v>
      </c>
      <c r="KK5" s="55">
        <f t="shared" si="9"/>
        <v>0</v>
      </c>
      <c r="KL5" s="55">
        <f t="shared" ref="KL5:LP5" si="10">IF(KL22=0,0,SUMPRODUCT($AC$173:$AC$364,$CY$173:$CY$364,$FP$173:$FP$364,$AH$173:$AH$364,KL$173:KL$364)*KL25)</f>
        <v>0</v>
      </c>
      <c r="KM5" s="55">
        <f t="shared" si="10"/>
        <v>0</v>
      </c>
      <c r="KN5" s="55">
        <f t="shared" si="10"/>
        <v>0</v>
      </c>
      <c r="KO5" s="55">
        <f t="shared" si="10"/>
        <v>0</v>
      </c>
      <c r="KP5" s="55">
        <f t="shared" si="10"/>
        <v>0</v>
      </c>
      <c r="KQ5" s="55">
        <f t="shared" si="10"/>
        <v>0</v>
      </c>
      <c r="KR5" s="55">
        <f t="shared" si="10"/>
        <v>0</v>
      </c>
      <c r="KS5" s="55">
        <f t="shared" si="10"/>
        <v>0</v>
      </c>
      <c r="KT5" s="55">
        <f t="shared" si="10"/>
        <v>0</v>
      </c>
      <c r="KU5" s="55">
        <f t="shared" si="10"/>
        <v>0</v>
      </c>
      <c r="KV5" s="55">
        <f t="shared" si="10"/>
        <v>0</v>
      </c>
      <c r="KW5" s="55">
        <f t="shared" si="10"/>
        <v>0</v>
      </c>
      <c r="KX5" s="55">
        <f t="shared" si="10"/>
        <v>0</v>
      </c>
      <c r="KY5" s="55">
        <f t="shared" si="10"/>
        <v>0</v>
      </c>
      <c r="KZ5" s="55">
        <f t="shared" si="10"/>
        <v>0</v>
      </c>
      <c r="LA5" s="55">
        <f t="shared" si="10"/>
        <v>0</v>
      </c>
      <c r="LB5" s="55">
        <f t="shared" si="10"/>
        <v>0</v>
      </c>
      <c r="LC5" s="55">
        <f t="shared" si="10"/>
        <v>0</v>
      </c>
      <c r="LD5" s="55">
        <f t="shared" si="10"/>
        <v>0</v>
      </c>
      <c r="LE5" s="55">
        <f t="shared" si="10"/>
        <v>0</v>
      </c>
      <c r="LF5" s="55">
        <f t="shared" si="10"/>
        <v>0</v>
      </c>
      <c r="LG5" s="55">
        <f t="shared" si="10"/>
        <v>0</v>
      </c>
      <c r="LH5" s="55">
        <f t="shared" si="10"/>
        <v>0</v>
      </c>
      <c r="LI5" s="55">
        <f t="shared" si="10"/>
        <v>0</v>
      </c>
      <c r="LJ5" s="55">
        <f t="shared" si="10"/>
        <v>0</v>
      </c>
      <c r="LK5" s="55">
        <f t="shared" si="10"/>
        <v>0</v>
      </c>
      <c r="LL5" s="55">
        <f t="shared" si="10"/>
        <v>0</v>
      </c>
      <c r="LM5" s="55">
        <f t="shared" si="10"/>
        <v>0</v>
      </c>
      <c r="LN5" s="55">
        <f t="shared" si="10"/>
        <v>0</v>
      </c>
      <c r="LO5" s="55">
        <f t="shared" si="10"/>
        <v>0</v>
      </c>
      <c r="LP5" s="55">
        <f t="shared" si="10"/>
        <v>0</v>
      </c>
    </row>
    <row r="6" spans="1:328" hidden="1" x14ac:dyDescent="0.3">
      <c r="A6" s="285"/>
      <c r="B6" s="285"/>
      <c r="C6" s="76" t="b">
        <f>(COUNTA(J173:J365)&gt;0)</f>
        <v>0</v>
      </c>
      <c r="D6" s="291"/>
      <c r="E6" s="306" t="s">
        <v>2051</v>
      </c>
      <c r="F6" s="285"/>
      <c r="G6" s="285"/>
      <c r="H6" s="285"/>
      <c r="I6" s="285"/>
      <c r="J6" s="285"/>
      <c r="K6" s="306"/>
      <c r="L6" s="285"/>
      <c r="M6" s="287"/>
      <c r="N6" s="287"/>
      <c r="O6" s="287"/>
      <c r="P6" s="287"/>
      <c r="Q6" s="287"/>
      <c r="R6" s="287"/>
      <c r="S6" s="285"/>
      <c r="T6" s="316">
        <f>SUMPRODUCT(DJ6:FG6,(DJ$27:FG$27='2 Staff List'!$IQ$5)*1)</f>
        <v>0</v>
      </c>
      <c r="U6" s="315" t="s">
        <v>128</v>
      </c>
      <c r="V6" s="315"/>
      <c r="W6" s="315"/>
      <c r="X6" s="315"/>
      <c r="Y6" s="285"/>
      <c r="Z6" s="285"/>
      <c r="AA6" s="285"/>
      <c r="AB6" s="285"/>
      <c r="AC6" s="285"/>
      <c r="AD6" s="285"/>
      <c r="AE6" s="285"/>
      <c r="AF6" s="285"/>
      <c r="AG6" s="285"/>
      <c r="AH6" s="2513"/>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90" t="s">
        <v>5</v>
      </c>
      <c r="DA6" s="290"/>
      <c r="DB6" s="285"/>
      <c r="DC6" s="285"/>
      <c r="DD6" s="285"/>
      <c r="DE6" s="285"/>
      <c r="DF6" s="285"/>
      <c r="DG6" s="945"/>
      <c r="DH6" s="442" t="s">
        <v>2187</v>
      </c>
      <c r="DI6" s="285"/>
      <c r="DJ6" s="76">
        <f t="shared" ref="DJ6:EO6" si="11">IF(DJ$169=0,0,SUMPRODUCT($AN$173:$AN$365,DJ$173:DJ$365,$CY$173:$CY$365))</f>
        <v>0</v>
      </c>
      <c r="DK6" s="76">
        <f t="shared" si="11"/>
        <v>64</v>
      </c>
      <c r="DL6" s="76">
        <f t="shared" si="11"/>
        <v>39</v>
      </c>
      <c r="DM6" s="76">
        <f t="shared" si="11"/>
        <v>0</v>
      </c>
      <c r="DN6" s="76">
        <f t="shared" si="11"/>
        <v>6</v>
      </c>
      <c r="DO6" s="76">
        <f t="shared" si="11"/>
        <v>0</v>
      </c>
      <c r="DP6" s="76">
        <f t="shared" si="11"/>
        <v>6</v>
      </c>
      <c r="DQ6" s="76">
        <f t="shared" si="11"/>
        <v>384</v>
      </c>
      <c r="DR6" s="76">
        <f t="shared" si="11"/>
        <v>384</v>
      </c>
      <c r="DS6" s="76">
        <f t="shared" si="11"/>
        <v>480</v>
      </c>
      <c r="DT6" s="76">
        <f t="shared" si="11"/>
        <v>0</v>
      </c>
      <c r="DU6" s="76">
        <f t="shared" si="11"/>
        <v>0</v>
      </c>
      <c r="DV6" s="76">
        <f t="shared" si="11"/>
        <v>0</v>
      </c>
      <c r="DW6" s="76">
        <f t="shared" si="11"/>
        <v>0</v>
      </c>
      <c r="DX6" s="76">
        <f t="shared" si="11"/>
        <v>0</v>
      </c>
      <c r="DY6" s="76">
        <f t="shared" si="11"/>
        <v>0</v>
      </c>
      <c r="DZ6" s="76">
        <f t="shared" si="11"/>
        <v>0</v>
      </c>
      <c r="EA6" s="76">
        <f t="shared" si="11"/>
        <v>0</v>
      </c>
      <c r="EB6" s="76">
        <f t="shared" si="11"/>
        <v>0</v>
      </c>
      <c r="EC6" s="76">
        <f t="shared" si="11"/>
        <v>0</v>
      </c>
      <c r="ED6" s="76">
        <f t="shared" si="11"/>
        <v>0</v>
      </c>
      <c r="EE6" s="76">
        <f t="shared" si="11"/>
        <v>0</v>
      </c>
      <c r="EF6" s="76">
        <f t="shared" si="11"/>
        <v>0</v>
      </c>
      <c r="EG6" s="76">
        <f t="shared" si="11"/>
        <v>0</v>
      </c>
      <c r="EH6" s="76">
        <f t="shared" si="11"/>
        <v>0</v>
      </c>
      <c r="EI6" s="76">
        <f t="shared" si="11"/>
        <v>0</v>
      </c>
      <c r="EJ6" s="76">
        <f t="shared" si="11"/>
        <v>0</v>
      </c>
      <c r="EK6" s="76">
        <f t="shared" si="11"/>
        <v>0</v>
      </c>
      <c r="EL6" s="76">
        <f t="shared" si="11"/>
        <v>0</v>
      </c>
      <c r="EM6" s="76">
        <f t="shared" si="11"/>
        <v>0</v>
      </c>
      <c r="EN6" s="76">
        <f t="shared" si="11"/>
        <v>0</v>
      </c>
      <c r="EO6" s="76">
        <f t="shared" si="11"/>
        <v>0</v>
      </c>
      <c r="EP6" s="76">
        <f t="shared" ref="EP6:FG6" si="12">IF(EP$169=0,0,SUMPRODUCT($AN$173:$AN$365,EP$173:EP$365,$CY$173:$CY$365))</f>
        <v>0</v>
      </c>
      <c r="EQ6" s="76">
        <f t="shared" si="12"/>
        <v>0</v>
      </c>
      <c r="ER6" s="76">
        <f t="shared" si="12"/>
        <v>0</v>
      </c>
      <c r="ES6" s="76">
        <f t="shared" si="12"/>
        <v>0</v>
      </c>
      <c r="ET6" s="76">
        <f t="shared" si="12"/>
        <v>0</v>
      </c>
      <c r="EU6" s="76">
        <f t="shared" si="12"/>
        <v>0</v>
      </c>
      <c r="EV6" s="76">
        <f t="shared" si="12"/>
        <v>0</v>
      </c>
      <c r="EW6" s="76">
        <f t="shared" si="12"/>
        <v>0</v>
      </c>
      <c r="EX6" s="76">
        <f t="shared" si="12"/>
        <v>0</v>
      </c>
      <c r="EY6" s="76">
        <f t="shared" si="12"/>
        <v>0</v>
      </c>
      <c r="EZ6" s="76">
        <f t="shared" si="12"/>
        <v>0</v>
      </c>
      <c r="FA6" s="76">
        <f t="shared" si="12"/>
        <v>0</v>
      </c>
      <c r="FB6" s="76">
        <f t="shared" si="12"/>
        <v>0</v>
      </c>
      <c r="FC6" s="76">
        <f t="shared" si="12"/>
        <v>0</v>
      </c>
      <c r="FD6" s="76">
        <f t="shared" si="12"/>
        <v>0</v>
      </c>
      <c r="FE6" s="76">
        <f t="shared" si="12"/>
        <v>0</v>
      </c>
      <c r="FF6" s="76">
        <f t="shared" si="12"/>
        <v>0</v>
      </c>
      <c r="FG6" s="76">
        <f t="shared" si="12"/>
        <v>0</v>
      </c>
      <c r="FH6" s="604"/>
      <c r="FI6" s="285"/>
      <c r="FJ6" s="307"/>
      <c r="FK6" s="307"/>
      <c r="FL6" s="285"/>
      <c r="FM6" s="535" t="s">
        <v>781</v>
      </c>
      <c r="FN6" s="499">
        <v>7</v>
      </c>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412"/>
      <c r="GS6" s="308" t="s">
        <v>1721</v>
      </c>
      <c r="GT6" s="443">
        <f t="shared" ref="GT6:HY6" ca="1" si="13">GT5*(1+GT17)</f>
        <v>5707.7318187499995</v>
      </c>
      <c r="GU6" s="444">
        <f t="shared" ca="1" si="13"/>
        <v>5707.7318187499995</v>
      </c>
      <c r="GV6" s="444">
        <f t="shared" ca="1" si="13"/>
        <v>5707.7318187499995</v>
      </c>
      <c r="GW6" s="444">
        <f t="shared" ca="1" si="13"/>
        <v>5707.7318187499995</v>
      </c>
      <c r="GX6" s="444">
        <f t="shared" ca="1" si="13"/>
        <v>5707.7318187499995</v>
      </c>
      <c r="GY6" s="444">
        <f t="shared" ca="1" si="13"/>
        <v>5707.7318187499995</v>
      </c>
      <c r="GZ6" s="444">
        <f t="shared" ca="1" si="13"/>
        <v>5707.7318187499995</v>
      </c>
      <c r="HA6" s="444">
        <f t="shared" ca="1" si="13"/>
        <v>5707.7318187499995</v>
      </c>
      <c r="HB6" s="444">
        <f t="shared" ca="1" si="13"/>
        <v>5707.7318187499995</v>
      </c>
      <c r="HC6" s="444">
        <f t="shared" ca="1" si="13"/>
        <v>5707.7318187499995</v>
      </c>
      <c r="HD6" s="444">
        <f t="shared" ca="1" si="13"/>
        <v>5707.7318187499995</v>
      </c>
      <c r="HE6" s="444">
        <f t="shared" ca="1" si="13"/>
        <v>5707.7318187499995</v>
      </c>
      <c r="HF6" s="444">
        <f t="shared" si="13"/>
        <v>0</v>
      </c>
      <c r="HG6" s="444">
        <f t="shared" si="13"/>
        <v>0</v>
      </c>
      <c r="HH6" s="444">
        <f t="shared" si="13"/>
        <v>0</v>
      </c>
      <c r="HI6" s="444">
        <f t="shared" si="13"/>
        <v>0</v>
      </c>
      <c r="HJ6" s="444">
        <f t="shared" si="13"/>
        <v>0</v>
      </c>
      <c r="HK6" s="444">
        <f t="shared" si="13"/>
        <v>0</v>
      </c>
      <c r="HL6" s="444">
        <f t="shared" si="13"/>
        <v>0</v>
      </c>
      <c r="HM6" s="444">
        <f t="shared" si="13"/>
        <v>0</v>
      </c>
      <c r="HN6" s="444">
        <f t="shared" si="13"/>
        <v>0</v>
      </c>
      <c r="HO6" s="444">
        <f t="shared" si="13"/>
        <v>0</v>
      </c>
      <c r="HP6" s="444">
        <f t="shared" si="13"/>
        <v>0</v>
      </c>
      <c r="HQ6" s="444">
        <f t="shared" si="13"/>
        <v>0</v>
      </c>
      <c r="HR6" s="444">
        <f t="shared" si="13"/>
        <v>0</v>
      </c>
      <c r="HS6" s="444">
        <f t="shared" si="13"/>
        <v>0</v>
      </c>
      <c r="HT6" s="444">
        <f t="shared" si="13"/>
        <v>0</v>
      </c>
      <c r="HU6" s="444">
        <f t="shared" si="13"/>
        <v>0</v>
      </c>
      <c r="HV6" s="444">
        <f t="shared" si="13"/>
        <v>0</v>
      </c>
      <c r="HW6" s="444">
        <f t="shared" si="13"/>
        <v>0</v>
      </c>
      <c r="HX6" s="444">
        <f t="shared" si="13"/>
        <v>0</v>
      </c>
      <c r="HY6" s="444">
        <f t="shared" si="13"/>
        <v>0</v>
      </c>
      <c r="HZ6" s="444">
        <f t="shared" ref="HZ6:JE6" si="14">HZ5*(1+HZ17)</f>
        <v>0</v>
      </c>
      <c r="IA6" s="444">
        <f t="shared" si="14"/>
        <v>0</v>
      </c>
      <c r="IB6" s="444">
        <f t="shared" si="14"/>
        <v>0</v>
      </c>
      <c r="IC6" s="444">
        <f t="shared" si="14"/>
        <v>0</v>
      </c>
      <c r="ID6" s="444">
        <f t="shared" si="14"/>
        <v>0</v>
      </c>
      <c r="IE6" s="444">
        <f t="shared" si="14"/>
        <v>0</v>
      </c>
      <c r="IF6" s="444">
        <f t="shared" si="14"/>
        <v>0</v>
      </c>
      <c r="IG6" s="444">
        <f t="shared" si="14"/>
        <v>0</v>
      </c>
      <c r="IH6" s="444">
        <f t="shared" si="14"/>
        <v>0</v>
      </c>
      <c r="II6" s="444">
        <f t="shared" si="14"/>
        <v>0</v>
      </c>
      <c r="IJ6" s="444">
        <f t="shared" si="14"/>
        <v>0</v>
      </c>
      <c r="IK6" s="444">
        <f t="shared" si="14"/>
        <v>0</v>
      </c>
      <c r="IL6" s="444">
        <f t="shared" si="14"/>
        <v>0</v>
      </c>
      <c r="IM6" s="444">
        <f t="shared" si="14"/>
        <v>0</v>
      </c>
      <c r="IN6" s="444">
        <f t="shared" si="14"/>
        <v>0</v>
      </c>
      <c r="IO6" s="444">
        <f t="shared" si="14"/>
        <v>0</v>
      </c>
      <c r="IP6" s="444">
        <f t="shared" si="14"/>
        <v>0</v>
      </c>
      <c r="IQ6" s="444">
        <f t="shared" si="14"/>
        <v>0</v>
      </c>
      <c r="IR6" s="444">
        <f t="shared" si="14"/>
        <v>0</v>
      </c>
      <c r="IS6" s="444">
        <f t="shared" si="14"/>
        <v>0</v>
      </c>
      <c r="IT6" s="444">
        <f t="shared" si="14"/>
        <v>0</v>
      </c>
      <c r="IU6" s="444">
        <f t="shared" si="14"/>
        <v>0</v>
      </c>
      <c r="IV6" s="444">
        <f t="shared" si="14"/>
        <v>0</v>
      </c>
      <c r="IW6" s="444">
        <f t="shared" si="14"/>
        <v>0</v>
      </c>
      <c r="IX6" s="444">
        <f t="shared" si="14"/>
        <v>0</v>
      </c>
      <c r="IY6" s="444">
        <f t="shared" si="14"/>
        <v>0</v>
      </c>
      <c r="IZ6" s="444">
        <f t="shared" si="14"/>
        <v>0</v>
      </c>
      <c r="JA6" s="444">
        <f t="shared" si="14"/>
        <v>0</v>
      </c>
      <c r="JB6" s="444">
        <f t="shared" si="14"/>
        <v>0</v>
      </c>
      <c r="JC6" s="444">
        <f t="shared" si="14"/>
        <v>0</v>
      </c>
      <c r="JD6" s="444">
        <f t="shared" si="14"/>
        <v>0</v>
      </c>
      <c r="JE6" s="444">
        <f t="shared" si="14"/>
        <v>0</v>
      </c>
      <c r="JF6" s="444">
        <f t="shared" ref="JF6:KK6" si="15">JF5*(1+JF17)</f>
        <v>0</v>
      </c>
      <c r="JG6" s="444">
        <f t="shared" si="15"/>
        <v>0</v>
      </c>
      <c r="JH6" s="444">
        <f t="shared" si="15"/>
        <v>0</v>
      </c>
      <c r="JI6" s="444">
        <f t="shared" si="15"/>
        <v>0</v>
      </c>
      <c r="JJ6" s="444">
        <f t="shared" si="15"/>
        <v>0</v>
      </c>
      <c r="JK6" s="444">
        <f t="shared" si="15"/>
        <v>0</v>
      </c>
      <c r="JL6" s="444">
        <f t="shared" si="15"/>
        <v>0</v>
      </c>
      <c r="JM6" s="444">
        <f t="shared" si="15"/>
        <v>0</v>
      </c>
      <c r="JN6" s="444">
        <f t="shared" si="15"/>
        <v>0</v>
      </c>
      <c r="JO6" s="444">
        <f t="shared" si="15"/>
        <v>0</v>
      </c>
      <c r="JP6" s="444">
        <f t="shared" si="15"/>
        <v>0</v>
      </c>
      <c r="JQ6" s="444">
        <f t="shared" si="15"/>
        <v>0</v>
      </c>
      <c r="JR6" s="444">
        <f t="shared" si="15"/>
        <v>0</v>
      </c>
      <c r="JS6" s="444">
        <f t="shared" si="15"/>
        <v>0</v>
      </c>
      <c r="JT6" s="444">
        <f t="shared" si="15"/>
        <v>0</v>
      </c>
      <c r="JU6" s="444">
        <f t="shared" si="15"/>
        <v>0</v>
      </c>
      <c r="JV6" s="444">
        <f t="shared" si="15"/>
        <v>0</v>
      </c>
      <c r="JW6" s="444">
        <f t="shared" si="15"/>
        <v>0</v>
      </c>
      <c r="JX6" s="444">
        <f t="shared" si="15"/>
        <v>0</v>
      </c>
      <c r="JY6" s="444">
        <f t="shared" si="15"/>
        <v>0</v>
      </c>
      <c r="JZ6" s="444">
        <f t="shared" si="15"/>
        <v>0</v>
      </c>
      <c r="KA6" s="444">
        <f t="shared" si="15"/>
        <v>0</v>
      </c>
      <c r="KB6" s="444">
        <f t="shared" si="15"/>
        <v>0</v>
      </c>
      <c r="KC6" s="444">
        <f t="shared" si="15"/>
        <v>0</v>
      </c>
      <c r="KD6" s="444">
        <f t="shared" si="15"/>
        <v>0</v>
      </c>
      <c r="KE6" s="444">
        <f t="shared" si="15"/>
        <v>0</v>
      </c>
      <c r="KF6" s="444">
        <f t="shared" si="15"/>
        <v>0</v>
      </c>
      <c r="KG6" s="444">
        <f t="shared" si="15"/>
        <v>0</v>
      </c>
      <c r="KH6" s="444">
        <f t="shared" si="15"/>
        <v>0</v>
      </c>
      <c r="KI6" s="444">
        <f t="shared" si="15"/>
        <v>0</v>
      </c>
      <c r="KJ6" s="444">
        <f t="shared" si="15"/>
        <v>0</v>
      </c>
      <c r="KK6" s="444">
        <f t="shared" si="15"/>
        <v>0</v>
      </c>
      <c r="KL6" s="444">
        <f t="shared" ref="KL6:LP6" si="16">KL5*(1+KL17)</f>
        <v>0</v>
      </c>
      <c r="KM6" s="444">
        <f t="shared" si="16"/>
        <v>0</v>
      </c>
      <c r="KN6" s="444">
        <f t="shared" si="16"/>
        <v>0</v>
      </c>
      <c r="KO6" s="444">
        <f t="shared" si="16"/>
        <v>0</v>
      </c>
      <c r="KP6" s="444">
        <f t="shared" si="16"/>
        <v>0</v>
      </c>
      <c r="KQ6" s="444">
        <f t="shared" si="16"/>
        <v>0</v>
      </c>
      <c r="KR6" s="444">
        <f t="shared" si="16"/>
        <v>0</v>
      </c>
      <c r="KS6" s="444">
        <f t="shared" si="16"/>
        <v>0</v>
      </c>
      <c r="KT6" s="444">
        <f t="shared" si="16"/>
        <v>0</v>
      </c>
      <c r="KU6" s="444">
        <f t="shared" si="16"/>
        <v>0</v>
      </c>
      <c r="KV6" s="444">
        <f t="shared" si="16"/>
        <v>0</v>
      </c>
      <c r="KW6" s="444">
        <f t="shared" si="16"/>
        <v>0</v>
      </c>
      <c r="KX6" s="444">
        <f t="shared" si="16"/>
        <v>0</v>
      </c>
      <c r="KY6" s="444">
        <f t="shared" si="16"/>
        <v>0</v>
      </c>
      <c r="KZ6" s="444">
        <f t="shared" si="16"/>
        <v>0</v>
      </c>
      <c r="LA6" s="444">
        <f t="shared" si="16"/>
        <v>0</v>
      </c>
      <c r="LB6" s="444">
        <f t="shared" si="16"/>
        <v>0</v>
      </c>
      <c r="LC6" s="444">
        <f t="shared" si="16"/>
        <v>0</v>
      </c>
      <c r="LD6" s="444">
        <f t="shared" si="16"/>
        <v>0</v>
      </c>
      <c r="LE6" s="444">
        <f t="shared" si="16"/>
        <v>0</v>
      </c>
      <c r="LF6" s="444">
        <f t="shared" si="16"/>
        <v>0</v>
      </c>
      <c r="LG6" s="444">
        <f t="shared" si="16"/>
        <v>0</v>
      </c>
      <c r="LH6" s="444">
        <f t="shared" si="16"/>
        <v>0</v>
      </c>
      <c r="LI6" s="444">
        <f t="shared" si="16"/>
        <v>0</v>
      </c>
      <c r="LJ6" s="444">
        <f t="shared" si="16"/>
        <v>0</v>
      </c>
      <c r="LK6" s="444">
        <f t="shared" si="16"/>
        <v>0</v>
      </c>
      <c r="LL6" s="444">
        <f t="shared" si="16"/>
        <v>0</v>
      </c>
      <c r="LM6" s="444">
        <f t="shared" si="16"/>
        <v>0</v>
      </c>
      <c r="LN6" s="444">
        <f t="shared" si="16"/>
        <v>0</v>
      </c>
      <c r="LO6" s="444">
        <f t="shared" si="16"/>
        <v>0</v>
      </c>
      <c r="LP6" s="444">
        <f t="shared" si="16"/>
        <v>0</v>
      </c>
    </row>
    <row r="7" spans="1:328" ht="15" hidden="1" customHeight="1" x14ac:dyDescent="0.3">
      <c r="A7" s="285"/>
      <c r="B7" s="285"/>
      <c r="C7" s="1773" t="str">
        <f>'1 Setup'!G3</f>
        <v>B</v>
      </c>
      <c r="D7" s="285"/>
      <c r="E7" s="306" t="s">
        <v>60</v>
      </c>
      <c r="F7" s="306"/>
      <c r="G7" s="306"/>
      <c r="H7" s="285"/>
      <c r="I7" s="1774"/>
      <c r="J7" s="285"/>
      <c r="K7" s="306"/>
      <c r="L7" s="285"/>
      <c r="M7" s="287"/>
      <c r="N7" s="287"/>
      <c r="O7" s="287"/>
      <c r="P7" s="287"/>
      <c r="Q7" s="287"/>
      <c r="R7" s="287"/>
      <c r="S7" s="285"/>
      <c r="T7" s="316">
        <f>SUMPRODUCT(DJ7:FG7,(DJ$27:FG$27='2 Staff List'!$IQ$5)*1)</f>
        <v>0</v>
      </c>
      <c r="U7" s="315" t="s">
        <v>129</v>
      </c>
      <c r="V7" s="315"/>
      <c r="W7" s="315"/>
      <c r="X7" s="315"/>
      <c r="Y7" s="285"/>
      <c r="Z7" s="285"/>
      <c r="AA7" s="285"/>
      <c r="AB7" s="285"/>
      <c r="AC7" s="285"/>
      <c r="AD7" s="285"/>
      <c r="AE7" s="285"/>
      <c r="AF7" s="285"/>
      <c r="AG7" s="285"/>
      <c r="AH7" s="2513"/>
      <c r="AI7" s="285"/>
      <c r="AJ7" s="285"/>
      <c r="AK7" s="285"/>
      <c r="AL7" s="285"/>
      <c r="AM7" s="285"/>
      <c r="AN7" s="285"/>
      <c r="AO7" s="285"/>
      <c r="AP7" s="285"/>
      <c r="AQ7" s="285"/>
      <c r="AR7" s="285"/>
      <c r="AS7" s="285"/>
      <c r="AT7" s="285"/>
      <c r="AU7" s="285"/>
      <c r="AV7" s="285"/>
      <c r="AW7" s="285"/>
      <c r="AX7" s="285"/>
      <c r="AY7" s="285"/>
      <c r="AZ7" s="285"/>
      <c r="BA7" s="285"/>
      <c r="BB7" s="285"/>
      <c r="BC7" s="285"/>
      <c r="BD7" s="285"/>
      <c r="BE7" s="285"/>
      <c r="BF7" s="285"/>
      <c r="BG7" s="285"/>
      <c r="BH7" s="285"/>
      <c r="BI7" s="285"/>
      <c r="BJ7" s="285"/>
      <c r="BK7" s="285"/>
      <c r="BL7" s="285"/>
      <c r="BM7" s="285"/>
      <c r="BN7" s="285"/>
      <c r="BO7" s="285"/>
      <c r="BP7" s="285"/>
      <c r="BQ7" s="285"/>
      <c r="BR7" s="285"/>
      <c r="BS7" s="285"/>
      <c r="BT7" s="285"/>
      <c r="BU7" s="285"/>
      <c r="BV7" s="285"/>
      <c r="BW7" s="285"/>
      <c r="BX7" s="285"/>
      <c r="BY7" s="285"/>
      <c r="BZ7" s="285"/>
      <c r="CA7" s="285"/>
      <c r="CB7" s="285"/>
      <c r="CC7" s="285"/>
      <c r="CD7" s="285"/>
      <c r="CE7" s="285"/>
      <c r="CF7" s="285"/>
      <c r="CG7" s="285"/>
      <c r="CH7" s="285"/>
      <c r="CI7" s="285"/>
      <c r="CJ7" s="285"/>
      <c r="CK7" s="285"/>
      <c r="CL7" s="285"/>
      <c r="CM7" s="285"/>
      <c r="CN7" s="285"/>
      <c r="CO7" s="285"/>
      <c r="CP7" s="285"/>
      <c r="CQ7" s="285"/>
      <c r="CR7" s="285"/>
      <c r="CS7" s="285"/>
      <c r="CT7" s="285"/>
      <c r="CU7" s="285"/>
      <c r="CV7" s="285"/>
      <c r="CW7" s="285"/>
      <c r="CX7" s="285"/>
      <c r="CY7" s="285"/>
      <c r="CZ7" s="290" t="s">
        <v>5</v>
      </c>
      <c r="DA7" s="290"/>
      <c r="DB7" s="285"/>
      <c r="DC7" s="285"/>
      <c r="DD7" s="285"/>
      <c r="DE7" s="285"/>
      <c r="DF7" s="285"/>
      <c r="DG7" s="945"/>
      <c r="DH7" s="1888" t="s">
        <v>1614</v>
      </c>
      <c r="DI7" s="285"/>
      <c r="DJ7" s="1889">
        <f>IF(DJ$169=0,0,SUMPRODUCT($AN$173:$AN$365,DJ$173:DJ$365,$CO$173:$CO$365))</f>
        <v>0</v>
      </c>
      <c r="DK7" s="1889">
        <f t="shared" ref="DK7:EP7" si="17">IF(DK169=0,0,SUMPRODUCT($AN$173:$AN$365,DK$173:DK$365,$CO$173:$CO$365))</f>
        <v>64</v>
      </c>
      <c r="DL7" s="1889">
        <f t="shared" si="17"/>
        <v>39</v>
      </c>
      <c r="DM7" s="1889">
        <f t="shared" si="17"/>
        <v>0</v>
      </c>
      <c r="DN7" s="1889">
        <f t="shared" si="17"/>
        <v>6</v>
      </c>
      <c r="DO7" s="1889">
        <f t="shared" si="17"/>
        <v>0</v>
      </c>
      <c r="DP7" s="1889">
        <f t="shared" si="17"/>
        <v>6</v>
      </c>
      <c r="DQ7" s="1889">
        <f t="shared" si="17"/>
        <v>384</v>
      </c>
      <c r="DR7" s="1889">
        <f t="shared" si="17"/>
        <v>384</v>
      </c>
      <c r="DS7" s="1889">
        <f t="shared" si="17"/>
        <v>480</v>
      </c>
      <c r="DT7" s="1889">
        <f t="shared" si="17"/>
        <v>0</v>
      </c>
      <c r="DU7" s="1889">
        <f t="shared" si="17"/>
        <v>0</v>
      </c>
      <c r="DV7" s="1889">
        <f t="shared" si="17"/>
        <v>0</v>
      </c>
      <c r="DW7" s="1889">
        <f t="shared" si="17"/>
        <v>0</v>
      </c>
      <c r="DX7" s="1889">
        <f t="shared" si="17"/>
        <v>0</v>
      </c>
      <c r="DY7" s="1889">
        <f t="shared" si="17"/>
        <v>0</v>
      </c>
      <c r="DZ7" s="1889">
        <f t="shared" si="17"/>
        <v>0</v>
      </c>
      <c r="EA7" s="1889">
        <f t="shared" si="17"/>
        <v>0</v>
      </c>
      <c r="EB7" s="1889">
        <f t="shared" si="17"/>
        <v>0</v>
      </c>
      <c r="EC7" s="1889">
        <f t="shared" si="17"/>
        <v>0</v>
      </c>
      <c r="ED7" s="1889">
        <f t="shared" si="17"/>
        <v>0</v>
      </c>
      <c r="EE7" s="1889">
        <f t="shared" si="17"/>
        <v>0</v>
      </c>
      <c r="EF7" s="1889">
        <f t="shared" si="17"/>
        <v>0</v>
      </c>
      <c r="EG7" s="1889">
        <f t="shared" si="17"/>
        <v>0</v>
      </c>
      <c r="EH7" s="1889">
        <f t="shared" si="17"/>
        <v>0</v>
      </c>
      <c r="EI7" s="1889">
        <f t="shared" si="17"/>
        <v>0</v>
      </c>
      <c r="EJ7" s="1889">
        <f t="shared" si="17"/>
        <v>0</v>
      </c>
      <c r="EK7" s="1889">
        <f t="shared" si="17"/>
        <v>0</v>
      </c>
      <c r="EL7" s="1889">
        <f t="shared" si="17"/>
        <v>0</v>
      </c>
      <c r="EM7" s="1889">
        <f t="shared" si="17"/>
        <v>0</v>
      </c>
      <c r="EN7" s="1889">
        <f t="shared" si="17"/>
        <v>0</v>
      </c>
      <c r="EO7" s="1889">
        <f t="shared" si="17"/>
        <v>0</v>
      </c>
      <c r="EP7" s="1889">
        <f t="shared" si="17"/>
        <v>0</v>
      </c>
      <c r="EQ7" s="1889">
        <f t="shared" ref="EQ7:FG7" si="18">IF(EQ169=0,0,SUMPRODUCT($AN$173:$AN$365,EQ$173:EQ$365,$CO$173:$CO$365))</f>
        <v>0</v>
      </c>
      <c r="ER7" s="1889">
        <f t="shared" si="18"/>
        <v>0</v>
      </c>
      <c r="ES7" s="1889">
        <f t="shared" si="18"/>
        <v>0</v>
      </c>
      <c r="ET7" s="1889">
        <f t="shared" si="18"/>
        <v>0</v>
      </c>
      <c r="EU7" s="1889">
        <f t="shared" si="18"/>
        <v>0</v>
      </c>
      <c r="EV7" s="1889">
        <f t="shared" si="18"/>
        <v>0</v>
      </c>
      <c r="EW7" s="1889">
        <f t="shared" si="18"/>
        <v>0</v>
      </c>
      <c r="EX7" s="1889">
        <f t="shared" si="18"/>
        <v>0</v>
      </c>
      <c r="EY7" s="1889">
        <f t="shared" si="18"/>
        <v>0</v>
      </c>
      <c r="EZ7" s="1889">
        <f t="shared" si="18"/>
        <v>0</v>
      </c>
      <c r="FA7" s="1889">
        <f t="shared" si="18"/>
        <v>0</v>
      </c>
      <c r="FB7" s="1889">
        <f t="shared" si="18"/>
        <v>0</v>
      </c>
      <c r="FC7" s="1889">
        <f t="shared" si="18"/>
        <v>0</v>
      </c>
      <c r="FD7" s="1889">
        <f t="shared" si="18"/>
        <v>0</v>
      </c>
      <c r="FE7" s="1889">
        <f t="shared" si="18"/>
        <v>0</v>
      </c>
      <c r="FF7" s="1889">
        <f t="shared" si="18"/>
        <v>0</v>
      </c>
      <c r="FG7" s="1889">
        <f t="shared" si="18"/>
        <v>0</v>
      </c>
      <c r="FH7" s="604"/>
      <c r="FI7" s="285"/>
      <c r="FJ7" s="307"/>
      <c r="FK7" s="307"/>
      <c r="FL7" s="285"/>
      <c r="FM7" s="256" t="s">
        <v>782</v>
      </c>
      <c r="FN7" s="748">
        <f>365.25/12</f>
        <v>30.4375</v>
      </c>
      <c r="FO7" s="285"/>
      <c r="FP7" s="285"/>
      <c r="FQ7" s="285"/>
      <c r="FR7" s="285"/>
      <c r="FS7" s="285"/>
      <c r="FT7" s="285"/>
      <c r="FU7" s="285"/>
      <c r="FV7" s="285"/>
      <c r="FW7" s="285"/>
      <c r="FX7" s="285"/>
      <c r="FY7" s="285"/>
      <c r="FZ7" s="285"/>
      <c r="GA7" s="285"/>
      <c r="GB7" s="285"/>
      <c r="GC7" s="285"/>
      <c r="GD7" s="285"/>
      <c r="GE7" s="285"/>
      <c r="GF7" s="285"/>
      <c r="GG7" s="285"/>
      <c r="GH7" s="285"/>
      <c r="GI7" s="285"/>
      <c r="GJ7" s="285"/>
      <c r="GK7" s="285"/>
      <c r="GL7" s="285"/>
      <c r="GM7" s="285"/>
      <c r="GN7" s="285"/>
      <c r="GO7" s="285"/>
      <c r="GP7" s="285"/>
      <c r="GQ7" s="285"/>
      <c r="GR7" s="412"/>
      <c r="GS7" s="308" t="s">
        <v>1720</v>
      </c>
      <c r="GT7" s="649">
        <f t="shared" ref="GT7:HY7" si="19">IF(GT171=0,0,SUMPRODUCT($AA$173:$AA$364,$CY$173:$CY$364,$FP$173:$FP$364,GT173:GT364)*GT25)</f>
        <v>447.5</v>
      </c>
      <c r="GU7" s="59">
        <f t="shared" si="19"/>
        <v>447.5</v>
      </c>
      <c r="GV7" s="59">
        <f t="shared" si="19"/>
        <v>447.5</v>
      </c>
      <c r="GW7" s="59">
        <f t="shared" si="19"/>
        <v>447.5</v>
      </c>
      <c r="GX7" s="59">
        <f t="shared" si="19"/>
        <v>447.5</v>
      </c>
      <c r="GY7" s="59">
        <f t="shared" si="19"/>
        <v>447.5</v>
      </c>
      <c r="GZ7" s="59">
        <f t="shared" si="19"/>
        <v>447.5</v>
      </c>
      <c r="HA7" s="59">
        <f t="shared" si="19"/>
        <v>447.5</v>
      </c>
      <c r="HB7" s="59">
        <f t="shared" si="19"/>
        <v>447.5</v>
      </c>
      <c r="HC7" s="59">
        <f t="shared" si="19"/>
        <v>447.5</v>
      </c>
      <c r="HD7" s="59">
        <f t="shared" si="19"/>
        <v>447.5</v>
      </c>
      <c r="HE7" s="59">
        <f t="shared" si="19"/>
        <v>447.5</v>
      </c>
      <c r="HF7" s="59">
        <f t="shared" si="19"/>
        <v>0</v>
      </c>
      <c r="HG7" s="59">
        <f t="shared" si="19"/>
        <v>0</v>
      </c>
      <c r="HH7" s="59">
        <f t="shared" si="19"/>
        <v>0</v>
      </c>
      <c r="HI7" s="59">
        <f t="shared" si="19"/>
        <v>0</v>
      </c>
      <c r="HJ7" s="59">
        <f t="shared" si="19"/>
        <v>0</v>
      </c>
      <c r="HK7" s="59">
        <f t="shared" si="19"/>
        <v>0</v>
      </c>
      <c r="HL7" s="59">
        <f t="shared" si="19"/>
        <v>0</v>
      </c>
      <c r="HM7" s="59">
        <f t="shared" si="19"/>
        <v>0</v>
      </c>
      <c r="HN7" s="59">
        <f t="shared" si="19"/>
        <v>0</v>
      </c>
      <c r="HO7" s="59">
        <f t="shared" si="19"/>
        <v>0</v>
      </c>
      <c r="HP7" s="59">
        <f t="shared" si="19"/>
        <v>0</v>
      </c>
      <c r="HQ7" s="59">
        <f t="shared" si="19"/>
        <v>0</v>
      </c>
      <c r="HR7" s="59">
        <f t="shared" si="19"/>
        <v>0</v>
      </c>
      <c r="HS7" s="59">
        <f t="shared" si="19"/>
        <v>0</v>
      </c>
      <c r="HT7" s="59">
        <f t="shared" si="19"/>
        <v>0</v>
      </c>
      <c r="HU7" s="59">
        <f t="shared" si="19"/>
        <v>0</v>
      </c>
      <c r="HV7" s="59">
        <f t="shared" si="19"/>
        <v>0</v>
      </c>
      <c r="HW7" s="59">
        <f t="shared" si="19"/>
        <v>0</v>
      </c>
      <c r="HX7" s="59">
        <f t="shared" si="19"/>
        <v>0</v>
      </c>
      <c r="HY7" s="59">
        <f t="shared" si="19"/>
        <v>0</v>
      </c>
      <c r="HZ7" s="59">
        <f t="shared" ref="HZ7:JE7" si="20">IF(HZ171=0,0,SUMPRODUCT($AA$173:$AA$364,$CY$173:$CY$364,$FP$173:$FP$364,HZ173:HZ364)*HZ25)</f>
        <v>0</v>
      </c>
      <c r="IA7" s="59">
        <f t="shared" si="20"/>
        <v>0</v>
      </c>
      <c r="IB7" s="59">
        <f t="shared" si="20"/>
        <v>0</v>
      </c>
      <c r="IC7" s="59">
        <f t="shared" si="20"/>
        <v>0</v>
      </c>
      <c r="ID7" s="59">
        <f t="shared" si="20"/>
        <v>0</v>
      </c>
      <c r="IE7" s="59">
        <f t="shared" si="20"/>
        <v>0</v>
      </c>
      <c r="IF7" s="59">
        <f t="shared" si="20"/>
        <v>0</v>
      </c>
      <c r="IG7" s="59">
        <f t="shared" si="20"/>
        <v>0</v>
      </c>
      <c r="IH7" s="59">
        <f t="shared" si="20"/>
        <v>0</v>
      </c>
      <c r="II7" s="59">
        <f t="shared" si="20"/>
        <v>0</v>
      </c>
      <c r="IJ7" s="59">
        <f t="shared" si="20"/>
        <v>0</v>
      </c>
      <c r="IK7" s="59">
        <f t="shared" si="20"/>
        <v>0</v>
      </c>
      <c r="IL7" s="59">
        <f t="shared" si="20"/>
        <v>0</v>
      </c>
      <c r="IM7" s="59">
        <f t="shared" si="20"/>
        <v>0</v>
      </c>
      <c r="IN7" s="59">
        <f t="shared" si="20"/>
        <v>0</v>
      </c>
      <c r="IO7" s="59">
        <f t="shared" si="20"/>
        <v>0</v>
      </c>
      <c r="IP7" s="59">
        <f t="shared" si="20"/>
        <v>0</v>
      </c>
      <c r="IQ7" s="59">
        <f t="shared" si="20"/>
        <v>0</v>
      </c>
      <c r="IR7" s="59">
        <f t="shared" si="20"/>
        <v>0</v>
      </c>
      <c r="IS7" s="59">
        <f t="shared" si="20"/>
        <v>0</v>
      </c>
      <c r="IT7" s="59">
        <f t="shared" si="20"/>
        <v>0</v>
      </c>
      <c r="IU7" s="59">
        <f t="shared" si="20"/>
        <v>0</v>
      </c>
      <c r="IV7" s="59">
        <f t="shared" si="20"/>
        <v>0</v>
      </c>
      <c r="IW7" s="59">
        <f t="shared" si="20"/>
        <v>0</v>
      </c>
      <c r="IX7" s="59">
        <f t="shared" si="20"/>
        <v>0</v>
      </c>
      <c r="IY7" s="59">
        <f t="shared" si="20"/>
        <v>0</v>
      </c>
      <c r="IZ7" s="59">
        <f t="shared" si="20"/>
        <v>0</v>
      </c>
      <c r="JA7" s="59">
        <f t="shared" si="20"/>
        <v>0</v>
      </c>
      <c r="JB7" s="59">
        <f t="shared" si="20"/>
        <v>0</v>
      </c>
      <c r="JC7" s="59">
        <f t="shared" si="20"/>
        <v>0</v>
      </c>
      <c r="JD7" s="59">
        <f t="shared" si="20"/>
        <v>0</v>
      </c>
      <c r="JE7" s="59">
        <f t="shared" si="20"/>
        <v>0</v>
      </c>
      <c r="JF7" s="59">
        <f t="shared" ref="JF7:KK7" si="21">IF(JF171=0,0,SUMPRODUCT($AA$173:$AA$364,$CY$173:$CY$364,$FP$173:$FP$364,JF173:JF364)*JF25)</f>
        <v>0</v>
      </c>
      <c r="JG7" s="59">
        <f t="shared" si="21"/>
        <v>0</v>
      </c>
      <c r="JH7" s="59">
        <f t="shared" si="21"/>
        <v>0</v>
      </c>
      <c r="JI7" s="59">
        <f t="shared" si="21"/>
        <v>0</v>
      </c>
      <c r="JJ7" s="59">
        <f t="shared" si="21"/>
        <v>0</v>
      </c>
      <c r="JK7" s="59">
        <f t="shared" si="21"/>
        <v>0</v>
      </c>
      <c r="JL7" s="59">
        <f t="shared" si="21"/>
        <v>0</v>
      </c>
      <c r="JM7" s="59">
        <f t="shared" si="21"/>
        <v>0</v>
      </c>
      <c r="JN7" s="59">
        <f t="shared" si="21"/>
        <v>0</v>
      </c>
      <c r="JO7" s="59">
        <f t="shared" si="21"/>
        <v>0</v>
      </c>
      <c r="JP7" s="59">
        <f t="shared" si="21"/>
        <v>0</v>
      </c>
      <c r="JQ7" s="59">
        <f t="shared" si="21"/>
        <v>0</v>
      </c>
      <c r="JR7" s="59">
        <f t="shared" si="21"/>
        <v>0</v>
      </c>
      <c r="JS7" s="59">
        <f t="shared" si="21"/>
        <v>0</v>
      </c>
      <c r="JT7" s="59">
        <f t="shared" si="21"/>
        <v>0</v>
      </c>
      <c r="JU7" s="59">
        <f t="shared" si="21"/>
        <v>0</v>
      </c>
      <c r="JV7" s="59">
        <f t="shared" si="21"/>
        <v>0</v>
      </c>
      <c r="JW7" s="59">
        <f t="shared" si="21"/>
        <v>0</v>
      </c>
      <c r="JX7" s="59">
        <f t="shared" si="21"/>
        <v>0</v>
      </c>
      <c r="JY7" s="59">
        <f t="shared" si="21"/>
        <v>0</v>
      </c>
      <c r="JZ7" s="59">
        <f t="shared" si="21"/>
        <v>0</v>
      </c>
      <c r="KA7" s="59">
        <f t="shared" si="21"/>
        <v>0</v>
      </c>
      <c r="KB7" s="59">
        <f t="shared" si="21"/>
        <v>0</v>
      </c>
      <c r="KC7" s="59">
        <f t="shared" si="21"/>
        <v>0</v>
      </c>
      <c r="KD7" s="59">
        <f t="shared" si="21"/>
        <v>0</v>
      </c>
      <c r="KE7" s="59">
        <f t="shared" si="21"/>
        <v>0</v>
      </c>
      <c r="KF7" s="59">
        <f t="shared" si="21"/>
        <v>0</v>
      </c>
      <c r="KG7" s="59">
        <f t="shared" si="21"/>
        <v>0</v>
      </c>
      <c r="KH7" s="59">
        <f t="shared" si="21"/>
        <v>0</v>
      </c>
      <c r="KI7" s="59">
        <f t="shared" si="21"/>
        <v>0</v>
      </c>
      <c r="KJ7" s="59">
        <f t="shared" si="21"/>
        <v>0</v>
      </c>
      <c r="KK7" s="59">
        <f t="shared" si="21"/>
        <v>0</v>
      </c>
      <c r="KL7" s="59">
        <f t="shared" ref="KL7:LP7" si="22">IF(KL171=0,0,SUMPRODUCT($AA$173:$AA$364,$CY$173:$CY$364,$FP$173:$FP$364,KL173:KL364)*KL25)</f>
        <v>0</v>
      </c>
      <c r="KM7" s="59">
        <f t="shared" si="22"/>
        <v>0</v>
      </c>
      <c r="KN7" s="59">
        <f t="shared" si="22"/>
        <v>0</v>
      </c>
      <c r="KO7" s="59">
        <f t="shared" si="22"/>
        <v>0</v>
      </c>
      <c r="KP7" s="59">
        <f t="shared" si="22"/>
        <v>0</v>
      </c>
      <c r="KQ7" s="59">
        <f t="shared" si="22"/>
        <v>0</v>
      </c>
      <c r="KR7" s="59">
        <f t="shared" si="22"/>
        <v>0</v>
      </c>
      <c r="KS7" s="59">
        <f t="shared" si="22"/>
        <v>0</v>
      </c>
      <c r="KT7" s="59">
        <f t="shared" si="22"/>
        <v>0</v>
      </c>
      <c r="KU7" s="59">
        <f t="shared" si="22"/>
        <v>0</v>
      </c>
      <c r="KV7" s="59">
        <f t="shared" si="22"/>
        <v>0</v>
      </c>
      <c r="KW7" s="59">
        <f t="shared" si="22"/>
        <v>0</v>
      </c>
      <c r="KX7" s="59">
        <f t="shared" si="22"/>
        <v>0</v>
      </c>
      <c r="KY7" s="59">
        <f t="shared" si="22"/>
        <v>0</v>
      </c>
      <c r="KZ7" s="59">
        <f t="shared" si="22"/>
        <v>0</v>
      </c>
      <c r="LA7" s="59">
        <f t="shared" si="22"/>
        <v>0</v>
      </c>
      <c r="LB7" s="59">
        <f t="shared" si="22"/>
        <v>0</v>
      </c>
      <c r="LC7" s="59">
        <f t="shared" si="22"/>
        <v>0</v>
      </c>
      <c r="LD7" s="59">
        <f t="shared" si="22"/>
        <v>0</v>
      </c>
      <c r="LE7" s="59">
        <f t="shared" si="22"/>
        <v>0</v>
      </c>
      <c r="LF7" s="59">
        <f t="shared" si="22"/>
        <v>0</v>
      </c>
      <c r="LG7" s="59">
        <f t="shared" si="22"/>
        <v>0</v>
      </c>
      <c r="LH7" s="59">
        <f t="shared" si="22"/>
        <v>0</v>
      </c>
      <c r="LI7" s="59">
        <f t="shared" si="22"/>
        <v>0</v>
      </c>
      <c r="LJ7" s="59">
        <f t="shared" si="22"/>
        <v>0</v>
      </c>
      <c r="LK7" s="59">
        <f t="shared" si="22"/>
        <v>0</v>
      </c>
      <c r="LL7" s="59">
        <f t="shared" si="22"/>
        <v>0</v>
      </c>
      <c r="LM7" s="59">
        <f t="shared" si="22"/>
        <v>0</v>
      </c>
      <c r="LN7" s="59">
        <f t="shared" si="22"/>
        <v>0</v>
      </c>
      <c r="LO7" s="59">
        <f t="shared" si="22"/>
        <v>0</v>
      </c>
      <c r="LP7" s="59">
        <f t="shared" si="22"/>
        <v>0</v>
      </c>
    </row>
    <row r="8" spans="1:328" ht="15" hidden="1" customHeight="1" x14ac:dyDescent="0.3">
      <c r="A8" s="285"/>
      <c r="B8" s="285"/>
      <c r="C8" s="296" t="b">
        <f>IF(AND(C4=TRUE,C5=TRUE),TRUE,FALSE)</f>
        <v>0</v>
      </c>
      <c r="D8" s="285"/>
      <c r="E8" s="306" t="s">
        <v>4305</v>
      </c>
      <c r="F8" s="306"/>
      <c r="G8" s="306"/>
      <c r="H8" s="285"/>
      <c r="I8" s="1774"/>
      <c r="J8" s="285"/>
      <c r="K8" s="306"/>
      <c r="L8" s="285"/>
      <c r="M8" s="287"/>
      <c r="N8" s="287"/>
      <c r="O8" s="287"/>
      <c r="P8" s="287"/>
      <c r="Q8" s="287"/>
      <c r="R8" s="287"/>
      <c r="S8" s="285"/>
      <c r="T8" s="285"/>
      <c r="U8" s="315"/>
      <c r="V8" s="315"/>
      <c r="W8" s="315"/>
      <c r="X8" s="315"/>
      <c r="Y8" s="285"/>
      <c r="Z8" s="285"/>
      <c r="AA8" s="285"/>
      <c r="AB8" s="285"/>
      <c r="AC8" s="285"/>
      <c r="AD8" s="285"/>
      <c r="AE8" s="285"/>
      <c r="AF8" s="285"/>
      <c r="AG8" s="285"/>
      <c r="AH8" s="2513"/>
      <c r="AI8" s="285"/>
      <c r="AJ8" s="285"/>
      <c r="AK8" s="285"/>
      <c r="AL8" s="285"/>
      <c r="AM8" s="285"/>
      <c r="AN8" s="285"/>
      <c r="AO8" s="285"/>
      <c r="AP8" s="285"/>
      <c r="AQ8" s="285"/>
      <c r="AR8" s="285"/>
      <c r="AS8" s="285"/>
      <c r="AT8" s="285"/>
      <c r="AU8" s="285"/>
      <c r="AV8" s="285"/>
      <c r="AW8" s="285"/>
      <c r="AX8" s="285"/>
      <c r="AY8" s="285"/>
      <c r="AZ8" s="285"/>
      <c r="BA8" s="285"/>
      <c r="BB8" s="285"/>
      <c r="BC8" s="285"/>
      <c r="BD8" s="285"/>
      <c r="BE8" s="285"/>
      <c r="BF8" s="285"/>
      <c r="BG8" s="285"/>
      <c r="BH8" s="285"/>
      <c r="BI8" s="285"/>
      <c r="BJ8" s="285"/>
      <c r="BK8" s="285"/>
      <c r="BL8" s="285"/>
      <c r="BM8" s="285"/>
      <c r="BN8" s="285"/>
      <c r="BO8" s="285"/>
      <c r="BP8" s="285"/>
      <c r="BQ8" s="285"/>
      <c r="BR8" s="285"/>
      <c r="BS8" s="285"/>
      <c r="BT8" s="285"/>
      <c r="BU8" s="285"/>
      <c r="BV8" s="285"/>
      <c r="BW8" s="285"/>
      <c r="BX8" s="285"/>
      <c r="BY8" s="285"/>
      <c r="BZ8" s="285"/>
      <c r="CA8" s="285"/>
      <c r="CB8" s="285"/>
      <c r="CC8" s="285"/>
      <c r="CD8" s="285"/>
      <c r="CE8" s="285"/>
      <c r="CF8" s="285"/>
      <c r="CG8" s="285"/>
      <c r="CH8" s="285"/>
      <c r="CI8" s="285"/>
      <c r="CJ8" s="285"/>
      <c r="CK8" s="285"/>
      <c r="CL8" s="285"/>
      <c r="CM8" s="285"/>
      <c r="CN8" s="285"/>
      <c r="CO8" s="285"/>
      <c r="CP8" s="285"/>
      <c r="CQ8" s="285"/>
      <c r="CR8" s="285"/>
      <c r="CS8" s="285"/>
      <c r="CT8" s="285"/>
      <c r="CU8" s="285"/>
      <c r="CV8" s="285"/>
      <c r="CW8" s="285"/>
      <c r="CX8" s="285"/>
      <c r="CY8" s="285"/>
      <c r="CZ8" s="290"/>
      <c r="DA8" s="290"/>
      <c r="DB8" s="285"/>
      <c r="DC8" s="285"/>
      <c r="DD8" s="285"/>
      <c r="DE8" s="285"/>
      <c r="DF8" s="285"/>
      <c r="DG8" s="945"/>
      <c r="DH8" s="1888"/>
      <c r="DI8" s="285"/>
      <c r="DJ8" s="3155"/>
      <c r="DK8" s="3155"/>
      <c r="DL8" s="3155"/>
      <c r="DM8" s="3155"/>
      <c r="DN8" s="3155"/>
      <c r="DO8" s="3155"/>
      <c r="DP8" s="3155"/>
      <c r="DQ8" s="3155"/>
      <c r="DR8" s="3155"/>
      <c r="DS8" s="3155"/>
      <c r="DT8" s="3155"/>
      <c r="DU8" s="3155"/>
      <c r="DV8" s="3155"/>
      <c r="DW8" s="3155"/>
      <c r="DX8" s="3155"/>
      <c r="DY8" s="3155"/>
      <c r="DZ8" s="3155"/>
      <c r="EA8" s="3155"/>
      <c r="EB8" s="3155"/>
      <c r="EC8" s="3155"/>
      <c r="ED8" s="3155"/>
      <c r="EE8" s="3155"/>
      <c r="EF8" s="3155"/>
      <c r="EG8" s="3155"/>
      <c r="EH8" s="3155"/>
      <c r="EI8" s="3155"/>
      <c r="EJ8" s="3155"/>
      <c r="EK8" s="3155"/>
      <c r="EL8" s="3155"/>
      <c r="EM8" s="3155"/>
      <c r="EN8" s="3155"/>
      <c r="EO8" s="3155"/>
      <c r="EP8" s="3155"/>
      <c r="EQ8" s="3155"/>
      <c r="ER8" s="3155"/>
      <c r="ES8" s="3155"/>
      <c r="ET8" s="3155"/>
      <c r="EU8" s="3155"/>
      <c r="EV8" s="3155"/>
      <c r="EW8" s="3155"/>
      <c r="EX8" s="3155"/>
      <c r="EY8" s="3155"/>
      <c r="EZ8" s="3155"/>
      <c r="FA8" s="3155"/>
      <c r="FB8" s="3155"/>
      <c r="FC8" s="3155"/>
      <c r="FD8" s="3155"/>
      <c r="FE8" s="3155"/>
      <c r="FF8" s="3155"/>
      <c r="FG8" s="3155"/>
      <c r="FH8" s="604"/>
      <c r="FI8" s="285"/>
      <c r="FJ8" s="307"/>
      <c r="FK8" s="307"/>
      <c r="FL8" s="285"/>
      <c r="FM8" s="285"/>
      <c r="FN8" s="748">
        <f>IF(FM5=1,1,FN7/FN6)</f>
        <v>1</v>
      </c>
      <c r="FO8" s="285"/>
      <c r="FP8" s="285"/>
      <c r="FQ8" s="285"/>
      <c r="FR8" s="285"/>
      <c r="FS8" s="285"/>
      <c r="FT8" s="285"/>
      <c r="FU8" s="285"/>
      <c r="FV8" s="285"/>
      <c r="FW8" s="285"/>
      <c r="FX8" s="285"/>
      <c r="FY8" s="285"/>
      <c r="FZ8" s="285"/>
      <c r="GA8" s="285"/>
      <c r="GB8" s="285"/>
      <c r="GC8" s="285"/>
      <c r="GD8" s="285"/>
      <c r="GE8" s="285"/>
      <c r="GF8" s="285"/>
      <c r="GG8" s="285"/>
      <c r="GH8" s="285"/>
      <c r="GI8" s="285"/>
      <c r="GJ8" s="285"/>
      <c r="GK8" s="285"/>
      <c r="GL8" s="285"/>
      <c r="GM8" s="285"/>
      <c r="GN8" s="285"/>
      <c r="GO8" s="285"/>
      <c r="GP8" s="285"/>
      <c r="GQ8" s="285"/>
      <c r="GR8" s="412"/>
      <c r="GS8" s="308" t="s">
        <v>4059</v>
      </c>
      <c r="GT8" s="54">
        <f t="shared" ref="GT8:HY8" si="23">IF(GT22=0,0,SUMPRODUCT($AD$173:$AD$364,$CY$173:$CY$364,$FP$173:$FP$364,GT$173:GT$364)*GT25)</f>
        <v>3115.3070193333338</v>
      </c>
      <c r="GU8" s="3141">
        <f t="shared" si="23"/>
        <v>3115.3070193333338</v>
      </c>
      <c r="GV8" s="3141">
        <f t="shared" si="23"/>
        <v>3115.3070193333338</v>
      </c>
      <c r="GW8" s="3141">
        <f t="shared" si="23"/>
        <v>3115.3070193333338</v>
      </c>
      <c r="GX8" s="3141">
        <f t="shared" si="23"/>
        <v>3115.3070193333338</v>
      </c>
      <c r="GY8" s="3141">
        <f t="shared" si="23"/>
        <v>3115.3070193333338</v>
      </c>
      <c r="GZ8" s="3141">
        <f t="shared" si="23"/>
        <v>3115.3070193333338</v>
      </c>
      <c r="HA8" s="3141">
        <f t="shared" si="23"/>
        <v>3115.3070193333338</v>
      </c>
      <c r="HB8" s="3141">
        <f t="shared" si="23"/>
        <v>3115.3070193333338</v>
      </c>
      <c r="HC8" s="3141">
        <f t="shared" si="23"/>
        <v>3115.3070193333338</v>
      </c>
      <c r="HD8" s="3141">
        <f t="shared" si="23"/>
        <v>3115.3070193333338</v>
      </c>
      <c r="HE8" s="3141">
        <f t="shared" si="23"/>
        <v>3115.3070193333338</v>
      </c>
      <c r="HF8" s="3141">
        <f t="shared" si="23"/>
        <v>0</v>
      </c>
      <c r="HG8" s="3141">
        <f t="shared" si="23"/>
        <v>0</v>
      </c>
      <c r="HH8" s="3141">
        <f t="shared" si="23"/>
        <v>0</v>
      </c>
      <c r="HI8" s="3141">
        <f t="shared" si="23"/>
        <v>0</v>
      </c>
      <c r="HJ8" s="3141">
        <f t="shared" si="23"/>
        <v>0</v>
      </c>
      <c r="HK8" s="3141">
        <f t="shared" si="23"/>
        <v>0</v>
      </c>
      <c r="HL8" s="3141">
        <f t="shared" si="23"/>
        <v>0</v>
      </c>
      <c r="HM8" s="3141">
        <f t="shared" si="23"/>
        <v>0</v>
      </c>
      <c r="HN8" s="3141">
        <f t="shared" si="23"/>
        <v>0</v>
      </c>
      <c r="HO8" s="3141">
        <f t="shared" si="23"/>
        <v>0</v>
      </c>
      <c r="HP8" s="3141">
        <f t="shared" si="23"/>
        <v>0</v>
      </c>
      <c r="HQ8" s="3141">
        <f t="shared" si="23"/>
        <v>0</v>
      </c>
      <c r="HR8" s="3141">
        <f t="shared" si="23"/>
        <v>0</v>
      </c>
      <c r="HS8" s="3141">
        <f t="shared" si="23"/>
        <v>0</v>
      </c>
      <c r="HT8" s="3141">
        <f t="shared" si="23"/>
        <v>0</v>
      </c>
      <c r="HU8" s="3141">
        <f t="shared" si="23"/>
        <v>0</v>
      </c>
      <c r="HV8" s="3141">
        <f t="shared" si="23"/>
        <v>0</v>
      </c>
      <c r="HW8" s="3141">
        <f t="shared" si="23"/>
        <v>0</v>
      </c>
      <c r="HX8" s="3141">
        <f t="shared" si="23"/>
        <v>0</v>
      </c>
      <c r="HY8" s="3141">
        <f t="shared" si="23"/>
        <v>0</v>
      </c>
      <c r="HZ8" s="3141">
        <f t="shared" ref="HZ8:JE8" si="24">IF(HZ22=0,0,SUMPRODUCT($AD$173:$AD$364,$CY$173:$CY$364,$FP$173:$FP$364,HZ$173:HZ$364)*HZ25)</f>
        <v>0</v>
      </c>
      <c r="IA8" s="3141">
        <f t="shared" si="24"/>
        <v>0</v>
      </c>
      <c r="IB8" s="3141">
        <f t="shared" si="24"/>
        <v>0</v>
      </c>
      <c r="IC8" s="3141">
        <f t="shared" si="24"/>
        <v>0</v>
      </c>
      <c r="ID8" s="3141">
        <f t="shared" si="24"/>
        <v>0</v>
      </c>
      <c r="IE8" s="3141">
        <f t="shared" si="24"/>
        <v>0</v>
      </c>
      <c r="IF8" s="3141">
        <f t="shared" si="24"/>
        <v>0</v>
      </c>
      <c r="IG8" s="3141">
        <f t="shared" si="24"/>
        <v>0</v>
      </c>
      <c r="IH8" s="3141">
        <f t="shared" si="24"/>
        <v>0</v>
      </c>
      <c r="II8" s="3141">
        <f t="shared" si="24"/>
        <v>0</v>
      </c>
      <c r="IJ8" s="3141">
        <f t="shared" si="24"/>
        <v>0</v>
      </c>
      <c r="IK8" s="3141">
        <f t="shared" si="24"/>
        <v>0</v>
      </c>
      <c r="IL8" s="3141">
        <f t="shared" si="24"/>
        <v>0</v>
      </c>
      <c r="IM8" s="3141">
        <f t="shared" si="24"/>
        <v>0</v>
      </c>
      <c r="IN8" s="3141">
        <f t="shared" si="24"/>
        <v>0</v>
      </c>
      <c r="IO8" s="3141">
        <f t="shared" si="24"/>
        <v>0</v>
      </c>
      <c r="IP8" s="3141">
        <f t="shared" si="24"/>
        <v>0</v>
      </c>
      <c r="IQ8" s="3141">
        <f t="shared" si="24"/>
        <v>0</v>
      </c>
      <c r="IR8" s="3141">
        <f t="shared" si="24"/>
        <v>0</v>
      </c>
      <c r="IS8" s="3141">
        <f t="shared" si="24"/>
        <v>0</v>
      </c>
      <c r="IT8" s="3141">
        <f t="shared" si="24"/>
        <v>0</v>
      </c>
      <c r="IU8" s="3141">
        <f t="shared" si="24"/>
        <v>0</v>
      </c>
      <c r="IV8" s="3141">
        <f t="shared" si="24"/>
        <v>0</v>
      </c>
      <c r="IW8" s="3141">
        <f t="shared" si="24"/>
        <v>0</v>
      </c>
      <c r="IX8" s="3141">
        <f t="shared" si="24"/>
        <v>0</v>
      </c>
      <c r="IY8" s="3141">
        <f t="shared" si="24"/>
        <v>0</v>
      </c>
      <c r="IZ8" s="3141">
        <f t="shared" si="24"/>
        <v>0</v>
      </c>
      <c r="JA8" s="3141">
        <f t="shared" si="24"/>
        <v>0</v>
      </c>
      <c r="JB8" s="3141">
        <f t="shared" si="24"/>
        <v>0</v>
      </c>
      <c r="JC8" s="3141">
        <f t="shared" si="24"/>
        <v>0</v>
      </c>
      <c r="JD8" s="3141">
        <f t="shared" si="24"/>
        <v>0</v>
      </c>
      <c r="JE8" s="3141">
        <f t="shared" si="24"/>
        <v>0</v>
      </c>
      <c r="JF8" s="3141">
        <f t="shared" ref="JF8:KK8" si="25">IF(JF22=0,0,SUMPRODUCT($AD$173:$AD$364,$CY$173:$CY$364,$FP$173:$FP$364,JF$173:JF$364)*JF25)</f>
        <v>0</v>
      </c>
      <c r="JG8" s="3141">
        <f t="shared" si="25"/>
        <v>0</v>
      </c>
      <c r="JH8" s="3141">
        <f t="shared" si="25"/>
        <v>0</v>
      </c>
      <c r="JI8" s="3141">
        <f t="shared" si="25"/>
        <v>0</v>
      </c>
      <c r="JJ8" s="3141">
        <f t="shared" si="25"/>
        <v>0</v>
      </c>
      <c r="JK8" s="3141">
        <f t="shared" si="25"/>
        <v>0</v>
      </c>
      <c r="JL8" s="3141">
        <f t="shared" si="25"/>
        <v>0</v>
      </c>
      <c r="JM8" s="3141">
        <f t="shared" si="25"/>
        <v>0</v>
      </c>
      <c r="JN8" s="3141">
        <f t="shared" si="25"/>
        <v>0</v>
      </c>
      <c r="JO8" s="3141">
        <f t="shared" si="25"/>
        <v>0</v>
      </c>
      <c r="JP8" s="3141">
        <f t="shared" si="25"/>
        <v>0</v>
      </c>
      <c r="JQ8" s="3141">
        <f t="shared" si="25"/>
        <v>0</v>
      </c>
      <c r="JR8" s="3141">
        <f t="shared" si="25"/>
        <v>0</v>
      </c>
      <c r="JS8" s="3141">
        <f t="shared" si="25"/>
        <v>0</v>
      </c>
      <c r="JT8" s="3141">
        <f t="shared" si="25"/>
        <v>0</v>
      </c>
      <c r="JU8" s="3141">
        <f t="shared" si="25"/>
        <v>0</v>
      </c>
      <c r="JV8" s="3141">
        <f t="shared" si="25"/>
        <v>0</v>
      </c>
      <c r="JW8" s="3141">
        <f t="shared" si="25"/>
        <v>0</v>
      </c>
      <c r="JX8" s="3141">
        <f t="shared" si="25"/>
        <v>0</v>
      </c>
      <c r="JY8" s="3141">
        <f t="shared" si="25"/>
        <v>0</v>
      </c>
      <c r="JZ8" s="3141">
        <f t="shared" si="25"/>
        <v>0</v>
      </c>
      <c r="KA8" s="3141">
        <f t="shared" si="25"/>
        <v>0</v>
      </c>
      <c r="KB8" s="3141">
        <f t="shared" si="25"/>
        <v>0</v>
      </c>
      <c r="KC8" s="3141">
        <f t="shared" si="25"/>
        <v>0</v>
      </c>
      <c r="KD8" s="3141">
        <f t="shared" si="25"/>
        <v>0</v>
      </c>
      <c r="KE8" s="3141">
        <f t="shared" si="25"/>
        <v>0</v>
      </c>
      <c r="KF8" s="3141">
        <f t="shared" si="25"/>
        <v>0</v>
      </c>
      <c r="KG8" s="3141">
        <f t="shared" si="25"/>
        <v>0</v>
      </c>
      <c r="KH8" s="3141">
        <f t="shared" si="25"/>
        <v>0</v>
      </c>
      <c r="KI8" s="3141">
        <f t="shared" si="25"/>
        <v>0</v>
      </c>
      <c r="KJ8" s="3141">
        <f t="shared" si="25"/>
        <v>0</v>
      </c>
      <c r="KK8" s="3141">
        <f t="shared" si="25"/>
        <v>0</v>
      </c>
      <c r="KL8" s="3141">
        <f t="shared" ref="KL8:LP8" si="26">IF(KL22=0,0,SUMPRODUCT($AD$173:$AD$364,$CY$173:$CY$364,$FP$173:$FP$364,KL$173:KL$364)*KL25)</f>
        <v>0</v>
      </c>
      <c r="KM8" s="3141">
        <f t="shared" si="26"/>
        <v>0</v>
      </c>
      <c r="KN8" s="3141">
        <f t="shared" si="26"/>
        <v>0</v>
      </c>
      <c r="KO8" s="3141">
        <f t="shared" si="26"/>
        <v>0</v>
      </c>
      <c r="KP8" s="3141">
        <f t="shared" si="26"/>
        <v>0</v>
      </c>
      <c r="KQ8" s="3141">
        <f t="shared" si="26"/>
        <v>0</v>
      </c>
      <c r="KR8" s="3141">
        <f t="shared" si="26"/>
        <v>0</v>
      </c>
      <c r="KS8" s="3141">
        <f t="shared" si="26"/>
        <v>0</v>
      </c>
      <c r="KT8" s="3141">
        <f t="shared" si="26"/>
        <v>0</v>
      </c>
      <c r="KU8" s="3141">
        <f t="shared" si="26"/>
        <v>0</v>
      </c>
      <c r="KV8" s="3141">
        <f t="shared" si="26"/>
        <v>0</v>
      </c>
      <c r="KW8" s="3141">
        <f t="shared" si="26"/>
        <v>0</v>
      </c>
      <c r="KX8" s="3141">
        <f t="shared" si="26"/>
        <v>0</v>
      </c>
      <c r="KY8" s="3141">
        <f t="shared" si="26"/>
        <v>0</v>
      </c>
      <c r="KZ8" s="3141">
        <f t="shared" si="26"/>
        <v>0</v>
      </c>
      <c r="LA8" s="3141">
        <f t="shared" si="26"/>
        <v>0</v>
      </c>
      <c r="LB8" s="3141">
        <f t="shared" si="26"/>
        <v>0</v>
      </c>
      <c r="LC8" s="3141">
        <f t="shared" si="26"/>
        <v>0</v>
      </c>
      <c r="LD8" s="3141">
        <f t="shared" si="26"/>
        <v>0</v>
      </c>
      <c r="LE8" s="3141">
        <f t="shared" si="26"/>
        <v>0</v>
      </c>
      <c r="LF8" s="3141">
        <f t="shared" si="26"/>
        <v>0</v>
      </c>
      <c r="LG8" s="3141">
        <f t="shared" si="26"/>
        <v>0</v>
      </c>
      <c r="LH8" s="3141">
        <f t="shared" si="26"/>
        <v>0</v>
      </c>
      <c r="LI8" s="3141">
        <f t="shared" si="26"/>
        <v>0</v>
      </c>
      <c r="LJ8" s="3141">
        <f t="shared" si="26"/>
        <v>0</v>
      </c>
      <c r="LK8" s="3141">
        <f t="shared" si="26"/>
        <v>0</v>
      </c>
      <c r="LL8" s="3141">
        <f t="shared" si="26"/>
        <v>0</v>
      </c>
      <c r="LM8" s="3141">
        <f t="shared" si="26"/>
        <v>0</v>
      </c>
      <c r="LN8" s="3141">
        <f t="shared" si="26"/>
        <v>0</v>
      </c>
      <c r="LO8" s="3141">
        <f t="shared" si="26"/>
        <v>0</v>
      </c>
      <c r="LP8" s="3141">
        <f t="shared" si="26"/>
        <v>0</v>
      </c>
    </row>
    <row r="9" spans="1:328" ht="15" hidden="1" customHeight="1" x14ac:dyDescent="0.3">
      <c r="A9" s="285"/>
      <c r="B9" s="285"/>
      <c r="C9" s="3154"/>
      <c r="D9" s="285"/>
      <c r="E9" s="306"/>
      <c r="F9" s="306"/>
      <c r="G9" s="306"/>
      <c r="H9" s="285"/>
      <c r="I9" s="1774"/>
      <c r="J9" s="285"/>
      <c r="K9" s="306"/>
      <c r="L9" s="285"/>
      <c r="M9" s="287"/>
      <c r="N9" s="287"/>
      <c r="O9" s="287"/>
      <c r="P9" s="287"/>
      <c r="Q9" s="287"/>
      <c r="R9" s="287"/>
      <c r="S9" s="285"/>
      <c r="T9" s="285"/>
      <c r="U9" s="315"/>
      <c r="V9" s="315"/>
      <c r="W9" s="315"/>
      <c r="X9" s="315"/>
      <c r="Y9" s="285"/>
      <c r="Z9" s="285"/>
      <c r="AA9" s="285"/>
      <c r="AB9" s="285"/>
      <c r="AC9" s="285"/>
      <c r="AD9" s="285"/>
      <c r="AE9" s="285"/>
      <c r="AF9" s="285"/>
      <c r="AG9" s="285"/>
      <c r="AH9" s="2513"/>
      <c r="AI9" s="285"/>
      <c r="AJ9" s="285"/>
      <c r="AK9" s="285"/>
      <c r="AL9" s="285"/>
      <c r="AM9" s="285"/>
      <c r="AN9" s="285"/>
      <c r="AO9" s="285"/>
      <c r="AP9" s="285"/>
      <c r="AQ9" s="285"/>
      <c r="AR9" s="285"/>
      <c r="AS9" s="285"/>
      <c r="AT9" s="285"/>
      <c r="AU9" s="285"/>
      <c r="AV9" s="285"/>
      <c r="AW9" s="285"/>
      <c r="AX9" s="285"/>
      <c r="AY9" s="285"/>
      <c r="AZ9" s="285"/>
      <c r="BA9" s="285"/>
      <c r="BB9" s="285"/>
      <c r="BC9" s="285"/>
      <c r="BD9" s="285"/>
      <c r="BE9" s="285"/>
      <c r="BF9" s="285"/>
      <c r="BG9" s="285"/>
      <c r="BH9" s="285"/>
      <c r="BI9" s="285"/>
      <c r="BJ9" s="285"/>
      <c r="BK9" s="285"/>
      <c r="BL9" s="285"/>
      <c r="BM9" s="285"/>
      <c r="BN9" s="285"/>
      <c r="BO9" s="285"/>
      <c r="BP9" s="285"/>
      <c r="BQ9" s="285"/>
      <c r="BR9" s="285"/>
      <c r="BS9" s="285"/>
      <c r="BT9" s="285"/>
      <c r="BU9" s="285"/>
      <c r="BV9" s="285"/>
      <c r="BW9" s="285"/>
      <c r="BX9" s="285"/>
      <c r="BY9" s="285"/>
      <c r="BZ9" s="285"/>
      <c r="CA9" s="285"/>
      <c r="CB9" s="285"/>
      <c r="CC9" s="285"/>
      <c r="CD9" s="285"/>
      <c r="CE9" s="285"/>
      <c r="CF9" s="285"/>
      <c r="CG9" s="285"/>
      <c r="CH9" s="285"/>
      <c r="CI9" s="285"/>
      <c r="CJ9" s="285"/>
      <c r="CK9" s="285"/>
      <c r="CL9" s="285"/>
      <c r="CM9" s="285"/>
      <c r="CN9" s="285"/>
      <c r="CO9" s="285"/>
      <c r="CP9" s="285"/>
      <c r="CQ9" s="285"/>
      <c r="CR9" s="285"/>
      <c r="CS9" s="285"/>
      <c r="CT9" s="285"/>
      <c r="CU9" s="285"/>
      <c r="CV9" s="285"/>
      <c r="CW9" s="285"/>
      <c r="CX9" s="285"/>
      <c r="CY9" s="285"/>
      <c r="CZ9" s="290"/>
      <c r="DA9" s="290"/>
      <c r="DB9" s="285"/>
      <c r="DC9" s="285"/>
      <c r="DD9" s="285"/>
      <c r="DE9" s="285"/>
      <c r="DF9" s="285"/>
      <c r="DG9" s="945"/>
      <c r="DH9" s="1888"/>
      <c r="DI9" s="285"/>
      <c r="DJ9" s="3155"/>
      <c r="DK9" s="3155"/>
      <c r="DL9" s="3155"/>
      <c r="DM9" s="3155"/>
      <c r="DN9" s="3155"/>
      <c r="DO9" s="3155"/>
      <c r="DP9" s="3155"/>
      <c r="DQ9" s="3155"/>
      <c r="DR9" s="3155"/>
      <c r="DS9" s="3155"/>
      <c r="DT9" s="3155"/>
      <c r="DU9" s="3155"/>
      <c r="DV9" s="3155"/>
      <c r="DW9" s="3155"/>
      <c r="DX9" s="3155"/>
      <c r="DY9" s="3155"/>
      <c r="DZ9" s="3155"/>
      <c r="EA9" s="3155"/>
      <c r="EB9" s="3155"/>
      <c r="EC9" s="3155"/>
      <c r="ED9" s="3155"/>
      <c r="EE9" s="3155"/>
      <c r="EF9" s="3155"/>
      <c r="EG9" s="3155"/>
      <c r="EH9" s="3155"/>
      <c r="EI9" s="3155"/>
      <c r="EJ9" s="3155"/>
      <c r="EK9" s="3155"/>
      <c r="EL9" s="3155"/>
      <c r="EM9" s="3155"/>
      <c r="EN9" s="3155"/>
      <c r="EO9" s="3155"/>
      <c r="EP9" s="3155"/>
      <c r="EQ9" s="3155"/>
      <c r="ER9" s="3155"/>
      <c r="ES9" s="3155"/>
      <c r="ET9" s="3155"/>
      <c r="EU9" s="3155"/>
      <c r="EV9" s="3155"/>
      <c r="EW9" s="3155"/>
      <c r="EX9" s="3155"/>
      <c r="EY9" s="3155"/>
      <c r="EZ9" s="3155"/>
      <c r="FA9" s="3155"/>
      <c r="FB9" s="3155"/>
      <c r="FC9" s="3155"/>
      <c r="FD9" s="3155"/>
      <c r="FE9" s="3155"/>
      <c r="FF9" s="3155"/>
      <c r="FG9" s="3155"/>
      <c r="FH9" s="604"/>
      <c r="FI9" s="285"/>
      <c r="FJ9" s="307"/>
      <c r="FK9" s="307"/>
      <c r="FL9" s="285"/>
      <c r="FM9" s="285"/>
      <c r="FN9" s="285"/>
      <c r="FO9" s="285"/>
      <c r="FP9" s="285"/>
      <c r="FQ9" s="285"/>
      <c r="FR9" s="285"/>
      <c r="FS9" s="285"/>
      <c r="FT9" s="285"/>
      <c r="FU9" s="285"/>
      <c r="FV9" s="285"/>
      <c r="FW9" s="285"/>
      <c r="FX9" s="285"/>
      <c r="FY9" s="285"/>
      <c r="FZ9" s="285"/>
      <c r="GA9" s="285"/>
      <c r="GB9" s="285"/>
      <c r="GC9" s="285"/>
      <c r="GD9" s="285"/>
      <c r="GE9" s="285"/>
      <c r="GF9" s="285"/>
      <c r="GG9" s="285"/>
      <c r="GH9" s="285"/>
      <c r="GI9" s="285"/>
      <c r="GJ9" s="285"/>
      <c r="GK9" s="285"/>
      <c r="GL9" s="285"/>
      <c r="GM9" s="285"/>
      <c r="GN9" s="285"/>
      <c r="GO9" s="285"/>
      <c r="GP9" s="285"/>
      <c r="GQ9" s="285"/>
      <c r="GR9" s="412"/>
      <c r="GS9" s="308" t="s">
        <v>4060</v>
      </c>
      <c r="GT9" s="443">
        <f>GT8*(1+GT18)</f>
        <v>3115.3070193333338</v>
      </c>
      <c r="GU9" s="3141">
        <f t="shared" ref="GU9:JF9" si="27">GU8*(1+GU18)</f>
        <v>3115.3070193333338</v>
      </c>
      <c r="GV9" s="3141">
        <f t="shared" si="27"/>
        <v>3115.3070193333338</v>
      </c>
      <c r="GW9" s="3141">
        <f t="shared" si="27"/>
        <v>3115.3070193333338</v>
      </c>
      <c r="GX9" s="3141">
        <f t="shared" si="27"/>
        <v>3115.3070193333338</v>
      </c>
      <c r="GY9" s="3141">
        <f t="shared" si="27"/>
        <v>3115.3070193333338</v>
      </c>
      <c r="GZ9" s="3141">
        <f t="shared" si="27"/>
        <v>3115.3070193333338</v>
      </c>
      <c r="HA9" s="3141">
        <f t="shared" si="27"/>
        <v>3115.3070193333338</v>
      </c>
      <c r="HB9" s="3141">
        <f t="shared" si="27"/>
        <v>3115.3070193333338</v>
      </c>
      <c r="HC9" s="3141">
        <f t="shared" si="27"/>
        <v>3115.3070193333338</v>
      </c>
      <c r="HD9" s="3141">
        <f t="shared" si="27"/>
        <v>3115.3070193333338</v>
      </c>
      <c r="HE9" s="3141">
        <f t="shared" si="27"/>
        <v>3115.3070193333338</v>
      </c>
      <c r="HF9" s="3141">
        <f t="shared" si="27"/>
        <v>0</v>
      </c>
      <c r="HG9" s="3141">
        <f t="shared" si="27"/>
        <v>0</v>
      </c>
      <c r="HH9" s="3141">
        <f t="shared" si="27"/>
        <v>0</v>
      </c>
      <c r="HI9" s="3141">
        <f t="shared" si="27"/>
        <v>0</v>
      </c>
      <c r="HJ9" s="3141">
        <f t="shared" si="27"/>
        <v>0</v>
      </c>
      <c r="HK9" s="3141">
        <f t="shared" si="27"/>
        <v>0</v>
      </c>
      <c r="HL9" s="3141">
        <f t="shared" si="27"/>
        <v>0</v>
      </c>
      <c r="HM9" s="3141">
        <f t="shared" si="27"/>
        <v>0</v>
      </c>
      <c r="HN9" s="3141">
        <f t="shared" si="27"/>
        <v>0</v>
      </c>
      <c r="HO9" s="3141">
        <f t="shared" si="27"/>
        <v>0</v>
      </c>
      <c r="HP9" s="3141">
        <f t="shared" si="27"/>
        <v>0</v>
      </c>
      <c r="HQ9" s="3141">
        <f t="shared" si="27"/>
        <v>0</v>
      </c>
      <c r="HR9" s="3141">
        <f t="shared" si="27"/>
        <v>0</v>
      </c>
      <c r="HS9" s="3141">
        <f t="shared" si="27"/>
        <v>0</v>
      </c>
      <c r="HT9" s="3141">
        <f t="shared" si="27"/>
        <v>0</v>
      </c>
      <c r="HU9" s="3141">
        <f t="shared" si="27"/>
        <v>0</v>
      </c>
      <c r="HV9" s="3141">
        <f t="shared" si="27"/>
        <v>0</v>
      </c>
      <c r="HW9" s="3141">
        <f t="shared" si="27"/>
        <v>0</v>
      </c>
      <c r="HX9" s="3141">
        <f t="shared" si="27"/>
        <v>0</v>
      </c>
      <c r="HY9" s="3141">
        <f t="shared" si="27"/>
        <v>0</v>
      </c>
      <c r="HZ9" s="3141">
        <f t="shared" si="27"/>
        <v>0</v>
      </c>
      <c r="IA9" s="3141">
        <f t="shared" si="27"/>
        <v>0</v>
      </c>
      <c r="IB9" s="3141">
        <f t="shared" si="27"/>
        <v>0</v>
      </c>
      <c r="IC9" s="3141">
        <f t="shared" si="27"/>
        <v>0</v>
      </c>
      <c r="ID9" s="3141">
        <f t="shared" si="27"/>
        <v>0</v>
      </c>
      <c r="IE9" s="3141">
        <f t="shared" si="27"/>
        <v>0</v>
      </c>
      <c r="IF9" s="3141">
        <f t="shared" si="27"/>
        <v>0</v>
      </c>
      <c r="IG9" s="3141">
        <f t="shared" si="27"/>
        <v>0</v>
      </c>
      <c r="IH9" s="3141">
        <f t="shared" si="27"/>
        <v>0</v>
      </c>
      <c r="II9" s="3141">
        <f t="shared" si="27"/>
        <v>0</v>
      </c>
      <c r="IJ9" s="3141">
        <f t="shared" si="27"/>
        <v>0</v>
      </c>
      <c r="IK9" s="3141">
        <f t="shared" si="27"/>
        <v>0</v>
      </c>
      <c r="IL9" s="3141">
        <f t="shared" si="27"/>
        <v>0</v>
      </c>
      <c r="IM9" s="3141">
        <f t="shared" si="27"/>
        <v>0</v>
      </c>
      <c r="IN9" s="3141">
        <f t="shared" si="27"/>
        <v>0</v>
      </c>
      <c r="IO9" s="3141">
        <f t="shared" si="27"/>
        <v>0</v>
      </c>
      <c r="IP9" s="3141">
        <f t="shared" si="27"/>
        <v>0</v>
      </c>
      <c r="IQ9" s="3141">
        <f t="shared" si="27"/>
        <v>0</v>
      </c>
      <c r="IR9" s="3141">
        <f t="shared" si="27"/>
        <v>0</v>
      </c>
      <c r="IS9" s="3141">
        <f t="shared" si="27"/>
        <v>0</v>
      </c>
      <c r="IT9" s="3141">
        <f t="shared" si="27"/>
        <v>0</v>
      </c>
      <c r="IU9" s="3141">
        <f t="shared" si="27"/>
        <v>0</v>
      </c>
      <c r="IV9" s="3141">
        <f t="shared" si="27"/>
        <v>0</v>
      </c>
      <c r="IW9" s="3141">
        <f t="shared" si="27"/>
        <v>0</v>
      </c>
      <c r="IX9" s="3141">
        <f t="shared" si="27"/>
        <v>0</v>
      </c>
      <c r="IY9" s="3141">
        <f t="shared" si="27"/>
        <v>0</v>
      </c>
      <c r="IZ9" s="3141">
        <f t="shared" si="27"/>
        <v>0</v>
      </c>
      <c r="JA9" s="3141">
        <f t="shared" si="27"/>
        <v>0</v>
      </c>
      <c r="JB9" s="3141">
        <f t="shared" si="27"/>
        <v>0</v>
      </c>
      <c r="JC9" s="3141">
        <f t="shared" si="27"/>
        <v>0</v>
      </c>
      <c r="JD9" s="3141">
        <f t="shared" si="27"/>
        <v>0</v>
      </c>
      <c r="JE9" s="3141">
        <f t="shared" si="27"/>
        <v>0</v>
      </c>
      <c r="JF9" s="3141">
        <f t="shared" si="27"/>
        <v>0</v>
      </c>
      <c r="JG9" s="3141">
        <f t="shared" ref="JG9:LP9" si="28">JG8*(1+JG18)</f>
        <v>0</v>
      </c>
      <c r="JH9" s="3141">
        <f t="shared" si="28"/>
        <v>0</v>
      </c>
      <c r="JI9" s="3141">
        <f t="shared" si="28"/>
        <v>0</v>
      </c>
      <c r="JJ9" s="3141">
        <f t="shared" si="28"/>
        <v>0</v>
      </c>
      <c r="JK9" s="3141">
        <f t="shared" si="28"/>
        <v>0</v>
      </c>
      <c r="JL9" s="3141">
        <f t="shared" si="28"/>
        <v>0</v>
      </c>
      <c r="JM9" s="3141">
        <f t="shared" si="28"/>
        <v>0</v>
      </c>
      <c r="JN9" s="3141">
        <f t="shared" si="28"/>
        <v>0</v>
      </c>
      <c r="JO9" s="3141">
        <f t="shared" si="28"/>
        <v>0</v>
      </c>
      <c r="JP9" s="3141">
        <f t="shared" si="28"/>
        <v>0</v>
      </c>
      <c r="JQ9" s="3141">
        <f t="shared" si="28"/>
        <v>0</v>
      </c>
      <c r="JR9" s="3141">
        <f t="shared" si="28"/>
        <v>0</v>
      </c>
      <c r="JS9" s="3141">
        <f t="shared" si="28"/>
        <v>0</v>
      </c>
      <c r="JT9" s="3141">
        <f t="shared" si="28"/>
        <v>0</v>
      </c>
      <c r="JU9" s="3141">
        <f t="shared" si="28"/>
        <v>0</v>
      </c>
      <c r="JV9" s="3141">
        <f t="shared" si="28"/>
        <v>0</v>
      </c>
      <c r="JW9" s="3141">
        <f t="shared" si="28"/>
        <v>0</v>
      </c>
      <c r="JX9" s="3141">
        <f t="shared" si="28"/>
        <v>0</v>
      </c>
      <c r="JY9" s="3141">
        <f t="shared" si="28"/>
        <v>0</v>
      </c>
      <c r="JZ9" s="3141">
        <f t="shared" si="28"/>
        <v>0</v>
      </c>
      <c r="KA9" s="3141">
        <f t="shared" si="28"/>
        <v>0</v>
      </c>
      <c r="KB9" s="3141">
        <f t="shared" si="28"/>
        <v>0</v>
      </c>
      <c r="KC9" s="3141">
        <f t="shared" si="28"/>
        <v>0</v>
      </c>
      <c r="KD9" s="3141">
        <f t="shared" si="28"/>
        <v>0</v>
      </c>
      <c r="KE9" s="3141">
        <f t="shared" si="28"/>
        <v>0</v>
      </c>
      <c r="KF9" s="3141">
        <f t="shared" si="28"/>
        <v>0</v>
      </c>
      <c r="KG9" s="3141">
        <f t="shared" si="28"/>
        <v>0</v>
      </c>
      <c r="KH9" s="3141">
        <f t="shared" si="28"/>
        <v>0</v>
      </c>
      <c r="KI9" s="3141">
        <f t="shared" si="28"/>
        <v>0</v>
      </c>
      <c r="KJ9" s="3141">
        <f t="shared" si="28"/>
        <v>0</v>
      </c>
      <c r="KK9" s="3141">
        <f t="shared" si="28"/>
        <v>0</v>
      </c>
      <c r="KL9" s="3141">
        <f t="shared" si="28"/>
        <v>0</v>
      </c>
      <c r="KM9" s="3141">
        <f t="shared" si="28"/>
        <v>0</v>
      </c>
      <c r="KN9" s="3141">
        <f t="shared" si="28"/>
        <v>0</v>
      </c>
      <c r="KO9" s="3141">
        <f t="shared" si="28"/>
        <v>0</v>
      </c>
      <c r="KP9" s="3141">
        <f t="shared" si="28"/>
        <v>0</v>
      </c>
      <c r="KQ9" s="3141">
        <f t="shared" si="28"/>
        <v>0</v>
      </c>
      <c r="KR9" s="3141">
        <f t="shared" si="28"/>
        <v>0</v>
      </c>
      <c r="KS9" s="3141">
        <f t="shared" si="28"/>
        <v>0</v>
      </c>
      <c r="KT9" s="3141">
        <f t="shared" si="28"/>
        <v>0</v>
      </c>
      <c r="KU9" s="3141">
        <f t="shared" si="28"/>
        <v>0</v>
      </c>
      <c r="KV9" s="3141">
        <f t="shared" si="28"/>
        <v>0</v>
      </c>
      <c r="KW9" s="3141">
        <f t="shared" si="28"/>
        <v>0</v>
      </c>
      <c r="KX9" s="3141">
        <f t="shared" si="28"/>
        <v>0</v>
      </c>
      <c r="KY9" s="3141">
        <f t="shared" si="28"/>
        <v>0</v>
      </c>
      <c r="KZ9" s="3141">
        <f t="shared" si="28"/>
        <v>0</v>
      </c>
      <c r="LA9" s="3141">
        <f t="shared" si="28"/>
        <v>0</v>
      </c>
      <c r="LB9" s="3141">
        <f t="shared" si="28"/>
        <v>0</v>
      </c>
      <c r="LC9" s="3141">
        <f t="shared" si="28"/>
        <v>0</v>
      </c>
      <c r="LD9" s="3141">
        <f t="shared" si="28"/>
        <v>0</v>
      </c>
      <c r="LE9" s="3141">
        <f t="shared" si="28"/>
        <v>0</v>
      </c>
      <c r="LF9" s="3141">
        <f t="shared" si="28"/>
        <v>0</v>
      </c>
      <c r="LG9" s="3141">
        <f t="shared" si="28"/>
        <v>0</v>
      </c>
      <c r="LH9" s="3141">
        <f t="shared" si="28"/>
        <v>0</v>
      </c>
      <c r="LI9" s="3141">
        <f t="shared" si="28"/>
        <v>0</v>
      </c>
      <c r="LJ9" s="3141">
        <f t="shared" si="28"/>
        <v>0</v>
      </c>
      <c r="LK9" s="3141">
        <f t="shared" si="28"/>
        <v>0</v>
      </c>
      <c r="LL9" s="3141">
        <f t="shared" si="28"/>
        <v>0</v>
      </c>
      <c r="LM9" s="3141">
        <f t="shared" si="28"/>
        <v>0</v>
      </c>
      <c r="LN9" s="3141">
        <f t="shared" si="28"/>
        <v>0</v>
      </c>
      <c r="LO9" s="3141">
        <f t="shared" si="28"/>
        <v>0</v>
      </c>
      <c r="LP9" s="3141">
        <f t="shared" si="28"/>
        <v>0</v>
      </c>
    </row>
    <row r="10" spans="1:328" ht="15" hidden="1" customHeight="1" x14ac:dyDescent="0.3">
      <c r="A10" s="285"/>
      <c r="B10" s="285"/>
      <c r="C10" s="3154"/>
      <c r="D10" s="285"/>
      <c r="E10" s="306"/>
      <c r="F10" s="306"/>
      <c r="G10" s="306"/>
      <c r="H10" s="285"/>
      <c r="I10" s="1774"/>
      <c r="J10" s="285"/>
      <c r="K10" s="306"/>
      <c r="L10" s="285"/>
      <c r="M10" s="287"/>
      <c r="N10" s="287"/>
      <c r="O10" s="287"/>
      <c r="P10" s="287"/>
      <c r="Q10" s="287"/>
      <c r="R10" s="287"/>
      <c r="S10" s="285"/>
      <c r="T10" s="285"/>
      <c r="U10" s="315"/>
      <c r="V10" s="315"/>
      <c r="W10" s="315"/>
      <c r="X10" s="315"/>
      <c r="Y10" s="285"/>
      <c r="Z10" s="285"/>
      <c r="AA10" s="285"/>
      <c r="AB10" s="285"/>
      <c r="AC10" s="285"/>
      <c r="AD10" s="285"/>
      <c r="AE10" s="285"/>
      <c r="AF10" s="285"/>
      <c r="AG10" s="285"/>
      <c r="AH10" s="2513"/>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90"/>
      <c r="DA10" s="290"/>
      <c r="DB10" s="285"/>
      <c r="DC10" s="285"/>
      <c r="DD10" s="285"/>
      <c r="DE10" s="285"/>
      <c r="DF10" s="285"/>
      <c r="DG10" s="945"/>
      <c r="DH10" s="1888"/>
      <c r="DI10" s="285"/>
      <c r="DJ10" s="3155"/>
      <c r="DK10" s="3155"/>
      <c r="DL10" s="3155"/>
      <c r="DM10" s="3155"/>
      <c r="DN10" s="3155"/>
      <c r="DO10" s="3155"/>
      <c r="DP10" s="3155"/>
      <c r="DQ10" s="3155"/>
      <c r="DR10" s="3155"/>
      <c r="DS10" s="3155"/>
      <c r="DT10" s="3155"/>
      <c r="DU10" s="3155"/>
      <c r="DV10" s="3155"/>
      <c r="DW10" s="3155"/>
      <c r="DX10" s="3155"/>
      <c r="DY10" s="3155"/>
      <c r="DZ10" s="3155"/>
      <c r="EA10" s="3155"/>
      <c r="EB10" s="3155"/>
      <c r="EC10" s="3155"/>
      <c r="ED10" s="3155"/>
      <c r="EE10" s="3155"/>
      <c r="EF10" s="3155"/>
      <c r="EG10" s="3155"/>
      <c r="EH10" s="3155"/>
      <c r="EI10" s="3155"/>
      <c r="EJ10" s="3155"/>
      <c r="EK10" s="3155"/>
      <c r="EL10" s="3155"/>
      <c r="EM10" s="3155"/>
      <c r="EN10" s="3155"/>
      <c r="EO10" s="3155"/>
      <c r="EP10" s="3155"/>
      <c r="EQ10" s="3155"/>
      <c r="ER10" s="3155"/>
      <c r="ES10" s="3155"/>
      <c r="ET10" s="3155"/>
      <c r="EU10" s="3155"/>
      <c r="EV10" s="3155"/>
      <c r="EW10" s="3155"/>
      <c r="EX10" s="3155"/>
      <c r="EY10" s="3155"/>
      <c r="EZ10" s="3155"/>
      <c r="FA10" s="3155"/>
      <c r="FB10" s="3155"/>
      <c r="FC10" s="3155"/>
      <c r="FD10" s="3155"/>
      <c r="FE10" s="3155"/>
      <c r="FF10" s="3155"/>
      <c r="FG10" s="3155"/>
      <c r="FH10" s="604"/>
      <c r="FI10" s="285"/>
      <c r="FJ10" s="307"/>
      <c r="FK10" s="307"/>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412"/>
      <c r="GS10" s="308" t="s">
        <v>4061</v>
      </c>
      <c r="GT10" s="649">
        <f t="shared" ref="GT10:HY10" si="29">IF(GT171=0,0,SUMPRODUCT($AB$173:$AB$364,$CY$173:$CY$364,$FP$173:$FP$364,GT173:GT364)*GT25)</f>
        <v>447.5</v>
      </c>
      <c r="GU10" s="3141">
        <f t="shared" si="29"/>
        <v>447.5</v>
      </c>
      <c r="GV10" s="3141">
        <f t="shared" si="29"/>
        <v>447.5</v>
      </c>
      <c r="GW10" s="3141">
        <f t="shared" si="29"/>
        <v>447.5</v>
      </c>
      <c r="GX10" s="3141">
        <f t="shared" si="29"/>
        <v>447.5</v>
      </c>
      <c r="GY10" s="3141">
        <f t="shared" si="29"/>
        <v>447.5</v>
      </c>
      <c r="GZ10" s="3141">
        <f t="shared" si="29"/>
        <v>447.5</v>
      </c>
      <c r="HA10" s="3141">
        <f t="shared" si="29"/>
        <v>447.5</v>
      </c>
      <c r="HB10" s="3141">
        <f t="shared" si="29"/>
        <v>447.5</v>
      </c>
      <c r="HC10" s="3141">
        <f t="shared" si="29"/>
        <v>447.5</v>
      </c>
      <c r="HD10" s="3141">
        <f t="shared" si="29"/>
        <v>447.5</v>
      </c>
      <c r="HE10" s="3141">
        <f t="shared" si="29"/>
        <v>447.5</v>
      </c>
      <c r="HF10" s="3141">
        <f t="shared" si="29"/>
        <v>0</v>
      </c>
      <c r="HG10" s="3141">
        <f t="shared" si="29"/>
        <v>0</v>
      </c>
      <c r="HH10" s="3141">
        <f t="shared" si="29"/>
        <v>0</v>
      </c>
      <c r="HI10" s="3141">
        <f t="shared" si="29"/>
        <v>0</v>
      </c>
      <c r="HJ10" s="3141">
        <f t="shared" si="29"/>
        <v>0</v>
      </c>
      <c r="HK10" s="3141">
        <f t="shared" si="29"/>
        <v>0</v>
      </c>
      <c r="HL10" s="3141">
        <f t="shared" si="29"/>
        <v>0</v>
      </c>
      <c r="HM10" s="3141">
        <f t="shared" si="29"/>
        <v>0</v>
      </c>
      <c r="HN10" s="3141">
        <f t="shared" si="29"/>
        <v>0</v>
      </c>
      <c r="HO10" s="3141">
        <f t="shared" si="29"/>
        <v>0</v>
      </c>
      <c r="HP10" s="3141">
        <f t="shared" si="29"/>
        <v>0</v>
      </c>
      <c r="HQ10" s="3141">
        <f t="shared" si="29"/>
        <v>0</v>
      </c>
      <c r="HR10" s="3141">
        <f t="shared" si="29"/>
        <v>0</v>
      </c>
      <c r="HS10" s="3141">
        <f t="shared" si="29"/>
        <v>0</v>
      </c>
      <c r="HT10" s="3141">
        <f t="shared" si="29"/>
        <v>0</v>
      </c>
      <c r="HU10" s="3141">
        <f t="shared" si="29"/>
        <v>0</v>
      </c>
      <c r="HV10" s="3141">
        <f t="shared" si="29"/>
        <v>0</v>
      </c>
      <c r="HW10" s="3141">
        <f t="shared" si="29"/>
        <v>0</v>
      </c>
      <c r="HX10" s="3141">
        <f t="shared" si="29"/>
        <v>0</v>
      </c>
      <c r="HY10" s="3141">
        <f t="shared" si="29"/>
        <v>0</v>
      </c>
      <c r="HZ10" s="3141">
        <f t="shared" ref="HZ10:JE10" si="30">IF(HZ171=0,0,SUMPRODUCT($AB$173:$AB$364,$CY$173:$CY$364,$FP$173:$FP$364,HZ173:HZ364)*HZ25)</f>
        <v>0</v>
      </c>
      <c r="IA10" s="3141">
        <f t="shared" si="30"/>
        <v>0</v>
      </c>
      <c r="IB10" s="3141">
        <f t="shared" si="30"/>
        <v>0</v>
      </c>
      <c r="IC10" s="3141">
        <f t="shared" si="30"/>
        <v>0</v>
      </c>
      <c r="ID10" s="3141">
        <f t="shared" si="30"/>
        <v>0</v>
      </c>
      <c r="IE10" s="3141">
        <f t="shared" si="30"/>
        <v>0</v>
      </c>
      <c r="IF10" s="3141">
        <f t="shared" si="30"/>
        <v>0</v>
      </c>
      <c r="IG10" s="3141">
        <f t="shared" si="30"/>
        <v>0</v>
      </c>
      <c r="IH10" s="3141">
        <f t="shared" si="30"/>
        <v>0</v>
      </c>
      <c r="II10" s="3141">
        <f t="shared" si="30"/>
        <v>0</v>
      </c>
      <c r="IJ10" s="3141">
        <f t="shared" si="30"/>
        <v>0</v>
      </c>
      <c r="IK10" s="3141">
        <f t="shared" si="30"/>
        <v>0</v>
      </c>
      <c r="IL10" s="3141">
        <f t="shared" si="30"/>
        <v>0</v>
      </c>
      <c r="IM10" s="3141">
        <f t="shared" si="30"/>
        <v>0</v>
      </c>
      <c r="IN10" s="3141">
        <f t="shared" si="30"/>
        <v>0</v>
      </c>
      <c r="IO10" s="3141">
        <f t="shared" si="30"/>
        <v>0</v>
      </c>
      <c r="IP10" s="3141">
        <f t="shared" si="30"/>
        <v>0</v>
      </c>
      <c r="IQ10" s="3141">
        <f t="shared" si="30"/>
        <v>0</v>
      </c>
      <c r="IR10" s="3141">
        <f t="shared" si="30"/>
        <v>0</v>
      </c>
      <c r="IS10" s="3141">
        <f t="shared" si="30"/>
        <v>0</v>
      </c>
      <c r="IT10" s="3141">
        <f t="shared" si="30"/>
        <v>0</v>
      </c>
      <c r="IU10" s="3141">
        <f t="shared" si="30"/>
        <v>0</v>
      </c>
      <c r="IV10" s="3141">
        <f t="shared" si="30"/>
        <v>0</v>
      </c>
      <c r="IW10" s="3141">
        <f t="shared" si="30"/>
        <v>0</v>
      </c>
      <c r="IX10" s="3141">
        <f t="shared" si="30"/>
        <v>0</v>
      </c>
      <c r="IY10" s="3141">
        <f t="shared" si="30"/>
        <v>0</v>
      </c>
      <c r="IZ10" s="3141">
        <f t="shared" si="30"/>
        <v>0</v>
      </c>
      <c r="JA10" s="3141">
        <f t="shared" si="30"/>
        <v>0</v>
      </c>
      <c r="JB10" s="3141">
        <f t="shared" si="30"/>
        <v>0</v>
      </c>
      <c r="JC10" s="3141">
        <f t="shared" si="30"/>
        <v>0</v>
      </c>
      <c r="JD10" s="3141">
        <f t="shared" si="30"/>
        <v>0</v>
      </c>
      <c r="JE10" s="3141">
        <f t="shared" si="30"/>
        <v>0</v>
      </c>
      <c r="JF10" s="3141">
        <f t="shared" ref="JF10:KK10" si="31">IF(JF171=0,0,SUMPRODUCT($AB$173:$AB$364,$CY$173:$CY$364,$FP$173:$FP$364,JF173:JF364)*JF25)</f>
        <v>0</v>
      </c>
      <c r="JG10" s="3141">
        <f t="shared" si="31"/>
        <v>0</v>
      </c>
      <c r="JH10" s="3141">
        <f t="shared" si="31"/>
        <v>0</v>
      </c>
      <c r="JI10" s="3141">
        <f t="shared" si="31"/>
        <v>0</v>
      </c>
      <c r="JJ10" s="3141">
        <f t="shared" si="31"/>
        <v>0</v>
      </c>
      <c r="JK10" s="3141">
        <f t="shared" si="31"/>
        <v>0</v>
      </c>
      <c r="JL10" s="3141">
        <f t="shared" si="31"/>
        <v>0</v>
      </c>
      <c r="JM10" s="3141">
        <f t="shared" si="31"/>
        <v>0</v>
      </c>
      <c r="JN10" s="3141">
        <f t="shared" si="31"/>
        <v>0</v>
      </c>
      <c r="JO10" s="3141">
        <f t="shared" si="31"/>
        <v>0</v>
      </c>
      <c r="JP10" s="3141">
        <f t="shared" si="31"/>
        <v>0</v>
      </c>
      <c r="JQ10" s="3141">
        <f t="shared" si="31"/>
        <v>0</v>
      </c>
      <c r="JR10" s="3141">
        <f t="shared" si="31"/>
        <v>0</v>
      </c>
      <c r="JS10" s="3141">
        <f t="shared" si="31"/>
        <v>0</v>
      </c>
      <c r="JT10" s="3141">
        <f t="shared" si="31"/>
        <v>0</v>
      </c>
      <c r="JU10" s="3141">
        <f t="shared" si="31"/>
        <v>0</v>
      </c>
      <c r="JV10" s="3141">
        <f t="shared" si="31"/>
        <v>0</v>
      </c>
      <c r="JW10" s="3141">
        <f t="shared" si="31"/>
        <v>0</v>
      </c>
      <c r="JX10" s="3141">
        <f t="shared" si="31"/>
        <v>0</v>
      </c>
      <c r="JY10" s="3141">
        <f t="shared" si="31"/>
        <v>0</v>
      </c>
      <c r="JZ10" s="3141">
        <f t="shared" si="31"/>
        <v>0</v>
      </c>
      <c r="KA10" s="3141">
        <f t="shared" si="31"/>
        <v>0</v>
      </c>
      <c r="KB10" s="3141">
        <f t="shared" si="31"/>
        <v>0</v>
      </c>
      <c r="KC10" s="3141">
        <f t="shared" si="31"/>
        <v>0</v>
      </c>
      <c r="KD10" s="3141">
        <f t="shared" si="31"/>
        <v>0</v>
      </c>
      <c r="KE10" s="3141">
        <f t="shared" si="31"/>
        <v>0</v>
      </c>
      <c r="KF10" s="3141">
        <f t="shared" si="31"/>
        <v>0</v>
      </c>
      <c r="KG10" s="3141">
        <f t="shared" si="31"/>
        <v>0</v>
      </c>
      <c r="KH10" s="3141">
        <f t="shared" si="31"/>
        <v>0</v>
      </c>
      <c r="KI10" s="3141">
        <f t="shared" si="31"/>
        <v>0</v>
      </c>
      <c r="KJ10" s="3141">
        <f t="shared" si="31"/>
        <v>0</v>
      </c>
      <c r="KK10" s="3141">
        <f t="shared" si="31"/>
        <v>0</v>
      </c>
      <c r="KL10" s="3141">
        <f t="shared" ref="KL10:LP10" si="32">IF(KL171=0,0,SUMPRODUCT($AB$173:$AB$364,$CY$173:$CY$364,$FP$173:$FP$364,KL173:KL364)*KL25)</f>
        <v>0</v>
      </c>
      <c r="KM10" s="3141">
        <f t="shared" si="32"/>
        <v>0</v>
      </c>
      <c r="KN10" s="3141">
        <f t="shared" si="32"/>
        <v>0</v>
      </c>
      <c r="KO10" s="3141">
        <f t="shared" si="32"/>
        <v>0</v>
      </c>
      <c r="KP10" s="3141">
        <f t="shared" si="32"/>
        <v>0</v>
      </c>
      <c r="KQ10" s="3141">
        <f t="shared" si="32"/>
        <v>0</v>
      </c>
      <c r="KR10" s="3141">
        <f t="shared" si="32"/>
        <v>0</v>
      </c>
      <c r="KS10" s="3141">
        <f t="shared" si="32"/>
        <v>0</v>
      </c>
      <c r="KT10" s="3141">
        <f t="shared" si="32"/>
        <v>0</v>
      </c>
      <c r="KU10" s="3141">
        <f t="shared" si="32"/>
        <v>0</v>
      </c>
      <c r="KV10" s="3141">
        <f t="shared" si="32"/>
        <v>0</v>
      </c>
      <c r="KW10" s="3141">
        <f t="shared" si="32"/>
        <v>0</v>
      </c>
      <c r="KX10" s="3141">
        <f t="shared" si="32"/>
        <v>0</v>
      </c>
      <c r="KY10" s="3141">
        <f t="shared" si="32"/>
        <v>0</v>
      </c>
      <c r="KZ10" s="3141">
        <f t="shared" si="32"/>
        <v>0</v>
      </c>
      <c r="LA10" s="3141">
        <f t="shared" si="32"/>
        <v>0</v>
      </c>
      <c r="LB10" s="3141">
        <f t="shared" si="32"/>
        <v>0</v>
      </c>
      <c r="LC10" s="3141">
        <f t="shared" si="32"/>
        <v>0</v>
      </c>
      <c r="LD10" s="3141">
        <f t="shared" si="32"/>
        <v>0</v>
      </c>
      <c r="LE10" s="3141">
        <f t="shared" si="32"/>
        <v>0</v>
      </c>
      <c r="LF10" s="3141">
        <f t="shared" si="32"/>
        <v>0</v>
      </c>
      <c r="LG10" s="3141">
        <f t="shared" si="32"/>
        <v>0</v>
      </c>
      <c r="LH10" s="3141">
        <f t="shared" si="32"/>
        <v>0</v>
      </c>
      <c r="LI10" s="3141">
        <f t="shared" si="32"/>
        <v>0</v>
      </c>
      <c r="LJ10" s="3141">
        <f t="shared" si="32"/>
        <v>0</v>
      </c>
      <c r="LK10" s="3141">
        <f t="shared" si="32"/>
        <v>0</v>
      </c>
      <c r="LL10" s="3141">
        <f t="shared" si="32"/>
        <v>0</v>
      </c>
      <c r="LM10" s="3141">
        <f t="shared" si="32"/>
        <v>0</v>
      </c>
      <c r="LN10" s="3141">
        <f t="shared" si="32"/>
        <v>0</v>
      </c>
      <c r="LO10" s="3141">
        <f t="shared" si="32"/>
        <v>0</v>
      </c>
      <c r="LP10" s="3141">
        <f t="shared" si="32"/>
        <v>0</v>
      </c>
    </row>
    <row r="11" spans="1:328" ht="15" hidden="1" customHeight="1" x14ac:dyDescent="0.3">
      <c r="A11" s="285"/>
      <c r="B11" s="285"/>
      <c r="C11" s="3154"/>
      <c r="D11" s="285"/>
      <c r="E11" s="306"/>
      <c r="F11" s="306"/>
      <c r="G11" s="306"/>
      <c r="H11" s="285"/>
      <c r="I11" s="1774"/>
      <c r="J11" s="285"/>
      <c r="K11" s="306"/>
      <c r="L11" s="285"/>
      <c r="M11" s="287"/>
      <c r="N11" s="287"/>
      <c r="O11" s="287"/>
      <c r="P11" s="287"/>
      <c r="Q11" s="287"/>
      <c r="R11" s="287"/>
      <c r="S11" s="285"/>
      <c r="T11" s="285"/>
      <c r="U11" s="315"/>
      <c r="V11" s="315"/>
      <c r="W11" s="315"/>
      <c r="X11" s="315"/>
      <c r="Y11" s="285"/>
      <c r="Z11" s="285"/>
      <c r="AA11" s="285"/>
      <c r="AB11" s="285"/>
      <c r="AC11" s="285"/>
      <c r="AD11" s="285"/>
      <c r="AE11" s="285"/>
      <c r="AF11" s="285"/>
      <c r="AG11" s="285"/>
      <c r="AH11" s="2513"/>
      <c r="AI11" s="285"/>
      <c r="AJ11" s="285"/>
      <c r="AK11" s="285"/>
      <c r="AL11" s="285"/>
      <c r="AM11" s="285"/>
      <c r="AN11" s="285"/>
      <c r="AO11" s="285"/>
      <c r="AP11" s="285"/>
      <c r="AQ11" s="285"/>
      <c r="AR11" s="285"/>
      <c r="AS11" s="285"/>
      <c r="AT11" s="285"/>
      <c r="AU11" s="285"/>
      <c r="AV11" s="285"/>
      <c r="AW11" s="285"/>
      <c r="AX11" s="285"/>
      <c r="AY11" s="285"/>
      <c r="AZ11" s="285"/>
      <c r="BA11" s="285"/>
      <c r="BB11" s="285"/>
      <c r="BC11" s="285"/>
      <c r="BD11" s="285"/>
      <c r="BE11" s="285"/>
      <c r="BF11" s="285"/>
      <c r="BG11" s="285"/>
      <c r="BH11" s="285"/>
      <c r="BI11" s="285"/>
      <c r="BJ11" s="285"/>
      <c r="BK11" s="285"/>
      <c r="BL11" s="285"/>
      <c r="BM11" s="285"/>
      <c r="BN11" s="285"/>
      <c r="BO11" s="285"/>
      <c r="BP11" s="285"/>
      <c r="BQ11" s="285"/>
      <c r="BR11" s="285"/>
      <c r="BS11" s="285"/>
      <c r="BT11" s="285"/>
      <c r="BU11" s="285"/>
      <c r="BV11" s="285"/>
      <c r="BW11" s="285"/>
      <c r="BX11" s="285"/>
      <c r="BY11" s="285"/>
      <c r="BZ11" s="285"/>
      <c r="CA11" s="285"/>
      <c r="CB11" s="285"/>
      <c r="CC11" s="285"/>
      <c r="CD11" s="285"/>
      <c r="CE11" s="285"/>
      <c r="CF11" s="285"/>
      <c r="CG11" s="285"/>
      <c r="CH11" s="285"/>
      <c r="CI11" s="285"/>
      <c r="CJ11" s="285"/>
      <c r="CK11" s="285"/>
      <c r="CL11" s="285"/>
      <c r="CM11" s="285"/>
      <c r="CN11" s="285"/>
      <c r="CO11" s="285"/>
      <c r="CP11" s="285"/>
      <c r="CQ11" s="285"/>
      <c r="CR11" s="285"/>
      <c r="CS11" s="285"/>
      <c r="CT11" s="285"/>
      <c r="CU11" s="285"/>
      <c r="CV11" s="285"/>
      <c r="CW11" s="285"/>
      <c r="CX11" s="285"/>
      <c r="CY11" s="285"/>
      <c r="CZ11" s="290"/>
      <c r="DA11" s="290"/>
      <c r="DB11" s="285"/>
      <c r="DC11" s="285"/>
      <c r="DD11" s="285"/>
      <c r="DE11" s="285"/>
      <c r="DF11" s="285"/>
      <c r="DG11" s="945"/>
      <c r="DH11" s="1888"/>
      <c r="DI11" s="285"/>
      <c r="DJ11" s="3155"/>
      <c r="DK11" s="3155"/>
      <c r="DL11" s="3155"/>
      <c r="DM11" s="3155"/>
      <c r="DN11" s="3155"/>
      <c r="DO11" s="3155"/>
      <c r="DP11" s="3155"/>
      <c r="DQ11" s="3155"/>
      <c r="DR11" s="3155"/>
      <c r="DS11" s="3155"/>
      <c r="DT11" s="3155"/>
      <c r="DU11" s="3155"/>
      <c r="DV11" s="3155"/>
      <c r="DW11" s="3155"/>
      <c r="DX11" s="3155"/>
      <c r="DY11" s="3155"/>
      <c r="DZ11" s="3155"/>
      <c r="EA11" s="3155"/>
      <c r="EB11" s="3155"/>
      <c r="EC11" s="3155"/>
      <c r="ED11" s="3155"/>
      <c r="EE11" s="3155"/>
      <c r="EF11" s="3155"/>
      <c r="EG11" s="3155"/>
      <c r="EH11" s="3155"/>
      <c r="EI11" s="3155"/>
      <c r="EJ11" s="3155"/>
      <c r="EK11" s="3155"/>
      <c r="EL11" s="3155"/>
      <c r="EM11" s="3155"/>
      <c r="EN11" s="3155"/>
      <c r="EO11" s="3155"/>
      <c r="EP11" s="3155"/>
      <c r="EQ11" s="3155"/>
      <c r="ER11" s="3155"/>
      <c r="ES11" s="3155"/>
      <c r="ET11" s="3155"/>
      <c r="EU11" s="3155"/>
      <c r="EV11" s="3155"/>
      <c r="EW11" s="3155"/>
      <c r="EX11" s="3155"/>
      <c r="EY11" s="3155"/>
      <c r="EZ11" s="3155"/>
      <c r="FA11" s="3155"/>
      <c r="FB11" s="3155"/>
      <c r="FC11" s="3155"/>
      <c r="FD11" s="3155"/>
      <c r="FE11" s="3155"/>
      <c r="FF11" s="3155"/>
      <c r="FG11" s="3155"/>
      <c r="FH11" s="604"/>
      <c r="FI11" s="285"/>
      <c r="FJ11" s="307"/>
      <c r="FK11" s="307"/>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412"/>
      <c r="GS11" s="308" t="s">
        <v>4062</v>
      </c>
      <c r="GT11" s="54">
        <f t="shared" ref="GT11:HY11" si="33">IF(GT22=0,0,SUMPRODUCT($V$173:$V$364,$CY$173:$CY$364,$FP$173:$FP$364,$AH$173:$AH$364,GT$173:GT$364)*GT25)</f>
        <v>196.49916666666661</v>
      </c>
      <c r="GU11" s="3141">
        <f t="shared" si="33"/>
        <v>196.49916666666661</v>
      </c>
      <c r="GV11" s="3141">
        <f t="shared" si="33"/>
        <v>196.49916666666661</v>
      </c>
      <c r="GW11" s="3141">
        <f t="shared" si="33"/>
        <v>196.49916666666661</v>
      </c>
      <c r="GX11" s="3141">
        <f t="shared" si="33"/>
        <v>196.49916666666661</v>
      </c>
      <c r="GY11" s="3141">
        <f t="shared" si="33"/>
        <v>196.49916666666661</v>
      </c>
      <c r="GZ11" s="3141">
        <f t="shared" si="33"/>
        <v>196.49916666666661</v>
      </c>
      <c r="HA11" s="3141">
        <f t="shared" si="33"/>
        <v>196.49916666666661</v>
      </c>
      <c r="HB11" s="3141">
        <f t="shared" si="33"/>
        <v>196.49916666666661</v>
      </c>
      <c r="HC11" s="3141">
        <f t="shared" si="33"/>
        <v>196.49916666666661</v>
      </c>
      <c r="HD11" s="3141">
        <f t="shared" si="33"/>
        <v>196.49916666666661</v>
      </c>
      <c r="HE11" s="3141">
        <f t="shared" si="33"/>
        <v>196.49916666666661</v>
      </c>
      <c r="HF11" s="3141">
        <f t="shared" si="33"/>
        <v>0</v>
      </c>
      <c r="HG11" s="3141">
        <f t="shared" si="33"/>
        <v>0</v>
      </c>
      <c r="HH11" s="3141">
        <f t="shared" si="33"/>
        <v>0</v>
      </c>
      <c r="HI11" s="3141">
        <f t="shared" si="33"/>
        <v>0</v>
      </c>
      <c r="HJ11" s="3141">
        <f t="shared" si="33"/>
        <v>0</v>
      </c>
      <c r="HK11" s="3141">
        <f t="shared" si="33"/>
        <v>0</v>
      </c>
      <c r="HL11" s="3141">
        <f t="shared" si="33"/>
        <v>0</v>
      </c>
      <c r="HM11" s="3141">
        <f t="shared" si="33"/>
        <v>0</v>
      </c>
      <c r="HN11" s="3141">
        <f t="shared" si="33"/>
        <v>0</v>
      </c>
      <c r="HO11" s="3141">
        <f t="shared" si="33"/>
        <v>0</v>
      </c>
      <c r="HP11" s="3141">
        <f t="shared" si="33"/>
        <v>0</v>
      </c>
      <c r="HQ11" s="3141">
        <f t="shared" si="33"/>
        <v>0</v>
      </c>
      <c r="HR11" s="3141">
        <f t="shared" si="33"/>
        <v>0</v>
      </c>
      <c r="HS11" s="3141">
        <f t="shared" si="33"/>
        <v>0</v>
      </c>
      <c r="HT11" s="3141">
        <f t="shared" si="33"/>
        <v>0</v>
      </c>
      <c r="HU11" s="3141">
        <f t="shared" si="33"/>
        <v>0</v>
      </c>
      <c r="HV11" s="3141">
        <f t="shared" si="33"/>
        <v>0</v>
      </c>
      <c r="HW11" s="3141">
        <f t="shared" si="33"/>
        <v>0</v>
      </c>
      <c r="HX11" s="3141">
        <f t="shared" si="33"/>
        <v>0</v>
      </c>
      <c r="HY11" s="3141">
        <f t="shared" si="33"/>
        <v>0</v>
      </c>
      <c r="HZ11" s="3141">
        <f t="shared" ref="HZ11:JE11" si="34">IF(HZ22=0,0,SUMPRODUCT($V$173:$V$364,$CY$173:$CY$364,$FP$173:$FP$364,$AH$173:$AH$364,HZ$173:HZ$364)*HZ25)</f>
        <v>0</v>
      </c>
      <c r="IA11" s="3141">
        <f t="shared" si="34"/>
        <v>0</v>
      </c>
      <c r="IB11" s="3141">
        <f t="shared" si="34"/>
        <v>0</v>
      </c>
      <c r="IC11" s="3141">
        <f t="shared" si="34"/>
        <v>0</v>
      </c>
      <c r="ID11" s="3141">
        <f t="shared" si="34"/>
        <v>0</v>
      </c>
      <c r="IE11" s="3141">
        <f t="shared" si="34"/>
        <v>0</v>
      </c>
      <c r="IF11" s="3141">
        <f t="shared" si="34"/>
        <v>0</v>
      </c>
      <c r="IG11" s="3141">
        <f t="shared" si="34"/>
        <v>0</v>
      </c>
      <c r="IH11" s="3141">
        <f t="shared" si="34"/>
        <v>0</v>
      </c>
      <c r="II11" s="3141">
        <f t="shared" si="34"/>
        <v>0</v>
      </c>
      <c r="IJ11" s="3141">
        <f t="shared" si="34"/>
        <v>0</v>
      </c>
      <c r="IK11" s="3141">
        <f t="shared" si="34"/>
        <v>0</v>
      </c>
      <c r="IL11" s="3141">
        <f t="shared" si="34"/>
        <v>0</v>
      </c>
      <c r="IM11" s="3141">
        <f t="shared" si="34"/>
        <v>0</v>
      </c>
      <c r="IN11" s="3141">
        <f t="shared" si="34"/>
        <v>0</v>
      </c>
      <c r="IO11" s="3141">
        <f t="shared" si="34"/>
        <v>0</v>
      </c>
      <c r="IP11" s="3141">
        <f t="shared" si="34"/>
        <v>0</v>
      </c>
      <c r="IQ11" s="3141">
        <f t="shared" si="34"/>
        <v>0</v>
      </c>
      <c r="IR11" s="3141">
        <f t="shared" si="34"/>
        <v>0</v>
      </c>
      <c r="IS11" s="3141">
        <f t="shared" si="34"/>
        <v>0</v>
      </c>
      <c r="IT11" s="3141">
        <f t="shared" si="34"/>
        <v>0</v>
      </c>
      <c r="IU11" s="3141">
        <f t="shared" si="34"/>
        <v>0</v>
      </c>
      <c r="IV11" s="3141">
        <f t="shared" si="34"/>
        <v>0</v>
      </c>
      <c r="IW11" s="3141">
        <f t="shared" si="34"/>
        <v>0</v>
      </c>
      <c r="IX11" s="3141">
        <f t="shared" si="34"/>
        <v>0</v>
      </c>
      <c r="IY11" s="3141">
        <f t="shared" si="34"/>
        <v>0</v>
      </c>
      <c r="IZ11" s="3141">
        <f t="shared" si="34"/>
        <v>0</v>
      </c>
      <c r="JA11" s="3141">
        <f t="shared" si="34"/>
        <v>0</v>
      </c>
      <c r="JB11" s="3141">
        <f t="shared" si="34"/>
        <v>0</v>
      </c>
      <c r="JC11" s="3141">
        <f t="shared" si="34"/>
        <v>0</v>
      </c>
      <c r="JD11" s="3141">
        <f t="shared" si="34"/>
        <v>0</v>
      </c>
      <c r="JE11" s="3141">
        <f t="shared" si="34"/>
        <v>0</v>
      </c>
      <c r="JF11" s="3141">
        <f t="shared" ref="JF11:KK11" si="35">IF(JF22=0,0,SUMPRODUCT($V$173:$V$364,$CY$173:$CY$364,$FP$173:$FP$364,$AH$173:$AH$364,JF$173:JF$364)*JF25)</f>
        <v>0</v>
      </c>
      <c r="JG11" s="3141">
        <f t="shared" si="35"/>
        <v>0</v>
      </c>
      <c r="JH11" s="3141">
        <f t="shared" si="35"/>
        <v>0</v>
      </c>
      <c r="JI11" s="3141">
        <f t="shared" si="35"/>
        <v>0</v>
      </c>
      <c r="JJ11" s="3141">
        <f t="shared" si="35"/>
        <v>0</v>
      </c>
      <c r="JK11" s="3141">
        <f t="shared" si="35"/>
        <v>0</v>
      </c>
      <c r="JL11" s="3141">
        <f t="shared" si="35"/>
        <v>0</v>
      </c>
      <c r="JM11" s="3141">
        <f t="shared" si="35"/>
        <v>0</v>
      </c>
      <c r="JN11" s="3141">
        <f t="shared" si="35"/>
        <v>0</v>
      </c>
      <c r="JO11" s="3141">
        <f t="shared" si="35"/>
        <v>0</v>
      </c>
      <c r="JP11" s="3141">
        <f t="shared" si="35"/>
        <v>0</v>
      </c>
      <c r="JQ11" s="3141">
        <f t="shared" si="35"/>
        <v>0</v>
      </c>
      <c r="JR11" s="3141">
        <f t="shared" si="35"/>
        <v>0</v>
      </c>
      <c r="JS11" s="3141">
        <f t="shared" si="35"/>
        <v>0</v>
      </c>
      <c r="JT11" s="3141">
        <f t="shared" si="35"/>
        <v>0</v>
      </c>
      <c r="JU11" s="3141">
        <f t="shared" si="35"/>
        <v>0</v>
      </c>
      <c r="JV11" s="3141">
        <f t="shared" si="35"/>
        <v>0</v>
      </c>
      <c r="JW11" s="3141">
        <f t="shared" si="35"/>
        <v>0</v>
      </c>
      <c r="JX11" s="3141">
        <f t="shared" si="35"/>
        <v>0</v>
      </c>
      <c r="JY11" s="3141">
        <f t="shared" si="35"/>
        <v>0</v>
      </c>
      <c r="JZ11" s="3141">
        <f t="shared" si="35"/>
        <v>0</v>
      </c>
      <c r="KA11" s="3141">
        <f t="shared" si="35"/>
        <v>0</v>
      </c>
      <c r="KB11" s="3141">
        <f t="shared" si="35"/>
        <v>0</v>
      </c>
      <c r="KC11" s="3141">
        <f t="shared" si="35"/>
        <v>0</v>
      </c>
      <c r="KD11" s="3141">
        <f t="shared" si="35"/>
        <v>0</v>
      </c>
      <c r="KE11" s="3141">
        <f t="shared" si="35"/>
        <v>0</v>
      </c>
      <c r="KF11" s="3141">
        <f t="shared" si="35"/>
        <v>0</v>
      </c>
      <c r="KG11" s="3141">
        <f t="shared" si="35"/>
        <v>0</v>
      </c>
      <c r="KH11" s="3141">
        <f t="shared" si="35"/>
        <v>0</v>
      </c>
      <c r="KI11" s="3141">
        <f t="shared" si="35"/>
        <v>0</v>
      </c>
      <c r="KJ11" s="3141">
        <f t="shared" si="35"/>
        <v>0</v>
      </c>
      <c r="KK11" s="3141">
        <f t="shared" si="35"/>
        <v>0</v>
      </c>
      <c r="KL11" s="3141">
        <f t="shared" ref="KL11:LP11" si="36">IF(KL22=0,0,SUMPRODUCT($V$173:$V$364,$CY$173:$CY$364,$FP$173:$FP$364,$AH$173:$AH$364,KL$173:KL$364)*KL25)</f>
        <v>0</v>
      </c>
      <c r="KM11" s="3141">
        <f t="shared" si="36"/>
        <v>0</v>
      </c>
      <c r="KN11" s="3141">
        <f t="shared" si="36"/>
        <v>0</v>
      </c>
      <c r="KO11" s="3141">
        <f t="shared" si="36"/>
        <v>0</v>
      </c>
      <c r="KP11" s="3141">
        <f t="shared" si="36"/>
        <v>0</v>
      </c>
      <c r="KQ11" s="3141">
        <f t="shared" si="36"/>
        <v>0</v>
      </c>
      <c r="KR11" s="3141">
        <f t="shared" si="36"/>
        <v>0</v>
      </c>
      <c r="KS11" s="3141">
        <f t="shared" si="36"/>
        <v>0</v>
      </c>
      <c r="KT11" s="3141">
        <f t="shared" si="36"/>
        <v>0</v>
      </c>
      <c r="KU11" s="3141">
        <f t="shared" si="36"/>
        <v>0</v>
      </c>
      <c r="KV11" s="3141">
        <f t="shared" si="36"/>
        <v>0</v>
      </c>
      <c r="KW11" s="3141">
        <f t="shared" si="36"/>
        <v>0</v>
      </c>
      <c r="KX11" s="3141">
        <f t="shared" si="36"/>
        <v>0</v>
      </c>
      <c r="KY11" s="3141">
        <f t="shared" si="36"/>
        <v>0</v>
      </c>
      <c r="KZ11" s="3141">
        <f t="shared" si="36"/>
        <v>0</v>
      </c>
      <c r="LA11" s="3141">
        <f t="shared" si="36"/>
        <v>0</v>
      </c>
      <c r="LB11" s="3141">
        <f t="shared" si="36"/>
        <v>0</v>
      </c>
      <c r="LC11" s="3141">
        <f t="shared" si="36"/>
        <v>0</v>
      </c>
      <c r="LD11" s="3141">
        <f t="shared" si="36"/>
        <v>0</v>
      </c>
      <c r="LE11" s="3141">
        <f t="shared" si="36"/>
        <v>0</v>
      </c>
      <c r="LF11" s="3141">
        <f t="shared" si="36"/>
        <v>0</v>
      </c>
      <c r="LG11" s="3141">
        <f t="shared" si="36"/>
        <v>0</v>
      </c>
      <c r="LH11" s="3141">
        <f t="shared" si="36"/>
        <v>0</v>
      </c>
      <c r="LI11" s="3141">
        <f t="shared" si="36"/>
        <v>0</v>
      </c>
      <c r="LJ11" s="3141">
        <f t="shared" si="36"/>
        <v>0</v>
      </c>
      <c r="LK11" s="3141">
        <f t="shared" si="36"/>
        <v>0</v>
      </c>
      <c r="LL11" s="3141">
        <f t="shared" si="36"/>
        <v>0</v>
      </c>
      <c r="LM11" s="3141">
        <f t="shared" si="36"/>
        <v>0</v>
      </c>
      <c r="LN11" s="3141">
        <f t="shared" si="36"/>
        <v>0</v>
      </c>
      <c r="LO11" s="3141">
        <f t="shared" si="36"/>
        <v>0</v>
      </c>
      <c r="LP11" s="3141">
        <f t="shared" si="36"/>
        <v>0</v>
      </c>
    </row>
    <row r="12" spans="1:328" ht="15" hidden="1" customHeight="1" thickBot="1" x14ac:dyDescent="0.35">
      <c r="A12" s="285"/>
      <c r="B12" s="285"/>
      <c r="C12" s="76" t="b">
        <f>'5  Control Accounts'!$DW$14</f>
        <v>1</v>
      </c>
      <c r="D12" s="285"/>
      <c r="E12" s="306" t="s">
        <v>2052</v>
      </c>
      <c r="F12" s="285"/>
      <c r="G12" s="285"/>
      <c r="H12" s="285"/>
      <c r="I12" s="285"/>
      <c r="J12" s="12">
        <f>'5  Control Accounts'!$BJ$24</f>
        <v>5</v>
      </c>
      <c r="K12" s="306"/>
      <c r="L12" s="446" t="s">
        <v>2227</v>
      </c>
      <c r="M12" s="287"/>
      <c r="N12" s="287"/>
      <c r="O12" s="287"/>
      <c r="P12" s="287"/>
      <c r="Q12" s="287"/>
      <c r="R12" s="287"/>
      <c r="S12" s="285"/>
      <c r="T12" s="285"/>
      <c r="U12" s="285"/>
      <c r="V12" s="285"/>
      <c r="W12" s="285"/>
      <c r="X12" s="285"/>
      <c r="Y12" s="285"/>
      <c r="Z12" s="285"/>
      <c r="AA12" s="285"/>
      <c r="AB12" s="285"/>
      <c r="AC12" s="285"/>
      <c r="AD12" s="285"/>
      <c r="AE12" s="285"/>
      <c r="AF12" s="285"/>
      <c r="AG12" s="285"/>
      <c r="AH12" s="2513"/>
      <c r="AI12" s="285"/>
      <c r="AJ12" s="285"/>
      <c r="AK12" s="285"/>
      <c r="AL12" s="285"/>
      <c r="AM12" s="285"/>
      <c r="AN12" s="285"/>
      <c r="AO12" s="285"/>
      <c r="AP12" s="285"/>
      <c r="AQ12" s="285"/>
      <c r="AR12" s="285"/>
      <c r="AS12" s="285"/>
      <c r="AT12" s="285"/>
      <c r="AU12" s="285"/>
      <c r="AV12" s="285"/>
      <c r="AW12" s="285"/>
      <c r="AX12" s="285"/>
      <c r="AY12" s="285"/>
      <c r="AZ12" s="285"/>
      <c r="BA12" s="285"/>
      <c r="BB12" s="285"/>
      <c r="BC12" s="285"/>
      <c r="BD12" s="285"/>
      <c r="BE12" s="285"/>
      <c r="BF12" s="285"/>
      <c r="BG12" s="285"/>
      <c r="BH12" s="285"/>
      <c r="BI12" s="285"/>
      <c r="BJ12" s="285"/>
      <c r="BK12" s="285"/>
      <c r="BL12" s="285"/>
      <c r="BM12" s="285"/>
      <c r="BN12" s="285"/>
      <c r="BO12" s="285"/>
      <c r="BP12" s="285"/>
      <c r="BQ12" s="285"/>
      <c r="BR12" s="285"/>
      <c r="BS12" s="285"/>
      <c r="BT12" s="285"/>
      <c r="BU12" s="285"/>
      <c r="BV12" s="285"/>
      <c r="BW12" s="285"/>
      <c r="BX12" s="285"/>
      <c r="BY12" s="285"/>
      <c r="BZ12" s="285"/>
      <c r="CA12" s="285"/>
      <c r="CB12" s="285"/>
      <c r="CC12" s="285"/>
      <c r="CD12" s="285"/>
      <c r="CE12" s="285"/>
      <c r="CF12" s="285"/>
      <c r="CG12" s="285"/>
      <c r="CH12" s="285"/>
      <c r="CI12" s="285"/>
      <c r="CJ12" s="285"/>
      <c r="CK12" s="285"/>
      <c r="CL12" s="285"/>
      <c r="CM12" s="285"/>
      <c r="CN12" s="285"/>
      <c r="CO12" s="285"/>
      <c r="CP12" s="285"/>
      <c r="CQ12" s="285"/>
      <c r="CR12" s="285"/>
      <c r="CS12" s="285"/>
      <c r="CT12" s="285"/>
      <c r="CU12" s="285"/>
      <c r="CV12" s="285"/>
      <c r="CW12" s="285"/>
      <c r="CX12" s="285"/>
      <c r="CY12" s="285"/>
      <c r="CZ12" s="290" t="s">
        <v>5</v>
      </c>
      <c r="DA12" s="290"/>
      <c r="DB12" s="285"/>
      <c r="DC12" s="285"/>
      <c r="DD12" s="285"/>
      <c r="DE12" s="285"/>
      <c r="DF12" s="285"/>
      <c r="DG12" s="945"/>
      <c r="DH12" s="1888"/>
      <c r="DI12" s="285"/>
      <c r="DJ12" s="1890"/>
      <c r="DK12" s="1890"/>
      <c r="DL12" s="1890"/>
      <c r="DM12" s="1890"/>
      <c r="DN12" s="1890"/>
      <c r="DO12" s="1890"/>
      <c r="DP12" s="1890"/>
      <c r="DQ12" s="1890"/>
      <c r="DR12" s="1890"/>
      <c r="DS12" s="1890"/>
      <c r="DT12" s="1890"/>
      <c r="DU12" s="1890"/>
      <c r="DV12" s="1890"/>
      <c r="DW12" s="1890"/>
      <c r="DX12" s="1890"/>
      <c r="DY12" s="1890"/>
      <c r="DZ12" s="1890"/>
      <c r="EA12" s="1890"/>
      <c r="EB12" s="1890"/>
      <c r="EC12" s="1890"/>
      <c r="ED12" s="1890"/>
      <c r="EE12" s="1890"/>
      <c r="EF12" s="1890"/>
      <c r="EG12" s="1890"/>
      <c r="EH12" s="1890"/>
      <c r="EI12" s="1890"/>
      <c r="EJ12" s="1890"/>
      <c r="EK12" s="1890"/>
      <c r="EL12" s="1890"/>
      <c r="EM12" s="1890"/>
      <c r="EN12" s="1890"/>
      <c r="EO12" s="1890"/>
      <c r="EP12" s="1890"/>
      <c r="EQ12" s="1890"/>
      <c r="ER12" s="1890"/>
      <c r="ES12" s="1890"/>
      <c r="ET12" s="1890"/>
      <c r="EU12" s="1890"/>
      <c r="EV12" s="1890"/>
      <c r="EW12" s="1890"/>
      <c r="EX12" s="1890"/>
      <c r="EY12" s="1890"/>
      <c r="EZ12" s="1890"/>
      <c r="FA12" s="1890"/>
      <c r="FB12" s="1890"/>
      <c r="FC12" s="1890"/>
      <c r="FD12" s="1890"/>
      <c r="FE12" s="1890"/>
      <c r="FF12" s="1890"/>
      <c r="FG12" s="1890"/>
      <c r="FH12" s="604"/>
      <c r="FI12" s="285"/>
      <c r="FJ12" s="307"/>
      <c r="FK12" s="307"/>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412"/>
      <c r="GS12" s="308" t="s">
        <v>4058</v>
      </c>
      <c r="GT12" s="3256">
        <f t="shared" ref="GT12:HY12" si="37">IF(GT171=0,0,SUMPRODUCT($T$173:$T$364,$CY$173:$CY$364,$FP$173:$FP$364,GT173:GT364)*GT25)</f>
        <v>113.58333333333333</v>
      </c>
      <c r="GU12" s="3141">
        <f t="shared" si="37"/>
        <v>113.58333333333333</v>
      </c>
      <c r="GV12" s="3141">
        <f t="shared" si="37"/>
        <v>113.58333333333333</v>
      </c>
      <c r="GW12" s="3141">
        <f t="shared" si="37"/>
        <v>113.58333333333333</v>
      </c>
      <c r="GX12" s="3141">
        <f t="shared" si="37"/>
        <v>113.58333333333333</v>
      </c>
      <c r="GY12" s="3141">
        <f t="shared" si="37"/>
        <v>113.58333333333333</v>
      </c>
      <c r="GZ12" s="3141">
        <f t="shared" si="37"/>
        <v>113.58333333333333</v>
      </c>
      <c r="HA12" s="3141">
        <f t="shared" si="37"/>
        <v>113.58333333333333</v>
      </c>
      <c r="HB12" s="3141">
        <f t="shared" si="37"/>
        <v>113.58333333333333</v>
      </c>
      <c r="HC12" s="3141">
        <f t="shared" si="37"/>
        <v>113.58333333333333</v>
      </c>
      <c r="HD12" s="3141">
        <f t="shared" si="37"/>
        <v>113.58333333333333</v>
      </c>
      <c r="HE12" s="3141">
        <f t="shared" si="37"/>
        <v>113.58333333333333</v>
      </c>
      <c r="HF12" s="3141">
        <f t="shared" si="37"/>
        <v>0</v>
      </c>
      <c r="HG12" s="3141">
        <f t="shared" si="37"/>
        <v>0</v>
      </c>
      <c r="HH12" s="3141">
        <f t="shared" si="37"/>
        <v>0</v>
      </c>
      <c r="HI12" s="3141">
        <f t="shared" si="37"/>
        <v>0</v>
      </c>
      <c r="HJ12" s="3141">
        <f t="shared" si="37"/>
        <v>0</v>
      </c>
      <c r="HK12" s="3141">
        <f t="shared" si="37"/>
        <v>0</v>
      </c>
      <c r="HL12" s="3141">
        <f t="shared" si="37"/>
        <v>0</v>
      </c>
      <c r="HM12" s="3141">
        <f t="shared" si="37"/>
        <v>0</v>
      </c>
      <c r="HN12" s="3141">
        <f t="shared" si="37"/>
        <v>0</v>
      </c>
      <c r="HO12" s="3141">
        <f t="shared" si="37"/>
        <v>0</v>
      </c>
      <c r="HP12" s="3141">
        <f t="shared" si="37"/>
        <v>0</v>
      </c>
      <c r="HQ12" s="3141">
        <f t="shared" si="37"/>
        <v>0</v>
      </c>
      <c r="HR12" s="3141">
        <f t="shared" si="37"/>
        <v>0</v>
      </c>
      <c r="HS12" s="3141">
        <f t="shared" si="37"/>
        <v>0</v>
      </c>
      <c r="HT12" s="3141">
        <f t="shared" si="37"/>
        <v>0</v>
      </c>
      <c r="HU12" s="3141">
        <f t="shared" si="37"/>
        <v>0</v>
      </c>
      <c r="HV12" s="3141">
        <f t="shared" si="37"/>
        <v>0</v>
      </c>
      <c r="HW12" s="3141">
        <f t="shared" si="37"/>
        <v>0</v>
      </c>
      <c r="HX12" s="3141">
        <f t="shared" si="37"/>
        <v>0</v>
      </c>
      <c r="HY12" s="3141">
        <f t="shared" si="37"/>
        <v>0</v>
      </c>
      <c r="HZ12" s="3141">
        <f t="shared" ref="HZ12:JE12" si="38">IF(HZ171=0,0,SUMPRODUCT($T$173:$T$364,$CY$173:$CY$364,$FP$173:$FP$364,HZ173:HZ364)*HZ25)</f>
        <v>0</v>
      </c>
      <c r="IA12" s="3141">
        <f t="shared" si="38"/>
        <v>0</v>
      </c>
      <c r="IB12" s="3141">
        <f t="shared" si="38"/>
        <v>0</v>
      </c>
      <c r="IC12" s="3141">
        <f t="shared" si="38"/>
        <v>0</v>
      </c>
      <c r="ID12" s="3141">
        <f t="shared" si="38"/>
        <v>0</v>
      </c>
      <c r="IE12" s="3141">
        <f t="shared" si="38"/>
        <v>0</v>
      </c>
      <c r="IF12" s="3141">
        <f t="shared" si="38"/>
        <v>0</v>
      </c>
      <c r="IG12" s="3141">
        <f t="shared" si="38"/>
        <v>0</v>
      </c>
      <c r="IH12" s="3141">
        <f t="shared" si="38"/>
        <v>0</v>
      </c>
      <c r="II12" s="3141">
        <f t="shared" si="38"/>
        <v>0</v>
      </c>
      <c r="IJ12" s="3141">
        <f t="shared" si="38"/>
        <v>0</v>
      </c>
      <c r="IK12" s="3141">
        <f t="shared" si="38"/>
        <v>0</v>
      </c>
      <c r="IL12" s="3141">
        <f t="shared" si="38"/>
        <v>0</v>
      </c>
      <c r="IM12" s="3141">
        <f t="shared" si="38"/>
        <v>0</v>
      </c>
      <c r="IN12" s="3141">
        <f t="shared" si="38"/>
        <v>0</v>
      </c>
      <c r="IO12" s="3141">
        <f t="shared" si="38"/>
        <v>0</v>
      </c>
      <c r="IP12" s="3141">
        <f t="shared" si="38"/>
        <v>0</v>
      </c>
      <c r="IQ12" s="3141">
        <f t="shared" si="38"/>
        <v>0</v>
      </c>
      <c r="IR12" s="3141">
        <f t="shared" si="38"/>
        <v>0</v>
      </c>
      <c r="IS12" s="3141">
        <f t="shared" si="38"/>
        <v>0</v>
      </c>
      <c r="IT12" s="3141">
        <f t="shared" si="38"/>
        <v>0</v>
      </c>
      <c r="IU12" s="3141">
        <f t="shared" si="38"/>
        <v>0</v>
      </c>
      <c r="IV12" s="3141">
        <f t="shared" si="38"/>
        <v>0</v>
      </c>
      <c r="IW12" s="3141">
        <f t="shared" si="38"/>
        <v>0</v>
      </c>
      <c r="IX12" s="3141">
        <f t="shared" si="38"/>
        <v>0</v>
      </c>
      <c r="IY12" s="3141">
        <f t="shared" si="38"/>
        <v>0</v>
      </c>
      <c r="IZ12" s="3141">
        <f t="shared" si="38"/>
        <v>0</v>
      </c>
      <c r="JA12" s="3141">
        <f t="shared" si="38"/>
        <v>0</v>
      </c>
      <c r="JB12" s="3141">
        <f t="shared" si="38"/>
        <v>0</v>
      </c>
      <c r="JC12" s="3141">
        <f t="shared" si="38"/>
        <v>0</v>
      </c>
      <c r="JD12" s="3141">
        <f t="shared" si="38"/>
        <v>0</v>
      </c>
      <c r="JE12" s="3141">
        <f t="shared" si="38"/>
        <v>0</v>
      </c>
      <c r="JF12" s="3141">
        <f t="shared" ref="JF12:KK12" si="39">IF(JF171=0,0,SUMPRODUCT($T$173:$T$364,$CY$173:$CY$364,$FP$173:$FP$364,JF173:JF364)*JF25)</f>
        <v>0</v>
      </c>
      <c r="JG12" s="3141">
        <f t="shared" si="39"/>
        <v>0</v>
      </c>
      <c r="JH12" s="3141">
        <f t="shared" si="39"/>
        <v>0</v>
      </c>
      <c r="JI12" s="3141">
        <f t="shared" si="39"/>
        <v>0</v>
      </c>
      <c r="JJ12" s="3141">
        <f t="shared" si="39"/>
        <v>0</v>
      </c>
      <c r="JK12" s="3141">
        <f t="shared" si="39"/>
        <v>0</v>
      </c>
      <c r="JL12" s="3141">
        <f t="shared" si="39"/>
        <v>0</v>
      </c>
      <c r="JM12" s="3141">
        <f t="shared" si="39"/>
        <v>0</v>
      </c>
      <c r="JN12" s="3141">
        <f t="shared" si="39"/>
        <v>0</v>
      </c>
      <c r="JO12" s="3141">
        <f t="shared" si="39"/>
        <v>0</v>
      </c>
      <c r="JP12" s="3141">
        <f t="shared" si="39"/>
        <v>0</v>
      </c>
      <c r="JQ12" s="3141">
        <f t="shared" si="39"/>
        <v>0</v>
      </c>
      <c r="JR12" s="3141">
        <f t="shared" si="39"/>
        <v>0</v>
      </c>
      <c r="JS12" s="3141">
        <f t="shared" si="39"/>
        <v>0</v>
      </c>
      <c r="JT12" s="3141">
        <f t="shared" si="39"/>
        <v>0</v>
      </c>
      <c r="JU12" s="3141">
        <f t="shared" si="39"/>
        <v>0</v>
      </c>
      <c r="JV12" s="3141">
        <f t="shared" si="39"/>
        <v>0</v>
      </c>
      <c r="JW12" s="3141">
        <f t="shared" si="39"/>
        <v>0</v>
      </c>
      <c r="JX12" s="3141">
        <f t="shared" si="39"/>
        <v>0</v>
      </c>
      <c r="JY12" s="3141">
        <f t="shared" si="39"/>
        <v>0</v>
      </c>
      <c r="JZ12" s="3141">
        <f t="shared" si="39"/>
        <v>0</v>
      </c>
      <c r="KA12" s="3141">
        <f t="shared" si="39"/>
        <v>0</v>
      </c>
      <c r="KB12" s="3141">
        <f t="shared" si="39"/>
        <v>0</v>
      </c>
      <c r="KC12" s="3141">
        <f t="shared" si="39"/>
        <v>0</v>
      </c>
      <c r="KD12" s="3141">
        <f t="shared" si="39"/>
        <v>0</v>
      </c>
      <c r="KE12" s="3141">
        <f t="shared" si="39"/>
        <v>0</v>
      </c>
      <c r="KF12" s="3141">
        <f t="shared" si="39"/>
        <v>0</v>
      </c>
      <c r="KG12" s="3141">
        <f t="shared" si="39"/>
        <v>0</v>
      </c>
      <c r="KH12" s="3141">
        <f t="shared" si="39"/>
        <v>0</v>
      </c>
      <c r="KI12" s="3141">
        <f t="shared" si="39"/>
        <v>0</v>
      </c>
      <c r="KJ12" s="3141">
        <f t="shared" si="39"/>
        <v>0</v>
      </c>
      <c r="KK12" s="3141">
        <f t="shared" si="39"/>
        <v>0</v>
      </c>
      <c r="KL12" s="3141">
        <f t="shared" ref="KL12:LP12" si="40">IF(KL171=0,0,SUMPRODUCT($T$173:$T$364,$CY$173:$CY$364,$FP$173:$FP$364,KL173:KL364)*KL25)</f>
        <v>0</v>
      </c>
      <c r="KM12" s="3141">
        <f t="shared" si="40"/>
        <v>0</v>
      </c>
      <c r="KN12" s="3141">
        <f t="shared" si="40"/>
        <v>0</v>
      </c>
      <c r="KO12" s="3141">
        <f t="shared" si="40"/>
        <v>0</v>
      </c>
      <c r="KP12" s="3141">
        <f t="shared" si="40"/>
        <v>0</v>
      </c>
      <c r="KQ12" s="3141">
        <f t="shared" si="40"/>
        <v>0</v>
      </c>
      <c r="KR12" s="3141">
        <f t="shared" si="40"/>
        <v>0</v>
      </c>
      <c r="KS12" s="3141">
        <f t="shared" si="40"/>
        <v>0</v>
      </c>
      <c r="KT12" s="3141">
        <f t="shared" si="40"/>
        <v>0</v>
      </c>
      <c r="KU12" s="3141">
        <f t="shared" si="40"/>
        <v>0</v>
      </c>
      <c r="KV12" s="3141">
        <f t="shared" si="40"/>
        <v>0</v>
      </c>
      <c r="KW12" s="3141">
        <f t="shared" si="40"/>
        <v>0</v>
      </c>
      <c r="KX12" s="3141">
        <f t="shared" si="40"/>
        <v>0</v>
      </c>
      <c r="KY12" s="3141">
        <f t="shared" si="40"/>
        <v>0</v>
      </c>
      <c r="KZ12" s="3141">
        <f t="shared" si="40"/>
        <v>0</v>
      </c>
      <c r="LA12" s="3141">
        <f t="shared" si="40"/>
        <v>0</v>
      </c>
      <c r="LB12" s="3141">
        <f t="shared" si="40"/>
        <v>0</v>
      </c>
      <c r="LC12" s="3141">
        <f t="shared" si="40"/>
        <v>0</v>
      </c>
      <c r="LD12" s="3141">
        <f t="shared" si="40"/>
        <v>0</v>
      </c>
      <c r="LE12" s="3141">
        <f t="shared" si="40"/>
        <v>0</v>
      </c>
      <c r="LF12" s="3141">
        <f t="shared" si="40"/>
        <v>0</v>
      </c>
      <c r="LG12" s="3141">
        <f t="shared" si="40"/>
        <v>0</v>
      </c>
      <c r="LH12" s="3141">
        <f t="shared" si="40"/>
        <v>0</v>
      </c>
      <c r="LI12" s="3141">
        <f t="shared" si="40"/>
        <v>0</v>
      </c>
      <c r="LJ12" s="3141">
        <f t="shared" si="40"/>
        <v>0</v>
      </c>
      <c r="LK12" s="3141">
        <f t="shared" si="40"/>
        <v>0</v>
      </c>
      <c r="LL12" s="3141">
        <f t="shared" si="40"/>
        <v>0</v>
      </c>
      <c r="LM12" s="3141">
        <f t="shared" si="40"/>
        <v>0</v>
      </c>
      <c r="LN12" s="3141">
        <f t="shared" si="40"/>
        <v>0</v>
      </c>
      <c r="LO12" s="3141">
        <f t="shared" si="40"/>
        <v>0</v>
      </c>
      <c r="LP12" s="3141">
        <f t="shared" si="40"/>
        <v>0</v>
      </c>
    </row>
    <row r="13" spans="1:328" ht="15" hidden="1" customHeight="1" x14ac:dyDescent="0.3">
      <c r="A13" s="285"/>
      <c r="B13" s="285"/>
      <c r="C13" s="753"/>
      <c r="D13" s="285"/>
      <c r="E13" s="306"/>
      <c r="F13" s="285"/>
      <c r="G13" s="285"/>
      <c r="H13" s="285"/>
      <c r="I13" s="285"/>
      <c r="J13" s="748"/>
      <c r="K13" s="306"/>
      <c r="L13" s="446"/>
      <c r="M13" s="287"/>
      <c r="N13" s="287"/>
      <c r="O13" s="287"/>
      <c r="P13" s="287"/>
      <c r="Q13" s="287"/>
      <c r="R13" s="287"/>
      <c r="S13" s="285"/>
      <c r="T13" s="285"/>
      <c r="U13" s="285"/>
      <c r="V13" s="285"/>
      <c r="W13" s="285"/>
      <c r="X13" s="285"/>
      <c r="Y13" s="285"/>
      <c r="Z13" s="285"/>
      <c r="AA13" s="285"/>
      <c r="AB13" s="285"/>
      <c r="AC13" s="285"/>
      <c r="AD13" s="285"/>
      <c r="AE13" s="285"/>
      <c r="AF13" s="285"/>
      <c r="AG13" s="285"/>
      <c r="AH13" s="2513"/>
      <c r="AI13" s="285"/>
      <c r="AJ13" s="285"/>
      <c r="AK13" s="285"/>
      <c r="AL13" s="285"/>
      <c r="AM13" s="285"/>
      <c r="AN13" s="285"/>
      <c r="AO13" s="285"/>
      <c r="AP13" s="285"/>
      <c r="AQ13" s="285"/>
      <c r="AR13" s="285"/>
      <c r="AS13" s="285"/>
      <c r="AT13" s="285"/>
      <c r="AU13" s="285"/>
      <c r="AV13" s="285"/>
      <c r="AW13" s="285"/>
      <c r="AX13" s="285"/>
      <c r="AY13" s="285"/>
      <c r="AZ13" s="285"/>
      <c r="BA13" s="285"/>
      <c r="BB13" s="285"/>
      <c r="BC13" s="285"/>
      <c r="BD13" s="285"/>
      <c r="BE13" s="285"/>
      <c r="BF13" s="285"/>
      <c r="BG13" s="285"/>
      <c r="BH13" s="285"/>
      <c r="BI13" s="285"/>
      <c r="BJ13" s="285"/>
      <c r="BK13" s="285"/>
      <c r="BL13" s="285"/>
      <c r="BM13" s="285"/>
      <c r="BN13" s="285"/>
      <c r="BO13" s="285"/>
      <c r="BP13" s="285"/>
      <c r="BQ13" s="285"/>
      <c r="BR13" s="285"/>
      <c r="BS13" s="285"/>
      <c r="BT13" s="285"/>
      <c r="BU13" s="285"/>
      <c r="BV13" s="285"/>
      <c r="BW13" s="285"/>
      <c r="BX13" s="285"/>
      <c r="BY13" s="285"/>
      <c r="BZ13" s="285"/>
      <c r="CA13" s="285"/>
      <c r="CB13" s="285"/>
      <c r="CC13" s="285"/>
      <c r="CD13" s="285"/>
      <c r="CE13" s="285"/>
      <c r="CF13" s="285"/>
      <c r="CG13" s="285"/>
      <c r="CH13" s="285"/>
      <c r="CI13" s="285"/>
      <c r="CJ13" s="285"/>
      <c r="CK13" s="285"/>
      <c r="CL13" s="285"/>
      <c r="CM13" s="285"/>
      <c r="CN13" s="285"/>
      <c r="CO13" s="285"/>
      <c r="CP13" s="285"/>
      <c r="CQ13" s="285"/>
      <c r="CR13" s="285"/>
      <c r="CS13" s="285"/>
      <c r="CT13" s="285"/>
      <c r="CU13" s="285"/>
      <c r="CV13" s="285"/>
      <c r="CW13" s="285"/>
      <c r="CX13" s="285"/>
      <c r="CY13" s="285"/>
      <c r="CZ13" s="290"/>
      <c r="DA13" s="290"/>
      <c r="DB13" s="285"/>
      <c r="DC13" s="285"/>
      <c r="DD13" s="285"/>
      <c r="DE13" s="285"/>
      <c r="DF13" s="285"/>
      <c r="DG13" s="945"/>
      <c r="DH13" s="1888"/>
      <c r="DI13" s="285"/>
      <c r="DJ13" s="3255"/>
      <c r="DK13" s="3255"/>
      <c r="DL13" s="3255"/>
      <c r="DM13" s="3255"/>
      <c r="DN13" s="3255"/>
      <c r="DO13" s="3255"/>
      <c r="DP13" s="3255"/>
      <c r="DQ13" s="3255"/>
      <c r="DR13" s="3255"/>
      <c r="DS13" s="3255"/>
      <c r="DT13" s="3255"/>
      <c r="DU13" s="3255"/>
      <c r="DV13" s="3255"/>
      <c r="DW13" s="3255"/>
      <c r="DX13" s="3255"/>
      <c r="DY13" s="3255"/>
      <c r="DZ13" s="3255"/>
      <c r="EA13" s="3255"/>
      <c r="EB13" s="3255"/>
      <c r="EC13" s="3255"/>
      <c r="ED13" s="3255"/>
      <c r="EE13" s="3255"/>
      <c r="EF13" s="3255"/>
      <c r="EG13" s="3255"/>
      <c r="EH13" s="3255"/>
      <c r="EI13" s="3255"/>
      <c r="EJ13" s="3255"/>
      <c r="EK13" s="3255"/>
      <c r="EL13" s="3255"/>
      <c r="EM13" s="3255"/>
      <c r="EN13" s="3255"/>
      <c r="EO13" s="3255"/>
      <c r="EP13" s="3255"/>
      <c r="EQ13" s="3255"/>
      <c r="ER13" s="3255"/>
      <c r="ES13" s="3255"/>
      <c r="ET13" s="3255"/>
      <c r="EU13" s="3255"/>
      <c r="EV13" s="3255"/>
      <c r="EW13" s="3255"/>
      <c r="EX13" s="3255"/>
      <c r="EY13" s="3255"/>
      <c r="EZ13" s="3255"/>
      <c r="FA13" s="3255"/>
      <c r="FB13" s="3255"/>
      <c r="FC13" s="3255"/>
      <c r="FD13" s="3255"/>
      <c r="FE13" s="3255"/>
      <c r="FF13" s="3255"/>
      <c r="FG13" s="3255"/>
      <c r="FH13" s="604"/>
      <c r="FI13" s="285"/>
      <c r="FJ13" s="307"/>
      <c r="FK13" s="307"/>
      <c r="FL13" s="285"/>
      <c r="FM13" s="285"/>
      <c r="FN13" s="285"/>
      <c r="FO13" s="285"/>
      <c r="FP13" s="285"/>
      <c r="FQ13" s="285"/>
      <c r="FR13" s="285"/>
      <c r="FS13" s="285"/>
      <c r="FT13" s="285"/>
      <c r="FU13" s="285"/>
      <c r="FV13" s="285"/>
      <c r="FW13" s="285"/>
      <c r="FX13" s="285"/>
      <c r="FY13" s="285"/>
      <c r="FZ13" s="285"/>
      <c r="GA13" s="285"/>
      <c r="GB13" s="285"/>
      <c r="GC13" s="285"/>
      <c r="GD13" s="285"/>
      <c r="GE13" s="285"/>
      <c r="GF13" s="285"/>
      <c r="GG13" s="285"/>
      <c r="GH13" s="285"/>
      <c r="GI13" s="285"/>
      <c r="GJ13" s="285"/>
      <c r="GK13" s="285"/>
      <c r="GL13" s="285"/>
      <c r="GM13" s="285"/>
      <c r="GN13" s="285"/>
      <c r="GO13" s="285"/>
      <c r="GP13" s="285"/>
      <c r="GQ13" s="285"/>
      <c r="GR13" s="412"/>
      <c r="GS13" s="308" t="s">
        <v>4190</v>
      </c>
      <c r="GT13" s="56">
        <f t="shared" ref="GT13:HY13" ca="1" si="41">IF(GT22=0,0,SUMPRODUCT($W$173:$W$364,$CY$173:$CY$364,$FP$173:$FP$364,$AH$173:$AH$364,GT$173:GT$364)*GT25)</f>
        <v>0</v>
      </c>
      <c r="GU13" s="57">
        <f t="shared" ca="1" si="41"/>
        <v>0</v>
      </c>
      <c r="GV13" s="57">
        <f t="shared" ca="1" si="41"/>
        <v>0</v>
      </c>
      <c r="GW13" s="57">
        <f t="shared" ca="1" si="41"/>
        <v>0</v>
      </c>
      <c r="GX13" s="57">
        <f t="shared" ca="1" si="41"/>
        <v>0</v>
      </c>
      <c r="GY13" s="57">
        <f t="shared" ca="1" si="41"/>
        <v>0</v>
      </c>
      <c r="GZ13" s="57">
        <f t="shared" ca="1" si="41"/>
        <v>0</v>
      </c>
      <c r="HA13" s="57">
        <f t="shared" ca="1" si="41"/>
        <v>0</v>
      </c>
      <c r="HB13" s="57">
        <f t="shared" ca="1" si="41"/>
        <v>0</v>
      </c>
      <c r="HC13" s="57">
        <f t="shared" ca="1" si="41"/>
        <v>0</v>
      </c>
      <c r="HD13" s="57">
        <f t="shared" ca="1" si="41"/>
        <v>0</v>
      </c>
      <c r="HE13" s="57">
        <f t="shared" ca="1" si="41"/>
        <v>0</v>
      </c>
      <c r="HF13" s="57">
        <f t="shared" si="41"/>
        <v>0</v>
      </c>
      <c r="HG13" s="57">
        <f t="shared" si="41"/>
        <v>0</v>
      </c>
      <c r="HH13" s="57">
        <f t="shared" si="41"/>
        <v>0</v>
      </c>
      <c r="HI13" s="57">
        <f t="shared" si="41"/>
        <v>0</v>
      </c>
      <c r="HJ13" s="57">
        <f t="shared" si="41"/>
        <v>0</v>
      </c>
      <c r="HK13" s="57">
        <f t="shared" si="41"/>
        <v>0</v>
      </c>
      <c r="HL13" s="57">
        <f t="shared" si="41"/>
        <v>0</v>
      </c>
      <c r="HM13" s="57">
        <f t="shared" si="41"/>
        <v>0</v>
      </c>
      <c r="HN13" s="57">
        <f t="shared" si="41"/>
        <v>0</v>
      </c>
      <c r="HO13" s="57">
        <f t="shared" si="41"/>
        <v>0</v>
      </c>
      <c r="HP13" s="57">
        <f t="shared" si="41"/>
        <v>0</v>
      </c>
      <c r="HQ13" s="57">
        <f t="shared" si="41"/>
        <v>0</v>
      </c>
      <c r="HR13" s="57">
        <f t="shared" si="41"/>
        <v>0</v>
      </c>
      <c r="HS13" s="57">
        <f t="shared" si="41"/>
        <v>0</v>
      </c>
      <c r="HT13" s="57">
        <f t="shared" si="41"/>
        <v>0</v>
      </c>
      <c r="HU13" s="57">
        <f t="shared" si="41"/>
        <v>0</v>
      </c>
      <c r="HV13" s="57">
        <f t="shared" si="41"/>
        <v>0</v>
      </c>
      <c r="HW13" s="57">
        <f t="shared" si="41"/>
        <v>0</v>
      </c>
      <c r="HX13" s="57">
        <f t="shared" si="41"/>
        <v>0</v>
      </c>
      <c r="HY13" s="57">
        <f t="shared" si="41"/>
        <v>0</v>
      </c>
      <c r="HZ13" s="57">
        <f t="shared" ref="HZ13:JE13" si="42">IF(HZ22=0,0,SUMPRODUCT($W$173:$W$364,$CY$173:$CY$364,$FP$173:$FP$364,$AH$173:$AH$364,HZ$173:HZ$364)*HZ25)</f>
        <v>0</v>
      </c>
      <c r="IA13" s="57">
        <f t="shared" si="42"/>
        <v>0</v>
      </c>
      <c r="IB13" s="57">
        <f t="shared" si="42"/>
        <v>0</v>
      </c>
      <c r="IC13" s="57">
        <f t="shared" si="42"/>
        <v>0</v>
      </c>
      <c r="ID13" s="57">
        <f t="shared" si="42"/>
        <v>0</v>
      </c>
      <c r="IE13" s="57">
        <f t="shared" si="42"/>
        <v>0</v>
      </c>
      <c r="IF13" s="57">
        <f t="shared" si="42"/>
        <v>0</v>
      </c>
      <c r="IG13" s="57">
        <f t="shared" si="42"/>
        <v>0</v>
      </c>
      <c r="IH13" s="57">
        <f t="shared" si="42"/>
        <v>0</v>
      </c>
      <c r="II13" s="57">
        <f t="shared" si="42"/>
        <v>0</v>
      </c>
      <c r="IJ13" s="57">
        <f t="shared" si="42"/>
        <v>0</v>
      </c>
      <c r="IK13" s="57">
        <f t="shared" si="42"/>
        <v>0</v>
      </c>
      <c r="IL13" s="57">
        <f t="shared" si="42"/>
        <v>0</v>
      </c>
      <c r="IM13" s="57">
        <f t="shared" si="42"/>
        <v>0</v>
      </c>
      <c r="IN13" s="57">
        <f t="shared" si="42"/>
        <v>0</v>
      </c>
      <c r="IO13" s="57">
        <f t="shared" si="42"/>
        <v>0</v>
      </c>
      <c r="IP13" s="57">
        <f t="shared" si="42"/>
        <v>0</v>
      </c>
      <c r="IQ13" s="57">
        <f t="shared" si="42"/>
        <v>0</v>
      </c>
      <c r="IR13" s="57">
        <f t="shared" si="42"/>
        <v>0</v>
      </c>
      <c r="IS13" s="57">
        <f t="shared" si="42"/>
        <v>0</v>
      </c>
      <c r="IT13" s="57">
        <f t="shared" si="42"/>
        <v>0</v>
      </c>
      <c r="IU13" s="57">
        <f t="shared" si="42"/>
        <v>0</v>
      </c>
      <c r="IV13" s="57">
        <f t="shared" si="42"/>
        <v>0</v>
      </c>
      <c r="IW13" s="57">
        <f t="shared" si="42"/>
        <v>0</v>
      </c>
      <c r="IX13" s="57">
        <f t="shared" si="42"/>
        <v>0</v>
      </c>
      <c r="IY13" s="57">
        <f t="shared" si="42"/>
        <v>0</v>
      </c>
      <c r="IZ13" s="57">
        <f t="shared" si="42"/>
        <v>0</v>
      </c>
      <c r="JA13" s="57">
        <f t="shared" si="42"/>
        <v>0</v>
      </c>
      <c r="JB13" s="57">
        <f t="shared" si="42"/>
        <v>0</v>
      </c>
      <c r="JC13" s="57">
        <f t="shared" si="42"/>
        <v>0</v>
      </c>
      <c r="JD13" s="57">
        <f t="shared" si="42"/>
        <v>0</v>
      </c>
      <c r="JE13" s="57">
        <f t="shared" si="42"/>
        <v>0</v>
      </c>
      <c r="JF13" s="57">
        <f t="shared" ref="JF13:KK13" si="43">IF(JF22=0,0,SUMPRODUCT($W$173:$W$364,$CY$173:$CY$364,$FP$173:$FP$364,$AH$173:$AH$364,JF$173:JF$364)*JF25)</f>
        <v>0</v>
      </c>
      <c r="JG13" s="57">
        <f t="shared" si="43"/>
        <v>0</v>
      </c>
      <c r="JH13" s="57">
        <f t="shared" si="43"/>
        <v>0</v>
      </c>
      <c r="JI13" s="57">
        <f t="shared" si="43"/>
        <v>0</v>
      </c>
      <c r="JJ13" s="57">
        <f t="shared" si="43"/>
        <v>0</v>
      </c>
      <c r="JK13" s="57">
        <f t="shared" si="43"/>
        <v>0</v>
      </c>
      <c r="JL13" s="57">
        <f t="shared" si="43"/>
        <v>0</v>
      </c>
      <c r="JM13" s="57">
        <f t="shared" si="43"/>
        <v>0</v>
      </c>
      <c r="JN13" s="57">
        <f t="shared" si="43"/>
        <v>0</v>
      </c>
      <c r="JO13" s="57">
        <f t="shared" si="43"/>
        <v>0</v>
      </c>
      <c r="JP13" s="57">
        <f t="shared" si="43"/>
        <v>0</v>
      </c>
      <c r="JQ13" s="57">
        <f t="shared" si="43"/>
        <v>0</v>
      </c>
      <c r="JR13" s="57">
        <f t="shared" si="43"/>
        <v>0</v>
      </c>
      <c r="JS13" s="57">
        <f t="shared" si="43"/>
        <v>0</v>
      </c>
      <c r="JT13" s="57">
        <f t="shared" si="43"/>
        <v>0</v>
      </c>
      <c r="JU13" s="57">
        <f t="shared" si="43"/>
        <v>0</v>
      </c>
      <c r="JV13" s="57">
        <f t="shared" si="43"/>
        <v>0</v>
      </c>
      <c r="JW13" s="57">
        <f t="shared" si="43"/>
        <v>0</v>
      </c>
      <c r="JX13" s="57">
        <f t="shared" si="43"/>
        <v>0</v>
      </c>
      <c r="JY13" s="57">
        <f t="shared" si="43"/>
        <v>0</v>
      </c>
      <c r="JZ13" s="57">
        <f t="shared" si="43"/>
        <v>0</v>
      </c>
      <c r="KA13" s="57">
        <f t="shared" si="43"/>
        <v>0</v>
      </c>
      <c r="KB13" s="57">
        <f t="shared" si="43"/>
        <v>0</v>
      </c>
      <c r="KC13" s="57">
        <f t="shared" si="43"/>
        <v>0</v>
      </c>
      <c r="KD13" s="57">
        <f t="shared" si="43"/>
        <v>0</v>
      </c>
      <c r="KE13" s="57">
        <f t="shared" si="43"/>
        <v>0</v>
      </c>
      <c r="KF13" s="57">
        <f t="shared" si="43"/>
        <v>0</v>
      </c>
      <c r="KG13" s="57">
        <f t="shared" si="43"/>
        <v>0</v>
      </c>
      <c r="KH13" s="57">
        <f t="shared" si="43"/>
        <v>0</v>
      </c>
      <c r="KI13" s="57">
        <f t="shared" si="43"/>
        <v>0</v>
      </c>
      <c r="KJ13" s="57">
        <f t="shared" si="43"/>
        <v>0</v>
      </c>
      <c r="KK13" s="57">
        <f t="shared" si="43"/>
        <v>0</v>
      </c>
      <c r="KL13" s="57">
        <f t="shared" ref="KL13:LP13" si="44">IF(KL22=0,0,SUMPRODUCT($W$173:$W$364,$CY$173:$CY$364,$FP$173:$FP$364,$AH$173:$AH$364,KL$173:KL$364)*KL25)</f>
        <v>0</v>
      </c>
      <c r="KM13" s="57">
        <f t="shared" si="44"/>
        <v>0</v>
      </c>
      <c r="KN13" s="57">
        <f t="shared" si="44"/>
        <v>0</v>
      </c>
      <c r="KO13" s="57">
        <f t="shared" si="44"/>
        <v>0</v>
      </c>
      <c r="KP13" s="57">
        <f t="shared" si="44"/>
        <v>0</v>
      </c>
      <c r="KQ13" s="57">
        <f t="shared" si="44"/>
        <v>0</v>
      </c>
      <c r="KR13" s="57">
        <f t="shared" si="44"/>
        <v>0</v>
      </c>
      <c r="KS13" s="57">
        <f t="shared" si="44"/>
        <v>0</v>
      </c>
      <c r="KT13" s="57">
        <f t="shared" si="44"/>
        <v>0</v>
      </c>
      <c r="KU13" s="57">
        <f t="shared" si="44"/>
        <v>0</v>
      </c>
      <c r="KV13" s="57">
        <f t="shared" si="44"/>
        <v>0</v>
      </c>
      <c r="KW13" s="57">
        <f t="shared" si="44"/>
        <v>0</v>
      </c>
      <c r="KX13" s="57">
        <f t="shared" si="44"/>
        <v>0</v>
      </c>
      <c r="KY13" s="57">
        <f t="shared" si="44"/>
        <v>0</v>
      </c>
      <c r="KZ13" s="57">
        <f t="shared" si="44"/>
        <v>0</v>
      </c>
      <c r="LA13" s="57">
        <f t="shared" si="44"/>
        <v>0</v>
      </c>
      <c r="LB13" s="57">
        <f t="shared" si="44"/>
        <v>0</v>
      </c>
      <c r="LC13" s="57">
        <f t="shared" si="44"/>
        <v>0</v>
      </c>
      <c r="LD13" s="57">
        <f t="shared" si="44"/>
        <v>0</v>
      </c>
      <c r="LE13" s="57">
        <f t="shared" si="44"/>
        <v>0</v>
      </c>
      <c r="LF13" s="57">
        <f t="shared" si="44"/>
        <v>0</v>
      </c>
      <c r="LG13" s="57">
        <f t="shared" si="44"/>
        <v>0</v>
      </c>
      <c r="LH13" s="57">
        <f t="shared" si="44"/>
        <v>0</v>
      </c>
      <c r="LI13" s="57">
        <f t="shared" si="44"/>
        <v>0</v>
      </c>
      <c r="LJ13" s="57">
        <f t="shared" si="44"/>
        <v>0</v>
      </c>
      <c r="LK13" s="57">
        <f t="shared" si="44"/>
        <v>0</v>
      </c>
      <c r="LL13" s="57">
        <f t="shared" si="44"/>
        <v>0</v>
      </c>
      <c r="LM13" s="57">
        <f t="shared" si="44"/>
        <v>0</v>
      </c>
      <c r="LN13" s="57">
        <f t="shared" si="44"/>
        <v>0</v>
      </c>
      <c r="LO13" s="57">
        <f t="shared" si="44"/>
        <v>0</v>
      </c>
      <c r="LP13" s="57">
        <f t="shared" si="44"/>
        <v>0</v>
      </c>
    </row>
    <row r="14" spans="1:328" ht="15" hidden="1" customHeight="1" x14ac:dyDescent="0.3">
      <c r="A14" s="285"/>
      <c r="B14" s="285"/>
      <c r="C14" s="76" t="b">
        <f>(T170&gt;0)</f>
        <v>1</v>
      </c>
      <c r="D14" s="285"/>
      <c r="E14" s="306" t="s">
        <v>2142</v>
      </c>
      <c r="F14" s="285"/>
      <c r="G14" s="285"/>
      <c r="H14" s="285"/>
      <c r="I14" s="285"/>
      <c r="J14" s="12">
        <f>'5  Control Accounts'!$BJ$26</f>
        <v>6</v>
      </c>
      <c r="K14" s="306"/>
      <c r="L14" s="446" t="s">
        <v>2228</v>
      </c>
      <c r="M14" s="287"/>
      <c r="N14" s="287"/>
      <c r="O14" s="287"/>
      <c r="P14" s="287"/>
      <c r="Q14" s="287"/>
      <c r="R14" s="287"/>
      <c r="S14" s="285"/>
      <c r="T14" s="285"/>
      <c r="U14" s="285"/>
      <c r="V14" s="285"/>
      <c r="W14" s="285"/>
      <c r="X14" s="285"/>
      <c r="Y14" s="285"/>
      <c r="Z14" s="285"/>
      <c r="AA14" s="285"/>
      <c r="AB14" s="285"/>
      <c r="AC14" s="285"/>
      <c r="AD14" s="285"/>
      <c r="AE14" s="285"/>
      <c r="AF14" s="285"/>
      <c r="AG14" s="285"/>
      <c r="AH14" s="2513"/>
      <c r="AI14" s="285"/>
      <c r="AJ14" s="285"/>
      <c r="AK14" s="285"/>
      <c r="AL14" s="285"/>
      <c r="AM14" s="285"/>
      <c r="AN14" s="285"/>
      <c r="AO14" s="285"/>
      <c r="AP14" s="285"/>
      <c r="AQ14" s="285"/>
      <c r="AR14" s="285"/>
      <c r="AS14" s="285"/>
      <c r="AT14" s="285"/>
      <c r="AU14" s="285"/>
      <c r="AV14" s="285"/>
      <c r="AW14" s="285"/>
      <c r="AX14" s="285"/>
      <c r="AY14" s="285"/>
      <c r="AZ14" s="285"/>
      <c r="BA14" s="285"/>
      <c r="BB14" s="285"/>
      <c r="BC14" s="285"/>
      <c r="BD14" s="285"/>
      <c r="BE14" s="285"/>
      <c r="BF14" s="285"/>
      <c r="BG14" s="285"/>
      <c r="BH14" s="285"/>
      <c r="BI14" s="285"/>
      <c r="BJ14" s="285"/>
      <c r="BK14" s="285"/>
      <c r="BL14" s="285"/>
      <c r="BM14" s="285"/>
      <c r="BN14" s="285"/>
      <c r="BO14" s="285"/>
      <c r="BP14" s="285"/>
      <c r="BQ14" s="285"/>
      <c r="BR14" s="285"/>
      <c r="BS14" s="285"/>
      <c r="BT14" s="285"/>
      <c r="BU14" s="285"/>
      <c r="BV14" s="285"/>
      <c r="BW14" s="285"/>
      <c r="BX14" s="285"/>
      <c r="BY14" s="285"/>
      <c r="BZ14" s="285"/>
      <c r="CA14" s="285"/>
      <c r="CB14" s="285"/>
      <c r="CC14" s="285"/>
      <c r="CD14" s="285"/>
      <c r="CE14" s="285"/>
      <c r="CF14" s="285"/>
      <c r="CG14" s="285"/>
      <c r="CH14" s="285"/>
      <c r="CI14" s="285"/>
      <c r="CJ14" s="285"/>
      <c r="CK14" s="285"/>
      <c r="CL14" s="285"/>
      <c r="CM14" s="285"/>
      <c r="CN14" s="285"/>
      <c r="CO14" s="285"/>
      <c r="CP14" s="285"/>
      <c r="CQ14" s="285"/>
      <c r="CR14" s="285"/>
      <c r="CS14" s="285"/>
      <c r="CT14" s="285"/>
      <c r="CU14" s="285"/>
      <c r="CV14" s="285"/>
      <c r="CW14" s="285"/>
      <c r="CX14" s="285"/>
      <c r="CY14" s="285"/>
      <c r="CZ14" s="290"/>
      <c r="DA14" s="290"/>
      <c r="DB14" s="285"/>
      <c r="DC14" s="285"/>
      <c r="DD14" s="285"/>
      <c r="DE14" s="285"/>
      <c r="DF14" s="285"/>
      <c r="DG14" s="945"/>
      <c r="DH14" s="1888"/>
      <c r="DI14" s="285"/>
      <c r="DJ14" s="1891"/>
      <c r="DK14" s="1891"/>
      <c r="DL14" s="1891"/>
      <c r="DM14" s="1891"/>
      <c r="DN14" s="1891"/>
      <c r="DO14" s="1891"/>
      <c r="DP14" s="1891"/>
      <c r="DQ14" s="1891"/>
      <c r="DR14" s="1891"/>
      <c r="DS14" s="1891"/>
      <c r="DT14" s="1891"/>
      <c r="DU14" s="1891"/>
      <c r="DV14" s="1891"/>
      <c r="DW14" s="1891"/>
      <c r="DX14" s="1891"/>
      <c r="DY14" s="1891"/>
      <c r="DZ14" s="1891"/>
      <c r="EA14" s="1891"/>
      <c r="EB14" s="1891"/>
      <c r="EC14" s="1891"/>
      <c r="ED14" s="1891"/>
      <c r="EE14" s="1891"/>
      <c r="EF14" s="1891"/>
      <c r="EG14" s="1891"/>
      <c r="EH14" s="1891"/>
      <c r="EI14" s="1891"/>
      <c r="EJ14" s="1891"/>
      <c r="EK14" s="1891"/>
      <c r="EL14" s="1891"/>
      <c r="EM14" s="1891"/>
      <c r="EN14" s="1891"/>
      <c r="EO14" s="1891"/>
      <c r="EP14" s="1891"/>
      <c r="EQ14" s="1891"/>
      <c r="ER14" s="1891"/>
      <c r="ES14" s="1891"/>
      <c r="ET14" s="1891"/>
      <c r="EU14" s="1891"/>
      <c r="EV14" s="1891"/>
      <c r="EW14" s="1891"/>
      <c r="EX14" s="1891"/>
      <c r="EY14" s="1891"/>
      <c r="EZ14" s="1891"/>
      <c r="FA14" s="1891"/>
      <c r="FB14" s="1891"/>
      <c r="FC14" s="1891"/>
      <c r="FD14" s="1891"/>
      <c r="FE14" s="1891"/>
      <c r="FF14" s="1891"/>
      <c r="FG14" s="1891"/>
      <c r="FH14" s="604"/>
      <c r="FI14" s="285"/>
      <c r="FJ14" s="307"/>
      <c r="FK14" s="307"/>
      <c r="FL14" s="285"/>
      <c r="FM14" s="285"/>
      <c r="FN14" s="285"/>
      <c r="FO14" s="285"/>
      <c r="FP14" s="285"/>
      <c r="FQ14" s="285"/>
      <c r="FR14" s="285"/>
      <c r="FS14" s="285"/>
      <c r="FT14" s="285"/>
      <c r="FU14" s="285"/>
      <c r="FV14" s="285"/>
      <c r="FW14" s="285"/>
      <c r="FX14" s="285"/>
      <c r="FY14" s="285"/>
      <c r="FZ14" s="285"/>
      <c r="GA14" s="285"/>
      <c r="GB14" s="285"/>
      <c r="GC14" s="285"/>
      <c r="GD14" s="285"/>
      <c r="GE14" s="285"/>
      <c r="GF14" s="285"/>
      <c r="GG14" s="285"/>
      <c r="GH14" s="285"/>
      <c r="GI14" s="285"/>
      <c r="GJ14" s="285"/>
      <c r="GK14" s="285"/>
      <c r="GL14" s="285"/>
      <c r="GM14" s="285"/>
      <c r="GN14" s="285"/>
      <c r="GO14" s="285"/>
      <c r="GP14" s="285"/>
      <c r="GQ14" s="285"/>
      <c r="GR14" s="285"/>
      <c r="GS14" s="285"/>
      <c r="GT14" s="2264">
        <v>2</v>
      </c>
      <c r="GU14" s="2264">
        <v>3</v>
      </c>
      <c r="GV14" s="2264">
        <v>4</v>
      </c>
      <c r="GW14" s="2264">
        <v>5</v>
      </c>
      <c r="GX14" s="2264">
        <v>6</v>
      </c>
      <c r="GY14" s="2264">
        <v>7</v>
      </c>
      <c r="GZ14" s="2264">
        <v>8</v>
      </c>
      <c r="HA14" s="2264">
        <v>9</v>
      </c>
      <c r="HB14" s="2264">
        <v>10</v>
      </c>
      <c r="HC14" s="285"/>
      <c r="HD14" s="285"/>
      <c r="HE14" s="285"/>
      <c r="HF14" s="285"/>
      <c r="HG14" s="285"/>
      <c r="HH14" s="285"/>
      <c r="HI14" s="285"/>
      <c r="HJ14" s="285"/>
      <c r="HK14" s="285"/>
      <c r="HL14" s="285"/>
      <c r="HM14" s="285"/>
      <c r="HN14" s="2264">
        <v>2</v>
      </c>
      <c r="HO14" s="2264">
        <v>3</v>
      </c>
      <c r="HP14" s="2264">
        <v>4</v>
      </c>
      <c r="HQ14" s="2264">
        <v>5</v>
      </c>
      <c r="HR14" s="2264">
        <v>6</v>
      </c>
      <c r="HS14" s="2264">
        <v>7</v>
      </c>
      <c r="HT14" s="2264">
        <v>8</v>
      </c>
      <c r="HU14" s="2264">
        <v>9</v>
      </c>
      <c r="HV14" s="2264">
        <v>10</v>
      </c>
      <c r="HW14" s="285"/>
      <c r="HX14" s="285"/>
      <c r="HY14" s="285"/>
      <c r="HZ14" s="285"/>
      <c r="IA14" s="285"/>
      <c r="IB14" s="285"/>
      <c r="IC14" s="285"/>
      <c r="ID14" s="285"/>
      <c r="IE14" s="285"/>
      <c r="IF14" s="285"/>
      <c r="IG14" s="285"/>
      <c r="IH14" s="285"/>
      <c r="II14" s="285"/>
      <c r="IJ14" s="285"/>
      <c r="IK14" s="285"/>
      <c r="IL14" s="285"/>
      <c r="IM14" s="285"/>
      <c r="IN14" s="285"/>
      <c r="IO14" s="285"/>
      <c r="IP14" s="285"/>
      <c r="IQ14" s="285"/>
      <c r="IR14" s="285"/>
      <c r="IS14" s="285"/>
      <c r="IT14" s="285"/>
      <c r="IU14" s="285"/>
      <c r="IV14" s="285"/>
      <c r="IW14" s="285"/>
      <c r="IX14" s="285"/>
      <c r="IY14" s="285"/>
      <c r="IZ14" s="285"/>
      <c r="JA14" s="285"/>
      <c r="JB14" s="285"/>
      <c r="JC14" s="285"/>
      <c r="JD14" s="285"/>
      <c r="JE14" s="285"/>
      <c r="JF14" s="285"/>
      <c r="JG14" s="285"/>
      <c r="JH14" s="285"/>
      <c r="JI14" s="285"/>
      <c r="JJ14" s="285"/>
      <c r="JK14" s="285"/>
      <c r="JL14" s="285"/>
      <c r="JM14" s="285"/>
      <c r="JN14" s="285"/>
      <c r="JO14" s="285"/>
      <c r="JP14" s="285"/>
      <c r="JQ14" s="285"/>
      <c r="JR14" s="285"/>
      <c r="JS14" s="285"/>
      <c r="JT14" s="285"/>
      <c r="JU14" s="285"/>
      <c r="JV14" s="285"/>
      <c r="JW14" s="285"/>
      <c r="JX14" s="285"/>
      <c r="JY14" s="285"/>
      <c r="JZ14" s="285"/>
      <c r="KA14" s="285"/>
      <c r="KB14" s="285"/>
      <c r="KC14" s="285"/>
      <c r="KD14" s="285"/>
      <c r="KE14" s="285"/>
      <c r="KF14" s="285"/>
      <c r="KG14" s="285"/>
      <c r="KH14" s="285"/>
      <c r="KI14" s="285"/>
      <c r="KJ14" s="285"/>
      <c r="KK14" s="285"/>
      <c r="KL14" s="285"/>
      <c r="KM14" s="285"/>
      <c r="KN14" s="285"/>
      <c r="KO14" s="285"/>
      <c r="KP14" s="285"/>
      <c r="KQ14" s="285"/>
      <c r="KR14" s="285"/>
      <c r="KS14" s="285"/>
      <c r="KT14" s="285"/>
      <c r="KU14" s="285"/>
      <c r="KV14" s="285"/>
      <c r="KW14" s="285"/>
      <c r="KX14" s="285"/>
      <c r="KY14" s="285"/>
      <c r="KZ14" s="285"/>
      <c r="LA14" s="285"/>
      <c r="LB14" s="285"/>
      <c r="LC14" s="285"/>
      <c r="LD14" s="285"/>
      <c r="LE14" s="285"/>
      <c r="LF14" s="285"/>
      <c r="LG14" s="285"/>
      <c r="LH14" s="285"/>
      <c r="LI14" s="285"/>
      <c r="LJ14" s="285"/>
      <c r="LK14" s="285"/>
      <c r="LL14" s="285"/>
      <c r="LM14" s="285"/>
      <c r="LN14" s="285"/>
      <c r="LO14" s="285"/>
      <c r="LP14" s="285"/>
    </row>
    <row r="15" spans="1:328" ht="15" hidden="1" customHeight="1" x14ac:dyDescent="0.3">
      <c r="A15" s="285"/>
      <c r="B15" s="285"/>
      <c r="C15" s="285"/>
      <c r="D15" s="285"/>
      <c r="E15" s="285"/>
      <c r="F15" s="285"/>
      <c r="G15" s="285"/>
      <c r="H15" s="285"/>
      <c r="I15" s="285"/>
      <c r="J15" s="285"/>
      <c r="K15" s="306"/>
      <c r="L15" s="287"/>
      <c r="M15" s="287"/>
      <c r="N15" s="287"/>
      <c r="O15" s="287"/>
      <c r="P15" s="287"/>
      <c r="Q15" s="287"/>
      <c r="R15" s="287"/>
      <c r="S15" s="285"/>
      <c r="T15" s="285"/>
      <c r="U15" s="285"/>
      <c r="V15" s="285"/>
      <c r="W15" s="285"/>
      <c r="X15" s="285"/>
      <c r="Y15" s="285"/>
      <c r="Z15" s="285"/>
      <c r="AA15" s="285"/>
      <c r="AB15" s="285"/>
      <c r="AC15" s="285"/>
      <c r="AD15" s="285"/>
      <c r="AE15" s="285"/>
      <c r="AF15" s="285"/>
      <c r="AG15" s="285"/>
      <c r="AH15" s="2513"/>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90"/>
      <c r="DA15" s="290"/>
      <c r="DB15" s="285"/>
      <c r="DC15" s="285"/>
      <c r="DD15" s="285"/>
      <c r="DE15" s="285"/>
      <c r="DF15" s="285"/>
      <c r="DG15" s="945"/>
      <c r="DH15" s="442" t="s">
        <v>2188</v>
      </c>
      <c r="DI15" s="285"/>
      <c r="DJ15" s="76">
        <f t="shared" ref="DJ15:EO15" si="45">IF(DJ$169=0,0,SUMPRODUCT($AN$173:$AN$365,DJ$173:DJ$365,$AH$173:$AH$365,$CY$173:$CY$365))</f>
        <v>0</v>
      </c>
      <c r="DK15" s="753">
        <f t="shared" si="45"/>
        <v>64</v>
      </c>
      <c r="DL15" s="753">
        <f t="shared" si="45"/>
        <v>39</v>
      </c>
      <c r="DM15" s="753">
        <f t="shared" si="45"/>
        <v>0</v>
      </c>
      <c r="DN15" s="753">
        <f t="shared" si="45"/>
        <v>6</v>
      </c>
      <c r="DO15" s="753">
        <f t="shared" si="45"/>
        <v>0</v>
      </c>
      <c r="DP15" s="753">
        <f t="shared" si="45"/>
        <v>6</v>
      </c>
      <c r="DQ15" s="753">
        <f t="shared" si="45"/>
        <v>384</v>
      </c>
      <c r="DR15" s="753">
        <f t="shared" si="45"/>
        <v>384</v>
      </c>
      <c r="DS15" s="753">
        <f t="shared" si="45"/>
        <v>480</v>
      </c>
      <c r="DT15" s="753">
        <f t="shared" si="45"/>
        <v>0</v>
      </c>
      <c r="DU15" s="753">
        <f t="shared" si="45"/>
        <v>0</v>
      </c>
      <c r="DV15" s="753">
        <f t="shared" si="45"/>
        <v>0</v>
      </c>
      <c r="DW15" s="753">
        <f t="shared" si="45"/>
        <v>0</v>
      </c>
      <c r="DX15" s="753">
        <f t="shared" si="45"/>
        <v>0</v>
      </c>
      <c r="DY15" s="753">
        <f t="shared" si="45"/>
        <v>0</v>
      </c>
      <c r="DZ15" s="753">
        <f t="shared" si="45"/>
        <v>0</v>
      </c>
      <c r="EA15" s="753">
        <f t="shared" si="45"/>
        <v>0</v>
      </c>
      <c r="EB15" s="753">
        <f t="shared" si="45"/>
        <v>0</v>
      </c>
      <c r="EC15" s="753">
        <f t="shared" si="45"/>
        <v>0</v>
      </c>
      <c r="ED15" s="753">
        <f t="shared" si="45"/>
        <v>0</v>
      </c>
      <c r="EE15" s="753">
        <f t="shared" si="45"/>
        <v>0</v>
      </c>
      <c r="EF15" s="753">
        <f t="shared" si="45"/>
        <v>0</v>
      </c>
      <c r="EG15" s="753">
        <f t="shared" si="45"/>
        <v>0</v>
      </c>
      <c r="EH15" s="753">
        <f t="shared" si="45"/>
        <v>0</v>
      </c>
      <c r="EI15" s="753">
        <f t="shared" si="45"/>
        <v>0</v>
      </c>
      <c r="EJ15" s="753">
        <f t="shared" si="45"/>
        <v>0</v>
      </c>
      <c r="EK15" s="753">
        <f t="shared" si="45"/>
        <v>0</v>
      </c>
      <c r="EL15" s="753">
        <f t="shared" si="45"/>
        <v>0</v>
      </c>
      <c r="EM15" s="753">
        <f t="shared" si="45"/>
        <v>0</v>
      </c>
      <c r="EN15" s="753">
        <f t="shared" si="45"/>
        <v>0</v>
      </c>
      <c r="EO15" s="753">
        <f t="shared" si="45"/>
        <v>0</v>
      </c>
      <c r="EP15" s="753">
        <f t="shared" ref="EP15:FG15" si="46">IF(EP$169=0,0,SUMPRODUCT($AN$173:$AN$365,EP$173:EP$365,$AH$173:$AH$365,$CY$173:$CY$365))</f>
        <v>0</v>
      </c>
      <c r="EQ15" s="753">
        <f t="shared" si="46"/>
        <v>0</v>
      </c>
      <c r="ER15" s="753">
        <f t="shared" si="46"/>
        <v>0</v>
      </c>
      <c r="ES15" s="753">
        <f t="shared" si="46"/>
        <v>0</v>
      </c>
      <c r="ET15" s="753">
        <f t="shared" si="46"/>
        <v>0</v>
      </c>
      <c r="EU15" s="753">
        <f t="shared" si="46"/>
        <v>0</v>
      </c>
      <c r="EV15" s="753">
        <f t="shared" si="46"/>
        <v>0</v>
      </c>
      <c r="EW15" s="753">
        <f t="shared" si="46"/>
        <v>0</v>
      </c>
      <c r="EX15" s="753">
        <f t="shared" si="46"/>
        <v>0</v>
      </c>
      <c r="EY15" s="753">
        <f t="shared" si="46"/>
        <v>0</v>
      </c>
      <c r="EZ15" s="753">
        <f t="shared" si="46"/>
        <v>0</v>
      </c>
      <c r="FA15" s="753">
        <f t="shared" si="46"/>
        <v>0</v>
      </c>
      <c r="FB15" s="753">
        <f t="shared" si="46"/>
        <v>0</v>
      </c>
      <c r="FC15" s="753">
        <f t="shared" si="46"/>
        <v>0</v>
      </c>
      <c r="FD15" s="753">
        <f t="shared" si="46"/>
        <v>0</v>
      </c>
      <c r="FE15" s="753">
        <f t="shared" si="46"/>
        <v>0</v>
      </c>
      <c r="FF15" s="753">
        <f t="shared" si="46"/>
        <v>0</v>
      </c>
      <c r="FG15" s="753">
        <f t="shared" si="46"/>
        <v>0</v>
      </c>
      <c r="FH15" s="604"/>
      <c r="FI15" s="285"/>
      <c r="FJ15" s="307"/>
      <c r="FK15" s="307"/>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412"/>
      <c r="GS15" s="308" t="s">
        <v>4066</v>
      </c>
      <c r="GT15" s="1006">
        <f>CHOOSE('2 Staff List'!$LQ$3,'2 Staff List'!KT60,0,'2 Staff List'!LP60)</f>
        <v>0</v>
      </c>
      <c r="GU15" s="1006">
        <f>CHOOSE('2 Staff List'!$LQ$3,'2 Staff List'!KU60,0,'2 Staff List'!LQ60)</f>
        <v>0</v>
      </c>
      <c r="GV15" s="1006">
        <f>CHOOSE('2 Staff List'!$LQ$3,'2 Staff List'!KV60,0,'2 Staff List'!LR60)</f>
        <v>0</v>
      </c>
      <c r="GW15" s="1006">
        <f>CHOOSE('2 Staff List'!$LQ$3,'2 Staff List'!KW60,0,'2 Staff List'!LS60)</f>
        <v>0</v>
      </c>
      <c r="GX15" s="1006">
        <f>CHOOSE('2 Staff List'!$LQ$3,'2 Staff List'!KX60,0,'2 Staff List'!LT60)</f>
        <v>0</v>
      </c>
      <c r="GY15" s="1006">
        <f>CHOOSE('2 Staff List'!$LQ$3,'2 Staff List'!KY60,0,'2 Staff List'!LU60)</f>
        <v>0</v>
      </c>
      <c r="GZ15" s="1006">
        <f>CHOOSE('2 Staff List'!$LQ$3,'2 Staff List'!KZ60,0,'2 Staff List'!LV60)</f>
        <v>0</v>
      </c>
      <c r="HA15" s="1006">
        <f>CHOOSE('2 Staff List'!$LQ$3,'2 Staff List'!LA60,0,'2 Staff List'!LW60)</f>
        <v>0</v>
      </c>
      <c r="HB15" s="1006">
        <f>CHOOSE('2 Staff List'!$LQ$3,'2 Staff List'!LB60,0,'2 Staff List'!LX60)</f>
        <v>0</v>
      </c>
      <c r="HC15" s="285"/>
      <c r="HD15" s="285"/>
      <c r="HE15" s="285"/>
      <c r="HF15" s="285"/>
      <c r="HG15" s="285"/>
      <c r="HH15" s="285"/>
      <c r="HI15" s="285"/>
      <c r="HJ15" s="285"/>
      <c r="HK15" s="285"/>
      <c r="HL15" s="285"/>
      <c r="HM15" s="308" t="s">
        <v>4070</v>
      </c>
      <c r="HN15" s="1006">
        <f>'2 Staff List'!KT60</f>
        <v>0</v>
      </c>
      <c r="HO15" s="1006">
        <f>'2 Staff List'!KU60</f>
        <v>0</v>
      </c>
      <c r="HP15" s="1006">
        <f>'2 Staff List'!KV60</f>
        <v>0</v>
      </c>
      <c r="HQ15" s="1006">
        <f>'2 Staff List'!KW60</f>
        <v>0</v>
      </c>
      <c r="HR15" s="1006">
        <f>'2 Staff List'!KX60</f>
        <v>0</v>
      </c>
      <c r="HS15" s="1006">
        <f>'2 Staff List'!KY60</f>
        <v>0</v>
      </c>
      <c r="HT15" s="1006">
        <f>'2 Staff List'!KZ60</f>
        <v>0</v>
      </c>
      <c r="HU15" s="1006">
        <f>'2 Staff List'!LA60</f>
        <v>0</v>
      </c>
      <c r="HV15" s="1006">
        <f>'2 Staff List'!LB60</f>
        <v>0</v>
      </c>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row>
    <row r="16" spans="1:328" ht="15" hidden="1" customHeight="1" x14ac:dyDescent="0.3">
      <c r="A16" s="285"/>
      <c r="B16" s="285"/>
      <c r="C16" s="285"/>
      <c r="D16" s="285"/>
      <c r="E16" s="306"/>
      <c r="F16" s="285"/>
      <c r="G16" s="285"/>
      <c r="H16" s="285"/>
      <c r="I16" s="285"/>
      <c r="J16" s="285"/>
      <c r="K16" s="306"/>
      <c r="L16" s="287"/>
      <c r="M16" s="287"/>
      <c r="N16" s="287"/>
      <c r="O16" s="287"/>
      <c r="P16" s="287"/>
      <c r="Q16" s="287"/>
      <c r="R16" s="287"/>
      <c r="S16" s="285"/>
      <c r="T16" s="285"/>
      <c r="U16" s="285"/>
      <c r="V16" s="285"/>
      <c r="W16" s="285"/>
      <c r="X16" s="285"/>
      <c r="Y16" s="285"/>
      <c r="Z16" s="285"/>
      <c r="AA16" s="285"/>
      <c r="AB16" s="285"/>
      <c r="AC16" s="285"/>
      <c r="AD16" s="285"/>
      <c r="AE16" s="285"/>
      <c r="AF16" s="285"/>
      <c r="AG16" s="285"/>
      <c r="AH16" s="2513"/>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90"/>
      <c r="DA16" s="290"/>
      <c r="DB16" s="285"/>
      <c r="DC16" s="285"/>
      <c r="DD16" s="285"/>
      <c r="DE16" s="285"/>
      <c r="DF16" s="285"/>
      <c r="DG16" s="945"/>
      <c r="DH16" s="1888" t="s">
        <v>2124</v>
      </c>
      <c r="DI16" s="285"/>
      <c r="DJ16" s="1889">
        <f t="shared" ref="DJ16:EO16" si="47">IF(DJ$169=0,0,SUMPRODUCT($AN$173:$AN$365,DJ$173:DJ$365,$AH$173:$AH$365,$CO$173:$CO$365))</f>
        <v>0</v>
      </c>
      <c r="DK16" s="1892">
        <f t="shared" si="47"/>
        <v>64</v>
      </c>
      <c r="DL16" s="1892">
        <f t="shared" si="47"/>
        <v>39</v>
      </c>
      <c r="DM16" s="1892">
        <f t="shared" si="47"/>
        <v>0</v>
      </c>
      <c r="DN16" s="1892">
        <f t="shared" si="47"/>
        <v>6</v>
      </c>
      <c r="DO16" s="1892">
        <f t="shared" si="47"/>
        <v>0</v>
      </c>
      <c r="DP16" s="1892">
        <f t="shared" si="47"/>
        <v>6</v>
      </c>
      <c r="DQ16" s="1892">
        <f t="shared" si="47"/>
        <v>384</v>
      </c>
      <c r="DR16" s="1892">
        <f t="shared" si="47"/>
        <v>384</v>
      </c>
      <c r="DS16" s="1892">
        <f t="shared" si="47"/>
        <v>480</v>
      </c>
      <c r="DT16" s="1892">
        <f t="shared" si="47"/>
        <v>0</v>
      </c>
      <c r="DU16" s="1892">
        <f t="shared" si="47"/>
        <v>0</v>
      </c>
      <c r="DV16" s="1892">
        <f t="shared" si="47"/>
        <v>0</v>
      </c>
      <c r="DW16" s="1892">
        <f t="shared" si="47"/>
        <v>0</v>
      </c>
      <c r="DX16" s="1892">
        <f t="shared" si="47"/>
        <v>0</v>
      </c>
      <c r="DY16" s="1892">
        <f t="shared" si="47"/>
        <v>0</v>
      </c>
      <c r="DZ16" s="1892">
        <f t="shared" si="47"/>
        <v>0</v>
      </c>
      <c r="EA16" s="1892">
        <f t="shared" si="47"/>
        <v>0</v>
      </c>
      <c r="EB16" s="1892">
        <f t="shared" si="47"/>
        <v>0</v>
      </c>
      <c r="EC16" s="1892">
        <f t="shared" si="47"/>
        <v>0</v>
      </c>
      <c r="ED16" s="1892">
        <f t="shared" si="47"/>
        <v>0</v>
      </c>
      <c r="EE16" s="1892">
        <f t="shared" si="47"/>
        <v>0</v>
      </c>
      <c r="EF16" s="1892">
        <f t="shared" si="47"/>
        <v>0</v>
      </c>
      <c r="EG16" s="1892">
        <f t="shared" si="47"/>
        <v>0</v>
      </c>
      <c r="EH16" s="1892">
        <f t="shared" si="47"/>
        <v>0</v>
      </c>
      <c r="EI16" s="1892">
        <f t="shared" si="47"/>
        <v>0</v>
      </c>
      <c r="EJ16" s="1892">
        <f t="shared" si="47"/>
        <v>0</v>
      </c>
      <c r="EK16" s="1892">
        <f t="shared" si="47"/>
        <v>0</v>
      </c>
      <c r="EL16" s="1892">
        <f t="shared" si="47"/>
        <v>0</v>
      </c>
      <c r="EM16" s="1892">
        <f t="shared" si="47"/>
        <v>0</v>
      </c>
      <c r="EN16" s="1892">
        <f t="shared" si="47"/>
        <v>0</v>
      </c>
      <c r="EO16" s="1892">
        <f t="shared" si="47"/>
        <v>0</v>
      </c>
      <c r="EP16" s="1892">
        <f t="shared" ref="EP16:FG16" si="48">IF(EP$169=0,0,SUMPRODUCT($AN$173:$AN$365,EP$173:EP$365,$AH$173:$AH$365,$CO$173:$CO$365))</f>
        <v>0</v>
      </c>
      <c r="EQ16" s="1892">
        <f t="shared" si="48"/>
        <v>0</v>
      </c>
      <c r="ER16" s="1892">
        <f t="shared" si="48"/>
        <v>0</v>
      </c>
      <c r="ES16" s="1892">
        <f t="shared" si="48"/>
        <v>0</v>
      </c>
      <c r="ET16" s="1892">
        <f t="shared" si="48"/>
        <v>0</v>
      </c>
      <c r="EU16" s="1892">
        <f t="shared" si="48"/>
        <v>0</v>
      </c>
      <c r="EV16" s="1892">
        <f t="shared" si="48"/>
        <v>0</v>
      </c>
      <c r="EW16" s="1892">
        <f t="shared" si="48"/>
        <v>0</v>
      </c>
      <c r="EX16" s="1892">
        <f t="shared" si="48"/>
        <v>0</v>
      </c>
      <c r="EY16" s="1892">
        <f t="shared" si="48"/>
        <v>0</v>
      </c>
      <c r="EZ16" s="1892">
        <f t="shared" si="48"/>
        <v>0</v>
      </c>
      <c r="FA16" s="1892">
        <f t="shared" si="48"/>
        <v>0</v>
      </c>
      <c r="FB16" s="1892">
        <f t="shared" si="48"/>
        <v>0</v>
      </c>
      <c r="FC16" s="1892">
        <f t="shared" si="48"/>
        <v>0</v>
      </c>
      <c r="FD16" s="1892">
        <f t="shared" si="48"/>
        <v>0</v>
      </c>
      <c r="FE16" s="1892">
        <f t="shared" si="48"/>
        <v>0</v>
      </c>
      <c r="FF16" s="1892">
        <f t="shared" si="48"/>
        <v>0</v>
      </c>
      <c r="FG16" s="1892">
        <f t="shared" si="48"/>
        <v>0</v>
      </c>
      <c r="FH16" s="604"/>
      <c r="FI16" s="285"/>
      <c r="FJ16" s="307"/>
      <c r="FK16" s="307"/>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412"/>
      <c r="GS16" s="308" t="s">
        <v>4067</v>
      </c>
      <c r="GT16" s="3158">
        <f>GT15</f>
        <v>0</v>
      </c>
      <c r="GU16" s="3159">
        <f>((1+GT16)*(1+GU15))-1</f>
        <v>0</v>
      </c>
      <c r="GV16" s="3159">
        <f t="shared" ref="GV16:HB16" si="49">((1+GU16)*(1+GV15))-1</f>
        <v>0</v>
      </c>
      <c r="GW16" s="3159">
        <f t="shared" si="49"/>
        <v>0</v>
      </c>
      <c r="GX16" s="3159">
        <f t="shared" si="49"/>
        <v>0</v>
      </c>
      <c r="GY16" s="3159">
        <f t="shared" si="49"/>
        <v>0</v>
      </c>
      <c r="GZ16" s="3159">
        <f t="shared" si="49"/>
        <v>0</v>
      </c>
      <c r="HA16" s="3159">
        <f t="shared" si="49"/>
        <v>0</v>
      </c>
      <c r="HB16" s="3159">
        <f t="shared" si="49"/>
        <v>0</v>
      </c>
      <c r="HC16" s="285"/>
      <c r="HD16" s="285"/>
      <c r="HE16" s="285"/>
      <c r="HF16" s="285"/>
      <c r="HG16" s="285"/>
      <c r="HH16" s="285"/>
      <c r="HI16" s="285"/>
      <c r="HJ16" s="285"/>
      <c r="HK16" s="285"/>
      <c r="HL16" s="285"/>
      <c r="HM16" s="308" t="s">
        <v>4071</v>
      </c>
      <c r="HN16" s="3158">
        <f>HN15</f>
        <v>0</v>
      </c>
      <c r="HO16" s="3159">
        <f>((1+HN16)*(1+HO15))-1</f>
        <v>0</v>
      </c>
      <c r="HP16" s="3159">
        <f t="shared" ref="HP16:HV16" si="50">((1+HO16)*(1+HP15))-1</f>
        <v>0</v>
      </c>
      <c r="HQ16" s="3159">
        <f t="shared" si="50"/>
        <v>0</v>
      </c>
      <c r="HR16" s="3159">
        <f t="shared" si="50"/>
        <v>0</v>
      </c>
      <c r="HS16" s="3159">
        <f t="shared" si="50"/>
        <v>0</v>
      </c>
      <c r="HT16" s="3159">
        <f t="shared" si="50"/>
        <v>0</v>
      </c>
      <c r="HU16" s="3159">
        <f t="shared" si="50"/>
        <v>0</v>
      </c>
      <c r="HV16" s="3159">
        <f t="shared" si="50"/>
        <v>0</v>
      </c>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row>
    <row r="17" spans="1:328" ht="15" hidden="1" customHeight="1" x14ac:dyDescent="0.3">
      <c r="A17" s="285"/>
      <c r="B17" s="285"/>
      <c r="C17" s="285"/>
      <c r="D17" s="285"/>
      <c r="E17" s="306"/>
      <c r="F17" s="285"/>
      <c r="G17" s="285"/>
      <c r="H17" s="285"/>
      <c r="I17" s="285"/>
      <c r="J17" s="285"/>
      <c r="K17" s="306"/>
      <c r="L17" s="287"/>
      <c r="M17" s="287"/>
      <c r="N17" s="287"/>
      <c r="O17" s="287"/>
      <c r="P17" s="287"/>
      <c r="Q17" s="287"/>
      <c r="R17" s="287"/>
      <c r="S17" s="285"/>
      <c r="T17" s="285"/>
      <c r="U17" s="285"/>
      <c r="V17" s="285"/>
      <c r="W17" s="285"/>
      <c r="X17" s="285"/>
      <c r="Y17" s="285"/>
      <c r="Z17" s="285"/>
      <c r="AA17" s="285"/>
      <c r="AB17" s="285"/>
      <c r="AC17" s="285"/>
      <c r="AD17" s="285"/>
      <c r="AE17" s="285"/>
      <c r="AF17" s="285"/>
      <c r="AG17" s="285"/>
      <c r="AH17" s="2513"/>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90"/>
      <c r="DA17" s="290"/>
      <c r="DB17" s="285"/>
      <c r="DC17" s="285"/>
      <c r="DD17" s="285"/>
      <c r="DE17" s="285"/>
      <c r="DF17" s="285"/>
      <c r="DG17" s="945"/>
      <c r="DH17" s="1888"/>
      <c r="DI17" s="285"/>
      <c r="DJ17" s="1889"/>
      <c r="DK17" s="1892"/>
      <c r="DL17" s="1892"/>
      <c r="DM17" s="1892"/>
      <c r="DN17" s="1892"/>
      <c r="DO17" s="1892"/>
      <c r="DP17" s="1892"/>
      <c r="DQ17" s="1892"/>
      <c r="DR17" s="1892"/>
      <c r="DS17" s="1892"/>
      <c r="DT17" s="1892"/>
      <c r="DU17" s="1892"/>
      <c r="DV17" s="1892"/>
      <c r="DW17" s="1892"/>
      <c r="DX17" s="1892"/>
      <c r="DY17" s="1892"/>
      <c r="DZ17" s="1892"/>
      <c r="EA17" s="1892"/>
      <c r="EB17" s="1892"/>
      <c r="EC17" s="1892"/>
      <c r="ED17" s="1892"/>
      <c r="EE17" s="1892"/>
      <c r="EF17" s="1892"/>
      <c r="EG17" s="1892"/>
      <c r="EH17" s="1892"/>
      <c r="EI17" s="1892"/>
      <c r="EJ17" s="1892"/>
      <c r="EK17" s="1892"/>
      <c r="EL17" s="1892"/>
      <c r="EM17" s="1892"/>
      <c r="EN17" s="1892"/>
      <c r="EO17" s="1892"/>
      <c r="EP17" s="1892"/>
      <c r="EQ17" s="1892"/>
      <c r="ER17" s="1892"/>
      <c r="ES17" s="1892"/>
      <c r="ET17" s="1892"/>
      <c r="EU17" s="1892"/>
      <c r="EV17" s="1892"/>
      <c r="EW17" s="1892"/>
      <c r="EX17" s="1892"/>
      <c r="EY17" s="1892"/>
      <c r="EZ17" s="1892"/>
      <c r="FA17" s="1892"/>
      <c r="FB17" s="1892"/>
      <c r="FC17" s="1892"/>
      <c r="FD17" s="1892"/>
      <c r="FE17" s="1892"/>
      <c r="FF17" s="1892"/>
      <c r="FG17" s="1892"/>
      <c r="FH17" s="611"/>
      <c r="FI17" s="285"/>
      <c r="FJ17" s="307"/>
      <c r="FK17" s="307"/>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412"/>
      <c r="GS17" s="308" t="s">
        <v>4068</v>
      </c>
      <c r="GT17" s="1007">
        <f>IFERROR(CHOOSE(GT167,0,$GT$16,$GU$16,$GV$16,$GW$16,$GX$16,$GY$16,$GZ$16,$HA$16,$HB$16),0)</f>
        <v>0</v>
      </c>
      <c r="GU17" s="1008">
        <f t="shared" ref="GU17:JF17" si="51">IFERROR(CHOOSE(GU167,0,$GT$16,$GU$16,$GV$16,$GW$16,$GX$16,$GY$16,$GZ$16,$HA$16,$HB$16),0)</f>
        <v>0</v>
      </c>
      <c r="GV17" s="1008">
        <f t="shared" si="51"/>
        <v>0</v>
      </c>
      <c r="GW17" s="1008">
        <f t="shared" si="51"/>
        <v>0</v>
      </c>
      <c r="GX17" s="1008">
        <f t="shared" si="51"/>
        <v>0</v>
      </c>
      <c r="GY17" s="1008">
        <f t="shared" si="51"/>
        <v>0</v>
      </c>
      <c r="GZ17" s="1008">
        <f t="shared" si="51"/>
        <v>0</v>
      </c>
      <c r="HA17" s="1008">
        <f t="shared" si="51"/>
        <v>0</v>
      </c>
      <c r="HB17" s="1008">
        <f t="shared" si="51"/>
        <v>0</v>
      </c>
      <c r="HC17" s="1008">
        <f t="shared" si="51"/>
        <v>0</v>
      </c>
      <c r="HD17" s="1008">
        <f t="shared" si="51"/>
        <v>0</v>
      </c>
      <c r="HE17" s="1008">
        <f t="shared" si="51"/>
        <v>0</v>
      </c>
      <c r="HF17" s="1008">
        <f t="shared" si="51"/>
        <v>0</v>
      </c>
      <c r="HG17" s="1008">
        <f t="shared" si="51"/>
        <v>0</v>
      </c>
      <c r="HH17" s="1008">
        <f t="shared" si="51"/>
        <v>0</v>
      </c>
      <c r="HI17" s="1008">
        <f t="shared" si="51"/>
        <v>0</v>
      </c>
      <c r="HJ17" s="1008">
        <f t="shared" si="51"/>
        <v>0</v>
      </c>
      <c r="HK17" s="1008">
        <f t="shared" si="51"/>
        <v>0</v>
      </c>
      <c r="HL17" s="1008">
        <f t="shared" si="51"/>
        <v>0</v>
      </c>
      <c r="HM17" s="1008">
        <f t="shared" si="51"/>
        <v>0</v>
      </c>
      <c r="HN17" s="1008">
        <f t="shared" si="51"/>
        <v>0</v>
      </c>
      <c r="HO17" s="1008">
        <f t="shared" si="51"/>
        <v>0</v>
      </c>
      <c r="HP17" s="1008">
        <f t="shared" si="51"/>
        <v>0</v>
      </c>
      <c r="HQ17" s="1008">
        <f t="shared" si="51"/>
        <v>0</v>
      </c>
      <c r="HR17" s="1008">
        <f t="shared" si="51"/>
        <v>0</v>
      </c>
      <c r="HS17" s="1008">
        <f t="shared" si="51"/>
        <v>0</v>
      </c>
      <c r="HT17" s="1008">
        <f t="shared" si="51"/>
        <v>0</v>
      </c>
      <c r="HU17" s="1008">
        <f t="shared" si="51"/>
        <v>0</v>
      </c>
      <c r="HV17" s="1008">
        <f t="shared" si="51"/>
        <v>0</v>
      </c>
      <c r="HW17" s="1008">
        <f t="shared" si="51"/>
        <v>0</v>
      </c>
      <c r="HX17" s="1008">
        <f t="shared" si="51"/>
        <v>0</v>
      </c>
      <c r="HY17" s="1008">
        <f t="shared" si="51"/>
        <v>0</v>
      </c>
      <c r="HZ17" s="1008">
        <f t="shared" si="51"/>
        <v>0</v>
      </c>
      <c r="IA17" s="1008">
        <f t="shared" si="51"/>
        <v>0</v>
      </c>
      <c r="IB17" s="1008">
        <f t="shared" si="51"/>
        <v>0</v>
      </c>
      <c r="IC17" s="1008">
        <f t="shared" si="51"/>
        <v>0</v>
      </c>
      <c r="ID17" s="1008">
        <f t="shared" si="51"/>
        <v>0</v>
      </c>
      <c r="IE17" s="1008">
        <f t="shared" si="51"/>
        <v>0</v>
      </c>
      <c r="IF17" s="1008">
        <f t="shared" si="51"/>
        <v>0</v>
      </c>
      <c r="IG17" s="1008">
        <f t="shared" si="51"/>
        <v>0</v>
      </c>
      <c r="IH17" s="1008">
        <f t="shared" si="51"/>
        <v>0</v>
      </c>
      <c r="II17" s="1008">
        <f t="shared" si="51"/>
        <v>0</v>
      </c>
      <c r="IJ17" s="1008">
        <f t="shared" si="51"/>
        <v>0</v>
      </c>
      <c r="IK17" s="1008">
        <f t="shared" si="51"/>
        <v>0</v>
      </c>
      <c r="IL17" s="1008">
        <f t="shared" si="51"/>
        <v>0</v>
      </c>
      <c r="IM17" s="1008">
        <f t="shared" si="51"/>
        <v>0</v>
      </c>
      <c r="IN17" s="1008">
        <f t="shared" si="51"/>
        <v>0</v>
      </c>
      <c r="IO17" s="1008">
        <f t="shared" si="51"/>
        <v>0</v>
      </c>
      <c r="IP17" s="1008">
        <f t="shared" si="51"/>
        <v>0</v>
      </c>
      <c r="IQ17" s="1008">
        <f t="shared" si="51"/>
        <v>0</v>
      </c>
      <c r="IR17" s="1008">
        <f t="shared" si="51"/>
        <v>0</v>
      </c>
      <c r="IS17" s="1008">
        <f t="shared" si="51"/>
        <v>0</v>
      </c>
      <c r="IT17" s="1008">
        <f t="shared" si="51"/>
        <v>0</v>
      </c>
      <c r="IU17" s="1008">
        <f t="shared" si="51"/>
        <v>0</v>
      </c>
      <c r="IV17" s="1008">
        <f t="shared" si="51"/>
        <v>0</v>
      </c>
      <c r="IW17" s="1008">
        <f t="shared" si="51"/>
        <v>0</v>
      </c>
      <c r="IX17" s="1008">
        <f t="shared" si="51"/>
        <v>0</v>
      </c>
      <c r="IY17" s="1008">
        <f t="shared" si="51"/>
        <v>0</v>
      </c>
      <c r="IZ17" s="1008">
        <f t="shared" si="51"/>
        <v>0</v>
      </c>
      <c r="JA17" s="1008">
        <f t="shared" si="51"/>
        <v>0</v>
      </c>
      <c r="JB17" s="1008">
        <f t="shared" si="51"/>
        <v>0</v>
      </c>
      <c r="JC17" s="1008">
        <f t="shared" si="51"/>
        <v>0</v>
      </c>
      <c r="JD17" s="1008">
        <f t="shared" si="51"/>
        <v>0</v>
      </c>
      <c r="JE17" s="1008">
        <f t="shared" si="51"/>
        <v>0</v>
      </c>
      <c r="JF17" s="1008">
        <f t="shared" si="51"/>
        <v>0</v>
      </c>
      <c r="JG17" s="1008">
        <f t="shared" ref="JG17:LP17" si="52">IFERROR(CHOOSE(JG167,0,$GT$16,$GU$16,$GV$16,$GW$16,$GX$16,$GY$16,$GZ$16,$HA$16,$HB$16),0)</f>
        <v>0</v>
      </c>
      <c r="JH17" s="1008">
        <f t="shared" si="52"/>
        <v>0</v>
      </c>
      <c r="JI17" s="1008">
        <f t="shared" si="52"/>
        <v>0</v>
      </c>
      <c r="JJ17" s="1008">
        <f t="shared" si="52"/>
        <v>0</v>
      </c>
      <c r="JK17" s="1008">
        <f t="shared" si="52"/>
        <v>0</v>
      </c>
      <c r="JL17" s="1008">
        <f t="shared" si="52"/>
        <v>0</v>
      </c>
      <c r="JM17" s="1008">
        <f t="shared" si="52"/>
        <v>0</v>
      </c>
      <c r="JN17" s="1008">
        <f t="shared" si="52"/>
        <v>0</v>
      </c>
      <c r="JO17" s="1008">
        <f t="shared" si="52"/>
        <v>0</v>
      </c>
      <c r="JP17" s="1008">
        <f t="shared" si="52"/>
        <v>0</v>
      </c>
      <c r="JQ17" s="1008">
        <f t="shared" si="52"/>
        <v>0</v>
      </c>
      <c r="JR17" s="1008">
        <f t="shared" si="52"/>
        <v>0</v>
      </c>
      <c r="JS17" s="1008">
        <f t="shared" si="52"/>
        <v>0</v>
      </c>
      <c r="JT17" s="1008">
        <f t="shared" si="52"/>
        <v>0</v>
      </c>
      <c r="JU17" s="1008">
        <f t="shared" si="52"/>
        <v>0</v>
      </c>
      <c r="JV17" s="1008">
        <f t="shared" si="52"/>
        <v>0</v>
      </c>
      <c r="JW17" s="1008">
        <f t="shared" si="52"/>
        <v>0</v>
      </c>
      <c r="JX17" s="1008">
        <f t="shared" si="52"/>
        <v>0</v>
      </c>
      <c r="JY17" s="1008">
        <f t="shared" si="52"/>
        <v>0</v>
      </c>
      <c r="JZ17" s="1008">
        <f t="shared" si="52"/>
        <v>0</v>
      </c>
      <c r="KA17" s="1008">
        <f t="shared" si="52"/>
        <v>0</v>
      </c>
      <c r="KB17" s="1008">
        <f t="shared" si="52"/>
        <v>0</v>
      </c>
      <c r="KC17" s="1008">
        <f t="shared" si="52"/>
        <v>0</v>
      </c>
      <c r="KD17" s="1008">
        <f t="shared" si="52"/>
        <v>0</v>
      </c>
      <c r="KE17" s="1008">
        <f t="shared" si="52"/>
        <v>0</v>
      </c>
      <c r="KF17" s="1008">
        <f t="shared" si="52"/>
        <v>0</v>
      </c>
      <c r="KG17" s="1008">
        <f t="shared" si="52"/>
        <v>0</v>
      </c>
      <c r="KH17" s="1008">
        <f t="shared" si="52"/>
        <v>0</v>
      </c>
      <c r="KI17" s="1008">
        <f t="shared" si="52"/>
        <v>0</v>
      </c>
      <c r="KJ17" s="1008">
        <f t="shared" si="52"/>
        <v>0</v>
      </c>
      <c r="KK17" s="1008">
        <f t="shared" si="52"/>
        <v>0</v>
      </c>
      <c r="KL17" s="1008">
        <f t="shared" si="52"/>
        <v>0</v>
      </c>
      <c r="KM17" s="1008">
        <f t="shared" si="52"/>
        <v>0</v>
      </c>
      <c r="KN17" s="1008">
        <f t="shared" si="52"/>
        <v>0</v>
      </c>
      <c r="KO17" s="1008">
        <f t="shared" si="52"/>
        <v>0</v>
      </c>
      <c r="KP17" s="1008">
        <f t="shared" si="52"/>
        <v>0</v>
      </c>
      <c r="KQ17" s="1008">
        <f t="shared" si="52"/>
        <v>0</v>
      </c>
      <c r="KR17" s="1008">
        <f t="shared" si="52"/>
        <v>0</v>
      </c>
      <c r="KS17" s="1008">
        <f t="shared" si="52"/>
        <v>0</v>
      </c>
      <c r="KT17" s="1008">
        <f t="shared" si="52"/>
        <v>0</v>
      </c>
      <c r="KU17" s="1008">
        <f t="shared" si="52"/>
        <v>0</v>
      </c>
      <c r="KV17" s="1008">
        <f t="shared" si="52"/>
        <v>0</v>
      </c>
      <c r="KW17" s="1008">
        <f t="shared" si="52"/>
        <v>0</v>
      </c>
      <c r="KX17" s="1008">
        <f t="shared" si="52"/>
        <v>0</v>
      </c>
      <c r="KY17" s="1008">
        <f t="shared" si="52"/>
        <v>0</v>
      </c>
      <c r="KZ17" s="1008">
        <f t="shared" si="52"/>
        <v>0</v>
      </c>
      <c r="LA17" s="1008">
        <f t="shared" si="52"/>
        <v>0</v>
      </c>
      <c r="LB17" s="1008">
        <f t="shared" si="52"/>
        <v>0</v>
      </c>
      <c r="LC17" s="1008">
        <f t="shared" si="52"/>
        <v>0</v>
      </c>
      <c r="LD17" s="1008">
        <f t="shared" si="52"/>
        <v>0</v>
      </c>
      <c r="LE17" s="1008">
        <f t="shared" si="52"/>
        <v>0</v>
      </c>
      <c r="LF17" s="1008">
        <f t="shared" si="52"/>
        <v>0</v>
      </c>
      <c r="LG17" s="1008">
        <f t="shared" si="52"/>
        <v>0</v>
      </c>
      <c r="LH17" s="1008">
        <f t="shared" si="52"/>
        <v>0</v>
      </c>
      <c r="LI17" s="1008">
        <f t="shared" si="52"/>
        <v>0</v>
      </c>
      <c r="LJ17" s="1008">
        <f t="shared" si="52"/>
        <v>0</v>
      </c>
      <c r="LK17" s="1008">
        <f t="shared" si="52"/>
        <v>0</v>
      </c>
      <c r="LL17" s="1008">
        <f t="shared" si="52"/>
        <v>0</v>
      </c>
      <c r="LM17" s="1008">
        <f t="shared" si="52"/>
        <v>0</v>
      </c>
      <c r="LN17" s="1008">
        <f t="shared" si="52"/>
        <v>0</v>
      </c>
      <c r="LO17" s="1008">
        <f t="shared" si="52"/>
        <v>0</v>
      </c>
      <c r="LP17" s="1008">
        <f t="shared" si="52"/>
        <v>0</v>
      </c>
    </row>
    <row r="18" spans="1:328" ht="15" hidden="1" customHeight="1" x14ac:dyDescent="0.3">
      <c r="A18" s="285"/>
      <c r="B18" s="285"/>
      <c r="C18" s="285"/>
      <c r="D18" s="285"/>
      <c r="E18" s="306"/>
      <c r="F18" s="285"/>
      <c r="G18" s="285"/>
      <c r="H18" s="285"/>
      <c r="I18" s="285"/>
      <c r="J18" s="285"/>
      <c r="K18" s="306"/>
      <c r="L18" s="287"/>
      <c r="M18" s="287"/>
      <c r="N18" s="287"/>
      <c r="O18" s="287"/>
      <c r="P18" s="287"/>
      <c r="Q18" s="287"/>
      <c r="R18" s="287"/>
      <c r="S18" s="285"/>
      <c r="T18" s="285"/>
      <c r="U18" s="285"/>
      <c r="V18" s="285"/>
      <c r="W18" s="285"/>
      <c r="X18" s="285"/>
      <c r="Y18" s="285"/>
      <c r="Z18" s="285"/>
      <c r="AA18" s="285"/>
      <c r="AB18" s="285"/>
      <c r="AC18" s="285"/>
      <c r="AD18" s="285"/>
      <c r="AE18" s="285"/>
      <c r="AF18" s="285"/>
      <c r="AG18" s="285"/>
      <c r="AH18" s="2513"/>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90"/>
      <c r="DA18" s="290"/>
      <c r="DB18" s="285"/>
      <c r="DC18" s="285"/>
      <c r="DD18" s="285"/>
      <c r="DE18" s="285"/>
      <c r="DF18" s="285"/>
      <c r="DG18" s="945"/>
      <c r="DH18" s="1888"/>
      <c r="DI18" s="285"/>
      <c r="DJ18" s="3156"/>
      <c r="DK18" s="3156"/>
      <c r="DL18" s="3156"/>
      <c r="DM18" s="3156"/>
      <c r="DN18" s="3156"/>
      <c r="DO18" s="3156"/>
      <c r="DP18" s="3156"/>
      <c r="DQ18" s="3156"/>
      <c r="DR18" s="3156"/>
      <c r="DS18" s="3156"/>
      <c r="DT18" s="3156"/>
      <c r="DU18" s="3156"/>
      <c r="DV18" s="3156"/>
      <c r="DW18" s="3156"/>
      <c r="DX18" s="3156"/>
      <c r="DY18" s="3156"/>
      <c r="DZ18" s="3156"/>
      <c r="EA18" s="3156"/>
      <c r="EB18" s="3156"/>
      <c r="EC18" s="3156"/>
      <c r="ED18" s="3156"/>
      <c r="EE18" s="3156"/>
      <c r="EF18" s="3156"/>
      <c r="EG18" s="3156"/>
      <c r="EH18" s="3156"/>
      <c r="EI18" s="3156"/>
      <c r="EJ18" s="3156"/>
      <c r="EK18" s="3156"/>
      <c r="EL18" s="3156"/>
      <c r="EM18" s="3156"/>
      <c r="EN18" s="3156"/>
      <c r="EO18" s="3156"/>
      <c r="EP18" s="3156"/>
      <c r="EQ18" s="3156"/>
      <c r="ER18" s="3156"/>
      <c r="ES18" s="3156"/>
      <c r="ET18" s="3156"/>
      <c r="EU18" s="3156"/>
      <c r="EV18" s="3156"/>
      <c r="EW18" s="3156"/>
      <c r="EX18" s="3156"/>
      <c r="EY18" s="3156"/>
      <c r="EZ18" s="3156"/>
      <c r="FA18" s="3156"/>
      <c r="FB18" s="3156"/>
      <c r="FC18" s="3156"/>
      <c r="FD18" s="3156"/>
      <c r="FE18" s="3156"/>
      <c r="FF18" s="3156"/>
      <c r="FG18" s="3156"/>
      <c r="FH18" s="3157"/>
      <c r="FI18" s="285"/>
      <c r="FJ18" s="307"/>
      <c r="FK18" s="307"/>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412"/>
      <c r="GS18" s="308" t="s">
        <v>4069</v>
      </c>
      <c r="GT18" s="1007">
        <f>IFERROR(CHOOSE(GT168,0,$HN$16,$HO$16,$HP$16,$HQ$16,$HR$16,$HS$16,$HT$16,$HU$16,$HV$16),0)</f>
        <v>0</v>
      </c>
      <c r="GU18" s="1008">
        <f t="shared" ref="GU18:JF18" si="53">IFERROR(CHOOSE(GU168,0,$HN$16,$HO$16,$HP$16,$HQ$16,$HR$16,$HS$16,$HT$16,$HU$16,$HV$16),0)</f>
        <v>0</v>
      </c>
      <c r="GV18" s="1008">
        <f t="shared" si="53"/>
        <v>0</v>
      </c>
      <c r="GW18" s="1008">
        <f t="shared" si="53"/>
        <v>0</v>
      </c>
      <c r="GX18" s="1008">
        <f t="shared" si="53"/>
        <v>0</v>
      </c>
      <c r="GY18" s="1008">
        <f t="shared" si="53"/>
        <v>0</v>
      </c>
      <c r="GZ18" s="1008">
        <f t="shared" si="53"/>
        <v>0</v>
      </c>
      <c r="HA18" s="1008">
        <f t="shared" si="53"/>
        <v>0</v>
      </c>
      <c r="HB18" s="1008">
        <f t="shared" si="53"/>
        <v>0</v>
      </c>
      <c r="HC18" s="1008">
        <f t="shared" si="53"/>
        <v>0</v>
      </c>
      <c r="HD18" s="1008">
        <f t="shared" si="53"/>
        <v>0</v>
      </c>
      <c r="HE18" s="1008">
        <f t="shared" si="53"/>
        <v>0</v>
      </c>
      <c r="HF18" s="1008">
        <f t="shared" si="53"/>
        <v>0</v>
      </c>
      <c r="HG18" s="1008">
        <f t="shared" si="53"/>
        <v>0</v>
      </c>
      <c r="HH18" s="1008">
        <f t="shared" si="53"/>
        <v>0</v>
      </c>
      <c r="HI18" s="1008">
        <f t="shared" si="53"/>
        <v>0</v>
      </c>
      <c r="HJ18" s="1008">
        <f t="shared" si="53"/>
        <v>0</v>
      </c>
      <c r="HK18" s="1008">
        <f t="shared" si="53"/>
        <v>0</v>
      </c>
      <c r="HL18" s="1008">
        <f t="shared" si="53"/>
        <v>0</v>
      </c>
      <c r="HM18" s="1008">
        <f t="shared" si="53"/>
        <v>0</v>
      </c>
      <c r="HN18" s="1008">
        <f t="shared" si="53"/>
        <v>0</v>
      </c>
      <c r="HO18" s="1008">
        <f t="shared" si="53"/>
        <v>0</v>
      </c>
      <c r="HP18" s="1008">
        <f t="shared" si="53"/>
        <v>0</v>
      </c>
      <c r="HQ18" s="1008">
        <f t="shared" si="53"/>
        <v>0</v>
      </c>
      <c r="HR18" s="1008">
        <f t="shared" si="53"/>
        <v>0</v>
      </c>
      <c r="HS18" s="1008">
        <f t="shared" si="53"/>
        <v>0</v>
      </c>
      <c r="HT18" s="1008">
        <f t="shared" si="53"/>
        <v>0</v>
      </c>
      <c r="HU18" s="1008">
        <f t="shared" si="53"/>
        <v>0</v>
      </c>
      <c r="HV18" s="1008">
        <f t="shared" si="53"/>
        <v>0</v>
      </c>
      <c r="HW18" s="1008">
        <f t="shared" si="53"/>
        <v>0</v>
      </c>
      <c r="HX18" s="1008">
        <f t="shared" si="53"/>
        <v>0</v>
      </c>
      <c r="HY18" s="1008">
        <f t="shared" si="53"/>
        <v>0</v>
      </c>
      <c r="HZ18" s="1008">
        <f t="shared" si="53"/>
        <v>0</v>
      </c>
      <c r="IA18" s="1008">
        <f t="shared" si="53"/>
        <v>0</v>
      </c>
      <c r="IB18" s="1008">
        <f t="shared" si="53"/>
        <v>0</v>
      </c>
      <c r="IC18" s="1008">
        <f t="shared" si="53"/>
        <v>0</v>
      </c>
      <c r="ID18" s="1008">
        <f t="shared" si="53"/>
        <v>0</v>
      </c>
      <c r="IE18" s="1008">
        <f t="shared" si="53"/>
        <v>0</v>
      </c>
      <c r="IF18" s="1008">
        <f t="shared" si="53"/>
        <v>0</v>
      </c>
      <c r="IG18" s="1008">
        <f t="shared" si="53"/>
        <v>0</v>
      </c>
      <c r="IH18" s="1008">
        <f t="shared" si="53"/>
        <v>0</v>
      </c>
      <c r="II18" s="1008">
        <f t="shared" si="53"/>
        <v>0</v>
      </c>
      <c r="IJ18" s="1008">
        <f t="shared" si="53"/>
        <v>0</v>
      </c>
      <c r="IK18" s="1008">
        <f t="shared" si="53"/>
        <v>0</v>
      </c>
      <c r="IL18" s="1008">
        <f t="shared" si="53"/>
        <v>0</v>
      </c>
      <c r="IM18" s="1008">
        <f t="shared" si="53"/>
        <v>0</v>
      </c>
      <c r="IN18" s="1008">
        <f t="shared" si="53"/>
        <v>0</v>
      </c>
      <c r="IO18" s="1008">
        <f t="shared" si="53"/>
        <v>0</v>
      </c>
      <c r="IP18" s="1008">
        <f t="shared" si="53"/>
        <v>0</v>
      </c>
      <c r="IQ18" s="1008">
        <f t="shared" si="53"/>
        <v>0</v>
      </c>
      <c r="IR18" s="1008">
        <f t="shared" si="53"/>
        <v>0</v>
      </c>
      <c r="IS18" s="1008">
        <f t="shared" si="53"/>
        <v>0</v>
      </c>
      <c r="IT18" s="1008">
        <f t="shared" si="53"/>
        <v>0</v>
      </c>
      <c r="IU18" s="1008">
        <f t="shared" si="53"/>
        <v>0</v>
      </c>
      <c r="IV18" s="1008">
        <f t="shared" si="53"/>
        <v>0</v>
      </c>
      <c r="IW18" s="1008">
        <f t="shared" si="53"/>
        <v>0</v>
      </c>
      <c r="IX18" s="1008">
        <f t="shared" si="53"/>
        <v>0</v>
      </c>
      <c r="IY18" s="1008">
        <f t="shared" si="53"/>
        <v>0</v>
      </c>
      <c r="IZ18" s="1008">
        <f t="shared" si="53"/>
        <v>0</v>
      </c>
      <c r="JA18" s="1008">
        <f t="shared" si="53"/>
        <v>0</v>
      </c>
      <c r="JB18" s="1008">
        <f t="shared" si="53"/>
        <v>0</v>
      </c>
      <c r="JC18" s="1008">
        <f t="shared" si="53"/>
        <v>0</v>
      </c>
      <c r="JD18" s="1008">
        <f t="shared" si="53"/>
        <v>0</v>
      </c>
      <c r="JE18" s="1008">
        <f t="shared" si="53"/>
        <v>0</v>
      </c>
      <c r="JF18" s="1008">
        <f t="shared" si="53"/>
        <v>0</v>
      </c>
      <c r="JG18" s="1008">
        <f t="shared" ref="JG18:LP18" si="54">IFERROR(CHOOSE(JG168,0,$HN$16,$HO$16,$HP$16,$HQ$16,$HR$16,$HS$16,$HT$16,$HU$16,$HV$16),0)</f>
        <v>0</v>
      </c>
      <c r="JH18" s="1008">
        <f t="shared" si="54"/>
        <v>0</v>
      </c>
      <c r="JI18" s="1008">
        <f t="shared" si="54"/>
        <v>0</v>
      </c>
      <c r="JJ18" s="1008">
        <f t="shared" si="54"/>
        <v>0</v>
      </c>
      <c r="JK18" s="1008">
        <f t="shared" si="54"/>
        <v>0</v>
      </c>
      <c r="JL18" s="1008">
        <f t="shared" si="54"/>
        <v>0</v>
      </c>
      <c r="JM18" s="1008">
        <f t="shared" si="54"/>
        <v>0</v>
      </c>
      <c r="JN18" s="1008">
        <f t="shared" si="54"/>
        <v>0</v>
      </c>
      <c r="JO18" s="1008">
        <f t="shared" si="54"/>
        <v>0</v>
      </c>
      <c r="JP18" s="1008">
        <f t="shared" si="54"/>
        <v>0</v>
      </c>
      <c r="JQ18" s="1008">
        <f t="shared" si="54"/>
        <v>0</v>
      </c>
      <c r="JR18" s="1008">
        <f t="shared" si="54"/>
        <v>0</v>
      </c>
      <c r="JS18" s="1008">
        <f t="shared" si="54"/>
        <v>0</v>
      </c>
      <c r="JT18" s="1008">
        <f t="shared" si="54"/>
        <v>0</v>
      </c>
      <c r="JU18" s="1008">
        <f t="shared" si="54"/>
        <v>0</v>
      </c>
      <c r="JV18" s="1008">
        <f t="shared" si="54"/>
        <v>0</v>
      </c>
      <c r="JW18" s="1008">
        <f t="shared" si="54"/>
        <v>0</v>
      </c>
      <c r="JX18" s="1008">
        <f t="shared" si="54"/>
        <v>0</v>
      </c>
      <c r="JY18" s="1008">
        <f t="shared" si="54"/>
        <v>0</v>
      </c>
      <c r="JZ18" s="1008">
        <f t="shared" si="54"/>
        <v>0</v>
      </c>
      <c r="KA18" s="1008">
        <f t="shared" si="54"/>
        <v>0</v>
      </c>
      <c r="KB18" s="1008">
        <f t="shared" si="54"/>
        <v>0</v>
      </c>
      <c r="KC18" s="1008">
        <f t="shared" si="54"/>
        <v>0</v>
      </c>
      <c r="KD18" s="1008">
        <f t="shared" si="54"/>
        <v>0</v>
      </c>
      <c r="KE18" s="1008">
        <f t="shared" si="54"/>
        <v>0</v>
      </c>
      <c r="KF18" s="1008">
        <f t="shared" si="54"/>
        <v>0</v>
      </c>
      <c r="KG18" s="1008">
        <f t="shared" si="54"/>
        <v>0</v>
      </c>
      <c r="KH18" s="1008">
        <f t="shared" si="54"/>
        <v>0</v>
      </c>
      <c r="KI18" s="1008">
        <f t="shared" si="54"/>
        <v>0</v>
      </c>
      <c r="KJ18" s="1008">
        <f t="shared" si="54"/>
        <v>0</v>
      </c>
      <c r="KK18" s="1008">
        <f t="shared" si="54"/>
        <v>0</v>
      </c>
      <c r="KL18" s="1008">
        <f t="shared" si="54"/>
        <v>0</v>
      </c>
      <c r="KM18" s="1008">
        <f t="shared" si="54"/>
        <v>0</v>
      </c>
      <c r="KN18" s="1008">
        <f t="shared" si="54"/>
        <v>0</v>
      </c>
      <c r="KO18" s="1008">
        <f t="shared" si="54"/>
        <v>0</v>
      </c>
      <c r="KP18" s="1008">
        <f t="shared" si="54"/>
        <v>0</v>
      </c>
      <c r="KQ18" s="1008">
        <f t="shared" si="54"/>
        <v>0</v>
      </c>
      <c r="KR18" s="1008">
        <f t="shared" si="54"/>
        <v>0</v>
      </c>
      <c r="KS18" s="1008">
        <f t="shared" si="54"/>
        <v>0</v>
      </c>
      <c r="KT18" s="1008">
        <f t="shared" si="54"/>
        <v>0</v>
      </c>
      <c r="KU18" s="1008">
        <f t="shared" si="54"/>
        <v>0</v>
      </c>
      <c r="KV18" s="1008">
        <f t="shared" si="54"/>
        <v>0</v>
      </c>
      <c r="KW18" s="1008">
        <f t="shared" si="54"/>
        <v>0</v>
      </c>
      <c r="KX18" s="1008">
        <f t="shared" si="54"/>
        <v>0</v>
      </c>
      <c r="KY18" s="1008">
        <f t="shared" si="54"/>
        <v>0</v>
      </c>
      <c r="KZ18" s="1008">
        <f t="shared" si="54"/>
        <v>0</v>
      </c>
      <c r="LA18" s="1008">
        <f t="shared" si="54"/>
        <v>0</v>
      </c>
      <c r="LB18" s="1008">
        <f t="shared" si="54"/>
        <v>0</v>
      </c>
      <c r="LC18" s="1008">
        <f t="shared" si="54"/>
        <v>0</v>
      </c>
      <c r="LD18" s="1008">
        <f t="shared" si="54"/>
        <v>0</v>
      </c>
      <c r="LE18" s="1008">
        <f t="shared" si="54"/>
        <v>0</v>
      </c>
      <c r="LF18" s="1008">
        <f t="shared" si="54"/>
        <v>0</v>
      </c>
      <c r="LG18" s="1008">
        <f t="shared" si="54"/>
        <v>0</v>
      </c>
      <c r="LH18" s="1008">
        <f t="shared" si="54"/>
        <v>0</v>
      </c>
      <c r="LI18" s="1008">
        <f t="shared" si="54"/>
        <v>0</v>
      </c>
      <c r="LJ18" s="1008">
        <f t="shared" si="54"/>
        <v>0</v>
      </c>
      <c r="LK18" s="1008">
        <f t="shared" si="54"/>
        <v>0</v>
      </c>
      <c r="LL18" s="1008">
        <f t="shared" si="54"/>
        <v>0</v>
      </c>
      <c r="LM18" s="1008">
        <f t="shared" si="54"/>
        <v>0</v>
      </c>
      <c r="LN18" s="1008">
        <f t="shared" si="54"/>
        <v>0</v>
      </c>
      <c r="LO18" s="1008">
        <f t="shared" si="54"/>
        <v>0</v>
      </c>
      <c r="LP18" s="1008">
        <f t="shared" si="54"/>
        <v>0</v>
      </c>
    </row>
    <row r="19" spans="1:328" ht="15" hidden="1" customHeight="1" x14ac:dyDescent="0.3">
      <c r="A19" s="285"/>
      <c r="B19" s="285"/>
      <c r="C19" s="286"/>
      <c r="D19" s="293"/>
      <c r="E19" s="285"/>
      <c r="F19" s="285"/>
      <c r="G19" s="285"/>
      <c r="H19" s="285"/>
      <c r="I19" s="285"/>
      <c r="J19" s="285"/>
      <c r="K19" s="306"/>
      <c r="L19" s="287"/>
      <c r="M19" s="287"/>
      <c r="N19" s="287"/>
      <c r="O19" s="287"/>
      <c r="P19" s="287"/>
      <c r="Q19" s="287"/>
      <c r="R19" s="287"/>
      <c r="S19" s="285"/>
      <c r="T19" s="285"/>
      <c r="U19" s="285"/>
      <c r="V19" s="285"/>
      <c r="W19" s="285"/>
      <c r="X19" s="285"/>
      <c r="Y19" s="285"/>
      <c r="Z19" s="285"/>
      <c r="AA19" s="285"/>
      <c r="AB19" s="285"/>
      <c r="AC19" s="285"/>
      <c r="AD19" s="285"/>
      <c r="AE19" s="285"/>
      <c r="AF19" s="285"/>
      <c r="AG19" s="285"/>
      <c r="AH19" s="2513"/>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90" t="s">
        <v>5</v>
      </c>
      <c r="DA19" s="290"/>
      <c r="DB19" s="285"/>
      <c r="DC19" s="285"/>
      <c r="DD19" s="285"/>
      <c r="DE19" s="285"/>
      <c r="DF19" s="285"/>
      <c r="DG19" s="285"/>
      <c r="DH19" s="285"/>
      <c r="DI19" s="285"/>
      <c r="DJ19" s="306"/>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307"/>
      <c r="FK19" s="307"/>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row>
    <row r="20" spans="1:328" ht="15" hidden="1" customHeight="1" x14ac:dyDescent="0.3">
      <c r="A20" s="285"/>
      <c r="B20" s="285"/>
      <c r="C20" s="312"/>
      <c r="D20" s="293"/>
      <c r="E20" s="292"/>
      <c r="F20" s="285"/>
      <c r="G20" s="1773"/>
      <c r="H20" s="285"/>
      <c r="I20" s="285"/>
      <c r="J20" s="285"/>
      <c r="K20" s="306"/>
      <c r="L20" s="285"/>
      <c r="M20" s="287"/>
      <c r="N20" s="287"/>
      <c r="O20" s="287"/>
      <c r="P20" s="287"/>
      <c r="Q20" s="287"/>
      <c r="R20" s="287"/>
      <c r="S20" s="285"/>
      <c r="T20" s="285"/>
      <c r="U20" s="285"/>
      <c r="V20" s="285"/>
      <c r="W20" s="285"/>
      <c r="X20" s="285"/>
      <c r="Y20" s="285"/>
      <c r="Z20" s="285"/>
      <c r="AA20" s="285"/>
      <c r="AB20" s="285"/>
      <c r="AC20" s="285"/>
      <c r="AD20" s="285"/>
      <c r="AE20" s="285"/>
      <c r="AF20" s="285"/>
      <c r="AG20" s="285"/>
      <c r="AH20" s="2513"/>
      <c r="AI20" s="285"/>
      <c r="AJ20" s="285"/>
      <c r="AK20" s="285"/>
      <c r="AL20" s="285"/>
      <c r="AM20" s="285"/>
      <c r="AN20" s="285"/>
      <c r="AO20" s="285"/>
      <c r="AP20" s="285"/>
      <c r="AQ20" s="285"/>
      <c r="AR20" s="285"/>
      <c r="AS20" s="285"/>
      <c r="AT20" s="285"/>
      <c r="AU20" s="285"/>
      <c r="AV20" s="285"/>
      <c r="AW20" s="285"/>
      <c r="AX20" s="285"/>
      <c r="AY20" s="285"/>
      <c r="AZ20" s="285"/>
      <c r="BA20" s="285"/>
      <c r="BB20" s="285"/>
      <c r="BC20" s="285"/>
      <c r="BD20" s="285"/>
      <c r="BE20" s="285"/>
      <c r="BF20" s="285"/>
      <c r="BG20" s="285"/>
      <c r="BH20" s="285"/>
      <c r="BI20" s="285"/>
      <c r="BJ20" s="285"/>
      <c r="BK20" s="285"/>
      <c r="BL20" s="285"/>
      <c r="BM20" s="285"/>
      <c r="BN20" s="285"/>
      <c r="BO20" s="285"/>
      <c r="BP20" s="285"/>
      <c r="BQ20" s="285"/>
      <c r="BR20" s="285"/>
      <c r="BS20" s="285"/>
      <c r="BT20" s="285"/>
      <c r="BU20" s="285"/>
      <c r="BV20" s="285"/>
      <c r="BW20" s="285"/>
      <c r="BX20" s="285"/>
      <c r="BY20" s="285"/>
      <c r="BZ20" s="285"/>
      <c r="CA20" s="285"/>
      <c r="CB20" s="285"/>
      <c r="CC20" s="285"/>
      <c r="CD20" s="285"/>
      <c r="CE20" s="285"/>
      <c r="CF20" s="285"/>
      <c r="CG20" s="285"/>
      <c r="CH20" s="285"/>
      <c r="CI20" s="285"/>
      <c r="CJ20" s="285"/>
      <c r="CK20" s="285"/>
      <c r="CL20" s="285"/>
      <c r="CM20" s="285"/>
      <c r="CN20" s="285"/>
      <c r="CO20" s="285"/>
      <c r="CP20" s="285"/>
      <c r="CQ20" s="285"/>
      <c r="CR20" s="285"/>
      <c r="CS20" s="285"/>
      <c r="CT20" s="285"/>
      <c r="CU20" s="285"/>
      <c r="CV20" s="285"/>
      <c r="CW20" s="285"/>
      <c r="CX20" s="285"/>
      <c r="CY20" s="285"/>
      <c r="CZ20" s="290" t="s">
        <v>5</v>
      </c>
      <c r="DA20" s="290"/>
      <c r="DB20" s="285"/>
      <c r="DC20" s="285"/>
      <c r="DD20" s="285"/>
      <c r="DE20" s="285"/>
      <c r="DF20" s="285"/>
      <c r="DG20" s="285"/>
      <c r="DH20" s="442" t="s">
        <v>783</v>
      </c>
      <c r="DI20" s="285"/>
      <c r="DJ20" s="76">
        <v>1</v>
      </c>
      <c r="DK20" s="76">
        <f t="shared" ref="DK20:EP20" si="55">COLUMN()-COLUMN($DJ$20)+1</f>
        <v>2</v>
      </c>
      <c r="DL20" s="76">
        <f t="shared" si="55"/>
        <v>3</v>
      </c>
      <c r="DM20" s="76">
        <f t="shared" si="55"/>
        <v>4</v>
      </c>
      <c r="DN20" s="76">
        <f t="shared" si="55"/>
        <v>5</v>
      </c>
      <c r="DO20" s="76">
        <f t="shared" si="55"/>
        <v>6</v>
      </c>
      <c r="DP20" s="76">
        <f t="shared" si="55"/>
        <v>7</v>
      </c>
      <c r="DQ20" s="76">
        <f t="shared" si="55"/>
        <v>8</v>
      </c>
      <c r="DR20" s="76">
        <f t="shared" si="55"/>
        <v>9</v>
      </c>
      <c r="DS20" s="76">
        <f t="shared" si="55"/>
        <v>10</v>
      </c>
      <c r="DT20" s="76">
        <f t="shared" si="55"/>
        <v>11</v>
      </c>
      <c r="DU20" s="76">
        <f t="shared" si="55"/>
        <v>12</v>
      </c>
      <c r="DV20" s="76">
        <f t="shared" si="55"/>
        <v>13</v>
      </c>
      <c r="DW20" s="76">
        <f t="shared" si="55"/>
        <v>14</v>
      </c>
      <c r="DX20" s="76">
        <f t="shared" si="55"/>
        <v>15</v>
      </c>
      <c r="DY20" s="76">
        <f t="shared" si="55"/>
        <v>16</v>
      </c>
      <c r="DZ20" s="76">
        <f t="shared" si="55"/>
        <v>17</v>
      </c>
      <c r="EA20" s="76">
        <f t="shared" si="55"/>
        <v>18</v>
      </c>
      <c r="EB20" s="76">
        <f t="shared" si="55"/>
        <v>19</v>
      </c>
      <c r="EC20" s="76">
        <f t="shared" si="55"/>
        <v>20</v>
      </c>
      <c r="ED20" s="76">
        <f t="shared" si="55"/>
        <v>21</v>
      </c>
      <c r="EE20" s="76">
        <f t="shared" si="55"/>
        <v>22</v>
      </c>
      <c r="EF20" s="76">
        <f t="shared" si="55"/>
        <v>23</v>
      </c>
      <c r="EG20" s="76">
        <f t="shared" si="55"/>
        <v>24</v>
      </c>
      <c r="EH20" s="76">
        <f t="shared" si="55"/>
        <v>25</v>
      </c>
      <c r="EI20" s="76">
        <f t="shared" si="55"/>
        <v>26</v>
      </c>
      <c r="EJ20" s="76">
        <f t="shared" si="55"/>
        <v>27</v>
      </c>
      <c r="EK20" s="76">
        <f t="shared" si="55"/>
        <v>28</v>
      </c>
      <c r="EL20" s="76">
        <f t="shared" si="55"/>
        <v>29</v>
      </c>
      <c r="EM20" s="76">
        <f t="shared" si="55"/>
        <v>30</v>
      </c>
      <c r="EN20" s="76">
        <f t="shared" si="55"/>
        <v>31</v>
      </c>
      <c r="EO20" s="76">
        <f t="shared" si="55"/>
        <v>32</v>
      </c>
      <c r="EP20" s="76">
        <f t="shared" si="55"/>
        <v>33</v>
      </c>
      <c r="EQ20" s="76">
        <f t="shared" ref="EQ20:FG20" si="56">COLUMN()-COLUMN($DJ$20)+1</f>
        <v>34</v>
      </c>
      <c r="ER20" s="76">
        <f t="shared" si="56"/>
        <v>35</v>
      </c>
      <c r="ES20" s="76">
        <f t="shared" si="56"/>
        <v>36</v>
      </c>
      <c r="ET20" s="76">
        <f t="shared" si="56"/>
        <v>37</v>
      </c>
      <c r="EU20" s="76">
        <f t="shared" si="56"/>
        <v>38</v>
      </c>
      <c r="EV20" s="76">
        <f t="shared" si="56"/>
        <v>39</v>
      </c>
      <c r="EW20" s="76">
        <f t="shared" si="56"/>
        <v>40</v>
      </c>
      <c r="EX20" s="76">
        <f t="shared" si="56"/>
        <v>41</v>
      </c>
      <c r="EY20" s="76">
        <f t="shared" si="56"/>
        <v>42</v>
      </c>
      <c r="EZ20" s="76">
        <f t="shared" si="56"/>
        <v>43</v>
      </c>
      <c r="FA20" s="76">
        <f t="shared" si="56"/>
        <v>44</v>
      </c>
      <c r="FB20" s="76">
        <f t="shared" si="56"/>
        <v>45</v>
      </c>
      <c r="FC20" s="76">
        <f t="shared" si="56"/>
        <v>46</v>
      </c>
      <c r="FD20" s="76">
        <f t="shared" si="56"/>
        <v>47</v>
      </c>
      <c r="FE20" s="76">
        <f t="shared" si="56"/>
        <v>48</v>
      </c>
      <c r="FF20" s="76">
        <f t="shared" si="56"/>
        <v>49</v>
      </c>
      <c r="FG20" s="76">
        <f t="shared" si="56"/>
        <v>50</v>
      </c>
      <c r="FH20" s="603"/>
      <c r="FI20" s="285"/>
      <c r="FJ20" s="307"/>
      <c r="FK20" s="307"/>
      <c r="FL20" s="285"/>
      <c r="FM20" s="285"/>
      <c r="FN20" s="285"/>
      <c r="FO20" s="308"/>
      <c r="FP20" s="285"/>
      <c r="FQ20" s="285"/>
      <c r="FR20" s="285"/>
      <c r="FS20" s="285"/>
      <c r="FT20" s="285"/>
      <c r="FU20" s="285"/>
      <c r="FV20" s="285"/>
      <c r="FW20" s="285"/>
      <c r="FX20" s="285"/>
      <c r="FY20" s="285"/>
      <c r="FZ20" s="285"/>
      <c r="GA20" s="285"/>
      <c r="GB20" s="285"/>
      <c r="GC20" s="285"/>
      <c r="GD20" s="285"/>
      <c r="GE20" s="285"/>
      <c r="GF20" s="285"/>
      <c r="GG20" s="285"/>
      <c r="GH20" s="285"/>
      <c r="GI20" s="285"/>
      <c r="GJ20" s="285"/>
      <c r="GK20" s="285"/>
      <c r="GL20" s="285"/>
      <c r="GM20" s="285"/>
      <c r="GN20" s="310" t="s">
        <v>2566</v>
      </c>
      <c r="GO20" s="310" t="s">
        <v>2567</v>
      </c>
      <c r="GP20" s="285"/>
      <c r="GQ20" s="285"/>
      <c r="GR20" s="285"/>
      <c r="GS20" s="308" t="s">
        <v>2836</v>
      </c>
      <c r="GT20" s="48">
        <f>1-GT25</f>
        <v>0</v>
      </c>
      <c r="GU20" s="2476">
        <f>1-GU25</f>
        <v>0</v>
      </c>
      <c r="GV20" s="2476">
        <f t="shared" ref="GV20:JG20" si="57">1-GV25</f>
        <v>0</v>
      </c>
      <c r="GW20" s="2476">
        <f t="shared" si="57"/>
        <v>0</v>
      </c>
      <c r="GX20" s="2476">
        <f t="shared" si="57"/>
        <v>0</v>
      </c>
      <c r="GY20" s="2476">
        <f t="shared" si="57"/>
        <v>0</v>
      </c>
      <c r="GZ20" s="2476">
        <f t="shared" si="57"/>
        <v>0</v>
      </c>
      <c r="HA20" s="2476">
        <f t="shared" si="57"/>
        <v>0</v>
      </c>
      <c r="HB20" s="2476">
        <f t="shared" si="57"/>
        <v>0</v>
      </c>
      <c r="HC20" s="2476">
        <f t="shared" si="57"/>
        <v>0</v>
      </c>
      <c r="HD20" s="2476">
        <f t="shared" si="57"/>
        <v>0</v>
      </c>
      <c r="HE20" s="2476">
        <f t="shared" si="57"/>
        <v>0</v>
      </c>
      <c r="HF20" s="2476">
        <f t="shared" si="57"/>
        <v>0</v>
      </c>
      <c r="HG20" s="2476">
        <f t="shared" si="57"/>
        <v>0</v>
      </c>
      <c r="HH20" s="2476">
        <f t="shared" si="57"/>
        <v>0</v>
      </c>
      <c r="HI20" s="2476">
        <f t="shared" si="57"/>
        <v>0</v>
      </c>
      <c r="HJ20" s="2476">
        <f t="shared" si="57"/>
        <v>0</v>
      </c>
      <c r="HK20" s="2476">
        <f t="shared" si="57"/>
        <v>0</v>
      </c>
      <c r="HL20" s="2476">
        <f t="shared" si="57"/>
        <v>0</v>
      </c>
      <c r="HM20" s="2476">
        <f t="shared" si="57"/>
        <v>0</v>
      </c>
      <c r="HN20" s="2476">
        <f t="shared" si="57"/>
        <v>0</v>
      </c>
      <c r="HO20" s="2476">
        <f t="shared" si="57"/>
        <v>0</v>
      </c>
      <c r="HP20" s="2476">
        <f t="shared" si="57"/>
        <v>0</v>
      </c>
      <c r="HQ20" s="2476">
        <f t="shared" si="57"/>
        <v>0</v>
      </c>
      <c r="HR20" s="2476">
        <f t="shared" si="57"/>
        <v>0</v>
      </c>
      <c r="HS20" s="2476">
        <f t="shared" si="57"/>
        <v>0</v>
      </c>
      <c r="HT20" s="2476">
        <f t="shared" si="57"/>
        <v>0</v>
      </c>
      <c r="HU20" s="2476">
        <f t="shared" si="57"/>
        <v>0</v>
      </c>
      <c r="HV20" s="2476">
        <f t="shared" si="57"/>
        <v>0</v>
      </c>
      <c r="HW20" s="2476">
        <f t="shared" si="57"/>
        <v>0</v>
      </c>
      <c r="HX20" s="2476">
        <f t="shared" si="57"/>
        <v>0</v>
      </c>
      <c r="HY20" s="2476">
        <f t="shared" si="57"/>
        <v>0</v>
      </c>
      <c r="HZ20" s="2476">
        <f t="shared" si="57"/>
        <v>0</v>
      </c>
      <c r="IA20" s="2476">
        <f t="shared" si="57"/>
        <v>0</v>
      </c>
      <c r="IB20" s="2476">
        <f t="shared" si="57"/>
        <v>0</v>
      </c>
      <c r="IC20" s="2476">
        <f t="shared" si="57"/>
        <v>0</v>
      </c>
      <c r="ID20" s="2476">
        <f t="shared" si="57"/>
        <v>0</v>
      </c>
      <c r="IE20" s="2476">
        <f t="shared" si="57"/>
        <v>0</v>
      </c>
      <c r="IF20" s="2476">
        <f t="shared" si="57"/>
        <v>0</v>
      </c>
      <c r="IG20" s="2476">
        <f t="shared" si="57"/>
        <v>0</v>
      </c>
      <c r="IH20" s="2476">
        <f t="shared" si="57"/>
        <v>0</v>
      </c>
      <c r="II20" s="2476">
        <f t="shared" si="57"/>
        <v>0</v>
      </c>
      <c r="IJ20" s="2476">
        <f t="shared" si="57"/>
        <v>0</v>
      </c>
      <c r="IK20" s="2476">
        <f t="shared" si="57"/>
        <v>0</v>
      </c>
      <c r="IL20" s="2476">
        <f t="shared" si="57"/>
        <v>0</v>
      </c>
      <c r="IM20" s="2476">
        <f t="shared" si="57"/>
        <v>0</v>
      </c>
      <c r="IN20" s="2476">
        <f t="shared" si="57"/>
        <v>0</v>
      </c>
      <c r="IO20" s="2476">
        <f t="shared" si="57"/>
        <v>0</v>
      </c>
      <c r="IP20" s="2476">
        <f t="shared" si="57"/>
        <v>0</v>
      </c>
      <c r="IQ20" s="2476">
        <f t="shared" si="57"/>
        <v>0</v>
      </c>
      <c r="IR20" s="2476">
        <f t="shared" si="57"/>
        <v>0</v>
      </c>
      <c r="IS20" s="2476">
        <f t="shared" si="57"/>
        <v>0</v>
      </c>
      <c r="IT20" s="2476">
        <f t="shared" si="57"/>
        <v>0</v>
      </c>
      <c r="IU20" s="2476">
        <f t="shared" si="57"/>
        <v>0</v>
      </c>
      <c r="IV20" s="2476">
        <f t="shared" si="57"/>
        <v>0</v>
      </c>
      <c r="IW20" s="2476">
        <f t="shared" si="57"/>
        <v>0</v>
      </c>
      <c r="IX20" s="2476">
        <f t="shared" si="57"/>
        <v>0</v>
      </c>
      <c r="IY20" s="2476">
        <f t="shared" si="57"/>
        <v>0</v>
      </c>
      <c r="IZ20" s="2476">
        <f t="shared" si="57"/>
        <v>0</v>
      </c>
      <c r="JA20" s="2476">
        <f t="shared" si="57"/>
        <v>0</v>
      </c>
      <c r="JB20" s="2476">
        <f t="shared" si="57"/>
        <v>0</v>
      </c>
      <c r="JC20" s="2476">
        <f t="shared" si="57"/>
        <v>0</v>
      </c>
      <c r="JD20" s="2476">
        <f t="shared" si="57"/>
        <v>0</v>
      </c>
      <c r="JE20" s="2476">
        <f t="shared" si="57"/>
        <v>0</v>
      </c>
      <c r="JF20" s="2476">
        <f t="shared" si="57"/>
        <v>0</v>
      </c>
      <c r="JG20" s="2476">
        <f t="shared" si="57"/>
        <v>0</v>
      </c>
      <c r="JH20" s="2476">
        <f t="shared" ref="JH20:LP20" si="58">1-JH25</f>
        <v>0</v>
      </c>
      <c r="JI20" s="2476">
        <f t="shared" si="58"/>
        <v>0</v>
      </c>
      <c r="JJ20" s="2476">
        <f t="shared" si="58"/>
        <v>0</v>
      </c>
      <c r="JK20" s="2476">
        <f t="shared" si="58"/>
        <v>0</v>
      </c>
      <c r="JL20" s="2476">
        <f t="shared" si="58"/>
        <v>0</v>
      </c>
      <c r="JM20" s="2476">
        <f t="shared" si="58"/>
        <v>0</v>
      </c>
      <c r="JN20" s="2476">
        <f t="shared" si="58"/>
        <v>0</v>
      </c>
      <c r="JO20" s="2476">
        <f t="shared" si="58"/>
        <v>0</v>
      </c>
      <c r="JP20" s="2476">
        <f t="shared" si="58"/>
        <v>0</v>
      </c>
      <c r="JQ20" s="2476">
        <f t="shared" si="58"/>
        <v>0</v>
      </c>
      <c r="JR20" s="2476">
        <f t="shared" si="58"/>
        <v>0</v>
      </c>
      <c r="JS20" s="2476">
        <f t="shared" si="58"/>
        <v>0</v>
      </c>
      <c r="JT20" s="2476">
        <f t="shared" si="58"/>
        <v>0</v>
      </c>
      <c r="JU20" s="2476">
        <f t="shared" si="58"/>
        <v>0</v>
      </c>
      <c r="JV20" s="2476">
        <f t="shared" si="58"/>
        <v>0</v>
      </c>
      <c r="JW20" s="2476">
        <f t="shared" si="58"/>
        <v>0</v>
      </c>
      <c r="JX20" s="2476">
        <f t="shared" si="58"/>
        <v>0</v>
      </c>
      <c r="JY20" s="2476">
        <f t="shared" si="58"/>
        <v>0</v>
      </c>
      <c r="JZ20" s="2476">
        <f t="shared" si="58"/>
        <v>0</v>
      </c>
      <c r="KA20" s="2476">
        <f t="shared" si="58"/>
        <v>0</v>
      </c>
      <c r="KB20" s="2476">
        <f t="shared" si="58"/>
        <v>0</v>
      </c>
      <c r="KC20" s="2476">
        <f t="shared" si="58"/>
        <v>0</v>
      </c>
      <c r="KD20" s="2476">
        <f t="shared" si="58"/>
        <v>0</v>
      </c>
      <c r="KE20" s="2476">
        <f t="shared" si="58"/>
        <v>0</v>
      </c>
      <c r="KF20" s="2476">
        <f t="shared" si="58"/>
        <v>0</v>
      </c>
      <c r="KG20" s="2476">
        <f t="shared" si="58"/>
        <v>0</v>
      </c>
      <c r="KH20" s="2476">
        <f t="shared" si="58"/>
        <v>0</v>
      </c>
      <c r="KI20" s="2476">
        <f t="shared" si="58"/>
        <v>0</v>
      </c>
      <c r="KJ20" s="2476">
        <f t="shared" si="58"/>
        <v>0</v>
      </c>
      <c r="KK20" s="2476">
        <f t="shared" si="58"/>
        <v>0</v>
      </c>
      <c r="KL20" s="2476">
        <f t="shared" si="58"/>
        <v>0</v>
      </c>
      <c r="KM20" s="2476">
        <f t="shared" si="58"/>
        <v>0</v>
      </c>
      <c r="KN20" s="2476">
        <f t="shared" si="58"/>
        <v>0</v>
      </c>
      <c r="KO20" s="2476">
        <f t="shared" si="58"/>
        <v>0</v>
      </c>
      <c r="KP20" s="2476">
        <f t="shared" si="58"/>
        <v>0</v>
      </c>
      <c r="KQ20" s="2476">
        <f t="shared" si="58"/>
        <v>0</v>
      </c>
      <c r="KR20" s="2476">
        <f t="shared" si="58"/>
        <v>0</v>
      </c>
      <c r="KS20" s="2476">
        <f t="shared" si="58"/>
        <v>0</v>
      </c>
      <c r="KT20" s="2476">
        <f t="shared" si="58"/>
        <v>0</v>
      </c>
      <c r="KU20" s="2476">
        <f t="shared" si="58"/>
        <v>0</v>
      </c>
      <c r="KV20" s="2476">
        <f t="shared" si="58"/>
        <v>0</v>
      </c>
      <c r="KW20" s="2476">
        <f t="shared" si="58"/>
        <v>0</v>
      </c>
      <c r="KX20" s="2476">
        <f t="shared" si="58"/>
        <v>0</v>
      </c>
      <c r="KY20" s="2476">
        <f t="shared" si="58"/>
        <v>0</v>
      </c>
      <c r="KZ20" s="2476">
        <f t="shared" si="58"/>
        <v>0</v>
      </c>
      <c r="LA20" s="2476">
        <f t="shared" si="58"/>
        <v>0</v>
      </c>
      <c r="LB20" s="2476">
        <f t="shared" si="58"/>
        <v>0</v>
      </c>
      <c r="LC20" s="2476">
        <f t="shared" si="58"/>
        <v>0</v>
      </c>
      <c r="LD20" s="2476">
        <f t="shared" si="58"/>
        <v>0</v>
      </c>
      <c r="LE20" s="2476">
        <f t="shared" si="58"/>
        <v>0</v>
      </c>
      <c r="LF20" s="2476">
        <f t="shared" si="58"/>
        <v>0</v>
      </c>
      <c r="LG20" s="2476">
        <f t="shared" si="58"/>
        <v>0</v>
      </c>
      <c r="LH20" s="2476">
        <f t="shared" si="58"/>
        <v>0</v>
      </c>
      <c r="LI20" s="2476">
        <f t="shared" si="58"/>
        <v>0</v>
      </c>
      <c r="LJ20" s="2476">
        <f t="shared" si="58"/>
        <v>0</v>
      </c>
      <c r="LK20" s="2476">
        <f t="shared" si="58"/>
        <v>0</v>
      </c>
      <c r="LL20" s="2476">
        <f t="shared" si="58"/>
        <v>0</v>
      </c>
      <c r="LM20" s="2476">
        <f t="shared" si="58"/>
        <v>0</v>
      </c>
      <c r="LN20" s="2476">
        <f t="shared" si="58"/>
        <v>0</v>
      </c>
      <c r="LO20" s="2476">
        <f t="shared" si="58"/>
        <v>0</v>
      </c>
      <c r="LP20" s="2476">
        <f t="shared" si="58"/>
        <v>0</v>
      </c>
    </row>
    <row r="21" spans="1:328" ht="15" hidden="1" customHeight="1" x14ac:dyDescent="0.3">
      <c r="A21" s="285"/>
      <c r="B21" s="285"/>
      <c r="C21" s="312" t="s">
        <v>3386</v>
      </c>
      <c r="D21" s="293"/>
      <c r="E21" s="292"/>
      <c r="F21" s="285"/>
      <c r="G21" s="1773" t="s">
        <v>2106</v>
      </c>
      <c r="H21" s="285"/>
      <c r="I21" s="285"/>
      <c r="J21" s="285"/>
      <c r="K21" s="306"/>
      <c r="L21" s="285"/>
      <c r="M21" s="287"/>
      <c r="N21" s="287"/>
      <c r="O21" s="287"/>
      <c r="P21" s="287"/>
      <c r="Q21" s="287"/>
      <c r="R21" s="287"/>
      <c r="S21" s="285"/>
      <c r="T21" s="285"/>
      <c r="U21" s="285"/>
      <c r="V21" s="285"/>
      <c r="W21" s="285"/>
      <c r="X21" s="285"/>
      <c r="Y21" s="285"/>
      <c r="Z21" s="285"/>
      <c r="AA21" s="285"/>
      <c r="AB21" s="285"/>
      <c r="AC21" s="285"/>
      <c r="AD21" s="285"/>
      <c r="AE21" s="285"/>
      <c r="AF21" s="285"/>
      <c r="AG21" s="285"/>
      <c r="AH21" s="2513"/>
      <c r="AI21" s="285"/>
      <c r="AJ21" s="285"/>
      <c r="AK21" s="285"/>
      <c r="AL21" s="285"/>
      <c r="AM21" s="285"/>
      <c r="AN21" s="285"/>
      <c r="AO21" s="285"/>
      <c r="AP21" s="285"/>
      <c r="AQ21" s="285"/>
      <c r="AR21" s="285"/>
      <c r="AS21" s="285"/>
      <c r="AT21" s="285"/>
      <c r="AU21" s="285"/>
      <c r="AV21" s="285"/>
      <c r="AW21" s="285"/>
      <c r="AX21" s="285"/>
      <c r="AY21" s="285"/>
      <c r="AZ21" s="285"/>
      <c r="BA21" s="285"/>
      <c r="BB21" s="285"/>
      <c r="BC21" s="285"/>
      <c r="BD21" s="285"/>
      <c r="BE21" s="285"/>
      <c r="BF21" s="285"/>
      <c r="BG21" s="285"/>
      <c r="BH21" s="285"/>
      <c r="BI21" s="285"/>
      <c r="BJ21" s="285"/>
      <c r="BK21" s="285"/>
      <c r="BL21" s="285"/>
      <c r="BM21" s="285"/>
      <c r="BN21" s="285"/>
      <c r="BO21" s="285"/>
      <c r="BP21" s="285"/>
      <c r="BQ21" s="285"/>
      <c r="BR21" s="285"/>
      <c r="BS21" s="285"/>
      <c r="BT21" s="285"/>
      <c r="BU21" s="285"/>
      <c r="BV21" s="285"/>
      <c r="BW21" s="285"/>
      <c r="BX21" s="285"/>
      <c r="BY21" s="285"/>
      <c r="BZ21" s="285"/>
      <c r="CA21" s="285"/>
      <c r="CB21" s="285"/>
      <c r="CC21" s="285"/>
      <c r="CD21" s="285"/>
      <c r="CE21" s="285"/>
      <c r="CF21" s="285"/>
      <c r="CG21" s="285"/>
      <c r="CH21" s="285"/>
      <c r="CI21" s="285"/>
      <c r="CJ21" s="285"/>
      <c r="CK21" s="285"/>
      <c r="CL21" s="285"/>
      <c r="CM21" s="285"/>
      <c r="CN21" s="285"/>
      <c r="CO21" s="285"/>
      <c r="CP21" s="285"/>
      <c r="CQ21" s="285"/>
      <c r="CR21" s="285"/>
      <c r="CS21" s="285"/>
      <c r="CT21" s="285"/>
      <c r="CU21" s="285"/>
      <c r="CV21" s="285"/>
      <c r="CW21" s="285"/>
      <c r="CX21" s="285"/>
      <c r="CY21" s="285"/>
      <c r="CZ21" s="290"/>
      <c r="DA21" s="290"/>
      <c r="DB21" s="285"/>
      <c r="DC21" s="285"/>
      <c r="DD21" s="285"/>
      <c r="DE21" s="285"/>
      <c r="DF21" s="285"/>
      <c r="DG21" s="285"/>
      <c r="DH21" s="442" t="s">
        <v>121</v>
      </c>
      <c r="DI21" s="285"/>
      <c r="DJ21" s="76">
        <f>IFERROR(MATCH(DJ$171,'2 Staff List'!$IC$64:$IC$114,0),"x")</f>
        <v>1</v>
      </c>
      <c r="DK21" s="76">
        <f>IFERROR(MATCH(DK$171,'2 Staff List'!$IC$64:$IC$114,0),"x")</f>
        <v>2</v>
      </c>
      <c r="DL21" s="76">
        <f>IFERROR(MATCH(DL$171,'2 Staff List'!$IC$64:$IC$114,0),"x")</f>
        <v>3</v>
      </c>
      <c r="DM21" s="76">
        <f>IFERROR(MATCH(DM$171,'2 Staff List'!$IC$64:$IC$114,0),"x")</f>
        <v>4</v>
      </c>
      <c r="DN21" s="76">
        <f>IFERROR(MATCH(DN$171,'2 Staff List'!$IC$64:$IC$114,0),"x")</f>
        <v>5</v>
      </c>
      <c r="DO21" s="76">
        <f>IFERROR(MATCH(DO$171,'2 Staff List'!$IC$64:$IC$114,0),"x")</f>
        <v>6</v>
      </c>
      <c r="DP21" s="76">
        <f>IFERROR(MATCH(DP$171,'2 Staff List'!$IC$64:$IC$114,0),"x")</f>
        <v>7</v>
      </c>
      <c r="DQ21" s="76">
        <f>IFERROR(MATCH(DQ$171,'2 Staff List'!$IC$64:$IC$114,0),"x")</f>
        <v>8</v>
      </c>
      <c r="DR21" s="76">
        <f>IFERROR(MATCH(DR$171,'2 Staff List'!$IC$64:$IC$114,0),"x")</f>
        <v>9</v>
      </c>
      <c r="DS21" s="76">
        <f>IFERROR(MATCH(DS$171,'2 Staff List'!$IC$64:$IC$114,0),"x")</f>
        <v>10</v>
      </c>
      <c r="DT21" s="76">
        <f>IFERROR(MATCH(DT$171,'2 Staff List'!$IC$64:$IC$114,0),"x")</f>
        <v>11</v>
      </c>
      <c r="DU21" s="76">
        <f>IFERROR(MATCH(DU$171,'2 Staff List'!$IC$64:$IC$114,0),"x")</f>
        <v>12</v>
      </c>
      <c r="DV21" s="76">
        <f>IFERROR(MATCH(DV$171,'2 Staff List'!$IC$64:$IC$114,0),"x")</f>
        <v>13</v>
      </c>
      <c r="DW21" s="76">
        <f>IFERROR(MATCH(DW$171,'2 Staff List'!$IC$64:$IC$114,0),"x")</f>
        <v>14</v>
      </c>
      <c r="DX21" s="76">
        <f>IFERROR(MATCH(DX$171,'2 Staff List'!$IC$64:$IC$114,0),"x")</f>
        <v>15</v>
      </c>
      <c r="DY21" s="76">
        <f>IFERROR(MATCH(DY$171,'2 Staff List'!$IC$64:$IC$114,0),"x")</f>
        <v>16</v>
      </c>
      <c r="DZ21" s="76">
        <f>IFERROR(MATCH(DZ$171,'2 Staff List'!$IC$64:$IC$114,0),"x")</f>
        <v>17</v>
      </c>
      <c r="EA21" s="76">
        <f>IFERROR(MATCH(EA$171,'2 Staff List'!$IC$64:$IC$114,0),"x")</f>
        <v>18</v>
      </c>
      <c r="EB21" s="76">
        <f>IFERROR(MATCH(EB$171,'2 Staff List'!$IC$64:$IC$114,0),"x")</f>
        <v>19</v>
      </c>
      <c r="EC21" s="76">
        <f>IFERROR(MATCH(EC$171,'2 Staff List'!$IC$64:$IC$114,0),"x")</f>
        <v>20</v>
      </c>
      <c r="ED21" s="76">
        <f>IFERROR(MATCH(ED$171,'2 Staff List'!$IC$64:$IC$114,0),"x")</f>
        <v>21</v>
      </c>
      <c r="EE21" s="76">
        <f>IFERROR(MATCH(EE$171,'2 Staff List'!$IC$64:$IC$114,0),"x")</f>
        <v>22</v>
      </c>
      <c r="EF21" s="76">
        <f>IFERROR(MATCH(EF$171,'2 Staff List'!$IC$64:$IC$114,0),"x")</f>
        <v>23</v>
      </c>
      <c r="EG21" s="76">
        <f>IFERROR(MATCH(EG$171,'2 Staff List'!$IC$64:$IC$114,0),"x")</f>
        <v>24</v>
      </c>
      <c r="EH21" s="76">
        <f>IFERROR(MATCH(EH$171,'2 Staff List'!$IC$64:$IC$114,0),"x")</f>
        <v>25</v>
      </c>
      <c r="EI21" s="76">
        <f>IFERROR(MATCH(EI$171,'2 Staff List'!$IC$64:$IC$114,0),"x")</f>
        <v>26</v>
      </c>
      <c r="EJ21" s="76">
        <f>IFERROR(MATCH(EJ$171,'2 Staff List'!$IC$64:$IC$114,0),"x")</f>
        <v>27</v>
      </c>
      <c r="EK21" s="76">
        <f>IFERROR(MATCH(EK$171,'2 Staff List'!$IC$64:$IC$114,0),"x")</f>
        <v>28</v>
      </c>
      <c r="EL21" s="76">
        <f>IFERROR(MATCH(EL$171,'2 Staff List'!$IC$64:$IC$114,0),"x")</f>
        <v>29</v>
      </c>
      <c r="EM21" s="76">
        <f>IFERROR(MATCH(EM$171,'2 Staff List'!$IC$64:$IC$114,0),"x")</f>
        <v>30</v>
      </c>
      <c r="EN21" s="76">
        <f>IFERROR(MATCH(EN$171,'2 Staff List'!$IC$64:$IC$114,0),"x")</f>
        <v>31</v>
      </c>
      <c r="EO21" s="76">
        <f>IFERROR(MATCH(EO$171,'2 Staff List'!$IC$64:$IC$114,0),"x")</f>
        <v>32</v>
      </c>
      <c r="EP21" s="76">
        <f>IFERROR(MATCH(EP$171,'2 Staff List'!$IC$64:$IC$114,0),"x")</f>
        <v>33</v>
      </c>
      <c r="EQ21" s="76">
        <f>IFERROR(MATCH(EQ$171,'2 Staff List'!$IC$64:$IC$114,0),"x")</f>
        <v>34</v>
      </c>
      <c r="ER21" s="76">
        <f>IFERROR(MATCH(ER$171,'2 Staff List'!$IC$64:$IC$114,0),"x")</f>
        <v>35</v>
      </c>
      <c r="ES21" s="76">
        <f>IFERROR(MATCH(ES$171,'2 Staff List'!$IC$64:$IC$114,0),"x")</f>
        <v>36</v>
      </c>
      <c r="ET21" s="76">
        <f>IFERROR(MATCH(ET$171,'2 Staff List'!$IC$64:$IC$114,0),"x")</f>
        <v>37</v>
      </c>
      <c r="EU21" s="76">
        <f>IFERROR(MATCH(EU$171,'2 Staff List'!$IC$64:$IC$114,0),"x")</f>
        <v>38</v>
      </c>
      <c r="EV21" s="76">
        <f>IFERROR(MATCH(EV$171,'2 Staff List'!$IC$64:$IC$114,0),"x")</f>
        <v>39</v>
      </c>
      <c r="EW21" s="76">
        <f>IFERROR(MATCH(EW$171,'2 Staff List'!$IC$64:$IC$114,0),"x")</f>
        <v>40</v>
      </c>
      <c r="EX21" s="76">
        <f>IFERROR(MATCH(EX$171,'2 Staff List'!$IC$64:$IC$114,0),"x")</f>
        <v>41</v>
      </c>
      <c r="EY21" s="76">
        <f>IFERROR(MATCH(EY$171,'2 Staff List'!$IC$64:$IC$114,0),"x")</f>
        <v>42</v>
      </c>
      <c r="EZ21" s="76">
        <f>IFERROR(MATCH(EZ$171,'2 Staff List'!$IC$64:$IC$114,0),"x")</f>
        <v>43</v>
      </c>
      <c r="FA21" s="76">
        <f>IFERROR(MATCH(FA$171,'2 Staff List'!$IC$64:$IC$114,0),"x")</f>
        <v>44</v>
      </c>
      <c r="FB21" s="76">
        <f>IFERROR(MATCH(FB$171,'2 Staff List'!$IC$64:$IC$114,0),"x")</f>
        <v>45</v>
      </c>
      <c r="FC21" s="76">
        <f>IFERROR(MATCH(FC$171,'2 Staff List'!$IC$64:$IC$114,0),"x")</f>
        <v>46</v>
      </c>
      <c r="FD21" s="76">
        <f>IFERROR(MATCH(FD$171,'2 Staff List'!$IC$64:$IC$114,0),"x")</f>
        <v>47</v>
      </c>
      <c r="FE21" s="76">
        <f>IFERROR(MATCH(FE$171,'2 Staff List'!$IC$64:$IC$114,0),"x")</f>
        <v>48</v>
      </c>
      <c r="FF21" s="76">
        <f>IFERROR(MATCH(FF$171,'2 Staff List'!$IC$64:$IC$114,0),"x")</f>
        <v>49</v>
      </c>
      <c r="FG21" s="76">
        <f>IFERROR(MATCH(FG$171,'2 Staff List'!$IC$64:$IC$114,0),"x")</f>
        <v>50</v>
      </c>
      <c r="FH21" s="604"/>
      <c r="FI21" s="285"/>
      <c r="FJ21" s="307"/>
      <c r="FK21" s="307"/>
      <c r="FL21" s="285"/>
      <c r="FM21" s="285"/>
      <c r="FN21" s="285"/>
      <c r="FO21" s="285"/>
      <c r="FP21" s="285"/>
      <c r="FQ21" s="285"/>
      <c r="FR21" s="285"/>
      <c r="FS21" s="285"/>
      <c r="FT21" s="285"/>
      <c r="FU21" s="285"/>
      <c r="FV21" s="285"/>
      <c r="FW21" s="285"/>
      <c r="FX21" s="285"/>
      <c r="FY21" s="285"/>
      <c r="FZ21" s="285"/>
      <c r="GA21" s="285"/>
      <c r="GB21" s="285"/>
      <c r="GC21" s="285"/>
      <c r="GD21" s="285"/>
      <c r="GE21" s="285"/>
      <c r="GF21" s="285"/>
      <c r="GG21" s="285"/>
      <c r="GH21" s="285"/>
      <c r="GI21" s="285"/>
      <c r="GJ21" s="285"/>
      <c r="GK21" s="285"/>
      <c r="GL21" s="285"/>
      <c r="GM21" s="285"/>
      <c r="GN21" s="2145">
        <f>IF($FM$5=1,$GT$170+7*(GN22-1),EOMONTH($GT$170,GN22-2)+1)</f>
        <v>43840</v>
      </c>
      <c r="GO21" s="2145">
        <f>IF($FM$5=1,$GT$170+7*GO22-1,EOMONTH($GT$170,GO22-1))</f>
        <v>43923</v>
      </c>
      <c r="GP21" s="306"/>
      <c r="GQ21" s="285"/>
      <c r="GR21" s="285"/>
      <c r="GS21" s="308" t="s">
        <v>2776</v>
      </c>
      <c r="GT21" s="48">
        <f>IF(GT23=1,1,0)</f>
        <v>1</v>
      </c>
      <c r="GU21" s="2476">
        <f>IF(GU23=$GN$23,1,IF(AND(GU37&gt;=$GN$23,GU37&lt;=$GO$23),GT21+1,0))</f>
        <v>2</v>
      </c>
      <c r="GV21" s="49">
        <f t="shared" ref="GV21:JG21" si="59">IF(GV23=$GN$23,1,IF(AND(GV37&gt;=$GN$23,GV37&lt;=$GO$23),GU21+1,0))</f>
        <v>3</v>
      </c>
      <c r="GW21" s="49">
        <f t="shared" si="59"/>
        <v>4</v>
      </c>
      <c r="GX21" s="49">
        <f t="shared" si="59"/>
        <v>5</v>
      </c>
      <c r="GY21" s="49">
        <f t="shared" si="59"/>
        <v>6</v>
      </c>
      <c r="GZ21" s="49">
        <f t="shared" si="59"/>
        <v>7</v>
      </c>
      <c r="HA21" s="49">
        <f t="shared" si="59"/>
        <v>8</v>
      </c>
      <c r="HB21" s="49">
        <f t="shared" si="59"/>
        <v>9</v>
      </c>
      <c r="HC21" s="49">
        <f t="shared" si="59"/>
        <v>10</v>
      </c>
      <c r="HD21" s="49">
        <f t="shared" si="59"/>
        <v>11</v>
      </c>
      <c r="HE21" s="49">
        <f t="shared" si="59"/>
        <v>12</v>
      </c>
      <c r="HF21" s="49">
        <f t="shared" si="59"/>
        <v>0</v>
      </c>
      <c r="HG21" s="49">
        <f t="shared" si="59"/>
        <v>0</v>
      </c>
      <c r="HH21" s="49">
        <f t="shared" si="59"/>
        <v>0</v>
      </c>
      <c r="HI21" s="49">
        <f t="shared" si="59"/>
        <v>0</v>
      </c>
      <c r="HJ21" s="49">
        <f t="shared" si="59"/>
        <v>0</v>
      </c>
      <c r="HK21" s="49">
        <f t="shared" si="59"/>
        <v>0</v>
      </c>
      <c r="HL21" s="49">
        <f t="shared" si="59"/>
        <v>0</v>
      </c>
      <c r="HM21" s="49">
        <f t="shared" si="59"/>
        <v>0</v>
      </c>
      <c r="HN21" s="49">
        <f t="shared" si="59"/>
        <v>0</v>
      </c>
      <c r="HO21" s="49">
        <f t="shared" si="59"/>
        <v>0</v>
      </c>
      <c r="HP21" s="49">
        <f t="shared" si="59"/>
        <v>0</v>
      </c>
      <c r="HQ21" s="49">
        <f t="shared" si="59"/>
        <v>0</v>
      </c>
      <c r="HR21" s="49">
        <f t="shared" si="59"/>
        <v>0</v>
      </c>
      <c r="HS21" s="49">
        <f t="shared" si="59"/>
        <v>0</v>
      </c>
      <c r="HT21" s="49">
        <f t="shared" si="59"/>
        <v>0</v>
      </c>
      <c r="HU21" s="49">
        <f t="shared" si="59"/>
        <v>0</v>
      </c>
      <c r="HV21" s="49">
        <f t="shared" si="59"/>
        <v>0</v>
      </c>
      <c r="HW21" s="49">
        <f t="shared" si="59"/>
        <v>0</v>
      </c>
      <c r="HX21" s="49">
        <f t="shared" si="59"/>
        <v>0</v>
      </c>
      <c r="HY21" s="49">
        <f t="shared" si="59"/>
        <v>0</v>
      </c>
      <c r="HZ21" s="49">
        <f t="shared" si="59"/>
        <v>0</v>
      </c>
      <c r="IA21" s="49">
        <f t="shared" si="59"/>
        <v>0</v>
      </c>
      <c r="IB21" s="49">
        <f t="shared" si="59"/>
        <v>0</v>
      </c>
      <c r="IC21" s="49">
        <f t="shared" si="59"/>
        <v>0</v>
      </c>
      <c r="ID21" s="49">
        <f t="shared" si="59"/>
        <v>0</v>
      </c>
      <c r="IE21" s="49">
        <f t="shared" si="59"/>
        <v>0</v>
      </c>
      <c r="IF21" s="49">
        <f t="shared" si="59"/>
        <v>0</v>
      </c>
      <c r="IG21" s="49">
        <f t="shared" si="59"/>
        <v>0</v>
      </c>
      <c r="IH21" s="49">
        <f t="shared" si="59"/>
        <v>0</v>
      </c>
      <c r="II21" s="49">
        <f t="shared" si="59"/>
        <v>0</v>
      </c>
      <c r="IJ21" s="49">
        <f t="shared" si="59"/>
        <v>0</v>
      </c>
      <c r="IK21" s="49">
        <f t="shared" si="59"/>
        <v>0</v>
      </c>
      <c r="IL21" s="49">
        <f t="shared" si="59"/>
        <v>0</v>
      </c>
      <c r="IM21" s="49">
        <f t="shared" si="59"/>
        <v>0</v>
      </c>
      <c r="IN21" s="49">
        <f t="shared" si="59"/>
        <v>0</v>
      </c>
      <c r="IO21" s="49">
        <f t="shared" si="59"/>
        <v>0</v>
      </c>
      <c r="IP21" s="49">
        <f t="shared" si="59"/>
        <v>0</v>
      </c>
      <c r="IQ21" s="49">
        <f t="shared" si="59"/>
        <v>0</v>
      </c>
      <c r="IR21" s="49">
        <f t="shared" si="59"/>
        <v>0</v>
      </c>
      <c r="IS21" s="49">
        <f t="shared" si="59"/>
        <v>0</v>
      </c>
      <c r="IT21" s="49">
        <f t="shared" si="59"/>
        <v>0</v>
      </c>
      <c r="IU21" s="49">
        <f t="shared" si="59"/>
        <v>0</v>
      </c>
      <c r="IV21" s="49">
        <f t="shared" si="59"/>
        <v>0</v>
      </c>
      <c r="IW21" s="49">
        <f t="shared" si="59"/>
        <v>0</v>
      </c>
      <c r="IX21" s="49">
        <f t="shared" si="59"/>
        <v>0</v>
      </c>
      <c r="IY21" s="49">
        <f t="shared" si="59"/>
        <v>0</v>
      </c>
      <c r="IZ21" s="49">
        <f t="shared" si="59"/>
        <v>0</v>
      </c>
      <c r="JA21" s="49">
        <f t="shared" si="59"/>
        <v>0</v>
      </c>
      <c r="JB21" s="49">
        <f t="shared" si="59"/>
        <v>0</v>
      </c>
      <c r="JC21" s="49">
        <f t="shared" si="59"/>
        <v>0</v>
      </c>
      <c r="JD21" s="49">
        <f t="shared" si="59"/>
        <v>0</v>
      </c>
      <c r="JE21" s="49">
        <f t="shared" si="59"/>
        <v>0</v>
      </c>
      <c r="JF21" s="49">
        <f t="shared" si="59"/>
        <v>0</v>
      </c>
      <c r="JG21" s="49">
        <f t="shared" si="59"/>
        <v>0</v>
      </c>
      <c r="JH21" s="49">
        <f t="shared" ref="JH21:LP21" si="60">IF(JH23=$GN$23,1,IF(AND(JH37&gt;=$GN$23,JH37&lt;=$GO$23),JG21+1,0))</f>
        <v>0</v>
      </c>
      <c r="JI21" s="49">
        <f t="shared" si="60"/>
        <v>0</v>
      </c>
      <c r="JJ21" s="49">
        <f t="shared" si="60"/>
        <v>0</v>
      </c>
      <c r="JK21" s="49">
        <f t="shared" si="60"/>
        <v>0</v>
      </c>
      <c r="JL21" s="49">
        <f t="shared" si="60"/>
        <v>0</v>
      </c>
      <c r="JM21" s="49">
        <f t="shared" si="60"/>
        <v>0</v>
      </c>
      <c r="JN21" s="49">
        <f t="shared" si="60"/>
        <v>0</v>
      </c>
      <c r="JO21" s="49">
        <f t="shared" si="60"/>
        <v>0</v>
      </c>
      <c r="JP21" s="49">
        <f t="shared" si="60"/>
        <v>0</v>
      </c>
      <c r="JQ21" s="49">
        <f t="shared" si="60"/>
        <v>0</v>
      </c>
      <c r="JR21" s="49">
        <f t="shared" si="60"/>
        <v>0</v>
      </c>
      <c r="JS21" s="49">
        <f t="shared" si="60"/>
        <v>0</v>
      </c>
      <c r="JT21" s="49">
        <f t="shared" si="60"/>
        <v>0</v>
      </c>
      <c r="JU21" s="49">
        <f t="shared" si="60"/>
        <v>0</v>
      </c>
      <c r="JV21" s="49">
        <f t="shared" si="60"/>
        <v>0</v>
      </c>
      <c r="JW21" s="49">
        <f t="shared" si="60"/>
        <v>0</v>
      </c>
      <c r="JX21" s="49">
        <f t="shared" si="60"/>
        <v>0</v>
      </c>
      <c r="JY21" s="49">
        <f t="shared" si="60"/>
        <v>0</v>
      </c>
      <c r="JZ21" s="49">
        <f t="shared" si="60"/>
        <v>0</v>
      </c>
      <c r="KA21" s="49">
        <f t="shared" si="60"/>
        <v>0</v>
      </c>
      <c r="KB21" s="49">
        <f t="shared" si="60"/>
        <v>0</v>
      </c>
      <c r="KC21" s="49">
        <f t="shared" si="60"/>
        <v>0</v>
      </c>
      <c r="KD21" s="49">
        <f t="shared" si="60"/>
        <v>0</v>
      </c>
      <c r="KE21" s="49">
        <f t="shared" si="60"/>
        <v>0</v>
      </c>
      <c r="KF21" s="49">
        <f t="shared" si="60"/>
        <v>0</v>
      </c>
      <c r="KG21" s="49">
        <f t="shared" si="60"/>
        <v>0</v>
      </c>
      <c r="KH21" s="49">
        <f t="shared" si="60"/>
        <v>0</v>
      </c>
      <c r="KI21" s="49">
        <f t="shared" si="60"/>
        <v>0</v>
      </c>
      <c r="KJ21" s="49">
        <f t="shared" si="60"/>
        <v>0</v>
      </c>
      <c r="KK21" s="49">
        <f t="shared" si="60"/>
        <v>0</v>
      </c>
      <c r="KL21" s="49">
        <f t="shared" si="60"/>
        <v>0</v>
      </c>
      <c r="KM21" s="49">
        <f t="shared" si="60"/>
        <v>0</v>
      </c>
      <c r="KN21" s="49">
        <f t="shared" si="60"/>
        <v>0</v>
      </c>
      <c r="KO21" s="49">
        <f t="shared" si="60"/>
        <v>0</v>
      </c>
      <c r="KP21" s="49">
        <f t="shared" si="60"/>
        <v>0</v>
      </c>
      <c r="KQ21" s="49">
        <f t="shared" si="60"/>
        <v>0</v>
      </c>
      <c r="KR21" s="49">
        <f t="shared" si="60"/>
        <v>0</v>
      </c>
      <c r="KS21" s="49">
        <f t="shared" si="60"/>
        <v>0</v>
      </c>
      <c r="KT21" s="49">
        <f t="shared" si="60"/>
        <v>0</v>
      </c>
      <c r="KU21" s="49">
        <f t="shared" si="60"/>
        <v>0</v>
      </c>
      <c r="KV21" s="49">
        <f t="shared" si="60"/>
        <v>0</v>
      </c>
      <c r="KW21" s="49">
        <f t="shared" si="60"/>
        <v>0</v>
      </c>
      <c r="KX21" s="49">
        <f t="shared" si="60"/>
        <v>0</v>
      </c>
      <c r="KY21" s="49">
        <f t="shared" si="60"/>
        <v>0</v>
      </c>
      <c r="KZ21" s="49">
        <f t="shared" si="60"/>
        <v>0</v>
      </c>
      <c r="LA21" s="49">
        <f t="shared" si="60"/>
        <v>0</v>
      </c>
      <c r="LB21" s="49">
        <f t="shared" si="60"/>
        <v>0</v>
      </c>
      <c r="LC21" s="49">
        <f t="shared" si="60"/>
        <v>0</v>
      </c>
      <c r="LD21" s="49">
        <f t="shared" si="60"/>
        <v>0</v>
      </c>
      <c r="LE21" s="49">
        <f t="shared" si="60"/>
        <v>0</v>
      </c>
      <c r="LF21" s="49">
        <f t="shared" si="60"/>
        <v>0</v>
      </c>
      <c r="LG21" s="49">
        <f t="shared" si="60"/>
        <v>0</v>
      </c>
      <c r="LH21" s="49">
        <f t="shared" si="60"/>
        <v>0</v>
      </c>
      <c r="LI21" s="49">
        <f t="shared" si="60"/>
        <v>0</v>
      </c>
      <c r="LJ21" s="49">
        <f t="shared" si="60"/>
        <v>0</v>
      </c>
      <c r="LK21" s="49">
        <f t="shared" si="60"/>
        <v>0</v>
      </c>
      <c r="LL21" s="49">
        <f t="shared" si="60"/>
        <v>0</v>
      </c>
      <c r="LM21" s="49">
        <f t="shared" si="60"/>
        <v>0</v>
      </c>
      <c r="LN21" s="49">
        <f t="shared" si="60"/>
        <v>0</v>
      </c>
      <c r="LO21" s="49">
        <f t="shared" si="60"/>
        <v>0</v>
      </c>
      <c r="LP21" s="49">
        <f t="shared" si="60"/>
        <v>0</v>
      </c>
    </row>
    <row r="22" spans="1:328" ht="15" hidden="1" customHeight="1" x14ac:dyDescent="0.3">
      <c r="A22" s="285"/>
      <c r="B22" s="285"/>
      <c r="C22" s="312" t="s">
        <v>361</v>
      </c>
      <c r="D22" s="293"/>
      <c r="E22" s="292"/>
      <c r="F22" s="285"/>
      <c r="G22" s="1773" t="s">
        <v>3945</v>
      </c>
      <c r="H22" s="285"/>
      <c r="I22" s="285"/>
      <c r="J22" s="285"/>
      <c r="K22" s="306"/>
      <c r="L22" s="285"/>
      <c r="M22" s="287"/>
      <c r="N22" s="287"/>
      <c r="O22" s="287"/>
      <c r="P22" s="287"/>
      <c r="Q22" s="287"/>
      <c r="R22" s="287"/>
      <c r="S22" s="285"/>
      <c r="T22" s="285"/>
      <c r="U22" s="285"/>
      <c r="V22" s="285"/>
      <c r="W22" s="285"/>
      <c r="X22" s="285"/>
      <c r="Y22" s="285"/>
      <c r="Z22" s="285"/>
      <c r="AA22" s="285"/>
      <c r="AB22" s="285"/>
      <c r="AC22" s="285"/>
      <c r="AD22" s="285"/>
      <c r="AE22" s="285"/>
      <c r="AF22" s="285"/>
      <c r="AG22" s="285"/>
      <c r="AH22" s="2513"/>
      <c r="AI22" s="285"/>
      <c r="AJ22" s="285"/>
      <c r="AK22" s="285"/>
      <c r="AL22" s="285"/>
      <c r="AM22" s="285"/>
      <c r="AN22" s="285"/>
      <c r="AO22" s="285"/>
      <c r="AP22" s="285"/>
      <c r="AQ22" s="285"/>
      <c r="AR22" s="285"/>
      <c r="AS22" s="285"/>
      <c r="AT22" s="285"/>
      <c r="AU22" s="285"/>
      <c r="AV22" s="285"/>
      <c r="AW22" s="285"/>
      <c r="AX22" s="285"/>
      <c r="AY22" s="285"/>
      <c r="AZ22" s="285"/>
      <c r="BA22" s="285"/>
      <c r="BB22" s="285"/>
      <c r="BC22" s="285"/>
      <c r="BD22" s="285"/>
      <c r="BE22" s="285"/>
      <c r="BF22" s="285"/>
      <c r="BG22" s="285"/>
      <c r="BH22" s="285"/>
      <c r="BI22" s="285"/>
      <c r="BJ22" s="285"/>
      <c r="BK22" s="285"/>
      <c r="BL22" s="285"/>
      <c r="BM22" s="285"/>
      <c r="BN22" s="285"/>
      <c r="BO22" s="285"/>
      <c r="BP22" s="285"/>
      <c r="BQ22" s="285"/>
      <c r="BR22" s="285"/>
      <c r="BS22" s="285"/>
      <c r="BT22" s="285"/>
      <c r="BU22" s="285"/>
      <c r="BV22" s="285"/>
      <c r="BW22" s="285"/>
      <c r="BX22" s="285"/>
      <c r="BY22" s="285"/>
      <c r="BZ22" s="285"/>
      <c r="CA22" s="285"/>
      <c r="CB22" s="285"/>
      <c r="CC22" s="285"/>
      <c r="CD22" s="285"/>
      <c r="CE22" s="285"/>
      <c r="CF22" s="285"/>
      <c r="CG22" s="285"/>
      <c r="CH22" s="285"/>
      <c r="CI22" s="285"/>
      <c r="CJ22" s="285"/>
      <c r="CK22" s="285"/>
      <c r="CL22" s="285"/>
      <c r="CM22" s="285"/>
      <c r="CN22" s="285"/>
      <c r="CO22" s="285"/>
      <c r="CP22" s="285"/>
      <c r="CQ22" s="285"/>
      <c r="CR22" s="285"/>
      <c r="CS22" s="285"/>
      <c r="CT22" s="285"/>
      <c r="CU22" s="285"/>
      <c r="CV22" s="285"/>
      <c r="CW22" s="285"/>
      <c r="CX22" s="285"/>
      <c r="CY22" s="285"/>
      <c r="CZ22" s="290" t="s">
        <v>5</v>
      </c>
      <c r="DA22" s="290"/>
      <c r="DB22" s="285"/>
      <c r="DC22" s="285"/>
      <c r="DD22" s="285"/>
      <c r="DE22" s="285"/>
      <c r="DF22" s="285"/>
      <c r="DG22" s="285"/>
      <c r="DH22" s="442" t="s">
        <v>4065</v>
      </c>
      <c r="DI22" s="285"/>
      <c r="DJ22" s="76">
        <f>IF(DJ169=0,0,IFERROR(INDEX('2 Staff List'!$IR$64:$IR$114,DJ21),0))</f>
        <v>58.032992</v>
      </c>
      <c r="DK22" s="76">
        <f>IF(DK169=0,0,IFERROR(INDEX('2 Staff List'!$IR$64:$IR$114,DK21),0))</f>
        <v>17.269024000000002</v>
      </c>
      <c r="DL22" s="76">
        <f>IF(DL169=0,0,IFERROR(INDEX('2 Staff List'!$IR$64:$IR$114,DL21),0))</f>
        <v>62.678264000000006</v>
      </c>
      <c r="DM22" s="76">
        <f>IF(DM169=0,0,IFERROR(INDEX('2 Staff List'!$IR$64:$IR$114,DM21),0))</f>
        <v>23</v>
      </c>
      <c r="DN22" s="76">
        <f>IF(DN169=0,0,IFERROR(INDEX('2 Staff List'!$IR$64:$IR$114,DN21),0))</f>
        <v>30.536799999999999</v>
      </c>
      <c r="DO22" s="76">
        <f>IF(DO169=0,0,IFERROR(INDEX('2 Staff List'!$IR$64:$IR$114,DO21),0))</f>
        <v>52.789599999999993</v>
      </c>
      <c r="DP22" s="76">
        <f>IF(DP169=0,0,IFERROR(INDEX('2 Staff List'!$IR$64:$IR$114,DP21),0))</f>
        <v>37.9696</v>
      </c>
      <c r="DQ22" s="76">
        <f>IF(DQ169=0,0,IFERROR(INDEX('2 Staff List'!$IR$64:$IR$114,DQ21),0))</f>
        <v>28.9864</v>
      </c>
      <c r="DR22" s="76">
        <f>IF(DR169=0,0,IFERROR(INDEX('2 Staff List'!$IR$64:$IR$114,DR21),0))</f>
        <v>27.329599999999999</v>
      </c>
      <c r="DS22" s="76">
        <f>IF(DS169=0,0,IFERROR(INDEX('2 Staff List'!$IR$64:$IR$114,DS21),0))</f>
        <v>24.578400000000002</v>
      </c>
      <c r="DT22" s="76">
        <f>IF(DT169=0,0,IFERROR(INDEX('2 Staff List'!$IR$64:$IR$114,DT21),0))</f>
        <v>0</v>
      </c>
      <c r="DU22" s="76">
        <f>IF(DU169=0,0,IFERROR(INDEX('2 Staff List'!$IR$64:$IR$114,DU21),0))</f>
        <v>0</v>
      </c>
      <c r="DV22" s="76">
        <f>IF(DV169=0,0,IFERROR(INDEX('2 Staff List'!$IR$64:$IR$114,DV21),0))</f>
        <v>0</v>
      </c>
      <c r="DW22" s="76">
        <f>IF(DW169=0,0,IFERROR(INDEX('2 Staff List'!$IR$64:$IR$114,DW21),0))</f>
        <v>0</v>
      </c>
      <c r="DX22" s="76">
        <f>IF(DX169=0,0,IFERROR(INDEX('2 Staff List'!$IR$64:$IR$114,DX21),0))</f>
        <v>0</v>
      </c>
      <c r="DY22" s="76">
        <f>IF(DY169=0,0,IFERROR(INDEX('2 Staff List'!$IR$64:$IR$114,DY21),0))</f>
        <v>0</v>
      </c>
      <c r="DZ22" s="76">
        <f>IF(DZ169=0,0,IFERROR(INDEX('2 Staff List'!$IR$64:$IR$114,DZ21),0))</f>
        <v>0</v>
      </c>
      <c r="EA22" s="76">
        <f>IF(EA169=0,0,IFERROR(INDEX('2 Staff List'!$IR$64:$IR$114,EA21),0))</f>
        <v>0</v>
      </c>
      <c r="EB22" s="76">
        <f>IF(EB169=0,0,IFERROR(INDEX('2 Staff List'!$IR$64:$IR$114,EB21),0))</f>
        <v>0</v>
      </c>
      <c r="EC22" s="76">
        <f>IF(EC169=0,0,IFERROR(INDEX('2 Staff List'!$IR$64:$IR$114,EC21),0))</f>
        <v>0</v>
      </c>
      <c r="ED22" s="76">
        <f>IF(ED169=0,0,IFERROR(INDEX('2 Staff List'!$IR$64:$IR$114,ED21),0))</f>
        <v>0</v>
      </c>
      <c r="EE22" s="76">
        <f>IF(EE169=0,0,IFERROR(INDEX('2 Staff List'!$IR$64:$IR$114,EE21),0))</f>
        <v>0</v>
      </c>
      <c r="EF22" s="76">
        <f>IF(EF169=0,0,IFERROR(INDEX('2 Staff List'!$IR$64:$IR$114,EF21),0))</f>
        <v>0</v>
      </c>
      <c r="EG22" s="76">
        <f>IF(EG169=0,0,IFERROR(INDEX('2 Staff List'!$IR$64:$IR$114,EG21),0))</f>
        <v>0</v>
      </c>
      <c r="EH22" s="76">
        <f>IF(EH169=0,0,IFERROR(INDEX('2 Staff List'!$IR$64:$IR$114,EH21),0))</f>
        <v>0</v>
      </c>
      <c r="EI22" s="76">
        <f>IF(EI169=0,0,IFERROR(INDEX('2 Staff List'!$IR$64:$IR$114,EI21),0))</f>
        <v>0</v>
      </c>
      <c r="EJ22" s="76">
        <f>IF(EJ169=0,0,IFERROR(INDEX('2 Staff List'!$IR$64:$IR$114,EJ21),0))</f>
        <v>0</v>
      </c>
      <c r="EK22" s="76">
        <f>IF(EK169=0,0,IFERROR(INDEX('2 Staff List'!$IR$64:$IR$114,EK21),0))</f>
        <v>0</v>
      </c>
      <c r="EL22" s="76">
        <f>IF(EL169=0,0,IFERROR(INDEX('2 Staff List'!$IR$64:$IR$114,EL21),0))</f>
        <v>0</v>
      </c>
      <c r="EM22" s="76">
        <f>IF(EM169=0,0,IFERROR(INDEX('2 Staff List'!$IR$64:$IR$114,EM21),0))</f>
        <v>0</v>
      </c>
      <c r="EN22" s="76">
        <f>IF(EN169=0,0,IFERROR(INDEX('2 Staff List'!$IR$64:$IR$114,EN21),0))</f>
        <v>0</v>
      </c>
      <c r="EO22" s="76">
        <f>IF(EO169=0,0,IFERROR(INDEX('2 Staff List'!$IR$64:$IR$114,EO21),0))</f>
        <v>0</v>
      </c>
      <c r="EP22" s="76">
        <f>IF(EP169=0,0,IFERROR(INDEX('2 Staff List'!$IR$64:$IR$114,EP21),0))</f>
        <v>0</v>
      </c>
      <c r="EQ22" s="76">
        <f>IF(EQ169=0,0,IFERROR(INDEX('2 Staff List'!$IR$64:$IR$114,EQ21),0))</f>
        <v>0</v>
      </c>
      <c r="ER22" s="76">
        <f>IF(ER169=0,0,IFERROR(INDEX('2 Staff List'!$IR$64:$IR$114,ER21),0))</f>
        <v>0</v>
      </c>
      <c r="ES22" s="76">
        <f>IF(ES169=0,0,IFERROR(INDEX('2 Staff List'!$IR$64:$IR$114,ES21),0))</f>
        <v>0</v>
      </c>
      <c r="ET22" s="76">
        <f>IF(ET169=0,0,IFERROR(INDEX('2 Staff List'!$IR$64:$IR$114,ET21),0))</f>
        <v>0</v>
      </c>
      <c r="EU22" s="76">
        <f>IF(EU169=0,0,IFERROR(INDEX('2 Staff List'!$IR$64:$IR$114,EU21),0))</f>
        <v>0</v>
      </c>
      <c r="EV22" s="76">
        <f>IF(EV169=0,0,IFERROR(INDEX('2 Staff List'!$IR$64:$IR$114,EV21),0))</f>
        <v>0</v>
      </c>
      <c r="EW22" s="76">
        <f>IF(EW169=0,0,IFERROR(INDEX('2 Staff List'!$IR$64:$IR$114,EW21),0))</f>
        <v>0</v>
      </c>
      <c r="EX22" s="76">
        <f>IF(EX169=0,0,IFERROR(INDEX('2 Staff List'!$IR$64:$IR$114,EX21),0))</f>
        <v>0</v>
      </c>
      <c r="EY22" s="76">
        <f>IF(EY169=0,0,IFERROR(INDEX('2 Staff List'!$IR$64:$IR$114,EY21),0))</f>
        <v>0</v>
      </c>
      <c r="EZ22" s="76">
        <f>IF(EZ169=0,0,IFERROR(INDEX('2 Staff List'!$IR$64:$IR$114,EZ21),0))</f>
        <v>0</v>
      </c>
      <c r="FA22" s="76">
        <f>IF(FA169=0,0,IFERROR(INDEX('2 Staff List'!$IR$64:$IR$114,FA21),0))</f>
        <v>0</v>
      </c>
      <c r="FB22" s="76">
        <f>IF(FB169=0,0,IFERROR(INDEX('2 Staff List'!$IR$64:$IR$114,FB21),0))</f>
        <v>0</v>
      </c>
      <c r="FC22" s="76">
        <f>IF(FC169=0,0,IFERROR(INDEX('2 Staff List'!$IR$64:$IR$114,FC21),0))</f>
        <v>0</v>
      </c>
      <c r="FD22" s="76">
        <f>IF(FD169=0,0,IFERROR(INDEX('2 Staff List'!$IR$64:$IR$114,FD21),0))</f>
        <v>0</v>
      </c>
      <c r="FE22" s="76">
        <f>IF(FE169=0,0,IFERROR(INDEX('2 Staff List'!$IR$64:$IR$114,FE21),0))</f>
        <v>0</v>
      </c>
      <c r="FF22" s="76">
        <f>IF(FF169=0,0,IFERROR(INDEX('2 Staff List'!$IR$64:$IR$114,FF21),0))</f>
        <v>0</v>
      </c>
      <c r="FG22" s="76">
        <f>IF(FG169=0,0,IFERROR(INDEX('2 Staff List'!$IR$64:$IR$114,FG21),0))</f>
        <v>0</v>
      </c>
      <c r="FH22" s="604"/>
      <c r="FI22" s="285"/>
      <c r="FJ22" s="307"/>
      <c r="FK22" s="307"/>
      <c r="FL22" s="285"/>
      <c r="FM22" s="285"/>
      <c r="FN22" s="285"/>
      <c r="FO22" s="285"/>
      <c r="FP22" s="285"/>
      <c r="FQ22" s="285"/>
      <c r="FR22" s="285"/>
      <c r="FS22" s="285"/>
      <c r="FT22" s="285"/>
      <c r="FU22" s="285"/>
      <c r="FV22" s="285"/>
      <c r="FW22" s="285"/>
      <c r="FX22" s="285"/>
      <c r="FY22" s="285"/>
      <c r="FZ22" s="285"/>
      <c r="GA22" s="285"/>
      <c r="GB22" s="285"/>
      <c r="GC22" s="285"/>
      <c r="GD22" s="285"/>
      <c r="GE22" s="285"/>
      <c r="GF22" s="285"/>
      <c r="GG22" s="285"/>
      <c r="GH22" s="285"/>
      <c r="GI22" s="285"/>
      <c r="GJ22" s="285"/>
      <c r="GK22" s="285"/>
      <c r="GL22" s="285"/>
      <c r="GM22" s="285"/>
      <c r="GN22" s="60">
        <f>_xlfn.MINIFS(GT22:LQ22,GT22:LQ22,"&gt;0")</f>
        <v>1</v>
      </c>
      <c r="GO22" s="60">
        <f>MAX(GT22:LQ22)</f>
        <v>12</v>
      </c>
      <c r="GP22" s="285"/>
      <c r="GQ22" s="285"/>
      <c r="GR22" s="285"/>
      <c r="GS22" s="308" t="s">
        <v>2568</v>
      </c>
      <c r="GT22" s="48">
        <f t="shared" ref="GT22:HY22" si="61">IF(SUMPRODUCT(GT$173:GT$365,$CY$173:$CY$365)&gt;0,GT37*GT25,0)</f>
        <v>1</v>
      </c>
      <c r="GU22" s="49">
        <f t="shared" si="61"/>
        <v>2</v>
      </c>
      <c r="GV22" s="49">
        <f t="shared" si="61"/>
        <v>3</v>
      </c>
      <c r="GW22" s="49">
        <f t="shared" si="61"/>
        <v>4</v>
      </c>
      <c r="GX22" s="49">
        <f t="shared" si="61"/>
        <v>5</v>
      </c>
      <c r="GY22" s="49">
        <f t="shared" si="61"/>
        <v>6</v>
      </c>
      <c r="GZ22" s="49">
        <f t="shared" si="61"/>
        <v>7</v>
      </c>
      <c r="HA22" s="49">
        <f t="shared" si="61"/>
        <v>8</v>
      </c>
      <c r="HB22" s="49">
        <f t="shared" si="61"/>
        <v>9</v>
      </c>
      <c r="HC22" s="49">
        <f t="shared" si="61"/>
        <v>10</v>
      </c>
      <c r="HD22" s="49">
        <f t="shared" si="61"/>
        <v>11</v>
      </c>
      <c r="HE22" s="49">
        <f t="shared" si="61"/>
        <v>12</v>
      </c>
      <c r="HF22" s="49">
        <f t="shared" si="61"/>
        <v>0</v>
      </c>
      <c r="HG22" s="49">
        <f t="shared" si="61"/>
        <v>0</v>
      </c>
      <c r="HH22" s="49">
        <f t="shared" si="61"/>
        <v>0</v>
      </c>
      <c r="HI22" s="49">
        <f t="shared" si="61"/>
        <v>0</v>
      </c>
      <c r="HJ22" s="49">
        <f t="shared" si="61"/>
        <v>0</v>
      </c>
      <c r="HK22" s="49">
        <f t="shared" si="61"/>
        <v>0</v>
      </c>
      <c r="HL22" s="49">
        <f t="shared" si="61"/>
        <v>0</v>
      </c>
      <c r="HM22" s="49">
        <f t="shared" si="61"/>
        <v>0</v>
      </c>
      <c r="HN22" s="49">
        <f t="shared" si="61"/>
        <v>0</v>
      </c>
      <c r="HO22" s="49">
        <f t="shared" si="61"/>
        <v>0</v>
      </c>
      <c r="HP22" s="49">
        <f t="shared" si="61"/>
        <v>0</v>
      </c>
      <c r="HQ22" s="49">
        <f t="shared" si="61"/>
        <v>0</v>
      </c>
      <c r="HR22" s="49">
        <f t="shared" si="61"/>
        <v>0</v>
      </c>
      <c r="HS22" s="49">
        <f t="shared" si="61"/>
        <v>0</v>
      </c>
      <c r="HT22" s="49">
        <f t="shared" si="61"/>
        <v>0</v>
      </c>
      <c r="HU22" s="49">
        <f t="shared" si="61"/>
        <v>0</v>
      </c>
      <c r="HV22" s="49">
        <f t="shared" si="61"/>
        <v>0</v>
      </c>
      <c r="HW22" s="49">
        <f t="shared" si="61"/>
        <v>0</v>
      </c>
      <c r="HX22" s="49">
        <f t="shared" si="61"/>
        <v>0</v>
      </c>
      <c r="HY22" s="49">
        <f t="shared" si="61"/>
        <v>0</v>
      </c>
      <c r="HZ22" s="49">
        <f t="shared" ref="HZ22:JE22" si="62">IF(SUMPRODUCT(HZ$173:HZ$365,$CY$173:$CY$365)&gt;0,HZ37*HZ25,0)</f>
        <v>0</v>
      </c>
      <c r="IA22" s="49">
        <f t="shared" si="62"/>
        <v>0</v>
      </c>
      <c r="IB22" s="49">
        <f t="shared" si="62"/>
        <v>0</v>
      </c>
      <c r="IC22" s="49">
        <f t="shared" si="62"/>
        <v>0</v>
      </c>
      <c r="ID22" s="49">
        <f t="shared" si="62"/>
        <v>0</v>
      </c>
      <c r="IE22" s="49">
        <f t="shared" si="62"/>
        <v>0</v>
      </c>
      <c r="IF22" s="49">
        <f t="shared" si="62"/>
        <v>0</v>
      </c>
      <c r="IG22" s="49">
        <f t="shared" si="62"/>
        <v>0</v>
      </c>
      <c r="IH22" s="49">
        <f t="shared" si="62"/>
        <v>0</v>
      </c>
      <c r="II22" s="49">
        <f t="shared" si="62"/>
        <v>0</v>
      </c>
      <c r="IJ22" s="49">
        <f t="shared" si="62"/>
        <v>0</v>
      </c>
      <c r="IK22" s="49">
        <f t="shared" si="62"/>
        <v>0</v>
      </c>
      <c r="IL22" s="49">
        <f t="shared" si="62"/>
        <v>0</v>
      </c>
      <c r="IM22" s="49">
        <f t="shared" si="62"/>
        <v>0</v>
      </c>
      <c r="IN22" s="49">
        <f t="shared" si="62"/>
        <v>0</v>
      </c>
      <c r="IO22" s="49">
        <f t="shared" si="62"/>
        <v>0</v>
      </c>
      <c r="IP22" s="49">
        <f t="shared" si="62"/>
        <v>0</v>
      </c>
      <c r="IQ22" s="49">
        <f t="shared" si="62"/>
        <v>0</v>
      </c>
      <c r="IR22" s="49">
        <f t="shared" si="62"/>
        <v>0</v>
      </c>
      <c r="IS22" s="49">
        <f t="shared" si="62"/>
        <v>0</v>
      </c>
      <c r="IT22" s="49">
        <f t="shared" si="62"/>
        <v>0</v>
      </c>
      <c r="IU22" s="49">
        <f t="shared" si="62"/>
        <v>0</v>
      </c>
      <c r="IV22" s="49">
        <f t="shared" si="62"/>
        <v>0</v>
      </c>
      <c r="IW22" s="49">
        <f t="shared" si="62"/>
        <v>0</v>
      </c>
      <c r="IX22" s="49">
        <f t="shared" si="62"/>
        <v>0</v>
      </c>
      <c r="IY22" s="49">
        <f t="shared" si="62"/>
        <v>0</v>
      </c>
      <c r="IZ22" s="49">
        <f t="shared" si="62"/>
        <v>0</v>
      </c>
      <c r="JA22" s="49">
        <f t="shared" si="62"/>
        <v>0</v>
      </c>
      <c r="JB22" s="49">
        <f t="shared" si="62"/>
        <v>0</v>
      </c>
      <c r="JC22" s="49">
        <f t="shared" si="62"/>
        <v>0</v>
      </c>
      <c r="JD22" s="49">
        <f t="shared" si="62"/>
        <v>0</v>
      </c>
      <c r="JE22" s="49">
        <f t="shared" si="62"/>
        <v>0</v>
      </c>
      <c r="JF22" s="49">
        <f t="shared" ref="JF22:KK22" si="63">IF(SUMPRODUCT(JF$173:JF$365,$CY$173:$CY$365)&gt;0,JF37*JF25,0)</f>
        <v>0</v>
      </c>
      <c r="JG22" s="49">
        <f t="shared" si="63"/>
        <v>0</v>
      </c>
      <c r="JH22" s="49">
        <f t="shared" si="63"/>
        <v>0</v>
      </c>
      <c r="JI22" s="49">
        <f t="shared" si="63"/>
        <v>0</v>
      </c>
      <c r="JJ22" s="49">
        <f t="shared" si="63"/>
        <v>0</v>
      </c>
      <c r="JK22" s="49">
        <f t="shared" si="63"/>
        <v>0</v>
      </c>
      <c r="JL22" s="49">
        <f t="shared" si="63"/>
        <v>0</v>
      </c>
      <c r="JM22" s="49">
        <f t="shared" si="63"/>
        <v>0</v>
      </c>
      <c r="JN22" s="49">
        <f t="shared" si="63"/>
        <v>0</v>
      </c>
      <c r="JO22" s="49">
        <f t="shared" si="63"/>
        <v>0</v>
      </c>
      <c r="JP22" s="49">
        <f t="shared" si="63"/>
        <v>0</v>
      </c>
      <c r="JQ22" s="49">
        <f t="shared" si="63"/>
        <v>0</v>
      </c>
      <c r="JR22" s="49">
        <f t="shared" si="63"/>
        <v>0</v>
      </c>
      <c r="JS22" s="49">
        <f t="shared" si="63"/>
        <v>0</v>
      </c>
      <c r="JT22" s="49">
        <f t="shared" si="63"/>
        <v>0</v>
      </c>
      <c r="JU22" s="49">
        <f t="shared" si="63"/>
        <v>0</v>
      </c>
      <c r="JV22" s="49">
        <f t="shared" si="63"/>
        <v>0</v>
      </c>
      <c r="JW22" s="49">
        <f t="shared" si="63"/>
        <v>0</v>
      </c>
      <c r="JX22" s="49">
        <f t="shared" si="63"/>
        <v>0</v>
      </c>
      <c r="JY22" s="49">
        <f t="shared" si="63"/>
        <v>0</v>
      </c>
      <c r="JZ22" s="49">
        <f t="shared" si="63"/>
        <v>0</v>
      </c>
      <c r="KA22" s="49">
        <f t="shared" si="63"/>
        <v>0</v>
      </c>
      <c r="KB22" s="49">
        <f t="shared" si="63"/>
        <v>0</v>
      </c>
      <c r="KC22" s="49">
        <f t="shared" si="63"/>
        <v>0</v>
      </c>
      <c r="KD22" s="49">
        <f t="shared" si="63"/>
        <v>0</v>
      </c>
      <c r="KE22" s="49">
        <f t="shared" si="63"/>
        <v>0</v>
      </c>
      <c r="KF22" s="49">
        <f t="shared" si="63"/>
        <v>0</v>
      </c>
      <c r="KG22" s="49">
        <f t="shared" si="63"/>
        <v>0</v>
      </c>
      <c r="KH22" s="49">
        <f t="shared" si="63"/>
        <v>0</v>
      </c>
      <c r="KI22" s="49">
        <f t="shared" si="63"/>
        <v>0</v>
      </c>
      <c r="KJ22" s="49">
        <f t="shared" si="63"/>
        <v>0</v>
      </c>
      <c r="KK22" s="49">
        <f t="shared" si="63"/>
        <v>0</v>
      </c>
      <c r="KL22" s="49">
        <f t="shared" ref="KL22:LP22" si="64">IF(SUMPRODUCT(KL$173:KL$365,$CY$173:$CY$365)&gt;0,KL37*KL25,0)</f>
        <v>0</v>
      </c>
      <c r="KM22" s="49">
        <f t="shared" si="64"/>
        <v>0</v>
      </c>
      <c r="KN22" s="49">
        <f t="shared" si="64"/>
        <v>0</v>
      </c>
      <c r="KO22" s="49">
        <f t="shared" si="64"/>
        <v>0</v>
      </c>
      <c r="KP22" s="49">
        <f t="shared" si="64"/>
        <v>0</v>
      </c>
      <c r="KQ22" s="49">
        <f t="shared" si="64"/>
        <v>0</v>
      </c>
      <c r="KR22" s="49">
        <f t="shared" si="64"/>
        <v>0</v>
      </c>
      <c r="KS22" s="49">
        <f t="shared" si="64"/>
        <v>0</v>
      </c>
      <c r="KT22" s="49">
        <f t="shared" si="64"/>
        <v>0</v>
      </c>
      <c r="KU22" s="49">
        <f t="shared" si="64"/>
        <v>0</v>
      </c>
      <c r="KV22" s="49">
        <f t="shared" si="64"/>
        <v>0</v>
      </c>
      <c r="KW22" s="49">
        <f t="shared" si="64"/>
        <v>0</v>
      </c>
      <c r="KX22" s="49">
        <f t="shared" si="64"/>
        <v>0</v>
      </c>
      <c r="KY22" s="49">
        <f t="shared" si="64"/>
        <v>0</v>
      </c>
      <c r="KZ22" s="49">
        <f t="shared" si="64"/>
        <v>0</v>
      </c>
      <c r="LA22" s="49">
        <f t="shared" si="64"/>
        <v>0</v>
      </c>
      <c r="LB22" s="49">
        <f t="shared" si="64"/>
        <v>0</v>
      </c>
      <c r="LC22" s="49">
        <f t="shared" si="64"/>
        <v>0</v>
      </c>
      <c r="LD22" s="49">
        <f t="shared" si="64"/>
        <v>0</v>
      </c>
      <c r="LE22" s="49">
        <f t="shared" si="64"/>
        <v>0</v>
      </c>
      <c r="LF22" s="49">
        <f t="shared" si="64"/>
        <v>0</v>
      </c>
      <c r="LG22" s="49">
        <f t="shared" si="64"/>
        <v>0</v>
      </c>
      <c r="LH22" s="49">
        <f t="shared" si="64"/>
        <v>0</v>
      </c>
      <c r="LI22" s="49">
        <f t="shared" si="64"/>
        <v>0</v>
      </c>
      <c r="LJ22" s="49">
        <f t="shared" si="64"/>
        <v>0</v>
      </c>
      <c r="LK22" s="49">
        <f t="shared" si="64"/>
        <v>0</v>
      </c>
      <c r="LL22" s="49">
        <f t="shared" si="64"/>
        <v>0</v>
      </c>
      <c r="LM22" s="49">
        <f t="shared" si="64"/>
        <v>0</v>
      </c>
      <c r="LN22" s="49">
        <f t="shared" si="64"/>
        <v>0</v>
      </c>
      <c r="LO22" s="49">
        <f t="shared" si="64"/>
        <v>0</v>
      </c>
      <c r="LP22" s="49">
        <f t="shared" si="64"/>
        <v>0</v>
      </c>
    </row>
    <row r="23" spans="1:328" ht="15" hidden="1" customHeight="1" x14ac:dyDescent="0.3">
      <c r="A23" s="285"/>
      <c r="B23" s="285"/>
      <c r="C23" s="312" t="s">
        <v>2581</v>
      </c>
      <c r="D23" s="293"/>
      <c r="E23" s="292"/>
      <c r="F23" s="285"/>
      <c r="G23" s="285"/>
      <c r="H23" s="285"/>
      <c r="I23" s="285"/>
      <c r="J23" s="285"/>
      <c r="K23" s="306"/>
      <c r="L23" s="285"/>
      <c r="M23" s="287"/>
      <c r="N23" s="287"/>
      <c r="O23" s="287"/>
      <c r="P23" s="287"/>
      <c r="Q23" s="287"/>
      <c r="R23" s="287"/>
      <c r="S23" s="285"/>
      <c r="T23" s="285"/>
      <c r="U23" s="285"/>
      <c r="V23" s="285"/>
      <c r="W23" s="285"/>
      <c r="X23" s="285"/>
      <c r="Y23" s="285"/>
      <c r="Z23" s="285"/>
      <c r="AA23" s="285"/>
      <c r="AB23" s="285"/>
      <c r="AC23" s="285"/>
      <c r="AD23" s="285"/>
      <c r="AE23" s="285"/>
      <c r="AF23" s="285"/>
      <c r="AG23" s="285"/>
      <c r="AH23" s="2513"/>
      <c r="AI23" s="285"/>
      <c r="AJ23" s="285"/>
      <c r="AK23" s="285"/>
      <c r="AL23" s="285"/>
      <c r="AM23" s="285"/>
      <c r="AN23" s="285"/>
      <c r="AO23" s="285"/>
      <c r="AP23" s="285"/>
      <c r="AQ23" s="285"/>
      <c r="AR23" s="285"/>
      <c r="AS23" s="285"/>
      <c r="AT23" s="285"/>
      <c r="AU23" s="285"/>
      <c r="AV23" s="285"/>
      <c r="AW23" s="285"/>
      <c r="AX23" s="285"/>
      <c r="AY23" s="285"/>
      <c r="AZ23" s="285"/>
      <c r="BA23" s="285"/>
      <c r="BB23" s="285"/>
      <c r="BC23" s="285"/>
      <c r="BD23" s="285"/>
      <c r="BE23" s="285"/>
      <c r="BF23" s="285"/>
      <c r="BG23" s="285"/>
      <c r="BH23" s="285"/>
      <c r="BI23" s="285"/>
      <c r="BJ23" s="285"/>
      <c r="BK23" s="285"/>
      <c r="BL23" s="285"/>
      <c r="BM23" s="285"/>
      <c r="BN23" s="285"/>
      <c r="BO23" s="285"/>
      <c r="BP23" s="285"/>
      <c r="BQ23" s="285"/>
      <c r="BR23" s="285"/>
      <c r="BS23" s="285"/>
      <c r="BT23" s="285"/>
      <c r="BU23" s="285"/>
      <c r="BV23" s="285"/>
      <c r="BW23" s="285"/>
      <c r="BX23" s="285"/>
      <c r="BY23" s="285"/>
      <c r="BZ23" s="285"/>
      <c r="CA23" s="285"/>
      <c r="CB23" s="285"/>
      <c r="CC23" s="285"/>
      <c r="CD23" s="285"/>
      <c r="CE23" s="285"/>
      <c r="CF23" s="285"/>
      <c r="CG23" s="285"/>
      <c r="CH23" s="285"/>
      <c r="CI23" s="285"/>
      <c r="CJ23" s="285"/>
      <c r="CK23" s="285"/>
      <c r="CL23" s="285"/>
      <c r="CM23" s="285"/>
      <c r="CN23" s="285"/>
      <c r="CO23" s="285"/>
      <c r="CP23" s="285"/>
      <c r="CQ23" s="285"/>
      <c r="CR23" s="285"/>
      <c r="CS23" s="285"/>
      <c r="CT23" s="285"/>
      <c r="CU23" s="285"/>
      <c r="CV23" s="285"/>
      <c r="CW23" s="285"/>
      <c r="CX23" s="285"/>
      <c r="CY23" s="285"/>
      <c r="CZ23" s="290"/>
      <c r="DA23" s="290"/>
      <c r="DB23" s="285"/>
      <c r="DC23" s="285"/>
      <c r="DD23" s="285"/>
      <c r="DE23" s="285"/>
      <c r="DF23" s="285"/>
      <c r="DG23" s="285"/>
      <c r="DH23" s="442" t="s">
        <v>1150</v>
      </c>
      <c r="DI23" s="285"/>
      <c r="DJ23" s="76">
        <f>IF(DJ169=0,1,IFERROR(1+INDEX('2 Staff List'!$EX$64:$EX$114,DJ21),1))</f>
        <v>1.52</v>
      </c>
      <c r="DK23" s="76">
        <f>IF(DK169=0,1,IFERROR(1+INDEX('2 Staff List'!$EX$64:$EX$114,DK21),1))</f>
        <v>1.52</v>
      </c>
      <c r="DL23" s="76">
        <f>IF(DL169=0,1,IFERROR(1+INDEX('2 Staff List'!$EX$64:$EX$114,DL21),1))</f>
        <v>1.52</v>
      </c>
      <c r="DM23" s="76">
        <f>IF(DM169=0,1,IFERROR(1+INDEX('2 Staff List'!$EX$64:$EX$114,DM21),1))</f>
        <v>1</v>
      </c>
      <c r="DN23" s="76">
        <f>IF(DN169=0,1,IFERROR(1+INDEX('2 Staff List'!$EX$64:$EX$114,DN21),1))</f>
        <v>1.52</v>
      </c>
      <c r="DO23" s="76">
        <f>IF(DO169=0,1,IFERROR(1+INDEX('2 Staff List'!$EX$64:$EX$114,DO21),1))</f>
        <v>1.52</v>
      </c>
      <c r="DP23" s="76">
        <f>IF(DP169=0,1,IFERROR(1+INDEX('2 Staff List'!$EX$64:$EX$114,DP21),1))</f>
        <v>1.52</v>
      </c>
      <c r="DQ23" s="76">
        <f>IF(DQ169=0,1,IFERROR(1+INDEX('2 Staff List'!$EX$64:$EX$114,DQ21),1))</f>
        <v>1.52</v>
      </c>
      <c r="DR23" s="76">
        <f>IF(DR169=0,1,IFERROR(1+INDEX('2 Staff List'!$EX$64:$EX$114,DR21),1))</f>
        <v>1.52</v>
      </c>
      <c r="DS23" s="76">
        <f>IF(DS169=0,1,IFERROR(1+INDEX('2 Staff List'!$EX$64:$EX$114,DS21),1))</f>
        <v>1.52</v>
      </c>
      <c r="DT23" s="76">
        <f>IF(DT169=0,1,IFERROR(1+INDEX('2 Staff List'!$EX$64:$EX$114,DT21),1))</f>
        <v>1</v>
      </c>
      <c r="DU23" s="76">
        <f>IF(DU169=0,1,IFERROR(1+INDEX('2 Staff List'!$EX$64:$EX$114,DU21),1))</f>
        <v>1</v>
      </c>
      <c r="DV23" s="76">
        <f>IF(DV169=0,1,IFERROR(1+INDEX('2 Staff List'!$EX$64:$EX$114,DV21),1))</f>
        <v>1</v>
      </c>
      <c r="DW23" s="76">
        <f>IF(DW169=0,1,IFERROR(1+INDEX('2 Staff List'!$EX$64:$EX$114,DW21),1))</f>
        <v>1</v>
      </c>
      <c r="DX23" s="76">
        <f>IF(DX169=0,1,IFERROR(1+INDEX('2 Staff List'!$EX$64:$EX$114,DX21),1))</f>
        <v>1</v>
      </c>
      <c r="DY23" s="76">
        <f>IF(DY169=0,1,IFERROR(1+INDEX('2 Staff List'!$EX$64:$EX$114,DY21),1))</f>
        <v>1</v>
      </c>
      <c r="DZ23" s="76">
        <f>IF(DZ169=0,1,IFERROR(1+INDEX('2 Staff List'!$EX$64:$EX$114,DZ21),1))</f>
        <v>1</v>
      </c>
      <c r="EA23" s="76">
        <f>IF(EA169=0,1,IFERROR(1+INDEX('2 Staff List'!$EX$64:$EX$114,EA21),1))</f>
        <v>1</v>
      </c>
      <c r="EB23" s="76">
        <f>IF(EB169=0,1,IFERROR(1+INDEX('2 Staff List'!$EX$64:$EX$114,EB21),1))</f>
        <v>1</v>
      </c>
      <c r="EC23" s="76">
        <f>IF(EC169=0,1,IFERROR(1+INDEX('2 Staff List'!$EX$64:$EX$114,EC21),1))</f>
        <v>1</v>
      </c>
      <c r="ED23" s="76">
        <f>IF(ED169=0,1,IFERROR(1+INDEX('2 Staff List'!$EX$64:$EX$114,ED21),1))</f>
        <v>1</v>
      </c>
      <c r="EE23" s="76">
        <f>IF(EE169=0,1,IFERROR(1+INDEX('2 Staff List'!$EX$64:$EX$114,EE21),1))</f>
        <v>1</v>
      </c>
      <c r="EF23" s="76">
        <f>IF(EF169=0,1,IFERROR(1+INDEX('2 Staff List'!$EX$64:$EX$114,EF21),1))</f>
        <v>1</v>
      </c>
      <c r="EG23" s="76">
        <f>IF(EG169=0,1,IFERROR(1+INDEX('2 Staff List'!$EX$64:$EX$114,EG21),1))</f>
        <v>1</v>
      </c>
      <c r="EH23" s="76">
        <f>IF(EH169=0,1,IFERROR(1+INDEX('2 Staff List'!$EX$64:$EX$114,EH21),1))</f>
        <v>1</v>
      </c>
      <c r="EI23" s="76">
        <f>IF(EI169=0,1,IFERROR(1+INDEX('2 Staff List'!$EX$64:$EX$114,EI21),1))</f>
        <v>1</v>
      </c>
      <c r="EJ23" s="76">
        <f>IF(EJ169=0,1,IFERROR(1+INDEX('2 Staff List'!$EX$64:$EX$114,EJ21),1))</f>
        <v>1</v>
      </c>
      <c r="EK23" s="76">
        <f>IF(EK169=0,1,IFERROR(1+INDEX('2 Staff List'!$EX$64:$EX$114,EK21),1))</f>
        <v>1</v>
      </c>
      <c r="EL23" s="76">
        <f>IF(EL169=0,1,IFERROR(1+INDEX('2 Staff List'!$EX$64:$EX$114,EL21),1))</f>
        <v>1</v>
      </c>
      <c r="EM23" s="76">
        <f>IF(EM169=0,1,IFERROR(1+INDEX('2 Staff List'!$EX$64:$EX$114,EM21),1))</f>
        <v>1</v>
      </c>
      <c r="EN23" s="76">
        <f>IF(EN169=0,1,IFERROR(1+INDEX('2 Staff List'!$EX$64:$EX$114,EN21),1))</f>
        <v>1</v>
      </c>
      <c r="EO23" s="76">
        <f>IF(EO169=0,1,IFERROR(1+INDEX('2 Staff List'!$EX$64:$EX$114,EO21),1))</f>
        <v>1</v>
      </c>
      <c r="EP23" s="76">
        <f>IF(EP169=0,1,IFERROR(1+INDEX('2 Staff List'!$EX$64:$EX$114,EP21),1))</f>
        <v>1</v>
      </c>
      <c r="EQ23" s="76">
        <f>IF(EQ169=0,1,IFERROR(1+INDEX('2 Staff List'!$EX$64:$EX$114,EQ21),1))</f>
        <v>1</v>
      </c>
      <c r="ER23" s="76">
        <f>IF(ER169=0,1,IFERROR(1+INDEX('2 Staff List'!$EX$64:$EX$114,ER21),1))</f>
        <v>1</v>
      </c>
      <c r="ES23" s="76">
        <f>IF(ES169=0,1,IFERROR(1+INDEX('2 Staff List'!$EX$64:$EX$114,ES21),1))</f>
        <v>1</v>
      </c>
      <c r="ET23" s="76">
        <f>IF(ET169=0,1,IFERROR(1+INDEX('2 Staff List'!$EX$64:$EX$114,ET21),1))</f>
        <v>1</v>
      </c>
      <c r="EU23" s="76">
        <f>IF(EU169=0,1,IFERROR(1+INDEX('2 Staff List'!$EX$64:$EX$114,EU21),1))</f>
        <v>1</v>
      </c>
      <c r="EV23" s="76">
        <f>IF(EV169=0,1,IFERROR(1+INDEX('2 Staff List'!$EX$64:$EX$114,EV21),1))</f>
        <v>1</v>
      </c>
      <c r="EW23" s="76">
        <f>IF(EW169=0,1,IFERROR(1+INDEX('2 Staff List'!$EX$64:$EX$114,EW21),1))</f>
        <v>1</v>
      </c>
      <c r="EX23" s="76">
        <f>IF(EX169=0,1,IFERROR(1+INDEX('2 Staff List'!$EX$64:$EX$114,EX21),1))</f>
        <v>1</v>
      </c>
      <c r="EY23" s="76">
        <f>IF(EY169=0,1,IFERROR(1+INDEX('2 Staff List'!$EX$64:$EX$114,EY21),1))</f>
        <v>1</v>
      </c>
      <c r="EZ23" s="76">
        <f>IF(EZ169=0,1,IFERROR(1+INDEX('2 Staff List'!$EX$64:$EX$114,EZ21),1))</f>
        <v>1</v>
      </c>
      <c r="FA23" s="76">
        <f>IF(FA169=0,1,IFERROR(1+INDEX('2 Staff List'!$EX$64:$EX$114,FA21),1))</f>
        <v>1</v>
      </c>
      <c r="FB23" s="76">
        <f>IF(FB169=0,1,IFERROR(1+INDEX('2 Staff List'!$EX$64:$EX$114,FB21),1))</f>
        <v>1</v>
      </c>
      <c r="FC23" s="76">
        <f>IF(FC169=0,1,IFERROR(1+INDEX('2 Staff List'!$EX$64:$EX$114,FC21),1))</f>
        <v>1</v>
      </c>
      <c r="FD23" s="76">
        <f>IF(FD169=0,1,IFERROR(1+INDEX('2 Staff List'!$EX$64:$EX$114,FD21),1))</f>
        <v>1</v>
      </c>
      <c r="FE23" s="76">
        <f>IF(FE169=0,1,IFERROR(1+INDEX('2 Staff List'!$EX$64:$EX$114,FE21),1))</f>
        <v>1</v>
      </c>
      <c r="FF23" s="76">
        <f>IF(FF169=0,1,IFERROR(1+INDEX('2 Staff List'!$EX$64:$EX$114,FF21),1))</f>
        <v>1</v>
      </c>
      <c r="FG23" s="76">
        <f>IF(FG169=0,1,IFERROR(1+INDEX('2 Staff List'!$EX$64:$EX$114,FG21),1))</f>
        <v>1</v>
      </c>
      <c r="FH23" s="604"/>
      <c r="FI23" s="285"/>
      <c r="FJ23" s="307"/>
      <c r="FK23" s="307"/>
      <c r="FL23" s="285"/>
      <c r="FM23" s="285"/>
      <c r="FN23" s="285"/>
      <c r="FO23" s="285"/>
      <c r="FP23" s="285"/>
      <c r="FQ23" s="285"/>
      <c r="FR23" s="285"/>
      <c r="FS23" s="285"/>
      <c r="FT23" s="285"/>
      <c r="FU23" s="285"/>
      <c r="FV23" s="285"/>
      <c r="FW23" s="285"/>
      <c r="FX23" s="285"/>
      <c r="FY23" s="285"/>
      <c r="FZ23" s="285"/>
      <c r="GA23" s="285"/>
      <c r="GB23" s="285"/>
      <c r="GC23" s="285"/>
      <c r="GD23" s="285"/>
      <c r="GE23" s="285"/>
      <c r="GF23" s="285"/>
      <c r="GG23" s="285"/>
      <c r="GH23" s="285"/>
      <c r="GI23" s="285"/>
      <c r="GJ23" s="285"/>
      <c r="GK23" s="285"/>
      <c r="GL23" s="285"/>
      <c r="GM23" s="285"/>
      <c r="GN23" s="60">
        <f>MAX(_xlfn.MINIFS(GT23:LQ23,GT23:LQ23,"&gt;0"),0.000001)</f>
        <v>1</v>
      </c>
      <c r="GO23" s="60">
        <f>MAX(GT23:LQ23)</f>
        <v>12</v>
      </c>
      <c r="GP23" s="285"/>
      <c r="GQ23" s="285"/>
      <c r="GR23" s="412"/>
      <c r="GS23" s="308" t="s">
        <v>2539</v>
      </c>
      <c r="GT23" s="48">
        <f t="shared" ref="GT23:HY23" si="65">IF(SUM(GT$173:GT$365)&gt;0,GT37,0)</f>
        <v>1</v>
      </c>
      <c r="GU23" s="49">
        <f t="shared" si="65"/>
        <v>2</v>
      </c>
      <c r="GV23" s="49">
        <f t="shared" si="65"/>
        <v>3</v>
      </c>
      <c r="GW23" s="49">
        <f t="shared" si="65"/>
        <v>4</v>
      </c>
      <c r="GX23" s="49">
        <f t="shared" si="65"/>
        <v>5</v>
      </c>
      <c r="GY23" s="49">
        <f t="shared" si="65"/>
        <v>6</v>
      </c>
      <c r="GZ23" s="49">
        <f t="shared" si="65"/>
        <v>7</v>
      </c>
      <c r="HA23" s="49">
        <f t="shared" si="65"/>
        <v>8</v>
      </c>
      <c r="HB23" s="49">
        <f t="shared" si="65"/>
        <v>9</v>
      </c>
      <c r="HC23" s="49">
        <f t="shared" si="65"/>
        <v>10</v>
      </c>
      <c r="HD23" s="49">
        <f t="shared" si="65"/>
        <v>11</v>
      </c>
      <c r="HE23" s="49">
        <f t="shared" si="65"/>
        <v>12</v>
      </c>
      <c r="HF23" s="49">
        <f t="shared" si="65"/>
        <v>0</v>
      </c>
      <c r="HG23" s="49">
        <f t="shared" si="65"/>
        <v>0</v>
      </c>
      <c r="HH23" s="49">
        <f t="shared" si="65"/>
        <v>0</v>
      </c>
      <c r="HI23" s="49">
        <f t="shared" si="65"/>
        <v>0</v>
      </c>
      <c r="HJ23" s="49">
        <f t="shared" si="65"/>
        <v>0</v>
      </c>
      <c r="HK23" s="49">
        <f t="shared" si="65"/>
        <v>0</v>
      </c>
      <c r="HL23" s="49">
        <f t="shared" si="65"/>
        <v>0</v>
      </c>
      <c r="HM23" s="49">
        <f t="shared" si="65"/>
        <v>0</v>
      </c>
      <c r="HN23" s="49">
        <f t="shared" si="65"/>
        <v>0</v>
      </c>
      <c r="HO23" s="49">
        <f t="shared" si="65"/>
        <v>0</v>
      </c>
      <c r="HP23" s="49">
        <f t="shared" si="65"/>
        <v>0</v>
      </c>
      <c r="HQ23" s="49">
        <f t="shared" si="65"/>
        <v>0</v>
      </c>
      <c r="HR23" s="49">
        <f t="shared" si="65"/>
        <v>0</v>
      </c>
      <c r="HS23" s="49">
        <f t="shared" si="65"/>
        <v>0</v>
      </c>
      <c r="HT23" s="49">
        <f t="shared" si="65"/>
        <v>0</v>
      </c>
      <c r="HU23" s="49">
        <f t="shared" si="65"/>
        <v>0</v>
      </c>
      <c r="HV23" s="49">
        <f t="shared" si="65"/>
        <v>0</v>
      </c>
      <c r="HW23" s="49">
        <f t="shared" si="65"/>
        <v>0</v>
      </c>
      <c r="HX23" s="49">
        <f t="shared" si="65"/>
        <v>0</v>
      </c>
      <c r="HY23" s="49">
        <f t="shared" si="65"/>
        <v>0</v>
      </c>
      <c r="HZ23" s="49">
        <f t="shared" ref="HZ23:JE23" si="66">IF(SUM(HZ$173:HZ$365)&gt;0,HZ37,0)</f>
        <v>0</v>
      </c>
      <c r="IA23" s="49">
        <f t="shared" si="66"/>
        <v>0</v>
      </c>
      <c r="IB23" s="49">
        <f t="shared" si="66"/>
        <v>0</v>
      </c>
      <c r="IC23" s="49">
        <f t="shared" si="66"/>
        <v>0</v>
      </c>
      <c r="ID23" s="49">
        <f t="shared" si="66"/>
        <v>0</v>
      </c>
      <c r="IE23" s="49">
        <f t="shared" si="66"/>
        <v>0</v>
      </c>
      <c r="IF23" s="49">
        <f t="shared" si="66"/>
        <v>0</v>
      </c>
      <c r="IG23" s="49">
        <f t="shared" si="66"/>
        <v>0</v>
      </c>
      <c r="IH23" s="49">
        <f t="shared" si="66"/>
        <v>0</v>
      </c>
      <c r="II23" s="49">
        <f t="shared" si="66"/>
        <v>0</v>
      </c>
      <c r="IJ23" s="49">
        <f t="shared" si="66"/>
        <v>0</v>
      </c>
      <c r="IK23" s="49">
        <f t="shared" si="66"/>
        <v>0</v>
      </c>
      <c r="IL23" s="49">
        <f t="shared" si="66"/>
        <v>0</v>
      </c>
      <c r="IM23" s="49">
        <f t="shared" si="66"/>
        <v>0</v>
      </c>
      <c r="IN23" s="49">
        <f t="shared" si="66"/>
        <v>0</v>
      </c>
      <c r="IO23" s="49">
        <f t="shared" si="66"/>
        <v>0</v>
      </c>
      <c r="IP23" s="49">
        <f t="shared" si="66"/>
        <v>0</v>
      </c>
      <c r="IQ23" s="49">
        <f t="shared" si="66"/>
        <v>0</v>
      </c>
      <c r="IR23" s="49">
        <f t="shared" si="66"/>
        <v>0</v>
      </c>
      <c r="IS23" s="49">
        <f t="shared" si="66"/>
        <v>0</v>
      </c>
      <c r="IT23" s="49">
        <f t="shared" si="66"/>
        <v>0</v>
      </c>
      <c r="IU23" s="49">
        <f t="shared" si="66"/>
        <v>0</v>
      </c>
      <c r="IV23" s="49">
        <f t="shared" si="66"/>
        <v>0</v>
      </c>
      <c r="IW23" s="49">
        <f t="shared" si="66"/>
        <v>0</v>
      </c>
      <c r="IX23" s="49">
        <f t="shared" si="66"/>
        <v>0</v>
      </c>
      <c r="IY23" s="49">
        <f t="shared" si="66"/>
        <v>0</v>
      </c>
      <c r="IZ23" s="49">
        <f t="shared" si="66"/>
        <v>0</v>
      </c>
      <c r="JA23" s="49">
        <f t="shared" si="66"/>
        <v>0</v>
      </c>
      <c r="JB23" s="49">
        <f t="shared" si="66"/>
        <v>0</v>
      </c>
      <c r="JC23" s="49">
        <f t="shared" si="66"/>
        <v>0</v>
      </c>
      <c r="JD23" s="49">
        <f t="shared" si="66"/>
        <v>0</v>
      </c>
      <c r="JE23" s="49">
        <f t="shared" si="66"/>
        <v>0</v>
      </c>
      <c r="JF23" s="49">
        <f t="shared" ref="JF23:KK23" si="67">IF(SUM(JF$173:JF$365)&gt;0,JF37,0)</f>
        <v>0</v>
      </c>
      <c r="JG23" s="49">
        <f t="shared" si="67"/>
        <v>0</v>
      </c>
      <c r="JH23" s="49">
        <f t="shared" si="67"/>
        <v>0</v>
      </c>
      <c r="JI23" s="49">
        <f t="shared" si="67"/>
        <v>0</v>
      </c>
      <c r="JJ23" s="49">
        <f t="shared" si="67"/>
        <v>0</v>
      </c>
      <c r="JK23" s="49">
        <f t="shared" si="67"/>
        <v>0</v>
      </c>
      <c r="JL23" s="49">
        <f t="shared" si="67"/>
        <v>0</v>
      </c>
      <c r="JM23" s="49">
        <f t="shared" si="67"/>
        <v>0</v>
      </c>
      <c r="JN23" s="49">
        <f t="shared" si="67"/>
        <v>0</v>
      </c>
      <c r="JO23" s="49">
        <f t="shared" si="67"/>
        <v>0</v>
      </c>
      <c r="JP23" s="49">
        <f t="shared" si="67"/>
        <v>0</v>
      </c>
      <c r="JQ23" s="49">
        <f t="shared" si="67"/>
        <v>0</v>
      </c>
      <c r="JR23" s="49">
        <f t="shared" si="67"/>
        <v>0</v>
      </c>
      <c r="JS23" s="49">
        <f t="shared" si="67"/>
        <v>0</v>
      </c>
      <c r="JT23" s="49">
        <f t="shared" si="67"/>
        <v>0</v>
      </c>
      <c r="JU23" s="49">
        <f t="shared" si="67"/>
        <v>0</v>
      </c>
      <c r="JV23" s="49">
        <f t="shared" si="67"/>
        <v>0</v>
      </c>
      <c r="JW23" s="49">
        <f t="shared" si="67"/>
        <v>0</v>
      </c>
      <c r="JX23" s="49">
        <f t="shared" si="67"/>
        <v>0</v>
      </c>
      <c r="JY23" s="49">
        <f t="shared" si="67"/>
        <v>0</v>
      </c>
      <c r="JZ23" s="49">
        <f t="shared" si="67"/>
        <v>0</v>
      </c>
      <c r="KA23" s="49">
        <f t="shared" si="67"/>
        <v>0</v>
      </c>
      <c r="KB23" s="49">
        <f t="shared" si="67"/>
        <v>0</v>
      </c>
      <c r="KC23" s="49">
        <f t="shared" si="67"/>
        <v>0</v>
      </c>
      <c r="KD23" s="49">
        <f t="shared" si="67"/>
        <v>0</v>
      </c>
      <c r="KE23" s="49">
        <f t="shared" si="67"/>
        <v>0</v>
      </c>
      <c r="KF23" s="49">
        <f t="shared" si="67"/>
        <v>0</v>
      </c>
      <c r="KG23" s="49">
        <f t="shared" si="67"/>
        <v>0</v>
      </c>
      <c r="KH23" s="49">
        <f t="shared" si="67"/>
        <v>0</v>
      </c>
      <c r="KI23" s="49">
        <f t="shared" si="67"/>
        <v>0</v>
      </c>
      <c r="KJ23" s="49">
        <f t="shared" si="67"/>
        <v>0</v>
      </c>
      <c r="KK23" s="49">
        <f t="shared" si="67"/>
        <v>0</v>
      </c>
      <c r="KL23" s="49">
        <f t="shared" ref="KL23:LP23" si="68">IF(SUM(KL$173:KL$365)&gt;0,KL37,0)</f>
        <v>0</v>
      </c>
      <c r="KM23" s="49">
        <f t="shared" si="68"/>
        <v>0</v>
      </c>
      <c r="KN23" s="49">
        <f t="shared" si="68"/>
        <v>0</v>
      </c>
      <c r="KO23" s="49">
        <f t="shared" si="68"/>
        <v>0</v>
      </c>
      <c r="KP23" s="49">
        <f t="shared" si="68"/>
        <v>0</v>
      </c>
      <c r="KQ23" s="49">
        <f t="shared" si="68"/>
        <v>0</v>
      </c>
      <c r="KR23" s="49">
        <f t="shared" si="68"/>
        <v>0</v>
      </c>
      <c r="KS23" s="49">
        <f t="shared" si="68"/>
        <v>0</v>
      </c>
      <c r="KT23" s="49">
        <f t="shared" si="68"/>
        <v>0</v>
      </c>
      <c r="KU23" s="49">
        <f t="shared" si="68"/>
        <v>0</v>
      </c>
      <c r="KV23" s="49">
        <f t="shared" si="68"/>
        <v>0</v>
      </c>
      <c r="KW23" s="49">
        <f t="shared" si="68"/>
        <v>0</v>
      </c>
      <c r="KX23" s="49">
        <f t="shared" si="68"/>
        <v>0</v>
      </c>
      <c r="KY23" s="49">
        <f t="shared" si="68"/>
        <v>0</v>
      </c>
      <c r="KZ23" s="49">
        <f t="shared" si="68"/>
        <v>0</v>
      </c>
      <c r="LA23" s="49">
        <f t="shared" si="68"/>
        <v>0</v>
      </c>
      <c r="LB23" s="49">
        <f t="shared" si="68"/>
        <v>0</v>
      </c>
      <c r="LC23" s="49">
        <f t="shared" si="68"/>
        <v>0</v>
      </c>
      <c r="LD23" s="49">
        <f t="shared" si="68"/>
        <v>0</v>
      </c>
      <c r="LE23" s="49">
        <f t="shared" si="68"/>
        <v>0</v>
      </c>
      <c r="LF23" s="49">
        <f t="shared" si="68"/>
        <v>0</v>
      </c>
      <c r="LG23" s="49">
        <f t="shared" si="68"/>
        <v>0</v>
      </c>
      <c r="LH23" s="49">
        <f t="shared" si="68"/>
        <v>0</v>
      </c>
      <c r="LI23" s="49">
        <f t="shared" si="68"/>
        <v>0</v>
      </c>
      <c r="LJ23" s="49">
        <f t="shared" si="68"/>
        <v>0</v>
      </c>
      <c r="LK23" s="49">
        <f t="shared" si="68"/>
        <v>0</v>
      </c>
      <c r="LL23" s="49">
        <f t="shared" si="68"/>
        <v>0</v>
      </c>
      <c r="LM23" s="49">
        <f t="shared" si="68"/>
        <v>0</v>
      </c>
      <c r="LN23" s="49">
        <f t="shared" si="68"/>
        <v>0</v>
      </c>
      <c r="LO23" s="49">
        <f t="shared" si="68"/>
        <v>0</v>
      </c>
      <c r="LP23" s="49">
        <f t="shared" si="68"/>
        <v>0</v>
      </c>
    </row>
    <row r="24" spans="1:328" ht="15" hidden="1" customHeight="1" x14ac:dyDescent="0.3">
      <c r="A24" s="285"/>
      <c r="B24" s="285"/>
      <c r="C24" s="312" t="s">
        <v>2165</v>
      </c>
      <c r="D24" s="293"/>
      <c r="E24" s="290"/>
      <c r="F24" s="285"/>
      <c r="G24" s="285"/>
      <c r="H24" s="285"/>
      <c r="I24" s="285"/>
      <c r="J24" s="285"/>
      <c r="K24" s="306"/>
      <c r="L24" s="285"/>
      <c r="M24" s="287"/>
      <c r="N24" s="287"/>
      <c r="O24" s="287"/>
      <c r="P24" s="287"/>
      <c r="Q24" s="287"/>
      <c r="R24" s="287"/>
      <c r="S24" s="285"/>
      <c r="T24" s="285"/>
      <c r="U24" s="285"/>
      <c r="V24" s="285"/>
      <c r="W24" s="285"/>
      <c r="X24" s="285"/>
      <c r="Y24" s="285"/>
      <c r="Z24" s="285"/>
      <c r="AA24" s="285"/>
      <c r="AB24" s="285"/>
      <c r="AC24" s="285"/>
      <c r="AD24" s="285"/>
      <c r="AE24" s="285"/>
      <c r="AF24" s="285"/>
      <c r="AG24" s="285"/>
      <c r="AH24" s="2513"/>
      <c r="AI24" s="285"/>
      <c r="AJ24" s="285"/>
      <c r="AK24" s="285"/>
      <c r="AL24" s="285"/>
      <c r="AM24" s="285"/>
      <c r="AN24" s="285"/>
      <c r="AO24" s="285"/>
      <c r="AP24" s="285"/>
      <c r="AQ24" s="285"/>
      <c r="AR24" s="285"/>
      <c r="AS24" s="285"/>
      <c r="AT24" s="285"/>
      <c r="AU24" s="285"/>
      <c r="AV24" s="285"/>
      <c r="AW24" s="285"/>
      <c r="AX24" s="285"/>
      <c r="AY24" s="285"/>
      <c r="AZ24" s="285"/>
      <c r="BA24" s="285"/>
      <c r="BB24" s="285"/>
      <c r="BC24" s="285"/>
      <c r="BD24" s="285"/>
      <c r="BE24" s="285"/>
      <c r="BF24" s="285"/>
      <c r="BG24" s="285"/>
      <c r="BH24" s="285"/>
      <c r="BI24" s="285"/>
      <c r="BJ24" s="285"/>
      <c r="BK24" s="285"/>
      <c r="BL24" s="285"/>
      <c r="BM24" s="285"/>
      <c r="BN24" s="285"/>
      <c r="BO24" s="285"/>
      <c r="BP24" s="285"/>
      <c r="BQ24" s="285"/>
      <c r="BR24" s="285"/>
      <c r="BS24" s="285"/>
      <c r="BT24" s="285"/>
      <c r="BU24" s="285"/>
      <c r="BV24" s="285"/>
      <c r="BW24" s="285"/>
      <c r="BX24" s="285"/>
      <c r="BY24" s="285"/>
      <c r="BZ24" s="285"/>
      <c r="CA24" s="285"/>
      <c r="CB24" s="285"/>
      <c r="CC24" s="285"/>
      <c r="CD24" s="285"/>
      <c r="CE24" s="285"/>
      <c r="CF24" s="285"/>
      <c r="CG24" s="285"/>
      <c r="CH24" s="285"/>
      <c r="CI24" s="285"/>
      <c r="CJ24" s="285"/>
      <c r="CK24" s="285"/>
      <c r="CL24" s="285"/>
      <c r="CM24" s="285"/>
      <c r="CN24" s="285"/>
      <c r="CO24" s="285"/>
      <c r="CP24" s="285"/>
      <c r="CQ24" s="285"/>
      <c r="CR24" s="285"/>
      <c r="CS24" s="285"/>
      <c r="CT24" s="285"/>
      <c r="CU24" s="285"/>
      <c r="CV24" s="285"/>
      <c r="CW24" s="285"/>
      <c r="CX24" s="285"/>
      <c r="CY24" s="285"/>
      <c r="CZ24" s="290" t="s">
        <v>5</v>
      </c>
      <c r="DA24" s="290"/>
      <c r="DB24" s="285"/>
      <c r="DC24" s="285"/>
      <c r="DD24" s="285"/>
      <c r="DE24" s="285"/>
      <c r="DF24" s="285"/>
      <c r="DG24" s="285"/>
      <c r="DH24" s="442" t="s">
        <v>2569</v>
      </c>
      <c r="DI24" s="285"/>
      <c r="DJ24" s="76">
        <f ca="1">IF(DJ169=0,0,IFERROR(INDEX('2 Staff List'!$IW$64:$IW$114,DJ21),0))</f>
        <v>91.289574999999999</v>
      </c>
      <c r="DK24" s="76">
        <f ca="1">IF(DK169=0,0,IFERROR(INDEX('2 Staff List'!$IW$64:$IW$114,DK21),0))</f>
        <v>45.579300000000003</v>
      </c>
      <c r="DL24" s="76">
        <f ca="1">IF(DL169=0,0,IFERROR(INDEX('2 Staff List'!$IW$64:$IW$114,DL21),0))</f>
        <v>91.289574999999999</v>
      </c>
      <c r="DM24" s="76">
        <f>IF(DM169=0,0,IFERROR(INDEX('2 Staff List'!$IW$64:$IW$114,DM21),0))</f>
        <v>44.405940594059409</v>
      </c>
      <c r="DN24" s="76">
        <f ca="1">IF(DN169=0,0,IFERROR(INDEX('2 Staff List'!$IW$64:$IW$114,DN21),0))</f>
        <v>62.676575000000007</v>
      </c>
      <c r="DO24" s="76">
        <f ca="1">IF(DO169=0,0,IFERROR(INDEX('2 Staff List'!$IW$64:$IW$114,DO21),0))</f>
        <v>91.289574999999999</v>
      </c>
      <c r="DP24" s="76">
        <f ca="1">IF(DP169=0,0,IFERROR(INDEX('2 Staff List'!$IW$64:$IW$114,DP21),0))</f>
        <v>80.710825</v>
      </c>
      <c r="DQ24" s="76">
        <f ca="1">IF(DQ169=0,0,IFERROR(INDEX('2 Staff List'!$IW$64:$IW$114,DQ21),0))</f>
        <v>52.964275000000001</v>
      </c>
      <c r="DR24" s="76">
        <f ca="1">IF(DR169=0,0,IFERROR(INDEX('2 Staff List'!$IW$64:$IW$114,DR21),0))</f>
        <v>47.241675000000001</v>
      </c>
      <c r="DS24" s="76">
        <f ca="1">IF(DS169=0,0,IFERROR(INDEX('2 Staff List'!$IW$64:$IW$114,DS21),0))</f>
        <v>47.241675000000001</v>
      </c>
      <c r="DT24" s="76">
        <f>IF(DT169=0,0,IFERROR(INDEX('2 Staff List'!$IW$64:$IW$114,DT21),0))</f>
        <v>0</v>
      </c>
      <c r="DU24" s="76">
        <f>IF(DU169=0,0,IFERROR(INDEX('2 Staff List'!$IW$64:$IW$114,DU21),0))</f>
        <v>0</v>
      </c>
      <c r="DV24" s="76">
        <f>IF(DV169=0,0,IFERROR(INDEX('2 Staff List'!$IW$64:$IW$114,DV21),0))</f>
        <v>0</v>
      </c>
      <c r="DW24" s="76">
        <f>IF(DW169=0,0,IFERROR(INDEX('2 Staff List'!$IW$64:$IW$114,DW21),0))</f>
        <v>0</v>
      </c>
      <c r="DX24" s="76">
        <f>IF(DX169=0,0,IFERROR(INDEX('2 Staff List'!$IW$64:$IW$114,DX21),0))</f>
        <v>0</v>
      </c>
      <c r="DY24" s="76">
        <f>IF(DY169=0,0,IFERROR(INDEX('2 Staff List'!$IW$64:$IW$114,DY21),0))</f>
        <v>0</v>
      </c>
      <c r="DZ24" s="76">
        <f>IF(DZ169=0,0,IFERROR(INDEX('2 Staff List'!$IW$64:$IW$114,DZ21),0))</f>
        <v>0</v>
      </c>
      <c r="EA24" s="76">
        <f>IF(EA169=0,0,IFERROR(INDEX('2 Staff List'!$IW$64:$IW$114,EA21),0))</f>
        <v>0</v>
      </c>
      <c r="EB24" s="76">
        <f>IF(EB169=0,0,IFERROR(INDEX('2 Staff List'!$IW$64:$IW$114,EB21),0))</f>
        <v>0</v>
      </c>
      <c r="EC24" s="76">
        <f>IF(EC169=0,0,IFERROR(INDEX('2 Staff List'!$IW$64:$IW$114,EC21),0))</f>
        <v>0</v>
      </c>
      <c r="ED24" s="76">
        <f>IF(ED169=0,0,IFERROR(INDEX('2 Staff List'!$IW$64:$IW$114,ED21),0))</f>
        <v>0</v>
      </c>
      <c r="EE24" s="76">
        <f>IF(EE169=0,0,IFERROR(INDEX('2 Staff List'!$IW$64:$IW$114,EE21),0))</f>
        <v>0</v>
      </c>
      <c r="EF24" s="76">
        <f>IF(EF169=0,0,IFERROR(INDEX('2 Staff List'!$IW$64:$IW$114,EF21),0))</f>
        <v>0</v>
      </c>
      <c r="EG24" s="76">
        <f>IF(EG169=0,0,IFERROR(INDEX('2 Staff List'!$IW$64:$IW$114,EG21),0))</f>
        <v>0</v>
      </c>
      <c r="EH24" s="76">
        <f>IF(EH169=0,0,IFERROR(INDEX('2 Staff List'!$IW$64:$IW$114,EH21),0))</f>
        <v>0</v>
      </c>
      <c r="EI24" s="76">
        <f>IF(EI169=0,0,IFERROR(INDEX('2 Staff List'!$IW$64:$IW$114,EI21),0))</f>
        <v>0</v>
      </c>
      <c r="EJ24" s="76">
        <f>IF(EJ169=0,0,IFERROR(INDEX('2 Staff List'!$IW$64:$IW$114,EJ21),0))</f>
        <v>0</v>
      </c>
      <c r="EK24" s="76">
        <f>IF(EK169=0,0,IFERROR(INDEX('2 Staff List'!$IW$64:$IW$114,EK21),0))</f>
        <v>0</v>
      </c>
      <c r="EL24" s="76">
        <f>IF(EL169=0,0,IFERROR(INDEX('2 Staff List'!$IW$64:$IW$114,EL21),0))</f>
        <v>0</v>
      </c>
      <c r="EM24" s="76">
        <f>IF(EM169=0,0,IFERROR(INDEX('2 Staff List'!$IW$64:$IW$114,EM21),0))</f>
        <v>0</v>
      </c>
      <c r="EN24" s="76">
        <f>IF(EN169=0,0,IFERROR(INDEX('2 Staff List'!$IW$64:$IW$114,EN21),0))</f>
        <v>0</v>
      </c>
      <c r="EO24" s="76">
        <f>IF(EO169=0,0,IFERROR(INDEX('2 Staff List'!$IW$64:$IW$114,EO21),0))</f>
        <v>0</v>
      </c>
      <c r="EP24" s="76">
        <f>IF(EP169=0,0,IFERROR(INDEX('2 Staff List'!$IW$64:$IW$114,EP21),0))</f>
        <v>0</v>
      </c>
      <c r="EQ24" s="76">
        <f>IF(EQ169=0,0,IFERROR(INDEX('2 Staff List'!$IW$64:$IW$114,EQ21),0))</f>
        <v>0</v>
      </c>
      <c r="ER24" s="76">
        <f>IF(ER169=0,0,IFERROR(INDEX('2 Staff List'!$IW$64:$IW$114,ER21),0))</f>
        <v>0</v>
      </c>
      <c r="ES24" s="76">
        <f>IF(ES169=0,0,IFERROR(INDEX('2 Staff List'!$IW$64:$IW$114,ES21),0))</f>
        <v>0</v>
      </c>
      <c r="ET24" s="76">
        <f>IF(ET169=0,0,IFERROR(INDEX('2 Staff List'!$IW$64:$IW$114,ET21),0))</f>
        <v>0</v>
      </c>
      <c r="EU24" s="76">
        <f>IF(EU169=0,0,IFERROR(INDEX('2 Staff List'!$IW$64:$IW$114,EU21),0))</f>
        <v>0</v>
      </c>
      <c r="EV24" s="76">
        <f>IF(EV169=0,0,IFERROR(INDEX('2 Staff List'!$IW$64:$IW$114,EV21),0))</f>
        <v>0</v>
      </c>
      <c r="EW24" s="76">
        <f>IF(EW169=0,0,IFERROR(INDEX('2 Staff List'!$IW$64:$IW$114,EW21),0))</f>
        <v>0</v>
      </c>
      <c r="EX24" s="76">
        <f>IF(EX169=0,0,IFERROR(INDEX('2 Staff List'!$IW$64:$IW$114,EX21),0))</f>
        <v>0</v>
      </c>
      <c r="EY24" s="76">
        <f>IF(EY169=0,0,IFERROR(INDEX('2 Staff List'!$IW$64:$IW$114,EY21),0))</f>
        <v>0</v>
      </c>
      <c r="EZ24" s="76">
        <f>IF(EZ169=0,0,IFERROR(INDEX('2 Staff List'!$IW$64:$IW$114,EZ21),0))</f>
        <v>0</v>
      </c>
      <c r="FA24" s="76">
        <f>IF(FA169=0,0,IFERROR(INDEX('2 Staff List'!$IW$64:$IW$114,FA21),0))</f>
        <v>0</v>
      </c>
      <c r="FB24" s="76">
        <f>IF(FB169=0,0,IFERROR(INDEX('2 Staff List'!$IW$64:$IW$114,FB21),0))</f>
        <v>0</v>
      </c>
      <c r="FC24" s="76">
        <f>IF(FC169=0,0,IFERROR(INDEX('2 Staff List'!$IW$64:$IW$114,FC21),0))</f>
        <v>0</v>
      </c>
      <c r="FD24" s="76">
        <f>IF(FD169=0,0,IFERROR(INDEX('2 Staff List'!$IW$64:$IW$114,FD21),0))</f>
        <v>0</v>
      </c>
      <c r="FE24" s="76">
        <f>IF(FE169=0,0,IFERROR(INDEX('2 Staff List'!$IW$64:$IW$114,FE21),0))</f>
        <v>0</v>
      </c>
      <c r="FF24" s="76">
        <f>IF(FF169=0,0,IFERROR(INDEX('2 Staff List'!$IW$64:$IW$114,FF21),0))</f>
        <v>0</v>
      </c>
      <c r="FG24" s="76">
        <f>IF(FG169=0,0,IFERROR(INDEX('2 Staff List'!$IW$64:$IW$114,FG21),0))</f>
        <v>0</v>
      </c>
      <c r="FH24" s="604"/>
      <c r="FI24" s="285"/>
      <c r="FJ24" s="307"/>
      <c r="FK24" s="307"/>
      <c r="FL24" s="285"/>
      <c r="FM24" s="285"/>
      <c r="FN24" s="285"/>
      <c r="FO24" s="285"/>
      <c r="FP24" s="285"/>
      <c r="FQ24" s="285"/>
      <c r="FR24" s="285"/>
      <c r="FS24" s="285"/>
      <c r="FT24" s="285"/>
      <c r="FU24" s="285"/>
      <c r="FV24" s="285"/>
      <c r="FW24" s="285"/>
      <c r="FX24" s="285"/>
      <c r="FY24" s="285"/>
      <c r="FZ24" s="285"/>
      <c r="GA24" s="285"/>
      <c r="GB24" s="285"/>
      <c r="GC24" s="285"/>
      <c r="GD24" s="285"/>
      <c r="GE24" s="285"/>
      <c r="GF24" s="285"/>
      <c r="GG24" s="285"/>
      <c r="GH24" s="285"/>
      <c r="GI24" s="285"/>
      <c r="GJ24" s="285"/>
      <c r="GK24" s="285"/>
      <c r="GL24" s="285"/>
      <c r="GM24" s="285"/>
      <c r="GN24" s="308"/>
      <c r="GO24" s="308"/>
      <c r="GP24" s="285"/>
      <c r="GQ24" s="285"/>
      <c r="GR24" s="412"/>
      <c r="GS24" s="308" t="s">
        <v>75</v>
      </c>
      <c r="GT24" s="50">
        <f>IF(SUM(GT$173:GT$365)&gt;0,1,0)</f>
        <v>1</v>
      </c>
      <c r="GU24" s="51">
        <f t="shared" ref="GU24:HZ24" si="69">IF(OR(SUM(GU$173:GU$365)&gt;0,GT24=1),1,0)</f>
        <v>1</v>
      </c>
      <c r="GV24" s="51">
        <f t="shared" si="69"/>
        <v>1</v>
      </c>
      <c r="GW24" s="51">
        <f t="shared" si="69"/>
        <v>1</v>
      </c>
      <c r="GX24" s="51">
        <f t="shared" si="69"/>
        <v>1</v>
      </c>
      <c r="GY24" s="51">
        <f t="shared" si="69"/>
        <v>1</v>
      </c>
      <c r="GZ24" s="51">
        <f t="shared" si="69"/>
        <v>1</v>
      </c>
      <c r="HA24" s="51">
        <f t="shared" si="69"/>
        <v>1</v>
      </c>
      <c r="HB24" s="51">
        <f t="shared" si="69"/>
        <v>1</v>
      </c>
      <c r="HC24" s="51">
        <f t="shared" si="69"/>
        <v>1</v>
      </c>
      <c r="HD24" s="51">
        <f t="shared" si="69"/>
        <v>1</v>
      </c>
      <c r="HE24" s="51">
        <f t="shared" si="69"/>
        <v>1</v>
      </c>
      <c r="HF24" s="51">
        <f t="shared" si="69"/>
        <v>1</v>
      </c>
      <c r="HG24" s="51">
        <f t="shared" si="69"/>
        <v>1</v>
      </c>
      <c r="HH24" s="51">
        <f t="shared" si="69"/>
        <v>1</v>
      </c>
      <c r="HI24" s="51">
        <f t="shared" si="69"/>
        <v>1</v>
      </c>
      <c r="HJ24" s="51">
        <f t="shared" si="69"/>
        <v>1</v>
      </c>
      <c r="HK24" s="51">
        <f t="shared" si="69"/>
        <v>1</v>
      </c>
      <c r="HL24" s="51">
        <f t="shared" si="69"/>
        <v>1</v>
      </c>
      <c r="HM24" s="51">
        <f t="shared" si="69"/>
        <v>1</v>
      </c>
      <c r="HN24" s="51">
        <f t="shared" si="69"/>
        <v>1</v>
      </c>
      <c r="HO24" s="51">
        <f t="shared" si="69"/>
        <v>1</v>
      </c>
      <c r="HP24" s="51">
        <f t="shared" si="69"/>
        <v>1</v>
      </c>
      <c r="HQ24" s="51">
        <f t="shared" si="69"/>
        <v>1</v>
      </c>
      <c r="HR24" s="51">
        <f t="shared" si="69"/>
        <v>1</v>
      </c>
      <c r="HS24" s="51">
        <f t="shared" si="69"/>
        <v>1</v>
      </c>
      <c r="HT24" s="51">
        <f t="shared" si="69"/>
        <v>1</v>
      </c>
      <c r="HU24" s="51">
        <f t="shared" si="69"/>
        <v>1</v>
      </c>
      <c r="HV24" s="51">
        <f t="shared" si="69"/>
        <v>1</v>
      </c>
      <c r="HW24" s="51">
        <f t="shared" si="69"/>
        <v>1</v>
      </c>
      <c r="HX24" s="51">
        <f t="shared" si="69"/>
        <v>1</v>
      </c>
      <c r="HY24" s="51">
        <f t="shared" si="69"/>
        <v>1</v>
      </c>
      <c r="HZ24" s="51">
        <f t="shared" si="69"/>
        <v>1</v>
      </c>
      <c r="IA24" s="51">
        <f t="shared" ref="IA24:JF24" si="70">IF(OR(SUM(IA$173:IA$365)&gt;0,HZ24=1),1,0)</f>
        <v>1</v>
      </c>
      <c r="IB24" s="51">
        <f t="shared" si="70"/>
        <v>1</v>
      </c>
      <c r="IC24" s="51">
        <f t="shared" si="70"/>
        <v>1</v>
      </c>
      <c r="ID24" s="51">
        <f t="shared" si="70"/>
        <v>1</v>
      </c>
      <c r="IE24" s="51">
        <f t="shared" si="70"/>
        <v>1</v>
      </c>
      <c r="IF24" s="51">
        <f t="shared" si="70"/>
        <v>1</v>
      </c>
      <c r="IG24" s="51">
        <f t="shared" si="70"/>
        <v>1</v>
      </c>
      <c r="IH24" s="51">
        <f t="shared" si="70"/>
        <v>1</v>
      </c>
      <c r="II24" s="51">
        <f t="shared" si="70"/>
        <v>1</v>
      </c>
      <c r="IJ24" s="51">
        <f t="shared" si="70"/>
        <v>1</v>
      </c>
      <c r="IK24" s="51">
        <f t="shared" si="70"/>
        <v>1</v>
      </c>
      <c r="IL24" s="51">
        <f t="shared" si="70"/>
        <v>1</v>
      </c>
      <c r="IM24" s="51">
        <f t="shared" si="70"/>
        <v>1</v>
      </c>
      <c r="IN24" s="51">
        <f t="shared" si="70"/>
        <v>1</v>
      </c>
      <c r="IO24" s="51">
        <f t="shared" si="70"/>
        <v>1</v>
      </c>
      <c r="IP24" s="51">
        <f t="shared" si="70"/>
        <v>1</v>
      </c>
      <c r="IQ24" s="51">
        <f t="shared" si="70"/>
        <v>1</v>
      </c>
      <c r="IR24" s="51">
        <f t="shared" si="70"/>
        <v>1</v>
      </c>
      <c r="IS24" s="51">
        <f t="shared" si="70"/>
        <v>1</v>
      </c>
      <c r="IT24" s="51">
        <f t="shared" si="70"/>
        <v>1</v>
      </c>
      <c r="IU24" s="51">
        <f t="shared" si="70"/>
        <v>1</v>
      </c>
      <c r="IV24" s="51">
        <f t="shared" si="70"/>
        <v>1</v>
      </c>
      <c r="IW24" s="51">
        <f t="shared" si="70"/>
        <v>1</v>
      </c>
      <c r="IX24" s="51">
        <f t="shared" si="70"/>
        <v>1</v>
      </c>
      <c r="IY24" s="51">
        <f t="shared" si="70"/>
        <v>1</v>
      </c>
      <c r="IZ24" s="51">
        <f t="shared" si="70"/>
        <v>1</v>
      </c>
      <c r="JA24" s="51">
        <f t="shared" si="70"/>
        <v>1</v>
      </c>
      <c r="JB24" s="51">
        <f t="shared" si="70"/>
        <v>1</v>
      </c>
      <c r="JC24" s="51">
        <f t="shared" si="70"/>
        <v>1</v>
      </c>
      <c r="JD24" s="51">
        <f t="shared" si="70"/>
        <v>1</v>
      </c>
      <c r="JE24" s="51">
        <f t="shared" si="70"/>
        <v>1</v>
      </c>
      <c r="JF24" s="51">
        <f t="shared" si="70"/>
        <v>1</v>
      </c>
      <c r="JG24" s="51">
        <f t="shared" ref="JG24:KL24" si="71">IF(OR(SUM(JG$173:JG$365)&gt;0,JF24=1),1,0)</f>
        <v>1</v>
      </c>
      <c r="JH24" s="51">
        <f t="shared" si="71"/>
        <v>1</v>
      </c>
      <c r="JI24" s="51">
        <f t="shared" si="71"/>
        <v>1</v>
      </c>
      <c r="JJ24" s="51">
        <f t="shared" si="71"/>
        <v>1</v>
      </c>
      <c r="JK24" s="51">
        <f t="shared" si="71"/>
        <v>1</v>
      </c>
      <c r="JL24" s="51">
        <f t="shared" si="71"/>
        <v>1</v>
      </c>
      <c r="JM24" s="51">
        <f t="shared" si="71"/>
        <v>1</v>
      </c>
      <c r="JN24" s="51">
        <f t="shared" si="71"/>
        <v>1</v>
      </c>
      <c r="JO24" s="51">
        <f t="shared" si="71"/>
        <v>1</v>
      </c>
      <c r="JP24" s="51">
        <f t="shared" si="71"/>
        <v>1</v>
      </c>
      <c r="JQ24" s="51">
        <f t="shared" si="71"/>
        <v>1</v>
      </c>
      <c r="JR24" s="51">
        <f t="shared" si="71"/>
        <v>1</v>
      </c>
      <c r="JS24" s="51">
        <f t="shared" si="71"/>
        <v>1</v>
      </c>
      <c r="JT24" s="51">
        <f t="shared" si="71"/>
        <v>1</v>
      </c>
      <c r="JU24" s="51">
        <f t="shared" si="71"/>
        <v>1</v>
      </c>
      <c r="JV24" s="51">
        <f t="shared" si="71"/>
        <v>1</v>
      </c>
      <c r="JW24" s="51">
        <f t="shared" si="71"/>
        <v>1</v>
      </c>
      <c r="JX24" s="51">
        <f t="shared" si="71"/>
        <v>1</v>
      </c>
      <c r="JY24" s="51">
        <f t="shared" si="71"/>
        <v>1</v>
      </c>
      <c r="JZ24" s="51">
        <f t="shared" si="71"/>
        <v>1</v>
      </c>
      <c r="KA24" s="51">
        <f t="shared" si="71"/>
        <v>1</v>
      </c>
      <c r="KB24" s="51">
        <f t="shared" si="71"/>
        <v>1</v>
      </c>
      <c r="KC24" s="51">
        <f t="shared" si="71"/>
        <v>1</v>
      </c>
      <c r="KD24" s="51">
        <f t="shared" si="71"/>
        <v>1</v>
      </c>
      <c r="KE24" s="51">
        <f t="shared" si="71"/>
        <v>1</v>
      </c>
      <c r="KF24" s="51">
        <f t="shared" si="71"/>
        <v>1</v>
      </c>
      <c r="KG24" s="51">
        <f t="shared" si="71"/>
        <v>1</v>
      </c>
      <c r="KH24" s="51">
        <f t="shared" si="71"/>
        <v>1</v>
      </c>
      <c r="KI24" s="51">
        <f t="shared" si="71"/>
        <v>1</v>
      </c>
      <c r="KJ24" s="51">
        <f t="shared" si="71"/>
        <v>1</v>
      </c>
      <c r="KK24" s="51">
        <f t="shared" si="71"/>
        <v>1</v>
      </c>
      <c r="KL24" s="51">
        <f t="shared" si="71"/>
        <v>1</v>
      </c>
      <c r="KM24" s="51">
        <f t="shared" ref="KM24:LP24" si="72">IF(OR(SUM(KM$173:KM$365)&gt;0,KL24=1),1,0)</f>
        <v>1</v>
      </c>
      <c r="KN24" s="51">
        <f t="shared" si="72"/>
        <v>1</v>
      </c>
      <c r="KO24" s="51">
        <f t="shared" si="72"/>
        <v>1</v>
      </c>
      <c r="KP24" s="51">
        <f t="shared" si="72"/>
        <v>1</v>
      </c>
      <c r="KQ24" s="51">
        <f t="shared" si="72"/>
        <v>1</v>
      </c>
      <c r="KR24" s="51">
        <f t="shared" si="72"/>
        <v>1</v>
      </c>
      <c r="KS24" s="51">
        <f t="shared" si="72"/>
        <v>1</v>
      </c>
      <c r="KT24" s="51">
        <f t="shared" si="72"/>
        <v>1</v>
      </c>
      <c r="KU24" s="51">
        <f t="shared" si="72"/>
        <v>1</v>
      </c>
      <c r="KV24" s="51">
        <f t="shared" si="72"/>
        <v>1</v>
      </c>
      <c r="KW24" s="51">
        <f t="shared" si="72"/>
        <v>1</v>
      </c>
      <c r="KX24" s="51">
        <f t="shared" si="72"/>
        <v>1</v>
      </c>
      <c r="KY24" s="51">
        <f t="shared" si="72"/>
        <v>1</v>
      </c>
      <c r="KZ24" s="51">
        <f t="shared" si="72"/>
        <v>1</v>
      </c>
      <c r="LA24" s="51">
        <f t="shared" si="72"/>
        <v>1</v>
      </c>
      <c r="LB24" s="51">
        <f t="shared" si="72"/>
        <v>1</v>
      </c>
      <c r="LC24" s="51">
        <f t="shared" si="72"/>
        <v>1</v>
      </c>
      <c r="LD24" s="51">
        <f t="shared" si="72"/>
        <v>1</v>
      </c>
      <c r="LE24" s="51">
        <f t="shared" si="72"/>
        <v>1</v>
      </c>
      <c r="LF24" s="51">
        <f t="shared" si="72"/>
        <v>1</v>
      </c>
      <c r="LG24" s="51">
        <f t="shared" si="72"/>
        <v>1</v>
      </c>
      <c r="LH24" s="51">
        <f t="shared" si="72"/>
        <v>1</v>
      </c>
      <c r="LI24" s="51">
        <f t="shared" si="72"/>
        <v>1</v>
      </c>
      <c r="LJ24" s="51">
        <f t="shared" si="72"/>
        <v>1</v>
      </c>
      <c r="LK24" s="51">
        <f t="shared" si="72"/>
        <v>1</v>
      </c>
      <c r="LL24" s="51">
        <f t="shared" si="72"/>
        <v>1</v>
      </c>
      <c r="LM24" s="51">
        <f t="shared" si="72"/>
        <v>1</v>
      </c>
      <c r="LN24" s="51">
        <f t="shared" si="72"/>
        <v>1</v>
      </c>
      <c r="LO24" s="51">
        <f t="shared" si="72"/>
        <v>1</v>
      </c>
      <c r="LP24" s="51">
        <f t="shared" si="72"/>
        <v>1</v>
      </c>
    </row>
    <row r="25" spans="1:328" ht="15" hidden="1" customHeight="1" x14ac:dyDescent="0.3">
      <c r="A25" s="285"/>
      <c r="B25" s="285"/>
      <c r="C25" s="286"/>
      <c r="D25" s="293"/>
      <c r="E25" s="285"/>
      <c r="F25" s="285"/>
      <c r="G25" s="285"/>
      <c r="H25" s="285"/>
      <c r="I25" s="285"/>
      <c r="J25" s="285"/>
      <c r="K25" s="306"/>
      <c r="L25" s="285"/>
      <c r="M25" s="287"/>
      <c r="N25" s="287"/>
      <c r="O25" s="287"/>
      <c r="P25" s="287"/>
      <c r="Q25" s="287"/>
      <c r="R25" s="287"/>
      <c r="S25" s="285"/>
      <c r="T25" s="285"/>
      <c r="U25" s="285"/>
      <c r="V25" s="285"/>
      <c r="W25" s="285"/>
      <c r="X25" s="285"/>
      <c r="Y25" s="285"/>
      <c r="Z25" s="285"/>
      <c r="AA25" s="285"/>
      <c r="AB25" s="285"/>
      <c r="AC25" s="285"/>
      <c r="AD25" s="285"/>
      <c r="AE25" s="285"/>
      <c r="AF25" s="285"/>
      <c r="AG25" s="285"/>
      <c r="AH25" s="2513"/>
      <c r="AI25" s="285"/>
      <c r="AJ25" s="285"/>
      <c r="AK25" s="285"/>
      <c r="AL25" s="285"/>
      <c r="AM25" s="285"/>
      <c r="AN25" s="285"/>
      <c r="AO25" s="285"/>
      <c r="AP25" s="285"/>
      <c r="AQ25" s="285"/>
      <c r="AR25" s="285"/>
      <c r="AS25" s="285"/>
      <c r="AT25" s="285"/>
      <c r="AU25" s="285"/>
      <c r="AV25" s="285"/>
      <c r="AW25" s="285"/>
      <c r="AX25" s="285"/>
      <c r="AY25" s="285"/>
      <c r="AZ25" s="285"/>
      <c r="BA25" s="285"/>
      <c r="BB25" s="285"/>
      <c r="BC25" s="285"/>
      <c r="BD25" s="285"/>
      <c r="BE25" s="285"/>
      <c r="BF25" s="285"/>
      <c r="BG25" s="285"/>
      <c r="BH25" s="285"/>
      <c r="BI25" s="285"/>
      <c r="BJ25" s="285"/>
      <c r="BK25" s="285"/>
      <c r="BL25" s="285"/>
      <c r="BM25" s="285"/>
      <c r="BN25" s="285"/>
      <c r="BO25" s="285"/>
      <c r="BP25" s="285"/>
      <c r="BQ25" s="285"/>
      <c r="BR25" s="285"/>
      <c r="BS25" s="285"/>
      <c r="BT25" s="285"/>
      <c r="BU25" s="285"/>
      <c r="BV25" s="285"/>
      <c r="BW25" s="285"/>
      <c r="BX25" s="285"/>
      <c r="BY25" s="285"/>
      <c r="BZ25" s="285"/>
      <c r="CA25" s="285"/>
      <c r="CB25" s="285"/>
      <c r="CC25" s="285"/>
      <c r="CD25" s="285"/>
      <c r="CE25" s="285"/>
      <c r="CF25" s="285"/>
      <c r="CG25" s="285"/>
      <c r="CH25" s="285"/>
      <c r="CI25" s="285"/>
      <c r="CJ25" s="285"/>
      <c r="CK25" s="285"/>
      <c r="CL25" s="285"/>
      <c r="CM25" s="285"/>
      <c r="CN25" s="285"/>
      <c r="CO25" s="285"/>
      <c r="CP25" s="285"/>
      <c r="CQ25" s="285"/>
      <c r="CR25" s="285"/>
      <c r="CS25" s="285"/>
      <c r="CT25" s="285"/>
      <c r="CU25" s="285"/>
      <c r="CV25" s="285"/>
      <c r="CW25" s="285"/>
      <c r="CX25" s="285"/>
      <c r="CY25" s="285"/>
      <c r="CZ25" s="290" t="s">
        <v>5</v>
      </c>
      <c r="DA25" s="290"/>
      <c r="DB25" s="285"/>
      <c r="DC25" s="285"/>
      <c r="DD25" s="285"/>
      <c r="DE25" s="285"/>
      <c r="DF25" s="285"/>
      <c r="DG25" s="285"/>
      <c r="DH25" s="308" t="s">
        <v>108</v>
      </c>
      <c r="DI25" s="285"/>
      <c r="DJ25" s="76">
        <f>IF(DJ169=0,0,IFERROR(INDEX('2 Staff List'!$IB$64:$IB$114,DJ21),0))</f>
        <v>0</v>
      </c>
      <c r="DK25" s="76">
        <f>IF(DK169=0,0,IFERROR(INDEX('2 Staff List'!$IB$64:$IB$114,DK21),0))</f>
        <v>0</v>
      </c>
      <c r="DL25" s="76">
        <f>IF(DL169=0,0,IFERROR(INDEX('2 Staff List'!$IB$64:$IB$114,DL21),0))</f>
        <v>0</v>
      </c>
      <c r="DM25" s="76">
        <f>IF(DM169=0,0,IFERROR(INDEX('2 Staff List'!$IB$64:$IB$114,DM21),0))</f>
        <v>0</v>
      </c>
      <c r="DN25" s="76">
        <f>IF(DN169=0,0,IFERROR(INDEX('2 Staff List'!$IB$64:$IB$114,DN21),0))</f>
        <v>0</v>
      </c>
      <c r="DO25" s="76">
        <f>IF(DO169=0,0,IFERROR(INDEX('2 Staff List'!$IB$64:$IB$114,DO21),0))</f>
        <v>0</v>
      </c>
      <c r="DP25" s="76">
        <f>IF(DP169=0,0,IFERROR(INDEX('2 Staff List'!$IB$64:$IB$114,DP21),0))</f>
        <v>0</v>
      </c>
      <c r="DQ25" s="76">
        <f>IF(DQ169=0,0,IFERROR(INDEX('2 Staff List'!$IB$64:$IB$114,DQ21),0))</f>
        <v>0</v>
      </c>
      <c r="DR25" s="76">
        <f>IF(DR169=0,0,IFERROR(INDEX('2 Staff List'!$IB$64:$IB$114,DR21),0))</f>
        <v>0</v>
      </c>
      <c r="DS25" s="76">
        <f>IF(DS169=0,0,IFERROR(INDEX('2 Staff List'!$IB$64:$IB$114,DS21),0))</f>
        <v>0</v>
      </c>
      <c r="DT25" s="76">
        <f>IF(DT169=0,0,IFERROR(INDEX('2 Staff List'!$IB$64:$IB$114,DT21),0))</f>
        <v>0</v>
      </c>
      <c r="DU25" s="76">
        <f>IF(DU169=0,0,IFERROR(INDEX('2 Staff List'!$IB$64:$IB$114,DU21),0))</f>
        <v>0</v>
      </c>
      <c r="DV25" s="76">
        <f>IF(DV169=0,0,IFERROR(INDEX('2 Staff List'!$IB$64:$IB$114,DV21),0))</f>
        <v>0</v>
      </c>
      <c r="DW25" s="76">
        <f>IF(DW169=0,0,IFERROR(INDEX('2 Staff List'!$IB$64:$IB$114,DW21),0))</f>
        <v>0</v>
      </c>
      <c r="DX25" s="76">
        <f>IF(DX169=0,0,IFERROR(INDEX('2 Staff List'!$IB$64:$IB$114,DX21),0))</f>
        <v>0</v>
      </c>
      <c r="DY25" s="76">
        <f>IF(DY169=0,0,IFERROR(INDEX('2 Staff List'!$IB$64:$IB$114,DY21),0))</f>
        <v>0</v>
      </c>
      <c r="DZ25" s="76">
        <f>IF(DZ169=0,0,IFERROR(INDEX('2 Staff List'!$IB$64:$IB$114,DZ21),0))</f>
        <v>0</v>
      </c>
      <c r="EA25" s="76">
        <f>IF(EA169=0,0,IFERROR(INDEX('2 Staff List'!$IB$64:$IB$114,EA21),0))</f>
        <v>0</v>
      </c>
      <c r="EB25" s="76">
        <f>IF(EB169=0,0,IFERROR(INDEX('2 Staff List'!$IB$64:$IB$114,EB21),0))</f>
        <v>0</v>
      </c>
      <c r="EC25" s="76">
        <f>IF(EC169=0,0,IFERROR(INDEX('2 Staff List'!$IB$64:$IB$114,EC21),0))</f>
        <v>0</v>
      </c>
      <c r="ED25" s="76">
        <f>IF(ED169=0,0,IFERROR(INDEX('2 Staff List'!$IB$64:$IB$114,ED21),0))</f>
        <v>0</v>
      </c>
      <c r="EE25" s="76">
        <f>IF(EE169=0,0,IFERROR(INDEX('2 Staff List'!$IB$64:$IB$114,EE21),0))</f>
        <v>0</v>
      </c>
      <c r="EF25" s="76">
        <f>IF(EF169=0,0,IFERROR(INDEX('2 Staff List'!$IB$64:$IB$114,EF21),0))</f>
        <v>0</v>
      </c>
      <c r="EG25" s="76">
        <f>IF(EG169=0,0,IFERROR(INDEX('2 Staff List'!$IB$64:$IB$114,EG21),0))</f>
        <v>0</v>
      </c>
      <c r="EH25" s="76">
        <f>IF(EH169=0,0,IFERROR(INDEX('2 Staff List'!$IB$64:$IB$114,EH21),0))</f>
        <v>0</v>
      </c>
      <c r="EI25" s="76">
        <f>IF(EI169=0,0,IFERROR(INDEX('2 Staff List'!$IB$64:$IB$114,EI21),0))</f>
        <v>0</v>
      </c>
      <c r="EJ25" s="76">
        <f>IF(EJ169=0,0,IFERROR(INDEX('2 Staff List'!$IB$64:$IB$114,EJ21),0))</f>
        <v>0</v>
      </c>
      <c r="EK25" s="76">
        <f>IF(EK169=0,0,IFERROR(INDEX('2 Staff List'!$IB$64:$IB$114,EK21),0))</f>
        <v>0</v>
      </c>
      <c r="EL25" s="76">
        <f>IF(EL169=0,0,IFERROR(INDEX('2 Staff List'!$IB$64:$IB$114,EL21),0))</f>
        <v>0</v>
      </c>
      <c r="EM25" s="76">
        <f>IF(EM169=0,0,IFERROR(INDEX('2 Staff List'!$IB$64:$IB$114,EM21),0))</f>
        <v>0</v>
      </c>
      <c r="EN25" s="76">
        <f>IF(EN169=0,0,IFERROR(INDEX('2 Staff List'!$IB$64:$IB$114,EN21),0))</f>
        <v>0</v>
      </c>
      <c r="EO25" s="76">
        <f>IF(EO169=0,0,IFERROR(INDEX('2 Staff List'!$IB$64:$IB$114,EO21),0))</f>
        <v>0</v>
      </c>
      <c r="EP25" s="76">
        <f>IF(EP169=0,0,IFERROR(INDEX('2 Staff List'!$IB$64:$IB$114,EP21),0))</f>
        <v>0</v>
      </c>
      <c r="EQ25" s="76">
        <f>IF(EQ169=0,0,IFERROR(INDEX('2 Staff List'!$IB$64:$IB$114,EQ21),0))</f>
        <v>0</v>
      </c>
      <c r="ER25" s="76">
        <f>IF(ER169=0,0,IFERROR(INDEX('2 Staff List'!$IB$64:$IB$114,ER21),0))</f>
        <v>0</v>
      </c>
      <c r="ES25" s="76">
        <f>IF(ES169=0,0,IFERROR(INDEX('2 Staff List'!$IB$64:$IB$114,ES21),0))</f>
        <v>0</v>
      </c>
      <c r="ET25" s="76">
        <f>IF(ET169=0,0,IFERROR(INDEX('2 Staff List'!$IB$64:$IB$114,ET21),0))</f>
        <v>0</v>
      </c>
      <c r="EU25" s="76">
        <f>IF(EU169=0,0,IFERROR(INDEX('2 Staff List'!$IB$64:$IB$114,EU21),0))</f>
        <v>0</v>
      </c>
      <c r="EV25" s="76">
        <f>IF(EV169=0,0,IFERROR(INDEX('2 Staff List'!$IB$64:$IB$114,EV21),0))</f>
        <v>0</v>
      </c>
      <c r="EW25" s="76">
        <f>IF(EW169=0,0,IFERROR(INDEX('2 Staff List'!$IB$64:$IB$114,EW21),0))</f>
        <v>0</v>
      </c>
      <c r="EX25" s="76">
        <f>IF(EX169=0,0,IFERROR(INDEX('2 Staff List'!$IB$64:$IB$114,EX21),0))</f>
        <v>0</v>
      </c>
      <c r="EY25" s="76">
        <f>IF(EY169=0,0,IFERROR(INDEX('2 Staff List'!$IB$64:$IB$114,EY21),0))</f>
        <v>0</v>
      </c>
      <c r="EZ25" s="76">
        <f>IF(EZ169=0,0,IFERROR(INDEX('2 Staff List'!$IB$64:$IB$114,EZ21),0))</f>
        <v>0</v>
      </c>
      <c r="FA25" s="76">
        <f>IF(FA169=0,0,IFERROR(INDEX('2 Staff List'!$IB$64:$IB$114,FA21),0))</f>
        <v>0</v>
      </c>
      <c r="FB25" s="76">
        <f>IF(FB169=0,0,IFERROR(INDEX('2 Staff List'!$IB$64:$IB$114,FB21),0))</f>
        <v>0</v>
      </c>
      <c r="FC25" s="76">
        <f>IF(FC169=0,0,IFERROR(INDEX('2 Staff List'!$IB$64:$IB$114,FC21),0))</f>
        <v>0</v>
      </c>
      <c r="FD25" s="76">
        <f>IF(FD169=0,0,IFERROR(INDEX('2 Staff List'!$IB$64:$IB$114,FD21),0))</f>
        <v>0</v>
      </c>
      <c r="FE25" s="76">
        <f>IF(FE169=0,0,IFERROR(INDEX('2 Staff List'!$IB$64:$IB$114,FE21),0))</f>
        <v>0</v>
      </c>
      <c r="FF25" s="76">
        <f>IF(FF169=0,0,IFERROR(INDEX('2 Staff List'!$IB$64:$IB$114,FF21),0))</f>
        <v>0</v>
      </c>
      <c r="FG25" s="76">
        <f>IF(FG169=0,0,IFERROR(INDEX('2 Staff List'!$IB$64:$IB$114,FG21),0))</f>
        <v>0</v>
      </c>
      <c r="FH25" s="604"/>
      <c r="FI25" s="285"/>
      <c r="FJ25" s="307"/>
      <c r="FK25" s="307"/>
      <c r="FL25" s="285"/>
      <c r="FM25" s="285"/>
      <c r="FN25" s="285"/>
      <c r="FO25" s="285"/>
      <c r="FP25" s="285"/>
      <c r="FQ25" s="285"/>
      <c r="FR25" s="285"/>
      <c r="FS25" s="285"/>
      <c r="FT25" s="285"/>
      <c r="FU25" s="285"/>
      <c r="FV25" s="285"/>
      <c r="FW25" s="285"/>
      <c r="FX25" s="285"/>
      <c r="FY25" s="285"/>
      <c r="FZ25" s="285"/>
      <c r="GA25" s="285"/>
      <c r="GB25" s="285"/>
      <c r="GC25" s="285"/>
      <c r="GD25" s="285"/>
      <c r="GE25" s="285"/>
      <c r="GF25" s="285"/>
      <c r="GG25" s="285"/>
      <c r="GH25" s="285"/>
      <c r="GI25" s="285"/>
      <c r="GJ25" s="285"/>
      <c r="GK25" s="285"/>
      <c r="GL25" s="285"/>
      <c r="GM25" s="285"/>
      <c r="GN25" s="308" t="s">
        <v>2538</v>
      </c>
      <c r="GO25" s="60">
        <f>IFERROR(MATCH(1,GT26:LQ26,0),0)</f>
        <v>0</v>
      </c>
      <c r="GP25" s="285"/>
      <c r="GQ25" s="285"/>
      <c r="GR25" s="412"/>
      <c r="GS25" s="308" t="s">
        <v>74</v>
      </c>
      <c r="GT25" s="2293">
        <f>IF(OR($DC$161=0,$C$7&lt;&gt;"F"),1,GT26)</f>
        <v>1</v>
      </c>
      <c r="GU25" s="51">
        <f t="shared" ref="GU25:HZ25" si="73">IF(OR($DC$161=0,$C$7&lt;&gt;"F"),1,GT25+GU26)</f>
        <v>1</v>
      </c>
      <c r="GV25" s="51">
        <f t="shared" si="73"/>
        <v>1</v>
      </c>
      <c r="GW25" s="51">
        <f t="shared" si="73"/>
        <v>1</v>
      </c>
      <c r="GX25" s="51">
        <f t="shared" si="73"/>
        <v>1</v>
      </c>
      <c r="GY25" s="51">
        <f t="shared" si="73"/>
        <v>1</v>
      </c>
      <c r="GZ25" s="51">
        <f t="shared" si="73"/>
        <v>1</v>
      </c>
      <c r="HA25" s="51">
        <f t="shared" si="73"/>
        <v>1</v>
      </c>
      <c r="HB25" s="51">
        <f t="shared" si="73"/>
        <v>1</v>
      </c>
      <c r="HC25" s="51">
        <f t="shared" si="73"/>
        <v>1</v>
      </c>
      <c r="HD25" s="51">
        <f t="shared" si="73"/>
        <v>1</v>
      </c>
      <c r="HE25" s="51">
        <f t="shared" si="73"/>
        <v>1</v>
      </c>
      <c r="HF25" s="51">
        <f t="shared" si="73"/>
        <v>1</v>
      </c>
      <c r="HG25" s="51">
        <f t="shared" si="73"/>
        <v>1</v>
      </c>
      <c r="HH25" s="51">
        <f t="shared" si="73"/>
        <v>1</v>
      </c>
      <c r="HI25" s="51">
        <f t="shared" si="73"/>
        <v>1</v>
      </c>
      <c r="HJ25" s="51">
        <f t="shared" si="73"/>
        <v>1</v>
      </c>
      <c r="HK25" s="51">
        <f t="shared" si="73"/>
        <v>1</v>
      </c>
      <c r="HL25" s="51">
        <f t="shared" si="73"/>
        <v>1</v>
      </c>
      <c r="HM25" s="51">
        <f t="shared" si="73"/>
        <v>1</v>
      </c>
      <c r="HN25" s="51">
        <f t="shared" si="73"/>
        <v>1</v>
      </c>
      <c r="HO25" s="51">
        <f t="shared" si="73"/>
        <v>1</v>
      </c>
      <c r="HP25" s="51">
        <f t="shared" si="73"/>
        <v>1</v>
      </c>
      <c r="HQ25" s="51">
        <f t="shared" si="73"/>
        <v>1</v>
      </c>
      <c r="HR25" s="51">
        <f t="shared" si="73"/>
        <v>1</v>
      </c>
      <c r="HS25" s="51">
        <f t="shared" si="73"/>
        <v>1</v>
      </c>
      <c r="HT25" s="51">
        <f t="shared" si="73"/>
        <v>1</v>
      </c>
      <c r="HU25" s="51">
        <f t="shared" si="73"/>
        <v>1</v>
      </c>
      <c r="HV25" s="51">
        <f t="shared" si="73"/>
        <v>1</v>
      </c>
      <c r="HW25" s="51">
        <f t="shared" si="73"/>
        <v>1</v>
      </c>
      <c r="HX25" s="51">
        <f t="shared" si="73"/>
        <v>1</v>
      </c>
      <c r="HY25" s="51">
        <f t="shared" si="73"/>
        <v>1</v>
      </c>
      <c r="HZ25" s="51">
        <f t="shared" si="73"/>
        <v>1</v>
      </c>
      <c r="IA25" s="51">
        <f t="shared" ref="IA25:JF25" si="74">IF(OR($DC$161=0,$C$7&lt;&gt;"F"),1,HZ25+IA26)</f>
        <v>1</v>
      </c>
      <c r="IB25" s="51">
        <f t="shared" si="74"/>
        <v>1</v>
      </c>
      <c r="IC25" s="51">
        <f t="shared" si="74"/>
        <v>1</v>
      </c>
      <c r="ID25" s="51">
        <f t="shared" si="74"/>
        <v>1</v>
      </c>
      <c r="IE25" s="51">
        <f t="shared" si="74"/>
        <v>1</v>
      </c>
      <c r="IF25" s="51">
        <f t="shared" si="74"/>
        <v>1</v>
      </c>
      <c r="IG25" s="51">
        <f t="shared" si="74"/>
        <v>1</v>
      </c>
      <c r="IH25" s="51">
        <f t="shared" si="74"/>
        <v>1</v>
      </c>
      <c r="II25" s="51">
        <f t="shared" si="74"/>
        <v>1</v>
      </c>
      <c r="IJ25" s="51">
        <f t="shared" si="74"/>
        <v>1</v>
      </c>
      <c r="IK25" s="51">
        <f t="shared" si="74"/>
        <v>1</v>
      </c>
      <c r="IL25" s="51">
        <f t="shared" si="74"/>
        <v>1</v>
      </c>
      <c r="IM25" s="51">
        <f t="shared" si="74"/>
        <v>1</v>
      </c>
      <c r="IN25" s="51">
        <f t="shared" si="74"/>
        <v>1</v>
      </c>
      <c r="IO25" s="51">
        <f t="shared" si="74"/>
        <v>1</v>
      </c>
      <c r="IP25" s="51">
        <f t="shared" si="74"/>
        <v>1</v>
      </c>
      <c r="IQ25" s="51">
        <f t="shared" si="74"/>
        <v>1</v>
      </c>
      <c r="IR25" s="51">
        <f t="shared" si="74"/>
        <v>1</v>
      </c>
      <c r="IS25" s="51">
        <f t="shared" si="74"/>
        <v>1</v>
      </c>
      <c r="IT25" s="51">
        <f t="shared" si="74"/>
        <v>1</v>
      </c>
      <c r="IU25" s="51">
        <f t="shared" si="74"/>
        <v>1</v>
      </c>
      <c r="IV25" s="51">
        <f t="shared" si="74"/>
        <v>1</v>
      </c>
      <c r="IW25" s="51">
        <f t="shared" si="74"/>
        <v>1</v>
      </c>
      <c r="IX25" s="51">
        <f t="shared" si="74"/>
        <v>1</v>
      </c>
      <c r="IY25" s="51">
        <f t="shared" si="74"/>
        <v>1</v>
      </c>
      <c r="IZ25" s="51">
        <f t="shared" si="74"/>
        <v>1</v>
      </c>
      <c r="JA25" s="51">
        <f t="shared" si="74"/>
        <v>1</v>
      </c>
      <c r="JB25" s="51">
        <f t="shared" si="74"/>
        <v>1</v>
      </c>
      <c r="JC25" s="51">
        <f t="shared" si="74"/>
        <v>1</v>
      </c>
      <c r="JD25" s="51">
        <f t="shared" si="74"/>
        <v>1</v>
      </c>
      <c r="JE25" s="51">
        <f t="shared" si="74"/>
        <v>1</v>
      </c>
      <c r="JF25" s="51">
        <f t="shared" si="74"/>
        <v>1</v>
      </c>
      <c r="JG25" s="51">
        <f t="shared" ref="JG25:KL25" si="75">IF(OR($DC$161=0,$C$7&lt;&gt;"F"),1,JF25+JG26)</f>
        <v>1</v>
      </c>
      <c r="JH25" s="51">
        <f t="shared" si="75"/>
        <v>1</v>
      </c>
      <c r="JI25" s="51">
        <f t="shared" si="75"/>
        <v>1</v>
      </c>
      <c r="JJ25" s="51">
        <f t="shared" si="75"/>
        <v>1</v>
      </c>
      <c r="JK25" s="51">
        <f t="shared" si="75"/>
        <v>1</v>
      </c>
      <c r="JL25" s="51">
        <f t="shared" si="75"/>
        <v>1</v>
      </c>
      <c r="JM25" s="51">
        <f t="shared" si="75"/>
        <v>1</v>
      </c>
      <c r="JN25" s="51">
        <f t="shared" si="75"/>
        <v>1</v>
      </c>
      <c r="JO25" s="51">
        <f t="shared" si="75"/>
        <v>1</v>
      </c>
      <c r="JP25" s="51">
        <f t="shared" si="75"/>
        <v>1</v>
      </c>
      <c r="JQ25" s="51">
        <f t="shared" si="75"/>
        <v>1</v>
      </c>
      <c r="JR25" s="51">
        <f t="shared" si="75"/>
        <v>1</v>
      </c>
      <c r="JS25" s="51">
        <f t="shared" si="75"/>
        <v>1</v>
      </c>
      <c r="JT25" s="51">
        <f t="shared" si="75"/>
        <v>1</v>
      </c>
      <c r="JU25" s="51">
        <f t="shared" si="75"/>
        <v>1</v>
      </c>
      <c r="JV25" s="51">
        <f t="shared" si="75"/>
        <v>1</v>
      </c>
      <c r="JW25" s="51">
        <f t="shared" si="75"/>
        <v>1</v>
      </c>
      <c r="JX25" s="51">
        <f t="shared" si="75"/>
        <v>1</v>
      </c>
      <c r="JY25" s="51">
        <f t="shared" si="75"/>
        <v>1</v>
      </c>
      <c r="JZ25" s="51">
        <f t="shared" si="75"/>
        <v>1</v>
      </c>
      <c r="KA25" s="51">
        <f t="shared" si="75"/>
        <v>1</v>
      </c>
      <c r="KB25" s="51">
        <f t="shared" si="75"/>
        <v>1</v>
      </c>
      <c r="KC25" s="51">
        <f t="shared" si="75"/>
        <v>1</v>
      </c>
      <c r="KD25" s="51">
        <f t="shared" si="75"/>
        <v>1</v>
      </c>
      <c r="KE25" s="51">
        <f t="shared" si="75"/>
        <v>1</v>
      </c>
      <c r="KF25" s="51">
        <f t="shared" si="75"/>
        <v>1</v>
      </c>
      <c r="KG25" s="51">
        <f t="shared" si="75"/>
        <v>1</v>
      </c>
      <c r="KH25" s="51">
        <f t="shared" si="75"/>
        <v>1</v>
      </c>
      <c r="KI25" s="51">
        <f t="shared" si="75"/>
        <v>1</v>
      </c>
      <c r="KJ25" s="51">
        <f t="shared" si="75"/>
        <v>1</v>
      </c>
      <c r="KK25" s="51">
        <f t="shared" si="75"/>
        <v>1</v>
      </c>
      <c r="KL25" s="51">
        <f t="shared" si="75"/>
        <v>1</v>
      </c>
      <c r="KM25" s="51">
        <f t="shared" ref="KM25:LP25" si="76">IF(OR($DC$161=0,$C$7&lt;&gt;"F"),1,KL25+KM26)</f>
        <v>1</v>
      </c>
      <c r="KN25" s="51">
        <f t="shared" si="76"/>
        <v>1</v>
      </c>
      <c r="KO25" s="51">
        <f t="shared" si="76"/>
        <v>1</v>
      </c>
      <c r="KP25" s="51">
        <f t="shared" si="76"/>
        <v>1</v>
      </c>
      <c r="KQ25" s="51">
        <f t="shared" si="76"/>
        <v>1</v>
      </c>
      <c r="KR25" s="51">
        <f t="shared" si="76"/>
        <v>1</v>
      </c>
      <c r="KS25" s="51">
        <f t="shared" si="76"/>
        <v>1</v>
      </c>
      <c r="KT25" s="51">
        <f t="shared" si="76"/>
        <v>1</v>
      </c>
      <c r="KU25" s="51">
        <f t="shared" si="76"/>
        <v>1</v>
      </c>
      <c r="KV25" s="51">
        <f t="shared" si="76"/>
        <v>1</v>
      </c>
      <c r="KW25" s="51">
        <f t="shared" si="76"/>
        <v>1</v>
      </c>
      <c r="KX25" s="51">
        <f t="shared" si="76"/>
        <v>1</v>
      </c>
      <c r="KY25" s="51">
        <f t="shared" si="76"/>
        <v>1</v>
      </c>
      <c r="KZ25" s="51">
        <f t="shared" si="76"/>
        <v>1</v>
      </c>
      <c r="LA25" s="51">
        <f t="shared" si="76"/>
        <v>1</v>
      </c>
      <c r="LB25" s="51">
        <f t="shared" si="76"/>
        <v>1</v>
      </c>
      <c r="LC25" s="51">
        <f t="shared" si="76"/>
        <v>1</v>
      </c>
      <c r="LD25" s="51">
        <f t="shared" si="76"/>
        <v>1</v>
      </c>
      <c r="LE25" s="51">
        <f t="shared" si="76"/>
        <v>1</v>
      </c>
      <c r="LF25" s="51">
        <f t="shared" si="76"/>
        <v>1</v>
      </c>
      <c r="LG25" s="51">
        <f t="shared" si="76"/>
        <v>1</v>
      </c>
      <c r="LH25" s="51">
        <f t="shared" si="76"/>
        <v>1</v>
      </c>
      <c r="LI25" s="51">
        <f t="shared" si="76"/>
        <v>1</v>
      </c>
      <c r="LJ25" s="51">
        <f t="shared" si="76"/>
        <v>1</v>
      </c>
      <c r="LK25" s="51">
        <f t="shared" si="76"/>
        <v>1</v>
      </c>
      <c r="LL25" s="51">
        <f t="shared" si="76"/>
        <v>1</v>
      </c>
      <c r="LM25" s="51">
        <f t="shared" si="76"/>
        <v>1</v>
      </c>
      <c r="LN25" s="51">
        <f t="shared" si="76"/>
        <v>1</v>
      </c>
      <c r="LO25" s="51">
        <f t="shared" si="76"/>
        <v>1</v>
      </c>
      <c r="LP25" s="51">
        <f t="shared" si="76"/>
        <v>1</v>
      </c>
    </row>
    <row r="26" spans="1:328" ht="12.75" hidden="1" customHeight="1" x14ac:dyDescent="0.3">
      <c r="A26" s="285"/>
      <c r="B26" s="285"/>
      <c r="C26" s="286"/>
      <c r="D26" s="293"/>
      <c r="E26" s="285"/>
      <c r="F26" s="285"/>
      <c r="G26" s="285"/>
      <c r="H26" s="285"/>
      <c r="I26" s="285"/>
      <c r="J26" s="285"/>
      <c r="K26" s="306"/>
      <c r="L26" s="285"/>
      <c r="M26" s="287"/>
      <c r="N26" s="287"/>
      <c r="O26" s="287"/>
      <c r="P26" s="287"/>
      <c r="Q26" s="287"/>
      <c r="R26" s="287"/>
      <c r="S26" s="285"/>
      <c r="T26" s="285"/>
      <c r="U26" s="285"/>
      <c r="V26" s="285"/>
      <c r="W26" s="285"/>
      <c r="X26" s="285"/>
      <c r="Y26" s="285"/>
      <c r="Z26" s="285"/>
      <c r="AA26" s="285"/>
      <c r="AB26" s="285"/>
      <c r="AC26" s="285"/>
      <c r="AD26" s="285"/>
      <c r="AE26" s="285"/>
      <c r="AF26" s="285"/>
      <c r="AG26" s="285"/>
      <c r="AH26" s="2513"/>
      <c r="AI26" s="285"/>
      <c r="AJ26" s="285"/>
      <c r="AK26" s="285"/>
      <c r="AL26" s="285"/>
      <c r="AM26" s="285"/>
      <c r="AN26" s="285"/>
      <c r="AO26" s="285"/>
      <c r="AP26" s="285"/>
      <c r="AQ26" s="285"/>
      <c r="AR26" s="285"/>
      <c r="AS26" s="285"/>
      <c r="AT26" s="285"/>
      <c r="AU26" s="285"/>
      <c r="AV26" s="285"/>
      <c r="AW26" s="285"/>
      <c r="AX26" s="285"/>
      <c r="AY26" s="285"/>
      <c r="AZ26" s="285"/>
      <c r="BA26" s="285"/>
      <c r="BB26" s="285"/>
      <c r="BC26" s="285"/>
      <c r="BD26" s="285"/>
      <c r="BE26" s="285"/>
      <c r="BF26" s="285"/>
      <c r="BG26" s="285"/>
      <c r="BH26" s="285"/>
      <c r="BI26" s="285"/>
      <c r="BJ26" s="285"/>
      <c r="BK26" s="285"/>
      <c r="BL26" s="285"/>
      <c r="BM26" s="285"/>
      <c r="BN26" s="285"/>
      <c r="BO26" s="285"/>
      <c r="BP26" s="285"/>
      <c r="BQ26" s="285"/>
      <c r="BR26" s="285"/>
      <c r="BS26" s="285"/>
      <c r="BT26" s="285"/>
      <c r="BU26" s="285"/>
      <c r="BV26" s="285"/>
      <c r="BW26" s="285"/>
      <c r="BX26" s="285"/>
      <c r="BY26" s="285"/>
      <c r="BZ26" s="285"/>
      <c r="CA26" s="285"/>
      <c r="CB26" s="285"/>
      <c r="CC26" s="285"/>
      <c r="CD26" s="285"/>
      <c r="CE26" s="285"/>
      <c r="CF26" s="285"/>
      <c r="CG26" s="285"/>
      <c r="CH26" s="285"/>
      <c r="CI26" s="285"/>
      <c r="CJ26" s="285"/>
      <c r="CK26" s="285"/>
      <c r="CL26" s="285"/>
      <c r="CM26" s="285"/>
      <c r="CN26" s="285"/>
      <c r="CO26" s="285"/>
      <c r="CP26" s="285"/>
      <c r="CQ26" s="285"/>
      <c r="CR26" s="285"/>
      <c r="CS26" s="285"/>
      <c r="CT26" s="285"/>
      <c r="CU26" s="285"/>
      <c r="CV26" s="285"/>
      <c r="CW26" s="285"/>
      <c r="CX26" s="285"/>
      <c r="CY26" s="285"/>
      <c r="CZ26" s="285"/>
      <c r="DA26" s="285"/>
      <c r="DB26" s="285"/>
      <c r="DC26" s="285"/>
      <c r="DD26" s="285"/>
      <c r="DE26" s="285"/>
      <c r="DF26" s="285"/>
      <c r="DG26" s="285"/>
      <c r="DH26" s="308" t="s">
        <v>767</v>
      </c>
      <c r="DI26" s="285"/>
      <c r="DJ26" s="76">
        <f>IF(DJ169=0,0,IFERROR(INDEX('2 Staff List'!$HW$64:$HW$114,DJ21),0))</f>
        <v>0</v>
      </c>
      <c r="DK26" s="76">
        <f>IF(DK169=0,0,IFERROR(INDEX('2 Staff List'!$HW$64:$HW$114,DK21),0))</f>
        <v>0</v>
      </c>
      <c r="DL26" s="76">
        <f>IF(DL169=0,0,IFERROR(INDEX('2 Staff List'!$HW$64:$HW$114,DL21),0))</f>
        <v>0</v>
      </c>
      <c r="DM26" s="76">
        <f>IF(DM169=0,0,IFERROR(INDEX('2 Staff List'!$HW$64:$HW$114,DM21),0))</f>
        <v>0</v>
      </c>
      <c r="DN26" s="76">
        <f>IF(DN169=0,0,IFERROR(INDEX('2 Staff List'!$HW$64:$HW$114,DN21),0))</f>
        <v>0</v>
      </c>
      <c r="DO26" s="76">
        <f>IF(DO169=0,0,IFERROR(INDEX('2 Staff List'!$HW$64:$HW$114,DO21),0))</f>
        <v>0</v>
      </c>
      <c r="DP26" s="76">
        <f>IF(DP169=0,0,IFERROR(INDEX('2 Staff List'!$HW$64:$HW$114,DP21),0))</f>
        <v>0</v>
      </c>
      <c r="DQ26" s="76">
        <f>IF(DQ169=0,0,IFERROR(INDEX('2 Staff List'!$HW$64:$HW$114,DQ21),0))</f>
        <v>0</v>
      </c>
      <c r="DR26" s="76">
        <f>IF(DR169=0,0,IFERROR(INDEX('2 Staff List'!$HW$64:$HW$114,DR21),0))</f>
        <v>0</v>
      </c>
      <c r="DS26" s="76">
        <f>IF(DS169=0,0,IFERROR(INDEX('2 Staff List'!$HW$64:$HW$114,DS21),0))</f>
        <v>0</v>
      </c>
      <c r="DT26" s="76">
        <f>IF(DT169=0,0,IFERROR(INDEX('2 Staff List'!$HW$64:$HW$114,DT21),0))</f>
        <v>0</v>
      </c>
      <c r="DU26" s="76">
        <f>IF(DU169=0,0,IFERROR(INDEX('2 Staff List'!$HW$64:$HW$114,DU21),0))</f>
        <v>0</v>
      </c>
      <c r="DV26" s="76">
        <f>IF(DV169=0,0,IFERROR(INDEX('2 Staff List'!$HW$64:$HW$114,DV21),0))</f>
        <v>0</v>
      </c>
      <c r="DW26" s="76">
        <f>IF(DW169=0,0,IFERROR(INDEX('2 Staff List'!$HW$64:$HW$114,DW21),0))</f>
        <v>0</v>
      </c>
      <c r="DX26" s="76">
        <f>IF(DX169=0,0,IFERROR(INDEX('2 Staff List'!$HW$64:$HW$114,DX21),0))</f>
        <v>0</v>
      </c>
      <c r="DY26" s="76">
        <f>IF(DY169=0,0,IFERROR(INDEX('2 Staff List'!$HW$64:$HW$114,DY21),0))</f>
        <v>0</v>
      </c>
      <c r="DZ26" s="76">
        <f>IF(DZ169=0,0,IFERROR(INDEX('2 Staff List'!$HW$64:$HW$114,DZ21),0))</f>
        <v>0</v>
      </c>
      <c r="EA26" s="76">
        <f>IF(EA169=0,0,IFERROR(INDEX('2 Staff List'!$HW$64:$HW$114,EA21),0))</f>
        <v>0</v>
      </c>
      <c r="EB26" s="76">
        <f>IF(EB169=0,0,IFERROR(INDEX('2 Staff List'!$HW$64:$HW$114,EB21),0))</f>
        <v>0</v>
      </c>
      <c r="EC26" s="76">
        <f>IF(EC169=0,0,IFERROR(INDEX('2 Staff List'!$HW$64:$HW$114,EC21),0))</f>
        <v>0</v>
      </c>
      <c r="ED26" s="76">
        <f>IF(ED169=0,0,IFERROR(INDEX('2 Staff List'!$HW$64:$HW$114,ED21),0))</f>
        <v>0</v>
      </c>
      <c r="EE26" s="76">
        <f>IF(EE169=0,0,IFERROR(INDEX('2 Staff List'!$HW$64:$HW$114,EE21),0))</f>
        <v>0</v>
      </c>
      <c r="EF26" s="76">
        <f>IF(EF169=0,0,IFERROR(INDEX('2 Staff List'!$HW$64:$HW$114,EF21),0))</f>
        <v>0</v>
      </c>
      <c r="EG26" s="76">
        <f>IF(EG169=0,0,IFERROR(INDEX('2 Staff List'!$HW$64:$HW$114,EG21),0))</f>
        <v>0</v>
      </c>
      <c r="EH26" s="76">
        <f>IF(EH169=0,0,IFERROR(INDEX('2 Staff List'!$HW$64:$HW$114,EH21),0))</f>
        <v>0</v>
      </c>
      <c r="EI26" s="76">
        <f>IF(EI169=0,0,IFERROR(INDEX('2 Staff List'!$HW$64:$HW$114,EI21),0))</f>
        <v>0</v>
      </c>
      <c r="EJ26" s="76">
        <f>IF(EJ169=0,0,IFERROR(INDEX('2 Staff List'!$HW$64:$HW$114,EJ21),0))</f>
        <v>0</v>
      </c>
      <c r="EK26" s="76">
        <f>IF(EK169=0,0,IFERROR(INDEX('2 Staff List'!$HW$64:$HW$114,EK21),0))</f>
        <v>0</v>
      </c>
      <c r="EL26" s="76">
        <f>IF(EL169=0,0,IFERROR(INDEX('2 Staff List'!$HW$64:$HW$114,EL21),0))</f>
        <v>0</v>
      </c>
      <c r="EM26" s="76">
        <f>IF(EM169=0,0,IFERROR(INDEX('2 Staff List'!$HW$64:$HW$114,EM21),0))</f>
        <v>0</v>
      </c>
      <c r="EN26" s="76">
        <f>IF(EN169=0,0,IFERROR(INDEX('2 Staff List'!$HW$64:$HW$114,EN21),0))</f>
        <v>0</v>
      </c>
      <c r="EO26" s="76">
        <f>IF(EO169=0,0,IFERROR(INDEX('2 Staff List'!$HW$64:$HW$114,EO21),0))</f>
        <v>0</v>
      </c>
      <c r="EP26" s="76">
        <f>IF(EP169=0,0,IFERROR(INDEX('2 Staff List'!$HW$64:$HW$114,EP21),0))</f>
        <v>0</v>
      </c>
      <c r="EQ26" s="76">
        <f>IF(EQ169=0,0,IFERROR(INDEX('2 Staff List'!$HW$64:$HW$114,EQ21),0))</f>
        <v>0</v>
      </c>
      <c r="ER26" s="76">
        <f>IF(ER169=0,0,IFERROR(INDEX('2 Staff List'!$HW$64:$HW$114,ER21),0))</f>
        <v>0</v>
      </c>
      <c r="ES26" s="76">
        <f>IF(ES169=0,0,IFERROR(INDEX('2 Staff List'!$HW$64:$HW$114,ES21),0))</f>
        <v>0</v>
      </c>
      <c r="ET26" s="76">
        <f>IF(ET169=0,0,IFERROR(INDEX('2 Staff List'!$HW$64:$HW$114,ET21),0))</f>
        <v>0</v>
      </c>
      <c r="EU26" s="76">
        <f>IF(EU169=0,0,IFERROR(INDEX('2 Staff List'!$HW$64:$HW$114,EU21),0))</f>
        <v>0</v>
      </c>
      <c r="EV26" s="76">
        <f>IF(EV169=0,0,IFERROR(INDEX('2 Staff List'!$HW$64:$HW$114,EV21),0))</f>
        <v>0</v>
      </c>
      <c r="EW26" s="76">
        <f>IF(EW169=0,0,IFERROR(INDEX('2 Staff List'!$HW$64:$HW$114,EW21),0))</f>
        <v>0</v>
      </c>
      <c r="EX26" s="76">
        <f>IF(EX169=0,0,IFERROR(INDEX('2 Staff List'!$HW$64:$HW$114,EX21),0))</f>
        <v>0</v>
      </c>
      <c r="EY26" s="76">
        <f>IF(EY169=0,0,IFERROR(INDEX('2 Staff List'!$HW$64:$HW$114,EY21),0))</f>
        <v>0</v>
      </c>
      <c r="EZ26" s="76">
        <f>IF(EZ169=0,0,IFERROR(INDEX('2 Staff List'!$HW$64:$HW$114,EZ21),0))</f>
        <v>0</v>
      </c>
      <c r="FA26" s="76">
        <f>IF(FA169=0,0,IFERROR(INDEX('2 Staff List'!$HW$64:$HW$114,FA21),0))</f>
        <v>0</v>
      </c>
      <c r="FB26" s="76">
        <f>IF(FB169=0,0,IFERROR(INDEX('2 Staff List'!$HW$64:$HW$114,FB21),0))</f>
        <v>0</v>
      </c>
      <c r="FC26" s="76">
        <f>IF(FC169=0,0,IFERROR(INDEX('2 Staff List'!$HW$64:$HW$114,FC21),0))</f>
        <v>0</v>
      </c>
      <c r="FD26" s="76">
        <f>IF(FD169=0,0,IFERROR(INDEX('2 Staff List'!$HW$64:$HW$114,FD21),0))</f>
        <v>0</v>
      </c>
      <c r="FE26" s="76">
        <f>IF(FE169=0,0,IFERROR(INDEX('2 Staff List'!$HW$64:$HW$114,FE21),0))</f>
        <v>0</v>
      </c>
      <c r="FF26" s="76">
        <f>IF(FF169=0,0,IFERROR(INDEX('2 Staff List'!$HW$64:$HW$114,FF21),0))</f>
        <v>0</v>
      </c>
      <c r="FG26" s="76">
        <f>IF(FG169=0,0,IFERROR(INDEX('2 Staff List'!$HW$64:$HW$114,FG21),0))</f>
        <v>0</v>
      </c>
      <c r="FH26" s="604"/>
      <c r="FI26" s="285"/>
      <c r="FJ26" s="307"/>
      <c r="FK26" s="307"/>
      <c r="FL26" s="285"/>
      <c r="FM26" s="285"/>
      <c r="FN26" s="285"/>
      <c r="FO26" s="285"/>
      <c r="FP26" s="285"/>
      <c r="FQ26" s="285"/>
      <c r="FR26" s="285"/>
      <c r="FS26" s="285"/>
      <c r="FT26" s="285"/>
      <c r="FU26" s="285"/>
      <c r="FV26" s="285"/>
      <c r="FW26" s="285"/>
      <c r="FX26" s="285"/>
      <c r="FY26" s="285"/>
      <c r="FZ26" s="285"/>
      <c r="GA26" s="285"/>
      <c r="GB26" s="285"/>
      <c r="GC26" s="285"/>
      <c r="GD26" s="285"/>
      <c r="GE26" s="285"/>
      <c r="GF26" s="285"/>
      <c r="GG26" s="285"/>
      <c r="GH26" s="285"/>
      <c r="GI26" s="285"/>
      <c r="GJ26" s="285"/>
      <c r="GK26" s="285"/>
      <c r="GL26" s="285"/>
      <c r="GM26" s="285"/>
      <c r="GN26" s="308" t="s">
        <v>2607</v>
      </c>
      <c r="GO26" s="60">
        <f>IFERROR(IF(DC161=0,1,INDEX(GT36:LQ36,GO25)),0)</f>
        <v>1</v>
      </c>
      <c r="GP26" s="285"/>
      <c r="GQ26" s="285"/>
      <c r="GR26" s="412"/>
      <c r="GS26" s="308" t="s">
        <v>2609</v>
      </c>
      <c r="GT26" s="50">
        <f>IF(AND($DC$161&gt;0,$DC$161=GT171),1,0)</f>
        <v>0</v>
      </c>
      <c r="GU26" s="51">
        <f t="shared" ref="GU26:JF26" si="77">IF(AND($DC$161&gt;0,$DC$161=GU171),1,0)</f>
        <v>0</v>
      </c>
      <c r="GV26" s="51">
        <f t="shared" si="77"/>
        <v>0</v>
      </c>
      <c r="GW26" s="51">
        <f t="shared" si="77"/>
        <v>0</v>
      </c>
      <c r="GX26" s="51">
        <f t="shared" si="77"/>
        <v>0</v>
      </c>
      <c r="GY26" s="51">
        <f t="shared" si="77"/>
        <v>0</v>
      </c>
      <c r="GZ26" s="51">
        <f t="shared" si="77"/>
        <v>0</v>
      </c>
      <c r="HA26" s="51">
        <f t="shared" si="77"/>
        <v>0</v>
      </c>
      <c r="HB26" s="51">
        <f t="shared" si="77"/>
        <v>0</v>
      </c>
      <c r="HC26" s="51">
        <f t="shared" si="77"/>
        <v>0</v>
      </c>
      <c r="HD26" s="51">
        <f t="shared" si="77"/>
        <v>0</v>
      </c>
      <c r="HE26" s="51">
        <f t="shared" si="77"/>
        <v>0</v>
      </c>
      <c r="HF26" s="51">
        <f t="shared" si="77"/>
        <v>0</v>
      </c>
      <c r="HG26" s="51">
        <f t="shared" si="77"/>
        <v>0</v>
      </c>
      <c r="HH26" s="51">
        <f t="shared" si="77"/>
        <v>0</v>
      </c>
      <c r="HI26" s="51">
        <f t="shared" si="77"/>
        <v>0</v>
      </c>
      <c r="HJ26" s="51">
        <f t="shared" si="77"/>
        <v>0</v>
      </c>
      <c r="HK26" s="51">
        <f t="shared" si="77"/>
        <v>0</v>
      </c>
      <c r="HL26" s="51">
        <f t="shared" si="77"/>
        <v>0</v>
      </c>
      <c r="HM26" s="51">
        <f t="shared" si="77"/>
        <v>0</v>
      </c>
      <c r="HN26" s="51">
        <f t="shared" si="77"/>
        <v>0</v>
      </c>
      <c r="HO26" s="51">
        <f t="shared" si="77"/>
        <v>0</v>
      </c>
      <c r="HP26" s="51">
        <f t="shared" si="77"/>
        <v>0</v>
      </c>
      <c r="HQ26" s="51">
        <f t="shared" si="77"/>
        <v>0</v>
      </c>
      <c r="HR26" s="51">
        <f t="shared" si="77"/>
        <v>0</v>
      </c>
      <c r="HS26" s="51">
        <f t="shared" si="77"/>
        <v>0</v>
      </c>
      <c r="HT26" s="51">
        <f t="shared" si="77"/>
        <v>0</v>
      </c>
      <c r="HU26" s="51">
        <f t="shared" si="77"/>
        <v>0</v>
      </c>
      <c r="HV26" s="51">
        <f t="shared" si="77"/>
        <v>0</v>
      </c>
      <c r="HW26" s="51">
        <f t="shared" si="77"/>
        <v>0</v>
      </c>
      <c r="HX26" s="51">
        <f t="shared" si="77"/>
        <v>0</v>
      </c>
      <c r="HY26" s="51">
        <f t="shared" si="77"/>
        <v>0</v>
      </c>
      <c r="HZ26" s="51">
        <f t="shared" si="77"/>
        <v>0</v>
      </c>
      <c r="IA26" s="51">
        <f t="shared" si="77"/>
        <v>0</v>
      </c>
      <c r="IB26" s="51">
        <f t="shared" si="77"/>
        <v>0</v>
      </c>
      <c r="IC26" s="51">
        <f t="shared" si="77"/>
        <v>0</v>
      </c>
      <c r="ID26" s="51">
        <f t="shared" si="77"/>
        <v>0</v>
      </c>
      <c r="IE26" s="51">
        <f t="shared" si="77"/>
        <v>0</v>
      </c>
      <c r="IF26" s="51">
        <f t="shared" si="77"/>
        <v>0</v>
      </c>
      <c r="IG26" s="51">
        <f t="shared" si="77"/>
        <v>0</v>
      </c>
      <c r="IH26" s="51">
        <f t="shared" si="77"/>
        <v>0</v>
      </c>
      <c r="II26" s="51">
        <f t="shared" si="77"/>
        <v>0</v>
      </c>
      <c r="IJ26" s="51">
        <f t="shared" si="77"/>
        <v>0</v>
      </c>
      <c r="IK26" s="51">
        <f t="shared" si="77"/>
        <v>0</v>
      </c>
      <c r="IL26" s="51">
        <f t="shared" si="77"/>
        <v>0</v>
      </c>
      <c r="IM26" s="51">
        <f t="shared" si="77"/>
        <v>0</v>
      </c>
      <c r="IN26" s="51">
        <f t="shared" si="77"/>
        <v>0</v>
      </c>
      <c r="IO26" s="51">
        <f t="shared" si="77"/>
        <v>0</v>
      </c>
      <c r="IP26" s="51">
        <f t="shared" si="77"/>
        <v>0</v>
      </c>
      <c r="IQ26" s="51">
        <f t="shared" si="77"/>
        <v>0</v>
      </c>
      <c r="IR26" s="51">
        <f t="shared" si="77"/>
        <v>0</v>
      </c>
      <c r="IS26" s="51">
        <f t="shared" si="77"/>
        <v>0</v>
      </c>
      <c r="IT26" s="51">
        <f t="shared" si="77"/>
        <v>0</v>
      </c>
      <c r="IU26" s="51">
        <f t="shared" si="77"/>
        <v>0</v>
      </c>
      <c r="IV26" s="51">
        <f t="shared" si="77"/>
        <v>0</v>
      </c>
      <c r="IW26" s="51">
        <f t="shared" si="77"/>
        <v>0</v>
      </c>
      <c r="IX26" s="51">
        <f t="shared" si="77"/>
        <v>0</v>
      </c>
      <c r="IY26" s="51">
        <f t="shared" si="77"/>
        <v>0</v>
      </c>
      <c r="IZ26" s="51">
        <f t="shared" si="77"/>
        <v>0</v>
      </c>
      <c r="JA26" s="51">
        <f t="shared" si="77"/>
        <v>0</v>
      </c>
      <c r="JB26" s="51">
        <f t="shared" si="77"/>
        <v>0</v>
      </c>
      <c r="JC26" s="51">
        <f t="shared" si="77"/>
        <v>0</v>
      </c>
      <c r="JD26" s="51">
        <f t="shared" si="77"/>
        <v>0</v>
      </c>
      <c r="JE26" s="51">
        <f t="shared" si="77"/>
        <v>0</v>
      </c>
      <c r="JF26" s="51">
        <f t="shared" si="77"/>
        <v>0</v>
      </c>
      <c r="JG26" s="51">
        <f t="shared" ref="JG26:LP26" si="78">IF(AND($DC$161&gt;0,$DC$161=JG171),1,0)</f>
        <v>0</v>
      </c>
      <c r="JH26" s="51">
        <f t="shared" si="78"/>
        <v>0</v>
      </c>
      <c r="JI26" s="51">
        <f t="shared" si="78"/>
        <v>0</v>
      </c>
      <c r="JJ26" s="51">
        <f t="shared" si="78"/>
        <v>0</v>
      </c>
      <c r="JK26" s="51">
        <f t="shared" si="78"/>
        <v>0</v>
      </c>
      <c r="JL26" s="51">
        <f t="shared" si="78"/>
        <v>0</v>
      </c>
      <c r="JM26" s="51">
        <f t="shared" si="78"/>
        <v>0</v>
      </c>
      <c r="JN26" s="51">
        <f t="shared" si="78"/>
        <v>0</v>
      </c>
      <c r="JO26" s="51">
        <f t="shared" si="78"/>
        <v>0</v>
      </c>
      <c r="JP26" s="51">
        <f t="shared" si="78"/>
        <v>0</v>
      </c>
      <c r="JQ26" s="51">
        <f t="shared" si="78"/>
        <v>0</v>
      </c>
      <c r="JR26" s="51">
        <f t="shared" si="78"/>
        <v>0</v>
      </c>
      <c r="JS26" s="51">
        <f t="shared" si="78"/>
        <v>0</v>
      </c>
      <c r="JT26" s="51">
        <f t="shared" si="78"/>
        <v>0</v>
      </c>
      <c r="JU26" s="51">
        <f t="shared" si="78"/>
        <v>0</v>
      </c>
      <c r="JV26" s="51">
        <f t="shared" si="78"/>
        <v>0</v>
      </c>
      <c r="JW26" s="51">
        <f t="shared" si="78"/>
        <v>0</v>
      </c>
      <c r="JX26" s="51">
        <f t="shared" si="78"/>
        <v>0</v>
      </c>
      <c r="JY26" s="51">
        <f t="shared" si="78"/>
        <v>0</v>
      </c>
      <c r="JZ26" s="51">
        <f t="shared" si="78"/>
        <v>0</v>
      </c>
      <c r="KA26" s="51">
        <f t="shared" si="78"/>
        <v>0</v>
      </c>
      <c r="KB26" s="51">
        <f t="shared" si="78"/>
        <v>0</v>
      </c>
      <c r="KC26" s="51">
        <f t="shared" si="78"/>
        <v>0</v>
      </c>
      <c r="KD26" s="51">
        <f t="shared" si="78"/>
        <v>0</v>
      </c>
      <c r="KE26" s="51">
        <f t="shared" si="78"/>
        <v>0</v>
      </c>
      <c r="KF26" s="51">
        <f t="shared" si="78"/>
        <v>0</v>
      </c>
      <c r="KG26" s="51">
        <f t="shared" si="78"/>
        <v>0</v>
      </c>
      <c r="KH26" s="51">
        <f t="shared" si="78"/>
        <v>0</v>
      </c>
      <c r="KI26" s="51">
        <f t="shared" si="78"/>
        <v>0</v>
      </c>
      <c r="KJ26" s="51">
        <f t="shared" si="78"/>
        <v>0</v>
      </c>
      <c r="KK26" s="51">
        <f t="shared" si="78"/>
        <v>0</v>
      </c>
      <c r="KL26" s="51">
        <f t="shared" si="78"/>
        <v>0</v>
      </c>
      <c r="KM26" s="51">
        <f t="shared" si="78"/>
        <v>0</v>
      </c>
      <c r="KN26" s="51">
        <f t="shared" si="78"/>
        <v>0</v>
      </c>
      <c r="KO26" s="51">
        <f t="shared" si="78"/>
        <v>0</v>
      </c>
      <c r="KP26" s="51">
        <f t="shared" si="78"/>
        <v>0</v>
      </c>
      <c r="KQ26" s="51">
        <f t="shared" si="78"/>
        <v>0</v>
      </c>
      <c r="KR26" s="51">
        <f t="shared" si="78"/>
        <v>0</v>
      </c>
      <c r="KS26" s="51">
        <f t="shared" si="78"/>
        <v>0</v>
      </c>
      <c r="KT26" s="51">
        <f t="shared" si="78"/>
        <v>0</v>
      </c>
      <c r="KU26" s="51">
        <f t="shared" si="78"/>
        <v>0</v>
      </c>
      <c r="KV26" s="51">
        <f t="shared" si="78"/>
        <v>0</v>
      </c>
      <c r="KW26" s="51">
        <f t="shared" si="78"/>
        <v>0</v>
      </c>
      <c r="KX26" s="51">
        <f t="shared" si="78"/>
        <v>0</v>
      </c>
      <c r="KY26" s="51">
        <f t="shared" si="78"/>
        <v>0</v>
      </c>
      <c r="KZ26" s="51">
        <f t="shared" si="78"/>
        <v>0</v>
      </c>
      <c r="LA26" s="51">
        <f t="shared" si="78"/>
        <v>0</v>
      </c>
      <c r="LB26" s="51">
        <f t="shared" si="78"/>
        <v>0</v>
      </c>
      <c r="LC26" s="51">
        <f t="shared" si="78"/>
        <v>0</v>
      </c>
      <c r="LD26" s="51">
        <f t="shared" si="78"/>
        <v>0</v>
      </c>
      <c r="LE26" s="51">
        <f t="shared" si="78"/>
        <v>0</v>
      </c>
      <c r="LF26" s="51">
        <f t="shared" si="78"/>
        <v>0</v>
      </c>
      <c r="LG26" s="51">
        <f t="shared" si="78"/>
        <v>0</v>
      </c>
      <c r="LH26" s="51">
        <f t="shared" si="78"/>
        <v>0</v>
      </c>
      <c r="LI26" s="51">
        <f t="shared" si="78"/>
        <v>0</v>
      </c>
      <c r="LJ26" s="51">
        <f t="shared" si="78"/>
        <v>0</v>
      </c>
      <c r="LK26" s="51">
        <f t="shared" si="78"/>
        <v>0</v>
      </c>
      <c r="LL26" s="51">
        <f t="shared" si="78"/>
        <v>0</v>
      </c>
      <c r="LM26" s="51">
        <f t="shared" si="78"/>
        <v>0</v>
      </c>
      <c r="LN26" s="51">
        <f t="shared" si="78"/>
        <v>0</v>
      </c>
      <c r="LO26" s="51">
        <f t="shared" si="78"/>
        <v>0</v>
      </c>
      <c r="LP26" s="51">
        <f t="shared" si="78"/>
        <v>0</v>
      </c>
    </row>
    <row r="27" spans="1:328" ht="12.75" hidden="1" customHeight="1" x14ac:dyDescent="0.3">
      <c r="A27" s="285"/>
      <c r="B27" s="285"/>
      <c r="C27" s="286"/>
      <c r="D27" s="285"/>
      <c r="E27" s="285"/>
      <c r="F27" s="285"/>
      <c r="G27" s="285"/>
      <c r="H27" s="285"/>
      <c r="I27" s="285"/>
      <c r="J27" s="285"/>
      <c r="K27" s="306"/>
      <c r="L27" s="285"/>
      <c r="M27" s="287"/>
      <c r="N27" s="287"/>
      <c r="O27" s="287"/>
      <c r="P27" s="287"/>
      <c r="Q27" s="287"/>
      <c r="R27" s="287"/>
      <c r="S27" s="285"/>
      <c r="T27" s="285"/>
      <c r="U27" s="285"/>
      <c r="V27" s="285"/>
      <c r="W27" s="285"/>
      <c r="X27" s="285"/>
      <c r="Y27" s="285"/>
      <c r="Z27" s="285"/>
      <c r="AA27" s="285"/>
      <c r="AB27" s="285"/>
      <c r="AC27" s="285"/>
      <c r="AD27" s="285"/>
      <c r="AE27" s="285"/>
      <c r="AF27" s="285"/>
      <c r="AG27" s="285"/>
      <c r="AH27" s="2513"/>
      <c r="AI27" s="285"/>
      <c r="AJ27" s="285"/>
      <c r="AK27" s="285"/>
      <c r="AL27" s="285"/>
      <c r="AM27" s="285"/>
      <c r="AN27" s="285"/>
      <c r="AO27" s="285"/>
      <c r="AP27" s="285"/>
      <c r="AQ27" s="285"/>
      <c r="AR27" s="285"/>
      <c r="AS27" s="285"/>
      <c r="AT27" s="285"/>
      <c r="AU27" s="285"/>
      <c r="AV27" s="285"/>
      <c r="AW27" s="285"/>
      <c r="AX27" s="285"/>
      <c r="AY27" s="285"/>
      <c r="AZ27" s="285"/>
      <c r="BA27" s="285"/>
      <c r="BB27" s="285"/>
      <c r="BC27" s="285"/>
      <c r="BD27" s="285"/>
      <c r="BE27" s="285"/>
      <c r="BF27" s="285"/>
      <c r="BG27" s="285"/>
      <c r="BH27" s="285"/>
      <c r="BI27" s="285"/>
      <c r="BJ27" s="285"/>
      <c r="BK27" s="285"/>
      <c r="BL27" s="285"/>
      <c r="BM27" s="285"/>
      <c r="BN27" s="285"/>
      <c r="BO27" s="285"/>
      <c r="BP27" s="285"/>
      <c r="BQ27" s="285"/>
      <c r="BR27" s="285"/>
      <c r="BS27" s="285"/>
      <c r="BT27" s="285"/>
      <c r="BU27" s="285"/>
      <c r="BV27" s="285"/>
      <c r="BW27" s="285"/>
      <c r="BX27" s="285"/>
      <c r="BY27" s="285"/>
      <c r="BZ27" s="285"/>
      <c r="CA27" s="285"/>
      <c r="CB27" s="285"/>
      <c r="CC27" s="285"/>
      <c r="CD27" s="285"/>
      <c r="CE27" s="285"/>
      <c r="CF27" s="285"/>
      <c r="CG27" s="285"/>
      <c r="CH27" s="285"/>
      <c r="CI27" s="285"/>
      <c r="CJ27" s="285"/>
      <c r="CK27" s="285"/>
      <c r="CL27" s="285"/>
      <c r="CM27" s="285"/>
      <c r="CN27" s="285"/>
      <c r="CO27" s="285"/>
      <c r="CP27" s="285"/>
      <c r="CQ27" s="285"/>
      <c r="CR27" s="285"/>
      <c r="CS27" s="285"/>
      <c r="CT27" s="285"/>
      <c r="CU27" s="285"/>
      <c r="CV27" s="285"/>
      <c r="CW27" s="285"/>
      <c r="CX27" s="285"/>
      <c r="CY27" s="285"/>
      <c r="CZ27" s="285"/>
      <c r="DA27" s="285"/>
      <c r="DB27" s="285"/>
      <c r="DC27" s="285"/>
      <c r="DD27" s="285"/>
      <c r="DE27" s="285"/>
      <c r="DF27" s="285"/>
      <c r="DG27" s="285"/>
      <c r="DH27" s="308" t="s">
        <v>768</v>
      </c>
      <c r="DI27" s="285"/>
      <c r="DJ27" s="76">
        <f>IF(DJ169=0,0,IFERROR(INDEX('2 Staff List'!$IP$64:$IP$114,DJ21),0))</f>
        <v>0</v>
      </c>
      <c r="DK27" s="76">
        <f>IF(DK169=0,0,IFERROR(INDEX('2 Staff List'!$IP$64:$IP$114,DK21),0))</f>
        <v>0</v>
      </c>
      <c r="DL27" s="76">
        <f>IF(DL169=0,0,IFERROR(INDEX('2 Staff List'!$IP$64:$IP$114,DL21),0))</f>
        <v>0</v>
      </c>
      <c r="DM27" s="76" t="str">
        <f>IF(DM169=0,0,IFERROR(INDEX('2 Staff List'!$IP$64:$IP$114,DM21),0))</f>
        <v>GID (Std Rate)</v>
      </c>
      <c r="DN27" s="76">
        <f>IF(DN169=0,0,IFERROR(INDEX('2 Staff List'!$IP$64:$IP$114,DN21),0))</f>
        <v>0</v>
      </c>
      <c r="DO27" s="76">
        <f>IF(DO169=0,0,IFERROR(INDEX('2 Staff List'!$IP$64:$IP$114,DO21),0))</f>
        <v>0</v>
      </c>
      <c r="DP27" s="76">
        <f>IF(DP169=0,0,IFERROR(INDEX('2 Staff List'!$IP$64:$IP$114,DP21),0))</f>
        <v>0</v>
      </c>
      <c r="DQ27" s="76">
        <f>IF(DQ169=0,0,IFERROR(INDEX('2 Staff List'!$IP$64:$IP$114,DQ21),0))</f>
        <v>0</v>
      </c>
      <c r="DR27" s="76">
        <f>IF(DR169=0,0,IFERROR(INDEX('2 Staff List'!$IP$64:$IP$114,DR21),0))</f>
        <v>0</v>
      </c>
      <c r="DS27" s="76">
        <f>IF(DS169=0,0,IFERROR(INDEX('2 Staff List'!$IP$64:$IP$114,DS21),0))</f>
        <v>0</v>
      </c>
      <c r="DT27" s="76">
        <f>IF(DT169=0,0,IFERROR(INDEX('2 Staff List'!$IP$64:$IP$114,DT21),0))</f>
        <v>0</v>
      </c>
      <c r="DU27" s="76">
        <f>IF(DU169=0,0,IFERROR(INDEX('2 Staff List'!$IP$64:$IP$114,DU21),0))</f>
        <v>0</v>
      </c>
      <c r="DV27" s="76">
        <f>IF(DV169=0,0,IFERROR(INDEX('2 Staff List'!$IP$64:$IP$114,DV21),0))</f>
        <v>0</v>
      </c>
      <c r="DW27" s="76">
        <f>IF(DW169=0,0,IFERROR(INDEX('2 Staff List'!$IP$64:$IP$114,DW21),0))</f>
        <v>0</v>
      </c>
      <c r="DX27" s="76">
        <f>IF(DX169=0,0,IFERROR(INDEX('2 Staff List'!$IP$64:$IP$114,DX21),0))</f>
        <v>0</v>
      </c>
      <c r="DY27" s="76">
        <f>IF(DY169=0,0,IFERROR(INDEX('2 Staff List'!$IP$64:$IP$114,DY21),0))</f>
        <v>0</v>
      </c>
      <c r="DZ27" s="76">
        <f>IF(DZ169=0,0,IFERROR(INDEX('2 Staff List'!$IP$64:$IP$114,DZ21),0))</f>
        <v>0</v>
      </c>
      <c r="EA27" s="76">
        <f>IF(EA169=0,0,IFERROR(INDEX('2 Staff List'!$IP$64:$IP$114,EA21),0))</f>
        <v>0</v>
      </c>
      <c r="EB27" s="76">
        <f>IF(EB169=0,0,IFERROR(INDEX('2 Staff List'!$IP$64:$IP$114,EB21),0))</f>
        <v>0</v>
      </c>
      <c r="EC27" s="76">
        <f>IF(EC169=0,0,IFERROR(INDEX('2 Staff List'!$IP$64:$IP$114,EC21),0))</f>
        <v>0</v>
      </c>
      <c r="ED27" s="76">
        <f>IF(ED169=0,0,IFERROR(INDEX('2 Staff List'!$IP$64:$IP$114,ED21),0))</f>
        <v>0</v>
      </c>
      <c r="EE27" s="76">
        <f>IF(EE169=0,0,IFERROR(INDEX('2 Staff List'!$IP$64:$IP$114,EE21),0))</f>
        <v>0</v>
      </c>
      <c r="EF27" s="76">
        <f>IF(EF169=0,0,IFERROR(INDEX('2 Staff List'!$IP$64:$IP$114,EF21),0))</f>
        <v>0</v>
      </c>
      <c r="EG27" s="76">
        <f>IF(EG169=0,0,IFERROR(INDEX('2 Staff List'!$IP$64:$IP$114,EG21),0))</f>
        <v>0</v>
      </c>
      <c r="EH27" s="76">
        <f>IF(EH169=0,0,IFERROR(INDEX('2 Staff List'!$IP$64:$IP$114,EH21),0))</f>
        <v>0</v>
      </c>
      <c r="EI27" s="76">
        <f>IF(EI169=0,0,IFERROR(INDEX('2 Staff List'!$IP$64:$IP$114,EI21),0))</f>
        <v>0</v>
      </c>
      <c r="EJ27" s="76">
        <f>IF(EJ169=0,0,IFERROR(INDEX('2 Staff List'!$IP$64:$IP$114,EJ21),0))</f>
        <v>0</v>
      </c>
      <c r="EK27" s="76">
        <f>IF(EK169=0,0,IFERROR(INDEX('2 Staff List'!$IP$64:$IP$114,EK21),0))</f>
        <v>0</v>
      </c>
      <c r="EL27" s="76">
        <f>IF(EL169=0,0,IFERROR(INDEX('2 Staff List'!$IP$64:$IP$114,EL21),0))</f>
        <v>0</v>
      </c>
      <c r="EM27" s="76">
        <f>IF(EM169=0,0,IFERROR(INDEX('2 Staff List'!$IP$64:$IP$114,EM21),0))</f>
        <v>0</v>
      </c>
      <c r="EN27" s="76">
        <f>IF(EN169=0,0,IFERROR(INDEX('2 Staff List'!$IP$64:$IP$114,EN21),0))</f>
        <v>0</v>
      </c>
      <c r="EO27" s="76">
        <f>IF(EO169=0,0,IFERROR(INDEX('2 Staff List'!$IP$64:$IP$114,EO21),0))</f>
        <v>0</v>
      </c>
      <c r="EP27" s="76">
        <f>IF(EP169=0,0,IFERROR(INDEX('2 Staff List'!$IP$64:$IP$114,EP21),0))</f>
        <v>0</v>
      </c>
      <c r="EQ27" s="76">
        <f>IF(EQ169=0,0,IFERROR(INDEX('2 Staff List'!$IP$64:$IP$114,EQ21),0))</f>
        <v>0</v>
      </c>
      <c r="ER27" s="76">
        <f>IF(ER169=0,0,IFERROR(INDEX('2 Staff List'!$IP$64:$IP$114,ER21),0))</f>
        <v>0</v>
      </c>
      <c r="ES27" s="76">
        <f>IF(ES169=0,0,IFERROR(INDEX('2 Staff List'!$IP$64:$IP$114,ES21),0))</f>
        <v>0</v>
      </c>
      <c r="ET27" s="76">
        <f>IF(ET169=0,0,IFERROR(INDEX('2 Staff List'!$IP$64:$IP$114,ET21),0))</f>
        <v>0</v>
      </c>
      <c r="EU27" s="76">
        <f>IF(EU169=0,0,IFERROR(INDEX('2 Staff List'!$IP$64:$IP$114,EU21),0))</f>
        <v>0</v>
      </c>
      <c r="EV27" s="76">
        <f>IF(EV169=0,0,IFERROR(INDEX('2 Staff List'!$IP$64:$IP$114,EV21),0))</f>
        <v>0</v>
      </c>
      <c r="EW27" s="76">
        <f>IF(EW169=0,0,IFERROR(INDEX('2 Staff List'!$IP$64:$IP$114,EW21),0))</f>
        <v>0</v>
      </c>
      <c r="EX27" s="76">
        <f>IF(EX169=0,0,IFERROR(INDEX('2 Staff List'!$IP$64:$IP$114,EX21),0))</f>
        <v>0</v>
      </c>
      <c r="EY27" s="76">
        <f>IF(EY169=0,0,IFERROR(INDEX('2 Staff List'!$IP$64:$IP$114,EY21),0))</f>
        <v>0</v>
      </c>
      <c r="EZ27" s="76">
        <f>IF(EZ169=0,0,IFERROR(INDEX('2 Staff List'!$IP$64:$IP$114,EZ21),0))</f>
        <v>0</v>
      </c>
      <c r="FA27" s="76">
        <f>IF(FA169=0,0,IFERROR(INDEX('2 Staff List'!$IP$64:$IP$114,FA21),0))</f>
        <v>0</v>
      </c>
      <c r="FB27" s="76">
        <f>IF(FB169=0,0,IFERROR(INDEX('2 Staff List'!$IP$64:$IP$114,FB21),0))</f>
        <v>0</v>
      </c>
      <c r="FC27" s="76">
        <f>IF(FC169=0,0,IFERROR(INDEX('2 Staff List'!$IP$64:$IP$114,FC21),0))</f>
        <v>0</v>
      </c>
      <c r="FD27" s="76">
        <f>IF(FD169=0,0,IFERROR(INDEX('2 Staff List'!$IP$64:$IP$114,FD21),0))</f>
        <v>0</v>
      </c>
      <c r="FE27" s="76">
        <f>IF(FE169=0,0,IFERROR(INDEX('2 Staff List'!$IP$64:$IP$114,FE21),0))</f>
        <v>0</v>
      </c>
      <c r="FF27" s="76">
        <f>IF(FF169=0,0,IFERROR(INDEX('2 Staff List'!$IP$64:$IP$114,FF21),0))</f>
        <v>0</v>
      </c>
      <c r="FG27" s="76">
        <f>IF(FG169=0,0,IFERROR(INDEX('2 Staff List'!$IP$64:$IP$114,FG21),0))</f>
        <v>0</v>
      </c>
      <c r="FH27" s="604"/>
      <c r="FI27" s="285"/>
      <c r="FJ27" s="307"/>
      <c r="FK27" s="307"/>
      <c r="FL27" s="285"/>
      <c r="FM27" s="285"/>
      <c r="FN27" s="285"/>
      <c r="FO27" s="285"/>
      <c r="FP27" s="285"/>
      <c r="FQ27" s="285"/>
      <c r="FR27" s="285"/>
      <c r="FS27" s="285"/>
      <c r="FT27" s="285"/>
      <c r="FU27" s="285"/>
      <c r="FV27" s="285"/>
      <c r="FW27" s="285"/>
      <c r="FX27" s="285"/>
      <c r="FY27" s="285"/>
      <c r="FZ27" s="285"/>
      <c r="GA27" s="285"/>
      <c r="GB27" s="285"/>
      <c r="GC27" s="285"/>
      <c r="GD27" s="285"/>
      <c r="GE27" s="285"/>
      <c r="GF27" s="285"/>
      <c r="GG27" s="285"/>
      <c r="GH27" s="285"/>
      <c r="GI27" s="285"/>
      <c r="GJ27" s="285"/>
      <c r="GK27" s="285"/>
      <c r="GL27" s="285"/>
      <c r="GM27" s="285"/>
      <c r="GN27" s="308" t="s">
        <v>2326</v>
      </c>
      <c r="GO27" s="60">
        <f>IFERROR(IF(DC161=0,1,INDEX(GT34:LQ34,GO25)),0)</f>
        <v>1</v>
      </c>
      <c r="GP27" s="285"/>
      <c r="GQ27" s="285"/>
      <c r="GR27" s="412"/>
      <c r="GS27" s="308" t="s">
        <v>85</v>
      </c>
      <c r="GT27" s="52">
        <v>1</v>
      </c>
      <c r="GU27" s="53">
        <f>GT27+1</f>
        <v>2</v>
      </c>
      <c r="GV27" s="53">
        <f t="shared" ref="GV27:JG27" si="79">GU27+1</f>
        <v>3</v>
      </c>
      <c r="GW27" s="53">
        <f t="shared" si="79"/>
        <v>4</v>
      </c>
      <c r="GX27" s="53">
        <f t="shared" si="79"/>
        <v>5</v>
      </c>
      <c r="GY27" s="53">
        <f t="shared" si="79"/>
        <v>6</v>
      </c>
      <c r="GZ27" s="53">
        <f t="shared" si="79"/>
        <v>7</v>
      </c>
      <c r="HA27" s="53">
        <f t="shared" si="79"/>
        <v>8</v>
      </c>
      <c r="HB27" s="53">
        <f t="shared" si="79"/>
        <v>9</v>
      </c>
      <c r="HC27" s="53">
        <f t="shared" si="79"/>
        <v>10</v>
      </c>
      <c r="HD27" s="53">
        <f t="shared" si="79"/>
        <v>11</v>
      </c>
      <c r="HE27" s="53">
        <f t="shared" si="79"/>
        <v>12</v>
      </c>
      <c r="HF27" s="53">
        <f t="shared" si="79"/>
        <v>13</v>
      </c>
      <c r="HG27" s="53">
        <f t="shared" si="79"/>
        <v>14</v>
      </c>
      <c r="HH27" s="53">
        <f t="shared" si="79"/>
        <v>15</v>
      </c>
      <c r="HI27" s="53">
        <f t="shared" si="79"/>
        <v>16</v>
      </c>
      <c r="HJ27" s="53">
        <f t="shared" si="79"/>
        <v>17</v>
      </c>
      <c r="HK27" s="53">
        <f t="shared" si="79"/>
        <v>18</v>
      </c>
      <c r="HL27" s="53">
        <f t="shared" si="79"/>
        <v>19</v>
      </c>
      <c r="HM27" s="53">
        <f t="shared" si="79"/>
        <v>20</v>
      </c>
      <c r="HN27" s="53">
        <f t="shared" si="79"/>
        <v>21</v>
      </c>
      <c r="HO27" s="53">
        <f t="shared" si="79"/>
        <v>22</v>
      </c>
      <c r="HP27" s="53">
        <f t="shared" si="79"/>
        <v>23</v>
      </c>
      <c r="HQ27" s="53">
        <f t="shared" si="79"/>
        <v>24</v>
      </c>
      <c r="HR27" s="53">
        <f t="shared" si="79"/>
        <v>25</v>
      </c>
      <c r="HS27" s="53">
        <f t="shared" si="79"/>
        <v>26</v>
      </c>
      <c r="HT27" s="53">
        <f t="shared" si="79"/>
        <v>27</v>
      </c>
      <c r="HU27" s="53">
        <f t="shared" si="79"/>
        <v>28</v>
      </c>
      <c r="HV27" s="53">
        <f t="shared" si="79"/>
        <v>29</v>
      </c>
      <c r="HW27" s="53">
        <f t="shared" si="79"/>
        <v>30</v>
      </c>
      <c r="HX27" s="53">
        <f t="shared" si="79"/>
        <v>31</v>
      </c>
      <c r="HY27" s="53">
        <f t="shared" si="79"/>
        <v>32</v>
      </c>
      <c r="HZ27" s="53">
        <f t="shared" si="79"/>
        <v>33</v>
      </c>
      <c r="IA27" s="53">
        <f t="shared" si="79"/>
        <v>34</v>
      </c>
      <c r="IB27" s="53">
        <f t="shared" si="79"/>
        <v>35</v>
      </c>
      <c r="IC27" s="53">
        <f t="shared" si="79"/>
        <v>36</v>
      </c>
      <c r="ID27" s="53">
        <f t="shared" si="79"/>
        <v>37</v>
      </c>
      <c r="IE27" s="53">
        <f t="shared" si="79"/>
        <v>38</v>
      </c>
      <c r="IF27" s="53">
        <f t="shared" si="79"/>
        <v>39</v>
      </c>
      <c r="IG27" s="53">
        <f t="shared" si="79"/>
        <v>40</v>
      </c>
      <c r="IH27" s="53">
        <f t="shared" si="79"/>
        <v>41</v>
      </c>
      <c r="II27" s="53">
        <f t="shared" si="79"/>
        <v>42</v>
      </c>
      <c r="IJ27" s="53">
        <f t="shared" si="79"/>
        <v>43</v>
      </c>
      <c r="IK27" s="53">
        <f t="shared" si="79"/>
        <v>44</v>
      </c>
      <c r="IL27" s="53">
        <f t="shared" si="79"/>
        <v>45</v>
      </c>
      <c r="IM27" s="53">
        <f t="shared" si="79"/>
        <v>46</v>
      </c>
      <c r="IN27" s="53">
        <f t="shared" si="79"/>
        <v>47</v>
      </c>
      <c r="IO27" s="53">
        <f t="shared" si="79"/>
        <v>48</v>
      </c>
      <c r="IP27" s="53">
        <f t="shared" si="79"/>
        <v>49</v>
      </c>
      <c r="IQ27" s="53">
        <f t="shared" si="79"/>
        <v>50</v>
      </c>
      <c r="IR27" s="53">
        <f t="shared" si="79"/>
        <v>51</v>
      </c>
      <c r="IS27" s="53">
        <f t="shared" si="79"/>
        <v>52</v>
      </c>
      <c r="IT27" s="53">
        <f t="shared" si="79"/>
        <v>53</v>
      </c>
      <c r="IU27" s="53">
        <f t="shared" si="79"/>
        <v>54</v>
      </c>
      <c r="IV27" s="53">
        <f t="shared" si="79"/>
        <v>55</v>
      </c>
      <c r="IW27" s="53">
        <f>IV27+1</f>
        <v>56</v>
      </c>
      <c r="IX27" s="53">
        <f t="shared" si="79"/>
        <v>57</v>
      </c>
      <c r="IY27" s="53">
        <f t="shared" si="79"/>
        <v>58</v>
      </c>
      <c r="IZ27" s="53">
        <f t="shared" si="79"/>
        <v>59</v>
      </c>
      <c r="JA27" s="53">
        <f t="shared" si="79"/>
        <v>60</v>
      </c>
      <c r="JB27" s="53">
        <f t="shared" si="79"/>
        <v>61</v>
      </c>
      <c r="JC27" s="53">
        <f t="shared" si="79"/>
        <v>62</v>
      </c>
      <c r="JD27" s="53">
        <f t="shared" si="79"/>
        <v>63</v>
      </c>
      <c r="JE27" s="53">
        <f t="shared" si="79"/>
        <v>64</v>
      </c>
      <c r="JF27" s="53">
        <f t="shared" si="79"/>
        <v>65</v>
      </c>
      <c r="JG27" s="53">
        <f t="shared" si="79"/>
        <v>66</v>
      </c>
      <c r="JH27" s="53">
        <f>JG27+1</f>
        <v>67</v>
      </c>
      <c r="JI27" s="53">
        <f>JH27+1</f>
        <v>68</v>
      </c>
      <c r="JJ27" s="53">
        <f>JI27+1</f>
        <v>69</v>
      </c>
      <c r="JK27" s="53">
        <f>JJ27+1</f>
        <v>70</v>
      </c>
      <c r="JL27" s="53">
        <f>JK27+1</f>
        <v>71</v>
      </c>
      <c r="JM27" s="53">
        <f t="shared" ref="JM27:JS27" si="80">JL27+1</f>
        <v>72</v>
      </c>
      <c r="JN27" s="53">
        <f t="shared" si="80"/>
        <v>73</v>
      </c>
      <c r="JO27" s="53">
        <f t="shared" si="80"/>
        <v>74</v>
      </c>
      <c r="JP27" s="53">
        <f t="shared" si="80"/>
        <v>75</v>
      </c>
      <c r="JQ27" s="53">
        <f t="shared" si="80"/>
        <v>76</v>
      </c>
      <c r="JR27" s="53">
        <f t="shared" si="80"/>
        <v>77</v>
      </c>
      <c r="JS27" s="53">
        <f t="shared" si="80"/>
        <v>78</v>
      </c>
      <c r="JT27" s="53">
        <f t="shared" ref="JT27:KY27" si="81">JS27+1</f>
        <v>79</v>
      </c>
      <c r="JU27" s="53">
        <f t="shared" si="81"/>
        <v>80</v>
      </c>
      <c r="JV27" s="53">
        <f t="shared" si="81"/>
        <v>81</v>
      </c>
      <c r="JW27" s="53">
        <f t="shared" si="81"/>
        <v>82</v>
      </c>
      <c r="JX27" s="53">
        <f t="shared" si="81"/>
        <v>83</v>
      </c>
      <c r="JY27" s="53">
        <f t="shared" si="81"/>
        <v>84</v>
      </c>
      <c r="JZ27" s="53">
        <f t="shared" si="81"/>
        <v>85</v>
      </c>
      <c r="KA27" s="53">
        <f t="shared" si="81"/>
        <v>86</v>
      </c>
      <c r="KB27" s="53">
        <f t="shared" si="81"/>
        <v>87</v>
      </c>
      <c r="KC27" s="53">
        <f t="shared" si="81"/>
        <v>88</v>
      </c>
      <c r="KD27" s="53">
        <f t="shared" si="81"/>
        <v>89</v>
      </c>
      <c r="KE27" s="53">
        <f t="shared" si="81"/>
        <v>90</v>
      </c>
      <c r="KF27" s="53">
        <f t="shared" si="81"/>
        <v>91</v>
      </c>
      <c r="KG27" s="53">
        <f t="shared" si="81"/>
        <v>92</v>
      </c>
      <c r="KH27" s="53">
        <f t="shared" si="81"/>
        <v>93</v>
      </c>
      <c r="KI27" s="53">
        <f t="shared" si="81"/>
        <v>94</v>
      </c>
      <c r="KJ27" s="53">
        <f t="shared" si="81"/>
        <v>95</v>
      </c>
      <c r="KK27" s="53">
        <f t="shared" si="81"/>
        <v>96</v>
      </c>
      <c r="KL27" s="53">
        <f t="shared" si="81"/>
        <v>97</v>
      </c>
      <c r="KM27" s="53">
        <f t="shared" si="81"/>
        <v>98</v>
      </c>
      <c r="KN27" s="53">
        <f t="shared" si="81"/>
        <v>99</v>
      </c>
      <c r="KO27" s="53">
        <f t="shared" si="81"/>
        <v>100</v>
      </c>
      <c r="KP27" s="53">
        <f t="shared" si="81"/>
        <v>101</v>
      </c>
      <c r="KQ27" s="53">
        <f t="shared" si="81"/>
        <v>102</v>
      </c>
      <c r="KR27" s="53">
        <f t="shared" si="81"/>
        <v>103</v>
      </c>
      <c r="KS27" s="53">
        <f t="shared" si="81"/>
        <v>104</v>
      </c>
      <c r="KT27" s="53">
        <f t="shared" si="81"/>
        <v>105</v>
      </c>
      <c r="KU27" s="53">
        <f t="shared" si="81"/>
        <v>106</v>
      </c>
      <c r="KV27" s="53">
        <f t="shared" si="81"/>
        <v>107</v>
      </c>
      <c r="KW27" s="53">
        <f t="shared" si="81"/>
        <v>108</v>
      </c>
      <c r="KX27" s="53">
        <f t="shared" si="81"/>
        <v>109</v>
      </c>
      <c r="KY27" s="53">
        <f t="shared" si="81"/>
        <v>110</v>
      </c>
      <c r="KZ27" s="53">
        <f t="shared" ref="KZ27:LP27" si="82">KY27+1</f>
        <v>111</v>
      </c>
      <c r="LA27" s="53">
        <f t="shared" si="82"/>
        <v>112</v>
      </c>
      <c r="LB27" s="53">
        <f t="shared" si="82"/>
        <v>113</v>
      </c>
      <c r="LC27" s="53">
        <f t="shared" si="82"/>
        <v>114</v>
      </c>
      <c r="LD27" s="53">
        <f t="shared" si="82"/>
        <v>115</v>
      </c>
      <c r="LE27" s="53">
        <f t="shared" si="82"/>
        <v>116</v>
      </c>
      <c r="LF27" s="53">
        <f t="shared" si="82"/>
        <v>117</v>
      </c>
      <c r="LG27" s="53">
        <f t="shared" si="82"/>
        <v>118</v>
      </c>
      <c r="LH27" s="53">
        <f t="shared" si="82"/>
        <v>119</v>
      </c>
      <c r="LI27" s="53">
        <f t="shared" si="82"/>
        <v>120</v>
      </c>
      <c r="LJ27" s="53">
        <f t="shared" si="82"/>
        <v>121</v>
      </c>
      <c r="LK27" s="53">
        <f t="shared" si="82"/>
        <v>122</v>
      </c>
      <c r="LL27" s="53">
        <f t="shared" si="82"/>
        <v>123</v>
      </c>
      <c r="LM27" s="53">
        <f t="shared" si="82"/>
        <v>124</v>
      </c>
      <c r="LN27" s="53">
        <f t="shared" si="82"/>
        <v>125</v>
      </c>
      <c r="LO27" s="53">
        <f t="shared" si="82"/>
        <v>126</v>
      </c>
      <c r="LP27" s="53">
        <f t="shared" si="82"/>
        <v>127</v>
      </c>
    </row>
    <row r="28" spans="1:328" ht="12.75" hidden="1" customHeight="1" x14ac:dyDescent="0.3">
      <c r="A28" s="285"/>
      <c r="B28" s="285"/>
      <c r="C28" s="299">
        <v>0.5</v>
      </c>
      <c r="D28" s="285"/>
      <c r="E28" s="285"/>
      <c r="F28" s="285"/>
      <c r="G28" s="296">
        <f>'1 Setup'!T19</f>
        <v>1</v>
      </c>
      <c r="H28" s="276"/>
      <c r="I28" s="306" t="s">
        <v>3982</v>
      </c>
      <c r="J28" s="285"/>
      <c r="K28" s="306"/>
      <c r="L28" s="285"/>
      <c r="M28" s="287"/>
      <c r="N28" s="287"/>
      <c r="O28" s="287"/>
      <c r="P28" s="287"/>
      <c r="Q28" s="287"/>
      <c r="R28" s="287"/>
      <c r="S28" s="285"/>
      <c r="T28" s="285"/>
      <c r="U28" s="285"/>
      <c r="V28" s="285"/>
      <c r="W28" s="285"/>
      <c r="X28" s="285"/>
      <c r="Y28" s="285"/>
      <c r="Z28" s="285"/>
      <c r="AA28" s="285"/>
      <c r="AB28" s="285"/>
      <c r="AC28" s="285"/>
      <c r="AD28" s="285"/>
      <c r="AE28" s="285"/>
      <c r="AF28" s="285"/>
      <c r="AG28" s="285"/>
      <c r="AH28" s="2513"/>
      <c r="AI28" s="285"/>
      <c r="AJ28" s="285"/>
      <c r="AK28" s="285"/>
      <c r="AL28" s="285"/>
      <c r="AM28" s="285"/>
      <c r="AN28" s="285"/>
      <c r="AO28" s="285"/>
      <c r="AP28" s="285"/>
      <c r="AQ28" s="285"/>
      <c r="AR28" s="285"/>
      <c r="AS28" s="285"/>
      <c r="AT28" s="285"/>
      <c r="AU28" s="285"/>
      <c r="AV28" s="285"/>
      <c r="AW28" s="285"/>
      <c r="AX28" s="285"/>
      <c r="AY28" s="285"/>
      <c r="AZ28" s="285"/>
      <c r="BA28" s="285"/>
      <c r="BB28" s="285"/>
      <c r="BC28" s="285"/>
      <c r="BD28" s="285"/>
      <c r="BE28" s="285"/>
      <c r="BF28" s="285"/>
      <c r="BG28" s="285"/>
      <c r="BH28" s="285"/>
      <c r="BI28" s="285"/>
      <c r="BJ28" s="285"/>
      <c r="BK28" s="285"/>
      <c r="BL28" s="285"/>
      <c r="BM28" s="285"/>
      <c r="BN28" s="285"/>
      <c r="BO28" s="285"/>
      <c r="BP28" s="285"/>
      <c r="BQ28" s="285"/>
      <c r="BR28" s="285"/>
      <c r="BS28" s="285"/>
      <c r="BT28" s="285"/>
      <c r="BU28" s="285"/>
      <c r="BV28" s="285"/>
      <c r="BW28" s="285"/>
      <c r="BX28" s="285"/>
      <c r="BY28" s="285"/>
      <c r="BZ28" s="285"/>
      <c r="CA28" s="285"/>
      <c r="CB28" s="285"/>
      <c r="CC28" s="285"/>
      <c r="CD28" s="285"/>
      <c r="CE28" s="285"/>
      <c r="CF28" s="285"/>
      <c r="CG28" s="285"/>
      <c r="CH28" s="285"/>
      <c r="CI28" s="285"/>
      <c r="CJ28" s="285"/>
      <c r="CK28" s="285"/>
      <c r="CL28" s="285"/>
      <c r="CM28" s="285"/>
      <c r="CN28" s="285"/>
      <c r="CO28" s="285"/>
      <c r="CP28" s="285"/>
      <c r="CQ28" s="285"/>
      <c r="CR28" s="285"/>
      <c r="CS28" s="285"/>
      <c r="CT28" s="285"/>
      <c r="CU28" s="285"/>
      <c r="CV28" s="285"/>
      <c r="CW28" s="285"/>
      <c r="CX28" s="285"/>
      <c r="CY28" s="285"/>
      <c r="CZ28" s="285"/>
      <c r="DA28" s="285"/>
      <c r="DB28" s="285"/>
      <c r="DC28" s="285"/>
      <c r="DD28" s="285"/>
      <c r="DE28" s="285"/>
      <c r="DF28" s="285"/>
      <c r="DG28" s="285"/>
      <c r="DH28" s="308"/>
      <c r="DI28" s="285"/>
      <c r="DJ28" s="76"/>
      <c r="DK28" s="76"/>
      <c r="DL28" s="76"/>
      <c r="DM28" s="76"/>
      <c r="DN28" s="76"/>
      <c r="DO28" s="76"/>
      <c r="DP28" s="76"/>
      <c r="DQ28" s="76"/>
      <c r="DR28" s="76"/>
      <c r="DS28" s="76"/>
      <c r="DT28" s="76"/>
      <c r="DU28" s="76"/>
      <c r="DV28" s="76"/>
      <c r="DW28" s="76"/>
      <c r="DX28" s="76"/>
      <c r="DY28" s="76"/>
      <c r="DZ28" s="76"/>
      <c r="EA28" s="76"/>
      <c r="EB28" s="76"/>
      <c r="EC28" s="76"/>
      <c r="ED28" s="76"/>
      <c r="EE28" s="76"/>
      <c r="EF28" s="76"/>
      <c r="EG28" s="76"/>
      <c r="EH28" s="76"/>
      <c r="EI28" s="76"/>
      <c r="EJ28" s="76"/>
      <c r="EK28" s="76"/>
      <c r="EL28" s="76"/>
      <c r="EM28" s="76"/>
      <c r="EN28" s="76"/>
      <c r="EO28" s="76"/>
      <c r="EP28" s="76"/>
      <c r="EQ28" s="76"/>
      <c r="ER28" s="76"/>
      <c r="ES28" s="76"/>
      <c r="ET28" s="76"/>
      <c r="EU28" s="76"/>
      <c r="EV28" s="76"/>
      <c r="EW28" s="76"/>
      <c r="EX28" s="76"/>
      <c r="EY28" s="76"/>
      <c r="EZ28" s="76"/>
      <c r="FA28" s="76"/>
      <c r="FB28" s="76"/>
      <c r="FC28" s="76"/>
      <c r="FD28" s="76"/>
      <c r="FE28" s="76"/>
      <c r="FF28" s="76"/>
      <c r="FG28" s="76"/>
      <c r="FH28" s="604"/>
      <c r="FI28" s="285"/>
      <c r="FJ28" s="307"/>
      <c r="FK28" s="307"/>
      <c r="FL28" s="285"/>
      <c r="FM28" s="285"/>
      <c r="FN28" s="285"/>
      <c r="FO28" s="285"/>
      <c r="FP28" s="285"/>
      <c r="FQ28" s="285"/>
      <c r="FR28" s="285"/>
      <c r="FS28" s="285"/>
      <c r="FT28" s="285"/>
      <c r="FU28" s="285"/>
      <c r="FV28" s="285"/>
      <c r="FW28" s="285"/>
      <c r="FX28" s="285"/>
      <c r="FY28" s="285"/>
      <c r="FZ28" s="285"/>
      <c r="GA28" s="285"/>
      <c r="GB28" s="285"/>
      <c r="GC28" s="285"/>
      <c r="GD28" s="285"/>
      <c r="GE28" s="285"/>
      <c r="GF28" s="285"/>
      <c r="GG28" s="285"/>
      <c r="GH28" s="285"/>
      <c r="GI28" s="285"/>
      <c r="GJ28" s="285"/>
      <c r="GK28" s="285"/>
      <c r="GL28" s="285"/>
      <c r="GM28" s="285"/>
      <c r="GN28" s="308"/>
      <c r="GO28" s="289"/>
      <c r="GP28" s="285"/>
      <c r="GQ28" s="285"/>
      <c r="GR28" s="412"/>
      <c r="GS28" s="308" t="s">
        <v>92</v>
      </c>
      <c r="GT28" s="716">
        <f>$GO$29*IF(OR(GP31=1,GL31=1,GY31=1,HC31=1,HL31=1,HP31=1,HY31=1,IC31=1,IL31=1,IP31=1),1,0)</f>
        <v>0</v>
      </c>
      <c r="GU28" s="717">
        <f>$GO$29*IF(OR(GQ31=1,GM31=1,GZ31=1,HD31=1,HM31=1,HQ31=1,HZ31=1,ID31=1,IM31=1,IQ31=1),1,0)</f>
        <v>0</v>
      </c>
      <c r="GV28" s="717">
        <f>$GO$29*IF(OR(GR31=1,GN31=1,HA31=1,HE31=1,HN31=1,HR31=1,IA31=1,IE31=1,IN31=1,IR31=1),1,0)</f>
        <v>1</v>
      </c>
      <c r="GW28" s="717">
        <f>$GO$29*IF(OR(GS31=1,GO31=1,HB31=1,HF31=1,HO31=1,HS31=1,IB31=1,IF31=1,IO31=1,IS31=1),1,0)</f>
        <v>0</v>
      </c>
      <c r="GX28" s="717">
        <f t="shared" ref="GX28:IN28" si="83">$GO$29*IF(OR(GT31=1,GP31=1,HC31=1,HG31=1,HP31=1,HT31=1,IC31=1,IG31=1,IP31=1),1,0)</f>
        <v>0</v>
      </c>
      <c r="GY28" s="717">
        <f t="shared" si="83"/>
        <v>0</v>
      </c>
      <c r="GZ28" s="717">
        <f t="shared" si="83"/>
        <v>1</v>
      </c>
      <c r="HA28" s="717">
        <f t="shared" si="83"/>
        <v>0</v>
      </c>
      <c r="HB28" s="717">
        <f t="shared" si="83"/>
        <v>0</v>
      </c>
      <c r="HC28" s="717">
        <f t="shared" si="83"/>
        <v>0</v>
      </c>
      <c r="HD28" s="717">
        <f t="shared" si="83"/>
        <v>0</v>
      </c>
      <c r="HE28" s="717">
        <f t="shared" si="83"/>
        <v>0</v>
      </c>
      <c r="HF28" s="713">
        <f t="shared" si="83"/>
        <v>0</v>
      </c>
      <c r="HG28" s="713">
        <f t="shared" si="83"/>
        <v>0</v>
      </c>
      <c r="HH28" s="713">
        <f t="shared" si="83"/>
        <v>0</v>
      </c>
      <c r="HI28" s="713">
        <f t="shared" si="83"/>
        <v>1</v>
      </c>
      <c r="HJ28" s="713">
        <f t="shared" si="83"/>
        <v>0</v>
      </c>
      <c r="HK28" s="713">
        <f t="shared" si="83"/>
        <v>0</v>
      </c>
      <c r="HL28" s="713">
        <f t="shared" si="83"/>
        <v>0</v>
      </c>
      <c r="HM28" s="713">
        <f t="shared" si="83"/>
        <v>1</v>
      </c>
      <c r="HN28" s="713">
        <f t="shared" si="83"/>
        <v>0</v>
      </c>
      <c r="HO28" s="713">
        <f t="shared" si="83"/>
        <v>0</v>
      </c>
      <c r="HP28" s="713">
        <f t="shared" si="83"/>
        <v>0</v>
      </c>
      <c r="HQ28" s="713">
        <f t="shared" si="83"/>
        <v>0</v>
      </c>
      <c r="HR28" s="713">
        <f t="shared" si="83"/>
        <v>0</v>
      </c>
      <c r="HS28" s="713">
        <f t="shared" si="83"/>
        <v>0</v>
      </c>
      <c r="HT28" s="713">
        <f t="shared" si="83"/>
        <v>0</v>
      </c>
      <c r="HU28" s="713">
        <f t="shared" si="83"/>
        <v>0</v>
      </c>
      <c r="HV28" s="713">
        <f t="shared" si="83"/>
        <v>1</v>
      </c>
      <c r="HW28" s="713">
        <f t="shared" si="83"/>
        <v>0</v>
      </c>
      <c r="HX28" s="713">
        <f t="shared" si="83"/>
        <v>0</v>
      </c>
      <c r="HY28" s="713">
        <f t="shared" si="83"/>
        <v>0</v>
      </c>
      <c r="HZ28" s="713">
        <f t="shared" si="83"/>
        <v>1</v>
      </c>
      <c r="IA28" s="713">
        <f t="shared" si="83"/>
        <v>0</v>
      </c>
      <c r="IB28" s="713">
        <f t="shared" si="83"/>
        <v>0</v>
      </c>
      <c r="IC28" s="713">
        <f t="shared" si="83"/>
        <v>0</v>
      </c>
      <c r="ID28" s="713">
        <f t="shared" si="83"/>
        <v>0</v>
      </c>
      <c r="IE28" s="713">
        <f t="shared" si="83"/>
        <v>0</v>
      </c>
      <c r="IF28" s="713">
        <f t="shared" si="83"/>
        <v>0</v>
      </c>
      <c r="IG28" s="713">
        <f t="shared" si="83"/>
        <v>0</v>
      </c>
      <c r="IH28" s="713">
        <f t="shared" si="83"/>
        <v>0</v>
      </c>
      <c r="II28" s="713">
        <f t="shared" si="83"/>
        <v>1</v>
      </c>
      <c r="IJ28" s="713">
        <f t="shared" si="83"/>
        <v>0</v>
      </c>
      <c r="IK28" s="713">
        <f t="shared" si="83"/>
        <v>0</v>
      </c>
      <c r="IL28" s="713">
        <f t="shared" si="83"/>
        <v>0</v>
      </c>
      <c r="IM28" s="713">
        <f t="shared" si="83"/>
        <v>1</v>
      </c>
      <c r="IN28" s="713">
        <f t="shared" si="83"/>
        <v>0</v>
      </c>
      <c r="IO28" s="713">
        <f t="shared" ref="IO28" si="84">$GO$29*IF(OR(IK31=1,IG31=1,IT31=1,IX31=1,JG31=1,JK31=1,JT31=1,JX31=1),1,0)</f>
        <v>0</v>
      </c>
      <c r="IP28" s="713">
        <f t="shared" ref="IP28" si="85">$GO$29*IF(OR(IL31=1,IH31=1,IU31=1,IY31=1,JH31=1,JL31=1,JU31=1,JY31=1),1,0)</f>
        <v>0</v>
      </c>
      <c r="IQ28" s="713">
        <f t="shared" ref="IQ28" si="86">$GO$29*IF(OR(IM31=1,II31=1,IV31=1,IZ31=1,JI31=1,JM31=1,JV31=1,JZ31=1),1,0)</f>
        <v>0</v>
      </c>
      <c r="IR28" s="713">
        <f t="shared" ref="IR28" si="87">$GO$29*IF(OR(IN31=1,IJ31=1,IW31=1,JA31=1,JJ31=1,JN31=1,JW31=1,KA31=1),1,0)</f>
        <v>0</v>
      </c>
      <c r="IS28" s="713">
        <f t="shared" ref="IS28" si="88">$GO$29*IF(OR(IO31=1,IK31=1,IX31=1,JB31=1,JK31=1,JO31=1,JX31=1,KB31=1),1,0)</f>
        <v>0</v>
      </c>
      <c r="IT28" s="713">
        <f t="shared" ref="IT28" si="89">$GO$29*IF(OR(IP31=1,IL31=1,IY31=1,JC31=1,JL31=1,JP31=1,JY31=1,KC31=1),1,0)</f>
        <v>0</v>
      </c>
      <c r="IU28" s="713">
        <f t="shared" ref="IU28" si="90">$GO$29*IF(OR(IQ31=1,IM31=1,IZ31=1,JD31=1,JM31=1,JQ31=1,JZ31=1,KD31=1),1,0)</f>
        <v>0</v>
      </c>
      <c r="IV28" s="713">
        <f t="shared" ref="IV28:IZ28" si="91">$GO$29*IF(OR(IR31=1,IN31=1,JA31=1,JE31=1,JN31=1,JR31=1,KA31=1,KE31=1),1,0)</f>
        <v>1</v>
      </c>
      <c r="IW28" s="713">
        <f t="shared" si="91"/>
        <v>0</v>
      </c>
      <c r="IX28" s="713">
        <f t="shared" si="91"/>
        <v>0</v>
      </c>
      <c r="IY28" s="713">
        <f t="shared" si="91"/>
        <v>0</v>
      </c>
      <c r="IZ28" s="713">
        <f t="shared" si="91"/>
        <v>1</v>
      </c>
      <c r="JA28" s="713">
        <f t="shared" ref="JA28" si="92">$GO$29*IF(OR(IW31=1,IS31=1,JF31=1,JJ31=1,JS31=1,JW31=1,KF31=1,KJ31=1),1,0)</f>
        <v>0</v>
      </c>
      <c r="JB28" s="713">
        <f t="shared" ref="JB28:JH28" si="93">$GO$29*IF(OR(IK31=1,IX31=1,IT31=1,JG31=1,JK31=1,JT31=1,JX31=1,KG31=1),1,0)</f>
        <v>0</v>
      </c>
      <c r="JC28" s="713">
        <f t="shared" si="93"/>
        <v>0</v>
      </c>
      <c r="JD28" s="713">
        <f t="shared" si="93"/>
        <v>0</v>
      </c>
      <c r="JE28" s="713">
        <f t="shared" si="93"/>
        <v>0</v>
      </c>
      <c r="JF28" s="713">
        <f t="shared" si="93"/>
        <v>0</v>
      </c>
      <c r="JG28" s="713">
        <f t="shared" si="93"/>
        <v>0</v>
      </c>
      <c r="JH28" s="713">
        <f t="shared" si="93"/>
        <v>0</v>
      </c>
      <c r="JI28" s="713">
        <f t="shared" ref="JI28:JJ28" si="94">$GO$29*IF(OR(IN31=1,IR31=1,JE31=1,JA31=1,JN31=1,JR31=1,KA31=1,KE31=1),1,0)</f>
        <v>1</v>
      </c>
      <c r="JJ28" s="713">
        <f t="shared" si="94"/>
        <v>0</v>
      </c>
      <c r="JK28" s="713">
        <f t="shared" ref="JK28:JM28" si="95">$GO$29*IF(OR(IG31=1,IP31=1,IT31=1,JG31=1,JC31=1,JP31=1,JT31=1,KC31=1),1,0)</f>
        <v>0</v>
      </c>
      <c r="JL28" s="713">
        <f t="shared" si="95"/>
        <v>0</v>
      </c>
      <c r="JM28" s="713">
        <f t="shared" si="95"/>
        <v>1</v>
      </c>
      <c r="JN28" s="713">
        <f t="shared" ref="JN28:KB28" si="96">$GO$29*IF(OR(IF31=1,IJ31=1,IS31=1,IW31=1,JJ31=1,JF31=1,JS31=1,JW31=1),1,0)</f>
        <v>0</v>
      </c>
      <c r="JO28" s="713">
        <f t="shared" si="96"/>
        <v>0</v>
      </c>
      <c r="JP28" s="713">
        <f t="shared" si="96"/>
        <v>0</v>
      </c>
      <c r="JQ28" s="713">
        <f t="shared" si="96"/>
        <v>0</v>
      </c>
      <c r="JR28" s="713">
        <f t="shared" si="96"/>
        <v>0</v>
      </c>
      <c r="JS28" s="713">
        <f t="shared" si="96"/>
        <v>0</v>
      </c>
      <c r="JT28" s="713">
        <f t="shared" si="96"/>
        <v>0</v>
      </c>
      <c r="JU28" s="713">
        <f t="shared" si="96"/>
        <v>0</v>
      </c>
      <c r="JV28" s="713">
        <f t="shared" si="96"/>
        <v>1</v>
      </c>
      <c r="JW28" s="713">
        <f t="shared" si="96"/>
        <v>0</v>
      </c>
      <c r="JX28" s="713">
        <f t="shared" si="96"/>
        <v>0</v>
      </c>
      <c r="JY28" s="713">
        <f t="shared" si="96"/>
        <v>0</v>
      </c>
      <c r="JZ28" s="713">
        <f t="shared" si="96"/>
        <v>1</v>
      </c>
      <c r="KA28" s="713">
        <f t="shared" si="96"/>
        <v>0</v>
      </c>
      <c r="KB28" s="713">
        <f t="shared" si="96"/>
        <v>0</v>
      </c>
      <c r="KC28" s="713">
        <f>$GO$29*IF(OR(IU31=1,IY31=1,JH31=1,JL31=1,JY31=1,JU31=1,KH31=1,KL31=1),1,0)</f>
        <v>0</v>
      </c>
      <c r="KD28" s="713">
        <f t="shared" ref="KD28:LP28" si="97">$GO$29*IF(OR(IV31=1,IZ31=1,JI31=1,JM31=1,JZ31=1,JV31=1,KI31=1,KM31=1),1,0)</f>
        <v>0</v>
      </c>
      <c r="KE28" s="713">
        <f t="shared" si="97"/>
        <v>0</v>
      </c>
      <c r="KF28" s="713">
        <f t="shared" si="97"/>
        <v>0</v>
      </c>
      <c r="KG28" s="713">
        <f t="shared" si="97"/>
        <v>0</v>
      </c>
      <c r="KH28" s="713">
        <f t="shared" si="97"/>
        <v>0</v>
      </c>
      <c r="KI28" s="713">
        <f t="shared" si="97"/>
        <v>1</v>
      </c>
      <c r="KJ28" s="713">
        <f t="shared" si="97"/>
        <v>0</v>
      </c>
      <c r="KK28" s="713">
        <f t="shared" si="97"/>
        <v>0</v>
      </c>
      <c r="KL28" s="713">
        <f t="shared" si="97"/>
        <v>0</v>
      </c>
      <c r="KM28" s="713">
        <f t="shared" si="97"/>
        <v>1</v>
      </c>
      <c r="KN28" s="713">
        <f t="shared" si="97"/>
        <v>0</v>
      </c>
      <c r="KO28" s="713">
        <f t="shared" si="97"/>
        <v>0</v>
      </c>
      <c r="KP28" s="713">
        <f t="shared" si="97"/>
        <v>0</v>
      </c>
      <c r="KQ28" s="713">
        <f t="shared" si="97"/>
        <v>0</v>
      </c>
      <c r="KR28" s="713">
        <f t="shared" si="97"/>
        <v>0</v>
      </c>
      <c r="KS28" s="713">
        <f t="shared" si="97"/>
        <v>0</v>
      </c>
      <c r="KT28" s="713">
        <f t="shared" si="97"/>
        <v>0</v>
      </c>
      <c r="KU28" s="713">
        <f t="shared" si="97"/>
        <v>0</v>
      </c>
      <c r="KV28" s="713">
        <f t="shared" si="97"/>
        <v>1</v>
      </c>
      <c r="KW28" s="713">
        <f t="shared" si="97"/>
        <v>0</v>
      </c>
      <c r="KX28" s="713">
        <f t="shared" si="97"/>
        <v>0</v>
      </c>
      <c r="KY28" s="713">
        <f t="shared" si="97"/>
        <v>0</v>
      </c>
      <c r="KZ28" s="713">
        <f t="shared" si="97"/>
        <v>1</v>
      </c>
      <c r="LA28" s="713">
        <f t="shared" si="97"/>
        <v>0</v>
      </c>
      <c r="LB28" s="713">
        <f t="shared" si="97"/>
        <v>0</v>
      </c>
      <c r="LC28" s="713">
        <f t="shared" si="97"/>
        <v>0</v>
      </c>
      <c r="LD28" s="713">
        <f t="shared" si="97"/>
        <v>0</v>
      </c>
      <c r="LE28" s="713">
        <f t="shared" si="97"/>
        <v>0</v>
      </c>
      <c r="LF28" s="713">
        <f t="shared" si="97"/>
        <v>0</v>
      </c>
      <c r="LG28" s="713">
        <f t="shared" si="97"/>
        <v>0</v>
      </c>
      <c r="LH28" s="713">
        <f t="shared" si="97"/>
        <v>0</v>
      </c>
      <c r="LI28" s="713">
        <f t="shared" si="97"/>
        <v>1</v>
      </c>
      <c r="LJ28" s="713">
        <f t="shared" si="97"/>
        <v>0</v>
      </c>
      <c r="LK28" s="713">
        <f t="shared" si="97"/>
        <v>0</v>
      </c>
      <c r="LL28" s="713">
        <f t="shared" si="97"/>
        <v>0</v>
      </c>
      <c r="LM28" s="713">
        <f t="shared" si="97"/>
        <v>1</v>
      </c>
      <c r="LN28" s="713">
        <f t="shared" si="97"/>
        <v>0</v>
      </c>
      <c r="LO28" s="713">
        <f t="shared" si="97"/>
        <v>0</v>
      </c>
      <c r="LP28" s="713">
        <f t="shared" si="97"/>
        <v>0</v>
      </c>
    </row>
    <row r="29" spans="1:328" ht="12.75" hidden="1" customHeight="1" thickBot="1" x14ac:dyDescent="0.35">
      <c r="A29" s="285"/>
      <c r="B29" s="285"/>
      <c r="C29" s="299">
        <v>0.4</v>
      </c>
      <c r="D29" s="285"/>
      <c r="E29" s="285"/>
      <c r="F29" s="285"/>
      <c r="G29" s="3139">
        <f>IF(C7="B",0,1)</f>
        <v>0</v>
      </c>
      <c r="H29" s="276"/>
      <c r="I29" s="306" t="s">
        <v>4063</v>
      </c>
      <c r="J29" s="285"/>
      <c r="K29" s="306"/>
      <c r="L29" s="285"/>
      <c r="M29" s="287"/>
      <c r="N29" s="287"/>
      <c r="O29" s="287"/>
      <c r="P29" s="287"/>
      <c r="Q29" s="287"/>
      <c r="R29" s="287"/>
      <c r="S29" s="285"/>
      <c r="T29" s="285"/>
      <c r="U29" s="285"/>
      <c r="V29" s="285"/>
      <c r="W29" s="285"/>
      <c r="X29" s="285"/>
      <c r="Y29" s="285"/>
      <c r="Z29" s="285"/>
      <c r="AA29" s="285"/>
      <c r="AB29" s="285"/>
      <c r="AC29" s="285"/>
      <c r="AD29" s="285"/>
      <c r="AE29" s="285"/>
      <c r="AF29" s="285"/>
      <c r="AG29" s="285"/>
      <c r="AH29" s="2513"/>
      <c r="AI29" s="285"/>
      <c r="AJ29" s="285"/>
      <c r="AK29" s="285"/>
      <c r="AL29" s="285"/>
      <c r="AM29" s="285"/>
      <c r="AN29" s="285"/>
      <c r="AO29" s="285"/>
      <c r="AP29" s="285"/>
      <c r="AQ29" s="285"/>
      <c r="AR29" s="285"/>
      <c r="AS29" s="285"/>
      <c r="AT29" s="285"/>
      <c r="AU29" s="285"/>
      <c r="AV29" s="285"/>
      <c r="AW29" s="285"/>
      <c r="AX29" s="285"/>
      <c r="AY29" s="285"/>
      <c r="AZ29" s="285"/>
      <c r="BA29" s="285"/>
      <c r="BB29" s="285"/>
      <c r="BC29" s="285"/>
      <c r="BD29" s="285"/>
      <c r="BE29" s="285"/>
      <c r="BF29" s="285"/>
      <c r="BG29" s="285"/>
      <c r="BH29" s="285"/>
      <c r="BI29" s="285"/>
      <c r="BJ29" s="285"/>
      <c r="BK29" s="285"/>
      <c r="BL29" s="285"/>
      <c r="BM29" s="285"/>
      <c r="BN29" s="285"/>
      <c r="BO29" s="285"/>
      <c r="BP29" s="285"/>
      <c r="BQ29" s="285"/>
      <c r="BR29" s="285"/>
      <c r="BS29" s="285"/>
      <c r="BT29" s="285"/>
      <c r="BU29" s="285"/>
      <c r="BV29" s="285"/>
      <c r="BW29" s="285"/>
      <c r="BX29" s="285"/>
      <c r="BY29" s="285"/>
      <c r="BZ29" s="285"/>
      <c r="CA29" s="285"/>
      <c r="CB29" s="285"/>
      <c r="CC29" s="285"/>
      <c r="CD29" s="285"/>
      <c r="CE29" s="285"/>
      <c r="CF29" s="285"/>
      <c r="CG29" s="285"/>
      <c r="CH29" s="285"/>
      <c r="CI29" s="285"/>
      <c r="CJ29" s="285"/>
      <c r="CK29" s="285"/>
      <c r="CL29" s="285"/>
      <c r="CM29" s="285"/>
      <c r="CN29" s="285"/>
      <c r="CO29" s="285"/>
      <c r="CP29" s="285"/>
      <c r="CQ29" s="285"/>
      <c r="CR29" s="285"/>
      <c r="CS29" s="285"/>
      <c r="CT29" s="285"/>
      <c r="CU29" s="285"/>
      <c r="CV29" s="285"/>
      <c r="CW29" s="285"/>
      <c r="CX29" s="285"/>
      <c r="CY29" s="285"/>
      <c r="CZ29" s="285"/>
      <c r="DA29" s="285"/>
      <c r="DB29" s="285"/>
      <c r="DC29" s="285"/>
      <c r="DD29" s="285"/>
      <c r="DE29" s="285"/>
      <c r="DF29" s="308" t="s">
        <v>2318</v>
      </c>
      <c r="DG29" s="285"/>
      <c r="DH29" s="751">
        <f>IF(OR('1 Setup'!G8=4,'1 Setup'!G8=5),1,0)</f>
        <v>0</v>
      </c>
      <c r="DI29" s="285"/>
      <c r="DJ29" s="76">
        <f>IF(OR(DJ169=0,$DH$29=0),0,IFERROR(INDEX('2 Staff List'!$JH$64:$JH$114,DJ21),0))</f>
        <v>0</v>
      </c>
      <c r="DK29" s="76">
        <f>IF(OR(DK169=0,$DH$29=0),0,IFERROR(INDEX('2 Staff List'!$JH$64:$JH$114,DK21),0))</f>
        <v>0</v>
      </c>
      <c r="DL29" s="76">
        <f>IF(OR(DL169=0,$DH$29=0),0,IFERROR(INDEX('2 Staff List'!$JH$64:$JH$114,DL21),0))</f>
        <v>0</v>
      </c>
      <c r="DM29" s="76">
        <f>IF(OR(DM169=0,$DH$29=0),0,IFERROR(INDEX('2 Staff List'!$JH$64:$JH$114,DM21),0))</f>
        <v>0</v>
      </c>
      <c r="DN29" s="76">
        <f>IF(OR(DN169=0,$DH$29=0),0,IFERROR(INDEX('2 Staff List'!$JH$64:$JH$114,DN21),0))</f>
        <v>0</v>
      </c>
      <c r="DO29" s="76">
        <f>IF(OR(DO169=0,$DH$29=0),0,IFERROR(INDEX('2 Staff List'!$JH$64:$JH$114,DO21),0))</f>
        <v>0</v>
      </c>
      <c r="DP29" s="76">
        <f>IF(OR(DP169=0,$DH$29=0),0,IFERROR(INDEX('2 Staff List'!$JH$64:$JH$114,DP21),0))</f>
        <v>0</v>
      </c>
      <c r="DQ29" s="76">
        <f>IF(OR(DQ169=0,$DH$29=0),0,IFERROR(INDEX('2 Staff List'!$JH$64:$JH$114,DQ21),0))</f>
        <v>0</v>
      </c>
      <c r="DR29" s="76">
        <f>IF(OR(DR169=0,$DH$29=0),0,IFERROR(INDEX('2 Staff List'!$JH$64:$JH$114,DR21),0))</f>
        <v>0</v>
      </c>
      <c r="DS29" s="76">
        <f>IF(OR(DS169=0,$DH$29=0),0,IFERROR(INDEX('2 Staff List'!$JH$64:$JH$114,DS21),0))</f>
        <v>0</v>
      </c>
      <c r="DT29" s="76">
        <f>IF(OR(DT169=0,$DH$29=0),0,IFERROR(INDEX('2 Staff List'!$JH$64:$JH$114,DT21),0))</f>
        <v>0</v>
      </c>
      <c r="DU29" s="76">
        <f>IF(OR(DU169=0,$DH$29=0),0,IFERROR(INDEX('2 Staff List'!$JH$64:$JH$114,DU21),0))</f>
        <v>0</v>
      </c>
      <c r="DV29" s="76">
        <f>IF(OR(DV169=0,$DH$29=0),0,IFERROR(INDEX('2 Staff List'!$JH$64:$JH$114,DV21),0))</f>
        <v>0</v>
      </c>
      <c r="DW29" s="76">
        <f>IF(OR(DW169=0,$DH$29=0),0,IFERROR(INDEX('2 Staff List'!$JH$64:$JH$114,DW21),0))</f>
        <v>0</v>
      </c>
      <c r="DX29" s="76">
        <f>IF(OR(DX169=0,$DH$29=0),0,IFERROR(INDEX('2 Staff List'!$JH$64:$JH$114,DX21),0))</f>
        <v>0</v>
      </c>
      <c r="DY29" s="76">
        <f>IF(OR(DY169=0,$DH$29=0),0,IFERROR(INDEX('2 Staff List'!$JH$64:$JH$114,DY21),0))</f>
        <v>0</v>
      </c>
      <c r="DZ29" s="76">
        <f>IF(OR(DZ169=0,$DH$29=0),0,IFERROR(INDEX('2 Staff List'!$JH$64:$JH$114,DZ21),0))</f>
        <v>0</v>
      </c>
      <c r="EA29" s="76">
        <f>IF(OR(EA169=0,$DH$29=0),0,IFERROR(INDEX('2 Staff List'!$JH$64:$JH$114,EA21),0))</f>
        <v>0</v>
      </c>
      <c r="EB29" s="76">
        <f>IF(OR(EB169=0,$DH$29=0),0,IFERROR(INDEX('2 Staff List'!$JH$64:$JH$114,EB21),0))</f>
        <v>0</v>
      </c>
      <c r="EC29" s="76">
        <f>IF(OR(EC169=0,$DH$29=0),0,IFERROR(INDEX('2 Staff List'!$JH$64:$JH$114,EC21),0))</f>
        <v>0</v>
      </c>
      <c r="ED29" s="76">
        <f>IF(OR(ED169=0,$DH$29=0),0,IFERROR(INDEX('2 Staff List'!$JH$64:$JH$114,ED21),0))</f>
        <v>0</v>
      </c>
      <c r="EE29" s="76">
        <f>IF(OR(EE169=0,$DH$29=0),0,IFERROR(INDEX('2 Staff List'!$JH$64:$JH$114,EE21),0))</f>
        <v>0</v>
      </c>
      <c r="EF29" s="76">
        <f>IF(OR(EF169=0,$DH$29=0),0,IFERROR(INDEX('2 Staff List'!$JH$64:$JH$114,EF21),0))</f>
        <v>0</v>
      </c>
      <c r="EG29" s="76">
        <f>IF(OR(EG169=0,$DH$29=0),0,IFERROR(INDEX('2 Staff List'!$JH$64:$JH$114,EG21),0))</f>
        <v>0</v>
      </c>
      <c r="EH29" s="76">
        <f>IF(OR(EH169=0,$DH$29=0),0,IFERROR(INDEX('2 Staff List'!$JH$64:$JH$114,EH21),0))</f>
        <v>0</v>
      </c>
      <c r="EI29" s="76">
        <f>IF(OR(EI169=0,$DH$29=0),0,IFERROR(INDEX('2 Staff List'!$JH$64:$JH$114,EI21),0))</f>
        <v>0</v>
      </c>
      <c r="EJ29" s="76">
        <f>IF(OR(EJ169=0,$DH$29=0),0,IFERROR(INDEX('2 Staff List'!$JH$64:$JH$114,EJ21),0))</f>
        <v>0</v>
      </c>
      <c r="EK29" s="76">
        <f>IF(OR(EK169=0,$DH$29=0),0,IFERROR(INDEX('2 Staff List'!$JH$64:$JH$114,EK21),0))</f>
        <v>0</v>
      </c>
      <c r="EL29" s="76">
        <f>IF(OR(EL169=0,$DH$29=0),0,IFERROR(INDEX('2 Staff List'!$JH$64:$JH$114,EL21),0))</f>
        <v>0</v>
      </c>
      <c r="EM29" s="76">
        <f>IF(OR(EM169=0,$DH$29=0),0,IFERROR(INDEX('2 Staff List'!$JH$64:$JH$114,EM21),0))</f>
        <v>0</v>
      </c>
      <c r="EN29" s="76">
        <f>IF(OR(EN169=0,$DH$29=0),0,IFERROR(INDEX('2 Staff List'!$JH$64:$JH$114,EN21),0))</f>
        <v>0</v>
      </c>
      <c r="EO29" s="76">
        <f>IF(OR(EO169=0,$DH$29=0),0,IFERROR(INDEX('2 Staff List'!$JH$64:$JH$114,EO21),0))</f>
        <v>0</v>
      </c>
      <c r="EP29" s="76">
        <f>IF(OR(EP169=0,$DH$29=0),0,IFERROR(INDEX('2 Staff List'!$JH$64:$JH$114,EP21),0))</f>
        <v>0</v>
      </c>
      <c r="EQ29" s="76">
        <f>IF(OR(EQ169=0,$DH$29=0),0,IFERROR(INDEX('2 Staff List'!$JH$64:$JH$114,EQ21),0))</f>
        <v>0</v>
      </c>
      <c r="ER29" s="76">
        <f>IF(OR(ER169=0,$DH$29=0),0,IFERROR(INDEX('2 Staff List'!$JH$64:$JH$114,ER21),0))</f>
        <v>0</v>
      </c>
      <c r="ES29" s="76">
        <f>IF(OR(ES169=0,$DH$29=0),0,IFERROR(INDEX('2 Staff List'!$JH$64:$JH$114,ES21),0))</f>
        <v>0</v>
      </c>
      <c r="ET29" s="76">
        <f>IF(OR(ET169=0,$DH$29=0),0,IFERROR(INDEX('2 Staff List'!$JH$64:$JH$114,ET21),0))</f>
        <v>0</v>
      </c>
      <c r="EU29" s="76">
        <f>IF(OR(EU169=0,$DH$29=0),0,IFERROR(INDEX('2 Staff List'!$JH$64:$JH$114,EU21),0))</f>
        <v>0</v>
      </c>
      <c r="EV29" s="76">
        <f>IF(OR(EV169=0,$DH$29=0),0,IFERROR(INDEX('2 Staff List'!$JH$64:$JH$114,EV21),0))</f>
        <v>0</v>
      </c>
      <c r="EW29" s="76">
        <f>IF(OR(EW169=0,$DH$29=0),0,IFERROR(INDEX('2 Staff List'!$JH$64:$JH$114,EW21),0))</f>
        <v>0</v>
      </c>
      <c r="EX29" s="76">
        <f>IF(OR(EX169=0,$DH$29=0),0,IFERROR(INDEX('2 Staff List'!$JH$64:$JH$114,EX21),0))</f>
        <v>0</v>
      </c>
      <c r="EY29" s="76">
        <f>IF(OR(EY169=0,$DH$29=0),0,IFERROR(INDEX('2 Staff List'!$JH$64:$JH$114,EY21),0))</f>
        <v>0</v>
      </c>
      <c r="EZ29" s="76">
        <f>IF(OR(EZ169=0,$DH$29=0),0,IFERROR(INDEX('2 Staff List'!$JH$64:$JH$114,EZ21),0))</f>
        <v>0</v>
      </c>
      <c r="FA29" s="76">
        <f>IF(OR(FA169=0,$DH$29=0),0,IFERROR(INDEX('2 Staff List'!$JH$64:$JH$114,FA21),0))</f>
        <v>0</v>
      </c>
      <c r="FB29" s="76">
        <f>IF(OR(FB169=0,$DH$29=0),0,IFERROR(INDEX('2 Staff List'!$JH$64:$JH$114,FB21),0))</f>
        <v>0</v>
      </c>
      <c r="FC29" s="76">
        <f>IF(OR(FC169=0,$DH$29=0),0,IFERROR(INDEX('2 Staff List'!$JH$64:$JH$114,FC21),0))</f>
        <v>0</v>
      </c>
      <c r="FD29" s="76">
        <f>IF(OR(FD169=0,$DH$29=0),0,IFERROR(INDEX('2 Staff List'!$JH$64:$JH$114,FD21),0))</f>
        <v>0</v>
      </c>
      <c r="FE29" s="76">
        <f>IF(OR(FE169=0,$DH$29=0),0,IFERROR(INDEX('2 Staff List'!$JH$64:$JH$114,FE21),0))</f>
        <v>0</v>
      </c>
      <c r="FF29" s="76">
        <f>IF(OR(FF169=0,$DH$29=0),0,IFERROR(INDEX('2 Staff List'!$JH$64:$JH$114,FF21),0))</f>
        <v>0</v>
      </c>
      <c r="FG29" s="76">
        <f>IF(OR(FG169=0,$DH$29=0),0,IFERROR(INDEX('2 Staff List'!$JH$64:$JH$114,FG21),0))</f>
        <v>0</v>
      </c>
      <c r="FH29" s="604"/>
      <c r="FI29" s="285"/>
      <c r="FJ29" s="307"/>
      <c r="FK29" s="307"/>
      <c r="FL29" s="285"/>
      <c r="FM29" s="285"/>
      <c r="FN29" s="285"/>
      <c r="FO29" s="285"/>
      <c r="FP29" s="285"/>
      <c r="FQ29" s="285"/>
      <c r="FR29" s="285"/>
      <c r="FS29" s="285"/>
      <c r="FT29" s="285"/>
      <c r="FU29" s="285"/>
      <c r="FV29" s="285"/>
      <c r="FW29" s="285"/>
      <c r="FX29" s="285"/>
      <c r="FY29" s="285"/>
      <c r="FZ29" s="285"/>
      <c r="GA29" s="285"/>
      <c r="GB29" s="285"/>
      <c r="GC29" s="285"/>
      <c r="GD29" s="285"/>
      <c r="GE29" s="285"/>
      <c r="GF29" s="285"/>
      <c r="GG29" s="285"/>
      <c r="GH29" s="285"/>
      <c r="GI29" s="285"/>
      <c r="GJ29" s="285"/>
      <c r="GK29" s="285"/>
      <c r="GL29" s="285"/>
      <c r="GM29" s="285"/>
      <c r="GN29" s="308" t="s">
        <v>781</v>
      </c>
      <c r="GO29" s="537">
        <f>IF(FM5=2,0,1)</f>
        <v>1</v>
      </c>
      <c r="GP29" s="285"/>
      <c r="GQ29" s="285"/>
      <c r="GR29" s="412"/>
      <c r="GS29" s="308" t="s">
        <v>838</v>
      </c>
      <c r="GT29" s="988">
        <f t="shared" ref="GT29:HE29" si="98">IF(OR(HG31=1,HT31=1,IG31=1),1,0)</f>
        <v>0</v>
      </c>
      <c r="GU29" s="989">
        <f t="shared" si="98"/>
        <v>0</v>
      </c>
      <c r="GV29" s="989">
        <f t="shared" si="98"/>
        <v>0</v>
      </c>
      <c r="GW29" s="989">
        <f t="shared" si="98"/>
        <v>0</v>
      </c>
      <c r="GX29" s="989">
        <f t="shared" si="98"/>
        <v>0</v>
      </c>
      <c r="GY29" s="989">
        <f t="shared" si="98"/>
        <v>0</v>
      </c>
      <c r="GZ29" s="989">
        <f t="shared" si="98"/>
        <v>0</v>
      </c>
      <c r="HA29" s="989">
        <f t="shared" si="98"/>
        <v>0</v>
      </c>
      <c r="HB29" s="989">
        <f t="shared" si="98"/>
        <v>0</v>
      </c>
      <c r="HC29" s="989">
        <f t="shared" si="98"/>
        <v>0</v>
      </c>
      <c r="HD29" s="989">
        <f t="shared" si="98"/>
        <v>0</v>
      </c>
      <c r="HE29" s="989">
        <f t="shared" si="98"/>
        <v>1</v>
      </c>
      <c r="HF29" s="595">
        <f t="shared" ref="HF29:HK29" si="99">IF(OR(GS31=1,GF31=1,FO31=1,HS31=1,IF31=1,IS31=1),1,0)</f>
        <v>0</v>
      </c>
      <c r="HG29" s="595">
        <f t="shared" si="99"/>
        <v>0</v>
      </c>
      <c r="HH29" s="713">
        <f t="shared" si="99"/>
        <v>0</v>
      </c>
      <c r="HI29" s="595">
        <f t="shared" si="99"/>
        <v>0</v>
      </c>
      <c r="HJ29" s="595">
        <f t="shared" si="99"/>
        <v>0</v>
      </c>
      <c r="HK29" s="595">
        <f t="shared" si="99"/>
        <v>0</v>
      </c>
      <c r="HL29" s="595">
        <f>IF(OR(GY31=1,GL31=1,FX31=1,HY31=1,IL31=1,IY31=1),1,0)</f>
        <v>0</v>
      </c>
      <c r="HM29" s="595">
        <f>IF(OR(GZ31=1,GM31=1,FY31=1,HZ31=1,IM31=1,IZ31=1),1,0)</f>
        <v>0</v>
      </c>
      <c r="HN29" s="595">
        <f>IF(OR(HA31=1,GN31=1,FZ31=1,IA31=1,IN31=1,JA31=1),1,0)</f>
        <v>0</v>
      </c>
      <c r="HO29" s="595">
        <f>IF(OR(HB31=1,GO31=1,GA31=1,IB31=1,IO31=1,JB31=1),1,0)</f>
        <v>0</v>
      </c>
      <c r="HP29" s="595">
        <f>IF(OR(HC31=1,GP31=1,GB31=1,IC31=1,IP31=1,JC31=1),1,0)</f>
        <v>0</v>
      </c>
      <c r="HQ29" s="595">
        <f t="shared" ref="HQ29:HZ29" si="100">IF(OR(HD31=1,GQ31=1,GD31=1,ID31=1,IQ31=1,JD31=1),1,0)</f>
        <v>0</v>
      </c>
      <c r="HR29" s="595">
        <f t="shared" si="100"/>
        <v>1</v>
      </c>
      <c r="HS29" s="595">
        <f t="shared" si="100"/>
        <v>0</v>
      </c>
      <c r="HT29" s="595">
        <f t="shared" si="100"/>
        <v>0</v>
      </c>
      <c r="HU29" s="595">
        <f t="shared" si="100"/>
        <v>0</v>
      </c>
      <c r="HV29" s="595">
        <f t="shared" si="100"/>
        <v>0</v>
      </c>
      <c r="HW29" s="595">
        <f t="shared" si="100"/>
        <v>0</v>
      </c>
      <c r="HX29" s="595">
        <f t="shared" si="100"/>
        <v>0</v>
      </c>
      <c r="HY29" s="595">
        <f t="shared" si="100"/>
        <v>0</v>
      </c>
      <c r="HZ29" s="595">
        <f t="shared" si="100"/>
        <v>0</v>
      </c>
      <c r="IA29" s="595">
        <f t="shared" ref="IA29" si="101">IF(OR(HN31=1,HA31=1,GN31=1,IN31=1,JA31=1,JN31=1),1,0)</f>
        <v>0</v>
      </c>
      <c r="IB29" s="595">
        <f t="shared" ref="IB29" si="102">IF(OR(HO31=1,HB31=1,GO31=1,IO31=1,JB31=1,JO31=1),1,0)</f>
        <v>0</v>
      </c>
      <c r="IC29" s="595">
        <f t="shared" ref="IC29" si="103">IF(OR(HP31=1,HC31=1,GP31=1,IP31=1,JC31=1,JP31=1),1,0)</f>
        <v>0</v>
      </c>
      <c r="ID29" s="595">
        <f t="shared" ref="ID29" si="104">IF(OR(HQ31=1,HD31=1,GQ31=1,IQ31=1,JD31=1,JQ31=1),1,0)</f>
        <v>0</v>
      </c>
      <c r="IE29" s="595">
        <f t="shared" ref="IE29" si="105">IF(OR(HR31=1,HE31=1,GR31=1,IR31=1,JE31=1,JR31=1),1,0)</f>
        <v>0</v>
      </c>
      <c r="IF29" s="595">
        <f t="shared" ref="IF29" si="106">IF(OR(HS31=1,HF31=1,GS31=1,IS31=1,JF31=1,JS31=1),1,0)</f>
        <v>0</v>
      </c>
      <c r="IG29" s="595">
        <f t="shared" ref="IG29" si="107">IF(OR(HT31=1,HG31=1,GT31=1,IT31=1,JG31=1,JT31=1),1,0)</f>
        <v>0</v>
      </c>
      <c r="IH29" s="595">
        <f t="shared" ref="IH29" si="108">IF(OR(HU31=1,HH31=1,GU31=1,IU31=1,JH31=1,JU31=1),1,0)</f>
        <v>0</v>
      </c>
      <c r="II29" s="595">
        <f t="shared" ref="II29" si="109">IF(OR(HV31=1,HI31=1,GV31=1,IV31=1,JI31=1,JV31=1),1,0)</f>
        <v>0</v>
      </c>
      <c r="IJ29" s="595">
        <f t="shared" ref="IJ29" si="110">IF(OR(HW31=1,HJ31=1,GW31=1,IW31=1,JJ31=1,JW31=1),1,0)</f>
        <v>0</v>
      </c>
      <c r="IK29" s="595">
        <f t="shared" ref="IK29" si="111">IF(OR(HX31=1,HK31=1,GX31=1,IX31=1,JK31=1,JX31=1),1,0)</f>
        <v>0</v>
      </c>
      <c r="IL29" s="595">
        <f t="shared" ref="IL29" si="112">IF(OR(HY31=1,HL31=1,GY31=1,IY31=1,JL31=1,JY31=1),1,0)</f>
        <v>0</v>
      </c>
      <c r="IM29" s="595">
        <f t="shared" ref="IM29" si="113">IF(OR(HZ31=1,HM31=1,GZ31=1,IZ31=1,JM31=1,JZ31=1),1,0)</f>
        <v>0</v>
      </c>
      <c r="IN29" s="595">
        <f t="shared" ref="IN29" si="114">IF(OR(IA31=1,HN31=1,HA31=1,JA31=1,JN31=1,KA31=1),1,0)</f>
        <v>0</v>
      </c>
      <c r="IO29" s="595">
        <f t="shared" ref="IO29" si="115">IF(OR(IB31=1,HO31=1,HB31=1,JB31=1,JO31=1,KB31=1),1,0)</f>
        <v>0</v>
      </c>
      <c r="IP29" s="595">
        <f t="shared" ref="IP29" si="116">IF(OR(IC31=1,HP31=1,HC31=1,JC31=1,JP31=1,KC31=1),1,0)</f>
        <v>0</v>
      </c>
      <c r="IQ29" s="595">
        <f t="shared" ref="IQ29" si="117">IF(OR(ID31=1,HQ31=1,HD31=1,JD31=1,JQ31=1,KD31=1),1,0)</f>
        <v>0</v>
      </c>
      <c r="IR29" s="595">
        <f t="shared" ref="IR29" si="118">IF(OR(IE31=1,HR31=1,HE31=1,JE31=1,JR31=1,KE31=1),1,0)</f>
        <v>1</v>
      </c>
      <c r="IS29" s="595">
        <f t="shared" ref="IS29" si="119">IF(OR(IF31=1,HS31=1,HF31=1,JF31=1,JS31=1,KF31=1),1,0)</f>
        <v>0</v>
      </c>
      <c r="IT29" s="595">
        <f t="shared" ref="IT29" si="120">IF(OR(IG31=1,HT31=1,HG31=1,JG31=1,JT31=1,KG31=1),1,0)</f>
        <v>0</v>
      </c>
      <c r="IU29" s="595">
        <f t="shared" ref="IU29" si="121">IF(OR(IH31=1,HU31=1,HH31=1,JH31=1,JU31=1,KH31=1),1,0)</f>
        <v>0</v>
      </c>
      <c r="IV29" s="595">
        <f t="shared" ref="IV29" si="122">IF(OR(II31=1,HV31=1,HI31=1,JI31=1,JV31=1,KI31=1),1,0)</f>
        <v>0</v>
      </c>
      <c r="IW29" s="595">
        <f t="shared" ref="IW29" si="123">IF(OR(IJ31=1,HW31=1,HJ31=1,JJ31=1,JW31=1,KJ31=1),1,0)</f>
        <v>0</v>
      </c>
      <c r="IX29" s="595">
        <f t="shared" ref="IX29" si="124">IF(OR(IK31=1,HX31=1,HK31=1,JK31=1,JX31=1,KK31=1),1,0)</f>
        <v>0</v>
      </c>
      <c r="IY29" s="595">
        <f t="shared" ref="IY29" si="125">IF(OR(IL31=1,HY31=1,HL31=1,JL31=1,JY31=1,KL31=1),1,0)</f>
        <v>0</v>
      </c>
      <c r="IZ29" s="595">
        <f t="shared" ref="IZ29" si="126">IF(OR(IM31=1,HZ31=1,HM31=1,JM31=1,JZ31=1,KM31=1),1,0)</f>
        <v>0</v>
      </c>
      <c r="JA29" s="595">
        <f t="shared" ref="JA29:JE29" si="127">IF(OR(IN31=1,IA31=1,HN31=1,JN31=1,KA31=1),1,0)</f>
        <v>0</v>
      </c>
      <c r="JB29" s="595">
        <f t="shared" si="127"/>
        <v>0</v>
      </c>
      <c r="JC29" s="595">
        <f t="shared" si="127"/>
        <v>0</v>
      </c>
      <c r="JD29" s="595">
        <f t="shared" si="127"/>
        <v>0</v>
      </c>
      <c r="JE29" s="595">
        <f t="shared" si="127"/>
        <v>1</v>
      </c>
      <c r="JF29" s="595">
        <f t="shared" ref="JF29" si="128">IF(OR(IS31=1,IF31=1,HS31=1,JS31=1),1,0)</f>
        <v>0</v>
      </c>
      <c r="JG29" s="595">
        <f t="shared" ref="JG29" si="129">IF(OR(IT31=1,IG31=1,HT31=1,JT31=1),1,0)</f>
        <v>0</v>
      </c>
      <c r="JH29" s="595">
        <f t="shared" ref="JH29" si="130">IF(OR(IU31=1,IH31=1,HU31=1,JU31=1),1,0)</f>
        <v>0</v>
      </c>
      <c r="JI29" s="595">
        <f t="shared" ref="JI29" si="131">IF(OR(IV31=1,II31=1,HV31=1,JV31=1),1,0)</f>
        <v>0</v>
      </c>
      <c r="JJ29" s="595">
        <f t="shared" ref="JJ29" si="132">IF(OR(IW31=1,IJ31=1,HW31=1,JW31=1),1,0)</f>
        <v>0</v>
      </c>
      <c r="JK29" s="595">
        <f t="shared" ref="JK29" si="133">IF(OR(IX31=1,IK31=1,HX31=1,JX31=1),1,0)</f>
        <v>0</v>
      </c>
      <c r="JL29" s="595">
        <f t="shared" ref="JL29" si="134">IF(OR(IY31=1,IL31=1,HY31=1,JY31=1),1,0)</f>
        <v>0</v>
      </c>
      <c r="JM29" s="595">
        <f t="shared" ref="JM29" si="135">IF(OR(IZ31=1,IM31=1,HZ31=1,JZ31=1),1,0)</f>
        <v>0</v>
      </c>
      <c r="JN29" s="595">
        <f t="shared" ref="JN29" si="136">IF(OR(JA31=1,IN31=1,IA31=1,KA31=1),1,0)</f>
        <v>0</v>
      </c>
      <c r="JO29" s="595">
        <f t="shared" ref="JO29" si="137">IF(OR(JB31=1,IO31=1,IB31=1,KB31=1),1,0)</f>
        <v>0</v>
      </c>
      <c r="JP29" s="595">
        <f t="shared" ref="JP29" si="138">IF(OR(JC31=1,IP31=1,IC31=1,KC31=1),1,0)</f>
        <v>0</v>
      </c>
      <c r="JQ29" s="595">
        <f t="shared" ref="JQ29" si="139">IF(OR(JD31=1,IQ31=1,ID31=1,KD31=1),1,0)</f>
        <v>0</v>
      </c>
      <c r="JR29" s="595">
        <f t="shared" ref="JR29" si="140">IF(OR(JE31=1,IR31=1,IE31=1,KE31=1),1,0)</f>
        <v>1</v>
      </c>
      <c r="JS29" s="595">
        <f t="shared" ref="JS29:KF29" si="141">IF(OR(JF31=1,IS31=1,IF31=1),1,0)</f>
        <v>0</v>
      </c>
      <c r="JT29" s="595">
        <f t="shared" si="141"/>
        <v>0</v>
      </c>
      <c r="JU29" s="595">
        <f t="shared" si="141"/>
        <v>0</v>
      </c>
      <c r="JV29" s="595">
        <f t="shared" si="141"/>
        <v>0</v>
      </c>
      <c r="JW29" s="595">
        <f t="shared" si="141"/>
        <v>0</v>
      </c>
      <c r="JX29" s="595">
        <f t="shared" si="141"/>
        <v>0</v>
      </c>
      <c r="JY29" s="595">
        <f t="shared" si="141"/>
        <v>0</v>
      </c>
      <c r="JZ29" s="595">
        <f t="shared" si="141"/>
        <v>0</v>
      </c>
      <c r="KA29" s="595">
        <f t="shared" si="141"/>
        <v>0</v>
      </c>
      <c r="KB29" s="595">
        <f t="shared" si="141"/>
        <v>0</v>
      </c>
      <c r="KC29" s="595">
        <f t="shared" si="141"/>
        <v>0</v>
      </c>
      <c r="KD29" s="595">
        <f t="shared" si="141"/>
        <v>0</v>
      </c>
      <c r="KE29" s="595">
        <f t="shared" si="141"/>
        <v>0</v>
      </c>
      <c r="KF29" s="595">
        <f t="shared" si="141"/>
        <v>0</v>
      </c>
      <c r="KG29" s="595">
        <f>IF(OR(JT31=1,JG31=1,IT31=1),1,0)</f>
        <v>0</v>
      </c>
      <c r="KH29" s="595">
        <f t="shared" ref="KH29:LP29" si="142">IF(OR(JU31=1,JH31=1,IU31=1),1,0)</f>
        <v>0</v>
      </c>
      <c r="KI29" s="595">
        <f t="shared" si="142"/>
        <v>0</v>
      </c>
      <c r="KJ29" s="595">
        <f t="shared" si="142"/>
        <v>0</v>
      </c>
      <c r="KK29" s="595">
        <f t="shared" si="142"/>
        <v>0</v>
      </c>
      <c r="KL29" s="595">
        <f t="shared" si="142"/>
        <v>0</v>
      </c>
      <c r="KM29" s="595">
        <f t="shared" si="142"/>
        <v>0</v>
      </c>
      <c r="KN29" s="595">
        <f t="shared" si="142"/>
        <v>0</v>
      </c>
      <c r="KO29" s="595">
        <f t="shared" si="142"/>
        <v>0</v>
      </c>
      <c r="KP29" s="595">
        <f t="shared" si="142"/>
        <v>0</v>
      </c>
      <c r="KQ29" s="595">
        <f t="shared" si="142"/>
        <v>0</v>
      </c>
      <c r="KR29" s="595">
        <f t="shared" si="142"/>
        <v>1</v>
      </c>
      <c r="KS29" s="595">
        <f t="shared" si="142"/>
        <v>0</v>
      </c>
      <c r="KT29" s="595">
        <f t="shared" si="142"/>
        <v>0</v>
      </c>
      <c r="KU29" s="595">
        <f t="shared" si="142"/>
        <v>0</v>
      </c>
      <c r="KV29" s="595">
        <f t="shared" si="142"/>
        <v>0</v>
      </c>
      <c r="KW29" s="595">
        <f t="shared" si="142"/>
        <v>0</v>
      </c>
      <c r="KX29" s="595">
        <f t="shared" si="142"/>
        <v>0</v>
      </c>
      <c r="KY29" s="595">
        <f t="shared" si="142"/>
        <v>0</v>
      </c>
      <c r="KZ29" s="595">
        <f t="shared" si="142"/>
        <v>0</v>
      </c>
      <c r="LA29" s="595">
        <f t="shared" si="142"/>
        <v>0</v>
      </c>
      <c r="LB29" s="595">
        <f t="shared" si="142"/>
        <v>0</v>
      </c>
      <c r="LC29" s="595">
        <f t="shared" si="142"/>
        <v>0</v>
      </c>
      <c r="LD29" s="595">
        <f t="shared" si="142"/>
        <v>0</v>
      </c>
      <c r="LE29" s="595">
        <f t="shared" si="142"/>
        <v>1</v>
      </c>
      <c r="LF29" s="595">
        <f t="shared" si="142"/>
        <v>0</v>
      </c>
      <c r="LG29" s="595">
        <f t="shared" si="142"/>
        <v>0</v>
      </c>
      <c r="LH29" s="595">
        <f t="shared" si="142"/>
        <v>0</v>
      </c>
      <c r="LI29" s="595">
        <f t="shared" si="142"/>
        <v>0</v>
      </c>
      <c r="LJ29" s="595">
        <f t="shared" si="142"/>
        <v>0</v>
      </c>
      <c r="LK29" s="595">
        <f t="shared" si="142"/>
        <v>0</v>
      </c>
      <c r="LL29" s="595">
        <f t="shared" si="142"/>
        <v>0</v>
      </c>
      <c r="LM29" s="595">
        <f t="shared" si="142"/>
        <v>0</v>
      </c>
      <c r="LN29" s="595">
        <f t="shared" si="142"/>
        <v>0</v>
      </c>
      <c r="LO29" s="595">
        <f t="shared" si="142"/>
        <v>0</v>
      </c>
      <c r="LP29" s="595">
        <f t="shared" si="142"/>
        <v>0</v>
      </c>
    </row>
    <row r="30" spans="1:328" ht="12.75" hidden="1" customHeight="1" thickBot="1" x14ac:dyDescent="0.35">
      <c r="A30" s="285"/>
      <c r="B30" s="285"/>
      <c r="C30" s="299">
        <v>0.3</v>
      </c>
      <c r="D30" s="285"/>
      <c r="E30" s="285"/>
      <c r="F30" s="285"/>
      <c r="G30" s="3140">
        <f>G28*G29</f>
        <v>0</v>
      </c>
      <c r="H30" s="276"/>
      <c r="I30" s="306" t="s">
        <v>667</v>
      </c>
      <c r="J30" s="285"/>
      <c r="K30" s="285"/>
      <c r="L30" s="285"/>
      <c r="M30" s="287"/>
      <c r="N30" s="287"/>
      <c r="O30" s="287"/>
      <c r="P30" s="287"/>
      <c r="Q30" s="287"/>
      <c r="R30" s="287"/>
      <c r="S30" s="285"/>
      <c r="T30" s="285"/>
      <c r="U30" s="285"/>
      <c r="V30" s="285"/>
      <c r="W30" s="285"/>
      <c r="X30" s="285"/>
      <c r="Y30" s="285"/>
      <c r="Z30" s="285"/>
      <c r="AA30" s="285"/>
      <c r="AB30" s="285"/>
      <c r="AC30" s="285"/>
      <c r="AD30" s="285"/>
      <c r="AE30" s="285"/>
      <c r="AF30" s="285"/>
      <c r="AG30" s="285"/>
      <c r="AH30" s="2513"/>
      <c r="AI30" s="285"/>
      <c r="AJ30" s="285"/>
      <c r="AK30" s="285"/>
      <c r="AL30" s="285"/>
      <c r="AM30" s="285"/>
      <c r="AN30" s="285"/>
      <c r="AO30" s="285"/>
      <c r="AP30" s="285"/>
      <c r="AQ30" s="285"/>
      <c r="AR30" s="285"/>
      <c r="AS30" s="285"/>
      <c r="AT30" s="285"/>
      <c r="AU30" s="285"/>
      <c r="AV30" s="285"/>
      <c r="AW30" s="285"/>
      <c r="AX30" s="285"/>
      <c r="AY30" s="285"/>
      <c r="AZ30" s="285"/>
      <c r="BA30" s="285"/>
      <c r="BB30" s="285"/>
      <c r="BC30" s="285"/>
      <c r="BD30" s="285"/>
      <c r="BE30" s="285"/>
      <c r="BF30" s="285"/>
      <c r="BG30" s="285"/>
      <c r="BH30" s="285"/>
      <c r="BI30" s="285"/>
      <c r="BJ30" s="285"/>
      <c r="BK30" s="285"/>
      <c r="BL30" s="285"/>
      <c r="BM30" s="285"/>
      <c r="BN30" s="285"/>
      <c r="BO30" s="285"/>
      <c r="BP30" s="285"/>
      <c r="BQ30" s="285"/>
      <c r="BR30" s="285"/>
      <c r="BS30" s="285"/>
      <c r="BT30" s="285"/>
      <c r="BU30" s="285"/>
      <c r="BV30" s="285"/>
      <c r="BW30" s="285"/>
      <c r="BX30" s="285"/>
      <c r="BY30" s="285"/>
      <c r="BZ30" s="285"/>
      <c r="CA30" s="285"/>
      <c r="CB30" s="285"/>
      <c r="CC30" s="285"/>
      <c r="CD30" s="285"/>
      <c r="CE30" s="285"/>
      <c r="CF30" s="285"/>
      <c r="CG30" s="285"/>
      <c r="CH30" s="285"/>
      <c r="CI30" s="285"/>
      <c r="CJ30" s="285"/>
      <c r="CK30" s="285"/>
      <c r="CL30" s="285"/>
      <c r="CM30" s="285"/>
      <c r="CN30" s="285"/>
      <c r="CO30" s="285"/>
      <c r="CP30" s="285"/>
      <c r="CQ30" s="285"/>
      <c r="CR30" s="285"/>
      <c r="CS30" s="285"/>
      <c r="CT30" s="285"/>
      <c r="CU30" s="285"/>
      <c r="CV30" s="285"/>
      <c r="CW30" s="285"/>
      <c r="CX30" s="285"/>
      <c r="CY30" s="285"/>
      <c r="CZ30" s="285"/>
      <c r="DA30" s="285"/>
      <c r="DB30" s="285"/>
      <c r="DC30" s="285"/>
      <c r="DD30" s="285"/>
      <c r="DE30" s="285"/>
      <c r="DF30" s="285"/>
      <c r="DG30" s="285"/>
      <c r="DH30" s="308" t="s">
        <v>1608</v>
      </c>
      <c r="DI30" s="285"/>
      <c r="DJ30" s="76">
        <f>IF(DJ169=0,0,IFERROR(INDEX('2 Staff List'!$HU$64:$HU$114,DJ21),0))</f>
        <v>1.73</v>
      </c>
      <c r="DK30" s="76">
        <f>IF(DK169=0,0,IFERROR(INDEX('2 Staff List'!$HU$64:$HU$114,DK21),0))</f>
        <v>1.73</v>
      </c>
      <c r="DL30" s="76">
        <f>IF(DL169=0,0,IFERROR(INDEX('2 Staff List'!$HU$64:$HU$114,DL21),0))</f>
        <v>1.73</v>
      </c>
      <c r="DM30" s="76">
        <f>IF(DM169=0,0,IFERROR(INDEX('2 Staff List'!$HU$64:$HU$114,DM21),0))</f>
        <v>0</v>
      </c>
      <c r="DN30" s="76">
        <f>IF(DN169=0,0,IFERROR(INDEX('2 Staff List'!$HU$64:$HU$114,DN21),0))</f>
        <v>1.73</v>
      </c>
      <c r="DO30" s="76">
        <f>IF(DO169=0,0,IFERROR(INDEX('2 Staff List'!$HU$64:$HU$114,DO21),0))</f>
        <v>1.73</v>
      </c>
      <c r="DP30" s="76">
        <f>IF(DP169=0,0,IFERROR(INDEX('2 Staff List'!$HU$64:$HU$114,DP21),0))</f>
        <v>1.73</v>
      </c>
      <c r="DQ30" s="76">
        <f>IF(DQ169=0,0,IFERROR(INDEX('2 Staff List'!$HU$64:$HU$114,DQ21),0))</f>
        <v>1.73</v>
      </c>
      <c r="DR30" s="76">
        <f>IF(DR169=0,0,IFERROR(INDEX('2 Staff List'!$HU$64:$HU$114,DR21),0))</f>
        <v>1.73</v>
      </c>
      <c r="DS30" s="76">
        <f>IF(DS169=0,0,IFERROR(INDEX('2 Staff List'!$HU$64:$HU$114,DS21),0))</f>
        <v>1.73</v>
      </c>
      <c r="DT30" s="76">
        <f>IF(DT169=0,0,IFERROR(INDEX('2 Staff List'!$HU$64:$HU$114,DT21),0))</f>
        <v>0</v>
      </c>
      <c r="DU30" s="76">
        <f>IF(DU169=0,0,IFERROR(INDEX('2 Staff List'!$HU$64:$HU$114,DU21),0))</f>
        <v>0</v>
      </c>
      <c r="DV30" s="76">
        <f>IF(DV169=0,0,IFERROR(INDEX('2 Staff List'!$HU$64:$HU$114,DV21),0))</f>
        <v>0</v>
      </c>
      <c r="DW30" s="76">
        <f>IF(DW169=0,0,IFERROR(INDEX('2 Staff List'!$HU$64:$HU$114,DW21),0))</f>
        <v>0</v>
      </c>
      <c r="DX30" s="76">
        <f>IF(DX169=0,0,IFERROR(INDEX('2 Staff List'!$HU$64:$HU$114,DX21),0))</f>
        <v>0</v>
      </c>
      <c r="DY30" s="76">
        <f>IF(DY169=0,0,IFERROR(INDEX('2 Staff List'!$HU$64:$HU$114,DY21),0))</f>
        <v>0</v>
      </c>
      <c r="DZ30" s="76">
        <f>IF(DZ169=0,0,IFERROR(INDEX('2 Staff List'!$HU$64:$HU$114,DZ21),0))</f>
        <v>0</v>
      </c>
      <c r="EA30" s="76">
        <f>IF(EA169=0,0,IFERROR(INDEX('2 Staff List'!$HU$64:$HU$114,EA21),0))</f>
        <v>0</v>
      </c>
      <c r="EB30" s="76">
        <f>IF(EB169=0,0,IFERROR(INDEX('2 Staff List'!$HU$64:$HU$114,EB21),0))</f>
        <v>0</v>
      </c>
      <c r="EC30" s="76">
        <f>IF(EC169=0,0,IFERROR(INDEX('2 Staff List'!$HU$64:$HU$114,EC21),0))</f>
        <v>0</v>
      </c>
      <c r="ED30" s="76">
        <f>IF(ED169=0,0,IFERROR(INDEX('2 Staff List'!$HU$64:$HU$114,ED21),0))</f>
        <v>0</v>
      </c>
      <c r="EE30" s="76">
        <f>IF(EE169=0,0,IFERROR(INDEX('2 Staff List'!$HU$64:$HU$114,EE21),0))</f>
        <v>0</v>
      </c>
      <c r="EF30" s="76">
        <f>IF(EF169=0,0,IFERROR(INDEX('2 Staff List'!$HU$64:$HU$114,EF21),0))</f>
        <v>0</v>
      </c>
      <c r="EG30" s="76">
        <f>IF(EG169=0,0,IFERROR(INDEX('2 Staff List'!$HU$64:$HU$114,EG21),0))</f>
        <v>0</v>
      </c>
      <c r="EH30" s="76">
        <f>IF(EH169=0,0,IFERROR(INDEX('2 Staff List'!$HU$64:$HU$114,EH21),0))</f>
        <v>0</v>
      </c>
      <c r="EI30" s="76">
        <f>IF(EI169=0,0,IFERROR(INDEX('2 Staff List'!$HU$64:$HU$114,EI21),0))</f>
        <v>0</v>
      </c>
      <c r="EJ30" s="76">
        <f>IF(EJ169=0,0,IFERROR(INDEX('2 Staff List'!$HU$64:$HU$114,EJ21),0))</f>
        <v>0</v>
      </c>
      <c r="EK30" s="76">
        <f>IF(EK169=0,0,IFERROR(INDEX('2 Staff List'!$HU$64:$HU$114,EK21),0))</f>
        <v>0</v>
      </c>
      <c r="EL30" s="76">
        <f>IF(EL169=0,0,IFERROR(INDEX('2 Staff List'!$HU$64:$HU$114,EL21),0))</f>
        <v>0</v>
      </c>
      <c r="EM30" s="76">
        <f>IF(EM169=0,0,IFERROR(INDEX('2 Staff List'!$HU$64:$HU$114,EM21),0))</f>
        <v>0</v>
      </c>
      <c r="EN30" s="76">
        <f>IF(EN169=0,0,IFERROR(INDEX('2 Staff List'!$HU$64:$HU$114,EN21),0))</f>
        <v>0</v>
      </c>
      <c r="EO30" s="76">
        <f>IF(EO169=0,0,IFERROR(INDEX('2 Staff List'!$HU$64:$HU$114,EO21),0))</f>
        <v>0</v>
      </c>
      <c r="EP30" s="76">
        <f>IF(EP169=0,0,IFERROR(INDEX('2 Staff List'!$HU$64:$HU$114,EP21),0))</f>
        <v>0</v>
      </c>
      <c r="EQ30" s="76">
        <f>IF(EQ169=0,0,IFERROR(INDEX('2 Staff List'!$HU$64:$HU$114,EQ21),0))</f>
        <v>0</v>
      </c>
      <c r="ER30" s="76">
        <f>IF(ER169=0,0,IFERROR(INDEX('2 Staff List'!$HU$64:$HU$114,ER21),0))</f>
        <v>0</v>
      </c>
      <c r="ES30" s="76">
        <f>IF(ES169=0,0,IFERROR(INDEX('2 Staff List'!$HU$64:$HU$114,ES21),0))</f>
        <v>0</v>
      </c>
      <c r="ET30" s="76">
        <f>IF(ET169=0,0,IFERROR(INDEX('2 Staff List'!$HU$64:$HU$114,ET21),0))</f>
        <v>0</v>
      </c>
      <c r="EU30" s="76">
        <f>IF(EU169=0,0,IFERROR(INDEX('2 Staff List'!$HU$64:$HU$114,EU21),0))</f>
        <v>0</v>
      </c>
      <c r="EV30" s="76">
        <f>IF(EV169=0,0,IFERROR(INDEX('2 Staff List'!$HU$64:$HU$114,EV21),0))</f>
        <v>0</v>
      </c>
      <c r="EW30" s="76">
        <f>IF(EW169=0,0,IFERROR(INDEX('2 Staff List'!$HU$64:$HU$114,EW21),0))</f>
        <v>0</v>
      </c>
      <c r="EX30" s="76">
        <f>IF(EX169=0,0,IFERROR(INDEX('2 Staff List'!$HU$64:$HU$114,EX21),0))</f>
        <v>0</v>
      </c>
      <c r="EY30" s="76">
        <f>IF(EY169=0,0,IFERROR(INDEX('2 Staff List'!$HU$64:$HU$114,EY21),0))</f>
        <v>0</v>
      </c>
      <c r="EZ30" s="76">
        <f>IF(EZ169=0,0,IFERROR(INDEX('2 Staff List'!$HU$64:$HU$114,EZ21),0))</f>
        <v>0</v>
      </c>
      <c r="FA30" s="76">
        <f>IF(FA169=0,0,IFERROR(INDEX('2 Staff List'!$HU$64:$HU$114,FA21),0))</f>
        <v>0</v>
      </c>
      <c r="FB30" s="76">
        <f>IF(FB169=0,0,IFERROR(INDEX('2 Staff List'!$HU$64:$HU$114,FB21),0))</f>
        <v>0</v>
      </c>
      <c r="FC30" s="76">
        <f>IF(FC169=0,0,IFERROR(INDEX('2 Staff List'!$HU$64:$HU$114,FC21),0))</f>
        <v>0</v>
      </c>
      <c r="FD30" s="76">
        <f>IF(FD169=0,0,IFERROR(INDEX('2 Staff List'!$HU$64:$HU$114,FD21),0))</f>
        <v>0</v>
      </c>
      <c r="FE30" s="76">
        <f>IF(FE169=0,0,IFERROR(INDEX('2 Staff List'!$HU$64:$HU$114,FE21),0))</f>
        <v>0</v>
      </c>
      <c r="FF30" s="76">
        <f>IF(FF169=0,0,IFERROR(INDEX('2 Staff List'!$HU$64:$HU$114,FF21),0))</f>
        <v>0</v>
      </c>
      <c r="FG30" s="76">
        <f>IF(FG169=0,0,IFERROR(INDEX('2 Staff List'!$HU$64:$HU$114,FG21),0))</f>
        <v>0</v>
      </c>
      <c r="FH30" s="604"/>
      <c r="FI30" s="285"/>
      <c r="FJ30" s="307"/>
      <c r="FK30" s="307"/>
      <c r="FL30" s="285"/>
      <c r="FM30" s="285"/>
      <c r="FN30" s="285"/>
      <c r="FO30" s="285"/>
      <c r="FP30" s="285"/>
      <c r="FQ30" s="285"/>
      <c r="FR30" s="285"/>
      <c r="FS30" s="285"/>
      <c r="FT30" s="285"/>
      <c r="FU30" s="285"/>
      <c r="FV30" s="285"/>
      <c r="FW30" s="285"/>
      <c r="FX30" s="285"/>
      <c r="FY30" s="285"/>
      <c r="FZ30" s="285"/>
      <c r="GA30" s="285"/>
      <c r="GB30" s="285"/>
      <c r="GC30" s="285"/>
      <c r="GD30" s="285"/>
      <c r="GE30" s="285"/>
      <c r="GF30" s="285"/>
      <c r="GG30" s="285"/>
      <c r="GH30" s="285"/>
      <c r="GI30" s="285"/>
      <c r="GJ30" s="285"/>
      <c r="GK30" s="285"/>
      <c r="GL30" s="285"/>
      <c r="GM30" s="285"/>
      <c r="GN30" s="308" t="s">
        <v>782</v>
      </c>
      <c r="GO30" s="537">
        <f>1-GO29</f>
        <v>0</v>
      </c>
      <c r="GP30" s="285"/>
      <c r="GQ30" s="285"/>
      <c r="GR30" s="412"/>
      <c r="GS30" s="308" t="s">
        <v>839</v>
      </c>
      <c r="GT30" s="594">
        <f>IF(OR(MONTH(GT170)=3,MONTH(GT170)=6,MONTH(GT170)=12),1,0)</f>
        <v>0</v>
      </c>
      <c r="GU30" s="595">
        <f t="shared" ref="GU30:JF30" si="143">IF(OR(MONTH(GU170)=3,MONTH(GU170)=6,MONTH(GU170)=12),1,0)</f>
        <v>0</v>
      </c>
      <c r="GV30" s="595">
        <f t="shared" si="143"/>
        <v>0</v>
      </c>
      <c r="GW30" s="595">
        <f t="shared" si="143"/>
        <v>0</v>
      </c>
      <c r="GX30" s="595">
        <f t="shared" si="143"/>
        <v>0</v>
      </c>
      <c r="GY30" s="595">
        <f t="shared" si="143"/>
        <v>0</v>
      </c>
      <c r="GZ30" s="595">
        <f t="shared" si="143"/>
        <v>0</v>
      </c>
      <c r="HA30" s="595">
        <f t="shared" si="143"/>
        <v>0</v>
      </c>
      <c r="HB30" s="595">
        <f t="shared" si="143"/>
        <v>1</v>
      </c>
      <c r="HC30" s="595">
        <f t="shared" si="143"/>
        <v>1</v>
      </c>
      <c r="HD30" s="595">
        <f t="shared" si="143"/>
        <v>1</v>
      </c>
      <c r="HE30" s="595">
        <f t="shared" si="143"/>
        <v>1</v>
      </c>
      <c r="HF30" s="595">
        <f t="shared" si="143"/>
        <v>0</v>
      </c>
      <c r="HG30" s="595">
        <f t="shared" si="143"/>
        <v>0</v>
      </c>
      <c r="HH30" s="713">
        <f t="shared" si="143"/>
        <v>0</v>
      </c>
      <c r="HI30" s="595">
        <f t="shared" si="143"/>
        <v>0</v>
      </c>
      <c r="HJ30" s="595">
        <f t="shared" si="143"/>
        <v>0</v>
      </c>
      <c r="HK30" s="595">
        <f t="shared" si="143"/>
        <v>0</v>
      </c>
      <c r="HL30" s="595">
        <f t="shared" si="143"/>
        <v>0</v>
      </c>
      <c r="HM30" s="595">
        <f t="shared" si="143"/>
        <v>0</v>
      </c>
      <c r="HN30" s="595">
        <f t="shared" si="143"/>
        <v>0</v>
      </c>
      <c r="HO30" s="595">
        <f t="shared" si="143"/>
        <v>1</v>
      </c>
      <c r="HP30" s="595">
        <f t="shared" si="143"/>
        <v>1</v>
      </c>
      <c r="HQ30" s="595">
        <f t="shared" si="143"/>
        <v>1</v>
      </c>
      <c r="HR30" s="595">
        <f t="shared" si="143"/>
        <v>1</v>
      </c>
      <c r="HS30" s="595">
        <f t="shared" si="143"/>
        <v>0</v>
      </c>
      <c r="HT30" s="595">
        <f t="shared" si="143"/>
        <v>0</v>
      </c>
      <c r="HU30" s="595">
        <f t="shared" si="143"/>
        <v>0</v>
      </c>
      <c r="HV30" s="595">
        <f t="shared" si="143"/>
        <v>0</v>
      </c>
      <c r="HW30" s="595">
        <f t="shared" si="143"/>
        <v>0</v>
      </c>
      <c r="HX30" s="595">
        <f t="shared" si="143"/>
        <v>0</v>
      </c>
      <c r="HY30" s="595">
        <f t="shared" si="143"/>
        <v>0</v>
      </c>
      <c r="HZ30" s="595">
        <f t="shared" si="143"/>
        <v>0</v>
      </c>
      <c r="IA30" s="595">
        <f t="shared" si="143"/>
        <v>0</v>
      </c>
      <c r="IB30" s="595">
        <f t="shared" si="143"/>
        <v>0</v>
      </c>
      <c r="IC30" s="595">
        <f t="shared" si="143"/>
        <v>0</v>
      </c>
      <c r="ID30" s="595">
        <f t="shared" si="143"/>
        <v>0</v>
      </c>
      <c r="IE30" s="595">
        <f t="shared" si="143"/>
        <v>0</v>
      </c>
      <c r="IF30" s="595">
        <f t="shared" si="143"/>
        <v>0</v>
      </c>
      <c r="IG30" s="595">
        <f t="shared" si="143"/>
        <v>0</v>
      </c>
      <c r="IH30" s="595">
        <f t="shared" si="143"/>
        <v>0</v>
      </c>
      <c r="II30" s="595">
        <f t="shared" si="143"/>
        <v>0</v>
      </c>
      <c r="IJ30" s="595">
        <f t="shared" si="143"/>
        <v>0</v>
      </c>
      <c r="IK30" s="595">
        <f t="shared" si="143"/>
        <v>0</v>
      </c>
      <c r="IL30" s="595">
        <f t="shared" si="143"/>
        <v>0</v>
      </c>
      <c r="IM30" s="595">
        <f t="shared" si="143"/>
        <v>0</v>
      </c>
      <c r="IN30" s="595">
        <f t="shared" si="143"/>
        <v>0</v>
      </c>
      <c r="IO30" s="595">
        <f t="shared" si="143"/>
        <v>1</v>
      </c>
      <c r="IP30" s="595">
        <f t="shared" si="143"/>
        <v>1</v>
      </c>
      <c r="IQ30" s="595">
        <f t="shared" si="143"/>
        <v>1</v>
      </c>
      <c r="IR30" s="595">
        <f t="shared" si="143"/>
        <v>1</v>
      </c>
      <c r="IS30" s="595">
        <f t="shared" si="143"/>
        <v>0</v>
      </c>
      <c r="IT30" s="595">
        <f t="shared" si="143"/>
        <v>0</v>
      </c>
      <c r="IU30" s="595">
        <f t="shared" si="143"/>
        <v>0</v>
      </c>
      <c r="IV30" s="595">
        <f t="shared" si="143"/>
        <v>0</v>
      </c>
      <c r="IW30" s="595">
        <f t="shared" si="143"/>
        <v>0</v>
      </c>
      <c r="IX30" s="595">
        <f t="shared" si="143"/>
        <v>0</v>
      </c>
      <c r="IY30" s="595">
        <f t="shared" si="143"/>
        <v>0</v>
      </c>
      <c r="IZ30" s="595">
        <f t="shared" si="143"/>
        <v>0</v>
      </c>
      <c r="JA30" s="595">
        <f t="shared" si="143"/>
        <v>0</v>
      </c>
      <c r="JB30" s="595">
        <f t="shared" si="143"/>
        <v>1</v>
      </c>
      <c r="JC30" s="595">
        <f t="shared" si="143"/>
        <v>1</v>
      </c>
      <c r="JD30" s="714">
        <f t="shared" si="143"/>
        <v>1</v>
      </c>
      <c r="JE30" s="595">
        <f t="shared" si="143"/>
        <v>1</v>
      </c>
      <c r="JF30" s="595">
        <f t="shared" si="143"/>
        <v>0</v>
      </c>
      <c r="JG30" s="595">
        <f t="shared" ref="JG30:LP30" si="144">IF(OR(MONTH(JG170)=3,MONTH(JG170)=6,MONTH(JG170)=12),1,0)</f>
        <v>0</v>
      </c>
      <c r="JH30" s="595">
        <f t="shared" si="144"/>
        <v>0</v>
      </c>
      <c r="JI30" s="595">
        <f t="shared" si="144"/>
        <v>0</v>
      </c>
      <c r="JJ30" s="595">
        <f t="shared" si="144"/>
        <v>0</v>
      </c>
      <c r="JK30" s="595">
        <f t="shared" si="144"/>
        <v>0</v>
      </c>
      <c r="JL30" s="595">
        <f t="shared" si="144"/>
        <v>0</v>
      </c>
      <c r="JM30" s="595">
        <f t="shared" si="144"/>
        <v>0</v>
      </c>
      <c r="JN30" s="595">
        <f t="shared" si="144"/>
        <v>0</v>
      </c>
      <c r="JO30" s="595">
        <f t="shared" si="144"/>
        <v>1</v>
      </c>
      <c r="JP30" s="595">
        <f t="shared" si="144"/>
        <v>1</v>
      </c>
      <c r="JQ30" s="595">
        <f t="shared" si="144"/>
        <v>1</v>
      </c>
      <c r="JR30" s="595">
        <f t="shared" si="144"/>
        <v>1</v>
      </c>
      <c r="JS30" s="595">
        <f t="shared" si="144"/>
        <v>0</v>
      </c>
      <c r="JT30" s="595">
        <f t="shared" si="144"/>
        <v>0</v>
      </c>
      <c r="JU30" s="595">
        <f t="shared" si="144"/>
        <v>0</v>
      </c>
      <c r="JV30" s="595">
        <f t="shared" si="144"/>
        <v>0</v>
      </c>
      <c r="JW30" s="595">
        <f t="shared" si="144"/>
        <v>0</v>
      </c>
      <c r="JX30" s="595">
        <f t="shared" si="144"/>
        <v>0</v>
      </c>
      <c r="JY30" s="595">
        <f t="shared" si="144"/>
        <v>0</v>
      </c>
      <c r="JZ30" s="595">
        <f t="shared" si="144"/>
        <v>0</v>
      </c>
      <c r="KA30" s="595">
        <f t="shared" si="144"/>
        <v>0</v>
      </c>
      <c r="KB30" s="595">
        <f t="shared" si="144"/>
        <v>0</v>
      </c>
      <c r="KC30" s="595">
        <f t="shared" si="144"/>
        <v>0</v>
      </c>
      <c r="KD30" s="595">
        <f t="shared" si="144"/>
        <v>0</v>
      </c>
      <c r="KE30" s="595">
        <f t="shared" si="144"/>
        <v>0</v>
      </c>
      <c r="KF30" s="595">
        <f t="shared" si="144"/>
        <v>0</v>
      </c>
      <c r="KG30" s="595">
        <f t="shared" si="144"/>
        <v>0</v>
      </c>
      <c r="KH30" s="595">
        <f t="shared" si="144"/>
        <v>0</v>
      </c>
      <c r="KI30" s="595">
        <f t="shared" si="144"/>
        <v>0</v>
      </c>
      <c r="KJ30" s="595">
        <f t="shared" si="144"/>
        <v>0</v>
      </c>
      <c r="KK30" s="595">
        <f t="shared" si="144"/>
        <v>0</v>
      </c>
      <c r="KL30" s="595">
        <f t="shared" si="144"/>
        <v>0</v>
      </c>
      <c r="KM30" s="595">
        <f t="shared" si="144"/>
        <v>0</v>
      </c>
      <c r="KN30" s="595">
        <f t="shared" si="144"/>
        <v>0</v>
      </c>
      <c r="KO30" s="595">
        <f t="shared" si="144"/>
        <v>1</v>
      </c>
      <c r="KP30" s="595">
        <f t="shared" si="144"/>
        <v>1</v>
      </c>
      <c r="KQ30" s="595">
        <f t="shared" si="144"/>
        <v>1</v>
      </c>
      <c r="KR30" s="595">
        <f t="shared" si="144"/>
        <v>1</v>
      </c>
      <c r="KS30" s="595">
        <f t="shared" si="144"/>
        <v>1</v>
      </c>
      <c r="KT30" s="595">
        <f t="shared" si="144"/>
        <v>0</v>
      </c>
      <c r="KU30" s="595">
        <f t="shared" si="144"/>
        <v>0</v>
      </c>
      <c r="KV30" s="595">
        <f t="shared" si="144"/>
        <v>0</v>
      </c>
      <c r="KW30" s="595">
        <f t="shared" si="144"/>
        <v>0</v>
      </c>
      <c r="KX30" s="595">
        <f t="shared" si="144"/>
        <v>0</v>
      </c>
      <c r="KY30" s="595">
        <f t="shared" si="144"/>
        <v>0</v>
      </c>
      <c r="KZ30" s="595">
        <f t="shared" si="144"/>
        <v>0</v>
      </c>
      <c r="LA30" s="595">
        <f t="shared" si="144"/>
        <v>0</v>
      </c>
      <c r="LB30" s="595">
        <f t="shared" si="144"/>
        <v>1</v>
      </c>
      <c r="LC30" s="595">
        <f t="shared" si="144"/>
        <v>1</v>
      </c>
      <c r="LD30" s="595">
        <f t="shared" si="144"/>
        <v>1</v>
      </c>
      <c r="LE30" s="595">
        <f t="shared" si="144"/>
        <v>1</v>
      </c>
      <c r="LF30" s="595">
        <f t="shared" si="144"/>
        <v>0</v>
      </c>
      <c r="LG30" s="595">
        <f t="shared" si="144"/>
        <v>0</v>
      </c>
      <c r="LH30" s="595">
        <f t="shared" si="144"/>
        <v>0</v>
      </c>
      <c r="LI30" s="595">
        <f t="shared" si="144"/>
        <v>0</v>
      </c>
      <c r="LJ30" s="595">
        <f t="shared" si="144"/>
        <v>0</v>
      </c>
      <c r="LK30" s="595">
        <f t="shared" si="144"/>
        <v>0</v>
      </c>
      <c r="LL30" s="595">
        <f t="shared" si="144"/>
        <v>0</v>
      </c>
      <c r="LM30" s="595">
        <f t="shared" si="144"/>
        <v>0</v>
      </c>
      <c r="LN30" s="595">
        <f t="shared" si="144"/>
        <v>0</v>
      </c>
      <c r="LO30" s="595">
        <f t="shared" si="144"/>
        <v>1</v>
      </c>
      <c r="LP30" s="595">
        <f t="shared" si="144"/>
        <v>1</v>
      </c>
    </row>
    <row r="31" spans="1:328" ht="12.75" hidden="1" customHeight="1" x14ac:dyDescent="0.3">
      <c r="A31" s="285"/>
      <c r="B31" s="285"/>
      <c r="C31" s="299">
        <v>0.2</v>
      </c>
      <c r="D31" s="285"/>
      <c r="E31" s="285"/>
      <c r="F31" s="285"/>
      <c r="G31" s="285"/>
      <c r="H31" s="285"/>
      <c r="I31" s="285"/>
      <c r="J31" s="285"/>
      <c r="K31" s="285"/>
      <c r="L31" s="285"/>
      <c r="M31" s="287"/>
      <c r="N31" s="287"/>
      <c r="O31" s="287"/>
      <c r="P31" s="287"/>
      <c r="Q31" s="287"/>
      <c r="R31" s="287"/>
      <c r="S31" s="285"/>
      <c r="T31" s="285"/>
      <c r="U31" s="285"/>
      <c r="V31" s="285"/>
      <c r="W31" s="285"/>
      <c r="X31" s="285"/>
      <c r="Y31" s="285"/>
      <c r="Z31" s="285"/>
      <c r="AA31" s="285"/>
      <c r="AB31" s="285"/>
      <c r="AC31" s="285"/>
      <c r="AD31" s="285"/>
      <c r="AE31" s="285"/>
      <c r="AF31" s="285"/>
      <c r="AG31" s="285"/>
      <c r="AH31" s="2513"/>
      <c r="AI31" s="285"/>
      <c r="AJ31" s="285"/>
      <c r="AK31" s="285"/>
      <c r="AL31" s="285"/>
      <c r="AM31" s="285"/>
      <c r="AN31" s="285"/>
      <c r="AO31" s="285"/>
      <c r="AP31" s="285"/>
      <c r="AQ31" s="285"/>
      <c r="AR31" s="285"/>
      <c r="AS31" s="285"/>
      <c r="AT31" s="285"/>
      <c r="AU31" s="285"/>
      <c r="AV31" s="285"/>
      <c r="AW31" s="285"/>
      <c r="AX31" s="285"/>
      <c r="AY31" s="285"/>
      <c r="AZ31" s="285"/>
      <c r="BA31" s="285"/>
      <c r="BB31" s="285"/>
      <c r="BC31" s="285"/>
      <c r="BD31" s="285"/>
      <c r="BE31" s="285"/>
      <c r="BF31" s="285"/>
      <c r="BG31" s="285"/>
      <c r="BH31" s="285"/>
      <c r="BI31" s="285"/>
      <c r="BJ31" s="285"/>
      <c r="BK31" s="285"/>
      <c r="BL31" s="285"/>
      <c r="BM31" s="285"/>
      <c r="BN31" s="285"/>
      <c r="BO31" s="285"/>
      <c r="BP31" s="285"/>
      <c r="BQ31" s="285"/>
      <c r="BR31" s="285"/>
      <c r="BS31" s="285"/>
      <c r="BT31" s="285"/>
      <c r="BU31" s="285"/>
      <c r="BV31" s="285"/>
      <c r="BW31" s="285"/>
      <c r="BX31" s="285"/>
      <c r="BY31" s="285"/>
      <c r="BZ31" s="285"/>
      <c r="CA31" s="285"/>
      <c r="CB31" s="285"/>
      <c r="CC31" s="285"/>
      <c r="CD31" s="285"/>
      <c r="CE31" s="285"/>
      <c r="CF31" s="285"/>
      <c r="CG31" s="285"/>
      <c r="CH31" s="285"/>
      <c r="CI31" s="285"/>
      <c r="CJ31" s="285"/>
      <c r="CK31" s="285"/>
      <c r="CL31" s="285"/>
      <c r="CM31" s="285"/>
      <c r="CN31" s="285"/>
      <c r="CO31" s="285"/>
      <c r="CP31" s="285"/>
      <c r="CQ31" s="285"/>
      <c r="CR31" s="285"/>
      <c r="CS31" s="285"/>
      <c r="CT31" s="285"/>
      <c r="CU31" s="285"/>
      <c r="CV31" s="285"/>
      <c r="CW31" s="285"/>
      <c r="CX31" s="285"/>
      <c r="CY31" s="285"/>
      <c r="CZ31" s="285"/>
      <c r="DA31" s="285"/>
      <c r="DB31" s="285"/>
      <c r="DC31" s="285"/>
      <c r="DD31" s="285"/>
      <c r="DE31" s="285"/>
      <c r="DF31" s="285"/>
      <c r="DG31" s="285"/>
      <c r="DH31" s="308"/>
      <c r="DI31" s="285"/>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920"/>
      <c r="FI31" s="304"/>
      <c r="FJ31" s="307"/>
      <c r="FK31" s="307"/>
      <c r="FL31" s="285"/>
      <c r="FM31" s="285"/>
      <c r="FN31" s="285"/>
      <c r="FO31" s="285"/>
      <c r="FP31" s="285"/>
      <c r="FQ31" s="285"/>
      <c r="FR31" s="285"/>
      <c r="FS31" s="285"/>
      <c r="FT31" s="285"/>
      <c r="FU31" s="285"/>
      <c r="FV31" s="285"/>
      <c r="FW31" s="285"/>
      <c r="FX31" s="285"/>
      <c r="FY31" s="285"/>
      <c r="FZ31" s="285"/>
      <c r="GA31" s="285"/>
      <c r="GB31" s="285"/>
      <c r="GC31" s="285"/>
      <c r="GD31" s="285"/>
      <c r="GE31" s="285"/>
      <c r="GF31" s="285"/>
      <c r="GG31" s="285"/>
      <c r="GH31" s="285"/>
      <c r="GI31" s="285"/>
      <c r="GJ31" s="285"/>
      <c r="GK31" s="285"/>
      <c r="GL31" s="285"/>
      <c r="GM31" s="285"/>
      <c r="GN31" s="308"/>
      <c r="GO31" s="289"/>
      <c r="GP31" s="285"/>
      <c r="GQ31" s="285"/>
      <c r="GR31" s="412"/>
      <c r="GS31" s="308" t="s">
        <v>457</v>
      </c>
      <c r="GT31" s="596">
        <f t="shared" ref="GT31:HY31" si="145">CHOOSE($FM$5,IF(AND(MONTH(GT170)=9,DAY(GT170)&gt;=21)*AND(MONTH(GT170)=9,DAY(GT170)&lt;=27),1,0),IF(MONTH(GT170)=9,1,0))</f>
        <v>0</v>
      </c>
      <c r="GU31" s="595">
        <f t="shared" si="145"/>
        <v>0</v>
      </c>
      <c r="GV31" s="595">
        <f t="shared" si="145"/>
        <v>0</v>
      </c>
      <c r="GW31" s="595">
        <f t="shared" si="145"/>
        <v>0</v>
      </c>
      <c r="GX31" s="595">
        <f t="shared" si="145"/>
        <v>0</v>
      </c>
      <c r="GY31" s="595">
        <f t="shared" si="145"/>
        <v>0</v>
      </c>
      <c r="GZ31" s="595">
        <f t="shared" si="145"/>
        <v>0</v>
      </c>
      <c r="HA31" s="595">
        <f t="shared" si="145"/>
        <v>0</v>
      </c>
      <c r="HB31" s="595">
        <f t="shared" si="145"/>
        <v>0</v>
      </c>
      <c r="HC31" s="595">
        <f t="shared" si="145"/>
        <v>0</v>
      </c>
      <c r="HD31" s="713">
        <f t="shared" si="145"/>
        <v>0</v>
      </c>
      <c r="HE31" s="595">
        <f t="shared" si="145"/>
        <v>0</v>
      </c>
      <c r="HF31" s="595">
        <f t="shared" si="145"/>
        <v>0</v>
      </c>
      <c r="HG31" s="595">
        <f t="shared" si="145"/>
        <v>0</v>
      </c>
      <c r="HH31" s="595">
        <f t="shared" si="145"/>
        <v>0</v>
      </c>
      <c r="HI31" s="595">
        <f t="shared" si="145"/>
        <v>0</v>
      </c>
      <c r="HJ31" s="595">
        <f t="shared" si="145"/>
        <v>0</v>
      </c>
      <c r="HK31" s="595">
        <f t="shared" si="145"/>
        <v>0</v>
      </c>
      <c r="HL31" s="595">
        <f t="shared" si="145"/>
        <v>0</v>
      </c>
      <c r="HM31" s="595">
        <f t="shared" si="145"/>
        <v>0</v>
      </c>
      <c r="HN31" s="595">
        <f t="shared" si="145"/>
        <v>0</v>
      </c>
      <c r="HO31" s="595">
        <f t="shared" si="145"/>
        <v>0</v>
      </c>
      <c r="HP31" s="595">
        <f t="shared" si="145"/>
        <v>0</v>
      </c>
      <c r="HQ31" s="595">
        <f t="shared" si="145"/>
        <v>0</v>
      </c>
      <c r="HR31" s="595">
        <f t="shared" si="145"/>
        <v>0</v>
      </c>
      <c r="HS31" s="595">
        <f t="shared" si="145"/>
        <v>0</v>
      </c>
      <c r="HT31" s="595">
        <f t="shared" si="145"/>
        <v>0</v>
      </c>
      <c r="HU31" s="595">
        <f t="shared" si="145"/>
        <v>0</v>
      </c>
      <c r="HV31" s="595">
        <f t="shared" si="145"/>
        <v>0</v>
      </c>
      <c r="HW31" s="595">
        <f t="shared" si="145"/>
        <v>0</v>
      </c>
      <c r="HX31" s="595">
        <f t="shared" si="145"/>
        <v>0</v>
      </c>
      <c r="HY31" s="595">
        <f t="shared" si="145"/>
        <v>0</v>
      </c>
      <c r="HZ31" s="595">
        <f t="shared" ref="HZ31:JE31" si="146">CHOOSE($FM$5,IF(AND(MONTH(HZ170)=9,DAY(HZ170)&gt;=21)*AND(MONTH(HZ170)=9,DAY(HZ170)&lt;=27),1,0),IF(MONTH(HZ170)=9,1,0))</f>
        <v>0</v>
      </c>
      <c r="IA31" s="595">
        <f t="shared" si="146"/>
        <v>0</v>
      </c>
      <c r="IB31" s="595">
        <f t="shared" si="146"/>
        <v>0</v>
      </c>
      <c r="IC31" s="595">
        <f t="shared" si="146"/>
        <v>0</v>
      </c>
      <c r="ID31" s="595">
        <f t="shared" si="146"/>
        <v>0</v>
      </c>
      <c r="IE31" s="595">
        <f t="shared" si="146"/>
        <v>1</v>
      </c>
      <c r="IF31" s="595">
        <f t="shared" si="146"/>
        <v>0</v>
      </c>
      <c r="IG31" s="595">
        <f t="shared" si="146"/>
        <v>0</v>
      </c>
      <c r="IH31" s="595">
        <f t="shared" si="146"/>
        <v>0</v>
      </c>
      <c r="II31" s="595">
        <f t="shared" si="146"/>
        <v>0</v>
      </c>
      <c r="IJ31" s="595">
        <f t="shared" si="146"/>
        <v>0</v>
      </c>
      <c r="IK31" s="595">
        <f t="shared" si="146"/>
        <v>0</v>
      </c>
      <c r="IL31" s="595">
        <f t="shared" si="146"/>
        <v>0</v>
      </c>
      <c r="IM31" s="595">
        <f t="shared" si="146"/>
        <v>0</v>
      </c>
      <c r="IN31" s="595">
        <f t="shared" si="146"/>
        <v>0</v>
      </c>
      <c r="IO31" s="595">
        <f t="shared" si="146"/>
        <v>0</v>
      </c>
      <c r="IP31" s="595">
        <f t="shared" si="146"/>
        <v>0</v>
      </c>
      <c r="IQ31" s="595">
        <f t="shared" si="146"/>
        <v>0</v>
      </c>
      <c r="IR31" s="595">
        <f t="shared" si="146"/>
        <v>0</v>
      </c>
      <c r="IS31" s="595">
        <f t="shared" si="146"/>
        <v>0</v>
      </c>
      <c r="IT31" s="595">
        <f t="shared" si="146"/>
        <v>0</v>
      </c>
      <c r="IU31" s="595">
        <f t="shared" si="146"/>
        <v>0</v>
      </c>
      <c r="IV31" s="595">
        <f t="shared" si="146"/>
        <v>0</v>
      </c>
      <c r="IW31" s="595">
        <f t="shared" si="146"/>
        <v>0</v>
      </c>
      <c r="IX31" s="595">
        <f t="shared" si="146"/>
        <v>0</v>
      </c>
      <c r="IY31" s="595">
        <f t="shared" si="146"/>
        <v>0</v>
      </c>
      <c r="IZ31" s="595">
        <f t="shared" si="146"/>
        <v>0</v>
      </c>
      <c r="JA31" s="595">
        <f t="shared" si="146"/>
        <v>0</v>
      </c>
      <c r="JB31" s="595">
        <f t="shared" si="146"/>
        <v>0</v>
      </c>
      <c r="JC31" s="595">
        <f t="shared" si="146"/>
        <v>0</v>
      </c>
      <c r="JD31" s="595">
        <f t="shared" si="146"/>
        <v>0</v>
      </c>
      <c r="JE31" s="595">
        <f t="shared" si="146"/>
        <v>0</v>
      </c>
      <c r="JF31" s="595">
        <f t="shared" ref="JF31:KK31" si="147">CHOOSE($FM$5,IF(AND(MONTH(JF170)=9,DAY(JF170)&gt;=21)*AND(MONTH(JF170)=9,DAY(JF170)&lt;=27),1,0),IF(MONTH(JF170)=9,1,0))</f>
        <v>0</v>
      </c>
      <c r="JG31" s="595">
        <f t="shared" si="147"/>
        <v>0</v>
      </c>
      <c r="JH31" s="595">
        <f t="shared" si="147"/>
        <v>0</v>
      </c>
      <c r="JI31" s="595">
        <f t="shared" si="147"/>
        <v>0</v>
      </c>
      <c r="JJ31" s="595">
        <f t="shared" si="147"/>
        <v>0</v>
      </c>
      <c r="JK31" s="595">
        <f t="shared" si="147"/>
        <v>0</v>
      </c>
      <c r="JL31" s="595">
        <f t="shared" si="147"/>
        <v>0</v>
      </c>
      <c r="JM31" s="595">
        <f t="shared" si="147"/>
        <v>0</v>
      </c>
      <c r="JN31" s="595">
        <f t="shared" si="147"/>
        <v>0</v>
      </c>
      <c r="JO31" s="595">
        <f t="shared" si="147"/>
        <v>0</v>
      </c>
      <c r="JP31" s="595">
        <f t="shared" si="147"/>
        <v>0</v>
      </c>
      <c r="JQ31" s="595">
        <f t="shared" si="147"/>
        <v>0</v>
      </c>
      <c r="JR31" s="595">
        <f t="shared" si="147"/>
        <v>0</v>
      </c>
      <c r="JS31" s="595">
        <f t="shared" si="147"/>
        <v>0</v>
      </c>
      <c r="JT31" s="595">
        <f t="shared" si="147"/>
        <v>0</v>
      </c>
      <c r="JU31" s="595">
        <f t="shared" si="147"/>
        <v>0</v>
      </c>
      <c r="JV31" s="595">
        <f t="shared" si="147"/>
        <v>0</v>
      </c>
      <c r="JW31" s="595">
        <f t="shared" si="147"/>
        <v>0</v>
      </c>
      <c r="JX31" s="595">
        <f t="shared" si="147"/>
        <v>0</v>
      </c>
      <c r="JY31" s="595">
        <f t="shared" si="147"/>
        <v>0</v>
      </c>
      <c r="JZ31" s="595">
        <f t="shared" si="147"/>
        <v>0</v>
      </c>
      <c r="KA31" s="595">
        <f t="shared" si="147"/>
        <v>0</v>
      </c>
      <c r="KB31" s="595">
        <f t="shared" si="147"/>
        <v>0</v>
      </c>
      <c r="KC31" s="595">
        <f t="shared" si="147"/>
        <v>0</v>
      </c>
      <c r="KD31" s="595">
        <f t="shared" si="147"/>
        <v>0</v>
      </c>
      <c r="KE31" s="595">
        <f t="shared" si="147"/>
        <v>1</v>
      </c>
      <c r="KF31" s="595">
        <f t="shared" si="147"/>
        <v>0</v>
      </c>
      <c r="KG31" s="595">
        <f t="shared" si="147"/>
        <v>0</v>
      </c>
      <c r="KH31" s="595">
        <f t="shared" si="147"/>
        <v>0</v>
      </c>
      <c r="KI31" s="595">
        <f t="shared" si="147"/>
        <v>0</v>
      </c>
      <c r="KJ31" s="595">
        <f t="shared" si="147"/>
        <v>0</v>
      </c>
      <c r="KK31" s="595">
        <f t="shared" si="147"/>
        <v>0</v>
      </c>
      <c r="KL31" s="595">
        <f t="shared" ref="KL31:LP31" si="148">CHOOSE($FM$5,IF(AND(MONTH(KL170)=9,DAY(KL170)&gt;=21)*AND(MONTH(KL170)=9,DAY(KL170)&lt;=27),1,0),IF(MONTH(KL170)=9,1,0))</f>
        <v>0</v>
      </c>
      <c r="KM31" s="595">
        <f t="shared" si="148"/>
        <v>0</v>
      </c>
      <c r="KN31" s="595">
        <f t="shared" si="148"/>
        <v>0</v>
      </c>
      <c r="KO31" s="595">
        <f t="shared" si="148"/>
        <v>0</v>
      </c>
      <c r="KP31" s="595">
        <f t="shared" si="148"/>
        <v>0</v>
      </c>
      <c r="KQ31" s="595">
        <f t="shared" si="148"/>
        <v>0</v>
      </c>
      <c r="KR31" s="595">
        <f t="shared" si="148"/>
        <v>0</v>
      </c>
      <c r="KS31" s="595">
        <f t="shared" si="148"/>
        <v>0</v>
      </c>
      <c r="KT31" s="595">
        <f t="shared" si="148"/>
        <v>0</v>
      </c>
      <c r="KU31" s="595">
        <f t="shared" si="148"/>
        <v>0</v>
      </c>
      <c r="KV31" s="595">
        <f t="shared" si="148"/>
        <v>0</v>
      </c>
      <c r="KW31" s="595">
        <f t="shared" si="148"/>
        <v>0</v>
      </c>
      <c r="KX31" s="595">
        <f t="shared" si="148"/>
        <v>0</v>
      </c>
      <c r="KY31" s="595">
        <f t="shared" si="148"/>
        <v>0</v>
      </c>
      <c r="KZ31" s="595">
        <f t="shared" si="148"/>
        <v>0</v>
      </c>
      <c r="LA31" s="595">
        <f t="shared" si="148"/>
        <v>0</v>
      </c>
      <c r="LB31" s="595">
        <f t="shared" si="148"/>
        <v>0</v>
      </c>
      <c r="LC31" s="595">
        <f t="shared" si="148"/>
        <v>0</v>
      </c>
      <c r="LD31" s="595">
        <f t="shared" si="148"/>
        <v>0</v>
      </c>
      <c r="LE31" s="595">
        <f t="shared" si="148"/>
        <v>0</v>
      </c>
      <c r="LF31" s="595">
        <f t="shared" si="148"/>
        <v>0</v>
      </c>
      <c r="LG31" s="595">
        <f t="shared" si="148"/>
        <v>0</v>
      </c>
      <c r="LH31" s="595">
        <f t="shared" si="148"/>
        <v>0</v>
      </c>
      <c r="LI31" s="595">
        <f t="shared" si="148"/>
        <v>0</v>
      </c>
      <c r="LJ31" s="595">
        <f t="shared" si="148"/>
        <v>0</v>
      </c>
      <c r="LK31" s="595">
        <f t="shared" si="148"/>
        <v>0</v>
      </c>
      <c r="LL31" s="595">
        <f t="shared" si="148"/>
        <v>0</v>
      </c>
      <c r="LM31" s="595">
        <f t="shared" si="148"/>
        <v>0</v>
      </c>
      <c r="LN31" s="595">
        <f t="shared" si="148"/>
        <v>0</v>
      </c>
      <c r="LO31" s="595">
        <f t="shared" si="148"/>
        <v>0</v>
      </c>
      <c r="LP31" s="595">
        <f t="shared" si="148"/>
        <v>0</v>
      </c>
    </row>
    <row r="32" spans="1:328" ht="12.75" hidden="1" customHeight="1" x14ac:dyDescent="0.3">
      <c r="A32" s="285"/>
      <c r="B32" s="285"/>
      <c r="C32" s="299">
        <v>0.15</v>
      </c>
      <c r="D32" s="285"/>
      <c r="E32" s="285"/>
      <c r="F32" s="285"/>
      <c r="G32" s="285"/>
      <c r="H32" s="285"/>
      <c r="I32" s="285"/>
      <c r="J32" s="285"/>
      <c r="K32" s="285"/>
      <c r="L32" s="285"/>
      <c r="M32" s="287"/>
      <c r="N32" s="287"/>
      <c r="O32" s="287"/>
      <c r="P32" s="287"/>
      <c r="Q32" s="287"/>
      <c r="R32" s="287"/>
      <c r="S32" s="285"/>
      <c r="T32" s="285"/>
      <c r="U32" s="285"/>
      <c r="V32" s="285"/>
      <c r="W32" s="285"/>
      <c r="X32" s="285"/>
      <c r="Y32" s="285"/>
      <c r="Z32" s="285"/>
      <c r="AA32" s="285"/>
      <c r="AB32" s="285"/>
      <c r="AC32" s="285"/>
      <c r="AD32" s="285"/>
      <c r="AE32" s="285"/>
      <c r="AF32" s="285"/>
      <c r="AG32" s="285"/>
      <c r="AH32" s="2513"/>
      <c r="AI32" s="285"/>
      <c r="AJ32" s="285"/>
      <c r="AK32" s="285"/>
      <c r="AL32" s="285"/>
      <c r="AM32" s="285"/>
      <c r="AN32" s="285"/>
      <c r="AO32" s="285"/>
      <c r="AP32" s="285"/>
      <c r="AQ32" s="285"/>
      <c r="AR32" s="285"/>
      <c r="AS32" s="285"/>
      <c r="AT32" s="285"/>
      <c r="AU32" s="285"/>
      <c r="AV32" s="285"/>
      <c r="AW32" s="285"/>
      <c r="AX32" s="285"/>
      <c r="AY32" s="285"/>
      <c r="AZ32" s="285"/>
      <c r="BA32" s="285"/>
      <c r="BB32" s="285"/>
      <c r="BC32" s="285"/>
      <c r="BD32" s="285"/>
      <c r="BE32" s="285"/>
      <c r="BF32" s="285"/>
      <c r="BG32" s="285"/>
      <c r="BH32" s="285"/>
      <c r="BI32" s="285"/>
      <c r="BJ32" s="285"/>
      <c r="BK32" s="285"/>
      <c r="BL32" s="285"/>
      <c r="BM32" s="285"/>
      <c r="BN32" s="285"/>
      <c r="BO32" s="285"/>
      <c r="BP32" s="285"/>
      <c r="BQ32" s="285"/>
      <c r="BR32" s="285"/>
      <c r="BS32" s="285"/>
      <c r="BT32" s="285"/>
      <c r="BU32" s="285"/>
      <c r="BV32" s="285"/>
      <c r="BW32" s="285"/>
      <c r="BX32" s="285"/>
      <c r="BY32" s="285"/>
      <c r="BZ32" s="285"/>
      <c r="CA32" s="285"/>
      <c r="CB32" s="285"/>
      <c r="CC32" s="285"/>
      <c r="CD32" s="285"/>
      <c r="CE32" s="285"/>
      <c r="CF32" s="285"/>
      <c r="CG32" s="285"/>
      <c r="CH32" s="285"/>
      <c r="CI32" s="285"/>
      <c r="CJ32" s="285"/>
      <c r="CK32" s="285"/>
      <c r="CL32" s="285"/>
      <c r="CM32" s="285"/>
      <c r="CN32" s="285"/>
      <c r="CO32" s="285"/>
      <c r="CP32" s="285"/>
      <c r="CQ32" s="285"/>
      <c r="CR32" s="285"/>
      <c r="CS32" s="285"/>
      <c r="CT32" s="285"/>
      <c r="CU32" s="285"/>
      <c r="CV32" s="285"/>
      <c r="CW32" s="285"/>
      <c r="CX32" s="285"/>
      <c r="CY32" s="285"/>
      <c r="CZ32" s="285"/>
      <c r="DA32" s="285"/>
      <c r="DB32" s="285"/>
      <c r="DC32" s="285"/>
      <c r="DD32" s="285"/>
      <c r="DE32" s="304"/>
      <c r="DF32" s="285"/>
      <c r="DG32" s="305"/>
      <c r="DH32" s="305"/>
      <c r="DI32" s="305"/>
      <c r="DJ32" s="305"/>
      <c r="DK32" s="305"/>
      <c r="DL32" s="305"/>
      <c r="DM32" s="305"/>
      <c r="DN32" s="305"/>
      <c r="DO32" s="305"/>
      <c r="DP32" s="305"/>
      <c r="DQ32" s="305"/>
      <c r="DR32" s="305"/>
      <c r="DS32" s="305"/>
      <c r="DT32" s="305"/>
      <c r="DU32" s="305"/>
      <c r="DV32" s="305"/>
      <c r="DW32" s="305"/>
      <c r="DX32" s="305"/>
      <c r="DY32" s="305"/>
      <c r="DZ32" s="305"/>
      <c r="EA32" s="305"/>
      <c r="EB32" s="305"/>
      <c r="EC32" s="305"/>
      <c r="ED32" s="305"/>
      <c r="EE32" s="305"/>
      <c r="EF32" s="305"/>
      <c r="EG32" s="305"/>
      <c r="EH32" s="305"/>
      <c r="EI32" s="305"/>
      <c r="EJ32" s="305"/>
      <c r="EK32" s="305"/>
      <c r="EL32" s="305"/>
      <c r="EM32" s="305"/>
      <c r="EN32" s="305"/>
      <c r="EO32" s="305"/>
      <c r="EP32" s="305"/>
      <c r="EQ32" s="305"/>
      <c r="ER32" s="305"/>
      <c r="ES32" s="305"/>
      <c r="ET32" s="305"/>
      <c r="EU32" s="305"/>
      <c r="EV32" s="305"/>
      <c r="EW32" s="305"/>
      <c r="EX32" s="305"/>
      <c r="EY32" s="305"/>
      <c r="EZ32" s="305"/>
      <c r="FA32" s="305"/>
      <c r="FB32" s="305"/>
      <c r="FC32" s="305"/>
      <c r="FD32" s="305"/>
      <c r="FE32" s="305"/>
      <c r="FF32" s="305"/>
      <c r="FG32" s="305"/>
      <c r="FH32" s="305"/>
      <c r="FI32" s="305"/>
      <c r="FJ32" s="307"/>
      <c r="FK32" s="307"/>
      <c r="FL32" s="285"/>
      <c r="FM32" s="285"/>
      <c r="FN32" s="285"/>
      <c r="FO32" s="285"/>
      <c r="FP32" s="285"/>
      <c r="FQ32" s="285"/>
      <c r="FR32" s="285"/>
      <c r="FS32" s="285"/>
      <c r="FT32" s="285"/>
      <c r="FU32" s="285"/>
      <c r="FV32" s="285"/>
      <c r="FW32" s="285"/>
      <c r="FX32" s="285"/>
      <c r="FY32" s="285"/>
      <c r="FZ32" s="285"/>
      <c r="GA32" s="285"/>
      <c r="GB32" s="285"/>
      <c r="GC32" s="285"/>
      <c r="GD32" s="285"/>
      <c r="GE32" s="285"/>
      <c r="GF32" s="285"/>
      <c r="GG32" s="285"/>
      <c r="GH32" s="285"/>
      <c r="GI32" s="285"/>
      <c r="GJ32" s="285"/>
      <c r="GK32" s="285"/>
      <c r="GL32" s="285"/>
      <c r="GM32" s="285"/>
      <c r="GN32" s="412"/>
      <c r="GO32" s="289"/>
      <c r="GP32" s="285"/>
      <c r="GQ32" s="285"/>
      <c r="GR32" s="412"/>
      <c r="GS32" s="308" t="s">
        <v>454</v>
      </c>
      <c r="GT32" s="149" t="str">
        <f>IF(GT31=1,"Y",IF((GT29*$GO$29)+(GT30*$GO$30)=1,"Q",IF(GT28=1,"P","")))</f>
        <v/>
      </c>
      <c r="GU32" s="150" t="str">
        <f t="shared" ref="GU32:JF32" si="149">IF(GU31=1,"Y",IF((GU29*$GO$29)+(GU30*$GO$30)=1,"Q",IF(GU28=1,"P","")))</f>
        <v/>
      </c>
      <c r="GV32" s="150" t="str">
        <f t="shared" si="149"/>
        <v>P</v>
      </c>
      <c r="GW32" s="150" t="str">
        <f t="shared" si="149"/>
        <v/>
      </c>
      <c r="GX32" s="150" t="str">
        <f t="shared" si="149"/>
        <v/>
      </c>
      <c r="GY32" s="150" t="str">
        <f t="shared" si="149"/>
        <v/>
      </c>
      <c r="GZ32" s="150" t="str">
        <f t="shared" si="149"/>
        <v>P</v>
      </c>
      <c r="HA32" s="150" t="str">
        <f t="shared" si="149"/>
        <v/>
      </c>
      <c r="HB32" s="150" t="str">
        <f t="shared" si="149"/>
        <v/>
      </c>
      <c r="HC32" s="150" t="str">
        <f t="shared" si="149"/>
        <v/>
      </c>
      <c r="HD32" s="150" t="str">
        <f t="shared" si="149"/>
        <v/>
      </c>
      <c r="HE32" s="150" t="str">
        <f t="shared" si="149"/>
        <v>Q</v>
      </c>
      <c r="HF32" s="150" t="str">
        <f t="shared" si="149"/>
        <v/>
      </c>
      <c r="HG32" s="150" t="str">
        <f t="shared" si="149"/>
        <v/>
      </c>
      <c r="HH32" s="150" t="str">
        <f t="shared" si="149"/>
        <v/>
      </c>
      <c r="HI32" s="150" t="str">
        <f t="shared" si="149"/>
        <v>P</v>
      </c>
      <c r="HJ32" s="150" t="str">
        <f t="shared" si="149"/>
        <v/>
      </c>
      <c r="HK32" s="150" t="str">
        <f t="shared" si="149"/>
        <v/>
      </c>
      <c r="HL32" s="150" t="str">
        <f t="shared" si="149"/>
        <v/>
      </c>
      <c r="HM32" s="150" t="str">
        <f t="shared" si="149"/>
        <v>P</v>
      </c>
      <c r="HN32" s="150" t="str">
        <f t="shared" si="149"/>
        <v/>
      </c>
      <c r="HO32" s="150" t="str">
        <f t="shared" si="149"/>
        <v/>
      </c>
      <c r="HP32" s="150" t="str">
        <f t="shared" si="149"/>
        <v/>
      </c>
      <c r="HQ32" s="150" t="str">
        <f t="shared" si="149"/>
        <v/>
      </c>
      <c r="HR32" s="150" t="str">
        <f t="shared" si="149"/>
        <v>Q</v>
      </c>
      <c r="HS32" s="150" t="str">
        <f t="shared" si="149"/>
        <v/>
      </c>
      <c r="HT32" s="150" t="str">
        <f t="shared" si="149"/>
        <v/>
      </c>
      <c r="HU32" s="150" t="str">
        <f t="shared" si="149"/>
        <v/>
      </c>
      <c r="HV32" s="150" t="str">
        <f t="shared" si="149"/>
        <v>P</v>
      </c>
      <c r="HW32" s="150" t="str">
        <f t="shared" si="149"/>
        <v/>
      </c>
      <c r="HX32" s="150" t="str">
        <f t="shared" si="149"/>
        <v/>
      </c>
      <c r="HY32" s="150" t="str">
        <f t="shared" si="149"/>
        <v/>
      </c>
      <c r="HZ32" s="150" t="str">
        <f t="shared" si="149"/>
        <v>P</v>
      </c>
      <c r="IA32" s="150" t="str">
        <f t="shared" si="149"/>
        <v/>
      </c>
      <c r="IB32" s="150" t="str">
        <f t="shared" si="149"/>
        <v/>
      </c>
      <c r="IC32" s="150" t="str">
        <f t="shared" si="149"/>
        <v/>
      </c>
      <c r="ID32" s="150" t="str">
        <f t="shared" si="149"/>
        <v/>
      </c>
      <c r="IE32" s="150" t="str">
        <f t="shared" si="149"/>
        <v>Y</v>
      </c>
      <c r="IF32" s="150" t="str">
        <f t="shared" si="149"/>
        <v/>
      </c>
      <c r="IG32" s="150" t="str">
        <f t="shared" si="149"/>
        <v/>
      </c>
      <c r="IH32" s="150" t="str">
        <f t="shared" si="149"/>
        <v/>
      </c>
      <c r="II32" s="150" t="str">
        <f t="shared" si="149"/>
        <v>P</v>
      </c>
      <c r="IJ32" s="150" t="str">
        <f t="shared" si="149"/>
        <v/>
      </c>
      <c r="IK32" s="150" t="str">
        <f t="shared" si="149"/>
        <v/>
      </c>
      <c r="IL32" s="150" t="str">
        <f t="shared" si="149"/>
        <v/>
      </c>
      <c r="IM32" s="150" t="str">
        <f t="shared" si="149"/>
        <v>P</v>
      </c>
      <c r="IN32" s="150" t="str">
        <f t="shared" si="149"/>
        <v/>
      </c>
      <c r="IO32" s="150" t="str">
        <f t="shared" si="149"/>
        <v/>
      </c>
      <c r="IP32" s="150" t="str">
        <f t="shared" si="149"/>
        <v/>
      </c>
      <c r="IQ32" s="150" t="str">
        <f t="shared" si="149"/>
        <v/>
      </c>
      <c r="IR32" s="150" t="str">
        <f t="shared" si="149"/>
        <v>Q</v>
      </c>
      <c r="IS32" s="150" t="str">
        <f t="shared" si="149"/>
        <v/>
      </c>
      <c r="IT32" s="150" t="str">
        <f t="shared" si="149"/>
        <v/>
      </c>
      <c r="IU32" s="150" t="str">
        <f t="shared" si="149"/>
        <v/>
      </c>
      <c r="IV32" s="150" t="str">
        <f t="shared" si="149"/>
        <v>P</v>
      </c>
      <c r="IW32" s="150" t="str">
        <f t="shared" si="149"/>
        <v/>
      </c>
      <c r="IX32" s="150" t="str">
        <f t="shared" si="149"/>
        <v/>
      </c>
      <c r="IY32" s="150" t="str">
        <f t="shared" si="149"/>
        <v/>
      </c>
      <c r="IZ32" s="150" t="str">
        <f t="shared" si="149"/>
        <v>P</v>
      </c>
      <c r="JA32" s="150" t="str">
        <f t="shared" si="149"/>
        <v/>
      </c>
      <c r="JB32" s="150" t="str">
        <f t="shared" si="149"/>
        <v/>
      </c>
      <c r="JC32" s="150" t="str">
        <f t="shared" si="149"/>
        <v/>
      </c>
      <c r="JD32" s="150" t="str">
        <f t="shared" si="149"/>
        <v/>
      </c>
      <c r="JE32" s="150" t="str">
        <f t="shared" si="149"/>
        <v>Q</v>
      </c>
      <c r="JF32" s="150" t="str">
        <f t="shared" si="149"/>
        <v/>
      </c>
      <c r="JG32" s="150" t="str">
        <f t="shared" ref="JG32:LP32" si="150">IF(JG31=1,"Y",IF((JG29*$GO$29)+(JG30*$GO$30)=1,"Q",IF(JG28=1,"P","")))</f>
        <v/>
      </c>
      <c r="JH32" s="150" t="str">
        <f t="shared" si="150"/>
        <v/>
      </c>
      <c r="JI32" s="150" t="str">
        <f t="shared" si="150"/>
        <v>P</v>
      </c>
      <c r="JJ32" s="150" t="str">
        <f t="shared" si="150"/>
        <v/>
      </c>
      <c r="JK32" s="150" t="str">
        <f t="shared" si="150"/>
        <v/>
      </c>
      <c r="JL32" s="150" t="str">
        <f t="shared" si="150"/>
        <v/>
      </c>
      <c r="JM32" s="150" t="str">
        <f t="shared" si="150"/>
        <v>P</v>
      </c>
      <c r="JN32" s="150" t="str">
        <f t="shared" si="150"/>
        <v/>
      </c>
      <c r="JO32" s="150" t="str">
        <f t="shared" si="150"/>
        <v/>
      </c>
      <c r="JP32" s="150" t="str">
        <f t="shared" si="150"/>
        <v/>
      </c>
      <c r="JQ32" s="150" t="str">
        <f t="shared" si="150"/>
        <v/>
      </c>
      <c r="JR32" s="150" t="str">
        <f t="shared" si="150"/>
        <v>Q</v>
      </c>
      <c r="JS32" s="150" t="str">
        <f t="shared" si="150"/>
        <v/>
      </c>
      <c r="JT32" s="150" t="str">
        <f t="shared" si="150"/>
        <v/>
      </c>
      <c r="JU32" s="150" t="str">
        <f t="shared" si="150"/>
        <v/>
      </c>
      <c r="JV32" s="150" t="str">
        <f t="shared" si="150"/>
        <v>P</v>
      </c>
      <c r="JW32" s="150" t="str">
        <f t="shared" si="150"/>
        <v/>
      </c>
      <c r="JX32" s="150" t="str">
        <f t="shared" si="150"/>
        <v/>
      </c>
      <c r="JY32" s="150" t="str">
        <f t="shared" si="150"/>
        <v/>
      </c>
      <c r="JZ32" s="150" t="str">
        <f t="shared" si="150"/>
        <v>P</v>
      </c>
      <c r="KA32" s="150" t="str">
        <f t="shared" si="150"/>
        <v/>
      </c>
      <c r="KB32" s="150" t="str">
        <f t="shared" si="150"/>
        <v/>
      </c>
      <c r="KC32" s="150" t="str">
        <f t="shared" si="150"/>
        <v/>
      </c>
      <c r="KD32" s="150" t="str">
        <f t="shared" si="150"/>
        <v/>
      </c>
      <c r="KE32" s="150" t="str">
        <f t="shared" si="150"/>
        <v>Y</v>
      </c>
      <c r="KF32" s="150" t="str">
        <f t="shared" si="150"/>
        <v/>
      </c>
      <c r="KG32" s="150" t="str">
        <f t="shared" si="150"/>
        <v/>
      </c>
      <c r="KH32" s="150" t="str">
        <f t="shared" si="150"/>
        <v/>
      </c>
      <c r="KI32" s="150" t="str">
        <f t="shared" si="150"/>
        <v>P</v>
      </c>
      <c r="KJ32" s="150" t="str">
        <f t="shared" si="150"/>
        <v/>
      </c>
      <c r="KK32" s="150" t="str">
        <f t="shared" si="150"/>
        <v/>
      </c>
      <c r="KL32" s="150" t="str">
        <f t="shared" si="150"/>
        <v/>
      </c>
      <c r="KM32" s="150" t="str">
        <f t="shared" si="150"/>
        <v>P</v>
      </c>
      <c r="KN32" s="150" t="str">
        <f t="shared" si="150"/>
        <v/>
      </c>
      <c r="KO32" s="150" t="str">
        <f t="shared" si="150"/>
        <v/>
      </c>
      <c r="KP32" s="150" t="str">
        <f t="shared" si="150"/>
        <v/>
      </c>
      <c r="KQ32" s="150" t="str">
        <f t="shared" si="150"/>
        <v/>
      </c>
      <c r="KR32" s="150" t="str">
        <f t="shared" si="150"/>
        <v>Q</v>
      </c>
      <c r="KS32" s="150" t="str">
        <f t="shared" si="150"/>
        <v/>
      </c>
      <c r="KT32" s="150" t="str">
        <f t="shared" si="150"/>
        <v/>
      </c>
      <c r="KU32" s="150" t="str">
        <f t="shared" si="150"/>
        <v/>
      </c>
      <c r="KV32" s="150" t="str">
        <f t="shared" si="150"/>
        <v>P</v>
      </c>
      <c r="KW32" s="150" t="str">
        <f t="shared" si="150"/>
        <v/>
      </c>
      <c r="KX32" s="150" t="str">
        <f t="shared" si="150"/>
        <v/>
      </c>
      <c r="KY32" s="150" t="str">
        <f t="shared" si="150"/>
        <v/>
      </c>
      <c r="KZ32" s="150" t="str">
        <f t="shared" si="150"/>
        <v>P</v>
      </c>
      <c r="LA32" s="150" t="str">
        <f t="shared" si="150"/>
        <v/>
      </c>
      <c r="LB32" s="150" t="str">
        <f t="shared" si="150"/>
        <v/>
      </c>
      <c r="LC32" s="150" t="str">
        <f t="shared" si="150"/>
        <v/>
      </c>
      <c r="LD32" s="150" t="str">
        <f t="shared" si="150"/>
        <v/>
      </c>
      <c r="LE32" s="150" t="str">
        <f t="shared" si="150"/>
        <v>Q</v>
      </c>
      <c r="LF32" s="150" t="str">
        <f t="shared" si="150"/>
        <v/>
      </c>
      <c r="LG32" s="150" t="str">
        <f t="shared" si="150"/>
        <v/>
      </c>
      <c r="LH32" s="150" t="str">
        <f t="shared" si="150"/>
        <v/>
      </c>
      <c r="LI32" s="150" t="str">
        <f t="shared" si="150"/>
        <v>P</v>
      </c>
      <c r="LJ32" s="150" t="str">
        <f t="shared" si="150"/>
        <v/>
      </c>
      <c r="LK32" s="150" t="str">
        <f t="shared" si="150"/>
        <v/>
      </c>
      <c r="LL32" s="150" t="str">
        <f t="shared" si="150"/>
        <v/>
      </c>
      <c r="LM32" s="150" t="str">
        <f t="shared" si="150"/>
        <v>P</v>
      </c>
      <c r="LN32" s="150" t="str">
        <f t="shared" si="150"/>
        <v/>
      </c>
      <c r="LO32" s="150" t="str">
        <f t="shared" si="150"/>
        <v/>
      </c>
      <c r="LP32" s="150" t="str">
        <f t="shared" si="150"/>
        <v/>
      </c>
    </row>
    <row r="33" spans="1:328" ht="12.75" hidden="1" customHeight="1" x14ac:dyDescent="0.3">
      <c r="A33" s="285"/>
      <c r="B33" s="285"/>
      <c r="C33" s="299">
        <v>0.1</v>
      </c>
      <c r="D33" s="295"/>
      <c r="E33" s="276"/>
      <c r="F33" s="285"/>
      <c r="G33" s="285"/>
      <c r="H33" s="285"/>
      <c r="I33" s="285"/>
      <c r="J33" s="285"/>
      <c r="K33" s="285"/>
      <c r="L33" s="285"/>
      <c r="M33" s="287"/>
      <c r="N33" s="287"/>
      <c r="O33" s="287"/>
      <c r="P33" s="287"/>
      <c r="Q33" s="287"/>
      <c r="R33" s="287"/>
      <c r="S33" s="285"/>
      <c r="T33" s="285"/>
      <c r="U33" s="285"/>
      <c r="V33" s="285"/>
      <c r="W33" s="285"/>
      <c r="X33" s="285"/>
      <c r="Y33" s="285"/>
      <c r="Z33" s="285"/>
      <c r="AA33" s="285"/>
      <c r="AB33" s="285"/>
      <c r="AC33" s="285"/>
      <c r="AD33" s="285"/>
      <c r="AE33" s="285"/>
      <c r="AF33" s="285"/>
      <c r="AG33" s="285"/>
      <c r="AH33" s="2513"/>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76" t="s">
        <v>5</v>
      </c>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309"/>
      <c r="DH33" s="305"/>
      <c r="DI33" s="305"/>
      <c r="DJ33" s="305"/>
      <c r="DK33" s="305"/>
      <c r="DL33" s="305"/>
      <c r="DM33" s="305"/>
      <c r="DN33" s="305"/>
      <c r="DO33" s="305"/>
      <c r="DP33" s="305"/>
      <c r="DQ33" s="305"/>
      <c r="DR33" s="305"/>
      <c r="DS33" s="305"/>
      <c r="DT33" s="305"/>
      <c r="DU33" s="305"/>
      <c r="DV33" s="305"/>
      <c r="DW33" s="305"/>
      <c r="DX33" s="305"/>
      <c r="DY33" s="305"/>
      <c r="DZ33" s="305"/>
      <c r="EA33" s="305"/>
      <c r="EB33" s="305"/>
      <c r="EC33" s="305"/>
      <c r="ED33" s="305"/>
      <c r="EE33" s="305"/>
      <c r="EF33" s="305"/>
      <c r="EG33" s="305"/>
      <c r="EH33" s="305"/>
      <c r="EI33" s="305"/>
      <c r="EJ33" s="305"/>
      <c r="EK33" s="305"/>
      <c r="EL33" s="305"/>
      <c r="EM33" s="305"/>
      <c r="EN33" s="305"/>
      <c r="EO33" s="305"/>
      <c r="EP33" s="305"/>
      <c r="EQ33" s="305"/>
      <c r="ER33" s="305"/>
      <c r="ES33" s="305"/>
      <c r="ET33" s="305"/>
      <c r="EU33" s="305"/>
      <c r="EV33" s="305"/>
      <c r="EW33" s="305"/>
      <c r="EX33" s="305"/>
      <c r="EY33" s="305"/>
      <c r="EZ33" s="305"/>
      <c r="FA33" s="305"/>
      <c r="FB33" s="305"/>
      <c r="FC33" s="305"/>
      <c r="FD33" s="305"/>
      <c r="FE33" s="305"/>
      <c r="FF33" s="305"/>
      <c r="FG33" s="305"/>
      <c r="FH33" s="305"/>
      <c r="FI33" s="305"/>
      <c r="FJ33" s="307"/>
      <c r="FK33" s="307"/>
      <c r="FL33" s="285"/>
      <c r="FM33" s="285"/>
      <c r="FN33" s="304"/>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1551" t="s">
        <v>1990</v>
      </c>
      <c r="GO33" s="776">
        <f>WEEKNUM('2 Staff List'!$KH$56+3)</f>
        <v>1</v>
      </c>
      <c r="GP33" s="285"/>
      <c r="GQ33" s="285"/>
      <c r="GR33" s="412"/>
      <c r="GS33" s="308" t="s">
        <v>1992</v>
      </c>
      <c r="GT33" s="598">
        <v>1</v>
      </c>
      <c r="GU33" s="599">
        <f>CHOOSE($FM$5,IF(WEEKNUM(GU170,16)=$GO$33,1,0),IF(MONTH(GU170)=$GO$34,1,0))</f>
        <v>0</v>
      </c>
      <c r="GV33" s="599">
        <f t="shared" ref="GV33:JG33" si="151">CHOOSE($FM$5,IF(WEEKNUM(GV170,16)=$GO$33,1,0),IF(MONTH(GV170)=$GO$34,1,0))</f>
        <v>0</v>
      </c>
      <c r="GW33" s="599">
        <f t="shared" si="151"/>
        <v>0</v>
      </c>
      <c r="GX33" s="599">
        <f t="shared" si="151"/>
        <v>0</v>
      </c>
      <c r="GY33" s="599">
        <f t="shared" si="151"/>
        <v>0</v>
      </c>
      <c r="GZ33" s="599">
        <f t="shared" si="151"/>
        <v>0</v>
      </c>
      <c r="HA33" s="599">
        <f t="shared" si="151"/>
        <v>0</v>
      </c>
      <c r="HB33" s="599">
        <f t="shared" si="151"/>
        <v>0</v>
      </c>
      <c r="HC33" s="599">
        <f t="shared" si="151"/>
        <v>0</v>
      </c>
      <c r="HD33" s="599">
        <f t="shared" si="151"/>
        <v>0</v>
      </c>
      <c r="HE33" s="599">
        <f t="shared" si="151"/>
        <v>0</v>
      </c>
      <c r="HF33" s="599">
        <f t="shared" si="151"/>
        <v>0</v>
      </c>
      <c r="HG33" s="599">
        <f t="shared" si="151"/>
        <v>0</v>
      </c>
      <c r="HH33" s="599">
        <f t="shared" si="151"/>
        <v>0</v>
      </c>
      <c r="HI33" s="599">
        <f t="shared" si="151"/>
        <v>0</v>
      </c>
      <c r="HJ33" s="599">
        <f t="shared" si="151"/>
        <v>0</v>
      </c>
      <c r="HK33" s="599">
        <f t="shared" si="151"/>
        <v>0</v>
      </c>
      <c r="HL33" s="599">
        <f t="shared" si="151"/>
        <v>0</v>
      </c>
      <c r="HM33" s="599">
        <f t="shared" si="151"/>
        <v>0</v>
      </c>
      <c r="HN33" s="599">
        <f t="shared" si="151"/>
        <v>0</v>
      </c>
      <c r="HO33" s="599">
        <f t="shared" si="151"/>
        <v>0</v>
      </c>
      <c r="HP33" s="599">
        <f t="shared" si="151"/>
        <v>0</v>
      </c>
      <c r="HQ33" s="599">
        <f t="shared" si="151"/>
        <v>0</v>
      </c>
      <c r="HR33" s="599">
        <f t="shared" si="151"/>
        <v>0</v>
      </c>
      <c r="HS33" s="599">
        <f t="shared" si="151"/>
        <v>0</v>
      </c>
      <c r="HT33" s="599">
        <f t="shared" si="151"/>
        <v>0</v>
      </c>
      <c r="HU33" s="599">
        <f t="shared" si="151"/>
        <v>0</v>
      </c>
      <c r="HV33" s="599">
        <f t="shared" si="151"/>
        <v>0</v>
      </c>
      <c r="HW33" s="599">
        <f t="shared" si="151"/>
        <v>0</v>
      </c>
      <c r="HX33" s="599">
        <f t="shared" si="151"/>
        <v>0</v>
      </c>
      <c r="HY33" s="599">
        <f t="shared" si="151"/>
        <v>0</v>
      </c>
      <c r="HZ33" s="599">
        <f t="shared" si="151"/>
        <v>0</v>
      </c>
      <c r="IA33" s="599">
        <f t="shared" si="151"/>
        <v>0</v>
      </c>
      <c r="IB33" s="599">
        <f t="shared" si="151"/>
        <v>0</v>
      </c>
      <c r="IC33" s="599">
        <f t="shared" si="151"/>
        <v>0</v>
      </c>
      <c r="ID33" s="599">
        <f t="shared" si="151"/>
        <v>0</v>
      </c>
      <c r="IE33" s="599">
        <f t="shared" si="151"/>
        <v>0</v>
      </c>
      <c r="IF33" s="599">
        <f t="shared" si="151"/>
        <v>0</v>
      </c>
      <c r="IG33" s="599">
        <f t="shared" si="151"/>
        <v>0</v>
      </c>
      <c r="IH33" s="599">
        <f t="shared" si="151"/>
        <v>0</v>
      </c>
      <c r="II33" s="599">
        <f t="shared" si="151"/>
        <v>0</v>
      </c>
      <c r="IJ33" s="599">
        <f t="shared" si="151"/>
        <v>0</v>
      </c>
      <c r="IK33" s="599">
        <f t="shared" si="151"/>
        <v>0</v>
      </c>
      <c r="IL33" s="599">
        <f t="shared" si="151"/>
        <v>0</v>
      </c>
      <c r="IM33" s="599">
        <f t="shared" si="151"/>
        <v>0</v>
      </c>
      <c r="IN33" s="599">
        <f t="shared" si="151"/>
        <v>0</v>
      </c>
      <c r="IO33" s="599">
        <f t="shared" si="151"/>
        <v>0</v>
      </c>
      <c r="IP33" s="599">
        <f t="shared" si="151"/>
        <v>0</v>
      </c>
      <c r="IQ33" s="599">
        <f t="shared" si="151"/>
        <v>0</v>
      </c>
      <c r="IR33" s="599">
        <f t="shared" si="151"/>
        <v>0</v>
      </c>
      <c r="IS33" s="599">
        <f t="shared" si="151"/>
        <v>1</v>
      </c>
      <c r="IT33" s="599">
        <f t="shared" si="151"/>
        <v>0</v>
      </c>
      <c r="IU33" s="599">
        <f t="shared" si="151"/>
        <v>0</v>
      </c>
      <c r="IV33" s="599">
        <f t="shared" si="151"/>
        <v>0</v>
      </c>
      <c r="IW33" s="599">
        <f t="shared" si="151"/>
        <v>0</v>
      </c>
      <c r="IX33" s="599">
        <f t="shared" si="151"/>
        <v>0</v>
      </c>
      <c r="IY33" s="599">
        <f t="shared" si="151"/>
        <v>0</v>
      </c>
      <c r="IZ33" s="599">
        <f t="shared" si="151"/>
        <v>0</v>
      </c>
      <c r="JA33" s="599">
        <f t="shared" si="151"/>
        <v>0</v>
      </c>
      <c r="JB33" s="599">
        <f t="shared" si="151"/>
        <v>0</v>
      </c>
      <c r="JC33" s="599">
        <f t="shared" si="151"/>
        <v>0</v>
      </c>
      <c r="JD33" s="599">
        <f t="shared" si="151"/>
        <v>0</v>
      </c>
      <c r="JE33" s="599">
        <f t="shared" si="151"/>
        <v>0</v>
      </c>
      <c r="JF33" s="599">
        <f t="shared" si="151"/>
        <v>0</v>
      </c>
      <c r="JG33" s="599">
        <f t="shared" si="151"/>
        <v>0</v>
      </c>
      <c r="JH33" s="599">
        <f t="shared" ref="JH33:LP33" si="152">CHOOSE($FM$5,IF(WEEKNUM(JH170,16)=$GO$33,1,0),IF(MONTH(JH170)=$GO$34,1,0))</f>
        <v>0</v>
      </c>
      <c r="JI33" s="599">
        <f t="shared" si="152"/>
        <v>0</v>
      </c>
      <c r="JJ33" s="599">
        <f t="shared" si="152"/>
        <v>0</v>
      </c>
      <c r="JK33" s="599">
        <f t="shared" si="152"/>
        <v>0</v>
      </c>
      <c r="JL33" s="599">
        <f t="shared" si="152"/>
        <v>0</v>
      </c>
      <c r="JM33" s="599">
        <f t="shared" si="152"/>
        <v>0</v>
      </c>
      <c r="JN33" s="599">
        <f t="shared" si="152"/>
        <v>0</v>
      </c>
      <c r="JO33" s="599">
        <f t="shared" si="152"/>
        <v>0</v>
      </c>
      <c r="JP33" s="599">
        <f t="shared" si="152"/>
        <v>0</v>
      </c>
      <c r="JQ33" s="599">
        <f t="shared" si="152"/>
        <v>0</v>
      </c>
      <c r="JR33" s="599">
        <f t="shared" si="152"/>
        <v>0</v>
      </c>
      <c r="JS33" s="599">
        <f t="shared" si="152"/>
        <v>0</v>
      </c>
      <c r="JT33" s="599">
        <f t="shared" si="152"/>
        <v>0</v>
      </c>
      <c r="JU33" s="599">
        <f t="shared" si="152"/>
        <v>0</v>
      </c>
      <c r="JV33" s="599">
        <f t="shared" si="152"/>
        <v>0</v>
      </c>
      <c r="JW33" s="599">
        <f t="shared" si="152"/>
        <v>0</v>
      </c>
      <c r="JX33" s="599">
        <f t="shared" si="152"/>
        <v>0</v>
      </c>
      <c r="JY33" s="599">
        <f t="shared" si="152"/>
        <v>0</v>
      </c>
      <c r="JZ33" s="599">
        <f t="shared" si="152"/>
        <v>0</v>
      </c>
      <c r="KA33" s="599">
        <f t="shared" si="152"/>
        <v>0</v>
      </c>
      <c r="KB33" s="599">
        <f t="shared" si="152"/>
        <v>0</v>
      </c>
      <c r="KC33" s="599">
        <f t="shared" si="152"/>
        <v>0</v>
      </c>
      <c r="KD33" s="599">
        <f t="shared" si="152"/>
        <v>0</v>
      </c>
      <c r="KE33" s="599">
        <f t="shared" si="152"/>
        <v>0</v>
      </c>
      <c r="KF33" s="599">
        <f t="shared" si="152"/>
        <v>0</v>
      </c>
      <c r="KG33" s="599">
        <f t="shared" si="152"/>
        <v>0</v>
      </c>
      <c r="KH33" s="599">
        <f t="shared" si="152"/>
        <v>0</v>
      </c>
      <c r="KI33" s="599">
        <f t="shared" si="152"/>
        <v>0</v>
      </c>
      <c r="KJ33" s="599">
        <f t="shared" si="152"/>
        <v>0</v>
      </c>
      <c r="KK33" s="599">
        <f t="shared" si="152"/>
        <v>0</v>
      </c>
      <c r="KL33" s="599">
        <f t="shared" si="152"/>
        <v>0</v>
      </c>
      <c r="KM33" s="599">
        <f t="shared" si="152"/>
        <v>0</v>
      </c>
      <c r="KN33" s="599">
        <f t="shared" si="152"/>
        <v>0</v>
      </c>
      <c r="KO33" s="599">
        <f t="shared" si="152"/>
        <v>0</v>
      </c>
      <c r="KP33" s="599">
        <f t="shared" si="152"/>
        <v>0</v>
      </c>
      <c r="KQ33" s="599">
        <f t="shared" si="152"/>
        <v>0</v>
      </c>
      <c r="KR33" s="599">
        <f t="shared" si="152"/>
        <v>0</v>
      </c>
      <c r="KS33" s="599">
        <f t="shared" si="152"/>
        <v>0</v>
      </c>
      <c r="KT33" s="599">
        <f t="shared" si="152"/>
        <v>1</v>
      </c>
      <c r="KU33" s="599">
        <f t="shared" si="152"/>
        <v>0</v>
      </c>
      <c r="KV33" s="599">
        <f t="shared" si="152"/>
        <v>0</v>
      </c>
      <c r="KW33" s="599">
        <f t="shared" si="152"/>
        <v>0</v>
      </c>
      <c r="KX33" s="599">
        <f t="shared" si="152"/>
        <v>0</v>
      </c>
      <c r="KY33" s="599">
        <f t="shared" si="152"/>
        <v>0</v>
      </c>
      <c r="KZ33" s="599">
        <f t="shared" si="152"/>
        <v>0</v>
      </c>
      <c r="LA33" s="599">
        <f t="shared" si="152"/>
        <v>0</v>
      </c>
      <c r="LB33" s="599">
        <f t="shared" si="152"/>
        <v>0</v>
      </c>
      <c r="LC33" s="599">
        <f t="shared" si="152"/>
        <v>0</v>
      </c>
      <c r="LD33" s="599">
        <f t="shared" si="152"/>
        <v>0</v>
      </c>
      <c r="LE33" s="599">
        <f t="shared" si="152"/>
        <v>0</v>
      </c>
      <c r="LF33" s="599">
        <f t="shared" si="152"/>
        <v>0</v>
      </c>
      <c r="LG33" s="599">
        <f t="shared" si="152"/>
        <v>0</v>
      </c>
      <c r="LH33" s="599">
        <f t="shared" si="152"/>
        <v>0</v>
      </c>
      <c r="LI33" s="599">
        <f t="shared" si="152"/>
        <v>0</v>
      </c>
      <c r="LJ33" s="599">
        <f t="shared" si="152"/>
        <v>0</v>
      </c>
      <c r="LK33" s="599">
        <f t="shared" si="152"/>
        <v>0</v>
      </c>
      <c r="LL33" s="599">
        <f t="shared" si="152"/>
        <v>0</v>
      </c>
      <c r="LM33" s="599">
        <f t="shared" si="152"/>
        <v>0</v>
      </c>
      <c r="LN33" s="599">
        <f t="shared" si="152"/>
        <v>0</v>
      </c>
      <c r="LO33" s="599">
        <f t="shared" si="152"/>
        <v>0</v>
      </c>
      <c r="LP33" s="599">
        <f t="shared" si="152"/>
        <v>0</v>
      </c>
    </row>
    <row r="34" spans="1:328" ht="12.75" hidden="1" customHeight="1" x14ac:dyDescent="0.3">
      <c r="A34" s="285"/>
      <c r="B34" s="285"/>
      <c r="C34" s="299">
        <v>0.05</v>
      </c>
      <c r="D34" s="295"/>
      <c r="E34" s="276"/>
      <c r="F34" s="285"/>
      <c r="G34" s="285"/>
      <c r="H34" s="285"/>
      <c r="I34" s="285"/>
      <c r="J34" s="285"/>
      <c r="K34" s="294"/>
      <c r="L34" s="285"/>
      <c r="M34" s="287"/>
      <c r="N34" s="287"/>
      <c r="O34" s="287"/>
      <c r="P34" s="287"/>
      <c r="Q34" s="287"/>
      <c r="R34" s="287"/>
      <c r="S34" s="285"/>
      <c r="T34" s="285"/>
      <c r="U34" s="285"/>
      <c r="V34" s="285"/>
      <c r="W34" s="285"/>
      <c r="X34" s="285"/>
      <c r="Y34" s="285"/>
      <c r="Z34" s="285"/>
      <c r="AA34" s="285"/>
      <c r="AB34" s="285"/>
      <c r="AC34" s="285"/>
      <c r="AD34" s="285"/>
      <c r="AE34" s="285"/>
      <c r="AF34" s="285"/>
      <c r="AG34" s="285"/>
      <c r="AH34" s="2513"/>
      <c r="AI34" s="285"/>
      <c r="AJ34" s="285"/>
      <c r="AK34" s="285"/>
      <c r="AL34" s="285"/>
      <c r="AM34" s="285"/>
      <c r="AN34" s="285"/>
      <c r="AO34" s="285"/>
      <c r="AP34" s="285"/>
      <c r="AQ34" s="285"/>
      <c r="AR34" s="285"/>
      <c r="AS34" s="285"/>
      <c r="AT34" s="285"/>
      <c r="AU34" s="285"/>
      <c r="AV34" s="285"/>
      <c r="AW34" s="285"/>
      <c r="AX34" s="285"/>
      <c r="AY34" s="308"/>
      <c r="AZ34" s="308"/>
      <c r="BA34" s="308"/>
      <c r="BB34" s="308"/>
      <c r="BC34" s="308"/>
      <c r="BD34" s="308"/>
      <c r="BE34" s="308"/>
      <c r="BF34" s="308"/>
      <c r="BG34" s="308"/>
      <c r="BH34" s="285"/>
      <c r="BI34" s="308"/>
      <c r="BJ34" s="308"/>
      <c r="BK34" s="308"/>
      <c r="BL34" s="308"/>
      <c r="BM34" s="308"/>
      <c r="BN34" s="308"/>
      <c r="BO34" s="308"/>
      <c r="BP34" s="308"/>
      <c r="BQ34" s="308"/>
      <c r="BR34" s="308"/>
      <c r="BS34" s="308"/>
      <c r="BT34" s="308"/>
      <c r="BU34" s="308"/>
      <c r="BV34" s="308"/>
      <c r="BW34" s="308"/>
      <c r="BX34" s="308"/>
      <c r="BY34" s="308"/>
      <c r="BZ34" s="308"/>
      <c r="CA34" s="308"/>
      <c r="CB34" s="308"/>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309"/>
      <c r="DH34" s="442" t="s">
        <v>1998</v>
      </c>
      <c r="DI34" s="285"/>
      <c r="DJ34" s="76">
        <f t="shared" ref="DJ34:EO34" si="153">IF(DJ$169=0,0,SUMPRODUCT($AN$173:$AN$364,DJ$173:DJ$364,$CY$173:$CY$364,$AO$173:$AO$364))</f>
        <v>0</v>
      </c>
      <c r="DK34" s="76">
        <f t="shared" si="153"/>
        <v>64</v>
      </c>
      <c r="DL34" s="76">
        <f t="shared" si="153"/>
        <v>39</v>
      </c>
      <c r="DM34" s="76">
        <f t="shared" si="153"/>
        <v>0</v>
      </c>
      <c r="DN34" s="76">
        <f t="shared" si="153"/>
        <v>6</v>
      </c>
      <c r="DO34" s="76">
        <f t="shared" si="153"/>
        <v>0</v>
      </c>
      <c r="DP34" s="76">
        <f t="shared" si="153"/>
        <v>6</v>
      </c>
      <c r="DQ34" s="76">
        <f t="shared" si="153"/>
        <v>384</v>
      </c>
      <c r="DR34" s="76">
        <f t="shared" si="153"/>
        <v>384</v>
      </c>
      <c r="DS34" s="76">
        <f t="shared" si="153"/>
        <v>480</v>
      </c>
      <c r="DT34" s="76">
        <f t="shared" si="153"/>
        <v>0</v>
      </c>
      <c r="DU34" s="76">
        <f t="shared" si="153"/>
        <v>0</v>
      </c>
      <c r="DV34" s="76">
        <f t="shared" si="153"/>
        <v>0</v>
      </c>
      <c r="DW34" s="76">
        <f t="shared" si="153"/>
        <v>0</v>
      </c>
      <c r="DX34" s="76">
        <f t="shared" si="153"/>
        <v>0</v>
      </c>
      <c r="DY34" s="76">
        <f t="shared" si="153"/>
        <v>0</v>
      </c>
      <c r="DZ34" s="76">
        <f t="shared" si="153"/>
        <v>0</v>
      </c>
      <c r="EA34" s="76">
        <f t="shared" si="153"/>
        <v>0</v>
      </c>
      <c r="EB34" s="76">
        <f t="shared" si="153"/>
        <v>0</v>
      </c>
      <c r="EC34" s="76">
        <f t="shared" si="153"/>
        <v>0</v>
      </c>
      <c r="ED34" s="76">
        <f t="shared" si="153"/>
        <v>0</v>
      </c>
      <c r="EE34" s="76">
        <f t="shared" si="153"/>
        <v>0</v>
      </c>
      <c r="EF34" s="76">
        <f t="shared" si="153"/>
        <v>0</v>
      </c>
      <c r="EG34" s="76">
        <f t="shared" si="153"/>
        <v>0</v>
      </c>
      <c r="EH34" s="76">
        <f t="shared" si="153"/>
        <v>0</v>
      </c>
      <c r="EI34" s="76">
        <f t="shared" si="153"/>
        <v>0</v>
      </c>
      <c r="EJ34" s="76">
        <f t="shared" si="153"/>
        <v>0</v>
      </c>
      <c r="EK34" s="76">
        <f t="shared" si="153"/>
        <v>0</v>
      </c>
      <c r="EL34" s="76">
        <f t="shared" si="153"/>
        <v>0</v>
      </c>
      <c r="EM34" s="76">
        <f t="shared" si="153"/>
        <v>0</v>
      </c>
      <c r="EN34" s="76">
        <f t="shared" si="153"/>
        <v>0</v>
      </c>
      <c r="EO34" s="76">
        <f t="shared" si="153"/>
        <v>0</v>
      </c>
      <c r="EP34" s="76">
        <f t="shared" ref="EP34:FG34" si="154">IF(EP$169=0,0,SUMPRODUCT($AN$173:$AN$364,EP$173:EP$364,$CY$173:$CY$364,$AO$173:$AO$364))</f>
        <v>0</v>
      </c>
      <c r="EQ34" s="76">
        <f t="shared" si="154"/>
        <v>0</v>
      </c>
      <c r="ER34" s="76">
        <f t="shared" si="154"/>
        <v>0</v>
      </c>
      <c r="ES34" s="76">
        <f t="shared" si="154"/>
        <v>0</v>
      </c>
      <c r="ET34" s="76">
        <f t="shared" si="154"/>
        <v>0</v>
      </c>
      <c r="EU34" s="76">
        <f t="shared" si="154"/>
        <v>0</v>
      </c>
      <c r="EV34" s="76">
        <f t="shared" si="154"/>
        <v>0</v>
      </c>
      <c r="EW34" s="76">
        <f t="shared" si="154"/>
        <v>0</v>
      </c>
      <c r="EX34" s="76">
        <f t="shared" si="154"/>
        <v>0</v>
      </c>
      <c r="EY34" s="76">
        <f t="shared" si="154"/>
        <v>0</v>
      </c>
      <c r="EZ34" s="76">
        <f t="shared" si="154"/>
        <v>0</v>
      </c>
      <c r="FA34" s="76">
        <f t="shared" si="154"/>
        <v>0</v>
      </c>
      <c r="FB34" s="76">
        <f t="shared" si="154"/>
        <v>0</v>
      </c>
      <c r="FC34" s="76">
        <f t="shared" si="154"/>
        <v>0</v>
      </c>
      <c r="FD34" s="76">
        <f t="shared" si="154"/>
        <v>0</v>
      </c>
      <c r="FE34" s="76">
        <f t="shared" si="154"/>
        <v>0</v>
      </c>
      <c r="FF34" s="76">
        <f t="shared" si="154"/>
        <v>0</v>
      </c>
      <c r="FG34" s="76">
        <f t="shared" si="154"/>
        <v>0</v>
      </c>
      <c r="FH34" s="921"/>
      <c r="FI34" s="305"/>
      <c r="FJ34" s="307"/>
      <c r="FK34" s="307"/>
      <c r="FL34" s="285"/>
      <c r="FM34" s="285"/>
      <c r="FN34" s="304"/>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1551" t="s">
        <v>1991</v>
      </c>
      <c r="GO34" s="776">
        <f>MONTH('2 Staff List'!$KH$56+3)</f>
        <v>1</v>
      </c>
      <c r="GP34" s="285"/>
      <c r="GQ34" s="285"/>
      <c r="GR34" s="412"/>
      <c r="GS34" s="308" t="s">
        <v>1989</v>
      </c>
      <c r="GT34" s="987">
        <f>1*GO43</f>
        <v>1</v>
      </c>
      <c r="GU34" s="150">
        <f>MIN(SUM($GT$33:GU33),10)*$GO$43</f>
        <v>1</v>
      </c>
      <c r="GV34" s="150">
        <f>MIN(SUM($GT$33:GV33),10)*$GO$43</f>
        <v>1</v>
      </c>
      <c r="GW34" s="150">
        <f>MIN(SUM($GT$33:GW33),10)*$GO$43</f>
        <v>1</v>
      </c>
      <c r="GX34" s="150">
        <f>MIN(SUM($GT$33:GX33),10)*$GO$43</f>
        <v>1</v>
      </c>
      <c r="GY34" s="150">
        <f>MIN(SUM($GT$33:GY33),10)*$GO$43</f>
        <v>1</v>
      </c>
      <c r="GZ34" s="150">
        <f>MIN(SUM($GT$33:GZ33),10)*$GO$43</f>
        <v>1</v>
      </c>
      <c r="HA34" s="150">
        <f>MIN(SUM($GT$33:HA33),10)*$GO$43</f>
        <v>1</v>
      </c>
      <c r="HB34" s="150">
        <f>MIN(SUM($GT$33:HB33),10)*$GO$43</f>
        <v>1</v>
      </c>
      <c r="HC34" s="150">
        <f>MIN(SUM($GT$33:HC33),10)*$GO$43</f>
        <v>1</v>
      </c>
      <c r="HD34" s="150">
        <f>MIN(SUM($GT$33:HD33),10)*$GO$43</f>
        <v>1</v>
      </c>
      <c r="HE34" s="150">
        <f>MIN(SUM($GT$33:HE33),10)*$GO$43</f>
        <v>1</v>
      </c>
      <c r="HF34" s="150">
        <f>MIN(SUM($GT$33:HF33),10)*$GO$43</f>
        <v>1</v>
      </c>
      <c r="HG34" s="150">
        <f>MIN(SUM($GT$33:HG33),10)*$GO$43</f>
        <v>1</v>
      </c>
      <c r="HH34" s="150">
        <f>MIN(SUM($GT$33:HH33),10)*$GO$43</f>
        <v>1</v>
      </c>
      <c r="HI34" s="150">
        <f>MIN(SUM($GT$33:HI33),10)*$GO$43</f>
        <v>1</v>
      </c>
      <c r="HJ34" s="150">
        <f>MIN(SUM($GT$33:HJ33),10)*$GO$43</f>
        <v>1</v>
      </c>
      <c r="HK34" s="150">
        <f>MIN(SUM($GT$33:HK33),10)*$GO$43</f>
        <v>1</v>
      </c>
      <c r="HL34" s="150">
        <f>MIN(SUM($GT$33:HL33),10)*$GO$43</f>
        <v>1</v>
      </c>
      <c r="HM34" s="150">
        <f>MIN(SUM($GT$33:HM33),10)*$GO$43</f>
        <v>1</v>
      </c>
      <c r="HN34" s="150">
        <f>MIN(SUM($GT$33:HN33),10)*$GO$43</f>
        <v>1</v>
      </c>
      <c r="HO34" s="150">
        <f>MIN(SUM($GT$33:HO33),10)*$GO$43</f>
        <v>1</v>
      </c>
      <c r="HP34" s="150">
        <f>MIN(SUM($GT$33:HP33),10)*$GO$43</f>
        <v>1</v>
      </c>
      <c r="HQ34" s="150">
        <f>MIN(SUM($GT$33:HQ33),10)*$GO$43</f>
        <v>1</v>
      </c>
      <c r="HR34" s="150">
        <f>MIN(SUM($GT$33:HR33),10)*$GO$43</f>
        <v>1</v>
      </c>
      <c r="HS34" s="150">
        <f>MIN(SUM($GT$33:HS33),10)*$GO$43</f>
        <v>1</v>
      </c>
      <c r="HT34" s="150">
        <f>MIN(SUM($GT$33:HT33),10)*$GO$43</f>
        <v>1</v>
      </c>
      <c r="HU34" s="150">
        <f>MIN(SUM($GT$33:HU33),10)*$GO$43</f>
        <v>1</v>
      </c>
      <c r="HV34" s="150">
        <f>MIN(SUM($GT$33:HV33),10)*$GO$43</f>
        <v>1</v>
      </c>
      <c r="HW34" s="150">
        <f>MIN(SUM($GT$33:HW33),10)*$GO$43</f>
        <v>1</v>
      </c>
      <c r="HX34" s="150">
        <f>MIN(SUM($GT$33:HX33),10)*$GO$43</f>
        <v>1</v>
      </c>
      <c r="HY34" s="150">
        <f>MIN(SUM($GT$33:HY33),10)*$GO$43</f>
        <v>1</v>
      </c>
      <c r="HZ34" s="150">
        <f>MIN(SUM($GT$33:HZ33),10)*$GO$43</f>
        <v>1</v>
      </c>
      <c r="IA34" s="150">
        <f>MIN(SUM($GT$33:IA33),10)*$GO$43</f>
        <v>1</v>
      </c>
      <c r="IB34" s="150">
        <f>MIN(SUM($GT$33:IB33),10)*$GO$43</f>
        <v>1</v>
      </c>
      <c r="IC34" s="150">
        <f>MIN(SUM($GT$33:IC33),10)*$GO$43</f>
        <v>1</v>
      </c>
      <c r="ID34" s="150">
        <f>MIN(SUM($GT$33:ID33),10)*$GO$43</f>
        <v>1</v>
      </c>
      <c r="IE34" s="150">
        <f>MIN(SUM($GT$33:IE33),10)*$GO$43</f>
        <v>1</v>
      </c>
      <c r="IF34" s="150">
        <f>MIN(SUM($GT$33:IF33),10)*$GO$43</f>
        <v>1</v>
      </c>
      <c r="IG34" s="150">
        <f>MIN(SUM($GT$33:IG33),10)*$GO$43</f>
        <v>1</v>
      </c>
      <c r="IH34" s="150">
        <f>MIN(SUM($GT$33:IH33),10)*$GO$43</f>
        <v>1</v>
      </c>
      <c r="II34" s="150">
        <f>MIN(SUM($GT$33:II33),10)*$GO$43</f>
        <v>1</v>
      </c>
      <c r="IJ34" s="150">
        <f>MIN(SUM($GT$33:IJ33),10)*$GO$43</f>
        <v>1</v>
      </c>
      <c r="IK34" s="150">
        <f>MIN(SUM($GT$33:IK33),10)*$GO$43</f>
        <v>1</v>
      </c>
      <c r="IL34" s="150">
        <f>MIN(SUM($GT$33:IL33),10)*$GO$43</f>
        <v>1</v>
      </c>
      <c r="IM34" s="150">
        <f>MIN(SUM($GT$33:IM33),10)*$GO$43</f>
        <v>1</v>
      </c>
      <c r="IN34" s="150">
        <f>MIN(SUM($GT$33:IN33),10)*$GO$43</f>
        <v>1</v>
      </c>
      <c r="IO34" s="150">
        <f>MIN(SUM($GT$33:IO33),10)*$GO$43</f>
        <v>1</v>
      </c>
      <c r="IP34" s="150">
        <f>MIN(SUM($GT$33:IP33),10)*$GO$43</f>
        <v>1</v>
      </c>
      <c r="IQ34" s="150">
        <f>MIN(SUM($GT$33:IQ33),10)*$GO$43</f>
        <v>1</v>
      </c>
      <c r="IR34" s="150">
        <f>MIN(SUM($GT$33:IR33),10)*$GO$43</f>
        <v>1</v>
      </c>
      <c r="IS34" s="150">
        <f>MIN(SUM($GT$33:IS33),10)*$GO$43</f>
        <v>2</v>
      </c>
      <c r="IT34" s="150">
        <f>MIN(SUM($GT$33:IT33),10)*$GO$43</f>
        <v>2</v>
      </c>
      <c r="IU34" s="150">
        <f>MIN(SUM($GT$33:IU33),10)*$GO$43</f>
        <v>2</v>
      </c>
      <c r="IV34" s="150">
        <f>MIN(SUM($GT$33:IV33),10)*$GO$43</f>
        <v>2</v>
      </c>
      <c r="IW34" s="150">
        <f>MIN(SUM($GT$33:IW33),10)*$GO$43</f>
        <v>2</v>
      </c>
      <c r="IX34" s="150">
        <f>MIN(SUM($GT$33:IX33),10)*$GO$43</f>
        <v>2</v>
      </c>
      <c r="IY34" s="150">
        <f>MIN(SUM($GT$33:IY33),10)*$GO$43</f>
        <v>2</v>
      </c>
      <c r="IZ34" s="150">
        <f>MIN(SUM($GT$33:IZ33),10)*$GO$43</f>
        <v>2</v>
      </c>
      <c r="JA34" s="150">
        <f>MIN(SUM($GT$33:JA33),10)*$GO$43</f>
        <v>2</v>
      </c>
      <c r="JB34" s="150">
        <f>MIN(SUM($GT$33:JB33),10)*$GO$43</f>
        <v>2</v>
      </c>
      <c r="JC34" s="150">
        <f>MIN(SUM($GT$33:JC33),10)*$GO$43</f>
        <v>2</v>
      </c>
      <c r="JD34" s="150">
        <f>MIN(SUM($GT$33:JD33),10)*$GO$43</f>
        <v>2</v>
      </c>
      <c r="JE34" s="150">
        <f>MIN(SUM($GT$33:JE33),10)*$GO$43</f>
        <v>2</v>
      </c>
      <c r="JF34" s="150">
        <f>MIN(SUM($GT$33:JF33),10)*$GO$43</f>
        <v>2</v>
      </c>
      <c r="JG34" s="150">
        <f>MIN(SUM($GT$33:JG33),10)*$GO$43</f>
        <v>2</v>
      </c>
      <c r="JH34" s="150">
        <f>MIN(SUM($GT$33:JH33),10)*$GO$43</f>
        <v>2</v>
      </c>
      <c r="JI34" s="150">
        <f>MIN(SUM($GT$33:JI33),10)*$GO$43</f>
        <v>2</v>
      </c>
      <c r="JJ34" s="150">
        <f>MIN(SUM($GT$33:JJ33),10)*$GO$43</f>
        <v>2</v>
      </c>
      <c r="JK34" s="150">
        <f>MIN(SUM($GT$33:JK33),10)*$GO$43</f>
        <v>2</v>
      </c>
      <c r="JL34" s="150">
        <f>MIN(SUM($GT$33:JL33),10)*$GO$43</f>
        <v>2</v>
      </c>
      <c r="JM34" s="150">
        <f>MIN(SUM($GT$33:JM33),10)*$GO$43</f>
        <v>2</v>
      </c>
      <c r="JN34" s="150">
        <f>MIN(SUM($GT$33:JN33),10)*$GO$43</f>
        <v>2</v>
      </c>
      <c r="JO34" s="150">
        <f>MIN(SUM($GT$33:JO33),10)*$GO$43</f>
        <v>2</v>
      </c>
      <c r="JP34" s="150">
        <f>MIN(SUM($GT$33:JP33),10)*$GO$43</f>
        <v>2</v>
      </c>
      <c r="JQ34" s="150">
        <f>MIN(SUM($GT$33:JQ33),10)*$GO$43</f>
        <v>2</v>
      </c>
      <c r="JR34" s="150">
        <f>MIN(SUM($GT$33:JR33),10)*$GO$43</f>
        <v>2</v>
      </c>
      <c r="JS34" s="150">
        <f>MIN(SUM($GT$33:JS33),10)*$GO$43</f>
        <v>2</v>
      </c>
      <c r="JT34" s="150">
        <f>MIN(SUM($GT$33:JT33),10)*$GO$43</f>
        <v>2</v>
      </c>
      <c r="JU34" s="150">
        <f>MIN(SUM($GT$33:JU33),10)*$GO$43</f>
        <v>2</v>
      </c>
      <c r="JV34" s="150">
        <f>MIN(SUM($GT$33:JV33),10)*$GO$43</f>
        <v>2</v>
      </c>
      <c r="JW34" s="150">
        <f>MIN(SUM($GT$33:JW33),10)*$GO$43</f>
        <v>2</v>
      </c>
      <c r="JX34" s="150">
        <f>MIN(SUM($GT$33:JX33),10)*$GO$43</f>
        <v>2</v>
      </c>
      <c r="JY34" s="150">
        <f>MIN(SUM($GT$33:JY33),10)*$GO$43</f>
        <v>2</v>
      </c>
      <c r="JZ34" s="150">
        <f>MIN(SUM($GT$33:JZ33),10)*$GO$43</f>
        <v>2</v>
      </c>
      <c r="KA34" s="150">
        <f>MIN(SUM($GT$33:KA33),10)*$GO$43</f>
        <v>2</v>
      </c>
      <c r="KB34" s="150">
        <f>MIN(SUM($GT$33:KB33),10)*$GO$43</f>
        <v>2</v>
      </c>
      <c r="KC34" s="150">
        <f>MIN(SUM($GT$33:KC33),10)*$GO$43</f>
        <v>2</v>
      </c>
      <c r="KD34" s="150">
        <f>MIN(SUM($GT$33:KD33),10)*$GO$43</f>
        <v>2</v>
      </c>
      <c r="KE34" s="150">
        <f>MIN(SUM($GT$33:KE33),10)*$GO$43</f>
        <v>2</v>
      </c>
      <c r="KF34" s="150">
        <f>MIN(SUM($GT$33:KF33),10)*$GO$43</f>
        <v>2</v>
      </c>
      <c r="KG34" s="150">
        <f>MIN(SUM($GT$33:KG33),10)*$GO$43</f>
        <v>2</v>
      </c>
      <c r="KH34" s="150">
        <f>MIN(SUM($GT$33:KH33),10)*$GO$43</f>
        <v>2</v>
      </c>
      <c r="KI34" s="150">
        <f>MIN(SUM($GT$33:KI33),10)*$GO$43</f>
        <v>2</v>
      </c>
      <c r="KJ34" s="150">
        <f>MIN(SUM($GT$33:KJ33),10)*$GO$43</f>
        <v>2</v>
      </c>
      <c r="KK34" s="150">
        <f>MIN(SUM($GT$33:KK33),10)*$GO$43</f>
        <v>2</v>
      </c>
      <c r="KL34" s="150">
        <f>MIN(SUM($GT$33:KL33),10)*$GO$43</f>
        <v>2</v>
      </c>
      <c r="KM34" s="150">
        <f>MIN(SUM($GT$33:KM33),10)*$GO$43</f>
        <v>2</v>
      </c>
      <c r="KN34" s="150">
        <f>MIN(SUM($GT$33:KN33),10)*$GO$43</f>
        <v>2</v>
      </c>
      <c r="KO34" s="150">
        <f>MIN(SUM($GT$33:KO33),10)*$GO$43</f>
        <v>2</v>
      </c>
      <c r="KP34" s="150">
        <f>MIN(SUM($GT$33:KP33),10)*$GO$43</f>
        <v>2</v>
      </c>
      <c r="KQ34" s="150">
        <f>MIN(SUM($GT$33:KQ33),10)*$GO$43</f>
        <v>2</v>
      </c>
      <c r="KR34" s="150">
        <f>MIN(SUM($GT$33:KR33),10)*$GO$43</f>
        <v>2</v>
      </c>
      <c r="KS34" s="150">
        <f>MIN(SUM($GT$33:KS33),10)*$GO$43</f>
        <v>2</v>
      </c>
      <c r="KT34" s="150">
        <f>MIN(SUM($GT$33:KT33),10)*$GO$43</f>
        <v>3</v>
      </c>
      <c r="KU34" s="150">
        <f>MIN(SUM($GT$33:KU33),10)*$GO$43</f>
        <v>3</v>
      </c>
      <c r="KV34" s="150">
        <f>MIN(SUM($GT$33:KV33),10)*$GO$43</f>
        <v>3</v>
      </c>
      <c r="KW34" s="150">
        <f>MIN(SUM($GT$33:KW33),10)*$GO$43</f>
        <v>3</v>
      </c>
      <c r="KX34" s="150">
        <f>MIN(SUM($GT$33:KX33),10)*$GO$43</f>
        <v>3</v>
      </c>
      <c r="KY34" s="150">
        <f>MIN(SUM($GT$33:KY33),10)*$GO$43</f>
        <v>3</v>
      </c>
      <c r="KZ34" s="150">
        <f>MIN(SUM($GT$33:KZ33),10)*$GO$43</f>
        <v>3</v>
      </c>
      <c r="LA34" s="150">
        <f>MIN(SUM($GT$33:LA33),10)*$GO$43</f>
        <v>3</v>
      </c>
      <c r="LB34" s="150">
        <f>MIN(SUM($GT$33:LB33),10)*$GO$43</f>
        <v>3</v>
      </c>
      <c r="LC34" s="150">
        <f>MIN(SUM($GT$33:LC33),10)*$GO$43</f>
        <v>3</v>
      </c>
      <c r="LD34" s="150">
        <f>MIN(SUM($GT$33:LD33),10)*$GO$43</f>
        <v>3</v>
      </c>
      <c r="LE34" s="150">
        <f>MIN(SUM($GT$33:LE33),10)*$GO$43</f>
        <v>3</v>
      </c>
      <c r="LF34" s="150">
        <f>MIN(SUM($GT$33:LF33),10)*$GO$43</f>
        <v>3</v>
      </c>
      <c r="LG34" s="150">
        <f>MIN(SUM($GT$33:LG33),10)*$GO$43</f>
        <v>3</v>
      </c>
      <c r="LH34" s="150">
        <f>MIN(SUM($GT$33:LH33),10)*$GO$43</f>
        <v>3</v>
      </c>
      <c r="LI34" s="150">
        <f>MIN(SUM($GT$33:LI33),10)*$GO$43</f>
        <v>3</v>
      </c>
      <c r="LJ34" s="150">
        <f>MIN(SUM($GT$33:LJ33),10)*$GO$43</f>
        <v>3</v>
      </c>
      <c r="LK34" s="150">
        <f>MIN(SUM($GT$33:LK33),10)*$GO$43</f>
        <v>3</v>
      </c>
      <c r="LL34" s="150">
        <f>MIN(SUM($GT$33:LL33),10)*$GO$43</f>
        <v>3</v>
      </c>
      <c r="LM34" s="150">
        <f>MIN(SUM($GT$33:LM33),10)*$GO$43</f>
        <v>3</v>
      </c>
      <c r="LN34" s="150">
        <f>MIN(SUM($GT$33:LN33),10)*$GO$43</f>
        <v>3</v>
      </c>
      <c r="LO34" s="150">
        <f>MIN(SUM($GT$33:LO33),10)*$GO$43</f>
        <v>3</v>
      </c>
      <c r="LP34" s="150">
        <f>MIN(SUM($GT$33:LP33),10)*$GO$43</f>
        <v>3</v>
      </c>
    </row>
    <row r="35" spans="1:328" ht="12.75" hidden="1" customHeight="1" x14ac:dyDescent="0.3">
      <c r="A35" s="285"/>
      <c r="B35" s="285"/>
      <c r="C35" s="299"/>
      <c r="D35" s="295"/>
      <c r="E35" s="276"/>
      <c r="F35" s="285"/>
      <c r="G35" s="285"/>
      <c r="H35" s="285"/>
      <c r="I35" s="285"/>
      <c r="J35" s="285"/>
      <c r="K35" s="294"/>
      <c r="L35" s="285"/>
      <c r="M35" s="287"/>
      <c r="N35" s="287"/>
      <c r="O35" s="287"/>
      <c r="P35" s="287"/>
      <c r="Q35" s="287"/>
      <c r="R35" s="287"/>
      <c r="S35" s="285"/>
      <c r="T35" s="285"/>
      <c r="U35" s="285"/>
      <c r="V35" s="285"/>
      <c r="W35" s="285"/>
      <c r="X35" s="285"/>
      <c r="Y35" s="285"/>
      <c r="Z35" s="285"/>
      <c r="AA35" s="285"/>
      <c r="AB35" s="285"/>
      <c r="AC35" s="285"/>
      <c r="AD35" s="285"/>
      <c r="AE35" s="285"/>
      <c r="AF35" s="285"/>
      <c r="AG35" s="285"/>
      <c r="AH35" s="2513"/>
      <c r="AI35" s="285"/>
      <c r="AJ35" s="285"/>
      <c r="AK35" s="285"/>
      <c r="AL35" s="285"/>
      <c r="AM35" s="285"/>
      <c r="AN35" s="285"/>
      <c r="AO35" s="285"/>
      <c r="AP35" s="285"/>
      <c r="AQ35" s="285"/>
      <c r="AR35" s="285"/>
      <c r="AS35" s="285"/>
      <c r="AT35" s="285"/>
      <c r="AU35" s="285"/>
      <c r="AV35" s="285"/>
      <c r="AW35" s="285"/>
      <c r="AX35" s="285"/>
      <c r="AY35" s="308"/>
      <c r="AZ35" s="308"/>
      <c r="BA35" s="308"/>
      <c r="BB35" s="308"/>
      <c r="BC35" s="308"/>
      <c r="BD35" s="308"/>
      <c r="BE35" s="308"/>
      <c r="BF35" s="308"/>
      <c r="BG35" s="308"/>
      <c r="BH35" s="285"/>
      <c r="BI35" s="308"/>
      <c r="BJ35" s="308"/>
      <c r="BK35" s="308"/>
      <c r="BL35" s="308"/>
      <c r="BM35" s="308"/>
      <c r="BN35" s="308"/>
      <c r="BO35" s="308"/>
      <c r="BP35" s="308"/>
      <c r="BQ35" s="308"/>
      <c r="BR35" s="308"/>
      <c r="BS35" s="308"/>
      <c r="BT35" s="308"/>
      <c r="BU35" s="308"/>
      <c r="BV35" s="308"/>
      <c r="BW35" s="308"/>
      <c r="BX35" s="308"/>
      <c r="BY35" s="308"/>
      <c r="BZ35" s="308"/>
      <c r="CA35" s="308"/>
      <c r="CB35" s="308"/>
      <c r="CC35" s="285"/>
      <c r="CD35" s="285"/>
      <c r="CE35" s="285"/>
      <c r="CF35" s="285"/>
      <c r="CG35" s="285"/>
      <c r="CH35" s="285"/>
      <c r="CI35" s="285"/>
      <c r="CJ35" s="285"/>
      <c r="CK35" s="285"/>
      <c r="CL35" s="285"/>
      <c r="CM35" s="285"/>
      <c r="CN35" s="285"/>
      <c r="CO35" s="285"/>
      <c r="CP35" s="285"/>
      <c r="CQ35" s="285"/>
      <c r="CR35" s="285"/>
      <c r="CS35" s="285"/>
      <c r="CT35" s="285"/>
      <c r="CU35" s="285"/>
      <c r="CV35" s="285"/>
      <c r="CW35" s="285"/>
      <c r="CX35" s="285"/>
      <c r="CY35" s="285"/>
      <c r="CZ35" s="285"/>
      <c r="DA35" s="285"/>
      <c r="DB35" s="285"/>
      <c r="DC35" s="285"/>
      <c r="DD35" s="285"/>
      <c r="DE35" s="285"/>
      <c r="DF35" s="285"/>
      <c r="DG35" s="309"/>
      <c r="DH35" s="442" t="s">
        <v>1999</v>
      </c>
      <c r="DI35" s="285"/>
      <c r="DJ35" s="76">
        <f t="shared" ref="DJ35:EO35" si="155">IF(DJ$169=0,0,SUMPRODUCT($AN$173:$AN$364,DJ$173:DJ$364,$CY$173:$CY$364,$AP$173:$AP$364))</f>
        <v>0</v>
      </c>
      <c r="DK35" s="76">
        <f t="shared" si="155"/>
        <v>0</v>
      </c>
      <c r="DL35" s="76">
        <f t="shared" si="155"/>
        <v>0</v>
      </c>
      <c r="DM35" s="76">
        <f t="shared" si="155"/>
        <v>0</v>
      </c>
      <c r="DN35" s="76">
        <f t="shared" si="155"/>
        <v>0</v>
      </c>
      <c r="DO35" s="76">
        <f t="shared" si="155"/>
        <v>0</v>
      </c>
      <c r="DP35" s="76">
        <f t="shared" si="155"/>
        <v>0</v>
      </c>
      <c r="DQ35" s="76">
        <f t="shared" si="155"/>
        <v>0</v>
      </c>
      <c r="DR35" s="76">
        <f t="shared" si="155"/>
        <v>0</v>
      </c>
      <c r="DS35" s="76">
        <f t="shared" si="155"/>
        <v>0</v>
      </c>
      <c r="DT35" s="76">
        <f t="shared" si="155"/>
        <v>0</v>
      </c>
      <c r="DU35" s="76">
        <f t="shared" si="155"/>
        <v>0</v>
      </c>
      <c r="DV35" s="76">
        <f t="shared" si="155"/>
        <v>0</v>
      </c>
      <c r="DW35" s="76">
        <f t="shared" si="155"/>
        <v>0</v>
      </c>
      <c r="DX35" s="76">
        <f t="shared" si="155"/>
        <v>0</v>
      </c>
      <c r="DY35" s="76">
        <f t="shared" si="155"/>
        <v>0</v>
      </c>
      <c r="DZ35" s="76">
        <f t="shared" si="155"/>
        <v>0</v>
      </c>
      <c r="EA35" s="76">
        <f t="shared" si="155"/>
        <v>0</v>
      </c>
      <c r="EB35" s="76">
        <f t="shared" si="155"/>
        <v>0</v>
      </c>
      <c r="EC35" s="76">
        <f t="shared" si="155"/>
        <v>0</v>
      </c>
      <c r="ED35" s="76">
        <f t="shared" si="155"/>
        <v>0</v>
      </c>
      <c r="EE35" s="76">
        <f t="shared" si="155"/>
        <v>0</v>
      </c>
      <c r="EF35" s="76">
        <f t="shared" si="155"/>
        <v>0</v>
      </c>
      <c r="EG35" s="76">
        <f t="shared" si="155"/>
        <v>0</v>
      </c>
      <c r="EH35" s="76">
        <f t="shared" si="155"/>
        <v>0</v>
      </c>
      <c r="EI35" s="76">
        <f t="shared" si="155"/>
        <v>0</v>
      </c>
      <c r="EJ35" s="76">
        <f t="shared" si="155"/>
        <v>0</v>
      </c>
      <c r="EK35" s="76">
        <f t="shared" si="155"/>
        <v>0</v>
      </c>
      <c r="EL35" s="76">
        <f t="shared" si="155"/>
        <v>0</v>
      </c>
      <c r="EM35" s="76">
        <f t="shared" si="155"/>
        <v>0</v>
      </c>
      <c r="EN35" s="76">
        <f t="shared" si="155"/>
        <v>0</v>
      </c>
      <c r="EO35" s="76">
        <f t="shared" si="155"/>
        <v>0</v>
      </c>
      <c r="EP35" s="76">
        <f t="shared" ref="EP35:FG35" si="156">IF(EP$169=0,0,SUMPRODUCT($AN$173:$AN$364,EP$173:EP$364,$CY$173:$CY$364,$AP$173:$AP$364))</f>
        <v>0</v>
      </c>
      <c r="EQ35" s="76">
        <f t="shared" si="156"/>
        <v>0</v>
      </c>
      <c r="ER35" s="76">
        <f t="shared" si="156"/>
        <v>0</v>
      </c>
      <c r="ES35" s="76">
        <f t="shared" si="156"/>
        <v>0</v>
      </c>
      <c r="ET35" s="76">
        <f t="shared" si="156"/>
        <v>0</v>
      </c>
      <c r="EU35" s="76">
        <f t="shared" si="156"/>
        <v>0</v>
      </c>
      <c r="EV35" s="76">
        <f t="shared" si="156"/>
        <v>0</v>
      </c>
      <c r="EW35" s="76">
        <f t="shared" si="156"/>
        <v>0</v>
      </c>
      <c r="EX35" s="76">
        <f t="shared" si="156"/>
        <v>0</v>
      </c>
      <c r="EY35" s="76">
        <f t="shared" si="156"/>
        <v>0</v>
      </c>
      <c r="EZ35" s="76">
        <f t="shared" si="156"/>
        <v>0</v>
      </c>
      <c r="FA35" s="76">
        <f t="shared" si="156"/>
        <v>0</v>
      </c>
      <c r="FB35" s="76">
        <f t="shared" si="156"/>
        <v>0</v>
      </c>
      <c r="FC35" s="76">
        <f t="shared" si="156"/>
        <v>0</v>
      </c>
      <c r="FD35" s="76">
        <f t="shared" si="156"/>
        <v>0</v>
      </c>
      <c r="FE35" s="76">
        <f t="shared" si="156"/>
        <v>0</v>
      </c>
      <c r="FF35" s="76">
        <f t="shared" si="156"/>
        <v>0</v>
      </c>
      <c r="FG35" s="76">
        <f t="shared" si="156"/>
        <v>0</v>
      </c>
      <c r="FH35" s="922"/>
      <c r="FI35" s="305"/>
      <c r="FJ35" s="307"/>
      <c r="FK35" s="307"/>
      <c r="FL35" s="285"/>
      <c r="FM35" s="285"/>
      <c r="FN35" s="304"/>
      <c r="FO35" s="285"/>
      <c r="FP35" s="285"/>
      <c r="FQ35" s="285"/>
      <c r="FR35" s="285"/>
      <c r="FS35" s="285"/>
      <c r="FT35" s="285"/>
      <c r="FU35" s="285"/>
      <c r="FV35" s="285"/>
      <c r="FW35" s="285"/>
      <c r="FX35" s="285"/>
      <c r="FY35" s="285"/>
      <c r="FZ35" s="285"/>
      <c r="GA35" s="285"/>
      <c r="GB35" s="285"/>
      <c r="GC35" s="285"/>
      <c r="GD35" s="285"/>
      <c r="GE35" s="285"/>
      <c r="GF35" s="285"/>
      <c r="GG35" s="285"/>
      <c r="GH35" s="285"/>
      <c r="GI35" s="285"/>
      <c r="GJ35" s="309"/>
      <c r="GK35" s="309"/>
      <c r="GL35" s="309"/>
      <c r="GM35" s="309"/>
      <c r="GN35" s="1551" t="s">
        <v>1995</v>
      </c>
      <c r="GO35" s="776">
        <f>WEEKNUM('2 Staff List'!$LD$56+3)</f>
        <v>14</v>
      </c>
      <c r="GP35" s="285"/>
      <c r="GQ35" s="285"/>
      <c r="GR35" s="412"/>
      <c r="GS35" s="308" t="s">
        <v>2049</v>
      </c>
      <c r="GT35" s="598">
        <v>1</v>
      </c>
      <c r="GU35" s="599">
        <f>IF(GU34=1,0,CHOOSE($FM$5,IF(WEEKNUM(GU170,16)=$GO$35,1,0),IF(MONTH(GU170)=$GO$36,1,0)))</f>
        <v>0</v>
      </c>
      <c r="GV35" s="599">
        <f t="shared" ref="GV35:JG35" si="157">IF(GV34=1,0,CHOOSE($FM$5,IF(WEEKNUM(GV170,16)=$GO$35,1,0),IF(MONTH(GV170)=$GO$36,1,0)))</f>
        <v>0</v>
      </c>
      <c r="GW35" s="599">
        <f t="shared" si="157"/>
        <v>0</v>
      </c>
      <c r="GX35" s="599">
        <f t="shared" si="157"/>
        <v>0</v>
      </c>
      <c r="GY35" s="599">
        <f t="shared" si="157"/>
        <v>0</v>
      </c>
      <c r="GZ35" s="599">
        <f t="shared" si="157"/>
        <v>0</v>
      </c>
      <c r="HA35" s="599">
        <f t="shared" si="157"/>
        <v>0</v>
      </c>
      <c r="HB35" s="599">
        <f t="shared" si="157"/>
        <v>0</v>
      </c>
      <c r="HC35" s="599">
        <f t="shared" si="157"/>
        <v>0</v>
      </c>
      <c r="HD35" s="599">
        <f t="shared" si="157"/>
        <v>0</v>
      </c>
      <c r="HE35" s="599">
        <f t="shared" si="157"/>
        <v>0</v>
      </c>
      <c r="HF35" s="599">
        <f t="shared" si="157"/>
        <v>0</v>
      </c>
      <c r="HG35" s="599">
        <f t="shared" si="157"/>
        <v>0</v>
      </c>
      <c r="HH35" s="599">
        <f t="shared" si="157"/>
        <v>0</v>
      </c>
      <c r="HI35" s="599">
        <f t="shared" si="157"/>
        <v>0</v>
      </c>
      <c r="HJ35" s="599">
        <f t="shared" si="157"/>
        <v>0</v>
      </c>
      <c r="HK35" s="599">
        <f t="shared" si="157"/>
        <v>0</v>
      </c>
      <c r="HL35" s="599">
        <f t="shared" si="157"/>
        <v>0</v>
      </c>
      <c r="HM35" s="599">
        <f t="shared" si="157"/>
        <v>0</v>
      </c>
      <c r="HN35" s="599">
        <f t="shared" si="157"/>
        <v>0</v>
      </c>
      <c r="HO35" s="599">
        <f t="shared" si="157"/>
        <v>0</v>
      </c>
      <c r="HP35" s="599">
        <f t="shared" si="157"/>
        <v>0</v>
      </c>
      <c r="HQ35" s="599">
        <f t="shared" si="157"/>
        <v>0</v>
      </c>
      <c r="HR35" s="599">
        <f t="shared" si="157"/>
        <v>0</v>
      </c>
      <c r="HS35" s="599">
        <f t="shared" si="157"/>
        <v>0</v>
      </c>
      <c r="HT35" s="599">
        <f t="shared" si="157"/>
        <v>0</v>
      </c>
      <c r="HU35" s="599">
        <f t="shared" si="157"/>
        <v>0</v>
      </c>
      <c r="HV35" s="599">
        <f t="shared" si="157"/>
        <v>0</v>
      </c>
      <c r="HW35" s="599">
        <f t="shared" si="157"/>
        <v>0</v>
      </c>
      <c r="HX35" s="599">
        <f t="shared" si="157"/>
        <v>0</v>
      </c>
      <c r="HY35" s="599">
        <f t="shared" si="157"/>
        <v>0</v>
      </c>
      <c r="HZ35" s="599">
        <f t="shared" si="157"/>
        <v>0</v>
      </c>
      <c r="IA35" s="599">
        <f t="shared" si="157"/>
        <v>0</v>
      </c>
      <c r="IB35" s="599">
        <f t="shared" si="157"/>
        <v>0</v>
      </c>
      <c r="IC35" s="599">
        <f t="shared" si="157"/>
        <v>0</v>
      </c>
      <c r="ID35" s="599">
        <f t="shared" si="157"/>
        <v>0</v>
      </c>
      <c r="IE35" s="599">
        <f t="shared" si="157"/>
        <v>0</v>
      </c>
      <c r="IF35" s="599">
        <f t="shared" si="157"/>
        <v>0</v>
      </c>
      <c r="IG35" s="599">
        <f t="shared" si="157"/>
        <v>0</v>
      </c>
      <c r="IH35" s="599">
        <f t="shared" si="157"/>
        <v>0</v>
      </c>
      <c r="II35" s="599">
        <f t="shared" si="157"/>
        <v>0</v>
      </c>
      <c r="IJ35" s="599">
        <f t="shared" si="157"/>
        <v>0</v>
      </c>
      <c r="IK35" s="599">
        <f t="shared" si="157"/>
        <v>0</v>
      </c>
      <c r="IL35" s="599">
        <f t="shared" si="157"/>
        <v>0</v>
      </c>
      <c r="IM35" s="599">
        <f t="shared" si="157"/>
        <v>0</v>
      </c>
      <c r="IN35" s="599">
        <f t="shared" si="157"/>
        <v>0</v>
      </c>
      <c r="IO35" s="599">
        <f t="shared" si="157"/>
        <v>0</v>
      </c>
      <c r="IP35" s="599">
        <f t="shared" si="157"/>
        <v>0</v>
      </c>
      <c r="IQ35" s="599">
        <f t="shared" si="157"/>
        <v>0</v>
      </c>
      <c r="IR35" s="599">
        <f t="shared" si="157"/>
        <v>0</v>
      </c>
      <c r="IS35" s="599">
        <f t="shared" si="157"/>
        <v>0</v>
      </c>
      <c r="IT35" s="599">
        <f t="shared" si="157"/>
        <v>0</v>
      </c>
      <c r="IU35" s="599">
        <f t="shared" si="157"/>
        <v>0</v>
      </c>
      <c r="IV35" s="599">
        <f t="shared" si="157"/>
        <v>0</v>
      </c>
      <c r="IW35" s="599">
        <f t="shared" si="157"/>
        <v>0</v>
      </c>
      <c r="IX35" s="599">
        <f t="shared" si="157"/>
        <v>0</v>
      </c>
      <c r="IY35" s="599">
        <f t="shared" si="157"/>
        <v>0</v>
      </c>
      <c r="IZ35" s="599">
        <f t="shared" si="157"/>
        <v>0</v>
      </c>
      <c r="JA35" s="599">
        <f t="shared" si="157"/>
        <v>0</v>
      </c>
      <c r="JB35" s="599">
        <f t="shared" si="157"/>
        <v>0</v>
      </c>
      <c r="JC35" s="599">
        <f t="shared" si="157"/>
        <v>0</v>
      </c>
      <c r="JD35" s="599">
        <f t="shared" si="157"/>
        <v>0</v>
      </c>
      <c r="JE35" s="599">
        <f t="shared" si="157"/>
        <v>0</v>
      </c>
      <c r="JF35" s="599">
        <f t="shared" si="157"/>
        <v>1</v>
      </c>
      <c r="JG35" s="599">
        <f t="shared" si="157"/>
        <v>0</v>
      </c>
      <c r="JH35" s="599">
        <f t="shared" ref="JH35:LP35" si="158">IF(JH34=1,0,CHOOSE($FM$5,IF(WEEKNUM(JH170,16)=$GO$35,1,0),IF(MONTH(JH170)=$GO$36,1,0)))</f>
        <v>0</v>
      </c>
      <c r="JI35" s="599">
        <f t="shared" si="158"/>
        <v>0</v>
      </c>
      <c r="JJ35" s="599">
        <f t="shared" si="158"/>
        <v>0</v>
      </c>
      <c r="JK35" s="599">
        <f t="shared" si="158"/>
        <v>0</v>
      </c>
      <c r="JL35" s="599">
        <f t="shared" si="158"/>
        <v>0</v>
      </c>
      <c r="JM35" s="599">
        <f t="shared" si="158"/>
        <v>0</v>
      </c>
      <c r="JN35" s="599">
        <f t="shared" si="158"/>
        <v>0</v>
      </c>
      <c r="JO35" s="599">
        <f t="shared" si="158"/>
        <v>0</v>
      </c>
      <c r="JP35" s="599">
        <f t="shared" si="158"/>
        <v>0</v>
      </c>
      <c r="JQ35" s="599">
        <f t="shared" si="158"/>
        <v>0</v>
      </c>
      <c r="JR35" s="599">
        <f t="shared" si="158"/>
        <v>0</v>
      </c>
      <c r="JS35" s="599">
        <f t="shared" si="158"/>
        <v>0</v>
      </c>
      <c r="JT35" s="599">
        <f t="shared" si="158"/>
        <v>0</v>
      </c>
      <c r="JU35" s="599">
        <f t="shared" si="158"/>
        <v>0</v>
      </c>
      <c r="JV35" s="599">
        <f t="shared" si="158"/>
        <v>0</v>
      </c>
      <c r="JW35" s="599">
        <f t="shared" si="158"/>
        <v>0</v>
      </c>
      <c r="JX35" s="599">
        <f t="shared" si="158"/>
        <v>0</v>
      </c>
      <c r="JY35" s="599">
        <f t="shared" si="158"/>
        <v>0</v>
      </c>
      <c r="JZ35" s="599">
        <f t="shared" si="158"/>
        <v>0</v>
      </c>
      <c r="KA35" s="599">
        <f t="shared" si="158"/>
        <v>0</v>
      </c>
      <c r="KB35" s="599">
        <f t="shared" si="158"/>
        <v>0</v>
      </c>
      <c r="KC35" s="599">
        <f t="shared" si="158"/>
        <v>0</v>
      </c>
      <c r="KD35" s="599">
        <f t="shared" si="158"/>
        <v>0</v>
      </c>
      <c r="KE35" s="599">
        <f t="shared" si="158"/>
        <v>0</v>
      </c>
      <c r="KF35" s="599">
        <f t="shared" si="158"/>
        <v>0</v>
      </c>
      <c r="KG35" s="599">
        <f t="shared" si="158"/>
        <v>0</v>
      </c>
      <c r="KH35" s="599">
        <f t="shared" si="158"/>
        <v>0</v>
      </c>
      <c r="KI35" s="599">
        <f t="shared" si="158"/>
        <v>0</v>
      </c>
      <c r="KJ35" s="599">
        <f t="shared" si="158"/>
        <v>0</v>
      </c>
      <c r="KK35" s="599">
        <f t="shared" si="158"/>
        <v>0</v>
      </c>
      <c r="KL35" s="599">
        <f t="shared" si="158"/>
        <v>0</v>
      </c>
      <c r="KM35" s="599">
        <f t="shared" si="158"/>
        <v>0</v>
      </c>
      <c r="KN35" s="599">
        <f t="shared" si="158"/>
        <v>0</v>
      </c>
      <c r="KO35" s="599">
        <f t="shared" si="158"/>
        <v>0</v>
      </c>
      <c r="KP35" s="599">
        <f t="shared" si="158"/>
        <v>0</v>
      </c>
      <c r="KQ35" s="599">
        <f t="shared" si="158"/>
        <v>0</v>
      </c>
      <c r="KR35" s="599">
        <f t="shared" si="158"/>
        <v>0</v>
      </c>
      <c r="KS35" s="599">
        <f t="shared" si="158"/>
        <v>0</v>
      </c>
      <c r="KT35" s="599">
        <f t="shared" si="158"/>
        <v>0</v>
      </c>
      <c r="KU35" s="599">
        <f t="shared" si="158"/>
        <v>0</v>
      </c>
      <c r="KV35" s="599">
        <f t="shared" si="158"/>
        <v>0</v>
      </c>
      <c r="KW35" s="599">
        <f t="shared" si="158"/>
        <v>0</v>
      </c>
      <c r="KX35" s="599">
        <f t="shared" si="158"/>
        <v>0</v>
      </c>
      <c r="KY35" s="599">
        <f t="shared" si="158"/>
        <v>0</v>
      </c>
      <c r="KZ35" s="599">
        <f t="shared" si="158"/>
        <v>0</v>
      </c>
      <c r="LA35" s="599">
        <f t="shared" si="158"/>
        <v>0</v>
      </c>
      <c r="LB35" s="599">
        <f t="shared" si="158"/>
        <v>0</v>
      </c>
      <c r="LC35" s="599">
        <f t="shared" si="158"/>
        <v>0</v>
      </c>
      <c r="LD35" s="599">
        <f t="shared" si="158"/>
        <v>0</v>
      </c>
      <c r="LE35" s="599">
        <f t="shared" si="158"/>
        <v>0</v>
      </c>
      <c r="LF35" s="599">
        <f t="shared" si="158"/>
        <v>0</v>
      </c>
      <c r="LG35" s="599">
        <f t="shared" si="158"/>
        <v>1</v>
      </c>
      <c r="LH35" s="599">
        <f t="shared" si="158"/>
        <v>0</v>
      </c>
      <c r="LI35" s="599">
        <f t="shared" si="158"/>
        <v>0</v>
      </c>
      <c r="LJ35" s="599">
        <f t="shared" si="158"/>
        <v>0</v>
      </c>
      <c r="LK35" s="599">
        <f t="shared" si="158"/>
        <v>0</v>
      </c>
      <c r="LL35" s="599">
        <f t="shared" si="158"/>
        <v>0</v>
      </c>
      <c r="LM35" s="599">
        <f t="shared" si="158"/>
        <v>0</v>
      </c>
      <c r="LN35" s="599">
        <f t="shared" si="158"/>
        <v>0</v>
      </c>
      <c r="LO35" s="599">
        <f t="shared" si="158"/>
        <v>0</v>
      </c>
      <c r="LP35" s="599">
        <f t="shared" si="158"/>
        <v>0</v>
      </c>
    </row>
    <row r="36" spans="1:328" ht="12.75" hidden="1" customHeight="1" x14ac:dyDescent="0.3">
      <c r="A36" s="285"/>
      <c r="B36" s="285"/>
      <c r="C36" s="299">
        <v>-0.05</v>
      </c>
      <c r="D36" s="295"/>
      <c r="E36" s="276"/>
      <c r="F36" s="285"/>
      <c r="G36" s="285"/>
      <c r="H36" s="285"/>
      <c r="I36" s="285"/>
      <c r="J36" s="285"/>
      <c r="K36" s="285"/>
      <c r="L36" s="285"/>
      <c r="M36" s="287"/>
      <c r="N36" s="287"/>
      <c r="O36" s="287"/>
      <c r="P36" s="287"/>
      <c r="Q36" s="287"/>
      <c r="R36" s="287"/>
      <c r="S36" s="285"/>
      <c r="T36" s="285"/>
      <c r="U36" s="285"/>
      <c r="V36" s="285"/>
      <c r="W36" s="285"/>
      <c r="X36" s="285"/>
      <c r="Y36" s="285"/>
      <c r="Z36" s="285"/>
      <c r="AA36" s="285"/>
      <c r="AB36" s="285"/>
      <c r="AC36" s="285"/>
      <c r="AD36" s="285"/>
      <c r="AE36" s="285"/>
      <c r="AF36" s="285"/>
      <c r="AG36" s="285"/>
      <c r="AH36" s="2513"/>
      <c r="AI36" s="285"/>
      <c r="AJ36" s="285"/>
      <c r="AK36" s="285"/>
      <c r="AL36" s="285"/>
      <c r="AM36" s="285"/>
      <c r="AN36" s="285"/>
      <c r="AO36" s="285"/>
      <c r="AP36" s="285"/>
      <c r="AQ36" s="285"/>
      <c r="AR36" s="285"/>
      <c r="AS36" s="285"/>
      <c r="AT36" s="285"/>
      <c r="AU36" s="285"/>
      <c r="AV36" s="285"/>
      <c r="AW36" s="285"/>
      <c r="AX36" s="285"/>
      <c r="AY36" s="308"/>
      <c r="AZ36" s="308"/>
      <c r="BA36" s="308"/>
      <c r="BB36" s="308"/>
      <c r="BC36" s="308"/>
      <c r="BD36" s="308"/>
      <c r="BE36" s="308"/>
      <c r="BF36" s="308"/>
      <c r="BG36" s="308"/>
      <c r="BH36" s="285"/>
      <c r="BI36" s="308"/>
      <c r="BJ36" s="308"/>
      <c r="BK36" s="308"/>
      <c r="BL36" s="308"/>
      <c r="BM36" s="308"/>
      <c r="BN36" s="308"/>
      <c r="BO36" s="308"/>
      <c r="BP36" s="308"/>
      <c r="BQ36" s="308"/>
      <c r="BR36" s="308"/>
      <c r="BS36" s="308"/>
      <c r="BT36" s="308"/>
      <c r="BU36" s="308"/>
      <c r="BV36" s="308"/>
      <c r="BW36" s="308"/>
      <c r="BX36" s="308"/>
      <c r="BY36" s="308"/>
      <c r="BZ36" s="308"/>
      <c r="CA36" s="308"/>
      <c r="CB36" s="308"/>
      <c r="CC36" s="285"/>
      <c r="CD36" s="285"/>
      <c r="CE36" s="285"/>
      <c r="CF36" s="285"/>
      <c r="CG36" s="285"/>
      <c r="CH36" s="285"/>
      <c r="CI36" s="285"/>
      <c r="CJ36" s="285"/>
      <c r="CK36" s="285"/>
      <c r="CL36" s="285"/>
      <c r="CM36" s="285"/>
      <c r="CN36" s="285"/>
      <c r="CO36" s="285"/>
      <c r="CP36" s="285"/>
      <c r="CQ36" s="285"/>
      <c r="CR36" s="285"/>
      <c r="CS36" s="285"/>
      <c r="CT36" s="285"/>
      <c r="CU36" s="285"/>
      <c r="CV36" s="285"/>
      <c r="CW36" s="285"/>
      <c r="CX36" s="285"/>
      <c r="CY36" s="285"/>
      <c r="CZ36" s="285"/>
      <c r="DA36" s="285"/>
      <c r="DB36" s="285"/>
      <c r="DC36" s="285"/>
      <c r="DD36" s="285"/>
      <c r="DE36" s="285"/>
      <c r="DF36" s="285"/>
      <c r="DG36" s="309"/>
      <c r="DH36" s="442" t="s">
        <v>2000</v>
      </c>
      <c r="DI36" s="285"/>
      <c r="DJ36" s="76">
        <f t="shared" ref="DJ36:EO36" si="159">IF(DJ$169=0,0,SUMPRODUCT($AN$173:$AN$364,DJ$173:DJ$364,$CY$173:$CY$364,$AQ$173:$AQ$364))</f>
        <v>0</v>
      </c>
      <c r="DK36" s="76">
        <f t="shared" si="159"/>
        <v>0</v>
      </c>
      <c r="DL36" s="76">
        <f t="shared" si="159"/>
        <v>0</v>
      </c>
      <c r="DM36" s="76">
        <f t="shared" si="159"/>
        <v>0</v>
      </c>
      <c r="DN36" s="76">
        <f t="shared" si="159"/>
        <v>0</v>
      </c>
      <c r="DO36" s="76">
        <f t="shared" si="159"/>
        <v>0</v>
      </c>
      <c r="DP36" s="76">
        <f t="shared" si="159"/>
        <v>0</v>
      </c>
      <c r="DQ36" s="76">
        <f t="shared" si="159"/>
        <v>0</v>
      </c>
      <c r="DR36" s="76">
        <f t="shared" si="159"/>
        <v>0</v>
      </c>
      <c r="DS36" s="76">
        <f t="shared" si="159"/>
        <v>0</v>
      </c>
      <c r="DT36" s="76">
        <f t="shared" si="159"/>
        <v>0</v>
      </c>
      <c r="DU36" s="76">
        <f t="shared" si="159"/>
        <v>0</v>
      </c>
      <c r="DV36" s="76">
        <f t="shared" si="159"/>
        <v>0</v>
      </c>
      <c r="DW36" s="76">
        <f t="shared" si="159"/>
        <v>0</v>
      </c>
      <c r="DX36" s="76">
        <f t="shared" si="159"/>
        <v>0</v>
      </c>
      <c r="DY36" s="76">
        <f t="shared" si="159"/>
        <v>0</v>
      </c>
      <c r="DZ36" s="76">
        <f t="shared" si="159"/>
        <v>0</v>
      </c>
      <c r="EA36" s="76">
        <f t="shared" si="159"/>
        <v>0</v>
      </c>
      <c r="EB36" s="76">
        <f t="shared" si="159"/>
        <v>0</v>
      </c>
      <c r="EC36" s="76">
        <f t="shared" si="159"/>
        <v>0</v>
      </c>
      <c r="ED36" s="76">
        <f t="shared" si="159"/>
        <v>0</v>
      </c>
      <c r="EE36" s="76">
        <f t="shared" si="159"/>
        <v>0</v>
      </c>
      <c r="EF36" s="76">
        <f t="shared" si="159"/>
        <v>0</v>
      </c>
      <c r="EG36" s="76">
        <f t="shared" si="159"/>
        <v>0</v>
      </c>
      <c r="EH36" s="76">
        <f t="shared" si="159"/>
        <v>0</v>
      </c>
      <c r="EI36" s="76">
        <f t="shared" si="159"/>
        <v>0</v>
      </c>
      <c r="EJ36" s="76">
        <f t="shared" si="159"/>
        <v>0</v>
      </c>
      <c r="EK36" s="76">
        <f t="shared" si="159"/>
        <v>0</v>
      </c>
      <c r="EL36" s="76">
        <f t="shared" si="159"/>
        <v>0</v>
      </c>
      <c r="EM36" s="76">
        <f t="shared" si="159"/>
        <v>0</v>
      </c>
      <c r="EN36" s="76">
        <f t="shared" si="159"/>
        <v>0</v>
      </c>
      <c r="EO36" s="76">
        <f t="shared" si="159"/>
        <v>0</v>
      </c>
      <c r="EP36" s="76">
        <f t="shared" ref="EP36:FG36" si="160">IF(EP$169=0,0,SUMPRODUCT($AN$173:$AN$364,EP$173:EP$364,$CY$173:$CY$364,$AQ$173:$AQ$364))</f>
        <v>0</v>
      </c>
      <c r="EQ36" s="76">
        <f t="shared" si="160"/>
        <v>0</v>
      </c>
      <c r="ER36" s="76">
        <f t="shared" si="160"/>
        <v>0</v>
      </c>
      <c r="ES36" s="76">
        <f t="shared" si="160"/>
        <v>0</v>
      </c>
      <c r="ET36" s="76">
        <f t="shared" si="160"/>
        <v>0</v>
      </c>
      <c r="EU36" s="76">
        <f t="shared" si="160"/>
        <v>0</v>
      </c>
      <c r="EV36" s="76">
        <f t="shared" si="160"/>
        <v>0</v>
      </c>
      <c r="EW36" s="76">
        <f t="shared" si="160"/>
        <v>0</v>
      </c>
      <c r="EX36" s="76">
        <f t="shared" si="160"/>
        <v>0</v>
      </c>
      <c r="EY36" s="76">
        <f t="shared" si="160"/>
        <v>0</v>
      </c>
      <c r="EZ36" s="76">
        <f t="shared" si="160"/>
        <v>0</v>
      </c>
      <c r="FA36" s="76">
        <f t="shared" si="160"/>
        <v>0</v>
      </c>
      <c r="FB36" s="76">
        <f t="shared" si="160"/>
        <v>0</v>
      </c>
      <c r="FC36" s="76">
        <f t="shared" si="160"/>
        <v>0</v>
      </c>
      <c r="FD36" s="76">
        <f t="shared" si="160"/>
        <v>0</v>
      </c>
      <c r="FE36" s="76">
        <f t="shared" si="160"/>
        <v>0</v>
      </c>
      <c r="FF36" s="76">
        <f t="shared" si="160"/>
        <v>0</v>
      </c>
      <c r="FG36" s="76">
        <f t="shared" si="160"/>
        <v>0</v>
      </c>
      <c r="FH36" s="922"/>
      <c r="FI36" s="305"/>
      <c r="FJ36" s="307"/>
      <c r="FK36" s="307"/>
      <c r="FL36" s="285"/>
      <c r="FM36" s="285"/>
      <c r="FN36" s="304"/>
      <c r="FO36" s="285"/>
      <c r="FP36" s="285"/>
      <c r="FQ36" s="285"/>
      <c r="FR36" s="285"/>
      <c r="FS36" s="285"/>
      <c r="FT36" s="285"/>
      <c r="FU36" s="285"/>
      <c r="FV36" s="285"/>
      <c r="FW36" s="285"/>
      <c r="FX36" s="285"/>
      <c r="FY36" s="285"/>
      <c r="FZ36" s="285"/>
      <c r="GA36" s="285"/>
      <c r="GB36" s="285"/>
      <c r="GC36" s="285"/>
      <c r="GD36" s="285"/>
      <c r="GE36" s="285"/>
      <c r="GF36" s="285"/>
      <c r="GG36" s="285"/>
      <c r="GH36" s="285"/>
      <c r="GI36" s="285"/>
      <c r="GJ36" s="309"/>
      <c r="GK36" s="309"/>
      <c r="GL36" s="309"/>
      <c r="GM36" s="309"/>
      <c r="GN36" s="1551" t="s">
        <v>1996</v>
      </c>
      <c r="GO36" s="776">
        <f>MONTH('2 Staff List'!$LD$56+3)</f>
        <v>4</v>
      </c>
      <c r="GP36" s="285"/>
      <c r="GQ36" s="285"/>
      <c r="GR36" s="412"/>
      <c r="GS36" s="308" t="s">
        <v>2050</v>
      </c>
      <c r="GT36" s="987">
        <f>1*GO43</f>
        <v>1</v>
      </c>
      <c r="GU36" s="150">
        <f>MIN(SUM($GT$35:GU35),10)*$GO$43</f>
        <v>1</v>
      </c>
      <c r="GV36" s="150">
        <f>MIN(SUM($GT$35:GV35),10)*$GO$43</f>
        <v>1</v>
      </c>
      <c r="GW36" s="150">
        <f>MIN(SUM($GT$35:GW35),10)*$GO$43</f>
        <v>1</v>
      </c>
      <c r="GX36" s="150">
        <f>MIN(SUM($GT$35:GX35),10)*$GO$43</f>
        <v>1</v>
      </c>
      <c r="GY36" s="150">
        <f>MIN(SUM($GT$35:GY35),10)*$GO$43</f>
        <v>1</v>
      </c>
      <c r="GZ36" s="150">
        <f>MIN(SUM($GT$35:GZ35),10)*$GO$43</f>
        <v>1</v>
      </c>
      <c r="HA36" s="150">
        <f>MIN(SUM($GT$35:HA35),10)*$GO$43</f>
        <v>1</v>
      </c>
      <c r="HB36" s="150">
        <f>MIN(SUM($GT$35:HB35),10)*$GO$43</f>
        <v>1</v>
      </c>
      <c r="HC36" s="150">
        <f>MIN(SUM($GT$35:HC35),10)*$GO$43</f>
        <v>1</v>
      </c>
      <c r="HD36" s="150">
        <f>MIN(SUM($GT$35:HD35),10)*$GO$43</f>
        <v>1</v>
      </c>
      <c r="HE36" s="150">
        <f>MIN(SUM($GT$35:HE35),10)*$GO$43</f>
        <v>1</v>
      </c>
      <c r="HF36" s="150">
        <f>MIN(SUM($GT$35:HF35),10)*$GO$43</f>
        <v>1</v>
      </c>
      <c r="HG36" s="150">
        <f>MIN(SUM($GT$35:HG35),10)*$GO$43</f>
        <v>1</v>
      </c>
      <c r="HH36" s="150">
        <f>MIN(SUM($GT$35:HH35),10)*$GO$43</f>
        <v>1</v>
      </c>
      <c r="HI36" s="150">
        <f>MIN(SUM($GT$35:HI35),10)*$GO$43</f>
        <v>1</v>
      </c>
      <c r="HJ36" s="150">
        <f>MIN(SUM($GT$35:HJ35),10)*$GO$43</f>
        <v>1</v>
      </c>
      <c r="HK36" s="150">
        <f>MIN(SUM($GT$35:HK35),10)*$GO$43</f>
        <v>1</v>
      </c>
      <c r="HL36" s="150">
        <f>MIN(SUM($GT$35:HL35),10)*$GO$43</f>
        <v>1</v>
      </c>
      <c r="HM36" s="150">
        <f>MIN(SUM($GT$35:HM35),10)*$GO$43</f>
        <v>1</v>
      </c>
      <c r="HN36" s="150">
        <f>MIN(SUM($GT$35:HN35),10)*$GO$43</f>
        <v>1</v>
      </c>
      <c r="HO36" s="150">
        <f>MIN(SUM($GT$35:HO35),10)*$GO$43</f>
        <v>1</v>
      </c>
      <c r="HP36" s="150">
        <f>MIN(SUM($GT$35:HP35),10)*$GO$43</f>
        <v>1</v>
      </c>
      <c r="HQ36" s="150">
        <f>MIN(SUM($GT$35:HQ35),10)*$GO$43</f>
        <v>1</v>
      </c>
      <c r="HR36" s="150">
        <f>MIN(SUM($GT$35:HR35),10)*$GO$43</f>
        <v>1</v>
      </c>
      <c r="HS36" s="150">
        <f>MIN(SUM($GT$35:HS35),10)*$GO$43</f>
        <v>1</v>
      </c>
      <c r="HT36" s="150">
        <f>MIN(SUM($GT$35:HT35),10)*$GO$43</f>
        <v>1</v>
      </c>
      <c r="HU36" s="150">
        <f>MIN(SUM($GT$35:HU35),10)*$GO$43</f>
        <v>1</v>
      </c>
      <c r="HV36" s="150">
        <f>MIN(SUM($GT$35:HV35),10)*$GO$43</f>
        <v>1</v>
      </c>
      <c r="HW36" s="150">
        <f>MIN(SUM($GT$35:HW35),10)*$GO$43</f>
        <v>1</v>
      </c>
      <c r="HX36" s="150">
        <f>MIN(SUM($GT$35:HX35),10)*$GO$43</f>
        <v>1</v>
      </c>
      <c r="HY36" s="150">
        <f>MIN(SUM($GT$35:HY35),10)*$GO$43</f>
        <v>1</v>
      </c>
      <c r="HZ36" s="150">
        <f>MIN(SUM($GT$35:HZ35),10)*$GO$43</f>
        <v>1</v>
      </c>
      <c r="IA36" s="150">
        <f>MIN(SUM($GT$35:IA35),10)*$GO$43</f>
        <v>1</v>
      </c>
      <c r="IB36" s="150">
        <f>MIN(SUM($GT$35:IB35),10)*$GO$43</f>
        <v>1</v>
      </c>
      <c r="IC36" s="150">
        <f>MIN(SUM($GT$35:IC35),10)*$GO$43</f>
        <v>1</v>
      </c>
      <c r="ID36" s="150">
        <f>MIN(SUM($GT$35:ID35),10)*$GO$43</f>
        <v>1</v>
      </c>
      <c r="IE36" s="150">
        <f>MIN(SUM($GT$35:IE35),10)*$GO$43</f>
        <v>1</v>
      </c>
      <c r="IF36" s="150">
        <f>MIN(SUM($GT$35:IF35),10)*$GO$43</f>
        <v>1</v>
      </c>
      <c r="IG36" s="150">
        <f>MIN(SUM($GT$35:IG35),10)*$GO$43</f>
        <v>1</v>
      </c>
      <c r="IH36" s="150">
        <f>MIN(SUM($GT$35:IH35),10)*$GO$43</f>
        <v>1</v>
      </c>
      <c r="II36" s="150">
        <f>MIN(SUM($GT$35:II35),10)*$GO$43</f>
        <v>1</v>
      </c>
      <c r="IJ36" s="150">
        <f>MIN(SUM($GT$35:IJ35),10)*$GO$43</f>
        <v>1</v>
      </c>
      <c r="IK36" s="150">
        <f>MIN(SUM($GT$35:IK35),10)*$GO$43</f>
        <v>1</v>
      </c>
      <c r="IL36" s="150">
        <f>MIN(SUM($GT$35:IL35),10)*$GO$43</f>
        <v>1</v>
      </c>
      <c r="IM36" s="150">
        <f>MIN(SUM($GT$35:IM35),10)*$GO$43</f>
        <v>1</v>
      </c>
      <c r="IN36" s="150">
        <f>MIN(SUM($GT$35:IN35),10)*$GO$43</f>
        <v>1</v>
      </c>
      <c r="IO36" s="150">
        <f>MIN(SUM($GT$35:IO35),10)*$GO$43</f>
        <v>1</v>
      </c>
      <c r="IP36" s="150">
        <f>MIN(SUM($GT$35:IP35),10)*$GO$43</f>
        <v>1</v>
      </c>
      <c r="IQ36" s="150">
        <f>MIN(SUM($GT$35:IQ35),10)*$GO$43</f>
        <v>1</v>
      </c>
      <c r="IR36" s="150">
        <f>MIN(SUM($GT$35:IR35),10)*$GO$43</f>
        <v>1</v>
      </c>
      <c r="IS36" s="150">
        <f>MIN(SUM($GT$35:IS35),10)*$GO$43</f>
        <v>1</v>
      </c>
      <c r="IT36" s="150">
        <f>MIN(SUM($GT$35:IT35),10)*$GO$43</f>
        <v>1</v>
      </c>
      <c r="IU36" s="150">
        <f>MIN(SUM($GT$35:IU35),10)*$GO$43</f>
        <v>1</v>
      </c>
      <c r="IV36" s="150">
        <f>MIN(SUM($GT$35:IV35),10)*$GO$43</f>
        <v>1</v>
      </c>
      <c r="IW36" s="150">
        <f>MIN(SUM($GT$35:IW35),10)*$GO$43</f>
        <v>1</v>
      </c>
      <c r="IX36" s="150">
        <f>MIN(SUM($GT$35:IX35),10)*$GO$43</f>
        <v>1</v>
      </c>
      <c r="IY36" s="150">
        <f>MIN(SUM($GT$35:IY35),10)*$GO$43</f>
        <v>1</v>
      </c>
      <c r="IZ36" s="150">
        <f>MIN(SUM($GT$35:IZ35),10)*$GO$43</f>
        <v>1</v>
      </c>
      <c r="JA36" s="150">
        <f>MIN(SUM($GT$35:JA35),10)*$GO$43</f>
        <v>1</v>
      </c>
      <c r="JB36" s="150">
        <f>MIN(SUM($GT$35:JB35),10)*$GO$43</f>
        <v>1</v>
      </c>
      <c r="JC36" s="150">
        <f>MIN(SUM($GT$35:JC35),10)*$GO$43</f>
        <v>1</v>
      </c>
      <c r="JD36" s="150">
        <f>MIN(SUM($GT$35:JD35),10)*$GO$43</f>
        <v>1</v>
      </c>
      <c r="JE36" s="150">
        <f>MIN(SUM($GT$35:JE35),10)*$GO$43</f>
        <v>1</v>
      </c>
      <c r="JF36" s="150">
        <f>MIN(SUM($GT$35:JF35),10)*$GO$43</f>
        <v>2</v>
      </c>
      <c r="JG36" s="150">
        <f>MIN(SUM($GT$35:JG35),10)*$GO$43</f>
        <v>2</v>
      </c>
      <c r="JH36" s="150">
        <f>MIN(SUM($GT$35:JH35),10)*$GO$43</f>
        <v>2</v>
      </c>
      <c r="JI36" s="150">
        <f>MIN(SUM($GT$35:JI35),10)*$GO$43</f>
        <v>2</v>
      </c>
      <c r="JJ36" s="150">
        <f>MIN(SUM($GT$35:JJ35),10)*$GO$43</f>
        <v>2</v>
      </c>
      <c r="JK36" s="150">
        <f>MIN(SUM($GT$35:JK35),10)*$GO$43</f>
        <v>2</v>
      </c>
      <c r="JL36" s="150">
        <f>MIN(SUM($GT$35:JL35),10)*$GO$43</f>
        <v>2</v>
      </c>
      <c r="JM36" s="150">
        <f>MIN(SUM($GT$35:JM35),10)*$GO$43</f>
        <v>2</v>
      </c>
      <c r="JN36" s="150">
        <f>MIN(SUM($GT$35:JN35),10)*$GO$43</f>
        <v>2</v>
      </c>
      <c r="JO36" s="150">
        <f>MIN(SUM($GT$35:JO35),10)*$GO$43</f>
        <v>2</v>
      </c>
      <c r="JP36" s="150">
        <f>MIN(SUM($GT$35:JP35),10)*$GO$43</f>
        <v>2</v>
      </c>
      <c r="JQ36" s="150">
        <f>MIN(SUM($GT$35:JQ35),10)*$GO$43</f>
        <v>2</v>
      </c>
      <c r="JR36" s="150">
        <f>MIN(SUM($GT$35:JR35),10)*$GO$43</f>
        <v>2</v>
      </c>
      <c r="JS36" s="150">
        <f>MIN(SUM($GT$35:JS35),10)*$GO$43</f>
        <v>2</v>
      </c>
      <c r="JT36" s="150">
        <f>MIN(SUM($GT$35:JT35),10)*$GO$43</f>
        <v>2</v>
      </c>
      <c r="JU36" s="150">
        <f>MIN(SUM($GT$35:JU35),10)*$GO$43</f>
        <v>2</v>
      </c>
      <c r="JV36" s="150">
        <f>MIN(SUM($GT$35:JV35),10)*$GO$43</f>
        <v>2</v>
      </c>
      <c r="JW36" s="150">
        <f>MIN(SUM($GT$35:JW35),10)*$GO$43</f>
        <v>2</v>
      </c>
      <c r="JX36" s="150">
        <f>MIN(SUM($GT$35:JX35),10)*$GO$43</f>
        <v>2</v>
      </c>
      <c r="JY36" s="150">
        <f>MIN(SUM($GT$35:JY35),10)*$GO$43</f>
        <v>2</v>
      </c>
      <c r="JZ36" s="150">
        <f>MIN(SUM($GT$35:JZ35),10)*$GO$43</f>
        <v>2</v>
      </c>
      <c r="KA36" s="150">
        <f>MIN(SUM($GT$35:KA35),10)*$GO$43</f>
        <v>2</v>
      </c>
      <c r="KB36" s="150">
        <f>MIN(SUM($GT$35:KB35),10)*$GO$43</f>
        <v>2</v>
      </c>
      <c r="KC36" s="150">
        <f>MIN(SUM($GT$35:KC35),10)*$GO$43</f>
        <v>2</v>
      </c>
      <c r="KD36" s="150">
        <f>MIN(SUM($GT$35:KD35),10)*$GO$43</f>
        <v>2</v>
      </c>
      <c r="KE36" s="150">
        <f>MIN(SUM($GT$35:KE35),10)*$GO$43</f>
        <v>2</v>
      </c>
      <c r="KF36" s="150">
        <f>MIN(SUM($GT$35:KF35),10)*$GO$43</f>
        <v>2</v>
      </c>
      <c r="KG36" s="150">
        <f>MIN(SUM($GT$35:KG35),10)*$GO$43</f>
        <v>2</v>
      </c>
      <c r="KH36" s="150">
        <f>MIN(SUM($GT$35:KH35),10)*$GO$43</f>
        <v>2</v>
      </c>
      <c r="KI36" s="150">
        <f>MIN(SUM($GT$35:KI35),10)*$GO$43</f>
        <v>2</v>
      </c>
      <c r="KJ36" s="150">
        <f>MIN(SUM($GT$35:KJ35),10)*$GO$43</f>
        <v>2</v>
      </c>
      <c r="KK36" s="150">
        <f>MIN(SUM($GT$35:KK35),10)*$GO$43</f>
        <v>2</v>
      </c>
      <c r="KL36" s="150">
        <f>MIN(SUM($GT$35:KL35),10)*$GO$43</f>
        <v>2</v>
      </c>
      <c r="KM36" s="150">
        <f>MIN(SUM($GT$35:KM35),10)*$GO$43</f>
        <v>2</v>
      </c>
      <c r="KN36" s="150">
        <f>MIN(SUM($GT$35:KN35),10)*$GO$43</f>
        <v>2</v>
      </c>
      <c r="KO36" s="150">
        <f>MIN(SUM($GT$35:KO35),10)*$GO$43</f>
        <v>2</v>
      </c>
      <c r="KP36" s="150">
        <f>MIN(SUM($GT$35:KP35),10)*$GO$43</f>
        <v>2</v>
      </c>
      <c r="KQ36" s="150">
        <f>MIN(SUM($GT$35:KQ35),10)*$GO$43</f>
        <v>2</v>
      </c>
      <c r="KR36" s="150">
        <f>MIN(SUM($GT$35:KR35),10)*$GO$43</f>
        <v>2</v>
      </c>
      <c r="KS36" s="150">
        <f>MIN(SUM($GT$35:KS35),10)*$GO$43</f>
        <v>2</v>
      </c>
      <c r="KT36" s="150">
        <f>MIN(SUM($GT$35:KT35),10)*$GO$43</f>
        <v>2</v>
      </c>
      <c r="KU36" s="150">
        <f>MIN(SUM($GT$35:KU35),10)*$GO$43</f>
        <v>2</v>
      </c>
      <c r="KV36" s="150">
        <f>MIN(SUM($GT$35:KV35),10)*$GO$43</f>
        <v>2</v>
      </c>
      <c r="KW36" s="150">
        <f>MIN(SUM($GT$35:KW35),10)*$GO$43</f>
        <v>2</v>
      </c>
      <c r="KX36" s="150">
        <f>MIN(SUM($GT$35:KX35),10)*$GO$43</f>
        <v>2</v>
      </c>
      <c r="KY36" s="150">
        <f>MIN(SUM($GT$35:KY35),10)*$GO$43</f>
        <v>2</v>
      </c>
      <c r="KZ36" s="150">
        <f>MIN(SUM($GT$35:KZ35),10)*$GO$43</f>
        <v>2</v>
      </c>
      <c r="LA36" s="150">
        <f>MIN(SUM($GT$35:LA35),10)*$GO$43</f>
        <v>2</v>
      </c>
      <c r="LB36" s="150">
        <f>MIN(SUM($GT$35:LB35),10)*$GO$43</f>
        <v>2</v>
      </c>
      <c r="LC36" s="150">
        <f>MIN(SUM($GT$35:LC35),10)*$GO$43</f>
        <v>2</v>
      </c>
      <c r="LD36" s="150">
        <f>MIN(SUM($GT$35:LD35),10)*$GO$43</f>
        <v>2</v>
      </c>
      <c r="LE36" s="150">
        <f>MIN(SUM($GT$35:LE35),10)*$GO$43</f>
        <v>2</v>
      </c>
      <c r="LF36" s="150">
        <f>MIN(SUM($GT$35:LF35),10)*$GO$43</f>
        <v>2</v>
      </c>
      <c r="LG36" s="150">
        <f>MIN(SUM($GT$35:LG35),10)*$GO$43</f>
        <v>3</v>
      </c>
      <c r="LH36" s="150">
        <f>MIN(SUM($GT$35:LH35),10)*$GO$43</f>
        <v>3</v>
      </c>
      <c r="LI36" s="150">
        <f>MIN(SUM($GT$35:LI35),10)*$GO$43</f>
        <v>3</v>
      </c>
      <c r="LJ36" s="150">
        <f>MIN(SUM($GT$35:LJ35),10)*$GO$43</f>
        <v>3</v>
      </c>
      <c r="LK36" s="150">
        <f>MIN(SUM($GT$35:LK35),10)*$GO$43</f>
        <v>3</v>
      </c>
      <c r="LL36" s="150">
        <f>MIN(SUM($GT$35:LL35),10)*$GO$43</f>
        <v>3</v>
      </c>
      <c r="LM36" s="150">
        <f>MIN(SUM($GT$35:LM35),10)*$GO$43</f>
        <v>3</v>
      </c>
      <c r="LN36" s="150">
        <f>MIN(SUM($GT$35:LN35),10)*$GO$43</f>
        <v>3</v>
      </c>
      <c r="LO36" s="150">
        <f>MIN(SUM($GT$35:LO35),10)*$GO$43</f>
        <v>3</v>
      </c>
      <c r="LP36" s="150">
        <f>MIN(SUM($GT$35:LP35),10)*$GO$43</f>
        <v>3</v>
      </c>
    </row>
    <row r="37" spans="1:328" ht="12.75" hidden="1" customHeight="1" x14ac:dyDescent="0.3">
      <c r="A37" s="285"/>
      <c r="B37" s="285"/>
      <c r="C37" s="299">
        <v>-0.1</v>
      </c>
      <c r="D37" s="295"/>
      <c r="E37" s="276"/>
      <c r="F37" s="285"/>
      <c r="G37" s="285"/>
      <c r="H37" s="285"/>
      <c r="I37" s="285"/>
      <c r="J37" s="285"/>
      <c r="K37" s="285"/>
      <c r="L37" s="285"/>
      <c r="M37" s="285"/>
      <c r="N37" s="285"/>
      <c r="O37" s="285"/>
      <c r="P37" s="287"/>
      <c r="Q37" s="287"/>
      <c r="R37" s="287"/>
      <c r="S37" s="285"/>
      <c r="T37" s="285"/>
      <c r="U37" s="285"/>
      <c r="V37" s="285"/>
      <c r="W37" s="285"/>
      <c r="X37" s="285"/>
      <c r="Y37" s="285"/>
      <c r="Z37" s="285"/>
      <c r="AA37" s="285"/>
      <c r="AB37" s="285"/>
      <c r="AC37" s="285"/>
      <c r="AD37" s="285"/>
      <c r="AE37" s="285"/>
      <c r="AF37" s="285"/>
      <c r="AG37" s="285"/>
      <c r="AH37" s="2513"/>
      <c r="AI37" s="285"/>
      <c r="AJ37" s="285"/>
      <c r="AK37" s="285"/>
      <c r="AL37" s="285"/>
      <c r="AM37" s="285"/>
      <c r="AN37" s="285"/>
      <c r="AO37" s="285"/>
      <c r="AP37" s="285"/>
      <c r="AQ37" s="285"/>
      <c r="AR37" s="285"/>
      <c r="AS37" s="285"/>
      <c r="AT37" s="285"/>
      <c r="AU37" s="285"/>
      <c r="AV37" s="285"/>
      <c r="AW37" s="285"/>
      <c r="AX37" s="285"/>
      <c r="AY37" s="308"/>
      <c r="AZ37" s="308"/>
      <c r="BA37" s="308"/>
      <c r="BB37" s="308"/>
      <c r="BC37" s="308"/>
      <c r="BD37" s="308"/>
      <c r="BE37" s="308"/>
      <c r="BF37" s="308"/>
      <c r="BG37" s="308"/>
      <c r="BH37" s="285"/>
      <c r="BI37" s="308"/>
      <c r="BJ37" s="308"/>
      <c r="BK37" s="308"/>
      <c r="BL37" s="308"/>
      <c r="BM37" s="308"/>
      <c r="BN37" s="308"/>
      <c r="BO37" s="308"/>
      <c r="BP37" s="308"/>
      <c r="BQ37" s="308"/>
      <c r="BR37" s="308"/>
      <c r="BS37" s="308"/>
      <c r="BT37" s="308"/>
      <c r="BU37" s="308"/>
      <c r="BV37" s="308"/>
      <c r="BW37" s="308"/>
      <c r="BX37" s="308"/>
      <c r="BY37" s="308"/>
      <c r="BZ37" s="308"/>
      <c r="CA37" s="308"/>
      <c r="CB37" s="308"/>
      <c r="CC37" s="285"/>
      <c r="CD37" s="285"/>
      <c r="CE37" s="285"/>
      <c r="CF37" s="285"/>
      <c r="CG37" s="285"/>
      <c r="CH37" s="285"/>
      <c r="CI37" s="285"/>
      <c r="CJ37" s="285"/>
      <c r="CK37" s="285"/>
      <c r="CL37" s="285"/>
      <c r="CM37" s="285"/>
      <c r="CN37" s="285"/>
      <c r="CO37" s="285"/>
      <c r="CP37" s="285"/>
      <c r="CQ37" s="285"/>
      <c r="CR37" s="285"/>
      <c r="CS37" s="285"/>
      <c r="CT37" s="285"/>
      <c r="CU37" s="285"/>
      <c r="CV37" s="285"/>
      <c r="CW37" s="285"/>
      <c r="CX37" s="285"/>
      <c r="CY37" s="285"/>
      <c r="CZ37" s="285"/>
      <c r="DA37" s="285"/>
      <c r="DB37" s="285"/>
      <c r="DC37" s="285"/>
      <c r="DD37" s="285"/>
      <c r="DE37" s="285"/>
      <c r="DF37" s="285"/>
      <c r="DG37" s="309"/>
      <c r="DH37" s="442" t="s">
        <v>2001</v>
      </c>
      <c r="DI37" s="285"/>
      <c r="DJ37" s="76">
        <f t="shared" ref="DJ37:EO37" si="161">IF(DJ$169=0,0,SUMPRODUCT($AN$173:$AN$364,DJ$173:DJ$364,$CY$173:$CY$364,$AR$173:$AR$364))</f>
        <v>0</v>
      </c>
      <c r="DK37" s="76">
        <f t="shared" si="161"/>
        <v>0</v>
      </c>
      <c r="DL37" s="76">
        <f t="shared" si="161"/>
        <v>0</v>
      </c>
      <c r="DM37" s="76">
        <f t="shared" si="161"/>
        <v>0</v>
      </c>
      <c r="DN37" s="76">
        <f t="shared" si="161"/>
        <v>0</v>
      </c>
      <c r="DO37" s="76">
        <f t="shared" si="161"/>
        <v>0</v>
      </c>
      <c r="DP37" s="76">
        <f t="shared" si="161"/>
        <v>0</v>
      </c>
      <c r="DQ37" s="76">
        <f t="shared" si="161"/>
        <v>0</v>
      </c>
      <c r="DR37" s="76">
        <f t="shared" si="161"/>
        <v>0</v>
      </c>
      <c r="DS37" s="76">
        <f t="shared" si="161"/>
        <v>0</v>
      </c>
      <c r="DT37" s="76">
        <f t="shared" si="161"/>
        <v>0</v>
      </c>
      <c r="DU37" s="76">
        <f t="shared" si="161"/>
        <v>0</v>
      </c>
      <c r="DV37" s="76">
        <f t="shared" si="161"/>
        <v>0</v>
      </c>
      <c r="DW37" s="76">
        <f t="shared" si="161"/>
        <v>0</v>
      </c>
      <c r="DX37" s="76">
        <f t="shared" si="161"/>
        <v>0</v>
      </c>
      <c r="DY37" s="76">
        <f t="shared" si="161"/>
        <v>0</v>
      </c>
      <c r="DZ37" s="76">
        <f t="shared" si="161"/>
        <v>0</v>
      </c>
      <c r="EA37" s="76">
        <f t="shared" si="161"/>
        <v>0</v>
      </c>
      <c r="EB37" s="76">
        <f t="shared" si="161"/>
        <v>0</v>
      </c>
      <c r="EC37" s="76">
        <f t="shared" si="161"/>
        <v>0</v>
      </c>
      <c r="ED37" s="76">
        <f t="shared" si="161"/>
        <v>0</v>
      </c>
      <c r="EE37" s="76">
        <f t="shared" si="161"/>
        <v>0</v>
      </c>
      <c r="EF37" s="76">
        <f t="shared" si="161"/>
        <v>0</v>
      </c>
      <c r="EG37" s="76">
        <f t="shared" si="161"/>
        <v>0</v>
      </c>
      <c r="EH37" s="76">
        <f t="shared" si="161"/>
        <v>0</v>
      </c>
      <c r="EI37" s="76">
        <f t="shared" si="161"/>
        <v>0</v>
      </c>
      <c r="EJ37" s="76">
        <f t="shared" si="161"/>
        <v>0</v>
      </c>
      <c r="EK37" s="76">
        <f t="shared" si="161"/>
        <v>0</v>
      </c>
      <c r="EL37" s="76">
        <f t="shared" si="161"/>
        <v>0</v>
      </c>
      <c r="EM37" s="76">
        <f t="shared" si="161"/>
        <v>0</v>
      </c>
      <c r="EN37" s="76">
        <f t="shared" si="161"/>
        <v>0</v>
      </c>
      <c r="EO37" s="76">
        <f t="shared" si="161"/>
        <v>0</v>
      </c>
      <c r="EP37" s="76">
        <f t="shared" ref="EP37:FG37" si="162">IF(EP$169=0,0,SUMPRODUCT($AN$173:$AN$364,EP$173:EP$364,$CY$173:$CY$364,$AR$173:$AR$364))</f>
        <v>0</v>
      </c>
      <c r="EQ37" s="76">
        <f t="shared" si="162"/>
        <v>0</v>
      </c>
      <c r="ER37" s="76">
        <f t="shared" si="162"/>
        <v>0</v>
      </c>
      <c r="ES37" s="76">
        <f t="shared" si="162"/>
        <v>0</v>
      </c>
      <c r="ET37" s="76">
        <f t="shared" si="162"/>
        <v>0</v>
      </c>
      <c r="EU37" s="76">
        <f t="shared" si="162"/>
        <v>0</v>
      </c>
      <c r="EV37" s="76">
        <f t="shared" si="162"/>
        <v>0</v>
      </c>
      <c r="EW37" s="76">
        <f t="shared" si="162"/>
        <v>0</v>
      </c>
      <c r="EX37" s="76">
        <f t="shared" si="162"/>
        <v>0</v>
      </c>
      <c r="EY37" s="76">
        <f t="shared" si="162"/>
        <v>0</v>
      </c>
      <c r="EZ37" s="76">
        <f t="shared" si="162"/>
        <v>0</v>
      </c>
      <c r="FA37" s="76">
        <f t="shared" si="162"/>
        <v>0</v>
      </c>
      <c r="FB37" s="76">
        <f t="shared" si="162"/>
        <v>0</v>
      </c>
      <c r="FC37" s="76">
        <f t="shared" si="162"/>
        <v>0</v>
      </c>
      <c r="FD37" s="76">
        <f t="shared" si="162"/>
        <v>0</v>
      </c>
      <c r="FE37" s="76">
        <f t="shared" si="162"/>
        <v>0</v>
      </c>
      <c r="FF37" s="76">
        <f t="shared" si="162"/>
        <v>0</v>
      </c>
      <c r="FG37" s="76">
        <f t="shared" si="162"/>
        <v>0</v>
      </c>
      <c r="FH37" s="922"/>
      <c r="FI37" s="305"/>
      <c r="FJ37" s="307"/>
      <c r="FK37" s="307"/>
      <c r="FL37" s="285"/>
      <c r="FM37" s="285"/>
      <c r="FN37" s="285"/>
      <c r="FO37" s="285"/>
      <c r="FP37" s="285"/>
      <c r="FQ37" s="285"/>
      <c r="FR37" s="285"/>
      <c r="FS37" s="285"/>
      <c r="FT37" s="285"/>
      <c r="FU37" s="285"/>
      <c r="FV37" s="285"/>
      <c r="FW37" s="285"/>
      <c r="FX37" s="285"/>
      <c r="FY37" s="285"/>
      <c r="FZ37" s="285"/>
      <c r="GA37" s="285"/>
      <c r="GB37" s="285"/>
      <c r="GC37" s="285"/>
      <c r="GD37" s="285"/>
      <c r="GE37" s="285"/>
      <c r="GF37" s="285"/>
      <c r="GG37" s="285"/>
      <c r="GH37" s="285"/>
      <c r="GI37" s="285"/>
      <c r="GJ37" s="309"/>
      <c r="GK37" s="309"/>
      <c r="GL37" s="309"/>
      <c r="GM37" s="309"/>
      <c r="GN37" s="309"/>
      <c r="GO37" s="285"/>
      <c r="GP37" s="285"/>
      <c r="GQ37" s="285"/>
      <c r="GR37" s="412"/>
      <c r="GS37" s="308" t="s">
        <v>750</v>
      </c>
      <c r="GT37" s="881">
        <v>1</v>
      </c>
      <c r="GU37" s="881">
        <f>COLUMN()-COLUMN($GT$37)+1</f>
        <v>2</v>
      </c>
      <c r="GV37" s="881">
        <f t="shared" ref="GV37:JG37" si="163">COLUMN()-COLUMN($GT$37)+1</f>
        <v>3</v>
      </c>
      <c r="GW37" s="881">
        <f t="shared" si="163"/>
        <v>4</v>
      </c>
      <c r="GX37" s="881">
        <f t="shared" si="163"/>
        <v>5</v>
      </c>
      <c r="GY37" s="881">
        <f t="shared" si="163"/>
        <v>6</v>
      </c>
      <c r="GZ37" s="881">
        <f t="shared" si="163"/>
        <v>7</v>
      </c>
      <c r="HA37" s="881">
        <f t="shared" si="163"/>
        <v>8</v>
      </c>
      <c r="HB37" s="881">
        <f t="shared" si="163"/>
        <v>9</v>
      </c>
      <c r="HC37" s="881">
        <f t="shared" si="163"/>
        <v>10</v>
      </c>
      <c r="HD37" s="881">
        <f t="shared" si="163"/>
        <v>11</v>
      </c>
      <c r="HE37" s="881">
        <f t="shared" si="163"/>
        <v>12</v>
      </c>
      <c r="HF37" s="881">
        <f t="shared" si="163"/>
        <v>13</v>
      </c>
      <c r="HG37" s="881">
        <f t="shared" si="163"/>
        <v>14</v>
      </c>
      <c r="HH37" s="881">
        <f t="shared" si="163"/>
        <v>15</v>
      </c>
      <c r="HI37" s="881">
        <f t="shared" si="163"/>
        <v>16</v>
      </c>
      <c r="HJ37" s="881">
        <f t="shared" si="163"/>
        <v>17</v>
      </c>
      <c r="HK37" s="881">
        <f t="shared" si="163"/>
        <v>18</v>
      </c>
      <c r="HL37" s="881">
        <f t="shared" si="163"/>
        <v>19</v>
      </c>
      <c r="HM37" s="881">
        <f t="shared" si="163"/>
        <v>20</v>
      </c>
      <c r="HN37" s="881">
        <f t="shared" si="163"/>
        <v>21</v>
      </c>
      <c r="HO37" s="881">
        <f t="shared" si="163"/>
        <v>22</v>
      </c>
      <c r="HP37" s="881">
        <f t="shared" si="163"/>
        <v>23</v>
      </c>
      <c r="HQ37" s="881">
        <f t="shared" si="163"/>
        <v>24</v>
      </c>
      <c r="HR37" s="881">
        <f t="shared" si="163"/>
        <v>25</v>
      </c>
      <c r="HS37" s="881">
        <f t="shared" si="163"/>
        <v>26</v>
      </c>
      <c r="HT37" s="881">
        <f t="shared" si="163"/>
        <v>27</v>
      </c>
      <c r="HU37" s="881">
        <f t="shared" si="163"/>
        <v>28</v>
      </c>
      <c r="HV37" s="881">
        <f t="shared" si="163"/>
        <v>29</v>
      </c>
      <c r="HW37" s="881">
        <f t="shared" si="163"/>
        <v>30</v>
      </c>
      <c r="HX37" s="881">
        <f t="shared" si="163"/>
        <v>31</v>
      </c>
      <c r="HY37" s="881">
        <f t="shared" si="163"/>
        <v>32</v>
      </c>
      <c r="HZ37" s="881">
        <f t="shared" si="163"/>
        <v>33</v>
      </c>
      <c r="IA37" s="881">
        <f t="shared" si="163"/>
        <v>34</v>
      </c>
      <c r="IB37" s="881">
        <f t="shared" si="163"/>
        <v>35</v>
      </c>
      <c r="IC37" s="881">
        <f t="shared" si="163"/>
        <v>36</v>
      </c>
      <c r="ID37" s="881">
        <f t="shared" si="163"/>
        <v>37</v>
      </c>
      <c r="IE37" s="881">
        <f t="shared" si="163"/>
        <v>38</v>
      </c>
      <c r="IF37" s="881">
        <f t="shared" si="163"/>
        <v>39</v>
      </c>
      <c r="IG37" s="881">
        <f t="shared" si="163"/>
        <v>40</v>
      </c>
      <c r="IH37" s="881">
        <f t="shared" si="163"/>
        <v>41</v>
      </c>
      <c r="II37" s="881">
        <f t="shared" si="163"/>
        <v>42</v>
      </c>
      <c r="IJ37" s="881">
        <f t="shared" si="163"/>
        <v>43</v>
      </c>
      <c r="IK37" s="881">
        <f t="shared" si="163"/>
        <v>44</v>
      </c>
      <c r="IL37" s="881">
        <f t="shared" si="163"/>
        <v>45</v>
      </c>
      <c r="IM37" s="881">
        <f t="shared" si="163"/>
        <v>46</v>
      </c>
      <c r="IN37" s="881">
        <f t="shared" si="163"/>
        <v>47</v>
      </c>
      <c r="IO37" s="881">
        <f t="shared" si="163"/>
        <v>48</v>
      </c>
      <c r="IP37" s="881">
        <f t="shared" si="163"/>
        <v>49</v>
      </c>
      <c r="IQ37" s="881">
        <f t="shared" si="163"/>
        <v>50</v>
      </c>
      <c r="IR37" s="881">
        <f t="shared" si="163"/>
        <v>51</v>
      </c>
      <c r="IS37" s="881">
        <f t="shared" si="163"/>
        <v>52</v>
      </c>
      <c r="IT37" s="881">
        <f t="shared" si="163"/>
        <v>53</v>
      </c>
      <c r="IU37" s="881">
        <f t="shared" si="163"/>
        <v>54</v>
      </c>
      <c r="IV37" s="881">
        <f t="shared" si="163"/>
        <v>55</v>
      </c>
      <c r="IW37" s="881">
        <f t="shared" si="163"/>
        <v>56</v>
      </c>
      <c r="IX37" s="881">
        <f t="shared" si="163"/>
        <v>57</v>
      </c>
      <c r="IY37" s="881">
        <f t="shared" si="163"/>
        <v>58</v>
      </c>
      <c r="IZ37" s="881">
        <f t="shared" si="163"/>
        <v>59</v>
      </c>
      <c r="JA37" s="881">
        <f t="shared" si="163"/>
        <v>60</v>
      </c>
      <c r="JB37" s="881">
        <f t="shared" si="163"/>
        <v>61</v>
      </c>
      <c r="JC37" s="881">
        <f t="shared" si="163"/>
        <v>62</v>
      </c>
      <c r="JD37" s="881">
        <f t="shared" si="163"/>
        <v>63</v>
      </c>
      <c r="JE37" s="881">
        <f t="shared" si="163"/>
        <v>64</v>
      </c>
      <c r="JF37" s="881">
        <f t="shared" si="163"/>
        <v>65</v>
      </c>
      <c r="JG37" s="881">
        <f t="shared" si="163"/>
        <v>66</v>
      </c>
      <c r="JH37" s="881">
        <f t="shared" ref="JH37:LP37" si="164">COLUMN()-COLUMN($GT$37)+1</f>
        <v>67</v>
      </c>
      <c r="JI37" s="881">
        <f t="shared" si="164"/>
        <v>68</v>
      </c>
      <c r="JJ37" s="881">
        <f t="shared" si="164"/>
        <v>69</v>
      </c>
      <c r="JK37" s="881">
        <f t="shared" si="164"/>
        <v>70</v>
      </c>
      <c r="JL37" s="881">
        <f t="shared" si="164"/>
        <v>71</v>
      </c>
      <c r="JM37" s="881">
        <f t="shared" si="164"/>
        <v>72</v>
      </c>
      <c r="JN37" s="881">
        <f t="shared" si="164"/>
        <v>73</v>
      </c>
      <c r="JO37" s="881">
        <f t="shared" si="164"/>
        <v>74</v>
      </c>
      <c r="JP37" s="881">
        <f t="shared" si="164"/>
        <v>75</v>
      </c>
      <c r="JQ37" s="881">
        <f t="shared" si="164"/>
        <v>76</v>
      </c>
      <c r="JR37" s="881">
        <f t="shared" si="164"/>
        <v>77</v>
      </c>
      <c r="JS37" s="881">
        <f t="shared" si="164"/>
        <v>78</v>
      </c>
      <c r="JT37" s="881">
        <f t="shared" si="164"/>
        <v>79</v>
      </c>
      <c r="JU37" s="881">
        <f t="shared" si="164"/>
        <v>80</v>
      </c>
      <c r="JV37" s="881">
        <f t="shared" si="164"/>
        <v>81</v>
      </c>
      <c r="JW37" s="881">
        <f t="shared" si="164"/>
        <v>82</v>
      </c>
      <c r="JX37" s="881">
        <f t="shared" si="164"/>
        <v>83</v>
      </c>
      <c r="JY37" s="881">
        <f t="shared" si="164"/>
        <v>84</v>
      </c>
      <c r="JZ37" s="881">
        <f t="shared" si="164"/>
        <v>85</v>
      </c>
      <c r="KA37" s="881">
        <f t="shared" si="164"/>
        <v>86</v>
      </c>
      <c r="KB37" s="881">
        <f t="shared" si="164"/>
        <v>87</v>
      </c>
      <c r="KC37" s="881">
        <f t="shared" si="164"/>
        <v>88</v>
      </c>
      <c r="KD37" s="881">
        <f t="shared" si="164"/>
        <v>89</v>
      </c>
      <c r="KE37" s="881">
        <f t="shared" si="164"/>
        <v>90</v>
      </c>
      <c r="KF37" s="881">
        <f t="shared" si="164"/>
        <v>91</v>
      </c>
      <c r="KG37" s="881">
        <f t="shared" si="164"/>
        <v>92</v>
      </c>
      <c r="KH37" s="881">
        <f t="shared" si="164"/>
        <v>93</v>
      </c>
      <c r="KI37" s="881">
        <f t="shared" si="164"/>
        <v>94</v>
      </c>
      <c r="KJ37" s="881">
        <f t="shared" si="164"/>
        <v>95</v>
      </c>
      <c r="KK37" s="881">
        <f t="shared" si="164"/>
        <v>96</v>
      </c>
      <c r="KL37" s="881">
        <f t="shared" si="164"/>
        <v>97</v>
      </c>
      <c r="KM37" s="881">
        <f t="shared" si="164"/>
        <v>98</v>
      </c>
      <c r="KN37" s="881">
        <f t="shared" si="164"/>
        <v>99</v>
      </c>
      <c r="KO37" s="881">
        <f t="shared" si="164"/>
        <v>100</v>
      </c>
      <c r="KP37" s="881">
        <f t="shared" si="164"/>
        <v>101</v>
      </c>
      <c r="KQ37" s="881">
        <f t="shared" si="164"/>
        <v>102</v>
      </c>
      <c r="KR37" s="881">
        <f t="shared" si="164"/>
        <v>103</v>
      </c>
      <c r="KS37" s="881">
        <f t="shared" si="164"/>
        <v>104</v>
      </c>
      <c r="KT37" s="881">
        <f t="shared" si="164"/>
        <v>105</v>
      </c>
      <c r="KU37" s="881">
        <f t="shared" si="164"/>
        <v>106</v>
      </c>
      <c r="KV37" s="881">
        <f t="shared" si="164"/>
        <v>107</v>
      </c>
      <c r="KW37" s="881">
        <f t="shared" si="164"/>
        <v>108</v>
      </c>
      <c r="KX37" s="881">
        <f t="shared" si="164"/>
        <v>109</v>
      </c>
      <c r="KY37" s="881">
        <f t="shared" si="164"/>
        <v>110</v>
      </c>
      <c r="KZ37" s="881">
        <f t="shared" si="164"/>
        <v>111</v>
      </c>
      <c r="LA37" s="881">
        <f t="shared" si="164"/>
        <v>112</v>
      </c>
      <c r="LB37" s="881">
        <f t="shared" si="164"/>
        <v>113</v>
      </c>
      <c r="LC37" s="881">
        <f t="shared" si="164"/>
        <v>114</v>
      </c>
      <c r="LD37" s="881">
        <f t="shared" si="164"/>
        <v>115</v>
      </c>
      <c r="LE37" s="881">
        <f t="shared" si="164"/>
        <v>116</v>
      </c>
      <c r="LF37" s="881">
        <f t="shared" si="164"/>
        <v>117</v>
      </c>
      <c r="LG37" s="881">
        <f t="shared" si="164"/>
        <v>118</v>
      </c>
      <c r="LH37" s="881">
        <f t="shared" si="164"/>
        <v>119</v>
      </c>
      <c r="LI37" s="881">
        <f t="shared" si="164"/>
        <v>120</v>
      </c>
      <c r="LJ37" s="881">
        <f t="shared" si="164"/>
        <v>121</v>
      </c>
      <c r="LK37" s="881">
        <f t="shared" si="164"/>
        <v>122</v>
      </c>
      <c r="LL37" s="881">
        <f t="shared" si="164"/>
        <v>123</v>
      </c>
      <c r="LM37" s="881">
        <f t="shared" si="164"/>
        <v>124</v>
      </c>
      <c r="LN37" s="881">
        <f t="shared" si="164"/>
        <v>125</v>
      </c>
      <c r="LO37" s="881">
        <f t="shared" si="164"/>
        <v>126</v>
      </c>
      <c r="LP37" s="881">
        <f t="shared" si="164"/>
        <v>127</v>
      </c>
    </row>
    <row r="38" spans="1:328" ht="12.75" hidden="1" customHeight="1" x14ac:dyDescent="0.3">
      <c r="A38" s="285"/>
      <c r="B38" s="285"/>
      <c r="C38" s="299">
        <v>-0.15</v>
      </c>
      <c r="D38" s="295"/>
      <c r="E38" s="285"/>
      <c r="F38" s="285"/>
      <c r="G38" s="285"/>
      <c r="H38" s="285"/>
      <c r="I38" s="285"/>
      <c r="J38" s="285"/>
      <c r="K38" s="285"/>
      <c r="L38" s="285"/>
      <c r="M38" s="285"/>
      <c r="N38" s="285"/>
      <c r="O38" s="285"/>
      <c r="P38" s="287"/>
      <c r="Q38" s="287"/>
      <c r="R38" s="287"/>
      <c r="S38" s="285"/>
      <c r="T38" s="285"/>
      <c r="U38" s="285"/>
      <c r="V38" s="285"/>
      <c r="W38" s="285"/>
      <c r="X38" s="285"/>
      <c r="Y38" s="285"/>
      <c r="Z38" s="285"/>
      <c r="AA38" s="285"/>
      <c r="AB38" s="285"/>
      <c r="AC38" s="285"/>
      <c r="AD38" s="285"/>
      <c r="AE38" s="285"/>
      <c r="AF38" s="285"/>
      <c r="AG38" s="285"/>
      <c r="AH38" s="2513"/>
      <c r="AI38" s="285"/>
      <c r="AJ38" s="285"/>
      <c r="AK38" s="285"/>
      <c r="AL38" s="285"/>
      <c r="AM38" s="285"/>
      <c r="AN38" s="285"/>
      <c r="AO38" s="285"/>
      <c r="AP38" s="285"/>
      <c r="AQ38" s="285"/>
      <c r="AR38" s="285"/>
      <c r="AS38" s="285"/>
      <c r="AT38" s="285"/>
      <c r="AU38" s="285"/>
      <c r="AV38" s="285"/>
      <c r="AW38" s="285"/>
      <c r="AX38" s="285"/>
      <c r="AY38" s="308"/>
      <c r="AZ38" s="308"/>
      <c r="BA38" s="308"/>
      <c r="BB38" s="308"/>
      <c r="BC38" s="308"/>
      <c r="BD38" s="308"/>
      <c r="BE38" s="308"/>
      <c r="BF38" s="308"/>
      <c r="BG38" s="308"/>
      <c r="BH38" s="285"/>
      <c r="BI38" s="308"/>
      <c r="BJ38" s="308"/>
      <c r="BK38" s="308"/>
      <c r="BL38" s="308"/>
      <c r="BM38" s="308"/>
      <c r="BN38" s="308"/>
      <c r="BO38" s="308"/>
      <c r="BP38" s="308"/>
      <c r="BQ38" s="308"/>
      <c r="BR38" s="308"/>
      <c r="BS38" s="308"/>
      <c r="BT38" s="308"/>
      <c r="BU38" s="308"/>
      <c r="BV38" s="308"/>
      <c r="BW38" s="308"/>
      <c r="BX38" s="308"/>
      <c r="BY38" s="308"/>
      <c r="BZ38" s="308"/>
      <c r="CA38" s="308"/>
      <c r="CB38" s="308"/>
      <c r="CC38" s="285"/>
      <c r="CD38" s="285"/>
      <c r="CE38" s="285"/>
      <c r="CF38" s="285"/>
      <c r="CG38" s="285"/>
      <c r="CH38" s="285"/>
      <c r="CI38" s="285"/>
      <c r="CJ38" s="285"/>
      <c r="CK38" s="285"/>
      <c r="CL38" s="285"/>
      <c r="CM38" s="285"/>
      <c r="CN38" s="285"/>
      <c r="CO38" s="285"/>
      <c r="CP38" s="285"/>
      <c r="CQ38" s="285"/>
      <c r="CR38" s="285"/>
      <c r="CS38" s="285"/>
      <c r="CT38" s="285"/>
      <c r="CU38" s="285"/>
      <c r="CV38" s="285"/>
      <c r="CW38" s="285"/>
      <c r="CX38" s="285"/>
      <c r="CY38" s="285"/>
      <c r="CZ38" s="285"/>
      <c r="DA38" s="285"/>
      <c r="DB38" s="285"/>
      <c r="DC38" s="285"/>
      <c r="DD38" s="285"/>
      <c r="DE38" s="285"/>
      <c r="DF38" s="285"/>
      <c r="DG38" s="309"/>
      <c r="DH38" s="442" t="s">
        <v>2002</v>
      </c>
      <c r="DI38" s="285"/>
      <c r="DJ38" s="76">
        <f t="shared" ref="DJ38:EO38" si="165">IF(DJ$169=0,0,SUMPRODUCT($AN$173:$AN$364,DJ$173:DJ$364,$CY$173:$CY$364,$AS$173:$AS$364))</f>
        <v>0</v>
      </c>
      <c r="DK38" s="76">
        <f t="shared" si="165"/>
        <v>0</v>
      </c>
      <c r="DL38" s="76">
        <f t="shared" si="165"/>
        <v>0</v>
      </c>
      <c r="DM38" s="76">
        <f t="shared" si="165"/>
        <v>0</v>
      </c>
      <c r="DN38" s="76">
        <f t="shared" si="165"/>
        <v>0</v>
      </c>
      <c r="DO38" s="76">
        <f t="shared" si="165"/>
        <v>0</v>
      </c>
      <c r="DP38" s="76">
        <f t="shared" si="165"/>
        <v>0</v>
      </c>
      <c r="DQ38" s="76">
        <f t="shared" si="165"/>
        <v>0</v>
      </c>
      <c r="DR38" s="76">
        <f t="shared" si="165"/>
        <v>0</v>
      </c>
      <c r="DS38" s="76">
        <f t="shared" si="165"/>
        <v>0</v>
      </c>
      <c r="DT38" s="76">
        <f t="shared" si="165"/>
        <v>0</v>
      </c>
      <c r="DU38" s="76">
        <f t="shared" si="165"/>
        <v>0</v>
      </c>
      <c r="DV38" s="76">
        <f t="shared" si="165"/>
        <v>0</v>
      </c>
      <c r="DW38" s="76">
        <f t="shared" si="165"/>
        <v>0</v>
      </c>
      <c r="DX38" s="76">
        <f t="shared" si="165"/>
        <v>0</v>
      </c>
      <c r="DY38" s="76">
        <f t="shared" si="165"/>
        <v>0</v>
      </c>
      <c r="DZ38" s="76">
        <f t="shared" si="165"/>
        <v>0</v>
      </c>
      <c r="EA38" s="76">
        <f t="shared" si="165"/>
        <v>0</v>
      </c>
      <c r="EB38" s="76">
        <f t="shared" si="165"/>
        <v>0</v>
      </c>
      <c r="EC38" s="76">
        <f t="shared" si="165"/>
        <v>0</v>
      </c>
      <c r="ED38" s="76">
        <f t="shared" si="165"/>
        <v>0</v>
      </c>
      <c r="EE38" s="76">
        <f t="shared" si="165"/>
        <v>0</v>
      </c>
      <c r="EF38" s="76">
        <f t="shared" si="165"/>
        <v>0</v>
      </c>
      <c r="EG38" s="76">
        <f t="shared" si="165"/>
        <v>0</v>
      </c>
      <c r="EH38" s="76">
        <f t="shared" si="165"/>
        <v>0</v>
      </c>
      <c r="EI38" s="76">
        <f t="shared" si="165"/>
        <v>0</v>
      </c>
      <c r="EJ38" s="76">
        <f t="shared" si="165"/>
        <v>0</v>
      </c>
      <c r="EK38" s="76">
        <f t="shared" si="165"/>
        <v>0</v>
      </c>
      <c r="EL38" s="76">
        <f t="shared" si="165"/>
        <v>0</v>
      </c>
      <c r="EM38" s="76">
        <f t="shared" si="165"/>
        <v>0</v>
      </c>
      <c r="EN38" s="76">
        <f t="shared" si="165"/>
        <v>0</v>
      </c>
      <c r="EO38" s="76">
        <f t="shared" si="165"/>
        <v>0</v>
      </c>
      <c r="EP38" s="76">
        <f t="shared" ref="EP38:FG38" si="166">IF(EP$169=0,0,SUMPRODUCT($AN$173:$AN$364,EP$173:EP$364,$CY$173:$CY$364,$AS$173:$AS$364))</f>
        <v>0</v>
      </c>
      <c r="EQ38" s="76">
        <f t="shared" si="166"/>
        <v>0</v>
      </c>
      <c r="ER38" s="76">
        <f t="shared" si="166"/>
        <v>0</v>
      </c>
      <c r="ES38" s="76">
        <f t="shared" si="166"/>
        <v>0</v>
      </c>
      <c r="ET38" s="76">
        <f t="shared" si="166"/>
        <v>0</v>
      </c>
      <c r="EU38" s="76">
        <f t="shared" si="166"/>
        <v>0</v>
      </c>
      <c r="EV38" s="76">
        <f t="shared" si="166"/>
        <v>0</v>
      </c>
      <c r="EW38" s="76">
        <f t="shared" si="166"/>
        <v>0</v>
      </c>
      <c r="EX38" s="76">
        <f t="shared" si="166"/>
        <v>0</v>
      </c>
      <c r="EY38" s="76">
        <f t="shared" si="166"/>
        <v>0</v>
      </c>
      <c r="EZ38" s="76">
        <f t="shared" si="166"/>
        <v>0</v>
      </c>
      <c r="FA38" s="76">
        <f t="shared" si="166"/>
        <v>0</v>
      </c>
      <c r="FB38" s="76">
        <f t="shared" si="166"/>
        <v>0</v>
      </c>
      <c r="FC38" s="76">
        <f t="shared" si="166"/>
        <v>0</v>
      </c>
      <c r="FD38" s="76">
        <f t="shared" si="166"/>
        <v>0</v>
      </c>
      <c r="FE38" s="76">
        <f t="shared" si="166"/>
        <v>0</v>
      </c>
      <c r="FF38" s="76">
        <f t="shared" si="166"/>
        <v>0</v>
      </c>
      <c r="FG38" s="76">
        <f t="shared" si="166"/>
        <v>0</v>
      </c>
      <c r="FH38" s="922"/>
      <c r="FI38" s="305"/>
      <c r="FJ38" s="307"/>
      <c r="FK38" s="307"/>
      <c r="FL38" s="285"/>
      <c r="FM38" s="285"/>
      <c r="FN38" s="285"/>
      <c r="FO38" s="285"/>
      <c r="FP38" s="285"/>
      <c r="FQ38" s="285"/>
      <c r="FR38" s="285"/>
      <c r="FS38" s="285"/>
      <c r="FT38" s="285"/>
      <c r="FU38" s="285"/>
      <c r="FV38" s="285"/>
      <c r="FW38" s="285"/>
      <c r="FX38" s="285"/>
      <c r="FY38" s="285"/>
      <c r="FZ38" s="285"/>
      <c r="GA38" s="285"/>
      <c r="GB38" s="285"/>
      <c r="GC38" s="285"/>
      <c r="GD38" s="285"/>
      <c r="GE38" s="285"/>
      <c r="GF38" s="285"/>
      <c r="GG38" s="285"/>
      <c r="GH38" s="285"/>
      <c r="GI38" s="285"/>
      <c r="GJ38" s="285"/>
      <c r="GK38" s="285"/>
      <c r="GL38" s="285"/>
      <c r="GM38" s="285"/>
      <c r="GN38" s="285"/>
      <c r="GO38" s="285"/>
      <c r="GP38" s="285"/>
      <c r="GQ38" s="285"/>
      <c r="GR38" s="285"/>
      <c r="GS38" s="285"/>
      <c r="GT38" s="285"/>
      <c r="GU38" s="285"/>
      <c r="GV38" s="285"/>
      <c r="GW38" s="285"/>
      <c r="GX38" s="285"/>
      <c r="GY38" s="285"/>
      <c r="GZ38" s="285"/>
      <c r="HA38" s="285"/>
      <c r="HB38" s="285"/>
      <c r="HC38" s="285"/>
      <c r="HD38" s="285"/>
      <c r="HE38" s="285"/>
      <c r="HF38" s="285"/>
      <c r="HG38" s="285"/>
      <c r="HH38" s="285"/>
      <c r="HI38" s="285"/>
      <c r="HJ38" s="285"/>
      <c r="HK38" s="285"/>
      <c r="HL38" s="285"/>
      <c r="HM38" s="285"/>
      <c r="HN38" s="285"/>
      <c r="HO38" s="285"/>
      <c r="HP38" s="285"/>
      <c r="HQ38" s="285"/>
      <c r="HR38" s="285"/>
      <c r="HS38" s="285"/>
      <c r="HT38" s="285"/>
      <c r="HU38" s="285"/>
      <c r="HV38" s="285"/>
      <c r="HW38" s="285"/>
      <c r="HX38" s="285"/>
      <c r="HY38" s="285"/>
      <c r="HZ38" s="285"/>
      <c r="IA38" s="285"/>
      <c r="IB38" s="285"/>
      <c r="IC38" s="285"/>
      <c r="ID38" s="285"/>
      <c r="IE38" s="285"/>
      <c r="IF38" s="285"/>
      <c r="IG38" s="285"/>
      <c r="IH38" s="285"/>
      <c r="II38" s="285"/>
      <c r="IJ38" s="285"/>
      <c r="IK38" s="285"/>
      <c r="IL38" s="285"/>
      <c r="IM38" s="285"/>
      <c r="IN38" s="285"/>
      <c r="IO38" s="285"/>
      <c r="IP38" s="285"/>
      <c r="IQ38" s="285"/>
      <c r="IR38" s="285"/>
      <c r="IS38" s="285"/>
      <c r="IT38" s="285"/>
      <c r="IU38" s="285"/>
      <c r="IV38" s="285"/>
      <c r="IW38" s="285"/>
      <c r="IX38" s="285"/>
      <c r="IY38" s="285"/>
      <c r="IZ38" s="285"/>
      <c r="JA38" s="285"/>
      <c r="JB38" s="285"/>
      <c r="JC38" s="285"/>
      <c r="JD38" s="285"/>
      <c r="JE38" s="285"/>
      <c r="JF38" s="285"/>
      <c r="JG38" s="285"/>
      <c r="JH38" s="285"/>
      <c r="JI38" s="285"/>
      <c r="JJ38" s="285"/>
      <c r="JK38" s="285"/>
      <c r="JL38" s="285"/>
      <c r="JM38" s="285"/>
      <c r="JN38" s="285"/>
      <c r="JO38" s="285"/>
      <c r="JP38" s="285"/>
      <c r="JQ38" s="285"/>
      <c r="JR38" s="285"/>
      <c r="JS38" s="285"/>
      <c r="JT38" s="285"/>
      <c r="JU38" s="285"/>
      <c r="JV38" s="285"/>
      <c r="JW38" s="285"/>
      <c r="JX38" s="285"/>
      <c r="JY38" s="285"/>
      <c r="JZ38" s="285"/>
      <c r="KA38" s="285"/>
      <c r="KB38" s="285"/>
      <c r="KC38" s="285"/>
      <c r="KD38" s="285"/>
      <c r="KE38" s="285"/>
      <c r="KF38" s="285"/>
      <c r="KG38" s="285"/>
      <c r="KH38" s="285"/>
      <c r="KI38" s="285"/>
      <c r="KJ38" s="285"/>
      <c r="KK38" s="285"/>
      <c r="KL38" s="285"/>
      <c r="KM38" s="285"/>
      <c r="KN38" s="285"/>
      <c r="KO38" s="285"/>
      <c r="KP38" s="285"/>
      <c r="KQ38" s="285"/>
      <c r="KR38" s="285"/>
      <c r="KS38" s="285"/>
      <c r="KT38" s="285"/>
      <c r="KU38" s="285"/>
      <c r="KV38" s="285"/>
      <c r="KW38" s="285"/>
      <c r="KX38" s="285"/>
      <c r="KY38" s="285"/>
      <c r="KZ38" s="285"/>
      <c r="LA38" s="285"/>
      <c r="LB38" s="285"/>
      <c r="LC38" s="285"/>
      <c r="LD38" s="285"/>
      <c r="LE38" s="285"/>
      <c r="LF38" s="285"/>
      <c r="LG38" s="285"/>
      <c r="LH38" s="285"/>
      <c r="LI38" s="285"/>
      <c r="LJ38" s="285"/>
      <c r="LK38" s="285"/>
      <c r="LL38" s="285"/>
      <c r="LM38" s="285"/>
      <c r="LN38" s="285"/>
      <c r="LO38" s="285"/>
      <c r="LP38" s="285"/>
    </row>
    <row r="39" spans="1:328" ht="12.75" hidden="1" customHeight="1" x14ac:dyDescent="0.3">
      <c r="A39" s="285"/>
      <c r="B39" s="285"/>
      <c r="C39" s="299">
        <v>-0.2</v>
      </c>
      <c r="D39" s="295"/>
      <c r="E39" s="285"/>
      <c r="F39" s="285"/>
      <c r="G39" s="285"/>
      <c r="H39" s="285"/>
      <c r="I39" s="285"/>
      <c r="J39" s="285"/>
      <c r="K39" s="285"/>
      <c r="L39" s="285"/>
      <c r="M39" s="285"/>
      <c r="N39" s="285"/>
      <c r="O39" s="285"/>
      <c r="P39" s="287"/>
      <c r="Q39" s="287"/>
      <c r="R39" s="287"/>
      <c r="S39" s="285"/>
      <c r="T39" s="285"/>
      <c r="U39" s="285"/>
      <c r="V39" s="285"/>
      <c r="W39" s="285"/>
      <c r="X39" s="285"/>
      <c r="Y39" s="285"/>
      <c r="Z39" s="285"/>
      <c r="AA39" s="285"/>
      <c r="AB39" s="285"/>
      <c r="AC39" s="285"/>
      <c r="AD39" s="285"/>
      <c r="AE39" s="285"/>
      <c r="AF39" s="285"/>
      <c r="AG39" s="285"/>
      <c r="AH39" s="2513"/>
      <c r="AI39" s="285"/>
      <c r="AJ39" s="285"/>
      <c r="AK39" s="285"/>
      <c r="AL39" s="285"/>
      <c r="AM39" s="285"/>
      <c r="AN39" s="285"/>
      <c r="AO39" s="285"/>
      <c r="AP39" s="285"/>
      <c r="AQ39" s="285"/>
      <c r="AR39" s="285"/>
      <c r="AS39" s="285"/>
      <c r="AT39" s="285"/>
      <c r="AU39" s="285"/>
      <c r="AV39" s="285"/>
      <c r="AW39" s="285"/>
      <c r="AX39" s="285"/>
      <c r="AY39" s="308"/>
      <c r="AZ39" s="308"/>
      <c r="BA39" s="308"/>
      <c r="BB39" s="308"/>
      <c r="BC39" s="308"/>
      <c r="BD39" s="308"/>
      <c r="BE39" s="308"/>
      <c r="BF39" s="308"/>
      <c r="BG39" s="308"/>
      <c r="BH39" s="285"/>
      <c r="BI39" s="308"/>
      <c r="BJ39" s="308"/>
      <c r="BK39" s="308"/>
      <c r="BL39" s="308"/>
      <c r="BM39" s="308"/>
      <c r="BN39" s="308"/>
      <c r="BO39" s="308"/>
      <c r="BP39" s="308"/>
      <c r="BQ39" s="308"/>
      <c r="BR39" s="308"/>
      <c r="BS39" s="308"/>
      <c r="BT39" s="308"/>
      <c r="BU39" s="308"/>
      <c r="BV39" s="308"/>
      <c r="BW39" s="308"/>
      <c r="BX39" s="308"/>
      <c r="BY39" s="308"/>
      <c r="BZ39" s="308"/>
      <c r="CA39" s="308"/>
      <c r="CB39" s="308"/>
      <c r="CC39" s="285"/>
      <c r="CD39" s="285"/>
      <c r="CE39" s="285"/>
      <c r="CF39" s="285"/>
      <c r="CG39" s="285"/>
      <c r="CH39" s="285"/>
      <c r="CI39" s="285"/>
      <c r="CJ39" s="285"/>
      <c r="CK39" s="285"/>
      <c r="CL39" s="285"/>
      <c r="CM39" s="285"/>
      <c r="CN39" s="285"/>
      <c r="CO39" s="285"/>
      <c r="CP39" s="285"/>
      <c r="CQ39" s="285"/>
      <c r="CR39" s="285"/>
      <c r="CS39" s="285"/>
      <c r="CT39" s="285"/>
      <c r="CU39" s="285"/>
      <c r="CV39" s="285"/>
      <c r="CW39" s="285"/>
      <c r="CX39" s="285"/>
      <c r="CY39" s="285"/>
      <c r="CZ39" s="285"/>
      <c r="DA39" s="285"/>
      <c r="DB39" s="285"/>
      <c r="DC39" s="285"/>
      <c r="DD39" s="285"/>
      <c r="DE39" s="285"/>
      <c r="DF39" s="285"/>
      <c r="DG39" s="309"/>
      <c r="DH39" s="442" t="s">
        <v>2003</v>
      </c>
      <c r="DI39" s="285"/>
      <c r="DJ39" s="76">
        <f t="shared" ref="DJ39:EO39" si="167">IF(DJ$169=0,0,SUMPRODUCT($AN$173:$AN$364,DJ$173:DJ$364,$CY$173:$CY$364,$AT$173:$AT$364))</f>
        <v>0</v>
      </c>
      <c r="DK39" s="76">
        <f t="shared" si="167"/>
        <v>0</v>
      </c>
      <c r="DL39" s="76">
        <f t="shared" si="167"/>
        <v>0</v>
      </c>
      <c r="DM39" s="76">
        <f t="shared" si="167"/>
        <v>0</v>
      </c>
      <c r="DN39" s="76">
        <f t="shared" si="167"/>
        <v>0</v>
      </c>
      <c r="DO39" s="76">
        <f t="shared" si="167"/>
        <v>0</v>
      </c>
      <c r="DP39" s="76">
        <f t="shared" si="167"/>
        <v>0</v>
      </c>
      <c r="DQ39" s="76">
        <f t="shared" si="167"/>
        <v>0</v>
      </c>
      <c r="DR39" s="76">
        <f t="shared" si="167"/>
        <v>0</v>
      </c>
      <c r="DS39" s="76">
        <f t="shared" si="167"/>
        <v>0</v>
      </c>
      <c r="DT39" s="76">
        <f t="shared" si="167"/>
        <v>0</v>
      </c>
      <c r="DU39" s="76">
        <f t="shared" si="167"/>
        <v>0</v>
      </c>
      <c r="DV39" s="76">
        <f t="shared" si="167"/>
        <v>0</v>
      </c>
      <c r="DW39" s="76">
        <f t="shared" si="167"/>
        <v>0</v>
      </c>
      <c r="DX39" s="76">
        <f t="shared" si="167"/>
        <v>0</v>
      </c>
      <c r="DY39" s="76">
        <f t="shared" si="167"/>
        <v>0</v>
      </c>
      <c r="DZ39" s="76">
        <f t="shared" si="167"/>
        <v>0</v>
      </c>
      <c r="EA39" s="76">
        <f t="shared" si="167"/>
        <v>0</v>
      </c>
      <c r="EB39" s="76">
        <f t="shared" si="167"/>
        <v>0</v>
      </c>
      <c r="EC39" s="76">
        <f t="shared" si="167"/>
        <v>0</v>
      </c>
      <c r="ED39" s="76">
        <f t="shared" si="167"/>
        <v>0</v>
      </c>
      <c r="EE39" s="76">
        <f t="shared" si="167"/>
        <v>0</v>
      </c>
      <c r="EF39" s="76">
        <f t="shared" si="167"/>
        <v>0</v>
      </c>
      <c r="EG39" s="76">
        <f t="shared" si="167"/>
        <v>0</v>
      </c>
      <c r="EH39" s="76">
        <f t="shared" si="167"/>
        <v>0</v>
      </c>
      <c r="EI39" s="76">
        <f t="shared" si="167"/>
        <v>0</v>
      </c>
      <c r="EJ39" s="76">
        <f t="shared" si="167"/>
        <v>0</v>
      </c>
      <c r="EK39" s="76">
        <f t="shared" si="167"/>
        <v>0</v>
      </c>
      <c r="EL39" s="76">
        <f t="shared" si="167"/>
        <v>0</v>
      </c>
      <c r="EM39" s="76">
        <f t="shared" si="167"/>
        <v>0</v>
      </c>
      <c r="EN39" s="76">
        <f t="shared" si="167"/>
        <v>0</v>
      </c>
      <c r="EO39" s="76">
        <f t="shared" si="167"/>
        <v>0</v>
      </c>
      <c r="EP39" s="76">
        <f t="shared" ref="EP39:FG39" si="168">IF(EP$169=0,0,SUMPRODUCT($AN$173:$AN$364,EP$173:EP$364,$CY$173:$CY$364,$AT$173:$AT$364))</f>
        <v>0</v>
      </c>
      <c r="EQ39" s="76">
        <f t="shared" si="168"/>
        <v>0</v>
      </c>
      <c r="ER39" s="76">
        <f t="shared" si="168"/>
        <v>0</v>
      </c>
      <c r="ES39" s="76">
        <f t="shared" si="168"/>
        <v>0</v>
      </c>
      <c r="ET39" s="76">
        <f t="shared" si="168"/>
        <v>0</v>
      </c>
      <c r="EU39" s="76">
        <f t="shared" si="168"/>
        <v>0</v>
      </c>
      <c r="EV39" s="76">
        <f t="shared" si="168"/>
        <v>0</v>
      </c>
      <c r="EW39" s="76">
        <f t="shared" si="168"/>
        <v>0</v>
      </c>
      <c r="EX39" s="76">
        <f t="shared" si="168"/>
        <v>0</v>
      </c>
      <c r="EY39" s="76">
        <f t="shared" si="168"/>
        <v>0</v>
      </c>
      <c r="EZ39" s="76">
        <f t="shared" si="168"/>
        <v>0</v>
      </c>
      <c r="FA39" s="76">
        <f t="shared" si="168"/>
        <v>0</v>
      </c>
      <c r="FB39" s="76">
        <f t="shared" si="168"/>
        <v>0</v>
      </c>
      <c r="FC39" s="76">
        <f t="shared" si="168"/>
        <v>0</v>
      </c>
      <c r="FD39" s="76">
        <f t="shared" si="168"/>
        <v>0</v>
      </c>
      <c r="FE39" s="76">
        <f t="shared" si="168"/>
        <v>0</v>
      </c>
      <c r="FF39" s="76">
        <f t="shared" si="168"/>
        <v>0</v>
      </c>
      <c r="FG39" s="76">
        <f t="shared" si="168"/>
        <v>0</v>
      </c>
      <c r="FH39" s="922"/>
      <c r="FI39" s="305"/>
      <c r="FJ39" s="307"/>
      <c r="FK39" s="307"/>
      <c r="FL39" s="285"/>
      <c r="FM39" s="285"/>
      <c r="FN39" s="285"/>
      <c r="FO39" s="285"/>
      <c r="FP39" s="285"/>
      <c r="FQ39" s="285"/>
      <c r="FR39" s="285"/>
      <c r="FS39" s="285"/>
      <c r="FT39" s="285"/>
      <c r="FU39" s="285"/>
      <c r="FV39" s="285"/>
      <c r="FW39" s="285"/>
      <c r="FX39" s="285"/>
      <c r="FY39" s="285"/>
      <c r="FZ39" s="285"/>
      <c r="GA39" s="285"/>
      <c r="GB39" s="285"/>
      <c r="GC39" s="285"/>
      <c r="GD39" s="285"/>
      <c r="GE39" s="285"/>
      <c r="GF39" s="285"/>
      <c r="GG39" s="285"/>
      <c r="GH39" s="285"/>
      <c r="GI39" s="285"/>
      <c r="GJ39" s="285"/>
      <c r="GK39" s="285"/>
      <c r="GL39" s="285"/>
      <c r="GM39" s="285"/>
      <c r="GN39" s="285"/>
      <c r="GO39" s="285"/>
      <c r="GP39" s="308" t="s">
        <v>2115</v>
      </c>
      <c r="GQ39" s="304" t="s">
        <v>840</v>
      </c>
      <c r="GR39" s="1016">
        <f>MAX(MAX(GT150:LP150),1)</f>
        <v>2.8395833333333331</v>
      </c>
      <c r="GS39" s="285"/>
      <c r="GT39" s="285"/>
      <c r="GU39" s="285"/>
      <c r="GV39" s="285"/>
      <c r="GW39" s="285"/>
      <c r="GX39" s="285"/>
      <c r="GY39" s="285"/>
      <c r="GZ39" s="285"/>
      <c r="HA39" s="285"/>
      <c r="HB39" s="285"/>
      <c r="HC39" s="285"/>
      <c r="HD39" s="285"/>
      <c r="HE39" s="285"/>
      <c r="HF39" s="285"/>
      <c r="HG39" s="285"/>
      <c r="HH39" s="285"/>
      <c r="HI39" s="285"/>
      <c r="HJ39" s="285"/>
      <c r="HK39" s="285"/>
      <c r="HL39" s="285"/>
      <c r="HM39" s="285"/>
      <c r="HN39" s="285"/>
      <c r="HO39" s="285"/>
      <c r="HP39" s="285"/>
      <c r="HQ39" s="285"/>
      <c r="HR39" s="285"/>
      <c r="HS39" s="285"/>
      <c r="HT39" s="285"/>
      <c r="HU39" s="285"/>
      <c r="HV39" s="285"/>
      <c r="HW39" s="285"/>
      <c r="HX39" s="285"/>
      <c r="HY39" s="285"/>
      <c r="HZ39" s="285"/>
      <c r="IA39" s="285"/>
      <c r="IB39" s="285"/>
      <c r="IC39" s="285"/>
      <c r="ID39" s="285"/>
      <c r="IE39" s="285"/>
      <c r="IF39" s="285"/>
      <c r="IG39" s="285"/>
      <c r="IH39" s="285"/>
      <c r="II39" s="285"/>
      <c r="IJ39" s="285"/>
      <c r="IK39" s="285"/>
      <c r="IL39" s="285"/>
      <c r="IM39" s="285"/>
      <c r="IN39" s="285"/>
      <c r="IO39" s="285"/>
      <c r="IP39" s="285"/>
      <c r="IQ39" s="285"/>
      <c r="IR39" s="285"/>
      <c r="IS39" s="285"/>
      <c r="IT39" s="285"/>
      <c r="IU39" s="285"/>
      <c r="IV39" s="285"/>
      <c r="IW39" s="285"/>
      <c r="IX39" s="285"/>
      <c r="IY39" s="285"/>
      <c r="IZ39" s="285"/>
      <c r="JA39" s="285"/>
      <c r="JB39" s="285"/>
      <c r="JC39" s="285"/>
      <c r="JD39" s="285"/>
      <c r="JE39" s="285"/>
      <c r="JF39" s="285"/>
      <c r="JG39" s="285"/>
      <c r="JH39" s="285"/>
      <c r="JI39" s="285"/>
      <c r="JJ39" s="285"/>
      <c r="JK39" s="285"/>
      <c r="JL39" s="285"/>
      <c r="JM39" s="285"/>
      <c r="JN39" s="285"/>
      <c r="JO39" s="285"/>
      <c r="JP39" s="285"/>
      <c r="JQ39" s="285"/>
      <c r="JR39" s="285"/>
      <c r="JS39" s="285"/>
      <c r="JT39" s="285"/>
      <c r="JU39" s="285"/>
      <c r="JV39" s="285"/>
      <c r="JW39" s="285"/>
      <c r="JX39" s="285"/>
      <c r="JY39" s="285"/>
      <c r="JZ39" s="285"/>
      <c r="KA39" s="285"/>
      <c r="KB39" s="285"/>
      <c r="KC39" s="285"/>
      <c r="KD39" s="285"/>
      <c r="KE39" s="285"/>
      <c r="KF39" s="285"/>
      <c r="KG39" s="285"/>
      <c r="KH39" s="285"/>
      <c r="KI39" s="285"/>
      <c r="KJ39" s="285"/>
      <c r="KK39" s="285"/>
      <c r="KL39" s="285"/>
      <c r="KM39" s="285"/>
      <c r="KN39" s="285"/>
      <c r="KO39" s="285"/>
      <c r="KP39" s="285"/>
      <c r="KQ39" s="285"/>
      <c r="KR39" s="285"/>
      <c r="KS39" s="285"/>
      <c r="KT39" s="285"/>
      <c r="KU39" s="285"/>
      <c r="KV39" s="285"/>
      <c r="KW39" s="285"/>
      <c r="KX39" s="285"/>
      <c r="KY39" s="285"/>
      <c r="KZ39" s="285"/>
      <c r="LA39" s="285"/>
      <c r="LB39" s="285"/>
      <c r="LC39" s="285"/>
      <c r="LD39" s="285"/>
      <c r="LE39" s="285"/>
      <c r="LF39" s="285"/>
      <c r="LG39" s="285"/>
      <c r="LH39" s="285"/>
      <c r="LI39" s="285"/>
      <c r="LJ39" s="285"/>
      <c r="LK39" s="285"/>
      <c r="LL39" s="285"/>
      <c r="LM39" s="285"/>
      <c r="LN39" s="285"/>
      <c r="LO39" s="285"/>
      <c r="LP39" s="285"/>
    </row>
    <row r="40" spans="1:328" ht="12.75" hidden="1" customHeight="1" x14ac:dyDescent="0.3">
      <c r="A40" s="285"/>
      <c r="B40" s="285"/>
      <c r="C40" s="299">
        <v>-0.3</v>
      </c>
      <c r="D40" s="295"/>
      <c r="E40" s="285"/>
      <c r="F40" s="285"/>
      <c r="G40" s="285"/>
      <c r="H40" s="285"/>
      <c r="I40" s="285"/>
      <c r="J40" s="285"/>
      <c r="K40" s="285"/>
      <c r="L40" s="285"/>
      <c r="M40" s="285"/>
      <c r="N40" s="285"/>
      <c r="O40" s="285"/>
      <c r="P40" s="287"/>
      <c r="Q40" s="287"/>
      <c r="R40" s="287"/>
      <c r="S40" s="285"/>
      <c r="T40" s="285"/>
      <c r="U40" s="285"/>
      <c r="V40" s="285"/>
      <c r="W40" s="285"/>
      <c r="X40" s="285"/>
      <c r="Y40" s="285"/>
      <c r="Z40" s="285"/>
      <c r="AA40" s="285"/>
      <c r="AB40" s="285"/>
      <c r="AC40" s="285"/>
      <c r="AD40" s="285"/>
      <c r="AE40" s="285"/>
      <c r="AF40" s="285"/>
      <c r="AG40" s="285"/>
      <c r="AH40" s="2513"/>
      <c r="AI40" s="285"/>
      <c r="AJ40" s="285"/>
      <c r="AK40" s="285"/>
      <c r="AL40" s="285"/>
      <c r="AM40" s="285"/>
      <c r="AN40" s="285"/>
      <c r="AO40" s="285"/>
      <c r="AP40" s="285"/>
      <c r="AQ40" s="285"/>
      <c r="AR40" s="285"/>
      <c r="AS40" s="285"/>
      <c r="AT40" s="285"/>
      <c r="AU40" s="285"/>
      <c r="AV40" s="285"/>
      <c r="AW40" s="285"/>
      <c r="AX40" s="285"/>
      <c r="AY40" s="308"/>
      <c r="AZ40" s="308"/>
      <c r="BA40" s="308"/>
      <c r="BB40" s="308"/>
      <c r="BC40" s="308"/>
      <c r="BD40" s="308"/>
      <c r="BE40" s="308"/>
      <c r="BF40" s="308"/>
      <c r="BG40" s="308"/>
      <c r="BH40" s="285"/>
      <c r="BI40" s="308"/>
      <c r="BJ40" s="308"/>
      <c r="BK40" s="308"/>
      <c r="BL40" s="308"/>
      <c r="BM40" s="308"/>
      <c r="BN40" s="308"/>
      <c r="BO40" s="308"/>
      <c r="BP40" s="308"/>
      <c r="BQ40" s="308"/>
      <c r="BR40" s="308"/>
      <c r="BS40" s="308"/>
      <c r="BT40" s="308"/>
      <c r="BU40" s="308"/>
      <c r="BV40" s="308"/>
      <c r="BW40" s="308"/>
      <c r="BX40" s="308"/>
      <c r="BY40" s="308"/>
      <c r="BZ40" s="308"/>
      <c r="CA40" s="308"/>
      <c r="CB40" s="308"/>
      <c r="CC40" s="285"/>
      <c r="CD40" s="285"/>
      <c r="CE40" s="285"/>
      <c r="CF40" s="285"/>
      <c r="CG40" s="285"/>
      <c r="CH40" s="285"/>
      <c r="CI40" s="285"/>
      <c r="CJ40" s="285"/>
      <c r="CK40" s="285"/>
      <c r="CL40" s="285"/>
      <c r="CM40" s="285"/>
      <c r="CN40" s="285"/>
      <c r="CO40" s="285"/>
      <c r="CP40" s="285"/>
      <c r="CQ40" s="285"/>
      <c r="CR40" s="285"/>
      <c r="CS40" s="285"/>
      <c r="CT40" s="285"/>
      <c r="CU40" s="285"/>
      <c r="CV40" s="285"/>
      <c r="CW40" s="285"/>
      <c r="CX40" s="285"/>
      <c r="CY40" s="285"/>
      <c r="CZ40" s="285"/>
      <c r="DA40" s="285"/>
      <c r="DB40" s="285"/>
      <c r="DC40" s="285"/>
      <c r="DD40" s="285"/>
      <c r="DE40" s="285"/>
      <c r="DF40" s="285"/>
      <c r="DG40" s="309"/>
      <c r="DH40" s="442" t="s">
        <v>2004</v>
      </c>
      <c r="DI40" s="285"/>
      <c r="DJ40" s="76">
        <f t="shared" ref="DJ40:EO40" si="169">IF(DJ$169=0,0,SUMPRODUCT($AN$173:$AN$364,DJ$173:DJ$364,$CY$173:$CY$364,$AU$173:$AU$364))</f>
        <v>0</v>
      </c>
      <c r="DK40" s="76">
        <f t="shared" si="169"/>
        <v>0</v>
      </c>
      <c r="DL40" s="76">
        <f t="shared" si="169"/>
        <v>0</v>
      </c>
      <c r="DM40" s="76">
        <f t="shared" si="169"/>
        <v>0</v>
      </c>
      <c r="DN40" s="76">
        <f t="shared" si="169"/>
        <v>0</v>
      </c>
      <c r="DO40" s="76">
        <f t="shared" si="169"/>
        <v>0</v>
      </c>
      <c r="DP40" s="76">
        <f t="shared" si="169"/>
        <v>0</v>
      </c>
      <c r="DQ40" s="76">
        <f t="shared" si="169"/>
        <v>0</v>
      </c>
      <c r="DR40" s="76">
        <f t="shared" si="169"/>
        <v>0</v>
      </c>
      <c r="DS40" s="76">
        <f t="shared" si="169"/>
        <v>0</v>
      </c>
      <c r="DT40" s="76">
        <f t="shared" si="169"/>
        <v>0</v>
      </c>
      <c r="DU40" s="76">
        <f t="shared" si="169"/>
        <v>0</v>
      </c>
      <c r="DV40" s="76">
        <f t="shared" si="169"/>
        <v>0</v>
      </c>
      <c r="DW40" s="76">
        <f t="shared" si="169"/>
        <v>0</v>
      </c>
      <c r="DX40" s="76">
        <f t="shared" si="169"/>
        <v>0</v>
      </c>
      <c r="DY40" s="76">
        <f t="shared" si="169"/>
        <v>0</v>
      </c>
      <c r="DZ40" s="76">
        <f t="shared" si="169"/>
        <v>0</v>
      </c>
      <c r="EA40" s="76">
        <f t="shared" si="169"/>
        <v>0</v>
      </c>
      <c r="EB40" s="76">
        <f t="shared" si="169"/>
        <v>0</v>
      </c>
      <c r="EC40" s="76">
        <f t="shared" si="169"/>
        <v>0</v>
      </c>
      <c r="ED40" s="76">
        <f t="shared" si="169"/>
        <v>0</v>
      </c>
      <c r="EE40" s="76">
        <f t="shared" si="169"/>
        <v>0</v>
      </c>
      <c r="EF40" s="76">
        <f t="shared" si="169"/>
        <v>0</v>
      </c>
      <c r="EG40" s="76">
        <f t="shared" si="169"/>
        <v>0</v>
      </c>
      <c r="EH40" s="76">
        <f t="shared" si="169"/>
        <v>0</v>
      </c>
      <c r="EI40" s="76">
        <f t="shared" si="169"/>
        <v>0</v>
      </c>
      <c r="EJ40" s="76">
        <f t="shared" si="169"/>
        <v>0</v>
      </c>
      <c r="EK40" s="76">
        <f t="shared" si="169"/>
        <v>0</v>
      </c>
      <c r="EL40" s="76">
        <f t="shared" si="169"/>
        <v>0</v>
      </c>
      <c r="EM40" s="76">
        <f t="shared" si="169"/>
        <v>0</v>
      </c>
      <c r="EN40" s="76">
        <f t="shared" si="169"/>
        <v>0</v>
      </c>
      <c r="EO40" s="76">
        <f t="shared" si="169"/>
        <v>0</v>
      </c>
      <c r="EP40" s="76">
        <f t="shared" ref="EP40:FG40" si="170">IF(EP$169=0,0,SUMPRODUCT($AN$173:$AN$364,EP$173:EP$364,$CY$173:$CY$364,$AU$173:$AU$364))</f>
        <v>0</v>
      </c>
      <c r="EQ40" s="76">
        <f t="shared" si="170"/>
        <v>0</v>
      </c>
      <c r="ER40" s="76">
        <f t="shared" si="170"/>
        <v>0</v>
      </c>
      <c r="ES40" s="76">
        <f t="shared" si="170"/>
        <v>0</v>
      </c>
      <c r="ET40" s="76">
        <f t="shared" si="170"/>
        <v>0</v>
      </c>
      <c r="EU40" s="76">
        <f t="shared" si="170"/>
        <v>0</v>
      </c>
      <c r="EV40" s="76">
        <f t="shared" si="170"/>
        <v>0</v>
      </c>
      <c r="EW40" s="76">
        <f t="shared" si="170"/>
        <v>0</v>
      </c>
      <c r="EX40" s="76">
        <f t="shared" si="170"/>
        <v>0</v>
      </c>
      <c r="EY40" s="76">
        <f t="shared" si="170"/>
        <v>0</v>
      </c>
      <c r="EZ40" s="76">
        <f t="shared" si="170"/>
        <v>0</v>
      </c>
      <c r="FA40" s="76">
        <f t="shared" si="170"/>
        <v>0</v>
      </c>
      <c r="FB40" s="76">
        <f t="shared" si="170"/>
        <v>0</v>
      </c>
      <c r="FC40" s="76">
        <f t="shared" si="170"/>
        <v>0</v>
      </c>
      <c r="FD40" s="76">
        <f t="shared" si="170"/>
        <v>0</v>
      </c>
      <c r="FE40" s="76">
        <f t="shared" si="170"/>
        <v>0</v>
      </c>
      <c r="FF40" s="76">
        <f t="shared" si="170"/>
        <v>0</v>
      </c>
      <c r="FG40" s="76">
        <f t="shared" si="170"/>
        <v>0</v>
      </c>
      <c r="FH40" s="922"/>
      <c r="FI40" s="305"/>
      <c r="FJ40" s="307"/>
      <c r="FK40" s="307"/>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row>
    <row r="41" spans="1:328" ht="12.75" hidden="1" customHeight="1" x14ac:dyDescent="0.3">
      <c r="A41" s="285"/>
      <c r="B41" s="285"/>
      <c r="C41" s="299">
        <v>-0.4</v>
      </c>
      <c r="D41" s="295"/>
      <c r="E41" s="285"/>
      <c r="F41" s="285"/>
      <c r="G41" s="285"/>
      <c r="H41" s="285"/>
      <c r="I41" s="285"/>
      <c r="J41" s="285"/>
      <c r="K41" s="285"/>
      <c r="L41" s="285"/>
      <c r="M41" s="285"/>
      <c r="N41" s="285"/>
      <c r="O41" s="285"/>
      <c r="P41" s="287"/>
      <c r="Q41" s="287"/>
      <c r="R41" s="287"/>
      <c r="S41" s="285"/>
      <c r="T41" s="285"/>
      <c r="U41" s="285"/>
      <c r="V41" s="285"/>
      <c r="W41" s="285"/>
      <c r="X41" s="285"/>
      <c r="Y41" s="285"/>
      <c r="Z41" s="285"/>
      <c r="AA41" s="285"/>
      <c r="AB41" s="285"/>
      <c r="AC41" s="285"/>
      <c r="AD41" s="285"/>
      <c r="AE41" s="285"/>
      <c r="AF41" s="285"/>
      <c r="AG41" s="285"/>
      <c r="AH41" s="2513"/>
      <c r="AI41" s="285"/>
      <c r="AJ41" s="285"/>
      <c r="AK41" s="285"/>
      <c r="AL41" s="285"/>
      <c r="AM41" s="285"/>
      <c r="AN41" s="285"/>
      <c r="AO41" s="285"/>
      <c r="AP41" s="285"/>
      <c r="AQ41" s="285"/>
      <c r="AR41" s="285"/>
      <c r="AS41" s="285"/>
      <c r="AT41" s="285"/>
      <c r="AU41" s="285"/>
      <c r="AV41" s="285"/>
      <c r="AW41" s="285"/>
      <c r="AX41" s="285"/>
      <c r="AY41" s="308"/>
      <c r="AZ41" s="308"/>
      <c r="BA41" s="308"/>
      <c r="BB41" s="308"/>
      <c r="BC41" s="308"/>
      <c r="BD41" s="308"/>
      <c r="BE41" s="308"/>
      <c r="BF41" s="308"/>
      <c r="BG41" s="308"/>
      <c r="BH41" s="285"/>
      <c r="BI41" s="308"/>
      <c r="BJ41" s="308"/>
      <c r="BK41" s="308"/>
      <c r="BL41" s="308"/>
      <c r="BM41" s="308"/>
      <c r="BN41" s="308"/>
      <c r="BO41" s="308"/>
      <c r="BP41" s="308"/>
      <c r="BQ41" s="308"/>
      <c r="BR41" s="308"/>
      <c r="BS41" s="308"/>
      <c r="BT41" s="308"/>
      <c r="BU41" s="308"/>
      <c r="BV41" s="308"/>
      <c r="BW41" s="308"/>
      <c r="BX41" s="308"/>
      <c r="BY41" s="308"/>
      <c r="BZ41" s="308"/>
      <c r="CA41" s="308"/>
      <c r="CB41" s="308"/>
      <c r="CC41" s="285"/>
      <c r="CD41" s="285"/>
      <c r="CE41" s="285"/>
      <c r="CF41" s="285"/>
      <c r="CG41" s="285"/>
      <c r="CH41" s="285"/>
      <c r="CI41" s="285"/>
      <c r="CJ41" s="285"/>
      <c r="CK41" s="285"/>
      <c r="CL41" s="285"/>
      <c r="CM41" s="285"/>
      <c r="CN41" s="285"/>
      <c r="CO41" s="285"/>
      <c r="CP41" s="285"/>
      <c r="CQ41" s="285"/>
      <c r="CR41" s="285"/>
      <c r="CS41" s="285"/>
      <c r="CT41" s="285"/>
      <c r="CU41" s="285"/>
      <c r="CV41" s="285"/>
      <c r="CW41" s="285"/>
      <c r="CX41" s="285"/>
      <c r="CY41" s="285"/>
      <c r="CZ41" s="285"/>
      <c r="DA41" s="285"/>
      <c r="DB41" s="285"/>
      <c r="DC41" s="285"/>
      <c r="DD41" s="285"/>
      <c r="DE41" s="285"/>
      <c r="DF41" s="285"/>
      <c r="DG41" s="309"/>
      <c r="DH41" s="442" t="s">
        <v>2005</v>
      </c>
      <c r="DI41" s="285"/>
      <c r="DJ41" s="76">
        <f t="shared" ref="DJ41:EO41" si="171">IF(DJ$169=0,0,SUMPRODUCT($AN$173:$AN$364,DJ$173:DJ$364,$CY$173:$CY$364,$AV$173:$AV$364))</f>
        <v>0</v>
      </c>
      <c r="DK41" s="76">
        <f t="shared" si="171"/>
        <v>0</v>
      </c>
      <c r="DL41" s="76">
        <f t="shared" si="171"/>
        <v>0</v>
      </c>
      <c r="DM41" s="76">
        <f t="shared" si="171"/>
        <v>0</v>
      </c>
      <c r="DN41" s="76">
        <f t="shared" si="171"/>
        <v>0</v>
      </c>
      <c r="DO41" s="76">
        <f t="shared" si="171"/>
        <v>0</v>
      </c>
      <c r="DP41" s="76">
        <f t="shared" si="171"/>
        <v>0</v>
      </c>
      <c r="DQ41" s="76">
        <f t="shared" si="171"/>
        <v>0</v>
      </c>
      <c r="DR41" s="76">
        <f t="shared" si="171"/>
        <v>0</v>
      </c>
      <c r="DS41" s="76">
        <f t="shared" si="171"/>
        <v>0</v>
      </c>
      <c r="DT41" s="76">
        <f t="shared" si="171"/>
        <v>0</v>
      </c>
      <c r="DU41" s="76">
        <f t="shared" si="171"/>
        <v>0</v>
      </c>
      <c r="DV41" s="76">
        <f t="shared" si="171"/>
        <v>0</v>
      </c>
      <c r="DW41" s="76">
        <f t="shared" si="171"/>
        <v>0</v>
      </c>
      <c r="DX41" s="76">
        <f t="shared" si="171"/>
        <v>0</v>
      </c>
      <c r="DY41" s="76">
        <f t="shared" si="171"/>
        <v>0</v>
      </c>
      <c r="DZ41" s="76">
        <f t="shared" si="171"/>
        <v>0</v>
      </c>
      <c r="EA41" s="76">
        <f t="shared" si="171"/>
        <v>0</v>
      </c>
      <c r="EB41" s="76">
        <f t="shared" si="171"/>
        <v>0</v>
      </c>
      <c r="EC41" s="76">
        <f t="shared" si="171"/>
        <v>0</v>
      </c>
      <c r="ED41" s="76">
        <f t="shared" si="171"/>
        <v>0</v>
      </c>
      <c r="EE41" s="76">
        <f t="shared" si="171"/>
        <v>0</v>
      </c>
      <c r="EF41" s="76">
        <f t="shared" si="171"/>
        <v>0</v>
      </c>
      <c r="EG41" s="76">
        <f t="shared" si="171"/>
        <v>0</v>
      </c>
      <c r="EH41" s="76">
        <f t="shared" si="171"/>
        <v>0</v>
      </c>
      <c r="EI41" s="76">
        <f t="shared" si="171"/>
        <v>0</v>
      </c>
      <c r="EJ41" s="76">
        <f t="shared" si="171"/>
        <v>0</v>
      </c>
      <c r="EK41" s="76">
        <f t="shared" si="171"/>
        <v>0</v>
      </c>
      <c r="EL41" s="76">
        <f t="shared" si="171"/>
        <v>0</v>
      </c>
      <c r="EM41" s="76">
        <f t="shared" si="171"/>
        <v>0</v>
      </c>
      <c r="EN41" s="76">
        <f t="shared" si="171"/>
        <v>0</v>
      </c>
      <c r="EO41" s="76">
        <f t="shared" si="171"/>
        <v>0</v>
      </c>
      <c r="EP41" s="76">
        <f t="shared" ref="EP41:FG41" si="172">IF(EP$169=0,0,SUMPRODUCT($AN$173:$AN$364,EP$173:EP$364,$CY$173:$CY$364,$AV$173:$AV$364))</f>
        <v>0</v>
      </c>
      <c r="EQ41" s="76">
        <f t="shared" si="172"/>
        <v>0</v>
      </c>
      <c r="ER41" s="76">
        <f t="shared" si="172"/>
        <v>0</v>
      </c>
      <c r="ES41" s="76">
        <f t="shared" si="172"/>
        <v>0</v>
      </c>
      <c r="ET41" s="76">
        <f t="shared" si="172"/>
        <v>0</v>
      </c>
      <c r="EU41" s="76">
        <f t="shared" si="172"/>
        <v>0</v>
      </c>
      <c r="EV41" s="76">
        <f t="shared" si="172"/>
        <v>0</v>
      </c>
      <c r="EW41" s="76">
        <f t="shared" si="172"/>
        <v>0</v>
      </c>
      <c r="EX41" s="76">
        <f t="shared" si="172"/>
        <v>0</v>
      </c>
      <c r="EY41" s="76">
        <f t="shared" si="172"/>
        <v>0</v>
      </c>
      <c r="EZ41" s="76">
        <f t="shared" si="172"/>
        <v>0</v>
      </c>
      <c r="FA41" s="76">
        <f t="shared" si="172"/>
        <v>0</v>
      </c>
      <c r="FB41" s="76">
        <f t="shared" si="172"/>
        <v>0</v>
      </c>
      <c r="FC41" s="76">
        <f t="shared" si="172"/>
        <v>0</v>
      </c>
      <c r="FD41" s="76">
        <f t="shared" si="172"/>
        <v>0</v>
      </c>
      <c r="FE41" s="76">
        <f t="shared" si="172"/>
        <v>0</v>
      </c>
      <c r="FF41" s="76">
        <f t="shared" si="172"/>
        <v>0</v>
      </c>
      <c r="FG41" s="76">
        <f t="shared" si="172"/>
        <v>0</v>
      </c>
      <c r="FH41" s="922"/>
      <c r="FI41" s="305"/>
      <c r="FJ41" s="307"/>
      <c r="FK41" s="307"/>
      <c r="FL41" s="285"/>
      <c r="FM41" s="285"/>
      <c r="FN41" s="285"/>
      <c r="FO41" s="285"/>
      <c r="FP41" s="285"/>
      <c r="FQ41" s="285"/>
      <c r="FR41" s="285"/>
      <c r="FS41" s="285"/>
      <c r="FT41" s="285"/>
      <c r="FU41" s="285"/>
      <c r="FV41" s="285"/>
      <c r="FW41" s="285"/>
      <c r="FX41" s="285"/>
      <c r="FY41" s="285"/>
      <c r="FZ41" s="285"/>
      <c r="GA41" s="285"/>
      <c r="GB41" s="285"/>
      <c r="GC41" s="285"/>
      <c r="GD41" s="285"/>
      <c r="GE41" s="285"/>
      <c r="GF41" s="285"/>
      <c r="GG41" s="285"/>
      <c r="GH41" s="285"/>
      <c r="GI41" s="285"/>
      <c r="GJ41" s="285"/>
      <c r="GK41" s="285"/>
      <c r="GL41" s="285"/>
      <c r="GM41" s="285"/>
      <c r="GN41" s="1551" t="s">
        <v>2529</v>
      </c>
      <c r="GO41" s="2137">
        <f>INDEX(GT36:LQ36,MATCH(MAX(GT171:LQ171),GT171:LQ171,0))</f>
        <v>1</v>
      </c>
      <c r="GP41" s="285"/>
      <c r="GQ41" s="285"/>
      <c r="GR41" s="40"/>
      <c r="GS41" s="285"/>
      <c r="GT41" s="285"/>
      <c r="GU41" s="285"/>
      <c r="GV41" s="285"/>
      <c r="GW41" s="285"/>
      <c r="GX41" s="285"/>
      <c r="GY41" s="285"/>
      <c r="GZ41" s="285"/>
      <c r="HA41" s="285"/>
      <c r="HB41" s="285"/>
      <c r="HC41" s="285"/>
      <c r="HD41" s="285"/>
      <c r="HE41" s="285"/>
      <c r="HF41" s="285"/>
      <c r="HG41" s="285"/>
      <c r="HH41" s="285"/>
      <c r="HI41" s="285"/>
      <c r="HJ41" s="285"/>
      <c r="HK41" s="285"/>
      <c r="HL41" s="285"/>
      <c r="HM41" s="285"/>
      <c r="HN41" s="285"/>
      <c r="HO41" s="285"/>
      <c r="HP41" s="285"/>
      <c r="HQ41" s="285"/>
      <c r="HR41" s="285"/>
      <c r="HS41" s="285"/>
      <c r="HT41" s="285"/>
      <c r="HU41" s="285"/>
      <c r="HV41" s="285"/>
      <c r="HW41" s="285"/>
      <c r="HX41" s="285"/>
      <c r="HY41" s="285"/>
      <c r="HZ41" s="285"/>
      <c r="IA41" s="285"/>
      <c r="IB41" s="285"/>
      <c r="IC41" s="285"/>
      <c r="ID41" s="285"/>
      <c r="IE41" s="285"/>
      <c r="IF41" s="285"/>
      <c r="IG41" s="285"/>
      <c r="IH41" s="285"/>
      <c r="II41" s="285"/>
      <c r="IJ41" s="285"/>
      <c r="IK41" s="285"/>
      <c r="IL41" s="285"/>
      <c r="IM41" s="285"/>
      <c r="IN41" s="285"/>
      <c r="IO41" s="285"/>
      <c r="IP41" s="285"/>
      <c r="IQ41" s="285"/>
      <c r="IR41" s="285"/>
      <c r="IS41" s="285"/>
      <c r="IT41" s="285"/>
      <c r="IU41" s="285"/>
      <c r="IV41" s="285"/>
      <c r="IW41" s="285"/>
      <c r="IX41" s="285"/>
      <c r="IY41" s="285"/>
      <c r="IZ41" s="285"/>
      <c r="JA41" s="285"/>
      <c r="JB41" s="285"/>
      <c r="JC41" s="285"/>
      <c r="JD41" s="285"/>
      <c r="JE41" s="285"/>
      <c r="JF41" s="285"/>
      <c r="JG41" s="285"/>
      <c r="JH41" s="285"/>
      <c r="JI41" s="285"/>
      <c r="JJ41" s="285"/>
      <c r="JK41" s="285"/>
      <c r="JL41" s="285"/>
      <c r="JM41" s="285"/>
      <c r="JN41" s="285"/>
      <c r="JO41" s="285"/>
      <c r="JP41" s="285"/>
      <c r="JQ41" s="285"/>
      <c r="JR41" s="285"/>
      <c r="JS41" s="285"/>
      <c r="JT41" s="285"/>
      <c r="JU41" s="285"/>
      <c r="JV41" s="285"/>
      <c r="JW41" s="285"/>
      <c r="JX41" s="285"/>
      <c r="JY41" s="285"/>
      <c r="JZ41" s="285"/>
      <c r="KA41" s="285"/>
      <c r="KB41" s="285"/>
      <c r="KC41" s="285"/>
      <c r="KD41" s="285"/>
      <c r="KE41" s="285"/>
      <c r="KF41" s="285"/>
      <c r="KG41" s="285"/>
      <c r="KH41" s="285"/>
      <c r="KI41" s="285"/>
      <c r="KJ41" s="285"/>
      <c r="KK41" s="285"/>
      <c r="KL41" s="285"/>
      <c r="KM41" s="285"/>
      <c r="KN41" s="285"/>
      <c r="KO41" s="285"/>
      <c r="KP41" s="285"/>
      <c r="KQ41" s="285"/>
      <c r="KR41" s="285"/>
      <c r="KS41" s="285"/>
      <c r="KT41" s="285"/>
      <c r="KU41" s="285"/>
      <c r="KV41" s="285"/>
      <c r="KW41" s="285"/>
      <c r="KX41" s="285"/>
      <c r="KY41" s="285"/>
      <c r="KZ41" s="285"/>
      <c r="LA41" s="285"/>
      <c r="LB41" s="285"/>
      <c r="LC41" s="285"/>
      <c r="LD41" s="285"/>
      <c r="LE41" s="285"/>
      <c r="LF41" s="285"/>
      <c r="LG41" s="285"/>
      <c r="LH41" s="285"/>
      <c r="LI41" s="285"/>
      <c r="LJ41" s="285"/>
      <c r="LK41" s="285"/>
      <c r="LL41" s="285"/>
      <c r="LM41" s="285"/>
      <c r="LN41" s="285"/>
      <c r="LO41" s="285"/>
      <c r="LP41" s="285"/>
    </row>
    <row r="42" spans="1:328" ht="12.75" hidden="1" customHeight="1" x14ac:dyDescent="0.3">
      <c r="A42" s="285"/>
      <c r="B42" s="285"/>
      <c r="C42" s="299">
        <v>-0.5</v>
      </c>
      <c r="D42" s="295"/>
      <c r="E42" s="285"/>
      <c r="F42" s="285"/>
      <c r="G42" s="285"/>
      <c r="H42" s="285"/>
      <c r="I42" s="285"/>
      <c r="J42" s="285"/>
      <c r="K42" s="285"/>
      <c r="L42" s="285"/>
      <c r="M42" s="285"/>
      <c r="N42" s="285"/>
      <c r="O42" s="285"/>
      <c r="P42" s="287"/>
      <c r="Q42" s="287"/>
      <c r="R42" s="287"/>
      <c r="S42" s="285"/>
      <c r="T42" s="285"/>
      <c r="U42" s="285"/>
      <c r="V42" s="285"/>
      <c r="W42" s="285"/>
      <c r="X42" s="285"/>
      <c r="Y42" s="285"/>
      <c r="Z42" s="285"/>
      <c r="AA42" s="285"/>
      <c r="AB42" s="285"/>
      <c r="AC42" s="285"/>
      <c r="AD42" s="285"/>
      <c r="AE42" s="285"/>
      <c r="AF42" s="285"/>
      <c r="AG42" s="285"/>
      <c r="AH42" s="2513"/>
      <c r="AI42" s="285"/>
      <c r="AJ42" s="285"/>
      <c r="AK42" s="285"/>
      <c r="AL42" s="285"/>
      <c r="AM42" s="285"/>
      <c r="AN42" s="285"/>
      <c r="AO42" s="285"/>
      <c r="AP42" s="285"/>
      <c r="AQ42" s="285"/>
      <c r="AR42" s="285"/>
      <c r="AS42" s="285"/>
      <c r="AT42" s="285"/>
      <c r="AU42" s="285"/>
      <c r="AV42" s="285"/>
      <c r="AW42" s="285"/>
      <c r="AX42" s="285"/>
      <c r="AY42" s="308"/>
      <c r="AZ42" s="308"/>
      <c r="BA42" s="308"/>
      <c r="BB42" s="308"/>
      <c r="BC42" s="308"/>
      <c r="BD42" s="308"/>
      <c r="BE42" s="308"/>
      <c r="BF42" s="308"/>
      <c r="BG42" s="308"/>
      <c r="BH42" s="285"/>
      <c r="BI42" s="308"/>
      <c r="BJ42" s="308"/>
      <c r="BK42" s="308"/>
      <c r="BL42" s="308"/>
      <c r="BM42" s="308"/>
      <c r="BN42" s="308"/>
      <c r="BO42" s="308"/>
      <c r="BP42" s="308"/>
      <c r="BQ42" s="308"/>
      <c r="BR42" s="308"/>
      <c r="BS42" s="308"/>
      <c r="BT42" s="308"/>
      <c r="BU42" s="308"/>
      <c r="BV42" s="308"/>
      <c r="BW42" s="308"/>
      <c r="BX42" s="308"/>
      <c r="BY42" s="308"/>
      <c r="BZ42" s="308"/>
      <c r="CA42" s="308"/>
      <c r="CB42" s="308"/>
      <c r="CC42" s="285"/>
      <c r="CD42" s="285"/>
      <c r="CE42" s="285"/>
      <c r="CF42" s="285"/>
      <c r="CG42" s="285"/>
      <c r="CH42" s="285"/>
      <c r="CI42" s="285"/>
      <c r="CJ42" s="285"/>
      <c r="CK42" s="285"/>
      <c r="CL42" s="285"/>
      <c r="CM42" s="285"/>
      <c r="CN42" s="285"/>
      <c r="CO42" s="285"/>
      <c r="CP42" s="285"/>
      <c r="CQ42" s="285"/>
      <c r="CR42" s="285"/>
      <c r="CS42" s="285"/>
      <c r="CT42" s="285"/>
      <c r="CU42" s="285"/>
      <c r="CV42" s="285"/>
      <c r="CW42" s="285"/>
      <c r="CX42" s="285"/>
      <c r="CY42" s="285"/>
      <c r="CZ42" s="285"/>
      <c r="DA42" s="285"/>
      <c r="DB42" s="285"/>
      <c r="DC42" s="285"/>
      <c r="DD42" s="285"/>
      <c r="DE42" s="285"/>
      <c r="DF42" s="285"/>
      <c r="DG42" s="309"/>
      <c r="DH42" s="442" t="s">
        <v>2006</v>
      </c>
      <c r="DI42" s="285"/>
      <c r="DJ42" s="76">
        <f t="shared" ref="DJ42:EO42" si="173">IF(DJ$169=0,0,SUMPRODUCT($AN$173:$AN$364,DJ$173:DJ$364,$CY$173:$CY$364,$AW$173:$AW$364))</f>
        <v>0</v>
      </c>
      <c r="DK42" s="76">
        <f t="shared" si="173"/>
        <v>0</v>
      </c>
      <c r="DL42" s="76">
        <f t="shared" si="173"/>
        <v>0</v>
      </c>
      <c r="DM42" s="76">
        <f t="shared" si="173"/>
        <v>0</v>
      </c>
      <c r="DN42" s="76">
        <f t="shared" si="173"/>
        <v>0</v>
      </c>
      <c r="DO42" s="76">
        <f t="shared" si="173"/>
        <v>0</v>
      </c>
      <c r="DP42" s="76">
        <f t="shared" si="173"/>
        <v>0</v>
      </c>
      <c r="DQ42" s="76">
        <f t="shared" si="173"/>
        <v>0</v>
      </c>
      <c r="DR42" s="76">
        <f t="shared" si="173"/>
        <v>0</v>
      </c>
      <c r="DS42" s="76">
        <f t="shared" si="173"/>
        <v>0</v>
      </c>
      <c r="DT42" s="76">
        <f t="shared" si="173"/>
        <v>0</v>
      </c>
      <c r="DU42" s="76">
        <f t="shared" si="173"/>
        <v>0</v>
      </c>
      <c r="DV42" s="76">
        <f t="shared" si="173"/>
        <v>0</v>
      </c>
      <c r="DW42" s="76">
        <f t="shared" si="173"/>
        <v>0</v>
      </c>
      <c r="DX42" s="76">
        <f t="shared" si="173"/>
        <v>0</v>
      </c>
      <c r="DY42" s="76">
        <f t="shared" si="173"/>
        <v>0</v>
      </c>
      <c r="DZ42" s="76">
        <f t="shared" si="173"/>
        <v>0</v>
      </c>
      <c r="EA42" s="76">
        <f t="shared" si="173"/>
        <v>0</v>
      </c>
      <c r="EB42" s="76">
        <f t="shared" si="173"/>
        <v>0</v>
      </c>
      <c r="EC42" s="76">
        <f t="shared" si="173"/>
        <v>0</v>
      </c>
      <c r="ED42" s="76">
        <f t="shared" si="173"/>
        <v>0</v>
      </c>
      <c r="EE42" s="76">
        <f t="shared" si="173"/>
        <v>0</v>
      </c>
      <c r="EF42" s="76">
        <f t="shared" si="173"/>
        <v>0</v>
      </c>
      <c r="EG42" s="76">
        <f t="shared" si="173"/>
        <v>0</v>
      </c>
      <c r="EH42" s="76">
        <f t="shared" si="173"/>
        <v>0</v>
      </c>
      <c r="EI42" s="76">
        <f t="shared" si="173"/>
        <v>0</v>
      </c>
      <c r="EJ42" s="76">
        <f t="shared" si="173"/>
        <v>0</v>
      </c>
      <c r="EK42" s="76">
        <f t="shared" si="173"/>
        <v>0</v>
      </c>
      <c r="EL42" s="76">
        <f t="shared" si="173"/>
        <v>0</v>
      </c>
      <c r="EM42" s="76">
        <f t="shared" si="173"/>
        <v>0</v>
      </c>
      <c r="EN42" s="76">
        <f t="shared" si="173"/>
        <v>0</v>
      </c>
      <c r="EO42" s="76">
        <f t="shared" si="173"/>
        <v>0</v>
      </c>
      <c r="EP42" s="76">
        <f t="shared" ref="EP42:FG42" si="174">IF(EP$169=0,0,SUMPRODUCT($AN$173:$AN$364,EP$173:EP$364,$CY$173:$CY$364,$AW$173:$AW$364))</f>
        <v>0</v>
      </c>
      <c r="EQ42" s="76">
        <f t="shared" si="174"/>
        <v>0</v>
      </c>
      <c r="ER42" s="76">
        <f t="shared" si="174"/>
        <v>0</v>
      </c>
      <c r="ES42" s="76">
        <f t="shared" si="174"/>
        <v>0</v>
      </c>
      <c r="ET42" s="76">
        <f t="shared" si="174"/>
        <v>0</v>
      </c>
      <c r="EU42" s="76">
        <f t="shared" si="174"/>
        <v>0</v>
      </c>
      <c r="EV42" s="76">
        <f t="shared" si="174"/>
        <v>0</v>
      </c>
      <c r="EW42" s="76">
        <f t="shared" si="174"/>
        <v>0</v>
      </c>
      <c r="EX42" s="76">
        <f t="shared" si="174"/>
        <v>0</v>
      </c>
      <c r="EY42" s="76">
        <f t="shared" si="174"/>
        <v>0</v>
      </c>
      <c r="EZ42" s="76">
        <f t="shared" si="174"/>
        <v>0</v>
      </c>
      <c r="FA42" s="76">
        <f t="shared" si="174"/>
        <v>0</v>
      </c>
      <c r="FB42" s="76">
        <f t="shared" si="174"/>
        <v>0</v>
      </c>
      <c r="FC42" s="76">
        <f t="shared" si="174"/>
        <v>0</v>
      </c>
      <c r="FD42" s="76">
        <f t="shared" si="174"/>
        <v>0</v>
      </c>
      <c r="FE42" s="76">
        <f t="shared" si="174"/>
        <v>0</v>
      </c>
      <c r="FF42" s="76">
        <f t="shared" si="174"/>
        <v>0</v>
      </c>
      <c r="FG42" s="76">
        <f t="shared" si="174"/>
        <v>0</v>
      </c>
      <c r="FH42" s="922"/>
      <c r="FI42" s="305"/>
      <c r="FJ42" s="307"/>
      <c r="FK42" s="307"/>
      <c r="FL42" s="285"/>
      <c r="FM42" s="285"/>
      <c r="FN42" s="285"/>
      <c r="FO42" s="285"/>
      <c r="FP42" s="285"/>
      <c r="FQ42" s="285"/>
      <c r="FR42" s="285"/>
      <c r="FS42" s="285"/>
      <c r="FT42" s="285"/>
      <c r="FU42" s="285"/>
      <c r="FV42" s="285"/>
      <c r="FW42" s="285"/>
      <c r="FX42" s="285"/>
      <c r="FY42" s="285"/>
      <c r="FZ42" s="285"/>
      <c r="GA42" s="285"/>
      <c r="GB42" s="285"/>
      <c r="GC42" s="285"/>
      <c r="GD42" s="285"/>
      <c r="GE42" s="285"/>
      <c r="GF42" s="285"/>
      <c r="GG42" s="285"/>
      <c r="GH42" s="285"/>
      <c r="GI42" s="285"/>
      <c r="GJ42" s="285"/>
      <c r="GK42" s="285"/>
      <c r="GL42" s="285"/>
      <c r="GM42" s="285"/>
      <c r="GN42" s="1551" t="s">
        <v>2530</v>
      </c>
      <c r="GO42" s="2137">
        <f>INDEX(GT34:LQ34,MATCH(MAX(GT171:LQ171),GT171:LQ171,0))</f>
        <v>1</v>
      </c>
      <c r="GP42" s="285"/>
      <c r="GQ42" s="285"/>
      <c r="GR42" s="40" t="s">
        <v>458</v>
      </c>
      <c r="GS42" s="285"/>
      <c r="GT42" s="285"/>
      <c r="GU42" s="285"/>
      <c r="GV42" s="285"/>
      <c r="GW42" s="285"/>
      <c r="GX42" s="285"/>
      <c r="GY42" s="285"/>
      <c r="GZ42" s="285"/>
      <c r="HA42" s="285"/>
      <c r="HB42" s="285"/>
      <c r="HC42" s="285"/>
      <c r="HD42" s="285"/>
      <c r="HE42" s="285"/>
      <c r="HF42" s="285"/>
      <c r="HG42" s="285"/>
      <c r="HH42" s="285"/>
      <c r="HI42" s="285"/>
      <c r="HJ42" s="285"/>
      <c r="HK42" s="285"/>
      <c r="HL42" s="285"/>
      <c r="HM42" s="285"/>
      <c r="HN42" s="285"/>
      <c r="HO42" s="285"/>
      <c r="HP42" s="285"/>
      <c r="HQ42" s="285"/>
      <c r="HR42" s="285"/>
      <c r="HS42" s="285"/>
      <c r="HT42" s="285"/>
      <c r="HU42" s="285"/>
      <c r="HV42" s="285"/>
      <c r="HW42" s="285"/>
      <c r="HX42" s="285"/>
      <c r="HY42" s="285"/>
      <c r="HZ42" s="285"/>
      <c r="IA42" s="285"/>
      <c r="IB42" s="285"/>
      <c r="IC42" s="285"/>
      <c r="ID42" s="285"/>
      <c r="IE42" s="285"/>
      <c r="IF42" s="285"/>
      <c r="IG42" s="285"/>
      <c r="IH42" s="285"/>
      <c r="II42" s="285"/>
      <c r="IJ42" s="285"/>
      <c r="IK42" s="285"/>
      <c r="IL42" s="285"/>
      <c r="IM42" s="285"/>
      <c r="IN42" s="285"/>
      <c r="IO42" s="285"/>
      <c r="IP42" s="285"/>
      <c r="IQ42" s="285"/>
      <c r="IR42" s="285"/>
      <c r="IS42" s="285"/>
      <c r="IT42" s="285"/>
      <c r="IU42" s="285"/>
      <c r="IV42" s="285"/>
      <c r="IW42" s="285"/>
      <c r="IX42" s="285"/>
      <c r="IY42" s="285"/>
      <c r="IZ42" s="285"/>
      <c r="JA42" s="285"/>
      <c r="JB42" s="285"/>
      <c r="JC42" s="285"/>
      <c r="JD42" s="285"/>
      <c r="JE42" s="285"/>
      <c r="JF42" s="285"/>
      <c r="JG42" s="285"/>
      <c r="JH42" s="285"/>
      <c r="JI42" s="285"/>
      <c r="JJ42" s="285"/>
      <c r="JK42" s="285"/>
      <c r="JL42" s="285"/>
      <c r="JM42" s="285"/>
      <c r="JN42" s="285"/>
      <c r="JO42" s="285"/>
      <c r="JP42" s="285"/>
      <c r="JQ42" s="285"/>
      <c r="JR42" s="285"/>
      <c r="JS42" s="285"/>
      <c r="JT42" s="285"/>
      <c r="JU42" s="285"/>
      <c r="JV42" s="285"/>
      <c r="JW42" s="285"/>
      <c r="JX42" s="285"/>
      <c r="JY42" s="285"/>
      <c r="JZ42" s="285"/>
      <c r="KA42" s="285"/>
      <c r="KB42" s="285"/>
      <c r="KC42" s="285"/>
      <c r="KD42" s="285"/>
      <c r="KE42" s="285"/>
      <c r="KF42" s="285"/>
      <c r="KG42" s="285"/>
      <c r="KH42" s="285"/>
      <c r="KI42" s="285"/>
      <c r="KJ42" s="285"/>
      <c r="KK42" s="285"/>
      <c r="KL42" s="285"/>
      <c r="KM42" s="285"/>
      <c r="KN42" s="285"/>
      <c r="KO42" s="285"/>
      <c r="KP42" s="285"/>
      <c r="KQ42" s="285"/>
      <c r="KR42" s="285"/>
      <c r="KS42" s="285"/>
      <c r="KT42" s="285"/>
      <c r="KU42" s="285"/>
      <c r="KV42" s="285"/>
      <c r="KW42" s="285"/>
      <c r="KX42" s="285"/>
      <c r="KY42" s="285"/>
      <c r="KZ42" s="285"/>
      <c r="LA42" s="285"/>
      <c r="LB42" s="285"/>
      <c r="LC42" s="285"/>
      <c r="LD42" s="285"/>
      <c r="LE42" s="285"/>
      <c r="LF42" s="285"/>
      <c r="LG42" s="285"/>
      <c r="LH42" s="285"/>
      <c r="LI42" s="285"/>
      <c r="LJ42" s="285"/>
      <c r="LK42" s="285"/>
      <c r="LL42" s="285"/>
      <c r="LM42" s="285"/>
      <c r="LN42" s="285"/>
      <c r="LO42" s="285"/>
      <c r="LP42" s="285"/>
    </row>
    <row r="43" spans="1:328" ht="12.75" hidden="1" customHeight="1" x14ac:dyDescent="0.3">
      <c r="A43" s="285"/>
      <c r="B43" s="285"/>
      <c r="C43" s="286"/>
      <c r="D43" s="295"/>
      <c r="E43" s="285"/>
      <c r="F43" s="285"/>
      <c r="G43" s="285"/>
      <c r="H43" s="285"/>
      <c r="I43" s="285"/>
      <c r="J43" s="285"/>
      <c r="K43" s="285"/>
      <c r="L43" s="285"/>
      <c r="M43" s="287"/>
      <c r="N43" s="287"/>
      <c r="O43" s="287"/>
      <c r="P43" s="287"/>
      <c r="Q43" s="287"/>
      <c r="R43" s="287"/>
      <c r="S43" s="285"/>
      <c r="T43" s="285"/>
      <c r="U43" s="285"/>
      <c r="V43" s="285"/>
      <c r="W43" s="285"/>
      <c r="X43" s="285"/>
      <c r="Y43" s="285"/>
      <c r="Z43" s="285"/>
      <c r="AA43" s="285"/>
      <c r="AB43" s="285"/>
      <c r="AC43" s="285"/>
      <c r="AD43" s="285"/>
      <c r="AE43" s="285"/>
      <c r="AF43" s="285"/>
      <c r="AG43" s="285"/>
      <c r="AH43" s="2513"/>
      <c r="AI43" s="285"/>
      <c r="AJ43" s="285"/>
      <c r="AK43" s="285"/>
      <c r="AL43" s="285"/>
      <c r="AM43" s="285"/>
      <c r="AN43" s="285"/>
      <c r="AO43" s="285"/>
      <c r="AP43" s="285"/>
      <c r="AQ43" s="285"/>
      <c r="AR43" s="285"/>
      <c r="AS43" s="285"/>
      <c r="AT43" s="285"/>
      <c r="AU43" s="285"/>
      <c r="AV43" s="285"/>
      <c r="AW43" s="285"/>
      <c r="AX43" s="285"/>
      <c r="AY43" s="308"/>
      <c r="AZ43" s="308"/>
      <c r="BA43" s="308"/>
      <c r="BB43" s="308"/>
      <c r="BC43" s="308"/>
      <c r="BD43" s="308"/>
      <c r="BE43" s="308"/>
      <c r="BF43" s="308"/>
      <c r="BG43" s="308"/>
      <c r="BH43" s="285"/>
      <c r="BI43" s="308"/>
      <c r="BJ43" s="308"/>
      <c r="BK43" s="308"/>
      <c r="BL43" s="308"/>
      <c r="BM43" s="308"/>
      <c r="BN43" s="308"/>
      <c r="BO43" s="308"/>
      <c r="BP43" s="308"/>
      <c r="BQ43" s="308"/>
      <c r="BR43" s="308"/>
      <c r="BS43" s="308"/>
      <c r="BT43" s="308"/>
      <c r="BU43" s="308"/>
      <c r="BV43" s="308"/>
      <c r="BW43" s="308"/>
      <c r="BX43" s="308"/>
      <c r="BY43" s="308"/>
      <c r="BZ43" s="308"/>
      <c r="CA43" s="308"/>
      <c r="CB43" s="308"/>
      <c r="CC43" s="285"/>
      <c r="CD43" s="285"/>
      <c r="CE43" s="285"/>
      <c r="CF43" s="285"/>
      <c r="CG43" s="285"/>
      <c r="CH43" s="285"/>
      <c r="CI43" s="285"/>
      <c r="CJ43" s="285"/>
      <c r="CK43" s="285"/>
      <c r="CL43" s="285"/>
      <c r="CM43" s="285"/>
      <c r="CN43" s="285"/>
      <c r="CO43" s="285"/>
      <c r="CP43" s="285"/>
      <c r="CQ43" s="285"/>
      <c r="CR43" s="285"/>
      <c r="CS43" s="285"/>
      <c r="CT43" s="285"/>
      <c r="CU43" s="285"/>
      <c r="CV43" s="285"/>
      <c r="CW43" s="285"/>
      <c r="CX43" s="285"/>
      <c r="CY43" s="285"/>
      <c r="CZ43" s="285"/>
      <c r="DA43" s="285"/>
      <c r="DB43" s="285"/>
      <c r="DC43" s="285"/>
      <c r="DD43" s="285"/>
      <c r="DE43" s="285"/>
      <c r="DF43" s="285"/>
      <c r="DG43" s="309"/>
      <c r="DH43" s="442" t="s">
        <v>2007</v>
      </c>
      <c r="DI43" s="305"/>
      <c r="DJ43" s="76">
        <f t="shared" ref="DJ43:EO43" si="175">IF(DJ$169=0,0,SUMPRODUCT($AN$173:$AN$364,DJ$173:DJ$364,$CY$173:$CY$364,$AX$173:$AX$364))</f>
        <v>0</v>
      </c>
      <c r="DK43" s="76">
        <f t="shared" si="175"/>
        <v>0</v>
      </c>
      <c r="DL43" s="76">
        <f t="shared" si="175"/>
        <v>0</v>
      </c>
      <c r="DM43" s="76">
        <f t="shared" si="175"/>
        <v>0</v>
      </c>
      <c r="DN43" s="76">
        <f t="shared" si="175"/>
        <v>0</v>
      </c>
      <c r="DO43" s="76">
        <f t="shared" si="175"/>
        <v>0</v>
      </c>
      <c r="DP43" s="76">
        <f t="shared" si="175"/>
        <v>0</v>
      </c>
      <c r="DQ43" s="76">
        <f t="shared" si="175"/>
        <v>0</v>
      </c>
      <c r="DR43" s="76">
        <f t="shared" si="175"/>
        <v>0</v>
      </c>
      <c r="DS43" s="76">
        <f t="shared" si="175"/>
        <v>0</v>
      </c>
      <c r="DT43" s="76">
        <f t="shared" si="175"/>
        <v>0</v>
      </c>
      <c r="DU43" s="76">
        <f t="shared" si="175"/>
        <v>0</v>
      </c>
      <c r="DV43" s="76">
        <f t="shared" si="175"/>
        <v>0</v>
      </c>
      <c r="DW43" s="76">
        <f t="shared" si="175"/>
        <v>0</v>
      </c>
      <c r="DX43" s="76">
        <f t="shared" si="175"/>
        <v>0</v>
      </c>
      <c r="DY43" s="76">
        <f t="shared" si="175"/>
        <v>0</v>
      </c>
      <c r="DZ43" s="76">
        <f t="shared" si="175"/>
        <v>0</v>
      </c>
      <c r="EA43" s="76">
        <f t="shared" si="175"/>
        <v>0</v>
      </c>
      <c r="EB43" s="76">
        <f t="shared" si="175"/>
        <v>0</v>
      </c>
      <c r="EC43" s="76">
        <f t="shared" si="175"/>
        <v>0</v>
      </c>
      <c r="ED43" s="76">
        <f t="shared" si="175"/>
        <v>0</v>
      </c>
      <c r="EE43" s="76">
        <f t="shared" si="175"/>
        <v>0</v>
      </c>
      <c r="EF43" s="76">
        <f t="shared" si="175"/>
        <v>0</v>
      </c>
      <c r="EG43" s="76">
        <f t="shared" si="175"/>
        <v>0</v>
      </c>
      <c r="EH43" s="76">
        <f t="shared" si="175"/>
        <v>0</v>
      </c>
      <c r="EI43" s="76">
        <f t="shared" si="175"/>
        <v>0</v>
      </c>
      <c r="EJ43" s="76">
        <f t="shared" si="175"/>
        <v>0</v>
      </c>
      <c r="EK43" s="76">
        <f t="shared" si="175"/>
        <v>0</v>
      </c>
      <c r="EL43" s="76">
        <f t="shared" si="175"/>
        <v>0</v>
      </c>
      <c r="EM43" s="76">
        <f t="shared" si="175"/>
        <v>0</v>
      </c>
      <c r="EN43" s="76">
        <f t="shared" si="175"/>
        <v>0</v>
      </c>
      <c r="EO43" s="76">
        <f t="shared" si="175"/>
        <v>0</v>
      </c>
      <c r="EP43" s="76">
        <f t="shared" ref="EP43:FG43" si="176">IF(EP$169=0,0,SUMPRODUCT($AN$173:$AN$364,EP$173:EP$364,$CY$173:$CY$364,$AX$173:$AX$364))</f>
        <v>0</v>
      </c>
      <c r="EQ43" s="76">
        <f t="shared" si="176"/>
        <v>0</v>
      </c>
      <c r="ER43" s="76">
        <f t="shared" si="176"/>
        <v>0</v>
      </c>
      <c r="ES43" s="76">
        <f t="shared" si="176"/>
        <v>0</v>
      </c>
      <c r="ET43" s="76">
        <f t="shared" si="176"/>
        <v>0</v>
      </c>
      <c r="EU43" s="76">
        <f t="shared" si="176"/>
        <v>0</v>
      </c>
      <c r="EV43" s="76">
        <f t="shared" si="176"/>
        <v>0</v>
      </c>
      <c r="EW43" s="76">
        <f t="shared" si="176"/>
        <v>0</v>
      </c>
      <c r="EX43" s="76">
        <f t="shared" si="176"/>
        <v>0</v>
      </c>
      <c r="EY43" s="76">
        <f t="shared" si="176"/>
        <v>0</v>
      </c>
      <c r="EZ43" s="76">
        <f t="shared" si="176"/>
        <v>0</v>
      </c>
      <c r="FA43" s="76">
        <f t="shared" si="176"/>
        <v>0</v>
      </c>
      <c r="FB43" s="76">
        <f t="shared" si="176"/>
        <v>0</v>
      </c>
      <c r="FC43" s="76">
        <f t="shared" si="176"/>
        <v>0</v>
      </c>
      <c r="FD43" s="76">
        <f t="shared" si="176"/>
        <v>0</v>
      </c>
      <c r="FE43" s="76">
        <f t="shared" si="176"/>
        <v>0</v>
      </c>
      <c r="FF43" s="76">
        <f t="shared" si="176"/>
        <v>0</v>
      </c>
      <c r="FG43" s="76">
        <f t="shared" si="176"/>
        <v>0</v>
      </c>
      <c r="FH43" s="923"/>
      <c r="FI43" s="305"/>
      <c r="FJ43" s="307"/>
      <c r="FK43" s="307"/>
      <c r="FL43" s="285"/>
      <c r="FM43" s="285"/>
      <c r="FN43" s="285"/>
      <c r="FO43" s="285"/>
      <c r="FP43" s="285"/>
      <c r="FQ43" s="285"/>
      <c r="FR43" s="285"/>
      <c r="FS43" s="285"/>
      <c r="FT43" s="285"/>
      <c r="FU43" s="285"/>
      <c r="FV43" s="285"/>
      <c r="FW43" s="285"/>
      <c r="FX43" s="285"/>
      <c r="FY43" s="285"/>
      <c r="FZ43" s="285"/>
      <c r="GA43" s="285"/>
      <c r="GB43" s="285"/>
      <c r="GC43" s="285"/>
      <c r="GD43" s="285"/>
      <c r="GE43" s="285"/>
      <c r="GF43" s="285"/>
      <c r="GG43" s="285"/>
      <c r="GH43" s="285"/>
      <c r="GI43" s="285"/>
      <c r="GJ43" s="309"/>
      <c r="GK43" s="309"/>
      <c r="GL43" s="309"/>
      <c r="GM43" s="309"/>
      <c r="GN43" s="1551" t="s">
        <v>2790</v>
      </c>
      <c r="GO43" s="2137">
        <f>IF(ISBLANK(GT170),0,1)</f>
        <v>1</v>
      </c>
      <c r="GP43" s="285"/>
      <c r="GQ43" s="285"/>
      <c r="GR43" s="40" t="str">
        <f>IF($C$7="F","P","")</f>
        <v/>
      </c>
      <c r="GS43" s="285"/>
      <c r="GT43" s="285"/>
      <c r="GU43" s="285"/>
      <c r="GV43" s="285"/>
      <c r="GW43" s="285"/>
      <c r="GX43" s="285"/>
      <c r="GY43" s="285"/>
      <c r="GZ43" s="285"/>
      <c r="HA43" s="285"/>
      <c r="HB43" s="285"/>
      <c r="HC43" s="285"/>
      <c r="HD43" s="285"/>
      <c r="HE43" s="285"/>
      <c r="HF43" s="285"/>
      <c r="HG43" s="285"/>
      <c r="HH43" s="285"/>
      <c r="HI43" s="285"/>
      <c r="HJ43" s="285"/>
      <c r="HK43" s="285"/>
      <c r="HL43" s="285"/>
      <c r="HM43" s="285"/>
      <c r="HN43" s="285"/>
      <c r="HO43" s="285"/>
      <c r="HP43" s="285"/>
      <c r="HQ43" s="285"/>
      <c r="HR43" s="285"/>
      <c r="HS43" s="285"/>
      <c r="HT43" s="285"/>
      <c r="HU43" s="285"/>
      <c r="HV43" s="285"/>
      <c r="HW43" s="285"/>
      <c r="HX43" s="285"/>
      <c r="HY43" s="285"/>
      <c r="HZ43" s="285"/>
      <c r="IA43" s="285"/>
      <c r="IB43" s="285"/>
      <c r="IC43" s="285"/>
      <c r="ID43" s="285"/>
      <c r="IE43" s="285"/>
      <c r="IF43" s="285"/>
      <c r="IG43" s="285"/>
      <c r="IH43" s="285"/>
      <c r="II43" s="285"/>
      <c r="IJ43" s="285"/>
      <c r="IK43" s="285"/>
      <c r="IL43" s="285"/>
      <c r="IM43" s="285"/>
      <c r="IN43" s="285"/>
      <c r="IO43" s="285"/>
      <c r="IP43" s="285"/>
      <c r="IQ43" s="285"/>
      <c r="IR43" s="285"/>
      <c r="IS43" s="285"/>
      <c r="IT43" s="285"/>
      <c r="IU43" s="285"/>
      <c r="IV43" s="285"/>
      <c r="IW43" s="285"/>
      <c r="IX43" s="285"/>
      <c r="IY43" s="285"/>
      <c r="IZ43" s="285"/>
      <c r="JA43" s="285"/>
      <c r="JB43" s="285"/>
      <c r="JC43" s="285"/>
      <c r="JD43" s="285"/>
      <c r="JE43" s="285"/>
      <c r="JF43" s="285"/>
      <c r="JG43" s="285"/>
      <c r="JH43" s="285"/>
      <c r="JI43" s="285"/>
      <c r="JJ43" s="285"/>
      <c r="JK43" s="285"/>
      <c r="JL43" s="285"/>
      <c r="JM43" s="285"/>
      <c r="JN43" s="285"/>
      <c r="JO43" s="285"/>
      <c r="JP43" s="285"/>
      <c r="JQ43" s="285"/>
      <c r="JR43" s="285"/>
      <c r="JS43" s="285"/>
      <c r="JT43" s="285"/>
      <c r="JU43" s="285"/>
      <c r="JV43" s="285"/>
      <c r="JW43" s="285"/>
      <c r="JX43" s="285"/>
      <c r="JY43" s="285"/>
      <c r="JZ43" s="285"/>
      <c r="KA43" s="285"/>
      <c r="KB43" s="285"/>
      <c r="KC43" s="285"/>
      <c r="KD43" s="285"/>
      <c r="KE43" s="285"/>
      <c r="KF43" s="285"/>
      <c r="KG43" s="285"/>
      <c r="KH43" s="285"/>
      <c r="KI43" s="285"/>
      <c r="KJ43" s="285"/>
      <c r="KK43" s="285"/>
      <c r="KL43" s="285"/>
      <c r="KM43" s="285"/>
      <c r="KN43" s="285"/>
      <c r="KO43" s="285"/>
      <c r="KP43" s="285"/>
      <c r="KQ43" s="285"/>
      <c r="KR43" s="285"/>
      <c r="KS43" s="285"/>
      <c r="KT43" s="285"/>
      <c r="KU43" s="285"/>
      <c r="KV43" s="285"/>
      <c r="KW43" s="285"/>
      <c r="KX43" s="285"/>
      <c r="KY43" s="285"/>
      <c r="KZ43" s="285"/>
      <c r="LA43" s="285"/>
      <c r="LB43" s="285"/>
      <c r="LC43" s="285"/>
      <c r="LD43" s="285"/>
      <c r="LE43" s="285"/>
      <c r="LF43" s="285"/>
      <c r="LG43" s="285"/>
      <c r="LH43" s="285"/>
      <c r="LI43" s="285"/>
      <c r="LJ43" s="285"/>
      <c r="LK43" s="285"/>
      <c r="LL43" s="285"/>
      <c r="LM43" s="285"/>
      <c r="LN43" s="285"/>
      <c r="LO43" s="285"/>
      <c r="LP43" s="285"/>
    </row>
    <row r="44" spans="1:328" ht="12.75" hidden="1" customHeight="1" x14ac:dyDescent="0.3">
      <c r="A44" s="285"/>
      <c r="B44" s="285"/>
      <c r="C44" s="286"/>
      <c r="D44" s="285"/>
      <c r="E44" s="285"/>
      <c r="F44" s="285"/>
      <c r="G44" s="285"/>
      <c r="H44" s="285"/>
      <c r="I44" s="285"/>
      <c r="J44" s="285"/>
      <c r="K44" s="285"/>
      <c r="L44" s="285"/>
      <c r="M44" s="287"/>
      <c r="N44" s="287"/>
      <c r="O44" s="287"/>
      <c r="P44" s="287"/>
      <c r="Q44" s="287"/>
      <c r="R44" s="287"/>
      <c r="S44" s="285"/>
      <c r="T44" s="285"/>
      <c r="U44" s="285"/>
      <c r="V44" s="285"/>
      <c r="W44" s="285"/>
      <c r="X44" s="285"/>
      <c r="Y44" s="285"/>
      <c r="Z44" s="285"/>
      <c r="AA44" s="285"/>
      <c r="AB44" s="285"/>
      <c r="AC44" s="285"/>
      <c r="AD44" s="285"/>
      <c r="AE44" s="285"/>
      <c r="AF44" s="285"/>
      <c r="AG44" s="285"/>
      <c r="AH44" s="2513"/>
      <c r="AI44" s="285"/>
      <c r="AJ44" s="285"/>
      <c r="AK44" s="285"/>
      <c r="AL44" s="285"/>
      <c r="AM44" s="285"/>
      <c r="AN44" s="285"/>
      <c r="AO44" s="285"/>
      <c r="AP44" s="285"/>
      <c r="AQ44" s="285"/>
      <c r="AR44" s="285"/>
      <c r="AS44" s="285"/>
      <c r="AT44" s="285"/>
      <c r="AU44" s="285"/>
      <c r="AV44" s="285"/>
      <c r="AW44" s="285"/>
      <c r="AX44" s="285"/>
      <c r="AY44" s="285"/>
      <c r="AZ44" s="285"/>
      <c r="BA44" s="285"/>
      <c r="BB44" s="285"/>
      <c r="BC44" s="285"/>
      <c r="BD44" s="285"/>
      <c r="BE44" s="285"/>
      <c r="BF44" s="285"/>
      <c r="BG44" s="285"/>
      <c r="BH44" s="285"/>
      <c r="BI44" s="285"/>
      <c r="BJ44" s="285"/>
      <c r="BK44" s="285"/>
      <c r="BL44" s="285"/>
      <c r="BM44" s="285"/>
      <c r="BN44" s="285"/>
      <c r="BO44" s="285"/>
      <c r="BP44" s="285"/>
      <c r="BQ44" s="285"/>
      <c r="BR44" s="285"/>
      <c r="BS44" s="285"/>
      <c r="BT44" s="285"/>
      <c r="BU44" s="285"/>
      <c r="BV44" s="285"/>
      <c r="BW44" s="285"/>
      <c r="BX44" s="285"/>
      <c r="BY44" s="285"/>
      <c r="BZ44" s="285"/>
      <c r="CA44" s="285"/>
      <c r="CB44" s="285"/>
      <c r="CC44" s="285"/>
      <c r="CD44" s="285"/>
      <c r="CE44" s="285"/>
      <c r="CF44" s="285"/>
      <c r="CG44" s="285"/>
      <c r="CH44" s="285"/>
      <c r="CI44" s="285"/>
      <c r="CJ44" s="285"/>
      <c r="CK44" s="285"/>
      <c r="CL44" s="285"/>
      <c r="CM44" s="285"/>
      <c r="CN44" s="285"/>
      <c r="CO44" s="285"/>
      <c r="CP44" s="285"/>
      <c r="CQ44" s="285"/>
      <c r="CR44" s="285"/>
      <c r="CS44" s="285"/>
      <c r="CT44" s="285"/>
      <c r="CU44" s="285"/>
      <c r="CV44" s="285"/>
      <c r="CW44" s="285"/>
      <c r="CX44" s="285"/>
      <c r="CY44" s="285"/>
      <c r="CZ44" s="285"/>
      <c r="DA44" s="285"/>
      <c r="DB44" s="285"/>
      <c r="DC44" s="285"/>
      <c r="DD44" s="285"/>
      <c r="DE44" s="285"/>
      <c r="DF44" s="285"/>
      <c r="DG44" s="309"/>
      <c r="DH44" s="305"/>
      <c r="DI44" s="305"/>
      <c r="DJ44" s="305"/>
      <c r="DK44" s="305"/>
      <c r="DL44" s="305"/>
      <c r="DM44" s="305"/>
      <c r="DN44" s="305"/>
      <c r="DO44" s="305"/>
      <c r="DP44" s="305"/>
      <c r="DQ44" s="305"/>
      <c r="DR44" s="305"/>
      <c r="DS44" s="305"/>
      <c r="DT44" s="305"/>
      <c r="DU44" s="305"/>
      <c r="DV44" s="305"/>
      <c r="DW44" s="305"/>
      <c r="DX44" s="305"/>
      <c r="DY44" s="305"/>
      <c r="DZ44" s="305"/>
      <c r="EA44" s="305"/>
      <c r="EB44" s="305"/>
      <c r="EC44" s="305"/>
      <c r="ED44" s="305"/>
      <c r="EE44" s="305"/>
      <c r="EF44" s="305"/>
      <c r="EG44" s="305"/>
      <c r="EH44" s="305"/>
      <c r="EI44" s="305"/>
      <c r="EJ44" s="305"/>
      <c r="EK44" s="305"/>
      <c r="EL44" s="305"/>
      <c r="EM44" s="305"/>
      <c r="EN44" s="305"/>
      <c r="EO44" s="305"/>
      <c r="EP44" s="305"/>
      <c r="EQ44" s="305"/>
      <c r="ER44" s="305"/>
      <c r="ES44" s="305"/>
      <c r="ET44" s="305"/>
      <c r="EU44" s="305"/>
      <c r="EV44" s="305"/>
      <c r="EW44" s="305"/>
      <c r="EX44" s="305"/>
      <c r="EY44" s="305"/>
      <c r="EZ44" s="305"/>
      <c r="FA44" s="305"/>
      <c r="FB44" s="305"/>
      <c r="FC44" s="305"/>
      <c r="FD44" s="305"/>
      <c r="FE44" s="305"/>
      <c r="FF44" s="305"/>
      <c r="FG44" s="305"/>
      <c r="FH44" s="305"/>
      <c r="FI44" s="305"/>
      <c r="FJ44" s="307"/>
      <c r="FK44" s="307"/>
      <c r="FL44" s="285"/>
      <c r="FM44" s="285"/>
      <c r="FN44" s="285"/>
      <c r="FO44" s="285"/>
      <c r="FP44" s="285"/>
      <c r="FQ44" s="285"/>
      <c r="FR44" s="285"/>
      <c r="FS44" s="285"/>
      <c r="FT44" s="285"/>
      <c r="FU44" s="285"/>
      <c r="FV44" s="285"/>
      <c r="FW44" s="285"/>
      <c r="FX44" s="285"/>
      <c r="FY44" s="285"/>
      <c r="FZ44" s="285"/>
      <c r="GA44" s="285"/>
      <c r="GB44" s="285"/>
      <c r="GC44" s="285"/>
      <c r="GD44" s="285"/>
      <c r="GE44" s="285"/>
      <c r="GF44" s="285"/>
      <c r="GG44" s="285"/>
      <c r="GH44" s="285"/>
      <c r="GI44" s="285"/>
      <c r="GJ44" s="285"/>
      <c r="GK44" s="285"/>
      <c r="GL44" s="285"/>
      <c r="GM44" s="285"/>
      <c r="GN44" s="285"/>
      <c r="GO44" s="285"/>
      <c r="GP44" s="285"/>
      <c r="GQ44" s="285"/>
      <c r="GR44" s="285"/>
      <c r="GS44" s="285"/>
      <c r="GT44" s="285"/>
      <c r="GU44" s="285"/>
      <c r="GV44" s="285"/>
      <c r="GW44" s="285"/>
      <c r="GX44" s="285"/>
      <c r="GY44" s="285"/>
      <c r="GZ44" s="285"/>
      <c r="HA44" s="285"/>
      <c r="HB44" s="285"/>
      <c r="HC44" s="285"/>
      <c r="HD44" s="285"/>
      <c r="HE44" s="285"/>
      <c r="HF44" s="285"/>
      <c r="HG44" s="285"/>
      <c r="HH44" s="285"/>
      <c r="HI44" s="285"/>
      <c r="HJ44" s="285"/>
      <c r="HK44" s="285"/>
      <c r="HL44" s="285"/>
      <c r="HM44" s="285"/>
      <c r="HN44" s="285"/>
      <c r="HO44" s="285"/>
      <c r="HP44" s="285"/>
      <c r="HQ44" s="285"/>
      <c r="HR44" s="285"/>
      <c r="HS44" s="285"/>
      <c r="HT44" s="285"/>
      <c r="HU44" s="285"/>
      <c r="HV44" s="285"/>
      <c r="HW44" s="285"/>
      <c r="HX44" s="285"/>
      <c r="HY44" s="285"/>
      <c r="HZ44" s="285"/>
      <c r="IA44" s="285"/>
      <c r="IB44" s="285"/>
      <c r="IC44" s="285"/>
      <c r="ID44" s="285"/>
      <c r="IE44" s="285"/>
      <c r="IF44" s="285"/>
      <c r="IG44" s="285"/>
      <c r="IH44" s="285"/>
      <c r="II44" s="285"/>
      <c r="IJ44" s="285"/>
      <c r="IK44" s="285"/>
      <c r="IL44" s="285"/>
      <c r="IM44" s="285"/>
      <c r="IN44" s="285"/>
      <c r="IO44" s="285"/>
      <c r="IP44" s="285"/>
      <c r="IQ44" s="285"/>
      <c r="IR44" s="285"/>
      <c r="IS44" s="285"/>
      <c r="IT44" s="285"/>
      <c r="IU44" s="285"/>
      <c r="IV44" s="285"/>
      <c r="IW44" s="285"/>
      <c r="IX44" s="285"/>
      <c r="IY44" s="285"/>
      <c r="IZ44" s="285"/>
      <c r="JA44" s="285"/>
      <c r="JB44" s="285"/>
      <c r="JC44" s="285"/>
      <c r="JD44" s="285"/>
      <c r="JE44" s="285"/>
      <c r="JF44" s="285"/>
      <c r="JG44" s="285"/>
      <c r="JH44" s="285"/>
      <c r="JI44" s="285"/>
      <c r="JJ44" s="285"/>
      <c r="JK44" s="285"/>
      <c r="JL44" s="285"/>
      <c r="JM44" s="285"/>
      <c r="JN44" s="285"/>
      <c r="JO44" s="285"/>
      <c r="JP44" s="285"/>
      <c r="JQ44" s="285"/>
      <c r="JR44" s="285"/>
      <c r="JS44" s="285"/>
      <c r="JT44" s="285"/>
      <c r="JU44" s="285"/>
      <c r="JV44" s="285"/>
      <c r="JW44" s="285"/>
      <c r="JX44" s="285"/>
      <c r="JY44" s="285"/>
      <c r="JZ44" s="285"/>
      <c r="KA44" s="285"/>
      <c r="KB44" s="285"/>
      <c r="KC44" s="285"/>
      <c r="KD44" s="285"/>
      <c r="KE44" s="285"/>
      <c r="KF44" s="285"/>
      <c r="KG44" s="285"/>
      <c r="KH44" s="285"/>
      <c r="KI44" s="285"/>
      <c r="KJ44" s="285"/>
      <c r="KK44" s="285"/>
      <c r="KL44" s="285"/>
      <c r="KM44" s="285"/>
      <c r="KN44" s="285"/>
      <c r="KO44" s="285"/>
      <c r="KP44" s="285"/>
      <c r="KQ44" s="285"/>
      <c r="KR44" s="285"/>
      <c r="KS44" s="285"/>
      <c r="KT44" s="285"/>
      <c r="KU44" s="285"/>
      <c r="KV44" s="285"/>
      <c r="KW44" s="285"/>
      <c r="KX44" s="285"/>
      <c r="KY44" s="285"/>
      <c r="KZ44" s="285"/>
      <c r="LA44" s="285"/>
      <c r="LB44" s="285"/>
      <c r="LC44" s="285"/>
      <c r="LD44" s="285"/>
      <c r="LE44" s="285"/>
      <c r="LF44" s="285"/>
      <c r="LG44" s="285"/>
      <c r="LH44" s="285"/>
      <c r="LI44" s="285"/>
      <c r="LJ44" s="285"/>
      <c r="LK44" s="285"/>
      <c r="LL44" s="285"/>
      <c r="LM44" s="285"/>
      <c r="LN44" s="285"/>
      <c r="LO44" s="285"/>
      <c r="LP44" s="285"/>
    </row>
    <row r="45" spans="1:328" ht="12.75" hidden="1" customHeight="1" x14ac:dyDescent="0.3">
      <c r="A45" s="285"/>
      <c r="B45" s="285"/>
      <c r="C45" s="285"/>
      <c r="D45" s="285"/>
      <c r="E45" s="285"/>
      <c r="F45" s="285"/>
      <c r="G45" s="285"/>
      <c r="H45" s="285"/>
      <c r="I45" s="285"/>
      <c r="J45" s="285"/>
      <c r="K45" s="285"/>
      <c r="L45" s="285"/>
      <c r="M45" s="287"/>
      <c r="N45" s="287"/>
      <c r="O45" s="287"/>
      <c r="P45" s="287"/>
      <c r="Q45" s="287"/>
      <c r="R45" s="287"/>
      <c r="S45" s="285"/>
      <c r="T45" s="285"/>
      <c r="U45" s="285"/>
      <c r="V45" s="285"/>
      <c r="W45" s="285"/>
      <c r="X45" s="285"/>
      <c r="Y45" s="285"/>
      <c r="Z45" s="285"/>
      <c r="AA45" s="285"/>
      <c r="AB45" s="285"/>
      <c r="AC45" s="285"/>
      <c r="AD45" s="285"/>
      <c r="AE45" s="285"/>
      <c r="AF45" s="285"/>
      <c r="AG45" s="285"/>
      <c r="AH45" s="2513"/>
      <c r="AI45" s="285"/>
      <c r="AJ45" s="285"/>
      <c r="AK45" s="285"/>
      <c r="AL45" s="285"/>
      <c r="AM45" s="285"/>
      <c r="AN45" s="285"/>
      <c r="AO45" s="285"/>
      <c r="AP45" s="285"/>
      <c r="AQ45" s="285"/>
      <c r="AR45" s="285"/>
      <c r="AS45" s="285"/>
      <c r="AT45" s="285"/>
      <c r="AU45" s="285"/>
      <c r="AV45" s="285"/>
      <c r="AW45" s="285"/>
      <c r="AX45" s="285"/>
      <c r="AY45" s="285"/>
      <c r="AZ45" s="285"/>
      <c r="BA45" s="285"/>
      <c r="BB45" s="285"/>
      <c r="BC45" s="285"/>
      <c r="BD45" s="285"/>
      <c r="BE45" s="285"/>
      <c r="BF45" s="285"/>
      <c r="BG45" s="285"/>
      <c r="BH45" s="285"/>
      <c r="BI45" s="285"/>
      <c r="BJ45" s="285"/>
      <c r="BK45" s="285"/>
      <c r="BL45" s="285"/>
      <c r="BM45" s="285"/>
      <c r="BN45" s="285"/>
      <c r="BO45" s="285"/>
      <c r="BP45" s="285"/>
      <c r="BQ45" s="285"/>
      <c r="BR45" s="285"/>
      <c r="BS45" s="285"/>
      <c r="BT45" s="285"/>
      <c r="BU45" s="285"/>
      <c r="BV45" s="285"/>
      <c r="BW45" s="285"/>
      <c r="BX45" s="285"/>
      <c r="BY45" s="285"/>
      <c r="BZ45" s="285"/>
      <c r="CA45" s="285"/>
      <c r="CB45" s="285"/>
      <c r="CC45" s="285"/>
      <c r="CD45" s="285"/>
      <c r="CE45" s="285"/>
      <c r="CF45" s="285"/>
      <c r="CG45" s="285"/>
      <c r="CH45" s="285"/>
      <c r="CI45" s="285"/>
      <c r="CJ45" s="285"/>
      <c r="CK45" s="285"/>
      <c r="CL45" s="285"/>
      <c r="CM45" s="285"/>
      <c r="CN45" s="285"/>
      <c r="CO45" s="285"/>
      <c r="CP45" s="285"/>
      <c r="CQ45" s="285"/>
      <c r="CR45" s="285"/>
      <c r="CS45" s="285"/>
      <c r="CT45" s="285"/>
      <c r="CU45" s="285"/>
      <c r="CV45" s="285"/>
      <c r="CW45" s="285"/>
      <c r="CX45" s="285"/>
      <c r="CY45" s="285"/>
      <c r="CZ45" s="285"/>
      <c r="DA45" s="285"/>
      <c r="DB45" s="285"/>
      <c r="DC45" s="285"/>
      <c r="DD45" s="285"/>
      <c r="DE45" s="285"/>
      <c r="DF45" s="285"/>
      <c r="DG45" s="309"/>
      <c r="DH45" s="442" t="s">
        <v>1087</v>
      </c>
      <c r="DI45" s="285"/>
      <c r="DJ45" s="76">
        <f>IF(DJ$169=0,0,IFERROR(INDEX('2 Staff List'!$KS$64:$KS$114,DJ$21),0))</f>
        <v>38.179600000000001</v>
      </c>
      <c r="DK45" s="76">
        <f>IF(DK$169=0,0,IFERROR(INDEX('2 Staff List'!$KS$64:$KS$114,DK$21),0))</f>
        <v>11.3612</v>
      </c>
      <c r="DL45" s="76">
        <f>IF(DL$169=0,0,IFERROR(INDEX('2 Staff List'!$KS$64:$KS$114,DL$21),0))</f>
        <v>41.235700000000001</v>
      </c>
      <c r="DM45" s="76">
        <f>IF(DM$169=0,0,IFERROR(INDEX('2 Staff List'!$KS$64:$KS$114,DM$21),0))</f>
        <v>23</v>
      </c>
      <c r="DN45" s="76">
        <f>IF(DN$169=0,0,IFERROR(INDEX('2 Staff List'!$KS$64:$KS$114,DN$21),0))</f>
        <v>20.09</v>
      </c>
      <c r="DO45" s="76">
        <f>IF(DO$169=0,0,IFERROR(INDEX('2 Staff List'!$KS$64:$KS$114,DO$21),0))</f>
        <v>34.729999999999997</v>
      </c>
      <c r="DP45" s="76">
        <f>IF(DP$169=0,0,IFERROR(INDEX('2 Staff List'!$KS$64:$KS$114,DP$21),0))</f>
        <v>24.98</v>
      </c>
      <c r="DQ45" s="76">
        <f>IF(DQ$169=0,0,IFERROR(INDEX('2 Staff List'!$KS$64:$KS$114,DQ$21),0))</f>
        <v>19.07</v>
      </c>
      <c r="DR45" s="76">
        <f>IF(DR$169=0,0,IFERROR(INDEX('2 Staff List'!$KS$64:$KS$114,DR$21),0))</f>
        <v>17.98</v>
      </c>
      <c r="DS45" s="76">
        <f>IF(DS$169=0,0,IFERROR(INDEX('2 Staff List'!$KS$64:$KS$114,DS$21),0))</f>
        <v>16.170000000000002</v>
      </c>
      <c r="DT45" s="76">
        <f>IF(DT$169=0,0,IFERROR(INDEX('2 Staff List'!$KS$64:$KS$114,DT$21),0))</f>
        <v>0</v>
      </c>
      <c r="DU45" s="76">
        <f>IF(DU$169=0,0,IFERROR(INDEX('2 Staff List'!$KS$64:$KS$114,DU$21),0))</f>
        <v>0</v>
      </c>
      <c r="DV45" s="76">
        <f>IF(DV$169=0,0,IFERROR(INDEX('2 Staff List'!$KS$64:$KS$114,DV$21),0))</f>
        <v>0</v>
      </c>
      <c r="DW45" s="76">
        <f>IF(DW$169=0,0,IFERROR(INDEX('2 Staff List'!$KS$64:$KS$114,DW$21),0))</f>
        <v>0</v>
      </c>
      <c r="DX45" s="76">
        <f>IF(DX$169=0,0,IFERROR(INDEX('2 Staff List'!$KS$64:$KS$114,DX$21),0))</f>
        <v>0</v>
      </c>
      <c r="DY45" s="76">
        <f>IF(DY$169=0,0,IFERROR(INDEX('2 Staff List'!$KS$64:$KS$114,DY$21),0))</f>
        <v>0</v>
      </c>
      <c r="DZ45" s="76">
        <f>IF(DZ$169=0,0,IFERROR(INDEX('2 Staff List'!$KS$64:$KS$114,DZ$21),0))</f>
        <v>0</v>
      </c>
      <c r="EA45" s="76">
        <f>IF(EA$169=0,0,IFERROR(INDEX('2 Staff List'!$KS$64:$KS$114,EA$21),0))</f>
        <v>0</v>
      </c>
      <c r="EB45" s="76">
        <f>IF(EB$169=0,0,IFERROR(INDEX('2 Staff List'!$KS$64:$KS$114,EB$21),0))</f>
        <v>0</v>
      </c>
      <c r="EC45" s="76">
        <f>IF(EC$169=0,0,IFERROR(INDEX('2 Staff List'!$KS$64:$KS$114,EC$21),0))</f>
        <v>0</v>
      </c>
      <c r="ED45" s="76">
        <f>IF(ED$169=0,0,IFERROR(INDEX('2 Staff List'!$KS$64:$KS$114,ED$21),0))</f>
        <v>0</v>
      </c>
      <c r="EE45" s="76">
        <f>IF(EE$169=0,0,IFERROR(INDEX('2 Staff List'!$KS$64:$KS$114,EE$21),0))</f>
        <v>0</v>
      </c>
      <c r="EF45" s="76">
        <f>IF(EF$169=0,0,IFERROR(INDEX('2 Staff List'!$KS$64:$KS$114,EF$21),0))</f>
        <v>0</v>
      </c>
      <c r="EG45" s="76">
        <f>IF(EG$169=0,0,IFERROR(INDEX('2 Staff List'!$KS$64:$KS$114,EG$21),0))</f>
        <v>0</v>
      </c>
      <c r="EH45" s="76">
        <f>IF(EH$169=0,0,IFERROR(INDEX('2 Staff List'!$KS$64:$KS$114,EH$21),0))</f>
        <v>0</v>
      </c>
      <c r="EI45" s="76">
        <f>IF(EI$169=0,0,IFERROR(INDEX('2 Staff List'!$KS$64:$KS$114,EI$21),0))</f>
        <v>0</v>
      </c>
      <c r="EJ45" s="76">
        <f>IF(EJ$169=0,0,IFERROR(INDEX('2 Staff List'!$KS$64:$KS$114,EJ$21),0))</f>
        <v>0</v>
      </c>
      <c r="EK45" s="76">
        <f>IF(EK$169=0,0,IFERROR(INDEX('2 Staff List'!$KS$64:$KS$114,EK$21),0))</f>
        <v>0</v>
      </c>
      <c r="EL45" s="76">
        <f>IF(EL$169=0,0,IFERROR(INDEX('2 Staff List'!$KS$64:$KS$114,EL$21),0))</f>
        <v>0</v>
      </c>
      <c r="EM45" s="76">
        <f>IF(EM$169=0,0,IFERROR(INDEX('2 Staff List'!$KS$64:$KS$114,EM$21),0))</f>
        <v>0</v>
      </c>
      <c r="EN45" s="76">
        <f>IF(EN$169=0,0,IFERROR(INDEX('2 Staff List'!$KS$64:$KS$114,EN$21),0))</f>
        <v>0</v>
      </c>
      <c r="EO45" s="76">
        <f>IF(EO$169=0,0,IFERROR(INDEX('2 Staff List'!$KS$64:$KS$114,EO$21),0))</f>
        <v>0</v>
      </c>
      <c r="EP45" s="76">
        <f>IF(EP$169=0,0,IFERROR(INDEX('2 Staff List'!$KS$64:$KS$114,EP$21),0))</f>
        <v>0</v>
      </c>
      <c r="EQ45" s="76">
        <f>IF(EQ$169=0,0,IFERROR(INDEX('2 Staff List'!$KS$64:$KS$114,EQ$21),0))</f>
        <v>0</v>
      </c>
      <c r="ER45" s="76">
        <f>IF(ER$169=0,0,IFERROR(INDEX('2 Staff List'!$KS$64:$KS$114,ER$21),0))</f>
        <v>0</v>
      </c>
      <c r="ES45" s="76">
        <f>IF(ES$169=0,0,IFERROR(INDEX('2 Staff List'!$KS$64:$KS$114,ES$21),0))</f>
        <v>0</v>
      </c>
      <c r="ET45" s="76">
        <f>IF(ET$169=0,0,IFERROR(INDEX('2 Staff List'!$KS$64:$KS$114,ET$21),0))</f>
        <v>0</v>
      </c>
      <c r="EU45" s="76">
        <f>IF(EU$169=0,0,IFERROR(INDEX('2 Staff List'!$KS$64:$KS$114,EU$21),0))</f>
        <v>0</v>
      </c>
      <c r="EV45" s="76">
        <f>IF(EV$169=0,0,IFERROR(INDEX('2 Staff List'!$KS$64:$KS$114,EV$21),0))</f>
        <v>0</v>
      </c>
      <c r="EW45" s="76">
        <f>IF(EW$169=0,0,IFERROR(INDEX('2 Staff List'!$KS$64:$KS$114,EW$21),0))</f>
        <v>0</v>
      </c>
      <c r="EX45" s="76">
        <f>IF(EX$169=0,0,IFERROR(INDEX('2 Staff List'!$KS$64:$KS$114,EX$21),0))</f>
        <v>0</v>
      </c>
      <c r="EY45" s="76">
        <f>IF(EY$169=0,0,IFERROR(INDEX('2 Staff List'!$KS$64:$KS$114,EY$21),0))</f>
        <v>0</v>
      </c>
      <c r="EZ45" s="76">
        <f>IF(EZ$169=0,0,IFERROR(INDEX('2 Staff List'!$KS$64:$KS$114,EZ$21),0))</f>
        <v>0</v>
      </c>
      <c r="FA45" s="76">
        <f>IF(FA$169=0,0,IFERROR(INDEX('2 Staff List'!$KS$64:$KS$114,FA$21),0))</f>
        <v>0</v>
      </c>
      <c r="FB45" s="76">
        <f>IF(FB$169=0,0,IFERROR(INDEX('2 Staff List'!$KS$64:$KS$114,FB$21),0))</f>
        <v>0</v>
      </c>
      <c r="FC45" s="76">
        <f>IF(FC$169=0,0,IFERROR(INDEX('2 Staff List'!$KS$64:$KS$114,FC$21),0))</f>
        <v>0</v>
      </c>
      <c r="FD45" s="76">
        <f>IF(FD$169=0,0,IFERROR(INDEX('2 Staff List'!$KS$64:$KS$114,FD$21),0))</f>
        <v>0</v>
      </c>
      <c r="FE45" s="76">
        <f>IF(FE$169=0,0,IFERROR(INDEX('2 Staff List'!$KS$64:$KS$114,FE$21),0))</f>
        <v>0</v>
      </c>
      <c r="FF45" s="76">
        <f>IF(FF$169=0,0,IFERROR(INDEX('2 Staff List'!$KS$64:$KS$114,FF$21),0))</f>
        <v>0</v>
      </c>
      <c r="FG45" s="76">
        <f>IF(FG$169=0,0,IFERROR(INDEX('2 Staff List'!$KS$64:$KS$114,FG$21),0))</f>
        <v>0</v>
      </c>
      <c r="FH45" s="921"/>
      <c r="FI45" s="305"/>
      <c r="FJ45" s="307"/>
      <c r="FK45" s="307"/>
      <c r="FL45" s="285"/>
      <c r="FM45" s="285"/>
      <c r="FN45" s="285"/>
      <c r="FO45" s="285"/>
      <c r="FP45" s="285"/>
      <c r="FQ45" s="285"/>
      <c r="FR45" s="285"/>
      <c r="FS45" s="285"/>
      <c r="FT45" s="285"/>
      <c r="FU45" s="285"/>
      <c r="FV45" s="285"/>
      <c r="FW45" s="285"/>
      <c r="FX45" s="285"/>
      <c r="FY45" s="285"/>
      <c r="FZ45" s="285"/>
      <c r="GA45" s="285"/>
      <c r="GB45" s="285"/>
      <c r="GC45" s="285"/>
      <c r="GD45" s="285"/>
      <c r="GE45" s="285"/>
      <c r="GF45" s="285"/>
      <c r="GG45" s="285"/>
      <c r="GH45" s="285"/>
      <c r="GI45" s="285"/>
      <c r="GJ45" s="285"/>
      <c r="GK45" s="285"/>
      <c r="GL45" s="285"/>
      <c r="GM45" s="285"/>
      <c r="GN45" s="285"/>
      <c r="GO45" s="285"/>
      <c r="GP45" s="285"/>
      <c r="GQ45" s="285"/>
      <c r="GR45" s="285"/>
      <c r="GS45" s="285"/>
      <c r="GT45" s="285"/>
      <c r="GU45" s="285"/>
      <c r="GV45" s="285"/>
      <c r="GW45" s="285"/>
      <c r="GX45" s="285"/>
      <c r="GY45" s="285"/>
      <c r="GZ45" s="285"/>
      <c r="HA45" s="285"/>
      <c r="HB45" s="285"/>
      <c r="HC45" s="285"/>
      <c r="HD45" s="285"/>
      <c r="HE45" s="285"/>
      <c r="HF45" s="285"/>
      <c r="HG45" s="285"/>
      <c r="HH45" s="285"/>
      <c r="HI45" s="285"/>
      <c r="HJ45" s="285"/>
      <c r="HK45" s="285"/>
      <c r="HL45" s="285"/>
      <c r="HM45" s="285"/>
      <c r="HN45" s="285"/>
      <c r="HO45" s="285"/>
      <c r="HP45" s="285"/>
      <c r="HQ45" s="285"/>
      <c r="HR45" s="285"/>
      <c r="HS45" s="285"/>
      <c r="HT45" s="285"/>
      <c r="HU45" s="285"/>
      <c r="HV45" s="285"/>
      <c r="HW45" s="285"/>
      <c r="HX45" s="285"/>
      <c r="HY45" s="285"/>
      <c r="HZ45" s="285"/>
      <c r="IA45" s="285"/>
      <c r="IB45" s="285"/>
      <c r="IC45" s="285"/>
      <c r="ID45" s="285"/>
      <c r="IE45" s="285"/>
      <c r="IF45" s="285"/>
      <c r="IG45" s="285"/>
      <c r="IH45" s="285"/>
      <c r="II45" s="285"/>
      <c r="IJ45" s="285"/>
      <c r="IK45" s="285"/>
      <c r="IL45" s="285"/>
      <c r="IM45" s="285"/>
      <c r="IN45" s="285"/>
      <c r="IO45" s="285"/>
      <c r="IP45" s="285"/>
      <c r="IQ45" s="285"/>
      <c r="IR45" s="285"/>
      <c r="IS45" s="285"/>
      <c r="IT45" s="285"/>
      <c r="IU45" s="285"/>
      <c r="IV45" s="285"/>
      <c r="IW45" s="285"/>
      <c r="IX45" s="285"/>
      <c r="IY45" s="285"/>
      <c r="IZ45" s="285"/>
      <c r="JA45" s="285"/>
      <c r="JB45" s="285"/>
      <c r="JC45" s="285"/>
      <c r="JD45" s="285"/>
      <c r="JE45" s="285"/>
      <c r="JF45" s="285"/>
      <c r="JG45" s="285"/>
      <c r="JH45" s="285"/>
      <c r="JI45" s="285"/>
      <c r="JJ45" s="285"/>
      <c r="JK45" s="285"/>
      <c r="JL45" s="285"/>
      <c r="JM45" s="285"/>
      <c r="JN45" s="285"/>
      <c r="JO45" s="285"/>
      <c r="JP45" s="285"/>
      <c r="JQ45" s="285"/>
      <c r="JR45" s="285"/>
      <c r="JS45" s="285"/>
      <c r="JT45" s="285"/>
      <c r="JU45" s="285"/>
      <c r="JV45" s="285"/>
      <c r="JW45" s="285"/>
      <c r="JX45" s="285"/>
      <c r="JY45" s="285"/>
      <c r="JZ45" s="285"/>
      <c r="KA45" s="285"/>
      <c r="KB45" s="285"/>
      <c r="KC45" s="285"/>
      <c r="KD45" s="285"/>
      <c r="KE45" s="285"/>
      <c r="KF45" s="285"/>
      <c r="KG45" s="285"/>
      <c r="KH45" s="285"/>
      <c r="KI45" s="285"/>
      <c r="KJ45" s="285"/>
      <c r="KK45" s="285"/>
      <c r="KL45" s="285"/>
      <c r="KM45" s="285"/>
      <c r="KN45" s="285"/>
      <c r="KO45" s="285"/>
      <c r="KP45" s="285"/>
      <c r="KQ45" s="285"/>
      <c r="KR45" s="285"/>
      <c r="KS45" s="285"/>
      <c r="KT45" s="285"/>
      <c r="KU45" s="285"/>
      <c r="KV45" s="285"/>
      <c r="KW45" s="285"/>
      <c r="KX45" s="285"/>
      <c r="KY45" s="285"/>
      <c r="KZ45" s="285"/>
      <c r="LA45" s="285"/>
      <c r="LB45" s="285"/>
      <c r="LC45" s="285"/>
      <c r="LD45" s="285"/>
      <c r="LE45" s="285"/>
      <c r="LF45" s="285"/>
      <c r="LG45" s="285"/>
      <c r="LH45" s="285"/>
      <c r="LI45" s="285"/>
      <c r="LJ45" s="285"/>
      <c r="LK45" s="285"/>
      <c r="LL45" s="285"/>
      <c r="LM45" s="285"/>
      <c r="LN45" s="285"/>
      <c r="LO45" s="285"/>
      <c r="LP45" s="285"/>
    </row>
    <row r="46" spans="1:328" ht="12.75" hidden="1" customHeight="1" x14ac:dyDescent="0.3">
      <c r="A46" s="285"/>
      <c r="B46" s="285"/>
      <c r="C46" s="312">
        <f>'5  Control Accounts'!$BJ$26</f>
        <v>6</v>
      </c>
      <c r="D46" s="293"/>
      <c r="E46" s="306" t="s">
        <v>1780</v>
      </c>
      <c r="F46" s="285"/>
      <c r="G46" s="285"/>
      <c r="H46" s="285"/>
      <c r="I46" s="285"/>
      <c r="J46" s="285"/>
      <c r="K46" s="285"/>
      <c r="L46" s="285"/>
      <c r="M46" s="287"/>
      <c r="N46" s="287"/>
      <c r="O46" s="287"/>
      <c r="P46" s="287"/>
      <c r="Q46" s="287"/>
      <c r="R46" s="287"/>
      <c r="S46" s="285"/>
      <c r="T46" s="285"/>
      <c r="U46" s="285"/>
      <c r="V46" s="285"/>
      <c r="W46" s="285"/>
      <c r="X46" s="285"/>
      <c r="Y46" s="285"/>
      <c r="Z46" s="285"/>
      <c r="AA46" s="285"/>
      <c r="AB46" s="285"/>
      <c r="AC46" s="285"/>
      <c r="AD46" s="285"/>
      <c r="AE46" s="285"/>
      <c r="AF46" s="285"/>
      <c r="AG46" s="285"/>
      <c r="AH46" s="2513"/>
      <c r="AI46" s="285"/>
      <c r="AJ46" s="285"/>
      <c r="AK46" s="285"/>
      <c r="AL46" s="285"/>
      <c r="AM46" s="285"/>
      <c r="AN46" s="285"/>
      <c r="AO46" s="285"/>
      <c r="AP46" s="285"/>
      <c r="AQ46" s="285"/>
      <c r="AR46" s="285"/>
      <c r="AS46" s="285"/>
      <c r="AT46" s="285"/>
      <c r="AU46" s="285"/>
      <c r="AV46" s="285"/>
      <c r="AW46" s="285"/>
      <c r="AX46" s="285"/>
      <c r="AY46" s="285"/>
      <c r="AZ46" s="285"/>
      <c r="BA46" s="285"/>
      <c r="BB46" s="285"/>
      <c r="BC46" s="285"/>
      <c r="BD46" s="285"/>
      <c r="BE46" s="285"/>
      <c r="BF46" s="285"/>
      <c r="BG46" s="285"/>
      <c r="BH46" s="285"/>
      <c r="BI46" s="285"/>
      <c r="BJ46" s="285"/>
      <c r="BK46" s="285"/>
      <c r="BL46" s="285"/>
      <c r="BM46" s="285"/>
      <c r="BN46" s="285"/>
      <c r="BO46" s="285"/>
      <c r="BP46" s="285"/>
      <c r="BQ46" s="285"/>
      <c r="BR46" s="285"/>
      <c r="BS46" s="285"/>
      <c r="BT46" s="285"/>
      <c r="BU46" s="285"/>
      <c r="BV46" s="285"/>
      <c r="BW46" s="285"/>
      <c r="BX46" s="285"/>
      <c r="BY46" s="285"/>
      <c r="BZ46" s="285"/>
      <c r="CA46" s="285"/>
      <c r="CB46" s="285"/>
      <c r="CC46" s="285"/>
      <c r="CD46" s="285"/>
      <c r="CE46" s="285"/>
      <c r="CF46" s="285"/>
      <c r="CG46" s="285"/>
      <c r="CH46" s="285"/>
      <c r="CI46" s="285"/>
      <c r="CJ46" s="285"/>
      <c r="CK46" s="285"/>
      <c r="CL46" s="285"/>
      <c r="CM46" s="285"/>
      <c r="CN46" s="285"/>
      <c r="CO46" s="285"/>
      <c r="CP46" s="285"/>
      <c r="CQ46" s="285"/>
      <c r="CR46" s="285"/>
      <c r="CS46" s="285"/>
      <c r="CT46" s="285"/>
      <c r="CU46" s="285"/>
      <c r="CV46" s="285"/>
      <c r="CW46" s="285"/>
      <c r="CX46" s="285"/>
      <c r="CY46" s="285"/>
      <c r="CZ46" s="285"/>
      <c r="DA46" s="285"/>
      <c r="DB46" s="285"/>
      <c r="DC46" s="285"/>
      <c r="DD46" s="285"/>
      <c r="DE46" s="285"/>
      <c r="DF46" s="285"/>
      <c r="DG46" s="309"/>
      <c r="DH46" s="442" t="s">
        <v>1088</v>
      </c>
      <c r="DI46" s="285"/>
      <c r="DJ46" s="76">
        <f>IF(DJ$169=0,0,IFERROR(INDEX('2 Staff List'!$KT$64:$KT$114,DJ$21),0))</f>
        <v>38.179600000000001</v>
      </c>
      <c r="DK46" s="76">
        <f>IF(DK$169=0,0,IFERROR(INDEX('2 Staff List'!$KT$64:$KT$114,DK$21),0))</f>
        <v>11.3612</v>
      </c>
      <c r="DL46" s="76">
        <f>IF(DL$169=0,0,IFERROR(INDEX('2 Staff List'!$KT$64:$KT$114,DL$21),0))</f>
        <v>41.235700000000001</v>
      </c>
      <c r="DM46" s="76">
        <f>IF(DM$169=0,0,IFERROR(INDEX('2 Staff List'!$KT$64:$KT$114,DM$21),0))</f>
        <v>23</v>
      </c>
      <c r="DN46" s="76">
        <f>IF(DN$169=0,0,IFERROR(INDEX('2 Staff List'!$KT$64:$KT$114,DN$21),0))</f>
        <v>20.09</v>
      </c>
      <c r="DO46" s="76">
        <f>IF(DO$169=0,0,IFERROR(INDEX('2 Staff List'!$KT$64:$KT$114,DO$21),0))</f>
        <v>34.729999999999997</v>
      </c>
      <c r="DP46" s="76">
        <f>IF(DP$169=0,0,IFERROR(INDEX('2 Staff List'!$KT$64:$KT$114,DP$21),0))</f>
        <v>24.98</v>
      </c>
      <c r="DQ46" s="76">
        <f>IF(DQ$169=0,0,IFERROR(INDEX('2 Staff List'!$KT$64:$KT$114,DQ$21),0))</f>
        <v>19.07</v>
      </c>
      <c r="DR46" s="76">
        <f>IF(DR$169=0,0,IFERROR(INDEX('2 Staff List'!$KT$64:$KT$114,DR$21),0))</f>
        <v>17.98</v>
      </c>
      <c r="DS46" s="76">
        <f>IF(DS$169=0,0,IFERROR(INDEX('2 Staff List'!$KT$64:$KT$114,DS$21),0))</f>
        <v>16.170000000000002</v>
      </c>
      <c r="DT46" s="76">
        <f>IF(DT$169=0,0,IFERROR(INDEX('2 Staff List'!$KT$64:$KT$114,DT$21),0))</f>
        <v>0</v>
      </c>
      <c r="DU46" s="76">
        <f>IF(DU$169=0,0,IFERROR(INDEX('2 Staff List'!$KT$64:$KT$114,DU$21),0))</f>
        <v>0</v>
      </c>
      <c r="DV46" s="76">
        <f>IF(DV$169=0,0,IFERROR(INDEX('2 Staff List'!$KT$64:$KT$114,DV$21),0))</f>
        <v>0</v>
      </c>
      <c r="DW46" s="76">
        <f>IF(DW$169=0,0,IFERROR(INDEX('2 Staff List'!$KT$64:$KT$114,DW$21),0))</f>
        <v>0</v>
      </c>
      <c r="DX46" s="76">
        <f>IF(DX$169=0,0,IFERROR(INDEX('2 Staff List'!$KT$64:$KT$114,DX$21),0))</f>
        <v>0</v>
      </c>
      <c r="DY46" s="76">
        <f>IF(DY$169=0,0,IFERROR(INDEX('2 Staff List'!$KT$64:$KT$114,DY$21),0))</f>
        <v>0</v>
      </c>
      <c r="DZ46" s="76">
        <f>IF(DZ$169=0,0,IFERROR(INDEX('2 Staff List'!$KT$64:$KT$114,DZ$21),0))</f>
        <v>0</v>
      </c>
      <c r="EA46" s="76">
        <f>IF(EA$169=0,0,IFERROR(INDEX('2 Staff List'!$KT$64:$KT$114,EA$21),0))</f>
        <v>0</v>
      </c>
      <c r="EB46" s="76">
        <f>IF(EB$169=0,0,IFERROR(INDEX('2 Staff List'!$KT$64:$KT$114,EB$21),0))</f>
        <v>0</v>
      </c>
      <c r="EC46" s="76">
        <f>IF(EC$169=0,0,IFERROR(INDEX('2 Staff List'!$KT$64:$KT$114,EC$21),0))</f>
        <v>0</v>
      </c>
      <c r="ED46" s="76">
        <f>IF(ED$169=0,0,IFERROR(INDEX('2 Staff List'!$KT$64:$KT$114,ED$21),0))</f>
        <v>0</v>
      </c>
      <c r="EE46" s="76">
        <f>IF(EE$169=0,0,IFERROR(INDEX('2 Staff List'!$KT$64:$KT$114,EE$21),0))</f>
        <v>0</v>
      </c>
      <c r="EF46" s="76">
        <f>IF(EF$169=0,0,IFERROR(INDEX('2 Staff List'!$KT$64:$KT$114,EF$21),0))</f>
        <v>0</v>
      </c>
      <c r="EG46" s="76">
        <f>IF(EG$169=0,0,IFERROR(INDEX('2 Staff List'!$KT$64:$KT$114,EG$21),0))</f>
        <v>0</v>
      </c>
      <c r="EH46" s="76">
        <f>IF(EH$169=0,0,IFERROR(INDEX('2 Staff List'!$KT$64:$KT$114,EH$21),0))</f>
        <v>0</v>
      </c>
      <c r="EI46" s="76">
        <f>IF(EI$169=0,0,IFERROR(INDEX('2 Staff List'!$KT$64:$KT$114,EI$21),0))</f>
        <v>0</v>
      </c>
      <c r="EJ46" s="76">
        <f>IF(EJ$169=0,0,IFERROR(INDEX('2 Staff List'!$KT$64:$KT$114,EJ$21),0))</f>
        <v>0</v>
      </c>
      <c r="EK46" s="76">
        <f>IF(EK$169=0,0,IFERROR(INDEX('2 Staff List'!$KT$64:$KT$114,EK$21),0))</f>
        <v>0</v>
      </c>
      <c r="EL46" s="76">
        <f>IF(EL$169=0,0,IFERROR(INDEX('2 Staff List'!$KT$64:$KT$114,EL$21),0))</f>
        <v>0</v>
      </c>
      <c r="EM46" s="76">
        <f>IF(EM$169=0,0,IFERROR(INDEX('2 Staff List'!$KT$64:$KT$114,EM$21),0))</f>
        <v>0</v>
      </c>
      <c r="EN46" s="76">
        <f>IF(EN$169=0,0,IFERROR(INDEX('2 Staff List'!$KT$64:$KT$114,EN$21),0))</f>
        <v>0</v>
      </c>
      <c r="EO46" s="76">
        <f>IF(EO$169=0,0,IFERROR(INDEX('2 Staff List'!$KT$64:$KT$114,EO$21),0))</f>
        <v>0</v>
      </c>
      <c r="EP46" s="76">
        <f>IF(EP$169=0,0,IFERROR(INDEX('2 Staff List'!$KT$64:$KT$114,EP$21),0))</f>
        <v>0</v>
      </c>
      <c r="EQ46" s="76">
        <f>IF(EQ$169=0,0,IFERROR(INDEX('2 Staff List'!$KT$64:$KT$114,EQ$21),0))</f>
        <v>0</v>
      </c>
      <c r="ER46" s="76">
        <f>IF(ER$169=0,0,IFERROR(INDEX('2 Staff List'!$KT$64:$KT$114,ER$21),0))</f>
        <v>0</v>
      </c>
      <c r="ES46" s="76">
        <f>IF(ES$169=0,0,IFERROR(INDEX('2 Staff List'!$KT$64:$KT$114,ES$21),0))</f>
        <v>0</v>
      </c>
      <c r="ET46" s="76">
        <f>IF(ET$169=0,0,IFERROR(INDEX('2 Staff List'!$KT$64:$KT$114,ET$21),0))</f>
        <v>0</v>
      </c>
      <c r="EU46" s="76">
        <f>IF(EU$169=0,0,IFERROR(INDEX('2 Staff List'!$KT$64:$KT$114,EU$21),0))</f>
        <v>0</v>
      </c>
      <c r="EV46" s="76">
        <f>IF(EV$169=0,0,IFERROR(INDEX('2 Staff List'!$KT$64:$KT$114,EV$21),0))</f>
        <v>0</v>
      </c>
      <c r="EW46" s="76">
        <f>IF(EW$169=0,0,IFERROR(INDEX('2 Staff List'!$KT$64:$KT$114,EW$21),0))</f>
        <v>0</v>
      </c>
      <c r="EX46" s="76">
        <f>IF(EX$169=0,0,IFERROR(INDEX('2 Staff List'!$KT$64:$KT$114,EX$21),0))</f>
        <v>0</v>
      </c>
      <c r="EY46" s="76">
        <f>IF(EY$169=0,0,IFERROR(INDEX('2 Staff List'!$KT$64:$KT$114,EY$21),0))</f>
        <v>0</v>
      </c>
      <c r="EZ46" s="76">
        <f>IF(EZ$169=0,0,IFERROR(INDEX('2 Staff List'!$KT$64:$KT$114,EZ$21),0))</f>
        <v>0</v>
      </c>
      <c r="FA46" s="76">
        <f>IF(FA$169=0,0,IFERROR(INDEX('2 Staff List'!$KT$64:$KT$114,FA$21),0))</f>
        <v>0</v>
      </c>
      <c r="FB46" s="76">
        <f>IF(FB$169=0,0,IFERROR(INDEX('2 Staff List'!$KT$64:$KT$114,FB$21),0))</f>
        <v>0</v>
      </c>
      <c r="FC46" s="76">
        <f>IF(FC$169=0,0,IFERROR(INDEX('2 Staff List'!$KT$64:$KT$114,FC$21),0))</f>
        <v>0</v>
      </c>
      <c r="FD46" s="76">
        <f>IF(FD$169=0,0,IFERROR(INDEX('2 Staff List'!$KT$64:$KT$114,FD$21),0))</f>
        <v>0</v>
      </c>
      <c r="FE46" s="76">
        <f>IF(FE$169=0,0,IFERROR(INDEX('2 Staff List'!$KT$64:$KT$114,FE$21),0))</f>
        <v>0</v>
      </c>
      <c r="FF46" s="76">
        <f>IF(FF$169=0,0,IFERROR(INDEX('2 Staff List'!$KT$64:$KT$114,FF$21),0))</f>
        <v>0</v>
      </c>
      <c r="FG46" s="76">
        <f>IF(FG$169=0,0,IFERROR(INDEX('2 Staff List'!$KT$64:$KT$114,FG$21),0))</f>
        <v>0</v>
      </c>
      <c r="FH46" s="922"/>
      <c r="FI46" s="305"/>
      <c r="FJ46" s="307"/>
      <c r="FK46" s="307"/>
      <c r="FL46" s="285"/>
      <c r="FM46" s="285"/>
      <c r="FN46" s="285"/>
      <c r="FO46" s="285"/>
      <c r="FP46" s="285"/>
      <c r="FQ46" s="285"/>
      <c r="FR46" s="285"/>
      <c r="FS46" s="285"/>
      <c r="FT46" s="285"/>
      <c r="FU46" s="285"/>
      <c r="FV46" s="285"/>
      <c r="FW46" s="285"/>
      <c r="FX46" s="285"/>
      <c r="FY46" s="285"/>
      <c r="FZ46" s="285"/>
      <c r="GA46" s="285"/>
      <c r="GB46" s="285"/>
      <c r="GC46" s="285"/>
      <c r="GD46" s="285"/>
      <c r="GE46" s="285"/>
      <c r="GF46" s="285"/>
      <c r="GG46" s="285"/>
      <c r="GH46" s="285"/>
      <c r="GI46" s="285"/>
      <c r="GJ46" s="285"/>
      <c r="GK46" s="285"/>
      <c r="GL46" s="285"/>
      <c r="GM46" s="285"/>
      <c r="GN46" s="289"/>
      <c r="GO46" s="289"/>
      <c r="GP46" s="289"/>
      <c r="GQ46" s="285"/>
      <c r="GR46" s="285"/>
      <c r="GS46" s="285"/>
      <c r="GT46" s="285"/>
      <c r="GU46" s="285"/>
      <c r="GV46" s="285"/>
      <c r="GW46" s="285"/>
      <c r="GX46" s="285"/>
      <c r="GY46" s="285"/>
      <c r="GZ46" s="285"/>
      <c r="HA46" s="285"/>
      <c r="HB46" s="285"/>
      <c r="HC46" s="285"/>
      <c r="HD46" s="285"/>
      <c r="HE46" s="285"/>
      <c r="HF46" s="285"/>
      <c r="HG46" s="285"/>
      <c r="HH46" s="285"/>
      <c r="HI46" s="285"/>
      <c r="HJ46" s="285"/>
      <c r="HK46" s="285"/>
      <c r="HL46" s="285"/>
      <c r="HM46" s="285"/>
      <c r="HN46" s="285"/>
      <c r="HO46" s="285"/>
      <c r="HP46" s="285"/>
      <c r="HQ46" s="285"/>
      <c r="HR46" s="285"/>
      <c r="HS46" s="285"/>
      <c r="HT46" s="285"/>
      <c r="HU46" s="285"/>
      <c r="HV46" s="285"/>
      <c r="HW46" s="285"/>
      <c r="HX46" s="285"/>
      <c r="HY46" s="285"/>
      <c r="HZ46" s="285"/>
      <c r="IA46" s="285"/>
      <c r="IB46" s="285"/>
      <c r="IC46" s="285"/>
      <c r="ID46" s="285"/>
      <c r="IE46" s="285"/>
      <c r="IF46" s="285"/>
      <c r="IG46" s="285"/>
      <c r="IH46" s="285"/>
      <c r="II46" s="285"/>
      <c r="IJ46" s="285"/>
      <c r="IK46" s="285"/>
      <c r="IL46" s="285"/>
      <c r="IM46" s="285"/>
      <c r="IN46" s="285"/>
      <c r="IO46" s="285"/>
      <c r="IP46" s="285"/>
      <c r="IQ46" s="285"/>
      <c r="IR46" s="285"/>
      <c r="IS46" s="285"/>
      <c r="IT46" s="285"/>
      <c r="IU46" s="285"/>
      <c r="IV46" s="285"/>
      <c r="IW46" s="285"/>
      <c r="IX46" s="285"/>
      <c r="IY46" s="285"/>
      <c r="IZ46" s="285"/>
      <c r="JA46" s="285"/>
      <c r="JB46" s="285"/>
      <c r="JC46" s="285"/>
      <c r="JD46" s="285"/>
      <c r="JE46" s="285"/>
      <c r="JF46" s="285"/>
      <c r="JG46" s="285"/>
      <c r="JH46" s="285"/>
      <c r="JI46" s="285"/>
      <c r="JJ46" s="285"/>
      <c r="JK46" s="285"/>
      <c r="JL46" s="285"/>
      <c r="JM46" s="285"/>
      <c r="JN46" s="285"/>
      <c r="JO46" s="285"/>
      <c r="JP46" s="285"/>
      <c r="JQ46" s="285"/>
      <c r="JR46" s="285"/>
      <c r="JS46" s="285"/>
      <c r="JT46" s="285"/>
      <c r="JU46" s="285"/>
      <c r="JV46" s="285"/>
      <c r="JW46" s="285"/>
      <c r="JX46" s="285"/>
      <c r="JY46" s="285"/>
      <c r="JZ46" s="285"/>
      <c r="KA46" s="285"/>
      <c r="KB46" s="285"/>
      <c r="KC46" s="285"/>
      <c r="KD46" s="285"/>
      <c r="KE46" s="285"/>
      <c r="KF46" s="285"/>
      <c r="KG46" s="285"/>
      <c r="KH46" s="285"/>
      <c r="KI46" s="285"/>
      <c r="KJ46" s="285"/>
      <c r="KK46" s="285"/>
      <c r="KL46" s="285"/>
      <c r="KM46" s="285"/>
      <c r="KN46" s="285"/>
      <c r="KO46" s="285"/>
      <c r="KP46" s="285"/>
      <c r="KQ46" s="285"/>
      <c r="KR46" s="285"/>
      <c r="KS46" s="285"/>
      <c r="KT46" s="285"/>
      <c r="KU46" s="285"/>
      <c r="KV46" s="285"/>
      <c r="KW46" s="285"/>
      <c r="KX46" s="285"/>
      <c r="KY46" s="285"/>
      <c r="KZ46" s="285"/>
      <c r="LA46" s="285"/>
      <c r="LB46" s="285"/>
      <c r="LC46" s="285"/>
      <c r="LD46" s="285"/>
      <c r="LE46" s="285"/>
      <c r="LF46" s="285"/>
      <c r="LG46" s="285"/>
      <c r="LH46" s="285"/>
      <c r="LI46" s="285"/>
      <c r="LJ46" s="285"/>
      <c r="LK46" s="285"/>
      <c r="LL46" s="285"/>
      <c r="LM46" s="285"/>
      <c r="LN46" s="285"/>
      <c r="LO46" s="285"/>
      <c r="LP46" s="285"/>
    </row>
    <row r="47" spans="1:328" ht="12.75" hidden="1" customHeight="1" x14ac:dyDescent="0.3">
      <c r="A47" s="285"/>
      <c r="B47" s="285"/>
      <c r="C47" s="286"/>
      <c r="D47" s="285"/>
      <c r="E47" s="285"/>
      <c r="F47" s="285"/>
      <c r="G47" s="285"/>
      <c r="H47" s="285"/>
      <c r="I47" s="285"/>
      <c r="J47" s="285"/>
      <c r="K47" s="285"/>
      <c r="L47" s="285"/>
      <c r="M47" s="287"/>
      <c r="N47" s="287"/>
      <c r="O47" s="287"/>
      <c r="P47" s="287"/>
      <c r="Q47" s="287"/>
      <c r="R47" s="287"/>
      <c r="S47" s="285"/>
      <c r="T47" s="285"/>
      <c r="U47" s="285"/>
      <c r="V47" s="285"/>
      <c r="W47" s="285"/>
      <c r="X47" s="285"/>
      <c r="Y47" s="285"/>
      <c r="Z47" s="285"/>
      <c r="AA47" s="285"/>
      <c r="AB47" s="285"/>
      <c r="AC47" s="285"/>
      <c r="AD47" s="285"/>
      <c r="AE47" s="285"/>
      <c r="AF47" s="285"/>
      <c r="AG47" s="285"/>
      <c r="AH47" s="2513"/>
      <c r="AI47" s="285"/>
      <c r="AJ47" s="285"/>
      <c r="AK47" s="285"/>
      <c r="AL47" s="285"/>
      <c r="AM47" s="285"/>
      <c r="AN47" s="285"/>
      <c r="AO47" s="285"/>
      <c r="AP47" s="285"/>
      <c r="AQ47" s="285"/>
      <c r="AR47" s="285"/>
      <c r="AS47" s="285"/>
      <c r="AT47" s="285"/>
      <c r="AU47" s="285"/>
      <c r="AV47" s="285"/>
      <c r="AW47" s="285"/>
      <c r="AX47" s="285"/>
      <c r="AY47" s="285"/>
      <c r="AZ47" s="285"/>
      <c r="BA47" s="285"/>
      <c r="BB47" s="285"/>
      <c r="BC47" s="285"/>
      <c r="BD47" s="285"/>
      <c r="BE47" s="285"/>
      <c r="BF47" s="285"/>
      <c r="BG47" s="285"/>
      <c r="BH47" s="285"/>
      <c r="BI47" s="285"/>
      <c r="BJ47" s="285"/>
      <c r="BK47" s="285"/>
      <c r="BL47" s="285"/>
      <c r="BM47" s="285"/>
      <c r="BN47" s="285"/>
      <c r="BO47" s="285"/>
      <c r="BP47" s="285"/>
      <c r="BQ47" s="285"/>
      <c r="BR47" s="285"/>
      <c r="BS47" s="285"/>
      <c r="BT47" s="285"/>
      <c r="BU47" s="285"/>
      <c r="BV47" s="285"/>
      <c r="BW47" s="285"/>
      <c r="BX47" s="285"/>
      <c r="BY47" s="285"/>
      <c r="BZ47" s="285"/>
      <c r="CA47" s="285"/>
      <c r="CB47" s="285"/>
      <c r="CC47" s="285"/>
      <c r="CD47" s="285"/>
      <c r="CE47" s="285"/>
      <c r="CF47" s="285"/>
      <c r="CG47" s="285"/>
      <c r="CH47" s="285"/>
      <c r="CI47" s="285"/>
      <c r="CJ47" s="285"/>
      <c r="CK47" s="285"/>
      <c r="CL47" s="285"/>
      <c r="CM47" s="285"/>
      <c r="CN47" s="285"/>
      <c r="CO47" s="285"/>
      <c r="CP47" s="285"/>
      <c r="CQ47" s="285"/>
      <c r="CR47" s="285"/>
      <c r="CS47" s="285"/>
      <c r="CT47" s="285"/>
      <c r="CU47" s="285"/>
      <c r="CV47" s="285"/>
      <c r="CW47" s="285"/>
      <c r="CX47" s="285"/>
      <c r="CY47" s="285"/>
      <c r="CZ47" s="285"/>
      <c r="DA47" s="285"/>
      <c r="DB47" s="285"/>
      <c r="DC47" s="285"/>
      <c r="DD47" s="285"/>
      <c r="DE47" s="285"/>
      <c r="DF47" s="285"/>
      <c r="DG47" s="309"/>
      <c r="DH47" s="442" t="s">
        <v>1089</v>
      </c>
      <c r="DI47" s="285"/>
      <c r="DJ47" s="76">
        <f>IF(DJ$169=0,0,IFERROR(INDEX('2 Staff List'!$KU$64:$KU$114,DJ$21),0))</f>
        <v>38.179600000000001</v>
      </c>
      <c r="DK47" s="76">
        <f>IF(DK$169=0,0,IFERROR(INDEX('2 Staff List'!$KU$64:$KU$114,DK$21),0))</f>
        <v>11.3612</v>
      </c>
      <c r="DL47" s="76">
        <f>IF(DL$169=0,0,IFERROR(INDEX('2 Staff List'!$KU$64:$KU$114,DL$21),0))</f>
        <v>41.235700000000001</v>
      </c>
      <c r="DM47" s="76">
        <f>IF(DM$169=0,0,IFERROR(INDEX('2 Staff List'!$KU$64:$KU$114,DM$21),0))</f>
        <v>23</v>
      </c>
      <c r="DN47" s="76">
        <f>IF(DN$169=0,0,IFERROR(INDEX('2 Staff List'!$KU$64:$KU$114,DN$21),0))</f>
        <v>20.09</v>
      </c>
      <c r="DO47" s="76">
        <f>IF(DO$169=0,0,IFERROR(INDEX('2 Staff List'!$KU$64:$KU$114,DO$21),0))</f>
        <v>34.729999999999997</v>
      </c>
      <c r="DP47" s="76">
        <f>IF(DP$169=0,0,IFERROR(INDEX('2 Staff List'!$KU$64:$KU$114,DP$21),0))</f>
        <v>24.98</v>
      </c>
      <c r="DQ47" s="76">
        <f>IF(DQ$169=0,0,IFERROR(INDEX('2 Staff List'!$KU$64:$KU$114,DQ$21),0))</f>
        <v>19.07</v>
      </c>
      <c r="DR47" s="76">
        <f>IF(DR$169=0,0,IFERROR(INDEX('2 Staff List'!$KU$64:$KU$114,DR$21),0))</f>
        <v>17.98</v>
      </c>
      <c r="DS47" s="76">
        <f>IF(DS$169=0,0,IFERROR(INDEX('2 Staff List'!$KU$64:$KU$114,DS$21),0))</f>
        <v>16.170000000000002</v>
      </c>
      <c r="DT47" s="76">
        <f>IF(DT$169=0,0,IFERROR(INDEX('2 Staff List'!$KU$64:$KU$114,DT$21),0))</f>
        <v>0</v>
      </c>
      <c r="DU47" s="76">
        <f>IF(DU$169=0,0,IFERROR(INDEX('2 Staff List'!$KU$64:$KU$114,DU$21),0))</f>
        <v>0</v>
      </c>
      <c r="DV47" s="76">
        <f>IF(DV$169=0,0,IFERROR(INDEX('2 Staff List'!$KU$64:$KU$114,DV$21),0))</f>
        <v>0</v>
      </c>
      <c r="DW47" s="76">
        <f>IF(DW$169=0,0,IFERROR(INDEX('2 Staff List'!$KU$64:$KU$114,DW$21),0))</f>
        <v>0</v>
      </c>
      <c r="DX47" s="76">
        <f>IF(DX$169=0,0,IFERROR(INDEX('2 Staff List'!$KU$64:$KU$114,DX$21),0))</f>
        <v>0</v>
      </c>
      <c r="DY47" s="76">
        <f>IF(DY$169=0,0,IFERROR(INDEX('2 Staff List'!$KU$64:$KU$114,DY$21),0))</f>
        <v>0</v>
      </c>
      <c r="DZ47" s="76">
        <f>IF(DZ$169=0,0,IFERROR(INDEX('2 Staff List'!$KU$64:$KU$114,DZ$21),0))</f>
        <v>0</v>
      </c>
      <c r="EA47" s="76">
        <f>IF(EA$169=0,0,IFERROR(INDEX('2 Staff List'!$KU$64:$KU$114,EA$21),0))</f>
        <v>0</v>
      </c>
      <c r="EB47" s="76">
        <f>IF(EB$169=0,0,IFERROR(INDEX('2 Staff List'!$KU$64:$KU$114,EB$21),0))</f>
        <v>0</v>
      </c>
      <c r="EC47" s="76">
        <f>IF(EC$169=0,0,IFERROR(INDEX('2 Staff List'!$KU$64:$KU$114,EC$21),0))</f>
        <v>0</v>
      </c>
      <c r="ED47" s="76">
        <f>IF(ED$169=0,0,IFERROR(INDEX('2 Staff List'!$KU$64:$KU$114,ED$21),0))</f>
        <v>0</v>
      </c>
      <c r="EE47" s="76">
        <f>IF(EE$169=0,0,IFERROR(INDEX('2 Staff List'!$KU$64:$KU$114,EE$21),0))</f>
        <v>0</v>
      </c>
      <c r="EF47" s="76">
        <f>IF(EF$169=0,0,IFERROR(INDEX('2 Staff List'!$KU$64:$KU$114,EF$21),0))</f>
        <v>0</v>
      </c>
      <c r="EG47" s="76">
        <f>IF(EG$169=0,0,IFERROR(INDEX('2 Staff List'!$KU$64:$KU$114,EG$21),0))</f>
        <v>0</v>
      </c>
      <c r="EH47" s="76">
        <f>IF(EH$169=0,0,IFERROR(INDEX('2 Staff List'!$KU$64:$KU$114,EH$21),0))</f>
        <v>0</v>
      </c>
      <c r="EI47" s="76">
        <f>IF(EI$169=0,0,IFERROR(INDEX('2 Staff List'!$KU$64:$KU$114,EI$21),0))</f>
        <v>0</v>
      </c>
      <c r="EJ47" s="76">
        <f>IF(EJ$169=0,0,IFERROR(INDEX('2 Staff List'!$KU$64:$KU$114,EJ$21),0))</f>
        <v>0</v>
      </c>
      <c r="EK47" s="76">
        <f>IF(EK$169=0,0,IFERROR(INDEX('2 Staff List'!$KU$64:$KU$114,EK$21),0))</f>
        <v>0</v>
      </c>
      <c r="EL47" s="76">
        <f>IF(EL$169=0,0,IFERROR(INDEX('2 Staff List'!$KU$64:$KU$114,EL$21),0))</f>
        <v>0</v>
      </c>
      <c r="EM47" s="76">
        <f>IF(EM$169=0,0,IFERROR(INDEX('2 Staff List'!$KU$64:$KU$114,EM$21),0))</f>
        <v>0</v>
      </c>
      <c r="EN47" s="76">
        <f>IF(EN$169=0,0,IFERROR(INDEX('2 Staff List'!$KU$64:$KU$114,EN$21),0))</f>
        <v>0</v>
      </c>
      <c r="EO47" s="76">
        <f>IF(EO$169=0,0,IFERROR(INDEX('2 Staff List'!$KU$64:$KU$114,EO$21),0))</f>
        <v>0</v>
      </c>
      <c r="EP47" s="76">
        <f>IF(EP$169=0,0,IFERROR(INDEX('2 Staff List'!$KU$64:$KU$114,EP$21),0))</f>
        <v>0</v>
      </c>
      <c r="EQ47" s="76">
        <f>IF(EQ$169=0,0,IFERROR(INDEX('2 Staff List'!$KU$64:$KU$114,EQ$21),0))</f>
        <v>0</v>
      </c>
      <c r="ER47" s="76">
        <f>IF(ER$169=0,0,IFERROR(INDEX('2 Staff List'!$KU$64:$KU$114,ER$21),0))</f>
        <v>0</v>
      </c>
      <c r="ES47" s="76">
        <f>IF(ES$169=0,0,IFERROR(INDEX('2 Staff List'!$KU$64:$KU$114,ES$21),0))</f>
        <v>0</v>
      </c>
      <c r="ET47" s="76">
        <f>IF(ET$169=0,0,IFERROR(INDEX('2 Staff List'!$KU$64:$KU$114,ET$21),0))</f>
        <v>0</v>
      </c>
      <c r="EU47" s="76">
        <f>IF(EU$169=0,0,IFERROR(INDEX('2 Staff List'!$KU$64:$KU$114,EU$21),0))</f>
        <v>0</v>
      </c>
      <c r="EV47" s="76">
        <f>IF(EV$169=0,0,IFERROR(INDEX('2 Staff List'!$KU$64:$KU$114,EV$21),0))</f>
        <v>0</v>
      </c>
      <c r="EW47" s="76">
        <f>IF(EW$169=0,0,IFERROR(INDEX('2 Staff List'!$KU$64:$KU$114,EW$21),0))</f>
        <v>0</v>
      </c>
      <c r="EX47" s="76">
        <f>IF(EX$169=0,0,IFERROR(INDEX('2 Staff List'!$KU$64:$KU$114,EX$21),0))</f>
        <v>0</v>
      </c>
      <c r="EY47" s="76">
        <f>IF(EY$169=0,0,IFERROR(INDEX('2 Staff List'!$KU$64:$KU$114,EY$21),0))</f>
        <v>0</v>
      </c>
      <c r="EZ47" s="76">
        <f>IF(EZ$169=0,0,IFERROR(INDEX('2 Staff List'!$KU$64:$KU$114,EZ$21),0))</f>
        <v>0</v>
      </c>
      <c r="FA47" s="76">
        <f>IF(FA$169=0,0,IFERROR(INDEX('2 Staff List'!$KU$64:$KU$114,FA$21),0))</f>
        <v>0</v>
      </c>
      <c r="FB47" s="76">
        <f>IF(FB$169=0,0,IFERROR(INDEX('2 Staff List'!$KU$64:$KU$114,FB$21),0))</f>
        <v>0</v>
      </c>
      <c r="FC47" s="76">
        <f>IF(FC$169=0,0,IFERROR(INDEX('2 Staff List'!$KU$64:$KU$114,FC$21),0))</f>
        <v>0</v>
      </c>
      <c r="FD47" s="76">
        <f>IF(FD$169=0,0,IFERROR(INDEX('2 Staff List'!$KU$64:$KU$114,FD$21),0))</f>
        <v>0</v>
      </c>
      <c r="FE47" s="76">
        <f>IF(FE$169=0,0,IFERROR(INDEX('2 Staff List'!$KU$64:$KU$114,FE$21),0))</f>
        <v>0</v>
      </c>
      <c r="FF47" s="76">
        <f>IF(FF$169=0,0,IFERROR(INDEX('2 Staff List'!$KU$64:$KU$114,FF$21),0))</f>
        <v>0</v>
      </c>
      <c r="FG47" s="76">
        <f>IF(FG$169=0,0,IFERROR(INDEX('2 Staff List'!$KU$64:$KU$114,FG$21),0))</f>
        <v>0</v>
      </c>
      <c r="FH47" s="922"/>
      <c r="FI47" s="305"/>
      <c r="FJ47" s="307"/>
      <c r="FK47" s="307"/>
      <c r="FL47" s="285"/>
      <c r="FM47" s="285"/>
      <c r="FN47" s="285"/>
      <c r="FO47" s="285"/>
      <c r="FP47" s="285"/>
      <c r="FQ47" s="285"/>
      <c r="FR47" s="285"/>
      <c r="FS47" s="285"/>
      <c r="FT47" s="285"/>
      <c r="FU47" s="285"/>
      <c r="FV47" s="285"/>
      <c r="FW47" s="285"/>
      <c r="FX47" s="285"/>
      <c r="FY47" s="285"/>
      <c r="FZ47" s="285"/>
      <c r="GA47" s="285"/>
      <c r="GB47" s="285"/>
      <c r="GC47" s="285"/>
      <c r="GD47" s="285"/>
      <c r="GE47" s="285"/>
      <c r="GF47" s="285"/>
      <c r="GG47" s="285"/>
      <c r="GH47" s="285"/>
      <c r="GI47" s="285"/>
      <c r="GJ47" s="285"/>
      <c r="GK47" s="285"/>
      <c r="GL47" s="285"/>
      <c r="GM47" s="285"/>
      <c r="GN47" s="285"/>
      <c r="GO47" s="285"/>
      <c r="GP47" s="285"/>
      <c r="GQ47" s="285"/>
      <c r="GR47" s="285"/>
      <c r="GS47" s="285"/>
      <c r="GT47" s="285"/>
      <c r="GU47" s="285"/>
      <c r="GV47" s="285"/>
      <c r="GW47" s="285"/>
      <c r="GX47" s="285"/>
      <c r="GY47" s="285"/>
      <c r="GZ47" s="285"/>
      <c r="HA47" s="285"/>
      <c r="HB47" s="285"/>
      <c r="HC47" s="285"/>
      <c r="HD47" s="285"/>
      <c r="HE47" s="285"/>
      <c r="HF47" s="285"/>
      <c r="HG47" s="285"/>
      <c r="HH47" s="285"/>
      <c r="HI47" s="285"/>
      <c r="HJ47" s="285"/>
      <c r="HK47" s="285"/>
      <c r="HL47" s="285"/>
      <c r="HM47" s="285"/>
      <c r="HN47" s="285"/>
      <c r="HO47" s="285"/>
      <c r="HP47" s="285"/>
      <c r="HQ47" s="285"/>
      <c r="HR47" s="285"/>
      <c r="HS47" s="285"/>
      <c r="HT47" s="285"/>
      <c r="HU47" s="285"/>
      <c r="HV47" s="285"/>
      <c r="HW47" s="285"/>
      <c r="HX47" s="285"/>
      <c r="HY47" s="285"/>
      <c r="HZ47" s="285"/>
      <c r="IA47" s="285"/>
      <c r="IB47" s="285"/>
      <c r="IC47" s="285"/>
      <c r="ID47" s="285"/>
      <c r="IE47" s="285"/>
      <c r="IF47" s="285"/>
      <c r="IG47" s="285"/>
      <c r="IH47" s="285"/>
      <c r="II47" s="285"/>
      <c r="IJ47" s="285"/>
      <c r="IK47" s="285"/>
      <c r="IL47" s="285"/>
      <c r="IM47" s="285"/>
      <c r="IN47" s="285"/>
      <c r="IO47" s="285"/>
      <c r="IP47" s="285"/>
      <c r="IQ47" s="285"/>
      <c r="IR47" s="285"/>
      <c r="IS47" s="285"/>
      <c r="IT47" s="285"/>
      <c r="IU47" s="285"/>
      <c r="IV47" s="285"/>
      <c r="IW47" s="285"/>
      <c r="IX47" s="285"/>
      <c r="IY47" s="285"/>
      <c r="IZ47" s="285"/>
      <c r="JA47" s="285"/>
      <c r="JB47" s="285"/>
      <c r="JC47" s="285"/>
      <c r="JD47" s="285"/>
      <c r="JE47" s="285"/>
      <c r="JF47" s="285"/>
      <c r="JG47" s="285"/>
      <c r="JH47" s="285"/>
      <c r="JI47" s="285"/>
      <c r="JJ47" s="285"/>
      <c r="JK47" s="285"/>
      <c r="JL47" s="285"/>
      <c r="JM47" s="285"/>
      <c r="JN47" s="285"/>
      <c r="JO47" s="285"/>
      <c r="JP47" s="285"/>
      <c r="JQ47" s="285"/>
      <c r="JR47" s="285"/>
      <c r="JS47" s="285"/>
      <c r="JT47" s="285"/>
      <c r="JU47" s="285"/>
      <c r="JV47" s="285"/>
      <c r="JW47" s="285"/>
      <c r="JX47" s="285"/>
      <c r="JY47" s="285"/>
      <c r="JZ47" s="285"/>
      <c r="KA47" s="285"/>
      <c r="KB47" s="285"/>
      <c r="KC47" s="285"/>
      <c r="KD47" s="285"/>
      <c r="KE47" s="285"/>
      <c r="KF47" s="285"/>
      <c r="KG47" s="285"/>
      <c r="KH47" s="285"/>
      <c r="KI47" s="285"/>
      <c r="KJ47" s="285"/>
      <c r="KK47" s="285"/>
      <c r="KL47" s="285"/>
      <c r="KM47" s="285"/>
      <c r="KN47" s="285"/>
      <c r="KO47" s="285"/>
      <c r="KP47" s="285"/>
      <c r="KQ47" s="285"/>
      <c r="KR47" s="285"/>
      <c r="KS47" s="285"/>
      <c r="KT47" s="285"/>
      <c r="KU47" s="285"/>
      <c r="KV47" s="285"/>
      <c r="KW47" s="285"/>
      <c r="KX47" s="285"/>
      <c r="KY47" s="285"/>
      <c r="KZ47" s="285"/>
      <c r="LA47" s="285"/>
      <c r="LB47" s="285"/>
      <c r="LC47" s="285"/>
      <c r="LD47" s="285"/>
      <c r="LE47" s="285"/>
      <c r="LF47" s="285"/>
      <c r="LG47" s="285"/>
      <c r="LH47" s="285"/>
      <c r="LI47" s="285"/>
      <c r="LJ47" s="285"/>
      <c r="LK47" s="285"/>
      <c r="LL47" s="285"/>
      <c r="LM47" s="285"/>
      <c r="LN47" s="285"/>
      <c r="LO47" s="285"/>
      <c r="LP47" s="285"/>
    </row>
    <row r="48" spans="1:328" ht="12.75" hidden="1" customHeight="1" x14ac:dyDescent="0.3">
      <c r="A48" s="285"/>
      <c r="B48" s="285"/>
      <c r="C48" s="286"/>
      <c r="D48" s="285"/>
      <c r="E48" s="285"/>
      <c r="F48" s="285"/>
      <c r="G48" s="285"/>
      <c r="H48" s="285"/>
      <c r="I48" s="285"/>
      <c r="J48" s="285"/>
      <c r="K48" s="285"/>
      <c r="L48" s="285"/>
      <c r="M48" s="287"/>
      <c r="N48" s="287"/>
      <c r="O48" s="287"/>
      <c r="P48" s="287"/>
      <c r="Q48" s="287"/>
      <c r="R48" s="287"/>
      <c r="S48" s="285"/>
      <c r="T48" s="285"/>
      <c r="U48" s="285"/>
      <c r="V48" s="285"/>
      <c r="W48" s="285"/>
      <c r="X48" s="285"/>
      <c r="Y48" s="285"/>
      <c r="Z48" s="285"/>
      <c r="AA48" s="285"/>
      <c r="AB48" s="285"/>
      <c r="AC48" s="285"/>
      <c r="AD48" s="285"/>
      <c r="AE48" s="285"/>
      <c r="AF48" s="285"/>
      <c r="AG48" s="285"/>
      <c r="AH48" s="2513"/>
      <c r="AI48" s="285"/>
      <c r="AJ48" s="285"/>
      <c r="AK48" s="285"/>
      <c r="AL48" s="285"/>
      <c r="AM48" s="285"/>
      <c r="AN48" s="285"/>
      <c r="AO48" s="285"/>
      <c r="AP48" s="285"/>
      <c r="AQ48" s="285"/>
      <c r="AR48" s="285"/>
      <c r="AS48" s="285"/>
      <c r="AT48" s="285"/>
      <c r="AU48" s="285"/>
      <c r="AV48" s="285"/>
      <c r="AW48" s="285"/>
      <c r="AX48" s="285"/>
      <c r="AY48" s="285"/>
      <c r="AZ48" s="285"/>
      <c r="BA48" s="285"/>
      <c r="BB48" s="285"/>
      <c r="BC48" s="285"/>
      <c r="BD48" s="285"/>
      <c r="BE48" s="285"/>
      <c r="BF48" s="285"/>
      <c r="BG48" s="285"/>
      <c r="BH48" s="285"/>
      <c r="BI48" s="285"/>
      <c r="BJ48" s="285"/>
      <c r="BK48" s="285"/>
      <c r="BL48" s="285"/>
      <c r="BM48" s="285"/>
      <c r="BN48" s="285"/>
      <c r="BO48" s="285"/>
      <c r="BP48" s="285"/>
      <c r="BQ48" s="285"/>
      <c r="BR48" s="285"/>
      <c r="BS48" s="285"/>
      <c r="BT48" s="285"/>
      <c r="BU48" s="285"/>
      <c r="BV48" s="285"/>
      <c r="BW48" s="285"/>
      <c r="BX48" s="285"/>
      <c r="BY48" s="285"/>
      <c r="BZ48" s="285"/>
      <c r="CA48" s="285"/>
      <c r="CB48" s="285"/>
      <c r="CC48" s="285"/>
      <c r="CD48" s="285"/>
      <c r="CE48" s="285"/>
      <c r="CF48" s="285"/>
      <c r="CG48" s="285"/>
      <c r="CH48" s="285"/>
      <c r="CI48" s="285"/>
      <c r="CJ48" s="285"/>
      <c r="CK48" s="285"/>
      <c r="CL48" s="285"/>
      <c r="CM48" s="285"/>
      <c r="CN48" s="285"/>
      <c r="CO48" s="285"/>
      <c r="CP48" s="285"/>
      <c r="CQ48" s="285"/>
      <c r="CR48" s="285"/>
      <c r="CS48" s="285"/>
      <c r="CT48" s="285"/>
      <c r="CU48" s="285"/>
      <c r="CV48" s="285"/>
      <c r="CW48" s="285"/>
      <c r="CX48" s="285"/>
      <c r="CY48" s="285"/>
      <c r="CZ48" s="285"/>
      <c r="DA48" s="285"/>
      <c r="DB48" s="285"/>
      <c r="DC48" s="285"/>
      <c r="DD48" s="285"/>
      <c r="DE48" s="285"/>
      <c r="DF48" s="285"/>
      <c r="DG48" s="309"/>
      <c r="DH48" s="442" t="s">
        <v>1090</v>
      </c>
      <c r="DI48" s="285"/>
      <c r="DJ48" s="76">
        <f>IF(DJ$169=0,0,IFERROR(INDEX('2 Staff List'!$KV$64:$KV$114,DJ$21),0))</f>
        <v>38.179600000000001</v>
      </c>
      <c r="DK48" s="76">
        <f>IF(DK$169=0,0,IFERROR(INDEX('2 Staff List'!$KV$64:$KV$114,DK$21),0))</f>
        <v>11.3612</v>
      </c>
      <c r="DL48" s="76">
        <f>IF(DL$169=0,0,IFERROR(INDEX('2 Staff List'!$KV$64:$KV$114,DL$21),0))</f>
        <v>41.235700000000001</v>
      </c>
      <c r="DM48" s="76">
        <f>IF(DM$169=0,0,IFERROR(INDEX('2 Staff List'!$KV$64:$KV$114,DM$21),0))</f>
        <v>23</v>
      </c>
      <c r="DN48" s="76">
        <f>IF(DN$169=0,0,IFERROR(INDEX('2 Staff List'!$KV$64:$KV$114,DN$21),0))</f>
        <v>20.09</v>
      </c>
      <c r="DO48" s="76">
        <f>IF(DO$169=0,0,IFERROR(INDEX('2 Staff List'!$KV$64:$KV$114,DO$21),0))</f>
        <v>34.729999999999997</v>
      </c>
      <c r="DP48" s="76">
        <f>IF(DP$169=0,0,IFERROR(INDEX('2 Staff List'!$KV$64:$KV$114,DP$21),0))</f>
        <v>24.98</v>
      </c>
      <c r="DQ48" s="76">
        <f>IF(DQ$169=0,0,IFERROR(INDEX('2 Staff List'!$KV$64:$KV$114,DQ$21),0))</f>
        <v>19.07</v>
      </c>
      <c r="DR48" s="76">
        <f>IF(DR$169=0,0,IFERROR(INDEX('2 Staff List'!$KV$64:$KV$114,DR$21),0))</f>
        <v>17.98</v>
      </c>
      <c r="DS48" s="76">
        <f>IF(DS$169=0,0,IFERROR(INDEX('2 Staff List'!$KV$64:$KV$114,DS$21),0))</f>
        <v>16.170000000000002</v>
      </c>
      <c r="DT48" s="76">
        <f>IF(DT$169=0,0,IFERROR(INDEX('2 Staff List'!$KV$64:$KV$114,DT$21),0))</f>
        <v>0</v>
      </c>
      <c r="DU48" s="76">
        <f>IF(DU$169=0,0,IFERROR(INDEX('2 Staff List'!$KV$64:$KV$114,DU$21),0))</f>
        <v>0</v>
      </c>
      <c r="DV48" s="76">
        <f>IF(DV$169=0,0,IFERROR(INDEX('2 Staff List'!$KV$64:$KV$114,DV$21),0))</f>
        <v>0</v>
      </c>
      <c r="DW48" s="76">
        <f>IF(DW$169=0,0,IFERROR(INDEX('2 Staff List'!$KV$64:$KV$114,DW$21),0))</f>
        <v>0</v>
      </c>
      <c r="DX48" s="76">
        <f>IF(DX$169=0,0,IFERROR(INDEX('2 Staff List'!$KV$64:$KV$114,DX$21),0))</f>
        <v>0</v>
      </c>
      <c r="DY48" s="76">
        <f>IF(DY$169=0,0,IFERROR(INDEX('2 Staff List'!$KV$64:$KV$114,DY$21),0))</f>
        <v>0</v>
      </c>
      <c r="DZ48" s="76">
        <f>IF(DZ$169=0,0,IFERROR(INDEX('2 Staff List'!$KV$64:$KV$114,DZ$21),0))</f>
        <v>0</v>
      </c>
      <c r="EA48" s="76">
        <f>IF(EA$169=0,0,IFERROR(INDEX('2 Staff List'!$KV$64:$KV$114,EA$21),0))</f>
        <v>0</v>
      </c>
      <c r="EB48" s="76">
        <f>IF(EB$169=0,0,IFERROR(INDEX('2 Staff List'!$KV$64:$KV$114,EB$21),0))</f>
        <v>0</v>
      </c>
      <c r="EC48" s="76">
        <f>IF(EC$169=0,0,IFERROR(INDEX('2 Staff List'!$KV$64:$KV$114,EC$21),0))</f>
        <v>0</v>
      </c>
      <c r="ED48" s="76">
        <f>IF(ED$169=0,0,IFERROR(INDEX('2 Staff List'!$KV$64:$KV$114,ED$21),0))</f>
        <v>0</v>
      </c>
      <c r="EE48" s="76">
        <f>IF(EE$169=0,0,IFERROR(INDEX('2 Staff List'!$KV$64:$KV$114,EE$21),0))</f>
        <v>0</v>
      </c>
      <c r="EF48" s="76">
        <f>IF(EF$169=0,0,IFERROR(INDEX('2 Staff List'!$KV$64:$KV$114,EF$21),0))</f>
        <v>0</v>
      </c>
      <c r="EG48" s="76">
        <f>IF(EG$169=0,0,IFERROR(INDEX('2 Staff List'!$KV$64:$KV$114,EG$21),0))</f>
        <v>0</v>
      </c>
      <c r="EH48" s="76">
        <f>IF(EH$169=0,0,IFERROR(INDEX('2 Staff List'!$KV$64:$KV$114,EH$21),0))</f>
        <v>0</v>
      </c>
      <c r="EI48" s="76">
        <f>IF(EI$169=0,0,IFERROR(INDEX('2 Staff List'!$KV$64:$KV$114,EI$21),0))</f>
        <v>0</v>
      </c>
      <c r="EJ48" s="76">
        <f>IF(EJ$169=0,0,IFERROR(INDEX('2 Staff List'!$KV$64:$KV$114,EJ$21),0))</f>
        <v>0</v>
      </c>
      <c r="EK48" s="76">
        <f>IF(EK$169=0,0,IFERROR(INDEX('2 Staff List'!$KV$64:$KV$114,EK$21),0))</f>
        <v>0</v>
      </c>
      <c r="EL48" s="76">
        <f>IF(EL$169=0,0,IFERROR(INDEX('2 Staff List'!$KV$64:$KV$114,EL$21),0))</f>
        <v>0</v>
      </c>
      <c r="EM48" s="76">
        <f>IF(EM$169=0,0,IFERROR(INDEX('2 Staff List'!$KV$64:$KV$114,EM$21),0))</f>
        <v>0</v>
      </c>
      <c r="EN48" s="76">
        <f>IF(EN$169=0,0,IFERROR(INDEX('2 Staff List'!$KV$64:$KV$114,EN$21),0))</f>
        <v>0</v>
      </c>
      <c r="EO48" s="76">
        <f>IF(EO$169=0,0,IFERROR(INDEX('2 Staff List'!$KV$64:$KV$114,EO$21),0))</f>
        <v>0</v>
      </c>
      <c r="EP48" s="76">
        <f>IF(EP$169=0,0,IFERROR(INDEX('2 Staff List'!$KV$64:$KV$114,EP$21),0))</f>
        <v>0</v>
      </c>
      <c r="EQ48" s="76">
        <f>IF(EQ$169=0,0,IFERROR(INDEX('2 Staff List'!$KV$64:$KV$114,EQ$21),0))</f>
        <v>0</v>
      </c>
      <c r="ER48" s="76">
        <f>IF(ER$169=0,0,IFERROR(INDEX('2 Staff List'!$KV$64:$KV$114,ER$21),0))</f>
        <v>0</v>
      </c>
      <c r="ES48" s="76">
        <f>IF(ES$169=0,0,IFERROR(INDEX('2 Staff List'!$KV$64:$KV$114,ES$21),0))</f>
        <v>0</v>
      </c>
      <c r="ET48" s="76">
        <f>IF(ET$169=0,0,IFERROR(INDEX('2 Staff List'!$KV$64:$KV$114,ET$21),0))</f>
        <v>0</v>
      </c>
      <c r="EU48" s="76">
        <f>IF(EU$169=0,0,IFERROR(INDEX('2 Staff List'!$KV$64:$KV$114,EU$21),0))</f>
        <v>0</v>
      </c>
      <c r="EV48" s="76">
        <f>IF(EV$169=0,0,IFERROR(INDEX('2 Staff List'!$KV$64:$KV$114,EV$21),0))</f>
        <v>0</v>
      </c>
      <c r="EW48" s="76">
        <f>IF(EW$169=0,0,IFERROR(INDEX('2 Staff List'!$KV$64:$KV$114,EW$21),0))</f>
        <v>0</v>
      </c>
      <c r="EX48" s="76">
        <f>IF(EX$169=0,0,IFERROR(INDEX('2 Staff List'!$KV$64:$KV$114,EX$21),0))</f>
        <v>0</v>
      </c>
      <c r="EY48" s="76">
        <f>IF(EY$169=0,0,IFERROR(INDEX('2 Staff List'!$KV$64:$KV$114,EY$21),0))</f>
        <v>0</v>
      </c>
      <c r="EZ48" s="76">
        <f>IF(EZ$169=0,0,IFERROR(INDEX('2 Staff List'!$KV$64:$KV$114,EZ$21),0))</f>
        <v>0</v>
      </c>
      <c r="FA48" s="76">
        <f>IF(FA$169=0,0,IFERROR(INDEX('2 Staff List'!$KV$64:$KV$114,FA$21),0))</f>
        <v>0</v>
      </c>
      <c r="FB48" s="76">
        <f>IF(FB$169=0,0,IFERROR(INDEX('2 Staff List'!$KV$64:$KV$114,FB$21),0))</f>
        <v>0</v>
      </c>
      <c r="FC48" s="76">
        <f>IF(FC$169=0,0,IFERROR(INDEX('2 Staff List'!$KV$64:$KV$114,FC$21),0))</f>
        <v>0</v>
      </c>
      <c r="FD48" s="76">
        <f>IF(FD$169=0,0,IFERROR(INDEX('2 Staff List'!$KV$64:$KV$114,FD$21),0))</f>
        <v>0</v>
      </c>
      <c r="FE48" s="76">
        <f>IF(FE$169=0,0,IFERROR(INDEX('2 Staff List'!$KV$64:$KV$114,FE$21),0))</f>
        <v>0</v>
      </c>
      <c r="FF48" s="76">
        <f>IF(FF$169=0,0,IFERROR(INDEX('2 Staff List'!$KV$64:$KV$114,FF$21),0))</f>
        <v>0</v>
      </c>
      <c r="FG48" s="76">
        <f>IF(FG$169=0,0,IFERROR(INDEX('2 Staff List'!$KV$64:$KV$114,FG$21),0))</f>
        <v>0</v>
      </c>
      <c r="FH48" s="922"/>
      <c r="FI48" s="305"/>
      <c r="FJ48" s="307"/>
      <c r="FK48" s="307"/>
      <c r="FL48" s="285"/>
      <c r="FM48" s="285"/>
      <c r="FN48" s="285"/>
      <c r="FO48" s="285"/>
      <c r="FP48" s="285"/>
      <c r="FQ48" s="285"/>
      <c r="FR48" s="285"/>
      <c r="FS48" s="285"/>
      <c r="FT48" s="285"/>
      <c r="FU48" s="285"/>
      <c r="FV48" s="285"/>
      <c r="FW48" s="285"/>
      <c r="FX48" s="285"/>
      <c r="FY48" s="285"/>
      <c r="FZ48" s="285"/>
      <c r="GA48" s="285"/>
      <c r="GB48" s="285"/>
      <c r="GC48" s="285"/>
      <c r="GD48" s="285"/>
      <c r="GE48" s="285"/>
      <c r="GF48" s="285"/>
      <c r="GG48" s="285"/>
      <c r="GH48" s="285"/>
      <c r="GI48" s="285"/>
      <c r="GJ48" s="285"/>
      <c r="GK48" s="285"/>
      <c r="GL48" s="285"/>
      <c r="GM48" s="285"/>
      <c r="GN48" s="285"/>
      <c r="GO48" s="285"/>
      <c r="GP48" s="285"/>
      <c r="GQ48" s="285"/>
      <c r="GR48" s="285"/>
      <c r="GS48" s="285"/>
      <c r="GT48" s="285"/>
      <c r="GU48" s="285"/>
      <c r="GV48" s="285"/>
      <c r="GW48" s="285"/>
      <c r="GX48" s="285"/>
      <c r="GY48" s="285"/>
      <c r="GZ48" s="285"/>
      <c r="HA48" s="285"/>
      <c r="HB48" s="285"/>
      <c r="HC48" s="285"/>
      <c r="HD48" s="285"/>
      <c r="HE48" s="285"/>
      <c r="HF48" s="285"/>
      <c r="HG48" s="285"/>
      <c r="HH48" s="285"/>
      <c r="HI48" s="285"/>
      <c r="HJ48" s="285"/>
      <c r="HK48" s="285"/>
      <c r="HL48" s="285"/>
      <c r="HM48" s="285"/>
      <c r="HN48" s="285"/>
      <c r="HO48" s="285"/>
      <c r="HP48" s="285"/>
      <c r="HQ48" s="285"/>
      <c r="HR48" s="285"/>
      <c r="HS48" s="285"/>
      <c r="HT48" s="285"/>
      <c r="HU48" s="285"/>
      <c r="HV48" s="285"/>
      <c r="HW48" s="285"/>
      <c r="HX48" s="285"/>
      <c r="HY48" s="285"/>
      <c r="HZ48" s="285"/>
      <c r="IA48" s="285"/>
      <c r="IB48" s="285"/>
      <c r="IC48" s="285"/>
      <c r="ID48" s="285"/>
      <c r="IE48" s="285"/>
      <c r="IF48" s="285"/>
      <c r="IG48" s="285"/>
      <c r="IH48" s="285"/>
      <c r="II48" s="285"/>
      <c r="IJ48" s="285"/>
      <c r="IK48" s="285"/>
      <c r="IL48" s="285"/>
      <c r="IM48" s="285"/>
      <c r="IN48" s="285"/>
      <c r="IO48" s="285"/>
      <c r="IP48" s="285"/>
      <c r="IQ48" s="285"/>
      <c r="IR48" s="285"/>
      <c r="IS48" s="285"/>
      <c r="IT48" s="285"/>
      <c r="IU48" s="285"/>
      <c r="IV48" s="285"/>
      <c r="IW48" s="285"/>
      <c r="IX48" s="285"/>
      <c r="IY48" s="285"/>
      <c r="IZ48" s="285"/>
      <c r="JA48" s="285"/>
      <c r="JB48" s="285"/>
      <c r="JC48" s="285"/>
      <c r="JD48" s="285"/>
      <c r="JE48" s="285"/>
      <c r="JF48" s="285"/>
      <c r="JG48" s="285"/>
      <c r="JH48" s="285"/>
      <c r="JI48" s="285"/>
      <c r="JJ48" s="285"/>
      <c r="JK48" s="285"/>
      <c r="JL48" s="285"/>
      <c r="JM48" s="285"/>
      <c r="JN48" s="285"/>
      <c r="JO48" s="285"/>
      <c r="JP48" s="285"/>
      <c r="JQ48" s="285"/>
      <c r="JR48" s="285"/>
      <c r="JS48" s="285"/>
      <c r="JT48" s="285"/>
      <c r="JU48" s="285"/>
      <c r="JV48" s="285"/>
      <c r="JW48" s="285"/>
      <c r="JX48" s="285"/>
      <c r="JY48" s="285"/>
      <c r="JZ48" s="285"/>
      <c r="KA48" s="285"/>
      <c r="KB48" s="285"/>
      <c r="KC48" s="285"/>
      <c r="KD48" s="285"/>
      <c r="KE48" s="285"/>
      <c r="KF48" s="285"/>
      <c r="KG48" s="285"/>
      <c r="KH48" s="285"/>
      <c r="KI48" s="285"/>
      <c r="KJ48" s="285"/>
      <c r="KK48" s="285"/>
      <c r="KL48" s="285"/>
      <c r="KM48" s="285"/>
      <c r="KN48" s="285"/>
      <c r="KO48" s="285"/>
      <c r="KP48" s="285"/>
      <c r="KQ48" s="285"/>
      <c r="KR48" s="285"/>
      <c r="KS48" s="285"/>
      <c r="KT48" s="285"/>
      <c r="KU48" s="285"/>
      <c r="KV48" s="285"/>
      <c r="KW48" s="285"/>
      <c r="KX48" s="285"/>
      <c r="KY48" s="285"/>
      <c r="KZ48" s="285"/>
      <c r="LA48" s="285"/>
      <c r="LB48" s="285"/>
      <c r="LC48" s="285"/>
      <c r="LD48" s="285"/>
      <c r="LE48" s="285"/>
      <c r="LF48" s="285"/>
      <c r="LG48" s="285"/>
      <c r="LH48" s="285"/>
      <c r="LI48" s="285"/>
      <c r="LJ48" s="285"/>
      <c r="LK48" s="285"/>
      <c r="LL48" s="285"/>
      <c r="LM48" s="285"/>
      <c r="LN48" s="285"/>
      <c r="LO48" s="285"/>
      <c r="LP48" s="285"/>
    </row>
    <row r="49" spans="1:328" ht="12.75" hidden="1" customHeight="1" x14ac:dyDescent="0.3">
      <c r="A49" s="285"/>
      <c r="B49" s="285"/>
      <c r="C49" s="286"/>
      <c r="D49" s="285"/>
      <c r="E49" s="285"/>
      <c r="F49" s="285"/>
      <c r="G49" s="285"/>
      <c r="H49" s="285"/>
      <c r="I49" s="285"/>
      <c r="J49" s="285"/>
      <c r="K49" s="285"/>
      <c r="L49" s="285"/>
      <c r="M49" s="287"/>
      <c r="N49" s="287"/>
      <c r="O49" s="287"/>
      <c r="P49" s="287"/>
      <c r="Q49" s="287"/>
      <c r="R49" s="287"/>
      <c r="S49" s="285"/>
      <c r="T49" s="285"/>
      <c r="U49" s="285"/>
      <c r="V49" s="285"/>
      <c r="W49" s="285"/>
      <c r="X49" s="285"/>
      <c r="Y49" s="285"/>
      <c r="Z49" s="285"/>
      <c r="AA49" s="285"/>
      <c r="AB49" s="285"/>
      <c r="AC49" s="285"/>
      <c r="AD49" s="285"/>
      <c r="AE49" s="285"/>
      <c r="AF49" s="285"/>
      <c r="AG49" s="285"/>
      <c r="AH49" s="2513"/>
      <c r="AI49" s="285"/>
      <c r="AJ49" s="285"/>
      <c r="AK49" s="285"/>
      <c r="AL49" s="285"/>
      <c r="AM49" s="285"/>
      <c r="AN49" s="285"/>
      <c r="AO49" s="285"/>
      <c r="AP49" s="285"/>
      <c r="AQ49" s="285"/>
      <c r="AR49" s="285"/>
      <c r="AS49" s="285"/>
      <c r="AT49" s="285"/>
      <c r="AU49" s="285"/>
      <c r="AV49" s="285"/>
      <c r="AW49" s="285"/>
      <c r="AX49" s="285"/>
      <c r="AY49" s="285"/>
      <c r="AZ49" s="285"/>
      <c r="BA49" s="285"/>
      <c r="BB49" s="285"/>
      <c r="BC49" s="285"/>
      <c r="BD49" s="285"/>
      <c r="BE49" s="285"/>
      <c r="BF49" s="285"/>
      <c r="BG49" s="285"/>
      <c r="BH49" s="285"/>
      <c r="BI49" s="285"/>
      <c r="BJ49" s="285"/>
      <c r="BK49" s="285"/>
      <c r="BL49" s="285"/>
      <c r="BM49" s="285"/>
      <c r="BN49" s="285"/>
      <c r="BO49" s="285"/>
      <c r="BP49" s="285"/>
      <c r="BQ49" s="285"/>
      <c r="BR49" s="285"/>
      <c r="BS49" s="285"/>
      <c r="BT49" s="285"/>
      <c r="BU49" s="285"/>
      <c r="BV49" s="285"/>
      <c r="BW49" s="285"/>
      <c r="BX49" s="285"/>
      <c r="BY49" s="285"/>
      <c r="BZ49" s="285"/>
      <c r="CA49" s="285"/>
      <c r="CB49" s="285"/>
      <c r="CC49" s="285"/>
      <c r="CD49" s="285"/>
      <c r="CE49" s="285"/>
      <c r="CF49" s="285"/>
      <c r="CG49" s="285"/>
      <c r="CH49" s="285"/>
      <c r="CI49" s="285"/>
      <c r="CJ49" s="285"/>
      <c r="CK49" s="285"/>
      <c r="CL49" s="285"/>
      <c r="CM49" s="285"/>
      <c r="CN49" s="285"/>
      <c r="CO49" s="285"/>
      <c r="CP49" s="285"/>
      <c r="CQ49" s="285"/>
      <c r="CR49" s="285"/>
      <c r="CS49" s="285"/>
      <c r="CT49" s="285"/>
      <c r="CU49" s="285"/>
      <c r="CV49" s="285"/>
      <c r="CW49" s="285"/>
      <c r="CX49" s="285"/>
      <c r="CY49" s="285"/>
      <c r="CZ49" s="285"/>
      <c r="DA49" s="285"/>
      <c r="DB49" s="285"/>
      <c r="DC49" s="285"/>
      <c r="DD49" s="285"/>
      <c r="DE49" s="285"/>
      <c r="DF49" s="285"/>
      <c r="DG49" s="309"/>
      <c r="DH49" s="442" t="s">
        <v>1091</v>
      </c>
      <c r="DI49" s="285"/>
      <c r="DJ49" s="76">
        <f>IF(DJ$169=0,0,IFERROR(INDEX('2 Staff List'!$KW$64:$KW$114,DJ$21),0))</f>
        <v>38.179600000000001</v>
      </c>
      <c r="DK49" s="76">
        <f>IF(DK$169=0,0,IFERROR(INDEX('2 Staff List'!$KW$64:$KW$114,DK$21),0))</f>
        <v>11.3612</v>
      </c>
      <c r="DL49" s="76">
        <f>IF(DL$169=0,0,IFERROR(INDEX('2 Staff List'!$KW$64:$KW$114,DL$21),0))</f>
        <v>41.235700000000001</v>
      </c>
      <c r="DM49" s="76">
        <f>IF(DM$169=0,0,IFERROR(INDEX('2 Staff List'!$KW$64:$KW$114,DM$21),0))</f>
        <v>23</v>
      </c>
      <c r="DN49" s="76">
        <f>IF(DN$169=0,0,IFERROR(INDEX('2 Staff List'!$KW$64:$KW$114,DN$21),0))</f>
        <v>20.09</v>
      </c>
      <c r="DO49" s="76">
        <f>IF(DO$169=0,0,IFERROR(INDEX('2 Staff List'!$KW$64:$KW$114,DO$21),0))</f>
        <v>34.729999999999997</v>
      </c>
      <c r="DP49" s="76">
        <f>IF(DP$169=0,0,IFERROR(INDEX('2 Staff List'!$KW$64:$KW$114,DP$21),0))</f>
        <v>24.98</v>
      </c>
      <c r="DQ49" s="76">
        <f>IF(DQ$169=0,0,IFERROR(INDEX('2 Staff List'!$KW$64:$KW$114,DQ$21),0))</f>
        <v>19.07</v>
      </c>
      <c r="DR49" s="76">
        <f>IF(DR$169=0,0,IFERROR(INDEX('2 Staff List'!$KW$64:$KW$114,DR$21),0))</f>
        <v>17.98</v>
      </c>
      <c r="DS49" s="76">
        <f>IF(DS$169=0,0,IFERROR(INDEX('2 Staff List'!$KW$64:$KW$114,DS$21),0))</f>
        <v>16.170000000000002</v>
      </c>
      <c r="DT49" s="76">
        <f>IF(DT$169=0,0,IFERROR(INDEX('2 Staff List'!$KW$64:$KW$114,DT$21),0))</f>
        <v>0</v>
      </c>
      <c r="DU49" s="76">
        <f>IF(DU$169=0,0,IFERROR(INDEX('2 Staff List'!$KW$64:$KW$114,DU$21),0))</f>
        <v>0</v>
      </c>
      <c r="DV49" s="76">
        <f>IF(DV$169=0,0,IFERROR(INDEX('2 Staff List'!$KW$64:$KW$114,DV$21),0))</f>
        <v>0</v>
      </c>
      <c r="DW49" s="76">
        <f>IF(DW$169=0,0,IFERROR(INDEX('2 Staff List'!$KW$64:$KW$114,DW$21),0))</f>
        <v>0</v>
      </c>
      <c r="DX49" s="76">
        <f>IF(DX$169=0,0,IFERROR(INDEX('2 Staff List'!$KW$64:$KW$114,DX$21),0))</f>
        <v>0</v>
      </c>
      <c r="DY49" s="76">
        <f>IF(DY$169=0,0,IFERROR(INDEX('2 Staff List'!$KW$64:$KW$114,DY$21),0))</f>
        <v>0</v>
      </c>
      <c r="DZ49" s="76">
        <f>IF(DZ$169=0,0,IFERROR(INDEX('2 Staff List'!$KW$64:$KW$114,DZ$21),0))</f>
        <v>0</v>
      </c>
      <c r="EA49" s="76">
        <f>IF(EA$169=0,0,IFERROR(INDEX('2 Staff List'!$KW$64:$KW$114,EA$21),0))</f>
        <v>0</v>
      </c>
      <c r="EB49" s="76">
        <f>IF(EB$169=0,0,IFERROR(INDEX('2 Staff List'!$KW$64:$KW$114,EB$21),0))</f>
        <v>0</v>
      </c>
      <c r="EC49" s="76">
        <f>IF(EC$169=0,0,IFERROR(INDEX('2 Staff List'!$KW$64:$KW$114,EC$21),0))</f>
        <v>0</v>
      </c>
      <c r="ED49" s="76">
        <f>IF(ED$169=0,0,IFERROR(INDEX('2 Staff List'!$KW$64:$KW$114,ED$21),0))</f>
        <v>0</v>
      </c>
      <c r="EE49" s="76">
        <f>IF(EE$169=0,0,IFERROR(INDEX('2 Staff List'!$KW$64:$KW$114,EE$21),0))</f>
        <v>0</v>
      </c>
      <c r="EF49" s="76">
        <f>IF(EF$169=0,0,IFERROR(INDEX('2 Staff List'!$KW$64:$KW$114,EF$21),0))</f>
        <v>0</v>
      </c>
      <c r="EG49" s="76">
        <f>IF(EG$169=0,0,IFERROR(INDEX('2 Staff List'!$KW$64:$KW$114,EG$21),0))</f>
        <v>0</v>
      </c>
      <c r="EH49" s="76">
        <f>IF(EH$169=0,0,IFERROR(INDEX('2 Staff List'!$KW$64:$KW$114,EH$21),0))</f>
        <v>0</v>
      </c>
      <c r="EI49" s="76">
        <f>IF(EI$169=0,0,IFERROR(INDEX('2 Staff List'!$KW$64:$KW$114,EI$21),0))</f>
        <v>0</v>
      </c>
      <c r="EJ49" s="76">
        <f>IF(EJ$169=0,0,IFERROR(INDEX('2 Staff List'!$KW$64:$KW$114,EJ$21),0))</f>
        <v>0</v>
      </c>
      <c r="EK49" s="76">
        <f>IF(EK$169=0,0,IFERROR(INDEX('2 Staff List'!$KW$64:$KW$114,EK$21),0))</f>
        <v>0</v>
      </c>
      <c r="EL49" s="76">
        <f>IF(EL$169=0,0,IFERROR(INDEX('2 Staff List'!$KW$64:$KW$114,EL$21),0))</f>
        <v>0</v>
      </c>
      <c r="EM49" s="76">
        <f>IF(EM$169=0,0,IFERROR(INDEX('2 Staff List'!$KW$64:$KW$114,EM$21),0))</f>
        <v>0</v>
      </c>
      <c r="EN49" s="76">
        <f>IF(EN$169=0,0,IFERROR(INDEX('2 Staff List'!$KW$64:$KW$114,EN$21),0))</f>
        <v>0</v>
      </c>
      <c r="EO49" s="76">
        <f>IF(EO$169=0,0,IFERROR(INDEX('2 Staff List'!$KW$64:$KW$114,EO$21),0))</f>
        <v>0</v>
      </c>
      <c r="EP49" s="76">
        <f>IF(EP$169=0,0,IFERROR(INDEX('2 Staff List'!$KW$64:$KW$114,EP$21),0))</f>
        <v>0</v>
      </c>
      <c r="EQ49" s="76">
        <f>IF(EQ$169=0,0,IFERROR(INDEX('2 Staff List'!$KW$64:$KW$114,EQ$21),0))</f>
        <v>0</v>
      </c>
      <c r="ER49" s="76">
        <f>IF(ER$169=0,0,IFERROR(INDEX('2 Staff List'!$KW$64:$KW$114,ER$21),0))</f>
        <v>0</v>
      </c>
      <c r="ES49" s="76">
        <f>IF(ES$169=0,0,IFERROR(INDEX('2 Staff List'!$KW$64:$KW$114,ES$21),0))</f>
        <v>0</v>
      </c>
      <c r="ET49" s="76">
        <f>IF(ET$169=0,0,IFERROR(INDEX('2 Staff List'!$KW$64:$KW$114,ET$21),0))</f>
        <v>0</v>
      </c>
      <c r="EU49" s="76">
        <f>IF(EU$169=0,0,IFERROR(INDEX('2 Staff List'!$KW$64:$KW$114,EU$21),0))</f>
        <v>0</v>
      </c>
      <c r="EV49" s="76">
        <f>IF(EV$169=0,0,IFERROR(INDEX('2 Staff List'!$KW$64:$KW$114,EV$21),0))</f>
        <v>0</v>
      </c>
      <c r="EW49" s="76">
        <f>IF(EW$169=0,0,IFERROR(INDEX('2 Staff List'!$KW$64:$KW$114,EW$21),0))</f>
        <v>0</v>
      </c>
      <c r="EX49" s="76">
        <f>IF(EX$169=0,0,IFERROR(INDEX('2 Staff List'!$KW$64:$KW$114,EX$21),0))</f>
        <v>0</v>
      </c>
      <c r="EY49" s="76">
        <f>IF(EY$169=0,0,IFERROR(INDEX('2 Staff List'!$KW$64:$KW$114,EY$21),0))</f>
        <v>0</v>
      </c>
      <c r="EZ49" s="76">
        <f>IF(EZ$169=0,0,IFERROR(INDEX('2 Staff List'!$KW$64:$KW$114,EZ$21),0))</f>
        <v>0</v>
      </c>
      <c r="FA49" s="76">
        <f>IF(FA$169=0,0,IFERROR(INDEX('2 Staff List'!$KW$64:$KW$114,FA$21),0))</f>
        <v>0</v>
      </c>
      <c r="FB49" s="76">
        <f>IF(FB$169=0,0,IFERROR(INDEX('2 Staff List'!$KW$64:$KW$114,FB$21),0))</f>
        <v>0</v>
      </c>
      <c r="FC49" s="76">
        <f>IF(FC$169=0,0,IFERROR(INDEX('2 Staff List'!$KW$64:$KW$114,FC$21),0))</f>
        <v>0</v>
      </c>
      <c r="FD49" s="76">
        <f>IF(FD$169=0,0,IFERROR(INDEX('2 Staff List'!$KW$64:$KW$114,FD$21),0))</f>
        <v>0</v>
      </c>
      <c r="FE49" s="76">
        <f>IF(FE$169=0,0,IFERROR(INDEX('2 Staff List'!$KW$64:$KW$114,FE$21),0))</f>
        <v>0</v>
      </c>
      <c r="FF49" s="76">
        <f>IF(FF$169=0,0,IFERROR(INDEX('2 Staff List'!$KW$64:$KW$114,FF$21),0))</f>
        <v>0</v>
      </c>
      <c r="FG49" s="76">
        <f>IF(FG$169=0,0,IFERROR(INDEX('2 Staff List'!$KW$64:$KW$114,FG$21),0))</f>
        <v>0</v>
      </c>
      <c r="FH49" s="922"/>
      <c r="FI49" s="305"/>
      <c r="FJ49" s="307"/>
      <c r="FK49" s="307"/>
      <c r="FL49" s="285"/>
      <c r="FM49" s="285"/>
      <c r="FN49" s="285"/>
      <c r="FO49" s="285"/>
      <c r="FP49" s="285"/>
      <c r="FQ49" s="285"/>
      <c r="FR49" s="285"/>
      <c r="FS49" s="285"/>
      <c r="FT49" s="285"/>
      <c r="FU49" s="285"/>
      <c r="FV49" s="285"/>
      <c r="FW49" s="285"/>
      <c r="FX49" s="285"/>
      <c r="FY49" s="285"/>
      <c r="FZ49" s="285"/>
      <c r="GA49" s="285"/>
      <c r="GB49" s="285"/>
      <c r="GC49" s="285"/>
      <c r="GD49" s="285"/>
      <c r="GE49" s="285"/>
      <c r="GF49" s="285"/>
      <c r="GG49" s="285"/>
      <c r="GH49" s="285"/>
      <c r="GI49" s="285"/>
      <c r="GJ49" s="285"/>
      <c r="GK49" s="285"/>
      <c r="GL49" s="285"/>
      <c r="GM49" s="285"/>
      <c r="GN49" s="285"/>
      <c r="GO49" s="285"/>
      <c r="GP49" s="285"/>
      <c r="GQ49" s="285"/>
      <c r="GR49" s="285"/>
      <c r="GS49" s="285"/>
      <c r="GT49" s="285"/>
      <c r="GU49" s="285"/>
      <c r="GV49" s="285"/>
      <c r="GW49" s="285"/>
      <c r="GX49" s="285"/>
      <c r="GY49" s="285"/>
      <c r="GZ49" s="285"/>
      <c r="HA49" s="285"/>
      <c r="HB49" s="285"/>
      <c r="HC49" s="285"/>
      <c r="HD49" s="285"/>
      <c r="HE49" s="285"/>
      <c r="HF49" s="285"/>
      <c r="HG49" s="285"/>
      <c r="HH49" s="285"/>
      <c r="HI49" s="285"/>
      <c r="HJ49" s="285"/>
      <c r="HK49" s="285"/>
      <c r="HL49" s="285"/>
      <c r="HM49" s="285"/>
      <c r="HN49" s="285"/>
      <c r="HO49" s="285"/>
      <c r="HP49" s="285"/>
      <c r="HQ49" s="285"/>
      <c r="HR49" s="285"/>
      <c r="HS49" s="285"/>
      <c r="HT49" s="285"/>
      <c r="HU49" s="285"/>
      <c r="HV49" s="285"/>
      <c r="HW49" s="285"/>
      <c r="HX49" s="285"/>
      <c r="HY49" s="285"/>
      <c r="HZ49" s="285"/>
      <c r="IA49" s="285"/>
      <c r="IB49" s="285"/>
      <c r="IC49" s="285"/>
      <c r="ID49" s="285"/>
      <c r="IE49" s="285"/>
      <c r="IF49" s="285"/>
      <c r="IG49" s="285"/>
      <c r="IH49" s="285"/>
      <c r="II49" s="285"/>
      <c r="IJ49" s="285"/>
      <c r="IK49" s="285"/>
      <c r="IL49" s="285"/>
      <c r="IM49" s="285"/>
      <c r="IN49" s="285"/>
      <c r="IO49" s="285"/>
      <c r="IP49" s="285"/>
      <c r="IQ49" s="285"/>
      <c r="IR49" s="285"/>
      <c r="IS49" s="285"/>
      <c r="IT49" s="285"/>
      <c r="IU49" s="285"/>
      <c r="IV49" s="285"/>
      <c r="IW49" s="285"/>
      <c r="IX49" s="285"/>
      <c r="IY49" s="285"/>
      <c r="IZ49" s="285"/>
      <c r="JA49" s="285"/>
      <c r="JB49" s="285"/>
      <c r="JC49" s="285"/>
      <c r="JD49" s="285"/>
      <c r="JE49" s="285"/>
      <c r="JF49" s="285"/>
      <c r="JG49" s="285"/>
      <c r="JH49" s="285"/>
      <c r="JI49" s="285"/>
      <c r="JJ49" s="285"/>
      <c r="JK49" s="285"/>
      <c r="JL49" s="285"/>
      <c r="JM49" s="285"/>
      <c r="JN49" s="285"/>
      <c r="JO49" s="285"/>
      <c r="JP49" s="285"/>
      <c r="JQ49" s="285"/>
      <c r="JR49" s="285"/>
      <c r="JS49" s="285"/>
      <c r="JT49" s="285"/>
      <c r="JU49" s="285"/>
      <c r="JV49" s="285"/>
      <c r="JW49" s="285"/>
      <c r="JX49" s="285"/>
      <c r="JY49" s="285"/>
      <c r="JZ49" s="285"/>
      <c r="KA49" s="285"/>
      <c r="KB49" s="285"/>
      <c r="KC49" s="285"/>
      <c r="KD49" s="285"/>
      <c r="KE49" s="285"/>
      <c r="KF49" s="285"/>
      <c r="KG49" s="285"/>
      <c r="KH49" s="285"/>
      <c r="KI49" s="285"/>
      <c r="KJ49" s="285"/>
      <c r="KK49" s="285"/>
      <c r="KL49" s="285"/>
      <c r="KM49" s="285"/>
      <c r="KN49" s="285"/>
      <c r="KO49" s="285"/>
      <c r="KP49" s="285"/>
      <c r="KQ49" s="285"/>
      <c r="KR49" s="285"/>
      <c r="KS49" s="285"/>
      <c r="KT49" s="285"/>
      <c r="KU49" s="285"/>
      <c r="KV49" s="285"/>
      <c r="KW49" s="285"/>
      <c r="KX49" s="285"/>
      <c r="KY49" s="285"/>
      <c r="KZ49" s="285"/>
      <c r="LA49" s="285"/>
      <c r="LB49" s="285"/>
      <c r="LC49" s="285"/>
      <c r="LD49" s="285"/>
      <c r="LE49" s="285"/>
      <c r="LF49" s="285"/>
      <c r="LG49" s="285"/>
      <c r="LH49" s="285"/>
      <c r="LI49" s="285"/>
      <c r="LJ49" s="285"/>
      <c r="LK49" s="285"/>
      <c r="LL49" s="285"/>
      <c r="LM49" s="285"/>
      <c r="LN49" s="285"/>
      <c r="LO49" s="285"/>
      <c r="LP49" s="285"/>
    </row>
    <row r="50" spans="1:328" ht="12.75" hidden="1" customHeight="1" x14ac:dyDescent="0.3">
      <c r="A50" s="285"/>
      <c r="B50" s="285"/>
      <c r="C50" s="286"/>
      <c r="D50" s="285"/>
      <c r="E50" s="285"/>
      <c r="F50" s="285"/>
      <c r="G50" s="285"/>
      <c r="H50" s="285"/>
      <c r="I50" s="285"/>
      <c r="J50" s="285"/>
      <c r="K50" s="285"/>
      <c r="L50" s="285"/>
      <c r="M50" s="287"/>
      <c r="N50" s="287"/>
      <c r="O50" s="287"/>
      <c r="P50" s="287"/>
      <c r="Q50" s="287"/>
      <c r="R50" s="287"/>
      <c r="S50" s="285"/>
      <c r="T50" s="285"/>
      <c r="U50" s="285"/>
      <c r="V50" s="285"/>
      <c r="W50" s="285"/>
      <c r="X50" s="285"/>
      <c r="Y50" s="285"/>
      <c r="Z50" s="285"/>
      <c r="AA50" s="285"/>
      <c r="AB50" s="285"/>
      <c r="AC50" s="285"/>
      <c r="AD50" s="285"/>
      <c r="AE50" s="285"/>
      <c r="AF50" s="285"/>
      <c r="AG50" s="285"/>
      <c r="AH50" s="2513"/>
      <c r="AI50" s="285"/>
      <c r="AJ50" s="285"/>
      <c r="AK50" s="285"/>
      <c r="AL50" s="285"/>
      <c r="AM50" s="285"/>
      <c r="AN50" s="285"/>
      <c r="AO50" s="285"/>
      <c r="AP50" s="285"/>
      <c r="AQ50" s="285"/>
      <c r="AR50" s="285"/>
      <c r="AS50" s="285"/>
      <c r="AT50" s="285"/>
      <c r="AU50" s="285"/>
      <c r="AV50" s="285"/>
      <c r="AW50" s="285"/>
      <c r="AX50" s="285"/>
      <c r="AY50" s="285"/>
      <c r="AZ50" s="285"/>
      <c r="BA50" s="285"/>
      <c r="BB50" s="285"/>
      <c r="BC50" s="285"/>
      <c r="BD50" s="285"/>
      <c r="BE50" s="285"/>
      <c r="BF50" s="285"/>
      <c r="BG50" s="285"/>
      <c r="BH50" s="285"/>
      <c r="BI50" s="285"/>
      <c r="BJ50" s="285"/>
      <c r="BK50" s="285"/>
      <c r="BL50" s="285"/>
      <c r="BM50" s="285"/>
      <c r="BN50" s="285"/>
      <c r="BO50" s="285"/>
      <c r="BP50" s="285"/>
      <c r="BQ50" s="285"/>
      <c r="BR50" s="285"/>
      <c r="BS50" s="285"/>
      <c r="BT50" s="285"/>
      <c r="BU50" s="285"/>
      <c r="BV50" s="285"/>
      <c r="BW50" s="285"/>
      <c r="BX50" s="285"/>
      <c r="BY50" s="285"/>
      <c r="BZ50" s="285"/>
      <c r="CA50" s="285"/>
      <c r="CB50" s="285"/>
      <c r="CC50" s="285"/>
      <c r="CD50" s="285"/>
      <c r="CE50" s="285"/>
      <c r="CF50" s="285"/>
      <c r="CG50" s="285"/>
      <c r="CH50" s="285"/>
      <c r="CI50" s="285"/>
      <c r="CJ50" s="285"/>
      <c r="CK50" s="285"/>
      <c r="CL50" s="285"/>
      <c r="CM50" s="285"/>
      <c r="CN50" s="285"/>
      <c r="CO50" s="285"/>
      <c r="CP50" s="285"/>
      <c r="CQ50" s="285"/>
      <c r="CR50" s="285"/>
      <c r="CS50" s="285"/>
      <c r="CT50" s="285"/>
      <c r="CU50" s="285"/>
      <c r="CV50" s="285"/>
      <c r="CW50" s="285"/>
      <c r="CX50" s="285"/>
      <c r="CY50" s="285"/>
      <c r="CZ50" s="285"/>
      <c r="DA50" s="285"/>
      <c r="DB50" s="285"/>
      <c r="DC50" s="285"/>
      <c r="DD50" s="285"/>
      <c r="DE50" s="285"/>
      <c r="DF50" s="285"/>
      <c r="DG50" s="309"/>
      <c r="DH50" s="442" t="s">
        <v>1092</v>
      </c>
      <c r="DI50" s="285"/>
      <c r="DJ50" s="76">
        <f>IF(DJ$169=0,0,IFERROR(INDEX('2 Staff List'!$KX$64:$KX$114,DJ$21),0))</f>
        <v>38.179600000000001</v>
      </c>
      <c r="DK50" s="76">
        <f>IF(DK$169=0,0,IFERROR(INDEX('2 Staff List'!$KX$64:$KX$114,DK$21),0))</f>
        <v>11.3612</v>
      </c>
      <c r="DL50" s="76">
        <f>IF(DL$169=0,0,IFERROR(INDEX('2 Staff List'!$KX$64:$KX$114,DL$21),0))</f>
        <v>41.235700000000001</v>
      </c>
      <c r="DM50" s="76">
        <f>IF(DM$169=0,0,IFERROR(INDEX('2 Staff List'!$KX$64:$KX$114,DM$21),0))</f>
        <v>23</v>
      </c>
      <c r="DN50" s="76">
        <f>IF(DN$169=0,0,IFERROR(INDEX('2 Staff List'!$KX$64:$KX$114,DN$21),0))</f>
        <v>20.09</v>
      </c>
      <c r="DO50" s="76">
        <f>IF(DO$169=0,0,IFERROR(INDEX('2 Staff List'!$KX$64:$KX$114,DO$21),0))</f>
        <v>34.729999999999997</v>
      </c>
      <c r="DP50" s="76">
        <f>IF(DP$169=0,0,IFERROR(INDEX('2 Staff List'!$KX$64:$KX$114,DP$21),0))</f>
        <v>24.98</v>
      </c>
      <c r="DQ50" s="76">
        <f>IF(DQ$169=0,0,IFERROR(INDEX('2 Staff List'!$KX$64:$KX$114,DQ$21),0))</f>
        <v>19.07</v>
      </c>
      <c r="DR50" s="76">
        <f>IF(DR$169=0,0,IFERROR(INDEX('2 Staff List'!$KX$64:$KX$114,DR$21),0))</f>
        <v>17.98</v>
      </c>
      <c r="DS50" s="76">
        <f>IF(DS$169=0,0,IFERROR(INDEX('2 Staff List'!$KX$64:$KX$114,DS$21),0))</f>
        <v>16.170000000000002</v>
      </c>
      <c r="DT50" s="76">
        <f>IF(DT$169=0,0,IFERROR(INDEX('2 Staff List'!$KX$64:$KX$114,DT$21),0))</f>
        <v>0</v>
      </c>
      <c r="DU50" s="76">
        <f>IF(DU$169=0,0,IFERROR(INDEX('2 Staff List'!$KX$64:$KX$114,DU$21),0))</f>
        <v>0</v>
      </c>
      <c r="DV50" s="76">
        <f>IF(DV$169=0,0,IFERROR(INDEX('2 Staff List'!$KX$64:$KX$114,DV$21),0))</f>
        <v>0</v>
      </c>
      <c r="DW50" s="76">
        <f>IF(DW$169=0,0,IFERROR(INDEX('2 Staff List'!$KX$64:$KX$114,DW$21),0))</f>
        <v>0</v>
      </c>
      <c r="DX50" s="76">
        <f>IF(DX$169=0,0,IFERROR(INDEX('2 Staff List'!$KX$64:$KX$114,DX$21),0))</f>
        <v>0</v>
      </c>
      <c r="DY50" s="76">
        <f>IF(DY$169=0,0,IFERROR(INDEX('2 Staff List'!$KX$64:$KX$114,DY$21),0))</f>
        <v>0</v>
      </c>
      <c r="DZ50" s="76">
        <f>IF(DZ$169=0,0,IFERROR(INDEX('2 Staff List'!$KX$64:$KX$114,DZ$21),0))</f>
        <v>0</v>
      </c>
      <c r="EA50" s="76">
        <f>IF(EA$169=0,0,IFERROR(INDEX('2 Staff List'!$KX$64:$KX$114,EA$21),0))</f>
        <v>0</v>
      </c>
      <c r="EB50" s="76">
        <f>IF(EB$169=0,0,IFERROR(INDEX('2 Staff List'!$KX$64:$KX$114,EB$21),0))</f>
        <v>0</v>
      </c>
      <c r="EC50" s="76">
        <f>IF(EC$169=0,0,IFERROR(INDEX('2 Staff List'!$KX$64:$KX$114,EC$21),0))</f>
        <v>0</v>
      </c>
      <c r="ED50" s="76">
        <f>IF(ED$169=0,0,IFERROR(INDEX('2 Staff List'!$KX$64:$KX$114,ED$21),0))</f>
        <v>0</v>
      </c>
      <c r="EE50" s="76">
        <f>IF(EE$169=0,0,IFERROR(INDEX('2 Staff List'!$KX$64:$KX$114,EE$21),0))</f>
        <v>0</v>
      </c>
      <c r="EF50" s="76">
        <f>IF(EF$169=0,0,IFERROR(INDEX('2 Staff List'!$KX$64:$KX$114,EF$21),0))</f>
        <v>0</v>
      </c>
      <c r="EG50" s="76">
        <f>IF(EG$169=0,0,IFERROR(INDEX('2 Staff List'!$KX$64:$KX$114,EG$21),0))</f>
        <v>0</v>
      </c>
      <c r="EH50" s="76">
        <f>IF(EH$169=0,0,IFERROR(INDEX('2 Staff List'!$KX$64:$KX$114,EH$21),0))</f>
        <v>0</v>
      </c>
      <c r="EI50" s="76">
        <f>IF(EI$169=0,0,IFERROR(INDEX('2 Staff List'!$KX$64:$KX$114,EI$21),0))</f>
        <v>0</v>
      </c>
      <c r="EJ50" s="76">
        <f>IF(EJ$169=0,0,IFERROR(INDEX('2 Staff List'!$KX$64:$KX$114,EJ$21),0))</f>
        <v>0</v>
      </c>
      <c r="EK50" s="76">
        <f>IF(EK$169=0,0,IFERROR(INDEX('2 Staff List'!$KX$64:$KX$114,EK$21),0))</f>
        <v>0</v>
      </c>
      <c r="EL50" s="76">
        <f>IF(EL$169=0,0,IFERROR(INDEX('2 Staff List'!$KX$64:$KX$114,EL$21),0))</f>
        <v>0</v>
      </c>
      <c r="EM50" s="76">
        <f>IF(EM$169=0,0,IFERROR(INDEX('2 Staff List'!$KX$64:$KX$114,EM$21),0))</f>
        <v>0</v>
      </c>
      <c r="EN50" s="76">
        <f>IF(EN$169=0,0,IFERROR(INDEX('2 Staff List'!$KX$64:$KX$114,EN$21),0))</f>
        <v>0</v>
      </c>
      <c r="EO50" s="76">
        <f>IF(EO$169=0,0,IFERROR(INDEX('2 Staff List'!$KX$64:$KX$114,EO$21),0))</f>
        <v>0</v>
      </c>
      <c r="EP50" s="76">
        <f>IF(EP$169=0,0,IFERROR(INDEX('2 Staff List'!$KX$64:$KX$114,EP$21),0))</f>
        <v>0</v>
      </c>
      <c r="EQ50" s="76">
        <f>IF(EQ$169=0,0,IFERROR(INDEX('2 Staff List'!$KX$64:$KX$114,EQ$21),0))</f>
        <v>0</v>
      </c>
      <c r="ER50" s="76">
        <f>IF(ER$169=0,0,IFERROR(INDEX('2 Staff List'!$KX$64:$KX$114,ER$21),0))</f>
        <v>0</v>
      </c>
      <c r="ES50" s="76">
        <f>IF(ES$169=0,0,IFERROR(INDEX('2 Staff List'!$KX$64:$KX$114,ES$21),0))</f>
        <v>0</v>
      </c>
      <c r="ET50" s="76">
        <f>IF(ET$169=0,0,IFERROR(INDEX('2 Staff List'!$KX$64:$KX$114,ET$21),0))</f>
        <v>0</v>
      </c>
      <c r="EU50" s="76">
        <f>IF(EU$169=0,0,IFERROR(INDEX('2 Staff List'!$KX$64:$KX$114,EU$21),0))</f>
        <v>0</v>
      </c>
      <c r="EV50" s="76">
        <f>IF(EV$169=0,0,IFERROR(INDEX('2 Staff List'!$KX$64:$KX$114,EV$21),0))</f>
        <v>0</v>
      </c>
      <c r="EW50" s="76">
        <f>IF(EW$169=0,0,IFERROR(INDEX('2 Staff List'!$KX$64:$KX$114,EW$21),0))</f>
        <v>0</v>
      </c>
      <c r="EX50" s="76">
        <f>IF(EX$169=0,0,IFERROR(INDEX('2 Staff List'!$KX$64:$KX$114,EX$21),0))</f>
        <v>0</v>
      </c>
      <c r="EY50" s="76">
        <f>IF(EY$169=0,0,IFERROR(INDEX('2 Staff List'!$KX$64:$KX$114,EY$21),0))</f>
        <v>0</v>
      </c>
      <c r="EZ50" s="76">
        <f>IF(EZ$169=0,0,IFERROR(INDEX('2 Staff List'!$KX$64:$KX$114,EZ$21),0))</f>
        <v>0</v>
      </c>
      <c r="FA50" s="76">
        <f>IF(FA$169=0,0,IFERROR(INDEX('2 Staff List'!$KX$64:$KX$114,FA$21),0))</f>
        <v>0</v>
      </c>
      <c r="FB50" s="76">
        <f>IF(FB$169=0,0,IFERROR(INDEX('2 Staff List'!$KX$64:$KX$114,FB$21),0))</f>
        <v>0</v>
      </c>
      <c r="FC50" s="76">
        <f>IF(FC$169=0,0,IFERROR(INDEX('2 Staff List'!$KX$64:$KX$114,FC$21),0))</f>
        <v>0</v>
      </c>
      <c r="FD50" s="76">
        <f>IF(FD$169=0,0,IFERROR(INDEX('2 Staff List'!$KX$64:$KX$114,FD$21),0))</f>
        <v>0</v>
      </c>
      <c r="FE50" s="76">
        <f>IF(FE$169=0,0,IFERROR(INDEX('2 Staff List'!$KX$64:$KX$114,FE$21),0))</f>
        <v>0</v>
      </c>
      <c r="FF50" s="76">
        <f>IF(FF$169=0,0,IFERROR(INDEX('2 Staff List'!$KX$64:$KX$114,FF$21),0))</f>
        <v>0</v>
      </c>
      <c r="FG50" s="76">
        <f>IF(FG$169=0,0,IFERROR(INDEX('2 Staff List'!$KX$64:$KX$114,FG$21),0))</f>
        <v>0</v>
      </c>
      <c r="FH50" s="922"/>
      <c r="FI50" s="305"/>
      <c r="FJ50" s="307"/>
      <c r="FK50" s="307"/>
      <c r="FL50" s="285"/>
      <c r="FM50" s="285"/>
      <c r="FN50" s="285"/>
      <c r="FO50" s="285"/>
      <c r="FP50" s="285"/>
      <c r="FQ50" s="285"/>
      <c r="FR50" s="285"/>
      <c r="FS50" s="285"/>
      <c r="FT50" s="285"/>
      <c r="FU50" s="285"/>
      <c r="FV50" s="285"/>
      <c r="FW50" s="285"/>
      <c r="FX50" s="285"/>
      <c r="FY50" s="285"/>
      <c r="FZ50" s="285"/>
      <c r="GA50" s="285"/>
      <c r="GB50" s="285"/>
      <c r="GC50" s="285"/>
      <c r="GD50" s="285"/>
      <c r="GE50" s="285"/>
      <c r="GF50" s="285"/>
      <c r="GG50" s="285"/>
      <c r="GH50" s="285"/>
      <c r="GI50" s="285"/>
      <c r="GJ50" s="285"/>
      <c r="GK50" s="285"/>
      <c r="GL50" s="285"/>
      <c r="GM50" s="285"/>
      <c r="GN50" s="285"/>
      <c r="GO50" s="285"/>
      <c r="GP50" s="285"/>
      <c r="GQ50" s="285"/>
      <c r="GR50" s="285"/>
      <c r="GS50" s="285"/>
      <c r="GT50" s="285"/>
      <c r="GU50" s="285"/>
      <c r="GV50" s="285"/>
      <c r="GW50" s="285"/>
      <c r="GX50" s="285"/>
      <c r="GY50" s="285"/>
      <c r="GZ50" s="285"/>
      <c r="HA50" s="285"/>
      <c r="HB50" s="285"/>
      <c r="HC50" s="285"/>
      <c r="HD50" s="285"/>
      <c r="HE50" s="285"/>
      <c r="HF50" s="285"/>
      <c r="HG50" s="285"/>
      <c r="HH50" s="285"/>
      <c r="HI50" s="285"/>
      <c r="HJ50" s="285"/>
      <c r="HK50" s="285"/>
      <c r="HL50" s="285"/>
      <c r="HM50" s="285"/>
      <c r="HN50" s="285"/>
      <c r="HO50" s="285"/>
      <c r="HP50" s="285"/>
      <c r="HQ50" s="285"/>
      <c r="HR50" s="285"/>
      <c r="HS50" s="285"/>
      <c r="HT50" s="285"/>
      <c r="HU50" s="285"/>
      <c r="HV50" s="285"/>
      <c r="HW50" s="285"/>
      <c r="HX50" s="285"/>
      <c r="HY50" s="285"/>
      <c r="HZ50" s="285"/>
      <c r="IA50" s="285"/>
      <c r="IB50" s="285"/>
      <c r="IC50" s="285"/>
      <c r="ID50" s="285"/>
      <c r="IE50" s="285"/>
      <c r="IF50" s="285"/>
      <c r="IG50" s="285"/>
      <c r="IH50" s="285"/>
      <c r="II50" s="285"/>
      <c r="IJ50" s="285"/>
      <c r="IK50" s="285"/>
      <c r="IL50" s="285"/>
      <c r="IM50" s="285"/>
      <c r="IN50" s="285"/>
      <c r="IO50" s="285"/>
      <c r="IP50" s="285"/>
      <c r="IQ50" s="285"/>
      <c r="IR50" s="285"/>
      <c r="IS50" s="285"/>
      <c r="IT50" s="285"/>
      <c r="IU50" s="285"/>
      <c r="IV50" s="285"/>
      <c r="IW50" s="285"/>
      <c r="IX50" s="285"/>
      <c r="IY50" s="285"/>
      <c r="IZ50" s="285"/>
      <c r="JA50" s="285"/>
      <c r="JB50" s="285"/>
      <c r="JC50" s="285"/>
      <c r="JD50" s="285"/>
      <c r="JE50" s="285"/>
      <c r="JF50" s="285"/>
      <c r="JG50" s="285"/>
      <c r="JH50" s="285"/>
      <c r="JI50" s="285"/>
      <c r="JJ50" s="285"/>
      <c r="JK50" s="285"/>
      <c r="JL50" s="285"/>
      <c r="JM50" s="285"/>
      <c r="JN50" s="285"/>
      <c r="JO50" s="285"/>
      <c r="JP50" s="285"/>
      <c r="JQ50" s="285"/>
      <c r="JR50" s="285"/>
      <c r="JS50" s="285"/>
      <c r="JT50" s="285"/>
      <c r="JU50" s="285"/>
      <c r="JV50" s="285"/>
      <c r="JW50" s="285"/>
      <c r="JX50" s="285"/>
      <c r="JY50" s="285"/>
      <c r="JZ50" s="285"/>
      <c r="KA50" s="285"/>
      <c r="KB50" s="285"/>
      <c r="KC50" s="285"/>
      <c r="KD50" s="285"/>
      <c r="KE50" s="285"/>
      <c r="KF50" s="285"/>
      <c r="KG50" s="285"/>
      <c r="KH50" s="285"/>
      <c r="KI50" s="285"/>
      <c r="KJ50" s="285"/>
      <c r="KK50" s="285"/>
      <c r="KL50" s="285"/>
      <c r="KM50" s="285"/>
      <c r="KN50" s="285"/>
      <c r="KO50" s="285"/>
      <c r="KP50" s="285"/>
      <c r="KQ50" s="285"/>
      <c r="KR50" s="285"/>
      <c r="KS50" s="285"/>
      <c r="KT50" s="285"/>
      <c r="KU50" s="285"/>
      <c r="KV50" s="285"/>
      <c r="KW50" s="285"/>
      <c r="KX50" s="285"/>
      <c r="KY50" s="285"/>
      <c r="KZ50" s="285"/>
      <c r="LA50" s="285"/>
      <c r="LB50" s="285"/>
      <c r="LC50" s="285"/>
      <c r="LD50" s="285"/>
      <c r="LE50" s="285"/>
      <c r="LF50" s="285"/>
      <c r="LG50" s="285"/>
      <c r="LH50" s="285"/>
      <c r="LI50" s="285"/>
      <c r="LJ50" s="285"/>
      <c r="LK50" s="285"/>
      <c r="LL50" s="285"/>
      <c r="LM50" s="285"/>
      <c r="LN50" s="285"/>
      <c r="LO50" s="285"/>
      <c r="LP50" s="285"/>
    </row>
    <row r="51" spans="1:328" ht="12.75" hidden="1" customHeight="1" x14ac:dyDescent="0.3">
      <c r="A51" s="285"/>
      <c r="B51" s="285"/>
      <c r="C51" s="286"/>
      <c r="D51" s="285"/>
      <c r="E51" s="285"/>
      <c r="F51" s="285"/>
      <c r="G51" s="285"/>
      <c r="H51" s="285"/>
      <c r="I51" s="285"/>
      <c r="J51" s="285"/>
      <c r="K51" s="285"/>
      <c r="L51" s="285"/>
      <c r="M51" s="287"/>
      <c r="N51" s="287"/>
      <c r="O51" s="287"/>
      <c r="P51" s="287"/>
      <c r="Q51" s="287"/>
      <c r="R51" s="287"/>
      <c r="S51" s="285"/>
      <c r="T51" s="285"/>
      <c r="U51" s="285"/>
      <c r="V51" s="285"/>
      <c r="W51" s="285"/>
      <c r="X51" s="285"/>
      <c r="Y51" s="285"/>
      <c r="Z51" s="285"/>
      <c r="AA51" s="285"/>
      <c r="AB51" s="285"/>
      <c r="AC51" s="285"/>
      <c r="AD51" s="285"/>
      <c r="AE51" s="285"/>
      <c r="AF51" s="285"/>
      <c r="AG51" s="285"/>
      <c r="AH51" s="2513"/>
      <c r="AI51" s="285"/>
      <c r="AJ51" s="285"/>
      <c r="AK51" s="285"/>
      <c r="AL51" s="285"/>
      <c r="AM51" s="285"/>
      <c r="AN51" s="285"/>
      <c r="AO51" s="285"/>
      <c r="AP51" s="285"/>
      <c r="AQ51" s="285"/>
      <c r="AR51" s="285"/>
      <c r="AS51" s="285"/>
      <c r="AT51" s="285"/>
      <c r="AU51" s="285"/>
      <c r="AV51" s="285"/>
      <c r="AW51" s="285"/>
      <c r="AX51" s="285"/>
      <c r="AY51" s="285"/>
      <c r="AZ51" s="285"/>
      <c r="BA51" s="285"/>
      <c r="BB51" s="285"/>
      <c r="BC51" s="285"/>
      <c r="BD51" s="285"/>
      <c r="BE51" s="285"/>
      <c r="BF51" s="285"/>
      <c r="BG51" s="285"/>
      <c r="BH51" s="285"/>
      <c r="BI51" s="285"/>
      <c r="BJ51" s="285"/>
      <c r="BK51" s="285"/>
      <c r="BL51" s="285"/>
      <c r="BM51" s="285"/>
      <c r="BN51" s="285"/>
      <c r="BO51" s="285"/>
      <c r="BP51" s="285"/>
      <c r="BQ51" s="285"/>
      <c r="BR51" s="285"/>
      <c r="BS51" s="285"/>
      <c r="BT51" s="285"/>
      <c r="BU51" s="285"/>
      <c r="BV51" s="285"/>
      <c r="BW51" s="285"/>
      <c r="BX51" s="285"/>
      <c r="BY51" s="285"/>
      <c r="BZ51" s="285"/>
      <c r="CA51" s="285"/>
      <c r="CB51" s="285"/>
      <c r="CC51" s="285"/>
      <c r="CD51" s="285"/>
      <c r="CE51" s="285"/>
      <c r="CF51" s="285"/>
      <c r="CG51" s="285"/>
      <c r="CH51" s="285"/>
      <c r="CI51" s="285"/>
      <c r="CJ51" s="285"/>
      <c r="CK51" s="285"/>
      <c r="CL51" s="285"/>
      <c r="CM51" s="285"/>
      <c r="CN51" s="285"/>
      <c r="CO51" s="285"/>
      <c r="CP51" s="285"/>
      <c r="CQ51" s="285"/>
      <c r="CR51" s="285"/>
      <c r="CS51" s="285"/>
      <c r="CT51" s="285"/>
      <c r="CU51" s="285"/>
      <c r="CV51" s="285"/>
      <c r="CW51" s="285"/>
      <c r="CX51" s="285"/>
      <c r="CY51" s="285"/>
      <c r="CZ51" s="285"/>
      <c r="DA51" s="285"/>
      <c r="DB51" s="285"/>
      <c r="DC51" s="285"/>
      <c r="DD51" s="285"/>
      <c r="DE51" s="285"/>
      <c r="DF51" s="285"/>
      <c r="DG51" s="309"/>
      <c r="DH51" s="442" t="s">
        <v>1093</v>
      </c>
      <c r="DI51" s="285"/>
      <c r="DJ51" s="76">
        <f>IF(DJ$169=0,0,IFERROR(INDEX('2 Staff List'!$KY$64:$KY$114,DJ$21),0))</f>
        <v>38.179600000000001</v>
      </c>
      <c r="DK51" s="76">
        <f>IF(DK$169=0,0,IFERROR(INDEX('2 Staff List'!$KY$64:$KY$114,DK$21),0))</f>
        <v>11.3612</v>
      </c>
      <c r="DL51" s="76">
        <f>IF(DL$169=0,0,IFERROR(INDEX('2 Staff List'!$KY$64:$KY$114,DL$21),0))</f>
        <v>41.235700000000001</v>
      </c>
      <c r="DM51" s="76">
        <f>IF(DM$169=0,0,IFERROR(INDEX('2 Staff List'!$KY$64:$KY$114,DM$21),0))</f>
        <v>23</v>
      </c>
      <c r="DN51" s="76">
        <f>IF(DN$169=0,0,IFERROR(INDEX('2 Staff List'!$KY$64:$KY$114,DN$21),0))</f>
        <v>20.09</v>
      </c>
      <c r="DO51" s="76">
        <f>IF(DO$169=0,0,IFERROR(INDEX('2 Staff List'!$KY$64:$KY$114,DO$21),0))</f>
        <v>34.729999999999997</v>
      </c>
      <c r="DP51" s="76">
        <f>IF(DP$169=0,0,IFERROR(INDEX('2 Staff List'!$KY$64:$KY$114,DP$21),0))</f>
        <v>24.98</v>
      </c>
      <c r="DQ51" s="76">
        <f>IF(DQ$169=0,0,IFERROR(INDEX('2 Staff List'!$KY$64:$KY$114,DQ$21),0))</f>
        <v>19.07</v>
      </c>
      <c r="DR51" s="76">
        <f>IF(DR$169=0,0,IFERROR(INDEX('2 Staff List'!$KY$64:$KY$114,DR$21),0))</f>
        <v>17.98</v>
      </c>
      <c r="DS51" s="76">
        <f>IF(DS$169=0,0,IFERROR(INDEX('2 Staff List'!$KY$64:$KY$114,DS$21),0))</f>
        <v>16.170000000000002</v>
      </c>
      <c r="DT51" s="76">
        <f>IF(DT$169=0,0,IFERROR(INDEX('2 Staff List'!$KY$64:$KY$114,DT$21),0))</f>
        <v>0</v>
      </c>
      <c r="DU51" s="76">
        <f>IF(DU$169=0,0,IFERROR(INDEX('2 Staff List'!$KY$64:$KY$114,DU$21),0))</f>
        <v>0</v>
      </c>
      <c r="DV51" s="76">
        <f>IF(DV$169=0,0,IFERROR(INDEX('2 Staff List'!$KY$64:$KY$114,DV$21),0))</f>
        <v>0</v>
      </c>
      <c r="DW51" s="76">
        <f>IF(DW$169=0,0,IFERROR(INDEX('2 Staff List'!$KY$64:$KY$114,DW$21),0))</f>
        <v>0</v>
      </c>
      <c r="DX51" s="76">
        <f>IF(DX$169=0,0,IFERROR(INDEX('2 Staff List'!$KY$64:$KY$114,DX$21),0))</f>
        <v>0</v>
      </c>
      <c r="DY51" s="76">
        <f>IF(DY$169=0,0,IFERROR(INDEX('2 Staff List'!$KY$64:$KY$114,DY$21),0))</f>
        <v>0</v>
      </c>
      <c r="DZ51" s="76">
        <f>IF(DZ$169=0,0,IFERROR(INDEX('2 Staff List'!$KY$64:$KY$114,DZ$21),0))</f>
        <v>0</v>
      </c>
      <c r="EA51" s="76">
        <f>IF(EA$169=0,0,IFERROR(INDEX('2 Staff List'!$KY$64:$KY$114,EA$21),0))</f>
        <v>0</v>
      </c>
      <c r="EB51" s="76">
        <f>IF(EB$169=0,0,IFERROR(INDEX('2 Staff List'!$KY$64:$KY$114,EB$21),0))</f>
        <v>0</v>
      </c>
      <c r="EC51" s="76">
        <f>IF(EC$169=0,0,IFERROR(INDEX('2 Staff List'!$KY$64:$KY$114,EC$21),0))</f>
        <v>0</v>
      </c>
      <c r="ED51" s="76">
        <f>IF(ED$169=0,0,IFERROR(INDEX('2 Staff List'!$KY$64:$KY$114,ED$21),0))</f>
        <v>0</v>
      </c>
      <c r="EE51" s="76">
        <f>IF(EE$169=0,0,IFERROR(INDEX('2 Staff List'!$KY$64:$KY$114,EE$21),0))</f>
        <v>0</v>
      </c>
      <c r="EF51" s="76">
        <f>IF(EF$169=0,0,IFERROR(INDEX('2 Staff List'!$KY$64:$KY$114,EF$21),0))</f>
        <v>0</v>
      </c>
      <c r="EG51" s="76">
        <f>IF(EG$169=0,0,IFERROR(INDEX('2 Staff List'!$KY$64:$KY$114,EG$21),0))</f>
        <v>0</v>
      </c>
      <c r="EH51" s="76">
        <f>IF(EH$169=0,0,IFERROR(INDEX('2 Staff List'!$KY$64:$KY$114,EH$21),0))</f>
        <v>0</v>
      </c>
      <c r="EI51" s="76">
        <f>IF(EI$169=0,0,IFERROR(INDEX('2 Staff List'!$KY$64:$KY$114,EI$21),0))</f>
        <v>0</v>
      </c>
      <c r="EJ51" s="76">
        <f>IF(EJ$169=0,0,IFERROR(INDEX('2 Staff List'!$KY$64:$KY$114,EJ$21),0))</f>
        <v>0</v>
      </c>
      <c r="EK51" s="76">
        <f>IF(EK$169=0,0,IFERROR(INDEX('2 Staff List'!$KY$64:$KY$114,EK$21),0))</f>
        <v>0</v>
      </c>
      <c r="EL51" s="76">
        <f>IF(EL$169=0,0,IFERROR(INDEX('2 Staff List'!$KY$64:$KY$114,EL$21),0))</f>
        <v>0</v>
      </c>
      <c r="EM51" s="76">
        <f>IF(EM$169=0,0,IFERROR(INDEX('2 Staff List'!$KY$64:$KY$114,EM$21),0))</f>
        <v>0</v>
      </c>
      <c r="EN51" s="76">
        <f>IF(EN$169=0,0,IFERROR(INDEX('2 Staff List'!$KY$64:$KY$114,EN$21),0))</f>
        <v>0</v>
      </c>
      <c r="EO51" s="76">
        <f>IF(EO$169=0,0,IFERROR(INDEX('2 Staff List'!$KY$64:$KY$114,EO$21),0))</f>
        <v>0</v>
      </c>
      <c r="EP51" s="76">
        <f>IF(EP$169=0,0,IFERROR(INDEX('2 Staff List'!$KY$64:$KY$114,EP$21),0))</f>
        <v>0</v>
      </c>
      <c r="EQ51" s="76">
        <f>IF(EQ$169=0,0,IFERROR(INDEX('2 Staff List'!$KY$64:$KY$114,EQ$21),0))</f>
        <v>0</v>
      </c>
      <c r="ER51" s="76">
        <f>IF(ER$169=0,0,IFERROR(INDEX('2 Staff List'!$KY$64:$KY$114,ER$21),0))</f>
        <v>0</v>
      </c>
      <c r="ES51" s="76">
        <f>IF(ES$169=0,0,IFERROR(INDEX('2 Staff List'!$KY$64:$KY$114,ES$21),0))</f>
        <v>0</v>
      </c>
      <c r="ET51" s="76">
        <f>IF(ET$169=0,0,IFERROR(INDEX('2 Staff List'!$KY$64:$KY$114,ET$21),0))</f>
        <v>0</v>
      </c>
      <c r="EU51" s="76">
        <f>IF(EU$169=0,0,IFERROR(INDEX('2 Staff List'!$KY$64:$KY$114,EU$21),0))</f>
        <v>0</v>
      </c>
      <c r="EV51" s="76">
        <f>IF(EV$169=0,0,IFERROR(INDEX('2 Staff List'!$KY$64:$KY$114,EV$21),0))</f>
        <v>0</v>
      </c>
      <c r="EW51" s="76">
        <f>IF(EW$169=0,0,IFERROR(INDEX('2 Staff List'!$KY$64:$KY$114,EW$21),0))</f>
        <v>0</v>
      </c>
      <c r="EX51" s="76">
        <f>IF(EX$169=0,0,IFERROR(INDEX('2 Staff List'!$KY$64:$KY$114,EX$21),0))</f>
        <v>0</v>
      </c>
      <c r="EY51" s="76">
        <f>IF(EY$169=0,0,IFERROR(INDEX('2 Staff List'!$KY$64:$KY$114,EY$21),0))</f>
        <v>0</v>
      </c>
      <c r="EZ51" s="76">
        <f>IF(EZ$169=0,0,IFERROR(INDEX('2 Staff List'!$KY$64:$KY$114,EZ$21),0))</f>
        <v>0</v>
      </c>
      <c r="FA51" s="76">
        <f>IF(FA$169=0,0,IFERROR(INDEX('2 Staff List'!$KY$64:$KY$114,FA$21),0))</f>
        <v>0</v>
      </c>
      <c r="FB51" s="76">
        <f>IF(FB$169=0,0,IFERROR(INDEX('2 Staff List'!$KY$64:$KY$114,FB$21),0))</f>
        <v>0</v>
      </c>
      <c r="FC51" s="76">
        <f>IF(FC$169=0,0,IFERROR(INDEX('2 Staff List'!$KY$64:$KY$114,FC$21),0))</f>
        <v>0</v>
      </c>
      <c r="FD51" s="76">
        <f>IF(FD$169=0,0,IFERROR(INDEX('2 Staff List'!$KY$64:$KY$114,FD$21),0))</f>
        <v>0</v>
      </c>
      <c r="FE51" s="76">
        <f>IF(FE$169=0,0,IFERROR(INDEX('2 Staff List'!$KY$64:$KY$114,FE$21),0))</f>
        <v>0</v>
      </c>
      <c r="FF51" s="76">
        <f>IF(FF$169=0,0,IFERROR(INDEX('2 Staff List'!$KY$64:$KY$114,FF$21),0))</f>
        <v>0</v>
      </c>
      <c r="FG51" s="76">
        <f>IF(FG$169=0,0,IFERROR(INDEX('2 Staff List'!$KY$64:$KY$114,FG$21),0))</f>
        <v>0</v>
      </c>
      <c r="FH51" s="922"/>
      <c r="FI51" s="305"/>
      <c r="FJ51" s="307"/>
      <c r="FK51" s="307"/>
      <c r="FL51" s="285"/>
      <c r="FM51" s="285"/>
      <c r="FN51" s="285"/>
      <c r="FO51" s="285"/>
      <c r="FP51" s="285"/>
      <c r="FQ51" s="285"/>
      <c r="FR51" s="285"/>
      <c r="FS51" s="285"/>
      <c r="FT51" s="285"/>
      <c r="FU51" s="285"/>
      <c r="FV51" s="285"/>
      <c r="FW51" s="285"/>
      <c r="FX51" s="285"/>
      <c r="FY51" s="285"/>
      <c r="FZ51" s="285"/>
      <c r="GA51" s="285"/>
      <c r="GB51" s="285"/>
      <c r="GC51" s="285"/>
      <c r="GD51" s="285"/>
      <c r="GE51" s="285"/>
      <c r="GF51" s="285"/>
      <c r="GG51" s="285"/>
      <c r="GH51" s="285"/>
      <c r="GI51" s="285"/>
      <c r="GJ51" s="285"/>
      <c r="GK51" s="285"/>
      <c r="GL51" s="285"/>
      <c r="GM51" s="285"/>
      <c r="GN51" s="285"/>
      <c r="GO51" s="285"/>
      <c r="GP51" s="285"/>
      <c r="GQ51" s="285"/>
      <c r="GR51" s="285"/>
      <c r="GS51" s="285"/>
      <c r="GT51" s="285"/>
      <c r="GU51" s="285"/>
      <c r="GV51" s="285"/>
      <c r="GW51" s="285"/>
      <c r="GX51" s="285"/>
      <c r="GY51" s="285"/>
      <c r="GZ51" s="285"/>
      <c r="HA51" s="285"/>
      <c r="HB51" s="285"/>
      <c r="HC51" s="285"/>
      <c r="HD51" s="285"/>
      <c r="HE51" s="285"/>
      <c r="HF51" s="285"/>
      <c r="HG51" s="285"/>
      <c r="HH51" s="285"/>
      <c r="HI51" s="285"/>
      <c r="HJ51" s="285"/>
      <c r="HK51" s="285"/>
      <c r="HL51" s="285"/>
      <c r="HM51" s="285"/>
      <c r="HN51" s="285"/>
      <c r="HO51" s="285"/>
      <c r="HP51" s="285"/>
      <c r="HQ51" s="285"/>
      <c r="HR51" s="285"/>
      <c r="HS51" s="285"/>
      <c r="HT51" s="285"/>
      <c r="HU51" s="285"/>
      <c r="HV51" s="285"/>
      <c r="HW51" s="285"/>
      <c r="HX51" s="285"/>
      <c r="HY51" s="285"/>
      <c r="HZ51" s="285"/>
      <c r="IA51" s="285"/>
      <c r="IB51" s="285"/>
      <c r="IC51" s="285"/>
      <c r="ID51" s="285"/>
      <c r="IE51" s="285"/>
      <c r="IF51" s="285"/>
      <c r="IG51" s="285"/>
      <c r="IH51" s="285"/>
      <c r="II51" s="285"/>
      <c r="IJ51" s="285"/>
      <c r="IK51" s="285"/>
      <c r="IL51" s="285"/>
      <c r="IM51" s="285"/>
      <c r="IN51" s="285"/>
      <c r="IO51" s="285"/>
      <c r="IP51" s="285"/>
      <c r="IQ51" s="285"/>
      <c r="IR51" s="285"/>
      <c r="IS51" s="285"/>
      <c r="IT51" s="285"/>
      <c r="IU51" s="285"/>
      <c r="IV51" s="285"/>
      <c r="IW51" s="285"/>
      <c r="IX51" s="285"/>
      <c r="IY51" s="285"/>
      <c r="IZ51" s="285"/>
      <c r="JA51" s="285"/>
      <c r="JB51" s="285"/>
      <c r="JC51" s="285"/>
      <c r="JD51" s="285"/>
      <c r="JE51" s="285"/>
      <c r="JF51" s="285"/>
      <c r="JG51" s="285"/>
      <c r="JH51" s="285"/>
      <c r="JI51" s="285"/>
      <c r="JJ51" s="285"/>
      <c r="JK51" s="285"/>
      <c r="JL51" s="285"/>
      <c r="JM51" s="285"/>
      <c r="JN51" s="285"/>
      <c r="JO51" s="285"/>
      <c r="JP51" s="285"/>
      <c r="JQ51" s="285"/>
      <c r="JR51" s="285"/>
      <c r="JS51" s="285"/>
      <c r="JT51" s="285"/>
      <c r="JU51" s="285"/>
      <c r="JV51" s="285"/>
      <c r="JW51" s="285"/>
      <c r="JX51" s="285"/>
      <c r="JY51" s="285"/>
      <c r="JZ51" s="285"/>
      <c r="KA51" s="285"/>
      <c r="KB51" s="285"/>
      <c r="KC51" s="285"/>
      <c r="KD51" s="285"/>
      <c r="KE51" s="285"/>
      <c r="KF51" s="285"/>
      <c r="KG51" s="285"/>
      <c r="KH51" s="285"/>
      <c r="KI51" s="285"/>
      <c r="KJ51" s="285"/>
      <c r="KK51" s="285"/>
      <c r="KL51" s="285"/>
      <c r="KM51" s="285"/>
      <c r="KN51" s="285"/>
      <c r="KO51" s="285"/>
      <c r="KP51" s="285"/>
      <c r="KQ51" s="285"/>
      <c r="KR51" s="285"/>
      <c r="KS51" s="285"/>
      <c r="KT51" s="285"/>
      <c r="KU51" s="285"/>
      <c r="KV51" s="285"/>
      <c r="KW51" s="285"/>
      <c r="KX51" s="285"/>
      <c r="KY51" s="285"/>
      <c r="KZ51" s="285"/>
      <c r="LA51" s="285"/>
      <c r="LB51" s="285"/>
      <c r="LC51" s="285"/>
      <c r="LD51" s="285"/>
      <c r="LE51" s="285"/>
      <c r="LF51" s="285"/>
      <c r="LG51" s="285"/>
      <c r="LH51" s="285"/>
      <c r="LI51" s="285"/>
      <c r="LJ51" s="285"/>
      <c r="LK51" s="285"/>
      <c r="LL51" s="285"/>
      <c r="LM51" s="285"/>
      <c r="LN51" s="285"/>
      <c r="LO51" s="285"/>
      <c r="LP51" s="285"/>
    </row>
    <row r="52" spans="1:328" ht="12.75" hidden="1" customHeight="1" x14ac:dyDescent="0.3">
      <c r="A52" s="285"/>
      <c r="B52" s="285"/>
      <c r="C52" s="286"/>
      <c r="D52" s="285"/>
      <c r="E52" s="285"/>
      <c r="F52" s="285"/>
      <c r="G52" s="285"/>
      <c r="H52" s="285"/>
      <c r="I52" s="285"/>
      <c r="J52" s="285"/>
      <c r="K52" s="285"/>
      <c r="L52" s="285"/>
      <c r="M52" s="287"/>
      <c r="N52" s="287"/>
      <c r="O52" s="287"/>
      <c r="P52" s="287"/>
      <c r="Q52" s="287"/>
      <c r="R52" s="287"/>
      <c r="S52" s="285"/>
      <c r="T52" s="285"/>
      <c r="U52" s="285"/>
      <c r="V52" s="285"/>
      <c r="W52" s="285"/>
      <c r="X52" s="285"/>
      <c r="Y52" s="285"/>
      <c r="Z52" s="285"/>
      <c r="AA52" s="285"/>
      <c r="AB52" s="285"/>
      <c r="AC52" s="285"/>
      <c r="AD52" s="285"/>
      <c r="AE52" s="285"/>
      <c r="AF52" s="285"/>
      <c r="AG52" s="285"/>
      <c r="AH52" s="2513"/>
      <c r="AI52" s="285"/>
      <c r="AJ52" s="285"/>
      <c r="AK52" s="285"/>
      <c r="AL52" s="285"/>
      <c r="AM52" s="285"/>
      <c r="AN52" s="285"/>
      <c r="AO52" s="285"/>
      <c r="AP52" s="285"/>
      <c r="AQ52" s="285"/>
      <c r="AR52" s="285"/>
      <c r="AS52" s="285"/>
      <c r="AT52" s="285"/>
      <c r="AU52" s="285"/>
      <c r="AV52" s="285"/>
      <c r="AW52" s="285"/>
      <c r="AX52" s="285"/>
      <c r="AY52" s="285"/>
      <c r="AZ52" s="285"/>
      <c r="BA52" s="285"/>
      <c r="BB52" s="285"/>
      <c r="BC52" s="285"/>
      <c r="BD52" s="285"/>
      <c r="BE52" s="285"/>
      <c r="BF52" s="285"/>
      <c r="BG52" s="285"/>
      <c r="BH52" s="285"/>
      <c r="BI52" s="285"/>
      <c r="BJ52" s="285"/>
      <c r="BK52" s="285"/>
      <c r="BL52" s="285"/>
      <c r="BM52" s="285"/>
      <c r="BN52" s="285"/>
      <c r="BO52" s="285"/>
      <c r="BP52" s="285"/>
      <c r="BQ52" s="285"/>
      <c r="BR52" s="285"/>
      <c r="BS52" s="285"/>
      <c r="BT52" s="285"/>
      <c r="BU52" s="285"/>
      <c r="BV52" s="285"/>
      <c r="BW52" s="285"/>
      <c r="BX52" s="285"/>
      <c r="BY52" s="285"/>
      <c r="BZ52" s="285"/>
      <c r="CA52" s="285"/>
      <c r="CB52" s="285"/>
      <c r="CC52" s="285"/>
      <c r="CD52" s="285"/>
      <c r="CE52" s="285"/>
      <c r="CF52" s="285"/>
      <c r="CG52" s="285"/>
      <c r="CH52" s="285"/>
      <c r="CI52" s="285"/>
      <c r="CJ52" s="285"/>
      <c r="CK52" s="285"/>
      <c r="CL52" s="285"/>
      <c r="CM52" s="285"/>
      <c r="CN52" s="285"/>
      <c r="CO52" s="285"/>
      <c r="CP52" s="285"/>
      <c r="CQ52" s="285"/>
      <c r="CR52" s="285"/>
      <c r="CS52" s="285"/>
      <c r="CT52" s="285"/>
      <c r="CU52" s="285"/>
      <c r="CV52" s="285"/>
      <c r="CW52" s="285"/>
      <c r="CX52" s="285"/>
      <c r="CY52" s="285"/>
      <c r="CZ52" s="285"/>
      <c r="DA52" s="285"/>
      <c r="DB52" s="285"/>
      <c r="DC52" s="285"/>
      <c r="DD52" s="285"/>
      <c r="DE52" s="285"/>
      <c r="DF52" s="285"/>
      <c r="DG52" s="309"/>
      <c r="DH52" s="442" t="s">
        <v>1094</v>
      </c>
      <c r="DI52" s="285"/>
      <c r="DJ52" s="76">
        <f>IF(DJ$169=0,0,IFERROR(INDEX('2 Staff List'!$KZ$64:$KZ$114,DJ$21),0))</f>
        <v>38.179600000000001</v>
      </c>
      <c r="DK52" s="76">
        <f>IF(DK$169=0,0,IFERROR(INDEX('2 Staff List'!$KZ$64:$KZ$114,DK$21),0))</f>
        <v>11.3612</v>
      </c>
      <c r="DL52" s="76">
        <f>IF(DL$169=0,0,IFERROR(INDEX('2 Staff List'!$KZ$64:$KZ$114,DL$21),0))</f>
        <v>41.235700000000001</v>
      </c>
      <c r="DM52" s="76">
        <f>IF(DM$169=0,0,IFERROR(INDEX('2 Staff List'!$KZ$64:$KZ$114,DM$21),0))</f>
        <v>23</v>
      </c>
      <c r="DN52" s="76">
        <f>IF(DN$169=0,0,IFERROR(INDEX('2 Staff List'!$KZ$64:$KZ$114,DN$21),0))</f>
        <v>20.09</v>
      </c>
      <c r="DO52" s="76">
        <f>IF(DO$169=0,0,IFERROR(INDEX('2 Staff List'!$KZ$64:$KZ$114,DO$21),0))</f>
        <v>34.729999999999997</v>
      </c>
      <c r="DP52" s="76">
        <f>IF(DP$169=0,0,IFERROR(INDEX('2 Staff List'!$KZ$64:$KZ$114,DP$21),0))</f>
        <v>24.98</v>
      </c>
      <c r="DQ52" s="76">
        <f>IF(DQ$169=0,0,IFERROR(INDEX('2 Staff List'!$KZ$64:$KZ$114,DQ$21),0))</f>
        <v>19.07</v>
      </c>
      <c r="DR52" s="76">
        <f>IF(DR$169=0,0,IFERROR(INDEX('2 Staff List'!$KZ$64:$KZ$114,DR$21),0))</f>
        <v>17.98</v>
      </c>
      <c r="DS52" s="76">
        <f>IF(DS$169=0,0,IFERROR(INDEX('2 Staff List'!$KZ$64:$KZ$114,DS$21),0))</f>
        <v>16.170000000000002</v>
      </c>
      <c r="DT52" s="76">
        <f>IF(DT$169=0,0,IFERROR(INDEX('2 Staff List'!$KZ$64:$KZ$114,DT$21),0))</f>
        <v>0</v>
      </c>
      <c r="DU52" s="76">
        <f>IF(DU$169=0,0,IFERROR(INDEX('2 Staff List'!$KZ$64:$KZ$114,DU$21),0))</f>
        <v>0</v>
      </c>
      <c r="DV52" s="76">
        <f>IF(DV$169=0,0,IFERROR(INDEX('2 Staff List'!$KZ$64:$KZ$114,DV$21),0))</f>
        <v>0</v>
      </c>
      <c r="DW52" s="76">
        <f>IF(DW$169=0,0,IFERROR(INDEX('2 Staff List'!$KZ$64:$KZ$114,DW$21),0))</f>
        <v>0</v>
      </c>
      <c r="DX52" s="76">
        <f>IF(DX$169=0,0,IFERROR(INDEX('2 Staff List'!$KZ$64:$KZ$114,DX$21),0))</f>
        <v>0</v>
      </c>
      <c r="DY52" s="76">
        <f>IF(DY$169=0,0,IFERROR(INDEX('2 Staff List'!$KZ$64:$KZ$114,DY$21),0))</f>
        <v>0</v>
      </c>
      <c r="DZ52" s="76">
        <f>IF(DZ$169=0,0,IFERROR(INDEX('2 Staff List'!$KZ$64:$KZ$114,DZ$21),0))</f>
        <v>0</v>
      </c>
      <c r="EA52" s="76">
        <f>IF(EA$169=0,0,IFERROR(INDEX('2 Staff List'!$KZ$64:$KZ$114,EA$21),0))</f>
        <v>0</v>
      </c>
      <c r="EB52" s="76">
        <f>IF(EB$169=0,0,IFERROR(INDEX('2 Staff List'!$KZ$64:$KZ$114,EB$21),0))</f>
        <v>0</v>
      </c>
      <c r="EC52" s="76">
        <f>IF(EC$169=0,0,IFERROR(INDEX('2 Staff List'!$KZ$64:$KZ$114,EC$21),0))</f>
        <v>0</v>
      </c>
      <c r="ED52" s="76">
        <f>IF(ED$169=0,0,IFERROR(INDEX('2 Staff List'!$KZ$64:$KZ$114,ED$21),0))</f>
        <v>0</v>
      </c>
      <c r="EE52" s="76">
        <f>IF(EE$169=0,0,IFERROR(INDEX('2 Staff List'!$KZ$64:$KZ$114,EE$21),0))</f>
        <v>0</v>
      </c>
      <c r="EF52" s="76">
        <f>IF(EF$169=0,0,IFERROR(INDEX('2 Staff List'!$KZ$64:$KZ$114,EF$21),0))</f>
        <v>0</v>
      </c>
      <c r="EG52" s="76">
        <f>IF(EG$169=0,0,IFERROR(INDEX('2 Staff List'!$KZ$64:$KZ$114,EG$21),0))</f>
        <v>0</v>
      </c>
      <c r="EH52" s="76">
        <f>IF(EH$169=0,0,IFERROR(INDEX('2 Staff List'!$KZ$64:$KZ$114,EH$21),0))</f>
        <v>0</v>
      </c>
      <c r="EI52" s="76">
        <f>IF(EI$169=0,0,IFERROR(INDEX('2 Staff List'!$KZ$64:$KZ$114,EI$21),0))</f>
        <v>0</v>
      </c>
      <c r="EJ52" s="76">
        <f>IF(EJ$169=0,0,IFERROR(INDEX('2 Staff List'!$KZ$64:$KZ$114,EJ$21),0))</f>
        <v>0</v>
      </c>
      <c r="EK52" s="76">
        <f>IF(EK$169=0,0,IFERROR(INDEX('2 Staff List'!$KZ$64:$KZ$114,EK$21),0))</f>
        <v>0</v>
      </c>
      <c r="EL52" s="76">
        <f>IF(EL$169=0,0,IFERROR(INDEX('2 Staff List'!$KZ$64:$KZ$114,EL$21),0))</f>
        <v>0</v>
      </c>
      <c r="EM52" s="76">
        <f>IF(EM$169=0,0,IFERROR(INDEX('2 Staff List'!$KZ$64:$KZ$114,EM$21),0))</f>
        <v>0</v>
      </c>
      <c r="EN52" s="76">
        <f>IF(EN$169=0,0,IFERROR(INDEX('2 Staff List'!$KZ$64:$KZ$114,EN$21),0))</f>
        <v>0</v>
      </c>
      <c r="EO52" s="76">
        <f>IF(EO$169=0,0,IFERROR(INDEX('2 Staff List'!$KZ$64:$KZ$114,EO$21),0))</f>
        <v>0</v>
      </c>
      <c r="EP52" s="76">
        <f>IF(EP$169=0,0,IFERROR(INDEX('2 Staff List'!$KZ$64:$KZ$114,EP$21),0))</f>
        <v>0</v>
      </c>
      <c r="EQ52" s="76">
        <f>IF(EQ$169=0,0,IFERROR(INDEX('2 Staff List'!$KZ$64:$KZ$114,EQ$21),0))</f>
        <v>0</v>
      </c>
      <c r="ER52" s="76">
        <f>IF(ER$169=0,0,IFERROR(INDEX('2 Staff List'!$KZ$64:$KZ$114,ER$21),0))</f>
        <v>0</v>
      </c>
      <c r="ES52" s="76">
        <f>IF(ES$169=0,0,IFERROR(INDEX('2 Staff List'!$KZ$64:$KZ$114,ES$21),0))</f>
        <v>0</v>
      </c>
      <c r="ET52" s="76">
        <f>IF(ET$169=0,0,IFERROR(INDEX('2 Staff List'!$KZ$64:$KZ$114,ET$21),0))</f>
        <v>0</v>
      </c>
      <c r="EU52" s="76">
        <f>IF(EU$169=0,0,IFERROR(INDEX('2 Staff List'!$KZ$64:$KZ$114,EU$21),0))</f>
        <v>0</v>
      </c>
      <c r="EV52" s="76">
        <f>IF(EV$169=0,0,IFERROR(INDEX('2 Staff List'!$KZ$64:$KZ$114,EV$21),0))</f>
        <v>0</v>
      </c>
      <c r="EW52" s="76">
        <f>IF(EW$169=0,0,IFERROR(INDEX('2 Staff List'!$KZ$64:$KZ$114,EW$21),0))</f>
        <v>0</v>
      </c>
      <c r="EX52" s="76">
        <f>IF(EX$169=0,0,IFERROR(INDEX('2 Staff List'!$KZ$64:$KZ$114,EX$21),0))</f>
        <v>0</v>
      </c>
      <c r="EY52" s="76">
        <f>IF(EY$169=0,0,IFERROR(INDEX('2 Staff List'!$KZ$64:$KZ$114,EY$21),0))</f>
        <v>0</v>
      </c>
      <c r="EZ52" s="76">
        <f>IF(EZ$169=0,0,IFERROR(INDEX('2 Staff List'!$KZ$64:$KZ$114,EZ$21),0))</f>
        <v>0</v>
      </c>
      <c r="FA52" s="76">
        <f>IF(FA$169=0,0,IFERROR(INDEX('2 Staff List'!$KZ$64:$KZ$114,FA$21),0))</f>
        <v>0</v>
      </c>
      <c r="FB52" s="76">
        <f>IF(FB$169=0,0,IFERROR(INDEX('2 Staff List'!$KZ$64:$KZ$114,FB$21),0))</f>
        <v>0</v>
      </c>
      <c r="FC52" s="76">
        <f>IF(FC$169=0,0,IFERROR(INDEX('2 Staff List'!$KZ$64:$KZ$114,FC$21),0))</f>
        <v>0</v>
      </c>
      <c r="FD52" s="76">
        <f>IF(FD$169=0,0,IFERROR(INDEX('2 Staff List'!$KZ$64:$KZ$114,FD$21),0))</f>
        <v>0</v>
      </c>
      <c r="FE52" s="76">
        <f>IF(FE$169=0,0,IFERROR(INDEX('2 Staff List'!$KZ$64:$KZ$114,FE$21),0))</f>
        <v>0</v>
      </c>
      <c r="FF52" s="76">
        <f>IF(FF$169=0,0,IFERROR(INDEX('2 Staff List'!$KZ$64:$KZ$114,FF$21),0))</f>
        <v>0</v>
      </c>
      <c r="FG52" s="76">
        <f>IF(FG$169=0,0,IFERROR(INDEX('2 Staff List'!$KZ$64:$KZ$114,FG$21),0))</f>
        <v>0</v>
      </c>
      <c r="FH52" s="922"/>
      <c r="FI52" s="305"/>
      <c r="FJ52" s="307"/>
      <c r="FK52" s="307"/>
      <c r="FL52" s="285"/>
      <c r="FM52" s="285"/>
      <c r="FN52" s="285"/>
      <c r="FO52" s="285"/>
      <c r="FP52" s="285"/>
      <c r="FQ52" s="285"/>
      <c r="FR52" s="285"/>
      <c r="FS52" s="285"/>
      <c r="FT52" s="285"/>
      <c r="FU52" s="285"/>
      <c r="FV52" s="285"/>
      <c r="FW52" s="285"/>
      <c r="FX52" s="285"/>
      <c r="FY52" s="285"/>
      <c r="FZ52" s="285"/>
      <c r="GA52" s="285"/>
      <c r="GB52" s="285"/>
      <c r="GC52" s="285"/>
      <c r="GD52" s="285"/>
      <c r="GE52" s="285"/>
      <c r="GF52" s="285"/>
      <c r="GG52" s="285"/>
      <c r="GH52" s="285"/>
      <c r="GI52" s="285"/>
      <c r="GJ52" s="285"/>
      <c r="GK52" s="285"/>
      <c r="GL52" s="285"/>
      <c r="GM52" s="285"/>
      <c r="GN52" s="285"/>
      <c r="GO52" s="285"/>
      <c r="GP52" s="285"/>
      <c r="GQ52" s="285"/>
      <c r="GR52" s="285"/>
      <c r="GS52" s="285"/>
      <c r="GT52" s="285"/>
      <c r="GU52" s="285"/>
      <c r="GV52" s="285"/>
      <c r="GW52" s="285"/>
      <c r="GX52" s="285"/>
      <c r="GY52" s="285"/>
      <c r="GZ52" s="285"/>
      <c r="HA52" s="285"/>
      <c r="HB52" s="285"/>
      <c r="HC52" s="285"/>
      <c r="HD52" s="285"/>
      <c r="HE52" s="285"/>
      <c r="HF52" s="285"/>
      <c r="HG52" s="285"/>
      <c r="HH52" s="285"/>
      <c r="HI52" s="285"/>
      <c r="HJ52" s="285"/>
      <c r="HK52" s="285"/>
      <c r="HL52" s="285"/>
      <c r="HM52" s="285"/>
      <c r="HN52" s="285"/>
      <c r="HO52" s="285"/>
      <c r="HP52" s="285"/>
      <c r="HQ52" s="285"/>
      <c r="HR52" s="285"/>
      <c r="HS52" s="285"/>
      <c r="HT52" s="285"/>
      <c r="HU52" s="285"/>
      <c r="HV52" s="285"/>
      <c r="HW52" s="285"/>
      <c r="HX52" s="285"/>
      <c r="HY52" s="285"/>
      <c r="HZ52" s="285"/>
      <c r="IA52" s="285"/>
      <c r="IB52" s="285"/>
      <c r="IC52" s="285"/>
      <c r="ID52" s="285"/>
      <c r="IE52" s="285"/>
      <c r="IF52" s="285"/>
      <c r="IG52" s="285"/>
      <c r="IH52" s="285"/>
      <c r="II52" s="285"/>
      <c r="IJ52" s="285"/>
      <c r="IK52" s="285"/>
      <c r="IL52" s="285"/>
      <c r="IM52" s="285"/>
      <c r="IN52" s="285"/>
      <c r="IO52" s="285"/>
      <c r="IP52" s="285"/>
      <c r="IQ52" s="285"/>
      <c r="IR52" s="285"/>
      <c r="IS52" s="285"/>
      <c r="IT52" s="285"/>
      <c r="IU52" s="285"/>
      <c r="IV52" s="285"/>
      <c r="IW52" s="285"/>
      <c r="IX52" s="285"/>
      <c r="IY52" s="285"/>
      <c r="IZ52" s="285"/>
      <c r="JA52" s="285"/>
      <c r="JB52" s="285"/>
      <c r="JC52" s="285"/>
      <c r="JD52" s="285"/>
      <c r="JE52" s="285"/>
      <c r="JF52" s="285"/>
      <c r="JG52" s="285"/>
      <c r="JH52" s="285"/>
      <c r="JI52" s="285"/>
      <c r="JJ52" s="285"/>
      <c r="JK52" s="285"/>
      <c r="JL52" s="285"/>
      <c r="JM52" s="285"/>
      <c r="JN52" s="285"/>
      <c r="JO52" s="285"/>
      <c r="JP52" s="285"/>
      <c r="JQ52" s="285"/>
      <c r="JR52" s="285"/>
      <c r="JS52" s="285"/>
      <c r="JT52" s="285"/>
      <c r="JU52" s="285"/>
      <c r="JV52" s="285"/>
      <c r="JW52" s="285"/>
      <c r="JX52" s="285"/>
      <c r="JY52" s="285"/>
      <c r="JZ52" s="285"/>
      <c r="KA52" s="285"/>
      <c r="KB52" s="285"/>
      <c r="KC52" s="285"/>
      <c r="KD52" s="285"/>
      <c r="KE52" s="285"/>
      <c r="KF52" s="285"/>
      <c r="KG52" s="285"/>
      <c r="KH52" s="285"/>
      <c r="KI52" s="285"/>
      <c r="KJ52" s="285"/>
      <c r="KK52" s="285"/>
      <c r="KL52" s="285"/>
      <c r="KM52" s="285"/>
      <c r="KN52" s="285"/>
      <c r="KO52" s="285"/>
      <c r="KP52" s="285"/>
      <c r="KQ52" s="285"/>
      <c r="KR52" s="285"/>
      <c r="KS52" s="285"/>
      <c r="KT52" s="285"/>
      <c r="KU52" s="285"/>
      <c r="KV52" s="285"/>
      <c r="KW52" s="285"/>
      <c r="KX52" s="285"/>
      <c r="KY52" s="285"/>
      <c r="KZ52" s="285"/>
      <c r="LA52" s="285"/>
      <c r="LB52" s="285"/>
      <c r="LC52" s="285"/>
      <c r="LD52" s="285"/>
      <c r="LE52" s="285"/>
      <c r="LF52" s="285"/>
      <c r="LG52" s="285"/>
      <c r="LH52" s="285"/>
      <c r="LI52" s="285"/>
      <c r="LJ52" s="285"/>
      <c r="LK52" s="285"/>
      <c r="LL52" s="285"/>
      <c r="LM52" s="285"/>
      <c r="LN52" s="285"/>
      <c r="LO52" s="285"/>
      <c r="LP52" s="285"/>
    </row>
    <row r="53" spans="1:328" ht="12.75" hidden="1" customHeight="1" x14ac:dyDescent="0.3">
      <c r="A53" s="285"/>
      <c r="B53" s="285"/>
      <c r="C53" s="286"/>
      <c r="D53" s="285"/>
      <c r="E53" s="285"/>
      <c r="F53" s="285"/>
      <c r="G53" s="285"/>
      <c r="H53" s="285"/>
      <c r="I53" s="285"/>
      <c r="J53" s="285"/>
      <c r="K53" s="285"/>
      <c r="L53" s="285"/>
      <c r="M53" s="287"/>
      <c r="N53" s="287"/>
      <c r="O53" s="287"/>
      <c r="P53" s="287"/>
      <c r="Q53" s="287"/>
      <c r="R53" s="287"/>
      <c r="S53" s="285"/>
      <c r="T53" s="285"/>
      <c r="U53" s="285"/>
      <c r="V53" s="285"/>
      <c r="W53" s="285"/>
      <c r="X53" s="285"/>
      <c r="Y53" s="285"/>
      <c r="Z53" s="285"/>
      <c r="AA53" s="285"/>
      <c r="AB53" s="285"/>
      <c r="AC53" s="285"/>
      <c r="AD53" s="285"/>
      <c r="AE53" s="285"/>
      <c r="AF53" s="285"/>
      <c r="AG53" s="285"/>
      <c r="AH53" s="2513"/>
      <c r="AI53" s="285"/>
      <c r="AJ53" s="285"/>
      <c r="AK53" s="285"/>
      <c r="AL53" s="285"/>
      <c r="AM53" s="285"/>
      <c r="AN53" s="285"/>
      <c r="AO53" s="285"/>
      <c r="AP53" s="285"/>
      <c r="AQ53" s="285"/>
      <c r="AR53" s="285"/>
      <c r="AS53" s="285"/>
      <c r="AT53" s="285"/>
      <c r="AU53" s="285"/>
      <c r="AV53" s="285"/>
      <c r="AW53" s="285"/>
      <c r="AX53" s="285"/>
      <c r="AY53" s="285"/>
      <c r="AZ53" s="285"/>
      <c r="BA53" s="285"/>
      <c r="BB53" s="285"/>
      <c r="BC53" s="285"/>
      <c r="BD53" s="285"/>
      <c r="BE53" s="285"/>
      <c r="BF53" s="285"/>
      <c r="BG53" s="285"/>
      <c r="BH53" s="285"/>
      <c r="BI53" s="285"/>
      <c r="BJ53" s="285"/>
      <c r="BK53" s="285"/>
      <c r="BL53" s="285"/>
      <c r="BM53" s="285"/>
      <c r="BN53" s="285"/>
      <c r="BO53" s="285"/>
      <c r="BP53" s="285"/>
      <c r="BQ53" s="285"/>
      <c r="BR53" s="285"/>
      <c r="BS53" s="285"/>
      <c r="BT53" s="285"/>
      <c r="BU53" s="285"/>
      <c r="BV53" s="285"/>
      <c r="BW53" s="285"/>
      <c r="BX53" s="285"/>
      <c r="BY53" s="285"/>
      <c r="BZ53" s="285"/>
      <c r="CA53" s="285"/>
      <c r="CB53" s="285"/>
      <c r="CC53" s="285"/>
      <c r="CD53" s="285"/>
      <c r="CE53" s="285"/>
      <c r="CF53" s="285"/>
      <c r="CG53" s="285"/>
      <c r="CH53" s="285"/>
      <c r="CI53" s="285"/>
      <c r="CJ53" s="285"/>
      <c r="CK53" s="285"/>
      <c r="CL53" s="285"/>
      <c r="CM53" s="285"/>
      <c r="CN53" s="285"/>
      <c r="CO53" s="285"/>
      <c r="CP53" s="285"/>
      <c r="CQ53" s="285"/>
      <c r="CR53" s="285"/>
      <c r="CS53" s="285"/>
      <c r="CT53" s="285"/>
      <c r="CU53" s="285"/>
      <c r="CV53" s="285"/>
      <c r="CW53" s="285"/>
      <c r="CX53" s="285"/>
      <c r="CY53" s="285"/>
      <c r="CZ53" s="285"/>
      <c r="DA53" s="285"/>
      <c r="DB53" s="285"/>
      <c r="DC53" s="285"/>
      <c r="DD53" s="285"/>
      <c r="DE53" s="285"/>
      <c r="DF53" s="285"/>
      <c r="DG53" s="309"/>
      <c r="DH53" s="442" t="s">
        <v>1095</v>
      </c>
      <c r="DI53" s="285"/>
      <c r="DJ53" s="76">
        <f>IF(DJ$169=0,0,IFERROR(INDEX('2 Staff List'!$LA$64:$LA$114,DJ$21),0))</f>
        <v>38.179600000000001</v>
      </c>
      <c r="DK53" s="76">
        <f>IF(DK$169=0,0,IFERROR(INDEX('2 Staff List'!$LA$64:$LA$114,DK$21),0))</f>
        <v>11.3612</v>
      </c>
      <c r="DL53" s="76">
        <f>IF(DL$169=0,0,IFERROR(INDEX('2 Staff List'!$LA$64:$LA$114,DL$21),0))</f>
        <v>41.235700000000001</v>
      </c>
      <c r="DM53" s="76">
        <f>IF(DM$169=0,0,IFERROR(INDEX('2 Staff List'!$LA$64:$LA$114,DM$21),0))</f>
        <v>23</v>
      </c>
      <c r="DN53" s="76">
        <f>IF(DN$169=0,0,IFERROR(INDEX('2 Staff List'!$LA$64:$LA$114,DN$21),0))</f>
        <v>20.09</v>
      </c>
      <c r="DO53" s="76">
        <f>IF(DO$169=0,0,IFERROR(INDEX('2 Staff List'!$LA$64:$LA$114,DO$21),0))</f>
        <v>34.729999999999997</v>
      </c>
      <c r="DP53" s="76">
        <f>IF(DP$169=0,0,IFERROR(INDEX('2 Staff List'!$LA$64:$LA$114,DP$21),0))</f>
        <v>24.98</v>
      </c>
      <c r="DQ53" s="76">
        <f>IF(DQ$169=0,0,IFERROR(INDEX('2 Staff List'!$LA$64:$LA$114,DQ$21),0))</f>
        <v>19.07</v>
      </c>
      <c r="DR53" s="76">
        <f>IF(DR$169=0,0,IFERROR(INDEX('2 Staff List'!$LA$64:$LA$114,DR$21),0))</f>
        <v>17.98</v>
      </c>
      <c r="DS53" s="76">
        <f>IF(DS$169=0,0,IFERROR(INDEX('2 Staff List'!$LA$64:$LA$114,DS$21),0))</f>
        <v>16.170000000000002</v>
      </c>
      <c r="DT53" s="76">
        <f>IF(DT$169=0,0,IFERROR(INDEX('2 Staff List'!$LA$64:$LA$114,DT$21),0))</f>
        <v>0</v>
      </c>
      <c r="DU53" s="76">
        <f>IF(DU$169=0,0,IFERROR(INDEX('2 Staff List'!$LA$64:$LA$114,DU$21),0))</f>
        <v>0</v>
      </c>
      <c r="DV53" s="76">
        <f>IF(DV$169=0,0,IFERROR(INDEX('2 Staff List'!$LA$64:$LA$114,DV$21),0))</f>
        <v>0</v>
      </c>
      <c r="DW53" s="76">
        <f>IF(DW$169=0,0,IFERROR(INDEX('2 Staff List'!$LA$64:$LA$114,DW$21),0))</f>
        <v>0</v>
      </c>
      <c r="DX53" s="76">
        <f>IF(DX$169=0,0,IFERROR(INDEX('2 Staff List'!$LA$64:$LA$114,DX$21),0))</f>
        <v>0</v>
      </c>
      <c r="DY53" s="76">
        <f>IF(DY$169=0,0,IFERROR(INDEX('2 Staff List'!$LA$64:$LA$114,DY$21),0))</f>
        <v>0</v>
      </c>
      <c r="DZ53" s="76">
        <f>IF(DZ$169=0,0,IFERROR(INDEX('2 Staff List'!$LA$64:$LA$114,DZ$21),0))</f>
        <v>0</v>
      </c>
      <c r="EA53" s="76">
        <f>IF(EA$169=0,0,IFERROR(INDEX('2 Staff List'!$LA$64:$LA$114,EA$21),0))</f>
        <v>0</v>
      </c>
      <c r="EB53" s="76">
        <f>IF(EB$169=0,0,IFERROR(INDEX('2 Staff List'!$LA$64:$LA$114,EB$21),0))</f>
        <v>0</v>
      </c>
      <c r="EC53" s="76">
        <f>IF(EC$169=0,0,IFERROR(INDEX('2 Staff List'!$LA$64:$LA$114,EC$21),0))</f>
        <v>0</v>
      </c>
      <c r="ED53" s="76">
        <f>IF(ED$169=0,0,IFERROR(INDEX('2 Staff List'!$LA$64:$LA$114,ED$21),0))</f>
        <v>0</v>
      </c>
      <c r="EE53" s="76">
        <f>IF(EE$169=0,0,IFERROR(INDEX('2 Staff List'!$LA$64:$LA$114,EE$21),0))</f>
        <v>0</v>
      </c>
      <c r="EF53" s="76">
        <f>IF(EF$169=0,0,IFERROR(INDEX('2 Staff List'!$LA$64:$LA$114,EF$21),0))</f>
        <v>0</v>
      </c>
      <c r="EG53" s="76">
        <f>IF(EG$169=0,0,IFERROR(INDEX('2 Staff List'!$LA$64:$LA$114,EG$21),0))</f>
        <v>0</v>
      </c>
      <c r="EH53" s="76">
        <f>IF(EH$169=0,0,IFERROR(INDEX('2 Staff List'!$LA$64:$LA$114,EH$21),0))</f>
        <v>0</v>
      </c>
      <c r="EI53" s="76">
        <f>IF(EI$169=0,0,IFERROR(INDEX('2 Staff List'!$LA$64:$LA$114,EI$21),0))</f>
        <v>0</v>
      </c>
      <c r="EJ53" s="76">
        <f>IF(EJ$169=0,0,IFERROR(INDEX('2 Staff List'!$LA$64:$LA$114,EJ$21),0))</f>
        <v>0</v>
      </c>
      <c r="EK53" s="76">
        <f>IF(EK$169=0,0,IFERROR(INDEX('2 Staff List'!$LA$64:$LA$114,EK$21),0))</f>
        <v>0</v>
      </c>
      <c r="EL53" s="76">
        <f>IF(EL$169=0,0,IFERROR(INDEX('2 Staff List'!$LA$64:$LA$114,EL$21),0))</f>
        <v>0</v>
      </c>
      <c r="EM53" s="76">
        <f>IF(EM$169=0,0,IFERROR(INDEX('2 Staff List'!$LA$64:$LA$114,EM$21),0))</f>
        <v>0</v>
      </c>
      <c r="EN53" s="76">
        <f>IF(EN$169=0,0,IFERROR(INDEX('2 Staff List'!$LA$64:$LA$114,EN$21),0))</f>
        <v>0</v>
      </c>
      <c r="EO53" s="76">
        <f>IF(EO$169=0,0,IFERROR(INDEX('2 Staff List'!$LA$64:$LA$114,EO$21),0))</f>
        <v>0</v>
      </c>
      <c r="EP53" s="76">
        <f>IF(EP$169=0,0,IFERROR(INDEX('2 Staff List'!$LA$64:$LA$114,EP$21),0))</f>
        <v>0</v>
      </c>
      <c r="EQ53" s="76">
        <f>IF(EQ$169=0,0,IFERROR(INDEX('2 Staff List'!$LA$64:$LA$114,EQ$21),0))</f>
        <v>0</v>
      </c>
      <c r="ER53" s="76">
        <f>IF(ER$169=0,0,IFERROR(INDEX('2 Staff List'!$LA$64:$LA$114,ER$21),0))</f>
        <v>0</v>
      </c>
      <c r="ES53" s="76">
        <f>IF(ES$169=0,0,IFERROR(INDEX('2 Staff List'!$LA$64:$LA$114,ES$21),0))</f>
        <v>0</v>
      </c>
      <c r="ET53" s="76">
        <f>IF(ET$169=0,0,IFERROR(INDEX('2 Staff List'!$LA$64:$LA$114,ET$21),0))</f>
        <v>0</v>
      </c>
      <c r="EU53" s="76">
        <f>IF(EU$169=0,0,IFERROR(INDEX('2 Staff List'!$LA$64:$LA$114,EU$21),0))</f>
        <v>0</v>
      </c>
      <c r="EV53" s="76">
        <f>IF(EV$169=0,0,IFERROR(INDEX('2 Staff List'!$LA$64:$LA$114,EV$21),0))</f>
        <v>0</v>
      </c>
      <c r="EW53" s="76">
        <f>IF(EW$169=0,0,IFERROR(INDEX('2 Staff List'!$LA$64:$LA$114,EW$21),0))</f>
        <v>0</v>
      </c>
      <c r="EX53" s="76">
        <f>IF(EX$169=0,0,IFERROR(INDEX('2 Staff List'!$LA$64:$LA$114,EX$21),0))</f>
        <v>0</v>
      </c>
      <c r="EY53" s="76">
        <f>IF(EY$169=0,0,IFERROR(INDEX('2 Staff List'!$LA$64:$LA$114,EY$21),0))</f>
        <v>0</v>
      </c>
      <c r="EZ53" s="76">
        <f>IF(EZ$169=0,0,IFERROR(INDEX('2 Staff List'!$LA$64:$LA$114,EZ$21),0))</f>
        <v>0</v>
      </c>
      <c r="FA53" s="76">
        <f>IF(FA$169=0,0,IFERROR(INDEX('2 Staff List'!$LA$64:$LA$114,FA$21),0))</f>
        <v>0</v>
      </c>
      <c r="FB53" s="76">
        <f>IF(FB$169=0,0,IFERROR(INDEX('2 Staff List'!$LA$64:$LA$114,FB$21),0))</f>
        <v>0</v>
      </c>
      <c r="FC53" s="76">
        <f>IF(FC$169=0,0,IFERROR(INDEX('2 Staff List'!$LA$64:$LA$114,FC$21),0))</f>
        <v>0</v>
      </c>
      <c r="FD53" s="76">
        <f>IF(FD$169=0,0,IFERROR(INDEX('2 Staff List'!$LA$64:$LA$114,FD$21),0))</f>
        <v>0</v>
      </c>
      <c r="FE53" s="76">
        <f>IF(FE$169=0,0,IFERROR(INDEX('2 Staff List'!$LA$64:$LA$114,FE$21),0))</f>
        <v>0</v>
      </c>
      <c r="FF53" s="76">
        <f>IF(FF$169=0,0,IFERROR(INDEX('2 Staff List'!$LA$64:$LA$114,FF$21),0))</f>
        <v>0</v>
      </c>
      <c r="FG53" s="76">
        <f>IF(FG$169=0,0,IFERROR(INDEX('2 Staff List'!$LA$64:$LA$114,FG$21),0))</f>
        <v>0</v>
      </c>
      <c r="FH53" s="922"/>
      <c r="FI53" s="305"/>
      <c r="FJ53" s="307"/>
      <c r="FK53" s="307"/>
      <c r="FL53" s="285"/>
      <c r="FM53" s="285"/>
      <c r="FN53" s="285"/>
      <c r="FO53" s="285"/>
      <c r="FP53" s="285"/>
      <c r="FQ53" s="285"/>
      <c r="FR53" s="285"/>
      <c r="FS53" s="285"/>
      <c r="FT53" s="285"/>
      <c r="FU53" s="285"/>
      <c r="FV53" s="285"/>
      <c r="FW53" s="285"/>
      <c r="FX53" s="285"/>
      <c r="FY53" s="285"/>
      <c r="FZ53" s="285"/>
      <c r="GA53" s="285"/>
      <c r="GB53" s="285"/>
      <c r="GC53" s="285"/>
      <c r="GD53" s="285"/>
      <c r="GE53" s="285"/>
      <c r="GF53" s="285"/>
      <c r="GG53" s="285"/>
      <c r="GH53" s="285"/>
      <c r="GI53" s="285"/>
      <c r="GJ53" s="285"/>
      <c r="GK53" s="285"/>
      <c r="GL53" s="285"/>
      <c r="GM53" s="285"/>
      <c r="GN53" s="285"/>
      <c r="GO53" s="285"/>
      <c r="GP53" s="285"/>
      <c r="GQ53" s="285"/>
      <c r="GR53" s="285"/>
      <c r="GS53" s="285"/>
      <c r="GT53" s="285"/>
      <c r="GU53" s="285"/>
      <c r="GV53" s="285"/>
      <c r="GW53" s="285"/>
      <c r="GX53" s="285"/>
      <c r="GY53" s="285"/>
      <c r="GZ53" s="285"/>
      <c r="HA53" s="285"/>
      <c r="HB53" s="285"/>
      <c r="HC53" s="285"/>
      <c r="HD53" s="285"/>
      <c r="HE53" s="285"/>
      <c r="HF53" s="285"/>
      <c r="HG53" s="285"/>
      <c r="HH53" s="285"/>
      <c r="HI53" s="285"/>
      <c r="HJ53" s="285"/>
      <c r="HK53" s="285"/>
      <c r="HL53" s="285"/>
      <c r="HM53" s="285"/>
      <c r="HN53" s="285"/>
      <c r="HO53" s="285"/>
      <c r="HP53" s="285"/>
      <c r="HQ53" s="285"/>
      <c r="HR53" s="285"/>
      <c r="HS53" s="285"/>
      <c r="HT53" s="285"/>
      <c r="HU53" s="285"/>
      <c r="HV53" s="285"/>
      <c r="HW53" s="285"/>
      <c r="HX53" s="285"/>
      <c r="HY53" s="285"/>
      <c r="HZ53" s="285"/>
      <c r="IA53" s="285"/>
      <c r="IB53" s="285"/>
      <c r="IC53" s="285"/>
      <c r="ID53" s="285"/>
      <c r="IE53" s="285"/>
      <c r="IF53" s="285"/>
      <c r="IG53" s="285"/>
      <c r="IH53" s="285"/>
      <c r="II53" s="285"/>
      <c r="IJ53" s="285"/>
      <c r="IK53" s="285"/>
      <c r="IL53" s="285"/>
      <c r="IM53" s="285"/>
      <c r="IN53" s="285"/>
      <c r="IO53" s="285"/>
      <c r="IP53" s="285"/>
      <c r="IQ53" s="285"/>
      <c r="IR53" s="285"/>
      <c r="IS53" s="285"/>
      <c r="IT53" s="285"/>
      <c r="IU53" s="285"/>
      <c r="IV53" s="285"/>
      <c r="IW53" s="285"/>
      <c r="IX53" s="285"/>
      <c r="IY53" s="285"/>
      <c r="IZ53" s="285"/>
      <c r="JA53" s="285"/>
      <c r="JB53" s="285"/>
      <c r="JC53" s="285"/>
      <c r="JD53" s="285"/>
      <c r="JE53" s="285"/>
      <c r="JF53" s="285"/>
      <c r="JG53" s="285"/>
      <c r="JH53" s="285"/>
      <c r="JI53" s="285"/>
      <c r="JJ53" s="285"/>
      <c r="JK53" s="285"/>
      <c r="JL53" s="285"/>
      <c r="JM53" s="285"/>
      <c r="JN53" s="285"/>
      <c r="JO53" s="285"/>
      <c r="JP53" s="285"/>
      <c r="JQ53" s="285"/>
      <c r="JR53" s="285"/>
      <c r="JS53" s="285"/>
      <c r="JT53" s="285"/>
      <c r="JU53" s="285"/>
      <c r="JV53" s="285"/>
      <c r="JW53" s="285"/>
      <c r="JX53" s="285"/>
      <c r="JY53" s="285"/>
      <c r="JZ53" s="285"/>
      <c r="KA53" s="285"/>
      <c r="KB53" s="285"/>
      <c r="KC53" s="285"/>
      <c r="KD53" s="285"/>
      <c r="KE53" s="285"/>
      <c r="KF53" s="285"/>
      <c r="KG53" s="285"/>
      <c r="KH53" s="285"/>
      <c r="KI53" s="285"/>
      <c r="KJ53" s="285"/>
      <c r="KK53" s="285"/>
      <c r="KL53" s="285"/>
      <c r="KM53" s="285"/>
      <c r="KN53" s="285"/>
      <c r="KO53" s="285"/>
      <c r="KP53" s="285"/>
      <c r="KQ53" s="285"/>
      <c r="KR53" s="285"/>
      <c r="KS53" s="285"/>
      <c r="KT53" s="285"/>
      <c r="KU53" s="285"/>
      <c r="KV53" s="285"/>
      <c r="KW53" s="285"/>
      <c r="KX53" s="285"/>
      <c r="KY53" s="285"/>
      <c r="KZ53" s="285"/>
      <c r="LA53" s="285"/>
      <c r="LB53" s="285"/>
      <c r="LC53" s="285"/>
      <c r="LD53" s="285"/>
      <c r="LE53" s="285"/>
      <c r="LF53" s="285"/>
      <c r="LG53" s="285"/>
      <c r="LH53" s="285"/>
      <c r="LI53" s="285"/>
      <c r="LJ53" s="285"/>
      <c r="LK53" s="285"/>
      <c r="LL53" s="285"/>
      <c r="LM53" s="285"/>
      <c r="LN53" s="285"/>
      <c r="LO53" s="285"/>
      <c r="LP53" s="285"/>
    </row>
    <row r="54" spans="1:328" ht="12.75" hidden="1" customHeight="1" x14ac:dyDescent="0.3">
      <c r="A54" s="285"/>
      <c r="B54" s="285"/>
      <c r="C54" s="286"/>
      <c r="D54" s="285"/>
      <c r="E54" s="285"/>
      <c r="F54" s="285"/>
      <c r="G54" s="285"/>
      <c r="H54" s="285"/>
      <c r="I54" s="285"/>
      <c r="J54" s="285"/>
      <c r="K54" s="285"/>
      <c r="L54" s="285"/>
      <c r="M54" s="287"/>
      <c r="N54" s="287"/>
      <c r="O54" s="287"/>
      <c r="P54" s="287"/>
      <c r="Q54" s="287"/>
      <c r="R54" s="287"/>
      <c r="S54" s="285"/>
      <c r="T54" s="285"/>
      <c r="U54" s="285"/>
      <c r="V54" s="285"/>
      <c r="W54" s="285"/>
      <c r="X54" s="285"/>
      <c r="Y54" s="285"/>
      <c r="Z54" s="285"/>
      <c r="AA54" s="285"/>
      <c r="AB54" s="285"/>
      <c r="AC54" s="285"/>
      <c r="AD54" s="285"/>
      <c r="AE54" s="285"/>
      <c r="AF54" s="285"/>
      <c r="AG54" s="285"/>
      <c r="AH54" s="2513"/>
      <c r="AI54" s="285"/>
      <c r="AJ54" s="285"/>
      <c r="AK54" s="285"/>
      <c r="AL54" s="285"/>
      <c r="AM54" s="285"/>
      <c r="AN54" s="285"/>
      <c r="AO54" s="285"/>
      <c r="AP54" s="285"/>
      <c r="AQ54" s="285"/>
      <c r="AR54" s="285"/>
      <c r="AS54" s="285"/>
      <c r="AT54" s="285"/>
      <c r="AU54" s="285"/>
      <c r="AV54" s="285"/>
      <c r="AW54" s="285"/>
      <c r="AX54" s="285"/>
      <c r="AY54" s="285"/>
      <c r="AZ54" s="285"/>
      <c r="BA54" s="285"/>
      <c r="BB54" s="285"/>
      <c r="BC54" s="285"/>
      <c r="BD54" s="285"/>
      <c r="BE54" s="285"/>
      <c r="BF54" s="285"/>
      <c r="BG54" s="285"/>
      <c r="BH54" s="285"/>
      <c r="BI54" s="285"/>
      <c r="BJ54" s="285"/>
      <c r="BK54" s="285"/>
      <c r="BL54" s="285"/>
      <c r="BM54" s="285"/>
      <c r="BN54" s="285"/>
      <c r="BO54" s="285"/>
      <c r="BP54" s="285"/>
      <c r="BQ54" s="285"/>
      <c r="BR54" s="285"/>
      <c r="BS54" s="285"/>
      <c r="BT54" s="285"/>
      <c r="BU54" s="285"/>
      <c r="BV54" s="285"/>
      <c r="BW54" s="285"/>
      <c r="BX54" s="285"/>
      <c r="BY54" s="285"/>
      <c r="BZ54" s="285"/>
      <c r="CA54" s="285"/>
      <c r="CB54" s="285"/>
      <c r="CC54" s="285"/>
      <c r="CD54" s="285"/>
      <c r="CE54" s="285"/>
      <c r="CF54" s="285"/>
      <c r="CG54" s="285"/>
      <c r="CH54" s="285"/>
      <c r="CI54" s="285"/>
      <c r="CJ54" s="285"/>
      <c r="CK54" s="285"/>
      <c r="CL54" s="285"/>
      <c r="CM54" s="285"/>
      <c r="CN54" s="285"/>
      <c r="CO54" s="285"/>
      <c r="CP54" s="285"/>
      <c r="CQ54" s="285"/>
      <c r="CR54" s="285"/>
      <c r="CS54" s="285"/>
      <c r="CT54" s="285"/>
      <c r="CU54" s="285"/>
      <c r="CV54" s="285"/>
      <c r="CW54" s="285"/>
      <c r="CX54" s="285"/>
      <c r="CY54" s="285"/>
      <c r="CZ54" s="285"/>
      <c r="DA54" s="285"/>
      <c r="DB54" s="285"/>
      <c r="DC54" s="285"/>
      <c r="DD54" s="285"/>
      <c r="DE54" s="285"/>
      <c r="DF54" s="285"/>
      <c r="DG54" s="309"/>
      <c r="DH54" s="442" t="s">
        <v>1096</v>
      </c>
      <c r="DI54" s="285"/>
      <c r="DJ54" s="76">
        <f>IF(DJ$169=0,0,IFERROR(INDEX('2 Staff List'!$LB$64:$LB$114,DJ$21),0))</f>
        <v>38.179600000000001</v>
      </c>
      <c r="DK54" s="76">
        <f>IF(DK$169=0,0,IFERROR(INDEX('2 Staff List'!$LB$64:$LB$114,DK$21),0))</f>
        <v>11.3612</v>
      </c>
      <c r="DL54" s="76">
        <f>IF(DL$169=0,0,IFERROR(INDEX('2 Staff List'!$LB$64:$LB$114,DL$21),0))</f>
        <v>41.235700000000001</v>
      </c>
      <c r="DM54" s="76">
        <f>IF(DM$169=0,0,IFERROR(INDEX('2 Staff List'!$LB$64:$LB$114,DM$21),0))</f>
        <v>23</v>
      </c>
      <c r="DN54" s="76">
        <f>IF(DN$169=0,0,IFERROR(INDEX('2 Staff List'!$LB$64:$LB$114,DN$21),0))</f>
        <v>20.09</v>
      </c>
      <c r="DO54" s="76">
        <f>IF(DO$169=0,0,IFERROR(INDEX('2 Staff List'!$LB$64:$LB$114,DO$21),0))</f>
        <v>34.729999999999997</v>
      </c>
      <c r="DP54" s="76">
        <f>IF(DP$169=0,0,IFERROR(INDEX('2 Staff List'!$LB$64:$LB$114,DP$21),0))</f>
        <v>24.98</v>
      </c>
      <c r="DQ54" s="76">
        <f>IF(DQ$169=0,0,IFERROR(INDEX('2 Staff List'!$LB$64:$LB$114,DQ$21),0))</f>
        <v>19.07</v>
      </c>
      <c r="DR54" s="76">
        <f>IF(DR$169=0,0,IFERROR(INDEX('2 Staff List'!$LB$64:$LB$114,DR$21),0))</f>
        <v>17.98</v>
      </c>
      <c r="DS54" s="76">
        <f>IF(DS$169=0,0,IFERROR(INDEX('2 Staff List'!$LB$64:$LB$114,DS$21),0))</f>
        <v>16.170000000000002</v>
      </c>
      <c r="DT54" s="76">
        <f>IF(DT$169=0,0,IFERROR(INDEX('2 Staff List'!$LB$64:$LB$114,DT$21),0))</f>
        <v>0</v>
      </c>
      <c r="DU54" s="76">
        <f>IF(DU$169=0,0,IFERROR(INDEX('2 Staff List'!$LB$64:$LB$114,DU$21),0))</f>
        <v>0</v>
      </c>
      <c r="DV54" s="76">
        <f>IF(DV$169=0,0,IFERROR(INDEX('2 Staff List'!$LB$64:$LB$114,DV$21),0))</f>
        <v>0</v>
      </c>
      <c r="DW54" s="76">
        <f>IF(DW$169=0,0,IFERROR(INDEX('2 Staff List'!$LB$64:$LB$114,DW$21),0))</f>
        <v>0</v>
      </c>
      <c r="DX54" s="76">
        <f>IF(DX$169=0,0,IFERROR(INDEX('2 Staff List'!$LB$64:$LB$114,DX$21),0))</f>
        <v>0</v>
      </c>
      <c r="DY54" s="76">
        <f>IF(DY$169=0,0,IFERROR(INDEX('2 Staff List'!$LB$64:$LB$114,DY$21),0))</f>
        <v>0</v>
      </c>
      <c r="DZ54" s="76">
        <f>IF(DZ$169=0,0,IFERROR(INDEX('2 Staff List'!$LB$64:$LB$114,DZ$21),0))</f>
        <v>0</v>
      </c>
      <c r="EA54" s="76">
        <f>IF(EA$169=0,0,IFERROR(INDEX('2 Staff List'!$LB$64:$LB$114,EA$21),0))</f>
        <v>0</v>
      </c>
      <c r="EB54" s="76">
        <f>IF(EB$169=0,0,IFERROR(INDEX('2 Staff List'!$LB$64:$LB$114,EB$21),0))</f>
        <v>0</v>
      </c>
      <c r="EC54" s="76">
        <f>IF(EC$169=0,0,IFERROR(INDEX('2 Staff List'!$LB$64:$LB$114,EC$21),0))</f>
        <v>0</v>
      </c>
      <c r="ED54" s="76">
        <f>IF(ED$169=0,0,IFERROR(INDEX('2 Staff List'!$LB$64:$LB$114,ED$21),0))</f>
        <v>0</v>
      </c>
      <c r="EE54" s="76">
        <f>IF(EE$169=0,0,IFERROR(INDEX('2 Staff List'!$LB$64:$LB$114,EE$21),0))</f>
        <v>0</v>
      </c>
      <c r="EF54" s="76">
        <f>IF(EF$169=0,0,IFERROR(INDEX('2 Staff List'!$LB$64:$LB$114,EF$21),0))</f>
        <v>0</v>
      </c>
      <c r="EG54" s="76">
        <f>IF(EG$169=0,0,IFERROR(INDEX('2 Staff List'!$LB$64:$LB$114,EG$21),0))</f>
        <v>0</v>
      </c>
      <c r="EH54" s="76">
        <f>IF(EH$169=0,0,IFERROR(INDEX('2 Staff List'!$LB$64:$LB$114,EH$21),0))</f>
        <v>0</v>
      </c>
      <c r="EI54" s="76">
        <f>IF(EI$169=0,0,IFERROR(INDEX('2 Staff List'!$LB$64:$LB$114,EI$21),0))</f>
        <v>0</v>
      </c>
      <c r="EJ54" s="76">
        <f>IF(EJ$169=0,0,IFERROR(INDEX('2 Staff List'!$LB$64:$LB$114,EJ$21),0))</f>
        <v>0</v>
      </c>
      <c r="EK54" s="76">
        <f>IF(EK$169=0,0,IFERROR(INDEX('2 Staff List'!$LB$64:$LB$114,EK$21),0))</f>
        <v>0</v>
      </c>
      <c r="EL54" s="76">
        <f>IF(EL$169=0,0,IFERROR(INDEX('2 Staff List'!$LB$64:$LB$114,EL$21),0))</f>
        <v>0</v>
      </c>
      <c r="EM54" s="76">
        <f>IF(EM$169=0,0,IFERROR(INDEX('2 Staff List'!$LB$64:$LB$114,EM$21),0))</f>
        <v>0</v>
      </c>
      <c r="EN54" s="76">
        <f>IF(EN$169=0,0,IFERROR(INDEX('2 Staff List'!$LB$64:$LB$114,EN$21),0))</f>
        <v>0</v>
      </c>
      <c r="EO54" s="76">
        <f>IF(EO$169=0,0,IFERROR(INDEX('2 Staff List'!$LB$64:$LB$114,EO$21),0))</f>
        <v>0</v>
      </c>
      <c r="EP54" s="76">
        <f>IF(EP$169=0,0,IFERROR(INDEX('2 Staff List'!$LB$64:$LB$114,EP$21),0))</f>
        <v>0</v>
      </c>
      <c r="EQ54" s="76">
        <f>IF(EQ$169=0,0,IFERROR(INDEX('2 Staff List'!$LB$64:$LB$114,EQ$21),0))</f>
        <v>0</v>
      </c>
      <c r="ER54" s="76">
        <f>IF(ER$169=0,0,IFERROR(INDEX('2 Staff List'!$LB$64:$LB$114,ER$21),0))</f>
        <v>0</v>
      </c>
      <c r="ES54" s="76">
        <f>IF(ES$169=0,0,IFERROR(INDEX('2 Staff List'!$LB$64:$LB$114,ES$21),0))</f>
        <v>0</v>
      </c>
      <c r="ET54" s="76">
        <f>IF(ET$169=0,0,IFERROR(INDEX('2 Staff List'!$LB$64:$LB$114,ET$21),0))</f>
        <v>0</v>
      </c>
      <c r="EU54" s="76">
        <f>IF(EU$169=0,0,IFERROR(INDEX('2 Staff List'!$LB$64:$LB$114,EU$21),0))</f>
        <v>0</v>
      </c>
      <c r="EV54" s="76">
        <f>IF(EV$169=0,0,IFERROR(INDEX('2 Staff List'!$LB$64:$LB$114,EV$21),0))</f>
        <v>0</v>
      </c>
      <c r="EW54" s="76">
        <f>IF(EW$169=0,0,IFERROR(INDEX('2 Staff List'!$LB$64:$LB$114,EW$21),0))</f>
        <v>0</v>
      </c>
      <c r="EX54" s="76">
        <f>IF(EX$169=0,0,IFERROR(INDEX('2 Staff List'!$LB$64:$LB$114,EX$21),0))</f>
        <v>0</v>
      </c>
      <c r="EY54" s="76">
        <f>IF(EY$169=0,0,IFERROR(INDEX('2 Staff List'!$LB$64:$LB$114,EY$21),0))</f>
        <v>0</v>
      </c>
      <c r="EZ54" s="76">
        <f>IF(EZ$169=0,0,IFERROR(INDEX('2 Staff List'!$LB$64:$LB$114,EZ$21),0))</f>
        <v>0</v>
      </c>
      <c r="FA54" s="76">
        <f>IF(FA$169=0,0,IFERROR(INDEX('2 Staff List'!$LB$64:$LB$114,FA$21),0))</f>
        <v>0</v>
      </c>
      <c r="FB54" s="76">
        <f>IF(FB$169=0,0,IFERROR(INDEX('2 Staff List'!$LB$64:$LB$114,FB$21),0))</f>
        <v>0</v>
      </c>
      <c r="FC54" s="76">
        <f>IF(FC$169=0,0,IFERROR(INDEX('2 Staff List'!$LB$64:$LB$114,FC$21),0))</f>
        <v>0</v>
      </c>
      <c r="FD54" s="76">
        <f>IF(FD$169=0,0,IFERROR(INDEX('2 Staff List'!$LB$64:$LB$114,FD$21),0))</f>
        <v>0</v>
      </c>
      <c r="FE54" s="76">
        <f>IF(FE$169=0,0,IFERROR(INDEX('2 Staff List'!$LB$64:$LB$114,FE$21),0))</f>
        <v>0</v>
      </c>
      <c r="FF54" s="76">
        <f>IF(FF$169=0,0,IFERROR(INDEX('2 Staff List'!$LB$64:$LB$114,FF$21),0))</f>
        <v>0</v>
      </c>
      <c r="FG54" s="76">
        <f>IF(FG$169=0,0,IFERROR(INDEX('2 Staff List'!$LB$64:$LB$114,FG$21),0))</f>
        <v>0</v>
      </c>
      <c r="FH54" s="923"/>
      <c r="FI54" s="305"/>
      <c r="FJ54" s="307"/>
      <c r="FK54" s="307"/>
      <c r="FL54" s="285"/>
      <c r="FM54" s="285"/>
      <c r="FN54" s="285"/>
      <c r="FO54" s="285"/>
      <c r="FP54" s="285"/>
      <c r="FQ54" s="285"/>
      <c r="FR54" s="285"/>
      <c r="FS54" s="285"/>
      <c r="FT54" s="285"/>
      <c r="FU54" s="285"/>
      <c r="FV54" s="285"/>
      <c r="FW54" s="285"/>
      <c r="FX54" s="285"/>
      <c r="FY54" s="285"/>
      <c r="FZ54" s="285"/>
      <c r="GA54" s="285"/>
      <c r="GB54" s="285"/>
      <c r="GC54" s="285"/>
      <c r="GD54" s="285"/>
      <c r="GE54" s="285"/>
      <c r="GF54" s="285"/>
      <c r="GG54" s="285"/>
      <c r="GH54" s="285"/>
      <c r="GI54" s="285"/>
      <c r="GJ54" s="285"/>
      <c r="GK54" s="285"/>
      <c r="GL54" s="285"/>
      <c r="GM54" s="285"/>
      <c r="GN54" s="285"/>
      <c r="GO54" s="285"/>
      <c r="GP54" s="285"/>
      <c r="GQ54" s="285"/>
      <c r="GR54" s="285"/>
      <c r="GS54" s="285"/>
      <c r="GT54" s="285"/>
      <c r="GU54" s="285"/>
      <c r="GV54" s="285"/>
      <c r="GW54" s="285"/>
      <c r="GX54" s="285"/>
      <c r="GY54" s="285"/>
      <c r="GZ54" s="285"/>
      <c r="HA54" s="285"/>
      <c r="HB54" s="285"/>
      <c r="HC54" s="285"/>
      <c r="HD54" s="285"/>
      <c r="HE54" s="285"/>
      <c r="HF54" s="285"/>
      <c r="HG54" s="285"/>
      <c r="HH54" s="285"/>
      <c r="HI54" s="285"/>
      <c r="HJ54" s="285"/>
      <c r="HK54" s="285"/>
      <c r="HL54" s="285"/>
      <c r="HM54" s="285"/>
      <c r="HN54" s="285"/>
      <c r="HO54" s="285"/>
      <c r="HP54" s="285"/>
      <c r="HQ54" s="285"/>
      <c r="HR54" s="285"/>
      <c r="HS54" s="285"/>
      <c r="HT54" s="285"/>
      <c r="HU54" s="285"/>
      <c r="HV54" s="285"/>
      <c r="HW54" s="285"/>
      <c r="HX54" s="285"/>
      <c r="HY54" s="285"/>
      <c r="HZ54" s="285"/>
      <c r="IA54" s="285"/>
      <c r="IB54" s="285"/>
      <c r="IC54" s="285"/>
      <c r="ID54" s="285"/>
      <c r="IE54" s="285"/>
      <c r="IF54" s="285"/>
      <c r="IG54" s="285"/>
      <c r="IH54" s="285"/>
      <c r="II54" s="285"/>
      <c r="IJ54" s="285"/>
      <c r="IK54" s="285"/>
      <c r="IL54" s="285"/>
      <c r="IM54" s="285"/>
      <c r="IN54" s="285"/>
      <c r="IO54" s="285"/>
      <c r="IP54" s="285"/>
      <c r="IQ54" s="285"/>
      <c r="IR54" s="285"/>
      <c r="IS54" s="285"/>
      <c r="IT54" s="285"/>
      <c r="IU54" s="285"/>
      <c r="IV54" s="285"/>
      <c r="IW54" s="285"/>
      <c r="IX54" s="285"/>
      <c r="IY54" s="285"/>
      <c r="IZ54" s="285"/>
      <c r="JA54" s="285"/>
      <c r="JB54" s="285"/>
      <c r="JC54" s="285"/>
      <c r="JD54" s="285"/>
      <c r="JE54" s="285"/>
      <c r="JF54" s="285"/>
      <c r="JG54" s="285"/>
      <c r="JH54" s="285"/>
      <c r="JI54" s="285"/>
      <c r="JJ54" s="285"/>
      <c r="JK54" s="285"/>
      <c r="JL54" s="285"/>
      <c r="JM54" s="285"/>
      <c r="JN54" s="285"/>
      <c r="JO54" s="285"/>
      <c r="JP54" s="285"/>
      <c r="JQ54" s="285"/>
      <c r="JR54" s="285"/>
      <c r="JS54" s="285"/>
      <c r="JT54" s="285"/>
      <c r="JU54" s="285"/>
      <c r="JV54" s="285"/>
      <c r="JW54" s="285"/>
      <c r="JX54" s="285"/>
      <c r="JY54" s="285"/>
      <c r="JZ54" s="285"/>
      <c r="KA54" s="285"/>
      <c r="KB54" s="285"/>
      <c r="KC54" s="285"/>
      <c r="KD54" s="285"/>
      <c r="KE54" s="285"/>
      <c r="KF54" s="285"/>
      <c r="KG54" s="285"/>
      <c r="KH54" s="285"/>
      <c r="KI54" s="285"/>
      <c r="KJ54" s="285"/>
      <c r="KK54" s="285"/>
      <c r="KL54" s="285"/>
      <c r="KM54" s="285"/>
      <c r="KN54" s="285"/>
      <c r="KO54" s="285"/>
      <c r="KP54" s="285"/>
      <c r="KQ54" s="285"/>
      <c r="KR54" s="285"/>
      <c r="KS54" s="285"/>
      <c r="KT54" s="285"/>
      <c r="KU54" s="285"/>
      <c r="KV54" s="285"/>
      <c r="KW54" s="285"/>
      <c r="KX54" s="285"/>
      <c r="KY54" s="285"/>
      <c r="KZ54" s="285"/>
      <c r="LA54" s="285"/>
      <c r="LB54" s="285"/>
      <c r="LC54" s="285"/>
      <c r="LD54" s="285"/>
      <c r="LE54" s="285"/>
      <c r="LF54" s="285"/>
      <c r="LG54" s="285"/>
      <c r="LH54" s="285"/>
      <c r="LI54" s="285"/>
      <c r="LJ54" s="285"/>
      <c r="LK54" s="285"/>
      <c r="LL54" s="285"/>
      <c r="LM54" s="285"/>
      <c r="LN54" s="285"/>
      <c r="LO54" s="285"/>
      <c r="LP54" s="285"/>
    </row>
    <row r="55" spans="1:328" ht="12.75" hidden="1" customHeight="1" x14ac:dyDescent="0.3">
      <c r="A55" s="285"/>
      <c r="B55" s="285"/>
      <c r="C55" s="286"/>
      <c r="D55" s="285"/>
      <c r="E55" s="285"/>
      <c r="F55" s="285"/>
      <c r="G55" s="285"/>
      <c r="H55" s="285"/>
      <c r="I55" s="285"/>
      <c r="J55" s="285"/>
      <c r="K55" s="285"/>
      <c r="L55" s="285"/>
      <c r="M55" s="287"/>
      <c r="N55" s="287"/>
      <c r="O55" s="287"/>
      <c r="P55" s="287"/>
      <c r="Q55" s="287"/>
      <c r="R55" s="287"/>
      <c r="S55" s="285"/>
      <c r="T55" s="285"/>
      <c r="U55" s="285"/>
      <c r="V55" s="285"/>
      <c r="W55" s="285"/>
      <c r="X55" s="285"/>
      <c r="Y55" s="285"/>
      <c r="Z55" s="285"/>
      <c r="AA55" s="285"/>
      <c r="AB55" s="285"/>
      <c r="AC55" s="285"/>
      <c r="AD55" s="285"/>
      <c r="AE55" s="285"/>
      <c r="AF55" s="285"/>
      <c r="AG55" s="285"/>
      <c r="AH55" s="2513"/>
      <c r="AI55" s="285"/>
      <c r="AJ55" s="285"/>
      <c r="AK55" s="285"/>
      <c r="AL55" s="285"/>
      <c r="AM55" s="285"/>
      <c r="AN55" s="285"/>
      <c r="AO55" s="285"/>
      <c r="AP55" s="285"/>
      <c r="AQ55" s="285"/>
      <c r="AR55" s="285"/>
      <c r="AS55" s="285"/>
      <c r="AT55" s="285"/>
      <c r="AU55" s="285"/>
      <c r="AV55" s="285"/>
      <c r="AW55" s="285"/>
      <c r="AX55" s="285"/>
      <c r="AY55" s="285"/>
      <c r="AZ55" s="285"/>
      <c r="BA55" s="285"/>
      <c r="BB55" s="285"/>
      <c r="BC55" s="285"/>
      <c r="BD55" s="285"/>
      <c r="BE55" s="285"/>
      <c r="BF55" s="285"/>
      <c r="BG55" s="285"/>
      <c r="BH55" s="285"/>
      <c r="BI55" s="285"/>
      <c r="BJ55" s="285"/>
      <c r="BK55" s="285"/>
      <c r="BL55" s="285"/>
      <c r="BM55" s="285"/>
      <c r="BN55" s="285"/>
      <c r="BO55" s="285"/>
      <c r="BP55" s="285"/>
      <c r="BQ55" s="285"/>
      <c r="BR55" s="285"/>
      <c r="BS55" s="285"/>
      <c r="BT55" s="285"/>
      <c r="BU55" s="285"/>
      <c r="BV55" s="285"/>
      <c r="BW55" s="285"/>
      <c r="BX55" s="285"/>
      <c r="BY55" s="285"/>
      <c r="BZ55" s="285"/>
      <c r="CA55" s="285"/>
      <c r="CB55" s="285"/>
      <c r="CC55" s="285"/>
      <c r="CD55" s="285"/>
      <c r="CE55" s="285"/>
      <c r="CF55" s="285"/>
      <c r="CG55" s="285"/>
      <c r="CH55" s="285"/>
      <c r="CI55" s="285"/>
      <c r="CJ55" s="285"/>
      <c r="CK55" s="285"/>
      <c r="CL55" s="285"/>
      <c r="CM55" s="285"/>
      <c r="CN55" s="285"/>
      <c r="CO55" s="285"/>
      <c r="CP55" s="285"/>
      <c r="CQ55" s="285"/>
      <c r="CR55" s="285"/>
      <c r="CS55" s="285"/>
      <c r="CT55" s="285"/>
      <c r="CU55" s="285"/>
      <c r="CV55" s="285"/>
      <c r="CW55" s="285"/>
      <c r="CX55" s="285"/>
      <c r="CY55" s="285"/>
      <c r="CZ55" s="285"/>
      <c r="DA55" s="285"/>
      <c r="DB55" s="285"/>
      <c r="DC55" s="285"/>
      <c r="DD55" s="285"/>
      <c r="DE55" s="285"/>
      <c r="DF55" s="285"/>
      <c r="DG55" s="309"/>
      <c r="DH55" s="305"/>
      <c r="DI55" s="305"/>
      <c r="DJ55" s="305"/>
      <c r="DK55" s="305"/>
      <c r="DL55" s="305"/>
      <c r="DM55" s="305"/>
      <c r="DN55" s="305"/>
      <c r="DO55" s="305"/>
      <c r="DP55" s="305"/>
      <c r="DQ55" s="305"/>
      <c r="DR55" s="305"/>
      <c r="DS55" s="305"/>
      <c r="DT55" s="305"/>
      <c r="DU55" s="305"/>
      <c r="DV55" s="305"/>
      <c r="DW55" s="305"/>
      <c r="DX55" s="305"/>
      <c r="DY55" s="305"/>
      <c r="DZ55" s="305"/>
      <c r="EA55" s="305"/>
      <c r="EB55" s="305"/>
      <c r="EC55" s="305"/>
      <c r="ED55" s="305"/>
      <c r="EE55" s="305"/>
      <c r="EF55" s="305"/>
      <c r="EG55" s="305"/>
      <c r="EH55" s="305"/>
      <c r="EI55" s="305"/>
      <c r="EJ55" s="305"/>
      <c r="EK55" s="305"/>
      <c r="EL55" s="305"/>
      <c r="EM55" s="305"/>
      <c r="EN55" s="305"/>
      <c r="EO55" s="305"/>
      <c r="EP55" s="305"/>
      <c r="EQ55" s="305"/>
      <c r="ER55" s="305"/>
      <c r="ES55" s="305"/>
      <c r="ET55" s="305"/>
      <c r="EU55" s="305"/>
      <c r="EV55" s="305"/>
      <c r="EW55" s="305"/>
      <c r="EX55" s="305"/>
      <c r="EY55" s="305"/>
      <c r="EZ55" s="305"/>
      <c r="FA55" s="305"/>
      <c r="FB55" s="305"/>
      <c r="FC55" s="305"/>
      <c r="FD55" s="305"/>
      <c r="FE55" s="305"/>
      <c r="FF55" s="305"/>
      <c r="FG55" s="305"/>
      <c r="FH55" s="305"/>
      <c r="FI55" s="305"/>
      <c r="FJ55" s="307"/>
      <c r="FK55" s="307"/>
      <c r="FL55" s="285"/>
      <c r="FM55" s="285"/>
      <c r="FN55" s="285"/>
      <c r="FO55" s="285"/>
      <c r="FP55" s="285"/>
      <c r="FQ55" s="285"/>
      <c r="FR55" s="285"/>
      <c r="FS55" s="285"/>
      <c r="FT55" s="285"/>
      <c r="FU55" s="285"/>
      <c r="FV55" s="285"/>
      <c r="FW55" s="285"/>
      <c r="FX55" s="285"/>
      <c r="FY55" s="285"/>
      <c r="FZ55" s="285"/>
      <c r="GA55" s="285"/>
      <c r="GB55" s="285"/>
      <c r="GC55" s="285"/>
      <c r="GD55" s="285"/>
      <c r="GE55" s="285"/>
      <c r="GF55" s="285"/>
      <c r="GG55" s="285"/>
      <c r="GH55" s="285"/>
      <c r="GI55" s="285"/>
      <c r="GJ55" s="285"/>
      <c r="GK55" s="285"/>
      <c r="GL55" s="285"/>
      <c r="GM55" s="285"/>
      <c r="GN55" s="285"/>
      <c r="GO55" s="285"/>
      <c r="GP55" s="285"/>
      <c r="GQ55" s="285"/>
      <c r="GR55" s="285"/>
      <c r="GS55" s="285"/>
      <c r="GT55" s="285"/>
      <c r="GU55" s="285"/>
      <c r="GV55" s="285"/>
      <c r="GW55" s="285"/>
      <c r="GX55" s="285"/>
      <c r="GY55" s="285"/>
      <c r="GZ55" s="285"/>
      <c r="HA55" s="285"/>
      <c r="HB55" s="285"/>
      <c r="HC55" s="285"/>
      <c r="HD55" s="285"/>
      <c r="HE55" s="285"/>
      <c r="HF55" s="285"/>
      <c r="HG55" s="285"/>
      <c r="HH55" s="285"/>
      <c r="HI55" s="285"/>
      <c r="HJ55" s="285"/>
      <c r="HK55" s="285"/>
      <c r="HL55" s="285"/>
      <c r="HM55" s="285"/>
      <c r="HN55" s="285"/>
      <c r="HO55" s="285"/>
      <c r="HP55" s="285"/>
      <c r="HQ55" s="285"/>
      <c r="HR55" s="285"/>
      <c r="HS55" s="285"/>
      <c r="HT55" s="285"/>
      <c r="HU55" s="285"/>
      <c r="HV55" s="285"/>
      <c r="HW55" s="285"/>
      <c r="HX55" s="285"/>
      <c r="HY55" s="285"/>
      <c r="HZ55" s="285"/>
      <c r="IA55" s="285"/>
      <c r="IB55" s="285"/>
      <c r="IC55" s="285"/>
      <c r="ID55" s="285"/>
      <c r="IE55" s="285"/>
      <c r="IF55" s="285"/>
      <c r="IG55" s="285"/>
      <c r="IH55" s="285"/>
      <c r="II55" s="285"/>
      <c r="IJ55" s="285"/>
      <c r="IK55" s="285"/>
      <c r="IL55" s="285"/>
      <c r="IM55" s="285"/>
      <c r="IN55" s="285"/>
      <c r="IO55" s="285"/>
      <c r="IP55" s="285"/>
      <c r="IQ55" s="285"/>
      <c r="IR55" s="285"/>
      <c r="IS55" s="285"/>
      <c r="IT55" s="285"/>
      <c r="IU55" s="285"/>
      <c r="IV55" s="285"/>
      <c r="IW55" s="285"/>
      <c r="IX55" s="285"/>
      <c r="IY55" s="285"/>
      <c r="IZ55" s="285"/>
      <c r="JA55" s="285"/>
      <c r="JB55" s="285"/>
      <c r="JC55" s="285"/>
      <c r="JD55" s="285"/>
      <c r="JE55" s="285"/>
      <c r="JF55" s="285"/>
      <c r="JG55" s="285"/>
      <c r="JH55" s="285"/>
      <c r="JI55" s="285"/>
      <c r="JJ55" s="285"/>
      <c r="JK55" s="285"/>
      <c r="JL55" s="285"/>
      <c r="JM55" s="285"/>
      <c r="JN55" s="285"/>
      <c r="JO55" s="285"/>
      <c r="JP55" s="285"/>
      <c r="JQ55" s="285"/>
      <c r="JR55" s="285"/>
      <c r="JS55" s="285"/>
      <c r="JT55" s="285"/>
      <c r="JU55" s="285"/>
      <c r="JV55" s="285"/>
      <c r="JW55" s="285"/>
      <c r="JX55" s="285"/>
      <c r="JY55" s="285"/>
      <c r="JZ55" s="285"/>
      <c r="KA55" s="285"/>
      <c r="KB55" s="285"/>
      <c r="KC55" s="285"/>
      <c r="KD55" s="285"/>
      <c r="KE55" s="285"/>
      <c r="KF55" s="285"/>
      <c r="KG55" s="285"/>
      <c r="KH55" s="285"/>
      <c r="KI55" s="285"/>
      <c r="KJ55" s="285"/>
      <c r="KK55" s="285"/>
      <c r="KL55" s="285"/>
      <c r="KM55" s="285"/>
      <c r="KN55" s="285"/>
      <c r="KO55" s="285"/>
      <c r="KP55" s="285"/>
      <c r="KQ55" s="285"/>
      <c r="KR55" s="285"/>
      <c r="KS55" s="285"/>
      <c r="KT55" s="285"/>
      <c r="KU55" s="285"/>
      <c r="KV55" s="285"/>
      <c r="KW55" s="285"/>
      <c r="KX55" s="285"/>
      <c r="KY55" s="285"/>
      <c r="KZ55" s="285"/>
      <c r="LA55" s="285"/>
      <c r="LB55" s="285"/>
      <c r="LC55" s="285"/>
      <c r="LD55" s="285"/>
      <c r="LE55" s="285"/>
      <c r="LF55" s="285"/>
      <c r="LG55" s="285"/>
      <c r="LH55" s="285"/>
      <c r="LI55" s="285"/>
      <c r="LJ55" s="285"/>
      <c r="LK55" s="285"/>
      <c r="LL55" s="285"/>
      <c r="LM55" s="285"/>
      <c r="LN55" s="285"/>
      <c r="LO55" s="285"/>
      <c r="LP55" s="285"/>
    </row>
    <row r="56" spans="1:328" ht="12.75" hidden="1" customHeight="1" x14ac:dyDescent="0.3">
      <c r="A56" s="285"/>
      <c r="B56" s="285"/>
      <c r="C56" s="286"/>
      <c r="D56" s="285"/>
      <c r="E56" s="285"/>
      <c r="F56" s="285"/>
      <c r="G56" s="285"/>
      <c r="H56" s="285"/>
      <c r="I56" s="285"/>
      <c r="J56" s="285"/>
      <c r="K56" s="285"/>
      <c r="L56" s="285"/>
      <c r="M56" s="287"/>
      <c r="N56" s="287"/>
      <c r="O56" s="287"/>
      <c r="P56" s="287"/>
      <c r="Q56" s="287"/>
      <c r="R56" s="287"/>
      <c r="S56" s="285"/>
      <c r="T56" s="285"/>
      <c r="U56" s="285"/>
      <c r="V56" s="285"/>
      <c r="W56" s="285"/>
      <c r="X56" s="285"/>
      <c r="Y56" s="285"/>
      <c r="Z56" s="285"/>
      <c r="AA56" s="285"/>
      <c r="AB56" s="285"/>
      <c r="AC56" s="285"/>
      <c r="AD56" s="285"/>
      <c r="AE56" s="285"/>
      <c r="AF56" s="285"/>
      <c r="AG56" s="285"/>
      <c r="AH56" s="2513"/>
      <c r="AI56" s="285"/>
      <c r="AJ56" s="285"/>
      <c r="AK56" s="285"/>
      <c r="AL56" s="285"/>
      <c r="AM56" s="285"/>
      <c r="AN56" s="285"/>
      <c r="AO56" s="285"/>
      <c r="AP56" s="285"/>
      <c r="AQ56" s="285"/>
      <c r="AR56" s="285"/>
      <c r="AS56" s="285"/>
      <c r="AT56" s="285"/>
      <c r="AU56" s="285"/>
      <c r="AV56" s="285"/>
      <c r="AW56" s="285"/>
      <c r="AX56" s="285"/>
      <c r="AY56" s="285"/>
      <c r="AZ56" s="285"/>
      <c r="BA56" s="285"/>
      <c r="BB56" s="285"/>
      <c r="BC56" s="285"/>
      <c r="BD56" s="285"/>
      <c r="BE56" s="285"/>
      <c r="BF56" s="285"/>
      <c r="BG56" s="285"/>
      <c r="BH56" s="285"/>
      <c r="BI56" s="285"/>
      <c r="BJ56" s="285"/>
      <c r="BK56" s="285"/>
      <c r="BL56" s="285"/>
      <c r="BM56" s="285"/>
      <c r="BN56" s="285"/>
      <c r="BO56" s="285"/>
      <c r="BP56" s="285"/>
      <c r="BQ56" s="285"/>
      <c r="BR56" s="285"/>
      <c r="BS56" s="285"/>
      <c r="BT56" s="285"/>
      <c r="BU56" s="285"/>
      <c r="BV56" s="285"/>
      <c r="BW56" s="285"/>
      <c r="BX56" s="285"/>
      <c r="BY56" s="285"/>
      <c r="BZ56" s="285"/>
      <c r="CA56" s="285"/>
      <c r="CB56" s="285"/>
      <c r="CC56" s="285"/>
      <c r="CD56" s="285"/>
      <c r="CE56" s="285"/>
      <c r="CF56" s="285"/>
      <c r="CG56" s="285"/>
      <c r="CH56" s="285"/>
      <c r="CI56" s="285"/>
      <c r="CJ56" s="285"/>
      <c r="CK56" s="285"/>
      <c r="CL56" s="285"/>
      <c r="CM56" s="285"/>
      <c r="CN56" s="285"/>
      <c r="CO56" s="285"/>
      <c r="CP56" s="285"/>
      <c r="CQ56" s="285"/>
      <c r="CR56" s="285"/>
      <c r="CS56" s="285"/>
      <c r="CT56" s="285"/>
      <c r="CU56" s="285"/>
      <c r="CV56" s="285"/>
      <c r="CW56" s="285"/>
      <c r="CX56" s="285"/>
      <c r="CY56" s="285"/>
      <c r="CZ56" s="285"/>
      <c r="DA56" s="285"/>
      <c r="DB56" s="285"/>
      <c r="DC56" s="285"/>
      <c r="DD56" s="285"/>
      <c r="DE56" s="285"/>
      <c r="DF56" s="285"/>
      <c r="DG56" s="309"/>
      <c r="DH56" s="442" t="s">
        <v>1579</v>
      </c>
      <c r="DI56" s="285"/>
      <c r="DJ56" s="76">
        <f>IF(DJ$169=0,0,IFERROR(INDEX('2 Staff List'!$FT$64:$FT$114,DJ$21),0))</f>
        <v>58.032992</v>
      </c>
      <c r="DK56" s="76">
        <f>IF(DK$169=0,0,IFERROR(INDEX('2 Staff List'!$FT$64:$FT$114,DK$21),0))</f>
        <v>17.269024000000002</v>
      </c>
      <c r="DL56" s="76">
        <f>IF(DL$169=0,0,IFERROR(INDEX('2 Staff List'!$FT$64:$FT$114,DL$21),0))</f>
        <v>62.678264000000006</v>
      </c>
      <c r="DM56" s="76">
        <f>IF(DM$169=0,0,IFERROR(INDEX('2 Staff List'!$FT$64:$FT$114,DM$21),0))</f>
        <v>23</v>
      </c>
      <c r="DN56" s="76">
        <f>IF(DN$169=0,0,IFERROR(INDEX('2 Staff List'!$FT$64:$FT$114,DN$21),0))</f>
        <v>30.536799999999999</v>
      </c>
      <c r="DO56" s="76">
        <f>IF(DO$169=0,0,IFERROR(INDEX('2 Staff List'!$FT$64:$FT$114,DO$21),0))</f>
        <v>52.789599999999993</v>
      </c>
      <c r="DP56" s="76">
        <f>IF(DP$169=0,0,IFERROR(INDEX('2 Staff List'!$FT$64:$FT$114,DP$21),0))</f>
        <v>37.9696</v>
      </c>
      <c r="DQ56" s="76">
        <f>IF(DQ$169=0,0,IFERROR(INDEX('2 Staff List'!$FT$64:$FT$114,DQ$21),0))</f>
        <v>28.9864</v>
      </c>
      <c r="DR56" s="76">
        <f>IF(DR$169=0,0,IFERROR(INDEX('2 Staff List'!$FT$64:$FT$114,DR$21),0))</f>
        <v>27.329599999999999</v>
      </c>
      <c r="DS56" s="76">
        <f>IF(DS$169=0,0,IFERROR(INDEX('2 Staff List'!$FT$64:$FT$114,DS$21),0))</f>
        <v>24.578400000000002</v>
      </c>
      <c r="DT56" s="76">
        <f>IF(DT$169=0,0,IFERROR(INDEX('2 Staff List'!$FT$64:$FT$114,DT$21),0))</f>
        <v>0</v>
      </c>
      <c r="DU56" s="76">
        <f>IF(DU$169=0,0,IFERROR(INDEX('2 Staff List'!$FT$64:$FT$114,DU$21),0))</f>
        <v>0</v>
      </c>
      <c r="DV56" s="76">
        <f>IF(DV$169=0,0,IFERROR(INDEX('2 Staff List'!$FT$64:$FT$114,DV$21),0))</f>
        <v>0</v>
      </c>
      <c r="DW56" s="76">
        <f>IF(DW$169=0,0,IFERROR(INDEX('2 Staff List'!$FT$64:$FT$114,DW$21),0))</f>
        <v>0</v>
      </c>
      <c r="DX56" s="76">
        <f>IF(DX$169=0,0,IFERROR(INDEX('2 Staff List'!$FT$64:$FT$114,DX$21),0))</f>
        <v>0</v>
      </c>
      <c r="DY56" s="76">
        <f>IF(DY$169=0,0,IFERROR(INDEX('2 Staff List'!$FT$64:$FT$114,DY$21),0))</f>
        <v>0</v>
      </c>
      <c r="DZ56" s="76">
        <f>IF(DZ$169=0,0,IFERROR(INDEX('2 Staff List'!$FT$64:$FT$114,DZ$21),0))</f>
        <v>0</v>
      </c>
      <c r="EA56" s="76">
        <f>IF(EA$169=0,0,IFERROR(INDEX('2 Staff List'!$FT$64:$FT$114,EA$21),0))</f>
        <v>0</v>
      </c>
      <c r="EB56" s="76">
        <f>IF(EB$169=0,0,IFERROR(INDEX('2 Staff List'!$FT$64:$FT$114,EB$21),0))</f>
        <v>0</v>
      </c>
      <c r="EC56" s="76">
        <f>IF(EC$169=0,0,IFERROR(INDEX('2 Staff List'!$FT$64:$FT$114,EC$21),0))</f>
        <v>0</v>
      </c>
      <c r="ED56" s="76">
        <f>IF(ED$169=0,0,IFERROR(INDEX('2 Staff List'!$FT$64:$FT$114,ED$21),0))</f>
        <v>0</v>
      </c>
      <c r="EE56" s="76">
        <f>IF(EE$169=0,0,IFERROR(INDEX('2 Staff List'!$FT$64:$FT$114,EE$21),0))</f>
        <v>0</v>
      </c>
      <c r="EF56" s="76">
        <f>IF(EF$169=0,0,IFERROR(INDEX('2 Staff List'!$FT$64:$FT$114,EF$21),0))</f>
        <v>0</v>
      </c>
      <c r="EG56" s="76">
        <f>IF(EG$169=0,0,IFERROR(INDEX('2 Staff List'!$FT$64:$FT$114,EG$21),0))</f>
        <v>0</v>
      </c>
      <c r="EH56" s="76">
        <f>IF(EH$169=0,0,IFERROR(INDEX('2 Staff List'!$FT$64:$FT$114,EH$21),0))</f>
        <v>0</v>
      </c>
      <c r="EI56" s="76">
        <f>IF(EI$169=0,0,IFERROR(INDEX('2 Staff List'!$FT$64:$FT$114,EI$21),0))</f>
        <v>0</v>
      </c>
      <c r="EJ56" s="76">
        <f>IF(EJ$169=0,0,IFERROR(INDEX('2 Staff List'!$FT$64:$FT$114,EJ$21),0))</f>
        <v>0</v>
      </c>
      <c r="EK56" s="76">
        <f>IF(EK$169=0,0,IFERROR(INDEX('2 Staff List'!$FT$64:$FT$114,EK$21),0))</f>
        <v>0</v>
      </c>
      <c r="EL56" s="76">
        <f>IF(EL$169=0,0,IFERROR(INDEX('2 Staff List'!$FT$64:$FT$114,EL$21),0))</f>
        <v>0</v>
      </c>
      <c r="EM56" s="76">
        <f>IF(EM$169=0,0,IFERROR(INDEX('2 Staff List'!$FT$64:$FT$114,EM$21),0))</f>
        <v>0</v>
      </c>
      <c r="EN56" s="76">
        <f>IF(EN$169=0,0,IFERROR(INDEX('2 Staff List'!$FT$64:$FT$114,EN$21),0))</f>
        <v>0</v>
      </c>
      <c r="EO56" s="76">
        <f>IF(EO$169=0,0,IFERROR(INDEX('2 Staff List'!$FT$64:$FT$114,EO$21),0))</f>
        <v>0</v>
      </c>
      <c r="EP56" s="76">
        <f>IF(EP$169=0,0,IFERROR(INDEX('2 Staff List'!$FT$64:$FT$114,EP$21),0))</f>
        <v>0</v>
      </c>
      <c r="EQ56" s="76">
        <f>IF(EQ$169=0,0,IFERROR(INDEX('2 Staff List'!$FT$64:$FT$114,EQ$21),0))</f>
        <v>0</v>
      </c>
      <c r="ER56" s="76">
        <f>IF(ER$169=0,0,IFERROR(INDEX('2 Staff List'!$FT$64:$FT$114,ER$21),0))</f>
        <v>0</v>
      </c>
      <c r="ES56" s="76">
        <f>IF(ES$169=0,0,IFERROR(INDEX('2 Staff List'!$FT$64:$FT$114,ES$21),0))</f>
        <v>0</v>
      </c>
      <c r="ET56" s="76">
        <f>IF(ET$169=0,0,IFERROR(INDEX('2 Staff List'!$FT$64:$FT$114,ET$21),0))</f>
        <v>0</v>
      </c>
      <c r="EU56" s="76">
        <f>IF(EU$169=0,0,IFERROR(INDEX('2 Staff List'!$FT$64:$FT$114,EU$21),0))</f>
        <v>0</v>
      </c>
      <c r="EV56" s="76">
        <f>IF(EV$169=0,0,IFERROR(INDEX('2 Staff List'!$FT$64:$FT$114,EV$21),0))</f>
        <v>0</v>
      </c>
      <c r="EW56" s="76">
        <f>IF(EW$169=0,0,IFERROR(INDEX('2 Staff List'!$FT$64:$FT$114,EW$21),0))</f>
        <v>0</v>
      </c>
      <c r="EX56" s="76">
        <f>IF(EX$169=0,0,IFERROR(INDEX('2 Staff List'!$FT$64:$FT$114,EX$21),0))</f>
        <v>0</v>
      </c>
      <c r="EY56" s="76">
        <f>IF(EY$169=0,0,IFERROR(INDEX('2 Staff List'!$FT$64:$FT$114,EY$21),0))</f>
        <v>0</v>
      </c>
      <c r="EZ56" s="76">
        <f>IF(EZ$169=0,0,IFERROR(INDEX('2 Staff List'!$FT$64:$FT$114,EZ$21),0))</f>
        <v>0</v>
      </c>
      <c r="FA56" s="76">
        <f>IF(FA$169=0,0,IFERROR(INDEX('2 Staff List'!$FT$64:$FT$114,FA$21),0))</f>
        <v>0</v>
      </c>
      <c r="FB56" s="76">
        <f>IF(FB$169=0,0,IFERROR(INDEX('2 Staff List'!$FT$64:$FT$114,FB$21),0))</f>
        <v>0</v>
      </c>
      <c r="FC56" s="76">
        <f>IF(FC$169=0,0,IFERROR(INDEX('2 Staff List'!$FT$64:$FT$114,FC$21),0))</f>
        <v>0</v>
      </c>
      <c r="FD56" s="76">
        <f>IF(FD$169=0,0,IFERROR(INDEX('2 Staff List'!$FT$64:$FT$114,FD$21),0))</f>
        <v>0</v>
      </c>
      <c r="FE56" s="76">
        <f>IF(FE$169=0,0,IFERROR(INDEX('2 Staff List'!$FT$64:$FT$114,FE$21),0))</f>
        <v>0</v>
      </c>
      <c r="FF56" s="76">
        <f>IF(FF$169=0,0,IFERROR(INDEX('2 Staff List'!$FT$64:$FT$114,FF$21),0))</f>
        <v>0</v>
      </c>
      <c r="FG56" s="76">
        <f>IF(FG$169=0,0,IFERROR(INDEX('2 Staff List'!$FT$64:$FT$114,FG$21),0))</f>
        <v>0</v>
      </c>
      <c r="FH56" s="921"/>
      <c r="FI56" s="305"/>
      <c r="FJ56" s="307"/>
      <c r="FK56" s="307"/>
      <c r="FL56" s="285"/>
      <c r="FM56" s="285"/>
      <c r="FN56" s="285"/>
      <c r="FO56" s="285"/>
      <c r="FP56" s="285"/>
      <c r="FQ56" s="285"/>
      <c r="FR56" s="285"/>
      <c r="FS56" s="285"/>
      <c r="FT56" s="285"/>
      <c r="FU56" s="285"/>
      <c r="FV56" s="285"/>
      <c r="FW56" s="285"/>
      <c r="FX56" s="285"/>
      <c r="FY56" s="285"/>
      <c r="FZ56" s="285"/>
      <c r="GA56" s="285"/>
      <c r="GB56" s="285"/>
      <c r="GC56" s="285"/>
      <c r="GD56" s="285"/>
      <c r="GE56" s="285"/>
      <c r="GF56" s="285"/>
      <c r="GG56" s="285"/>
      <c r="GH56" s="285"/>
      <c r="GI56" s="285"/>
      <c r="GJ56" s="285"/>
      <c r="GK56" s="285"/>
      <c r="GL56" s="285"/>
      <c r="GM56" s="285"/>
      <c r="GN56" s="285"/>
      <c r="GO56" s="285"/>
      <c r="GP56" s="285"/>
      <c r="GQ56" s="285"/>
      <c r="GR56" s="285"/>
      <c r="GS56" s="285"/>
      <c r="GT56" s="285"/>
      <c r="GU56" s="285"/>
      <c r="GV56" s="285"/>
      <c r="GW56" s="285"/>
      <c r="GX56" s="285"/>
      <c r="GY56" s="285"/>
      <c r="GZ56" s="285"/>
      <c r="HA56" s="285"/>
      <c r="HB56" s="285"/>
      <c r="HC56" s="285"/>
      <c r="HD56" s="285"/>
      <c r="HE56" s="285"/>
      <c r="HF56" s="285"/>
      <c r="HG56" s="285"/>
      <c r="HH56" s="285"/>
      <c r="HI56" s="285"/>
      <c r="HJ56" s="285"/>
      <c r="HK56" s="285"/>
      <c r="HL56" s="285"/>
      <c r="HM56" s="285"/>
      <c r="HN56" s="285"/>
      <c r="HO56" s="285"/>
      <c r="HP56" s="285"/>
      <c r="HQ56" s="285"/>
      <c r="HR56" s="285"/>
      <c r="HS56" s="285"/>
      <c r="HT56" s="285"/>
      <c r="HU56" s="285"/>
      <c r="HV56" s="285"/>
      <c r="HW56" s="285"/>
      <c r="HX56" s="285"/>
      <c r="HY56" s="285"/>
      <c r="HZ56" s="285"/>
      <c r="IA56" s="285"/>
      <c r="IB56" s="285"/>
      <c r="IC56" s="285"/>
      <c r="ID56" s="285"/>
      <c r="IE56" s="285"/>
      <c r="IF56" s="285"/>
      <c r="IG56" s="285"/>
      <c r="IH56" s="285"/>
      <c r="II56" s="285"/>
      <c r="IJ56" s="285"/>
      <c r="IK56" s="285"/>
      <c r="IL56" s="285"/>
      <c r="IM56" s="285"/>
      <c r="IN56" s="285"/>
      <c r="IO56" s="285"/>
      <c r="IP56" s="285"/>
      <c r="IQ56" s="285"/>
      <c r="IR56" s="285"/>
      <c r="IS56" s="285"/>
      <c r="IT56" s="285"/>
      <c r="IU56" s="285"/>
      <c r="IV56" s="285"/>
      <c r="IW56" s="285"/>
      <c r="IX56" s="285"/>
      <c r="IY56" s="285"/>
      <c r="IZ56" s="285"/>
      <c r="JA56" s="285"/>
      <c r="JB56" s="285"/>
      <c r="JC56" s="285"/>
      <c r="JD56" s="285"/>
      <c r="JE56" s="285"/>
      <c r="JF56" s="285"/>
      <c r="JG56" s="285"/>
      <c r="JH56" s="285"/>
      <c r="JI56" s="285"/>
      <c r="JJ56" s="285"/>
      <c r="JK56" s="285"/>
      <c r="JL56" s="285"/>
      <c r="JM56" s="285"/>
      <c r="JN56" s="285"/>
      <c r="JO56" s="285"/>
      <c r="JP56" s="285"/>
      <c r="JQ56" s="285"/>
      <c r="JR56" s="285"/>
      <c r="JS56" s="285"/>
      <c r="JT56" s="285"/>
      <c r="JU56" s="285"/>
      <c r="JV56" s="285"/>
      <c r="JW56" s="285"/>
      <c r="JX56" s="285"/>
      <c r="JY56" s="285"/>
      <c r="JZ56" s="285"/>
      <c r="KA56" s="285"/>
      <c r="KB56" s="285"/>
      <c r="KC56" s="285"/>
      <c r="KD56" s="285"/>
      <c r="KE56" s="285"/>
      <c r="KF56" s="285"/>
      <c r="KG56" s="285"/>
      <c r="KH56" s="285"/>
      <c r="KI56" s="285"/>
      <c r="KJ56" s="285"/>
      <c r="KK56" s="285"/>
      <c r="KL56" s="285"/>
      <c r="KM56" s="285"/>
      <c r="KN56" s="285"/>
      <c r="KO56" s="285"/>
      <c r="KP56" s="285"/>
      <c r="KQ56" s="285"/>
      <c r="KR56" s="285"/>
      <c r="KS56" s="285"/>
      <c r="KT56" s="285"/>
      <c r="KU56" s="285"/>
      <c r="KV56" s="285"/>
      <c r="KW56" s="285"/>
      <c r="KX56" s="285"/>
      <c r="KY56" s="285"/>
      <c r="KZ56" s="285"/>
      <c r="LA56" s="285"/>
      <c r="LB56" s="285"/>
      <c r="LC56" s="285"/>
      <c r="LD56" s="285"/>
      <c r="LE56" s="285"/>
      <c r="LF56" s="285"/>
      <c r="LG56" s="285"/>
      <c r="LH56" s="285"/>
      <c r="LI56" s="285"/>
      <c r="LJ56" s="285"/>
      <c r="LK56" s="285"/>
      <c r="LL56" s="285"/>
      <c r="LM56" s="285"/>
      <c r="LN56" s="285"/>
      <c r="LO56" s="285"/>
      <c r="LP56" s="285"/>
    </row>
    <row r="57" spans="1:328" ht="12.75" hidden="1" customHeight="1" x14ac:dyDescent="0.3">
      <c r="A57" s="285"/>
      <c r="B57" s="285"/>
      <c r="C57" s="286"/>
      <c r="D57" s="285"/>
      <c r="E57" s="285"/>
      <c r="F57" s="285"/>
      <c r="G57" s="285"/>
      <c r="H57" s="285"/>
      <c r="I57" s="285"/>
      <c r="J57" s="285"/>
      <c r="K57" s="285"/>
      <c r="L57" s="285"/>
      <c r="M57" s="287"/>
      <c r="N57" s="287"/>
      <c r="O57" s="287"/>
      <c r="P57" s="287"/>
      <c r="Q57" s="287"/>
      <c r="R57" s="287"/>
      <c r="S57" s="285"/>
      <c r="T57" s="285"/>
      <c r="U57" s="285"/>
      <c r="V57" s="285"/>
      <c r="W57" s="285"/>
      <c r="X57" s="285"/>
      <c r="Y57" s="285"/>
      <c r="Z57" s="285"/>
      <c r="AA57" s="285"/>
      <c r="AB57" s="285"/>
      <c r="AC57" s="285"/>
      <c r="AD57" s="285"/>
      <c r="AE57" s="285"/>
      <c r="AF57" s="285"/>
      <c r="AG57" s="285"/>
      <c r="AH57" s="2513"/>
      <c r="AI57" s="285"/>
      <c r="AJ57" s="285"/>
      <c r="AK57" s="285"/>
      <c r="AL57" s="285"/>
      <c r="AM57" s="285"/>
      <c r="AN57" s="285"/>
      <c r="AO57" s="285"/>
      <c r="AP57" s="285"/>
      <c r="AQ57" s="285"/>
      <c r="AR57" s="285"/>
      <c r="AS57" s="285"/>
      <c r="AT57" s="285"/>
      <c r="AU57" s="285"/>
      <c r="AV57" s="285"/>
      <c r="AW57" s="285"/>
      <c r="AX57" s="285"/>
      <c r="AY57" s="285"/>
      <c r="AZ57" s="285"/>
      <c r="BA57" s="285"/>
      <c r="BB57" s="285"/>
      <c r="BC57" s="285"/>
      <c r="BD57" s="285"/>
      <c r="BE57" s="285"/>
      <c r="BF57" s="285"/>
      <c r="BG57" s="285"/>
      <c r="BH57" s="285"/>
      <c r="BI57" s="285"/>
      <c r="BJ57" s="285"/>
      <c r="BK57" s="285"/>
      <c r="BL57" s="285"/>
      <c r="BM57" s="285"/>
      <c r="BN57" s="285"/>
      <c r="BO57" s="285"/>
      <c r="BP57" s="285"/>
      <c r="BQ57" s="285"/>
      <c r="BR57" s="285"/>
      <c r="BS57" s="285"/>
      <c r="BT57" s="285"/>
      <c r="BU57" s="285"/>
      <c r="BV57" s="285"/>
      <c r="BW57" s="285"/>
      <c r="BX57" s="285"/>
      <c r="BY57" s="285"/>
      <c r="BZ57" s="285"/>
      <c r="CA57" s="285"/>
      <c r="CB57" s="285"/>
      <c r="CC57" s="285"/>
      <c r="CD57" s="285"/>
      <c r="CE57" s="285"/>
      <c r="CF57" s="285"/>
      <c r="CG57" s="285"/>
      <c r="CH57" s="285"/>
      <c r="CI57" s="285"/>
      <c r="CJ57" s="285"/>
      <c r="CK57" s="285"/>
      <c r="CL57" s="285"/>
      <c r="CM57" s="285"/>
      <c r="CN57" s="285"/>
      <c r="CO57" s="285"/>
      <c r="CP57" s="285"/>
      <c r="CQ57" s="285"/>
      <c r="CR57" s="285"/>
      <c r="CS57" s="285"/>
      <c r="CT57" s="285"/>
      <c r="CU57" s="285"/>
      <c r="CV57" s="285"/>
      <c r="CW57" s="285"/>
      <c r="CX57" s="285"/>
      <c r="CY57" s="285"/>
      <c r="CZ57" s="285"/>
      <c r="DA57" s="285"/>
      <c r="DB57" s="285"/>
      <c r="DC57" s="285"/>
      <c r="DD57" s="285"/>
      <c r="DE57" s="285"/>
      <c r="DF57" s="285"/>
      <c r="DG57" s="309"/>
      <c r="DH57" s="442" t="s">
        <v>1580</v>
      </c>
      <c r="DI57" s="285"/>
      <c r="DJ57" s="76">
        <f>IF(DJ$169=0,0,IFERROR(INDEX('2 Staff List'!$FU$64:$FU$114,DJ$21),0))</f>
        <v>58.032992</v>
      </c>
      <c r="DK57" s="76">
        <f>IF(DK$169=0,0,IFERROR(INDEX('2 Staff List'!$FU$64:$FU$114,DK$21),0))</f>
        <v>17.269024000000002</v>
      </c>
      <c r="DL57" s="76">
        <f>IF(DL$169=0,0,IFERROR(INDEX('2 Staff List'!$FU$64:$FU$114,DL$21),0))</f>
        <v>62.678264000000006</v>
      </c>
      <c r="DM57" s="76">
        <f>IF(DM$169=0,0,IFERROR(INDEX('2 Staff List'!$FU$64:$FU$114,DM$21),0))</f>
        <v>23</v>
      </c>
      <c r="DN57" s="76">
        <f>IF(DN$169=0,0,IFERROR(INDEX('2 Staff List'!$FU$64:$FU$114,DN$21),0))</f>
        <v>30.536799999999999</v>
      </c>
      <c r="DO57" s="76">
        <f>IF(DO$169=0,0,IFERROR(INDEX('2 Staff List'!$FU$64:$FU$114,DO$21),0))</f>
        <v>52.789599999999993</v>
      </c>
      <c r="DP57" s="76">
        <f>IF(DP$169=0,0,IFERROR(INDEX('2 Staff List'!$FU$64:$FU$114,DP$21),0))</f>
        <v>37.9696</v>
      </c>
      <c r="DQ57" s="76">
        <f>IF(DQ$169=0,0,IFERROR(INDEX('2 Staff List'!$FU$64:$FU$114,DQ$21),0))</f>
        <v>28.9864</v>
      </c>
      <c r="DR57" s="76">
        <f>IF(DR$169=0,0,IFERROR(INDEX('2 Staff List'!$FU$64:$FU$114,DR$21),0))</f>
        <v>27.329599999999999</v>
      </c>
      <c r="DS57" s="76">
        <f>IF(DS$169=0,0,IFERROR(INDEX('2 Staff List'!$FU$64:$FU$114,DS$21),0))</f>
        <v>24.578400000000002</v>
      </c>
      <c r="DT57" s="76">
        <f>IF(DT$169=0,0,IFERROR(INDEX('2 Staff List'!$FU$64:$FU$114,DT$21),0))</f>
        <v>0</v>
      </c>
      <c r="DU57" s="76">
        <f>IF(DU$169=0,0,IFERROR(INDEX('2 Staff List'!$FU$64:$FU$114,DU$21),0))</f>
        <v>0</v>
      </c>
      <c r="DV57" s="76">
        <f>IF(DV$169=0,0,IFERROR(INDEX('2 Staff List'!$FU$64:$FU$114,DV$21),0))</f>
        <v>0</v>
      </c>
      <c r="DW57" s="76">
        <f>IF(DW$169=0,0,IFERROR(INDEX('2 Staff List'!$FU$64:$FU$114,DW$21),0))</f>
        <v>0</v>
      </c>
      <c r="DX57" s="76">
        <f>IF(DX$169=0,0,IFERROR(INDEX('2 Staff List'!$FU$64:$FU$114,DX$21),0))</f>
        <v>0</v>
      </c>
      <c r="DY57" s="76">
        <f>IF(DY$169=0,0,IFERROR(INDEX('2 Staff List'!$FU$64:$FU$114,DY$21),0))</f>
        <v>0</v>
      </c>
      <c r="DZ57" s="76">
        <f>IF(DZ$169=0,0,IFERROR(INDEX('2 Staff List'!$FU$64:$FU$114,DZ$21),0))</f>
        <v>0</v>
      </c>
      <c r="EA57" s="76">
        <f>IF(EA$169=0,0,IFERROR(INDEX('2 Staff List'!$FU$64:$FU$114,EA$21),0))</f>
        <v>0</v>
      </c>
      <c r="EB57" s="76">
        <f>IF(EB$169=0,0,IFERROR(INDEX('2 Staff List'!$FU$64:$FU$114,EB$21),0))</f>
        <v>0</v>
      </c>
      <c r="EC57" s="76">
        <f>IF(EC$169=0,0,IFERROR(INDEX('2 Staff List'!$FU$64:$FU$114,EC$21),0))</f>
        <v>0</v>
      </c>
      <c r="ED57" s="76">
        <f>IF(ED$169=0,0,IFERROR(INDEX('2 Staff List'!$FU$64:$FU$114,ED$21),0))</f>
        <v>0</v>
      </c>
      <c r="EE57" s="76">
        <f>IF(EE$169=0,0,IFERROR(INDEX('2 Staff List'!$FU$64:$FU$114,EE$21),0))</f>
        <v>0</v>
      </c>
      <c r="EF57" s="76">
        <f>IF(EF$169=0,0,IFERROR(INDEX('2 Staff List'!$FU$64:$FU$114,EF$21),0))</f>
        <v>0</v>
      </c>
      <c r="EG57" s="76">
        <f>IF(EG$169=0,0,IFERROR(INDEX('2 Staff List'!$FU$64:$FU$114,EG$21),0))</f>
        <v>0</v>
      </c>
      <c r="EH57" s="76">
        <f>IF(EH$169=0,0,IFERROR(INDEX('2 Staff List'!$FU$64:$FU$114,EH$21),0))</f>
        <v>0</v>
      </c>
      <c r="EI57" s="76">
        <f>IF(EI$169=0,0,IFERROR(INDEX('2 Staff List'!$FU$64:$FU$114,EI$21),0))</f>
        <v>0</v>
      </c>
      <c r="EJ57" s="76">
        <f>IF(EJ$169=0,0,IFERROR(INDEX('2 Staff List'!$FU$64:$FU$114,EJ$21),0))</f>
        <v>0</v>
      </c>
      <c r="EK57" s="76">
        <f>IF(EK$169=0,0,IFERROR(INDEX('2 Staff List'!$FU$64:$FU$114,EK$21),0))</f>
        <v>0</v>
      </c>
      <c r="EL57" s="76">
        <f>IF(EL$169=0,0,IFERROR(INDEX('2 Staff List'!$FU$64:$FU$114,EL$21),0))</f>
        <v>0</v>
      </c>
      <c r="EM57" s="76">
        <f>IF(EM$169=0,0,IFERROR(INDEX('2 Staff List'!$FU$64:$FU$114,EM$21),0))</f>
        <v>0</v>
      </c>
      <c r="EN57" s="76">
        <f>IF(EN$169=0,0,IFERROR(INDEX('2 Staff List'!$FU$64:$FU$114,EN$21),0))</f>
        <v>0</v>
      </c>
      <c r="EO57" s="76">
        <f>IF(EO$169=0,0,IFERROR(INDEX('2 Staff List'!$FU$64:$FU$114,EO$21),0))</f>
        <v>0</v>
      </c>
      <c r="EP57" s="76">
        <f>IF(EP$169=0,0,IFERROR(INDEX('2 Staff List'!$FU$64:$FU$114,EP$21),0))</f>
        <v>0</v>
      </c>
      <c r="EQ57" s="76">
        <f>IF(EQ$169=0,0,IFERROR(INDEX('2 Staff List'!$FU$64:$FU$114,EQ$21),0))</f>
        <v>0</v>
      </c>
      <c r="ER57" s="76">
        <f>IF(ER$169=0,0,IFERROR(INDEX('2 Staff List'!$FU$64:$FU$114,ER$21),0))</f>
        <v>0</v>
      </c>
      <c r="ES57" s="76">
        <f>IF(ES$169=0,0,IFERROR(INDEX('2 Staff List'!$FU$64:$FU$114,ES$21),0))</f>
        <v>0</v>
      </c>
      <c r="ET57" s="76">
        <f>IF(ET$169=0,0,IFERROR(INDEX('2 Staff List'!$FU$64:$FU$114,ET$21),0))</f>
        <v>0</v>
      </c>
      <c r="EU57" s="76">
        <f>IF(EU$169=0,0,IFERROR(INDEX('2 Staff List'!$FU$64:$FU$114,EU$21),0))</f>
        <v>0</v>
      </c>
      <c r="EV57" s="76">
        <f>IF(EV$169=0,0,IFERROR(INDEX('2 Staff List'!$FU$64:$FU$114,EV$21),0))</f>
        <v>0</v>
      </c>
      <c r="EW57" s="76">
        <f>IF(EW$169=0,0,IFERROR(INDEX('2 Staff List'!$FU$64:$FU$114,EW$21),0))</f>
        <v>0</v>
      </c>
      <c r="EX57" s="76">
        <f>IF(EX$169=0,0,IFERROR(INDEX('2 Staff List'!$FU$64:$FU$114,EX$21),0))</f>
        <v>0</v>
      </c>
      <c r="EY57" s="76">
        <f>IF(EY$169=0,0,IFERROR(INDEX('2 Staff List'!$FU$64:$FU$114,EY$21),0))</f>
        <v>0</v>
      </c>
      <c r="EZ57" s="76">
        <f>IF(EZ$169=0,0,IFERROR(INDEX('2 Staff List'!$FU$64:$FU$114,EZ$21),0))</f>
        <v>0</v>
      </c>
      <c r="FA57" s="76">
        <f>IF(FA$169=0,0,IFERROR(INDEX('2 Staff List'!$FU$64:$FU$114,FA$21),0))</f>
        <v>0</v>
      </c>
      <c r="FB57" s="76">
        <f>IF(FB$169=0,0,IFERROR(INDEX('2 Staff List'!$FU$64:$FU$114,FB$21),0))</f>
        <v>0</v>
      </c>
      <c r="FC57" s="76">
        <f>IF(FC$169=0,0,IFERROR(INDEX('2 Staff List'!$FU$64:$FU$114,FC$21),0))</f>
        <v>0</v>
      </c>
      <c r="FD57" s="76">
        <f>IF(FD$169=0,0,IFERROR(INDEX('2 Staff List'!$FU$64:$FU$114,FD$21),0))</f>
        <v>0</v>
      </c>
      <c r="FE57" s="76">
        <f>IF(FE$169=0,0,IFERROR(INDEX('2 Staff List'!$FU$64:$FU$114,FE$21),0))</f>
        <v>0</v>
      </c>
      <c r="FF57" s="76">
        <f>IF(FF$169=0,0,IFERROR(INDEX('2 Staff List'!$FU$64:$FU$114,FF$21),0))</f>
        <v>0</v>
      </c>
      <c r="FG57" s="76">
        <f>IF(FG$169=0,0,IFERROR(INDEX('2 Staff List'!$FU$64:$FU$114,FG$21),0))</f>
        <v>0</v>
      </c>
      <c r="FH57" s="922"/>
      <c r="FI57" s="305"/>
      <c r="FJ57" s="307"/>
      <c r="FK57" s="307"/>
      <c r="FL57" s="285"/>
      <c r="FM57" s="285"/>
      <c r="FN57" s="285"/>
      <c r="FO57" s="285"/>
      <c r="FP57" s="285"/>
      <c r="FQ57" s="285"/>
      <c r="FR57" s="285"/>
      <c r="FS57" s="285"/>
      <c r="FT57" s="285"/>
      <c r="FU57" s="285"/>
      <c r="FV57" s="285"/>
      <c r="FW57" s="285"/>
      <c r="FX57" s="285"/>
      <c r="FY57" s="285"/>
      <c r="FZ57" s="285"/>
      <c r="GA57" s="285"/>
      <c r="GB57" s="285"/>
      <c r="GC57" s="285"/>
      <c r="GD57" s="285"/>
      <c r="GE57" s="285"/>
      <c r="GF57" s="285"/>
      <c r="GG57" s="285"/>
      <c r="GH57" s="285"/>
      <c r="GI57" s="285"/>
      <c r="GJ57" s="285"/>
      <c r="GK57" s="285"/>
      <c r="GL57" s="285"/>
      <c r="GM57" s="285"/>
      <c r="GN57" s="285"/>
      <c r="GO57" s="285"/>
      <c r="GP57" s="285"/>
      <c r="GQ57" s="285"/>
      <c r="GR57" s="285"/>
      <c r="GS57" s="285"/>
      <c r="GT57" s="285"/>
      <c r="GU57" s="285"/>
      <c r="GV57" s="285"/>
      <c r="GW57" s="285"/>
      <c r="GX57" s="285"/>
      <c r="GY57" s="285"/>
      <c r="GZ57" s="285"/>
      <c r="HA57" s="285"/>
      <c r="HB57" s="285"/>
      <c r="HC57" s="285"/>
      <c r="HD57" s="285"/>
      <c r="HE57" s="285"/>
      <c r="HF57" s="285"/>
      <c r="HG57" s="285"/>
      <c r="HH57" s="285"/>
      <c r="HI57" s="285"/>
      <c r="HJ57" s="285"/>
      <c r="HK57" s="285"/>
      <c r="HL57" s="285"/>
      <c r="HM57" s="285"/>
      <c r="HN57" s="285"/>
      <c r="HO57" s="285"/>
      <c r="HP57" s="285"/>
      <c r="HQ57" s="285"/>
      <c r="HR57" s="285"/>
      <c r="HS57" s="285"/>
      <c r="HT57" s="285"/>
      <c r="HU57" s="285"/>
      <c r="HV57" s="285"/>
      <c r="HW57" s="285"/>
      <c r="HX57" s="285"/>
      <c r="HY57" s="285"/>
      <c r="HZ57" s="285"/>
      <c r="IA57" s="285"/>
      <c r="IB57" s="285"/>
      <c r="IC57" s="285"/>
      <c r="ID57" s="285"/>
      <c r="IE57" s="285"/>
      <c r="IF57" s="285"/>
      <c r="IG57" s="285"/>
      <c r="IH57" s="285"/>
      <c r="II57" s="285"/>
      <c r="IJ57" s="285"/>
      <c r="IK57" s="285"/>
      <c r="IL57" s="285"/>
      <c r="IM57" s="285"/>
      <c r="IN57" s="285"/>
      <c r="IO57" s="285"/>
      <c r="IP57" s="285"/>
      <c r="IQ57" s="285"/>
      <c r="IR57" s="285"/>
      <c r="IS57" s="285"/>
      <c r="IT57" s="285"/>
      <c r="IU57" s="285"/>
      <c r="IV57" s="285"/>
      <c r="IW57" s="285"/>
      <c r="IX57" s="285"/>
      <c r="IY57" s="285"/>
      <c r="IZ57" s="285"/>
      <c r="JA57" s="285"/>
      <c r="JB57" s="285"/>
      <c r="JC57" s="285"/>
      <c r="JD57" s="285"/>
      <c r="JE57" s="285"/>
      <c r="JF57" s="285"/>
      <c r="JG57" s="285"/>
      <c r="JH57" s="285"/>
      <c r="JI57" s="285"/>
      <c r="JJ57" s="285"/>
      <c r="JK57" s="285"/>
      <c r="JL57" s="285"/>
      <c r="JM57" s="285"/>
      <c r="JN57" s="285"/>
      <c r="JO57" s="285"/>
      <c r="JP57" s="285"/>
      <c r="JQ57" s="285"/>
      <c r="JR57" s="285"/>
      <c r="JS57" s="285"/>
      <c r="JT57" s="285"/>
      <c r="JU57" s="285"/>
      <c r="JV57" s="285"/>
      <c r="JW57" s="285"/>
      <c r="JX57" s="285"/>
      <c r="JY57" s="285"/>
      <c r="JZ57" s="285"/>
      <c r="KA57" s="285"/>
      <c r="KB57" s="285"/>
      <c r="KC57" s="285"/>
      <c r="KD57" s="285"/>
      <c r="KE57" s="285"/>
      <c r="KF57" s="285"/>
      <c r="KG57" s="285"/>
      <c r="KH57" s="285"/>
      <c r="KI57" s="285"/>
      <c r="KJ57" s="285"/>
      <c r="KK57" s="285"/>
      <c r="KL57" s="285"/>
      <c r="KM57" s="285"/>
      <c r="KN57" s="285"/>
      <c r="KO57" s="285"/>
      <c r="KP57" s="285"/>
      <c r="KQ57" s="285"/>
      <c r="KR57" s="285"/>
      <c r="KS57" s="285"/>
      <c r="KT57" s="285"/>
      <c r="KU57" s="285"/>
      <c r="KV57" s="285"/>
      <c r="KW57" s="285"/>
      <c r="KX57" s="285"/>
      <c r="KY57" s="285"/>
      <c r="KZ57" s="285"/>
      <c r="LA57" s="285"/>
      <c r="LB57" s="285"/>
      <c r="LC57" s="285"/>
      <c r="LD57" s="285"/>
      <c r="LE57" s="285"/>
      <c r="LF57" s="285"/>
      <c r="LG57" s="285"/>
      <c r="LH57" s="285"/>
      <c r="LI57" s="285"/>
      <c r="LJ57" s="285"/>
      <c r="LK57" s="285"/>
      <c r="LL57" s="285"/>
      <c r="LM57" s="285"/>
      <c r="LN57" s="285"/>
      <c r="LO57" s="285"/>
      <c r="LP57" s="285"/>
    </row>
    <row r="58" spans="1:328" ht="12.75" hidden="1" customHeight="1" x14ac:dyDescent="0.3">
      <c r="A58" s="285"/>
      <c r="B58" s="285"/>
      <c r="C58" s="286"/>
      <c r="D58" s="285"/>
      <c r="E58" s="285"/>
      <c r="F58" s="285"/>
      <c r="G58" s="285"/>
      <c r="H58" s="285"/>
      <c r="I58" s="285"/>
      <c r="J58" s="285"/>
      <c r="K58" s="285"/>
      <c r="L58" s="285"/>
      <c r="M58" s="287"/>
      <c r="N58" s="287"/>
      <c r="O58" s="287"/>
      <c r="P58" s="287"/>
      <c r="Q58" s="287"/>
      <c r="R58" s="287"/>
      <c r="S58" s="285"/>
      <c r="T58" s="285"/>
      <c r="U58" s="285"/>
      <c r="V58" s="285"/>
      <c r="W58" s="285"/>
      <c r="X58" s="285"/>
      <c r="Y58" s="285"/>
      <c r="Z58" s="285"/>
      <c r="AA58" s="285"/>
      <c r="AB58" s="285"/>
      <c r="AC58" s="285"/>
      <c r="AD58" s="285"/>
      <c r="AE58" s="285"/>
      <c r="AF58" s="285"/>
      <c r="AG58" s="285"/>
      <c r="AH58" s="2513"/>
      <c r="AI58" s="285"/>
      <c r="AJ58" s="285"/>
      <c r="AK58" s="285"/>
      <c r="AL58" s="285"/>
      <c r="AM58" s="285"/>
      <c r="AN58" s="285"/>
      <c r="AO58" s="285"/>
      <c r="AP58" s="285"/>
      <c r="AQ58" s="285"/>
      <c r="AR58" s="285"/>
      <c r="AS58" s="285"/>
      <c r="AT58" s="285"/>
      <c r="AU58" s="285"/>
      <c r="AV58" s="285"/>
      <c r="AW58" s="285"/>
      <c r="AX58" s="285"/>
      <c r="AY58" s="285"/>
      <c r="AZ58" s="285"/>
      <c r="BA58" s="285"/>
      <c r="BB58" s="285"/>
      <c r="BC58" s="285"/>
      <c r="BD58" s="285"/>
      <c r="BE58" s="285"/>
      <c r="BF58" s="285"/>
      <c r="BG58" s="285"/>
      <c r="BH58" s="285"/>
      <c r="BI58" s="285"/>
      <c r="BJ58" s="285"/>
      <c r="BK58" s="285"/>
      <c r="BL58" s="285"/>
      <c r="BM58" s="285"/>
      <c r="BN58" s="285"/>
      <c r="BO58" s="285"/>
      <c r="BP58" s="285"/>
      <c r="BQ58" s="285"/>
      <c r="BR58" s="285"/>
      <c r="BS58" s="285"/>
      <c r="BT58" s="285"/>
      <c r="BU58" s="285"/>
      <c r="BV58" s="285"/>
      <c r="BW58" s="285"/>
      <c r="BX58" s="285"/>
      <c r="BY58" s="285"/>
      <c r="BZ58" s="285"/>
      <c r="CA58" s="285"/>
      <c r="CB58" s="285"/>
      <c r="CC58" s="285"/>
      <c r="CD58" s="285"/>
      <c r="CE58" s="285"/>
      <c r="CF58" s="285"/>
      <c r="CG58" s="285"/>
      <c r="CH58" s="285"/>
      <c r="CI58" s="285"/>
      <c r="CJ58" s="285"/>
      <c r="CK58" s="285"/>
      <c r="CL58" s="285"/>
      <c r="CM58" s="285"/>
      <c r="CN58" s="285"/>
      <c r="CO58" s="285"/>
      <c r="CP58" s="285"/>
      <c r="CQ58" s="285"/>
      <c r="CR58" s="285"/>
      <c r="CS58" s="285"/>
      <c r="CT58" s="285"/>
      <c r="CU58" s="285"/>
      <c r="CV58" s="285"/>
      <c r="CW58" s="285"/>
      <c r="CX58" s="285"/>
      <c r="CY58" s="285"/>
      <c r="CZ58" s="285"/>
      <c r="DA58" s="285"/>
      <c r="DB58" s="285"/>
      <c r="DC58" s="285"/>
      <c r="DD58" s="285"/>
      <c r="DE58" s="285"/>
      <c r="DF58" s="285"/>
      <c r="DG58" s="309"/>
      <c r="DH58" s="442" t="s">
        <v>1581</v>
      </c>
      <c r="DI58" s="285"/>
      <c r="DJ58" s="76">
        <f>IF(DJ$169=0,0,IFERROR(INDEX('2 Staff List'!$FV$64:$FV$114,DJ$21),0))</f>
        <v>58.032992</v>
      </c>
      <c r="DK58" s="76">
        <f>IF(DK$169=0,0,IFERROR(INDEX('2 Staff List'!$FV$64:$FV$114,DK$21),0))</f>
        <v>17.269024000000002</v>
      </c>
      <c r="DL58" s="76">
        <f>IF(DL$169=0,0,IFERROR(INDEX('2 Staff List'!$FV$64:$FV$114,DL$21),0))</f>
        <v>62.678264000000006</v>
      </c>
      <c r="DM58" s="76">
        <f>IF(DM$169=0,0,IFERROR(INDEX('2 Staff List'!$FV$64:$FV$114,DM$21),0))</f>
        <v>23</v>
      </c>
      <c r="DN58" s="76">
        <f>IF(DN$169=0,0,IFERROR(INDEX('2 Staff List'!$FV$64:$FV$114,DN$21),0))</f>
        <v>30.536799999999999</v>
      </c>
      <c r="DO58" s="76">
        <f>IF(DO$169=0,0,IFERROR(INDEX('2 Staff List'!$FV$64:$FV$114,DO$21),0))</f>
        <v>52.789599999999993</v>
      </c>
      <c r="DP58" s="76">
        <f>IF(DP$169=0,0,IFERROR(INDEX('2 Staff List'!$FV$64:$FV$114,DP$21),0))</f>
        <v>37.9696</v>
      </c>
      <c r="DQ58" s="76">
        <f>IF(DQ$169=0,0,IFERROR(INDEX('2 Staff List'!$FV$64:$FV$114,DQ$21),0))</f>
        <v>28.9864</v>
      </c>
      <c r="DR58" s="76">
        <f>IF(DR$169=0,0,IFERROR(INDEX('2 Staff List'!$FV$64:$FV$114,DR$21),0))</f>
        <v>27.329599999999999</v>
      </c>
      <c r="DS58" s="76">
        <f>IF(DS$169=0,0,IFERROR(INDEX('2 Staff List'!$FV$64:$FV$114,DS$21),0))</f>
        <v>24.578400000000002</v>
      </c>
      <c r="DT58" s="76">
        <f>IF(DT$169=0,0,IFERROR(INDEX('2 Staff List'!$FV$64:$FV$114,DT$21),0))</f>
        <v>0</v>
      </c>
      <c r="DU58" s="76">
        <f>IF(DU$169=0,0,IFERROR(INDEX('2 Staff List'!$FV$64:$FV$114,DU$21),0))</f>
        <v>0</v>
      </c>
      <c r="DV58" s="76">
        <f>IF(DV$169=0,0,IFERROR(INDEX('2 Staff List'!$FV$64:$FV$114,DV$21),0))</f>
        <v>0</v>
      </c>
      <c r="DW58" s="76">
        <f>IF(DW$169=0,0,IFERROR(INDEX('2 Staff List'!$FV$64:$FV$114,DW$21),0))</f>
        <v>0</v>
      </c>
      <c r="DX58" s="76">
        <f>IF(DX$169=0,0,IFERROR(INDEX('2 Staff List'!$FV$64:$FV$114,DX$21),0))</f>
        <v>0</v>
      </c>
      <c r="DY58" s="76">
        <f>IF(DY$169=0,0,IFERROR(INDEX('2 Staff List'!$FV$64:$FV$114,DY$21),0))</f>
        <v>0</v>
      </c>
      <c r="DZ58" s="76">
        <f>IF(DZ$169=0,0,IFERROR(INDEX('2 Staff List'!$FV$64:$FV$114,DZ$21),0))</f>
        <v>0</v>
      </c>
      <c r="EA58" s="76">
        <f>IF(EA$169=0,0,IFERROR(INDEX('2 Staff List'!$FV$64:$FV$114,EA$21),0))</f>
        <v>0</v>
      </c>
      <c r="EB58" s="76">
        <f>IF(EB$169=0,0,IFERROR(INDEX('2 Staff List'!$FV$64:$FV$114,EB$21),0))</f>
        <v>0</v>
      </c>
      <c r="EC58" s="76">
        <f>IF(EC$169=0,0,IFERROR(INDEX('2 Staff List'!$FV$64:$FV$114,EC$21),0))</f>
        <v>0</v>
      </c>
      <c r="ED58" s="76">
        <f>IF(ED$169=0,0,IFERROR(INDEX('2 Staff List'!$FV$64:$FV$114,ED$21),0))</f>
        <v>0</v>
      </c>
      <c r="EE58" s="76">
        <f>IF(EE$169=0,0,IFERROR(INDEX('2 Staff List'!$FV$64:$FV$114,EE$21),0))</f>
        <v>0</v>
      </c>
      <c r="EF58" s="76">
        <f>IF(EF$169=0,0,IFERROR(INDEX('2 Staff List'!$FV$64:$FV$114,EF$21),0))</f>
        <v>0</v>
      </c>
      <c r="EG58" s="76">
        <f>IF(EG$169=0,0,IFERROR(INDEX('2 Staff List'!$FV$64:$FV$114,EG$21),0))</f>
        <v>0</v>
      </c>
      <c r="EH58" s="76">
        <f>IF(EH$169=0,0,IFERROR(INDEX('2 Staff List'!$FV$64:$FV$114,EH$21),0))</f>
        <v>0</v>
      </c>
      <c r="EI58" s="76">
        <f>IF(EI$169=0,0,IFERROR(INDEX('2 Staff List'!$FV$64:$FV$114,EI$21),0))</f>
        <v>0</v>
      </c>
      <c r="EJ58" s="76">
        <f>IF(EJ$169=0,0,IFERROR(INDEX('2 Staff List'!$FV$64:$FV$114,EJ$21),0))</f>
        <v>0</v>
      </c>
      <c r="EK58" s="76">
        <f>IF(EK$169=0,0,IFERROR(INDEX('2 Staff List'!$FV$64:$FV$114,EK$21),0))</f>
        <v>0</v>
      </c>
      <c r="EL58" s="76">
        <f>IF(EL$169=0,0,IFERROR(INDEX('2 Staff List'!$FV$64:$FV$114,EL$21),0))</f>
        <v>0</v>
      </c>
      <c r="EM58" s="76">
        <f>IF(EM$169=0,0,IFERROR(INDEX('2 Staff List'!$FV$64:$FV$114,EM$21),0))</f>
        <v>0</v>
      </c>
      <c r="EN58" s="76">
        <f>IF(EN$169=0,0,IFERROR(INDEX('2 Staff List'!$FV$64:$FV$114,EN$21),0))</f>
        <v>0</v>
      </c>
      <c r="EO58" s="76">
        <f>IF(EO$169=0,0,IFERROR(INDEX('2 Staff List'!$FV$64:$FV$114,EO$21),0))</f>
        <v>0</v>
      </c>
      <c r="EP58" s="76">
        <f>IF(EP$169=0,0,IFERROR(INDEX('2 Staff List'!$FV$64:$FV$114,EP$21),0))</f>
        <v>0</v>
      </c>
      <c r="EQ58" s="76">
        <f>IF(EQ$169=0,0,IFERROR(INDEX('2 Staff List'!$FV$64:$FV$114,EQ$21),0))</f>
        <v>0</v>
      </c>
      <c r="ER58" s="76">
        <f>IF(ER$169=0,0,IFERROR(INDEX('2 Staff List'!$FV$64:$FV$114,ER$21),0))</f>
        <v>0</v>
      </c>
      <c r="ES58" s="76">
        <f>IF(ES$169=0,0,IFERROR(INDEX('2 Staff List'!$FV$64:$FV$114,ES$21),0))</f>
        <v>0</v>
      </c>
      <c r="ET58" s="76">
        <f>IF(ET$169=0,0,IFERROR(INDEX('2 Staff List'!$FV$64:$FV$114,ET$21),0))</f>
        <v>0</v>
      </c>
      <c r="EU58" s="76">
        <f>IF(EU$169=0,0,IFERROR(INDEX('2 Staff List'!$FV$64:$FV$114,EU$21),0))</f>
        <v>0</v>
      </c>
      <c r="EV58" s="76">
        <f>IF(EV$169=0,0,IFERROR(INDEX('2 Staff List'!$FV$64:$FV$114,EV$21),0))</f>
        <v>0</v>
      </c>
      <c r="EW58" s="76">
        <f>IF(EW$169=0,0,IFERROR(INDEX('2 Staff List'!$FV$64:$FV$114,EW$21),0))</f>
        <v>0</v>
      </c>
      <c r="EX58" s="76">
        <f>IF(EX$169=0,0,IFERROR(INDEX('2 Staff List'!$FV$64:$FV$114,EX$21),0))</f>
        <v>0</v>
      </c>
      <c r="EY58" s="76">
        <f>IF(EY$169=0,0,IFERROR(INDEX('2 Staff List'!$FV$64:$FV$114,EY$21),0))</f>
        <v>0</v>
      </c>
      <c r="EZ58" s="76">
        <f>IF(EZ$169=0,0,IFERROR(INDEX('2 Staff List'!$FV$64:$FV$114,EZ$21),0))</f>
        <v>0</v>
      </c>
      <c r="FA58" s="76">
        <f>IF(FA$169=0,0,IFERROR(INDEX('2 Staff List'!$FV$64:$FV$114,FA$21),0))</f>
        <v>0</v>
      </c>
      <c r="FB58" s="76">
        <f>IF(FB$169=0,0,IFERROR(INDEX('2 Staff List'!$FV$64:$FV$114,FB$21),0))</f>
        <v>0</v>
      </c>
      <c r="FC58" s="76">
        <f>IF(FC$169=0,0,IFERROR(INDEX('2 Staff List'!$FV$64:$FV$114,FC$21),0))</f>
        <v>0</v>
      </c>
      <c r="FD58" s="76">
        <f>IF(FD$169=0,0,IFERROR(INDEX('2 Staff List'!$FV$64:$FV$114,FD$21),0))</f>
        <v>0</v>
      </c>
      <c r="FE58" s="76">
        <f>IF(FE$169=0,0,IFERROR(INDEX('2 Staff List'!$FV$64:$FV$114,FE$21),0))</f>
        <v>0</v>
      </c>
      <c r="FF58" s="76">
        <f>IF(FF$169=0,0,IFERROR(INDEX('2 Staff List'!$FV$64:$FV$114,FF$21),0))</f>
        <v>0</v>
      </c>
      <c r="FG58" s="76">
        <f>IF(FG$169=0,0,IFERROR(INDEX('2 Staff List'!$FV$64:$FV$114,FG$21),0))</f>
        <v>0</v>
      </c>
      <c r="FH58" s="922"/>
      <c r="FI58" s="305"/>
      <c r="FJ58" s="307"/>
      <c r="FK58" s="307"/>
      <c r="FL58" s="285"/>
      <c r="FM58" s="285"/>
      <c r="FN58" s="285"/>
      <c r="FO58" s="285"/>
      <c r="FP58" s="285"/>
      <c r="FQ58" s="285"/>
      <c r="FR58" s="285"/>
      <c r="FS58" s="285"/>
      <c r="FT58" s="285"/>
      <c r="FU58" s="285"/>
      <c r="FV58" s="285"/>
      <c r="FW58" s="285"/>
      <c r="FX58" s="285"/>
      <c r="FY58" s="285"/>
      <c r="FZ58" s="285"/>
      <c r="GA58" s="285"/>
      <c r="GB58" s="285"/>
      <c r="GC58" s="285"/>
      <c r="GD58" s="285"/>
      <c r="GE58" s="285"/>
      <c r="GF58" s="285"/>
      <c r="GG58" s="285"/>
      <c r="GH58" s="285"/>
      <c r="GI58" s="285"/>
      <c r="GJ58" s="285"/>
      <c r="GK58" s="285"/>
      <c r="GL58" s="285"/>
      <c r="GM58" s="285"/>
      <c r="GN58" s="285"/>
      <c r="GO58" s="285"/>
      <c r="GP58" s="285"/>
      <c r="GQ58" s="285"/>
      <c r="GR58" s="285"/>
      <c r="GS58" s="285"/>
      <c r="GT58" s="285"/>
      <c r="GU58" s="285"/>
      <c r="GV58" s="285"/>
      <c r="GW58" s="285"/>
      <c r="GX58" s="285"/>
      <c r="GY58" s="285"/>
      <c r="GZ58" s="285"/>
      <c r="HA58" s="285"/>
      <c r="HB58" s="285"/>
      <c r="HC58" s="285"/>
      <c r="HD58" s="285"/>
      <c r="HE58" s="285"/>
      <c r="HF58" s="285"/>
      <c r="HG58" s="285"/>
      <c r="HH58" s="285"/>
      <c r="HI58" s="285"/>
      <c r="HJ58" s="285"/>
      <c r="HK58" s="285"/>
      <c r="HL58" s="285"/>
      <c r="HM58" s="285"/>
      <c r="HN58" s="285"/>
      <c r="HO58" s="285"/>
      <c r="HP58" s="285"/>
      <c r="HQ58" s="285"/>
      <c r="HR58" s="285"/>
      <c r="HS58" s="285"/>
      <c r="HT58" s="285"/>
      <c r="HU58" s="285"/>
      <c r="HV58" s="285"/>
      <c r="HW58" s="285"/>
      <c r="HX58" s="285"/>
      <c r="HY58" s="285"/>
      <c r="HZ58" s="285"/>
      <c r="IA58" s="285"/>
      <c r="IB58" s="285"/>
      <c r="IC58" s="285"/>
      <c r="ID58" s="285"/>
      <c r="IE58" s="285"/>
      <c r="IF58" s="285"/>
      <c r="IG58" s="285"/>
      <c r="IH58" s="285"/>
      <c r="II58" s="285"/>
      <c r="IJ58" s="285"/>
      <c r="IK58" s="285"/>
      <c r="IL58" s="285"/>
      <c r="IM58" s="285"/>
      <c r="IN58" s="285"/>
      <c r="IO58" s="285"/>
      <c r="IP58" s="285"/>
      <c r="IQ58" s="285"/>
      <c r="IR58" s="285"/>
      <c r="IS58" s="285"/>
      <c r="IT58" s="285"/>
      <c r="IU58" s="285"/>
      <c r="IV58" s="285"/>
      <c r="IW58" s="285"/>
      <c r="IX58" s="285"/>
      <c r="IY58" s="285"/>
      <c r="IZ58" s="285"/>
      <c r="JA58" s="285"/>
      <c r="JB58" s="285"/>
      <c r="JC58" s="285"/>
      <c r="JD58" s="285"/>
      <c r="JE58" s="285"/>
      <c r="JF58" s="285"/>
      <c r="JG58" s="285"/>
      <c r="JH58" s="285"/>
      <c r="JI58" s="285"/>
      <c r="JJ58" s="285"/>
      <c r="JK58" s="285"/>
      <c r="JL58" s="285"/>
      <c r="JM58" s="285"/>
      <c r="JN58" s="285"/>
      <c r="JO58" s="285"/>
      <c r="JP58" s="285"/>
      <c r="JQ58" s="285"/>
      <c r="JR58" s="285"/>
      <c r="JS58" s="285"/>
      <c r="JT58" s="285"/>
      <c r="JU58" s="285"/>
      <c r="JV58" s="285"/>
      <c r="JW58" s="285"/>
      <c r="JX58" s="285"/>
      <c r="JY58" s="285"/>
      <c r="JZ58" s="285"/>
      <c r="KA58" s="285"/>
      <c r="KB58" s="285"/>
      <c r="KC58" s="285"/>
      <c r="KD58" s="285"/>
      <c r="KE58" s="285"/>
      <c r="KF58" s="285"/>
      <c r="KG58" s="285"/>
      <c r="KH58" s="285"/>
      <c r="KI58" s="285"/>
      <c r="KJ58" s="285"/>
      <c r="KK58" s="285"/>
      <c r="KL58" s="285"/>
      <c r="KM58" s="285"/>
      <c r="KN58" s="285"/>
      <c r="KO58" s="285"/>
      <c r="KP58" s="285"/>
      <c r="KQ58" s="285"/>
      <c r="KR58" s="285"/>
      <c r="KS58" s="285"/>
      <c r="KT58" s="285"/>
      <c r="KU58" s="285"/>
      <c r="KV58" s="285"/>
      <c r="KW58" s="285"/>
      <c r="KX58" s="285"/>
      <c r="KY58" s="285"/>
      <c r="KZ58" s="285"/>
      <c r="LA58" s="285"/>
      <c r="LB58" s="285"/>
      <c r="LC58" s="285"/>
      <c r="LD58" s="285"/>
      <c r="LE58" s="285"/>
      <c r="LF58" s="285"/>
      <c r="LG58" s="285"/>
      <c r="LH58" s="285"/>
      <c r="LI58" s="285"/>
      <c r="LJ58" s="285"/>
      <c r="LK58" s="285"/>
      <c r="LL58" s="285"/>
      <c r="LM58" s="285"/>
      <c r="LN58" s="285"/>
      <c r="LO58" s="285"/>
      <c r="LP58" s="285"/>
    </row>
    <row r="59" spans="1:328" ht="12.75" hidden="1" customHeight="1" x14ac:dyDescent="0.3">
      <c r="A59" s="285"/>
      <c r="B59" s="285"/>
      <c r="C59" s="286"/>
      <c r="D59" s="285"/>
      <c r="E59" s="285"/>
      <c r="F59" s="285"/>
      <c r="G59" s="285"/>
      <c r="H59" s="285"/>
      <c r="I59" s="285"/>
      <c r="J59" s="285"/>
      <c r="K59" s="285"/>
      <c r="L59" s="285"/>
      <c r="M59" s="287"/>
      <c r="N59" s="287"/>
      <c r="O59" s="287"/>
      <c r="P59" s="287"/>
      <c r="Q59" s="287"/>
      <c r="R59" s="287"/>
      <c r="S59" s="285"/>
      <c r="T59" s="285"/>
      <c r="U59" s="285"/>
      <c r="V59" s="285"/>
      <c r="W59" s="285"/>
      <c r="X59" s="285"/>
      <c r="Y59" s="285"/>
      <c r="Z59" s="285"/>
      <c r="AA59" s="285"/>
      <c r="AB59" s="285"/>
      <c r="AC59" s="285"/>
      <c r="AD59" s="285"/>
      <c r="AE59" s="285"/>
      <c r="AF59" s="285"/>
      <c r="AG59" s="285"/>
      <c r="AH59" s="2513"/>
      <c r="AI59" s="285"/>
      <c r="AJ59" s="285"/>
      <c r="AK59" s="285"/>
      <c r="AL59" s="285"/>
      <c r="AM59" s="285"/>
      <c r="AN59" s="285"/>
      <c r="AO59" s="285"/>
      <c r="AP59" s="285"/>
      <c r="AQ59" s="285"/>
      <c r="AR59" s="285"/>
      <c r="AS59" s="285"/>
      <c r="AT59" s="285"/>
      <c r="AU59" s="285"/>
      <c r="AV59" s="285"/>
      <c r="AW59" s="285"/>
      <c r="AX59" s="285"/>
      <c r="AY59" s="285"/>
      <c r="AZ59" s="285"/>
      <c r="BA59" s="285"/>
      <c r="BB59" s="285"/>
      <c r="BC59" s="285"/>
      <c r="BD59" s="285"/>
      <c r="BE59" s="285"/>
      <c r="BF59" s="285"/>
      <c r="BG59" s="285"/>
      <c r="BH59" s="285"/>
      <c r="BI59" s="285"/>
      <c r="BJ59" s="285"/>
      <c r="BK59" s="285"/>
      <c r="BL59" s="285"/>
      <c r="BM59" s="285"/>
      <c r="BN59" s="285"/>
      <c r="BO59" s="285"/>
      <c r="BP59" s="285"/>
      <c r="BQ59" s="285"/>
      <c r="BR59" s="285"/>
      <c r="BS59" s="285"/>
      <c r="BT59" s="285"/>
      <c r="BU59" s="285"/>
      <c r="BV59" s="285"/>
      <c r="BW59" s="285"/>
      <c r="BX59" s="285"/>
      <c r="BY59" s="285"/>
      <c r="BZ59" s="285"/>
      <c r="CA59" s="285"/>
      <c r="CB59" s="285"/>
      <c r="CC59" s="285"/>
      <c r="CD59" s="285"/>
      <c r="CE59" s="285"/>
      <c r="CF59" s="285"/>
      <c r="CG59" s="285"/>
      <c r="CH59" s="285"/>
      <c r="CI59" s="285"/>
      <c r="CJ59" s="285"/>
      <c r="CK59" s="285"/>
      <c r="CL59" s="285"/>
      <c r="CM59" s="285"/>
      <c r="CN59" s="285"/>
      <c r="CO59" s="285"/>
      <c r="CP59" s="285"/>
      <c r="CQ59" s="285"/>
      <c r="CR59" s="285"/>
      <c r="CS59" s="285"/>
      <c r="CT59" s="285"/>
      <c r="CU59" s="285"/>
      <c r="CV59" s="285"/>
      <c r="CW59" s="285"/>
      <c r="CX59" s="285"/>
      <c r="CY59" s="285"/>
      <c r="CZ59" s="285"/>
      <c r="DA59" s="285"/>
      <c r="DB59" s="285"/>
      <c r="DC59" s="285"/>
      <c r="DD59" s="285"/>
      <c r="DE59" s="285"/>
      <c r="DF59" s="285"/>
      <c r="DG59" s="309"/>
      <c r="DH59" s="442" t="s">
        <v>1582</v>
      </c>
      <c r="DI59" s="285"/>
      <c r="DJ59" s="76">
        <f>IF(DJ$169=0,0,IFERROR(INDEX('2 Staff List'!$FW$64:$FW$114,DJ$21),0))</f>
        <v>58.032992</v>
      </c>
      <c r="DK59" s="76">
        <f>IF(DK$169=0,0,IFERROR(INDEX('2 Staff List'!$FW$64:$FW$114,DK$21),0))</f>
        <v>17.269024000000002</v>
      </c>
      <c r="DL59" s="76">
        <f>IF(DL$169=0,0,IFERROR(INDEX('2 Staff List'!$FW$64:$FW$114,DL$21),0))</f>
        <v>62.678264000000006</v>
      </c>
      <c r="DM59" s="76">
        <f>IF(DM$169=0,0,IFERROR(INDEX('2 Staff List'!$FW$64:$FW$114,DM$21),0))</f>
        <v>23</v>
      </c>
      <c r="DN59" s="76">
        <f>IF(DN$169=0,0,IFERROR(INDEX('2 Staff List'!$FW$64:$FW$114,DN$21),0))</f>
        <v>30.536799999999999</v>
      </c>
      <c r="DO59" s="76">
        <f>IF(DO$169=0,0,IFERROR(INDEX('2 Staff List'!$FW$64:$FW$114,DO$21),0))</f>
        <v>52.789599999999993</v>
      </c>
      <c r="DP59" s="76">
        <f>IF(DP$169=0,0,IFERROR(INDEX('2 Staff List'!$FW$64:$FW$114,DP$21),0))</f>
        <v>37.9696</v>
      </c>
      <c r="DQ59" s="76">
        <f>IF(DQ$169=0,0,IFERROR(INDEX('2 Staff List'!$FW$64:$FW$114,DQ$21),0))</f>
        <v>28.9864</v>
      </c>
      <c r="DR59" s="76">
        <f>IF(DR$169=0,0,IFERROR(INDEX('2 Staff List'!$FW$64:$FW$114,DR$21),0))</f>
        <v>27.329599999999999</v>
      </c>
      <c r="DS59" s="76">
        <f>IF(DS$169=0,0,IFERROR(INDEX('2 Staff List'!$FW$64:$FW$114,DS$21),0))</f>
        <v>24.578400000000002</v>
      </c>
      <c r="DT59" s="76">
        <f>IF(DT$169=0,0,IFERROR(INDEX('2 Staff List'!$FW$64:$FW$114,DT$21),0))</f>
        <v>0</v>
      </c>
      <c r="DU59" s="76">
        <f>IF(DU$169=0,0,IFERROR(INDEX('2 Staff List'!$FW$64:$FW$114,DU$21),0))</f>
        <v>0</v>
      </c>
      <c r="DV59" s="76">
        <f>IF(DV$169=0,0,IFERROR(INDEX('2 Staff List'!$FW$64:$FW$114,DV$21),0))</f>
        <v>0</v>
      </c>
      <c r="DW59" s="76">
        <f>IF(DW$169=0,0,IFERROR(INDEX('2 Staff List'!$FW$64:$FW$114,DW$21),0))</f>
        <v>0</v>
      </c>
      <c r="DX59" s="76">
        <f>IF(DX$169=0,0,IFERROR(INDEX('2 Staff List'!$FW$64:$FW$114,DX$21),0))</f>
        <v>0</v>
      </c>
      <c r="DY59" s="76">
        <f>IF(DY$169=0,0,IFERROR(INDEX('2 Staff List'!$FW$64:$FW$114,DY$21),0))</f>
        <v>0</v>
      </c>
      <c r="DZ59" s="76">
        <f>IF(DZ$169=0,0,IFERROR(INDEX('2 Staff List'!$FW$64:$FW$114,DZ$21),0))</f>
        <v>0</v>
      </c>
      <c r="EA59" s="76">
        <f>IF(EA$169=0,0,IFERROR(INDEX('2 Staff List'!$FW$64:$FW$114,EA$21),0))</f>
        <v>0</v>
      </c>
      <c r="EB59" s="76">
        <f>IF(EB$169=0,0,IFERROR(INDEX('2 Staff List'!$FW$64:$FW$114,EB$21),0))</f>
        <v>0</v>
      </c>
      <c r="EC59" s="76">
        <f>IF(EC$169=0,0,IFERROR(INDEX('2 Staff List'!$FW$64:$FW$114,EC$21),0))</f>
        <v>0</v>
      </c>
      <c r="ED59" s="76">
        <f>IF(ED$169=0,0,IFERROR(INDEX('2 Staff List'!$FW$64:$FW$114,ED$21),0))</f>
        <v>0</v>
      </c>
      <c r="EE59" s="76">
        <f>IF(EE$169=0,0,IFERROR(INDEX('2 Staff List'!$FW$64:$FW$114,EE$21),0))</f>
        <v>0</v>
      </c>
      <c r="EF59" s="76">
        <f>IF(EF$169=0,0,IFERROR(INDEX('2 Staff List'!$FW$64:$FW$114,EF$21),0))</f>
        <v>0</v>
      </c>
      <c r="EG59" s="76">
        <f>IF(EG$169=0,0,IFERROR(INDEX('2 Staff List'!$FW$64:$FW$114,EG$21),0))</f>
        <v>0</v>
      </c>
      <c r="EH59" s="76">
        <f>IF(EH$169=0,0,IFERROR(INDEX('2 Staff List'!$FW$64:$FW$114,EH$21),0))</f>
        <v>0</v>
      </c>
      <c r="EI59" s="76">
        <f>IF(EI$169=0,0,IFERROR(INDEX('2 Staff List'!$FW$64:$FW$114,EI$21),0))</f>
        <v>0</v>
      </c>
      <c r="EJ59" s="76">
        <f>IF(EJ$169=0,0,IFERROR(INDEX('2 Staff List'!$FW$64:$FW$114,EJ$21),0))</f>
        <v>0</v>
      </c>
      <c r="EK59" s="76">
        <f>IF(EK$169=0,0,IFERROR(INDEX('2 Staff List'!$FW$64:$FW$114,EK$21),0))</f>
        <v>0</v>
      </c>
      <c r="EL59" s="76">
        <f>IF(EL$169=0,0,IFERROR(INDEX('2 Staff List'!$FW$64:$FW$114,EL$21),0))</f>
        <v>0</v>
      </c>
      <c r="EM59" s="76">
        <f>IF(EM$169=0,0,IFERROR(INDEX('2 Staff List'!$FW$64:$FW$114,EM$21),0))</f>
        <v>0</v>
      </c>
      <c r="EN59" s="76">
        <f>IF(EN$169=0,0,IFERROR(INDEX('2 Staff List'!$FW$64:$FW$114,EN$21),0))</f>
        <v>0</v>
      </c>
      <c r="EO59" s="76">
        <f>IF(EO$169=0,0,IFERROR(INDEX('2 Staff List'!$FW$64:$FW$114,EO$21),0))</f>
        <v>0</v>
      </c>
      <c r="EP59" s="76">
        <f>IF(EP$169=0,0,IFERROR(INDEX('2 Staff List'!$FW$64:$FW$114,EP$21),0))</f>
        <v>0</v>
      </c>
      <c r="EQ59" s="76">
        <f>IF(EQ$169=0,0,IFERROR(INDEX('2 Staff List'!$FW$64:$FW$114,EQ$21),0))</f>
        <v>0</v>
      </c>
      <c r="ER59" s="76">
        <f>IF(ER$169=0,0,IFERROR(INDEX('2 Staff List'!$FW$64:$FW$114,ER$21),0))</f>
        <v>0</v>
      </c>
      <c r="ES59" s="76">
        <f>IF(ES$169=0,0,IFERROR(INDEX('2 Staff List'!$FW$64:$FW$114,ES$21),0))</f>
        <v>0</v>
      </c>
      <c r="ET59" s="76">
        <f>IF(ET$169=0,0,IFERROR(INDEX('2 Staff List'!$FW$64:$FW$114,ET$21),0))</f>
        <v>0</v>
      </c>
      <c r="EU59" s="76">
        <f>IF(EU$169=0,0,IFERROR(INDEX('2 Staff List'!$FW$64:$FW$114,EU$21),0))</f>
        <v>0</v>
      </c>
      <c r="EV59" s="76">
        <f>IF(EV$169=0,0,IFERROR(INDEX('2 Staff List'!$FW$64:$FW$114,EV$21),0))</f>
        <v>0</v>
      </c>
      <c r="EW59" s="76">
        <f>IF(EW$169=0,0,IFERROR(INDEX('2 Staff List'!$FW$64:$FW$114,EW$21),0))</f>
        <v>0</v>
      </c>
      <c r="EX59" s="76">
        <f>IF(EX$169=0,0,IFERROR(INDEX('2 Staff List'!$FW$64:$FW$114,EX$21),0))</f>
        <v>0</v>
      </c>
      <c r="EY59" s="76">
        <f>IF(EY$169=0,0,IFERROR(INDEX('2 Staff List'!$FW$64:$FW$114,EY$21),0))</f>
        <v>0</v>
      </c>
      <c r="EZ59" s="76">
        <f>IF(EZ$169=0,0,IFERROR(INDEX('2 Staff List'!$FW$64:$FW$114,EZ$21),0))</f>
        <v>0</v>
      </c>
      <c r="FA59" s="76">
        <f>IF(FA$169=0,0,IFERROR(INDEX('2 Staff List'!$FW$64:$FW$114,FA$21),0))</f>
        <v>0</v>
      </c>
      <c r="FB59" s="76">
        <f>IF(FB$169=0,0,IFERROR(INDEX('2 Staff List'!$FW$64:$FW$114,FB$21),0))</f>
        <v>0</v>
      </c>
      <c r="FC59" s="76">
        <f>IF(FC$169=0,0,IFERROR(INDEX('2 Staff List'!$FW$64:$FW$114,FC$21),0))</f>
        <v>0</v>
      </c>
      <c r="FD59" s="76">
        <f>IF(FD$169=0,0,IFERROR(INDEX('2 Staff List'!$FW$64:$FW$114,FD$21),0))</f>
        <v>0</v>
      </c>
      <c r="FE59" s="76">
        <f>IF(FE$169=0,0,IFERROR(INDEX('2 Staff List'!$FW$64:$FW$114,FE$21),0))</f>
        <v>0</v>
      </c>
      <c r="FF59" s="76">
        <f>IF(FF$169=0,0,IFERROR(INDEX('2 Staff List'!$FW$64:$FW$114,FF$21),0))</f>
        <v>0</v>
      </c>
      <c r="FG59" s="76">
        <f>IF(FG$169=0,0,IFERROR(INDEX('2 Staff List'!$FW$64:$FW$114,FG$21),0))</f>
        <v>0</v>
      </c>
      <c r="FH59" s="922"/>
      <c r="FI59" s="305"/>
      <c r="FJ59" s="307"/>
      <c r="FK59" s="307"/>
      <c r="FL59" s="285"/>
      <c r="FM59" s="285"/>
      <c r="FN59" s="285"/>
      <c r="FO59" s="285"/>
      <c r="FP59" s="285"/>
      <c r="FQ59" s="285"/>
      <c r="FR59" s="285"/>
      <c r="FS59" s="285"/>
      <c r="FT59" s="285"/>
      <c r="FU59" s="285"/>
      <c r="FV59" s="285"/>
      <c r="FW59" s="285"/>
      <c r="FX59" s="285"/>
      <c r="FY59" s="285"/>
      <c r="FZ59" s="285"/>
      <c r="GA59" s="285"/>
      <c r="GB59" s="285"/>
      <c r="GC59" s="285"/>
      <c r="GD59" s="285"/>
      <c r="GE59" s="285"/>
      <c r="GF59" s="285"/>
      <c r="GG59" s="285"/>
      <c r="GH59" s="285"/>
      <c r="GI59" s="285"/>
      <c r="GJ59" s="285"/>
      <c r="GK59" s="285"/>
      <c r="GL59" s="285"/>
      <c r="GM59" s="285"/>
      <c r="GN59" s="285"/>
      <c r="GO59" s="285"/>
      <c r="GP59" s="285"/>
      <c r="GQ59" s="285"/>
      <c r="GR59" s="285"/>
      <c r="GS59" s="285"/>
      <c r="GT59" s="285"/>
      <c r="GU59" s="285"/>
      <c r="GV59" s="285"/>
      <c r="GW59" s="285"/>
      <c r="GX59" s="285"/>
      <c r="GY59" s="285"/>
      <c r="GZ59" s="285"/>
      <c r="HA59" s="285"/>
      <c r="HB59" s="285"/>
      <c r="HC59" s="285"/>
      <c r="HD59" s="285"/>
      <c r="HE59" s="285"/>
      <c r="HF59" s="285"/>
      <c r="HG59" s="285"/>
      <c r="HH59" s="285"/>
      <c r="HI59" s="285"/>
      <c r="HJ59" s="285"/>
      <c r="HK59" s="285"/>
      <c r="HL59" s="285"/>
      <c r="HM59" s="285"/>
      <c r="HN59" s="285"/>
      <c r="HO59" s="285"/>
      <c r="HP59" s="285"/>
      <c r="HQ59" s="285"/>
      <c r="HR59" s="285"/>
      <c r="HS59" s="285"/>
      <c r="HT59" s="285"/>
      <c r="HU59" s="285"/>
      <c r="HV59" s="285"/>
      <c r="HW59" s="285"/>
      <c r="HX59" s="285"/>
      <c r="HY59" s="285"/>
      <c r="HZ59" s="285"/>
      <c r="IA59" s="285"/>
      <c r="IB59" s="285"/>
      <c r="IC59" s="285"/>
      <c r="ID59" s="285"/>
      <c r="IE59" s="285"/>
      <c r="IF59" s="285"/>
      <c r="IG59" s="285"/>
      <c r="IH59" s="285"/>
      <c r="II59" s="285"/>
      <c r="IJ59" s="285"/>
      <c r="IK59" s="285"/>
      <c r="IL59" s="285"/>
      <c r="IM59" s="285"/>
      <c r="IN59" s="285"/>
      <c r="IO59" s="285"/>
      <c r="IP59" s="285"/>
      <c r="IQ59" s="285"/>
      <c r="IR59" s="285"/>
      <c r="IS59" s="285"/>
      <c r="IT59" s="285"/>
      <c r="IU59" s="285"/>
      <c r="IV59" s="285"/>
      <c r="IW59" s="285"/>
      <c r="IX59" s="285"/>
      <c r="IY59" s="285"/>
      <c r="IZ59" s="285"/>
      <c r="JA59" s="285"/>
      <c r="JB59" s="285"/>
      <c r="JC59" s="285"/>
      <c r="JD59" s="285"/>
      <c r="JE59" s="285"/>
      <c r="JF59" s="285"/>
      <c r="JG59" s="285"/>
      <c r="JH59" s="285"/>
      <c r="JI59" s="285"/>
      <c r="JJ59" s="285"/>
      <c r="JK59" s="285"/>
      <c r="JL59" s="285"/>
      <c r="JM59" s="285"/>
      <c r="JN59" s="285"/>
      <c r="JO59" s="285"/>
      <c r="JP59" s="285"/>
      <c r="JQ59" s="285"/>
      <c r="JR59" s="285"/>
      <c r="JS59" s="285"/>
      <c r="JT59" s="285"/>
      <c r="JU59" s="285"/>
      <c r="JV59" s="285"/>
      <c r="JW59" s="285"/>
      <c r="JX59" s="285"/>
      <c r="JY59" s="285"/>
      <c r="JZ59" s="285"/>
      <c r="KA59" s="285"/>
      <c r="KB59" s="285"/>
      <c r="KC59" s="285"/>
      <c r="KD59" s="285"/>
      <c r="KE59" s="285"/>
      <c r="KF59" s="285"/>
      <c r="KG59" s="285"/>
      <c r="KH59" s="285"/>
      <c r="KI59" s="285"/>
      <c r="KJ59" s="285"/>
      <c r="KK59" s="285"/>
      <c r="KL59" s="285"/>
      <c r="KM59" s="285"/>
      <c r="KN59" s="285"/>
      <c r="KO59" s="285"/>
      <c r="KP59" s="285"/>
      <c r="KQ59" s="285"/>
      <c r="KR59" s="285"/>
      <c r="KS59" s="285"/>
      <c r="KT59" s="285"/>
      <c r="KU59" s="285"/>
      <c r="KV59" s="285"/>
      <c r="KW59" s="285"/>
      <c r="KX59" s="285"/>
      <c r="KY59" s="285"/>
      <c r="KZ59" s="285"/>
      <c r="LA59" s="285"/>
      <c r="LB59" s="285"/>
      <c r="LC59" s="285"/>
      <c r="LD59" s="285"/>
      <c r="LE59" s="285"/>
      <c r="LF59" s="285"/>
      <c r="LG59" s="285"/>
      <c r="LH59" s="285"/>
      <c r="LI59" s="285"/>
      <c r="LJ59" s="285"/>
      <c r="LK59" s="285"/>
      <c r="LL59" s="285"/>
      <c r="LM59" s="285"/>
      <c r="LN59" s="285"/>
      <c r="LO59" s="285"/>
      <c r="LP59" s="285"/>
    </row>
    <row r="60" spans="1:328" ht="12.75" hidden="1" customHeight="1" x14ac:dyDescent="0.3">
      <c r="A60" s="285"/>
      <c r="B60" s="285"/>
      <c r="C60" s="286"/>
      <c r="D60" s="285"/>
      <c r="E60" s="285"/>
      <c r="F60" s="285"/>
      <c r="G60" s="285"/>
      <c r="H60" s="285"/>
      <c r="I60" s="285"/>
      <c r="J60" s="285"/>
      <c r="K60" s="285"/>
      <c r="L60" s="285"/>
      <c r="M60" s="287"/>
      <c r="N60" s="287"/>
      <c r="O60" s="287"/>
      <c r="P60" s="287"/>
      <c r="Q60" s="287"/>
      <c r="R60" s="287"/>
      <c r="S60" s="285"/>
      <c r="T60" s="285"/>
      <c r="U60" s="285"/>
      <c r="V60" s="285"/>
      <c r="W60" s="285"/>
      <c r="X60" s="285"/>
      <c r="Y60" s="285"/>
      <c r="Z60" s="285"/>
      <c r="AA60" s="285"/>
      <c r="AB60" s="285"/>
      <c r="AC60" s="285"/>
      <c r="AD60" s="285"/>
      <c r="AE60" s="285"/>
      <c r="AF60" s="285"/>
      <c r="AG60" s="285"/>
      <c r="AH60" s="2513"/>
      <c r="AI60" s="285"/>
      <c r="AJ60" s="285"/>
      <c r="AK60" s="285"/>
      <c r="AL60" s="285"/>
      <c r="AM60" s="285"/>
      <c r="AN60" s="285"/>
      <c r="AO60" s="285"/>
      <c r="AP60" s="285"/>
      <c r="AQ60" s="285"/>
      <c r="AR60" s="285"/>
      <c r="AS60" s="285"/>
      <c r="AT60" s="285"/>
      <c r="AU60" s="285"/>
      <c r="AV60" s="285"/>
      <c r="AW60" s="285"/>
      <c r="AX60" s="285"/>
      <c r="AY60" s="285"/>
      <c r="AZ60" s="285"/>
      <c r="BA60" s="285"/>
      <c r="BB60" s="285"/>
      <c r="BC60" s="285"/>
      <c r="BD60" s="285"/>
      <c r="BE60" s="285"/>
      <c r="BF60" s="285"/>
      <c r="BG60" s="285"/>
      <c r="BH60" s="285"/>
      <c r="BI60" s="285"/>
      <c r="BJ60" s="285"/>
      <c r="BK60" s="285"/>
      <c r="BL60" s="285"/>
      <c r="BM60" s="285"/>
      <c r="BN60" s="285"/>
      <c r="BO60" s="285"/>
      <c r="BP60" s="285"/>
      <c r="BQ60" s="285"/>
      <c r="BR60" s="285"/>
      <c r="BS60" s="285"/>
      <c r="BT60" s="285"/>
      <c r="BU60" s="285"/>
      <c r="BV60" s="285"/>
      <c r="BW60" s="285"/>
      <c r="BX60" s="285"/>
      <c r="BY60" s="285"/>
      <c r="BZ60" s="285"/>
      <c r="CA60" s="285"/>
      <c r="CB60" s="285"/>
      <c r="CC60" s="285"/>
      <c r="CD60" s="285"/>
      <c r="CE60" s="285"/>
      <c r="CF60" s="285"/>
      <c r="CG60" s="285"/>
      <c r="CH60" s="285"/>
      <c r="CI60" s="285"/>
      <c r="CJ60" s="285"/>
      <c r="CK60" s="285"/>
      <c r="CL60" s="285"/>
      <c r="CM60" s="285"/>
      <c r="CN60" s="285"/>
      <c r="CO60" s="285"/>
      <c r="CP60" s="285"/>
      <c r="CQ60" s="285"/>
      <c r="CR60" s="285"/>
      <c r="CS60" s="285"/>
      <c r="CT60" s="285"/>
      <c r="CU60" s="285"/>
      <c r="CV60" s="285"/>
      <c r="CW60" s="285"/>
      <c r="CX60" s="285"/>
      <c r="CY60" s="285"/>
      <c r="CZ60" s="285"/>
      <c r="DA60" s="285"/>
      <c r="DB60" s="285"/>
      <c r="DC60" s="285"/>
      <c r="DD60" s="285"/>
      <c r="DE60" s="285"/>
      <c r="DF60" s="285"/>
      <c r="DG60" s="309"/>
      <c r="DH60" s="442" t="s">
        <v>1583</v>
      </c>
      <c r="DI60" s="285"/>
      <c r="DJ60" s="76">
        <f>IF(DJ$169=0,0,IFERROR(INDEX('2 Staff List'!$FX$64:$FX$114,DJ$21),0))</f>
        <v>58.032992</v>
      </c>
      <c r="DK60" s="76">
        <f>IF(DK$169=0,0,IFERROR(INDEX('2 Staff List'!$FX$64:$FX$114,DK$21),0))</f>
        <v>17.269024000000002</v>
      </c>
      <c r="DL60" s="76">
        <f>IF(DL$169=0,0,IFERROR(INDEX('2 Staff List'!$FX$64:$FX$114,DL$21),0))</f>
        <v>62.678264000000006</v>
      </c>
      <c r="DM60" s="76">
        <f>IF(DM$169=0,0,IFERROR(INDEX('2 Staff List'!$FX$64:$FX$114,DM$21),0))</f>
        <v>23</v>
      </c>
      <c r="DN60" s="76">
        <f>IF(DN$169=0,0,IFERROR(INDEX('2 Staff List'!$FX$64:$FX$114,DN$21),0))</f>
        <v>30.536799999999999</v>
      </c>
      <c r="DO60" s="76">
        <f>IF(DO$169=0,0,IFERROR(INDEX('2 Staff List'!$FX$64:$FX$114,DO$21),0))</f>
        <v>52.789599999999993</v>
      </c>
      <c r="DP60" s="76">
        <f>IF(DP$169=0,0,IFERROR(INDEX('2 Staff List'!$FX$64:$FX$114,DP$21),0))</f>
        <v>37.9696</v>
      </c>
      <c r="DQ60" s="76">
        <f>IF(DQ$169=0,0,IFERROR(INDEX('2 Staff List'!$FX$64:$FX$114,DQ$21),0))</f>
        <v>28.9864</v>
      </c>
      <c r="DR60" s="76">
        <f>IF(DR$169=0,0,IFERROR(INDEX('2 Staff List'!$FX$64:$FX$114,DR$21),0))</f>
        <v>27.329599999999999</v>
      </c>
      <c r="DS60" s="76">
        <f>IF(DS$169=0,0,IFERROR(INDEX('2 Staff List'!$FX$64:$FX$114,DS$21),0))</f>
        <v>24.578400000000002</v>
      </c>
      <c r="DT60" s="76">
        <f>IF(DT$169=0,0,IFERROR(INDEX('2 Staff List'!$FX$64:$FX$114,DT$21),0))</f>
        <v>0</v>
      </c>
      <c r="DU60" s="76">
        <f>IF(DU$169=0,0,IFERROR(INDEX('2 Staff List'!$FX$64:$FX$114,DU$21),0))</f>
        <v>0</v>
      </c>
      <c r="DV60" s="76">
        <f>IF(DV$169=0,0,IFERROR(INDEX('2 Staff List'!$FX$64:$FX$114,DV$21),0))</f>
        <v>0</v>
      </c>
      <c r="DW60" s="76">
        <f>IF(DW$169=0,0,IFERROR(INDEX('2 Staff List'!$FX$64:$FX$114,DW$21),0))</f>
        <v>0</v>
      </c>
      <c r="DX60" s="76">
        <f>IF(DX$169=0,0,IFERROR(INDEX('2 Staff List'!$FX$64:$FX$114,DX$21),0))</f>
        <v>0</v>
      </c>
      <c r="DY60" s="76">
        <f>IF(DY$169=0,0,IFERROR(INDEX('2 Staff List'!$FX$64:$FX$114,DY$21),0))</f>
        <v>0</v>
      </c>
      <c r="DZ60" s="76">
        <f>IF(DZ$169=0,0,IFERROR(INDEX('2 Staff List'!$FX$64:$FX$114,DZ$21),0))</f>
        <v>0</v>
      </c>
      <c r="EA60" s="76">
        <f>IF(EA$169=0,0,IFERROR(INDEX('2 Staff List'!$FX$64:$FX$114,EA$21),0))</f>
        <v>0</v>
      </c>
      <c r="EB60" s="76">
        <f>IF(EB$169=0,0,IFERROR(INDEX('2 Staff List'!$FX$64:$FX$114,EB$21),0))</f>
        <v>0</v>
      </c>
      <c r="EC60" s="76">
        <f>IF(EC$169=0,0,IFERROR(INDEX('2 Staff List'!$FX$64:$FX$114,EC$21),0))</f>
        <v>0</v>
      </c>
      <c r="ED60" s="76">
        <f>IF(ED$169=0,0,IFERROR(INDEX('2 Staff List'!$FX$64:$FX$114,ED$21),0))</f>
        <v>0</v>
      </c>
      <c r="EE60" s="76">
        <f>IF(EE$169=0,0,IFERROR(INDEX('2 Staff List'!$FX$64:$FX$114,EE$21),0))</f>
        <v>0</v>
      </c>
      <c r="EF60" s="76">
        <f>IF(EF$169=0,0,IFERROR(INDEX('2 Staff List'!$FX$64:$FX$114,EF$21),0))</f>
        <v>0</v>
      </c>
      <c r="EG60" s="76">
        <f>IF(EG$169=0,0,IFERROR(INDEX('2 Staff List'!$FX$64:$FX$114,EG$21),0))</f>
        <v>0</v>
      </c>
      <c r="EH60" s="76">
        <f>IF(EH$169=0,0,IFERROR(INDEX('2 Staff List'!$FX$64:$FX$114,EH$21),0))</f>
        <v>0</v>
      </c>
      <c r="EI60" s="76">
        <f>IF(EI$169=0,0,IFERROR(INDEX('2 Staff List'!$FX$64:$FX$114,EI$21),0))</f>
        <v>0</v>
      </c>
      <c r="EJ60" s="76">
        <f>IF(EJ$169=0,0,IFERROR(INDEX('2 Staff List'!$FX$64:$FX$114,EJ$21),0))</f>
        <v>0</v>
      </c>
      <c r="EK60" s="76">
        <f>IF(EK$169=0,0,IFERROR(INDEX('2 Staff List'!$FX$64:$FX$114,EK$21),0))</f>
        <v>0</v>
      </c>
      <c r="EL60" s="76">
        <f>IF(EL$169=0,0,IFERROR(INDEX('2 Staff List'!$FX$64:$FX$114,EL$21),0))</f>
        <v>0</v>
      </c>
      <c r="EM60" s="76">
        <f>IF(EM$169=0,0,IFERROR(INDEX('2 Staff List'!$FX$64:$FX$114,EM$21),0))</f>
        <v>0</v>
      </c>
      <c r="EN60" s="76">
        <f>IF(EN$169=0,0,IFERROR(INDEX('2 Staff List'!$FX$64:$FX$114,EN$21),0))</f>
        <v>0</v>
      </c>
      <c r="EO60" s="76">
        <f>IF(EO$169=0,0,IFERROR(INDEX('2 Staff List'!$FX$64:$FX$114,EO$21),0))</f>
        <v>0</v>
      </c>
      <c r="EP60" s="76">
        <f>IF(EP$169=0,0,IFERROR(INDEX('2 Staff List'!$FX$64:$FX$114,EP$21),0))</f>
        <v>0</v>
      </c>
      <c r="EQ60" s="76">
        <f>IF(EQ$169=0,0,IFERROR(INDEX('2 Staff List'!$FX$64:$FX$114,EQ$21),0))</f>
        <v>0</v>
      </c>
      <c r="ER60" s="76">
        <f>IF(ER$169=0,0,IFERROR(INDEX('2 Staff List'!$FX$64:$FX$114,ER$21),0))</f>
        <v>0</v>
      </c>
      <c r="ES60" s="76">
        <f>IF(ES$169=0,0,IFERROR(INDEX('2 Staff List'!$FX$64:$FX$114,ES$21),0))</f>
        <v>0</v>
      </c>
      <c r="ET60" s="76">
        <f>IF(ET$169=0,0,IFERROR(INDEX('2 Staff List'!$FX$64:$FX$114,ET$21),0))</f>
        <v>0</v>
      </c>
      <c r="EU60" s="76">
        <f>IF(EU$169=0,0,IFERROR(INDEX('2 Staff List'!$FX$64:$FX$114,EU$21),0))</f>
        <v>0</v>
      </c>
      <c r="EV60" s="76">
        <f>IF(EV$169=0,0,IFERROR(INDEX('2 Staff List'!$FX$64:$FX$114,EV$21),0))</f>
        <v>0</v>
      </c>
      <c r="EW60" s="76">
        <f>IF(EW$169=0,0,IFERROR(INDEX('2 Staff List'!$FX$64:$FX$114,EW$21),0))</f>
        <v>0</v>
      </c>
      <c r="EX60" s="76">
        <f>IF(EX$169=0,0,IFERROR(INDEX('2 Staff List'!$FX$64:$FX$114,EX$21),0))</f>
        <v>0</v>
      </c>
      <c r="EY60" s="76">
        <f>IF(EY$169=0,0,IFERROR(INDEX('2 Staff List'!$FX$64:$FX$114,EY$21),0))</f>
        <v>0</v>
      </c>
      <c r="EZ60" s="76">
        <f>IF(EZ$169=0,0,IFERROR(INDEX('2 Staff List'!$FX$64:$FX$114,EZ$21),0))</f>
        <v>0</v>
      </c>
      <c r="FA60" s="76">
        <f>IF(FA$169=0,0,IFERROR(INDEX('2 Staff List'!$FX$64:$FX$114,FA$21),0))</f>
        <v>0</v>
      </c>
      <c r="FB60" s="76">
        <f>IF(FB$169=0,0,IFERROR(INDEX('2 Staff List'!$FX$64:$FX$114,FB$21),0))</f>
        <v>0</v>
      </c>
      <c r="FC60" s="76">
        <f>IF(FC$169=0,0,IFERROR(INDEX('2 Staff List'!$FX$64:$FX$114,FC$21),0))</f>
        <v>0</v>
      </c>
      <c r="FD60" s="76">
        <f>IF(FD$169=0,0,IFERROR(INDEX('2 Staff List'!$FX$64:$FX$114,FD$21),0))</f>
        <v>0</v>
      </c>
      <c r="FE60" s="76">
        <f>IF(FE$169=0,0,IFERROR(INDEX('2 Staff List'!$FX$64:$FX$114,FE$21),0))</f>
        <v>0</v>
      </c>
      <c r="FF60" s="76">
        <f>IF(FF$169=0,0,IFERROR(INDEX('2 Staff List'!$FX$64:$FX$114,FF$21),0))</f>
        <v>0</v>
      </c>
      <c r="FG60" s="76">
        <f>IF(FG$169=0,0,IFERROR(INDEX('2 Staff List'!$FX$64:$FX$114,FG$21),0))</f>
        <v>0</v>
      </c>
      <c r="FH60" s="922"/>
      <c r="FI60" s="305"/>
      <c r="FJ60" s="307"/>
      <c r="FK60" s="307"/>
      <c r="FL60" s="285"/>
      <c r="FM60" s="285"/>
      <c r="FN60" s="285"/>
      <c r="FO60" s="285"/>
      <c r="FP60" s="285"/>
      <c r="FQ60" s="285"/>
      <c r="FR60" s="285"/>
      <c r="FS60" s="285"/>
      <c r="FT60" s="285"/>
      <c r="FU60" s="285"/>
      <c r="FV60" s="285"/>
      <c r="FW60" s="285"/>
      <c r="FX60" s="285"/>
      <c r="FY60" s="285"/>
      <c r="FZ60" s="285"/>
      <c r="GA60" s="285"/>
      <c r="GB60" s="285"/>
      <c r="GC60" s="285"/>
      <c r="GD60" s="285"/>
      <c r="GE60" s="285"/>
      <c r="GF60" s="285"/>
      <c r="GG60" s="285"/>
      <c r="GH60" s="285"/>
      <c r="GI60" s="285"/>
      <c r="GJ60" s="285"/>
      <c r="GK60" s="285"/>
      <c r="GL60" s="285"/>
      <c r="GM60" s="285"/>
      <c r="GN60" s="285"/>
      <c r="GO60" s="285"/>
      <c r="GP60" s="285"/>
      <c r="GQ60" s="285"/>
      <c r="GR60" s="285"/>
      <c r="GS60" s="285"/>
      <c r="GT60" s="285"/>
      <c r="GU60" s="285"/>
      <c r="GV60" s="285"/>
      <c r="GW60" s="285"/>
      <c r="GX60" s="285"/>
      <c r="GY60" s="285"/>
      <c r="GZ60" s="285"/>
      <c r="HA60" s="285"/>
      <c r="HB60" s="285"/>
      <c r="HC60" s="285"/>
      <c r="HD60" s="285"/>
      <c r="HE60" s="285"/>
      <c r="HF60" s="285"/>
      <c r="HG60" s="285"/>
      <c r="HH60" s="285"/>
      <c r="HI60" s="285"/>
      <c r="HJ60" s="285"/>
      <c r="HK60" s="285"/>
      <c r="HL60" s="285"/>
      <c r="HM60" s="285"/>
      <c r="HN60" s="285"/>
      <c r="HO60" s="285"/>
      <c r="HP60" s="285"/>
      <c r="HQ60" s="285"/>
      <c r="HR60" s="285"/>
      <c r="HS60" s="285"/>
      <c r="HT60" s="285"/>
      <c r="HU60" s="285"/>
      <c r="HV60" s="285"/>
      <c r="HW60" s="285"/>
      <c r="HX60" s="285"/>
      <c r="HY60" s="285"/>
      <c r="HZ60" s="285"/>
      <c r="IA60" s="285"/>
      <c r="IB60" s="285"/>
      <c r="IC60" s="285"/>
      <c r="ID60" s="285"/>
      <c r="IE60" s="285"/>
      <c r="IF60" s="285"/>
      <c r="IG60" s="285"/>
      <c r="IH60" s="285"/>
      <c r="II60" s="285"/>
      <c r="IJ60" s="285"/>
      <c r="IK60" s="285"/>
      <c r="IL60" s="285"/>
      <c r="IM60" s="285"/>
      <c r="IN60" s="285"/>
      <c r="IO60" s="285"/>
      <c r="IP60" s="285"/>
      <c r="IQ60" s="285"/>
      <c r="IR60" s="285"/>
      <c r="IS60" s="285"/>
      <c r="IT60" s="285"/>
      <c r="IU60" s="285"/>
      <c r="IV60" s="285"/>
      <c r="IW60" s="285"/>
      <c r="IX60" s="285"/>
      <c r="IY60" s="285"/>
      <c r="IZ60" s="285"/>
      <c r="JA60" s="285"/>
      <c r="JB60" s="285"/>
      <c r="JC60" s="285"/>
      <c r="JD60" s="285"/>
      <c r="JE60" s="285"/>
      <c r="JF60" s="285"/>
      <c r="JG60" s="285"/>
      <c r="JH60" s="285"/>
      <c r="JI60" s="285"/>
      <c r="JJ60" s="285"/>
      <c r="JK60" s="285"/>
      <c r="JL60" s="285"/>
      <c r="JM60" s="285"/>
      <c r="JN60" s="285"/>
      <c r="JO60" s="285"/>
      <c r="JP60" s="285"/>
      <c r="JQ60" s="285"/>
      <c r="JR60" s="285"/>
      <c r="JS60" s="285"/>
      <c r="JT60" s="285"/>
      <c r="JU60" s="285"/>
      <c r="JV60" s="285"/>
      <c r="JW60" s="285"/>
      <c r="JX60" s="285"/>
      <c r="JY60" s="285"/>
      <c r="JZ60" s="285"/>
      <c r="KA60" s="285"/>
      <c r="KB60" s="285"/>
      <c r="KC60" s="285"/>
      <c r="KD60" s="285"/>
      <c r="KE60" s="285"/>
      <c r="KF60" s="285"/>
      <c r="KG60" s="285"/>
      <c r="KH60" s="285"/>
      <c r="KI60" s="285"/>
      <c r="KJ60" s="285"/>
      <c r="KK60" s="285"/>
      <c r="KL60" s="285"/>
      <c r="KM60" s="285"/>
      <c r="KN60" s="285"/>
      <c r="KO60" s="285"/>
      <c r="KP60" s="285"/>
      <c r="KQ60" s="285"/>
      <c r="KR60" s="285"/>
      <c r="KS60" s="285"/>
      <c r="KT60" s="285"/>
      <c r="KU60" s="285"/>
      <c r="KV60" s="285"/>
      <c r="KW60" s="285"/>
      <c r="KX60" s="285"/>
      <c r="KY60" s="285"/>
      <c r="KZ60" s="285"/>
      <c r="LA60" s="285"/>
      <c r="LB60" s="285"/>
      <c r="LC60" s="285"/>
      <c r="LD60" s="285"/>
      <c r="LE60" s="285"/>
      <c r="LF60" s="285"/>
      <c r="LG60" s="285"/>
      <c r="LH60" s="285"/>
      <c r="LI60" s="285"/>
      <c r="LJ60" s="285"/>
      <c r="LK60" s="285"/>
      <c r="LL60" s="285"/>
      <c r="LM60" s="285"/>
      <c r="LN60" s="285"/>
      <c r="LO60" s="285"/>
      <c r="LP60" s="285"/>
    </row>
    <row r="61" spans="1:328" ht="12.75" hidden="1" customHeight="1" x14ac:dyDescent="0.3">
      <c r="A61" s="285"/>
      <c r="B61" s="285"/>
      <c r="C61" s="286"/>
      <c r="D61" s="285"/>
      <c r="E61" s="285"/>
      <c r="F61" s="285"/>
      <c r="G61" s="285"/>
      <c r="H61" s="285"/>
      <c r="I61" s="285"/>
      <c r="J61" s="285"/>
      <c r="K61" s="285"/>
      <c r="L61" s="285"/>
      <c r="M61" s="287"/>
      <c r="N61" s="287"/>
      <c r="O61" s="287"/>
      <c r="P61" s="287"/>
      <c r="Q61" s="287"/>
      <c r="R61" s="287"/>
      <c r="S61" s="285"/>
      <c r="T61" s="285"/>
      <c r="U61" s="285"/>
      <c r="V61" s="285"/>
      <c r="W61" s="285"/>
      <c r="X61" s="285"/>
      <c r="Y61" s="285"/>
      <c r="Z61" s="285"/>
      <c r="AA61" s="285"/>
      <c r="AB61" s="285"/>
      <c r="AC61" s="285"/>
      <c r="AD61" s="285"/>
      <c r="AE61" s="285"/>
      <c r="AF61" s="285"/>
      <c r="AG61" s="285"/>
      <c r="AH61" s="2513"/>
      <c r="AI61" s="285"/>
      <c r="AJ61" s="285"/>
      <c r="AK61" s="285"/>
      <c r="AL61" s="285"/>
      <c r="AM61" s="285"/>
      <c r="AN61" s="285"/>
      <c r="AO61" s="285"/>
      <c r="AP61" s="285"/>
      <c r="AQ61" s="285"/>
      <c r="AR61" s="285"/>
      <c r="AS61" s="285"/>
      <c r="AT61" s="285"/>
      <c r="AU61" s="285"/>
      <c r="AV61" s="285"/>
      <c r="AW61" s="285"/>
      <c r="AX61" s="285"/>
      <c r="AY61" s="285"/>
      <c r="AZ61" s="285"/>
      <c r="BA61" s="285"/>
      <c r="BB61" s="285"/>
      <c r="BC61" s="285"/>
      <c r="BD61" s="285"/>
      <c r="BE61" s="285"/>
      <c r="BF61" s="285"/>
      <c r="BG61" s="285"/>
      <c r="BH61" s="285"/>
      <c r="BI61" s="285"/>
      <c r="BJ61" s="285"/>
      <c r="BK61" s="285"/>
      <c r="BL61" s="285"/>
      <c r="BM61" s="285"/>
      <c r="BN61" s="285"/>
      <c r="BO61" s="285"/>
      <c r="BP61" s="285"/>
      <c r="BQ61" s="285"/>
      <c r="BR61" s="285"/>
      <c r="BS61" s="285"/>
      <c r="BT61" s="285"/>
      <c r="BU61" s="285"/>
      <c r="BV61" s="285"/>
      <c r="BW61" s="285"/>
      <c r="BX61" s="285"/>
      <c r="BY61" s="285"/>
      <c r="BZ61" s="285"/>
      <c r="CA61" s="285"/>
      <c r="CB61" s="285"/>
      <c r="CC61" s="285"/>
      <c r="CD61" s="285"/>
      <c r="CE61" s="285"/>
      <c r="CF61" s="285"/>
      <c r="CG61" s="285"/>
      <c r="CH61" s="285"/>
      <c r="CI61" s="285"/>
      <c r="CJ61" s="285"/>
      <c r="CK61" s="285"/>
      <c r="CL61" s="285"/>
      <c r="CM61" s="285"/>
      <c r="CN61" s="285"/>
      <c r="CO61" s="285"/>
      <c r="CP61" s="285"/>
      <c r="CQ61" s="285"/>
      <c r="CR61" s="285"/>
      <c r="CS61" s="285"/>
      <c r="CT61" s="285"/>
      <c r="CU61" s="285"/>
      <c r="CV61" s="285"/>
      <c r="CW61" s="285"/>
      <c r="CX61" s="285"/>
      <c r="CY61" s="285"/>
      <c r="CZ61" s="285"/>
      <c r="DA61" s="285"/>
      <c r="DB61" s="285"/>
      <c r="DC61" s="285"/>
      <c r="DD61" s="285"/>
      <c r="DE61" s="285"/>
      <c r="DF61" s="285"/>
      <c r="DG61" s="309"/>
      <c r="DH61" s="442" t="s">
        <v>1584</v>
      </c>
      <c r="DI61" s="285"/>
      <c r="DJ61" s="76">
        <f>IF(DJ$169=0,0,IFERROR(INDEX('2 Staff List'!$FY$64:$FY$114,DJ$21),0))</f>
        <v>58.032992</v>
      </c>
      <c r="DK61" s="76">
        <f>IF(DK$169=0,0,IFERROR(INDEX('2 Staff List'!$FY$64:$FY$114,DK$21),0))</f>
        <v>17.269024000000002</v>
      </c>
      <c r="DL61" s="76">
        <f>IF(DL$169=0,0,IFERROR(INDEX('2 Staff List'!$FY$64:$FY$114,DL$21),0))</f>
        <v>62.678264000000006</v>
      </c>
      <c r="DM61" s="76">
        <f>IF(DM$169=0,0,IFERROR(INDEX('2 Staff List'!$FY$64:$FY$114,DM$21),0))</f>
        <v>23</v>
      </c>
      <c r="DN61" s="76">
        <f>IF(DN$169=0,0,IFERROR(INDEX('2 Staff List'!$FY$64:$FY$114,DN$21),0))</f>
        <v>30.536799999999999</v>
      </c>
      <c r="DO61" s="76">
        <f>IF(DO$169=0,0,IFERROR(INDEX('2 Staff List'!$FY$64:$FY$114,DO$21),0))</f>
        <v>52.789599999999993</v>
      </c>
      <c r="DP61" s="76">
        <f>IF(DP$169=0,0,IFERROR(INDEX('2 Staff List'!$FY$64:$FY$114,DP$21),0))</f>
        <v>37.9696</v>
      </c>
      <c r="DQ61" s="76">
        <f>IF(DQ$169=0,0,IFERROR(INDEX('2 Staff List'!$FY$64:$FY$114,DQ$21),0))</f>
        <v>28.9864</v>
      </c>
      <c r="DR61" s="76">
        <f>IF(DR$169=0,0,IFERROR(INDEX('2 Staff List'!$FY$64:$FY$114,DR$21),0))</f>
        <v>27.329599999999999</v>
      </c>
      <c r="DS61" s="76">
        <f>IF(DS$169=0,0,IFERROR(INDEX('2 Staff List'!$FY$64:$FY$114,DS$21),0))</f>
        <v>24.578400000000002</v>
      </c>
      <c r="DT61" s="76">
        <f>IF(DT$169=0,0,IFERROR(INDEX('2 Staff List'!$FY$64:$FY$114,DT$21),0))</f>
        <v>0</v>
      </c>
      <c r="DU61" s="76">
        <f>IF(DU$169=0,0,IFERROR(INDEX('2 Staff List'!$FY$64:$FY$114,DU$21),0))</f>
        <v>0</v>
      </c>
      <c r="DV61" s="76">
        <f>IF(DV$169=0,0,IFERROR(INDEX('2 Staff List'!$FY$64:$FY$114,DV$21),0))</f>
        <v>0</v>
      </c>
      <c r="DW61" s="76">
        <f>IF(DW$169=0,0,IFERROR(INDEX('2 Staff List'!$FY$64:$FY$114,DW$21),0))</f>
        <v>0</v>
      </c>
      <c r="DX61" s="76">
        <f>IF(DX$169=0,0,IFERROR(INDEX('2 Staff List'!$FY$64:$FY$114,DX$21),0))</f>
        <v>0</v>
      </c>
      <c r="DY61" s="76">
        <f>IF(DY$169=0,0,IFERROR(INDEX('2 Staff List'!$FY$64:$FY$114,DY$21),0))</f>
        <v>0</v>
      </c>
      <c r="DZ61" s="76">
        <f>IF(DZ$169=0,0,IFERROR(INDEX('2 Staff List'!$FY$64:$FY$114,DZ$21),0))</f>
        <v>0</v>
      </c>
      <c r="EA61" s="76">
        <f>IF(EA$169=0,0,IFERROR(INDEX('2 Staff List'!$FY$64:$FY$114,EA$21),0))</f>
        <v>0</v>
      </c>
      <c r="EB61" s="76">
        <f>IF(EB$169=0,0,IFERROR(INDEX('2 Staff List'!$FY$64:$FY$114,EB$21),0))</f>
        <v>0</v>
      </c>
      <c r="EC61" s="76">
        <f>IF(EC$169=0,0,IFERROR(INDEX('2 Staff List'!$FY$64:$FY$114,EC$21),0))</f>
        <v>0</v>
      </c>
      <c r="ED61" s="76">
        <f>IF(ED$169=0,0,IFERROR(INDEX('2 Staff List'!$FY$64:$FY$114,ED$21),0))</f>
        <v>0</v>
      </c>
      <c r="EE61" s="76">
        <f>IF(EE$169=0,0,IFERROR(INDEX('2 Staff List'!$FY$64:$FY$114,EE$21),0))</f>
        <v>0</v>
      </c>
      <c r="EF61" s="76">
        <f>IF(EF$169=0,0,IFERROR(INDEX('2 Staff List'!$FY$64:$FY$114,EF$21),0))</f>
        <v>0</v>
      </c>
      <c r="EG61" s="76">
        <f>IF(EG$169=0,0,IFERROR(INDEX('2 Staff List'!$FY$64:$FY$114,EG$21),0))</f>
        <v>0</v>
      </c>
      <c r="EH61" s="76">
        <f>IF(EH$169=0,0,IFERROR(INDEX('2 Staff List'!$FY$64:$FY$114,EH$21),0))</f>
        <v>0</v>
      </c>
      <c r="EI61" s="76">
        <f>IF(EI$169=0,0,IFERROR(INDEX('2 Staff List'!$FY$64:$FY$114,EI$21),0))</f>
        <v>0</v>
      </c>
      <c r="EJ61" s="76">
        <f>IF(EJ$169=0,0,IFERROR(INDEX('2 Staff List'!$FY$64:$FY$114,EJ$21),0))</f>
        <v>0</v>
      </c>
      <c r="EK61" s="76">
        <f>IF(EK$169=0,0,IFERROR(INDEX('2 Staff List'!$FY$64:$FY$114,EK$21),0))</f>
        <v>0</v>
      </c>
      <c r="EL61" s="76">
        <f>IF(EL$169=0,0,IFERROR(INDEX('2 Staff List'!$FY$64:$FY$114,EL$21),0))</f>
        <v>0</v>
      </c>
      <c r="EM61" s="76">
        <f>IF(EM$169=0,0,IFERROR(INDEX('2 Staff List'!$FY$64:$FY$114,EM$21),0))</f>
        <v>0</v>
      </c>
      <c r="EN61" s="76">
        <f>IF(EN$169=0,0,IFERROR(INDEX('2 Staff List'!$FY$64:$FY$114,EN$21),0))</f>
        <v>0</v>
      </c>
      <c r="EO61" s="76">
        <f>IF(EO$169=0,0,IFERROR(INDEX('2 Staff List'!$FY$64:$FY$114,EO$21),0))</f>
        <v>0</v>
      </c>
      <c r="EP61" s="76">
        <f>IF(EP$169=0,0,IFERROR(INDEX('2 Staff List'!$FY$64:$FY$114,EP$21),0))</f>
        <v>0</v>
      </c>
      <c r="EQ61" s="76">
        <f>IF(EQ$169=0,0,IFERROR(INDEX('2 Staff List'!$FY$64:$FY$114,EQ$21),0))</f>
        <v>0</v>
      </c>
      <c r="ER61" s="76">
        <f>IF(ER$169=0,0,IFERROR(INDEX('2 Staff List'!$FY$64:$FY$114,ER$21),0))</f>
        <v>0</v>
      </c>
      <c r="ES61" s="76">
        <f>IF(ES$169=0,0,IFERROR(INDEX('2 Staff List'!$FY$64:$FY$114,ES$21),0))</f>
        <v>0</v>
      </c>
      <c r="ET61" s="76">
        <f>IF(ET$169=0,0,IFERROR(INDEX('2 Staff List'!$FY$64:$FY$114,ET$21),0))</f>
        <v>0</v>
      </c>
      <c r="EU61" s="76">
        <f>IF(EU$169=0,0,IFERROR(INDEX('2 Staff List'!$FY$64:$FY$114,EU$21),0))</f>
        <v>0</v>
      </c>
      <c r="EV61" s="76">
        <f>IF(EV$169=0,0,IFERROR(INDEX('2 Staff List'!$FY$64:$FY$114,EV$21),0))</f>
        <v>0</v>
      </c>
      <c r="EW61" s="76">
        <f>IF(EW$169=0,0,IFERROR(INDEX('2 Staff List'!$FY$64:$FY$114,EW$21),0))</f>
        <v>0</v>
      </c>
      <c r="EX61" s="76">
        <f>IF(EX$169=0,0,IFERROR(INDEX('2 Staff List'!$FY$64:$FY$114,EX$21),0))</f>
        <v>0</v>
      </c>
      <c r="EY61" s="76">
        <f>IF(EY$169=0,0,IFERROR(INDEX('2 Staff List'!$FY$64:$FY$114,EY$21),0))</f>
        <v>0</v>
      </c>
      <c r="EZ61" s="76">
        <f>IF(EZ$169=0,0,IFERROR(INDEX('2 Staff List'!$FY$64:$FY$114,EZ$21),0))</f>
        <v>0</v>
      </c>
      <c r="FA61" s="76">
        <f>IF(FA$169=0,0,IFERROR(INDEX('2 Staff List'!$FY$64:$FY$114,FA$21),0))</f>
        <v>0</v>
      </c>
      <c r="FB61" s="76">
        <f>IF(FB$169=0,0,IFERROR(INDEX('2 Staff List'!$FY$64:$FY$114,FB$21),0))</f>
        <v>0</v>
      </c>
      <c r="FC61" s="76">
        <f>IF(FC$169=0,0,IFERROR(INDEX('2 Staff List'!$FY$64:$FY$114,FC$21),0))</f>
        <v>0</v>
      </c>
      <c r="FD61" s="76">
        <f>IF(FD$169=0,0,IFERROR(INDEX('2 Staff List'!$FY$64:$FY$114,FD$21),0))</f>
        <v>0</v>
      </c>
      <c r="FE61" s="76">
        <f>IF(FE$169=0,0,IFERROR(INDEX('2 Staff List'!$FY$64:$FY$114,FE$21),0))</f>
        <v>0</v>
      </c>
      <c r="FF61" s="76">
        <f>IF(FF$169=0,0,IFERROR(INDEX('2 Staff List'!$FY$64:$FY$114,FF$21),0))</f>
        <v>0</v>
      </c>
      <c r="FG61" s="76">
        <f>IF(FG$169=0,0,IFERROR(INDEX('2 Staff List'!$FY$64:$FY$114,FG$21),0))</f>
        <v>0</v>
      </c>
      <c r="FH61" s="922"/>
      <c r="FI61" s="305"/>
      <c r="FJ61" s="307"/>
      <c r="FK61" s="307"/>
      <c r="FL61" s="285"/>
      <c r="FM61" s="285"/>
      <c r="FN61" s="285"/>
      <c r="FO61" s="285"/>
      <c r="FP61" s="285"/>
      <c r="FQ61" s="285"/>
      <c r="FR61" s="285"/>
      <c r="FS61" s="285"/>
      <c r="FT61" s="285"/>
      <c r="FU61" s="285"/>
      <c r="FV61" s="285"/>
      <c r="FW61" s="285"/>
      <c r="FX61" s="285"/>
      <c r="FY61" s="285"/>
      <c r="FZ61" s="285"/>
      <c r="GA61" s="285"/>
      <c r="GB61" s="285"/>
      <c r="GC61" s="285"/>
      <c r="GD61" s="285"/>
      <c r="GE61" s="285"/>
      <c r="GF61" s="285"/>
      <c r="GG61" s="285"/>
      <c r="GH61" s="285"/>
      <c r="GI61" s="285"/>
      <c r="GJ61" s="285"/>
      <c r="GK61" s="285"/>
      <c r="GL61" s="285"/>
      <c r="GM61" s="285"/>
      <c r="GN61" s="285"/>
      <c r="GO61" s="285"/>
      <c r="GP61" s="285"/>
      <c r="GQ61" s="285"/>
      <c r="GR61" s="285"/>
      <c r="GS61" s="285"/>
      <c r="GT61" s="285"/>
      <c r="GU61" s="285"/>
      <c r="GV61" s="285"/>
      <c r="GW61" s="285"/>
      <c r="GX61" s="285"/>
      <c r="GY61" s="285"/>
      <c r="GZ61" s="285"/>
      <c r="HA61" s="285"/>
      <c r="HB61" s="285"/>
      <c r="HC61" s="285"/>
      <c r="HD61" s="285"/>
      <c r="HE61" s="285"/>
      <c r="HF61" s="285"/>
      <c r="HG61" s="285"/>
      <c r="HH61" s="285"/>
      <c r="HI61" s="285"/>
      <c r="HJ61" s="285"/>
      <c r="HK61" s="285"/>
      <c r="HL61" s="285"/>
      <c r="HM61" s="285"/>
      <c r="HN61" s="285"/>
      <c r="HO61" s="285"/>
      <c r="HP61" s="285"/>
      <c r="HQ61" s="285"/>
      <c r="HR61" s="285"/>
      <c r="HS61" s="285"/>
      <c r="HT61" s="285"/>
      <c r="HU61" s="285"/>
      <c r="HV61" s="285"/>
      <c r="HW61" s="285"/>
      <c r="HX61" s="285"/>
      <c r="HY61" s="285"/>
      <c r="HZ61" s="285"/>
      <c r="IA61" s="285"/>
      <c r="IB61" s="285"/>
      <c r="IC61" s="285"/>
      <c r="ID61" s="285"/>
      <c r="IE61" s="285"/>
      <c r="IF61" s="285"/>
      <c r="IG61" s="285"/>
      <c r="IH61" s="285"/>
      <c r="II61" s="285"/>
      <c r="IJ61" s="285"/>
      <c r="IK61" s="285"/>
      <c r="IL61" s="285"/>
      <c r="IM61" s="285"/>
      <c r="IN61" s="285"/>
      <c r="IO61" s="285"/>
      <c r="IP61" s="285"/>
      <c r="IQ61" s="285"/>
      <c r="IR61" s="285"/>
      <c r="IS61" s="285"/>
      <c r="IT61" s="285"/>
      <c r="IU61" s="285"/>
      <c r="IV61" s="285"/>
      <c r="IW61" s="285"/>
      <c r="IX61" s="285"/>
      <c r="IY61" s="285"/>
      <c r="IZ61" s="285"/>
      <c r="JA61" s="285"/>
      <c r="JB61" s="285"/>
      <c r="JC61" s="285"/>
      <c r="JD61" s="285"/>
      <c r="JE61" s="285"/>
      <c r="JF61" s="285"/>
      <c r="JG61" s="285"/>
      <c r="JH61" s="285"/>
      <c r="JI61" s="285"/>
      <c r="JJ61" s="285"/>
      <c r="JK61" s="285"/>
      <c r="JL61" s="285"/>
      <c r="JM61" s="285"/>
      <c r="JN61" s="285"/>
      <c r="JO61" s="285"/>
      <c r="JP61" s="285"/>
      <c r="JQ61" s="285"/>
      <c r="JR61" s="285"/>
      <c r="JS61" s="285"/>
      <c r="JT61" s="285"/>
      <c r="JU61" s="285"/>
      <c r="JV61" s="285"/>
      <c r="JW61" s="285"/>
      <c r="JX61" s="285"/>
      <c r="JY61" s="285"/>
      <c r="JZ61" s="285"/>
      <c r="KA61" s="285"/>
      <c r="KB61" s="285"/>
      <c r="KC61" s="285"/>
      <c r="KD61" s="285"/>
      <c r="KE61" s="285"/>
      <c r="KF61" s="285"/>
      <c r="KG61" s="285"/>
      <c r="KH61" s="285"/>
      <c r="KI61" s="285"/>
      <c r="KJ61" s="285"/>
      <c r="KK61" s="285"/>
      <c r="KL61" s="285"/>
      <c r="KM61" s="285"/>
      <c r="KN61" s="285"/>
      <c r="KO61" s="285"/>
      <c r="KP61" s="285"/>
      <c r="KQ61" s="285"/>
      <c r="KR61" s="285"/>
      <c r="KS61" s="285"/>
      <c r="KT61" s="285"/>
      <c r="KU61" s="285"/>
      <c r="KV61" s="285"/>
      <c r="KW61" s="285"/>
      <c r="KX61" s="285"/>
      <c r="KY61" s="285"/>
      <c r="KZ61" s="285"/>
      <c r="LA61" s="285"/>
      <c r="LB61" s="285"/>
      <c r="LC61" s="285"/>
      <c r="LD61" s="285"/>
      <c r="LE61" s="285"/>
      <c r="LF61" s="285"/>
      <c r="LG61" s="285"/>
      <c r="LH61" s="285"/>
      <c r="LI61" s="285"/>
      <c r="LJ61" s="285"/>
      <c r="LK61" s="285"/>
      <c r="LL61" s="285"/>
      <c r="LM61" s="285"/>
      <c r="LN61" s="285"/>
      <c r="LO61" s="285"/>
      <c r="LP61" s="285"/>
    </row>
    <row r="62" spans="1:328" ht="12.75" hidden="1" customHeight="1" x14ac:dyDescent="0.3">
      <c r="A62" s="285"/>
      <c r="B62" s="285"/>
      <c r="C62" s="286"/>
      <c r="D62" s="285"/>
      <c r="E62" s="285"/>
      <c r="F62" s="285"/>
      <c r="G62" s="285"/>
      <c r="H62" s="285"/>
      <c r="I62" s="285"/>
      <c r="J62" s="285"/>
      <c r="K62" s="285"/>
      <c r="L62" s="285"/>
      <c r="M62" s="287"/>
      <c r="N62" s="287"/>
      <c r="O62" s="287"/>
      <c r="P62" s="287"/>
      <c r="Q62" s="287"/>
      <c r="R62" s="287"/>
      <c r="S62" s="285"/>
      <c r="T62" s="285"/>
      <c r="U62" s="285"/>
      <c r="V62" s="285"/>
      <c r="W62" s="285"/>
      <c r="X62" s="285"/>
      <c r="Y62" s="285"/>
      <c r="Z62" s="285"/>
      <c r="AA62" s="285"/>
      <c r="AB62" s="285"/>
      <c r="AC62" s="285"/>
      <c r="AD62" s="285"/>
      <c r="AE62" s="285"/>
      <c r="AF62" s="285"/>
      <c r="AG62" s="285"/>
      <c r="AH62" s="2513"/>
      <c r="AI62" s="285"/>
      <c r="AJ62" s="285"/>
      <c r="AK62" s="285"/>
      <c r="AL62" s="285"/>
      <c r="AM62" s="285"/>
      <c r="AN62" s="285"/>
      <c r="AO62" s="285"/>
      <c r="AP62" s="285"/>
      <c r="AQ62" s="285"/>
      <c r="AR62" s="285"/>
      <c r="AS62" s="285"/>
      <c r="AT62" s="285"/>
      <c r="AU62" s="285"/>
      <c r="AV62" s="285"/>
      <c r="AW62" s="285"/>
      <c r="AX62" s="285"/>
      <c r="AY62" s="285"/>
      <c r="AZ62" s="285"/>
      <c r="BA62" s="285"/>
      <c r="BB62" s="285"/>
      <c r="BC62" s="285"/>
      <c r="BD62" s="285"/>
      <c r="BE62" s="285"/>
      <c r="BF62" s="285"/>
      <c r="BG62" s="285"/>
      <c r="BH62" s="285"/>
      <c r="BI62" s="285"/>
      <c r="BJ62" s="285"/>
      <c r="BK62" s="285"/>
      <c r="BL62" s="285"/>
      <c r="BM62" s="285"/>
      <c r="BN62" s="285"/>
      <c r="BO62" s="285"/>
      <c r="BP62" s="285"/>
      <c r="BQ62" s="285"/>
      <c r="BR62" s="285"/>
      <c r="BS62" s="285"/>
      <c r="BT62" s="285"/>
      <c r="BU62" s="285"/>
      <c r="BV62" s="285"/>
      <c r="BW62" s="285"/>
      <c r="BX62" s="285"/>
      <c r="BY62" s="285"/>
      <c r="BZ62" s="285"/>
      <c r="CA62" s="285"/>
      <c r="CB62" s="285"/>
      <c r="CC62" s="285"/>
      <c r="CD62" s="285"/>
      <c r="CE62" s="285"/>
      <c r="CF62" s="285"/>
      <c r="CG62" s="285"/>
      <c r="CH62" s="285"/>
      <c r="CI62" s="285"/>
      <c r="CJ62" s="285"/>
      <c r="CK62" s="285"/>
      <c r="CL62" s="285"/>
      <c r="CM62" s="285"/>
      <c r="CN62" s="285"/>
      <c r="CO62" s="285"/>
      <c r="CP62" s="285"/>
      <c r="CQ62" s="285"/>
      <c r="CR62" s="285"/>
      <c r="CS62" s="285"/>
      <c r="CT62" s="285"/>
      <c r="CU62" s="285"/>
      <c r="CV62" s="285"/>
      <c r="CW62" s="285"/>
      <c r="CX62" s="285"/>
      <c r="CY62" s="285"/>
      <c r="CZ62" s="285"/>
      <c r="DA62" s="285"/>
      <c r="DB62" s="285"/>
      <c r="DC62" s="285"/>
      <c r="DD62" s="285"/>
      <c r="DE62" s="285"/>
      <c r="DF62" s="285"/>
      <c r="DG62" s="309"/>
      <c r="DH62" s="442" t="s">
        <v>1585</v>
      </c>
      <c r="DI62" s="285"/>
      <c r="DJ62" s="76">
        <f>IF(DJ$169=0,0,IFERROR(INDEX('2 Staff List'!$FZ$64:$FZ$114,DJ$21),0))</f>
        <v>58.032992</v>
      </c>
      <c r="DK62" s="76">
        <f>IF(DK$169=0,0,IFERROR(INDEX('2 Staff List'!$FZ$64:$FZ$114,DK$21),0))</f>
        <v>17.269024000000002</v>
      </c>
      <c r="DL62" s="76">
        <f>IF(DL$169=0,0,IFERROR(INDEX('2 Staff List'!$FZ$64:$FZ$114,DL$21),0))</f>
        <v>62.678264000000006</v>
      </c>
      <c r="DM62" s="76">
        <f>IF(DM$169=0,0,IFERROR(INDEX('2 Staff List'!$FZ$64:$FZ$114,DM$21),0))</f>
        <v>23</v>
      </c>
      <c r="DN62" s="76">
        <f>IF(DN$169=0,0,IFERROR(INDEX('2 Staff List'!$FZ$64:$FZ$114,DN$21),0))</f>
        <v>30.536799999999999</v>
      </c>
      <c r="DO62" s="76">
        <f>IF(DO$169=0,0,IFERROR(INDEX('2 Staff List'!$FZ$64:$FZ$114,DO$21),0))</f>
        <v>52.789599999999993</v>
      </c>
      <c r="DP62" s="76">
        <f>IF(DP$169=0,0,IFERROR(INDEX('2 Staff List'!$FZ$64:$FZ$114,DP$21),0))</f>
        <v>37.9696</v>
      </c>
      <c r="DQ62" s="76">
        <f>IF(DQ$169=0,0,IFERROR(INDEX('2 Staff List'!$FZ$64:$FZ$114,DQ$21),0))</f>
        <v>28.9864</v>
      </c>
      <c r="DR62" s="76">
        <f>IF(DR$169=0,0,IFERROR(INDEX('2 Staff List'!$FZ$64:$FZ$114,DR$21),0))</f>
        <v>27.329599999999999</v>
      </c>
      <c r="DS62" s="76">
        <f>IF(DS$169=0,0,IFERROR(INDEX('2 Staff List'!$FZ$64:$FZ$114,DS$21),0))</f>
        <v>24.578400000000002</v>
      </c>
      <c r="DT62" s="76">
        <f>IF(DT$169=0,0,IFERROR(INDEX('2 Staff List'!$FZ$64:$FZ$114,DT$21),0))</f>
        <v>0</v>
      </c>
      <c r="DU62" s="76">
        <f>IF(DU$169=0,0,IFERROR(INDEX('2 Staff List'!$FZ$64:$FZ$114,DU$21),0))</f>
        <v>0</v>
      </c>
      <c r="DV62" s="76">
        <f>IF(DV$169=0,0,IFERROR(INDEX('2 Staff List'!$FZ$64:$FZ$114,DV$21),0))</f>
        <v>0</v>
      </c>
      <c r="DW62" s="76">
        <f>IF(DW$169=0,0,IFERROR(INDEX('2 Staff List'!$FZ$64:$FZ$114,DW$21),0))</f>
        <v>0</v>
      </c>
      <c r="DX62" s="76">
        <f>IF(DX$169=0,0,IFERROR(INDEX('2 Staff List'!$FZ$64:$FZ$114,DX$21),0))</f>
        <v>0</v>
      </c>
      <c r="DY62" s="76">
        <f>IF(DY$169=0,0,IFERROR(INDEX('2 Staff List'!$FZ$64:$FZ$114,DY$21),0))</f>
        <v>0</v>
      </c>
      <c r="DZ62" s="76">
        <f>IF(DZ$169=0,0,IFERROR(INDEX('2 Staff List'!$FZ$64:$FZ$114,DZ$21),0))</f>
        <v>0</v>
      </c>
      <c r="EA62" s="76">
        <f>IF(EA$169=0,0,IFERROR(INDEX('2 Staff List'!$FZ$64:$FZ$114,EA$21),0))</f>
        <v>0</v>
      </c>
      <c r="EB62" s="76">
        <f>IF(EB$169=0,0,IFERROR(INDEX('2 Staff List'!$FZ$64:$FZ$114,EB$21),0))</f>
        <v>0</v>
      </c>
      <c r="EC62" s="76">
        <f>IF(EC$169=0,0,IFERROR(INDEX('2 Staff List'!$FZ$64:$FZ$114,EC$21),0))</f>
        <v>0</v>
      </c>
      <c r="ED62" s="76">
        <f>IF(ED$169=0,0,IFERROR(INDEX('2 Staff List'!$FZ$64:$FZ$114,ED$21),0))</f>
        <v>0</v>
      </c>
      <c r="EE62" s="76">
        <f>IF(EE$169=0,0,IFERROR(INDEX('2 Staff List'!$FZ$64:$FZ$114,EE$21),0))</f>
        <v>0</v>
      </c>
      <c r="EF62" s="76">
        <f>IF(EF$169=0,0,IFERROR(INDEX('2 Staff List'!$FZ$64:$FZ$114,EF$21),0))</f>
        <v>0</v>
      </c>
      <c r="EG62" s="76">
        <f>IF(EG$169=0,0,IFERROR(INDEX('2 Staff List'!$FZ$64:$FZ$114,EG$21),0))</f>
        <v>0</v>
      </c>
      <c r="EH62" s="76">
        <f>IF(EH$169=0,0,IFERROR(INDEX('2 Staff List'!$FZ$64:$FZ$114,EH$21),0))</f>
        <v>0</v>
      </c>
      <c r="EI62" s="76">
        <f>IF(EI$169=0,0,IFERROR(INDEX('2 Staff List'!$FZ$64:$FZ$114,EI$21),0))</f>
        <v>0</v>
      </c>
      <c r="EJ62" s="76">
        <f>IF(EJ$169=0,0,IFERROR(INDEX('2 Staff List'!$FZ$64:$FZ$114,EJ$21),0))</f>
        <v>0</v>
      </c>
      <c r="EK62" s="76">
        <f>IF(EK$169=0,0,IFERROR(INDEX('2 Staff List'!$FZ$64:$FZ$114,EK$21),0))</f>
        <v>0</v>
      </c>
      <c r="EL62" s="76">
        <f>IF(EL$169=0,0,IFERROR(INDEX('2 Staff List'!$FZ$64:$FZ$114,EL$21),0))</f>
        <v>0</v>
      </c>
      <c r="EM62" s="76">
        <f>IF(EM$169=0,0,IFERROR(INDEX('2 Staff List'!$FZ$64:$FZ$114,EM$21),0))</f>
        <v>0</v>
      </c>
      <c r="EN62" s="76">
        <f>IF(EN$169=0,0,IFERROR(INDEX('2 Staff List'!$FZ$64:$FZ$114,EN$21),0))</f>
        <v>0</v>
      </c>
      <c r="EO62" s="76">
        <f>IF(EO$169=0,0,IFERROR(INDEX('2 Staff List'!$FZ$64:$FZ$114,EO$21),0))</f>
        <v>0</v>
      </c>
      <c r="EP62" s="76">
        <f>IF(EP$169=0,0,IFERROR(INDEX('2 Staff List'!$FZ$64:$FZ$114,EP$21),0))</f>
        <v>0</v>
      </c>
      <c r="EQ62" s="76">
        <f>IF(EQ$169=0,0,IFERROR(INDEX('2 Staff List'!$FZ$64:$FZ$114,EQ$21),0))</f>
        <v>0</v>
      </c>
      <c r="ER62" s="76">
        <f>IF(ER$169=0,0,IFERROR(INDEX('2 Staff List'!$FZ$64:$FZ$114,ER$21),0))</f>
        <v>0</v>
      </c>
      <c r="ES62" s="76">
        <f>IF(ES$169=0,0,IFERROR(INDEX('2 Staff List'!$FZ$64:$FZ$114,ES$21),0))</f>
        <v>0</v>
      </c>
      <c r="ET62" s="76">
        <f>IF(ET$169=0,0,IFERROR(INDEX('2 Staff List'!$FZ$64:$FZ$114,ET$21),0))</f>
        <v>0</v>
      </c>
      <c r="EU62" s="76">
        <f>IF(EU$169=0,0,IFERROR(INDEX('2 Staff List'!$FZ$64:$FZ$114,EU$21),0))</f>
        <v>0</v>
      </c>
      <c r="EV62" s="76">
        <f>IF(EV$169=0,0,IFERROR(INDEX('2 Staff List'!$FZ$64:$FZ$114,EV$21),0))</f>
        <v>0</v>
      </c>
      <c r="EW62" s="76">
        <f>IF(EW$169=0,0,IFERROR(INDEX('2 Staff List'!$FZ$64:$FZ$114,EW$21),0))</f>
        <v>0</v>
      </c>
      <c r="EX62" s="76">
        <f>IF(EX$169=0,0,IFERROR(INDEX('2 Staff List'!$FZ$64:$FZ$114,EX$21),0))</f>
        <v>0</v>
      </c>
      <c r="EY62" s="76">
        <f>IF(EY$169=0,0,IFERROR(INDEX('2 Staff List'!$FZ$64:$FZ$114,EY$21),0))</f>
        <v>0</v>
      </c>
      <c r="EZ62" s="76">
        <f>IF(EZ$169=0,0,IFERROR(INDEX('2 Staff List'!$FZ$64:$FZ$114,EZ$21),0))</f>
        <v>0</v>
      </c>
      <c r="FA62" s="76">
        <f>IF(FA$169=0,0,IFERROR(INDEX('2 Staff List'!$FZ$64:$FZ$114,FA$21),0))</f>
        <v>0</v>
      </c>
      <c r="FB62" s="76">
        <f>IF(FB$169=0,0,IFERROR(INDEX('2 Staff List'!$FZ$64:$FZ$114,FB$21),0))</f>
        <v>0</v>
      </c>
      <c r="FC62" s="76">
        <f>IF(FC$169=0,0,IFERROR(INDEX('2 Staff List'!$FZ$64:$FZ$114,FC$21),0))</f>
        <v>0</v>
      </c>
      <c r="FD62" s="76">
        <f>IF(FD$169=0,0,IFERROR(INDEX('2 Staff List'!$FZ$64:$FZ$114,FD$21),0))</f>
        <v>0</v>
      </c>
      <c r="FE62" s="76">
        <f>IF(FE$169=0,0,IFERROR(INDEX('2 Staff List'!$FZ$64:$FZ$114,FE$21),0))</f>
        <v>0</v>
      </c>
      <c r="FF62" s="76">
        <f>IF(FF$169=0,0,IFERROR(INDEX('2 Staff List'!$FZ$64:$FZ$114,FF$21),0))</f>
        <v>0</v>
      </c>
      <c r="FG62" s="76">
        <f>IF(FG$169=0,0,IFERROR(INDEX('2 Staff List'!$FZ$64:$FZ$114,FG$21),0))</f>
        <v>0</v>
      </c>
      <c r="FH62" s="922"/>
      <c r="FI62" s="305"/>
      <c r="FJ62" s="307"/>
      <c r="FK62" s="307"/>
      <c r="FL62" s="285"/>
      <c r="FM62" s="285"/>
      <c r="FN62" s="285"/>
      <c r="FO62" s="285"/>
      <c r="FP62" s="285"/>
      <c r="FQ62" s="285"/>
      <c r="FR62" s="285"/>
      <c r="FS62" s="285"/>
      <c r="FT62" s="285"/>
      <c r="FU62" s="285"/>
      <c r="FV62" s="285"/>
      <c r="FW62" s="285"/>
      <c r="FX62" s="285"/>
      <c r="FY62" s="285"/>
      <c r="FZ62" s="285"/>
      <c r="GA62" s="285"/>
      <c r="GB62" s="285"/>
      <c r="GC62" s="285"/>
      <c r="GD62" s="285"/>
      <c r="GE62" s="285"/>
      <c r="GF62" s="285"/>
      <c r="GG62" s="285"/>
      <c r="GH62" s="285"/>
      <c r="GI62" s="285"/>
      <c r="GJ62" s="285"/>
      <c r="GK62" s="285"/>
      <c r="GL62" s="285"/>
      <c r="GM62" s="285"/>
      <c r="GN62" s="285"/>
      <c r="GO62" s="285"/>
      <c r="GP62" s="285"/>
      <c r="GQ62" s="285"/>
      <c r="GR62" s="285"/>
      <c r="GS62" s="285"/>
      <c r="GT62" s="285"/>
      <c r="GU62" s="285"/>
      <c r="GV62" s="285"/>
      <c r="GW62" s="285"/>
      <c r="GX62" s="285"/>
      <c r="GY62" s="285"/>
      <c r="GZ62" s="285"/>
      <c r="HA62" s="285"/>
      <c r="HB62" s="285"/>
      <c r="HC62" s="285"/>
      <c r="HD62" s="285"/>
      <c r="HE62" s="285"/>
      <c r="HF62" s="285"/>
      <c r="HG62" s="285"/>
      <c r="HH62" s="285"/>
      <c r="HI62" s="285"/>
      <c r="HJ62" s="285"/>
      <c r="HK62" s="285"/>
      <c r="HL62" s="285"/>
      <c r="HM62" s="285"/>
      <c r="HN62" s="285"/>
      <c r="HO62" s="285"/>
      <c r="HP62" s="285"/>
      <c r="HQ62" s="285"/>
      <c r="HR62" s="285"/>
      <c r="HS62" s="285"/>
      <c r="HT62" s="285"/>
      <c r="HU62" s="285"/>
      <c r="HV62" s="285"/>
      <c r="HW62" s="285"/>
      <c r="HX62" s="285"/>
      <c r="HY62" s="285"/>
      <c r="HZ62" s="285"/>
      <c r="IA62" s="285"/>
      <c r="IB62" s="285"/>
      <c r="IC62" s="285"/>
      <c r="ID62" s="285"/>
      <c r="IE62" s="285"/>
      <c r="IF62" s="285"/>
      <c r="IG62" s="285"/>
      <c r="IH62" s="285"/>
      <c r="II62" s="285"/>
      <c r="IJ62" s="285"/>
      <c r="IK62" s="285"/>
      <c r="IL62" s="285"/>
      <c r="IM62" s="285"/>
      <c r="IN62" s="285"/>
      <c r="IO62" s="285"/>
      <c r="IP62" s="285"/>
      <c r="IQ62" s="285"/>
      <c r="IR62" s="285"/>
      <c r="IS62" s="285"/>
      <c r="IT62" s="285"/>
      <c r="IU62" s="285"/>
      <c r="IV62" s="285"/>
      <c r="IW62" s="285"/>
      <c r="IX62" s="285"/>
      <c r="IY62" s="285"/>
      <c r="IZ62" s="285"/>
      <c r="JA62" s="285"/>
      <c r="JB62" s="285"/>
      <c r="JC62" s="285"/>
      <c r="JD62" s="285"/>
      <c r="JE62" s="285"/>
      <c r="JF62" s="285"/>
      <c r="JG62" s="285"/>
      <c r="JH62" s="285"/>
      <c r="JI62" s="285"/>
      <c r="JJ62" s="285"/>
      <c r="JK62" s="285"/>
      <c r="JL62" s="285"/>
      <c r="JM62" s="285"/>
      <c r="JN62" s="285"/>
      <c r="JO62" s="285"/>
      <c r="JP62" s="285"/>
      <c r="JQ62" s="285"/>
      <c r="JR62" s="285"/>
      <c r="JS62" s="285"/>
      <c r="JT62" s="285"/>
      <c r="JU62" s="285"/>
      <c r="JV62" s="285"/>
      <c r="JW62" s="285"/>
      <c r="JX62" s="285"/>
      <c r="JY62" s="285"/>
      <c r="JZ62" s="285"/>
      <c r="KA62" s="285"/>
      <c r="KB62" s="285"/>
      <c r="KC62" s="285"/>
      <c r="KD62" s="285"/>
      <c r="KE62" s="285"/>
      <c r="KF62" s="285"/>
      <c r="KG62" s="285"/>
      <c r="KH62" s="285"/>
      <c r="KI62" s="285"/>
      <c r="KJ62" s="285"/>
      <c r="KK62" s="285"/>
      <c r="KL62" s="285"/>
      <c r="KM62" s="285"/>
      <c r="KN62" s="285"/>
      <c r="KO62" s="285"/>
      <c r="KP62" s="285"/>
      <c r="KQ62" s="285"/>
      <c r="KR62" s="285"/>
      <c r="KS62" s="285"/>
      <c r="KT62" s="285"/>
      <c r="KU62" s="285"/>
      <c r="KV62" s="285"/>
      <c r="KW62" s="285"/>
      <c r="KX62" s="285"/>
      <c r="KY62" s="285"/>
      <c r="KZ62" s="285"/>
      <c r="LA62" s="285"/>
      <c r="LB62" s="285"/>
      <c r="LC62" s="285"/>
      <c r="LD62" s="285"/>
      <c r="LE62" s="285"/>
      <c r="LF62" s="285"/>
      <c r="LG62" s="285"/>
      <c r="LH62" s="285"/>
      <c r="LI62" s="285"/>
      <c r="LJ62" s="285"/>
      <c r="LK62" s="285"/>
      <c r="LL62" s="285"/>
      <c r="LM62" s="285"/>
      <c r="LN62" s="285"/>
      <c r="LO62" s="285"/>
      <c r="LP62" s="285"/>
    </row>
    <row r="63" spans="1:328" ht="12.75" hidden="1" customHeight="1" x14ac:dyDescent="0.3">
      <c r="A63" s="285"/>
      <c r="B63" s="285"/>
      <c r="C63" s="286"/>
      <c r="D63" s="285"/>
      <c r="E63" s="285"/>
      <c r="F63" s="285"/>
      <c r="G63" s="285"/>
      <c r="H63" s="285"/>
      <c r="I63" s="285"/>
      <c r="J63" s="285"/>
      <c r="K63" s="285"/>
      <c r="L63" s="285"/>
      <c r="M63" s="287"/>
      <c r="N63" s="287"/>
      <c r="O63" s="287"/>
      <c r="P63" s="287"/>
      <c r="Q63" s="287"/>
      <c r="R63" s="287"/>
      <c r="S63" s="285"/>
      <c r="T63" s="285"/>
      <c r="U63" s="285"/>
      <c r="V63" s="285"/>
      <c r="W63" s="285"/>
      <c r="X63" s="285"/>
      <c r="Y63" s="285"/>
      <c r="Z63" s="285"/>
      <c r="AA63" s="285"/>
      <c r="AB63" s="285"/>
      <c r="AC63" s="285"/>
      <c r="AD63" s="285"/>
      <c r="AE63" s="285"/>
      <c r="AF63" s="285"/>
      <c r="AG63" s="285"/>
      <c r="AH63" s="2513"/>
      <c r="AI63" s="285"/>
      <c r="AJ63" s="285"/>
      <c r="AK63" s="285"/>
      <c r="AL63" s="285"/>
      <c r="AM63" s="285"/>
      <c r="AN63" s="285"/>
      <c r="AO63" s="285"/>
      <c r="AP63" s="285"/>
      <c r="AQ63" s="285"/>
      <c r="AR63" s="285"/>
      <c r="AS63" s="285"/>
      <c r="AT63" s="285"/>
      <c r="AU63" s="285"/>
      <c r="AV63" s="285"/>
      <c r="AW63" s="285"/>
      <c r="AX63" s="285"/>
      <c r="AY63" s="285"/>
      <c r="AZ63" s="285"/>
      <c r="BA63" s="285"/>
      <c r="BB63" s="285"/>
      <c r="BC63" s="285"/>
      <c r="BD63" s="285"/>
      <c r="BE63" s="285"/>
      <c r="BF63" s="285"/>
      <c r="BG63" s="285"/>
      <c r="BH63" s="285"/>
      <c r="BI63" s="285"/>
      <c r="BJ63" s="285"/>
      <c r="BK63" s="285"/>
      <c r="BL63" s="285"/>
      <c r="BM63" s="285"/>
      <c r="BN63" s="285"/>
      <c r="BO63" s="285"/>
      <c r="BP63" s="285"/>
      <c r="BQ63" s="285"/>
      <c r="BR63" s="285"/>
      <c r="BS63" s="285"/>
      <c r="BT63" s="285"/>
      <c r="BU63" s="285"/>
      <c r="BV63" s="285"/>
      <c r="BW63" s="285"/>
      <c r="BX63" s="285"/>
      <c r="BY63" s="285"/>
      <c r="BZ63" s="285"/>
      <c r="CA63" s="285"/>
      <c r="CB63" s="285"/>
      <c r="CC63" s="285"/>
      <c r="CD63" s="285"/>
      <c r="CE63" s="285"/>
      <c r="CF63" s="285"/>
      <c r="CG63" s="285"/>
      <c r="CH63" s="285"/>
      <c r="CI63" s="285"/>
      <c r="CJ63" s="285"/>
      <c r="CK63" s="285"/>
      <c r="CL63" s="285"/>
      <c r="CM63" s="285"/>
      <c r="CN63" s="285"/>
      <c r="CO63" s="285"/>
      <c r="CP63" s="285"/>
      <c r="CQ63" s="285"/>
      <c r="CR63" s="285"/>
      <c r="CS63" s="285"/>
      <c r="CT63" s="285"/>
      <c r="CU63" s="285"/>
      <c r="CV63" s="285"/>
      <c r="CW63" s="285"/>
      <c r="CX63" s="285"/>
      <c r="CY63" s="285"/>
      <c r="CZ63" s="285"/>
      <c r="DA63" s="285"/>
      <c r="DB63" s="285"/>
      <c r="DC63" s="285"/>
      <c r="DD63" s="285"/>
      <c r="DE63" s="285"/>
      <c r="DF63" s="285"/>
      <c r="DG63" s="309"/>
      <c r="DH63" s="442" t="s">
        <v>1586</v>
      </c>
      <c r="DI63" s="285"/>
      <c r="DJ63" s="76">
        <f>IF(DJ$169=0,0,IFERROR(INDEX('2 Staff List'!$GA$64:$GA$114,DJ$21),0))</f>
        <v>58.032992</v>
      </c>
      <c r="DK63" s="76">
        <f>IF(DK$169=0,0,IFERROR(INDEX('2 Staff List'!$GA$64:$GA$114,DK$21),0))</f>
        <v>17.269024000000002</v>
      </c>
      <c r="DL63" s="76">
        <f>IF(DL$169=0,0,IFERROR(INDEX('2 Staff List'!$GA$64:$GA$114,DL$21),0))</f>
        <v>62.678264000000006</v>
      </c>
      <c r="DM63" s="76">
        <f>IF(DM$169=0,0,IFERROR(INDEX('2 Staff List'!$GA$64:$GA$114,DM$21),0))</f>
        <v>23</v>
      </c>
      <c r="DN63" s="76">
        <f>IF(DN$169=0,0,IFERROR(INDEX('2 Staff List'!$GA$64:$GA$114,DN$21),0))</f>
        <v>30.536799999999999</v>
      </c>
      <c r="DO63" s="76">
        <f>IF(DO$169=0,0,IFERROR(INDEX('2 Staff List'!$GA$64:$GA$114,DO$21),0))</f>
        <v>52.789599999999993</v>
      </c>
      <c r="DP63" s="76">
        <f>IF(DP$169=0,0,IFERROR(INDEX('2 Staff List'!$GA$64:$GA$114,DP$21),0))</f>
        <v>37.9696</v>
      </c>
      <c r="DQ63" s="76">
        <f>IF(DQ$169=0,0,IFERROR(INDEX('2 Staff List'!$GA$64:$GA$114,DQ$21),0))</f>
        <v>28.9864</v>
      </c>
      <c r="DR63" s="76">
        <f>IF(DR$169=0,0,IFERROR(INDEX('2 Staff List'!$GA$64:$GA$114,DR$21),0))</f>
        <v>27.329599999999999</v>
      </c>
      <c r="DS63" s="76">
        <f>IF(DS$169=0,0,IFERROR(INDEX('2 Staff List'!$GA$64:$GA$114,DS$21),0))</f>
        <v>24.578400000000002</v>
      </c>
      <c r="DT63" s="76">
        <f>IF(DT$169=0,0,IFERROR(INDEX('2 Staff List'!$GA$64:$GA$114,DT$21),0))</f>
        <v>0</v>
      </c>
      <c r="DU63" s="76">
        <f>IF(DU$169=0,0,IFERROR(INDEX('2 Staff List'!$GA$64:$GA$114,DU$21),0))</f>
        <v>0</v>
      </c>
      <c r="DV63" s="76">
        <f>IF(DV$169=0,0,IFERROR(INDEX('2 Staff List'!$GA$64:$GA$114,DV$21),0))</f>
        <v>0</v>
      </c>
      <c r="DW63" s="76">
        <f>IF(DW$169=0,0,IFERROR(INDEX('2 Staff List'!$GA$64:$GA$114,DW$21),0))</f>
        <v>0</v>
      </c>
      <c r="DX63" s="76">
        <f>IF(DX$169=0,0,IFERROR(INDEX('2 Staff List'!$GA$64:$GA$114,DX$21),0))</f>
        <v>0</v>
      </c>
      <c r="DY63" s="76">
        <f>IF(DY$169=0,0,IFERROR(INDEX('2 Staff List'!$GA$64:$GA$114,DY$21),0))</f>
        <v>0</v>
      </c>
      <c r="DZ63" s="76">
        <f>IF(DZ$169=0,0,IFERROR(INDEX('2 Staff List'!$GA$64:$GA$114,DZ$21),0))</f>
        <v>0</v>
      </c>
      <c r="EA63" s="76">
        <f>IF(EA$169=0,0,IFERROR(INDEX('2 Staff List'!$GA$64:$GA$114,EA$21),0))</f>
        <v>0</v>
      </c>
      <c r="EB63" s="76">
        <f>IF(EB$169=0,0,IFERROR(INDEX('2 Staff List'!$GA$64:$GA$114,EB$21),0))</f>
        <v>0</v>
      </c>
      <c r="EC63" s="76">
        <f>IF(EC$169=0,0,IFERROR(INDEX('2 Staff List'!$GA$64:$GA$114,EC$21),0))</f>
        <v>0</v>
      </c>
      <c r="ED63" s="76">
        <f>IF(ED$169=0,0,IFERROR(INDEX('2 Staff List'!$GA$64:$GA$114,ED$21),0))</f>
        <v>0</v>
      </c>
      <c r="EE63" s="76">
        <f>IF(EE$169=0,0,IFERROR(INDEX('2 Staff List'!$GA$64:$GA$114,EE$21),0))</f>
        <v>0</v>
      </c>
      <c r="EF63" s="76">
        <f>IF(EF$169=0,0,IFERROR(INDEX('2 Staff List'!$GA$64:$GA$114,EF$21),0))</f>
        <v>0</v>
      </c>
      <c r="EG63" s="76">
        <f>IF(EG$169=0,0,IFERROR(INDEX('2 Staff List'!$GA$64:$GA$114,EG$21),0))</f>
        <v>0</v>
      </c>
      <c r="EH63" s="76">
        <f>IF(EH$169=0,0,IFERROR(INDEX('2 Staff List'!$GA$64:$GA$114,EH$21),0))</f>
        <v>0</v>
      </c>
      <c r="EI63" s="76">
        <f>IF(EI$169=0,0,IFERROR(INDEX('2 Staff List'!$GA$64:$GA$114,EI$21),0))</f>
        <v>0</v>
      </c>
      <c r="EJ63" s="76">
        <f>IF(EJ$169=0,0,IFERROR(INDEX('2 Staff List'!$GA$64:$GA$114,EJ$21),0))</f>
        <v>0</v>
      </c>
      <c r="EK63" s="76">
        <f>IF(EK$169=0,0,IFERROR(INDEX('2 Staff List'!$GA$64:$GA$114,EK$21),0))</f>
        <v>0</v>
      </c>
      <c r="EL63" s="76">
        <f>IF(EL$169=0,0,IFERROR(INDEX('2 Staff List'!$GA$64:$GA$114,EL$21),0))</f>
        <v>0</v>
      </c>
      <c r="EM63" s="76">
        <f>IF(EM$169=0,0,IFERROR(INDEX('2 Staff List'!$GA$64:$GA$114,EM$21),0))</f>
        <v>0</v>
      </c>
      <c r="EN63" s="76">
        <f>IF(EN$169=0,0,IFERROR(INDEX('2 Staff List'!$GA$64:$GA$114,EN$21),0))</f>
        <v>0</v>
      </c>
      <c r="EO63" s="76">
        <f>IF(EO$169=0,0,IFERROR(INDEX('2 Staff List'!$GA$64:$GA$114,EO$21),0))</f>
        <v>0</v>
      </c>
      <c r="EP63" s="76">
        <f>IF(EP$169=0,0,IFERROR(INDEX('2 Staff List'!$GA$64:$GA$114,EP$21),0))</f>
        <v>0</v>
      </c>
      <c r="EQ63" s="76">
        <f>IF(EQ$169=0,0,IFERROR(INDEX('2 Staff List'!$GA$64:$GA$114,EQ$21),0))</f>
        <v>0</v>
      </c>
      <c r="ER63" s="76">
        <f>IF(ER$169=0,0,IFERROR(INDEX('2 Staff List'!$GA$64:$GA$114,ER$21),0))</f>
        <v>0</v>
      </c>
      <c r="ES63" s="76">
        <f>IF(ES$169=0,0,IFERROR(INDEX('2 Staff List'!$GA$64:$GA$114,ES$21),0))</f>
        <v>0</v>
      </c>
      <c r="ET63" s="76">
        <f>IF(ET$169=0,0,IFERROR(INDEX('2 Staff List'!$GA$64:$GA$114,ET$21),0))</f>
        <v>0</v>
      </c>
      <c r="EU63" s="76">
        <f>IF(EU$169=0,0,IFERROR(INDEX('2 Staff List'!$GA$64:$GA$114,EU$21),0))</f>
        <v>0</v>
      </c>
      <c r="EV63" s="76">
        <f>IF(EV$169=0,0,IFERROR(INDEX('2 Staff List'!$GA$64:$GA$114,EV$21),0))</f>
        <v>0</v>
      </c>
      <c r="EW63" s="76">
        <f>IF(EW$169=0,0,IFERROR(INDEX('2 Staff List'!$GA$64:$GA$114,EW$21),0))</f>
        <v>0</v>
      </c>
      <c r="EX63" s="76">
        <f>IF(EX$169=0,0,IFERROR(INDEX('2 Staff List'!$GA$64:$GA$114,EX$21),0))</f>
        <v>0</v>
      </c>
      <c r="EY63" s="76">
        <f>IF(EY$169=0,0,IFERROR(INDEX('2 Staff List'!$GA$64:$GA$114,EY$21),0))</f>
        <v>0</v>
      </c>
      <c r="EZ63" s="76">
        <f>IF(EZ$169=0,0,IFERROR(INDEX('2 Staff List'!$GA$64:$GA$114,EZ$21),0))</f>
        <v>0</v>
      </c>
      <c r="FA63" s="76">
        <f>IF(FA$169=0,0,IFERROR(INDEX('2 Staff List'!$GA$64:$GA$114,FA$21),0))</f>
        <v>0</v>
      </c>
      <c r="FB63" s="76">
        <f>IF(FB$169=0,0,IFERROR(INDEX('2 Staff List'!$GA$64:$GA$114,FB$21),0))</f>
        <v>0</v>
      </c>
      <c r="FC63" s="76">
        <f>IF(FC$169=0,0,IFERROR(INDEX('2 Staff List'!$GA$64:$GA$114,FC$21),0))</f>
        <v>0</v>
      </c>
      <c r="FD63" s="76">
        <f>IF(FD$169=0,0,IFERROR(INDEX('2 Staff List'!$GA$64:$GA$114,FD$21),0))</f>
        <v>0</v>
      </c>
      <c r="FE63" s="76">
        <f>IF(FE$169=0,0,IFERROR(INDEX('2 Staff List'!$GA$64:$GA$114,FE$21),0))</f>
        <v>0</v>
      </c>
      <c r="FF63" s="76">
        <f>IF(FF$169=0,0,IFERROR(INDEX('2 Staff List'!$GA$64:$GA$114,FF$21),0))</f>
        <v>0</v>
      </c>
      <c r="FG63" s="76">
        <f>IF(FG$169=0,0,IFERROR(INDEX('2 Staff List'!$GA$64:$GA$114,FG$21),0))</f>
        <v>0</v>
      </c>
      <c r="FH63" s="922"/>
      <c r="FI63" s="305"/>
      <c r="FJ63" s="307"/>
      <c r="FK63" s="307"/>
      <c r="FL63" s="285"/>
      <c r="FM63" s="285"/>
      <c r="FN63" s="285"/>
      <c r="FO63" s="285"/>
      <c r="FP63" s="285"/>
      <c r="FQ63" s="285"/>
      <c r="FR63" s="285"/>
      <c r="FS63" s="285"/>
      <c r="FT63" s="285"/>
      <c r="FU63" s="285"/>
      <c r="FV63" s="285"/>
      <c r="FW63" s="285"/>
      <c r="FX63" s="285"/>
      <c r="FY63" s="285"/>
      <c r="FZ63" s="285"/>
      <c r="GA63" s="285"/>
      <c r="GB63" s="285"/>
      <c r="GC63" s="285"/>
      <c r="GD63" s="285"/>
      <c r="GE63" s="285"/>
      <c r="GF63" s="285"/>
      <c r="GG63" s="285"/>
      <c r="GH63" s="285"/>
      <c r="GI63" s="285"/>
      <c r="GJ63" s="285"/>
      <c r="GK63" s="285"/>
      <c r="GL63" s="285"/>
      <c r="GM63" s="285"/>
      <c r="GN63" s="285"/>
      <c r="GO63" s="285"/>
      <c r="GP63" s="285"/>
      <c r="GQ63" s="285"/>
      <c r="GR63" s="285"/>
      <c r="GS63" s="285"/>
      <c r="GT63" s="285"/>
      <c r="GU63" s="285"/>
      <c r="GV63" s="285"/>
      <c r="GW63" s="285"/>
      <c r="GX63" s="285"/>
      <c r="GY63" s="285"/>
      <c r="GZ63" s="285"/>
      <c r="HA63" s="285"/>
      <c r="HB63" s="285"/>
      <c r="HC63" s="285"/>
      <c r="HD63" s="285"/>
      <c r="HE63" s="285"/>
      <c r="HF63" s="285"/>
      <c r="HG63" s="285"/>
      <c r="HH63" s="285"/>
      <c r="HI63" s="285"/>
      <c r="HJ63" s="285"/>
      <c r="HK63" s="285"/>
      <c r="HL63" s="285"/>
      <c r="HM63" s="285"/>
      <c r="HN63" s="285"/>
      <c r="HO63" s="285"/>
      <c r="HP63" s="285"/>
      <c r="HQ63" s="285"/>
      <c r="HR63" s="285"/>
      <c r="HS63" s="285"/>
      <c r="HT63" s="285"/>
      <c r="HU63" s="285"/>
      <c r="HV63" s="285"/>
      <c r="HW63" s="285"/>
      <c r="HX63" s="285"/>
      <c r="HY63" s="285"/>
      <c r="HZ63" s="285"/>
      <c r="IA63" s="285"/>
      <c r="IB63" s="285"/>
      <c r="IC63" s="285"/>
      <c r="ID63" s="285"/>
      <c r="IE63" s="285"/>
      <c r="IF63" s="285"/>
      <c r="IG63" s="285"/>
      <c r="IH63" s="285"/>
      <c r="II63" s="285"/>
      <c r="IJ63" s="285"/>
      <c r="IK63" s="285"/>
      <c r="IL63" s="285"/>
      <c r="IM63" s="285"/>
      <c r="IN63" s="285"/>
      <c r="IO63" s="285"/>
      <c r="IP63" s="285"/>
      <c r="IQ63" s="285"/>
      <c r="IR63" s="285"/>
      <c r="IS63" s="285"/>
      <c r="IT63" s="285"/>
      <c r="IU63" s="285"/>
      <c r="IV63" s="285"/>
      <c r="IW63" s="285"/>
      <c r="IX63" s="285"/>
      <c r="IY63" s="285"/>
      <c r="IZ63" s="285"/>
      <c r="JA63" s="285"/>
      <c r="JB63" s="285"/>
      <c r="JC63" s="285"/>
      <c r="JD63" s="285"/>
      <c r="JE63" s="285"/>
      <c r="JF63" s="285"/>
      <c r="JG63" s="285"/>
      <c r="JH63" s="285"/>
      <c r="JI63" s="285"/>
      <c r="JJ63" s="285"/>
      <c r="JK63" s="285"/>
      <c r="JL63" s="285"/>
      <c r="JM63" s="285"/>
      <c r="JN63" s="285"/>
      <c r="JO63" s="285"/>
      <c r="JP63" s="285"/>
      <c r="JQ63" s="285"/>
      <c r="JR63" s="285"/>
      <c r="JS63" s="285"/>
      <c r="JT63" s="285"/>
      <c r="JU63" s="285"/>
      <c r="JV63" s="285"/>
      <c r="JW63" s="285"/>
      <c r="JX63" s="285"/>
      <c r="JY63" s="285"/>
      <c r="JZ63" s="285"/>
      <c r="KA63" s="285"/>
      <c r="KB63" s="285"/>
      <c r="KC63" s="285"/>
      <c r="KD63" s="285"/>
      <c r="KE63" s="285"/>
      <c r="KF63" s="285"/>
      <c r="KG63" s="285"/>
      <c r="KH63" s="285"/>
      <c r="KI63" s="285"/>
      <c r="KJ63" s="285"/>
      <c r="KK63" s="285"/>
      <c r="KL63" s="285"/>
      <c r="KM63" s="285"/>
      <c r="KN63" s="285"/>
      <c r="KO63" s="285"/>
      <c r="KP63" s="285"/>
      <c r="KQ63" s="285"/>
      <c r="KR63" s="285"/>
      <c r="KS63" s="285"/>
      <c r="KT63" s="285"/>
      <c r="KU63" s="285"/>
      <c r="KV63" s="285"/>
      <c r="KW63" s="285"/>
      <c r="KX63" s="285"/>
      <c r="KY63" s="285"/>
      <c r="KZ63" s="285"/>
      <c r="LA63" s="285"/>
      <c r="LB63" s="285"/>
      <c r="LC63" s="285"/>
      <c r="LD63" s="285"/>
      <c r="LE63" s="285"/>
      <c r="LF63" s="285"/>
      <c r="LG63" s="285"/>
      <c r="LH63" s="285"/>
      <c r="LI63" s="285"/>
      <c r="LJ63" s="285"/>
      <c r="LK63" s="285"/>
      <c r="LL63" s="285"/>
      <c r="LM63" s="285"/>
      <c r="LN63" s="285"/>
      <c r="LO63" s="285"/>
      <c r="LP63" s="285"/>
    </row>
    <row r="64" spans="1:328" ht="12.75" hidden="1" customHeight="1" x14ac:dyDescent="0.3">
      <c r="A64" s="285"/>
      <c r="B64" s="285"/>
      <c r="C64" s="286"/>
      <c r="D64" s="285"/>
      <c r="E64" s="285"/>
      <c r="F64" s="285"/>
      <c r="G64" s="285"/>
      <c r="H64" s="285"/>
      <c r="I64" s="285"/>
      <c r="J64" s="285"/>
      <c r="K64" s="285"/>
      <c r="L64" s="285"/>
      <c r="M64" s="287"/>
      <c r="N64" s="287"/>
      <c r="O64" s="287"/>
      <c r="P64" s="287"/>
      <c r="Q64" s="287"/>
      <c r="R64" s="287"/>
      <c r="S64" s="285"/>
      <c r="T64" s="285"/>
      <c r="U64" s="285"/>
      <c r="V64" s="285"/>
      <c r="W64" s="285"/>
      <c r="X64" s="285"/>
      <c r="Y64" s="285"/>
      <c r="Z64" s="285"/>
      <c r="AA64" s="285"/>
      <c r="AB64" s="285"/>
      <c r="AC64" s="285"/>
      <c r="AD64" s="285"/>
      <c r="AE64" s="285"/>
      <c r="AF64" s="285"/>
      <c r="AG64" s="285"/>
      <c r="AH64" s="2513"/>
      <c r="AI64" s="285"/>
      <c r="AJ64" s="285"/>
      <c r="AK64" s="285"/>
      <c r="AL64" s="285"/>
      <c r="AM64" s="285"/>
      <c r="AN64" s="285"/>
      <c r="AO64" s="285"/>
      <c r="AP64" s="285"/>
      <c r="AQ64" s="285"/>
      <c r="AR64" s="285"/>
      <c r="AS64" s="285"/>
      <c r="AT64" s="285"/>
      <c r="AU64" s="285"/>
      <c r="AV64" s="285"/>
      <c r="AW64" s="285"/>
      <c r="AX64" s="285"/>
      <c r="AY64" s="285"/>
      <c r="AZ64" s="285"/>
      <c r="BA64" s="285"/>
      <c r="BB64" s="285"/>
      <c r="BC64" s="285"/>
      <c r="BD64" s="285"/>
      <c r="BE64" s="285"/>
      <c r="BF64" s="285"/>
      <c r="BG64" s="285"/>
      <c r="BH64" s="285"/>
      <c r="BI64" s="285"/>
      <c r="BJ64" s="285"/>
      <c r="BK64" s="285"/>
      <c r="BL64" s="285"/>
      <c r="BM64" s="285"/>
      <c r="BN64" s="285"/>
      <c r="BO64" s="285"/>
      <c r="BP64" s="285"/>
      <c r="BQ64" s="285"/>
      <c r="BR64" s="285"/>
      <c r="BS64" s="285"/>
      <c r="BT64" s="285"/>
      <c r="BU64" s="285"/>
      <c r="BV64" s="285"/>
      <c r="BW64" s="285"/>
      <c r="BX64" s="285"/>
      <c r="BY64" s="285"/>
      <c r="BZ64" s="285"/>
      <c r="CA64" s="285"/>
      <c r="CB64" s="285"/>
      <c r="CC64" s="285"/>
      <c r="CD64" s="285"/>
      <c r="CE64" s="285"/>
      <c r="CF64" s="285"/>
      <c r="CG64" s="285"/>
      <c r="CH64" s="285"/>
      <c r="CI64" s="285"/>
      <c r="CJ64" s="285"/>
      <c r="CK64" s="285"/>
      <c r="CL64" s="285"/>
      <c r="CM64" s="285"/>
      <c r="CN64" s="285"/>
      <c r="CO64" s="285"/>
      <c r="CP64" s="285"/>
      <c r="CQ64" s="285"/>
      <c r="CR64" s="285"/>
      <c r="CS64" s="285"/>
      <c r="CT64" s="285"/>
      <c r="CU64" s="285"/>
      <c r="CV64" s="285"/>
      <c r="CW64" s="285"/>
      <c r="CX64" s="285"/>
      <c r="CY64" s="285"/>
      <c r="CZ64" s="285"/>
      <c r="DA64" s="285"/>
      <c r="DB64" s="285"/>
      <c r="DC64" s="285"/>
      <c r="DD64" s="285"/>
      <c r="DE64" s="285"/>
      <c r="DF64" s="285"/>
      <c r="DG64" s="309"/>
      <c r="DH64" s="442" t="s">
        <v>1587</v>
      </c>
      <c r="DI64" s="285"/>
      <c r="DJ64" s="76">
        <f>IF(DJ$169=0,0,IFERROR(INDEX('2 Staff List'!$GB$64:$GB$114,DJ$21),0))</f>
        <v>58.032992</v>
      </c>
      <c r="DK64" s="76">
        <f>IF(DK$169=0,0,IFERROR(INDEX('2 Staff List'!$GB$64:$GB$114,DK$21),0))</f>
        <v>17.269024000000002</v>
      </c>
      <c r="DL64" s="76">
        <f>IF(DL$169=0,0,IFERROR(INDEX('2 Staff List'!$GB$64:$GB$114,DL$21),0))</f>
        <v>62.678264000000006</v>
      </c>
      <c r="DM64" s="76">
        <f>IF(DM$169=0,0,IFERROR(INDEX('2 Staff List'!$GB$64:$GB$114,DM$21),0))</f>
        <v>23</v>
      </c>
      <c r="DN64" s="76">
        <f>IF(DN$169=0,0,IFERROR(INDEX('2 Staff List'!$GB$64:$GB$114,DN$21),0))</f>
        <v>30.536799999999999</v>
      </c>
      <c r="DO64" s="76">
        <f>IF(DO$169=0,0,IFERROR(INDEX('2 Staff List'!$GB$64:$GB$114,DO$21),0))</f>
        <v>52.789599999999993</v>
      </c>
      <c r="DP64" s="76">
        <f>IF(DP$169=0,0,IFERROR(INDEX('2 Staff List'!$GB$64:$GB$114,DP$21),0))</f>
        <v>37.9696</v>
      </c>
      <c r="DQ64" s="76">
        <f>IF(DQ$169=0,0,IFERROR(INDEX('2 Staff List'!$GB$64:$GB$114,DQ$21),0))</f>
        <v>28.9864</v>
      </c>
      <c r="DR64" s="76">
        <f>IF(DR$169=0,0,IFERROR(INDEX('2 Staff List'!$GB$64:$GB$114,DR$21),0))</f>
        <v>27.329599999999999</v>
      </c>
      <c r="DS64" s="76">
        <f>IF(DS$169=0,0,IFERROR(INDEX('2 Staff List'!$GB$64:$GB$114,DS$21),0))</f>
        <v>24.578400000000002</v>
      </c>
      <c r="DT64" s="76">
        <f>IF(DT$169=0,0,IFERROR(INDEX('2 Staff List'!$GB$64:$GB$114,DT$21),0))</f>
        <v>0</v>
      </c>
      <c r="DU64" s="76">
        <f>IF(DU$169=0,0,IFERROR(INDEX('2 Staff List'!$GB$64:$GB$114,DU$21),0))</f>
        <v>0</v>
      </c>
      <c r="DV64" s="76">
        <f>IF(DV$169=0,0,IFERROR(INDEX('2 Staff List'!$GB$64:$GB$114,DV$21),0))</f>
        <v>0</v>
      </c>
      <c r="DW64" s="76">
        <f>IF(DW$169=0,0,IFERROR(INDEX('2 Staff List'!$GB$64:$GB$114,DW$21),0))</f>
        <v>0</v>
      </c>
      <c r="DX64" s="76">
        <f>IF(DX$169=0,0,IFERROR(INDEX('2 Staff List'!$GB$64:$GB$114,DX$21),0))</f>
        <v>0</v>
      </c>
      <c r="DY64" s="76">
        <f>IF(DY$169=0,0,IFERROR(INDEX('2 Staff List'!$GB$64:$GB$114,DY$21),0))</f>
        <v>0</v>
      </c>
      <c r="DZ64" s="76">
        <f>IF(DZ$169=0,0,IFERROR(INDEX('2 Staff List'!$GB$64:$GB$114,DZ$21),0))</f>
        <v>0</v>
      </c>
      <c r="EA64" s="76">
        <f>IF(EA$169=0,0,IFERROR(INDEX('2 Staff List'!$GB$64:$GB$114,EA$21),0))</f>
        <v>0</v>
      </c>
      <c r="EB64" s="76">
        <f>IF(EB$169=0,0,IFERROR(INDEX('2 Staff List'!$GB$64:$GB$114,EB$21),0))</f>
        <v>0</v>
      </c>
      <c r="EC64" s="76">
        <f>IF(EC$169=0,0,IFERROR(INDEX('2 Staff List'!$GB$64:$GB$114,EC$21),0))</f>
        <v>0</v>
      </c>
      <c r="ED64" s="76">
        <f>IF(ED$169=0,0,IFERROR(INDEX('2 Staff List'!$GB$64:$GB$114,ED$21),0))</f>
        <v>0</v>
      </c>
      <c r="EE64" s="76">
        <f>IF(EE$169=0,0,IFERROR(INDEX('2 Staff List'!$GB$64:$GB$114,EE$21),0))</f>
        <v>0</v>
      </c>
      <c r="EF64" s="76">
        <f>IF(EF$169=0,0,IFERROR(INDEX('2 Staff List'!$GB$64:$GB$114,EF$21),0))</f>
        <v>0</v>
      </c>
      <c r="EG64" s="76">
        <f>IF(EG$169=0,0,IFERROR(INDEX('2 Staff List'!$GB$64:$GB$114,EG$21),0))</f>
        <v>0</v>
      </c>
      <c r="EH64" s="76">
        <f>IF(EH$169=0,0,IFERROR(INDEX('2 Staff List'!$GB$64:$GB$114,EH$21),0))</f>
        <v>0</v>
      </c>
      <c r="EI64" s="76">
        <f>IF(EI$169=0,0,IFERROR(INDEX('2 Staff List'!$GB$64:$GB$114,EI$21),0))</f>
        <v>0</v>
      </c>
      <c r="EJ64" s="76">
        <f>IF(EJ$169=0,0,IFERROR(INDEX('2 Staff List'!$GB$64:$GB$114,EJ$21),0))</f>
        <v>0</v>
      </c>
      <c r="EK64" s="76">
        <f>IF(EK$169=0,0,IFERROR(INDEX('2 Staff List'!$GB$64:$GB$114,EK$21),0))</f>
        <v>0</v>
      </c>
      <c r="EL64" s="76">
        <f>IF(EL$169=0,0,IFERROR(INDEX('2 Staff List'!$GB$64:$GB$114,EL$21),0))</f>
        <v>0</v>
      </c>
      <c r="EM64" s="76">
        <f>IF(EM$169=0,0,IFERROR(INDEX('2 Staff List'!$GB$64:$GB$114,EM$21),0))</f>
        <v>0</v>
      </c>
      <c r="EN64" s="76">
        <f>IF(EN$169=0,0,IFERROR(INDEX('2 Staff List'!$GB$64:$GB$114,EN$21),0))</f>
        <v>0</v>
      </c>
      <c r="EO64" s="76">
        <f>IF(EO$169=0,0,IFERROR(INDEX('2 Staff List'!$GB$64:$GB$114,EO$21),0))</f>
        <v>0</v>
      </c>
      <c r="EP64" s="76">
        <f>IF(EP$169=0,0,IFERROR(INDEX('2 Staff List'!$GB$64:$GB$114,EP$21),0))</f>
        <v>0</v>
      </c>
      <c r="EQ64" s="76">
        <f>IF(EQ$169=0,0,IFERROR(INDEX('2 Staff List'!$GB$64:$GB$114,EQ$21),0))</f>
        <v>0</v>
      </c>
      <c r="ER64" s="76">
        <f>IF(ER$169=0,0,IFERROR(INDEX('2 Staff List'!$GB$64:$GB$114,ER$21),0))</f>
        <v>0</v>
      </c>
      <c r="ES64" s="76">
        <f>IF(ES$169=0,0,IFERROR(INDEX('2 Staff List'!$GB$64:$GB$114,ES$21),0))</f>
        <v>0</v>
      </c>
      <c r="ET64" s="76">
        <f>IF(ET$169=0,0,IFERROR(INDEX('2 Staff List'!$GB$64:$GB$114,ET$21),0))</f>
        <v>0</v>
      </c>
      <c r="EU64" s="76">
        <f>IF(EU$169=0,0,IFERROR(INDEX('2 Staff List'!$GB$64:$GB$114,EU$21),0))</f>
        <v>0</v>
      </c>
      <c r="EV64" s="76">
        <f>IF(EV$169=0,0,IFERROR(INDEX('2 Staff List'!$GB$64:$GB$114,EV$21),0))</f>
        <v>0</v>
      </c>
      <c r="EW64" s="76">
        <f>IF(EW$169=0,0,IFERROR(INDEX('2 Staff List'!$GB$64:$GB$114,EW$21),0))</f>
        <v>0</v>
      </c>
      <c r="EX64" s="76">
        <f>IF(EX$169=0,0,IFERROR(INDEX('2 Staff List'!$GB$64:$GB$114,EX$21),0))</f>
        <v>0</v>
      </c>
      <c r="EY64" s="76">
        <f>IF(EY$169=0,0,IFERROR(INDEX('2 Staff List'!$GB$64:$GB$114,EY$21),0))</f>
        <v>0</v>
      </c>
      <c r="EZ64" s="76">
        <f>IF(EZ$169=0,0,IFERROR(INDEX('2 Staff List'!$GB$64:$GB$114,EZ$21),0))</f>
        <v>0</v>
      </c>
      <c r="FA64" s="76">
        <f>IF(FA$169=0,0,IFERROR(INDEX('2 Staff List'!$GB$64:$GB$114,FA$21),0))</f>
        <v>0</v>
      </c>
      <c r="FB64" s="76">
        <f>IF(FB$169=0,0,IFERROR(INDEX('2 Staff List'!$GB$64:$GB$114,FB$21),0))</f>
        <v>0</v>
      </c>
      <c r="FC64" s="76">
        <f>IF(FC$169=0,0,IFERROR(INDEX('2 Staff List'!$GB$64:$GB$114,FC$21),0))</f>
        <v>0</v>
      </c>
      <c r="FD64" s="76">
        <f>IF(FD$169=0,0,IFERROR(INDEX('2 Staff List'!$GB$64:$GB$114,FD$21),0))</f>
        <v>0</v>
      </c>
      <c r="FE64" s="76">
        <f>IF(FE$169=0,0,IFERROR(INDEX('2 Staff List'!$GB$64:$GB$114,FE$21),0))</f>
        <v>0</v>
      </c>
      <c r="FF64" s="76">
        <f>IF(FF$169=0,0,IFERROR(INDEX('2 Staff List'!$GB$64:$GB$114,FF$21),0))</f>
        <v>0</v>
      </c>
      <c r="FG64" s="76">
        <f>IF(FG$169=0,0,IFERROR(INDEX('2 Staff List'!$GB$64:$GB$114,FG$21),0))</f>
        <v>0</v>
      </c>
      <c r="FH64" s="922"/>
      <c r="FI64" s="305"/>
      <c r="FJ64" s="307"/>
      <c r="FK64" s="307"/>
      <c r="FL64" s="285"/>
      <c r="FM64" s="285"/>
      <c r="FN64" s="285"/>
      <c r="FO64" s="285"/>
      <c r="FP64" s="285"/>
      <c r="FQ64" s="285"/>
      <c r="FR64" s="285"/>
      <c r="FS64" s="285"/>
      <c r="FT64" s="285"/>
      <c r="FU64" s="285"/>
      <c r="FV64" s="285"/>
      <c r="FW64" s="285"/>
      <c r="FX64" s="285"/>
      <c r="FY64" s="285"/>
      <c r="FZ64" s="285"/>
      <c r="GA64" s="285"/>
      <c r="GB64" s="285"/>
      <c r="GC64" s="285"/>
      <c r="GD64" s="285"/>
      <c r="GE64" s="285"/>
      <c r="GF64" s="285"/>
      <c r="GG64" s="285"/>
      <c r="GH64" s="285"/>
      <c r="GI64" s="285"/>
      <c r="GJ64" s="285"/>
      <c r="GK64" s="285"/>
      <c r="GL64" s="285"/>
      <c r="GM64" s="285"/>
      <c r="GN64" s="285"/>
      <c r="GO64" s="285"/>
      <c r="GP64" s="285"/>
      <c r="GQ64" s="285"/>
      <c r="GR64" s="285"/>
      <c r="GS64" s="285"/>
      <c r="GT64" s="285"/>
      <c r="GU64" s="285"/>
      <c r="GV64" s="285"/>
      <c r="GW64" s="285"/>
      <c r="GX64" s="285"/>
      <c r="GY64" s="285"/>
      <c r="GZ64" s="285"/>
      <c r="HA64" s="285"/>
      <c r="HB64" s="285"/>
      <c r="HC64" s="285"/>
      <c r="HD64" s="285"/>
      <c r="HE64" s="285"/>
      <c r="HF64" s="285"/>
      <c r="HG64" s="285"/>
      <c r="HH64" s="285"/>
      <c r="HI64" s="285"/>
      <c r="HJ64" s="285"/>
      <c r="HK64" s="285"/>
      <c r="HL64" s="285"/>
      <c r="HM64" s="285"/>
      <c r="HN64" s="285"/>
      <c r="HO64" s="285"/>
      <c r="HP64" s="285"/>
      <c r="HQ64" s="285"/>
      <c r="HR64" s="285"/>
      <c r="HS64" s="285"/>
      <c r="HT64" s="285"/>
      <c r="HU64" s="285"/>
      <c r="HV64" s="285"/>
      <c r="HW64" s="285"/>
      <c r="HX64" s="285"/>
      <c r="HY64" s="285"/>
      <c r="HZ64" s="285"/>
      <c r="IA64" s="285"/>
      <c r="IB64" s="285"/>
      <c r="IC64" s="285"/>
      <c r="ID64" s="285"/>
      <c r="IE64" s="285"/>
      <c r="IF64" s="285"/>
      <c r="IG64" s="285"/>
      <c r="IH64" s="285"/>
      <c r="II64" s="285"/>
      <c r="IJ64" s="285"/>
      <c r="IK64" s="285"/>
      <c r="IL64" s="285"/>
      <c r="IM64" s="285"/>
      <c r="IN64" s="285"/>
      <c r="IO64" s="285"/>
      <c r="IP64" s="285"/>
      <c r="IQ64" s="285"/>
      <c r="IR64" s="285"/>
      <c r="IS64" s="285"/>
      <c r="IT64" s="285"/>
      <c r="IU64" s="285"/>
      <c r="IV64" s="285"/>
      <c r="IW64" s="285"/>
      <c r="IX64" s="285"/>
      <c r="IY64" s="285"/>
      <c r="IZ64" s="285"/>
      <c r="JA64" s="285"/>
      <c r="JB64" s="285"/>
      <c r="JC64" s="285"/>
      <c r="JD64" s="285"/>
      <c r="JE64" s="285"/>
      <c r="JF64" s="285"/>
      <c r="JG64" s="285"/>
      <c r="JH64" s="285"/>
      <c r="JI64" s="285"/>
      <c r="JJ64" s="285"/>
      <c r="JK64" s="285"/>
      <c r="JL64" s="285"/>
      <c r="JM64" s="285"/>
      <c r="JN64" s="285"/>
      <c r="JO64" s="285"/>
      <c r="JP64" s="285"/>
      <c r="JQ64" s="285"/>
      <c r="JR64" s="285"/>
      <c r="JS64" s="285"/>
      <c r="JT64" s="285"/>
      <c r="JU64" s="285"/>
      <c r="JV64" s="285"/>
      <c r="JW64" s="285"/>
      <c r="JX64" s="285"/>
      <c r="JY64" s="285"/>
      <c r="JZ64" s="285"/>
      <c r="KA64" s="285"/>
      <c r="KB64" s="285"/>
      <c r="KC64" s="285"/>
      <c r="KD64" s="285"/>
      <c r="KE64" s="285"/>
      <c r="KF64" s="285"/>
      <c r="KG64" s="285"/>
      <c r="KH64" s="285"/>
      <c r="KI64" s="285"/>
      <c r="KJ64" s="285"/>
      <c r="KK64" s="285"/>
      <c r="KL64" s="285"/>
      <c r="KM64" s="285"/>
      <c r="KN64" s="285"/>
      <c r="KO64" s="285"/>
      <c r="KP64" s="285"/>
      <c r="KQ64" s="285"/>
      <c r="KR64" s="285"/>
      <c r="KS64" s="285"/>
      <c r="KT64" s="285"/>
      <c r="KU64" s="285"/>
      <c r="KV64" s="285"/>
      <c r="KW64" s="285"/>
      <c r="KX64" s="285"/>
      <c r="KY64" s="285"/>
      <c r="KZ64" s="285"/>
      <c r="LA64" s="285"/>
      <c r="LB64" s="285"/>
      <c r="LC64" s="285"/>
      <c r="LD64" s="285"/>
      <c r="LE64" s="285"/>
      <c r="LF64" s="285"/>
      <c r="LG64" s="285"/>
      <c r="LH64" s="285"/>
      <c r="LI64" s="285"/>
      <c r="LJ64" s="285"/>
      <c r="LK64" s="285"/>
      <c r="LL64" s="285"/>
      <c r="LM64" s="285"/>
      <c r="LN64" s="285"/>
      <c r="LO64" s="285"/>
      <c r="LP64" s="285"/>
    </row>
    <row r="65" spans="1:328" ht="12.75" hidden="1" customHeight="1" x14ac:dyDescent="0.3">
      <c r="A65" s="285"/>
      <c r="B65" s="285"/>
      <c r="C65" s="286"/>
      <c r="D65" s="285"/>
      <c r="E65" s="285"/>
      <c r="F65" s="285"/>
      <c r="G65" s="285"/>
      <c r="H65" s="285"/>
      <c r="I65" s="285"/>
      <c r="J65" s="285"/>
      <c r="K65" s="285"/>
      <c r="L65" s="285"/>
      <c r="M65" s="287"/>
      <c r="N65" s="287"/>
      <c r="O65" s="287"/>
      <c r="P65" s="287"/>
      <c r="Q65" s="287"/>
      <c r="R65" s="287"/>
      <c r="S65" s="285"/>
      <c r="T65" s="285"/>
      <c r="U65" s="285"/>
      <c r="V65" s="285"/>
      <c r="W65" s="285"/>
      <c r="X65" s="285"/>
      <c r="Y65" s="285"/>
      <c r="Z65" s="285"/>
      <c r="AA65" s="285"/>
      <c r="AB65" s="285"/>
      <c r="AC65" s="285"/>
      <c r="AD65" s="285"/>
      <c r="AE65" s="285"/>
      <c r="AF65" s="285"/>
      <c r="AG65" s="285"/>
      <c r="AH65" s="2513"/>
      <c r="AI65" s="285"/>
      <c r="AJ65" s="285"/>
      <c r="AK65" s="285"/>
      <c r="AL65" s="285"/>
      <c r="AM65" s="285"/>
      <c r="AN65" s="285"/>
      <c r="AO65" s="285"/>
      <c r="AP65" s="285"/>
      <c r="AQ65" s="285"/>
      <c r="AR65" s="285"/>
      <c r="AS65" s="285"/>
      <c r="AT65" s="285"/>
      <c r="AU65" s="285"/>
      <c r="AV65" s="285"/>
      <c r="AW65" s="285"/>
      <c r="AX65" s="285"/>
      <c r="AY65" s="285"/>
      <c r="AZ65" s="285"/>
      <c r="BA65" s="285"/>
      <c r="BB65" s="285"/>
      <c r="BC65" s="285"/>
      <c r="BD65" s="285"/>
      <c r="BE65" s="285"/>
      <c r="BF65" s="285"/>
      <c r="BG65" s="285"/>
      <c r="BH65" s="285"/>
      <c r="BI65" s="285"/>
      <c r="BJ65" s="285"/>
      <c r="BK65" s="285"/>
      <c r="BL65" s="285"/>
      <c r="BM65" s="285"/>
      <c r="BN65" s="285"/>
      <c r="BO65" s="285"/>
      <c r="BP65" s="285"/>
      <c r="BQ65" s="285"/>
      <c r="BR65" s="285"/>
      <c r="BS65" s="285"/>
      <c r="BT65" s="285"/>
      <c r="BU65" s="285"/>
      <c r="BV65" s="285"/>
      <c r="BW65" s="285"/>
      <c r="BX65" s="285"/>
      <c r="BY65" s="285"/>
      <c r="BZ65" s="285"/>
      <c r="CA65" s="285"/>
      <c r="CB65" s="285"/>
      <c r="CC65" s="285"/>
      <c r="CD65" s="285"/>
      <c r="CE65" s="285"/>
      <c r="CF65" s="285"/>
      <c r="CG65" s="285"/>
      <c r="CH65" s="285"/>
      <c r="CI65" s="285"/>
      <c r="CJ65" s="285"/>
      <c r="CK65" s="285"/>
      <c r="CL65" s="285"/>
      <c r="CM65" s="285"/>
      <c r="CN65" s="285"/>
      <c r="CO65" s="285"/>
      <c r="CP65" s="285"/>
      <c r="CQ65" s="285"/>
      <c r="CR65" s="285"/>
      <c r="CS65" s="285"/>
      <c r="CT65" s="285"/>
      <c r="CU65" s="285"/>
      <c r="CV65" s="285"/>
      <c r="CW65" s="285"/>
      <c r="CX65" s="285"/>
      <c r="CY65" s="285"/>
      <c r="CZ65" s="285"/>
      <c r="DA65" s="285"/>
      <c r="DB65" s="285"/>
      <c r="DC65" s="285"/>
      <c r="DD65" s="285"/>
      <c r="DE65" s="285"/>
      <c r="DF65" s="285"/>
      <c r="DG65" s="309"/>
      <c r="DH65" s="442" t="s">
        <v>1588</v>
      </c>
      <c r="DI65" s="285"/>
      <c r="DJ65" s="76">
        <f>IF(DJ$169=0,0,IFERROR(INDEX('2 Staff List'!$GC$64:$GC$114,DJ$21),0))</f>
        <v>58.032992</v>
      </c>
      <c r="DK65" s="76">
        <f>IF(DK$169=0,0,IFERROR(INDEX('2 Staff List'!$GC$64:$GC$114,DK$21),0))</f>
        <v>17.269024000000002</v>
      </c>
      <c r="DL65" s="76">
        <f>IF(DL$169=0,0,IFERROR(INDEX('2 Staff List'!$GC$64:$GC$114,DL$21),0))</f>
        <v>62.678264000000006</v>
      </c>
      <c r="DM65" s="76">
        <f>IF(DM$169=0,0,IFERROR(INDEX('2 Staff List'!$GC$64:$GC$114,DM$21),0))</f>
        <v>23</v>
      </c>
      <c r="DN65" s="76">
        <f>IF(DN$169=0,0,IFERROR(INDEX('2 Staff List'!$GC$64:$GC$114,DN$21),0))</f>
        <v>30.536799999999999</v>
      </c>
      <c r="DO65" s="76">
        <f>IF(DO$169=0,0,IFERROR(INDEX('2 Staff List'!$GC$64:$GC$114,DO$21),0))</f>
        <v>52.789599999999993</v>
      </c>
      <c r="DP65" s="76">
        <f>IF(DP$169=0,0,IFERROR(INDEX('2 Staff List'!$GC$64:$GC$114,DP$21),0))</f>
        <v>37.9696</v>
      </c>
      <c r="DQ65" s="76">
        <f>IF(DQ$169=0,0,IFERROR(INDEX('2 Staff List'!$GC$64:$GC$114,DQ$21),0))</f>
        <v>28.9864</v>
      </c>
      <c r="DR65" s="76">
        <f>IF(DR$169=0,0,IFERROR(INDEX('2 Staff List'!$GC$64:$GC$114,DR$21),0))</f>
        <v>27.329599999999999</v>
      </c>
      <c r="DS65" s="76">
        <f>IF(DS$169=0,0,IFERROR(INDEX('2 Staff List'!$GC$64:$GC$114,DS$21),0))</f>
        <v>24.578400000000002</v>
      </c>
      <c r="DT65" s="76">
        <f>IF(DT$169=0,0,IFERROR(INDEX('2 Staff List'!$GC$64:$GC$114,DT$21),0))</f>
        <v>0</v>
      </c>
      <c r="DU65" s="76">
        <f>IF(DU$169=0,0,IFERROR(INDEX('2 Staff List'!$GC$64:$GC$114,DU$21),0))</f>
        <v>0</v>
      </c>
      <c r="DV65" s="76">
        <f>IF(DV$169=0,0,IFERROR(INDEX('2 Staff List'!$GC$64:$GC$114,DV$21),0))</f>
        <v>0</v>
      </c>
      <c r="DW65" s="76">
        <f>IF(DW$169=0,0,IFERROR(INDEX('2 Staff List'!$GC$64:$GC$114,DW$21),0))</f>
        <v>0</v>
      </c>
      <c r="DX65" s="76">
        <f>IF(DX$169=0,0,IFERROR(INDEX('2 Staff List'!$GC$64:$GC$114,DX$21),0))</f>
        <v>0</v>
      </c>
      <c r="DY65" s="76">
        <f>IF(DY$169=0,0,IFERROR(INDEX('2 Staff List'!$GC$64:$GC$114,DY$21),0))</f>
        <v>0</v>
      </c>
      <c r="DZ65" s="76">
        <f>IF(DZ$169=0,0,IFERROR(INDEX('2 Staff List'!$GC$64:$GC$114,DZ$21),0))</f>
        <v>0</v>
      </c>
      <c r="EA65" s="76">
        <f>IF(EA$169=0,0,IFERROR(INDEX('2 Staff List'!$GC$64:$GC$114,EA$21),0))</f>
        <v>0</v>
      </c>
      <c r="EB65" s="76">
        <f>IF(EB$169=0,0,IFERROR(INDEX('2 Staff List'!$GC$64:$GC$114,EB$21),0))</f>
        <v>0</v>
      </c>
      <c r="EC65" s="76">
        <f>IF(EC$169=0,0,IFERROR(INDEX('2 Staff List'!$GC$64:$GC$114,EC$21),0))</f>
        <v>0</v>
      </c>
      <c r="ED65" s="76">
        <f>IF(ED$169=0,0,IFERROR(INDEX('2 Staff List'!$GC$64:$GC$114,ED$21),0))</f>
        <v>0</v>
      </c>
      <c r="EE65" s="76">
        <f>IF(EE$169=0,0,IFERROR(INDEX('2 Staff List'!$GC$64:$GC$114,EE$21),0))</f>
        <v>0</v>
      </c>
      <c r="EF65" s="76">
        <f>IF(EF$169=0,0,IFERROR(INDEX('2 Staff List'!$GC$64:$GC$114,EF$21),0))</f>
        <v>0</v>
      </c>
      <c r="EG65" s="76">
        <f>IF(EG$169=0,0,IFERROR(INDEX('2 Staff List'!$GC$64:$GC$114,EG$21),0))</f>
        <v>0</v>
      </c>
      <c r="EH65" s="76">
        <f>IF(EH$169=0,0,IFERROR(INDEX('2 Staff List'!$GC$64:$GC$114,EH$21),0))</f>
        <v>0</v>
      </c>
      <c r="EI65" s="76">
        <f>IF(EI$169=0,0,IFERROR(INDEX('2 Staff List'!$GC$64:$GC$114,EI$21),0))</f>
        <v>0</v>
      </c>
      <c r="EJ65" s="76">
        <f>IF(EJ$169=0,0,IFERROR(INDEX('2 Staff List'!$GC$64:$GC$114,EJ$21),0))</f>
        <v>0</v>
      </c>
      <c r="EK65" s="76">
        <f>IF(EK$169=0,0,IFERROR(INDEX('2 Staff List'!$GC$64:$GC$114,EK$21),0))</f>
        <v>0</v>
      </c>
      <c r="EL65" s="76">
        <f>IF(EL$169=0,0,IFERROR(INDEX('2 Staff List'!$GC$64:$GC$114,EL$21),0))</f>
        <v>0</v>
      </c>
      <c r="EM65" s="76">
        <f>IF(EM$169=0,0,IFERROR(INDEX('2 Staff List'!$GC$64:$GC$114,EM$21),0))</f>
        <v>0</v>
      </c>
      <c r="EN65" s="76">
        <f>IF(EN$169=0,0,IFERROR(INDEX('2 Staff List'!$GC$64:$GC$114,EN$21),0))</f>
        <v>0</v>
      </c>
      <c r="EO65" s="76">
        <f>IF(EO$169=0,0,IFERROR(INDEX('2 Staff List'!$GC$64:$GC$114,EO$21),0))</f>
        <v>0</v>
      </c>
      <c r="EP65" s="76">
        <f>IF(EP$169=0,0,IFERROR(INDEX('2 Staff List'!$GC$64:$GC$114,EP$21),0))</f>
        <v>0</v>
      </c>
      <c r="EQ65" s="76">
        <f>IF(EQ$169=0,0,IFERROR(INDEX('2 Staff List'!$GC$64:$GC$114,EQ$21),0))</f>
        <v>0</v>
      </c>
      <c r="ER65" s="76">
        <f>IF(ER$169=0,0,IFERROR(INDEX('2 Staff List'!$GC$64:$GC$114,ER$21),0))</f>
        <v>0</v>
      </c>
      <c r="ES65" s="76">
        <f>IF(ES$169=0,0,IFERROR(INDEX('2 Staff List'!$GC$64:$GC$114,ES$21),0))</f>
        <v>0</v>
      </c>
      <c r="ET65" s="76">
        <f>IF(ET$169=0,0,IFERROR(INDEX('2 Staff List'!$GC$64:$GC$114,ET$21),0))</f>
        <v>0</v>
      </c>
      <c r="EU65" s="76">
        <f>IF(EU$169=0,0,IFERROR(INDEX('2 Staff List'!$GC$64:$GC$114,EU$21),0))</f>
        <v>0</v>
      </c>
      <c r="EV65" s="76">
        <f>IF(EV$169=0,0,IFERROR(INDEX('2 Staff List'!$GC$64:$GC$114,EV$21),0))</f>
        <v>0</v>
      </c>
      <c r="EW65" s="76">
        <f>IF(EW$169=0,0,IFERROR(INDEX('2 Staff List'!$GC$64:$GC$114,EW$21),0))</f>
        <v>0</v>
      </c>
      <c r="EX65" s="76">
        <f>IF(EX$169=0,0,IFERROR(INDEX('2 Staff List'!$GC$64:$GC$114,EX$21),0))</f>
        <v>0</v>
      </c>
      <c r="EY65" s="76">
        <f>IF(EY$169=0,0,IFERROR(INDEX('2 Staff List'!$GC$64:$GC$114,EY$21),0))</f>
        <v>0</v>
      </c>
      <c r="EZ65" s="76">
        <f>IF(EZ$169=0,0,IFERROR(INDEX('2 Staff List'!$GC$64:$GC$114,EZ$21),0))</f>
        <v>0</v>
      </c>
      <c r="FA65" s="76">
        <f>IF(FA$169=0,0,IFERROR(INDEX('2 Staff List'!$GC$64:$GC$114,FA$21),0))</f>
        <v>0</v>
      </c>
      <c r="FB65" s="76">
        <f>IF(FB$169=0,0,IFERROR(INDEX('2 Staff List'!$GC$64:$GC$114,FB$21),0))</f>
        <v>0</v>
      </c>
      <c r="FC65" s="76">
        <f>IF(FC$169=0,0,IFERROR(INDEX('2 Staff List'!$GC$64:$GC$114,FC$21),0))</f>
        <v>0</v>
      </c>
      <c r="FD65" s="76">
        <f>IF(FD$169=0,0,IFERROR(INDEX('2 Staff List'!$GC$64:$GC$114,FD$21),0))</f>
        <v>0</v>
      </c>
      <c r="FE65" s="76">
        <f>IF(FE$169=0,0,IFERROR(INDEX('2 Staff List'!$GC$64:$GC$114,FE$21),0))</f>
        <v>0</v>
      </c>
      <c r="FF65" s="76">
        <f>IF(FF$169=0,0,IFERROR(INDEX('2 Staff List'!$GC$64:$GC$114,FF$21),0))</f>
        <v>0</v>
      </c>
      <c r="FG65" s="76">
        <f>IF(FG$169=0,0,IFERROR(INDEX('2 Staff List'!$GC$64:$GC$114,FG$21),0))</f>
        <v>0</v>
      </c>
      <c r="FH65" s="923"/>
      <c r="FI65" s="305"/>
      <c r="FJ65" s="307"/>
      <c r="FK65" s="307"/>
      <c r="FL65" s="285"/>
      <c r="FM65" s="285"/>
      <c r="FN65" s="285"/>
      <c r="FO65" s="285"/>
      <c r="FP65" s="285"/>
      <c r="FQ65" s="285"/>
      <c r="FR65" s="285"/>
      <c r="FS65" s="285"/>
      <c r="FT65" s="285"/>
      <c r="FU65" s="285"/>
      <c r="FV65" s="285"/>
      <c r="FW65" s="285"/>
      <c r="FX65" s="285"/>
      <c r="FY65" s="285"/>
      <c r="FZ65" s="285"/>
      <c r="GA65" s="285"/>
      <c r="GB65" s="285"/>
      <c r="GC65" s="285"/>
      <c r="GD65" s="285"/>
      <c r="GE65" s="285"/>
      <c r="GF65" s="285"/>
      <c r="GG65" s="285"/>
      <c r="GH65" s="285"/>
      <c r="GI65" s="285"/>
      <c r="GJ65" s="285"/>
      <c r="GK65" s="285"/>
      <c r="GL65" s="285"/>
      <c r="GM65" s="285"/>
      <c r="GN65" s="285"/>
      <c r="GO65" s="285"/>
      <c r="GP65" s="285"/>
      <c r="GQ65" s="285"/>
      <c r="GR65" s="285"/>
      <c r="GS65" s="285"/>
      <c r="GT65" s="285"/>
      <c r="GU65" s="285"/>
      <c r="GV65" s="285"/>
      <c r="GW65" s="285"/>
      <c r="GX65" s="285"/>
      <c r="GY65" s="285"/>
      <c r="GZ65" s="285"/>
      <c r="HA65" s="285"/>
      <c r="HB65" s="285"/>
      <c r="HC65" s="285"/>
      <c r="HD65" s="285"/>
      <c r="HE65" s="285"/>
      <c r="HF65" s="285"/>
      <c r="HG65" s="285"/>
      <c r="HH65" s="285"/>
      <c r="HI65" s="285"/>
      <c r="HJ65" s="285"/>
      <c r="HK65" s="285"/>
      <c r="HL65" s="285"/>
      <c r="HM65" s="285"/>
      <c r="HN65" s="285"/>
      <c r="HO65" s="285"/>
      <c r="HP65" s="285"/>
      <c r="HQ65" s="285"/>
      <c r="HR65" s="285"/>
      <c r="HS65" s="285"/>
      <c r="HT65" s="285"/>
      <c r="HU65" s="285"/>
      <c r="HV65" s="285"/>
      <c r="HW65" s="285"/>
      <c r="HX65" s="285"/>
      <c r="HY65" s="285"/>
      <c r="HZ65" s="285"/>
      <c r="IA65" s="285"/>
      <c r="IB65" s="285"/>
      <c r="IC65" s="285"/>
      <c r="ID65" s="285"/>
      <c r="IE65" s="285"/>
      <c r="IF65" s="285"/>
      <c r="IG65" s="285"/>
      <c r="IH65" s="285"/>
      <c r="II65" s="285"/>
      <c r="IJ65" s="285"/>
      <c r="IK65" s="285"/>
      <c r="IL65" s="285"/>
      <c r="IM65" s="285"/>
      <c r="IN65" s="285"/>
      <c r="IO65" s="285"/>
      <c r="IP65" s="285"/>
      <c r="IQ65" s="285"/>
      <c r="IR65" s="285"/>
      <c r="IS65" s="285"/>
      <c r="IT65" s="285"/>
      <c r="IU65" s="285"/>
      <c r="IV65" s="285"/>
      <c r="IW65" s="285"/>
      <c r="IX65" s="285"/>
      <c r="IY65" s="285"/>
      <c r="IZ65" s="285"/>
      <c r="JA65" s="285"/>
      <c r="JB65" s="285"/>
      <c r="JC65" s="285"/>
      <c r="JD65" s="285"/>
      <c r="JE65" s="285"/>
      <c r="JF65" s="285"/>
      <c r="JG65" s="285"/>
      <c r="JH65" s="285"/>
      <c r="JI65" s="285"/>
      <c r="JJ65" s="285"/>
      <c r="JK65" s="285"/>
      <c r="JL65" s="285"/>
      <c r="JM65" s="285"/>
      <c r="JN65" s="285"/>
      <c r="JO65" s="285"/>
      <c r="JP65" s="285"/>
      <c r="JQ65" s="285"/>
      <c r="JR65" s="285"/>
      <c r="JS65" s="285"/>
      <c r="JT65" s="285"/>
      <c r="JU65" s="285"/>
      <c r="JV65" s="285"/>
      <c r="JW65" s="285"/>
      <c r="JX65" s="285"/>
      <c r="JY65" s="285"/>
      <c r="JZ65" s="285"/>
      <c r="KA65" s="285"/>
      <c r="KB65" s="285"/>
      <c r="KC65" s="285"/>
      <c r="KD65" s="285"/>
      <c r="KE65" s="285"/>
      <c r="KF65" s="285"/>
      <c r="KG65" s="285"/>
      <c r="KH65" s="285"/>
      <c r="KI65" s="285"/>
      <c r="KJ65" s="285"/>
      <c r="KK65" s="285"/>
      <c r="KL65" s="285"/>
      <c r="KM65" s="285"/>
      <c r="KN65" s="285"/>
      <c r="KO65" s="285"/>
      <c r="KP65" s="285"/>
      <c r="KQ65" s="285"/>
      <c r="KR65" s="285"/>
      <c r="KS65" s="285"/>
      <c r="KT65" s="285"/>
      <c r="KU65" s="285"/>
      <c r="KV65" s="285"/>
      <c r="KW65" s="285"/>
      <c r="KX65" s="285"/>
      <c r="KY65" s="285"/>
      <c r="KZ65" s="285"/>
      <c r="LA65" s="285"/>
      <c r="LB65" s="285"/>
      <c r="LC65" s="285"/>
      <c r="LD65" s="285"/>
      <c r="LE65" s="285"/>
      <c r="LF65" s="285"/>
      <c r="LG65" s="285"/>
      <c r="LH65" s="285"/>
      <c r="LI65" s="285"/>
      <c r="LJ65" s="285"/>
      <c r="LK65" s="285"/>
      <c r="LL65" s="285"/>
      <c r="LM65" s="285"/>
      <c r="LN65" s="285"/>
      <c r="LO65" s="285"/>
      <c r="LP65" s="285"/>
    </row>
    <row r="66" spans="1:328" ht="12.75" hidden="1" customHeight="1" x14ac:dyDescent="0.3">
      <c r="A66" s="285"/>
      <c r="B66" s="285"/>
      <c r="C66" s="286"/>
      <c r="D66" s="285"/>
      <c r="E66" s="285"/>
      <c r="F66" s="285"/>
      <c r="G66" s="285"/>
      <c r="H66" s="285"/>
      <c r="I66" s="285"/>
      <c r="J66" s="285"/>
      <c r="K66" s="285"/>
      <c r="L66" s="285"/>
      <c r="M66" s="287"/>
      <c r="N66" s="287"/>
      <c r="O66" s="287"/>
      <c r="P66" s="287"/>
      <c r="Q66" s="287"/>
      <c r="R66" s="287"/>
      <c r="S66" s="285"/>
      <c r="T66" s="285"/>
      <c r="U66" s="285"/>
      <c r="V66" s="285"/>
      <c r="W66" s="285"/>
      <c r="X66" s="285"/>
      <c r="Y66" s="285"/>
      <c r="Z66" s="285"/>
      <c r="AA66" s="285"/>
      <c r="AB66" s="285"/>
      <c r="AC66" s="285"/>
      <c r="AD66" s="285"/>
      <c r="AE66" s="285"/>
      <c r="AF66" s="285"/>
      <c r="AG66" s="285"/>
      <c r="AH66" s="2513"/>
      <c r="AI66" s="285"/>
      <c r="AJ66" s="285"/>
      <c r="AK66" s="285"/>
      <c r="AL66" s="285"/>
      <c r="AM66" s="285"/>
      <c r="AN66" s="285"/>
      <c r="AO66" s="285"/>
      <c r="AP66" s="285"/>
      <c r="AQ66" s="285"/>
      <c r="AR66" s="285"/>
      <c r="AS66" s="285"/>
      <c r="AT66" s="285"/>
      <c r="AU66" s="285"/>
      <c r="AV66" s="285"/>
      <c r="AW66" s="285"/>
      <c r="AX66" s="285"/>
      <c r="AY66" s="285"/>
      <c r="AZ66" s="285"/>
      <c r="BA66" s="285"/>
      <c r="BB66" s="285"/>
      <c r="BC66" s="285"/>
      <c r="BD66" s="285"/>
      <c r="BE66" s="285"/>
      <c r="BF66" s="285"/>
      <c r="BG66" s="285"/>
      <c r="BH66" s="285"/>
      <c r="BI66" s="285"/>
      <c r="BJ66" s="285"/>
      <c r="BK66" s="285"/>
      <c r="BL66" s="285"/>
      <c r="BM66" s="285"/>
      <c r="BN66" s="285"/>
      <c r="BO66" s="285"/>
      <c r="BP66" s="285"/>
      <c r="BQ66" s="285"/>
      <c r="BR66" s="285"/>
      <c r="BS66" s="285"/>
      <c r="BT66" s="285"/>
      <c r="BU66" s="285"/>
      <c r="BV66" s="285"/>
      <c r="BW66" s="285"/>
      <c r="BX66" s="285"/>
      <c r="BY66" s="285"/>
      <c r="BZ66" s="285"/>
      <c r="CA66" s="285"/>
      <c r="CB66" s="285"/>
      <c r="CC66" s="285"/>
      <c r="CD66" s="285"/>
      <c r="CE66" s="285"/>
      <c r="CF66" s="285"/>
      <c r="CG66" s="285"/>
      <c r="CH66" s="285"/>
      <c r="CI66" s="285"/>
      <c r="CJ66" s="285"/>
      <c r="CK66" s="285"/>
      <c r="CL66" s="285"/>
      <c r="CM66" s="285"/>
      <c r="CN66" s="285"/>
      <c r="CO66" s="285"/>
      <c r="CP66" s="285"/>
      <c r="CQ66" s="285"/>
      <c r="CR66" s="285"/>
      <c r="CS66" s="285"/>
      <c r="CT66" s="285"/>
      <c r="CU66" s="285"/>
      <c r="CV66" s="285"/>
      <c r="CW66" s="285"/>
      <c r="CX66" s="285"/>
      <c r="CY66" s="285"/>
      <c r="CZ66" s="285"/>
      <c r="DA66" s="285"/>
      <c r="DB66" s="285"/>
      <c r="DC66" s="285"/>
      <c r="DD66" s="285"/>
      <c r="DE66" s="285"/>
      <c r="DF66" s="285"/>
      <c r="DG66" s="309"/>
      <c r="DH66" s="305"/>
      <c r="DI66" s="305"/>
      <c r="DJ66" s="305"/>
      <c r="DK66" s="305"/>
      <c r="DL66" s="305"/>
      <c r="DM66" s="305"/>
      <c r="DN66" s="305"/>
      <c r="DO66" s="305"/>
      <c r="DP66" s="305"/>
      <c r="DQ66" s="305"/>
      <c r="DR66" s="305"/>
      <c r="DS66" s="305"/>
      <c r="DT66" s="305"/>
      <c r="DU66" s="305"/>
      <c r="DV66" s="305"/>
      <c r="DW66" s="305"/>
      <c r="DX66" s="305"/>
      <c r="DY66" s="305"/>
      <c r="DZ66" s="305"/>
      <c r="EA66" s="305"/>
      <c r="EB66" s="305"/>
      <c r="EC66" s="305"/>
      <c r="ED66" s="305"/>
      <c r="EE66" s="305"/>
      <c r="EF66" s="305"/>
      <c r="EG66" s="305"/>
      <c r="EH66" s="305"/>
      <c r="EI66" s="305"/>
      <c r="EJ66" s="305"/>
      <c r="EK66" s="305"/>
      <c r="EL66" s="305"/>
      <c r="EM66" s="305"/>
      <c r="EN66" s="305"/>
      <c r="EO66" s="305"/>
      <c r="EP66" s="305"/>
      <c r="EQ66" s="305"/>
      <c r="ER66" s="305"/>
      <c r="ES66" s="305"/>
      <c r="ET66" s="305"/>
      <c r="EU66" s="305"/>
      <c r="EV66" s="305"/>
      <c r="EW66" s="305"/>
      <c r="EX66" s="305"/>
      <c r="EY66" s="305"/>
      <c r="EZ66" s="305"/>
      <c r="FA66" s="305"/>
      <c r="FB66" s="305"/>
      <c r="FC66" s="305"/>
      <c r="FD66" s="305"/>
      <c r="FE66" s="305"/>
      <c r="FF66" s="305"/>
      <c r="FG66" s="305"/>
      <c r="FH66" s="305"/>
      <c r="FI66" s="305"/>
      <c r="FJ66" s="307"/>
      <c r="FK66" s="307"/>
      <c r="FL66" s="285"/>
      <c r="FM66" s="285"/>
      <c r="FN66" s="285"/>
      <c r="FO66" s="285"/>
      <c r="FP66" s="285"/>
      <c r="FQ66" s="285"/>
      <c r="FR66" s="285"/>
      <c r="FS66" s="285"/>
      <c r="FT66" s="285"/>
      <c r="FU66" s="285"/>
      <c r="FV66" s="285"/>
      <c r="FW66" s="285"/>
      <c r="FX66" s="285"/>
      <c r="FY66" s="285"/>
      <c r="FZ66" s="285"/>
      <c r="GA66" s="285"/>
      <c r="GB66" s="285"/>
      <c r="GC66" s="285"/>
      <c r="GD66" s="285"/>
      <c r="GE66" s="285"/>
      <c r="GF66" s="285"/>
      <c r="GG66" s="285"/>
      <c r="GH66" s="285"/>
      <c r="GI66" s="285"/>
      <c r="GJ66" s="285"/>
      <c r="GK66" s="285"/>
      <c r="GL66" s="285"/>
      <c r="GM66" s="285"/>
      <c r="GN66" s="285"/>
      <c r="GO66" s="285"/>
      <c r="GP66" s="285"/>
      <c r="GQ66" s="285"/>
      <c r="GR66" s="285"/>
      <c r="GS66" s="285"/>
      <c r="GT66" s="285"/>
      <c r="GU66" s="285"/>
      <c r="GV66" s="285"/>
      <c r="GW66" s="285"/>
      <c r="GX66" s="285"/>
      <c r="GY66" s="285"/>
      <c r="GZ66" s="285"/>
      <c r="HA66" s="285"/>
      <c r="HB66" s="285"/>
      <c r="HC66" s="285"/>
      <c r="HD66" s="285"/>
      <c r="HE66" s="285"/>
      <c r="HF66" s="285"/>
      <c r="HG66" s="285"/>
      <c r="HH66" s="285"/>
      <c r="HI66" s="285"/>
      <c r="HJ66" s="285"/>
      <c r="HK66" s="285"/>
      <c r="HL66" s="285"/>
      <c r="HM66" s="285"/>
      <c r="HN66" s="285"/>
      <c r="HO66" s="285"/>
      <c r="HP66" s="285"/>
      <c r="HQ66" s="285"/>
      <c r="HR66" s="285"/>
      <c r="HS66" s="285"/>
      <c r="HT66" s="285"/>
      <c r="HU66" s="285"/>
      <c r="HV66" s="285"/>
      <c r="HW66" s="285"/>
      <c r="HX66" s="285"/>
      <c r="HY66" s="285"/>
      <c r="HZ66" s="285"/>
      <c r="IA66" s="285"/>
      <c r="IB66" s="285"/>
      <c r="IC66" s="285"/>
      <c r="ID66" s="285"/>
      <c r="IE66" s="285"/>
      <c r="IF66" s="285"/>
      <c r="IG66" s="285"/>
      <c r="IH66" s="285"/>
      <c r="II66" s="285"/>
      <c r="IJ66" s="285"/>
      <c r="IK66" s="285"/>
      <c r="IL66" s="285"/>
      <c r="IM66" s="285"/>
      <c r="IN66" s="285"/>
      <c r="IO66" s="285"/>
      <c r="IP66" s="285"/>
      <c r="IQ66" s="285"/>
      <c r="IR66" s="285"/>
      <c r="IS66" s="285"/>
      <c r="IT66" s="285"/>
      <c r="IU66" s="285"/>
      <c r="IV66" s="285"/>
      <c r="IW66" s="285"/>
      <c r="IX66" s="285"/>
      <c r="IY66" s="285"/>
      <c r="IZ66" s="285"/>
      <c r="JA66" s="285"/>
      <c r="JB66" s="285"/>
      <c r="JC66" s="285"/>
      <c r="JD66" s="285"/>
      <c r="JE66" s="285"/>
      <c r="JF66" s="285"/>
      <c r="JG66" s="285"/>
      <c r="JH66" s="285"/>
      <c r="JI66" s="285"/>
      <c r="JJ66" s="285"/>
      <c r="JK66" s="285"/>
      <c r="JL66" s="285"/>
      <c r="JM66" s="285"/>
      <c r="JN66" s="285"/>
      <c r="JO66" s="285"/>
      <c r="JP66" s="285"/>
      <c r="JQ66" s="285"/>
      <c r="JR66" s="285"/>
      <c r="JS66" s="285"/>
      <c r="JT66" s="285"/>
      <c r="JU66" s="285"/>
      <c r="JV66" s="285"/>
      <c r="JW66" s="285"/>
      <c r="JX66" s="285"/>
      <c r="JY66" s="285"/>
      <c r="JZ66" s="285"/>
      <c r="KA66" s="285"/>
      <c r="KB66" s="285"/>
      <c r="KC66" s="285"/>
      <c r="KD66" s="285"/>
      <c r="KE66" s="285"/>
      <c r="KF66" s="285"/>
      <c r="KG66" s="285"/>
      <c r="KH66" s="285"/>
      <c r="KI66" s="285"/>
      <c r="KJ66" s="285"/>
      <c r="KK66" s="285"/>
      <c r="KL66" s="285"/>
      <c r="KM66" s="285"/>
      <c r="KN66" s="285"/>
      <c r="KO66" s="285"/>
      <c r="KP66" s="285"/>
      <c r="KQ66" s="285"/>
      <c r="KR66" s="285"/>
      <c r="KS66" s="285"/>
      <c r="KT66" s="285"/>
      <c r="KU66" s="285"/>
      <c r="KV66" s="285"/>
      <c r="KW66" s="285"/>
      <c r="KX66" s="285"/>
      <c r="KY66" s="285"/>
      <c r="KZ66" s="285"/>
      <c r="LA66" s="285"/>
      <c r="LB66" s="285"/>
      <c r="LC66" s="285"/>
      <c r="LD66" s="285"/>
      <c r="LE66" s="285"/>
      <c r="LF66" s="285"/>
      <c r="LG66" s="285"/>
      <c r="LH66" s="285"/>
      <c r="LI66" s="285"/>
      <c r="LJ66" s="285"/>
      <c r="LK66" s="285"/>
      <c r="LL66" s="285"/>
      <c r="LM66" s="285"/>
      <c r="LN66" s="285"/>
      <c r="LO66" s="285"/>
      <c r="LP66" s="285"/>
    </row>
    <row r="67" spans="1:328" ht="12.75" hidden="1" customHeight="1" x14ac:dyDescent="0.3">
      <c r="A67" s="285"/>
      <c r="B67" s="285"/>
      <c r="C67" s="286"/>
      <c r="D67" s="285"/>
      <c r="E67" s="285"/>
      <c r="F67" s="285"/>
      <c r="G67" s="285"/>
      <c r="H67" s="285"/>
      <c r="I67" s="285"/>
      <c r="J67" s="285"/>
      <c r="K67" s="285"/>
      <c r="L67" s="285"/>
      <c r="M67" s="287"/>
      <c r="N67" s="287"/>
      <c r="O67" s="287"/>
      <c r="P67" s="287"/>
      <c r="Q67" s="287"/>
      <c r="R67" s="287"/>
      <c r="S67" s="285"/>
      <c r="T67" s="285"/>
      <c r="U67" s="285"/>
      <c r="V67" s="285"/>
      <c r="W67" s="285"/>
      <c r="X67" s="285"/>
      <c r="Y67" s="285"/>
      <c r="Z67" s="285"/>
      <c r="AA67" s="285"/>
      <c r="AB67" s="285"/>
      <c r="AC67" s="285"/>
      <c r="AD67" s="285"/>
      <c r="AE67" s="285"/>
      <c r="AF67" s="285"/>
      <c r="AG67" s="285"/>
      <c r="AH67" s="2513"/>
      <c r="AI67" s="285"/>
      <c r="AJ67" s="285"/>
      <c r="AK67" s="285"/>
      <c r="AL67" s="285"/>
      <c r="AM67" s="285"/>
      <c r="AN67" s="285"/>
      <c r="AO67" s="285"/>
      <c r="AP67" s="285"/>
      <c r="AQ67" s="285"/>
      <c r="AR67" s="285"/>
      <c r="AS67" s="285"/>
      <c r="AT67" s="285"/>
      <c r="AU67" s="285"/>
      <c r="AV67" s="285"/>
      <c r="AW67" s="285"/>
      <c r="AX67" s="285"/>
      <c r="AY67" s="285"/>
      <c r="AZ67" s="285"/>
      <c r="BA67" s="285"/>
      <c r="BB67" s="285"/>
      <c r="BC67" s="285"/>
      <c r="BD67" s="285"/>
      <c r="BE67" s="285"/>
      <c r="BF67" s="285"/>
      <c r="BG67" s="285"/>
      <c r="BH67" s="285"/>
      <c r="BI67" s="285"/>
      <c r="BJ67" s="285"/>
      <c r="BK67" s="285"/>
      <c r="BL67" s="285"/>
      <c r="BM67" s="285"/>
      <c r="BN67" s="285"/>
      <c r="BO67" s="285"/>
      <c r="BP67" s="285"/>
      <c r="BQ67" s="285"/>
      <c r="BR67" s="285"/>
      <c r="BS67" s="285"/>
      <c r="BT67" s="285"/>
      <c r="BU67" s="285"/>
      <c r="BV67" s="285"/>
      <c r="BW67" s="285"/>
      <c r="BX67" s="285"/>
      <c r="BY67" s="285"/>
      <c r="BZ67" s="285"/>
      <c r="CA67" s="285"/>
      <c r="CB67" s="285"/>
      <c r="CC67" s="285"/>
      <c r="CD67" s="285"/>
      <c r="CE67" s="285"/>
      <c r="CF67" s="285"/>
      <c r="CG67" s="285"/>
      <c r="CH67" s="285"/>
      <c r="CI67" s="285"/>
      <c r="CJ67" s="285"/>
      <c r="CK67" s="285"/>
      <c r="CL67" s="285"/>
      <c r="CM67" s="285"/>
      <c r="CN67" s="285"/>
      <c r="CO67" s="285"/>
      <c r="CP67" s="285"/>
      <c r="CQ67" s="285"/>
      <c r="CR67" s="285"/>
      <c r="CS67" s="285"/>
      <c r="CT67" s="285"/>
      <c r="CU67" s="285"/>
      <c r="CV67" s="285"/>
      <c r="CW67" s="285"/>
      <c r="CX67" s="285"/>
      <c r="CY67" s="285"/>
      <c r="CZ67" s="285"/>
      <c r="DA67" s="285"/>
      <c r="DB67" s="285"/>
      <c r="DC67" s="285"/>
      <c r="DD67" s="285"/>
      <c r="DE67" s="285"/>
      <c r="DF67" s="285"/>
      <c r="DG67" s="309"/>
      <c r="DH67" s="442" t="s">
        <v>2176</v>
      </c>
      <c r="DI67" s="285"/>
      <c r="DJ67" s="76">
        <f t="shared" ref="DJ67:EO67" si="177">IF(DJ$169=0,0,SUMPRODUCT($AN$173:$AN$364,DJ$173:DJ$364,$CY$173:$CY$364,$AH$173:$AH$364,$BS$173:$BS$364))</f>
        <v>0</v>
      </c>
      <c r="DK67" s="76">
        <f t="shared" si="177"/>
        <v>64</v>
      </c>
      <c r="DL67" s="76">
        <f t="shared" si="177"/>
        <v>39</v>
      </c>
      <c r="DM67" s="76">
        <f t="shared" si="177"/>
        <v>0</v>
      </c>
      <c r="DN67" s="76">
        <f t="shared" si="177"/>
        <v>6</v>
      </c>
      <c r="DO67" s="76">
        <f t="shared" si="177"/>
        <v>0</v>
      </c>
      <c r="DP67" s="76">
        <f t="shared" si="177"/>
        <v>6</v>
      </c>
      <c r="DQ67" s="76">
        <f t="shared" si="177"/>
        <v>384</v>
      </c>
      <c r="DR67" s="76">
        <f t="shared" si="177"/>
        <v>384</v>
      </c>
      <c r="DS67" s="76">
        <f t="shared" si="177"/>
        <v>480</v>
      </c>
      <c r="DT67" s="76">
        <f t="shared" si="177"/>
        <v>0</v>
      </c>
      <c r="DU67" s="76">
        <f t="shared" si="177"/>
        <v>0</v>
      </c>
      <c r="DV67" s="76">
        <f t="shared" si="177"/>
        <v>0</v>
      </c>
      <c r="DW67" s="76">
        <f t="shared" si="177"/>
        <v>0</v>
      </c>
      <c r="DX67" s="76">
        <f t="shared" si="177"/>
        <v>0</v>
      </c>
      <c r="DY67" s="76">
        <f t="shared" si="177"/>
        <v>0</v>
      </c>
      <c r="DZ67" s="76">
        <f t="shared" si="177"/>
        <v>0</v>
      </c>
      <c r="EA67" s="76">
        <f t="shared" si="177"/>
        <v>0</v>
      </c>
      <c r="EB67" s="76">
        <f t="shared" si="177"/>
        <v>0</v>
      </c>
      <c r="EC67" s="76">
        <f t="shared" si="177"/>
        <v>0</v>
      </c>
      <c r="ED67" s="76">
        <f t="shared" si="177"/>
        <v>0</v>
      </c>
      <c r="EE67" s="76">
        <f t="shared" si="177"/>
        <v>0</v>
      </c>
      <c r="EF67" s="76">
        <f t="shared" si="177"/>
        <v>0</v>
      </c>
      <c r="EG67" s="76">
        <f t="shared" si="177"/>
        <v>0</v>
      </c>
      <c r="EH67" s="76">
        <f t="shared" si="177"/>
        <v>0</v>
      </c>
      <c r="EI67" s="76">
        <f t="shared" si="177"/>
        <v>0</v>
      </c>
      <c r="EJ67" s="76">
        <f t="shared" si="177"/>
        <v>0</v>
      </c>
      <c r="EK67" s="76">
        <f t="shared" si="177"/>
        <v>0</v>
      </c>
      <c r="EL67" s="76">
        <f t="shared" si="177"/>
        <v>0</v>
      </c>
      <c r="EM67" s="76">
        <f t="shared" si="177"/>
        <v>0</v>
      </c>
      <c r="EN67" s="76">
        <f t="shared" si="177"/>
        <v>0</v>
      </c>
      <c r="EO67" s="76">
        <f t="shared" si="177"/>
        <v>0</v>
      </c>
      <c r="EP67" s="76">
        <f t="shared" ref="EP67:FG67" si="178">IF(EP$169=0,0,SUMPRODUCT($AN$173:$AN$364,EP$173:EP$364,$CY$173:$CY$364,$AH$173:$AH$364,$BS$173:$BS$364))</f>
        <v>0</v>
      </c>
      <c r="EQ67" s="76">
        <f t="shared" si="178"/>
        <v>0</v>
      </c>
      <c r="ER67" s="76">
        <f t="shared" si="178"/>
        <v>0</v>
      </c>
      <c r="ES67" s="76">
        <f t="shared" si="178"/>
        <v>0</v>
      </c>
      <c r="ET67" s="76">
        <f t="shared" si="178"/>
        <v>0</v>
      </c>
      <c r="EU67" s="76">
        <f t="shared" si="178"/>
        <v>0</v>
      </c>
      <c r="EV67" s="76">
        <f t="shared" si="178"/>
        <v>0</v>
      </c>
      <c r="EW67" s="76">
        <f t="shared" si="178"/>
        <v>0</v>
      </c>
      <c r="EX67" s="76">
        <f t="shared" si="178"/>
        <v>0</v>
      </c>
      <c r="EY67" s="76">
        <f t="shared" si="178"/>
        <v>0</v>
      </c>
      <c r="EZ67" s="76">
        <f t="shared" si="178"/>
        <v>0</v>
      </c>
      <c r="FA67" s="76">
        <f t="shared" si="178"/>
        <v>0</v>
      </c>
      <c r="FB67" s="76">
        <f t="shared" si="178"/>
        <v>0</v>
      </c>
      <c r="FC67" s="76">
        <f t="shared" si="178"/>
        <v>0</v>
      </c>
      <c r="FD67" s="76">
        <f t="shared" si="178"/>
        <v>0</v>
      </c>
      <c r="FE67" s="76">
        <f t="shared" si="178"/>
        <v>0</v>
      </c>
      <c r="FF67" s="76">
        <f t="shared" si="178"/>
        <v>0</v>
      </c>
      <c r="FG67" s="76">
        <f t="shared" si="178"/>
        <v>0</v>
      </c>
      <c r="FH67" s="921"/>
      <c r="FI67" s="305"/>
      <c r="FJ67" s="307"/>
      <c r="FK67" s="307"/>
      <c r="FL67" s="285"/>
      <c r="FM67" s="285"/>
      <c r="FN67" s="285"/>
      <c r="FO67" s="285"/>
      <c r="FP67" s="285"/>
      <c r="FQ67" s="285"/>
      <c r="FR67" s="285"/>
      <c r="FS67" s="285"/>
      <c r="FT67" s="285"/>
      <c r="FU67" s="285"/>
      <c r="FV67" s="285"/>
      <c r="FW67" s="285"/>
      <c r="FX67" s="285"/>
      <c r="FY67" s="285"/>
      <c r="FZ67" s="285"/>
      <c r="GA67" s="285"/>
      <c r="GB67" s="285"/>
      <c r="GC67" s="285"/>
      <c r="GD67" s="285"/>
      <c r="GE67" s="285"/>
      <c r="GF67" s="285"/>
      <c r="GG67" s="285"/>
      <c r="GH67" s="285"/>
      <c r="GI67" s="285"/>
      <c r="GJ67" s="285"/>
      <c r="GK67" s="285"/>
      <c r="GL67" s="285"/>
      <c r="GM67" s="285"/>
      <c r="GN67" s="285"/>
      <c r="GO67" s="285"/>
      <c r="GP67" s="285"/>
      <c r="GQ67" s="285"/>
      <c r="GR67" s="285"/>
      <c r="GS67" s="285"/>
      <c r="GT67" s="285"/>
      <c r="GU67" s="285"/>
      <c r="GV67" s="285"/>
      <c r="GW67" s="285"/>
      <c r="GX67" s="285"/>
      <c r="GY67" s="285"/>
      <c r="GZ67" s="285"/>
      <c r="HA67" s="285"/>
      <c r="HB67" s="285"/>
      <c r="HC67" s="285"/>
      <c r="HD67" s="285"/>
      <c r="HE67" s="285"/>
      <c r="HF67" s="285"/>
      <c r="HG67" s="285"/>
      <c r="HH67" s="285"/>
      <c r="HI67" s="285"/>
      <c r="HJ67" s="285"/>
      <c r="HK67" s="285"/>
      <c r="HL67" s="285"/>
      <c r="HM67" s="285"/>
      <c r="HN67" s="285"/>
      <c r="HO67" s="285"/>
      <c r="HP67" s="285"/>
      <c r="HQ67" s="285"/>
      <c r="HR67" s="285"/>
      <c r="HS67" s="285"/>
      <c r="HT67" s="285"/>
      <c r="HU67" s="285"/>
      <c r="HV67" s="285"/>
      <c r="HW67" s="285"/>
      <c r="HX67" s="285"/>
      <c r="HY67" s="285"/>
      <c r="HZ67" s="285"/>
      <c r="IA67" s="285"/>
      <c r="IB67" s="285"/>
      <c r="IC67" s="285"/>
      <c r="ID67" s="285"/>
      <c r="IE67" s="285"/>
      <c r="IF67" s="285"/>
      <c r="IG67" s="285"/>
      <c r="IH67" s="285"/>
      <c r="II67" s="285"/>
      <c r="IJ67" s="285"/>
      <c r="IK67" s="285"/>
      <c r="IL67" s="285"/>
      <c r="IM67" s="285"/>
      <c r="IN67" s="285"/>
      <c r="IO67" s="285"/>
      <c r="IP67" s="285"/>
      <c r="IQ67" s="285"/>
      <c r="IR67" s="285"/>
      <c r="IS67" s="285"/>
      <c r="IT67" s="285"/>
      <c r="IU67" s="285"/>
      <c r="IV67" s="285"/>
      <c r="IW67" s="285"/>
      <c r="IX67" s="285"/>
      <c r="IY67" s="285"/>
      <c r="IZ67" s="285"/>
      <c r="JA67" s="285"/>
      <c r="JB67" s="285"/>
      <c r="JC67" s="285"/>
      <c r="JD67" s="285"/>
      <c r="JE67" s="285"/>
      <c r="JF67" s="285"/>
      <c r="JG67" s="285"/>
      <c r="JH67" s="285"/>
      <c r="JI67" s="285"/>
      <c r="JJ67" s="285"/>
      <c r="JK67" s="285"/>
      <c r="JL67" s="285"/>
      <c r="JM67" s="285"/>
      <c r="JN67" s="285"/>
      <c r="JO67" s="285"/>
      <c r="JP67" s="285"/>
      <c r="JQ67" s="285"/>
      <c r="JR67" s="285"/>
      <c r="JS67" s="285"/>
      <c r="JT67" s="285"/>
      <c r="JU67" s="285"/>
      <c r="JV67" s="285"/>
      <c r="JW67" s="285"/>
      <c r="JX67" s="285"/>
      <c r="JY67" s="285"/>
      <c r="JZ67" s="285"/>
      <c r="KA67" s="285"/>
      <c r="KB67" s="285"/>
      <c r="KC67" s="285"/>
      <c r="KD67" s="285"/>
      <c r="KE67" s="285"/>
      <c r="KF67" s="285"/>
      <c r="KG67" s="285"/>
      <c r="KH67" s="285"/>
      <c r="KI67" s="285"/>
      <c r="KJ67" s="285"/>
      <c r="KK67" s="285"/>
      <c r="KL67" s="285"/>
      <c r="KM67" s="285"/>
      <c r="KN67" s="285"/>
      <c r="KO67" s="285"/>
      <c r="KP67" s="285"/>
      <c r="KQ67" s="285"/>
      <c r="KR67" s="285"/>
      <c r="KS67" s="285"/>
      <c r="KT67" s="285"/>
      <c r="KU67" s="285"/>
      <c r="KV67" s="285"/>
      <c r="KW67" s="285"/>
      <c r="KX67" s="285"/>
      <c r="KY67" s="285"/>
      <c r="KZ67" s="285"/>
      <c r="LA67" s="285"/>
      <c r="LB67" s="285"/>
      <c r="LC67" s="285"/>
      <c r="LD67" s="285"/>
      <c r="LE67" s="285"/>
      <c r="LF67" s="285"/>
      <c r="LG67" s="285"/>
      <c r="LH67" s="285"/>
      <c r="LI67" s="285"/>
      <c r="LJ67" s="285"/>
      <c r="LK67" s="285"/>
      <c r="LL67" s="285"/>
      <c r="LM67" s="285"/>
      <c r="LN67" s="285"/>
      <c r="LO67" s="285"/>
      <c r="LP67" s="285"/>
    </row>
    <row r="68" spans="1:328" ht="12.75" hidden="1" customHeight="1" x14ac:dyDescent="0.3">
      <c r="A68" s="285"/>
      <c r="B68" s="285"/>
      <c r="C68" s="286"/>
      <c r="D68" s="285"/>
      <c r="E68" s="285"/>
      <c r="F68" s="285"/>
      <c r="G68" s="285"/>
      <c r="H68" s="285"/>
      <c r="I68" s="285"/>
      <c r="J68" s="285"/>
      <c r="K68" s="285"/>
      <c r="L68" s="285"/>
      <c r="M68" s="287"/>
      <c r="N68" s="287"/>
      <c r="O68" s="287"/>
      <c r="P68" s="287"/>
      <c r="Q68" s="287"/>
      <c r="R68" s="287"/>
      <c r="S68" s="285"/>
      <c r="T68" s="285"/>
      <c r="U68" s="285"/>
      <c r="V68" s="285"/>
      <c r="W68" s="285"/>
      <c r="X68" s="285"/>
      <c r="Y68" s="285"/>
      <c r="Z68" s="285"/>
      <c r="AA68" s="285"/>
      <c r="AB68" s="285"/>
      <c r="AC68" s="285"/>
      <c r="AD68" s="285"/>
      <c r="AE68" s="285"/>
      <c r="AF68" s="285"/>
      <c r="AG68" s="285"/>
      <c r="AH68" s="2513"/>
      <c r="AI68" s="285"/>
      <c r="AJ68" s="285"/>
      <c r="AK68" s="285"/>
      <c r="AL68" s="285"/>
      <c r="AM68" s="285"/>
      <c r="AN68" s="285"/>
      <c r="AO68" s="285"/>
      <c r="AP68" s="285"/>
      <c r="AQ68" s="285"/>
      <c r="AR68" s="285"/>
      <c r="AS68" s="285"/>
      <c r="AT68" s="285"/>
      <c r="AU68" s="285"/>
      <c r="AV68" s="285"/>
      <c r="AW68" s="285"/>
      <c r="AX68" s="285"/>
      <c r="AY68" s="285"/>
      <c r="AZ68" s="285"/>
      <c r="BA68" s="285"/>
      <c r="BB68" s="285"/>
      <c r="BC68" s="285"/>
      <c r="BD68" s="285"/>
      <c r="BE68" s="285"/>
      <c r="BF68" s="285"/>
      <c r="BG68" s="285"/>
      <c r="BH68" s="285"/>
      <c r="BI68" s="285"/>
      <c r="BJ68" s="285"/>
      <c r="BK68" s="285"/>
      <c r="BL68" s="285"/>
      <c r="BM68" s="285"/>
      <c r="BN68" s="285"/>
      <c r="BO68" s="285"/>
      <c r="BP68" s="285"/>
      <c r="BQ68" s="285"/>
      <c r="BR68" s="285"/>
      <c r="BS68" s="285"/>
      <c r="BT68" s="285"/>
      <c r="BU68" s="285"/>
      <c r="BV68" s="285"/>
      <c r="BW68" s="285"/>
      <c r="BX68" s="285"/>
      <c r="BY68" s="285"/>
      <c r="BZ68" s="285"/>
      <c r="CA68" s="285"/>
      <c r="CB68" s="285"/>
      <c r="CC68" s="285"/>
      <c r="CD68" s="285"/>
      <c r="CE68" s="285"/>
      <c r="CF68" s="285"/>
      <c r="CG68" s="285"/>
      <c r="CH68" s="285"/>
      <c r="CI68" s="285"/>
      <c r="CJ68" s="285"/>
      <c r="CK68" s="285"/>
      <c r="CL68" s="285"/>
      <c r="CM68" s="285"/>
      <c r="CN68" s="285"/>
      <c r="CO68" s="285"/>
      <c r="CP68" s="285"/>
      <c r="CQ68" s="285"/>
      <c r="CR68" s="285"/>
      <c r="CS68" s="285"/>
      <c r="CT68" s="285"/>
      <c r="CU68" s="285"/>
      <c r="CV68" s="285"/>
      <c r="CW68" s="285"/>
      <c r="CX68" s="285"/>
      <c r="CY68" s="285"/>
      <c r="CZ68" s="285"/>
      <c r="DA68" s="285"/>
      <c r="DB68" s="285"/>
      <c r="DC68" s="285"/>
      <c r="DD68" s="285"/>
      <c r="DE68" s="285"/>
      <c r="DF68" s="285"/>
      <c r="DG68" s="309"/>
      <c r="DH68" s="442" t="s">
        <v>2177</v>
      </c>
      <c r="DI68" s="285"/>
      <c r="DJ68" s="76">
        <f t="shared" ref="DJ68:EO68" si="179">IF(DJ$169=0,0,SUMPRODUCT($AN$173:$AN$364,DJ$173:DJ$364,$CY$173:$CY$364,$AH$173:$AH$364,$BT$173:$BT$364))</f>
        <v>0</v>
      </c>
      <c r="DK68" s="76">
        <f t="shared" si="179"/>
        <v>0</v>
      </c>
      <c r="DL68" s="76">
        <f t="shared" si="179"/>
        <v>0</v>
      </c>
      <c r="DM68" s="76">
        <f t="shared" si="179"/>
        <v>0</v>
      </c>
      <c r="DN68" s="76">
        <f t="shared" si="179"/>
        <v>0</v>
      </c>
      <c r="DO68" s="76">
        <f t="shared" si="179"/>
        <v>0</v>
      </c>
      <c r="DP68" s="76">
        <f t="shared" si="179"/>
        <v>0</v>
      </c>
      <c r="DQ68" s="76">
        <f t="shared" si="179"/>
        <v>0</v>
      </c>
      <c r="DR68" s="76">
        <f t="shared" si="179"/>
        <v>0</v>
      </c>
      <c r="DS68" s="76">
        <f t="shared" si="179"/>
        <v>0</v>
      </c>
      <c r="DT68" s="76">
        <f t="shared" si="179"/>
        <v>0</v>
      </c>
      <c r="DU68" s="76">
        <f t="shared" si="179"/>
        <v>0</v>
      </c>
      <c r="DV68" s="76">
        <f t="shared" si="179"/>
        <v>0</v>
      </c>
      <c r="DW68" s="76">
        <f t="shared" si="179"/>
        <v>0</v>
      </c>
      <c r="DX68" s="76">
        <f t="shared" si="179"/>
        <v>0</v>
      </c>
      <c r="DY68" s="76">
        <f t="shared" si="179"/>
        <v>0</v>
      </c>
      <c r="DZ68" s="76">
        <f t="shared" si="179"/>
        <v>0</v>
      </c>
      <c r="EA68" s="76">
        <f t="shared" si="179"/>
        <v>0</v>
      </c>
      <c r="EB68" s="76">
        <f t="shared" si="179"/>
        <v>0</v>
      </c>
      <c r="EC68" s="76">
        <f t="shared" si="179"/>
        <v>0</v>
      </c>
      <c r="ED68" s="76">
        <f t="shared" si="179"/>
        <v>0</v>
      </c>
      <c r="EE68" s="76">
        <f t="shared" si="179"/>
        <v>0</v>
      </c>
      <c r="EF68" s="76">
        <f t="shared" si="179"/>
        <v>0</v>
      </c>
      <c r="EG68" s="76">
        <f t="shared" si="179"/>
        <v>0</v>
      </c>
      <c r="EH68" s="76">
        <f t="shared" si="179"/>
        <v>0</v>
      </c>
      <c r="EI68" s="76">
        <f t="shared" si="179"/>
        <v>0</v>
      </c>
      <c r="EJ68" s="76">
        <f t="shared" si="179"/>
        <v>0</v>
      </c>
      <c r="EK68" s="76">
        <f t="shared" si="179"/>
        <v>0</v>
      </c>
      <c r="EL68" s="76">
        <f t="shared" si="179"/>
        <v>0</v>
      </c>
      <c r="EM68" s="76">
        <f t="shared" si="179"/>
        <v>0</v>
      </c>
      <c r="EN68" s="76">
        <f t="shared" si="179"/>
        <v>0</v>
      </c>
      <c r="EO68" s="76">
        <f t="shared" si="179"/>
        <v>0</v>
      </c>
      <c r="EP68" s="76">
        <f t="shared" ref="EP68:FG68" si="180">IF(EP$169=0,0,SUMPRODUCT($AN$173:$AN$364,EP$173:EP$364,$CY$173:$CY$364,$AH$173:$AH$364,$BT$173:$BT$364))</f>
        <v>0</v>
      </c>
      <c r="EQ68" s="76">
        <f t="shared" si="180"/>
        <v>0</v>
      </c>
      <c r="ER68" s="76">
        <f t="shared" si="180"/>
        <v>0</v>
      </c>
      <c r="ES68" s="76">
        <f t="shared" si="180"/>
        <v>0</v>
      </c>
      <c r="ET68" s="76">
        <f t="shared" si="180"/>
        <v>0</v>
      </c>
      <c r="EU68" s="76">
        <f t="shared" si="180"/>
        <v>0</v>
      </c>
      <c r="EV68" s="76">
        <f t="shared" si="180"/>
        <v>0</v>
      </c>
      <c r="EW68" s="76">
        <f t="shared" si="180"/>
        <v>0</v>
      </c>
      <c r="EX68" s="76">
        <f t="shared" si="180"/>
        <v>0</v>
      </c>
      <c r="EY68" s="76">
        <f t="shared" si="180"/>
        <v>0</v>
      </c>
      <c r="EZ68" s="76">
        <f t="shared" si="180"/>
        <v>0</v>
      </c>
      <c r="FA68" s="76">
        <f t="shared" si="180"/>
        <v>0</v>
      </c>
      <c r="FB68" s="76">
        <f t="shared" si="180"/>
        <v>0</v>
      </c>
      <c r="FC68" s="76">
        <f t="shared" si="180"/>
        <v>0</v>
      </c>
      <c r="FD68" s="76">
        <f t="shared" si="180"/>
        <v>0</v>
      </c>
      <c r="FE68" s="76">
        <f t="shared" si="180"/>
        <v>0</v>
      </c>
      <c r="FF68" s="76">
        <f t="shared" si="180"/>
        <v>0</v>
      </c>
      <c r="FG68" s="76">
        <f t="shared" si="180"/>
        <v>0</v>
      </c>
      <c r="FH68" s="922"/>
      <c r="FI68" s="305"/>
      <c r="FJ68" s="307"/>
      <c r="FK68" s="307"/>
      <c r="FL68" s="285"/>
      <c r="FM68" s="285"/>
      <c r="FN68" s="285"/>
      <c r="FO68" s="285"/>
      <c r="FP68" s="285"/>
      <c r="FQ68" s="285"/>
      <c r="FR68" s="285"/>
      <c r="FS68" s="285"/>
      <c r="FT68" s="285"/>
      <c r="FU68" s="285"/>
      <c r="FV68" s="285"/>
      <c r="FW68" s="285"/>
      <c r="FX68" s="285"/>
      <c r="FY68" s="285"/>
      <c r="FZ68" s="285"/>
      <c r="GA68" s="285"/>
      <c r="GB68" s="285"/>
      <c r="GC68" s="285"/>
      <c r="GD68" s="285"/>
      <c r="GE68" s="285"/>
      <c r="GF68" s="285"/>
      <c r="GG68" s="285"/>
      <c r="GH68" s="285"/>
      <c r="GI68" s="285"/>
      <c r="GJ68" s="285"/>
      <c r="GK68" s="285"/>
      <c r="GL68" s="285"/>
      <c r="GM68" s="285"/>
      <c r="GN68" s="285"/>
      <c r="GO68" s="285"/>
      <c r="GP68" s="285"/>
      <c r="GQ68" s="285"/>
      <c r="GR68" s="285"/>
      <c r="GS68" s="285"/>
      <c r="GT68" s="285"/>
      <c r="GU68" s="285"/>
      <c r="GV68" s="285"/>
      <c r="GW68" s="285"/>
      <c r="GX68" s="285"/>
      <c r="GY68" s="285"/>
      <c r="GZ68" s="285"/>
      <c r="HA68" s="285"/>
      <c r="HB68" s="285"/>
      <c r="HC68" s="285"/>
      <c r="HD68" s="285"/>
      <c r="HE68" s="285"/>
      <c r="HF68" s="285"/>
      <c r="HG68" s="285"/>
      <c r="HH68" s="285"/>
      <c r="HI68" s="285"/>
      <c r="HJ68" s="285"/>
      <c r="HK68" s="285"/>
      <c r="HL68" s="285"/>
      <c r="HM68" s="285"/>
      <c r="HN68" s="285"/>
      <c r="HO68" s="285"/>
      <c r="HP68" s="285"/>
      <c r="HQ68" s="285"/>
      <c r="HR68" s="285"/>
      <c r="HS68" s="285"/>
      <c r="HT68" s="285"/>
      <c r="HU68" s="285"/>
      <c r="HV68" s="285"/>
      <c r="HW68" s="285"/>
      <c r="HX68" s="285"/>
      <c r="HY68" s="285"/>
      <c r="HZ68" s="285"/>
      <c r="IA68" s="285"/>
      <c r="IB68" s="285"/>
      <c r="IC68" s="285"/>
      <c r="ID68" s="285"/>
      <c r="IE68" s="285"/>
      <c r="IF68" s="285"/>
      <c r="IG68" s="285"/>
      <c r="IH68" s="285"/>
      <c r="II68" s="285"/>
      <c r="IJ68" s="285"/>
      <c r="IK68" s="285"/>
      <c r="IL68" s="285"/>
      <c r="IM68" s="285"/>
      <c r="IN68" s="285"/>
      <c r="IO68" s="285"/>
      <c r="IP68" s="285"/>
      <c r="IQ68" s="285"/>
      <c r="IR68" s="285"/>
      <c r="IS68" s="285"/>
      <c r="IT68" s="285"/>
      <c r="IU68" s="285"/>
      <c r="IV68" s="285"/>
      <c r="IW68" s="285"/>
      <c r="IX68" s="285"/>
      <c r="IY68" s="285"/>
      <c r="IZ68" s="285"/>
      <c r="JA68" s="285"/>
      <c r="JB68" s="285"/>
      <c r="JC68" s="285"/>
      <c r="JD68" s="285"/>
      <c r="JE68" s="285"/>
      <c r="JF68" s="285"/>
      <c r="JG68" s="285"/>
      <c r="JH68" s="285"/>
      <c r="JI68" s="285"/>
      <c r="JJ68" s="285"/>
      <c r="JK68" s="285"/>
      <c r="JL68" s="285"/>
      <c r="JM68" s="285"/>
      <c r="JN68" s="285"/>
      <c r="JO68" s="285"/>
      <c r="JP68" s="285"/>
      <c r="JQ68" s="285"/>
      <c r="JR68" s="285"/>
      <c r="JS68" s="285"/>
      <c r="JT68" s="285"/>
      <c r="JU68" s="285"/>
      <c r="JV68" s="285"/>
      <c r="JW68" s="285"/>
      <c r="JX68" s="285"/>
      <c r="JY68" s="285"/>
      <c r="JZ68" s="285"/>
      <c r="KA68" s="285"/>
      <c r="KB68" s="285"/>
      <c r="KC68" s="285"/>
      <c r="KD68" s="285"/>
      <c r="KE68" s="285"/>
      <c r="KF68" s="285"/>
      <c r="KG68" s="285"/>
      <c r="KH68" s="285"/>
      <c r="KI68" s="285"/>
      <c r="KJ68" s="285"/>
      <c r="KK68" s="285"/>
      <c r="KL68" s="285"/>
      <c r="KM68" s="285"/>
      <c r="KN68" s="285"/>
      <c r="KO68" s="285"/>
      <c r="KP68" s="285"/>
      <c r="KQ68" s="285"/>
      <c r="KR68" s="285"/>
      <c r="KS68" s="285"/>
      <c r="KT68" s="285"/>
      <c r="KU68" s="285"/>
      <c r="KV68" s="285"/>
      <c r="KW68" s="285"/>
      <c r="KX68" s="285"/>
      <c r="KY68" s="285"/>
      <c r="KZ68" s="285"/>
      <c r="LA68" s="285"/>
      <c r="LB68" s="285"/>
      <c r="LC68" s="285"/>
      <c r="LD68" s="285"/>
      <c r="LE68" s="285"/>
      <c r="LF68" s="285"/>
      <c r="LG68" s="285"/>
      <c r="LH68" s="285"/>
      <c r="LI68" s="285"/>
      <c r="LJ68" s="285"/>
      <c r="LK68" s="285"/>
      <c r="LL68" s="285"/>
      <c r="LM68" s="285"/>
      <c r="LN68" s="285"/>
      <c r="LO68" s="285"/>
      <c r="LP68" s="285"/>
    </row>
    <row r="69" spans="1:328" ht="12.75" hidden="1" customHeight="1" x14ac:dyDescent="0.3">
      <c r="A69" s="285"/>
      <c r="B69" s="285"/>
      <c r="C69" s="286"/>
      <c r="D69" s="285"/>
      <c r="E69" s="285"/>
      <c r="F69" s="285"/>
      <c r="G69" s="285"/>
      <c r="H69" s="285"/>
      <c r="I69" s="285"/>
      <c r="J69" s="285"/>
      <c r="K69" s="285"/>
      <c r="L69" s="285"/>
      <c r="M69" s="287"/>
      <c r="N69" s="287"/>
      <c r="O69" s="287"/>
      <c r="P69" s="287"/>
      <c r="Q69" s="287"/>
      <c r="R69" s="287"/>
      <c r="S69" s="285"/>
      <c r="T69" s="285"/>
      <c r="U69" s="285"/>
      <c r="V69" s="285"/>
      <c r="W69" s="285"/>
      <c r="X69" s="285"/>
      <c r="Y69" s="285"/>
      <c r="Z69" s="285"/>
      <c r="AA69" s="285"/>
      <c r="AB69" s="285"/>
      <c r="AC69" s="285"/>
      <c r="AD69" s="285"/>
      <c r="AE69" s="285"/>
      <c r="AF69" s="285"/>
      <c r="AG69" s="285"/>
      <c r="AH69" s="2513"/>
      <c r="AI69" s="285"/>
      <c r="AJ69" s="285"/>
      <c r="AK69" s="285"/>
      <c r="AL69" s="285"/>
      <c r="AM69" s="285"/>
      <c r="AN69" s="285"/>
      <c r="AO69" s="285"/>
      <c r="AP69" s="285"/>
      <c r="AQ69" s="285"/>
      <c r="AR69" s="285"/>
      <c r="AS69" s="285"/>
      <c r="AT69" s="285"/>
      <c r="AU69" s="285"/>
      <c r="AV69" s="285"/>
      <c r="AW69" s="285"/>
      <c r="AX69" s="285"/>
      <c r="AY69" s="285"/>
      <c r="AZ69" s="285"/>
      <c r="BA69" s="285"/>
      <c r="BB69" s="285"/>
      <c r="BC69" s="285"/>
      <c r="BD69" s="285"/>
      <c r="BE69" s="285"/>
      <c r="BF69" s="285"/>
      <c r="BG69" s="285"/>
      <c r="BH69" s="285"/>
      <c r="BI69" s="285"/>
      <c r="BJ69" s="285"/>
      <c r="BK69" s="285"/>
      <c r="BL69" s="285"/>
      <c r="BM69" s="285"/>
      <c r="BN69" s="285"/>
      <c r="BO69" s="285"/>
      <c r="BP69" s="285"/>
      <c r="BQ69" s="285"/>
      <c r="BR69" s="285"/>
      <c r="BS69" s="285"/>
      <c r="BT69" s="285"/>
      <c r="BU69" s="285"/>
      <c r="BV69" s="285"/>
      <c r="BW69" s="285"/>
      <c r="BX69" s="285"/>
      <c r="BY69" s="285"/>
      <c r="BZ69" s="285"/>
      <c r="CA69" s="285"/>
      <c r="CB69" s="285"/>
      <c r="CC69" s="285"/>
      <c r="CD69" s="285"/>
      <c r="CE69" s="285"/>
      <c r="CF69" s="285"/>
      <c r="CG69" s="285"/>
      <c r="CH69" s="285"/>
      <c r="CI69" s="285"/>
      <c r="CJ69" s="285"/>
      <c r="CK69" s="285"/>
      <c r="CL69" s="285"/>
      <c r="CM69" s="285"/>
      <c r="CN69" s="285"/>
      <c r="CO69" s="285"/>
      <c r="CP69" s="285"/>
      <c r="CQ69" s="285"/>
      <c r="CR69" s="285"/>
      <c r="CS69" s="285"/>
      <c r="CT69" s="285"/>
      <c r="CU69" s="285"/>
      <c r="CV69" s="285"/>
      <c r="CW69" s="285"/>
      <c r="CX69" s="285"/>
      <c r="CY69" s="285"/>
      <c r="CZ69" s="285"/>
      <c r="DA69" s="285"/>
      <c r="DB69" s="285"/>
      <c r="DC69" s="285"/>
      <c r="DD69" s="285"/>
      <c r="DE69" s="285"/>
      <c r="DF69" s="285"/>
      <c r="DG69" s="309"/>
      <c r="DH69" s="442" t="s">
        <v>2178</v>
      </c>
      <c r="DI69" s="285"/>
      <c r="DJ69" s="76">
        <f t="shared" ref="DJ69:EO69" si="181">IF(DJ$169=0,0,SUMPRODUCT($AN$173:$AN$364,DJ$173:DJ$364,$CY$173:$CY$364,$AH$173:$AH$364,$BU$173:$BU$364))</f>
        <v>0</v>
      </c>
      <c r="DK69" s="76">
        <f t="shared" si="181"/>
        <v>0</v>
      </c>
      <c r="DL69" s="76">
        <f t="shared" si="181"/>
        <v>0</v>
      </c>
      <c r="DM69" s="76">
        <f t="shared" si="181"/>
        <v>0</v>
      </c>
      <c r="DN69" s="76">
        <f t="shared" si="181"/>
        <v>0</v>
      </c>
      <c r="DO69" s="76">
        <f t="shared" si="181"/>
        <v>0</v>
      </c>
      <c r="DP69" s="76">
        <f t="shared" si="181"/>
        <v>0</v>
      </c>
      <c r="DQ69" s="76">
        <f t="shared" si="181"/>
        <v>0</v>
      </c>
      <c r="DR69" s="76">
        <f t="shared" si="181"/>
        <v>0</v>
      </c>
      <c r="DS69" s="76">
        <f t="shared" si="181"/>
        <v>0</v>
      </c>
      <c r="DT69" s="76">
        <f t="shared" si="181"/>
        <v>0</v>
      </c>
      <c r="DU69" s="76">
        <f t="shared" si="181"/>
        <v>0</v>
      </c>
      <c r="DV69" s="76">
        <f t="shared" si="181"/>
        <v>0</v>
      </c>
      <c r="DW69" s="76">
        <f t="shared" si="181"/>
        <v>0</v>
      </c>
      <c r="DX69" s="76">
        <f t="shared" si="181"/>
        <v>0</v>
      </c>
      <c r="DY69" s="76">
        <f t="shared" si="181"/>
        <v>0</v>
      </c>
      <c r="DZ69" s="76">
        <f t="shared" si="181"/>
        <v>0</v>
      </c>
      <c r="EA69" s="76">
        <f t="shared" si="181"/>
        <v>0</v>
      </c>
      <c r="EB69" s="76">
        <f t="shared" si="181"/>
        <v>0</v>
      </c>
      <c r="EC69" s="76">
        <f t="shared" si="181"/>
        <v>0</v>
      </c>
      <c r="ED69" s="76">
        <f t="shared" si="181"/>
        <v>0</v>
      </c>
      <c r="EE69" s="76">
        <f t="shared" si="181"/>
        <v>0</v>
      </c>
      <c r="EF69" s="76">
        <f t="shared" si="181"/>
        <v>0</v>
      </c>
      <c r="EG69" s="76">
        <f t="shared" si="181"/>
        <v>0</v>
      </c>
      <c r="EH69" s="76">
        <f t="shared" si="181"/>
        <v>0</v>
      </c>
      <c r="EI69" s="76">
        <f t="shared" si="181"/>
        <v>0</v>
      </c>
      <c r="EJ69" s="76">
        <f t="shared" si="181"/>
        <v>0</v>
      </c>
      <c r="EK69" s="76">
        <f t="shared" si="181"/>
        <v>0</v>
      </c>
      <c r="EL69" s="76">
        <f t="shared" si="181"/>
        <v>0</v>
      </c>
      <c r="EM69" s="76">
        <f t="shared" si="181"/>
        <v>0</v>
      </c>
      <c r="EN69" s="76">
        <f t="shared" si="181"/>
        <v>0</v>
      </c>
      <c r="EO69" s="76">
        <f t="shared" si="181"/>
        <v>0</v>
      </c>
      <c r="EP69" s="76">
        <f t="shared" ref="EP69:FG69" si="182">IF(EP$169=0,0,SUMPRODUCT($AN$173:$AN$364,EP$173:EP$364,$CY$173:$CY$364,$AH$173:$AH$364,$BU$173:$BU$364))</f>
        <v>0</v>
      </c>
      <c r="EQ69" s="76">
        <f t="shared" si="182"/>
        <v>0</v>
      </c>
      <c r="ER69" s="76">
        <f t="shared" si="182"/>
        <v>0</v>
      </c>
      <c r="ES69" s="76">
        <f t="shared" si="182"/>
        <v>0</v>
      </c>
      <c r="ET69" s="76">
        <f t="shared" si="182"/>
        <v>0</v>
      </c>
      <c r="EU69" s="76">
        <f t="shared" si="182"/>
        <v>0</v>
      </c>
      <c r="EV69" s="76">
        <f t="shared" si="182"/>
        <v>0</v>
      </c>
      <c r="EW69" s="76">
        <f t="shared" si="182"/>
        <v>0</v>
      </c>
      <c r="EX69" s="76">
        <f t="shared" si="182"/>
        <v>0</v>
      </c>
      <c r="EY69" s="76">
        <f t="shared" si="182"/>
        <v>0</v>
      </c>
      <c r="EZ69" s="76">
        <f t="shared" si="182"/>
        <v>0</v>
      </c>
      <c r="FA69" s="76">
        <f t="shared" si="182"/>
        <v>0</v>
      </c>
      <c r="FB69" s="76">
        <f t="shared" si="182"/>
        <v>0</v>
      </c>
      <c r="FC69" s="76">
        <f t="shared" si="182"/>
        <v>0</v>
      </c>
      <c r="FD69" s="76">
        <f t="shared" si="182"/>
        <v>0</v>
      </c>
      <c r="FE69" s="76">
        <f t="shared" si="182"/>
        <v>0</v>
      </c>
      <c r="FF69" s="76">
        <f t="shared" si="182"/>
        <v>0</v>
      </c>
      <c r="FG69" s="76">
        <f t="shared" si="182"/>
        <v>0</v>
      </c>
      <c r="FH69" s="922"/>
      <c r="FI69" s="305"/>
      <c r="FJ69" s="307"/>
      <c r="FK69" s="307"/>
      <c r="FL69" s="285"/>
      <c r="FM69" s="285"/>
      <c r="FN69" s="285"/>
      <c r="FO69" s="285"/>
      <c r="FP69" s="285"/>
      <c r="FQ69" s="285"/>
      <c r="FR69" s="285"/>
      <c r="FS69" s="285"/>
      <c r="FT69" s="285"/>
      <c r="FU69" s="285"/>
      <c r="FV69" s="285"/>
      <c r="FW69" s="285"/>
      <c r="FX69" s="285"/>
      <c r="FY69" s="285"/>
      <c r="FZ69" s="285"/>
      <c r="GA69" s="285"/>
      <c r="GB69" s="285"/>
      <c r="GC69" s="285"/>
      <c r="GD69" s="285"/>
      <c r="GE69" s="285"/>
      <c r="GF69" s="285"/>
      <c r="GG69" s="285"/>
      <c r="GH69" s="285"/>
      <c r="GI69" s="285"/>
      <c r="GJ69" s="285"/>
      <c r="GK69" s="285"/>
      <c r="GL69" s="285"/>
      <c r="GM69" s="285"/>
      <c r="GN69" s="285"/>
      <c r="GO69" s="285"/>
      <c r="GP69" s="285"/>
      <c r="GQ69" s="285"/>
      <c r="GR69" s="285"/>
      <c r="GS69" s="285"/>
      <c r="GT69" s="285"/>
      <c r="GU69" s="285"/>
      <c r="GV69" s="285"/>
      <c r="GW69" s="285"/>
      <c r="GX69" s="285"/>
      <c r="GY69" s="285"/>
      <c r="GZ69" s="285"/>
      <c r="HA69" s="285"/>
      <c r="HB69" s="285"/>
      <c r="HC69" s="285"/>
      <c r="HD69" s="285"/>
      <c r="HE69" s="285"/>
      <c r="HF69" s="285"/>
      <c r="HG69" s="285"/>
      <c r="HH69" s="285"/>
      <c r="HI69" s="285"/>
      <c r="HJ69" s="285"/>
      <c r="HK69" s="285"/>
      <c r="HL69" s="285"/>
      <c r="HM69" s="285"/>
      <c r="HN69" s="285"/>
      <c r="HO69" s="285"/>
      <c r="HP69" s="285"/>
      <c r="HQ69" s="285"/>
      <c r="HR69" s="285"/>
      <c r="HS69" s="285"/>
      <c r="HT69" s="285"/>
      <c r="HU69" s="285"/>
      <c r="HV69" s="285"/>
      <c r="HW69" s="285"/>
      <c r="HX69" s="285"/>
      <c r="HY69" s="285"/>
      <c r="HZ69" s="285"/>
      <c r="IA69" s="285"/>
      <c r="IB69" s="285"/>
      <c r="IC69" s="285"/>
      <c r="ID69" s="285"/>
      <c r="IE69" s="285"/>
      <c r="IF69" s="285"/>
      <c r="IG69" s="285"/>
      <c r="IH69" s="285"/>
      <c r="II69" s="285"/>
      <c r="IJ69" s="285"/>
      <c r="IK69" s="285"/>
      <c r="IL69" s="285"/>
      <c r="IM69" s="285"/>
      <c r="IN69" s="285"/>
      <c r="IO69" s="285"/>
      <c r="IP69" s="285"/>
      <c r="IQ69" s="285"/>
      <c r="IR69" s="285"/>
      <c r="IS69" s="285"/>
      <c r="IT69" s="285"/>
      <c r="IU69" s="285"/>
      <c r="IV69" s="285"/>
      <c r="IW69" s="285"/>
      <c r="IX69" s="285"/>
      <c r="IY69" s="285"/>
      <c r="IZ69" s="285"/>
      <c r="JA69" s="285"/>
      <c r="JB69" s="285"/>
      <c r="JC69" s="285"/>
      <c r="JD69" s="285"/>
      <c r="JE69" s="285"/>
      <c r="JF69" s="285"/>
      <c r="JG69" s="285"/>
      <c r="JH69" s="285"/>
      <c r="JI69" s="285"/>
      <c r="JJ69" s="285"/>
      <c r="JK69" s="285"/>
      <c r="JL69" s="285"/>
      <c r="JM69" s="285"/>
      <c r="JN69" s="285"/>
      <c r="JO69" s="285"/>
      <c r="JP69" s="285"/>
      <c r="JQ69" s="285"/>
      <c r="JR69" s="285"/>
      <c r="JS69" s="285"/>
      <c r="JT69" s="285"/>
      <c r="JU69" s="285"/>
      <c r="JV69" s="285"/>
      <c r="JW69" s="285"/>
      <c r="JX69" s="285"/>
      <c r="JY69" s="285"/>
      <c r="JZ69" s="285"/>
      <c r="KA69" s="285"/>
      <c r="KB69" s="285"/>
      <c r="KC69" s="285"/>
      <c r="KD69" s="285"/>
      <c r="KE69" s="285"/>
      <c r="KF69" s="285"/>
      <c r="KG69" s="285"/>
      <c r="KH69" s="285"/>
      <c r="KI69" s="285"/>
      <c r="KJ69" s="285"/>
      <c r="KK69" s="285"/>
      <c r="KL69" s="285"/>
      <c r="KM69" s="285"/>
      <c r="KN69" s="285"/>
      <c r="KO69" s="285"/>
      <c r="KP69" s="285"/>
      <c r="KQ69" s="285"/>
      <c r="KR69" s="285"/>
      <c r="KS69" s="285"/>
      <c r="KT69" s="285"/>
      <c r="KU69" s="285"/>
      <c r="KV69" s="285"/>
      <c r="KW69" s="285"/>
      <c r="KX69" s="285"/>
      <c r="KY69" s="285"/>
      <c r="KZ69" s="285"/>
      <c r="LA69" s="285"/>
      <c r="LB69" s="285"/>
      <c r="LC69" s="285"/>
      <c r="LD69" s="285"/>
      <c r="LE69" s="285"/>
      <c r="LF69" s="285"/>
      <c r="LG69" s="285"/>
      <c r="LH69" s="285"/>
      <c r="LI69" s="285"/>
      <c r="LJ69" s="285"/>
      <c r="LK69" s="285"/>
      <c r="LL69" s="285"/>
      <c r="LM69" s="285"/>
      <c r="LN69" s="285"/>
      <c r="LO69" s="285"/>
      <c r="LP69" s="285"/>
    </row>
    <row r="70" spans="1:328" ht="12.75" hidden="1" customHeight="1" x14ac:dyDescent="0.3">
      <c r="A70" s="285"/>
      <c r="B70" s="285"/>
      <c r="C70" s="286"/>
      <c r="D70" s="285"/>
      <c r="E70" s="285"/>
      <c r="F70" s="285"/>
      <c r="G70" s="285"/>
      <c r="H70" s="285"/>
      <c r="I70" s="285"/>
      <c r="J70" s="285"/>
      <c r="K70" s="285"/>
      <c r="L70" s="285"/>
      <c r="M70" s="287"/>
      <c r="N70" s="287"/>
      <c r="O70" s="287"/>
      <c r="P70" s="287"/>
      <c r="Q70" s="287"/>
      <c r="R70" s="287"/>
      <c r="S70" s="285"/>
      <c r="T70" s="285"/>
      <c r="U70" s="285"/>
      <c r="V70" s="285"/>
      <c r="W70" s="285"/>
      <c r="X70" s="285"/>
      <c r="Y70" s="285"/>
      <c r="Z70" s="285"/>
      <c r="AA70" s="285"/>
      <c r="AB70" s="285"/>
      <c r="AC70" s="285"/>
      <c r="AD70" s="285"/>
      <c r="AE70" s="285"/>
      <c r="AF70" s="285"/>
      <c r="AG70" s="285"/>
      <c r="AH70" s="2513"/>
      <c r="AI70" s="285"/>
      <c r="AJ70" s="285"/>
      <c r="AK70" s="285"/>
      <c r="AL70" s="285"/>
      <c r="AM70" s="285"/>
      <c r="AN70" s="285"/>
      <c r="AO70" s="285"/>
      <c r="AP70" s="285"/>
      <c r="AQ70" s="285"/>
      <c r="AR70" s="285"/>
      <c r="AS70" s="285"/>
      <c r="AT70" s="285"/>
      <c r="AU70" s="285"/>
      <c r="AV70" s="285"/>
      <c r="AW70" s="285"/>
      <c r="AX70" s="285"/>
      <c r="AY70" s="285"/>
      <c r="AZ70" s="285"/>
      <c r="BA70" s="285"/>
      <c r="BB70" s="285"/>
      <c r="BC70" s="285"/>
      <c r="BD70" s="285"/>
      <c r="BE70" s="285"/>
      <c r="BF70" s="285"/>
      <c r="BG70" s="285"/>
      <c r="BH70" s="285"/>
      <c r="BI70" s="285"/>
      <c r="BJ70" s="285"/>
      <c r="BK70" s="285"/>
      <c r="BL70" s="285"/>
      <c r="BM70" s="285"/>
      <c r="BN70" s="285"/>
      <c r="BO70" s="285"/>
      <c r="BP70" s="285"/>
      <c r="BQ70" s="285"/>
      <c r="BR70" s="285"/>
      <c r="BS70" s="285"/>
      <c r="BT70" s="285"/>
      <c r="BU70" s="285"/>
      <c r="BV70" s="285"/>
      <c r="BW70" s="285"/>
      <c r="BX70" s="285"/>
      <c r="BY70" s="285"/>
      <c r="BZ70" s="285"/>
      <c r="CA70" s="285"/>
      <c r="CB70" s="285"/>
      <c r="CC70" s="285"/>
      <c r="CD70" s="285"/>
      <c r="CE70" s="285"/>
      <c r="CF70" s="285"/>
      <c r="CG70" s="285"/>
      <c r="CH70" s="285"/>
      <c r="CI70" s="285"/>
      <c r="CJ70" s="285"/>
      <c r="CK70" s="285"/>
      <c r="CL70" s="285"/>
      <c r="CM70" s="285"/>
      <c r="CN70" s="285"/>
      <c r="CO70" s="285"/>
      <c r="CP70" s="285"/>
      <c r="CQ70" s="285"/>
      <c r="CR70" s="285"/>
      <c r="CS70" s="285"/>
      <c r="CT70" s="285"/>
      <c r="CU70" s="285"/>
      <c r="CV70" s="285"/>
      <c r="CW70" s="285"/>
      <c r="CX70" s="285"/>
      <c r="CY70" s="285"/>
      <c r="CZ70" s="285"/>
      <c r="DA70" s="285"/>
      <c r="DB70" s="285"/>
      <c r="DC70" s="285"/>
      <c r="DD70" s="285"/>
      <c r="DE70" s="285"/>
      <c r="DF70" s="285"/>
      <c r="DG70" s="309"/>
      <c r="DH70" s="442" t="s">
        <v>2179</v>
      </c>
      <c r="DI70" s="285"/>
      <c r="DJ70" s="76">
        <f t="shared" ref="DJ70:EO70" si="183">IF(DJ$169=0,0,SUMPRODUCT($AN$173:$AN$364,DJ$173:DJ$364,$CY$173:$CY$364,$AH$173:$AH$364,$BV$173:$BV$364))</f>
        <v>0</v>
      </c>
      <c r="DK70" s="76">
        <f t="shared" si="183"/>
        <v>0</v>
      </c>
      <c r="DL70" s="76">
        <f t="shared" si="183"/>
        <v>0</v>
      </c>
      <c r="DM70" s="76">
        <f t="shared" si="183"/>
        <v>0</v>
      </c>
      <c r="DN70" s="76">
        <f t="shared" si="183"/>
        <v>0</v>
      </c>
      <c r="DO70" s="76">
        <f t="shared" si="183"/>
        <v>0</v>
      </c>
      <c r="DP70" s="76">
        <f t="shared" si="183"/>
        <v>0</v>
      </c>
      <c r="DQ70" s="76">
        <f t="shared" si="183"/>
        <v>0</v>
      </c>
      <c r="DR70" s="76">
        <f t="shared" si="183"/>
        <v>0</v>
      </c>
      <c r="DS70" s="76">
        <f t="shared" si="183"/>
        <v>0</v>
      </c>
      <c r="DT70" s="76">
        <f t="shared" si="183"/>
        <v>0</v>
      </c>
      <c r="DU70" s="76">
        <f t="shared" si="183"/>
        <v>0</v>
      </c>
      <c r="DV70" s="76">
        <f t="shared" si="183"/>
        <v>0</v>
      </c>
      <c r="DW70" s="76">
        <f t="shared" si="183"/>
        <v>0</v>
      </c>
      <c r="DX70" s="76">
        <f t="shared" si="183"/>
        <v>0</v>
      </c>
      <c r="DY70" s="76">
        <f t="shared" si="183"/>
        <v>0</v>
      </c>
      <c r="DZ70" s="76">
        <f t="shared" si="183"/>
        <v>0</v>
      </c>
      <c r="EA70" s="76">
        <f t="shared" si="183"/>
        <v>0</v>
      </c>
      <c r="EB70" s="76">
        <f t="shared" si="183"/>
        <v>0</v>
      </c>
      <c r="EC70" s="76">
        <f t="shared" si="183"/>
        <v>0</v>
      </c>
      <c r="ED70" s="76">
        <f t="shared" si="183"/>
        <v>0</v>
      </c>
      <c r="EE70" s="76">
        <f t="shared" si="183"/>
        <v>0</v>
      </c>
      <c r="EF70" s="76">
        <f t="shared" si="183"/>
        <v>0</v>
      </c>
      <c r="EG70" s="76">
        <f t="shared" si="183"/>
        <v>0</v>
      </c>
      <c r="EH70" s="76">
        <f t="shared" si="183"/>
        <v>0</v>
      </c>
      <c r="EI70" s="76">
        <f t="shared" si="183"/>
        <v>0</v>
      </c>
      <c r="EJ70" s="76">
        <f t="shared" si="183"/>
        <v>0</v>
      </c>
      <c r="EK70" s="76">
        <f t="shared" si="183"/>
        <v>0</v>
      </c>
      <c r="EL70" s="76">
        <f t="shared" si="183"/>
        <v>0</v>
      </c>
      <c r="EM70" s="76">
        <f t="shared" si="183"/>
        <v>0</v>
      </c>
      <c r="EN70" s="76">
        <f t="shared" si="183"/>
        <v>0</v>
      </c>
      <c r="EO70" s="76">
        <f t="shared" si="183"/>
        <v>0</v>
      </c>
      <c r="EP70" s="76">
        <f t="shared" ref="EP70:FG70" si="184">IF(EP$169=0,0,SUMPRODUCT($AN$173:$AN$364,EP$173:EP$364,$CY$173:$CY$364,$AH$173:$AH$364,$BV$173:$BV$364))</f>
        <v>0</v>
      </c>
      <c r="EQ70" s="76">
        <f t="shared" si="184"/>
        <v>0</v>
      </c>
      <c r="ER70" s="76">
        <f t="shared" si="184"/>
        <v>0</v>
      </c>
      <c r="ES70" s="76">
        <f t="shared" si="184"/>
        <v>0</v>
      </c>
      <c r="ET70" s="76">
        <f t="shared" si="184"/>
        <v>0</v>
      </c>
      <c r="EU70" s="76">
        <f t="shared" si="184"/>
        <v>0</v>
      </c>
      <c r="EV70" s="76">
        <f t="shared" si="184"/>
        <v>0</v>
      </c>
      <c r="EW70" s="76">
        <f t="shared" si="184"/>
        <v>0</v>
      </c>
      <c r="EX70" s="76">
        <f t="shared" si="184"/>
        <v>0</v>
      </c>
      <c r="EY70" s="76">
        <f t="shared" si="184"/>
        <v>0</v>
      </c>
      <c r="EZ70" s="76">
        <f t="shared" si="184"/>
        <v>0</v>
      </c>
      <c r="FA70" s="76">
        <f t="shared" si="184"/>
        <v>0</v>
      </c>
      <c r="FB70" s="76">
        <f t="shared" si="184"/>
        <v>0</v>
      </c>
      <c r="FC70" s="76">
        <f t="shared" si="184"/>
        <v>0</v>
      </c>
      <c r="FD70" s="76">
        <f t="shared" si="184"/>
        <v>0</v>
      </c>
      <c r="FE70" s="76">
        <f t="shared" si="184"/>
        <v>0</v>
      </c>
      <c r="FF70" s="76">
        <f t="shared" si="184"/>
        <v>0</v>
      </c>
      <c r="FG70" s="76">
        <f t="shared" si="184"/>
        <v>0</v>
      </c>
      <c r="FH70" s="922"/>
      <c r="FI70" s="305"/>
      <c r="FJ70" s="307"/>
      <c r="FK70" s="307"/>
      <c r="FL70" s="285"/>
      <c r="FM70" s="285"/>
      <c r="FN70" s="285"/>
      <c r="FO70" s="285"/>
      <c r="FP70" s="285"/>
      <c r="FQ70" s="285"/>
      <c r="FR70" s="285"/>
      <c r="FS70" s="285"/>
      <c r="FT70" s="285"/>
      <c r="FU70" s="285"/>
      <c r="FV70" s="285"/>
      <c r="FW70" s="285"/>
      <c r="FX70" s="285"/>
      <c r="FY70" s="285"/>
      <c r="FZ70" s="285"/>
      <c r="GA70" s="285"/>
      <c r="GB70" s="285"/>
      <c r="GC70" s="285"/>
      <c r="GD70" s="285"/>
      <c r="GE70" s="285"/>
      <c r="GF70" s="285"/>
      <c r="GG70" s="285"/>
      <c r="GH70" s="285"/>
      <c r="GI70" s="285"/>
      <c r="GJ70" s="285"/>
      <c r="GK70" s="285"/>
      <c r="GL70" s="285"/>
      <c r="GM70" s="285"/>
      <c r="GN70" s="285"/>
      <c r="GO70" s="285"/>
      <c r="GP70" s="285"/>
      <c r="GQ70" s="285"/>
      <c r="GR70" s="285"/>
      <c r="GS70" s="285"/>
      <c r="GT70" s="285"/>
      <c r="GU70" s="285"/>
      <c r="GV70" s="285"/>
      <c r="GW70" s="285"/>
      <c r="GX70" s="285"/>
      <c r="GY70" s="285"/>
      <c r="GZ70" s="285"/>
      <c r="HA70" s="285"/>
      <c r="HB70" s="285"/>
      <c r="HC70" s="285"/>
      <c r="HD70" s="285"/>
      <c r="HE70" s="285"/>
      <c r="HF70" s="285"/>
      <c r="HG70" s="285"/>
      <c r="HH70" s="285"/>
      <c r="HI70" s="285"/>
      <c r="HJ70" s="285"/>
      <c r="HK70" s="285"/>
      <c r="HL70" s="285"/>
      <c r="HM70" s="285"/>
      <c r="HN70" s="285"/>
      <c r="HO70" s="285"/>
      <c r="HP70" s="285"/>
      <c r="HQ70" s="285"/>
      <c r="HR70" s="285"/>
      <c r="HS70" s="285"/>
      <c r="HT70" s="285"/>
      <c r="HU70" s="285"/>
      <c r="HV70" s="285"/>
      <c r="HW70" s="285"/>
      <c r="HX70" s="285"/>
      <c r="HY70" s="285"/>
      <c r="HZ70" s="285"/>
      <c r="IA70" s="285"/>
      <c r="IB70" s="285"/>
      <c r="IC70" s="285"/>
      <c r="ID70" s="285"/>
      <c r="IE70" s="285"/>
      <c r="IF70" s="285"/>
      <c r="IG70" s="285"/>
      <c r="IH70" s="285"/>
      <c r="II70" s="285"/>
      <c r="IJ70" s="285"/>
      <c r="IK70" s="285"/>
      <c r="IL70" s="285"/>
      <c r="IM70" s="285"/>
      <c r="IN70" s="285"/>
      <c r="IO70" s="285"/>
      <c r="IP70" s="285"/>
      <c r="IQ70" s="285"/>
      <c r="IR70" s="285"/>
      <c r="IS70" s="285"/>
      <c r="IT70" s="285"/>
      <c r="IU70" s="285"/>
      <c r="IV70" s="285"/>
      <c r="IW70" s="285"/>
      <c r="IX70" s="285"/>
      <c r="IY70" s="285"/>
      <c r="IZ70" s="285"/>
      <c r="JA70" s="285"/>
      <c r="JB70" s="285"/>
      <c r="JC70" s="285"/>
      <c r="JD70" s="285"/>
      <c r="JE70" s="285"/>
      <c r="JF70" s="285"/>
      <c r="JG70" s="285"/>
      <c r="JH70" s="285"/>
      <c r="JI70" s="285"/>
      <c r="JJ70" s="285"/>
      <c r="JK70" s="285"/>
      <c r="JL70" s="285"/>
      <c r="JM70" s="285"/>
      <c r="JN70" s="285"/>
      <c r="JO70" s="285"/>
      <c r="JP70" s="285"/>
      <c r="JQ70" s="285"/>
      <c r="JR70" s="285"/>
      <c r="JS70" s="285"/>
      <c r="JT70" s="285"/>
      <c r="JU70" s="285"/>
      <c r="JV70" s="285"/>
      <c r="JW70" s="285"/>
      <c r="JX70" s="285"/>
      <c r="JY70" s="285"/>
      <c r="JZ70" s="285"/>
      <c r="KA70" s="285"/>
      <c r="KB70" s="285"/>
      <c r="KC70" s="285"/>
      <c r="KD70" s="285"/>
      <c r="KE70" s="285"/>
      <c r="KF70" s="285"/>
      <c r="KG70" s="285"/>
      <c r="KH70" s="285"/>
      <c r="KI70" s="285"/>
      <c r="KJ70" s="285"/>
      <c r="KK70" s="285"/>
      <c r="KL70" s="285"/>
      <c r="KM70" s="285"/>
      <c r="KN70" s="285"/>
      <c r="KO70" s="285"/>
      <c r="KP70" s="285"/>
      <c r="KQ70" s="285"/>
      <c r="KR70" s="285"/>
      <c r="KS70" s="285"/>
      <c r="KT70" s="285"/>
      <c r="KU70" s="285"/>
      <c r="KV70" s="285"/>
      <c r="KW70" s="285"/>
      <c r="KX70" s="285"/>
      <c r="KY70" s="285"/>
      <c r="KZ70" s="285"/>
      <c r="LA70" s="285"/>
      <c r="LB70" s="285"/>
      <c r="LC70" s="285"/>
      <c r="LD70" s="285"/>
      <c r="LE70" s="285"/>
      <c r="LF70" s="285"/>
      <c r="LG70" s="285"/>
      <c r="LH70" s="285"/>
      <c r="LI70" s="285"/>
      <c r="LJ70" s="285"/>
      <c r="LK70" s="285"/>
      <c r="LL70" s="285"/>
      <c r="LM70" s="285"/>
      <c r="LN70" s="285"/>
      <c r="LO70" s="285"/>
      <c r="LP70" s="285"/>
    </row>
    <row r="71" spans="1:328" ht="12.75" hidden="1" customHeight="1" x14ac:dyDescent="0.3">
      <c r="A71" s="285"/>
      <c r="B71" s="285"/>
      <c r="C71" s="286"/>
      <c r="D71" s="285"/>
      <c r="E71" s="285"/>
      <c r="F71" s="285"/>
      <c r="G71" s="285"/>
      <c r="H71" s="285"/>
      <c r="I71" s="285"/>
      <c r="J71" s="285"/>
      <c r="K71" s="285"/>
      <c r="L71" s="285"/>
      <c r="M71" s="287"/>
      <c r="N71" s="287"/>
      <c r="O71" s="287"/>
      <c r="P71" s="287"/>
      <c r="Q71" s="287"/>
      <c r="R71" s="287"/>
      <c r="S71" s="285"/>
      <c r="T71" s="285"/>
      <c r="U71" s="285"/>
      <c r="V71" s="285"/>
      <c r="W71" s="285"/>
      <c r="X71" s="285"/>
      <c r="Y71" s="285"/>
      <c r="Z71" s="285"/>
      <c r="AA71" s="285"/>
      <c r="AB71" s="285"/>
      <c r="AC71" s="285"/>
      <c r="AD71" s="285"/>
      <c r="AE71" s="285"/>
      <c r="AF71" s="285"/>
      <c r="AG71" s="285"/>
      <c r="AH71" s="2513"/>
      <c r="AI71" s="285"/>
      <c r="AJ71" s="285"/>
      <c r="AK71" s="285"/>
      <c r="AL71" s="285"/>
      <c r="AM71" s="285"/>
      <c r="AN71" s="285"/>
      <c r="AO71" s="285"/>
      <c r="AP71" s="285"/>
      <c r="AQ71" s="285"/>
      <c r="AR71" s="285"/>
      <c r="AS71" s="285"/>
      <c r="AT71" s="285"/>
      <c r="AU71" s="285"/>
      <c r="AV71" s="285"/>
      <c r="AW71" s="285"/>
      <c r="AX71" s="285"/>
      <c r="AY71" s="285"/>
      <c r="AZ71" s="285"/>
      <c r="BA71" s="285"/>
      <c r="BB71" s="285"/>
      <c r="BC71" s="285"/>
      <c r="BD71" s="285"/>
      <c r="BE71" s="285"/>
      <c r="BF71" s="285"/>
      <c r="BG71" s="285"/>
      <c r="BH71" s="285"/>
      <c r="BI71" s="285"/>
      <c r="BJ71" s="285"/>
      <c r="BK71" s="285"/>
      <c r="BL71" s="285"/>
      <c r="BM71" s="285"/>
      <c r="BN71" s="285"/>
      <c r="BO71" s="285"/>
      <c r="BP71" s="285"/>
      <c r="BQ71" s="285"/>
      <c r="BR71" s="285"/>
      <c r="BS71" s="285"/>
      <c r="BT71" s="285"/>
      <c r="BU71" s="285"/>
      <c r="BV71" s="285"/>
      <c r="BW71" s="285"/>
      <c r="BX71" s="285"/>
      <c r="BY71" s="285"/>
      <c r="BZ71" s="285"/>
      <c r="CA71" s="285"/>
      <c r="CB71" s="285"/>
      <c r="CC71" s="285"/>
      <c r="CD71" s="285"/>
      <c r="CE71" s="285"/>
      <c r="CF71" s="285"/>
      <c r="CG71" s="285"/>
      <c r="CH71" s="285"/>
      <c r="CI71" s="285"/>
      <c r="CJ71" s="285"/>
      <c r="CK71" s="285"/>
      <c r="CL71" s="285"/>
      <c r="CM71" s="285"/>
      <c r="CN71" s="285"/>
      <c r="CO71" s="285"/>
      <c r="CP71" s="285"/>
      <c r="CQ71" s="285"/>
      <c r="CR71" s="285"/>
      <c r="CS71" s="285"/>
      <c r="CT71" s="285"/>
      <c r="CU71" s="285"/>
      <c r="CV71" s="285"/>
      <c r="CW71" s="285"/>
      <c r="CX71" s="285"/>
      <c r="CY71" s="285"/>
      <c r="CZ71" s="285"/>
      <c r="DA71" s="285"/>
      <c r="DB71" s="285"/>
      <c r="DC71" s="285"/>
      <c r="DD71" s="285"/>
      <c r="DE71" s="285"/>
      <c r="DF71" s="285"/>
      <c r="DG71" s="309"/>
      <c r="DH71" s="442" t="s">
        <v>2180</v>
      </c>
      <c r="DI71" s="285"/>
      <c r="DJ71" s="76">
        <f t="shared" ref="DJ71:EO71" si="185">IF(DJ$169=0,0,SUMPRODUCT($AN$173:$AN$364,DJ$173:DJ$364,$CY$173:$CY$364,$AH$173:$AH$364,$BW$173:$BW$364))</f>
        <v>0</v>
      </c>
      <c r="DK71" s="76">
        <f t="shared" si="185"/>
        <v>0</v>
      </c>
      <c r="DL71" s="76">
        <f t="shared" si="185"/>
        <v>0</v>
      </c>
      <c r="DM71" s="76">
        <f t="shared" si="185"/>
        <v>0</v>
      </c>
      <c r="DN71" s="76">
        <f t="shared" si="185"/>
        <v>0</v>
      </c>
      <c r="DO71" s="76">
        <f t="shared" si="185"/>
        <v>0</v>
      </c>
      <c r="DP71" s="76">
        <f t="shared" si="185"/>
        <v>0</v>
      </c>
      <c r="DQ71" s="76">
        <f t="shared" si="185"/>
        <v>0</v>
      </c>
      <c r="DR71" s="76">
        <f t="shared" si="185"/>
        <v>0</v>
      </c>
      <c r="DS71" s="76">
        <f t="shared" si="185"/>
        <v>0</v>
      </c>
      <c r="DT71" s="76">
        <f t="shared" si="185"/>
        <v>0</v>
      </c>
      <c r="DU71" s="76">
        <f t="shared" si="185"/>
        <v>0</v>
      </c>
      <c r="DV71" s="76">
        <f t="shared" si="185"/>
        <v>0</v>
      </c>
      <c r="DW71" s="76">
        <f t="shared" si="185"/>
        <v>0</v>
      </c>
      <c r="DX71" s="76">
        <f t="shared" si="185"/>
        <v>0</v>
      </c>
      <c r="DY71" s="76">
        <f t="shared" si="185"/>
        <v>0</v>
      </c>
      <c r="DZ71" s="76">
        <f t="shared" si="185"/>
        <v>0</v>
      </c>
      <c r="EA71" s="76">
        <f t="shared" si="185"/>
        <v>0</v>
      </c>
      <c r="EB71" s="76">
        <f t="shared" si="185"/>
        <v>0</v>
      </c>
      <c r="EC71" s="76">
        <f t="shared" si="185"/>
        <v>0</v>
      </c>
      <c r="ED71" s="76">
        <f t="shared" si="185"/>
        <v>0</v>
      </c>
      <c r="EE71" s="76">
        <f t="shared" si="185"/>
        <v>0</v>
      </c>
      <c r="EF71" s="76">
        <f t="shared" si="185"/>
        <v>0</v>
      </c>
      <c r="EG71" s="76">
        <f t="shared" si="185"/>
        <v>0</v>
      </c>
      <c r="EH71" s="76">
        <f t="shared" si="185"/>
        <v>0</v>
      </c>
      <c r="EI71" s="76">
        <f t="shared" si="185"/>
        <v>0</v>
      </c>
      <c r="EJ71" s="76">
        <f t="shared" si="185"/>
        <v>0</v>
      </c>
      <c r="EK71" s="76">
        <f t="shared" si="185"/>
        <v>0</v>
      </c>
      <c r="EL71" s="76">
        <f t="shared" si="185"/>
        <v>0</v>
      </c>
      <c r="EM71" s="76">
        <f t="shared" si="185"/>
        <v>0</v>
      </c>
      <c r="EN71" s="76">
        <f t="shared" si="185"/>
        <v>0</v>
      </c>
      <c r="EO71" s="76">
        <f t="shared" si="185"/>
        <v>0</v>
      </c>
      <c r="EP71" s="76">
        <f t="shared" ref="EP71:FG71" si="186">IF(EP$169=0,0,SUMPRODUCT($AN$173:$AN$364,EP$173:EP$364,$CY$173:$CY$364,$AH$173:$AH$364,$BW$173:$BW$364))</f>
        <v>0</v>
      </c>
      <c r="EQ71" s="76">
        <f t="shared" si="186"/>
        <v>0</v>
      </c>
      <c r="ER71" s="76">
        <f t="shared" si="186"/>
        <v>0</v>
      </c>
      <c r="ES71" s="76">
        <f t="shared" si="186"/>
        <v>0</v>
      </c>
      <c r="ET71" s="76">
        <f t="shared" si="186"/>
        <v>0</v>
      </c>
      <c r="EU71" s="76">
        <f t="shared" si="186"/>
        <v>0</v>
      </c>
      <c r="EV71" s="76">
        <f t="shared" si="186"/>
        <v>0</v>
      </c>
      <c r="EW71" s="76">
        <f t="shared" si="186"/>
        <v>0</v>
      </c>
      <c r="EX71" s="76">
        <f t="shared" si="186"/>
        <v>0</v>
      </c>
      <c r="EY71" s="76">
        <f t="shared" si="186"/>
        <v>0</v>
      </c>
      <c r="EZ71" s="76">
        <f t="shared" si="186"/>
        <v>0</v>
      </c>
      <c r="FA71" s="76">
        <f t="shared" si="186"/>
        <v>0</v>
      </c>
      <c r="FB71" s="76">
        <f t="shared" si="186"/>
        <v>0</v>
      </c>
      <c r="FC71" s="76">
        <f t="shared" si="186"/>
        <v>0</v>
      </c>
      <c r="FD71" s="76">
        <f t="shared" si="186"/>
        <v>0</v>
      </c>
      <c r="FE71" s="76">
        <f t="shared" si="186"/>
        <v>0</v>
      </c>
      <c r="FF71" s="76">
        <f t="shared" si="186"/>
        <v>0</v>
      </c>
      <c r="FG71" s="76">
        <f t="shared" si="186"/>
        <v>0</v>
      </c>
      <c r="FH71" s="922"/>
      <c r="FI71" s="305"/>
      <c r="FJ71" s="307"/>
      <c r="FK71" s="307"/>
      <c r="FL71" s="285"/>
      <c r="FM71" s="285"/>
      <c r="FN71" s="285"/>
      <c r="FO71" s="285"/>
      <c r="FP71" s="285"/>
      <c r="FQ71" s="285"/>
      <c r="FR71" s="285"/>
      <c r="FS71" s="285"/>
      <c r="FT71" s="285"/>
      <c r="FU71" s="285"/>
      <c r="FV71" s="285"/>
      <c r="FW71" s="285"/>
      <c r="FX71" s="285"/>
      <c r="FY71" s="285"/>
      <c r="FZ71" s="285"/>
      <c r="GA71" s="285"/>
      <c r="GB71" s="285"/>
      <c r="GC71" s="285"/>
      <c r="GD71" s="285"/>
      <c r="GE71" s="285"/>
      <c r="GF71" s="285"/>
      <c r="GG71" s="285"/>
      <c r="GH71" s="285"/>
      <c r="GI71" s="285"/>
      <c r="GJ71" s="285"/>
      <c r="GK71" s="285"/>
      <c r="GL71" s="285"/>
      <c r="GM71" s="285"/>
      <c r="GN71" s="285"/>
      <c r="GO71" s="285"/>
      <c r="GP71" s="285"/>
      <c r="GQ71" s="285"/>
      <c r="GR71" s="285"/>
      <c r="GS71" s="285"/>
      <c r="GT71" s="285"/>
      <c r="GU71" s="285"/>
      <c r="GV71" s="285"/>
      <c r="GW71" s="285"/>
      <c r="GX71" s="285"/>
      <c r="GY71" s="285"/>
      <c r="GZ71" s="285"/>
      <c r="HA71" s="285"/>
      <c r="HB71" s="285"/>
      <c r="HC71" s="285"/>
      <c r="HD71" s="285"/>
      <c r="HE71" s="285"/>
      <c r="HF71" s="285"/>
      <c r="HG71" s="285"/>
      <c r="HH71" s="285"/>
      <c r="HI71" s="285"/>
      <c r="HJ71" s="285"/>
      <c r="HK71" s="285"/>
      <c r="HL71" s="285"/>
      <c r="HM71" s="285"/>
      <c r="HN71" s="285"/>
      <c r="HO71" s="285"/>
      <c r="HP71" s="285"/>
      <c r="HQ71" s="285"/>
      <c r="HR71" s="285"/>
      <c r="HS71" s="285"/>
      <c r="HT71" s="285"/>
      <c r="HU71" s="285"/>
      <c r="HV71" s="285"/>
      <c r="HW71" s="285"/>
      <c r="HX71" s="285"/>
      <c r="HY71" s="285"/>
      <c r="HZ71" s="285"/>
      <c r="IA71" s="285"/>
      <c r="IB71" s="285"/>
      <c r="IC71" s="285"/>
      <c r="ID71" s="285"/>
      <c r="IE71" s="285"/>
      <c r="IF71" s="285"/>
      <c r="IG71" s="285"/>
      <c r="IH71" s="285"/>
      <c r="II71" s="285"/>
      <c r="IJ71" s="285"/>
      <c r="IK71" s="285"/>
      <c r="IL71" s="285"/>
      <c r="IM71" s="285"/>
      <c r="IN71" s="285"/>
      <c r="IO71" s="285"/>
      <c r="IP71" s="285"/>
      <c r="IQ71" s="285"/>
      <c r="IR71" s="285"/>
      <c r="IS71" s="285"/>
      <c r="IT71" s="285"/>
      <c r="IU71" s="285"/>
      <c r="IV71" s="285"/>
      <c r="IW71" s="285"/>
      <c r="IX71" s="285"/>
      <c r="IY71" s="285"/>
      <c r="IZ71" s="285"/>
      <c r="JA71" s="285"/>
      <c r="JB71" s="285"/>
      <c r="JC71" s="285"/>
      <c r="JD71" s="285"/>
      <c r="JE71" s="285"/>
      <c r="JF71" s="285"/>
      <c r="JG71" s="285"/>
      <c r="JH71" s="285"/>
      <c r="JI71" s="285"/>
      <c r="JJ71" s="285"/>
      <c r="JK71" s="285"/>
      <c r="JL71" s="285"/>
      <c r="JM71" s="285"/>
      <c r="JN71" s="285"/>
      <c r="JO71" s="285"/>
      <c r="JP71" s="285"/>
      <c r="JQ71" s="285"/>
      <c r="JR71" s="285"/>
      <c r="JS71" s="285"/>
      <c r="JT71" s="285"/>
      <c r="JU71" s="285"/>
      <c r="JV71" s="285"/>
      <c r="JW71" s="285"/>
      <c r="JX71" s="285"/>
      <c r="JY71" s="285"/>
      <c r="JZ71" s="285"/>
      <c r="KA71" s="285"/>
      <c r="KB71" s="285"/>
      <c r="KC71" s="285"/>
      <c r="KD71" s="285"/>
      <c r="KE71" s="285"/>
      <c r="KF71" s="285"/>
      <c r="KG71" s="285"/>
      <c r="KH71" s="285"/>
      <c r="KI71" s="285"/>
      <c r="KJ71" s="285"/>
      <c r="KK71" s="285"/>
      <c r="KL71" s="285"/>
      <c r="KM71" s="285"/>
      <c r="KN71" s="285"/>
      <c r="KO71" s="285"/>
      <c r="KP71" s="285"/>
      <c r="KQ71" s="285"/>
      <c r="KR71" s="285"/>
      <c r="KS71" s="285"/>
      <c r="KT71" s="285"/>
      <c r="KU71" s="285"/>
      <c r="KV71" s="285"/>
      <c r="KW71" s="285"/>
      <c r="KX71" s="285"/>
      <c r="KY71" s="285"/>
      <c r="KZ71" s="285"/>
      <c r="LA71" s="285"/>
      <c r="LB71" s="285"/>
      <c r="LC71" s="285"/>
      <c r="LD71" s="285"/>
      <c r="LE71" s="285"/>
      <c r="LF71" s="285"/>
      <c r="LG71" s="285"/>
      <c r="LH71" s="285"/>
      <c r="LI71" s="285"/>
      <c r="LJ71" s="285"/>
      <c r="LK71" s="285"/>
      <c r="LL71" s="285"/>
      <c r="LM71" s="285"/>
      <c r="LN71" s="285"/>
      <c r="LO71" s="285"/>
      <c r="LP71" s="285"/>
    </row>
    <row r="72" spans="1:328" ht="12.75" hidden="1" customHeight="1" x14ac:dyDescent="0.3">
      <c r="A72" s="285"/>
      <c r="B72" s="285"/>
      <c r="C72" s="286"/>
      <c r="D72" s="285"/>
      <c r="E72" s="285"/>
      <c r="F72" s="285"/>
      <c r="G72" s="285"/>
      <c r="H72" s="285"/>
      <c r="I72" s="285"/>
      <c r="J72" s="285"/>
      <c r="K72" s="285"/>
      <c r="L72" s="285"/>
      <c r="M72" s="287"/>
      <c r="N72" s="287"/>
      <c r="O72" s="287"/>
      <c r="P72" s="287"/>
      <c r="Q72" s="287"/>
      <c r="R72" s="287"/>
      <c r="S72" s="285"/>
      <c r="T72" s="285"/>
      <c r="U72" s="285"/>
      <c r="V72" s="285"/>
      <c r="W72" s="285"/>
      <c r="X72" s="285"/>
      <c r="Y72" s="285"/>
      <c r="Z72" s="285"/>
      <c r="AA72" s="285"/>
      <c r="AB72" s="285"/>
      <c r="AC72" s="285"/>
      <c r="AD72" s="285"/>
      <c r="AE72" s="285"/>
      <c r="AF72" s="285"/>
      <c r="AG72" s="285"/>
      <c r="AH72" s="2513"/>
      <c r="AI72" s="285"/>
      <c r="AJ72" s="285"/>
      <c r="AK72" s="285"/>
      <c r="AL72" s="285"/>
      <c r="AM72" s="285"/>
      <c r="AN72" s="285"/>
      <c r="AO72" s="285"/>
      <c r="AP72" s="285"/>
      <c r="AQ72" s="285"/>
      <c r="AR72" s="285"/>
      <c r="AS72" s="285"/>
      <c r="AT72" s="285"/>
      <c r="AU72" s="285"/>
      <c r="AV72" s="285"/>
      <c r="AW72" s="285"/>
      <c r="AX72" s="285"/>
      <c r="AY72" s="285"/>
      <c r="AZ72" s="285"/>
      <c r="BA72" s="285"/>
      <c r="BB72" s="285"/>
      <c r="BC72" s="285"/>
      <c r="BD72" s="285"/>
      <c r="BE72" s="285"/>
      <c r="BF72" s="285"/>
      <c r="BG72" s="285"/>
      <c r="BH72" s="285"/>
      <c r="BI72" s="285"/>
      <c r="BJ72" s="285"/>
      <c r="BK72" s="285"/>
      <c r="BL72" s="285"/>
      <c r="BM72" s="285"/>
      <c r="BN72" s="285"/>
      <c r="BO72" s="285"/>
      <c r="BP72" s="285"/>
      <c r="BQ72" s="285"/>
      <c r="BR72" s="285"/>
      <c r="BS72" s="285"/>
      <c r="BT72" s="285"/>
      <c r="BU72" s="285"/>
      <c r="BV72" s="285"/>
      <c r="BW72" s="285"/>
      <c r="BX72" s="285"/>
      <c r="BY72" s="285"/>
      <c r="BZ72" s="285"/>
      <c r="CA72" s="285"/>
      <c r="CB72" s="285"/>
      <c r="CC72" s="285"/>
      <c r="CD72" s="285"/>
      <c r="CE72" s="285"/>
      <c r="CF72" s="285"/>
      <c r="CG72" s="285"/>
      <c r="CH72" s="285"/>
      <c r="CI72" s="285"/>
      <c r="CJ72" s="285"/>
      <c r="CK72" s="285"/>
      <c r="CL72" s="285"/>
      <c r="CM72" s="285"/>
      <c r="CN72" s="285"/>
      <c r="CO72" s="285"/>
      <c r="CP72" s="285"/>
      <c r="CQ72" s="285"/>
      <c r="CR72" s="285"/>
      <c r="CS72" s="285"/>
      <c r="CT72" s="285"/>
      <c r="CU72" s="285"/>
      <c r="CV72" s="285"/>
      <c r="CW72" s="285"/>
      <c r="CX72" s="285"/>
      <c r="CY72" s="285"/>
      <c r="CZ72" s="285"/>
      <c r="DA72" s="285"/>
      <c r="DB72" s="285"/>
      <c r="DC72" s="285"/>
      <c r="DD72" s="285"/>
      <c r="DE72" s="285"/>
      <c r="DF72" s="285"/>
      <c r="DG72" s="309"/>
      <c r="DH72" s="442" t="s">
        <v>2181</v>
      </c>
      <c r="DI72" s="285"/>
      <c r="DJ72" s="76">
        <f t="shared" ref="DJ72:EO72" si="187">IF(DJ$169=0,0,SUMPRODUCT($AN$173:$AN$364,DJ$173:DJ$364,$CY$173:$CY$364,$AH$173:$AH$364,$BX$173:$BX$364))</f>
        <v>0</v>
      </c>
      <c r="DK72" s="76">
        <f t="shared" si="187"/>
        <v>0</v>
      </c>
      <c r="DL72" s="76">
        <f t="shared" si="187"/>
        <v>0</v>
      </c>
      <c r="DM72" s="76">
        <f t="shared" si="187"/>
        <v>0</v>
      </c>
      <c r="DN72" s="76">
        <f t="shared" si="187"/>
        <v>0</v>
      </c>
      <c r="DO72" s="76">
        <f t="shared" si="187"/>
        <v>0</v>
      </c>
      <c r="DP72" s="76">
        <f t="shared" si="187"/>
        <v>0</v>
      </c>
      <c r="DQ72" s="76">
        <f t="shared" si="187"/>
        <v>0</v>
      </c>
      <c r="DR72" s="76">
        <f t="shared" si="187"/>
        <v>0</v>
      </c>
      <c r="DS72" s="76">
        <f t="shared" si="187"/>
        <v>0</v>
      </c>
      <c r="DT72" s="76">
        <f t="shared" si="187"/>
        <v>0</v>
      </c>
      <c r="DU72" s="76">
        <f t="shared" si="187"/>
        <v>0</v>
      </c>
      <c r="DV72" s="76">
        <f t="shared" si="187"/>
        <v>0</v>
      </c>
      <c r="DW72" s="76">
        <f t="shared" si="187"/>
        <v>0</v>
      </c>
      <c r="DX72" s="76">
        <f t="shared" si="187"/>
        <v>0</v>
      </c>
      <c r="DY72" s="76">
        <f t="shared" si="187"/>
        <v>0</v>
      </c>
      <c r="DZ72" s="76">
        <f t="shared" si="187"/>
        <v>0</v>
      </c>
      <c r="EA72" s="76">
        <f t="shared" si="187"/>
        <v>0</v>
      </c>
      <c r="EB72" s="76">
        <f t="shared" si="187"/>
        <v>0</v>
      </c>
      <c r="EC72" s="76">
        <f t="shared" si="187"/>
        <v>0</v>
      </c>
      <c r="ED72" s="76">
        <f t="shared" si="187"/>
        <v>0</v>
      </c>
      <c r="EE72" s="76">
        <f t="shared" si="187"/>
        <v>0</v>
      </c>
      <c r="EF72" s="76">
        <f t="shared" si="187"/>
        <v>0</v>
      </c>
      <c r="EG72" s="76">
        <f t="shared" si="187"/>
        <v>0</v>
      </c>
      <c r="EH72" s="76">
        <f t="shared" si="187"/>
        <v>0</v>
      </c>
      <c r="EI72" s="76">
        <f t="shared" si="187"/>
        <v>0</v>
      </c>
      <c r="EJ72" s="76">
        <f t="shared" si="187"/>
        <v>0</v>
      </c>
      <c r="EK72" s="76">
        <f t="shared" si="187"/>
        <v>0</v>
      </c>
      <c r="EL72" s="76">
        <f t="shared" si="187"/>
        <v>0</v>
      </c>
      <c r="EM72" s="76">
        <f t="shared" si="187"/>
        <v>0</v>
      </c>
      <c r="EN72" s="76">
        <f t="shared" si="187"/>
        <v>0</v>
      </c>
      <c r="EO72" s="76">
        <f t="shared" si="187"/>
        <v>0</v>
      </c>
      <c r="EP72" s="76">
        <f t="shared" ref="EP72:FG72" si="188">IF(EP$169=0,0,SUMPRODUCT($AN$173:$AN$364,EP$173:EP$364,$CY$173:$CY$364,$AH$173:$AH$364,$BX$173:$BX$364))</f>
        <v>0</v>
      </c>
      <c r="EQ72" s="76">
        <f t="shared" si="188"/>
        <v>0</v>
      </c>
      <c r="ER72" s="76">
        <f t="shared" si="188"/>
        <v>0</v>
      </c>
      <c r="ES72" s="76">
        <f t="shared" si="188"/>
        <v>0</v>
      </c>
      <c r="ET72" s="76">
        <f t="shared" si="188"/>
        <v>0</v>
      </c>
      <c r="EU72" s="76">
        <f t="shared" si="188"/>
        <v>0</v>
      </c>
      <c r="EV72" s="76">
        <f t="shared" si="188"/>
        <v>0</v>
      </c>
      <c r="EW72" s="76">
        <f t="shared" si="188"/>
        <v>0</v>
      </c>
      <c r="EX72" s="76">
        <f t="shared" si="188"/>
        <v>0</v>
      </c>
      <c r="EY72" s="76">
        <f t="shared" si="188"/>
        <v>0</v>
      </c>
      <c r="EZ72" s="76">
        <f t="shared" si="188"/>
        <v>0</v>
      </c>
      <c r="FA72" s="76">
        <f t="shared" si="188"/>
        <v>0</v>
      </c>
      <c r="FB72" s="76">
        <f t="shared" si="188"/>
        <v>0</v>
      </c>
      <c r="FC72" s="76">
        <f t="shared" si="188"/>
        <v>0</v>
      </c>
      <c r="FD72" s="76">
        <f t="shared" si="188"/>
        <v>0</v>
      </c>
      <c r="FE72" s="76">
        <f t="shared" si="188"/>
        <v>0</v>
      </c>
      <c r="FF72" s="76">
        <f t="shared" si="188"/>
        <v>0</v>
      </c>
      <c r="FG72" s="76">
        <f t="shared" si="188"/>
        <v>0</v>
      </c>
      <c r="FH72" s="922"/>
      <c r="FI72" s="305"/>
      <c r="FJ72" s="307"/>
      <c r="FK72" s="307"/>
      <c r="FL72" s="285"/>
      <c r="FM72" s="285"/>
      <c r="FN72" s="285"/>
      <c r="FO72" s="285"/>
      <c r="FP72" s="285"/>
      <c r="FQ72" s="285"/>
      <c r="FR72" s="285"/>
      <c r="FS72" s="285"/>
      <c r="FT72" s="285"/>
      <c r="FU72" s="285"/>
      <c r="FV72" s="285"/>
      <c r="FW72" s="285"/>
      <c r="FX72" s="285"/>
      <c r="FY72" s="285"/>
      <c r="FZ72" s="285"/>
      <c r="GA72" s="285"/>
      <c r="GB72" s="285"/>
      <c r="GC72" s="285"/>
      <c r="GD72" s="285"/>
      <c r="GE72" s="285"/>
      <c r="GF72" s="285"/>
      <c r="GG72" s="285"/>
      <c r="GH72" s="285"/>
      <c r="GI72" s="285"/>
      <c r="GJ72" s="285"/>
      <c r="GK72" s="285"/>
      <c r="GL72" s="285"/>
      <c r="GM72" s="285"/>
      <c r="GN72" s="285"/>
      <c r="GO72" s="285"/>
      <c r="GP72" s="285"/>
      <c r="GQ72" s="285"/>
      <c r="GR72" s="285"/>
      <c r="GS72" s="285"/>
      <c r="GT72" s="285"/>
      <c r="GU72" s="285"/>
      <c r="GV72" s="285"/>
      <c r="GW72" s="285"/>
      <c r="GX72" s="285"/>
      <c r="GY72" s="285"/>
      <c r="GZ72" s="285"/>
      <c r="HA72" s="285"/>
      <c r="HB72" s="285"/>
      <c r="HC72" s="285"/>
      <c r="HD72" s="285"/>
      <c r="HE72" s="285"/>
      <c r="HF72" s="285"/>
      <c r="HG72" s="285"/>
      <c r="HH72" s="285"/>
      <c r="HI72" s="285"/>
      <c r="HJ72" s="285"/>
      <c r="HK72" s="285"/>
      <c r="HL72" s="285"/>
      <c r="HM72" s="285"/>
      <c r="HN72" s="285"/>
      <c r="HO72" s="285"/>
      <c r="HP72" s="285"/>
      <c r="HQ72" s="285"/>
      <c r="HR72" s="285"/>
      <c r="HS72" s="285"/>
      <c r="HT72" s="285"/>
      <c r="HU72" s="285"/>
      <c r="HV72" s="285"/>
      <c r="HW72" s="285"/>
      <c r="HX72" s="285"/>
      <c r="HY72" s="285"/>
      <c r="HZ72" s="285"/>
      <c r="IA72" s="285"/>
      <c r="IB72" s="285"/>
      <c r="IC72" s="285"/>
      <c r="ID72" s="285"/>
      <c r="IE72" s="285"/>
      <c r="IF72" s="285"/>
      <c r="IG72" s="285"/>
      <c r="IH72" s="285"/>
      <c r="II72" s="285"/>
      <c r="IJ72" s="285"/>
      <c r="IK72" s="285"/>
      <c r="IL72" s="285"/>
      <c r="IM72" s="285"/>
      <c r="IN72" s="285"/>
      <c r="IO72" s="285"/>
      <c r="IP72" s="285"/>
      <c r="IQ72" s="285"/>
      <c r="IR72" s="285"/>
      <c r="IS72" s="285"/>
      <c r="IT72" s="285"/>
      <c r="IU72" s="285"/>
      <c r="IV72" s="285"/>
      <c r="IW72" s="285"/>
      <c r="IX72" s="285"/>
      <c r="IY72" s="285"/>
      <c r="IZ72" s="285"/>
      <c r="JA72" s="285"/>
      <c r="JB72" s="285"/>
      <c r="JC72" s="285"/>
      <c r="JD72" s="285"/>
      <c r="JE72" s="285"/>
      <c r="JF72" s="285"/>
      <c r="JG72" s="285"/>
      <c r="JH72" s="285"/>
      <c r="JI72" s="285"/>
      <c r="JJ72" s="285"/>
      <c r="JK72" s="285"/>
      <c r="JL72" s="285"/>
      <c r="JM72" s="285"/>
      <c r="JN72" s="285"/>
      <c r="JO72" s="285"/>
      <c r="JP72" s="285"/>
      <c r="JQ72" s="285"/>
      <c r="JR72" s="285"/>
      <c r="JS72" s="285"/>
      <c r="JT72" s="285"/>
      <c r="JU72" s="285"/>
      <c r="JV72" s="285"/>
      <c r="JW72" s="285"/>
      <c r="JX72" s="285"/>
      <c r="JY72" s="285"/>
      <c r="JZ72" s="285"/>
      <c r="KA72" s="285"/>
      <c r="KB72" s="285"/>
      <c r="KC72" s="285"/>
      <c r="KD72" s="285"/>
      <c r="KE72" s="285"/>
      <c r="KF72" s="285"/>
      <c r="KG72" s="285"/>
      <c r="KH72" s="285"/>
      <c r="KI72" s="285"/>
      <c r="KJ72" s="285"/>
      <c r="KK72" s="285"/>
      <c r="KL72" s="285"/>
      <c r="KM72" s="285"/>
      <c r="KN72" s="285"/>
      <c r="KO72" s="285"/>
      <c r="KP72" s="285"/>
      <c r="KQ72" s="285"/>
      <c r="KR72" s="285"/>
      <c r="KS72" s="285"/>
      <c r="KT72" s="285"/>
      <c r="KU72" s="285"/>
      <c r="KV72" s="285"/>
      <c r="KW72" s="285"/>
      <c r="KX72" s="285"/>
      <c r="KY72" s="285"/>
      <c r="KZ72" s="285"/>
      <c r="LA72" s="285"/>
      <c r="LB72" s="285"/>
      <c r="LC72" s="285"/>
      <c r="LD72" s="285"/>
      <c r="LE72" s="285"/>
      <c r="LF72" s="285"/>
      <c r="LG72" s="285"/>
      <c r="LH72" s="285"/>
      <c r="LI72" s="285"/>
      <c r="LJ72" s="285"/>
      <c r="LK72" s="285"/>
      <c r="LL72" s="285"/>
      <c r="LM72" s="285"/>
      <c r="LN72" s="285"/>
      <c r="LO72" s="285"/>
      <c r="LP72" s="285"/>
    </row>
    <row r="73" spans="1:328" ht="12.75" hidden="1" customHeight="1" x14ac:dyDescent="0.3">
      <c r="A73" s="285"/>
      <c r="B73" s="285"/>
      <c r="C73" s="286"/>
      <c r="D73" s="285"/>
      <c r="E73" s="285"/>
      <c r="F73" s="285"/>
      <c r="G73" s="285"/>
      <c r="H73" s="285"/>
      <c r="I73" s="285"/>
      <c r="J73" s="285"/>
      <c r="K73" s="285"/>
      <c r="L73" s="285"/>
      <c r="M73" s="287"/>
      <c r="N73" s="287"/>
      <c r="O73" s="287"/>
      <c r="P73" s="287"/>
      <c r="Q73" s="287"/>
      <c r="R73" s="287"/>
      <c r="S73" s="285"/>
      <c r="T73" s="285"/>
      <c r="U73" s="285"/>
      <c r="V73" s="285"/>
      <c r="W73" s="285"/>
      <c r="X73" s="285"/>
      <c r="Y73" s="285"/>
      <c r="Z73" s="285"/>
      <c r="AA73" s="285"/>
      <c r="AB73" s="285"/>
      <c r="AC73" s="285"/>
      <c r="AD73" s="285"/>
      <c r="AE73" s="285"/>
      <c r="AF73" s="285"/>
      <c r="AG73" s="285"/>
      <c r="AH73" s="2513"/>
      <c r="AI73" s="285"/>
      <c r="AJ73" s="285"/>
      <c r="AK73" s="285"/>
      <c r="AL73" s="285"/>
      <c r="AM73" s="285"/>
      <c r="AN73" s="285"/>
      <c r="AO73" s="285"/>
      <c r="AP73" s="285"/>
      <c r="AQ73" s="285"/>
      <c r="AR73" s="285"/>
      <c r="AS73" s="285"/>
      <c r="AT73" s="285"/>
      <c r="AU73" s="285"/>
      <c r="AV73" s="285"/>
      <c r="AW73" s="285"/>
      <c r="AX73" s="285"/>
      <c r="AY73" s="285"/>
      <c r="AZ73" s="285"/>
      <c r="BA73" s="285"/>
      <c r="BB73" s="285"/>
      <c r="BC73" s="285"/>
      <c r="BD73" s="285"/>
      <c r="BE73" s="285"/>
      <c r="BF73" s="285"/>
      <c r="BG73" s="285"/>
      <c r="BH73" s="285"/>
      <c r="BI73" s="285"/>
      <c r="BJ73" s="285"/>
      <c r="BK73" s="285"/>
      <c r="BL73" s="285"/>
      <c r="BM73" s="285"/>
      <c r="BN73" s="285"/>
      <c r="BO73" s="285"/>
      <c r="BP73" s="285"/>
      <c r="BQ73" s="285"/>
      <c r="BR73" s="285"/>
      <c r="BS73" s="285"/>
      <c r="BT73" s="285"/>
      <c r="BU73" s="285"/>
      <c r="BV73" s="285"/>
      <c r="BW73" s="285"/>
      <c r="BX73" s="285"/>
      <c r="BY73" s="285"/>
      <c r="BZ73" s="285"/>
      <c r="CA73" s="285"/>
      <c r="CB73" s="285"/>
      <c r="CC73" s="285"/>
      <c r="CD73" s="285"/>
      <c r="CE73" s="285"/>
      <c r="CF73" s="285"/>
      <c r="CG73" s="285"/>
      <c r="CH73" s="285"/>
      <c r="CI73" s="285"/>
      <c r="CJ73" s="285"/>
      <c r="CK73" s="285"/>
      <c r="CL73" s="285"/>
      <c r="CM73" s="285"/>
      <c r="CN73" s="285"/>
      <c r="CO73" s="285"/>
      <c r="CP73" s="285"/>
      <c r="CQ73" s="285"/>
      <c r="CR73" s="285"/>
      <c r="CS73" s="285"/>
      <c r="CT73" s="285"/>
      <c r="CU73" s="285"/>
      <c r="CV73" s="285"/>
      <c r="CW73" s="285"/>
      <c r="CX73" s="285"/>
      <c r="CY73" s="285"/>
      <c r="CZ73" s="285"/>
      <c r="DA73" s="285"/>
      <c r="DB73" s="285"/>
      <c r="DC73" s="285"/>
      <c r="DD73" s="285"/>
      <c r="DE73" s="285"/>
      <c r="DF73" s="285"/>
      <c r="DG73" s="309"/>
      <c r="DH73" s="442" t="s">
        <v>2182</v>
      </c>
      <c r="DI73" s="285"/>
      <c r="DJ73" s="76">
        <f t="shared" ref="DJ73:EO73" si="189">IF(DJ$169=0,0,SUMPRODUCT($AN$173:$AN$364,DJ$173:DJ$364,$CY$173:$CY$364,$AH$173:$AH$364,$BY$173:$BY$364))</f>
        <v>0</v>
      </c>
      <c r="DK73" s="76">
        <f t="shared" si="189"/>
        <v>0</v>
      </c>
      <c r="DL73" s="76">
        <f t="shared" si="189"/>
        <v>0</v>
      </c>
      <c r="DM73" s="76">
        <f t="shared" si="189"/>
        <v>0</v>
      </c>
      <c r="DN73" s="76">
        <f t="shared" si="189"/>
        <v>0</v>
      </c>
      <c r="DO73" s="76">
        <f t="shared" si="189"/>
        <v>0</v>
      </c>
      <c r="DP73" s="76">
        <f t="shared" si="189"/>
        <v>0</v>
      </c>
      <c r="DQ73" s="76">
        <f t="shared" si="189"/>
        <v>0</v>
      </c>
      <c r="DR73" s="76">
        <f t="shared" si="189"/>
        <v>0</v>
      </c>
      <c r="DS73" s="76">
        <f t="shared" si="189"/>
        <v>0</v>
      </c>
      <c r="DT73" s="76">
        <f t="shared" si="189"/>
        <v>0</v>
      </c>
      <c r="DU73" s="76">
        <f t="shared" si="189"/>
        <v>0</v>
      </c>
      <c r="DV73" s="76">
        <f t="shared" si="189"/>
        <v>0</v>
      </c>
      <c r="DW73" s="76">
        <f t="shared" si="189"/>
        <v>0</v>
      </c>
      <c r="DX73" s="76">
        <f t="shared" si="189"/>
        <v>0</v>
      </c>
      <c r="DY73" s="76">
        <f t="shared" si="189"/>
        <v>0</v>
      </c>
      <c r="DZ73" s="76">
        <f t="shared" si="189"/>
        <v>0</v>
      </c>
      <c r="EA73" s="76">
        <f t="shared" si="189"/>
        <v>0</v>
      </c>
      <c r="EB73" s="76">
        <f t="shared" si="189"/>
        <v>0</v>
      </c>
      <c r="EC73" s="76">
        <f t="shared" si="189"/>
        <v>0</v>
      </c>
      <c r="ED73" s="76">
        <f t="shared" si="189"/>
        <v>0</v>
      </c>
      <c r="EE73" s="76">
        <f t="shared" si="189"/>
        <v>0</v>
      </c>
      <c r="EF73" s="76">
        <f t="shared" si="189"/>
        <v>0</v>
      </c>
      <c r="EG73" s="76">
        <f t="shared" si="189"/>
        <v>0</v>
      </c>
      <c r="EH73" s="76">
        <f t="shared" si="189"/>
        <v>0</v>
      </c>
      <c r="EI73" s="76">
        <f t="shared" si="189"/>
        <v>0</v>
      </c>
      <c r="EJ73" s="76">
        <f t="shared" si="189"/>
        <v>0</v>
      </c>
      <c r="EK73" s="76">
        <f t="shared" si="189"/>
        <v>0</v>
      </c>
      <c r="EL73" s="76">
        <f t="shared" si="189"/>
        <v>0</v>
      </c>
      <c r="EM73" s="76">
        <f t="shared" si="189"/>
        <v>0</v>
      </c>
      <c r="EN73" s="76">
        <f t="shared" si="189"/>
        <v>0</v>
      </c>
      <c r="EO73" s="76">
        <f t="shared" si="189"/>
        <v>0</v>
      </c>
      <c r="EP73" s="76">
        <f t="shared" ref="EP73:FG73" si="190">IF(EP$169=0,0,SUMPRODUCT($AN$173:$AN$364,EP$173:EP$364,$CY$173:$CY$364,$AH$173:$AH$364,$BY$173:$BY$364))</f>
        <v>0</v>
      </c>
      <c r="EQ73" s="76">
        <f t="shared" si="190"/>
        <v>0</v>
      </c>
      <c r="ER73" s="76">
        <f t="shared" si="190"/>
        <v>0</v>
      </c>
      <c r="ES73" s="76">
        <f t="shared" si="190"/>
        <v>0</v>
      </c>
      <c r="ET73" s="76">
        <f t="shared" si="190"/>
        <v>0</v>
      </c>
      <c r="EU73" s="76">
        <f t="shared" si="190"/>
        <v>0</v>
      </c>
      <c r="EV73" s="76">
        <f t="shared" si="190"/>
        <v>0</v>
      </c>
      <c r="EW73" s="76">
        <f t="shared" si="190"/>
        <v>0</v>
      </c>
      <c r="EX73" s="76">
        <f t="shared" si="190"/>
        <v>0</v>
      </c>
      <c r="EY73" s="76">
        <f t="shared" si="190"/>
        <v>0</v>
      </c>
      <c r="EZ73" s="76">
        <f t="shared" si="190"/>
        <v>0</v>
      </c>
      <c r="FA73" s="76">
        <f t="shared" si="190"/>
        <v>0</v>
      </c>
      <c r="FB73" s="76">
        <f t="shared" si="190"/>
        <v>0</v>
      </c>
      <c r="FC73" s="76">
        <f t="shared" si="190"/>
        <v>0</v>
      </c>
      <c r="FD73" s="76">
        <f t="shared" si="190"/>
        <v>0</v>
      </c>
      <c r="FE73" s="76">
        <f t="shared" si="190"/>
        <v>0</v>
      </c>
      <c r="FF73" s="76">
        <f t="shared" si="190"/>
        <v>0</v>
      </c>
      <c r="FG73" s="76">
        <f t="shared" si="190"/>
        <v>0</v>
      </c>
      <c r="FH73" s="922"/>
      <c r="FI73" s="305"/>
      <c r="FJ73" s="307"/>
      <c r="FK73" s="307"/>
      <c r="FL73" s="285"/>
      <c r="FM73" s="285"/>
      <c r="FN73" s="285"/>
      <c r="FO73" s="285"/>
      <c r="FP73" s="285"/>
      <c r="FQ73" s="285"/>
      <c r="FR73" s="285"/>
      <c r="FS73" s="285"/>
      <c r="FT73" s="285"/>
      <c r="FU73" s="285"/>
      <c r="FV73" s="285"/>
      <c r="FW73" s="285"/>
      <c r="FX73" s="285"/>
      <c r="FY73" s="285"/>
      <c r="FZ73" s="285"/>
      <c r="GA73" s="285"/>
      <c r="GB73" s="285"/>
      <c r="GC73" s="285"/>
      <c r="GD73" s="285"/>
      <c r="GE73" s="285"/>
      <c r="GF73" s="285"/>
      <c r="GG73" s="285"/>
      <c r="GH73" s="285"/>
      <c r="GI73" s="285"/>
      <c r="GJ73" s="285"/>
      <c r="GK73" s="285"/>
      <c r="GL73" s="285"/>
      <c r="GM73" s="285"/>
      <c r="GN73" s="285"/>
      <c r="GO73" s="285"/>
      <c r="GP73" s="285"/>
      <c r="GQ73" s="285"/>
      <c r="GR73" s="285"/>
      <c r="GS73" s="285"/>
      <c r="GT73" s="285"/>
      <c r="GU73" s="285"/>
      <c r="GV73" s="285"/>
      <c r="GW73" s="285"/>
      <c r="GX73" s="285"/>
      <c r="GY73" s="285"/>
      <c r="GZ73" s="285"/>
      <c r="HA73" s="285"/>
      <c r="HB73" s="285"/>
      <c r="HC73" s="285"/>
      <c r="HD73" s="285"/>
      <c r="HE73" s="285"/>
      <c r="HF73" s="285"/>
      <c r="HG73" s="285"/>
      <c r="HH73" s="285"/>
      <c r="HI73" s="285"/>
      <c r="HJ73" s="285"/>
      <c r="HK73" s="285"/>
      <c r="HL73" s="285"/>
      <c r="HM73" s="285"/>
      <c r="HN73" s="285"/>
      <c r="HO73" s="285"/>
      <c r="HP73" s="285"/>
      <c r="HQ73" s="285"/>
      <c r="HR73" s="285"/>
      <c r="HS73" s="285"/>
      <c r="HT73" s="285"/>
      <c r="HU73" s="285"/>
      <c r="HV73" s="285"/>
      <c r="HW73" s="285"/>
      <c r="HX73" s="285"/>
      <c r="HY73" s="285"/>
      <c r="HZ73" s="285"/>
      <c r="IA73" s="285"/>
      <c r="IB73" s="285"/>
      <c r="IC73" s="285"/>
      <c r="ID73" s="285"/>
      <c r="IE73" s="285"/>
      <c r="IF73" s="285"/>
      <c r="IG73" s="285"/>
      <c r="IH73" s="285"/>
      <c r="II73" s="285"/>
      <c r="IJ73" s="285"/>
      <c r="IK73" s="285"/>
      <c r="IL73" s="285"/>
      <c r="IM73" s="285"/>
      <c r="IN73" s="285"/>
      <c r="IO73" s="285"/>
      <c r="IP73" s="285"/>
      <c r="IQ73" s="285"/>
      <c r="IR73" s="285"/>
      <c r="IS73" s="285"/>
      <c r="IT73" s="285"/>
      <c r="IU73" s="285"/>
      <c r="IV73" s="285"/>
      <c r="IW73" s="285"/>
      <c r="IX73" s="285"/>
      <c r="IY73" s="285"/>
      <c r="IZ73" s="285"/>
      <c r="JA73" s="285"/>
      <c r="JB73" s="285"/>
      <c r="JC73" s="285"/>
      <c r="JD73" s="285"/>
      <c r="JE73" s="285"/>
      <c r="JF73" s="285"/>
      <c r="JG73" s="285"/>
      <c r="JH73" s="285"/>
      <c r="JI73" s="285"/>
      <c r="JJ73" s="285"/>
      <c r="JK73" s="285"/>
      <c r="JL73" s="285"/>
      <c r="JM73" s="285"/>
      <c r="JN73" s="285"/>
      <c r="JO73" s="285"/>
      <c r="JP73" s="285"/>
      <c r="JQ73" s="285"/>
      <c r="JR73" s="285"/>
      <c r="JS73" s="285"/>
      <c r="JT73" s="285"/>
      <c r="JU73" s="285"/>
      <c r="JV73" s="285"/>
      <c r="JW73" s="285"/>
      <c r="JX73" s="285"/>
      <c r="JY73" s="285"/>
      <c r="JZ73" s="285"/>
      <c r="KA73" s="285"/>
      <c r="KB73" s="285"/>
      <c r="KC73" s="285"/>
      <c r="KD73" s="285"/>
      <c r="KE73" s="285"/>
      <c r="KF73" s="285"/>
      <c r="KG73" s="285"/>
      <c r="KH73" s="285"/>
      <c r="KI73" s="285"/>
      <c r="KJ73" s="285"/>
      <c r="KK73" s="285"/>
      <c r="KL73" s="285"/>
      <c r="KM73" s="285"/>
      <c r="KN73" s="285"/>
      <c r="KO73" s="285"/>
      <c r="KP73" s="285"/>
      <c r="KQ73" s="285"/>
      <c r="KR73" s="285"/>
      <c r="KS73" s="285"/>
      <c r="KT73" s="285"/>
      <c r="KU73" s="285"/>
      <c r="KV73" s="285"/>
      <c r="KW73" s="285"/>
      <c r="KX73" s="285"/>
      <c r="KY73" s="285"/>
      <c r="KZ73" s="285"/>
      <c r="LA73" s="285"/>
      <c r="LB73" s="285"/>
      <c r="LC73" s="285"/>
      <c r="LD73" s="285"/>
      <c r="LE73" s="285"/>
      <c r="LF73" s="285"/>
      <c r="LG73" s="285"/>
      <c r="LH73" s="285"/>
      <c r="LI73" s="285"/>
      <c r="LJ73" s="285"/>
      <c r="LK73" s="285"/>
      <c r="LL73" s="285"/>
      <c r="LM73" s="285"/>
      <c r="LN73" s="285"/>
      <c r="LO73" s="285"/>
      <c r="LP73" s="285"/>
    </row>
    <row r="74" spans="1:328" ht="12.75" hidden="1" customHeight="1" x14ac:dyDescent="0.3">
      <c r="A74" s="285"/>
      <c r="B74" s="285"/>
      <c r="C74" s="286"/>
      <c r="D74" s="285"/>
      <c r="E74" s="285"/>
      <c r="F74" s="285"/>
      <c r="G74" s="285"/>
      <c r="H74" s="285"/>
      <c r="I74" s="285"/>
      <c r="J74" s="285"/>
      <c r="K74" s="285"/>
      <c r="L74" s="285"/>
      <c r="M74" s="287"/>
      <c r="N74" s="287"/>
      <c r="O74" s="287"/>
      <c r="P74" s="287"/>
      <c r="Q74" s="287"/>
      <c r="R74" s="287"/>
      <c r="S74" s="285"/>
      <c r="T74" s="285"/>
      <c r="U74" s="285"/>
      <c r="V74" s="285"/>
      <c r="W74" s="285"/>
      <c r="X74" s="285"/>
      <c r="Y74" s="285"/>
      <c r="Z74" s="285"/>
      <c r="AA74" s="285"/>
      <c r="AB74" s="285"/>
      <c r="AC74" s="285"/>
      <c r="AD74" s="285"/>
      <c r="AE74" s="285"/>
      <c r="AF74" s="285"/>
      <c r="AG74" s="285"/>
      <c r="AH74" s="2513"/>
      <c r="AI74" s="285"/>
      <c r="AJ74" s="285"/>
      <c r="AK74" s="285"/>
      <c r="AL74" s="285"/>
      <c r="AM74" s="285"/>
      <c r="AN74" s="285"/>
      <c r="AO74" s="285"/>
      <c r="AP74" s="285"/>
      <c r="AQ74" s="285"/>
      <c r="AR74" s="285"/>
      <c r="AS74" s="285"/>
      <c r="AT74" s="285"/>
      <c r="AU74" s="285"/>
      <c r="AV74" s="285"/>
      <c r="AW74" s="285"/>
      <c r="AX74" s="285"/>
      <c r="AY74" s="285"/>
      <c r="AZ74" s="285"/>
      <c r="BA74" s="285"/>
      <c r="BB74" s="285"/>
      <c r="BC74" s="285"/>
      <c r="BD74" s="285"/>
      <c r="BE74" s="285"/>
      <c r="BF74" s="285"/>
      <c r="BG74" s="285"/>
      <c r="BH74" s="285"/>
      <c r="BI74" s="285"/>
      <c r="BJ74" s="285"/>
      <c r="BK74" s="285"/>
      <c r="BL74" s="285"/>
      <c r="BM74" s="285"/>
      <c r="BN74" s="285"/>
      <c r="BO74" s="285"/>
      <c r="BP74" s="285"/>
      <c r="BQ74" s="285"/>
      <c r="BR74" s="285"/>
      <c r="BS74" s="285"/>
      <c r="BT74" s="285"/>
      <c r="BU74" s="285"/>
      <c r="BV74" s="285"/>
      <c r="BW74" s="285"/>
      <c r="BX74" s="285"/>
      <c r="BY74" s="285"/>
      <c r="BZ74" s="285"/>
      <c r="CA74" s="285"/>
      <c r="CB74" s="285"/>
      <c r="CC74" s="285"/>
      <c r="CD74" s="285"/>
      <c r="CE74" s="285"/>
      <c r="CF74" s="285"/>
      <c r="CG74" s="285"/>
      <c r="CH74" s="285"/>
      <c r="CI74" s="285"/>
      <c r="CJ74" s="285"/>
      <c r="CK74" s="285"/>
      <c r="CL74" s="285"/>
      <c r="CM74" s="285"/>
      <c r="CN74" s="285"/>
      <c r="CO74" s="285"/>
      <c r="CP74" s="285"/>
      <c r="CQ74" s="285"/>
      <c r="CR74" s="285"/>
      <c r="CS74" s="285"/>
      <c r="CT74" s="285"/>
      <c r="CU74" s="285"/>
      <c r="CV74" s="285"/>
      <c r="CW74" s="285"/>
      <c r="CX74" s="285"/>
      <c r="CY74" s="285"/>
      <c r="CZ74" s="285"/>
      <c r="DA74" s="285"/>
      <c r="DB74" s="285"/>
      <c r="DC74" s="285"/>
      <c r="DD74" s="285"/>
      <c r="DE74" s="285"/>
      <c r="DF74" s="285"/>
      <c r="DG74" s="309"/>
      <c r="DH74" s="442" t="s">
        <v>2183</v>
      </c>
      <c r="DI74" s="285"/>
      <c r="DJ74" s="76">
        <f t="shared" ref="DJ74:EO74" si="191">IF(DJ$169=0,0,SUMPRODUCT($AN$173:$AN$364,DJ$173:DJ$364,$CY$173:$CY$364,$AH$173:$AH$364,$BZ$173:$BZ$364))</f>
        <v>0</v>
      </c>
      <c r="DK74" s="76">
        <f t="shared" si="191"/>
        <v>0</v>
      </c>
      <c r="DL74" s="76">
        <f t="shared" si="191"/>
        <v>0</v>
      </c>
      <c r="DM74" s="76">
        <f t="shared" si="191"/>
        <v>0</v>
      </c>
      <c r="DN74" s="76">
        <f t="shared" si="191"/>
        <v>0</v>
      </c>
      <c r="DO74" s="76">
        <f t="shared" si="191"/>
        <v>0</v>
      </c>
      <c r="DP74" s="76">
        <f t="shared" si="191"/>
        <v>0</v>
      </c>
      <c r="DQ74" s="76">
        <f t="shared" si="191"/>
        <v>0</v>
      </c>
      <c r="DR74" s="76">
        <f t="shared" si="191"/>
        <v>0</v>
      </c>
      <c r="DS74" s="76">
        <f t="shared" si="191"/>
        <v>0</v>
      </c>
      <c r="DT74" s="76">
        <f t="shared" si="191"/>
        <v>0</v>
      </c>
      <c r="DU74" s="76">
        <f t="shared" si="191"/>
        <v>0</v>
      </c>
      <c r="DV74" s="76">
        <f t="shared" si="191"/>
        <v>0</v>
      </c>
      <c r="DW74" s="76">
        <f t="shared" si="191"/>
        <v>0</v>
      </c>
      <c r="DX74" s="76">
        <f t="shared" si="191"/>
        <v>0</v>
      </c>
      <c r="DY74" s="76">
        <f t="shared" si="191"/>
        <v>0</v>
      </c>
      <c r="DZ74" s="76">
        <f t="shared" si="191"/>
        <v>0</v>
      </c>
      <c r="EA74" s="76">
        <f t="shared" si="191"/>
        <v>0</v>
      </c>
      <c r="EB74" s="76">
        <f t="shared" si="191"/>
        <v>0</v>
      </c>
      <c r="EC74" s="76">
        <f t="shared" si="191"/>
        <v>0</v>
      </c>
      <c r="ED74" s="76">
        <f t="shared" si="191"/>
        <v>0</v>
      </c>
      <c r="EE74" s="76">
        <f t="shared" si="191"/>
        <v>0</v>
      </c>
      <c r="EF74" s="76">
        <f t="shared" si="191"/>
        <v>0</v>
      </c>
      <c r="EG74" s="76">
        <f t="shared" si="191"/>
        <v>0</v>
      </c>
      <c r="EH74" s="76">
        <f t="shared" si="191"/>
        <v>0</v>
      </c>
      <c r="EI74" s="76">
        <f t="shared" si="191"/>
        <v>0</v>
      </c>
      <c r="EJ74" s="76">
        <f t="shared" si="191"/>
        <v>0</v>
      </c>
      <c r="EK74" s="76">
        <f t="shared" si="191"/>
        <v>0</v>
      </c>
      <c r="EL74" s="76">
        <f t="shared" si="191"/>
        <v>0</v>
      </c>
      <c r="EM74" s="76">
        <f t="shared" si="191"/>
        <v>0</v>
      </c>
      <c r="EN74" s="76">
        <f t="shared" si="191"/>
        <v>0</v>
      </c>
      <c r="EO74" s="76">
        <f t="shared" si="191"/>
        <v>0</v>
      </c>
      <c r="EP74" s="76">
        <f t="shared" ref="EP74:FG74" si="192">IF(EP$169=0,0,SUMPRODUCT($AN$173:$AN$364,EP$173:EP$364,$CY$173:$CY$364,$AH$173:$AH$364,$BZ$173:$BZ$364))</f>
        <v>0</v>
      </c>
      <c r="EQ74" s="76">
        <f t="shared" si="192"/>
        <v>0</v>
      </c>
      <c r="ER74" s="76">
        <f t="shared" si="192"/>
        <v>0</v>
      </c>
      <c r="ES74" s="76">
        <f t="shared" si="192"/>
        <v>0</v>
      </c>
      <c r="ET74" s="76">
        <f t="shared" si="192"/>
        <v>0</v>
      </c>
      <c r="EU74" s="76">
        <f t="shared" si="192"/>
        <v>0</v>
      </c>
      <c r="EV74" s="76">
        <f t="shared" si="192"/>
        <v>0</v>
      </c>
      <c r="EW74" s="76">
        <f t="shared" si="192"/>
        <v>0</v>
      </c>
      <c r="EX74" s="76">
        <f t="shared" si="192"/>
        <v>0</v>
      </c>
      <c r="EY74" s="76">
        <f t="shared" si="192"/>
        <v>0</v>
      </c>
      <c r="EZ74" s="76">
        <f t="shared" si="192"/>
        <v>0</v>
      </c>
      <c r="FA74" s="76">
        <f t="shared" si="192"/>
        <v>0</v>
      </c>
      <c r="FB74" s="76">
        <f t="shared" si="192"/>
        <v>0</v>
      </c>
      <c r="FC74" s="76">
        <f t="shared" si="192"/>
        <v>0</v>
      </c>
      <c r="FD74" s="76">
        <f t="shared" si="192"/>
        <v>0</v>
      </c>
      <c r="FE74" s="76">
        <f t="shared" si="192"/>
        <v>0</v>
      </c>
      <c r="FF74" s="76">
        <f t="shared" si="192"/>
        <v>0</v>
      </c>
      <c r="FG74" s="76">
        <f t="shared" si="192"/>
        <v>0</v>
      </c>
      <c r="FH74" s="922"/>
      <c r="FI74" s="305"/>
      <c r="FJ74" s="307"/>
      <c r="FK74" s="307"/>
      <c r="FL74" s="285"/>
      <c r="FM74" s="285"/>
      <c r="FN74" s="285"/>
      <c r="FO74" s="285"/>
      <c r="FP74" s="285"/>
      <c r="FQ74" s="285"/>
      <c r="FR74" s="285"/>
      <c r="FS74" s="285"/>
      <c r="FT74" s="285"/>
      <c r="FU74" s="285"/>
      <c r="FV74" s="285"/>
      <c r="FW74" s="285"/>
      <c r="FX74" s="285"/>
      <c r="FY74" s="285"/>
      <c r="FZ74" s="285"/>
      <c r="GA74" s="285"/>
      <c r="GB74" s="285"/>
      <c r="GC74" s="285"/>
      <c r="GD74" s="285"/>
      <c r="GE74" s="285"/>
      <c r="GF74" s="285"/>
      <c r="GG74" s="285"/>
      <c r="GH74" s="285"/>
      <c r="GI74" s="285"/>
      <c r="GJ74" s="285"/>
      <c r="GK74" s="285"/>
      <c r="GL74" s="285"/>
      <c r="GM74" s="285"/>
      <c r="GN74" s="285"/>
      <c r="GO74" s="285"/>
      <c r="GP74" s="285"/>
      <c r="GQ74" s="285"/>
      <c r="GR74" s="285"/>
      <c r="GS74" s="285"/>
      <c r="GT74" s="285"/>
      <c r="GU74" s="285"/>
      <c r="GV74" s="285"/>
      <c r="GW74" s="285"/>
      <c r="GX74" s="285"/>
      <c r="GY74" s="285"/>
      <c r="GZ74" s="285"/>
      <c r="HA74" s="285"/>
      <c r="HB74" s="285"/>
      <c r="HC74" s="285"/>
      <c r="HD74" s="285"/>
      <c r="HE74" s="285"/>
      <c r="HF74" s="285"/>
      <c r="HG74" s="285"/>
      <c r="HH74" s="285"/>
      <c r="HI74" s="285"/>
      <c r="HJ74" s="285"/>
      <c r="HK74" s="285"/>
      <c r="HL74" s="285"/>
      <c r="HM74" s="285"/>
      <c r="HN74" s="285"/>
      <c r="HO74" s="285"/>
      <c r="HP74" s="285"/>
      <c r="HQ74" s="285"/>
      <c r="HR74" s="285"/>
      <c r="HS74" s="285"/>
      <c r="HT74" s="285"/>
      <c r="HU74" s="285"/>
      <c r="HV74" s="285"/>
      <c r="HW74" s="285"/>
      <c r="HX74" s="285"/>
      <c r="HY74" s="285"/>
      <c r="HZ74" s="285"/>
      <c r="IA74" s="285"/>
      <c r="IB74" s="285"/>
      <c r="IC74" s="285"/>
      <c r="ID74" s="285"/>
      <c r="IE74" s="285"/>
      <c r="IF74" s="285"/>
      <c r="IG74" s="285"/>
      <c r="IH74" s="285"/>
      <c r="II74" s="285"/>
      <c r="IJ74" s="285"/>
      <c r="IK74" s="285"/>
      <c r="IL74" s="285"/>
      <c r="IM74" s="285"/>
      <c r="IN74" s="285"/>
      <c r="IO74" s="285"/>
      <c r="IP74" s="285"/>
      <c r="IQ74" s="285"/>
      <c r="IR74" s="285"/>
      <c r="IS74" s="285"/>
      <c r="IT74" s="285"/>
      <c r="IU74" s="285"/>
      <c r="IV74" s="285"/>
      <c r="IW74" s="285"/>
      <c r="IX74" s="285"/>
      <c r="IY74" s="285"/>
      <c r="IZ74" s="285"/>
      <c r="JA74" s="285"/>
      <c r="JB74" s="285"/>
      <c r="JC74" s="285"/>
      <c r="JD74" s="285"/>
      <c r="JE74" s="285"/>
      <c r="JF74" s="285"/>
      <c r="JG74" s="285"/>
      <c r="JH74" s="285"/>
      <c r="JI74" s="285"/>
      <c r="JJ74" s="285"/>
      <c r="JK74" s="285"/>
      <c r="JL74" s="285"/>
      <c r="JM74" s="285"/>
      <c r="JN74" s="285"/>
      <c r="JO74" s="285"/>
      <c r="JP74" s="285"/>
      <c r="JQ74" s="285"/>
      <c r="JR74" s="285"/>
      <c r="JS74" s="285"/>
      <c r="JT74" s="285"/>
      <c r="JU74" s="285"/>
      <c r="JV74" s="285"/>
      <c r="JW74" s="285"/>
      <c r="JX74" s="285"/>
      <c r="JY74" s="285"/>
      <c r="JZ74" s="285"/>
      <c r="KA74" s="285"/>
      <c r="KB74" s="285"/>
      <c r="KC74" s="285"/>
      <c r="KD74" s="285"/>
      <c r="KE74" s="285"/>
      <c r="KF74" s="285"/>
      <c r="KG74" s="285"/>
      <c r="KH74" s="285"/>
      <c r="KI74" s="285"/>
      <c r="KJ74" s="285"/>
      <c r="KK74" s="285"/>
      <c r="KL74" s="285"/>
      <c r="KM74" s="285"/>
      <c r="KN74" s="285"/>
      <c r="KO74" s="285"/>
      <c r="KP74" s="285"/>
      <c r="KQ74" s="285"/>
      <c r="KR74" s="285"/>
      <c r="KS74" s="285"/>
      <c r="KT74" s="285"/>
      <c r="KU74" s="285"/>
      <c r="KV74" s="285"/>
      <c r="KW74" s="285"/>
      <c r="KX74" s="285"/>
      <c r="KY74" s="285"/>
      <c r="KZ74" s="285"/>
      <c r="LA74" s="285"/>
      <c r="LB74" s="285"/>
      <c r="LC74" s="285"/>
      <c r="LD74" s="285"/>
      <c r="LE74" s="285"/>
      <c r="LF74" s="285"/>
      <c r="LG74" s="285"/>
      <c r="LH74" s="285"/>
      <c r="LI74" s="285"/>
      <c r="LJ74" s="285"/>
      <c r="LK74" s="285"/>
      <c r="LL74" s="285"/>
      <c r="LM74" s="285"/>
      <c r="LN74" s="285"/>
      <c r="LO74" s="285"/>
      <c r="LP74" s="285"/>
    </row>
    <row r="75" spans="1:328" ht="12.75" hidden="1" customHeight="1" x14ac:dyDescent="0.3">
      <c r="A75" s="285"/>
      <c r="B75" s="285"/>
      <c r="C75" s="286"/>
      <c r="D75" s="285"/>
      <c r="E75" s="285"/>
      <c r="F75" s="285"/>
      <c r="G75" s="285"/>
      <c r="H75" s="285"/>
      <c r="I75" s="285"/>
      <c r="J75" s="285"/>
      <c r="K75" s="285"/>
      <c r="L75" s="285"/>
      <c r="M75" s="287"/>
      <c r="N75" s="287"/>
      <c r="O75" s="287"/>
      <c r="P75" s="287"/>
      <c r="Q75" s="287"/>
      <c r="R75" s="287"/>
      <c r="S75" s="285"/>
      <c r="T75" s="285"/>
      <c r="U75" s="285"/>
      <c r="V75" s="285"/>
      <c r="W75" s="285"/>
      <c r="X75" s="285"/>
      <c r="Y75" s="285"/>
      <c r="Z75" s="285"/>
      <c r="AA75" s="285"/>
      <c r="AB75" s="285"/>
      <c r="AC75" s="285"/>
      <c r="AD75" s="285"/>
      <c r="AE75" s="285"/>
      <c r="AF75" s="285"/>
      <c r="AG75" s="285"/>
      <c r="AH75" s="2513"/>
      <c r="AI75" s="285"/>
      <c r="AJ75" s="285"/>
      <c r="AK75" s="285"/>
      <c r="AL75" s="285"/>
      <c r="AM75" s="285"/>
      <c r="AN75" s="285"/>
      <c r="AO75" s="285"/>
      <c r="AP75" s="285"/>
      <c r="AQ75" s="285"/>
      <c r="AR75" s="285"/>
      <c r="AS75" s="285"/>
      <c r="AT75" s="285"/>
      <c r="AU75" s="285"/>
      <c r="AV75" s="285"/>
      <c r="AW75" s="285"/>
      <c r="AX75" s="285"/>
      <c r="AY75" s="285"/>
      <c r="AZ75" s="285"/>
      <c r="BA75" s="285"/>
      <c r="BB75" s="285"/>
      <c r="BC75" s="285"/>
      <c r="BD75" s="285"/>
      <c r="BE75" s="285"/>
      <c r="BF75" s="285"/>
      <c r="BG75" s="285"/>
      <c r="BH75" s="285"/>
      <c r="BI75" s="285"/>
      <c r="BJ75" s="285"/>
      <c r="BK75" s="285"/>
      <c r="BL75" s="285"/>
      <c r="BM75" s="285"/>
      <c r="BN75" s="285"/>
      <c r="BO75" s="285"/>
      <c r="BP75" s="285"/>
      <c r="BQ75" s="285"/>
      <c r="BR75" s="285"/>
      <c r="BS75" s="285"/>
      <c r="BT75" s="285"/>
      <c r="BU75" s="285"/>
      <c r="BV75" s="285"/>
      <c r="BW75" s="285"/>
      <c r="BX75" s="285"/>
      <c r="BY75" s="285"/>
      <c r="BZ75" s="285"/>
      <c r="CA75" s="285"/>
      <c r="CB75" s="285"/>
      <c r="CC75" s="285"/>
      <c r="CD75" s="285"/>
      <c r="CE75" s="285"/>
      <c r="CF75" s="285"/>
      <c r="CG75" s="285"/>
      <c r="CH75" s="285"/>
      <c r="CI75" s="285"/>
      <c r="CJ75" s="285"/>
      <c r="CK75" s="285"/>
      <c r="CL75" s="285"/>
      <c r="CM75" s="285"/>
      <c r="CN75" s="285"/>
      <c r="CO75" s="285"/>
      <c r="CP75" s="285"/>
      <c r="CQ75" s="285"/>
      <c r="CR75" s="285"/>
      <c r="CS75" s="285"/>
      <c r="CT75" s="285"/>
      <c r="CU75" s="285"/>
      <c r="CV75" s="285"/>
      <c r="CW75" s="285"/>
      <c r="CX75" s="285"/>
      <c r="CY75" s="285"/>
      <c r="CZ75" s="285"/>
      <c r="DA75" s="285"/>
      <c r="DB75" s="285"/>
      <c r="DC75" s="285"/>
      <c r="DD75" s="285"/>
      <c r="DE75" s="285"/>
      <c r="DF75" s="285"/>
      <c r="DG75" s="309"/>
      <c r="DH75" s="442" t="s">
        <v>2184</v>
      </c>
      <c r="DI75" s="285"/>
      <c r="DJ75" s="76">
        <f t="shared" ref="DJ75:EO75" si="193">IF(DJ$169=0,0,SUMPRODUCT($AN$173:$AN$364,DJ$173:DJ$364,$CY$173:$CY$364,$AH$173:$AH$364,$CA$173:$CA$364))</f>
        <v>0</v>
      </c>
      <c r="DK75" s="76">
        <f t="shared" si="193"/>
        <v>0</v>
      </c>
      <c r="DL75" s="76">
        <f t="shared" si="193"/>
        <v>0</v>
      </c>
      <c r="DM75" s="76">
        <f t="shared" si="193"/>
        <v>0</v>
      </c>
      <c r="DN75" s="76">
        <f t="shared" si="193"/>
        <v>0</v>
      </c>
      <c r="DO75" s="76">
        <f t="shared" si="193"/>
        <v>0</v>
      </c>
      <c r="DP75" s="76">
        <f t="shared" si="193"/>
        <v>0</v>
      </c>
      <c r="DQ75" s="76">
        <f t="shared" si="193"/>
        <v>0</v>
      </c>
      <c r="DR75" s="76">
        <f t="shared" si="193"/>
        <v>0</v>
      </c>
      <c r="DS75" s="76">
        <f t="shared" si="193"/>
        <v>0</v>
      </c>
      <c r="DT75" s="76">
        <f t="shared" si="193"/>
        <v>0</v>
      </c>
      <c r="DU75" s="76">
        <f t="shared" si="193"/>
        <v>0</v>
      </c>
      <c r="DV75" s="76">
        <f t="shared" si="193"/>
        <v>0</v>
      </c>
      <c r="DW75" s="76">
        <f t="shared" si="193"/>
        <v>0</v>
      </c>
      <c r="DX75" s="76">
        <f t="shared" si="193"/>
        <v>0</v>
      </c>
      <c r="DY75" s="76">
        <f t="shared" si="193"/>
        <v>0</v>
      </c>
      <c r="DZ75" s="76">
        <f t="shared" si="193"/>
        <v>0</v>
      </c>
      <c r="EA75" s="76">
        <f t="shared" si="193"/>
        <v>0</v>
      </c>
      <c r="EB75" s="76">
        <f t="shared" si="193"/>
        <v>0</v>
      </c>
      <c r="EC75" s="76">
        <f t="shared" si="193"/>
        <v>0</v>
      </c>
      <c r="ED75" s="76">
        <f t="shared" si="193"/>
        <v>0</v>
      </c>
      <c r="EE75" s="76">
        <f t="shared" si="193"/>
        <v>0</v>
      </c>
      <c r="EF75" s="76">
        <f t="shared" si="193"/>
        <v>0</v>
      </c>
      <c r="EG75" s="76">
        <f t="shared" si="193"/>
        <v>0</v>
      </c>
      <c r="EH75" s="76">
        <f t="shared" si="193"/>
        <v>0</v>
      </c>
      <c r="EI75" s="76">
        <f t="shared" si="193"/>
        <v>0</v>
      </c>
      <c r="EJ75" s="76">
        <f t="shared" si="193"/>
        <v>0</v>
      </c>
      <c r="EK75" s="76">
        <f t="shared" si="193"/>
        <v>0</v>
      </c>
      <c r="EL75" s="76">
        <f t="shared" si="193"/>
        <v>0</v>
      </c>
      <c r="EM75" s="76">
        <f t="shared" si="193"/>
        <v>0</v>
      </c>
      <c r="EN75" s="76">
        <f t="shared" si="193"/>
        <v>0</v>
      </c>
      <c r="EO75" s="76">
        <f t="shared" si="193"/>
        <v>0</v>
      </c>
      <c r="EP75" s="76">
        <f t="shared" ref="EP75:FG75" si="194">IF(EP$169=0,0,SUMPRODUCT($AN$173:$AN$364,EP$173:EP$364,$CY$173:$CY$364,$AH$173:$AH$364,$CA$173:$CA$364))</f>
        <v>0</v>
      </c>
      <c r="EQ75" s="76">
        <f t="shared" si="194"/>
        <v>0</v>
      </c>
      <c r="ER75" s="76">
        <f t="shared" si="194"/>
        <v>0</v>
      </c>
      <c r="ES75" s="76">
        <f t="shared" si="194"/>
        <v>0</v>
      </c>
      <c r="ET75" s="76">
        <f t="shared" si="194"/>
        <v>0</v>
      </c>
      <c r="EU75" s="76">
        <f t="shared" si="194"/>
        <v>0</v>
      </c>
      <c r="EV75" s="76">
        <f t="shared" si="194"/>
        <v>0</v>
      </c>
      <c r="EW75" s="76">
        <f t="shared" si="194"/>
        <v>0</v>
      </c>
      <c r="EX75" s="76">
        <f t="shared" si="194"/>
        <v>0</v>
      </c>
      <c r="EY75" s="76">
        <f t="shared" si="194"/>
        <v>0</v>
      </c>
      <c r="EZ75" s="76">
        <f t="shared" si="194"/>
        <v>0</v>
      </c>
      <c r="FA75" s="76">
        <f t="shared" si="194"/>
        <v>0</v>
      </c>
      <c r="FB75" s="76">
        <f t="shared" si="194"/>
        <v>0</v>
      </c>
      <c r="FC75" s="76">
        <f t="shared" si="194"/>
        <v>0</v>
      </c>
      <c r="FD75" s="76">
        <f t="shared" si="194"/>
        <v>0</v>
      </c>
      <c r="FE75" s="76">
        <f t="shared" si="194"/>
        <v>0</v>
      </c>
      <c r="FF75" s="76">
        <f t="shared" si="194"/>
        <v>0</v>
      </c>
      <c r="FG75" s="76">
        <f t="shared" si="194"/>
        <v>0</v>
      </c>
      <c r="FH75" s="922"/>
      <c r="FI75" s="305"/>
      <c r="FJ75" s="307"/>
      <c r="FK75" s="307"/>
      <c r="FL75" s="285"/>
      <c r="FM75" s="285"/>
      <c r="FN75" s="285"/>
      <c r="FO75" s="285"/>
      <c r="FP75" s="285"/>
      <c r="FQ75" s="285"/>
      <c r="FR75" s="285"/>
      <c r="FS75" s="285"/>
      <c r="FT75" s="285"/>
      <c r="FU75" s="285"/>
      <c r="FV75" s="285"/>
      <c r="FW75" s="285"/>
      <c r="FX75" s="285"/>
      <c r="FY75" s="285"/>
      <c r="FZ75" s="285"/>
      <c r="GA75" s="285"/>
      <c r="GB75" s="285"/>
      <c r="GC75" s="285"/>
      <c r="GD75" s="285"/>
      <c r="GE75" s="285"/>
      <c r="GF75" s="285"/>
      <c r="GG75" s="285"/>
      <c r="GH75" s="285"/>
      <c r="GI75" s="285"/>
      <c r="GJ75" s="285"/>
      <c r="GK75" s="285"/>
      <c r="GL75" s="285"/>
      <c r="GM75" s="285"/>
      <c r="GN75" s="285"/>
      <c r="GO75" s="285"/>
      <c r="GP75" s="285"/>
      <c r="GQ75" s="285"/>
      <c r="GR75" s="285"/>
      <c r="GS75" s="285"/>
      <c r="GT75" s="285"/>
      <c r="GU75" s="285"/>
      <c r="GV75" s="285"/>
      <c r="GW75" s="285"/>
      <c r="GX75" s="285"/>
      <c r="GY75" s="285"/>
      <c r="GZ75" s="285"/>
      <c r="HA75" s="285"/>
      <c r="HB75" s="285"/>
      <c r="HC75" s="285"/>
      <c r="HD75" s="285"/>
      <c r="HE75" s="285"/>
      <c r="HF75" s="285"/>
      <c r="HG75" s="285"/>
      <c r="HH75" s="285"/>
      <c r="HI75" s="285"/>
      <c r="HJ75" s="285"/>
      <c r="HK75" s="285"/>
      <c r="HL75" s="285"/>
      <c r="HM75" s="285"/>
      <c r="HN75" s="285"/>
      <c r="HO75" s="285"/>
      <c r="HP75" s="285"/>
      <c r="HQ75" s="285"/>
      <c r="HR75" s="285"/>
      <c r="HS75" s="285"/>
      <c r="HT75" s="285"/>
      <c r="HU75" s="285"/>
      <c r="HV75" s="285"/>
      <c r="HW75" s="285"/>
      <c r="HX75" s="285"/>
      <c r="HY75" s="285"/>
      <c r="HZ75" s="285"/>
      <c r="IA75" s="285"/>
      <c r="IB75" s="285"/>
      <c r="IC75" s="285"/>
      <c r="ID75" s="285"/>
      <c r="IE75" s="285"/>
      <c r="IF75" s="285"/>
      <c r="IG75" s="285"/>
      <c r="IH75" s="285"/>
      <c r="II75" s="285"/>
      <c r="IJ75" s="285"/>
      <c r="IK75" s="285"/>
      <c r="IL75" s="285"/>
      <c r="IM75" s="285"/>
      <c r="IN75" s="285"/>
      <c r="IO75" s="285"/>
      <c r="IP75" s="285"/>
      <c r="IQ75" s="285"/>
      <c r="IR75" s="285"/>
      <c r="IS75" s="285"/>
      <c r="IT75" s="285"/>
      <c r="IU75" s="285"/>
      <c r="IV75" s="285"/>
      <c r="IW75" s="285"/>
      <c r="IX75" s="285"/>
      <c r="IY75" s="285"/>
      <c r="IZ75" s="285"/>
      <c r="JA75" s="285"/>
      <c r="JB75" s="285"/>
      <c r="JC75" s="285"/>
      <c r="JD75" s="285"/>
      <c r="JE75" s="285"/>
      <c r="JF75" s="285"/>
      <c r="JG75" s="285"/>
      <c r="JH75" s="285"/>
      <c r="JI75" s="285"/>
      <c r="JJ75" s="285"/>
      <c r="JK75" s="285"/>
      <c r="JL75" s="285"/>
      <c r="JM75" s="285"/>
      <c r="JN75" s="285"/>
      <c r="JO75" s="285"/>
      <c r="JP75" s="285"/>
      <c r="JQ75" s="285"/>
      <c r="JR75" s="285"/>
      <c r="JS75" s="285"/>
      <c r="JT75" s="285"/>
      <c r="JU75" s="285"/>
      <c r="JV75" s="285"/>
      <c r="JW75" s="285"/>
      <c r="JX75" s="285"/>
      <c r="JY75" s="285"/>
      <c r="JZ75" s="285"/>
      <c r="KA75" s="285"/>
      <c r="KB75" s="285"/>
      <c r="KC75" s="285"/>
      <c r="KD75" s="285"/>
      <c r="KE75" s="285"/>
      <c r="KF75" s="285"/>
      <c r="KG75" s="285"/>
      <c r="KH75" s="285"/>
      <c r="KI75" s="285"/>
      <c r="KJ75" s="285"/>
      <c r="KK75" s="285"/>
      <c r="KL75" s="285"/>
      <c r="KM75" s="285"/>
      <c r="KN75" s="285"/>
      <c r="KO75" s="285"/>
      <c r="KP75" s="285"/>
      <c r="KQ75" s="285"/>
      <c r="KR75" s="285"/>
      <c r="KS75" s="285"/>
      <c r="KT75" s="285"/>
      <c r="KU75" s="285"/>
      <c r="KV75" s="285"/>
      <c r="KW75" s="285"/>
      <c r="KX75" s="285"/>
      <c r="KY75" s="285"/>
      <c r="KZ75" s="285"/>
      <c r="LA75" s="285"/>
      <c r="LB75" s="285"/>
      <c r="LC75" s="285"/>
      <c r="LD75" s="285"/>
      <c r="LE75" s="285"/>
      <c r="LF75" s="285"/>
      <c r="LG75" s="285"/>
      <c r="LH75" s="285"/>
      <c r="LI75" s="285"/>
      <c r="LJ75" s="285"/>
      <c r="LK75" s="285"/>
      <c r="LL75" s="285"/>
      <c r="LM75" s="285"/>
      <c r="LN75" s="285"/>
      <c r="LO75" s="285"/>
      <c r="LP75" s="285"/>
    </row>
    <row r="76" spans="1:328" ht="12.75" hidden="1" customHeight="1" x14ac:dyDescent="0.3">
      <c r="A76" s="285"/>
      <c r="B76" s="285"/>
      <c r="C76" s="286"/>
      <c r="D76" s="285"/>
      <c r="E76" s="285"/>
      <c r="F76" s="285"/>
      <c r="G76" s="285"/>
      <c r="H76" s="285"/>
      <c r="I76" s="285"/>
      <c r="J76" s="285"/>
      <c r="K76" s="285"/>
      <c r="L76" s="285"/>
      <c r="M76" s="287"/>
      <c r="N76" s="287"/>
      <c r="O76" s="287"/>
      <c r="P76" s="287"/>
      <c r="Q76" s="287"/>
      <c r="R76" s="287"/>
      <c r="S76" s="285"/>
      <c r="T76" s="285"/>
      <c r="U76" s="285"/>
      <c r="V76" s="285"/>
      <c r="W76" s="285"/>
      <c r="X76" s="285"/>
      <c r="Y76" s="285"/>
      <c r="Z76" s="285"/>
      <c r="AA76" s="285"/>
      <c r="AB76" s="285"/>
      <c r="AC76" s="285"/>
      <c r="AD76" s="285"/>
      <c r="AE76" s="285"/>
      <c r="AF76" s="285"/>
      <c r="AG76" s="285"/>
      <c r="AH76" s="2513"/>
      <c r="AI76" s="285"/>
      <c r="AJ76" s="285"/>
      <c r="AK76" s="285"/>
      <c r="AL76" s="285"/>
      <c r="AM76" s="285"/>
      <c r="AN76" s="285"/>
      <c r="AO76" s="285"/>
      <c r="AP76" s="285"/>
      <c r="AQ76" s="285"/>
      <c r="AR76" s="285"/>
      <c r="AS76" s="285"/>
      <c r="AT76" s="285"/>
      <c r="AU76" s="285"/>
      <c r="AV76" s="285"/>
      <c r="AW76" s="285"/>
      <c r="AX76" s="285"/>
      <c r="AY76" s="285"/>
      <c r="AZ76" s="285"/>
      <c r="BA76" s="285"/>
      <c r="BB76" s="285"/>
      <c r="BC76" s="285"/>
      <c r="BD76" s="285"/>
      <c r="BE76" s="285"/>
      <c r="BF76" s="285"/>
      <c r="BG76" s="285"/>
      <c r="BH76" s="285"/>
      <c r="BI76" s="285"/>
      <c r="BJ76" s="285"/>
      <c r="BK76" s="285"/>
      <c r="BL76" s="285"/>
      <c r="BM76" s="285"/>
      <c r="BN76" s="285"/>
      <c r="BO76" s="285"/>
      <c r="BP76" s="285"/>
      <c r="BQ76" s="285"/>
      <c r="BR76" s="285"/>
      <c r="BS76" s="285"/>
      <c r="BT76" s="285"/>
      <c r="BU76" s="285"/>
      <c r="BV76" s="285"/>
      <c r="BW76" s="285"/>
      <c r="BX76" s="285"/>
      <c r="BY76" s="285"/>
      <c r="BZ76" s="285"/>
      <c r="CA76" s="285"/>
      <c r="CB76" s="285"/>
      <c r="CC76" s="285"/>
      <c r="CD76" s="285"/>
      <c r="CE76" s="285"/>
      <c r="CF76" s="285"/>
      <c r="CG76" s="285"/>
      <c r="CH76" s="285"/>
      <c r="CI76" s="285"/>
      <c r="CJ76" s="285"/>
      <c r="CK76" s="285"/>
      <c r="CL76" s="285"/>
      <c r="CM76" s="285"/>
      <c r="CN76" s="285"/>
      <c r="CO76" s="285"/>
      <c r="CP76" s="285"/>
      <c r="CQ76" s="285"/>
      <c r="CR76" s="285"/>
      <c r="CS76" s="285"/>
      <c r="CT76" s="285"/>
      <c r="CU76" s="285"/>
      <c r="CV76" s="285"/>
      <c r="CW76" s="285"/>
      <c r="CX76" s="285"/>
      <c r="CY76" s="285"/>
      <c r="CZ76" s="285"/>
      <c r="DA76" s="285"/>
      <c r="DB76" s="285"/>
      <c r="DC76" s="285"/>
      <c r="DD76" s="285"/>
      <c r="DE76" s="285"/>
      <c r="DF76" s="285"/>
      <c r="DG76" s="309"/>
      <c r="DH76" s="442" t="s">
        <v>2185</v>
      </c>
      <c r="DI76" s="305"/>
      <c r="DJ76" s="76">
        <f t="shared" ref="DJ76:EO76" si="195">IF(DJ$169=0,0,SUMPRODUCT($AN$173:$AN$364,DJ$173:DJ$364,$CY$173:$CY$364,$AH$173:$AH$364,$CB$173:$CB$364))</f>
        <v>0</v>
      </c>
      <c r="DK76" s="76">
        <f t="shared" si="195"/>
        <v>0</v>
      </c>
      <c r="DL76" s="76">
        <f t="shared" si="195"/>
        <v>0</v>
      </c>
      <c r="DM76" s="76">
        <f t="shared" si="195"/>
        <v>0</v>
      </c>
      <c r="DN76" s="76">
        <f t="shared" si="195"/>
        <v>0</v>
      </c>
      <c r="DO76" s="76">
        <f t="shared" si="195"/>
        <v>0</v>
      </c>
      <c r="DP76" s="76">
        <f t="shared" si="195"/>
        <v>0</v>
      </c>
      <c r="DQ76" s="76">
        <f t="shared" si="195"/>
        <v>0</v>
      </c>
      <c r="DR76" s="76">
        <f t="shared" si="195"/>
        <v>0</v>
      </c>
      <c r="DS76" s="76">
        <f t="shared" si="195"/>
        <v>0</v>
      </c>
      <c r="DT76" s="76">
        <f t="shared" si="195"/>
        <v>0</v>
      </c>
      <c r="DU76" s="76">
        <f t="shared" si="195"/>
        <v>0</v>
      </c>
      <c r="DV76" s="76">
        <f t="shared" si="195"/>
        <v>0</v>
      </c>
      <c r="DW76" s="76">
        <f t="shared" si="195"/>
        <v>0</v>
      </c>
      <c r="DX76" s="76">
        <f t="shared" si="195"/>
        <v>0</v>
      </c>
      <c r="DY76" s="76">
        <f t="shared" si="195"/>
        <v>0</v>
      </c>
      <c r="DZ76" s="76">
        <f t="shared" si="195"/>
        <v>0</v>
      </c>
      <c r="EA76" s="76">
        <f t="shared" si="195"/>
        <v>0</v>
      </c>
      <c r="EB76" s="76">
        <f t="shared" si="195"/>
        <v>0</v>
      </c>
      <c r="EC76" s="76">
        <f t="shared" si="195"/>
        <v>0</v>
      </c>
      <c r="ED76" s="76">
        <f t="shared" si="195"/>
        <v>0</v>
      </c>
      <c r="EE76" s="76">
        <f t="shared" si="195"/>
        <v>0</v>
      </c>
      <c r="EF76" s="76">
        <f t="shared" si="195"/>
        <v>0</v>
      </c>
      <c r="EG76" s="76">
        <f t="shared" si="195"/>
        <v>0</v>
      </c>
      <c r="EH76" s="76">
        <f t="shared" si="195"/>
        <v>0</v>
      </c>
      <c r="EI76" s="76">
        <f t="shared" si="195"/>
        <v>0</v>
      </c>
      <c r="EJ76" s="76">
        <f t="shared" si="195"/>
        <v>0</v>
      </c>
      <c r="EK76" s="76">
        <f t="shared" si="195"/>
        <v>0</v>
      </c>
      <c r="EL76" s="76">
        <f t="shared" si="195"/>
        <v>0</v>
      </c>
      <c r="EM76" s="76">
        <f t="shared" si="195"/>
        <v>0</v>
      </c>
      <c r="EN76" s="76">
        <f t="shared" si="195"/>
        <v>0</v>
      </c>
      <c r="EO76" s="76">
        <f t="shared" si="195"/>
        <v>0</v>
      </c>
      <c r="EP76" s="76">
        <f t="shared" ref="EP76:FG76" si="196">IF(EP$169=0,0,SUMPRODUCT($AN$173:$AN$364,EP$173:EP$364,$CY$173:$CY$364,$AH$173:$AH$364,$CB$173:$CB$364))</f>
        <v>0</v>
      </c>
      <c r="EQ76" s="76">
        <f t="shared" si="196"/>
        <v>0</v>
      </c>
      <c r="ER76" s="76">
        <f t="shared" si="196"/>
        <v>0</v>
      </c>
      <c r="ES76" s="76">
        <f t="shared" si="196"/>
        <v>0</v>
      </c>
      <c r="ET76" s="76">
        <f t="shared" si="196"/>
        <v>0</v>
      </c>
      <c r="EU76" s="76">
        <f t="shared" si="196"/>
        <v>0</v>
      </c>
      <c r="EV76" s="76">
        <f t="shared" si="196"/>
        <v>0</v>
      </c>
      <c r="EW76" s="76">
        <f t="shared" si="196"/>
        <v>0</v>
      </c>
      <c r="EX76" s="76">
        <f t="shared" si="196"/>
        <v>0</v>
      </c>
      <c r="EY76" s="76">
        <f t="shared" si="196"/>
        <v>0</v>
      </c>
      <c r="EZ76" s="76">
        <f t="shared" si="196"/>
        <v>0</v>
      </c>
      <c r="FA76" s="76">
        <f t="shared" si="196"/>
        <v>0</v>
      </c>
      <c r="FB76" s="76">
        <f t="shared" si="196"/>
        <v>0</v>
      </c>
      <c r="FC76" s="76">
        <f t="shared" si="196"/>
        <v>0</v>
      </c>
      <c r="FD76" s="76">
        <f t="shared" si="196"/>
        <v>0</v>
      </c>
      <c r="FE76" s="76">
        <f t="shared" si="196"/>
        <v>0</v>
      </c>
      <c r="FF76" s="76">
        <f t="shared" si="196"/>
        <v>0</v>
      </c>
      <c r="FG76" s="76">
        <f t="shared" si="196"/>
        <v>0</v>
      </c>
      <c r="FH76" s="923"/>
      <c r="FI76" s="305"/>
      <c r="FJ76" s="307"/>
      <c r="FK76" s="307"/>
      <c r="FL76" s="285"/>
      <c r="FM76" s="285"/>
      <c r="FN76" s="285"/>
      <c r="FO76" s="285"/>
      <c r="FP76" s="285"/>
      <c r="FQ76" s="285"/>
      <c r="FR76" s="285"/>
      <c r="FS76" s="285"/>
      <c r="FT76" s="285"/>
      <c r="FU76" s="285"/>
      <c r="FV76" s="285"/>
      <c r="FW76" s="285"/>
      <c r="FX76" s="285"/>
      <c r="FY76" s="285"/>
      <c r="FZ76" s="285"/>
      <c r="GA76" s="285"/>
      <c r="GB76" s="285"/>
      <c r="GC76" s="285"/>
      <c r="GD76" s="285"/>
      <c r="GE76" s="285"/>
      <c r="GF76" s="285"/>
      <c r="GG76" s="285"/>
      <c r="GH76" s="285"/>
      <c r="GI76" s="285"/>
      <c r="GJ76" s="285"/>
      <c r="GK76" s="285"/>
      <c r="GL76" s="285"/>
      <c r="GM76" s="285"/>
      <c r="GN76" s="285"/>
      <c r="GO76" s="285"/>
      <c r="GP76" s="285"/>
      <c r="GQ76" s="285"/>
      <c r="GR76" s="285"/>
      <c r="GS76" s="285"/>
      <c r="GT76" s="285"/>
      <c r="GU76" s="285"/>
      <c r="GV76" s="285"/>
      <c r="GW76" s="285"/>
      <c r="GX76" s="285"/>
      <c r="GY76" s="285"/>
      <c r="GZ76" s="285"/>
      <c r="HA76" s="285"/>
      <c r="HB76" s="285"/>
      <c r="HC76" s="285"/>
      <c r="HD76" s="285"/>
      <c r="HE76" s="285"/>
      <c r="HF76" s="285"/>
      <c r="HG76" s="285"/>
      <c r="HH76" s="285"/>
      <c r="HI76" s="285"/>
      <c r="HJ76" s="285"/>
      <c r="HK76" s="285"/>
      <c r="HL76" s="285"/>
      <c r="HM76" s="285"/>
      <c r="HN76" s="285"/>
      <c r="HO76" s="285"/>
      <c r="HP76" s="285"/>
      <c r="HQ76" s="285"/>
      <c r="HR76" s="285"/>
      <c r="HS76" s="285"/>
      <c r="HT76" s="285"/>
      <c r="HU76" s="285"/>
      <c r="HV76" s="285"/>
      <c r="HW76" s="285"/>
      <c r="HX76" s="285"/>
      <c r="HY76" s="285"/>
      <c r="HZ76" s="285"/>
      <c r="IA76" s="285"/>
      <c r="IB76" s="285"/>
      <c r="IC76" s="285"/>
      <c r="ID76" s="285"/>
      <c r="IE76" s="285"/>
      <c r="IF76" s="285"/>
      <c r="IG76" s="285"/>
      <c r="IH76" s="285"/>
      <c r="II76" s="285"/>
      <c r="IJ76" s="285"/>
      <c r="IK76" s="285"/>
      <c r="IL76" s="285"/>
      <c r="IM76" s="285"/>
      <c r="IN76" s="285"/>
      <c r="IO76" s="285"/>
      <c r="IP76" s="285"/>
      <c r="IQ76" s="285"/>
      <c r="IR76" s="285"/>
      <c r="IS76" s="285"/>
      <c r="IT76" s="285"/>
      <c r="IU76" s="285"/>
      <c r="IV76" s="285"/>
      <c r="IW76" s="285"/>
      <c r="IX76" s="285"/>
      <c r="IY76" s="285"/>
      <c r="IZ76" s="285"/>
      <c r="JA76" s="285"/>
      <c r="JB76" s="285"/>
      <c r="JC76" s="285"/>
      <c r="JD76" s="285"/>
      <c r="JE76" s="285"/>
      <c r="JF76" s="285"/>
      <c r="JG76" s="285"/>
      <c r="JH76" s="285"/>
      <c r="JI76" s="285"/>
      <c r="JJ76" s="285"/>
      <c r="JK76" s="285"/>
      <c r="JL76" s="285"/>
      <c r="JM76" s="285"/>
      <c r="JN76" s="285"/>
      <c r="JO76" s="285"/>
      <c r="JP76" s="285"/>
      <c r="JQ76" s="285"/>
      <c r="JR76" s="285"/>
      <c r="JS76" s="285"/>
      <c r="JT76" s="285"/>
      <c r="JU76" s="285"/>
      <c r="JV76" s="285"/>
      <c r="JW76" s="285"/>
      <c r="JX76" s="285"/>
      <c r="JY76" s="285"/>
      <c r="JZ76" s="285"/>
      <c r="KA76" s="285"/>
      <c r="KB76" s="285"/>
      <c r="KC76" s="285"/>
      <c r="KD76" s="285"/>
      <c r="KE76" s="285"/>
      <c r="KF76" s="285"/>
      <c r="KG76" s="285"/>
      <c r="KH76" s="285"/>
      <c r="KI76" s="285"/>
      <c r="KJ76" s="285"/>
      <c r="KK76" s="285"/>
      <c r="KL76" s="285"/>
      <c r="KM76" s="285"/>
      <c r="KN76" s="285"/>
      <c r="KO76" s="285"/>
      <c r="KP76" s="285"/>
      <c r="KQ76" s="285"/>
      <c r="KR76" s="285"/>
      <c r="KS76" s="285"/>
      <c r="KT76" s="285"/>
      <c r="KU76" s="285"/>
      <c r="KV76" s="285"/>
      <c r="KW76" s="285"/>
      <c r="KX76" s="285"/>
      <c r="KY76" s="285"/>
      <c r="KZ76" s="285"/>
      <c r="LA76" s="285"/>
      <c r="LB76" s="285"/>
      <c r="LC76" s="285"/>
      <c r="LD76" s="285"/>
      <c r="LE76" s="285"/>
      <c r="LF76" s="285"/>
      <c r="LG76" s="285"/>
      <c r="LH76" s="285"/>
      <c r="LI76" s="285"/>
      <c r="LJ76" s="285"/>
      <c r="LK76" s="285"/>
      <c r="LL76" s="285"/>
      <c r="LM76" s="285"/>
      <c r="LN76" s="285"/>
      <c r="LO76" s="285"/>
      <c r="LP76" s="285"/>
    </row>
    <row r="77" spans="1:328" ht="12.75" hidden="1" customHeight="1" x14ac:dyDescent="0.3">
      <c r="A77" s="285"/>
      <c r="B77" s="285"/>
      <c r="C77" s="286"/>
      <c r="D77" s="285"/>
      <c r="E77" s="285"/>
      <c r="F77" s="285"/>
      <c r="G77" s="285"/>
      <c r="H77" s="285"/>
      <c r="I77" s="285"/>
      <c r="J77" s="285"/>
      <c r="K77" s="285"/>
      <c r="L77" s="285"/>
      <c r="M77" s="287"/>
      <c r="N77" s="287"/>
      <c r="O77" s="287"/>
      <c r="P77" s="287"/>
      <c r="Q77" s="287"/>
      <c r="R77" s="287"/>
      <c r="S77" s="285"/>
      <c r="T77" s="285"/>
      <c r="U77" s="285"/>
      <c r="V77" s="285"/>
      <c r="W77" s="285"/>
      <c r="X77" s="285"/>
      <c r="Y77" s="285"/>
      <c r="Z77" s="285"/>
      <c r="AA77" s="285"/>
      <c r="AB77" s="285"/>
      <c r="AC77" s="285"/>
      <c r="AD77" s="285"/>
      <c r="AE77" s="285"/>
      <c r="AF77" s="285"/>
      <c r="AG77" s="285"/>
      <c r="AH77" s="2513"/>
      <c r="AI77" s="285"/>
      <c r="AJ77" s="285"/>
      <c r="AK77" s="285"/>
      <c r="AL77" s="285"/>
      <c r="AM77" s="285"/>
      <c r="AN77" s="285"/>
      <c r="AO77" s="285"/>
      <c r="AP77" s="285"/>
      <c r="AQ77" s="285"/>
      <c r="AR77" s="285"/>
      <c r="AS77" s="285"/>
      <c r="AT77" s="285"/>
      <c r="AU77" s="285"/>
      <c r="AV77" s="285"/>
      <c r="AW77" s="285"/>
      <c r="AX77" s="285"/>
      <c r="AY77" s="285"/>
      <c r="AZ77" s="285"/>
      <c r="BA77" s="285"/>
      <c r="BB77" s="285"/>
      <c r="BC77" s="285"/>
      <c r="BD77" s="285"/>
      <c r="BE77" s="285"/>
      <c r="BF77" s="285"/>
      <c r="BG77" s="285"/>
      <c r="BH77" s="285"/>
      <c r="BI77" s="285"/>
      <c r="BJ77" s="285"/>
      <c r="BK77" s="285"/>
      <c r="BL77" s="285"/>
      <c r="BM77" s="285"/>
      <c r="BN77" s="285"/>
      <c r="BO77" s="285"/>
      <c r="BP77" s="285"/>
      <c r="BQ77" s="285"/>
      <c r="BR77" s="285"/>
      <c r="BS77" s="285"/>
      <c r="BT77" s="285"/>
      <c r="BU77" s="285"/>
      <c r="BV77" s="285"/>
      <c r="BW77" s="285"/>
      <c r="BX77" s="285"/>
      <c r="BY77" s="285"/>
      <c r="BZ77" s="285"/>
      <c r="CA77" s="285"/>
      <c r="CB77" s="285"/>
      <c r="CC77" s="285"/>
      <c r="CD77" s="285"/>
      <c r="CE77" s="285"/>
      <c r="CF77" s="285"/>
      <c r="CG77" s="285"/>
      <c r="CH77" s="285"/>
      <c r="CI77" s="285"/>
      <c r="CJ77" s="285"/>
      <c r="CK77" s="285"/>
      <c r="CL77" s="285"/>
      <c r="CM77" s="285"/>
      <c r="CN77" s="285"/>
      <c r="CO77" s="285"/>
      <c r="CP77" s="285"/>
      <c r="CQ77" s="285"/>
      <c r="CR77" s="285"/>
      <c r="CS77" s="285"/>
      <c r="CT77" s="285"/>
      <c r="CU77" s="285"/>
      <c r="CV77" s="285"/>
      <c r="CW77" s="285"/>
      <c r="CX77" s="285"/>
      <c r="CY77" s="285"/>
      <c r="CZ77" s="285"/>
      <c r="DA77" s="285"/>
      <c r="DB77" s="285"/>
      <c r="DC77" s="285"/>
      <c r="DD77" s="285"/>
      <c r="DE77" s="285"/>
      <c r="DF77" s="285"/>
      <c r="DG77" s="309"/>
      <c r="DH77" s="305"/>
      <c r="DI77" s="305"/>
      <c r="DJ77" s="305"/>
      <c r="DK77" s="305"/>
      <c r="DL77" s="305"/>
      <c r="DM77" s="305"/>
      <c r="DN77" s="305"/>
      <c r="DO77" s="305"/>
      <c r="DP77" s="305"/>
      <c r="DQ77" s="305"/>
      <c r="DR77" s="305"/>
      <c r="DS77" s="305"/>
      <c r="DT77" s="305"/>
      <c r="DU77" s="305"/>
      <c r="DV77" s="305"/>
      <c r="DW77" s="305"/>
      <c r="DX77" s="305"/>
      <c r="DY77" s="305"/>
      <c r="DZ77" s="305"/>
      <c r="EA77" s="305"/>
      <c r="EB77" s="305"/>
      <c r="EC77" s="305"/>
      <c r="ED77" s="305"/>
      <c r="EE77" s="305"/>
      <c r="EF77" s="305"/>
      <c r="EG77" s="305"/>
      <c r="EH77" s="305"/>
      <c r="EI77" s="305"/>
      <c r="EJ77" s="305"/>
      <c r="EK77" s="305"/>
      <c r="EL77" s="305"/>
      <c r="EM77" s="305"/>
      <c r="EN77" s="305"/>
      <c r="EO77" s="305"/>
      <c r="EP77" s="305"/>
      <c r="EQ77" s="305"/>
      <c r="ER77" s="305"/>
      <c r="ES77" s="305"/>
      <c r="ET77" s="305"/>
      <c r="EU77" s="305"/>
      <c r="EV77" s="305"/>
      <c r="EW77" s="305"/>
      <c r="EX77" s="305"/>
      <c r="EY77" s="305"/>
      <c r="EZ77" s="305"/>
      <c r="FA77" s="305"/>
      <c r="FB77" s="305"/>
      <c r="FC77" s="305"/>
      <c r="FD77" s="305"/>
      <c r="FE77" s="305"/>
      <c r="FF77" s="305"/>
      <c r="FG77" s="305"/>
      <c r="FH77" s="305"/>
      <c r="FI77" s="305"/>
      <c r="FJ77" s="307"/>
      <c r="FK77" s="307"/>
      <c r="FL77" s="285"/>
      <c r="FM77" s="285"/>
      <c r="FN77" s="285"/>
      <c r="FO77" s="285"/>
      <c r="FP77" s="285"/>
      <c r="FQ77" s="285"/>
      <c r="FR77" s="285"/>
      <c r="FS77" s="285"/>
      <c r="FT77" s="285"/>
      <c r="FU77" s="285"/>
      <c r="FV77" s="285"/>
      <c r="FW77" s="285"/>
      <c r="FX77" s="285"/>
      <c r="FY77" s="285"/>
      <c r="FZ77" s="285"/>
      <c r="GA77" s="285"/>
      <c r="GB77" s="285"/>
      <c r="GC77" s="285"/>
      <c r="GD77" s="285"/>
      <c r="GE77" s="285"/>
      <c r="GF77" s="285"/>
      <c r="GG77" s="285"/>
      <c r="GH77" s="285"/>
      <c r="GI77" s="285"/>
      <c r="GJ77" s="285"/>
      <c r="GK77" s="285"/>
      <c r="GL77" s="285"/>
      <c r="GM77" s="285"/>
      <c r="GN77" s="285"/>
      <c r="GO77" s="285"/>
      <c r="GP77" s="285"/>
      <c r="GQ77" s="285"/>
      <c r="GR77" s="285"/>
      <c r="GS77" s="285"/>
      <c r="GT77" s="285"/>
      <c r="GU77" s="285"/>
      <c r="GV77" s="285"/>
      <c r="GW77" s="285"/>
      <c r="GX77" s="285"/>
      <c r="GY77" s="285"/>
      <c r="GZ77" s="285"/>
      <c r="HA77" s="285"/>
      <c r="HB77" s="285"/>
      <c r="HC77" s="285"/>
      <c r="HD77" s="285"/>
      <c r="HE77" s="285"/>
      <c r="HF77" s="285"/>
      <c r="HG77" s="285"/>
      <c r="HH77" s="285"/>
      <c r="HI77" s="285"/>
      <c r="HJ77" s="285"/>
      <c r="HK77" s="285"/>
      <c r="HL77" s="285"/>
      <c r="HM77" s="285"/>
      <c r="HN77" s="285"/>
      <c r="HO77" s="285"/>
      <c r="HP77" s="285"/>
      <c r="HQ77" s="285"/>
      <c r="HR77" s="285"/>
      <c r="HS77" s="285"/>
      <c r="HT77" s="285"/>
      <c r="HU77" s="285"/>
      <c r="HV77" s="285"/>
      <c r="HW77" s="285"/>
      <c r="HX77" s="285"/>
      <c r="HY77" s="285"/>
      <c r="HZ77" s="285"/>
      <c r="IA77" s="285"/>
      <c r="IB77" s="285"/>
      <c r="IC77" s="285"/>
      <c r="ID77" s="285"/>
      <c r="IE77" s="285"/>
      <c r="IF77" s="285"/>
      <c r="IG77" s="285"/>
      <c r="IH77" s="285"/>
      <c r="II77" s="285"/>
      <c r="IJ77" s="285"/>
      <c r="IK77" s="285"/>
      <c r="IL77" s="285"/>
      <c r="IM77" s="285"/>
      <c r="IN77" s="285"/>
      <c r="IO77" s="285"/>
      <c r="IP77" s="285"/>
      <c r="IQ77" s="285"/>
      <c r="IR77" s="285"/>
      <c r="IS77" s="285"/>
      <c r="IT77" s="285"/>
      <c r="IU77" s="285"/>
      <c r="IV77" s="285"/>
      <c r="IW77" s="285"/>
      <c r="IX77" s="285"/>
      <c r="IY77" s="285"/>
      <c r="IZ77" s="285"/>
      <c r="JA77" s="285"/>
      <c r="JB77" s="285"/>
      <c r="JC77" s="285"/>
      <c r="JD77" s="285"/>
      <c r="JE77" s="285"/>
      <c r="JF77" s="285"/>
      <c r="JG77" s="285"/>
      <c r="JH77" s="285"/>
      <c r="JI77" s="285"/>
      <c r="JJ77" s="285"/>
      <c r="JK77" s="285"/>
      <c r="JL77" s="285"/>
      <c r="JM77" s="285"/>
      <c r="JN77" s="285"/>
      <c r="JO77" s="285"/>
      <c r="JP77" s="285"/>
      <c r="JQ77" s="285"/>
      <c r="JR77" s="285"/>
      <c r="JS77" s="285"/>
      <c r="JT77" s="285"/>
      <c r="JU77" s="285"/>
      <c r="JV77" s="285"/>
      <c r="JW77" s="285"/>
      <c r="JX77" s="285"/>
      <c r="JY77" s="285"/>
      <c r="JZ77" s="285"/>
      <c r="KA77" s="285"/>
      <c r="KB77" s="285"/>
      <c r="KC77" s="285"/>
      <c r="KD77" s="285"/>
      <c r="KE77" s="285"/>
      <c r="KF77" s="285"/>
      <c r="KG77" s="285"/>
      <c r="KH77" s="285"/>
      <c r="KI77" s="285"/>
      <c r="KJ77" s="285"/>
      <c r="KK77" s="285"/>
      <c r="KL77" s="285"/>
      <c r="KM77" s="285"/>
      <c r="KN77" s="285"/>
      <c r="KO77" s="285"/>
      <c r="KP77" s="285"/>
      <c r="KQ77" s="285"/>
      <c r="KR77" s="285"/>
      <c r="KS77" s="285"/>
      <c r="KT77" s="285"/>
      <c r="KU77" s="285"/>
      <c r="KV77" s="285"/>
      <c r="KW77" s="285"/>
      <c r="KX77" s="285"/>
      <c r="KY77" s="285"/>
      <c r="KZ77" s="285"/>
      <c r="LA77" s="285"/>
      <c r="LB77" s="285"/>
      <c r="LC77" s="285"/>
      <c r="LD77" s="285"/>
      <c r="LE77" s="285"/>
      <c r="LF77" s="285"/>
      <c r="LG77" s="285"/>
      <c r="LH77" s="285"/>
      <c r="LI77" s="285"/>
      <c r="LJ77" s="285"/>
      <c r="LK77" s="285"/>
      <c r="LL77" s="285"/>
      <c r="LM77" s="285"/>
      <c r="LN77" s="285"/>
      <c r="LO77" s="285"/>
      <c r="LP77" s="285"/>
    </row>
    <row r="78" spans="1:328" ht="12.75" hidden="1" customHeight="1" x14ac:dyDescent="0.3">
      <c r="A78" s="285"/>
      <c r="B78" s="285"/>
      <c r="C78" s="286"/>
      <c r="D78" s="285"/>
      <c r="E78" s="285"/>
      <c r="F78" s="285"/>
      <c r="G78" s="285"/>
      <c r="H78" s="285"/>
      <c r="I78" s="285"/>
      <c r="J78" s="285"/>
      <c r="K78" s="285"/>
      <c r="L78" s="285"/>
      <c r="M78" s="287"/>
      <c r="N78" s="287"/>
      <c r="O78" s="287"/>
      <c r="P78" s="287"/>
      <c r="Q78" s="287"/>
      <c r="R78" s="287"/>
      <c r="S78" s="285"/>
      <c r="T78" s="285"/>
      <c r="U78" s="285"/>
      <c r="V78" s="285"/>
      <c r="W78" s="285"/>
      <c r="X78" s="285"/>
      <c r="Y78" s="285"/>
      <c r="Z78" s="285"/>
      <c r="AA78" s="285"/>
      <c r="AB78" s="285"/>
      <c r="AC78" s="285"/>
      <c r="AD78" s="285"/>
      <c r="AE78" s="285"/>
      <c r="AF78" s="285"/>
      <c r="AG78" s="285"/>
      <c r="AH78" s="2513"/>
      <c r="AI78" s="285"/>
      <c r="AJ78" s="285"/>
      <c r="AK78" s="285"/>
      <c r="AL78" s="285"/>
      <c r="AM78" s="285"/>
      <c r="AN78" s="285"/>
      <c r="AO78" s="285"/>
      <c r="AP78" s="285"/>
      <c r="AQ78" s="285"/>
      <c r="AR78" s="285"/>
      <c r="AS78" s="285"/>
      <c r="AT78" s="285"/>
      <c r="AU78" s="285"/>
      <c r="AV78" s="285"/>
      <c r="AW78" s="285"/>
      <c r="AX78" s="285"/>
      <c r="AY78" s="285"/>
      <c r="AZ78" s="285"/>
      <c r="BA78" s="285"/>
      <c r="BB78" s="285"/>
      <c r="BC78" s="285"/>
      <c r="BD78" s="285"/>
      <c r="BE78" s="285"/>
      <c r="BF78" s="285"/>
      <c r="BG78" s="285"/>
      <c r="BH78" s="285"/>
      <c r="BI78" s="285"/>
      <c r="BJ78" s="285"/>
      <c r="BK78" s="285"/>
      <c r="BL78" s="285"/>
      <c r="BM78" s="285"/>
      <c r="BN78" s="285"/>
      <c r="BO78" s="285"/>
      <c r="BP78" s="285"/>
      <c r="BQ78" s="285"/>
      <c r="BR78" s="285"/>
      <c r="BS78" s="285"/>
      <c r="BT78" s="285"/>
      <c r="BU78" s="285"/>
      <c r="BV78" s="285"/>
      <c r="BW78" s="285"/>
      <c r="BX78" s="285"/>
      <c r="BY78" s="285"/>
      <c r="BZ78" s="285"/>
      <c r="CA78" s="285"/>
      <c r="CB78" s="285"/>
      <c r="CC78" s="285"/>
      <c r="CD78" s="285"/>
      <c r="CE78" s="285"/>
      <c r="CF78" s="285"/>
      <c r="CG78" s="285"/>
      <c r="CH78" s="285"/>
      <c r="CI78" s="285"/>
      <c r="CJ78" s="285"/>
      <c r="CK78" s="285"/>
      <c r="CL78" s="285"/>
      <c r="CM78" s="285"/>
      <c r="CN78" s="285"/>
      <c r="CO78" s="285"/>
      <c r="CP78" s="285"/>
      <c r="CQ78" s="285"/>
      <c r="CR78" s="285"/>
      <c r="CS78" s="285"/>
      <c r="CT78" s="285"/>
      <c r="CU78" s="285"/>
      <c r="CV78" s="285"/>
      <c r="CW78" s="285"/>
      <c r="CX78" s="285"/>
      <c r="CY78" s="285"/>
      <c r="CZ78" s="285"/>
      <c r="DA78" s="285"/>
      <c r="DB78" s="285"/>
      <c r="DC78" s="1551"/>
      <c r="DD78" s="1551"/>
      <c r="DE78" s="285"/>
      <c r="DF78" s="285"/>
      <c r="DG78" s="285"/>
      <c r="DH78" s="442" t="s">
        <v>2086</v>
      </c>
      <c r="DI78" s="285"/>
      <c r="DJ78" s="76">
        <f ca="1">IF(DJ$169=0,0,IFERROR(INDEX('2 Staff List'!$LO$64:$LO$114,DJ$21),0))</f>
        <v>91.289574999999999</v>
      </c>
      <c r="DK78" s="76">
        <f ca="1">IF(DK$169=0,0,IFERROR(INDEX('2 Staff List'!$LO$64:$LO$114,DK$21),0))</f>
        <v>45.579300000000003</v>
      </c>
      <c r="DL78" s="76">
        <f ca="1">IF(DL$169=0,0,IFERROR(INDEX('2 Staff List'!$LO$64:$LO$114,DL$21),0))</f>
        <v>91.289574999999999</v>
      </c>
      <c r="DM78" s="76">
        <f>IF(DM$169=0,0,IFERROR(INDEX('2 Staff List'!$LO$64:$LO$114,DM$21),0))</f>
        <v>44.405940594059409</v>
      </c>
      <c r="DN78" s="76">
        <f ca="1">IF(DN$169=0,0,IFERROR(INDEX('2 Staff List'!$LO$64:$LO$114,DN$21),0))</f>
        <v>62.676575000000007</v>
      </c>
      <c r="DO78" s="76">
        <f ca="1">IF(DO$169=0,0,IFERROR(INDEX('2 Staff List'!$LO$64:$LO$114,DO$21),0))</f>
        <v>91.289574999999999</v>
      </c>
      <c r="DP78" s="76">
        <f ca="1">IF(DP$169=0,0,IFERROR(INDEX('2 Staff List'!$LO$64:$LO$114,DP$21),0))</f>
        <v>80.710825</v>
      </c>
      <c r="DQ78" s="76">
        <f ca="1">IF(DQ$169=0,0,IFERROR(INDEX('2 Staff List'!$LO$64:$LO$114,DQ$21),0))</f>
        <v>52.964275000000001</v>
      </c>
      <c r="DR78" s="76">
        <f ca="1">IF(DR$169=0,0,IFERROR(INDEX('2 Staff List'!$LO$64:$LO$114,DR$21),0))</f>
        <v>47.241675000000001</v>
      </c>
      <c r="DS78" s="76">
        <f ca="1">IF(DS$169=0,0,IFERROR(INDEX('2 Staff List'!$LO$64:$LO$114,DS$21),0))</f>
        <v>47.241675000000001</v>
      </c>
      <c r="DT78" s="76">
        <f>IF(DT$169=0,0,IFERROR(INDEX('2 Staff List'!$LO$64:$LO$114,DT$21),0))</f>
        <v>0</v>
      </c>
      <c r="DU78" s="76">
        <f>IF(DU$169=0,0,IFERROR(INDEX('2 Staff List'!$LO$64:$LO$114,DU$21),0))</f>
        <v>0</v>
      </c>
      <c r="DV78" s="76">
        <f>IF(DV$169=0,0,IFERROR(INDEX('2 Staff List'!$LO$64:$LO$114,DV$21),0))</f>
        <v>0</v>
      </c>
      <c r="DW78" s="76">
        <f>IF(DW$169=0,0,IFERROR(INDEX('2 Staff List'!$LO$64:$LO$114,DW$21),0))</f>
        <v>0</v>
      </c>
      <c r="DX78" s="76">
        <f>IF(DX$169=0,0,IFERROR(INDEX('2 Staff List'!$LO$64:$LO$114,DX$21),0))</f>
        <v>0</v>
      </c>
      <c r="DY78" s="76">
        <f>IF(DY$169=0,0,IFERROR(INDEX('2 Staff List'!$LO$64:$LO$114,DY$21),0))</f>
        <v>0</v>
      </c>
      <c r="DZ78" s="76">
        <f>IF(DZ$169=0,0,IFERROR(INDEX('2 Staff List'!$LO$64:$LO$114,DZ$21),0))</f>
        <v>0</v>
      </c>
      <c r="EA78" s="76">
        <f>IF(EA$169=0,0,IFERROR(INDEX('2 Staff List'!$LO$64:$LO$114,EA$21),0))</f>
        <v>0</v>
      </c>
      <c r="EB78" s="76">
        <f>IF(EB$169=0,0,IFERROR(INDEX('2 Staff List'!$LO$64:$LO$114,EB$21),0))</f>
        <v>0</v>
      </c>
      <c r="EC78" s="76">
        <f>IF(EC$169=0,0,IFERROR(INDEX('2 Staff List'!$LO$64:$LO$114,EC$21),0))</f>
        <v>0</v>
      </c>
      <c r="ED78" s="76">
        <f>IF(ED$169=0,0,IFERROR(INDEX('2 Staff List'!$LO$64:$LO$114,ED$21),0))</f>
        <v>0</v>
      </c>
      <c r="EE78" s="76">
        <f>IF(EE$169=0,0,IFERROR(INDEX('2 Staff List'!$LO$64:$LO$114,EE$21),0))</f>
        <v>0</v>
      </c>
      <c r="EF78" s="76">
        <f>IF(EF$169=0,0,IFERROR(INDEX('2 Staff List'!$LO$64:$LO$114,EF$21),0))</f>
        <v>0</v>
      </c>
      <c r="EG78" s="76">
        <f>IF(EG$169=0,0,IFERROR(INDEX('2 Staff List'!$LO$64:$LO$114,EG$21),0))</f>
        <v>0</v>
      </c>
      <c r="EH78" s="76">
        <f>IF(EH$169=0,0,IFERROR(INDEX('2 Staff List'!$LO$64:$LO$114,EH$21),0))</f>
        <v>0</v>
      </c>
      <c r="EI78" s="76">
        <f>IF(EI$169=0,0,IFERROR(INDEX('2 Staff List'!$LO$64:$LO$114,EI$21),0))</f>
        <v>0</v>
      </c>
      <c r="EJ78" s="76">
        <f>IF(EJ$169=0,0,IFERROR(INDEX('2 Staff List'!$LO$64:$LO$114,EJ$21),0))</f>
        <v>0</v>
      </c>
      <c r="EK78" s="76">
        <f>IF(EK$169=0,0,IFERROR(INDEX('2 Staff List'!$LO$64:$LO$114,EK$21),0))</f>
        <v>0</v>
      </c>
      <c r="EL78" s="76">
        <f>IF(EL$169=0,0,IFERROR(INDEX('2 Staff List'!$LO$64:$LO$114,EL$21),0))</f>
        <v>0</v>
      </c>
      <c r="EM78" s="76">
        <f>IF(EM$169=0,0,IFERROR(INDEX('2 Staff List'!$LO$64:$LO$114,EM$21),0))</f>
        <v>0</v>
      </c>
      <c r="EN78" s="76">
        <f>IF(EN$169=0,0,IFERROR(INDEX('2 Staff List'!$LO$64:$LO$114,EN$21),0))</f>
        <v>0</v>
      </c>
      <c r="EO78" s="76">
        <f>IF(EO$169=0,0,IFERROR(INDEX('2 Staff List'!$LO$64:$LO$114,EO$21),0))</f>
        <v>0</v>
      </c>
      <c r="EP78" s="76">
        <f>IF(EP$169=0,0,IFERROR(INDEX('2 Staff List'!$LO$64:$LO$114,EP$21),0))</f>
        <v>0</v>
      </c>
      <c r="EQ78" s="76">
        <f>IF(EQ$169=0,0,IFERROR(INDEX('2 Staff List'!$LO$64:$LO$114,EQ$21),0))</f>
        <v>0</v>
      </c>
      <c r="ER78" s="76">
        <f>IF(ER$169=0,0,IFERROR(INDEX('2 Staff List'!$LO$64:$LO$114,ER$21),0))</f>
        <v>0</v>
      </c>
      <c r="ES78" s="76">
        <f>IF(ES$169=0,0,IFERROR(INDEX('2 Staff List'!$LO$64:$LO$114,ES$21),0))</f>
        <v>0</v>
      </c>
      <c r="ET78" s="76">
        <f>IF(ET$169=0,0,IFERROR(INDEX('2 Staff List'!$LO$64:$LO$114,ET$21),0))</f>
        <v>0</v>
      </c>
      <c r="EU78" s="76">
        <f>IF(EU$169=0,0,IFERROR(INDEX('2 Staff List'!$LO$64:$LO$114,EU$21),0))</f>
        <v>0</v>
      </c>
      <c r="EV78" s="76">
        <f>IF(EV$169=0,0,IFERROR(INDEX('2 Staff List'!$LO$64:$LO$114,EV$21),0))</f>
        <v>0</v>
      </c>
      <c r="EW78" s="76">
        <f>IF(EW$169=0,0,IFERROR(INDEX('2 Staff List'!$LO$64:$LO$114,EW$21),0))</f>
        <v>0</v>
      </c>
      <c r="EX78" s="76">
        <f>IF(EX$169=0,0,IFERROR(INDEX('2 Staff List'!$LO$64:$LO$114,EX$21),0))</f>
        <v>0</v>
      </c>
      <c r="EY78" s="76">
        <f>IF(EY$169=0,0,IFERROR(INDEX('2 Staff List'!$LO$64:$LO$114,EY$21),0))</f>
        <v>0</v>
      </c>
      <c r="EZ78" s="76">
        <f>IF(EZ$169=0,0,IFERROR(INDEX('2 Staff List'!$LO$64:$LO$114,EZ$21),0))</f>
        <v>0</v>
      </c>
      <c r="FA78" s="76">
        <f>IF(FA$169=0,0,IFERROR(INDEX('2 Staff List'!$LO$64:$LO$114,FA$21),0))</f>
        <v>0</v>
      </c>
      <c r="FB78" s="76">
        <f>IF(FB$169=0,0,IFERROR(INDEX('2 Staff List'!$LO$64:$LO$114,FB$21),0))</f>
        <v>0</v>
      </c>
      <c r="FC78" s="76">
        <f>IF(FC$169=0,0,IFERROR(INDEX('2 Staff List'!$LO$64:$LO$114,FC$21),0))</f>
        <v>0</v>
      </c>
      <c r="FD78" s="76">
        <f>IF(FD$169=0,0,IFERROR(INDEX('2 Staff List'!$LO$64:$LO$114,FD$21),0))</f>
        <v>0</v>
      </c>
      <c r="FE78" s="76">
        <f>IF(FE$169=0,0,IFERROR(INDEX('2 Staff List'!$LO$64:$LO$114,FE$21),0))</f>
        <v>0</v>
      </c>
      <c r="FF78" s="76">
        <f>IF(FF$169=0,0,IFERROR(INDEX('2 Staff List'!$LO$64:$LO$114,FF$21),0))</f>
        <v>0</v>
      </c>
      <c r="FG78" s="76">
        <f>IF(FG$169=0,0,IFERROR(INDEX('2 Staff List'!$LO$64:$LO$114,FG$21),0))</f>
        <v>0</v>
      </c>
      <c r="FH78" s="921"/>
      <c r="FI78" s="305"/>
      <c r="FJ78" s="307"/>
      <c r="FK78" s="307"/>
      <c r="FL78" s="285"/>
      <c r="FM78" s="285"/>
      <c r="FN78" s="285"/>
      <c r="FO78" s="285"/>
      <c r="FP78" s="285"/>
      <c r="FQ78" s="285"/>
      <c r="FR78" s="285"/>
      <c r="FS78" s="285"/>
      <c r="FT78" s="285"/>
      <c r="FU78" s="285"/>
      <c r="FV78" s="285"/>
      <c r="FW78" s="285"/>
      <c r="FX78" s="285"/>
      <c r="FY78" s="285"/>
      <c r="FZ78" s="285"/>
      <c r="GA78" s="285"/>
      <c r="GB78" s="285"/>
      <c r="GC78" s="285"/>
      <c r="GD78" s="285"/>
      <c r="GE78" s="285"/>
      <c r="GF78" s="285"/>
      <c r="GG78" s="285"/>
      <c r="GH78" s="285"/>
      <c r="GI78" s="285"/>
      <c r="GJ78" s="285"/>
      <c r="GK78" s="285"/>
      <c r="GL78" s="285"/>
      <c r="GM78" s="285"/>
      <c r="GN78" s="285"/>
      <c r="GO78" s="285"/>
      <c r="GP78" s="285"/>
      <c r="GQ78" s="285"/>
      <c r="GR78" s="285"/>
      <c r="GS78" s="285"/>
      <c r="GT78" s="285"/>
      <c r="GU78" s="285"/>
      <c r="GV78" s="285"/>
      <c r="GW78" s="285"/>
      <c r="GX78" s="285"/>
      <c r="GY78" s="285"/>
      <c r="GZ78" s="285"/>
      <c r="HA78" s="285"/>
      <c r="HB78" s="285"/>
      <c r="HC78" s="285"/>
      <c r="HD78" s="285"/>
      <c r="HE78" s="285"/>
      <c r="HF78" s="285"/>
      <c r="HG78" s="285"/>
      <c r="HH78" s="285"/>
      <c r="HI78" s="285"/>
      <c r="HJ78" s="285"/>
      <c r="HK78" s="285"/>
      <c r="HL78" s="285"/>
      <c r="HM78" s="285"/>
      <c r="HN78" s="285"/>
      <c r="HO78" s="285"/>
      <c r="HP78" s="285"/>
      <c r="HQ78" s="285"/>
      <c r="HR78" s="285"/>
      <c r="HS78" s="285"/>
      <c r="HT78" s="285"/>
      <c r="HU78" s="285"/>
      <c r="HV78" s="285"/>
      <c r="HW78" s="285"/>
      <c r="HX78" s="285"/>
      <c r="HY78" s="285"/>
      <c r="HZ78" s="285"/>
      <c r="IA78" s="285"/>
      <c r="IB78" s="285"/>
      <c r="IC78" s="285"/>
      <c r="ID78" s="285"/>
      <c r="IE78" s="285"/>
      <c r="IF78" s="285"/>
      <c r="IG78" s="285"/>
      <c r="IH78" s="285"/>
      <c r="II78" s="285"/>
      <c r="IJ78" s="285"/>
      <c r="IK78" s="285"/>
      <c r="IL78" s="285"/>
      <c r="IM78" s="285"/>
      <c r="IN78" s="285"/>
      <c r="IO78" s="285"/>
      <c r="IP78" s="285"/>
      <c r="IQ78" s="285"/>
      <c r="IR78" s="285"/>
      <c r="IS78" s="285"/>
      <c r="IT78" s="285"/>
      <c r="IU78" s="285"/>
      <c r="IV78" s="285"/>
      <c r="IW78" s="285"/>
      <c r="IX78" s="285"/>
      <c r="IY78" s="285"/>
      <c r="IZ78" s="285"/>
      <c r="JA78" s="285"/>
      <c r="JB78" s="285"/>
      <c r="JC78" s="285"/>
      <c r="JD78" s="285"/>
      <c r="JE78" s="285"/>
      <c r="JF78" s="285"/>
      <c r="JG78" s="285"/>
      <c r="JH78" s="285"/>
      <c r="JI78" s="285"/>
      <c r="JJ78" s="285"/>
      <c r="JK78" s="285"/>
      <c r="JL78" s="285"/>
      <c r="JM78" s="285"/>
      <c r="JN78" s="285"/>
      <c r="JO78" s="285"/>
      <c r="JP78" s="285"/>
      <c r="JQ78" s="285"/>
      <c r="JR78" s="285"/>
      <c r="JS78" s="285"/>
      <c r="JT78" s="285"/>
      <c r="JU78" s="285"/>
      <c r="JV78" s="285"/>
      <c r="JW78" s="285"/>
      <c r="JX78" s="285"/>
      <c r="JY78" s="285"/>
      <c r="JZ78" s="285"/>
      <c r="KA78" s="285"/>
      <c r="KB78" s="285"/>
      <c r="KC78" s="285"/>
      <c r="KD78" s="285"/>
      <c r="KE78" s="285"/>
      <c r="KF78" s="285"/>
      <c r="KG78" s="285"/>
      <c r="KH78" s="285"/>
      <c r="KI78" s="285"/>
      <c r="KJ78" s="285"/>
      <c r="KK78" s="285"/>
      <c r="KL78" s="285"/>
      <c r="KM78" s="285"/>
      <c r="KN78" s="285"/>
      <c r="KO78" s="285"/>
      <c r="KP78" s="285"/>
      <c r="KQ78" s="285"/>
      <c r="KR78" s="285"/>
      <c r="KS78" s="285"/>
      <c r="KT78" s="285"/>
      <c r="KU78" s="285"/>
      <c r="KV78" s="285"/>
      <c r="KW78" s="285"/>
      <c r="KX78" s="285"/>
      <c r="KY78" s="285"/>
      <c r="KZ78" s="285"/>
      <c r="LA78" s="285"/>
      <c r="LB78" s="285"/>
      <c r="LC78" s="285"/>
      <c r="LD78" s="285"/>
      <c r="LE78" s="285"/>
      <c r="LF78" s="285"/>
      <c r="LG78" s="285"/>
      <c r="LH78" s="285"/>
      <c r="LI78" s="285"/>
      <c r="LJ78" s="285"/>
      <c r="LK78" s="285"/>
      <c r="LL78" s="285"/>
      <c r="LM78" s="285"/>
      <c r="LN78" s="285"/>
      <c r="LO78" s="285"/>
      <c r="LP78" s="285"/>
    </row>
    <row r="79" spans="1:328" ht="12.75" hidden="1" customHeight="1" x14ac:dyDescent="0.3">
      <c r="A79" s="285"/>
      <c r="B79" s="285"/>
      <c r="C79" s="286"/>
      <c r="D79" s="295"/>
      <c r="E79" s="285"/>
      <c r="F79" s="285"/>
      <c r="G79" s="285"/>
      <c r="H79" s="285"/>
      <c r="I79" s="285"/>
      <c r="J79" s="285"/>
      <c r="K79" s="285"/>
      <c r="L79" s="285"/>
      <c r="M79" s="287"/>
      <c r="N79" s="287"/>
      <c r="O79" s="287"/>
      <c r="P79" s="287"/>
      <c r="Q79" s="287"/>
      <c r="R79" s="287"/>
      <c r="S79" s="285"/>
      <c r="T79" s="285"/>
      <c r="U79" s="285"/>
      <c r="V79" s="285"/>
      <c r="W79" s="285"/>
      <c r="X79" s="285"/>
      <c r="Y79" s="285"/>
      <c r="Z79" s="285"/>
      <c r="AA79" s="285"/>
      <c r="AB79" s="285"/>
      <c r="AC79" s="285"/>
      <c r="AD79" s="285"/>
      <c r="AE79" s="285"/>
      <c r="AF79" s="285"/>
      <c r="AG79" s="285"/>
      <c r="AH79" s="2513"/>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c r="BJ79" s="285"/>
      <c r="BK79" s="285"/>
      <c r="BL79" s="285"/>
      <c r="BM79" s="285"/>
      <c r="BN79" s="285"/>
      <c r="BO79" s="285"/>
      <c r="BP79" s="285"/>
      <c r="BQ79" s="285"/>
      <c r="BR79" s="285"/>
      <c r="BS79" s="285"/>
      <c r="BT79" s="285"/>
      <c r="BU79" s="285"/>
      <c r="BV79" s="285"/>
      <c r="BW79" s="285"/>
      <c r="BX79" s="285"/>
      <c r="BY79" s="285"/>
      <c r="BZ79" s="285"/>
      <c r="CA79" s="285"/>
      <c r="CB79" s="285"/>
      <c r="CC79" s="285"/>
      <c r="CD79" s="285"/>
      <c r="CE79" s="285"/>
      <c r="CF79" s="285"/>
      <c r="CG79" s="285"/>
      <c r="CH79" s="285"/>
      <c r="CI79" s="285"/>
      <c r="CJ79" s="285"/>
      <c r="CK79" s="285"/>
      <c r="CL79" s="285"/>
      <c r="CM79" s="285"/>
      <c r="CN79" s="285"/>
      <c r="CO79" s="285"/>
      <c r="CP79" s="285"/>
      <c r="CQ79" s="285"/>
      <c r="CR79" s="285"/>
      <c r="CS79" s="285"/>
      <c r="CT79" s="285"/>
      <c r="CU79" s="285"/>
      <c r="CV79" s="285"/>
      <c r="CW79" s="285"/>
      <c r="CX79" s="285"/>
      <c r="CY79" s="285"/>
      <c r="CZ79" s="285"/>
      <c r="DA79" s="285"/>
      <c r="DB79" s="285"/>
      <c r="DC79" s="285"/>
      <c r="DD79" s="285"/>
      <c r="DE79" s="285"/>
      <c r="DF79" s="285"/>
      <c r="DG79" s="285"/>
      <c r="DH79" s="442" t="s">
        <v>2087</v>
      </c>
      <c r="DI79" s="285"/>
      <c r="DJ79" s="76">
        <f ca="1">IF(DJ$169=0,0,IFERROR(INDEX('2 Staff List'!$LP$64:$LP$114,DJ$21),0))</f>
        <v>91.289574999999999</v>
      </c>
      <c r="DK79" s="76">
        <f ca="1">IF(DK$169=0,0,IFERROR(INDEX('2 Staff List'!$LP$64:$LP$114,DK$21),0))</f>
        <v>45.579300000000003</v>
      </c>
      <c r="DL79" s="76">
        <f ca="1">IF(DL$169=0,0,IFERROR(INDEX('2 Staff List'!$LP$64:$LP$114,DL$21),0))</f>
        <v>91.289574999999999</v>
      </c>
      <c r="DM79" s="76">
        <f>IF(DM$169=0,0,IFERROR(INDEX('2 Staff List'!$LP$64:$LP$114,DM$21),0))</f>
        <v>44.405940594059409</v>
      </c>
      <c r="DN79" s="76">
        <f ca="1">IF(DN$169=0,0,IFERROR(INDEX('2 Staff List'!$LP$64:$LP$114,DN$21),0))</f>
        <v>62.676575000000007</v>
      </c>
      <c r="DO79" s="76">
        <f ca="1">IF(DO$169=0,0,IFERROR(INDEX('2 Staff List'!$LP$64:$LP$114,DO$21),0))</f>
        <v>91.289574999999999</v>
      </c>
      <c r="DP79" s="76">
        <f ca="1">IF(DP$169=0,0,IFERROR(INDEX('2 Staff List'!$LP$64:$LP$114,DP$21),0))</f>
        <v>80.710825</v>
      </c>
      <c r="DQ79" s="76">
        <f ca="1">IF(DQ$169=0,0,IFERROR(INDEX('2 Staff List'!$LP$64:$LP$114,DQ$21),0))</f>
        <v>52.964275000000001</v>
      </c>
      <c r="DR79" s="76">
        <f ca="1">IF(DR$169=0,0,IFERROR(INDEX('2 Staff List'!$LP$64:$LP$114,DR$21),0))</f>
        <v>47.241675000000001</v>
      </c>
      <c r="DS79" s="76">
        <f ca="1">IF(DS$169=0,0,IFERROR(INDEX('2 Staff List'!$LP$64:$LP$114,DS$21),0))</f>
        <v>47.241675000000001</v>
      </c>
      <c r="DT79" s="76">
        <f>IF(DT$169=0,0,IFERROR(INDEX('2 Staff List'!$LP$64:$LP$114,DT$21),0))</f>
        <v>0</v>
      </c>
      <c r="DU79" s="76">
        <f>IF(DU$169=0,0,IFERROR(INDEX('2 Staff List'!$LP$64:$LP$114,DU$21),0))</f>
        <v>0</v>
      </c>
      <c r="DV79" s="76">
        <f>IF(DV$169=0,0,IFERROR(INDEX('2 Staff List'!$LP$64:$LP$114,DV$21),0))</f>
        <v>0</v>
      </c>
      <c r="DW79" s="76">
        <f>IF(DW$169=0,0,IFERROR(INDEX('2 Staff List'!$LP$64:$LP$114,DW$21),0))</f>
        <v>0</v>
      </c>
      <c r="DX79" s="76">
        <f>IF(DX$169=0,0,IFERROR(INDEX('2 Staff List'!$LP$64:$LP$114,DX$21),0))</f>
        <v>0</v>
      </c>
      <c r="DY79" s="76">
        <f>IF(DY$169=0,0,IFERROR(INDEX('2 Staff List'!$LP$64:$LP$114,DY$21),0))</f>
        <v>0</v>
      </c>
      <c r="DZ79" s="76">
        <f>IF(DZ$169=0,0,IFERROR(INDEX('2 Staff List'!$LP$64:$LP$114,DZ$21),0))</f>
        <v>0</v>
      </c>
      <c r="EA79" s="76">
        <f>IF(EA$169=0,0,IFERROR(INDEX('2 Staff List'!$LP$64:$LP$114,EA$21),0))</f>
        <v>0</v>
      </c>
      <c r="EB79" s="76">
        <f>IF(EB$169=0,0,IFERROR(INDEX('2 Staff List'!$LP$64:$LP$114,EB$21),0))</f>
        <v>0</v>
      </c>
      <c r="EC79" s="76">
        <f>IF(EC$169=0,0,IFERROR(INDEX('2 Staff List'!$LP$64:$LP$114,EC$21),0))</f>
        <v>0</v>
      </c>
      <c r="ED79" s="76">
        <f>IF(ED$169=0,0,IFERROR(INDEX('2 Staff List'!$LP$64:$LP$114,ED$21),0))</f>
        <v>0</v>
      </c>
      <c r="EE79" s="76">
        <f>IF(EE$169=0,0,IFERROR(INDEX('2 Staff List'!$LP$64:$LP$114,EE$21),0))</f>
        <v>0</v>
      </c>
      <c r="EF79" s="76">
        <f>IF(EF$169=0,0,IFERROR(INDEX('2 Staff List'!$LP$64:$LP$114,EF$21),0))</f>
        <v>0</v>
      </c>
      <c r="EG79" s="76">
        <f>IF(EG$169=0,0,IFERROR(INDEX('2 Staff List'!$LP$64:$LP$114,EG$21),0))</f>
        <v>0</v>
      </c>
      <c r="EH79" s="76">
        <f>IF(EH$169=0,0,IFERROR(INDEX('2 Staff List'!$LP$64:$LP$114,EH$21),0))</f>
        <v>0</v>
      </c>
      <c r="EI79" s="76">
        <f>IF(EI$169=0,0,IFERROR(INDEX('2 Staff List'!$LP$64:$LP$114,EI$21),0))</f>
        <v>0</v>
      </c>
      <c r="EJ79" s="76">
        <f>IF(EJ$169=0,0,IFERROR(INDEX('2 Staff List'!$LP$64:$LP$114,EJ$21),0))</f>
        <v>0</v>
      </c>
      <c r="EK79" s="76">
        <f>IF(EK$169=0,0,IFERROR(INDEX('2 Staff List'!$LP$64:$LP$114,EK$21),0))</f>
        <v>0</v>
      </c>
      <c r="EL79" s="76">
        <f>IF(EL$169=0,0,IFERROR(INDEX('2 Staff List'!$LP$64:$LP$114,EL$21),0))</f>
        <v>0</v>
      </c>
      <c r="EM79" s="76">
        <f>IF(EM$169=0,0,IFERROR(INDEX('2 Staff List'!$LP$64:$LP$114,EM$21),0))</f>
        <v>0</v>
      </c>
      <c r="EN79" s="76">
        <f>IF(EN$169=0,0,IFERROR(INDEX('2 Staff List'!$LP$64:$LP$114,EN$21),0))</f>
        <v>0</v>
      </c>
      <c r="EO79" s="76">
        <f>IF(EO$169=0,0,IFERROR(INDEX('2 Staff List'!$LP$64:$LP$114,EO$21),0))</f>
        <v>0</v>
      </c>
      <c r="EP79" s="76">
        <f>IF(EP$169=0,0,IFERROR(INDEX('2 Staff List'!$LP$64:$LP$114,EP$21),0))</f>
        <v>0</v>
      </c>
      <c r="EQ79" s="76">
        <f>IF(EQ$169=0,0,IFERROR(INDEX('2 Staff List'!$LP$64:$LP$114,EQ$21),0))</f>
        <v>0</v>
      </c>
      <c r="ER79" s="76">
        <f>IF(ER$169=0,0,IFERROR(INDEX('2 Staff List'!$LP$64:$LP$114,ER$21),0))</f>
        <v>0</v>
      </c>
      <c r="ES79" s="76">
        <f>IF(ES$169=0,0,IFERROR(INDEX('2 Staff List'!$LP$64:$LP$114,ES$21),0))</f>
        <v>0</v>
      </c>
      <c r="ET79" s="76">
        <f>IF(ET$169=0,0,IFERROR(INDEX('2 Staff List'!$LP$64:$LP$114,ET$21),0))</f>
        <v>0</v>
      </c>
      <c r="EU79" s="76">
        <f>IF(EU$169=0,0,IFERROR(INDEX('2 Staff List'!$LP$64:$LP$114,EU$21),0))</f>
        <v>0</v>
      </c>
      <c r="EV79" s="76">
        <f>IF(EV$169=0,0,IFERROR(INDEX('2 Staff List'!$LP$64:$LP$114,EV$21),0))</f>
        <v>0</v>
      </c>
      <c r="EW79" s="76">
        <f>IF(EW$169=0,0,IFERROR(INDEX('2 Staff List'!$LP$64:$LP$114,EW$21),0))</f>
        <v>0</v>
      </c>
      <c r="EX79" s="76">
        <f>IF(EX$169=0,0,IFERROR(INDEX('2 Staff List'!$LP$64:$LP$114,EX$21),0))</f>
        <v>0</v>
      </c>
      <c r="EY79" s="76">
        <f>IF(EY$169=0,0,IFERROR(INDEX('2 Staff List'!$LP$64:$LP$114,EY$21),0))</f>
        <v>0</v>
      </c>
      <c r="EZ79" s="76">
        <f>IF(EZ$169=0,0,IFERROR(INDEX('2 Staff List'!$LP$64:$LP$114,EZ$21),0))</f>
        <v>0</v>
      </c>
      <c r="FA79" s="76">
        <f>IF(FA$169=0,0,IFERROR(INDEX('2 Staff List'!$LP$64:$LP$114,FA$21),0))</f>
        <v>0</v>
      </c>
      <c r="FB79" s="76">
        <f>IF(FB$169=0,0,IFERROR(INDEX('2 Staff List'!$LP$64:$LP$114,FB$21),0))</f>
        <v>0</v>
      </c>
      <c r="FC79" s="76">
        <f>IF(FC$169=0,0,IFERROR(INDEX('2 Staff List'!$LP$64:$LP$114,FC$21),0))</f>
        <v>0</v>
      </c>
      <c r="FD79" s="76">
        <f>IF(FD$169=0,0,IFERROR(INDEX('2 Staff List'!$LP$64:$LP$114,FD$21),0))</f>
        <v>0</v>
      </c>
      <c r="FE79" s="76">
        <f>IF(FE$169=0,0,IFERROR(INDEX('2 Staff List'!$LP$64:$LP$114,FE$21),0))</f>
        <v>0</v>
      </c>
      <c r="FF79" s="76">
        <f>IF(FF$169=0,0,IFERROR(INDEX('2 Staff List'!$LP$64:$LP$114,FF$21),0))</f>
        <v>0</v>
      </c>
      <c r="FG79" s="76">
        <f>IF(FG$169=0,0,IFERROR(INDEX('2 Staff List'!$LP$64:$LP$114,FG$21),0))</f>
        <v>0</v>
      </c>
      <c r="FH79" s="922"/>
      <c r="FI79" s="305"/>
      <c r="FJ79" s="307"/>
      <c r="FK79" s="307"/>
      <c r="FL79" s="285"/>
      <c r="FM79" s="285"/>
      <c r="FN79" s="285"/>
      <c r="FO79" s="285"/>
      <c r="FP79" s="285"/>
      <c r="FQ79" s="285"/>
      <c r="FR79" s="285"/>
      <c r="FS79" s="285"/>
      <c r="FT79" s="285"/>
      <c r="FU79" s="285"/>
      <c r="FV79" s="285"/>
      <c r="FW79" s="285"/>
      <c r="FX79" s="285"/>
      <c r="FY79" s="285"/>
      <c r="FZ79" s="285"/>
      <c r="GA79" s="285"/>
      <c r="GB79" s="285"/>
      <c r="GC79" s="285"/>
      <c r="GD79" s="285"/>
      <c r="GE79" s="285"/>
      <c r="GF79" s="285"/>
      <c r="GG79" s="285"/>
      <c r="GH79" s="285"/>
      <c r="GI79" s="285"/>
      <c r="GJ79" s="285"/>
      <c r="GK79" s="285"/>
      <c r="GL79" s="285"/>
      <c r="GM79" s="285"/>
      <c r="GN79" s="285"/>
      <c r="GO79" s="285"/>
      <c r="GP79" s="285"/>
      <c r="GQ79" s="285"/>
      <c r="GR79" s="285"/>
      <c r="GS79" s="285"/>
      <c r="GT79" s="285"/>
      <c r="GU79" s="285"/>
      <c r="GV79" s="285"/>
      <c r="GW79" s="285"/>
      <c r="GX79" s="285"/>
      <c r="GY79" s="285"/>
      <c r="GZ79" s="285"/>
      <c r="HA79" s="285"/>
      <c r="HB79" s="285"/>
      <c r="HC79" s="285"/>
      <c r="HD79" s="285"/>
      <c r="HE79" s="285"/>
      <c r="HF79" s="285"/>
      <c r="HG79" s="285"/>
      <c r="HH79" s="285"/>
      <c r="HI79" s="285"/>
      <c r="HJ79" s="285"/>
      <c r="HK79" s="285"/>
      <c r="HL79" s="285"/>
      <c r="HM79" s="285"/>
      <c r="HN79" s="285"/>
      <c r="HO79" s="285"/>
      <c r="HP79" s="285"/>
      <c r="HQ79" s="285"/>
      <c r="HR79" s="285"/>
      <c r="HS79" s="285"/>
      <c r="HT79" s="285"/>
      <c r="HU79" s="285"/>
      <c r="HV79" s="285"/>
      <c r="HW79" s="285"/>
      <c r="HX79" s="285"/>
      <c r="HY79" s="285"/>
      <c r="HZ79" s="285"/>
      <c r="IA79" s="285"/>
      <c r="IB79" s="285"/>
      <c r="IC79" s="285"/>
      <c r="ID79" s="285"/>
      <c r="IE79" s="285"/>
      <c r="IF79" s="285"/>
      <c r="IG79" s="285"/>
      <c r="IH79" s="285"/>
      <c r="II79" s="285"/>
      <c r="IJ79" s="285"/>
      <c r="IK79" s="285"/>
      <c r="IL79" s="285"/>
      <c r="IM79" s="285"/>
      <c r="IN79" s="285"/>
      <c r="IO79" s="285"/>
      <c r="IP79" s="285"/>
      <c r="IQ79" s="285"/>
      <c r="IR79" s="285"/>
      <c r="IS79" s="285"/>
      <c r="IT79" s="285"/>
      <c r="IU79" s="285"/>
      <c r="IV79" s="285"/>
      <c r="IW79" s="285"/>
      <c r="IX79" s="285"/>
      <c r="IY79" s="285"/>
      <c r="IZ79" s="285"/>
      <c r="JA79" s="285"/>
      <c r="JB79" s="285"/>
      <c r="JC79" s="285"/>
      <c r="JD79" s="285"/>
      <c r="JE79" s="285"/>
      <c r="JF79" s="285"/>
      <c r="JG79" s="285"/>
      <c r="JH79" s="285"/>
      <c r="JI79" s="285"/>
      <c r="JJ79" s="285"/>
      <c r="JK79" s="285"/>
      <c r="JL79" s="285"/>
      <c r="JM79" s="285"/>
      <c r="JN79" s="285"/>
      <c r="JO79" s="285"/>
      <c r="JP79" s="285"/>
      <c r="JQ79" s="285"/>
      <c r="JR79" s="285"/>
      <c r="JS79" s="285"/>
      <c r="JT79" s="285"/>
      <c r="JU79" s="285"/>
      <c r="JV79" s="285"/>
      <c r="JW79" s="285"/>
      <c r="JX79" s="285"/>
      <c r="JY79" s="285"/>
      <c r="JZ79" s="285"/>
      <c r="KA79" s="285"/>
      <c r="KB79" s="285"/>
      <c r="KC79" s="285"/>
      <c r="KD79" s="285"/>
      <c r="KE79" s="285"/>
      <c r="KF79" s="285"/>
      <c r="KG79" s="285"/>
      <c r="KH79" s="285"/>
      <c r="KI79" s="285"/>
      <c r="KJ79" s="285"/>
      <c r="KK79" s="285"/>
      <c r="KL79" s="285"/>
      <c r="KM79" s="285"/>
      <c r="KN79" s="285"/>
      <c r="KO79" s="285"/>
      <c r="KP79" s="285"/>
      <c r="KQ79" s="285"/>
      <c r="KR79" s="285"/>
      <c r="KS79" s="285"/>
      <c r="KT79" s="285"/>
      <c r="KU79" s="285"/>
      <c r="KV79" s="285"/>
      <c r="KW79" s="285"/>
      <c r="KX79" s="285"/>
      <c r="KY79" s="285"/>
      <c r="KZ79" s="285"/>
      <c r="LA79" s="285"/>
      <c r="LB79" s="285"/>
      <c r="LC79" s="285"/>
      <c r="LD79" s="285"/>
      <c r="LE79" s="285"/>
      <c r="LF79" s="285"/>
      <c r="LG79" s="285"/>
      <c r="LH79" s="285"/>
      <c r="LI79" s="285"/>
      <c r="LJ79" s="285"/>
      <c r="LK79" s="285"/>
      <c r="LL79" s="285"/>
      <c r="LM79" s="285"/>
      <c r="LN79" s="285"/>
      <c r="LO79" s="285"/>
      <c r="LP79" s="285"/>
    </row>
    <row r="80" spans="1:328" ht="12.75" hidden="1" customHeight="1" x14ac:dyDescent="0.3">
      <c r="A80" s="285"/>
      <c r="B80" s="285"/>
      <c r="C80" s="286"/>
      <c r="D80" s="295"/>
      <c r="E80" s="285"/>
      <c r="F80" s="285"/>
      <c r="G80" s="285"/>
      <c r="H80" s="285"/>
      <c r="I80" s="285"/>
      <c r="J80" s="285"/>
      <c r="K80" s="285"/>
      <c r="L80" s="285"/>
      <c r="M80" s="287"/>
      <c r="N80" s="287"/>
      <c r="O80" s="287"/>
      <c r="P80" s="287"/>
      <c r="Q80" s="287"/>
      <c r="R80" s="287"/>
      <c r="S80" s="285"/>
      <c r="T80" s="285"/>
      <c r="U80" s="285"/>
      <c r="V80" s="285"/>
      <c r="W80" s="285"/>
      <c r="X80" s="285"/>
      <c r="Y80" s="285"/>
      <c r="Z80" s="285"/>
      <c r="AA80" s="285"/>
      <c r="AB80" s="285"/>
      <c r="AC80" s="285"/>
      <c r="AD80" s="285"/>
      <c r="AE80" s="285"/>
      <c r="AF80" s="285"/>
      <c r="AG80" s="285"/>
      <c r="AH80" s="2513"/>
      <c r="AI80" s="285"/>
      <c r="AJ80" s="285"/>
      <c r="AK80" s="285"/>
      <c r="AL80" s="285"/>
      <c r="AM80" s="285"/>
      <c r="AN80" s="285"/>
      <c r="AO80" s="285"/>
      <c r="AP80" s="285"/>
      <c r="AQ80" s="285"/>
      <c r="AR80" s="285"/>
      <c r="AS80" s="285"/>
      <c r="AT80" s="285"/>
      <c r="AU80" s="285"/>
      <c r="AV80" s="285"/>
      <c r="AW80" s="285"/>
      <c r="AX80" s="285"/>
      <c r="AY80" s="285"/>
      <c r="AZ80" s="285"/>
      <c r="BA80" s="285"/>
      <c r="BB80" s="285"/>
      <c r="BC80" s="285"/>
      <c r="BD80" s="285"/>
      <c r="BE80" s="285"/>
      <c r="BF80" s="285"/>
      <c r="BG80" s="285"/>
      <c r="BH80" s="285"/>
      <c r="BI80" s="285"/>
      <c r="BJ80" s="285"/>
      <c r="BK80" s="285"/>
      <c r="BL80" s="285"/>
      <c r="BM80" s="285"/>
      <c r="BN80" s="285"/>
      <c r="BO80" s="285"/>
      <c r="BP80" s="285"/>
      <c r="BQ80" s="285"/>
      <c r="BR80" s="285"/>
      <c r="BS80" s="285"/>
      <c r="BT80" s="285"/>
      <c r="BU80" s="285"/>
      <c r="BV80" s="285"/>
      <c r="BW80" s="285"/>
      <c r="BX80" s="285"/>
      <c r="BY80" s="285"/>
      <c r="BZ80" s="285"/>
      <c r="CA80" s="285"/>
      <c r="CB80" s="285"/>
      <c r="CC80" s="285"/>
      <c r="CD80" s="285"/>
      <c r="CE80" s="285"/>
      <c r="CF80" s="285"/>
      <c r="CG80" s="285"/>
      <c r="CH80" s="285"/>
      <c r="CI80" s="285"/>
      <c r="CJ80" s="285"/>
      <c r="CK80" s="285"/>
      <c r="CL80" s="285"/>
      <c r="CM80" s="285"/>
      <c r="CN80" s="285"/>
      <c r="CO80" s="285"/>
      <c r="CP80" s="285"/>
      <c r="CQ80" s="285"/>
      <c r="CR80" s="285"/>
      <c r="CS80" s="285"/>
      <c r="CT80" s="285"/>
      <c r="CU80" s="285"/>
      <c r="CV80" s="285"/>
      <c r="CW80" s="285"/>
      <c r="CX80" s="285"/>
      <c r="CY80" s="285"/>
      <c r="CZ80" s="285"/>
      <c r="DA80" s="285"/>
      <c r="DB80" s="285"/>
      <c r="DC80" s="285"/>
      <c r="DD80" s="285"/>
      <c r="DE80" s="285"/>
      <c r="DF80" s="285"/>
      <c r="DG80" s="285"/>
      <c r="DH80" s="442" t="s">
        <v>2088</v>
      </c>
      <c r="DI80" s="285"/>
      <c r="DJ80" s="76">
        <f ca="1">IF(DJ$169=0,0,IFERROR(INDEX('2 Staff List'!$LQ$64:$LQ$114,DJ$21),0))</f>
        <v>91.289574999999999</v>
      </c>
      <c r="DK80" s="76">
        <f ca="1">IF(DK$169=0,0,IFERROR(INDEX('2 Staff List'!$LQ$64:$LQ$114,DK$21),0))</f>
        <v>45.579300000000003</v>
      </c>
      <c r="DL80" s="76">
        <f ca="1">IF(DL$169=0,0,IFERROR(INDEX('2 Staff List'!$LQ$64:$LQ$114,DL$21),0))</f>
        <v>91.289574999999999</v>
      </c>
      <c r="DM80" s="76">
        <f>IF(DM$169=0,0,IFERROR(INDEX('2 Staff List'!$LQ$64:$LQ$114,DM$21),0))</f>
        <v>44.405940594059409</v>
      </c>
      <c r="DN80" s="76">
        <f ca="1">IF(DN$169=0,0,IFERROR(INDEX('2 Staff List'!$LQ$64:$LQ$114,DN$21),0))</f>
        <v>62.676575000000007</v>
      </c>
      <c r="DO80" s="76">
        <f ca="1">IF(DO$169=0,0,IFERROR(INDEX('2 Staff List'!$LQ$64:$LQ$114,DO$21),0))</f>
        <v>91.289574999999999</v>
      </c>
      <c r="DP80" s="76">
        <f ca="1">IF(DP$169=0,0,IFERROR(INDEX('2 Staff List'!$LQ$64:$LQ$114,DP$21),0))</f>
        <v>80.710825</v>
      </c>
      <c r="DQ80" s="76">
        <f ca="1">IF(DQ$169=0,0,IFERROR(INDEX('2 Staff List'!$LQ$64:$LQ$114,DQ$21),0))</f>
        <v>52.964275000000001</v>
      </c>
      <c r="DR80" s="76">
        <f ca="1">IF(DR$169=0,0,IFERROR(INDEX('2 Staff List'!$LQ$64:$LQ$114,DR$21),0))</f>
        <v>47.241675000000001</v>
      </c>
      <c r="DS80" s="76">
        <f ca="1">IF(DS$169=0,0,IFERROR(INDEX('2 Staff List'!$LQ$64:$LQ$114,DS$21),0))</f>
        <v>47.241675000000001</v>
      </c>
      <c r="DT80" s="76">
        <f>IF(DT$169=0,0,IFERROR(INDEX('2 Staff List'!$LQ$64:$LQ$114,DT$21),0))</f>
        <v>0</v>
      </c>
      <c r="DU80" s="76">
        <f>IF(DU$169=0,0,IFERROR(INDEX('2 Staff List'!$LQ$64:$LQ$114,DU$21),0))</f>
        <v>0</v>
      </c>
      <c r="DV80" s="76">
        <f>IF(DV$169=0,0,IFERROR(INDEX('2 Staff List'!$LQ$64:$LQ$114,DV$21),0))</f>
        <v>0</v>
      </c>
      <c r="DW80" s="76">
        <f>IF(DW$169=0,0,IFERROR(INDEX('2 Staff List'!$LQ$64:$LQ$114,DW$21),0))</f>
        <v>0</v>
      </c>
      <c r="DX80" s="76">
        <f>IF(DX$169=0,0,IFERROR(INDEX('2 Staff List'!$LQ$64:$LQ$114,DX$21),0))</f>
        <v>0</v>
      </c>
      <c r="DY80" s="76">
        <f>IF(DY$169=0,0,IFERROR(INDEX('2 Staff List'!$LQ$64:$LQ$114,DY$21),0))</f>
        <v>0</v>
      </c>
      <c r="DZ80" s="76">
        <f>IF(DZ$169=0,0,IFERROR(INDEX('2 Staff List'!$LQ$64:$LQ$114,DZ$21),0))</f>
        <v>0</v>
      </c>
      <c r="EA80" s="76">
        <f>IF(EA$169=0,0,IFERROR(INDEX('2 Staff List'!$LQ$64:$LQ$114,EA$21),0))</f>
        <v>0</v>
      </c>
      <c r="EB80" s="76">
        <f>IF(EB$169=0,0,IFERROR(INDEX('2 Staff List'!$LQ$64:$LQ$114,EB$21),0))</f>
        <v>0</v>
      </c>
      <c r="EC80" s="76">
        <f>IF(EC$169=0,0,IFERROR(INDEX('2 Staff List'!$LQ$64:$LQ$114,EC$21),0))</f>
        <v>0</v>
      </c>
      <c r="ED80" s="76">
        <f>IF(ED$169=0,0,IFERROR(INDEX('2 Staff List'!$LQ$64:$LQ$114,ED$21),0))</f>
        <v>0</v>
      </c>
      <c r="EE80" s="76">
        <f>IF(EE$169=0,0,IFERROR(INDEX('2 Staff List'!$LQ$64:$LQ$114,EE$21),0))</f>
        <v>0</v>
      </c>
      <c r="EF80" s="76">
        <f>IF(EF$169=0,0,IFERROR(INDEX('2 Staff List'!$LQ$64:$LQ$114,EF$21),0))</f>
        <v>0</v>
      </c>
      <c r="EG80" s="76">
        <f>IF(EG$169=0,0,IFERROR(INDEX('2 Staff List'!$LQ$64:$LQ$114,EG$21),0))</f>
        <v>0</v>
      </c>
      <c r="EH80" s="76">
        <f>IF(EH$169=0,0,IFERROR(INDEX('2 Staff List'!$LQ$64:$LQ$114,EH$21),0))</f>
        <v>0</v>
      </c>
      <c r="EI80" s="76">
        <f>IF(EI$169=0,0,IFERROR(INDEX('2 Staff List'!$LQ$64:$LQ$114,EI$21),0))</f>
        <v>0</v>
      </c>
      <c r="EJ80" s="76">
        <f>IF(EJ$169=0,0,IFERROR(INDEX('2 Staff List'!$LQ$64:$LQ$114,EJ$21),0))</f>
        <v>0</v>
      </c>
      <c r="EK80" s="76">
        <f>IF(EK$169=0,0,IFERROR(INDEX('2 Staff List'!$LQ$64:$LQ$114,EK$21),0))</f>
        <v>0</v>
      </c>
      <c r="EL80" s="76">
        <f>IF(EL$169=0,0,IFERROR(INDEX('2 Staff List'!$LQ$64:$LQ$114,EL$21),0))</f>
        <v>0</v>
      </c>
      <c r="EM80" s="76">
        <f>IF(EM$169=0,0,IFERROR(INDEX('2 Staff List'!$LQ$64:$LQ$114,EM$21),0))</f>
        <v>0</v>
      </c>
      <c r="EN80" s="76">
        <f>IF(EN$169=0,0,IFERROR(INDEX('2 Staff List'!$LQ$64:$LQ$114,EN$21),0))</f>
        <v>0</v>
      </c>
      <c r="EO80" s="76">
        <f>IF(EO$169=0,0,IFERROR(INDEX('2 Staff List'!$LQ$64:$LQ$114,EO$21),0))</f>
        <v>0</v>
      </c>
      <c r="EP80" s="76">
        <f>IF(EP$169=0,0,IFERROR(INDEX('2 Staff List'!$LQ$64:$LQ$114,EP$21),0))</f>
        <v>0</v>
      </c>
      <c r="EQ80" s="76">
        <f>IF(EQ$169=0,0,IFERROR(INDEX('2 Staff List'!$LQ$64:$LQ$114,EQ$21),0))</f>
        <v>0</v>
      </c>
      <c r="ER80" s="76">
        <f>IF(ER$169=0,0,IFERROR(INDEX('2 Staff List'!$LQ$64:$LQ$114,ER$21),0))</f>
        <v>0</v>
      </c>
      <c r="ES80" s="76">
        <f>IF(ES$169=0,0,IFERROR(INDEX('2 Staff List'!$LQ$64:$LQ$114,ES$21),0))</f>
        <v>0</v>
      </c>
      <c r="ET80" s="76">
        <f>IF(ET$169=0,0,IFERROR(INDEX('2 Staff List'!$LQ$64:$LQ$114,ET$21),0))</f>
        <v>0</v>
      </c>
      <c r="EU80" s="76">
        <f>IF(EU$169=0,0,IFERROR(INDEX('2 Staff List'!$LQ$64:$LQ$114,EU$21),0))</f>
        <v>0</v>
      </c>
      <c r="EV80" s="76">
        <f>IF(EV$169=0,0,IFERROR(INDEX('2 Staff List'!$LQ$64:$LQ$114,EV$21),0))</f>
        <v>0</v>
      </c>
      <c r="EW80" s="76">
        <f>IF(EW$169=0,0,IFERROR(INDEX('2 Staff List'!$LQ$64:$LQ$114,EW$21),0))</f>
        <v>0</v>
      </c>
      <c r="EX80" s="76">
        <f>IF(EX$169=0,0,IFERROR(INDEX('2 Staff List'!$LQ$64:$LQ$114,EX$21),0))</f>
        <v>0</v>
      </c>
      <c r="EY80" s="76">
        <f>IF(EY$169=0,0,IFERROR(INDEX('2 Staff List'!$LQ$64:$LQ$114,EY$21),0))</f>
        <v>0</v>
      </c>
      <c r="EZ80" s="76">
        <f>IF(EZ$169=0,0,IFERROR(INDEX('2 Staff List'!$LQ$64:$LQ$114,EZ$21),0))</f>
        <v>0</v>
      </c>
      <c r="FA80" s="76">
        <f>IF(FA$169=0,0,IFERROR(INDEX('2 Staff List'!$LQ$64:$LQ$114,FA$21),0))</f>
        <v>0</v>
      </c>
      <c r="FB80" s="76">
        <f>IF(FB$169=0,0,IFERROR(INDEX('2 Staff List'!$LQ$64:$LQ$114,FB$21),0))</f>
        <v>0</v>
      </c>
      <c r="FC80" s="76">
        <f>IF(FC$169=0,0,IFERROR(INDEX('2 Staff List'!$LQ$64:$LQ$114,FC$21),0))</f>
        <v>0</v>
      </c>
      <c r="FD80" s="76">
        <f>IF(FD$169=0,0,IFERROR(INDEX('2 Staff List'!$LQ$64:$LQ$114,FD$21),0))</f>
        <v>0</v>
      </c>
      <c r="FE80" s="76">
        <f>IF(FE$169=0,0,IFERROR(INDEX('2 Staff List'!$LQ$64:$LQ$114,FE$21),0))</f>
        <v>0</v>
      </c>
      <c r="FF80" s="76">
        <f>IF(FF$169=0,0,IFERROR(INDEX('2 Staff List'!$LQ$64:$LQ$114,FF$21),0))</f>
        <v>0</v>
      </c>
      <c r="FG80" s="76">
        <f>IF(FG$169=0,0,IFERROR(INDEX('2 Staff List'!$LQ$64:$LQ$114,FG$21),0))</f>
        <v>0</v>
      </c>
      <c r="FH80" s="922"/>
      <c r="FI80" s="305"/>
      <c r="FJ80" s="307"/>
      <c r="FK80" s="307"/>
      <c r="FL80" s="285"/>
      <c r="FM80" s="285"/>
      <c r="FN80" s="285"/>
      <c r="FO80" s="285"/>
      <c r="FP80" s="285"/>
      <c r="FQ80" s="285"/>
      <c r="FR80" s="285"/>
      <c r="FS80" s="285"/>
      <c r="FT80" s="285"/>
      <c r="FU80" s="285"/>
      <c r="FV80" s="285"/>
      <c r="FW80" s="285"/>
      <c r="FX80" s="285"/>
      <c r="FY80" s="285"/>
      <c r="FZ80" s="285"/>
      <c r="GA80" s="285"/>
      <c r="GB80" s="285"/>
      <c r="GC80" s="285"/>
      <c r="GD80" s="285"/>
      <c r="GE80" s="285"/>
      <c r="GF80" s="285"/>
      <c r="GG80" s="285"/>
      <c r="GH80" s="285"/>
      <c r="GI80" s="285"/>
      <c r="GJ80" s="310"/>
      <c r="GK80" s="310"/>
      <c r="GL80" s="310"/>
      <c r="GM80" s="285"/>
      <c r="GN80" s="285"/>
      <c r="GO80" s="285"/>
      <c r="GP80" s="285"/>
      <c r="GQ80" s="285"/>
      <c r="GR80" s="285"/>
      <c r="GS80" s="285"/>
      <c r="GT80" s="285"/>
      <c r="GU80" s="285"/>
      <c r="GV80" s="285"/>
      <c r="GW80" s="285"/>
      <c r="GX80" s="285"/>
      <c r="GY80" s="285"/>
      <c r="GZ80" s="285"/>
      <c r="HA80" s="285"/>
      <c r="HB80" s="285"/>
      <c r="HC80" s="285"/>
      <c r="HD80" s="285"/>
      <c r="HE80" s="285"/>
      <c r="HF80" s="285"/>
      <c r="HG80" s="285"/>
      <c r="HH80" s="285"/>
      <c r="HI80" s="285"/>
      <c r="HJ80" s="285"/>
      <c r="HK80" s="285"/>
      <c r="HL80" s="285"/>
      <c r="HM80" s="285"/>
      <c r="HN80" s="285"/>
      <c r="HO80" s="285"/>
      <c r="HP80" s="285"/>
      <c r="HQ80" s="285"/>
      <c r="HR80" s="285"/>
      <c r="HS80" s="285"/>
      <c r="HT80" s="285"/>
      <c r="HU80" s="285"/>
      <c r="HV80" s="285"/>
      <c r="HW80" s="285"/>
      <c r="HX80" s="285"/>
      <c r="HY80" s="285"/>
      <c r="HZ80" s="285"/>
      <c r="IA80" s="285"/>
      <c r="IB80" s="285"/>
      <c r="IC80" s="285"/>
      <c r="ID80" s="285"/>
      <c r="IE80" s="285"/>
      <c r="IF80" s="285"/>
      <c r="IG80" s="285"/>
      <c r="IH80" s="285"/>
      <c r="II80" s="285"/>
      <c r="IJ80" s="285"/>
      <c r="IK80" s="285"/>
      <c r="IL80" s="285"/>
      <c r="IM80" s="285"/>
      <c r="IN80" s="285"/>
      <c r="IO80" s="285"/>
      <c r="IP80" s="285"/>
      <c r="IQ80" s="285"/>
      <c r="IR80" s="285"/>
      <c r="IS80" s="285"/>
      <c r="IT80" s="285"/>
      <c r="IU80" s="285"/>
      <c r="IV80" s="285"/>
      <c r="IW80" s="285"/>
      <c r="IX80" s="285"/>
      <c r="IY80" s="285"/>
      <c r="IZ80" s="285"/>
      <c r="JA80" s="285"/>
      <c r="JB80" s="285"/>
      <c r="JC80" s="285"/>
      <c r="JD80" s="285"/>
      <c r="JE80" s="285"/>
      <c r="JF80" s="285"/>
      <c r="JG80" s="285"/>
      <c r="JH80" s="285"/>
      <c r="JI80" s="285"/>
      <c r="JJ80" s="285"/>
      <c r="JK80" s="285"/>
      <c r="JL80" s="285"/>
      <c r="JM80" s="285"/>
      <c r="JN80" s="285"/>
      <c r="JO80" s="285"/>
      <c r="JP80" s="285"/>
      <c r="JQ80" s="285"/>
      <c r="JR80" s="285"/>
      <c r="JS80" s="285"/>
      <c r="JT80" s="285"/>
      <c r="JU80" s="285"/>
      <c r="JV80" s="285"/>
      <c r="JW80" s="285"/>
      <c r="JX80" s="285"/>
      <c r="JY80" s="285"/>
      <c r="JZ80" s="285"/>
      <c r="KA80" s="285"/>
      <c r="KB80" s="285"/>
      <c r="KC80" s="285"/>
      <c r="KD80" s="285"/>
      <c r="KE80" s="285"/>
      <c r="KF80" s="285"/>
      <c r="KG80" s="285"/>
      <c r="KH80" s="285"/>
      <c r="KI80" s="285"/>
      <c r="KJ80" s="285"/>
      <c r="KK80" s="285"/>
      <c r="KL80" s="285"/>
      <c r="KM80" s="285"/>
      <c r="KN80" s="285"/>
      <c r="KO80" s="285"/>
      <c r="KP80" s="285"/>
      <c r="KQ80" s="285"/>
      <c r="KR80" s="285"/>
      <c r="KS80" s="285"/>
      <c r="KT80" s="285"/>
      <c r="KU80" s="285"/>
      <c r="KV80" s="285"/>
      <c r="KW80" s="285"/>
      <c r="KX80" s="285"/>
      <c r="KY80" s="285"/>
      <c r="KZ80" s="285"/>
      <c r="LA80" s="285"/>
      <c r="LB80" s="285"/>
      <c r="LC80" s="285"/>
      <c r="LD80" s="285"/>
      <c r="LE80" s="285"/>
      <c r="LF80" s="285"/>
      <c r="LG80" s="285"/>
      <c r="LH80" s="285"/>
      <c r="LI80" s="285"/>
      <c r="LJ80" s="285"/>
      <c r="LK80" s="285"/>
      <c r="LL80" s="285"/>
      <c r="LM80" s="285"/>
      <c r="LN80" s="285"/>
      <c r="LO80" s="285"/>
      <c r="LP80" s="285"/>
    </row>
    <row r="81" spans="1:332" ht="12.75" hidden="1" customHeight="1" x14ac:dyDescent="0.3">
      <c r="A81" s="285"/>
      <c r="B81" s="285"/>
      <c r="C81" s="286"/>
      <c r="D81" s="295"/>
      <c r="E81" s="285"/>
      <c r="F81" s="285"/>
      <c r="G81" s="285"/>
      <c r="H81" s="285"/>
      <c r="I81" s="285"/>
      <c r="J81" s="285"/>
      <c r="K81" s="285"/>
      <c r="L81" s="285"/>
      <c r="M81" s="287"/>
      <c r="N81" s="287"/>
      <c r="O81" s="287"/>
      <c r="P81" s="287"/>
      <c r="Q81" s="287"/>
      <c r="R81" s="287"/>
      <c r="S81" s="285"/>
      <c r="T81" s="285"/>
      <c r="U81" s="285"/>
      <c r="V81" s="285"/>
      <c r="W81" s="285"/>
      <c r="X81" s="285"/>
      <c r="Y81" s="285"/>
      <c r="Z81" s="285"/>
      <c r="AA81" s="285"/>
      <c r="AB81" s="285"/>
      <c r="AC81" s="285"/>
      <c r="AD81" s="285"/>
      <c r="AE81" s="285"/>
      <c r="AF81" s="285"/>
      <c r="AG81" s="285"/>
      <c r="AH81" s="2513"/>
      <c r="AI81" s="285"/>
      <c r="AJ81" s="285"/>
      <c r="AK81" s="285"/>
      <c r="AL81" s="285"/>
      <c r="AM81" s="285"/>
      <c r="AN81" s="285"/>
      <c r="AO81" s="285"/>
      <c r="AP81" s="285"/>
      <c r="AQ81" s="285"/>
      <c r="AR81" s="285"/>
      <c r="AS81" s="285"/>
      <c r="AT81" s="285"/>
      <c r="AU81" s="285"/>
      <c r="AV81" s="285"/>
      <c r="AW81" s="285"/>
      <c r="AX81" s="285"/>
      <c r="AY81" s="285"/>
      <c r="AZ81" s="285"/>
      <c r="BA81" s="285"/>
      <c r="BB81" s="285"/>
      <c r="BC81" s="285"/>
      <c r="BD81" s="285"/>
      <c r="BE81" s="285"/>
      <c r="BF81" s="285"/>
      <c r="BG81" s="285"/>
      <c r="BH81" s="285"/>
      <c r="BI81" s="285"/>
      <c r="BJ81" s="285"/>
      <c r="BK81" s="285"/>
      <c r="BL81" s="285"/>
      <c r="BM81" s="285"/>
      <c r="BN81" s="285"/>
      <c r="BO81" s="285"/>
      <c r="BP81" s="285"/>
      <c r="BQ81" s="285"/>
      <c r="BR81" s="285"/>
      <c r="BS81" s="285"/>
      <c r="BT81" s="285"/>
      <c r="BU81" s="285"/>
      <c r="BV81" s="285"/>
      <c r="BW81" s="285"/>
      <c r="BX81" s="285"/>
      <c r="BY81" s="285"/>
      <c r="BZ81" s="285"/>
      <c r="CA81" s="285"/>
      <c r="CB81" s="285"/>
      <c r="CC81" s="285"/>
      <c r="CD81" s="285"/>
      <c r="CE81" s="285"/>
      <c r="CF81" s="285"/>
      <c r="CG81" s="285"/>
      <c r="CH81" s="285"/>
      <c r="CI81" s="285"/>
      <c r="CJ81" s="285"/>
      <c r="CK81" s="285"/>
      <c r="CL81" s="285"/>
      <c r="CM81" s="285"/>
      <c r="CN81" s="285"/>
      <c r="CO81" s="285"/>
      <c r="CP81" s="285"/>
      <c r="CQ81" s="285"/>
      <c r="CR81" s="285"/>
      <c r="CS81" s="285"/>
      <c r="CT81" s="285"/>
      <c r="CU81" s="285"/>
      <c r="CV81" s="285"/>
      <c r="CW81" s="285"/>
      <c r="CX81" s="285"/>
      <c r="CY81" s="285"/>
      <c r="CZ81" s="285"/>
      <c r="DA81" s="285"/>
      <c r="DB81" s="285"/>
      <c r="DC81" s="285"/>
      <c r="DD81" s="285"/>
      <c r="DE81" s="285"/>
      <c r="DF81" s="285"/>
      <c r="DG81" s="285"/>
      <c r="DH81" s="442" t="s">
        <v>2089</v>
      </c>
      <c r="DI81" s="285"/>
      <c r="DJ81" s="76">
        <f ca="1">IF(DJ$169=0,0,IFERROR(INDEX('2 Staff List'!$LR$64:$LR$114,DJ$21),0))</f>
        <v>91.289574999999999</v>
      </c>
      <c r="DK81" s="76">
        <f ca="1">IF(DK$169=0,0,IFERROR(INDEX('2 Staff List'!$LR$64:$LR$114,DK$21),0))</f>
        <v>45.579300000000003</v>
      </c>
      <c r="DL81" s="76">
        <f ca="1">IF(DL$169=0,0,IFERROR(INDEX('2 Staff List'!$LR$64:$LR$114,DL$21),0))</f>
        <v>91.289574999999999</v>
      </c>
      <c r="DM81" s="76">
        <f>IF(DM$169=0,0,IFERROR(INDEX('2 Staff List'!$LR$64:$LR$114,DM$21),0))</f>
        <v>44.405940594059409</v>
      </c>
      <c r="DN81" s="76">
        <f ca="1">IF(DN$169=0,0,IFERROR(INDEX('2 Staff List'!$LR$64:$LR$114,DN$21),0))</f>
        <v>62.676575000000007</v>
      </c>
      <c r="DO81" s="76">
        <f ca="1">IF(DO$169=0,0,IFERROR(INDEX('2 Staff List'!$LR$64:$LR$114,DO$21),0))</f>
        <v>91.289574999999999</v>
      </c>
      <c r="DP81" s="76">
        <f ca="1">IF(DP$169=0,0,IFERROR(INDEX('2 Staff List'!$LR$64:$LR$114,DP$21),0))</f>
        <v>80.710825</v>
      </c>
      <c r="DQ81" s="76">
        <f ca="1">IF(DQ$169=0,0,IFERROR(INDEX('2 Staff List'!$LR$64:$LR$114,DQ$21),0))</f>
        <v>52.964275000000001</v>
      </c>
      <c r="DR81" s="76">
        <f ca="1">IF(DR$169=0,0,IFERROR(INDEX('2 Staff List'!$LR$64:$LR$114,DR$21),0))</f>
        <v>47.241675000000001</v>
      </c>
      <c r="DS81" s="76">
        <f ca="1">IF(DS$169=0,0,IFERROR(INDEX('2 Staff List'!$LR$64:$LR$114,DS$21),0))</f>
        <v>47.241675000000001</v>
      </c>
      <c r="DT81" s="76">
        <f>IF(DT$169=0,0,IFERROR(INDEX('2 Staff List'!$LR$64:$LR$114,DT$21),0))</f>
        <v>0</v>
      </c>
      <c r="DU81" s="76">
        <f>IF(DU$169=0,0,IFERROR(INDEX('2 Staff List'!$LR$64:$LR$114,DU$21),0))</f>
        <v>0</v>
      </c>
      <c r="DV81" s="76">
        <f>IF(DV$169=0,0,IFERROR(INDEX('2 Staff List'!$LR$64:$LR$114,DV$21),0))</f>
        <v>0</v>
      </c>
      <c r="DW81" s="76">
        <f>IF(DW$169=0,0,IFERROR(INDEX('2 Staff List'!$LR$64:$LR$114,DW$21),0))</f>
        <v>0</v>
      </c>
      <c r="DX81" s="76">
        <f>IF(DX$169=0,0,IFERROR(INDEX('2 Staff List'!$LR$64:$LR$114,DX$21),0))</f>
        <v>0</v>
      </c>
      <c r="DY81" s="76">
        <f>IF(DY$169=0,0,IFERROR(INDEX('2 Staff List'!$LR$64:$LR$114,DY$21),0))</f>
        <v>0</v>
      </c>
      <c r="DZ81" s="76">
        <f>IF(DZ$169=0,0,IFERROR(INDEX('2 Staff List'!$LR$64:$LR$114,DZ$21),0))</f>
        <v>0</v>
      </c>
      <c r="EA81" s="76">
        <f>IF(EA$169=0,0,IFERROR(INDEX('2 Staff List'!$LR$64:$LR$114,EA$21),0))</f>
        <v>0</v>
      </c>
      <c r="EB81" s="76">
        <f>IF(EB$169=0,0,IFERROR(INDEX('2 Staff List'!$LR$64:$LR$114,EB$21),0))</f>
        <v>0</v>
      </c>
      <c r="EC81" s="76">
        <f>IF(EC$169=0,0,IFERROR(INDEX('2 Staff List'!$LR$64:$LR$114,EC$21),0))</f>
        <v>0</v>
      </c>
      <c r="ED81" s="76">
        <f>IF(ED$169=0,0,IFERROR(INDEX('2 Staff List'!$LR$64:$LR$114,ED$21),0))</f>
        <v>0</v>
      </c>
      <c r="EE81" s="76">
        <f>IF(EE$169=0,0,IFERROR(INDEX('2 Staff List'!$LR$64:$LR$114,EE$21),0))</f>
        <v>0</v>
      </c>
      <c r="EF81" s="76">
        <f>IF(EF$169=0,0,IFERROR(INDEX('2 Staff List'!$LR$64:$LR$114,EF$21),0))</f>
        <v>0</v>
      </c>
      <c r="EG81" s="76">
        <f>IF(EG$169=0,0,IFERROR(INDEX('2 Staff List'!$LR$64:$LR$114,EG$21),0))</f>
        <v>0</v>
      </c>
      <c r="EH81" s="76">
        <f>IF(EH$169=0,0,IFERROR(INDEX('2 Staff List'!$LR$64:$LR$114,EH$21),0))</f>
        <v>0</v>
      </c>
      <c r="EI81" s="76">
        <f>IF(EI$169=0,0,IFERROR(INDEX('2 Staff List'!$LR$64:$LR$114,EI$21),0))</f>
        <v>0</v>
      </c>
      <c r="EJ81" s="76">
        <f>IF(EJ$169=0,0,IFERROR(INDEX('2 Staff List'!$LR$64:$LR$114,EJ$21),0))</f>
        <v>0</v>
      </c>
      <c r="EK81" s="76">
        <f>IF(EK$169=0,0,IFERROR(INDEX('2 Staff List'!$LR$64:$LR$114,EK$21),0))</f>
        <v>0</v>
      </c>
      <c r="EL81" s="76">
        <f>IF(EL$169=0,0,IFERROR(INDEX('2 Staff List'!$LR$64:$LR$114,EL$21),0))</f>
        <v>0</v>
      </c>
      <c r="EM81" s="76">
        <f>IF(EM$169=0,0,IFERROR(INDEX('2 Staff List'!$LR$64:$LR$114,EM$21),0))</f>
        <v>0</v>
      </c>
      <c r="EN81" s="76">
        <f>IF(EN$169=0,0,IFERROR(INDEX('2 Staff List'!$LR$64:$LR$114,EN$21),0))</f>
        <v>0</v>
      </c>
      <c r="EO81" s="76">
        <f>IF(EO$169=0,0,IFERROR(INDEX('2 Staff List'!$LR$64:$LR$114,EO$21),0))</f>
        <v>0</v>
      </c>
      <c r="EP81" s="76">
        <f>IF(EP$169=0,0,IFERROR(INDEX('2 Staff List'!$LR$64:$LR$114,EP$21),0))</f>
        <v>0</v>
      </c>
      <c r="EQ81" s="76">
        <f>IF(EQ$169=0,0,IFERROR(INDEX('2 Staff List'!$LR$64:$LR$114,EQ$21),0))</f>
        <v>0</v>
      </c>
      <c r="ER81" s="76">
        <f>IF(ER$169=0,0,IFERROR(INDEX('2 Staff List'!$LR$64:$LR$114,ER$21),0))</f>
        <v>0</v>
      </c>
      <c r="ES81" s="76">
        <f>IF(ES$169=0,0,IFERROR(INDEX('2 Staff List'!$LR$64:$LR$114,ES$21),0))</f>
        <v>0</v>
      </c>
      <c r="ET81" s="76">
        <f>IF(ET$169=0,0,IFERROR(INDEX('2 Staff List'!$LR$64:$LR$114,ET$21),0))</f>
        <v>0</v>
      </c>
      <c r="EU81" s="76">
        <f>IF(EU$169=0,0,IFERROR(INDEX('2 Staff List'!$LR$64:$LR$114,EU$21),0))</f>
        <v>0</v>
      </c>
      <c r="EV81" s="76">
        <f>IF(EV$169=0,0,IFERROR(INDEX('2 Staff List'!$LR$64:$LR$114,EV$21),0))</f>
        <v>0</v>
      </c>
      <c r="EW81" s="76">
        <f>IF(EW$169=0,0,IFERROR(INDEX('2 Staff List'!$LR$64:$LR$114,EW$21),0))</f>
        <v>0</v>
      </c>
      <c r="EX81" s="76">
        <f>IF(EX$169=0,0,IFERROR(INDEX('2 Staff List'!$LR$64:$LR$114,EX$21),0))</f>
        <v>0</v>
      </c>
      <c r="EY81" s="76">
        <f>IF(EY$169=0,0,IFERROR(INDEX('2 Staff List'!$LR$64:$LR$114,EY$21),0))</f>
        <v>0</v>
      </c>
      <c r="EZ81" s="76">
        <f>IF(EZ$169=0,0,IFERROR(INDEX('2 Staff List'!$LR$64:$LR$114,EZ$21),0))</f>
        <v>0</v>
      </c>
      <c r="FA81" s="76">
        <f>IF(FA$169=0,0,IFERROR(INDEX('2 Staff List'!$LR$64:$LR$114,FA$21),0))</f>
        <v>0</v>
      </c>
      <c r="FB81" s="76">
        <f>IF(FB$169=0,0,IFERROR(INDEX('2 Staff List'!$LR$64:$LR$114,FB$21),0))</f>
        <v>0</v>
      </c>
      <c r="FC81" s="76">
        <f>IF(FC$169=0,0,IFERROR(INDEX('2 Staff List'!$LR$64:$LR$114,FC$21),0))</f>
        <v>0</v>
      </c>
      <c r="FD81" s="76">
        <f>IF(FD$169=0,0,IFERROR(INDEX('2 Staff List'!$LR$64:$LR$114,FD$21),0))</f>
        <v>0</v>
      </c>
      <c r="FE81" s="76">
        <f>IF(FE$169=0,0,IFERROR(INDEX('2 Staff List'!$LR$64:$LR$114,FE$21),0))</f>
        <v>0</v>
      </c>
      <c r="FF81" s="76">
        <f>IF(FF$169=0,0,IFERROR(INDEX('2 Staff List'!$LR$64:$LR$114,FF$21),0))</f>
        <v>0</v>
      </c>
      <c r="FG81" s="76">
        <f>IF(FG$169=0,0,IFERROR(INDEX('2 Staff List'!$LR$64:$LR$114,FG$21),0))</f>
        <v>0</v>
      </c>
      <c r="FH81" s="922"/>
      <c r="FI81" s="305"/>
      <c r="FJ81" s="307"/>
      <c r="FK81" s="307"/>
      <c r="FL81" s="285"/>
      <c r="FM81" s="285"/>
      <c r="FN81" s="285"/>
      <c r="FO81" s="285"/>
      <c r="FP81" s="285"/>
      <c r="FQ81" s="285"/>
      <c r="FR81" s="285"/>
      <c r="FS81" s="285"/>
      <c r="FT81" s="285"/>
      <c r="FU81" s="285"/>
      <c r="FV81" s="285"/>
      <c r="FW81" s="285"/>
      <c r="FX81" s="285"/>
      <c r="FY81" s="285"/>
      <c r="FZ81" s="285"/>
      <c r="GA81" s="285"/>
      <c r="GB81" s="285"/>
      <c r="GC81" s="285"/>
      <c r="GD81" s="285"/>
      <c r="GE81" s="285"/>
      <c r="GF81" s="285"/>
      <c r="GG81" s="285"/>
      <c r="GH81" s="285"/>
      <c r="GI81" s="285"/>
      <c r="GJ81" s="310"/>
      <c r="GK81" s="310"/>
      <c r="GL81" s="310"/>
      <c r="GM81" s="285"/>
      <c r="GN81" s="285"/>
      <c r="GO81" s="285"/>
      <c r="GP81" s="285"/>
      <c r="GQ81" s="285"/>
      <c r="GR81" s="285"/>
      <c r="GS81" s="285"/>
      <c r="GT81" s="285"/>
      <c r="GU81" s="285"/>
      <c r="GV81" s="285"/>
      <c r="GW81" s="285"/>
      <c r="GX81" s="285"/>
      <c r="GY81" s="285"/>
      <c r="GZ81" s="285"/>
      <c r="HA81" s="285"/>
      <c r="HB81" s="285"/>
      <c r="HC81" s="285"/>
      <c r="HD81" s="285"/>
      <c r="HE81" s="285"/>
      <c r="HF81" s="285"/>
      <c r="HG81" s="285"/>
      <c r="HH81" s="285"/>
      <c r="HI81" s="285"/>
      <c r="HJ81" s="285"/>
      <c r="HK81" s="285"/>
      <c r="HL81" s="285"/>
      <c r="HM81" s="285"/>
      <c r="HN81" s="285"/>
      <c r="HO81" s="285"/>
      <c r="HP81" s="285"/>
      <c r="HQ81" s="285"/>
      <c r="HR81" s="285"/>
      <c r="HS81" s="285"/>
      <c r="HT81" s="285"/>
      <c r="HU81" s="285"/>
      <c r="HV81" s="285"/>
      <c r="HW81" s="285"/>
      <c r="HX81" s="285"/>
      <c r="HY81" s="285"/>
      <c r="HZ81" s="285"/>
      <c r="IA81" s="285"/>
      <c r="IB81" s="285"/>
      <c r="IC81" s="285"/>
      <c r="ID81" s="285"/>
      <c r="IE81" s="285"/>
      <c r="IF81" s="285"/>
      <c r="IG81" s="285"/>
      <c r="IH81" s="285"/>
      <c r="II81" s="285"/>
      <c r="IJ81" s="285"/>
      <c r="IK81" s="285"/>
      <c r="IL81" s="285"/>
      <c r="IM81" s="285"/>
      <c r="IN81" s="285"/>
      <c r="IO81" s="285"/>
      <c r="IP81" s="285"/>
      <c r="IQ81" s="285"/>
      <c r="IR81" s="285"/>
      <c r="IS81" s="285"/>
      <c r="IT81" s="285"/>
      <c r="IU81" s="285"/>
      <c r="IV81" s="285"/>
      <c r="IW81" s="285"/>
      <c r="IX81" s="285"/>
      <c r="IY81" s="285"/>
      <c r="IZ81" s="285"/>
      <c r="JA81" s="285"/>
      <c r="JB81" s="285"/>
      <c r="JC81" s="285"/>
      <c r="JD81" s="285"/>
      <c r="JE81" s="285"/>
      <c r="JF81" s="285"/>
      <c r="JG81" s="285"/>
      <c r="JH81" s="285"/>
      <c r="JI81" s="285"/>
      <c r="JJ81" s="285"/>
      <c r="JK81" s="285"/>
      <c r="JL81" s="285"/>
      <c r="JM81" s="285"/>
      <c r="JN81" s="285"/>
      <c r="JO81" s="285"/>
      <c r="JP81" s="285"/>
      <c r="JQ81" s="285"/>
      <c r="JR81" s="285"/>
      <c r="JS81" s="285"/>
      <c r="JT81" s="285"/>
      <c r="JU81" s="285"/>
      <c r="JV81" s="285"/>
      <c r="JW81" s="285"/>
      <c r="JX81" s="285"/>
      <c r="JY81" s="285"/>
      <c r="JZ81" s="285"/>
      <c r="KA81" s="285"/>
      <c r="KB81" s="285"/>
      <c r="KC81" s="285"/>
      <c r="KD81" s="285"/>
      <c r="KE81" s="285"/>
      <c r="KF81" s="285"/>
      <c r="KG81" s="285"/>
      <c r="KH81" s="285"/>
      <c r="KI81" s="285"/>
      <c r="KJ81" s="285"/>
      <c r="KK81" s="285"/>
      <c r="KL81" s="285"/>
      <c r="KM81" s="285"/>
      <c r="KN81" s="285"/>
      <c r="KO81" s="285"/>
      <c r="KP81" s="285"/>
      <c r="KQ81" s="285"/>
      <c r="KR81" s="285"/>
      <c r="KS81" s="285"/>
      <c r="KT81" s="285"/>
      <c r="KU81" s="285"/>
      <c r="KV81" s="285"/>
      <c r="KW81" s="285"/>
      <c r="KX81" s="285"/>
      <c r="KY81" s="285"/>
      <c r="KZ81" s="285"/>
      <c r="LA81" s="285"/>
      <c r="LB81" s="285"/>
      <c r="LC81" s="285"/>
      <c r="LD81" s="285"/>
      <c r="LE81" s="285"/>
      <c r="LF81" s="285"/>
      <c r="LG81" s="285"/>
      <c r="LH81" s="285"/>
      <c r="LI81" s="285"/>
      <c r="LJ81" s="285"/>
      <c r="LK81" s="285"/>
      <c r="LL81" s="285"/>
      <c r="LM81" s="285"/>
      <c r="LN81" s="285"/>
      <c r="LO81" s="285"/>
      <c r="LP81" s="285"/>
    </row>
    <row r="82" spans="1:332" ht="12.75" hidden="1" customHeight="1" x14ac:dyDescent="0.3">
      <c r="A82" s="285"/>
      <c r="B82" s="285"/>
      <c r="C82" s="286"/>
      <c r="D82" s="295"/>
      <c r="E82" s="285"/>
      <c r="F82" s="285"/>
      <c r="G82" s="285"/>
      <c r="H82" s="285"/>
      <c r="I82" s="285"/>
      <c r="J82" s="285"/>
      <c r="K82" s="285"/>
      <c r="L82" s="285"/>
      <c r="M82" s="287"/>
      <c r="N82" s="287"/>
      <c r="O82" s="287"/>
      <c r="P82" s="287"/>
      <c r="Q82" s="287"/>
      <c r="R82" s="287"/>
      <c r="S82" s="285"/>
      <c r="T82" s="285"/>
      <c r="U82" s="285"/>
      <c r="V82" s="285"/>
      <c r="W82" s="285"/>
      <c r="X82" s="285"/>
      <c r="Y82" s="285"/>
      <c r="Z82" s="285"/>
      <c r="AA82" s="285"/>
      <c r="AB82" s="285"/>
      <c r="AC82" s="285"/>
      <c r="AD82" s="285"/>
      <c r="AE82" s="285"/>
      <c r="AF82" s="285"/>
      <c r="AG82" s="285"/>
      <c r="AH82" s="2513"/>
      <c r="AI82" s="285"/>
      <c r="AJ82" s="285"/>
      <c r="AK82" s="285"/>
      <c r="AL82" s="285"/>
      <c r="AM82" s="285"/>
      <c r="AN82" s="285"/>
      <c r="AO82" s="285"/>
      <c r="AP82" s="285"/>
      <c r="AQ82" s="285"/>
      <c r="AR82" s="285"/>
      <c r="AS82" s="285"/>
      <c r="AT82" s="285"/>
      <c r="AU82" s="285"/>
      <c r="AV82" s="285"/>
      <c r="AW82" s="285"/>
      <c r="AX82" s="285"/>
      <c r="AY82" s="285"/>
      <c r="AZ82" s="285"/>
      <c r="BA82" s="285"/>
      <c r="BB82" s="285"/>
      <c r="BC82" s="285"/>
      <c r="BD82" s="285"/>
      <c r="BE82" s="285"/>
      <c r="BF82" s="285"/>
      <c r="BG82" s="285"/>
      <c r="BH82" s="285"/>
      <c r="BI82" s="285"/>
      <c r="BJ82" s="285"/>
      <c r="BK82" s="285"/>
      <c r="BL82" s="285"/>
      <c r="BM82" s="285"/>
      <c r="BN82" s="285"/>
      <c r="BO82" s="285"/>
      <c r="BP82" s="285"/>
      <c r="BQ82" s="285"/>
      <c r="BR82" s="285"/>
      <c r="BS82" s="285"/>
      <c r="BT82" s="285"/>
      <c r="BU82" s="285"/>
      <c r="BV82" s="285"/>
      <c r="BW82" s="285"/>
      <c r="BX82" s="285"/>
      <c r="BY82" s="285"/>
      <c r="BZ82" s="285"/>
      <c r="CA82" s="285"/>
      <c r="CB82" s="285"/>
      <c r="CC82" s="285"/>
      <c r="CD82" s="285"/>
      <c r="CE82" s="285"/>
      <c r="CF82" s="285"/>
      <c r="CG82" s="285"/>
      <c r="CH82" s="285"/>
      <c r="CI82" s="285"/>
      <c r="CJ82" s="285"/>
      <c r="CK82" s="285"/>
      <c r="CL82" s="285"/>
      <c r="CM82" s="285"/>
      <c r="CN82" s="285"/>
      <c r="CO82" s="285"/>
      <c r="CP82" s="285"/>
      <c r="CQ82" s="285"/>
      <c r="CR82" s="285"/>
      <c r="CS82" s="285"/>
      <c r="CT82" s="285"/>
      <c r="CU82" s="285"/>
      <c r="CV82" s="285"/>
      <c r="CW82" s="285"/>
      <c r="CX82" s="285"/>
      <c r="CY82" s="285"/>
      <c r="CZ82" s="285"/>
      <c r="DA82" s="285"/>
      <c r="DB82" s="285"/>
      <c r="DC82" s="285"/>
      <c r="DD82" s="285"/>
      <c r="DE82" s="285"/>
      <c r="DF82" s="285"/>
      <c r="DG82" s="285"/>
      <c r="DH82" s="442" t="s">
        <v>2090</v>
      </c>
      <c r="DI82" s="285"/>
      <c r="DJ82" s="76">
        <f ca="1">IF(DJ$169=0,0,IFERROR(INDEX('2 Staff List'!$LS$64:$LS$114,DJ$21),0))</f>
        <v>91.289574999999999</v>
      </c>
      <c r="DK82" s="76">
        <f ca="1">IF(DK$169=0,0,IFERROR(INDEX('2 Staff List'!$LS$64:$LS$114,DK$21),0))</f>
        <v>45.579300000000003</v>
      </c>
      <c r="DL82" s="76">
        <f ca="1">IF(DL$169=0,0,IFERROR(INDEX('2 Staff List'!$LS$64:$LS$114,DL$21),0))</f>
        <v>91.289574999999999</v>
      </c>
      <c r="DM82" s="76">
        <f>IF(DM$169=0,0,IFERROR(INDEX('2 Staff List'!$LS$64:$LS$114,DM$21),0))</f>
        <v>44.405940594059409</v>
      </c>
      <c r="DN82" s="76">
        <f ca="1">IF(DN$169=0,0,IFERROR(INDEX('2 Staff List'!$LS$64:$LS$114,DN$21),0))</f>
        <v>62.676575000000007</v>
      </c>
      <c r="DO82" s="76">
        <f ca="1">IF(DO$169=0,0,IFERROR(INDEX('2 Staff List'!$LS$64:$LS$114,DO$21),0))</f>
        <v>91.289574999999999</v>
      </c>
      <c r="DP82" s="76">
        <f ca="1">IF(DP$169=0,0,IFERROR(INDEX('2 Staff List'!$LS$64:$LS$114,DP$21),0))</f>
        <v>80.710825</v>
      </c>
      <c r="DQ82" s="76">
        <f ca="1">IF(DQ$169=0,0,IFERROR(INDEX('2 Staff List'!$LS$64:$LS$114,DQ$21),0))</f>
        <v>52.964275000000001</v>
      </c>
      <c r="DR82" s="76">
        <f ca="1">IF(DR$169=0,0,IFERROR(INDEX('2 Staff List'!$LS$64:$LS$114,DR$21),0))</f>
        <v>47.241675000000001</v>
      </c>
      <c r="DS82" s="76">
        <f ca="1">IF(DS$169=0,0,IFERROR(INDEX('2 Staff List'!$LS$64:$LS$114,DS$21),0))</f>
        <v>47.241675000000001</v>
      </c>
      <c r="DT82" s="76">
        <f>IF(DT$169=0,0,IFERROR(INDEX('2 Staff List'!$LS$64:$LS$114,DT$21),0))</f>
        <v>0</v>
      </c>
      <c r="DU82" s="76">
        <f>IF(DU$169=0,0,IFERROR(INDEX('2 Staff List'!$LS$64:$LS$114,DU$21),0))</f>
        <v>0</v>
      </c>
      <c r="DV82" s="76">
        <f>IF(DV$169=0,0,IFERROR(INDEX('2 Staff List'!$LS$64:$LS$114,DV$21),0))</f>
        <v>0</v>
      </c>
      <c r="DW82" s="76">
        <f>IF(DW$169=0,0,IFERROR(INDEX('2 Staff List'!$LS$64:$LS$114,DW$21),0))</f>
        <v>0</v>
      </c>
      <c r="DX82" s="76">
        <f>IF(DX$169=0,0,IFERROR(INDEX('2 Staff List'!$LS$64:$LS$114,DX$21),0))</f>
        <v>0</v>
      </c>
      <c r="DY82" s="76">
        <f>IF(DY$169=0,0,IFERROR(INDEX('2 Staff List'!$LS$64:$LS$114,DY$21),0))</f>
        <v>0</v>
      </c>
      <c r="DZ82" s="76">
        <f>IF(DZ$169=0,0,IFERROR(INDEX('2 Staff List'!$LS$64:$LS$114,DZ$21),0))</f>
        <v>0</v>
      </c>
      <c r="EA82" s="76">
        <f>IF(EA$169=0,0,IFERROR(INDEX('2 Staff List'!$LS$64:$LS$114,EA$21),0))</f>
        <v>0</v>
      </c>
      <c r="EB82" s="76">
        <f>IF(EB$169=0,0,IFERROR(INDEX('2 Staff List'!$LS$64:$LS$114,EB$21),0))</f>
        <v>0</v>
      </c>
      <c r="EC82" s="76">
        <f>IF(EC$169=0,0,IFERROR(INDEX('2 Staff List'!$LS$64:$LS$114,EC$21),0))</f>
        <v>0</v>
      </c>
      <c r="ED82" s="76">
        <f>IF(ED$169=0,0,IFERROR(INDEX('2 Staff List'!$LS$64:$LS$114,ED$21),0))</f>
        <v>0</v>
      </c>
      <c r="EE82" s="76">
        <f>IF(EE$169=0,0,IFERROR(INDEX('2 Staff List'!$LS$64:$LS$114,EE$21),0))</f>
        <v>0</v>
      </c>
      <c r="EF82" s="76">
        <f>IF(EF$169=0,0,IFERROR(INDEX('2 Staff List'!$LS$64:$LS$114,EF$21),0))</f>
        <v>0</v>
      </c>
      <c r="EG82" s="76">
        <f>IF(EG$169=0,0,IFERROR(INDEX('2 Staff List'!$LS$64:$LS$114,EG$21),0))</f>
        <v>0</v>
      </c>
      <c r="EH82" s="76">
        <f>IF(EH$169=0,0,IFERROR(INDEX('2 Staff List'!$LS$64:$LS$114,EH$21),0))</f>
        <v>0</v>
      </c>
      <c r="EI82" s="76">
        <f>IF(EI$169=0,0,IFERROR(INDEX('2 Staff List'!$LS$64:$LS$114,EI$21),0))</f>
        <v>0</v>
      </c>
      <c r="EJ82" s="76">
        <f>IF(EJ$169=0,0,IFERROR(INDEX('2 Staff List'!$LS$64:$LS$114,EJ$21),0))</f>
        <v>0</v>
      </c>
      <c r="EK82" s="76">
        <f>IF(EK$169=0,0,IFERROR(INDEX('2 Staff List'!$LS$64:$LS$114,EK$21),0))</f>
        <v>0</v>
      </c>
      <c r="EL82" s="76">
        <f>IF(EL$169=0,0,IFERROR(INDEX('2 Staff List'!$LS$64:$LS$114,EL$21),0))</f>
        <v>0</v>
      </c>
      <c r="EM82" s="76">
        <f>IF(EM$169=0,0,IFERROR(INDEX('2 Staff List'!$LS$64:$LS$114,EM$21),0))</f>
        <v>0</v>
      </c>
      <c r="EN82" s="76">
        <f>IF(EN$169=0,0,IFERROR(INDEX('2 Staff List'!$LS$64:$LS$114,EN$21),0))</f>
        <v>0</v>
      </c>
      <c r="EO82" s="76">
        <f>IF(EO$169=0,0,IFERROR(INDEX('2 Staff List'!$LS$64:$LS$114,EO$21),0))</f>
        <v>0</v>
      </c>
      <c r="EP82" s="76">
        <f>IF(EP$169=0,0,IFERROR(INDEX('2 Staff List'!$LS$64:$LS$114,EP$21),0))</f>
        <v>0</v>
      </c>
      <c r="EQ82" s="76">
        <f>IF(EQ$169=0,0,IFERROR(INDEX('2 Staff List'!$LS$64:$LS$114,EQ$21),0))</f>
        <v>0</v>
      </c>
      <c r="ER82" s="76">
        <f>IF(ER$169=0,0,IFERROR(INDEX('2 Staff List'!$LS$64:$LS$114,ER$21),0))</f>
        <v>0</v>
      </c>
      <c r="ES82" s="76">
        <f>IF(ES$169=0,0,IFERROR(INDEX('2 Staff List'!$LS$64:$LS$114,ES$21),0))</f>
        <v>0</v>
      </c>
      <c r="ET82" s="76">
        <f>IF(ET$169=0,0,IFERROR(INDEX('2 Staff List'!$LS$64:$LS$114,ET$21),0))</f>
        <v>0</v>
      </c>
      <c r="EU82" s="76">
        <f>IF(EU$169=0,0,IFERROR(INDEX('2 Staff List'!$LS$64:$LS$114,EU$21),0))</f>
        <v>0</v>
      </c>
      <c r="EV82" s="76">
        <f>IF(EV$169=0,0,IFERROR(INDEX('2 Staff List'!$LS$64:$LS$114,EV$21),0))</f>
        <v>0</v>
      </c>
      <c r="EW82" s="76">
        <f>IF(EW$169=0,0,IFERROR(INDEX('2 Staff List'!$LS$64:$LS$114,EW$21),0))</f>
        <v>0</v>
      </c>
      <c r="EX82" s="76">
        <f>IF(EX$169=0,0,IFERROR(INDEX('2 Staff List'!$LS$64:$LS$114,EX$21),0))</f>
        <v>0</v>
      </c>
      <c r="EY82" s="76">
        <f>IF(EY$169=0,0,IFERROR(INDEX('2 Staff List'!$LS$64:$LS$114,EY$21),0))</f>
        <v>0</v>
      </c>
      <c r="EZ82" s="76">
        <f>IF(EZ$169=0,0,IFERROR(INDEX('2 Staff List'!$LS$64:$LS$114,EZ$21),0))</f>
        <v>0</v>
      </c>
      <c r="FA82" s="76">
        <f>IF(FA$169=0,0,IFERROR(INDEX('2 Staff List'!$LS$64:$LS$114,FA$21),0))</f>
        <v>0</v>
      </c>
      <c r="FB82" s="76">
        <f>IF(FB$169=0,0,IFERROR(INDEX('2 Staff List'!$LS$64:$LS$114,FB$21),0))</f>
        <v>0</v>
      </c>
      <c r="FC82" s="76">
        <f>IF(FC$169=0,0,IFERROR(INDEX('2 Staff List'!$LS$64:$LS$114,FC$21),0))</f>
        <v>0</v>
      </c>
      <c r="FD82" s="76">
        <f>IF(FD$169=0,0,IFERROR(INDEX('2 Staff List'!$LS$64:$LS$114,FD$21),0))</f>
        <v>0</v>
      </c>
      <c r="FE82" s="76">
        <f>IF(FE$169=0,0,IFERROR(INDEX('2 Staff List'!$LS$64:$LS$114,FE$21),0))</f>
        <v>0</v>
      </c>
      <c r="FF82" s="76">
        <f>IF(FF$169=0,0,IFERROR(INDEX('2 Staff List'!$LS$64:$LS$114,FF$21),0))</f>
        <v>0</v>
      </c>
      <c r="FG82" s="76">
        <f>IF(FG$169=0,0,IFERROR(INDEX('2 Staff List'!$LS$64:$LS$114,FG$21),0))</f>
        <v>0</v>
      </c>
      <c r="FH82" s="922"/>
      <c r="FI82" s="305"/>
      <c r="FJ82" s="307"/>
      <c r="FK82" s="307"/>
      <c r="FL82" s="285"/>
      <c r="FM82" s="285"/>
      <c r="FN82" s="285"/>
      <c r="FO82" s="285"/>
      <c r="FP82" s="285"/>
      <c r="FQ82" s="285"/>
      <c r="FR82" s="285"/>
      <c r="FS82" s="285"/>
      <c r="FT82" s="285"/>
      <c r="FU82" s="285"/>
      <c r="FV82" s="285"/>
      <c r="FW82" s="285"/>
      <c r="FX82" s="285"/>
      <c r="FY82" s="285"/>
      <c r="FZ82" s="285"/>
      <c r="GA82" s="285"/>
      <c r="GB82" s="285"/>
      <c r="GC82" s="285"/>
      <c r="GD82" s="285"/>
      <c r="GE82" s="285"/>
      <c r="GF82" s="285"/>
      <c r="GG82" s="285"/>
      <c r="GH82" s="285"/>
      <c r="GI82" s="285"/>
      <c r="GJ82" s="310"/>
      <c r="GK82" s="310"/>
      <c r="GL82" s="310"/>
      <c r="GM82" s="285"/>
      <c r="GN82" s="285"/>
      <c r="GO82" s="285"/>
      <c r="GP82" s="285"/>
      <c r="GQ82" s="285"/>
      <c r="GR82" s="285"/>
      <c r="GS82" s="285"/>
      <c r="GT82" s="285"/>
      <c r="GU82" s="285"/>
      <c r="GV82" s="285"/>
      <c r="GW82" s="285"/>
      <c r="GX82" s="285"/>
      <c r="GY82" s="285"/>
      <c r="GZ82" s="285"/>
      <c r="HA82" s="285"/>
      <c r="HB82" s="285"/>
      <c r="HC82" s="285"/>
      <c r="HD82" s="285"/>
      <c r="HE82" s="285"/>
      <c r="HF82" s="285"/>
      <c r="HG82" s="285"/>
      <c r="HH82" s="285"/>
      <c r="HI82" s="285"/>
      <c r="HJ82" s="285"/>
      <c r="HK82" s="285"/>
      <c r="HL82" s="285"/>
      <c r="HM82" s="285"/>
      <c r="HN82" s="285"/>
      <c r="HO82" s="285"/>
      <c r="HP82" s="285"/>
      <c r="HQ82" s="285"/>
      <c r="HR82" s="285"/>
      <c r="HS82" s="285"/>
      <c r="HT82" s="285"/>
      <c r="HU82" s="285"/>
      <c r="HV82" s="285"/>
      <c r="HW82" s="285"/>
      <c r="HX82" s="285"/>
      <c r="HY82" s="285"/>
      <c r="HZ82" s="285"/>
      <c r="IA82" s="285"/>
      <c r="IB82" s="285"/>
      <c r="IC82" s="285"/>
      <c r="ID82" s="285"/>
      <c r="IE82" s="285"/>
      <c r="IF82" s="285"/>
      <c r="IG82" s="285"/>
      <c r="IH82" s="285"/>
      <c r="II82" s="285"/>
      <c r="IJ82" s="285"/>
      <c r="IK82" s="285"/>
      <c r="IL82" s="285"/>
      <c r="IM82" s="285"/>
      <c r="IN82" s="285"/>
      <c r="IO82" s="285"/>
      <c r="IP82" s="285"/>
      <c r="IQ82" s="285"/>
      <c r="IR82" s="285"/>
      <c r="IS82" s="285"/>
      <c r="IT82" s="285"/>
      <c r="IU82" s="285"/>
      <c r="IV82" s="285"/>
      <c r="IW82" s="285"/>
      <c r="IX82" s="285"/>
      <c r="IY82" s="285"/>
      <c r="IZ82" s="285"/>
      <c r="JA82" s="285"/>
      <c r="JB82" s="285"/>
      <c r="JC82" s="285"/>
      <c r="JD82" s="285"/>
      <c r="JE82" s="285"/>
      <c r="JF82" s="285"/>
      <c r="JG82" s="285"/>
      <c r="JH82" s="285"/>
      <c r="JI82" s="285"/>
      <c r="JJ82" s="285"/>
      <c r="JK82" s="285"/>
      <c r="JL82" s="285"/>
      <c r="JM82" s="285"/>
      <c r="JN82" s="285"/>
      <c r="JO82" s="285"/>
      <c r="JP82" s="285"/>
      <c r="JQ82" s="285"/>
      <c r="JR82" s="285"/>
      <c r="JS82" s="285"/>
      <c r="JT82" s="285"/>
      <c r="JU82" s="285"/>
      <c r="JV82" s="285"/>
      <c r="JW82" s="285"/>
      <c r="JX82" s="285"/>
      <c r="JY82" s="285"/>
      <c r="JZ82" s="285"/>
      <c r="KA82" s="285"/>
      <c r="KB82" s="285"/>
      <c r="KC82" s="285"/>
      <c r="KD82" s="285"/>
      <c r="KE82" s="285"/>
      <c r="KF82" s="285"/>
      <c r="KG82" s="285"/>
      <c r="KH82" s="285"/>
      <c r="KI82" s="285"/>
      <c r="KJ82" s="285"/>
      <c r="KK82" s="285"/>
      <c r="KL82" s="285"/>
      <c r="KM82" s="285"/>
      <c r="KN82" s="285"/>
      <c r="KO82" s="285"/>
      <c r="KP82" s="285"/>
      <c r="KQ82" s="285"/>
      <c r="KR82" s="285"/>
      <c r="KS82" s="285"/>
      <c r="KT82" s="285"/>
      <c r="KU82" s="285"/>
      <c r="KV82" s="285"/>
      <c r="KW82" s="285"/>
      <c r="KX82" s="285"/>
      <c r="KY82" s="285"/>
      <c r="KZ82" s="285"/>
      <c r="LA82" s="285"/>
      <c r="LB82" s="285"/>
      <c r="LC82" s="285"/>
      <c r="LD82" s="285"/>
      <c r="LE82" s="285"/>
      <c r="LF82" s="285"/>
      <c r="LG82" s="285"/>
      <c r="LH82" s="285"/>
      <c r="LI82" s="285"/>
      <c r="LJ82" s="285"/>
      <c r="LK82" s="285"/>
      <c r="LL82" s="285"/>
      <c r="LM82" s="285"/>
      <c r="LN82" s="285"/>
      <c r="LO82" s="285"/>
      <c r="LP82" s="285"/>
    </row>
    <row r="83" spans="1:332" ht="12.75" hidden="1" customHeight="1" x14ac:dyDescent="0.3">
      <c r="A83" s="285"/>
      <c r="B83" s="285"/>
      <c r="C83" s="286"/>
      <c r="D83" s="295"/>
      <c r="E83" s="285"/>
      <c r="F83" s="285"/>
      <c r="G83" s="285"/>
      <c r="H83" s="285"/>
      <c r="I83" s="285"/>
      <c r="J83" s="285"/>
      <c r="K83" s="285"/>
      <c r="L83" s="285"/>
      <c r="M83" s="287"/>
      <c r="N83" s="287"/>
      <c r="O83" s="287"/>
      <c r="P83" s="287"/>
      <c r="Q83" s="287"/>
      <c r="R83" s="287"/>
      <c r="S83" s="285"/>
      <c r="T83" s="285"/>
      <c r="U83" s="285"/>
      <c r="V83" s="285"/>
      <c r="W83" s="285"/>
      <c r="X83" s="285"/>
      <c r="Y83" s="285"/>
      <c r="Z83" s="285"/>
      <c r="AA83" s="285"/>
      <c r="AB83" s="285"/>
      <c r="AC83" s="285"/>
      <c r="AD83" s="285"/>
      <c r="AE83" s="285"/>
      <c r="AF83" s="285"/>
      <c r="AG83" s="285"/>
      <c r="AH83" s="2513"/>
      <c r="AI83" s="285"/>
      <c r="AJ83" s="285"/>
      <c r="AK83" s="285"/>
      <c r="AL83" s="285"/>
      <c r="AM83" s="285"/>
      <c r="AN83" s="285"/>
      <c r="AO83" s="285"/>
      <c r="AP83" s="285"/>
      <c r="AQ83" s="285"/>
      <c r="AR83" s="285"/>
      <c r="AS83" s="285"/>
      <c r="AT83" s="285"/>
      <c r="AU83" s="285"/>
      <c r="AV83" s="285"/>
      <c r="AW83" s="285"/>
      <c r="AX83" s="285"/>
      <c r="AY83" s="285"/>
      <c r="AZ83" s="285"/>
      <c r="BA83" s="285"/>
      <c r="BB83" s="285"/>
      <c r="BC83" s="285"/>
      <c r="BD83" s="285"/>
      <c r="BE83" s="285"/>
      <c r="BF83" s="285"/>
      <c r="BG83" s="285"/>
      <c r="BH83" s="285"/>
      <c r="BI83" s="285"/>
      <c r="BJ83" s="285"/>
      <c r="BK83" s="285"/>
      <c r="BL83" s="285"/>
      <c r="BM83" s="285"/>
      <c r="BN83" s="285"/>
      <c r="BO83" s="285"/>
      <c r="BP83" s="285"/>
      <c r="BQ83" s="285"/>
      <c r="BR83" s="285"/>
      <c r="BS83" s="285"/>
      <c r="BT83" s="285"/>
      <c r="BU83" s="285"/>
      <c r="BV83" s="285"/>
      <c r="BW83" s="285"/>
      <c r="BX83" s="285"/>
      <c r="BY83" s="285"/>
      <c r="BZ83" s="285"/>
      <c r="CA83" s="285"/>
      <c r="CB83" s="285"/>
      <c r="CC83" s="285"/>
      <c r="CD83" s="285"/>
      <c r="CE83" s="285"/>
      <c r="CF83" s="285"/>
      <c r="CG83" s="285"/>
      <c r="CH83" s="285"/>
      <c r="CI83" s="285"/>
      <c r="CJ83" s="285"/>
      <c r="CK83" s="285"/>
      <c r="CL83" s="285"/>
      <c r="CM83" s="285"/>
      <c r="CN83" s="285"/>
      <c r="CO83" s="285"/>
      <c r="CP83" s="285"/>
      <c r="CQ83" s="285"/>
      <c r="CR83" s="285"/>
      <c r="CS83" s="285"/>
      <c r="CT83" s="285"/>
      <c r="CU83" s="285"/>
      <c r="CV83" s="285"/>
      <c r="CW83" s="285"/>
      <c r="CX83" s="285"/>
      <c r="CY83" s="285"/>
      <c r="CZ83" s="285"/>
      <c r="DA83" s="285"/>
      <c r="DB83" s="285"/>
      <c r="DC83" s="285"/>
      <c r="DD83" s="285"/>
      <c r="DE83" s="285"/>
      <c r="DF83" s="285"/>
      <c r="DG83" s="285"/>
      <c r="DH83" s="442" t="s">
        <v>2091</v>
      </c>
      <c r="DI83" s="285"/>
      <c r="DJ83" s="76">
        <f ca="1">IF(DJ$169=0,0,IFERROR(INDEX('2 Staff List'!$LT$64:$LT$114,DJ$21),0))</f>
        <v>91.289574999999999</v>
      </c>
      <c r="DK83" s="76">
        <f ca="1">IF(DK$169=0,0,IFERROR(INDEX('2 Staff List'!$LT$64:$LT$114,DK$21),0))</f>
        <v>45.579300000000003</v>
      </c>
      <c r="DL83" s="76">
        <f ca="1">IF(DL$169=0,0,IFERROR(INDEX('2 Staff List'!$LT$64:$LT$114,DL$21),0))</f>
        <v>91.289574999999999</v>
      </c>
      <c r="DM83" s="76">
        <f>IF(DM$169=0,0,IFERROR(INDEX('2 Staff List'!$LT$64:$LT$114,DM$21),0))</f>
        <v>44.405940594059409</v>
      </c>
      <c r="DN83" s="76">
        <f ca="1">IF(DN$169=0,0,IFERROR(INDEX('2 Staff List'!$LT$64:$LT$114,DN$21),0))</f>
        <v>62.676575000000007</v>
      </c>
      <c r="DO83" s="76">
        <f ca="1">IF(DO$169=0,0,IFERROR(INDEX('2 Staff List'!$LT$64:$LT$114,DO$21),0))</f>
        <v>91.289574999999999</v>
      </c>
      <c r="DP83" s="76">
        <f ca="1">IF(DP$169=0,0,IFERROR(INDEX('2 Staff List'!$LT$64:$LT$114,DP$21),0))</f>
        <v>80.710825</v>
      </c>
      <c r="DQ83" s="76">
        <f ca="1">IF(DQ$169=0,0,IFERROR(INDEX('2 Staff List'!$LT$64:$LT$114,DQ$21),0))</f>
        <v>52.964275000000001</v>
      </c>
      <c r="DR83" s="76">
        <f ca="1">IF(DR$169=0,0,IFERROR(INDEX('2 Staff List'!$LT$64:$LT$114,DR$21),0))</f>
        <v>47.241675000000001</v>
      </c>
      <c r="DS83" s="76">
        <f ca="1">IF(DS$169=0,0,IFERROR(INDEX('2 Staff List'!$LT$64:$LT$114,DS$21),0))</f>
        <v>47.241675000000001</v>
      </c>
      <c r="DT83" s="76">
        <f>IF(DT$169=0,0,IFERROR(INDEX('2 Staff List'!$LT$64:$LT$114,DT$21),0))</f>
        <v>0</v>
      </c>
      <c r="DU83" s="76">
        <f>IF(DU$169=0,0,IFERROR(INDEX('2 Staff List'!$LT$64:$LT$114,DU$21),0))</f>
        <v>0</v>
      </c>
      <c r="DV83" s="76">
        <f>IF(DV$169=0,0,IFERROR(INDEX('2 Staff List'!$LT$64:$LT$114,DV$21),0))</f>
        <v>0</v>
      </c>
      <c r="DW83" s="76">
        <f>IF(DW$169=0,0,IFERROR(INDEX('2 Staff List'!$LT$64:$LT$114,DW$21),0))</f>
        <v>0</v>
      </c>
      <c r="DX83" s="76">
        <f>IF(DX$169=0,0,IFERROR(INDEX('2 Staff List'!$LT$64:$LT$114,DX$21),0))</f>
        <v>0</v>
      </c>
      <c r="DY83" s="76">
        <f>IF(DY$169=0,0,IFERROR(INDEX('2 Staff List'!$LT$64:$LT$114,DY$21),0))</f>
        <v>0</v>
      </c>
      <c r="DZ83" s="76">
        <f>IF(DZ$169=0,0,IFERROR(INDEX('2 Staff List'!$LT$64:$LT$114,DZ$21),0))</f>
        <v>0</v>
      </c>
      <c r="EA83" s="76">
        <f>IF(EA$169=0,0,IFERROR(INDEX('2 Staff List'!$LT$64:$LT$114,EA$21),0))</f>
        <v>0</v>
      </c>
      <c r="EB83" s="76">
        <f>IF(EB$169=0,0,IFERROR(INDEX('2 Staff List'!$LT$64:$LT$114,EB$21),0))</f>
        <v>0</v>
      </c>
      <c r="EC83" s="76">
        <f>IF(EC$169=0,0,IFERROR(INDEX('2 Staff List'!$LT$64:$LT$114,EC$21),0))</f>
        <v>0</v>
      </c>
      <c r="ED83" s="76">
        <f>IF(ED$169=0,0,IFERROR(INDEX('2 Staff List'!$LT$64:$LT$114,ED$21),0))</f>
        <v>0</v>
      </c>
      <c r="EE83" s="76">
        <f>IF(EE$169=0,0,IFERROR(INDEX('2 Staff List'!$LT$64:$LT$114,EE$21),0))</f>
        <v>0</v>
      </c>
      <c r="EF83" s="76">
        <f>IF(EF$169=0,0,IFERROR(INDEX('2 Staff List'!$LT$64:$LT$114,EF$21),0))</f>
        <v>0</v>
      </c>
      <c r="EG83" s="76">
        <f>IF(EG$169=0,0,IFERROR(INDEX('2 Staff List'!$LT$64:$LT$114,EG$21),0))</f>
        <v>0</v>
      </c>
      <c r="EH83" s="76">
        <f>IF(EH$169=0,0,IFERROR(INDEX('2 Staff List'!$LT$64:$LT$114,EH$21),0))</f>
        <v>0</v>
      </c>
      <c r="EI83" s="76">
        <f>IF(EI$169=0,0,IFERROR(INDEX('2 Staff List'!$LT$64:$LT$114,EI$21),0))</f>
        <v>0</v>
      </c>
      <c r="EJ83" s="76">
        <f>IF(EJ$169=0,0,IFERROR(INDEX('2 Staff List'!$LT$64:$LT$114,EJ$21),0))</f>
        <v>0</v>
      </c>
      <c r="EK83" s="76">
        <f>IF(EK$169=0,0,IFERROR(INDEX('2 Staff List'!$LT$64:$LT$114,EK$21),0))</f>
        <v>0</v>
      </c>
      <c r="EL83" s="76">
        <f>IF(EL$169=0,0,IFERROR(INDEX('2 Staff List'!$LT$64:$LT$114,EL$21),0))</f>
        <v>0</v>
      </c>
      <c r="EM83" s="76">
        <f>IF(EM$169=0,0,IFERROR(INDEX('2 Staff List'!$LT$64:$LT$114,EM$21),0))</f>
        <v>0</v>
      </c>
      <c r="EN83" s="76">
        <f>IF(EN$169=0,0,IFERROR(INDEX('2 Staff List'!$LT$64:$LT$114,EN$21),0))</f>
        <v>0</v>
      </c>
      <c r="EO83" s="76">
        <f>IF(EO$169=0,0,IFERROR(INDEX('2 Staff List'!$LT$64:$LT$114,EO$21),0))</f>
        <v>0</v>
      </c>
      <c r="EP83" s="76">
        <f>IF(EP$169=0,0,IFERROR(INDEX('2 Staff List'!$LT$64:$LT$114,EP$21),0))</f>
        <v>0</v>
      </c>
      <c r="EQ83" s="76">
        <f>IF(EQ$169=0,0,IFERROR(INDEX('2 Staff List'!$LT$64:$LT$114,EQ$21),0))</f>
        <v>0</v>
      </c>
      <c r="ER83" s="76">
        <f>IF(ER$169=0,0,IFERROR(INDEX('2 Staff List'!$LT$64:$LT$114,ER$21),0))</f>
        <v>0</v>
      </c>
      <c r="ES83" s="76">
        <f>IF(ES$169=0,0,IFERROR(INDEX('2 Staff List'!$LT$64:$LT$114,ES$21),0))</f>
        <v>0</v>
      </c>
      <c r="ET83" s="76">
        <f>IF(ET$169=0,0,IFERROR(INDEX('2 Staff List'!$LT$64:$LT$114,ET$21),0))</f>
        <v>0</v>
      </c>
      <c r="EU83" s="76">
        <f>IF(EU$169=0,0,IFERROR(INDEX('2 Staff List'!$LT$64:$LT$114,EU$21),0))</f>
        <v>0</v>
      </c>
      <c r="EV83" s="76">
        <f>IF(EV$169=0,0,IFERROR(INDEX('2 Staff List'!$LT$64:$LT$114,EV$21),0))</f>
        <v>0</v>
      </c>
      <c r="EW83" s="76">
        <f>IF(EW$169=0,0,IFERROR(INDEX('2 Staff List'!$LT$64:$LT$114,EW$21),0))</f>
        <v>0</v>
      </c>
      <c r="EX83" s="76">
        <f>IF(EX$169=0,0,IFERROR(INDEX('2 Staff List'!$LT$64:$LT$114,EX$21),0))</f>
        <v>0</v>
      </c>
      <c r="EY83" s="76">
        <f>IF(EY$169=0,0,IFERROR(INDEX('2 Staff List'!$LT$64:$LT$114,EY$21),0))</f>
        <v>0</v>
      </c>
      <c r="EZ83" s="76">
        <f>IF(EZ$169=0,0,IFERROR(INDEX('2 Staff List'!$LT$64:$LT$114,EZ$21),0))</f>
        <v>0</v>
      </c>
      <c r="FA83" s="76">
        <f>IF(FA$169=0,0,IFERROR(INDEX('2 Staff List'!$LT$64:$LT$114,FA$21),0))</f>
        <v>0</v>
      </c>
      <c r="FB83" s="76">
        <f>IF(FB$169=0,0,IFERROR(INDEX('2 Staff List'!$LT$64:$LT$114,FB$21),0))</f>
        <v>0</v>
      </c>
      <c r="FC83" s="76">
        <f>IF(FC$169=0,0,IFERROR(INDEX('2 Staff List'!$LT$64:$LT$114,FC$21),0))</f>
        <v>0</v>
      </c>
      <c r="FD83" s="76">
        <f>IF(FD$169=0,0,IFERROR(INDEX('2 Staff List'!$LT$64:$LT$114,FD$21),0))</f>
        <v>0</v>
      </c>
      <c r="FE83" s="76">
        <f>IF(FE$169=0,0,IFERROR(INDEX('2 Staff List'!$LT$64:$LT$114,FE$21),0))</f>
        <v>0</v>
      </c>
      <c r="FF83" s="76">
        <f>IF(FF$169=0,0,IFERROR(INDEX('2 Staff List'!$LT$64:$LT$114,FF$21),0))</f>
        <v>0</v>
      </c>
      <c r="FG83" s="76">
        <f>IF(FG$169=0,0,IFERROR(INDEX('2 Staff List'!$LT$64:$LT$114,FG$21),0))</f>
        <v>0</v>
      </c>
      <c r="FH83" s="922"/>
      <c r="FI83" s="305"/>
      <c r="FJ83" s="307"/>
      <c r="FK83" s="307"/>
      <c r="FL83" s="285"/>
      <c r="FM83" s="285"/>
      <c r="FN83" s="285"/>
      <c r="FO83" s="285"/>
      <c r="FP83" s="285"/>
      <c r="FQ83" s="285"/>
      <c r="FR83" s="285"/>
      <c r="FS83" s="285"/>
      <c r="FT83" s="285"/>
      <c r="FU83" s="285"/>
      <c r="FV83" s="285"/>
      <c r="FW83" s="285"/>
      <c r="FX83" s="285"/>
      <c r="FY83" s="285"/>
      <c r="FZ83" s="285"/>
      <c r="GA83" s="285"/>
      <c r="GB83" s="285"/>
      <c r="GC83" s="285"/>
      <c r="GD83" s="285"/>
      <c r="GE83" s="285"/>
      <c r="GF83" s="285"/>
      <c r="GG83" s="285"/>
      <c r="GH83" s="285"/>
      <c r="GI83" s="285"/>
      <c r="GJ83" s="310"/>
      <c r="GK83" s="310"/>
      <c r="GL83" s="310"/>
      <c r="GM83" s="285"/>
      <c r="GN83" s="285"/>
      <c r="GO83" s="285"/>
      <c r="GP83" s="285"/>
      <c r="GQ83" s="285"/>
      <c r="GR83" s="285"/>
      <c r="GS83" s="285"/>
      <c r="GT83" s="285"/>
      <c r="GU83" s="285"/>
      <c r="GV83" s="285"/>
      <c r="GW83" s="285"/>
      <c r="GX83" s="285"/>
      <c r="GY83" s="285"/>
      <c r="GZ83" s="285"/>
      <c r="HA83" s="285"/>
      <c r="HB83" s="285"/>
      <c r="HC83" s="285"/>
      <c r="HD83" s="285"/>
      <c r="HE83" s="285"/>
      <c r="HF83" s="285"/>
      <c r="HG83" s="285"/>
      <c r="HH83" s="285"/>
      <c r="HI83" s="285"/>
      <c r="HJ83" s="285"/>
      <c r="HK83" s="285"/>
      <c r="HL83" s="285"/>
      <c r="HM83" s="285"/>
      <c r="HN83" s="285"/>
      <c r="HO83" s="285"/>
      <c r="HP83" s="285"/>
      <c r="HQ83" s="285"/>
      <c r="HR83" s="285"/>
      <c r="HS83" s="285"/>
      <c r="HT83" s="285"/>
      <c r="HU83" s="285"/>
      <c r="HV83" s="285"/>
      <c r="HW83" s="285"/>
      <c r="HX83" s="285"/>
      <c r="HY83" s="285"/>
      <c r="HZ83" s="285"/>
      <c r="IA83" s="285"/>
      <c r="IB83" s="285"/>
      <c r="IC83" s="285"/>
      <c r="ID83" s="285"/>
      <c r="IE83" s="285"/>
      <c r="IF83" s="285"/>
      <c r="IG83" s="285"/>
      <c r="IH83" s="285"/>
      <c r="II83" s="285"/>
      <c r="IJ83" s="285"/>
      <c r="IK83" s="285"/>
      <c r="IL83" s="285"/>
      <c r="IM83" s="285"/>
      <c r="IN83" s="285"/>
      <c r="IO83" s="285"/>
      <c r="IP83" s="285"/>
      <c r="IQ83" s="285"/>
      <c r="IR83" s="285"/>
      <c r="IS83" s="285"/>
      <c r="IT83" s="285"/>
      <c r="IU83" s="285"/>
      <c r="IV83" s="285"/>
      <c r="IW83" s="285"/>
      <c r="IX83" s="285"/>
      <c r="IY83" s="285"/>
      <c r="IZ83" s="285"/>
      <c r="JA83" s="285"/>
      <c r="JB83" s="285"/>
      <c r="JC83" s="285"/>
      <c r="JD83" s="285"/>
      <c r="JE83" s="285"/>
      <c r="JF83" s="285"/>
      <c r="JG83" s="285"/>
      <c r="JH83" s="285"/>
      <c r="JI83" s="285"/>
      <c r="JJ83" s="285"/>
      <c r="JK83" s="285"/>
      <c r="JL83" s="285"/>
      <c r="JM83" s="285"/>
      <c r="JN83" s="285"/>
      <c r="JO83" s="285"/>
      <c r="JP83" s="285"/>
      <c r="JQ83" s="285"/>
      <c r="JR83" s="285"/>
      <c r="JS83" s="285"/>
      <c r="JT83" s="285"/>
      <c r="JU83" s="285"/>
      <c r="JV83" s="285"/>
      <c r="JW83" s="285"/>
      <c r="JX83" s="285"/>
      <c r="JY83" s="285"/>
      <c r="JZ83" s="285"/>
      <c r="KA83" s="285"/>
      <c r="KB83" s="285"/>
      <c r="KC83" s="285"/>
      <c r="KD83" s="285"/>
      <c r="KE83" s="285"/>
      <c r="KF83" s="285"/>
      <c r="KG83" s="285"/>
      <c r="KH83" s="285"/>
      <c r="KI83" s="285"/>
      <c r="KJ83" s="285"/>
      <c r="KK83" s="285"/>
      <c r="KL83" s="285"/>
      <c r="KM83" s="285"/>
      <c r="KN83" s="285"/>
      <c r="KO83" s="285"/>
      <c r="KP83" s="285"/>
      <c r="KQ83" s="285"/>
      <c r="KR83" s="285"/>
      <c r="KS83" s="285"/>
      <c r="KT83" s="285"/>
      <c r="KU83" s="285"/>
      <c r="KV83" s="285"/>
      <c r="KW83" s="285"/>
      <c r="KX83" s="285"/>
      <c r="KY83" s="285"/>
      <c r="KZ83" s="285"/>
      <c r="LA83" s="285"/>
      <c r="LB83" s="285"/>
      <c r="LC83" s="285"/>
      <c r="LD83" s="285"/>
      <c r="LE83" s="285"/>
      <c r="LF83" s="285"/>
      <c r="LG83" s="285"/>
      <c r="LH83" s="285"/>
      <c r="LI83" s="285"/>
      <c r="LJ83" s="285"/>
      <c r="LK83" s="285"/>
      <c r="LL83" s="285"/>
      <c r="LM83" s="285"/>
      <c r="LN83" s="285"/>
      <c r="LO83" s="285"/>
      <c r="LP83" s="285"/>
    </row>
    <row r="84" spans="1:332" ht="12.75" hidden="1" customHeight="1" x14ac:dyDescent="0.3">
      <c r="A84" s="285"/>
      <c r="B84" s="285"/>
      <c r="C84" s="286"/>
      <c r="D84" s="285"/>
      <c r="E84" s="285"/>
      <c r="F84" s="285"/>
      <c r="G84" s="285"/>
      <c r="H84" s="285"/>
      <c r="I84" s="285"/>
      <c r="J84" s="285"/>
      <c r="K84" s="285"/>
      <c r="L84" s="285"/>
      <c r="M84" s="287"/>
      <c r="N84" s="287"/>
      <c r="O84" s="287"/>
      <c r="P84" s="287"/>
      <c r="Q84" s="287"/>
      <c r="R84" s="287"/>
      <c r="S84" s="285"/>
      <c r="T84" s="285"/>
      <c r="U84" s="285"/>
      <c r="V84" s="285"/>
      <c r="W84" s="285"/>
      <c r="X84" s="285"/>
      <c r="Y84" s="285"/>
      <c r="Z84" s="285"/>
      <c r="AA84" s="285"/>
      <c r="AB84" s="285"/>
      <c r="AC84" s="285"/>
      <c r="AD84" s="285"/>
      <c r="AE84" s="285"/>
      <c r="AF84" s="285"/>
      <c r="AG84" s="285"/>
      <c r="AH84" s="2513"/>
      <c r="AI84" s="285"/>
      <c r="AJ84" s="285"/>
      <c r="AK84" s="285"/>
      <c r="AL84" s="285"/>
      <c r="AM84" s="285"/>
      <c r="AN84" s="285"/>
      <c r="AO84" s="285"/>
      <c r="AP84" s="285"/>
      <c r="AQ84" s="285"/>
      <c r="AR84" s="285"/>
      <c r="AS84" s="285"/>
      <c r="AT84" s="285"/>
      <c r="AU84" s="285"/>
      <c r="AV84" s="285"/>
      <c r="AW84" s="285"/>
      <c r="AX84" s="285"/>
      <c r="AY84" s="285"/>
      <c r="AZ84" s="285"/>
      <c r="BA84" s="285"/>
      <c r="BB84" s="285"/>
      <c r="BC84" s="285"/>
      <c r="BD84" s="285"/>
      <c r="BE84" s="285"/>
      <c r="BF84" s="285"/>
      <c r="BG84" s="285"/>
      <c r="BH84" s="285"/>
      <c r="BI84" s="285"/>
      <c r="BJ84" s="285"/>
      <c r="BK84" s="285"/>
      <c r="BL84" s="285"/>
      <c r="BM84" s="285"/>
      <c r="BN84" s="285"/>
      <c r="BO84" s="285"/>
      <c r="BP84" s="285"/>
      <c r="BQ84" s="285"/>
      <c r="BR84" s="285"/>
      <c r="BS84" s="285"/>
      <c r="BT84" s="285"/>
      <c r="BU84" s="285"/>
      <c r="BV84" s="285"/>
      <c r="BW84" s="285"/>
      <c r="BX84" s="285"/>
      <c r="BY84" s="285"/>
      <c r="BZ84" s="285"/>
      <c r="CA84" s="285"/>
      <c r="CB84" s="285"/>
      <c r="CC84" s="285"/>
      <c r="CD84" s="285"/>
      <c r="CE84" s="285"/>
      <c r="CF84" s="285"/>
      <c r="CG84" s="285"/>
      <c r="CH84" s="285"/>
      <c r="CI84" s="285"/>
      <c r="CJ84" s="285"/>
      <c r="CK84" s="285"/>
      <c r="CL84" s="285"/>
      <c r="CM84" s="285"/>
      <c r="CN84" s="285"/>
      <c r="CO84" s="285"/>
      <c r="CP84" s="285"/>
      <c r="CQ84" s="285"/>
      <c r="CR84" s="285"/>
      <c r="CS84" s="285"/>
      <c r="CT84" s="285"/>
      <c r="CU84" s="285"/>
      <c r="CV84" s="285"/>
      <c r="CW84" s="285"/>
      <c r="CX84" s="285"/>
      <c r="CY84" s="285"/>
      <c r="CZ84" s="285"/>
      <c r="DA84" s="285"/>
      <c r="DB84" s="285"/>
      <c r="DC84" s="285"/>
      <c r="DD84" s="285"/>
      <c r="DE84" s="285"/>
      <c r="DF84" s="285"/>
      <c r="DG84" s="285"/>
      <c r="DH84" s="442" t="s">
        <v>2092</v>
      </c>
      <c r="DI84" s="285"/>
      <c r="DJ84" s="76">
        <f ca="1">IF(DJ$169=0,0,IFERROR(INDEX('2 Staff List'!$LU$64:$LU$114,DJ$21),0))</f>
        <v>91.289574999999999</v>
      </c>
      <c r="DK84" s="76">
        <f ca="1">IF(DK$169=0,0,IFERROR(INDEX('2 Staff List'!$LU$64:$LU$114,DK$21),0))</f>
        <v>45.579300000000003</v>
      </c>
      <c r="DL84" s="76">
        <f ca="1">IF(DL$169=0,0,IFERROR(INDEX('2 Staff List'!$LU$64:$LU$114,DL$21),0))</f>
        <v>91.289574999999999</v>
      </c>
      <c r="DM84" s="76">
        <f>IF(DM$169=0,0,IFERROR(INDEX('2 Staff List'!$LU$64:$LU$114,DM$21),0))</f>
        <v>44.405940594059409</v>
      </c>
      <c r="DN84" s="76">
        <f ca="1">IF(DN$169=0,0,IFERROR(INDEX('2 Staff List'!$LU$64:$LU$114,DN$21),0))</f>
        <v>62.676575000000007</v>
      </c>
      <c r="DO84" s="76">
        <f ca="1">IF(DO$169=0,0,IFERROR(INDEX('2 Staff List'!$LU$64:$LU$114,DO$21),0))</f>
        <v>91.289574999999999</v>
      </c>
      <c r="DP84" s="76">
        <f ca="1">IF(DP$169=0,0,IFERROR(INDEX('2 Staff List'!$LU$64:$LU$114,DP$21),0))</f>
        <v>80.710825</v>
      </c>
      <c r="DQ84" s="76">
        <f ca="1">IF(DQ$169=0,0,IFERROR(INDEX('2 Staff List'!$LU$64:$LU$114,DQ$21),0))</f>
        <v>52.964275000000001</v>
      </c>
      <c r="DR84" s="76">
        <f ca="1">IF(DR$169=0,0,IFERROR(INDEX('2 Staff List'!$LU$64:$LU$114,DR$21),0))</f>
        <v>47.241675000000001</v>
      </c>
      <c r="DS84" s="76">
        <f ca="1">IF(DS$169=0,0,IFERROR(INDEX('2 Staff List'!$LU$64:$LU$114,DS$21),0))</f>
        <v>47.241675000000001</v>
      </c>
      <c r="DT84" s="76">
        <f>IF(DT$169=0,0,IFERROR(INDEX('2 Staff List'!$LU$64:$LU$114,DT$21),0))</f>
        <v>0</v>
      </c>
      <c r="DU84" s="76">
        <f>IF(DU$169=0,0,IFERROR(INDEX('2 Staff List'!$LU$64:$LU$114,DU$21),0))</f>
        <v>0</v>
      </c>
      <c r="DV84" s="76">
        <f>IF(DV$169=0,0,IFERROR(INDEX('2 Staff List'!$LU$64:$LU$114,DV$21),0))</f>
        <v>0</v>
      </c>
      <c r="DW84" s="76">
        <f>IF(DW$169=0,0,IFERROR(INDEX('2 Staff List'!$LU$64:$LU$114,DW$21),0))</f>
        <v>0</v>
      </c>
      <c r="DX84" s="76">
        <f>IF(DX$169=0,0,IFERROR(INDEX('2 Staff List'!$LU$64:$LU$114,DX$21),0))</f>
        <v>0</v>
      </c>
      <c r="DY84" s="76">
        <f>IF(DY$169=0,0,IFERROR(INDEX('2 Staff List'!$LU$64:$LU$114,DY$21),0))</f>
        <v>0</v>
      </c>
      <c r="DZ84" s="76">
        <f>IF(DZ$169=0,0,IFERROR(INDEX('2 Staff List'!$LU$64:$LU$114,DZ$21),0))</f>
        <v>0</v>
      </c>
      <c r="EA84" s="76">
        <f>IF(EA$169=0,0,IFERROR(INDEX('2 Staff List'!$LU$64:$LU$114,EA$21),0))</f>
        <v>0</v>
      </c>
      <c r="EB84" s="76">
        <f>IF(EB$169=0,0,IFERROR(INDEX('2 Staff List'!$LU$64:$LU$114,EB$21),0))</f>
        <v>0</v>
      </c>
      <c r="EC84" s="76">
        <f>IF(EC$169=0,0,IFERROR(INDEX('2 Staff List'!$LU$64:$LU$114,EC$21),0))</f>
        <v>0</v>
      </c>
      <c r="ED84" s="76">
        <f>IF(ED$169=0,0,IFERROR(INDEX('2 Staff List'!$LU$64:$LU$114,ED$21),0))</f>
        <v>0</v>
      </c>
      <c r="EE84" s="76">
        <f>IF(EE$169=0,0,IFERROR(INDEX('2 Staff List'!$LU$64:$LU$114,EE$21),0))</f>
        <v>0</v>
      </c>
      <c r="EF84" s="76">
        <f>IF(EF$169=0,0,IFERROR(INDEX('2 Staff List'!$LU$64:$LU$114,EF$21),0))</f>
        <v>0</v>
      </c>
      <c r="EG84" s="76">
        <f>IF(EG$169=0,0,IFERROR(INDEX('2 Staff List'!$LU$64:$LU$114,EG$21),0))</f>
        <v>0</v>
      </c>
      <c r="EH84" s="76">
        <f>IF(EH$169=0,0,IFERROR(INDEX('2 Staff List'!$LU$64:$LU$114,EH$21),0))</f>
        <v>0</v>
      </c>
      <c r="EI84" s="76">
        <f>IF(EI$169=0,0,IFERROR(INDEX('2 Staff List'!$LU$64:$LU$114,EI$21),0))</f>
        <v>0</v>
      </c>
      <c r="EJ84" s="76">
        <f>IF(EJ$169=0,0,IFERROR(INDEX('2 Staff List'!$LU$64:$LU$114,EJ$21),0))</f>
        <v>0</v>
      </c>
      <c r="EK84" s="76">
        <f>IF(EK$169=0,0,IFERROR(INDEX('2 Staff List'!$LU$64:$LU$114,EK$21),0))</f>
        <v>0</v>
      </c>
      <c r="EL84" s="76">
        <f>IF(EL$169=0,0,IFERROR(INDEX('2 Staff List'!$LU$64:$LU$114,EL$21),0))</f>
        <v>0</v>
      </c>
      <c r="EM84" s="76">
        <f>IF(EM$169=0,0,IFERROR(INDEX('2 Staff List'!$LU$64:$LU$114,EM$21),0))</f>
        <v>0</v>
      </c>
      <c r="EN84" s="76">
        <f>IF(EN$169=0,0,IFERROR(INDEX('2 Staff List'!$LU$64:$LU$114,EN$21),0))</f>
        <v>0</v>
      </c>
      <c r="EO84" s="76">
        <f>IF(EO$169=0,0,IFERROR(INDEX('2 Staff List'!$LU$64:$LU$114,EO$21),0))</f>
        <v>0</v>
      </c>
      <c r="EP84" s="76">
        <f>IF(EP$169=0,0,IFERROR(INDEX('2 Staff List'!$LU$64:$LU$114,EP$21),0))</f>
        <v>0</v>
      </c>
      <c r="EQ84" s="76">
        <f>IF(EQ$169=0,0,IFERROR(INDEX('2 Staff List'!$LU$64:$LU$114,EQ$21),0))</f>
        <v>0</v>
      </c>
      <c r="ER84" s="76">
        <f>IF(ER$169=0,0,IFERROR(INDEX('2 Staff List'!$LU$64:$LU$114,ER$21),0))</f>
        <v>0</v>
      </c>
      <c r="ES84" s="76">
        <f>IF(ES$169=0,0,IFERROR(INDEX('2 Staff List'!$LU$64:$LU$114,ES$21),0))</f>
        <v>0</v>
      </c>
      <c r="ET84" s="76">
        <f>IF(ET$169=0,0,IFERROR(INDEX('2 Staff List'!$LU$64:$LU$114,ET$21),0))</f>
        <v>0</v>
      </c>
      <c r="EU84" s="76">
        <f>IF(EU$169=0,0,IFERROR(INDEX('2 Staff List'!$LU$64:$LU$114,EU$21),0))</f>
        <v>0</v>
      </c>
      <c r="EV84" s="76">
        <f>IF(EV$169=0,0,IFERROR(INDEX('2 Staff List'!$LU$64:$LU$114,EV$21),0))</f>
        <v>0</v>
      </c>
      <c r="EW84" s="76">
        <f>IF(EW$169=0,0,IFERROR(INDEX('2 Staff List'!$LU$64:$LU$114,EW$21),0))</f>
        <v>0</v>
      </c>
      <c r="EX84" s="76">
        <f>IF(EX$169=0,0,IFERROR(INDEX('2 Staff List'!$LU$64:$LU$114,EX$21),0))</f>
        <v>0</v>
      </c>
      <c r="EY84" s="76">
        <f>IF(EY$169=0,0,IFERROR(INDEX('2 Staff List'!$LU$64:$LU$114,EY$21),0))</f>
        <v>0</v>
      </c>
      <c r="EZ84" s="76">
        <f>IF(EZ$169=0,0,IFERROR(INDEX('2 Staff List'!$LU$64:$LU$114,EZ$21),0))</f>
        <v>0</v>
      </c>
      <c r="FA84" s="76">
        <f>IF(FA$169=0,0,IFERROR(INDEX('2 Staff List'!$LU$64:$LU$114,FA$21),0))</f>
        <v>0</v>
      </c>
      <c r="FB84" s="76">
        <f>IF(FB$169=0,0,IFERROR(INDEX('2 Staff List'!$LU$64:$LU$114,FB$21),0))</f>
        <v>0</v>
      </c>
      <c r="FC84" s="76">
        <f>IF(FC$169=0,0,IFERROR(INDEX('2 Staff List'!$LU$64:$LU$114,FC$21),0))</f>
        <v>0</v>
      </c>
      <c r="FD84" s="76">
        <f>IF(FD$169=0,0,IFERROR(INDEX('2 Staff List'!$LU$64:$LU$114,FD$21),0))</f>
        <v>0</v>
      </c>
      <c r="FE84" s="76">
        <f>IF(FE$169=0,0,IFERROR(INDEX('2 Staff List'!$LU$64:$LU$114,FE$21),0))</f>
        <v>0</v>
      </c>
      <c r="FF84" s="76">
        <f>IF(FF$169=0,0,IFERROR(INDEX('2 Staff List'!$LU$64:$LU$114,FF$21),0))</f>
        <v>0</v>
      </c>
      <c r="FG84" s="76">
        <f>IF(FG$169=0,0,IFERROR(INDEX('2 Staff List'!$LU$64:$LU$114,FG$21),0))</f>
        <v>0</v>
      </c>
      <c r="FH84" s="922"/>
      <c r="FI84" s="305"/>
      <c r="FJ84" s="307"/>
      <c r="FK84" s="307"/>
      <c r="FL84" s="285"/>
      <c r="FM84" s="285"/>
      <c r="FN84" s="285"/>
      <c r="FO84" s="285"/>
      <c r="FP84" s="285"/>
      <c r="FQ84" s="285"/>
      <c r="FR84" s="285"/>
      <c r="FS84" s="285"/>
      <c r="FT84" s="285"/>
      <c r="FU84" s="285"/>
      <c r="FV84" s="285"/>
      <c r="FW84" s="285"/>
      <c r="FX84" s="285"/>
      <c r="FY84" s="285"/>
      <c r="FZ84" s="285"/>
      <c r="GA84" s="285"/>
      <c r="GB84" s="285"/>
      <c r="GC84" s="285"/>
      <c r="GD84" s="285"/>
      <c r="GE84" s="285"/>
      <c r="GF84" s="285"/>
      <c r="GG84" s="285"/>
      <c r="GH84" s="285"/>
      <c r="GI84" s="285"/>
      <c r="GJ84" s="310"/>
      <c r="GK84" s="310"/>
      <c r="GL84" s="310"/>
      <c r="GM84" s="285"/>
      <c r="GN84" s="285"/>
      <c r="GO84" s="285"/>
      <c r="GP84" s="285"/>
      <c r="GQ84" s="285"/>
      <c r="GR84" s="285"/>
      <c r="GS84" s="285"/>
      <c r="GT84" s="285"/>
      <c r="GU84" s="285"/>
      <c r="GV84" s="285"/>
      <c r="GW84" s="285"/>
      <c r="GX84" s="285"/>
      <c r="GY84" s="285"/>
      <c r="GZ84" s="285"/>
      <c r="HA84" s="285"/>
      <c r="HB84" s="285"/>
      <c r="HC84" s="285"/>
      <c r="HD84" s="285"/>
      <c r="HE84" s="285"/>
      <c r="HF84" s="285"/>
      <c r="HG84" s="285"/>
      <c r="HH84" s="285"/>
      <c r="HI84" s="285"/>
      <c r="HJ84" s="285"/>
      <c r="HK84" s="285"/>
      <c r="HL84" s="285"/>
      <c r="HM84" s="285"/>
      <c r="HN84" s="285"/>
      <c r="HO84" s="285"/>
      <c r="HP84" s="285"/>
      <c r="HQ84" s="285"/>
      <c r="HR84" s="285"/>
      <c r="HS84" s="285"/>
      <c r="HT84" s="285"/>
      <c r="HU84" s="285"/>
      <c r="HV84" s="285"/>
      <c r="HW84" s="285"/>
      <c r="HX84" s="285"/>
      <c r="HY84" s="285"/>
      <c r="HZ84" s="285"/>
      <c r="IA84" s="285"/>
      <c r="IB84" s="285"/>
      <c r="IC84" s="285"/>
      <c r="ID84" s="285"/>
      <c r="IE84" s="285"/>
      <c r="IF84" s="285"/>
      <c r="IG84" s="285"/>
      <c r="IH84" s="285"/>
      <c r="II84" s="285"/>
      <c r="IJ84" s="285"/>
      <c r="IK84" s="285"/>
      <c r="IL84" s="285"/>
      <c r="IM84" s="285"/>
      <c r="IN84" s="285"/>
      <c r="IO84" s="285"/>
      <c r="IP84" s="285"/>
      <c r="IQ84" s="285"/>
      <c r="IR84" s="285"/>
      <c r="IS84" s="285"/>
      <c r="IT84" s="285"/>
      <c r="IU84" s="285"/>
      <c r="IV84" s="285"/>
      <c r="IW84" s="285"/>
      <c r="IX84" s="285"/>
      <c r="IY84" s="285"/>
      <c r="IZ84" s="285"/>
      <c r="JA84" s="285"/>
      <c r="JB84" s="285"/>
      <c r="JC84" s="285"/>
      <c r="JD84" s="285"/>
      <c r="JE84" s="285"/>
      <c r="JF84" s="285"/>
      <c r="JG84" s="285"/>
      <c r="JH84" s="285"/>
      <c r="JI84" s="285"/>
      <c r="JJ84" s="285"/>
      <c r="JK84" s="285"/>
      <c r="JL84" s="285"/>
      <c r="JM84" s="285"/>
      <c r="JN84" s="285"/>
      <c r="JO84" s="285"/>
      <c r="JP84" s="285"/>
      <c r="JQ84" s="285"/>
      <c r="JR84" s="285"/>
      <c r="JS84" s="285"/>
      <c r="JT84" s="285"/>
      <c r="JU84" s="285"/>
      <c r="JV84" s="285"/>
      <c r="JW84" s="285"/>
      <c r="JX84" s="285"/>
      <c r="JY84" s="285"/>
      <c r="JZ84" s="285"/>
      <c r="KA84" s="285"/>
      <c r="KB84" s="285"/>
      <c r="KC84" s="285"/>
      <c r="KD84" s="285"/>
      <c r="KE84" s="285"/>
      <c r="KF84" s="285"/>
      <c r="KG84" s="285"/>
      <c r="KH84" s="285"/>
      <c r="KI84" s="285"/>
      <c r="KJ84" s="285"/>
      <c r="KK84" s="285"/>
      <c r="KL84" s="285"/>
      <c r="KM84" s="285"/>
      <c r="KN84" s="285"/>
      <c r="KO84" s="285"/>
      <c r="KP84" s="285"/>
      <c r="KQ84" s="285"/>
      <c r="KR84" s="285"/>
      <c r="KS84" s="285"/>
      <c r="KT84" s="285"/>
      <c r="KU84" s="285"/>
      <c r="KV84" s="285"/>
      <c r="KW84" s="285"/>
      <c r="KX84" s="285"/>
      <c r="KY84" s="285"/>
      <c r="KZ84" s="285"/>
      <c r="LA84" s="285"/>
      <c r="LB84" s="285"/>
      <c r="LC84" s="285"/>
      <c r="LD84" s="285"/>
      <c r="LE84" s="285"/>
      <c r="LF84" s="285"/>
      <c r="LG84" s="285"/>
      <c r="LH84" s="285"/>
      <c r="LI84" s="285"/>
      <c r="LJ84" s="285"/>
      <c r="LK84" s="285"/>
      <c r="LL84" s="285"/>
      <c r="LM84" s="285"/>
      <c r="LN84" s="285"/>
      <c r="LO84" s="285"/>
      <c r="LP84" s="285"/>
    </row>
    <row r="85" spans="1:332" ht="12.75" hidden="1" customHeight="1" x14ac:dyDescent="0.3">
      <c r="A85" s="285"/>
      <c r="B85" s="285"/>
      <c r="C85" s="286"/>
      <c r="D85" s="285"/>
      <c r="E85" s="285"/>
      <c r="F85" s="285"/>
      <c r="G85" s="285"/>
      <c r="H85" s="285"/>
      <c r="I85" s="285"/>
      <c r="J85" s="285"/>
      <c r="K85" s="285"/>
      <c r="L85" s="285"/>
      <c r="M85" s="287"/>
      <c r="N85" s="287"/>
      <c r="O85" s="287"/>
      <c r="P85" s="287"/>
      <c r="Q85" s="287"/>
      <c r="R85" s="287"/>
      <c r="S85" s="285"/>
      <c r="T85" s="285"/>
      <c r="U85" s="285"/>
      <c r="V85" s="285"/>
      <c r="W85" s="285"/>
      <c r="X85" s="285"/>
      <c r="Y85" s="285"/>
      <c r="Z85" s="285"/>
      <c r="AA85" s="285"/>
      <c r="AB85" s="285"/>
      <c r="AC85" s="285"/>
      <c r="AD85" s="285"/>
      <c r="AE85" s="285"/>
      <c r="AF85" s="285"/>
      <c r="AG85" s="285"/>
      <c r="AH85" s="2513"/>
      <c r="AI85" s="285"/>
      <c r="AJ85" s="285"/>
      <c r="AK85" s="285"/>
      <c r="AL85" s="285"/>
      <c r="AM85" s="285"/>
      <c r="AN85" s="285"/>
      <c r="AO85" s="285"/>
      <c r="AP85" s="285"/>
      <c r="AQ85" s="285"/>
      <c r="AR85" s="285"/>
      <c r="AS85" s="285"/>
      <c r="AT85" s="285"/>
      <c r="AU85" s="285"/>
      <c r="AV85" s="285"/>
      <c r="AW85" s="285"/>
      <c r="AX85" s="285"/>
      <c r="AY85" s="285"/>
      <c r="AZ85" s="285"/>
      <c r="BA85" s="285"/>
      <c r="BB85" s="285"/>
      <c r="BC85" s="285"/>
      <c r="BD85" s="285"/>
      <c r="BE85" s="285"/>
      <c r="BF85" s="285"/>
      <c r="BG85" s="285"/>
      <c r="BH85" s="285"/>
      <c r="BI85" s="285"/>
      <c r="BJ85" s="285"/>
      <c r="BK85" s="285"/>
      <c r="BL85" s="285"/>
      <c r="BM85" s="285"/>
      <c r="BN85" s="285"/>
      <c r="BO85" s="285"/>
      <c r="BP85" s="285"/>
      <c r="BQ85" s="285"/>
      <c r="BR85" s="285"/>
      <c r="BS85" s="285"/>
      <c r="BT85" s="285"/>
      <c r="BU85" s="285"/>
      <c r="BV85" s="285"/>
      <c r="BW85" s="285"/>
      <c r="BX85" s="285"/>
      <c r="BY85" s="285"/>
      <c r="BZ85" s="285"/>
      <c r="CA85" s="285"/>
      <c r="CB85" s="285"/>
      <c r="CC85" s="285"/>
      <c r="CD85" s="285"/>
      <c r="CE85" s="285"/>
      <c r="CF85" s="285"/>
      <c r="CG85" s="285"/>
      <c r="CH85" s="285"/>
      <c r="CI85" s="285"/>
      <c r="CJ85" s="285"/>
      <c r="CK85" s="285"/>
      <c r="CL85" s="285"/>
      <c r="CM85" s="285"/>
      <c r="CN85" s="285"/>
      <c r="CO85" s="285"/>
      <c r="CP85" s="285"/>
      <c r="CQ85" s="285"/>
      <c r="CR85" s="285"/>
      <c r="CS85" s="285"/>
      <c r="CT85" s="285"/>
      <c r="CU85" s="285"/>
      <c r="CV85" s="285"/>
      <c r="CW85" s="285"/>
      <c r="CX85" s="285"/>
      <c r="CY85" s="285"/>
      <c r="CZ85" s="285"/>
      <c r="DA85" s="285"/>
      <c r="DB85" s="285"/>
      <c r="DC85" s="285"/>
      <c r="DD85" s="285"/>
      <c r="DE85" s="285"/>
      <c r="DF85" s="285"/>
      <c r="DG85" s="285"/>
      <c r="DH85" s="442" t="s">
        <v>2093</v>
      </c>
      <c r="DI85" s="285"/>
      <c r="DJ85" s="76">
        <f ca="1">IF(DJ$169=0,0,IFERROR(INDEX('2 Staff List'!$LV$64:$LV$114,DJ$21),0))</f>
        <v>91.289574999999999</v>
      </c>
      <c r="DK85" s="76">
        <f ca="1">IF(DK$169=0,0,IFERROR(INDEX('2 Staff List'!$LV$64:$LV$114,DK$21),0))</f>
        <v>45.579300000000003</v>
      </c>
      <c r="DL85" s="76">
        <f ca="1">IF(DL$169=0,0,IFERROR(INDEX('2 Staff List'!$LV$64:$LV$114,DL$21),0))</f>
        <v>91.289574999999999</v>
      </c>
      <c r="DM85" s="76">
        <f>IF(DM$169=0,0,IFERROR(INDEX('2 Staff List'!$LV$64:$LV$114,DM$21),0))</f>
        <v>44.405940594059409</v>
      </c>
      <c r="DN85" s="76">
        <f ca="1">IF(DN$169=0,0,IFERROR(INDEX('2 Staff List'!$LV$64:$LV$114,DN$21),0))</f>
        <v>62.676575000000007</v>
      </c>
      <c r="DO85" s="76">
        <f ca="1">IF(DO$169=0,0,IFERROR(INDEX('2 Staff List'!$LV$64:$LV$114,DO$21),0))</f>
        <v>91.289574999999999</v>
      </c>
      <c r="DP85" s="76">
        <f ca="1">IF(DP$169=0,0,IFERROR(INDEX('2 Staff List'!$LV$64:$LV$114,DP$21),0))</f>
        <v>80.710825</v>
      </c>
      <c r="DQ85" s="76">
        <f ca="1">IF(DQ$169=0,0,IFERROR(INDEX('2 Staff List'!$LV$64:$LV$114,DQ$21),0))</f>
        <v>52.964275000000001</v>
      </c>
      <c r="DR85" s="76">
        <f ca="1">IF(DR$169=0,0,IFERROR(INDEX('2 Staff List'!$LV$64:$LV$114,DR$21),0))</f>
        <v>47.241675000000001</v>
      </c>
      <c r="DS85" s="76">
        <f ca="1">IF(DS$169=0,0,IFERROR(INDEX('2 Staff List'!$LV$64:$LV$114,DS$21),0))</f>
        <v>47.241675000000001</v>
      </c>
      <c r="DT85" s="76">
        <f>IF(DT$169=0,0,IFERROR(INDEX('2 Staff List'!$LV$64:$LV$114,DT$21),0))</f>
        <v>0</v>
      </c>
      <c r="DU85" s="76">
        <f>IF(DU$169=0,0,IFERROR(INDEX('2 Staff List'!$LV$64:$LV$114,DU$21),0))</f>
        <v>0</v>
      </c>
      <c r="DV85" s="76">
        <f>IF(DV$169=0,0,IFERROR(INDEX('2 Staff List'!$LV$64:$LV$114,DV$21),0))</f>
        <v>0</v>
      </c>
      <c r="DW85" s="76">
        <f>IF(DW$169=0,0,IFERROR(INDEX('2 Staff List'!$LV$64:$LV$114,DW$21),0))</f>
        <v>0</v>
      </c>
      <c r="DX85" s="76">
        <f>IF(DX$169=0,0,IFERROR(INDEX('2 Staff List'!$LV$64:$LV$114,DX$21),0))</f>
        <v>0</v>
      </c>
      <c r="DY85" s="76">
        <f>IF(DY$169=0,0,IFERROR(INDEX('2 Staff List'!$LV$64:$LV$114,DY$21),0))</f>
        <v>0</v>
      </c>
      <c r="DZ85" s="76">
        <f>IF(DZ$169=0,0,IFERROR(INDEX('2 Staff List'!$LV$64:$LV$114,DZ$21),0))</f>
        <v>0</v>
      </c>
      <c r="EA85" s="76">
        <f>IF(EA$169=0,0,IFERROR(INDEX('2 Staff List'!$LV$64:$LV$114,EA$21),0))</f>
        <v>0</v>
      </c>
      <c r="EB85" s="76">
        <f>IF(EB$169=0,0,IFERROR(INDEX('2 Staff List'!$LV$64:$LV$114,EB$21),0))</f>
        <v>0</v>
      </c>
      <c r="EC85" s="76">
        <f>IF(EC$169=0,0,IFERROR(INDEX('2 Staff List'!$LV$64:$LV$114,EC$21),0))</f>
        <v>0</v>
      </c>
      <c r="ED85" s="76">
        <f>IF(ED$169=0,0,IFERROR(INDEX('2 Staff List'!$LV$64:$LV$114,ED$21),0))</f>
        <v>0</v>
      </c>
      <c r="EE85" s="76">
        <f>IF(EE$169=0,0,IFERROR(INDEX('2 Staff List'!$LV$64:$LV$114,EE$21),0))</f>
        <v>0</v>
      </c>
      <c r="EF85" s="76">
        <f>IF(EF$169=0,0,IFERROR(INDEX('2 Staff List'!$LV$64:$LV$114,EF$21),0))</f>
        <v>0</v>
      </c>
      <c r="EG85" s="76">
        <f>IF(EG$169=0,0,IFERROR(INDEX('2 Staff List'!$LV$64:$LV$114,EG$21),0))</f>
        <v>0</v>
      </c>
      <c r="EH85" s="76">
        <f>IF(EH$169=0,0,IFERROR(INDEX('2 Staff List'!$LV$64:$LV$114,EH$21),0))</f>
        <v>0</v>
      </c>
      <c r="EI85" s="76">
        <f>IF(EI$169=0,0,IFERROR(INDEX('2 Staff List'!$LV$64:$LV$114,EI$21),0))</f>
        <v>0</v>
      </c>
      <c r="EJ85" s="76">
        <f>IF(EJ$169=0,0,IFERROR(INDEX('2 Staff List'!$LV$64:$LV$114,EJ$21),0))</f>
        <v>0</v>
      </c>
      <c r="EK85" s="76">
        <f>IF(EK$169=0,0,IFERROR(INDEX('2 Staff List'!$LV$64:$LV$114,EK$21),0))</f>
        <v>0</v>
      </c>
      <c r="EL85" s="76">
        <f>IF(EL$169=0,0,IFERROR(INDEX('2 Staff List'!$LV$64:$LV$114,EL$21),0))</f>
        <v>0</v>
      </c>
      <c r="EM85" s="76">
        <f>IF(EM$169=0,0,IFERROR(INDEX('2 Staff List'!$LV$64:$LV$114,EM$21),0))</f>
        <v>0</v>
      </c>
      <c r="EN85" s="76">
        <f>IF(EN$169=0,0,IFERROR(INDEX('2 Staff List'!$LV$64:$LV$114,EN$21),0))</f>
        <v>0</v>
      </c>
      <c r="EO85" s="76">
        <f>IF(EO$169=0,0,IFERROR(INDEX('2 Staff List'!$LV$64:$LV$114,EO$21),0))</f>
        <v>0</v>
      </c>
      <c r="EP85" s="76">
        <f>IF(EP$169=0,0,IFERROR(INDEX('2 Staff List'!$LV$64:$LV$114,EP$21),0))</f>
        <v>0</v>
      </c>
      <c r="EQ85" s="76">
        <f>IF(EQ$169=0,0,IFERROR(INDEX('2 Staff List'!$LV$64:$LV$114,EQ$21),0))</f>
        <v>0</v>
      </c>
      <c r="ER85" s="76">
        <f>IF(ER$169=0,0,IFERROR(INDEX('2 Staff List'!$LV$64:$LV$114,ER$21),0))</f>
        <v>0</v>
      </c>
      <c r="ES85" s="76">
        <f>IF(ES$169=0,0,IFERROR(INDEX('2 Staff List'!$LV$64:$LV$114,ES$21),0))</f>
        <v>0</v>
      </c>
      <c r="ET85" s="76">
        <f>IF(ET$169=0,0,IFERROR(INDEX('2 Staff List'!$LV$64:$LV$114,ET$21),0))</f>
        <v>0</v>
      </c>
      <c r="EU85" s="76">
        <f>IF(EU$169=0,0,IFERROR(INDEX('2 Staff List'!$LV$64:$LV$114,EU$21),0))</f>
        <v>0</v>
      </c>
      <c r="EV85" s="76">
        <f>IF(EV$169=0,0,IFERROR(INDEX('2 Staff List'!$LV$64:$LV$114,EV$21),0))</f>
        <v>0</v>
      </c>
      <c r="EW85" s="76">
        <f>IF(EW$169=0,0,IFERROR(INDEX('2 Staff List'!$LV$64:$LV$114,EW$21),0))</f>
        <v>0</v>
      </c>
      <c r="EX85" s="76">
        <f>IF(EX$169=0,0,IFERROR(INDEX('2 Staff List'!$LV$64:$LV$114,EX$21),0))</f>
        <v>0</v>
      </c>
      <c r="EY85" s="76">
        <f>IF(EY$169=0,0,IFERROR(INDEX('2 Staff List'!$LV$64:$LV$114,EY$21),0))</f>
        <v>0</v>
      </c>
      <c r="EZ85" s="76">
        <f>IF(EZ$169=0,0,IFERROR(INDEX('2 Staff List'!$LV$64:$LV$114,EZ$21),0))</f>
        <v>0</v>
      </c>
      <c r="FA85" s="76">
        <f>IF(FA$169=0,0,IFERROR(INDEX('2 Staff List'!$LV$64:$LV$114,FA$21),0))</f>
        <v>0</v>
      </c>
      <c r="FB85" s="76">
        <f>IF(FB$169=0,0,IFERROR(INDEX('2 Staff List'!$LV$64:$LV$114,FB$21),0))</f>
        <v>0</v>
      </c>
      <c r="FC85" s="76">
        <f>IF(FC$169=0,0,IFERROR(INDEX('2 Staff List'!$LV$64:$LV$114,FC$21),0))</f>
        <v>0</v>
      </c>
      <c r="FD85" s="76">
        <f>IF(FD$169=0,0,IFERROR(INDEX('2 Staff List'!$LV$64:$LV$114,FD$21),0))</f>
        <v>0</v>
      </c>
      <c r="FE85" s="76">
        <f>IF(FE$169=0,0,IFERROR(INDEX('2 Staff List'!$LV$64:$LV$114,FE$21),0))</f>
        <v>0</v>
      </c>
      <c r="FF85" s="76">
        <f>IF(FF$169=0,0,IFERROR(INDEX('2 Staff List'!$LV$64:$LV$114,FF$21),0))</f>
        <v>0</v>
      </c>
      <c r="FG85" s="76">
        <f>IF(FG$169=0,0,IFERROR(INDEX('2 Staff List'!$LV$64:$LV$114,FG$21),0))</f>
        <v>0</v>
      </c>
      <c r="FH85" s="922"/>
      <c r="FI85" s="309"/>
      <c r="FJ85" s="307"/>
      <c r="FK85" s="307"/>
      <c r="FL85" s="285"/>
      <c r="FM85" s="285"/>
      <c r="FN85" s="285"/>
      <c r="FO85" s="285"/>
      <c r="FP85" s="285"/>
      <c r="FQ85" s="285"/>
      <c r="FR85" s="285"/>
      <c r="FS85" s="285"/>
      <c r="FT85" s="285"/>
      <c r="FU85" s="285"/>
      <c r="FV85" s="285"/>
      <c r="FW85" s="285"/>
      <c r="FX85" s="285"/>
      <c r="FY85" s="285"/>
      <c r="FZ85" s="285"/>
      <c r="GA85" s="285"/>
      <c r="GB85" s="285"/>
      <c r="GC85" s="285"/>
      <c r="GD85" s="285"/>
      <c r="GE85" s="285"/>
      <c r="GF85" s="285"/>
      <c r="GG85" s="285"/>
      <c r="GH85" s="285"/>
      <c r="GI85" s="285"/>
      <c r="GJ85" s="310"/>
      <c r="GK85" s="310"/>
      <c r="GL85" s="310"/>
      <c r="GM85" s="285"/>
      <c r="GN85" s="285"/>
      <c r="GO85" s="285"/>
      <c r="GP85" s="285"/>
      <c r="GQ85" s="285"/>
      <c r="GR85" s="285"/>
      <c r="GS85" s="285"/>
      <c r="GT85" s="285"/>
      <c r="GU85" s="285"/>
      <c r="GV85" s="285"/>
      <c r="GW85" s="285"/>
      <c r="GX85" s="285"/>
      <c r="GY85" s="285"/>
      <c r="GZ85" s="285"/>
      <c r="HA85" s="285"/>
      <c r="HB85" s="285"/>
      <c r="HC85" s="285"/>
      <c r="HD85" s="285"/>
      <c r="HE85" s="285"/>
      <c r="HF85" s="285"/>
      <c r="HG85" s="285"/>
      <c r="HH85" s="285"/>
      <c r="HI85" s="285"/>
      <c r="HJ85" s="285"/>
      <c r="HK85" s="285"/>
      <c r="HL85" s="285"/>
      <c r="HM85" s="285"/>
      <c r="HN85" s="285"/>
      <c r="HO85" s="285"/>
      <c r="HP85" s="285"/>
      <c r="HQ85" s="285"/>
      <c r="HR85" s="285"/>
      <c r="HS85" s="285"/>
      <c r="HT85" s="285"/>
      <c r="HU85" s="285"/>
      <c r="HV85" s="285"/>
      <c r="HW85" s="285"/>
      <c r="HX85" s="285"/>
      <c r="HY85" s="285"/>
      <c r="HZ85" s="285"/>
      <c r="IA85" s="285"/>
      <c r="IB85" s="285"/>
      <c r="IC85" s="285"/>
      <c r="ID85" s="285"/>
      <c r="IE85" s="285"/>
      <c r="IF85" s="285"/>
      <c r="IG85" s="285"/>
      <c r="IH85" s="285"/>
      <c r="II85" s="285"/>
      <c r="IJ85" s="285"/>
      <c r="IK85" s="285"/>
      <c r="IL85" s="285"/>
      <c r="IM85" s="285"/>
      <c r="IN85" s="285"/>
      <c r="IO85" s="285"/>
      <c r="IP85" s="285"/>
      <c r="IQ85" s="285"/>
      <c r="IR85" s="285"/>
      <c r="IS85" s="285"/>
      <c r="IT85" s="285"/>
      <c r="IU85" s="285"/>
      <c r="IV85" s="285"/>
      <c r="IW85" s="285"/>
      <c r="IX85" s="285"/>
      <c r="IY85" s="285"/>
      <c r="IZ85" s="285"/>
      <c r="JA85" s="285"/>
      <c r="JB85" s="285"/>
      <c r="JC85" s="285"/>
      <c r="JD85" s="285"/>
      <c r="JE85" s="285"/>
      <c r="JF85" s="285"/>
      <c r="JG85" s="285"/>
      <c r="JH85" s="285"/>
      <c r="JI85" s="285"/>
      <c r="JJ85" s="285"/>
      <c r="JK85" s="285"/>
      <c r="JL85" s="285"/>
      <c r="JM85" s="285"/>
      <c r="JN85" s="285"/>
      <c r="JO85" s="285"/>
      <c r="JP85" s="285"/>
      <c r="JQ85" s="285"/>
      <c r="JR85" s="285"/>
      <c r="JS85" s="285"/>
      <c r="JT85" s="285"/>
      <c r="JU85" s="285"/>
      <c r="JV85" s="285"/>
      <c r="JW85" s="285"/>
      <c r="JX85" s="285"/>
      <c r="JY85" s="285"/>
      <c r="JZ85" s="285"/>
      <c r="KA85" s="285"/>
      <c r="KB85" s="285"/>
      <c r="KC85" s="285"/>
      <c r="KD85" s="285"/>
      <c r="KE85" s="285"/>
      <c r="KF85" s="285"/>
      <c r="KG85" s="285"/>
      <c r="KH85" s="285"/>
      <c r="KI85" s="285"/>
      <c r="KJ85" s="285"/>
      <c r="KK85" s="285"/>
      <c r="KL85" s="285"/>
      <c r="KM85" s="285"/>
      <c r="KN85" s="285"/>
      <c r="KO85" s="285"/>
      <c r="KP85" s="285"/>
      <c r="KQ85" s="285"/>
      <c r="KR85" s="285"/>
      <c r="KS85" s="285"/>
      <c r="KT85" s="285"/>
      <c r="KU85" s="285"/>
      <c r="KV85" s="285"/>
      <c r="KW85" s="285"/>
      <c r="KX85" s="285"/>
      <c r="KY85" s="285"/>
      <c r="KZ85" s="285"/>
      <c r="LA85" s="285"/>
      <c r="LB85" s="285"/>
      <c r="LC85" s="285"/>
      <c r="LD85" s="285"/>
      <c r="LE85" s="285"/>
      <c r="LF85" s="285"/>
      <c r="LG85" s="285"/>
      <c r="LH85" s="285"/>
      <c r="LI85" s="285"/>
      <c r="LJ85" s="285"/>
      <c r="LK85" s="285"/>
      <c r="LL85" s="285"/>
      <c r="LM85" s="285"/>
      <c r="LN85" s="285"/>
      <c r="LO85" s="285"/>
      <c r="LP85" s="285"/>
    </row>
    <row r="86" spans="1:332" ht="12.75" hidden="1" customHeight="1" x14ac:dyDescent="0.3">
      <c r="A86" s="285"/>
      <c r="B86" s="285"/>
      <c r="C86" s="286"/>
      <c r="D86" s="285"/>
      <c r="E86" s="285"/>
      <c r="F86" s="285"/>
      <c r="G86" s="285"/>
      <c r="H86" s="285"/>
      <c r="I86" s="285"/>
      <c r="J86" s="285"/>
      <c r="K86" s="285"/>
      <c r="L86" s="285"/>
      <c r="M86" s="287"/>
      <c r="N86" s="287"/>
      <c r="O86" s="287"/>
      <c r="P86" s="287"/>
      <c r="Q86" s="287"/>
      <c r="R86" s="287"/>
      <c r="S86" s="285"/>
      <c r="T86" s="285"/>
      <c r="U86" s="285"/>
      <c r="V86" s="285"/>
      <c r="W86" s="285"/>
      <c r="X86" s="285"/>
      <c r="Y86" s="285"/>
      <c r="Z86" s="285"/>
      <c r="AA86" s="285"/>
      <c r="AB86" s="285"/>
      <c r="AC86" s="285"/>
      <c r="AD86" s="285"/>
      <c r="AE86" s="285"/>
      <c r="AF86" s="285"/>
      <c r="AG86" s="285"/>
      <c r="AH86" s="2513"/>
      <c r="AI86" s="285"/>
      <c r="AJ86" s="285"/>
      <c r="AK86" s="285"/>
      <c r="AL86" s="285"/>
      <c r="AM86" s="285"/>
      <c r="AN86" s="285"/>
      <c r="AO86" s="285"/>
      <c r="AP86" s="285"/>
      <c r="AQ86" s="285"/>
      <c r="AR86" s="285"/>
      <c r="AS86" s="285"/>
      <c r="AT86" s="285"/>
      <c r="AU86" s="285"/>
      <c r="AV86" s="285"/>
      <c r="AW86" s="285"/>
      <c r="AX86" s="285"/>
      <c r="AY86" s="285"/>
      <c r="AZ86" s="285"/>
      <c r="BA86" s="285"/>
      <c r="BB86" s="285"/>
      <c r="BC86" s="285"/>
      <c r="BD86" s="285"/>
      <c r="BE86" s="285"/>
      <c r="BF86" s="285"/>
      <c r="BG86" s="285"/>
      <c r="BH86" s="285"/>
      <c r="BI86" s="285"/>
      <c r="BJ86" s="285"/>
      <c r="BK86" s="285"/>
      <c r="BL86" s="285"/>
      <c r="BM86" s="285"/>
      <c r="BN86" s="285"/>
      <c r="BO86" s="285"/>
      <c r="BP86" s="285"/>
      <c r="BQ86" s="285"/>
      <c r="BR86" s="285"/>
      <c r="BS86" s="285"/>
      <c r="BT86" s="285"/>
      <c r="BU86" s="285"/>
      <c r="BV86" s="285"/>
      <c r="BW86" s="285"/>
      <c r="BX86" s="285"/>
      <c r="BY86" s="285"/>
      <c r="BZ86" s="285"/>
      <c r="CA86" s="285"/>
      <c r="CB86" s="285"/>
      <c r="CC86" s="285"/>
      <c r="CD86" s="285"/>
      <c r="CE86" s="285"/>
      <c r="CF86" s="285"/>
      <c r="CG86" s="285"/>
      <c r="CH86" s="285"/>
      <c r="CI86" s="285"/>
      <c r="CJ86" s="285"/>
      <c r="CK86" s="285"/>
      <c r="CL86" s="285"/>
      <c r="CM86" s="285"/>
      <c r="CN86" s="285"/>
      <c r="CO86" s="285"/>
      <c r="CP86" s="285"/>
      <c r="CQ86" s="285"/>
      <c r="CR86" s="285"/>
      <c r="CS86" s="285"/>
      <c r="CT86" s="285"/>
      <c r="CU86" s="285"/>
      <c r="CV86" s="285"/>
      <c r="CW86" s="285"/>
      <c r="CX86" s="285"/>
      <c r="CY86" s="285"/>
      <c r="CZ86" s="285"/>
      <c r="DA86" s="285"/>
      <c r="DB86" s="285"/>
      <c r="DC86" s="285"/>
      <c r="DD86" s="285"/>
      <c r="DE86" s="285"/>
      <c r="DF86" s="285"/>
      <c r="DG86" s="285"/>
      <c r="DH86" s="442" t="s">
        <v>2094</v>
      </c>
      <c r="DI86" s="285"/>
      <c r="DJ86" s="76">
        <f ca="1">IF(DJ$169=0,0,IFERROR(INDEX('2 Staff List'!$LW$64:$LW$114,DJ$21),0))</f>
        <v>91.289574999999999</v>
      </c>
      <c r="DK86" s="76">
        <f ca="1">IF(DK$169=0,0,IFERROR(INDEX('2 Staff List'!$LW$64:$LW$114,DK$21),0))</f>
        <v>45.579300000000003</v>
      </c>
      <c r="DL86" s="76">
        <f ca="1">IF(DL$169=0,0,IFERROR(INDEX('2 Staff List'!$LW$64:$LW$114,DL$21),0))</f>
        <v>91.289574999999999</v>
      </c>
      <c r="DM86" s="76">
        <f>IF(DM$169=0,0,IFERROR(INDEX('2 Staff List'!$LW$64:$LW$114,DM$21),0))</f>
        <v>44.405940594059409</v>
      </c>
      <c r="DN86" s="76">
        <f ca="1">IF(DN$169=0,0,IFERROR(INDEX('2 Staff List'!$LW$64:$LW$114,DN$21),0))</f>
        <v>62.676575000000007</v>
      </c>
      <c r="DO86" s="76">
        <f ca="1">IF(DO$169=0,0,IFERROR(INDEX('2 Staff List'!$LW$64:$LW$114,DO$21),0))</f>
        <v>91.289574999999999</v>
      </c>
      <c r="DP86" s="76">
        <f ca="1">IF(DP$169=0,0,IFERROR(INDEX('2 Staff List'!$LW$64:$LW$114,DP$21),0))</f>
        <v>80.710825</v>
      </c>
      <c r="DQ86" s="76">
        <f ca="1">IF(DQ$169=0,0,IFERROR(INDEX('2 Staff List'!$LW$64:$LW$114,DQ$21),0))</f>
        <v>52.964275000000001</v>
      </c>
      <c r="DR86" s="76">
        <f ca="1">IF(DR$169=0,0,IFERROR(INDEX('2 Staff List'!$LW$64:$LW$114,DR$21),0))</f>
        <v>47.241675000000001</v>
      </c>
      <c r="DS86" s="76">
        <f ca="1">IF(DS$169=0,0,IFERROR(INDEX('2 Staff List'!$LW$64:$LW$114,DS$21),0))</f>
        <v>47.241675000000001</v>
      </c>
      <c r="DT86" s="76">
        <f>IF(DT$169=0,0,IFERROR(INDEX('2 Staff List'!$LW$64:$LW$114,DT$21),0))</f>
        <v>0</v>
      </c>
      <c r="DU86" s="76">
        <f>IF(DU$169=0,0,IFERROR(INDEX('2 Staff List'!$LW$64:$LW$114,DU$21),0))</f>
        <v>0</v>
      </c>
      <c r="DV86" s="76">
        <f>IF(DV$169=0,0,IFERROR(INDEX('2 Staff List'!$LW$64:$LW$114,DV$21),0))</f>
        <v>0</v>
      </c>
      <c r="DW86" s="76">
        <f>IF(DW$169=0,0,IFERROR(INDEX('2 Staff List'!$LW$64:$LW$114,DW$21),0))</f>
        <v>0</v>
      </c>
      <c r="DX86" s="76">
        <f>IF(DX$169=0,0,IFERROR(INDEX('2 Staff List'!$LW$64:$LW$114,DX$21),0))</f>
        <v>0</v>
      </c>
      <c r="DY86" s="76">
        <f>IF(DY$169=0,0,IFERROR(INDEX('2 Staff List'!$LW$64:$LW$114,DY$21),0))</f>
        <v>0</v>
      </c>
      <c r="DZ86" s="76">
        <f>IF(DZ$169=0,0,IFERROR(INDEX('2 Staff List'!$LW$64:$LW$114,DZ$21),0))</f>
        <v>0</v>
      </c>
      <c r="EA86" s="76">
        <f>IF(EA$169=0,0,IFERROR(INDEX('2 Staff List'!$LW$64:$LW$114,EA$21),0))</f>
        <v>0</v>
      </c>
      <c r="EB86" s="76">
        <f>IF(EB$169=0,0,IFERROR(INDEX('2 Staff List'!$LW$64:$LW$114,EB$21),0))</f>
        <v>0</v>
      </c>
      <c r="EC86" s="76">
        <f>IF(EC$169=0,0,IFERROR(INDEX('2 Staff List'!$LW$64:$LW$114,EC$21),0))</f>
        <v>0</v>
      </c>
      <c r="ED86" s="76">
        <f>IF(ED$169=0,0,IFERROR(INDEX('2 Staff List'!$LW$64:$LW$114,ED$21),0))</f>
        <v>0</v>
      </c>
      <c r="EE86" s="76">
        <f>IF(EE$169=0,0,IFERROR(INDEX('2 Staff List'!$LW$64:$LW$114,EE$21),0))</f>
        <v>0</v>
      </c>
      <c r="EF86" s="76">
        <f>IF(EF$169=0,0,IFERROR(INDEX('2 Staff List'!$LW$64:$LW$114,EF$21),0))</f>
        <v>0</v>
      </c>
      <c r="EG86" s="76">
        <f>IF(EG$169=0,0,IFERROR(INDEX('2 Staff List'!$LW$64:$LW$114,EG$21),0))</f>
        <v>0</v>
      </c>
      <c r="EH86" s="76">
        <f>IF(EH$169=0,0,IFERROR(INDEX('2 Staff List'!$LW$64:$LW$114,EH$21),0))</f>
        <v>0</v>
      </c>
      <c r="EI86" s="76">
        <f>IF(EI$169=0,0,IFERROR(INDEX('2 Staff List'!$LW$64:$LW$114,EI$21),0))</f>
        <v>0</v>
      </c>
      <c r="EJ86" s="76">
        <f>IF(EJ$169=0,0,IFERROR(INDEX('2 Staff List'!$LW$64:$LW$114,EJ$21),0))</f>
        <v>0</v>
      </c>
      <c r="EK86" s="76">
        <f>IF(EK$169=0,0,IFERROR(INDEX('2 Staff List'!$LW$64:$LW$114,EK$21),0))</f>
        <v>0</v>
      </c>
      <c r="EL86" s="76">
        <f>IF(EL$169=0,0,IFERROR(INDEX('2 Staff List'!$LW$64:$LW$114,EL$21),0))</f>
        <v>0</v>
      </c>
      <c r="EM86" s="76">
        <f>IF(EM$169=0,0,IFERROR(INDEX('2 Staff List'!$LW$64:$LW$114,EM$21),0))</f>
        <v>0</v>
      </c>
      <c r="EN86" s="76">
        <f>IF(EN$169=0,0,IFERROR(INDEX('2 Staff List'!$LW$64:$LW$114,EN$21),0))</f>
        <v>0</v>
      </c>
      <c r="EO86" s="76">
        <f>IF(EO$169=0,0,IFERROR(INDEX('2 Staff List'!$LW$64:$LW$114,EO$21),0))</f>
        <v>0</v>
      </c>
      <c r="EP86" s="76">
        <f>IF(EP$169=0,0,IFERROR(INDEX('2 Staff List'!$LW$64:$LW$114,EP$21),0))</f>
        <v>0</v>
      </c>
      <c r="EQ86" s="76">
        <f>IF(EQ$169=0,0,IFERROR(INDEX('2 Staff List'!$LW$64:$LW$114,EQ$21),0))</f>
        <v>0</v>
      </c>
      <c r="ER86" s="76">
        <f>IF(ER$169=0,0,IFERROR(INDEX('2 Staff List'!$LW$64:$LW$114,ER$21),0))</f>
        <v>0</v>
      </c>
      <c r="ES86" s="76">
        <f>IF(ES$169=0,0,IFERROR(INDEX('2 Staff List'!$LW$64:$LW$114,ES$21),0))</f>
        <v>0</v>
      </c>
      <c r="ET86" s="76">
        <f>IF(ET$169=0,0,IFERROR(INDEX('2 Staff List'!$LW$64:$LW$114,ET$21),0))</f>
        <v>0</v>
      </c>
      <c r="EU86" s="76">
        <f>IF(EU$169=0,0,IFERROR(INDEX('2 Staff List'!$LW$64:$LW$114,EU$21),0))</f>
        <v>0</v>
      </c>
      <c r="EV86" s="76">
        <f>IF(EV$169=0,0,IFERROR(INDEX('2 Staff List'!$LW$64:$LW$114,EV$21),0))</f>
        <v>0</v>
      </c>
      <c r="EW86" s="76">
        <f>IF(EW$169=0,0,IFERROR(INDEX('2 Staff List'!$LW$64:$LW$114,EW$21),0))</f>
        <v>0</v>
      </c>
      <c r="EX86" s="76">
        <f>IF(EX$169=0,0,IFERROR(INDEX('2 Staff List'!$LW$64:$LW$114,EX$21),0))</f>
        <v>0</v>
      </c>
      <c r="EY86" s="76">
        <f>IF(EY$169=0,0,IFERROR(INDEX('2 Staff List'!$LW$64:$LW$114,EY$21),0))</f>
        <v>0</v>
      </c>
      <c r="EZ86" s="76">
        <f>IF(EZ$169=0,0,IFERROR(INDEX('2 Staff List'!$LW$64:$LW$114,EZ$21),0))</f>
        <v>0</v>
      </c>
      <c r="FA86" s="76">
        <f>IF(FA$169=0,0,IFERROR(INDEX('2 Staff List'!$LW$64:$LW$114,FA$21),0))</f>
        <v>0</v>
      </c>
      <c r="FB86" s="76">
        <f>IF(FB$169=0,0,IFERROR(INDEX('2 Staff List'!$LW$64:$LW$114,FB$21),0))</f>
        <v>0</v>
      </c>
      <c r="FC86" s="76">
        <f>IF(FC$169=0,0,IFERROR(INDEX('2 Staff List'!$LW$64:$LW$114,FC$21),0))</f>
        <v>0</v>
      </c>
      <c r="FD86" s="76">
        <f>IF(FD$169=0,0,IFERROR(INDEX('2 Staff List'!$LW$64:$LW$114,FD$21),0))</f>
        <v>0</v>
      </c>
      <c r="FE86" s="76">
        <f>IF(FE$169=0,0,IFERROR(INDEX('2 Staff List'!$LW$64:$LW$114,FE$21),0))</f>
        <v>0</v>
      </c>
      <c r="FF86" s="76">
        <f>IF(FF$169=0,0,IFERROR(INDEX('2 Staff List'!$LW$64:$LW$114,FF$21),0))</f>
        <v>0</v>
      </c>
      <c r="FG86" s="76">
        <f>IF(FG$169=0,0,IFERROR(INDEX('2 Staff List'!$LW$64:$LW$114,FG$21),0))</f>
        <v>0</v>
      </c>
      <c r="FH86" s="922"/>
      <c r="FI86" s="309"/>
      <c r="FJ86" s="307"/>
      <c r="FK86" s="307"/>
      <c r="FL86" s="285"/>
      <c r="FM86" s="285"/>
      <c r="FN86" s="285"/>
      <c r="FO86" s="285"/>
      <c r="FP86" s="285"/>
      <c r="FQ86" s="285"/>
      <c r="FR86" s="285"/>
      <c r="FS86" s="285"/>
      <c r="FT86" s="285"/>
      <c r="FU86" s="285"/>
      <c r="FV86" s="285"/>
      <c r="FW86" s="285"/>
      <c r="FX86" s="285"/>
      <c r="FY86" s="285"/>
      <c r="FZ86" s="285"/>
      <c r="GA86" s="285"/>
      <c r="GB86" s="285"/>
      <c r="GC86" s="285"/>
      <c r="GD86" s="285"/>
      <c r="GE86" s="285"/>
      <c r="GF86" s="285"/>
      <c r="GG86" s="285"/>
      <c r="GH86" s="285"/>
      <c r="GI86" s="285"/>
      <c r="GJ86" s="310"/>
      <c r="GK86" s="310"/>
      <c r="GL86" s="310"/>
      <c r="GM86" s="285"/>
      <c r="GN86" s="285"/>
      <c r="GO86" s="285"/>
      <c r="GP86" s="285"/>
      <c r="GQ86" s="285"/>
      <c r="GR86" s="285"/>
      <c r="GS86" s="285"/>
      <c r="GT86" s="285"/>
      <c r="GU86" s="285"/>
      <c r="GV86" s="285"/>
      <c r="GW86" s="285"/>
      <c r="GX86" s="285"/>
      <c r="GY86" s="285"/>
      <c r="GZ86" s="285"/>
      <c r="HA86" s="285"/>
      <c r="HB86" s="285"/>
      <c r="HC86" s="285"/>
      <c r="HD86" s="285"/>
      <c r="HE86" s="285"/>
      <c r="HF86" s="285"/>
      <c r="HG86" s="285"/>
      <c r="HH86" s="285"/>
      <c r="HI86" s="285"/>
      <c r="HJ86" s="285"/>
      <c r="HK86" s="285"/>
      <c r="HL86" s="285"/>
      <c r="HM86" s="285"/>
      <c r="HN86" s="285"/>
      <c r="HO86" s="285"/>
      <c r="HP86" s="285"/>
      <c r="HQ86" s="285"/>
      <c r="HR86" s="285"/>
      <c r="HS86" s="285"/>
      <c r="HT86" s="285"/>
      <c r="HU86" s="285"/>
      <c r="HV86" s="285"/>
      <c r="HW86" s="285"/>
      <c r="HX86" s="285"/>
      <c r="HY86" s="285"/>
      <c r="HZ86" s="285"/>
      <c r="IA86" s="285"/>
      <c r="IB86" s="285"/>
      <c r="IC86" s="285"/>
      <c r="ID86" s="285"/>
      <c r="IE86" s="285"/>
      <c r="IF86" s="285"/>
      <c r="IG86" s="285"/>
      <c r="IH86" s="285"/>
      <c r="II86" s="285"/>
      <c r="IJ86" s="285"/>
      <c r="IK86" s="285"/>
      <c r="IL86" s="285"/>
      <c r="IM86" s="285"/>
      <c r="IN86" s="285"/>
      <c r="IO86" s="285"/>
      <c r="IP86" s="285"/>
      <c r="IQ86" s="285"/>
      <c r="IR86" s="285"/>
      <c r="IS86" s="285"/>
      <c r="IT86" s="285"/>
      <c r="IU86" s="285"/>
      <c r="IV86" s="285"/>
      <c r="IW86" s="285"/>
      <c r="IX86" s="285"/>
      <c r="IY86" s="285"/>
      <c r="IZ86" s="285"/>
      <c r="JA86" s="285"/>
      <c r="JB86" s="285"/>
      <c r="JC86" s="285"/>
      <c r="JD86" s="285"/>
      <c r="JE86" s="285"/>
      <c r="JF86" s="285"/>
      <c r="JG86" s="285"/>
      <c r="JH86" s="285"/>
      <c r="JI86" s="285"/>
      <c r="JJ86" s="285"/>
      <c r="JK86" s="285"/>
      <c r="JL86" s="285"/>
      <c r="JM86" s="285"/>
      <c r="JN86" s="285"/>
      <c r="JO86" s="285"/>
      <c r="JP86" s="285"/>
      <c r="JQ86" s="285"/>
      <c r="JR86" s="285"/>
      <c r="JS86" s="285"/>
      <c r="JT86" s="285"/>
      <c r="JU86" s="285"/>
      <c r="JV86" s="285"/>
      <c r="JW86" s="285"/>
      <c r="JX86" s="285"/>
      <c r="JY86" s="285"/>
      <c r="JZ86" s="285"/>
      <c r="KA86" s="285"/>
      <c r="KB86" s="285"/>
      <c r="KC86" s="285"/>
      <c r="KD86" s="285"/>
      <c r="KE86" s="285"/>
      <c r="KF86" s="285"/>
      <c r="KG86" s="285"/>
      <c r="KH86" s="285"/>
      <c r="KI86" s="285"/>
      <c r="KJ86" s="285"/>
      <c r="KK86" s="285"/>
      <c r="KL86" s="285"/>
      <c r="KM86" s="285"/>
      <c r="KN86" s="285"/>
      <c r="KO86" s="285"/>
      <c r="KP86" s="285"/>
      <c r="KQ86" s="285"/>
      <c r="KR86" s="285"/>
      <c r="KS86" s="285"/>
      <c r="KT86" s="285"/>
      <c r="KU86" s="285"/>
      <c r="KV86" s="285"/>
      <c r="KW86" s="285"/>
      <c r="KX86" s="285"/>
      <c r="KY86" s="285"/>
      <c r="KZ86" s="285"/>
      <c r="LA86" s="285"/>
      <c r="LB86" s="285"/>
      <c r="LC86" s="285"/>
      <c r="LD86" s="285"/>
      <c r="LE86" s="285"/>
      <c r="LF86" s="285"/>
      <c r="LG86" s="285"/>
      <c r="LH86" s="285"/>
      <c r="LI86" s="285"/>
      <c r="LJ86" s="285"/>
      <c r="LK86" s="285"/>
      <c r="LL86" s="285"/>
      <c r="LM86" s="285"/>
      <c r="LN86" s="285"/>
      <c r="LO86" s="285"/>
      <c r="LP86" s="285"/>
    </row>
    <row r="87" spans="1:332" ht="12.75" hidden="1" customHeight="1" x14ac:dyDescent="0.3">
      <c r="A87" s="285"/>
      <c r="B87" s="285"/>
      <c r="C87" s="286"/>
      <c r="D87" s="285"/>
      <c r="E87" s="285"/>
      <c r="F87" s="285"/>
      <c r="G87" s="285"/>
      <c r="H87" s="285"/>
      <c r="I87" s="285"/>
      <c r="J87" s="285"/>
      <c r="K87" s="285"/>
      <c r="L87" s="285"/>
      <c r="M87" s="287"/>
      <c r="N87" s="287"/>
      <c r="O87" s="287"/>
      <c r="P87" s="287"/>
      <c r="Q87" s="287"/>
      <c r="R87" s="287"/>
      <c r="S87" s="285"/>
      <c r="T87" s="285"/>
      <c r="U87" s="285"/>
      <c r="V87" s="285"/>
      <c r="W87" s="285"/>
      <c r="X87" s="285"/>
      <c r="Y87" s="285"/>
      <c r="Z87" s="285"/>
      <c r="AA87" s="285"/>
      <c r="AB87" s="285"/>
      <c r="AC87" s="285"/>
      <c r="AD87" s="285"/>
      <c r="AE87" s="285"/>
      <c r="AF87" s="285"/>
      <c r="AG87" s="285"/>
      <c r="AH87" s="2513"/>
      <c r="AI87" s="285"/>
      <c r="AJ87" s="285"/>
      <c r="AK87" s="285"/>
      <c r="AL87" s="285"/>
      <c r="AM87" s="285"/>
      <c r="AN87" s="285"/>
      <c r="AO87" s="285"/>
      <c r="AP87" s="285"/>
      <c r="AQ87" s="285"/>
      <c r="AR87" s="285"/>
      <c r="AS87" s="285"/>
      <c r="AT87" s="285"/>
      <c r="AU87" s="285"/>
      <c r="AV87" s="285"/>
      <c r="AW87" s="285"/>
      <c r="AX87" s="285"/>
      <c r="AY87" s="285"/>
      <c r="AZ87" s="285"/>
      <c r="BA87" s="285"/>
      <c r="BB87" s="285"/>
      <c r="BC87" s="285"/>
      <c r="BD87" s="285"/>
      <c r="BE87" s="285"/>
      <c r="BF87" s="285"/>
      <c r="BG87" s="285"/>
      <c r="BH87" s="285"/>
      <c r="BI87" s="285"/>
      <c r="BJ87" s="285"/>
      <c r="BK87" s="285"/>
      <c r="BL87" s="285"/>
      <c r="BM87" s="285"/>
      <c r="BN87" s="285"/>
      <c r="BO87" s="285"/>
      <c r="BP87" s="285"/>
      <c r="BQ87" s="285"/>
      <c r="BR87" s="285"/>
      <c r="BS87" s="285"/>
      <c r="BT87" s="285"/>
      <c r="BU87" s="285"/>
      <c r="BV87" s="285"/>
      <c r="BW87" s="285"/>
      <c r="BX87" s="285"/>
      <c r="BY87" s="285"/>
      <c r="BZ87" s="285"/>
      <c r="CA87" s="285"/>
      <c r="CB87" s="285"/>
      <c r="CC87" s="285"/>
      <c r="CD87" s="285"/>
      <c r="CE87" s="285"/>
      <c r="CF87" s="285"/>
      <c r="CG87" s="285"/>
      <c r="CH87" s="285"/>
      <c r="CI87" s="285"/>
      <c r="CJ87" s="285"/>
      <c r="CK87" s="285"/>
      <c r="CL87" s="285"/>
      <c r="CM87" s="285"/>
      <c r="CN87" s="285"/>
      <c r="CO87" s="285"/>
      <c r="CP87" s="285"/>
      <c r="CQ87" s="285"/>
      <c r="CR87" s="285"/>
      <c r="CS87" s="285"/>
      <c r="CT87" s="285"/>
      <c r="CU87" s="285"/>
      <c r="CV87" s="285"/>
      <c r="CW87" s="285"/>
      <c r="CX87" s="285"/>
      <c r="CY87" s="285"/>
      <c r="CZ87" s="285"/>
      <c r="DA87" s="285"/>
      <c r="DB87" s="285"/>
      <c r="DC87" s="285"/>
      <c r="DD87" s="285"/>
      <c r="DE87" s="285"/>
      <c r="DF87" s="285"/>
      <c r="DG87" s="285"/>
      <c r="DH87" s="442" t="s">
        <v>2095</v>
      </c>
      <c r="DI87" s="285"/>
      <c r="DJ87" s="76">
        <f ca="1">IF(DJ$169=0,0,IFERROR(INDEX('2 Staff List'!$LX$64:$LX$114,DJ$21),0))</f>
        <v>91.289574999999999</v>
      </c>
      <c r="DK87" s="76">
        <f ca="1">IF(DK$169=0,0,IFERROR(INDEX('2 Staff List'!$LX$64:$LX$114,DK$21),0))</f>
        <v>45.579300000000003</v>
      </c>
      <c r="DL87" s="76">
        <f ca="1">IF(DL$169=0,0,IFERROR(INDEX('2 Staff List'!$LX$64:$LX$114,DL$21),0))</f>
        <v>91.289574999999999</v>
      </c>
      <c r="DM87" s="76">
        <f>IF(DM$169=0,0,IFERROR(INDEX('2 Staff List'!$LX$64:$LX$114,DM$21),0))</f>
        <v>44.405940594059409</v>
      </c>
      <c r="DN87" s="76">
        <f ca="1">IF(DN$169=0,0,IFERROR(INDEX('2 Staff List'!$LX$64:$LX$114,DN$21),0))</f>
        <v>62.676575000000007</v>
      </c>
      <c r="DO87" s="76">
        <f ca="1">IF(DO$169=0,0,IFERROR(INDEX('2 Staff List'!$LX$64:$LX$114,DO$21),0))</f>
        <v>91.289574999999999</v>
      </c>
      <c r="DP87" s="76">
        <f ca="1">IF(DP$169=0,0,IFERROR(INDEX('2 Staff List'!$LX$64:$LX$114,DP$21),0))</f>
        <v>80.710825</v>
      </c>
      <c r="DQ87" s="76">
        <f ca="1">IF(DQ$169=0,0,IFERROR(INDEX('2 Staff List'!$LX$64:$LX$114,DQ$21),0))</f>
        <v>52.964275000000001</v>
      </c>
      <c r="DR87" s="76">
        <f ca="1">IF(DR$169=0,0,IFERROR(INDEX('2 Staff List'!$LX$64:$LX$114,DR$21),0))</f>
        <v>47.241675000000001</v>
      </c>
      <c r="DS87" s="76">
        <f ca="1">IF(DS$169=0,0,IFERROR(INDEX('2 Staff List'!$LX$64:$LX$114,DS$21),0))</f>
        <v>47.241675000000001</v>
      </c>
      <c r="DT87" s="76">
        <f>IF(DT$169=0,0,IFERROR(INDEX('2 Staff List'!$LX$64:$LX$114,DT$21),0))</f>
        <v>0</v>
      </c>
      <c r="DU87" s="76">
        <f>IF(DU$169=0,0,IFERROR(INDEX('2 Staff List'!$LX$64:$LX$114,DU$21),0))</f>
        <v>0</v>
      </c>
      <c r="DV87" s="76">
        <f>IF(DV$169=0,0,IFERROR(INDEX('2 Staff List'!$LX$64:$LX$114,DV$21),0))</f>
        <v>0</v>
      </c>
      <c r="DW87" s="76">
        <f>IF(DW$169=0,0,IFERROR(INDEX('2 Staff List'!$LX$64:$LX$114,DW$21),0))</f>
        <v>0</v>
      </c>
      <c r="DX87" s="76">
        <f>IF(DX$169=0,0,IFERROR(INDEX('2 Staff List'!$LX$64:$LX$114,DX$21),0))</f>
        <v>0</v>
      </c>
      <c r="DY87" s="76">
        <f>IF(DY$169=0,0,IFERROR(INDEX('2 Staff List'!$LX$64:$LX$114,DY$21),0))</f>
        <v>0</v>
      </c>
      <c r="DZ87" s="76">
        <f>IF(DZ$169=0,0,IFERROR(INDEX('2 Staff List'!$LX$64:$LX$114,DZ$21),0))</f>
        <v>0</v>
      </c>
      <c r="EA87" s="76">
        <f>IF(EA$169=0,0,IFERROR(INDEX('2 Staff List'!$LX$64:$LX$114,EA$21),0))</f>
        <v>0</v>
      </c>
      <c r="EB87" s="76">
        <f>IF(EB$169=0,0,IFERROR(INDEX('2 Staff List'!$LX$64:$LX$114,EB$21),0))</f>
        <v>0</v>
      </c>
      <c r="EC87" s="76">
        <f>IF(EC$169=0,0,IFERROR(INDEX('2 Staff List'!$LX$64:$LX$114,EC$21),0))</f>
        <v>0</v>
      </c>
      <c r="ED87" s="76">
        <f>IF(ED$169=0,0,IFERROR(INDEX('2 Staff List'!$LX$64:$LX$114,ED$21),0))</f>
        <v>0</v>
      </c>
      <c r="EE87" s="76">
        <f>IF(EE$169=0,0,IFERROR(INDEX('2 Staff List'!$LX$64:$LX$114,EE$21),0))</f>
        <v>0</v>
      </c>
      <c r="EF87" s="76">
        <f>IF(EF$169=0,0,IFERROR(INDEX('2 Staff List'!$LX$64:$LX$114,EF$21),0))</f>
        <v>0</v>
      </c>
      <c r="EG87" s="76">
        <f>IF(EG$169=0,0,IFERROR(INDEX('2 Staff List'!$LX$64:$LX$114,EG$21),0))</f>
        <v>0</v>
      </c>
      <c r="EH87" s="76">
        <f>IF(EH$169=0,0,IFERROR(INDEX('2 Staff List'!$LX$64:$LX$114,EH$21),0))</f>
        <v>0</v>
      </c>
      <c r="EI87" s="76">
        <f>IF(EI$169=0,0,IFERROR(INDEX('2 Staff List'!$LX$64:$LX$114,EI$21),0))</f>
        <v>0</v>
      </c>
      <c r="EJ87" s="76">
        <f>IF(EJ$169=0,0,IFERROR(INDEX('2 Staff List'!$LX$64:$LX$114,EJ$21),0))</f>
        <v>0</v>
      </c>
      <c r="EK87" s="76">
        <f>IF(EK$169=0,0,IFERROR(INDEX('2 Staff List'!$LX$64:$LX$114,EK$21),0))</f>
        <v>0</v>
      </c>
      <c r="EL87" s="76">
        <f>IF(EL$169=0,0,IFERROR(INDEX('2 Staff List'!$LX$64:$LX$114,EL$21),0))</f>
        <v>0</v>
      </c>
      <c r="EM87" s="76">
        <f>IF(EM$169=0,0,IFERROR(INDEX('2 Staff List'!$LX$64:$LX$114,EM$21),0))</f>
        <v>0</v>
      </c>
      <c r="EN87" s="76">
        <f>IF(EN$169=0,0,IFERROR(INDEX('2 Staff List'!$LX$64:$LX$114,EN$21),0))</f>
        <v>0</v>
      </c>
      <c r="EO87" s="76">
        <f>IF(EO$169=0,0,IFERROR(INDEX('2 Staff List'!$LX$64:$LX$114,EO$21),0))</f>
        <v>0</v>
      </c>
      <c r="EP87" s="76">
        <f>IF(EP$169=0,0,IFERROR(INDEX('2 Staff List'!$LX$64:$LX$114,EP$21),0))</f>
        <v>0</v>
      </c>
      <c r="EQ87" s="76">
        <f>IF(EQ$169=0,0,IFERROR(INDEX('2 Staff List'!$LX$64:$LX$114,EQ$21),0))</f>
        <v>0</v>
      </c>
      <c r="ER87" s="76">
        <f>IF(ER$169=0,0,IFERROR(INDEX('2 Staff List'!$LX$64:$LX$114,ER$21),0))</f>
        <v>0</v>
      </c>
      <c r="ES87" s="76">
        <f>IF(ES$169=0,0,IFERROR(INDEX('2 Staff List'!$LX$64:$LX$114,ES$21),0))</f>
        <v>0</v>
      </c>
      <c r="ET87" s="76">
        <f>IF(ET$169=0,0,IFERROR(INDEX('2 Staff List'!$LX$64:$LX$114,ET$21),0))</f>
        <v>0</v>
      </c>
      <c r="EU87" s="76">
        <f>IF(EU$169=0,0,IFERROR(INDEX('2 Staff List'!$LX$64:$LX$114,EU$21),0))</f>
        <v>0</v>
      </c>
      <c r="EV87" s="76">
        <f>IF(EV$169=0,0,IFERROR(INDEX('2 Staff List'!$LX$64:$LX$114,EV$21),0))</f>
        <v>0</v>
      </c>
      <c r="EW87" s="76">
        <f>IF(EW$169=0,0,IFERROR(INDEX('2 Staff List'!$LX$64:$LX$114,EW$21),0))</f>
        <v>0</v>
      </c>
      <c r="EX87" s="76">
        <f>IF(EX$169=0,0,IFERROR(INDEX('2 Staff List'!$LX$64:$LX$114,EX$21),0))</f>
        <v>0</v>
      </c>
      <c r="EY87" s="76">
        <f>IF(EY$169=0,0,IFERROR(INDEX('2 Staff List'!$LX$64:$LX$114,EY$21),0))</f>
        <v>0</v>
      </c>
      <c r="EZ87" s="76">
        <f>IF(EZ$169=0,0,IFERROR(INDEX('2 Staff List'!$LX$64:$LX$114,EZ$21),0))</f>
        <v>0</v>
      </c>
      <c r="FA87" s="76">
        <f>IF(FA$169=0,0,IFERROR(INDEX('2 Staff List'!$LX$64:$LX$114,FA$21),0))</f>
        <v>0</v>
      </c>
      <c r="FB87" s="76">
        <f>IF(FB$169=0,0,IFERROR(INDEX('2 Staff List'!$LX$64:$LX$114,FB$21),0))</f>
        <v>0</v>
      </c>
      <c r="FC87" s="76">
        <f>IF(FC$169=0,0,IFERROR(INDEX('2 Staff List'!$LX$64:$LX$114,FC$21),0))</f>
        <v>0</v>
      </c>
      <c r="FD87" s="76">
        <f>IF(FD$169=0,0,IFERROR(INDEX('2 Staff List'!$LX$64:$LX$114,FD$21),0))</f>
        <v>0</v>
      </c>
      <c r="FE87" s="76">
        <f>IF(FE$169=0,0,IFERROR(INDEX('2 Staff List'!$LX$64:$LX$114,FE$21),0))</f>
        <v>0</v>
      </c>
      <c r="FF87" s="76">
        <f>IF(FF$169=0,0,IFERROR(INDEX('2 Staff List'!$LX$64:$LX$114,FF$21),0))</f>
        <v>0</v>
      </c>
      <c r="FG87" s="76">
        <f>IF(FG$169=0,0,IFERROR(INDEX('2 Staff List'!$LX$64:$LX$114,FG$21),0))</f>
        <v>0</v>
      </c>
      <c r="FH87" s="923"/>
      <c r="FI87" s="285"/>
      <c r="FJ87" s="307"/>
      <c r="FK87" s="307"/>
      <c r="FL87" s="285"/>
      <c r="FM87" s="285"/>
      <c r="FN87" s="285"/>
      <c r="FO87" s="285"/>
      <c r="FP87" s="285"/>
      <c r="FQ87" s="285"/>
      <c r="FR87" s="285"/>
      <c r="FS87" s="285"/>
      <c r="FT87" s="285"/>
      <c r="FU87" s="285"/>
      <c r="FV87" s="285"/>
      <c r="FW87" s="285"/>
      <c r="FX87" s="285"/>
      <c r="FY87" s="285"/>
      <c r="FZ87" s="285"/>
      <c r="GA87" s="285"/>
      <c r="GB87" s="285"/>
      <c r="GC87" s="285"/>
      <c r="GD87" s="285"/>
      <c r="GE87" s="285"/>
      <c r="GF87" s="285"/>
      <c r="GG87" s="285"/>
      <c r="GH87" s="285"/>
      <c r="GI87" s="285"/>
      <c r="GJ87" s="285"/>
      <c r="GK87" s="310"/>
      <c r="GL87" s="310"/>
      <c r="GM87" s="285"/>
      <c r="GN87" s="285"/>
      <c r="GO87" s="285"/>
      <c r="GP87" s="285"/>
      <c r="GQ87" s="285"/>
      <c r="GR87" s="285"/>
      <c r="GS87" s="285"/>
      <c r="GT87" s="285"/>
      <c r="GU87" s="285"/>
      <c r="GV87" s="285"/>
      <c r="GW87" s="285"/>
      <c r="GX87" s="285"/>
      <c r="GY87" s="285"/>
      <c r="GZ87" s="285"/>
      <c r="HA87" s="285"/>
      <c r="HB87" s="285"/>
      <c r="HC87" s="285"/>
      <c r="HD87" s="285"/>
      <c r="HE87" s="285"/>
      <c r="HF87" s="285"/>
      <c r="HG87" s="285"/>
      <c r="HH87" s="285"/>
      <c r="HI87" s="285"/>
      <c r="HJ87" s="285"/>
      <c r="HK87" s="285"/>
      <c r="HL87" s="285"/>
      <c r="HM87" s="285"/>
      <c r="HN87" s="285"/>
      <c r="HO87" s="285"/>
      <c r="HP87" s="285"/>
      <c r="HQ87" s="285"/>
      <c r="HR87" s="285"/>
      <c r="HS87" s="285"/>
      <c r="HT87" s="285"/>
      <c r="HU87" s="285"/>
      <c r="HV87" s="285"/>
      <c r="HW87" s="285"/>
      <c r="HX87" s="285"/>
      <c r="HY87" s="285"/>
      <c r="HZ87" s="285"/>
      <c r="IA87" s="285"/>
      <c r="IB87" s="285"/>
      <c r="IC87" s="285"/>
      <c r="ID87" s="285"/>
      <c r="IE87" s="285"/>
      <c r="IF87" s="285"/>
      <c r="IG87" s="285"/>
      <c r="IH87" s="285"/>
      <c r="II87" s="285"/>
      <c r="IJ87" s="285"/>
      <c r="IK87" s="285"/>
      <c r="IL87" s="285"/>
      <c r="IM87" s="285"/>
      <c r="IN87" s="285"/>
      <c r="IO87" s="285"/>
      <c r="IP87" s="285"/>
      <c r="IQ87" s="285"/>
      <c r="IR87" s="285"/>
      <c r="IS87" s="285"/>
      <c r="IT87" s="285"/>
      <c r="IU87" s="285"/>
      <c r="IV87" s="285"/>
      <c r="IW87" s="285"/>
      <c r="IX87" s="285"/>
      <c r="IY87" s="285"/>
      <c r="IZ87" s="285"/>
      <c r="JA87" s="285"/>
      <c r="JB87" s="285"/>
      <c r="JC87" s="285"/>
      <c r="JD87" s="285"/>
      <c r="JE87" s="285"/>
      <c r="JF87" s="285"/>
      <c r="JG87" s="285"/>
      <c r="JH87" s="285"/>
      <c r="JI87" s="285"/>
      <c r="JJ87" s="285"/>
      <c r="JK87" s="285"/>
      <c r="JL87" s="285"/>
      <c r="JM87" s="285"/>
      <c r="JN87" s="285"/>
      <c r="JO87" s="285"/>
      <c r="JP87" s="285"/>
      <c r="JQ87" s="285"/>
      <c r="JR87" s="285"/>
      <c r="JS87" s="285"/>
      <c r="JT87" s="285"/>
      <c r="JU87" s="285"/>
      <c r="JV87" s="285"/>
      <c r="JW87" s="285"/>
      <c r="JX87" s="285"/>
      <c r="JY87" s="285"/>
      <c r="JZ87" s="285"/>
      <c r="KA87" s="285"/>
      <c r="KB87" s="285"/>
      <c r="KC87" s="285"/>
      <c r="KD87" s="285"/>
      <c r="KE87" s="285"/>
      <c r="KF87" s="285"/>
      <c r="KG87" s="285"/>
      <c r="KH87" s="285"/>
      <c r="KI87" s="285"/>
      <c r="KJ87" s="285"/>
      <c r="KK87" s="285"/>
      <c r="KL87" s="285"/>
      <c r="KM87" s="285"/>
      <c r="KN87" s="285"/>
      <c r="KO87" s="285"/>
      <c r="KP87" s="285"/>
      <c r="KQ87" s="285"/>
      <c r="KR87" s="285"/>
      <c r="KS87" s="285"/>
      <c r="KT87" s="285"/>
      <c r="KU87" s="285"/>
      <c r="KV87" s="285"/>
      <c r="KW87" s="285"/>
      <c r="KX87" s="285"/>
      <c r="KY87" s="285"/>
      <c r="KZ87" s="285"/>
      <c r="LA87" s="285"/>
      <c r="LB87" s="285"/>
      <c r="LC87" s="285"/>
      <c r="LD87" s="285"/>
      <c r="LE87" s="285"/>
      <c r="LF87" s="285"/>
      <c r="LG87" s="285"/>
      <c r="LH87" s="285"/>
      <c r="LI87" s="285"/>
      <c r="LJ87" s="285"/>
      <c r="LK87" s="285"/>
      <c r="LL87" s="285"/>
      <c r="LM87" s="285"/>
      <c r="LN87" s="285"/>
      <c r="LO87" s="285"/>
      <c r="LP87" s="285"/>
    </row>
    <row r="88" spans="1:332" ht="12.75" hidden="1" customHeight="1" x14ac:dyDescent="0.3">
      <c r="A88" s="285"/>
      <c r="B88" s="285"/>
      <c r="C88" s="286"/>
      <c r="D88" s="285"/>
      <c r="E88" s="285"/>
      <c r="F88" s="285"/>
      <c r="G88" s="285"/>
      <c r="H88" s="285"/>
      <c r="I88" s="285"/>
      <c r="J88" s="285"/>
      <c r="K88" s="285"/>
      <c r="L88" s="285"/>
      <c r="M88" s="287"/>
      <c r="N88" s="287"/>
      <c r="O88" s="287"/>
      <c r="P88" s="287"/>
      <c r="Q88" s="287"/>
      <c r="R88" s="287"/>
      <c r="S88" s="285"/>
      <c r="T88" s="285"/>
      <c r="U88" s="285"/>
      <c r="V88" s="285"/>
      <c r="W88" s="285"/>
      <c r="X88" s="285"/>
      <c r="Y88" s="285"/>
      <c r="Z88" s="285"/>
      <c r="AA88" s="285"/>
      <c r="AB88" s="285"/>
      <c r="AC88" s="285"/>
      <c r="AD88" s="285"/>
      <c r="AE88" s="285"/>
      <c r="AF88" s="285"/>
      <c r="AG88" s="285"/>
      <c r="AH88" s="2513"/>
      <c r="AI88" s="285"/>
      <c r="AJ88" s="285"/>
      <c r="AK88" s="285"/>
      <c r="AL88" s="285"/>
      <c r="AM88" s="285"/>
      <c r="AN88" s="285"/>
      <c r="AO88" s="285"/>
      <c r="AP88" s="285"/>
      <c r="AQ88" s="285"/>
      <c r="AR88" s="285"/>
      <c r="AS88" s="285"/>
      <c r="AT88" s="285"/>
      <c r="AU88" s="285"/>
      <c r="AV88" s="285"/>
      <c r="AW88" s="285"/>
      <c r="AX88" s="285"/>
      <c r="AY88" s="285"/>
      <c r="AZ88" s="285"/>
      <c r="BA88" s="285"/>
      <c r="BB88" s="285"/>
      <c r="BC88" s="285"/>
      <c r="BD88" s="285"/>
      <c r="BE88" s="285"/>
      <c r="BF88" s="285"/>
      <c r="BG88" s="285"/>
      <c r="BH88" s="285"/>
      <c r="BI88" s="285"/>
      <c r="BJ88" s="285"/>
      <c r="BK88" s="285"/>
      <c r="BL88" s="285"/>
      <c r="BM88" s="285"/>
      <c r="BN88" s="285"/>
      <c r="BO88" s="285"/>
      <c r="BP88" s="285"/>
      <c r="BQ88" s="285"/>
      <c r="BR88" s="285"/>
      <c r="BS88" s="285"/>
      <c r="BT88" s="285"/>
      <c r="BU88" s="285"/>
      <c r="BV88" s="285"/>
      <c r="BW88" s="285"/>
      <c r="BX88" s="285"/>
      <c r="BY88" s="285"/>
      <c r="BZ88" s="285"/>
      <c r="CA88" s="285"/>
      <c r="CB88" s="285"/>
      <c r="CC88" s="285"/>
      <c r="CD88" s="285"/>
      <c r="CE88" s="285"/>
      <c r="CF88" s="285"/>
      <c r="CG88" s="285"/>
      <c r="CH88" s="285"/>
      <c r="CI88" s="285"/>
      <c r="CJ88" s="285"/>
      <c r="CK88" s="285"/>
      <c r="CL88" s="285"/>
      <c r="CM88" s="285"/>
      <c r="CN88" s="285"/>
      <c r="CO88" s="285"/>
      <c r="CP88" s="285"/>
      <c r="CQ88" s="285"/>
      <c r="CR88" s="285"/>
      <c r="CS88" s="285"/>
      <c r="CT88" s="285"/>
      <c r="CU88" s="285"/>
      <c r="CV88" s="285"/>
      <c r="CW88" s="285"/>
      <c r="CX88" s="285"/>
      <c r="CY88" s="285"/>
      <c r="CZ88" s="285"/>
      <c r="DA88" s="285"/>
      <c r="DB88" s="285"/>
      <c r="DC88" s="285"/>
      <c r="DD88" s="285"/>
      <c r="DE88" s="285"/>
      <c r="DF88" s="285"/>
      <c r="DG88" s="285"/>
      <c r="DH88" s="285"/>
      <c r="DI88" s="285"/>
      <c r="DJ88" s="285"/>
      <c r="DK88" s="285"/>
      <c r="DL88" s="285"/>
      <c r="DM88" s="285"/>
      <c r="DN88" s="285"/>
      <c r="DO88" s="285"/>
      <c r="DP88" s="285"/>
      <c r="DQ88" s="285"/>
      <c r="DR88" s="285"/>
      <c r="DS88" s="285"/>
      <c r="DT88" s="285"/>
      <c r="DU88" s="285"/>
      <c r="DV88" s="285"/>
      <c r="DW88" s="285"/>
      <c r="DX88" s="285"/>
      <c r="DY88" s="285"/>
      <c r="DZ88" s="285"/>
      <c r="EA88" s="285"/>
      <c r="EB88" s="285"/>
      <c r="EC88" s="285"/>
      <c r="ED88" s="285"/>
      <c r="EE88" s="285"/>
      <c r="EF88" s="285"/>
      <c r="EG88" s="285"/>
      <c r="EH88" s="285"/>
      <c r="EI88" s="285"/>
      <c r="EJ88" s="285"/>
      <c r="EK88" s="285"/>
      <c r="EL88" s="285"/>
      <c r="EM88" s="285"/>
      <c r="EN88" s="285"/>
      <c r="EO88" s="285"/>
      <c r="EP88" s="285"/>
      <c r="EQ88" s="285"/>
      <c r="ER88" s="285"/>
      <c r="ES88" s="285"/>
      <c r="ET88" s="285"/>
      <c r="EU88" s="285"/>
      <c r="EV88" s="285"/>
      <c r="EW88" s="285"/>
      <c r="EX88" s="285"/>
      <c r="EY88" s="285"/>
      <c r="EZ88" s="285"/>
      <c r="FA88" s="285"/>
      <c r="FB88" s="285"/>
      <c r="FC88" s="285"/>
      <c r="FD88" s="285"/>
      <c r="FE88" s="285"/>
      <c r="FF88" s="285"/>
      <c r="FG88" s="285"/>
      <c r="FH88" s="285"/>
      <c r="FI88" s="285"/>
      <c r="FJ88" s="307"/>
      <c r="FK88" s="307"/>
      <c r="FL88" s="285"/>
      <c r="FM88" s="285"/>
      <c r="FN88" s="285"/>
      <c r="FO88" s="285"/>
      <c r="FP88" s="285"/>
      <c r="FQ88" s="285"/>
      <c r="FR88" s="285"/>
      <c r="FS88" s="285"/>
      <c r="FT88" s="285"/>
      <c r="FU88" s="285"/>
      <c r="FV88" s="285"/>
      <c r="FW88" s="285"/>
      <c r="FX88" s="285"/>
      <c r="FY88" s="285"/>
      <c r="FZ88" s="285"/>
      <c r="GA88" s="285"/>
      <c r="GB88" s="285"/>
      <c r="GC88" s="285"/>
      <c r="GD88" s="285"/>
      <c r="GE88" s="285"/>
      <c r="GF88" s="285"/>
      <c r="GG88" s="285"/>
      <c r="GH88" s="285"/>
      <c r="GI88" s="285"/>
      <c r="GJ88" s="285"/>
      <c r="GK88" s="310"/>
      <c r="GL88" s="310"/>
      <c r="GM88" s="285"/>
      <c r="GN88" s="285"/>
      <c r="GO88" s="285"/>
      <c r="GP88" s="285"/>
      <c r="GQ88" s="285"/>
      <c r="GR88" s="285"/>
      <c r="GS88" s="285"/>
      <c r="GT88" s="285"/>
      <c r="GU88" s="285"/>
      <c r="GV88" s="285"/>
      <c r="GW88" s="285"/>
      <c r="GX88" s="285"/>
      <c r="GY88" s="285"/>
      <c r="GZ88" s="285"/>
      <c r="HA88" s="285"/>
      <c r="HB88" s="285"/>
      <c r="HC88" s="285"/>
      <c r="HD88" s="285"/>
      <c r="HE88" s="285"/>
      <c r="HF88" s="285"/>
      <c r="HG88" s="285"/>
      <c r="HH88" s="285"/>
      <c r="HI88" s="285"/>
      <c r="HJ88" s="285"/>
      <c r="HK88" s="285"/>
      <c r="HL88" s="285"/>
      <c r="HM88" s="285"/>
      <c r="HN88" s="285"/>
      <c r="HO88" s="285"/>
      <c r="HP88" s="285"/>
      <c r="HQ88" s="285"/>
      <c r="HR88" s="285"/>
      <c r="HS88" s="285"/>
      <c r="HT88" s="285"/>
      <c r="HU88" s="285"/>
      <c r="HV88" s="285"/>
      <c r="HW88" s="285"/>
      <c r="HX88" s="285"/>
      <c r="HY88" s="285"/>
      <c r="HZ88" s="285"/>
      <c r="IA88" s="285"/>
      <c r="IB88" s="285"/>
      <c r="IC88" s="285"/>
      <c r="ID88" s="285"/>
      <c r="IE88" s="285"/>
      <c r="IF88" s="285"/>
      <c r="IG88" s="285"/>
      <c r="IH88" s="285"/>
      <c r="II88" s="285"/>
      <c r="IJ88" s="285"/>
      <c r="IK88" s="285"/>
      <c r="IL88" s="285"/>
      <c r="IM88" s="285"/>
      <c r="IN88" s="285"/>
      <c r="IO88" s="285"/>
      <c r="IP88" s="285"/>
      <c r="IQ88" s="285"/>
      <c r="IR88" s="285"/>
      <c r="IS88" s="285"/>
      <c r="IT88" s="285"/>
      <c r="IU88" s="285"/>
      <c r="IV88" s="285"/>
      <c r="IW88" s="285"/>
      <c r="IX88" s="285"/>
      <c r="IY88" s="285"/>
      <c r="IZ88" s="285"/>
      <c r="JA88" s="285"/>
      <c r="JB88" s="285"/>
      <c r="JC88" s="285"/>
      <c r="JD88" s="285"/>
      <c r="JE88" s="285"/>
      <c r="JF88" s="285"/>
      <c r="JG88" s="285"/>
      <c r="JH88" s="285"/>
      <c r="JI88" s="285"/>
      <c r="JJ88" s="285"/>
      <c r="JK88" s="285"/>
      <c r="JL88" s="285"/>
      <c r="JM88" s="285"/>
      <c r="JN88" s="285"/>
      <c r="JO88" s="285"/>
      <c r="JP88" s="285"/>
      <c r="JQ88" s="285"/>
      <c r="JR88" s="285"/>
      <c r="JS88" s="285"/>
      <c r="JT88" s="285"/>
      <c r="JU88" s="285"/>
      <c r="JV88" s="285"/>
      <c r="JW88" s="285"/>
      <c r="JX88" s="285"/>
      <c r="JY88" s="285"/>
      <c r="JZ88" s="285"/>
      <c r="KA88" s="285"/>
      <c r="KB88" s="285"/>
      <c r="KC88" s="285"/>
      <c r="KD88" s="285"/>
      <c r="KE88" s="285"/>
      <c r="KF88" s="285"/>
      <c r="KG88" s="285"/>
      <c r="KH88" s="285"/>
      <c r="KI88" s="285"/>
      <c r="KJ88" s="285"/>
      <c r="KK88" s="285"/>
      <c r="KL88" s="285"/>
      <c r="KM88" s="285"/>
      <c r="KN88" s="285"/>
      <c r="KO88" s="285"/>
      <c r="KP88" s="285"/>
      <c r="KQ88" s="285"/>
      <c r="KR88" s="285"/>
      <c r="KS88" s="285"/>
      <c r="KT88" s="285"/>
      <c r="KU88" s="285"/>
      <c r="KV88" s="285"/>
      <c r="KW88" s="285"/>
      <c r="KX88" s="285"/>
      <c r="KY88" s="285"/>
      <c r="KZ88" s="285"/>
      <c r="LA88" s="285"/>
      <c r="LB88" s="285"/>
      <c r="LC88" s="285"/>
      <c r="LD88" s="285"/>
      <c r="LE88" s="285"/>
      <c r="LF88" s="285"/>
      <c r="LG88" s="285"/>
      <c r="LH88" s="285"/>
      <c r="LI88" s="285"/>
      <c r="LJ88" s="285"/>
      <c r="LK88" s="285"/>
      <c r="LL88" s="285"/>
      <c r="LM88" s="285"/>
      <c r="LN88" s="285"/>
      <c r="LO88" s="285"/>
      <c r="LP88" s="285"/>
    </row>
    <row r="89" spans="1:332" ht="12.75" customHeight="1" x14ac:dyDescent="0.3">
      <c r="A89" s="279"/>
      <c r="B89" s="41"/>
      <c r="C89" s="82"/>
      <c r="D89" s="41"/>
      <c r="E89" s="9"/>
      <c r="F89" s="9"/>
      <c r="G89" s="9"/>
      <c r="H89" s="10"/>
      <c r="I89" s="10"/>
      <c r="J89" s="10"/>
      <c r="K89" s="10"/>
      <c r="L89" s="10"/>
      <c r="M89" s="10"/>
      <c r="N89" s="9"/>
      <c r="O89" s="9"/>
      <c r="P89" s="44"/>
      <c r="Q89" s="44"/>
      <c r="R89" s="9"/>
      <c r="S89" s="9"/>
      <c r="T89" s="9"/>
      <c r="U89" s="9"/>
      <c r="V89" s="9"/>
      <c r="W89" s="9"/>
      <c r="X89" s="9"/>
      <c r="Y89" s="9"/>
      <c r="Z89" s="9"/>
      <c r="AA89" s="9"/>
      <c r="AB89" s="9"/>
      <c r="AC89" s="9"/>
      <c r="AD89" s="9"/>
      <c r="AE89" s="9"/>
      <c r="AF89" s="9"/>
      <c r="AG89" s="9"/>
      <c r="AH89" s="2514"/>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113"/>
      <c r="DI89" s="113"/>
      <c r="DJ89" s="113"/>
      <c r="DK89" s="118"/>
      <c r="DL89" s="118"/>
      <c r="DM89" s="118"/>
      <c r="DN89" s="118"/>
      <c r="DO89" s="118"/>
      <c r="DP89" s="118"/>
      <c r="DQ89" s="118"/>
      <c r="DR89" s="118"/>
      <c r="DS89" s="118"/>
      <c r="DT89" s="118"/>
      <c r="DU89" s="118"/>
      <c r="DV89" s="118"/>
      <c r="DW89" s="118"/>
      <c r="DX89" s="118"/>
      <c r="DY89" s="118"/>
      <c r="DZ89" s="118"/>
      <c r="EA89" s="118"/>
      <c r="EB89" s="118"/>
      <c r="EC89" s="118"/>
      <c r="ED89" s="118"/>
      <c r="EE89" s="118"/>
      <c r="EF89" s="118"/>
      <c r="EG89" s="118"/>
      <c r="EH89" s="118"/>
      <c r="EI89" s="118"/>
      <c r="EJ89" s="118"/>
      <c r="EK89" s="118"/>
      <c r="EL89" s="118"/>
      <c r="EM89" s="118"/>
      <c r="EN89" s="118"/>
      <c r="EO89" s="118"/>
      <c r="EP89" s="118"/>
      <c r="EQ89" s="118"/>
      <c r="ER89" s="118"/>
      <c r="ES89" s="118"/>
      <c r="ET89" s="118"/>
      <c r="EU89" s="118"/>
      <c r="EV89" s="118"/>
      <c r="EW89" s="118"/>
      <c r="EX89" s="118"/>
      <c r="EY89" s="118"/>
      <c r="EZ89" s="118"/>
      <c r="FA89" s="118"/>
      <c r="FB89" s="118"/>
      <c r="FC89" s="118"/>
      <c r="FD89" s="118"/>
      <c r="FE89" s="118"/>
      <c r="FF89" s="118"/>
      <c r="FG89" s="118"/>
      <c r="FH89" s="118"/>
      <c r="FI89" s="867"/>
      <c r="FJ89" s="868"/>
      <c r="FK89" s="868"/>
      <c r="FL89" s="869"/>
      <c r="FM89" s="870"/>
      <c r="FN89" s="871"/>
      <c r="FO89" s="872"/>
      <c r="FP89" s="873"/>
      <c r="FQ89" s="873"/>
      <c r="FR89" s="873"/>
      <c r="FS89" s="874"/>
      <c r="FT89" s="874"/>
      <c r="FU89" s="875"/>
      <c r="FV89" s="875"/>
      <c r="FW89" s="875"/>
      <c r="FX89" s="876"/>
      <c r="FY89" s="876"/>
      <c r="FZ89" s="876"/>
      <c r="GA89" s="876"/>
      <c r="GB89" s="877"/>
      <c r="GC89" s="877"/>
      <c r="GD89" s="876"/>
      <c r="GE89" s="876"/>
      <c r="GF89" s="876"/>
      <c r="GG89" s="876"/>
      <c r="GH89" s="876"/>
      <c r="GI89" s="876"/>
      <c r="GJ89" s="876"/>
      <c r="GK89" s="876"/>
      <c r="GL89" s="876"/>
      <c r="GM89" s="876"/>
      <c r="GN89" s="3822"/>
      <c r="GO89" s="3822"/>
      <c r="GP89" s="3822"/>
      <c r="GQ89" s="3822"/>
      <c r="GR89" s="3827"/>
      <c r="GS89" s="3827"/>
      <c r="GT89" s="878"/>
      <c r="GU89" s="878"/>
      <c r="GV89" s="878"/>
      <c r="GW89" s="878"/>
      <c r="GX89" s="878"/>
      <c r="GY89" s="878"/>
      <c r="GZ89" s="878"/>
      <c r="HA89" s="878"/>
      <c r="HB89" s="878"/>
      <c r="HC89" s="878"/>
      <c r="HD89" s="878"/>
      <c r="HE89" s="878"/>
      <c r="HF89" s="878"/>
      <c r="HG89" s="878"/>
      <c r="HH89" s="878"/>
      <c r="HI89" s="878"/>
      <c r="HJ89" s="878"/>
      <c r="HK89" s="878"/>
      <c r="HL89" s="878"/>
      <c r="HM89" s="878"/>
      <c r="HN89" s="878"/>
      <c r="HO89" s="878"/>
      <c r="HP89" s="878"/>
      <c r="HQ89" s="878"/>
      <c r="HR89" s="878"/>
      <c r="HS89" s="878"/>
      <c r="HT89" s="878"/>
      <c r="HU89" s="878"/>
      <c r="HV89" s="878"/>
      <c r="HW89" s="878"/>
      <c r="HX89" s="878"/>
      <c r="HY89" s="878"/>
      <c r="HZ89" s="878"/>
      <c r="IA89" s="878"/>
      <c r="IB89" s="878"/>
      <c r="IC89" s="878"/>
      <c r="ID89" s="878"/>
      <c r="IE89" s="878"/>
      <c r="IF89" s="878"/>
      <c r="IG89" s="878"/>
      <c r="IH89" s="878"/>
      <c r="II89" s="878"/>
      <c r="IJ89" s="878"/>
      <c r="IK89" s="878"/>
      <c r="IL89" s="878"/>
      <c r="IM89" s="878"/>
      <c r="IN89" s="878"/>
      <c r="IO89" s="878"/>
      <c r="IP89" s="878"/>
      <c r="IQ89" s="878"/>
      <c r="IR89" s="878"/>
      <c r="IS89" s="878"/>
      <c r="IT89" s="878"/>
      <c r="IU89" s="878"/>
      <c r="IV89" s="878"/>
      <c r="IW89" s="878"/>
      <c r="IX89" s="878"/>
      <c r="IY89" s="878"/>
      <c r="IZ89" s="878"/>
      <c r="JA89" s="878"/>
      <c r="JB89" s="878"/>
      <c r="JC89" s="878"/>
      <c r="JD89" s="878"/>
      <c r="JE89" s="878"/>
      <c r="JF89" s="878"/>
      <c r="JG89" s="878"/>
      <c r="JH89" s="878"/>
      <c r="JI89" s="878"/>
      <c r="JJ89" s="878"/>
      <c r="JK89" s="878"/>
      <c r="JL89" s="878"/>
      <c r="JM89" s="878"/>
      <c r="JN89" s="878"/>
      <c r="JO89" s="878"/>
      <c r="JP89" s="878"/>
      <c r="JQ89" s="878"/>
      <c r="JR89" s="878"/>
      <c r="JS89" s="878"/>
      <c r="JT89" s="878"/>
      <c r="JU89" s="878"/>
      <c r="JV89" s="878"/>
      <c r="JW89" s="878"/>
      <c r="JX89" s="878"/>
      <c r="JY89" s="878"/>
      <c r="JZ89" s="878"/>
      <c r="KA89" s="878"/>
      <c r="KB89" s="878"/>
      <c r="KC89" s="878"/>
      <c r="KD89" s="878"/>
      <c r="KE89" s="878"/>
      <c r="KF89" s="878"/>
      <c r="KG89" s="878"/>
      <c r="KH89" s="878"/>
      <c r="KI89" s="878"/>
      <c r="KJ89" s="878"/>
      <c r="KK89" s="878"/>
      <c r="KL89" s="878"/>
      <c r="KM89" s="878"/>
      <c r="KN89" s="878"/>
      <c r="KO89" s="878"/>
      <c r="KP89" s="878"/>
      <c r="KQ89" s="878"/>
      <c r="KR89" s="878"/>
      <c r="KS89" s="878"/>
      <c r="KT89" s="878"/>
      <c r="KU89" s="878"/>
      <c r="KV89" s="878"/>
      <c r="KW89" s="878"/>
      <c r="KX89" s="878"/>
      <c r="KY89" s="878"/>
      <c r="KZ89" s="878"/>
      <c r="LA89" s="878"/>
      <c r="LB89" s="878"/>
      <c r="LC89" s="878"/>
      <c r="LD89" s="878"/>
      <c r="LE89" s="878"/>
      <c r="LF89" s="878"/>
      <c r="LG89" s="878"/>
      <c r="LH89" s="878"/>
      <c r="LI89" s="878"/>
      <c r="LJ89" s="878"/>
      <c r="LK89" s="878"/>
      <c r="LL89" s="878"/>
      <c r="LM89" s="878"/>
      <c r="LN89" s="878"/>
      <c r="LO89" s="878"/>
      <c r="LP89" s="878"/>
      <c r="LQ89" s="278"/>
      <c r="LR89" s="278"/>
      <c r="LS89" s="278"/>
      <c r="LT89" s="278"/>
    </row>
    <row r="90" spans="1:332" ht="23.25" customHeight="1" x14ac:dyDescent="0.3">
      <c r="A90" s="279"/>
      <c r="B90" s="41"/>
      <c r="C90" s="82"/>
      <c r="D90" s="41"/>
      <c r="E90" s="9"/>
      <c r="F90" s="9"/>
      <c r="G90" s="9"/>
      <c r="H90" s="10"/>
      <c r="I90" s="10"/>
      <c r="J90" s="10"/>
      <c r="K90" s="10"/>
      <c r="L90" s="10"/>
      <c r="M90" s="10"/>
      <c r="N90" s="9"/>
      <c r="O90" s="9"/>
      <c r="P90" s="44"/>
      <c r="Q90" s="44"/>
      <c r="R90" s="9"/>
      <c r="S90" s="9"/>
      <c r="T90" s="9"/>
      <c r="U90" s="9"/>
      <c r="V90" s="9"/>
      <c r="W90" s="9"/>
      <c r="X90" s="9"/>
      <c r="Y90" s="9"/>
      <c r="Z90" s="9"/>
      <c r="AA90" s="9"/>
      <c r="AB90" s="9"/>
      <c r="AC90" s="9"/>
      <c r="AD90" s="9"/>
      <c r="AE90" s="9"/>
      <c r="AF90" s="9"/>
      <c r="AG90" s="9"/>
      <c r="AH90" s="2514"/>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113"/>
      <c r="DI90" s="113"/>
      <c r="DJ90" s="113"/>
      <c r="DK90" s="118"/>
      <c r="DL90" s="118"/>
      <c r="DM90" s="118"/>
      <c r="DN90" s="118"/>
      <c r="DO90" s="118"/>
      <c r="DP90" s="118"/>
      <c r="DQ90" s="118"/>
      <c r="DR90" s="118"/>
      <c r="DS90" s="118"/>
      <c r="DT90" s="118"/>
      <c r="DU90" s="118"/>
      <c r="DV90" s="118"/>
      <c r="DW90" s="118"/>
      <c r="DX90" s="118"/>
      <c r="DY90" s="118"/>
      <c r="DZ90" s="118"/>
      <c r="EA90" s="118"/>
      <c r="EB90" s="118"/>
      <c r="EC90" s="118"/>
      <c r="ED90" s="118"/>
      <c r="EE90" s="118"/>
      <c r="EF90" s="118"/>
      <c r="EG90" s="118"/>
      <c r="EH90" s="118"/>
      <c r="EI90" s="118"/>
      <c r="EJ90" s="118"/>
      <c r="EK90" s="118"/>
      <c r="EL90" s="118"/>
      <c r="EM90" s="118"/>
      <c r="EN90" s="118"/>
      <c r="EO90" s="118"/>
      <c r="EP90" s="118"/>
      <c r="EQ90" s="118"/>
      <c r="ER90" s="118"/>
      <c r="ES90" s="118"/>
      <c r="ET90" s="118"/>
      <c r="EU90" s="118"/>
      <c r="EV90" s="118"/>
      <c r="EW90" s="118"/>
      <c r="EX90" s="118"/>
      <c r="EY90" s="118"/>
      <c r="EZ90" s="118"/>
      <c r="FA90" s="118"/>
      <c r="FB90" s="118"/>
      <c r="FC90" s="118"/>
      <c r="FD90" s="118"/>
      <c r="FE90" s="118"/>
      <c r="FF90" s="118"/>
      <c r="FG90" s="118"/>
      <c r="FH90" s="118"/>
      <c r="FI90" s="180"/>
      <c r="FJ90" s="132"/>
      <c r="FK90" s="132"/>
      <c r="FL90" s="181"/>
      <c r="FM90" s="3828" t="s">
        <v>762</v>
      </c>
      <c r="FN90" s="3829"/>
      <c r="FO90" s="3829"/>
      <c r="FP90" s="3829"/>
      <c r="FQ90" s="3829"/>
      <c r="FR90" s="3829"/>
      <c r="FS90" s="3829"/>
      <c r="FT90" s="3829"/>
      <c r="FU90" s="3829"/>
      <c r="FV90" s="3829"/>
      <c r="FW90" s="3829"/>
      <c r="FX90" s="3829"/>
      <c r="FY90" s="3829"/>
      <c r="FZ90" s="3829"/>
      <c r="GA90" s="3829"/>
      <c r="GB90" s="3829"/>
      <c r="GC90" s="3829"/>
      <c r="GD90" s="3829"/>
      <c r="GE90" s="3829"/>
      <c r="GF90" s="3829"/>
      <c r="GG90" s="3829"/>
      <c r="GH90" s="3829"/>
      <c r="GI90" s="3829"/>
      <c r="GJ90" s="3829"/>
      <c r="GK90" s="3829"/>
      <c r="GL90" s="3829"/>
      <c r="GM90" s="3829"/>
      <c r="GN90" s="3829"/>
      <c r="GO90" s="3829"/>
      <c r="GP90" s="3829"/>
      <c r="GQ90" s="3829"/>
      <c r="GR90" s="3829"/>
      <c r="GS90" s="3829"/>
      <c r="GT90" s="3829"/>
      <c r="GU90" s="3829"/>
      <c r="GV90" s="3829"/>
      <c r="GW90" s="3829"/>
      <c r="GX90" s="3829"/>
      <c r="GY90" s="3829"/>
      <c r="GZ90" s="3829"/>
      <c r="HA90" s="3829"/>
      <c r="HB90" s="3829"/>
      <c r="HC90" s="3829"/>
      <c r="HD90" s="3829"/>
      <c r="HE90" s="3829"/>
      <c r="HF90" s="3829"/>
      <c r="HG90" s="3829"/>
      <c r="HH90" s="3829"/>
      <c r="HI90" s="3829"/>
      <c r="HJ90" s="3829"/>
      <c r="HK90" s="3829"/>
      <c r="HL90" s="3829"/>
      <c r="HM90" s="3829"/>
      <c r="HN90" s="3829"/>
      <c r="HO90" s="3829"/>
      <c r="HP90" s="3829"/>
      <c r="HQ90" s="3829"/>
      <c r="HR90" s="3829"/>
      <c r="HS90" s="3829"/>
      <c r="HT90" s="3829"/>
      <c r="HU90" s="3829"/>
      <c r="HV90" s="3829"/>
      <c r="HW90" s="3829"/>
      <c r="HX90" s="3829"/>
      <c r="HY90" s="3829"/>
      <c r="HZ90" s="3829"/>
      <c r="IA90" s="3829"/>
      <c r="IB90" s="3829"/>
      <c r="IC90" s="3829"/>
      <c r="ID90" s="3829"/>
      <c r="IE90" s="3829"/>
      <c r="IF90" s="865"/>
      <c r="IG90" s="865"/>
      <c r="IH90" s="865"/>
      <c r="II90" s="865"/>
      <c r="IJ90" s="865"/>
      <c r="IK90" s="865"/>
      <c r="IL90" s="865"/>
      <c r="IM90" s="865"/>
      <c r="IN90" s="865"/>
      <c r="IO90" s="865"/>
      <c r="IP90" s="865"/>
      <c r="IQ90" s="865"/>
      <c r="IR90" s="865"/>
      <c r="IS90" s="865"/>
      <c r="IT90" s="865"/>
      <c r="IU90" s="865"/>
      <c r="IV90" s="865"/>
      <c r="IW90" s="865"/>
      <c r="IX90" s="865"/>
      <c r="IY90" s="865"/>
      <c r="IZ90" s="865"/>
      <c r="JA90" s="865"/>
      <c r="JB90" s="865"/>
      <c r="JC90" s="865"/>
      <c r="JD90" s="865"/>
      <c r="JE90" s="865"/>
      <c r="JF90" s="865"/>
      <c r="JG90" s="865"/>
      <c r="JH90" s="865"/>
      <c r="JI90" s="865"/>
      <c r="JJ90" s="865"/>
      <c r="JK90" s="865"/>
      <c r="JL90" s="865"/>
      <c r="JM90" s="865"/>
      <c r="JN90" s="865"/>
      <c r="JO90" s="865"/>
      <c r="JP90" s="865"/>
      <c r="JQ90" s="865"/>
      <c r="JR90" s="865"/>
      <c r="JS90" s="865"/>
      <c r="JT90" s="865"/>
      <c r="JU90" s="865"/>
      <c r="JV90" s="865"/>
      <c r="JW90" s="865"/>
      <c r="JX90" s="865"/>
      <c r="JY90" s="865"/>
      <c r="JZ90" s="865"/>
      <c r="KA90" s="865"/>
      <c r="KB90" s="865"/>
      <c r="KC90" s="865"/>
      <c r="KD90" s="865"/>
      <c r="KE90" s="865"/>
      <c r="KF90" s="865"/>
      <c r="KG90" s="865"/>
      <c r="KH90" s="865"/>
      <c r="KI90" s="865"/>
      <c r="KJ90" s="865"/>
      <c r="KK90" s="865"/>
      <c r="KL90" s="865"/>
      <c r="KM90" s="865"/>
      <c r="KN90" s="865"/>
      <c r="KO90" s="865"/>
      <c r="KP90" s="865"/>
      <c r="KQ90" s="865"/>
      <c r="KR90" s="865"/>
      <c r="KS90" s="865"/>
      <c r="KT90" s="865"/>
      <c r="KU90" s="865"/>
      <c r="KV90" s="865"/>
      <c r="KW90" s="865"/>
      <c r="KX90" s="865"/>
      <c r="KY90" s="865"/>
      <c r="KZ90" s="865"/>
      <c r="LA90" s="865"/>
      <c r="LB90" s="865"/>
      <c r="LC90" s="865"/>
      <c r="LD90" s="865"/>
      <c r="LE90" s="865"/>
      <c r="LF90" s="865"/>
      <c r="LG90" s="865"/>
      <c r="LH90" s="865"/>
      <c r="LI90" s="865"/>
      <c r="LJ90" s="865"/>
      <c r="LK90" s="865"/>
      <c r="LL90" s="865"/>
      <c r="LM90" s="865"/>
      <c r="LN90" s="865"/>
      <c r="LO90" s="865"/>
      <c r="LP90" s="866"/>
      <c r="LQ90" s="603"/>
    </row>
    <row r="91" spans="1:332" ht="12.75" customHeight="1" x14ac:dyDescent="0.3">
      <c r="A91" s="279"/>
      <c r="B91" s="41"/>
      <c r="C91" s="82"/>
      <c r="D91" s="41"/>
      <c r="E91" s="9"/>
      <c r="F91" s="9"/>
      <c r="G91" s="9"/>
      <c r="H91" s="10"/>
      <c r="I91" s="10"/>
      <c r="J91" s="10"/>
      <c r="K91" s="10"/>
      <c r="L91" s="10"/>
      <c r="M91" s="10"/>
      <c r="N91" s="9"/>
      <c r="O91" s="9"/>
      <c r="P91" s="44"/>
      <c r="Q91" s="44"/>
      <c r="R91" s="9"/>
      <c r="S91" s="9"/>
      <c r="T91" s="9"/>
      <c r="U91" s="9"/>
      <c r="V91" s="9"/>
      <c r="W91" s="9"/>
      <c r="X91" s="9"/>
      <c r="Y91" s="9"/>
      <c r="Z91" s="9"/>
      <c r="AA91" s="9"/>
      <c r="AB91" s="9"/>
      <c r="AC91" s="9"/>
      <c r="AD91" s="9"/>
      <c r="AE91" s="9"/>
      <c r="AF91" s="9"/>
      <c r="AG91" s="9"/>
      <c r="AH91" s="2514"/>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113"/>
      <c r="DI91" s="113"/>
      <c r="DJ91" s="113"/>
      <c r="DK91" s="118"/>
      <c r="DL91" s="118"/>
      <c r="DM91" s="118"/>
      <c r="DN91" s="118"/>
      <c r="DO91" s="118"/>
      <c r="DP91" s="118"/>
      <c r="DQ91" s="118"/>
      <c r="DR91" s="118"/>
      <c r="DS91" s="118"/>
      <c r="DT91" s="118"/>
      <c r="DU91" s="118"/>
      <c r="DV91" s="118"/>
      <c r="DW91" s="118"/>
      <c r="DX91" s="118"/>
      <c r="DY91" s="118"/>
      <c r="DZ91" s="118"/>
      <c r="EA91" s="118"/>
      <c r="EB91" s="118"/>
      <c r="EC91" s="118"/>
      <c r="ED91" s="118"/>
      <c r="EE91" s="118"/>
      <c r="EF91" s="118"/>
      <c r="EG91" s="118"/>
      <c r="EH91" s="118"/>
      <c r="EI91" s="118"/>
      <c r="EJ91" s="118"/>
      <c r="EK91" s="118"/>
      <c r="EL91" s="118"/>
      <c r="EM91" s="118"/>
      <c r="EN91" s="118"/>
      <c r="EO91" s="118"/>
      <c r="EP91" s="118"/>
      <c r="EQ91" s="118"/>
      <c r="ER91" s="118"/>
      <c r="ES91" s="118"/>
      <c r="ET91" s="118"/>
      <c r="EU91" s="118"/>
      <c r="EV91" s="118"/>
      <c r="EW91" s="118"/>
      <c r="EX91" s="118"/>
      <c r="EY91" s="118"/>
      <c r="EZ91" s="118"/>
      <c r="FA91" s="118"/>
      <c r="FB91" s="118"/>
      <c r="FC91" s="118"/>
      <c r="FD91" s="118"/>
      <c r="FE91" s="118"/>
      <c r="FF91" s="118"/>
      <c r="FG91" s="118"/>
      <c r="FH91" s="118"/>
      <c r="FI91" s="180"/>
      <c r="FJ91" s="132"/>
      <c r="FK91" s="132"/>
      <c r="FL91" s="181">
        <f t="shared" ref="FL91:FL139" ca="1" si="197">FO91+1</f>
        <v>50</v>
      </c>
      <c r="FM91" s="1329">
        <f t="shared" ref="FM91:FM122" ca="1" si="198">OFFSET($DJ$163,0,FO91)</f>
        <v>0</v>
      </c>
      <c r="FN91" s="1330">
        <f t="shared" ref="FN91:FN134" ca="1" si="199">OFFSET($DJ$26,0,FO91)</f>
        <v>0</v>
      </c>
      <c r="FO91" s="1331">
        <f t="shared" ref="FO91:FO122" ca="1" si="200">OFFSET($DJ$20,0,$FS91-1)-1</f>
        <v>49</v>
      </c>
      <c r="FP91" s="1332">
        <f t="shared" ref="FP91:FP122" ca="1" si="201">OFFSET($DJ$25,0,$FO91)</f>
        <v>0</v>
      </c>
      <c r="FQ91" s="1333">
        <f t="shared" ref="FQ91:FQ122" si="202">IF(ISBLANK(GR91),$GP$147*$FN$8,$GP$147*$FN$8*GR91)</f>
        <v>40</v>
      </c>
      <c r="FR91" s="1333">
        <f t="shared" ref="FR91:FR122" si="203">IF(ISBLANK(GR91),$GP$148*$FN$8,$GP$148*$FN$8*GR91)</f>
        <v>50</v>
      </c>
      <c r="FS91" s="1334">
        <f t="shared" ref="FS91:FS134" si="204">ROW($FS$140)-ROW()+1</f>
        <v>50</v>
      </c>
      <c r="FT91" s="1334"/>
      <c r="FU91" s="1335">
        <f ca="1">OFFSET($DJ$7,0,$FO91)</f>
        <v>0</v>
      </c>
      <c r="FV91" s="1335"/>
      <c r="FW91" s="1335"/>
      <c r="FX91" s="1336"/>
      <c r="FY91" s="1337"/>
      <c r="FZ91" s="1337"/>
      <c r="GA91" s="1337"/>
      <c r="GB91" s="1338"/>
      <c r="GC91" s="1339"/>
      <c r="GD91" s="1337"/>
      <c r="GE91" s="1337"/>
      <c r="GF91" s="1337"/>
      <c r="GG91" s="1337"/>
      <c r="GH91" s="1337"/>
      <c r="GI91" s="1337"/>
      <c r="GJ91" s="1337"/>
      <c r="GK91" s="1337"/>
      <c r="GL91" s="1337"/>
      <c r="GM91" s="1337"/>
      <c r="GN91" s="3823">
        <f t="shared" ref="GN91:GN122" ca="1" si="205">OFFSET($DJ$169,0,$FO91)</f>
        <v>0</v>
      </c>
      <c r="GO91" s="3823"/>
      <c r="GP91" s="3823"/>
      <c r="GQ91" s="3824"/>
      <c r="GR91" s="3682"/>
      <c r="GS91" s="3683"/>
      <c r="GT91" s="1753">
        <f t="shared" ref="GT91:HC100" ca="1" si="206">IF(GT$171=0,0,IF($FU91=0,0,SUMPRODUCT(OFFSET($DJ$173:$DJ$365,0,$FO91),GT$173:GT$365,$FS$173:$FS$365,$CY$173:$CY$365)*GT$25))</f>
        <v>0</v>
      </c>
      <c r="GU91" s="1754">
        <f t="shared" ca="1" si="206"/>
        <v>0</v>
      </c>
      <c r="GV91" s="1754">
        <f t="shared" ca="1" si="206"/>
        <v>0</v>
      </c>
      <c r="GW91" s="1754">
        <f t="shared" ca="1" si="206"/>
        <v>0</v>
      </c>
      <c r="GX91" s="1754">
        <f t="shared" ca="1" si="206"/>
        <v>0</v>
      </c>
      <c r="GY91" s="1754">
        <f t="shared" ca="1" si="206"/>
        <v>0</v>
      </c>
      <c r="GZ91" s="1754">
        <f t="shared" ca="1" si="206"/>
        <v>0</v>
      </c>
      <c r="HA91" s="1754">
        <f t="shared" ca="1" si="206"/>
        <v>0</v>
      </c>
      <c r="HB91" s="1754">
        <f t="shared" ca="1" si="206"/>
        <v>0</v>
      </c>
      <c r="HC91" s="1754">
        <f t="shared" ca="1" si="206"/>
        <v>0</v>
      </c>
      <c r="HD91" s="1754">
        <f t="shared" ref="HD91:HM100" ca="1" si="207">IF(HD$171=0,0,IF($FU91=0,0,SUMPRODUCT(OFFSET($DJ$173:$DJ$365,0,$FO91),HD$173:HD$365,$FS$173:$FS$365,$CY$173:$CY$365)*HD$25))</f>
        <v>0</v>
      </c>
      <c r="HE91" s="1754">
        <f t="shared" ca="1" si="207"/>
        <v>0</v>
      </c>
      <c r="HF91" s="1754">
        <f t="shared" ca="1" si="207"/>
        <v>0</v>
      </c>
      <c r="HG91" s="1754">
        <f t="shared" ca="1" si="207"/>
        <v>0</v>
      </c>
      <c r="HH91" s="1754">
        <f t="shared" ca="1" si="207"/>
        <v>0</v>
      </c>
      <c r="HI91" s="1754">
        <f t="shared" ca="1" si="207"/>
        <v>0</v>
      </c>
      <c r="HJ91" s="1754">
        <f t="shared" ca="1" si="207"/>
        <v>0</v>
      </c>
      <c r="HK91" s="1754">
        <f t="shared" ca="1" si="207"/>
        <v>0</v>
      </c>
      <c r="HL91" s="1754">
        <f t="shared" ca="1" si="207"/>
        <v>0</v>
      </c>
      <c r="HM91" s="1754">
        <f t="shared" ca="1" si="207"/>
        <v>0</v>
      </c>
      <c r="HN91" s="1754">
        <f t="shared" ref="HN91:HW100" ca="1" si="208">IF(HN$171=0,0,IF($FU91=0,0,SUMPRODUCT(OFFSET($DJ$173:$DJ$365,0,$FO91),HN$173:HN$365,$FS$173:$FS$365,$CY$173:$CY$365)*HN$25))</f>
        <v>0</v>
      </c>
      <c r="HO91" s="1754">
        <f t="shared" ca="1" si="208"/>
        <v>0</v>
      </c>
      <c r="HP91" s="1754">
        <f t="shared" ca="1" si="208"/>
        <v>0</v>
      </c>
      <c r="HQ91" s="1754">
        <f t="shared" ca="1" si="208"/>
        <v>0</v>
      </c>
      <c r="HR91" s="1754">
        <f t="shared" ca="1" si="208"/>
        <v>0</v>
      </c>
      <c r="HS91" s="1754">
        <f t="shared" ca="1" si="208"/>
        <v>0</v>
      </c>
      <c r="HT91" s="1754">
        <f t="shared" ca="1" si="208"/>
        <v>0</v>
      </c>
      <c r="HU91" s="1754">
        <f t="shared" ca="1" si="208"/>
        <v>0</v>
      </c>
      <c r="HV91" s="1754">
        <f t="shared" ca="1" si="208"/>
        <v>0</v>
      </c>
      <c r="HW91" s="1754">
        <f t="shared" ca="1" si="208"/>
        <v>0</v>
      </c>
      <c r="HX91" s="1754">
        <f t="shared" ref="HX91:IG100" ca="1" si="209">IF(HX$171=0,0,IF($FU91=0,0,SUMPRODUCT(OFFSET($DJ$173:$DJ$365,0,$FO91),HX$173:HX$365,$FS$173:$FS$365,$CY$173:$CY$365)*HX$25))</f>
        <v>0</v>
      </c>
      <c r="HY91" s="1754">
        <f t="shared" ca="1" si="209"/>
        <v>0</v>
      </c>
      <c r="HZ91" s="1754">
        <f t="shared" ca="1" si="209"/>
        <v>0</v>
      </c>
      <c r="IA91" s="1754">
        <f t="shared" ca="1" si="209"/>
        <v>0</v>
      </c>
      <c r="IB91" s="1754">
        <f t="shared" ca="1" si="209"/>
        <v>0</v>
      </c>
      <c r="IC91" s="1754">
        <f t="shared" ca="1" si="209"/>
        <v>0</v>
      </c>
      <c r="ID91" s="1754">
        <f t="shared" ca="1" si="209"/>
        <v>0</v>
      </c>
      <c r="IE91" s="1754">
        <f t="shared" ca="1" si="209"/>
        <v>0</v>
      </c>
      <c r="IF91" s="1754">
        <f t="shared" ca="1" si="209"/>
        <v>0</v>
      </c>
      <c r="IG91" s="1754">
        <f t="shared" ca="1" si="209"/>
        <v>0</v>
      </c>
      <c r="IH91" s="1754">
        <f t="shared" ref="IH91:IQ100" ca="1" si="210">IF(IH$171=0,0,IF($FU91=0,0,SUMPRODUCT(OFFSET($DJ$173:$DJ$365,0,$FO91),IH$173:IH$365,$FS$173:$FS$365,$CY$173:$CY$365)*IH$25))</f>
        <v>0</v>
      </c>
      <c r="II91" s="1754">
        <f t="shared" ca="1" si="210"/>
        <v>0</v>
      </c>
      <c r="IJ91" s="1754">
        <f t="shared" ca="1" si="210"/>
        <v>0</v>
      </c>
      <c r="IK91" s="1754">
        <f t="shared" ca="1" si="210"/>
        <v>0</v>
      </c>
      <c r="IL91" s="1754">
        <f t="shared" ca="1" si="210"/>
        <v>0</v>
      </c>
      <c r="IM91" s="1754">
        <f t="shared" ca="1" si="210"/>
        <v>0</v>
      </c>
      <c r="IN91" s="1754">
        <f t="shared" ca="1" si="210"/>
        <v>0</v>
      </c>
      <c r="IO91" s="1754">
        <f t="shared" ca="1" si="210"/>
        <v>0</v>
      </c>
      <c r="IP91" s="1754">
        <f t="shared" ca="1" si="210"/>
        <v>0</v>
      </c>
      <c r="IQ91" s="1754">
        <f t="shared" ca="1" si="210"/>
        <v>0</v>
      </c>
      <c r="IR91" s="1754">
        <f t="shared" ref="IR91:JA100" ca="1" si="211">IF(IR$171=0,0,IF($FU91=0,0,SUMPRODUCT(OFFSET($DJ$173:$DJ$365,0,$FO91),IR$173:IR$365,$FS$173:$FS$365,$CY$173:$CY$365)*IR$25))</f>
        <v>0</v>
      </c>
      <c r="IS91" s="1754">
        <f t="shared" ca="1" si="211"/>
        <v>0</v>
      </c>
      <c r="IT91" s="1754">
        <f t="shared" ca="1" si="211"/>
        <v>0</v>
      </c>
      <c r="IU91" s="1754">
        <f t="shared" ca="1" si="211"/>
        <v>0</v>
      </c>
      <c r="IV91" s="1754">
        <f t="shared" ca="1" si="211"/>
        <v>0</v>
      </c>
      <c r="IW91" s="1754">
        <f t="shared" ca="1" si="211"/>
        <v>0</v>
      </c>
      <c r="IX91" s="1754">
        <f t="shared" ca="1" si="211"/>
        <v>0</v>
      </c>
      <c r="IY91" s="1754">
        <f t="shared" ca="1" si="211"/>
        <v>0</v>
      </c>
      <c r="IZ91" s="1754">
        <f t="shared" ca="1" si="211"/>
        <v>0</v>
      </c>
      <c r="JA91" s="1754">
        <f t="shared" ca="1" si="211"/>
        <v>0</v>
      </c>
      <c r="JB91" s="1754">
        <f t="shared" ref="JB91:JK100" ca="1" si="212">IF(JB$171=0,0,IF($FU91=0,0,SUMPRODUCT(OFFSET($DJ$173:$DJ$365,0,$FO91),JB$173:JB$365,$FS$173:$FS$365,$CY$173:$CY$365)*JB$25))</f>
        <v>0</v>
      </c>
      <c r="JC91" s="1754">
        <f t="shared" ca="1" si="212"/>
        <v>0</v>
      </c>
      <c r="JD91" s="1754">
        <f t="shared" ca="1" si="212"/>
        <v>0</v>
      </c>
      <c r="JE91" s="1754">
        <f t="shared" ca="1" si="212"/>
        <v>0</v>
      </c>
      <c r="JF91" s="1754">
        <f t="shared" ca="1" si="212"/>
        <v>0</v>
      </c>
      <c r="JG91" s="1754">
        <f t="shared" ca="1" si="212"/>
        <v>0</v>
      </c>
      <c r="JH91" s="1754">
        <f t="shared" ca="1" si="212"/>
        <v>0</v>
      </c>
      <c r="JI91" s="1754">
        <f t="shared" ca="1" si="212"/>
        <v>0</v>
      </c>
      <c r="JJ91" s="1754">
        <f t="shared" ca="1" si="212"/>
        <v>0</v>
      </c>
      <c r="JK91" s="1754">
        <f t="shared" ca="1" si="212"/>
        <v>0</v>
      </c>
      <c r="JL91" s="1754">
        <f t="shared" ref="JL91:JU100" ca="1" si="213">IF(JL$171=0,0,IF($FU91=0,0,SUMPRODUCT(OFFSET($DJ$173:$DJ$365,0,$FO91),JL$173:JL$365,$FS$173:$FS$365,$CY$173:$CY$365)*JL$25))</f>
        <v>0</v>
      </c>
      <c r="JM91" s="1754">
        <f t="shared" ca="1" si="213"/>
        <v>0</v>
      </c>
      <c r="JN91" s="1754">
        <f t="shared" ca="1" si="213"/>
        <v>0</v>
      </c>
      <c r="JO91" s="1754">
        <f t="shared" ca="1" si="213"/>
        <v>0</v>
      </c>
      <c r="JP91" s="1754">
        <f t="shared" ca="1" si="213"/>
        <v>0</v>
      </c>
      <c r="JQ91" s="1754">
        <f t="shared" ca="1" si="213"/>
        <v>0</v>
      </c>
      <c r="JR91" s="1754">
        <f t="shared" ca="1" si="213"/>
        <v>0</v>
      </c>
      <c r="JS91" s="1754">
        <f t="shared" ca="1" si="213"/>
        <v>0</v>
      </c>
      <c r="JT91" s="1754">
        <f t="shared" ca="1" si="213"/>
        <v>0</v>
      </c>
      <c r="JU91" s="1754">
        <f t="shared" ca="1" si="213"/>
        <v>0</v>
      </c>
      <c r="JV91" s="1754">
        <f t="shared" ref="JV91:KE100" ca="1" si="214">IF(JV$171=0,0,IF($FU91=0,0,SUMPRODUCT(OFFSET($DJ$173:$DJ$365,0,$FO91),JV$173:JV$365,$FS$173:$FS$365,$CY$173:$CY$365)*JV$25))</f>
        <v>0</v>
      </c>
      <c r="JW91" s="1754">
        <f t="shared" ca="1" si="214"/>
        <v>0</v>
      </c>
      <c r="JX91" s="1754">
        <f t="shared" ca="1" si="214"/>
        <v>0</v>
      </c>
      <c r="JY91" s="1754">
        <f t="shared" ca="1" si="214"/>
        <v>0</v>
      </c>
      <c r="JZ91" s="1754">
        <f t="shared" ca="1" si="214"/>
        <v>0</v>
      </c>
      <c r="KA91" s="1754">
        <f t="shared" ca="1" si="214"/>
        <v>0</v>
      </c>
      <c r="KB91" s="1754">
        <f t="shared" ca="1" si="214"/>
        <v>0</v>
      </c>
      <c r="KC91" s="1754">
        <f t="shared" ca="1" si="214"/>
        <v>0</v>
      </c>
      <c r="KD91" s="1754">
        <f t="shared" ca="1" si="214"/>
        <v>0</v>
      </c>
      <c r="KE91" s="1754">
        <f t="shared" ca="1" si="214"/>
        <v>0</v>
      </c>
      <c r="KF91" s="1754">
        <f t="shared" ref="KF91:KO100" ca="1" si="215">IF(KF$171=0,0,IF($FU91=0,0,SUMPRODUCT(OFFSET($DJ$173:$DJ$365,0,$FO91),KF$173:KF$365,$FS$173:$FS$365,$CY$173:$CY$365)*KF$25))</f>
        <v>0</v>
      </c>
      <c r="KG91" s="1754">
        <f t="shared" ca="1" si="215"/>
        <v>0</v>
      </c>
      <c r="KH91" s="1754">
        <f t="shared" ca="1" si="215"/>
        <v>0</v>
      </c>
      <c r="KI91" s="1754">
        <f t="shared" ca="1" si="215"/>
        <v>0</v>
      </c>
      <c r="KJ91" s="1754">
        <f t="shared" ca="1" si="215"/>
        <v>0</v>
      </c>
      <c r="KK91" s="1754">
        <f t="shared" ca="1" si="215"/>
        <v>0</v>
      </c>
      <c r="KL91" s="1754">
        <f t="shared" ca="1" si="215"/>
        <v>0</v>
      </c>
      <c r="KM91" s="1754">
        <f t="shared" ca="1" si="215"/>
        <v>0</v>
      </c>
      <c r="KN91" s="1754">
        <f t="shared" ca="1" si="215"/>
        <v>0</v>
      </c>
      <c r="KO91" s="1754">
        <f t="shared" ca="1" si="215"/>
        <v>0</v>
      </c>
      <c r="KP91" s="1754">
        <f t="shared" ref="KP91:KY100" ca="1" si="216">IF(KP$171=0,0,IF($FU91=0,0,SUMPRODUCT(OFFSET($DJ$173:$DJ$365,0,$FO91),KP$173:KP$365,$FS$173:$FS$365,$CY$173:$CY$365)*KP$25))</f>
        <v>0</v>
      </c>
      <c r="KQ91" s="1754">
        <f t="shared" ca="1" si="216"/>
        <v>0</v>
      </c>
      <c r="KR91" s="1754">
        <f t="shared" ca="1" si="216"/>
        <v>0</v>
      </c>
      <c r="KS91" s="1754">
        <f t="shared" ca="1" si="216"/>
        <v>0</v>
      </c>
      <c r="KT91" s="1754">
        <f t="shared" ca="1" si="216"/>
        <v>0</v>
      </c>
      <c r="KU91" s="1754">
        <f t="shared" ca="1" si="216"/>
        <v>0</v>
      </c>
      <c r="KV91" s="1754">
        <f t="shared" ca="1" si="216"/>
        <v>0</v>
      </c>
      <c r="KW91" s="1754">
        <f t="shared" ca="1" si="216"/>
        <v>0</v>
      </c>
      <c r="KX91" s="1754">
        <f t="shared" ca="1" si="216"/>
        <v>0</v>
      </c>
      <c r="KY91" s="1754">
        <f t="shared" ca="1" si="216"/>
        <v>0</v>
      </c>
      <c r="KZ91" s="1754">
        <f t="shared" ref="KZ91:LI100" ca="1" si="217">IF(KZ$171=0,0,IF($FU91=0,0,SUMPRODUCT(OFFSET($DJ$173:$DJ$365,0,$FO91),KZ$173:KZ$365,$FS$173:$FS$365,$CY$173:$CY$365)*KZ$25))</f>
        <v>0</v>
      </c>
      <c r="LA91" s="1754">
        <f t="shared" ca="1" si="217"/>
        <v>0</v>
      </c>
      <c r="LB91" s="1754">
        <f t="shared" ca="1" si="217"/>
        <v>0</v>
      </c>
      <c r="LC91" s="1754">
        <f t="shared" ca="1" si="217"/>
        <v>0</v>
      </c>
      <c r="LD91" s="1754">
        <f t="shared" ca="1" si="217"/>
        <v>0</v>
      </c>
      <c r="LE91" s="1754">
        <f t="shared" ca="1" si="217"/>
        <v>0</v>
      </c>
      <c r="LF91" s="1754">
        <f t="shared" ca="1" si="217"/>
        <v>0</v>
      </c>
      <c r="LG91" s="1754">
        <f t="shared" ca="1" si="217"/>
        <v>0</v>
      </c>
      <c r="LH91" s="1754">
        <f t="shared" ca="1" si="217"/>
        <v>0</v>
      </c>
      <c r="LI91" s="1754">
        <f t="shared" ca="1" si="217"/>
        <v>0</v>
      </c>
      <c r="LJ91" s="1754">
        <f t="shared" ref="LJ91:LP100" ca="1" si="218">IF(LJ$171=0,0,IF($FU91=0,0,SUMPRODUCT(OFFSET($DJ$173:$DJ$365,0,$FO91),LJ$173:LJ$365,$FS$173:$FS$365,$CY$173:$CY$365)*LJ$25))</f>
        <v>0</v>
      </c>
      <c r="LK91" s="1754">
        <f t="shared" ca="1" si="218"/>
        <v>0</v>
      </c>
      <c r="LL91" s="1754">
        <f t="shared" ca="1" si="218"/>
        <v>0</v>
      </c>
      <c r="LM91" s="1754">
        <f t="shared" ca="1" si="218"/>
        <v>0</v>
      </c>
      <c r="LN91" s="1754">
        <f t="shared" ca="1" si="218"/>
        <v>0</v>
      </c>
      <c r="LO91" s="1754">
        <f t="shared" ca="1" si="218"/>
        <v>0</v>
      </c>
      <c r="LP91" s="1755">
        <f t="shared" ca="1" si="218"/>
        <v>0</v>
      </c>
      <c r="LQ91" s="604"/>
    </row>
    <row r="92" spans="1:332" ht="12.75" customHeight="1" x14ac:dyDescent="0.3">
      <c r="A92" s="279"/>
      <c r="B92" s="41"/>
      <c r="C92" s="82"/>
      <c r="D92" s="41"/>
      <c r="E92" s="9"/>
      <c r="F92" s="9"/>
      <c r="G92" s="9"/>
      <c r="H92" s="10"/>
      <c r="I92" s="10"/>
      <c r="J92" s="10"/>
      <c r="K92" s="10"/>
      <c r="L92" s="10"/>
      <c r="M92" s="10"/>
      <c r="N92" s="9"/>
      <c r="O92" s="9"/>
      <c r="P92" s="44"/>
      <c r="Q92" s="44"/>
      <c r="R92" s="9"/>
      <c r="S92" s="9"/>
      <c r="T92" s="9"/>
      <c r="U92" s="9"/>
      <c r="V92" s="9"/>
      <c r="W92" s="9"/>
      <c r="X92" s="9"/>
      <c r="Y92" s="9"/>
      <c r="Z92" s="9"/>
      <c r="AA92" s="9"/>
      <c r="AB92" s="9"/>
      <c r="AC92" s="9"/>
      <c r="AD92" s="9"/>
      <c r="AE92" s="9"/>
      <c r="AF92" s="9"/>
      <c r="AG92" s="9"/>
      <c r="AH92" s="2514"/>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113"/>
      <c r="DI92" s="113"/>
      <c r="DJ92" s="113"/>
      <c r="DK92" s="118"/>
      <c r="DL92" s="118"/>
      <c r="DM92" s="118"/>
      <c r="DN92" s="118"/>
      <c r="DO92" s="118"/>
      <c r="DP92" s="118"/>
      <c r="DQ92" s="118"/>
      <c r="DR92" s="118"/>
      <c r="DS92" s="118"/>
      <c r="DT92" s="118"/>
      <c r="DU92" s="118"/>
      <c r="DV92" s="118"/>
      <c r="DW92" s="118"/>
      <c r="DX92" s="118"/>
      <c r="DY92" s="118"/>
      <c r="DZ92" s="118"/>
      <c r="EA92" s="118"/>
      <c r="EB92" s="118"/>
      <c r="EC92" s="118"/>
      <c r="ED92" s="118"/>
      <c r="EE92" s="118"/>
      <c r="EF92" s="118"/>
      <c r="EG92" s="118"/>
      <c r="EH92" s="118"/>
      <c r="EI92" s="118"/>
      <c r="EJ92" s="118"/>
      <c r="EK92" s="118"/>
      <c r="EL92" s="118"/>
      <c r="EM92" s="118"/>
      <c r="EN92" s="118"/>
      <c r="EO92" s="118"/>
      <c r="EP92" s="118"/>
      <c r="EQ92" s="118"/>
      <c r="ER92" s="118"/>
      <c r="ES92" s="118"/>
      <c r="ET92" s="118"/>
      <c r="EU92" s="118"/>
      <c r="EV92" s="118"/>
      <c r="EW92" s="118"/>
      <c r="EX92" s="118"/>
      <c r="EY92" s="118"/>
      <c r="EZ92" s="118"/>
      <c r="FA92" s="118"/>
      <c r="FB92" s="118"/>
      <c r="FC92" s="118"/>
      <c r="FD92" s="118"/>
      <c r="FE92" s="118"/>
      <c r="FF92" s="118"/>
      <c r="FG92" s="118"/>
      <c r="FH92" s="118"/>
      <c r="FI92" s="180"/>
      <c r="FJ92" s="132"/>
      <c r="FK92" s="132"/>
      <c r="FL92" s="181">
        <f t="shared" ca="1" si="197"/>
        <v>49</v>
      </c>
      <c r="FM92" s="1340">
        <f t="shared" ca="1" si="198"/>
        <v>0</v>
      </c>
      <c r="FN92" s="1341">
        <f t="shared" ca="1" si="199"/>
        <v>0</v>
      </c>
      <c r="FO92" s="1342">
        <f t="shared" ca="1" si="200"/>
        <v>48</v>
      </c>
      <c r="FP92" s="1343">
        <f t="shared" ca="1" si="201"/>
        <v>0</v>
      </c>
      <c r="FQ92" s="1344">
        <f t="shared" si="202"/>
        <v>40</v>
      </c>
      <c r="FR92" s="1344">
        <f t="shared" si="203"/>
        <v>50</v>
      </c>
      <c r="FS92" s="1345">
        <f t="shared" si="204"/>
        <v>49</v>
      </c>
      <c r="FT92" s="1345"/>
      <c r="FU92" s="1346">
        <f t="shared" ref="FU92:FU140" ca="1" si="219">OFFSET($DJ$7,0,$FO92)</f>
        <v>0</v>
      </c>
      <c r="FV92" s="1346"/>
      <c r="FW92" s="1346"/>
      <c r="FX92" s="1347"/>
      <c r="FY92" s="1348"/>
      <c r="FZ92" s="1348"/>
      <c r="GA92" s="1348"/>
      <c r="GB92" s="1349"/>
      <c r="GC92" s="1350"/>
      <c r="GD92" s="1348"/>
      <c r="GE92" s="1348"/>
      <c r="GF92" s="1348"/>
      <c r="GG92" s="1348"/>
      <c r="GH92" s="1348"/>
      <c r="GI92" s="1348"/>
      <c r="GJ92" s="1348"/>
      <c r="GK92" s="1348"/>
      <c r="GL92" s="1348"/>
      <c r="GM92" s="1348"/>
      <c r="GN92" s="3825">
        <f t="shared" ca="1" si="205"/>
        <v>0</v>
      </c>
      <c r="GO92" s="3825"/>
      <c r="GP92" s="3825"/>
      <c r="GQ92" s="3826"/>
      <c r="GR92" s="3675"/>
      <c r="GS92" s="3676"/>
      <c r="GT92" s="1756">
        <f t="shared" ca="1" si="206"/>
        <v>0</v>
      </c>
      <c r="GU92" s="1757">
        <f t="shared" ca="1" si="206"/>
        <v>0</v>
      </c>
      <c r="GV92" s="1757">
        <f t="shared" ca="1" si="206"/>
        <v>0</v>
      </c>
      <c r="GW92" s="1757">
        <f t="shared" ca="1" si="206"/>
        <v>0</v>
      </c>
      <c r="GX92" s="1757">
        <f t="shared" ca="1" si="206"/>
        <v>0</v>
      </c>
      <c r="GY92" s="1757">
        <f t="shared" ca="1" si="206"/>
        <v>0</v>
      </c>
      <c r="GZ92" s="1757">
        <f t="shared" ca="1" si="206"/>
        <v>0</v>
      </c>
      <c r="HA92" s="1757">
        <f t="shared" ca="1" si="206"/>
        <v>0</v>
      </c>
      <c r="HB92" s="1757">
        <f t="shared" ca="1" si="206"/>
        <v>0</v>
      </c>
      <c r="HC92" s="1757">
        <f t="shared" ca="1" si="206"/>
        <v>0</v>
      </c>
      <c r="HD92" s="1757">
        <f t="shared" ca="1" si="207"/>
        <v>0</v>
      </c>
      <c r="HE92" s="1757">
        <f t="shared" ca="1" si="207"/>
        <v>0</v>
      </c>
      <c r="HF92" s="1757">
        <f t="shared" ca="1" si="207"/>
        <v>0</v>
      </c>
      <c r="HG92" s="1757">
        <f t="shared" ca="1" si="207"/>
        <v>0</v>
      </c>
      <c r="HH92" s="1757">
        <f t="shared" ca="1" si="207"/>
        <v>0</v>
      </c>
      <c r="HI92" s="1757">
        <f t="shared" ca="1" si="207"/>
        <v>0</v>
      </c>
      <c r="HJ92" s="1757">
        <f t="shared" ca="1" si="207"/>
        <v>0</v>
      </c>
      <c r="HK92" s="1757">
        <f t="shared" ca="1" si="207"/>
        <v>0</v>
      </c>
      <c r="HL92" s="1757">
        <f t="shared" ca="1" si="207"/>
        <v>0</v>
      </c>
      <c r="HM92" s="1757">
        <f t="shared" ca="1" si="207"/>
        <v>0</v>
      </c>
      <c r="HN92" s="1757">
        <f t="shared" ca="1" si="208"/>
        <v>0</v>
      </c>
      <c r="HO92" s="1757">
        <f t="shared" ca="1" si="208"/>
        <v>0</v>
      </c>
      <c r="HP92" s="1757">
        <f t="shared" ca="1" si="208"/>
        <v>0</v>
      </c>
      <c r="HQ92" s="1757">
        <f t="shared" ca="1" si="208"/>
        <v>0</v>
      </c>
      <c r="HR92" s="1757">
        <f t="shared" ca="1" si="208"/>
        <v>0</v>
      </c>
      <c r="HS92" s="1757">
        <f t="shared" ca="1" si="208"/>
        <v>0</v>
      </c>
      <c r="HT92" s="1757">
        <f t="shared" ca="1" si="208"/>
        <v>0</v>
      </c>
      <c r="HU92" s="1757">
        <f t="shared" ca="1" si="208"/>
        <v>0</v>
      </c>
      <c r="HV92" s="1757">
        <f t="shared" ca="1" si="208"/>
        <v>0</v>
      </c>
      <c r="HW92" s="1757">
        <f t="shared" ca="1" si="208"/>
        <v>0</v>
      </c>
      <c r="HX92" s="1757">
        <f t="shared" ca="1" si="209"/>
        <v>0</v>
      </c>
      <c r="HY92" s="1757">
        <f t="shared" ca="1" si="209"/>
        <v>0</v>
      </c>
      <c r="HZ92" s="1757">
        <f t="shared" ca="1" si="209"/>
        <v>0</v>
      </c>
      <c r="IA92" s="1757">
        <f t="shared" ca="1" si="209"/>
        <v>0</v>
      </c>
      <c r="IB92" s="1757">
        <f t="shared" ca="1" si="209"/>
        <v>0</v>
      </c>
      <c r="IC92" s="1757">
        <f t="shared" ca="1" si="209"/>
        <v>0</v>
      </c>
      <c r="ID92" s="1757">
        <f t="shared" ca="1" si="209"/>
        <v>0</v>
      </c>
      <c r="IE92" s="1757">
        <f t="shared" ca="1" si="209"/>
        <v>0</v>
      </c>
      <c r="IF92" s="1757">
        <f t="shared" ca="1" si="209"/>
        <v>0</v>
      </c>
      <c r="IG92" s="1757">
        <f t="shared" ca="1" si="209"/>
        <v>0</v>
      </c>
      <c r="IH92" s="1757">
        <f t="shared" ca="1" si="210"/>
        <v>0</v>
      </c>
      <c r="II92" s="1757">
        <f t="shared" ca="1" si="210"/>
        <v>0</v>
      </c>
      <c r="IJ92" s="1757">
        <f t="shared" ca="1" si="210"/>
        <v>0</v>
      </c>
      <c r="IK92" s="1757">
        <f t="shared" ca="1" si="210"/>
        <v>0</v>
      </c>
      <c r="IL92" s="1757">
        <f t="shared" ca="1" si="210"/>
        <v>0</v>
      </c>
      <c r="IM92" s="1757">
        <f t="shared" ca="1" si="210"/>
        <v>0</v>
      </c>
      <c r="IN92" s="1757">
        <f t="shared" ca="1" si="210"/>
        <v>0</v>
      </c>
      <c r="IO92" s="1757">
        <f t="shared" ca="1" si="210"/>
        <v>0</v>
      </c>
      <c r="IP92" s="1757">
        <f t="shared" ca="1" si="210"/>
        <v>0</v>
      </c>
      <c r="IQ92" s="1757">
        <f t="shared" ca="1" si="210"/>
        <v>0</v>
      </c>
      <c r="IR92" s="1757">
        <f t="shared" ca="1" si="211"/>
        <v>0</v>
      </c>
      <c r="IS92" s="1757">
        <f t="shared" ca="1" si="211"/>
        <v>0</v>
      </c>
      <c r="IT92" s="1757">
        <f t="shared" ca="1" si="211"/>
        <v>0</v>
      </c>
      <c r="IU92" s="1757">
        <f t="shared" ca="1" si="211"/>
        <v>0</v>
      </c>
      <c r="IV92" s="1757">
        <f t="shared" ca="1" si="211"/>
        <v>0</v>
      </c>
      <c r="IW92" s="1757">
        <f t="shared" ca="1" si="211"/>
        <v>0</v>
      </c>
      <c r="IX92" s="1757">
        <f t="shared" ca="1" si="211"/>
        <v>0</v>
      </c>
      <c r="IY92" s="1757">
        <f t="shared" ca="1" si="211"/>
        <v>0</v>
      </c>
      <c r="IZ92" s="1757">
        <f t="shared" ca="1" si="211"/>
        <v>0</v>
      </c>
      <c r="JA92" s="1757">
        <f t="shared" ca="1" si="211"/>
        <v>0</v>
      </c>
      <c r="JB92" s="1757">
        <f t="shared" ca="1" si="212"/>
        <v>0</v>
      </c>
      <c r="JC92" s="1757">
        <f t="shared" ca="1" si="212"/>
        <v>0</v>
      </c>
      <c r="JD92" s="1757">
        <f t="shared" ca="1" si="212"/>
        <v>0</v>
      </c>
      <c r="JE92" s="1757">
        <f t="shared" ca="1" si="212"/>
        <v>0</v>
      </c>
      <c r="JF92" s="1757">
        <f t="shared" ca="1" si="212"/>
        <v>0</v>
      </c>
      <c r="JG92" s="1757">
        <f t="shared" ca="1" si="212"/>
        <v>0</v>
      </c>
      <c r="JH92" s="1757">
        <f t="shared" ca="1" si="212"/>
        <v>0</v>
      </c>
      <c r="JI92" s="1757">
        <f t="shared" ca="1" si="212"/>
        <v>0</v>
      </c>
      <c r="JJ92" s="1757">
        <f t="shared" ca="1" si="212"/>
        <v>0</v>
      </c>
      <c r="JK92" s="1757">
        <f t="shared" ca="1" si="212"/>
        <v>0</v>
      </c>
      <c r="JL92" s="1757">
        <f t="shared" ca="1" si="213"/>
        <v>0</v>
      </c>
      <c r="JM92" s="1757">
        <f t="shared" ca="1" si="213"/>
        <v>0</v>
      </c>
      <c r="JN92" s="1757">
        <f t="shared" ca="1" si="213"/>
        <v>0</v>
      </c>
      <c r="JO92" s="1757">
        <f t="shared" ca="1" si="213"/>
        <v>0</v>
      </c>
      <c r="JP92" s="1757">
        <f t="shared" ca="1" si="213"/>
        <v>0</v>
      </c>
      <c r="JQ92" s="1757">
        <f t="shared" ca="1" si="213"/>
        <v>0</v>
      </c>
      <c r="JR92" s="1757">
        <f t="shared" ca="1" si="213"/>
        <v>0</v>
      </c>
      <c r="JS92" s="1757">
        <f t="shared" ca="1" si="213"/>
        <v>0</v>
      </c>
      <c r="JT92" s="1757">
        <f t="shared" ca="1" si="213"/>
        <v>0</v>
      </c>
      <c r="JU92" s="1757">
        <f t="shared" ca="1" si="213"/>
        <v>0</v>
      </c>
      <c r="JV92" s="1757">
        <f t="shared" ca="1" si="214"/>
        <v>0</v>
      </c>
      <c r="JW92" s="1757">
        <f t="shared" ca="1" si="214"/>
        <v>0</v>
      </c>
      <c r="JX92" s="1757">
        <f t="shared" ca="1" si="214"/>
        <v>0</v>
      </c>
      <c r="JY92" s="1757">
        <f t="shared" ca="1" si="214"/>
        <v>0</v>
      </c>
      <c r="JZ92" s="1757">
        <f t="shared" ca="1" si="214"/>
        <v>0</v>
      </c>
      <c r="KA92" s="1757">
        <f t="shared" ca="1" si="214"/>
        <v>0</v>
      </c>
      <c r="KB92" s="1757">
        <f t="shared" ca="1" si="214"/>
        <v>0</v>
      </c>
      <c r="KC92" s="1757">
        <f t="shared" ca="1" si="214"/>
        <v>0</v>
      </c>
      <c r="KD92" s="1757">
        <f t="shared" ca="1" si="214"/>
        <v>0</v>
      </c>
      <c r="KE92" s="1757">
        <f t="shared" ca="1" si="214"/>
        <v>0</v>
      </c>
      <c r="KF92" s="1757">
        <f t="shared" ca="1" si="215"/>
        <v>0</v>
      </c>
      <c r="KG92" s="1757">
        <f t="shared" ca="1" si="215"/>
        <v>0</v>
      </c>
      <c r="KH92" s="1757">
        <f t="shared" ca="1" si="215"/>
        <v>0</v>
      </c>
      <c r="KI92" s="1757">
        <f t="shared" ca="1" si="215"/>
        <v>0</v>
      </c>
      <c r="KJ92" s="1757">
        <f t="shared" ca="1" si="215"/>
        <v>0</v>
      </c>
      <c r="KK92" s="1757">
        <f t="shared" ca="1" si="215"/>
        <v>0</v>
      </c>
      <c r="KL92" s="1757">
        <f t="shared" ca="1" si="215"/>
        <v>0</v>
      </c>
      <c r="KM92" s="1757">
        <f t="shared" ca="1" si="215"/>
        <v>0</v>
      </c>
      <c r="KN92" s="1757">
        <f t="shared" ca="1" si="215"/>
        <v>0</v>
      </c>
      <c r="KO92" s="1757">
        <f t="shared" ca="1" si="215"/>
        <v>0</v>
      </c>
      <c r="KP92" s="1757">
        <f t="shared" ca="1" si="216"/>
        <v>0</v>
      </c>
      <c r="KQ92" s="1757">
        <f t="shared" ca="1" si="216"/>
        <v>0</v>
      </c>
      <c r="KR92" s="1757">
        <f t="shared" ca="1" si="216"/>
        <v>0</v>
      </c>
      <c r="KS92" s="1757">
        <f t="shared" ca="1" si="216"/>
        <v>0</v>
      </c>
      <c r="KT92" s="1757">
        <f t="shared" ca="1" si="216"/>
        <v>0</v>
      </c>
      <c r="KU92" s="1757">
        <f t="shared" ca="1" si="216"/>
        <v>0</v>
      </c>
      <c r="KV92" s="1757">
        <f t="shared" ca="1" si="216"/>
        <v>0</v>
      </c>
      <c r="KW92" s="1757">
        <f t="shared" ca="1" si="216"/>
        <v>0</v>
      </c>
      <c r="KX92" s="1757">
        <f t="shared" ca="1" si="216"/>
        <v>0</v>
      </c>
      <c r="KY92" s="1757">
        <f t="shared" ca="1" si="216"/>
        <v>0</v>
      </c>
      <c r="KZ92" s="1757">
        <f t="shared" ca="1" si="217"/>
        <v>0</v>
      </c>
      <c r="LA92" s="1757">
        <f t="shared" ca="1" si="217"/>
        <v>0</v>
      </c>
      <c r="LB92" s="1757">
        <f t="shared" ca="1" si="217"/>
        <v>0</v>
      </c>
      <c r="LC92" s="1757">
        <f t="shared" ca="1" si="217"/>
        <v>0</v>
      </c>
      <c r="LD92" s="1757">
        <f t="shared" ca="1" si="217"/>
        <v>0</v>
      </c>
      <c r="LE92" s="1757">
        <f t="shared" ca="1" si="217"/>
        <v>0</v>
      </c>
      <c r="LF92" s="1757">
        <f t="shared" ca="1" si="217"/>
        <v>0</v>
      </c>
      <c r="LG92" s="1757">
        <f t="shared" ca="1" si="217"/>
        <v>0</v>
      </c>
      <c r="LH92" s="1757">
        <f t="shared" ca="1" si="217"/>
        <v>0</v>
      </c>
      <c r="LI92" s="1757">
        <f t="shared" ca="1" si="217"/>
        <v>0</v>
      </c>
      <c r="LJ92" s="1757">
        <f t="shared" ca="1" si="218"/>
        <v>0</v>
      </c>
      <c r="LK92" s="1757">
        <f t="shared" ca="1" si="218"/>
        <v>0</v>
      </c>
      <c r="LL92" s="1757">
        <f t="shared" ca="1" si="218"/>
        <v>0</v>
      </c>
      <c r="LM92" s="1757">
        <f t="shared" ca="1" si="218"/>
        <v>0</v>
      </c>
      <c r="LN92" s="1757">
        <f t="shared" ca="1" si="218"/>
        <v>0</v>
      </c>
      <c r="LO92" s="1757">
        <f t="shared" ca="1" si="218"/>
        <v>0</v>
      </c>
      <c r="LP92" s="1758">
        <f t="shared" ca="1" si="218"/>
        <v>0</v>
      </c>
      <c r="LQ92" s="604"/>
    </row>
    <row r="93" spans="1:332" ht="12.75" customHeight="1" x14ac:dyDescent="0.3">
      <c r="A93" s="279"/>
      <c r="B93" s="41"/>
      <c r="C93" s="82"/>
      <c r="D93" s="41"/>
      <c r="E93" s="9"/>
      <c r="F93" s="9"/>
      <c r="G93" s="9"/>
      <c r="H93" s="10"/>
      <c r="I93" s="10"/>
      <c r="J93" s="10"/>
      <c r="K93" s="10"/>
      <c r="L93" s="10"/>
      <c r="M93" s="10"/>
      <c r="N93" s="9"/>
      <c r="O93" s="9"/>
      <c r="P93" s="44"/>
      <c r="Q93" s="44"/>
      <c r="R93" s="9"/>
      <c r="S93" s="9"/>
      <c r="T93" s="9"/>
      <c r="U93" s="9"/>
      <c r="V93" s="9"/>
      <c r="W93" s="9"/>
      <c r="X93" s="9"/>
      <c r="Y93" s="9"/>
      <c r="Z93" s="9"/>
      <c r="AA93" s="9"/>
      <c r="AB93" s="9"/>
      <c r="AC93" s="9"/>
      <c r="AD93" s="9"/>
      <c r="AE93" s="9"/>
      <c r="AF93" s="9"/>
      <c r="AG93" s="9"/>
      <c r="AH93" s="2514"/>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113"/>
      <c r="DI93" s="113"/>
      <c r="DJ93" s="113"/>
      <c r="DK93" s="118"/>
      <c r="DL93" s="118"/>
      <c r="DM93" s="118"/>
      <c r="DN93" s="118"/>
      <c r="DO93" s="118"/>
      <c r="DP93" s="118"/>
      <c r="DQ93" s="118"/>
      <c r="DR93" s="118"/>
      <c r="DS93" s="118"/>
      <c r="DT93" s="118"/>
      <c r="DU93" s="118"/>
      <c r="DV93" s="118"/>
      <c r="DW93" s="118"/>
      <c r="DX93" s="118"/>
      <c r="DY93" s="118"/>
      <c r="DZ93" s="118"/>
      <c r="EA93" s="118"/>
      <c r="EB93" s="118"/>
      <c r="EC93" s="118"/>
      <c r="ED93" s="118"/>
      <c r="EE93" s="118"/>
      <c r="EF93" s="118"/>
      <c r="EG93" s="118"/>
      <c r="EH93" s="118"/>
      <c r="EI93" s="118"/>
      <c r="EJ93" s="118"/>
      <c r="EK93" s="118"/>
      <c r="EL93" s="118"/>
      <c r="EM93" s="118"/>
      <c r="EN93" s="118"/>
      <c r="EO93" s="118"/>
      <c r="EP93" s="118"/>
      <c r="EQ93" s="118"/>
      <c r="ER93" s="118"/>
      <c r="ES93" s="118"/>
      <c r="ET93" s="118"/>
      <c r="EU93" s="118"/>
      <c r="EV93" s="118"/>
      <c r="EW93" s="118"/>
      <c r="EX93" s="118"/>
      <c r="EY93" s="118"/>
      <c r="EZ93" s="118"/>
      <c r="FA93" s="118"/>
      <c r="FB93" s="118"/>
      <c r="FC93" s="118"/>
      <c r="FD93" s="118"/>
      <c r="FE93" s="118"/>
      <c r="FF93" s="118"/>
      <c r="FG93" s="118"/>
      <c r="FH93" s="118"/>
      <c r="FI93" s="180"/>
      <c r="FJ93" s="132"/>
      <c r="FK93" s="132"/>
      <c r="FL93" s="181">
        <f t="shared" ca="1" si="197"/>
        <v>48</v>
      </c>
      <c r="FM93" s="1340">
        <f t="shared" ca="1" si="198"/>
        <v>0</v>
      </c>
      <c r="FN93" s="1341">
        <f t="shared" ca="1" si="199"/>
        <v>0</v>
      </c>
      <c r="FO93" s="1342">
        <f t="shared" ca="1" si="200"/>
        <v>47</v>
      </c>
      <c r="FP93" s="1343">
        <f t="shared" ca="1" si="201"/>
        <v>0</v>
      </c>
      <c r="FQ93" s="1344">
        <f t="shared" si="202"/>
        <v>40</v>
      </c>
      <c r="FR93" s="1344">
        <f t="shared" si="203"/>
        <v>50</v>
      </c>
      <c r="FS93" s="1345">
        <f t="shared" si="204"/>
        <v>48</v>
      </c>
      <c r="FT93" s="1345"/>
      <c r="FU93" s="1346">
        <f t="shared" ca="1" si="219"/>
        <v>0</v>
      </c>
      <c r="FV93" s="1346"/>
      <c r="FW93" s="1346"/>
      <c r="FX93" s="1347"/>
      <c r="FY93" s="1348"/>
      <c r="FZ93" s="1348"/>
      <c r="GA93" s="1348"/>
      <c r="GB93" s="1349"/>
      <c r="GC93" s="1350"/>
      <c r="GD93" s="1348"/>
      <c r="GE93" s="1348"/>
      <c r="GF93" s="1348"/>
      <c r="GG93" s="1348"/>
      <c r="GH93" s="1348"/>
      <c r="GI93" s="1348"/>
      <c r="GJ93" s="1348"/>
      <c r="GK93" s="1348"/>
      <c r="GL93" s="1348"/>
      <c r="GM93" s="1348"/>
      <c r="GN93" s="3825">
        <f t="shared" ca="1" si="205"/>
        <v>0</v>
      </c>
      <c r="GO93" s="3825"/>
      <c r="GP93" s="3825"/>
      <c r="GQ93" s="3826"/>
      <c r="GR93" s="3675"/>
      <c r="GS93" s="3676"/>
      <c r="GT93" s="1756">
        <f t="shared" ca="1" si="206"/>
        <v>0</v>
      </c>
      <c r="GU93" s="1757">
        <f t="shared" ca="1" si="206"/>
        <v>0</v>
      </c>
      <c r="GV93" s="1757">
        <f t="shared" ca="1" si="206"/>
        <v>0</v>
      </c>
      <c r="GW93" s="1757">
        <f t="shared" ca="1" si="206"/>
        <v>0</v>
      </c>
      <c r="GX93" s="1757">
        <f t="shared" ca="1" si="206"/>
        <v>0</v>
      </c>
      <c r="GY93" s="1757">
        <f t="shared" ca="1" si="206"/>
        <v>0</v>
      </c>
      <c r="GZ93" s="1757">
        <f t="shared" ca="1" si="206"/>
        <v>0</v>
      </c>
      <c r="HA93" s="1757">
        <f t="shared" ca="1" si="206"/>
        <v>0</v>
      </c>
      <c r="HB93" s="1757">
        <f t="shared" ca="1" si="206"/>
        <v>0</v>
      </c>
      <c r="HC93" s="1757">
        <f t="shared" ca="1" si="206"/>
        <v>0</v>
      </c>
      <c r="HD93" s="1757">
        <f t="shared" ca="1" si="207"/>
        <v>0</v>
      </c>
      <c r="HE93" s="1757">
        <f t="shared" ca="1" si="207"/>
        <v>0</v>
      </c>
      <c r="HF93" s="1757">
        <f t="shared" ca="1" si="207"/>
        <v>0</v>
      </c>
      <c r="HG93" s="1757">
        <f t="shared" ca="1" si="207"/>
        <v>0</v>
      </c>
      <c r="HH93" s="1757">
        <f t="shared" ca="1" si="207"/>
        <v>0</v>
      </c>
      <c r="HI93" s="1757">
        <f t="shared" ca="1" si="207"/>
        <v>0</v>
      </c>
      <c r="HJ93" s="1757">
        <f t="shared" ca="1" si="207"/>
        <v>0</v>
      </c>
      <c r="HK93" s="1757">
        <f t="shared" ca="1" si="207"/>
        <v>0</v>
      </c>
      <c r="HL93" s="1757">
        <f t="shared" ca="1" si="207"/>
        <v>0</v>
      </c>
      <c r="HM93" s="1757">
        <f t="shared" ca="1" si="207"/>
        <v>0</v>
      </c>
      <c r="HN93" s="1757">
        <f t="shared" ca="1" si="208"/>
        <v>0</v>
      </c>
      <c r="HO93" s="1757">
        <f t="shared" ca="1" si="208"/>
        <v>0</v>
      </c>
      <c r="HP93" s="1757">
        <f t="shared" ca="1" si="208"/>
        <v>0</v>
      </c>
      <c r="HQ93" s="1757">
        <f t="shared" ca="1" si="208"/>
        <v>0</v>
      </c>
      <c r="HR93" s="1757">
        <f t="shared" ca="1" si="208"/>
        <v>0</v>
      </c>
      <c r="HS93" s="1757">
        <f t="shared" ca="1" si="208"/>
        <v>0</v>
      </c>
      <c r="HT93" s="1757">
        <f t="shared" ca="1" si="208"/>
        <v>0</v>
      </c>
      <c r="HU93" s="1757">
        <f t="shared" ca="1" si="208"/>
        <v>0</v>
      </c>
      <c r="HV93" s="1757">
        <f t="shared" ca="1" si="208"/>
        <v>0</v>
      </c>
      <c r="HW93" s="1757">
        <f t="shared" ca="1" si="208"/>
        <v>0</v>
      </c>
      <c r="HX93" s="1757">
        <f t="shared" ca="1" si="209"/>
        <v>0</v>
      </c>
      <c r="HY93" s="1757">
        <f t="shared" ca="1" si="209"/>
        <v>0</v>
      </c>
      <c r="HZ93" s="1757">
        <f t="shared" ca="1" si="209"/>
        <v>0</v>
      </c>
      <c r="IA93" s="1757">
        <f t="shared" ca="1" si="209"/>
        <v>0</v>
      </c>
      <c r="IB93" s="1757">
        <f t="shared" ca="1" si="209"/>
        <v>0</v>
      </c>
      <c r="IC93" s="1757">
        <f t="shared" ca="1" si="209"/>
        <v>0</v>
      </c>
      <c r="ID93" s="1757">
        <f t="shared" ca="1" si="209"/>
        <v>0</v>
      </c>
      <c r="IE93" s="1757">
        <f t="shared" ca="1" si="209"/>
        <v>0</v>
      </c>
      <c r="IF93" s="1757">
        <f t="shared" ca="1" si="209"/>
        <v>0</v>
      </c>
      <c r="IG93" s="1757">
        <f t="shared" ca="1" si="209"/>
        <v>0</v>
      </c>
      <c r="IH93" s="1757">
        <f t="shared" ca="1" si="210"/>
        <v>0</v>
      </c>
      <c r="II93" s="1757">
        <f t="shared" ca="1" si="210"/>
        <v>0</v>
      </c>
      <c r="IJ93" s="1757">
        <f t="shared" ca="1" si="210"/>
        <v>0</v>
      </c>
      <c r="IK93" s="1757">
        <f t="shared" ca="1" si="210"/>
        <v>0</v>
      </c>
      <c r="IL93" s="1757">
        <f t="shared" ca="1" si="210"/>
        <v>0</v>
      </c>
      <c r="IM93" s="1757">
        <f t="shared" ca="1" si="210"/>
        <v>0</v>
      </c>
      <c r="IN93" s="1757">
        <f t="shared" ca="1" si="210"/>
        <v>0</v>
      </c>
      <c r="IO93" s="1757">
        <f t="shared" ca="1" si="210"/>
        <v>0</v>
      </c>
      <c r="IP93" s="1757">
        <f t="shared" ca="1" si="210"/>
        <v>0</v>
      </c>
      <c r="IQ93" s="1757">
        <f t="shared" ca="1" si="210"/>
        <v>0</v>
      </c>
      <c r="IR93" s="1757">
        <f t="shared" ca="1" si="211"/>
        <v>0</v>
      </c>
      <c r="IS93" s="1757">
        <f t="shared" ca="1" si="211"/>
        <v>0</v>
      </c>
      <c r="IT93" s="1757">
        <f t="shared" ca="1" si="211"/>
        <v>0</v>
      </c>
      <c r="IU93" s="1757">
        <f t="shared" ca="1" si="211"/>
        <v>0</v>
      </c>
      <c r="IV93" s="1757">
        <f t="shared" ca="1" si="211"/>
        <v>0</v>
      </c>
      <c r="IW93" s="1757">
        <f t="shared" ca="1" si="211"/>
        <v>0</v>
      </c>
      <c r="IX93" s="1757">
        <f t="shared" ca="1" si="211"/>
        <v>0</v>
      </c>
      <c r="IY93" s="1757">
        <f t="shared" ca="1" si="211"/>
        <v>0</v>
      </c>
      <c r="IZ93" s="1757">
        <f t="shared" ca="1" si="211"/>
        <v>0</v>
      </c>
      <c r="JA93" s="1757">
        <f t="shared" ca="1" si="211"/>
        <v>0</v>
      </c>
      <c r="JB93" s="1757">
        <f t="shared" ca="1" si="212"/>
        <v>0</v>
      </c>
      <c r="JC93" s="1757">
        <f t="shared" ca="1" si="212"/>
        <v>0</v>
      </c>
      <c r="JD93" s="1757">
        <f t="shared" ca="1" si="212"/>
        <v>0</v>
      </c>
      <c r="JE93" s="1757">
        <f t="shared" ca="1" si="212"/>
        <v>0</v>
      </c>
      <c r="JF93" s="1757">
        <f t="shared" ca="1" si="212"/>
        <v>0</v>
      </c>
      <c r="JG93" s="1757">
        <f t="shared" ca="1" si="212"/>
        <v>0</v>
      </c>
      <c r="JH93" s="1757">
        <f t="shared" ca="1" si="212"/>
        <v>0</v>
      </c>
      <c r="JI93" s="1757">
        <f t="shared" ca="1" si="212"/>
        <v>0</v>
      </c>
      <c r="JJ93" s="1757">
        <f t="shared" ca="1" si="212"/>
        <v>0</v>
      </c>
      <c r="JK93" s="1757">
        <f t="shared" ca="1" si="212"/>
        <v>0</v>
      </c>
      <c r="JL93" s="1757">
        <f t="shared" ca="1" si="213"/>
        <v>0</v>
      </c>
      <c r="JM93" s="1757">
        <f t="shared" ca="1" si="213"/>
        <v>0</v>
      </c>
      <c r="JN93" s="1757">
        <f t="shared" ca="1" si="213"/>
        <v>0</v>
      </c>
      <c r="JO93" s="1757">
        <f t="shared" ca="1" si="213"/>
        <v>0</v>
      </c>
      <c r="JP93" s="1757">
        <f t="shared" ca="1" si="213"/>
        <v>0</v>
      </c>
      <c r="JQ93" s="1757">
        <f t="shared" ca="1" si="213"/>
        <v>0</v>
      </c>
      <c r="JR93" s="1757">
        <f t="shared" ca="1" si="213"/>
        <v>0</v>
      </c>
      <c r="JS93" s="1757">
        <f t="shared" ca="1" si="213"/>
        <v>0</v>
      </c>
      <c r="JT93" s="1757">
        <f t="shared" ca="1" si="213"/>
        <v>0</v>
      </c>
      <c r="JU93" s="1757">
        <f t="shared" ca="1" si="213"/>
        <v>0</v>
      </c>
      <c r="JV93" s="1757">
        <f t="shared" ca="1" si="214"/>
        <v>0</v>
      </c>
      <c r="JW93" s="1757">
        <f t="shared" ca="1" si="214"/>
        <v>0</v>
      </c>
      <c r="JX93" s="1757">
        <f t="shared" ca="1" si="214"/>
        <v>0</v>
      </c>
      <c r="JY93" s="1757">
        <f t="shared" ca="1" si="214"/>
        <v>0</v>
      </c>
      <c r="JZ93" s="1757">
        <f t="shared" ca="1" si="214"/>
        <v>0</v>
      </c>
      <c r="KA93" s="1757">
        <f t="shared" ca="1" si="214"/>
        <v>0</v>
      </c>
      <c r="KB93" s="1757">
        <f t="shared" ca="1" si="214"/>
        <v>0</v>
      </c>
      <c r="KC93" s="1757">
        <f t="shared" ca="1" si="214"/>
        <v>0</v>
      </c>
      <c r="KD93" s="1757">
        <f t="shared" ca="1" si="214"/>
        <v>0</v>
      </c>
      <c r="KE93" s="1757">
        <f t="shared" ca="1" si="214"/>
        <v>0</v>
      </c>
      <c r="KF93" s="1757">
        <f t="shared" ca="1" si="215"/>
        <v>0</v>
      </c>
      <c r="KG93" s="1757">
        <f t="shared" ca="1" si="215"/>
        <v>0</v>
      </c>
      <c r="KH93" s="1757">
        <f t="shared" ca="1" si="215"/>
        <v>0</v>
      </c>
      <c r="KI93" s="1757">
        <f t="shared" ca="1" si="215"/>
        <v>0</v>
      </c>
      <c r="KJ93" s="1757">
        <f t="shared" ca="1" si="215"/>
        <v>0</v>
      </c>
      <c r="KK93" s="1757">
        <f t="shared" ca="1" si="215"/>
        <v>0</v>
      </c>
      <c r="KL93" s="1757">
        <f t="shared" ca="1" si="215"/>
        <v>0</v>
      </c>
      <c r="KM93" s="1757">
        <f t="shared" ca="1" si="215"/>
        <v>0</v>
      </c>
      <c r="KN93" s="1757">
        <f t="shared" ca="1" si="215"/>
        <v>0</v>
      </c>
      <c r="KO93" s="1757">
        <f t="shared" ca="1" si="215"/>
        <v>0</v>
      </c>
      <c r="KP93" s="1757">
        <f t="shared" ca="1" si="216"/>
        <v>0</v>
      </c>
      <c r="KQ93" s="1757">
        <f t="shared" ca="1" si="216"/>
        <v>0</v>
      </c>
      <c r="KR93" s="1757">
        <f t="shared" ca="1" si="216"/>
        <v>0</v>
      </c>
      <c r="KS93" s="1757">
        <f t="shared" ca="1" si="216"/>
        <v>0</v>
      </c>
      <c r="KT93" s="1757">
        <f t="shared" ca="1" si="216"/>
        <v>0</v>
      </c>
      <c r="KU93" s="1757">
        <f t="shared" ca="1" si="216"/>
        <v>0</v>
      </c>
      <c r="KV93" s="1757">
        <f t="shared" ca="1" si="216"/>
        <v>0</v>
      </c>
      <c r="KW93" s="1757">
        <f t="shared" ca="1" si="216"/>
        <v>0</v>
      </c>
      <c r="KX93" s="1757">
        <f t="shared" ca="1" si="216"/>
        <v>0</v>
      </c>
      <c r="KY93" s="1757">
        <f t="shared" ca="1" si="216"/>
        <v>0</v>
      </c>
      <c r="KZ93" s="1757">
        <f t="shared" ca="1" si="217"/>
        <v>0</v>
      </c>
      <c r="LA93" s="1757">
        <f t="shared" ca="1" si="217"/>
        <v>0</v>
      </c>
      <c r="LB93" s="1757">
        <f t="shared" ca="1" si="217"/>
        <v>0</v>
      </c>
      <c r="LC93" s="1757">
        <f t="shared" ca="1" si="217"/>
        <v>0</v>
      </c>
      <c r="LD93" s="1757">
        <f t="shared" ca="1" si="217"/>
        <v>0</v>
      </c>
      <c r="LE93" s="1757">
        <f t="shared" ca="1" si="217"/>
        <v>0</v>
      </c>
      <c r="LF93" s="1757">
        <f t="shared" ca="1" si="217"/>
        <v>0</v>
      </c>
      <c r="LG93" s="1757">
        <f t="shared" ca="1" si="217"/>
        <v>0</v>
      </c>
      <c r="LH93" s="1757">
        <f t="shared" ca="1" si="217"/>
        <v>0</v>
      </c>
      <c r="LI93" s="1757">
        <f t="shared" ca="1" si="217"/>
        <v>0</v>
      </c>
      <c r="LJ93" s="1757">
        <f t="shared" ca="1" si="218"/>
        <v>0</v>
      </c>
      <c r="LK93" s="1757">
        <f t="shared" ca="1" si="218"/>
        <v>0</v>
      </c>
      <c r="LL93" s="1757">
        <f t="shared" ca="1" si="218"/>
        <v>0</v>
      </c>
      <c r="LM93" s="1757">
        <f t="shared" ca="1" si="218"/>
        <v>0</v>
      </c>
      <c r="LN93" s="1757">
        <f t="shared" ca="1" si="218"/>
        <v>0</v>
      </c>
      <c r="LO93" s="1757">
        <f t="shared" ca="1" si="218"/>
        <v>0</v>
      </c>
      <c r="LP93" s="1758">
        <f t="shared" ca="1" si="218"/>
        <v>0</v>
      </c>
      <c r="LQ93" s="604"/>
    </row>
    <row r="94" spans="1:332" ht="12.75" customHeight="1" x14ac:dyDescent="0.3">
      <c r="A94" s="279"/>
      <c r="B94" s="41"/>
      <c r="C94" s="82"/>
      <c r="D94" s="41"/>
      <c r="E94" s="9"/>
      <c r="F94" s="9"/>
      <c r="G94" s="9"/>
      <c r="H94" s="10"/>
      <c r="I94" s="10"/>
      <c r="J94" s="10"/>
      <c r="K94" s="10"/>
      <c r="L94" s="10"/>
      <c r="M94" s="10"/>
      <c r="N94" s="9"/>
      <c r="O94" s="9"/>
      <c r="P94" s="44"/>
      <c r="Q94" s="44"/>
      <c r="R94" s="9"/>
      <c r="S94" s="9"/>
      <c r="T94" s="9"/>
      <c r="U94" s="9"/>
      <c r="V94" s="9"/>
      <c r="W94" s="9"/>
      <c r="X94" s="9"/>
      <c r="Y94" s="9"/>
      <c r="Z94" s="9"/>
      <c r="AA94" s="9"/>
      <c r="AB94" s="9"/>
      <c r="AC94" s="9"/>
      <c r="AD94" s="9"/>
      <c r="AE94" s="9"/>
      <c r="AF94" s="9"/>
      <c r="AG94" s="9"/>
      <c r="AH94" s="2514"/>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113"/>
      <c r="DI94" s="113"/>
      <c r="DJ94" s="113"/>
      <c r="DK94" s="118"/>
      <c r="DL94" s="118"/>
      <c r="DM94" s="118"/>
      <c r="DN94" s="118"/>
      <c r="DO94" s="118"/>
      <c r="DP94" s="118"/>
      <c r="DQ94" s="118"/>
      <c r="DR94" s="118"/>
      <c r="DS94" s="118"/>
      <c r="DT94" s="118"/>
      <c r="DU94" s="118"/>
      <c r="DV94" s="118"/>
      <c r="DW94" s="118"/>
      <c r="DX94" s="118"/>
      <c r="DY94" s="118"/>
      <c r="DZ94" s="118"/>
      <c r="EA94" s="118"/>
      <c r="EB94" s="118"/>
      <c r="EC94" s="118"/>
      <c r="ED94" s="118"/>
      <c r="EE94" s="118"/>
      <c r="EF94" s="118"/>
      <c r="EG94" s="118"/>
      <c r="EH94" s="118"/>
      <c r="EI94" s="118"/>
      <c r="EJ94" s="118"/>
      <c r="EK94" s="118"/>
      <c r="EL94" s="118"/>
      <c r="EM94" s="118"/>
      <c r="EN94" s="118"/>
      <c r="EO94" s="118"/>
      <c r="EP94" s="118"/>
      <c r="EQ94" s="118"/>
      <c r="ER94" s="118"/>
      <c r="ES94" s="118"/>
      <c r="ET94" s="118"/>
      <c r="EU94" s="118"/>
      <c r="EV94" s="118"/>
      <c r="EW94" s="118"/>
      <c r="EX94" s="118"/>
      <c r="EY94" s="118"/>
      <c r="EZ94" s="118"/>
      <c r="FA94" s="118"/>
      <c r="FB94" s="118"/>
      <c r="FC94" s="118"/>
      <c r="FD94" s="118"/>
      <c r="FE94" s="118"/>
      <c r="FF94" s="118"/>
      <c r="FG94" s="118"/>
      <c r="FH94" s="118"/>
      <c r="FI94" s="180"/>
      <c r="FJ94" s="132"/>
      <c r="FK94" s="132"/>
      <c r="FL94" s="181">
        <f t="shared" ca="1" si="197"/>
        <v>47</v>
      </c>
      <c r="FM94" s="1340">
        <f t="shared" ca="1" si="198"/>
        <v>0</v>
      </c>
      <c r="FN94" s="1341">
        <f t="shared" ca="1" si="199"/>
        <v>0</v>
      </c>
      <c r="FO94" s="1342">
        <f t="shared" ca="1" si="200"/>
        <v>46</v>
      </c>
      <c r="FP94" s="1343">
        <f t="shared" ca="1" si="201"/>
        <v>0</v>
      </c>
      <c r="FQ94" s="1344">
        <f t="shared" si="202"/>
        <v>40</v>
      </c>
      <c r="FR94" s="1344">
        <f t="shared" si="203"/>
        <v>50</v>
      </c>
      <c r="FS94" s="1345">
        <f t="shared" si="204"/>
        <v>47</v>
      </c>
      <c r="FT94" s="1345"/>
      <c r="FU94" s="1346">
        <f t="shared" ca="1" si="219"/>
        <v>0</v>
      </c>
      <c r="FV94" s="1346"/>
      <c r="FW94" s="1346"/>
      <c r="FX94" s="1347"/>
      <c r="FY94" s="1348"/>
      <c r="FZ94" s="1348"/>
      <c r="GA94" s="1348"/>
      <c r="GB94" s="1349"/>
      <c r="GC94" s="1350"/>
      <c r="GD94" s="1348"/>
      <c r="GE94" s="1348"/>
      <c r="GF94" s="1348"/>
      <c r="GG94" s="1348"/>
      <c r="GH94" s="1348"/>
      <c r="GI94" s="1348"/>
      <c r="GJ94" s="1348"/>
      <c r="GK94" s="1348"/>
      <c r="GL94" s="1348"/>
      <c r="GM94" s="1348"/>
      <c r="GN94" s="3825">
        <f t="shared" ca="1" si="205"/>
        <v>0</v>
      </c>
      <c r="GO94" s="3825"/>
      <c r="GP94" s="3825"/>
      <c r="GQ94" s="3826"/>
      <c r="GR94" s="3675"/>
      <c r="GS94" s="3676"/>
      <c r="GT94" s="1756">
        <f t="shared" ca="1" si="206"/>
        <v>0</v>
      </c>
      <c r="GU94" s="1757">
        <f t="shared" ca="1" si="206"/>
        <v>0</v>
      </c>
      <c r="GV94" s="1757">
        <f t="shared" ca="1" si="206"/>
        <v>0</v>
      </c>
      <c r="GW94" s="1757">
        <f t="shared" ca="1" si="206"/>
        <v>0</v>
      </c>
      <c r="GX94" s="1757">
        <f t="shared" ca="1" si="206"/>
        <v>0</v>
      </c>
      <c r="GY94" s="1757">
        <f t="shared" ca="1" si="206"/>
        <v>0</v>
      </c>
      <c r="GZ94" s="1757">
        <f t="shared" ca="1" si="206"/>
        <v>0</v>
      </c>
      <c r="HA94" s="1757">
        <f t="shared" ca="1" si="206"/>
        <v>0</v>
      </c>
      <c r="HB94" s="1757">
        <f t="shared" ca="1" si="206"/>
        <v>0</v>
      </c>
      <c r="HC94" s="1757">
        <f t="shared" ca="1" si="206"/>
        <v>0</v>
      </c>
      <c r="HD94" s="1757">
        <f t="shared" ca="1" si="207"/>
        <v>0</v>
      </c>
      <c r="HE94" s="1757">
        <f t="shared" ca="1" si="207"/>
        <v>0</v>
      </c>
      <c r="HF94" s="1757">
        <f t="shared" ca="1" si="207"/>
        <v>0</v>
      </c>
      <c r="HG94" s="1757">
        <f t="shared" ca="1" si="207"/>
        <v>0</v>
      </c>
      <c r="HH94" s="1757">
        <f t="shared" ca="1" si="207"/>
        <v>0</v>
      </c>
      <c r="HI94" s="1757">
        <f t="shared" ca="1" si="207"/>
        <v>0</v>
      </c>
      <c r="HJ94" s="1757">
        <f t="shared" ca="1" si="207"/>
        <v>0</v>
      </c>
      <c r="HK94" s="1757">
        <f t="shared" ca="1" si="207"/>
        <v>0</v>
      </c>
      <c r="HL94" s="1757">
        <f t="shared" ca="1" si="207"/>
        <v>0</v>
      </c>
      <c r="HM94" s="1757">
        <f t="shared" ca="1" si="207"/>
        <v>0</v>
      </c>
      <c r="HN94" s="1757">
        <f t="shared" ca="1" si="208"/>
        <v>0</v>
      </c>
      <c r="HO94" s="1757">
        <f t="shared" ca="1" si="208"/>
        <v>0</v>
      </c>
      <c r="HP94" s="1757">
        <f t="shared" ca="1" si="208"/>
        <v>0</v>
      </c>
      <c r="HQ94" s="1757">
        <f t="shared" ca="1" si="208"/>
        <v>0</v>
      </c>
      <c r="HR94" s="1757">
        <f t="shared" ca="1" si="208"/>
        <v>0</v>
      </c>
      <c r="HS94" s="1757">
        <f t="shared" ca="1" si="208"/>
        <v>0</v>
      </c>
      <c r="HT94" s="1757">
        <f t="shared" ca="1" si="208"/>
        <v>0</v>
      </c>
      <c r="HU94" s="1757">
        <f t="shared" ca="1" si="208"/>
        <v>0</v>
      </c>
      <c r="HV94" s="1757">
        <f t="shared" ca="1" si="208"/>
        <v>0</v>
      </c>
      <c r="HW94" s="1757">
        <f t="shared" ca="1" si="208"/>
        <v>0</v>
      </c>
      <c r="HX94" s="1757">
        <f t="shared" ca="1" si="209"/>
        <v>0</v>
      </c>
      <c r="HY94" s="1757">
        <f t="shared" ca="1" si="209"/>
        <v>0</v>
      </c>
      <c r="HZ94" s="1757">
        <f t="shared" ca="1" si="209"/>
        <v>0</v>
      </c>
      <c r="IA94" s="1757">
        <f t="shared" ca="1" si="209"/>
        <v>0</v>
      </c>
      <c r="IB94" s="1757">
        <f t="shared" ca="1" si="209"/>
        <v>0</v>
      </c>
      <c r="IC94" s="1757">
        <f t="shared" ca="1" si="209"/>
        <v>0</v>
      </c>
      <c r="ID94" s="1757">
        <f t="shared" ca="1" si="209"/>
        <v>0</v>
      </c>
      <c r="IE94" s="1757">
        <f t="shared" ca="1" si="209"/>
        <v>0</v>
      </c>
      <c r="IF94" s="1757">
        <f t="shared" ca="1" si="209"/>
        <v>0</v>
      </c>
      <c r="IG94" s="1757">
        <f t="shared" ca="1" si="209"/>
        <v>0</v>
      </c>
      <c r="IH94" s="1757">
        <f t="shared" ca="1" si="210"/>
        <v>0</v>
      </c>
      <c r="II94" s="1757">
        <f t="shared" ca="1" si="210"/>
        <v>0</v>
      </c>
      <c r="IJ94" s="1757">
        <f t="shared" ca="1" si="210"/>
        <v>0</v>
      </c>
      <c r="IK94" s="1757">
        <f t="shared" ca="1" si="210"/>
        <v>0</v>
      </c>
      <c r="IL94" s="1757">
        <f t="shared" ca="1" si="210"/>
        <v>0</v>
      </c>
      <c r="IM94" s="1757">
        <f t="shared" ca="1" si="210"/>
        <v>0</v>
      </c>
      <c r="IN94" s="1757">
        <f t="shared" ca="1" si="210"/>
        <v>0</v>
      </c>
      <c r="IO94" s="1757">
        <f t="shared" ca="1" si="210"/>
        <v>0</v>
      </c>
      <c r="IP94" s="1757">
        <f t="shared" ca="1" si="210"/>
        <v>0</v>
      </c>
      <c r="IQ94" s="1757">
        <f t="shared" ca="1" si="210"/>
        <v>0</v>
      </c>
      <c r="IR94" s="1757">
        <f t="shared" ca="1" si="211"/>
        <v>0</v>
      </c>
      <c r="IS94" s="1757">
        <f t="shared" ca="1" si="211"/>
        <v>0</v>
      </c>
      <c r="IT94" s="1757">
        <f t="shared" ca="1" si="211"/>
        <v>0</v>
      </c>
      <c r="IU94" s="1757">
        <f t="shared" ca="1" si="211"/>
        <v>0</v>
      </c>
      <c r="IV94" s="1757">
        <f t="shared" ca="1" si="211"/>
        <v>0</v>
      </c>
      <c r="IW94" s="1757">
        <f t="shared" ca="1" si="211"/>
        <v>0</v>
      </c>
      <c r="IX94" s="1757">
        <f t="shared" ca="1" si="211"/>
        <v>0</v>
      </c>
      <c r="IY94" s="1757">
        <f t="shared" ca="1" si="211"/>
        <v>0</v>
      </c>
      <c r="IZ94" s="1757">
        <f t="shared" ca="1" si="211"/>
        <v>0</v>
      </c>
      <c r="JA94" s="1757">
        <f t="shared" ca="1" si="211"/>
        <v>0</v>
      </c>
      <c r="JB94" s="1757">
        <f t="shared" ca="1" si="212"/>
        <v>0</v>
      </c>
      <c r="JC94" s="1757">
        <f t="shared" ca="1" si="212"/>
        <v>0</v>
      </c>
      <c r="JD94" s="1757">
        <f t="shared" ca="1" si="212"/>
        <v>0</v>
      </c>
      <c r="JE94" s="1757">
        <f t="shared" ca="1" si="212"/>
        <v>0</v>
      </c>
      <c r="JF94" s="1757">
        <f t="shared" ca="1" si="212"/>
        <v>0</v>
      </c>
      <c r="JG94" s="1757">
        <f t="shared" ca="1" si="212"/>
        <v>0</v>
      </c>
      <c r="JH94" s="1757">
        <f t="shared" ca="1" si="212"/>
        <v>0</v>
      </c>
      <c r="JI94" s="1757">
        <f t="shared" ca="1" si="212"/>
        <v>0</v>
      </c>
      <c r="JJ94" s="1757">
        <f t="shared" ca="1" si="212"/>
        <v>0</v>
      </c>
      <c r="JK94" s="1757">
        <f t="shared" ca="1" si="212"/>
        <v>0</v>
      </c>
      <c r="JL94" s="1757">
        <f t="shared" ca="1" si="213"/>
        <v>0</v>
      </c>
      <c r="JM94" s="1757">
        <f t="shared" ca="1" si="213"/>
        <v>0</v>
      </c>
      <c r="JN94" s="1757">
        <f t="shared" ca="1" si="213"/>
        <v>0</v>
      </c>
      <c r="JO94" s="1757">
        <f t="shared" ca="1" si="213"/>
        <v>0</v>
      </c>
      <c r="JP94" s="1757">
        <f t="shared" ca="1" si="213"/>
        <v>0</v>
      </c>
      <c r="JQ94" s="1757">
        <f t="shared" ca="1" si="213"/>
        <v>0</v>
      </c>
      <c r="JR94" s="1757">
        <f t="shared" ca="1" si="213"/>
        <v>0</v>
      </c>
      <c r="JS94" s="1757">
        <f t="shared" ca="1" si="213"/>
        <v>0</v>
      </c>
      <c r="JT94" s="1757">
        <f t="shared" ca="1" si="213"/>
        <v>0</v>
      </c>
      <c r="JU94" s="1757">
        <f t="shared" ca="1" si="213"/>
        <v>0</v>
      </c>
      <c r="JV94" s="1757">
        <f t="shared" ca="1" si="214"/>
        <v>0</v>
      </c>
      <c r="JW94" s="1757">
        <f t="shared" ca="1" si="214"/>
        <v>0</v>
      </c>
      <c r="JX94" s="1757">
        <f t="shared" ca="1" si="214"/>
        <v>0</v>
      </c>
      <c r="JY94" s="1757">
        <f t="shared" ca="1" si="214"/>
        <v>0</v>
      </c>
      <c r="JZ94" s="1757">
        <f t="shared" ca="1" si="214"/>
        <v>0</v>
      </c>
      <c r="KA94" s="1757">
        <f t="shared" ca="1" si="214"/>
        <v>0</v>
      </c>
      <c r="KB94" s="1757">
        <f t="shared" ca="1" si="214"/>
        <v>0</v>
      </c>
      <c r="KC94" s="1757">
        <f t="shared" ca="1" si="214"/>
        <v>0</v>
      </c>
      <c r="KD94" s="1757">
        <f t="shared" ca="1" si="214"/>
        <v>0</v>
      </c>
      <c r="KE94" s="1757">
        <f t="shared" ca="1" si="214"/>
        <v>0</v>
      </c>
      <c r="KF94" s="1757">
        <f t="shared" ca="1" si="215"/>
        <v>0</v>
      </c>
      <c r="KG94" s="1757">
        <f t="shared" ca="1" si="215"/>
        <v>0</v>
      </c>
      <c r="KH94" s="1757">
        <f t="shared" ca="1" si="215"/>
        <v>0</v>
      </c>
      <c r="KI94" s="1757">
        <f t="shared" ca="1" si="215"/>
        <v>0</v>
      </c>
      <c r="KJ94" s="1757">
        <f t="shared" ca="1" si="215"/>
        <v>0</v>
      </c>
      <c r="KK94" s="1757">
        <f t="shared" ca="1" si="215"/>
        <v>0</v>
      </c>
      <c r="KL94" s="1757">
        <f t="shared" ca="1" si="215"/>
        <v>0</v>
      </c>
      <c r="KM94" s="1757">
        <f t="shared" ca="1" si="215"/>
        <v>0</v>
      </c>
      <c r="KN94" s="1757">
        <f t="shared" ca="1" si="215"/>
        <v>0</v>
      </c>
      <c r="KO94" s="1757">
        <f t="shared" ca="1" si="215"/>
        <v>0</v>
      </c>
      <c r="KP94" s="1757">
        <f t="shared" ca="1" si="216"/>
        <v>0</v>
      </c>
      <c r="KQ94" s="1757">
        <f t="shared" ca="1" si="216"/>
        <v>0</v>
      </c>
      <c r="KR94" s="1757">
        <f t="shared" ca="1" si="216"/>
        <v>0</v>
      </c>
      <c r="KS94" s="1757">
        <f t="shared" ca="1" si="216"/>
        <v>0</v>
      </c>
      <c r="KT94" s="1757">
        <f t="shared" ca="1" si="216"/>
        <v>0</v>
      </c>
      <c r="KU94" s="1757">
        <f t="shared" ca="1" si="216"/>
        <v>0</v>
      </c>
      <c r="KV94" s="1757">
        <f t="shared" ca="1" si="216"/>
        <v>0</v>
      </c>
      <c r="KW94" s="1757">
        <f t="shared" ca="1" si="216"/>
        <v>0</v>
      </c>
      <c r="KX94" s="1757">
        <f t="shared" ca="1" si="216"/>
        <v>0</v>
      </c>
      <c r="KY94" s="1757">
        <f t="shared" ca="1" si="216"/>
        <v>0</v>
      </c>
      <c r="KZ94" s="1757">
        <f t="shared" ca="1" si="217"/>
        <v>0</v>
      </c>
      <c r="LA94" s="1757">
        <f t="shared" ca="1" si="217"/>
        <v>0</v>
      </c>
      <c r="LB94" s="1757">
        <f t="shared" ca="1" si="217"/>
        <v>0</v>
      </c>
      <c r="LC94" s="1757">
        <f t="shared" ca="1" si="217"/>
        <v>0</v>
      </c>
      <c r="LD94" s="1757">
        <f t="shared" ca="1" si="217"/>
        <v>0</v>
      </c>
      <c r="LE94" s="1757">
        <f t="shared" ca="1" si="217"/>
        <v>0</v>
      </c>
      <c r="LF94" s="1757">
        <f t="shared" ca="1" si="217"/>
        <v>0</v>
      </c>
      <c r="LG94" s="1757">
        <f t="shared" ca="1" si="217"/>
        <v>0</v>
      </c>
      <c r="LH94" s="1757">
        <f t="shared" ca="1" si="217"/>
        <v>0</v>
      </c>
      <c r="LI94" s="1757">
        <f t="shared" ca="1" si="217"/>
        <v>0</v>
      </c>
      <c r="LJ94" s="1757">
        <f t="shared" ca="1" si="218"/>
        <v>0</v>
      </c>
      <c r="LK94" s="1757">
        <f t="shared" ca="1" si="218"/>
        <v>0</v>
      </c>
      <c r="LL94" s="1757">
        <f t="shared" ca="1" si="218"/>
        <v>0</v>
      </c>
      <c r="LM94" s="1757">
        <f t="shared" ca="1" si="218"/>
        <v>0</v>
      </c>
      <c r="LN94" s="1757">
        <f t="shared" ca="1" si="218"/>
        <v>0</v>
      </c>
      <c r="LO94" s="1757">
        <f t="shared" ca="1" si="218"/>
        <v>0</v>
      </c>
      <c r="LP94" s="1758">
        <f t="shared" ca="1" si="218"/>
        <v>0</v>
      </c>
      <c r="LQ94" s="604"/>
    </row>
    <row r="95" spans="1:332" ht="12.75" customHeight="1" x14ac:dyDescent="0.3">
      <c r="A95" s="279"/>
      <c r="B95" s="41"/>
      <c r="C95" s="82"/>
      <c r="D95" s="41"/>
      <c r="E95" s="9"/>
      <c r="F95" s="9"/>
      <c r="G95" s="9"/>
      <c r="H95" s="10"/>
      <c r="I95" s="10"/>
      <c r="J95" s="10"/>
      <c r="K95" s="10"/>
      <c r="L95" s="10"/>
      <c r="M95" s="10"/>
      <c r="N95" s="9"/>
      <c r="O95" s="9"/>
      <c r="P95" s="44"/>
      <c r="Q95" s="44"/>
      <c r="R95" s="9"/>
      <c r="S95" s="9"/>
      <c r="T95" s="9"/>
      <c r="U95" s="9"/>
      <c r="V95" s="9"/>
      <c r="W95" s="9"/>
      <c r="X95" s="9"/>
      <c r="Y95" s="9"/>
      <c r="Z95" s="9"/>
      <c r="AA95" s="9"/>
      <c r="AB95" s="9"/>
      <c r="AC95" s="9"/>
      <c r="AD95" s="9"/>
      <c r="AE95" s="9"/>
      <c r="AF95" s="9"/>
      <c r="AG95" s="9"/>
      <c r="AH95" s="2514"/>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113"/>
      <c r="DI95" s="113"/>
      <c r="DJ95" s="113"/>
      <c r="DK95" s="118"/>
      <c r="DL95" s="118"/>
      <c r="DM95" s="118"/>
      <c r="DN95" s="118"/>
      <c r="DO95" s="118"/>
      <c r="DP95" s="118"/>
      <c r="DQ95" s="118"/>
      <c r="DR95" s="118"/>
      <c r="DS95" s="118"/>
      <c r="DT95" s="118"/>
      <c r="DU95" s="118"/>
      <c r="DV95" s="118"/>
      <c r="DW95" s="118"/>
      <c r="DX95" s="118"/>
      <c r="DY95" s="118"/>
      <c r="DZ95" s="118"/>
      <c r="EA95" s="118"/>
      <c r="EB95" s="118"/>
      <c r="EC95" s="118"/>
      <c r="ED95" s="118"/>
      <c r="EE95" s="118"/>
      <c r="EF95" s="118"/>
      <c r="EG95" s="118"/>
      <c r="EH95" s="118"/>
      <c r="EI95" s="118"/>
      <c r="EJ95" s="118"/>
      <c r="EK95" s="118"/>
      <c r="EL95" s="118"/>
      <c r="EM95" s="118"/>
      <c r="EN95" s="118"/>
      <c r="EO95" s="118"/>
      <c r="EP95" s="118"/>
      <c r="EQ95" s="118"/>
      <c r="ER95" s="118"/>
      <c r="ES95" s="118"/>
      <c r="ET95" s="118"/>
      <c r="EU95" s="118"/>
      <c r="EV95" s="118"/>
      <c r="EW95" s="118"/>
      <c r="EX95" s="118"/>
      <c r="EY95" s="118"/>
      <c r="EZ95" s="118"/>
      <c r="FA95" s="118"/>
      <c r="FB95" s="118"/>
      <c r="FC95" s="118"/>
      <c r="FD95" s="118"/>
      <c r="FE95" s="118"/>
      <c r="FF95" s="118"/>
      <c r="FG95" s="118"/>
      <c r="FH95" s="118"/>
      <c r="FI95" s="180"/>
      <c r="FJ95" s="132"/>
      <c r="FK95" s="132"/>
      <c r="FL95" s="181">
        <f t="shared" ca="1" si="197"/>
        <v>46</v>
      </c>
      <c r="FM95" s="1340">
        <f t="shared" ca="1" si="198"/>
        <v>0</v>
      </c>
      <c r="FN95" s="1341">
        <f t="shared" ca="1" si="199"/>
        <v>0</v>
      </c>
      <c r="FO95" s="1342">
        <f t="shared" ca="1" si="200"/>
        <v>45</v>
      </c>
      <c r="FP95" s="1343">
        <f t="shared" ca="1" si="201"/>
        <v>0</v>
      </c>
      <c r="FQ95" s="1344">
        <f t="shared" si="202"/>
        <v>40</v>
      </c>
      <c r="FR95" s="1344">
        <f t="shared" si="203"/>
        <v>50</v>
      </c>
      <c r="FS95" s="1345">
        <f t="shared" si="204"/>
        <v>46</v>
      </c>
      <c r="FT95" s="1345"/>
      <c r="FU95" s="1346">
        <f t="shared" ca="1" si="219"/>
        <v>0</v>
      </c>
      <c r="FV95" s="1346"/>
      <c r="FW95" s="1346"/>
      <c r="FX95" s="1347"/>
      <c r="FY95" s="1348"/>
      <c r="FZ95" s="1348"/>
      <c r="GA95" s="1348"/>
      <c r="GB95" s="1349"/>
      <c r="GC95" s="1350"/>
      <c r="GD95" s="1348"/>
      <c r="GE95" s="1348"/>
      <c r="GF95" s="1348"/>
      <c r="GG95" s="1348"/>
      <c r="GH95" s="1348"/>
      <c r="GI95" s="1348"/>
      <c r="GJ95" s="1348"/>
      <c r="GK95" s="1348"/>
      <c r="GL95" s="1348"/>
      <c r="GM95" s="1348"/>
      <c r="GN95" s="3825">
        <f t="shared" ca="1" si="205"/>
        <v>0</v>
      </c>
      <c r="GO95" s="3825"/>
      <c r="GP95" s="3825"/>
      <c r="GQ95" s="3826"/>
      <c r="GR95" s="3675"/>
      <c r="GS95" s="3676"/>
      <c r="GT95" s="1756">
        <f t="shared" ca="1" si="206"/>
        <v>0</v>
      </c>
      <c r="GU95" s="1757">
        <f t="shared" ca="1" si="206"/>
        <v>0</v>
      </c>
      <c r="GV95" s="1757">
        <f t="shared" ca="1" si="206"/>
        <v>0</v>
      </c>
      <c r="GW95" s="1757">
        <f t="shared" ca="1" si="206"/>
        <v>0</v>
      </c>
      <c r="GX95" s="1757">
        <f t="shared" ca="1" si="206"/>
        <v>0</v>
      </c>
      <c r="GY95" s="1757">
        <f t="shared" ca="1" si="206"/>
        <v>0</v>
      </c>
      <c r="GZ95" s="1757">
        <f t="shared" ca="1" si="206"/>
        <v>0</v>
      </c>
      <c r="HA95" s="1757">
        <f t="shared" ca="1" si="206"/>
        <v>0</v>
      </c>
      <c r="HB95" s="1757">
        <f t="shared" ca="1" si="206"/>
        <v>0</v>
      </c>
      <c r="HC95" s="1757">
        <f t="shared" ca="1" si="206"/>
        <v>0</v>
      </c>
      <c r="HD95" s="1757">
        <f t="shared" ca="1" si="207"/>
        <v>0</v>
      </c>
      <c r="HE95" s="1757">
        <f t="shared" ca="1" si="207"/>
        <v>0</v>
      </c>
      <c r="HF95" s="1757">
        <f t="shared" ca="1" si="207"/>
        <v>0</v>
      </c>
      <c r="HG95" s="1757">
        <f t="shared" ca="1" si="207"/>
        <v>0</v>
      </c>
      <c r="HH95" s="1757">
        <f t="shared" ca="1" si="207"/>
        <v>0</v>
      </c>
      <c r="HI95" s="1757">
        <f t="shared" ca="1" si="207"/>
        <v>0</v>
      </c>
      <c r="HJ95" s="1757">
        <f t="shared" ca="1" si="207"/>
        <v>0</v>
      </c>
      <c r="HK95" s="1757">
        <f t="shared" ca="1" si="207"/>
        <v>0</v>
      </c>
      <c r="HL95" s="1757">
        <f t="shared" ca="1" si="207"/>
        <v>0</v>
      </c>
      <c r="HM95" s="1757">
        <f t="shared" ca="1" si="207"/>
        <v>0</v>
      </c>
      <c r="HN95" s="1757">
        <f t="shared" ca="1" si="208"/>
        <v>0</v>
      </c>
      <c r="HO95" s="1757">
        <f t="shared" ca="1" si="208"/>
        <v>0</v>
      </c>
      <c r="HP95" s="1757">
        <f t="shared" ca="1" si="208"/>
        <v>0</v>
      </c>
      <c r="HQ95" s="1757">
        <f t="shared" ca="1" si="208"/>
        <v>0</v>
      </c>
      <c r="HR95" s="1757">
        <f t="shared" ca="1" si="208"/>
        <v>0</v>
      </c>
      <c r="HS95" s="1757">
        <f t="shared" ca="1" si="208"/>
        <v>0</v>
      </c>
      <c r="HT95" s="1757">
        <f t="shared" ca="1" si="208"/>
        <v>0</v>
      </c>
      <c r="HU95" s="1757">
        <f t="shared" ca="1" si="208"/>
        <v>0</v>
      </c>
      <c r="HV95" s="1757">
        <f t="shared" ca="1" si="208"/>
        <v>0</v>
      </c>
      <c r="HW95" s="1757">
        <f t="shared" ca="1" si="208"/>
        <v>0</v>
      </c>
      <c r="HX95" s="1757">
        <f t="shared" ca="1" si="209"/>
        <v>0</v>
      </c>
      <c r="HY95" s="1757">
        <f t="shared" ca="1" si="209"/>
        <v>0</v>
      </c>
      <c r="HZ95" s="1757">
        <f t="shared" ca="1" si="209"/>
        <v>0</v>
      </c>
      <c r="IA95" s="1757">
        <f t="shared" ca="1" si="209"/>
        <v>0</v>
      </c>
      <c r="IB95" s="1757">
        <f t="shared" ca="1" si="209"/>
        <v>0</v>
      </c>
      <c r="IC95" s="1757">
        <f t="shared" ca="1" si="209"/>
        <v>0</v>
      </c>
      <c r="ID95" s="1757">
        <f t="shared" ca="1" si="209"/>
        <v>0</v>
      </c>
      <c r="IE95" s="1757">
        <f t="shared" ca="1" si="209"/>
        <v>0</v>
      </c>
      <c r="IF95" s="1757">
        <f t="shared" ca="1" si="209"/>
        <v>0</v>
      </c>
      <c r="IG95" s="1757">
        <f t="shared" ca="1" si="209"/>
        <v>0</v>
      </c>
      <c r="IH95" s="1757">
        <f t="shared" ca="1" si="210"/>
        <v>0</v>
      </c>
      <c r="II95" s="1757">
        <f t="shared" ca="1" si="210"/>
        <v>0</v>
      </c>
      <c r="IJ95" s="1757">
        <f t="shared" ca="1" si="210"/>
        <v>0</v>
      </c>
      <c r="IK95" s="1757">
        <f t="shared" ca="1" si="210"/>
        <v>0</v>
      </c>
      <c r="IL95" s="1757">
        <f t="shared" ca="1" si="210"/>
        <v>0</v>
      </c>
      <c r="IM95" s="1757">
        <f t="shared" ca="1" si="210"/>
        <v>0</v>
      </c>
      <c r="IN95" s="1757">
        <f t="shared" ca="1" si="210"/>
        <v>0</v>
      </c>
      <c r="IO95" s="1757">
        <f t="shared" ca="1" si="210"/>
        <v>0</v>
      </c>
      <c r="IP95" s="1757">
        <f t="shared" ca="1" si="210"/>
        <v>0</v>
      </c>
      <c r="IQ95" s="1757">
        <f t="shared" ca="1" si="210"/>
        <v>0</v>
      </c>
      <c r="IR95" s="1757">
        <f t="shared" ca="1" si="211"/>
        <v>0</v>
      </c>
      <c r="IS95" s="1757">
        <f t="shared" ca="1" si="211"/>
        <v>0</v>
      </c>
      <c r="IT95" s="1757">
        <f t="shared" ca="1" si="211"/>
        <v>0</v>
      </c>
      <c r="IU95" s="1757">
        <f t="shared" ca="1" si="211"/>
        <v>0</v>
      </c>
      <c r="IV95" s="1757">
        <f t="shared" ca="1" si="211"/>
        <v>0</v>
      </c>
      <c r="IW95" s="1757">
        <f t="shared" ca="1" si="211"/>
        <v>0</v>
      </c>
      <c r="IX95" s="1757">
        <f t="shared" ca="1" si="211"/>
        <v>0</v>
      </c>
      <c r="IY95" s="1757">
        <f t="shared" ca="1" si="211"/>
        <v>0</v>
      </c>
      <c r="IZ95" s="1757">
        <f t="shared" ca="1" si="211"/>
        <v>0</v>
      </c>
      <c r="JA95" s="1757">
        <f t="shared" ca="1" si="211"/>
        <v>0</v>
      </c>
      <c r="JB95" s="1757">
        <f t="shared" ca="1" si="212"/>
        <v>0</v>
      </c>
      <c r="JC95" s="1757">
        <f t="shared" ca="1" si="212"/>
        <v>0</v>
      </c>
      <c r="JD95" s="1757">
        <f t="shared" ca="1" si="212"/>
        <v>0</v>
      </c>
      <c r="JE95" s="1757">
        <f t="shared" ca="1" si="212"/>
        <v>0</v>
      </c>
      <c r="JF95" s="1757">
        <f t="shared" ca="1" si="212"/>
        <v>0</v>
      </c>
      <c r="JG95" s="1757">
        <f t="shared" ca="1" si="212"/>
        <v>0</v>
      </c>
      <c r="JH95" s="1757">
        <f t="shared" ca="1" si="212"/>
        <v>0</v>
      </c>
      <c r="JI95" s="1757">
        <f t="shared" ca="1" si="212"/>
        <v>0</v>
      </c>
      <c r="JJ95" s="1757">
        <f t="shared" ca="1" si="212"/>
        <v>0</v>
      </c>
      <c r="JK95" s="1757">
        <f t="shared" ca="1" si="212"/>
        <v>0</v>
      </c>
      <c r="JL95" s="1757">
        <f t="shared" ca="1" si="213"/>
        <v>0</v>
      </c>
      <c r="JM95" s="1757">
        <f t="shared" ca="1" si="213"/>
        <v>0</v>
      </c>
      <c r="JN95" s="1757">
        <f t="shared" ca="1" si="213"/>
        <v>0</v>
      </c>
      <c r="JO95" s="1757">
        <f t="shared" ca="1" si="213"/>
        <v>0</v>
      </c>
      <c r="JP95" s="1757">
        <f t="shared" ca="1" si="213"/>
        <v>0</v>
      </c>
      <c r="JQ95" s="1757">
        <f t="shared" ca="1" si="213"/>
        <v>0</v>
      </c>
      <c r="JR95" s="1757">
        <f t="shared" ca="1" si="213"/>
        <v>0</v>
      </c>
      <c r="JS95" s="1757">
        <f t="shared" ca="1" si="213"/>
        <v>0</v>
      </c>
      <c r="JT95" s="1757">
        <f t="shared" ca="1" si="213"/>
        <v>0</v>
      </c>
      <c r="JU95" s="1757">
        <f t="shared" ca="1" si="213"/>
        <v>0</v>
      </c>
      <c r="JV95" s="1757">
        <f t="shared" ca="1" si="214"/>
        <v>0</v>
      </c>
      <c r="JW95" s="1757">
        <f t="shared" ca="1" si="214"/>
        <v>0</v>
      </c>
      <c r="JX95" s="1757">
        <f t="shared" ca="1" si="214"/>
        <v>0</v>
      </c>
      <c r="JY95" s="1757">
        <f t="shared" ca="1" si="214"/>
        <v>0</v>
      </c>
      <c r="JZ95" s="1757">
        <f t="shared" ca="1" si="214"/>
        <v>0</v>
      </c>
      <c r="KA95" s="1757">
        <f t="shared" ca="1" si="214"/>
        <v>0</v>
      </c>
      <c r="KB95" s="1757">
        <f t="shared" ca="1" si="214"/>
        <v>0</v>
      </c>
      <c r="KC95" s="1757">
        <f t="shared" ca="1" si="214"/>
        <v>0</v>
      </c>
      <c r="KD95" s="1757">
        <f t="shared" ca="1" si="214"/>
        <v>0</v>
      </c>
      <c r="KE95" s="1757">
        <f t="shared" ca="1" si="214"/>
        <v>0</v>
      </c>
      <c r="KF95" s="1757">
        <f t="shared" ca="1" si="215"/>
        <v>0</v>
      </c>
      <c r="KG95" s="1757">
        <f t="shared" ca="1" si="215"/>
        <v>0</v>
      </c>
      <c r="KH95" s="1757">
        <f t="shared" ca="1" si="215"/>
        <v>0</v>
      </c>
      <c r="KI95" s="1757">
        <f t="shared" ca="1" si="215"/>
        <v>0</v>
      </c>
      <c r="KJ95" s="1757">
        <f t="shared" ca="1" si="215"/>
        <v>0</v>
      </c>
      <c r="KK95" s="1757">
        <f t="shared" ca="1" si="215"/>
        <v>0</v>
      </c>
      <c r="KL95" s="1757">
        <f t="shared" ca="1" si="215"/>
        <v>0</v>
      </c>
      <c r="KM95" s="1757">
        <f t="shared" ca="1" si="215"/>
        <v>0</v>
      </c>
      <c r="KN95" s="1757">
        <f t="shared" ca="1" si="215"/>
        <v>0</v>
      </c>
      <c r="KO95" s="1757">
        <f t="shared" ca="1" si="215"/>
        <v>0</v>
      </c>
      <c r="KP95" s="1757">
        <f t="shared" ca="1" si="216"/>
        <v>0</v>
      </c>
      <c r="KQ95" s="1757">
        <f t="shared" ca="1" si="216"/>
        <v>0</v>
      </c>
      <c r="KR95" s="1757">
        <f t="shared" ca="1" si="216"/>
        <v>0</v>
      </c>
      <c r="KS95" s="1757">
        <f t="shared" ca="1" si="216"/>
        <v>0</v>
      </c>
      <c r="KT95" s="1757">
        <f t="shared" ca="1" si="216"/>
        <v>0</v>
      </c>
      <c r="KU95" s="1757">
        <f t="shared" ca="1" si="216"/>
        <v>0</v>
      </c>
      <c r="KV95" s="1757">
        <f t="shared" ca="1" si="216"/>
        <v>0</v>
      </c>
      <c r="KW95" s="1757">
        <f t="shared" ca="1" si="216"/>
        <v>0</v>
      </c>
      <c r="KX95" s="1757">
        <f t="shared" ca="1" si="216"/>
        <v>0</v>
      </c>
      <c r="KY95" s="1757">
        <f t="shared" ca="1" si="216"/>
        <v>0</v>
      </c>
      <c r="KZ95" s="1757">
        <f t="shared" ca="1" si="217"/>
        <v>0</v>
      </c>
      <c r="LA95" s="1757">
        <f t="shared" ca="1" si="217"/>
        <v>0</v>
      </c>
      <c r="LB95" s="1757">
        <f t="shared" ca="1" si="217"/>
        <v>0</v>
      </c>
      <c r="LC95" s="1757">
        <f t="shared" ca="1" si="217"/>
        <v>0</v>
      </c>
      <c r="LD95" s="1757">
        <f t="shared" ca="1" si="217"/>
        <v>0</v>
      </c>
      <c r="LE95" s="1757">
        <f t="shared" ca="1" si="217"/>
        <v>0</v>
      </c>
      <c r="LF95" s="1757">
        <f t="shared" ca="1" si="217"/>
        <v>0</v>
      </c>
      <c r="LG95" s="1757">
        <f t="shared" ca="1" si="217"/>
        <v>0</v>
      </c>
      <c r="LH95" s="1757">
        <f t="shared" ca="1" si="217"/>
        <v>0</v>
      </c>
      <c r="LI95" s="1757">
        <f t="shared" ca="1" si="217"/>
        <v>0</v>
      </c>
      <c r="LJ95" s="1757">
        <f t="shared" ca="1" si="218"/>
        <v>0</v>
      </c>
      <c r="LK95" s="1757">
        <f t="shared" ca="1" si="218"/>
        <v>0</v>
      </c>
      <c r="LL95" s="1757">
        <f t="shared" ca="1" si="218"/>
        <v>0</v>
      </c>
      <c r="LM95" s="1757">
        <f t="shared" ca="1" si="218"/>
        <v>0</v>
      </c>
      <c r="LN95" s="1757">
        <f t="shared" ca="1" si="218"/>
        <v>0</v>
      </c>
      <c r="LO95" s="1757">
        <f t="shared" ca="1" si="218"/>
        <v>0</v>
      </c>
      <c r="LP95" s="1758">
        <f t="shared" ca="1" si="218"/>
        <v>0</v>
      </c>
      <c r="LQ95" s="604"/>
    </row>
    <row r="96" spans="1:332" ht="12.75" customHeight="1" x14ac:dyDescent="0.3">
      <c r="A96" s="279"/>
      <c r="B96" s="41"/>
      <c r="C96" s="82"/>
      <c r="D96" s="41"/>
      <c r="E96" s="9"/>
      <c r="F96" s="9"/>
      <c r="G96" s="9"/>
      <c r="H96" s="10"/>
      <c r="I96" s="10"/>
      <c r="J96" s="10"/>
      <c r="K96" s="10"/>
      <c r="L96" s="10"/>
      <c r="M96" s="10"/>
      <c r="N96" s="9"/>
      <c r="O96" s="9"/>
      <c r="P96" s="44"/>
      <c r="Q96" s="44"/>
      <c r="R96" s="9"/>
      <c r="S96" s="9"/>
      <c r="T96" s="9"/>
      <c r="U96" s="9"/>
      <c r="V96" s="9"/>
      <c r="W96" s="9"/>
      <c r="X96" s="9"/>
      <c r="Y96" s="9"/>
      <c r="Z96" s="9"/>
      <c r="AA96" s="9"/>
      <c r="AB96" s="9"/>
      <c r="AC96" s="9"/>
      <c r="AD96" s="9"/>
      <c r="AE96" s="9"/>
      <c r="AF96" s="9"/>
      <c r="AG96" s="9"/>
      <c r="AH96" s="2514"/>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113"/>
      <c r="DI96" s="113"/>
      <c r="DJ96" s="113"/>
      <c r="DK96" s="118"/>
      <c r="DL96" s="118"/>
      <c r="DM96" s="118"/>
      <c r="DN96" s="118"/>
      <c r="DO96" s="118"/>
      <c r="DP96" s="118"/>
      <c r="DQ96" s="118"/>
      <c r="DR96" s="118"/>
      <c r="DS96" s="118"/>
      <c r="DT96" s="118"/>
      <c r="DU96" s="118"/>
      <c r="DV96" s="118"/>
      <c r="DW96" s="118"/>
      <c r="DX96" s="118"/>
      <c r="DY96" s="118"/>
      <c r="DZ96" s="118"/>
      <c r="EA96" s="118"/>
      <c r="EB96" s="118"/>
      <c r="EC96" s="118"/>
      <c r="ED96" s="118"/>
      <c r="EE96" s="118"/>
      <c r="EF96" s="118"/>
      <c r="EG96" s="118"/>
      <c r="EH96" s="118"/>
      <c r="EI96" s="118"/>
      <c r="EJ96" s="118"/>
      <c r="EK96" s="118"/>
      <c r="EL96" s="118"/>
      <c r="EM96" s="118"/>
      <c r="EN96" s="118"/>
      <c r="EO96" s="118"/>
      <c r="EP96" s="118"/>
      <c r="EQ96" s="118"/>
      <c r="ER96" s="118"/>
      <c r="ES96" s="118"/>
      <c r="ET96" s="118"/>
      <c r="EU96" s="118"/>
      <c r="EV96" s="118"/>
      <c r="EW96" s="118"/>
      <c r="EX96" s="118"/>
      <c r="EY96" s="118"/>
      <c r="EZ96" s="118"/>
      <c r="FA96" s="118"/>
      <c r="FB96" s="118"/>
      <c r="FC96" s="118"/>
      <c r="FD96" s="118"/>
      <c r="FE96" s="118"/>
      <c r="FF96" s="118"/>
      <c r="FG96" s="118"/>
      <c r="FH96" s="118"/>
      <c r="FI96" s="180"/>
      <c r="FJ96" s="132"/>
      <c r="FK96" s="132"/>
      <c r="FL96" s="181">
        <f t="shared" ca="1" si="197"/>
        <v>45</v>
      </c>
      <c r="FM96" s="1340">
        <f t="shared" ca="1" si="198"/>
        <v>0</v>
      </c>
      <c r="FN96" s="1341">
        <f t="shared" ca="1" si="199"/>
        <v>0</v>
      </c>
      <c r="FO96" s="1342">
        <f t="shared" ca="1" si="200"/>
        <v>44</v>
      </c>
      <c r="FP96" s="1343">
        <f t="shared" ca="1" si="201"/>
        <v>0</v>
      </c>
      <c r="FQ96" s="1344">
        <f t="shared" si="202"/>
        <v>40</v>
      </c>
      <c r="FR96" s="1344">
        <f t="shared" si="203"/>
        <v>50</v>
      </c>
      <c r="FS96" s="1345">
        <f t="shared" si="204"/>
        <v>45</v>
      </c>
      <c r="FT96" s="1345"/>
      <c r="FU96" s="1346">
        <f t="shared" ca="1" si="219"/>
        <v>0</v>
      </c>
      <c r="FV96" s="1346"/>
      <c r="FW96" s="1346"/>
      <c r="FX96" s="1347"/>
      <c r="FY96" s="1348"/>
      <c r="FZ96" s="1348"/>
      <c r="GA96" s="1348"/>
      <c r="GB96" s="1349"/>
      <c r="GC96" s="1350"/>
      <c r="GD96" s="1348"/>
      <c r="GE96" s="1348"/>
      <c r="GF96" s="1348"/>
      <c r="GG96" s="1348"/>
      <c r="GH96" s="1348"/>
      <c r="GI96" s="1348"/>
      <c r="GJ96" s="1348"/>
      <c r="GK96" s="1348"/>
      <c r="GL96" s="1348"/>
      <c r="GM96" s="1348"/>
      <c r="GN96" s="3825">
        <f t="shared" ca="1" si="205"/>
        <v>0</v>
      </c>
      <c r="GO96" s="3825"/>
      <c r="GP96" s="3825"/>
      <c r="GQ96" s="3826"/>
      <c r="GR96" s="3675"/>
      <c r="GS96" s="3676"/>
      <c r="GT96" s="1756">
        <f t="shared" ca="1" si="206"/>
        <v>0</v>
      </c>
      <c r="GU96" s="1757">
        <f t="shared" ca="1" si="206"/>
        <v>0</v>
      </c>
      <c r="GV96" s="1757">
        <f t="shared" ca="1" si="206"/>
        <v>0</v>
      </c>
      <c r="GW96" s="1757">
        <f t="shared" ca="1" si="206"/>
        <v>0</v>
      </c>
      <c r="GX96" s="1757">
        <f t="shared" ca="1" si="206"/>
        <v>0</v>
      </c>
      <c r="GY96" s="1757">
        <f t="shared" ca="1" si="206"/>
        <v>0</v>
      </c>
      <c r="GZ96" s="1757">
        <f t="shared" ca="1" si="206"/>
        <v>0</v>
      </c>
      <c r="HA96" s="1757">
        <f t="shared" ca="1" si="206"/>
        <v>0</v>
      </c>
      <c r="HB96" s="1757">
        <f t="shared" ca="1" si="206"/>
        <v>0</v>
      </c>
      <c r="HC96" s="1757">
        <f t="shared" ca="1" si="206"/>
        <v>0</v>
      </c>
      <c r="HD96" s="1757">
        <f t="shared" ca="1" si="207"/>
        <v>0</v>
      </c>
      <c r="HE96" s="1757">
        <f t="shared" ca="1" si="207"/>
        <v>0</v>
      </c>
      <c r="HF96" s="1757">
        <f t="shared" ca="1" si="207"/>
        <v>0</v>
      </c>
      <c r="HG96" s="1757">
        <f t="shared" ca="1" si="207"/>
        <v>0</v>
      </c>
      <c r="HH96" s="1757">
        <f t="shared" ca="1" si="207"/>
        <v>0</v>
      </c>
      <c r="HI96" s="1757">
        <f t="shared" ca="1" si="207"/>
        <v>0</v>
      </c>
      <c r="HJ96" s="1757">
        <f t="shared" ca="1" si="207"/>
        <v>0</v>
      </c>
      <c r="HK96" s="1757">
        <f t="shared" ca="1" si="207"/>
        <v>0</v>
      </c>
      <c r="HL96" s="1757">
        <f t="shared" ca="1" si="207"/>
        <v>0</v>
      </c>
      <c r="HM96" s="1757">
        <f t="shared" ca="1" si="207"/>
        <v>0</v>
      </c>
      <c r="HN96" s="1757">
        <f t="shared" ca="1" si="208"/>
        <v>0</v>
      </c>
      <c r="HO96" s="1757">
        <f t="shared" ca="1" si="208"/>
        <v>0</v>
      </c>
      <c r="HP96" s="1757">
        <f t="shared" ca="1" si="208"/>
        <v>0</v>
      </c>
      <c r="HQ96" s="1757">
        <f t="shared" ca="1" si="208"/>
        <v>0</v>
      </c>
      <c r="HR96" s="1757">
        <f t="shared" ca="1" si="208"/>
        <v>0</v>
      </c>
      <c r="HS96" s="1757">
        <f t="shared" ca="1" si="208"/>
        <v>0</v>
      </c>
      <c r="HT96" s="1757">
        <f t="shared" ca="1" si="208"/>
        <v>0</v>
      </c>
      <c r="HU96" s="1757">
        <f t="shared" ca="1" si="208"/>
        <v>0</v>
      </c>
      <c r="HV96" s="1757">
        <f t="shared" ca="1" si="208"/>
        <v>0</v>
      </c>
      <c r="HW96" s="1757">
        <f t="shared" ca="1" si="208"/>
        <v>0</v>
      </c>
      <c r="HX96" s="1757">
        <f t="shared" ca="1" si="209"/>
        <v>0</v>
      </c>
      <c r="HY96" s="1757">
        <f t="shared" ca="1" si="209"/>
        <v>0</v>
      </c>
      <c r="HZ96" s="1757">
        <f t="shared" ca="1" si="209"/>
        <v>0</v>
      </c>
      <c r="IA96" s="1757">
        <f t="shared" ca="1" si="209"/>
        <v>0</v>
      </c>
      <c r="IB96" s="1757">
        <f t="shared" ca="1" si="209"/>
        <v>0</v>
      </c>
      <c r="IC96" s="1757">
        <f t="shared" ca="1" si="209"/>
        <v>0</v>
      </c>
      <c r="ID96" s="1757">
        <f t="shared" ca="1" si="209"/>
        <v>0</v>
      </c>
      <c r="IE96" s="1757">
        <f t="shared" ca="1" si="209"/>
        <v>0</v>
      </c>
      <c r="IF96" s="1757">
        <f t="shared" ca="1" si="209"/>
        <v>0</v>
      </c>
      <c r="IG96" s="1757">
        <f t="shared" ca="1" si="209"/>
        <v>0</v>
      </c>
      <c r="IH96" s="1757">
        <f t="shared" ca="1" si="210"/>
        <v>0</v>
      </c>
      <c r="II96" s="1757">
        <f t="shared" ca="1" si="210"/>
        <v>0</v>
      </c>
      <c r="IJ96" s="1757">
        <f t="shared" ca="1" si="210"/>
        <v>0</v>
      </c>
      <c r="IK96" s="1757">
        <f t="shared" ca="1" si="210"/>
        <v>0</v>
      </c>
      <c r="IL96" s="1757">
        <f t="shared" ca="1" si="210"/>
        <v>0</v>
      </c>
      <c r="IM96" s="1757">
        <f t="shared" ca="1" si="210"/>
        <v>0</v>
      </c>
      <c r="IN96" s="1757">
        <f t="shared" ca="1" si="210"/>
        <v>0</v>
      </c>
      <c r="IO96" s="1757">
        <f t="shared" ca="1" si="210"/>
        <v>0</v>
      </c>
      <c r="IP96" s="1757">
        <f t="shared" ca="1" si="210"/>
        <v>0</v>
      </c>
      <c r="IQ96" s="1757">
        <f t="shared" ca="1" si="210"/>
        <v>0</v>
      </c>
      <c r="IR96" s="1757">
        <f t="shared" ca="1" si="211"/>
        <v>0</v>
      </c>
      <c r="IS96" s="1757">
        <f t="shared" ca="1" si="211"/>
        <v>0</v>
      </c>
      <c r="IT96" s="1757">
        <f t="shared" ca="1" si="211"/>
        <v>0</v>
      </c>
      <c r="IU96" s="1757">
        <f t="shared" ca="1" si="211"/>
        <v>0</v>
      </c>
      <c r="IV96" s="1757">
        <f t="shared" ca="1" si="211"/>
        <v>0</v>
      </c>
      <c r="IW96" s="1757">
        <f t="shared" ca="1" si="211"/>
        <v>0</v>
      </c>
      <c r="IX96" s="1757">
        <f t="shared" ca="1" si="211"/>
        <v>0</v>
      </c>
      <c r="IY96" s="1757">
        <f t="shared" ca="1" si="211"/>
        <v>0</v>
      </c>
      <c r="IZ96" s="1757">
        <f t="shared" ca="1" si="211"/>
        <v>0</v>
      </c>
      <c r="JA96" s="1757">
        <f t="shared" ca="1" si="211"/>
        <v>0</v>
      </c>
      <c r="JB96" s="1757">
        <f t="shared" ca="1" si="212"/>
        <v>0</v>
      </c>
      <c r="JC96" s="1757">
        <f t="shared" ca="1" si="212"/>
        <v>0</v>
      </c>
      <c r="JD96" s="1757">
        <f t="shared" ca="1" si="212"/>
        <v>0</v>
      </c>
      <c r="JE96" s="1757">
        <f t="shared" ca="1" si="212"/>
        <v>0</v>
      </c>
      <c r="JF96" s="1757">
        <f t="shared" ca="1" si="212"/>
        <v>0</v>
      </c>
      <c r="JG96" s="1757">
        <f t="shared" ca="1" si="212"/>
        <v>0</v>
      </c>
      <c r="JH96" s="1757">
        <f t="shared" ca="1" si="212"/>
        <v>0</v>
      </c>
      <c r="JI96" s="1757">
        <f t="shared" ca="1" si="212"/>
        <v>0</v>
      </c>
      <c r="JJ96" s="1757">
        <f t="shared" ca="1" si="212"/>
        <v>0</v>
      </c>
      <c r="JK96" s="1757">
        <f t="shared" ca="1" si="212"/>
        <v>0</v>
      </c>
      <c r="JL96" s="1757">
        <f t="shared" ca="1" si="213"/>
        <v>0</v>
      </c>
      <c r="JM96" s="1757">
        <f t="shared" ca="1" si="213"/>
        <v>0</v>
      </c>
      <c r="JN96" s="1757">
        <f t="shared" ca="1" si="213"/>
        <v>0</v>
      </c>
      <c r="JO96" s="1757">
        <f t="shared" ca="1" si="213"/>
        <v>0</v>
      </c>
      <c r="JP96" s="1757">
        <f t="shared" ca="1" si="213"/>
        <v>0</v>
      </c>
      <c r="JQ96" s="1757">
        <f t="shared" ca="1" si="213"/>
        <v>0</v>
      </c>
      <c r="JR96" s="1757">
        <f t="shared" ca="1" si="213"/>
        <v>0</v>
      </c>
      <c r="JS96" s="1757">
        <f t="shared" ca="1" si="213"/>
        <v>0</v>
      </c>
      <c r="JT96" s="1757">
        <f t="shared" ca="1" si="213"/>
        <v>0</v>
      </c>
      <c r="JU96" s="1757">
        <f t="shared" ca="1" si="213"/>
        <v>0</v>
      </c>
      <c r="JV96" s="1757">
        <f t="shared" ca="1" si="214"/>
        <v>0</v>
      </c>
      <c r="JW96" s="1757">
        <f t="shared" ca="1" si="214"/>
        <v>0</v>
      </c>
      <c r="JX96" s="1757">
        <f t="shared" ca="1" si="214"/>
        <v>0</v>
      </c>
      <c r="JY96" s="1757">
        <f t="shared" ca="1" si="214"/>
        <v>0</v>
      </c>
      <c r="JZ96" s="1757">
        <f t="shared" ca="1" si="214"/>
        <v>0</v>
      </c>
      <c r="KA96" s="1757">
        <f t="shared" ca="1" si="214"/>
        <v>0</v>
      </c>
      <c r="KB96" s="1757">
        <f t="shared" ca="1" si="214"/>
        <v>0</v>
      </c>
      <c r="KC96" s="1757">
        <f t="shared" ca="1" si="214"/>
        <v>0</v>
      </c>
      <c r="KD96" s="1757">
        <f t="shared" ca="1" si="214"/>
        <v>0</v>
      </c>
      <c r="KE96" s="1757">
        <f t="shared" ca="1" si="214"/>
        <v>0</v>
      </c>
      <c r="KF96" s="1757">
        <f t="shared" ca="1" si="215"/>
        <v>0</v>
      </c>
      <c r="KG96" s="1757">
        <f t="shared" ca="1" si="215"/>
        <v>0</v>
      </c>
      <c r="KH96" s="1757">
        <f t="shared" ca="1" si="215"/>
        <v>0</v>
      </c>
      <c r="KI96" s="1757">
        <f t="shared" ca="1" si="215"/>
        <v>0</v>
      </c>
      <c r="KJ96" s="1757">
        <f t="shared" ca="1" si="215"/>
        <v>0</v>
      </c>
      <c r="KK96" s="1757">
        <f t="shared" ca="1" si="215"/>
        <v>0</v>
      </c>
      <c r="KL96" s="1757">
        <f t="shared" ca="1" si="215"/>
        <v>0</v>
      </c>
      <c r="KM96" s="1757">
        <f t="shared" ca="1" si="215"/>
        <v>0</v>
      </c>
      <c r="KN96" s="1757">
        <f t="shared" ca="1" si="215"/>
        <v>0</v>
      </c>
      <c r="KO96" s="1757">
        <f t="shared" ca="1" si="215"/>
        <v>0</v>
      </c>
      <c r="KP96" s="1757">
        <f t="shared" ca="1" si="216"/>
        <v>0</v>
      </c>
      <c r="KQ96" s="1757">
        <f t="shared" ca="1" si="216"/>
        <v>0</v>
      </c>
      <c r="KR96" s="1757">
        <f t="shared" ca="1" si="216"/>
        <v>0</v>
      </c>
      <c r="KS96" s="1757">
        <f t="shared" ca="1" si="216"/>
        <v>0</v>
      </c>
      <c r="KT96" s="1757">
        <f t="shared" ca="1" si="216"/>
        <v>0</v>
      </c>
      <c r="KU96" s="1757">
        <f t="shared" ca="1" si="216"/>
        <v>0</v>
      </c>
      <c r="KV96" s="1757">
        <f t="shared" ca="1" si="216"/>
        <v>0</v>
      </c>
      <c r="KW96" s="1757">
        <f t="shared" ca="1" si="216"/>
        <v>0</v>
      </c>
      <c r="KX96" s="1757">
        <f t="shared" ca="1" si="216"/>
        <v>0</v>
      </c>
      <c r="KY96" s="1757">
        <f t="shared" ca="1" si="216"/>
        <v>0</v>
      </c>
      <c r="KZ96" s="1757">
        <f t="shared" ca="1" si="217"/>
        <v>0</v>
      </c>
      <c r="LA96" s="1757">
        <f t="shared" ca="1" si="217"/>
        <v>0</v>
      </c>
      <c r="LB96" s="1757">
        <f t="shared" ca="1" si="217"/>
        <v>0</v>
      </c>
      <c r="LC96" s="1757">
        <f t="shared" ca="1" si="217"/>
        <v>0</v>
      </c>
      <c r="LD96" s="1757">
        <f t="shared" ca="1" si="217"/>
        <v>0</v>
      </c>
      <c r="LE96" s="1757">
        <f t="shared" ca="1" si="217"/>
        <v>0</v>
      </c>
      <c r="LF96" s="1757">
        <f t="shared" ca="1" si="217"/>
        <v>0</v>
      </c>
      <c r="LG96" s="1757">
        <f t="shared" ca="1" si="217"/>
        <v>0</v>
      </c>
      <c r="LH96" s="1757">
        <f t="shared" ca="1" si="217"/>
        <v>0</v>
      </c>
      <c r="LI96" s="1757">
        <f t="shared" ca="1" si="217"/>
        <v>0</v>
      </c>
      <c r="LJ96" s="1757">
        <f t="shared" ca="1" si="218"/>
        <v>0</v>
      </c>
      <c r="LK96" s="1757">
        <f t="shared" ca="1" si="218"/>
        <v>0</v>
      </c>
      <c r="LL96" s="1757">
        <f t="shared" ca="1" si="218"/>
        <v>0</v>
      </c>
      <c r="LM96" s="1757">
        <f t="shared" ca="1" si="218"/>
        <v>0</v>
      </c>
      <c r="LN96" s="1757">
        <f t="shared" ca="1" si="218"/>
        <v>0</v>
      </c>
      <c r="LO96" s="1757">
        <f t="shared" ca="1" si="218"/>
        <v>0</v>
      </c>
      <c r="LP96" s="1758">
        <f t="shared" ca="1" si="218"/>
        <v>0</v>
      </c>
      <c r="LQ96" s="604"/>
    </row>
    <row r="97" spans="1:329" ht="12.75" customHeight="1" x14ac:dyDescent="0.3">
      <c r="A97" s="279"/>
      <c r="B97" s="41"/>
      <c r="C97" s="82"/>
      <c r="D97" s="41"/>
      <c r="E97" s="9"/>
      <c r="F97" s="9"/>
      <c r="G97" s="9"/>
      <c r="H97" s="10"/>
      <c r="I97" s="10"/>
      <c r="J97" s="10"/>
      <c r="K97" s="10"/>
      <c r="L97" s="10"/>
      <c r="M97" s="10"/>
      <c r="N97" s="9"/>
      <c r="O97" s="9"/>
      <c r="P97" s="44"/>
      <c r="Q97" s="44"/>
      <c r="R97" s="9"/>
      <c r="S97" s="9"/>
      <c r="T97" s="9"/>
      <c r="U97" s="9"/>
      <c r="V97" s="9"/>
      <c r="W97" s="9"/>
      <c r="X97" s="9"/>
      <c r="Y97" s="9"/>
      <c r="Z97" s="9"/>
      <c r="AA97" s="9"/>
      <c r="AB97" s="9"/>
      <c r="AC97" s="9"/>
      <c r="AD97" s="9"/>
      <c r="AE97" s="9"/>
      <c r="AF97" s="9"/>
      <c r="AG97" s="9"/>
      <c r="AH97" s="2514"/>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113"/>
      <c r="DI97" s="113"/>
      <c r="DJ97" s="113"/>
      <c r="DK97" s="118"/>
      <c r="DL97" s="118"/>
      <c r="DM97" s="118"/>
      <c r="DN97" s="118"/>
      <c r="DO97" s="118"/>
      <c r="DP97" s="118"/>
      <c r="DQ97" s="118"/>
      <c r="DR97" s="118"/>
      <c r="DS97" s="118"/>
      <c r="DT97" s="118"/>
      <c r="DU97" s="118"/>
      <c r="DV97" s="118"/>
      <c r="DW97" s="118"/>
      <c r="DX97" s="118"/>
      <c r="DY97" s="118"/>
      <c r="DZ97" s="118"/>
      <c r="EA97" s="118"/>
      <c r="EB97" s="118"/>
      <c r="EC97" s="118"/>
      <c r="ED97" s="118"/>
      <c r="EE97" s="118"/>
      <c r="EF97" s="118"/>
      <c r="EG97" s="118"/>
      <c r="EH97" s="118"/>
      <c r="EI97" s="118"/>
      <c r="EJ97" s="118"/>
      <c r="EK97" s="118"/>
      <c r="EL97" s="118"/>
      <c r="EM97" s="118"/>
      <c r="EN97" s="118"/>
      <c r="EO97" s="118"/>
      <c r="EP97" s="118"/>
      <c r="EQ97" s="118"/>
      <c r="ER97" s="118"/>
      <c r="ES97" s="118"/>
      <c r="ET97" s="118"/>
      <c r="EU97" s="118"/>
      <c r="EV97" s="118"/>
      <c r="EW97" s="118"/>
      <c r="EX97" s="118"/>
      <c r="EY97" s="118"/>
      <c r="EZ97" s="118"/>
      <c r="FA97" s="118"/>
      <c r="FB97" s="118"/>
      <c r="FC97" s="118"/>
      <c r="FD97" s="118"/>
      <c r="FE97" s="118"/>
      <c r="FF97" s="118"/>
      <c r="FG97" s="118"/>
      <c r="FH97" s="118"/>
      <c r="FI97" s="180"/>
      <c r="FJ97" s="132"/>
      <c r="FK97" s="132"/>
      <c r="FL97" s="181">
        <f t="shared" ca="1" si="197"/>
        <v>44</v>
      </c>
      <c r="FM97" s="1340">
        <f t="shared" ca="1" si="198"/>
        <v>0</v>
      </c>
      <c r="FN97" s="1341">
        <f t="shared" ca="1" si="199"/>
        <v>0</v>
      </c>
      <c r="FO97" s="1342">
        <f t="shared" ca="1" si="200"/>
        <v>43</v>
      </c>
      <c r="FP97" s="1343">
        <f t="shared" ca="1" si="201"/>
        <v>0</v>
      </c>
      <c r="FQ97" s="1344">
        <f t="shared" si="202"/>
        <v>40</v>
      </c>
      <c r="FR97" s="1344">
        <f t="shared" si="203"/>
        <v>50</v>
      </c>
      <c r="FS97" s="1345">
        <f t="shared" si="204"/>
        <v>44</v>
      </c>
      <c r="FT97" s="1345"/>
      <c r="FU97" s="1346">
        <f t="shared" ca="1" si="219"/>
        <v>0</v>
      </c>
      <c r="FV97" s="1346"/>
      <c r="FW97" s="1346"/>
      <c r="FX97" s="1347"/>
      <c r="FY97" s="1348"/>
      <c r="FZ97" s="1348"/>
      <c r="GA97" s="1348"/>
      <c r="GB97" s="1349"/>
      <c r="GC97" s="1350"/>
      <c r="GD97" s="1348"/>
      <c r="GE97" s="1348"/>
      <c r="GF97" s="1348"/>
      <c r="GG97" s="1348"/>
      <c r="GH97" s="1348"/>
      <c r="GI97" s="1348"/>
      <c r="GJ97" s="1348"/>
      <c r="GK97" s="1348"/>
      <c r="GL97" s="1348"/>
      <c r="GM97" s="1348"/>
      <c r="GN97" s="3825">
        <f t="shared" ca="1" si="205"/>
        <v>0</v>
      </c>
      <c r="GO97" s="3825"/>
      <c r="GP97" s="3825"/>
      <c r="GQ97" s="3826"/>
      <c r="GR97" s="3675"/>
      <c r="GS97" s="3676"/>
      <c r="GT97" s="1756">
        <f t="shared" ca="1" si="206"/>
        <v>0</v>
      </c>
      <c r="GU97" s="1757">
        <f t="shared" ca="1" si="206"/>
        <v>0</v>
      </c>
      <c r="GV97" s="1757">
        <f t="shared" ca="1" si="206"/>
        <v>0</v>
      </c>
      <c r="GW97" s="1757">
        <f t="shared" ca="1" si="206"/>
        <v>0</v>
      </c>
      <c r="GX97" s="1757">
        <f t="shared" ca="1" si="206"/>
        <v>0</v>
      </c>
      <c r="GY97" s="1757">
        <f t="shared" ca="1" si="206"/>
        <v>0</v>
      </c>
      <c r="GZ97" s="1757">
        <f t="shared" ca="1" si="206"/>
        <v>0</v>
      </c>
      <c r="HA97" s="1757">
        <f t="shared" ca="1" si="206"/>
        <v>0</v>
      </c>
      <c r="HB97" s="1757">
        <f t="shared" ca="1" si="206"/>
        <v>0</v>
      </c>
      <c r="HC97" s="1757">
        <f t="shared" ca="1" si="206"/>
        <v>0</v>
      </c>
      <c r="HD97" s="1757">
        <f t="shared" ca="1" si="207"/>
        <v>0</v>
      </c>
      <c r="HE97" s="1757">
        <f t="shared" ca="1" si="207"/>
        <v>0</v>
      </c>
      <c r="HF97" s="1757">
        <f t="shared" ca="1" si="207"/>
        <v>0</v>
      </c>
      <c r="HG97" s="1757">
        <f t="shared" ca="1" si="207"/>
        <v>0</v>
      </c>
      <c r="HH97" s="1757">
        <f t="shared" ca="1" si="207"/>
        <v>0</v>
      </c>
      <c r="HI97" s="1757">
        <f t="shared" ca="1" si="207"/>
        <v>0</v>
      </c>
      <c r="HJ97" s="1757">
        <f t="shared" ca="1" si="207"/>
        <v>0</v>
      </c>
      <c r="HK97" s="1757">
        <f t="shared" ca="1" si="207"/>
        <v>0</v>
      </c>
      <c r="HL97" s="1757">
        <f t="shared" ca="1" si="207"/>
        <v>0</v>
      </c>
      <c r="HM97" s="1757">
        <f t="shared" ca="1" si="207"/>
        <v>0</v>
      </c>
      <c r="HN97" s="1757">
        <f t="shared" ca="1" si="208"/>
        <v>0</v>
      </c>
      <c r="HO97" s="1757">
        <f t="shared" ca="1" si="208"/>
        <v>0</v>
      </c>
      <c r="HP97" s="1757">
        <f t="shared" ca="1" si="208"/>
        <v>0</v>
      </c>
      <c r="HQ97" s="1757">
        <f t="shared" ca="1" si="208"/>
        <v>0</v>
      </c>
      <c r="HR97" s="1757">
        <f t="shared" ca="1" si="208"/>
        <v>0</v>
      </c>
      <c r="HS97" s="1757">
        <f t="shared" ca="1" si="208"/>
        <v>0</v>
      </c>
      <c r="HT97" s="1757">
        <f t="shared" ca="1" si="208"/>
        <v>0</v>
      </c>
      <c r="HU97" s="1757">
        <f t="shared" ca="1" si="208"/>
        <v>0</v>
      </c>
      <c r="HV97" s="1757">
        <f t="shared" ca="1" si="208"/>
        <v>0</v>
      </c>
      <c r="HW97" s="1757">
        <f t="shared" ca="1" si="208"/>
        <v>0</v>
      </c>
      <c r="HX97" s="1757">
        <f t="shared" ca="1" si="209"/>
        <v>0</v>
      </c>
      <c r="HY97" s="1757">
        <f t="shared" ca="1" si="209"/>
        <v>0</v>
      </c>
      <c r="HZ97" s="1757">
        <f t="shared" ca="1" si="209"/>
        <v>0</v>
      </c>
      <c r="IA97" s="1757">
        <f t="shared" ca="1" si="209"/>
        <v>0</v>
      </c>
      <c r="IB97" s="1757">
        <f t="shared" ca="1" si="209"/>
        <v>0</v>
      </c>
      <c r="IC97" s="1757">
        <f t="shared" ca="1" si="209"/>
        <v>0</v>
      </c>
      <c r="ID97" s="1757">
        <f t="shared" ca="1" si="209"/>
        <v>0</v>
      </c>
      <c r="IE97" s="1757">
        <f t="shared" ca="1" si="209"/>
        <v>0</v>
      </c>
      <c r="IF97" s="1757">
        <f t="shared" ca="1" si="209"/>
        <v>0</v>
      </c>
      <c r="IG97" s="1757">
        <f t="shared" ca="1" si="209"/>
        <v>0</v>
      </c>
      <c r="IH97" s="1757">
        <f t="shared" ca="1" si="210"/>
        <v>0</v>
      </c>
      <c r="II97" s="1757">
        <f t="shared" ca="1" si="210"/>
        <v>0</v>
      </c>
      <c r="IJ97" s="1757">
        <f t="shared" ca="1" si="210"/>
        <v>0</v>
      </c>
      <c r="IK97" s="1757">
        <f t="shared" ca="1" si="210"/>
        <v>0</v>
      </c>
      <c r="IL97" s="1757">
        <f t="shared" ca="1" si="210"/>
        <v>0</v>
      </c>
      <c r="IM97" s="1757">
        <f t="shared" ca="1" si="210"/>
        <v>0</v>
      </c>
      <c r="IN97" s="1757">
        <f t="shared" ca="1" si="210"/>
        <v>0</v>
      </c>
      <c r="IO97" s="1757">
        <f t="shared" ca="1" si="210"/>
        <v>0</v>
      </c>
      <c r="IP97" s="1757">
        <f t="shared" ca="1" si="210"/>
        <v>0</v>
      </c>
      <c r="IQ97" s="1757">
        <f t="shared" ca="1" si="210"/>
        <v>0</v>
      </c>
      <c r="IR97" s="1757">
        <f t="shared" ca="1" si="211"/>
        <v>0</v>
      </c>
      <c r="IS97" s="1757">
        <f t="shared" ca="1" si="211"/>
        <v>0</v>
      </c>
      <c r="IT97" s="1757">
        <f t="shared" ca="1" si="211"/>
        <v>0</v>
      </c>
      <c r="IU97" s="1757">
        <f t="shared" ca="1" si="211"/>
        <v>0</v>
      </c>
      <c r="IV97" s="1757">
        <f t="shared" ca="1" si="211"/>
        <v>0</v>
      </c>
      <c r="IW97" s="1757">
        <f t="shared" ca="1" si="211"/>
        <v>0</v>
      </c>
      <c r="IX97" s="1757">
        <f t="shared" ca="1" si="211"/>
        <v>0</v>
      </c>
      <c r="IY97" s="1757">
        <f t="shared" ca="1" si="211"/>
        <v>0</v>
      </c>
      <c r="IZ97" s="1757">
        <f t="shared" ca="1" si="211"/>
        <v>0</v>
      </c>
      <c r="JA97" s="1757">
        <f t="shared" ca="1" si="211"/>
        <v>0</v>
      </c>
      <c r="JB97" s="1757">
        <f t="shared" ca="1" si="212"/>
        <v>0</v>
      </c>
      <c r="JC97" s="1757">
        <f t="shared" ca="1" si="212"/>
        <v>0</v>
      </c>
      <c r="JD97" s="1757">
        <f t="shared" ca="1" si="212"/>
        <v>0</v>
      </c>
      <c r="JE97" s="1757">
        <f t="shared" ca="1" si="212"/>
        <v>0</v>
      </c>
      <c r="JF97" s="1757">
        <f t="shared" ca="1" si="212"/>
        <v>0</v>
      </c>
      <c r="JG97" s="1757">
        <f t="shared" ca="1" si="212"/>
        <v>0</v>
      </c>
      <c r="JH97" s="1757">
        <f t="shared" ca="1" si="212"/>
        <v>0</v>
      </c>
      <c r="JI97" s="1757">
        <f t="shared" ca="1" si="212"/>
        <v>0</v>
      </c>
      <c r="JJ97" s="1757">
        <f t="shared" ca="1" si="212"/>
        <v>0</v>
      </c>
      <c r="JK97" s="1757">
        <f t="shared" ca="1" si="212"/>
        <v>0</v>
      </c>
      <c r="JL97" s="1757">
        <f t="shared" ca="1" si="213"/>
        <v>0</v>
      </c>
      <c r="JM97" s="1757">
        <f t="shared" ca="1" si="213"/>
        <v>0</v>
      </c>
      <c r="JN97" s="1757">
        <f t="shared" ca="1" si="213"/>
        <v>0</v>
      </c>
      <c r="JO97" s="1757">
        <f t="shared" ca="1" si="213"/>
        <v>0</v>
      </c>
      <c r="JP97" s="1757">
        <f t="shared" ca="1" si="213"/>
        <v>0</v>
      </c>
      <c r="JQ97" s="1757">
        <f t="shared" ca="1" si="213"/>
        <v>0</v>
      </c>
      <c r="JR97" s="1757">
        <f t="shared" ca="1" si="213"/>
        <v>0</v>
      </c>
      <c r="JS97" s="1757">
        <f t="shared" ca="1" si="213"/>
        <v>0</v>
      </c>
      <c r="JT97" s="1757">
        <f t="shared" ca="1" si="213"/>
        <v>0</v>
      </c>
      <c r="JU97" s="1757">
        <f t="shared" ca="1" si="213"/>
        <v>0</v>
      </c>
      <c r="JV97" s="1757">
        <f t="shared" ca="1" si="214"/>
        <v>0</v>
      </c>
      <c r="JW97" s="1757">
        <f t="shared" ca="1" si="214"/>
        <v>0</v>
      </c>
      <c r="JX97" s="1757">
        <f t="shared" ca="1" si="214"/>
        <v>0</v>
      </c>
      <c r="JY97" s="1757">
        <f t="shared" ca="1" si="214"/>
        <v>0</v>
      </c>
      <c r="JZ97" s="1757">
        <f t="shared" ca="1" si="214"/>
        <v>0</v>
      </c>
      <c r="KA97" s="1757">
        <f t="shared" ca="1" si="214"/>
        <v>0</v>
      </c>
      <c r="KB97" s="1757">
        <f t="shared" ca="1" si="214"/>
        <v>0</v>
      </c>
      <c r="KC97" s="1757">
        <f t="shared" ca="1" si="214"/>
        <v>0</v>
      </c>
      <c r="KD97" s="1757">
        <f t="shared" ca="1" si="214"/>
        <v>0</v>
      </c>
      <c r="KE97" s="1757">
        <f t="shared" ca="1" si="214"/>
        <v>0</v>
      </c>
      <c r="KF97" s="1757">
        <f t="shared" ca="1" si="215"/>
        <v>0</v>
      </c>
      <c r="KG97" s="1757">
        <f t="shared" ca="1" si="215"/>
        <v>0</v>
      </c>
      <c r="KH97" s="1757">
        <f t="shared" ca="1" si="215"/>
        <v>0</v>
      </c>
      <c r="KI97" s="1757">
        <f t="shared" ca="1" si="215"/>
        <v>0</v>
      </c>
      <c r="KJ97" s="1757">
        <f t="shared" ca="1" si="215"/>
        <v>0</v>
      </c>
      <c r="KK97" s="1757">
        <f t="shared" ca="1" si="215"/>
        <v>0</v>
      </c>
      <c r="KL97" s="1757">
        <f t="shared" ca="1" si="215"/>
        <v>0</v>
      </c>
      <c r="KM97" s="1757">
        <f t="shared" ca="1" si="215"/>
        <v>0</v>
      </c>
      <c r="KN97" s="1757">
        <f t="shared" ca="1" si="215"/>
        <v>0</v>
      </c>
      <c r="KO97" s="1757">
        <f t="shared" ca="1" si="215"/>
        <v>0</v>
      </c>
      <c r="KP97" s="1757">
        <f t="shared" ca="1" si="216"/>
        <v>0</v>
      </c>
      <c r="KQ97" s="1757">
        <f t="shared" ca="1" si="216"/>
        <v>0</v>
      </c>
      <c r="KR97" s="1757">
        <f t="shared" ca="1" si="216"/>
        <v>0</v>
      </c>
      <c r="KS97" s="1757">
        <f t="shared" ca="1" si="216"/>
        <v>0</v>
      </c>
      <c r="KT97" s="1757">
        <f t="shared" ca="1" si="216"/>
        <v>0</v>
      </c>
      <c r="KU97" s="1757">
        <f t="shared" ca="1" si="216"/>
        <v>0</v>
      </c>
      <c r="KV97" s="1757">
        <f t="shared" ca="1" si="216"/>
        <v>0</v>
      </c>
      <c r="KW97" s="1757">
        <f t="shared" ca="1" si="216"/>
        <v>0</v>
      </c>
      <c r="KX97" s="1757">
        <f t="shared" ca="1" si="216"/>
        <v>0</v>
      </c>
      <c r="KY97" s="1757">
        <f t="shared" ca="1" si="216"/>
        <v>0</v>
      </c>
      <c r="KZ97" s="1757">
        <f t="shared" ca="1" si="217"/>
        <v>0</v>
      </c>
      <c r="LA97" s="1757">
        <f t="shared" ca="1" si="217"/>
        <v>0</v>
      </c>
      <c r="LB97" s="1757">
        <f t="shared" ca="1" si="217"/>
        <v>0</v>
      </c>
      <c r="LC97" s="1757">
        <f t="shared" ca="1" si="217"/>
        <v>0</v>
      </c>
      <c r="LD97" s="1757">
        <f t="shared" ca="1" si="217"/>
        <v>0</v>
      </c>
      <c r="LE97" s="1757">
        <f t="shared" ca="1" si="217"/>
        <v>0</v>
      </c>
      <c r="LF97" s="1757">
        <f t="shared" ca="1" si="217"/>
        <v>0</v>
      </c>
      <c r="LG97" s="1757">
        <f t="shared" ca="1" si="217"/>
        <v>0</v>
      </c>
      <c r="LH97" s="1757">
        <f t="shared" ca="1" si="217"/>
        <v>0</v>
      </c>
      <c r="LI97" s="1757">
        <f t="shared" ca="1" si="217"/>
        <v>0</v>
      </c>
      <c r="LJ97" s="1757">
        <f t="shared" ca="1" si="218"/>
        <v>0</v>
      </c>
      <c r="LK97" s="1757">
        <f t="shared" ca="1" si="218"/>
        <v>0</v>
      </c>
      <c r="LL97" s="1757">
        <f t="shared" ca="1" si="218"/>
        <v>0</v>
      </c>
      <c r="LM97" s="1757">
        <f t="shared" ca="1" si="218"/>
        <v>0</v>
      </c>
      <c r="LN97" s="1757">
        <f t="shared" ca="1" si="218"/>
        <v>0</v>
      </c>
      <c r="LO97" s="1757">
        <f t="shared" ca="1" si="218"/>
        <v>0</v>
      </c>
      <c r="LP97" s="1758">
        <f t="shared" ca="1" si="218"/>
        <v>0</v>
      </c>
      <c r="LQ97" s="604"/>
    </row>
    <row r="98" spans="1:329" ht="12.75" customHeight="1" x14ac:dyDescent="0.3">
      <c r="A98" s="279"/>
      <c r="B98" s="41"/>
      <c r="C98" s="82"/>
      <c r="D98" s="41"/>
      <c r="E98" s="9"/>
      <c r="F98" s="9"/>
      <c r="G98" s="9"/>
      <c r="H98" s="10"/>
      <c r="I98" s="10"/>
      <c r="J98" s="10"/>
      <c r="K98" s="10"/>
      <c r="L98" s="10"/>
      <c r="M98" s="10"/>
      <c r="N98" s="9"/>
      <c r="O98" s="9"/>
      <c r="P98" s="44"/>
      <c r="Q98" s="44"/>
      <c r="R98" s="9"/>
      <c r="S98" s="9"/>
      <c r="T98" s="9"/>
      <c r="U98" s="9"/>
      <c r="V98" s="9"/>
      <c r="W98" s="9"/>
      <c r="X98" s="9"/>
      <c r="Y98" s="9"/>
      <c r="Z98" s="9"/>
      <c r="AA98" s="9"/>
      <c r="AB98" s="9"/>
      <c r="AC98" s="9"/>
      <c r="AD98" s="9"/>
      <c r="AE98" s="9"/>
      <c r="AF98" s="9"/>
      <c r="AG98" s="9"/>
      <c r="AH98" s="2514"/>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113"/>
      <c r="DI98" s="113"/>
      <c r="DJ98" s="113"/>
      <c r="DK98" s="118"/>
      <c r="DL98" s="118"/>
      <c r="DM98" s="118"/>
      <c r="DN98" s="118"/>
      <c r="DO98" s="118"/>
      <c r="DP98" s="118"/>
      <c r="DQ98" s="118"/>
      <c r="DR98" s="118"/>
      <c r="DS98" s="118"/>
      <c r="DT98" s="118"/>
      <c r="DU98" s="118"/>
      <c r="DV98" s="118"/>
      <c r="DW98" s="118"/>
      <c r="DX98" s="118"/>
      <c r="DY98" s="118"/>
      <c r="DZ98" s="118"/>
      <c r="EA98" s="118"/>
      <c r="EB98" s="118"/>
      <c r="EC98" s="118"/>
      <c r="ED98" s="118"/>
      <c r="EE98" s="118"/>
      <c r="EF98" s="118"/>
      <c r="EG98" s="118"/>
      <c r="EH98" s="118"/>
      <c r="EI98" s="118"/>
      <c r="EJ98" s="118"/>
      <c r="EK98" s="118"/>
      <c r="EL98" s="118"/>
      <c r="EM98" s="118"/>
      <c r="EN98" s="118"/>
      <c r="EO98" s="118"/>
      <c r="EP98" s="118"/>
      <c r="EQ98" s="118"/>
      <c r="ER98" s="118"/>
      <c r="ES98" s="118"/>
      <c r="ET98" s="118"/>
      <c r="EU98" s="118"/>
      <c r="EV98" s="118"/>
      <c r="EW98" s="118"/>
      <c r="EX98" s="118"/>
      <c r="EY98" s="118"/>
      <c r="EZ98" s="118"/>
      <c r="FA98" s="118"/>
      <c r="FB98" s="118"/>
      <c r="FC98" s="118"/>
      <c r="FD98" s="118"/>
      <c r="FE98" s="118"/>
      <c r="FF98" s="118"/>
      <c r="FG98" s="118"/>
      <c r="FH98" s="118"/>
      <c r="FI98" s="180"/>
      <c r="FJ98" s="132"/>
      <c r="FK98" s="132"/>
      <c r="FL98" s="181">
        <f t="shared" ca="1" si="197"/>
        <v>43</v>
      </c>
      <c r="FM98" s="1340">
        <f t="shared" ca="1" si="198"/>
        <v>0</v>
      </c>
      <c r="FN98" s="1341">
        <f t="shared" ca="1" si="199"/>
        <v>0</v>
      </c>
      <c r="FO98" s="1342">
        <f t="shared" ca="1" si="200"/>
        <v>42</v>
      </c>
      <c r="FP98" s="1343">
        <f t="shared" ca="1" si="201"/>
        <v>0</v>
      </c>
      <c r="FQ98" s="1344">
        <f t="shared" si="202"/>
        <v>40</v>
      </c>
      <c r="FR98" s="1344">
        <f t="shared" si="203"/>
        <v>50</v>
      </c>
      <c r="FS98" s="1345">
        <f t="shared" si="204"/>
        <v>43</v>
      </c>
      <c r="FT98" s="1345"/>
      <c r="FU98" s="1346">
        <f t="shared" ca="1" si="219"/>
        <v>0</v>
      </c>
      <c r="FV98" s="1346"/>
      <c r="FW98" s="1346"/>
      <c r="FX98" s="1347"/>
      <c r="FY98" s="1348"/>
      <c r="FZ98" s="1348"/>
      <c r="GA98" s="1348"/>
      <c r="GB98" s="1349"/>
      <c r="GC98" s="1350"/>
      <c r="GD98" s="1348"/>
      <c r="GE98" s="1348"/>
      <c r="GF98" s="1348"/>
      <c r="GG98" s="1348"/>
      <c r="GH98" s="1348"/>
      <c r="GI98" s="1348"/>
      <c r="GJ98" s="1348"/>
      <c r="GK98" s="1348"/>
      <c r="GL98" s="1348"/>
      <c r="GM98" s="1348"/>
      <c r="GN98" s="3825">
        <f t="shared" ca="1" si="205"/>
        <v>0</v>
      </c>
      <c r="GO98" s="3825"/>
      <c r="GP98" s="3825"/>
      <c r="GQ98" s="3826"/>
      <c r="GR98" s="3675"/>
      <c r="GS98" s="3676"/>
      <c r="GT98" s="1756">
        <f t="shared" ca="1" si="206"/>
        <v>0</v>
      </c>
      <c r="GU98" s="1757">
        <f t="shared" ca="1" si="206"/>
        <v>0</v>
      </c>
      <c r="GV98" s="1757">
        <f t="shared" ca="1" si="206"/>
        <v>0</v>
      </c>
      <c r="GW98" s="1757">
        <f t="shared" ca="1" si="206"/>
        <v>0</v>
      </c>
      <c r="GX98" s="1757">
        <f t="shared" ca="1" si="206"/>
        <v>0</v>
      </c>
      <c r="GY98" s="1757">
        <f t="shared" ca="1" si="206"/>
        <v>0</v>
      </c>
      <c r="GZ98" s="1757">
        <f t="shared" ca="1" si="206"/>
        <v>0</v>
      </c>
      <c r="HA98" s="1757">
        <f t="shared" ca="1" si="206"/>
        <v>0</v>
      </c>
      <c r="HB98" s="1757">
        <f t="shared" ca="1" si="206"/>
        <v>0</v>
      </c>
      <c r="HC98" s="1757">
        <f t="shared" ca="1" si="206"/>
        <v>0</v>
      </c>
      <c r="HD98" s="1757">
        <f t="shared" ca="1" si="207"/>
        <v>0</v>
      </c>
      <c r="HE98" s="1757">
        <f t="shared" ca="1" si="207"/>
        <v>0</v>
      </c>
      <c r="HF98" s="1757">
        <f t="shared" ca="1" si="207"/>
        <v>0</v>
      </c>
      <c r="HG98" s="1757">
        <f t="shared" ca="1" si="207"/>
        <v>0</v>
      </c>
      <c r="HH98" s="1757">
        <f t="shared" ca="1" si="207"/>
        <v>0</v>
      </c>
      <c r="HI98" s="1757">
        <f t="shared" ca="1" si="207"/>
        <v>0</v>
      </c>
      <c r="HJ98" s="1757">
        <f t="shared" ca="1" si="207"/>
        <v>0</v>
      </c>
      <c r="HK98" s="1757">
        <f t="shared" ca="1" si="207"/>
        <v>0</v>
      </c>
      <c r="HL98" s="1757">
        <f t="shared" ca="1" si="207"/>
        <v>0</v>
      </c>
      <c r="HM98" s="1757">
        <f t="shared" ca="1" si="207"/>
        <v>0</v>
      </c>
      <c r="HN98" s="1757">
        <f t="shared" ca="1" si="208"/>
        <v>0</v>
      </c>
      <c r="HO98" s="1757">
        <f t="shared" ca="1" si="208"/>
        <v>0</v>
      </c>
      <c r="HP98" s="1757">
        <f t="shared" ca="1" si="208"/>
        <v>0</v>
      </c>
      <c r="HQ98" s="1757">
        <f t="shared" ca="1" si="208"/>
        <v>0</v>
      </c>
      <c r="HR98" s="1757">
        <f t="shared" ca="1" si="208"/>
        <v>0</v>
      </c>
      <c r="HS98" s="1757">
        <f t="shared" ca="1" si="208"/>
        <v>0</v>
      </c>
      <c r="HT98" s="1757">
        <f t="shared" ca="1" si="208"/>
        <v>0</v>
      </c>
      <c r="HU98" s="1757">
        <f t="shared" ca="1" si="208"/>
        <v>0</v>
      </c>
      <c r="HV98" s="1757">
        <f t="shared" ca="1" si="208"/>
        <v>0</v>
      </c>
      <c r="HW98" s="1757">
        <f t="shared" ca="1" si="208"/>
        <v>0</v>
      </c>
      <c r="HX98" s="1757">
        <f t="shared" ca="1" si="209"/>
        <v>0</v>
      </c>
      <c r="HY98" s="1757">
        <f t="shared" ca="1" si="209"/>
        <v>0</v>
      </c>
      <c r="HZ98" s="1757">
        <f t="shared" ca="1" si="209"/>
        <v>0</v>
      </c>
      <c r="IA98" s="1757">
        <f t="shared" ca="1" si="209"/>
        <v>0</v>
      </c>
      <c r="IB98" s="1757">
        <f t="shared" ca="1" si="209"/>
        <v>0</v>
      </c>
      <c r="IC98" s="1757">
        <f t="shared" ca="1" si="209"/>
        <v>0</v>
      </c>
      <c r="ID98" s="1757">
        <f t="shared" ca="1" si="209"/>
        <v>0</v>
      </c>
      <c r="IE98" s="1757">
        <f t="shared" ca="1" si="209"/>
        <v>0</v>
      </c>
      <c r="IF98" s="1757">
        <f t="shared" ca="1" si="209"/>
        <v>0</v>
      </c>
      <c r="IG98" s="1757">
        <f t="shared" ca="1" si="209"/>
        <v>0</v>
      </c>
      <c r="IH98" s="1757">
        <f t="shared" ca="1" si="210"/>
        <v>0</v>
      </c>
      <c r="II98" s="1757">
        <f t="shared" ca="1" si="210"/>
        <v>0</v>
      </c>
      <c r="IJ98" s="1757">
        <f t="shared" ca="1" si="210"/>
        <v>0</v>
      </c>
      <c r="IK98" s="1757">
        <f t="shared" ca="1" si="210"/>
        <v>0</v>
      </c>
      <c r="IL98" s="1757">
        <f t="shared" ca="1" si="210"/>
        <v>0</v>
      </c>
      <c r="IM98" s="1757">
        <f t="shared" ca="1" si="210"/>
        <v>0</v>
      </c>
      <c r="IN98" s="1757">
        <f t="shared" ca="1" si="210"/>
        <v>0</v>
      </c>
      <c r="IO98" s="1757">
        <f t="shared" ca="1" si="210"/>
        <v>0</v>
      </c>
      <c r="IP98" s="1757">
        <f t="shared" ca="1" si="210"/>
        <v>0</v>
      </c>
      <c r="IQ98" s="1757">
        <f t="shared" ca="1" si="210"/>
        <v>0</v>
      </c>
      <c r="IR98" s="1757">
        <f t="shared" ca="1" si="211"/>
        <v>0</v>
      </c>
      <c r="IS98" s="1757">
        <f t="shared" ca="1" si="211"/>
        <v>0</v>
      </c>
      <c r="IT98" s="1757">
        <f t="shared" ca="1" si="211"/>
        <v>0</v>
      </c>
      <c r="IU98" s="1757">
        <f t="shared" ca="1" si="211"/>
        <v>0</v>
      </c>
      <c r="IV98" s="1757">
        <f t="shared" ca="1" si="211"/>
        <v>0</v>
      </c>
      <c r="IW98" s="1757">
        <f t="shared" ca="1" si="211"/>
        <v>0</v>
      </c>
      <c r="IX98" s="1757">
        <f t="shared" ca="1" si="211"/>
        <v>0</v>
      </c>
      <c r="IY98" s="1757">
        <f t="shared" ca="1" si="211"/>
        <v>0</v>
      </c>
      <c r="IZ98" s="1757">
        <f t="shared" ca="1" si="211"/>
        <v>0</v>
      </c>
      <c r="JA98" s="1757">
        <f t="shared" ca="1" si="211"/>
        <v>0</v>
      </c>
      <c r="JB98" s="1757">
        <f t="shared" ca="1" si="212"/>
        <v>0</v>
      </c>
      <c r="JC98" s="1757">
        <f t="shared" ca="1" si="212"/>
        <v>0</v>
      </c>
      <c r="JD98" s="1757">
        <f t="shared" ca="1" si="212"/>
        <v>0</v>
      </c>
      <c r="JE98" s="1757">
        <f t="shared" ca="1" si="212"/>
        <v>0</v>
      </c>
      <c r="JF98" s="1757">
        <f t="shared" ca="1" si="212"/>
        <v>0</v>
      </c>
      <c r="JG98" s="1757">
        <f t="shared" ca="1" si="212"/>
        <v>0</v>
      </c>
      <c r="JH98" s="1757">
        <f t="shared" ca="1" si="212"/>
        <v>0</v>
      </c>
      <c r="JI98" s="1757">
        <f t="shared" ca="1" si="212"/>
        <v>0</v>
      </c>
      <c r="JJ98" s="1757">
        <f t="shared" ca="1" si="212"/>
        <v>0</v>
      </c>
      <c r="JK98" s="1757">
        <f t="shared" ca="1" si="212"/>
        <v>0</v>
      </c>
      <c r="JL98" s="1757">
        <f t="shared" ca="1" si="213"/>
        <v>0</v>
      </c>
      <c r="JM98" s="1757">
        <f t="shared" ca="1" si="213"/>
        <v>0</v>
      </c>
      <c r="JN98" s="1757">
        <f t="shared" ca="1" si="213"/>
        <v>0</v>
      </c>
      <c r="JO98" s="1757">
        <f t="shared" ca="1" si="213"/>
        <v>0</v>
      </c>
      <c r="JP98" s="1757">
        <f t="shared" ca="1" si="213"/>
        <v>0</v>
      </c>
      <c r="JQ98" s="1757">
        <f t="shared" ca="1" si="213"/>
        <v>0</v>
      </c>
      <c r="JR98" s="1757">
        <f t="shared" ca="1" si="213"/>
        <v>0</v>
      </c>
      <c r="JS98" s="1757">
        <f t="shared" ca="1" si="213"/>
        <v>0</v>
      </c>
      <c r="JT98" s="1757">
        <f t="shared" ca="1" si="213"/>
        <v>0</v>
      </c>
      <c r="JU98" s="1757">
        <f t="shared" ca="1" si="213"/>
        <v>0</v>
      </c>
      <c r="JV98" s="1757">
        <f t="shared" ca="1" si="214"/>
        <v>0</v>
      </c>
      <c r="JW98" s="1757">
        <f t="shared" ca="1" si="214"/>
        <v>0</v>
      </c>
      <c r="JX98" s="1757">
        <f t="shared" ca="1" si="214"/>
        <v>0</v>
      </c>
      <c r="JY98" s="1757">
        <f t="shared" ca="1" si="214"/>
        <v>0</v>
      </c>
      <c r="JZ98" s="1757">
        <f t="shared" ca="1" si="214"/>
        <v>0</v>
      </c>
      <c r="KA98" s="1757">
        <f t="shared" ca="1" si="214"/>
        <v>0</v>
      </c>
      <c r="KB98" s="1757">
        <f t="shared" ca="1" si="214"/>
        <v>0</v>
      </c>
      <c r="KC98" s="1757">
        <f t="shared" ca="1" si="214"/>
        <v>0</v>
      </c>
      <c r="KD98" s="1757">
        <f t="shared" ca="1" si="214"/>
        <v>0</v>
      </c>
      <c r="KE98" s="1757">
        <f t="shared" ca="1" si="214"/>
        <v>0</v>
      </c>
      <c r="KF98" s="1757">
        <f t="shared" ca="1" si="215"/>
        <v>0</v>
      </c>
      <c r="KG98" s="1757">
        <f t="shared" ca="1" si="215"/>
        <v>0</v>
      </c>
      <c r="KH98" s="1757">
        <f t="shared" ca="1" si="215"/>
        <v>0</v>
      </c>
      <c r="KI98" s="1757">
        <f t="shared" ca="1" si="215"/>
        <v>0</v>
      </c>
      <c r="KJ98" s="1757">
        <f t="shared" ca="1" si="215"/>
        <v>0</v>
      </c>
      <c r="KK98" s="1757">
        <f t="shared" ca="1" si="215"/>
        <v>0</v>
      </c>
      <c r="KL98" s="1757">
        <f t="shared" ca="1" si="215"/>
        <v>0</v>
      </c>
      <c r="KM98" s="1757">
        <f t="shared" ca="1" si="215"/>
        <v>0</v>
      </c>
      <c r="KN98" s="1757">
        <f t="shared" ca="1" si="215"/>
        <v>0</v>
      </c>
      <c r="KO98" s="1757">
        <f t="shared" ca="1" si="215"/>
        <v>0</v>
      </c>
      <c r="KP98" s="1757">
        <f t="shared" ca="1" si="216"/>
        <v>0</v>
      </c>
      <c r="KQ98" s="1757">
        <f t="shared" ca="1" si="216"/>
        <v>0</v>
      </c>
      <c r="KR98" s="1757">
        <f t="shared" ca="1" si="216"/>
        <v>0</v>
      </c>
      <c r="KS98" s="1757">
        <f t="shared" ca="1" si="216"/>
        <v>0</v>
      </c>
      <c r="KT98" s="1757">
        <f t="shared" ca="1" si="216"/>
        <v>0</v>
      </c>
      <c r="KU98" s="1757">
        <f t="shared" ca="1" si="216"/>
        <v>0</v>
      </c>
      <c r="KV98" s="1757">
        <f t="shared" ca="1" si="216"/>
        <v>0</v>
      </c>
      <c r="KW98" s="1757">
        <f t="shared" ca="1" si="216"/>
        <v>0</v>
      </c>
      <c r="KX98" s="1757">
        <f t="shared" ca="1" si="216"/>
        <v>0</v>
      </c>
      <c r="KY98" s="1757">
        <f t="shared" ca="1" si="216"/>
        <v>0</v>
      </c>
      <c r="KZ98" s="1757">
        <f t="shared" ca="1" si="217"/>
        <v>0</v>
      </c>
      <c r="LA98" s="1757">
        <f t="shared" ca="1" si="217"/>
        <v>0</v>
      </c>
      <c r="LB98" s="1757">
        <f t="shared" ca="1" si="217"/>
        <v>0</v>
      </c>
      <c r="LC98" s="1757">
        <f t="shared" ca="1" si="217"/>
        <v>0</v>
      </c>
      <c r="LD98" s="1757">
        <f t="shared" ca="1" si="217"/>
        <v>0</v>
      </c>
      <c r="LE98" s="1757">
        <f t="shared" ca="1" si="217"/>
        <v>0</v>
      </c>
      <c r="LF98" s="1757">
        <f t="shared" ca="1" si="217"/>
        <v>0</v>
      </c>
      <c r="LG98" s="1757">
        <f t="shared" ca="1" si="217"/>
        <v>0</v>
      </c>
      <c r="LH98" s="1757">
        <f t="shared" ca="1" si="217"/>
        <v>0</v>
      </c>
      <c r="LI98" s="1757">
        <f t="shared" ca="1" si="217"/>
        <v>0</v>
      </c>
      <c r="LJ98" s="1757">
        <f t="shared" ca="1" si="218"/>
        <v>0</v>
      </c>
      <c r="LK98" s="1757">
        <f t="shared" ca="1" si="218"/>
        <v>0</v>
      </c>
      <c r="LL98" s="1757">
        <f t="shared" ca="1" si="218"/>
        <v>0</v>
      </c>
      <c r="LM98" s="1757">
        <f t="shared" ca="1" si="218"/>
        <v>0</v>
      </c>
      <c r="LN98" s="1757">
        <f t="shared" ca="1" si="218"/>
        <v>0</v>
      </c>
      <c r="LO98" s="1757">
        <f t="shared" ca="1" si="218"/>
        <v>0</v>
      </c>
      <c r="LP98" s="1758">
        <f t="shared" ca="1" si="218"/>
        <v>0</v>
      </c>
      <c r="LQ98" s="604"/>
    </row>
    <row r="99" spans="1:329" ht="12.75" customHeight="1" x14ac:dyDescent="0.3">
      <c r="A99" s="279"/>
      <c r="B99" s="41"/>
      <c r="C99" s="82"/>
      <c r="D99" s="41"/>
      <c r="E99" s="9"/>
      <c r="F99" s="9"/>
      <c r="G99" s="9"/>
      <c r="H99" s="10"/>
      <c r="I99" s="10"/>
      <c r="J99" s="10"/>
      <c r="K99" s="10"/>
      <c r="L99" s="10"/>
      <c r="M99" s="10"/>
      <c r="N99" s="9"/>
      <c r="O99" s="9"/>
      <c r="P99" s="44"/>
      <c r="Q99" s="44"/>
      <c r="R99" s="9"/>
      <c r="S99" s="9"/>
      <c r="T99" s="9"/>
      <c r="U99" s="9"/>
      <c r="V99" s="9"/>
      <c r="W99" s="9"/>
      <c r="X99" s="9"/>
      <c r="Y99" s="9"/>
      <c r="Z99" s="9"/>
      <c r="AA99" s="9"/>
      <c r="AB99" s="9"/>
      <c r="AC99" s="9"/>
      <c r="AD99" s="9"/>
      <c r="AE99" s="9"/>
      <c r="AF99" s="9"/>
      <c r="AG99" s="9"/>
      <c r="AH99" s="2514"/>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113"/>
      <c r="DI99" s="113"/>
      <c r="DJ99" s="113"/>
      <c r="DK99" s="118"/>
      <c r="DL99" s="118"/>
      <c r="DM99" s="118"/>
      <c r="DN99" s="118"/>
      <c r="DO99" s="118"/>
      <c r="DP99" s="118"/>
      <c r="DQ99" s="118"/>
      <c r="DR99" s="118"/>
      <c r="DS99" s="118"/>
      <c r="DT99" s="118"/>
      <c r="DU99" s="118"/>
      <c r="DV99" s="118"/>
      <c r="DW99" s="118"/>
      <c r="DX99" s="118"/>
      <c r="DY99" s="118"/>
      <c r="DZ99" s="118"/>
      <c r="EA99" s="118"/>
      <c r="EB99" s="118"/>
      <c r="EC99" s="118"/>
      <c r="ED99" s="118"/>
      <c r="EE99" s="118"/>
      <c r="EF99" s="118"/>
      <c r="EG99" s="118"/>
      <c r="EH99" s="118"/>
      <c r="EI99" s="118"/>
      <c r="EJ99" s="118"/>
      <c r="EK99" s="118"/>
      <c r="EL99" s="118"/>
      <c r="EM99" s="118"/>
      <c r="EN99" s="118"/>
      <c r="EO99" s="118"/>
      <c r="EP99" s="118"/>
      <c r="EQ99" s="118"/>
      <c r="ER99" s="118"/>
      <c r="ES99" s="118"/>
      <c r="ET99" s="118"/>
      <c r="EU99" s="118"/>
      <c r="EV99" s="118"/>
      <c r="EW99" s="118"/>
      <c r="EX99" s="118"/>
      <c r="EY99" s="118"/>
      <c r="EZ99" s="118"/>
      <c r="FA99" s="118"/>
      <c r="FB99" s="118"/>
      <c r="FC99" s="118"/>
      <c r="FD99" s="118"/>
      <c r="FE99" s="118"/>
      <c r="FF99" s="118"/>
      <c r="FG99" s="118"/>
      <c r="FH99" s="118"/>
      <c r="FI99" s="180"/>
      <c r="FJ99" s="132"/>
      <c r="FK99" s="132"/>
      <c r="FL99" s="181">
        <f t="shared" ca="1" si="197"/>
        <v>42</v>
      </c>
      <c r="FM99" s="1340">
        <f t="shared" ca="1" si="198"/>
        <v>0</v>
      </c>
      <c r="FN99" s="1341">
        <f t="shared" ca="1" si="199"/>
        <v>0</v>
      </c>
      <c r="FO99" s="1342">
        <f t="shared" ca="1" si="200"/>
        <v>41</v>
      </c>
      <c r="FP99" s="1343">
        <f t="shared" ca="1" si="201"/>
        <v>0</v>
      </c>
      <c r="FQ99" s="1344">
        <f t="shared" si="202"/>
        <v>40</v>
      </c>
      <c r="FR99" s="1344">
        <f t="shared" si="203"/>
        <v>50</v>
      </c>
      <c r="FS99" s="1345">
        <f t="shared" si="204"/>
        <v>42</v>
      </c>
      <c r="FT99" s="1345"/>
      <c r="FU99" s="1346">
        <f t="shared" ca="1" si="219"/>
        <v>0</v>
      </c>
      <c r="FV99" s="1346"/>
      <c r="FW99" s="1346"/>
      <c r="FX99" s="1347"/>
      <c r="FY99" s="1348"/>
      <c r="FZ99" s="1348"/>
      <c r="GA99" s="1348"/>
      <c r="GB99" s="1349"/>
      <c r="GC99" s="1350"/>
      <c r="GD99" s="1348"/>
      <c r="GE99" s="1348"/>
      <c r="GF99" s="1348"/>
      <c r="GG99" s="1348"/>
      <c r="GH99" s="1348"/>
      <c r="GI99" s="1348"/>
      <c r="GJ99" s="1348"/>
      <c r="GK99" s="1348"/>
      <c r="GL99" s="1348"/>
      <c r="GM99" s="1348"/>
      <c r="GN99" s="3825">
        <f t="shared" ca="1" si="205"/>
        <v>0</v>
      </c>
      <c r="GO99" s="3825"/>
      <c r="GP99" s="3825"/>
      <c r="GQ99" s="3826"/>
      <c r="GR99" s="3675"/>
      <c r="GS99" s="3676"/>
      <c r="GT99" s="1756">
        <f t="shared" ca="1" si="206"/>
        <v>0</v>
      </c>
      <c r="GU99" s="1757">
        <f t="shared" ca="1" si="206"/>
        <v>0</v>
      </c>
      <c r="GV99" s="1757">
        <f t="shared" ca="1" si="206"/>
        <v>0</v>
      </c>
      <c r="GW99" s="1757">
        <f t="shared" ca="1" si="206"/>
        <v>0</v>
      </c>
      <c r="GX99" s="1757">
        <f t="shared" ca="1" si="206"/>
        <v>0</v>
      </c>
      <c r="GY99" s="1757">
        <f t="shared" ca="1" si="206"/>
        <v>0</v>
      </c>
      <c r="GZ99" s="1757">
        <f t="shared" ca="1" si="206"/>
        <v>0</v>
      </c>
      <c r="HA99" s="1757">
        <f t="shared" ca="1" si="206"/>
        <v>0</v>
      </c>
      <c r="HB99" s="1757">
        <f t="shared" ca="1" si="206"/>
        <v>0</v>
      </c>
      <c r="HC99" s="1757">
        <f t="shared" ca="1" si="206"/>
        <v>0</v>
      </c>
      <c r="HD99" s="1757">
        <f t="shared" ca="1" si="207"/>
        <v>0</v>
      </c>
      <c r="HE99" s="1757">
        <f t="shared" ca="1" si="207"/>
        <v>0</v>
      </c>
      <c r="HF99" s="1757">
        <f t="shared" ca="1" si="207"/>
        <v>0</v>
      </c>
      <c r="HG99" s="1757">
        <f t="shared" ca="1" si="207"/>
        <v>0</v>
      </c>
      <c r="HH99" s="1757">
        <f t="shared" ca="1" si="207"/>
        <v>0</v>
      </c>
      <c r="HI99" s="1757">
        <f t="shared" ca="1" si="207"/>
        <v>0</v>
      </c>
      <c r="HJ99" s="1757">
        <f t="shared" ca="1" si="207"/>
        <v>0</v>
      </c>
      <c r="HK99" s="1757">
        <f t="shared" ca="1" si="207"/>
        <v>0</v>
      </c>
      <c r="HL99" s="1757">
        <f t="shared" ca="1" si="207"/>
        <v>0</v>
      </c>
      <c r="HM99" s="1757">
        <f t="shared" ca="1" si="207"/>
        <v>0</v>
      </c>
      <c r="HN99" s="1757">
        <f t="shared" ca="1" si="208"/>
        <v>0</v>
      </c>
      <c r="HO99" s="1757">
        <f t="shared" ca="1" si="208"/>
        <v>0</v>
      </c>
      <c r="HP99" s="1757">
        <f t="shared" ca="1" si="208"/>
        <v>0</v>
      </c>
      <c r="HQ99" s="1757">
        <f t="shared" ca="1" si="208"/>
        <v>0</v>
      </c>
      <c r="HR99" s="1757">
        <f t="shared" ca="1" si="208"/>
        <v>0</v>
      </c>
      <c r="HS99" s="1757">
        <f t="shared" ca="1" si="208"/>
        <v>0</v>
      </c>
      <c r="HT99" s="1757">
        <f t="shared" ca="1" si="208"/>
        <v>0</v>
      </c>
      <c r="HU99" s="1757">
        <f t="shared" ca="1" si="208"/>
        <v>0</v>
      </c>
      <c r="HV99" s="1757">
        <f t="shared" ca="1" si="208"/>
        <v>0</v>
      </c>
      <c r="HW99" s="1757">
        <f t="shared" ca="1" si="208"/>
        <v>0</v>
      </c>
      <c r="HX99" s="1757">
        <f t="shared" ca="1" si="209"/>
        <v>0</v>
      </c>
      <c r="HY99" s="1757">
        <f t="shared" ca="1" si="209"/>
        <v>0</v>
      </c>
      <c r="HZ99" s="1757">
        <f t="shared" ca="1" si="209"/>
        <v>0</v>
      </c>
      <c r="IA99" s="1757">
        <f t="shared" ca="1" si="209"/>
        <v>0</v>
      </c>
      <c r="IB99" s="1757">
        <f t="shared" ca="1" si="209"/>
        <v>0</v>
      </c>
      <c r="IC99" s="1757">
        <f t="shared" ca="1" si="209"/>
        <v>0</v>
      </c>
      <c r="ID99" s="1757">
        <f t="shared" ca="1" si="209"/>
        <v>0</v>
      </c>
      <c r="IE99" s="1757">
        <f t="shared" ca="1" si="209"/>
        <v>0</v>
      </c>
      <c r="IF99" s="1757">
        <f t="shared" ca="1" si="209"/>
        <v>0</v>
      </c>
      <c r="IG99" s="1757">
        <f t="shared" ca="1" si="209"/>
        <v>0</v>
      </c>
      <c r="IH99" s="1757">
        <f t="shared" ca="1" si="210"/>
        <v>0</v>
      </c>
      <c r="II99" s="1757">
        <f t="shared" ca="1" si="210"/>
        <v>0</v>
      </c>
      <c r="IJ99" s="1757">
        <f t="shared" ca="1" si="210"/>
        <v>0</v>
      </c>
      <c r="IK99" s="1757">
        <f t="shared" ca="1" si="210"/>
        <v>0</v>
      </c>
      <c r="IL99" s="1757">
        <f t="shared" ca="1" si="210"/>
        <v>0</v>
      </c>
      <c r="IM99" s="1757">
        <f t="shared" ca="1" si="210"/>
        <v>0</v>
      </c>
      <c r="IN99" s="1757">
        <f t="shared" ca="1" si="210"/>
        <v>0</v>
      </c>
      <c r="IO99" s="1757">
        <f t="shared" ca="1" si="210"/>
        <v>0</v>
      </c>
      <c r="IP99" s="1757">
        <f t="shared" ca="1" si="210"/>
        <v>0</v>
      </c>
      <c r="IQ99" s="1757">
        <f t="shared" ca="1" si="210"/>
        <v>0</v>
      </c>
      <c r="IR99" s="1757">
        <f t="shared" ca="1" si="211"/>
        <v>0</v>
      </c>
      <c r="IS99" s="1757">
        <f t="shared" ca="1" si="211"/>
        <v>0</v>
      </c>
      <c r="IT99" s="1757">
        <f t="shared" ca="1" si="211"/>
        <v>0</v>
      </c>
      <c r="IU99" s="1757">
        <f t="shared" ca="1" si="211"/>
        <v>0</v>
      </c>
      <c r="IV99" s="1757">
        <f t="shared" ca="1" si="211"/>
        <v>0</v>
      </c>
      <c r="IW99" s="1757">
        <f t="shared" ca="1" si="211"/>
        <v>0</v>
      </c>
      <c r="IX99" s="1757">
        <f t="shared" ca="1" si="211"/>
        <v>0</v>
      </c>
      <c r="IY99" s="1757">
        <f t="shared" ca="1" si="211"/>
        <v>0</v>
      </c>
      <c r="IZ99" s="1757">
        <f t="shared" ca="1" si="211"/>
        <v>0</v>
      </c>
      <c r="JA99" s="1757">
        <f t="shared" ca="1" si="211"/>
        <v>0</v>
      </c>
      <c r="JB99" s="1757">
        <f t="shared" ca="1" si="212"/>
        <v>0</v>
      </c>
      <c r="JC99" s="1757">
        <f t="shared" ca="1" si="212"/>
        <v>0</v>
      </c>
      <c r="JD99" s="1757">
        <f t="shared" ca="1" si="212"/>
        <v>0</v>
      </c>
      <c r="JE99" s="1757">
        <f t="shared" ca="1" si="212"/>
        <v>0</v>
      </c>
      <c r="JF99" s="1757">
        <f t="shared" ca="1" si="212"/>
        <v>0</v>
      </c>
      <c r="JG99" s="1757">
        <f t="shared" ca="1" si="212"/>
        <v>0</v>
      </c>
      <c r="JH99" s="1757">
        <f t="shared" ca="1" si="212"/>
        <v>0</v>
      </c>
      <c r="JI99" s="1757">
        <f t="shared" ca="1" si="212"/>
        <v>0</v>
      </c>
      <c r="JJ99" s="1757">
        <f t="shared" ca="1" si="212"/>
        <v>0</v>
      </c>
      <c r="JK99" s="1757">
        <f t="shared" ca="1" si="212"/>
        <v>0</v>
      </c>
      <c r="JL99" s="1757">
        <f t="shared" ca="1" si="213"/>
        <v>0</v>
      </c>
      <c r="JM99" s="1757">
        <f t="shared" ca="1" si="213"/>
        <v>0</v>
      </c>
      <c r="JN99" s="1757">
        <f t="shared" ca="1" si="213"/>
        <v>0</v>
      </c>
      <c r="JO99" s="1757">
        <f t="shared" ca="1" si="213"/>
        <v>0</v>
      </c>
      <c r="JP99" s="1757">
        <f t="shared" ca="1" si="213"/>
        <v>0</v>
      </c>
      <c r="JQ99" s="1757">
        <f t="shared" ca="1" si="213"/>
        <v>0</v>
      </c>
      <c r="JR99" s="1757">
        <f t="shared" ca="1" si="213"/>
        <v>0</v>
      </c>
      <c r="JS99" s="1757">
        <f t="shared" ca="1" si="213"/>
        <v>0</v>
      </c>
      <c r="JT99" s="1757">
        <f t="shared" ca="1" si="213"/>
        <v>0</v>
      </c>
      <c r="JU99" s="1757">
        <f t="shared" ca="1" si="213"/>
        <v>0</v>
      </c>
      <c r="JV99" s="1757">
        <f t="shared" ca="1" si="214"/>
        <v>0</v>
      </c>
      <c r="JW99" s="1757">
        <f t="shared" ca="1" si="214"/>
        <v>0</v>
      </c>
      <c r="JX99" s="1757">
        <f t="shared" ca="1" si="214"/>
        <v>0</v>
      </c>
      <c r="JY99" s="1757">
        <f t="shared" ca="1" si="214"/>
        <v>0</v>
      </c>
      <c r="JZ99" s="1757">
        <f t="shared" ca="1" si="214"/>
        <v>0</v>
      </c>
      <c r="KA99" s="1757">
        <f t="shared" ca="1" si="214"/>
        <v>0</v>
      </c>
      <c r="KB99" s="1757">
        <f t="shared" ca="1" si="214"/>
        <v>0</v>
      </c>
      <c r="KC99" s="1757">
        <f t="shared" ca="1" si="214"/>
        <v>0</v>
      </c>
      <c r="KD99" s="1757">
        <f t="shared" ca="1" si="214"/>
        <v>0</v>
      </c>
      <c r="KE99" s="1757">
        <f t="shared" ca="1" si="214"/>
        <v>0</v>
      </c>
      <c r="KF99" s="1757">
        <f t="shared" ca="1" si="215"/>
        <v>0</v>
      </c>
      <c r="KG99" s="1757">
        <f t="shared" ca="1" si="215"/>
        <v>0</v>
      </c>
      <c r="KH99" s="1757">
        <f t="shared" ca="1" si="215"/>
        <v>0</v>
      </c>
      <c r="KI99" s="1757">
        <f t="shared" ca="1" si="215"/>
        <v>0</v>
      </c>
      <c r="KJ99" s="1757">
        <f t="shared" ca="1" si="215"/>
        <v>0</v>
      </c>
      <c r="KK99" s="1757">
        <f t="shared" ca="1" si="215"/>
        <v>0</v>
      </c>
      <c r="KL99" s="1757">
        <f t="shared" ca="1" si="215"/>
        <v>0</v>
      </c>
      <c r="KM99" s="1757">
        <f t="shared" ca="1" si="215"/>
        <v>0</v>
      </c>
      <c r="KN99" s="1757">
        <f t="shared" ca="1" si="215"/>
        <v>0</v>
      </c>
      <c r="KO99" s="1757">
        <f t="shared" ca="1" si="215"/>
        <v>0</v>
      </c>
      <c r="KP99" s="1757">
        <f t="shared" ca="1" si="216"/>
        <v>0</v>
      </c>
      <c r="KQ99" s="1757">
        <f t="shared" ca="1" si="216"/>
        <v>0</v>
      </c>
      <c r="KR99" s="1757">
        <f t="shared" ca="1" si="216"/>
        <v>0</v>
      </c>
      <c r="KS99" s="1757">
        <f t="shared" ca="1" si="216"/>
        <v>0</v>
      </c>
      <c r="KT99" s="1757">
        <f t="shared" ca="1" si="216"/>
        <v>0</v>
      </c>
      <c r="KU99" s="1757">
        <f t="shared" ca="1" si="216"/>
        <v>0</v>
      </c>
      <c r="KV99" s="1757">
        <f t="shared" ca="1" si="216"/>
        <v>0</v>
      </c>
      <c r="KW99" s="1757">
        <f t="shared" ca="1" si="216"/>
        <v>0</v>
      </c>
      <c r="KX99" s="1757">
        <f t="shared" ca="1" si="216"/>
        <v>0</v>
      </c>
      <c r="KY99" s="1757">
        <f t="shared" ca="1" si="216"/>
        <v>0</v>
      </c>
      <c r="KZ99" s="1757">
        <f t="shared" ca="1" si="217"/>
        <v>0</v>
      </c>
      <c r="LA99" s="1757">
        <f t="shared" ca="1" si="217"/>
        <v>0</v>
      </c>
      <c r="LB99" s="1757">
        <f t="shared" ca="1" si="217"/>
        <v>0</v>
      </c>
      <c r="LC99" s="1757">
        <f t="shared" ca="1" si="217"/>
        <v>0</v>
      </c>
      <c r="LD99" s="1757">
        <f t="shared" ca="1" si="217"/>
        <v>0</v>
      </c>
      <c r="LE99" s="1757">
        <f t="shared" ca="1" si="217"/>
        <v>0</v>
      </c>
      <c r="LF99" s="1757">
        <f t="shared" ca="1" si="217"/>
        <v>0</v>
      </c>
      <c r="LG99" s="1757">
        <f t="shared" ca="1" si="217"/>
        <v>0</v>
      </c>
      <c r="LH99" s="1757">
        <f t="shared" ca="1" si="217"/>
        <v>0</v>
      </c>
      <c r="LI99" s="1757">
        <f t="shared" ca="1" si="217"/>
        <v>0</v>
      </c>
      <c r="LJ99" s="1757">
        <f t="shared" ca="1" si="218"/>
        <v>0</v>
      </c>
      <c r="LK99" s="1757">
        <f t="shared" ca="1" si="218"/>
        <v>0</v>
      </c>
      <c r="LL99" s="1757">
        <f t="shared" ca="1" si="218"/>
        <v>0</v>
      </c>
      <c r="LM99" s="1757">
        <f t="shared" ca="1" si="218"/>
        <v>0</v>
      </c>
      <c r="LN99" s="1757">
        <f t="shared" ca="1" si="218"/>
        <v>0</v>
      </c>
      <c r="LO99" s="1757">
        <f t="shared" ca="1" si="218"/>
        <v>0</v>
      </c>
      <c r="LP99" s="1758">
        <f t="shared" ca="1" si="218"/>
        <v>0</v>
      </c>
      <c r="LQ99" s="604"/>
    </row>
    <row r="100" spans="1:329" ht="12.75" customHeight="1" x14ac:dyDescent="0.3">
      <c r="A100" s="279"/>
      <c r="B100" s="41"/>
      <c r="C100" s="82"/>
      <c r="D100" s="41"/>
      <c r="E100" s="9"/>
      <c r="F100" s="9"/>
      <c r="G100" s="9"/>
      <c r="H100" s="10"/>
      <c r="I100" s="10"/>
      <c r="J100" s="10"/>
      <c r="K100" s="10"/>
      <c r="L100" s="10"/>
      <c r="M100" s="10"/>
      <c r="N100" s="9"/>
      <c r="O100" s="9"/>
      <c r="P100" s="44"/>
      <c r="Q100" s="44"/>
      <c r="R100" s="9"/>
      <c r="S100" s="9"/>
      <c r="T100" s="9"/>
      <c r="U100" s="9"/>
      <c r="V100" s="9"/>
      <c r="W100" s="9"/>
      <c r="X100" s="9"/>
      <c r="Y100" s="9"/>
      <c r="Z100" s="9"/>
      <c r="AA100" s="9"/>
      <c r="AB100" s="9"/>
      <c r="AC100" s="9"/>
      <c r="AD100" s="9"/>
      <c r="AE100" s="9"/>
      <c r="AF100" s="9"/>
      <c r="AG100" s="9"/>
      <c r="AH100" s="2514"/>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113"/>
      <c r="DI100" s="113"/>
      <c r="DJ100" s="113"/>
      <c r="DK100" s="118"/>
      <c r="DL100" s="118"/>
      <c r="DM100" s="118"/>
      <c r="DN100" s="118"/>
      <c r="DO100" s="118"/>
      <c r="DP100" s="118"/>
      <c r="DQ100" s="118"/>
      <c r="DR100" s="118"/>
      <c r="DS100" s="118"/>
      <c r="DT100" s="118"/>
      <c r="DU100" s="118"/>
      <c r="DV100" s="118"/>
      <c r="DW100" s="118"/>
      <c r="DX100" s="118"/>
      <c r="DY100" s="118"/>
      <c r="DZ100" s="118"/>
      <c r="EA100" s="118"/>
      <c r="EB100" s="118"/>
      <c r="EC100" s="118"/>
      <c r="ED100" s="118"/>
      <c r="EE100" s="118"/>
      <c r="EF100" s="118"/>
      <c r="EG100" s="118"/>
      <c r="EH100" s="118"/>
      <c r="EI100" s="118"/>
      <c r="EJ100" s="118"/>
      <c r="EK100" s="118"/>
      <c r="EL100" s="118"/>
      <c r="EM100" s="118"/>
      <c r="EN100" s="118"/>
      <c r="EO100" s="118"/>
      <c r="EP100" s="118"/>
      <c r="EQ100" s="118"/>
      <c r="ER100" s="118"/>
      <c r="ES100" s="118"/>
      <c r="ET100" s="118"/>
      <c r="EU100" s="118"/>
      <c r="EV100" s="118"/>
      <c r="EW100" s="118"/>
      <c r="EX100" s="118"/>
      <c r="EY100" s="118"/>
      <c r="EZ100" s="118"/>
      <c r="FA100" s="118"/>
      <c r="FB100" s="118"/>
      <c r="FC100" s="118"/>
      <c r="FD100" s="118"/>
      <c r="FE100" s="118"/>
      <c r="FF100" s="118"/>
      <c r="FG100" s="118"/>
      <c r="FH100" s="118"/>
      <c r="FI100" s="180"/>
      <c r="FJ100" s="132"/>
      <c r="FK100" s="132"/>
      <c r="FL100" s="181">
        <f t="shared" ca="1" si="197"/>
        <v>41</v>
      </c>
      <c r="FM100" s="1340">
        <f t="shared" ca="1" si="198"/>
        <v>0</v>
      </c>
      <c r="FN100" s="1341">
        <f t="shared" ca="1" si="199"/>
        <v>0</v>
      </c>
      <c r="FO100" s="1342">
        <f t="shared" ca="1" si="200"/>
        <v>40</v>
      </c>
      <c r="FP100" s="1343">
        <f t="shared" ca="1" si="201"/>
        <v>0</v>
      </c>
      <c r="FQ100" s="1344">
        <f t="shared" si="202"/>
        <v>40</v>
      </c>
      <c r="FR100" s="1344">
        <f t="shared" si="203"/>
        <v>50</v>
      </c>
      <c r="FS100" s="1345">
        <f t="shared" si="204"/>
        <v>41</v>
      </c>
      <c r="FT100" s="1345"/>
      <c r="FU100" s="1346">
        <f t="shared" ca="1" si="219"/>
        <v>0</v>
      </c>
      <c r="FV100" s="1346"/>
      <c r="FW100" s="1346"/>
      <c r="FX100" s="1347"/>
      <c r="FY100" s="1348"/>
      <c r="FZ100" s="1348"/>
      <c r="GA100" s="1348"/>
      <c r="GB100" s="1349"/>
      <c r="GC100" s="1350"/>
      <c r="GD100" s="1348"/>
      <c r="GE100" s="1348"/>
      <c r="GF100" s="1348"/>
      <c r="GG100" s="1348"/>
      <c r="GH100" s="1348"/>
      <c r="GI100" s="1348"/>
      <c r="GJ100" s="1348"/>
      <c r="GK100" s="1348"/>
      <c r="GL100" s="1348"/>
      <c r="GM100" s="1348"/>
      <c r="GN100" s="3825">
        <f t="shared" ca="1" si="205"/>
        <v>0</v>
      </c>
      <c r="GO100" s="3825"/>
      <c r="GP100" s="3825"/>
      <c r="GQ100" s="3826"/>
      <c r="GR100" s="3675"/>
      <c r="GS100" s="3676"/>
      <c r="GT100" s="1756">
        <f t="shared" ca="1" si="206"/>
        <v>0</v>
      </c>
      <c r="GU100" s="1757">
        <f t="shared" ca="1" si="206"/>
        <v>0</v>
      </c>
      <c r="GV100" s="1757">
        <f t="shared" ca="1" si="206"/>
        <v>0</v>
      </c>
      <c r="GW100" s="1757">
        <f t="shared" ca="1" si="206"/>
        <v>0</v>
      </c>
      <c r="GX100" s="1757">
        <f t="shared" ca="1" si="206"/>
        <v>0</v>
      </c>
      <c r="GY100" s="1757">
        <f t="shared" ca="1" si="206"/>
        <v>0</v>
      </c>
      <c r="GZ100" s="1757">
        <f t="shared" ca="1" si="206"/>
        <v>0</v>
      </c>
      <c r="HA100" s="1757">
        <f t="shared" ca="1" si="206"/>
        <v>0</v>
      </c>
      <c r="HB100" s="1757">
        <f t="shared" ca="1" si="206"/>
        <v>0</v>
      </c>
      <c r="HC100" s="1757">
        <f t="shared" ca="1" si="206"/>
        <v>0</v>
      </c>
      <c r="HD100" s="1757">
        <f t="shared" ca="1" si="207"/>
        <v>0</v>
      </c>
      <c r="HE100" s="1757">
        <f t="shared" ca="1" si="207"/>
        <v>0</v>
      </c>
      <c r="HF100" s="1757">
        <f t="shared" ca="1" si="207"/>
        <v>0</v>
      </c>
      <c r="HG100" s="1757">
        <f t="shared" ca="1" si="207"/>
        <v>0</v>
      </c>
      <c r="HH100" s="1757">
        <f t="shared" ca="1" si="207"/>
        <v>0</v>
      </c>
      <c r="HI100" s="1757">
        <f t="shared" ca="1" si="207"/>
        <v>0</v>
      </c>
      <c r="HJ100" s="1757">
        <f t="shared" ca="1" si="207"/>
        <v>0</v>
      </c>
      <c r="HK100" s="1757">
        <f t="shared" ca="1" si="207"/>
        <v>0</v>
      </c>
      <c r="HL100" s="1757">
        <f t="shared" ca="1" si="207"/>
        <v>0</v>
      </c>
      <c r="HM100" s="1757">
        <f t="shared" ca="1" si="207"/>
        <v>0</v>
      </c>
      <c r="HN100" s="1757">
        <f t="shared" ca="1" si="208"/>
        <v>0</v>
      </c>
      <c r="HO100" s="1757">
        <f t="shared" ca="1" si="208"/>
        <v>0</v>
      </c>
      <c r="HP100" s="1757">
        <f t="shared" ca="1" si="208"/>
        <v>0</v>
      </c>
      <c r="HQ100" s="1757">
        <f t="shared" ca="1" si="208"/>
        <v>0</v>
      </c>
      <c r="HR100" s="1757">
        <f t="shared" ca="1" si="208"/>
        <v>0</v>
      </c>
      <c r="HS100" s="1757">
        <f t="shared" ca="1" si="208"/>
        <v>0</v>
      </c>
      <c r="HT100" s="1757">
        <f t="shared" ca="1" si="208"/>
        <v>0</v>
      </c>
      <c r="HU100" s="1757">
        <f t="shared" ca="1" si="208"/>
        <v>0</v>
      </c>
      <c r="HV100" s="1757">
        <f t="shared" ca="1" si="208"/>
        <v>0</v>
      </c>
      <c r="HW100" s="1757">
        <f t="shared" ca="1" si="208"/>
        <v>0</v>
      </c>
      <c r="HX100" s="1757">
        <f t="shared" ca="1" si="209"/>
        <v>0</v>
      </c>
      <c r="HY100" s="1757">
        <f t="shared" ca="1" si="209"/>
        <v>0</v>
      </c>
      <c r="HZ100" s="1757">
        <f t="shared" ca="1" si="209"/>
        <v>0</v>
      </c>
      <c r="IA100" s="1757">
        <f t="shared" ca="1" si="209"/>
        <v>0</v>
      </c>
      <c r="IB100" s="1757">
        <f t="shared" ca="1" si="209"/>
        <v>0</v>
      </c>
      <c r="IC100" s="1757">
        <f t="shared" ca="1" si="209"/>
        <v>0</v>
      </c>
      <c r="ID100" s="1757">
        <f t="shared" ca="1" si="209"/>
        <v>0</v>
      </c>
      <c r="IE100" s="1757">
        <f t="shared" ca="1" si="209"/>
        <v>0</v>
      </c>
      <c r="IF100" s="1757">
        <f t="shared" ca="1" si="209"/>
        <v>0</v>
      </c>
      <c r="IG100" s="1757">
        <f t="shared" ca="1" si="209"/>
        <v>0</v>
      </c>
      <c r="IH100" s="1757">
        <f t="shared" ca="1" si="210"/>
        <v>0</v>
      </c>
      <c r="II100" s="1757">
        <f t="shared" ca="1" si="210"/>
        <v>0</v>
      </c>
      <c r="IJ100" s="1757">
        <f t="shared" ca="1" si="210"/>
        <v>0</v>
      </c>
      <c r="IK100" s="1757">
        <f t="shared" ca="1" si="210"/>
        <v>0</v>
      </c>
      <c r="IL100" s="1757">
        <f t="shared" ca="1" si="210"/>
        <v>0</v>
      </c>
      <c r="IM100" s="1757">
        <f t="shared" ca="1" si="210"/>
        <v>0</v>
      </c>
      <c r="IN100" s="1757">
        <f t="shared" ca="1" si="210"/>
        <v>0</v>
      </c>
      <c r="IO100" s="1757">
        <f t="shared" ca="1" si="210"/>
        <v>0</v>
      </c>
      <c r="IP100" s="1757">
        <f t="shared" ca="1" si="210"/>
        <v>0</v>
      </c>
      <c r="IQ100" s="1757">
        <f t="shared" ca="1" si="210"/>
        <v>0</v>
      </c>
      <c r="IR100" s="1757">
        <f t="shared" ca="1" si="211"/>
        <v>0</v>
      </c>
      <c r="IS100" s="1757">
        <f t="shared" ca="1" si="211"/>
        <v>0</v>
      </c>
      <c r="IT100" s="1757">
        <f t="shared" ca="1" si="211"/>
        <v>0</v>
      </c>
      <c r="IU100" s="1757">
        <f t="shared" ca="1" si="211"/>
        <v>0</v>
      </c>
      <c r="IV100" s="1757">
        <f t="shared" ca="1" si="211"/>
        <v>0</v>
      </c>
      <c r="IW100" s="1757">
        <f t="shared" ca="1" si="211"/>
        <v>0</v>
      </c>
      <c r="IX100" s="1757">
        <f t="shared" ca="1" si="211"/>
        <v>0</v>
      </c>
      <c r="IY100" s="1757">
        <f t="shared" ca="1" si="211"/>
        <v>0</v>
      </c>
      <c r="IZ100" s="1757">
        <f t="shared" ca="1" si="211"/>
        <v>0</v>
      </c>
      <c r="JA100" s="1757">
        <f t="shared" ca="1" si="211"/>
        <v>0</v>
      </c>
      <c r="JB100" s="1757">
        <f t="shared" ca="1" si="212"/>
        <v>0</v>
      </c>
      <c r="JC100" s="1757">
        <f t="shared" ca="1" si="212"/>
        <v>0</v>
      </c>
      <c r="JD100" s="1757">
        <f t="shared" ca="1" si="212"/>
        <v>0</v>
      </c>
      <c r="JE100" s="1757">
        <f t="shared" ca="1" si="212"/>
        <v>0</v>
      </c>
      <c r="JF100" s="1757">
        <f t="shared" ca="1" si="212"/>
        <v>0</v>
      </c>
      <c r="JG100" s="1757">
        <f t="shared" ca="1" si="212"/>
        <v>0</v>
      </c>
      <c r="JH100" s="1757">
        <f t="shared" ca="1" si="212"/>
        <v>0</v>
      </c>
      <c r="JI100" s="1757">
        <f t="shared" ca="1" si="212"/>
        <v>0</v>
      </c>
      <c r="JJ100" s="1757">
        <f t="shared" ca="1" si="212"/>
        <v>0</v>
      </c>
      <c r="JK100" s="1757">
        <f t="shared" ca="1" si="212"/>
        <v>0</v>
      </c>
      <c r="JL100" s="1757">
        <f t="shared" ca="1" si="213"/>
        <v>0</v>
      </c>
      <c r="JM100" s="1757">
        <f t="shared" ca="1" si="213"/>
        <v>0</v>
      </c>
      <c r="JN100" s="1757">
        <f t="shared" ca="1" si="213"/>
        <v>0</v>
      </c>
      <c r="JO100" s="1757">
        <f t="shared" ca="1" si="213"/>
        <v>0</v>
      </c>
      <c r="JP100" s="1757">
        <f t="shared" ca="1" si="213"/>
        <v>0</v>
      </c>
      <c r="JQ100" s="1757">
        <f t="shared" ca="1" si="213"/>
        <v>0</v>
      </c>
      <c r="JR100" s="1757">
        <f t="shared" ca="1" si="213"/>
        <v>0</v>
      </c>
      <c r="JS100" s="1757">
        <f t="shared" ca="1" si="213"/>
        <v>0</v>
      </c>
      <c r="JT100" s="1757">
        <f t="shared" ca="1" si="213"/>
        <v>0</v>
      </c>
      <c r="JU100" s="1757">
        <f t="shared" ca="1" si="213"/>
        <v>0</v>
      </c>
      <c r="JV100" s="1757">
        <f t="shared" ca="1" si="214"/>
        <v>0</v>
      </c>
      <c r="JW100" s="1757">
        <f t="shared" ca="1" si="214"/>
        <v>0</v>
      </c>
      <c r="JX100" s="1757">
        <f t="shared" ca="1" si="214"/>
        <v>0</v>
      </c>
      <c r="JY100" s="1757">
        <f t="shared" ca="1" si="214"/>
        <v>0</v>
      </c>
      <c r="JZ100" s="1757">
        <f t="shared" ca="1" si="214"/>
        <v>0</v>
      </c>
      <c r="KA100" s="1757">
        <f t="shared" ca="1" si="214"/>
        <v>0</v>
      </c>
      <c r="KB100" s="1757">
        <f t="shared" ca="1" si="214"/>
        <v>0</v>
      </c>
      <c r="KC100" s="1757">
        <f t="shared" ca="1" si="214"/>
        <v>0</v>
      </c>
      <c r="KD100" s="1757">
        <f t="shared" ca="1" si="214"/>
        <v>0</v>
      </c>
      <c r="KE100" s="1757">
        <f t="shared" ca="1" si="214"/>
        <v>0</v>
      </c>
      <c r="KF100" s="1757">
        <f t="shared" ca="1" si="215"/>
        <v>0</v>
      </c>
      <c r="KG100" s="1757">
        <f t="shared" ca="1" si="215"/>
        <v>0</v>
      </c>
      <c r="KH100" s="1757">
        <f t="shared" ca="1" si="215"/>
        <v>0</v>
      </c>
      <c r="KI100" s="1757">
        <f t="shared" ca="1" si="215"/>
        <v>0</v>
      </c>
      <c r="KJ100" s="1757">
        <f t="shared" ca="1" si="215"/>
        <v>0</v>
      </c>
      <c r="KK100" s="1757">
        <f t="shared" ca="1" si="215"/>
        <v>0</v>
      </c>
      <c r="KL100" s="1757">
        <f t="shared" ca="1" si="215"/>
        <v>0</v>
      </c>
      <c r="KM100" s="1757">
        <f t="shared" ca="1" si="215"/>
        <v>0</v>
      </c>
      <c r="KN100" s="1757">
        <f t="shared" ca="1" si="215"/>
        <v>0</v>
      </c>
      <c r="KO100" s="1757">
        <f t="shared" ca="1" si="215"/>
        <v>0</v>
      </c>
      <c r="KP100" s="1757">
        <f t="shared" ca="1" si="216"/>
        <v>0</v>
      </c>
      <c r="KQ100" s="1757">
        <f t="shared" ca="1" si="216"/>
        <v>0</v>
      </c>
      <c r="KR100" s="1757">
        <f t="shared" ca="1" si="216"/>
        <v>0</v>
      </c>
      <c r="KS100" s="1757">
        <f t="shared" ca="1" si="216"/>
        <v>0</v>
      </c>
      <c r="KT100" s="1757">
        <f t="shared" ca="1" si="216"/>
        <v>0</v>
      </c>
      <c r="KU100" s="1757">
        <f t="shared" ca="1" si="216"/>
        <v>0</v>
      </c>
      <c r="KV100" s="1757">
        <f t="shared" ca="1" si="216"/>
        <v>0</v>
      </c>
      <c r="KW100" s="1757">
        <f t="shared" ca="1" si="216"/>
        <v>0</v>
      </c>
      <c r="KX100" s="1757">
        <f t="shared" ca="1" si="216"/>
        <v>0</v>
      </c>
      <c r="KY100" s="1757">
        <f t="shared" ca="1" si="216"/>
        <v>0</v>
      </c>
      <c r="KZ100" s="1757">
        <f t="shared" ca="1" si="217"/>
        <v>0</v>
      </c>
      <c r="LA100" s="1757">
        <f t="shared" ca="1" si="217"/>
        <v>0</v>
      </c>
      <c r="LB100" s="1757">
        <f t="shared" ca="1" si="217"/>
        <v>0</v>
      </c>
      <c r="LC100" s="1757">
        <f t="shared" ca="1" si="217"/>
        <v>0</v>
      </c>
      <c r="LD100" s="1757">
        <f t="shared" ca="1" si="217"/>
        <v>0</v>
      </c>
      <c r="LE100" s="1757">
        <f t="shared" ca="1" si="217"/>
        <v>0</v>
      </c>
      <c r="LF100" s="1757">
        <f t="shared" ca="1" si="217"/>
        <v>0</v>
      </c>
      <c r="LG100" s="1757">
        <f t="shared" ca="1" si="217"/>
        <v>0</v>
      </c>
      <c r="LH100" s="1757">
        <f t="shared" ca="1" si="217"/>
        <v>0</v>
      </c>
      <c r="LI100" s="1757">
        <f t="shared" ca="1" si="217"/>
        <v>0</v>
      </c>
      <c r="LJ100" s="1757">
        <f t="shared" ca="1" si="218"/>
        <v>0</v>
      </c>
      <c r="LK100" s="1757">
        <f t="shared" ca="1" si="218"/>
        <v>0</v>
      </c>
      <c r="LL100" s="1757">
        <f t="shared" ca="1" si="218"/>
        <v>0</v>
      </c>
      <c r="LM100" s="1757">
        <f t="shared" ca="1" si="218"/>
        <v>0</v>
      </c>
      <c r="LN100" s="1757">
        <f t="shared" ca="1" si="218"/>
        <v>0</v>
      </c>
      <c r="LO100" s="1757">
        <f t="shared" ca="1" si="218"/>
        <v>0</v>
      </c>
      <c r="LP100" s="1758">
        <f t="shared" ca="1" si="218"/>
        <v>0</v>
      </c>
      <c r="LQ100" s="604"/>
    </row>
    <row r="101" spans="1:329" ht="12.75" customHeight="1" x14ac:dyDescent="0.3">
      <c r="A101" s="279"/>
      <c r="B101" s="41"/>
      <c r="C101" s="82"/>
      <c r="D101" s="41"/>
      <c r="E101" s="9"/>
      <c r="F101" s="9"/>
      <c r="G101" s="9"/>
      <c r="H101" s="10"/>
      <c r="I101" s="10"/>
      <c r="J101" s="10"/>
      <c r="K101" s="10"/>
      <c r="L101" s="10"/>
      <c r="M101" s="10"/>
      <c r="N101" s="9"/>
      <c r="O101" s="9"/>
      <c r="P101" s="44"/>
      <c r="Q101" s="44"/>
      <c r="R101" s="9"/>
      <c r="S101" s="9"/>
      <c r="T101" s="9"/>
      <c r="U101" s="9"/>
      <c r="V101" s="9"/>
      <c r="W101" s="9"/>
      <c r="X101" s="9"/>
      <c r="Y101" s="9"/>
      <c r="Z101" s="9"/>
      <c r="AA101" s="9"/>
      <c r="AB101" s="9"/>
      <c r="AC101" s="9"/>
      <c r="AD101" s="9"/>
      <c r="AE101" s="9"/>
      <c r="AF101" s="9"/>
      <c r="AG101" s="9"/>
      <c r="AH101" s="2514"/>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113"/>
      <c r="DI101" s="113"/>
      <c r="DJ101" s="113"/>
      <c r="DK101" s="118"/>
      <c r="DL101" s="118"/>
      <c r="DM101" s="118"/>
      <c r="DN101" s="118"/>
      <c r="DO101" s="118"/>
      <c r="DP101" s="118"/>
      <c r="DQ101" s="118"/>
      <c r="DR101" s="118"/>
      <c r="DS101" s="118"/>
      <c r="DT101" s="118"/>
      <c r="DU101" s="118"/>
      <c r="DV101" s="118"/>
      <c r="DW101" s="118"/>
      <c r="DX101" s="118"/>
      <c r="DY101" s="118"/>
      <c r="DZ101" s="118"/>
      <c r="EA101" s="118"/>
      <c r="EB101" s="118"/>
      <c r="EC101" s="118"/>
      <c r="ED101" s="118"/>
      <c r="EE101" s="118"/>
      <c r="EF101" s="118"/>
      <c r="EG101" s="118"/>
      <c r="EH101" s="118"/>
      <c r="EI101" s="118"/>
      <c r="EJ101" s="118"/>
      <c r="EK101" s="118"/>
      <c r="EL101" s="118"/>
      <c r="EM101" s="118"/>
      <c r="EN101" s="118"/>
      <c r="EO101" s="118"/>
      <c r="EP101" s="118"/>
      <c r="EQ101" s="118"/>
      <c r="ER101" s="118"/>
      <c r="ES101" s="118"/>
      <c r="ET101" s="118"/>
      <c r="EU101" s="118"/>
      <c r="EV101" s="118"/>
      <c r="EW101" s="118"/>
      <c r="EX101" s="118"/>
      <c r="EY101" s="118"/>
      <c r="EZ101" s="118"/>
      <c r="FA101" s="118"/>
      <c r="FB101" s="118"/>
      <c r="FC101" s="118"/>
      <c r="FD101" s="118"/>
      <c r="FE101" s="118"/>
      <c r="FF101" s="118"/>
      <c r="FG101" s="118"/>
      <c r="FH101" s="118"/>
      <c r="FI101" s="180"/>
      <c r="FJ101" s="132"/>
      <c r="FK101" s="132"/>
      <c r="FL101" s="181">
        <f t="shared" ca="1" si="197"/>
        <v>40</v>
      </c>
      <c r="FM101" s="1340">
        <f t="shared" ca="1" si="198"/>
        <v>0</v>
      </c>
      <c r="FN101" s="1341">
        <f t="shared" ca="1" si="199"/>
        <v>0</v>
      </c>
      <c r="FO101" s="1342">
        <f t="shared" ca="1" si="200"/>
        <v>39</v>
      </c>
      <c r="FP101" s="1343">
        <f t="shared" ca="1" si="201"/>
        <v>0</v>
      </c>
      <c r="FQ101" s="1344">
        <f t="shared" si="202"/>
        <v>40</v>
      </c>
      <c r="FR101" s="1344">
        <f t="shared" si="203"/>
        <v>50</v>
      </c>
      <c r="FS101" s="1345">
        <f t="shared" si="204"/>
        <v>40</v>
      </c>
      <c r="FT101" s="1345"/>
      <c r="FU101" s="1346">
        <f t="shared" ca="1" si="219"/>
        <v>0</v>
      </c>
      <c r="FV101" s="1346"/>
      <c r="FW101" s="1346"/>
      <c r="FX101" s="1347"/>
      <c r="FY101" s="1348"/>
      <c r="FZ101" s="1348"/>
      <c r="GA101" s="1348"/>
      <c r="GB101" s="1349"/>
      <c r="GC101" s="1350"/>
      <c r="GD101" s="1348"/>
      <c r="GE101" s="1348"/>
      <c r="GF101" s="1348"/>
      <c r="GG101" s="1348"/>
      <c r="GH101" s="1348"/>
      <c r="GI101" s="1348"/>
      <c r="GJ101" s="1348"/>
      <c r="GK101" s="1348"/>
      <c r="GL101" s="1348"/>
      <c r="GM101" s="1348"/>
      <c r="GN101" s="3825">
        <f t="shared" ca="1" si="205"/>
        <v>0</v>
      </c>
      <c r="GO101" s="3825"/>
      <c r="GP101" s="3825"/>
      <c r="GQ101" s="3826"/>
      <c r="GR101" s="3675"/>
      <c r="GS101" s="3676"/>
      <c r="GT101" s="1756">
        <f t="shared" ref="GT101:HC110" ca="1" si="220">IF(GT$171=0,0,IF($FU101=0,0,SUMPRODUCT(OFFSET($DJ$173:$DJ$365,0,$FO101),GT$173:GT$365,$FS$173:$FS$365,$CY$173:$CY$365)*GT$25))</f>
        <v>0</v>
      </c>
      <c r="GU101" s="1757">
        <f t="shared" ca="1" si="220"/>
        <v>0</v>
      </c>
      <c r="GV101" s="1757">
        <f t="shared" ca="1" si="220"/>
        <v>0</v>
      </c>
      <c r="GW101" s="1757">
        <f t="shared" ca="1" si="220"/>
        <v>0</v>
      </c>
      <c r="GX101" s="1757">
        <f t="shared" ca="1" si="220"/>
        <v>0</v>
      </c>
      <c r="GY101" s="1757">
        <f t="shared" ca="1" si="220"/>
        <v>0</v>
      </c>
      <c r="GZ101" s="1757">
        <f t="shared" ca="1" si="220"/>
        <v>0</v>
      </c>
      <c r="HA101" s="1757">
        <f t="shared" ca="1" si="220"/>
        <v>0</v>
      </c>
      <c r="HB101" s="1757">
        <f t="shared" ca="1" si="220"/>
        <v>0</v>
      </c>
      <c r="HC101" s="1757">
        <f t="shared" ca="1" si="220"/>
        <v>0</v>
      </c>
      <c r="HD101" s="1757">
        <f t="shared" ref="HD101:HM110" ca="1" si="221">IF(HD$171=0,0,IF($FU101=0,0,SUMPRODUCT(OFFSET($DJ$173:$DJ$365,0,$FO101),HD$173:HD$365,$FS$173:$FS$365,$CY$173:$CY$365)*HD$25))</f>
        <v>0</v>
      </c>
      <c r="HE101" s="1757">
        <f t="shared" ca="1" si="221"/>
        <v>0</v>
      </c>
      <c r="HF101" s="1757">
        <f t="shared" ca="1" si="221"/>
        <v>0</v>
      </c>
      <c r="HG101" s="1757">
        <f t="shared" ca="1" si="221"/>
        <v>0</v>
      </c>
      <c r="HH101" s="1757">
        <f t="shared" ca="1" si="221"/>
        <v>0</v>
      </c>
      <c r="HI101" s="1757">
        <f t="shared" ca="1" si="221"/>
        <v>0</v>
      </c>
      <c r="HJ101" s="1757">
        <f t="shared" ca="1" si="221"/>
        <v>0</v>
      </c>
      <c r="HK101" s="1757">
        <f t="shared" ca="1" si="221"/>
        <v>0</v>
      </c>
      <c r="HL101" s="1757">
        <f t="shared" ca="1" si="221"/>
        <v>0</v>
      </c>
      <c r="HM101" s="1757">
        <f t="shared" ca="1" si="221"/>
        <v>0</v>
      </c>
      <c r="HN101" s="1757">
        <f t="shared" ref="HN101:HW110" ca="1" si="222">IF(HN$171=0,0,IF($FU101=0,0,SUMPRODUCT(OFFSET($DJ$173:$DJ$365,0,$FO101),HN$173:HN$365,$FS$173:$FS$365,$CY$173:$CY$365)*HN$25))</f>
        <v>0</v>
      </c>
      <c r="HO101" s="1757">
        <f t="shared" ca="1" si="222"/>
        <v>0</v>
      </c>
      <c r="HP101" s="1757">
        <f t="shared" ca="1" si="222"/>
        <v>0</v>
      </c>
      <c r="HQ101" s="1757">
        <f t="shared" ca="1" si="222"/>
        <v>0</v>
      </c>
      <c r="HR101" s="1757">
        <f t="shared" ca="1" si="222"/>
        <v>0</v>
      </c>
      <c r="HS101" s="1757">
        <f t="shared" ca="1" si="222"/>
        <v>0</v>
      </c>
      <c r="HT101" s="1757">
        <f t="shared" ca="1" si="222"/>
        <v>0</v>
      </c>
      <c r="HU101" s="1757">
        <f t="shared" ca="1" si="222"/>
        <v>0</v>
      </c>
      <c r="HV101" s="1757">
        <f t="shared" ca="1" si="222"/>
        <v>0</v>
      </c>
      <c r="HW101" s="1757">
        <f t="shared" ca="1" si="222"/>
        <v>0</v>
      </c>
      <c r="HX101" s="1757">
        <f t="shared" ref="HX101:IG110" ca="1" si="223">IF(HX$171=0,0,IF($FU101=0,0,SUMPRODUCT(OFFSET($DJ$173:$DJ$365,0,$FO101),HX$173:HX$365,$FS$173:$FS$365,$CY$173:$CY$365)*HX$25))</f>
        <v>0</v>
      </c>
      <c r="HY101" s="1757">
        <f t="shared" ca="1" si="223"/>
        <v>0</v>
      </c>
      <c r="HZ101" s="1757">
        <f t="shared" ca="1" si="223"/>
        <v>0</v>
      </c>
      <c r="IA101" s="1757">
        <f t="shared" ca="1" si="223"/>
        <v>0</v>
      </c>
      <c r="IB101" s="1757">
        <f t="shared" ca="1" si="223"/>
        <v>0</v>
      </c>
      <c r="IC101" s="1757">
        <f t="shared" ca="1" si="223"/>
        <v>0</v>
      </c>
      <c r="ID101" s="1757">
        <f t="shared" ca="1" si="223"/>
        <v>0</v>
      </c>
      <c r="IE101" s="1757">
        <f t="shared" ca="1" si="223"/>
        <v>0</v>
      </c>
      <c r="IF101" s="1757">
        <f t="shared" ca="1" si="223"/>
        <v>0</v>
      </c>
      <c r="IG101" s="1757">
        <f t="shared" ca="1" si="223"/>
        <v>0</v>
      </c>
      <c r="IH101" s="1757">
        <f t="shared" ref="IH101:IQ110" ca="1" si="224">IF(IH$171=0,0,IF($FU101=0,0,SUMPRODUCT(OFFSET($DJ$173:$DJ$365,0,$FO101),IH$173:IH$365,$FS$173:$FS$365,$CY$173:$CY$365)*IH$25))</f>
        <v>0</v>
      </c>
      <c r="II101" s="1757">
        <f t="shared" ca="1" si="224"/>
        <v>0</v>
      </c>
      <c r="IJ101" s="1757">
        <f t="shared" ca="1" si="224"/>
        <v>0</v>
      </c>
      <c r="IK101" s="1757">
        <f t="shared" ca="1" si="224"/>
        <v>0</v>
      </c>
      <c r="IL101" s="1757">
        <f t="shared" ca="1" si="224"/>
        <v>0</v>
      </c>
      <c r="IM101" s="1757">
        <f t="shared" ca="1" si="224"/>
        <v>0</v>
      </c>
      <c r="IN101" s="1757">
        <f t="shared" ca="1" si="224"/>
        <v>0</v>
      </c>
      <c r="IO101" s="1757">
        <f t="shared" ca="1" si="224"/>
        <v>0</v>
      </c>
      <c r="IP101" s="1757">
        <f t="shared" ca="1" si="224"/>
        <v>0</v>
      </c>
      <c r="IQ101" s="1757">
        <f t="shared" ca="1" si="224"/>
        <v>0</v>
      </c>
      <c r="IR101" s="1757">
        <f t="shared" ref="IR101:JA110" ca="1" si="225">IF(IR$171=0,0,IF($FU101=0,0,SUMPRODUCT(OFFSET($DJ$173:$DJ$365,0,$FO101),IR$173:IR$365,$FS$173:$FS$365,$CY$173:$CY$365)*IR$25))</f>
        <v>0</v>
      </c>
      <c r="IS101" s="1757">
        <f t="shared" ca="1" si="225"/>
        <v>0</v>
      </c>
      <c r="IT101" s="1757">
        <f t="shared" ca="1" si="225"/>
        <v>0</v>
      </c>
      <c r="IU101" s="1757">
        <f t="shared" ca="1" si="225"/>
        <v>0</v>
      </c>
      <c r="IV101" s="1757">
        <f t="shared" ca="1" si="225"/>
        <v>0</v>
      </c>
      <c r="IW101" s="1757">
        <f t="shared" ca="1" si="225"/>
        <v>0</v>
      </c>
      <c r="IX101" s="1757">
        <f t="shared" ca="1" si="225"/>
        <v>0</v>
      </c>
      <c r="IY101" s="1757">
        <f t="shared" ca="1" si="225"/>
        <v>0</v>
      </c>
      <c r="IZ101" s="1757">
        <f t="shared" ca="1" si="225"/>
        <v>0</v>
      </c>
      <c r="JA101" s="1757">
        <f t="shared" ca="1" si="225"/>
        <v>0</v>
      </c>
      <c r="JB101" s="1757">
        <f t="shared" ref="JB101:JK110" ca="1" si="226">IF(JB$171=0,0,IF($FU101=0,0,SUMPRODUCT(OFFSET($DJ$173:$DJ$365,0,$FO101),JB$173:JB$365,$FS$173:$FS$365,$CY$173:$CY$365)*JB$25))</f>
        <v>0</v>
      </c>
      <c r="JC101" s="1757">
        <f t="shared" ca="1" si="226"/>
        <v>0</v>
      </c>
      <c r="JD101" s="1757">
        <f t="shared" ca="1" si="226"/>
        <v>0</v>
      </c>
      <c r="JE101" s="1757">
        <f t="shared" ca="1" si="226"/>
        <v>0</v>
      </c>
      <c r="JF101" s="1757">
        <f t="shared" ca="1" si="226"/>
        <v>0</v>
      </c>
      <c r="JG101" s="1757">
        <f t="shared" ca="1" si="226"/>
        <v>0</v>
      </c>
      <c r="JH101" s="1757">
        <f t="shared" ca="1" si="226"/>
        <v>0</v>
      </c>
      <c r="JI101" s="1757">
        <f t="shared" ca="1" si="226"/>
        <v>0</v>
      </c>
      <c r="JJ101" s="1757">
        <f t="shared" ca="1" si="226"/>
        <v>0</v>
      </c>
      <c r="JK101" s="1757">
        <f t="shared" ca="1" si="226"/>
        <v>0</v>
      </c>
      <c r="JL101" s="1757">
        <f t="shared" ref="JL101:JU110" ca="1" si="227">IF(JL$171=0,0,IF($FU101=0,0,SUMPRODUCT(OFFSET($DJ$173:$DJ$365,0,$FO101),JL$173:JL$365,$FS$173:$FS$365,$CY$173:$CY$365)*JL$25))</f>
        <v>0</v>
      </c>
      <c r="JM101" s="1757">
        <f t="shared" ca="1" si="227"/>
        <v>0</v>
      </c>
      <c r="JN101" s="1757">
        <f t="shared" ca="1" si="227"/>
        <v>0</v>
      </c>
      <c r="JO101" s="1757">
        <f t="shared" ca="1" si="227"/>
        <v>0</v>
      </c>
      <c r="JP101" s="1757">
        <f t="shared" ca="1" si="227"/>
        <v>0</v>
      </c>
      <c r="JQ101" s="1757">
        <f t="shared" ca="1" si="227"/>
        <v>0</v>
      </c>
      <c r="JR101" s="1757">
        <f t="shared" ca="1" si="227"/>
        <v>0</v>
      </c>
      <c r="JS101" s="1757">
        <f t="shared" ca="1" si="227"/>
        <v>0</v>
      </c>
      <c r="JT101" s="1757">
        <f t="shared" ca="1" si="227"/>
        <v>0</v>
      </c>
      <c r="JU101" s="1757">
        <f t="shared" ca="1" si="227"/>
        <v>0</v>
      </c>
      <c r="JV101" s="1757">
        <f t="shared" ref="JV101:KE110" ca="1" si="228">IF(JV$171=0,0,IF($FU101=0,0,SUMPRODUCT(OFFSET($DJ$173:$DJ$365,0,$FO101),JV$173:JV$365,$FS$173:$FS$365,$CY$173:$CY$365)*JV$25))</f>
        <v>0</v>
      </c>
      <c r="JW101" s="1757">
        <f t="shared" ca="1" si="228"/>
        <v>0</v>
      </c>
      <c r="JX101" s="1757">
        <f t="shared" ca="1" si="228"/>
        <v>0</v>
      </c>
      <c r="JY101" s="1757">
        <f t="shared" ca="1" si="228"/>
        <v>0</v>
      </c>
      <c r="JZ101" s="1757">
        <f t="shared" ca="1" si="228"/>
        <v>0</v>
      </c>
      <c r="KA101" s="1757">
        <f t="shared" ca="1" si="228"/>
        <v>0</v>
      </c>
      <c r="KB101" s="1757">
        <f t="shared" ca="1" si="228"/>
        <v>0</v>
      </c>
      <c r="KC101" s="1757">
        <f t="shared" ca="1" si="228"/>
        <v>0</v>
      </c>
      <c r="KD101" s="1757">
        <f t="shared" ca="1" si="228"/>
        <v>0</v>
      </c>
      <c r="KE101" s="1757">
        <f t="shared" ca="1" si="228"/>
        <v>0</v>
      </c>
      <c r="KF101" s="1757">
        <f t="shared" ref="KF101:KO110" ca="1" si="229">IF(KF$171=0,0,IF($FU101=0,0,SUMPRODUCT(OFFSET($DJ$173:$DJ$365,0,$FO101),KF$173:KF$365,$FS$173:$FS$365,$CY$173:$CY$365)*KF$25))</f>
        <v>0</v>
      </c>
      <c r="KG101" s="1757">
        <f t="shared" ca="1" si="229"/>
        <v>0</v>
      </c>
      <c r="KH101" s="1757">
        <f t="shared" ca="1" si="229"/>
        <v>0</v>
      </c>
      <c r="KI101" s="1757">
        <f t="shared" ca="1" si="229"/>
        <v>0</v>
      </c>
      <c r="KJ101" s="1757">
        <f t="shared" ca="1" si="229"/>
        <v>0</v>
      </c>
      <c r="KK101" s="1757">
        <f t="shared" ca="1" si="229"/>
        <v>0</v>
      </c>
      <c r="KL101" s="1757">
        <f t="shared" ca="1" si="229"/>
        <v>0</v>
      </c>
      <c r="KM101" s="1757">
        <f t="shared" ca="1" si="229"/>
        <v>0</v>
      </c>
      <c r="KN101" s="1757">
        <f t="shared" ca="1" si="229"/>
        <v>0</v>
      </c>
      <c r="KO101" s="1757">
        <f t="shared" ca="1" si="229"/>
        <v>0</v>
      </c>
      <c r="KP101" s="1757">
        <f t="shared" ref="KP101:KY110" ca="1" si="230">IF(KP$171=0,0,IF($FU101=0,0,SUMPRODUCT(OFFSET($DJ$173:$DJ$365,0,$FO101),KP$173:KP$365,$FS$173:$FS$365,$CY$173:$CY$365)*KP$25))</f>
        <v>0</v>
      </c>
      <c r="KQ101" s="1757">
        <f t="shared" ca="1" si="230"/>
        <v>0</v>
      </c>
      <c r="KR101" s="1757">
        <f t="shared" ca="1" si="230"/>
        <v>0</v>
      </c>
      <c r="KS101" s="1757">
        <f t="shared" ca="1" si="230"/>
        <v>0</v>
      </c>
      <c r="KT101" s="1757">
        <f t="shared" ca="1" si="230"/>
        <v>0</v>
      </c>
      <c r="KU101" s="1757">
        <f t="shared" ca="1" si="230"/>
        <v>0</v>
      </c>
      <c r="KV101" s="1757">
        <f t="shared" ca="1" si="230"/>
        <v>0</v>
      </c>
      <c r="KW101" s="1757">
        <f t="shared" ca="1" si="230"/>
        <v>0</v>
      </c>
      <c r="KX101" s="1757">
        <f t="shared" ca="1" si="230"/>
        <v>0</v>
      </c>
      <c r="KY101" s="1757">
        <f t="shared" ca="1" si="230"/>
        <v>0</v>
      </c>
      <c r="KZ101" s="1757">
        <f t="shared" ref="KZ101:LI110" ca="1" si="231">IF(KZ$171=0,0,IF($FU101=0,0,SUMPRODUCT(OFFSET($DJ$173:$DJ$365,0,$FO101),KZ$173:KZ$365,$FS$173:$FS$365,$CY$173:$CY$365)*KZ$25))</f>
        <v>0</v>
      </c>
      <c r="LA101" s="1757">
        <f t="shared" ca="1" si="231"/>
        <v>0</v>
      </c>
      <c r="LB101" s="1757">
        <f t="shared" ca="1" si="231"/>
        <v>0</v>
      </c>
      <c r="LC101" s="1757">
        <f t="shared" ca="1" si="231"/>
        <v>0</v>
      </c>
      <c r="LD101" s="1757">
        <f t="shared" ca="1" si="231"/>
        <v>0</v>
      </c>
      <c r="LE101" s="1757">
        <f t="shared" ca="1" si="231"/>
        <v>0</v>
      </c>
      <c r="LF101" s="1757">
        <f t="shared" ca="1" si="231"/>
        <v>0</v>
      </c>
      <c r="LG101" s="1757">
        <f t="shared" ca="1" si="231"/>
        <v>0</v>
      </c>
      <c r="LH101" s="1757">
        <f t="shared" ca="1" si="231"/>
        <v>0</v>
      </c>
      <c r="LI101" s="1757">
        <f t="shared" ca="1" si="231"/>
        <v>0</v>
      </c>
      <c r="LJ101" s="1757">
        <f t="shared" ref="LJ101:LP110" ca="1" si="232">IF(LJ$171=0,0,IF($FU101=0,0,SUMPRODUCT(OFFSET($DJ$173:$DJ$365,0,$FO101),LJ$173:LJ$365,$FS$173:$FS$365,$CY$173:$CY$365)*LJ$25))</f>
        <v>0</v>
      </c>
      <c r="LK101" s="1757">
        <f t="shared" ca="1" si="232"/>
        <v>0</v>
      </c>
      <c r="LL101" s="1757">
        <f t="shared" ca="1" si="232"/>
        <v>0</v>
      </c>
      <c r="LM101" s="1757">
        <f t="shared" ca="1" si="232"/>
        <v>0</v>
      </c>
      <c r="LN101" s="1757">
        <f t="shared" ca="1" si="232"/>
        <v>0</v>
      </c>
      <c r="LO101" s="1757">
        <f t="shared" ca="1" si="232"/>
        <v>0</v>
      </c>
      <c r="LP101" s="1758">
        <f t="shared" ca="1" si="232"/>
        <v>0</v>
      </c>
      <c r="LQ101" s="604"/>
    </row>
    <row r="102" spans="1:329" ht="12.75" customHeight="1" x14ac:dyDescent="0.3">
      <c r="A102" s="279"/>
      <c r="B102" s="41"/>
      <c r="C102" s="82"/>
      <c r="D102" s="41"/>
      <c r="E102" s="9"/>
      <c r="F102" s="9"/>
      <c r="G102" s="9"/>
      <c r="H102" s="10"/>
      <c r="I102" s="10"/>
      <c r="J102" s="10"/>
      <c r="K102" s="10"/>
      <c r="L102" s="10"/>
      <c r="M102" s="10"/>
      <c r="N102" s="9"/>
      <c r="O102" s="9"/>
      <c r="P102" s="44"/>
      <c r="Q102" s="44"/>
      <c r="R102" s="9"/>
      <c r="S102" s="9"/>
      <c r="T102" s="9"/>
      <c r="U102" s="9"/>
      <c r="V102" s="9"/>
      <c r="W102" s="9"/>
      <c r="X102" s="9"/>
      <c r="Y102" s="9"/>
      <c r="Z102" s="9"/>
      <c r="AA102" s="9"/>
      <c r="AB102" s="9"/>
      <c r="AC102" s="9"/>
      <c r="AD102" s="9"/>
      <c r="AE102" s="9"/>
      <c r="AF102" s="9"/>
      <c r="AG102" s="9"/>
      <c r="AH102" s="2514"/>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113"/>
      <c r="DI102" s="113"/>
      <c r="DJ102" s="113"/>
      <c r="DK102" s="118"/>
      <c r="DL102" s="118"/>
      <c r="DM102" s="118"/>
      <c r="DN102" s="118"/>
      <c r="DO102" s="118"/>
      <c r="DP102" s="118"/>
      <c r="DQ102" s="118"/>
      <c r="DR102" s="118"/>
      <c r="DS102" s="118"/>
      <c r="DT102" s="118"/>
      <c r="DU102" s="118"/>
      <c r="DV102" s="118"/>
      <c r="DW102" s="118"/>
      <c r="DX102" s="118"/>
      <c r="DY102" s="118"/>
      <c r="DZ102" s="118"/>
      <c r="EA102" s="118"/>
      <c r="EB102" s="118"/>
      <c r="EC102" s="118"/>
      <c r="ED102" s="118"/>
      <c r="EE102" s="118"/>
      <c r="EF102" s="118"/>
      <c r="EG102" s="118"/>
      <c r="EH102" s="118"/>
      <c r="EI102" s="118"/>
      <c r="EJ102" s="118"/>
      <c r="EK102" s="118"/>
      <c r="EL102" s="118"/>
      <c r="EM102" s="118"/>
      <c r="EN102" s="118"/>
      <c r="EO102" s="118"/>
      <c r="EP102" s="118"/>
      <c r="EQ102" s="118"/>
      <c r="ER102" s="118"/>
      <c r="ES102" s="118"/>
      <c r="ET102" s="118"/>
      <c r="EU102" s="118"/>
      <c r="EV102" s="118"/>
      <c r="EW102" s="118"/>
      <c r="EX102" s="118"/>
      <c r="EY102" s="118"/>
      <c r="EZ102" s="118"/>
      <c r="FA102" s="118"/>
      <c r="FB102" s="118"/>
      <c r="FC102" s="118"/>
      <c r="FD102" s="118"/>
      <c r="FE102" s="118"/>
      <c r="FF102" s="118"/>
      <c r="FG102" s="118"/>
      <c r="FH102" s="118"/>
      <c r="FI102" s="180"/>
      <c r="FJ102" s="132"/>
      <c r="FK102" s="132"/>
      <c r="FL102" s="181">
        <f t="shared" ca="1" si="197"/>
        <v>39</v>
      </c>
      <c r="FM102" s="1340">
        <f t="shared" ca="1" si="198"/>
        <v>0</v>
      </c>
      <c r="FN102" s="1341">
        <f t="shared" ca="1" si="199"/>
        <v>0</v>
      </c>
      <c r="FO102" s="1342">
        <f t="shared" ca="1" si="200"/>
        <v>38</v>
      </c>
      <c r="FP102" s="1343">
        <f t="shared" ca="1" si="201"/>
        <v>0</v>
      </c>
      <c r="FQ102" s="1344">
        <f t="shared" si="202"/>
        <v>40</v>
      </c>
      <c r="FR102" s="1344">
        <f t="shared" si="203"/>
        <v>50</v>
      </c>
      <c r="FS102" s="1345">
        <f t="shared" si="204"/>
        <v>39</v>
      </c>
      <c r="FT102" s="1345"/>
      <c r="FU102" s="1346">
        <f t="shared" ca="1" si="219"/>
        <v>0</v>
      </c>
      <c r="FV102" s="1346"/>
      <c r="FW102" s="1346"/>
      <c r="FX102" s="1347"/>
      <c r="FY102" s="1348"/>
      <c r="FZ102" s="1348"/>
      <c r="GA102" s="1348"/>
      <c r="GB102" s="1349"/>
      <c r="GC102" s="1350"/>
      <c r="GD102" s="1348"/>
      <c r="GE102" s="1348"/>
      <c r="GF102" s="1348"/>
      <c r="GG102" s="1348"/>
      <c r="GH102" s="1348"/>
      <c r="GI102" s="1348"/>
      <c r="GJ102" s="1348"/>
      <c r="GK102" s="1348"/>
      <c r="GL102" s="1348"/>
      <c r="GM102" s="1348"/>
      <c r="GN102" s="3825">
        <f t="shared" ca="1" si="205"/>
        <v>0</v>
      </c>
      <c r="GO102" s="3825"/>
      <c r="GP102" s="3825"/>
      <c r="GQ102" s="3826"/>
      <c r="GR102" s="3675"/>
      <c r="GS102" s="3676"/>
      <c r="GT102" s="1756">
        <f t="shared" ca="1" si="220"/>
        <v>0</v>
      </c>
      <c r="GU102" s="1757">
        <f t="shared" ca="1" si="220"/>
        <v>0</v>
      </c>
      <c r="GV102" s="1757">
        <f t="shared" ca="1" si="220"/>
        <v>0</v>
      </c>
      <c r="GW102" s="1757">
        <f t="shared" ca="1" si="220"/>
        <v>0</v>
      </c>
      <c r="GX102" s="1757">
        <f t="shared" ca="1" si="220"/>
        <v>0</v>
      </c>
      <c r="GY102" s="1757">
        <f t="shared" ca="1" si="220"/>
        <v>0</v>
      </c>
      <c r="GZ102" s="1757">
        <f t="shared" ca="1" si="220"/>
        <v>0</v>
      </c>
      <c r="HA102" s="1757">
        <f t="shared" ca="1" si="220"/>
        <v>0</v>
      </c>
      <c r="HB102" s="1757">
        <f t="shared" ca="1" si="220"/>
        <v>0</v>
      </c>
      <c r="HC102" s="1757">
        <f t="shared" ca="1" si="220"/>
        <v>0</v>
      </c>
      <c r="HD102" s="1757">
        <f t="shared" ca="1" si="221"/>
        <v>0</v>
      </c>
      <c r="HE102" s="1757">
        <f t="shared" ca="1" si="221"/>
        <v>0</v>
      </c>
      <c r="HF102" s="1757">
        <f t="shared" ca="1" si="221"/>
        <v>0</v>
      </c>
      <c r="HG102" s="1757">
        <f t="shared" ca="1" si="221"/>
        <v>0</v>
      </c>
      <c r="HH102" s="1757">
        <f t="shared" ca="1" si="221"/>
        <v>0</v>
      </c>
      <c r="HI102" s="1757">
        <f t="shared" ca="1" si="221"/>
        <v>0</v>
      </c>
      <c r="HJ102" s="1757">
        <f t="shared" ca="1" si="221"/>
        <v>0</v>
      </c>
      <c r="HK102" s="1757">
        <f t="shared" ca="1" si="221"/>
        <v>0</v>
      </c>
      <c r="HL102" s="1757">
        <f t="shared" ca="1" si="221"/>
        <v>0</v>
      </c>
      <c r="HM102" s="1757">
        <f t="shared" ca="1" si="221"/>
        <v>0</v>
      </c>
      <c r="HN102" s="1757">
        <f t="shared" ca="1" si="222"/>
        <v>0</v>
      </c>
      <c r="HO102" s="1757">
        <f t="shared" ca="1" si="222"/>
        <v>0</v>
      </c>
      <c r="HP102" s="1757">
        <f t="shared" ca="1" si="222"/>
        <v>0</v>
      </c>
      <c r="HQ102" s="1757">
        <f t="shared" ca="1" si="222"/>
        <v>0</v>
      </c>
      <c r="HR102" s="1757">
        <f t="shared" ca="1" si="222"/>
        <v>0</v>
      </c>
      <c r="HS102" s="1757">
        <f t="shared" ca="1" si="222"/>
        <v>0</v>
      </c>
      <c r="HT102" s="1757">
        <f t="shared" ca="1" si="222"/>
        <v>0</v>
      </c>
      <c r="HU102" s="1757">
        <f t="shared" ca="1" si="222"/>
        <v>0</v>
      </c>
      <c r="HV102" s="1757">
        <f t="shared" ca="1" si="222"/>
        <v>0</v>
      </c>
      <c r="HW102" s="1757">
        <f t="shared" ca="1" si="222"/>
        <v>0</v>
      </c>
      <c r="HX102" s="1757">
        <f t="shared" ca="1" si="223"/>
        <v>0</v>
      </c>
      <c r="HY102" s="1757">
        <f t="shared" ca="1" si="223"/>
        <v>0</v>
      </c>
      <c r="HZ102" s="1757">
        <f t="shared" ca="1" si="223"/>
        <v>0</v>
      </c>
      <c r="IA102" s="1757">
        <f t="shared" ca="1" si="223"/>
        <v>0</v>
      </c>
      <c r="IB102" s="1757">
        <f t="shared" ca="1" si="223"/>
        <v>0</v>
      </c>
      <c r="IC102" s="1757">
        <f t="shared" ca="1" si="223"/>
        <v>0</v>
      </c>
      <c r="ID102" s="1757">
        <f t="shared" ca="1" si="223"/>
        <v>0</v>
      </c>
      <c r="IE102" s="1757">
        <f t="shared" ca="1" si="223"/>
        <v>0</v>
      </c>
      <c r="IF102" s="1757">
        <f t="shared" ca="1" si="223"/>
        <v>0</v>
      </c>
      <c r="IG102" s="1757">
        <f t="shared" ca="1" si="223"/>
        <v>0</v>
      </c>
      <c r="IH102" s="1757">
        <f t="shared" ca="1" si="224"/>
        <v>0</v>
      </c>
      <c r="II102" s="1757">
        <f t="shared" ca="1" si="224"/>
        <v>0</v>
      </c>
      <c r="IJ102" s="1757">
        <f t="shared" ca="1" si="224"/>
        <v>0</v>
      </c>
      <c r="IK102" s="1757">
        <f t="shared" ca="1" si="224"/>
        <v>0</v>
      </c>
      <c r="IL102" s="1757">
        <f t="shared" ca="1" si="224"/>
        <v>0</v>
      </c>
      <c r="IM102" s="1757">
        <f t="shared" ca="1" si="224"/>
        <v>0</v>
      </c>
      <c r="IN102" s="1757">
        <f t="shared" ca="1" si="224"/>
        <v>0</v>
      </c>
      <c r="IO102" s="1757">
        <f t="shared" ca="1" si="224"/>
        <v>0</v>
      </c>
      <c r="IP102" s="1757">
        <f t="shared" ca="1" si="224"/>
        <v>0</v>
      </c>
      <c r="IQ102" s="1757">
        <f t="shared" ca="1" si="224"/>
        <v>0</v>
      </c>
      <c r="IR102" s="1757">
        <f t="shared" ca="1" si="225"/>
        <v>0</v>
      </c>
      <c r="IS102" s="1757">
        <f t="shared" ca="1" si="225"/>
        <v>0</v>
      </c>
      <c r="IT102" s="1757">
        <f t="shared" ca="1" si="225"/>
        <v>0</v>
      </c>
      <c r="IU102" s="1757">
        <f t="shared" ca="1" si="225"/>
        <v>0</v>
      </c>
      <c r="IV102" s="1757">
        <f t="shared" ca="1" si="225"/>
        <v>0</v>
      </c>
      <c r="IW102" s="1757">
        <f t="shared" ca="1" si="225"/>
        <v>0</v>
      </c>
      <c r="IX102" s="1757">
        <f t="shared" ca="1" si="225"/>
        <v>0</v>
      </c>
      <c r="IY102" s="1757">
        <f t="shared" ca="1" si="225"/>
        <v>0</v>
      </c>
      <c r="IZ102" s="1757">
        <f t="shared" ca="1" si="225"/>
        <v>0</v>
      </c>
      <c r="JA102" s="1757">
        <f t="shared" ca="1" si="225"/>
        <v>0</v>
      </c>
      <c r="JB102" s="1757">
        <f t="shared" ca="1" si="226"/>
        <v>0</v>
      </c>
      <c r="JC102" s="1757">
        <f t="shared" ca="1" si="226"/>
        <v>0</v>
      </c>
      <c r="JD102" s="1757">
        <f t="shared" ca="1" si="226"/>
        <v>0</v>
      </c>
      <c r="JE102" s="1757">
        <f t="shared" ca="1" si="226"/>
        <v>0</v>
      </c>
      <c r="JF102" s="1757">
        <f t="shared" ca="1" si="226"/>
        <v>0</v>
      </c>
      <c r="JG102" s="1757">
        <f t="shared" ca="1" si="226"/>
        <v>0</v>
      </c>
      <c r="JH102" s="1757">
        <f t="shared" ca="1" si="226"/>
        <v>0</v>
      </c>
      <c r="JI102" s="1757">
        <f t="shared" ca="1" si="226"/>
        <v>0</v>
      </c>
      <c r="JJ102" s="1757">
        <f t="shared" ca="1" si="226"/>
        <v>0</v>
      </c>
      <c r="JK102" s="1757">
        <f t="shared" ca="1" si="226"/>
        <v>0</v>
      </c>
      <c r="JL102" s="1757">
        <f t="shared" ca="1" si="227"/>
        <v>0</v>
      </c>
      <c r="JM102" s="1757">
        <f t="shared" ca="1" si="227"/>
        <v>0</v>
      </c>
      <c r="JN102" s="1757">
        <f t="shared" ca="1" si="227"/>
        <v>0</v>
      </c>
      <c r="JO102" s="1757">
        <f t="shared" ca="1" si="227"/>
        <v>0</v>
      </c>
      <c r="JP102" s="1757">
        <f t="shared" ca="1" si="227"/>
        <v>0</v>
      </c>
      <c r="JQ102" s="1757">
        <f t="shared" ca="1" si="227"/>
        <v>0</v>
      </c>
      <c r="JR102" s="1757">
        <f t="shared" ca="1" si="227"/>
        <v>0</v>
      </c>
      <c r="JS102" s="1757">
        <f t="shared" ca="1" si="227"/>
        <v>0</v>
      </c>
      <c r="JT102" s="1757">
        <f t="shared" ca="1" si="227"/>
        <v>0</v>
      </c>
      <c r="JU102" s="1757">
        <f t="shared" ca="1" si="227"/>
        <v>0</v>
      </c>
      <c r="JV102" s="1757">
        <f t="shared" ca="1" si="228"/>
        <v>0</v>
      </c>
      <c r="JW102" s="1757">
        <f t="shared" ca="1" si="228"/>
        <v>0</v>
      </c>
      <c r="JX102" s="1757">
        <f t="shared" ca="1" si="228"/>
        <v>0</v>
      </c>
      <c r="JY102" s="1757">
        <f t="shared" ca="1" si="228"/>
        <v>0</v>
      </c>
      <c r="JZ102" s="1757">
        <f t="shared" ca="1" si="228"/>
        <v>0</v>
      </c>
      <c r="KA102" s="1757">
        <f t="shared" ca="1" si="228"/>
        <v>0</v>
      </c>
      <c r="KB102" s="1757">
        <f t="shared" ca="1" si="228"/>
        <v>0</v>
      </c>
      <c r="KC102" s="1757">
        <f t="shared" ca="1" si="228"/>
        <v>0</v>
      </c>
      <c r="KD102" s="1757">
        <f t="shared" ca="1" si="228"/>
        <v>0</v>
      </c>
      <c r="KE102" s="1757">
        <f t="shared" ca="1" si="228"/>
        <v>0</v>
      </c>
      <c r="KF102" s="1757">
        <f t="shared" ca="1" si="229"/>
        <v>0</v>
      </c>
      <c r="KG102" s="1757">
        <f t="shared" ca="1" si="229"/>
        <v>0</v>
      </c>
      <c r="KH102" s="1757">
        <f t="shared" ca="1" si="229"/>
        <v>0</v>
      </c>
      <c r="KI102" s="1757">
        <f t="shared" ca="1" si="229"/>
        <v>0</v>
      </c>
      <c r="KJ102" s="1757">
        <f t="shared" ca="1" si="229"/>
        <v>0</v>
      </c>
      <c r="KK102" s="1757">
        <f t="shared" ca="1" si="229"/>
        <v>0</v>
      </c>
      <c r="KL102" s="1757">
        <f t="shared" ca="1" si="229"/>
        <v>0</v>
      </c>
      <c r="KM102" s="1757">
        <f t="shared" ca="1" si="229"/>
        <v>0</v>
      </c>
      <c r="KN102" s="1757">
        <f t="shared" ca="1" si="229"/>
        <v>0</v>
      </c>
      <c r="KO102" s="1757">
        <f t="shared" ca="1" si="229"/>
        <v>0</v>
      </c>
      <c r="KP102" s="1757">
        <f t="shared" ca="1" si="230"/>
        <v>0</v>
      </c>
      <c r="KQ102" s="1757">
        <f t="shared" ca="1" si="230"/>
        <v>0</v>
      </c>
      <c r="KR102" s="1757">
        <f t="shared" ca="1" si="230"/>
        <v>0</v>
      </c>
      <c r="KS102" s="1757">
        <f t="shared" ca="1" si="230"/>
        <v>0</v>
      </c>
      <c r="KT102" s="1757">
        <f t="shared" ca="1" si="230"/>
        <v>0</v>
      </c>
      <c r="KU102" s="1757">
        <f t="shared" ca="1" si="230"/>
        <v>0</v>
      </c>
      <c r="KV102" s="1757">
        <f t="shared" ca="1" si="230"/>
        <v>0</v>
      </c>
      <c r="KW102" s="1757">
        <f t="shared" ca="1" si="230"/>
        <v>0</v>
      </c>
      <c r="KX102" s="1757">
        <f t="shared" ca="1" si="230"/>
        <v>0</v>
      </c>
      <c r="KY102" s="1757">
        <f t="shared" ca="1" si="230"/>
        <v>0</v>
      </c>
      <c r="KZ102" s="1757">
        <f t="shared" ca="1" si="231"/>
        <v>0</v>
      </c>
      <c r="LA102" s="1757">
        <f t="shared" ca="1" si="231"/>
        <v>0</v>
      </c>
      <c r="LB102" s="1757">
        <f t="shared" ca="1" si="231"/>
        <v>0</v>
      </c>
      <c r="LC102" s="1757">
        <f t="shared" ca="1" si="231"/>
        <v>0</v>
      </c>
      <c r="LD102" s="1757">
        <f t="shared" ca="1" si="231"/>
        <v>0</v>
      </c>
      <c r="LE102" s="1757">
        <f t="shared" ca="1" si="231"/>
        <v>0</v>
      </c>
      <c r="LF102" s="1757">
        <f t="shared" ca="1" si="231"/>
        <v>0</v>
      </c>
      <c r="LG102" s="1757">
        <f t="shared" ca="1" si="231"/>
        <v>0</v>
      </c>
      <c r="LH102" s="1757">
        <f t="shared" ca="1" si="231"/>
        <v>0</v>
      </c>
      <c r="LI102" s="1757">
        <f t="shared" ca="1" si="231"/>
        <v>0</v>
      </c>
      <c r="LJ102" s="1757">
        <f t="shared" ca="1" si="232"/>
        <v>0</v>
      </c>
      <c r="LK102" s="1757">
        <f t="shared" ca="1" si="232"/>
        <v>0</v>
      </c>
      <c r="LL102" s="1757">
        <f t="shared" ca="1" si="232"/>
        <v>0</v>
      </c>
      <c r="LM102" s="1757">
        <f t="shared" ca="1" si="232"/>
        <v>0</v>
      </c>
      <c r="LN102" s="1757">
        <f t="shared" ca="1" si="232"/>
        <v>0</v>
      </c>
      <c r="LO102" s="1757">
        <f t="shared" ca="1" si="232"/>
        <v>0</v>
      </c>
      <c r="LP102" s="1758">
        <f t="shared" ca="1" si="232"/>
        <v>0</v>
      </c>
      <c r="LQ102" s="604"/>
    </row>
    <row r="103" spans="1:329" ht="12.75" customHeight="1" x14ac:dyDescent="0.3">
      <c r="A103" s="279"/>
      <c r="B103" s="41"/>
      <c r="C103" s="82"/>
      <c r="D103" s="41"/>
      <c r="E103" s="9"/>
      <c r="F103" s="9"/>
      <c r="G103" s="9"/>
      <c r="H103" s="10"/>
      <c r="I103" s="10"/>
      <c r="J103" s="10"/>
      <c r="K103" s="10"/>
      <c r="L103" s="10"/>
      <c r="M103" s="10"/>
      <c r="N103" s="9"/>
      <c r="O103" s="9"/>
      <c r="P103" s="44"/>
      <c r="Q103" s="44"/>
      <c r="R103" s="9"/>
      <c r="S103" s="9"/>
      <c r="T103" s="9"/>
      <c r="U103" s="9"/>
      <c r="V103" s="9"/>
      <c r="W103" s="9"/>
      <c r="X103" s="9"/>
      <c r="Y103" s="9"/>
      <c r="Z103" s="9"/>
      <c r="AA103" s="9"/>
      <c r="AB103" s="9"/>
      <c r="AC103" s="9"/>
      <c r="AD103" s="9"/>
      <c r="AE103" s="9"/>
      <c r="AF103" s="9"/>
      <c r="AG103" s="9"/>
      <c r="AH103" s="2514"/>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113"/>
      <c r="DI103" s="113"/>
      <c r="DJ103" s="113"/>
      <c r="DK103" s="118"/>
      <c r="DL103" s="118"/>
      <c r="DM103" s="118"/>
      <c r="DN103" s="118"/>
      <c r="DO103" s="118"/>
      <c r="DP103" s="118"/>
      <c r="DQ103" s="118"/>
      <c r="DR103" s="118"/>
      <c r="DS103" s="118"/>
      <c r="DT103" s="118"/>
      <c r="DU103" s="118"/>
      <c r="DV103" s="118"/>
      <c r="DW103" s="118"/>
      <c r="DX103" s="118"/>
      <c r="DY103" s="118"/>
      <c r="DZ103" s="118"/>
      <c r="EA103" s="118"/>
      <c r="EB103" s="118"/>
      <c r="EC103" s="118"/>
      <c r="ED103" s="118"/>
      <c r="EE103" s="118"/>
      <c r="EF103" s="118"/>
      <c r="EG103" s="118"/>
      <c r="EH103" s="118"/>
      <c r="EI103" s="118"/>
      <c r="EJ103" s="118"/>
      <c r="EK103" s="118"/>
      <c r="EL103" s="118"/>
      <c r="EM103" s="118"/>
      <c r="EN103" s="118"/>
      <c r="EO103" s="118"/>
      <c r="EP103" s="118"/>
      <c r="EQ103" s="118"/>
      <c r="ER103" s="118"/>
      <c r="ES103" s="118"/>
      <c r="ET103" s="118"/>
      <c r="EU103" s="118"/>
      <c r="EV103" s="118"/>
      <c r="EW103" s="118"/>
      <c r="EX103" s="118"/>
      <c r="EY103" s="118"/>
      <c r="EZ103" s="118"/>
      <c r="FA103" s="118"/>
      <c r="FB103" s="118"/>
      <c r="FC103" s="118"/>
      <c r="FD103" s="118"/>
      <c r="FE103" s="118"/>
      <c r="FF103" s="118"/>
      <c r="FG103" s="118"/>
      <c r="FH103" s="118"/>
      <c r="FI103" s="180"/>
      <c r="FJ103" s="132"/>
      <c r="FK103" s="132"/>
      <c r="FL103" s="181">
        <f t="shared" ca="1" si="197"/>
        <v>38</v>
      </c>
      <c r="FM103" s="1340">
        <f t="shared" ca="1" si="198"/>
        <v>0</v>
      </c>
      <c r="FN103" s="1341">
        <f t="shared" ca="1" si="199"/>
        <v>0</v>
      </c>
      <c r="FO103" s="1342">
        <f t="shared" ca="1" si="200"/>
        <v>37</v>
      </c>
      <c r="FP103" s="1343">
        <f t="shared" ca="1" si="201"/>
        <v>0</v>
      </c>
      <c r="FQ103" s="1344">
        <f t="shared" si="202"/>
        <v>40</v>
      </c>
      <c r="FR103" s="1344">
        <f t="shared" si="203"/>
        <v>50</v>
      </c>
      <c r="FS103" s="1345">
        <f t="shared" si="204"/>
        <v>38</v>
      </c>
      <c r="FT103" s="1345"/>
      <c r="FU103" s="1346">
        <f t="shared" ca="1" si="219"/>
        <v>0</v>
      </c>
      <c r="FV103" s="1346"/>
      <c r="FW103" s="1346"/>
      <c r="FX103" s="1347"/>
      <c r="FY103" s="1348"/>
      <c r="FZ103" s="1348"/>
      <c r="GA103" s="1348"/>
      <c r="GB103" s="1349"/>
      <c r="GC103" s="1350"/>
      <c r="GD103" s="1348"/>
      <c r="GE103" s="1348"/>
      <c r="GF103" s="1348"/>
      <c r="GG103" s="1348"/>
      <c r="GH103" s="1348"/>
      <c r="GI103" s="1348"/>
      <c r="GJ103" s="1348"/>
      <c r="GK103" s="1348"/>
      <c r="GL103" s="1348"/>
      <c r="GM103" s="1348"/>
      <c r="GN103" s="3825">
        <f t="shared" ca="1" si="205"/>
        <v>0</v>
      </c>
      <c r="GO103" s="3825"/>
      <c r="GP103" s="3825"/>
      <c r="GQ103" s="3826"/>
      <c r="GR103" s="3675"/>
      <c r="GS103" s="3676"/>
      <c r="GT103" s="1756">
        <f t="shared" ca="1" si="220"/>
        <v>0</v>
      </c>
      <c r="GU103" s="1757">
        <f t="shared" ca="1" si="220"/>
        <v>0</v>
      </c>
      <c r="GV103" s="1757">
        <f t="shared" ca="1" si="220"/>
        <v>0</v>
      </c>
      <c r="GW103" s="1757">
        <f t="shared" ca="1" si="220"/>
        <v>0</v>
      </c>
      <c r="GX103" s="1757">
        <f t="shared" ca="1" si="220"/>
        <v>0</v>
      </c>
      <c r="GY103" s="1757">
        <f t="shared" ca="1" si="220"/>
        <v>0</v>
      </c>
      <c r="GZ103" s="1757">
        <f t="shared" ca="1" si="220"/>
        <v>0</v>
      </c>
      <c r="HA103" s="1757">
        <f t="shared" ca="1" si="220"/>
        <v>0</v>
      </c>
      <c r="HB103" s="1757">
        <f t="shared" ca="1" si="220"/>
        <v>0</v>
      </c>
      <c r="HC103" s="1757">
        <f t="shared" ca="1" si="220"/>
        <v>0</v>
      </c>
      <c r="HD103" s="1757">
        <f t="shared" ca="1" si="221"/>
        <v>0</v>
      </c>
      <c r="HE103" s="1757">
        <f t="shared" ca="1" si="221"/>
        <v>0</v>
      </c>
      <c r="HF103" s="1757">
        <f t="shared" ca="1" si="221"/>
        <v>0</v>
      </c>
      <c r="HG103" s="1757">
        <f t="shared" ca="1" si="221"/>
        <v>0</v>
      </c>
      <c r="HH103" s="1757">
        <f t="shared" ca="1" si="221"/>
        <v>0</v>
      </c>
      <c r="HI103" s="1757">
        <f t="shared" ca="1" si="221"/>
        <v>0</v>
      </c>
      <c r="HJ103" s="1757">
        <f t="shared" ca="1" si="221"/>
        <v>0</v>
      </c>
      <c r="HK103" s="1757">
        <f t="shared" ca="1" si="221"/>
        <v>0</v>
      </c>
      <c r="HL103" s="1757">
        <f t="shared" ca="1" si="221"/>
        <v>0</v>
      </c>
      <c r="HM103" s="1757">
        <f t="shared" ca="1" si="221"/>
        <v>0</v>
      </c>
      <c r="HN103" s="1757">
        <f t="shared" ca="1" si="222"/>
        <v>0</v>
      </c>
      <c r="HO103" s="1757">
        <f t="shared" ca="1" si="222"/>
        <v>0</v>
      </c>
      <c r="HP103" s="1757">
        <f t="shared" ca="1" si="222"/>
        <v>0</v>
      </c>
      <c r="HQ103" s="1757">
        <f t="shared" ca="1" si="222"/>
        <v>0</v>
      </c>
      <c r="HR103" s="1757">
        <f t="shared" ca="1" si="222"/>
        <v>0</v>
      </c>
      <c r="HS103" s="1757">
        <f t="shared" ca="1" si="222"/>
        <v>0</v>
      </c>
      <c r="HT103" s="1757">
        <f t="shared" ca="1" si="222"/>
        <v>0</v>
      </c>
      <c r="HU103" s="1757">
        <f t="shared" ca="1" si="222"/>
        <v>0</v>
      </c>
      <c r="HV103" s="1757">
        <f t="shared" ca="1" si="222"/>
        <v>0</v>
      </c>
      <c r="HW103" s="1757">
        <f t="shared" ca="1" si="222"/>
        <v>0</v>
      </c>
      <c r="HX103" s="1757">
        <f t="shared" ca="1" si="223"/>
        <v>0</v>
      </c>
      <c r="HY103" s="1757">
        <f t="shared" ca="1" si="223"/>
        <v>0</v>
      </c>
      <c r="HZ103" s="1757">
        <f t="shared" ca="1" si="223"/>
        <v>0</v>
      </c>
      <c r="IA103" s="1757">
        <f t="shared" ca="1" si="223"/>
        <v>0</v>
      </c>
      <c r="IB103" s="1757">
        <f t="shared" ca="1" si="223"/>
        <v>0</v>
      </c>
      <c r="IC103" s="1757">
        <f t="shared" ca="1" si="223"/>
        <v>0</v>
      </c>
      <c r="ID103" s="1757">
        <f t="shared" ca="1" si="223"/>
        <v>0</v>
      </c>
      <c r="IE103" s="1757">
        <f t="shared" ca="1" si="223"/>
        <v>0</v>
      </c>
      <c r="IF103" s="1757">
        <f t="shared" ca="1" si="223"/>
        <v>0</v>
      </c>
      <c r="IG103" s="1757">
        <f t="shared" ca="1" si="223"/>
        <v>0</v>
      </c>
      <c r="IH103" s="1757">
        <f t="shared" ca="1" si="224"/>
        <v>0</v>
      </c>
      <c r="II103" s="1757">
        <f t="shared" ca="1" si="224"/>
        <v>0</v>
      </c>
      <c r="IJ103" s="1757">
        <f t="shared" ca="1" si="224"/>
        <v>0</v>
      </c>
      <c r="IK103" s="1757">
        <f t="shared" ca="1" si="224"/>
        <v>0</v>
      </c>
      <c r="IL103" s="1757">
        <f t="shared" ca="1" si="224"/>
        <v>0</v>
      </c>
      <c r="IM103" s="1757">
        <f t="shared" ca="1" si="224"/>
        <v>0</v>
      </c>
      <c r="IN103" s="1757">
        <f t="shared" ca="1" si="224"/>
        <v>0</v>
      </c>
      <c r="IO103" s="1757">
        <f t="shared" ca="1" si="224"/>
        <v>0</v>
      </c>
      <c r="IP103" s="1757">
        <f t="shared" ca="1" si="224"/>
        <v>0</v>
      </c>
      <c r="IQ103" s="1757">
        <f t="shared" ca="1" si="224"/>
        <v>0</v>
      </c>
      <c r="IR103" s="1757">
        <f t="shared" ca="1" si="225"/>
        <v>0</v>
      </c>
      <c r="IS103" s="1757">
        <f t="shared" ca="1" si="225"/>
        <v>0</v>
      </c>
      <c r="IT103" s="1757">
        <f t="shared" ca="1" si="225"/>
        <v>0</v>
      </c>
      <c r="IU103" s="1757">
        <f t="shared" ca="1" si="225"/>
        <v>0</v>
      </c>
      <c r="IV103" s="1757">
        <f t="shared" ca="1" si="225"/>
        <v>0</v>
      </c>
      <c r="IW103" s="1757">
        <f t="shared" ca="1" si="225"/>
        <v>0</v>
      </c>
      <c r="IX103" s="1757">
        <f t="shared" ca="1" si="225"/>
        <v>0</v>
      </c>
      <c r="IY103" s="1757">
        <f t="shared" ca="1" si="225"/>
        <v>0</v>
      </c>
      <c r="IZ103" s="1757">
        <f t="shared" ca="1" si="225"/>
        <v>0</v>
      </c>
      <c r="JA103" s="1757">
        <f t="shared" ca="1" si="225"/>
        <v>0</v>
      </c>
      <c r="JB103" s="1757">
        <f t="shared" ca="1" si="226"/>
        <v>0</v>
      </c>
      <c r="JC103" s="1757">
        <f t="shared" ca="1" si="226"/>
        <v>0</v>
      </c>
      <c r="JD103" s="1757">
        <f t="shared" ca="1" si="226"/>
        <v>0</v>
      </c>
      <c r="JE103" s="1757">
        <f t="shared" ca="1" si="226"/>
        <v>0</v>
      </c>
      <c r="JF103" s="1757">
        <f t="shared" ca="1" si="226"/>
        <v>0</v>
      </c>
      <c r="JG103" s="1757">
        <f t="shared" ca="1" si="226"/>
        <v>0</v>
      </c>
      <c r="JH103" s="1757">
        <f t="shared" ca="1" si="226"/>
        <v>0</v>
      </c>
      <c r="JI103" s="1757">
        <f t="shared" ca="1" si="226"/>
        <v>0</v>
      </c>
      <c r="JJ103" s="1757">
        <f t="shared" ca="1" si="226"/>
        <v>0</v>
      </c>
      <c r="JK103" s="1757">
        <f t="shared" ca="1" si="226"/>
        <v>0</v>
      </c>
      <c r="JL103" s="1757">
        <f t="shared" ca="1" si="227"/>
        <v>0</v>
      </c>
      <c r="JM103" s="1757">
        <f t="shared" ca="1" si="227"/>
        <v>0</v>
      </c>
      <c r="JN103" s="1757">
        <f t="shared" ca="1" si="227"/>
        <v>0</v>
      </c>
      <c r="JO103" s="1757">
        <f t="shared" ca="1" si="227"/>
        <v>0</v>
      </c>
      <c r="JP103" s="1757">
        <f t="shared" ca="1" si="227"/>
        <v>0</v>
      </c>
      <c r="JQ103" s="1757">
        <f t="shared" ca="1" si="227"/>
        <v>0</v>
      </c>
      <c r="JR103" s="1757">
        <f t="shared" ca="1" si="227"/>
        <v>0</v>
      </c>
      <c r="JS103" s="1757">
        <f t="shared" ca="1" si="227"/>
        <v>0</v>
      </c>
      <c r="JT103" s="1757">
        <f t="shared" ca="1" si="227"/>
        <v>0</v>
      </c>
      <c r="JU103" s="1757">
        <f t="shared" ca="1" si="227"/>
        <v>0</v>
      </c>
      <c r="JV103" s="1757">
        <f t="shared" ca="1" si="228"/>
        <v>0</v>
      </c>
      <c r="JW103" s="1757">
        <f t="shared" ca="1" si="228"/>
        <v>0</v>
      </c>
      <c r="JX103" s="1757">
        <f t="shared" ca="1" si="228"/>
        <v>0</v>
      </c>
      <c r="JY103" s="1757">
        <f t="shared" ca="1" si="228"/>
        <v>0</v>
      </c>
      <c r="JZ103" s="1757">
        <f t="shared" ca="1" si="228"/>
        <v>0</v>
      </c>
      <c r="KA103" s="1757">
        <f t="shared" ca="1" si="228"/>
        <v>0</v>
      </c>
      <c r="KB103" s="1757">
        <f t="shared" ca="1" si="228"/>
        <v>0</v>
      </c>
      <c r="KC103" s="1757">
        <f t="shared" ca="1" si="228"/>
        <v>0</v>
      </c>
      <c r="KD103" s="1757">
        <f t="shared" ca="1" si="228"/>
        <v>0</v>
      </c>
      <c r="KE103" s="1757">
        <f t="shared" ca="1" si="228"/>
        <v>0</v>
      </c>
      <c r="KF103" s="1757">
        <f t="shared" ca="1" si="229"/>
        <v>0</v>
      </c>
      <c r="KG103" s="1757">
        <f t="shared" ca="1" si="229"/>
        <v>0</v>
      </c>
      <c r="KH103" s="1757">
        <f t="shared" ca="1" si="229"/>
        <v>0</v>
      </c>
      <c r="KI103" s="1757">
        <f t="shared" ca="1" si="229"/>
        <v>0</v>
      </c>
      <c r="KJ103" s="1757">
        <f t="shared" ca="1" si="229"/>
        <v>0</v>
      </c>
      <c r="KK103" s="1757">
        <f t="shared" ca="1" si="229"/>
        <v>0</v>
      </c>
      <c r="KL103" s="1757">
        <f t="shared" ca="1" si="229"/>
        <v>0</v>
      </c>
      <c r="KM103" s="1757">
        <f t="shared" ca="1" si="229"/>
        <v>0</v>
      </c>
      <c r="KN103" s="1757">
        <f t="shared" ca="1" si="229"/>
        <v>0</v>
      </c>
      <c r="KO103" s="1757">
        <f t="shared" ca="1" si="229"/>
        <v>0</v>
      </c>
      <c r="KP103" s="1757">
        <f t="shared" ca="1" si="230"/>
        <v>0</v>
      </c>
      <c r="KQ103" s="1757">
        <f t="shared" ca="1" si="230"/>
        <v>0</v>
      </c>
      <c r="KR103" s="1757">
        <f t="shared" ca="1" si="230"/>
        <v>0</v>
      </c>
      <c r="KS103" s="1757">
        <f t="shared" ca="1" si="230"/>
        <v>0</v>
      </c>
      <c r="KT103" s="1757">
        <f t="shared" ca="1" si="230"/>
        <v>0</v>
      </c>
      <c r="KU103" s="1757">
        <f t="shared" ca="1" si="230"/>
        <v>0</v>
      </c>
      <c r="KV103" s="1757">
        <f t="shared" ca="1" si="230"/>
        <v>0</v>
      </c>
      <c r="KW103" s="1757">
        <f t="shared" ca="1" si="230"/>
        <v>0</v>
      </c>
      <c r="KX103" s="1757">
        <f t="shared" ca="1" si="230"/>
        <v>0</v>
      </c>
      <c r="KY103" s="1757">
        <f t="shared" ca="1" si="230"/>
        <v>0</v>
      </c>
      <c r="KZ103" s="1757">
        <f t="shared" ca="1" si="231"/>
        <v>0</v>
      </c>
      <c r="LA103" s="1757">
        <f t="shared" ca="1" si="231"/>
        <v>0</v>
      </c>
      <c r="LB103" s="1757">
        <f t="shared" ca="1" si="231"/>
        <v>0</v>
      </c>
      <c r="LC103" s="1757">
        <f t="shared" ca="1" si="231"/>
        <v>0</v>
      </c>
      <c r="LD103" s="1757">
        <f t="shared" ca="1" si="231"/>
        <v>0</v>
      </c>
      <c r="LE103" s="1757">
        <f t="shared" ca="1" si="231"/>
        <v>0</v>
      </c>
      <c r="LF103" s="1757">
        <f t="shared" ca="1" si="231"/>
        <v>0</v>
      </c>
      <c r="LG103" s="1757">
        <f t="shared" ca="1" si="231"/>
        <v>0</v>
      </c>
      <c r="LH103" s="1757">
        <f t="shared" ca="1" si="231"/>
        <v>0</v>
      </c>
      <c r="LI103" s="1757">
        <f t="shared" ca="1" si="231"/>
        <v>0</v>
      </c>
      <c r="LJ103" s="1757">
        <f t="shared" ca="1" si="232"/>
        <v>0</v>
      </c>
      <c r="LK103" s="1757">
        <f t="shared" ca="1" si="232"/>
        <v>0</v>
      </c>
      <c r="LL103" s="1757">
        <f t="shared" ca="1" si="232"/>
        <v>0</v>
      </c>
      <c r="LM103" s="1757">
        <f t="shared" ca="1" si="232"/>
        <v>0</v>
      </c>
      <c r="LN103" s="1757">
        <f t="shared" ca="1" si="232"/>
        <v>0</v>
      </c>
      <c r="LO103" s="1757">
        <f t="shared" ca="1" si="232"/>
        <v>0</v>
      </c>
      <c r="LP103" s="1758">
        <f t="shared" ca="1" si="232"/>
        <v>0</v>
      </c>
      <c r="LQ103" s="604"/>
    </row>
    <row r="104" spans="1:329" ht="12.75" customHeight="1" x14ac:dyDescent="0.3">
      <c r="A104" s="279"/>
      <c r="B104" s="41"/>
      <c r="C104" s="82"/>
      <c r="D104" s="41"/>
      <c r="E104" s="9"/>
      <c r="F104" s="9"/>
      <c r="G104" s="9"/>
      <c r="H104" s="10"/>
      <c r="I104" s="10"/>
      <c r="J104" s="10"/>
      <c r="K104" s="10"/>
      <c r="L104" s="10"/>
      <c r="M104" s="10"/>
      <c r="N104" s="9"/>
      <c r="O104" s="9"/>
      <c r="P104" s="44"/>
      <c r="Q104" s="44"/>
      <c r="R104" s="9"/>
      <c r="S104" s="9"/>
      <c r="T104" s="9"/>
      <c r="U104" s="9"/>
      <c r="V104" s="9"/>
      <c r="W104" s="9"/>
      <c r="X104" s="9"/>
      <c r="Y104" s="9"/>
      <c r="Z104" s="9"/>
      <c r="AA104" s="9"/>
      <c r="AB104" s="9"/>
      <c r="AC104" s="9"/>
      <c r="AD104" s="9"/>
      <c r="AE104" s="9"/>
      <c r="AF104" s="9"/>
      <c r="AG104" s="9"/>
      <c r="AH104" s="2514"/>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113"/>
      <c r="DI104" s="113"/>
      <c r="DJ104" s="113"/>
      <c r="DK104" s="118"/>
      <c r="DL104" s="118"/>
      <c r="DM104" s="118"/>
      <c r="DN104" s="118"/>
      <c r="DO104" s="118"/>
      <c r="DP104" s="118"/>
      <c r="DQ104" s="118"/>
      <c r="DR104" s="118"/>
      <c r="DS104" s="118"/>
      <c r="DT104" s="118"/>
      <c r="DU104" s="118"/>
      <c r="DV104" s="118"/>
      <c r="DW104" s="118"/>
      <c r="DX104" s="118"/>
      <c r="DY104" s="118"/>
      <c r="DZ104" s="118"/>
      <c r="EA104" s="118"/>
      <c r="EB104" s="118"/>
      <c r="EC104" s="118"/>
      <c r="ED104" s="118"/>
      <c r="EE104" s="118"/>
      <c r="EF104" s="118"/>
      <c r="EG104" s="118"/>
      <c r="EH104" s="118"/>
      <c r="EI104" s="118"/>
      <c r="EJ104" s="118"/>
      <c r="EK104" s="118"/>
      <c r="EL104" s="118"/>
      <c r="EM104" s="118"/>
      <c r="EN104" s="118"/>
      <c r="EO104" s="118"/>
      <c r="EP104" s="118"/>
      <c r="EQ104" s="118"/>
      <c r="ER104" s="118"/>
      <c r="ES104" s="118"/>
      <c r="ET104" s="118"/>
      <c r="EU104" s="118"/>
      <c r="EV104" s="118"/>
      <c r="EW104" s="118"/>
      <c r="EX104" s="118"/>
      <c r="EY104" s="118"/>
      <c r="EZ104" s="118"/>
      <c r="FA104" s="118"/>
      <c r="FB104" s="118"/>
      <c r="FC104" s="118"/>
      <c r="FD104" s="118"/>
      <c r="FE104" s="118"/>
      <c r="FF104" s="118"/>
      <c r="FG104" s="118"/>
      <c r="FH104" s="118"/>
      <c r="FI104" s="180"/>
      <c r="FJ104" s="132"/>
      <c r="FK104" s="132"/>
      <c r="FL104" s="181">
        <f t="shared" ca="1" si="197"/>
        <v>37</v>
      </c>
      <c r="FM104" s="1340">
        <f t="shared" ca="1" si="198"/>
        <v>0</v>
      </c>
      <c r="FN104" s="1341">
        <f t="shared" ca="1" si="199"/>
        <v>0</v>
      </c>
      <c r="FO104" s="1342">
        <f t="shared" ca="1" si="200"/>
        <v>36</v>
      </c>
      <c r="FP104" s="1343">
        <f t="shared" ca="1" si="201"/>
        <v>0</v>
      </c>
      <c r="FQ104" s="1344">
        <f t="shared" si="202"/>
        <v>40</v>
      </c>
      <c r="FR104" s="1344">
        <f t="shared" si="203"/>
        <v>50</v>
      </c>
      <c r="FS104" s="1345">
        <f t="shared" si="204"/>
        <v>37</v>
      </c>
      <c r="FT104" s="1345"/>
      <c r="FU104" s="1346">
        <f t="shared" ca="1" si="219"/>
        <v>0</v>
      </c>
      <c r="FV104" s="1346"/>
      <c r="FW104" s="1346"/>
      <c r="FX104" s="1347"/>
      <c r="FY104" s="1348"/>
      <c r="FZ104" s="1348"/>
      <c r="GA104" s="1348"/>
      <c r="GB104" s="1349"/>
      <c r="GC104" s="1350"/>
      <c r="GD104" s="1348"/>
      <c r="GE104" s="1348"/>
      <c r="GF104" s="1348"/>
      <c r="GG104" s="1348"/>
      <c r="GH104" s="1348"/>
      <c r="GI104" s="1348"/>
      <c r="GJ104" s="1348"/>
      <c r="GK104" s="1348"/>
      <c r="GL104" s="1348"/>
      <c r="GM104" s="1348"/>
      <c r="GN104" s="3825">
        <f t="shared" ca="1" si="205"/>
        <v>0</v>
      </c>
      <c r="GO104" s="3825"/>
      <c r="GP104" s="3825"/>
      <c r="GQ104" s="3826"/>
      <c r="GR104" s="3675"/>
      <c r="GS104" s="3676"/>
      <c r="GT104" s="1756">
        <f t="shared" ca="1" si="220"/>
        <v>0</v>
      </c>
      <c r="GU104" s="1757">
        <f t="shared" ca="1" si="220"/>
        <v>0</v>
      </c>
      <c r="GV104" s="1757">
        <f t="shared" ca="1" si="220"/>
        <v>0</v>
      </c>
      <c r="GW104" s="1757">
        <f t="shared" ca="1" si="220"/>
        <v>0</v>
      </c>
      <c r="GX104" s="1757">
        <f t="shared" ca="1" si="220"/>
        <v>0</v>
      </c>
      <c r="GY104" s="1757">
        <f t="shared" ca="1" si="220"/>
        <v>0</v>
      </c>
      <c r="GZ104" s="1757">
        <f t="shared" ca="1" si="220"/>
        <v>0</v>
      </c>
      <c r="HA104" s="1757">
        <f t="shared" ca="1" si="220"/>
        <v>0</v>
      </c>
      <c r="HB104" s="1757">
        <f t="shared" ca="1" si="220"/>
        <v>0</v>
      </c>
      <c r="HC104" s="1757">
        <f t="shared" ca="1" si="220"/>
        <v>0</v>
      </c>
      <c r="HD104" s="1757">
        <f t="shared" ca="1" si="221"/>
        <v>0</v>
      </c>
      <c r="HE104" s="1757">
        <f t="shared" ca="1" si="221"/>
        <v>0</v>
      </c>
      <c r="HF104" s="1757">
        <f t="shared" ca="1" si="221"/>
        <v>0</v>
      </c>
      <c r="HG104" s="1757">
        <f t="shared" ca="1" si="221"/>
        <v>0</v>
      </c>
      <c r="HH104" s="1757">
        <f t="shared" ca="1" si="221"/>
        <v>0</v>
      </c>
      <c r="HI104" s="1757">
        <f t="shared" ca="1" si="221"/>
        <v>0</v>
      </c>
      <c r="HJ104" s="1757">
        <f t="shared" ca="1" si="221"/>
        <v>0</v>
      </c>
      <c r="HK104" s="1757">
        <f t="shared" ca="1" si="221"/>
        <v>0</v>
      </c>
      <c r="HL104" s="1757">
        <f t="shared" ca="1" si="221"/>
        <v>0</v>
      </c>
      <c r="HM104" s="1757">
        <f t="shared" ca="1" si="221"/>
        <v>0</v>
      </c>
      <c r="HN104" s="1757">
        <f t="shared" ca="1" si="222"/>
        <v>0</v>
      </c>
      <c r="HO104" s="1757">
        <f t="shared" ca="1" si="222"/>
        <v>0</v>
      </c>
      <c r="HP104" s="1757">
        <f t="shared" ca="1" si="222"/>
        <v>0</v>
      </c>
      <c r="HQ104" s="1757">
        <f t="shared" ca="1" si="222"/>
        <v>0</v>
      </c>
      <c r="HR104" s="1757">
        <f t="shared" ca="1" si="222"/>
        <v>0</v>
      </c>
      <c r="HS104" s="1757">
        <f t="shared" ca="1" si="222"/>
        <v>0</v>
      </c>
      <c r="HT104" s="1757">
        <f t="shared" ca="1" si="222"/>
        <v>0</v>
      </c>
      <c r="HU104" s="1757">
        <f t="shared" ca="1" si="222"/>
        <v>0</v>
      </c>
      <c r="HV104" s="1757">
        <f t="shared" ca="1" si="222"/>
        <v>0</v>
      </c>
      <c r="HW104" s="1757">
        <f t="shared" ca="1" si="222"/>
        <v>0</v>
      </c>
      <c r="HX104" s="1757">
        <f t="shared" ca="1" si="223"/>
        <v>0</v>
      </c>
      <c r="HY104" s="1757">
        <f t="shared" ca="1" si="223"/>
        <v>0</v>
      </c>
      <c r="HZ104" s="1757">
        <f t="shared" ca="1" si="223"/>
        <v>0</v>
      </c>
      <c r="IA104" s="1757">
        <f t="shared" ca="1" si="223"/>
        <v>0</v>
      </c>
      <c r="IB104" s="1757">
        <f t="shared" ca="1" si="223"/>
        <v>0</v>
      </c>
      <c r="IC104" s="1757">
        <f t="shared" ca="1" si="223"/>
        <v>0</v>
      </c>
      <c r="ID104" s="1757">
        <f t="shared" ca="1" si="223"/>
        <v>0</v>
      </c>
      <c r="IE104" s="1757">
        <f t="shared" ca="1" si="223"/>
        <v>0</v>
      </c>
      <c r="IF104" s="1757">
        <f t="shared" ca="1" si="223"/>
        <v>0</v>
      </c>
      <c r="IG104" s="1757">
        <f t="shared" ca="1" si="223"/>
        <v>0</v>
      </c>
      <c r="IH104" s="1757">
        <f t="shared" ca="1" si="224"/>
        <v>0</v>
      </c>
      <c r="II104" s="1757">
        <f t="shared" ca="1" si="224"/>
        <v>0</v>
      </c>
      <c r="IJ104" s="1757">
        <f t="shared" ca="1" si="224"/>
        <v>0</v>
      </c>
      <c r="IK104" s="1757">
        <f t="shared" ca="1" si="224"/>
        <v>0</v>
      </c>
      <c r="IL104" s="1757">
        <f t="shared" ca="1" si="224"/>
        <v>0</v>
      </c>
      <c r="IM104" s="1757">
        <f t="shared" ca="1" si="224"/>
        <v>0</v>
      </c>
      <c r="IN104" s="1757">
        <f t="shared" ca="1" si="224"/>
        <v>0</v>
      </c>
      <c r="IO104" s="1757">
        <f t="shared" ca="1" si="224"/>
        <v>0</v>
      </c>
      <c r="IP104" s="1757">
        <f t="shared" ca="1" si="224"/>
        <v>0</v>
      </c>
      <c r="IQ104" s="1757">
        <f t="shared" ca="1" si="224"/>
        <v>0</v>
      </c>
      <c r="IR104" s="1757">
        <f t="shared" ca="1" si="225"/>
        <v>0</v>
      </c>
      <c r="IS104" s="1757">
        <f t="shared" ca="1" si="225"/>
        <v>0</v>
      </c>
      <c r="IT104" s="1757">
        <f t="shared" ca="1" si="225"/>
        <v>0</v>
      </c>
      <c r="IU104" s="1757">
        <f t="shared" ca="1" si="225"/>
        <v>0</v>
      </c>
      <c r="IV104" s="1757">
        <f t="shared" ca="1" si="225"/>
        <v>0</v>
      </c>
      <c r="IW104" s="1757">
        <f t="shared" ca="1" si="225"/>
        <v>0</v>
      </c>
      <c r="IX104" s="1757">
        <f t="shared" ca="1" si="225"/>
        <v>0</v>
      </c>
      <c r="IY104" s="1757">
        <f t="shared" ca="1" si="225"/>
        <v>0</v>
      </c>
      <c r="IZ104" s="1757">
        <f t="shared" ca="1" si="225"/>
        <v>0</v>
      </c>
      <c r="JA104" s="1757">
        <f t="shared" ca="1" si="225"/>
        <v>0</v>
      </c>
      <c r="JB104" s="1757">
        <f t="shared" ca="1" si="226"/>
        <v>0</v>
      </c>
      <c r="JC104" s="1757">
        <f t="shared" ca="1" si="226"/>
        <v>0</v>
      </c>
      <c r="JD104" s="1757">
        <f t="shared" ca="1" si="226"/>
        <v>0</v>
      </c>
      <c r="JE104" s="1757">
        <f t="shared" ca="1" si="226"/>
        <v>0</v>
      </c>
      <c r="JF104" s="1757">
        <f t="shared" ca="1" si="226"/>
        <v>0</v>
      </c>
      <c r="JG104" s="1757">
        <f t="shared" ca="1" si="226"/>
        <v>0</v>
      </c>
      <c r="JH104" s="1757">
        <f t="shared" ca="1" si="226"/>
        <v>0</v>
      </c>
      <c r="JI104" s="1757">
        <f t="shared" ca="1" si="226"/>
        <v>0</v>
      </c>
      <c r="JJ104" s="1757">
        <f t="shared" ca="1" si="226"/>
        <v>0</v>
      </c>
      <c r="JK104" s="1757">
        <f t="shared" ca="1" si="226"/>
        <v>0</v>
      </c>
      <c r="JL104" s="1757">
        <f t="shared" ca="1" si="227"/>
        <v>0</v>
      </c>
      <c r="JM104" s="1757">
        <f t="shared" ca="1" si="227"/>
        <v>0</v>
      </c>
      <c r="JN104" s="1757">
        <f t="shared" ca="1" si="227"/>
        <v>0</v>
      </c>
      <c r="JO104" s="1757">
        <f t="shared" ca="1" si="227"/>
        <v>0</v>
      </c>
      <c r="JP104" s="1757">
        <f t="shared" ca="1" si="227"/>
        <v>0</v>
      </c>
      <c r="JQ104" s="1757">
        <f t="shared" ca="1" si="227"/>
        <v>0</v>
      </c>
      <c r="JR104" s="1757">
        <f t="shared" ca="1" si="227"/>
        <v>0</v>
      </c>
      <c r="JS104" s="1757">
        <f t="shared" ca="1" si="227"/>
        <v>0</v>
      </c>
      <c r="JT104" s="1757">
        <f t="shared" ca="1" si="227"/>
        <v>0</v>
      </c>
      <c r="JU104" s="1757">
        <f t="shared" ca="1" si="227"/>
        <v>0</v>
      </c>
      <c r="JV104" s="1757">
        <f t="shared" ca="1" si="228"/>
        <v>0</v>
      </c>
      <c r="JW104" s="1757">
        <f t="shared" ca="1" si="228"/>
        <v>0</v>
      </c>
      <c r="JX104" s="1757">
        <f t="shared" ca="1" si="228"/>
        <v>0</v>
      </c>
      <c r="JY104" s="1757">
        <f t="shared" ca="1" si="228"/>
        <v>0</v>
      </c>
      <c r="JZ104" s="1757">
        <f t="shared" ca="1" si="228"/>
        <v>0</v>
      </c>
      <c r="KA104" s="1757">
        <f t="shared" ca="1" si="228"/>
        <v>0</v>
      </c>
      <c r="KB104" s="1757">
        <f t="shared" ca="1" si="228"/>
        <v>0</v>
      </c>
      <c r="KC104" s="1757">
        <f t="shared" ca="1" si="228"/>
        <v>0</v>
      </c>
      <c r="KD104" s="1757">
        <f t="shared" ca="1" si="228"/>
        <v>0</v>
      </c>
      <c r="KE104" s="1757">
        <f t="shared" ca="1" si="228"/>
        <v>0</v>
      </c>
      <c r="KF104" s="1757">
        <f t="shared" ca="1" si="229"/>
        <v>0</v>
      </c>
      <c r="KG104" s="1757">
        <f t="shared" ca="1" si="229"/>
        <v>0</v>
      </c>
      <c r="KH104" s="1757">
        <f t="shared" ca="1" si="229"/>
        <v>0</v>
      </c>
      <c r="KI104" s="1757">
        <f t="shared" ca="1" si="229"/>
        <v>0</v>
      </c>
      <c r="KJ104" s="1757">
        <f t="shared" ca="1" si="229"/>
        <v>0</v>
      </c>
      <c r="KK104" s="1757">
        <f t="shared" ca="1" si="229"/>
        <v>0</v>
      </c>
      <c r="KL104" s="1757">
        <f t="shared" ca="1" si="229"/>
        <v>0</v>
      </c>
      <c r="KM104" s="1757">
        <f t="shared" ca="1" si="229"/>
        <v>0</v>
      </c>
      <c r="KN104" s="1757">
        <f t="shared" ca="1" si="229"/>
        <v>0</v>
      </c>
      <c r="KO104" s="1757">
        <f t="shared" ca="1" si="229"/>
        <v>0</v>
      </c>
      <c r="KP104" s="1757">
        <f t="shared" ca="1" si="230"/>
        <v>0</v>
      </c>
      <c r="KQ104" s="1757">
        <f t="shared" ca="1" si="230"/>
        <v>0</v>
      </c>
      <c r="KR104" s="1757">
        <f t="shared" ca="1" si="230"/>
        <v>0</v>
      </c>
      <c r="KS104" s="1757">
        <f t="shared" ca="1" si="230"/>
        <v>0</v>
      </c>
      <c r="KT104" s="1757">
        <f t="shared" ca="1" si="230"/>
        <v>0</v>
      </c>
      <c r="KU104" s="1757">
        <f t="shared" ca="1" si="230"/>
        <v>0</v>
      </c>
      <c r="KV104" s="1757">
        <f t="shared" ca="1" si="230"/>
        <v>0</v>
      </c>
      <c r="KW104" s="1757">
        <f t="shared" ca="1" si="230"/>
        <v>0</v>
      </c>
      <c r="KX104" s="1757">
        <f t="shared" ca="1" si="230"/>
        <v>0</v>
      </c>
      <c r="KY104" s="1757">
        <f t="shared" ca="1" si="230"/>
        <v>0</v>
      </c>
      <c r="KZ104" s="1757">
        <f t="shared" ca="1" si="231"/>
        <v>0</v>
      </c>
      <c r="LA104" s="1757">
        <f t="shared" ca="1" si="231"/>
        <v>0</v>
      </c>
      <c r="LB104" s="1757">
        <f t="shared" ca="1" si="231"/>
        <v>0</v>
      </c>
      <c r="LC104" s="1757">
        <f t="shared" ca="1" si="231"/>
        <v>0</v>
      </c>
      <c r="LD104" s="1757">
        <f t="shared" ca="1" si="231"/>
        <v>0</v>
      </c>
      <c r="LE104" s="1757">
        <f t="shared" ca="1" si="231"/>
        <v>0</v>
      </c>
      <c r="LF104" s="1757">
        <f t="shared" ca="1" si="231"/>
        <v>0</v>
      </c>
      <c r="LG104" s="1757">
        <f t="shared" ca="1" si="231"/>
        <v>0</v>
      </c>
      <c r="LH104" s="1757">
        <f t="shared" ca="1" si="231"/>
        <v>0</v>
      </c>
      <c r="LI104" s="1757">
        <f t="shared" ca="1" si="231"/>
        <v>0</v>
      </c>
      <c r="LJ104" s="1757">
        <f t="shared" ca="1" si="232"/>
        <v>0</v>
      </c>
      <c r="LK104" s="1757">
        <f t="shared" ca="1" si="232"/>
        <v>0</v>
      </c>
      <c r="LL104" s="1757">
        <f t="shared" ca="1" si="232"/>
        <v>0</v>
      </c>
      <c r="LM104" s="1757">
        <f t="shared" ca="1" si="232"/>
        <v>0</v>
      </c>
      <c r="LN104" s="1757">
        <f t="shared" ca="1" si="232"/>
        <v>0</v>
      </c>
      <c r="LO104" s="1757">
        <f t="shared" ca="1" si="232"/>
        <v>0</v>
      </c>
      <c r="LP104" s="1758">
        <f t="shared" ca="1" si="232"/>
        <v>0</v>
      </c>
      <c r="LQ104" s="604"/>
    </row>
    <row r="105" spans="1:329" ht="12.75" customHeight="1" x14ac:dyDescent="0.3">
      <c r="A105" s="279"/>
      <c r="B105" s="41"/>
      <c r="C105" s="82"/>
      <c r="D105" s="41"/>
      <c r="E105" s="9"/>
      <c r="F105" s="9"/>
      <c r="G105" s="9"/>
      <c r="H105" s="10"/>
      <c r="I105" s="10"/>
      <c r="J105" s="10"/>
      <c r="K105" s="10"/>
      <c r="L105" s="10"/>
      <c r="M105" s="10"/>
      <c r="N105" s="9"/>
      <c r="O105" s="9"/>
      <c r="P105" s="44"/>
      <c r="Q105" s="44"/>
      <c r="R105" s="9"/>
      <c r="S105" s="9"/>
      <c r="T105" s="9"/>
      <c r="U105" s="9"/>
      <c r="V105" s="9"/>
      <c r="W105" s="9"/>
      <c r="X105" s="9"/>
      <c r="Y105" s="9"/>
      <c r="Z105" s="9"/>
      <c r="AA105" s="9"/>
      <c r="AB105" s="9"/>
      <c r="AC105" s="9"/>
      <c r="AD105" s="9"/>
      <c r="AE105" s="9"/>
      <c r="AF105" s="9"/>
      <c r="AG105" s="9"/>
      <c r="AH105" s="2514"/>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113"/>
      <c r="DI105" s="113"/>
      <c r="DJ105" s="113"/>
      <c r="DK105" s="118"/>
      <c r="DL105" s="118"/>
      <c r="DM105" s="118"/>
      <c r="DN105" s="118"/>
      <c r="DO105" s="118"/>
      <c r="DP105" s="118"/>
      <c r="DQ105" s="118"/>
      <c r="DR105" s="118"/>
      <c r="DS105" s="118"/>
      <c r="DT105" s="118"/>
      <c r="DU105" s="118"/>
      <c r="DV105" s="118"/>
      <c r="DW105" s="118"/>
      <c r="DX105" s="118"/>
      <c r="DY105" s="118"/>
      <c r="DZ105" s="118"/>
      <c r="EA105" s="118"/>
      <c r="EB105" s="118"/>
      <c r="EC105" s="118"/>
      <c r="ED105" s="118"/>
      <c r="EE105" s="118"/>
      <c r="EF105" s="118"/>
      <c r="EG105" s="118"/>
      <c r="EH105" s="118"/>
      <c r="EI105" s="118"/>
      <c r="EJ105" s="118"/>
      <c r="EK105" s="118"/>
      <c r="EL105" s="118"/>
      <c r="EM105" s="118"/>
      <c r="EN105" s="118"/>
      <c r="EO105" s="118"/>
      <c r="EP105" s="118"/>
      <c r="EQ105" s="118"/>
      <c r="ER105" s="118"/>
      <c r="ES105" s="118"/>
      <c r="ET105" s="118"/>
      <c r="EU105" s="118"/>
      <c r="EV105" s="118"/>
      <c r="EW105" s="118"/>
      <c r="EX105" s="118"/>
      <c r="EY105" s="118"/>
      <c r="EZ105" s="118"/>
      <c r="FA105" s="118"/>
      <c r="FB105" s="118"/>
      <c r="FC105" s="118"/>
      <c r="FD105" s="118"/>
      <c r="FE105" s="118"/>
      <c r="FF105" s="118"/>
      <c r="FG105" s="118"/>
      <c r="FH105" s="118"/>
      <c r="FI105" s="180"/>
      <c r="FJ105" s="132"/>
      <c r="FK105" s="132"/>
      <c r="FL105" s="181">
        <f t="shared" ca="1" si="197"/>
        <v>36</v>
      </c>
      <c r="FM105" s="1340">
        <f t="shared" ca="1" si="198"/>
        <v>0</v>
      </c>
      <c r="FN105" s="1341">
        <f t="shared" ca="1" si="199"/>
        <v>0</v>
      </c>
      <c r="FO105" s="1342">
        <f t="shared" ca="1" si="200"/>
        <v>35</v>
      </c>
      <c r="FP105" s="1343">
        <f t="shared" ca="1" si="201"/>
        <v>0</v>
      </c>
      <c r="FQ105" s="1344">
        <f t="shared" si="202"/>
        <v>40</v>
      </c>
      <c r="FR105" s="1344">
        <f t="shared" si="203"/>
        <v>50</v>
      </c>
      <c r="FS105" s="1345">
        <f t="shared" si="204"/>
        <v>36</v>
      </c>
      <c r="FT105" s="1345"/>
      <c r="FU105" s="1346">
        <f t="shared" ca="1" si="219"/>
        <v>0</v>
      </c>
      <c r="FV105" s="1346"/>
      <c r="FW105" s="1346"/>
      <c r="FX105" s="1347"/>
      <c r="FY105" s="1348"/>
      <c r="FZ105" s="1348"/>
      <c r="GA105" s="1348"/>
      <c r="GB105" s="1349"/>
      <c r="GC105" s="1350"/>
      <c r="GD105" s="1348"/>
      <c r="GE105" s="1348"/>
      <c r="GF105" s="1348"/>
      <c r="GG105" s="1348"/>
      <c r="GH105" s="1348"/>
      <c r="GI105" s="1348"/>
      <c r="GJ105" s="1348"/>
      <c r="GK105" s="1348"/>
      <c r="GL105" s="1348"/>
      <c r="GM105" s="1348"/>
      <c r="GN105" s="3825">
        <f t="shared" ca="1" si="205"/>
        <v>0</v>
      </c>
      <c r="GO105" s="3825"/>
      <c r="GP105" s="3825"/>
      <c r="GQ105" s="3826"/>
      <c r="GR105" s="3675"/>
      <c r="GS105" s="3676"/>
      <c r="GT105" s="1756">
        <f t="shared" ca="1" si="220"/>
        <v>0</v>
      </c>
      <c r="GU105" s="1757">
        <f t="shared" ca="1" si="220"/>
        <v>0</v>
      </c>
      <c r="GV105" s="1757">
        <f t="shared" ca="1" si="220"/>
        <v>0</v>
      </c>
      <c r="GW105" s="1757">
        <f t="shared" ca="1" si="220"/>
        <v>0</v>
      </c>
      <c r="GX105" s="1757">
        <f t="shared" ca="1" si="220"/>
        <v>0</v>
      </c>
      <c r="GY105" s="1757">
        <f t="shared" ca="1" si="220"/>
        <v>0</v>
      </c>
      <c r="GZ105" s="1757">
        <f t="shared" ca="1" si="220"/>
        <v>0</v>
      </c>
      <c r="HA105" s="1757">
        <f t="shared" ca="1" si="220"/>
        <v>0</v>
      </c>
      <c r="HB105" s="1757">
        <f t="shared" ca="1" si="220"/>
        <v>0</v>
      </c>
      <c r="HC105" s="1757">
        <f t="shared" ca="1" si="220"/>
        <v>0</v>
      </c>
      <c r="HD105" s="1757">
        <f t="shared" ca="1" si="221"/>
        <v>0</v>
      </c>
      <c r="HE105" s="1757">
        <f t="shared" ca="1" si="221"/>
        <v>0</v>
      </c>
      <c r="HF105" s="1757">
        <f t="shared" ca="1" si="221"/>
        <v>0</v>
      </c>
      <c r="HG105" s="1757">
        <f t="shared" ca="1" si="221"/>
        <v>0</v>
      </c>
      <c r="HH105" s="1757">
        <f t="shared" ca="1" si="221"/>
        <v>0</v>
      </c>
      <c r="HI105" s="1757">
        <f t="shared" ca="1" si="221"/>
        <v>0</v>
      </c>
      <c r="HJ105" s="1757">
        <f t="shared" ca="1" si="221"/>
        <v>0</v>
      </c>
      <c r="HK105" s="1757">
        <f t="shared" ca="1" si="221"/>
        <v>0</v>
      </c>
      <c r="HL105" s="1757">
        <f t="shared" ca="1" si="221"/>
        <v>0</v>
      </c>
      <c r="HM105" s="1757">
        <f t="shared" ca="1" si="221"/>
        <v>0</v>
      </c>
      <c r="HN105" s="1757">
        <f t="shared" ca="1" si="222"/>
        <v>0</v>
      </c>
      <c r="HO105" s="1757">
        <f t="shared" ca="1" si="222"/>
        <v>0</v>
      </c>
      <c r="HP105" s="1757">
        <f t="shared" ca="1" si="222"/>
        <v>0</v>
      </c>
      <c r="HQ105" s="1757">
        <f t="shared" ca="1" si="222"/>
        <v>0</v>
      </c>
      <c r="HR105" s="1757">
        <f t="shared" ca="1" si="222"/>
        <v>0</v>
      </c>
      <c r="HS105" s="1757">
        <f t="shared" ca="1" si="222"/>
        <v>0</v>
      </c>
      <c r="HT105" s="1757">
        <f t="shared" ca="1" si="222"/>
        <v>0</v>
      </c>
      <c r="HU105" s="1757">
        <f t="shared" ca="1" si="222"/>
        <v>0</v>
      </c>
      <c r="HV105" s="1757">
        <f t="shared" ca="1" si="222"/>
        <v>0</v>
      </c>
      <c r="HW105" s="1757">
        <f t="shared" ca="1" si="222"/>
        <v>0</v>
      </c>
      <c r="HX105" s="1757">
        <f t="shared" ca="1" si="223"/>
        <v>0</v>
      </c>
      <c r="HY105" s="1757">
        <f t="shared" ca="1" si="223"/>
        <v>0</v>
      </c>
      <c r="HZ105" s="1757">
        <f t="shared" ca="1" si="223"/>
        <v>0</v>
      </c>
      <c r="IA105" s="1757">
        <f t="shared" ca="1" si="223"/>
        <v>0</v>
      </c>
      <c r="IB105" s="1757">
        <f t="shared" ca="1" si="223"/>
        <v>0</v>
      </c>
      <c r="IC105" s="1757">
        <f t="shared" ca="1" si="223"/>
        <v>0</v>
      </c>
      <c r="ID105" s="1757">
        <f t="shared" ca="1" si="223"/>
        <v>0</v>
      </c>
      <c r="IE105" s="1757">
        <f t="shared" ca="1" si="223"/>
        <v>0</v>
      </c>
      <c r="IF105" s="1757">
        <f t="shared" ca="1" si="223"/>
        <v>0</v>
      </c>
      <c r="IG105" s="1757">
        <f t="shared" ca="1" si="223"/>
        <v>0</v>
      </c>
      <c r="IH105" s="1757">
        <f t="shared" ca="1" si="224"/>
        <v>0</v>
      </c>
      <c r="II105" s="1757">
        <f t="shared" ca="1" si="224"/>
        <v>0</v>
      </c>
      <c r="IJ105" s="1757">
        <f t="shared" ca="1" si="224"/>
        <v>0</v>
      </c>
      <c r="IK105" s="1757">
        <f t="shared" ca="1" si="224"/>
        <v>0</v>
      </c>
      <c r="IL105" s="1757">
        <f t="shared" ca="1" si="224"/>
        <v>0</v>
      </c>
      <c r="IM105" s="1757">
        <f t="shared" ca="1" si="224"/>
        <v>0</v>
      </c>
      <c r="IN105" s="1757">
        <f t="shared" ca="1" si="224"/>
        <v>0</v>
      </c>
      <c r="IO105" s="1757">
        <f t="shared" ca="1" si="224"/>
        <v>0</v>
      </c>
      <c r="IP105" s="1757">
        <f t="shared" ca="1" si="224"/>
        <v>0</v>
      </c>
      <c r="IQ105" s="1757">
        <f t="shared" ca="1" si="224"/>
        <v>0</v>
      </c>
      <c r="IR105" s="1757">
        <f t="shared" ca="1" si="225"/>
        <v>0</v>
      </c>
      <c r="IS105" s="1757">
        <f t="shared" ca="1" si="225"/>
        <v>0</v>
      </c>
      <c r="IT105" s="1757">
        <f t="shared" ca="1" si="225"/>
        <v>0</v>
      </c>
      <c r="IU105" s="1757">
        <f t="shared" ca="1" si="225"/>
        <v>0</v>
      </c>
      <c r="IV105" s="1757">
        <f t="shared" ca="1" si="225"/>
        <v>0</v>
      </c>
      <c r="IW105" s="1757">
        <f t="shared" ca="1" si="225"/>
        <v>0</v>
      </c>
      <c r="IX105" s="1757">
        <f t="shared" ca="1" si="225"/>
        <v>0</v>
      </c>
      <c r="IY105" s="1757">
        <f t="shared" ca="1" si="225"/>
        <v>0</v>
      </c>
      <c r="IZ105" s="1757">
        <f t="shared" ca="1" si="225"/>
        <v>0</v>
      </c>
      <c r="JA105" s="1757">
        <f t="shared" ca="1" si="225"/>
        <v>0</v>
      </c>
      <c r="JB105" s="1757">
        <f t="shared" ca="1" si="226"/>
        <v>0</v>
      </c>
      <c r="JC105" s="1757">
        <f t="shared" ca="1" si="226"/>
        <v>0</v>
      </c>
      <c r="JD105" s="1757">
        <f t="shared" ca="1" si="226"/>
        <v>0</v>
      </c>
      <c r="JE105" s="1757">
        <f t="shared" ca="1" si="226"/>
        <v>0</v>
      </c>
      <c r="JF105" s="1757">
        <f t="shared" ca="1" si="226"/>
        <v>0</v>
      </c>
      <c r="JG105" s="1757">
        <f t="shared" ca="1" si="226"/>
        <v>0</v>
      </c>
      <c r="JH105" s="1757">
        <f t="shared" ca="1" si="226"/>
        <v>0</v>
      </c>
      <c r="JI105" s="1757">
        <f t="shared" ca="1" si="226"/>
        <v>0</v>
      </c>
      <c r="JJ105" s="1757">
        <f t="shared" ca="1" si="226"/>
        <v>0</v>
      </c>
      <c r="JK105" s="1757">
        <f t="shared" ca="1" si="226"/>
        <v>0</v>
      </c>
      <c r="JL105" s="1757">
        <f t="shared" ca="1" si="227"/>
        <v>0</v>
      </c>
      <c r="JM105" s="1757">
        <f t="shared" ca="1" si="227"/>
        <v>0</v>
      </c>
      <c r="JN105" s="1757">
        <f t="shared" ca="1" si="227"/>
        <v>0</v>
      </c>
      <c r="JO105" s="1757">
        <f t="shared" ca="1" si="227"/>
        <v>0</v>
      </c>
      <c r="JP105" s="1757">
        <f t="shared" ca="1" si="227"/>
        <v>0</v>
      </c>
      <c r="JQ105" s="1757">
        <f t="shared" ca="1" si="227"/>
        <v>0</v>
      </c>
      <c r="JR105" s="1757">
        <f t="shared" ca="1" si="227"/>
        <v>0</v>
      </c>
      <c r="JS105" s="1757">
        <f t="shared" ca="1" si="227"/>
        <v>0</v>
      </c>
      <c r="JT105" s="1757">
        <f t="shared" ca="1" si="227"/>
        <v>0</v>
      </c>
      <c r="JU105" s="1757">
        <f t="shared" ca="1" si="227"/>
        <v>0</v>
      </c>
      <c r="JV105" s="1757">
        <f t="shared" ca="1" si="228"/>
        <v>0</v>
      </c>
      <c r="JW105" s="1757">
        <f t="shared" ca="1" si="228"/>
        <v>0</v>
      </c>
      <c r="JX105" s="1757">
        <f t="shared" ca="1" si="228"/>
        <v>0</v>
      </c>
      <c r="JY105" s="1757">
        <f t="shared" ca="1" si="228"/>
        <v>0</v>
      </c>
      <c r="JZ105" s="1757">
        <f t="shared" ca="1" si="228"/>
        <v>0</v>
      </c>
      <c r="KA105" s="1757">
        <f t="shared" ca="1" si="228"/>
        <v>0</v>
      </c>
      <c r="KB105" s="1757">
        <f t="shared" ca="1" si="228"/>
        <v>0</v>
      </c>
      <c r="KC105" s="1757">
        <f t="shared" ca="1" si="228"/>
        <v>0</v>
      </c>
      <c r="KD105" s="1757">
        <f t="shared" ca="1" si="228"/>
        <v>0</v>
      </c>
      <c r="KE105" s="1757">
        <f t="shared" ca="1" si="228"/>
        <v>0</v>
      </c>
      <c r="KF105" s="1757">
        <f t="shared" ca="1" si="229"/>
        <v>0</v>
      </c>
      <c r="KG105" s="1757">
        <f t="shared" ca="1" si="229"/>
        <v>0</v>
      </c>
      <c r="KH105" s="1757">
        <f t="shared" ca="1" si="229"/>
        <v>0</v>
      </c>
      <c r="KI105" s="1757">
        <f t="shared" ca="1" si="229"/>
        <v>0</v>
      </c>
      <c r="KJ105" s="1757">
        <f t="shared" ca="1" si="229"/>
        <v>0</v>
      </c>
      <c r="KK105" s="1757">
        <f t="shared" ca="1" si="229"/>
        <v>0</v>
      </c>
      <c r="KL105" s="1757">
        <f t="shared" ca="1" si="229"/>
        <v>0</v>
      </c>
      <c r="KM105" s="1757">
        <f t="shared" ca="1" si="229"/>
        <v>0</v>
      </c>
      <c r="KN105" s="1757">
        <f t="shared" ca="1" si="229"/>
        <v>0</v>
      </c>
      <c r="KO105" s="1757">
        <f t="shared" ca="1" si="229"/>
        <v>0</v>
      </c>
      <c r="KP105" s="1757">
        <f t="shared" ca="1" si="230"/>
        <v>0</v>
      </c>
      <c r="KQ105" s="1757">
        <f t="shared" ca="1" si="230"/>
        <v>0</v>
      </c>
      <c r="KR105" s="1757">
        <f t="shared" ca="1" si="230"/>
        <v>0</v>
      </c>
      <c r="KS105" s="1757">
        <f t="shared" ca="1" si="230"/>
        <v>0</v>
      </c>
      <c r="KT105" s="1757">
        <f t="shared" ca="1" si="230"/>
        <v>0</v>
      </c>
      <c r="KU105" s="1757">
        <f t="shared" ca="1" si="230"/>
        <v>0</v>
      </c>
      <c r="KV105" s="1757">
        <f t="shared" ca="1" si="230"/>
        <v>0</v>
      </c>
      <c r="KW105" s="1757">
        <f t="shared" ca="1" si="230"/>
        <v>0</v>
      </c>
      <c r="KX105" s="1757">
        <f t="shared" ca="1" si="230"/>
        <v>0</v>
      </c>
      <c r="KY105" s="1757">
        <f t="shared" ca="1" si="230"/>
        <v>0</v>
      </c>
      <c r="KZ105" s="1757">
        <f t="shared" ca="1" si="231"/>
        <v>0</v>
      </c>
      <c r="LA105" s="1757">
        <f t="shared" ca="1" si="231"/>
        <v>0</v>
      </c>
      <c r="LB105" s="1757">
        <f t="shared" ca="1" si="231"/>
        <v>0</v>
      </c>
      <c r="LC105" s="1757">
        <f t="shared" ca="1" si="231"/>
        <v>0</v>
      </c>
      <c r="LD105" s="1757">
        <f t="shared" ca="1" si="231"/>
        <v>0</v>
      </c>
      <c r="LE105" s="1757">
        <f t="shared" ca="1" si="231"/>
        <v>0</v>
      </c>
      <c r="LF105" s="1757">
        <f t="shared" ca="1" si="231"/>
        <v>0</v>
      </c>
      <c r="LG105" s="1757">
        <f t="shared" ca="1" si="231"/>
        <v>0</v>
      </c>
      <c r="LH105" s="1757">
        <f t="shared" ca="1" si="231"/>
        <v>0</v>
      </c>
      <c r="LI105" s="1757">
        <f t="shared" ca="1" si="231"/>
        <v>0</v>
      </c>
      <c r="LJ105" s="1757">
        <f t="shared" ca="1" si="232"/>
        <v>0</v>
      </c>
      <c r="LK105" s="1757">
        <f t="shared" ca="1" si="232"/>
        <v>0</v>
      </c>
      <c r="LL105" s="1757">
        <f t="shared" ca="1" si="232"/>
        <v>0</v>
      </c>
      <c r="LM105" s="1757">
        <f t="shared" ca="1" si="232"/>
        <v>0</v>
      </c>
      <c r="LN105" s="1757">
        <f t="shared" ca="1" si="232"/>
        <v>0</v>
      </c>
      <c r="LO105" s="1757">
        <f t="shared" ca="1" si="232"/>
        <v>0</v>
      </c>
      <c r="LP105" s="1758">
        <f t="shared" ca="1" si="232"/>
        <v>0</v>
      </c>
      <c r="LQ105" s="604"/>
    </row>
    <row r="106" spans="1:329" ht="12.75" customHeight="1" x14ac:dyDescent="0.3">
      <c r="A106" s="279"/>
      <c r="B106" s="41"/>
      <c r="C106" s="82"/>
      <c r="D106" s="41"/>
      <c r="E106" s="9"/>
      <c r="F106" s="9"/>
      <c r="G106" s="9"/>
      <c r="H106" s="10"/>
      <c r="I106" s="10"/>
      <c r="J106" s="10"/>
      <c r="K106" s="10"/>
      <c r="L106" s="10"/>
      <c r="M106" s="10"/>
      <c r="N106" s="9"/>
      <c r="O106" s="9"/>
      <c r="P106" s="44"/>
      <c r="Q106" s="44"/>
      <c r="R106" s="9"/>
      <c r="S106" s="9"/>
      <c r="T106" s="9"/>
      <c r="U106" s="9"/>
      <c r="V106" s="9"/>
      <c r="W106" s="9"/>
      <c r="X106" s="9"/>
      <c r="Y106" s="9"/>
      <c r="Z106" s="9"/>
      <c r="AA106" s="9"/>
      <c r="AB106" s="9"/>
      <c r="AC106" s="9"/>
      <c r="AD106" s="9"/>
      <c r="AE106" s="9"/>
      <c r="AF106" s="9"/>
      <c r="AG106" s="9"/>
      <c r="AH106" s="2514"/>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113"/>
      <c r="DI106" s="113"/>
      <c r="DJ106" s="113"/>
      <c r="DK106" s="118"/>
      <c r="DL106" s="118"/>
      <c r="DM106" s="118"/>
      <c r="DN106" s="118"/>
      <c r="DO106" s="118"/>
      <c r="DP106" s="118"/>
      <c r="DQ106" s="118"/>
      <c r="DR106" s="118"/>
      <c r="DS106" s="118"/>
      <c r="DT106" s="118"/>
      <c r="DU106" s="118"/>
      <c r="DV106" s="118"/>
      <c r="DW106" s="118"/>
      <c r="DX106" s="118"/>
      <c r="DY106" s="118"/>
      <c r="DZ106" s="118"/>
      <c r="EA106" s="118"/>
      <c r="EB106" s="118"/>
      <c r="EC106" s="118"/>
      <c r="ED106" s="118"/>
      <c r="EE106" s="118"/>
      <c r="EF106" s="118"/>
      <c r="EG106" s="118"/>
      <c r="EH106" s="118"/>
      <c r="EI106" s="118"/>
      <c r="EJ106" s="118"/>
      <c r="EK106" s="118"/>
      <c r="EL106" s="118"/>
      <c r="EM106" s="118"/>
      <c r="EN106" s="118"/>
      <c r="EO106" s="118"/>
      <c r="EP106" s="118"/>
      <c r="EQ106" s="118"/>
      <c r="ER106" s="118"/>
      <c r="ES106" s="118"/>
      <c r="ET106" s="118"/>
      <c r="EU106" s="118"/>
      <c r="EV106" s="118"/>
      <c r="EW106" s="118"/>
      <c r="EX106" s="118"/>
      <c r="EY106" s="118"/>
      <c r="EZ106" s="118"/>
      <c r="FA106" s="118"/>
      <c r="FB106" s="118"/>
      <c r="FC106" s="118"/>
      <c r="FD106" s="118"/>
      <c r="FE106" s="118"/>
      <c r="FF106" s="118"/>
      <c r="FG106" s="118"/>
      <c r="FH106" s="118"/>
      <c r="FI106" s="180"/>
      <c r="FJ106" s="132"/>
      <c r="FK106" s="132"/>
      <c r="FL106" s="181">
        <f t="shared" ca="1" si="197"/>
        <v>35</v>
      </c>
      <c r="FM106" s="1340">
        <f t="shared" ca="1" si="198"/>
        <v>0</v>
      </c>
      <c r="FN106" s="1341">
        <f t="shared" ca="1" si="199"/>
        <v>0</v>
      </c>
      <c r="FO106" s="1342">
        <f t="shared" ca="1" si="200"/>
        <v>34</v>
      </c>
      <c r="FP106" s="1343">
        <f t="shared" ca="1" si="201"/>
        <v>0</v>
      </c>
      <c r="FQ106" s="1344">
        <f t="shared" si="202"/>
        <v>40</v>
      </c>
      <c r="FR106" s="1344">
        <f t="shared" si="203"/>
        <v>50</v>
      </c>
      <c r="FS106" s="1345">
        <f t="shared" si="204"/>
        <v>35</v>
      </c>
      <c r="FT106" s="1345"/>
      <c r="FU106" s="1346">
        <f t="shared" ca="1" si="219"/>
        <v>0</v>
      </c>
      <c r="FV106" s="1346"/>
      <c r="FW106" s="1346"/>
      <c r="FX106" s="1347"/>
      <c r="FY106" s="1348"/>
      <c r="FZ106" s="1348"/>
      <c r="GA106" s="1348"/>
      <c r="GB106" s="1349"/>
      <c r="GC106" s="1350"/>
      <c r="GD106" s="1348"/>
      <c r="GE106" s="1348"/>
      <c r="GF106" s="1348"/>
      <c r="GG106" s="1348"/>
      <c r="GH106" s="1348"/>
      <c r="GI106" s="1348"/>
      <c r="GJ106" s="1348"/>
      <c r="GK106" s="1348"/>
      <c r="GL106" s="1348"/>
      <c r="GM106" s="1348"/>
      <c r="GN106" s="3825">
        <f t="shared" ca="1" si="205"/>
        <v>0</v>
      </c>
      <c r="GO106" s="3825"/>
      <c r="GP106" s="3825"/>
      <c r="GQ106" s="3826"/>
      <c r="GR106" s="3675"/>
      <c r="GS106" s="3676"/>
      <c r="GT106" s="1756">
        <f t="shared" ca="1" si="220"/>
        <v>0</v>
      </c>
      <c r="GU106" s="1757">
        <f t="shared" ca="1" si="220"/>
        <v>0</v>
      </c>
      <c r="GV106" s="1757">
        <f t="shared" ca="1" si="220"/>
        <v>0</v>
      </c>
      <c r="GW106" s="1757">
        <f t="shared" ca="1" si="220"/>
        <v>0</v>
      </c>
      <c r="GX106" s="1757">
        <f t="shared" ca="1" si="220"/>
        <v>0</v>
      </c>
      <c r="GY106" s="1757">
        <f t="shared" ca="1" si="220"/>
        <v>0</v>
      </c>
      <c r="GZ106" s="1757">
        <f t="shared" ca="1" si="220"/>
        <v>0</v>
      </c>
      <c r="HA106" s="1757">
        <f t="shared" ca="1" si="220"/>
        <v>0</v>
      </c>
      <c r="HB106" s="1757">
        <f t="shared" ca="1" si="220"/>
        <v>0</v>
      </c>
      <c r="HC106" s="1757">
        <f t="shared" ca="1" si="220"/>
        <v>0</v>
      </c>
      <c r="HD106" s="1757">
        <f t="shared" ca="1" si="221"/>
        <v>0</v>
      </c>
      <c r="HE106" s="1757">
        <f t="shared" ca="1" si="221"/>
        <v>0</v>
      </c>
      <c r="HF106" s="1757">
        <f t="shared" ca="1" si="221"/>
        <v>0</v>
      </c>
      <c r="HG106" s="1757">
        <f t="shared" ca="1" si="221"/>
        <v>0</v>
      </c>
      <c r="HH106" s="1757">
        <f t="shared" ca="1" si="221"/>
        <v>0</v>
      </c>
      <c r="HI106" s="1757">
        <f t="shared" ca="1" si="221"/>
        <v>0</v>
      </c>
      <c r="HJ106" s="1757">
        <f t="shared" ca="1" si="221"/>
        <v>0</v>
      </c>
      <c r="HK106" s="1757">
        <f t="shared" ca="1" si="221"/>
        <v>0</v>
      </c>
      <c r="HL106" s="1757">
        <f t="shared" ca="1" si="221"/>
        <v>0</v>
      </c>
      <c r="HM106" s="1757">
        <f t="shared" ca="1" si="221"/>
        <v>0</v>
      </c>
      <c r="HN106" s="1757">
        <f t="shared" ca="1" si="222"/>
        <v>0</v>
      </c>
      <c r="HO106" s="1757">
        <f t="shared" ca="1" si="222"/>
        <v>0</v>
      </c>
      <c r="HP106" s="1757">
        <f t="shared" ca="1" si="222"/>
        <v>0</v>
      </c>
      <c r="HQ106" s="1757">
        <f t="shared" ca="1" si="222"/>
        <v>0</v>
      </c>
      <c r="HR106" s="1757">
        <f t="shared" ca="1" si="222"/>
        <v>0</v>
      </c>
      <c r="HS106" s="1757">
        <f t="shared" ca="1" si="222"/>
        <v>0</v>
      </c>
      <c r="HT106" s="1757">
        <f t="shared" ca="1" si="222"/>
        <v>0</v>
      </c>
      <c r="HU106" s="1757">
        <f t="shared" ca="1" si="222"/>
        <v>0</v>
      </c>
      <c r="HV106" s="1757">
        <f t="shared" ca="1" si="222"/>
        <v>0</v>
      </c>
      <c r="HW106" s="1757">
        <f t="shared" ca="1" si="222"/>
        <v>0</v>
      </c>
      <c r="HX106" s="1757">
        <f t="shared" ca="1" si="223"/>
        <v>0</v>
      </c>
      <c r="HY106" s="1757">
        <f t="shared" ca="1" si="223"/>
        <v>0</v>
      </c>
      <c r="HZ106" s="1757">
        <f t="shared" ca="1" si="223"/>
        <v>0</v>
      </c>
      <c r="IA106" s="1757">
        <f t="shared" ca="1" si="223"/>
        <v>0</v>
      </c>
      <c r="IB106" s="1757">
        <f t="shared" ca="1" si="223"/>
        <v>0</v>
      </c>
      <c r="IC106" s="1757">
        <f t="shared" ca="1" si="223"/>
        <v>0</v>
      </c>
      <c r="ID106" s="1757">
        <f t="shared" ca="1" si="223"/>
        <v>0</v>
      </c>
      <c r="IE106" s="1757">
        <f t="shared" ca="1" si="223"/>
        <v>0</v>
      </c>
      <c r="IF106" s="1757">
        <f t="shared" ca="1" si="223"/>
        <v>0</v>
      </c>
      <c r="IG106" s="1757">
        <f t="shared" ca="1" si="223"/>
        <v>0</v>
      </c>
      <c r="IH106" s="1757">
        <f t="shared" ca="1" si="224"/>
        <v>0</v>
      </c>
      <c r="II106" s="1757">
        <f t="shared" ca="1" si="224"/>
        <v>0</v>
      </c>
      <c r="IJ106" s="1757">
        <f t="shared" ca="1" si="224"/>
        <v>0</v>
      </c>
      <c r="IK106" s="1757">
        <f t="shared" ca="1" si="224"/>
        <v>0</v>
      </c>
      <c r="IL106" s="1757">
        <f t="shared" ca="1" si="224"/>
        <v>0</v>
      </c>
      <c r="IM106" s="1757">
        <f t="shared" ca="1" si="224"/>
        <v>0</v>
      </c>
      <c r="IN106" s="1757">
        <f t="shared" ca="1" si="224"/>
        <v>0</v>
      </c>
      <c r="IO106" s="1757">
        <f t="shared" ca="1" si="224"/>
        <v>0</v>
      </c>
      <c r="IP106" s="1757">
        <f t="shared" ca="1" si="224"/>
        <v>0</v>
      </c>
      <c r="IQ106" s="1757">
        <f t="shared" ca="1" si="224"/>
        <v>0</v>
      </c>
      <c r="IR106" s="1757">
        <f t="shared" ca="1" si="225"/>
        <v>0</v>
      </c>
      <c r="IS106" s="1757">
        <f t="shared" ca="1" si="225"/>
        <v>0</v>
      </c>
      <c r="IT106" s="1757">
        <f t="shared" ca="1" si="225"/>
        <v>0</v>
      </c>
      <c r="IU106" s="1757">
        <f t="shared" ca="1" si="225"/>
        <v>0</v>
      </c>
      <c r="IV106" s="1757">
        <f t="shared" ca="1" si="225"/>
        <v>0</v>
      </c>
      <c r="IW106" s="1757">
        <f t="shared" ca="1" si="225"/>
        <v>0</v>
      </c>
      <c r="IX106" s="1757">
        <f t="shared" ca="1" si="225"/>
        <v>0</v>
      </c>
      <c r="IY106" s="1757">
        <f t="shared" ca="1" si="225"/>
        <v>0</v>
      </c>
      <c r="IZ106" s="1757">
        <f t="shared" ca="1" si="225"/>
        <v>0</v>
      </c>
      <c r="JA106" s="1757">
        <f t="shared" ca="1" si="225"/>
        <v>0</v>
      </c>
      <c r="JB106" s="1757">
        <f t="shared" ca="1" si="226"/>
        <v>0</v>
      </c>
      <c r="JC106" s="1757">
        <f t="shared" ca="1" si="226"/>
        <v>0</v>
      </c>
      <c r="JD106" s="1757">
        <f t="shared" ca="1" si="226"/>
        <v>0</v>
      </c>
      <c r="JE106" s="1757">
        <f t="shared" ca="1" si="226"/>
        <v>0</v>
      </c>
      <c r="JF106" s="1757">
        <f t="shared" ca="1" si="226"/>
        <v>0</v>
      </c>
      <c r="JG106" s="1757">
        <f t="shared" ca="1" si="226"/>
        <v>0</v>
      </c>
      <c r="JH106" s="1757">
        <f t="shared" ca="1" si="226"/>
        <v>0</v>
      </c>
      <c r="JI106" s="1757">
        <f t="shared" ca="1" si="226"/>
        <v>0</v>
      </c>
      <c r="JJ106" s="1757">
        <f t="shared" ca="1" si="226"/>
        <v>0</v>
      </c>
      <c r="JK106" s="1757">
        <f t="shared" ca="1" si="226"/>
        <v>0</v>
      </c>
      <c r="JL106" s="1757">
        <f t="shared" ca="1" si="227"/>
        <v>0</v>
      </c>
      <c r="JM106" s="1757">
        <f t="shared" ca="1" si="227"/>
        <v>0</v>
      </c>
      <c r="JN106" s="1757">
        <f t="shared" ca="1" si="227"/>
        <v>0</v>
      </c>
      <c r="JO106" s="1757">
        <f t="shared" ca="1" si="227"/>
        <v>0</v>
      </c>
      <c r="JP106" s="1757">
        <f t="shared" ca="1" si="227"/>
        <v>0</v>
      </c>
      <c r="JQ106" s="1757">
        <f t="shared" ca="1" si="227"/>
        <v>0</v>
      </c>
      <c r="JR106" s="1757">
        <f t="shared" ca="1" si="227"/>
        <v>0</v>
      </c>
      <c r="JS106" s="1757">
        <f t="shared" ca="1" si="227"/>
        <v>0</v>
      </c>
      <c r="JT106" s="1757">
        <f t="shared" ca="1" si="227"/>
        <v>0</v>
      </c>
      <c r="JU106" s="1757">
        <f t="shared" ca="1" si="227"/>
        <v>0</v>
      </c>
      <c r="JV106" s="1757">
        <f t="shared" ca="1" si="228"/>
        <v>0</v>
      </c>
      <c r="JW106" s="1757">
        <f t="shared" ca="1" si="228"/>
        <v>0</v>
      </c>
      <c r="JX106" s="1757">
        <f t="shared" ca="1" si="228"/>
        <v>0</v>
      </c>
      <c r="JY106" s="1757">
        <f t="shared" ca="1" si="228"/>
        <v>0</v>
      </c>
      <c r="JZ106" s="1757">
        <f t="shared" ca="1" si="228"/>
        <v>0</v>
      </c>
      <c r="KA106" s="1757">
        <f t="shared" ca="1" si="228"/>
        <v>0</v>
      </c>
      <c r="KB106" s="1757">
        <f t="shared" ca="1" si="228"/>
        <v>0</v>
      </c>
      <c r="KC106" s="1757">
        <f t="shared" ca="1" si="228"/>
        <v>0</v>
      </c>
      <c r="KD106" s="1757">
        <f t="shared" ca="1" si="228"/>
        <v>0</v>
      </c>
      <c r="KE106" s="1757">
        <f t="shared" ca="1" si="228"/>
        <v>0</v>
      </c>
      <c r="KF106" s="1757">
        <f t="shared" ca="1" si="229"/>
        <v>0</v>
      </c>
      <c r="KG106" s="1757">
        <f t="shared" ca="1" si="229"/>
        <v>0</v>
      </c>
      <c r="KH106" s="1757">
        <f t="shared" ca="1" si="229"/>
        <v>0</v>
      </c>
      <c r="KI106" s="1757">
        <f t="shared" ca="1" si="229"/>
        <v>0</v>
      </c>
      <c r="KJ106" s="1757">
        <f t="shared" ca="1" si="229"/>
        <v>0</v>
      </c>
      <c r="KK106" s="1757">
        <f t="shared" ca="1" si="229"/>
        <v>0</v>
      </c>
      <c r="KL106" s="1757">
        <f t="shared" ca="1" si="229"/>
        <v>0</v>
      </c>
      <c r="KM106" s="1757">
        <f t="shared" ca="1" si="229"/>
        <v>0</v>
      </c>
      <c r="KN106" s="1757">
        <f t="shared" ca="1" si="229"/>
        <v>0</v>
      </c>
      <c r="KO106" s="1757">
        <f t="shared" ca="1" si="229"/>
        <v>0</v>
      </c>
      <c r="KP106" s="1757">
        <f t="shared" ca="1" si="230"/>
        <v>0</v>
      </c>
      <c r="KQ106" s="1757">
        <f t="shared" ca="1" si="230"/>
        <v>0</v>
      </c>
      <c r="KR106" s="1757">
        <f t="shared" ca="1" si="230"/>
        <v>0</v>
      </c>
      <c r="KS106" s="1757">
        <f t="shared" ca="1" si="230"/>
        <v>0</v>
      </c>
      <c r="KT106" s="1757">
        <f t="shared" ca="1" si="230"/>
        <v>0</v>
      </c>
      <c r="KU106" s="1757">
        <f t="shared" ca="1" si="230"/>
        <v>0</v>
      </c>
      <c r="KV106" s="1757">
        <f t="shared" ca="1" si="230"/>
        <v>0</v>
      </c>
      <c r="KW106" s="1757">
        <f t="shared" ca="1" si="230"/>
        <v>0</v>
      </c>
      <c r="KX106" s="1757">
        <f t="shared" ca="1" si="230"/>
        <v>0</v>
      </c>
      <c r="KY106" s="1757">
        <f t="shared" ca="1" si="230"/>
        <v>0</v>
      </c>
      <c r="KZ106" s="1757">
        <f t="shared" ca="1" si="231"/>
        <v>0</v>
      </c>
      <c r="LA106" s="1757">
        <f t="shared" ca="1" si="231"/>
        <v>0</v>
      </c>
      <c r="LB106" s="1757">
        <f t="shared" ca="1" si="231"/>
        <v>0</v>
      </c>
      <c r="LC106" s="1757">
        <f t="shared" ca="1" si="231"/>
        <v>0</v>
      </c>
      <c r="LD106" s="1757">
        <f t="shared" ca="1" si="231"/>
        <v>0</v>
      </c>
      <c r="LE106" s="1757">
        <f t="shared" ca="1" si="231"/>
        <v>0</v>
      </c>
      <c r="LF106" s="1757">
        <f t="shared" ca="1" si="231"/>
        <v>0</v>
      </c>
      <c r="LG106" s="1757">
        <f t="shared" ca="1" si="231"/>
        <v>0</v>
      </c>
      <c r="LH106" s="1757">
        <f t="shared" ca="1" si="231"/>
        <v>0</v>
      </c>
      <c r="LI106" s="1757">
        <f t="shared" ca="1" si="231"/>
        <v>0</v>
      </c>
      <c r="LJ106" s="1757">
        <f t="shared" ca="1" si="232"/>
        <v>0</v>
      </c>
      <c r="LK106" s="1757">
        <f t="shared" ca="1" si="232"/>
        <v>0</v>
      </c>
      <c r="LL106" s="1757">
        <f t="shared" ca="1" si="232"/>
        <v>0</v>
      </c>
      <c r="LM106" s="1757">
        <f t="shared" ca="1" si="232"/>
        <v>0</v>
      </c>
      <c r="LN106" s="1757">
        <f t="shared" ca="1" si="232"/>
        <v>0</v>
      </c>
      <c r="LO106" s="1757">
        <f t="shared" ca="1" si="232"/>
        <v>0</v>
      </c>
      <c r="LP106" s="1758">
        <f t="shared" ca="1" si="232"/>
        <v>0</v>
      </c>
      <c r="LQ106" s="604"/>
    </row>
    <row r="107" spans="1:329" ht="12.75" customHeight="1" x14ac:dyDescent="0.3">
      <c r="A107" s="279"/>
      <c r="B107" s="41"/>
      <c r="C107" s="82"/>
      <c r="D107" s="41"/>
      <c r="E107" s="9"/>
      <c r="F107" s="9"/>
      <c r="G107" s="9"/>
      <c r="H107" s="10"/>
      <c r="I107" s="10"/>
      <c r="J107" s="10"/>
      <c r="K107" s="10"/>
      <c r="L107" s="10"/>
      <c r="M107" s="10"/>
      <c r="N107" s="9"/>
      <c r="O107" s="9"/>
      <c r="P107" s="44"/>
      <c r="Q107" s="44"/>
      <c r="R107" s="9"/>
      <c r="S107" s="9"/>
      <c r="T107" s="9"/>
      <c r="U107" s="9"/>
      <c r="V107" s="9"/>
      <c r="W107" s="9"/>
      <c r="X107" s="9"/>
      <c r="Y107" s="9"/>
      <c r="Z107" s="9"/>
      <c r="AA107" s="9"/>
      <c r="AB107" s="9"/>
      <c r="AC107" s="9"/>
      <c r="AD107" s="9"/>
      <c r="AE107" s="9"/>
      <c r="AF107" s="9"/>
      <c r="AG107" s="9"/>
      <c r="AH107" s="2514"/>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113"/>
      <c r="DI107" s="113"/>
      <c r="DJ107" s="113"/>
      <c r="DK107" s="118"/>
      <c r="DL107" s="118"/>
      <c r="DM107" s="118"/>
      <c r="DN107" s="118"/>
      <c r="DO107" s="118"/>
      <c r="DP107" s="118"/>
      <c r="DQ107" s="118"/>
      <c r="DR107" s="118"/>
      <c r="DS107" s="118"/>
      <c r="DT107" s="118"/>
      <c r="DU107" s="118"/>
      <c r="DV107" s="118"/>
      <c r="DW107" s="118"/>
      <c r="DX107" s="118"/>
      <c r="DY107" s="118"/>
      <c r="DZ107" s="118"/>
      <c r="EA107" s="118"/>
      <c r="EB107" s="118"/>
      <c r="EC107" s="118"/>
      <c r="ED107" s="118"/>
      <c r="EE107" s="118"/>
      <c r="EF107" s="118"/>
      <c r="EG107" s="118"/>
      <c r="EH107" s="118"/>
      <c r="EI107" s="118"/>
      <c r="EJ107" s="118"/>
      <c r="EK107" s="118"/>
      <c r="EL107" s="118"/>
      <c r="EM107" s="118"/>
      <c r="EN107" s="118"/>
      <c r="EO107" s="118"/>
      <c r="EP107" s="118"/>
      <c r="EQ107" s="118"/>
      <c r="ER107" s="118"/>
      <c r="ES107" s="118"/>
      <c r="ET107" s="118"/>
      <c r="EU107" s="118"/>
      <c r="EV107" s="118"/>
      <c r="EW107" s="118"/>
      <c r="EX107" s="118"/>
      <c r="EY107" s="118"/>
      <c r="EZ107" s="118"/>
      <c r="FA107" s="118"/>
      <c r="FB107" s="118"/>
      <c r="FC107" s="118"/>
      <c r="FD107" s="118"/>
      <c r="FE107" s="118"/>
      <c r="FF107" s="118"/>
      <c r="FG107" s="118"/>
      <c r="FH107" s="118"/>
      <c r="FI107" s="180"/>
      <c r="FJ107" s="132"/>
      <c r="FK107" s="132"/>
      <c r="FL107" s="181">
        <f t="shared" ca="1" si="197"/>
        <v>34</v>
      </c>
      <c r="FM107" s="1340">
        <f t="shared" ca="1" si="198"/>
        <v>0</v>
      </c>
      <c r="FN107" s="1341">
        <f t="shared" ca="1" si="199"/>
        <v>0</v>
      </c>
      <c r="FO107" s="1342">
        <f t="shared" ca="1" si="200"/>
        <v>33</v>
      </c>
      <c r="FP107" s="1343">
        <f t="shared" ca="1" si="201"/>
        <v>0</v>
      </c>
      <c r="FQ107" s="1344">
        <f t="shared" si="202"/>
        <v>40</v>
      </c>
      <c r="FR107" s="1344">
        <f t="shared" si="203"/>
        <v>50</v>
      </c>
      <c r="FS107" s="1345">
        <f t="shared" si="204"/>
        <v>34</v>
      </c>
      <c r="FT107" s="1345"/>
      <c r="FU107" s="1346">
        <f t="shared" ca="1" si="219"/>
        <v>0</v>
      </c>
      <c r="FV107" s="1346"/>
      <c r="FW107" s="1346"/>
      <c r="FX107" s="1347"/>
      <c r="FY107" s="1348"/>
      <c r="FZ107" s="1348"/>
      <c r="GA107" s="1348"/>
      <c r="GB107" s="1349"/>
      <c r="GC107" s="1350"/>
      <c r="GD107" s="1348"/>
      <c r="GE107" s="1348"/>
      <c r="GF107" s="1348"/>
      <c r="GG107" s="1348"/>
      <c r="GH107" s="1348"/>
      <c r="GI107" s="1348"/>
      <c r="GJ107" s="1348"/>
      <c r="GK107" s="1348"/>
      <c r="GL107" s="1348"/>
      <c r="GM107" s="1348"/>
      <c r="GN107" s="3825">
        <f t="shared" ca="1" si="205"/>
        <v>0</v>
      </c>
      <c r="GO107" s="3825"/>
      <c r="GP107" s="3825"/>
      <c r="GQ107" s="3826"/>
      <c r="GR107" s="3675"/>
      <c r="GS107" s="3676"/>
      <c r="GT107" s="1756">
        <f t="shared" ca="1" si="220"/>
        <v>0</v>
      </c>
      <c r="GU107" s="1757">
        <f t="shared" ca="1" si="220"/>
        <v>0</v>
      </c>
      <c r="GV107" s="1757">
        <f t="shared" ca="1" si="220"/>
        <v>0</v>
      </c>
      <c r="GW107" s="1757">
        <f t="shared" ca="1" si="220"/>
        <v>0</v>
      </c>
      <c r="GX107" s="1757">
        <f t="shared" ca="1" si="220"/>
        <v>0</v>
      </c>
      <c r="GY107" s="1757">
        <f t="shared" ca="1" si="220"/>
        <v>0</v>
      </c>
      <c r="GZ107" s="1757">
        <f t="shared" ca="1" si="220"/>
        <v>0</v>
      </c>
      <c r="HA107" s="1757">
        <f t="shared" ca="1" si="220"/>
        <v>0</v>
      </c>
      <c r="HB107" s="1757">
        <f t="shared" ca="1" si="220"/>
        <v>0</v>
      </c>
      <c r="HC107" s="1757">
        <f t="shared" ca="1" si="220"/>
        <v>0</v>
      </c>
      <c r="HD107" s="1757">
        <f t="shared" ca="1" si="221"/>
        <v>0</v>
      </c>
      <c r="HE107" s="1757">
        <f t="shared" ca="1" si="221"/>
        <v>0</v>
      </c>
      <c r="HF107" s="1757">
        <f t="shared" ca="1" si="221"/>
        <v>0</v>
      </c>
      <c r="HG107" s="1757">
        <f t="shared" ca="1" si="221"/>
        <v>0</v>
      </c>
      <c r="HH107" s="1757">
        <f t="shared" ca="1" si="221"/>
        <v>0</v>
      </c>
      <c r="HI107" s="1757">
        <f t="shared" ca="1" si="221"/>
        <v>0</v>
      </c>
      <c r="HJ107" s="1757">
        <f t="shared" ca="1" si="221"/>
        <v>0</v>
      </c>
      <c r="HK107" s="1757">
        <f t="shared" ca="1" si="221"/>
        <v>0</v>
      </c>
      <c r="HL107" s="1757">
        <f t="shared" ca="1" si="221"/>
        <v>0</v>
      </c>
      <c r="HM107" s="1757">
        <f t="shared" ca="1" si="221"/>
        <v>0</v>
      </c>
      <c r="HN107" s="1757">
        <f t="shared" ca="1" si="222"/>
        <v>0</v>
      </c>
      <c r="HO107" s="1757">
        <f t="shared" ca="1" si="222"/>
        <v>0</v>
      </c>
      <c r="HP107" s="1757">
        <f t="shared" ca="1" si="222"/>
        <v>0</v>
      </c>
      <c r="HQ107" s="1757">
        <f t="shared" ca="1" si="222"/>
        <v>0</v>
      </c>
      <c r="HR107" s="1757">
        <f t="shared" ca="1" si="222"/>
        <v>0</v>
      </c>
      <c r="HS107" s="1757">
        <f t="shared" ca="1" si="222"/>
        <v>0</v>
      </c>
      <c r="HT107" s="1757">
        <f t="shared" ca="1" si="222"/>
        <v>0</v>
      </c>
      <c r="HU107" s="1757">
        <f t="shared" ca="1" si="222"/>
        <v>0</v>
      </c>
      <c r="HV107" s="1757">
        <f t="shared" ca="1" si="222"/>
        <v>0</v>
      </c>
      <c r="HW107" s="1757">
        <f t="shared" ca="1" si="222"/>
        <v>0</v>
      </c>
      <c r="HX107" s="1757">
        <f t="shared" ca="1" si="223"/>
        <v>0</v>
      </c>
      <c r="HY107" s="1757">
        <f t="shared" ca="1" si="223"/>
        <v>0</v>
      </c>
      <c r="HZ107" s="1757">
        <f t="shared" ca="1" si="223"/>
        <v>0</v>
      </c>
      <c r="IA107" s="1757">
        <f t="shared" ca="1" si="223"/>
        <v>0</v>
      </c>
      <c r="IB107" s="1757">
        <f t="shared" ca="1" si="223"/>
        <v>0</v>
      </c>
      <c r="IC107" s="1757">
        <f t="shared" ca="1" si="223"/>
        <v>0</v>
      </c>
      <c r="ID107" s="1757">
        <f t="shared" ca="1" si="223"/>
        <v>0</v>
      </c>
      <c r="IE107" s="1757">
        <f t="shared" ca="1" si="223"/>
        <v>0</v>
      </c>
      <c r="IF107" s="1757">
        <f t="shared" ca="1" si="223"/>
        <v>0</v>
      </c>
      <c r="IG107" s="1757">
        <f t="shared" ca="1" si="223"/>
        <v>0</v>
      </c>
      <c r="IH107" s="1757">
        <f t="shared" ca="1" si="224"/>
        <v>0</v>
      </c>
      <c r="II107" s="1757">
        <f t="shared" ca="1" si="224"/>
        <v>0</v>
      </c>
      <c r="IJ107" s="1757">
        <f t="shared" ca="1" si="224"/>
        <v>0</v>
      </c>
      <c r="IK107" s="1757">
        <f t="shared" ca="1" si="224"/>
        <v>0</v>
      </c>
      <c r="IL107" s="1757">
        <f t="shared" ca="1" si="224"/>
        <v>0</v>
      </c>
      <c r="IM107" s="1757">
        <f t="shared" ca="1" si="224"/>
        <v>0</v>
      </c>
      <c r="IN107" s="1757">
        <f t="shared" ca="1" si="224"/>
        <v>0</v>
      </c>
      <c r="IO107" s="1757">
        <f t="shared" ca="1" si="224"/>
        <v>0</v>
      </c>
      <c r="IP107" s="1757">
        <f t="shared" ca="1" si="224"/>
        <v>0</v>
      </c>
      <c r="IQ107" s="1757">
        <f t="shared" ca="1" si="224"/>
        <v>0</v>
      </c>
      <c r="IR107" s="1757">
        <f t="shared" ca="1" si="225"/>
        <v>0</v>
      </c>
      <c r="IS107" s="1757">
        <f t="shared" ca="1" si="225"/>
        <v>0</v>
      </c>
      <c r="IT107" s="1757">
        <f t="shared" ca="1" si="225"/>
        <v>0</v>
      </c>
      <c r="IU107" s="1757">
        <f t="shared" ca="1" si="225"/>
        <v>0</v>
      </c>
      <c r="IV107" s="1757">
        <f t="shared" ca="1" si="225"/>
        <v>0</v>
      </c>
      <c r="IW107" s="1757">
        <f t="shared" ca="1" si="225"/>
        <v>0</v>
      </c>
      <c r="IX107" s="1757">
        <f t="shared" ca="1" si="225"/>
        <v>0</v>
      </c>
      <c r="IY107" s="1757">
        <f t="shared" ca="1" si="225"/>
        <v>0</v>
      </c>
      <c r="IZ107" s="1757">
        <f t="shared" ca="1" si="225"/>
        <v>0</v>
      </c>
      <c r="JA107" s="1757">
        <f t="shared" ca="1" si="225"/>
        <v>0</v>
      </c>
      <c r="JB107" s="1757">
        <f t="shared" ca="1" si="226"/>
        <v>0</v>
      </c>
      <c r="JC107" s="1757">
        <f t="shared" ca="1" si="226"/>
        <v>0</v>
      </c>
      <c r="JD107" s="1757">
        <f t="shared" ca="1" si="226"/>
        <v>0</v>
      </c>
      <c r="JE107" s="1757">
        <f t="shared" ca="1" si="226"/>
        <v>0</v>
      </c>
      <c r="JF107" s="1757">
        <f t="shared" ca="1" si="226"/>
        <v>0</v>
      </c>
      <c r="JG107" s="1757">
        <f t="shared" ca="1" si="226"/>
        <v>0</v>
      </c>
      <c r="JH107" s="1757">
        <f t="shared" ca="1" si="226"/>
        <v>0</v>
      </c>
      <c r="JI107" s="1757">
        <f t="shared" ca="1" si="226"/>
        <v>0</v>
      </c>
      <c r="JJ107" s="1757">
        <f t="shared" ca="1" si="226"/>
        <v>0</v>
      </c>
      <c r="JK107" s="1757">
        <f t="shared" ca="1" si="226"/>
        <v>0</v>
      </c>
      <c r="JL107" s="1757">
        <f t="shared" ca="1" si="227"/>
        <v>0</v>
      </c>
      <c r="JM107" s="1757">
        <f t="shared" ca="1" si="227"/>
        <v>0</v>
      </c>
      <c r="JN107" s="1757">
        <f t="shared" ca="1" si="227"/>
        <v>0</v>
      </c>
      <c r="JO107" s="1757">
        <f t="shared" ca="1" si="227"/>
        <v>0</v>
      </c>
      <c r="JP107" s="1757">
        <f t="shared" ca="1" si="227"/>
        <v>0</v>
      </c>
      <c r="JQ107" s="1757">
        <f t="shared" ca="1" si="227"/>
        <v>0</v>
      </c>
      <c r="JR107" s="1757">
        <f t="shared" ca="1" si="227"/>
        <v>0</v>
      </c>
      <c r="JS107" s="1757">
        <f t="shared" ca="1" si="227"/>
        <v>0</v>
      </c>
      <c r="JT107" s="1757">
        <f t="shared" ca="1" si="227"/>
        <v>0</v>
      </c>
      <c r="JU107" s="1757">
        <f t="shared" ca="1" si="227"/>
        <v>0</v>
      </c>
      <c r="JV107" s="1757">
        <f t="shared" ca="1" si="228"/>
        <v>0</v>
      </c>
      <c r="JW107" s="1757">
        <f t="shared" ca="1" si="228"/>
        <v>0</v>
      </c>
      <c r="JX107" s="1757">
        <f t="shared" ca="1" si="228"/>
        <v>0</v>
      </c>
      <c r="JY107" s="1757">
        <f t="shared" ca="1" si="228"/>
        <v>0</v>
      </c>
      <c r="JZ107" s="1757">
        <f t="shared" ca="1" si="228"/>
        <v>0</v>
      </c>
      <c r="KA107" s="1757">
        <f t="shared" ca="1" si="228"/>
        <v>0</v>
      </c>
      <c r="KB107" s="1757">
        <f t="shared" ca="1" si="228"/>
        <v>0</v>
      </c>
      <c r="KC107" s="1757">
        <f t="shared" ca="1" si="228"/>
        <v>0</v>
      </c>
      <c r="KD107" s="1757">
        <f t="shared" ca="1" si="228"/>
        <v>0</v>
      </c>
      <c r="KE107" s="1757">
        <f t="shared" ca="1" si="228"/>
        <v>0</v>
      </c>
      <c r="KF107" s="1757">
        <f t="shared" ca="1" si="229"/>
        <v>0</v>
      </c>
      <c r="KG107" s="1757">
        <f t="shared" ca="1" si="229"/>
        <v>0</v>
      </c>
      <c r="KH107" s="1757">
        <f t="shared" ca="1" si="229"/>
        <v>0</v>
      </c>
      <c r="KI107" s="1757">
        <f t="shared" ca="1" si="229"/>
        <v>0</v>
      </c>
      <c r="KJ107" s="1757">
        <f t="shared" ca="1" si="229"/>
        <v>0</v>
      </c>
      <c r="KK107" s="1757">
        <f t="shared" ca="1" si="229"/>
        <v>0</v>
      </c>
      <c r="KL107" s="1757">
        <f t="shared" ca="1" si="229"/>
        <v>0</v>
      </c>
      <c r="KM107" s="1757">
        <f t="shared" ca="1" si="229"/>
        <v>0</v>
      </c>
      <c r="KN107" s="1757">
        <f t="shared" ca="1" si="229"/>
        <v>0</v>
      </c>
      <c r="KO107" s="1757">
        <f t="shared" ca="1" si="229"/>
        <v>0</v>
      </c>
      <c r="KP107" s="1757">
        <f t="shared" ca="1" si="230"/>
        <v>0</v>
      </c>
      <c r="KQ107" s="1757">
        <f t="shared" ca="1" si="230"/>
        <v>0</v>
      </c>
      <c r="KR107" s="1757">
        <f t="shared" ca="1" si="230"/>
        <v>0</v>
      </c>
      <c r="KS107" s="1757">
        <f t="shared" ca="1" si="230"/>
        <v>0</v>
      </c>
      <c r="KT107" s="1757">
        <f t="shared" ca="1" si="230"/>
        <v>0</v>
      </c>
      <c r="KU107" s="1757">
        <f t="shared" ca="1" si="230"/>
        <v>0</v>
      </c>
      <c r="KV107" s="1757">
        <f t="shared" ca="1" si="230"/>
        <v>0</v>
      </c>
      <c r="KW107" s="1757">
        <f t="shared" ca="1" si="230"/>
        <v>0</v>
      </c>
      <c r="KX107" s="1757">
        <f t="shared" ca="1" si="230"/>
        <v>0</v>
      </c>
      <c r="KY107" s="1757">
        <f t="shared" ca="1" si="230"/>
        <v>0</v>
      </c>
      <c r="KZ107" s="1757">
        <f t="shared" ca="1" si="231"/>
        <v>0</v>
      </c>
      <c r="LA107" s="1757">
        <f t="shared" ca="1" si="231"/>
        <v>0</v>
      </c>
      <c r="LB107" s="1757">
        <f t="shared" ca="1" si="231"/>
        <v>0</v>
      </c>
      <c r="LC107" s="1757">
        <f t="shared" ca="1" si="231"/>
        <v>0</v>
      </c>
      <c r="LD107" s="1757">
        <f t="shared" ca="1" si="231"/>
        <v>0</v>
      </c>
      <c r="LE107" s="1757">
        <f t="shared" ca="1" si="231"/>
        <v>0</v>
      </c>
      <c r="LF107" s="1757">
        <f t="shared" ca="1" si="231"/>
        <v>0</v>
      </c>
      <c r="LG107" s="1757">
        <f t="shared" ca="1" si="231"/>
        <v>0</v>
      </c>
      <c r="LH107" s="1757">
        <f t="shared" ca="1" si="231"/>
        <v>0</v>
      </c>
      <c r="LI107" s="1757">
        <f t="shared" ca="1" si="231"/>
        <v>0</v>
      </c>
      <c r="LJ107" s="1757">
        <f t="shared" ca="1" si="232"/>
        <v>0</v>
      </c>
      <c r="LK107" s="1757">
        <f t="shared" ca="1" si="232"/>
        <v>0</v>
      </c>
      <c r="LL107" s="1757">
        <f t="shared" ca="1" si="232"/>
        <v>0</v>
      </c>
      <c r="LM107" s="1757">
        <f t="shared" ca="1" si="232"/>
        <v>0</v>
      </c>
      <c r="LN107" s="1757">
        <f t="shared" ca="1" si="232"/>
        <v>0</v>
      </c>
      <c r="LO107" s="1757">
        <f t="shared" ca="1" si="232"/>
        <v>0</v>
      </c>
      <c r="LP107" s="1758">
        <f t="shared" ca="1" si="232"/>
        <v>0</v>
      </c>
      <c r="LQ107" s="604"/>
    </row>
    <row r="108" spans="1:329" ht="12.75" customHeight="1" x14ac:dyDescent="0.3">
      <c r="A108" s="279"/>
      <c r="B108" s="41"/>
      <c r="C108" s="82"/>
      <c r="D108" s="41"/>
      <c r="E108" s="9"/>
      <c r="F108" s="9"/>
      <c r="G108" s="9"/>
      <c r="H108" s="10"/>
      <c r="I108" s="10"/>
      <c r="J108" s="10"/>
      <c r="K108" s="10"/>
      <c r="L108" s="10"/>
      <c r="M108" s="10"/>
      <c r="N108" s="9"/>
      <c r="O108" s="9"/>
      <c r="P108" s="44"/>
      <c r="Q108" s="44"/>
      <c r="R108" s="9"/>
      <c r="S108" s="9"/>
      <c r="T108" s="9"/>
      <c r="U108" s="9"/>
      <c r="V108" s="9"/>
      <c r="W108" s="9"/>
      <c r="X108" s="9"/>
      <c r="Y108" s="9"/>
      <c r="Z108" s="9"/>
      <c r="AA108" s="9"/>
      <c r="AB108" s="9"/>
      <c r="AC108" s="9"/>
      <c r="AD108" s="9"/>
      <c r="AE108" s="9"/>
      <c r="AF108" s="9"/>
      <c r="AG108" s="9"/>
      <c r="AH108" s="2514"/>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113"/>
      <c r="DI108" s="113"/>
      <c r="DJ108" s="113"/>
      <c r="DK108" s="118"/>
      <c r="DL108" s="118"/>
      <c r="DM108" s="118"/>
      <c r="DN108" s="118"/>
      <c r="DO108" s="118"/>
      <c r="DP108" s="118"/>
      <c r="DQ108" s="118"/>
      <c r="DR108" s="118"/>
      <c r="DS108" s="118"/>
      <c r="DT108" s="118"/>
      <c r="DU108" s="118"/>
      <c r="DV108" s="118"/>
      <c r="DW108" s="118"/>
      <c r="DX108" s="118"/>
      <c r="DY108" s="118"/>
      <c r="DZ108" s="118"/>
      <c r="EA108" s="118"/>
      <c r="EB108" s="118"/>
      <c r="EC108" s="118"/>
      <c r="ED108" s="118"/>
      <c r="EE108" s="118"/>
      <c r="EF108" s="118"/>
      <c r="EG108" s="118"/>
      <c r="EH108" s="118"/>
      <c r="EI108" s="118"/>
      <c r="EJ108" s="118"/>
      <c r="EK108" s="118"/>
      <c r="EL108" s="118"/>
      <c r="EM108" s="118"/>
      <c r="EN108" s="118"/>
      <c r="EO108" s="118"/>
      <c r="EP108" s="118"/>
      <c r="EQ108" s="118"/>
      <c r="ER108" s="118"/>
      <c r="ES108" s="118"/>
      <c r="ET108" s="118"/>
      <c r="EU108" s="118"/>
      <c r="EV108" s="118"/>
      <c r="EW108" s="118"/>
      <c r="EX108" s="118"/>
      <c r="EY108" s="118"/>
      <c r="EZ108" s="118"/>
      <c r="FA108" s="118"/>
      <c r="FB108" s="118"/>
      <c r="FC108" s="118"/>
      <c r="FD108" s="118"/>
      <c r="FE108" s="118"/>
      <c r="FF108" s="118"/>
      <c r="FG108" s="118"/>
      <c r="FH108" s="118"/>
      <c r="FI108" s="180"/>
      <c r="FJ108" s="132"/>
      <c r="FK108" s="132"/>
      <c r="FL108" s="181">
        <f t="shared" ca="1" si="197"/>
        <v>33</v>
      </c>
      <c r="FM108" s="1340">
        <f t="shared" ca="1" si="198"/>
        <v>0</v>
      </c>
      <c r="FN108" s="1341">
        <f t="shared" ca="1" si="199"/>
        <v>0</v>
      </c>
      <c r="FO108" s="1342">
        <f t="shared" ca="1" si="200"/>
        <v>32</v>
      </c>
      <c r="FP108" s="1343">
        <f t="shared" ca="1" si="201"/>
        <v>0</v>
      </c>
      <c r="FQ108" s="1344">
        <f t="shared" si="202"/>
        <v>40</v>
      </c>
      <c r="FR108" s="1344">
        <f t="shared" si="203"/>
        <v>50</v>
      </c>
      <c r="FS108" s="1345">
        <f t="shared" si="204"/>
        <v>33</v>
      </c>
      <c r="FT108" s="1345"/>
      <c r="FU108" s="1346">
        <f t="shared" ca="1" si="219"/>
        <v>0</v>
      </c>
      <c r="FV108" s="1346"/>
      <c r="FW108" s="1346"/>
      <c r="FX108" s="1347"/>
      <c r="FY108" s="1348"/>
      <c r="FZ108" s="1348"/>
      <c r="GA108" s="1348"/>
      <c r="GB108" s="1349"/>
      <c r="GC108" s="1350"/>
      <c r="GD108" s="1348"/>
      <c r="GE108" s="1348"/>
      <c r="GF108" s="1348"/>
      <c r="GG108" s="1348"/>
      <c r="GH108" s="1348"/>
      <c r="GI108" s="1348"/>
      <c r="GJ108" s="1348"/>
      <c r="GK108" s="1348"/>
      <c r="GL108" s="1348"/>
      <c r="GM108" s="1348"/>
      <c r="GN108" s="3825">
        <f t="shared" ca="1" si="205"/>
        <v>0</v>
      </c>
      <c r="GO108" s="3825"/>
      <c r="GP108" s="3825"/>
      <c r="GQ108" s="3826"/>
      <c r="GR108" s="3675"/>
      <c r="GS108" s="3676"/>
      <c r="GT108" s="1756">
        <f t="shared" ca="1" si="220"/>
        <v>0</v>
      </c>
      <c r="GU108" s="1757">
        <f t="shared" ca="1" si="220"/>
        <v>0</v>
      </c>
      <c r="GV108" s="1757">
        <f t="shared" ca="1" si="220"/>
        <v>0</v>
      </c>
      <c r="GW108" s="1757">
        <f t="shared" ca="1" si="220"/>
        <v>0</v>
      </c>
      <c r="GX108" s="1757">
        <f t="shared" ca="1" si="220"/>
        <v>0</v>
      </c>
      <c r="GY108" s="1757">
        <f t="shared" ca="1" si="220"/>
        <v>0</v>
      </c>
      <c r="GZ108" s="1757">
        <f t="shared" ca="1" si="220"/>
        <v>0</v>
      </c>
      <c r="HA108" s="1757">
        <f t="shared" ca="1" si="220"/>
        <v>0</v>
      </c>
      <c r="HB108" s="1757">
        <f t="shared" ca="1" si="220"/>
        <v>0</v>
      </c>
      <c r="HC108" s="1757">
        <f t="shared" ca="1" si="220"/>
        <v>0</v>
      </c>
      <c r="HD108" s="1757">
        <f t="shared" ca="1" si="221"/>
        <v>0</v>
      </c>
      <c r="HE108" s="1757">
        <f t="shared" ca="1" si="221"/>
        <v>0</v>
      </c>
      <c r="HF108" s="1757">
        <f t="shared" ca="1" si="221"/>
        <v>0</v>
      </c>
      <c r="HG108" s="1757">
        <f t="shared" ca="1" si="221"/>
        <v>0</v>
      </c>
      <c r="HH108" s="1757">
        <f t="shared" ca="1" si="221"/>
        <v>0</v>
      </c>
      <c r="HI108" s="1757">
        <f t="shared" ca="1" si="221"/>
        <v>0</v>
      </c>
      <c r="HJ108" s="1757">
        <f t="shared" ca="1" si="221"/>
        <v>0</v>
      </c>
      <c r="HK108" s="1757">
        <f t="shared" ca="1" si="221"/>
        <v>0</v>
      </c>
      <c r="HL108" s="1757">
        <f t="shared" ca="1" si="221"/>
        <v>0</v>
      </c>
      <c r="HM108" s="1757">
        <f t="shared" ca="1" si="221"/>
        <v>0</v>
      </c>
      <c r="HN108" s="1757">
        <f t="shared" ca="1" si="222"/>
        <v>0</v>
      </c>
      <c r="HO108" s="1757">
        <f t="shared" ca="1" si="222"/>
        <v>0</v>
      </c>
      <c r="HP108" s="1757">
        <f t="shared" ca="1" si="222"/>
        <v>0</v>
      </c>
      <c r="HQ108" s="1757">
        <f t="shared" ca="1" si="222"/>
        <v>0</v>
      </c>
      <c r="HR108" s="1757">
        <f t="shared" ca="1" si="222"/>
        <v>0</v>
      </c>
      <c r="HS108" s="1757">
        <f t="shared" ca="1" si="222"/>
        <v>0</v>
      </c>
      <c r="HT108" s="1757">
        <f t="shared" ca="1" si="222"/>
        <v>0</v>
      </c>
      <c r="HU108" s="1757">
        <f t="shared" ca="1" si="222"/>
        <v>0</v>
      </c>
      <c r="HV108" s="1757">
        <f t="shared" ca="1" si="222"/>
        <v>0</v>
      </c>
      <c r="HW108" s="1757">
        <f t="shared" ca="1" si="222"/>
        <v>0</v>
      </c>
      <c r="HX108" s="1757">
        <f t="shared" ca="1" si="223"/>
        <v>0</v>
      </c>
      <c r="HY108" s="1757">
        <f t="shared" ca="1" si="223"/>
        <v>0</v>
      </c>
      <c r="HZ108" s="1757">
        <f t="shared" ca="1" si="223"/>
        <v>0</v>
      </c>
      <c r="IA108" s="1757">
        <f t="shared" ca="1" si="223"/>
        <v>0</v>
      </c>
      <c r="IB108" s="1757">
        <f t="shared" ca="1" si="223"/>
        <v>0</v>
      </c>
      <c r="IC108" s="1757">
        <f t="shared" ca="1" si="223"/>
        <v>0</v>
      </c>
      <c r="ID108" s="1757">
        <f t="shared" ca="1" si="223"/>
        <v>0</v>
      </c>
      <c r="IE108" s="1757">
        <f t="shared" ca="1" si="223"/>
        <v>0</v>
      </c>
      <c r="IF108" s="1757">
        <f t="shared" ca="1" si="223"/>
        <v>0</v>
      </c>
      <c r="IG108" s="1757">
        <f t="shared" ca="1" si="223"/>
        <v>0</v>
      </c>
      <c r="IH108" s="1757">
        <f t="shared" ca="1" si="224"/>
        <v>0</v>
      </c>
      <c r="II108" s="1757">
        <f t="shared" ca="1" si="224"/>
        <v>0</v>
      </c>
      <c r="IJ108" s="1757">
        <f t="shared" ca="1" si="224"/>
        <v>0</v>
      </c>
      <c r="IK108" s="1757">
        <f t="shared" ca="1" si="224"/>
        <v>0</v>
      </c>
      <c r="IL108" s="1757">
        <f t="shared" ca="1" si="224"/>
        <v>0</v>
      </c>
      <c r="IM108" s="1757">
        <f t="shared" ca="1" si="224"/>
        <v>0</v>
      </c>
      <c r="IN108" s="1757">
        <f t="shared" ca="1" si="224"/>
        <v>0</v>
      </c>
      <c r="IO108" s="1757">
        <f t="shared" ca="1" si="224"/>
        <v>0</v>
      </c>
      <c r="IP108" s="1757">
        <f t="shared" ca="1" si="224"/>
        <v>0</v>
      </c>
      <c r="IQ108" s="1757">
        <f t="shared" ca="1" si="224"/>
        <v>0</v>
      </c>
      <c r="IR108" s="1757">
        <f t="shared" ca="1" si="225"/>
        <v>0</v>
      </c>
      <c r="IS108" s="1757">
        <f t="shared" ca="1" si="225"/>
        <v>0</v>
      </c>
      <c r="IT108" s="1757">
        <f t="shared" ca="1" si="225"/>
        <v>0</v>
      </c>
      <c r="IU108" s="1757">
        <f t="shared" ca="1" si="225"/>
        <v>0</v>
      </c>
      <c r="IV108" s="1757">
        <f t="shared" ca="1" si="225"/>
        <v>0</v>
      </c>
      <c r="IW108" s="1757">
        <f t="shared" ca="1" si="225"/>
        <v>0</v>
      </c>
      <c r="IX108" s="1757">
        <f t="shared" ca="1" si="225"/>
        <v>0</v>
      </c>
      <c r="IY108" s="1757">
        <f t="shared" ca="1" si="225"/>
        <v>0</v>
      </c>
      <c r="IZ108" s="1757">
        <f t="shared" ca="1" si="225"/>
        <v>0</v>
      </c>
      <c r="JA108" s="1757">
        <f t="shared" ca="1" si="225"/>
        <v>0</v>
      </c>
      <c r="JB108" s="1757">
        <f t="shared" ca="1" si="226"/>
        <v>0</v>
      </c>
      <c r="JC108" s="1757">
        <f t="shared" ca="1" si="226"/>
        <v>0</v>
      </c>
      <c r="JD108" s="1757">
        <f t="shared" ca="1" si="226"/>
        <v>0</v>
      </c>
      <c r="JE108" s="1757">
        <f t="shared" ca="1" si="226"/>
        <v>0</v>
      </c>
      <c r="JF108" s="1757">
        <f t="shared" ca="1" si="226"/>
        <v>0</v>
      </c>
      <c r="JG108" s="1757">
        <f t="shared" ca="1" si="226"/>
        <v>0</v>
      </c>
      <c r="JH108" s="1757">
        <f t="shared" ca="1" si="226"/>
        <v>0</v>
      </c>
      <c r="JI108" s="1757">
        <f t="shared" ca="1" si="226"/>
        <v>0</v>
      </c>
      <c r="JJ108" s="1757">
        <f t="shared" ca="1" si="226"/>
        <v>0</v>
      </c>
      <c r="JK108" s="1757">
        <f t="shared" ca="1" si="226"/>
        <v>0</v>
      </c>
      <c r="JL108" s="1757">
        <f t="shared" ca="1" si="227"/>
        <v>0</v>
      </c>
      <c r="JM108" s="1757">
        <f t="shared" ca="1" si="227"/>
        <v>0</v>
      </c>
      <c r="JN108" s="1757">
        <f t="shared" ca="1" si="227"/>
        <v>0</v>
      </c>
      <c r="JO108" s="1757">
        <f t="shared" ca="1" si="227"/>
        <v>0</v>
      </c>
      <c r="JP108" s="1757">
        <f t="shared" ca="1" si="227"/>
        <v>0</v>
      </c>
      <c r="JQ108" s="1757">
        <f t="shared" ca="1" si="227"/>
        <v>0</v>
      </c>
      <c r="JR108" s="1757">
        <f t="shared" ca="1" si="227"/>
        <v>0</v>
      </c>
      <c r="JS108" s="1757">
        <f t="shared" ca="1" si="227"/>
        <v>0</v>
      </c>
      <c r="JT108" s="1757">
        <f t="shared" ca="1" si="227"/>
        <v>0</v>
      </c>
      <c r="JU108" s="1757">
        <f t="shared" ca="1" si="227"/>
        <v>0</v>
      </c>
      <c r="JV108" s="1757">
        <f t="shared" ca="1" si="228"/>
        <v>0</v>
      </c>
      <c r="JW108" s="1757">
        <f t="shared" ca="1" si="228"/>
        <v>0</v>
      </c>
      <c r="JX108" s="1757">
        <f t="shared" ca="1" si="228"/>
        <v>0</v>
      </c>
      <c r="JY108" s="1757">
        <f t="shared" ca="1" si="228"/>
        <v>0</v>
      </c>
      <c r="JZ108" s="1757">
        <f t="shared" ca="1" si="228"/>
        <v>0</v>
      </c>
      <c r="KA108" s="1757">
        <f t="shared" ca="1" si="228"/>
        <v>0</v>
      </c>
      <c r="KB108" s="1757">
        <f t="shared" ca="1" si="228"/>
        <v>0</v>
      </c>
      <c r="KC108" s="1757">
        <f t="shared" ca="1" si="228"/>
        <v>0</v>
      </c>
      <c r="KD108" s="1757">
        <f t="shared" ca="1" si="228"/>
        <v>0</v>
      </c>
      <c r="KE108" s="1757">
        <f t="shared" ca="1" si="228"/>
        <v>0</v>
      </c>
      <c r="KF108" s="1757">
        <f t="shared" ca="1" si="229"/>
        <v>0</v>
      </c>
      <c r="KG108" s="1757">
        <f t="shared" ca="1" si="229"/>
        <v>0</v>
      </c>
      <c r="KH108" s="1757">
        <f t="shared" ca="1" si="229"/>
        <v>0</v>
      </c>
      <c r="KI108" s="1757">
        <f t="shared" ca="1" si="229"/>
        <v>0</v>
      </c>
      <c r="KJ108" s="1757">
        <f t="shared" ca="1" si="229"/>
        <v>0</v>
      </c>
      <c r="KK108" s="1757">
        <f t="shared" ca="1" si="229"/>
        <v>0</v>
      </c>
      <c r="KL108" s="1757">
        <f t="shared" ca="1" si="229"/>
        <v>0</v>
      </c>
      <c r="KM108" s="1757">
        <f t="shared" ca="1" si="229"/>
        <v>0</v>
      </c>
      <c r="KN108" s="1757">
        <f t="shared" ca="1" si="229"/>
        <v>0</v>
      </c>
      <c r="KO108" s="1757">
        <f t="shared" ca="1" si="229"/>
        <v>0</v>
      </c>
      <c r="KP108" s="1757">
        <f t="shared" ca="1" si="230"/>
        <v>0</v>
      </c>
      <c r="KQ108" s="1757">
        <f t="shared" ca="1" si="230"/>
        <v>0</v>
      </c>
      <c r="KR108" s="1757">
        <f t="shared" ca="1" si="230"/>
        <v>0</v>
      </c>
      <c r="KS108" s="1757">
        <f t="shared" ca="1" si="230"/>
        <v>0</v>
      </c>
      <c r="KT108" s="1757">
        <f t="shared" ca="1" si="230"/>
        <v>0</v>
      </c>
      <c r="KU108" s="1757">
        <f t="shared" ca="1" si="230"/>
        <v>0</v>
      </c>
      <c r="KV108" s="1757">
        <f t="shared" ca="1" si="230"/>
        <v>0</v>
      </c>
      <c r="KW108" s="1757">
        <f t="shared" ca="1" si="230"/>
        <v>0</v>
      </c>
      <c r="KX108" s="1757">
        <f t="shared" ca="1" si="230"/>
        <v>0</v>
      </c>
      <c r="KY108" s="1757">
        <f t="shared" ca="1" si="230"/>
        <v>0</v>
      </c>
      <c r="KZ108" s="1757">
        <f t="shared" ca="1" si="231"/>
        <v>0</v>
      </c>
      <c r="LA108" s="1757">
        <f t="shared" ca="1" si="231"/>
        <v>0</v>
      </c>
      <c r="LB108" s="1757">
        <f t="shared" ca="1" si="231"/>
        <v>0</v>
      </c>
      <c r="LC108" s="1757">
        <f t="shared" ca="1" si="231"/>
        <v>0</v>
      </c>
      <c r="LD108" s="1757">
        <f t="shared" ca="1" si="231"/>
        <v>0</v>
      </c>
      <c r="LE108" s="1757">
        <f t="shared" ca="1" si="231"/>
        <v>0</v>
      </c>
      <c r="LF108" s="1757">
        <f t="shared" ca="1" si="231"/>
        <v>0</v>
      </c>
      <c r="LG108" s="1757">
        <f t="shared" ca="1" si="231"/>
        <v>0</v>
      </c>
      <c r="LH108" s="1757">
        <f t="shared" ca="1" si="231"/>
        <v>0</v>
      </c>
      <c r="LI108" s="1757">
        <f t="shared" ca="1" si="231"/>
        <v>0</v>
      </c>
      <c r="LJ108" s="1757">
        <f t="shared" ca="1" si="232"/>
        <v>0</v>
      </c>
      <c r="LK108" s="1757">
        <f t="shared" ca="1" si="232"/>
        <v>0</v>
      </c>
      <c r="LL108" s="1757">
        <f t="shared" ca="1" si="232"/>
        <v>0</v>
      </c>
      <c r="LM108" s="1757">
        <f t="shared" ca="1" si="232"/>
        <v>0</v>
      </c>
      <c r="LN108" s="1757">
        <f t="shared" ca="1" si="232"/>
        <v>0</v>
      </c>
      <c r="LO108" s="1757">
        <f t="shared" ca="1" si="232"/>
        <v>0</v>
      </c>
      <c r="LP108" s="1758">
        <f t="shared" ca="1" si="232"/>
        <v>0</v>
      </c>
      <c r="LQ108" s="604"/>
    </row>
    <row r="109" spans="1:329" ht="12.75" customHeight="1" x14ac:dyDescent="0.3">
      <c r="A109" s="279"/>
      <c r="B109" s="41"/>
      <c r="C109" s="82"/>
      <c r="D109" s="41"/>
      <c r="E109" s="9"/>
      <c r="F109" s="9"/>
      <c r="G109" s="9"/>
      <c r="H109" s="10"/>
      <c r="I109" s="10"/>
      <c r="J109" s="10"/>
      <c r="K109" s="10"/>
      <c r="L109" s="10"/>
      <c r="M109" s="10"/>
      <c r="N109" s="9"/>
      <c r="O109" s="9"/>
      <c r="P109" s="44"/>
      <c r="Q109" s="44"/>
      <c r="R109" s="9"/>
      <c r="S109" s="9"/>
      <c r="T109" s="9"/>
      <c r="U109" s="9"/>
      <c r="V109" s="9"/>
      <c r="W109" s="9"/>
      <c r="X109" s="9"/>
      <c r="Y109" s="9"/>
      <c r="Z109" s="9"/>
      <c r="AA109" s="9"/>
      <c r="AB109" s="9"/>
      <c r="AC109" s="9"/>
      <c r="AD109" s="9"/>
      <c r="AE109" s="9"/>
      <c r="AF109" s="9"/>
      <c r="AG109" s="9"/>
      <c r="AH109" s="2514"/>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113"/>
      <c r="DI109" s="113"/>
      <c r="DJ109" s="113"/>
      <c r="DK109" s="118"/>
      <c r="DL109" s="118"/>
      <c r="DM109" s="118"/>
      <c r="DN109" s="118"/>
      <c r="DO109" s="118"/>
      <c r="DP109" s="118"/>
      <c r="DQ109" s="118"/>
      <c r="DR109" s="118"/>
      <c r="DS109" s="118"/>
      <c r="DT109" s="118"/>
      <c r="DU109" s="118"/>
      <c r="DV109" s="118"/>
      <c r="DW109" s="118"/>
      <c r="DX109" s="118"/>
      <c r="DY109" s="118"/>
      <c r="DZ109" s="118"/>
      <c r="EA109" s="118"/>
      <c r="EB109" s="118"/>
      <c r="EC109" s="118"/>
      <c r="ED109" s="118"/>
      <c r="EE109" s="118"/>
      <c r="EF109" s="118"/>
      <c r="EG109" s="118"/>
      <c r="EH109" s="118"/>
      <c r="EI109" s="118"/>
      <c r="EJ109" s="118"/>
      <c r="EK109" s="118"/>
      <c r="EL109" s="118"/>
      <c r="EM109" s="118"/>
      <c r="EN109" s="118"/>
      <c r="EO109" s="118"/>
      <c r="EP109" s="118"/>
      <c r="EQ109" s="118"/>
      <c r="ER109" s="118"/>
      <c r="ES109" s="118"/>
      <c r="ET109" s="118"/>
      <c r="EU109" s="118"/>
      <c r="EV109" s="118"/>
      <c r="EW109" s="118"/>
      <c r="EX109" s="118"/>
      <c r="EY109" s="118"/>
      <c r="EZ109" s="118"/>
      <c r="FA109" s="118"/>
      <c r="FB109" s="118"/>
      <c r="FC109" s="118"/>
      <c r="FD109" s="118"/>
      <c r="FE109" s="118"/>
      <c r="FF109" s="118"/>
      <c r="FG109" s="118"/>
      <c r="FH109" s="118"/>
      <c r="FI109" s="180"/>
      <c r="FJ109" s="132"/>
      <c r="FK109" s="132"/>
      <c r="FL109" s="181">
        <f t="shared" ca="1" si="197"/>
        <v>32</v>
      </c>
      <c r="FM109" s="1340">
        <f t="shared" ca="1" si="198"/>
        <v>0</v>
      </c>
      <c r="FN109" s="1341">
        <f t="shared" ca="1" si="199"/>
        <v>0</v>
      </c>
      <c r="FO109" s="1342">
        <f t="shared" ca="1" si="200"/>
        <v>31</v>
      </c>
      <c r="FP109" s="1343">
        <f t="shared" ca="1" si="201"/>
        <v>0</v>
      </c>
      <c r="FQ109" s="1344">
        <f t="shared" si="202"/>
        <v>40</v>
      </c>
      <c r="FR109" s="1344">
        <f t="shared" si="203"/>
        <v>50</v>
      </c>
      <c r="FS109" s="1345">
        <f t="shared" si="204"/>
        <v>32</v>
      </c>
      <c r="FT109" s="1345"/>
      <c r="FU109" s="1346">
        <f t="shared" ca="1" si="219"/>
        <v>0</v>
      </c>
      <c r="FV109" s="1346"/>
      <c r="FW109" s="1346"/>
      <c r="FX109" s="1347"/>
      <c r="FY109" s="1348"/>
      <c r="FZ109" s="1348"/>
      <c r="GA109" s="1348"/>
      <c r="GB109" s="1349"/>
      <c r="GC109" s="1350"/>
      <c r="GD109" s="1348"/>
      <c r="GE109" s="1348"/>
      <c r="GF109" s="1348"/>
      <c r="GG109" s="1348"/>
      <c r="GH109" s="1348"/>
      <c r="GI109" s="1348"/>
      <c r="GJ109" s="1348"/>
      <c r="GK109" s="1348"/>
      <c r="GL109" s="1348"/>
      <c r="GM109" s="1348"/>
      <c r="GN109" s="3825">
        <f t="shared" ca="1" si="205"/>
        <v>0</v>
      </c>
      <c r="GO109" s="3825"/>
      <c r="GP109" s="3825"/>
      <c r="GQ109" s="3826"/>
      <c r="GR109" s="3675"/>
      <c r="GS109" s="3676"/>
      <c r="GT109" s="1756">
        <f t="shared" ca="1" si="220"/>
        <v>0</v>
      </c>
      <c r="GU109" s="1757">
        <f t="shared" ca="1" si="220"/>
        <v>0</v>
      </c>
      <c r="GV109" s="1757">
        <f t="shared" ca="1" si="220"/>
        <v>0</v>
      </c>
      <c r="GW109" s="1757">
        <f t="shared" ca="1" si="220"/>
        <v>0</v>
      </c>
      <c r="GX109" s="1757">
        <f t="shared" ca="1" si="220"/>
        <v>0</v>
      </c>
      <c r="GY109" s="1757">
        <f t="shared" ca="1" si="220"/>
        <v>0</v>
      </c>
      <c r="GZ109" s="1757">
        <f t="shared" ca="1" si="220"/>
        <v>0</v>
      </c>
      <c r="HA109" s="1757">
        <f t="shared" ca="1" si="220"/>
        <v>0</v>
      </c>
      <c r="HB109" s="1757">
        <f t="shared" ca="1" si="220"/>
        <v>0</v>
      </c>
      <c r="HC109" s="1757">
        <f t="shared" ca="1" si="220"/>
        <v>0</v>
      </c>
      <c r="HD109" s="1757">
        <f t="shared" ca="1" si="221"/>
        <v>0</v>
      </c>
      <c r="HE109" s="1757">
        <f t="shared" ca="1" si="221"/>
        <v>0</v>
      </c>
      <c r="HF109" s="1757">
        <f t="shared" ca="1" si="221"/>
        <v>0</v>
      </c>
      <c r="HG109" s="1757">
        <f t="shared" ca="1" si="221"/>
        <v>0</v>
      </c>
      <c r="HH109" s="1757">
        <f t="shared" ca="1" si="221"/>
        <v>0</v>
      </c>
      <c r="HI109" s="1757">
        <f t="shared" ca="1" si="221"/>
        <v>0</v>
      </c>
      <c r="HJ109" s="1757">
        <f t="shared" ca="1" si="221"/>
        <v>0</v>
      </c>
      <c r="HK109" s="1757">
        <f t="shared" ca="1" si="221"/>
        <v>0</v>
      </c>
      <c r="HL109" s="1757">
        <f t="shared" ca="1" si="221"/>
        <v>0</v>
      </c>
      <c r="HM109" s="1757">
        <f t="shared" ca="1" si="221"/>
        <v>0</v>
      </c>
      <c r="HN109" s="1757">
        <f t="shared" ca="1" si="222"/>
        <v>0</v>
      </c>
      <c r="HO109" s="1757">
        <f t="shared" ca="1" si="222"/>
        <v>0</v>
      </c>
      <c r="HP109" s="1757">
        <f t="shared" ca="1" si="222"/>
        <v>0</v>
      </c>
      <c r="HQ109" s="1757">
        <f t="shared" ca="1" si="222"/>
        <v>0</v>
      </c>
      <c r="HR109" s="1757">
        <f t="shared" ca="1" si="222"/>
        <v>0</v>
      </c>
      <c r="HS109" s="1757">
        <f t="shared" ca="1" si="222"/>
        <v>0</v>
      </c>
      <c r="HT109" s="1757">
        <f t="shared" ca="1" si="222"/>
        <v>0</v>
      </c>
      <c r="HU109" s="1757">
        <f t="shared" ca="1" si="222"/>
        <v>0</v>
      </c>
      <c r="HV109" s="1757">
        <f t="shared" ca="1" si="222"/>
        <v>0</v>
      </c>
      <c r="HW109" s="1757">
        <f t="shared" ca="1" si="222"/>
        <v>0</v>
      </c>
      <c r="HX109" s="1757">
        <f t="shared" ca="1" si="223"/>
        <v>0</v>
      </c>
      <c r="HY109" s="1757">
        <f t="shared" ca="1" si="223"/>
        <v>0</v>
      </c>
      <c r="HZ109" s="1757">
        <f t="shared" ca="1" si="223"/>
        <v>0</v>
      </c>
      <c r="IA109" s="1757">
        <f t="shared" ca="1" si="223"/>
        <v>0</v>
      </c>
      <c r="IB109" s="1757">
        <f t="shared" ca="1" si="223"/>
        <v>0</v>
      </c>
      <c r="IC109" s="1757">
        <f t="shared" ca="1" si="223"/>
        <v>0</v>
      </c>
      <c r="ID109" s="1757">
        <f t="shared" ca="1" si="223"/>
        <v>0</v>
      </c>
      <c r="IE109" s="1757">
        <f t="shared" ca="1" si="223"/>
        <v>0</v>
      </c>
      <c r="IF109" s="1757">
        <f t="shared" ca="1" si="223"/>
        <v>0</v>
      </c>
      <c r="IG109" s="1757">
        <f t="shared" ca="1" si="223"/>
        <v>0</v>
      </c>
      <c r="IH109" s="1757">
        <f t="shared" ca="1" si="224"/>
        <v>0</v>
      </c>
      <c r="II109" s="1757">
        <f t="shared" ca="1" si="224"/>
        <v>0</v>
      </c>
      <c r="IJ109" s="1757">
        <f t="shared" ca="1" si="224"/>
        <v>0</v>
      </c>
      <c r="IK109" s="1757">
        <f t="shared" ca="1" si="224"/>
        <v>0</v>
      </c>
      <c r="IL109" s="1757">
        <f t="shared" ca="1" si="224"/>
        <v>0</v>
      </c>
      <c r="IM109" s="1757">
        <f t="shared" ca="1" si="224"/>
        <v>0</v>
      </c>
      <c r="IN109" s="1757">
        <f t="shared" ca="1" si="224"/>
        <v>0</v>
      </c>
      <c r="IO109" s="1757">
        <f t="shared" ca="1" si="224"/>
        <v>0</v>
      </c>
      <c r="IP109" s="1757">
        <f t="shared" ca="1" si="224"/>
        <v>0</v>
      </c>
      <c r="IQ109" s="1757">
        <f t="shared" ca="1" si="224"/>
        <v>0</v>
      </c>
      <c r="IR109" s="1757">
        <f t="shared" ca="1" si="225"/>
        <v>0</v>
      </c>
      <c r="IS109" s="1757">
        <f t="shared" ca="1" si="225"/>
        <v>0</v>
      </c>
      <c r="IT109" s="1757">
        <f t="shared" ca="1" si="225"/>
        <v>0</v>
      </c>
      <c r="IU109" s="1757">
        <f t="shared" ca="1" si="225"/>
        <v>0</v>
      </c>
      <c r="IV109" s="1757">
        <f t="shared" ca="1" si="225"/>
        <v>0</v>
      </c>
      <c r="IW109" s="1757">
        <f t="shared" ca="1" si="225"/>
        <v>0</v>
      </c>
      <c r="IX109" s="1757">
        <f t="shared" ca="1" si="225"/>
        <v>0</v>
      </c>
      <c r="IY109" s="1757">
        <f t="shared" ca="1" si="225"/>
        <v>0</v>
      </c>
      <c r="IZ109" s="1757">
        <f t="shared" ca="1" si="225"/>
        <v>0</v>
      </c>
      <c r="JA109" s="1757">
        <f t="shared" ca="1" si="225"/>
        <v>0</v>
      </c>
      <c r="JB109" s="1757">
        <f t="shared" ca="1" si="226"/>
        <v>0</v>
      </c>
      <c r="JC109" s="1757">
        <f t="shared" ca="1" si="226"/>
        <v>0</v>
      </c>
      <c r="JD109" s="1757">
        <f t="shared" ca="1" si="226"/>
        <v>0</v>
      </c>
      <c r="JE109" s="1757">
        <f t="shared" ca="1" si="226"/>
        <v>0</v>
      </c>
      <c r="JF109" s="1757">
        <f t="shared" ca="1" si="226"/>
        <v>0</v>
      </c>
      <c r="JG109" s="1757">
        <f t="shared" ca="1" si="226"/>
        <v>0</v>
      </c>
      <c r="JH109" s="1757">
        <f t="shared" ca="1" si="226"/>
        <v>0</v>
      </c>
      <c r="JI109" s="1757">
        <f t="shared" ca="1" si="226"/>
        <v>0</v>
      </c>
      <c r="JJ109" s="1757">
        <f t="shared" ca="1" si="226"/>
        <v>0</v>
      </c>
      <c r="JK109" s="1757">
        <f t="shared" ca="1" si="226"/>
        <v>0</v>
      </c>
      <c r="JL109" s="1757">
        <f t="shared" ca="1" si="227"/>
        <v>0</v>
      </c>
      <c r="JM109" s="1757">
        <f t="shared" ca="1" si="227"/>
        <v>0</v>
      </c>
      <c r="JN109" s="1757">
        <f t="shared" ca="1" si="227"/>
        <v>0</v>
      </c>
      <c r="JO109" s="1757">
        <f t="shared" ca="1" si="227"/>
        <v>0</v>
      </c>
      <c r="JP109" s="1757">
        <f t="shared" ca="1" si="227"/>
        <v>0</v>
      </c>
      <c r="JQ109" s="1757">
        <f t="shared" ca="1" si="227"/>
        <v>0</v>
      </c>
      <c r="JR109" s="1757">
        <f t="shared" ca="1" si="227"/>
        <v>0</v>
      </c>
      <c r="JS109" s="1757">
        <f t="shared" ca="1" si="227"/>
        <v>0</v>
      </c>
      <c r="JT109" s="1757">
        <f t="shared" ca="1" si="227"/>
        <v>0</v>
      </c>
      <c r="JU109" s="1757">
        <f t="shared" ca="1" si="227"/>
        <v>0</v>
      </c>
      <c r="JV109" s="1757">
        <f t="shared" ca="1" si="228"/>
        <v>0</v>
      </c>
      <c r="JW109" s="1757">
        <f t="shared" ca="1" si="228"/>
        <v>0</v>
      </c>
      <c r="JX109" s="1757">
        <f t="shared" ca="1" si="228"/>
        <v>0</v>
      </c>
      <c r="JY109" s="1757">
        <f t="shared" ca="1" si="228"/>
        <v>0</v>
      </c>
      <c r="JZ109" s="1757">
        <f t="shared" ca="1" si="228"/>
        <v>0</v>
      </c>
      <c r="KA109" s="1757">
        <f t="shared" ca="1" si="228"/>
        <v>0</v>
      </c>
      <c r="KB109" s="1757">
        <f t="shared" ca="1" si="228"/>
        <v>0</v>
      </c>
      <c r="KC109" s="1757">
        <f t="shared" ca="1" si="228"/>
        <v>0</v>
      </c>
      <c r="KD109" s="1757">
        <f t="shared" ca="1" si="228"/>
        <v>0</v>
      </c>
      <c r="KE109" s="1757">
        <f t="shared" ca="1" si="228"/>
        <v>0</v>
      </c>
      <c r="KF109" s="1757">
        <f t="shared" ca="1" si="229"/>
        <v>0</v>
      </c>
      <c r="KG109" s="1757">
        <f t="shared" ca="1" si="229"/>
        <v>0</v>
      </c>
      <c r="KH109" s="1757">
        <f t="shared" ca="1" si="229"/>
        <v>0</v>
      </c>
      <c r="KI109" s="1757">
        <f t="shared" ca="1" si="229"/>
        <v>0</v>
      </c>
      <c r="KJ109" s="1757">
        <f t="shared" ca="1" si="229"/>
        <v>0</v>
      </c>
      <c r="KK109" s="1757">
        <f t="shared" ca="1" si="229"/>
        <v>0</v>
      </c>
      <c r="KL109" s="1757">
        <f t="shared" ca="1" si="229"/>
        <v>0</v>
      </c>
      <c r="KM109" s="1757">
        <f t="shared" ca="1" si="229"/>
        <v>0</v>
      </c>
      <c r="KN109" s="1757">
        <f t="shared" ca="1" si="229"/>
        <v>0</v>
      </c>
      <c r="KO109" s="1757">
        <f t="shared" ca="1" si="229"/>
        <v>0</v>
      </c>
      <c r="KP109" s="1757">
        <f t="shared" ca="1" si="230"/>
        <v>0</v>
      </c>
      <c r="KQ109" s="1757">
        <f t="shared" ca="1" si="230"/>
        <v>0</v>
      </c>
      <c r="KR109" s="1757">
        <f t="shared" ca="1" si="230"/>
        <v>0</v>
      </c>
      <c r="KS109" s="1757">
        <f t="shared" ca="1" si="230"/>
        <v>0</v>
      </c>
      <c r="KT109" s="1757">
        <f t="shared" ca="1" si="230"/>
        <v>0</v>
      </c>
      <c r="KU109" s="1757">
        <f t="shared" ca="1" si="230"/>
        <v>0</v>
      </c>
      <c r="KV109" s="1757">
        <f t="shared" ca="1" si="230"/>
        <v>0</v>
      </c>
      <c r="KW109" s="1757">
        <f t="shared" ca="1" si="230"/>
        <v>0</v>
      </c>
      <c r="KX109" s="1757">
        <f t="shared" ca="1" si="230"/>
        <v>0</v>
      </c>
      <c r="KY109" s="1757">
        <f t="shared" ca="1" si="230"/>
        <v>0</v>
      </c>
      <c r="KZ109" s="1757">
        <f t="shared" ca="1" si="231"/>
        <v>0</v>
      </c>
      <c r="LA109" s="1757">
        <f t="shared" ca="1" si="231"/>
        <v>0</v>
      </c>
      <c r="LB109" s="1757">
        <f t="shared" ca="1" si="231"/>
        <v>0</v>
      </c>
      <c r="LC109" s="1757">
        <f t="shared" ca="1" si="231"/>
        <v>0</v>
      </c>
      <c r="LD109" s="1757">
        <f t="shared" ca="1" si="231"/>
        <v>0</v>
      </c>
      <c r="LE109" s="1757">
        <f t="shared" ca="1" si="231"/>
        <v>0</v>
      </c>
      <c r="LF109" s="1757">
        <f t="shared" ca="1" si="231"/>
        <v>0</v>
      </c>
      <c r="LG109" s="1757">
        <f t="shared" ca="1" si="231"/>
        <v>0</v>
      </c>
      <c r="LH109" s="1757">
        <f t="shared" ca="1" si="231"/>
        <v>0</v>
      </c>
      <c r="LI109" s="1757">
        <f t="shared" ca="1" si="231"/>
        <v>0</v>
      </c>
      <c r="LJ109" s="1757">
        <f t="shared" ca="1" si="232"/>
        <v>0</v>
      </c>
      <c r="LK109" s="1757">
        <f t="shared" ca="1" si="232"/>
        <v>0</v>
      </c>
      <c r="LL109" s="1757">
        <f t="shared" ca="1" si="232"/>
        <v>0</v>
      </c>
      <c r="LM109" s="1757">
        <f t="shared" ca="1" si="232"/>
        <v>0</v>
      </c>
      <c r="LN109" s="1757">
        <f t="shared" ca="1" si="232"/>
        <v>0</v>
      </c>
      <c r="LO109" s="1757">
        <f t="shared" ca="1" si="232"/>
        <v>0</v>
      </c>
      <c r="LP109" s="1758">
        <f t="shared" ca="1" si="232"/>
        <v>0</v>
      </c>
      <c r="LQ109" s="604"/>
    </row>
    <row r="110" spans="1:329" ht="12.75" customHeight="1" x14ac:dyDescent="0.3">
      <c r="A110" s="279"/>
      <c r="B110" s="41"/>
      <c r="C110" s="82"/>
      <c r="D110" s="41"/>
      <c r="E110" s="9"/>
      <c r="F110" s="9"/>
      <c r="G110" s="9"/>
      <c r="H110" s="10"/>
      <c r="I110" s="10"/>
      <c r="J110" s="10"/>
      <c r="K110" s="10"/>
      <c r="L110" s="10"/>
      <c r="M110" s="10"/>
      <c r="N110" s="9"/>
      <c r="O110" s="9"/>
      <c r="P110" s="44"/>
      <c r="Q110" s="44"/>
      <c r="R110" s="9"/>
      <c r="S110" s="9"/>
      <c r="T110" s="9"/>
      <c r="U110" s="9"/>
      <c r="V110" s="9"/>
      <c r="W110" s="9"/>
      <c r="X110" s="9"/>
      <c r="Y110" s="9"/>
      <c r="Z110" s="9"/>
      <c r="AA110" s="9"/>
      <c r="AB110" s="9"/>
      <c r="AC110" s="9"/>
      <c r="AD110" s="9"/>
      <c r="AE110" s="9"/>
      <c r="AF110" s="9"/>
      <c r="AG110" s="9"/>
      <c r="AH110" s="2514"/>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113"/>
      <c r="DI110" s="113"/>
      <c r="DJ110" s="113"/>
      <c r="DK110" s="118"/>
      <c r="DL110" s="118"/>
      <c r="DM110" s="118"/>
      <c r="DN110" s="118"/>
      <c r="DO110" s="118"/>
      <c r="DP110" s="118"/>
      <c r="DQ110" s="118"/>
      <c r="DR110" s="118"/>
      <c r="DS110" s="118"/>
      <c r="DT110" s="118"/>
      <c r="DU110" s="118"/>
      <c r="DV110" s="118"/>
      <c r="DW110" s="118"/>
      <c r="DX110" s="118"/>
      <c r="DY110" s="118"/>
      <c r="DZ110" s="118"/>
      <c r="EA110" s="118"/>
      <c r="EB110" s="118"/>
      <c r="EC110" s="118"/>
      <c r="ED110" s="118"/>
      <c r="EE110" s="118"/>
      <c r="EF110" s="118"/>
      <c r="EG110" s="118"/>
      <c r="EH110" s="118"/>
      <c r="EI110" s="118"/>
      <c r="EJ110" s="118"/>
      <c r="EK110" s="118"/>
      <c r="EL110" s="118"/>
      <c r="EM110" s="118"/>
      <c r="EN110" s="118"/>
      <c r="EO110" s="118"/>
      <c r="EP110" s="118"/>
      <c r="EQ110" s="118"/>
      <c r="ER110" s="118"/>
      <c r="ES110" s="118"/>
      <c r="ET110" s="118"/>
      <c r="EU110" s="118"/>
      <c r="EV110" s="118"/>
      <c r="EW110" s="118"/>
      <c r="EX110" s="118"/>
      <c r="EY110" s="118"/>
      <c r="EZ110" s="118"/>
      <c r="FA110" s="118"/>
      <c r="FB110" s="118"/>
      <c r="FC110" s="118"/>
      <c r="FD110" s="118"/>
      <c r="FE110" s="118"/>
      <c r="FF110" s="118"/>
      <c r="FG110" s="118"/>
      <c r="FH110" s="118"/>
      <c r="FI110" s="180"/>
      <c r="FJ110" s="132"/>
      <c r="FK110" s="132"/>
      <c r="FL110" s="181">
        <f t="shared" ca="1" si="197"/>
        <v>31</v>
      </c>
      <c r="FM110" s="1340">
        <f t="shared" ca="1" si="198"/>
        <v>0</v>
      </c>
      <c r="FN110" s="1341">
        <f t="shared" ca="1" si="199"/>
        <v>0</v>
      </c>
      <c r="FO110" s="1342">
        <f t="shared" ca="1" si="200"/>
        <v>30</v>
      </c>
      <c r="FP110" s="1343">
        <f t="shared" ca="1" si="201"/>
        <v>0</v>
      </c>
      <c r="FQ110" s="1344">
        <f t="shared" si="202"/>
        <v>40</v>
      </c>
      <c r="FR110" s="1344">
        <f t="shared" si="203"/>
        <v>50</v>
      </c>
      <c r="FS110" s="1345">
        <f t="shared" si="204"/>
        <v>31</v>
      </c>
      <c r="FT110" s="1345"/>
      <c r="FU110" s="1346">
        <f t="shared" ca="1" si="219"/>
        <v>0</v>
      </c>
      <c r="FV110" s="1346"/>
      <c r="FW110" s="1346"/>
      <c r="FX110" s="1347"/>
      <c r="FY110" s="1348"/>
      <c r="FZ110" s="1348"/>
      <c r="GA110" s="1348"/>
      <c r="GB110" s="1349"/>
      <c r="GC110" s="1350"/>
      <c r="GD110" s="1348"/>
      <c r="GE110" s="1348"/>
      <c r="GF110" s="1348"/>
      <c r="GG110" s="1348"/>
      <c r="GH110" s="1348"/>
      <c r="GI110" s="1348"/>
      <c r="GJ110" s="1348"/>
      <c r="GK110" s="1348"/>
      <c r="GL110" s="1348"/>
      <c r="GM110" s="1348"/>
      <c r="GN110" s="3825">
        <f t="shared" ca="1" si="205"/>
        <v>0</v>
      </c>
      <c r="GO110" s="3825"/>
      <c r="GP110" s="3825"/>
      <c r="GQ110" s="3826"/>
      <c r="GR110" s="3675"/>
      <c r="GS110" s="3676"/>
      <c r="GT110" s="1756">
        <f t="shared" ca="1" si="220"/>
        <v>0</v>
      </c>
      <c r="GU110" s="1757">
        <f t="shared" ca="1" si="220"/>
        <v>0</v>
      </c>
      <c r="GV110" s="1757">
        <f t="shared" ca="1" si="220"/>
        <v>0</v>
      </c>
      <c r="GW110" s="1757">
        <f t="shared" ca="1" si="220"/>
        <v>0</v>
      </c>
      <c r="GX110" s="1757">
        <f t="shared" ca="1" si="220"/>
        <v>0</v>
      </c>
      <c r="GY110" s="1757">
        <f t="shared" ca="1" si="220"/>
        <v>0</v>
      </c>
      <c r="GZ110" s="1757">
        <f t="shared" ca="1" si="220"/>
        <v>0</v>
      </c>
      <c r="HA110" s="1757">
        <f t="shared" ca="1" si="220"/>
        <v>0</v>
      </c>
      <c r="HB110" s="1757">
        <f t="shared" ca="1" si="220"/>
        <v>0</v>
      </c>
      <c r="HC110" s="1757">
        <f t="shared" ca="1" si="220"/>
        <v>0</v>
      </c>
      <c r="HD110" s="1757">
        <f t="shared" ca="1" si="221"/>
        <v>0</v>
      </c>
      <c r="HE110" s="1757">
        <f t="shared" ca="1" si="221"/>
        <v>0</v>
      </c>
      <c r="HF110" s="1757">
        <f t="shared" ca="1" si="221"/>
        <v>0</v>
      </c>
      <c r="HG110" s="1757">
        <f t="shared" ca="1" si="221"/>
        <v>0</v>
      </c>
      <c r="HH110" s="1757">
        <f t="shared" ca="1" si="221"/>
        <v>0</v>
      </c>
      <c r="HI110" s="1757">
        <f t="shared" ca="1" si="221"/>
        <v>0</v>
      </c>
      <c r="HJ110" s="1757">
        <f t="shared" ca="1" si="221"/>
        <v>0</v>
      </c>
      <c r="HK110" s="1757">
        <f t="shared" ca="1" si="221"/>
        <v>0</v>
      </c>
      <c r="HL110" s="1757">
        <f t="shared" ca="1" si="221"/>
        <v>0</v>
      </c>
      <c r="HM110" s="1757">
        <f t="shared" ca="1" si="221"/>
        <v>0</v>
      </c>
      <c r="HN110" s="1757">
        <f t="shared" ca="1" si="222"/>
        <v>0</v>
      </c>
      <c r="HO110" s="1757">
        <f t="shared" ca="1" si="222"/>
        <v>0</v>
      </c>
      <c r="HP110" s="1757">
        <f t="shared" ca="1" si="222"/>
        <v>0</v>
      </c>
      <c r="HQ110" s="1757">
        <f t="shared" ca="1" si="222"/>
        <v>0</v>
      </c>
      <c r="HR110" s="1757">
        <f t="shared" ca="1" si="222"/>
        <v>0</v>
      </c>
      <c r="HS110" s="1757">
        <f t="shared" ca="1" si="222"/>
        <v>0</v>
      </c>
      <c r="HT110" s="1757">
        <f t="shared" ca="1" si="222"/>
        <v>0</v>
      </c>
      <c r="HU110" s="1757">
        <f t="shared" ca="1" si="222"/>
        <v>0</v>
      </c>
      <c r="HV110" s="1757">
        <f t="shared" ca="1" si="222"/>
        <v>0</v>
      </c>
      <c r="HW110" s="1757">
        <f t="shared" ca="1" si="222"/>
        <v>0</v>
      </c>
      <c r="HX110" s="1757">
        <f t="shared" ca="1" si="223"/>
        <v>0</v>
      </c>
      <c r="HY110" s="1757">
        <f t="shared" ca="1" si="223"/>
        <v>0</v>
      </c>
      <c r="HZ110" s="1757">
        <f t="shared" ca="1" si="223"/>
        <v>0</v>
      </c>
      <c r="IA110" s="1757">
        <f t="shared" ca="1" si="223"/>
        <v>0</v>
      </c>
      <c r="IB110" s="1757">
        <f t="shared" ca="1" si="223"/>
        <v>0</v>
      </c>
      <c r="IC110" s="1757">
        <f t="shared" ca="1" si="223"/>
        <v>0</v>
      </c>
      <c r="ID110" s="1757">
        <f t="shared" ca="1" si="223"/>
        <v>0</v>
      </c>
      <c r="IE110" s="1757">
        <f t="shared" ca="1" si="223"/>
        <v>0</v>
      </c>
      <c r="IF110" s="1757">
        <f t="shared" ca="1" si="223"/>
        <v>0</v>
      </c>
      <c r="IG110" s="1757">
        <f t="shared" ca="1" si="223"/>
        <v>0</v>
      </c>
      <c r="IH110" s="1757">
        <f t="shared" ca="1" si="224"/>
        <v>0</v>
      </c>
      <c r="II110" s="1757">
        <f t="shared" ca="1" si="224"/>
        <v>0</v>
      </c>
      <c r="IJ110" s="1757">
        <f t="shared" ca="1" si="224"/>
        <v>0</v>
      </c>
      <c r="IK110" s="1757">
        <f t="shared" ca="1" si="224"/>
        <v>0</v>
      </c>
      <c r="IL110" s="1757">
        <f t="shared" ca="1" si="224"/>
        <v>0</v>
      </c>
      <c r="IM110" s="1757">
        <f t="shared" ca="1" si="224"/>
        <v>0</v>
      </c>
      <c r="IN110" s="1757">
        <f t="shared" ca="1" si="224"/>
        <v>0</v>
      </c>
      <c r="IO110" s="1757">
        <f t="shared" ca="1" si="224"/>
        <v>0</v>
      </c>
      <c r="IP110" s="1757">
        <f t="shared" ca="1" si="224"/>
        <v>0</v>
      </c>
      <c r="IQ110" s="1757">
        <f t="shared" ca="1" si="224"/>
        <v>0</v>
      </c>
      <c r="IR110" s="1757">
        <f t="shared" ca="1" si="225"/>
        <v>0</v>
      </c>
      <c r="IS110" s="1757">
        <f t="shared" ca="1" si="225"/>
        <v>0</v>
      </c>
      <c r="IT110" s="1757">
        <f t="shared" ca="1" si="225"/>
        <v>0</v>
      </c>
      <c r="IU110" s="1757">
        <f t="shared" ca="1" si="225"/>
        <v>0</v>
      </c>
      <c r="IV110" s="1757">
        <f t="shared" ca="1" si="225"/>
        <v>0</v>
      </c>
      <c r="IW110" s="1757">
        <f t="shared" ca="1" si="225"/>
        <v>0</v>
      </c>
      <c r="IX110" s="1757">
        <f t="shared" ca="1" si="225"/>
        <v>0</v>
      </c>
      <c r="IY110" s="1757">
        <f t="shared" ca="1" si="225"/>
        <v>0</v>
      </c>
      <c r="IZ110" s="1757">
        <f t="shared" ca="1" si="225"/>
        <v>0</v>
      </c>
      <c r="JA110" s="1757">
        <f t="shared" ca="1" si="225"/>
        <v>0</v>
      </c>
      <c r="JB110" s="1757">
        <f t="shared" ca="1" si="226"/>
        <v>0</v>
      </c>
      <c r="JC110" s="1757">
        <f t="shared" ca="1" si="226"/>
        <v>0</v>
      </c>
      <c r="JD110" s="1757">
        <f t="shared" ca="1" si="226"/>
        <v>0</v>
      </c>
      <c r="JE110" s="1757">
        <f t="shared" ca="1" si="226"/>
        <v>0</v>
      </c>
      <c r="JF110" s="1757">
        <f t="shared" ca="1" si="226"/>
        <v>0</v>
      </c>
      <c r="JG110" s="1757">
        <f t="shared" ca="1" si="226"/>
        <v>0</v>
      </c>
      <c r="JH110" s="1757">
        <f t="shared" ca="1" si="226"/>
        <v>0</v>
      </c>
      <c r="JI110" s="1757">
        <f t="shared" ca="1" si="226"/>
        <v>0</v>
      </c>
      <c r="JJ110" s="1757">
        <f t="shared" ca="1" si="226"/>
        <v>0</v>
      </c>
      <c r="JK110" s="1757">
        <f t="shared" ca="1" si="226"/>
        <v>0</v>
      </c>
      <c r="JL110" s="1757">
        <f t="shared" ca="1" si="227"/>
        <v>0</v>
      </c>
      <c r="JM110" s="1757">
        <f t="shared" ca="1" si="227"/>
        <v>0</v>
      </c>
      <c r="JN110" s="1757">
        <f t="shared" ca="1" si="227"/>
        <v>0</v>
      </c>
      <c r="JO110" s="1757">
        <f t="shared" ca="1" si="227"/>
        <v>0</v>
      </c>
      <c r="JP110" s="1757">
        <f t="shared" ca="1" si="227"/>
        <v>0</v>
      </c>
      <c r="JQ110" s="1757">
        <f t="shared" ca="1" si="227"/>
        <v>0</v>
      </c>
      <c r="JR110" s="1757">
        <f t="shared" ca="1" si="227"/>
        <v>0</v>
      </c>
      <c r="JS110" s="1757">
        <f t="shared" ca="1" si="227"/>
        <v>0</v>
      </c>
      <c r="JT110" s="1757">
        <f t="shared" ca="1" si="227"/>
        <v>0</v>
      </c>
      <c r="JU110" s="1757">
        <f t="shared" ca="1" si="227"/>
        <v>0</v>
      </c>
      <c r="JV110" s="1757">
        <f t="shared" ca="1" si="228"/>
        <v>0</v>
      </c>
      <c r="JW110" s="1757">
        <f t="shared" ca="1" si="228"/>
        <v>0</v>
      </c>
      <c r="JX110" s="1757">
        <f t="shared" ca="1" si="228"/>
        <v>0</v>
      </c>
      <c r="JY110" s="1757">
        <f t="shared" ca="1" si="228"/>
        <v>0</v>
      </c>
      <c r="JZ110" s="1757">
        <f t="shared" ca="1" si="228"/>
        <v>0</v>
      </c>
      <c r="KA110" s="1757">
        <f t="shared" ca="1" si="228"/>
        <v>0</v>
      </c>
      <c r="KB110" s="1757">
        <f t="shared" ca="1" si="228"/>
        <v>0</v>
      </c>
      <c r="KC110" s="1757">
        <f t="shared" ca="1" si="228"/>
        <v>0</v>
      </c>
      <c r="KD110" s="1757">
        <f t="shared" ca="1" si="228"/>
        <v>0</v>
      </c>
      <c r="KE110" s="1757">
        <f t="shared" ca="1" si="228"/>
        <v>0</v>
      </c>
      <c r="KF110" s="1757">
        <f t="shared" ca="1" si="229"/>
        <v>0</v>
      </c>
      <c r="KG110" s="1757">
        <f t="shared" ca="1" si="229"/>
        <v>0</v>
      </c>
      <c r="KH110" s="1757">
        <f t="shared" ca="1" si="229"/>
        <v>0</v>
      </c>
      <c r="KI110" s="1757">
        <f t="shared" ca="1" si="229"/>
        <v>0</v>
      </c>
      <c r="KJ110" s="1757">
        <f t="shared" ca="1" si="229"/>
        <v>0</v>
      </c>
      <c r="KK110" s="1757">
        <f t="shared" ca="1" si="229"/>
        <v>0</v>
      </c>
      <c r="KL110" s="1757">
        <f t="shared" ca="1" si="229"/>
        <v>0</v>
      </c>
      <c r="KM110" s="1757">
        <f t="shared" ca="1" si="229"/>
        <v>0</v>
      </c>
      <c r="KN110" s="1757">
        <f t="shared" ca="1" si="229"/>
        <v>0</v>
      </c>
      <c r="KO110" s="1757">
        <f t="shared" ca="1" si="229"/>
        <v>0</v>
      </c>
      <c r="KP110" s="1757">
        <f t="shared" ca="1" si="230"/>
        <v>0</v>
      </c>
      <c r="KQ110" s="1757">
        <f t="shared" ca="1" si="230"/>
        <v>0</v>
      </c>
      <c r="KR110" s="1757">
        <f t="shared" ca="1" si="230"/>
        <v>0</v>
      </c>
      <c r="KS110" s="1757">
        <f t="shared" ca="1" si="230"/>
        <v>0</v>
      </c>
      <c r="KT110" s="1757">
        <f t="shared" ca="1" si="230"/>
        <v>0</v>
      </c>
      <c r="KU110" s="1757">
        <f t="shared" ca="1" si="230"/>
        <v>0</v>
      </c>
      <c r="KV110" s="1757">
        <f t="shared" ca="1" si="230"/>
        <v>0</v>
      </c>
      <c r="KW110" s="1757">
        <f t="shared" ca="1" si="230"/>
        <v>0</v>
      </c>
      <c r="KX110" s="1757">
        <f t="shared" ca="1" si="230"/>
        <v>0</v>
      </c>
      <c r="KY110" s="1757">
        <f t="shared" ca="1" si="230"/>
        <v>0</v>
      </c>
      <c r="KZ110" s="1757">
        <f t="shared" ca="1" si="231"/>
        <v>0</v>
      </c>
      <c r="LA110" s="1757">
        <f t="shared" ca="1" si="231"/>
        <v>0</v>
      </c>
      <c r="LB110" s="1757">
        <f t="shared" ca="1" si="231"/>
        <v>0</v>
      </c>
      <c r="LC110" s="1757">
        <f t="shared" ca="1" si="231"/>
        <v>0</v>
      </c>
      <c r="LD110" s="1757">
        <f t="shared" ca="1" si="231"/>
        <v>0</v>
      </c>
      <c r="LE110" s="1757">
        <f t="shared" ca="1" si="231"/>
        <v>0</v>
      </c>
      <c r="LF110" s="1757">
        <f t="shared" ca="1" si="231"/>
        <v>0</v>
      </c>
      <c r="LG110" s="1757">
        <f t="shared" ca="1" si="231"/>
        <v>0</v>
      </c>
      <c r="LH110" s="1757">
        <f t="shared" ca="1" si="231"/>
        <v>0</v>
      </c>
      <c r="LI110" s="1757">
        <f t="shared" ca="1" si="231"/>
        <v>0</v>
      </c>
      <c r="LJ110" s="1757">
        <f t="shared" ca="1" si="232"/>
        <v>0</v>
      </c>
      <c r="LK110" s="1757">
        <f t="shared" ca="1" si="232"/>
        <v>0</v>
      </c>
      <c r="LL110" s="1757">
        <f t="shared" ca="1" si="232"/>
        <v>0</v>
      </c>
      <c r="LM110" s="1757">
        <f t="shared" ca="1" si="232"/>
        <v>0</v>
      </c>
      <c r="LN110" s="1757">
        <f t="shared" ca="1" si="232"/>
        <v>0</v>
      </c>
      <c r="LO110" s="1757">
        <f t="shared" ca="1" si="232"/>
        <v>0</v>
      </c>
      <c r="LP110" s="1758">
        <f t="shared" ca="1" si="232"/>
        <v>0</v>
      </c>
      <c r="LQ110" s="604"/>
    </row>
    <row r="111" spans="1:329" ht="12.75" customHeight="1" x14ac:dyDescent="0.3">
      <c r="A111" s="279"/>
      <c r="B111" s="41"/>
      <c r="C111" s="82"/>
      <c r="D111" s="41"/>
      <c r="E111" s="9"/>
      <c r="F111" s="9"/>
      <c r="G111" s="9"/>
      <c r="H111" s="10"/>
      <c r="I111" s="10"/>
      <c r="J111" s="10"/>
      <c r="K111" s="10"/>
      <c r="L111" s="10"/>
      <c r="M111" s="10"/>
      <c r="N111" s="9"/>
      <c r="O111" s="9"/>
      <c r="P111" s="44"/>
      <c r="Q111" s="44"/>
      <c r="R111" s="9"/>
      <c r="S111" s="9"/>
      <c r="T111" s="9"/>
      <c r="U111" s="9"/>
      <c r="V111" s="9"/>
      <c r="W111" s="9"/>
      <c r="X111" s="9"/>
      <c r="Y111" s="9"/>
      <c r="Z111" s="9"/>
      <c r="AA111" s="9"/>
      <c r="AB111" s="9"/>
      <c r="AC111" s="9"/>
      <c r="AD111" s="9"/>
      <c r="AE111" s="9"/>
      <c r="AF111" s="9"/>
      <c r="AG111" s="9"/>
      <c r="AH111" s="2514"/>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113"/>
      <c r="DI111" s="113"/>
      <c r="DJ111" s="113"/>
      <c r="DK111" s="118"/>
      <c r="DL111" s="118"/>
      <c r="DM111" s="118"/>
      <c r="DN111" s="118"/>
      <c r="DO111" s="118"/>
      <c r="DP111" s="118"/>
      <c r="DQ111" s="118"/>
      <c r="DR111" s="118"/>
      <c r="DS111" s="118"/>
      <c r="DT111" s="118"/>
      <c r="DU111" s="118"/>
      <c r="DV111" s="118"/>
      <c r="DW111" s="118"/>
      <c r="DX111" s="118"/>
      <c r="DY111" s="118"/>
      <c r="DZ111" s="118"/>
      <c r="EA111" s="118"/>
      <c r="EB111" s="118"/>
      <c r="EC111" s="118"/>
      <c r="ED111" s="118"/>
      <c r="EE111" s="118"/>
      <c r="EF111" s="118"/>
      <c r="EG111" s="118"/>
      <c r="EH111" s="118"/>
      <c r="EI111" s="118"/>
      <c r="EJ111" s="118"/>
      <c r="EK111" s="118"/>
      <c r="EL111" s="118"/>
      <c r="EM111" s="118"/>
      <c r="EN111" s="118"/>
      <c r="EO111" s="118"/>
      <c r="EP111" s="118"/>
      <c r="EQ111" s="118"/>
      <c r="ER111" s="118"/>
      <c r="ES111" s="118"/>
      <c r="ET111" s="118"/>
      <c r="EU111" s="118"/>
      <c r="EV111" s="118"/>
      <c r="EW111" s="118"/>
      <c r="EX111" s="118"/>
      <c r="EY111" s="118"/>
      <c r="EZ111" s="118"/>
      <c r="FA111" s="118"/>
      <c r="FB111" s="118"/>
      <c r="FC111" s="118"/>
      <c r="FD111" s="118"/>
      <c r="FE111" s="118"/>
      <c r="FF111" s="118"/>
      <c r="FG111" s="118"/>
      <c r="FH111" s="118"/>
      <c r="FI111" s="180"/>
      <c r="FJ111" s="132"/>
      <c r="FK111" s="132"/>
      <c r="FL111" s="181">
        <f t="shared" ca="1" si="197"/>
        <v>30</v>
      </c>
      <c r="FM111" s="1340">
        <f t="shared" ca="1" si="198"/>
        <v>0</v>
      </c>
      <c r="FN111" s="1341">
        <f t="shared" ca="1" si="199"/>
        <v>0</v>
      </c>
      <c r="FO111" s="1342">
        <f t="shared" ca="1" si="200"/>
        <v>29</v>
      </c>
      <c r="FP111" s="1343">
        <f t="shared" ca="1" si="201"/>
        <v>0</v>
      </c>
      <c r="FQ111" s="1344">
        <f t="shared" si="202"/>
        <v>40</v>
      </c>
      <c r="FR111" s="1344">
        <f t="shared" si="203"/>
        <v>50</v>
      </c>
      <c r="FS111" s="1345">
        <f t="shared" si="204"/>
        <v>30</v>
      </c>
      <c r="FT111" s="1345"/>
      <c r="FU111" s="1346">
        <f t="shared" ca="1" si="219"/>
        <v>0</v>
      </c>
      <c r="FV111" s="1346"/>
      <c r="FW111" s="1346"/>
      <c r="FX111" s="1347"/>
      <c r="FY111" s="1348"/>
      <c r="FZ111" s="1348"/>
      <c r="GA111" s="1348"/>
      <c r="GB111" s="1349"/>
      <c r="GC111" s="1350"/>
      <c r="GD111" s="1348"/>
      <c r="GE111" s="1348"/>
      <c r="GF111" s="1348"/>
      <c r="GG111" s="1348"/>
      <c r="GH111" s="1348"/>
      <c r="GI111" s="1348"/>
      <c r="GJ111" s="1348"/>
      <c r="GK111" s="1348"/>
      <c r="GL111" s="1348"/>
      <c r="GM111" s="1348"/>
      <c r="GN111" s="3825">
        <f t="shared" ca="1" si="205"/>
        <v>0</v>
      </c>
      <c r="GO111" s="3825"/>
      <c r="GP111" s="3825"/>
      <c r="GQ111" s="3826"/>
      <c r="GR111" s="3675"/>
      <c r="GS111" s="3676"/>
      <c r="GT111" s="1756">
        <f t="shared" ref="GT111:HC120" ca="1" si="233">IF(GT$171=0,0,IF($FU111=0,0,SUMPRODUCT(OFFSET($DJ$173:$DJ$365,0,$FO111),GT$173:GT$365,$FS$173:$FS$365,$CY$173:$CY$365)*GT$25))</f>
        <v>0</v>
      </c>
      <c r="GU111" s="1757">
        <f t="shared" ca="1" si="233"/>
        <v>0</v>
      </c>
      <c r="GV111" s="1757">
        <f t="shared" ca="1" si="233"/>
        <v>0</v>
      </c>
      <c r="GW111" s="1757">
        <f t="shared" ca="1" si="233"/>
        <v>0</v>
      </c>
      <c r="GX111" s="1757">
        <f t="shared" ca="1" si="233"/>
        <v>0</v>
      </c>
      <c r="GY111" s="1757">
        <f t="shared" ca="1" si="233"/>
        <v>0</v>
      </c>
      <c r="GZ111" s="1757">
        <f t="shared" ca="1" si="233"/>
        <v>0</v>
      </c>
      <c r="HA111" s="1757">
        <f t="shared" ca="1" si="233"/>
        <v>0</v>
      </c>
      <c r="HB111" s="1757">
        <f t="shared" ca="1" si="233"/>
        <v>0</v>
      </c>
      <c r="HC111" s="1757">
        <f t="shared" ca="1" si="233"/>
        <v>0</v>
      </c>
      <c r="HD111" s="1757">
        <f t="shared" ref="HD111:HM120" ca="1" si="234">IF(HD$171=0,0,IF($FU111=0,0,SUMPRODUCT(OFFSET($DJ$173:$DJ$365,0,$FO111),HD$173:HD$365,$FS$173:$FS$365,$CY$173:$CY$365)*HD$25))</f>
        <v>0</v>
      </c>
      <c r="HE111" s="1757">
        <f t="shared" ca="1" si="234"/>
        <v>0</v>
      </c>
      <c r="HF111" s="1757">
        <f t="shared" ca="1" si="234"/>
        <v>0</v>
      </c>
      <c r="HG111" s="1757">
        <f t="shared" ca="1" si="234"/>
        <v>0</v>
      </c>
      <c r="HH111" s="1757">
        <f t="shared" ca="1" si="234"/>
        <v>0</v>
      </c>
      <c r="HI111" s="1757">
        <f t="shared" ca="1" si="234"/>
        <v>0</v>
      </c>
      <c r="HJ111" s="1757">
        <f t="shared" ca="1" si="234"/>
        <v>0</v>
      </c>
      <c r="HK111" s="1757">
        <f t="shared" ca="1" si="234"/>
        <v>0</v>
      </c>
      <c r="HL111" s="1757">
        <f t="shared" ca="1" si="234"/>
        <v>0</v>
      </c>
      <c r="HM111" s="1757">
        <f t="shared" ca="1" si="234"/>
        <v>0</v>
      </c>
      <c r="HN111" s="1757">
        <f t="shared" ref="HN111:HW120" ca="1" si="235">IF(HN$171=0,0,IF($FU111=0,0,SUMPRODUCT(OFFSET($DJ$173:$DJ$365,0,$FO111),HN$173:HN$365,$FS$173:$FS$365,$CY$173:$CY$365)*HN$25))</f>
        <v>0</v>
      </c>
      <c r="HO111" s="1757">
        <f t="shared" ca="1" si="235"/>
        <v>0</v>
      </c>
      <c r="HP111" s="1757">
        <f t="shared" ca="1" si="235"/>
        <v>0</v>
      </c>
      <c r="HQ111" s="1757">
        <f t="shared" ca="1" si="235"/>
        <v>0</v>
      </c>
      <c r="HR111" s="1757">
        <f t="shared" ca="1" si="235"/>
        <v>0</v>
      </c>
      <c r="HS111" s="1757">
        <f t="shared" ca="1" si="235"/>
        <v>0</v>
      </c>
      <c r="HT111" s="1757">
        <f t="shared" ca="1" si="235"/>
        <v>0</v>
      </c>
      <c r="HU111" s="1757">
        <f t="shared" ca="1" si="235"/>
        <v>0</v>
      </c>
      <c r="HV111" s="1757">
        <f t="shared" ca="1" si="235"/>
        <v>0</v>
      </c>
      <c r="HW111" s="1757">
        <f t="shared" ca="1" si="235"/>
        <v>0</v>
      </c>
      <c r="HX111" s="1757">
        <f t="shared" ref="HX111:IG120" ca="1" si="236">IF(HX$171=0,0,IF($FU111=0,0,SUMPRODUCT(OFFSET($DJ$173:$DJ$365,0,$FO111),HX$173:HX$365,$FS$173:$FS$365,$CY$173:$CY$365)*HX$25))</f>
        <v>0</v>
      </c>
      <c r="HY111" s="1757">
        <f t="shared" ca="1" si="236"/>
        <v>0</v>
      </c>
      <c r="HZ111" s="1757">
        <f t="shared" ca="1" si="236"/>
        <v>0</v>
      </c>
      <c r="IA111" s="1757">
        <f t="shared" ca="1" si="236"/>
        <v>0</v>
      </c>
      <c r="IB111" s="1757">
        <f t="shared" ca="1" si="236"/>
        <v>0</v>
      </c>
      <c r="IC111" s="1757">
        <f t="shared" ca="1" si="236"/>
        <v>0</v>
      </c>
      <c r="ID111" s="1757">
        <f t="shared" ca="1" si="236"/>
        <v>0</v>
      </c>
      <c r="IE111" s="1757">
        <f t="shared" ca="1" si="236"/>
        <v>0</v>
      </c>
      <c r="IF111" s="1757">
        <f t="shared" ca="1" si="236"/>
        <v>0</v>
      </c>
      <c r="IG111" s="1757">
        <f t="shared" ca="1" si="236"/>
        <v>0</v>
      </c>
      <c r="IH111" s="1757">
        <f t="shared" ref="IH111:IQ120" ca="1" si="237">IF(IH$171=0,0,IF($FU111=0,0,SUMPRODUCT(OFFSET($DJ$173:$DJ$365,0,$FO111),IH$173:IH$365,$FS$173:$FS$365,$CY$173:$CY$365)*IH$25))</f>
        <v>0</v>
      </c>
      <c r="II111" s="1757">
        <f t="shared" ca="1" si="237"/>
        <v>0</v>
      </c>
      <c r="IJ111" s="1757">
        <f t="shared" ca="1" si="237"/>
        <v>0</v>
      </c>
      <c r="IK111" s="1757">
        <f t="shared" ca="1" si="237"/>
        <v>0</v>
      </c>
      <c r="IL111" s="1757">
        <f t="shared" ca="1" si="237"/>
        <v>0</v>
      </c>
      <c r="IM111" s="1757">
        <f t="shared" ca="1" si="237"/>
        <v>0</v>
      </c>
      <c r="IN111" s="1757">
        <f t="shared" ca="1" si="237"/>
        <v>0</v>
      </c>
      <c r="IO111" s="1757">
        <f t="shared" ca="1" si="237"/>
        <v>0</v>
      </c>
      <c r="IP111" s="1757">
        <f t="shared" ca="1" si="237"/>
        <v>0</v>
      </c>
      <c r="IQ111" s="1757">
        <f t="shared" ca="1" si="237"/>
        <v>0</v>
      </c>
      <c r="IR111" s="1757">
        <f t="shared" ref="IR111:JA120" ca="1" si="238">IF(IR$171=0,0,IF($FU111=0,0,SUMPRODUCT(OFFSET($DJ$173:$DJ$365,0,$FO111),IR$173:IR$365,$FS$173:$FS$365,$CY$173:$CY$365)*IR$25))</f>
        <v>0</v>
      </c>
      <c r="IS111" s="1757">
        <f t="shared" ca="1" si="238"/>
        <v>0</v>
      </c>
      <c r="IT111" s="1757">
        <f t="shared" ca="1" si="238"/>
        <v>0</v>
      </c>
      <c r="IU111" s="1757">
        <f t="shared" ca="1" si="238"/>
        <v>0</v>
      </c>
      <c r="IV111" s="1757">
        <f t="shared" ca="1" si="238"/>
        <v>0</v>
      </c>
      <c r="IW111" s="1757">
        <f t="shared" ca="1" si="238"/>
        <v>0</v>
      </c>
      <c r="IX111" s="1757">
        <f t="shared" ca="1" si="238"/>
        <v>0</v>
      </c>
      <c r="IY111" s="1757">
        <f t="shared" ca="1" si="238"/>
        <v>0</v>
      </c>
      <c r="IZ111" s="1757">
        <f t="shared" ca="1" si="238"/>
        <v>0</v>
      </c>
      <c r="JA111" s="1757">
        <f t="shared" ca="1" si="238"/>
        <v>0</v>
      </c>
      <c r="JB111" s="1757">
        <f t="shared" ref="JB111:JK120" ca="1" si="239">IF(JB$171=0,0,IF($FU111=0,0,SUMPRODUCT(OFFSET($DJ$173:$DJ$365,0,$FO111),JB$173:JB$365,$FS$173:$FS$365,$CY$173:$CY$365)*JB$25))</f>
        <v>0</v>
      </c>
      <c r="JC111" s="1757">
        <f t="shared" ca="1" si="239"/>
        <v>0</v>
      </c>
      <c r="JD111" s="1757">
        <f t="shared" ca="1" si="239"/>
        <v>0</v>
      </c>
      <c r="JE111" s="1757">
        <f t="shared" ca="1" si="239"/>
        <v>0</v>
      </c>
      <c r="JF111" s="1757">
        <f t="shared" ca="1" si="239"/>
        <v>0</v>
      </c>
      <c r="JG111" s="1757">
        <f t="shared" ca="1" si="239"/>
        <v>0</v>
      </c>
      <c r="JH111" s="1757">
        <f t="shared" ca="1" si="239"/>
        <v>0</v>
      </c>
      <c r="JI111" s="1757">
        <f t="shared" ca="1" si="239"/>
        <v>0</v>
      </c>
      <c r="JJ111" s="1757">
        <f t="shared" ca="1" si="239"/>
        <v>0</v>
      </c>
      <c r="JK111" s="1757">
        <f t="shared" ca="1" si="239"/>
        <v>0</v>
      </c>
      <c r="JL111" s="1757">
        <f t="shared" ref="JL111:JU120" ca="1" si="240">IF(JL$171=0,0,IF($FU111=0,0,SUMPRODUCT(OFFSET($DJ$173:$DJ$365,0,$FO111),JL$173:JL$365,$FS$173:$FS$365,$CY$173:$CY$365)*JL$25))</f>
        <v>0</v>
      </c>
      <c r="JM111" s="1757">
        <f t="shared" ca="1" si="240"/>
        <v>0</v>
      </c>
      <c r="JN111" s="1757">
        <f t="shared" ca="1" si="240"/>
        <v>0</v>
      </c>
      <c r="JO111" s="1757">
        <f t="shared" ca="1" si="240"/>
        <v>0</v>
      </c>
      <c r="JP111" s="1757">
        <f t="shared" ca="1" si="240"/>
        <v>0</v>
      </c>
      <c r="JQ111" s="1757">
        <f t="shared" ca="1" si="240"/>
        <v>0</v>
      </c>
      <c r="JR111" s="1757">
        <f t="shared" ca="1" si="240"/>
        <v>0</v>
      </c>
      <c r="JS111" s="1757">
        <f t="shared" ca="1" si="240"/>
        <v>0</v>
      </c>
      <c r="JT111" s="1757">
        <f t="shared" ca="1" si="240"/>
        <v>0</v>
      </c>
      <c r="JU111" s="1757">
        <f t="shared" ca="1" si="240"/>
        <v>0</v>
      </c>
      <c r="JV111" s="1757">
        <f t="shared" ref="JV111:KE120" ca="1" si="241">IF(JV$171=0,0,IF($FU111=0,0,SUMPRODUCT(OFFSET($DJ$173:$DJ$365,0,$FO111),JV$173:JV$365,$FS$173:$FS$365,$CY$173:$CY$365)*JV$25))</f>
        <v>0</v>
      </c>
      <c r="JW111" s="1757">
        <f t="shared" ca="1" si="241"/>
        <v>0</v>
      </c>
      <c r="JX111" s="1757">
        <f t="shared" ca="1" si="241"/>
        <v>0</v>
      </c>
      <c r="JY111" s="1757">
        <f t="shared" ca="1" si="241"/>
        <v>0</v>
      </c>
      <c r="JZ111" s="1757">
        <f t="shared" ca="1" si="241"/>
        <v>0</v>
      </c>
      <c r="KA111" s="1757">
        <f t="shared" ca="1" si="241"/>
        <v>0</v>
      </c>
      <c r="KB111" s="1757">
        <f t="shared" ca="1" si="241"/>
        <v>0</v>
      </c>
      <c r="KC111" s="1757">
        <f t="shared" ca="1" si="241"/>
        <v>0</v>
      </c>
      <c r="KD111" s="1757">
        <f t="shared" ca="1" si="241"/>
        <v>0</v>
      </c>
      <c r="KE111" s="1757">
        <f t="shared" ca="1" si="241"/>
        <v>0</v>
      </c>
      <c r="KF111" s="1757">
        <f t="shared" ref="KF111:KO120" ca="1" si="242">IF(KF$171=0,0,IF($FU111=0,0,SUMPRODUCT(OFFSET($DJ$173:$DJ$365,0,$FO111),KF$173:KF$365,$FS$173:$FS$365,$CY$173:$CY$365)*KF$25))</f>
        <v>0</v>
      </c>
      <c r="KG111" s="1757">
        <f t="shared" ca="1" si="242"/>
        <v>0</v>
      </c>
      <c r="KH111" s="1757">
        <f t="shared" ca="1" si="242"/>
        <v>0</v>
      </c>
      <c r="KI111" s="1757">
        <f t="shared" ca="1" si="242"/>
        <v>0</v>
      </c>
      <c r="KJ111" s="1757">
        <f t="shared" ca="1" si="242"/>
        <v>0</v>
      </c>
      <c r="KK111" s="1757">
        <f t="shared" ca="1" si="242"/>
        <v>0</v>
      </c>
      <c r="KL111" s="1757">
        <f t="shared" ca="1" si="242"/>
        <v>0</v>
      </c>
      <c r="KM111" s="1757">
        <f t="shared" ca="1" si="242"/>
        <v>0</v>
      </c>
      <c r="KN111" s="1757">
        <f t="shared" ca="1" si="242"/>
        <v>0</v>
      </c>
      <c r="KO111" s="1757">
        <f t="shared" ca="1" si="242"/>
        <v>0</v>
      </c>
      <c r="KP111" s="1757">
        <f t="shared" ref="KP111:KY120" ca="1" si="243">IF(KP$171=0,0,IF($FU111=0,0,SUMPRODUCT(OFFSET($DJ$173:$DJ$365,0,$FO111),KP$173:KP$365,$FS$173:$FS$365,$CY$173:$CY$365)*KP$25))</f>
        <v>0</v>
      </c>
      <c r="KQ111" s="1757">
        <f t="shared" ca="1" si="243"/>
        <v>0</v>
      </c>
      <c r="KR111" s="1757">
        <f t="shared" ca="1" si="243"/>
        <v>0</v>
      </c>
      <c r="KS111" s="1757">
        <f t="shared" ca="1" si="243"/>
        <v>0</v>
      </c>
      <c r="KT111" s="1757">
        <f t="shared" ca="1" si="243"/>
        <v>0</v>
      </c>
      <c r="KU111" s="1757">
        <f t="shared" ca="1" si="243"/>
        <v>0</v>
      </c>
      <c r="KV111" s="1757">
        <f t="shared" ca="1" si="243"/>
        <v>0</v>
      </c>
      <c r="KW111" s="1757">
        <f t="shared" ca="1" si="243"/>
        <v>0</v>
      </c>
      <c r="KX111" s="1757">
        <f t="shared" ca="1" si="243"/>
        <v>0</v>
      </c>
      <c r="KY111" s="1757">
        <f t="shared" ca="1" si="243"/>
        <v>0</v>
      </c>
      <c r="KZ111" s="1757">
        <f t="shared" ref="KZ111:LI120" ca="1" si="244">IF(KZ$171=0,0,IF($FU111=0,0,SUMPRODUCT(OFFSET($DJ$173:$DJ$365,0,$FO111),KZ$173:KZ$365,$FS$173:$FS$365,$CY$173:$CY$365)*KZ$25))</f>
        <v>0</v>
      </c>
      <c r="LA111" s="1757">
        <f t="shared" ca="1" si="244"/>
        <v>0</v>
      </c>
      <c r="LB111" s="1757">
        <f t="shared" ca="1" si="244"/>
        <v>0</v>
      </c>
      <c r="LC111" s="1757">
        <f t="shared" ca="1" si="244"/>
        <v>0</v>
      </c>
      <c r="LD111" s="1757">
        <f t="shared" ca="1" si="244"/>
        <v>0</v>
      </c>
      <c r="LE111" s="1757">
        <f t="shared" ca="1" si="244"/>
        <v>0</v>
      </c>
      <c r="LF111" s="1757">
        <f t="shared" ca="1" si="244"/>
        <v>0</v>
      </c>
      <c r="LG111" s="1757">
        <f t="shared" ca="1" si="244"/>
        <v>0</v>
      </c>
      <c r="LH111" s="1757">
        <f t="shared" ca="1" si="244"/>
        <v>0</v>
      </c>
      <c r="LI111" s="1757">
        <f t="shared" ca="1" si="244"/>
        <v>0</v>
      </c>
      <c r="LJ111" s="1757">
        <f t="shared" ref="LJ111:LP120" ca="1" si="245">IF(LJ$171=0,0,IF($FU111=0,0,SUMPRODUCT(OFFSET($DJ$173:$DJ$365,0,$FO111),LJ$173:LJ$365,$FS$173:$FS$365,$CY$173:$CY$365)*LJ$25))</f>
        <v>0</v>
      </c>
      <c r="LK111" s="1757">
        <f t="shared" ca="1" si="245"/>
        <v>0</v>
      </c>
      <c r="LL111" s="1757">
        <f t="shared" ca="1" si="245"/>
        <v>0</v>
      </c>
      <c r="LM111" s="1757">
        <f t="shared" ca="1" si="245"/>
        <v>0</v>
      </c>
      <c r="LN111" s="1757">
        <f t="shared" ca="1" si="245"/>
        <v>0</v>
      </c>
      <c r="LO111" s="1757">
        <f t="shared" ca="1" si="245"/>
        <v>0</v>
      </c>
      <c r="LP111" s="1758">
        <f t="shared" ca="1" si="245"/>
        <v>0</v>
      </c>
      <c r="LQ111" s="604"/>
    </row>
    <row r="112" spans="1:329" ht="12.75" customHeight="1" x14ac:dyDescent="0.3">
      <c r="A112" s="279"/>
      <c r="B112" s="41"/>
      <c r="C112" s="82"/>
      <c r="D112" s="41"/>
      <c r="E112" s="9"/>
      <c r="F112" s="9"/>
      <c r="G112" s="9"/>
      <c r="H112" s="10"/>
      <c r="I112" s="10"/>
      <c r="J112" s="10"/>
      <c r="K112" s="10"/>
      <c r="L112" s="10"/>
      <c r="M112" s="10"/>
      <c r="N112" s="9"/>
      <c r="O112" s="9"/>
      <c r="P112" s="44"/>
      <c r="Q112" s="44"/>
      <c r="R112" s="9"/>
      <c r="S112" s="9"/>
      <c r="T112" s="9"/>
      <c r="U112" s="9"/>
      <c r="V112" s="9"/>
      <c r="W112" s="9"/>
      <c r="X112" s="9"/>
      <c r="Y112" s="9"/>
      <c r="Z112" s="9"/>
      <c r="AA112" s="9"/>
      <c r="AB112" s="9"/>
      <c r="AC112" s="9"/>
      <c r="AD112" s="9"/>
      <c r="AE112" s="9"/>
      <c r="AF112" s="9"/>
      <c r="AG112" s="9"/>
      <c r="AH112" s="2514"/>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113"/>
      <c r="DI112" s="113"/>
      <c r="DJ112" s="113"/>
      <c r="DK112" s="118"/>
      <c r="DL112" s="118"/>
      <c r="DM112" s="118"/>
      <c r="DN112" s="118"/>
      <c r="DO112" s="118"/>
      <c r="DP112" s="118"/>
      <c r="DQ112" s="118"/>
      <c r="DR112" s="118"/>
      <c r="DS112" s="118"/>
      <c r="DT112" s="118"/>
      <c r="DU112" s="118"/>
      <c r="DV112" s="118"/>
      <c r="DW112" s="118"/>
      <c r="DX112" s="118"/>
      <c r="DY112" s="118"/>
      <c r="DZ112" s="118"/>
      <c r="EA112" s="118"/>
      <c r="EB112" s="118"/>
      <c r="EC112" s="118"/>
      <c r="ED112" s="118"/>
      <c r="EE112" s="118"/>
      <c r="EF112" s="118"/>
      <c r="EG112" s="118"/>
      <c r="EH112" s="118"/>
      <c r="EI112" s="118"/>
      <c r="EJ112" s="118"/>
      <c r="EK112" s="118"/>
      <c r="EL112" s="118"/>
      <c r="EM112" s="118"/>
      <c r="EN112" s="118"/>
      <c r="EO112" s="118"/>
      <c r="EP112" s="118"/>
      <c r="EQ112" s="118"/>
      <c r="ER112" s="118"/>
      <c r="ES112" s="118"/>
      <c r="ET112" s="118"/>
      <c r="EU112" s="118"/>
      <c r="EV112" s="118"/>
      <c r="EW112" s="118"/>
      <c r="EX112" s="118"/>
      <c r="EY112" s="118"/>
      <c r="EZ112" s="118"/>
      <c r="FA112" s="118"/>
      <c r="FB112" s="118"/>
      <c r="FC112" s="118"/>
      <c r="FD112" s="118"/>
      <c r="FE112" s="118"/>
      <c r="FF112" s="118"/>
      <c r="FG112" s="118"/>
      <c r="FH112" s="118"/>
      <c r="FI112" s="180"/>
      <c r="FJ112" s="132"/>
      <c r="FK112" s="132"/>
      <c r="FL112" s="181">
        <f t="shared" ca="1" si="197"/>
        <v>29</v>
      </c>
      <c r="FM112" s="1340">
        <f t="shared" ca="1" si="198"/>
        <v>0</v>
      </c>
      <c r="FN112" s="1341">
        <f t="shared" ca="1" si="199"/>
        <v>0</v>
      </c>
      <c r="FO112" s="1342">
        <f t="shared" ca="1" si="200"/>
        <v>28</v>
      </c>
      <c r="FP112" s="1343">
        <f t="shared" ca="1" si="201"/>
        <v>0</v>
      </c>
      <c r="FQ112" s="1344">
        <f t="shared" si="202"/>
        <v>40</v>
      </c>
      <c r="FR112" s="1344">
        <f t="shared" si="203"/>
        <v>50</v>
      </c>
      <c r="FS112" s="1345">
        <f t="shared" si="204"/>
        <v>29</v>
      </c>
      <c r="FT112" s="1345"/>
      <c r="FU112" s="1346">
        <f t="shared" ca="1" si="219"/>
        <v>0</v>
      </c>
      <c r="FV112" s="1346"/>
      <c r="FW112" s="1346"/>
      <c r="FX112" s="1347"/>
      <c r="FY112" s="1348"/>
      <c r="FZ112" s="1348"/>
      <c r="GA112" s="1348"/>
      <c r="GB112" s="1349"/>
      <c r="GC112" s="1350"/>
      <c r="GD112" s="1348"/>
      <c r="GE112" s="1348"/>
      <c r="GF112" s="1348"/>
      <c r="GG112" s="1348"/>
      <c r="GH112" s="1348"/>
      <c r="GI112" s="1348"/>
      <c r="GJ112" s="1348"/>
      <c r="GK112" s="1348"/>
      <c r="GL112" s="1348"/>
      <c r="GM112" s="1348"/>
      <c r="GN112" s="3825">
        <f t="shared" ca="1" si="205"/>
        <v>0</v>
      </c>
      <c r="GO112" s="3825"/>
      <c r="GP112" s="3825"/>
      <c r="GQ112" s="3826"/>
      <c r="GR112" s="3675"/>
      <c r="GS112" s="3676"/>
      <c r="GT112" s="1756">
        <f t="shared" ca="1" si="233"/>
        <v>0</v>
      </c>
      <c r="GU112" s="1757">
        <f t="shared" ca="1" si="233"/>
        <v>0</v>
      </c>
      <c r="GV112" s="1757">
        <f t="shared" ca="1" si="233"/>
        <v>0</v>
      </c>
      <c r="GW112" s="1757">
        <f t="shared" ca="1" si="233"/>
        <v>0</v>
      </c>
      <c r="GX112" s="1757">
        <f t="shared" ca="1" si="233"/>
        <v>0</v>
      </c>
      <c r="GY112" s="1757">
        <f t="shared" ca="1" si="233"/>
        <v>0</v>
      </c>
      <c r="GZ112" s="1757">
        <f t="shared" ca="1" si="233"/>
        <v>0</v>
      </c>
      <c r="HA112" s="1757">
        <f t="shared" ca="1" si="233"/>
        <v>0</v>
      </c>
      <c r="HB112" s="1757">
        <f t="shared" ca="1" si="233"/>
        <v>0</v>
      </c>
      <c r="HC112" s="1757">
        <f t="shared" ca="1" si="233"/>
        <v>0</v>
      </c>
      <c r="HD112" s="1757">
        <f t="shared" ca="1" si="234"/>
        <v>0</v>
      </c>
      <c r="HE112" s="1757">
        <f t="shared" ca="1" si="234"/>
        <v>0</v>
      </c>
      <c r="HF112" s="1757">
        <f t="shared" ca="1" si="234"/>
        <v>0</v>
      </c>
      <c r="HG112" s="1757">
        <f t="shared" ca="1" si="234"/>
        <v>0</v>
      </c>
      <c r="HH112" s="1757">
        <f t="shared" ca="1" si="234"/>
        <v>0</v>
      </c>
      <c r="HI112" s="1757">
        <f t="shared" ca="1" si="234"/>
        <v>0</v>
      </c>
      <c r="HJ112" s="1757">
        <f t="shared" ca="1" si="234"/>
        <v>0</v>
      </c>
      <c r="HK112" s="1757">
        <f t="shared" ca="1" si="234"/>
        <v>0</v>
      </c>
      <c r="HL112" s="1757">
        <f t="shared" ca="1" si="234"/>
        <v>0</v>
      </c>
      <c r="HM112" s="1757">
        <f t="shared" ca="1" si="234"/>
        <v>0</v>
      </c>
      <c r="HN112" s="1757">
        <f t="shared" ca="1" si="235"/>
        <v>0</v>
      </c>
      <c r="HO112" s="1757">
        <f t="shared" ca="1" si="235"/>
        <v>0</v>
      </c>
      <c r="HP112" s="1757">
        <f t="shared" ca="1" si="235"/>
        <v>0</v>
      </c>
      <c r="HQ112" s="1757">
        <f t="shared" ca="1" si="235"/>
        <v>0</v>
      </c>
      <c r="HR112" s="1757">
        <f t="shared" ca="1" si="235"/>
        <v>0</v>
      </c>
      <c r="HS112" s="1757">
        <f t="shared" ca="1" si="235"/>
        <v>0</v>
      </c>
      <c r="HT112" s="1757">
        <f t="shared" ca="1" si="235"/>
        <v>0</v>
      </c>
      <c r="HU112" s="1757">
        <f t="shared" ca="1" si="235"/>
        <v>0</v>
      </c>
      <c r="HV112" s="1757">
        <f t="shared" ca="1" si="235"/>
        <v>0</v>
      </c>
      <c r="HW112" s="1757">
        <f t="shared" ca="1" si="235"/>
        <v>0</v>
      </c>
      <c r="HX112" s="1757">
        <f t="shared" ca="1" si="236"/>
        <v>0</v>
      </c>
      <c r="HY112" s="1757">
        <f t="shared" ca="1" si="236"/>
        <v>0</v>
      </c>
      <c r="HZ112" s="1757">
        <f t="shared" ca="1" si="236"/>
        <v>0</v>
      </c>
      <c r="IA112" s="1757">
        <f t="shared" ca="1" si="236"/>
        <v>0</v>
      </c>
      <c r="IB112" s="1757">
        <f t="shared" ca="1" si="236"/>
        <v>0</v>
      </c>
      <c r="IC112" s="1757">
        <f t="shared" ca="1" si="236"/>
        <v>0</v>
      </c>
      <c r="ID112" s="1757">
        <f t="shared" ca="1" si="236"/>
        <v>0</v>
      </c>
      <c r="IE112" s="1757">
        <f t="shared" ca="1" si="236"/>
        <v>0</v>
      </c>
      <c r="IF112" s="1757">
        <f t="shared" ca="1" si="236"/>
        <v>0</v>
      </c>
      <c r="IG112" s="1757">
        <f t="shared" ca="1" si="236"/>
        <v>0</v>
      </c>
      <c r="IH112" s="1757">
        <f t="shared" ca="1" si="237"/>
        <v>0</v>
      </c>
      <c r="II112" s="1757">
        <f t="shared" ca="1" si="237"/>
        <v>0</v>
      </c>
      <c r="IJ112" s="1757">
        <f t="shared" ca="1" si="237"/>
        <v>0</v>
      </c>
      <c r="IK112" s="1757">
        <f t="shared" ca="1" si="237"/>
        <v>0</v>
      </c>
      <c r="IL112" s="1757">
        <f t="shared" ca="1" si="237"/>
        <v>0</v>
      </c>
      <c r="IM112" s="1757">
        <f t="shared" ca="1" si="237"/>
        <v>0</v>
      </c>
      <c r="IN112" s="1757">
        <f t="shared" ca="1" si="237"/>
        <v>0</v>
      </c>
      <c r="IO112" s="1757">
        <f t="shared" ca="1" si="237"/>
        <v>0</v>
      </c>
      <c r="IP112" s="1757">
        <f t="shared" ca="1" si="237"/>
        <v>0</v>
      </c>
      <c r="IQ112" s="1757">
        <f t="shared" ca="1" si="237"/>
        <v>0</v>
      </c>
      <c r="IR112" s="1757">
        <f t="shared" ca="1" si="238"/>
        <v>0</v>
      </c>
      <c r="IS112" s="1757">
        <f t="shared" ca="1" si="238"/>
        <v>0</v>
      </c>
      <c r="IT112" s="1757">
        <f t="shared" ca="1" si="238"/>
        <v>0</v>
      </c>
      <c r="IU112" s="1757">
        <f t="shared" ca="1" si="238"/>
        <v>0</v>
      </c>
      <c r="IV112" s="1757">
        <f t="shared" ca="1" si="238"/>
        <v>0</v>
      </c>
      <c r="IW112" s="1757">
        <f t="shared" ca="1" si="238"/>
        <v>0</v>
      </c>
      <c r="IX112" s="1757">
        <f t="shared" ca="1" si="238"/>
        <v>0</v>
      </c>
      <c r="IY112" s="1757">
        <f t="shared" ca="1" si="238"/>
        <v>0</v>
      </c>
      <c r="IZ112" s="1757">
        <f t="shared" ca="1" si="238"/>
        <v>0</v>
      </c>
      <c r="JA112" s="1757">
        <f t="shared" ca="1" si="238"/>
        <v>0</v>
      </c>
      <c r="JB112" s="1757">
        <f t="shared" ca="1" si="239"/>
        <v>0</v>
      </c>
      <c r="JC112" s="1757">
        <f t="shared" ca="1" si="239"/>
        <v>0</v>
      </c>
      <c r="JD112" s="1757">
        <f t="shared" ca="1" si="239"/>
        <v>0</v>
      </c>
      <c r="JE112" s="1757">
        <f t="shared" ca="1" si="239"/>
        <v>0</v>
      </c>
      <c r="JF112" s="1757">
        <f t="shared" ca="1" si="239"/>
        <v>0</v>
      </c>
      <c r="JG112" s="1757">
        <f t="shared" ca="1" si="239"/>
        <v>0</v>
      </c>
      <c r="JH112" s="1757">
        <f t="shared" ca="1" si="239"/>
        <v>0</v>
      </c>
      <c r="JI112" s="1757">
        <f t="shared" ca="1" si="239"/>
        <v>0</v>
      </c>
      <c r="JJ112" s="1757">
        <f t="shared" ca="1" si="239"/>
        <v>0</v>
      </c>
      <c r="JK112" s="1757">
        <f t="shared" ca="1" si="239"/>
        <v>0</v>
      </c>
      <c r="JL112" s="1757">
        <f t="shared" ca="1" si="240"/>
        <v>0</v>
      </c>
      <c r="JM112" s="1757">
        <f t="shared" ca="1" si="240"/>
        <v>0</v>
      </c>
      <c r="JN112" s="1757">
        <f t="shared" ca="1" si="240"/>
        <v>0</v>
      </c>
      <c r="JO112" s="1757">
        <f t="shared" ca="1" si="240"/>
        <v>0</v>
      </c>
      <c r="JP112" s="1757">
        <f t="shared" ca="1" si="240"/>
        <v>0</v>
      </c>
      <c r="JQ112" s="1757">
        <f t="shared" ca="1" si="240"/>
        <v>0</v>
      </c>
      <c r="JR112" s="1757">
        <f t="shared" ca="1" si="240"/>
        <v>0</v>
      </c>
      <c r="JS112" s="1757">
        <f t="shared" ca="1" si="240"/>
        <v>0</v>
      </c>
      <c r="JT112" s="1757">
        <f t="shared" ca="1" si="240"/>
        <v>0</v>
      </c>
      <c r="JU112" s="1757">
        <f t="shared" ca="1" si="240"/>
        <v>0</v>
      </c>
      <c r="JV112" s="1757">
        <f t="shared" ca="1" si="241"/>
        <v>0</v>
      </c>
      <c r="JW112" s="1757">
        <f t="shared" ca="1" si="241"/>
        <v>0</v>
      </c>
      <c r="JX112" s="1757">
        <f t="shared" ca="1" si="241"/>
        <v>0</v>
      </c>
      <c r="JY112" s="1757">
        <f t="shared" ca="1" si="241"/>
        <v>0</v>
      </c>
      <c r="JZ112" s="1757">
        <f t="shared" ca="1" si="241"/>
        <v>0</v>
      </c>
      <c r="KA112" s="1757">
        <f t="shared" ca="1" si="241"/>
        <v>0</v>
      </c>
      <c r="KB112" s="1757">
        <f t="shared" ca="1" si="241"/>
        <v>0</v>
      </c>
      <c r="KC112" s="1757">
        <f t="shared" ca="1" si="241"/>
        <v>0</v>
      </c>
      <c r="KD112" s="1757">
        <f t="shared" ca="1" si="241"/>
        <v>0</v>
      </c>
      <c r="KE112" s="1757">
        <f t="shared" ca="1" si="241"/>
        <v>0</v>
      </c>
      <c r="KF112" s="1757">
        <f t="shared" ca="1" si="242"/>
        <v>0</v>
      </c>
      <c r="KG112" s="1757">
        <f t="shared" ca="1" si="242"/>
        <v>0</v>
      </c>
      <c r="KH112" s="1757">
        <f t="shared" ca="1" si="242"/>
        <v>0</v>
      </c>
      <c r="KI112" s="1757">
        <f t="shared" ca="1" si="242"/>
        <v>0</v>
      </c>
      <c r="KJ112" s="1757">
        <f t="shared" ca="1" si="242"/>
        <v>0</v>
      </c>
      <c r="KK112" s="1757">
        <f t="shared" ca="1" si="242"/>
        <v>0</v>
      </c>
      <c r="KL112" s="1757">
        <f t="shared" ca="1" si="242"/>
        <v>0</v>
      </c>
      <c r="KM112" s="1757">
        <f t="shared" ca="1" si="242"/>
        <v>0</v>
      </c>
      <c r="KN112" s="1757">
        <f t="shared" ca="1" si="242"/>
        <v>0</v>
      </c>
      <c r="KO112" s="1757">
        <f t="shared" ca="1" si="242"/>
        <v>0</v>
      </c>
      <c r="KP112" s="1757">
        <f t="shared" ca="1" si="243"/>
        <v>0</v>
      </c>
      <c r="KQ112" s="1757">
        <f t="shared" ca="1" si="243"/>
        <v>0</v>
      </c>
      <c r="KR112" s="1757">
        <f t="shared" ca="1" si="243"/>
        <v>0</v>
      </c>
      <c r="KS112" s="1757">
        <f t="shared" ca="1" si="243"/>
        <v>0</v>
      </c>
      <c r="KT112" s="1757">
        <f t="shared" ca="1" si="243"/>
        <v>0</v>
      </c>
      <c r="KU112" s="1757">
        <f t="shared" ca="1" si="243"/>
        <v>0</v>
      </c>
      <c r="KV112" s="1757">
        <f t="shared" ca="1" si="243"/>
        <v>0</v>
      </c>
      <c r="KW112" s="1757">
        <f t="shared" ca="1" si="243"/>
        <v>0</v>
      </c>
      <c r="KX112" s="1757">
        <f t="shared" ca="1" si="243"/>
        <v>0</v>
      </c>
      <c r="KY112" s="1757">
        <f t="shared" ca="1" si="243"/>
        <v>0</v>
      </c>
      <c r="KZ112" s="1757">
        <f t="shared" ca="1" si="244"/>
        <v>0</v>
      </c>
      <c r="LA112" s="1757">
        <f t="shared" ca="1" si="244"/>
        <v>0</v>
      </c>
      <c r="LB112" s="1757">
        <f t="shared" ca="1" si="244"/>
        <v>0</v>
      </c>
      <c r="LC112" s="1757">
        <f t="shared" ca="1" si="244"/>
        <v>0</v>
      </c>
      <c r="LD112" s="1757">
        <f t="shared" ca="1" si="244"/>
        <v>0</v>
      </c>
      <c r="LE112" s="1757">
        <f t="shared" ca="1" si="244"/>
        <v>0</v>
      </c>
      <c r="LF112" s="1757">
        <f t="shared" ca="1" si="244"/>
        <v>0</v>
      </c>
      <c r="LG112" s="1757">
        <f t="shared" ca="1" si="244"/>
        <v>0</v>
      </c>
      <c r="LH112" s="1757">
        <f t="shared" ca="1" si="244"/>
        <v>0</v>
      </c>
      <c r="LI112" s="1757">
        <f t="shared" ca="1" si="244"/>
        <v>0</v>
      </c>
      <c r="LJ112" s="1757">
        <f t="shared" ca="1" si="245"/>
        <v>0</v>
      </c>
      <c r="LK112" s="1757">
        <f t="shared" ca="1" si="245"/>
        <v>0</v>
      </c>
      <c r="LL112" s="1757">
        <f t="shared" ca="1" si="245"/>
        <v>0</v>
      </c>
      <c r="LM112" s="1757">
        <f t="shared" ca="1" si="245"/>
        <v>0</v>
      </c>
      <c r="LN112" s="1757">
        <f t="shared" ca="1" si="245"/>
        <v>0</v>
      </c>
      <c r="LO112" s="1757">
        <f t="shared" ca="1" si="245"/>
        <v>0</v>
      </c>
      <c r="LP112" s="1758">
        <f t="shared" ca="1" si="245"/>
        <v>0</v>
      </c>
      <c r="LQ112" s="604"/>
    </row>
    <row r="113" spans="1:329" ht="12.75" customHeight="1" x14ac:dyDescent="0.3">
      <c r="A113" s="279"/>
      <c r="B113" s="41"/>
      <c r="C113" s="82"/>
      <c r="D113" s="41"/>
      <c r="E113" s="9"/>
      <c r="F113" s="9"/>
      <c r="G113" s="9"/>
      <c r="H113" s="10"/>
      <c r="I113" s="10"/>
      <c r="J113" s="10"/>
      <c r="K113" s="10"/>
      <c r="L113" s="10"/>
      <c r="M113" s="10"/>
      <c r="N113" s="9"/>
      <c r="O113" s="9"/>
      <c r="P113" s="44"/>
      <c r="Q113" s="44"/>
      <c r="R113" s="9"/>
      <c r="S113" s="9"/>
      <c r="T113" s="9"/>
      <c r="U113" s="9"/>
      <c r="V113" s="9"/>
      <c r="W113" s="9"/>
      <c r="X113" s="9"/>
      <c r="Y113" s="9"/>
      <c r="Z113" s="9"/>
      <c r="AA113" s="9"/>
      <c r="AB113" s="9"/>
      <c r="AC113" s="9"/>
      <c r="AD113" s="9"/>
      <c r="AE113" s="9"/>
      <c r="AF113" s="9"/>
      <c r="AG113" s="9"/>
      <c r="AH113" s="2514"/>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113"/>
      <c r="DI113" s="113"/>
      <c r="DJ113" s="113"/>
      <c r="DK113" s="118"/>
      <c r="DL113" s="118"/>
      <c r="DM113" s="118"/>
      <c r="DN113" s="118"/>
      <c r="DO113" s="118"/>
      <c r="DP113" s="118"/>
      <c r="DQ113" s="118"/>
      <c r="DR113" s="118"/>
      <c r="DS113" s="118"/>
      <c r="DT113" s="118"/>
      <c r="DU113" s="118"/>
      <c r="DV113" s="118"/>
      <c r="DW113" s="118"/>
      <c r="DX113" s="118"/>
      <c r="DY113" s="118"/>
      <c r="DZ113" s="118"/>
      <c r="EA113" s="118"/>
      <c r="EB113" s="118"/>
      <c r="EC113" s="118"/>
      <c r="ED113" s="118"/>
      <c r="EE113" s="118"/>
      <c r="EF113" s="118"/>
      <c r="EG113" s="118"/>
      <c r="EH113" s="118"/>
      <c r="EI113" s="118"/>
      <c r="EJ113" s="118"/>
      <c r="EK113" s="118"/>
      <c r="EL113" s="118"/>
      <c r="EM113" s="118"/>
      <c r="EN113" s="118"/>
      <c r="EO113" s="118"/>
      <c r="EP113" s="118"/>
      <c r="EQ113" s="118"/>
      <c r="ER113" s="118"/>
      <c r="ES113" s="118"/>
      <c r="ET113" s="118"/>
      <c r="EU113" s="118"/>
      <c r="EV113" s="118"/>
      <c r="EW113" s="118"/>
      <c r="EX113" s="118"/>
      <c r="EY113" s="118"/>
      <c r="EZ113" s="118"/>
      <c r="FA113" s="118"/>
      <c r="FB113" s="118"/>
      <c r="FC113" s="118"/>
      <c r="FD113" s="118"/>
      <c r="FE113" s="118"/>
      <c r="FF113" s="118"/>
      <c r="FG113" s="118"/>
      <c r="FH113" s="118"/>
      <c r="FI113" s="180"/>
      <c r="FJ113" s="132"/>
      <c r="FK113" s="132"/>
      <c r="FL113" s="181">
        <f t="shared" ca="1" si="197"/>
        <v>28</v>
      </c>
      <c r="FM113" s="1340">
        <f t="shared" ca="1" si="198"/>
        <v>0</v>
      </c>
      <c r="FN113" s="1341">
        <f t="shared" ca="1" si="199"/>
        <v>0</v>
      </c>
      <c r="FO113" s="1342">
        <f t="shared" ca="1" si="200"/>
        <v>27</v>
      </c>
      <c r="FP113" s="1343">
        <f t="shared" ca="1" si="201"/>
        <v>0</v>
      </c>
      <c r="FQ113" s="1344">
        <f t="shared" si="202"/>
        <v>40</v>
      </c>
      <c r="FR113" s="1344">
        <f t="shared" si="203"/>
        <v>50</v>
      </c>
      <c r="FS113" s="1345">
        <f t="shared" si="204"/>
        <v>28</v>
      </c>
      <c r="FT113" s="1345"/>
      <c r="FU113" s="1346">
        <f t="shared" ca="1" si="219"/>
        <v>0</v>
      </c>
      <c r="FV113" s="1346"/>
      <c r="FW113" s="1346"/>
      <c r="FX113" s="1347"/>
      <c r="FY113" s="1348"/>
      <c r="FZ113" s="1348"/>
      <c r="GA113" s="1348"/>
      <c r="GB113" s="1349"/>
      <c r="GC113" s="1350"/>
      <c r="GD113" s="1348"/>
      <c r="GE113" s="1348"/>
      <c r="GF113" s="1348"/>
      <c r="GG113" s="1348"/>
      <c r="GH113" s="1348"/>
      <c r="GI113" s="1348"/>
      <c r="GJ113" s="1348"/>
      <c r="GK113" s="1348"/>
      <c r="GL113" s="1348"/>
      <c r="GM113" s="1348"/>
      <c r="GN113" s="3825">
        <f t="shared" ca="1" si="205"/>
        <v>0</v>
      </c>
      <c r="GO113" s="3825"/>
      <c r="GP113" s="3825"/>
      <c r="GQ113" s="3826"/>
      <c r="GR113" s="3675"/>
      <c r="GS113" s="3676"/>
      <c r="GT113" s="1756">
        <f t="shared" ca="1" si="233"/>
        <v>0</v>
      </c>
      <c r="GU113" s="1757">
        <f t="shared" ca="1" si="233"/>
        <v>0</v>
      </c>
      <c r="GV113" s="1757">
        <f t="shared" ca="1" si="233"/>
        <v>0</v>
      </c>
      <c r="GW113" s="1757">
        <f t="shared" ca="1" si="233"/>
        <v>0</v>
      </c>
      <c r="GX113" s="1757">
        <f t="shared" ca="1" si="233"/>
        <v>0</v>
      </c>
      <c r="GY113" s="1757">
        <f t="shared" ca="1" si="233"/>
        <v>0</v>
      </c>
      <c r="GZ113" s="1757">
        <f t="shared" ca="1" si="233"/>
        <v>0</v>
      </c>
      <c r="HA113" s="1757">
        <f t="shared" ca="1" si="233"/>
        <v>0</v>
      </c>
      <c r="HB113" s="1757">
        <f t="shared" ca="1" si="233"/>
        <v>0</v>
      </c>
      <c r="HC113" s="1757">
        <f t="shared" ca="1" si="233"/>
        <v>0</v>
      </c>
      <c r="HD113" s="1757">
        <f t="shared" ca="1" si="234"/>
        <v>0</v>
      </c>
      <c r="HE113" s="1757">
        <f t="shared" ca="1" si="234"/>
        <v>0</v>
      </c>
      <c r="HF113" s="1757">
        <f t="shared" ca="1" si="234"/>
        <v>0</v>
      </c>
      <c r="HG113" s="1757">
        <f t="shared" ca="1" si="234"/>
        <v>0</v>
      </c>
      <c r="HH113" s="1757">
        <f t="shared" ca="1" si="234"/>
        <v>0</v>
      </c>
      <c r="HI113" s="1757">
        <f t="shared" ca="1" si="234"/>
        <v>0</v>
      </c>
      <c r="HJ113" s="1757">
        <f t="shared" ca="1" si="234"/>
        <v>0</v>
      </c>
      <c r="HK113" s="1757">
        <f t="shared" ca="1" si="234"/>
        <v>0</v>
      </c>
      <c r="HL113" s="1757">
        <f t="shared" ca="1" si="234"/>
        <v>0</v>
      </c>
      <c r="HM113" s="1757">
        <f t="shared" ca="1" si="234"/>
        <v>0</v>
      </c>
      <c r="HN113" s="1757">
        <f t="shared" ca="1" si="235"/>
        <v>0</v>
      </c>
      <c r="HO113" s="1757">
        <f t="shared" ca="1" si="235"/>
        <v>0</v>
      </c>
      <c r="HP113" s="1757">
        <f t="shared" ca="1" si="235"/>
        <v>0</v>
      </c>
      <c r="HQ113" s="1757">
        <f t="shared" ca="1" si="235"/>
        <v>0</v>
      </c>
      <c r="HR113" s="1757">
        <f t="shared" ca="1" si="235"/>
        <v>0</v>
      </c>
      <c r="HS113" s="1757">
        <f t="shared" ca="1" si="235"/>
        <v>0</v>
      </c>
      <c r="HT113" s="1757">
        <f t="shared" ca="1" si="235"/>
        <v>0</v>
      </c>
      <c r="HU113" s="1757">
        <f t="shared" ca="1" si="235"/>
        <v>0</v>
      </c>
      <c r="HV113" s="1757">
        <f t="shared" ca="1" si="235"/>
        <v>0</v>
      </c>
      <c r="HW113" s="1757">
        <f t="shared" ca="1" si="235"/>
        <v>0</v>
      </c>
      <c r="HX113" s="1757">
        <f t="shared" ca="1" si="236"/>
        <v>0</v>
      </c>
      <c r="HY113" s="1757">
        <f t="shared" ca="1" si="236"/>
        <v>0</v>
      </c>
      <c r="HZ113" s="1757">
        <f t="shared" ca="1" si="236"/>
        <v>0</v>
      </c>
      <c r="IA113" s="1757">
        <f t="shared" ca="1" si="236"/>
        <v>0</v>
      </c>
      <c r="IB113" s="1757">
        <f t="shared" ca="1" si="236"/>
        <v>0</v>
      </c>
      <c r="IC113" s="1757">
        <f t="shared" ca="1" si="236"/>
        <v>0</v>
      </c>
      <c r="ID113" s="1757">
        <f t="shared" ca="1" si="236"/>
        <v>0</v>
      </c>
      <c r="IE113" s="1757">
        <f t="shared" ca="1" si="236"/>
        <v>0</v>
      </c>
      <c r="IF113" s="1757">
        <f t="shared" ca="1" si="236"/>
        <v>0</v>
      </c>
      <c r="IG113" s="1757">
        <f t="shared" ca="1" si="236"/>
        <v>0</v>
      </c>
      <c r="IH113" s="1757">
        <f t="shared" ca="1" si="237"/>
        <v>0</v>
      </c>
      <c r="II113" s="1757">
        <f t="shared" ca="1" si="237"/>
        <v>0</v>
      </c>
      <c r="IJ113" s="1757">
        <f t="shared" ca="1" si="237"/>
        <v>0</v>
      </c>
      <c r="IK113" s="1757">
        <f t="shared" ca="1" si="237"/>
        <v>0</v>
      </c>
      <c r="IL113" s="1757">
        <f t="shared" ca="1" si="237"/>
        <v>0</v>
      </c>
      <c r="IM113" s="1757">
        <f t="shared" ca="1" si="237"/>
        <v>0</v>
      </c>
      <c r="IN113" s="1757">
        <f t="shared" ca="1" si="237"/>
        <v>0</v>
      </c>
      <c r="IO113" s="1757">
        <f t="shared" ca="1" si="237"/>
        <v>0</v>
      </c>
      <c r="IP113" s="1757">
        <f t="shared" ca="1" si="237"/>
        <v>0</v>
      </c>
      <c r="IQ113" s="1757">
        <f t="shared" ca="1" si="237"/>
        <v>0</v>
      </c>
      <c r="IR113" s="1757">
        <f t="shared" ca="1" si="238"/>
        <v>0</v>
      </c>
      <c r="IS113" s="1757">
        <f t="shared" ca="1" si="238"/>
        <v>0</v>
      </c>
      <c r="IT113" s="1757">
        <f t="shared" ca="1" si="238"/>
        <v>0</v>
      </c>
      <c r="IU113" s="1757">
        <f t="shared" ca="1" si="238"/>
        <v>0</v>
      </c>
      <c r="IV113" s="1757">
        <f t="shared" ca="1" si="238"/>
        <v>0</v>
      </c>
      <c r="IW113" s="1757">
        <f t="shared" ca="1" si="238"/>
        <v>0</v>
      </c>
      <c r="IX113" s="1757">
        <f t="shared" ca="1" si="238"/>
        <v>0</v>
      </c>
      <c r="IY113" s="1757">
        <f t="shared" ca="1" si="238"/>
        <v>0</v>
      </c>
      <c r="IZ113" s="1757">
        <f t="shared" ca="1" si="238"/>
        <v>0</v>
      </c>
      <c r="JA113" s="1757">
        <f t="shared" ca="1" si="238"/>
        <v>0</v>
      </c>
      <c r="JB113" s="1757">
        <f t="shared" ca="1" si="239"/>
        <v>0</v>
      </c>
      <c r="JC113" s="1757">
        <f t="shared" ca="1" si="239"/>
        <v>0</v>
      </c>
      <c r="JD113" s="1757">
        <f t="shared" ca="1" si="239"/>
        <v>0</v>
      </c>
      <c r="JE113" s="1757">
        <f t="shared" ca="1" si="239"/>
        <v>0</v>
      </c>
      <c r="JF113" s="1757">
        <f t="shared" ca="1" si="239"/>
        <v>0</v>
      </c>
      <c r="JG113" s="1757">
        <f t="shared" ca="1" si="239"/>
        <v>0</v>
      </c>
      <c r="JH113" s="1757">
        <f t="shared" ca="1" si="239"/>
        <v>0</v>
      </c>
      <c r="JI113" s="1757">
        <f t="shared" ca="1" si="239"/>
        <v>0</v>
      </c>
      <c r="JJ113" s="1757">
        <f t="shared" ca="1" si="239"/>
        <v>0</v>
      </c>
      <c r="JK113" s="1757">
        <f t="shared" ca="1" si="239"/>
        <v>0</v>
      </c>
      <c r="JL113" s="1757">
        <f t="shared" ca="1" si="240"/>
        <v>0</v>
      </c>
      <c r="JM113" s="1757">
        <f t="shared" ca="1" si="240"/>
        <v>0</v>
      </c>
      <c r="JN113" s="1757">
        <f t="shared" ca="1" si="240"/>
        <v>0</v>
      </c>
      <c r="JO113" s="1757">
        <f t="shared" ca="1" si="240"/>
        <v>0</v>
      </c>
      <c r="JP113" s="1757">
        <f t="shared" ca="1" si="240"/>
        <v>0</v>
      </c>
      <c r="JQ113" s="1757">
        <f t="shared" ca="1" si="240"/>
        <v>0</v>
      </c>
      <c r="JR113" s="1757">
        <f t="shared" ca="1" si="240"/>
        <v>0</v>
      </c>
      <c r="JS113" s="1757">
        <f t="shared" ca="1" si="240"/>
        <v>0</v>
      </c>
      <c r="JT113" s="1757">
        <f t="shared" ca="1" si="240"/>
        <v>0</v>
      </c>
      <c r="JU113" s="1757">
        <f t="shared" ca="1" si="240"/>
        <v>0</v>
      </c>
      <c r="JV113" s="1757">
        <f t="shared" ca="1" si="241"/>
        <v>0</v>
      </c>
      <c r="JW113" s="1757">
        <f t="shared" ca="1" si="241"/>
        <v>0</v>
      </c>
      <c r="JX113" s="1757">
        <f t="shared" ca="1" si="241"/>
        <v>0</v>
      </c>
      <c r="JY113" s="1757">
        <f t="shared" ca="1" si="241"/>
        <v>0</v>
      </c>
      <c r="JZ113" s="1757">
        <f t="shared" ca="1" si="241"/>
        <v>0</v>
      </c>
      <c r="KA113" s="1757">
        <f t="shared" ca="1" si="241"/>
        <v>0</v>
      </c>
      <c r="KB113" s="1757">
        <f t="shared" ca="1" si="241"/>
        <v>0</v>
      </c>
      <c r="KC113" s="1757">
        <f t="shared" ca="1" si="241"/>
        <v>0</v>
      </c>
      <c r="KD113" s="1757">
        <f t="shared" ca="1" si="241"/>
        <v>0</v>
      </c>
      <c r="KE113" s="1757">
        <f t="shared" ca="1" si="241"/>
        <v>0</v>
      </c>
      <c r="KF113" s="1757">
        <f t="shared" ca="1" si="242"/>
        <v>0</v>
      </c>
      <c r="KG113" s="1757">
        <f t="shared" ca="1" si="242"/>
        <v>0</v>
      </c>
      <c r="KH113" s="1757">
        <f t="shared" ca="1" si="242"/>
        <v>0</v>
      </c>
      <c r="KI113" s="1757">
        <f t="shared" ca="1" si="242"/>
        <v>0</v>
      </c>
      <c r="KJ113" s="1757">
        <f t="shared" ca="1" si="242"/>
        <v>0</v>
      </c>
      <c r="KK113" s="1757">
        <f t="shared" ca="1" si="242"/>
        <v>0</v>
      </c>
      <c r="KL113" s="1757">
        <f t="shared" ca="1" si="242"/>
        <v>0</v>
      </c>
      <c r="KM113" s="1757">
        <f t="shared" ca="1" si="242"/>
        <v>0</v>
      </c>
      <c r="KN113" s="1757">
        <f t="shared" ca="1" si="242"/>
        <v>0</v>
      </c>
      <c r="KO113" s="1757">
        <f t="shared" ca="1" si="242"/>
        <v>0</v>
      </c>
      <c r="KP113" s="1757">
        <f t="shared" ca="1" si="243"/>
        <v>0</v>
      </c>
      <c r="KQ113" s="1757">
        <f t="shared" ca="1" si="243"/>
        <v>0</v>
      </c>
      <c r="KR113" s="1757">
        <f t="shared" ca="1" si="243"/>
        <v>0</v>
      </c>
      <c r="KS113" s="1757">
        <f t="shared" ca="1" si="243"/>
        <v>0</v>
      </c>
      <c r="KT113" s="1757">
        <f t="shared" ca="1" si="243"/>
        <v>0</v>
      </c>
      <c r="KU113" s="1757">
        <f t="shared" ca="1" si="243"/>
        <v>0</v>
      </c>
      <c r="KV113" s="1757">
        <f t="shared" ca="1" si="243"/>
        <v>0</v>
      </c>
      <c r="KW113" s="1757">
        <f t="shared" ca="1" si="243"/>
        <v>0</v>
      </c>
      <c r="KX113" s="1757">
        <f t="shared" ca="1" si="243"/>
        <v>0</v>
      </c>
      <c r="KY113" s="1757">
        <f t="shared" ca="1" si="243"/>
        <v>0</v>
      </c>
      <c r="KZ113" s="1757">
        <f t="shared" ca="1" si="244"/>
        <v>0</v>
      </c>
      <c r="LA113" s="1757">
        <f t="shared" ca="1" si="244"/>
        <v>0</v>
      </c>
      <c r="LB113" s="1757">
        <f t="shared" ca="1" si="244"/>
        <v>0</v>
      </c>
      <c r="LC113" s="1757">
        <f t="shared" ca="1" si="244"/>
        <v>0</v>
      </c>
      <c r="LD113" s="1757">
        <f t="shared" ca="1" si="244"/>
        <v>0</v>
      </c>
      <c r="LE113" s="1757">
        <f t="shared" ca="1" si="244"/>
        <v>0</v>
      </c>
      <c r="LF113" s="1757">
        <f t="shared" ca="1" si="244"/>
        <v>0</v>
      </c>
      <c r="LG113" s="1757">
        <f t="shared" ca="1" si="244"/>
        <v>0</v>
      </c>
      <c r="LH113" s="1757">
        <f t="shared" ca="1" si="244"/>
        <v>0</v>
      </c>
      <c r="LI113" s="1757">
        <f t="shared" ca="1" si="244"/>
        <v>0</v>
      </c>
      <c r="LJ113" s="1757">
        <f t="shared" ca="1" si="245"/>
        <v>0</v>
      </c>
      <c r="LK113" s="1757">
        <f t="shared" ca="1" si="245"/>
        <v>0</v>
      </c>
      <c r="LL113" s="1757">
        <f t="shared" ca="1" si="245"/>
        <v>0</v>
      </c>
      <c r="LM113" s="1757">
        <f t="shared" ca="1" si="245"/>
        <v>0</v>
      </c>
      <c r="LN113" s="1757">
        <f t="shared" ca="1" si="245"/>
        <v>0</v>
      </c>
      <c r="LO113" s="1757">
        <f t="shared" ca="1" si="245"/>
        <v>0</v>
      </c>
      <c r="LP113" s="1758">
        <f t="shared" ca="1" si="245"/>
        <v>0</v>
      </c>
      <c r="LQ113" s="604"/>
    </row>
    <row r="114" spans="1:329" ht="12.75" customHeight="1" x14ac:dyDescent="0.3">
      <c r="A114" s="279"/>
      <c r="B114" s="41"/>
      <c r="C114" s="82"/>
      <c r="D114" s="41"/>
      <c r="E114" s="9"/>
      <c r="F114" s="9"/>
      <c r="G114" s="9"/>
      <c r="H114" s="10"/>
      <c r="I114" s="10"/>
      <c r="J114" s="10"/>
      <c r="K114" s="10"/>
      <c r="L114" s="10"/>
      <c r="M114" s="10"/>
      <c r="N114" s="9"/>
      <c r="O114" s="9"/>
      <c r="P114" s="44"/>
      <c r="Q114" s="44"/>
      <c r="R114" s="9"/>
      <c r="S114" s="9"/>
      <c r="T114" s="9"/>
      <c r="U114" s="9"/>
      <c r="V114" s="9"/>
      <c r="W114" s="9"/>
      <c r="X114" s="9"/>
      <c r="Y114" s="9"/>
      <c r="Z114" s="9"/>
      <c r="AA114" s="9"/>
      <c r="AB114" s="9"/>
      <c r="AC114" s="9"/>
      <c r="AD114" s="9"/>
      <c r="AE114" s="9"/>
      <c r="AF114" s="9"/>
      <c r="AG114" s="9"/>
      <c r="AH114" s="2514"/>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113"/>
      <c r="DI114" s="113"/>
      <c r="DJ114" s="113"/>
      <c r="DK114" s="118"/>
      <c r="DL114" s="118"/>
      <c r="DM114" s="118"/>
      <c r="DN114" s="118"/>
      <c r="DO114" s="118"/>
      <c r="DP114" s="118"/>
      <c r="DQ114" s="118"/>
      <c r="DR114" s="118"/>
      <c r="DS114" s="118"/>
      <c r="DT114" s="118"/>
      <c r="DU114" s="118"/>
      <c r="DV114" s="118"/>
      <c r="DW114" s="118"/>
      <c r="DX114" s="118"/>
      <c r="DY114" s="118"/>
      <c r="DZ114" s="118"/>
      <c r="EA114" s="118"/>
      <c r="EB114" s="118"/>
      <c r="EC114" s="118"/>
      <c r="ED114" s="118"/>
      <c r="EE114" s="118"/>
      <c r="EF114" s="118"/>
      <c r="EG114" s="118"/>
      <c r="EH114" s="118"/>
      <c r="EI114" s="118"/>
      <c r="EJ114" s="118"/>
      <c r="EK114" s="118"/>
      <c r="EL114" s="118"/>
      <c r="EM114" s="118"/>
      <c r="EN114" s="118"/>
      <c r="EO114" s="118"/>
      <c r="EP114" s="118"/>
      <c r="EQ114" s="118"/>
      <c r="ER114" s="118"/>
      <c r="ES114" s="118"/>
      <c r="ET114" s="118"/>
      <c r="EU114" s="118"/>
      <c r="EV114" s="118"/>
      <c r="EW114" s="118"/>
      <c r="EX114" s="118"/>
      <c r="EY114" s="118"/>
      <c r="EZ114" s="118"/>
      <c r="FA114" s="118"/>
      <c r="FB114" s="118"/>
      <c r="FC114" s="118"/>
      <c r="FD114" s="118"/>
      <c r="FE114" s="118"/>
      <c r="FF114" s="118"/>
      <c r="FG114" s="118"/>
      <c r="FH114" s="118"/>
      <c r="FI114" s="180"/>
      <c r="FJ114" s="132"/>
      <c r="FK114" s="132"/>
      <c r="FL114" s="181">
        <f t="shared" ca="1" si="197"/>
        <v>27</v>
      </c>
      <c r="FM114" s="1340">
        <f t="shared" ca="1" si="198"/>
        <v>0</v>
      </c>
      <c r="FN114" s="1341">
        <f t="shared" ca="1" si="199"/>
        <v>0</v>
      </c>
      <c r="FO114" s="1342">
        <f t="shared" ca="1" si="200"/>
        <v>26</v>
      </c>
      <c r="FP114" s="1343">
        <f t="shared" ca="1" si="201"/>
        <v>0</v>
      </c>
      <c r="FQ114" s="1344">
        <f t="shared" si="202"/>
        <v>40</v>
      </c>
      <c r="FR114" s="1344">
        <f t="shared" si="203"/>
        <v>50</v>
      </c>
      <c r="FS114" s="1345">
        <f t="shared" si="204"/>
        <v>27</v>
      </c>
      <c r="FT114" s="1345"/>
      <c r="FU114" s="1346">
        <f t="shared" ca="1" si="219"/>
        <v>0</v>
      </c>
      <c r="FV114" s="1346"/>
      <c r="FW114" s="1346"/>
      <c r="FX114" s="1347"/>
      <c r="FY114" s="1348"/>
      <c r="FZ114" s="1348"/>
      <c r="GA114" s="1348"/>
      <c r="GB114" s="1349"/>
      <c r="GC114" s="1350"/>
      <c r="GD114" s="1348"/>
      <c r="GE114" s="1348"/>
      <c r="GF114" s="1348"/>
      <c r="GG114" s="1348"/>
      <c r="GH114" s="1348"/>
      <c r="GI114" s="1348"/>
      <c r="GJ114" s="1348"/>
      <c r="GK114" s="1348"/>
      <c r="GL114" s="1348"/>
      <c r="GM114" s="1348"/>
      <c r="GN114" s="3825">
        <f t="shared" ca="1" si="205"/>
        <v>0</v>
      </c>
      <c r="GO114" s="3825"/>
      <c r="GP114" s="3825"/>
      <c r="GQ114" s="3826"/>
      <c r="GR114" s="3675"/>
      <c r="GS114" s="3676"/>
      <c r="GT114" s="1756">
        <f t="shared" ca="1" si="233"/>
        <v>0</v>
      </c>
      <c r="GU114" s="1757">
        <f t="shared" ca="1" si="233"/>
        <v>0</v>
      </c>
      <c r="GV114" s="1757">
        <f t="shared" ca="1" si="233"/>
        <v>0</v>
      </c>
      <c r="GW114" s="1757">
        <f t="shared" ca="1" si="233"/>
        <v>0</v>
      </c>
      <c r="GX114" s="1757">
        <f t="shared" ca="1" si="233"/>
        <v>0</v>
      </c>
      <c r="GY114" s="1757">
        <f t="shared" ca="1" si="233"/>
        <v>0</v>
      </c>
      <c r="GZ114" s="1757">
        <f t="shared" ca="1" si="233"/>
        <v>0</v>
      </c>
      <c r="HA114" s="1757">
        <f t="shared" ca="1" si="233"/>
        <v>0</v>
      </c>
      <c r="HB114" s="1757">
        <f t="shared" ca="1" si="233"/>
        <v>0</v>
      </c>
      <c r="HC114" s="1757">
        <f t="shared" ca="1" si="233"/>
        <v>0</v>
      </c>
      <c r="HD114" s="1757">
        <f t="shared" ca="1" si="234"/>
        <v>0</v>
      </c>
      <c r="HE114" s="1757">
        <f t="shared" ca="1" si="234"/>
        <v>0</v>
      </c>
      <c r="HF114" s="1757">
        <f t="shared" ca="1" si="234"/>
        <v>0</v>
      </c>
      <c r="HG114" s="1757">
        <f t="shared" ca="1" si="234"/>
        <v>0</v>
      </c>
      <c r="HH114" s="1757">
        <f t="shared" ca="1" si="234"/>
        <v>0</v>
      </c>
      <c r="HI114" s="1757">
        <f t="shared" ca="1" si="234"/>
        <v>0</v>
      </c>
      <c r="HJ114" s="1757">
        <f t="shared" ca="1" si="234"/>
        <v>0</v>
      </c>
      <c r="HK114" s="1757">
        <f t="shared" ca="1" si="234"/>
        <v>0</v>
      </c>
      <c r="HL114" s="1757">
        <f t="shared" ca="1" si="234"/>
        <v>0</v>
      </c>
      <c r="HM114" s="1757">
        <f t="shared" ca="1" si="234"/>
        <v>0</v>
      </c>
      <c r="HN114" s="1757">
        <f t="shared" ca="1" si="235"/>
        <v>0</v>
      </c>
      <c r="HO114" s="1757">
        <f t="shared" ca="1" si="235"/>
        <v>0</v>
      </c>
      <c r="HP114" s="1757">
        <f t="shared" ca="1" si="235"/>
        <v>0</v>
      </c>
      <c r="HQ114" s="1757">
        <f t="shared" ca="1" si="235"/>
        <v>0</v>
      </c>
      <c r="HR114" s="1757">
        <f t="shared" ca="1" si="235"/>
        <v>0</v>
      </c>
      <c r="HS114" s="1757">
        <f t="shared" ca="1" si="235"/>
        <v>0</v>
      </c>
      <c r="HT114" s="1757">
        <f t="shared" ca="1" si="235"/>
        <v>0</v>
      </c>
      <c r="HU114" s="1757">
        <f t="shared" ca="1" si="235"/>
        <v>0</v>
      </c>
      <c r="HV114" s="1757">
        <f t="shared" ca="1" si="235"/>
        <v>0</v>
      </c>
      <c r="HW114" s="1757">
        <f t="shared" ca="1" si="235"/>
        <v>0</v>
      </c>
      <c r="HX114" s="1757">
        <f t="shared" ca="1" si="236"/>
        <v>0</v>
      </c>
      <c r="HY114" s="1757">
        <f t="shared" ca="1" si="236"/>
        <v>0</v>
      </c>
      <c r="HZ114" s="1757">
        <f t="shared" ca="1" si="236"/>
        <v>0</v>
      </c>
      <c r="IA114" s="1757">
        <f t="shared" ca="1" si="236"/>
        <v>0</v>
      </c>
      <c r="IB114" s="1757">
        <f t="shared" ca="1" si="236"/>
        <v>0</v>
      </c>
      <c r="IC114" s="1757">
        <f t="shared" ca="1" si="236"/>
        <v>0</v>
      </c>
      <c r="ID114" s="1757">
        <f t="shared" ca="1" si="236"/>
        <v>0</v>
      </c>
      <c r="IE114" s="1757">
        <f t="shared" ca="1" si="236"/>
        <v>0</v>
      </c>
      <c r="IF114" s="1757">
        <f t="shared" ca="1" si="236"/>
        <v>0</v>
      </c>
      <c r="IG114" s="1757">
        <f t="shared" ca="1" si="236"/>
        <v>0</v>
      </c>
      <c r="IH114" s="1757">
        <f t="shared" ca="1" si="237"/>
        <v>0</v>
      </c>
      <c r="II114" s="1757">
        <f t="shared" ca="1" si="237"/>
        <v>0</v>
      </c>
      <c r="IJ114" s="1757">
        <f t="shared" ca="1" si="237"/>
        <v>0</v>
      </c>
      <c r="IK114" s="1757">
        <f t="shared" ca="1" si="237"/>
        <v>0</v>
      </c>
      <c r="IL114" s="1757">
        <f t="shared" ca="1" si="237"/>
        <v>0</v>
      </c>
      <c r="IM114" s="1757">
        <f t="shared" ca="1" si="237"/>
        <v>0</v>
      </c>
      <c r="IN114" s="1757">
        <f t="shared" ca="1" si="237"/>
        <v>0</v>
      </c>
      <c r="IO114" s="1757">
        <f t="shared" ca="1" si="237"/>
        <v>0</v>
      </c>
      <c r="IP114" s="1757">
        <f t="shared" ca="1" si="237"/>
        <v>0</v>
      </c>
      <c r="IQ114" s="1757">
        <f t="shared" ca="1" si="237"/>
        <v>0</v>
      </c>
      <c r="IR114" s="1757">
        <f t="shared" ca="1" si="238"/>
        <v>0</v>
      </c>
      <c r="IS114" s="1757">
        <f t="shared" ca="1" si="238"/>
        <v>0</v>
      </c>
      <c r="IT114" s="1757">
        <f t="shared" ca="1" si="238"/>
        <v>0</v>
      </c>
      <c r="IU114" s="1757">
        <f t="shared" ca="1" si="238"/>
        <v>0</v>
      </c>
      <c r="IV114" s="1757">
        <f t="shared" ca="1" si="238"/>
        <v>0</v>
      </c>
      <c r="IW114" s="1757">
        <f t="shared" ca="1" si="238"/>
        <v>0</v>
      </c>
      <c r="IX114" s="1757">
        <f t="shared" ca="1" si="238"/>
        <v>0</v>
      </c>
      <c r="IY114" s="1757">
        <f t="shared" ca="1" si="238"/>
        <v>0</v>
      </c>
      <c r="IZ114" s="1757">
        <f t="shared" ca="1" si="238"/>
        <v>0</v>
      </c>
      <c r="JA114" s="1757">
        <f t="shared" ca="1" si="238"/>
        <v>0</v>
      </c>
      <c r="JB114" s="1757">
        <f t="shared" ca="1" si="239"/>
        <v>0</v>
      </c>
      <c r="JC114" s="1757">
        <f t="shared" ca="1" si="239"/>
        <v>0</v>
      </c>
      <c r="JD114" s="1757">
        <f t="shared" ca="1" si="239"/>
        <v>0</v>
      </c>
      <c r="JE114" s="1757">
        <f t="shared" ca="1" si="239"/>
        <v>0</v>
      </c>
      <c r="JF114" s="1757">
        <f t="shared" ca="1" si="239"/>
        <v>0</v>
      </c>
      <c r="JG114" s="1757">
        <f t="shared" ca="1" si="239"/>
        <v>0</v>
      </c>
      <c r="JH114" s="1757">
        <f t="shared" ca="1" si="239"/>
        <v>0</v>
      </c>
      <c r="JI114" s="1757">
        <f t="shared" ca="1" si="239"/>
        <v>0</v>
      </c>
      <c r="JJ114" s="1757">
        <f t="shared" ca="1" si="239"/>
        <v>0</v>
      </c>
      <c r="JK114" s="1757">
        <f t="shared" ca="1" si="239"/>
        <v>0</v>
      </c>
      <c r="JL114" s="1757">
        <f t="shared" ca="1" si="240"/>
        <v>0</v>
      </c>
      <c r="JM114" s="1757">
        <f t="shared" ca="1" si="240"/>
        <v>0</v>
      </c>
      <c r="JN114" s="1757">
        <f t="shared" ca="1" si="240"/>
        <v>0</v>
      </c>
      <c r="JO114" s="1757">
        <f t="shared" ca="1" si="240"/>
        <v>0</v>
      </c>
      <c r="JP114" s="1757">
        <f t="shared" ca="1" si="240"/>
        <v>0</v>
      </c>
      <c r="JQ114" s="1757">
        <f t="shared" ca="1" si="240"/>
        <v>0</v>
      </c>
      <c r="JR114" s="1757">
        <f t="shared" ca="1" si="240"/>
        <v>0</v>
      </c>
      <c r="JS114" s="1757">
        <f t="shared" ca="1" si="240"/>
        <v>0</v>
      </c>
      <c r="JT114" s="1757">
        <f t="shared" ca="1" si="240"/>
        <v>0</v>
      </c>
      <c r="JU114" s="1757">
        <f t="shared" ca="1" si="240"/>
        <v>0</v>
      </c>
      <c r="JV114" s="1757">
        <f t="shared" ca="1" si="241"/>
        <v>0</v>
      </c>
      <c r="JW114" s="1757">
        <f t="shared" ca="1" si="241"/>
        <v>0</v>
      </c>
      <c r="JX114" s="1757">
        <f t="shared" ca="1" si="241"/>
        <v>0</v>
      </c>
      <c r="JY114" s="1757">
        <f t="shared" ca="1" si="241"/>
        <v>0</v>
      </c>
      <c r="JZ114" s="1757">
        <f t="shared" ca="1" si="241"/>
        <v>0</v>
      </c>
      <c r="KA114" s="1757">
        <f t="shared" ca="1" si="241"/>
        <v>0</v>
      </c>
      <c r="KB114" s="1757">
        <f t="shared" ca="1" si="241"/>
        <v>0</v>
      </c>
      <c r="KC114" s="1757">
        <f t="shared" ca="1" si="241"/>
        <v>0</v>
      </c>
      <c r="KD114" s="1757">
        <f t="shared" ca="1" si="241"/>
        <v>0</v>
      </c>
      <c r="KE114" s="1757">
        <f t="shared" ca="1" si="241"/>
        <v>0</v>
      </c>
      <c r="KF114" s="1757">
        <f t="shared" ca="1" si="242"/>
        <v>0</v>
      </c>
      <c r="KG114" s="1757">
        <f t="shared" ca="1" si="242"/>
        <v>0</v>
      </c>
      <c r="KH114" s="1757">
        <f t="shared" ca="1" si="242"/>
        <v>0</v>
      </c>
      <c r="KI114" s="1757">
        <f t="shared" ca="1" si="242"/>
        <v>0</v>
      </c>
      <c r="KJ114" s="1757">
        <f t="shared" ca="1" si="242"/>
        <v>0</v>
      </c>
      <c r="KK114" s="1757">
        <f t="shared" ca="1" si="242"/>
        <v>0</v>
      </c>
      <c r="KL114" s="1757">
        <f t="shared" ca="1" si="242"/>
        <v>0</v>
      </c>
      <c r="KM114" s="1757">
        <f t="shared" ca="1" si="242"/>
        <v>0</v>
      </c>
      <c r="KN114" s="1757">
        <f t="shared" ca="1" si="242"/>
        <v>0</v>
      </c>
      <c r="KO114" s="1757">
        <f t="shared" ca="1" si="242"/>
        <v>0</v>
      </c>
      <c r="KP114" s="1757">
        <f t="shared" ca="1" si="243"/>
        <v>0</v>
      </c>
      <c r="KQ114" s="1757">
        <f t="shared" ca="1" si="243"/>
        <v>0</v>
      </c>
      <c r="KR114" s="1757">
        <f t="shared" ca="1" si="243"/>
        <v>0</v>
      </c>
      <c r="KS114" s="1757">
        <f t="shared" ca="1" si="243"/>
        <v>0</v>
      </c>
      <c r="KT114" s="1757">
        <f t="shared" ca="1" si="243"/>
        <v>0</v>
      </c>
      <c r="KU114" s="1757">
        <f t="shared" ca="1" si="243"/>
        <v>0</v>
      </c>
      <c r="KV114" s="1757">
        <f t="shared" ca="1" si="243"/>
        <v>0</v>
      </c>
      <c r="KW114" s="1757">
        <f t="shared" ca="1" si="243"/>
        <v>0</v>
      </c>
      <c r="KX114" s="1757">
        <f t="shared" ca="1" si="243"/>
        <v>0</v>
      </c>
      <c r="KY114" s="1757">
        <f t="shared" ca="1" si="243"/>
        <v>0</v>
      </c>
      <c r="KZ114" s="1757">
        <f t="shared" ca="1" si="244"/>
        <v>0</v>
      </c>
      <c r="LA114" s="1757">
        <f t="shared" ca="1" si="244"/>
        <v>0</v>
      </c>
      <c r="LB114" s="1757">
        <f t="shared" ca="1" si="244"/>
        <v>0</v>
      </c>
      <c r="LC114" s="1757">
        <f t="shared" ca="1" si="244"/>
        <v>0</v>
      </c>
      <c r="LD114" s="1757">
        <f t="shared" ca="1" si="244"/>
        <v>0</v>
      </c>
      <c r="LE114" s="1757">
        <f t="shared" ca="1" si="244"/>
        <v>0</v>
      </c>
      <c r="LF114" s="1757">
        <f t="shared" ca="1" si="244"/>
        <v>0</v>
      </c>
      <c r="LG114" s="1757">
        <f t="shared" ca="1" si="244"/>
        <v>0</v>
      </c>
      <c r="LH114" s="1757">
        <f t="shared" ca="1" si="244"/>
        <v>0</v>
      </c>
      <c r="LI114" s="1757">
        <f t="shared" ca="1" si="244"/>
        <v>0</v>
      </c>
      <c r="LJ114" s="1757">
        <f t="shared" ca="1" si="245"/>
        <v>0</v>
      </c>
      <c r="LK114" s="1757">
        <f t="shared" ca="1" si="245"/>
        <v>0</v>
      </c>
      <c r="LL114" s="1757">
        <f t="shared" ca="1" si="245"/>
        <v>0</v>
      </c>
      <c r="LM114" s="1757">
        <f t="shared" ca="1" si="245"/>
        <v>0</v>
      </c>
      <c r="LN114" s="1757">
        <f t="shared" ca="1" si="245"/>
        <v>0</v>
      </c>
      <c r="LO114" s="1757">
        <f t="shared" ca="1" si="245"/>
        <v>0</v>
      </c>
      <c r="LP114" s="1758">
        <f t="shared" ca="1" si="245"/>
        <v>0</v>
      </c>
      <c r="LQ114" s="604"/>
    </row>
    <row r="115" spans="1:329" ht="12.75" customHeight="1" x14ac:dyDescent="0.3">
      <c r="A115" s="279"/>
      <c r="B115" s="41"/>
      <c r="C115" s="82"/>
      <c r="D115" s="41"/>
      <c r="E115" s="9"/>
      <c r="F115" s="9"/>
      <c r="G115" s="9"/>
      <c r="H115" s="10"/>
      <c r="I115" s="10"/>
      <c r="J115" s="10"/>
      <c r="K115" s="10"/>
      <c r="L115" s="10"/>
      <c r="M115" s="10"/>
      <c r="N115" s="9"/>
      <c r="O115" s="9"/>
      <c r="P115" s="44"/>
      <c r="Q115" s="44"/>
      <c r="R115" s="9"/>
      <c r="S115" s="9"/>
      <c r="T115" s="9"/>
      <c r="U115" s="9"/>
      <c r="V115" s="9"/>
      <c r="W115" s="9"/>
      <c r="X115" s="9"/>
      <c r="Y115" s="9"/>
      <c r="Z115" s="9"/>
      <c r="AA115" s="9"/>
      <c r="AB115" s="9"/>
      <c r="AC115" s="9"/>
      <c r="AD115" s="9"/>
      <c r="AE115" s="9"/>
      <c r="AF115" s="9"/>
      <c r="AG115" s="9"/>
      <c r="AH115" s="2514"/>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113"/>
      <c r="DI115" s="113"/>
      <c r="DJ115" s="113"/>
      <c r="DK115" s="118"/>
      <c r="DL115" s="118"/>
      <c r="DM115" s="118"/>
      <c r="DN115" s="118"/>
      <c r="DO115" s="118"/>
      <c r="DP115" s="118"/>
      <c r="DQ115" s="118"/>
      <c r="DR115" s="118"/>
      <c r="DS115" s="118"/>
      <c r="DT115" s="118"/>
      <c r="DU115" s="118"/>
      <c r="DV115" s="118"/>
      <c r="DW115" s="118"/>
      <c r="DX115" s="118"/>
      <c r="DY115" s="118"/>
      <c r="DZ115" s="118"/>
      <c r="EA115" s="118"/>
      <c r="EB115" s="118"/>
      <c r="EC115" s="118"/>
      <c r="ED115" s="118"/>
      <c r="EE115" s="118"/>
      <c r="EF115" s="118"/>
      <c r="EG115" s="118"/>
      <c r="EH115" s="118"/>
      <c r="EI115" s="118"/>
      <c r="EJ115" s="118"/>
      <c r="EK115" s="118"/>
      <c r="EL115" s="118"/>
      <c r="EM115" s="118"/>
      <c r="EN115" s="118"/>
      <c r="EO115" s="118"/>
      <c r="EP115" s="118"/>
      <c r="EQ115" s="118"/>
      <c r="ER115" s="118"/>
      <c r="ES115" s="118"/>
      <c r="ET115" s="118"/>
      <c r="EU115" s="118"/>
      <c r="EV115" s="118"/>
      <c r="EW115" s="118"/>
      <c r="EX115" s="118"/>
      <c r="EY115" s="118"/>
      <c r="EZ115" s="118"/>
      <c r="FA115" s="118"/>
      <c r="FB115" s="118"/>
      <c r="FC115" s="118"/>
      <c r="FD115" s="118"/>
      <c r="FE115" s="118"/>
      <c r="FF115" s="118"/>
      <c r="FG115" s="118"/>
      <c r="FH115" s="118"/>
      <c r="FI115" s="180"/>
      <c r="FJ115" s="132"/>
      <c r="FK115" s="132"/>
      <c r="FL115" s="181">
        <f t="shared" ca="1" si="197"/>
        <v>26</v>
      </c>
      <c r="FM115" s="1340">
        <f t="shared" ca="1" si="198"/>
        <v>0</v>
      </c>
      <c r="FN115" s="1341">
        <f t="shared" ca="1" si="199"/>
        <v>0</v>
      </c>
      <c r="FO115" s="1342">
        <f t="shared" ca="1" si="200"/>
        <v>25</v>
      </c>
      <c r="FP115" s="1343">
        <f t="shared" ca="1" si="201"/>
        <v>0</v>
      </c>
      <c r="FQ115" s="1344">
        <f t="shared" si="202"/>
        <v>40</v>
      </c>
      <c r="FR115" s="1344">
        <f t="shared" si="203"/>
        <v>50</v>
      </c>
      <c r="FS115" s="1345">
        <f t="shared" si="204"/>
        <v>26</v>
      </c>
      <c r="FT115" s="1345"/>
      <c r="FU115" s="1346">
        <f t="shared" ca="1" si="219"/>
        <v>0</v>
      </c>
      <c r="FV115" s="1346"/>
      <c r="FW115" s="1346"/>
      <c r="FX115" s="1347"/>
      <c r="FY115" s="1348"/>
      <c r="FZ115" s="1348"/>
      <c r="GA115" s="1348"/>
      <c r="GB115" s="1349"/>
      <c r="GC115" s="1350"/>
      <c r="GD115" s="1348"/>
      <c r="GE115" s="1348"/>
      <c r="GF115" s="1348"/>
      <c r="GG115" s="1348"/>
      <c r="GH115" s="1348"/>
      <c r="GI115" s="1348"/>
      <c r="GJ115" s="1348"/>
      <c r="GK115" s="1348"/>
      <c r="GL115" s="1348"/>
      <c r="GM115" s="1348"/>
      <c r="GN115" s="3825">
        <f t="shared" ca="1" si="205"/>
        <v>0</v>
      </c>
      <c r="GO115" s="3825"/>
      <c r="GP115" s="3825"/>
      <c r="GQ115" s="3826"/>
      <c r="GR115" s="3675"/>
      <c r="GS115" s="3676"/>
      <c r="GT115" s="1756">
        <f t="shared" ca="1" si="233"/>
        <v>0</v>
      </c>
      <c r="GU115" s="1757">
        <f t="shared" ca="1" si="233"/>
        <v>0</v>
      </c>
      <c r="GV115" s="1757">
        <f t="shared" ca="1" si="233"/>
        <v>0</v>
      </c>
      <c r="GW115" s="1757">
        <f t="shared" ca="1" si="233"/>
        <v>0</v>
      </c>
      <c r="GX115" s="1757">
        <f t="shared" ca="1" si="233"/>
        <v>0</v>
      </c>
      <c r="GY115" s="1757">
        <f t="shared" ca="1" si="233"/>
        <v>0</v>
      </c>
      <c r="GZ115" s="1757">
        <f t="shared" ca="1" si="233"/>
        <v>0</v>
      </c>
      <c r="HA115" s="1757">
        <f t="shared" ca="1" si="233"/>
        <v>0</v>
      </c>
      <c r="HB115" s="1757">
        <f t="shared" ca="1" si="233"/>
        <v>0</v>
      </c>
      <c r="HC115" s="1757">
        <f t="shared" ca="1" si="233"/>
        <v>0</v>
      </c>
      <c r="HD115" s="1757">
        <f t="shared" ca="1" si="234"/>
        <v>0</v>
      </c>
      <c r="HE115" s="1757">
        <f t="shared" ca="1" si="234"/>
        <v>0</v>
      </c>
      <c r="HF115" s="1757">
        <f t="shared" ca="1" si="234"/>
        <v>0</v>
      </c>
      <c r="HG115" s="1757">
        <f t="shared" ca="1" si="234"/>
        <v>0</v>
      </c>
      <c r="HH115" s="1757">
        <f t="shared" ca="1" si="234"/>
        <v>0</v>
      </c>
      <c r="HI115" s="1757">
        <f t="shared" ca="1" si="234"/>
        <v>0</v>
      </c>
      <c r="HJ115" s="1757">
        <f t="shared" ca="1" si="234"/>
        <v>0</v>
      </c>
      <c r="HK115" s="1757">
        <f t="shared" ca="1" si="234"/>
        <v>0</v>
      </c>
      <c r="HL115" s="1757">
        <f t="shared" ca="1" si="234"/>
        <v>0</v>
      </c>
      <c r="HM115" s="1757">
        <f t="shared" ca="1" si="234"/>
        <v>0</v>
      </c>
      <c r="HN115" s="1757">
        <f t="shared" ca="1" si="235"/>
        <v>0</v>
      </c>
      <c r="HO115" s="1757">
        <f t="shared" ca="1" si="235"/>
        <v>0</v>
      </c>
      <c r="HP115" s="1757">
        <f t="shared" ca="1" si="235"/>
        <v>0</v>
      </c>
      <c r="HQ115" s="1757">
        <f t="shared" ca="1" si="235"/>
        <v>0</v>
      </c>
      <c r="HR115" s="1757">
        <f t="shared" ca="1" si="235"/>
        <v>0</v>
      </c>
      <c r="HS115" s="1757">
        <f t="shared" ca="1" si="235"/>
        <v>0</v>
      </c>
      <c r="HT115" s="1757">
        <f t="shared" ca="1" si="235"/>
        <v>0</v>
      </c>
      <c r="HU115" s="1757">
        <f t="shared" ca="1" si="235"/>
        <v>0</v>
      </c>
      <c r="HV115" s="1757">
        <f t="shared" ca="1" si="235"/>
        <v>0</v>
      </c>
      <c r="HW115" s="1757">
        <f t="shared" ca="1" si="235"/>
        <v>0</v>
      </c>
      <c r="HX115" s="1757">
        <f t="shared" ca="1" si="236"/>
        <v>0</v>
      </c>
      <c r="HY115" s="1757">
        <f t="shared" ca="1" si="236"/>
        <v>0</v>
      </c>
      <c r="HZ115" s="1757">
        <f t="shared" ca="1" si="236"/>
        <v>0</v>
      </c>
      <c r="IA115" s="1757">
        <f t="shared" ca="1" si="236"/>
        <v>0</v>
      </c>
      <c r="IB115" s="1757">
        <f t="shared" ca="1" si="236"/>
        <v>0</v>
      </c>
      <c r="IC115" s="1757">
        <f t="shared" ca="1" si="236"/>
        <v>0</v>
      </c>
      <c r="ID115" s="1757">
        <f t="shared" ca="1" si="236"/>
        <v>0</v>
      </c>
      <c r="IE115" s="1757">
        <f t="shared" ca="1" si="236"/>
        <v>0</v>
      </c>
      <c r="IF115" s="1757">
        <f t="shared" ca="1" si="236"/>
        <v>0</v>
      </c>
      <c r="IG115" s="1757">
        <f t="shared" ca="1" si="236"/>
        <v>0</v>
      </c>
      <c r="IH115" s="1757">
        <f t="shared" ca="1" si="237"/>
        <v>0</v>
      </c>
      <c r="II115" s="1757">
        <f t="shared" ca="1" si="237"/>
        <v>0</v>
      </c>
      <c r="IJ115" s="1757">
        <f t="shared" ca="1" si="237"/>
        <v>0</v>
      </c>
      <c r="IK115" s="1757">
        <f t="shared" ca="1" si="237"/>
        <v>0</v>
      </c>
      <c r="IL115" s="1757">
        <f t="shared" ca="1" si="237"/>
        <v>0</v>
      </c>
      <c r="IM115" s="1757">
        <f t="shared" ca="1" si="237"/>
        <v>0</v>
      </c>
      <c r="IN115" s="1757">
        <f t="shared" ca="1" si="237"/>
        <v>0</v>
      </c>
      <c r="IO115" s="1757">
        <f t="shared" ca="1" si="237"/>
        <v>0</v>
      </c>
      <c r="IP115" s="1757">
        <f t="shared" ca="1" si="237"/>
        <v>0</v>
      </c>
      <c r="IQ115" s="1757">
        <f t="shared" ca="1" si="237"/>
        <v>0</v>
      </c>
      <c r="IR115" s="1757">
        <f t="shared" ca="1" si="238"/>
        <v>0</v>
      </c>
      <c r="IS115" s="1757">
        <f t="shared" ca="1" si="238"/>
        <v>0</v>
      </c>
      <c r="IT115" s="1757">
        <f t="shared" ca="1" si="238"/>
        <v>0</v>
      </c>
      <c r="IU115" s="1757">
        <f t="shared" ca="1" si="238"/>
        <v>0</v>
      </c>
      <c r="IV115" s="1757">
        <f t="shared" ca="1" si="238"/>
        <v>0</v>
      </c>
      <c r="IW115" s="1757">
        <f t="shared" ca="1" si="238"/>
        <v>0</v>
      </c>
      <c r="IX115" s="1757">
        <f t="shared" ca="1" si="238"/>
        <v>0</v>
      </c>
      <c r="IY115" s="1757">
        <f t="shared" ca="1" si="238"/>
        <v>0</v>
      </c>
      <c r="IZ115" s="1757">
        <f t="shared" ca="1" si="238"/>
        <v>0</v>
      </c>
      <c r="JA115" s="1757">
        <f t="shared" ca="1" si="238"/>
        <v>0</v>
      </c>
      <c r="JB115" s="1757">
        <f t="shared" ca="1" si="239"/>
        <v>0</v>
      </c>
      <c r="JC115" s="1757">
        <f t="shared" ca="1" si="239"/>
        <v>0</v>
      </c>
      <c r="JD115" s="1757">
        <f t="shared" ca="1" si="239"/>
        <v>0</v>
      </c>
      <c r="JE115" s="1757">
        <f t="shared" ca="1" si="239"/>
        <v>0</v>
      </c>
      <c r="JF115" s="1757">
        <f t="shared" ca="1" si="239"/>
        <v>0</v>
      </c>
      <c r="JG115" s="1757">
        <f t="shared" ca="1" si="239"/>
        <v>0</v>
      </c>
      <c r="JH115" s="1757">
        <f t="shared" ca="1" si="239"/>
        <v>0</v>
      </c>
      <c r="JI115" s="1757">
        <f t="shared" ca="1" si="239"/>
        <v>0</v>
      </c>
      <c r="JJ115" s="1757">
        <f t="shared" ca="1" si="239"/>
        <v>0</v>
      </c>
      <c r="JK115" s="1757">
        <f t="shared" ca="1" si="239"/>
        <v>0</v>
      </c>
      <c r="JL115" s="1757">
        <f t="shared" ca="1" si="240"/>
        <v>0</v>
      </c>
      <c r="JM115" s="1757">
        <f t="shared" ca="1" si="240"/>
        <v>0</v>
      </c>
      <c r="JN115" s="1757">
        <f t="shared" ca="1" si="240"/>
        <v>0</v>
      </c>
      <c r="JO115" s="1757">
        <f t="shared" ca="1" si="240"/>
        <v>0</v>
      </c>
      <c r="JP115" s="1757">
        <f t="shared" ca="1" si="240"/>
        <v>0</v>
      </c>
      <c r="JQ115" s="1757">
        <f t="shared" ca="1" si="240"/>
        <v>0</v>
      </c>
      <c r="JR115" s="1757">
        <f t="shared" ca="1" si="240"/>
        <v>0</v>
      </c>
      <c r="JS115" s="1757">
        <f t="shared" ca="1" si="240"/>
        <v>0</v>
      </c>
      <c r="JT115" s="1757">
        <f t="shared" ca="1" si="240"/>
        <v>0</v>
      </c>
      <c r="JU115" s="1757">
        <f t="shared" ca="1" si="240"/>
        <v>0</v>
      </c>
      <c r="JV115" s="1757">
        <f t="shared" ca="1" si="241"/>
        <v>0</v>
      </c>
      <c r="JW115" s="1757">
        <f t="shared" ca="1" si="241"/>
        <v>0</v>
      </c>
      <c r="JX115" s="1757">
        <f t="shared" ca="1" si="241"/>
        <v>0</v>
      </c>
      <c r="JY115" s="1757">
        <f t="shared" ca="1" si="241"/>
        <v>0</v>
      </c>
      <c r="JZ115" s="1757">
        <f t="shared" ca="1" si="241"/>
        <v>0</v>
      </c>
      <c r="KA115" s="1757">
        <f t="shared" ca="1" si="241"/>
        <v>0</v>
      </c>
      <c r="KB115" s="1757">
        <f t="shared" ca="1" si="241"/>
        <v>0</v>
      </c>
      <c r="KC115" s="1757">
        <f t="shared" ca="1" si="241"/>
        <v>0</v>
      </c>
      <c r="KD115" s="1757">
        <f t="shared" ca="1" si="241"/>
        <v>0</v>
      </c>
      <c r="KE115" s="1757">
        <f t="shared" ca="1" si="241"/>
        <v>0</v>
      </c>
      <c r="KF115" s="1757">
        <f t="shared" ca="1" si="242"/>
        <v>0</v>
      </c>
      <c r="KG115" s="1757">
        <f t="shared" ca="1" si="242"/>
        <v>0</v>
      </c>
      <c r="KH115" s="1757">
        <f t="shared" ca="1" si="242"/>
        <v>0</v>
      </c>
      <c r="KI115" s="1757">
        <f t="shared" ca="1" si="242"/>
        <v>0</v>
      </c>
      <c r="KJ115" s="1757">
        <f t="shared" ca="1" si="242"/>
        <v>0</v>
      </c>
      <c r="KK115" s="1757">
        <f t="shared" ca="1" si="242"/>
        <v>0</v>
      </c>
      <c r="KL115" s="1757">
        <f t="shared" ca="1" si="242"/>
        <v>0</v>
      </c>
      <c r="KM115" s="1757">
        <f t="shared" ca="1" si="242"/>
        <v>0</v>
      </c>
      <c r="KN115" s="1757">
        <f t="shared" ca="1" si="242"/>
        <v>0</v>
      </c>
      <c r="KO115" s="1757">
        <f t="shared" ca="1" si="242"/>
        <v>0</v>
      </c>
      <c r="KP115" s="1757">
        <f t="shared" ca="1" si="243"/>
        <v>0</v>
      </c>
      <c r="KQ115" s="1757">
        <f t="shared" ca="1" si="243"/>
        <v>0</v>
      </c>
      <c r="KR115" s="1757">
        <f t="shared" ca="1" si="243"/>
        <v>0</v>
      </c>
      <c r="KS115" s="1757">
        <f t="shared" ca="1" si="243"/>
        <v>0</v>
      </c>
      <c r="KT115" s="1757">
        <f t="shared" ca="1" si="243"/>
        <v>0</v>
      </c>
      <c r="KU115" s="1757">
        <f t="shared" ca="1" si="243"/>
        <v>0</v>
      </c>
      <c r="KV115" s="1757">
        <f t="shared" ca="1" si="243"/>
        <v>0</v>
      </c>
      <c r="KW115" s="1757">
        <f t="shared" ca="1" si="243"/>
        <v>0</v>
      </c>
      <c r="KX115" s="1757">
        <f t="shared" ca="1" si="243"/>
        <v>0</v>
      </c>
      <c r="KY115" s="1757">
        <f t="shared" ca="1" si="243"/>
        <v>0</v>
      </c>
      <c r="KZ115" s="1757">
        <f t="shared" ca="1" si="244"/>
        <v>0</v>
      </c>
      <c r="LA115" s="1757">
        <f t="shared" ca="1" si="244"/>
        <v>0</v>
      </c>
      <c r="LB115" s="1757">
        <f t="shared" ca="1" si="244"/>
        <v>0</v>
      </c>
      <c r="LC115" s="1757">
        <f t="shared" ca="1" si="244"/>
        <v>0</v>
      </c>
      <c r="LD115" s="1757">
        <f t="shared" ca="1" si="244"/>
        <v>0</v>
      </c>
      <c r="LE115" s="1757">
        <f t="shared" ca="1" si="244"/>
        <v>0</v>
      </c>
      <c r="LF115" s="1757">
        <f t="shared" ca="1" si="244"/>
        <v>0</v>
      </c>
      <c r="LG115" s="1757">
        <f t="shared" ca="1" si="244"/>
        <v>0</v>
      </c>
      <c r="LH115" s="1757">
        <f t="shared" ca="1" si="244"/>
        <v>0</v>
      </c>
      <c r="LI115" s="1757">
        <f t="shared" ca="1" si="244"/>
        <v>0</v>
      </c>
      <c r="LJ115" s="1757">
        <f t="shared" ca="1" si="245"/>
        <v>0</v>
      </c>
      <c r="LK115" s="1757">
        <f t="shared" ca="1" si="245"/>
        <v>0</v>
      </c>
      <c r="LL115" s="1757">
        <f t="shared" ca="1" si="245"/>
        <v>0</v>
      </c>
      <c r="LM115" s="1757">
        <f t="shared" ca="1" si="245"/>
        <v>0</v>
      </c>
      <c r="LN115" s="1757">
        <f t="shared" ca="1" si="245"/>
        <v>0</v>
      </c>
      <c r="LO115" s="1757">
        <f t="shared" ca="1" si="245"/>
        <v>0</v>
      </c>
      <c r="LP115" s="1758">
        <f t="shared" ca="1" si="245"/>
        <v>0</v>
      </c>
      <c r="LQ115" s="604"/>
    </row>
    <row r="116" spans="1:329" ht="12.75" customHeight="1" x14ac:dyDescent="0.3">
      <c r="A116" s="279"/>
      <c r="B116" s="41"/>
      <c r="C116" s="82"/>
      <c r="D116" s="41"/>
      <c r="E116" s="9"/>
      <c r="F116" s="9"/>
      <c r="G116" s="9"/>
      <c r="H116" s="10"/>
      <c r="I116" s="10"/>
      <c r="J116" s="10"/>
      <c r="K116" s="10"/>
      <c r="L116" s="10"/>
      <c r="M116" s="10"/>
      <c r="N116" s="9"/>
      <c r="O116" s="9"/>
      <c r="P116" s="44"/>
      <c r="Q116" s="44"/>
      <c r="R116" s="9"/>
      <c r="S116" s="9"/>
      <c r="T116" s="9"/>
      <c r="U116" s="9"/>
      <c r="V116" s="9"/>
      <c r="W116" s="9"/>
      <c r="X116" s="9"/>
      <c r="Y116" s="9"/>
      <c r="Z116" s="9"/>
      <c r="AA116" s="9"/>
      <c r="AB116" s="9"/>
      <c r="AC116" s="9"/>
      <c r="AD116" s="9"/>
      <c r="AE116" s="9"/>
      <c r="AF116" s="9"/>
      <c r="AG116" s="9"/>
      <c r="AH116" s="2514"/>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113"/>
      <c r="DI116" s="113"/>
      <c r="DJ116" s="113"/>
      <c r="DK116" s="118"/>
      <c r="DL116" s="118"/>
      <c r="DM116" s="118"/>
      <c r="DN116" s="118"/>
      <c r="DO116" s="118"/>
      <c r="DP116" s="118"/>
      <c r="DQ116" s="118"/>
      <c r="DR116" s="118"/>
      <c r="DS116" s="118"/>
      <c r="DT116" s="118"/>
      <c r="DU116" s="118"/>
      <c r="DV116" s="118"/>
      <c r="DW116" s="118"/>
      <c r="DX116" s="118"/>
      <c r="DY116" s="118"/>
      <c r="DZ116" s="118"/>
      <c r="EA116" s="118"/>
      <c r="EB116" s="118"/>
      <c r="EC116" s="118"/>
      <c r="ED116" s="118"/>
      <c r="EE116" s="118"/>
      <c r="EF116" s="118"/>
      <c r="EG116" s="118"/>
      <c r="EH116" s="118"/>
      <c r="EI116" s="118"/>
      <c r="EJ116" s="118"/>
      <c r="EK116" s="118"/>
      <c r="EL116" s="118"/>
      <c r="EM116" s="118"/>
      <c r="EN116" s="118"/>
      <c r="EO116" s="118"/>
      <c r="EP116" s="118"/>
      <c r="EQ116" s="118"/>
      <c r="ER116" s="118"/>
      <c r="ES116" s="118"/>
      <c r="ET116" s="118"/>
      <c r="EU116" s="118"/>
      <c r="EV116" s="118"/>
      <c r="EW116" s="118"/>
      <c r="EX116" s="118"/>
      <c r="EY116" s="118"/>
      <c r="EZ116" s="118"/>
      <c r="FA116" s="118"/>
      <c r="FB116" s="118"/>
      <c r="FC116" s="118"/>
      <c r="FD116" s="118"/>
      <c r="FE116" s="118"/>
      <c r="FF116" s="118"/>
      <c r="FG116" s="118"/>
      <c r="FH116" s="118"/>
      <c r="FI116" s="180"/>
      <c r="FJ116" s="132"/>
      <c r="FK116" s="132"/>
      <c r="FL116" s="181">
        <f t="shared" ca="1" si="197"/>
        <v>25</v>
      </c>
      <c r="FM116" s="1340">
        <f t="shared" ca="1" si="198"/>
        <v>0</v>
      </c>
      <c r="FN116" s="1341">
        <f t="shared" ca="1" si="199"/>
        <v>0</v>
      </c>
      <c r="FO116" s="1342">
        <f t="shared" ca="1" si="200"/>
        <v>24</v>
      </c>
      <c r="FP116" s="1343">
        <f t="shared" ca="1" si="201"/>
        <v>0</v>
      </c>
      <c r="FQ116" s="1344">
        <f t="shared" si="202"/>
        <v>40</v>
      </c>
      <c r="FR116" s="1344">
        <f t="shared" si="203"/>
        <v>50</v>
      </c>
      <c r="FS116" s="1345">
        <f t="shared" si="204"/>
        <v>25</v>
      </c>
      <c r="FT116" s="1345"/>
      <c r="FU116" s="1346">
        <f t="shared" ca="1" si="219"/>
        <v>0</v>
      </c>
      <c r="FV116" s="1346"/>
      <c r="FW116" s="1346"/>
      <c r="FX116" s="1347"/>
      <c r="FY116" s="1348"/>
      <c r="FZ116" s="1348"/>
      <c r="GA116" s="1348"/>
      <c r="GB116" s="1349"/>
      <c r="GC116" s="1350"/>
      <c r="GD116" s="1348"/>
      <c r="GE116" s="1348"/>
      <c r="GF116" s="1348"/>
      <c r="GG116" s="1348"/>
      <c r="GH116" s="1348"/>
      <c r="GI116" s="1348"/>
      <c r="GJ116" s="1348"/>
      <c r="GK116" s="1348"/>
      <c r="GL116" s="1348"/>
      <c r="GM116" s="1348"/>
      <c r="GN116" s="3825">
        <f t="shared" ca="1" si="205"/>
        <v>0</v>
      </c>
      <c r="GO116" s="3825"/>
      <c r="GP116" s="3825"/>
      <c r="GQ116" s="3826"/>
      <c r="GR116" s="3675"/>
      <c r="GS116" s="3676"/>
      <c r="GT116" s="1756">
        <f t="shared" ca="1" si="233"/>
        <v>0</v>
      </c>
      <c r="GU116" s="1757">
        <f t="shared" ca="1" si="233"/>
        <v>0</v>
      </c>
      <c r="GV116" s="1757">
        <f t="shared" ca="1" si="233"/>
        <v>0</v>
      </c>
      <c r="GW116" s="1757">
        <f t="shared" ca="1" si="233"/>
        <v>0</v>
      </c>
      <c r="GX116" s="1757">
        <f t="shared" ca="1" si="233"/>
        <v>0</v>
      </c>
      <c r="GY116" s="1757">
        <f t="shared" ca="1" si="233"/>
        <v>0</v>
      </c>
      <c r="GZ116" s="1757">
        <f t="shared" ca="1" si="233"/>
        <v>0</v>
      </c>
      <c r="HA116" s="1757">
        <f t="shared" ca="1" si="233"/>
        <v>0</v>
      </c>
      <c r="HB116" s="1757">
        <f t="shared" ca="1" si="233"/>
        <v>0</v>
      </c>
      <c r="HC116" s="1757">
        <f t="shared" ca="1" si="233"/>
        <v>0</v>
      </c>
      <c r="HD116" s="1757">
        <f t="shared" ca="1" si="234"/>
        <v>0</v>
      </c>
      <c r="HE116" s="1757">
        <f t="shared" ca="1" si="234"/>
        <v>0</v>
      </c>
      <c r="HF116" s="1757">
        <f t="shared" ca="1" si="234"/>
        <v>0</v>
      </c>
      <c r="HG116" s="1757">
        <f t="shared" ca="1" si="234"/>
        <v>0</v>
      </c>
      <c r="HH116" s="1757">
        <f t="shared" ca="1" si="234"/>
        <v>0</v>
      </c>
      <c r="HI116" s="1757">
        <f t="shared" ca="1" si="234"/>
        <v>0</v>
      </c>
      <c r="HJ116" s="1757">
        <f t="shared" ca="1" si="234"/>
        <v>0</v>
      </c>
      <c r="HK116" s="1757">
        <f t="shared" ca="1" si="234"/>
        <v>0</v>
      </c>
      <c r="HL116" s="1757">
        <f t="shared" ca="1" si="234"/>
        <v>0</v>
      </c>
      <c r="HM116" s="1757">
        <f t="shared" ca="1" si="234"/>
        <v>0</v>
      </c>
      <c r="HN116" s="1757">
        <f t="shared" ca="1" si="235"/>
        <v>0</v>
      </c>
      <c r="HO116" s="1757">
        <f t="shared" ca="1" si="235"/>
        <v>0</v>
      </c>
      <c r="HP116" s="1757">
        <f t="shared" ca="1" si="235"/>
        <v>0</v>
      </c>
      <c r="HQ116" s="1757">
        <f t="shared" ca="1" si="235"/>
        <v>0</v>
      </c>
      <c r="HR116" s="1757">
        <f t="shared" ca="1" si="235"/>
        <v>0</v>
      </c>
      <c r="HS116" s="1757">
        <f t="shared" ca="1" si="235"/>
        <v>0</v>
      </c>
      <c r="HT116" s="1757">
        <f t="shared" ca="1" si="235"/>
        <v>0</v>
      </c>
      <c r="HU116" s="1757">
        <f t="shared" ca="1" si="235"/>
        <v>0</v>
      </c>
      <c r="HV116" s="1757">
        <f t="shared" ca="1" si="235"/>
        <v>0</v>
      </c>
      <c r="HW116" s="1757">
        <f t="shared" ca="1" si="235"/>
        <v>0</v>
      </c>
      <c r="HX116" s="1757">
        <f t="shared" ca="1" si="236"/>
        <v>0</v>
      </c>
      <c r="HY116" s="1757">
        <f t="shared" ca="1" si="236"/>
        <v>0</v>
      </c>
      <c r="HZ116" s="1757">
        <f t="shared" ca="1" si="236"/>
        <v>0</v>
      </c>
      <c r="IA116" s="1757">
        <f t="shared" ca="1" si="236"/>
        <v>0</v>
      </c>
      <c r="IB116" s="1757">
        <f t="shared" ca="1" si="236"/>
        <v>0</v>
      </c>
      <c r="IC116" s="1757">
        <f t="shared" ca="1" si="236"/>
        <v>0</v>
      </c>
      <c r="ID116" s="1757">
        <f t="shared" ca="1" si="236"/>
        <v>0</v>
      </c>
      <c r="IE116" s="1757">
        <f t="shared" ca="1" si="236"/>
        <v>0</v>
      </c>
      <c r="IF116" s="1757">
        <f t="shared" ca="1" si="236"/>
        <v>0</v>
      </c>
      <c r="IG116" s="1757">
        <f t="shared" ca="1" si="236"/>
        <v>0</v>
      </c>
      <c r="IH116" s="1757">
        <f t="shared" ca="1" si="237"/>
        <v>0</v>
      </c>
      <c r="II116" s="1757">
        <f t="shared" ca="1" si="237"/>
        <v>0</v>
      </c>
      <c r="IJ116" s="1757">
        <f t="shared" ca="1" si="237"/>
        <v>0</v>
      </c>
      <c r="IK116" s="1757">
        <f t="shared" ca="1" si="237"/>
        <v>0</v>
      </c>
      <c r="IL116" s="1757">
        <f t="shared" ca="1" si="237"/>
        <v>0</v>
      </c>
      <c r="IM116" s="1757">
        <f t="shared" ca="1" si="237"/>
        <v>0</v>
      </c>
      <c r="IN116" s="1757">
        <f t="shared" ca="1" si="237"/>
        <v>0</v>
      </c>
      <c r="IO116" s="1757">
        <f t="shared" ca="1" si="237"/>
        <v>0</v>
      </c>
      <c r="IP116" s="1757">
        <f t="shared" ca="1" si="237"/>
        <v>0</v>
      </c>
      <c r="IQ116" s="1757">
        <f t="shared" ca="1" si="237"/>
        <v>0</v>
      </c>
      <c r="IR116" s="1757">
        <f t="shared" ca="1" si="238"/>
        <v>0</v>
      </c>
      <c r="IS116" s="1757">
        <f t="shared" ca="1" si="238"/>
        <v>0</v>
      </c>
      <c r="IT116" s="1757">
        <f t="shared" ca="1" si="238"/>
        <v>0</v>
      </c>
      <c r="IU116" s="1757">
        <f t="shared" ca="1" si="238"/>
        <v>0</v>
      </c>
      <c r="IV116" s="1757">
        <f t="shared" ca="1" si="238"/>
        <v>0</v>
      </c>
      <c r="IW116" s="1757">
        <f t="shared" ca="1" si="238"/>
        <v>0</v>
      </c>
      <c r="IX116" s="1757">
        <f t="shared" ca="1" si="238"/>
        <v>0</v>
      </c>
      <c r="IY116" s="1757">
        <f t="shared" ca="1" si="238"/>
        <v>0</v>
      </c>
      <c r="IZ116" s="1757">
        <f t="shared" ca="1" si="238"/>
        <v>0</v>
      </c>
      <c r="JA116" s="1757">
        <f t="shared" ca="1" si="238"/>
        <v>0</v>
      </c>
      <c r="JB116" s="1757">
        <f t="shared" ca="1" si="239"/>
        <v>0</v>
      </c>
      <c r="JC116" s="1757">
        <f t="shared" ca="1" si="239"/>
        <v>0</v>
      </c>
      <c r="JD116" s="1757">
        <f t="shared" ca="1" si="239"/>
        <v>0</v>
      </c>
      <c r="JE116" s="1757">
        <f t="shared" ca="1" si="239"/>
        <v>0</v>
      </c>
      <c r="JF116" s="1757">
        <f t="shared" ca="1" si="239"/>
        <v>0</v>
      </c>
      <c r="JG116" s="1757">
        <f t="shared" ca="1" si="239"/>
        <v>0</v>
      </c>
      <c r="JH116" s="1757">
        <f t="shared" ca="1" si="239"/>
        <v>0</v>
      </c>
      <c r="JI116" s="1757">
        <f t="shared" ca="1" si="239"/>
        <v>0</v>
      </c>
      <c r="JJ116" s="1757">
        <f t="shared" ca="1" si="239"/>
        <v>0</v>
      </c>
      <c r="JK116" s="1757">
        <f t="shared" ca="1" si="239"/>
        <v>0</v>
      </c>
      <c r="JL116" s="1757">
        <f t="shared" ca="1" si="240"/>
        <v>0</v>
      </c>
      <c r="JM116" s="1757">
        <f t="shared" ca="1" si="240"/>
        <v>0</v>
      </c>
      <c r="JN116" s="1757">
        <f t="shared" ca="1" si="240"/>
        <v>0</v>
      </c>
      <c r="JO116" s="1757">
        <f t="shared" ca="1" si="240"/>
        <v>0</v>
      </c>
      <c r="JP116" s="1757">
        <f t="shared" ca="1" si="240"/>
        <v>0</v>
      </c>
      <c r="JQ116" s="1757">
        <f t="shared" ca="1" si="240"/>
        <v>0</v>
      </c>
      <c r="JR116" s="1757">
        <f t="shared" ca="1" si="240"/>
        <v>0</v>
      </c>
      <c r="JS116" s="1757">
        <f t="shared" ca="1" si="240"/>
        <v>0</v>
      </c>
      <c r="JT116" s="1757">
        <f t="shared" ca="1" si="240"/>
        <v>0</v>
      </c>
      <c r="JU116" s="1757">
        <f t="shared" ca="1" si="240"/>
        <v>0</v>
      </c>
      <c r="JV116" s="1757">
        <f t="shared" ca="1" si="241"/>
        <v>0</v>
      </c>
      <c r="JW116" s="1757">
        <f t="shared" ca="1" si="241"/>
        <v>0</v>
      </c>
      <c r="JX116" s="1757">
        <f t="shared" ca="1" si="241"/>
        <v>0</v>
      </c>
      <c r="JY116" s="1757">
        <f t="shared" ca="1" si="241"/>
        <v>0</v>
      </c>
      <c r="JZ116" s="1757">
        <f t="shared" ca="1" si="241"/>
        <v>0</v>
      </c>
      <c r="KA116" s="1757">
        <f t="shared" ca="1" si="241"/>
        <v>0</v>
      </c>
      <c r="KB116" s="1757">
        <f t="shared" ca="1" si="241"/>
        <v>0</v>
      </c>
      <c r="KC116" s="1757">
        <f t="shared" ca="1" si="241"/>
        <v>0</v>
      </c>
      <c r="KD116" s="1757">
        <f t="shared" ca="1" si="241"/>
        <v>0</v>
      </c>
      <c r="KE116" s="1757">
        <f t="shared" ca="1" si="241"/>
        <v>0</v>
      </c>
      <c r="KF116" s="1757">
        <f t="shared" ca="1" si="242"/>
        <v>0</v>
      </c>
      <c r="KG116" s="1757">
        <f t="shared" ca="1" si="242"/>
        <v>0</v>
      </c>
      <c r="KH116" s="1757">
        <f t="shared" ca="1" si="242"/>
        <v>0</v>
      </c>
      <c r="KI116" s="1757">
        <f t="shared" ca="1" si="242"/>
        <v>0</v>
      </c>
      <c r="KJ116" s="1757">
        <f t="shared" ca="1" si="242"/>
        <v>0</v>
      </c>
      <c r="KK116" s="1757">
        <f t="shared" ca="1" si="242"/>
        <v>0</v>
      </c>
      <c r="KL116" s="1757">
        <f t="shared" ca="1" si="242"/>
        <v>0</v>
      </c>
      <c r="KM116" s="1757">
        <f t="shared" ca="1" si="242"/>
        <v>0</v>
      </c>
      <c r="KN116" s="1757">
        <f t="shared" ca="1" si="242"/>
        <v>0</v>
      </c>
      <c r="KO116" s="1757">
        <f t="shared" ca="1" si="242"/>
        <v>0</v>
      </c>
      <c r="KP116" s="1757">
        <f t="shared" ca="1" si="243"/>
        <v>0</v>
      </c>
      <c r="KQ116" s="1757">
        <f t="shared" ca="1" si="243"/>
        <v>0</v>
      </c>
      <c r="KR116" s="1757">
        <f t="shared" ca="1" si="243"/>
        <v>0</v>
      </c>
      <c r="KS116" s="1757">
        <f t="shared" ca="1" si="243"/>
        <v>0</v>
      </c>
      <c r="KT116" s="1757">
        <f t="shared" ca="1" si="243"/>
        <v>0</v>
      </c>
      <c r="KU116" s="1757">
        <f t="shared" ca="1" si="243"/>
        <v>0</v>
      </c>
      <c r="KV116" s="1757">
        <f t="shared" ca="1" si="243"/>
        <v>0</v>
      </c>
      <c r="KW116" s="1757">
        <f t="shared" ca="1" si="243"/>
        <v>0</v>
      </c>
      <c r="KX116" s="1757">
        <f t="shared" ca="1" si="243"/>
        <v>0</v>
      </c>
      <c r="KY116" s="1757">
        <f t="shared" ca="1" si="243"/>
        <v>0</v>
      </c>
      <c r="KZ116" s="1757">
        <f t="shared" ca="1" si="244"/>
        <v>0</v>
      </c>
      <c r="LA116" s="1757">
        <f t="shared" ca="1" si="244"/>
        <v>0</v>
      </c>
      <c r="LB116" s="1757">
        <f t="shared" ca="1" si="244"/>
        <v>0</v>
      </c>
      <c r="LC116" s="1757">
        <f t="shared" ca="1" si="244"/>
        <v>0</v>
      </c>
      <c r="LD116" s="1757">
        <f t="shared" ca="1" si="244"/>
        <v>0</v>
      </c>
      <c r="LE116" s="1757">
        <f t="shared" ca="1" si="244"/>
        <v>0</v>
      </c>
      <c r="LF116" s="1757">
        <f t="shared" ca="1" si="244"/>
        <v>0</v>
      </c>
      <c r="LG116" s="1757">
        <f t="shared" ca="1" si="244"/>
        <v>0</v>
      </c>
      <c r="LH116" s="1757">
        <f t="shared" ca="1" si="244"/>
        <v>0</v>
      </c>
      <c r="LI116" s="1757">
        <f t="shared" ca="1" si="244"/>
        <v>0</v>
      </c>
      <c r="LJ116" s="1757">
        <f t="shared" ca="1" si="245"/>
        <v>0</v>
      </c>
      <c r="LK116" s="1757">
        <f t="shared" ca="1" si="245"/>
        <v>0</v>
      </c>
      <c r="LL116" s="1757">
        <f t="shared" ca="1" si="245"/>
        <v>0</v>
      </c>
      <c r="LM116" s="1757">
        <f t="shared" ca="1" si="245"/>
        <v>0</v>
      </c>
      <c r="LN116" s="1757">
        <f t="shared" ca="1" si="245"/>
        <v>0</v>
      </c>
      <c r="LO116" s="1757">
        <f t="shared" ca="1" si="245"/>
        <v>0</v>
      </c>
      <c r="LP116" s="1758">
        <f t="shared" ca="1" si="245"/>
        <v>0</v>
      </c>
      <c r="LQ116" s="604"/>
    </row>
    <row r="117" spans="1:329" ht="12.75" customHeight="1" x14ac:dyDescent="0.3">
      <c r="A117" s="279"/>
      <c r="B117" s="41"/>
      <c r="C117" s="82"/>
      <c r="D117" s="41"/>
      <c r="E117" s="9"/>
      <c r="F117" s="9"/>
      <c r="G117" s="9"/>
      <c r="H117" s="10"/>
      <c r="I117" s="10"/>
      <c r="J117" s="10"/>
      <c r="K117" s="10"/>
      <c r="L117" s="10"/>
      <c r="M117" s="10"/>
      <c r="N117" s="9"/>
      <c r="O117" s="9"/>
      <c r="P117" s="44"/>
      <c r="Q117" s="44"/>
      <c r="R117" s="9"/>
      <c r="S117" s="9"/>
      <c r="T117" s="9"/>
      <c r="U117" s="9"/>
      <c r="V117" s="9"/>
      <c r="W117" s="9"/>
      <c r="X117" s="9"/>
      <c r="Y117" s="9"/>
      <c r="Z117" s="9"/>
      <c r="AA117" s="9"/>
      <c r="AB117" s="9"/>
      <c r="AC117" s="9"/>
      <c r="AD117" s="9"/>
      <c r="AE117" s="9"/>
      <c r="AF117" s="9"/>
      <c r="AG117" s="9"/>
      <c r="AH117" s="2514"/>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113"/>
      <c r="DI117" s="113"/>
      <c r="DJ117" s="113"/>
      <c r="DK117" s="118"/>
      <c r="DL117" s="118"/>
      <c r="DM117" s="118"/>
      <c r="DN117" s="118"/>
      <c r="DO117" s="118"/>
      <c r="DP117" s="118"/>
      <c r="DQ117" s="118"/>
      <c r="DR117" s="118"/>
      <c r="DS117" s="118"/>
      <c r="DT117" s="118"/>
      <c r="DU117" s="118"/>
      <c r="DV117" s="118"/>
      <c r="DW117" s="118"/>
      <c r="DX117" s="118"/>
      <c r="DY117" s="118"/>
      <c r="DZ117" s="118"/>
      <c r="EA117" s="118"/>
      <c r="EB117" s="118"/>
      <c r="EC117" s="118"/>
      <c r="ED117" s="118"/>
      <c r="EE117" s="118"/>
      <c r="EF117" s="118"/>
      <c r="EG117" s="118"/>
      <c r="EH117" s="118"/>
      <c r="EI117" s="118"/>
      <c r="EJ117" s="118"/>
      <c r="EK117" s="118"/>
      <c r="EL117" s="118"/>
      <c r="EM117" s="118"/>
      <c r="EN117" s="118"/>
      <c r="EO117" s="118"/>
      <c r="EP117" s="118"/>
      <c r="EQ117" s="118"/>
      <c r="ER117" s="118"/>
      <c r="ES117" s="118"/>
      <c r="ET117" s="118"/>
      <c r="EU117" s="118"/>
      <c r="EV117" s="118"/>
      <c r="EW117" s="118"/>
      <c r="EX117" s="118"/>
      <c r="EY117" s="118"/>
      <c r="EZ117" s="118"/>
      <c r="FA117" s="118"/>
      <c r="FB117" s="118"/>
      <c r="FC117" s="118"/>
      <c r="FD117" s="118"/>
      <c r="FE117" s="118"/>
      <c r="FF117" s="118"/>
      <c r="FG117" s="118"/>
      <c r="FH117" s="118"/>
      <c r="FI117" s="180"/>
      <c r="FJ117" s="132"/>
      <c r="FK117" s="132"/>
      <c r="FL117" s="181">
        <f t="shared" ca="1" si="197"/>
        <v>24</v>
      </c>
      <c r="FM117" s="1340">
        <f t="shared" ca="1" si="198"/>
        <v>0</v>
      </c>
      <c r="FN117" s="1341">
        <f t="shared" ca="1" si="199"/>
        <v>0</v>
      </c>
      <c r="FO117" s="1342">
        <f t="shared" ca="1" si="200"/>
        <v>23</v>
      </c>
      <c r="FP117" s="1343">
        <f t="shared" ca="1" si="201"/>
        <v>0</v>
      </c>
      <c r="FQ117" s="1344">
        <f t="shared" si="202"/>
        <v>40</v>
      </c>
      <c r="FR117" s="1344">
        <f t="shared" si="203"/>
        <v>50</v>
      </c>
      <c r="FS117" s="1345">
        <f t="shared" si="204"/>
        <v>24</v>
      </c>
      <c r="FT117" s="1345"/>
      <c r="FU117" s="1346">
        <f t="shared" ca="1" si="219"/>
        <v>0</v>
      </c>
      <c r="FV117" s="1346"/>
      <c r="FW117" s="1346"/>
      <c r="FX117" s="1347"/>
      <c r="FY117" s="1348"/>
      <c r="FZ117" s="1348"/>
      <c r="GA117" s="1348"/>
      <c r="GB117" s="1349"/>
      <c r="GC117" s="1350"/>
      <c r="GD117" s="1348"/>
      <c r="GE117" s="1348"/>
      <c r="GF117" s="1348"/>
      <c r="GG117" s="1348"/>
      <c r="GH117" s="1348"/>
      <c r="GI117" s="1348"/>
      <c r="GJ117" s="1348"/>
      <c r="GK117" s="1348"/>
      <c r="GL117" s="1348"/>
      <c r="GM117" s="1348"/>
      <c r="GN117" s="3825">
        <f t="shared" ca="1" si="205"/>
        <v>0</v>
      </c>
      <c r="GO117" s="3825"/>
      <c r="GP117" s="3825"/>
      <c r="GQ117" s="3826"/>
      <c r="GR117" s="3675"/>
      <c r="GS117" s="3676"/>
      <c r="GT117" s="1756">
        <f t="shared" ca="1" si="233"/>
        <v>0</v>
      </c>
      <c r="GU117" s="1757">
        <f t="shared" ca="1" si="233"/>
        <v>0</v>
      </c>
      <c r="GV117" s="1757">
        <f t="shared" ca="1" si="233"/>
        <v>0</v>
      </c>
      <c r="GW117" s="1757">
        <f t="shared" ca="1" si="233"/>
        <v>0</v>
      </c>
      <c r="GX117" s="1757">
        <f t="shared" ca="1" si="233"/>
        <v>0</v>
      </c>
      <c r="GY117" s="1757">
        <f t="shared" ca="1" si="233"/>
        <v>0</v>
      </c>
      <c r="GZ117" s="1757">
        <f t="shared" ca="1" si="233"/>
        <v>0</v>
      </c>
      <c r="HA117" s="1757">
        <f t="shared" ca="1" si="233"/>
        <v>0</v>
      </c>
      <c r="HB117" s="1757">
        <f t="shared" ca="1" si="233"/>
        <v>0</v>
      </c>
      <c r="HC117" s="1757">
        <f t="shared" ca="1" si="233"/>
        <v>0</v>
      </c>
      <c r="HD117" s="1757">
        <f t="shared" ca="1" si="234"/>
        <v>0</v>
      </c>
      <c r="HE117" s="1757">
        <f t="shared" ca="1" si="234"/>
        <v>0</v>
      </c>
      <c r="HF117" s="1757">
        <f t="shared" ca="1" si="234"/>
        <v>0</v>
      </c>
      <c r="HG117" s="1757">
        <f t="shared" ca="1" si="234"/>
        <v>0</v>
      </c>
      <c r="HH117" s="1757">
        <f t="shared" ca="1" si="234"/>
        <v>0</v>
      </c>
      <c r="HI117" s="1757">
        <f t="shared" ca="1" si="234"/>
        <v>0</v>
      </c>
      <c r="HJ117" s="1757">
        <f t="shared" ca="1" si="234"/>
        <v>0</v>
      </c>
      <c r="HK117" s="1757">
        <f t="shared" ca="1" si="234"/>
        <v>0</v>
      </c>
      <c r="HL117" s="1757">
        <f t="shared" ca="1" si="234"/>
        <v>0</v>
      </c>
      <c r="HM117" s="1757">
        <f t="shared" ca="1" si="234"/>
        <v>0</v>
      </c>
      <c r="HN117" s="1757">
        <f t="shared" ca="1" si="235"/>
        <v>0</v>
      </c>
      <c r="HO117" s="1757">
        <f t="shared" ca="1" si="235"/>
        <v>0</v>
      </c>
      <c r="HP117" s="1757">
        <f t="shared" ca="1" si="235"/>
        <v>0</v>
      </c>
      <c r="HQ117" s="1757">
        <f t="shared" ca="1" si="235"/>
        <v>0</v>
      </c>
      <c r="HR117" s="1757">
        <f t="shared" ca="1" si="235"/>
        <v>0</v>
      </c>
      <c r="HS117" s="1757">
        <f t="shared" ca="1" si="235"/>
        <v>0</v>
      </c>
      <c r="HT117" s="1757">
        <f t="shared" ca="1" si="235"/>
        <v>0</v>
      </c>
      <c r="HU117" s="1757">
        <f t="shared" ca="1" si="235"/>
        <v>0</v>
      </c>
      <c r="HV117" s="1757">
        <f t="shared" ca="1" si="235"/>
        <v>0</v>
      </c>
      <c r="HW117" s="1757">
        <f t="shared" ca="1" si="235"/>
        <v>0</v>
      </c>
      <c r="HX117" s="1757">
        <f t="shared" ca="1" si="236"/>
        <v>0</v>
      </c>
      <c r="HY117" s="1757">
        <f t="shared" ca="1" si="236"/>
        <v>0</v>
      </c>
      <c r="HZ117" s="1757">
        <f t="shared" ca="1" si="236"/>
        <v>0</v>
      </c>
      <c r="IA117" s="1757">
        <f t="shared" ca="1" si="236"/>
        <v>0</v>
      </c>
      <c r="IB117" s="1757">
        <f t="shared" ca="1" si="236"/>
        <v>0</v>
      </c>
      <c r="IC117" s="1757">
        <f t="shared" ca="1" si="236"/>
        <v>0</v>
      </c>
      <c r="ID117" s="1757">
        <f t="shared" ca="1" si="236"/>
        <v>0</v>
      </c>
      <c r="IE117" s="1757">
        <f t="shared" ca="1" si="236"/>
        <v>0</v>
      </c>
      <c r="IF117" s="1757">
        <f t="shared" ca="1" si="236"/>
        <v>0</v>
      </c>
      <c r="IG117" s="1757">
        <f t="shared" ca="1" si="236"/>
        <v>0</v>
      </c>
      <c r="IH117" s="1757">
        <f t="shared" ca="1" si="237"/>
        <v>0</v>
      </c>
      <c r="II117" s="1757">
        <f t="shared" ca="1" si="237"/>
        <v>0</v>
      </c>
      <c r="IJ117" s="1757">
        <f t="shared" ca="1" si="237"/>
        <v>0</v>
      </c>
      <c r="IK117" s="1757">
        <f t="shared" ca="1" si="237"/>
        <v>0</v>
      </c>
      <c r="IL117" s="1757">
        <f t="shared" ca="1" si="237"/>
        <v>0</v>
      </c>
      <c r="IM117" s="1757">
        <f t="shared" ca="1" si="237"/>
        <v>0</v>
      </c>
      <c r="IN117" s="1757">
        <f t="shared" ca="1" si="237"/>
        <v>0</v>
      </c>
      <c r="IO117" s="1757">
        <f t="shared" ca="1" si="237"/>
        <v>0</v>
      </c>
      <c r="IP117" s="1757">
        <f t="shared" ca="1" si="237"/>
        <v>0</v>
      </c>
      <c r="IQ117" s="1757">
        <f t="shared" ca="1" si="237"/>
        <v>0</v>
      </c>
      <c r="IR117" s="1757">
        <f t="shared" ca="1" si="238"/>
        <v>0</v>
      </c>
      <c r="IS117" s="1757">
        <f t="shared" ca="1" si="238"/>
        <v>0</v>
      </c>
      <c r="IT117" s="1757">
        <f t="shared" ca="1" si="238"/>
        <v>0</v>
      </c>
      <c r="IU117" s="1757">
        <f t="shared" ca="1" si="238"/>
        <v>0</v>
      </c>
      <c r="IV117" s="1757">
        <f t="shared" ca="1" si="238"/>
        <v>0</v>
      </c>
      <c r="IW117" s="1757">
        <f t="shared" ca="1" si="238"/>
        <v>0</v>
      </c>
      <c r="IX117" s="1757">
        <f t="shared" ca="1" si="238"/>
        <v>0</v>
      </c>
      <c r="IY117" s="1757">
        <f t="shared" ca="1" si="238"/>
        <v>0</v>
      </c>
      <c r="IZ117" s="1757">
        <f t="shared" ca="1" si="238"/>
        <v>0</v>
      </c>
      <c r="JA117" s="1757">
        <f t="shared" ca="1" si="238"/>
        <v>0</v>
      </c>
      <c r="JB117" s="1757">
        <f t="shared" ca="1" si="239"/>
        <v>0</v>
      </c>
      <c r="JC117" s="1757">
        <f t="shared" ca="1" si="239"/>
        <v>0</v>
      </c>
      <c r="JD117" s="1757">
        <f t="shared" ca="1" si="239"/>
        <v>0</v>
      </c>
      <c r="JE117" s="1757">
        <f t="shared" ca="1" si="239"/>
        <v>0</v>
      </c>
      <c r="JF117" s="1757">
        <f t="shared" ca="1" si="239"/>
        <v>0</v>
      </c>
      <c r="JG117" s="1757">
        <f t="shared" ca="1" si="239"/>
        <v>0</v>
      </c>
      <c r="JH117" s="1757">
        <f t="shared" ca="1" si="239"/>
        <v>0</v>
      </c>
      <c r="JI117" s="1757">
        <f t="shared" ca="1" si="239"/>
        <v>0</v>
      </c>
      <c r="JJ117" s="1757">
        <f t="shared" ca="1" si="239"/>
        <v>0</v>
      </c>
      <c r="JK117" s="1757">
        <f t="shared" ca="1" si="239"/>
        <v>0</v>
      </c>
      <c r="JL117" s="1757">
        <f t="shared" ca="1" si="240"/>
        <v>0</v>
      </c>
      <c r="JM117" s="1757">
        <f t="shared" ca="1" si="240"/>
        <v>0</v>
      </c>
      <c r="JN117" s="1757">
        <f t="shared" ca="1" si="240"/>
        <v>0</v>
      </c>
      <c r="JO117" s="1757">
        <f t="shared" ca="1" si="240"/>
        <v>0</v>
      </c>
      <c r="JP117" s="1757">
        <f t="shared" ca="1" si="240"/>
        <v>0</v>
      </c>
      <c r="JQ117" s="1757">
        <f t="shared" ca="1" si="240"/>
        <v>0</v>
      </c>
      <c r="JR117" s="1757">
        <f t="shared" ca="1" si="240"/>
        <v>0</v>
      </c>
      <c r="JS117" s="1757">
        <f t="shared" ca="1" si="240"/>
        <v>0</v>
      </c>
      <c r="JT117" s="1757">
        <f t="shared" ca="1" si="240"/>
        <v>0</v>
      </c>
      <c r="JU117" s="1757">
        <f t="shared" ca="1" si="240"/>
        <v>0</v>
      </c>
      <c r="JV117" s="1757">
        <f t="shared" ca="1" si="241"/>
        <v>0</v>
      </c>
      <c r="JW117" s="1757">
        <f t="shared" ca="1" si="241"/>
        <v>0</v>
      </c>
      <c r="JX117" s="1757">
        <f t="shared" ca="1" si="241"/>
        <v>0</v>
      </c>
      <c r="JY117" s="1757">
        <f t="shared" ca="1" si="241"/>
        <v>0</v>
      </c>
      <c r="JZ117" s="1757">
        <f t="shared" ca="1" si="241"/>
        <v>0</v>
      </c>
      <c r="KA117" s="1757">
        <f t="shared" ca="1" si="241"/>
        <v>0</v>
      </c>
      <c r="KB117" s="1757">
        <f t="shared" ca="1" si="241"/>
        <v>0</v>
      </c>
      <c r="KC117" s="1757">
        <f t="shared" ca="1" si="241"/>
        <v>0</v>
      </c>
      <c r="KD117" s="1757">
        <f t="shared" ca="1" si="241"/>
        <v>0</v>
      </c>
      <c r="KE117" s="1757">
        <f t="shared" ca="1" si="241"/>
        <v>0</v>
      </c>
      <c r="KF117" s="1757">
        <f t="shared" ca="1" si="242"/>
        <v>0</v>
      </c>
      <c r="KG117" s="1757">
        <f t="shared" ca="1" si="242"/>
        <v>0</v>
      </c>
      <c r="KH117" s="1757">
        <f t="shared" ca="1" si="242"/>
        <v>0</v>
      </c>
      <c r="KI117" s="1757">
        <f t="shared" ca="1" si="242"/>
        <v>0</v>
      </c>
      <c r="KJ117" s="1757">
        <f t="shared" ca="1" si="242"/>
        <v>0</v>
      </c>
      <c r="KK117" s="1757">
        <f t="shared" ca="1" si="242"/>
        <v>0</v>
      </c>
      <c r="KL117" s="1757">
        <f t="shared" ca="1" si="242"/>
        <v>0</v>
      </c>
      <c r="KM117" s="1757">
        <f t="shared" ca="1" si="242"/>
        <v>0</v>
      </c>
      <c r="KN117" s="1757">
        <f t="shared" ca="1" si="242"/>
        <v>0</v>
      </c>
      <c r="KO117" s="1757">
        <f t="shared" ca="1" si="242"/>
        <v>0</v>
      </c>
      <c r="KP117" s="1757">
        <f t="shared" ca="1" si="243"/>
        <v>0</v>
      </c>
      <c r="KQ117" s="1757">
        <f t="shared" ca="1" si="243"/>
        <v>0</v>
      </c>
      <c r="KR117" s="1757">
        <f t="shared" ca="1" si="243"/>
        <v>0</v>
      </c>
      <c r="KS117" s="1757">
        <f t="shared" ca="1" si="243"/>
        <v>0</v>
      </c>
      <c r="KT117" s="1757">
        <f t="shared" ca="1" si="243"/>
        <v>0</v>
      </c>
      <c r="KU117" s="1757">
        <f t="shared" ca="1" si="243"/>
        <v>0</v>
      </c>
      <c r="KV117" s="1757">
        <f t="shared" ca="1" si="243"/>
        <v>0</v>
      </c>
      <c r="KW117" s="1757">
        <f t="shared" ca="1" si="243"/>
        <v>0</v>
      </c>
      <c r="KX117" s="1757">
        <f t="shared" ca="1" si="243"/>
        <v>0</v>
      </c>
      <c r="KY117" s="1757">
        <f t="shared" ca="1" si="243"/>
        <v>0</v>
      </c>
      <c r="KZ117" s="1757">
        <f t="shared" ca="1" si="244"/>
        <v>0</v>
      </c>
      <c r="LA117" s="1757">
        <f t="shared" ca="1" si="244"/>
        <v>0</v>
      </c>
      <c r="LB117" s="1757">
        <f t="shared" ca="1" si="244"/>
        <v>0</v>
      </c>
      <c r="LC117" s="1757">
        <f t="shared" ca="1" si="244"/>
        <v>0</v>
      </c>
      <c r="LD117" s="1757">
        <f t="shared" ca="1" si="244"/>
        <v>0</v>
      </c>
      <c r="LE117" s="1757">
        <f t="shared" ca="1" si="244"/>
        <v>0</v>
      </c>
      <c r="LF117" s="1757">
        <f t="shared" ca="1" si="244"/>
        <v>0</v>
      </c>
      <c r="LG117" s="1757">
        <f t="shared" ca="1" si="244"/>
        <v>0</v>
      </c>
      <c r="LH117" s="1757">
        <f t="shared" ca="1" si="244"/>
        <v>0</v>
      </c>
      <c r="LI117" s="1757">
        <f t="shared" ca="1" si="244"/>
        <v>0</v>
      </c>
      <c r="LJ117" s="1757">
        <f t="shared" ca="1" si="245"/>
        <v>0</v>
      </c>
      <c r="LK117" s="1757">
        <f t="shared" ca="1" si="245"/>
        <v>0</v>
      </c>
      <c r="LL117" s="1757">
        <f t="shared" ca="1" si="245"/>
        <v>0</v>
      </c>
      <c r="LM117" s="1757">
        <f t="shared" ca="1" si="245"/>
        <v>0</v>
      </c>
      <c r="LN117" s="1757">
        <f t="shared" ca="1" si="245"/>
        <v>0</v>
      </c>
      <c r="LO117" s="1757">
        <f t="shared" ca="1" si="245"/>
        <v>0</v>
      </c>
      <c r="LP117" s="1758">
        <f t="shared" ca="1" si="245"/>
        <v>0</v>
      </c>
      <c r="LQ117" s="604"/>
    </row>
    <row r="118" spans="1:329" ht="12.75" customHeight="1" x14ac:dyDescent="0.3">
      <c r="A118" s="279"/>
      <c r="B118" s="41"/>
      <c r="C118" s="82"/>
      <c r="D118" s="41"/>
      <c r="E118" s="9"/>
      <c r="F118" s="9"/>
      <c r="G118" s="9"/>
      <c r="H118" s="10"/>
      <c r="I118" s="10"/>
      <c r="J118" s="10"/>
      <c r="K118" s="10"/>
      <c r="L118" s="10"/>
      <c r="M118" s="10"/>
      <c r="N118" s="9"/>
      <c r="O118" s="9"/>
      <c r="P118" s="44"/>
      <c r="Q118" s="44"/>
      <c r="R118" s="9"/>
      <c r="S118" s="9"/>
      <c r="T118" s="9"/>
      <c r="U118" s="9"/>
      <c r="V118" s="9"/>
      <c r="W118" s="9"/>
      <c r="X118" s="9"/>
      <c r="Y118" s="9"/>
      <c r="Z118" s="9"/>
      <c r="AA118" s="9"/>
      <c r="AB118" s="9"/>
      <c r="AC118" s="9"/>
      <c r="AD118" s="9"/>
      <c r="AE118" s="9"/>
      <c r="AF118" s="9"/>
      <c r="AG118" s="9"/>
      <c r="AH118" s="2514"/>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113"/>
      <c r="DI118" s="113"/>
      <c r="DJ118" s="113"/>
      <c r="DK118" s="118"/>
      <c r="DL118" s="118"/>
      <c r="DM118" s="118"/>
      <c r="DN118" s="118"/>
      <c r="DO118" s="118"/>
      <c r="DP118" s="118"/>
      <c r="DQ118" s="118"/>
      <c r="DR118" s="118"/>
      <c r="DS118" s="118"/>
      <c r="DT118" s="118"/>
      <c r="DU118" s="118"/>
      <c r="DV118" s="118"/>
      <c r="DW118" s="118"/>
      <c r="DX118" s="118"/>
      <c r="DY118" s="118"/>
      <c r="DZ118" s="118"/>
      <c r="EA118" s="118"/>
      <c r="EB118" s="118"/>
      <c r="EC118" s="118"/>
      <c r="ED118" s="118"/>
      <c r="EE118" s="118"/>
      <c r="EF118" s="118"/>
      <c r="EG118" s="118"/>
      <c r="EH118" s="118"/>
      <c r="EI118" s="118"/>
      <c r="EJ118" s="118"/>
      <c r="EK118" s="118"/>
      <c r="EL118" s="118"/>
      <c r="EM118" s="118"/>
      <c r="EN118" s="118"/>
      <c r="EO118" s="118"/>
      <c r="EP118" s="118"/>
      <c r="EQ118" s="118"/>
      <c r="ER118" s="118"/>
      <c r="ES118" s="118"/>
      <c r="ET118" s="118"/>
      <c r="EU118" s="118"/>
      <c r="EV118" s="118"/>
      <c r="EW118" s="118"/>
      <c r="EX118" s="118"/>
      <c r="EY118" s="118"/>
      <c r="EZ118" s="118"/>
      <c r="FA118" s="118"/>
      <c r="FB118" s="118"/>
      <c r="FC118" s="118"/>
      <c r="FD118" s="118"/>
      <c r="FE118" s="118"/>
      <c r="FF118" s="118"/>
      <c r="FG118" s="118"/>
      <c r="FH118" s="118"/>
      <c r="FI118" s="180"/>
      <c r="FJ118" s="132"/>
      <c r="FK118" s="132"/>
      <c r="FL118" s="181">
        <f t="shared" ca="1" si="197"/>
        <v>23</v>
      </c>
      <c r="FM118" s="1340">
        <f t="shared" ca="1" si="198"/>
        <v>0</v>
      </c>
      <c r="FN118" s="1341">
        <f t="shared" ca="1" si="199"/>
        <v>0</v>
      </c>
      <c r="FO118" s="1342">
        <f t="shared" ca="1" si="200"/>
        <v>22</v>
      </c>
      <c r="FP118" s="1343">
        <f t="shared" ca="1" si="201"/>
        <v>0</v>
      </c>
      <c r="FQ118" s="1344">
        <f t="shared" si="202"/>
        <v>40</v>
      </c>
      <c r="FR118" s="1344">
        <f t="shared" si="203"/>
        <v>50</v>
      </c>
      <c r="FS118" s="1345">
        <f t="shared" si="204"/>
        <v>23</v>
      </c>
      <c r="FT118" s="1345"/>
      <c r="FU118" s="1346">
        <f t="shared" ca="1" si="219"/>
        <v>0</v>
      </c>
      <c r="FV118" s="1346"/>
      <c r="FW118" s="1346"/>
      <c r="FX118" s="1347"/>
      <c r="FY118" s="1348"/>
      <c r="FZ118" s="1348"/>
      <c r="GA118" s="1348"/>
      <c r="GB118" s="1349"/>
      <c r="GC118" s="1350"/>
      <c r="GD118" s="1348"/>
      <c r="GE118" s="1348"/>
      <c r="GF118" s="1348"/>
      <c r="GG118" s="1348"/>
      <c r="GH118" s="1348"/>
      <c r="GI118" s="1348"/>
      <c r="GJ118" s="1348"/>
      <c r="GK118" s="1348"/>
      <c r="GL118" s="1348"/>
      <c r="GM118" s="1348"/>
      <c r="GN118" s="3825">
        <f t="shared" ca="1" si="205"/>
        <v>0</v>
      </c>
      <c r="GO118" s="3825"/>
      <c r="GP118" s="3825"/>
      <c r="GQ118" s="3826"/>
      <c r="GR118" s="3675"/>
      <c r="GS118" s="3676"/>
      <c r="GT118" s="1756">
        <f t="shared" ca="1" si="233"/>
        <v>0</v>
      </c>
      <c r="GU118" s="1757">
        <f t="shared" ca="1" si="233"/>
        <v>0</v>
      </c>
      <c r="GV118" s="1757">
        <f t="shared" ca="1" si="233"/>
        <v>0</v>
      </c>
      <c r="GW118" s="1757">
        <f t="shared" ca="1" si="233"/>
        <v>0</v>
      </c>
      <c r="GX118" s="1757">
        <f t="shared" ca="1" si="233"/>
        <v>0</v>
      </c>
      <c r="GY118" s="1757">
        <f t="shared" ca="1" si="233"/>
        <v>0</v>
      </c>
      <c r="GZ118" s="1757">
        <f t="shared" ca="1" si="233"/>
        <v>0</v>
      </c>
      <c r="HA118" s="1757">
        <f t="shared" ca="1" si="233"/>
        <v>0</v>
      </c>
      <c r="HB118" s="1757">
        <f t="shared" ca="1" si="233"/>
        <v>0</v>
      </c>
      <c r="HC118" s="1757">
        <f t="shared" ca="1" si="233"/>
        <v>0</v>
      </c>
      <c r="HD118" s="1757">
        <f t="shared" ca="1" si="234"/>
        <v>0</v>
      </c>
      <c r="HE118" s="1757">
        <f t="shared" ca="1" si="234"/>
        <v>0</v>
      </c>
      <c r="HF118" s="1757">
        <f t="shared" ca="1" si="234"/>
        <v>0</v>
      </c>
      <c r="HG118" s="1757">
        <f t="shared" ca="1" si="234"/>
        <v>0</v>
      </c>
      <c r="HH118" s="1757">
        <f t="shared" ca="1" si="234"/>
        <v>0</v>
      </c>
      <c r="HI118" s="1757">
        <f t="shared" ca="1" si="234"/>
        <v>0</v>
      </c>
      <c r="HJ118" s="1757">
        <f t="shared" ca="1" si="234"/>
        <v>0</v>
      </c>
      <c r="HK118" s="1757">
        <f t="shared" ca="1" si="234"/>
        <v>0</v>
      </c>
      <c r="HL118" s="1757">
        <f t="shared" ca="1" si="234"/>
        <v>0</v>
      </c>
      <c r="HM118" s="1757">
        <f t="shared" ca="1" si="234"/>
        <v>0</v>
      </c>
      <c r="HN118" s="1757">
        <f t="shared" ca="1" si="235"/>
        <v>0</v>
      </c>
      <c r="HO118" s="1757">
        <f t="shared" ca="1" si="235"/>
        <v>0</v>
      </c>
      <c r="HP118" s="1757">
        <f t="shared" ca="1" si="235"/>
        <v>0</v>
      </c>
      <c r="HQ118" s="1757">
        <f t="shared" ca="1" si="235"/>
        <v>0</v>
      </c>
      <c r="HR118" s="1757">
        <f t="shared" ca="1" si="235"/>
        <v>0</v>
      </c>
      <c r="HS118" s="1757">
        <f t="shared" ca="1" si="235"/>
        <v>0</v>
      </c>
      <c r="HT118" s="1757">
        <f t="shared" ca="1" si="235"/>
        <v>0</v>
      </c>
      <c r="HU118" s="1757">
        <f t="shared" ca="1" si="235"/>
        <v>0</v>
      </c>
      <c r="HV118" s="1757">
        <f t="shared" ca="1" si="235"/>
        <v>0</v>
      </c>
      <c r="HW118" s="1757">
        <f t="shared" ca="1" si="235"/>
        <v>0</v>
      </c>
      <c r="HX118" s="1757">
        <f t="shared" ca="1" si="236"/>
        <v>0</v>
      </c>
      <c r="HY118" s="1757">
        <f t="shared" ca="1" si="236"/>
        <v>0</v>
      </c>
      <c r="HZ118" s="1757">
        <f t="shared" ca="1" si="236"/>
        <v>0</v>
      </c>
      <c r="IA118" s="1757">
        <f t="shared" ca="1" si="236"/>
        <v>0</v>
      </c>
      <c r="IB118" s="1757">
        <f t="shared" ca="1" si="236"/>
        <v>0</v>
      </c>
      <c r="IC118" s="1757">
        <f t="shared" ca="1" si="236"/>
        <v>0</v>
      </c>
      <c r="ID118" s="1757">
        <f t="shared" ca="1" si="236"/>
        <v>0</v>
      </c>
      <c r="IE118" s="1757">
        <f t="shared" ca="1" si="236"/>
        <v>0</v>
      </c>
      <c r="IF118" s="1757">
        <f t="shared" ca="1" si="236"/>
        <v>0</v>
      </c>
      <c r="IG118" s="1757">
        <f t="shared" ca="1" si="236"/>
        <v>0</v>
      </c>
      <c r="IH118" s="1757">
        <f t="shared" ca="1" si="237"/>
        <v>0</v>
      </c>
      <c r="II118" s="1757">
        <f t="shared" ca="1" si="237"/>
        <v>0</v>
      </c>
      <c r="IJ118" s="1757">
        <f t="shared" ca="1" si="237"/>
        <v>0</v>
      </c>
      <c r="IK118" s="1757">
        <f t="shared" ca="1" si="237"/>
        <v>0</v>
      </c>
      <c r="IL118" s="1757">
        <f t="shared" ca="1" si="237"/>
        <v>0</v>
      </c>
      <c r="IM118" s="1757">
        <f t="shared" ca="1" si="237"/>
        <v>0</v>
      </c>
      <c r="IN118" s="1757">
        <f t="shared" ca="1" si="237"/>
        <v>0</v>
      </c>
      <c r="IO118" s="1757">
        <f t="shared" ca="1" si="237"/>
        <v>0</v>
      </c>
      <c r="IP118" s="1757">
        <f t="shared" ca="1" si="237"/>
        <v>0</v>
      </c>
      <c r="IQ118" s="1757">
        <f t="shared" ca="1" si="237"/>
        <v>0</v>
      </c>
      <c r="IR118" s="1757">
        <f t="shared" ca="1" si="238"/>
        <v>0</v>
      </c>
      <c r="IS118" s="1757">
        <f t="shared" ca="1" si="238"/>
        <v>0</v>
      </c>
      <c r="IT118" s="1757">
        <f t="shared" ca="1" si="238"/>
        <v>0</v>
      </c>
      <c r="IU118" s="1757">
        <f t="shared" ca="1" si="238"/>
        <v>0</v>
      </c>
      <c r="IV118" s="1757">
        <f t="shared" ca="1" si="238"/>
        <v>0</v>
      </c>
      <c r="IW118" s="1757">
        <f t="shared" ca="1" si="238"/>
        <v>0</v>
      </c>
      <c r="IX118" s="1757">
        <f t="shared" ca="1" si="238"/>
        <v>0</v>
      </c>
      <c r="IY118" s="1757">
        <f t="shared" ca="1" si="238"/>
        <v>0</v>
      </c>
      <c r="IZ118" s="1757">
        <f t="shared" ca="1" si="238"/>
        <v>0</v>
      </c>
      <c r="JA118" s="1757">
        <f t="shared" ca="1" si="238"/>
        <v>0</v>
      </c>
      <c r="JB118" s="1757">
        <f t="shared" ca="1" si="239"/>
        <v>0</v>
      </c>
      <c r="JC118" s="1757">
        <f t="shared" ca="1" si="239"/>
        <v>0</v>
      </c>
      <c r="JD118" s="1757">
        <f t="shared" ca="1" si="239"/>
        <v>0</v>
      </c>
      <c r="JE118" s="1757">
        <f t="shared" ca="1" si="239"/>
        <v>0</v>
      </c>
      <c r="JF118" s="1757">
        <f t="shared" ca="1" si="239"/>
        <v>0</v>
      </c>
      <c r="JG118" s="1757">
        <f t="shared" ca="1" si="239"/>
        <v>0</v>
      </c>
      <c r="JH118" s="1757">
        <f t="shared" ca="1" si="239"/>
        <v>0</v>
      </c>
      <c r="JI118" s="1757">
        <f t="shared" ca="1" si="239"/>
        <v>0</v>
      </c>
      <c r="JJ118" s="1757">
        <f t="shared" ca="1" si="239"/>
        <v>0</v>
      </c>
      <c r="JK118" s="1757">
        <f t="shared" ca="1" si="239"/>
        <v>0</v>
      </c>
      <c r="JL118" s="1757">
        <f t="shared" ca="1" si="240"/>
        <v>0</v>
      </c>
      <c r="JM118" s="1757">
        <f t="shared" ca="1" si="240"/>
        <v>0</v>
      </c>
      <c r="JN118" s="1757">
        <f t="shared" ca="1" si="240"/>
        <v>0</v>
      </c>
      <c r="JO118" s="1757">
        <f t="shared" ca="1" si="240"/>
        <v>0</v>
      </c>
      <c r="JP118" s="1757">
        <f t="shared" ca="1" si="240"/>
        <v>0</v>
      </c>
      <c r="JQ118" s="1757">
        <f t="shared" ca="1" si="240"/>
        <v>0</v>
      </c>
      <c r="JR118" s="1757">
        <f t="shared" ca="1" si="240"/>
        <v>0</v>
      </c>
      <c r="JS118" s="1757">
        <f t="shared" ca="1" si="240"/>
        <v>0</v>
      </c>
      <c r="JT118" s="1757">
        <f t="shared" ca="1" si="240"/>
        <v>0</v>
      </c>
      <c r="JU118" s="1757">
        <f t="shared" ca="1" si="240"/>
        <v>0</v>
      </c>
      <c r="JV118" s="1757">
        <f t="shared" ca="1" si="241"/>
        <v>0</v>
      </c>
      <c r="JW118" s="1757">
        <f t="shared" ca="1" si="241"/>
        <v>0</v>
      </c>
      <c r="JX118" s="1757">
        <f t="shared" ca="1" si="241"/>
        <v>0</v>
      </c>
      <c r="JY118" s="1757">
        <f t="shared" ca="1" si="241"/>
        <v>0</v>
      </c>
      <c r="JZ118" s="1757">
        <f t="shared" ca="1" si="241"/>
        <v>0</v>
      </c>
      <c r="KA118" s="1757">
        <f t="shared" ca="1" si="241"/>
        <v>0</v>
      </c>
      <c r="KB118" s="1757">
        <f t="shared" ca="1" si="241"/>
        <v>0</v>
      </c>
      <c r="KC118" s="1757">
        <f t="shared" ca="1" si="241"/>
        <v>0</v>
      </c>
      <c r="KD118" s="1757">
        <f t="shared" ca="1" si="241"/>
        <v>0</v>
      </c>
      <c r="KE118" s="1757">
        <f t="shared" ca="1" si="241"/>
        <v>0</v>
      </c>
      <c r="KF118" s="1757">
        <f t="shared" ca="1" si="242"/>
        <v>0</v>
      </c>
      <c r="KG118" s="1757">
        <f t="shared" ca="1" si="242"/>
        <v>0</v>
      </c>
      <c r="KH118" s="1757">
        <f t="shared" ca="1" si="242"/>
        <v>0</v>
      </c>
      <c r="KI118" s="1757">
        <f t="shared" ca="1" si="242"/>
        <v>0</v>
      </c>
      <c r="KJ118" s="1757">
        <f t="shared" ca="1" si="242"/>
        <v>0</v>
      </c>
      <c r="KK118" s="1757">
        <f t="shared" ca="1" si="242"/>
        <v>0</v>
      </c>
      <c r="KL118" s="1757">
        <f t="shared" ca="1" si="242"/>
        <v>0</v>
      </c>
      <c r="KM118" s="1757">
        <f t="shared" ca="1" si="242"/>
        <v>0</v>
      </c>
      <c r="KN118" s="1757">
        <f t="shared" ca="1" si="242"/>
        <v>0</v>
      </c>
      <c r="KO118" s="1757">
        <f t="shared" ca="1" si="242"/>
        <v>0</v>
      </c>
      <c r="KP118" s="1757">
        <f t="shared" ca="1" si="243"/>
        <v>0</v>
      </c>
      <c r="KQ118" s="1757">
        <f t="shared" ca="1" si="243"/>
        <v>0</v>
      </c>
      <c r="KR118" s="1757">
        <f t="shared" ca="1" si="243"/>
        <v>0</v>
      </c>
      <c r="KS118" s="1757">
        <f t="shared" ca="1" si="243"/>
        <v>0</v>
      </c>
      <c r="KT118" s="1757">
        <f t="shared" ca="1" si="243"/>
        <v>0</v>
      </c>
      <c r="KU118" s="1757">
        <f t="shared" ca="1" si="243"/>
        <v>0</v>
      </c>
      <c r="KV118" s="1757">
        <f t="shared" ca="1" si="243"/>
        <v>0</v>
      </c>
      <c r="KW118" s="1757">
        <f t="shared" ca="1" si="243"/>
        <v>0</v>
      </c>
      <c r="KX118" s="1757">
        <f t="shared" ca="1" si="243"/>
        <v>0</v>
      </c>
      <c r="KY118" s="1757">
        <f t="shared" ca="1" si="243"/>
        <v>0</v>
      </c>
      <c r="KZ118" s="1757">
        <f t="shared" ca="1" si="244"/>
        <v>0</v>
      </c>
      <c r="LA118" s="1757">
        <f t="shared" ca="1" si="244"/>
        <v>0</v>
      </c>
      <c r="LB118" s="1757">
        <f t="shared" ca="1" si="244"/>
        <v>0</v>
      </c>
      <c r="LC118" s="1757">
        <f t="shared" ca="1" si="244"/>
        <v>0</v>
      </c>
      <c r="LD118" s="1757">
        <f t="shared" ca="1" si="244"/>
        <v>0</v>
      </c>
      <c r="LE118" s="1757">
        <f t="shared" ca="1" si="244"/>
        <v>0</v>
      </c>
      <c r="LF118" s="1757">
        <f t="shared" ca="1" si="244"/>
        <v>0</v>
      </c>
      <c r="LG118" s="1757">
        <f t="shared" ca="1" si="244"/>
        <v>0</v>
      </c>
      <c r="LH118" s="1757">
        <f t="shared" ca="1" si="244"/>
        <v>0</v>
      </c>
      <c r="LI118" s="1757">
        <f t="shared" ca="1" si="244"/>
        <v>0</v>
      </c>
      <c r="LJ118" s="1757">
        <f t="shared" ca="1" si="245"/>
        <v>0</v>
      </c>
      <c r="LK118" s="1757">
        <f t="shared" ca="1" si="245"/>
        <v>0</v>
      </c>
      <c r="LL118" s="1757">
        <f t="shared" ca="1" si="245"/>
        <v>0</v>
      </c>
      <c r="LM118" s="1757">
        <f t="shared" ca="1" si="245"/>
        <v>0</v>
      </c>
      <c r="LN118" s="1757">
        <f t="shared" ca="1" si="245"/>
        <v>0</v>
      </c>
      <c r="LO118" s="1757">
        <f t="shared" ca="1" si="245"/>
        <v>0</v>
      </c>
      <c r="LP118" s="1758">
        <f t="shared" ca="1" si="245"/>
        <v>0</v>
      </c>
      <c r="LQ118" s="604"/>
    </row>
    <row r="119" spans="1:329" ht="12.75" customHeight="1" x14ac:dyDescent="0.3">
      <c r="A119" s="279"/>
      <c r="B119" s="41"/>
      <c r="C119" s="82"/>
      <c r="D119" s="41"/>
      <c r="E119" s="9"/>
      <c r="F119" s="9"/>
      <c r="G119" s="9"/>
      <c r="H119" s="10"/>
      <c r="I119" s="10"/>
      <c r="J119" s="10"/>
      <c r="K119" s="10"/>
      <c r="L119" s="10"/>
      <c r="M119" s="10"/>
      <c r="N119" s="9"/>
      <c r="O119" s="9"/>
      <c r="P119" s="44"/>
      <c r="Q119" s="44"/>
      <c r="R119" s="9"/>
      <c r="S119" s="9"/>
      <c r="T119" s="9"/>
      <c r="U119" s="9"/>
      <c r="V119" s="9"/>
      <c r="W119" s="9"/>
      <c r="X119" s="9"/>
      <c r="Y119" s="9"/>
      <c r="Z119" s="9"/>
      <c r="AA119" s="9"/>
      <c r="AB119" s="9"/>
      <c r="AC119" s="9"/>
      <c r="AD119" s="9"/>
      <c r="AE119" s="9"/>
      <c r="AF119" s="9"/>
      <c r="AG119" s="9"/>
      <c r="AH119" s="2514"/>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113"/>
      <c r="DI119" s="113"/>
      <c r="DJ119" s="113"/>
      <c r="DK119" s="118"/>
      <c r="DL119" s="118"/>
      <c r="DM119" s="118"/>
      <c r="DN119" s="118"/>
      <c r="DO119" s="118"/>
      <c r="DP119" s="118"/>
      <c r="DQ119" s="118"/>
      <c r="DR119" s="118"/>
      <c r="DS119" s="118"/>
      <c r="DT119" s="118"/>
      <c r="DU119" s="118"/>
      <c r="DV119" s="118"/>
      <c r="DW119" s="118"/>
      <c r="DX119" s="118"/>
      <c r="DY119" s="118"/>
      <c r="DZ119" s="118"/>
      <c r="EA119" s="118"/>
      <c r="EB119" s="118"/>
      <c r="EC119" s="118"/>
      <c r="ED119" s="118"/>
      <c r="EE119" s="118"/>
      <c r="EF119" s="118"/>
      <c r="EG119" s="118"/>
      <c r="EH119" s="118"/>
      <c r="EI119" s="118"/>
      <c r="EJ119" s="118"/>
      <c r="EK119" s="118"/>
      <c r="EL119" s="118"/>
      <c r="EM119" s="118"/>
      <c r="EN119" s="118"/>
      <c r="EO119" s="118"/>
      <c r="EP119" s="118"/>
      <c r="EQ119" s="118"/>
      <c r="ER119" s="118"/>
      <c r="ES119" s="118"/>
      <c r="ET119" s="118"/>
      <c r="EU119" s="118"/>
      <c r="EV119" s="118"/>
      <c r="EW119" s="118"/>
      <c r="EX119" s="118"/>
      <c r="EY119" s="118"/>
      <c r="EZ119" s="118"/>
      <c r="FA119" s="118"/>
      <c r="FB119" s="118"/>
      <c r="FC119" s="118"/>
      <c r="FD119" s="118"/>
      <c r="FE119" s="118"/>
      <c r="FF119" s="118"/>
      <c r="FG119" s="118"/>
      <c r="FH119" s="118"/>
      <c r="FI119" s="180"/>
      <c r="FJ119" s="132"/>
      <c r="FK119" s="132"/>
      <c r="FL119" s="181">
        <f t="shared" ca="1" si="197"/>
        <v>22</v>
      </c>
      <c r="FM119" s="1340">
        <f t="shared" ca="1" si="198"/>
        <v>0</v>
      </c>
      <c r="FN119" s="1341">
        <f t="shared" ca="1" si="199"/>
        <v>0</v>
      </c>
      <c r="FO119" s="1342">
        <f t="shared" ca="1" si="200"/>
        <v>21</v>
      </c>
      <c r="FP119" s="1343">
        <f t="shared" ca="1" si="201"/>
        <v>0</v>
      </c>
      <c r="FQ119" s="1344">
        <f t="shared" si="202"/>
        <v>40</v>
      </c>
      <c r="FR119" s="1344">
        <f t="shared" si="203"/>
        <v>50</v>
      </c>
      <c r="FS119" s="1345">
        <f t="shared" si="204"/>
        <v>22</v>
      </c>
      <c r="FT119" s="1345"/>
      <c r="FU119" s="1346">
        <f t="shared" ca="1" si="219"/>
        <v>0</v>
      </c>
      <c r="FV119" s="1346"/>
      <c r="FW119" s="1346"/>
      <c r="FX119" s="1347"/>
      <c r="FY119" s="1348"/>
      <c r="FZ119" s="1348"/>
      <c r="GA119" s="1348"/>
      <c r="GB119" s="1349"/>
      <c r="GC119" s="1350"/>
      <c r="GD119" s="1348"/>
      <c r="GE119" s="1348"/>
      <c r="GF119" s="1348"/>
      <c r="GG119" s="1348"/>
      <c r="GH119" s="1348"/>
      <c r="GI119" s="1348"/>
      <c r="GJ119" s="1348"/>
      <c r="GK119" s="1348"/>
      <c r="GL119" s="1348"/>
      <c r="GM119" s="1348"/>
      <c r="GN119" s="3825">
        <f t="shared" ca="1" si="205"/>
        <v>0</v>
      </c>
      <c r="GO119" s="3825"/>
      <c r="GP119" s="3825"/>
      <c r="GQ119" s="3826"/>
      <c r="GR119" s="3675"/>
      <c r="GS119" s="3676"/>
      <c r="GT119" s="1756">
        <f t="shared" ca="1" si="233"/>
        <v>0</v>
      </c>
      <c r="GU119" s="1757">
        <f t="shared" ca="1" si="233"/>
        <v>0</v>
      </c>
      <c r="GV119" s="1757">
        <f t="shared" ca="1" si="233"/>
        <v>0</v>
      </c>
      <c r="GW119" s="1757">
        <f t="shared" ca="1" si="233"/>
        <v>0</v>
      </c>
      <c r="GX119" s="1757">
        <f t="shared" ca="1" si="233"/>
        <v>0</v>
      </c>
      <c r="GY119" s="1757">
        <f t="shared" ca="1" si="233"/>
        <v>0</v>
      </c>
      <c r="GZ119" s="1757">
        <f t="shared" ca="1" si="233"/>
        <v>0</v>
      </c>
      <c r="HA119" s="1757">
        <f t="shared" ca="1" si="233"/>
        <v>0</v>
      </c>
      <c r="HB119" s="1757">
        <f t="shared" ca="1" si="233"/>
        <v>0</v>
      </c>
      <c r="HC119" s="1757">
        <f t="shared" ca="1" si="233"/>
        <v>0</v>
      </c>
      <c r="HD119" s="1757">
        <f t="shared" ca="1" si="234"/>
        <v>0</v>
      </c>
      <c r="HE119" s="1757">
        <f t="shared" ca="1" si="234"/>
        <v>0</v>
      </c>
      <c r="HF119" s="1757">
        <f t="shared" ca="1" si="234"/>
        <v>0</v>
      </c>
      <c r="HG119" s="1757">
        <f t="shared" ca="1" si="234"/>
        <v>0</v>
      </c>
      <c r="HH119" s="1757">
        <f t="shared" ca="1" si="234"/>
        <v>0</v>
      </c>
      <c r="HI119" s="1757">
        <f t="shared" ca="1" si="234"/>
        <v>0</v>
      </c>
      <c r="HJ119" s="1757">
        <f t="shared" ca="1" si="234"/>
        <v>0</v>
      </c>
      <c r="HK119" s="1757">
        <f t="shared" ca="1" si="234"/>
        <v>0</v>
      </c>
      <c r="HL119" s="1757">
        <f t="shared" ca="1" si="234"/>
        <v>0</v>
      </c>
      <c r="HM119" s="1757">
        <f t="shared" ca="1" si="234"/>
        <v>0</v>
      </c>
      <c r="HN119" s="1757">
        <f t="shared" ca="1" si="235"/>
        <v>0</v>
      </c>
      <c r="HO119" s="1757">
        <f t="shared" ca="1" si="235"/>
        <v>0</v>
      </c>
      <c r="HP119" s="1757">
        <f t="shared" ca="1" si="235"/>
        <v>0</v>
      </c>
      <c r="HQ119" s="1757">
        <f t="shared" ca="1" si="235"/>
        <v>0</v>
      </c>
      <c r="HR119" s="1757">
        <f t="shared" ca="1" si="235"/>
        <v>0</v>
      </c>
      <c r="HS119" s="1757">
        <f t="shared" ca="1" si="235"/>
        <v>0</v>
      </c>
      <c r="HT119" s="1757">
        <f t="shared" ca="1" si="235"/>
        <v>0</v>
      </c>
      <c r="HU119" s="1757">
        <f t="shared" ca="1" si="235"/>
        <v>0</v>
      </c>
      <c r="HV119" s="1757">
        <f t="shared" ca="1" si="235"/>
        <v>0</v>
      </c>
      <c r="HW119" s="1757">
        <f t="shared" ca="1" si="235"/>
        <v>0</v>
      </c>
      <c r="HX119" s="1757">
        <f t="shared" ca="1" si="236"/>
        <v>0</v>
      </c>
      <c r="HY119" s="1757">
        <f t="shared" ca="1" si="236"/>
        <v>0</v>
      </c>
      <c r="HZ119" s="1757">
        <f t="shared" ca="1" si="236"/>
        <v>0</v>
      </c>
      <c r="IA119" s="1757">
        <f t="shared" ca="1" si="236"/>
        <v>0</v>
      </c>
      <c r="IB119" s="1757">
        <f t="shared" ca="1" si="236"/>
        <v>0</v>
      </c>
      <c r="IC119" s="1757">
        <f t="shared" ca="1" si="236"/>
        <v>0</v>
      </c>
      <c r="ID119" s="1757">
        <f t="shared" ca="1" si="236"/>
        <v>0</v>
      </c>
      <c r="IE119" s="1757">
        <f t="shared" ca="1" si="236"/>
        <v>0</v>
      </c>
      <c r="IF119" s="1757">
        <f t="shared" ca="1" si="236"/>
        <v>0</v>
      </c>
      <c r="IG119" s="1757">
        <f t="shared" ca="1" si="236"/>
        <v>0</v>
      </c>
      <c r="IH119" s="1757">
        <f t="shared" ca="1" si="237"/>
        <v>0</v>
      </c>
      <c r="II119" s="1757">
        <f t="shared" ca="1" si="237"/>
        <v>0</v>
      </c>
      <c r="IJ119" s="1757">
        <f t="shared" ca="1" si="237"/>
        <v>0</v>
      </c>
      <c r="IK119" s="1757">
        <f t="shared" ca="1" si="237"/>
        <v>0</v>
      </c>
      <c r="IL119" s="1757">
        <f t="shared" ca="1" si="237"/>
        <v>0</v>
      </c>
      <c r="IM119" s="1757">
        <f t="shared" ca="1" si="237"/>
        <v>0</v>
      </c>
      <c r="IN119" s="1757">
        <f t="shared" ca="1" si="237"/>
        <v>0</v>
      </c>
      <c r="IO119" s="1757">
        <f t="shared" ca="1" si="237"/>
        <v>0</v>
      </c>
      <c r="IP119" s="1757">
        <f t="shared" ca="1" si="237"/>
        <v>0</v>
      </c>
      <c r="IQ119" s="1757">
        <f t="shared" ca="1" si="237"/>
        <v>0</v>
      </c>
      <c r="IR119" s="1757">
        <f t="shared" ca="1" si="238"/>
        <v>0</v>
      </c>
      <c r="IS119" s="1757">
        <f t="shared" ca="1" si="238"/>
        <v>0</v>
      </c>
      <c r="IT119" s="1757">
        <f t="shared" ca="1" si="238"/>
        <v>0</v>
      </c>
      <c r="IU119" s="1757">
        <f t="shared" ca="1" si="238"/>
        <v>0</v>
      </c>
      <c r="IV119" s="1757">
        <f t="shared" ca="1" si="238"/>
        <v>0</v>
      </c>
      <c r="IW119" s="1757">
        <f t="shared" ca="1" si="238"/>
        <v>0</v>
      </c>
      <c r="IX119" s="1757">
        <f t="shared" ca="1" si="238"/>
        <v>0</v>
      </c>
      <c r="IY119" s="1757">
        <f t="shared" ca="1" si="238"/>
        <v>0</v>
      </c>
      <c r="IZ119" s="1757">
        <f t="shared" ca="1" si="238"/>
        <v>0</v>
      </c>
      <c r="JA119" s="1757">
        <f t="shared" ca="1" si="238"/>
        <v>0</v>
      </c>
      <c r="JB119" s="1757">
        <f t="shared" ca="1" si="239"/>
        <v>0</v>
      </c>
      <c r="JC119" s="1757">
        <f t="shared" ca="1" si="239"/>
        <v>0</v>
      </c>
      <c r="JD119" s="1757">
        <f t="shared" ca="1" si="239"/>
        <v>0</v>
      </c>
      <c r="JE119" s="1757">
        <f t="shared" ca="1" si="239"/>
        <v>0</v>
      </c>
      <c r="JF119" s="1757">
        <f t="shared" ca="1" si="239"/>
        <v>0</v>
      </c>
      <c r="JG119" s="1757">
        <f t="shared" ca="1" si="239"/>
        <v>0</v>
      </c>
      <c r="JH119" s="1757">
        <f t="shared" ca="1" si="239"/>
        <v>0</v>
      </c>
      <c r="JI119" s="1757">
        <f t="shared" ca="1" si="239"/>
        <v>0</v>
      </c>
      <c r="JJ119" s="1757">
        <f t="shared" ca="1" si="239"/>
        <v>0</v>
      </c>
      <c r="JK119" s="1757">
        <f t="shared" ca="1" si="239"/>
        <v>0</v>
      </c>
      <c r="JL119" s="1757">
        <f t="shared" ca="1" si="240"/>
        <v>0</v>
      </c>
      <c r="JM119" s="1757">
        <f t="shared" ca="1" si="240"/>
        <v>0</v>
      </c>
      <c r="JN119" s="1757">
        <f t="shared" ca="1" si="240"/>
        <v>0</v>
      </c>
      <c r="JO119" s="1757">
        <f t="shared" ca="1" si="240"/>
        <v>0</v>
      </c>
      <c r="JP119" s="1757">
        <f t="shared" ca="1" si="240"/>
        <v>0</v>
      </c>
      <c r="JQ119" s="1757">
        <f t="shared" ca="1" si="240"/>
        <v>0</v>
      </c>
      <c r="JR119" s="1757">
        <f t="shared" ca="1" si="240"/>
        <v>0</v>
      </c>
      <c r="JS119" s="1757">
        <f t="shared" ca="1" si="240"/>
        <v>0</v>
      </c>
      <c r="JT119" s="1757">
        <f t="shared" ca="1" si="240"/>
        <v>0</v>
      </c>
      <c r="JU119" s="1757">
        <f t="shared" ca="1" si="240"/>
        <v>0</v>
      </c>
      <c r="JV119" s="1757">
        <f t="shared" ca="1" si="241"/>
        <v>0</v>
      </c>
      <c r="JW119" s="1757">
        <f t="shared" ca="1" si="241"/>
        <v>0</v>
      </c>
      <c r="JX119" s="1757">
        <f t="shared" ca="1" si="241"/>
        <v>0</v>
      </c>
      <c r="JY119" s="1757">
        <f t="shared" ca="1" si="241"/>
        <v>0</v>
      </c>
      <c r="JZ119" s="1757">
        <f t="shared" ca="1" si="241"/>
        <v>0</v>
      </c>
      <c r="KA119" s="1757">
        <f t="shared" ca="1" si="241"/>
        <v>0</v>
      </c>
      <c r="KB119" s="1757">
        <f t="shared" ca="1" si="241"/>
        <v>0</v>
      </c>
      <c r="KC119" s="1757">
        <f t="shared" ca="1" si="241"/>
        <v>0</v>
      </c>
      <c r="KD119" s="1757">
        <f t="shared" ca="1" si="241"/>
        <v>0</v>
      </c>
      <c r="KE119" s="1757">
        <f t="shared" ca="1" si="241"/>
        <v>0</v>
      </c>
      <c r="KF119" s="1757">
        <f t="shared" ca="1" si="242"/>
        <v>0</v>
      </c>
      <c r="KG119" s="1757">
        <f t="shared" ca="1" si="242"/>
        <v>0</v>
      </c>
      <c r="KH119" s="1757">
        <f t="shared" ca="1" si="242"/>
        <v>0</v>
      </c>
      <c r="KI119" s="1757">
        <f t="shared" ca="1" si="242"/>
        <v>0</v>
      </c>
      <c r="KJ119" s="1757">
        <f t="shared" ca="1" si="242"/>
        <v>0</v>
      </c>
      <c r="KK119" s="1757">
        <f t="shared" ca="1" si="242"/>
        <v>0</v>
      </c>
      <c r="KL119" s="1757">
        <f t="shared" ca="1" si="242"/>
        <v>0</v>
      </c>
      <c r="KM119" s="1757">
        <f t="shared" ca="1" si="242"/>
        <v>0</v>
      </c>
      <c r="KN119" s="1757">
        <f t="shared" ca="1" si="242"/>
        <v>0</v>
      </c>
      <c r="KO119" s="1757">
        <f t="shared" ca="1" si="242"/>
        <v>0</v>
      </c>
      <c r="KP119" s="1757">
        <f t="shared" ca="1" si="243"/>
        <v>0</v>
      </c>
      <c r="KQ119" s="1757">
        <f t="shared" ca="1" si="243"/>
        <v>0</v>
      </c>
      <c r="KR119" s="1757">
        <f t="shared" ca="1" si="243"/>
        <v>0</v>
      </c>
      <c r="KS119" s="1757">
        <f t="shared" ca="1" si="243"/>
        <v>0</v>
      </c>
      <c r="KT119" s="1757">
        <f t="shared" ca="1" si="243"/>
        <v>0</v>
      </c>
      <c r="KU119" s="1757">
        <f t="shared" ca="1" si="243"/>
        <v>0</v>
      </c>
      <c r="KV119" s="1757">
        <f t="shared" ca="1" si="243"/>
        <v>0</v>
      </c>
      <c r="KW119" s="1757">
        <f t="shared" ca="1" si="243"/>
        <v>0</v>
      </c>
      <c r="KX119" s="1757">
        <f t="shared" ca="1" si="243"/>
        <v>0</v>
      </c>
      <c r="KY119" s="1757">
        <f t="shared" ca="1" si="243"/>
        <v>0</v>
      </c>
      <c r="KZ119" s="1757">
        <f t="shared" ca="1" si="244"/>
        <v>0</v>
      </c>
      <c r="LA119" s="1757">
        <f t="shared" ca="1" si="244"/>
        <v>0</v>
      </c>
      <c r="LB119" s="1757">
        <f t="shared" ca="1" si="244"/>
        <v>0</v>
      </c>
      <c r="LC119" s="1757">
        <f t="shared" ca="1" si="244"/>
        <v>0</v>
      </c>
      <c r="LD119" s="1757">
        <f t="shared" ca="1" si="244"/>
        <v>0</v>
      </c>
      <c r="LE119" s="1757">
        <f t="shared" ca="1" si="244"/>
        <v>0</v>
      </c>
      <c r="LF119" s="1757">
        <f t="shared" ca="1" si="244"/>
        <v>0</v>
      </c>
      <c r="LG119" s="1757">
        <f t="shared" ca="1" si="244"/>
        <v>0</v>
      </c>
      <c r="LH119" s="1757">
        <f t="shared" ca="1" si="244"/>
        <v>0</v>
      </c>
      <c r="LI119" s="1757">
        <f t="shared" ca="1" si="244"/>
        <v>0</v>
      </c>
      <c r="LJ119" s="1757">
        <f t="shared" ca="1" si="245"/>
        <v>0</v>
      </c>
      <c r="LK119" s="1757">
        <f t="shared" ca="1" si="245"/>
        <v>0</v>
      </c>
      <c r="LL119" s="1757">
        <f t="shared" ca="1" si="245"/>
        <v>0</v>
      </c>
      <c r="LM119" s="1757">
        <f t="shared" ca="1" si="245"/>
        <v>0</v>
      </c>
      <c r="LN119" s="1757">
        <f t="shared" ca="1" si="245"/>
        <v>0</v>
      </c>
      <c r="LO119" s="1757">
        <f t="shared" ca="1" si="245"/>
        <v>0</v>
      </c>
      <c r="LP119" s="1758">
        <f t="shared" ca="1" si="245"/>
        <v>0</v>
      </c>
      <c r="LQ119" s="604"/>
    </row>
    <row r="120" spans="1:329" ht="12.75" customHeight="1" x14ac:dyDescent="0.3">
      <c r="A120" s="279"/>
      <c r="B120" s="41"/>
      <c r="C120" s="82"/>
      <c r="D120" s="41"/>
      <c r="E120" s="9"/>
      <c r="F120" s="9"/>
      <c r="G120" s="9"/>
      <c r="H120" s="10"/>
      <c r="I120" s="10"/>
      <c r="J120" s="10"/>
      <c r="K120" s="10"/>
      <c r="L120" s="10"/>
      <c r="M120" s="10"/>
      <c r="N120" s="9"/>
      <c r="O120" s="9"/>
      <c r="P120" s="44"/>
      <c r="Q120" s="44"/>
      <c r="R120" s="9"/>
      <c r="S120" s="9"/>
      <c r="T120" s="9"/>
      <c r="U120" s="9"/>
      <c r="V120" s="9"/>
      <c r="W120" s="9"/>
      <c r="X120" s="9"/>
      <c r="Y120" s="9"/>
      <c r="Z120" s="9"/>
      <c r="AA120" s="9"/>
      <c r="AB120" s="9"/>
      <c r="AC120" s="9"/>
      <c r="AD120" s="9"/>
      <c r="AE120" s="9"/>
      <c r="AF120" s="9"/>
      <c r="AG120" s="9"/>
      <c r="AH120" s="2514"/>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113"/>
      <c r="DI120" s="113"/>
      <c r="DJ120" s="113"/>
      <c r="DK120" s="118"/>
      <c r="DL120" s="118"/>
      <c r="DM120" s="118"/>
      <c r="DN120" s="118"/>
      <c r="DO120" s="118"/>
      <c r="DP120" s="118"/>
      <c r="DQ120" s="118"/>
      <c r="DR120" s="118"/>
      <c r="DS120" s="118"/>
      <c r="DT120" s="118"/>
      <c r="DU120" s="118"/>
      <c r="DV120" s="118"/>
      <c r="DW120" s="118"/>
      <c r="DX120" s="118"/>
      <c r="DY120" s="118"/>
      <c r="DZ120" s="118"/>
      <c r="EA120" s="118"/>
      <c r="EB120" s="118"/>
      <c r="EC120" s="118"/>
      <c r="ED120" s="118"/>
      <c r="EE120" s="118"/>
      <c r="EF120" s="118"/>
      <c r="EG120" s="118"/>
      <c r="EH120" s="118"/>
      <c r="EI120" s="118"/>
      <c r="EJ120" s="118"/>
      <c r="EK120" s="118"/>
      <c r="EL120" s="118"/>
      <c r="EM120" s="118"/>
      <c r="EN120" s="118"/>
      <c r="EO120" s="118"/>
      <c r="EP120" s="118"/>
      <c r="EQ120" s="118"/>
      <c r="ER120" s="118"/>
      <c r="ES120" s="118"/>
      <c r="ET120" s="118"/>
      <c r="EU120" s="118"/>
      <c r="EV120" s="118"/>
      <c r="EW120" s="118"/>
      <c r="EX120" s="118"/>
      <c r="EY120" s="118"/>
      <c r="EZ120" s="118"/>
      <c r="FA120" s="118"/>
      <c r="FB120" s="118"/>
      <c r="FC120" s="118"/>
      <c r="FD120" s="118"/>
      <c r="FE120" s="118"/>
      <c r="FF120" s="118"/>
      <c r="FG120" s="118"/>
      <c r="FH120" s="118"/>
      <c r="FI120" s="180"/>
      <c r="FJ120" s="132"/>
      <c r="FK120" s="132"/>
      <c r="FL120" s="181">
        <f t="shared" ca="1" si="197"/>
        <v>21</v>
      </c>
      <c r="FM120" s="1340">
        <f t="shared" ca="1" si="198"/>
        <v>0</v>
      </c>
      <c r="FN120" s="1341">
        <f t="shared" ca="1" si="199"/>
        <v>0</v>
      </c>
      <c r="FO120" s="1342">
        <f t="shared" ca="1" si="200"/>
        <v>20</v>
      </c>
      <c r="FP120" s="1343">
        <f t="shared" ca="1" si="201"/>
        <v>0</v>
      </c>
      <c r="FQ120" s="1344">
        <f t="shared" si="202"/>
        <v>40</v>
      </c>
      <c r="FR120" s="1344">
        <f t="shared" si="203"/>
        <v>50</v>
      </c>
      <c r="FS120" s="1345">
        <f t="shared" si="204"/>
        <v>21</v>
      </c>
      <c r="FT120" s="1345"/>
      <c r="FU120" s="1346">
        <f t="shared" ca="1" si="219"/>
        <v>0</v>
      </c>
      <c r="FV120" s="1346"/>
      <c r="FW120" s="1346"/>
      <c r="FX120" s="1347"/>
      <c r="FY120" s="1348"/>
      <c r="FZ120" s="1348"/>
      <c r="GA120" s="1348"/>
      <c r="GB120" s="1349"/>
      <c r="GC120" s="1350"/>
      <c r="GD120" s="1348"/>
      <c r="GE120" s="1348"/>
      <c r="GF120" s="1348"/>
      <c r="GG120" s="1348"/>
      <c r="GH120" s="1348"/>
      <c r="GI120" s="1348"/>
      <c r="GJ120" s="1348"/>
      <c r="GK120" s="1348"/>
      <c r="GL120" s="1348"/>
      <c r="GM120" s="1348"/>
      <c r="GN120" s="3825">
        <f t="shared" ca="1" si="205"/>
        <v>0</v>
      </c>
      <c r="GO120" s="3825"/>
      <c r="GP120" s="3825"/>
      <c r="GQ120" s="3826"/>
      <c r="GR120" s="3675"/>
      <c r="GS120" s="3676"/>
      <c r="GT120" s="1756">
        <f t="shared" ca="1" si="233"/>
        <v>0</v>
      </c>
      <c r="GU120" s="1757">
        <f t="shared" ca="1" si="233"/>
        <v>0</v>
      </c>
      <c r="GV120" s="1757">
        <f t="shared" ca="1" si="233"/>
        <v>0</v>
      </c>
      <c r="GW120" s="1757">
        <f t="shared" ca="1" si="233"/>
        <v>0</v>
      </c>
      <c r="GX120" s="1757">
        <f t="shared" ca="1" si="233"/>
        <v>0</v>
      </c>
      <c r="GY120" s="1757">
        <f t="shared" ca="1" si="233"/>
        <v>0</v>
      </c>
      <c r="GZ120" s="1757">
        <f t="shared" ca="1" si="233"/>
        <v>0</v>
      </c>
      <c r="HA120" s="1757">
        <f t="shared" ca="1" si="233"/>
        <v>0</v>
      </c>
      <c r="HB120" s="1757">
        <f t="shared" ca="1" si="233"/>
        <v>0</v>
      </c>
      <c r="HC120" s="1757">
        <f t="shared" ca="1" si="233"/>
        <v>0</v>
      </c>
      <c r="HD120" s="1757">
        <f t="shared" ca="1" si="234"/>
        <v>0</v>
      </c>
      <c r="HE120" s="1757">
        <f t="shared" ca="1" si="234"/>
        <v>0</v>
      </c>
      <c r="HF120" s="1757">
        <f t="shared" ca="1" si="234"/>
        <v>0</v>
      </c>
      <c r="HG120" s="1757">
        <f t="shared" ca="1" si="234"/>
        <v>0</v>
      </c>
      <c r="HH120" s="1757">
        <f t="shared" ca="1" si="234"/>
        <v>0</v>
      </c>
      <c r="HI120" s="1757">
        <f t="shared" ca="1" si="234"/>
        <v>0</v>
      </c>
      <c r="HJ120" s="1757">
        <f t="shared" ca="1" si="234"/>
        <v>0</v>
      </c>
      <c r="HK120" s="1757">
        <f t="shared" ca="1" si="234"/>
        <v>0</v>
      </c>
      <c r="HL120" s="1757">
        <f t="shared" ca="1" si="234"/>
        <v>0</v>
      </c>
      <c r="HM120" s="1757">
        <f t="shared" ca="1" si="234"/>
        <v>0</v>
      </c>
      <c r="HN120" s="1757">
        <f t="shared" ca="1" si="235"/>
        <v>0</v>
      </c>
      <c r="HO120" s="1757">
        <f t="shared" ca="1" si="235"/>
        <v>0</v>
      </c>
      <c r="HP120" s="1757">
        <f t="shared" ca="1" si="235"/>
        <v>0</v>
      </c>
      <c r="HQ120" s="1757">
        <f t="shared" ca="1" si="235"/>
        <v>0</v>
      </c>
      <c r="HR120" s="1757">
        <f t="shared" ca="1" si="235"/>
        <v>0</v>
      </c>
      <c r="HS120" s="1757">
        <f t="shared" ca="1" si="235"/>
        <v>0</v>
      </c>
      <c r="HT120" s="1757">
        <f t="shared" ca="1" si="235"/>
        <v>0</v>
      </c>
      <c r="HU120" s="1757">
        <f t="shared" ca="1" si="235"/>
        <v>0</v>
      </c>
      <c r="HV120" s="1757">
        <f t="shared" ca="1" si="235"/>
        <v>0</v>
      </c>
      <c r="HW120" s="1757">
        <f t="shared" ca="1" si="235"/>
        <v>0</v>
      </c>
      <c r="HX120" s="1757">
        <f t="shared" ca="1" si="236"/>
        <v>0</v>
      </c>
      <c r="HY120" s="1757">
        <f t="shared" ca="1" si="236"/>
        <v>0</v>
      </c>
      <c r="HZ120" s="1757">
        <f t="shared" ca="1" si="236"/>
        <v>0</v>
      </c>
      <c r="IA120" s="1757">
        <f t="shared" ca="1" si="236"/>
        <v>0</v>
      </c>
      <c r="IB120" s="1757">
        <f t="shared" ca="1" si="236"/>
        <v>0</v>
      </c>
      <c r="IC120" s="1757">
        <f t="shared" ca="1" si="236"/>
        <v>0</v>
      </c>
      <c r="ID120" s="1757">
        <f t="shared" ca="1" si="236"/>
        <v>0</v>
      </c>
      <c r="IE120" s="1757">
        <f t="shared" ca="1" si="236"/>
        <v>0</v>
      </c>
      <c r="IF120" s="1757">
        <f t="shared" ca="1" si="236"/>
        <v>0</v>
      </c>
      <c r="IG120" s="1757">
        <f t="shared" ca="1" si="236"/>
        <v>0</v>
      </c>
      <c r="IH120" s="1757">
        <f t="shared" ca="1" si="237"/>
        <v>0</v>
      </c>
      <c r="II120" s="1757">
        <f t="shared" ca="1" si="237"/>
        <v>0</v>
      </c>
      <c r="IJ120" s="1757">
        <f t="shared" ca="1" si="237"/>
        <v>0</v>
      </c>
      <c r="IK120" s="1757">
        <f t="shared" ca="1" si="237"/>
        <v>0</v>
      </c>
      <c r="IL120" s="1757">
        <f t="shared" ca="1" si="237"/>
        <v>0</v>
      </c>
      <c r="IM120" s="1757">
        <f t="shared" ca="1" si="237"/>
        <v>0</v>
      </c>
      <c r="IN120" s="1757">
        <f t="shared" ca="1" si="237"/>
        <v>0</v>
      </c>
      <c r="IO120" s="1757">
        <f t="shared" ca="1" si="237"/>
        <v>0</v>
      </c>
      <c r="IP120" s="1757">
        <f t="shared" ca="1" si="237"/>
        <v>0</v>
      </c>
      <c r="IQ120" s="1757">
        <f t="shared" ca="1" si="237"/>
        <v>0</v>
      </c>
      <c r="IR120" s="1757">
        <f t="shared" ca="1" si="238"/>
        <v>0</v>
      </c>
      <c r="IS120" s="1757">
        <f t="shared" ca="1" si="238"/>
        <v>0</v>
      </c>
      <c r="IT120" s="1757">
        <f t="shared" ca="1" si="238"/>
        <v>0</v>
      </c>
      <c r="IU120" s="1757">
        <f t="shared" ca="1" si="238"/>
        <v>0</v>
      </c>
      <c r="IV120" s="1757">
        <f t="shared" ca="1" si="238"/>
        <v>0</v>
      </c>
      <c r="IW120" s="1757">
        <f t="shared" ca="1" si="238"/>
        <v>0</v>
      </c>
      <c r="IX120" s="1757">
        <f t="shared" ca="1" si="238"/>
        <v>0</v>
      </c>
      <c r="IY120" s="1757">
        <f t="shared" ca="1" si="238"/>
        <v>0</v>
      </c>
      <c r="IZ120" s="1757">
        <f t="shared" ca="1" si="238"/>
        <v>0</v>
      </c>
      <c r="JA120" s="1757">
        <f t="shared" ca="1" si="238"/>
        <v>0</v>
      </c>
      <c r="JB120" s="1757">
        <f t="shared" ca="1" si="239"/>
        <v>0</v>
      </c>
      <c r="JC120" s="1757">
        <f t="shared" ca="1" si="239"/>
        <v>0</v>
      </c>
      <c r="JD120" s="1757">
        <f t="shared" ca="1" si="239"/>
        <v>0</v>
      </c>
      <c r="JE120" s="1757">
        <f t="shared" ca="1" si="239"/>
        <v>0</v>
      </c>
      <c r="JF120" s="1757">
        <f t="shared" ca="1" si="239"/>
        <v>0</v>
      </c>
      <c r="JG120" s="1757">
        <f t="shared" ca="1" si="239"/>
        <v>0</v>
      </c>
      <c r="JH120" s="1757">
        <f t="shared" ca="1" si="239"/>
        <v>0</v>
      </c>
      <c r="JI120" s="1757">
        <f t="shared" ca="1" si="239"/>
        <v>0</v>
      </c>
      <c r="JJ120" s="1757">
        <f t="shared" ca="1" si="239"/>
        <v>0</v>
      </c>
      <c r="JK120" s="1757">
        <f t="shared" ca="1" si="239"/>
        <v>0</v>
      </c>
      <c r="JL120" s="1757">
        <f t="shared" ca="1" si="240"/>
        <v>0</v>
      </c>
      <c r="JM120" s="1757">
        <f t="shared" ca="1" si="240"/>
        <v>0</v>
      </c>
      <c r="JN120" s="1757">
        <f t="shared" ca="1" si="240"/>
        <v>0</v>
      </c>
      <c r="JO120" s="1757">
        <f t="shared" ca="1" si="240"/>
        <v>0</v>
      </c>
      <c r="JP120" s="1757">
        <f t="shared" ca="1" si="240"/>
        <v>0</v>
      </c>
      <c r="JQ120" s="1757">
        <f t="shared" ca="1" si="240"/>
        <v>0</v>
      </c>
      <c r="JR120" s="1757">
        <f t="shared" ca="1" si="240"/>
        <v>0</v>
      </c>
      <c r="JS120" s="1757">
        <f t="shared" ca="1" si="240"/>
        <v>0</v>
      </c>
      <c r="JT120" s="1757">
        <f t="shared" ca="1" si="240"/>
        <v>0</v>
      </c>
      <c r="JU120" s="1757">
        <f t="shared" ca="1" si="240"/>
        <v>0</v>
      </c>
      <c r="JV120" s="1757">
        <f t="shared" ca="1" si="241"/>
        <v>0</v>
      </c>
      <c r="JW120" s="1757">
        <f t="shared" ca="1" si="241"/>
        <v>0</v>
      </c>
      <c r="JX120" s="1757">
        <f t="shared" ca="1" si="241"/>
        <v>0</v>
      </c>
      <c r="JY120" s="1757">
        <f t="shared" ca="1" si="241"/>
        <v>0</v>
      </c>
      <c r="JZ120" s="1757">
        <f t="shared" ca="1" si="241"/>
        <v>0</v>
      </c>
      <c r="KA120" s="1757">
        <f t="shared" ca="1" si="241"/>
        <v>0</v>
      </c>
      <c r="KB120" s="1757">
        <f t="shared" ca="1" si="241"/>
        <v>0</v>
      </c>
      <c r="KC120" s="1757">
        <f t="shared" ca="1" si="241"/>
        <v>0</v>
      </c>
      <c r="KD120" s="1757">
        <f t="shared" ca="1" si="241"/>
        <v>0</v>
      </c>
      <c r="KE120" s="1757">
        <f t="shared" ca="1" si="241"/>
        <v>0</v>
      </c>
      <c r="KF120" s="1757">
        <f t="shared" ca="1" si="242"/>
        <v>0</v>
      </c>
      <c r="KG120" s="1757">
        <f t="shared" ca="1" si="242"/>
        <v>0</v>
      </c>
      <c r="KH120" s="1757">
        <f t="shared" ca="1" si="242"/>
        <v>0</v>
      </c>
      <c r="KI120" s="1757">
        <f t="shared" ca="1" si="242"/>
        <v>0</v>
      </c>
      <c r="KJ120" s="1757">
        <f t="shared" ca="1" si="242"/>
        <v>0</v>
      </c>
      <c r="KK120" s="1757">
        <f t="shared" ca="1" si="242"/>
        <v>0</v>
      </c>
      <c r="KL120" s="1757">
        <f t="shared" ca="1" si="242"/>
        <v>0</v>
      </c>
      <c r="KM120" s="1757">
        <f t="shared" ca="1" si="242"/>
        <v>0</v>
      </c>
      <c r="KN120" s="1757">
        <f t="shared" ca="1" si="242"/>
        <v>0</v>
      </c>
      <c r="KO120" s="1757">
        <f t="shared" ca="1" si="242"/>
        <v>0</v>
      </c>
      <c r="KP120" s="1757">
        <f t="shared" ca="1" si="243"/>
        <v>0</v>
      </c>
      <c r="KQ120" s="1757">
        <f t="shared" ca="1" si="243"/>
        <v>0</v>
      </c>
      <c r="KR120" s="1757">
        <f t="shared" ca="1" si="243"/>
        <v>0</v>
      </c>
      <c r="KS120" s="1757">
        <f t="shared" ca="1" si="243"/>
        <v>0</v>
      </c>
      <c r="KT120" s="1757">
        <f t="shared" ca="1" si="243"/>
        <v>0</v>
      </c>
      <c r="KU120" s="1757">
        <f t="shared" ca="1" si="243"/>
        <v>0</v>
      </c>
      <c r="KV120" s="1757">
        <f t="shared" ca="1" si="243"/>
        <v>0</v>
      </c>
      <c r="KW120" s="1757">
        <f t="shared" ca="1" si="243"/>
        <v>0</v>
      </c>
      <c r="KX120" s="1757">
        <f t="shared" ca="1" si="243"/>
        <v>0</v>
      </c>
      <c r="KY120" s="1757">
        <f t="shared" ca="1" si="243"/>
        <v>0</v>
      </c>
      <c r="KZ120" s="1757">
        <f t="shared" ca="1" si="244"/>
        <v>0</v>
      </c>
      <c r="LA120" s="1757">
        <f t="shared" ca="1" si="244"/>
        <v>0</v>
      </c>
      <c r="LB120" s="1757">
        <f t="shared" ca="1" si="244"/>
        <v>0</v>
      </c>
      <c r="LC120" s="1757">
        <f t="shared" ca="1" si="244"/>
        <v>0</v>
      </c>
      <c r="LD120" s="1757">
        <f t="shared" ca="1" si="244"/>
        <v>0</v>
      </c>
      <c r="LE120" s="1757">
        <f t="shared" ca="1" si="244"/>
        <v>0</v>
      </c>
      <c r="LF120" s="1757">
        <f t="shared" ca="1" si="244"/>
        <v>0</v>
      </c>
      <c r="LG120" s="1757">
        <f t="shared" ca="1" si="244"/>
        <v>0</v>
      </c>
      <c r="LH120" s="1757">
        <f t="shared" ca="1" si="244"/>
        <v>0</v>
      </c>
      <c r="LI120" s="1757">
        <f t="shared" ca="1" si="244"/>
        <v>0</v>
      </c>
      <c r="LJ120" s="1757">
        <f t="shared" ca="1" si="245"/>
        <v>0</v>
      </c>
      <c r="LK120" s="1757">
        <f t="shared" ca="1" si="245"/>
        <v>0</v>
      </c>
      <c r="LL120" s="1757">
        <f t="shared" ca="1" si="245"/>
        <v>0</v>
      </c>
      <c r="LM120" s="1757">
        <f t="shared" ca="1" si="245"/>
        <v>0</v>
      </c>
      <c r="LN120" s="1757">
        <f t="shared" ca="1" si="245"/>
        <v>0</v>
      </c>
      <c r="LO120" s="1757">
        <f t="shared" ca="1" si="245"/>
        <v>0</v>
      </c>
      <c r="LP120" s="1758">
        <f t="shared" ca="1" si="245"/>
        <v>0</v>
      </c>
      <c r="LQ120" s="604"/>
    </row>
    <row r="121" spans="1:329" ht="12.75" customHeight="1" x14ac:dyDescent="0.3">
      <c r="A121" s="279"/>
      <c r="B121" s="41"/>
      <c r="C121" s="82"/>
      <c r="D121" s="41"/>
      <c r="E121" s="9"/>
      <c r="F121" s="9"/>
      <c r="G121" s="9"/>
      <c r="H121" s="10"/>
      <c r="I121" s="10"/>
      <c r="J121" s="10"/>
      <c r="K121" s="10"/>
      <c r="L121" s="10"/>
      <c r="M121" s="10"/>
      <c r="N121" s="9"/>
      <c r="O121" s="9"/>
      <c r="P121" s="44"/>
      <c r="Q121" s="44"/>
      <c r="R121" s="9"/>
      <c r="S121" s="9"/>
      <c r="T121" s="9"/>
      <c r="U121" s="9"/>
      <c r="V121" s="9"/>
      <c r="W121" s="9"/>
      <c r="X121" s="9"/>
      <c r="Y121" s="9"/>
      <c r="Z121" s="9"/>
      <c r="AA121" s="9"/>
      <c r="AB121" s="9"/>
      <c r="AC121" s="9"/>
      <c r="AD121" s="9"/>
      <c r="AE121" s="9"/>
      <c r="AF121" s="9"/>
      <c r="AG121" s="9"/>
      <c r="AH121" s="2514"/>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113"/>
      <c r="DI121" s="113"/>
      <c r="DJ121" s="113"/>
      <c r="DK121" s="118"/>
      <c r="DL121" s="118"/>
      <c r="DM121" s="118"/>
      <c r="DN121" s="118"/>
      <c r="DO121" s="118"/>
      <c r="DP121" s="118"/>
      <c r="DQ121" s="118"/>
      <c r="DR121" s="118"/>
      <c r="DS121" s="118"/>
      <c r="DT121" s="118"/>
      <c r="DU121" s="118"/>
      <c r="DV121" s="118"/>
      <c r="DW121" s="118"/>
      <c r="DX121" s="118"/>
      <c r="DY121" s="118"/>
      <c r="DZ121" s="118"/>
      <c r="EA121" s="118"/>
      <c r="EB121" s="118"/>
      <c r="EC121" s="118"/>
      <c r="ED121" s="118"/>
      <c r="EE121" s="118"/>
      <c r="EF121" s="118"/>
      <c r="EG121" s="118"/>
      <c r="EH121" s="118"/>
      <c r="EI121" s="118"/>
      <c r="EJ121" s="118"/>
      <c r="EK121" s="118"/>
      <c r="EL121" s="118"/>
      <c r="EM121" s="118"/>
      <c r="EN121" s="118"/>
      <c r="EO121" s="118"/>
      <c r="EP121" s="118"/>
      <c r="EQ121" s="118"/>
      <c r="ER121" s="118"/>
      <c r="ES121" s="118"/>
      <c r="ET121" s="118"/>
      <c r="EU121" s="118"/>
      <c r="EV121" s="118"/>
      <c r="EW121" s="118"/>
      <c r="EX121" s="118"/>
      <c r="EY121" s="118"/>
      <c r="EZ121" s="118"/>
      <c r="FA121" s="118"/>
      <c r="FB121" s="118"/>
      <c r="FC121" s="118"/>
      <c r="FD121" s="118"/>
      <c r="FE121" s="118"/>
      <c r="FF121" s="118"/>
      <c r="FG121" s="118"/>
      <c r="FH121" s="118"/>
      <c r="FI121" s="180"/>
      <c r="FJ121" s="132"/>
      <c r="FK121" s="132"/>
      <c r="FL121" s="181">
        <f t="shared" ca="1" si="197"/>
        <v>20</v>
      </c>
      <c r="FM121" s="1340">
        <f t="shared" ca="1" si="198"/>
        <v>0</v>
      </c>
      <c r="FN121" s="1341">
        <f t="shared" ca="1" si="199"/>
        <v>0</v>
      </c>
      <c r="FO121" s="1342">
        <f t="shared" ca="1" si="200"/>
        <v>19</v>
      </c>
      <c r="FP121" s="1343">
        <f t="shared" ca="1" si="201"/>
        <v>0</v>
      </c>
      <c r="FQ121" s="1344">
        <f t="shared" si="202"/>
        <v>40</v>
      </c>
      <c r="FR121" s="1344">
        <f t="shared" si="203"/>
        <v>50</v>
      </c>
      <c r="FS121" s="1345">
        <f t="shared" si="204"/>
        <v>20</v>
      </c>
      <c r="FT121" s="1345"/>
      <c r="FU121" s="1346">
        <f t="shared" ca="1" si="219"/>
        <v>0</v>
      </c>
      <c r="FV121" s="1346"/>
      <c r="FW121" s="1346"/>
      <c r="FX121" s="1347"/>
      <c r="FY121" s="1348"/>
      <c r="FZ121" s="1348"/>
      <c r="GA121" s="1348"/>
      <c r="GB121" s="1349"/>
      <c r="GC121" s="1350"/>
      <c r="GD121" s="1348"/>
      <c r="GE121" s="1348"/>
      <c r="GF121" s="1348"/>
      <c r="GG121" s="1348"/>
      <c r="GH121" s="1348"/>
      <c r="GI121" s="1348"/>
      <c r="GJ121" s="1348"/>
      <c r="GK121" s="1348"/>
      <c r="GL121" s="1348"/>
      <c r="GM121" s="1348"/>
      <c r="GN121" s="3825">
        <f t="shared" ca="1" si="205"/>
        <v>0</v>
      </c>
      <c r="GO121" s="3825"/>
      <c r="GP121" s="3825"/>
      <c r="GQ121" s="3826"/>
      <c r="GR121" s="3675"/>
      <c r="GS121" s="3676"/>
      <c r="GT121" s="1756">
        <f t="shared" ref="GT121:HC130" ca="1" si="246">IF(GT$171=0,0,IF($FU121=0,0,SUMPRODUCT(OFFSET($DJ$173:$DJ$365,0,$FO121),GT$173:GT$365,$FS$173:$FS$365,$CY$173:$CY$365)*GT$25))</f>
        <v>0</v>
      </c>
      <c r="GU121" s="1757">
        <f t="shared" ca="1" si="246"/>
        <v>0</v>
      </c>
      <c r="GV121" s="1757">
        <f t="shared" ca="1" si="246"/>
        <v>0</v>
      </c>
      <c r="GW121" s="1757">
        <f t="shared" ca="1" si="246"/>
        <v>0</v>
      </c>
      <c r="GX121" s="1757">
        <f t="shared" ca="1" si="246"/>
        <v>0</v>
      </c>
      <c r="GY121" s="1757">
        <f t="shared" ca="1" si="246"/>
        <v>0</v>
      </c>
      <c r="GZ121" s="1757">
        <f t="shared" ca="1" si="246"/>
        <v>0</v>
      </c>
      <c r="HA121" s="1757">
        <f t="shared" ca="1" si="246"/>
        <v>0</v>
      </c>
      <c r="HB121" s="1757">
        <f t="shared" ca="1" si="246"/>
        <v>0</v>
      </c>
      <c r="HC121" s="1757">
        <f t="shared" ca="1" si="246"/>
        <v>0</v>
      </c>
      <c r="HD121" s="1757">
        <f t="shared" ref="HD121:HM130" ca="1" si="247">IF(HD$171=0,0,IF($FU121=0,0,SUMPRODUCT(OFFSET($DJ$173:$DJ$365,0,$FO121),HD$173:HD$365,$FS$173:$FS$365,$CY$173:$CY$365)*HD$25))</f>
        <v>0</v>
      </c>
      <c r="HE121" s="1757">
        <f t="shared" ca="1" si="247"/>
        <v>0</v>
      </c>
      <c r="HF121" s="1757">
        <f t="shared" ca="1" si="247"/>
        <v>0</v>
      </c>
      <c r="HG121" s="1757">
        <f t="shared" ca="1" si="247"/>
        <v>0</v>
      </c>
      <c r="HH121" s="1757">
        <f t="shared" ca="1" si="247"/>
        <v>0</v>
      </c>
      <c r="HI121" s="1757">
        <f t="shared" ca="1" si="247"/>
        <v>0</v>
      </c>
      <c r="HJ121" s="1757">
        <f t="shared" ca="1" si="247"/>
        <v>0</v>
      </c>
      <c r="HK121" s="1757">
        <f t="shared" ca="1" si="247"/>
        <v>0</v>
      </c>
      <c r="HL121" s="1757">
        <f t="shared" ca="1" si="247"/>
        <v>0</v>
      </c>
      <c r="HM121" s="1757">
        <f t="shared" ca="1" si="247"/>
        <v>0</v>
      </c>
      <c r="HN121" s="1757">
        <f t="shared" ref="HN121:HW130" ca="1" si="248">IF(HN$171=0,0,IF($FU121=0,0,SUMPRODUCT(OFFSET($DJ$173:$DJ$365,0,$FO121),HN$173:HN$365,$FS$173:$FS$365,$CY$173:$CY$365)*HN$25))</f>
        <v>0</v>
      </c>
      <c r="HO121" s="1757">
        <f t="shared" ca="1" si="248"/>
        <v>0</v>
      </c>
      <c r="HP121" s="1757">
        <f t="shared" ca="1" si="248"/>
        <v>0</v>
      </c>
      <c r="HQ121" s="1757">
        <f t="shared" ca="1" si="248"/>
        <v>0</v>
      </c>
      <c r="HR121" s="1757">
        <f t="shared" ca="1" si="248"/>
        <v>0</v>
      </c>
      <c r="HS121" s="1757">
        <f t="shared" ca="1" si="248"/>
        <v>0</v>
      </c>
      <c r="HT121" s="1757">
        <f t="shared" ca="1" si="248"/>
        <v>0</v>
      </c>
      <c r="HU121" s="1757">
        <f t="shared" ca="1" si="248"/>
        <v>0</v>
      </c>
      <c r="HV121" s="1757">
        <f t="shared" ca="1" si="248"/>
        <v>0</v>
      </c>
      <c r="HW121" s="1757">
        <f t="shared" ca="1" si="248"/>
        <v>0</v>
      </c>
      <c r="HX121" s="1757">
        <f t="shared" ref="HX121:IG130" ca="1" si="249">IF(HX$171=0,0,IF($FU121=0,0,SUMPRODUCT(OFFSET($DJ$173:$DJ$365,0,$FO121),HX$173:HX$365,$FS$173:$FS$365,$CY$173:$CY$365)*HX$25))</f>
        <v>0</v>
      </c>
      <c r="HY121" s="1757">
        <f t="shared" ca="1" si="249"/>
        <v>0</v>
      </c>
      <c r="HZ121" s="1757">
        <f t="shared" ca="1" si="249"/>
        <v>0</v>
      </c>
      <c r="IA121" s="1757">
        <f t="shared" ca="1" si="249"/>
        <v>0</v>
      </c>
      <c r="IB121" s="1757">
        <f t="shared" ca="1" si="249"/>
        <v>0</v>
      </c>
      <c r="IC121" s="1757">
        <f t="shared" ca="1" si="249"/>
        <v>0</v>
      </c>
      <c r="ID121" s="1757">
        <f t="shared" ca="1" si="249"/>
        <v>0</v>
      </c>
      <c r="IE121" s="1757">
        <f t="shared" ca="1" si="249"/>
        <v>0</v>
      </c>
      <c r="IF121" s="1757">
        <f t="shared" ca="1" si="249"/>
        <v>0</v>
      </c>
      <c r="IG121" s="1757">
        <f t="shared" ca="1" si="249"/>
        <v>0</v>
      </c>
      <c r="IH121" s="1757">
        <f t="shared" ref="IH121:IQ130" ca="1" si="250">IF(IH$171=0,0,IF($FU121=0,0,SUMPRODUCT(OFFSET($DJ$173:$DJ$365,0,$FO121),IH$173:IH$365,$FS$173:$FS$365,$CY$173:$CY$365)*IH$25))</f>
        <v>0</v>
      </c>
      <c r="II121" s="1757">
        <f t="shared" ca="1" si="250"/>
        <v>0</v>
      </c>
      <c r="IJ121" s="1757">
        <f t="shared" ca="1" si="250"/>
        <v>0</v>
      </c>
      <c r="IK121" s="1757">
        <f t="shared" ca="1" si="250"/>
        <v>0</v>
      </c>
      <c r="IL121" s="1757">
        <f t="shared" ca="1" si="250"/>
        <v>0</v>
      </c>
      <c r="IM121" s="1757">
        <f t="shared" ca="1" si="250"/>
        <v>0</v>
      </c>
      <c r="IN121" s="1757">
        <f t="shared" ca="1" si="250"/>
        <v>0</v>
      </c>
      <c r="IO121" s="1757">
        <f t="shared" ca="1" si="250"/>
        <v>0</v>
      </c>
      <c r="IP121" s="1757">
        <f t="shared" ca="1" si="250"/>
        <v>0</v>
      </c>
      <c r="IQ121" s="1757">
        <f t="shared" ca="1" si="250"/>
        <v>0</v>
      </c>
      <c r="IR121" s="1757">
        <f t="shared" ref="IR121:JA130" ca="1" si="251">IF(IR$171=0,0,IF($FU121=0,0,SUMPRODUCT(OFFSET($DJ$173:$DJ$365,0,$FO121),IR$173:IR$365,$FS$173:$FS$365,$CY$173:$CY$365)*IR$25))</f>
        <v>0</v>
      </c>
      <c r="IS121" s="1757">
        <f t="shared" ca="1" si="251"/>
        <v>0</v>
      </c>
      <c r="IT121" s="1757">
        <f t="shared" ca="1" si="251"/>
        <v>0</v>
      </c>
      <c r="IU121" s="1757">
        <f t="shared" ca="1" si="251"/>
        <v>0</v>
      </c>
      <c r="IV121" s="1757">
        <f t="shared" ca="1" si="251"/>
        <v>0</v>
      </c>
      <c r="IW121" s="1757">
        <f t="shared" ca="1" si="251"/>
        <v>0</v>
      </c>
      <c r="IX121" s="1757">
        <f t="shared" ca="1" si="251"/>
        <v>0</v>
      </c>
      <c r="IY121" s="1757">
        <f t="shared" ca="1" si="251"/>
        <v>0</v>
      </c>
      <c r="IZ121" s="1757">
        <f t="shared" ca="1" si="251"/>
        <v>0</v>
      </c>
      <c r="JA121" s="1757">
        <f t="shared" ca="1" si="251"/>
        <v>0</v>
      </c>
      <c r="JB121" s="1757">
        <f t="shared" ref="JB121:JK130" ca="1" si="252">IF(JB$171=0,0,IF($FU121=0,0,SUMPRODUCT(OFFSET($DJ$173:$DJ$365,0,$FO121),JB$173:JB$365,$FS$173:$FS$365,$CY$173:$CY$365)*JB$25))</f>
        <v>0</v>
      </c>
      <c r="JC121" s="1757">
        <f t="shared" ca="1" si="252"/>
        <v>0</v>
      </c>
      <c r="JD121" s="1757">
        <f t="shared" ca="1" si="252"/>
        <v>0</v>
      </c>
      <c r="JE121" s="1757">
        <f t="shared" ca="1" si="252"/>
        <v>0</v>
      </c>
      <c r="JF121" s="1757">
        <f t="shared" ca="1" si="252"/>
        <v>0</v>
      </c>
      <c r="JG121" s="1757">
        <f t="shared" ca="1" si="252"/>
        <v>0</v>
      </c>
      <c r="JH121" s="1757">
        <f t="shared" ca="1" si="252"/>
        <v>0</v>
      </c>
      <c r="JI121" s="1757">
        <f t="shared" ca="1" si="252"/>
        <v>0</v>
      </c>
      <c r="JJ121" s="1757">
        <f t="shared" ca="1" si="252"/>
        <v>0</v>
      </c>
      <c r="JK121" s="1757">
        <f t="shared" ca="1" si="252"/>
        <v>0</v>
      </c>
      <c r="JL121" s="1757">
        <f t="shared" ref="JL121:JU130" ca="1" si="253">IF(JL$171=0,0,IF($FU121=0,0,SUMPRODUCT(OFFSET($DJ$173:$DJ$365,0,$FO121),JL$173:JL$365,$FS$173:$FS$365,$CY$173:$CY$365)*JL$25))</f>
        <v>0</v>
      </c>
      <c r="JM121" s="1757">
        <f t="shared" ca="1" si="253"/>
        <v>0</v>
      </c>
      <c r="JN121" s="1757">
        <f t="shared" ca="1" si="253"/>
        <v>0</v>
      </c>
      <c r="JO121" s="1757">
        <f t="shared" ca="1" si="253"/>
        <v>0</v>
      </c>
      <c r="JP121" s="1757">
        <f t="shared" ca="1" si="253"/>
        <v>0</v>
      </c>
      <c r="JQ121" s="1757">
        <f t="shared" ca="1" si="253"/>
        <v>0</v>
      </c>
      <c r="JR121" s="1757">
        <f t="shared" ca="1" si="253"/>
        <v>0</v>
      </c>
      <c r="JS121" s="1757">
        <f t="shared" ca="1" si="253"/>
        <v>0</v>
      </c>
      <c r="JT121" s="1757">
        <f t="shared" ca="1" si="253"/>
        <v>0</v>
      </c>
      <c r="JU121" s="1757">
        <f t="shared" ca="1" si="253"/>
        <v>0</v>
      </c>
      <c r="JV121" s="1757">
        <f t="shared" ref="JV121:KE130" ca="1" si="254">IF(JV$171=0,0,IF($FU121=0,0,SUMPRODUCT(OFFSET($DJ$173:$DJ$365,0,$FO121),JV$173:JV$365,$FS$173:$FS$365,$CY$173:$CY$365)*JV$25))</f>
        <v>0</v>
      </c>
      <c r="JW121" s="1757">
        <f t="shared" ca="1" si="254"/>
        <v>0</v>
      </c>
      <c r="JX121" s="1757">
        <f t="shared" ca="1" si="254"/>
        <v>0</v>
      </c>
      <c r="JY121" s="1757">
        <f t="shared" ca="1" si="254"/>
        <v>0</v>
      </c>
      <c r="JZ121" s="1757">
        <f t="shared" ca="1" si="254"/>
        <v>0</v>
      </c>
      <c r="KA121" s="1757">
        <f t="shared" ca="1" si="254"/>
        <v>0</v>
      </c>
      <c r="KB121" s="1757">
        <f t="shared" ca="1" si="254"/>
        <v>0</v>
      </c>
      <c r="KC121" s="1757">
        <f t="shared" ca="1" si="254"/>
        <v>0</v>
      </c>
      <c r="KD121" s="1757">
        <f t="shared" ca="1" si="254"/>
        <v>0</v>
      </c>
      <c r="KE121" s="1757">
        <f t="shared" ca="1" si="254"/>
        <v>0</v>
      </c>
      <c r="KF121" s="1757">
        <f t="shared" ref="KF121:KO130" ca="1" si="255">IF(KF$171=0,0,IF($FU121=0,0,SUMPRODUCT(OFFSET($DJ$173:$DJ$365,0,$FO121),KF$173:KF$365,$FS$173:$FS$365,$CY$173:$CY$365)*KF$25))</f>
        <v>0</v>
      </c>
      <c r="KG121" s="1757">
        <f t="shared" ca="1" si="255"/>
        <v>0</v>
      </c>
      <c r="KH121" s="1757">
        <f t="shared" ca="1" si="255"/>
        <v>0</v>
      </c>
      <c r="KI121" s="1757">
        <f t="shared" ca="1" si="255"/>
        <v>0</v>
      </c>
      <c r="KJ121" s="1757">
        <f t="shared" ca="1" si="255"/>
        <v>0</v>
      </c>
      <c r="KK121" s="1757">
        <f t="shared" ca="1" si="255"/>
        <v>0</v>
      </c>
      <c r="KL121" s="1757">
        <f t="shared" ca="1" si="255"/>
        <v>0</v>
      </c>
      <c r="KM121" s="1757">
        <f t="shared" ca="1" si="255"/>
        <v>0</v>
      </c>
      <c r="KN121" s="1757">
        <f t="shared" ca="1" si="255"/>
        <v>0</v>
      </c>
      <c r="KO121" s="1757">
        <f t="shared" ca="1" si="255"/>
        <v>0</v>
      </c>
      <c r="KP121" s="1757">
        <f t="shared" ref="KP121:KY130" ca="1" si="256">IF(KP$171=0,0,IF($FU121=0,0,SUMPRODUCT(OFFSET($DJ$173:$DJ$365,0,$FO121),KP$173:KP$365,$FS$173:$FS$365,$CY$173:$CY$365)*KP$25))</f>
        <v>0</v>
      </c>
      <c r="KQ121" s="1757">
        <f t="shared" ca="1" si="256"/>
        <v>0</v>
      </c>
      <c r="KR121" s="1757">
        <f t="shared" ca="1" si="256"/>
        <v>0</v>
      </c>
      <c r="KS121" s="1757">
        <f t="shared" ca="1" si="256"/>
        <v>0</v>
      </c>
      <c r="KT121" s="1757">
        <f t="shared" ca="1" si="256"/>
        <v>0</v>
      </c>
      <c r="KU121" s="1757">
        <f t="shared" ca="1" si="256"/>
        <v>0</v>
      </c>
      <c r="KV121" s="1757">
        <f t="shared" ca="1" si="256"/>
        <v>0</v>
      </c>
      <c r="KW121" s="1757">
        <f t="shared" ca="1" si="256"/>
        <v>0</v>
      </c>
      <c r="KX121" s="1757">
        <f t="shared" ca="1" si="256"/>
        <v>0</v>
      </c>
      <c r="KY121" s="1757">
        <f t="shared" ca="1" si="256"/>
        <v>0</v>
      </c>
      <c r="KZ121" s="1757">
        <f t="shared" ref="KZ121:LI130" ca="1" si="257">IF(KZ$171=0,0,IF($FU121=0,0,SUMPRODUCT(OFFSET($DJ$173:$DJ$365,0,$FO121),KZ$173:KZ$365,$FS$173:$FS$365,$CY$173:$CY$365)*KZ$25))</f>
        <v>0</v>
      </c>
      <c r="LA121" s="1757">
        <f t="shared" ca="1" si="257"/>
        <v>0</v>
      </c>
      <c r="LB121" s="1757">
        <f t="shared" ca="1" si="257"/>
        <v>0</v>
      </c>
      <c r="LC121" s="1757">
        <f t="shared" ca="1" si="257"/>
        <v>0</v>
      </c>
      <c r="LD121" s="1757">
        <f t="shared" ca="1" si="257"/>
        <v>0</v>
      </c>
      <c r="LE121" s="1757">
        <f t="shared" ca="1" si="257"/>
        <v>0</v>
      </c>
      <c r="LF121" s="1757">
        <f t="shared" ca="1" si="257"/>
        <v>0</v>
      </c>
      <c r="LG121" s="1757">
        <f t="shared" ca="1" si="257"/>
        <v>0</v>
      </c>
      <c r="LH121" s="1757">
        <f t="shared" ca="1" si="257"/>
        <v>0</v>
      </c>
      <c r="LI121" s="1757">
        <f t="shared" ca="1" si="257"/>
        <v>0</v>
      </c>
      <c r="LJ121" s="1757">
        <f t="shared" ref="LJ121:LP130" ca="1" si="258">IF(LJ$171=0,0,IF($FU121=0,0,SUMPRODUCT(OFFSET($DJ$173:$DJ$365,0,$FO121),LJ$173:LJ$365,$FS$173:$FS$365,$CY$173:$CY$365)*LJ$25))</f>
        <v>0</v>
      </c>
      <c r="LK121" s="1757">
        <f t="shared" ca="1" si="258"/>
        <v>0</v>
      </c>
      <c r="LL121" s="1757">
        <f t="shared" ca="1" si="258"/>
        <v>0</v>
      </c>
      <c r="LM121" s="1757">
        <f t="shared" ca="1" si="258"/>
        <v>0</v>
      </c>
      <c r="LN121" s="1757">
        <f t="shared" ca="1" si="258"/>
        <v>0</v>
      </c>
      <c r="LO121" s="1757">
        <f t="shared" ca="1" si="258"/>
        <v>0</v>
      </c>
      <c r="LP121" s="1758">
        <f t="shared" ca="1" si="258"/>
        <v>0</v>
      </c>
      <c r="LQ121" s="604"/>
    </row>
    <row r="122" spans="1:329" ht="12.75" customHeight="1" x14ac:dyDescent="0.3">
      <c r="A122" s="279"/>
      <c r="B122" s="41"/>
      <c r="C122" s="82"/>
      <c r="D122" s="41"/>
      <c r="E122" s="9"/>
      <c r="F122" s="9"/>
      <c r="G122" s="9"/>
      <c r="H122" s="10"/>
      <c r="I122" s="10"/>
      <c r="J122" s="10"/>
      <c r="K122" s="10"/>
      <c r="L122" s="10"/>
      <c r="M122" s="10"/>
      <c r="N122" s="9"/>
      <c r="O122" s="9"/>
      <c r="P122" s="44"/>
      <c r="Q122" s="44"/>
      <c r="R122" s="9"/>
      <c r="S122" s="9"/>
      <c r="T122" s="9"/>
      <c r="U122" s="9"/>
      <c r="V122" s="9"/>
      <c r="W122" s="9"/>
      <c r="X122" s="9"/>
      <c r="Y122" s="9"/>
      <c r="Z122" s="9"/>
      <c r="AA122" s="9"/>
      <c r="AB122" s="9"/>
      <c r="AC122" s="9"/>
      <c r="AD122" s="9"/>
      <c r="AE122" s="9"/>
      <c r="AF122" s="9"/>
      <c r="AG122" s="9"/>
      <c r="AH122" s="2514"/>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113"/>
      <c r="DI122" s="113"/>
      <c r="DJ122" s="113"/>
      <c r="DK122" s="118"/>
      <c r="DL122" s="118"/>
      <c r="DM122" s="118"/>
      <c r="DN122" s="118"/>
      <c r="DO122" s="118"/>
      <c r="DP122" s="118"/>
      <c r="DQ122" s="118"/>
      <c r="DR122" s="118"/>
      <c r="DS122" s="118"/>
      <c r="DT122" s="118"/>
      <c r="DU122" s="118"/>
      <c r="DV122" s="118"/>
      <c r="DW122" s="118"/>
      <c r="DX122" s="118"/>
      <c r="DY122" s="118"/>
      <c r="DZ122" s="118"/>
      <c r="EA122" s="118"/>
      <c r="EB122" s="118"/>
      <c r="EC122" s="118"/>
      <c r="ED122" s="118"/>
      <c r="EE122" s="118"/>
      <c r="EF122" s="118"/>
      <c r="EG122" s="118"/>
      <c r="EH122" s="118"/>
      <c r="EI122" s="118"/>
      <c r="EJ122" s="118"/>
      <c r="EK122" s="118"/>
      <c r="EL122" s="118"/>
      <c r="EM122" s="118"/>
      <c r="EN122" s="118"/>
      <c r="EO122" s="118"/>
      <c r="EP122" s="118"/>
      <c r="EQ122" s="118"/>
      <c r="ER122" s="118"/>
      <c r="ES122" s="118"/>
      <c r="ET122" s="118"/>
      <c r="EU122" s="118"/>
      <c r="EV122" s="118"/>
      <c r="EW122" s="118"/>
      <c r="EX122" s="118"/>
      <c r="EY122" s="118"/>
      <c r="EZ122" s="118"/>
      <c r="FA122" s="118"/>
      <c r="FB122" s="118"/>
      <c r="FC122" s="118"/>
      <c r="FD122" s="118"/>
      <c r="FE122" s="118"/>
      <c r="FF122" s="118"/>
      <c r="FG122" s="118"/>
      <c r="FH122" s="118"/>
      <c r="FI122" s="180"/>
      <c r="FJ122" s="132"/>
      <c r="FK122" s="132"/>
      <c r="FL122" s="181">
        <f t="shared" ca="1" si="197"/>
        <v>19</v>
      </c>
      <c r="FM122" s="1340">
        <f t="shared" ca="1" si="198"/>
        <v>0</v>
      </c>
      <c r="FN122" s="1341">
        <f t="shared" ca="1" si="199"/>
        <v>0</v>
      </c>
      <c r="FO122" s="1342">
        <f t="shared" ca="1" si="200"/>
        <v>18</v>
      </c>
      <c r="FP122" s="1343">
        <f t="shared" ca="1" si="201"/>
        <v>0</v>
      </c>
      <c r="FQ122" s="1344">
        <f t="shared" si="202"/>
        <v>40</v>
      </c>
      <c r="FR122" s="1344">
        <f t="shared" si="203"/>
        <v>50</v>
      </c>
      <c r="FS122" s="1345">
        <f t="shared" si="204"/>
        <v>19</v>
      </c>
      <c r="FT122" s="1345"/>
      <c r="FU122" s="1346">
        <f t="shared" ca="1" si="219"/>
        <v>0</v>
      </c>
      <c r="FV122" s="1346"/>
      <c r="FW122" s="1346"/>
      <c r="FX122" s="1347"/>
      <c r="FY122" s="1348"/>
      <c r="FZ122" s="1348"/>
      <c r="GA122" s="1348"/>
      <c r="GB122" s="1349"/>
      <c r="GC122" s="1350"/>
      <c r="GD122" s="1348"/>
      <c r="GE122" s="1348"/>
      <c r="GF122" s="1348"/>
      <c r="GG122" s="1348"/>
      <c r="GH122" s="1348"/>
      <c r="GI122" s="1348"/>
      <c r="GJ122" s="1348"/>
      <c r="GK122" s="1348"/>
      <c r="GL122" s="1348"/>
      <c r="GM122" s="1348"/>
      <c r="GN122" s="3825">
        <f t="shared" ca="1" si="205"/>
        <v>0</v>
      </c>
      <c r="GO122" s="3825"/>
      <c r="GP122" s="3825"/>
      <c r="GQ122" s="3826"/>
      <c r="GR122" s="3675"/>
      <c r="GS122" s="3676"/>
      <c r="GT122" s="1756">
        <f t="shared" ca="1" si="246"/>
        <v>0</v>
      </c>
      <c r="GU122" s="1757">
        <f t="shared" ca="1" si="246"/>
        <v>0</v>
      </c>
      <c r="GV122" s="1757">
        <f t="shared" ca="1" si="246"/>
        <v>0</v>
      </c>
      <c r="GW122" s="1757">
        <f t="shared" ca="1" si="246"/>
        <v>0</v>
      </c>
      <c r="GX122" s="1757">
        <f t="shared" ca="1" si="246"/>
        <v>0</v>
      </c>
      <c r="GY122" s="1757">
        <f t="shared" ca="1" si="246"/>
        <v>0</v>
      </c>
      <c r="GZ122" s="1757">
        <f t="shared" ca="1" si="246"/>
        <v>0</v>
      </c>
      <c r="HA122" s="1757">
        <f t="shared" ca="1" si="246"/>
        <v>0</v>
      </c>
      <c r="HB122" s="1757">
        <f t="shared" ca="1" si="246"/>
        <v>0</v>
      </c>
      <c r="HC122" s="1757">
        <f t="shared" ca="1" si="246"/>
        <v>0</v>
      </c>
      <c r="HD122" s="1757">
        <f t="shared" ca="1" si="247"/>
        <v>0</v>
      </c>
      <c r="HE122" s="1757">
        <f t="shared" ca="1" si="247"/>
        <v>0</v>
      </c>
      <c r="HF122" s="1757">
        <f t="shared" ca="1" si="247"/>
        <v>0</v>
      </c>
      <c r="HG122" s="1757">
        <f t="shared" ca="1" si="247"/>
        <v>0</v>
      </c>
      <c r="HH122" s="1757">
        <f t="shared" ca="1" si="247"/>
        <v>0</v>
      </c>
      <c r="HI122" s="1757">
        <f t="shared" ca="1" si="247"/>
        <v>0</v>
      </c>
      <c r="HJ122" s="1757">
        <f t="shared" ca="1" si="247"/>
        <v>0</v>
      </c>
      <c r="HK122" s="1757">
        <f t="shared" ca="1" si="247"/>
        <v>0</v>
      </c>
      <c r="HL122" s="1757">
        <f t="shared" ca="1" si="247"/>
        <v>0</v>
      </c>
      <c r="HM122" s="1757">
        <f t="shared" ca="1" si="247"/>
        <v>0</v>
      </c>
      <c r="HN122" s="1757">
        <f t="shared" ca="1" si="248"/>
        <v>0</v>
      </c>
      <c r="HO122" s="1757">
        <f t="shared" ca="1" si="248"/>
        <v>0</v>
      </c>
      <c r="HP122" s="1757">
        <f t="shared" ca="1" si="248"/>
        <v>0</v>
      </c>
      <c r="HQ122" s="1757">
        <f t="shared" ca="1" si="248"/>
        <v>0</v>
      </c>
      <c r="HR122" s="1757">
        <f t="shared" ca="1" si="248"/>
        <v>0</v>
      </c>
      <c r="HS122" s="1757">
        <f t="shared" ca="1" si="248"/>
        <v>0</v>
      </c>
      <c r="HT122" s="1757">
        <f t="shared" ca="1" si="248"/>
        <v>0</v>
      </c>
      <c r="HU122" s="1757">
        <f t="shared" ca="1" si="248"/>
        <v>0</v>
      </c>
      <c r="HV122" s="1757">
        <f t="shared" ca="1" si="248"/>
        <v>0</v>
      </c>
      <c r="HW122" s="1757">
        <f t="shared" ca="1" si="248"/>
        <v>0</v>
      </c>
      <c r="HX122" s="1757">
        <f t="shared" ca="1" si="249"/>
        <v>0</v>
      </c>
      <c r="HY122" s="1757">
        <f t="shared" ca="1" si="249"/>
        <v>0</v>
      </c>
      <c r="HZ122" s="1757">
        <f t="shared" ca="1" si="249"/>
        <v>0</v>
      </c>
      <c r="IA122" s="1757">
        <f t="shared" ca="1" si="249"/>
        <v>0</v>
      </c>
      <c r="IB122" s="1757">
        <f t="shared" ca="1" si="249"/>
        <v>0</v>
      </c>
      <c r="IC122" s="1757">
        <f t="shared" ca="1" si="249"/>
        <v>0</v>
      </c>
      <c r="ID122" s="1757">
        <f t="shared" ca="1" si="249"/>
        <v>0</v>
      </c>
      <c r="IE122" s="1757">
        <f t="shared" ca="1" si="249"/>
        <v>0</v>
      </c>
      <c r="IF122" s="1757">
        <f t="shared" ca="1" si="249"/>
        <v>0</v>
      </c>
      <c r="IG122" s="1757">
        <f t="shared" ca="1" si="249"/>
        <v>0</v>
      </c>
      <c r="IH122" s="1757">
        <f t="shared" ca="1" si="250"/>
        <v>0</v>
      </c>
      <c r="II122" s="1757">
        <f t="shared" ca="1" si="250"/>
        <v>0</v>
      </c>
      <c r="IJ122" s="1757">
        <f t="shared" ca="1" si="250"/>
        <v>0</v>
      </c>
      <c r="IK122" s="1757">
        <f t="shared" ca="1" si="250"/>
        <v>0</v>
      </c>
      <c r="IL122" s="1757">
        <f t="shared" ca="1" si="250"/>
        <v>0</v>
      </c>
      <c r="IM122" s="1757">
        <f t="shared" ca="1" si="250"/>
        <v>0</v>
      </c>
      <c r="IN122" s="1757">
        <f t="shared" ca="1" si="250"/>
        <v>0</v>
      </c>
      <c r="IO122" s="1757">
        <f t="shared" ca="1" si="250"/>
        <v>0</v>
      </c>
      <c r="IP122" s="1757">
        <f t="shared" ca="1" si="250"/>
        <v>0</v>
      </c>
      <c r="IQ122" s="1757">
        <f t="shared" ca="1" si="250"/>
        <v>0</v>
      </c>
      <c r="IR122" s="1757">
        <f t="shared" ca="1" si="251"/>
        <v>0</v>
      </c>
      <c r="IS122" s="1757">
        <f t="shared" ca="1" si="251"/>
        <v>0</v>
      </c>
      <c r="IT122" s="1757">
        <f t="shared" ca="1" si="251"/>
        <v>0</v>
      </c>
      <c r="IU122" s="1757">
        <f t="shared" ca="1" si="251"/>
        <v>0</v>
      </c>
      <c r="IV122" s="1757">
        <f t="shared" ca="1" si="251"/>
        <v>0</v>
      </c>
      <c r="IW122" s="1757">
        <f t="shared" ca="1" si="251"/>
        <v>0</v>
      </c>
      <c r="IX122" s="1757">
        <f t="shared" ca="1" si="251"/>
        <v>0</v>
      </c>
      <c r="IY122" s="1757">
        <f t="shared" ca="1" si="251"/>
        <v>0</v>
      </c>
      <c r="IZ122" s="1757">
        <f t="shared" ca="1" si="251"/>
        <v>0</v>
      </c>
      <c r="JA122" s="1757">
        <f t="shared" ca="1" si="251"/>
        <v>0</v>
      </c>
      <c r="JB122" s="1757">
        <f t="shared" ca="1" si="252"/>
        <v>0</v>
      </c>
      <c r="JC122" s="1757">
        <f t="shared" ca="1" si="252"/>
        <v>0</v>
      </c>
      <c r="JD122" s="1757">
        <f t="shared" ca="1" si="252"/>
        <v>0</v>
      </c>
      <c r="JE122" s="1757">
        <f t="shared" ca="1" si="252"/>
        <v>0</v>
      </c>
      <c r="JF122" s="1757">
        <f t="shared" ca="1" si="252"/>
        <v>0</v>
      </c>
      <c r="JG122" s="1757">
        <f t="shared" ca="1" si="252"/>
        <v>0</v>
      </c>
      <c r="JH122" s="1757">
        <f t="shared" ca="1" si="252"/>
        <v>0</v>
      </c>
      <c r="JI122" s="1757">
        <f t="shared" ca="1" si="252"/>
        <v>0</v>
      </c>
      <c r="JJ122" s="1757">
        <f t="shared" ca="1" si="252"/>
        <v>0</v>
      </c>
      <c r="JK122" s="1757">
        <f t="shared" ca="1" si="252"/>
        <v>0</v>
      </c>
      <c r="JL122" s="1757">
        <f t="shared" ca="1" si="253"/>
        <v>0</v>
      </c>
      <c r="JM122" s="1757">
        <f t="shared" ca="1" si="253"/>
        <v>0</v>
      </c>
      <c r="JN122" s="1757">
        <f t="shared" ca="1" si="253"/>
        <v>0</v>
      </c>
      <c r="JO122" s="1757">
        <f t="shared" ca="1" si="253"/>
        <v>0</v>
      </c>
      <c r="JP122" s="1757">
        <f t="shared" ca="1" si="253"/>
        <v>0</v>
      </c>
      <c r="JQ122" s="1757">
        <f t="shared" ca="1" si="253"/>
        <v>0</v>
      </c>
      <c r="JR122" s="1757">
        <f t="shared" ca="1" si="253"/>
        <v>0</v>
      </c>
      <c r="JS122" s="1757">
        <f t="shared" ca="1" si="253"/>
        <v>0</v>
      </c>
      <c r="JT122" s="1757">
        <f t="shared" ca="1" si="253"/>
        <v>0</v>
      </c>
      <c r="JU122" s="1757">
        <f t="shared" ca="1" si="253"/>
        <v>0</v>
      </c>
      <c r="JV122" s="1757">
        <f t="shared" ca="1" si="254"/>
        <v>0</v>
      </c>
      <c r="JW122" s="1757">
        <f t="shared" ca="1" si="254"/>
        <v>0</v>
      </c>
      <c r="JX122" s="1757">
        <f t="shared" ca="1" si="254"/>
        <v>0</v>
      </c>
      <c r="JY122" s="1757">
        <f t="shared" ca="1" si="254"/>
        <v>0</v>
      </c>
      <c r="JZ122" s="1757">
        <f t="shared" ca="1" si="254"/>
        <v>0</v>
      </c>
      <c r="KA122" s="1757">
        <f t="shared" ca="1" si="254"/>
        <v>0</v>
      </c>
      <c r="KB122" s="1757">
        <f t="shared" ca="1" si="254"/>
        <v>0</v>
      </c>
      <c r="KC122" s="1757">
        <f t="shared" ca="1" si="254"/>
        <v>0</v>
      </c>
      <c r="KD122" s="1757">
        <f t="shared" ca="1" si="254"/>
        <v>0</v>
      </c>
      <c r="KE122" s="1757">
        <f t="shared" ca="1" si="254"/>
        <v>0</v>
      </c>
      <c r="KF122" s="1757">
        <f t="shared" ca="1" si="255"/>
        <v>0</v>
      </c>
      <c r="KG122" s="1757">
        <f t="shared" ca="1" si="255"/>
        <v>0</v>
      </c>
      <c r="KH122" s="1757">
        <f t="shared" ca="1" si="255"/>
        <v>0</v>
      </c>
      <c r="KI122" s="1757">
        <f t="shared" ca="1" si="255"/>
        <v>0</v>
      </c>
      <c r="KJ122" s="1757">
        <f t="shared" ca="1" si="255"/>
        <v>0</v>
      </c>
      <c r="KK122" s="1757">
        <f t="shared" ca="1" si="255"/>
        <v>0</v>
      </c>
      <c r="KL122" s="1757">
        <f t="shared" ca="1" si="255"/>
        <v>0</v>
      </c>
      <c r="KM122" s="1757">
        <f t="shared" ca="1" si="255"/>
        <v>0</v>
      </c>
      <c r="KN122" s="1757">
        <f t="shared" ca="1" si="255"/>
        <v>0</v>
      </c>
      <c r="KO122" s="1757">
        <f t="shared" ca="1" si="255"/>
        <v>0</v>
      </c>
      <c r="KP122" s="1757">
        <f t="shared" ca="1" si="256"/>
        <v>0</v>
      </c>
      <c r="KQ122" s="1757">
        <f t="shared" ca="1" si="256"/>
        <v>0</v>
      </c>
      <c r="KR122" s="1757">
        <f t="shared" ca="1" si="256"/>
        <v>0</v>
      </c>
      <c r="KS122" s="1757">
        <f t="shared" ca="1" si="256"/>
        <v>0</v>
      </c>
      <c r="KT122" s="1757">
        <f t="shared" ca="1" si="256"/>
        <v>0</v>
      </c>
      <c r="KU122" s="1757">
        <f t="shared" ca="1" si="256"/>
        <v>0</v>
      </c>
      <c r="KV122" s="1757">
        <f t="shared" ca="1" si="256"/>
        <v>0</v>
      </c>
      <c r="KW122" s="1757">
        <f t="shared" ca="1" si="256"/>
        <v>0</v>
      </c>
      <c r="KX122" s="1757">
        <f t="shared" ca="1" si="256"/>
        <v>0</v>
      </c>
      <c r="KY122" s="1757">
        <f t="shared" ca="1" si="256"/>
        <v>0</v>
      </c>
      <c r="KZ122" s="1757">
        <f t="shared" ca="1" si="257"/>
        <v>0</v>
      </c>
      <c r="LA122" s="1757">
        <f t="shared" ca="1" si="257"/>
        <v>0</v>
      </c>
      <c r="LB122" s="1757">
        <f t="shared" ca="1" si="257"/>
        <v>0</v>
      </c>
      <c r="LC122" s="1757">
        <f t="shared" ca="1" si="257"/>
        <v>0</v>
      </c>
      <c r="LD122" s="1757">
        <f t="shared" ca="1" si="257"/>
        <v>0</v>
      </c>
      <c r="LE122" s="1757">
        <f t="shared" ca="1" si="257"/>
        <v>0</v>
      </c>
      <c r="LF122" s="1757">
        <f t="shared" ca="1" si="257"/>
        <v>0</v>
      </c>
      <c r="LG122" s="1757">
        <f t="shared" ca="1" si="257"/>
        <v>0</v>
      </c>
      <c r="LH122" s="1757">
        <f t="shared" ca="1" si="257"/>
        <v>0</v>
      </c>
      <c r="LI122" s="1757">
        <f t="shared" ca="1" si="257"/>
        <v>0</v>
      </c>
      <c r="LJ122" s="1757">
        <f t="shared" ca="1" si="258"/>
        <v>0</v>
      </c>
      <c r="LK122" s="1757">
        <f t="shared" ca="1" si="258"/>
        <v>0</v>
      </c>
      <c r="LL122" s="1757">
        <f t="shared" ca="1" si="258"/>
        <v>0</v>
      </c>
      <c r="LM122" s="1757">
        <f t="shared" ca="1" si="258"/>
        <v>0</v>
      </c>
      <c r="LN122" s="1757">
        <f t="shared" ca="1" si="258"/>
        <v>0</v>
      </c>
      <c r="LO122" s="1757">
        <f t="shared" ca="1" si="258"/>
        <v>0</v>
      </c>
      <c r="LP122" s="1758">
        <f t="shared" ca="1" si="258"/>
        <v>0</v>
      </c>
      <c r="LQ122" s="604"/>
    </row>
    <row r="123" spans="1:329" ht="12.75" customHeight="1" x14ac:dyDescent="0.3">
      <c r="A123" s="279"/>
      <c r="B123" s="41"/>
      <c r="C123" s="82"/>
      <c r="D123" s="41"/>
      <c r="E123" s="9"/>
      <c r="F123" s="9"/>
      <c r="G123" s="9"/>
      <c r="H123" s="10"/>
      <c r="I123" s="10"/>
      <c r="J123" s="10"/>
      <c r="K123" s="10"/>
      <c r="L123" s="10"/>
      <c r="M123" s="10"/>
      <c r="N123" s="9"/>
      <c r="O123" s="9"/>
      <c r="P123" s="44"/>
      <c r="Q123" s="44"/>
      <c r="R123" s="9"/>
      <c r="S123" s="9"/>
      <c r="T123" s="9"/>
      <c r="U123" s="9"/>
      <c r="V123" s="9"/>
      <c r="W123" s="9"/>
      <c r="X123" s="9"/>
      <c r="Y123" s="9"/>
      <c r="Z123" s="9"/>
      <c r="AA123" s="9"/>
      <c r="AB123" s="9"/>
      <c r="AC123" s="9"/>
      <c r="AD123" s="9"/>
      <c r="AE123" s="9"/>
      <c r="AF123" s="9"/>
      <c r="AG123" s="9"/>
      <c r="AH123" s="2514"/>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113"/>
      <c r="DI123" s="113"/>
      <c r="DJ123" s="113"/>
      <c r="DK123" s="118"/>
      <c r="DL123" s="118"/>
      <c r="DM123" s="118"/>
      <c r="DN123" s="118"/>
      <c r="DO123" s="118"/>
      <c r="DP123" s="118"/>
      <c r="DQ123" s="118"/>
      <c r="DR123" s="118"/>
      <c r="DS123" s="118"/>
      <c r="DT123" s="118"/>
      <c r="DU123" s="118"/>
      <c r="DV123" s="118"/>
      <c r="DW123" s="118"/>
      <c r="DX123" s="118"/>
      <c r="DY123" s="118"/>
      <c r="DZ123" s="118"/>
      <c r="EA123" s="118"/>
      <c r="EB123" s="118"/>
      <c r="EC123" s="118"/>
      <c r="ED123" s="118"/>
      <c r="EE123" s="118"/>
      <c r="EF123" s="118"/>
      <c r="EG123" s="118"/>
      <c r="EH123" s="118"/>
      <c r="EI123" s="118"/>
      <c r="EJ123" s="118"/>
      <c r="EK123" s="118"/>
      <c r="EL123" s="118"/>
      <c r="EM123" s="118"/>
      <c r="EN123" s="118"/>
      <c r="EO123" s="118"/>
      <c r="EP123" s="118"/>
      <c r="EQ123" s="118"/>
      <c r="ER123" s="118"/>
      <c r="ES123" s="118"/>
      <c r="ET123" s="118"/>
      <c r="EU123" s="118"/>
      <c r="EV123" s="118"/>
      <c r="EW123" s="118"/>
      <c r="EX123" s="118"/>
      <c r="EY123" s="118"/>
      <c r="EZ123" s="118"/>
      <c r="FA123" s="118"/>
      <c r="FB123" s="118"/>
      <c r="FC123" s="118"/>
      <c r="FD123" s="118"/>
      <c r="FE123" s="118"/>
      <c r="FF123" s="118"/>
      <c r="FG123" s="118"/>
      <c r="FH123" s="118"/>
      <c r="FI123" s="180"/>
      <c r="FJ123" s="132"/>
      <c r="FK123" s="132"/>
      <c r="FL123" s="181">
        <f t="shared" ca="1" si="197"/>
        <v>18</v>
      </c>
      <c r="FM123" s="1340">
        <f t="shared" ref="FM123:FM140" ca="1" si="259">OFFSET($DJ$163,0,FO123)</f>
        <v>0</v>
      </c>
      <c r="FN123" s="1341">
        <f t="shared" ca="1" si="199"/>
        <v>0</v>
      </c>
      <c r="FO123" s="1342">
        <f t="shared" ref="FO123:FO140" ca="1" si="260">OFFSET($DJ$20,0,$FS123-1)-1</f>
        <v>17</v>
      </c>
      <c r="FP123" s="1343">
        <f t="shared" ref="FP123:FP140" ca="1" si="261">OFFSET($DJ$25,0,$FO123)</f>
        <v>0</v>
      </c>
      <c r="FQ123" s="1344">
        <f t="shared" ref="FQ123:FQ140" si="262">IF(ISBLANK(GR123),$GP$147*$FN$8,$GP$147*$FN$8*GR123)</f>
        <v>40</v>
      </c>
      <c r="FR123" s="1344">
        <f t="shared" ref="FR123:FR140" si="263">IF(ISBLANK(GR123),$GP$148*$FN$8,$GP$148*$FN$8*GR123)</f>
        <v>50</v>
      </c>
      <c r="FS123" s="1345">
        <f t="shared" si="204"/>
        <v>18</v>
      </c>
      <c r="FT123" s="1345"/>
      <c r="FU123" s="1346">
        <f t="shared" ca="1" si="219"/>
        <v>0</v>
      </c>
      <c r="FV123" s="1346"/>
      <c r="FW123" s="1346"/>
      <c r="FX123" s="1347"/>
      <c r="FY123" s="1348"/>
      <c r="FZ123" s="1348"/>
      <c r="GA123" s="1348"/>
      <c r="GB123" s="1349"/>
      <c r="GC123" s="1350"/>
      <c r="GD123" s="1348"/>
      <c r="GE123" s="1348"/>
      <c r="GF123" s="1348"/>
      <c r="GG123" s="1348"/>
      <c r="GH123" s="1348"/>
      <c r="GI123" s="1348"/>
      <c r="GJ123" s="1348"/>
      <c r="GK123" s="1348"/>
      <c r="GL123" s="1348"/>
      <c r="GM123" s="1348"/>
      <c r="GN123" s="3825">
        <f t="shared" ref="GN123:GN140" ca="1" si="264">OFFSET($DJ$169,0,$FO123)</f>
        <v>0</v>
      </c>
      <c r="GO123" s="3825"/>
      <c r="GP123" s="3825"/>
      <c r="GQ123" s="3826"/>
      <c r="GR123" s="3675"/>
      <c r="GS123" s="3676"/>
      <c r="GT123" s="1756">
        <f t="shared" ca="1" si="246"/>
        <v>0</v>
      </c>
      <c r="GU123" s="1757">
        <f t="shared" ca="1" si="246"/>
        <v>0</v>
      </c>
      <c r="GV123" s="1757">
        <f t="shared" ca="1" si="246"/>
        <v>0</v>
      </c>
      <c r="GW123" s="1757">
        <f t="shared" ca="1" si="246"/>
        <v>0</v>
      </c>
      <c r="GX123" s="1757">
        <f t="shared" ca="1" si="246"/>
        <v>0</v>
      </c>
      <c r="GY123" s="1757">
        <f t="shared" ca="1" si="246"/>
        <v>0</v>
      </c>
      <c r="GZ123" s="1757">
        <f t="shared" ca="1" si="246"/>
        <v>0</v>
      </c>
      <c r="HA123" s="1757">
        <f t="shared" ca="1" si="246"/>
        <v>0</v>
      </c>
      <c r="HB123" s="1757">
        <f t="shared" ca="1" si="246"/>
        <v>0</v>
      </c>
      <c r="HC123" s="1757">
        <f t="shared" ca="1" si="246"/>
        <v>0</v>
      </c>
      <c r="HD123" s="1757">
        <f t="shared" ca="1" si="247"/>
        <v>0</v>
      </c>
      <c r="HE123" s="1757">
        <f t="shared" ca="1" si="247"/>
        <v>0</v>
      </c>
      <c r="HF123" s="1757">
        <f t="shared" ca="1" si="247"/>
        <v>0</v>
      </c>
      <c r="HG123" s="1757">
        <f t="shared" ca="1" si="247"/>
        <v>0</v>
      </c>
      <c r="HH123" s="1757">
        <f t="shared" ca="1" si="247"/>
        <v>0</v>
      </c>
      <c r="HI123" s="1757">
        <f t="shared" ca="1" si="247"/>
        <v>0</v>
      </c>
      <c r="HJ123" s="1757">
        <f t="shared" ca="1" si="247"/>
        <v>0</v>
      </c>
      <c r="HK123" s="1757">
        <f t="shared" ca="1" si="247"/>
        <v>0</v>
      </c>
      <c r="HL123" s="1757">
        <f t="shared" ca="1" si="247"/>
        <v>0</v>
      </c>
      <c r="HM123" s="1757">
        <f t="shared" ca="1" si="247"/>
        <v>0</v>
      </c>
      <c r="HN123" s="1757">
        <f t="shared" ca="1" si="248"/>
        <v>0</v>
      </c>
      <c r="HO123" s="1757">
        <f t="shared" ca="1" si="248"/>
        <v>0</v>
      </c>
      <c r="HP123" s="1757">
        <f t="shared" ca="1" si="248"/>
        <v>0</v>
      </c>
      <c r="HQ123" s="1757">
        <f t="shared" ca="1" si="248"/>
        <v>0</v>
      </c>
      <c r="HR123" s="1757">
        <f t="shared" ca="1" si="248"/>
        <v>0</v>
      </c>
      <c r="HS123" s="1757">
        <f t="shared" ca="1" si="248"/>
        <v>0</v>
      </c>
      <c r="HT123" s="1757">
        <f t="shared" ca="1" si="248"/>
        <v>0</v>
      </c>
      <c r="HU123" s="1757">
        <f t="shared" ca="1" si="248"/>
        <v>0</v>
      </c>
      <c r="HV123" s="1757">
        <f t="shared" ca="1" si="248"/>
        <v>0</v>
      </c>
      <c r="HW123" s="1757">
        <f t="shared" ca="1" si="248"/>
        <v>0</v>
      </c>
      <c r="HX123" s="1757">
        <f t="shared" ca="1" si="249"/>
        <v>0</v>
      </c>
      <c r="HY123" s="1757">
        <f t="shared" ca="1" si="249"/>
        <v>0</v>
      </c>
      <c r="HZ123" s="1757">
        <f t="shared" ca="1" si="249"/>
        <v>0</v>
      </c>
      <c r="IA123" s="1757">
        <f t="shared" ca="1" si="249"/>
        <v>0</v>
      </c>
      <c r="IB123" s="1757">
        <f t="shared" ca="1" si="249"/>
        <v>0</v>
      </c>
      <c r="IC123" s="1757">
        <f t="shared" ca="1" si="249"/>
        <v>0</v>
      </c>
      <c r="ID123" s="1757">
        <f t="shared" ca="1" si="249"/>
        <v>0</v>
      </c>
      <c r="IE123" s="1757">
        <f t="shared" ca="1" si="249"/>
        <v>0</v>
      </c>
      <c r="IF123" s="1757">
        <f t="shared" ca="1" si="249"/>
        <v>0</v>
      </c>
      <c r="IG123" s="1757">
        <f t="shared" ca="1" si="249"/>
        <v>0</v>
      </c>
      <c r="IH123" s="1757">
        <f t="shared" ca="1" si="250"/>
        <v>0</v>
      </c>
      <c r="II123" s="1757">
        <f t="shared" ca="1" si="250"/>
        <v>0</v>
      </c>
      <c r="IJ123" s="1757">
        <f t="shared" ca="1" si="250"/>
        <v>0</v>
      </c>
      <c r="IK123" s="1757">
        <f t="shared" ca="1" si="250"/>
        <v>0</v>
      </c>
      <c r="IL123" s="1757">
        <f t="shared" ca="1" si="250"/>
        <v>0</v>
      </c>
      <c r="IM123" s="1757">
        <f t="shared" ca="1" si="250"/>
        <v>0</v>
      </c>
      <c r="IN123" s="1757">
        <f t="shared" ca="1" si="250"/>
        <v>0</v>
      </c>
      <c r="IO123" s="1757">
        <f t="shared" ca="1" si="250"/>
        <v>0</v>
      </c>
      <c r="IP123" s="1757">
        <f t="shared" ca="1" si="250"/>
        <v>0</v>
      </c>
      <c r="IQ123" s="1757">
        <f t="shared" ca="1" si="250"/>
        <v>0</v>
      </c>
      <c r="IR123" s="1757">
        <f t="shared" ca="1" si="251"/>
        <v>0</v>
      </c>
      <c r="IS123" s="1757">
        <f t="shared" ca="1" si="251"/>
        <v>0</v>
      </c>
      <c r="IT123" s="1757">
        <f t="shared" ca="1" si="251"/>
        <v>0</v>
      </c>
      <c r="IU123" s="1757">
        <f t="shared" ca="1" si="251"/>
        <v>0</v>
      </c>
      <c r="IV123" s="1757">
        <f t="shared" ca="1" si="251"/>
        <v>0</v>
      </c>
      <c r="IW123" s="1757">
        <f t="shared" ca="1" si="251"/>
        <v>0</v>
      </c>
      <c r="IX123" s="1757">
        <f t="shared" ca="1" si="251"/>
        <v>0</v>
      </c>
      <c r="IY123" s="1757">
        <f t="shared" ca="1" si="251"/>
        <v>0</v>
      </c>
      <c r="IZ123" s="1757">
        <f t="shared" ca="1" si="251"/>
        <v>0</v>
      </c>
      <c r="JA123" s="1757">
        <f t="shared" ca="1" si="251"/>
        <v>0</v>
      </c>
      <c r="JB123" s="1757">
        <f t="shared" ca="1" si="252"/>
        <v>0</v>
      </c>
      <c r="JC123" s="1757">
        <f t="shared" ca="1" si="252"/>
        <v>0</v>
      </c>
      <c r="JD123" s="1757">
        <f t="shared" ca="1" si="252"/>
        <v>0</v>
      </c>
      <c r="JE123" s="1757">
        <f t="shared" ca="1" si="252"/>
        <v>0</v>
      </c>
      <c r="JF123" s="1757">
        <f t="shared" ca="1" si="252"/>
        <v>0</v>
      </c>
      <c r="JG123" s="1757">
        <f t="shared" ca="1" si="252"/>
        <v>0</v>
      </c>
      <c r="JH123" s="1757">
        <f t="shared" ca="1" si="252"/>
        <v>0</v>
      </c>
      <c r="JI123" s="1757">
        <f t="shared" ca="1" si="252"/>
        <v>0</v>
      </c>
      <c r="JJ123" s="1757">
        <f t="shared" ca="1" si="252"/>
        <v>0</v>
      </c>
      <c r="JK123" s="1757">
        <f t="shared" ca="1" si="252"/>
        <v>0</v>
      </c>
      <c r="JL123" s="1757">
        <f t="shared" ca="1" si="253"/>
        <v>0</v>
      </c>
      <c r="JM123" s="1757">
        <f t="shared" ca="1" si="253"/>
        <v>0</v>
      </c>
      <c r="JN123" s="1757">
        <f t="shared" ca="1" si="253"/>
        <v>0</v>
      </c>
      <c r="JO123" s="1757">
        <f t="shared" ca="1" si="253"/>
        <v>0</v>
      </c>
      <c r="JP123" s="1757">
        <f t="shared" ca="1" si="253"/>
        <v>0</v>
      </c>
      <c r="JQ123" s="1757">
        <f t="shared" ca="1" si="253"/>
        <v>0</v>
      </c>
      <c r="JR123" s="1757">
        <f t="shared" ca="1" si="253"/>
        <v>0</v>
      </c>
      <c r="JS123" s="1757">
        <f t="shared" ca="1" si="253"/>
        <v>0</v>
      </c>
      <c r="JT123" s="1757">
        <f t="shared" ca="1" si="253"/>
        <v>0</v>
      </c>
      <c r="JU123" s="1757">
        <f t="shared" ca="1" si="253"/>
        <v>0</v>
      </c>
      <c r="JV123" s="1757">
        <f t="shared" ca="1" si="254"/>
        <v>0</v>
      </c>
      <c r="JW123" s="1757">
        <f t="shared" ca="1" si="254"/>
        <v>0</v>
      </c>
      <c r="JX123" s="1757">
        <f t="shared" ca="1" si="254"/>
        <v>0</v>
      </c>
      <c r="JY123" s="1757">
        <f t="shared" ca="1" si="254"/>
        <v>0</v>
      </c>
      <c r="JZ123" s="1757">
        <f t="shared" ca="1" si="254"/>
        <v>0</v>
      </c>
      <c r="KA123" s="1757">
        <f t="shared" ca="1" si="254"/>
        <v>0</v>
      </c>
      <c r="KB123" s="1757">
        <f t="shared" ca="1" si="254"/>
        <v>0</v>
      </c>
      <c r="KC123" s="1757">
        <f t="shared" ca="1" si="254"/>
        <v>0</v>
      </c>
      <c r="KD123" s="1757">
        <f t="shared" ca="1" si="254"/>
        <v>0</v>
      </c>
      <c r="KE123" s="1757">
        <f t="shared" ca="1" si="254"/>
        <v>0</v>
      </c>
      <c r="KF123" s="1757">
        <f t="shared" ca="1" si="255"/>
        <v>0</v>
      </c>
      <c r="KG123" s="1757">
        <f t="shared" ca="1" si="255"/>
        <v>0</v>
      </c>
      <c r="KH123" s="1757">
        <f t="shared" ca="1" si="255"/>
        <v>0</v>
      </c>
      <c r="KI123" s="1757">
        <f t="shared" ca="1" si="255"/>
        <v>0</v>
      </c>
      <c r="KJ123" s="1757">
        <f t="shared" ca="1" si="255"/>
        <v>0</v>
      </c>
      <c r="KK123" s="1757">
        <f t="shared" ca="1" si="255"/>
        <v>0</v>
      </c>
      <c r="KL123" s="1757">
        <f t="shared" ca="1" si="255"/>
        <v>0</v>
      </c>
      <c r="KM123" s="1757">
        <f t="shared" ca="1" si="255"/>
        <v>0</v>
      </c>
      <c r="KN123" s="1757">
        <f t="shared" ca="1" si="255"/>
        <v>0</v>
      </c>
      <c r="KO123" s="1757">
        <f t="shared" ca="1" si="255"/>
        <v>0</v>
      </c>
      <c r="KP123" s="1757">
        <f t="shared" ca="1" si="256"/>
        <v>0</v>
      </c>
      <c r="KQ123" s="1757">
        <f t="shared" ca="1" si="256"/>
        <v>0</v>
      </c>
      <c r="KR123" s="1757">
        <f t="shared" ca="1" si="256"/>
        <v>0</v>
      </c>
      <c r="KS123" s="1757">
        <f t="shared" ca="1" si="256"/>
        <v>0</v>
      </c>
      <c r="KT123" s="1757">
        <f t="shared" ca="1" si="256"/>
        <v>0</v>
      </c>
      <c r="KU123" s="1757">
        <f t="shared" ca="1" si="256"/>
        <v>0</v>
      </c>
      <c r="KV123" s="1757">
        <f t="shared" ca="1" si="256"/>
        <v>0</v>
      </c>
      <c r="KW123" s="1757">
        <f t="shared" ca="1" si="256"/>
        <v>0</v>
      </c>
      <c r="KX123" s="1757">
        <f t="shared" ca="1" si="256"/>
        <v>0</v>
      </c>
      <c r="KY123" s="1757">
        <f t="shared" ca="1" si="256"/>
        <v>0</v>
      </c>
      <c r="KZ123" s="1757">
        <f t="shared" ca="1" si="257"/>
        <v>0</v>
      </c>
      <c r="LA123" s="1757">
        <f t="shared" ca="1" si="257"/>
        <v>0</v>
      </c>
      <c r="LB123" s="1757">
        <f t="shared" ca="1" si="257"/>
        <v>0</v>
      </c>
      <c r="LC123" s="1757">
        <f t="shared" ca="1" si="257"/>
        <v>0</v>
      </c>
      <c r="LD123" s="1757">
        <f t="shared" ca="1" si="257"/>
        <v>0</v>
      </c>
      <c r="LE123" s="1757">
        <f t="shared" ca="1" si="257"/>
        <v>0</v>
      </c>
      <c r="LF123" s="1757">
        <f t="shared" ca="1" si="257"/>
        <v>0</v>
      </c>
      <c r="LG123" s="1757">
        <f t="shared" ca="1" si="257"/>
        <v>0</v>
      </c>
      <c r="LH123" s="1757">
        <f t="shared" ca="1" si="257"/>
        <v>0</v>
      </c>
      <c r="LI123" s="1757">
        <f t="shared" ca="1" si="257"/>
        <v>0</v>
      </c>
      <c r="LJ123" s="1757">
        <f t="shared" ca="1" si="258"/>
        <v>0</v>
      </c>
      <c r="LK123" s="1757">
        <f t="shared" ca="1" si="258"/>
        <v>0</v>
      </c>
      <c r="LL123" s="1757">
        <f t="shared" ca="1" si="258"/>
        <v>0</v>
      </c>
      <c r="LM123" s="1757">
        <f t="shared" ca="1" si="258"/>
        <v>0</v>
      </c>
      <c r="LN123" s="1757">
        <f t="shared" ca="1" si="258"/>
        <v>0</v>
      </c>
      <c r="LO123" s="1757">
        <f t="shared" ca="1" si="258"/>
        <v>0</v>
      </c>
      <c r="LP123" s="1758">
        <f t="shared" ca="1" si="258"/>
        <v>0</v>
      </c>
      <c r="LQ123" s="604"/>
    </row>
    <row r="124" spans="1:329" ht="12.75" customHeight="1" x14ac:dyDescent="0.3">
      <c r="A124" s="279"/>
      <c r="B124" s="41"/>
      <c r="C124" s="82"/>
      <c r="D124" s="41"/>
      <c r="E124" s="9"/>
      <c r="F124" s="9"/>
      <c r="G124" s="9"/>
      <c r="H124" s="10"/>
      <c r="I124" s="10"/>
      <c r="J124" s="10"/>
      <c r="K124" s="10"/>
      <c r="L124" s="10"/>
      <c r="M124" s="10"/>
      <c r="N124" s="9"/>
      <c r="O124" s="9"/>
      <c r="P124" s="44"/>
      <c r="Q124" s="44"/>
      <c r="R124" s="9"/>
      <c r="S124" s="9"/>
      <c r="T124" s="9"/>
      <c r="U124" s="9"/>
      <c r="V124" s="9"/>
      <c r="W124" s="9"/>
      <c r="X124" s="9"/>
      <c r="Y124" s="9"/>
      <c r="Z124" s="9"/>
      <c r="AA124" s="9"/>
      <c r="AB124" s="9"/>
      <c r="AC124" s="9"/>
      <c r="AD124" s="9"/>
      <c r="AE124" s="9"/>
      <c r="AF124" s="9"/>
      <c r="AG124" s="9"/>
      <c r="AH124" s="2514"/>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113"/>
      <c r="DI124" s="113"/>
      <c r="DJ124" s="113"/>
      <c r="DK124" s="118"/>
      <c r="DL124" s="118"/>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80"/>
      <c r="FJ124" s="132"/>
      <c r="FK124" s="132"/>
      <c r="FL124" s="181">
        <f t="shared" ca="1" si="197"/>
        <v>17</v>
      </c>
      <c r="FM124" s="1340">
        <f t="shared" ca="1" si="259"/>
        <v>0</v>
      </c>
      <c r="FN124" s="1341">
        <f t="shared" ca="1" si="199"/>
        <v>0</v>
      </c>
      <c r="FO124" s="1342">
        <f t="shared" ca="1" si="260"/>
        <v>16</v>
      </c>
      <c r="FP124" s="1343">
        <f t="shared" ca="1" si="261"/>
        <v>0</v>
      </c>
      <c r="FQ124" s="1344">
        <f t="shared" si="262"/>
        <v>40</v>
      </c>
      <c r="FR124" s="1344">
        <f t="shared" si="263"/>
        <v>50</v>
      </c>
      <c r="FS124" s="1345">
        <f t="shared" si="204"/>
        <v>17</v>
      </c>
      <c r="FT124" s="1345"/>
      <c r="FU124" s="1346">
        <f t="shared" ca="1" si="219"/>
        <v>0</v>
      </c>
      <c r="FV124" s="1346"/>
      <c r="FW124" s="1346"/>
      <c r="FX124" s="1347"/>
      <c r="FY124" s="1348"/>
      <c r="FZ124" s="1348"/>
      <c r="GA124" s="1348"/>
      <c r="GB124" s="1349"/>
      <c r="GC124" s="1350"/>
      <c r="GD124" s="1348"/>
      <c r="GE124" s="1348"/>
      <c r="GF124" s="1348"/>
      <c r="GG124" s="1348"/>
      <c r="GH124" s="1348"/>
      <c r="GI124" s="1348"/>
      <c r="GJ124" s="1348"/>
      <c r="GK124" s="1348"/>
      <c r="GL124" s="1348"/>
      <c r="GM124" s="1348"/>
      <c r="GN124" s="3825">
        <f t="shared" ca="1" si="264"/>
        <v>0</v>
      </c>
      <c r="GO124" s="3825"/>
      <c r="GP124" s="3825"/>
      <c r="GQ124" s="3826"/>
      <c r="GR124" s="3675"/>
      <c r="GS124" s="3676"/>
      <c r="GT124" s="1756">
        <f t="shared" ca="1" si="246"/>
        <v>0</v>
      </c>
      <c r="GU124" s="1757">
        <f t="shared" ca="1" si="246"/>
        <v>0</v>
      </c>
      <c r="GV124" s="1757">
        <f t="shared" ca="1" si="246"/>
        <v>0</v>
      </c>
      <c r="GW124" s="1757">
        <f t="shared" ca="1" si="246"/>
        <v>0</v>
      </c>
      <c r="GX124" s="1757">
        <f t="shared" ca="1" si="246"/>
        <v>0</v>
      </c>
      <c r="GY124" s="1757">
        <f t="shared" ca="1" si="246"/>
        <v>0</v>
      </c>
      <c r="GZ124" s="1757">
        <f t="shared" ca="1" si="246"/>
        <v>0</v>
      </c>
      <c r="HA124" s="1757">
        <f t="shared" ca="1" si="246"/>
        <v>0</v>
      </c>
      <c r="HB124" s="1757">
        <f t="shared" ca="1" si="246"/>
        <v>0</v>
      </c>
      <c r="HC124" s="1757">
        <f t="shared" ca="1" si="246"/>
        <v>0</v>
      </c>
      <c r="HD124" s="1757">
        <f t="shared" ca="1" si="247"/>
        <v>0</v>
      </c>
      <c r="HE124" s="1757">
        <f t="shared" ca="1" si="247"/>
        <v>0</v>
      </c>
      <c r="HF124" s="1757">
        <f t="shared" ca="1" si="247"/>
        <v>0</v>
      </c>
      <c r="HG124" s="1757">
        <f t="shared" ca="1" si="247"/>
        <v>0</v>
      </c>
      <c r="HH124" s="1757">
        <f t="shared" ca="1" si="247"/>
        <v>0</v>
      </c>
      <c r="HI124" s="1757">
        <f t="shared" ca="1" si="247"/>
        <v>0</v>
      </c>
      <c r="HJ124" s="1757">
        <f t="shared" ca="1" si="247"/>
        <v>0</v>
      </c>
      <c r="HK124" s="1757">
        <f t="shared" ca="1" si="247"/>
        <v>0</v>
      </c>
      <c r="HL124" s="1757">
        <f t="shared" ca="1" si="247"/>
        <v>0</v>
      </c>
      <c r="HM124" s="1757">
        <f t="shared" ca="1" si="247"/>
        <v>0</v>
      </c>
      <c r="HN124" s="1757">
        <f t="shared" ca="1" si="248"/>
        <v>0</v>
      </c>
      <c r="HO124" s="1757">
        <f t="shared" ca="1" si="248"/>
        <v>0</v>
      </c>
      <c r="HP124" s="1757">
        <f t="shared" ca="1" si="248"/>
        <v>0</v>
      </c>
      <c r="HQ124" s="1757">
        <f t="shared" ca="1" si="248"/>
        <v>0</v>
      </c>
      <c r="HR124" s="1757">
        <f t="shared" ca="1" si="248"/>
        <v>0</v>
      </c>
      <c r="HS124" s="1757">
        <f t="shared" ca="1" si="248"/>
        <v>0</v>
      </c>
      <c r="HT124" s="1757">
        <f t="shared" ca="1" si="248"/>
        <v>0</v>
      </c>
      <c r="HU124" s="1757">
        <f t="shared" ca="1" si="248"/>
        <v>0</v>
      </c>
      <c r="HV124" s="1757">
        <f t="shared" ca="1" si="248"/>
        <v>0</v>
      </c>
      <c r="HW124" s="1757">
        <f t="shared" ca="1" si="248"/>
        <v>0</v>
      </c>
      <c r="HX124" s="1757">
        <f t="shared" ca="1" si="249"/>
        <v>0</v>
      </c>
      <c r="HY124" s="1757">
        <f t="shared" ca="1" si="249"/>
        <v>0</v>
      </c>
      <c r="HZ124" s="1757">
        <f t="shared" ca="1" si="249"/>
        <v>0</v>
      </c>
      <c r="IA124" s="1757">
        <f t="shared" ca="1" si="249"/>
        <v>0</v>
      </c>
      <c r="IB124" s="1757">
        <f t="shared" ca="1" si="249"/>
        <v>0</v>
      </c>
      <c r="IC124" s="1757">
        <f t="shared" ca="1" si="249"/>
        <v>0</v>
      </c>
      <c r="ID124" s="1757">
        <f t="shared" ca="1" si="249"/>
        <v>0</v>
      </c>
      <c r="IE124" s="1757">
        <f t="shared" ca="1" si="249"/>
        <v>0</v>
      </c>
      <c r="IF124" s="1757">
        <f t="shared" ca="1" si="249"/>
        <v>0</v>
      </c>
      <c r="IG124" s="1757">
        <f t="shared" ca="1" si="249"/>
        <v>0</v>
      </c>
      <c r="IH124" s="1757">
        <f t="shared" ca="1" si="250"/>
        <v>0</v>
      </c>
      <c r="II124" s="1757">
        <f t="shared" ca="1" si="250"/>
        <v>0</v>
      </c>
      <c r="IJ124" s="1757">
        <f t="shared" ca="1" si="250"/>
        <v>0</v>
      </c>
      <c r="IK124" s="1757">
        <f t="shared" ca="1" si="250"/>
        <v>0</v>
      </c>
      <c r="IL124" s="1757">
        <f t="shared" ca="1" si="250"/>
        <v>0</v>
      </c>
      <c r="IM124" s="1757">
        <f t="shared" ca="1" si="250"/>
        <v>0</v>
      </c>
      <c r="IN124" s="1757">
        <f t="shared" ca="1" si="250"/>
        <v>0</v>
      </c>
      <c r="IO124" s="1757">
        <f t="shared" ca="1" si="250"/>
        <v>0</v>
      </c>
      <c r="IP124" s="1757">
        <f t="shared" ca="1" si="250"/>
        <v>0</v>
      </c>
      <c r="IQ124" s="1757">
        <f t="shared" ca="1" si="250"/>
        <v>0</v>
      </c>
      <c r="IR124" s="1757">
        <f t="shared" ca="1" si="251"/>
        <v>0</v>
      </c>
      <c r="IS124" s="1757">
        <f t="shared" ca="1" si="251"/>
        <v>0</v>
      </c>
      <c r="IT124" s="1757">
        <f t="shared" ca="1" si="251"/>
        <v>0</v>
      </c>
      <c r="IU124" s="1757">
        <f t="shared" ca="1" si="251"/>
        <v>0</v>
      </c>
      <c r="IV124" s="1757">
        <f t="shared" ca="1" si="251"/>
        <v>0</v>
      </c>
      <c r="IW124" s="1757">
        <f t="shared" ca="1" si="251"/>
        <v>0</v>
      </c>
      <c r="IX124" s="1757">
        <f t="shared" ca="1" si="251"/>
        <v>0</v>
      </c>
      <c r="IY124" s="1757">
        <f t="shared" ca="1" si="251"/>
        <v>0</v>
      </c>
      <c r="IZ124" s="1757">
        <f t="shared" ca="1" si="251"/>
        <v>0</v>
      </c>
      <c r="JA124" s="1757">
        <f t="shared" ca="1" si="251"/>
        <v>0</v>
      </c>
      <c r="JB124" s="1757">
        <f t="shared" ca="1" si="252"/>
        <v>0</v>
      </c>
      <c r="JC124" s="1757">
        <f t="shared" ca="1" si="252"/>
        <v>0</v>
      </c>
      <c r="JD124" s="1757">
        <f t="shared" ca="1" si="252"/>
        <v>0</v>
      </c>
      <c r="JE124" s="1757">
        <f t="shared" ca="1" si="252"/>
        <v>0</v>
      </c>
      <c r="JF124" s="1757">
        <f t="shared" ca="1" si="252"/>
        <v>0</v>
      </c>
      <c r="JG124" s="1757">
        <f t="shared" ca="1" si="252"/>
        <v>0</v>
      </c>
      <c r="JH124" s="1757">
        <f t="shared" ca="1" si="252"/>
        <v>0</v>
      </c>
      <c r="JI124" s="1757">
        <f t="shared" ca="1" si="252"/>
        <v>0</v>
      </c>
      <c r="JJ124" s="1757">
        <f t="shared" ca="1" si="252"/>
        <v>0</v>
      </c>
      <c r="JK124" s="1757">
        <f t="shared" ca="1" si="252"/>
        <v>0</v>
      </c>
      <c r="JL124" s="1757">
        <f t="shared" ca="1" si="253"/>
        <v>0</v>
      </c>
      <c r="JM124" s="1757">
        <f t="shared" ca="1" si="253"/>
        <v>0</v>
      </c>
      <c r="JN124" s="1757">
        <f t="shared" ca="1" si="253"/>
        <v>0</v>
      </c>
      <c r="JO124" s="1757">
        <f t="shared" ca="1" si="253"/>
        <v>0</v>
      </c>
      <c r="JP124" s="1757">
        <f t="shared" ca="1" si="253"/>
        <v>0</v>
      </c>
      <c r="JQ124" s="1757">
        <f t="shared" ca="1" si="253"/>
        <v>0</v>
      </c>
      <c r="JR124" s="1757">
        <f t="shared" ca="1" si="253"/>
        <v>0</v>
      </c>
      <c r="JS124" s="1757">
        <f t="shared" ca="1" si="253"/>
        <v>0</v>
      </c>
      <c r="JT124" s="1757">
        <f t="shared" ca="1" si="253"/>
        <v>0</v>
      </c>
      <c r="JU124" s="1757">
        <f t="shared" ca="1" si="253"/>
        <v>0</v>
      </c>
      <c r="JV124" s="1757">
        <f t="shared" ca="1" si="254"/>
        <v>0</v>
      </c>
      <c r="JW124" s="1757">
        <f t="shared" ca="1" si="254"/>
        <v>0</v>
      </c>
      <c r="JX124" s="1757">
        <f t="shared" ca="1" si="254"/>
        <v>0</v>
      </c>
      <c r="JY124" s="1757">
        <f t="shared" ca="1" si="254"/>
        <v>0</v>
      </c>
      <c r="JZ124" s="1757">
        <f t="shared" ca="1" si="254"/>
        <v>0</v>
      </c>
      <c r="KA124" s="1757">
        <f t="shared" ca="1" si="254"/>
        <v>0</v>
      </c>
      <c r="KB124" s="1757">
        <f t="shared" ca="1" si="254"/>
        <v>0</v>
      </c>
      <c r="KC124" s="1757">
        <f t="shared" ca="1" si="254"/>
        <v>0</v>
      </c>
      <c r="KD124" s="1757">
        <f t="shared" ca="1" si="254"/>
        <v>0</v>
      </c>
      <c r="KE124" s="1757">
        <f t="shared" ca="1" si="254"/>
        <v>0</v>
      </c>
      <c r="KF124" s="1757">
        <f t="shared" ca="1" si="255"/>
        <v>0</v>
      </c>
      <c r="KG124" s="1757">
        <f t="shared" ca="1" si="255"/>
        <v>0</v>
      </c>
      <c r="KH124" s="1757">
        <f t="shared" ca="1" si="255"/>
        <v>0</v>
      </c>
      <c r="KI124" s="1757">
        <f t="shared" ca="1" si="255"/>
        <v>0</v>
      </c>
      <c r="KJ124" s="1757">
        <f t="shared" ca="1" si="255"/>
        <v>0</v>
      </c>
      <c r="KK124" s="1757">
        <f t="shared" ca="1" si="255"/>
        <v>0</v>
      </c>
      <c r="KL124" s="1757">
        <f t="shared" ca="1" si="255"/>
        <v>0</v>
      </c>
      <c r="KM124" s="1757">
        <f t="shared" ca="1" si="255"/>
        <v>0</v>
      </c>
      <c r="KN124" s="1757">
        <f t="shared" ca="1" si="255"/>
        <v>0</v>
      </c>
      <c r="KO124" s="1757">
        <f t="shared" ca="1" si="255"/>
        <v>0</v>
      </c>
      <c r="KP124" s="1757">
        <f t="shared" ca="1" si="256"/>
        <v>0</v>
      </c>
      <c r="KQ124" s="1757">
        <f t="shared" ca="1" si="256"/>
        <v>0</v>
      </c>
      <c r="KR124" s="1757">
        <f t="shared" ca="1" si="256"/>
        <v>0</v>
      </c>
      <c r="KS124" s="1757">
        <f t="shared" ca="1" si="256"/>
        <v>0</v>
      </c>
      <c r="KT124" s="1757">
        <f t="shared" ca="1" si="256"/>
        <v>0</v>
      </c>
      <c r="KU124" s="1757">
        <f t="shared" ca="1" si="256"/>
        <v>0</v>
      </c>
      <c r="KV124" s="1757">
        <f t="shared" ca="1" si="256"/>
        <v>0</v>
      </c>
      <c r="KW124" s="1757">
        <f t="shared" ca="1" si="256"/>
        <v>0</v>
      </c>
      <c r="KX124" s="1757">
        <f t="shared" ca="1" si="256"/>
        <v>0</v>
      </c>
      <c r="KY124" s="1757">
        <f t="shared" ca="1" si="256"/>
        <v>0</v>
      </c>
      <c r="KZ124" s="1757">
        <f t="shared" ca="1" si="257"/>
        <v>0</v>
      </c>
      <c r="LA124" s="1757">
        <f t="shared" ca="1" si="257"/>
        <v>0</v>
      </c>
      <c r="LB124" s="1757">
        <f t="shared" ca="1" si="257"/>
        <v>0</v>
      </c>
      <c r="LC124" s="1757">
        <f t="shared" ca="1" si="257"/>
        <v>0</v>
      </c>
      <c r="LD124" s="1757">
        <f t="shared" ca="1" si="257"/>
        <v>0</v>
      </c>
      <c r="LE124" s="1757">
        <f t="shared" ca="1" si="257"/>
        <v>0</v>
      </c>
      <c r="LF124" s="1757">
        <f t="shared" ca="1" si="257"/>
        <v>0</v>
      </c>
      <c r="LG124" s="1757">
        <f t="shared" ca="1" si="257"/>
        <v>0</v>
      </c>
      <c r="LH124" s="1757">
        <f t="shared" ca="1" si="257"/>
        <v>0</v>
      </c>
      <c r="LI124" s="1757">
        <f t="shared" ca="1" si="257"/>
        <v>0</v>
      </c>
      <c r="LJ124" s="1757">
        <f t="shared" ca="1" si="258"/>
        <v>0</v>
      </c>
      <c r="LK124" s="1757">
        <f t="shared" ca="1" si="258"/>
        <v>0</v>
      </c>
      <c r="LL124" s="1757">
        <f t="shared" ca="1" si="258"/>
        <v>0</v>
      </c>
      <c r="LM124" s="1757">
        <f t="shared" ca="1" si="258"/>
        <v>0</v>
      </c>
      <c r="LN124" s="1757">
        <f t="shared" ca="1" si="258"/>
        <v>0</v>
      </c>
      <c r="LO124" s="1757">
        <f t="shared" ca="1" si="258"/>
        <v>0</v>
      </c>
      <c r="LP124" s="1758">
        <f t="shared" ca="1" si="258"/>
        <v>0</v>
      </c>
      <c r="LQ124" s="604"/>
    </row>
    <row r="125" spans="1:329" ht="12.75" customHeight="1" x14ac:dyDescent="0.3">
      <c r="A125" s="279"/>
      <c r="B125" s="41"/>
      <c r="C125" s="82"/>
      <c r="D125" s="41"/>
      <c r="E125" s="9"/>
      <c r="F125" s="9"/>
      <c r="G125" s="9"/>
      <c r="H125" s="10"/>
      <c r="I125" s="10"/>
      <c r="J125" s="10"/>
      <c r="K125" s="10"/>
      <c r="L125" s="10"/>
      <c r="M125" s="10"/>
      <c r="N125" s="9"/>
      <c r="O125" s="9"/>
      <c r="P125" s="44"/>
      <c r="Q125" s="44"/>
      <c r="R125" s="9"/>
      <c r="S125" s="9"/>
      <c r="T125" s="9"/>
      <c r="U125" s="9"/>
      <c r="V125" s="9"/>
      <c r="W125" s="9"/>
      <c r="X125" s="9"/>
      <c r="Y125" s="9"/>
      <c r="Z125" s="9"/>
      <c r="AA125" s="9"/>
      <c r="AB125" s="9"/>
      <c r="AC125" s="9"/>
      <c r="AD125" s="9"/>
      <c r="AE125" s="9"/>
      <c r="AF125" s="9"/>
      <c r="AG125" s="9"/>
      <c r="AH125" s="2514"/>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113"/>
      <c r="DI125" s="113"/>
      <c r="DJ125" s="113"/>
      <c r="DK125" s="118"/>
      <c r="DL125" s="118"/>
      <c r="DM125" s="118"/>
      <c r="DN125" s="118"/>
      <c r="DO125" s="118"/>
      <c r="DP125" s="118"/>
      <c r="DQ125" s="118"/>
      <c r="DR125" s="118"/>
      <c r="DS125" s="118"/>
      <c r="DT125" s="118"/>
      <c r="DU125" s="118"/>
      <c r="DV125" s="118"/>
      <c r="DW125" s="118"/>
      <c r="DX125" s="118"/>
      <c r="DY125" s="118"/>
      <c r="DZ125" s="118"/>
      <c r="EA125" s="118"/>
      <c r="EB125" s="118"/>
      <c r="EC125" s="118"/>
      <c r="ED125" s="118"/>
      <c r="EE125" s="118"/>
      <c r="EF125" s="118"/>
      <c r="EG125" s="118"/>
      <c r="EH125" s="118"/>
      <c r="EI125" s="118"/>
      <c r="EJ125" s="118"/>
      <c r="EK125" s="118"/>
      <c r="EL125" s="118"/>
      <c r="EM125" s="118"/>
      <c r="EN125" s="118"/>
      <c r="EO125" s="118"/>
      <c r="EP125" s="118"/>
      <c r="EQ125" s="118"/>
      <c r="ER125" s="118"/>
      <c r="ES125" s="118"/>
      <c r="ET125" s="118"/>
      <c r="EU125" s="118"/>
      <c r="EV125" s="118"/>
      <c r="EW125" s="118"/>
      <c r="EX125" s="118"/>
      <c r="EY125" s="118"/>
      <c r="EZ125" s="118"/>
      <c r="FA125" s="118"/>
      <c r="FB125" s="118"/>
      <c r="FC125" s="118"/>
      <c r="FD125" s="118"/>
      <c r="FE125" s="118"/>
      <c r="FF125" s="118"/>
      <c r="FG125" s="118"/>
      <c r="FH125" s="118"/>
      <c r="FI125" s="180"/>
      <c r="FJ125" s="132"/>
      <c r="FK125" s="132"/>
      <c r="FL125" s="181">
        <f t="shared" ca="1" si="197"/>
        <v>16</v>
      </c>
      <c r="FM125" s="1340">
        <f t="shared" ca="1" si="259"/>
        <v>0</v>
      </c>
      <c r="FN125" s="1341">
        <f t="shared" ca="1" si="199"/>
        <v>0</v>
      </c>
      <c r="FO125" s="1342">
        <f t="shared" ca="1" si="260"/>
        <v>15</v>
      </c>
      <c r="FP125" s="1343">
        <f t="shared" ca="1" si="261"/>
        <v>0</v>
      </c>
      <c r="FQ125" s="1344">
        <f t="shared" si="262"/>
        <v>40</v>
      </c>
      <c r="FR125" s="1344">
        <f t="shared" si="263"/>
        <v>50</v>
      </c>
      <c r="FS125" s="1345">
        <f t="shared" si="204"/>
        <v>16</v>
      </c>
      <c r="FT125" s="1345"/>
      <c r="FU125" s="1346">
        <f t="shared" ca="1" si="219"/>
        <v>0</v>
      </c>
      <c r="FV125" s="1346"/>
      <c r="FW125" s="1346"/>
      <c r="FX125" s="1347"/>
      <c r="FY125" s="1348"/>
      <c r="FZ125" s="1348"/>
      <c r="GA125" s="1348"/>
      <c r="GB125" s="1349"/>
      <c r="GC125" s="1350"/>
      <c r="GD125" s="1348"/>
      <c r="GE125" s="1348"/>
      <c r="GF125" s="1348"/>
      <c r="GG125" s="1348"/>
      <c r="GH125" s="1348"/>
      <c r="GI125" s="1348"/>
      <c r="GJ125" s="1348"/>
      <c r="GK125" s="1348"/>
      <c r="GL125" s="1348"/>
      <c r="GM125" s="1348"/>
      <c r="GN125" s="3825">
        <f t="shared" ca="1" si="264"/>
        <v>0</v>
      </c>
      <c r="GO125" s="3825"/>
      <c r="GP125" s="3825"/>
      <c r="GQ125" s="3826"/>
      <c r="GR125" s="3675"/>
      <c r="GS125" s="3676"/>
      <c r="GT125" s="1756">
        <f t="shared" ca="1" si="246"/>
        <v>0</v>
      </c>
      <c r="GU125" s="1757">
        <f t="shared" ca="1" si="246"/>
        <v>0</v>
      </c>
      <c r="GV125" s="1757">
        <f t="shared" ca="1" si="246"/>
        <v>0</v>
      </c>
      <c r="GW125" s="1757">
        <f t="shared" ca="1" si="246"/>
        <v>0</v>
      </c>
      <c r="GX125" s="1757">
        <f t="shared" ca="1" si="246"/>
        <v>0</v>
      </c>
      <c r="GY125" s="1757">
        <f t="shared" ca="1" si="246"/>
        <v>0</v>
      </c>
      <c r="GZ125" s="1757">
        <f t="shared" ca="1" si="246"/>
        <v>0</v>
      </c>
      <c r="HA125" s="1757">
        <f t="shared" ca="1" si="246"/>
        <v>0</v>
      </c>
      <c r="HB125" s="1757">
        <f t="shared" ca="1" si="246"/>
        <v>0</v>
      </c>
      <c r="HC125" s="1757">
        <f t="shared" ca="1" si="246"/>
        <v>0</v>
      </c>
      <c r="HD125" s="1757">
        <f t="shared" ca="1" si="247"/>
        <v>0</v>
      </c>
      <c r="HE125" s="1757">
        <f t="shared" ca="1" si="247"/>
        <v>0</v>
      </c>
      <c r="HF125" s="1757">
        <f t="shared" ca="1" si="247"/>
        <v>0</v>
      </c>
      <c r="HG125" s="1757">
        <f t="shared" ca="1" si="247"/>
        <v>0</v>
      </c>
      <c r="HH125" s="1757">
        <f t="shared" ca="1" si="247"/>
        <v>0</v>
      </c>
      <c r="HI125" s="1757">
        <f t="shared" ca="1" si="247"/>
        <v>0</v>
      </c>
      <c r="HJ125" s="1757">
        <f t="shared" ca="1" si="247"/>
        <v>0</v>
      </c>
      <c r="HK125" s="1757">
        <f t="shared" ca="1" si="247"/>
        <v>0</v>
      </c>
      <c r="HL125" s="1757">
        <f t="shared" ca="1" si="247"/>
        <v>0</v>
      </c>
      <c r="HM125" s="1757">
        <f t="shared" ca="1" si="247"/>
        <v>0</v>
      </c>
      <c r="HN125" s="1757">
        <f t="shared" ca="1" si="248"/>
        <v>0</v>
      </c>
      <c r="HO125" s="1757">
        <f t="shared" ca="1" si="248"/>
        <v>0</v>
      </c>
      <c r="HP125" s="1757">
        <f t="shared" ca="1" si="248"/>
        <v>0</v>
      </c>
      <c r="HQ125" s="1757">
        <f t="shared" ca="1" si="248"/>
        <v>0</v>
      </c>
      <c r="HR125" s="1757">
        <f t="shared" ca="1" si="248"/>
        <v>0</v>
      </c>
      <c r="HS125" s="1757">
        <f t="shared" ca="1" si="248"/>
        <v>0</v>
      </c>
      <c r="HT125" s="1757">
        <f t="shared" ca="1" si="248"/>
        <v>0</v>
      </c>
      <c r="HU125" s="1757">
        <f t="shared" ca="1" si="248"/>
        <v>0</v>
      </c>
      <c r="HV125" s="1757">
        <f t="shared" ca="1" si="248"/>
        <v>0</v>
      </c>
      <c r="HW125" s="1757">
        <f t="shared" ca="1" si="248"/>
        <v>0</v>
      </c>
      <c r="HX125" s="1757">
        <f t="shared" ca="1" si="249"/>
        <v>0</v>
      </c>
      <c r="HY125" s="1757">
        <f t="shared" ca="1" si="249"/>
        <v>0</v>
      </c>
      <c r="HZ125" s="1757">
        <f t="shared" ca="1" si="249"/>
        <v>0</v>
      </c>
      <c r="IA125" s="1757">
        <f t="shared" ca="1" si="249"/>
        <v>0</v>
      </c>
      <c r="IB125" s="1757">
        <f t="shared" ca="1" si="249"/>
        <v>0</v>
      </c>
      <c r="IC125" s="1757">
        <f t="shared" ca="1" si="249"/>
        <v>0</v>
      </c>
      <c r="ID125" s="1757">
        <f t="shared" ca="1" si="249"/>
        <v>0</v>
      </c>
      <c r="IE125" s="1757">
        <f t="shared" ca="1" si="249"/>
        <v>0</v>
      </c>
      <c r="IF125" s="1757">
        <f t="shared" ca="1" si="249"/>
        <v>0</v>
      </c>
      <c r="IG125" s="1757">
        <f t="shared" ca="1" si="249"/>
        <v>0</v>
      </c>
      <c r="IH125" s="1757">
        <f t="shared" ca="1" si="250"/>
        <v>0</v>
      </c>
      <c r="II125" s="1757">
        <f t="shared" ca="1" si="250"/>
        <v>0</v>
      </c>
      <c r="IJ125" s="1757">
        <f t="shared" ca="1" si="250"/>
        <v>0</v>
      </c>
      <c r="IK125" s="1757">
        <f t="shared" ca="1" si="250"/>
        <v>0</v>
      </c>
      <c r="IL125" s="1757">
        <f t="shared" ca="1" si="250"/>
        <v>0</v>
      </c>
      <c r="IM125" s="1757">
        <f t="shared" ca="1" si="250"/>
        <v>0</v>
      </c>
      <c r="IN125" s="1757">
        <f t="shared" ca="1" si="250"/>
        <v>0</v>
      </c>
      <c r="IO125" s="1757">
        <f t="shared" ca="1" si="250"/>
        <v>0</v>
      </c>
      <c r="IP125" s="1757">
        <f t="shared" ca="1" si="250"/>
        <v>0</v>
      </c>
      <c r="IQ125" s="1757">
        <f t="shared" ca="1" si="250"/>
        <v>0</v>
      </c>
      <c r="IR125" s="1757">
        <f t="shared" ca="1" si="251"/>
        <v>0</v>
      </c>
      <c r="IS125" s="1757">
        <f t="shared" ca="1" si="251"/>
        <v>0</v>
      </c>
      <c r="IT125" s="1757">
        <f t="shared" ca="1" si="251"/>
        <v>0</v>
      </c>
      <c r="IU125" s="1757">
        <f t="shared" ca="1" si="251"/>
        <v>0</v>
      </c>
      <c r="IV125" s="1757">
        <f t="shared" ca="1" si="251"/>
        <v>0</v>
      </c>
      <c r="IW125" s="1757">
        <f t="shared" ca="1" si="251"/>
        <v>0</v>
      </c>
      <c r="IX125" s="1757">
        <f t="shared" ca="1" si="251"/>
        <v>0</v>
      </c>
      <c r="IY125" s="1757">
        <f t="shared" ca="1" si="251"/>
        <v>0</v>
      </c>
      <c r="IZ125" s="1757">
        <f t="shared" ca="1" si="251"/>
        <v>0</v>
      </c>
      <c r="JA125" s="1757">
        <f t="shared" ca="1" si="251"/>
        <v>0</v>
      </c>
      <c r="JB125" s="1757">
        <f t="shared" ca="1" si="252"/>
        <v>0</v>
      </c>
      <c r="JC125" s="1757">
        <f t="shared" ca="1" si="252"/>
        <v>0</v>
      </c>
      <c r="JD125" s="1757">
        <f t="shared" ca="1" si="252"/>
        <v>0</v>
      </c>
      <c r="JE125" s="1757">
        <f t="shared" ca="1" si="252"/>
        <v>0</v>
      </c>
      <c r="JF125" s="1757">
        <f t="shared" ca="1" si="252"/>
        <v>0</v>
      </c>
      <c r="JG125" s="1757">
        <f t="shared" ca="1" si="252"/>
        <v>0</v>
      </c>
      <c r="JH125" s="1757">
        <f t="shared" ca="1" si="252"/>
        <v>0</v>
      </c>
      <c r="JI125" s="1757">
        <f t="shared" ca="1" si="252"/>
        <v>0</v>
      </c>
      <c r="JJ125" s="1757">
        <f t="shared" ca="1" si="252"/>
        <v>0</v>
      </c>
      <c r="JK125" s="1757">
        <f t="shared" ca="1" si="252"/>
        <v>0</v>
      </c>
      <c r="JL125" s="1757">
        <f t="shared" ca="1" si="253"/>
        <v>0</v>
      </c>
      <c r="JM125" s="1757">
        <f t="shared" ca="1" si="253"/>
        <v>0</v>
      </c>
      <c r="JN125" s="1757">
        <f t="shared" ca="1" si="253"/>
        <v>0</v>
      </c>
      <c r="JO125" s="1757">
        <f t="shared" ca="1" si="253"/>
        <v>0</v>
      </c>
      <c r="JP125" s="1757">
        <f t="shared" ca="1" si="253"/>
        <v>0</v>
      </c>
      <c r="JQ125" s="1757">
        <f t="shared" ca="1" si="253"/>
        <v>0</v>
      </c>
      <c r="JR125" s="1757">
        <f t="shared" ca="1" si="253"/>
        <v>0</v>
      </c>
      <c r="JS125" s="1757">
        <f t="shared" ca="1" si="253"/>
        <v>0</v>
      </c>
      <c r="JT125" s="1757">
        <f t="shared" ca="1" si="253"/>
        <v>0</v>
      </c>
      <c r="JU125" s="1757">
        <f t="shared" ca="1" si="253"/>
        <v>0</v>
      </c>
      <c r="JV125" s="1757">
        <f t="shared" ca="1" si="254"/>
        <v>0</v>
      </c>
      <c r="JW125" s="1757">
        <f t="shared" ca="1" si="254"/>
        <v>0</v>
      </c>
      <c r="JX125" s="1757">
        <f t="shared" ca="1" si="254"/>
        <v>0</v>
      </c>
      <c r="JY125" s="1757">
        <f t="shared" ca="1" si="254"/>
        <v>0</v>
      </c>
      <c r="JZ125" s="1757">
        <f t="shared" ca="1" si="254"/>
        <v>0</v>
      </c>
      <c r="KA125" s="1757">
        <f t="shared" ca="1" si="254"/>
        <v>0</v>
      </c>
      <c r="KB125" s="1757">
        <f t="shared" ca="1" si="254"/>
        <v>0</v>
      </c>
      <c r="KC125" s="1757">
        <f t="shared" ca="1" si="254"/>
        <v>0</v>
      </c>
      <c r="KD125" s="1757">
        <f t="shared" ca="1" si="254"/>
        <v>0</v>
      </c>
      <c r="KE125" s="1757">
        <f t="shared" ca="1" si="254"/>
        <v>0</v>
      </c>
      <c r="KF125" s="1757">
        <f t="shared" ca="1" si="255"/>
        <v>0</v>
      </c>
      <c r="KG125" s="1757">
        <f t="shared" ca="1" si="255"/>
        <v>0</v>
      </c>
      <c r="KH125" s="1757">
        <f t="shared" ca="1" si="255"/>
        <v>0</v>
      </c>
      <c r="KI125" s="1757">
        <f t="shared" ca="1" si="255"/>
        <v>0</v>
      </c>
      <c r="KJ125" s="1757">
        <f t="shared" ca="1" si="255"/>
        <v>0</v>
      </c>
      <c r="KK125" s="1757">
        <f t="shared" ca="1" si="255"/>
        <v>0</v>
      </c>
      <c r="KL125" s="1757">
        <f t="shared" ca="1" si="255"/>
        <v>0</v>
      </c>
      <c r="KM125" s="1757">
        <f t="shared" ca="1" si="255"/>
        <v>0</v>
      </c>
      <c r="KN125" s="1757">
        <f t="shared" ca="1" si="255"/>
        <v>0</v>
      </c>
      <c r="KO125" s="1757">
        <f t="shared" ca="1" si="255"/>
        <v>0</v>
      </c>
      <c r="KP125" s="1757">
        <f t="shared" ca="1" si="256"/>
        <v>0</v>
      </c>
      <c r="KQ125" s="1757">
        <f t="shared" ca="1" si="256"/>
        <v>0</v>
      </c>
      <c r="KR125" s="1757">
        <f t="shared" ca="1" si="256"/>
        <v>0</v>
      </c>
      <c r="KS125" s="1757">
        <f t="shared" ca="1" si="256"/>
        <v>0</v>
      </c>
      <c r="KT125" s="1757">
        <f t="shared" ca="1" si="256"/>
        <v>0</v>
      </c>
      <c r="KU125" s="1757">
        <f t="shared" ca="1" si="256"/>
        <v>0</v>
      </c>
      <c r="KV125" s="1757">
        <f t="shared" ca="1" si="256"/>
        <v>0</v>
      </c>
      <c r="KW125" s="1757">
        <f t="shared" ca="1" si="256"/>
        <v>0</v>
      </c>
      <c r="KX125" s="1757">
        <f t="shared" ca="1" si="256"/>
        <v>0</v>
      </c>
      <c r="KY125" s="1757">
        <f t="shared" ca="1" si="256"/>
        <v>0</v>
      </c>
      <c r="KZ125" s="1757">
        <f t="shared" ca="1" si="257"/>
        <v>0</v>
      </c>
      <c r="LA125" s="1757">
        <f t="shared" ca="1" si="257"/>
        <v>0</v>
      </c>
      <c r="LB125" s="1757">
        <f t="shared" ca="1" si="257"/>
        <v>0</v>
      </c>
      <c r="LC125" s="1757">
        <f t="shared" ca="1" si="257"/>
        <v>0</v>
      </c>
      <c r="LD125" s="1757">
        <f t="shared" ca="1" si="257"/>
        <v>0</v>
      </c>
      <c r="LE125" s="1757">
        <f t="shared" ca="1" si="257"/>
        <v>0</v>
      </c>
      <c r="LF125" s="1757">
        <f t="shared" ca="1" si="257"/>
        <v>0</v>
      </c>
      <c r="LG125" s="1757">
        <f t="shared" ca="1" si="257"/>
        <v>0</v>
      </c>
      <c r="LH125" s="1757">
        <f t="shared" ca="1" si="257"/>
        <v>0</v>
      </c>
      <c r="LI125" s="1757">
        <f t="shared" ca="1" si="257"/>
        <v>0</v>
      </c>
      <c r="LJ125" s="1757">
        <f t="shared" ca="1" si="258"/>
        <v>0</v>
      </c>
      <c r="LK125" s="1757">
        <f t="shared" ca="1" si="258"/>
        <v>0</v>
      </c>
      <c r="LL125" s="1757">
        <f t="shared" ca="1" si="258"/>
        <v>0</v>
      </c>
      <c r="LM125" s="1757">
        <f t="shared" ca="1" si="258"/>
        <v>0</v>
      </c>
      <c r="LN125" s="1757">
        <f t="shared" ca="1" si="258"/>
        <v>0</v>
      </c>
      <c r="LO125" s="1757">
        <f t="shared" ca="1" si="258"/>
        <v>0</v>
      </c>
      <c r="LP125" s="1758">
        <f t="shared" ca="1" si="258"/>
        <v>0</v>
      </c>
      <c r="LQ125" s="604"/>
    </row>
    <row r="126" spans="1:329" ht="12.75" customHeight="1" x14ac:dyDescent="0.3">
      <c r="A126" s="279"/>
      <c r="B126" s="41"/>
      <c r="C126" s="82"/>
      <c r="D126" s="41"/>
      <c r="E126" s="9"/>
      <c r="F126" s="9"/>
      <c r="G126" s="9"/>
      <c r="H126" s="10"/>
      <c r="I126" s="10"/>
      <c r="J126" s="10"/>
      <c r="K126" s="10"/>
      <c r="L126" s="10"/>
      <c r="M126" s="10"/>
      <c r="N126" s="9"/>
      <c r="O126" s="9"/>
      <c r="P126" s="44"/>
      <c r="Q126" s="44"/>
      <c r="R126" s="9"/>
      <c r="S126" s="9"/>
      <c r="T126" s="9"/>
      <c r="U126" s="9"/>
      <c r="V126" s="9"/>
      <c r="W126" s="9"/>
      <c r="X126" s="9"/>
      <c r="Y126" s="9"/>
      <c r="Z126" s="9"/>
      <c r="AA126" s="9"/>
      <c r="AB126" s="9"/>
      <c r="AC126" s="9"/>
      <c r="AD126" s="9"/>
      <c r="AE126" s="9"/>
      <c r="AF126" s="9"/>
      <c r="AG126" s="9"/>
      <c r="AH126" s="2514"/>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113"/>
      <c r="DI126" s="113"/>
      <c r="DJ126" s="113"/>
      <c r="DK126" s="118"/>
      <c r="DL126" s="118"/>
      <c r="DM126" s="118"/>
      <c r="DN126" s="118"/>
      <c r="DO126" s="118"/>
      <c r="DP126" s="118"/>
      <c r="DQ126" s="118"/>
      <c r="DR126" s="118"/>
      <c r="DS126" s="118"/>
      <c r="DT126" s="118"/>
      <c r="DU126" s="118"/>
      <c r="DV126" s="118"/>
      <c r="DW126" s="118"/>
      <c r="DX126" s="118"/>
      <c r="DY126" s="118"/>
      <c r="DZ126" s="118"/>
      <c r="EA126" s="118"/>
      <c r="EB126" s="118"/>
      <c r="EC126" s="118"/>
      <c r="ED126" s="118"/>
      <c r="EE126" s="118"/>
      <c r="EF126" s="118"/>
      <c r="EG126" s="118"/>
      <c r="EH126" s="118"/>
      <c r="EI126" s="118"/>
      <c r="EJ126" s="118"/>
      <c r="EK126" s="118"/>
      <c r="EL126" s="118"/>
      <c r="EM126" s="118"/>
      <c r="EN126" s="118"/>
      <c r="EO126" s="118"/>
      <c r="EP126" s="118"/>
      <c r="EQ126" s="118"/>
      <c r="ER126" s="118"/>
      <c r="ES126" s="118"/>
      <c r="ET126" s="118"/>
      <c r="EU126" s="118"/>
      <c r="EV126" s="118"/>
      <c r="EW126" s="118"/>
      <c r="EX126" s="118"/>
      <c r="EY126" s="118"/>
      <c r="EZ126" s="118"/>
      <c r="FA126" s="118"/>
      <c r="FB126" s="118"/>
      <c r="FC126" s="118"/>
      <c r="FD126" s="118"/>
      <c r="FE126" s="118"/>
      <c r="FF126" s="118"/>
      <c r="FG126" s="118"/>
      <c r="FH126" s="118"/>
      <c r="FI126" s="180"/>
      <c r="FJ126" s="132"/>
      <c r="FK126" s="132"/>
      <c r="FL126" s="181">
        <f t="shared" ca="1" si="197"/>
        <v>15</v>
      </c>
      <c r="FM126" s="1340">
        <f t="shared" ca="1" si="259"/>
        <v>0</v>
      </c>
      <c r="FN126" s="1341">
        <f t="shared" ca="1" si="199"/>
        <v>0</v>
      </c>
      <c r="FO126" s="1342">
        <f t="shared" ca="1" si="260"/>
        <v>14</v>
      </c>
      <c r="FP126" s="1343">
        <f t="shared" ca="1" si="261"/>
        <v>0</v>
      </c>
      <c r="FQ126" s="1344">
        <f t="shared" si="262"/>
        <v>40</v>
      </c>
      <c r="FR126" s="1344">
        <f t="shared" si="263"/>
        <v>50</v>
      </c>
      <c r="FS126" s="1345">
        <f t="shared" si="204"/>
        <v>15</v>
      </c>
      <c r="FT126" s="1345"/>
      <c r="FU126" s="1346">
        <f t="shared" ca="1" si="219"/>
        <v>0</v>
      </c>
      <c r="FV126" s="1346"/>
      <c r="FW126" s="1346"/>
      <c r="FX126" s="1347"/>
      <c r="FY126" s="1348"/>
      <c r="FZ126" s="1348"/>
      <c r="GA126" s="1348"/>
      <c r="GB126" s="1349"/>
      <c r="GC126" s="1350"/>
      <c r="GD126" s="1348"/>
      <c r="GE126" s="1348"/>
      <c r="GF126" s="1348"/>
      <c r="GG126" s="1348"/>
      <c r="GH126" s="1348"/>
      <c r="GI126" s="1348"/>
      <c r="GJ126" s="1348"/>
      <c r="GK126" s="1348"/>
      <c r="GL126" s="1348"/>
      <c r="GM126" s="1348"/>
      <c r="GN126" s="3825">
        <f t="shared" ca="1" si="264"/>
        <v>0</v>
      </c>
      <c r="GO126" s="3825"/>
      <c r="GP126" s="3825"/>
      <c r="GQ126" s="3826"/>
      <c r="GR126" s="3675"/>
      <c r="GS126" s="3676"/>
      <c r="GT126" s="1756">
        <f t="shared" ca="1" si="246"/>
        <v>0</v>
      </c>
      <c r="GU126" s="1757">
        <f t="shared" ca="1" si="246"/>
        <v>0</v>
      </c>
      <c r="GV126" s="1757">
        <f t="shared" ca="1" si="246"/>
        <v>0</v>
      </c>
      <c r="GW126" s="1757">
        <f t="shared" ca="1" si="246"/>
        <v>0</v>
      </c>
      <c r="GX126" s="1757">
        <f t="shared" ca="1" si="246"/>
        <v>0</v>
      </c>
      <c r="GY126" s="1757">
        <f t="shared" ca="1" si="246"/>
        <v>0</v>
      </c>
      <c r="GZ126" s="1757">
        <f t="shared" ca="1" si="246"/>
        <v>0</v>
      </c>
      <c r="HA126" s="1757">
        <f t="shared" ca="1" si="246"/>
        <v>0</v>
      </c>
      <c r="HB126" s="1757">
        <f t="shared" ca="1" si="246"/>
        <v>0</v>
      </c>
      <c r="HC126" s="1757">
        <f t="shared" ca="1" si="246"/>
        <v>0</v>
      </c>
      <c r="HD126" s="1757">
        <f t="shared" ca="1" si="247"/>
        <v>0</v>
      </c>
      <c r="HE126" s="1757">
        <f t="shared" ca="1" si="247"/>
        <v>0</v>
      </c>
      <c r="HF126" s="1757">
        <f t="shared" ca="1" si="247"/>
        <v>0</v>
      </c>
      <c r="HG126" s="1757">
        <f t="shared" ca="1" si="247"/>
        <v>0</v>
      </c>
      <c r="HH126" s="1757">
        <f t="shared" ca="1" si="247"/>
        <v>0</v>
      </c>
      <c r="HI126" s="1757">
        <f t="shared" ca="1" si="247"/>
        <v>0</v>
      </c>
      <c r="HJ126" s="1757">
        <f t="shared" ca="1" si="247"/>
        <v>0</v>
      </c>
      <c r="HK126" s="1757">
        <f t="shared" ca="1" si="247"/>
        <v>0</v>
      </c>
      <c r="HL126" s="1757">
        <f t="shared" ca="1" si="247"/>
        <v>0</v>
      </c>
      <c r="HM126" s="1757">
        <f t="shared" ca="1" si="247"/>
        <v>0</v>
      </c>
      <c r="HN126" s="1757">
        <f t="shared" ca="1" si="248"/>
        <v>0</v>
      </c>
      <c r="HO126" s="1757">
        <f t="shared" ca="1" si="248"/>
        <v>0</v>
      </c>
      <c r="HP126" s="1757">
        <f t="shared" ca="1" si="248"/>
        <v>0</v>
      </c>
      <c r="HQ126" s="1757">
        <f t="shared" ca="1" si="248"/>
        <v>0</v>
      </c>
      <c r="HR126" s="1757">
        <f t="shared" ca="1" si="248"/>
        <v>0</v>
      </c>
      <c r="HS126" s="1757">
        <f t="shared" ca="1" si="248"/>
        <v>0</v>
      </c>
      <c r="HT126" s="1757">
        <f t="shared" ca="1" si="248"/>
        <v>0</v>
      </c>
      <c r="HU126" s="1757">
        <f t="shared" ca="1" si="248"/>
        <v>0</v>
      </c>
      <c r="HV126" s="1757">
        <f t="shared" ca="1" si="248"/>
        <v>0</v>
      </c>
      <c r="HW126" s="1757">
        <f t="shared" ca="1" si="248"/>
        <v>0</v>
      </c>
      <c r="HX126" s="1757">
        <f t="shared" ca="1" si="249"/>
        <v>0</v>
      </c>
      <c r="HY126" s="1757">
        <f t="shared" ca="1" si="249"/>
        <v>0</v>
      </c>
      <c r="HZ126" s="1757">
        <f t="shared" ca="1" si="249"/>
        <v>0</v>
      </c>
      <c r="IA126" s="1757">
        <f t="shared" ca="1" si="249"/>
        <v>0</v>
      </c>
      <c r="IB126" s="1757">
        <f t="shared" ca="1" si="249"/>
        <v>0</v>
      </c>
      <c r="IC126" s="1757">
        <f t="shared" ca="1" si="249"/>
        <v>0</v>
      </c>
      <c r="ID126" s="1757">
        <f t="shared" ca="1" si="249"/>
        <v>0</v>
      </c>
      <c r="IE126" s="1757">
        <f t="shared" ca="1" si="249"/>
        <v>0</v>
      </c>
      <c r="IF126" s="1757">
        <f t="shared" ca="1" si="249"/>
        <v>0</v>
      </c>
      <c r="IG126" s="1757">
        <f t="shared" ca="1" si="249"/>
        <v>0</v>
      </c>
      <c r="IH126" s="1757">
        <f t="shared" ca="1" si="250"/>
        <v>0</v>
      </c>
      <c r="II126" s="1757">
        <f t="shared" ca="1" si="250"/>
        <v>0</v>
      </c>
      <c r="IJ126" s="1757">
        <f t="shared" ca="1" si="250"/>
        <v>0</v>
      </c>
      <c r="IK126" s="1757">
        <f t="shared" ca="1" si="250"/>
        <v>0</v>
      </c>
      <c r="IL126" s="1757">
        <f t="shared" ca="1" si="250"/>
        <v>0</v>
      </c>
      <c r="IM126" s="1757">
        <f t="shared" ca="1" si="250"/>
        <v>0</v>
      </c>
      <c r="IN126" s="1757">
        <f t="shared" ca="1" si="250"/>
        <v>0</v>
      </c>
      <c r="IO126" s="1757">
        <f t="shared" ca="1" si="250"/>
        <v>0</v>
      </c>
      <c r="IP126" s="1757">
        <f t="shared" ca="1" si="250"/>
        <v>0</v>
      </c>
      <c r="IQ126" s="1757">
        <f t="shared" ca="1" si="250"/>
        <v>0</v>
      </c>
      <c r="IR126" s="1757">
        <f t="shared" ca="1" si="251"/>
        <v>0</v>
      </c>
      <c r="IS126" s="1757">
        <f t="shared" ca="1" si="251"/>
        <v>0</v>
      </c>
      <c r="IT126" s="1757">
        <f t="shared" ca="1" si="251"/>
        <v>0</v>
      </c>
      <c r="IU126" s="1757">
        <f t="shared" ca="1" si="251"/>
        <v>0</v>
      </c>
      <c r="IV126" s="1757">
        <f t="shared" ca="1" si="251"/>
        <v>0</v>
      </c>
      <c r="IW126" s="1757">
        <f t="shared" ca="1" si="251"/>
        <v>0</v>
      </c>
      <c r="IX126" s="1757">
        <f t="shared" ca="1" si="251"/>
        <v>0</v>
      </c>
      <c r="IY126" s="1757">
        <f t="shared" ca="1" si="251"/>
        <v>0</v>
      </c>
      <c r="IZ126" s="1757">
        <f t="shared" ca="1" si="251"/>
        <v>0</v>
      </c>
      <c r="JA126" s="1757">
        <f t="shared" ca="1" si="251"/>
        <v>0</v>
      </c>
      <c r="JB126" s="1757">
        <f t="shared" ca="1" si="252"/>
        <v>0</v>
      </c>
      <c r="JC126" s="1757">
        <f t="shared" ca="1" si="252"/>
        <v>0</v>
      </c>
      <c r="JD126" s="1757">
        <f t="shared" ca="1" si="252"/>
        <v>0</v>
      </c>
      <c r="JE126" s="1757">
        <f t="shared" ca="1" si="252"/>
        <v>0</v>
      </c>
      <c r="JF126" s="1757">
        <f t="shared" ca="1" si="252"/>
        <v>0</v>
      </c>
      <c r="JG126" s="1757">
        <f t="shared" ca="1" si="252"/>
        <v>0</v>
      </c>
      <c r="JH126" s="1757">
        <f t="shared" ca="1" si="252"/>
        <v>0</v>
      </c>
      <c r="JI126" s="1757">
        <f t="shared" ca="1" si="252"/>
        <v>0</v>
      </c>
      <c r="JJ126" s="1757">
        <f t="shared" ca="1" si="252"/>
        <v>0</v>
      </c>
      <c r="JK126" s="1757">
        <f t="shared" ca="1" si="252"/>
        <v>0</v>
      </c>
      <c r="JL126" s="1757">
        <f t="shared" ca="1" si="253"/>
        <v>0</v>
      </c>
      <c r="JM126" s="1757">
        <f t="shared" ca="1" si="253"/>
        <v>0</v>
      </c>
      <c r="JN126" s="1757">
        <f t="shared" ca="1" si="253"/>
        <v>0</v>
      </c>
      <c r="JO126" s="1757">
        <f t="shared" ca="1" si="253"/>
        <v>0</v>
      </c>
      <c r="JP126" s="1757">
        <f t="shared" ca="1" si="253"/>
        <v>0</v>
      </c>
      <c r="JQ126" s="1757">
        <f t="shared" ca="1" si="253"/>
        <v>0</v>
      </c>
      <c r="JR126" s="1757">
        <f t="shared" ca="1" si="253"/>
        <v>0</v>
      </c>
      <c r="JS126" s="1757">
        <f t="shared" ca="1" si="253"/>
        <v>0</v>
      </c>
      <c r="JT126" s="1757">
        <f t="shared" ca="1" si="253"/>
        <v>0</v>
      </c>
      <c r="JU126" s="1757">
        <f t="shared" ca="1" si="253"/>
        <v>0</v>
      </c>
      <c r="JV126" s="1757">
        <f t="shared" ca="1" si="254"/>
        <v>0</v>
      </c>
      <c r="JW126" s="1757">
        <f t="shared" ca="1" si="254"/>
        <v>0</v>
      </c>
      <c r="JX126" s="1757">
        <f t="shared" ca="1" si="254"/>
        <v>0</v>
      </c>
      <c r="JY126" s="1757">
        <f t="shared" ca="1" si="254"/>
        <v>0</v>
      </c>
      <c r="JZ126" s="1757">
        <f t="shared" ca="1" si="254"/>
        <v>0</v>
      </c>
      <c r="KA126" s="1757">
        <f t="shared" ca="1" si="254"/>
        <v>0</v>
      </c>
      <c r="KB126" s="1757">
        <f t="shared" ca="1" si="254"/>
        <v>0</v>
      </c>
      <c r="KC126" s="1757">
        <f t="shared" ca="1" si="254"/>
        <v>0</v>
      </c>
      <c r="KD126" s="1757">
        <f t="shared" ca="1" si="254"/>
        <v>0</v>
      </c>
      <c r="KE126" s="1757">
        <f t="shared" ca="1" si="254"/>
        <v>0</v>
      </c>
      <c r="KF126" s="1757">
        <f t="shared" ca="1" si="255"/>
        <v>0</v>
      </c>
      <c r="KG126" s="1757">
        <f t="shared" ca="1" si="255"/>
        <v>0</v>
      </c>
      <c r="KH126" s="1757">
        <f t="shared" ca="1" si="255"/>
        <v>0</v>
      </c>
      <c r="KI126" s="1757">
        <f t="shared" ca="1" si="255"/>
        <v>0</v>
      </c>
      <c r="KJ126" s="1757">
        <f t="shared" ca="1" si="255"/>
        <v>0</v>
      </c>
      <c r="KK126" s="1757">
        <f t="shared" ca="1" si="255"/>
        <v>0</v>
      </c>
      <c r="KL126" s="1757">
        <f t="shared" ca="1" si="255"/>
        <v>0</v>
      </c>
      <c r="KM126" s="1757">
        <f t="shared" ca="1" si="255"/>
        <v>0</v>
      </c>
      <c r="KN126" s="1757">
        <f t="shared" ca="1" si="255"/>
        <v>0</v>
      </c>
      <c r="KO126" s="1757">
        <f t="shared" ca="1" si="255"/>
        <v>0</v>
      </c>
      <c r="KP126" s="1757">
        <f t="shared" ca="1" si="256"/>
        <v>0</v>
      </c>
      <c r="KQ126" s="1757">
        <f t="shared" ca="1" si="256"/>
        <v>0</v>
      </c>
      <c r="KR126" s="1757">
        <f t="shared" ca="1" si="256"/>
        <v>0</v>
      </c>
      <c r="KS126" s="1757">
        <f t="shared" ca="1" si="256"/>
        <v>0</v>
      </c>
      <c r="KT126" s="1757">
        <f t="shared" ca="1" si="256"/>
        <v>0</v>
      </c>
      <c r="KU126" s="1757">
        <f t="shared" ca="1" si="256"/>
        <v>0</v>
      </c>
      <c r="KV126" s="1757">
        <f t="shared" ca="1" si="256"/>
        <v>0</v>
      </c>
      <c r="KW126" s="1757">
        <f t="shared" ca="1" si="256"/>
        <v>0</v>
      </c>
      <c r="KX126" s="1757">
        <f t="shared" ca="1" si="256"/>
        <v>0</v>
      </c>
      <c r="KY126" s="1757">
        <f t="shared" ca="1" si="256"/>
        <v>0</v>
      </c>
      <c r="KZ126" s="1757">
        <f t="shared" ca="1" si="257"/>
        <v>0</v>
      </c>
      <c r="LA126" s="1757">
        <f t="shared" ca="1" si="257"/>
        <v>0</v>
      </c>
      <c r="LB126" s="1757">
        <f t="shared" ca="1" si="257"/>
        <v>0</v>
      </c>
      <c r="LC126" s="1757">
        <f t="shared" ca="1" si="257"/>
        <v>0</v>
      </c>
      <c r="LD126" s="1757">
        <f t="shared" ca="1" si="257"/>
        <v>0</v>
      </c>
      <c r="LE126" s="1757">
        <f t="shared" ca="1" si="257"/>
        <v>0</v>
      </c>
      <c r="LF126" s="1757">
        <f t="shared" ca="1" si="257"/>
        <v>0</v>
      </c>
      <c r="LG126" s="1757">
        <f t="shared" ca="1" si="257"/>
        <v>0</v>
      </c>
      <c r="LH126" s="1757">
        <f t="shared" ca="1" si="257"/>
        <v>0</v>
      </c>
      <c r="LI126" s="1757">
        <f t="shared" ca="1" si="257"/>
        <v>0</v>
      </c>
      <c r="LJ126" s="1757">
        <f t="shared" ca="1" si="258"/>
        <v>0</v>
      </c>
      <c r="LK126" s="1757">
        <f t="shared" ca="1" si="258"/>
        <v>0</v>
      </c>
      <c r="LL126" s="1757">
        <f t="shared" ca="1" si="258"/>
        <v>0</v>
      </c>
      <c r="LM126" s="1757">
        <f t="shared" ca="1" si="258"/>
        <v>0</v>
      </c>
      <c r="LN126" s="1757">
        <f t="shared" ca="1" si="258"/>
        <v>0</v>
      </c>
      <c r="LO126" s="1757">
        <f t="shared" ca="1" si="258"/>
        <v>0</v>
      </c>
      <c r="LP126" s="1758">
        <f t="shared" ca="1" si="258"/>
        <v>0</v>
      </c>
      <c r="LQ126" s="604"/>
    </row>
    <row r="127" spans="1:329" ht="12.75" customHeight="1" x14ac:dyDescent="0.3">
      <c r="A127" s="279"/>
      <c r="B127" s="41"/>
      <c r="C127" s="82"/>
      <c r="D127" s="41"/>
      <c r="E127" s="9"/>
      <c r="F127" s="9"/>
      <c r="G127" s="9"/>
      <c r="H127" s="10"/>
      <c r="I127" s="10"/>
      <c r="J127" s="10"/>
      <c r="K127" s="10"/>
      <c r="L127" s="10"/>
      <c r="M127" s="10"/>
      <c r="N127" s="9"/>
      <c r="O127" s="9"/>
      <c r="P127" s="44"/>
      <c r="Q127" s="44"/>
      <c r="R127" s="9"/>
      <c r="S127" s="9"/>
      <c r="T127" s="9"/>
      <c r="U127" s="9"/>
      <c r="V127" s="9"/>
      <c r="W127" s="9"/>
      <c r="X127" s="9"/>
      <c r="Y127" s="9"/>
      <c r="Z127" s="9"/>
      <c r="AA127" s="9"/>
      <c r="AB127" s="9"/>
      <c r="AC127" s="9"/>
      <c r="AD127" s="9"/>
      <c r="AE127" s="9"/>
      <c r="AF127" s="9"/>
      <c r="AG127" s="9"/>
      <c r="AH127" s="2514"/>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113"/>
      <c r="DI127" s="113"/>
      <c r="DJ127" s="113"/>
      <c r="DK127" s="118"/>
      <c r="DL127" s="118"/>
      <c r="DM127" s="118"/>
      <c r="DN127" s="118"/>
      <c r="DO127" s="118"/>
      <c r="DP127" s="118"/>
      <c r="DQ127" s="118"/>
      <c r="DR127" s="118"/>
      <c r="DS127" s="118"/>
      <c r="DT127" s="118"/>
      <c r="DU127" s="118"/>
      <c r="DV127" s="118"/>
      <c r="DW127" s="118"/>
      <c r="DX127" s="118"/>
      <c r="DY127" s="118"/>
      <c r="DZ127" s="118"/>
      <c r="EA127" s="118"/>
      <c r="EB127" s="118"/>
      <c r="EC127" s="118"/>
      <c r="ED127" s="118"/>
      <c r="EE127" s="118"/>
      <c r="EF127" s="118"/>
      <c r="EG127" s="118"/>
      <c r="EH127" s="118"/>
      <c r="EI127" s="118"/>
      <c r="EJ127" s="118"/>
      <c r="EK127" s="118"/>
      <c r="EL127" s="118"/>
      <c r="EM127" s="118"/>
      <c r="EN127" s="118"/>
      <c r="EO127" s="118"/>
      <c r="EP127" s="118"/>
      <c r="EQ127" s="118"/>
      <c r="ER127" s="118"/>
      <c r="ES127" s="118"/>
      <c r="ET127" s="118"/>
      <c r="EU127" s="118"/>
      <c r="EV127" s="118"/>
      <c r="EW127" s="118"/>
      <c r="EX127" s="118"/>
      <c r="EY127" s="118"/>
      <c r="EZ127" s="118"/>
      <c r="FA127" s="118"/>
      <c r="FB127" s="118"/>
      <c r="FC127" s="118"/>
      <c r="FD127" s="118"/>
      <c r="FE127" s="118"/>
      <c r="FF127" s="118"/>
      <c r="FG127" s="118"/>
      <c r="FH127" s="118"/>
      <c r="FI127" s="180"/>
      <c r="FJ127" s="132"/>
      <c r="FK127" s="132"/>
      <c r="FL127" s="181">
        <f t="shared" ca="1" si="197"/>
        <v>14</v>
      </c>
      <c r="FM127" s="1340">
        <f t="shared" ca="1" si="259"/>
        <v>0</v>
      </c>
      <c r="FN127" s="1341">
        <f t="shared" ca="1" si="199"/>
        <v>0</v>
      </c>
      <c r="FO127" s="1342">
        <f t="shared" ca="1" si="260"/>
        <v>13</v>
      </c>
      <c r="FP127" s="1343">
        <f t="shared" ca="1" si="261"/>
        <v>0</v>
      </c>
      <c r="FQ127" s="1344">
        <f t="shared" si="262"/>
        <v>40</v>
      </c>
      <c r="FR127" s="1344">
        <f t="shared" si="263"/>
        <v>50</v>
      </c>
      <c r="FS127" s="1345">
        <f t="shared" si="204"/>
        <v>14</v>
      </c>
      <c r="FT127" s="1345"/>
      <c r="FU127" s="1346">
        <f t="shared" ca="1" si="219"/>
        <v>0</v>
      </c>
      <c r="FV127" s="1346"/>
      <c r="FW127" s="1346"/>
      <c r="FX127" s="1347"/>
      <c r="FY127" s="1348"/>
      <c r="FZ127" s="1348"/>
      <c r="GA127" s="1348"/>
      <c r="GB127" s="1349"/>
      <c r="GC127" s="1350"/>
      <c r="GD127" s="1348"/>
      <c r="GE127" s="1348"/>
      <c r="GF127" s="1348"/>
      <c r="GG127" s="1348"/>
      <c r="GH127" s="1348"/>
      <c r="GI127" s="1348"/>
      <c r="GJ127" s="1348"/>
      <c r="GK127" s="1348"/>
      <c r="GL127" s="1348"/>
      <c r="GM127" s="1348"/>
      <c r="GN127" s="3825">
        <f t="shared" ca="1" si="264"/>
        <v>0</v>
      </c>
      <c r="GO127" s="3825"/>
      <c r="GP127" s="3825"/>
      <c r="GQ127" s="3826"/>
      <c r="GR127" s="3675"/>
      <c r="GS127" s="3676"/>
      <c r="GT127" s="1756">
        <f t="shared" ca="1" si="246"/>
        <v>0</v>
      </c>
      <c r="GU127" s="1757">
        <f t="shared" ca="1" si="246"/>
        <v>0</v>
      </c>
      <c r="GV127" s="1757">
        <f t="shared" ca="1" si="246"/>
        <v>0</v>
      </c>
      <c r="GW127" s="1757">
        <f t="shared" ca="1" si="246"/>
        <v>0</v>
      </c>
      <c r="GX127" s="1757">
        <f t="shared" ca="1" si="246"/>
        <v>0</v>
      </c>
      <c r="GY127" s="1757">
        <f t="shared" ca="1" si="246"/>
        <v>0</v>
      </c>
      <c r="GZ127" s="1757">
        <f t="shared" ca="1" si="246"/>
        <v>0</v>
      </c>
      <c r="HA127" s="1757">
        <f t="shared" ca="1" si="246"/>
        <v>0</v>
      </c>
      <c r="HB127" s="1757">
        <f t="shared" ca="1" si="246"/>
        <v>0</v>
      </c>
      <c r="HC127" s="1757">
        <f t="shared" ca="1" si="246"/>
        <v>0</v>
      </c>
      <c r="HD127" s="1757">
        <f t="shared" ca="1" si="247"/>
        <v>0</v>
      </c>
      <c r="HE127" s="1757">
        <f t="shared" ca="1" si="247"/>
        <v>0</v>
      </c>
      <c r="HF127" s="1757">
        <f t="shared" ca="1" si="247"/>
        <v>0</v>
      </c>
      <c r="HG127" s="1757">
        <f t="shared" ca="1" si="247"/>
        <v>0</v>
      </c>
      <c r="HH127" s="1757">
        <f t="shared" ca="1" si="247"/>
        <v>0</v>
      </c>
      <c r="HI127" s="1757">
        <f t="shared" ca="1" si="247"/>
        <v>0</v>
      </c>
      <c r="HJ127" s="1757">
        <f t="shared" ca="1" si="247"/>
        <v>0</v>
      </c>
      <c r="HK127" s="1757">
        <f t="shared" ca="1" si="247"/>
        <v>0</v>
      </c>
      <c r="HL127" s="1757">
        <f t="shared" ca="1" si="247"/>
        <v>0</v>
      </c>
      <c r="HM127" s="1757">
        <f t="shared" ca="1" si="247"/>
        <v>0</v>
      </c>
      <c r="HN127" s="1757">
        <f t="shared" ca="1" si="248"/>
        <v>0</v>
      </c>
      <c r="HO127" s="1757">
        <f t="shared" ca="1" si="248"/>
        <v>0</v>
      </c>
      <c r="HP127" s="1757">
        <f t="shared" ca="1" si="248"/>
        <v>0</v>
      </c>
      <c r="HQ127" s="1757">
        <f t="shared" ca="1" si="248"/>
        <v>0</v>
      </c>
      <c r="HR127" s="1757">
        <f t="shared" ca="1" si="248"/>
        <v>0</v>
      </c>
      <c r="HS127" s="1757">
        <f t="shared" ca="1" si="248"/>
        <v>0</v>
      </c>
      <c r="HT127" s="1757">
        <f t="shared" ca="1" si="248"/>
        <v>0</v>
      </c>
      <c r="HU127" s="1757">
        <f t="shared" ca="1" si="248"/>
        <v>0</v>
      </c>
      <c r="HV127" s="1757">
        <f t="shared" ca="1" si="248"/>
        <v>0</v>
      </c>
      <c r="HW127" s="1757">
        <f t="shared" ca="1" si="248"/>
        <v>0</v>
      </c>
      <c r="HX127" s="1757">
        <f t="shared" ca="1" si="249"/>
        <v>0</v>
      </c>
      <c r="HY127" s="1757">
        <f t="shared" ca="1" si="249"/>
        <v>0</v>
      </c>
      <c r="HZ127" s="1757">
        <f t="shared" ca="1" si="249"/>
        <v>0</v>
      </c>
      <c r="IA127" s="1757">
        <f t="shared" ca="1" si="249"/>
        <v>0</v>
      </c>
      <c r="IB127" s="1757">
        <f t="shared" ca="1" si="249"/>
        <v>0</v>
      </c>
      <c r="IC127" s="1757">
        <f t="shared" ca="1" si="249"/>
        <v>0</v>
      </c>
      <c r="ID127" s="1757">
        <f t="shared" ca="1" si="249"/>
        <v>0</v>
      </c>
      <c r="IE127" s="1757">
        <f t="shared" ca="1" si="249"/>
        <v>0</v>
      </c>
      <c r="IF127" s="1757">
        <f t="shared" ca="1" si="249"/>
        <v>0</v>
      </c>
      <c r="IG127" s="1757">
        <f t="shared" ca="1" si="249"/>
        <v>0</v>
      </c>
      <c r="IH127" s="1757">
        <f t="shared" ca="1" si="250"/>
        <v>0</v>
      </c>
      <c r="II127" s="1757">
        <f t="shared" ca="1" si="250"/>
        <v>0</v>
      </c>
      <c r="IJ127" s="1757">
        <f t="shared" ca="1" si="250"/>
        <v>0</v>
      </c>
      <c r="IK127" s="1757">
        <f t="shared" ca="1" si="250"/>
        <v>0</v>
      </c>
      <c r="IL127" s="1757">
        <f t="shared" ca="1" si="250"/>
        <v>0</v>
      </c>
      <c r="IM127" s="1757">
        <f t="shared" ca="1" si="250"/>
        <v>0</v>
      </c>
      <c r="IN127" s="1757">
        <f t="shared" ca="1" si="250"/>
        <v>0</v>
      </c>
      <c r="IO127" s="1757">
        <f t="shared" ca="1" si="250"/>
        <v>0</v>
      </c>
      <c r="IP127" s="1757">
        <f t="shared" ca="1" si="250"/>
        <v>0</v>
      </c>
      <c r="IQ127" s="1757">
        <f t="shared" ca="1" si="250"/>
        <v>0</v>
      </c>
      <c r="IR127" s="1757">
        <f t="shared" ca="1" si="251"/>
        <v>0</v>
      </c>
      <c r="IS127" s="1757">
        <f t="shared" ca="1" si="251"/>
        <v>0</v>
      </c>
      <c r="IT127" s="1757">
        <f t="shared" ca="1" si="251"/>
        <v>0</v>
      </c>
      <c r="IU127" s="1757">
        <f t="shared" ca="1" si="251"/>
        <v>0</v>
      </c>
      <c r="IV127" s="1757">
        <f t="shared" ca="1" si="251"/>
        <v>0</v>
      </c>
      <c r="IW127" s="1757">
        <f t="shared" ca="1" si="251"/>
        <v>0</v>
      </c>
      <c r="IX127" s="1757">
        <f t="shared" ca="1" si="251"/>
        <v>0</v>
      </c>
      <c r="IY127" s="1757">
        <f t="shared" ca="1" si="251"/>
        <v>0</v>
      </c>
      <c r="IZ127" s="1757">
        <f t="shared" ca="1" si="251"/>
        <v>0</v>
      </c>
      <c r="JA127" s="1757">
        <f t="shared" ca="1" si="251"/>
        <v>0</v>
      </c>
      <c r="JB127" s="1757">
        <f t="shared" ca="1" si="252"/>
        <v>0</v>
      </c>
      <c r="JC127" s="1757">
        <f t="shared" ca="1" si="252"/>
        <v>0</v>
      </c>
      <c r="JD127" s="1757">
        <f t="shared" ca="1" si="252"/>
        <v>0</v>
      </c>
      <c r="JE127" s="1757">
        <f t="shared" ca="1" si="252"/>
        <v>0</v>
      </c>
      <c r="JF127" s="1757">
        <f t="shared" ca="1" si="252"/>
        <v>0</v>
      </c>
      <c r="JG127" s="1757">
        <f t="shared" ca="1" si="252"/>
        <v>0</v>
      </c>
      <c r="JH127" s="1757">
        <f t="shared" ca="1" si="252"/>
        <v>0</v>
      </c>
      <c r="JI127" s="1757">
        <f t="shared" ca="1" si="252"/>
        <v>0</v>
      </c>
      <c r="JJ127" s="1757">
        <f t="shared" ca="1" si="252"/>
        <v>0</v>
      </c>
      <c r="JK127" s="1757">
        <f t="shared" ca="1" si="252"/>
        <v>0</v>
      </c>
      <c r="JL127" s="1757">
        <f t="shared" ca="1" si="253"/>
        <v>0</v>
      </c>
      <c r="JM127" s="1757">
        <f t="shared" ca="1" si="253"/>
        <v>0</v>
      </c>
      <c r="JN127" s="1757">
        <f t="shared" ca="1" si="253"/>
        <v>0</v>
      </c>
      <c r="JO127" s="1757">
        <f t="shared" ca="1" si="253"/>
        <v>0</v>
      </c>
      <c r="JP127" s="1757">
        <f t="shared" ca="1" si="253"/>
        <v>0</v>
      </c>
      <c r="JQ127" s="1757">
        <f t="shared" ca="1" si="253"/>
        <v>0</v>
      </c>
      <c r="JR127" s="1757">
        <f t="shared" ca="1" si="253"/>
        <v>0</v>
      </c>
      <c r="JS127" s="1757">
        <f t="shared" ca="1" si="253"/>
        <v>0</v>
      </c>
      <c r="JT127" s="1757">
        <f t="shared" ca="1" si="253"/>
        <v>0</v>
      </c>
      <c r="JU127" s="1757">
        <f t="shared" ca="1" si="253"/>
        <v>0</v>
      </c>
      <c r="JV127" s="1757">
        <f t="shared" ca="1" si="254"/>
        <v>0</v>
      </c>
      <c r="JW127" s="1757">
        <f t="shared" ca="1" si="254"/>
        <v>0</v>
      </c>
      <c r="JX127" s="1757">
        <f t="shared" ca="1" si="254"/>
        <v>0</v>
      </c>
      <c r="JY127" s="1757">
        <f t="shared" ca="1" si="254"/>
        <v>0</v>
      </c>
      <c r="JZ127" s="1757">
        <f t="shared" ca="1" si="254"/>
        <v>0</v>
      </c>
      <c r="KA127" s="1757">
        <f t="shared" ca="1" si="254"/>
        <v>0</v>
      </c>
      <c r="KB127" s="1757">
        <f t="shared" ca="1" si="254"/>
        <v>0</v>
      </c>
      <c r="KC127" s="1757">
        <f t="shared" ca="1" si="254"/>
        <v>0</v>
      </c>
      <c r="KD127" s="1757">
        <f t="shared" ca="1" si="254"/>
        <v>0</v>
      </c>
      <c r="KE127" s="1757">
        <f t="shared" ca="1" si="254"/>
        <v>0</v>
      </c>
      <c r="KF127" s="1757">
        <f t="shared" ca="1" si="255"/>
        <v>0</v>
      </c>
      <c r="KG127" s="1757">
        <f t="shared" ca="1" si="255"/>
        <v>0</v>
      </c>
      <c r="KH127" s="1757">
        <f t="shared" ca="1" si="255"/>
        <v>0</v>
      </c>
      <c r="KI127" s="1757">
        <f t="shared" ca="1" si="255"/>
        <v>0</v>
      </c>
      <c r="KJ127" s="1757">
        <f t="shared" ca="1" si="255"/>
        <v>0</v>
      </c>
      <c r="KK127" s="1757">
        <f t="shared" ca="1" si="255"/>
        <v>0</v>
      </c>
      <c r="KL127" s="1757">
        <f t="shared" ca="1" si="255"/>
        <v>0</v>
      </c>
      <c r="KM127" s="1757">
        <f t="shared" ca="1" si="255"/>
        <v>0</v>
      </c>
      <c r="KN127" s="1757">
        <f t="shared" ca="1" si="255"/>
        <v>0</v>
      </c>
      <c r="KO127" s="1757">
        <f t="shared" ca="1" si="255"/>
        <v>0</v>
      </c>
      <c r="KP127" s="1757">
        <f t="shared" ca="1" si="256"/>
        <v>0</v>
      </c>
      <c r="KQ127" s="1757">
        <f t="shared" ca="1" si="256"/>
        <v>0</v>
      </c>
      <c r="KR127" s="1757">
        <f t="shared" ca="1" si="256"/>
        <v>0</v>
      </c>
      <c r="KS127" s="1757">
        <f t="shared" ca="1" si="256"/>
        <v>0</v>
      </c>
      <c r="KT127" s="1757">
        <f t="shared" ca="1" si="256"/>
        <v>0</v>
      </c>
      <c r="KU127" s="1757">
        <f t="shared" ca="1" si="256"/>
        <v>0</v>
      </c>
      <c r="KV127" s="1757">
        <f t="shared" ca="1" si="256"/>
        <v>0</v>
      </c>
      <c r="KW127" s="1757">
        <f t="shared" ca="1" si="256"/>
        <v>0</v>
      </c>
      <c r="KX127" s="1757">
        <f t="shared" ca="1" si="256"/>
        <v>0</v>
      </c>
      <c r="KY127" s="1757">
        <f t="shared" ca="1" si="256"/>
        <v>0</v>
      </c>
      <c r="KZ127" s="1757">
        <f t="shared" ca="1" si="257"/>
        <v>0</v>
      </c>
      <c r="LA127" s="1757">
        <f t="shared" ca="1" si="257"/>
        <v>0</v>
      </c>
      <c r="LB127" s="1757">
        <f t="shared" ca="1" si="257"/>
        <v>0</v>
      </c>
      <c r="LC127" s="1757">
        <f t="shared" ca="1" si="257"/>
        <v>0</v>
      </c>
      <c r="LD127" s="1757">
        <f t="shared" ca="1" si="257"/>
        <v>0</v>
      </c>
      <c r="LE127" s="1757">
        <f t="shared" ca="1" si="257"/>
        <v>0</v>
      </c>
      <c r="LF127" s="1757">
        <f t="shared" ca="1" si="257"/>
        <v>0</v>
      </c>
      <c r="LG127" s="1757">
        <f t="shared" ca="1" si="257"/>
        <v>0</v>
      </c>
      <c r="LH127" s="1757">
        <f t="shared" ca="1" si="257"/>
        <v>0</v>
      </c>
      <c r="LI127" s="1757">
        <f t="shared" ca="1" si="257"/>
        <v>0</v>
      </c>
      <c r="LJ127" s="1757">
        <f t="shared" ca="1" si="258"/>
        <v>0</v>
      </c>
      <c r="LK127" s="1757">
        <f t="shared" ca="1" si="258"/>
        <v>0</v>
      </c>
      <c r="LL127" s="1757">
        <f t="shared" ca="1" si="258"/>
        <v>0</v>
      </c>
      <c r="LM127" s="1757">
        <f t="shared" ca="1" si="258"/>
        <v>0</v>
      </c>
      <c r="LN127" s="1757">
        <f t="shared" ca="1" si="258"/>
        <v>0</v>
      </c>
      <c r="LO127" s="1757">
        <f t="shared" ca="1" si="258"/>
        <v>0</v>
      </c>
      <c r="LP127" s="1758">
        <f t="shared" ca="1" si="258"/>
        <v>0</v>
      </c>
      <c r="LQ127" s="604"/>
    </row>
    <row r="128" spans="1:329" ht="12.75" customHeight="1" x14ac:dyDescent="0.3">
      <c r="A128" s="279"/>
      <c r="B128" s="41"/>
      <c r="C128" s="82"/>
      <c r="D128" s="41"/>
      <c r="E128" s="9"/>
      <c r="F128" s="9"/>
      <c r="G128" s="9"/>
      <c r="H128" s="10"/>
      <c r="I128" s="10"/>
      <c r="J128" s="10"/>
      <c r="K128" s="10"/>
      <c r="L128" s="10"/>
      <c r="M128" s="10"/>
      <c r="N128" s="9"/>
      <c r="O128" s="9"/>
      <c r="P128" s="44"/>
      <c r="Q128" s="44"/>
      <c r="R128" s="9"/>
      <c r="S128" s="9"/>
      <c r="T128" s="9"/>
      <c r="U128" s="9"/>
      <c r="V128" s="9"/>
      <c r="W128" s="9"/>
      <c r="X128" s="9"/>
      <c r="Y128" s="9"/>
      <c r="Z128" s="9"/>
      <c r="AA128" s="9"/>
      <c r="AB128" s="9"/>
      <c r="AC128" s="9"/>
      <c r="AD128" s="9"/>
      <c r="AE128" s="9"/>
      <c r="AF128" s="9"/>
      <c r="AG128" s="9"/>
      <c r="AH128" s="2514"/>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113"/>
      <c r="DI128" s="113"/>
      <c r="DJ128" s="113"/>
      <c r="DK128" s="118"/>
      <c r="DL128" s="118"/>
      <c r="DM128" s="118"/>
      <c r="DN128" s="118"/>
      <c r="DO128" s="118"/>
      <c r="DP128" s="118"/>
      <c r="DQ128" s="118"/>
      <c r="DR128" s="118"/>
      <c r="DS128" s="118"/>
      <c r="DT128" s="118"/>
      <c r="DU128" s="118"/>
      <c r="DV128" s="118"/>
      <c r="DW128" s="118"/>
      <c r="DX128" s="118"/>
      <c r="DY128" s="118"/>
      <c r="DZ128" s="118"/>
      <c r="EA128" s="118"/>
      <c r="EB128" s="118"/>
      <c r="EC128" s="118"/>
      <c r="ED128" s="118"/>
      <c r="EE128" s="118"/>
      <c r="EF128" s="118"/>
      <c r="EG128" s="118"/>
      <c r="EH128" s="118"/>
      <c r="EI128" s="118"/>
      <c r="EJ128" s="118"/>
      <c r="EK128" s="118"/>
      <c r="EL128" s="118"/>
      <c r="EM128" s="118"/>
      <c r="EN128" s="118"/>
      <c r="EO128" s="118"/>
      <c r="EP128" s="118"/>
      <c r="EQ128" s="118"/>
      <c r="ER128" s="118"/>
      <c r="ES128" s="118"/>
      <c r="ET128" s="118"/>
      <c r="EU128" s="118"/>
      <c r="EV128" s="118"/>
      <c r="EW128" s="118"/>
      <c r="EX128" s="118"/>
      <c r="EY128" s="118"/>
      <c r="EZ128" s="118"/>
      <c r="FA128" s="118"/>
      <c r="FB128" s="118"/>
      <c r="FC128" s="118"/>
      <c r="FD128" s="118"/>
      <c r="FE128" s="118"/>
      <c r="FF128" s="118"/>
      <c r="FG128" s="118"/>
      <c r="FH128" s="118"/>
      <c r="FI128" s="180"/>
      <c r="FJ128" s="132"/>
      <c r="FK128" s="132"/>
      <c r="FL128" s="181">
        <f t="shared" ca="1" si="197"/>
        <v>13</v>
      </c>
      <c r="FM128" s="1340">
        <f t="shared" ca="1" si="259"/>
        <v>0</v>
      </c>
      <c r="FN128" s="1341">
        <f t="shared" ca="1" si="199"/>
        <v>0</v>
      </c>
      <c r="FO128" s="1342">
        <f t="shared" ca="1" si="260"/>
        <v>12</v>
      </c>
      <c r="FP128" s="1343">
        <f t="shared" ca="1" si="261"/>
        <v>0</v>
      </c>
      <c r="FQ128" s="1344">
        <f t="shared" si="262"/>
        <v>40</v>
      </c>
      <c r="FR128" s="1344">
        <f t="shared" si="263"/>
        <v>50</v>
      </c>
      <c r="FS128" s="1345">
        <f t="shared" si="204"/>
        <v>13</v>
      </c>
      <c r="FT128" s="1345"/>
      <c r="FU128" s="1346">
        <f t="shared" ca="1" si="219"/>
        <v>0</v>
      </c>
      <c r="FV128" s="1346"/>
      <c r="FW128" s="1346"/>
      <c r="FX128" s="1347"/>
      <c r="FY128" s="1348"/>
      <c r="FZ128" s="1348"/>
      <c r="GA128" s="1348"/>
      <c r="GB128" s="1349"/>
      <c r="GC128" s="1350"/>
      <c r="GD128" s="1348"/>
      <c r="GE128" s="1348"/>
      <c r="GF128" s="1348"/>
      <c r="GG128" s="1348"/>
      <c r="GH128" s="1348"/>
      <c r="GI128" s="1348"/>
      <c r="GJ128" s="1348"/>
      <c r="GK128" s="1348"/>
      <c r="GL128" s="1348"/>
      <c r="GM128" s="1348"/>
      <c r="GN128" s="3825">
        <f t="shared" ca="1" si="264"/>
        <v>0</v>
      </c>
      <c r="GO128" s="3825"/>
      <c r="GP128" s="3825"/>
      <c r="GQ128" s="3826"/>
      <c r="GR128" s="3675"/>
      <c r="GS128" s="3676"/>
      <c r="GT128" s="1756">
        <f t="shared" ca="1" si="246"/>
        <v>0</v>
      </c>
      <c r="GU128" s="1757">
        <f t="shared" ca="1" si="246"/>
        <v>0</v>
      </c>
      <c r="GV128" s="1757">
        <f t="shared" ca="1" si="246"/>
        <v>0</v>
      </c>
      <c r="GW128" s="1757">
        <f t="shared" ca="1" si="246"/>
        <v>0</v>
      </c>
      <c r="GX128" s="1757">
        <f t="shared" ca="1" si="246"/>
        <v>0</v>
      </c>
      <c r="GY128" s="1757">
        <f t="shared" ca="1" si="246"/>
        <v>0</v>
      </c>
      <c r="GZ128" s="1757">
        <f t="shared" ca="1" si="246"/>
        <v>0</v>
      </c>
      <c r="HA128" s="1757">
        <f t="shared" ca="1" si="246"/>
        <v>0</v>
      </c>
      <c r="HB128" s="1757">
        <f t="shared" ca="1" si="246"/>
        <v>0</v>
      </c>
      <c r="HC128" s="1757">
        <f t="shared" ca="1" si="246"/>
        <v>0</v>
      </c>
      <c r="HD128" s="1757">
        <f t="shared" ca="1" si="247"/>
        <v>0</v>
      </c>
      <c r="HE128" s="1757">
        <f t="shared" ca="1" si="247"/>
        <v>0</v>
      </c>
      <c r="HF128" s="1757">
        <f t="shared" ca="1" si="247"/>
        <v>0</v>
      </c>
      <c r="HG128" s="1757">
        <f t="shared" ca="1" si="247"/>
        <v>0</v>
      </c>
      <c r="HH128" s="1757">
        <f t="shared" ca="1" si="247"/>
        <v>0</v>
      </c>
      <c r="HI128" s="1757">
        <f t="shared" ca="1" si="247"/>
        <v>0</v>
      </c>
      <c r="HJ128" s="1757">
        <f t="shared" ca="1" si="247"/>
        <v>0</v>
      </c>
      <c r="HK128" s="1757">
        <f t="shared" ca="1" si="247"/>
        <v>0</v>
      </c>
      <c r="HL128" s="1757">
        <f t="shared" ca="1" si="247"/>
        <v>0</v>
      </c>
      <c r="HM128" s="1757">
        <f t="shared" ca="1" si="247"/>
        <v>0</v>
      </c>
      <c r="HN128" s="1757">
        <f t="shared" ca="1" si="248"/>
        <v>0</v>
      </c>
      <c r="HO128" s="1757">
        <f t="shared" ca="1" si="248"/>
        <v>0</v>
      </c>
      <c r="HP128" s="1757">
        <f t="shared" ca="1" si="248"/>
        <v>0</v>
      </c>
      <c r="HQ128" s="1757">
        <f t="shared" ca="1" si="248"/>
        <v>0</v>
      </c>
      <c r="HR128" s="1757">
        <f t="shared" ca="1" si="248"/>
        <v>0</v>
      </c>
      <c r="HS128" s="1757">
        <f t="shared" ca="1" si="248"/>
        <v>0</v>
      </c>
      <c r="HT128" s="1757">
        <f t="shared" ca="1" si="248"/>
        <v>0</v>
      </c>
      <c r="HU128" s="1757">
        <f t="shared" ca="1" si="248"/>
        <v>0</v>
      </c>
      <c r="HV128" s="1757">
        <f t="shared" ca="1" si="248"/>
        <v>0</v>
      </c>
      <c r="HW128" s="1757">
        <f t="shared" ca="1" si="248"/>
        <v>0</v>
      </c>
      <c r="HX128" s="1757">
        <f t="shared" ca="1" si="249"/>
        <v>0</v>
      </c>
      <c r="HY128" s="1757">
        <f t="shared" ca="1" si="249"/>
        <v>0</v>
      </c>
      <c r="HZ128" s="1757">
        <f t="shared" ca="1" si="249"/>
        <v>0</v>
      </c>
      <c r="IA128" s="1757">
        <f t="shared" ca="1" si="249"/>
        <v>0</v>
      </c>
      <c r="IB128" s="1757">
        <f t="shared" ca="1" si="249"/>
        <v>0</v>
      </c>
      <c r="IC128" s="1757">
        <f t="shared" ca="1" si="249"/>
        <v>0</v>
      </c>
      <c r="ID128" s="1757">
        <f t="shared" ca="1" si="249"/>
        <v>0</v>
      </c>
      <c r="IE128" s="1757">
        <f t="shared" ca="1" si="249"/>
        <v>0</v>
      </c>
      <c r="IF128" s="1757">
        <f t="shared" ca="1" si="249"/>
        <v>0</v>
      </c>
      <c r="IG128" s="1757">
        <f t="shared" ca="1" si="249"/>
        <v>0</v>
      </c>
      <c r="IH128" s="1757">
        <f t="shared" ca="1" si="250"/>
        <v>0</v>
      </c>
      <c r="II128" s="1757">
        <f t="shared" ca="1" si="250"/>
        <v>0</v>
      </c>
      <c r="IJ128" s="1757">
        <f t="shared" ca="1" si="250"/>
        <v>0</v>
      </c>
      <c r="IK128" s="1757">
        <f t="shared" ca="1" si="250"/>
        <v>0</v>
      </c>
      <c r="IL128" s="1757">
        <f t="shared" ca="1" si="250"/>
        <v>0</v>
      </c>
      <c r="IM128" s="1757">
        <f t="shared" ca="1" si="250"/>
        <v>0</v>
      </c>
      <c r="IN128" s="1757">
        <f t="shared" ca="1" si="250"/>
        <v>0</v>
      </c>
      <c r="IO128" s="1757">
        <f t="shared" ca="1" si="250"/>
        <v>0</v>
      </c>
      <c r="IP128" s="1757">
        <f t="shared" ca="1" si="250"/>
        <v>0</v>
      </c>
      <c r="IQ128" s="1757">
        <f t="shared" ca="1" si="250"/>
        <v>0</v>
      </c>
      <c r="IR128" s="1757">
        <f t="shared" ca="1" si="251"/>
        <v>0</v>
      </c>
      <c r="IS128" s="1757">
        <f t="shared" ca="1" si="251"/>
        <v>0</v>
      </c>
      <c r="IT128" s="1757">
        <f t="shared" ca="1" si="251"/>
        <v>0</v>
      </c>
      <c r="IU128" s="1757">
        <f t="shared" ca="1" si="251"/>
        <v>0</v>
      </c>
      <c r="IV128" s="1757">
        <f t="shared" ca="1" si="251"/>
        <v>0</v>
      </c>
      <c r="IW128" s="1757">
        <f t="shared" ca="1" si="251"/>
        <v>0</v>
      </c>
      <c r="IX128" s="1757">
        <f t="shared" ca="1" si="251"/>
        <v>0</v>
      </c>
      <c r="IY128" s="1757">
        <f t="shared" ca="1" si="251"/>
        <v>0</v>
      </c>
      <c r="IZ128" s="1757">
        <f t="shared" ca="1" si="251"/>
        <v>0</v>
      </c>
      <c r="JA128" s="1757">
        <f t="shared" ca="1" si="251"/>
        <v>0</v>
      </c>
      <c r="JB128" s="1757">
        <f t="shared" ca="1" si="252"/>
        <v>0</v>
      </c>
      <c r="JC128" s="1757">
        <f t="shared" ca="1" si="252"/>
        <v>0</v>
      </c>
      <c r="JD128" s="1757">
        <f t="shared" ca="1" si="252"/>
        <v>0</v>
      </c>
      <c r="JE128" s="1757">
        <f t="shared" ca="1" si="252"/>
        <v>0</v>
      </c>
      <c r="JF128" s="1757">
        <f t="shared" ca="1" si="252"/>
        <v>0</v>
      </c>
      <c r="JG128" s="1757">
        <f t="shared" ca="1" si="252"/>
        <v>0</v>
      </c>
      <c r="JH128" s="1757">
        <f t="shared" ca="1" si="252"/>
        <v>0</v>
      </c>
      <c r="JI128" s="1757">
        <f t="shared" ca="1" si="252"/>
        <v>0</v>
      </c>
      <c r="JJ128" s="1757">
        <f t="shared" ca="1" si="252"/>
        <v>0</v>
      </c>
      <c r="JK128" s="1757">
        <f t="shared" ca="1" si="252"/>
        <v>0</v>
      </c>
      <c r="JL128" s="1757">
        <f t="shared" ca="1" si="253"/>
        <v>0</v>
      </c>
      <c r="JM128" s="1757">
        <f t="shared" ca="1" si="253"/>
        <v>0</v>
      </c>
      <c r="JN128" s="1757">
        <f t="shared" ca="1" si="253"/>
        <v>0</v>
      </c>
      <c r="JO128" s="1757">
        <f t="shared" ca="1" si="253"/>
        <v>0</v>
      </c>
      <c r="JP128" s="1757">
        <f t="shared" ca="1" si="253"/>
        <v>0</v>
      </c>
      <c r="JQ128" s="1757">
        <f t="shared" ca="1" si="253"/>
        <v>0</v>
      </c>
      <c r="JR128" s="1757">
        <f t="shared" ca="1" si="253"/>
        <v>0</v>
      </c>
      <c r="JS128" s="1757">
        <f t="shared" ca="1" si="253"/>
        <v>0</v>
      </c>
      <c r="JT128" s="1757">
        <f t="shared" ca="1" si="253"/>
        <v>0</v>
      </c>
      <c r="JU128" s="1757">
        <f t="shared" ca="1" si="253"/>
        <v>0</v>
      </c>
      <c r="JV128" s="1757">
        <f t="shared" ca="1" si="254"/>
        <v>0</v>
      </c>
      <c r="JW128" s="1757">
        <f t="shared" ca="1" si="254"/>
        <v>0</v>
      </c>
      <c r="JX128" s="1757">
        <f t="shared" ca="1" si="254"/>
        <v>0</v>
      </c>
      <c r="JY128" s="1757">
        <f t="shared" ca="1" si="254"/>
        <v>0</v>
      </c>
      <c r="JZ128" s="1757">
        <f t="shared" ca="1" si="254"/>
        <v>0</v>
      </c>
      <c r="KA128" s="1757">
        <f t="shared" ca="1" si="254"/>
        <v>0</v>
      </c>
      <c r="KB128" s="1757">
        <f t="shared" ca="1" si="254"/>
        <v>0</v>
      </c>
      <c r="KC128" s="1757">
        <f t="shared" ca="1" si="254"/>
        <v>0</v>
      </c>
      <c r="KD128" s="1757">
        <f t="shared" ca="1" si="254"/>
        <v>0</v>
      </c>
      <c r="KE128" s="1757">
        <f t="shared" ca="1" si="254"/>
        <v>0</v>
      </c>
      <c r="KF128" s="1757">
        <f t="shared" ca="1" si="255"/>
        <v>0</v>
      </c>
      <c r="KG128" s="1757">
        <f t="shared" ca="1" si="255"/>
        <v>0</v>
      </c>
      <c r="KH128" s="1757">
        <f t="shared" ca="1" si="255"/>
        <v>0</v>
      </c>
      <c r="KI128" s="1757">
        <f t="shared" ca="1" si="255"/>
        <v>0</v>
      </c>
      <c r="KJ128" s="1757">
        <f t="shared" ca="1" si="255"/>
        <v>0</v>
      </c>
      <c r="KK128" s="1757">
        <f t="shared" ca="1" si="255"/>
        <v>0</v>
      </c>
      <c r="KL128" s="1757">
        <f t="shared" ca="1" si="255"/>
        <v>0</v>
      </c>
      <c r="KM128" s="1757">
        <f t="shared" ca="1" si="255"/>
        <v>0</v>
      </c>
      <c r="KN128" s="1757">
        <f t="shared" ca="1" si="255"/>
        <v>0</v>
      </c>
      <c r="KO128" s="1757">
        <f t="shared" ca="1" si="255"/>
        <v>0</v>
      </c>
      <c r="KP128" s="1757">
        <f t="shared" ca="1" si="256"/>
        <v>0</v>
      </c>
      <c r="KQ128" s="1757">
        <f t="shared" ca="1" si="256"/>
        <v>0</v>
      </c>
      <c r="KR128" s="1757">
        <f t="shared" ca="1" si="256"/>
        <v>0</v>
      </c>
      <c r="KS128" s="1757">
        <f t="shared" ca="1" si="256"/>
        <v>0</v>
      </c>
      <c r="KT128" s="1757">
        <f t="shared" ca="1" si="256"/>
        <v>0</v>
      </c>
      <c r="KU128" s="1757">
        <f t="shared" ca="1" si="256"/>
        <v>0</v>
      </c>
      <c r="KV128" s="1757">
        <f t="shared" ca="1" si="256"/>
        <v>0</v>
      </c>
      <c r="KW128" s="1757">
        <f t="shared" ca="1" si="256"/>
        <v>0</v>
      </c>
      <c r="KX128" s="1757">
        <f t="shared" ca="1" si="256"/>
        <v>0</v>
      </c>
      <c r="KY128" s="1757">
        <f t="shared" ca="1" si="256"/>
        <v>0</v>
      </c>
      <c r="KZ128" s="1757">
        <f t="shared" ca="1" si="257"/>
        <v>0</v>
      </c>
      <c r="LA128" s="1757">
        <f t="shared" ca="1" si="257"/>
        <v>0</v>
      </c>
      <c r="LB128" s="1757">
        <f t="shared" ca="1" si="257"/>
        <v>0</v>
      </c>
      <c r="LC128" s="1757">
        <f t="shared" ca="1" si="257"/>
        <v>0</v>
      </c>
      <c r="LD128" s="1757">
        <f t="shared" ca="1" si="257"/>
        <v>0</v>
      </c>
      <c r="LE128" s="1757">
        <f t="shared" ca="1" si="257"/>
        <v>0</v>
      </c>
      <c r="LF128" s="1757">
        <f t="shared" ca="1" si="257"/>
        <v>0</v>
      </c>
      <c r="LG128" s="1757">
        <f t="shared" ca="1" si="257"/>
        <v>0</v>
      </c>
      <c r="LH128" s="1757">
        <f t="shared" ca="1" si="257"/>
        <v>0</v>
      </c>
      <c r="LI128" s="1757">
        <f t="shared" ca="1" si="257"/>
        <v>0</v>
      </c>
      <c r="LJ128" s="1757">
        <f t="shared" ca="1" si="258"/>
        <v>0</v>
      </c>
      <c r="LK128" s="1757">
        <f t="shared" ca="1" si="258"/>
        <v>0</v>
      </c>
      <c r="LL128" s="1757">
        <f t="shared" ca="1" si="258"/>
        <v>0</v>
      </c>
      <c r="LM128" s="1757">
        <f t="shared" ca="1" si="258"/>
        <v>0</v>
      </c>
      <c r="LN128" s="1757">
        <f t="shared" ca="1" si="258"/>
        <v>0</v>
      </c>
      <c r="LO128" s="1757">
        <f t="shared" ca="1" si="258"/>
        <v>0</v>
      </c>
      <c r="LP128" s="1758">
        <f t="shared" ca="1" si="258"/>
        <v>0</v>
      </c>
      <c r="LQ128" s="604"/>
    </row>
    <row r="129" spans="1:329" ht="12.75" customHeight="1" x14ac:dyDescent="0.3">
      <c r="A129" s="279"/>
      <c r="B129" s="41"/>
      <c r="C129" s="82"/>
      <c r="D129" s="41"/>
      <c r="E129" s="9"/>
      <c r="F129" s="9"/>
      <c r="G129" s="9"/>
      <c r="H129" s="10"/>
      <c r="I129" s="10"/>
      <c r="J129" s="10"/>
      <c r="K129" s="10"/>
      <c r="L129" s="10"/>
      <c r="M129" s="10"/>
      <c r="N129" s="9"/>
      <c r="O129" s="9"/>
      <c r="P129" s="44"/>
      <c r="Q129" s="44"/>
      <c r="R129" s="9"/>
      <c r="S129" s="9"/>
      <c r="T129" s="9"/>
      <c r="U129" s="9"/>
      <c r="V129" s="9"/>
      <c r="W129" s="9"/>
      <c r="X129" s="9"/>
      <c r="Y129" s="9"/>
      <c r="Z129" s="9"/>
      <c r="AA129" s="9"/>
      <c r="AB129" s="9"/>
      <c r="AC129" s="9"/>
      <c r="AD129" s="9"/>
      <c r="AE129" s="9"/>
      <c r="AF129" s="9"/>
      <c r="AG129" s="9"/>
      <c r="AH129" s="2514"/>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113"/>
      <c r="DI129" s="113"/>
      <c r="DJ129" s="113"/>
      <c r="DK129" s="118"/>
      <c r="DL129" s="118"/>
      <c r="DM129" s="118"/>
      <c r="DN129" s="118"/>
      <c r="DO129" s="118"/>
      <c r="DP129" s="118"/>
      <c r="DQ129" s="118"/>
      <c r="DR129" s="118"/>
      <c r="DS129" s="118"/>
      <c r="DT129" s="118"/>
      <c r="DU129" s="118"/>
      <c r="DV129" s="118"/>
      <c r="DW129" s="118"/>
      <c r="DX129" s="118"/>
      <c r="DY129" s="118"/>
      <c r="DZ129" s="118"/>
      <c r="EA129" s="118"/>
      <c r="EB129" s="118"/>
      <c r="EC129" s="118"/>
      <c r="ED129" s="118"/>
      <c r="EE129" s="118"/>
      <c r="EF129" s="118"/>
      <c r="EG129" s="118"/>
      <c r="EH129" s="118"/>
      <c r="EI129" s="118"/>
      <c r="EJ129" s="118"/>
      <c r="EK129" s="118"/>
      <c r="EL129" s="118"/>
      <c r="EM129" s="118"/>
      <c r="EN129" s="118"/>
      <c r="EO129" s="118"/>
      <c r="EP129" s="118"/>
      <c r="EQ129" s="118"/>
      <c r="ER129" s="118"/>
      <c r="ES129" s="118"/>
      <c r="ET129" s="118"/>
      <c r="EU129" s="118"/>
      <c r="EV129" s="118"/>
      <c r="EW129" s="118"/>
      <c r="EX129" s="118"/>
      <c r="EY129" s="118"/>
      <c r="EZ129" s="118"/>
      <c r="FA129" s="118"/>
      <c r="FB129" s="118"/>
      <c r="FC129" s="118"/>
      <c r="FD129" s="118"/>
      <c r="FE129" s="118"/>
      <c r="FF129" s="118"/>
      <c r="FG129" s="118"/>
      <c r="FH129" s="118"/>
      <c r="FI129" s="180"/>
      <c r="FJ129" s="132"/>
      <c r="FK129" s="132"/>
      <c r="FL129" s="181">
        <f t="shared" ca="1" si="197"/>
        <v>12</v>
      </c>
      <c r="FM129" s="1340">
        <f t="shared" ca="1" si="259"/>
        <v>0</v>
      </c>
      <c r="FN129" s="1341">
        <f t="shared" ca="1" si="199"/>
        <v>0</v>
      </c>
      <c r="FO129" s="1342">
        <f t="shared" ca="1" si="260"/>
        <v>11</v>
      </c>
      <c r="FP129" s="1343">
        <f t="shared" ca="1" si="261"/>
        <v>0</v>
      </c>
      <c r="FQ129" s="1344">
        <f t="shared" si="262"/>
        <v>40</v>
      </c>
      <c r="FR129" s="1344">
        <f t="shared" si="263"/>
        <v>50</v>
      </c>
      <c r="FS129" s="1345">
        <f t="shared" si="204"/>
        <v>12</v>
      </c>
      <c r="FT129" s="1345"/>
      <c r="FU129" s="1346">
        <f t="shared" ca="1" si="219"/>
        <v>0</v>
      </c>
      <c r="FV129" s="1346"/>
      <c r="FW129" s="1346"/>
      <c r="FX129" s="1347"/>
      <c r="FY129" s="1348"/>
      <c r="FZ129" s="1348"/>
      <c r="GA129" s="1348"/>
      <c r="GB129" s="1349"/>
      <c r="GC129" s="1350"/>
      <c r="GD129" s="1348"/>
      <c r="GE129" s="1348"/>
      <c r="GF129" s="1348"/>
      <c r="GG129" s="1348"/>
      <c r="GH129" s="1348"/>
      <c r="GI129" s="1348"/>
      <c r="GJ129" s="1348"/>
      <c r="GK129" s="1348"/>
      <c r="GL129" s="1348"/>
      <c r="GM129" s="1348"/>
      <c r="GN129" s="3825">
        <f t="shared" ca="1" si="264"/>
        <v>0</v>
      </c>
      <c r="GO129" s="3825"/>
      <c r="GP129" s="3825"/>
      <c r="GQ129" s="3826"/>
      <c r="GR129" s="3675"/>
      <c r="GS129" s="3676"/>
      <c r="GT129" s="1756">
        <f t="shared" ca="1" si="246"/>
        <v>0</v>
      </c>
      <c r="GU129" s="1757">
        <f t="shared" ca="1" si="246"/>
        <v>0</v>
      </c>
      <c r="GV129" s="1757">
        <f t="shared" ca="1" si="246"/>
        <v>0</v>
      </c>
      <c r="GW129" s="1757">
        <f t="shared" ca="1" si="246"/>
        <v>0</v>
      </c>
      <c r="GX129" s="1757">
        <f t="shared" ca="1" si="246"/>
        <v>0</v>
      </c>
      <c r="GY129" s="1757">
        <f t="shared" ca="1" si="246"/>
        <v>0</v>
      </c>
      <c r="GZ129" s="1757">
        <f t="shared" ca="1" si="246"/>
        <v>0</v>
      </c>
      <c r="HA129" s="1757">
        <f t="shared" ca="1" si="246"/>
        <v>0</v>
      </c>
      <c r="HB129" s="1757">
        <f t="shared" ca="1" si="246"/>
        <v>0</v>
      </c>
      <c r="HC129" s="1757">
        <f t="shared" ca="1" si="246"/>
        <v>0</v>
      </c>
      <c r="HD129" s="1757">
        <f t="shared" ca="1" si="247"/>
        <v>0</v>
      </c>
      <c r="HE129" s="1757">
        <f t="shared" ca="1" si="247"/>
        <v>0</v>
      </c>
      <c r="HF129" s="1757">
        <f t="shared" ca="1" si="247"/>
        <v>0</v>
      </c>
      <c r="HG129" s="1757">
        <f t="shared" ca="1" si="247"/>
        <v>0</v>
      </c>
      <c r="HH129" s="1757">
        <f t="shared" ca="1" si="247"/>
        <v>0</v>
      </c>
      <c r="HI129" s="1757">
        <f t="shared" ca="1" si="247"/>
        <v>0</v>
      </c>
      <c r="HJ129" s="1757">
        <f t="shared" ca="1" si="247"/>
        <v>0</v>
      </c>
      <c r="HK129" s="1757">
        <f t="shared" ca="1" si="247"/>
        <v>0</v>
      </c>
      <c r="HL129" s="1757">
        <f t="shared" ca="1" si="247"/>
        <v>0</v>
      </c>
      <c r="HM129" s="1757">
        <f t="shared" ca="1" si="247"/>
        <v>0</v>
      </c>
      <c r="HN129" s="1757">
        <f t="shared" ca="1" si="248"/>
        <v>0</v>
      </c>
      <c r="HO129" s="1757">
        <f t="shared" ca="1" si="248"/>
        <v>0</v>
      </c>
      <c r="HP129" s="1757">
        <f t="shared" ca="1" si="248"/>
        <v>0</v>
      </c>
      <c r="HQ129" s="1757">
        <f t="shared" ca="1" si="248"/>
        <v>0</v>
      </c>
      <c r="HR129" s="1757">
        <f t="shared" ca="1" si="248"/>
        <v>0</v>
      </c>
      <c r="HS129" s="1757">
        <f t="shared" ca="1" si="248"/>
        <v>0</v>
      </c>
      <c r="HT129" s="1757">
        <f t="shared" ca="1" si="248"/>
        <v>0</v>
      </c>
      <c r="HU129" s="1757">
        <f t="shared" ca="1" si="248"/>
        <v>0</v>
      </c>
      <c r="HV129" s="1757">
        <f t="shared" ca="1" si="248"/>
        <v>0</v>
      </c>
      <c r="HW129" s="1757">
        <f t="shared" ca="1" si="248"/>
        <v>0</v>
      </c>
      <c r="HX129" s="1757">
        <f t="shared" ca="1" si="249"/>
        <v>0</v>
      </c>
      <c r="HY129" s="1757">
        <f t="shared" ca="1" si="249"/>
        <v>0</v>
      </c>
      <c r="HZ129" s="1757">
        <f t="shared" ca="1" si="249"/>
        <v>0</v>
      </c>
      <c r="IA129" s="1757">
        <f t="shared" ca="1" si="249"/>
        <v>0</v>
      </c>
      <c r="IB129" s="1757">
        <f t="shared" ca="1" si="249"/>
        <v>0</v>
      </c>
      <c r="IC129" s="1757">
        <f t="shared" ca="1" si="249"/>
        <v>0</v>
      </c>
      <c r="ID129" s="1757">
        <f t="shared" ca="1" si="249"/>
        <v>0</v>
      </c>
      <c r="IE129" s="1757">
        <f t="shared" ca="1" si="249"/>
        <v>0</v>
      </c>
      <c r="IF129" s="1757">
        <f t="shared" ca="1" si="249"/>
        <v>0</v>
      </c>
      <c r="IG129" s="1757">
        <f t="shared" ca="1" si="249"/>
        <v>0</v>
      </c>
      <c r="IH129" s="1757">
        <f t="shared" ca="1" si="250"/>
        <v>0</v>
      </c>
      <c r="II129" s="1757">
        <f t="shared" ca="1" si="250"/>
        <v>0</v>
      </c>
      <c r="IJ129" s="1757">
        <f t="shared" ca="1" si="250"/>
        <v>0</v>
      </c>
      <c r="IK129" s="1757">
        <f t="shared" ca="1" si="250"/>
        <v>0</v>
      </c>
      <c r="IL129" s="1757">
        <f t="shared" ca="1" si="250"/>
        <v>0</v>
      </c>
      <c r="IM129" s="1757">
        <f t="shared" ca="1" si="250"/>
        <v>0</v>
      </c>
      <c r="IN129" s="1757">
        <f t="shared" ca="1" si="250"/>
        <v>0</v>
      </c>
      <c r="IO129" s="1757">
        <f t="shared" ca="1" si="250"/>
        <v>0</v>
      </c>
      <c r="IP129" s="1757">
        <f t="shared" ca="1" si="250"/>
        <v>0</v>
      </c>
      <c r="IQ129" s="1757">
        <f t="shared" ca="1" si="250"/>
        <v>0</v>
      </c>
      <c r="IR129" s="1757">
        <f t="shared" ca="1" si="251"/>
        <v>0</v>
      </c>
      <c r="IS129" s="1757">
        <f t="shared" ca="1" si="251"/>
        <v>0</v>
      </c>
      <c r="IT129" s="1757">
        <f t="shared" ca="1" si="251"/>
        <v>0</v>
      </c>
      <c r="IU129" s="1757">
        <f t="shared" ca="1" si="251"/>
        <v>0</v>
      </c>
      <c r="IV129" s="1757">
        <f t="shared" ca="1" si="251"/>
        <v>0</v>
      </c>
      <c r="IW129" s="1757">
        <f t="shared" ca="1" si="251"/>
        <v>0</v>
      </c>
      <c r="IX129" s="1757">
        <f t="shared" ca="1" si="251"/>
        <v>0</v>
      </c>
      <c r="IY129" s="1757">
        <f t="shared" ca="1" si="251"/>
        <v>0</v>
      </c>
      <c r="IZ129" s="1757">
        <f t="shared" ca="1" si="251"/>
        <v>0</v>
      </c>
      <c r="JA129" s="1757">
        <f t="shared" ca="1" si="251"/>
        <v>0</v>
      </c>
      <c r="JB129" s="1757">
        <f t="shared" ca="1" si="252"/>
        <v>0</v>
      </c>
      <c r="JC129" s="1757">
        <f t="shared" ca="1" si="252"/>
        <v>0</v>
      </c>
      <c r="JD129" s="1757">
        <f t="shared" ca="1" si="252"/>
        <v>0</v>
      </c>
      <c r="JE129" s="1757">
        <f t="shared" ca="1" si="252"/>
        <v>0</v>
      </c>
      <c r="JF129" s="1757">
        <f t="shared" ca="1" si="252"/>
        <v>0</v>
      </c>
      <c r="JG129" s="1757">
        <f t="shared" ca="1" si="252"/>
        <v>0</v>
      </c>
      <c r="JH129" s="1757">
        <f t="shared" ca="1" si="252"/>
        <v>0</v>
      </c>
      <c r="JI129" s="1757">
        <f t="shared" ca="1" si="252"/>
        <v>0</v>
      </c>
      <c r="JJ129" s="1757">
        <f t="shared" ca="1" si="252"/>
        <v>0</v>
      </c>
      <c r="JK129" s="1757">
        <f t="shared" ca="1" si="252"/>
        <v>0</v>
      </c>
      <c r="JL129" s="1757">
        <f t="shared" ca="1" si="253"/>
        <v>0</v>
      </c>
      <c r="JM129" s="1757">
        <f t="shared" ca="1" si="253"/>
        <v>0</v>
      </c>
      <c r="JN129" s="1757">
        <f t="shared" ca="1" si="253"/>
        <v>0</v>
      </c>
      <c r="JO129" s="1757">
        <f t="shared" ca="1" si="253"/>
        <v>0</v>
      </c>
      <c r="JP129" s="1757">
        <f t="shared" ca="1" si="253"/>
        <v>0</v>
      </c>
      <c r="JQ129" s="1757">
        <f t="shared" ca="1" si="253"/>
        <v>0</v>
      </c>
      <c r="JR129" s="1757">
        <f t="shared" ca="1" si="253"/>
        <v>0</v>
      </c>
      <c r="JS129" s="1757">
        <f t="shared" ca="1" si="253"/>
        <v>0</v>
      </c>
      <c r="JT129" s="1757">
        <f t="shared" ca="1" si="253"/>
        <v>0</v>
      </c>
      <c r="JU129" s="1757">
        <f t="shared" ca="1" si="253"/>
        <v>0</v>
      </c>
      <c r="JV129" s="1757">
        <f t="shared" ca="1" si="254"/>
        <v>0</v>
      </c>
      <c r="JW129" s="1757">
        <f t="shared" ca="1" si="254"/>
        <v>0</v>
      </c>
      <c r="JX129" s="1757">
        <f t="shared" ca="1" si="254"/>
        <v>0</v>
      </c>
      <c r="JY129" s="1757">
        <f t="shared" ca="1" si="254"/>
        <v>0</v>
      </c>
      <c r="JZ129" s="1757">
        <f t="shared" ca="1" si="254"/>
        <v>0</v>
      </c>
      <c r="KA129" s="1757">
        <f t="shared" ca="1" si="254"/>
        <v>0</v>
      </c>
      <c r="KB129" s="1757">
        <f t="shared" ca="1" si="254"/>
        <v>0</v>
      </c>
      <c r="KC129" s="1757">
        <f t="shared" ca="1" si="254"/>
        <v>0</v>
      </c>
      <c r="KD129" s="1757">
        <f t="shared" ca="1" si="254"/>
        <v>0</v>
      </c>
      <c r="KE129" s="1757">
        <f t="shared" ca="1" si="254"/>
        <v>0</v>
      </c>
      <c r="KF129" s="1757">
        <f t="shared" ca="1" si="255"/>
        <v>0</v>
      </c>
      <c r="KG129" s="1757">
        <f t="shared" ca="1" si="255"/>
        <v>0</v>
      </c>
      <c r="KH129" s="1757">
        <f t="shared" ca="1" si="255"/>
        <v>0</v>
      </c>
      <c r="KI129" s="1757">
        <f t="shared" ca="1" si="255"/>
        <v>0</v>
      </c>
      <c r="KJ129" s="1757">
        <f t="shared" ca="1" si="255"/>
        <v>0</v>
      </c>
      <c r="KK129" s="1757">
        <f t="shared" ca="1" si="255"/>
        <v>0</v>
      </c>
      <c r="KL129" s="1757">
        <f t="shared" ca="1" si="255"/>
        <v>0</v>
      </c>
      <c r="KM129" s="1757">
        <f t="shared" ca="1" si="255"/>
        <v>0</v>
      </c>
      <c r="KN129" s="1757">
        <f t="shared" ca="1" si="255"/>
        <v>0</v>
      </c>
      <c r="KO129" s="1757">
        <f t="shared" ca="1" si="255"/>
        <v>0</v>
      </c>
      <c r="KP129" s="1757">
        <f t="shared" ca="1" si="256"/>
        <v>0</v>
      </c>
      <c r="KQ129" s="1757">
        <f t="shared" ca="1" si="256"/>
        <v>0</v>
      </c>
      <c r="KR129" s="1757">
        <f t="shared" ca="1" si="256"/>
        <v>0</v>
      </c>
      <c r="KS129" s="1757">
        <f t="shared" ca="1" si="256"/>
        <v>0</v>
      </c>
      <c r="KT129" s="1757">
        <f t="shared" ca="1" si="256"/>
        <v>0</v>
      </c>
      <c r="KU129" s="1757">
        <f t="shared" ca="1" si="256"/>
        <v>0</v>
      </c>
      <c r="KV129" s="1757">
        <f t="shared" ca="1" si="256"/>
        <v>0</v>
      </c>
      <c r="KW129" s="1757">
        <f t="shared" ca="1" si="256"/>
        <v>0</v>
      </c>
      <c r="KX129" s="1757">
        <f t="shared" ca="1" si="256"/>
        <v>0</v>
      </c>
      <c r="KY129" s="1757">
        <f t="shared" ca="1" si="256"/>
        <v>0</v>
      </c>
      <c r="KZ129" s="1757">
        <f t="shared" ca="1" si="257"/>
        <v>0</v>
      </c>
      <c r="LA129" s="1757">
        <f t="shared" ca="1" si="257"/>
        <v>0</v>
      </c>
      <c r="LB129" s="1757">
        <f t="shared" ca="1" si="257"/>
        <v>0</v>
      </c>
      <c r="LC129" s="1757">
        <f t="shared" ca="1" si="257"/>
        <v>0</v>
      </c>
      <c r="LD129" s="1757">
        <f t="shared" ca="1" si="257"/>
        <v>0</v>
      </c>
      <c r="LE129" s="1757">
        <f t="shared" ca="1" si="257"/>
        <v>0</v>
      </c>
      <c r="LF129" s="1757">
        <f t="shared" ca="1" si="257"/>
        <v>0</v>
      </c>
      <c r="LG129" s="1757">
        <f t="shared" ca="1" si="257"/>
        <v>0</v>
      </c>
      <c r="LH129" s="1757">
        <f t="shared" ca="1" si="257"/>
        <v>0</v>
      </c>
      <c r="LI129" s="1757">
        <f t="shared" ca="1" si="257"/>
        <v>0</v>
      </c>
      <c r="LJ129" s="1757">
        <f t="shared" ca="1" si="258"/>
        <v>0</v>
      </c>
      <c r="LK129" s="1757">
        <f t="shared" ca="1" si="258"/>
        <v>0</v>
      </c>
      <c r="LL129" s="1757">
        <f t="shared" ca="1" si="258"/>
        <v>0</v>
      </c>
      <c r="LM129" s="1757">
        <f t="shared" ca="1" si="258"/>
        <v>0</v>
      </c>
      <c r="LN129" s="1757">
        <f t="shared" ca="1" si="258"/>
        <v>0</v>
      </c>
      <c r="LO129" s="1757">
        <f t="shared" ca="1" si="258"/>
        <v>0</v>
      </c>
      <c r="LP129" s="1758">
        <f t="shared" ca="1" si="258"/>
        <v>0</v>
      </c>
      <c r="LQ129" s="604"/>
    </row>
    <row r="130" spans="1:329" ht="12.75" customHeight="1" x14ac:dyDescent="0.3">
      <c r="A130" s="279"/>
      <c r="B130" s="41"/>
      <c r="C130" s="82"/>
      <c r="D130" s="41"/>
      <c r="E130" s="9"/>
      <c r="F130" s="9"/>
      <c r="G130" s="9"/>
      <c r="H130" s="10"/>
      <c r="I130" s="10"/>
      <c r="J130" s="10"/>
      <c r="K130" s="10"/>
      <c r="L130" s="10"/>
      <c r="M130" s="10"/>
      <c r="N130" s="9"/>
      <c r="O130" s="9"/>
      <c r="P130" s="44"/>
      <c r="Q130" s="44"/>
      <c r="R130" s="9"/>
      <c r="S130" s="9"/>
      <c r="T130" s="9"/>
      <c r="U130" s="9"/>
      <c r="V130" s="9"/>
      <c r="W130" s="9"/>
      <c r="X130" s="9"/>
      <c r="Y130" s="9"/>
      <c r="Z130" s="9"/>
      <c r="AA130" s="9"/>
      <c r="AB130" s="9"/>
      <c r="AC130" s="9"/>
      <c r="AD130" s="9"/>
      <c r="AE130" s="9"/>
      <c r="AF130" s="9"/>
      <c r="AG130" s="9"/>
      <c r="AH130" s="2514"/>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113"/>
      <c r="DI130" s="113"/>
      <c r="DJ130" s="113"/>
      <c r="DK130" s="118"/>
      <c r="DL130" s="118"/>
      <c r="DM130" s="118"/>
      <c r="DN130" s="118"/>
      <c r="DO130" s="118"/>
      <c r="DP130" s="118"/>
      <c r="DQ130" s="118"/>
      <c r="DR130" s="118"/>
      <c r="DS130" s="118"/>
      <c r="DT130" s="118"/>
      <c r="DU130" s="118"/>
      <c r="DV130" s="118"/>
      <c r="DW130" s="118"/>
      <c r="DX130" s="118"/>
      <c r="DY130" s="118"/>
      <c r="DZ130" s="118"/>
      <c r="EA130" s="118"/>
      <c r="EB130" s="118"/>
      <c r="EC130" s="118"/>
      <c r="ED130" s="118"/>
      <c r="EE130" s="118"/>
      <c r="EF130" s="118"/>
      <c r="EG130" s="118"/>
      <c r="EH130" s="118"/>
      <c r="EI130" s="118"/>
      <c r="EJ130" s="118"/>
      <c r="EK130" s="118"/>
      <c r="EL130" s="118"/>
      <c r="EM130" s="118"/>
      <c r="EN130" s="118"/>
      <c r="EO130" s="118"/>
      <c r="EP130" s="118"/>
      <c r="EQ130" s="118"/>
      <c r="ER130" s="118"/>
      <c r="ES130" s="118"/>
      <c r="ET130" s="118"/>
      <c r="EU130" s="118"/>
      <c r="EV130" s="118"/>
      <c r="EW130" s="118"/>
      <c r="EX130" s="118"/>
      <c r="EY130" s="118"/>
      <c r="EZ130" s="118"/>
      <c r="FA130" s="118"/>
      <c r="FB130" s="118"/>
      <c r="FC130" s="118"/>
      <c r="FD130" s="118"/>
      <c r="FE130" s="118"/>
      <c r="FF130" s="118"/>
      <c r="FG130" s="118"/>
      <c r="FH130" s="118"/>
      <c r="FI130" s="180"/>
      <c r="FJ130" s="132"/>
      <c r="FK130" s="132"/>
      <c r="FL130" s="181">
        <f t="shared" ca="1" si="197"/>
        <v>11</v>
      </c>
      <c r="FM130" s="1340">
        <f t="shared" ca="1" si="259"/>
        <v>0</v>
      </c>
      <c r="FN130" s="1341">
        <f t="shared" ca="1" si="199"/>
        <v>0</v>
      </c>
      <c r="FO130" s="1342">
        <f t="shared" ca="1" si="260"/>
        <v>10</v>
      </c>
      <c r="FP130" s="1343">
        <f t="shared" ca="1" si="261"/>
        <v>0</v>
      </c>
      <c r="FQ130" s="1344">
        <f t="shared" si="262"/>
        <v>40</v>
      </c>
      <c r="FR130" s="1344">
        <f t="shared" si="263"/>
        <v>50</v>
      </c>
      <c r="FS130" s="1345">
        <f t="shared" si="204"/>
        <v>11</v>
      </c>
      <c r="FT130" s="1345"/>
      <c r="FU130" s="1346">
        <f t="shared" ca="1" si="219"/>
        <v>0</v>
      </c>
      <c r="FV130" s="1346"/>
      <c r="FW130" s="1346"/>
      <c r="FX130" s="1347"/>
      <c r="FY130" s="1348"/>
      <c r="FZ130" s="1348"/>
      <c r="GA130" s="1348"/>
      <c r="GB130" s="1349"/>
      <c r="GC130" s="1350"/>
      <c r="GD130" s="1348"/>
      <c r="GE130" s="1348"/>
      <c r="GF130" s="1348"/>
      <c r="GG130" s="1348"/>
      <c r="GH130" s="1348"/>
      <c r="GI130" s="1348"/>
      <c r="GJ130" s="1348"/>
      <c r="GK130" s="1348"/>
      <c r="GL130" s="1348"/>
      <c r="GM130" s="1348"/>
      <c r="GN130" s="3825">
        <f t="shared" ca="1" si="264"/>
        <v>0</v>
      </c>
      <c r="GO130" s="3825"/>
      <c r="GP130" s="3825"/>
      <c r="GQ130" s="3826"/>
      <c r="GR130" s="3675"/>
      <c r="GS130" s="3676"/>
      <c r="GT130" s="1756">
        <f t="shared" ca="1" si="246"/>
        <v>0</v>
      </c>
      <c r="GU130" s="1757">
        <f t="shared" ca="1" si="246"/>
        <v>0</v>
      </c>
      <c r="GV130" s="1757">
        <f t="shared" ca="1" si="246"/>
        <v>0</v>
      </c>
      <c r="GW130" s="1757">
        <f t="shared" ca="1" si="246"/>
        <v>0</v>
      </c>
      <c r="GX130" s="1757">
        <f t="shared" ca="1" si="246"/>
        <v>0</v>
      </c>
      <c r="GY130" s="1757">
        <f t="shared" ca="1" si="246"/>
        <v>0</v>
      </c>
      <c r="GZ130" s="1757">
        <f t="shared" ca="1" si="246"/>
        <v>0</v>
      </c>
      <c r="HA130" s="1757">
        <f t="shared" ca="1" si="246"/>
        <v>0</v>
      </c>
      <c r="HB130" s="1757">
        <f t="shared" ca="1" si="246"/>
        <v>0</v>
      </c>
      <c r="HC130" s="1757">
        <f t="shared" ca="1" si="246"/>
        <v>0</v>
      </c>
      <c r="HD130" s="1757">
        <f t="shared" ca="1" si="247"/>
        <v>0</v>
      </c>
      <c r="HE130" s="1757">
        <f t="shared" ca="1" si="247"/>
        <v>0</v>
      </c>
      <c r="HF130" s="1757">
        <f t="shared" ca="1" si="247"/>
        <v>0</v>
      </c>
      <c r="HG130" s="1757">
        <f t="shared" ca="1" si="247"/>
        <v>0</v>
      </c>
      <c r="HH130" s="1757">
        <f t="shared" ca="1" si="247"/>
        <v>0</v>
      </c>
      <c r="HI130" s="1757">
        <f t="shared" ca="1" si="247"/>
        <v>0</v>
      </c>
      <c r="HJ130" s="1757">
        <f t="shared" ca="1" si="247"/>
        <v>0</v>
      </c>
      <c r="HK130" s="1757">
        <f t="shared" ca="1" si="247"/>
        <v>0</v>
      </c>
      <c r="HL130" s="1757">
        <f t="shared" ca="1" si="247"/>
        <v>0</v>
      </c>
      <c r="HM130" s="1757">
        <f t="shared" ca="1" si="247"/>
        <v>0</v>
      </c>
      <c r="HN130" s="1757">
        <f t="shared" ca="1" si="248"/>
        <v>0</v>
      </c>
      <c r="HO130" s="1757">
        <f t="shared" ca="1" si="248"/>
        <v>0</v>
      </c>
      <c r="HP130" s="1757">
        <f t="shared" ca="1" si="248"/>
        <v>0</v>
      </c>
      <c r="HQ130" s="1757">
        <f t="shared" ca="1" si="248"/>
        <v>0</v>
      </c>
      <c r="HR130" s="1757">
        <f t="shared" ca="1" si="248"/>
        <v>0</v>
      </c>
      <c r="HS130" s="1757">
        <f t="shared" ca="1" si="248"/>
        <v>0</v>
      </c>
      <c r="HT130" s="1757">
        <f t="shared" ca="1" si="248"/>
        <v>0</v>
      </c>
      <c r="HU130" s="1757">
        <f t="shared" ca="1" si="248"/>
        <v>0</v>
      </c>
      <c r="HV130" s="1757">
        <f t="shared" ca="1" si="248"/>
        <v>0</v>
      </c>
      <c r="HW130" s="1757">
        <f t="shared" ca="1" si="248"/>
        <v>0</v>
      </c>
      <c r="HX130" s="1757">
        <f t="shared" ca="1" si="249"/>
        <v>0</v>
      </c>
      <c r="HY130" s="1757">
        <f t="shared" ca="1" si="249"/>
        <v>0</v>
      </c>
      <c r="HZ130" s="1757">
        <f t="shared" ca="1" si="249"/>
        <v>0</v>
      </c>
      <c r="IA130" s="1757">
        <f t="shared" ca="1" si="249"/>
        <v>0</v>
      </c>
      <c r="IB130" s="1757">
        <f t="shared" ca="1" si="249"/>
        <v>0</v>
      </c>
      <c r="IC130" s="1757">
        <f t="shared" ca="1" si="249"/>
        <v>0</v>
      </c>
      <c r="ID130" s="1757">
        <f t="shared" ca="1" si="249"/>
        <v>0</v>
      </c>
      <c r="IE130" s="1757">
        <f t="shared" ca="1" si="249"/>
        <v>0</v>
      </c>
      <c r="IF130" s="1757">
        <f t="shared" ca="1" si="249"/>
        <v>0</v>
      </c>
      <c r="IG130" s="1757">
        <f t="shared" ca="1" si="249"/>
        <v>0</v>
      </c>
      <c r="IH130" s="1757">
        <f t="shared" ca="1" si="250"/>
        <v>0</v>
      </c>
      <c r="II130" s="1757">
        <f t="shared" ca="1" si="250"/>
        <v>0</v>
      </c>
      <c r="IJ130" s="1757">
        <f t="shared" ca="1" si="250"/>
        <v>0</v>
      </c>
      <c r="IK130" s="1757">
        <f t="shared" ca="1" si="250"/>
        <v>0</v>
      </c>
      <c r="IL130" s="1757">
        <f t="shared" ca="1" si="250"/>
        <v>0</v>
      </c>
      <c r="IM130" s="1757">
        <f t="shared" ca="1" si="250"/>
        <v>0</v>
      </c>
      <c r="IN130" s="1757">
        <f t="shared" ca="1" si="250"/>
        <v>0</v>
      </c>
      <c r="IO130" s="1757">
        <f t="shared" ca="1" si="250"/>
        <v>0</v>
      </c>
      <c r="IP130" s="1757">
        <f t="shared" ca="1" si="250"/>
        <v>0</v>
      </c>
      <c r="IQ130" s="1757">
        <f t="shared" ca="1" si="250"/>
        <v>0</v>
      </c>
      <c r="IR130" s="1757">
        <f t="shared" ca="1" si="251"/>
        <v>0</v>
      </c>
      <c r="IS130" s="1757">
        <f t="shared" ca="1" si="251"/>
        <v>0</v>
      </c>
      <c r="IT130" s="1757">
        <f t="shared" ca="1" si="251"/>
        <v>0</v>
      </c>
      <c r="IU130" s="1757">
        <f t="shared" ca="1" si="251"/>
        <v>0</v>
      </c>
      <c r="IV130" s="1757">
        <f t="shared" ca="1" si="251"/>
        <v>0</v>
      </c>
      <c r="IW130" s="1757">
        <f t="shared" ca="1" si="251"/>
        <v>0</v>
      </c>
      <c r="IX130" s="1757">
        <f t="shared" ca="1" si="251"/>
        <v>0</v>
      </c>
      <c r="IY130" s="1757">
        <f t="shared" ca="1" si="251"/>
        <v>0</v>
      </c>
      <c r="IZ130" s="1757">
        <f t="shared" ca="1" si="251"/>
        <v>0</v>
      </c>
      <c r="JA130" s="1757">
        <f t="shared" ca="1" si="251"/>
        <v>0</v>
      </c>
      <c r="JB130" s="1757">
        <f t="shared" ca="1" si="252"/>
        <v>0</v>
      </c>
      <c r="JC130" s="1757">
        <f t="shared" ca="1" si="252"/>
        <v>0</v>
      </c>
      <c r="JD130" s="1757">
        <f t="shared" ca="1" si="252"/>
        <v>0</v>
      </c>
      <c r="JE130" s="1757">
        <f t="shared" ca="1" si="252"/>
        <v>0</v>
      </c>
      <c r="JF130" s="1757">
        <f t="shared" ca="1" si="252"/>
        <v>0</v>
      </c>
      <c r="JG130" s="1757">
        <f t="shared" ca="1" si="252"/>
        <v>0</v>
      </c>
      <c r="JH130" s="1757">
        <f t="shared" ca="1" si="252"/>
        <v>0</v>
      </c>
      <c r="JI130" s="1757">
        <f t="shared" ca="1" si="252"/>
        <v>0</v>
      </c>
      <c r="JJ130" s="1757">
        <f t="shared" ca="1" si="252"/>
        <v>0</v>
      </c>
      <c r="JK130" s="1757">
        <f t="shared" ca="1" si="252"/>
        <v>0</v>
      </c>
      <c r="JL130" s="1757">
        <f t="shared" ca="1" si="253"/>
        <v>0</v>
      </c>
      <c r="JM130" s="1757">
        <f t="shared" ca="1" si="253"/>
        <v>0</v>
      </c>
      <c r="JN130" s="1757">
        <f t="shared" ca="1" si="253"/>
        <v>0</v>
      </c>
      <c r="JO130" s="1757">
        <f t="shared" ca="1" si="253"/>
        <v>0</v>
      </c>
      <c r="JP130" s="1757">
        <f t="shared" ca="1" si="253"/>
        <v>0</v>
      </c>
      <c r="JQ130" s="1757">
        <f t="shared" ca="1" si="253"/>
        <v>0</v>
      </c>
      <c r="JR130" s="1757">
        <f t="shared" ca="1" si="253"/>
        <v>0</v>
      </c>
      <c r="JS130" s="1757">
        <f t="shared" ca="1" si="253"/>
        <v>0</v>
      </c>
      <c r="JT130" s="1757">
        <f t="shared" ca="1" si="253"/>
        <v>0</v>
      </c>
      <c r="JU130" s="1757">
        <f t="shared" ca="1" si="253"/>
        <v>0</v>
      </c>
      <c r="JV130" s="1757">
        <f t="shared" ca="1" si="254"/>
        <v>0</v>
      </c>
      <c r="JW130" s="1757">
        <f t="shared" ca="1" si="254"/>
        <v>0</v>
      </c>
      <c r="JX130" s="1757">
        <f t="shared" ca="1" si="254"/>
        <v>0</v>
      </c>
      <c r="JY130" s="1757">
        <f t="shared" ca="1" si="254"/>
        <v>0</v>
      </c>
      <c r="JZ130" s="1757">
        <f t="shared" ca="1" si="254"/>
        <v>0</v>
      </c>
      <c r="KA130" s="1757">
        <f t="shared" ca="1" si="254"/>
        <v>0</v>
      </c>
      <c r="KB130" s="1757">
        <f t="shared" ca="1" si="254"/>
        <v>0</v>
      </c>
      <c r="KC130" s="1757">
        <f t="shared" ca="1" si="254"/>
        <v>0</v>
      </c>
      <c r="KD130" s="1757">
        <f t="shared" ca="1" si="254"/>
        <v>0</v>
      </c>
      <c r="KE130" s="1757">
        <f t="shared" ca="1" si="254"/>
        <v>0</v>
      </c>
      <c r="KF130" s="1757">
        <f t="shared" ca="1" si="255"/>
        <v>0</v>
      </c>
      <c r="KG130" s="1757">
        <f t="shared" ca="1" si="255"/>
        <v>0</v>
      </c>
      <c r="KH130" s="1757">
        <f t="shared" ca="1" si="255"/>
        <v>0</v>
      </c>
      <c r="KI130" s="1757">
        <f t="shared" ca="1" si="255"/>
        <v>0</v>
      </c>
      <c r="KJ130" s="1757">
        <f t="shared" ca="1" si="255"/>
        <v>0</v>
      </c>
      <c r="KK130" s="1757">
        <f t="shared" ca="1" si="255"/>
        <v>0</v>
      </c>
      <c r="KL130" s="1757">
        <f t="shared" ca="1" si="255"/>
        <v>0</v>
      </c>
      <c r="KM130" s="1757">
        <f t="shared" ca="1" si="255"/>
        <v>0</v>
      </c>
      <c r="KN130" s="1757">
        <f t="shared" ca="1" si="255"/>
        <v>0</v>
      </c>
      <c r="KO130" s="1757">
        <f t="shared" ca="1" si="255"/>
        <v>0</v>
      </c>
      <c r="KP130" s="1757">
        <f t="shared" ca="1" si="256"/>
        <v>0</v>
      </c>
      <c r="KQ130" s="1757">
        <f t="shared" ca="1" si="256"/>
        <v>0</v>
      </c>
      <c r="KR130" s="1757">
        <f t="shared" ca="1" si="256"/>
        <v>0</v>
      </c>
      <c r="KS130" s="1757">
        <f t="shared" ca="1" si="256"/>
        <v>0</v>
      </c>
      <c r="KT130" s="1757">
        <f t="shared" ca="1" si="256"/>
        <v>0</v>
      </c>
      <c r="KU130" s="1757">
        <f t="shared" ca="1" si="256"/>
        <v>0</v>
      </c>
      <c r="KV130" s="1757">
        <f t="shared" ca="1" si="256"/>
        <v>0</v>
      </c>
      <c r="KW130" s="1757">
        <f t="shared" ca="1" si="256"/>
        <v>0</v>
      </c>
      <c r="KX130" s="1757">
        <f t="shared" ca="1" si="256"/>
        <v>0</v>
      </c>
      <c r="KY130" s="1757">
        <f t="shared" ca="1" si="256"/>
        <v>0</v>
      </c>
      <c r="KZ130" s="1757">
        <f t="shared" ca="1" si="257"/>
        <v>0</v>
      </c>
      <c r="LA130" s="1757">
        <f t="shared" ca="1" si="257"/>
        <v>0</v>
      </c>
      <c r="LB130" s="1757">
        <f t="shared" ca="1" si="257"/>
        <v>0</v>
      </c>
      <c r="LC130" s="1757">
        <f t="shared" ca="1" si="257"/>
        <v>0</v>
      </c>
      <c r="LD130" s="1757">
        <f t="shared" ca="1" si="257"/>
        <v>0</v>
      </c>
      <c r="LE130" s="1757">
        <f t="shared" ca="1" si="257"/>
        <v>0</v>
      </c>
      <c r="LF130" s="1757">
        <f t="shared" ca="1" si="257"/>
        <v>0</v>
      </c>
      <c r="LG130" s="1757">
        <f t="shared" ca="1" si="257"/>
        <v>0</v>
      </c>
      <c r="LH130" s="1757">
        <f t="shared" ca="1" si="257"/>
        <v>0</v>
      </c>
      <c r="LI130" s="1757">
        <f t="shared" ca="1" si="257"/>
        <v>0</v>
      </c>
      <c r="LJ130" s="1757">
        <f t="shared" ca="1" si="258"/>
        <v>0</v>
      </c>
      <c r="LK130" s="1757">
        <f t="shared" ca="1" si="258"/>
        <v>0</v>
      </c>
      <c r="LL130" s="1757">
        <f t="shared" ca="1" si="258"/>
        <v>0</v>
      </c>
      <c r="LM130" s="1757">
        <f t="shared" ca="1" si="258"/>
        <v>0</v>
      </c>
      <c r="LN130" s="1757">
        <f t="shared" ca="1" si="258"/>
        <v>0</v>
      </c>
      <c r="LO130" s="1757">
        <f t="shared" ca="1" si="258"/>
        <v>0</v>
      </c>
      <c r="LP130" s="1758">
        <f t="shared" ca="1" si="258"/>
        <v>0</v>
      </c>
      <c r="LQ130" s="604"/>
    </row>
    <row r="131" spans="1:329" ht="12.75" customHeight="1" x14ac:dyDescent="0.3">
      <c r="A131" s="279"/>
      <c r="B131" s="41"/>
      <c r="C131" s="82"/>
      <c r="D131" s="41"/>
      <c r="E131" s="9"/>
      <c r="F131" s="9"/>
      <c r="G131" s="9"/>
      <c r="H131" s="10"/>
      <c r="I131" s="10"/>
      <c r="J131" s="10"/>
      <c r="K131" s="10"/>
      <c r="L131" s="10"/>
      <c r="M131" s="10"/>
      <c r="N131" s="9"/>
      <c r="O131" s="9"/>
      <c r="P131" s="44"/>
      <c r="Q131" s="44"/>
      <c r="R131" s="9"/>
      <c r="S131" s="9"/>
      <c r="T131" s="9"/>
      <c r="U131" s="9"/>
      <c r="V131" s="9"/>
      <c r="W131" s="9"/>
      <c r="X131" s="9"/>
      <c r="Y131" s="9"/>
      <c r="Z131" s="9"/>
      <c r="AA131" s="9"/>
      <c r="AB131" s="9"/>
      <c r="AC131" s="9"/>
      <c r="AD131" s="9"/>
      <c r="AE131" s="9"/>
      <c r="AF131" s="9"/>
      <c r="AG131" s="9"/>
      <c r="AH131" s="2514"/>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113"/>
      <c r="DI131" s="113"/>
      <c r="DJ131" s="113"/>
      <c r="DK131" s="118"/>
      <c r="DL131" s="118"/>
      <c r="DM131" s="118"/>
      <c r="DN131" s="118"/>
      <c r="DO131" s="118"/>
      <c r="DP131" s="118"/>
      <c r="DQ131" s="118"/>
      <c r="DR131" s="118"/>
      <c r="DS131" s="118"/>
      <c r="DT131" s="118"/>
      <c r="DU131" s="118"/>
      <c r="DV131" s="118"/>
      <c r="DW131" s="118"/>
      <c r="DX131" s="118"/>
      <c r="DY131" s="118"/>
      <c r="DZ131" s="118"/>
      <c r="EA131" s="118"/>
      <c r="EB131" s="118"/>
      <c r="EC131" s="118"/>
      <c r="ED131" s="118"/>
      <c r="EE131" s="118"/>
      <c r="EF131" s="118"/>
      <c r="EG131" s="118"/>
      <c r="EH131" s="118"/>
      <c r="EI131" s="118"/>
      <c r="EJ131" s="118"/>
      <c r="EK131" s="118"/>
      <c r="EL131" s="118"/>
      <c r="EM131" s="118"/>
      <c r="EN131" s="118"/>
      <c r="EO131" s="118"/>
      <c r="EP131" s="118"/>
      <c r="EQ131" s="118"/>
      <c r="ER131" s="118"/>
      <c r="ES131" s="118"/>
      <c r="ET131" s="118"/>
      <c r="EU131" s="118"/>
      <c r="EV131" s="118"/>
      <c r="EW131" s="118"/>
      <c r="EX131" s="118"/>
      <c r="EY131" s="118"/>
      <c r="EZ131" s="118"/>
      <c r="FA131" s="118"/>
      <c r="FB131" s="118"/>
      <c r="FC131" s="118"/>
      <c r="FD131" s="118"/>
      <c r="FE131" s="118"/>
      <c r="FF131" s="118"/>
      <c r="FG131" s="118"/>
      <c r="FH131" s="118"/>
      <c r="FI131" s="180"/>
      <c r="FJ131" s="132"/>
      <c r="FK131" s="132"/>
      <c r="FL131" s="181">
        <f t="shared" ca="1" si="197"/>
        <v>10</v>
      </c>
      <c r="FM131" s="1340" t="str">
        <f t="shared" ca="1" si="259"/>
        <v>L3B Engineer</v>
      </c>
      <c r="FN131" s="1341">
        <f t="shared" ca="1" si="199"/>
        <v>0</v>
      </c>
      <c r="FO131" s="1342">
        <f t="shared" ca="1" si="260"/>
        <v>9</v>
      </c>
      <c r="FP131" s="1343">
        <f t="shared" ca="1" si="261"/>
        <v>0</v>
      </c>
      <c r="FQ131" s="1344">
        <f t="shared" si="262"/>
        <v>40</v>
      </c>
      <c r="FR131" s="1344">
        <f t="shared" si="263"/>
        <v>50</v>
      </c>
      <c r="FS131" s="1345">
        <f t="shared" si="204"/>
        <v>10</v>
      </c>
      <c r="FT131" s="1345"/>
      <c r="FU131" s="1346">
        <f t="shared" ca="1" si="219"/>
        <v>480</v>
      </c>
      <c r="FV131" s="1346"/>
      <c r="FW131" s="1346"/>
      <c r="FX131" s="1347"/>
      <c r="FY131" s="1348"/>
      <c r="FZ131" s="1348"/>
      <c r="GA131" s="1348"/>
      <c r="GB131" s="1349"/>
      <c r="GC131" s="1350"/>
      <c r="GD131" s="1348"/>
      <c r="GE131" s="1348"/>
      <c r="GF131" s="1348"/>
      <c r="GG131" s="1348"/>
      <c r="GH131" s="1348"/>
      <c r="GI131" s="1348"/>
      <c r="GJ131" s="1348"/>
      <c r="GK131" s="1348"/>
      <c r="GL131" s="1348"/>
      <c r="GM131" s="1348"/>
      <c r="GN131" s="3825" t="str">
        <f t="shared" ca="1" si="264"/>
        <v>Cooper, Lucy</v>
      </c>
      <c r="GO131" s="3825"/>
      <c r="GP131" s="3825"/>
      <c r="GQ131" s="3826"/>
      <c r="GR131" s="3675"/>
      <c r="GS131" s="3676"/>
      <c r="GT131" s="1756">
        <f t="shared" ref="GT131:HC140" ca="1" si="265">IF(GT$171=0,0,IF($FU131=0,0,SUMPRODUCT(OFFSET($DJ$173:$DJ$365,0,$FO131),GT$173:GT$365,$FS$173:$FS$365,$CY$173:$CY$365)*GT$25))</f>
        <v>40</v>
      </c>
      <c r="GU131" s="1757">
        <f t="shared" ca="1" si="265"/>
        <v>40</v>
      </c>
      <c r="GV131" s="1757">
        <f t="shared" ca="1" si="265"/>
        <v>40</v>
      </c>
      <c r="GW131" s="1757">
        <f t="shared" ca="1" si="265"/>
        <v>40</v>
      </c>
      <c r="GX131" s="1757">
        <f t="shared" ca="1" si="265"/>
        <v>40</v>
      </c>
      <c r="GY131" s="1757">
        <f t="shared" ca="1" si="265"/>
        <v>40</v>
      </c>
      <c r="GZ131" s="1757">
        <f t="shared" ca="1" si="265"/>
        <v>40</v>
      </c>
      <c r="HA131" s="1757">
        <f t="shared" ca="1" si="265"/>
        <v>40</v>
      </c>
      <c r="HB131" s="1757">
        <f t="shared" ca="1" si="265"/>
        <v>40</v>
      </c>
      <c r="HC131" s="1757">
        <f t="shared" ca="1" si="265"/>
        <v>40</v>
      </c>
      <c r="HD131" s="1757">
        <f t="shared" ref="HD131:HM140" ca="1" si="266">IF(HD$171=0,0,IF($FU131=0,0,SUMPRODUCT(OFFSET($DJ$173:$DJ$365,0,$FO131),HD$173:HD$365,$FS$173:$FS$365,$CY$173:$CY$365)*HD$25))</f>
        <v>40</v>
      </c>
      <c r="HE131" s="1757">
        <f t="shared" ca="1" si="266"/>
        <v>40</v>
      </c>
      <c r="HF131" s="1757">
        <f t="shared" ca="1" si="266"/>
        <v>0</v>
      </c>
      <c r="HG131" s="1757">
        <f t="shared" ca="1" si="266"/>
        <v>0</v>
      </c>
      <c r="HH131" s="1757">
        <f t="shared" ca="1" si="266"/>
        <v>0</v>
      </c>
      <c r="HI131" s="1757">
        <f t="shared" ca="1" si="266"/>
        <v>0</v>
      </c>
      <c r="HJ131" s="1757">
        <f t="shared" ca="1" si="266"/>
        <v>0</v>
      </c>
      <c r="HK131" s="1757">
        <f t="shared" ca="1" si="266"/>
        <v>0</v>
      </c>
      <c r="HL131" s="1757">
        <f t="shared" ca="1" si="266"/>
        <v>0</v>
      </c>
      <c r="HM131" s="1757">
        <f t="shared" ca="1" si="266"/>
        <v>0</v>
      </c>
      <c r="HN131" s="1757">
        <f t="shared" ref="HN131:HW140" ca="1" si="267">IF(HN$171=0,0,IF($FU131=0,0,SUMPRODUCT(OFFSET($DJ$173:$DJ$365,0,$FO131),HN$173:HN$365,$FS$173:$FS$365,$CY$173:$CY$365)*HN$25))</f>
        <v>0</v>
      </c>
      <c r="HO131" s="1757">
        <f t="shared" ca="1" si="267"/>
        <v>0</v>
      </c>
      <c r="HP131" s="1757">
        <f t="shared" ca="1" si="267"/>
        <v>0</v>
      </c>
      <c r="HQ131" s="1757">
        <f t="shared" ca="1" si="267"/>
        <v>0</v>
      </c>
      <c r="HR131" s="1757">
        <f t="shared" ca="1" si="267"/>
        <v>0</v>
      </c>
      <c r="HS131" s="1757">
        <f t="shared" ca="1" si="267"/>
        <v>0</v>
      </c>
      <c r="HT131" s="1757">
        <f t="shared" ca="1" si="267"/>
        <v>0</v>
      </c>
      <c r="HU131" s="1757">
        <f t="shared" ca="1" si="267"/>
        <v>0</v>
      </c>
      <c r="HV131" s="1757">
        <f t="shared" ca="1" si="267"/>
        <v>0</v>
      </c>
      <c r="HW131" s="1757">
        <f t="shared" ca="1" si="267"/>
        <v>0</v>
      </c>
      <c r="HX131" s="1757">
        <f t="shared" ref="HX131:IG140" ca="1" si="268">IF(HX$171=0,0,IF($FU131=0,0,SUMPRODUCT(OFFSET($DJ$173:$DJ$365,0,$FO131),HX$173:HX$365,$FS$173:$FS$365,$CY$173:$CY$365)*HX$25))</f>
        <v>0</v>
      </c>
      <c r="HY131" s="1757">
        <f t="shared" ca="1" si="268"/>
        <v>0</v>
      </c>
      <c r="HZ131" s="1757">
        <f t="shared" ca="1" si="268"/>
        <v>0</v>
      </c>
      <c r="IA131" s="1757">
        <f t="shared" ca="1" si="268"/>
        <v>0</v>
      </c>
      <c r="IB131" s="1757">
        <f t="shared" ca="1" si="268"/>
        <v>0</v>
      </c>
      <c r="IC131" s="1757">
        <f t="shared" ca="1" si="268"/>
        <v>0</v>
      </c>
      <c r="ID131" s="1757">
        <f t="shared" ca="1" si="268"/>
        <v>0</v>
      </c>
      <c r="IE131" s="1757">
        <f t="shared" ca="1" si="268"/>
        <v>0</v>
      </c>
      <c r="IF131" s="1757">
        <f t="shared" ca="1" si="268"/>
        <v>0</v>
      </c>
      <c r="IG131" s="1757">
        <f t="shared" ca="1" si="268"/>
        <v>0</v>
      </c>
      <c r="IH131" s="1757">
        <f t="shared" ref="IH131:IQ140" ca="1" si="269">IF(IH$171=0,0,IF($FU131=0,0,SUMPRODUCT(OFFSET($DJ$173:$DJ$365,0,$FO131),IH$173:IH$365,$FS$173:$FS$365,$CY$173:$CY$365)*IH$25))</f>
        <v>0</v>
      </c>
      <c r="II131" s="1757">
        <f t="shared" ca="1" si="269"/>
        <v>0</v>
      </c>
      <c r="IJ131" s="1757">
        <f t="shared" ca="1" si="269"/>
        <v>0</v>
      </c>
      <c r="IK131" s="1757">
        <f t="shared" ca="1" si="269"/>
        <v>0</v>
      </c>
      <c r="IL131" s="1757">
        <f t="shared" ca="1" si="269"/>
        <v>0</v>
      </c>
      <c r="IM131" s="1757">
        <f t="shared" ca="1" si="269"/>
        <v>0</v>
      </c>
      <c r="IN131" s="1757">
        <f t="shared" ca="1" si="269"/>
        <v>0</v>
      </c>
      <c r="IO131" s="1757">
        <f t="shared" ca="1" si="269"/>
        <v>0</v>
      </c>
      <c r="IP131" s="1757">
        <f t="shared" ca="1" si="269"/>
        <v>0</v>
      </c>
      <c r="IQ131" s="1757">
        <f t="shared" ca="1" si="269"/>
        <v>0</v>
      </c>
      <c r="IR131" s="1757">
        <f t="shared" ref="IR131:JA140" ca="1" si="270">IF(IR$171=0,0,IF($FU131=0,0,SUMPRODUCT(OFFSET($DJ$173:$DJ$365,0,$FO131),IR$173:IR$365,$FS$173:$FS$365,$CY$173:$CY$365)*IR$25))</f>
        <v>0</v>
      </c>
      <c r="IS131" s="1757">
        <f t="shared" ca="1" si="270"/>
        <v>0</v>
      </c>
      <c r="IT131" s="1757">
        <f t="shared" ca="1" si="270"/>
        <v>0</v>
      </c>
      <c r="IU131" s="1757">
        <f t="shared" ca="1" si="270"/>
        <v>0</v>
      </c>
      <c r="IV131" s="1757">
        <f t="shared" ca="1" si="270"/>
        <v>0</v>
      </c>
      <c r="IW131" s="1757">
        <f t="shared" ca="1" si="270"/>
        <v>0</v>
      </c>
      <c r="IX131" s="1757">
        <f t="shared" ca="1" si="270"/>
        <v>0</v>
      </c>
      <c r="IY131" s="1757">
        <f t="shared" ca="1" si="270"/>
        <v>0</v>
      </c>
      <c r="IZ131" s="1757">
        <f t="shared" ca="1" si="270"/>
        <v>0</v>
      </c>
      <c r="JA131" s="1757">
        <f t="shared" ca="1" si="270"/>
        <v>0</v>
      </c>
      <c r="JB131" s="1757">
        <f t="shared" ref="JB131:JK140" ca="1" si="271">IF(JB$171=0,0,IF($FU131=0,0,SUMPRODUCT(OFFSET($DJ$173:$DJ$365,0,$FO131),JB$173:JB$365,$FS$173:$FS$365,$CY$173:$CY$365)*JB$25))</f>
        <v>0</v>
      </c>
      <c r="JC131" s="1757">
        <f t="shared" ca="1" si="271"/>
        <v>0</v>
      </c>
      <c r="JD131" s="1757">
        <f t="shared" ca="1" si="271"/>
        <v>0</v>
      </c>
      <c r="JE131" s="1757">
        <f t="shared" ca="1" si="271"/>
        <v>0</v>
      </c>
      <c r="JF131" s="1757">
        <f t="shared" ca="1" si="271"/>
        <v>0</v>
      </c>
      <c r="JG131" s="1757">
        <f t="shared" ca="1" si="271"/>
        <v>0</v>
      </c>
      <c r="JH131" s="1757">
        <f t="shared" ca="1" si="271"/>
        <v>0</v>
      </c>
      <c r="JI131" s="1757">
        <f t="shared" ca="1" si="271"/>
        <v>0</v>
      </c>
      <c r="JJ131" s="1757">
        <f t="shared" ca="1" si="271"/>
        <v>0</v>
      </c>
      <c r="JK131" s="1757">
        <f t="shared" ca="1" si="271"/>
        <v>0</v>
      </c>
      <c r="JL131" s="1757">
        <f t="shared" ref="JL131:JU140" ca="1" si="272">IF(JL$171=0,0,IF($FU131=0,0,SUMPRODUCT(OFFSET($DJ$173:$DJ$365,0,$FO131),JL$173:JL$365,$FS$173:$FS$365,$CY$173:$CY$365)*JL$25))</f>
        <v>0</v>
      </c>
      <c r="JM131" s="1757">
        <f t="shared" ca="1" si="272"/>
        <v>0</v>
      </c>
      <c r="JN131" s="1757">
        <f t="shared" ca="1" si="272"/>
        <v>0</v>
      </c>
      <c r="JO131" s="1757">
        <f t="shared" ca="1" si="272"/>
        <v>0</v>
      </c>
      <c r="JP131" s="1757">
        <f t="shared" ca="1" si="272"/>
        <v>0</v>
      </c>
      <c r="JQ131" s="1757">
        <f t="shared" ca="1" si="272"/>
        <v>0</v>
      </c>
      <c r="JR131" s="1757">
        <f t="shared" ca="1" si="272"/>
        <v>0</v>
      </c>
      <c r="JS131" s="1757">
        <f t="shared" ca="1" si="272"/>
        <v>0</v>
      </c>
      <c r="JT131" s="1757">
        <f t="shared" ca="1" si="272"/>
        <v>0</v>
      </c>
      <c r="JU131" s="1757">
        <f t="shared" ca="1" si="272"/>
        <v>0</v>
      </c>
      <c r="JV131" s="1757">
        <f t="shared" ref="JV131:KE140" ca="1" si="273">IF(JV$171=0,0,IF($FU131=0,0,SUMPRODUCT(OFFSET($DJ$173:$DJ$365,0,$FO131),JV$173:JV$365,$FS$173:$FS$365,$CY$173:$CY$365)*JV$25))</f>
        <v>0</v>
      </c>
      <c r="JW131" s="1757">
        <f t="shared" ca="1" si="273"/>
        <v>0</v>
      </c>
      <c r="JX131" s="1757">
        <f t="shared" ca="1" si="273"/>
        <v>0</v>
      </c>
      <c r="JY131" s="1757">
        <f t="shared" ca="1" si="273"/>
        <v>0</v>
      </c>
      <c r="JZ131" s="1757">
        <f t="shared" ca="1" si="273"/>
        <v>0</v>
      </c>
      <c r="KA131" s="1757">
        <f t="shared" ca="1" si="273"/>
        <v>0</v>
      </c>
      <c r="KB131" s="1757">
        <f t="shared" ca="1" si="273"/>
        <v>0</v>
      </c>
      <c r="KC131" s="1757">
        <f t="shared" ca="1" si="273"/>
        <v>0</v>
      </c>
      <c r="KD131" s="1757">
        <f t="shared" ca="1" si="273"/>
        <v>0</v>
      </c>
      <c r="KE131" s="1757">
        <f t="shared" ca="1" si="273"/>
        <v>0</v>
      </c>
      <c r="KF131" s="1757">
        <f t="shared" ref="KF131:KO140" ca="1" si="274">IF(KF$171=0,0,IF($FU131=0,0,SUMPRODUCT(OFFSET($DJ$173:$DJ$365,0,$FO131),KF$173:KF$365,$FS$173:$FS$365,$CY$173:$CY$365)*KF$25))</f>
        <v>0</v>
      </c>
      <c r="KG131" s="1757">
        <f t="shared" ca="1" si="274"/>
        <v>0</v>
      </c>
      <c r="KH131" s="1757">
        <f t="shared" ca="1" si="274"/>
        <v>0</v>
      </c>
      <c r="KI131" s="1757">
        <f t="shared" ca="1" si="274"/>
        <v>0</v>
      </c>
      <c r="KJ131" s="1757">
        <f t="shared" ca="1" si="274"/>
        <v>0</v>
      </c>
      <c r="KK131" s="1757">
        <f t="shared" ca="1" si="274"/>
        <v>0</v>
      </c>
      <c r="KL131" s="1757">
        <f t="shared" ca="1" si="274"/>
        <v>0</v>
      </c>
      <c r="KM131" s="1757">
        <f t="shared" ca="1" si="274"/>
        <v>0</v>
      </c>
      <c r="KN131" s="1757">
        <f t="shared" ca="1" si="274"/>
        <v>0</v>
      </c>
      <c r="KO131" s="1757">
        <f t="shared" ca="1" si="274"/>
        <v>0</v>
      </c>
      <c r="KP131" s="1757">
        <f t="shared" ref="KP131:KY140" ca="1" si="275">IF(KP$171=0,0,IF($FU131=0,0,SUMPRODUCT(OFFSET($DJ$173:$DJ$365,0,$FO131),KP$173:KP$365,$FS$173:$FS$365,$CY$173:$CY$365)*KP$25))</f>
        <v>0</v>
      </c>
      <c r="KQ131" s="1757">
        <f t="shared" ca="1" si="275"/>
        <v>0</v>
      </c>
      <c r="KR131" s="1757">
        <f t="shared" ca="1" si="275"/>
        <v>0</v>
      </c>
      <c r="KS131" s="1757">
        <f t="shared" ca="1" si="275"/>
        <v>0</v>
      </c>
      <c r="KT131" s="1757">
        <f t="shared" ca="1" si="275"/>
        <v>0</v>
      </c>
      <c r="KU131" s="1757">
        <f t="shared" ca="1" si="275"/>
        <v>0</v>
      </c>
      <c r="KV131" s="1757">
        <f t="shared" ca="1" si="275"/>
        <v>0</v>
      </c>
      <c r="KW131" s="1757">
        <f t="shared" ca="1" si="275"/>
        <v>0</v>
      </c>
      <c r="KX131" s="1757">
        <f t="shared" ca="1" si="275"/>
        <v>0</v>
      </c>
      <c r="KY131" s="1757">
        <f t="shared" ca="1" si="275"/>
        <v>0</v>
      </c>
      <c r="KZ131" s="1757">
        <f t="shared" ref="KZ131:LI140" ca="1" si="276">IF(KZ$171=0,0,IF($FU131=0,0,SUMPRODUCT(OFFSET($DJ$173:$DJ$365,0,$FO131),KZ$173:KZ$365,$FS$173:$FS$365,$CY$173:$CY$365)*KZ$25))</f>
        <v>0</v>
      </c>
      <c r="LA131" s="1757">
        <f t="shared" ca="1" si="276"/>
        <v>0</v>
      </c>
      <c r="LB131" s="1757">
        <f t="shared" ca="1" si="276"/>
        <v>0</v>
      </c>
      <c r="LC131" s="1757">
        <f t="shared" ca="1" si="276"/>
        <v>0</v>
      </c>
      <c r="LD131" s="1757">
        <f t="shared" ca="1" si="276"/>
        <v>0</v>
      </c>
      <c r="LE131" s="1757">
        <f t="shared" ca="1" si="276"/>
        <v>0</v>
      </c>
      <c r="LF131" s="1757">
        <f t="shared" ca="1" si="276"/>
        <v>0</v>
      </c>
      <c r="LG131" s="1757">
        <f t="shared" ca="1" si="276"/>
        <v>0</v>
      </c>
      <c r="LH131" s="1757">
        <f t="shared" ca="1" si="276"/>
        <v>0</v>
      </c>
      <c r="LI131" s="1757">
        <f t="shared" ca="1" si="276"/>
        <v>0</v>
      </c>
      <c r="LJ131" s="1757">
        <f t="shared" ref="LJ131:LP140" ca="1" si="277">IF(LJ$171=0,0,IF($FU131=0,0,SUMPRODUCT(OFFSET($DJ$173:$DJ$365,0,$FO131),LJ$173:LJ$365,$FS$173:$FS$365,$CY$173:$CY$365)*LJ$25))</f>
        <v>0</v>
      </c>
      <c r="LK131" s="1757">
        <f t="shared" ca="1" si="277"/>
        <v>0</v>
      </c>
      <c r="LL131" s="1757">
        <f t="shared" ca="1" si="277"/>
        <v>0</v>
      </c>
      <c r="LM131" s="1757">
        <f t="shared" ca="1" si="277"/>
        <v>0</v>
      </c>
      <c r="LN131" s="1757">
        <f t="shared" ca="1" si="277"/>
        <v>0</v>
      </c>
      <c r="LO131" s="1757">
        <f t="shared" ca="1" si="277"/>
        <v>0</v>
      </c>
      <c r="LP131" s="1758">
        <f t="shared" ca="1" si="277"/>
        <v>0</v>
      </c>
      <c r="LQ131" s="604"/>
    </row>
    <row r="132" spans="1:329" ht="12.75" customHeight="1" x14ac:dyDescent="0.3">
      <c r="A132" s="279"/>
      <c r="B132" s="41"/>
      <c r="C132" s="82"/>
      <c r="D132" s="41"/>
      <c r="E132" s="9"/>
      <c r="F132" s="9"/>
      <c r="G132" s="9"/>
      <c r="H132" s="10"/>
      <c r="I132" s="10"/>
      <c r="J132" s="10"/>
      <c r="K132" s="10"/>
      <c r="L132" s="10"/>
      <c r="M132" s="10"/>
      <c r="N132" s="9"/>
      <c r="O132" s="9"/>
      <c r="P132" s="44"/>
      <c r="Q132" s="44"/>
      <c r="R132" s="9"/>
      <c r="S132" s="9"/>
      <c r="T132" s="9"/>
      <c r="U132" s="9"/>
      <c r="V132" s="9"/>
      <c r="W132" s="9"/>
      <c r="X132" s="9"/>
      <c r="Y132" s="9"/>
      <c r="Z132" s="9"/>
      <c r="AA132" s="9"/>
      <c r="AB132" s="9"/>
      <c r="AC132" s="9"/>
      <c r="AD132" s="9"/>
      <c r="AE132" s="9"/>
      <c r="AF132" s="9"/>
      <c r="AG132" s="9"/>
      <c r="AH132" s="2514"/>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113"/>
      <c r="DI132" s="113"/>
      <c r="DJ132" s="113"/>
      <c r="DK132" s="118"/>
      <c r="DL132" s="118"/>
      <c r="DM132" s="118"/>
      <c r="DN132" s="118"/>
      <c r="DO132" s="118"/>
      <c r="DP132" s="118"/>
      <c r="DQ132" s="118"/>
      <c r="DR132" s="118"/>
      <c r="DS132" s="118"/>
      <c r="DT132" s="118"/>
      <c r="DU132" s="118"/>
      <c r="DV132" s="118"/>
      <c r="DW132" s="118"/>
      <c r="DX132" s="118"/>
      <c r="DY132" s="118"/>
      <c r="DZ132" s="118"/>
      <c r="EA132" s="118"/>
      <c r="EB132" s="118"/>
      <c r="EC132" s="118"/>
      <c r="ED132" s="118"/>
      <c r="EE132" s="118"/>
      <c r="EF132" s="118"/>
      <c r="EG132" s="118"/>
      <c r="EH132" s="118"/>
      <c r="EI132" s="118"/>
      <c r="EJ132" s="118"/>
      <c r="EK132" s="118"/>
      <c r="EL132" s="118"/>
      <c r="EM132" s="118"/>
      <c r="EN132" s="118"/>
      <c r="EO132" s="118"/>
      <c r="EP132" s="118"/>
      <c r="EQ132" s="118"/>
      <c r="ER132" s="118"/>
      <c r="ES132" s="118"/>
      <c r="ET132" s="118"/>
      <c r="EU132" s="118"/>
      <c r="EV132" s="118"/>
      <c r="EW132" s="118"/>
      <c r="EX132" s="118"/>
      <c r="EY132" s="118"/>
      <c r="EZ132" s="118"/>
      <c r="FA132" s="118"/>
      <c r="FB132" s="118"/>
      <c r="FC132" s="118"/>
      <c r="FD132" s="118"/>
      <c r="FE132" s="118"/>
      <c r="FF132" s="118"/>
      <c r="FG132" s="118"/>
      <c r="FH132" s="118"/>
      <c r="FI132" s="180"/>
      <c r="FJ132" s="132"/>
      <c r="FK132" s="132"/>
      <c r="FL132" s="181">
        <f t="shared" ca="1" si="197"/>
        <v>9</v>
      </c>
      <c r="FM132" s="1340" t="str">
        <f t="shared" ca="1" si="259"/>
        <v>L3B Senior Engineer</v>
      </c>
      <c r="FN132" s="1341">
        <f t="shared" ca="1" si="199"/>
        <v>0</v>
      </c>
      <c r="FO132" s="1342">
        <f t="shared" ca="1" si="260"/>
        <v>8</v>
      </c>
      <c r="FP132" s="1343">
        <f t="shared" ca="1" si="261"/>
        <v>0</v>
      </c>
      <c r="FQ132" s="1344">
        <f t="shared" si="262"/>
        <v>40</v>
      </c>
      <c r="FR132" s="1344">
        <f t="shared" si="263"/>
        <v>50</v>
      </c>
      <c r="FS132" s="1345">
        <f t="shared" si="204"/>
        <v>9</v>
      </c>
      <c r="FT132" s="1345"/>
      <c r="FU132" s="1346">
        <f t="shared" ca="1" si="219"/>
        <v>384</v>
      </c>
      <c r="FV132" s="1346"/>
      <c r="FW132" s="1346"/>
      <c r="FX132" s="1347"/>
      <c r="FY132" s="1348"/>
      <c r="FZ132" s="1348"/>
      <c r="GA132" s="1348"/>
      <c r="GB132" s="1349"/>
      <c r="GC132" s="1350"/>
      <c r="GD132" s="1348"/>
      <c r="GE132" s="1348"/>
      <c r="GF132" s="1348"/>
      <c r="GG132" s="1348"/>
      <c r="GH132" s="1348"/>
      <c r="GI132" s="1348"/>
      <c r="GJ132" s="1348"/>
      <c r="GK132" s="1348"/>
      <c r="GL132" s="1348"/>
      <c r="GM132" s="1348"/>
      <c r="GN132" s="3825" t="str">
        <f t="shared" ca="1" si="264"/>
        <v>Parsons, Jenny</v>
      </c>
      <c r="GO132" s="3825"/>
      <c r="GP132" s="3825"/>
      <c r="GQ132" s="3826"/>
      <c r="GR132" s="3675"/>
      <c r="GS132" s="3676"/>
      <c r="GT132" s="1756">
        <f t="shared" ca="1" si="265"/>
        <v>32</v>
      </c>
      <c r="GU132" s="1757">
        <f t="shared" ca="1" si="265"/>
        <v>32</v>
      </c>
      <c r="GV132" s="1757">
        <f t="shared" ca="1" si="265"/>
        <v>32</v>
      </c>
      <c r="GW132" s="1757">
        <f t="shared" ca="1" si="265"/>
        <v>32</v>
      </c>
      <c r="GX132" s="1757">
        <f t="shared" ca="1" si="265"/>
        <v>32</v>
      </c>
      <c r="GY132" s="1757">
        <f t="shared" ca="1" si="265"/>
        <v>32</v>
      </c>
      <c r="GZ132" s="1757">
        <f t="shared" ca="1" si="265"/>
        <v>32</v>
      </c>
      <c r="HA132" s="1757">
        <f t="shared" ca="1" si="265"/>
        <v>32</v>
      </c>
      <c r="HB132" s="1757">
        <f t="shared" ca="1" si="265"/>
        <v>32</v>
      </c>
      <c r="HC132" s="1757">
        <f t="shared" ca="1" si="265"/>
        <v>32</v>
      </c>
      <c r="HD132" s="1757">
        <f t="shared" ca="1" si="266"/>
        <v>32</v>
      </c>
      <c r="HE132" s="1757">
        <f t="shared" ca="1" si="266"/>
        <v>32</v>
      </c>
      <c r="HF132" s="1757">
        <f t="shared" ca="1" si="266"/>
        <v>0</v>
      </c>
      <c r="HG132" s="1757">
        <f t="shared" ca="1" si="266"/>
        <v>0</v>
      </c>
      <c r="HH132" s="1757">
        <f t="shared" ca="1" si="266"/>
        <v>0</v>
      </c>
      <c r="HI132" s="1757">
        <f t="shared" ca="1" si="266"/>
        <v>0</v>
      </c>
      <c r="HJ132" s="1757">
        <f t="shared" ca="1" si="266"/>
        <v>0</v>
      </c>
      <c r="HK132" s="1757">
        <f t="shared" ca="1" si="266"/>
        <v>0</v>
      </c>
      <c r="HL132" s="1757">
        <f t="shared" ca="1" si="266"/>
        <v>0</v>
      </c>
      <c r="HM132" s="1757">
        <f t="shared" ca="1" si="266"/>
        <v>0</v>
      </c>
      <c r="HN132" s="1757">
        <f t="shared" ca="1" si="267"/>
        <v>0</v>
      </c>
      <c r="HO132" s="1757">
        <f t="shared" ca="1" si="267"/>
        <v>0</v>
      </c>
      <c r="HP132" s="1757">
        <f t="shared" ca="1" si="267"/>
        <v>0</v>
      </c>
      <c r="HQ132" s="1757">
        <f t="shared" ca="1" si="267"/>
        <v>0</v>
      </c>
      <c r="HR132" s="1757">
        <f t="shared" ca="1" si="267"/>
        <v>0</v>
      </c>
      <c r="HS132" s="1757">
        <f t="shared" ca="1" si="267"/>
        <v>0</v>
      </c>
      <c r="HT132" s="1757">
        <f t="shared" ca="1" si="267"/>
        <v>0</v>
      </c>
      <c r="HU132" s="1757">
        <f t="shared" ca="1" si="267"/>
        <v>0</v>
      </c>
      <c r="HV132" s="1757">
        <f t="shared" ca="1" si="267"/>
        <v>0</v>
      </c>
      <c r="HW132" s="1757">
        <f t="shared" ca="1" si="267"/>
        <v>0</v>
      </c>
      <c r="HX132" s="1757">
        <f t="shared" ca="1" si="268"/>
        <v>0</v>
      </c>
      <c r="HY132" s="1757">
        <f t="shared" ca="1" si="268"/>
        <v>0</v>
      </c>
      <c r="HZ132" s="1757">
        <f t="shared" ca="1" si="268"/>
        <v>0</v>
      </c>
      <c r="IA132" s="1757">
        <f t="shared" ca="1" si="268"/>
        <v>0</v>
      </c>
      <c r="IB132" s="1757">
        <f t="shared" ca="1" si="268"/>
        <v>0</v>
      </c>
      <c r="IC132" s="1757">
        <f t="shared" ca="1" si="268"/>
        <v>0</v>
      </c>
      <c r="ID132" s="1757">
        <f t="shared" ca="1" si="268"/>
        <v>0</v>
      </c>
      <c r="IE132" s="1757">
        <f t="shared" ca="1" si="268"/>
        <v>0</v>
      </c>
      <c r="IF132" s="1757">
        <f t="shared" ca="1" si="268"/>
        <v>0</v>
      </c>
      <c r="IG132" s="1757">
        <f t="shared" ca="1" si="268"/>
        <v>0</v>
      </c>
      <c r="IH132" s="1757">
        <f t="shared" ca="1" si="269"/>
        <v>0</v>
      </c>
      <c r="II132" s="1757">
        <f t="shared" ca="1" si="269"/>
        <v>0</v>
      </c>
      <c r="IJ132" s="1757">
        <f t="shared" ca="1" si="269"/>
        <v>0</v>
      </c>
      <c r="IK132" s="1757">
        <f t="shared" ca="1" si="269"/>
        <v>0</v>
      </c>
      <c r="IL132" s="1757">
        <f t="shared" ca="1" si="269"/>
        <v>0</v>
      </c>
      <c r="IM132" s="1757">
        <f t="shared" ca="1" si="269"/>
        <v>0</v>
      </c>
      <c r="IN132" s="1757">
        <f t="shared" ca="1" si="269"/>
        <v>0</v>
      </c>
      <c r="IO132" s="1757">
        <f t="shared" ca="1" si="269"/>
        <v>0</v>
      </c>
      <c r="IP132" s="1757">
        <f t="shared" ca="1" si="269"/>
        <v>0</v>
      </c>
      <c r="IQ132" s="1757">
        <f t="shared" ca="1" si="269"/>
        <v>0</v>
      </c>
      <c r="IR132" s="1757">
        <f t="shared" ca="1" si="270"/>
        <v>0</v>
      </c>
      <c r="IS132" s="1757">
        <f t="shared" ca="1" si="270"/>
        <v>0</v>
      </c>
      <c r="IT132" s="1757">
        <f t="shared" ca="1" si="270"/>
        <v>0</v>
      </c>
      <c r="IU132" s="1757">
        <f t="shared" ca="1" si="270"/>
        <v>0</v>
      </c>
      <c r="IV132" s="1757">
        <f t="shared" ca="1" si="270"/>
        <v>0</v>
      </c>
      <c r="IW132" s="1757">
        <f t="shared" ca="1" si="270"/>
        <v>0</v>
      </c>
      <c r="IX132" s="1757">
        <f t="shared" ca="1" si="270"/>
        <v>0</v>
      </c>
      <c r="IY132" s="1757">
        <f t="shared" ca="1" si="270"/>
        <v>0</v>
      </c>
      <c r="IZ132" s="1757">
        <f t="shared" ca="1" si="270"/>
        <v>0</v>
      </c>
      <c r="JA132" s="1757">
        <f t="shared" ca="1" si="270"/>
        <v>0</v>
      </c>
      <c r="JB132" s="1757">
        <f t="shared" ca="1" si="271"/>
        <v>0</v>
      </c>
      <c r="JC132" s="1757">
        <f t="shared" ca="1" si="271"/>
        <v>0</v>
      </c>
      <c r="JD132" s="1757">
        <f t="shared" ca="1" si="271"/>
        <v>0</v>
      </c>
      <c r="JE132" s="1757">
        <f t="shared" ca="1" si="271"/>
        <v>0</v>
      </c>
      <c r="JF132" s="1757">
        <f t="shared" ca="1" si="271"/>
        <v>0</v>
      </c>
      <c r="JG132" s="1757">
        <f t="shared" ca="1" si="271"/>
        <v>0</v>
      </c>
      <c r="JH132" s="1757">
        <f t="shared" ca="1" si="271"/>
        <v>0</v>
      </c>
      <c r="JI132" s="1757">
        <f t="shared" ca="1" si="271"/>
        <v>0</v>
      </c>
      <c r="JJ132" s="1757">
        <f t="shared" ca="1" si="271"/>
        <v>0</v>
      </c>
      <c r="JK132" s="1757">
        <f t="shared" ca="1" si="271"/>
        <v>0</v>
      </c>
      <c r="JL132" s="1757">
        <f t="shared" ca="1" si="272"/>
        <v>0</v>
      </c>
      <c r="JM132" s="1757">
        <f t="shared" ca="1" si="272"/>
        <v>0</v>
      </c>
      <c r="JN132" s="1757">
        <f t="shared" ca="1" si="272"/>
        <v>0</v>
      </c>
      <c r="JO132" s="1757">
        <f t="shared" ca="1" si="272"/>
        <v>0</v>
      </c>
      <c r="JP132" s="1757">
        <f t="shared" ca="1" si="272"/>
        <v>0</v>
      </c>
      <c r="JQ132" s="1757">
        <f t="shared" ca="1" si="272"/>
        <v>0</v>
      </c>
      <c r="JR132" s="1757">
        <f t="shared" ca="1" si="272"/>
        <v>0</v>
      </c>
      <c r="JS132" s="1757">
        <f t="shared" ca="1" si="272"/>
        <v>0</v>
      </c>
      <c r="JT132" s="1757">
        <f t="shared" ca="1" si="272"/>
        <v>0</v>
      </c>
      <c r="JU132" s="1757">
        <f t="shared" ca="1" si="272"/>
        <v>0</v>
      </c>
      <c r="JV132" s="1757">
        <f t="shared" ca="1" si="273"/>
        <v>0</v>
      </c>
      <c r="JW132" s="1757">
        <f t="shared" ca="1" si="273"/>
        <v>0</v>
      </c>
      <c r="JX132" s="1757">
        <f t="shared" ca="1" si="273"/>
        <v>0</v>
      </c>
      <c r="JY132" s="1757">
        <f t="shared" ca="1" si="273"/>
        <v>0</v>
      </c>
      <c r="JZ132" s="1757">
        <f t="shared" ca="1" si="273"/>
        <v>0</v>
      </c>
      <c r="KA132" s="1757">
        <f t="shared" ca="1" si="273"/>
        <v>0</v>
      </c>
      <c r="KB132" s="1757">
        <f t="shared" ca="1" si="273"/>
        <v>0</v>
      </c>
      <c r="KC132" s="1757">
        <f t="shared" ca="1" si="273"/>
        <v>0</v>
      </c>
      <c r="KD132" s="1757">
        <f t="shared" ca="1" si="273"/>
        <v>0</v>
      </c>
      <c r="KE132" s="1757">
        <f t="shared" ca="1" si="273"/>
        <v>0</v>
      </c>
      <c r="KF132" s="1757">
        <f t="shared" ca="1" si="274"/>
        <v>0</v>
      </c>
      <c r="KG132" s="1757">
        <f t="shared" ca="1" si="274"/>
        <v>0</v>
      </c>
      <c r="KH132" s="1757">
        <f t="shared" ca="1" si="274"/>
        <v>0</v>
      </c>
      <c r="KI132" s="1757">
        <f t="shared" ca="1" si="274"/>
        <v>0</v>
      </c>
      <c r="KJ132" s="1757">
        <f t="shared" ca="1" si="274"/>
        <v>0</v>
      </c>
      <c r="KK132" s="1757">
        <f t="shared" ca="1" si="274"/>
        <v>0</v>
      </c>
      <c r="KL132" s="1757">
        <f t="shared" ca="1" si="274"/>
        <v>0</v>
      </c>
      <c r="KM132" s="1757">
        <f t="shared" ca="1" si="274"/>
        <v>0</v>
      </c>
      <c r="KN132" s="1757">
        <f t="shared" ca="1" si="274"/>
        <v>0</v>
      </c>
      <c r="KO132" s="1757">
        <f t="shared" ca="1" si="274"/>
        <v>0</v>
      </c>
      <c r="KP132" s="1757">
        <f t="shared" ca="1" si="275"/>
        <v>0</v>
      </c>
      <c r="KQ132" s="1757">
        <f t="shared" ca="1" si="275"/>
        <v>0</v>
      </c>
      <c r="KR132" s="1757">
        <f t="shared" ca="1" si="275"/>
        <v>0</v>
      </c>
      <c r="KS132" s="1757">
        <f t="shared" ca="1" si="275"/>
        <v>0</v>
      </c>
      <c r="KT132" s="1757">
        <f t="shared" ca="1" si="275"/>
        <v>0</v>
      </c>
      <c r="KU132" s="1757">
        <f t="shared" ca="1" si="275"/>
        <v>0</v>
      </c>
      <c r="KV132" s="1757">
        <f t="shared" ca="1" si="275"/>
        <v>0</v>
      </c>
      <c r="KW132" s="1757">
        <f t="shared" ca="1" si="275"/>
        <v>0</v>
      </c>
      <c r="KX132" s="1757">
        <f t="shared" ca="1" si="275"/>
        <v>0</v>
      </c>
      <c r="KY132" s="1757">
        <f t="shared" ca="1" si="275"/>
        <v>0</v>
      </c>
      <c r="KZ132" s="1757">
        <f t="shared" ca="1" si="276"/>
        <v>0</v>
      </c>
      <c r="LA132" s="1757">
        <f t="shared" ca="1" si="276"/>
        <v>0</v>
      </c>
      <c r="LB132" s="1757">
        <f t="shared" ca="1" si="276"/>
        <v>0</v>
      </c>
      <c r="LC132" s="1757">
        <f t="shared" ca="1" si="276"/>
        <v>0</v>
      </c>
      <c r="LD132" s="1757">
        <f t="shared" ca="1" si="276"/>
        <v>0</v>
      </c>
      <c r="LE132" s="1757">
        <f t="shared" ca="1" si="276"/>
        <v>0</v>
      </c>
      <c r="LF132" s="1757">
        <f t="shared" ca="1" si="276"/>
        <v>0</v>
      </c>
      <c r="LG132" s="1757">
        <f t="shared" ca="1" si="276"/>
        <v>0</v>
      </c>
      <c r="LH132" s="1757">
        <f t="shared" ca="1" si="276"/>
        <v>0</v>
      </c>
      <c r="LI132" s="1757">
        <f t="shared" ca="1" si="276"/>
        <v>0</v>
      </c>
      <c r="LJ132" s="1757">
        <f t="shared" ca="1" si="277"/>
        <v>0</v>
      </c>
      <c r="LK132" s="1757">
        <f t="shared" ca="1" si="277"/>
        <v>0</v>
      </c>
      <c r="LL132" s="1757">
        <f t="shared" ca="1" si="277"/>
        <v>0</v>
      </c>
      <c r="LM132" s="1757">
        <f t="shared" ca="1" si="277"/>
        <v>0</v>
      </c>
      <c r="LN132" s="1757">
        <f t="shared" ca="1" si="277"/>
        <v>0</v>
      </c>
      <c r="LO132" s="1757">
        <f t="shared" ca="1" si="277"/>
        <v>0</v>
      </c>
      <c r="LP132" s="1758">
        <f t="shared" ca="1" si="277"/>
        <v>0</v>
      </c>
      <c r="LQ132" s="604"/>
    </row>
    <row r="133" spans="1:329" ht="12.75" customHeight="1" x14ac:dyDescent="0.3">
      <c r="A133" s="279"/>
      <c r="B133" s="41"/>
      <c r="C133" s="82"/>
      <c r="D133" s="41"/>
      <c r="E133" s="9"/>
      <c r="F133" s="9"/>
      <c r="G133" s="9"/>
      <c r="H133" s="10"/>
      <c r="I133" s="10"/>
      <c r="J133" s="10"/>
      <c r="K133" s="10"/>
      <c r="L133" s="10"/>
      <c r="M133" s="10"/>
      <c r="N133" s="9"/>
      <c r="O133" s="9"/>
      <c r="P133" s="44"/>
      <c r="Q133" s="44"/>
      <c r="R133" s="9"/>
      <c r="S133" s="9"/>
      <c r="T133" s="9"/>
      <c r="U133" s="9"/>
      <c r="V133" s="9"/>
      <c r="W133" s="9"/>
      <c r="X133" s="9"/>
      <c r="Y133" s="9"/>
      <c r="Z133" s="9"/>
      <c r="AA133" s="9"/>
      <c r="AB133" s="9"/>
      <c r="AC133" s="9"/>
      <c r="AD133" s="9"/>
      <c r="AE133" s="9"/>
      <c r="AF133" s="9"/>
      <c r="AG133" s="9"/>
      <c r="AH133" s="2514"/>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113"/>
      <c r="DI133" s="113"/>
      <c r="DJ133" s="113"/>
      <c r="DK133" s="118"/>
      <c r="DL133" s="118"/>
      <c r="DM133" s="118"/>
      <c r="DN133" s="118"/>
      <c r="DO133" s="118"/>
      <c r="DP133" s="118"/>
      <c r="DQ133" s="118"/>
      <c r="DR133" s="118"/>
      <c r="DS133" s="118"/>
      <c r="DT133" s="118"/>
      <c r="DU133" s="118"/>
      <c r="DV133" s="118"/>
      <c r="DW133" s="118"/>
      <c r="DX133" s="118"/>
      <c r="DY133" s="118"/>
      <c r="DZ133" s="118"/>
      <c r="EA133" s="118"/>
      <c r="EB133" s="118"/>
      <c r="EC133" s="118"/>
      <c r="ED133" s="118"/>
      <c r="EE133" s="118"/>
      <c r="EF133" s="118"/>
      <c r="EG133" s="118"/>
      <c r="EH133" s="118"/>
      <c r="EI133" s="118"/>
      <c r="EJ133" s="118"/>
      <c r="EK133" s="118"/>
      <c r="EL133" s="118"/>
      <c r="EM133" s="118"/>
      <c r="EN133" s="118"/>
      <c r="EO133" s="118"/>
      <c r="EP133" s="118"/>
      <c r="EQ133" s="118"/>
      <c r="ER133" s="118"/>
      <c r="ES133" s="118"/>
      <c r="ET133" s="118"/>
      <c r="EU133" s="118"/>
      <c r="EV133" s="118"/>
      <c r="EW133" s="118"/>
      <c r="EX133" s="118"/>
      <c r="EY133" s="118"/>
      <c r="EZ133" s="118"/>
      <c r="FA133" s="118"/>
      <c r="FB133" s="118"/>
      <c r="FC133" s="118"/>
      <c r="FD133" s="118"/>
      <c r="FE133" s="118"/>
      <c r="FF133" s="118"/>
      <c r="FG133" s="118"/>
      <c r="FH133" s="118"/>
      <c r="FI133" s="180"/>
      <c r="FJ133" s="132"/>
      <c r="FK133" s="132"/>
      <c r="FL133" s="181">
        <f t="shared" ca="1" si="197"/>
        <v>8</v>
      </c>
      <c r="FM133" s="1340" t="str">
        <f t="shared" ca="1" si="259"/>
        <v>L3A Project Manager</v>
      </c>
      <c r="FN133" s="1341">
        <f t="shared" ca="1" si="199"/>
        <v>0</v>
      </c>
      <c r="FO133" s="1342">
        <f t="shared" ca="1" si="260"/>
        <v>7</v>
      </c>
      <c r="FP133" s="1343">
        <f t="shared" ca="1" si="261"/>
        <v>0</v>
      </c>
      <c r="FQ133" s="1344">
        <f t="shared" si="262"/>
        <v>40</v>
      </c>
      <c r="FR133" s="1344">
        <f t="shared" si="263"/>
        <v>50</v>
      </c>
      <c r="FS133" s="1345">
        <f t="shared" si="204"/>
        <v>8</v>
      </c>
      <c r="FT133" s="1345"/>
      <c r="FU133" s="1346">
        <f t="shared" ca="1" si="219"/>
        <v>384</v>
      </c>
      <c r="FV133" s="1346"/>
      <c r="FW133" s="1346"/>
      <c r="FX133" s="1347"/>
      <c r="FY133" s="1348"/>
      <c r="FZ133" s="1348"/>
      <c r="GA133" s="1348"/>
      <c r="GB133" s="1349"/>
      <c r="GC133" s="1350"/>
      <c r="GD133" s="1348"/>
      <c r="GE133" s="1348"/>
      <c r="GF133" s="1348"/>
      <c r="GG133" s="1348"/>
      <c r="GH133" s="1348"/>
      <c r="GI133" s="1348"/>
      <c r="GJ133" s="1348"/>
      <c r="GK133" s="1348"/>
      <c r="GL133" s="1348"/>
      <c r="GM133" s="1348"/>
      <c r="GN133" s="3825" t="str">
        <f t="shared" ca="1" si="264"/>
        <v>Phillips, Stephen</v>
      </c>
      <c r="GO133" s="3825"/>
      <c r="GP133" s="3825"/>
      <c r="GQ133" s="3826"/>
      <c r="GR133" s="3675"/>
      <c r="GS133" s="3676"/>
      <c r="GT133" s="1756">
        <f t="shared" ca="1" si="265"/>
        <v>32</v>
      </c>
      <c r="GU133" s="1757">
        <f t="shared" ca="1" si="265"/>
        <v>32</v>
      </c>
      <c r="GV133" s="1757">
        <f t="shared" ca="1" si="265"/>
        <v>32</v>
      </c>
      <c r="GW133" s="1757">
        <f t="shared" ca="1" si="265"/>
        <v>32</v>
      </c>
      <c r="GX133" s="1757">
        <f t="shared" ca="1" si="265"/>
        <v>32</v>
      </c>
      <c r="GY133" s="1757">
        <f t="shared" ca="1" si="265"/>
        <v>32</v>
      </c>
      <c r="GZ133" s="1757">
        <f t="shared" ca="1" si="265"/>
        <v>32</v>
      </c>
      <c r="HA133" s="1757">
        <f t="shared" ca="1" si="265"/>
        <v>32</v>
      </c>
      <c r="HB133" s="1757">
        <f t="shared" ca="1" si="265"/>
        <v>32</v>
      </c>
      <c r="HC133" s="1757">
        <f t="shared" ca="1" si="265"/>
        <v>32</v>
      </c>
      <c r="HD133" s="1757">
        <f t="shared" ca="1" si="266"/>
        <v>32</v>
      </c>
      <c r="HE133" s="1757">
        <f t="shared" ca="1" si="266"/>
        <v>32</v>
      </c>
      <c r="HF133" s="1757">
        <f t="shared" ca="1" si="266"/>
        <v>0</v>
      </c>
      <c r="HG133" s="1757">
        <f t="shared" ca="1" si="266"/>
        <v>0</v>
      </c>
      <c r="HH133" s="1757">
        <f t="shared" ca="1" si="266"/>
        <v>0</v>
      </c>
      <c r="HI133" s="1757">
        <f t="shared" ca="1" si="266"/>
        <v>0</v>
      </c>
      <c r="HJ133" s="1757">
        <f t="shared" ca="1" si="266"/>
        <v>0</v>
      </c>
      <c r="HK133" s="1757">
        <f t="shared" ca="1" si="266"/>
        <v>0</v>
      </c>
      <c r="HL133" s="1757">
        <f t="shared" ca="1" si="266"/>
        <v>0</v>
      </c>
      <c r="HM133" s="1757">
        <f t="shared" ca="1" si="266"/>
        <v>0</v>
      </c>
      <c r="HN133" s="1757">
        <f t="shared" ca="1" si="267"/>
        <v>0</v>
      </c>
      <c r="HO133" s="1757">
        <f t="shared" ca="1" si="267"/>
        <v>0</v>
      </c>
      <c r="HP133" s="1757">
        <f t="shared" ca="1" si="267"/>
        <v>0</v>
      </c>
      <c r="HQ133" s="1757">
        <f t="shared" ca="1" si="267"/>
        <v>0</v>
      </c>
      <c r="HR133" s="1757">
        <f t="shared" ca="1" si="267"/>
        <v>0</v>
      </c>
      <c r="HS133" s="1757">
        <f t="shared" ca="1" si="267"/>
        <v>0</v>
      </c>
      <c r="HT133" s="1757">
        <f t="shared" ca="1" si="267"/>
        <v>0</v>
      </c>
      <c r="HU133" s="1757">
        <f t="shared" ca="1" si="267"/>
        <v>0</v>
      </c>
      <c r="HV133" s="1757">
        <f t="shared" ca="1" si="267"/>
        <v>0</v>
      </c>
      <c r="HW133" s="1757">
        <f t="shared" ca="1" si="267"/>
        <v>0</v>
      </c>
      <c r="HX133" s="1757">
        <f t="shared" ca="1" si="268"/>
        <v>0</v>
      </c>
      <c r="HY133" s="1757">
        <f t="shared" ca="1" si="268"/>
        <v>0</v>
      </c>
      <c r="HZ133" s="1757">
        <f t="shared" ca="1" si="268"/>
        <v>0</v>
      </c>
      <c r="IA133" s="1757">
        <f t="shared" ca="1" si="268"/>
        <v>0</v>
      </c>
      <c r="IB133" s="1757">
        <f t="shared" ca="1" si="268"/>
        <v>0</v>
      </c>
      <c r="IC133" s="1757">
        <f t="shared" ca="1" si="268"/>
        <v>0</v>
      </c>
      <c r="ID133" s="1757">
        <f t="shared" ca="1" si="268"/>
        <v>0</v>
      </c>
      <c r="IE133" s="1757">
        <f t="shared" ca="1" si="268"/>
        <v>0</v>
      </c>
      <c r="IF133" s="1757">
        <f t="shared" ca="1" si="268"/>
        <v>0</v>
      </c>
      <c r="IG133" s="1757">
        <f t="shared" ca="1" si="268"/>
        <v>0</v>
      </c>
      <c r="IH133" s="1757">
        <f t="shared" ca="1" si="269"/>
        <v>0</v>
      </c>
      <c r="II133" s="1757">
        <f t="shared" ca="1" si="269"/>
        <v>0</v>
      </c>
      <c r="IJ133" s="1757">
        <f t="shared" ca="1" si="269"/>
        <v>0</v>
      </c>
      <c r="IK133" s="1757">
        <f t="shared" ca="1" si="269"/>
        <v>0</v>
      </c>
      <c r="IL133" s="1757">
        <f t="shared" ca="1" si="269"/>
        <v>0</v>
      </c>
      <c r="IM133" s="1757">
        <f t="shared" ca="1" si="269"/>
        <v>0</v>
      </c>
      <c r="IN133" s="1757">
        <f t="shared" ca="1" si="269"/>
        <v>0</v>
      </c>
      <c r="IO133" s="1757">
        <f t="shared" ca="1" si="269"/>
        <v>0</v>
      </c>
      <c r="IP133" s="1757">
        <f t="shared" ca="1" si="269"/>
        <v>0</v>
      </c>
      <c r="IQ133" s="1757">
        <f t="shared" ca="1" si="269"/>
        <v>0</v>
      </c>
      <c r="IR133" s="1757">
        <f t="shared" ca="1" si="270"/>
        <v>0</v>
      </c>
      <c r="IS133" s="1757">
        <f t="shared" ca="1" si="270"/>
        <v>0</v>
      </c>
      <c r="IT133" s="1757">
        <f t="shared" ca="1" si="270"/>
        <v>0</v>
      </c>
      <c r="IU133" s="1757">
        <f t="shared" ca="1" si="270"/>
        <v>0</v>
      </c>
      <c r="IV133" s="1757">
        <f t="shared" ca="1" si="270"/>
        <v>0</v>
      </c>
      <c r="IW133" s="1757">
        <f t="shared" ca="1" si="270"/>
        <v>0</v>
      </c>
      <c r="IX133" s="1757">
        <f t="shared" ca="1" si="270"/>
        <v>0</v>
      </c>
      <c r="IY133" s="1757">
        <f t="shared" ca="1" si="270"/>
        <v>0</v>
      </c>
      <c r="IZ133" s="1757">
        <f t="shared" ca="1" si="270"/>
        <v>0</v>
      </c>
      <c r="JA133" s="1757">
        <f t="shared" ca="1" si="270"/>
        <v>0</v>
      </c>
      <c r="JB133" s="1757">
        <f t="shared" ca="1" si="271"/>
        <v>0</v>
      </c>
      <c r="JC133" s="1757">
        <f t="shared" ca="1" si="271"/>
        <v>0</v>
      </c>
      <c r="JD133" s="1757">
        <f t="shared" ca="1" si="271"/>
        <v>0</v>
      </c>
      <c r="JE133" s="1757">
        <f t="shared" ca="1" si="271"/>
        <v>0</v>
      </c>
      <c r="JF133" s="1757">
        <f t="shared" ca="1" si="271"/>
        <v>0</v>
      </c>
      <c r="JG133" s="1757">
        <f t="shared" ca="1" si="271"/>
        <v>0</v>
      </c>
      <c r="JH133" s="1757">
        <f t="shared" ca="1" si="271"/>
        <v>0</v>
      </c>
      <c r="JI133" s="1757">
        <f t="shared" ca="1" si="271"/>
        <v>0</v>
      </c>
      <c r="JJ133" s="1757">
        <f t="shared" ca="1" si="271"/>
        <v>0</v>
      </c>
      <c r="JK133" s="1757">
        <f t="shared" ca="1" si="271"/>
        <v>0</v>
      </c>
      <c r="JL133" s="1757">
        <f t="shared" ca="1" si="272"/>
        <v>0</v>
      </c>
      <c r="JM133" s="1757">
        <f t="shared" ca="1" si="272"/>
        <v>0</v>
      </c>
      <c r="JN133" s="1757">
        <f t="shared" ca="1" si="272"/>
        <v>0</v>
      </c>
      <c r="JO133" s="1757">
        <f t="shared" ca="1" si="272"/>
        <v>0</v>
      </c>
      <c r="JP133" s="1757">
        <f t="shared" ca="1" si="272"/>
        <v>0</v>
      </c>
      <c r="JQ133" s="1757">
        <f t="shared" ca="1" si="272"/>
        <v>0</v>
      </c>
      <c r="JR133" s="1757">
        <f t="shared" ca="1" si="272"/>
        <v>0</v>
      </c>
      <c r="JS133" s="1757">
        <f t="shared" ca="1" si="272"/>
        <v>0</v>
      </c>
      <c r="JT133" s="1757">
        <f t="shared" ca="1" si="272"/>
        <v>0</v>
      </c>
      <c r="JU133" s="1757">
        <f t="shared" ca="1" si="272"/>
        <v>0</v>
      </c>
      <c r="JV133" s="1757">
        <f t="shared" ca="1" si="273"/>
        <v>0</v>
      </c>
      <c r="JW133" s="1757">
        <f t="shared" ca="1" si="273"/>
        <v>0</v>
      </c>
      <c r="JX133" s="1757">
        <f t="shared" ca="1" si="273"/>
        <v>0</v>
      </c>
      <c r="JY133" s="1757">
        <f t="shared" ca="1" si="273"/>
        <v>0</v>
      </c>
      <c r="JZ133" s="1757">
        <f t="shared" ca="1" si="273"/>
        <v>0</v>
      </c>
      <c r="KA133" s="1757">
        <f t="shared" ca="1" si="273"/>
        <v>0</v>
      </c>
      <c r="KB133" s="1757">
        <f t="shared" ca="1" si="273"/>
        <v>0</v>
      </c>
      <c r="KC133" s="1757">
        <f t="shared" ca="1" si="273"/>
        <v>0</v>
      </c>
      <c r="KD133" s="1757">
        <f t="shared" ca="1" si="273"/>
        <v>0</v>
      </c>
      <c r="KE133" s="1757">
        <f t="shared" ca="1" si="273"/>
        <v>0</v>
      </c>
      <c r="KF133" s="1757">
        <f t="shared" ca="1" si="274"/>
        <v>0</v>
      </c>
      <c r="KG133" s="1757">
        <f t="shared" ca="1" si="274"/>
        <v>0</v>
      </c>
      <c r="KH133" s="1757">
        <f t="shared" ca="1" si="274"/>
        <v>0</v>
      </c>
      <c r="KI133" s="1757">
        <f t="shared" ca="1" si="274"/>
        <v>0</v>
      </c>
      <c r="KJ133" s="1757">
        <f t="shared" ca="1" si="274"/>
        <v>0</v>
      </c>
      <c r="KK133" s="1757">
        <f t="shared" ca="1" si="274"/>
        <v>0</v>
      </c>
      <c r="KL133" s="1757">
        <f t="shared" ca="1" si="274"/>
        <v>0</v>
      </c>
      <c r="KM133" s="1757">
        <f t="shared" ca="1" si="274"/>
        <v>0</v>
      </c>
      <c r="KN133" s="1757">
        <f t="shared" ca="1" si="274"/>
        <v>0</v>
      </c>
      <c r="KO133" s="1757">
        <f t="shared" ca="1" si="274"/>
        <v>0</v>
      </c>
      <c r="KP133" s="1757">
        <f t="shared" ca="1" si="275"/>
        <v>0</v>
      </c>
      <c r="KQ133" s="1757">
        <f t="shared" ca="1" si="275"/>
        <v>0</v>
      </c>
      <c r="KR133" s="1757">
        <f t="shared" ca="1" si="275"/>
        <v>0</v>
      </c>
      <c r="KS133" s="1757">
        <f t="shared" ca="1" si="275"/>
        <v>0</v>
      </c>
      <c r="KT133" s="1757">
        <f t="shared" ca="1" si="275"/>
        <v>0</v>
      </c>
      <c r="KU133" s="1757">
        <f t="shared" ca="1" si="275"/>
        <v>0</v>
      </c>
      <c r="KV133" s="1757">
        <f t="shared" ca="1" si="275"/>
        <v>0</v>
      </c>
      <c r="KW133" s="1757">
        <f t="shared" ca="1" si="275"/>
        <v>0</v>
      </c>
      <c r="KX133" s="1757">
        <f t="shared" ca="1" si="275"/>
        <v>0</v>
      </c>
      <c r="KY133" s="1757">
        <f t="shared" ca="1" si="275"/>
        <v>0</v>
      </c>
      <c r="KZ133" s="1757">
        <f t="shared" ca="1" si="276"/>
        <v>0</v>
      </c>
      <c r="LA133" s="1757">
        <f t="shared" ca="1" si="276"/>
        <v>0</v>
      </c>
      <c r="LB133" s="1757">
        <f t="shared" ca="1" si="276"/>
        <v>0</v>
      </c>
      <c r="LC133" s="1757">
        <f t="shared" ca="1" si="276"/>
        <v>0</v>
      </c>
      <c r="LD133" s="1757">
        <f t="shared" ca="1" si="276"/>
        <v>0</v>
      </c>
      <c r="LE133" s="1757">
        <f t="shared" ca="1" si="276"/>
        <v>0</v>
      </c>
      <c r="LF133" s="1757">
        <f t="shared" ca="1" si="276"/>
        <v>0</v>
      </c>
      <c r="LG133" s="1757">
        <f t="shared" ca="1" si="276"/>
        <v>0</v>
      </c>
      <c r="LH133" s="1757">
        <f t="shared" ca="1" si="276"/>
        <v>0</v>
      </c>
      <c r="LI133" s="1757">
        <f t="shared" ca="1" si="276"/>
        <v>0</v>
      </c>
      <c r="LJ133" s="1757">
        <f t="shared" ca="1" si="277"/>
        <v>0</v>
      </c>
      <c r="LK133" s="1757">
        <f t="shared" ca="1" si="277"/>
        <v>0</v>
      </c>
      <c r="LL133" s="1757">
        <f t="shared" ca="1" si="277"/>
        <v>0</v>
      </c>
      <c r="LM133" s="1757">
        <f t="shared" ca="1" si="277"/>
        <v>0</v>
      </c>
      <c r="LN133" s="1757">
        <f t="shared" ca="1" si="277"/>
        <v>0</v>
      </c>
      <c r="LO133" s="1757">
        <f t="shared" ca="1" si="277"/>
        <v>0</v>
      </c>
      <c r="LP133" s="1758">
        <f t="shared" ca="1" si="277"/>
        <v>0</v>
      </c>
      <c r="LQ133" s="604"/>
    </row>
    <row r="134" spans="1:329" ht="12.75" customHeight="1" x14ac:dyDescent="0.3">
      <c r="A134" s="279"/>
      <c r="B134" s="41"/>
      <c r="C134" s="82"/>
      <c r="D134" s="41"/>
      <c r="E134" s="9"/>
      <c r="F134" s="9"/>
      <c r="G134" s="9"/>
      <c r="H134" s="10"/>
      <c r="I134" s="10"/>
      <c r="J134" s="10"/>
      <c r="K134" s="10"/>
      <c r="L134" s="10"/>
      <c r="M134" s="10"/>
      <c r="N134" s="9"/>
      <c r="O134" s="9"/>
      <c r="P134" s="44"/>
      <c r="Q134" s="44"/>
      <c r="R134" s="9"/>
      <c r="S134" s="9"/>
      <c r="T134" s="9"/>
      <c r="U134" s="9"/>
      <c r="V134" s="9"/>
      <c r="W134" s="9"/>
      <c r="X134" s="9"/>
      <c r="Y134" s="9"/>
      <c r="Z134" s="9"/>
      <c r="AA134" s="9"/>
      <c r="AB134" s="9"/>
      <c r="AC134" s="9"/>
      <c r="AD134" s="9"/>
      <c r="AE134" s="9"/>
      <c r="AF134" s="9"/>
      <c r="AG134" s="9"/>
      <c r="AH134" s="2514"/>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113"/>
      <c r="DI134" s="113"/>
      <c r="DJ134" s="113"/>
      <c r="DK134" s="118"/>
      <c r="DL134" s="118"/>
      <c r="DM134" s="118"/>
      <c r="DN134" s="118"/>
      <c r="DO134" s="118"/>
      <c r="DP134" s="118"/>
      <c r="DQ134" s="118"/>
      <c r="DR134" s="118"/>
      <c r="DS134" s="118"/>
      <c r="DT134" s="118"/>
      <c r="DU134" s="118"/>
      <c r="DV134" s="118"/>
      <c r="DW134" s="118"/>
      <c r="DX134" s="118"/>
      <c r="DY134" s="118"/>
      <c r="DZ134" s="118"/>
      <c r="EA134" s="118"/>
      <c r="EB134" s="118"/>
      <c r="EC134" s="118"/>
      <c r="ED134" s="118"/>
      <c r="EE134" s="118"/>
      <c r="EF134" s="118"/>
      <c r="EG134" s="118"/>
      <c r="EH134" s="118"/>
      <c r="EI134" s="118"/>
      <c r="EJ134" s="118"/>
      <c r="EK134" s="118"/>
      <c r="EL134" s="118"/>
      <c r="EM134" s="118"/>
      <c r="EN134" s="118"/>
      <c r="EO134" s="118"/>
      <c r="EP134" s="118"/>
      <c r="EQ134" s="118"/>
      <c r="ER134" s="118"/>
      <c r="ES134" s="118"/>
      <c r="ET134" s="118"/>
      <c r="EU134" s="118"/>
      <c r="EV134" s="118"/>
      <c r="EW134" s="118"/>
      <c r="EX134" s="118"/>
      <c r="EY134" s="118"/>
      <c r="EZ134" s="118"/>
      <c r="FA134" s="118"/>
      <c r="FB134" s="118"/>
      <c r="FC134" s="118"/>
      <c r="FD134" s="118"/>
      <c r="FE134" s="118"/>
      <c r="FF134" s="118"/>
      <c r="FG134" s="118"/>
      <c r="FH134" s="118"/>
      <c r="FI134" s="180"/>
      <c r="FJ134" s="132"/>
      <c r="FK134" s="132"/>
      <c r="FL134" s="181">
        <f t="shared" ca="1" si="197"/>
        <v>7</v>
      </c>
      <c r="FM134" s="1340" t="str">
        <f t="shared" ca="1" si="259"/>
        <v>L1B Service Lead</v>
      </c>
      <c r="FN134" s="1341">
        <f t="shared" ca="1" si="199"/>
        <v>0</v>
      </c>
      <c r="FO134" s="1342">
        <f t="shared" ca="1" si="260"/>
        <v>6</v>
      </c>
      <c r="FP134" s="1343">
        <f t="shared" ca="1" si="261"/>
        <v>0</v>
      </c>
      <c r="FQ134" s="1344">
        <f t="shared" si="262"/>
        <v>40</v>
      </c>
      <c r="FR134" s="1344">
        <f t="shared" si="263"/>
        <v>50</v>
      </c>
      <c r="FS134" s="1345">
        <f t="shared" si="204"/>
        <v>7</v>
      </c>
      <c r="FT134" s="1345"/>
      <c r="FU134" s="1346">
        <f t="shared" ca="1" si="219"/>
        <v>6</v>
      </c>
      <c r="FV134" s="1346"/>
      <c r="FW134" s="1346"/>
      <c r="FX134" s="1347"/>
      <c r="FY134" s="1348"/>
      <c r="FZ134" s="1348"/>
      <c r="GA134" s="1348"/>
      <c r="GB134" s="1349"/>
      <c r="GC134" s="1350"/>
      <c r="GD134" s="1348"/>
      <c r="GE134" s="1348"/>
      <c r="GF134" s="1348"/>
      <c r="GG134" s="1348"/>
      <c r="GH134" s="1348"/>
      <c r="GI134" s="1348"/>
      <c r="GJ134" s="1348"/>
      <c r="GK134" s="1348"/>
      <c r="GL134" s="1348"/>
      <c r="GM134" s="1348"/>
      <c r="GN134" s="3825" t="str">
        <f t="shared" ca="1" si="264"/>
        <v>Robinson Emma</v>
      </c>
      <c r="GO134" s="3825"/>
      <c r="GP134" s="3825"/>
      <c r="GQ134" s="3826"/>
      <c r="GR134" s="3675"/>
      <c r="GS134" s="3676"/>
      <c r="GT134" s="1756">
        <f t="shared" ca="1" si="265"/>
        <v>0.5</v>
      </c>
      <c r="GU134" s="1757">
        <f t="shared" ca="1" si="265"/>
        <v>0.5</v>
      </c>
      <c r="GV134" s="1757">
        <f t="shared" ca="1" si="265"/>
        <v>0.5</v>
      </c>
      <c r="GW134" s="1757">
        <f t="shared" ca="1" si="265"/>
        <v>0.5</v>
      </c>
      <c r="GX134" s="1757">
        <f t="shared" ca="1" si="265"/>
        <v>0.5</v>
      </c>
      <c r="GY134" s="1757">
        <f t="shared" ca="1" si="265"/>
        <v>0.5</v>
      </c>
      <c r="GZ134" s="1757">
        <f t="shared" ca="1" si="265"/>
        <v>0.5</v>
      </c>
      <c r="HA134" s="1757">
        <f t="shared" ca="1" si="265"/>
        <v>0.5</v>
      </c>
      <c r="HB134" s="1757">
        <f t="shared" ca="1" si="265"/>
        <v>0.5</v>
      </c>
      <c r="HC134" s="1757">
        <f t="shared" ca="1" si="265"/>
        <v>0.5</v>
      </c>
      <c r="HD134" s="1757">
        <f t="shared" ca="1" si="266"/>
        <v>0.5</v>
      </c>
      <c r="HE134" s="1757">
        <f t="shared" ca="1" si="266"/>
        <v>0.5</v>
      </c>
      <c r="HF134" s="1757">
        <f t="shared" ca="1" si="266"/>
        <v>0</v>
      </c>
      <c r="HG134" s="1757">
        <f t="shared" ca="1" si="266"/>
        <v>0</v>
      </c>
      <c r="HH134" s="1757">
        <f t="shared" ca="1" si="266"/>
        <v>0</v>
      </c>
      <c r="HI134" s="1757">
        <f t="shared" ca="1" si="266"/>
        <v>0</v>
      </c>
      <c r="HJ134" s="1757">
        <f t="shared" ca="1" si="266"/>
        <v>0</v>
      </c>
      <c r="HK134" s="1757">
        <f t="shared" ca="1" si="266"/>
        <v>0</v>
      </c>
      <c r="HL134" s="1757">
        <f t="shared" ca="1" si="266"/>
        <v>0</v>
      </c>
      <c r="HM134" s="1757">
        <f t="shared" ca="1" si="266"/>
        <v>0</v>
      </c>
      <c r="HN134" s="1757">
        <f t="shared" ca="1" si="267"/>
        <v>0</v>
      </c>
      <c r="HO134" s="1757">
        <f t="shared" ca="1" si="267"/>
        <v>0</v>
      </c>
      <c r="HP134" s="1757">
        <f t="shared" ca="1" si="267"/>
        <v>0</v>
      </c>
      <c r="HQ134" s="1757">
        <f t="shared" ca="1" si="267"/>
        <v>0</v>
      </c>
      <c r="HR134" s="1757">
        <f t="shared" ca="1" si="267"/>
        <v>0</v>
      </c>
      <c r="HS134" s="1757">
        <f t="shared" ca="1" si="267"/>
        <v>0</v>
      </c>
      <c r="HT134" s="1757">
        <f t="shared" ca="1" si="267"/>
        <v>0</v>
      </c>
      <c r="HU134" s="1757">
        <f t="shared" ca="1" si="267"/>
        <v>0</v>
      </c>
      <c r="HV134" s="1757">
        <f t="shared" ca="1" si="267"/>
        <v>0</v>
      </c>
      <c r="HW134" s="1757">
        <f t="shared" ca="1" si="267"/>
        <v>0</v>
      </c>
      <c r="HX134" s="1757">
        <f t="shared" ca="1" si="268"/>
        <v>0</v>
      </c>
      <c r="HY134" s="1757">
        <f t="shared" ca="1" si="268"/>
        <v>0</v>
      </c>
      <c r="HZ134" s="1757">
        <f t="shared" ca="1" si="268"/>
        <v>0</v>
      </c>
      <c r="IA134" s="1757">
        <f t="shared" ca="1" si="268"/>
        <v>0</v>
      </c>
      <c r="IB134" s="1757">
        <f t="shared" ca="1" si="268"/>
        <v>0</v>
      </c>
      <c r="IC134" s="1757">
        <f t="shared" ca="1" si="268"/>
        <v>0</v>
      </c>
      <c r="ID134" s="1757">
        <f t="shared" ca="1" si="268"/>
        <v>0</v>
      </c>
      <c r="IE134" s="1757">
        <f t="shared" ca="1" si="268"/>
        <v>0</v>
      </c>
      <c r="IF134" s="1757">
        <f t="shared" ca="1" si="268"/>
        <v>0</v>
      </c>
      <c r="IG134" s="1757">
        <f t="shared" ca="1" si="268"/>
        <v>0</v>
      </c>
      <c r="IH134" s="1757">
        <f t="shared" ca="1" si="269"/>
        <v>0</v>
      </c>
      <c r="II134" s="1757">
        <f t="shared" ca="1" si="269"/>
        <v>0</v>
      </c>
      <c r="IJ134" s="1757">
        <f t="shared" ca="1" si="269"/>
        <v>0</v>
      </c>
      <c r="IK134" s="1757">
        <f t="shared" ca="1" si="269"/>
        <v>0</v>
      </c>
      <c r="IL134" s="1757">
        <f t="shared" ca="1" si="269"/>
        <v>0</v>
      </c>
      <c r="IM134" s="1757">
        <f t="shared" ca="1" si="269"/>
        <v>0</v>
      </c>
      <c r="IN134" s="1757">
        <f t="shared" ca="1" si="269"/>
        <v>0</v>
      </c>
      <c r="IO134" s="1757">
        <f t="shared" ca="1" si="269"/>
        <v>0</v>
      </c>
      <c r="IP134" s="1757">
        <f t="shared" ca="1" si="269"/>
        <v>0</v>
      </c>
      <c r="IQ134" s="1757">
        <f t="shared" ca="1" si="269"/>
        <v>0</v>
      </c>
      <c r="IR134" s="1757">
        <f t="shared" ca="1" si="270"/>
        <v>0</v>
      </c>
      <c r="IS134" s="1757">
        <f t="shared" ca="1" si="270"/>
        <v>0</v>
      </c>
      <c r="IT134" s="1757">
        <f t="shared" ca="1" si="270"/>
        <v>0</v>
      </c>
      <c r="IU134" s="1757">
        <f t="shared" ca="1" si="270"/>
        <v>0</v>
      </c>
      <c r="IV134" s="1757">
        <f t="shared" ca="1" si="270"/>
        <v>0</v>
      </c>
      <c r="IW134" s="1757">
        <f t="shared" ca="1" si="270"/>
        <v>0</v>
      </c>
      <c r="IX134" s="1757">
        <f t="shared" ca="1" si="270"/>
        <v>0</v>
      </c>
      <c r="IY134" s="1757">
        <f t="shared" ca="1" si="270"/>
        <v>0</v>
      </c>
      <c r="IZ134" s="1757">
        <f t="shared" ca="1" si="270"/>
        <v>0</v>
      </c>
      <c r="JA134" s="1757">
        <f t="shared" ca="1" si="270"/>
        <v>0</v>
      </c>
      <c r="JB134" s="1757">
        <f t="shared" ca="1" si="271"/>
        <v>0</v>
      </c>
      <c r="JC134" s="1757">
        <f t="shared" ca="1" si="271"/>
        <v>0</v>
      </c>
      <c r="JD134" s="1757">
        <f t="shared" ca="1" si="271"/>
        <v>0</v>
      </c>
      <c r="JE134" s="1757">
        <f t="shared" ca="1" si="271"/>
        <v>0</v>
      </c>
      <c r="JF134" s="1757">
        <f t="shared" ca="1" si="271"/>
        <v>0</v>
      </c>
      <c r="JG134" s="1757">
        <f t="shared" ca="1" si="271"/>
        <v>0</v>
      </c>
      <c r="JH134" s="1757">
        <f t="shared" ca="1" si="271"/>
        <v>0</v>
      </c>
      <c r="JI134" s="1757">
        <f t="shared" ca="1" si="271"/>
        <v>0</v>
      </c>
      <c r="JJ134" s="1757">
        <f t="shared" ca="1" si="271"/>
        <v>0</v>
      </c>
      <c r="JK134" s="1757">
        <f t="shared" ca="1" si="271"/>
        <v>0</v>
      </c>
      <c r="JL134" s="1757">
        <f t="shared" ca="1" si="272"/>
        <v>0</v>
      </c>
      <c r="JM134" s="1757">
        <f t="shared" ca="1" si="272"/>
        <v>0</v>
      </c>
      <c r="JN134" s="1757">
        <f t="shared" ca="1" si="272"/>
        <v>0</v>
      </c>
      <c r="JO134" s="1757">
        <f t="shared" ca="1" si="272"/>
        <v>0</v>
      </c>
      <c r="JP134" s="1757">
        <f t="shared" ca="1" si="272"/>
        <v>0</v>
      </c>
      <c r="JQ134" s="1757">
        <f t="shared" ca="1" si="272"/>
        <v>0</v>
      </c>
      <c r="JR134" s="1757">
        <f t="shared" ca="1" si="272"/>
        <v>0</v>
      </c>
      <c r="JS134" s="1757">
        <f t="shared" ca="1" si="272"/>
        <v>0</v>
      </c>
      <c r="JT134" s="1757">
        <f t="shared" ca="1" si="272"/>
        <v>0</v>
      </c>
      <c r="JU134" s="1757">
        <f t="shared" ca="1" si="272"/>
        <v>0</v>
      </c>
      <c r="JV134" s="1757">
        <f t="shared" ca="1" si="273"/>
        <v>0</v>
      </c>
      <c r="JW134" s="1757">
        <f t="shared" ca="1" si="273"/>
        <v>0</v>
      </c>
      <c r="JX134" s="1757">
        <f t="shared" ca="1" si="273"/>
        <v>0</v>
      </c>
      <c r="JY134" s="1757">
        <f t="shared" ca="1" si="273"/>
        <v>0</v>
      </c>
      <c r="JZ134" s="1757">
        <f t="shared" ca="1" si="273"/>
        <v>0</v>
      </c>
      <c r="KA134" s="1757">
        <f t="shared" ca="1" si="273"/>
        <v>0</v>
      </c>
      <c r="KB134" s="1757">
        <f t="shared" ca="1" si="273"/>
        <v>0</v>
      </c>
      <c r="KC134" s="1757">
        <f t="shared" ca="1" si="273"/>
        <v>0</v>
      </c>
      <c r="KD134" s="1757">
        <f t="shared" ca="1" si="273"/>
        <v>0</v>
      </c>
      <c r="KE134" s="1757">
        <f t="shared" ca="1" si="273"/>
        <v>0</v>
      </c>
      <c r="KF134" s="1757">
        <f t="shared" ca="1" si="274"/>
        <v>0</v>
      </c>
      <c r="KG134" s="1757">
        <f t="shared" ca="1" si="274"/>
        <v>0</v>
      </c>
      <c r="KH134" s="1757">
        <f t="shared" ca="1" si="274"/>
        <v>0</v>
      </c>
      <c r="KI134" s="1757">
        <f t="shared" ca="1" si="274"/>
        <v>0</v>
      </c>
      <c r="KJ134" s="1757">
        <f t="shared" ca="1" si="274"/>
        <v>0</v>
      </c>
      <c r="KK134" s="1757">
        <f t="shared" ca="1" si="274"/>
        <v>0</v>
      </c>
      <c r="KL134" s="1757">
        <f t="shared" ca="1" si="274"/>
        <v>0</v>
      </c>
      <c r="KM134" s="1757">
        <f t="shared" ca="1" si="274"/>
        <v>0</v>
      </c>
      <c r="KN134" s="1757">
        <f t="shared" ca="1" si="274"/>
        <v>0</v>
      </c>
      <c r="KO134" s="1757">
        <f t="shared" ca="1" si="274"/>
        <v>0</v>
      </c>
      <c r="KP134" s="1757">
        <f t="shared" ca="1" si="275"/>
        <v>0</v>
      </c>
      <c r="KQ134" s="1757">
        <f t="shared" ca="1" si="275"/>
        <v>0</v>
      </c>
      <c r="KR134" s="1757">
        <f t="shared" ca="1" si="275"/>
        <v>0</v>
      </c>
      <c r="KS134" s="1757">
        <f t="shared" ca="1" si="275"/>
        <v>0</v>
      </c>
      <c r="KT134" s="1757">
        <f t="shared" ca="1" si="275"/>
        <v>0</v>
      </c>
      <c r="KU134" s="1757">
        <f t="shared" ca="1" si="275"/>
        <v>0</v>
      </c>
      <c r="KV134" s="1757">
        <f t="shared" ca="1" si="275"/>
        <v>0</v>
      </c>
      <c r="KW134" s="1757">
        <f t="shared" ca="1" si="275"/>
        <v>0</v>
      </c>
      <c r="KX134" s="1757">
        <f t="shared" ca="1" si="275"/>
        <v>0</v>
      </c>
      <c r="KY134" s="1757">
        <f t="shared" ca="1" si="275"/>
        <v>0</v>
      </c>
      <c r="KZ134" s="1757">
        <f t="shared" ca="1" si="276"/>
        <v>0</v>
      </c>
      <c r="LA134" s="1757">
        <f t="shared" ca="1" si="276"/>
        <v>0</v>
      </c>
      <c r="LB134" s="1757">
        <f t="shared" ca="1" si="276"/>
        <v>0</v>
      </c>
      <c r="LC134" s="1757">
        <f t="shared" ca="1" si="276"/>
        <v>0</v>
      </c>
      <c r="LD134" s="1757">
        <f t="shared" ca="1" si="276"/>
        <v>0</v>
      </c>
      <c r="LE134" s="1757">
        <f t="shared" ca="1" si="276"/>
        <v>0</v>
      </c>
      <c r="LF134" s="1757">
        <f t="shared" ca="1" si="276"/>
        <v>0</v>
      </c>
      <c r="LG134" s="1757">
        <f t="shared" ca="1" si="276"/>
        <v>0</v>
      </c>
      <c r="LH134" s="1757">
        <f t="shared" ca="1" si="276"/>
        <v>0</v>
      </c>
      <c r="LI134" s="1757">
        <f t="shared" ca="1" si="276"/>
        <v>0</v>
      </c>
      <c r="LJ134" s="1757">
        <f t="shared" ca="1" si="277"/>
        <v>0</v>
      </c>
      <c r="LK134" s="1757">
        <f t="shared" ca="1" si="277"/>
        <v>0</v>
      </c>
      <c r="LL134" s="1757">
        <f t="shared" ca="1" si="277"/>
        <v>0</v>
      </c>
      <c r="LM134" s="1757">
        <f t="shared" ca="1" si="277"/>
        <v>0</v>
      </c>
      <c r="LN134" s="1757">
        <f t="shared" ca="1" si="277"/>
        <v>0</v>
      </c>
      <c r="LO134" s="1757">
        <f t="shared" ca="1" si="277"/>
        <v>0</v>
      </c>
      <c r="LP134" s="1758">
        <f t="shared" ca="1" si="277"/>
        <v>0</v>
      </c>
      <c r="LQ134" s="604"/>
    </row>
    <row r="135" spans="1:329" ht="12.75" customHeight="1" x14ac:dyDescent="0.3">
      <c r="A135" s="279"/>
      <c r="B135" s="41"/>
      <c r="C135" s="82"/>
      <c r="D135" s="41"/>
      <c r="E135" s="9"/>
      <c r="F135" s="9"/>
      <c r="G135" s="9"/>
      <c r="H135" s="10"/>
      <c r="I135" s="10"/>
      <c r="J135" s="10"/>
      <c r="K135" s="10"/>
      <c r="L135" s="10"/>
      <c r="M135" s="10"/>
      <c r="N135" s="9"/>
      <c r="O135" s="9"/>
      <c r="P135" s="44"/>
      <c r="Q135" s="44"/>
      <c r="R135" s="9"/>
      <c r="S135" s="9"/>
      <c r="T135" s="9"/>
      <c r="U135" s="9"/>
      <c r="V135" s="9"/>
      <c r="W135" s="9"/>
      <c r="X135" s="9"/>
      <c r="Y135" s="9"/>
      <c r="Z135" s="9"/>
      <c r="AA135" s="9"/>
      <c r="AB135" s="9"/>
      <c r="AC135" s="9"/>
      <c r="AD135" s="9"/>
      <c r="AE135" s="9"/>
      <c r="AF135" s="9"/>
      <c r="AG135" s="9"/>
      <c r="AH135" s="2514"/>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113"/>
      <c r="DI135" s="113"/>
      <c r="DJ135" s="113"/>
      <c r="DK135" s="118"/>
      <c r="DL135" s="118"/>
      <c r="DM135" s="118"/>
      <c r="DN135" s="118"/>
      <c r="DO135" s="118"/>
      <c r="DP135" s="118"/>
      <c r="DQ135" s="118"/>
      <c r="DR135" s="118"/>
      <c r="DS135" s="118"/>
      <c r="DT135" s="118"/>
      <c r="DU135" s="118"/>
      <c r="DV135" s="118"/>
      <c r="DW135" s="118"/>
      <c r="DX135" s="118"/>
      <c r="DY135" s="118"/>
      <c r="DZ135" s="118"/>
      <c r="EA135" s="118"/>
      <c r="EB135" s="118"/>
      <c r="EC135" s="118"/>
      <c r="ED135" s="118"/>
      <c r="EE135" s="118"/>
      <c r="EF135" s="118"/>
      <c r="EG135" s="118"/>
      <c r="EH135" s="118"/>
      <c r="EI135" s="118"/>
      <c r="EJ135" s="118"/>
      <c r="EK135" s="118"/>
      <c r="EL135" s="118"/>
      <c r="EM135" s="118"/>
      <c r="EN135" s="118"/>
      <c r="EO135" s="118"/>
      <c r="EP135" s="118"/>
      <c r="EQ135" s="118"/>
      <c r="ER135" s="118"/>
      <c r="ES135" s="118"/>
      <c r="ET135" s="118"/>
      <c r="EU135" s="118"/>
      <c r="EV135" s="118"/>
      <c r="EW135" s="118"/>
      <c r="EX135" s="118"/>
      <c r="EY135" s="118"/>
      <c r="EZ135" s="118"/>
      <c r="FA135" s="118"/>
      <c r="FB135" s="118"/>
      <c r="FC135" s="118"/>
      <c r="FD135" s="118"/>
      <c r="FE135" s="118"/>
      <c r="FF135" s="118"/>
      <c r="FG135" s="118"/>
      <c r="FH135" s="118"/>
      <c r="FI135" s="180"/>
      <c r="FJ135" s="132"/>
      <c r="FK135" s="132"/>
      <c r="FL135" s="181">
        <f t="shared" ca="1" si="197"/>
        <v>6</v>
      </c>
      <c r="FM135" s="1340" t="str">
        <f t="shared" ca="1" si="259"/>
        <v>L1A Operational Manager</v>
      </c>
      <c r="FN135" s="1341">
        <f t="shared" ref="FN135:FN137" ca="1" si="278">OFFSET($DJ$26,0,FO135)</f>
        <v>0</v>
      </c>
      <c r="FO135" s="1342">
        <f t="shared" ca="1" si="260"/>
        <v>5</v>
      </c>
      <c r="FP135" s="1343">
        <f t="shared" ca="1" si="261"/>
        <v>0</v>
      </c>
      <c r="FQ135" s="1344">
        <f t="shared" si="262"/>
        <v>40</v>
      </c>
      <c r="FR135" s="1344">
        <f t="shared" si="263"/>
        <v>50</v>
      </c>
      <c r="FS135" s="1345">
        <f t="shared" ref="FS135:FS138" si="279">ROW($FS$140)-ROW()+1</f>
        <v>6</v>
      </c>
      <c r="FT135" s="1345"/>
      <c r="FU135" s="1346">
        <f t="shared" ca="1" si="219"/>
        <v>0</v>
      </c>
      <c r="FV135" s="1346"/>
      <c r="FW135" s="1346"/>
      <c r="FX135" s="1347"/>
      <c r="FY135" s="1348"/>
      <c r="FZ135" s="1348"/>
      <c r="GA135" s="1348"/>
      <c r="GB135" s="1349"/>
      <c r="GC135" s="1350"/>
      <c r="GD135" s="1348"/>
      <c r="GE135" s="1348"/>
      <c r="GF135" s="1348"/>
      <c r="GG135" s="1348"/>
      <c r="GH135" s="1348"/>
      <c r="GI135" s="1348"/>
      <c r="GJ135" s="1348"/>
      <c r="GK135" s="1348"/>
      <c r="GL135" s="1348"/>
      <c r="GM135" s="1348"/>
      <c r="GN135" s="3825" t="str">
        <f t="shared" ca="1" si="264"/>
        <v>Tipton Catherine</v>
      </c>
      <c r="GO135" s="3825"/>
      <c r="GP135" s="3825"/>
      <c r="GQ135" s="3826"/>
      <c r="GR135" s="3675"/>
      <c r="GS135" s="3676"/>
      <c r="GT135" s="1756">
        <f t="shared" ca="1" si="265"/>
        <v>0</v>
      </c>
      <c r="GU135" s="1757">
        <f t="shared" ca="1" si="265"/>
        <v>0</v>
      </c>
      <c r="GV135" s="1757">
        <f t="shared" ca="1" si="265"/>
        <v>0</v>
      </c>
      <c r="GW135" s="1757">
        <f t="shared" ca="1" si="265"/>
        <v>0</v>
      </c>
      <c r="GX135" s="1757">
        <f t="shared" ca="1" si="265"/>
        <v>0</v>
      </c>
      <c r="GY135" s="1757">
        <f t="shared" ca="1" si="265"/>
        <v>0</v>
      </c>
      <c r="GZ135" s="1757">
        <f t="shared" ca="1" si="265"/>
        <v>0</v>
      </c>
      <c r="HA135" s="1757">
        <f t="shared" ca="1" si="265"/>
        <v>0</v>
      </c>
      <c r="HB135" s="1757">
        <f t="shared" ca="1" si="265"/>
        <v>0</v>
      </c>
      <c r="HC135" s="1757">
        <f t="shared" ca="1" si="265"/>
        <v>0</v>
      </c>
      <c r="HD135" s="1757">
        <f t="shared" ca="1" si="266"/>
        <v>0</v>
      </c>
      <c r="HE135" s="1757">
        <f t="shared" ca="1" si="266"/>
        <v>0</v>
      </c>
      <c r="HF135" s="1757">
        <f t="shared" ca="1" si="266"/>
        <v>0</v>
      </c>
      <c r="HG135" s="1757">
        <f t="shared" ca="1" si="266"/>
        <v>0</v>
      </c>
      <c r="HH135" s="1757">
        <f t="shared" ca="1" si="266"/>
        <v>0</v>
      </c>
      <c r="HI135" s="1757">
        <f t="shared" ca="1" si="266"/>
        <v>0</v>
      </c>
      <c r="HJ135" s="1757">
        <f t="shared" ca="1" si="266"/>
        <v>0</v>
      </c>
      <c r="HK135" s="1757">
        <f t="shared" ca="1" si="266"/>
        <v>0</v>
      </c>
      <c r="HL135" s="1757">
        <f t="shared" ca="1" si="266"/>
        <v>0</v>
      </c>
      <c r="HM135" s="1757">
        <f t="shared" ca="1" si="266"/>
        <v>0</v>
      </c>
      <c r="HN135" s="1757">
        <f t="shared" ca="1" si="267"/>
        <v>0</v>
      </c>
      <c r="HO135" s="1757">
        <f t="shared" ca="1" si="267"/>
        <v>0</v>
      </c>
      <c r="HP135" s="1757">
        <f t="shared" ca="1" si="267"/>
        <v>0</v>
      </c>
      <c r="HQ135" s="1757">
        <f t="shared" ca="1" si="267"/>
        <v>0</v>
      </c>
      <c r="HR135" s="1757">
        <f t="shared" ca="1" si="267"/>
        <v>0</v>
      </c>
      <c r="HS135" s="1757">
        <f t="shared" ca="1" si="267"/>
        <v>0</v>
      </c>
      <c r="HT135" s="1757">
        <f t="shared" ca="1" si="267"/>
        <v>0</v>
      </c>
      <c r="HU135" s="1757">
        <f t="shared" ca="1" si="267"/>
        <v>0</v>
      </c>
      <c r="HV135" s="1757">
        <f t="shared" ca="1" si="267"/>
        <v>0</v>
      </c>
      <c r="HW135" s="1757">
        <f t="shared" ca="1" si="267"/>
        <v>0</v>
      </c>
      <c r="HX135" s="1757">
        <f t="shared" ca="1" si="268"/>
        <v>0</v>
      </c>
      <c r="HY135" s="1757">
        <f t="shared" ca="1" si="268"/>
        <v>0</v>
      </c>
      <c r="HZ135" s="1757">
        <f t="shared" ca="1" si="268"/>
        <v>0</v>
      </c>
      <c r="IA135" s="1757">
        <f t="shared" ca="1" si="268"/>
        <v>0</v>
      </c>
      <c r="IB135" s="1757">
        <f t="shared" ca="1" si="268"/>
        <v>0</v>
      </c>
      <c r="IC135" s="1757">
        <f t="shared" ca="1" si="268"/>
        <v>0</v>
      </c>
      <c r="ID135" s="1757">
        <f t="shared" ca="1" si="268"/>
        <v>0</v>
      </c>
      <c r="IE135" s="1757">
        <f t="shared" ca="1" si="268"/>
        <v>0</v>
      </c>
      <c r="IF135" s="1757">
        <f t="shared" ca="1" si="268"/>
        <v>0</v>
      </c>
      <c r="IG135" s="1757">
        <f t="shared" ca="1" si="268"/>
        <v>0</v>
      </c>
      <c r="IH135" s="1757">
        <f t="shared" ca="1" si="269"/>
        <v>0</v>
      </c>
      <c r="II135" s="1757">
        <f t="shared" ca="1" si="269"/>
        <v>0</v>
      </c>
      <c r="IJ135" s="1757">
        <f t="shared" ca="1" si="269"/>
        <v>0</v>
      </c>
      <c r="IK135" s="1757">
        <f t="shared" ca="1" si="269"/>
        <v>0</v>
      </c>
      <c r="IL135" s="1757">
        <f t="shared" ca="1" si="269"/>
        <v>0</v>
      </c>
      <c r="IM135" s="1757">
        <f t="shared" ca="1" si="269"/>
        <v>0</v>
      </c>
      <c r="IN135" s="1757">
        <f t="shared" ca="1" si="269"/>
        <v>0</v>
      </c>
      <c r="IO135" s="1757">
        <f t="shared" ca="1" si="269"/>
        <v>0</v>
      </c>
      <c r="IP135" s="1757">
        <f t="shared" ca="1" si="269"/>
        <v>0</v>
      </c>
      <c r="IQ135" s="1757">
        <f t="shared" ca="1" si="269"/>
        <v>0</v>
      </c>
      <c r="IR135" s="1757">
        <f t="shared" ca="1" si="270"/>
        <v>0</v>
      </c>
      <c r="IS135" s="1757">
        <f t="shared" ca="1" si="270"/>
        <v>0</v>
      </c>
      <c r="IT135" s="1757">
        <f t="shared" ca="1" si="270"/>
        <v>0</v>
      </c>
      <c r="IU135" s="1757">
        <f t="shared" ca="1" si="270"/>
        <v>0</v>
      </c>
      <c r="IV135" s="1757">
        <f t="shared" ca="1" si="270"/>
        <v>0</v>
      </c>
      <c r="IW135" s="1757">
        <f t="shared" ca="1" si="270"/>
        <v>0</v>
      </c>
      <c r="IX135" s="1757">
        <f t="shared" ca="1" si="270"/>
        <v>0</v>
      </c>
      <c r="IY135" s="1757">
        <f t="shared" ca="1" si="270"/>
        <v>0</v>
      </c>
      <c r="IZ135" s="1757">
        <f t="shared" ca="1" si="270"/>
        <v>0</v>
      </c>
      <c r="JA135" s="1757">
        <f t="shared" ca="1" si="270"/>
        <v>0</v>
      </c>
      <c r="JB135" s="1757">
        <f t="shared" ca="1" si="271"/>
        <v>0</v>
      </c>
      <c r="JC135" s="1757">
        <f t="shared" ca="1" si="271"/>
        <v>0</v>
      </c>
      <c r="JD135" s="1757">
        <f t="shared" ca="1" si="271"/>
        <v>0</v>
      </c>
      <c r="JE135" s="1757">
        <f t="shared" ca="1" si="271"/>
        <v>0</v>
      </c>
      <c r="JF135" s="1757">
        <f t="shared" ca="1" si="271"/>
        <v>0</v>
      </c>
      <c r="JG135" s="1757">
        <f t="shared" ca="1" si="271"/>
        <v>0</v>
      </c>
      <c r="JH135" s="1757">
        <f t="shared" ca="1" si="271"/>
        <v>0</v>
      </c>
      <c r="JI135" s="1757">
        <f t="shared" ca="1" si="271"/>
        <v>0</v>
      </c>
      <c r="JJ135" s="1757">
        <f t="shared" ca="1" si="271"/>
        <v>0</v>
      </c>
      <c r="JK135" s="1757">
        <f t="shared" ca="1" si="271"/>
        <v>0</v>
      </c>
      <c r="JL135" s="1757">
        <f t="shared" ca="1" si="272"/>
        <v>0</v>
      </c>
      <c r="JM135" s="1757">
        <f t="shared" ca="1" si="272"/>
        <v>0</v>
      </c>
      <c r="JN135" s="1757">
        <f t="shared" ca="1" si="272"/>
        <v>0</v>
      </c>
      <c r="JO135" s="1757">
        <f t="shared" ca="1" si="272"/>
        <v>0</v>
      </c>
      <c r="JP135" s="1757">
        <f t="shared" ca="1" si="272"/>
        <v>0</v>
      </c>
      <c r="JQ135" s="1757">
        <f t="shared" ca="1" si="272"/>
        <v>0</v>
      </c>
      <c r="JR135" s="1757">
        <f t="shared" ca="1" si="272"/>
        <v>0</v>
      </c>
      <c r="JS135" s="1757">
        <f t="shared" ca="1" si="272"/>
        <v>0</v>
      </c>
      <c r="JT135" s="1757">
        <f t="shared" ca="1" si="272"/>
        <v>0</v>
      </c>
      <c r="JU135" s="1757">
        <f t="shared" ca="1" si="272"/>
        <v>0</v>
      </c>
      <c r="JV135" s="1757">
        <f t="shared" ca="1" si="273"/>
        <v>0</v>
      </c>
      <c r="JW135" s="1757">
        <f t="shared" ca="1" si="273"/>
        <v>0</v>
      </c>
      <c r="JX135" s="1757">
        <f t="shared" ca="1" si="273"/>
        <v>0</v>
      </c>
      <c r="JY135" s="1757">
        <f t="shared" ca="1" si="273"/>
        <v>0</v>
      </c>
      <c r="JZ135" s="1757">
        <f t="shared" ca="1" si="273"/>
        <v>0</v>
      </c>
      <c r="KA135" s="1757">
        <f t="shared" ca="1" si="273"/>
        <v>0</v>
      </c>
      <c r="KB135" s="1757">
        <f t="shared" ca="1" si="273"/>
        <v>0</v>
      </c>
      <c r="KC135" s="1757">
        <f t="shared" ca="1" si="273"/>
        <v>0</v>
      </c>
      <c r="KD135" s="1757">
        <f t="shared" ca="1" si="273"/>
        <v>0</v>
      </c>
      <c r="KE135" s="1757">
        <f t="shared" ca="1" si="273"/>
        <v>0</v>
      </c>
      <c r="KF135" s="1757">
        <f t="shared" ca="1" si="274"/>
        <v>0</v>
      </c>
      <c r="KG135" s="1757">
        <f t="shared" ca="1" si="274"/>
        <v>0</v>
      </c>
      <c r="KH135" s="1757">
        <f t="shared" ca="1" si="274"/>
        <v>0</v>
      </c>
      <c r="KI135" s="1757">
        <f t="shared" ca="1" si="274"/>
        <v>0</v>
      </c>
      <c r="KJ135" s="1757">
        <f t="shared" ca="1" si="274"/>
        <v>0</v>
      </c>
      <c r="KK135" s="1757">
        <f t="shared" ca="1" si="274"/>
        <v>0</v>
      </c>
      <c r="KL135" s="1757">
        <f t="shared" ca="1" si="274"/>
        <v>0</v>
      </c>
      <c r="KM135" s="1757">
        <f t="shared" ca="1" si="274"/>
        <v>0</v>
      </c>
      <c r="KN135" s="1757">
        <f t="shared" ca="1" si="274"/>
        <v>0</v>
      </c>
      <c r="KO135" s="1757">
        <f t="shared" ca="1" si="274"/>
        <v>0</v>
      </c>
      <c r="KP135" s="1757">
        <f t="shared" ca="1" si="275"/>
        <v>0</v>
      </c>
      <c r="KQ135" s="1757">
        <f t="shared" ca="1" si="275"/>
        <v>0</v>
      </c>
      <c r="KR135" s="1757">
        <f t="shared" ca="1" si="275"/>
        <v>0</v>
      </c>
      <c r="KS135" s="1757">
        <f t="shared" ca="1" si="275"/>
        <v>0</v>
      </c>
      <c r="KT135" s="1757">
        <f t="shared" ca="1" si="275"/>
        <v>0</v>
      </c>
      <c r="KU135" s="1757">
        <f t="shared" ca="1" si="275"/>
        <v>0</v>
      </c>
      <c r="KV135" s="1757">
        <f t="shared" ca="1" si="275"/>
        <v>0</v>
      </c>
      <c r="KW135" s="1757">
        <f t="shared" ca="1" si="275"/>
        <v>0</v>
      </c>
      <c r="KX135" s="1757">
        <f t="shared" ca="1" si="275"/>
        <v>0</v>
      </c>
      <c r="KY135" s="1757">
        <f t="shared" ca="1" si="275"/>
        <v>0</v>
      </c>
      <c r="KZ135" s="1757">
        <f t="shared" ca="1" si="276"/>
        <v>0</v>
      </c>
      <c r="LA135" s="1757">
        <f t="shared" ca="1" si="276"/>
        <v>0</v>
      </c>
      <c r="LB135" s="1757">
        <f t="shared" ca="1" si="276"/>
        <v>0</v>
      </c>
      <c r="LC135" s="1757">
        <f t="shared" ca="1" si="276"/>
        <v>0</v>
      </c>
      <c r="LD135" s="1757">
        <f t="shared" ca="1" si="276"/>
        <v>0</v>
      </c>
      <c r="LE135" s="1757">
        <f t="shared" ca="1" si="276"/>
        <v>0</v>
      </c>
      <c r="LF135" s="1757">
        <f t="shared" ca="1" si="276"/>
        <v>0</v>
      </c>
      <c r="LG135" s="1757">
        <f t="shared" ca="1" si="276"/>
        <v>0</v>
      </c>
      <c r="LH135" s="1757">
        <f t="shared" ca="1" si="276"/>
        <v>0</v>
      </c>
      <c r="LI135" s="1757">
        <f t="shared" ca="1" si="276"/>
        <v>0</v>
      </c>
      <c r="LJ135" s="1757">
        <f t="shared" ca="1" si="277"/>
        <v>0</v>
      </c>
      <c r="LK135" s="1757">
        <f t="shared" ca="1" si="277"/>
        <v>0</v>
      </c>
      <c r="LL135" s="1757">
        <f t="shared" ca="1" si="277"/>
        <v>0</v>
      </c>
      <c r="LM135" s="1757">
        <f t="shared" ca="1" si="277"/>
        <v>0</v>
      </c>
      <c r="LN135" s="1757">
        <f t="shared" ca="1" si="277"/>
        <v>0</v>
      </c>
      <c r="LO135" s="1757">
        <f t="shared" ca="1" si="277"/>
        <v>0</v>
      </c>
      <c r="LP135" s="1758">
        <f t="shared" ca="1" si="277"/>
        <v>0</v>
      </c>
      <c r="LQ135" s="604"/>
    </row>
    <row r="136" spans="1:329" ht="12.75" customHeight="1" x14ac:dyDescent="0.3">
      <c r="A136" s="279"/>
      <c r="B136" s="41"/>
      <c r="C136" s="82"/>
      <c r="D136" s="41"/>
      <c r="E136" s="9"/>
      <c r="F136" s="9"/>
      <c r="G136" s="9"/>
      <c r="H136" s="10"/>
      <c r="I136" s="10"/>
      <c r="J136" s="10"/>
      <c r="K136" s="10"/>
      <c r="L136" s="10"/>
      <c r="M136" s="10"/>
      <c r="N136" s="9"/>
      <c r="O136" s="9"/>
      <c r="P136" s="44"/>
      <c r="Q136" s="44"/>
      <c r="R136" s="9"/>
      <c r="S136" s="9"/>
      <c r="T136" s="9"/>
      <c r="U136" s="9"/>
      <c r="V136" s="9"/>
      <c r="W136" s="9"/>
      <c r="X136" s="9"/>
      <c r="Y136" s="9"/>
      <c r="Z136" s="9"/>
      <c r="AA136" s="9"/>
      <c r="AB136" s="9"/>
      <c r="AC136" s="9"/>
      <c r="AD136" s="9"/>
      <c r="AE136" s="9"/>
      <c r="AF136" s="9"/>
      <c r="AG136" s="9"/>
      <c r="AH136" s="2514"/>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113"/>
      <c r="DI136" s="113"/>
      <c r="DJ136" s="113"/>
      <c r="DK136" s="118"/>
      <c r="DL136" s="118"/>
      <c r="DM136" s="118"/>
      <c r="DN136" s="118"/>
      <c r="DO136" s="118"/>
      <c r="DP136" s="118"/>
      <c r="DQ136" s="118"/>
      <c r="DR136" s="118"/>
      <c r="DS136" s="118"/>
      <c r="DT136" s="118"/>
      <c r="DU136" s="118"/>
      <c r="DV136" s="118"/>
      <c r="DW136" s="118"/>
      <c r="DX136" s="118"/>
      <c r="DY136" s="118"/>
      <c r="DZ136" s="118"/>
      <c r="EA136" s="118"/>
      <c r="EB136" s="118"/>
      <c r="EC136" s="118"/>
      <c r="ED136" s="118"/>
      <c r="EE136" s="118"/>
      <c r="EF136" s="118"/>
      <c r="EG136" s="118"/>
      <c r="EH136" s="118"/>
      <c r="EI136" s="118"/>
      <c r="EJ136" s="118"/>
      <c r="EK136" s="118"/>
      <c r="EL136" s="118"/>
      <c r="EM136" s="118"/>
      <c r="EN136" s="118"/>
      <c r="EO136" s="118"/>
      <c r="EP136" s="118"/>
      <c r="EQ136" s="118"/>
      <c r="ER136" s="118"/>
      <c r="ES136" s="118"/>
      <c r="ET136" s="118"/>
      <c r="EU136" s="118"/>
      <c r="EV136" s="118"/>
      <c r="EW136" s="118"/>
      <c r="EX136" s="118"/>
      <c r="EY136" s="118"/>
      <c r="EZ136" s="118"/>
      <c r="FA136" s="118"/>
      <c r="FB136" s="118"/>
      <c r="FC136" s="118"/>
      <c r="FD136" s="118"/>
      <c r="FE136" s="118"/>
      <c r="FF136" s="118"/>
      <c r="FG136" s="118"/>
      <c r="FH136" s="118"/>
      <c r="FI136" s="180"/>
      <c r="FJ136" s="132"/>
      <c r="FK136" s="132"/>
      <c r="FL136" s="181">
        <f t="shared" ca="1" si="197"/>
        <v>5</v>
      </c>
      <c r="FM136" s="1340" t="str">
        <f t="shared" ca="1" si="259"/>
        <v>L2B Project Manager</v>
      </c>
      <c r="FN136" s="1341">
        <f t="shared" ca="1" si="278"/>
        <v>0</v>
      </c>
      <c r="FO136" s="1342">
        <f t="shared" ca="1" si="260"/>
        <v>4</v>
      </c>
      <c r="FP136" s="1343">
        <f t="shared" ca="1" si="261"/>
        <v>0</v>
      </c>
      <c r="FQ136" s="1344">
        <f t="shared" si="262"/>
        <v>40</v>
      </c>
      <c r="FR136" s="1344">
        <f t="shared" si="263"/>
        <v>50</v>
      </c>
      <c r="FS136" s="1345">
        <f t="shared" si="279"/>
        <v>5</v>
      </c>
      <c r="FT136" s="1345"/>
      <c r="FU136" s="1346">
        <f t="shared" ca="1" si="219"/>
        <v>6</v>
      </c>
      <c r="FV136" s="1346"/>
      <c r="FW136" s="1346"/>
      <c r="FX136" s="1347"/>
      <c r="FY136" s="1348"/>
      <c r="FZ136" s="1348"/>
      <c r="GA136" s="1348"/>
      <c r="GB136" s="1349"/>
      <c r="GC136" s="1350"/>
      <c r="GD136" s="1348"/>
      <c r="GE136" s="1348"/>
      <c r="GF136" s="1348"/>
      <c r="GG136" s="1348"/>
      <c r="GH136" s="1348"/>
      <c r="GI136" s="1348"/>
      <c r="GJ136" s="1348"/>
      <c r="GK136" s="1348"/>
      <c r="GL136" s="1348"/>
      <c r="GM136" s="1348"/>
      <c r="GN136" s="3825" t="str">
        <f t="shared" ca="1" si="264"/>
        <v>Thompson Vicky</v>
      </c>
      <c r="GO136" s="3825"/>
      <c r="GP136" s="3825"/>
      <c r="GQ136" s="3826"/>
      <c r="GR136" s="3675"/>
      <c r="GS136" s="3676"/>
      <c r="GT136" s="1756">
        <f t="shared" ca="1" si="265"/>
        <v>0.5</v>
      </c>
      <c r="GU136" s="1757">
        <f t="shared" ca="1" si="265"/>
        <v>0.5</v>
      </c>
      <c r="GV136" s="1757">
        <f t="shared" ca="1" si="265"/>
        <v>0.5</v>
      </c>
      <c r="GW136" s="1757">
        <f t="shared" ca="1" si="265"/>
        <v>0.5</v>
      </c>
      <c r="GX136" s="1757">
        <f t="shared" ca="1" si="265"/>
        <v>0.5</v>
      </c>
      <c r="GY136" s="1757">
        <f t="shared" ca="1" si="265"/>
        <v>0.5</v>
      </c>
      <c r="GZ136" s="1757">
        <f t="shared" ca="1" si="265"/>
        <v>0.5</v>
      </c>
      <c r="HA136" s="1757">
        <f t="shared" ca="1" si="265"/>
        <v>0.5</v>
      </c>
      <c r="HB136" s="1757">
        <f t="shared" ca="1" si="265"/>
        <v>0.5</v>
      </c>
      <c r="HC136" s="1757">
        <f t="shared" ca="1" si="265"/>
        <v>0.5</v>
      </c>
      <c r="HD136" s="1757">
        <f t="shared" ca="1" si="266"/>
        <v>0.5</v>
      </c>
      <c r="HE136" s="1757">
        <f t="shared" ca="1" si="266"/>
        <v>0.5</v>
      </c>
      <c r="HF136" s="1757">
        <f t="shared" ca="1" si="266"/>
        <v>0</v>
      </c>
      <c r="HG136" s="1757">
        <f t="shared" ca="1" si="266"/>
        <v>0</v>
      </c>
      <c r="HH136" s="1757">
        <f t="shared" ca="1" si="266"/>
        <v>0</v>
      </c>
      <c r="HI136" s="1757">
        <f t="shared" ca="1" si="266"/>
        <v>0</v>
      </c>
      <c r="HJ136" s="1757">
        <f t="shared" ca="1" si="266"/>
        <v>0</v>
      </c>
      <c r="HK136" s="1757">
        <f t="shared" ca="1" si="266"/>
        <v>0</v>
      </c>
      <c r="HL136" s="1757">
        <f t="shared" ca="1" si="266"/>
        <v>0</v>
      </c>
      <c r="HM136" s="1757">
        <f t="shared" ca="1" si="266"/>
        <v>0</v>
      </c>
      <c r="HN136" s="1757">
        <f t="shared" ca="1" si="267"/>
        <v>0</v>
      </c>
      <c r="HO136" s="1757">
        <f t="shared" ca="1" si="267"/>
        <v>0</v>
      </c>
      <c r="HP136" s="1757">
        <f t="shared" ca="1" si="267"/>
        <v>0</v>
      </c>
      <c r="HQ136" s="1757">
        <f t="shared" ca="1" si="267"/>
        <v>0</v>
      </c>
      <c r="HR136" s="1757">
        <f t="shared" ca="1" si="267"/>
        <v>0</v>
      </c>
      <c r="HS136" s="1757">
        <f t="shared" ca="1" si="267"/>
        <v>0</v>
      </c>
      <c r="HT136" s="1757">
        <f t="shared" ca="1" si="267"/>
        <v>0</v>
      </c>
      <c r="HU136" s="1757">
        <f t="shared" ca="1" si="267"/>
        <v>0</v>
      </c>
      <c r="HV136" s="1757">
        <f t="shared" ca="1" si="267"/>
        <v>0</v>
      </c>
      <c r="HW136" s="1757">
        <f t="shared" ca="1" si="267"/>
        <v>0</v>
      </c>
      <c r="HX136" s="1757">
        <f t="shared" ca="1" si="268"/>
        <v>0</v>
      </c>
      <c r="HY136" s="1757">
        <f t="shared" ca="1" si="268"/>
        <v>0</v>
      </c>
      <c r="HZ136" s="1757">
        <f t="shared" ca="1" si="268"/>
        <v>0</v>
      </c>
      <c r="IA136" s="1757">
        <f t="shared" ca="1" si="268"/>
        <v>0</v>
      </c>
      <c r="IB136" s="1757">
        <f t="shared" ca="1" si="268"/>
        <v>0</v>
      </c>
      <c r="IC136" s="1757">
        <f t="shared" ca="1" si="268"/>
        <v>0</v>
      </c>
      <c r="ID136" s="1757">
        <f t="shared" ca="1" si="268"/>
        <v>0</v>
      </c>
      <c r="IE136" s="1757">
        <f t="shared" ca="1" si="268"/>
        <v>0</v>
      </c>
      <c r="IF136" s="1757">
        <f t="shared" ca="1" si="268"/>
        <v>0</v>
      </c>
      <c r="IG136" s="1757">
        <f t="shared" ca="1" si="268"/>
        <v>0</v>
      </c>
      <c r="IH136" s="1757">
        <f t="shared" ca="1" si="269"/>
        <v>0</v>
      </c>
      <c r="II136" s="1757">
        <f t="shared" ca="1" si="269"/>
        <v>0</v>
      </c>
      <c r="IJ136" s="1757">
        <f t="shared" ca="1" si="269"/>
        <v>0</v>
      </c>
      <c r="IK136" s="1757">
        <f t="shared" ca="1" si="269"/>
        <v>0</v>
      </c>
      <c r="IL136" s="1757">
        <f t="shared" ca="1" si="269"/>
        <v>0</v>
      </c>
      <c r="IM136" s="1757">
        <f t="shared" ca="1" si="269"/>
        <v>0</v>
      </c>
      <c r="IN136" s="1757">
        <f t="shared" ca="1" si="269"/>
        <v>0</v>
      </c>
      <c r="IO136" s="1757">
        <f t="shared" ca="1" si="269"/>
        <v>0</v>
      </c>
      <c r="IP136" s="1757">
        <f t="shared" ca="1" si="269"/>
        <v>0</v>
      </c>
      <c r="IQ136" s="1757">
        <f t="shared" ca="1" si="269"/>
        <v>0</v>
      </c>
      <c r="IR136" s="1757">
        <f t="shared" ca="1" si="270"/>
        <v>0</v>
      </c>
      <c r="IS136" s="1757">
        <f t="shared" ca="1" si="270"/>
        <v>0</v>
      </c>
      <c r="IT136" s="1757">
        <f t="shared" ca="1" si="270"/>
        <v>0</v>
      </c>
      <c r="IU136" s="1757">
        <f t="shared" ca="1" si="270"/>
        <v>0</v>
      </c>
      <c r="IV136" s="1757">
        <f t="shared" ca="1" si="270"/>
        <v>0</v>
      </c>
      <c r="IW136" s="1757">
        <f t="shared" ca="1" si="270"/>
        <v>0</v>
      </c>
      <c r="IX136" s="1757">
        <f t="shared" ca="1" si="270"/>
        <v>0</v>
      </c>
      <c r="IY136" s="1757">
        <f t="shared" ca="1" si="270"/>
        <v>0</v>
      </c>
      <c r="IZ136" s="1757">
        <f t="shared" ca="1" si="270"/>
        <v>0</v>
      </c>
      <c r="JA136" s="1757">
        <f t="shared" ca="1" si="270"/>
        <v>0</v>
      </c>
      <c r="JB136" s="1757">
        <f t="shared" ca="1" si="271"/>
        <v>0</v>
      </c>
      <c r="JC136" s="1757">
        <f t="shared" ca="1" si="271"/>
        <v>0</v>
      </c>
      <c r="JD136" s="1757">
        <f t="shared" ca="1" si="271"/>
        <v>0</v>
      </c>
      <c r="JE136" s="1757">
        <f t="shared" ca="1" si="271"/>
        <v>0</v>
      </c>
      <c r="JF136" s="1757">
        <f t="shared" ca="1" si="271"/>
        <v>0</v>
      </c>
      <c r="JG136" s="1757">
        <f t="shared" ca="1" si="271"/>
        <v>0</v>
      </c>
      <c r="JH136" s="1757">
        <f t="shared" ca="1" si="271"/>
        <v>0</v>
      </c>
      <c r="JI136" s="1757">
        <f t="shared" ca="1" si="271"/>
        <v>0</v>
      </c>
      <c r="JJ136" s="1757">
        <f t="shared" ca="1" si="271"/>
        <v>0</v>
      </c>
      <c r="JK136" s="1757">
        <f t="shared" ca="1" si="271"/>
        <v>0</v>
      </c>
      <c r="JL136" s="1757">
        <f t="shared" ca="1" si="272"/>
        <v>0</v>
      </c>
      <c r="JM136" s="1757">
        <f t="shared" ca="1" si="272"/>
        <v>0</v>
      </c>
      <c r="JN136" s="1757">
        <f t="shared" ca="1" si="272"/>
        <v>0</v>
      </c>
      <c r="JO136" s="1757">
        <f t="shared" ca="1" si="272"/>
        <v>0</v>
      </c>
      <c r="JP136" s="1757">
        <f t="shared" ca="1" si="272"/>
        <v>0</v>
      </c>
      <c r="JQ136" s="1757">
        <f t="shared" ca="1" si="272"/>
        <v>0</v>
      </c>
      <c r="JR136" s="1757">
        <f t="shared" ca="1" si="272"/>
        <v>0</v>
      </c>
      <c r="JS136" s="1757">
        <f t="shared" ca="1" si="272"/>
        <v>0</v>
      </c>
      <c r="JT136" s="1757">
        <f t="shared" ca="1" si="272"/>
        <v>0</v>
      </c>
      <c r="JU136" s="1757">
        <f t="shared" ca="1" si="272"/>
        <v>0</v>
      </c>
      <c r="JV136" s="1757">
        <f t="shared" ca="1" si="273"/>
        <v>0</v>
      </c>
      <c r="JW136" s="1757">
        <f t="shared" ca="1" si="273"/>
        <v>0</v>
      </c>
      <c r="JX136" s="1757">
        <f t="shared" ca="1" si="273"/>
        <v>0</v>
      </c>
      <c r="JY136" s="1757">
        <f t="shared" ca="1" si="273"/>
        <v>0</v>
      </c>
      <c r="JZ136" s="1757">
        <f t="shared" ca="1" si="273"/>
        <v>0</v>
      </c>
      <c r="KA136" s="1757">
        <f t="shared" ca="1" si="273"/>
        <v>0</v>
      </c>
      <c r="KB136" s="1757">
        <f t="shared" ca="1" si="273"/>
        <v>0</v>
      </c>
      <c r="KC136" s="1757">
        <f t="shared" ca="1" si="273"/>
        <v>0</v>
      </c>
      <c r="KD136" s="1757">
        <f t="shared" ca="1" si="273"/>
        <v>0</v>
      </c>
      <c r="KE136" s="1757">
        <f t="shared" ca="1" si="273"/>
        <v>0</v>
      </c>
      <c r="KF136" s="1757">
        <f t="shared" ca="1" si="274"/>
        <v>0</v>
      </c>
      <c r="KG136" s="1757">
        <f t="shared" ca="1" si="274"/>
        <v>0</v>
      </c>
      <c r="KH136" s="1757">
        <f t="shared" ca="1" si="274"/>
        <v>0</v>
      </c>
      <c r="KI136" s="1757">
        <f t="shared" ca="1" si="274"/>
        <v>0</v>
      </c>
      <c r="KJ136" s="1757">
        <f t="shared" ca="1" si="274"/>
        <v>0</v>
      </c>
      <c r="KK136" s="1757">
        <f t="shared" ca="1" si="274"/>
        <v>0</v>
      </c>
      <c r="KL136" s="1757">
        <f t="shared" ca="1" si="274"/>
        <v>0</v>
      </c>
      <c r="KM136" s="1757">
        <f t="shared" ca="1" si="274"/>
        <v>0</v>
      </c>
      <c r="KN136" s="1757">
        <f t="shared" ca="1" si="274"/>
        <v>0</v>
      </c>
      <c r="KO136" s="1757">
        <f t="shared" ca="1" si="274"/>
        <v>0</v>
      </c>
      <c r="KP136" s="1757">
        <f t="shared" ca="1" si="275"/>
        <v>0</v>
      </c>
      <c r="KQ136" s="1757">
        <f t="shared" ca="1" si="275"/>
        <v>0</v>
      </c>
      <c r="KR136" s="1757">
        <f t="shared" ca="1" si="275"/>
        <v>0</v>
      </c>
      <c r="KS136" s="1757">
        <f t="shared" ca="1" si="275"/>
        <v>0</v>
      </c>
      <c r="KT136" s="1757">
        <f t="shared" ca="1" si="275"/>
        <v>0</v>
      </c>
      <c r="KU136" s="1757">
        <f t="shared" ca="1" si="275"/>
        <v>0</v>
      </c>
      <c r="KV136" s="1757">
        <f t="shared" ca="1" si="275"/>
        <v>0</v>
      </c>
      <c r="KW136" s="1757">
        <f t="shared" ca="1" si="275"/>
        <v>0</v>
      </c>
      <c r="KX136" s="1757">
        <f t="shared" ca="1" si="275"/>
        <v>0</v>
      </c>
      <c r="KY136" s="1757">
        <f t="shared" ca="1" si="275"/>
        <v>0</v>
      </c>
      <c r="KZ136" s="1757">
        <f t="shared" ca="1" si="276"/>
        <v>0</v>
      </c>
      <c r="LA136" s="1757">
        <f t="shared" ca="1" si="276"/>
        <v>0</v>
      </c>
      <c r="LB136" s="1757">
        <f t="shared" ca="1" si="276"/>
        <v>0</v>
      </c>
      <c r="LC136" s="1757">
        <f t="shared" ca="1" si="276"/>
        <v>0</v>
      </c>
      <c r="LD136" s="1757">
        <f t="shared" ca="1" si="276"/>
        <v>0</v>
      </c>
      <c r="LE136" s="1757">
        <f t="shared" ca="1" si="276"/>
        <v>0</v>
      </c>
      <c r="LF136" s="1757">
        <f t="shared" ca="1" si="276"/>
        <v>0</v>
      </c>
      <c r="LG136" s="1757">
        <f t="shared" ca="1" si="276"/>
        <v>0</v>
      </c>
      <c r="LH136" s="1757">
        <f t="shared" ca="1" si="276"/>
        <v>0</v>
      </c>
      <c r="LI136" s="1757">
        <f t="shared" ca="1" si="276"/>
        <v>0</v>
      </c>
      <c r="LJ136" s="1757">
        <f t="shared" ca="1" si="277"/>
        <v>0</v>
      </c>
      <c r="LK136" s="1757">
        <f t="shared" ca="1" si="277"/>
        <v>0</v>
      </c>
      <c r="LL136" s="1757">
        <f t="shared" ca="1" si="277"/>
        <v>0</v>
      </c>
      <c r="LM136" s="1757">
        <f t="shared" ca="1" si="277"/>
        <v>0</v>
      </c>
      <c r="LN136" s="1757">
        <f t="shared" ca="1" si="277"/>
        <v>0</v>
      </c>
      <c r="LO136" s="1757">
        <f t="shared" ca="1" si="277"/>
        <v>0</v>
      </c>
      <c r="LP136" s="1758">
        <f t="shared" ca="1" si="277"/>
        <v>0</v>
      </c>
      <c r="LQ136" s="604"/>
    </row>
    <row r="137" spans="1:329" ht="12.75" customHeight="1" x14ac:dyDescent="0.3">
      <c r="A137" s="279"/>
      <c r="B137" s="41"/>
      <c r="C137" s="82"/>
      <c r="D137" s="41"/>
      <c r="E137" s="9"/>
      <c r="F137" s="9"/>
      <c r="G137" s="9"/>
      <c r="H137" s="10"/>
      <c r="I137" s="10"/>
      <c r="J137" s="10"/>
      <c r="K137" s="10"/>
      <c r="L137" s="10"/>
      <c r="M137" s="10"/>
      <c r="N137" s="9"/>
      <c r="O137" s="9"/>
      <c r="P137" s="44"/>
      <c r="Q137" s="44"/>
      <c r="R137" s="9"/>
      <c r="S137" s="9"/>
      <c r="T137" s="9"/>
      <c r="U137" s="9"/>
      <c r="V137" s="9"/>
      <c r="W137" s="9"/>
      <c r="X137" s="9"/>
      <c r="Y137" s="9"/>
      <c r="Z137" s="9"/>
      <c r="AA137" s="9"/>
      <c r="AB137" s="9"/>
      <c r="AC137" s="9"/>
      <c r="AD137" s="9"/>
      <c r="AE137" s="9"/>
      <c r="AF137" s="9"/>
      <c r="AG137" s="9"/>
      <c r="AH137" s="2514"/>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113"/>
      <c r="DI137" s="113"/>
      <c r="DJ137" s="113"/>
      <c r="DK137" s="118"/>
      <c r="DL137" s="118"/>
      <c r="DM137" s="118"/>
      <c r="DN137" s="118"/>
      <c r="DO137" s="118"/>
      <c r="DP137" s="118"/>
      <c r="DQ137" s="118"/>
      <c r="DR137" s="118"/>
      <c r="DS137" s="118"/>
      <c r="DT137" s="118"/>
      <c r="DU137" s="118"/>
      <c r="DV137" s="118"/>
      <c r="DW137" s="118"/>
      <c r="DX137" s="118"/>
      <c r="DY137" s="118"/>
      <c r="DZ137" s="118"/>
      <c r="EA137" s="118"/>
      <c r="EB137" s="118"/>
      <c r="EC137" s="118"/>
      <c r="ED137" s="118"/>
      <c r="EE137" s="118"/>
      <c r="EF137" s="118"/>
      <c r="EG137" s="118"/>
      <c r="EH137" s="118"/>
      <c r="EI137" s="118"/>
      <c r="EJ137" s="118"/>
      <c r="EK137" s="118"/>
      <c r="EL137" s="118"/>
      <c r="EM137" s="118"/>
      <c r="EN137" s="118"/>
      <c r="EO137" s="118"/>
      <c r="EP137" s="118"/>
      <c r="EQ137" s="118"/>
      <c r="ER137" s="118"/>
      <c r="ES137" s="118"/>
      <c r="ET137" s="118"/>
      <c r="EU137" s="118"/>
      <c r="EV137" s="118"/>
      <c r="EW137" s="118"/>
      <c r="EX137" s="118"/>
      <c r="EY137" s="118"/>
      <c r="EZ137" s="118"/>
      <c r="FA137" s="118"/>
      <c r="FB137" s="118"/>
      <c r="FC137" s="118"/>
      <c r="FD137" s="118"/>
      <c r="FE137" s="118"/>
      <c r="FF137" s="118"/>
      <c r="FG137" s="118"/>
      <c r="FH137" s="118"/>
      <c r="FI137" s="180"/>
      <c r="FJ137" s="132"/>
      <c r="FK137" s="132"/>
      <c r="FL137" s="181">
        <f t="shared" ca="1" si="197"/>
        <v>4</v>
      </c>
      <c r="FM137" s="1340" t="str">
        <f t="shared" ca="1" si="259"/>
        <v>GDC PC Support</v>
      </c>
      <c r="FN137" s="1341">
        <f t="shared" ca="1" si="278"/>
        <v>0</v>
      </c>
      <c r="FO137" s="1342">
        <f t="shared" ca="1" si="260"/>
        <v>3</v>
      </c>
      <c r="FP137" s="1343">
        <f t="shared" ca="1" si="261"/>
        <v>0</v>
      </c>
      <c r="FQ137" s="1344">
        <f t="shared" si="262"/>
        <v>40</v>
      </c>
      <c r="FR137" s="1344">
        <f t="shared" si="263"/>
        <v>50</v>
      </c>
      <c r="FS137" s="1345">
        <f t="shared" si="279"/>
        <v>4</v>
      </c>
      <c r="FT137" s="1345"/>
      <c r="FU137" s="1346">
        <f t="shared" ca="1" si="219"/>
        <v>0</v>
      </c>
      <c r="FV137" s="1346"/>
      <c r="FW137" s="1346"/>
      <c r="FX137" s="1347"/>
      <c r="FY137" s="1348"/>
      <c r="FZ137" s="1348"/>
      <c r="GA137" s="1348"/>
      <c r="GB137" s="1349"/>
      <c r="GC137" s="1350"/>
      <c r="GD137" s="1348"/>
      <c r="GE137" s="1348"/>
      <c r="GF137" s="1348"/>
      <c r="GG137" s="1348"/>
      <c r="GH137" s="1348"/>
      <c r="GI137" s="1348"/>
      <c r="GJ137" s="1348"/>
      <c r="GK137" s="1348"/>
      <c r="GL137" s="1348"/>
      <c r="GM137" s="1348"/>
      <c r="GN137" s="3825" t="str">
        <f t="shared" ca="1" si="264"/>
        <v>Mhatre, Rajesh Ramchandra</v>
      </c>
      <c r="GO137" s="3825"/>
      <c r="GP137" s="3825"/>
      <c r="GQ137" s="3826"/>
      <c r="GR137" s="3675"/>
      <c r="GS137" s="3676"/>
      <c r="GT137" s="1756">
        <f t="shared" ca="1" si="265"/>
        <v>0</v>
      </c>
      <c r="GU137" s="1757">
        <f t="shared" ca="1" si="265"/>
        <v>0</v>
      </c>
      <c r="GV137" s="1757">
        <f t="shared" ca="1" si="265"/>
        <v>0</v>
      </c>
      <c r="GW137" s="1757">
        <f t="shared" ca="1" si="265"/>
        <v>0</v>
      </c>
      <c r="GX137" s="1757">
        <f t="shared" ca="1" si="265"/>
        <v>0</v>
      </c>
      <c r="GY137" s="1757">
        <f t="shared" ca="1" si="265"/>
        <v>0</v>
      </c>
      <c r="GZ137" s="1757">
        <f t="shared" ca="1" si="265"/>
        <v>0</v>
      </c>
      <c r="HA137" s="1757">
        <f t="shared" ca="1" si="265"/>
        <v>0</v>
      </c>
      <c r="HB137" s="1757">
        <f t="shared" ca="1" si="265"/>
        <v>0</v>
      </c>
      <c r="HC137" s="1757">
        <f t="shared" ca="1" si="265"/>
        <v>0</v>
      </c>
      <c r="HD137" s="1757">
        <f t="shared" ca="1" si="266"/>
        <v>0</v>
      </c>
      <c r="HE137" s="1757">
        <f t="shared" ca="1" si="266"/>
        <v>0</v>
      </c>
      <c r="HF137" s="1757">
        <f t="shared" ca="1" si="266"/>
        <v>0</v>
      </c>
      <c r="HG137" s="1757">
        <f t="shared" ca="1" si="266"/>
        <v>0</v>
      </c>
      <c r="HH137" s="1757">
        <f t="shared" ca="1" si="266"/>
        <v>0</v>
      </c>
      <c r="HI137" s="1757">
        <f t="shared" ca="1" si="266"/>
        <v>0</v>
      </c>
      <c r="HJ137" s="1757">
        <f t="shared" ca="1" si="266"/>
        <v>0</v>
      </c>
      <c r="HK137" s="1757">
        <f t="shared" ca="1" si="266"/>
        <v>0</v>
      </c>
      <c r="HL137" s="1757">
        <f t="shared" ca="1" si="266"/>
        <v>0</v>
      </c>
      <c r="HM137" s="1757">
        <f t="shared" ca="1" si="266"/>
        <v>0</v>
      </c>
      <c r="HN137" s="1757">
        <f t="shared" ca="1" si="267"/>
        <v>0</v>
      </c>
      <c r="HO137" s="1757">
        <f t="shared" ca="1" si="267"/>
        <v>0</v>
      </c>
      <c r="HP137" s="1757">
        <f t="shared" ca="1" si="267"/>
        <v>0</v>
      </c>
      <c r="HQ137" s="1757">
        <f t="shared" ca="1" si="267"/>
        <v>0</v>
      </c>
      <c r="HR137" s="1757">
        <f t="shared" ca="1" si="267"/>
        <v>0</v>
      </c>
      <c r="HS137" s="1757">
        <f t="shared" ca="1" si="267"/>
        <v>0</v>
      </c>
      <c r="HT137" s="1757">
        <f t="shared" ca="1" si="267"/>
        <v>0</v>
      </c>
      <c r="HU137" s="1757">
        <f t="shared" ca="1" si="267"/>
        <v>0</v>
      </c>
      <c r="HV137" s="1757">
        <f t="shared" ca="1" si="267"/>
        <v>0</v>
      </c>
      <c r="HW137" s="1757">
        <f t="shared" ca="1" si="267"/>
        <v>0</v>
      </c>
      <c r="HX137" s="1757">
        <f t="shared" ca="1" si="268"/>
        <v>0</v>
      </c>
      <c r="HY137" s="1757">
        <f t="shared" ca="1" si="268"/>
        <v>0</v>
      </c>
      <c r="HZ137" s="1757">
        <f t="shared" ca="1" si="268"/>
        <v>0</v>
      </c>
      <c r="IA137" s="1757">
        <f t="shared" ca="1" si="268"/>
        <v>0</v>
      </c>
      <c r="IB137" s="1757">
        <f t="shared" ca="1" si="268"/>
        <v>0</v>
      </c>
      <c r="IC137" s="1757">
        <f t="shared" ca="1" si="268"/>
        <v>0</v>
      </c>
      <c r="ID137" s="1757">
        <f t="shared" ca="1" si="268"/>
        <v>0</v>
      </c>
      <c r="IE137" s="1757">
        <f t="shared" ca="1" si="268"/>
        <v>0</v>
      </c>
      <c r="IF137" s="1757">
        <f t="shared" ca="1" si="268"/>
        <v>0</v>
      </c>
      <c r="IG137" s="1757">
        <f t="shared" ca="1" si="268"/>
        <v>0</v>
      </c>
      <c r="IH137" s="1757">
        <f t="shared" ca="1" si="269"/>
        <v>0</v>
      </c>
      <c r="II137" s="1757">
        <f t="shared" ca="1" si="269"/>
        <v>0</v>
      </c>
      <c r="IJ137" s="1757">
        <f t="shared" ca="1" si="269"/>
        <v>0</v>
      </c>
      <c r="IK137" s="1757">
        <f t="shared" ca="1" si="269"/>
        <v>0</v>
      </c>
      <c r="IL137" s="1757">
        <f t="shared" ca="1" si="269"/>
        <v>0</v>
      </c>
      <c r="IM137" s="1757">
        <f t="shared" ca="1" si="269"/>
        <v>0</v>
      </c>
      <c r="IN137" s="1757">
        <f t="shared" ca="1" si="269"/>
        <v>0</v>
      </c>
      <c r="IO137" s="1757">
        <f t="shared" ca="1" si="269"/>
        <v>0</v>
      </c>
      <c r="IP137" s="1757">
        <f t="shared" ca="1" si="269"/>
        <v>0</v>
      </c>
      <c r="IQ137" s="1757">
        <f t="shared" ca="1" si="269"/>
        <v>0</v>
      </c>
      <c r="IR137" s="1757">
        <f t="shared" ca="1" si="270"/>
        <v>0</v>
      </c>
      <c r="IS137" s="1757">
        <f t="shared" ca="1" si="270"/>
        <v>0</v>
      </c>
      <c r="IT137" s="1757">
        <f t="shared" ca="1" si="270"/>
        <v>0</v>
      </c>
      <c r="IU137" s="1757">
        <f t="shared" ca="1" si="270"/>
        <v>0</v>
      </c>
      <c r="IV137" s="1757">
        <f t="shared" ca="1" si="270"/>
        <v>0</v>
      </c>
      <c r="IW137" s="1757">
        <f t="shared" ca="1" si="270"/>
        <v>0</v>
      </c>
      <c r="IX137" s="1757">
        <f t="shared" ca="1" si="270"/>
        <v>0</v>
      </c>
      <c r="IY137" s="1757">
        <f t="shared" ca="1" si="270"/>
        <v>0</v>
      </c>
      <c r="IZ137" s="1757">
        <f t="shared" ca="1" si="270"/>
        <v>0</v>
      </c>
      <c r="JA137" s="1757">
        <f t="shared" ca="1" si="270"/>
        <v>0</v>
      </c>
      <c r="JB137" s="1757">
        <f t="shared" ca="1" si="271"/>
        <v>0</v>
      </c>
      <c r="JC137" s="1757">
        <f t="shared" ca="1" si="271"/>
        <v>0</v>
      </c>
      <c r="JD137" s="1757">
        <f t="shared" ca="1" si="271"/>
        <v>0</v>
      </c>
      <c r="JE137" s="1757">
        <f t="shared" ca="1" si="271"/>
        <v>0</v>
      </c>
      <c r="JF137" s="1757">
        <f t="shared" ca="1" si="271"/>
        <v>0</v>
      </c>
      <c r="JG137" s="1757">
        <f t="shared" ca="1" si="271"/>
        <v>0</v>
      </c>
      <c r="JH137" s="1757">
        <f t="shared" ca="1" si="271"/>
        <v>0</v>
      </c>
      <c r="JI137" s="1757">
        <f t="shared" ca="1" si="271"/>
        <v>0</v>
      </c>
      <c r="JJ137" s="1757">
        <f t="shared" ca="1" si="271"/>
        <v>0</v>
      </c>
      <c r="JK137" s="1757">
        <f t="shared" ca="1" si="271"/>
        <v>0</v>
      </c>
      <c r="JL137" s="1757">
        <f t="shared" ca="1" si="272"/>
        <v>0</v>
      </c>
      <c r="JM137" s="1757">
        <f t="shared" ca="1" si="272"/>
        <v>0</v>
      </c>
      <c r="JN137" s="1757">
        <f t="shared" ca="1" si="272"/>
        <v>0</v>
      </c>
      <c r="JO137" s="1757">
        <f t="shared" ca="1" si="272"/>
        <v>0</v>
      </c>
      <c r="JP137" s="1757">
        <f t="shared" ca="1" si="272"/>
        <v>0</v>
      </c>
      <c r="JQ137" s="1757">
        <f t="shared" ca="1" si="272"/>
        <v>0</v>
      </c>
      <c r="JR137" s="1757">
        <f t="shared" ca="1" si="272"/>
        <v>0</v>
      </c>
      <c r="JS137" s="1757">
        <f t="shared" ca="1" si="272"/>
        <v>0</v>
      </c>
      <c r="JT137" s="1757">
        <f t="shared" ca="1" si="272"/>
        <v>0</v>
      </c>
      <c r="JU137" s="1757">
        <f t="shared" ca="1" si="272"/>
        <v>0</v>
      </c>
      <c r="JV137" s="1757">
        <f t="shared" ca="1" si="273"/>
        <v>0</v>
      </c>
      <c r="JW137" s="1757">
        <f t="shared" ca="1" si="273"/>
        <v>0</v>
      </c>
      <c r="JX137" s="1757">
        <f t="shared" ca="1" si="273"/>
        <v>0</v>
      </c>
      <c r="JY137" s="1757">
        <f t="shared" ca="1" si="273"/>
        <v>0</v>
      </c>
      <c r="JZ137" s="1757">
        <f t="shared" ca="1" si="273"/>
        <v>0</v>
      </c>
      <c r="KA137" s="1757">
        <f t="shared" ca="1" si="273"/>
        <v>0</v>
      </c>
      <c r="KB137" s="1757">
        <f t="shared" ca="1" si="273"/>
        <v>0</v>
      </c>
      <c r="KC137" s="1757">
        <f t="shared" ca="1" si="273"/>
        <v>0</v>
      </c>
      <c r="KD137" s="1757">
        <f t="shared" ca="1" si="273"/>
        <v>0</v>
      </c>
      <c r="KE137" s="1757">
        <f t="shared" ca="1" si="273"/>
        <v>0</v>
      </c>
      <c r="KF137" s="1757">
        <f t="shared" ca="1" si="274"/>
        <v>0</v>
      </c>
      <c r="KG137" s="1757">
        <f t="shared" ca="1" si="274"/>
        <v>0</v>
      </c>
      <c r="KH137" s="1757">
        <f t="shared" ca="1" si="274"/>
        <v>0</v>
      </c>
      <c r="KI137" s="1757">
        <f t="shared" ca="1" si="274"/>
        <v>0</v>
      </c>
      <c r="KJ137" s="1757">
        <f t="shared" ca="1" si="274"/>
        <v>0</v>
      </c>
      <c r="KK137" s="1757">
        <f t="shared" ca="1" si="274"/>
        <v>0</v>
      </c>
      <c r="KL137" s="1757">
        <f t="shared" ca="1" si="274"/>
        <v>0</v>
      </c>
      <c r="KM137" s="1757">
        <f t="shared" ca="1" si="274"/>
        <v>0</v>
      </c>
      <c r="KN137" s="1757">
        <f t="shared" ca="1" si="274"/>
        <v>0</v>
      </c>
      <c r="KO137" s="1757">
        <f t="shared" ca="1" si="274"/>
        <v>0</v>
      </c>
      <c r="KP137" s="1757">
        <f t="shared" ca="1" si="275"/>
        <v>0</v>
      </c>
      <c r="KQ137" s="1757">
        <f t="shared" ca="1" si="275"/>
        <v>0</v>
      </c>
      <c r="KR137" s="1757">
        <f t="shared" ca="1" si="275"/>
        <v>0</v>
      </c>
      <c r="KS137" s="1757">
        <f t="shared" ca="1" si="275"/>
        <v>0</v>
      </c>
      <c r="KT137" s="1757">
        <f t="shared" ca="1" si="275"/>
        <v>0</v>
      </c>
      <c r="KU137" s="1757">
        <f t="shared" ca="1" si="275"/>
        <v>0</v>
      </c>
      <c r="KV137" s="1757">
        <f t="shared" ca="1" si="275"/>
        <v>0</v>
      </c>
      <c r="KW137" s="1757">
        <f t="shared" ca="1" si="275"/>
        <v>0</v>
      </c>
      <c r="KX137" s="1757">
        <f t="shared" ca="1" si="275"/>
        <v>0</v>
      </c>
      <c r="KY137" s="1757">
        <f t="shared" ca="1" si="275"/>
        <v>0</v>
      </c>
      <c r="KZ137" s="1757">
        <f t="shared" ca="1" si="276"/>
        <v>0</v>
      </c>
      <c r="LA137" s="1757">
        <f t="shared" ca="1" si="276"/>
        <v>0</v>
      </c>
      <c r="LB137" s="1757">
        <f t="shared" ca="1" si="276"/>
        <v>0</v>
      </c>
      <c r="LC137" s="1757">
        <f t="shared" ca="1" si="276"/>
        <v>0</v>
      </c>
      <c r="LD137" s="1757">
        <f t="shared" ca="1" si="276"/>
        <v>0</v>
      </c>
      <c r="LE137" s="1757">
        <f t="shared" ca="1" si="276"/>
        <v>0</v>
      </c>
      <c r="LF137" s="1757">
        <f t="shared" ca="1" si="276"/>
        <v>0</v>
      </c>
      <c r="LG137" s="1757">
        <f t="shared" ca="1" si="276"/>
        <v>0</v>
      </c>
      <c r="LH137" s="1757">
        <f t="shared" ca="1" si="276"/>
        <v>0</v>
      </c>
      <c r="LI137" s="1757">
        <f t="shared" ca="1" si="276"/>
        <v>0</v>
      </c>
      <c r="LJ137" s="1757">
        <f t="shared" ca="1" si="277"/>
        <v>0</v>
      </c>
      <c r="LK137" s="1757">
        <f t="shared" ca="1" si="277"/>
        <v>0</v>
      </c>
      <c r="LL137" s="1757">
        <f t="shared" ca="1" si="277"/>
        <v>0</v>
      </c>
      <c r="LM137" s="1757">
        <f t="shared" ca="1" si="277"/>
        <v>0</v>
      </c>
      <c r="LN137" s="1757">
        <f t="shared" ca="1" si="277"/>
        <v>0</v>
      </c>
      <c r="LO137" s="1757">
        <f t="shared" ca="1" si="277"/>
        <v>0</v>
      </c>
      <c r="LP137" s="1758">
        <f t="shared" ca="1" si="277"/>
        <v>0</v>
      </c>
      <c r="LQ137" s="604"/>
    </row>
    <row r="138" spans="1:329" ht="12.75" customHeight="1" x14ac:dyDescent="0.3">
      <c r="A138" s="279"/>
      <c r="B138" s="41"/>
      <c r="C138" s="82"/>
      <c r="D138" s="41"/>
      <c r="E138" s="9"/>
      <c r="F138" s="9"/>
      <c r="G138" s="9"/>
      <c r="H138" s="10"/>
      <c r="I138" s="10"/>
      <c r="J138" s="10"/>
      <c r="K138" s="10"/>
      <c r="L138" s="10"/>
      <c r="M138" s="10"/>
      <c r="N138" s="9"/>
      <c r="O138" s="9"/>
      <c r="P138" s="44"/>
      <c r="Q138" s="44"/>
      <c r="R138" s="9"/>
      <c r="S138" s="9"/>
      <c r="T138" s="9"/>
      <c r="U138" s="9"/>
      <c r="V138" s="9"/>
      <c r="W138" s="9"/>
      <c r="X138" s="9"/>
      <c r="Y138" s="9"/>
      <c r="Z138" s="9"/>
      <c r="AA138" s="9"/>
      <c r="AB138" s="9"/>
      <c r="AC138" s="9"/>
      <c r="AD138" s="9"/>
      <c r="AE138" s="9"/>
      <c r="AF138" s="9"/>
      <c r="AG138" s="9"/>
      <c r="AH138" s="2514"/>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113"/>
      <c r="DI138" s="113"/>
      <c r="DJ138" s="113"/>
      <c r="DK138" s="118"/>
      <c r="DL138" s="118"/>
      <c r="DM138" s="118"/>
      <c r="DN138" s="118"/>
      <c r="DO138" s="118"/>
      <c r="DP138" s="118"/>
      <c r="DQ138" s="118"/>
      <c r="DR138" s="118"/>
      <c r="DS138" s="118"/>
      <c r="DT138" s="118"/>
      <c r="DU138" s="118"/>
      <c r="DV138" s="118"/>
      <c r="DW138" s="118"/>
      <c r="DX138" s="118"/>
      <c r="DY138" s="118"/>
      <c r="DZ138" s="118"/>
      <c r="EA138" s="118"/>
      <c r="EB138" s="118"/>
      <c r="EC138" s="118"/>
      <c r="ED138" s="118"/>
      <c r="EE138" s="118"/>
      <c r="EF138" s="118"/>
      <c r="EG138" s="118"/>
      <c r="EH138" s="118"/>
      <c r="EI138" s="118"/>
      <c r="EJ138" s="118"/>
      <c r="EK138" s="118"/>
      <c r="EL138" s="118"/>
      <c r="EM138" s="118"/>
      <c r="EN138" s="118"/>
      <c r="EO138" s="118"/>
      <c r="EP138" s="118"/>
      <c r="EQ138" s="118"/>
      <c r="ER138" s="118"/>
      <c r="ES138" s="118"/>
      <c r="ET138" s="118"/>
      <c r="EU138" s="118"/>
      <c r="EV138" s="118"/>
      <c r="EW138" s="118"/>
      <c r="EX138" s="118"/>
      <c r="EY138" s="118"/>
      <c r="EZ138" s="118"/>
      <c r="FA138" s="118"/>
      <c r="FB138" s="118"/>
      <c r="FC138" s="118"/>
      <c r="FD138" s="118"/>
      <c r="FE138" s="118"/>
      <c r="FF138" s="118"/>
      <c r="FG138" s="118"/>
      <c r="FH138" s="118"/>
      <c r="FI138" s="180"/>
      <c r="FJ138" s="132"/>
      <c r="FK138" s="132"/>
      <c r="FL138" s="181">
        <f t="shared" ca="1" si="197"/>
        <v>3</v>
      </c>
      <c r="FM138" s="1340" t="str">
        <f t="shared" ca="1" si="259"/>
        <v>L1A Operational Manager</v>
      </c>
      <c r="FN138" s="1341">
        <f ca="1">OFFSET($DJ$26,0,FO138)</f>
        <v>0</v>
      </c>
      <c r="FO138" s="1342">
        <f t="shared" ca="1" si="260"/>
        <v>2</v>
      </c>
      <c r="FP138" s="1343">
        <f t="shared" ca="1" si="261"/>
        <v>0</v>
      </c>
      <c r="FQ138" s="1344">
        <f t="shared" si="262"/>
        <v>40</v>
      </c>
      <c r="FR138" s="1344">
        <f t="shared" si="263"/>
        <v>50</v>
      </c>
      <c r="FS138" s="1345">
        <f t="shared" si="279"/>
        <v>3</v>
      </c>
      <c r="FT138" s="1345"/>
      <c r="FU138" s="1346">
        <f t="shared" ca="1" si="219"/>
        <v>39</v>
      </c>
      <c r="FV138" s="1346"/>
      <c r="FW138" s="1346"/>
      <c r="FX138" s="1347"/>
      <c r="FY138" s="1348"/>
      <c r="FZ138" s="1348"/>
      <c r="GA138" s="1348"/>
      <c r="GB138" s="1349"/>
      <c r="GC138" s="1350"/>
      <c r="GD138" s="1348"/>
      <c r="GE138" s="1348"/>
      <c r="GF138" s="1348"/>
      <c r="GG138" s="1348"/>
      <c r="GH138" s="1348"/>
      <c r="GI138" s="1348"/>
      <c r="GJ138" s="1348"/>
      <c r="GK138" s="1348"/>
      <c r="GL138" s="1348"/>
      <c r="GM138" s="1348"/>
      <c r="GN138" s="3825" t="str">
        <f t="shared" ca="1" si="264"/>
        <v>Spencer Peter</v>
      </c>
      <c r="GO138" s="3825"/>
      <c r="GP138" s="3825"/>
      <c r="GQ138" s="3826"/>
      <c r="GR138" s="3675"/>
      <c r="GS138" s="3676"/>
      <c r="GT138" s="1756">
        <f t="shared" ca="1" si="265"/>
        <v>3.25</v>
      </c>
      <c r="GU138" s="1757">
        <f t="shared" ca="1" si="265"/>
        <v>3.25</v>
      </c>
      <c r="GV138" s="1757">
        <f t="shared" ca="1" si="265"/>
        <v>3.25</v>
      </c>
      <c r="GW138" s="1757">
        <f t="shared" ca="1" si="265"/>
        <v>3.25</v>
      </c>
      <c r="GX138" s="1757">
        <f t="shared" ca="1" si="265"/>
        <v>3.25</v>
      </c>
      <c r="GY138" s="1757">
        <f t="shared" ca="1" si="265"/>
        <v>3.25</v>
      </c>
      <c r="GZ138" s="1757">
        <f t="shared" ca="1" si="265"/>
        <v>3.25</v>
      </c>
      <c r="HA138" s="1757">
        <f t="shared" ca="1" si="265"/>
        <v>3.25</v>
      </c>
      <c r="HB138" s="1757">
        <f t="shared" ca="1" si="265"/>
        <v>3.25</v>
      </c>
      <c r="HC138" s="1757">
        <f t="shared" ca="1" si="265"/>
        <v>3.25</v>
      </c>
      <c r="HD138" s="1757">
        <f t="shared" ca="1" si="266"/>
        <v>3.25</v>
      </c>
      <c r="HE138" s="1757">
        <f t="shared" ca="1" si="266"/>
        <v>3.25</v>
      </c>
      <c r="HF138" s="1757">
        <f t="shared" ca="1" si="266"/>
        <v>0</v>
      </c>
      <c r="HG138" s="1757">
        <f t="shared" ca="1" si="266"/>
        <v>0</v>
      </c>
      <c r="HH138" s="1757">
        <f t="shared" ca="1" si="266"/>
        <v>0</v>
      </c>
      <c r="HI138" s="1757">
        <f t="shared" ca="1" si="266"/>
        <v>0</v>
      </c>
      <c r="HJ138" s="1757">
        <f t="shared" ca="1" si="266"/>
        <v>0</v>
      </c>
      <c r="HK138" s="1757">
        <f t="shared" ca="1" si="266"/>
        <v>0</v>
      </c>
      <c r="HL138" s="1757">
        <f t="shared" ca="1" si="266"/>
        <v>0</v>
      </c>
      <c r="HM138" s="1757">
        <f t="shared" ca="1" si="266"/>
        <v>0</v>
      </c>
      <c r="HN138" s="1757">
        <f t="shared" ca="1" si="267"/>
        <v>0</v>
      </c>
      <c r="HO138" s="1757">
        <f t="shared" ca="1" si="267"/>
        <v>0</v>
      </c>
      <c r="HP138" s="1757">
        <f t="shared" ca="1" si="267"/>
        <v>0</v>
      </c>
      <c r="HQ138" s="1757">
        <f t="shared" ca="1" si="267"/>
        <v>0</v>
      </c>
      <c r="HR138" s="1757">
        <f t="shared" ca="1" si="267"/>
        <v>0</v>
      </c>
      <c r="HS138" s="1757">
        <f t="shared" ca="1" si="267"/>
        <v>0</v>
      </c>
      <c r="HT138" s="1757">
        <f t="shared" ca="1" si="267"/>
        <v>0</v>
      </c>
      <c r="HU138" s="1757">
        <f t="shared" ca="1" si="267"/>
        <v>0</v>
      </c>
      <c r="HV138" s="1757">
        <f t="shared" ca="1" si="267"/>
        <v>0</v>
      </c>
      <c r="HW138" s="1757">
        <f t="shared" ca="1" si="267"/>
        <v>0</v>
      </c>
      <c r="HX138" s="1757">
        <f t="shared" ca="1" si="268"/>
        <v>0</v>
      </c>
      <c r="HY138" s="1757">
        <f t="shared" ca="1" si="268"/>
        <v>0</v>
      </c>
      <c r="HZ138" s="1757">
        <f t="shared" ca="1" si="268"/>
        <v>0</v>
      </c>
      <c r="IA138" s="1757">
        <f t="shared" ca="1" si="268"/>
        <v>0</v>
      </c>
      <c r="IB138" s="1757">
        <f t="shared" ca="1" si="268"/>
        <v>0</v>
      </c>
      <c r="IC138" s="1757">
        <f t="shared" ca="1" si="268"/>
        <v>0</v>
      </c>
      <c r="ID138" s="1757">
        <f t="shared" ca="1" si="268"/>
        <v>0</v>
      </c>
      <c r="IE138" s="1757">
        <f t="shared" ca="1" si="268"/>
        <v>0</v>
      </c>
      <c r="IF138" s="1757">
        <f t="shared" ca="1" si="268"/>
        <v>0</v>
      </c>
      <c r="IG138" s="1757">
        <f t="shared" ca="1" si="268"/>
        <v>0</v>
      </c>
      <c r="IH138" s="1757">
        <f t="shared" ca="1" si="269"/>
        <v>0</v>
      </c>
      <c r="II138" s="1757">
        <f t="shared" ca="1" si="269"/>
        <v>0</v>
      </c>
      <c r="IJ138" s="1757">
        <f t="shared" ca="1" si="269"/>
        <v>0</v>
      </c>
      <c r="IK138" s="1757">
        <f t="shared" ca="1" si="269"/>
        <v>0</v>
      </c>
      <c r="IL138" s="1757">
        <f t="shared" ca="1" si="269"/>
        <v>0</v>
      </c>
      <c r="IM138" s="1757">
        <f t="shared" ca="1" si="269"/>
        <v>0</v>
      </c>
      <c r="IN138" s="1757">
        <f t="shared" ca="1" si="269"/>
        <v>0</v>
      </c>
      <c r="IO138" s="1757">
        <f t="shared" ca="1" si="269"/>
        <v>0</v>
      </c>
      <c r="IP138" s="1757">
        <f t="shared" ca="1" si="269"/>
        <v>0</v>
      </c>
      <c r="IQ138" s="1757">
        <f t="shared" ca="1" si="269"/>
        <v>0</v>
      </c>
      <c r="IR138" s="1757">
        <f t="shared" ca="1" si="270"/>
        <v>0</v>
      </c>
      <c r="IS138" s="1757">
        <f t="shared" ca="1" si="270"/>
        <v>0</v>
      </c>
      <c r="IT138" s="1757">
        <f t="shared" ca="1" si="270"/>
        <v>0</v>
      </c>
      <c r="IU138" s="1757">
        <f t="shared" ca="1" si="270"/>
        <v>0</v>
      </c>
      <c r="IV138" s="1757">
        <f t="shared" ca="1" si="270"/>
        <v>0</v>
      </c>
      <c r="IW138" s="1757">
        <f t="shared" ca="1" si="270"/>
        <v>0</v>
      </c>
      <c r="IX138" s="1757">
        <f t="shared" ca="1" si="270"/>
        <v>0</v>
      </c>
      <c r="IY138" s="1757">
        <f t="shared" ca="1" si="270"/>
        <v>0</v>
      </c>
      <c r="IZ138" s="1757">
        <f t="shared" ca="1" si="270"/>
        <v>0</v>
      </c>
      <c r="JA138" s="1757">
        <f t="shared" ca="1" si="270"/>
        <v>0</v>
      </c>
      <c r="JB138" s="1757">
        <f t="shared" ca="1" si="271"/>
        <v>0</v>
      </c>
      <c r="JC138" s="1757">
        <f t="shared" ca="1" si="271"/>
        <v>0</v>
      </c>
      <c r="JD138" s="1757">
        <f t="shared" ca="1" si="271"/>
        <v>0</v>
      </c>
      <c r="JE138" s="1757">
        <f t="shared" ca="1" si="271"/>
        <v>0</v>
      </c>
      <c r="JF138" s="1757">
        <f t="shared" ca="1" si="271"/>
        <v>0</v>
      </c>
      <c r="JG138" s="1757">
        <f t="shared" ca="1" si="271"/>
        <v>0</v>
      </c>
      <c r="JH138" s="1757">
        <f t="shared" ca="1" si="271"/>
        <v>0</v>
      </c>
      <c r="JI138" s="1757">
        <f t="shared" ca="1" si="271"/>
        <v>0</v>
      </c>
      <c r="JJ138" s="1757">
        <f t="shared" ca="1" si="271"/>
        <v>0</v>
      </c>
      <c r="JK138" s="1757">
        <f t="shared" ca="1" si="271"/>
        <v>0</v>
      </c>
      <c r="JL138" s="1757">
        <f t="shared" ca="1" si="272"/>
        <v>0</v>
      </c>
      <c r="JM138" s="1757">
        <f t="shared" ca="1" si="272"/>
        <v>0</v>
      </c>
      <c r="JN138" s="1757">
        <f t="shared" ca="1" si="272"/>
        <v>0</v>
      </c>
      <c r="JO138" s="1757">
        <f t="shared" ca="1" si="272"/>
        <v>0</v>
      </c>
      <c r="JP138" s="1757">
        <f t="shared" ca="1" si="272"/>
        <v>0</v>
      </c>
      <c r="JQ138" s="1757">
        <f t="shared" ca="1" si="272"/>
        <v>0</v>
      </c>
      <c r="JR138" s="1757">
        <f t="shared" ca="1" si="272"/>
        <v>0</v>
      </c>
      <c r="JS138" s="1757">
        <f t="shared" ca="1" si="272"/>
        <v>0</v>
      </c>
      <c r="JT138" s="1757">
        <f t="shared" ca="1" si="272"/>
        <v>0</v>
      </c>
      <c r="JU138" s="1757">
        <f t="shared" ca="1" si="272"/>
        <v>0</v>
      </c>
      <c r="JV138" s="1757">
        <f t="shared" ca="1" si="273"/>
        <v>0</v>
      </c>
      <c r="JW138" s="1757">
        <f t="shared" ca="1" si="273"/>
        <v>0</v>
      </c>
      <c r="JX138" s="1757">
        <f t="shared" ca="1" si="273"/>
        <v>0</v>
      </c>
      <c r="JY138" s="1757">
        <f t="shared" ca="1" si="273"/>
        <v>0</v>
      </c>
      <c r="JZ138" s="1757">
        <f t="shared" ca="1" si="273"/>
        <v>0</v>
      </c>
      <c r="KA138" s="1757">
        <f t="shared" ca="1" si="273"/>
        <v>0</v>
      </c>
      <c r="KB138" s="1757">
        <f t="shared" ca="1" si="273"/>
        <v>0</v>
      </c>
      <c r="KC138" s="1757">
        <f t="shared" ca="1" si="273"/>
        <v>0</v>
      </c>
      <c r="KD138" s="1757">
        <f t="shared" ca="1" si="273"/>
        <v>0</v>
      </c>
      <c r="KE138" s="1757">
        <f t="shared" ca="1" si="273"/>
        <v>0</v>
      </c>
      <c r="KF138" s="1757">
        <f t="shared" ca="1" si="274"/>
        <v>0</v>
      </c>
      <c r="KG138" s="1757">
        <f t="shared" ca="1" si="274"/>
        <v>0</v>
      </c>
      <c r="KH138" s="1757">
        <f t="shared" ca="1" si="274"/>
        <v>0</v>
      </c>
      <c r="KI138" s="1757">
        <f t="shared" ca="1" si="274"/>
        <v>0</v>
      </c>
      <c r="KJ138" s="1757">
        <f t="shared" ca="1" si="274"/>
        <v>0</v>
      </c>
      <c r="KK138" s="1757">
        <f t="shared" ca="1" si="274"/>
        <v>0</v>
      </c>
      <c r="KL138" s="1757">
        <f t="shared" ca="1" si="274"/>
        <v>0</v>
      </c>
      <c r="KM138" s="1757">
        <f t="shared" ca="1" si="274"/>
        <v>0</v>
      </c>
      <c r="KN138" s="1757">
        <f t="shared" ca="1" si="274"/>
        <v>0</v>
      </c>
      <c r="KO138" s="1757">
        <f t="shared" ca="1" si="274"/>
        <v>0</v>
      </c>
      <c r="KP138" s="1757">
        <f t="shared" ca="1" si="275"/>
        <v>0</v>
      </c>
      <c r="KQ138" s="1757">
        <f t="shared" ca="1" si="275"/>
        <v>0</v>
      </c>
      <c r="KR138" s="1757">
        <f t="shared" ca="1" si="275"/>
        <v>0</v>
      </c>
      <c r="KS138" s="1757">
        <f t="shared" ca="1" si="275"/>
        <v>0</v>
      </c>
      <c r="KT138" s="1757">
        <f t="shared" ca="1" si="275"/>
        <v>0</v>
      </c>
      <c r="KU138" s="1757">
        <f t="shared" ca="1" si="275"/>
        <v>0</v>
      </c>
      <c r="KV138" s="1757">
        <f t="shared" ca="1" si="275"/>
        <v>0</v>
      </c>
      <c r="KW138" s="1757">
        <f t="shared" ca="1" si="275"/>
        <v>0</v>
      </c>
      <c r="KX138" s="1757">
        <f t="shared" ca="1" si="275"/>
        <v>0</v>
      </c>
      <c r="KY138" s="1757">
        <f t="shared" ca="1" si="275"/>
        <v>0</v>
      </c>
      <c r="KZ138" s="1757">
        <f t="shared" ca="1" si="276"/>
        <v>0</v>
      </c>
      <c r="LA138" s="1757">
        <f t="shared" ca="1" si="276"/>
        <v>0</v>
      </c>
      <c r="LB138" s="1757">
        <f t="shared" ca="1" si="276"/>
        <v>0</v>
      </c>
      <c r="LC138" s="1757">
        <f t="shared" ca="1" si="276"/>
        <v>0</v>
      </c>
      <c r="LD138" s="1757">
        <f t="shared" ca="1" si="276"/>
        <v>0</v>
      </c>
      <c r="LE138" s="1757">
        <f t="shared" ca="1" si="276"/>
        <v>0</v>
      </c>
      <c r="LF138" s="1757">
        <f t="shared" ca="1" si="276"/>
        <v>0</v>
      </c>
      <c r="LG138" s="1757">
        <f t="shared" ca="1" si="276"/>
        <v>0</v>
      </c>
      <c r="LH138" s="1757">
        <f t="shared" ca="1" si="276"/>
        <v>0</v>
      </c>
      <c r="LI138" s="1757">
        <f t="shared" ca="1" si="276"/>
        <v>0</v>
      </c>
      <c r="LJ138" s="1757">
        <f t="shared" ca="1" si="277"/>
        <v>0</v>
      </c>
      <c r="LK138" s="1757">
        <f t="shared" ca="1" si="277"/>
        <v>0</v>
      </c>
      <c r="LL138" s="1757">
        <f t="shared" ca="1" si="277"/>
        <v>0</v>
      </c>
      <c r="LM138" s="1757">
        <f t="shared" ca="1" si="277"/>
        <v>0</v>
      </c>
      <c r="LN138" s="1757">
        <f t="shared" ca="1" si="277"/>
        <v>0</v>
      </c>
      <c r="LO138" s="1757">
        <f t="shared" ca="1" si="277"/>
        <v>0</v>
      </c>
      <c r="LP138" s="1758">
        <f t="shared" ca="1" si="277"/>
        <v>0</v>
      </c>
      <c r="LQ138" s="604"/>
    </row>
    <row r="139" spans="1:329" ht="12.75" customHeight="1" x14ac:dyDescent="0.3">
      <c r="A139" s="279"/>
      <c r="B139" s="41"/>
      <c r="C139" s="82"/>
      <c r="D139" s="41"/>
      <c r="E139" s="9"/>
      <c r="F139" s="9"/>
      <c r="G139" s="9"/>
      <c r="H139" s="10"/>
      <c r="I139" s="10"/>
      <c r="J139" s="10"/>
      <c r="K139" s="10"/>
      <c r="L139" s="10"/>
      <c r="M139" s="10"/>
      <c r="N139" s="9"/>
      <c r="O139" s="9"/>
      <c r="P139" s="44"/>
      <c r="Q139" s="44"/>
      <c r="R139" s="9"/>
      <c r="S139" s="9"/>
      <c r="T139" s="9"/>
      <c r="U139" s="9"/>
      <c r="V139" s="9"/>
      <c r="W139" s="9"/>
      <c r="X139" s="9"/>
      <c r="Y139" s="9"/>
      <c r="Z139" s="9"/>
      <c r="AA139" s="9"/>
      <c r="AB139" s="9"/>
      <c r="AC139" s="9"/>
      <c r="AD139" s="9"/>
      <c r="AE139" s="9"/>
      <c r="AF139" s="9"/>
      <c r="AG139" s="9"/>
      <c r="AH139" s="2514"/>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113"/>
      <c r="DI139" s="113"/>
      <c r="DJ139" s="113"/>
      <c r="DK139" s="118"/>
      <c r="DL139" s="118"/>
      <c r="DM139" s="118"/>
      <c r="DN139" s="118"/>
      <c r="DO139" s="118"/>
      <c r="DP139" s="118"/>
      <c r="DQ139" s="118"/>
      <c r="DR139" s="118"/>
      <c r="DS139" s="118"/>
      <c r="DT139" s="118"/>
      <c r="DU139" s="118"/>
      <c r="DV139" s="118"/>
      <c r="DW139" s="118"/>
      <c r="DX139" s="118"/>
      <c r="DY139" s="118"/>
      <c r="DZ139" s="118"/>
      <c r="EA139" s="118"/>
      <c r="EB139" s="118"/>
      <c r="EC139" s="118"/>
      <c r="ED139" s="118"/>
      <c r="EE139" s="118"/>
      <c r="EF139" s="118"/>
      <c r="EG139" s="118"/>
      <c r="EH139" s="118"/>
      <c r="EI139" s="118"/>
      <c r="EJ139" s="118"/>
      <c r="EK139" s="118"/>
      <c r="EL139" s="118"/>
      <c r="EM139" s="118"/>
      <c r="EN139" s="118"/>
      <c r="EO139" s="118"/>
      <c r="EP139" s="118"/>
      <c r="EQ139" s="118"/>
      <c r="ER139" s="118"/>
      <c r="ES139" s="118"/>
      <c r="ET139" s="118"/>
      <c r="EU139" s="118"/>
      <c r="EV139" s="118"/>
      <c r="EW139" s="118"/>
      <c r="EX139" s="118"/>
      <c r="EY139" s="118"/>
      <c r="EZ139" s="118"/>
      <c r="FA139" s="118"/>
      <c r="FB139" s="118"/>
      <c r="FC139" s="118"/>
      <c r="FD139" s="118"/>
      <c r="FE139" s="118"/>
      <c r="FF139" s="118"/>
      <c r="FG139" s="118"/>
      <c r="FH139" s="118"/>
      <c r="FI139" s="180"/>
      <c r="FJ139" s="132"/>
      <c r="FK139" s="132"/>
      <c r="FL139" s="181">
        <f t="shared" ca="1" si="197"/>
        <v>2</v>
      </c>
      <c r="FM139" s="1340" t="str">
        <f t="shared" ca="1" si="259"/>
        <v>L4A Senior Administrator</v>
      </c>
      <c r="FN139" s="1341">
        <f ca="1">OFFSET($DJ$26,0,FO139)</f>
        <v>0</v>
      </c>
      <c r="FO139" s="1342">
        <f t="shared" ca="1" si="260"/>
        <v>1</v>
      </c>
      <c r="FP139" s="1343">
        <f t="shared" ca="1" si="261"/>
        <v>0</v>
      </c>
      <c r="FQ139" s="1344">
        <f t="shared" si="262"/>
        <v>40</v>
      </c>
      <c r="FR139" s="1344">
        <f t="shared" si="263"/>
        <v>50</v>
      </c>
      <c r="FS139" s="1345">
        <f>ROW($FS$140)-ROW()+1</f>
        <v>2</v>
      </c>
      <c r="FT139" s="1345"/>
      <c r="FU139" s="1346">
        <f t="shared" ca="1" si="219"/>
        <v>64</v>
      </c>
      <c r="FV139" s="1346"/>
      <c r="FW139" s="1346"/>
      <c r="FX139" s="1347"/>
      <c r="FY139" s="1348"/>
      <c r="FZ139" s="1348"/>
      <c r="GA139" s="1348"/>
      <c r="GB139" s="1349"/>
      <c r="GC139" s="1350"/>
      <c r="GD139" s="1348"/>
      <c r="GE139" s="1348"/>
      <c r="GF139" s="1348"/>
      <c r="GG139" s="1348"/>
      <c r="GH139" s="1348"/>
      <c r="GI139" s="1348"/>
      <c r="GJ139" s="1348"/>
      <c r="GK139" s="1348"/>
      <c r="GL139" s="1348"/>
      <c r="GM139" s="1348"/>
      <c r="GN139" s="3825" t="str">
        <f t="shared" ca="1" si="264"/>
        <v>Hutchinson Amanda</v>
      </c>
      <c r="GO139" s="3825"/>
      <c r="GP139" s="3825"/>
      <c r="GQ139" s="3826"/>
      <c r="GR139" s="3675"/>
      <c r="GS139" s="3676"/>
      <c r="GT139" s="1756">
        <f t="shared" ca="1" si="265"/>
        <v>5.333333333333333</v>
      </c>
      <c r="GU139" s="1757">
        <f t="shared" ca="1" si="265"/>
        <v>5.333333333333333</v>
      </c>
      <c r="GV139" s="1757">
        <f t="shared" ca="1" si="265"/>
        <v>5.333333333333333</v>
      </c>
      <c r="GW139" s="1757">
        <f t="shared" ca="1" si="265"/>
        <v>5.333333333333333</v>
      </c>
      <c r="GX139" s="1757">
        <f t="shared" ca="1" si="265"/>
        <v>5.333333333333333</v>
      </c>
      <c r="GY139" s="1757">
        <f t="shared" ca="1" si="265"/>
        <v>5.333333333333333</v>
      </c>
      <c r="GZ139" s="1757">
        <f t="shared" ca="1" si="265"/>
        <v>5.333333333333333</v>
      </c>
      <c r="HA139" s="1757">
        <f t="shared" ca="1" si="265"/>
        <v>5.333333333333333</v>
      </c>
      <c r="HB139" s="1757">
        <f t="shared" ca="1" si="265"/>
        <v>5.333333333333333</v>
      </c>
      <c r="HC139" s="1757">
        <f t="shared" ca="1" si="265"/>
        <v>5.333333333333333</v>
      </c>
      <c r="HD139" s="1757">
        <f t="shared" ca="1" si="266"/>
        <v>5.333333333333333</v>
      </c>
      <c r="HE139" s="1757">
        <f t="shared" ca="1" si="266"/>
        <v>5.333333333333333</v>
      </c>
      <c r="HF139" s="1757">
        <f t="shared" ca="1" si="266"/>
        <v>0</v>
      </c>
      <c r="HG139" s="1757">
        <f t="shared" ca="1" si="266"/>
        <v>0</v>
      </c>
      <c r="HH139" s="1757">
        <f t="shared" ca="1" si="266"/>
        <v>0</v>
      </c>
      <c r="HI139" s="1757">
        <f t="shared" ca="1" si="266"/>
        <v>0</v>
      </c>
      <c r="HJ139" s="1757">
        <f t="shared" ca="1" si="266"/>
        <v>0</v>
      </c>
      <c r="HK139" s="1757">
        <f t="shared" ca="1" si="266"/>
        <v>0</v>
      </c>
      <c r="HL139" s="1757">
        <f t="shared" ca="1" si="266"/>
        <v>0</v>
      </c>
      <c r="HM139" s="1757">
        <f t="shared" ca="1" si="266"/>
        <v>0</v>
      </c>
      <c r="HN139" s="1757">
        <f t="shared" ca="1" si="267"/>
        <v>0</v>
      </c>
      <c r="HO139" s="1757">
        <f t="shared" ca="1" si="267"/>
        <v>0</v>
      </c>
      <c r="HP139" s="1757">
        <f t="shared" ca="1" si="267"/>
        <v>0</v>
      </c>
      <c r="HQ139" s="1757">
        <f t="shared" ca="1" si="267"/>
        <v>0</v>
      </c>
      <c r="HR139" s="1757">
        <f t="shared" ca="1" si="267"/>
        <v>0</v>
      </c>
      <c r="HS139" s="1757">
        <f t="shared" ca="1" si="267"/>
        <v>0</v>
      </c>
      <c r="HT139" s="1757">
        <f t="shared" ca="1" si="267"/>
        <v>0</v>
      </c>
      <c r="HU139" s="1757">
        <f t="shared" ca="1" si="267"/>
        <v>0</v>
      </c>
      <c r="HV139" s="1757">
        <f t="shared" ca="1" si="267"/>
        <v>0</v>
      </c>
      <c r="HW139" s="1757">
        <f t="shared" ca="1" si="267"/>
        <v>0</v>
      </c>
      <c r="HX139" s="1757">
        <f t="shared" ca="1" si="268"/>
        <v>0</v>
      </c>
      <c r="HY139" s="1757">
        <f t="shared" ca="1" si="268"/>
        <v>0</v>
      </c>
      <c r="HZ139" s="1757">
        <f t="shared" ca="1" si="268"/>
        <v>0</v>
      </c>
      <c r="IA139" s="1757">
        <f t="shared" ca="1" si="268"/>
        <v>0</v>
      </c>
      <c r="IB139" s="1757">
        <f t="shared" ca="1" si="268"/>
        <v>0</v>
      </c>
      <c r="IC139" s="1757">
        <f t="shared" ca="1" si="268"/>
        <v>0</v>
      </c>
      <c r="ID139" s="1757">
        <f t="shared" ca="1" si="268"/>
        <v>0</v>
      </c>
      <c r="IE139" s="1757">
        <f t="shared" ca="1" si="268"/>
        <v>0</v>
      </c>
      <c r="IF139" s="1757">
        <f t="shared" ca="1" si="268"/>
        <v>0</v>
      </c>
      <c r="IG139" s="1757">
        <f t="shared" ca="1" si="268"/>
        <v>0</v>
      </c>
      <c r="IH139" s="1757">
        <f t="shared" ca="1" si="269"/>
        <v>0</v>
      </c>
      <c r="II139" s="1757">
        <f t="shared" ca="1" si="269"/>
        <v>0</v>
      </c>
      <c r="IJ139" s="1757">
        <f t="shared" ca="1" si="269"/>
        <v>0</v>
      </c>
      <c r="IK139" s="1757">
        <f t="shared" ca="1" si="269"/>
        <v>0</v>
      </c>
      <c r="IL139" s="1757">
        <f t="shared" ca="1" si="269"/>
        <v>0</v>
      </c>
      <c r="IM139" s="1757">
        <f t="shared" ca="1" si="269"/>
        <v>0</v>
      </c>
      <c r="IN139" s="1757">
        <f t="shared" ca="1" si="269"/>
        <v>0</v>
      </c>
      <c r="IO139" s="1757">
        <f t="shared" ca="1" si="269"/>
        <v>0</v>
      </c>
      <c r="IP139" s="1757">
        <f t="shared" ca="1" si="269"/>
        <v>0</v>
      </c>
      <c r="IQ139" s="1757">
        <f t="shared" ca="1" si="269"/>
        <v>0</v>
      </c>
      <c r="IR139" s="1757">
        <f t="shared" ca="1" si="270"/>
        <v>0</v>
      </c>
      <c r="IS139" s="1757">
        <f t="shared" ca="1" si="270"/>
        <v>0</v>
      </c>
      <c r="IT139" s="1757">
        <f t="shared" ca="1" si="270"/>
        <v>0</v>
      </c>
      <c r="IU139" s="1757">
        <f t="shared" ca="1" si="270"/>
        <v>0</v>
      </c>
      <c r="IV139" s="1757">
        <f t="shared" ca="1" si="270"/>
        <v>0</v>
      </c>
      <c r="IW139" s="1757">
        <f t="shared" ca="1" si="270"/>
        <v>0</v>
      </c>
      <c r="IX139" s="1757">
        <f t="shared" ca="1" si="270"/>
        <v>0</v>
      </c>
      <c r="IY139" s="1757">
        <f t="shared" ca="1" si="270"/>
        <v>0</v>
      </c>
      <c r="IZ139" s="1757">
        <f t="shared" ca="1" si="270"/>
        <v>0</v>
      </c>
      <c r="JA139" s="1757">
        <f t="shared" ca="1" si="270"/>
        <v>0</v>
      </c>
      <c r="JB139" s="1757">
        <f t="shared" ca="1" si="271"/>
        <v>0</v>
      </c>
      <c r="JC139" s="1757">
        <f t="shared" ca="1" si="271"/>
        <v>0</v>
      </c>
      <c r="JD139" s="1757">
        <f t="shared" ca="1" si="271"/>
        <v>0</v>
      </c>
      <c r="JE139" s="1757">
        <f t="shared" ca="1" si="271"/>
        <v>0</v>
      </c>
      <c r="JF139" s="1757">
        <f t="shared" ca="1" si="271"/>
        <v>0</v>
      </c>
      <c r="JG139" s="1757">
        <f t="shared" ca="1" si="271"/>
        <v>0</v>
      </c>
      <c r="JH139" s="1757">
        <f t="shared" ca="1" si="271"/>
        <v>0</v>
      </c>
      <c r="JI139" s="1757">
        <f t="shared" ca="1" si="271"/>
        <v>0</v>
      </c>
      <c r="JJ139" s="1757">
        <f t="shared" ca="1" si="271"/>
        <v>0</v>
      </c>
      <c r="JK139" s="1757">
        <f t="shared" ca="1" si="271"/>
        <v>0</v>
      </c>
      <c r="JL139" s="1757">
        <f t="shared" ca="1" si="272"/>
        <v>0</v>
      </c>
      <c r="JM139" s="1757">
        <f t="shared" ca="1" si="272"/>
        <v>0</v>
      </c>
      <c r="JN139" s="1757">
        <f t="shared" ca="1" si="272"/>
        <v>0</v>
      </c>
      <c r="JO139" s="1757">
        <f t="shared" ca="1" si="272"/>
        <v>0</v>
      </c>
      <c r="JP139" s="1757">
        <f t="shared" ca="1" si="272"/>
        <v>0</v>
      </c>
      <c r="JQ139" s="1757">
        <f t="shared" ca="1" si="272"/>
        <v>0</v>
      </c>
      <c r="JR139" s="1757">
        <f t="shared" ca="1" si="272"/>
        <v>0</v>
      </c>
      <c r="JS139" s="1757">
        <f t="shared" ca="1" si="272"/>
        <v>0</v>
      </c>
      <c r="JT139" s="1757">
        <f t="shared" ca="1" si="272"/>
        <v>0</v>
      </c>
      <c r="JU139" s="1757">
        <f t="shared" ca="1" si="272"/>
        <v>0</v>
      </c>
      <c r="JV139" s="1757">
        <f t="shared" ca="1" si="273"/>
        <v>0</v>
      </c>
      <c r="JW139" s="1757">
        <f t="shared" ca="1" si="273"/>
        <v>0</v>
      </c>
      <c r="JX139" s="1757">
        <f t="shared" ca="1" si="273"/>
        <v>0</v>
      </c>
      <c r="JY139" s="1757">
        <f t="shared" ca="1" si="273"/>
        <v>0</v>
      </c>
      <c r="JZ139" s="1757">
        <f t="shared" ca="1" si="273"/>
        <v>0</v>
      </c>
      <c r="KA139" s="1757">
        <f t="shared" ca="1" si="273"/>
        <v>0</v>
      </c>
      <c r="KB139" s="1757">
        <f t="shared" ca="1" si="273"/>
        <v>0</v>
      </c>
      <c r="KC139" s="1757">
        <f t="shared" ca="1" si="273"/>
        <v>0</v>
      </c>
      <c r="KD139" s="1757">
        <f t="shared" ca="1" si="273"/>
        <v>0</v>
      </c>
      <c r="KE139" s="1757">
        <f t="shared" ca="1" si="273"/>
        <v>0</v>
      </c>
      <c r="KF139" s="1757">
        <f t="shared" ca="1" si="274"/>
        <v>0</v>
      </c>
      <c r="KG139" s="1757">
        <f t="shared" ca="1" si="274"/>
        <v>0</v>
      </c>
      <c r="KH139" s="1757">
        <f t="shared" ca="1" si="274"/>
        <v>0</v>
      </c>
      <c r="KI139" s="1757">
        <f t="shared" ca="1" si="274"/>
        <v>0</v>
      </c>
      <c r="KJ139" s="1757">
        <f t="shared" ca="1" si="274"/>
        <v>0</v>
      </c>
      <c r="KK139" s="1757">
        <f t="shared" ca="1" si="274"/>
        <v>0</v>
      </c>
      <c r="KL139" s="1757">
        <f t="shared" ca="1" si="274"/>
        <v>0</v>
      </c>
      <c r="KM139" s="1757">
        <f t="shared" ca="1" si="274"/>
        <v>0</v>
      </c>
      <c r="KN139" s="1757">
        <f t="shared" ca="1" si="274"/>
        <v>0</v>
      </c>
      <c r="KO139" s="1757">
        <f t="shared" ca="1" si="274"/>
        <v>0</v>
      </c>
      <c r="KP139" s="1757">
        <f t="shared" ca="1" si="275"/>
        <v>0</v>
      </c>
      <c r="KQ139" s="1757">
        <f t="shared" ca="1" si="275"/>
        <v>0</v>
      </c>
      <c r="KR139" s="1757">
        <f t="shared" ca="1" si="275"/>
        <v>0</v>
      </c>
      <c r="KS139" s="1757">
        <f t="shared" ca="1" si="275"/>
        <v>0</v>
      </c>
      <c r="KT139" s="1757">
        <f t="shared" ca="1" si="275"/>
        <v>0</v>
      </c>
      <c r="KU139" s="1757">
        <f t="shared" ca="1" si="275"/>
        <v>0</v>
      </c>
      <c r="KV139" s="1757">
        <f t="shared" ca="1" si="275"/>
        <v>0</v>
      </c>
      <c r="KW139" s="1757">
        <f t="shared" ca="1" si="275"/>
        <v>0</v>
      </c>
      <c r="KX139" s="1757">
        <f t="shared" ca="1" si="275"/>
        <v>0</v>
      </c>
      <c r="KY139" s="1757">
        <f t="shared" ca="1" si="275"/>
        <v>0</v>
      </c>
      <c r="KZ139" s="1757">
        <f t="shared" ca="1" si="276"/>
        <v>0</v>
      </c>
      <c r="LA139" s="1757">
        <f t="shared" ca="1" si="276"/>
        <v>0</v>
      </c>
      <c r="LB139" s="1757">
        <f t="shared" ca="1" si="276"/>
        <v>0</v>
      </c>
      <c r="LC139" s="1757">
        <f t="shared" ca="1" si="276"/>
        <v>0</v>
      </c>
      <c r="LD139" s="1757">
        <f t="shared" ca="1" si="276"/>
        <v>0</v>
      </c>
      <c r="LE139" s="1757">
        <f t="shared" ca="1" si="276"/>
        <v>0</v>
      </c>
      <c r="LF139" s="1757">
        <f t="shared" ca="1" si="276"/>
        <v>0</v>
      </c>
      <c r="LG139" s="1757">
        <f t="shared" ca="1" si="276"/>
        <v>0</v>
      </c>
      <c r="LH139" s="1757">
        <f t="shared" ca="1" si="276"/>
        <v>0</v>
      </c>
      <c r="LI139" s="1757">
        <f t="shared" ca="1" si="276"/>
        <v>0</v>
      </c>
      <c r="LJ139" s="1757">
        <f t="shared" ca="1" si="277"/>
        <v>0</v>
      </c>
      <c r="LK139" s="1757">
        <f t="shared" ca="1" si="277"/>
        <v>0</v>
      </c>
      <c r="LL139" s="1757">
        <f t="shared" ca="1" si="277"/>
        <v>0</v>
      </c>
      <c r="LM139" s="1757">
        <f t="shared" ca="1" si="277"/>
        <v>0</v>
      </c>
      <c r="LN139" s="1757">
        <f t="shared" ca="1" si="277"/>
        <v>0</v>
      </c>
      <c r="LO139" s="1757">
        <f t="shared" ca="1" si="277"/>
        <v>0</v>
      </c>
      <c r="LP139" s="1758">
        <f t="shared" ca="1" si="277"/>
        <v>0</v>
      </c>
      <c r="LQ139" s="604"/>
    </row>
    <row r="140" spans="1:329" ht="12.75" customHeight="1" x14ac:dyDescent="0.3">
      <c r="A140" s="279"/>
      <c r="B140" s="41"/>
      <c r="C140" s="82"/>
      <c r="D140" s="41"/>
      <c r="E140" s="9"/>
      <c r="F140" s="9"/>
      <c r="G140" s="9"/>
      <c r="H140" s="10"/>
      <c r="I140" s="10"/>
      <c r="J140" s="10"/>
      <c r="K140" s="10"/>
      <c r="L140" s="10"/>
      <c r="M140" s="10"/>
      <c r="N140" s="9"/>
      <c r="O140" s="9"/>
      <c r="P140" s="44"/>
      <c r="Q140" s="44"/>
      <c r="R140" s="9"/>
      <c r="S140" s="9"/>
      <c r="T140" s="9"/>
      <c r="U140" s="9"/>
      <c r="V140" s="9"/>
      <c r="W140" s="9"/>
      <c r="X140" s="9"/>
      <c r="Y140" s="9"/>
      <c r="Z140" s="9"/>
      <c r="AA140" s="9"/>
      <c r="AB140" s="9"/>
      <c r="AC140" s="9"/>
      <c r="AD140" s="9"/>
      <c r="AE140" s="9"/>
      <c r="AF140" s="9"/>
      <c r="AG140" s="9"/>
      <c r="AH140" s="2514"/>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113"/>
      <c r="DI140" s="113"/>
      <c r="DJ140" s="113"/>
      <c r="DK140" s="118"/>
      <c r="DL140" s="118"/>
      <c r="DM140" s="118"/>
      <c r="DN140" s="118"/>
      <c r="DO140" s="118"/>
      <c r="DP140" s="118"/>
      <c r="DQ140" s="118"/>
      <c r="DR140" s="118"/>
      <c r="DS140" s="118"/>
      <c r="DT140" s="118"/>
      <c r="DU140" s="118"/>
      <c r="DV140" s="118"/>
      <c r="DW140" s="118"/>
      <c r="DX140" s="118"/>
      <c r="DY140" s="118"/>
      <c r="DZ140" s="118"/>
      <c r="EA140" s="118"/>
      <c r="EB140" s="118"/>
      <c r="EC140" s="118"/>
      <c r="ED140" s="118"/>
      <c r="EE140" s="118"/>
      <c r="EF140" s="118"/>
      <c r="EG140" s="118"/>
      <c r="EH140" s="118"/>
      <c r="EI140" s="118"/>
      <c r="EJ140" s="118"/>
      <c r="EK140" s="118"/>
      <c r="EL140" s="118"/>
      <c r="EM140" s="118"/>
      <c r="EN140" s="118"/>
      <c r="EO140" s="118"/>
      <c r="EP140" s="118"/>
      <c r="EQ140" s="118"/>
      <c r="ER140" s="118"/>
      <c r="ES140" s="118"/>
      <c r="ET140" s="118"/>
      <c r="EU140" s="118"/>
      <c r="EV140" s="118"/>
      <c r="EW140" s="118"/>
      <c r="EX140" s="118"/>
      <c r="EY140" s="118"/>
      <c r="EZ140" s="118"/>
      <c r="FA140" s="118"/>
      <c r="FB140" s="118"/>
      <c r="FC140" s="118"/>
      <c r="FD140" s="118"/>
      <c r="FE140" s="118"/>
      <c r="FF140" s="118"/>
      <c r="FG140" s="118"/>
      <c r="FH140" s="118"/>
      <c r="FI140" s="180"/>
      <c r="FJ140" s="132"/>
      <c r="FK140" s="132"/>
      <c r="FL140" s="181">
        <f ca="1">FO140+1</f>
        <v>1</v>
      </c>
      <c r="FM140" s="1351" t="str">
        <f t="shared" ca="1" si="259"/>
        <v>L1A Designated Project Executive</v>
      </c>
      <c r="FN140" s="1352">
        <f ca="1">OFFSET($DJ$26,0,$FO140)</f>
        <v>0</v>
      </c>
      <c r="FO140" s="1342">
        <f t="shared" ca="1" si="260"/>
        <v>0</v>
      </c>
      <c r="FP140" s="1353">
        <f t="shared" ca="1" si="261"/>
        <v>0</v>
      </c>
      <c r="FQ140" s="1333">
        <f t="shared" si="262"/>
        <v>40</v>
      </c>
      <c r="FR140" s="1333">
        <f t="shared" si="263"/>
        <v>50</v>
      </c>
      <c r="FS140" s="1353">
        <v>1</v>
      </c>
      <c r="FT140" s="1353"/>
      <c r="FU140" s="1354">
        <f t="shared" ca="1" si="219"/>
        <v>0</v>
      </c>
      <c r="FV140" s="1354"/>
      <c r="FW140" s="1354"/>
      <c r="FX140" s="1355"/>
      <c r="FY140" s="1349"/>
      <c r="FZ140" s="1349"/>
      <c r="GA140" s="1349"/>
      <c r="GB140" s="1349"/>
      <c r="GC140" s="1349"/>
      <c r="GD140" s="1349"/>
      <c r="GE140" s="1349"/>
      <c r="GF140" s="1349"/>
      <c r="GG140" s="1349"/>
      <c r="GH140" s="1349"/>
      <c r="GI140" s="1349"/>
      <c r="GJ140" s="1349"/>
      <c r="GK140" s="1349"/>
      <c r="GL140" s="1349"/>
      <c r="GM140" s="1349"/>
      <c r="GN140" s="3832" t="str">
        <f t="shared" ca="1" si="264"/>
        <v>Waite Andy</v>
      </c>
      <c r="GO140" s="3832"/>
      <c r="GP140" s="3832"/>
      <c r="GQ140" s="3833"/>
      <c r="GR140" s="3675"/>
      <c r="GS140" s="3676"/>
      <c r="GT140" s="1759">
        <f t="shared" ca="1" si="265"/>
        <v>0</v>
      </c>
      <c r="GU140" s="1757">
        <f t="shared" ca="1" si="265"/>
        <v>0</v>
      </c>
      <c r="GV140" s="1760">
        <f t="shared" ca="1" si="265"/>
        <v>0</v>
      </c>
      <c r="GW140" s="1760">
        <f t="shared" ca="1" si="265"/>
        <v>0</v>
      </c>
      <c r="GX140" s="1760">
        <f t="shared" ca="1" si="265"/>
        <v>0</v>
      </c>
      <c r="GY140" s="1760">
        <f t="shared" ca="1" si="265"/>
        <v>0</v>
      </c>
      <c r="GZ140" s="1760">
        <f t="shared" ca="1" si="265"/>
        <v>0</v>
      </c>
      <c r="HA140" s="1760">
        <f t="shared" ca="1" si="265"/>
        <v>0</v>
      </c>
      <c r="HB140" s="1760">
        <f t="shared" ca="1" si="265"/>
        <v>0</v>
      </c>
      <c r="HC140" s="1760">
        <f t="shared" ca="1" si="265"/>
        <v>0</v>
      </c>
      <c r="HD140" s="1760">
        <f t="shared" ca="1" si="266"/>
        <v>0</v>
      </c>
      <c r="HE140" s="1760">
        <f t="shared" ca="1" si="266"/>
        <v>0</v>
      </c>
      <c r="HF140" s="1760">
        <f t="shared" ca="1" si="266"/>
        <v>0</v>
      </c>
      <c r="HG140" s="1760">
        <f t="shared" ca="1" si="266"/>
        <v>0</v>
      </c>
      <c r="HH140" s="1760">
        <f t="shared" ca="1" si="266"/>
        <v>0</v>
      </c>
      <c r="HI140" s="1760">
        <f t="shared" ca="1" si="266"/>
        <v>0</v>
      </c>
      <c r="HJ140" s="1760">
        <f t="shared" ca="1" si="266"/>
        <v>0</v>
      </c>
      <c r="HK140" s="1760">
        <f t="shared" ca="1" si="266"/>
        <v>0</v>
      </c>
      <c r="HL140" s="1760">
        <f t="shared" ca="1" si="266"/>
        <v>0</v>
      </c>
      <c r="HM140" s="1760">
        <f t="shared" ca="1" si="266"/>
        <v>0</v>
      </c>
      <c r="HN140" s="1760">
        <f t="shared" ca="1" si="267"/>
        <v>0</v>
      </c>
      <c r="HO140" s="1760">
        <f t="shared" ca="1" si="267"/>
        <v>0</v>
      </c>
      <c r="HP140" s="1760">
        <f t="shared" ca="1" si="267"/>
        <v>0</v>
      </c>
      <c r="HQ140" s="1760">
        <f t="shared" ca="1" si="267"/>
        <v>0</v>
      </c>
      <c r="HR140" s="1760">
        <f t="shared" ca="1" si="267"/>
        <v>0</v>
      </c>
      <c r="HS140" s="1760">
        <f t="shared" ca="1" si="267"/>
        <v>0</v>
      </c>
      <c r="HT140" s="1760">
        <f t="shared" ca="1" si="267"/>
        <v>0</v>
      </c>
      <c r="HU140" s="1760">
        <f t="shared" ca="1" si="267"/>
        <v>0</v>
      </c>
      <c r="HV140" s="1760">
        <f t="shared" ca="1" si="267"/>
        <v>0</v>
      </c>
      <c r="HW140" s="1760">
        <f t="shared" ca="1" si="267"/>
        <v>0</v>
      </c>
      <c r="HX140" s="1760">
        <f t="shared" ca="1" si="268"/>
        <v>0</v>
      </c>
      <c r="HY140" s="1760">
        <f t="shared" ca="1" si="268"/>
        <v>0</v>
      </c>
      <c r="HZ140" s="1760">
        <f t="shared" ca="1" si="268"/>
        <v>0</v>
      </c>
      <c r="IA140" s="1760">
        <f t="shared" ca="1" si="268"/>
        <v>0</v>
      </c>
      <c r="IB140" s="1760">
        <f t="shared" ca="1" si="268"/>
        <v>0</v>
      </c>
      <c r="IC140" s="1760">
        <f t="shared" ca="1" si="268"/>
        <v>0</v>
      </c>
      <c r="ID140" s="1760">
        <f t="shared" ca="1" si="268"/>
        <v>0</v>
      </c>
      <c r="IE140" s="1760">
        <f t="shared" ca="1" si="268"/>
        <v>0</v>
      </c>
      <c r="IF140" s="1760">
        <f t="shared" ca="1" si="268"/>
        <v>0</v>
      </c>
      <c r="IG140" s="1760">
        <f t="shared" ca="1" si="268"/>
        <v>0</v>
      </c>
      <c r="IH140" s="1760">
        <f t="shared" ca="1" si="269"/>
        <v>0</v>
      </c>
      <c r="II140" s="1760">
        <f t="shared" ca="1" si="269"/>
        <v>0</v>
      </c>
      <c r="IJ140" s="1760">
        <f t="shared" ca="1" si="269"/>
        <v>0</v>
      </c>
      <c r="IK140" s="1760">
        <f t="shared" ca="1" si="269"/>
        <v>0</v>
      </c>
      <c r="IL140" s="1760">
        <f t="shared" ca="1" si="269"/>
        <v>0</v>
      </c>
      <c r="IM140" s="1760">
        <f t="shared" ca="1" si="269"/>
        <v>0</v>
      </c>
      <c r="IN140" s="1760">
        <f t="shared" ca="1" si="269"/>
        <v>0</v>
      </c>
      <c r="IO140" s="1760">
        <f t="shared" ca="1" si="269"/>
        <v>0</v>
      </c>
      <c r="IP140" s="1760">
        <f t="shared" ca="1" si="269"/>
        <v>0</v>
      </c>
      <c r="IQ140" s="1760">
        <f t="shared" ca="1" si="269"/>
        <v>0</v>
      </c>
      <c r="IR140" s="1760">
        <f t="shared" ca="1" si="270"/>
        <v>0</v>
      </c>
      <c r="IS140" s="1760">
        <f t="shared" ca="1" si="270"/>
        <v>0</v>
      </c>
      <c r="IT140" s="1760">
        <f t="shared" ca="1" si="270"/>
        <v>0</v>
      </c>
      <c r="IU140" s="1760">
        <f t="shared" ca="1" si="270"/>
        <v>0</v>
      </c>
      <c r="IV140" s="1760">
        <f t="shared" ca="1" si="270"/>
        <v>0</v>
      </c>
      <c r="IW140" s="1760">
        <f t="shared" ca="1" si="270"/>
        <v>0</v>
      </c>
      <c r="IX140" s="1760">
        <f t="shared" ca="1" si="270"/>
        <v>0</v>
      </c>
      <c r="IY140" s="1760">
        <f t="shared" ca="1" si="270"/>
        <v>0</v>
      </c>
      <c r="IZ140" s="1760">
        <f t="shared" ca="1" si="270"/>
        <v>0</v>
      </c>
      <c r="JA140" s="1760">
        <f t="shared" ca="1" si="270"/>
        <v>0</v>
      </c>
      <c r="JB140" s="1760">
        <f t="shared" ca="1" si="271"/>
        <v>0</v>
      </c>
      <c r="JC140" s="1760">
        <f t="shared" ca="1" si="271"/>
        <v>0</v>
      </c>
      <c r="JD140" s="1760">
        <f t="shared" ca="1" si="271"/>
        <v>0</v>
      </c>
      <c r="JE140" s="1760">
        <f t="shared" ca="1" si="271"/>
        <v>0</v>
      </c>
      <c r="JF140" s="1760">
        <f t="shared" ca="1" si="271"/>
        <v>0</v>
      </c>
      <c r="JG140" s="1760">
        <f t="shared" ca="1" si="271"/>
        <v>0</v>
      </c>
      <c r="JH140" s="1760">
        <f t="shared" ca="1" si="271"/>
        <v>0</v>
      </c>
      <c r="JI140" s="1760">
        <f t="shared" ca="1" si="271"/>
        <v>0</v>
      </c>
      <c r="JJ140" s="1760">
        <f t="shared" ca="1" si="271"/>
        <v>0</v>
      </c>
      <c r="JK140" s="1760">
        <f t="shared" ca="1" si="271"/>
        <v>0</v>
      </c>
      <c r="JL140" s="1760">
        <f t="shared" ca="1" si="272"/>
        <v>0</v>
      </c>
      <c r="JM140" s="1760">
        <f t="shared" ca="1" si="272"/>
        <v>0</v>
      </c>
      <c r="JN140" s="1760">
        <f t="shared" ca="1" si="272"/>
        <v>0</v>
      </c>
      <c r="JO140" s="1760">
        <f t="shared" ca="1" si="272"/>
        <v>0</v>
      </c>
      <c r="JP140" s="1760">
        <f t="shared" ca="1" si="272"/>
        <v>0</v>
      </c>
      <c r="JQ140" s="1760">
        <f t="shared" ca="1" si="272"/>
        <v>0</v>
      </c>
      <c r="JR140" s="1760">
        <f t="shared" ca="1" si="272"/>
        <v>0</v>
      </c>
      <c r="JS140" s="1760">
        <f t="shared" ca="1" si="272"/>
        <v>0</v>
      </c>
      <c r="JT140" s="1760">
        <f t="shared" ca="1" si="272"/>
        <v>0</v>
      </c>
      <c r="JU140" s="1760">
        <f t="shared" ca="1" si="272"/>
        <v>0</v>
      </c>
      <c r="JV140" s="1760">
        <f t="shared" ca="1" si="273"/>
        <v>0</v>
      </c>
      <c r="JW140" s="1760">
        <f t="shared" ca="1" si="273"/>
        <v>0</v>
      </c>
      <c r="JX140" s="1760">
        <f t="shared" ca="1" si="273"/>
        <v>0</v>
      </c>
      <c r="JY140" s="1760">
        <f t="shared" ca="1" si="273"/>
        <v>0</v>
      </c>
      <c r="JZ140" s="1760">
        <f t="shared" ca="1" si="273"/>
        <v>0</v>
      </c>
      <c r="KA140" s="1760">
        <f t="shared" ca="1" si="273"/>
        <v>0</v>
      </c>
      <c r="KB140" s="1760">
        <f t="shared" ca="1" si="273"/>
        <v>0</v>
      </c>
      <c r="KC140" s="1760">
        <f t="shared" ca="1" si="273"/>
        <v>0</v>
      </c>
      <c r="KD140" s="1760">
        <f t="shared" ca="1" si="273"/>
        <v>0</v>
      </c>
      <c r="KE140" s="1760">
        <f t="shared" ca="1" si="273"/>
        <v>0</v>
      </c>
      <c r="KF140" s="1760">
        <f t="shared" ca="1" si="274"/>
        <v>0</v>
      </c>
      <c r="KG140" s="1760">
        <f t="shared" ca="1" si="274"/>
        <v>0</v>
      </c>
      <c r="KH140" s="1760">
        <f t="shared" ca="1" si="274"/>
        <v>0</v>
      </c>
      <c r="KI140" s="1760">
        <f t="shared" ca="1" si="274"/>
        <v>0</v>
      </c>
      <c r="KJ140" s="1760">
        <f t="shared" ca="1" si="274"/>
        <v>0</v>
      </c>
      <c r="KK140" s="1760">
        <f t="shared" ca="1" si="274"/>
        <v>0</v>
      </c>
      <c r="KL140" s="1760">
        <f t="shared" ca="1" si="274"/>
        <v>0</v>
      </c>
      <c r="KM140" s="1760">
        <f t="shared" ca="1" si="274"/>
        <v>0</v>
      </c>
      <c r="KN140" s="1760">
        <f t="shared" ca="1" si="274"/>
        <v>0</v>
      </c>
      <c r="KO140" s="1760">
        <f t="shared" ca="1" si="274"/>
        <v>0</v>
      </c>
      <c r="KP140" s="1760">
        <f t="shared" ca="1" si="275"/>
        <v>0</v>
      </c>
      <c r="KQ140" s="1760">
        <f t="shared" ca="1" si="275"/>
        <v>0</v>
      </c>
      <c r="KR140" s="1760">
        <f t="shared" ca="1" si="275"/>
        <v>0</v>
      </c>
      <c r="KS140" s="1760">
        <f t="shared" ca="1" si="275"/>
        <v>0</v>
      </c>
      <c r="KT140" s="1760">
        <f t="shared" ca="1" si="275"/>
        <v>0</v>
      </c>
      <c r="KU140" s="1760">
        <f t="shared" ca="1" si="275"/>
        <v>0</v>
      </c>
      <c r="KV140" s="1760">
        <f t="shared" ca="1" si="275"/>
        <v>0</v>
      </c>
      <c r="KW140" s="1760">
        <f t="shared" ca="1" si="275"/>
        <v>0</v>
      </c>
      <c r="KX140" s="1760">
        <f t="shared" ca="1" si="275"/>
        <v>0</v>
      </c>
      <c r="KY140" s="1760">
        <f t="shared" ca="1" si="275"/>
        <v>0</v>
      </c>
      <c r="KZ140" s="1760">
        <f t="shared" ca="1" si="276"/>
        <v>0</v>
      </c>
      <c r="LA140" s="1760">
        <f t="shared" ca="1" si="276"/>
        <v>0</v>
      </c>
      <c r="LB140" s="1760">
        <f t="shared" ca="1" si="276"/>
        <v>0</v>
      </c>
      <c r="LC140" s="1760">
        <f t="shared" ca="1" si="276"/>
        <v>0</v>
      </c>
      <c r="LD140" s="1760">
        <f t="shared" ca="1" si="276"/>
        <v>0</v>
      </c>
      <c r="LE140" s="1760">
        <f t="shared" ca="1" si="276"/>
        <v>0</v>
      </c>
      <c r="LF140" s="1760">
        <f t="shared" ca="1" si="276"/>
        <v>0</v>
      </c>
      <c r="LG140" s="1760">
        <f t="shared" ca="1" si="276"/>
        <v>0</v>
      </c>
      <c r="LH140" s="1760">
        <f t="shared" ca="1" si="276"/>
        <v>0</v>
      </c>
      <c r="LI140" s="1760">
        <f t="shared" ca="1" si="276"/>
        <v>0</v>
      </c>
      <c r="LJ140" s="1760">
        <f t="shared" ca="1" si="277"/>
        <v>0</v>
      </c>
      <c r="LK140" s="1760">
        <f t="shared" ca="1" si="277"/>
        <v>0</v>
      </c>
      <c r="LL140" s="1760">
        <f t="shared" ca="1" si="277"/>
        <v>0</v>
      </c>
      <c r="LM140" s="1760">
        <f t="shared" ca="1" si="277"/>
        <v>0</v>
      </c>
      <c r="LN140" s="1760">
        <f t="shared" ca="1" si="277"/>
        <v>0</v>
      </c>
      <c r="LO140" s="1760">
        <f t="shared" ca="1" si="277"/>
        <v>0</v>
      </c>
      <c r="LP140" s="1761">
        <f t="shared" ca="1" si="277"/>
        <v>0</v>
      </c>
      <c r="LQ140" s="611"/>
    </row>
    <row r="141" spans="1:329" ht="40.5" customHeight="1" x14ac:dyDescent="0.3">
      <c r="A141" s="279"/>
      <c r="B141" s="41"/>
      <c r="C141" s="82"/>
      <c r="D141" s="41"/>
      <c r="E141" s="9"/>
      <c r="F141" s="9"/>
      <c r="G141" s="9"/>
      <c r="H141" s="10"/>
      <c r="I141" s="10"/>
      <c r="J141" s="10"/>
      <c r="K141" s="10"/>
      <c r="L141" s="10"/>
      <c r="M141" s="10"/>
      <c r="N141" s="9"/>
      <c r="O141" s="9"/>
      <c r="P141" s="44"/>
      <c r="Q141" s="44"/>
      <c r="R141" s="9"/>
      <c r="S141" s="9"/>
      <c r="T141" s="9"/>
      <c r="U141" s="9"/>
      <c r="V141" s="9"/>
      <c r="W141" s="9"/>
      <c r="X141" s="9"/>
      <c r="Y141" s="9"/>
      <c r="Z141" s="9"/>
      <c r="AA141" s="9"/>
      <c r="AB141" s="9"/>
      <c r="AC141" s="9"/>
      <c r="AD141" s="9"/>
      <c r="AE141" s="9"/>
      <c r="AF141" s="9"/>
      <c r="AG141" s="9"/>
      <c r="AH141" s="2514"/>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113"/>
      <c r="DI141" s="113"/>
      <c r="DJ141" s="113"/>
      <c r="DK141" s="118"/>
      <c r="DL141" s="118"/>
      <c r="DM141" s="118"/>
      <c r="DN141" s="118"/>
      <c r="DO141" s="118"/>
      <c r="DP141" s="118"/>
      <c r="DQ141" s="118"/>
      <c r="DR141" s="118"/>
      <c r="DS141" s="118"/>
      <c r="DT141" s="118"/>
      <c r="DU141" s="118"/>
      <c r="DV141" s="118"/>
      <c r="DW141" s="118"/>
      <c r="DX141" s="118"/>
      <c r="DY141" s="118"/>
      <c r="DZ141" s="118"/>
      <c r="EA141" s="118"/>
      <c r="EB141" s="118"/>
      <c r="EC141" s="118"/>
      <c r="ED141" s="118"/>
      <c r="EE141" s="118"/>
      <c r="EF141" s="118"/>
      <c r="EG141" s="118"/>
      <c r="EH141" s="118"/>
      <c r="EI141" s="118"/>
      <c r="EJ141" s="118"/>
      <c r="EK141" s="118"/>
      <c r="EL141" s="118"/>
      <c r="EM141" s="118"/>
      <c r="EN141" s="118"/>
      <c r="EO141" s="118"/>
      <c r="EP141" s="118"/>
      <c r="EQ141" s="118"/>
      <c r="ER141" s="118"/>
      <c r="ES141" s="118"/>
      <c r="ET141" s="118"/>
      <c r="EU141" s="118"/>
      <c r="EV141" s="118"/>
      <c r="EW141" s="118"/>
      <c r="EX141" s="118"/>
      <c r="EY141" s="118"/>
      <c r="EZ141" s="118"/>
      <c r="FA141" s="118"/>
      <c r="FB141" s="118"/>
      <c r="FC141" s="118"/>
      <c r="FD141" s="118"/>
      <c r="FE141" s="118"/>
      <c r="FF141" s="118"/>
      <c r="FG141" s="118"/>
      <c r="FH141" s="118"/>
      <c r="FI141" s="70"/>
      <c r="FJ141" s="132"/>
      <c r="FK141" s="132"/>
      <c r="FL141" s="6"/>
      <c r="FM141" s="660" t="s">
        <v>14</v>
      </c>
      <c r="FN141" s="898" t="s">
        <v>1030</v>
      </c>
      <c r="FO141" s="858" t="s">
        <v>748</v>
      </c>
      <c r="FP141" s="855"/>
      <c r="FQ141" s="855"/>
      <c r="FR141" s="855"/>
      <c r="FS141" s="858" t="s">
        <v>747</v>
      </c>
      <c r="FT141" s="855"/>
      <c r="FU141" s="856" t="s">
        <v>88</v>
      </c>
      <c r="FV141" s="856"/>
      <c r="FW141" s="856"/>
      <c r="FX141" s="855"/>
      <c r="FY141" s="855"/>
      <c r="FZ141" s="855"/>
      <c r="GA141" s="855"/>
      <c r="GB141" s="857"/>
      <c r="GC141" s="857"/>
      <c r="GD141" s="855"/>
      <c r="GE141" s="855"/>
      <c r="GF141" s="855"/>
      <c r="GG141" s="855"/>
      <c r="GH141" s="855"/>
      <c r="GI141" s="855"/>
      <c r="GJ141" s="855"/>
      <c r="GK141" s="855"/>
      <c r="GL141" s="855"/>
      <c r="GM141" s="855"/>
      <c r="GN141" s="3831" t="s">
        <v>9</v>
      </c>
      <c r="GO141" s="3831"/>
      <c r="GP141" s="3831"/>
      <c r="GQ141" s="3831"/>
      <c r="GR141" s="3814" t="s">
        <v>118</v>
      </c>
      <c r="GS141" s="3815"/>
      <c r="GT141" s="1803">
        <f t="shared" ref="GT141:GV141" si="280">IF(GT171&gt;0,GT170,"")</f>
        <v>43840</v>
      </c>
      <c r="GU141" s="1803">
        <f t="shared" si="280"/>
        <v>43847</v>
      </c>
      <c r="GV141" s="1803">
        <f t="shared" si="280"/>
        <v>43854</v>
      </c>
      <c r="GW141" s="1803">
        <f>IF(GW171&gt;0,GW170,"")</f>
        <v>43861</v>
      </c>
      <c r="GX141" s="1803">
        <f t="shared" ref="GX141:JI141" si="281">IF(GX171&gt;0,GX170,"")</f>
        <v>43868</v>
      </c>
      <c r="GY141" s="1803">
        <f t="shared" si="281"/>
        <v>43875</v>
      </c>
      <c r="GZ141" s="1803">
        <f t="shared" si="281"/>
        <v>43882</v>
      </c>
      <c r="HA141" s="1803">
        <f t="shared" si="281"/>
        <v>43889</v>
      </c>
      <c r="HB141" s="1803">
        <f t="shared" si="281"/>
        <v>43896</v>
      </c>
      <c r="HC141" s="1803">
        <f t="shared" si="281"/>
        <v>43903</v>
      </c>
      <c r="HD141" s="1803">
        <f t="shared" si="281"/>
        <v>43910</v>
      </c>
      <c r="HE141" s="1803">
        <f t="shared" si="281"/>
        <v>43917</v>
      </c>
      <c r="HF141" s="1803" t="str">
        <f t="shared" si="281"/>
        <v/>
      </c>
      <c r="HG141" s="1803" t="str">
        <f t="shared" si="281"/>
        <v/>
      </c>
      <c r="HH141" s="1803" t="str">
        <f t="shared" si="281"/>
        <v/>
      </c>
      <c r="HI141" s="1803" t="str">
        <f t="shared" si="281"/>
        <v/>
      </c>
      <c r="HJ141" s="1803" t="str">
        <f t="shared" si="281"/>
        <v/>
      </c>
      <c r="HK141" s="1803" t="str">
        <f t="shared" si="281"/>
        <v/>
      </c>
      <c r="HL141" s="1803" t="str">
        <f t="shared" si="281"/>
        <v/>
      </c>
      <c r="HM141" s="1803" t="str">
        <f t="shared" si="281"/>
        <v/>
      </c>
      <c r="HN141" s="1803" t="str">
        <f t="shared" si="281"/>
        <v/>
      </c>
      <c r="HO141" s="1803" t="str">
        <f t="shared" si="281"/>
        <v/>
      </c>
      <c r="HP141" s="1803" t="str">
        <f t="shared" si="281"/>
        <v/>
      </c>
      <c r="HQ141" s="1803" t="str">
        <f t="shared" si="281"/>
        <v/>
      </c>
      <c r="HR141" s="1803" t="str">
        <f t="shared" si="281"/>
        <v/>
      </c>
      <c r="HS141" s="1803" t="str">
        <f t="shared" si="281"/>
        <v/>
      </c>
      <c r="HT141" s="1803" t="str">
        <f t="shared" si="281"/>
        <v/>
      </c>
      <c r="HU141" s="1803" t="str">
        <f t="shared" si="281"/>
        <v/>
      </c>
      <c r="HV141" s="1803" t="str">
        <f t="shared" si="281"/>
        <v/>
      </c>
      <c r="HW141" s="1803" t="str">
        <f t="shared" si="281"/>
        <v/>
      </c>
      <c r="HX141" s="1803" t="str">
        <f t="shared" si="281"/>
        <v/>
      </c>
      <c r="HY141" s="1803" t="str">
        <f t="shared" si="281"/>
        <v/>
      </c>
      <c r="HZ141" s="1803" t="str">
        <f t="shared" si="281"/>
        <v/>
      </c>
      <c r="IA141" s="1803" t="str">
        <f t="shared" si="281"/>
        <v/>
      </c>
      <c r="IB141" s="1803" t="str">
        <f t="shared" si="281"/>
        <v/>
      </c>
      <c r="IC141" s="1803" t="str">
        <f t="shared" si="281"/>
        <v/>
      </c>
      <c r="ID141" s="1803" t="str">
        <f t="shared" si="281"/>
        <v/>
      </c>
      <c r="IE141" s="1803" t="str">
        <f t="shared" si="281"/>
        <v/>
      </c>
      <c r="IF141" s="1803" t="str">
        <f t="shared" si="281"/>
        <v/>
      </c>
      <c r="IG141" s="1803" t="str">
        <f t="shared" si="281"/>
        <v/>
      </c>
      <c r="IH141" s="1803" t="str">
        <f t="shared" si="281"/>
        <v/>
      </c>
      <c r="II141" s="1803" t="str">
        <f t="shared" si="281"/>
        <v/>
      </c>
      <c r="IJ141" s="1803" t="str">
        <f t="shared" si="281"/>
        <v/>
      </c>
      <c r="IK141" s="1803" t="str">
        <f t="shared" si="281"/>
        <v/>
      </c>
      <c r="IL141" s="1803" t="str">
        <f t="shared" si="281"/>
        <v/>
      </c>
      <c r="IM141" s="1803" t="str">
        <f t="shared" si="281"/>
        <v/>
      </c>
      <c r="IN141" s="1803" t="str">
        <f t="shared" si="281"/>
        <v/>
      </c>
      <c r="IO141" s="1803" t="str">
        <f t="shared" si="281"/>
        <v/>
      </c>
      <c r="IP141" s="1803" t="str">
        <f t="shared" si="281"/>
        <v/>
      </c>
      <c r="IQ141" s="1803" t="str">
        <f t="shared" si="281"/>
        <v/>
      </c>
      <c r="IR141" s="1803" t="str">
        <f t="shared" si="281"/>
        <v/>
      </c>
      <c r="IS141" s="1803" t="str">
        <f t="shared" si="281"/>
        <v/>
      </c>
      <c r="IT141" s="1803" t="str">
        <f t="shared" si="281"/>
        <v/>
      </c>
      <c r="IU141" s="1803" t="str">
        <f t="shared" si="281"/>
        <v/>
      </c>
      <c r="IV141" s="1803" t="str">
        <f t="shared" si="281"/>
        <v/>
      </c>
      <c r="IW141" s="1803" t="str">
        <f t="shared" si="281"/>
        <v/>
      </c>
      <c r="IX141" s="1803" t="str">
        <f t="shared" si="281"/>
        <v/>
      </c>
      <c r="IY141" s="1803" t="str">
        <f t="shared" si="281"/>
        <v/>
      </c>
      <c r="IZ141" s="1803" t="str">
        <f t="shared" si="281"/>
        <v/>
      </c>
      <c r="JA141" s="1803" t="str">
        <f t="shared" si="281"/>
        <v/>
      </c>
      <c r="JB141" s="1803" t="str">
        <f t="shared" si="281"/>
        <v/>
      </c>
      <c r="JC141" s="1803" t="str">
        <f t="shared" si="281"/>
        <v/>
      </c>
      <c r="JD141" s="1803" t="str">
        <f t="shared" si="281"/>
        <v/>
      </c>
      <c r="JE141" s="1803" t="str">
        <f t="shared" si="281"/>
        <v/>
      </c>
      <c r="JF141" s="1803" t="str">
        <f t="shared" si="281"/>
        <v/>
      </c>
      <c r="JG141" s="1803" t="str">
        <f t="shared" si="281"/>
        <v/>
      </c>
      <c r="JH141" s="1803" t="str">
        <f t="shared" si="281"/>
        <v/>
      </c>
      <c r="JI141" s="1803" t="str">
        <f t="shared" si="281"/>
        <v/>
      </c>
      <c r="JJ141" s="1803" t="str">
        <f>IF(JJ171&gt;0,JJ170,"")</f>
        <v/>
      </c>
      <c r="JK141" s="1803" t="str">
        <f>IF(JK171&gt;0,JK170,"")</f>
        <v/>
      </c>
      <c r="JL141" s="1803" t="str">
        <f>IF(JL171&gt;0,JL170,"")</f>
        <v/>
      </c>
      <c r="JM141" s="1803" t="str">
        <f t="shared" ref="JM141:JS141" si="282">IF(JM171&gt;0,JM170,"")</f>
        <v/>
      </c>
      <c r="JN141" s="1803" t="str">
        <f t="shared" si="282"/>
        <v/>
      </c>
      <c r="JO141" s="1803" t="str">
        <f t="shared" si="282"/>
        <v/>
      </c>
      <c r="JP141" s="1803" t="str">
        <f t="shared" si="282"/>
        <v/>
      </c>
      <c r="JQ141" s="1803" t="str">
        <f t="shared" si="282"/>
        <v/>
      </c>
      <c r="JR141" s="1803" t="str">
        <f t="shared" si="282"/>
        <v/>
      </c>
      <c r="JS141" s="1803" t="str">
        <f t="shared" si="282"/>
        <v/>
      </c>
      <c r="JT141" s="1803" t="str">
        <f t="shared" ref="JT141:KU141" si="283">IF(JT171&gt;0,JT170,"")</f>
        <v/>
      </c>
      <c r="JU141" s="1803" t="str">
        <f t="shared" si="283"/>
        <v/>
      </c>
      <c r="JV141" s="1803" t="str">
        <f t="shared" si="283"/>
        <v/>
      </c>
      <c r="JW141" s="1803" t="str">
        <f t="shared" si="283"/>
        <v/>
      </c>
      <c r="JX141" s="1803" t="str">
        <f t="shared" si="283"/>
        <v/>
      </c>
      <c r="JY141" s="1803" t="str">
        <f t="shared" si="283"/>
        <v/>
      </c>
      <c r="JZ141" s="1803" t="str">
        <f t="shared" si="283"/>
        <v/>
      </c>
      <c r="KA141" s="1803" t="str">
        <f t="shared" si="283"/>
        <v/>
      </c>
      <c r="KB141" s="1803" t="str">
        <f t="shared" si="283"/>
        <v/>
      </c>
      <c r="KC141" s="1803" t="str">
        <f t="shared" si="283"/>
        <v/>
      </c>
      <c r="KD141" s="1803" t="str">
        <f t="shared" si="283"/>
        <v/>
      </c>
      <c r="KE141" s="1803" t="str">
        <f t="shared" si="283"/>
        <v/>
      </c>
      <c r="KF141" s="1803" t="str">
        <f t="shared" si="283"/>
        <v/>
      </c>
      <c r="KG141" s="1803" t="str">
        <f t="shared" si="283"/>
        <v/>
      </c>
      <c r="KH141" s="1803" t="str">
        <f t="shared" si="283"/>
        <v/>
      </c>
      <c r="KI141" s="1803" t="str">
        <f t="shared" si="283"/>
        <v/>
      </c>
      <c r="KJ141" s="1803" t="str">
        <f t="shared" si="283"/>
        <v/>
      </c>
      <c r="KK141" s="1803" t="str">
        <f t="shared" si="283"/>
        <v/>
      </c>
      <c r="KL141" s="1803" t="str">
        <f t="shared" si="283"/>
        <v/>
      </c>
      <c r="KM141" s="1803" t="str">
        <f t="shared" si="283"/>
        <v/>
      </c>
      <c r="KN141" s="1803" t="str">
        <f t="shared" si="283"/>
        <v/>
      </c>
      <c r="KO141" s="1803" t="str">
        <f t="shared" si="283"/>
        <v/>
      </c>
      <c r="KP141" s="1803" t="str">
        <f t="shared" si="283"/>
        <v/>
      </c>
      <c r="KQ141" s="1803" t="str">
        <f t="shared" si="283"/>
        <v/>
      </c>
      <c r="KR141" s="1803" t="str">
        <f t="shared" si="283"/>
        <v/>
      </c>
      <c r="KS141" s="1803" t="str">
        <f t="shared" si="283"/>
        <v/>
      </c>
      <c r="KT141" s="1803" t="str">
        <f t="shared" si="283"/>
        <v/>
      </c>
      <c r="KU141" s="1803" t="str">
        <f t="shared" si="283"/>
        <v/>
      </c>
      <c r="KV141" s="1803" t="str">
        <f t="shared" ref="KV141:LP141" si="284">IF(KV171&gt;0,KV170,"")</f>
        <v/>
      </c>
      <c r="KW141" s="1803" t="str">
        <f t="shared" si="284"/>
        <v/>
      </c>
      <c r="KX141" s="1803" t="str">
        <f t="shared" si="284"/>
        <v/>
      </c>
      <c r="KY141" s="1803" t="str">
        <f t="shared" si="284"/>
        <v/>
      </c>
      <c r="KZ141" s="1803" t="str">
        <f t="shared" si="284"/>
        <v/>
      </c>
      <c r="LA141" s="1803" t="str">
        <f t="shared" si="284"/>
        <v/>
      </c>
      <c r="LB141" s="1803" t="str">
        <f t="shared" si="284"/>
        <v/>
      </c>
      <c r="LC141" s="1803" t="str">
        <f t="shared" si="284"/>
        <v/>
      </c>
      <c r="LD141" s="1803" t="str">
        <f t="shared" si="284"/>
        <v/>
      </c>
      <c r="LE141" s="1803" t="str">
        <f t="shared" si="284"/>
        <v/>
      </c>
      <c r="LF141" s="1803" t="str">
        <f t="shared" si="284"/>
        <v/>
      </c>
      <c r="LG141" s="1803" t="str">
        <f t="shared" si="284"/>
        <v/>
      </c>
      <c r="LH141" s="1803" t="str">
        <f t="shared" si="284"/>
        <v/>
      </c>
      <c r="LI141" s="1803" t="str">
        <f t="shared" si="284"/>
        <v/>
      </c>
      <c r="LJ141" s="1803" t="str">
        <f t="shared" si="284"/>
        <v/>
      </c>
      <c r="LK141" s="1803" t="str">
        <f t="shared" si="284"/>
        <v/>
      </c>
      <c r="LL141" s="1803" t="str">
        <f t="shared" si="284"/>
        <v/>
      </c>
      <c r="LM141" s="1803" t="str">
        <f t="shared" si="284"/>
        <v/>
      </c>
      <c r="LN141" s="1803" t="str">
        <f t="shared" si="284"/>
        <v/>
      </c>
      <c r="LO141" s="1803" t="str">
        <f t="shared" si="284"/>
        <v/>
      </c>
      <c r="LP141" s="1804" t="str">
        <f t="shared" si="284"/>
        <v/>
      </c>
      <c r="LQ141" s="3691" t="s">
        <v>460</v>
      </c>
    </row>
    <row r="142" spans="1:329" ht="14.25" customHeight="1" x14ac:dyDescent="0.3">
      <c r="A142" s="279"/>
      <c r="B142" s="41"/>
      <c r="C142" s="82"/>
      <c r="D142" s="41"/>
      <c r="E142" s="9"/>
      <c r="F142" s="9"/>
      <c r="G142" s="9"/>
      <c r="H142" s="10"/>
      <c r="I142" s="10"/>
      <c r="J142" s="10"/>
      <c r="K142" s="10"/>
      <c r="L142" s="10"/>
      <c r="M142" s="10"/>
      <c r="N142" s="9"/>
      <c r="O142" s="9"/>
      <c r="P142" s="44"/>
      <c r="Q142" s="44"/>
      <c r="R142" s="9"/>
      <c r="S142" s="9"/>
      <c r="T142" s="9"/>
      <c r="U142" s="9"/>
      <c r="V142" s="9"/>
      <c r="W142" s="9"/>
      <c r="X142" s="9"/>
      <c r="Y142" s="9"/>
      <c r="Z142" s="9"/>
      <c r="AA142" s="9"/>
      <c r="AB142" s="9"/>
      <c r="AC142" s="9"/>
      <c r="AD142" s="9"/>
      <c r="AE142" s="9"/>
      <c r="AF142" s="9"/>
      <c r="AG142" s="9"/>
      <c r="AH142" s="2514"/>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113"/>
      <c r="DI142" s="113"/>
      <c r="DJ142" s="113"/>
      <c r="DK142" s="118"/>
      <c r="DL142" s="118"/>
      <c r="DM142" s="118"/>
      <c r="DN142" s="118"/>
      <c r="DO142" s="118"/>
      <c r="DP142" s="118"/>
      <c r="DQ142" s="118"/>
      <c r="DR142" s="118"/>
      <c r="DS142" s="118"/>
      <c r="DT142" s="118"/>
      <c r="DU142" s="118"/>
      <c r="DV142" s="118"/>
      <c r="DW142" s="118"/>
      <c r="DX142" s="118"/>
      <c r="DY142" s="118"/>
      <c r="DZ142" s="118"/>
      <c r="EA142" s="118"/>
      <c r="EB142" s="118"/>
      <c r="EC142" s="118"/>
      <c r="ED142" s="118"/>
      <c r="EE142" s="118"/>
      <c r="EF142" s="118"/>
      <c r="EG142" s="118"/>
      <c r="EH142" s="118"/>
      <c r="EI142" s="118"/>
      <c r="EJ142" s="118"/>
      <c r="EK142" s="118"/>
      <c r="EL142" s="118"/>
      <c r="EM142" s="118"/>
      <c r="EN142" s="118"/>
      <c r="EO142" s="118"/>
      <c r="EP142" s="118"/>
      <c r="EQ142" s="118"/>
      <c r="ER142" s="118"/>
      <c r="ES142" s="118"/>
      <c r="ET142" s="118"/>
      <c r="EU142" s="118"/>
      <c r="EV142" s="118"/>
      <c r="EW142" s="118"/>
      <c r="EX142" s="118"/>
      <c r="EY142" s="118"/>
      <c r="EZ142" s="118"/>
      <c r="FA142" s="118"/>
      <c r="FB142" s="118"/>
      <c r="FC142" s="118"/>
      <c r="FD142" s="118"/>
      <c r="FE142" s="118"/>
      <c r="FF142" s="118"/>
      <c r="FG142" s="118"/>
      <c r="FH142" s="118"/>
      <c r="FI142" s="70"/>
      <c r="FJ142" s="132"/>
      <c r="FK142" s="132"/>
      <c r="FL142" s="6"/>
      <c r="FM142" s="159"/>
      <c r="FN142" s="80"/>
      <c r="FO142" s="230"/>
      <c r="FP142" s="230"/>
      <c r="FQ142" s="230"/>
      <c r="FR142" s="230"/>
      <c r="FS142" s="230"/>
      <c r="FT142" s="230"/>
      <c r="FU142" s="230"/>
      <c r="FV142" s="230"/>
      <c r="FW142" s="230"/>
      <c r="FX142" s="230"/>
      <c r="FY142" s="230"/>
      <c r="FZ142" s="230"/>
      <c r="GA142" s="230"/>
      <c r="GB142" s="230"/>
      <c r="GC142" s="230"/>
      <c r="GD142" s="230"/>
      <c r="GE142" s="230"/>
      <c r="GF142" s="230"/>
      <c r="GG142" s="230"/>
      <c r="GH142" s="230"/>
      <c r="GI142" s="230"/>
      <c r="GJ142" s="230"/>
      <c r="GK142" s="230"/>
      <c r="GL142" s="230"/>
      <c r="GM142" s="230"/>
      <c r="GN142" s="80"/>
      <c r="GO142" s="80"/>
      <c r="GP142" s="160" t="s">
        <v>538</v>
      </c>
      <c r="GQ142" s="6"/>
      <c r="GR142" s="3816"/>
      <c r="GS142" s="3817"/>
      <c r="GT142" s="3690" t="str">
        <f>REPT("|",ROUND(24*GT150/$GR$39,0))</f>
        <v>||||||||||||||||||||||||</v>
      </c>
      <c r="GU142" s="3690" t="str">
        <f t="shared" ref="GU142:JF142" si="285">REPT("|",ROUND(24*GU150/$GR$39,0))</f>
        <v>||||||||||||||||||||||||</v>
      </c>
      <c r="GV142" s="3690" t="str">
        <f t="shared" si="285"/>
        <v>||||||||||||||||||||||||</v>
      </c>
      <c r="GW142" s="3690" t="str">
        <f t="shared" si="285"/>
        <v>||||||||||||||||||||||||</v>
      </c>
      <c r="GX142" s="3690" t="str">
        <f t="shared" si="285"/>
        <v>||||||||||||||||||||||||</v>
      </c>
      <c r="GY142" s="3690" t="str">
        <f t="shared" si="285"/>
        <v>||||||||||||||||||||||||</v>
      </c>
      <c r="GZ142" s="3690" t="str">
        <f t="shared" si="285"/>
        <v>||||||||||||||||||||||||</v>
      </c>
      <c r="HA142" s="3690" t="str">
        <f t="shared" si="285"/>
        <v>||||||||||||||||||||||||</v>
      </c>
      <c r="HB142" s="3690" t="str">
        <f t="shared" si="285"/>
        <v>||||||||||||||||||||||||</v>
      </c>
      <c r="HC142" s="3690" t="str">
        <f t="shared" si="285"/>
        <v>||||||||||||||||||||||||</v>
      </c>
      <c r="HD142" s="3690" t="str">
        <f t="shared" si="285"/>
        <v>||||||||||||||||||||||||</v>
      </c>
      <c r="HE142" s="3690" t="str">
        <f t="shared" si="285"/>
        <v>||||||||||||||||||||||||</v>
      </c>
      <c r="HF142" s="3690" t="str">
        <f t="shared" si="285"/>
        <v/>
      </c>
      <c r="HG142" s="3690" t="str">
        <f t="shared" si="285"/>
        <v/>
      </c>
      <c r="HH142" s="3690" t="str">
        <f t="shared" si="285"/>
        <v/>
      </c>
      <c r="HI142" s="3690" t="str">
        <f t="shared" si="285"/>
        <v/>
      </c>
      <c r="HJ142" s="3690" t="str">
        <f t="shared" si="285"/>
        <v/>
      </c>
      <c r="HK142" s="3690" t="str">
        <f t="shared" si="285"/>
        <v/>
      </c>
      <c r="HL142" s="3690" t="str">
        <f t="shared" si="285"/>
        <v/>
      </c>
      <c r="HM142" s="3690" t="str">
        <f t="shared" si="285"/>
        <v/>
      </c>
      <c r="HN142" s="3690" t="str">
        <f t="shared" si="285"/>
        <v/>
      </c>
      <c r="HO142" s="3690" t="str">
        <f t="shared" si="285"/>
        <v/>
      </c>
      <c r="HP142" s="3690" t="str">
        <f t="shared" si="285"/>
        <v/>
      </c>
      <c r="HQ142" s="3690" t="str">
        <f t="shared" si="285"/>
        <v/>
      </c>
      <c r="HR142" s="3690" t="str">
        <f t="shared" si="285"/>
        <v/>
      </c>
      <c r="HS142" s="3690" t="str">
        <f t="shared" si="285"/>
        <v/>
      </c>
      <c r="HT142" s="3690" t="str">
        <f t="shared" si="285"/>
        <v/>
      </c>
      <c r="HU142" s="3690" t="str">
        <f t="shared" si="285"/>
        <v/>
      </c>
      <c r="HV142" s="3690" t="str">
        <f t="shared" si="285"/>
        <v/>
      </c>
      <c r="HW142" s="3690" t="str">
        <f t="shared" si="285"/>
        <v/>
      </c>
      <c r="HX142" s="3690" t="str">
        <f t="shared" si="285"/>
        <v/>
      </c>
      <c r="HY142" s="3690" t="str">
        <f t="shared" si="285"/>
        <v/>
      </c>
      <c r="HZ142" s="3690" t="str">
        <f t="shared" si="285"/>
        <v/>
      </c>
      <c r="IA142" s="3690" t="str">
        <f t="shared" si="285"/>
        <v/>
      </c>
      <c r="IB142" s="3690" t="str">
        <f t="shared" si="285"/>
        <v/>
      </c>
      <c r="IC142" s="3690" t="str">
        <f t="shared" si="285"/>
        <v/>
      </c>
      <c r="ID142" s="3690" t="str">
        <f t="shared" si="285"/>
        <v/>
      </c>
      <c r="IE142" s="3690" t="str">
        <f t="shared" si="285"/>
        <v/>
      </c>
      <c r="IF142" s="3690" t="str">
        <f t="shared" si="285"/>
        <v/>
      </c>
      <c r="IG142" s="3690" t="str">
        <f t="shared" si="285"/>
        <v/>
      </c>
      <c r="IH142" s="3690" t="str">
        <f t="shared" si="285"/>
        <v/>
      </c>
      <c r="II142" s="3690" t="str">
        <f t="shared" si="285"/>
        <v/>
      </c>
      <c r="IJ142" s="3690" t="str">
        <f t="shared" si="285"/>
        <v/>
      </c>
      <c r="IK142" s="3690" t="str">
        <f t="shared" si="285"/>
        <v/>
      </c>
      <c r="IL142" s="3690" t="str">
        <f t="shared" si="285"/>
        <v/>
      </c>
      <c r="IM142" s="3690" t="str">
        <f t="shared" si="285"/>
        <v/>
      </c>
      <c r="IN142" s="3690" t="str">
        <f t="shared" si="285"/>
        <v/>
      </c>
      <c r="IO142" s="3690" t="str">
        <f t="shared" si="285"/>
        <v/>
      </c>
      <c r="IP142" s="3690" t="str">
        <f t="shared" si="285"/>
        <v/>
      </c>
      <c r="IQ142" s="3690" t="str">
        <f t="shared" si="285"/>
        <v/>
      </c>
      <c r="IR142" s="3690" t="str">
        <f t="shared" si="285"/>
        <v/>
      </c>
      <c r="IS142" s="3690" t="str">
        <f t="shared" si="285"/>
        <v/>
      </c>
      <c r="IT142" s="3690" t="str">
        <f t="shared" si="285"/>
        <v/>
      </c>
      <c r="IU142" s="3690" t="str">
        <f t="shared" si="285"/>
        <v/>
      </c>
      <c r="IV142" s="3690" t="str">
        <f t="shared" si="285"/>
        <v/>
      </c>
      <c r="IW142" s="3690" t="str">
        <f t="shared" si="285"/>
        <v/>
      </c>
      <c r="IX142" s="3690" t="str">
        <f t="shared" si="285"/>
        <v/>
      </c>
      <c r="IY142" s="3690" t="str">
        <f t="shared" si="285"/>
        <v/>
      </c>
      <c r="IZ142" s="3690" t="str">
        <f t="shared" si="285"/>
        <v/>
      </c>
      <c r="JA142" s="3690" t="str">
        <f t="shared" si="285"/>
        <v/>
      </c>
      <c r="JB142" s="3690" t="str">
        <f t="shared" si="285"/>
        <v/>
      </c>
      <c r="JC142" s="3690" t="str">
        <f t="shared" si="285"/>
        <v/>
      </c>
      <c r="JD142" s="3690" t="str">
        <f t="shared" si="285"/>
        <v/>
      </c>
      <c r="JE142" s="3690" t="str">
        <f t="shared" si="285"/>
        <v/>
      </c>
      <c r="JF142" s="3690" t="str">
        <f t="shared" si="285"/>
        <v/>
      </c>
      <c r="JG142" s="3690" t="str">
        <f t="shared" ref="JG142:LP142" si="286">REPT("|",ROUND(24*JG150/$GR$39,0))</f>
        <v/>
      </c>
      <c r="JH142" s="3690" t="str">
        <f t="shared" si="286"/>
        <v/>
      </c>
      <c r="JI142" s="3690" t="str">
        <f t="shared" si="286"/>
        <v/>
      </c>
      <c r="JJ142" s="3690" t="str">
        <f t="shared" si="286"/>
        <v/>
      </c>
      <c r="JK142" s="3690" t="str">
        <f t="shared" si="286"/>
        <v/>
      </c>
      <c r="JL142" s="3690" t="str">
        <f t="shared" si="286"/>
        <v/>
      </c>
      <c r="JM142" s="3690" t="str">
        <f t="shared" si="286"/>
        <v/>
      </c>
      <c r="JN142" s="3690" t="str">
        <f t="shared" si="286"/>
        <v/>
      </c>
      <c r="JO142" s="3690" t="str">
        <f t="shared" si="286"/>
        <v/>
      </c>
      <c r="JP142" s="3690" t="str">
        <f t="shared" si="286"/>
        <v/>
      </c>
      <c r="JQ142" s="3690" t="str">
        <f t="shared" si="286"/>
        <v/>
      </c>
      <c r="JR142" s="3690" t="str">
        <f t="shared" si="286"/>
        <v/>
      </c>
      <c r="JS142" s="3690" t="str">
        <f t="shared" si="286"/>
        <v/>
      </c>
      <c r="JT142" s="3690" t="str">
        <f t="shared" si="286"/>
        <v/>
      </c>
      <c r="JU142" s="3690" t="str">
        <f t="shared" si="286"/>
        <v/>
      </c>
      <c r="JV142" s="3690" t="str">
        <f t="shared" si="286"/>
        <v/>
      </c>
      <c r="JW142" s="3690" t="str">
        <f t="shared" si="286"/>
        <v/>
      </c>
      <c r="JX142" s="3690" t="str">
        <f t="shared" si="286"/>
        <v/>
      </c>
      <c r="JY142" s="3690" t="str">
        <f t="shared" si="286"/>
        <v/>
      </c>
      <c r="JZ142" s="3690" t="str">
        <f t="shared" si="286"/>
        <v/>
      </c>
      <c r="KA142" s="3690" t="str">
        <f t="shared" si="286"/>
        <v/>
      </c>
      <c r="KB142" s="3690" t="str">
        <f t="shared" si="286"/>
        <v/>
      </c>
      <c r="KC142" s="3690" t="str">
        <f t="shared" si="286"/>
        <v/>
      </c>
      <c r="KD142" s="3690" t="str">
        <f t="shared" si="286"/>
        <v/>
      </c>
      <c r="KE142" s="3690" t="str">
        <f t="shared" si="286"/>
        <v/>
      </c>
      <c r="KF142" s="3690" t="str">
        <f t="shared" si="286"/>
        <v/>
      </c>
      <c r="KG142" s="3690" t="str">
        <f t="shared" si="286"/>
        <v/>
      </c>
      <c r="KH142" s="3690" t="str">
        <f t="shared" si="286"/>
        <v/>
      </c>
      <c r="KI142" s="3690" t="str">
        <f t="shared" si="286"/>
        <v/>
      </c>
      <c r="KJ142" s="3690" t="str">
        <f t="shared" si="286"/>
        <v/>
      </c>
      <c r="KK142" s="3690" t="str">
        <f t="shared" si="286"/>
        <v/>
      </c>
      <c r="KL142" s="3690" t="str">
        <f t="shared" si="286"/>
        <v/>
      </c>
      <c r="KM142" s="3690" t="str">
        <f t="shared" si="286"/>
        <v/>
      </c>
      <c r="KN142" s="3690" t="str">
        <f t="shared" si="286"/>
        <v/>
      </c>
      <c r="KO142" s="3690" t="str">
        <f t="shared" si="286"/>
        <v/>
      </c>
      <c r="KP142" s="3690" t="str">
        <f t="shared" si="286"/>
        <v/>
      </c>
      <c r="KQ142" s="3690" t="str">
        <f t="shared" si="286"/>
        <v/>
      </c>
      <c r="KR142" s="3690" t="str">
        <f t="shared" si="286"/>
        <v/>
      </c>
      <c r="KS142" s="3690" t="str">
        <f t="shared" si="286"/>
        <v/>
      </c>
      <c r="KT142" s="3690" t="str">
        <f t="shared" si="286"/>
        <v/>
      </c>
      <c r="KU142" s="3690" t="str">
        <f t="shared" si="286"/>
        <v/>
      </c>
      <c r="KV142" s="3690" t="str">
        <f t="shared" si="286"/>
        <v/>
      </c>
      <c r="KW142" s="3690" t="str">
        <f t="shared" si="286"/>
        <v/>
      </c>
      <c r="KX142" s="3690" t="str">
        <f t="shared" si="286"/>
        <v/>
      </c>
      <c r="KY142" s="3690" t="str">
        <f t="shared" si="286"/>
        <v/>
      </c>
      <c r="KZ142" s="3690" t="str">
        <f t="shared" si="286"/>
        <v/>
      </c>
      <c r="LA142" s="3690" t="str">
        <f t="shared" si="286"/>
        <v/>
      </c>
      <c r="LB142" s="3690" t="str">
        <f t="shared" si="286"/>
        <v/>
      </c>
      <c r="LC142" s="3690" t="str">
        <f t="shared" si="286"/>
        <v/>
      </c>
      <c r="LD142" s="3690" t="str">
        <f t="shared" si="286"/>
        <v/>
      </c>
      <c r="LE142" s="3690" t="str">
        <f t="shared" si="286"/>
        <v/>
      </c>
      <c r="LF142" s="3690" t="str">
        <f t="shared" si="286"/>
        <v/>
      </c>
      <c r="LG142" s="3690" t="str">
        <f t="shared" si="286"/>
        <v/>
      </c>
      <c r="LH142" s="3690" t="str">
        <f t="shared" si="286"/>
        <v/>
      </c>
      <c r="LI142" s="3690" t="str">
        <f t="shared" si="286"/>
        <v/>
      </c>
      <c r="LJ142" s="3690" t="str">
        <f t="shared" si="286"/>
        <v/>
      </c>
      <c r="LK142" s="3690" t="str">
        <f t="shared" si="286"/>
        <v/>
      </c>
      <c r="LL142" s="3690" t="str">
        <f t="shared" si="286"/>
        <v/>
      </c>
      <c r="LM142" s="3690" t="str">
        <f t="shared" si="286"/>
        <v/>
      </c>
      <c r="LN142" s="3690" t="str">
        <f t="shared" si="286"/>
        <v/>
      </c>
      <c r="LO142" s="3690" t="str">
        <f t="shared" si="286"/>
        <v/>
      </c>
      <c r="LP142" s="3694" t="str">
        <f t="shared" si="286"/>
        <v/>
      </c>
      <c r="LQ142" s="3692"/>
    </row>
    <row r="143" spans="1:329" ht="12.75" customHeight="1" x14ac:dyDescent="0.3">
      <c r="A143" s="279"/>
      <c r="B143" s="41"/>
      <c r="C143" s="82"/>
      <c r="D143" s="41"/>
      <c r="E143" s="9"/>
      <c r="F143" s="9"/>
      <c r="G143" s="9"/>
      <c r="H143" s="10"/>
      <c r="I143" s="10"/>
      <c r="J143" s="10"/>
      <c r="K143" s="10"/>
      <c r="L143" s="10"/>
      <c r="M143" s="10"/>
      <c r="N143" s="9"/>
      <c r="O143" s="9"/>
      <c r="P143" s="44"/>
      <c r="Q143" s="44"/>
      <c r="R143" s="9"/>
      <c r="S143" s="9"/>
      <c r="T143" s="9"/>
      <c r="U143" s="9"/>
      <c r="V143" s="9"/>
      <c r="W143" s="9"/>
      <c r="X143" s="9"/>
      <c r="Y143" s="9"/>
      <c r="Z143" s="9"/>
      <c r="AA143" s="9"/>
      <c r="AB143" s="9"/>
      <c r="AC143" s="9"/>
      <c r="AD143" s="9"/>
      <c r="AE143" s="9"/>
      <c r="AF143" s="9"/>
      <c r="AG143" s="9"/>
      <c r="AH143" s="2514"/>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113"/>
      <c r="DI143" s="113"/>
      <c r="DJ143" s="113"/>
      <c r="DK143" s="118"/>
      <c r="DL143" s="118"/>
      <c r="DM143" s="118"/>
      <c r="DN143" s="118"/>
      <c r="DO143" s="118"/>
      <c r="DP143" s="118"/>
      <c r="DQ143" s="118"/>
      <c r="DR143" s="118"/>
      <c r="DS143" s="118"/>
      <c r="DT143" s="118"/>
      <c r="DU143" s="118"/>
      <c r="DV143" s="118"/>
      <c r="DW143" s="118"/>
      <c r="DX143" s="118"/>
      <c r="DY143" s="118"/>
      <c r="DZ143" s="118"/>
      <c r="EA143" s="118"/>
      <c r="EB143" s="118"/>
      <c r="EC143" s="118"/>
      <c r="ED143" s="118"/>
      <c r="EE143" s="118"/>
      <c r="EF143" s="118"/>
      <c r="EG143" s="118"/>
      <c r="EH143" s="118"/>
      <c r="EI143" s="118"/>
      <c r="EJ143" s="118"/>
      <c r="EK143" s="118"/>
      <c r="EL143" s="118"/>
      <c r="EM143" s="118"/>
      <c r="EN143" s="118"/>
      <c r="EO143" s="118"/>
      <c r="EP143" s="118"/>
      <c r="EQ143" s="118"/>
      <c r="ER143" s="118"/>
      <c r="ES143" s="118"/>
      <c r="ET143" s="118"/>
      <c r="EU143" s="118"/>
      <c r="EV143" s="118"/>
      <c r="EW143" s="118"/>
      <c r="EX143" s="118"/>
      <c r="EY143" s="118"/>
      <c r="EZ143" s="118"/>
      <c r="FA143" s="118"/>
      <c r="FB143" s="118"/>
      <c r="FC143" s="118"/>
      <c r="FD143" s="118"/>
      <c r="FE143" s="118"/>
      <c r="FF143" s="118"/>
      <c r="FG143" s="118"/>
      <c r="FH143" s="118"/>
      <c r="FI143" s="70"/>
      <c r="FJ143" s="132"/>
      <c r="FK143" s="132"/>
      <c r="FL143" s="6"/>
      <c r="FM143" s="3811" t="s">
        <v>452</v>
      </c>
      <c r="FN143" s="3812"/>
      <c r="FO143" s="3813" t="s">
        <v>81</v>
      </c>
      <c r="FP143" s="3813"/>
      <c r="FQ143" s="3813"/>
      <c r="FR143" s="3813"/>
      <c r="FS143" s="3813"/>
      <c r="FT143" s="3813"/>
      <c r="FU143" s="3813"/>
      <c r="FV143" s="3813"/>
      <c r="FW143" s="3813"/>
      <c r="FX143" s="3813"/>
      <c r="FY143" s="3813"/>
      <c r="FZ143" s="3813"/>
      <c r="GA143" s="3813"/>
      <c r="GB143" s="3813"/>
      <c r="GC143" s="3813"/>
      <c r="GD143" s="3813"/>
      <c r="GE143" s="3813"/>
      <c r="GF143" s="3813"/>
      <c r="GG143" s="3813"/>
      <c r="GH143" s="3813"/>
      <c r="GI143" s="3813"/>
      <c r="GJ143" s="3813"/>
      <c r="GK143" s="3813"/>
      <c r="GL143" s="3813"/>
      <c r="GM143" s="3813"/>
      <c r="GN143" s="80"/>
      <c r="GO143" s="135" t="s">
        <v>58</v>
      </c>
      <c r="GP143" s="61"/>
      <c r="GQ143" s="6"/>
      <c r="GR143" s="6"/>
      <c r="GS143" s="161"/>
      <c r="GT143" s="3690"/>
      <c r="GU143" s="3690"/>
      <c r="GV143" s="3690"/>
      <c r="GW143" s="3690"/>
      <c r="GX143" s="3690"/>
      <c r="GY143" s="3690"/>
      <c r="GZ143" s="3690"/>
      <c r="HA143" s="3690"/>
      <c r="HB143" s="3690"/>
      <c r="HC143" s="3690"/>
      <c r="HD143" s="3690"/>
      <c r="HE143" s="3690"/>
      <c r="HF143" s="3690"/>
      <c r="HG143" s="3690"/>
      <c r="HH143" s="3690"/>
      <c r="HI143" s="3690"/>
      <c r="HJ143" s="3690"/>
      <c r="HK143" s="3690"/>
      <c r="HL143" s="3690"/>
      <c r="HM143" s="3690"/>
      <c r="HN143" s="3690"/>
      <c r="HO143" s="3690"/>
      <c r="HP143" s="3690"/>
      <c r="HQ143" s="3690"/>
      <c r="HR143" s="3690"/>
      <c r="HS143" s="3690"/>
      <c r="HT143" s="3690"/>
      <c r="HU143" s="3690"/>
      <c r="HV143" s="3690"/>
      <c r="HW143" s="3690"/>
      <c r="HX143" s="3690"/>
      <c r="HY143" s="3690"/>
      <c r="HZ143" s="3690"/>
      <c r="IA143" s="3690"/>
      <c r="IB143" s="3690"/>
      <c r="IC143" s="3690"/>
      <c r="ID143" s="3690"/>
      <c r="IE143" s="3690"/>
      <c r="IF143" s="3690"/>
      <c r="IG143" s="3690"/>
      <c r="IH143" s="3690"/>
      <c r="II143" s="3690"/>
      <c r="IJ143" s="3690"/>
      <c r="IK143" s="3690"/>
      <c r="IL143" s="3690"/>
      <c r="IM143" s="3690"/>
      <c r="IN143" s="3690"/>
      <c r="IO143" s="3690"/>
      <c r="IP143" s="3690"/>
      <c r="IQ143" s="3690"/>
      <c r="IR143" s="3690"/>
      <c r="IS143" s="3690"/>
      <c r="IT143" s="3690"/>
      <c r="IU143" s="3690"/>
      <c r="IV143" s="3690"/>
      <c r="IW143" s="3690"/>
      <c r="IX143" s="3690"/>
      <c r="IY143" s="3690"/>
      <c r="IZ143" s="3690"/>
      <c r="JA143" s="3690"/>
      <c r="JB143" s="3690"/>
      <c r="JC143" s="3690"/>
      <c r="JD143" s="3690"/>
      <c r="JE143" s="3690"/>
      <c r="JF143" s="3690"/>
      <c r="JG143" s="3690"/>
      <c r="JH143" s="3690"/>
      <c r="JI143" s="3690"/>
      <c r="JJ143" s="3690"/>
      <c r="JK143" s="3690"/>
      <c r="JL143" s="3690"/>
      <c r="JM143" s="3690"/>
      <c r="JN143" s="3690"/>
      <c r="JO143" s="3690"/>
      <c r="JP143" s="3690"/>
      <c r="JQ143" s="3690"/>
      <c r="JR143" s="3690"/>
      <c r="JS143" s="3690"/>
      <c r="JT143" s="3690"/>
      <c r="JU143" s="3690"/>
      <c r="JV143" s="3690"/>
      <c r="JW143" s="3690"/>
      <c r="JX143" s="3690"/>
      <c r="JY143" s="3690"/>
      <c r="JZ143" s="3690"/>
      <c r="KA143" s="3690"/>
      <c r="KB143" s="3690"/>
      <c r="KC143" s="3690"/>
      <c r="KD143" s="3690"/>
      <c r="KE143" s="3690"/>
      <c r="KF143" s="3690"/>
      <c r="KG143" s="3690"/>
      <c r="KH143" s="3690"/>
      <c r="KI143" s="3690"/>
      <c r="KJ143" s="3690"/>
      <c r="KK143" s="3690"/>
      <c r="KL143" s="3690"/>
      <c r="KM143" s="3690"/>
      <c r="KN143" s="3690"/>
      <c r="KO143" s="3690"/>
      <c r="KP143" s="3690"/>
      <c r="KQ143" s="3690"/>
      <c r="KR143" s="3690"/>
      <c r="KS143" s="3690"/>
      <c r="KT143" s="3690"/>
      <c r="KU143" s="3690"/>
      <c r="KV143" s="3690"/>
      <c r="KW143" s="3690"/>
      <c r="KX143" s="3690"/>
      <c r="KY143" s="3690"/>
      <c r="KZ143" s="3690"/>
      <c r="LA143" s="3690"/>
      <c r="LB143" s="3690"/>
      <c r="LC143" s="3690"/>
      <c r="LD143" s="3690"/>
      <c r="LE143" s="3690"/>
      <c r="LF143" s="3690"/>
      <c r="LG143" s="3690"/>
      <c r="LH143" s="3690"/>
      <c r="LI143" s="3690"/>
      <c r="LJ143" s="3690"/>
      <c r="LK143" s="3690"/>
      <c r="LL143" s="3690"/>
      <c r="LM143" s="3690"/>
      <c r="LN143" s="3690"/>
      <c r="LO143" s="3690"/>
      <c r="LP143" s="3694"/>
      <c r="LQ143" s="3692"/>
    </row>
    <row r="144" spans="1:329" ht="12.75" customHeight="1" x14ac:dyDescent="0.3">
      <c r="A144" s="279"/>
      <c r="B144" s="41"/>
      <c r="C144" s="82"/>
      <c r="D144" s="41"/>
      <c r="E144" s="9"/>
      <c r="F144" s="9"/>
      <c r="G144" s="9"/>
      <c r="H144" s="10"/>
      <c r="I144" s="10"/>
      <c r="J144" s="10"/>
      <c r="K144" s="10"/>
      <c r="L144" s="10"/>
      <c r="M144" s="10"/>
      <c r="N144" s="9"/>
      <c r="O144" s="9"/>
      <c r="P144" s="44"/>
      <c r="Q144" s="44"/>
      <c r="R144" s="9"/>
      <c r="S144" s="9"/>
      <c r="T144" s="9"/>
      <c r="U144" s="9"/>
      <c r="V144" s="9"/>
      <c r="W144" s="9"/>
      <c r="X144" s="9"/>
      <c r="Y144" s="9"/>
      <c r="Z144" s="9"/>
      <c r="AA144" s="9"/>
      <c r="AB144" s="9"/>
      <c r="AC144" s="9"/>
      <c r="AD144" s="9"/>
      <c r="AE144" s="9"/>
      <c r="AF144" s="9"/>
      <c r="AG144" s="9"/>
      <c r="AH144" s="2514"/>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113"/>
      <c r="DI144" s="113"/>
      <c r="DJ144" s="113"/>
      <c r="DK144" s="118"/>
      <c r="DL144" s="118"/>
      <c r="DM144" s="118"/>
      <c r="DN144" s="118"/>
      <c r="DO144" s="118"/>
      <c r="DP144" s="118"/>
      <c r="DQ144" s="118"/>
      <c r="DR144" s="118"/>
      <c r="DS144" s="118"/>
      <c r="DT144" s="118"/>
      <c r="DU144" s="118"/>
      <c r="DV144" s="118"/>
      <c r="DW144" s="118"/>
      <c r="DX144" s="118"/>
      <c r="DY144" s="118"/>
      <c r="DZ144" s="118"/>
      <c r="EA144" s="118"/>
      <c r="EB144" s="118"/>
      <c r="EC144" s="118"/>
      <c r="ED144" s="118"/>
      <c r="EE144" s="118"/>
      <c r="EF144" s="118"/>
      <c r="EG144" s="118"/>
      <c r="EH144" s="118"/>
      <c r="EI144" s="118"/>
      <c r="EJ144" s="118"/>
      <c r="EK144" s="118"/>
      <c r="EL144" s="118"/>
      <c r="EM144" s="118"/>
      <c r="EN144" s="118"/>
      <c r="EO144" s="118"/>
      <c r="EP144" s="118"/>
      <c r="EQ144" s="118"/>
      <c r="ER144" s="118"/>
      <c r="ES144" s="118"/>
      <c r="ET144" s="118"/>
      <c r="EU144" s="118"/>
      <c r="EV144" s="118"/>
      <c r="EW144" s="118"/>
      <c r="EX144" s="118"/>
      <c r="EY144" s="118"/>
      <c r="EZ144" s="118"/>
      <c r="FA144" s="118"/>
      <c r="FB144" s="118"/>
      <c r="FC144" s="118"/>
      <c r="FD144" s="118"/>
      <c r="FE144" s="118"/>
      <c r="FF144" s="118"/>
      <c r="FG144" s="118"/>
      <c r="FH144" s="118"/>
      <c r="FI144" s="70"/>
      <c r="FJ144" s="132"/>
      <c r="FK144" s="132"/>
      <c r="FL144" s="6"/>
      <c r="FM144" s="3811"/>
      <c r="FN144" s="3812"/>
      <c r="FO144" s="3813"/>
      <c r="FP144" s="3813"/>
      <c r="FQ144" s="3813"/>
      <c r="FR144" s="3813"/>
      <c r="FS144" s="3813"/>
      <c r="FT144" s="3813"/>
      <c r="FU144" s="3813"/>
      <c r="FV144" s="3813"/>
      <c r="FW144" s="3813"/>
      <c r="FX144" s="3813"/>
      <c r="FY144" s="3813"/>
      <c r="FZ144" s="3813"/>
      <c r="GA144" s="3813"/>
      <c r="GB144" s="3813"/>
      <c r="GC144" s="3813"/>
      <c r="GD144" s="3813"/>
      <c r="GE144" s="3813"/>
      <c r="GF144" s="3813"/>
      <c r="GG144" s="3813"/>
      <c r="GH144" s="3813"/>
      <c r="GI144" s="3813"/>
      <c r="GJ144" s="3813"/>
      <c r="GK144" s="3813"/>
      <c r="GL144" s="3813"/>
      <c r="GM144" s="3813"/>
      <c r="GN144" s="80"/>
      <c r="GO144" s="135" t="s">
        <v>59</v>
      </c>
      <c r="GP144" s="190"/>
      <c r="GQ144" s="6"/>
      <c r="GR144" s="6"/>
      <c r="GS144" s="161"/>
      <c r="GT144" s="3690"/>
      <c r="GU144" s="3690"/>
      <c r="GV144" s="3690"/>
      <c r="GW144" s="3690"/>
      <c r="GX144" s="3690"/>
      <c r="GY144" s="3690"/>
      <c r="GZ144" s="3690"/>
      <c r="HA144" s="3690"/>
      <c r="HB144" s="3690"/>
      <c r="HC144" s="3690"/>
      <c r="HD144" s="3690"/>
      <c r="HE144" s="3690"/>
      <c r="HF144" s="3690"/>
      <c r="HG144" s="3690"/>
      <c r="HH144" s="3690"/>
      <c r="HI144" s="3690"/>
      <c r="HJ144" s="3690"/>
      <c r="HK144" s="3690"/>
      <c r="HL144" s="3690"/>
      <c r="HM144" s="3690"/>
      <c r="HN144" s="3690"/>
      <c r="HO144" s="3690"/>
      <c r="HP144" s="3690"/>
      <c r="HQ144" s="3690"/>
      <c r="HR144" s="3690"/>
      <c r="HS144" s="3690"/>
      <c r="HT144" s="3690"/>
      <c r="HU144" s="3690"/>
      <c r="HV144" s="3690"/>
      <c r="HW144" s="3690"/>
      <c r="HX144" s="3690"/>
      <c r="HY144" s="3690"/>
      <c r="HZ144" s="3690"/>
      <c r="IA144" s="3690"/>
      <c r="IB144" s="3690"/>
      <c r="IC144" s="3690"/>
      <c r="ID144" s="3690"/>
      <c r="IE144" s="3690"/>
      <c r="IF144" s="3690"/>
      <c r="IG144" s="3690"/>
      <c r="IH144" s="3690"/>
      <c r="II144" s="3690"/>
      <c r="IJ144" s="3690"/>
      <c r="IK144" s="3690"/>
      <c r="IL144" s="3690"/>
      <c r="IM144" s="3690"/>
      <c r="IN144" s="3690"/>
      <c r="IO144" s="3690"/>
      <c r="IP144" s="3690"/>
      <c r="IQ144" s="3690"/>
      <c r="IR144" s="3690"/>
      <c r="IS144" s="3690"/>
      <c r="IT144" s="3690"/>
      <c r="IU144" s="3690"/>
      <c r="IV144" s="3690"/>
      <c r="IW144" s="3690"/>
      <c r="IX144" s="3690"/>
      <c r="IY144" s="3690"/>
      <c r="IZ144" s="3690"/>
      <c r="JA144" s="3690"/>
      <c r="JB144" s="3690"/>
      <c r="JC144" s="3690"/>
      <c r="JD144" s="3690"/>
      <c r="JE144" s="3690"/>
      <c r="JF144" s="3690"/>
      <c r="JG144" s="3690"/>
      <c r="JH144" s="3690"/>
      <c r="JI144" s="3690"/>
      <c r="JJ144" s="3690"/>
      <c r="JK144" s="3690"/>
      <c r="JL144" s="3690"/>
      <c r="JM144" s="3690"/>
      <c r="JN144" s="3690"/>
      <c r="JO144" s="3690"/>
      <c r="JP144" s="3690"/>
      <c r="JQ144" s="3690"/>
      <c r="JR144" s="3690"/>
      <c r="JS144" s="3690"/>
      <c r="JT144" s="3690"/>
      <c r="JU144" s="3690"/>
      <c r="JV144" s="3690"/>
      <c r="JW144" s="3690"/>
      <c r="JX144" s="3690"/>
      <c r="JY144" s="3690"/>
      <c r="JZ144" s="3690"/>
      <c r="KA144" s="3690"/>
      <c r="KB144" s="3690"/>
      <c r="KC144" s="3690"/>
      <c r="KD144" s="3690"/>
      <c r="KE144" s="3690"/>
      <c r="KF144" s="3690"/>
      <c r="KG144" s="3690"/>
      <c r="KH144" s="3690"/>
      <c r="KI144" s="3690"/>
      <c r="KJ144" s="3690"/>
      <c r="KK144" s="3690"/>
      <c r="KL144" s="3690"/>
      <c r="KM144" s="3690"/>
      <c r="KN144" s="3690"/>
      <c r="KO144" s="3690"/>
      <c r="KP144" s="3690"/>
      <c r="KQ144" s="3690"/>
      <c r="KR144" s="3690"/>
      <c r="KS144" s="3690"/>
      <c r="KT144" s="3690"/>
      <c r="KU144" s="3690"/>
      <c r="KV144" s="3690"/>
      <c r="KW144" s="3690"/>
      <c r="KX144" s="3690"/>
      <c r="KY144" s="3690"/>
      <c r="KZ144" s="3690"/>
      <c r="LA144" s="3690"/>
      <c r="LB144" s="3690"/>
      <c r="LC144" s="3690"/>
      <c r="LD144" s="3690"/>
      <c r="LE144" s="3690"/>
      <c r="LF144" s="3690"/>
      <c r="LG144" s="3690"/>
      <c r="LH144" s="3690"/>
      <c r="LI144" s="3690"/>
      <c r="LJ144" s="3690"/>
      <c r="LK144" s="3690"/>
      <c r="LL144" s="3690"/>
      <c r="LM144" s="3690"/>
      <c r="LN144" s="3690"/>
      <c r="LO144" s="3690"/>
      <c r="LP144" s="3694"/>
      <c r="LQ144" s="3692"/>
    </row>
    <row r="145" spans="1:330" ht="12.75" customHeight="1" x14ac:dyDescent="0.3">
      <c r="A145" s="279"/>
      <c r="B145" s="41"/>
      <c r="C145" s="82"/>
      <c r="D145" s="41"/>
      <c r="E145" s="9"/>
      <c r="F145" s="9"/>
      <c r="G145" s="9"/>
      <c r="H145" s="10"/>
      <c r="I145" s="10"/>
      <c r="J145" s="10"/>
      <c r="K145" s="10"/>
      <c r="L145" s="10"/>
      <c r="M145" s="10"/>
      <c r="N145" s="9"/>
      <c r="O145" s="9"/>
      <c r="P145" s="44"/>
      <c r="Q145" s="44"/>
      <c r="R145" s="9"/>
      <c r="S145" s="9"/>
      <c r="T145" s="9"/>
      <c r="U145" s="9"/>
      <c r="V145" s="9"/>
      <c r="W145" s="9"/>
      <c r="X145" s="9"/>
      <c r="Y145" s="9"/>
      <c r="Z145" s="9"/>
      <c r="AA145" s="9"/>
      <c r="AB145" s="9"/>
      <c r="AC145" s="9"/>
      <c r="AD145" s="9"/>
      <c r="AE145" s="9"/>
      <c r="AF145" s="9"/>
      <c r="AG145" s="9"/>
      <c r="AH145" s="2514"/>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113"/>
      <c r="DI145" s="113"/>
      <c r="DJ145" s="113"/>
      <c r="DK145" s="118"/>
      <c r="DL145" s="118"/>
      <c r="DM145" s="118"/>
      <c r="DN145" s="118"/>
      <c r="DO145" s="118"/>
      <c r="DP145" s="118"/>
      <c r="DQ145" s="118"/>
      <c r="DR145" s="118"/>
      <c r="DS145" s="118"/>
      <c r="DT145" s="118"/>
      <c r="DU145" s="118"/>
      <c r="DV145" s="118"/>
      <c r="DW145" s="118"/>
      <c r="DX145" s="118"/>
      <c r="DY145" s="118"/>
      <c r="DZ145" s="118"/>
      <c r="EA145" s="118"/>
      <c r="EB145" s="118"/>
      <c r="EC145" s="118"/>
      <c r="ED145" s="118"/>
      <c r="EE145" s="118"/>
      <c r="EF145" s="118"/>
      <c r="EG145" s="118"/>
      <c r="EH145" s="118"/>
      <c r="EI145" s="118"/>
      <c r="EJ145" s="118"/>
      <c r="EK145" s="118"/>
      <c r="EL145" s="118"/>
      <c r="EM145" s="118"/>
      <c r="EN145" s="118"/>
      <c r="EO145" s="118"/>
      <c r="EP145" s="118"/>
      <c r="EQ145" s="118"/>
      <c r="ER145" s="118"/>
      <c r="ES145" s="118"/>
      <c r="ET145" s="118"/>
      <c r="EU145" s="118"/>
      <c r="EV145" s="118"/>
      <c r="EW145" s="118"/>
      <c r="EX145" s="118"/>
      <c r="EY145" s="118"/>
      <c r="EZ145" s="118"/>
      <c r="FA145" s="118"/>
      <c r="FB145" s="118"/>
      <c r="FC145" s="118"/>
      <c r="FD145" s="118"/>
      <c r="FE145" s="118"/>
      <c r="FF145" s="118"/>
      <c r="FG145" s="118"/>
      <c r="FH145" s="118"/>
      <c r="FI145" s="70"/>
      <c r="FJ145" s="132"/>
      <c r="FK145" s="132"/>
      <c r="FL145" s="6"/>
      <c r="FM145" s="3811"/>
      <c r="FN145" s="3812"/>
      <c r="FO145" s="3813"/>
      <c r="FP145" s="3813"/>
      <c r="FQ145" s="3813"/>
      <c r="FR145" s="3813"/>
      <c r="FS145" s="3813"/>
      <c r="FT145" s="3813"/>
      <c r="FU145" s="3813"/>
      <c r="FV145" s="3813"/>
      <c r="FW145" s="3813"/>
      <c r="FX145" s="3813"/>
      <c r="FY145" s="3813"/>
      <c r="FZ145" s="3813"/>
      <c r="GA145" s="3813"/>
      <c r="GB145" s="3813"/>
      <c r="GC145" s="3813"/>
      <c r="GD145" s="3813"/>
      <c r="GE145" s="3813"/>
      <c r="GF145" s="3813"/>
      <c r="GG145" s="3813"/>
      <c r="GH145" s="3813"/>
      <c r="GI145" s="3813"/>
      <c r="GJ145" s="3813"/>
      <c r="GK145" s="3813"/>
      <c r="GL145" s="3813"/>
      <c r="GM145" s="3813"/>
      <c r="GN145" s="80"/>
      <c r="GO145" s="135" t="s">
        <v>87</v>
      </c>
      <c r="GP145" s="62"/>
      <c r="GQ145" s="6"/>
      <c r="GR145" s="6"/>
      <c r="GS145" s="161"/>
      <c r="GT145" s="3690"/>
      <c r="GU145" s="3690"/>
      <c r="GV145" s="3690"/>
      <c r="GW145" s="3690"/>
      <c r="GX145" s="3690"/>
      <c r="GY145" s="3690"/>
      <c r="GZ145" s="3690"/>
      <c r="HA145" s="3690"/>
      <c r="HB145" s="3690"/>
      <c r="HC145" s="3690"/>
      <c r="HD145" s="3690"/>
      <c r="HE145" s="3690"/>
      <c r="HF145" s="3690"/>
      <c r="HG145" s="3690"/>
      <c r="HH145" s="3690"/>
      <c r="HI145" s="3690"/>
      <c r="HJ145" s="3690"/>
      <c r="HK145" s="3690"/>
      <c r="HL145" s="3690"/>
      <c r="HM145" s="3690"/>
      <c r="HN145" s="3690"/>
      <c r="HO145" s="3690"/>
      <c r="HP145" s="3690"/>
      <c r="HQ145" s="3690"/>
      <c r="HR145" s="3690"/>
      <c r="HS145" s="3690"/>
      <c r="HT145" s="3690"/>
      <c r="HU145" s="3690"/>
      <c r="HV145" s="3690"/>
      <c r="HW145" s="3690"/>
      <c r="HX145" s="3690"/>
      <c r="HY145" s="3690"/>
      <c r="HZ145" s="3690"/>
      <c r="IA145" s="3690"/>
      <c r="IB145" s="3690"/>
      <c r="IC145" s="3690"/>
      <c r="ID145" s="3690"/>
      <c r="IE145" s="3690"/>
      <c r="IF145" s="3690"/>
      <c r="IG145" s="3690"/>
      <c r="IH145" s="3690"/>
      <c r="II145" s="3690"/>
      <c r="IJ145" s="3690"/>
      <c r="IK145" s="3690"/>
      <c r="IL145" s="3690"/>
      <c r="IM145" s="3690"/>
      <c r="IN145" s="3690"/>
      <c r="IO145" s="3690"/>
      <c r="IP145" s="3690"/>
      <c r="IQ145" s="3690"/>
      <c r="IR145" s="3690"/>
      <c r="IS145" s="3690"/>
      <c r="IT145" s="3690"/>
      <c r="IU145" s="3690"/>
      <c r="IV145" s="3690"/>
      <c r="IW145" s="3690"/>
      <c r="IX145" s="3690"/>
      <c r="IY145" s="3690"/>
      <c r="IZ145" s="3690"/>
      <c r="JA145" s="3690"/>
      <c r="JB145" s="3690"/>
      <c r="JC145" s="3690"/>
      <c r="JD145" s="3690"/>
      <c r="JE145" s="3690"/>
      <c r="JF145" s="3690"/>
      <c r="JG145" s="3690"/>
      <c r="JH145" s="3690"/>
      <c r="JI145" s="3690"/>
      <c r="JJ145" s="3690"/>
      <c r="JK145" s="3690"/>
      <c r="JL145" s="3690"/>
      <c r="JM145" s="3690"/>
      <c r="JN145" s="3690"/>
      <c r="JO145" s="3690"/>
      <c r="JP145" s="3690"/>
      <c r="JQ145" s="3690"/>
      <c r="JR145" s="3690"/>
      <c r="JS145" s="3690"/>
      <c r="JT145" s="3690"/>
      <c r="JU145" s="3690"/>
      <c r="JV145" s="3690"/>
      <c r="JW145" s="3690"/>
      <c r="JX145" s="3690"/>
      <c r="JY145" s="3690"/>
      <c r="JZ145" s="3690"/>
      <c r="KA145" s="3690"/>
      <c r="KB145" s="3690"/>
      <c r="KC145" s="3690"/>
      <c r="KD145" s="3690"/>
      <c r="KE145" s="3690"/>
      <c r="KF145" s="3690"/>
      <c r="KG145" s="3690"/>
      <c r="KH145" s="3690"/>
      <c r="KI145" s="3690"/>
      <c r="KJ145" s="3690"/>
      <c r="KK145" s="3690"/>
      <c r="KL145" s="3690"/>
      <c r="KM145" s="3690"/>
      <c r="KN145" s="3690"/>
      <c r="KO145" s="3690"/>
      <c r="KP145" s="3690"/>
      <c r="KQ145" s="3690"/>
      <c r="KR145" s="3690"/>
      <c r="KS145" s="3690"/>
      <c r="KT145" s="3690"/>
      <c r="KU145" s="3690"/>
      <c r="KV145" s="3690"/>
      <c r="KW145" s="3690"/>
      <c r="KX145" s="3690"/>
      <c r="KY145" s="3690"/>
      <c r="KZ145" s="3690"/>
      <c r="LA145" s="3690"/>
      <c r="LB145" s="3690"/>
      <c r="LC145" s="3690"/>
      <c r="LD145" s="3690"/>
      <c r="LE145" s="3690"/>
      <c r="LF145" s="3690"/>
      <c r="LG145" s="3690"/>
      <c r="LH145" s="3690"/>
      <c r="LI145" s="3690"/>
      <c r="LJ145" s="3690"/>
      <c r="LK145" s="3690"/>
      <c r="LL145" s="3690"/>
      <c r="LM145" s="3690"/>
      <c r="LN145" s="3690"/>
      <c r="LO145" s="3690"/>
      <c r="LP145" s="3694"/>
      <c r="LQ145" s="3692"/>
    </row>
    <row r="146" spans="1:330" ht="7.5" customHeight="1" x14ac:dyDescent="0.3">
      <c r="A146" s="279"/>
      <c r="B146" s="41"/>
      <c r="C146" s="82"/>
      <c r="D146" s="41"/>
      <c r="E146" s="9"/>
      <c r="F146" s="9"/>
      <c r="G146" s="9"/>
      <c r="H146" s="10"/>
      <c r="I146" s="10"/>
      <c r="J146" s="10"/>
      <c r="K146" s="10"/>
      <c r="L146" s="10"/>
      <c r="M146" s="10"/>
      <c r="N146" s="9"/>
      <c r="O146" s="9"/>
      <c r="P146" s="44"/>
      <c r="Q146" s="44"/>
      <c r="R146" s="9"/>
      <c r="S146" s="9"/>
      <c r="T146" s="9"/>
      <c r="U146" s="9"/>
      <c r="V146" s="9"/>
      <c r="W146" s="9"/>
      <c r="X146" s="9"/>
      <c r="Y146" s="9"/>
      <c r="Z146" s="9"/>
      <c r="AA146" s="9"/>
      <c r="AB146" s="9"/>
      <c r="AC146" s="9"/>
      <c r="AD146" s="9"/>
      <c r="AE146" s="9"/>
      <c r="AF146" s="9"/>
      <c r="AG146" s="9"/>
      <c r="AH146" s="2514"/>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113"/>
      <c r="DI146" s="113"/>
      <c r="DJ146" s="113"/>
      <c r="DK146" s="118"/>
      <c r="DL146" s="118"/>
      <c r="DM146" s="118"/>
      <c r="DN146" s="118"/>
      <c r="DO146" s="118"/>
      <c r="DP146" s="118"/>
      <c r="DQ146" s="118"/>
      <c r="DR146" s="118"/>
      <c r="DS146" s="118"/>
      <c r="DT146" s="118"/>
      <c r="DU146" s="118"/>
      <c r="DV146" s="118"/>
      <c r="DW146" s="118"/>
      <c r="DX146" s="118"/>
      <c r="DY146" s="118"/>
      <c r="DZ146" s="118"/>
      <c r="EA146" s="118"/>
      <c r="EB146" s="118"/>
      <c r="EC146" s="118"/>
      <c r="ED146" s="118"/>
      <c r="EE146" s="118"/>
      <c r="EF146" s="118"/>
      <c r="EG146" s="118"/>
      <c r="EH146" s="118"/>
      <c r="EI146" s="118"/>
      <c r="EJ146" s="118"/>
      <c r="EK146" s="118"/>
      <c r="EL146" s="118"/>
      <c r="EM146" s="118"/>
      <c r="EN146" s="118"/>
      <c r="EO146" s="118"/>
      <c r="EP146" s="118"/>
      <c r="EQ146" s="118"/>
      <c r="ER146" s="118"/>
      <c r="ES146" s="118"/>
      <c r="ET146" s="118"/>
      <c r="EU146" s="118"/>
      <c r="EV146" s="118"/>
      <c r="EW146" s="118"/>
      <c r="EX146" s="118"/>
      <c r="EY146" s="118"/>
      <c r="EZ146" s="118"/>
      <c r="FA146" s="118"/>
      <c r="FB146" s="118"/>
      <c r="FC146" s="118"/>
      <c r="FD146" s="118"/>
      <c r="FE146" s="118"/>
      <c r="FF146" s="118"/>
      <c r="FG146" s="118"/>
      <c r="FH146" s="118"/>
      <c r="FI146" s="70"/>
      <c r="FJ146" s="132"/>
      <c r="FK146" s="132"/>
      <c r="FL146" s="6"/>
      <c r="FM146" s="3695" t="str">
        <f>IF(FM5=1," (Consolidated Hours per Week)"," (Consolidated Hours per Month)")</f>
        <v xml:space="preserve"> (Consolidated Hours per Week)</v>
      </c>
      <c r="FN146" s="3696"/>
      <c r="FO146" s="3813"/>
      <c r="FP146" s="3813"/>
      <c r="FQ146" s="3813"/>
      <c r="FR146" s="3813"/>
      <c r="FS146" s="3813"/>
      <c r="FT146" s="3813"/>
      <c r="FU146" s="3813"/>
      <c r="FV146" s="3813"/>
      <c r="FW146" s="3813"/>
      <c r="FX146" s="3813"/>
      <c r="FY146" s="3813"/>
      <c r="FZ146" s="3813"/>
      <c r="GA146" s="3813"/>
      <c r="GB146" s="3813"/>
      <c r="GC146" s="3813"/>
      <c r="GD146" s="3813"/>
      <c r="GE146" s="3813"/>
      <c r="GF146" s="3813"/>
      <c r="GG146" s="3813"/>
      <c r="GH146" s="3813"/>
      <c r="GI146" s="3813"/>
      <c r="GJ146" s="3813"/>
      <c r="GK146" s="3813"/>
      <c r="GL146" s="3813"/>
      <c r="GM146" s="3813"/>
      <c r="GN146" s="80"/>
      <c r="GO146" s="6"/>
      <c r="GP146" s="6"/>
      <c r="GQ146" s="6"/>
      <c r="GR146" s="6"/>
      <c r="GS146" s="162"/>
      <c r="GT146" s="3690"/>
      <c r="GU146" s="3690"/>
      <c r="GV146" s="3690"/>
      <c r="GW146" s="3690"/>
      <c r="GX146" s="3690"/>
      <c r="GY146" s="3690"/>
      <c r="GZ146" s="3690"/>
      <c r="HA146" s="3690"/>
      <c r="HB146" s="3690"/>
      <c r="HC146" s="3690"/>
      <c r="HD146" s="3690"/>
      <c r="HE146" s="3690"/>
      <c r="HF146" s="3690"/>
      <c r="HG146" s="3690"/>
      <c r="HH146" s="3690"/>
      <c r="HI146" s="3690"/>
      <c r="HJ146" s="3690"/>
      <c r="HK146" s="3690"/>
      <c r="HL146" s="3690"/>
      <c r="HM146" s="3690"/>
      <c r="HN146" s="3690"/>
      <c r="HO146" s="3690"/>
      <c r="HP146" s="3690"/>
      <c r="HQ146" s="3690"/>
      <c r="HR146" s="3690"/>
      <c r="HS146" s="3690"/>
      <c r="HT146" s="3690"/>
      <c r="HU146" s="3690"/>
      <c r="HV146" s="3690"/>
      <c r="HW146" s="3690"/>
      <c r="HX146" s="3690"/>
      <c r="HY146" s="3690"/>
      <c r="HZ146" s="3690"/>
      <c r="IA146" s="3690"/>
      <c r="IB146" s="3690"/>
      <c r="IC146" s="3690"/>
      <c r="ID146" s="3690"/>
      <c r="IE146" s="3690"/>
      <c r="IF146" s="3690"/>
      <c r="IG146" s="3690"/>
      <c r="IH146" s="3690"/>
      <c r="II146" s="3690"/>
      <c r="IJ146" s="3690"/>
      <c r="IK146" s="3690"/>
      <c r="IL146" s="3690"/>
      <c r="IM146" s="3690"/>
      <c r="IN146" s="3690"/>
      <c r="IO146" s="3690"/>
      <c r="IP146" s="3690"/>
      <c r="IQ146" s="3690"/>
      <c r="IR146" s="3690"/>
      <c r="IS146" s="3690"/>
      <c r="IT146" s="3690"/>
      <c r="IU146" s="3690"/>
      <c r="IV146" s="3690"/>
      <c r="IW146" s="3690"/>
      <c r="IX146" s="3690"/>
      <c r="IY146" s="3690"/>
      <c r="IZ146" s="3690"/>
      <c r="JA146" s="3690"/>
      <c r="JB146" s="3690"/>
      <c r="JC146" s="3690"/>
      <c r="JD146" s="3690"/>
      <c r="JE146" s="3690"/>
      <c r="JF146" s="3690"/>
      <c r="JG146" s="3690"/>
      <c r="JH146" s="3690"/>
      <c r="JI146" s="3690"/>
      <c r="JJ146" s="3690"/>
      <c r="JK146" s="3690"/>
      <c r="JL146" s="3690"/>
      <c r="JM146" s="3690"/>
      <c r="JN146" s="3690"/>
      <c r="JO146" s="3690"/>
      <c r="JP146" s="3690"/>
      <c r="JQ146" s="3690"/>
      <c r="JR146" s="3690"/>
      <c r="JS146" s="3690"/>
      <c r="JT146" s="3690"/>
      <c r="JU146" s="3690"/>
      <c r="JV146" s="3690"/>
      <c r="JW146" s="3690"/>
      <c r="JX146" s="3690"/>
      <c r="JY146" s="3690"/>
      <c r="JZ146" s="3690"/>
      <c r="KA146" s="3690"/>
      <c r="KB146" s="3690"/>
      <c r="KC146" s="3690"/>
      <c r="KD146" s="3690"/>
      <c r="KE146" s="3690"/>
      <c r="KF146" s="3690"/>
      <c r="KG146" s="3690"/>
      <c r="KH146" s="3690"/>
      <c r="KI146" s="3690"/>
      <c r="KJ146" s="3690"/>
      <c r="KK146" s="3690"/>
      <c r="KL146" s="3690"/>
      <c r="KM146" s="3690"/>
      <c r="KN146" s="3690"/>
      <c r="KO146" s="3690"/>
      <c r="KP146" s="3690"/>
      <c r="KQ146" s="3690"/>
      <c r="KR146" s="3690"/>
      <c r="KS146" s="3690"/>
      <c r="KT146" s="3690"/>
      <c r="KU146" s="3690"/>
      <c r="KV146" s="3690"/>
      <c r="KW146" s="3690"/>
      <c r="KX146" s="3690"/>
      <c r="KY146" s="3690"/>
      <c r="KZ146" s="3690"/>
      <c r="LA146" s="3690"/>
      <c r="LB146" s="3690"/>
      <c r="LC146" s="3690"/>
      <c r="LD146" s="3690"/>
      <c r="LE146" s="3690"/>
      <c r="LF146" s="3690"/>
      <c r="LG146" s="3690"/>
      <c r="LH146" s="3690"/>
      <c r="LI146" s="3690"/>
      <c r="LJ146" s="3690"/>
      <c r="LK146" s="3690"/>
      <c r="LL146" s="3690"/>
      <c r="LM146" s="3690"/>
      <c r="LN146" s="3690"/>
      <c r="LO146" s="3690"/>
      <c r="LP146" s="3694"/>
      <c r="LQ146" s="3692"/>
    </row>
    <row r="147" spans="1:330" ht="12.75" customHeight="1" x14ac:dyDescent="0.3">
      <c r="A147" s="279"/>
      <c r="B147" s="41"/>
      <c r="C147" s="82"/>
      <c r="D147" s="41"/>
      <c r="E147" s="9"/>
      <c r="F147" s="9"/>
      <c r="G147" s="9"/>
      <c r="H147" s="10"/>
      <c r="I147" s="10"/>
      <c r="J147" s="10"/>
      <c r="K147" s="10"/>
      <c r="L147" s="10"/>
      <c r="M147" s="10"/>
      <c r="N147" s="9"/>
      <c r="O147" s="9"/>
      <c r="P147" s="44"/>
      <c r="Q147" s="44"/>
      <c r="R147" s="9"/>
      <c r="S147" s="9"/>
      <c r="T147" s="9"/>
      <c r="U147" s="9"/>
      <c r="V147" s="9"/>
      <c r="W147" s="9"/>
      <c r="X147" s="9"/>
      <c r="Y147" s="9"/>
      <c r="Z147" s="9"/>
      <c r="AA147" s="9"/>
      <c r="AB147" s="9"/>
      <c r="AC147" s="9"/>
      <c r="AD147" s="9"/>
      <c r="AE147" s="9"/>
      <c r="AF147" s="9"/>
      <c r="AG147" s="9"/>
      <c r="AH147" s="2514"/>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113"/>
      <c r="DI147" s="113"/>
      <c r="DJ147" s="113"/>
      <c r="DK147" s="118"/>
      <c r="DL147" s="118"/>
      <c r="DM147" s="118"/>
      <c r="DN147" s="118"/>
      <c r="DO147" s="118"/>
      <c r="DP147" s="118"/>
      <c r="DQ147" s="118"/>
      <c r="DR147" s="118"/>
      <c r="DS147" s="118"/>
      <c r="DT147" s="118"/>
      <c r="DU147" s="118"/>
      <c r="DV147" s="118"/>
      <c r="DW147" s="118"/>
      <c r="DX147" s="118"/>
      <c r="DY147" s="118"/>
      <c r="DZ147" s="118"/>
      <c r="EA147" s="118"/>
      <c r="EB147" s="118"/>
      <c r="EC147" s="118"/>
      <c r="ED147" s="118"/>
      <c r="EE147" s="118"/>
      <c r="EF147" s="118"/>
      <c r="EG147" s="118"/>
      <c r="EH147" s="118"/>
      <c r="EI147" s="118"/>
      <c r="EJ147" s="118"/>
      <c r="EK147" s="118"/>
      <c r="EL147" s="118"/>
      <c r="EM147" s="118"/>
      <c r="EN147" s="118"/>
      <c r="EO147" s="118"/>
      <c r="EP147" s="118"/>
      <c r="EQ147" s="118"/>
      <c r="ER147" s="118"/>
      <c r="ES147" s="118"/>
      <c r="ET147" s="118"/>
      <c r="EU147" s="118"/>
      <c r="EV147" s="118"/>
      <c r="EW147" s="118"/>
      <c r="EX147" s="118"/>
      <c r="EY147" s="118"/>
      <c r="EZ147" s="118"/>
      <c r="FA147" s="118"/>
      <c r="FB147" s="118"/>
      <c r="FC147" s="118"/>
      <c r="FD147" s="118"/>
      <c r="FE147" s="118"/>
      <c r="FF147" s="118"/>
      <c r="FG147" s="118"/>
      <c r="FH147" s="118"/>
      <c r="FI147" s="70"/>
      <c r="FJ147" s="132"/>
      <c r="FK147" s="132"/>
      <c r="FL147" s="6"/>
      <c r="FM147" s="3695"/>
      <c r="FN147" s="3696"/>
      <c r="FO147" s="3813"/>
      <c r="FP147" s="3813"/>
      <c r="FQ147" s="3813"/>
      <c r="FR147" s="3813"/>
      <c r="FS147" s="3813"/>
      <c r="FT147" s="3813"/>
      <c r="FU147" s="3813"/>
      <c r="FV147" s="3813"/>
      <c r="FW147" s="3813"/>
      <c r="FX147" s="3813"/>
      <c r="FY147" s="3813"/>
      <c r="FZ147" s="3813"/>
      <c r="GA147" s="3813"/>
      <c r="GB147" s="3813"/>
      <c r="GC147" s="3813"/>
      <c r="GD147" s="3813"/>
      <c r="GE147" s="3813"/>
      <c r="GF147" s="3813"/>
      <c r="GG147" s="3813"/>
      <c r="GH147" s="3813"/>
      <c r="GI147" s="3813"/>
      <c r="GJ147" s="3813"/>
      <c r="GK147" s="3813"/>
      <c r="GL147" s="3813"/>
      <c r="GM147" s="3813"/>
      <c r="GN147" s="80"/>
      <c r="GO147" s="135" t="s">
        <v>455</v>
      </c>
      <c r="GP147" s="42">
        <v>40</v>
      </c>
      <c r="GQ147" s="163" t="s">
        <v>57</v>
      </c>
      <c r="GR147" s="163" t="s">
        <v>1034</v>
      </c>
      <c r="GS147" s="162"/>
      <c r="GT147" s="3690"/>
      <c r="GU147" s="3690"/>
      <c r="GV147" s="3690"/>
      <c r="GW147" s="3690"/>
      <c r="GX147" s="3690"/>
      <c r="GY147" s="3690"/>
      <c r="GZ147" s="3690"/>
      <c r="HA147" s="3690"/>
      <c r="HB147" s="3690"/>
      <c r="HC147" s="3690"/>
      <c r="HD147" s="3690"/>
      <c r="HE147" s="3690"/>
      <c r="HF147" s="3690"/>
      <c r="HG147" s="3690"/>
      <c r="HH147" s="3690"/>
      <c r="HI147" s="3690"/>
      <c r="HJ147" s="3690"/>
      <c r="HK147" s="3690"/>
      <c r="HL147" s="3690"/>
      <c r="HM147" s="3690"/>
      <c r="HN147" s="3690"/>
      <c r="HO147" s="3690"/>
      <c r="HP147" s="3690"/>
      <c r="HQ147" s="3690"/>
      <c r="HR147" s="3690"/>
      <c r="HS147" s="3690"/>
      <c r="HT147" s="3690"/>
      <c r="HU147" s="3690"/>
      <c r="HV147" s="3690"/>
      <c r="HW147" s="3690"/>
      <c r="HX147" s="3690"/>
      <c r="HY147" s="3690"/>
      <c r="HZ147" s="3690"/>
      <c r="IA147" s="3690"/>
      <c r="IB147" s="3690"/>
      <c r="IC147" s="3690"/>
      <c r="ID147" s="3690"/>
      <c r="IE147" s="3690"/>
      <c r="IF147" s="3690"/>
      <c r="IG147" s="3690"/>
      <c r="IH147" s="3690"/>
      <c r="II147" s="3690"/>
      <c r="IJ147" s="3690"/>
      <c r="IK147" s="3690"/>
      <c r="IL147" s="3690"/>
      <c r="IM147" s="3690"/>
      <c r="IN147" s="3690"/>
      <c r="IO147" s="3690"/>
      <c r="IP147" s="3690"/>
      <c r="IQ147" s="3690"/>
      <c r="IR147" s="3690"/>
      <c r="IS147" s="3690"/>
      <c r="IT147" s="3690"/>
      <c r="IU147" s="3690"/>
      <c r="IV147" s="3690"/>
      <c r="IW147" s="3690"/>
      <c r="IX147" s="3690"/>
      <c r="IY147" s="3690"/>
      <c r="IZ147" s="3690"/>
      <c r="JA147" s="3690"/>
      <c r="JB147" s="3690"/>
      <c r="JC147" s="3690"/>
      <c r="JD147" s="3690"/>
      <c r="JE147" s="3690"/>
      <c r="JF147" s="3690"/>
      <c r="JG147" s="3690"/>
      <c r="JH147" s="3690"/>
      <c r="JI147" s="3690"/>
      <c r="JJ147" s="3690"/>
      <c r="JK147" s="3690"/>
      <c r="JL147" s="3690"/>
      <c r="JM147" s="3690"/>
      <c r="JN147" s="3690"/>
      <c r="JO147" s="3690"/>
      <c r="JP147" s="3690"/>
      <c r="JQ147" s="3690"/>
      <c r="JR147" s="3690"/>
      <c r="JS147" s="3690"/>
      <c r="JT147" s="3690"/>
      <c r="JU147" s="3690"/>
      <c r="JV147" s="3690"/>
      <c r="JW147" s="3690"/>
      <c r="JX147" s="3690"/>
      <c r="JY147" s="3690"/>
      <c r="JZ147" s="3690"/>
      <c r="KA147" s="3690"/>
      <c r="KB147" s="3690"/>
      <c r="KC147" s="3690"/>
      <c r="KD147" s="3690"/>
      <c r="KE147" s="3690"/>
      <c r="KF147" s="3690"/>
      <c r="KG147" s="3690"/>
      <c r="KH147" s="3690"/>
      <c r="KI147" s="3690"/>
      <c r="KJ147" s="3690"/>
      <c r="KK147" s="3690"/>
      <c r="KL147" s="3690"/>
      <c r="KM147" s="3690"/>
      <c r="KN147" s="3690"/>
      <c r="KO147" s="3690"/>
      <c r="KP147" s="3690"/>
      <c r="KQ147" s="3690"/>
      <c r="KR147" s="3690"/>
      <c r="KS147" s="3690"/>
      <c r="KT147" s="3690"/>
      <c r="KU147" s="3690"/>
      <c r="KV147" s="3690"/>
      <c r="KW147" s="3690"/>
      <c r="KX147" s="3690"/>
      <c r="KY147" s="3690"/>
      <c r="KZ147" s="3690"/>
      <c r="LA147" s="3690"/>
      <c r="LB147" s="3690"/>
      <c r="LC147" s="3690"/>
      <c r="LD147" s="3690"/>
      <c r="LE147" s="3690"/>
      <c r="LF147" s="3690"/>
      <c r="LG147" s="3690"/>
      <c r="LH147" s="3690"/>
      <c r="LI147" s="3690"/>
      <c r="LJ147" s="3690"/>
      <c r="LK147" s="3690"/>
      <c r="LL147" s="3690"/>
      <c r="LM147" s="3690"/>
      <c r="LN147" s="3690"/>
      <c r="LO147" s="3690"/>
      <c r="LP147" s="3694"/>
      <c r="LQ147" s="3692"/>
    </row>
    <row r="148" spans="1:330" ht="12.75" customHeight="1" x14ac:dyDescent="0.3">
      <c r="A148" s="279"/>
      <c r="B148" s="41"/>
      <c r="C148" s="82"/>
      <c r="D148" s="41"/>
      <c r="E148" s="9"/>
      <c r="F148" s="9"/>
      <c r="G148" s="9"/>
      <c r="H148" s="10"/>
      <c r="I148" s="10"/>
      <c r="J148" s="10"/>
      <c r="K148" s="10"/>
      <c r="L148" s="10"/>
      <c r="M148" s="10"/>
      <c r="N148" s="9"/>
      <c r="O148" s="9"/>
      <c r="P148" s="44"/>
      <c r="Q148" s="44"/>
      <c r="R148" s="9"/>
      <c r="S148" s="9"/>
      <c r="T148" s="9"/>
      <c r="U148" s="9"/>
      <c r="V148" s="9"/>
      <c r="W148" s="9"/>
      <c r="X148" s="9"/>
      <c r="Y148" s="9"/>
      <c r="Z148" s="9"/>
      <c r="AA148" s="9"/>
      <c r="AB148" s="9"/>
      <c r="AC148" s="9"/>
      <c r="AD148" s="9"/>
      <c r="AE148" s="9"/>
      <c r="AF148" s="9"/>
      <c r="AG148" s="9"/>
      <c r="AH148" s="2514"/>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113"/>
      <c r="DI148" s="113"/>
      <c r="DJ148" s="113"/>
      <c r="DK148" s="118"/>
      <c r="DL148" s="118"/>
      <c r="DM148" s="118"/>
      <c r="DN148" s="118"/>
      <c r="DO148" s="118"/>
      <c r="DP148" s="118"/>
      <c r="DQ148" s="118"/>
      <c r="DR148" s="118"/>
      <c r="DS148" s="118"/>
      <c r="DT148" s="118"/>
      <c r="DU148" s="118"/>
      <c r="DV148" s="118"/>
      <c r="DW148" s="118"/>
      <c r="DX148" s="118"/>
      <c r="DY148" s="118"/>
      <c r="DZ148" s="118"/>
      <c r="EA148" s="118"/>
      <c r="EB148" s="118"/>
      <c r="EC148" s="118"/>
      <c r="ED148" s="118"/>
      <c r="EE148" s="118"/>
      <c r="EF148" s="118"/>
      <c r="EG148" s="118"/>
      <c r="EH148" s="118"/>
      <c r="EI148" s="118"/>
      <c r="EJ148" s="118"/>
      <c r="EK148" s="118"/>
      <c r="EL148" s="118"/>
      <c r="EM148" s="118"/>
      <c r="EN148" s="118"/>
      <c r="EO148" s="118"/>
      <c r="EP148" s="118"/>
      <c r="EQ148" s="118"/>
      <c r="ER148" s="118"/>
      <c r="ES148" s="118"/>
      <c r="ET148" s="118"/>
      <c r="EU148" s="118"/>
      <c r="EV148" s="118"/>
      <c r="EW148" s="118"/>
      <c r="EX148" s="118"/>
      <c r="EY148" s="118"/>
      <c r="EZ148" s="118"/>
      <c r="FA148" s="118"/>
      <c r="FB148" s="118"/>
      <c r="FC148" s="118"/>
      <c r="FD148" s="118"/>
      <c r="FE148" s="118"/>
      <c r="FF148" s="118"/>
      <c r="FG148" s="118"/>
      <c r="FH148" s="118"/>
      <c r="FI148" s="70"/>
      <c r="FJ148" s="132"/>
      <c r="FK148" s="132"/>
      <c r="FL148" s="6"/>
      <c r="FM148" s="3695"/>
      <c r="FN148" s="3696"/>
      <c r="FO148" s="3813"/>
      <c r="FP148" s="3813"/>
      <c r="FQ148" s="3813"/>
      <c r="FR148" s="3813"/>
      <c r="FS148" s="3813"/>
      <c r="FT148" s="3813"/>
      <c r="FU148" s="3813"/>
      <c r="FV148" s="3813"/>
      <c r="FW148" s="3813"/>
      <c r="FX148" s="3813"/>
      <c r="FY148" s="3813"/>
      <c r="FZ148" s="3813"/>
      <c r="GA148" s="3813"/>
      <c r="GB148" s="3813"/>
      <c r="GC148" s="3813"/>
      <c r="GD148" s="3813"/>
      <c r="GE148" s="3813"/>
      <c r="GF148" s="3813"/>
      <c r="GG148" s="3813"/>
      <c r="GH148" s="3813"/>
      <c r="GI148" s="3813"/>
      <c r="GJ148" s="3813"/>
      <c r="GK148" s="3813"/>
      <c r="GL148" s="3813"/>
      <c r="GM148" s="3813"/>
      <c r="GN148" s="80"/>
      <c r="GO148" s="135" t="s">
        <v>456</v>
      </c>
      <c r="GP148" s="42">
        <v>50</v>
      </c>
      <c r="GQ148" s="163" t="s">
        <v>57</v>
      </c>
      <c r="GR148" s="163" t="s">
        <v>1034</v>
      </c>
      <c r="GS148" s="162"/>
      <c r="GT148" s="3690"/>
      <c r="GU148" s="3690"/>
      <c r="GV148" s="3690"/>
      <c r="GW148" s="3690"/>
      <c r="GX148" s="3690"/>
      <c r="GY148" s="3690"/>
      <c r="GZ148" s="3690"/>
      <c r="HA148" s="3690"/>
      <c r="HB148" s="3690"/>
      <c r="HC148" s="3690"/>
      <c r="HD148" s="3690"/>
      <c r="HE148" s="3690"/>
      <c r="HF148" s="3690"/>
      <c r="HG148" s="3690"/>
      <c r="HH148" s="3690"/>
      <c r="HI148" s="3690"/>
      <c r="HJ148" s="3690"/>
      <c r="HK148" s="3690"/>
      <c r="HL148" s="3690"/>
      <c r="HM148" s="3690"/>
      <c r="HN148" s="3690"/>
      <c r="HO148" s="3690"/>
      <c r="HP148" s="3690"/>
      <c r="HQ148" s="3690"/>
      <c r="HR148" s="3690"/>
      <c r="HS148" s="3690"/>
      <c r="HT148" s="3690"/>
      <c r="HU148" s="3690"/>
      <c r="HV148" s="3690"/>
      <c r="HW148" s="3690"/>
      <c r="HX148" s="3690"/>
      <c r="HY148" s="3690"/>
      <c r="HZ148" s="3690"/>
      <c r="IA148" s="3690"/>
      <c r="IB148" s="3690"/>
      <c r="IC148" s="3690"/>
      <c r="ID148" s="3690"/>
      <c r="IE148" s="3690"/>
      <c r="IF148" s="3690"/>
      <c r="IG148" s="3690"/>
      <c r="IH148" s="3690"/>
      <c r="II148" s="3690"/>
      <c r="IJ148" s="3690"/>
      <c r="IK148" s="3690"/>
      <c r="IL148" s="3690"/>
      <c r="IM148" s="3690"/>
      <c r="IN148" s="3690"/>
      <c r="IO148" s="3690"/>
      <c r="IP148" s="3690"/>
      <c r="IQ148" s="3690"/>
      <c r="IR148" s="3690"/>
      <c r="IS148" s="3690"/>
      <c r="IT148" s="3690"/>
      <c r="IU148" s="3690"/>
      <c r="IV148" s="3690"/>
      <c r="IW148" s="3690"/>
      <c r="IX148" s="3690"/>
      <c r="IY148" s="3690"/>
      <c r="IZ148" s="3690"/>
      <c r="JA148" s="3690"/>
      <c r="JB148" s="3690"/>
      <c r="JC148" s="3690"/>
      <c r="JD148" s="3690"/>
      <c r="JE148" s="3690"/>
      <c r="JF148" s="3690"/>
      <c r="JG148" s="3690"/>
      <c r="JH148" s="3690"/>
      <c r="JI148" s="3690"/>
      <c r="JJ148" s="3690"/>
      <c r="JK148" s="3690"/>
      <c r="JL148" s="3690"/>
      <c r="JM148" s="3690"/>
      <c r="JN148" s="3690"/>
      <c r="JO148" s="3690"/>
      <c r="JP148" s="3690"/>
      <c r="JQ148" s="3690"/>
      <c r="JR148" s="3690"/>
      <c r="JS148" s="3690"/>
      <c r="JT148" s="3690"/>
      <c r="JU148" s="3690"/>
      <c r="JV148" s="3690"/>
      <c r="JW148" s="3690"/>
      <c r="JX148" s="3690"/>
      <c r="JY148" s="3690"/>
      <c r="JZ148" s="3690"/>
      <c r="KA148" s="3690"/>
      <c r="KB148" s="3690"/>
      <c r="KC148" s="3690"/>
      <c r="KD148" s="3690"/>
      <c r="KE148" s="3690"/>
      <c r="KF148" s="3690"/>
      <c r="KG148" s="3690"/>
      <c r="KH148" s="3690"/>
      <c r="KI148" s="3690"/>
      <c r="KJ148" s="3690"/>
      <c r="KK148" s="3690"/>
      <c r="KL148" s="3690"/>
      <c r="KM148" s="3690"/>
      <c r="KN148" s="3690"/>
      <c r="KO148" s="3690"/>
      <c r="KP148" s="3690"/>
      <c r="KQ148" s="3690"/>
      <c r="KR148" s="3690"/>
      <c r="KS148" s="3690"/>
      <c r="KT148" s="3690"/>
      <c r="KU148" s="3690"/>
      <c r="KV148" s="3690"/>
      <c r="KW148" s="3690"/>
      <c r="KX148" s="3690"/>
      <c r="KY148" s="3690"/>
      <c r="KZ148" s="3690"/>
      <c r="LA148" s="3690"/>
      <c r="LB148" s="3690"/>
      <c r="LC148" s="3690"/>
      <c r="LD148" s="3690"/>
      <c r="LE148" s="3690"/>
      <c r="LF148" s="3690"/>
      <c r="LG148" s="3690"/>
      <c r="LH148" s="3690"/>
      <c r="LI148" s="3690"/>
      <c r="LJ148" s="3690"/>
      <c r="LK148" s="3690"/>
      <c r="LL148" s="3690"/>
      <c r="LM148" s="3690"/>
      <c r="LN148" s="3690"/>
      <c r="LO148" s="3690"/>
      <c r="LP148" s="3694"/>
      <c r="LQ148" s="3692"/>
    </row>
    <row r="149" spans="1:330" ht="14.25" customHeight="1" x14ac:dyDescent="0.3">
      <c r="A149" s="279"/>
      <c r="B149" s="41"/>
      <c r="C149" s="82"/>
      <c r="D149" s="41"/>
      <c r="E149" s="9"/>
      <c r="F149" s="9"/>
      <c r="G149" s="9"/>
      <c r="H149" s="10"/>
      <c r="I149" s="10"/>
      <c r="J149" s="10"/>
      <c r="K149" s="10"/>
      <c r="L149" s="10"/>
      <c r="M149" s="10"/>
      <c r="N149" s="9"/>
      <c r="O149" s="9"/>
      <c r="P149" s="44"/>
      <c r="Q149" s="44"/>
      <c r="R149" s="9"/>
      <c r="S149" s="9"/>
      <c r="T149" s="9"/>
      <c r="U149" s="9"/>
      <c r="V149" s="9"/>
      <c r="W149" s="9"/>
      <c r="X149" s="9"/>
      <c r="Y149" s="9"/>
      <c r="Z149" s="9"/>
      <c r="AA149" s="9"/>
      <c r="AB149" s="9"/>
      <c r="AC149" s="9"/>
      <c r="AD149" s="9"/>
      <c r="AE149" s="9"/>
      <c r="AF149" s="9"/>
      <c r="AG149" s="9"/>
      <c r="AH149" s="2514"/>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113"/>
      <c r="DI149" s="113"/>
      <c r="DJ149" s="113"/>
      <c r="DK149" s="118"/>
      <c r="DL149" s="118"/>
      <c r="DM149" s="118"/>
      <c r="DN149" s="118"/>
      <c r="DO149" s="118"/>
      <c r="DP149" s="118"/>
      <c r="DQ149" s="118"/>
      <c r="DR149" s="118"/>
      <c r="DS149" s="118"/>
      <c r="DT149" s="118"/>
      <c r="DU149" s="118"/>
      <c r="DV149" s="118"/>
      <c r="DW149" s="118"/>
      <c r="DX149" s="118"/>
      <c r="DY149" s="118"/>
      <c r="DZ149" s="118"/>
      <c r="EA149" s="118"/>
      <c r="EB149" s="118"/>
      <c r="EC149" s="118"/>
      <c r="ED149" s="118"/>
      <c r="EE149" s="118"/>
      <c r="EF149" s="118"/>
      <c r="EG149" s="118"/>
      <c r="EH149" s="118"/>
      <c r="EI149" s="118"/>
      <c r="EJ149" s="118"/>
      <c r="EK149" s="118"/>
      <c r="EL149" s="118"/>
      <c r="EM149" s="118"/>
      <c r="EN149" s="118"/>
      <c r="EO149" s="118"/>
      <c r="EP149" s="118"/>
      <c r="EQ149" s="118"/>
      <c r="ER149" s="118"/>
      <c r="ES149" s="118"/>
      <c r="ET149" s="118"/>
      <c r="EU149" s="118"/>
      <c r="EV149" s="118"/>
      <c r="EW149" s="118"/>
      <c r="EX149" s="118"/>
      <c r="EY149" s="118"/>
      <c r="EZ149" s="118"/>
      <c r="FA149" s="118"/>
      <c r="FB149" s="118"/>
      <c r="FC149" s="118"/>
      <c r="FD149" s="118"/>
      <c r="FE149" s="118"/>
      <c r="FF149" s="118"/>
      <c r="FG149" s="118"/>
      <c r="FH149" s="118"/>
      <c r="FI149" s="70"/>
      <c r="FJ149" s="132"/>
      <c r="FK149" s="132"/>
      <c r="FL149" s="6"/>
      <c r="FM149" s="3695"/>
      <c r="FN149" s="3696"/>
      <c r="FO149" s="231"/>
      <c r="FP149" s="231"/>
      <c r="FQ149" s="231"/>
      <c r="FR149" s="231"/>
      <c r="FS149" s="231"/>
      <c r="FT149" s="231"/>
      <c r="FU149" s="231"/>
      <c r="FV149" s="231"/>
      <c r="FW149" s="231"/>
      <c r="FX149" s="231"/>
      <c r="FY149" s="231"/>
      <c r="FZ149" s="231"/>
      <c r="GA149" s="231"/>
      <c r="GB149" s="231"/>
      <c r="GC149" s="231"/>
      <c r="GD149" s="231"/>
      <c r="GE149" s="231"/>
      <c r="GF149" s="231"/>
      <c r="GG149" s="231"/>
      <c r="GH149" s="231"/>
      <c r="GI149" s="231"/>
      <c r="GJ149" s="231"/>
      <c r="GK149" s="231"/>
      <c r="GL149" s="231"/>
      <c r="GM149" s="231"/>
      <c r="GN149" s="80"/>
      <c r="GO149" s="80"/>
      <c r="GP149" s="68"/>
      <c r="GQ149" s="68"/>
      <c r="GR149" s="68"/>
      <c r="GS149" s="164"/>
      <c r="GT149" s="3690"/>
      <c r="GU149" s="3690"/>
      <c r="GV149" s="3690"/>
      <c r="GW149" s="3690"/>
      <c r="GX149" s="3690"/>
      <c r="GY149" s="3690"/>
      <c r="GZ149" s="3690"/>
      <c r="HA149" s="3690"/>
      <c r="HB149" s="3690"/>
      <c r="HC149" s="3690"/>
      <c r="HD149" s="3690"/>
      <c r="HE149" s="3690"/>
      <c r="HF149" s="3690"/>
      <c r="HG149" s="3690"/>
      <c r="HH149" s="3690"/>
      <c r="HI149" s="3690"/>
      <c r="HJ149" s="3690"/>
      <c r="HK149" s="3690"/>
      <c r="HL149" s="3690"/>
      <c r="HM149" s="3690"/>
      <c r="HN149" s="3690"/>
      <c r="HO149" s="3690"/>
      <c r="HP149" s="3690"/>
      <c r="HQ149" s="3690"/>
      <c r="HR149" s="3690"/>
      <c r="HS149" s="3690"/>
      <c r="HT149" s="3690"/>
      <c r="HU149" s="3690"/>
      <c r="HV149" s="3690"/>
      <c r="HW149" s="3690"/>
      <c r="HX149" s="3690"/>
      <c r="HY149" s="3690"/>
      <c r="HZ149" s="3690"/>
      <c r="IA149" s="3690"/>
      <c r="IB149" s="3690"/>
      <c r="IC149" s="3690"/>
      <c r="ID149" s="3690"/>
      <c r="IE149" s="3690"/>
      <c r="IF149" s="3690"/>
      <c r="IG149" s="3690"/>
      <c r="IH149" s="3690"/>
      <c r="II149" s="3690"/>
      <c r="IJ149" s="3690"/>
      <c r="IK149" s="3690"/>
      <c r="IL149" s="3690"/>
      <c r="IM149" s="3690"/>
      <c r="IN149" s="3690"/>
      <c r="IO149" s="3690"/>
      <c r="IP149" s="3690"/>
      <c r="IQ149" s="3690"/>
      <c r="IR149" s="3690"/>
      <c r="IS149" s="3690"/>
      <c r="IT149" s="3690"/>
      <c r="IU149" s="3690"/>
      <c r="IV149" s="3690"/>
      <c r="IW149" s="3690"/>
      <c r="IX149" s="3690"/>
      <c r="IY149" s="3690"/>
      <c r="IZ149" s="3690"/>
      <c r="JA149" s="3690"/>
      <c r="JB149" s="3690"/>
      <c r="JC149" s="3690"/>
      <c r="JD149" s="3690"/>
      <c r="JE149" s="3690"/>
      <c r="JF149" s="3690"/>
      <c r="JG149" s="3690"/>
      <c r="JH149" s="3690"/>
      <c r="JI149" s="3690"/>
      <c r="JJ149" s="3690"/>
      <c r="JK149" s="3690"/>
      <c r="JL149" s="3690"/>
      <c r="JM149" s="3690"/>
      <c r="JN149" s="3690"/>
      <c r="JO149" s="3690"/>
      <c r="JP149" s="3690"/>
      <c r="JQ149" s="3690"/>
      <c r="JR149" s="3690"/>
      <c r="JS149" s="3690"/>
      <c r="JT149" s="3690"/>
      <c r="JU149" s="3690"/>
      <c r="JV149" s="3690"/>
      <c r="JW149" s="3690"/>
      <c r="JX149" s="3690"/>
      <c r="JY149" s="3690"/>
      <c r="JZ149" s="3690"/>
      <c r="KA149" s="3690"/>
      <c r="KB149" s="3690"/>
      <c r="KC149" s="3690"/>
      <c r="KD149" s="3690"/>
      <c r="KE149" s="3690"/>
      <c r="KF149" s="3690"/>
      <c r="KG149" s="3690"/>
      <c r="KH149" s="3690"/>
      <c r="KI149" s="3690"/>
      <c r="KJ149" s="3690"/>
      <c r="KK149" s="3690"/>
      <c r="KL149" s="3690"/>
      <c r="KM149" s="3690"/>
      <c r="KN149" s="3690"/>
      <c r="KO149" s="3690"/>
      <c r="KP149" s="3690"/>
      <c r="KQ149" s="3690"/>
      <c r="KR149" s="3690"/>
      <c r="KS149" s="3690"/>
      <c r="KT149" s="3690"/>
      <c r="KU149" s="3690"/>
      <c r="KV149" s="3690"/>
      <c r="KW149" s="3690"/>
      <c r="KX149" s="3690"/>
      <c r="KY149" s="3690"/>
      <c r="KZ149" s="3690"/>
      <c r="LA149" s="3690"/>
      <c r="LB149" s="3690"/>
      <c r="LC149" s="3690"/>
      <c r="LD149" s="3690"/>
      <c r="LE149" s="3690"/>
      <c r="LF149" s="3690"/>
      <c r="LG149" s="3690"/>
      <c r="LH149" s="3690"/>
      <c r="LI149" s="3690"/>
      <c r="LJ149" s="3690"/>
      <c r="LK149" s="3690"/>
      <c r="LL149" s="3690"/>
      <c r="LM149" s="3690"/>
      <c r="LN149" s="3690"/>
      <c r="LO149" s="3690"/>
      <c r="LP149" s="3694"/>
      <c r="LQ149" s="3692"/>
    </row>
    <row r="150" spans="1:330" ht="12.75" customHeight="1" x14ac:dyDescent="0.3">
      <c r="A150" s="279"/>
      <c r="B150" s="41"/>
      <c r="C150" s="82"/>
      <c r="D150" s="41"/>
      <c r="E150" s="9"/>
      <c r="F150" s="9"/>
      <c r="G150" s="9"/>
      <c r="H150" s="10"/>
      <c r="I150" s="10"/>
      <c r="J150" s="10"/>
      <c r="K150" s="10"/>
      <c r="L150" s="10"/>
      <c r="M150" s="10"/>
      <c r="N150" s="9"/>
      <c r="O150" s="9"/>
      <c r="P150" s="44"/>
      <c r="Q150" s="44"/>
      <c r="R150" s="9"/>
      <c r="S150" s="9"/>
      <c r="T150" s="9"/>
      <c r="U150" s="9"/>
      <c r="V150" s="9"/>
      <c r="W150" s="9"/>
      <c r="X150" s="9"/>
      <c r="Y150" s="9"/>
      <c r="Z150" s="9"/>
      <c r="AA150" s="9"/>
      <c r="AB150" s="9"/>
      <c r="AC150" s="9"/>
      <c r="AD150" s="9"/>
      <c r="AE150" s="9"/>
      <c r="AF150" s="9"/>
      <c r="AG150" s="9"/>
      <c r="AH150" s="2514"/>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113"/>
      <c r="DI150" s="113"/>
      <c r="DJ150" s="113"/>
      <c r="DK150" s="118"/>
      <c r="DL150" s="118"/>
      <c r="DM150" s="118"/>
      <c r="DN150" s="118"/>
      <c r="DO150" s="118"/>
      <c r="DP150" s="118"/>
      <c r="DQ150" s="118"/>
      <c r="DR150" s="118"/>
      <c r="DS150" s="118"/>
      <c r="DT150" s="118"/>
      <c r="DU150" s="118"/>
      <c r="DV150" s="118"/>
      <c r="DW150" s="118"/>
      <c r="DX150" s="118"/>
      <c r="DY150" s="118"/>
      <c r="DZ150" s="118"/>
      <c r="EA150" s="118"/>
      <c r="EB150" s="118"/>
      <c r="EC150" s="118"/>
      <c r="ED150" s="118"/>
      <c r="EE150" s="118"/>
      <c r="EF150" s="118"/>
      <c r="EG150" s="118"/>
      <c r="EH150" s="118"/>
      <c r="EI150" s="118"/>
      <c r="EJ150" s="118"/>
      <c r="EK150" s="118"/>
      <c r="EL150" s="118"/>
      <c r="EM150" s="118"/>
      <c r="EN150" s="118"/>
      <c r="EO150" s="118"/>
      <c r="EP150" s="118"/>
      <c r="EQ150" s="118"/>
      <c r="ER150" s="118"/>
      <c r="ES150" s="118"/>
      <c r="ET150" s="118"/>
      <c r="EU150" s="118"/>
      <c r="EV150" s="118"/>
      <c r="EW150" s="118"/>
      <c r="EX150" s="118"/>
      <c r="EY150" s="118"/>
      <c r="EZ150" s="118"/>
      <c r="FA150" s="118"/>
      <c r="FB150" s="118"/>
      <c r="FC150" s="118"/>
      <c r="FD150" s="118"/>
      <c r="FE150" s="118"/>
      <c r="FF150" s="118"/>
      <c r="FG150" s="118"/>
      <c r="FH150" s="118"/>
      <c r="FI150" s="70"/>
      <c r="FJ150" s="132"/>
      <c r="FK150" s="132"/>
      <c r="FL150" s="6"/>
      <c r="FM150" s="186"/>
      <c r="FN150" s="110"/>
      <c r="FO150" s="232"/>
      <c r="FP150" s="232"/>
      <c r="FQ150" s="232"/>
      <c r="FR150" s="232"/>
      <c r="FS150" s="232"/>
      <c r="FT150" s="232"/>
      <c r="FU150" s="232"/>
      <c r="FV150" s="232"/>
      <c r="FW150" s="232"/>
      <c r="FX150" s="232"/>
      <c r="FY150" s="232"/>
      <c r="FZ150" s="232"/>
      <c r="GA150" s="232"/>
      <c r="GB150" s="232"/>
      <c r="GC150" s="232"/>
      <c r="GD150" s="232"/>
      <c r="GE150" s="232"/>
      <c r="GF150" s="232"/>
      <c r="GG150" s="232"/>
      <c r="GH150" s="232"/>
      <c r="GI150" s="232"/>
      <c r="GJ150" s="232"/>
      <c r="GK150" s="232"/>
      <c r="GL150" s="232"/>
      <c r="GM150" s="232"/>
      <c r="GN150" s="187"/>
      <c r="GO150" s="187"/>
      <c r="GP150" s="188"/>
      <c r="GQ150" s="188"/>
      <c r="GR150" s="188"/>
      <c r="GS150" s="189" t="s">
        <v>79</v>
      </c>
      <c r="GT150" s="695">
        <f>GT154/($GP$147*$FN$8)</f>
        <v>2.8395833333333331</v>
      </c>
      <c r="GU150" s="696">
        <f t="shared" ref="GU150:JF150" si="287">GU154/($GP$147*$FN$8)</f>
        <v>2.8395833333333331</v>
      </c>
      <c r="GV150" s="696">
        <f t="shared" si="287"/>
        <v>2.8395833333333331</v>
      </c>
      <c r="GW150" s="696">
        <f t="shared" si="287"/>
        <v>2.8395833333333331</v>
      </c>
      <c r="GX150" s="696">
        <f t="shared" si="287"/>
        <v>2.8395833333333331</v>
      </c>
      <c r="GY150" s="696">
        <f t="shared" si="287"/>
        <v>2.8395833333333331</v>
      </c>
      <c r="GZ150" s="696">
        <f t="shared" si="287"/>
        <v>2.8395833333333331</v>
      </c>
      <c r="HA150" s="696">
        <f t="shared" si="287"/>
        <v>2.8395833333333331</v>
      </c>
      <c r="HB150" s="696">
        <f t="shared" si="287"/>
        <v>2.8395833333333331</v>
      </c>
      <c r="HC150" s="696">
        <f t="shared" si="287"/>
        <v>2.8395833333333331</v>
      </c>
      <c r="HD150" s="696">
        <f t="shared" si="287"/>
        <v>2.8395833333333331</v>
      </c>
      <c r="HE150" s="696">
        <f t="shared" si="287"/>
        <v>2.8395833333333331</v>
      </c>
      <c r="HF150" s="696">
        <f t="shared" si="287"/>
        <v>0</v>
      </c>
      <c r="HG150" s="696">
        <f t="shared" si="287"/>
        <v>0</v>
      </c>
      <c r="HH150" s="696">
        <f t="shared" si="287"/>
        <v>0</v>
      </c>
      <c r="HI150" s="696">
        <f t="shared" si="287"/>
        <v>0</v>
      </c>
      <c r="HJ150" s="696">
        <f t="shared" si="287"/>
        <v>0</v>
      </c>
      <c r="HK150" s="696">
        <f t="shared" si="287"/>
        <v>0</v>
      </c>
      <c r="HL150" s="696">
        <f t="shared" si="287"/>
        <v>0</v>
      </c>
      <c r="HM150" s="696">
        <f t="shared" si="287"/>
        <v>0</v>
      </c>
      <c r="HN150" s="696">
        <f t="shared" si="287"/>
        <v>0</v>
      </c>
      <c r="HO150" s="696">
        <f t="shared" si="287"/>
        <v>0</v>
      </c>
      <c r="HP150" s="696">
        <f t="shared" si="287"/>
        <v>0</v>
      </c>
      <c r="HQ150" s="696">
        <f t="shared" si="287"/>
        <v>0</v>
      </c>
      <c r="HR150" s="696">
        <f t="shared" si="287"/>
        <v>0</v>
      </c>
      <c r="HS150" s="696">
        <f t="shared" si="287"/>
        <v>0</v>
      </c>
      <c r="HT150" s="696">
        <f t="shared" si="287"/>
        <v>0</v>
      </c>
      <c r="HU150" s="696">
        <f t="shared" si="287"/>
        <v>0</v>
      </c>
      <c r="HV150" s="696">
        <f t="shared" si="287"/>
        <v>0</v>
      </c>
      <c r="HW150" s="696">
        <f t="shared" si="287"/>
        <v>0</v>
      </c>
      <c r="HX150" s="696">
        <f t="shared" si="287"/>
        <v>0</v>
      </c>
      <c r="HY150" s="696">
        <f t="shared" si="287"/>
        <v>0</v>
      </c>
      <c r="HZ150" s="696">
        <f t="shared" si="287"/>
        <v>0</v>
      </c>
      <c r="IA150" s="696">
        <f t="shared" si="287"/>
        <v>0</v>
      </c>
      <c r="IB150" s="696">
        <f t="shared" si="287"/>
        <v>0</v>
      </c>
      <c r="IC150" s="696">
        <f t="shared" si="287"/>
        <v>0</v>
      </c>
      <c r="ID150" s="696">
        <f t="shared" si="287"/>
        <v>0</v>
      </c>
      <c r="IE150" s="696">
        <f t="shared" si="287"/>
        <v>0</v>
      </c>
      <c r="IF150" s="696">
        <f t="shared" si="287"/>
        <v>0</v>
      </c>
      <c r="IG150" s="696">
        <f t="shared" si="287"/>
        <v>0</v>
      </c>
      <c r="IH150" s="696">
        <f t="shared" si="287"/>
        <v>0</v>
      </c>
      <c r="II150" s="696">
        <f t="shared" si="287"/>
        <v>0</v>
      </c>
      <c r="IJ150" s="696">
        <f t="shared" si="287"/>
        <v>0</v>
      </c>
      <c r="IK150" s="696">
        <f t="shared" si="287"/>
        <v>0</v>
      </c>
      <c r="IL150" s="696">
        <f t="shared" si="287"/>
        <v>0</v>
      </c>
      <c r="IM150" s="696">
        <f t="shared" si="287"/>
        <v>0</v>
      </c>
      <c r="IN150" s="696">
        <f t="shared" si="287"/>
        <v>0</v>
      </c>
      <c r="IO150" s="696">
        <f t="shared" si="287"/>
        <v>0</v>
      </c>
      <c r="IP150" s="696">
        <f t="shared" si="287"/>
        <v>0</v>
      </c>
      <c r="IQ150" s="696">
        <f t="shared" si="287"/>
        <v>0</v>
      </c>
      <c r="IR150" s="696">
        <f t="shared" si="287"/>
        <v>0</v>
      </c>
      <c r="IS150" s="696">
        <f t="shared" si="287"/>
        <v>0</v>
      </c>
      <c r="IT150" s="696">
        <f t="shared" si="287"/>
        <v>0</v>
      </c>
      <c r="IU150" s="696">
        <f t="shared" si="287"/>
        <v>0</v>
      </c>
      <c r="IV150" s="696">
        <f t="shared" si="287"/>
        <v>0</v>
      </c>
      <c r="IW150" s="696">
        <f t="shared" si="287"/>
        <v>0</v>
      </c>
      <c r="IX150" s="696">
        <f t="shared" si="287"/>
        <v>0</v>
      </c>
      <c r="IY150" s="696">
        <f t="shared" si="287"/>
        <v>0</v>
      </c>
      <c r="IZ150" s="696">
        <f t="shared" si="287"/>
        <v>0</v>
      </c>
      <c r="JA150" s="696">
        <f t="shared" si="287"/>
        <v>0</v>
      </c>
      <c r="JB150" s="696">
        <f t="shared" si="287"/>
        <v>0</v>
      </c>
      <c r="JC150" s="696">
        <f t="shared" si="287"/>
        <v>0</v>
      </c>
      <c r="JD150" s="696">
        <f t="shared" si="287"/>
        <v>0</v>
      </c>
      <c r="JE150" s="696">
        <f t="shared" si="287"/>
        <v>0</v>
      </c>
      <c r="JF150" s="696">
        <f t="shared" si="287"/>
        <v>0</v>
      </c>
      <c r="JG150" s="696">
        <f t="shared" ref="JG150:LP150" si="288">JG154/($GP$147*$FN$8)</f>
        <v>0</v>
      </c>
      <c r="JH150" s="696">
        <f t="shared" si="288"/>
        <v>0</v>
      </c>
      <c r="JI150" s="696">
        <f t="shared" si="288"/>
        <v>0</v>
      </c>
      <c r="JJ150" s="696">
        <f t="shared" si="288"/>
        <v>0</v>
      </c>
      <c r="JK150" s="696">
        <f t="shared" si="288"/>
        <v>0</v>
      </c>
      <c r="JL150" s="696">
        <f t="shared" si="288"/>
        <v>0</v>
      </c>
      <c r="JM150" s="696">
        <f t="shared" si="288"/>
        <v>0</v>
      </c>
      <c r="JN150" s="696">
        <f t="shared" si="288"/>
        <v>0</v>
      </c>
      <c r="JO150" s="696">
        <f t="shared" si="288"/>
        <v>0</v>
      </c>
      <c r="JP150" s="696">
        <f t="shared" si="288"/>
        <v>0</v>
      </c>
      <c r="JQ150" s="696">
        <f t="shared" si="288"/>
        <v>0</v>
      </c>
      <c r="JR150" s="696">
        <f t="shared" si="288"/>
        <v>0</v>
      </c>
      <c r="JS150" s="696">
        <f t="shared" si="288"/>
        <v>0</v>
      </c>
      <c r="JT150" s="696">
        <f t="shared" si="288"/>
        <v>0</v>
      </c>
      <c r="JU150" s="696">
        <f t="shared" si="288"/>
        <v>0</v>
      </c>
      <c r="JV150" s="696">
        <f t="shared" si="288"/>
        <v>0</v>
      </c>
      <c r="JW150" s="696">
        <f t="shared" si="288"/>
        <v>0</v>
      </c>
      <c r="JX150" s="696">
        <f t="shared" si="288"/>
        <v>0</v>
      </c>
      <c r="JY150" s="696">
        <f t="shared" si="288"/>
        <v>0</v>
      </c>
      <c r="JZ150" s="696">
        <f t="shared" si="288"/>
        <v>0</v>
      </c>
      <c r="KA150" s="696">
        <f t="shared" si="288"/>
        <v>0</v>
      </c>
      <c r="KB150" s="696">
        <f t="shared" si="288"/>
        <v>0</v>
      </c>
      <c r="KC150" s="696">
        <f t="shared" si="288"/>
        <v>0</v>
      </c>
      <c r="KD150" s="696">
        <f t="shared" si="288"/>
        <v>0</v>
      </c>
      <c r="KE150" s="696">
        <f t="shared" si="288"/>
        <v>0</v>
      </c>
      <c r="KF150" s="696">
        <f t="shared" si="288"/>
        <v>0</v>
      </c>
      <c r="KG150" s="696">
        <f t="shared" si="288"/>
        <v>0</v>
      </c>
      <c r="KH150" s="696">
        <f t="shared" si="288"/>
        <v>0</v>
      </c>
      <c r="KI150" s="696">
        <f t="shared" si="288"/>
        <v>0</v>
      </c>
      <c r="KJ150" s="696">
        <f t="shared" si="288"/>
        <v>0</v>
      </c>
      <c r="KK150" s="696">
        <f t="shared" si="288"/>
        <v>0</v>
      </c>
      <c r="KL150" s="696">
        <f t="shared" si="288"/>
        <v>0</v>
      </c>
      <c r="KM150" s="696">
        <f t="shared" si="288"/>
        <v>0</v>
      </c>
      <c r="KN150" s="696">
        <f t="shared" si="288"/>
        <v>0</v>
      </c>
      <c r="KO150" s="696">
        <f t="shared" si="288"/>
        <v>0</v>
      </c>
      <c r="KP150" s="696">
        <f t="shared" si="288"/>
        <v>0</v>
      </c>
      <c r="KQ150" s="696">
        <f t="shared" si="288"/>
        <v>0</v>
      </c>
      <c r="KR150" s="696">
        <f t="shared" si="288"/>
        <v>0</v>
      </c>
      <c r="KS150" s="696">
        <f t="shared" si="288"/>
        <v>0</v>
      </c>
      <c r="KT150" s="696">
        <f t="shared" si="288"/>
        <v>0</v>
      </c>
      <c r="KU150" s="696">
        <f t="shared" si="288"/>
        <v>0</v>
      </c>
      <c r="KV150" s="696">
        <f t="shared" si="288"/>
        <v>0</v>
      </c>
      <c r="KW150" s="696">
        <f t="shared" si="288"/>
        <v>0</v>
      </c>
      <c r="KX150" s="696">
        <f t="shared" si="288"/>
        <v>0</v>
      </c>
      <c r="KY150" s="696">
        <f t="shared" si="288"/>
        <v>0</v>
      </c>
      <c r="KZ150" s="696">
        <f t="shared" si="288"/>
        <v>0</v>
      </c>
      <c r="LA150" s="696">
        <f t="shared" si="288"/>
        <v>0</v>
      </c>
      <c r="LB150" s="696">
        <f t="shared" si="288"/>
        <v>0</v>
      </c>
      <c r="LC150" s="696">
        <f t="shared" si="288"/>
        <v>0</v>
      </c>
      <c r="LD150" s="696">
        <f t="shared" si="288"/>
        <v>0</v>
      </c>
      <c r="LE150" s="696">
        <f t="shared" si="288"/>
        <v>0</v>
      </c>
      <c r="LF150" s="696">
        <f t="shared" si="288"/>
        <v>0</v>
      </c>
      <c r="LG150" s="696">
        <f t="shared" si="288"/>
        <v>0</v>
      </c>
      <c r="LH150" s="696">
        <f t="shared" si="288"/>
        <v>0</v>
      </c>
      <c r="LI150" s="696">
        <f t="shared" si="288"/>
        <v>0</v>
      </c>
      <c r="LJ150" s="696">
        <f t="shared" si="288"/>
        <v>0</v>
      </c>
      <c r="LK150" s="696">
        <f t="shared" si="288"/>
        <v>0</v>
      </c>
      <c r="LL150" s="696">
        <f t="shared" si="288"/>
        <v>0</v>
      </c>
      <c r="LM150" s="696">
        <f t="shared" si="288"/>
        <v>0</v>
      </c>
      <c r="LN150" s="696">
        <f t="shared" si="288"/>
        <v>0</v>
      </c>
      <c r="LO150" s="696">
        <f t="shared" si="288"/>
        <v>0</v>
      </c>
      <c r="LP150" s="697">
        <f t="shared" si="288"/>
        <v>0</v>
      </c>
      <c r="LQ150" s="3693"/>
    </row>
    <row r="151" spans="1:330" ht="37.5" customHeight="1" x14ac:dyDescent="0.3">
      <c r="A151" s="279"/>
      <c r="B151" s="41"/>
      <c r="C151" s="82"/>
      <c r="D151" s="41"/>
      <c r="E151" s="9"/>
      <c r="F151" s="9"/>
      <c r="G151" s="9"/>
      <c r="H151" s="10"/>
      <c r="I151" s="10"/>
      <c r="J151" s="10"/>
      <c r="K151" s="10"/>
      <c r="L151" s="10"/>
      <c r="M151" s="10"/>
      <c r="N151" s="9"/>
      <c r="O151" s="179"/>
      <c r="P151" s="179"/>
      <c r="Q151" s="179"/>
      <c r="R151" s="9"/>
      <c r="S151" s="9"/>
      <c r="T151" s="9"/>
      <c r="U151" s="9"/>
      <c r="V151" s="9"/>
      <c r="W151" s="9"/>
      <c r="X151" s="9"/>
      <c r="Y151" s="9"/>
      <c r="Z151" s="9"/>
      <c r="AA151" s="9"/>
      <c r="AB151" s="9"/>
      <c r="AC151" s="9"/>
      <c r="AD151" s="9"/>
      <c r="AE151" s="9"/>
      <c r="AF151" s="9"/>
      <c r="AG151" s="9"/>
      <c r="AH151" s="2514"/>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113"/>
      <c r="DI151" s="113"/>
      <c r="DJ151" s="113"/>
      <c r="DK151" s="118"/>
      <c r="DL151" s="118"/>
      <c r="DM151" s="118"/>
      <c r="DN151" s="118"/>
      <c r="DO151" s="118"/>
      <c r="DP151" s="118"/>
      <c r="DQ151" s="118"/>
      <c r="DR151" s="118"/>
      <c r="DS151" s="118"/>
      <c r="DT151" s="118"/>
      <c r="DU151" s="118"/>
      <c r="DV151" s="118"/>
      <c r="DW151" s="118"/>
      <c r="DX151" s="118"/>
      <c r="DY151" s="118"/>
      <c r="DZ151" s="118"/>
      <c r="EA151" s="118"/>
      <c r="EB151" s="118"/>
      <c r="EC151" s="118"/>
      <c r="ED151" s="118"/>
      <c r="EE151" s="118"/>
      <c r="EF151" s="118"/>
      <c r="EG151" s="118"/>
      <c r="EH151" s="118"/>
      <c r="EI151" s="118"/>
      <c r="EJ151" s="118"/>
      <c r="EK151" s="118"/>
      <c r="EL151" s="118"/>
      <c r="EM151" s="118"/>
      <c r="EN151" s="118"/>
      <c r="EO151" s="118"/>
      <c r="EP151" s="118"/>
      <c r="EQ151" s="118"/>
      <c r="ER151" s="118"/>
      <c r="ES151" s="118"/>
      <c r="ET151" s="118"/>
      <c r="EU151" s="118"/>
      <c r="EV151" s="118"/>
      <c r="EW151" s="118"/>
      <c r="EX151" s="118"/>
      <c r="EY151" s="118"/>
      <c r="EZ151" s="118"/>
      <c r="FA151" s="118"/>
      <c r="FB151" s="118"/>
      <c r="FC151" s="118"/>
      <c r="FD151" s="118"/>
      <c r="FE151" s="118"/>
      <c r="FF151" s="118"/>
      <c r="FG151" s="118"/>
      <c r="FH151" s="118"/>
      <c r="FI151" s="70"/>
      <c r="FJ151" s="132"/>
      <c r="FK151" s="132"/>
      <c r="FL151" s="6"/>
      <c r="FM151" s="6"/>
      <c r="FN151" s="6"/>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6"/>
      <c r="GO151" s="6"/>
      <c r="GP151" s="6"/>
      <c r="GQ151" s="6"/>
      <c r="GR151" s="6"/>
      <c r="GS151" s="6"/>
      <c r="GT151" s="622" t="str">
        <f>IF(FM5=1,"Staffing Profile (FTEs per Week)","Staffing Profile (FTEs per Month)")</f>
        <v>Staffing Profile (FTEs per Week)</v>
      </c>
      <c r="GU151" s="157"/>
      <c r="GV151" s="157"/>
      <c r="GW151" s="157"/>
      <c r="GX151" s="157"/>
      <c r="GY151" s="157"/>
      <c r="GZ151" s="157"/>
      <c r="HA151" s="157"/>
      <c r="HB151" s="157"/>
      <c r="HC151" s="157"/>
      <c r="HD151" s="157"/>
      <c r="HE151" s="157"/>
      <c r="HF151" s="157"/>
      <c r="HG151" s="157"/>
      <c r="HH151" s="985"/>
      <c r="HI151" s="157"/>
      <c r="HJ151" s="157"/>
      <c r="HK151" s="157"/>
      <c r="HL151" s="157"/>
      <c r="HM151" s="157"/>
      <c r="HN151" s="157"/>
      <c r="HO151" s="157"/>
      <c r="HP151" s="157"/>
      <c r="HQ151" s="157"/>
      <c r="HR151" s="157"/>
      <c r="HS151" s="157"/>
      <c r="HT151" s="157"/>
      <c r="HU151" s="157"/>
      <c r="HV151" s="157"/>
      <c r="HW151" s="157"/>
      <c r="HX151" s="157"/>
      <c r="HY151" s="157"/>
      <c r="HZ151" s="157"/>
      <c r="IA151" s="157"/>
      <c r="IB151" s="157"/>
      <c r="IC151" s="157"/>
      <c r="ID151" s="157"/>
      <c r="IE151" s="157"/>
      <c r="IF151" s="157"/>
      <c r="IG151" s="157"/>
      <c r="IH151" s="157"/>
      <c r="II151" s="157"/>
      <c r="IJ151" s="157"/>
      <c r="IK151" s="157"/>
      <c r="IL151" s="157"/>
      <c r="IM151" s="157"/>
      <c r="IN151" s="157"/>
      <c r="IO151" s="157"/>
      <c r="IP151" s="157"/>
      <c r="IQ151" s="157"/>
      <c r="IR151" s="157"/>
      <c r="IS151" s="157"/>
      <c r="IT151" s="157"/>
      <c r="IU151" s="157"/>
      <c r="IV151" s="157"/>
      <c r="IW151" s="157"/>
      <c r="IX151" s="157"/>
      <c r="IY151" s="157"/>
      <c r="IZ151" s="157"/>
      <c r="JA151" s="157"/>
      <c r="JB151" s="157"/>
      <c r="JC151" s="157"/>
      <c r="JD151" s="157"/>
      <c r="JE151" s="157"/>
      <c r="JF151" s="157"/>
      <c r="JG151" s="157"/>
      <c r="JH151" s="157"/>
      <c r="JI151" s="157"/>
      <c r="JJ151" s="157"/>
      <c r="JK151" s="157"/>
      <c r="JL151" s="158"/>
      <c r="JM151" s="158"/>
      <c r="JN151" s="158"/>
      <c r="JO151" s="158"/>
      <c r="JP151" s="158"/>
      <c r="JQ151" s="158"/>
      <c r="JR151" s="158"/>
      <c r="JS151" s="158"/>
      <c r="JT151" s="158"/>
      <c r="JU151" s="158"/>
      <c r="JV151" s="158"/>
      <c r="JW151" s="158"/>
      <c r="JX151" s="158"/>
      <c r="JY151" s="158"/>
      <c r="JZ151" s="158"/>
      <c r="KA151" s="158"/>
      <c r="KB151" s="158"/>
      <c r="KC151" s="158"/>
      <c r="KD151" s="158"/>
      <c r="KE151" s="158"/>
      <c r="KF151" s="158"/>
      <c r="KG151" s="158"/>
      <c r="KH151" s="158"/>
      <c r="KI151" s="158"/>
      <c r="KJ151" s="158"/>
      <c r="KK151" s="158"/>
      <c r="KL151" s="158"/>
      <c r="KM151" s="158"/>
      <c r="KN151" s="158"/>
      <c r="KO151" s="158"/>
      <c r="KP151" s="158"/>
      <c r="KQ151" s="158"/>
      <c r="KR151" s="158"/>
      <c r="KS151" s="158"/>
      <c r="KT151" s="158"/>
      <c r="KU151" s="158"/>
      <c r="KV151" s="158"/>
      <c r="KW151" s="158"/>
      <c r="KX151" s="158"/>
      <c r="KY151" s="158"/>
      <c r="KZ151" s="158"/>
      <c r="LA151" s="158"/>
      <c r="LB151" s="158"/>
      <c r="LC151" s="158"/>
      <c r="LD151" s="158"/>
      <c r="LE151" s="158"/>
      <c r="LF151" s="158"/>
      <c r="LG151" s="158"/>
      <c r="LH151" s="158"/>
      <c r="LI151" s="158"/>
      <c r="LJ151" s="158"/>
      <c r="LK151" s="158"/>
      <c r="LL151" s="158"/>
      <c r="LM151" s="158"/>
      <c r="LN151" s="158"/>
      <c r="LO151" s="158"/>
      <c r="LP151" s="158"/>
      <c r="LQ151" s="6"/>
    </row>
    <row r="152" spans="1:330" ht="19.2" customHeight="1" x14ac:dyDescent="0.3">
      <c r="A152" s="279"/>
      <c r="B152" s="41"/>
      <c r="C152" s="82"/>
      <c r="D152" s="41"/>
      <c r="E152" s="9"/>
      <c r="F152" s="9"/>
      <c r="G152" s="9"/>
      <c r="H152" s="10"/>
      <c r="I152" s="10"/>
      <c r="J152" s="10"/>
      <c r="K152" s="10"/>
      <c r="L152" s="10"/>
      <c r="M152" s="10"/>
      <c r="N152" s="9"/>
      <c r="O152" s="179"/>
      <c r="P152" s="179"/>
      <c r="Q152" s="179"/>
      <c r="R152" s="9"/>
      <c r="S152" s="9"/>
      <c r="T152" s="9"/>
      <c r="U152" s="9"/>
      <c r="V152" s="9"/>
      <c r="W152" s="9"/>
      <c r="X152" s="9"/>
      <c r="Y152" s="9"/>
      <c r="Z152" s="9"/>
      <c r="AA152" s="9"/>
      <c r="AB152" s="9"/>
      <c r="AC152" s="9"/>
      <c r="AD152" s="9"/>
      <c r="AE152" s="9"/>
      <c r="AF152" s="9"/>
      <c r="AG152" s="9"/>
      <c r="AH152" s="2514"/>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113"/>
      <c r="DI152" s="113"/>
      <c r="DJ152" s="113"/>
      <c r="DK152" s="118"/>
      <c r="DL152" s="118"/>
      <c r="DM152" s="118"/>
      <c r="DN152" s="118"/>
      <c r="DO152" s="118"/>
      <c r="DP152" s="118"/>
      <c r="DQ152" s="118"/>
      <c r="DR152" s="118"/>
      <c r="DS152" s="118"/>
      <c r="DT152" s="118"/>
      <c r="DU152" s="118"/>
      <c r="DV152" s="118"/>
      <c r="DW152" s="118"/>
      <c r="DX152" s="118"/>
      <c r="DY152" s="118"/>
      <c r="DZ152" s="118"/>
      <c r="EA152" s="118"/>
      <c r="EB152" s="118"/>
      <c r="EC152" s="118"/>
      <c r="ED152" s="118"/>
      <c r="EE152" s="118"/>
      <c r="EF152" s="118"/>
      <c r="EG152" s="118"/>
      <c r="EH152" s="118"/>
      <c r="EI152" s="118"/>
      <c r="EJ152" s="118"/>
      <c r="EK152" s="118"/>
      <c r="EL152" s="118"/>
      <c r="EM152" s="118"/>
      <c r="EN152" s="118"/>
      <c r="EO152" s="118"/>
      <c r="EP152" s="118"/>
      <c r="EQ152" s="118"/>
      <c r="ER152" s="118"/>
      <c r="ES152" s="118"/>
      <c r="ET152" s="118"/>
      <c r="EU152" s="118"/>
      <c r="EV152" s="118"/>
      <c r="EW152" s="118"/>
      <c r="EX152" s="118"/>
      <c r="EY152" s="118"/>
      <c r="EZ152" s="118"/>
      <c r="FA152" s="118"/>
      <c r="FB152" s="118"/>
      <c r="FC152" s="118"/>
      <c r="FD152" s="118"/>
      <c r="FE152" s="118"/>
      <c r="FF152" s="118"/>
      <c r="FG152" s="118"/>
      <c r="FH152" s="118"/>
      <c r="FI152" s="70"/>
      <c r="FJ152" s="132"/>
      <c r="FK152" s="132"/>
      <c r="FL152" s="6"/>
      <c r="FM152" s="6"/>
      <c r="FN152" s="6"/>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6"/>
      <c r="GO152" s="6"/>
      <c r="GP152" s="6"/>
      <c r="GQ152" s="6"/>
      <c r="GR152" s="6"/>
      <c r="GS152" s="6"/>
      <c r="GU152" s="157"/>
      <c r="GV152" s="157"/>
      <c r="GW152" s="157"/>
      <c r="GX152" s="157"/>
      <c r="GY152" s="157"/>
      <c r="GZ152" s="157"/>
      <c r="HA152" s="157"/>
      <c r="HB152" s="157"/>
      <c r="HC152" s="157"/>
      <c r="HD152" s="157"/>
      <c r="HE152" s="157"/>
      <c r="HG152" s="157"/>
      <c r="HH152" s="985"/>
      <c r="HI152" s="157"/>
      <c r="HJ152" s="157"/>
      <c r="HK152" s="157"/>
      <c r="HL152" s="157"/>
      <c r="HM152" s="157"/>
      <c r="HN152" s="157"/>
      <c r="HO152" s="157"/>
      <c r="HP152" s="157"/>
      <c r="HQ152" s="157"/>
      <c r="HR152" s="157"/>
      <c r="HS152" s="157"/>
      <c r="HT152" s="157"/>
      <c r="HU152" s="157"/>
      <c r="HV152" s="157"/>
      <c r="HW152" s="157"/>
      <c r="HX152" s="157"/>
      <c r="HY152" s="157"/>
      <c r="HZ152" s="157"/>
      <c r="IA152" s="157"/>
      <c r="IB152" s="157"/>
      <c r="IC152" s="157"/>
      <c r="ID152" s="157"/>
      <c r="IE152" s="157"/>
      <c r="IF152" s="157"/>
      <c r="IG152" s="157"/>
      <c r="IH152" s="157"/>
      <c r="II152" s="157"/>
      <c r="IJ152" s="157"/>
      <c r="IK152" s="157"/>
      <c r="IL152" s="157"/>
      <c r="IM152" s="157"/>
      <c r="IN152" s="157"/>
      <c r="IO152" s="157"/>
      <c r="IP152" s="157"/>
      <c r="IQ152" s="157"/>
      <c r="IR152" s="157"/>
      <c r="IS152" s="157"/>
      <c r="IT152" s="157"/>
      <c r="IU152" s="157"/>
      <c r="IV152" s="157"/>
      <c r="IW152" s="157"/>
      <c r="IX152" s="157"/>
      <c r="IY152" s="157"/>
      <c r="IZ152" s="157"/>
      <c r="JA152" s="157"/>
      <c r="JB152" s="157"/>
      <c r="JC152" s="157"/>
      <c r="JD152" s="157"/>
      <c r="JE152" s="157"/>
      <c r="JF152" s="157"/>
      <c r="JG152" s="157"/>
      <c r="JH152" s="157"/>
      <c r="JI152" s="157"/>
      <c r="JJ152" s="157"/>
      <c r="JK152" s="157"/>
      <c r="JL152" s="158"/>
      <c r="JM152" s="158"/>
      <c r="JN152" s="158"/>
      <c r="JO152" s="158"/>
      <c r="JP152" s="158"/>
      <c r="JQ152" s="158"/>
      <c r="JR152" s="158"/>
      <c r="JS152" s="158"/>
      <c r="JT152" s="158"/>
      <c r="JU152" s="158"/>
      <c r="JV152" s="158"/>
      <c r="JW152" s="158"/>
      <c r="JX152" s="158"/>
      <c r="JY152" s="158"/>
      <c r="JZ152" s="158"/>
      <c r="KA152" s="158"/>
      <c r="KB152" s="158"/>
      <c r="KC152" s="158"/>
      <c r="KD152" s="158"/>
      <c r="KE152" s="158"/>
      <c r="KF152" s="158"/>
      <c r="KG152" s="158"/>
      <c r="KH152" s="158"/>
      <c r="KI152" s="158"/>
      <c r="KJ152" s="158"/>
      <c r="KK152" s="158"/>
      <c r="KL152" s="158"/>
      <c r="KM152" s="158"/>
      <c r="KN152" s="158"/>
      <c r="KO152" s="158"/>
      <c r="KP152" s="158"/>
      <c r="KQ152" s="158"/>
      <c r="KR152" s="158"/>
      <c r="KS152" s="158"/>
      <c r="KT152" s="158"/>
      <c r="KU152" s="158"/>
      <c r="KV152" s="158"/>
      <c r="KW152" s="158"/>
      <c r="KX152" s="158"/>
      <c r="KY152" s="158"/>
      <c r="KZ152" s="158"/>
      <c r="LA152" s="158"/>
      <c r="LB152" s="158"/>
      <c r="LC152" s="158"/>
      <c r="LD152" s="158"/>
      <c r="LE152" s="158"/>
      <c r="LF152" s="158"/>
      <c r="LG152" s="158"/>
      <c r="LH152" s="158"/>
      <c r="LI152" s="158"/>
      <c r="LJ152" s="158"/>
      <c r="LK152" s="158"/>
      <c r="LL152" s="158"/>
      <c r="LM152" s="158"/>
      <c r="LN152" s="158"/>
      <c r="LO152" s="158"/>
      <c r="LP152" s="158"/>
      <c r="LQ152" s="6"/>
    </row>
    <row r="153" spans="1:330" ht="19.2" customHeight="1" x14ac:dyDescent="0.4">
      <c r="A153" s="279"/>
      <c r="B153" s="41"/>
      <c r="C153" s="82"/>
      <c r="D153" s="41"/>
      <c r="E153" s="9"/>
      <c r="F153" s="98"/>
      <c r="G153" s="98"/>
      <c r="H153" s="9"/>
      <c r="I153" s="9"/>
      <c r="J153" s="9"/>
      <c r="K153" s="9"/>
      <c r="L153" s="9"/>
      <c r="M153" s="9"/>
      <c r="N153" s="9"/>
      <c r="O153" s="6"/>
      <c r="P153" s="77"/>
      <c r="Q153" s="77"/>
      <c r="S153" s="1810"/>
      <c r="T153" s="1810"/>
      <c r="U153" s="1810"/>
      <c r="V153" s="1810"/>
      <c r="W153" s="1810"/>
      <c r="X153" s="1810"/>
      <c r="Y153" s="1810"/>
      <c r="Z153" s="1810"/>
      <c r="AA153" s="1810"/>
      <c r="AB153" s="1810"/>
      <c r="AC153" s="1810"/>
      <c r="AD153" s="1810"/>
      <c r="AE153" s="1810"/>
      <c r="AF153" s="1810"/>
      <c r="AG153" s="1810"/>
      <c r="AH153" s="2515"/>
      <c r="AI153" s="1810"/>
      <c r="AJ153" s="1810"/>
      <c r="AK153" s="1810"/>
      <c r="AL153" s="1810"/>
      <c r="AM153" s="1810"/>
      <c r="AN153" s="1810"/>
      <c r="AO153" s="1810"/>
      <c r="AP153" s="1810"/>
      <c r="AQ153" s="1810"/>
      <c r="AR153" s="1810"/>
      <c r="AS153" s="1810"/>
      <c r="AT153" s="1810"/>
      <c r="AU153" s="1810"/>
      <c r="AV153" s="1810"/>
      <c r="AW153" s="1810"/>
      <c r="AX153" s="1810"/>
      <c r="AY153" s="1810"/>
      <c r="AZ153" s="1810"/>
      <c r="BA153" s="1810"/>
      <c r="BB153" s="1810"/>
      <c r="BC153" s="1810"/>
      <c r="BD153" s="1810"/>
      <c r="BE153" s="1810"/>
      <c r="BF153" s="1810"/>
      <c r="BG153" s="1810"/>
      <c r="BH153" s="1810"/>
      <c r="BI153" s="1810"/>
      <c r="BJ153" s="1810"/>
      <c r="BK153" s="1810"/>
      <c r="BL153" s="1810"/>
      <c r="BM153" s="1810"/>
      <c r="BN153" s="1810"/>
      <c r="BO153" s="1810"/>
      <c r="BP153" s="1810"/>
      <c r="BQ153" s="1810"/>
      <c r="BR153" s="1810"/>
      <c r="BS153" s="1810"/>
      <c r="BT153" s="1810"/>
      <c r="BU153" s="1810"/>
      <c r="BV153" s="1810"/>
      <c r="BW153" s="1810"/>
      <c r="BX153" s="1810"/>
      <c r="BY153" s="1810"/>
      <c r="BZ153" s="1810"/>
      <c r="CA153" s="1810"/>
      <c r="CB153" s="1810"/>
      <c r="CC153" s="1810"/>
      <c r="CD153" s="1810"/>
      <c r="CE153" s="1810"/>
      <c r="CF153" s="1810"/>
      <c r="CG153" s="1810"/>
      <c r="CH153" s="1810"/>
      <c r="CI153" s="1810"/>
      <c r="CJ153" s="1810"/>
      <c r="CK153" s="1810"/>
      <c r="CL153" s="1810"/>
      <c r="CM153" s="1810"/>
      <c r="CN153" s="1810"/>
      <c r="CO153" s="1810"/>
      <c r="CP153" s="1810"/>
      <c r="CQ153" s="1810"/>
      <c r="CR153" s="1810"/>
      <c r="CS153" s="1810"/>
      <c r="CT153" s="1810"/>
      <c r="CU153" s="1810"/>
      <c r="CV153" s="1810"/>
      <c r="CW153" s="1810"/>
      <c r="CX153" s="1810"/>
      <c r="CY153" s="1810"/>
      <c r="CZ153" s="1810"/>
      <c r="DA153" s="1810"/>
      <c r="DB153" s="9"/>
      <c r="DC153" s="9"/>
      <c r="DD153" s="9"/>
      <c r="DE153" s="9"/>
      <c r="DF153" s="9"/>
      <c r="DG153" s="9"/>
      <c r="DH153" s="113"/>
      <c r="DI153" s="113"/>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118"/>
      <c r="FI153" s="70"/>
      <c r="FJ153" s="132"/>
      <c r="FK153" s="132"/>
      <c r="FL153" s="6"/>
      <c r="FM153" s="1652"/>
      <c r="FN153" s="6"/>
      <c r="FO153" s="233"/>
      <c r="FP153" s="233"/>
      <c r="FQ153" s="233"/>
      <c r="FR153" s="233"/>
      <c r="FS153" s="233"/>
      <c r="FT153" s="233"/>
      <c r="FU153" s="233"/>
      <c r="FV153" s="233"/>
      <c r="FW153" s="233"/>
      <c r="FX153" s="233"/>
      <c r="FY153" s="233"/>
      <c r="FZ153" s="233"/>
      <c r="GA153" s="233"/>
      <c r="GB153" s="233"/>
      <c r="GC153" s="233"/>
      <c r="GD153" s="233"/>
      <c r="GE153" s="233"/>
      <c r="GF153" s="233"/>
      <c r="GG153" s="233"/>
      <c r="GH153" s="233"/>
      <c r="GI153" s="233"/>
      <c r="GJ153" s="233"/>
      <c r="GK153" s="233"/>
      <c r="GL153" s="233"/>
      <c r="GM153" s="233"/>
      <c r="GN153" s="120"/>
      <c r="GO153" s="120"/>
      <c r="GP153" s="120"/>
      <c r="GQ153" s="120"/>
      <c r="GR153" s="120"/>
      <c r="GS153" s="120"/>
      <c r="GT153" s="1174" t="s">
        <v>4052</v>
      </c>
      <c r="GU153" s="120"/>
      <c r="GV153" s="120"/>
      <c r="GW153" s="120"/>
      <c r="GX153" s="120"/>
      <c r="GY153" s="120"/>
      <c r="GZ153" s="120"/>
      <c r="HA153" s="120"/>
      <c r="HB153" s="120"/>
      <c r="HC153" s="1692" t="s">
        <v>4072</v>
      </c>
      <c r="HD153" s="120"/>
      <c r="HE153" s="120"/>
      <c r="HF153" s="120"/>
      <c r="HG153" s="120"/>
      <c r="HH153" s="120"/>
      <c r="HI153" s="120"/>
      <c r="HJ153" s="120"/>
      <c r="HK153" s="120"/>
      <c r="HL153" s="120"/>
      <c r="HM153" s="120"/>
      <c r="HN153" s="120"/>
      <c r="HO153" s="120"/>
      <c r="HP153" s="120"/>
      <c r="HQ153" s="120"/>
      <c r="HR153" s="120"/>
      <c r="HS153" s="120"/>
      <c r="HT153" s="120"/>
      <c r="HU153" s="120"/>
      <c r="HV153" s="120"/>
      <c r="HW153" s="120"/>
      <c r="HX153" s="120"/>
      <c r="HY153" s="120"/>
      <c r="HZ153" s="120"/>
      <c r="IA153" s="120"/>
      <c r="IB153" s="120"/>
      <c r="IC153" s="120"/>
      <c r="ID153" s="120"/>
      <c r="IE153" s="120"/>
      <c r="IF153" s="120"/>
      <c r="IG153" s="120"/>
      <c r="IH153" s="120"/>
      <c r="II153" s="120"/>
      <c r="IJ153" s="120"/>
      <c r="IK153" s="120"/>
      <c r="IL153" s="120"/>
      <c r="IM153" s="120"/>
      <c r="IN153" s="120"/>
      <c r="IO153" s="120"/>
      <c r="IP153" s="120"/>
      <c r="IQ153" s="120"/>
      <c r="IR153" s="120"/>
      <c r="IS153" s="120"/>
      <c r="IT153" s="120"/>
      <c r="IU153" s="120"/>
      <c r="IV153" s="120"/>
      <c r="IW153" s="120"/>
      <c r="IX153" s="120"/>
      <c r="IY153" s="120"/>
      <c r="IZ153" s="120"/>
      <c r="JA153" s="120"/>
      <c r="JB153" s="120"/>
      <c r="JC153" s="120"/>
      <c r="JD153" s="120"/>
      <c r="JE153" s="120"/>
      <c r="JF153" s="120"/>
      <c r="JG153" s="120"/>
      <c r="JH153" s="120"/>
      <c r="JI153" s="120"/>
      <c r="JJ153" s="120"/>
      <c r="JK153" s="120"/>
      <c r="JL153" s="120"/>
      <c r="JM153" s="120"/>
      <c r="JN153" s="120"/>
      <c r="JO153" s="120"/>
      <c r="JP153" s="120"/>
      <c r="JQ153" s="120"/>
      <c r="JR153" s="120"/>
      <c r="JS153" s="120"/>
      <c r="JT153" s="120"/>
      <c r="JU153" s="120"/>
      <c r="JV153" s="120"/>
      <c r="JW153" s="120"/>
      <c r="JX153" s="120"/>
      <c r="JY153" s="120"/>
      <c r="JZ153" s="120"/>
      <c r="KA153" s="120"/>
      <c r="KB153" s="120"/>
      <c r="KC153" s="120"/>
      <c r="KD153" s="120"/>
      <c r="KE153" s="120"/>
      <c r="KF153" s="120"/>
      <c r="KG153" s="120"/>
      <c r="KH153" s="120"/>
      <c r="KI153" s="120"/>
      <c r="KJ153" s="120"/>
      <c r="KK153" s="120"/>
      <c r="KL153" s="120"/>
      <c r="KM153" s="120"/>
      <c r="KN153" s="120"/>
      <c r="KO153" s="120"/>
      <c r="KP153" s="120"/>
      <c r="KQ153" s="120"/>
      <c r="KR153" s="120"/>
      <c r="KS153" s="120"/>
      <c r="KT153" s="120"/>
      <c r="KU153" s="120"/>
      <c r="KV153" s="120"/>
      <c r="KW153" s="120"/>
      <c r="KX153" s="120"/>
      <c r="KY153" s="120"/>
      <c r="KZ153" s="120"/>
      <c r="LA153" s="120"/>
      <c r="LB153" s="120"/>
      <c r="LC153" s="120"/>
      <c r="LD153" s="120"/>
      <c r="LE153" s="120"/>
      <c r="LF153" s="120"/>
      <c r="LG153" s="120"/>
      <c r="LH153" s="120"/>
      <c r="LI153" s="120"/>
      <c r="LJ153" s="120"/>
      <c r="LK153" s="120"/>
      <c r="LL153" s="120"/>
      <c r="LM153" s="120"/>
      <c r="LN153" s="120"/>
      <c r="LO153" s="120"/>
      <c r="LP153" s="120"/>
      <c r="LQ153" s="120"/>
      <c r="LR153" s="120"/>
    </row>
    <row r="154" spans="1:330" ht="35.4" customHeight="1" x14ac:dyDescent="0.4">
      <c r="A154" s="279"/>
      <c r="B154" s="41"/>
      <c r="C154" s="1775"/>
      <c r="D154" s="1599"/>
      <c r="E154" s="278"/>
      <c r="F154" s="1777"/>
      <c r="G154" s="1777"/>
      <c r="H154" s="278"/>
      <c r="I154" s="278"/>
      <c r="J154" s="9"/>
      <c r="K154" s="9"/>
      <c r="L154" s="9"/>
      <c r="M154" s="9"/>
      <c r="N154" s="9"/>
      <c r="O154" s="6"/>
      <c r="P154" s="44"/>
      <c r="Q154" s="44"/>
      <c r="R154" s="1810"/>
      <c r="S154" s="1810"/>
      <c r="T154" s="1810"/>
      <c r="U154" s="1810"/>
      <c r="V154" s="1810"/>
      <c r="W154" s="1810"/>
      <c r="X154" s="1810"/>
      <c r="Y154" s="1810"/>
      <c r="Z154" s="1810"/>
      <c r="AA154" s="1810"/>
      <c r="AB154" s="1810"/>
      <c r="AC154" s="1810"/>
      <c r="AD154" s="1810"/>
      <c r="AE154" s="1810"/>
      <c r="AF154" s="1810"/>
      <c r="AG154" s="1810"/>
      <c r="AH154" s="2515"/>
      <c r="AI154" s="1810"/>
      <c r="AJ154" s="1810"/>
      <c r="AK154" s="1810"/>
      <c r="AL154" s="1810"/>
      <c r="AM154" s="1810"/>
      <c r="AN154" s="1810"/>
      <c r="AO154" s="1810"/>
      <c r="AP154" s="1810"/>
      <c r="AQ154" s="1810"/>
      <c r="AR154" s="1810"/>
      <c r="AS154" s="1810"/>
      <c r="AT154" s="1810"/>
      <c r="AU154" s="1810"/>
      <c r="AV154" s="1810"/>
      <c r="AW154" s="1810"/>
      <c r="AX154" s="1810"/>
      <c r="AY154" s="1810"/>
      <c r="AZ154" s="1810"/>
      <c r="BA154" s="1810"/>
      <c r="BB154" s="1810"/>
      <c r="BC154" s="1810"/>
      <c r="BD154" s="1810"/>
      <c r="BE154" s="1810"/>
      <c r="BF154" s="1810"/>
      <c r="BG154" s="1810"/>
      <c r="BH154" s="1810"/>
      <c r="BI154" s="1810"/>
      <c r="BJ154" s="1810"/>
      <c r="BK154" s="1810"/>
      <c r="BL154" s="1810"/>
      <c r="BM154" s="1810"/>
      <c r="BN154" s="1810"/>
      <c r="BO154" s="1810"/>
      <c r="BP154" s="1810"/>
      <c r="BQ154" s="1810"/>
      <c r="BR154" s="1810"/>
      <c r="BS154" s="1810"/>
      <c r="BT154" s="1810"/>
      <c r="BU154" s="1810"/>
      <c r="BV154" s="1810"/>
      <c r="BW154" s="1810"/>
      <c r="BX154" s="1810"/>
      <c r="BY154" s="1810"/>
      <c r="BZ154" s="1810"/>
      <c r="CA154" s="1810"/>
      <c r="CB154" s="1810"/>
      <c r="CC154" s="1810"/>
      <c r="CD154" s="1810"/>
      <c r="CE154" s="1810"/>
      <c r="CF154" s="1810"/>
      <c r="CG154" s="1810"/>
      <c r="CH154" s="1810"/>
      <c r="CI154" s="1810"/>
      <c r="CJ154" s="1810"/>
      <c r="CK154" s="1810"/>
      <c r="CL154" s="1810"/>
      <c r="CM154" s="1810"/>
      <c r="CN154" s="1810"/>
      <c r="CO154" s="1810"/>
      <c r="CP154" s="1810"/>
      <c r="CQ154" s="1810"/>
      <c r="CR154" s="1810"/>
      <c r="CS154" s="1810"/>
      <c r="CT154" s="1810"/>
      <c r="CU154" s="1810"/>
      <c r="CV154" s="1810"/>
      <c r="CW154" s="1810"/>
      <c r="CX154" s="1810"/>
      <c r="CY154" s="1810"/>
      <c r="CZ154" s="1810"/>
      <c r="DA154" s="1810"/>
      <c r="DB154" s="9"/>
      <c r="DC154" s="9"/>
      <c r="DD154" s="9"/>
      <c r="DE154" s="269"/>
      <c r="DF154" s="269"/>
      <c r="DG154" s="269"/>
      <c r="DI154" s="113"/>
      <c r="DN154" s="260"/>
      <c r="DO154" s="260"/>
      <c r="DP154" s="260"/>
      <c r="DQ154" s="260"/>
      <c r="DR154" s="260"/>
      <c r="DS154" s="260"/>
      <c r="DT154" s="260"/>
      <c r="DU154" s="260"/>
      <c r="DV154" s="260"/>
      <c r="DW154" s="260"/>
      <c r="DX154" s="260"/>
      <c r="DY154" s="260"/>
      <c r="DZ154" s="260"/>
      <c r="EA154" s="260"/>
      <c r="EB154" s="260"/>
      <c r="EC154" s="260"/>
      <c r="ED154" s="260"/>
      <c r="EE154" s="260"/>
      <c r="EF154" s="260"/>
      <c r="EG154" s="260"/>
      <c r="EH154" s="260"/>
      <c r="EI154" s="260"/>
      <c r="EJ154" s="260"/>
      <c r="EK154" s="260"/>
      <c r="EL154" s="260"/>
      <c r="EM154" s="260"/>
      <c r="EN154" s="260"/>
      <c r="EO154" s="260"/>
      <c r="EP154" s="260"/>
      <c r="EQ154" s="260"/>
      <c r="ER154" s="260"/>
      <c r="ES154" s="260"/>
      <c r="ET154" s="260"/>
      <c r="EU154" s="260"/>
      <c r="EV154" s="260"/>
      <c r="EW154" s="260"/>
      <c r="EX154" s="260"/>
      <c r="EY154" s="260"/>
      <c r="EZ154" s="260"/>
      <c r="FA154" s="260"/>
      <c r="FB154" s="260"/>
      <c r="FC154" s="260"/>
      <c r="FD154" s="260"/>
      <c r="FE154" s="260"/>
      <c r="FF154" s="260"/>
      <c r="FG154" s="260"/>
      <c r="FH154" s="118"/>
      <c r="FI154" s="70"/>
      <c r="FJ154" s="132"/>
      <c r="FK154" s="132"/>
      <c r="FL154" s="6"/>
      <c r="FM154" s="6"/>
      <c r="FN154" s="6"/>
      <c r="FO154" s="233"/>
      <c r="FP154" s="233"/>
      <c r="FQ154" s="233"/>
      <c r="FR154" s="233"/>
      <c r="FS154" s="233"/>
      <c r="FT154" s="233"/>
      <c r="FU154" s="233"/>
      <c r="FV154" s="233"/>
      <c r="FW154" s="233"/>
      <c r="FX154" s="233"/>
      <c r="FY154" s="233"/>
      <c r="FZ154" s="233"/>
      <c r="GA154" s="233"/>
      <c r="GB154" s="233"/>
      <c r="GC154" s="233"/>
      <c r="GD154" s="233"/>
      <c r="GE154" s="233"/>
      <c r="GF154" s="233"/>
      <c r="GG154" s="233"/>
      <c r="GH154" s="233"/>
      <c r="GI154" s="233"/>
      <c r="GJ154" s="233"/>
      <c r="GK154" s="233"/>
      <c r="GL154" s="233"/>
      <c r="GM154" s="233"/>
      <c r="GN154" s="120"/>
      <c r="GO154" s="3142" t="s">
        <v>3393</v>
      </c>
      <c r="GP154" s="3697">
        <f>SUM(GT154:LP154)</f>
        <v>1363</v>
      </c>
      <c r="GQ154" s="3698"/>
      <c r="GR154" s="3699"/>
      <c r="GS154" s="135"/>
      <c r="GT154" s="3147">
        <f>GT2+GT12</f>
        <v>113.58333333333333</v>
      </c>
      <c r="GU154" s="3148">
        <f t="shared" ref="GU154:JF154" si="289">GU2+GU12</f>
        <v>113.58333333333333</v>
      </c>
      <c r="GV154" s="3148">
        <f t="shared" si="289"/>
        <v>113.58333333333333</v>
      </c>
      <c r="GW154" s="3148">
        <f t="shared" si="289"/>
        <v>113.58333333333333</v>
      </c>
      <c r="GX154" s="3148">
        <f t="shared" si="289"/>
        <v>113.58333333333333</v>
      </c>
      <c r="GY154" s="3148">
        <f t="shared" si="289"/>
        <v>113.58333333333333</v>
      </c>
      <c r="GZ154" s="3148">
        <f t="shared" si="289"/>
        <v>113.58333333333333</v>
      </c>
      <c r="HA154" s="3148">
        <f t="shared" si="289"/>
        <v>113.58333333333333</v>
      </c>
      <c r="HB154" s="3148">
        <f t="shared" si="289"/>
        <v>113.58333333333333</v>
      </c>
      <c r="HC154" s="3148">
        <f t="shared" si="289"/>
        <v>113.58333333333333</v>
      </c>
      <c r="HD154" s="3148">
        <f t="shared" si="289"/>
        <v>113.58333333333333</v>
      </c>
      <c r="HE154" s="3148">
        <f t="shared" si="289"/>
        <v>113.58333333333333</v>
      </c>
      <c r="HF154" s="3148">
        <f t="shared" si="289"/>
        <v>0</v>
      </c>
      <c r="HG154" s="3148">
        <f t="shared" si="289"/>
        <v>0</v>
      </c>
      <c r="HH154" s="3148">
        <f t="shared" si="289"/>
        <v>0</v>
      </c>
      <c r="HI154" s="3148">
        <f t="shared" si="289"/>
        <v>0</v>
      </c>
      <c r="HJ154" s="3148">
        <f t="shared" si="289"/>
        <v>0</v>
      </c>
      <c r="HK154" s="3148">
        <f t="shared" si="289"/>
        <v>0</v>
      </c>
      <c r="HL154" s="3148">
        <f t="shared" si="289"/>
        <v>0</v>
      </c>
      <c r="HM154" s="3148">
        <f t="shared" si="289"/>
        <v>0</v>
      </c>
      <c r="HN154" s="3148">
        <f t="shared" si="289"/>
        <v>0</v>
      </c>
      <c r="HO154" s="3148">
        <f t="shared" si="289"/>
        <v>0</v>
      </c>
      <c r="HP154" s="3148">
        <f t="shared" si="289"/>
        <v>0</v>
      </c>
      <c r="HQ154" s="3148">
        <f t="shared" si="289"/>
        <v>0</v>
      </c>
      <c r="HR154" s="3148">
        <f t="shared" si="289"/>
        <v>0</v>
      </c>
      <c r="HS154" s="3148">
        <f t="shared" si="289"/>
        <v>0</v>
      </c>
      <c r="HT154" s="3148">
        <f t="shared" si="289"/>
        <v>0</v>
      </c>
      <c r="HU154" s="3148">
        <f t="shared" si="289"/>
        <v>0</v>
      </c>
      <c r="HV154" s="3148">
        <f t="shared" si="289"/>
        <v>0</v>
      </c>
      <c r="HW154" s="3148">
        <f t="shared" si="289"/>
        <v>0</v>
      </c>
      <c r="HX154" s="3148">
        <f t="shared" si="289"/>
        <v>0</v>
      </c>
      <c r="HY154" s="3148">
        <f t="shared" si="289"/>
        <v>0</v>
      </c>
      <c r="HZ154" s="3148">
        <f t="shared" si="289"/>
        <v>0</v>
      </c>
      <c r="IA154" s="3148">
        <f t="shared" si="289"/>
        <v>0</v>
      </c>
      <c r="IB154" s="3148">
        <f t="shared" si="289"/>
        <v>0</v>
      </c>
      <c r="IC154" s="3148">
        <f t="shared" si="289"/>
        <v>0</v>
      </c>
      <c r="ID154" s="3148">
        <f t="shared" si="289"/>
        <v>0</v>
      </c>
      <c r="IE154" s="3148">
        <f t="shared" si="289"/>
        <v>0</v>
      </c>
      <c r="IF154" s="3148">
        <f t="shared" si="289"/>
        <v>0</v>
      </c>
      <c r="IG154" s="3148">
        <f t="shared" si="289"/>
        <v>0</v>
      </c>
      <c r="IH154" s="3148">
        <f t="shared" si="289"/>
        <v>0</v>
      </c>
      <c r="II154" s="3148">
        <f t="shared" si="289"/>
        <v>0</v>
      </c>
      <c r="IJ154" s="3148">
        <f t="shared" si="289"/>
        <v>0</v>
      </c>
      <c r="IK154" s="3148">
        <f t="shared" si="289"/>
        <v>0</v>
      </c>
      <c r="IL154" s="3148">
        <f t="shared" si="289"/>
        <v>0</v>
      </c>
      <c r="IM154" s="3148">
        <f t="shared" si="289"/>
        <v>0</v>
      </c>
      <c r="IN154" s="3148">
        <f t="shared" si="289"/>
        <v>0</v>
      </c>
      <c r="IO154" s="3148">
        <f t="shared" si="289"/>
        <v>0</v>
      </c>
      <c r="IP154" s="3148">
        <f t="shared" si="289"/>
        <v>0</v>
      </c>
      <c r="IQ154" s="3148">
        <f t="shared" si="289"/>
        <v>0</v>
      </c>
      <c r="IR154" s="3148">
        <f t="shared" si="289"/>
        <v>0</v>
      </c>
      <c r="IS154" s="3148">
        <f t="shared" si="289"/>
        <v>0</v>
      </c>
      <c r="IT154" s="3148">
        <f t="shared" si="289"/>
        <v>0</v>
      </c>
      <c r="IU154" s="3148">
        <f t="shared" si="289"/>
        <v>0</v>
      </c>
      <c r="IV154" s="3148">
        <f t="shared" si="289"/>
        <v>0</v>
      </c>
      <c r="IW154" s="3148">
        <f t="shared" si="289"/>
        <v>0</v>
      </c>
      <c r="IX154" s="3148">
        <f t="shared" si="289"/>
        <v>0</v>
      </c>
      <c r="IY154" s="3148">
        <f t="shared" si="289"/>
        <v>0</v>
      </c>
      <c r="IZ154" s="3148">
        <f t="shared" si="289"/>
        <v>0</v>
      </c>
      <c r="JA154" s="3148">
        <f t="shared" si="289"/>
        <v>0</v>
      </c>
      <c r="JB154" s="3148">
        <f t="shared" si="289"/>
        <v>0</v>
      </c>
      <c r="JC154" s="3148">
        <f t="shared" si="289"/>
        <v>0</v>
      </c>
      <c r="JD154" s="3148">
        <f t="shared" si="289"/>
        <v>0</v>
      </c>
      <c r="JE154" s="3148">
        <f t="shared" si="289"/>
        <v>0</v>
      </c>
      <c r="JF154" s="3148">
        <f t="shared" si="289"/>
        <v>0</v>
      </c>
      <c r="JG154" s="3148">
        <f t="shared" ref="JG154:LP154" si="290">JG2+JG12</f>
        <v>0</v>
      </c>
      <c r="JH154" s="3148">
        <f t="shared" si="290"/>
        <v>0</v>
      </c>
      <c r="JI154" s="3148">
        <f t="shared" si="290"/>
        <v>0</v>
      </c>
      <c r="JJ154" s="3148">
        <f t="shared" si="290"/>
        <v>0</v>
      </c>
      <c r="JK154" s="3148">
        <f t="shared" si="290"/>
        <v>0</v>
      </c>
      <c r="JL154" s="3148">
        <f t="shared" si="290"/>
        <v>0</v>
      </c>
      <c r="JM154" s="3148">
        <f t="shared" si="290"/>
        <v>0</v>
      </c>
      <c r="JN154" s="3148">
        <f t="shared" si="290"/>
        <v>0</v>
      </c>
      <c r="JO154" s="3148">
        <f t="shared" si="290"/>
        <v>0</v>
      </c>
      <c r="JP154" s="3148">
        <f t="shared" si="290"/>
        <v>0</v>
      </c>
      <c r="JQ154" s="3148">
        <f t="shared" si="290"/>
        <v>0</v>
      </c>
      <c r="JR154" s="3148">
        <f t="shared" si="290"/>
        <v>0</v>
      </c>
      <c r="JS154" s="3148">
        <f t="shared" si="290"/>
        <v>0</v>
      </c>
      <c r="JT154" s="3148">
        <f t="shared" si="290"/>
        <v>0</v>
      </c>
      <c r="JU154" s="3148">
        <f t="shared" si="290"/>
        <v>0</v>
      </c>
      <c r="JV154" s="3148">
        <f t="shared" si="290"/>
        <v>0</v>
      </c>
      <c r="JW154" s="3148">
        <f t="shared" si="290"/>
        <v>0</v>
      </c>
      <c r="JX154" s="3148">
        <f t="shared" si="290"/>
        <v>0</v>
      </c>
      <c r="JY154" s="3148">
        <f t="shared" si="290"/>
        <v>0</v>
      </c>
      <c r="JZ154" s="3148">
        <f t="shared" si="290"/>
        <v>0</v>
      </c>
      <c r="KA154" s="3148">
        <f t="shared" si="290"/>
        <v>0</v>
      </c>
      <c r="KB154" s="3148">
        <f t="shared" si="290"/>
        <v>0</v>
      </c>
      <c r="KC154" s="3148">
        <f t="shared" si="290"/>
        <v>0</v>
      </c>
      <c r="KD154" s="3148">
        <f t="shared" si="290"/>
        <v>0</v>
      </c>
      <c r="KE154" s="3148">
        <f t="shared" si="290"/>
        <v>0</v>
      </c>
      <c r="KF154" s="3148">
        <f t="shared" si="290"/>
        <v>0</v>
      </c>
      <c r="KG154" s="3148">
        <f t="shared" si="290"/>
        <v>0</v>
      </c>
      <c r="KH154" s="3148">
        <f t="shared" si="290"/>
        <v>0</v>
      </c>
      <c r="KI154" s="3148">
        <f t="shared" si="290"/>
        <v>0</v>
      </c>
      <c r="KJ154" s="3148">
        <f t="shared" si="290"/>
        <v>0</v>
      </c>
      <c r="KK154" s="3148">
        <f t="shared" si="290"/>
        <v>0</v>
      </c>
      <c r="KL154" s="3148">
        <f t="shared" si="290"/>
        <v>0</v>
      </c>
      <c r="KM154" s="3148">
        <f t="shared" si="290"/>
        <v>0</v>
      </c>
      <c r="KN154" s="3148">
        <f t="shared" si="290"/>
        <v>0</v>
      </c>
      <c r="KO154" s="3148">
        <f t="shared" si="290"/>
        <v>0</v>
      </c>
      <c r="KP154" s="3148">
        <f t="shared" si="290"/>
        <v>0</v>
      </c>
      <c r="KQ154" s="3148">
        <f t="shared" si="290"/>
        <v>0</v>
      </c>
      <c r="KR154" s="3148">
        <f t="shared" si="290"/>
        <v>0</v>
      </c>
      <c r="KS154" s="3148">
        <f t="shared" si="290"/>
        <v>0</v>
      </c>
      <c r="KT154" s="3148">
        <f t="shared" si="290"/>
        <v>0</v>
      </c>
      <c r="KU154" s="3148">
        <f t="shared" si="290"/>
        <v>0</v>
      </c>
      <c r="KV154" s="3148">
        <f t="shared" si="290"/>
        <v>0</v>
      </c>
      <c r="KW154" s="3148">
        <f t="shared" si="290"/>
        <v>0</v>
      </c>
      <c r="KX154" s="3148">
        <f t="shared" si="290"/>
        <v>0</v>
      </c>
      <c r="KY154" s="3148">
        <f t="shared" si="290"/>
        <v>0</v>
      </c>
      <c r="KZ154" s="3148">
        <f t="shared" si="290"/>
        <v>0</v>
      </c>
      <c r="LA154" s="3148">
        <f t="shared" si="290"/>
        <v>0</v>
      </c>
      <c r="LB154" s="3148">
        <f t="shared" si="290"/>
        <v>0</v>
      </c>
      <c r="LC154" s="3148">
        <f t="shared" si="290"/>
        <v>0</v>
      </c>
      <c r="LD154" s="3148">
        <f t="shared" si="290"/>
        <v>0</v>
      </c>
      <c r="LE154" s="3148">
        <f t="shared" si="290"/>
        <v>0</v>
      </c>
      <c r="LF154" s="3148">
        <f t="shared" si="290"/>
        <v>0</v>
      </c>
      <c r="LG154" s="3148">
        <f t="shared" si="290"/>
        <v>0</v>
      </c>
      <c r="LH154" s="3148">
        <f t="shared" si="290"/>
        <v>0</v>
      </c>
      <c r="LI154" s="3148">
        <f t="shared" si="290"/>
        <v>0</v>
      </c>
      <c r="LJ154" s="3148">
        <f t="shared" si="290"/>
        <v>0</v>
      </c>
      <c r="LK154" s="3148">
        <f t="shared" si="290"/>
        <v>0</v>
      </c>
      <c r="LL154" s="3148">
        <f t="shared" si="290"/>
        <v>0</v>
      </c>
      <c r="LM154" s="3148">
        <f t="shared" si="290"/>
        <v>0</v>
      </c>
      <c r="LN154" s="3148">
        <f t="shared" si="290"/>
        <v>0</v>
      </c>
      <c r="LO154" s="3148">
        <f t="shared" si="290"/>
        <v>0</v>
      </c>
      <c r="LP154" s="3149">
        <f t="shared" si="290"/>
        <v>0</v>
      </c>
      <c r="LQ154" s="3143"/>
      <c r="LR154" s="120"/>
    </row>
    <row r="155" spans="1:330" ht="4.95" customHeight="1" x14ac:dyDescent="0.4">
      <c r="A155" s="280"/>
      <c r="B155" s="297"/>
      <c r="C155" s="1776"/>
      <c r="D155" s="1776"/>
      <c r="E155" s="1776"/>
      <c r="F155" s="1776"/>
      <c r="G155" s="1776"/>
      <c r="H155" s="1776"/>
      <c r="I155" s="1776"/>
      <c r="J155" s="9"/>
      <c r="K155" s="9"/>
      <c r="L155" s="9"/>
      <c r="M155" s="9"/>
      <c r="N155" s="9"/>
      <c r="O155" s="6"/>
      <c r="P155" s="77"/>
      <c r="Q155" s="77"/>
      <c r="R155" s="1810"/>
      <c r="S155" s="1810"/>
      <c r="T155" s="1810"/>
      <c r="U155" s="1810"/>
      <c r="V155" s="1810"/>
      <c r="W155" s="1810"/>
      <c r="X155" s="1810"/>
      <c r="Y155" s="1810"/>
      <c r="Z155" s="1810"/>
      <c r="AA155" s="1810"/>
      <c r="AB155" s="1810"/>
      <c r="AC155" s="1810"/>
      <c r="AD155" s="1810"/>
      <c r="AE155" s="1810"/>
      <c r="AF155" s="1810"/>
      <c r="AG155" s="1810"/>
      <c r="AH155" s="2515"/>
      <c r="AI155" s="1810"/>
      <c r="AJ155" s="1810"/>
      <c r="AK155" s="1810"/>
      <c r="AL155" s="1810"/>
      <c r="AM155" s="1810"/>
      <c r="AN155" s="1810"/>
      <c r="AO155" s="1810"/>
      <c r="AP155" s="1810"/>
      <c r="AQ155" s="1810"/>
      <c r="AR155" s="1810"/>
      <c r="AS155" s="1810"/>
      <c r="AT155" s="1810"/>
      <c r="AU155" s="1810"/>
      <c r="AV155" s="1810"/>
      <c r="AW155" s="1810"/>
      <c r="AX155" s="1810"/>
      <c r="AY155" s="1810"/>
      <c r="AZ155" s="1810"/>
      <c r="BA155" s="1810"/>
      <c r="BB155" s="1810"/>
      <c r="BC155" s="1810"/>
      <c r="BD155" s="1810"/>
      <c r="BE155" s="1810"/>
      <c r="BF155" s="1810"/>
      <c r="BG155" s="1810"/>
      <c r="BH155" s="1810"/>
      <c r="BI155" s="1810"/>
      <c r="BJ155" s="1810"/>
      <c r="BK155" s="1810"/>
      <c r="BL155" s="1810"/>
      <c r="BM155" s="1810"/>
      <c r="BN155" s="1810"/>
      <c r="BO155" s="1810"/>
      <c r="BP155" s="1810"/>
      <c r="BQ155" s="1810"/>
      <c r="BR155" s="1810"/>
      <c r="BS155" s="1810"/>
      <c r="BT155" s="1810"/>
      <c r="BU155" s="1810"/>
      <c r="BV155" s="1810"/>
      <c r="BW155" s="1810"/>
      <c r="BX155" s="1810"/>
      <c r="BY155" s="1810"/>
      <c r="BZ155" s="1810"/>
      <c r="CA155" s="1810"/>
      <c r="CB155" s="1810"/>
      <c r="CC155" s="1810"/>
      <c r="CD155" s="1810"/>
      <c r="CE155" s="1810"/>
      <c r="CF155" s="1810"/>
      <c r="CG155" s="1810"/>
      <c r="CH155" s="1810"/>
      <c r="CI155" s="1810"/>
      <c r="CJ155" s="1810"/>
      <c r="CK155" s="1810"/>
      <c r="CL155" s="1810"/>
      <c r="CM155" s="1810"/>
      <c r="CN155" s="1810"/>
      <c r="CO155" s="1810"/>
      <c r="CP155" s="1810"/>
      <c r="CQ155" s="1810"/>
      <c r="CR155" s="1810"/>
      <c r="CS155" s="1810"/>
      <c r="CT155" s="1810"/>
      <c r="CU155" s="1810"/>
      <c r="CV155" s="1810"/>
      <c r="CW155" s="1810"/>
      <c r="CX155" s="1810"/>
      <c r="CY155" s="1810"/>
      <c r="CZ155" s="1810"/>
      <c r="DA155" s="1810"/>
      <c r="DB155" s="9"/>
      <c r="DC155" s="9"/>
      <c r="DD155" s="9"/>
      <c r="DE155" s="44"/>
      <c r="DF155" s="44"/>
      <c r="DG155" s="44"/>
      <c r="DH155" s="44"/>
      <c r="DI155" s="44"/>
      <c r="DJ155" s="3792" t="s">
        <v>93</v>
      </c>
      <c r="DK155" s="3792"/>
      <c r="DL155" s="3792"/>
      <c r="DM155" s="3792"/>
      <c r="DN155" s="119"/>
      <c r="DO155" s="119"/>
      <c r="DP155" s="119"/>
      <c r="DQ155" s="119"/>
      <c r="DR155" s="119"/>
      <c r="DS155" s="119"/>
      <c r="DT155" s="119"/>
      <c r="DU155" s="119"/>
      <c r="DV155" s="119"/>
      <c r="DW155" s="119"/>
      <c r="DX155" s="119"/>
      <c r="DY155" s="119"/>
      <c r="DZ155" s="119"/>
      <c r="EA155" s="119"/>
      <c r="EB155" s="119"/>
      <c r="EC155" s="119"/>
      <c r="ED155" s="119"/>
      <c r="EE155" s="119"/>
      <c r="EF155" s="119"/>
      <c r="EG155" s="119"/>
      <c r="EH155" s="119"/>
      <c r="EI155" s="119"/>
      <c r="EJ155" s="119"/>
      <c r="EK155" s="119"/>
      <c r="EL155" s="119"/>
      <c r="EM155" s="119"/>
      <c r="EN155" s="119"/>
      <c r="EO155" s="119"/>
      <c r="EP155" s="119"/>
      <c r="EQ155" s="119"/>
      <c r="ER155" s="119"/>
      <c r="ES155" s="119"/>
      <c r="ET155" s="119"/>
      <c r="EU155" s="119"/>
      <c r="EV155" s="119"/>
      <c r="EW155" s="119"/>
      <c r="EX155" s="119"/>
      <c r="EY155" s="119"/>
      <c r="EZ155" s="119"/>
      <c r="FA155" s="119"/>
      <c r="FB155" s="119"/>
      <c r="FC155" s="119"/>
      <c r="FD155" s="119"/>
      <c r="FE155" s="119"/>
      <c r="FF155" s="119"/>
      <c r="FG155" s="119"/>
      <c r="FH155" s="69"/>
      <c r="FI155" s="44"/>
      <c r="FJ155" s="132"/>
      <c r="FK155" s="132"/>
      <c r="FL155" s="6"/>
      <c r="FM155" s="6"/>
      <c r="FN155" s="6"/>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20"/>
      <c r="GO155" s="6"/>
      <c r="GP155" s="6"/>
      <c r="GQ155" s="6"/>
      <c r="GR155" s="6"/>
      <c r="GS155" s="6"/>
      <c r="GT155" s="620" t="s">
        <v>466</v>
      </c>
      <c r="GU155" s="6"/>
      <c r="GV155" s="6"/>
      <c r="GW155" s="6"/>
      <c r="GX155" s="6"/>
      <c r="GY155" s="6"/>
      <c r="GZ155" s="6"/>
      <c r="HA155" s="6"/>
      <c r="HB155" s="6"/>
      <c r="HC155" s="6"/>
      <c r="HD155" s="6"/>
      <c r="HE155" s="6"/>
      <c r="HF155" s="6"/>
      <c r="HG155" s="6"/>
      <c r="HH155" s="6"/>
      <c r="HI155" s="6"/>
      <c r="HJ155" s="6"/>
      <c r="HK155" s="6"/>
      <c r="HL155" s="6"/>
      <c r="HM155" s="6"/>
      <c r="HN155" s="6"/>
      <c r="HO155" s="6"/>
      <c r="HP155" s="6"/>
      <c r="HQ155" s="6"/>
      <c r="HR155" s="6"/>
      <c r="HS155" s="6"/>
      <c r="HT155" s="6"/>
      <c r="HU155" s="6"/>
      <c r="HV155" s="6"/>
      <c r="HW155" s="6"/>
      <c r="HX155" s="6"/>
      <c r="HY155" s="6"/>
      <c r="HZ155" s="6"/>
      <c r="IA155" s="6"/>
      <c r="IB155" s="6"/>
      <c r="IC155" s="6"/>
      <c r="ID155" s="6"/>
      <c r="IE155" s="6"/>
      <c r="IF155" s="6"/>
      <c r="IG155" s="6"/>
      <c r="IH155" s="6"/>
      <c r="II155" s="6"/>
      <c r="IJ155" s="6"/>
      <c r="IK155" s="6"/>
      <c r="IL155" s="6"/>
      <c r="IM155" s="6"/>
      <c r="IN155" s="6"/>
      <c r="IO155" s="6"/>
      <c r="IP155" s="6"/>
      <c r="IQ155" s="6"/>
      <c r="IR155" s="6"/>
      <c r="IS155" s="6"/>
      <c r="IT155" s="6"/>
      <c r="IU155" s="6"/>
      <c r="IV155" s="6"/>
      <c r="IW155" s="6"/>
      <c r="IX155" s="6"/>
      <c r="IY155" s="6"/>
      <c r="IZ155" s="6"/>
      <c r="JA155" s="6"/>
      <c r="JB155" s="6"/>
      <c r="JC155" s="6"/>
      <c r="JD155" s="6"/>
      <c r="JE155" s="6"/>
      <c r="JF155" s="6"/>
      <c r="JG155" s="6"/>
      <c r="JH155" s="6"/>
      <c r="JI155" s="6"/>
      <c r="JJ155" s="6"/>
      <c r="JK155" s="6"/>
      <c r="JL155" s="6"/>
      <c r="JM155" s="6"/>
      <c r="JN155" s="6"/>
      <c r="JO155" s="6"/>
      <c r="JP155" s="6"/>
      <c r="JQ155" s="6"/>
      <c r="JR155" s="6"/>
      <c r="JS155" s="6"/>
      <c r="JT155" s="6"/>
      <c r="JU155" s="6"/>
      <c r="JV155" s="6"/>
      <c r="JW155" s="6"/>
      <c r="JX155" s="6"/>
      <c r="JY155" s="6"/>
      <c r="JZ155" s="6"/>
      <c r="KA155" s="6"/>
      <c r="KB155" s="6"/>
      <c r="KC155" s="6"/>
      <c r="KD155" s="6"/>
      <c r="KE155" s="6"/>
      <c r="KF155" s="6"/>
      <c r="KG155" s="6"/>
      <c r="KH155" s="6"/>
      <c r="KI155" s="6"/>
      <c r="KJ155" s="6"/>
      <c r="KK155" s="6"/>
      <c r="KL155" s="6"/>
      <c r="KM155" s="6"/>
      <c r="KN155" s="6"/>
      <c r="KO155" s="6"/>
      <c r="KP155" s="6"/>
      <c r="KQ155" s="6"/>
      <c r="KR155" s="6"/>
      <c r="KS155" s="6"/>
      <c r="KT155" s="6"/>
      <c r="KU155" s="6"/>
      <c r="KV155" s="6"/>
      <c r="KW155" s="6"/>
      <c r="KX155" s="6"/>
      <c r="KY155" s="6"/>
      <c r="KZ155" s="6"/>
      <c r="LA155" s="6"/>
      <c r="LB155" s="6"/>
      <c r="LC155" s="6"/>
      <c r="LD155" s="6"/>
      <c r="LE155" s="6"/>
      <c r="LF155" s="6"/>
      <c r="LG155" s="6"/>
      <c r="LH155" s="6"/>
      <c r="LI155" s="6"/>
      <c r="LJ155" s="6"/>
      <c r="LK155" s="6"/>
      <c r="LL155" s="6"/>
      <c r="LM155" s="6"/>
      <c r="LN155" s="6"/>
      <c r="LO155" s="6"/>
      <c r="LP155" s="6"/>
      <c r="LQ155" s="3137"/>
      <c r="LR155" s="6"/>
    </row>
    <row r="156" spans="1:330" ht="21" customHeight="1" x14ac:dyDescent="0.3">
      <c r="A156" s="280"/>
      <c r="B156" s="297"/>
      <c r="C156" s="1776"/>
      <c r="D156" s="1776"/>
      <c r="E156" s="1776"/>
      <c r="F156" s="1776"/>
      <c r="G156" s="1776"/>
      <c r="H156" s="1776"/>
      <c r="I156" s="1776"/>
      <c r="J156" s="9"/>
      <c r="K156" s="9"/>
      <c r="M156" s="1171"/>
      <c r="N156" s="1171"/>
      <c r="O156" s="1171"/>
      <c r="P156" s="1171"/>
      <c r="Q156" s="1171"/>
      <c r="S156" s="3115" t="s">
        <v>3939</v>
      </c>
      <c r="T156" s="1810"/>
      <c r="U156" s="1810"/>
      <c r="V156" s="1810"/>
      <c r="W156" s="1810"/>
      <c r="X156" s="1810"/>
      <c r="Y156" s="1810"/>
      <c r="Z156" s="1810"/>
      <c r="AA156" s="1810"/>
      <c r="AB156" s="1810"/>
      <c r="AC156" s="1810"/>
      <c r="AD156" s="1810"/>
      <c r="AE156" s="1810"/>
      <c r="AF156" s="1810"/>
      <c r="AG156" s="1810"/>
      <c r="AH156" s="2515"/>
      <c r="AI156" s="1810"/>
      <c r="AJ156" s="1810"/>
      <c r="AK156" s="1810"/>
      <c r="AL156" s="1810"/>
      <c r="AM156" s="1810"/>
      <c r="AN156" s="1810"/>
      <c r="AO156" s="1810"/>
      <c r="AP156" s="1810"/>
      <c r="AQ156" s="1810"/>
      <c r="AR156" s="1810"/>
      <c r="AS156" s="1810"/>
      <c r="AT156" s="1810"/>
      <c r="AU156" s="1810"/>
      <c r="AV156" s="1810"/>
      <c r="AW156" s="1810"/>
      <c r="AX156" s="1810"/>
      <c r="AY156" s="1810"/>
      <c r="AZ156" s="1810"/>
      <c r="BA156" s="1810"/>
      <c r="BB156" s="1810"/>
      <c r="BC156" s="1810"/>
      <c r="BD156" s="1810"/>
      <c r="BE156" s="1810"/>
      <c r="BF156" s="1810"/>
      <c r="BG156" s="1810"/>
      <c r="BH156" s="1810"/>
      <c r="BI156" s="1810"/>
      <c r="BJ156" s="1810"/>
      <c r="BK156" s="1810"/>
      <c r="BL156" s="1810"/>
      <c r="BM156" s="1810"/>
      <c r="BN156" s="1810"/>
      <c r="BO156" s="1810"/>
      <c r="BP156" s="1810"/>
      <c r="BQ156" s="1810"/>
      <c r="BR156" s="1810"/>
      <c r="BS156" s="1810"/>
      <c r="BT156" s="1810"/>
      <c r="BU156" s="1810"/>
      <c r="BV156" s="1810"/>
      <c r="BW156" s="1810"/>
      <c r="BX156" s="1810"/>
      <c r="BY156" s="1810"/>
      <c r="BZ156" s="1810"/>
      <c r="CA156" s="1810"/>
      <c r="CB156" s="1810"/>
      <c r="CC156" s="1810"/>
      <c r="CD156" s="1810"/>
      <c r="CE156" s="1810"/>
      <c r="CF156" s="1810"/>
      <c r="CG156" s="1810"/>
      <c r="CH156" s="1810"/>
      <c r="CI156" s="1810"/>
      <c r="CJ156" s="1810"/>
      <c r="CK156" s="1810"/>
      <c r="CL156" s="1810"/>
      <c r="CM156" s="1810"/>
      <c r="CN156" s="1810"/>
      <c r="CO156" s="1810"/>
      <c r="CP156" s="1810"/>
      <c r="CQ156" s="1810"/>
      <c r="CR156" s="1810"/>
      <c r="CS156" s="1810"/>
      <c r="CT156" s="1810"/>
      <c r="CU156" s="1810"/>
      <c r="CV156" s="1810"/>
      <c r="CW156" s="1810"/>
      <c r="CX156" s="1810"/>
      <c r="CY156" s="1810"/>
      <c r="CZ156" s="3115" t="s">
        <v>609</v>
      </c>
      <c r="DA156" s="3115" t="s">
        <v>3940</v>
      </c>
      <c r="DB156" s="9"/>
      <c r="DC156" s="3793" t="s">
        <v>2313</v>
      </c>
      <c r="DD156" s="3793"/>
      <c r="DF156" s="191"/>
      <c r="DG156" s="191"/>
      <c r="DJ156" s="3792"/>
      <c r="DK156" s="3792"/>
      <c r="DL156" s="3792"/>
      <c r="DM156" s="3792"/>
      <c r="FI156" s="6"/>
      <c r="FJ156" s="132"/>
      <c r="FK156" s="132"/>
      <c r="FL156" s="6"/>
      <c r="FM156" s="6"/>
      <c r="FN156" s="6"/>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224"/>
      <c r="GN156" s="120"/>
      <c r="GO156" s="3779" t="s">
        <v>39</v>
      </c>
      <c r="GP156" s="3644">
        <f>SUM(GT156:QJ156)</f>
        <v>45111.674232000012</v>
      </c>
      <c r="GQ156" s="3645"/>
      <c r="GR156" s="3646"/>
      <c r="GS156" s="120"/>
      <c r="GT156" s="3780">
        <f>GT3+GT9+GT10+GT11</f>
        <v>3759.3061860000003</v>
      </c>
      <c r="GU156" s="3775">
        <f t="shared" ref="GU156:JF156" si="291">GU3+GU9+GU10+GU11</f>
        <v>3759.3061860000003</v>
      </c>
      <c r="GV156" s="3775">
        <f t="shared" si="291"/>
        <v>3759.3061860000003</v>
      </c>
      <c r="GW156" s="3775">
        <f t="shared" si="291"/>
        <v>3759.3061860000003</v>
      </c>
      <c r="GX156" s="3775">
        <f t="shared" si="291"/>
        <v>3759.3061860000003</v>
      </c>
      <c r="GY156" s="3775">
        <f t="shared" si="291"/>
        <v>3759.3061860000003</v>
      </c>
      <c r="GZ156" s="3775">
        <f t="shared" si="291"/>
        <v>3759.3061860000003</v>
      </c>
      <c r="HA156" s="3775">
        <f t="shared" si="291"/>
        <v>3759.3061860000003</v>
      </c>
      <c r="HB156" s="3775">
        <f t="shared" si="291"/>
        <v>3759.3061860000003</v>
      </c>
      <c r="HC156" s="3775">
        <f t="shared" si="291"/>
        <v>3759.3061860000003</v>
      </c>
      <c r="HD156" s="3775">
        <f t="shared" si="291"/>
        <v>3759.3061860000003</v>
      </c>
      <c r="HE156" s="3775">
        <f t="shared" si="291"/>
        <v>3759.3061860000003</v>
      </c>
      <c r="HF156" s="3775">
        <f t="shared" si="291"/>
        <v>0</v>
      </c>
      <c r="HG156" s="3775">
        <f t="shared" si="291"/>
        <v>0</v>
      </c>
      <c r="HH156" s="3775">
        <f t="shared" si="291"/>
        <v>0</v>
      </c>
      <c r="HI156" s="3775">
        <f t="shared" si="291"/>
        <v>0</v>
      </c>
      <c r="HJ156" s="3775">
        <f t="shared" si="291"/>
        <v>0</v>
      </c>
      <c r="HK156" s="3775">
        <f t="shared" si="291"/>
        <v>0</v>
      </c>
      <c r="HL156" s="3775">
        <f t="shared" si="291"/>
        <v>0</v>
      </c>
      <c r="HM156" s="3775">
        <f t="shared" si="291"/>
        <v>0</v>
      </c>
      <c r="HN156" s="3775">
        <f t="shared" si="291"/>
        <v>0</v>
      </c>
      <c r="HO156" s="3775">
        <f t="shared" si="291"/>
        <v>0</v>
      </c>
      <c r="HP156" s="3775">
        <f t="shared" si="291"/>
        <v>0</v>
      </c>
      <c r="HQ156" s="3775">
        <f t="shared" si="291"/>
        <v>0</v>
      </c>
      <c r="HR156" s="3775">
        <f t="shared" si="291"/>
        <v>0</v>
      </c>
      <c r="HS156" s="3775">
        <f t="shared" si="291"/>
        <v>0</v>
      </c>
      <c r="HT156" s="3775">
        <f t="shared" si="291"/>
        <v>0</v>
      </c>
      <c r="HU156" s="3775">
        <f t="shared" si="291"/>
        <v>0</v>
      </c>
      <c r="HV156" s="3775">
        <f t="shared" si="291"/>
        <v>0</v>
      </c>
      <c r="HW156" s="3775">
        <f t="shared" si="291"/>
        <v>0</v>
      </c>
      <c r="HX156" s="3775">
        <f t="shared" si="291"/>
        <v>0</v>
      </c>
      <c r="HY156" s="3775">
        <f t="shared" si="291"/>
        <v>0</v>
      </c>
      <c r="HZ156" s="3775">
        <f t="shared" si="291"/>
        <v>0</v>
      </c>
      <c r="IA156" s="3775">
        <f t="shared" si="291"/>
        <v>0</v>
      </c>
      <c r="IB156" s="3775">
        <f t="shared" si="291"/>
        <v>0</v>
      </c>
      <c r="IC156" s="3775">
        <f t="shared" si="291"/>
        <v>0</v>
      </c>
      <c r="ID156" s="3775">
        <f t="shared" si="291"/>
        <v>0</v>
      </c>
      <c r="IE156" s="3775">
        <f t="shared" si="291"/>
        <v>0</v>
      </c>
      <c r="IF156" s="3775">
        <f t="shared" si="291"/>
        <v>0</v>
      </c>
      <c r="IG156" s="3775">
        <f t="shared" si="291"/>
        <v>0</v>
      </c>
      <c r="IH156" s="3775">
        <f t="shared" si="291"/>
        <v>0</v>
      </c>
      <c r="II156" s="3775">
        <f t="shared" si="291"/>
        <v>0</v>
      </c>
      <c r="IJ156" s="3775">
        <f t="shared" si="291"/>
        <v>0</v>
      </c>
      <c r="IK156" s="3775">
        <f t="shared" si="291"/>
        <v>0</v>
      </c>
      <c r="IL156" s="3775">
        <f t="shared" si="291"/>
        <v>0</v>
      </c>
      <c r="IM156" s="3775">
        <f t="shared" si="291"/>
        <v>0</v>
      </c>
      <c r="IN156" s="3775">
        <f t="shared" si="291"/>
        <v>0</v>
      </c>
      <c r="IO156" s="3775">
        <f t="shared" si="291"/>
        <v>0</v>
      </c>
      <c r="IP156" s="3775">
        <f t="shared" si="291"/>
        <v>0</v>
      </c>
      <c r="IQ156" s="3775">
        <f t="shared" si="291"/>
        <v>0</v>
      </c>
      <c r="IR156" s="3775">
        <f t="shared" si="291"/>
        <v>0</v>
      </c>
      <c r="IS156" s="3775">
        <f t="shared" si="291"/>
        <v>0</v>
      </c>
      <c r="IT156" s="3775">
        <f t="shared" si="291"/>
        <v>0</v>
      </c>
      <c r="IU156" s="3775">
        <f t="shared" si="291"/>
        <v>0</v>
      </c>
      <c r="IV156" s="3775">
        <f t="shared" si="291"/>
        <v>0</v>
      </c>
      <c r="IW156" s="3775">
        <f t="shared" si="291"/>
        <v>0</v>
      </c>
      <c r="IX156" s="3775">
        <f t="shared" si="291"/>
        <v>0</v>
      </c>
      <c r="IY156" s="3775">
        <f t="shared" si="291"/>
        <v>0</v>
      </c>
      <c r="IZ156" s="3775">
        <f t="shared" si="291"/>
        <v>0</v>
      </c>
      <c r="JA156" s="3775">
        <f t="shared" si="291"/>
        <v>0</v>
      </c>
      <c r="JB156" s="3775">
        <f t="shared" si="291"/>
        <v>0</v>
      </c>
      <c r="JC156" s="3775">
        <f t="shared" si="291"/>
        <v>0</v>
      </c>
      <c r="JD156" s="3775">
        <f t="shared" si="291"/>
        <v>0</v>
      </c>
      <c r="JE156" s="3775">
        <f t="shared" si="291"/>
        <v>0</v>
      </c>
      <c r="JF156" s="3775">
        <f t="shared" si="291"/>
        <v>0</v>
      </c>
      <c r="JG156" s="3775">
        <f t="shared" ref="JG156:LP156" si="292">JG3+JG9+JG10+JG11</f>
        <v>0</v>
      </c>
      <c r="JH156" s="3775">
        <f t="shared" si="292"/>
        <v>0</v>
      </c>
      <c r="JI156" s="3775">
        <f t="shared" si="292"/>
        <v>0</v>
      </c>
      <c r="JJ156" s="3775">
        <f t="shared" si="292"/>
        <v>0</v>
      </c>
      <c r="JK156" s="3775">
        <f t="shared" si="292"/>
        <v>0</v>
      </c>
      <c r="JL156" s="3775">
        <f t="shared" si="292"/>
        <v>0</v>
      </c>
      <c r="JM156" s="3775">
        <f t="shared" si="292"/>
        <v>0</v>
      </c>
      <c r="JN156" s="3775">
        <f t="shared" si="292"/>
        <v>0</v>
      </c>
      <c r="JO156" s="3775">
        <f t="shared" si="292"/>
        <v>0</v>
      </c>
      <c r="JP156" s="3775">
        <f t="shared" si="292"/>
        <v>0</v>
      </c>
      <c r="JQ156" s="3775">
        <f t="shared" si="292"/>
        <v>0</v>
      </c>
      <c r="JR156" s="3775">
        <f t="shared" si="292"/>
        <v>0</v>
      </c>
      <c r="JS156" s="3775">
        <f t="shared" si="292"/>
        <v>0</v>
      </c>
      <c r="JT156" s="3775">
        <f t="shared" si="292"/>
        <v>0</v>
      </c>
      <c r="JU156" s="3775">
        <f t="shared" si="292"/>
        <v>0</v>
      </c>
      <c r="JV156" s="3775">
        <f t="shared" si="292"/>
        <v>0</v>
      </c>
      <c r="JW156" s="3775">
        <f t="shared" si="292"/>
        <v>0</v>
      </c>
      <c r="JX156" s="3775">
        <f t="shared" si="292"/>
        <v>0</v>
      </c>
      <c r="JY156" s="3775">
        <f t="shared" si="292"/>
        <v>0</v>
      </c>
      <c r="JZ156" s="3775">
        <f t="shared" si="292"/>
        <v>0</v>
      </c>
      <c r="KA156" s="3775">
        <f t="shared" si="292"/>
        <v>0</v>
      </c>
      <c r="KB156" s="3775">
        <f t="shared" si="292"/>
        <v>0</v>
      </c>
      <c r="KC156" s="3775">
        <f t="shared" si="292"/>
        <v>0</v>
      </c>
      <c r="KD156" s="3775">
        <f t="shared" si="292"/>
        <v>0</v>
      </c>
      <c r="KE156" s="3775">
        <f t="shared" si="292"/>
        <v>0</v>
      </c>
      <c r="KF156" s="3775">
        <f t="shared" si="292"/>
        <v>0</v>
      </c>
      <c r="KG156" s="3775">
        <f t="shared" si="292"/>
        <v>0</v>
      </c>
      <c r="KH156" s="3775">
        <f t="shared" si="292"/>
        <v>0</v>
      </c>
      <c r="KI156" s="3775">
        <f t="shared" si="292"/>
        <v>0</v>
      </c>
      <c r="KJ156" s="3775">
        <f t="shared" si="292"/>
        <v>0</v>
      </c>
      <c r="KK156" s="3775">
        <f t="shared" si="292"/>
        <v>0</v>
      </c>
      <c r="KL156" s="3775">
        <f t="shared" si="292"/>
        <v>0</v>
      </c>
      <c r="KM156" s="3775">
        <f t="shared" si="292"/>
        <v>0</v>
      </c>
      <c r="KN156" s="3775">
        <f t="shared" si="292"/>
        <v>0</v>
      </c>
      <c r="KO156" s="3775">
        <f t="shared" si="292"/>
        <v>0</v>
      </c>
      <c r="KP156" s="3775">
        <f t="shared" si="292"/>
        <v>0</v>
      </c>
      <c r="KQ156" s="3775">
        <f t="shared" si="292"/>
        <v>0</v>
      </c>
      <c r="KR156" s="3775">
        <f t="shared" si="292"/>
        <v>0</v>
      </c>
      <c r="KS156" s="3775">
        <f t="shared" si="292"/>
        <v>0</v>
      </c>
      <c r="KT156" s="3775">
        <f t="shared" si="292"/>
        <v>0</v>
      </c>
      <c r="KU156" s="3775">
        <f t="shared" si="292"/>
        <v>0</v>
      </c>
      <c r="KV156" s="3775">
        <f t="shared" si="292"/>
        <v>0</v>
      </c>
      <c r="KW156" s="3775">
        <f t="shared" si="292"/>
        <v>0</v>
      </c>
      <c r="KX156" s="3775">
        <f t="shared" si="292"/>
        <v>0</v>
      </c>
      <c r="KY156" s="3775">
        <f t="shared" si="292"/>
        <v>0</v>
      </c>
      <c r="KZ156" s="3775">
        <f t="shared" si="292"/>
        <v>0</v>
      </c>
      <c r="LA156" s="3775">
        <f t="shared" si="292"/>
        <v>0</v>
      </c>
      <c r="LB156" s="3775">
        <f t="shared" si="292"/>
        <v>0</v>
      </c>
      <c r="LC156" s="3775">
        <f t="shared" si="292"/>
        <v>0</v>
      </c>
      <c r="LD156" s="3775">
        <f t="shared" si="292"/>
        <v>0</v>
      </c>
      <c r="LE156" s="3775">
        <f t="shared" si="292"/>
        <v>0</v>
      </c>
      <c r="LF156" s="3775">
        <f t="shared" si="292"/>
        <v>0</v>
      </c>
      <c r="LG156" s="3775">
        <f t="shared" si="292"/>
        <v>0</v>
      </c>
      <c r="LH156" s="3775">
        <f t="shared" si="292"/>
        <v>0</v>
      </c>
      <c r="LI156" s="3775">
        <f t="shared" si="292"/>
        <v>0</v>
      </c>
      <c r="LJ156" s="3775">
        <f t="shared" si="292"/>
        <v>0</v>
      </c>
      <c r="LK156" s="3775">
        <f t="shared" si="292"/>
        <v>0</v>
      </c>
      <c r="LL156" s="3775">
        <f t="shared" si="292"/>
        <v>0</v>
      </c>
      <c r="LM156" s="3775">
        <f t="shared" si="292"/>
        <v>0</v>
      </c>
      <c r="LN156" s="3775">
        <f t="shared" si="292"/>
        <v>0</v>
      </c>
      <c r="LO156" s="3775">
        <f t="shared" si="292"/>
        <v>0</v>
      </c>
      <c r="LP156" s="3777">
        <f t="shared" si="292"/>
        <v>0</v>
      </c>
      <c r="LQ156" s="3137"/>
      <c r="LR156" s="120"/>
    </row>
    <row r="157" spans="1:330" ht="29.25" customHeight="1" x14ac:dyDescent="0.5">
      <c r="A157" s="280"/>
      <c r="B157" s="297"/>
      <c r="C157" s="1776"/>
      <c r="D157" s="1776"/>
      <c r="E157" s="1776"/>
      <c r="F157" s="1776"/>
      <c r="G157" s="1776"/>
      <c r="H157" s="1776"/>
      <c r="I157" s="1776"/>
      <c r="J157" s="9"/>
      <c r="K157" s="9"/>
      <c r="L157" s="1171"/>
      <c r="M157" s="1171"/>
      <c r="N157" s="1171"/>
      <c r="O157" s="1171"/>
      <c r="P157" s="1171"/>
      <c r="Q157" s="1171"/>
      <c r="R157" s="3345" t="str">
        <f>IF('1 Setup'!$N$4=0,"Activate this Plan on the Setup tab  ","")</f>
        <v/>
      </c>
      <c r="S157" s="3034">
        <f ca="1">IFERROR(DA161/R161,0)</f>
        <v>21.09398942993397</v>
      </c>
      <c r="T157" s="3035"/>
      <c r="U157" s="3035"/>
      <c r="V157" s="3035"/>
      <c r="W157" s="3035"/>
      <c r="X157" s="3035"/>
      <c r="Y157" s="3035"/>
      <c r="Z157" s="3035"/>
      <c r="AA157" s="3035"/>
      <c r="AB157" s="3035"/>
      <c r="AC157" s="3035"/>
      <c r="AD157" s="3035"/>
      <c r="AE157" s="3035"/>
      <c r="AF157" s="3035"/>
      <c r="AG157" s="3035"/>
      <c r="AH157" s="3035"/>
      <c r="AI157" s="3035"/>
      <c r="AJ157" s="3035"/>
      <c r="AK157" s="3035"/>
      <c r="AL157" s="3035"/>
      <c r="AM157" s="3035"/>
      <c r="AN157" s="3035"/>
      <c r="AO157" s="3035"/>
      <c r="AP157" s="3035"/>
      <c r="AQ157" s="3035"/>
      <c r="AR157" s="3035"/>
      <c r="AS157" s="3035"/>
      <c r="AT157" s="3035"/>
      <c r="AU157" s="3035"/>
      <c r="AV157" s="3035"/>
      <c r="AW157" s="3035"/>
      <c r="AX157" s="3035"/>
      <c r="AY157" s="3035"/>
      <c r="AZ157" s="3035"/>
      <c r="BA157" s="3035"/>
      <c r="BB157" s="3035"/>
      <c r="BC157" s="3035"/>
      <c r="BD157" s="3035"/>
      <c r="BE157" s="3035"/>
      <c r="BF157" s="3035"/>
      <c r="BG157" s="3035"/>
      <c r="BH157" s="3035"/>
      <c r="BI157" s="3035"/>
      <c r="BJ157" s="3035"/>
      <c r="BK157" s="3035"/>
      <c r="BL157" s="3035"/>
      <c r="BM157" s="3035"/>
      <c r="BN157" s="3035"/>
      <c r="BO157" s="3035"/>
      <c r="BP157" s="3035"/>
      <c r="BQ157" s="3035"/>
      <c r="BR157" s="3035"/>
      <c r="BS157" s="3035"/>
      <c r="BT157" s="3035"/>
      <c r="BU157" s="3035"/>
      <c r="BV157" s="3035"/>
      <c r="BW157" s="3035"/>
      <c r="BX157" s="3035"/>
      <c r="BY157" s="3035"/>
      <c r="BZ157" s="3035"/>
      <c r="CA157" s="3035"/>
      <c r="CB157" s="3035"/>
      <c r="CC157" s="3035"/>
      <c r="CD157" s="3035"/>
      <c r="CE157" s="3035"/>
      <c r="CF157" s="3035"/>
      <c r="CG157" s="3035"/>
      <c r="CH157" s="3035"/>
      <c r="CI157" s="3035"/>
      <c r="CJ157" s="3035"/>
      <c r="CK157" s="3035"/>
      <c r="CL157" s="3035"/>
      <c r="CM157" s="3035"/>
      <c r="CN157" s="3035"/>
      <c r="CO157" s="3035"/>
      <c r="CP157" s="3035"/>
      <c r="CQ157" s="3035"/>
      <c r="CR157" s="3035"/>
      <c r="CS157" s="3035"/>
      <c r="CT157" s="3035"/>
      <c r="CU157" s="3035"/>
      <c r="CV157" s="3035"/>
      <c r="CW157" s="3035"/>
      <c r="CX157" s="3035"/>
      <c r="CY157" s="3035"/>
      <c r="CZ157" s="3113">
        <f ca="1">IFERROR(DA161/CZ161,0)</f>
        <v>0.38925026762624237</v>
      </c>
      <c r="DA157" s="3113">
        <f ca="1">IFERROR(DA161/(CZ170+CZ163),0)</f>
        <v>0.41976843145982123</v>
      </c>
      <c r="DB157" s="9"/>
      <c r="DC157" s="3793"/>
      <c r="DD157" s="3793"/>
      <c r="DH157" s="135" t="s">
        <v>3981</v>
      </c>
      <c r="DJ157" s="2600">
        <f t="shared" ref="DJ157:EO157" ca="1" si="293">DJ24</f>
        <v>91.289574999999999</v>
      </c>
      <c r="DK157" s="2600">
        <f t="shared" ca="1" si="293"/>
        <v>45.579300000000003</v>
      </c>
      <c r="DL157" s="2600">
        <f t="shared" ca="1" si="293"/>
        <v>91.289574999999999</v>
      </c>
      <c r="DM157" s="2600">
        <f t="shared" si="293"/>
        <v>44.405940594059409</v>
      </c>
      <c r="DN157" s="2600">
        <f t="shared" ca="1" si="293"/>
        <v>62.676575000000007</v>
      </c>
      <c r="DO157" s="2600">
        <f t="shared" ca="1" si="293"/>
        <v>91.289574999999999</v>
      </c>
      <c r="DP157" s="2600">
        <f t="shared" ca="1" si="293"/>
        <v>80.710825</v>
      </c>
      <c r="DQ157" s="2600">
        <f t="shared" ca="1" si="293"/>
        <v>52.964275000000001</v>
      </c>
      <c r="DR157" s="2600">
        <f t="shared" ca="1" si="293"/>
        <v>47.241675000000001</v>
      </c>
      <c r="DS157" s="2600">
        <f t="shared" ca="1" si="293"/>
        <v>47.241675000000001</v>
      </c>
      <c r="DT157" s="2600">
        <f t="shared" si="293"/>
        <v>0</v>
      </c>
      <c r="DU157" s="2600">
        <f t="shared" si="293"/>
        <v>0</v>
      </c>
      <c r="DV157" s="2600">
        <f t="shared" si="293"/>
        <v>0</v>
      </c>
      <c r="DW157" s="2600">
        <f t="shared" si="293"/>
        <v>0</v>
      </c>
      <c r="DX157" s="2600">
        <f t="shared" si="293"/>
        <v>0</v>
      </c>
      <c r="DY157" s="2600">
        <f t="shared" si="293"/>
        <v>0</v>
      </c>
      <c r="DZ157" s="2600">
        <f t="shared" si="293"/>
        <v>0</v>
      </c>
      <c r="EA157" s="2600">
        <f t="shared" si="293"/>
        <v>0</v>
      </c>
      <c r="EB157" s="2600">
        <f t="shared" si="293"/>
        <v>0</v>
      </c>
      <c r="EC157" s="2600">
        <f t="shared" si="293"/>
        <v>0</v>
      </c>
      <c r="ED157" s="2600">
        <f t="shared" si="293"/>
        <v>0</v>
      </c>
      <c r="EE157" s="2600">
        <f t="shared" si="293"/>
        <v>0</v>
      </c>
      <c r="EF157" s="2600">
        <f t="shared" si="293"/>
        <v>0</v>
      </c>
      <c r="EG157" s="2600">
        <f t="shared" si="293"/>
        <v>0</v>
      </c>
      <c r="EH157" s="2600">
        <f t="shared" si="293"/>
        <v>0</v>
      </c>
      <c r="EI157" s="2600">
        <f t="shared" si="293"/>
        <v>0</v>
      </c>
      <c r="EJ157" s="2600">
        <f t="shared" si="293"/>
        <v>0</v>
      </c>
      <c r="EK157" s="2600">
        <f t="shared" si="293"/>
        <v>0</v>
      </c>
      <c r="EL157" s="2600">
        <f t="shared" si="293"/>
        <v>0</v>
      </c>
      <c r="EM157" s="2600">
        <f t="shared" si="293"/>
        <v>0</v>
      </c>
      <c r="EN157" s="2600">
        <f t="shared" si="293"/>
        <v>0</v>
      </c>
      <c r="EO157" s="2600">
        <f t="shared" si="293"/>
        <v>0</v>
      </c>
      <c r="EP157" s="2600">
        <f t="shared" ref="EP157:FG157" si="294">EP24</f>
        <v>0</v>
      </c>
      <c r="EQ157" s="2600">
        <f t="shared" si="294"/>
        <v>0</v>
      </c>
      <c r="ER157" s="2600">
        <f t="shared" si="294"/>
        <v>0</v>
      </c>
      <c r="ES157" s="2600">
        <f t="shared" si="294"/>
        <v>0</v>
      </c>
      <c r="ET157" s="2600">
        <f t="shared" si="294"/>
        <v>0</v>
      </c>
      <c r="EU157" s="2600">
        <f t="shared" si="294"/>
        <v>0</v>
      </c>
      <c r="EV157" s="2600">
        <f t="shared" si="294"/>
        <v>0</v>
      </c>
      <c r="EW157" s="2600">
        <f t="shared" si="294"/>
        <v>0</v>
      </c>
      <c r="EX157" s="2600">
        <f t="shared" si="294"/>
        <v>0</v>
      </c>
      <c r="EY157" s="2600">
        <f t="shared" si="294"/>
        <v>0</v>
      </c>
      <c r="EZ157" s="2600">
        <f t="shared" si="294"/>
        <v>0</v>
      </c>
      <c r="FA157" s="2600">
        <f t="shared" si="294"/>
        <v>0</v>
      </c>
      <c r="FB157" s="2600">
        <f t="shared" si="294"/>
        <v>0</v>
      </c>
      <c r="FC157" s="2600">
        <f t="shared" si="294"/>
        <v>0</v>
      </c>
      <c r="FD157" s="2600">
        <f t="shared" si="294"/>
        <v>0</v>
      </c>
      <c r="FE157" s="2600">
        <f t="shared" si="294"/>
        <v>0</v>
      </c>
      <c r="FF157" s="2600">
        <f t="shared" si="294"/>
        <v>0</v>
      </c>
      <c r="FG157" s="2601">
        <f t="shared" si="294"/>
        <v>0</v>
      </c>
      <c r="FH157" s="3783" t="s">
        <v>749</v>
      </c>
      <c r="FI157" s="121"/>
      <c r="FJ157" s="132"/>
      <c r="FK157" s="132"/>
      <c r="FL157" s="6"/>
      <c r="FM157" s="6"/>
      <c r="FN157" s="6"/>
      <c r="FO157" s="224"/>
      <c r="FP157" s="224"/>
      <c r="FQ157" s="224"/>
      <c r="FR157" s="224"/>
      <c r="FS157" s="224"/>
      <c r="FT157" s="224"/>
      <c r="FU157" s="224"/>
      <c r="FV157" s="224"/>
      <c r="FW157" s="224"/>
      <c r="FX157" s="224"/>
      <c r="FY157" s="234"/>
      <c r="FZ157" s="234"/>
      <c r="GA157" s="234"/>
      <c r="GB157" s="234"/>
      <c r="GC157" s="234"/>
      <c r="GD157" s="224"/>
      <c r="GE157" s="224"/>
      <c r="GF157" s="224"/>
      <c r="GG157" s="224"/>
      <c r="GH157" s="224"/>
      <c r="GI157" s="224"/>
      <c r="GJ157" s="224"/>
      <c r="GK157" s="224"/>
      <c r="GL157" s="224"/>
      <c r="GM157" s="224"/>
      <c r="GN157" s="120"/>
      <c r="GO157" s="3779"/>
      <c r="GP157" s="3650"/>
      <c r="GQ157" s="3651"/>
      <c r="GR157" s="3652"/>
      <c r="GS157" s="183"/>
      <c r="GT157" s="3781"/>
      <c r="GU157" s="3776"/>
      <c r="GV157" s="3776"/>
      <c r="GW157" s="3776"/>
      <c r="GX157" s="3776"/>
      <c r="GY157" s="3776"/>
      <c r="GZ157" s="3776"/>
      <c r="HA157" s="3776"/>
      <c r="HB157" s="3776"/>
      <c r="HC157" s="3776"/>
      <c r="HD157" s="3776"/>
      <c r="HE157" s="3776"/>
      <c r="HF157" s="3776"/>
      <c r="HG157" s="3776"/>
      <c r="HH157" s="3776"/>
      <c r="HI157" s="3776"/>
      <c r="HJ157" s="3776"/>
      <c r="HK157" s="3776"/>
      <c r="HL157" s="3776"/>
      <c r="HM157" s="3776"/>
      <c r="HN157" s="3776"/>
      <c r="HO157" s="3776"/>
      <c r="HP157" s="3776"/>
      <c r="HQ157" s="3776"/>
      <c r="HR157" s="3776"/>
      <c r="HS157" s="3776"/>
      <c r="HT157" s="3776"/>
      <c r="HU157" s="3776"/>
      <c r="HV157" s="3776"/>
      <c r="HW157" s="3776"/>
      <c r="HX157" s="3776"/>
      <c r="HY157" s="3776"/>
      <c r="HZ157" s="3776"/>
      <c r="IA157" s="3776"/>
      <c r="IB157" s="3776"/>
      <c r="IC157" s="3776"/>
      <c r="ID157" s="3776"/>
      <c r="IE157" s="3776"/>
      <c r="IF157" s="3776"/>
      <c r="IG157" s="3776"/>
      <c r="IH157" s="3776"/>
      <c r="II157" s="3776"/>
      <c r="IJ157" s="3776"/>
      <c r="IK157" s="3776"/>
      <c r="IL157" s="3776"/>
      <c r="IM157" s="3776"/>
      <c r="IN157" s="3776"/>
      <c r="IO157" s="3776"/>
      <c r="IP157" s="3776"/>
      <c r="IQ157" s="3776"/>
      <c r="IR157" s="3776"/>
      <c r="IS157" s="3776"/>
      <c r="IT157" s="3776"/>
      <c r="IU157" s="3776"/>
      <c r="IV157" s="3776"/>
      <c r="IW157" s="3776"/>
      <c r="IX157" s="3776"/>
      <c r="IY157" s="3776"/>
      <c r="IZ157" s="3776"/>
      <c r="JA157" s="3776"/>
      <c r="JB157" s="3776"/>
      <c r="JC157" s="3776"/>
      <c r="JD157" s="3776"/>
      <c r="JE157" s="3776"/>
      <c r="JF157" s="3776"/>
      <c r="JG157" s="3776"/>
      <c r="JH157" s="3776"/>
      <c r="JI157" s="3776"/>
      <c r="JJ157" s="3776"/>
      <c r="JK157" s="3776"/>
      <c r="JL157" s="3776"/>
      <c r="JM157" s="3776"/>
      <c r="JN157" s="3776"/>
      <c r="JO157" s="3776"/>
      <c r="JP157" s="3776"/>
      <c r="JQ157" s="3776"/>
      <c r="JR157" s="3776"/>
      <c r="JS157" s="3776"/>
      <c r="JT157" s="3776"/>
      <c r="JU157" s="3776"/>
      <c r="JV157" s="3776"/>
      <c r="JW157" s="3776"/>
      <c r="JX157" s="3776"/>
      <c r="JY157" s="3776"/>
      <c r="JZ157" s="3776"/>
      <c r="KA157" s="3776"/>
      <c r="KB157" s="3776"/>
      <c r="KC157" s="3776"/>
      <c r="KD157" s="3776"/>
      <c r="KE157" s="3776"/>
      <c r="KF157" s="3776"/>
      <c r="KG157" s="3776"/>
      <c r="KH157" s="3776"/>
      <c r="KI157" s="3776"/>
      <c r="KJ157" s="3776"/>
      <c r="KK157" s="3776"/>
      <c r="KL157" s="3776"/>
      <c r="KM157" s="3776"/>
      <c r="KN157" s="3776"/>
      <c r="KO157" s="3776"/>
      <c r="KP157" s="3776"/>
      <c r="KQ157" s="3776"/>
      <c r="KR157" s="3776"/>
      <c r="KS157" s="3776"/>
      <c r="KT157" s="3776"/>
      <c r="KU157" s="3776"/>
      <c r="KV157" s="3776"/>
      <c r="KW157" s="3776"/>
      <c r="KX157" s="3776"/>
      <c r="KY157" s="3776"/>
      <c r="KZ157" s="3776"/>
      <c r="LA157" s="3776"/>
      <c r="LB157" s="3776"/>
      <c r="LC157" s="3776"/>
      <c r="LD157" s="3776"/>
      <c r="LE157" s="3776"/>
      <c r="LF157" s="3776"/>
      <c r="LG157" s="3776"/>
      <c r="LH157" s="3776"/>
      <c r="LI157" s="3776"/>
      <c r="LJ157" s="3776"/>
      <c r="LK157" s="3776"/>
      <c r="LL157" s="3776"/>
      <c r="LM157" s="3776"/>
      <c r="LN157" s="3776"/>
      <c r="LO157" s="3776"/>
      <c r="LP157" s="3778"/>
      <c r="LQ157" s="3137"/>
      <c r="LR157" s="183"/>
    </row>
    <row r="158" spans="1:330" ht="5.0999999999999996" customHeight="1" thickBot="1" x14ac:dyDescent="0.35">
      <c r="A158" s="281"/>
      <c r="B158" s="298"/>
      <c r="C158" s="1776"/>
      <c r="D158" s="1776"/>
      <c r="E158" s="1776"/>
      <c r="F158" s="1776"/>
      <c r="G158" s="1776"/>
      <c r="H158" s="1776"/>
      <c r="I158" s="1776"/>
      <c r="J158" s="9"/>
      <c r="K158" s="9"/>
      <c r="L158" s="615"/>
      <c r="M158" s="615"/>
      <c r="N158" s="615"/>
      <c r="O158" s="615"/>
      <c r="P158" s="615"/>
      <c r="Q158" s="615"/>
      <c r="R158" s="1172"/>
      <c r="DB158" s="9"/>
      <c r="DC158" s="1806"/>
      <c r="DD158" s="9"/>
      <c r="DE158" s="6"/>
      <c r="DF158" s="6"/>
      <c r="DG158" s="6"/>
      <c r="DH158" s="6"/>
      <c r="DI158" s="4"/>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3783"/>
      <c r="FI158" s="6"/>
      <c r="FJ158" s="132"/>
      <c r="FK158" s="132"/>
      <c r="FL158" s="6"/>
      <c r="FM158" s="6"/>
      <c r="FN158" s="6"/>
      <c r="FO158" s="224"/>
      <c r="FP158" s="224"/>
      <c r="FQ158" s="224"/>
      <c r="FR158" s="224"/>
      <c r="FS158" s="224"/>
      <c r="FT158" s="224"/>
      <c r="FU158" s="224"/>
      <c r="FV158" s="224"/>
      <c r="FW158" s="224"/>
      <c r="FX158" s="224"/>
      <c r="FY158" s="225"/>
      <c r="FZ158" s="225"/>
      <c r="GA158" s="225"/>
      <c r="GB158" s="225"/>
      <c r="GC158" s="225"/>
      <c r="GD158" s="224"/>
      <c r="GE158" s="224"/>
      <c r="GF158" s="224"/>
      <c r="GG158" s="224"/>
      <c r="GH158" s="224"/>
      <c r="GI158" s="224"/>
      <c r="GJ158" s="224"/>
      <c r="GK158" s="224"/>
      <c r="GL158" s="224"/>
      <c r="GM158" s="224"/>
      <c r="GN158" s="120"/>
      <c r="GO158" s="66"/>
      <c r="GP158" s="1173"/>
      <c r="GQ158" s="1173"/>
      <c r="GR158" s="1173"/>
      <c r="GS158" s="183"/>
      <c r="GT158" s="183"/>
      <c r="GU158" s="183"/>
      <c r="GV158" s="183"/>
      <c r="GW158" s="183"/>
      <c r="GX158" s="183"/>
      <c r="GY158" s="183"/>
      <c r="GZ158" s="183"/>
      <c r="HA158" s="183"/>
      <c r="HB158" s="183"/>
      <c r="HC158" s="183"/>
      <c r="HD158" s="183"/>
      <c r="HE158" s="183"/>
      <c r="HF158" s="183"/>
      <c r="HG158" s="183"/>
      <c r="HH158" s="183"/>
      <c r="HI158" s="183"/>
      <c r="HJ158" s="183"/>
      <c r="HK158" s="183"/>
      <c r="HL158" s="183"/>
      <c r="HM158" s="183"/>
      <c r="HN158" s="183"/>
      <c r="HO158" s="183"/>
      <c r="HP158" s="183"/>
      <c r="HQ158" s="183"/>
      <c r="HR158" s="183"/>
      <c r="HS158" s="183"/>
      <c r="HT158" s="183"/>
      <c r="HU158" s="183"/>
      <c r="HV158" s="183"/>
      <c r="HW158" s="183"/>
      <c r="HX158" s="183"/>
      <c r="HY158" s="183"/>
      <c r="HZ158" s="183"/>
      <c r="IA158" s="183"/>
      <c r="IB158" s="183"/>
      <c r="IC158" s="183"/>
      <c r="ID158" s="183"/>
      <c r="IE158" s="183"/>
      <c r="IF158" s="183"/>
      <c r="IG158" s="183"/>
      <c r="IH158" s="183"/>
      <c r="II158" s="183"/>
      <c r="IJ158" s="183"/>
      <c r="IK158" s="183"/>
      <c r="IL158" s="183"/>
      <c r="IM158" s="183"/>
      <c r="IN158" s="183"/>
      <c r="IO158" s="183"/>
      <c r="IP158" s="183"/>
      <c r="IQ158" s="183"/>
      <c r="IR158" s="183"/>
      <c r="IS158" s="183"/>
      <c r="IT158" s="183"/>
      <c r="IU158" s="183"/>
      <c r="IV158" s="183"/>
      <c r="IW158" s="183"/>
      <c r="IX158" s="183"/>
      <c r="IY158" s="183"/>
      <c r="IZ158" s="183"/>
      <c r="JA158" s="183"/>
      <c r="JB158" s="183"/>
      <c r="JC158" s="183"/>
      <c r="JD158" s="183"/>
      <c r="JE158" s="183"/>
      <c r="JF158" s="183"/>
      <c r="JG158" s="183"/>
      <c r="JH158" s="183"/>
      <c r="JI158" s="183"/>
      <c r="JJ158" s="183"/>
      <c r="JK158" s="183"/>
      <c r="JL158" s="183"/>
      <c r="JM158" s="183"/>
      <c r="JN158" s="183"/>
      <c r="JO158" s="183"/>
      <c r="JP158" s="183"/>
      <c r="JQ158" s="183"/>
      <c r="JR158" s="183"/>
      <c r="JS158" s="183"/>
      <c r="JT158" s="183"/>
      <c r="JU158" s="183"/>
      <c r="JV158" s="183"/>
      <c r="JW158" s="183"/>
      <c r="JX158" s="183"/>
      <c r="JY158" s="183"/>
      <c r="JZ158" s="183"/>
      <c r="KA158" s="183"/>
      <c r="KB158" s="183"/>
      <c r="KC158" s="183"/>
      <c r="KD158" s="183"/>
      <c r="KE158" s="183"/>
      <c r="KF158" s="183"/>
      <c r="KG158" s="183"/>
      <c r="KH158" s="183"/>
      <c r="KI158" s="183"/>
      <c r="KJ158" s="183"/>
      <c r="KK158" s="183"/>
      <c r="KL158" s="183"/>
      <c r="KM158" s="183"/>
      <c r="KN158" s="183"/>
      <c r="KO158" s="183"/>
      <c r="KP158" s="183"/>
      <c r="KQ158" s="183"/>
      <c r="KR158" s="183"/>
      <c r="KS158" s="183"/>
      <c r="KT158" s="183"/>
      <c r="KU158" s="183"/>
      <c r="KV158" s="183"/>
      <c r="KW158" s="183"/>
      <c r="KX158" s="183"/>
      <c r="KY158" s="183"/>
      <c r="KZ158" s="183"/>
      <c r="LA158" s="183"/>
      <c r="LB158" s="183"/>
      <c r="LC158" s="183"/>
      <c r="LD158" s="183"/>
      <c r="LE158" s="183"/>
      <c r="LF158" s="183"/>
      <c r="LG158" s="183"/>
      <c r="LH158" s="183"/>
      <c r="LI158" s="183"/>
      <c r="LJ158" s="183"/>
      <c r="LK158" s="183"/>
      <c r="LL158" s="183"/>
      <c r="LM158" s="183"/>
      <c r="LN158" s="183"/>
      <c r="LO158" s="183"/>
      <c r="LP158" s="183"/>
      <c r="LQ158" s="3137"/>
    </row>
    <row r="159" spans="1:330" ht="50.1" customHeight="1" thickTop="1" thickBot="1" x14ac:dyDescent="0.35">
      <c r="A159" s="280"/>
      <c r="B159" s="297"/>
      <c r="C159" s="1776"/>
      <c r="D159" s="1776"/>
      <c r="E159" s="1776"/>
      <c r="F159" s="1776"/>
      <c r="G159" s="1776"/>
      <c r="H159" s="1776"/>
      <c r="I159" s="1776"/>
      <c r="J159" s="6"/>
      <c r="K159" s="6"/>
      <c r="L159" s="615"/>
      <c r="M159" s="615"/>
      <c r="N159" s="615"/>
      <c r="O159" s="615"/>
      <c r="P159" s="2996"/>
      <c r="Q159" s="2997" t="str">
        <f>INDEX(P3:P5,O3)</f>
        <v>Value of Change:</v>
      </c>
      <c r="R159" s="3043" t="str">
        <f>IFERROR('1 Setup'!I60,"")</f>
        <v>GBP</v>
      </c>
      <c r="S159" s="3738">
        <f ca="1">CZ161</f>
        <v>73862.781824999998</v>
      </c>
      <c r="T159" s="3739"/>
      <c r="U159" s="3739"/>
      <c r="V159" s="3739"/>
      <c r="W159" s="3739"/>
      <c r="X159" s="3739"/>
      <c r="Y159" s="3739"/>
      <c r="Z159" s="3739"/>
      <c r="AA159" s="3739"/>
      <c r="AB159" s="3739"/>
      <c r="AC159" s="3739"/>
      <c r="AD159" s="3739"/>
      <c r="AE159" s="3739"/>
      <c r="AF159" s="3739"/>
      <c r="AG159" s="3739"/>
      <c r="AH159" s="3739"/>
      <c r="AI159" s="3739"/>
      <c r="AJ159" s="3739"/>
      <c r="AK159" s="3739"/>
      <c r="AL159" s="3739"/>
      <c r="AM159" s="3739"/>
      <c r="AN159" s="3739"/>
      <c r="AO159" s="3739"/>
      <c r="AP159" s="3739"/>
      <c r="AQ159" s="3739"/>
      <c r="AR159" s="3739"/>
      <c r="AS159" s="3739"/>
      <c r="AT159" s="3739"/>
      <c r="AU159" s="3739"/>
      <c r="AV159" s="3739"/>
      <c r="AW159" s="3739"/>
      <c r="AX159" s="3739"/>
      <c r="AY159" s="3739"/>
      <c r="AZ159" s="3739"/>
      <c r="BA159" s="3739"/>
      <c r="BB159" s="3739"/>
      <c r="BC159" s="3739"/>
      <c r="BD159" s="3739"/>
      <c r="BE159" s="3739"/>
      <c r="BF159" s="3739"/>
      <c r="BG159" s="3739"/>
      <c r="BH159" s="3739"/>
      <c r="BI159" s="3739"/>
      <c r="BJ159" s="3739"/>
      <c r="BK159" s="3739"/>
      <c r="BL159" s="3739"/>
      <c r="BM159" s="3739"/>
      <c r="BN159" s="3739"/>
      <c r="BO159" s="3739"/>
      <c r="BP159" s="3739"/>
      <c r="BQ159" s="3739"/>
      <c r="BR159" s="3739"/>
      <c r="BS159" s="3739"/>
      <c r="BT159" s="3739"/>
      <c r="BU159" s="3739"/>
      <c r="BV159" s="3739"/>
      <c r="BW159" s="3739"/>
      <c r="BX159" s="3739"/>
      <c r="BY159" s="3739"/>
      <c r="BZ159" s="3739"/>
      <c r="CA159" s="3739"/>
      <c r="CB159" s="3739"/>
      <c r="CC159" s="3739"/>
      <c r="CD159" s="3739"/>
      <c r="CE159" s="3739"/>
      <c r="CF159" s="3739"/>
      <c r="CG159" s="3739"/>
      <c r="CH159" s="3739"/>
      <c r="CI159" s="3739"/>
      <c r="CJ159" s="3739"/>
      <c r="CK159" s="3739"/>
      <c r="CL159" s="3739"/>
      <c r="CM159" s="3739"/>
      <c r="CN159" s="3739"/>
      <c r="CO159" s="3739"/>
      <c r="CP159" s="3739"/>
      <c r="CQ159" s="3739"/>
      <c r="CR159" s="3739"/>
      <c r="CS159" s="3739"/>
      <c r="CT159" s="3739"/>
      <c r="CU159" s="3739"/>
      <c r="CV159" s="3739"/>
      <c r="CW159" s="3739"/>
      <c r="CX159" s="3739"/>
      <c r="CY159" s="3739"/>
      <c r="CZ159" s="3739"/>
      <c r="DA159" s="3740"/>
      <c r="DC159" s="3728" t="str">
        <f>IF($C$7&lt;&gt;"F","",IF(DC161=0,S3,IF(FM5=1,S4,S5)))</f>
        <v/>
      </c>
      <c r="DD159" s="619"/>
      <c r="DE159" s="116"/>
      <c r="DF159" s="1833"/>
      <c r="DG159" s="268"/>
      <c r="DH159" s="67" t="s">
        <v>116</v>
      </c>
      <c r="DI159" s="5"/>
      <c r="DJ159" s="995">
        <f t="shared" ref="DJ159:EO159" si="295">DJ16*(1+$Q$163)</f>
        <v>0</v>
      </c>
      <c r="DK159" s="996">
        <f t="shared" si="295"/>
        <v>64</v>
      </c>
      <c r="DL159" s="996">
        <f t="shared" si="295"/>
        <v>39</v>
      </c>
      <c r="DM159" s="996">
        <f t="shared" si="295"/>
        <v>0</v>
      </c>
      <c r="DN159" s="996">
        <f t="shared" si="295"/>
        <v>6</v>
      </c>
      <c r="DO159" s="996">
        <f t="shared" si="295"/>
        <v>0</v>
      </c>
      <c r="DP159" s="996">
        <f t="shared" si="295"/>
        <v>6</v>
      </c>
      <c r="DQ159" s="996">
        <f t="shared" si="295"/>
        <v>384</v>
      </c>
      <c r="DR159" s="996">
        <f t="shared" si="295"/>
        <v>384</v>
      </c>
      <c r="DS159" s="996">
        <f t="shared" si="295"/>
        <v>480</v>
      </c>
      <c r="DT159" s="996">
        <f t="shared" si="295"/>
        <v>0</v>
      </c>
      <c r="DU159" s="996">
        <f t="shared" si="295"/>
        <v>0</v>
      </c>
      <c r="DV159" s="996">
        <f t="shared" si="295"/>
        <v>0</v>
      </c>
      <c r="DW159" s="996">
        <f t="shared" si="295"/>
        <v>0</v>
      </c>
      <c r="DX159" s="996">
        <f t="shared" si="295"/>
        <v>0</v>
      </c>
      <c r="DY159" s="996">
        <f t="shared" si="295"/>
        <v>0</v>
      </c>
      <c r="DZ159" s="996">
        <f t="shared" si="295"/>
        <v>0</v>
      </c>
      <c r="EA159" s="996">
        <f t="shared" si="295"/>
        <v>0</v>
      </c>
      <c r="EB159" s="996">
        <f t="shared" si="295"/>
        <v>0</v>
      </c>
      <c r="EC159" s="996">
        <f t="shared" si="295"/>
        <v>0</v>
      </c>
      <c r="ED159" s="996">
        <f t="shared" si="295"/>
        <v>0</v>
      </c>
      <c r="EE159" s="996">
        <f t="shared" si="295"/>
        <v>0</v>
      </c>
      <c r="EF159" s="996">
        <f t="shared" si="295"/>
        <v>0</v>
      </c>
      <c r="EG159" s="996">
        <f t="shared" si="295"/>
        <v>0</v>
      </c>
      <c r="EH159" s="996">
        <f t="shared" si="295"/>
        <v>0</v>
      </c>
      <c r="EI159" s="996">
        <f t="shared" si="295"/>
        <v>0</v>
      </c>
      <c r="EJ159" s="996">
        <f t="shared" si="295"/>
        <v>0</v>
      </c>
      <c r="EK159" s="996">
        <f t="shared" si="295"/>
        <v>0</v>
      </c>
      <c r="EL159" s="996">
        <f t="shared" si="295"/>
        <v>0</v>
      </c>
      <c r="EM159" s="996">
        <f t="shared" si="295"/>
        <v>0</v>
      </c>
      <c r="EN159" s="996">
        <f t="shared" si="295"/>
        <v>0</v>
      </c>
      <c r="EO159" s="996">
        <f t="shared" si="295"/>
        <v>0</v>
      </c>
      <c r="EP159" s="996">
        <f t="shared" ref="EP159:FG159" si="296">EP16*(1+$Q$163)</f>
        <v>0</v>
      </c>
      <c r="EQ159" s="996">
        <f t="shared" si="296"/>
        <v>0</v>
      </c>
      <c r="ER159" s="996">
        <f t="shared" si="296"/>
        <v>0</v>
      </c>
      <c r="ES159" s="996">
        <f t="shared" si="296"/>
        <v>0</v>
      </c>
      <c r="ET159" s="996">
        <f t="shared" si="296"/>
        <v>0</v>
      </c>
      <c r="EU159" s="996">
        <f t="shared" si="296"/>
        <v>0</v>
      </c>
      <c r="EV159" s="996">
        <f t="shared" si="296"/>
        <v>0</v>
      </c>
      <c r="EW159" s="996">
        <f t="shared" si="296"/>
        <v>0</v>
      </c>
      <c r="EX159" s="996">
        <f t="shared" si="296"/>
        <v>0</v>
      </c>
      <c r="EY159" s="996">
        <f t="shared" si="296"/>
        <v>0</v>
      </c>
      <c r="EZ159" s="996">
        <f t="shared" si="296"/>
        <v>0</v>
      </c>
      <c r="FA159" s="996">
        <f t="shared" si="296"/>
        <v>0</v>
      </c>
      <c r="FB159" s="996">
        <f t="shared" si="296"/>
        <v>0</v>
      </c>
      <c r="FC159" s="996">
        <f t="shared" si="296"/>
        <v>0</v>
      </c>
      <c r="FD159" s="996">
        <f t="shared" si="296"/>
        <v>0</v>
      </c>
      <c r="FE159" s="996">
        <f t="shared" si="296"/>
        <v>0</v>
      </c>
      <c r="FF159" s="996">
        <f t="shared" si="296"/>
        <v>0</v>
      </c>
      <c r="FG159" s="997">
        <f t="shared" si="296"/>
        <v>0</v>
      </c>
      <c r="FH159" s="3783"/>
      <c r="FI159" s="122"/>
      <c r="FJ159" s="132"/>
      <c r="FK159" s="132"/>
      <c r="FL159" s="6"/>
      <c r="FM159" s="6"/>
      <c r="FN159" s="6"/>
      <c r="FO159" s="224"/>
      <c r="FP159" s="224"/>
      <c r="FQ159" s="224"/>
      <c r="FR159" s="224"/>
      <c r="FS159" s="224"/>
      <c r="FT159" s="224"/>
      <c r="FU159" s="224"/>
      <c r="FV159" s="224"/>
      <c r="FW159" s="224"/>
      <c r="FX159" s="224"/>
      <c r="FY159" s="225"/>
      <c r="FZ159" s="225"/>
      <c r="GA159" s="225"/>
      <c r="GB159" s="225"/>
      <c r="GC159" s="225"/>
      <c r="GD159" s="224"/>
      <c r="GE159" s="224"/>
      <c r="GF159" s="224"/>
      <c r="GG159" s="224"/>
      <c r="GH159" s="224"/>
      <c r="GI159" s="224"/>
      <c r="GJ159" s="224"/>
      <c r="GK159" s="224"/>
      <c r="GL159" s="224"/>
      <c r="GM159" s="224"/>
      <c r="GN159" s="3655" t="s">
        <v>4192</v>
      </c>
      <c r="GO159" s="3656"/>
      <c r="GP159" s="3666">
        <f ca="1">SUM(GT159:QJ159)</f>
        <v>73862.781824999998</v>
      </c>
      <c r="GQ159" s="3667"/>
      <c r="GR159" s="3668"/>
      <c r="GS159" s="184"/>
      <c r="GT159" s="3144">
        <f ca="1">GT4+GT6+GT7+GT13</f>
        <v>6155.2318187499995</v>
      </c>
      <c r="GU159" s="3145">
        <f t="shared" ref="GU159:JF159" ca="1" si="297">GU4+GU6+GU7+GU13</f>
        <v>6155.2318187499995</v>
      </c>
      <c r="GV159" s="3145">
        <f t="shared" ca="1" si="297"/>
        <v>6155.2318187499995</v>
      </c>
      <c r="GW159" s="3145">
        <f t="shared" ca="1" si="297"/>
        <v>6155.2318187499995</v>
      </c>
      <c r="GX159" s="3145">
        <f t="shared" ca="1" si="297"/>
        <v>6155.2318187499995</v>
      </c>
      <c r="GY159" s="3145">
        <f t="shared" ca="1" si="297"/>
        <v>6155.2318187499995</v>
      </c>
      <c r="GZ159" s="3145">
        <f t="shared" ca="1" si="297"/>
        <v>6155.2318187499995</v>
      </c>
      <c r="HA159" s="3145">
        <f t="shared" ca="1" si="297"/>
        <v>6155.2318187499995</v>
      </c>
      <c r="HB159" s="3145">
        <f t="shared" ca="1" si="297"/>
        <v>6155.2318187499995</v>
      </c>
      <c r="HC159" s="3145">
        <f t="shared" ca="1" si="297"/>
        <v>6155.2318187499995</v>
      </c>
      <c r="HD159" s="3145">
        <f t="shared" ca="1" si="297"/>
        <v>6155.2318187499995</v>
      </c>
      <c r="HE159" s="3145">
        <f t="shared" ca="1" si="297"/>
        <v>6155.2318187499995</v>
      </c>
      <c r="HF159" s="3145">
        <f t="shared" ca="1" si="297"/>
        <v>0</v>
      </c>
      <c r="HG159" s="3145">
        <f t="shared" ca="1" si="297"/>
        <v>0</v>
      </c>
      <c r="HH159" s="3145">
        <f t="shared" ca="1" si="297"/>
        <v>0</v>
      </c>
      <c r="HI159" s="3145">
        <f t="shared" ca="1" si="297"/>
        <v>0</v>
      </c>
      <c r="HJ159" s="3145">
        <f t="shared" ca="1" si="297"/>
        <v>0</v>
      </c>
      <c r="HK159" s="3145">
        <f t="shared" ca="1" si="297"/>
        <v>0</v>
      </c>
      <c r="HL159" s="3145">
        <f t="shared" ca="1" si="297"/>
        <v>0</v>
      </c>
      <c r="HM159" s="3145">
        <f t="shared" ca="1" si="297"/>
        <v>0</v>
      </c>
      <c r="HN159" s="3145">
        <f t="shared" ca="1" si="297"/>
        <v>0</v>
      </c>
      <c r="HO159" s="3145">
        <f t="shared" ca="1" si="297"/>
        <v>0</v>
      </c>
      <c r="HP159" s="3145">
        <f t="shared" ca="1" si="297"/>
        <v>0</v>
      </c>
      <c r="HQ159" s="3145">
        <f t="shared" ca="1" si="297"/>
        <v>0</v>
      </c>
      <c r="HR159" s="3145">
        <f t="shared" ca="1" si="297"/>
        <v>0</v>
      </c>
      <c r="HS159" s="3145">
        <f t="shared" ca="1" si="297"/>
        <v>0</v>
      </c>
      <c r="HT159" s="3145">
        <f t="shared" ca="1" si="297"/>
        <v>0</v>
      </c>
      <c r="HU159" s="3145">
        <f t="shared" ca="1" si="297"/>
        <v>0</v>
      </c>
      <c r="HV159" s="3145">
        <f t="shared" ca="1" si="297"/>
        <v>0</v>
      </c>
      <c r="HW159" s="3145">
        <f t="shared" ca="1" si="297"/>
        <v>0</v>
      </c>
      <c r="HX159" s="3145">
        <f t="shared" ca="1" si="297"/>
        <v>0</v>
      </c>
      <c r="HY159" s="3145">
        <f t="shared" ca="1" si="297"/>
        <v>0</v>
      </c>
      <c r="HZ159" s="3145">
        <f t="shared" ca="1" si="297"/>
        <v>0</v>
      </c>
      <c r="IA159" s="3145">
        <f t="shared" ca="1" si="297"/>
        <v>0</v>
      </c>
      <c r="IB159" s="3145">
        <f t="shared" ca="1" si="297"/>
        <v>0</v>
      </c>
      <c r="IC159" s="3145">
        <f t="shared" ca="1" si="297"/>
        <v>0</v>
      </c>
      <c r="ID159" s="3145">
        <f t="shared" ca="1" si="297"/>
        <v>0</v>
      </c>
      <c r="IE159" s="3145">
        <f t="shared" ca="1" si="297"/>
        <v>0</v>
      </c>
      <c r="IF159" s="3145">
        <f t="shared" ca="1" si="297"/>
        <v>0</v>
      </c>
      <c r="IG159" s="3145">
        <f t="shared" ca="1" si="297"/>
        <v>0</v>
      </c>
      <c r="IH159" s="3145">
        <f t="shared" ca="1" si="297"/>
        <v>0</v>
      </c>
      <c r="II159" s="3145">
        <f t="shared" ca="1" si="297"/>
        <v>0</v>
      </c>
      <c r="IJ159" s="3145">
        <f t="shared" ca="1" si="297"/>
        <v>0</v>
      </c>
      <c r="IK159" s="3145">
        <f t="shared" ca="1" si="297"/>
        <v>0</v>
      </c>
      <c r="IL159" s="3145">
        <f t="shared" ca="1" si="297"/>
        <v>0</v>
      </c>
      <c r="IM159" s="3145">
        <f t="shared" ca="1" si="297"/>
        <v>0</v>
      </c>
      <c r="IN159" s="3145">
        <f t="shared" ca="1" si="297"/>
        <v>0</v>
      </c>
      <c r="IO159" s="3145">
        <f t="shared" ca="1" si="297"/>
        <v>0</v>
      </c>
      <c r="IP159" s="3145">
        <f t="shared" ca="1" si="297"/>
        <v>0</v>
      </c>
      <c r="IQ159" s="3145">
        <f t="shared" ca="1" si="297"/>
        <v>0</v>
      </c>
      <c r="IR159" s="3145">
        <f t="shared" ca="1" si="297"/>
        <v>0</v>
      </c>
      <c r="IS159" s="3145">
        <f t="shared" ca="1" si="297"/>
        <v>0</v>
      </c>
      <c r="IT159" s="3145">
        <f t="shared" ca="1" si="297"/>
        <v>0</v>
      </c>
      <c r="IU159" s="3145">
        <f t="shared" ca="1" si="297"/>
        <v>0</v>
      </c>
      <c r="IV159" s="3145">
        <f t="shared" ca="1" si="297"/>
        <v>0</v>
      </c>
      <c r="IW159" s="3145">
        <f t="shared" ca="1" si="297"/>
        <v>0</v>
      </c>
      <c r="IX159" s="3145">
        <f t="shared" ca="1" si="297"/>
        <v>0</v>
      </c>
      <c r="IY159" s="3145">
        <f t="shared" ca="1" si="297"/>
        <v>0</v>
      </c>
      <c r="IZ159" s="3145">
        <f t="shared" ca="1" si="297"/>
        <v>0</v>
      </c>
      <c r="JA159" s="3145">
        <f t="shared" ca="1" si="297"/>
        <v>0</v>
      </c>
      <c r="JB159" s="3145">
        <f t="shared" ca="1" si="297"/>
        <v>0</v>
      </c>
      <c r="JC159" s="3145">
        <f t="shared" ca="1" si="297"/>
        <v>0</v>
      </c>
      <c r="JD159" s="3145">
        <f t="shared" ca="1" si="297"/>
        <v>0</v>
      </c>
      <c r="JE159" s="3145">
        <f t="shared" ca="1" si="297"/>
        <v>0</v>
      </c>
      <c r="JF159" s="3145">
        <f t="shared" ca="1" si="297"/>
        <v>0</v>
      </c>
      <c r="JG159" s="3145">
        <f t="shared" ref="JG159:LP159" ca="1" si="298">JG4+JG6+JG7+JG13</f>
        <v>0</v>
      </c>
      <c r="JH159" s="3145">
        <f t="shared" ca="1" si="298"/>
        <v>0</v>
      </c>
      <c r="JI159" s="3145">
        <f t="shared" ca="1" si="298"/>
        <v>0</v>
      </c>
      <c r="JJ159" s="3145">
        <f t="shared" ca="1" si="298"/>
        <v>0</v>
      </c>
      <c r="JK159" s="3145">
        <f t="shared" ca="1" si="298"/>
        <v>0</v>
      </c>
      <c r="JL159" s="3145">
        <f t="shared" ca="1" si="298"/>
        <v>0</v>
      </c>
      <c r="JM159" s="3145">
        <f t="shared" ca="1" si="298"/>
        <v>0</v>
      </c>
      <c r="JN159" s="3145">
        <f t="shared" ca="1" si="298"/>
        <v>0</v>
      </c>
      <c r="JO159" s="3145">
        <f t="shared" ca="1" si="298"/>
        <v>0</v>
      </c>
      <c r="JP159" s="3145">
        <f t="shared" ca="1" si="298"/>
        <v>0</v>
      </c>
      <c r="JQ159" s="3145">
        <f t="shared" ca="1" si="298"/>
        <v>0</v>
      </c>
      <c r="JR159" s="3145">
        <f t="shared" ca="1" si="298"/>
        <v>0</v>
      </c>
      <c r="JS159" s="3145">
        <f t="shared" ca="1" si="298"/>
        <v>0</v>
      </c>
      <c r="JT159" s="3145">
        <f t="shared" ca="1" si="298"/>
        <v>0</v>
      </c>
      <c r="JU159" s="3145">
        <f t="shared" ca="1" si="298"/>
        <v>0</v>
      </c>
      <c r="JV159" s="3145">
        <f t="shared" ca="1" si="298"/>
        <v>0</v>
      </c>
      <c r="JW159" s="3145">
        <f t="shared" ca="1" si="298"/>
        <v>0</v>
      </c>
      <c r="JX159" s="3145">
        <f t="shared" ca="1" si="298"/>
        <v>0</v>
      </c>
      <c r="JY159" s="3145">
        <f t="shared" ca="1" si="298"/>
        <v>0</v>
      </c>
      <c r="JZ159" s="3145">
        <f t="shared" ca="1" si="298"/>
        <v>0</v>
      </c>
      <c r="KA159" s="3145">
        <f t="shared" ca="1" si="298"/>
        <v>0</v>
      </c>
      <c r="KB159" s="3145">
        <f t="shared" ca="1" si="298"/>
        <v>0</v>
      </c>
      <c r="KC159" s="3145">
        <f t="shared" ca="1" si="298"/>
        <v>0</v>
      </c>
      <c r="KD159" s="3145">
        <f t="shared" ca="1" si="298"/>
        <v>0</v>
      </c>
      <c r="KE159" s="3145">
        <f t="shared" ca="1" si="298"/>
        <v>0</v>
      </c>
      <c r="KF159" s="3145">
        <f t="shared" ca="1" si="298"/>
        <v>0</v>
      </c>
      <c r="KG159" s="3145">
        <f t="shared" ca="1" si="298"/>
        <v>0</v>
      </c>
      <c r="KH159" s="3145">
        <f t="shared" ca="1" si="298"/>
        <v>0</v>
      </c>
      <c r="KI159" s="3145">
        <f t="shared" ca="1" si="298"/>
        <v>0</v>
      </c>
      <c r="KJ159" s="3145">
        <f t="shared" ca="1" si="298"/>
        <v>0</v>
      </c>
      <c r="KK159" s="3145">
        <f t="shared" ca="1" si="298"/>
        <v>0</v>
      </c>
      <c r="KL159" s="3145">
        <f t="shared" ca="1" si="298"/>
        <v>0</v>
      </c>
      <c r="KM159" s="3145">
        <f t="shared" ca="1" si="298"/>
        <v>0</v>
      </c>
      <c r="KN159" s="3145">
        <f t="shared" ca="1" si="298"/>
        <v>0</v>
      </c>
      <c r="KO159" s="3145">
        <f t="shared" ca="1" si="298"/>
        <v>0</v>
      </c>
      <c r="KP159" s="3145">
        <f t="shared" ca="1" si="298"/>
        <v>0</v>
      </c>
      <c r="KQ159" s="3145">
        <f t="shared" ca="1" si="298"/>
        <v>0</v>
      </c>
      <c r="KR159" s="3145">
        <f t="shared" ca="1" si="298"/>
        <v>0</v>
      </c>
      <c r="KS159" s="3145">
        <f t="shared" ca="1" si="298"/>
        <v>0</v>
      </c>
      <c r="KT159" s="3145">
        <f t="shared" ca="1" si="298"/>
        <v>0</v>
      </c>
      <c r="KU159" s="3145">
        <f t="shared" ca="1" si="298"/>
        <v>0</v>
      </c>
      <c r="KV159" s="3145">
        <f t="shared" ca="1" si="298"/>
        <v>0</v>
      </c>
      <c r="KW159" s="3145">
        <f t="shared" ca="1" si="298"/>
        <v>0</v>
      </c>
      <c r="KX159" s="3145">
        <f t="shared" ca="1" si="298"/>
        <v>0</v>
      </c>
      <c r="KY159" s="3145">
        <f t="shared" ca="1" si="298"/>
        <v>0</v>
      </c>
      <c r="KZ159" s="3145">
        <f t="shared" ca="1" si="298"/>
        <v>0</v>
      </c>
      <c r="LA159" s="3145">
        <f t="shared" ca="1" si="298"/>
        <v>0</v>
      </c>
      <c r="LB159" s="3145">
        <f t="shared" ca="1" si="298"/>
        <v>0</v>
      </c>
      <c r="LC159" s="3145">
        <f t="shared" ca="1" si="298"/>
        <v>0</v>
      </c>
      <c r="LD159" s="3145">
        <f t="shared" ca="1" si="298"/>
        <v>0</v>
      </c>
      <c r="LE159" s="3145">
        <f t="shared" ca="1" si="298"/>
        <v>0</v>
      </c>
      <c r="LF159" s="3145">
        <f t="shared" ca="1" si="298"/>
        <v>0</v>
      </c>
      <c r="LG159" s="3145">
        <f t="shared" ca="1" si="298"/>
        <v>0</v>
      </c>
      <c r="LH159" s="3145">
        <f t="shared" ca="1" si="298"/>
        <v>0</v>
      </c>
      <c r="LI159" s="3145">
        <f t="shared" ca="1" si="298"/>
        <v>0</v>
      </c>
      <c r="LJ159" s="3145">
        <f t="shared" ca="1" si="298"/>
        <v>0</v>
      </c>
      <c r="LK159" s="3145">
        <f t="shared" ca="1" si="298"/>
        <v>0</v>
      </c>
      <c r="LL159" s="3145">
        <f t="shared" ca="1" si="298"/>
        <v>0</v>
      </c>
      <c r="LM159" s="3145">
        <f t="shared" ca="1" si="298"/>
        <v>0</v>
      </c>
      <c r="LN159" s="3145">
        <f t="shared" ca="1" si="298"/>
        <v>0</v>
      </c>
      <c r="LO159" s="3145">
        <f t="shared" ca="1" si="298"/>
        <v>0</v>
      </c>
      <c r="LP159" s="3146">
        <f t="shared" ca="1" si="298"/>
        <v>0</v>
      </c>
      <c r="LQ159" s="3137"/>
    </row>
    <row r="160" spans="1:330" ht="5.0999999999999996" customHeight="1" thickTop="1" thickBot="1" x14ac:dyDescent="0.35">
      <c r="A160" s="281"/>
      <c r="B160" s="298"/>
      <c r="C160" s="1776"/>
      <c r="D160" s="1776"/>
      <c r="E160" s="1776"/>
      <c r="F160" s="1776"/>
      <c r="G160" s="1776"/>
      <c r="H160" s="1776"/>
      <c r="I160" s="1776"/>
      <c r="J160" s="6"/>
      <c r="K160" s="6"/>
      <c r="L160" s="6"/>
      <c r="M160" s="99"/>
      <c r="N160" s="99"/>
      <c r="O160" s="100"/>
      <c r="P160" s="371"/>
      <c r="Q160" s="371"/>
      <c r="T160" s="641"/>
      <c r="U160" s="641"/>
      <c r="V160" s="641"/>
      <c r="W160" s="641"/>
      <c r="X160" s="641"/>
      <c r="Y160" s="641"/>
      <c r="Z160" s="641"/>
      <c r="AA160" s="641"/>
      <c r="AB160" s="641"/>
      <c r="AC160" s="641"/>
      <c r="AD160" s="641"/>
      <c r="AE160" s="641"/>
      <c r="AF160" s="641"/>
      <c r="AG160" s="641"/>
      <c r="AH160" s="2517"/>
      <c r="AI160" s="641"/>
      <c r="AJ160" s="641"/>
      <c r="AK160" s="641"/>
      <c r="AL160" s="641"/>
      <c r="AM160" s="641"/>
      <c r="AN160" s="641"/>
      <c r="AO160" s="641"/>
      <c r="AP160" s="641"/>
      <c r="AQ160" s="641"/>
      <c r="AR160" s="641"/>
      <c r="AS160" s="641"/>
      <c r="AT160" s="641"/>
      <c r="AU160" s="641"/>
      <c r="AV160" s="641"/>
      <c r="AW160" s="641"/>
      <c r="AX160" s="641"/>
      <c r="AY160" s="641"/>
      <c r="AZ160" s="641"/>
      <c r="BA160" s="641"/>
      <c r="BB160" s="641"/>
      <c r="BC160" s="641"/>
      <c r="BD160" s="641"/>
      <c r="BE160" s="641"/>
      <c r="BF160" s="641"/>
      <c r="BG160" s="641"/>
      <c r="BH160" s="641"/>
      <c r="BI160" s="641"/>
      <c r="BJ160" s="641"/>
      <c r="BK160" s="641"/>
      <c r="BL160" s="641"/>
      <c r="BM160" s="641"/>
      <c r="BN160" s="641"/>
      <c r="BO160" s="641"/>
      <c r="BP160" s="641"/>
      <c r="BQ160" s="641"/>
      <c r="BR160" s="641"/>
      <c r="BS160" s="641"/>
      <c r="BT160" s="641"/>
      <c r="BU160" s="641"/>
      <c r="BV160" s="641"/>
      <c r="BW160" s="641"/>
      <c r="BX160" s="641"/>
      <c r="BY160" s="641"/>
      <c r="BZ160" s="641"/>
      <c r="CA160" s="641"/>
      <c r="CB160" s="641"/>
      <c r="CC160" s="641"/>
      <c r="CD160" s="641"/>
      <c r="CE160" s="641"/>
      <c r="CF160" s="641"/>
      <c r="CG160" s="641"/>
      <c r="CH160" s="641"/>
      <c r="CI160" s="641"/>
      <c r="CJ160" s="641"/>
      <c r="CK160" s="641"/>
      <c r="CL160" s="641"/>
      <c r="CM160" s="641"/>
      <c r="CN160" s="641"/>
      <c r="CO160" s="641"/>
      <c r="CP160" s="641"/>
      <c r="CQ160" s="641"/>
      <c r="CR160" s="641"/>
      <c r="CS160" s="641"/>
      <c r="CT160" s="641"/>
      <c r="CU160" s="641"/>
      <c r="CV160" s="641"/>
      <c r="CW160" s="641"/>
      <c r="CX160" s="641"/>
      <c r="CY160" s="641"/>
      <c r="DB160" s="109"/>
      <c r="DC160" s="3729"/>
      <c r="DD160" s="114"/>
      <c r="DE160" s="117"/>
      <c r="DF160" s="114"/>
      <c r="DG160" s="109"/>
      <c r="DH160" s="109"/>
      <c r="DI160" s="109"/>
      <c r="DJ160" s="3070"/>
      <c r="DK160" s="3070"/>
      <c r="DL160" s="3070"/>
      <c r="DM160" s="3070"/>
      <c r="DN160" s="3070"/>
      <c r="DO160" s="3070"/>
      <c r="DP160" s="3070"/>
      <c r="DQ160" s="3070"/>
      <c r="DR160" s="3070"/>
      <c r="DS160" s="3070"/>
      <c r="DT160" s="3070"/>
      <c r="DU160" s="3070"/>
      <c r="DV160" s="3070"/>
      <c r="DW160" s="3070"/>
      <c r="DX160" s="3070"/>
      <c r="DY160" s="3070"/>
      <c r="DZ160" s="3070"/>
      <c r="EA160" s="3070"/>
      <c r="EB160" s="3070"/>
      <c r="EC160" s="3070"/>
      <c r="ED160" s="3070"/>
      <c r="EE160" s="3070"/>
      <c r="EF160" s="3070"/>
      <c r="EG160" s="3070"/>
      <c r="EH160" s="3070"/>
      <c r="EI160" s="3070"/>
      <c r="EJ160" s="3070"/>
      <c r="EK160" s="3070"/>
      <c r="EL160" s="3070"/>
      <c r="EM160" s="3070"/>
      <c r="EN160" s="3070"/>
      <c r="EO160" s="3070"/>
      <c r="EP160" s="3070"/>
      <c r="EQ160" s="3070"/>
      <c r="ER160" s="3070"/>
      <c r="ES160" s="3070"/>
      <c r="ET160" s="3070"/>
      <c r="EU160" s="3070"/>
      <c r="EV160" s="3070"/>
      <c r="EW160" s="3070"/>
      <c r="EX160" s="3070"/>
      <c r="EY160" s="3070"/>
      <c r="EZ160" s="3070"/>
      <c r="FA160" s="3070"/>
      <c r="FB160" s="3070"/>
      <c r="FC160" s="3070"/>
      <c r="FD160" s="3070"/>
      <c r="FE160" s="3070"/>
      <c r="FF160" s="3070"/>
      <c r="FG160" s="3071"/>
      <c r="FH160" s="3783"/>
      <c r="FI160" s="6"/>
      <c r="FJ160" s="132"/>
      <c r="FK160" s="132"/>
      <c r="FL160" s="6"/>
      <c r="FM160" s="6"/>
      <c r="FN160" s="6"/>
      <c r="FO160" s="224"/>
      <c r="FP160" s="224"/>
      <c r="FQ160" s="224"/>
      <c r="FR160" s="224"/>
      <c r="FS160" s="224"/>
      <c r="FT160" s="224"/>
      <c r="FU160" s="224"/>
      <c r="FV160" s="224"/>
      <c r="FW160" s="224"/>
      <c r="FX160" s="224"/>
      <c r="FY160" s="14"/>
      <c r="FZ160" s="225"/>
      <c r="GA160" s="225"/>
      <c r="GB160" s="225"/>
      <c r="GC160" s="225"/>
      <c r="GD160" s="224"/>
      <c r="GE160" s="224"/>
      <c r="GF160" s="224"/>
      <c r="GG160" s="224"/>
      <c r="GH160" s="224"/>
      <c r="GI160" s="224"/>
      <c r="GJ160" s="224"/>
      <c r="GK160" s="224"/>
      <c r="GL160" s="224"/>
      <c r="GM160" s="224"/>
      <c r="GN160" s="120"/>
      <c r="GO160" s="35"/>
      <c r="GP160" s="35"/>
      <c r="GQ160" s="35"/>
      <c r="GR160" s="133"/>
      <c r="GS160" s="6"/>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3137"/>
    </row>
    <row r="161" spans="1:331" ht="30.75" customHeight="1" thickBot="1" x14ac:dyDescent="0.35">
      <c r="A161" s="280"/>
      <c r="B161" s="297"/>
      <c r="C161" s="1776"/>
      <c r="D161" s="1776"/>
      <c r="E161" s="1776"/>
      <c r="F161" s="1776"/>
      <c r="G161" s="1776"/>
      <c r="H161" s="1776"/>
      <c r="I161" s="1776"/>
      <c r="J161" s="6"/>
      <c r="K161" s="102"/>
      <c r="Q161" s="3039" t="s">
        <v>115</v>
      </c>
      <c r="R161" s="3040">
        <f>IF($C$7="B",SUM(R167:R170),SUM(R163:R170))</f>
        <v>1363</v>
      </c>
      <c r="S161" s="3041">
        <f>IF($C$7="B",SUM(S167:S170),SUM(S167:S170)+S165*G28+S164*G28+S163)</f>
        <v>45111.674231999998</v>
      </c>
      <c r="T161" s="375"/>
      <c r="U161" s="375"/>
      <c r="V161" s="375"/>
      <c r="W161" s="375"/>
      <c r="X161" s="375"/>
      <c r="Y161" s="375"/>
      <c r="Z161" s="375"/>
      <c r="AA161" s="375"/>
      <c r="AB161" s="375"/>
      <c r="AC161" s="375"/>
      <c r="AD161" s="375"/>
      <c r="AE161" s="375"/>
      <c r="AF161" s="375"/>
      <c r="AG161" s="375"/>
      <c r="AH161" s="2518"/>
      <c r="AI161" s="375"/>
      <c r="AJ161" s="375"/>
      <c r="AK161" s="375"/>
      <c r="AL161" s="375"/>
      <c r="AM161" s="375"/>
      <c r="AN161" s="375"/>
      <c r="AO161" s="375"/>
      <c r="AP161" s="375"/>
      <c r="AQ161" s="375"/>
      <c r="AR161" s="375"/>
      <c r="AS161" s="375"/>
      <c r="AT161" s="375"/>
      <c r="AU161" s="375"/>
      <c r="AV161" s="375"/>
      <c r="AW161" s="375"/>
      <c r="AX161" s="375"/>
      <c r="AY161" s="375"/>
      <c r="AZ161" s="375"/>
      <c r="BA161" s="375"/>
      <c r="BB161" s="375"/>
      <c r="BC161" s="375"/>
      <c r="BD161" s="375"/>
      <c r="BE161" s="375"/>
      <c r="BF161" s="375"/>
      <c r="BG161" s="375"/>
      <c r="BH161" s="375"/>
      <c r="BI161" s="375"/>
      <c r="BJ161" s="375"/>
      <c r="BK161" s="375"/>
      <c r="BL161" s="375"/>
      <c r="BM161" s="375"/>
      <c r="BN161" s="375"/>
      <c r="BO161" s="375"/>
      <c r="BP161" s="375"/>
      <c r="BQ161" s="375"/>
      <c r="BR161" s="375"/>
      <c r="BS161" s="375"/>
      <c r="BT161" s="375"/>
      <c r="BU161" s="375"/>
      <c r="BV161" s="375"/>
      <c r="BW161" s="375"/>
      <c r="BX161" s="375"/>
      <c r="BY161" s="375"/>
      <c r="BZ161" s="375"/>
      <c r="CA161" s="375"/>
      <c r="CB161" s="375"/>
      <c r="CC161" s="375"/>
      <c r="CD161" s="375"/>
      <c r="CE161" s="375"/>
      <c r="CF161" s="375"/>
      <c r="CG161" s="375"/>
      <c r="CH161" s="375"/>
      <c r="CI161" s="375"/>
      <c r="CJ161" s="375"/>
      <c r="CK161" s="375"/>
      <c r="CL161" s="375"/>
      <c r="CM161" s="375"/>
      <c r="CN161" s="375"/>
      <c r="CO161" s="375"/>
      <c r="CP161" s="375"/>
      <c r="CQ161" s="375"/>
      <c r="CR161" s="375"/>
      <c r="CS161" s="375"/>
      <c r="CT161" s="375"/>
      <c r="CU161" s="375"/>
      <c r="CV161" s="375"/>
      <c r="CW161" s="375"/>
      <c r="CX161" s="375"/>
      <c r="CY161" s="375"/>
      <c r="CZ161" s="3042">
        <f ca="1">IF($C$7="B",SUM(CZ167:CZ170),SUM(CZ167:CZ170)+CZ166+CZ164*G28+CZ163)</f>
        <v>73862.781824999998</v>
      </c>
      <c r="DA161" s="3031">
        <f ca="1">CZ161-S161</f>
        <v>28751.107593000001</v>
      </c>
      <c r="DB161" s="374"/>
      <c r="DC161" s="2075"/>
      <c r="DD161" s="109"/>
      <c r="DE161" s="6"/>
      <c r="DF161" s="6"/>
      <c r="DG161" s="6"/>
      <c r="DH161" s="83" t="s">
        <v>1723</v>
      </c>
      <c r="DJ161" s="3786">
        <f>IFERROR(INDEX('2 Staff List'!$HW$64:$HW$114,DJ21),"")</f>
        <v>0</v>
      </c>
      <c r="DK161" s="3782">
        <f>IFERROR(INDEX('2 Staff List'!$HW$64:$HW$114,DK21),"")</f>
        <v>0</v>
      </c>
      <c r="DL161" s="3782">
        <f>IFERROR(INDEX('2 Staff List'!$HW$64:$HW$114,DL21),"")</f>
        <v>0</v>
      </c>
      <c r="DM161" s="3782">
        <f>IFERROR(INDEX('2 Staff List'!$HW$64:$HW$114,DM21),"")</f>
        <v>0</v>
      </c>
      <c r="DN161" s="3782">
        <f>IFERROR(INDEX('2 Staff List'!$HW$64:$HW$114,DN21),"")</f>
        <v>0</v>
      </c>
      <c r="DO161" s="3782">
        <f>IFERROR(INDEX('2 Staff List'!$HW$64:$HW$114,DO21),"")</f>
        <v>0</v>
      </c>
      <c r="DP161" s="3782">
        <f>IFERROR(INDEX('2 Staff List'!$HW$64:$HW$114,DP21),"")</f>
        <v>0</v>
      </c>
      <c r="DQ161" s="3782">
        <f>IFERROR(INDEX('2 Staff List'!$HW$64:$HW$114,DQ21),"")</f>
        <v>0</v>
      </c>
      <c r="DR161" s="3782">
        <f>IFERROR(INDEX('2 Staff List'!$HW$64:$HW$114,DR21),"")</f>
        <v>0</v>
      </c>
      <c r="DS161" s="3782">
        <f>IFERROR(INDEX('2 Staff List'!$HW$64:$HW$114,DS21),"")</f>
        <v>0</v>
      </c>
      <c r="DT161" s="3782">
        <f>IFERROR(INDEX('2 Staff List'!$HW$64:$HW$114,DT21),"")</f>
        <v>0</v>
      </c>
      <c r="DU161" s="3782">
        <f>IFERROR(INDEX('2 Staff List'!$HW$64:$HW$114,DU21),"")</f>
        <v>0</v>
      </c>
      <c r="DV161" s="3782">
        <f>IFERROR(INDEX('2 Staff List'!$HW$64:$HW$114,DV21),"")</f>
        <v>0</v>
      </c>
      <c r="DW161" s="3782">
        <f>IFERROR(INDEX('2 Staff List'!$HW$64:$HW$114,DW21),"")</f>
        <v>0</v>
      </c>
      <c r="DX161" s="3782">
        <f>IFERROR(INDEX('2 Staff List'!$HW$64:$HW$114,DX21),"")</f>
        <v>0</v>
      </c>
      <c r="DY161" s="3782">
        <f>IFERROR(INDEX('2 Staff List'!$HW$64:$HW$114,DY21),"")</f>
        <v>0</v>
      </c>
      <c r="DZ161" s="3782">
        <f>IFERROR(INDEX('2 Staff List'!$HW$64:$HW$114,DZ21),"")</f>
        <v>0</v>
      </c>
      <c r="EA161" s="3782">
        <f>IFERROR(INDEX('2 Staff List'!$HW$64:$HW$114,EA21),"")</f>
        <v>0</v>
      </c>
      <c r="EB161" s="3782">
        <f>IFERROR(INDEX('2 Staff List'!$HW$64:$HW$114,EB21),"")</f>
        <v>0</v>
      </c>
      <c r="EC161" s="3782">
        <f>IFERROR(INDEX('2 Staff List'!$HW$64:$HW$114,EC21),"")</f>
        <v>0</v>
      </c>
      <c r="ED161" s="3782">
        <f>IFERROR(INDEX('2 Staff List'!$HW$64:$HW$114,ED21),"")</f>
        <v>0</v>
      </c>
      <c r="EE161" s="3782">
        <f>IFERROR(INDEX('2 Staff List'!$HW$64:$HW$114,EE21),"")</f>
        <v>0</v>
      </c>
      <c r="EF161" s="3782">
        <f>IFERROR(INDEX('2 Staff List'!$HW$64:$HW$114,EF21),"")</f>
        <v>0</v>
      </c>
      <c r="EG161" s="3782">
        <f>IFERROR(INDEX('2 Staff List'!$HW$64:$HW$114,EG21),"")</f>
        <v>0</v>
      </c>
      <c r="EH161" s="3782">
        <f>IFERROR(INDEX('2 Staff List'!$HW$64:$HW$114,EH21),"")</f>
        <v>0</v>
      </c>
      <c r="EI161" s="3782">
        <f>IFERROR(INDEX('2 Staff List'!$HW$64:$HW$114,EI21),"")</f>
        <v>0</v>
      </c>
      <c r="EJ161" s="3782">
        <f>IFERROR(INDEX('2 Staff List'!$HW$64:$HW$114,EJ21),"")</f>
        <v>0</v>
      </c>
      <c r="EK161" s="3782">
        <f>IFERROR(INDEX('2 Staff List'!$HW$64:$HW$114,EK21),"")</f>
        <v>0</v>
      </c>
      <c r="EL161" s="3782">
        <f>IFERROR(INDEX('2 Staff List'!$HW$64:$HW$114,EL21),"")</f>
        <v>0</v>
      </c>
      <c r="EM161" s="3782">
        <f>IFERROR(INDEX('2 Staff List'!$HW$64:$HW$114,EM21),"")</f>
        <v>0</v>
      </c>
      <c r="EN161" s="3782">
        <f>IFERROR(INDEX('2 Staff List'!$HW$64:$HW$114,EN21),"")</f>
        <v>0</v>
      </c>
      <c r="EO161" s="3782">
        <f>IFERROR(INDEX('2 Staff List'!$HW$64:$HW$114,EO21),"")</f>
        <v>0</v>
      </c>
      <c r="EP161" s="3782">
        <f>IFERROR(INDEX('2 Staff List'!$HW$64:$HW$114,EP21),"")</f>
        <v>0</v>
      </c>
      <c r="EQ161" s="3782">
        <f>IFERROR(INDEX('2 Staff List'!$HW$64:$HW$114,EQ21),"")</f>
        <v>0</v>
      </c>
      <c r="ER161" s="3782">
        <f>IFERROR(INDEX('2 Staff List'!$HW$64:$HW$114,ER21),"")</f>
        <v>0</v>
      </c>
      <c r="ES161" s="3782">
        <f>IFERROR(INDEX('2 Staff List'!$HW$64:$HW$114,ES21),"")</f>
        <v>0</v>
      </c>
      <c r="ET161" s="3782">
        <f>IFERROR(INDEX('2 Staff List'!$HW$64:$HW$114,ET21),"")</f>
        <v>0</v>
      </c>
      <c r="EU161" s="3782">
        <f>IFERROR(INDEX('2 Staff List'!$HW$64:$HW$114,EU21),"")</f>
        <v>0</v>
      </c>
      <c r="EV161" s="3782">
        <f>IFERROR(INDEX('2 Staff List'!$HW$64:$HW$114,EV21),"")</f>
        <v>0</v>
      </c>
      <c r="EW161" s="3782">
        <f>IFERROR(INDEX('2 Staff List'!$HW$64:$HW$114,EW21),"")</f>
        <v>0</v>
      </c>
      <c r="EX161" s="3782">
        <f>IFERROR(INDEX('2 Staff List'!$HW$64:$HW$114,EX21),"")</f>
        <v>0</v>
      </c>
      <c r="EY161" s="3782">
        <f>IFERROR(INDEX('2 Staff List'!$HW$64:$HW$114,EY21),"")</f>
        <v>0</v>
      </c>
      <c r="EZ161" s="3782">
        <f>IFERROR(INDEX('2 Staff List'!$HW$64:$HW$114,EZ21),"")</f>
        <v>0</v>
      </c>
      <c r="FA161" s="3782">
        <f>IFERROR(INDEX('2 Staff List'!$HW$64:$HW$114,FA21),"")</f>
        <v>0</v>
      </c>
      <c r="FB161" s="3782">
        <f>IFERROR(INDEX('2 Staff List'!$HW$64:$HW$114,FB21),"")</f>
        <v>0</v>
      </c>
      <c r="FC161" s="3782">
        <f>IFERROR(INDEX('2 Staff List'!$HW$64:$HW$114,FC21),"")</f>
        <v>0</v>
      </c>
      <c r="FD161" s="3782">
        <f>IFERROR(INDEX('2 Staff List'!$HW$64:$HW$114,FD21),"")</f>
        <v>0</v>
      </c>
      <c r="FE161" s="3782">
        <f>IFERROR(INDEX('2 Staff List'!$HW$64:$HW$114,FE21),"")</f>
        <v>0</v>
      </c>
      <c r="FF161" s="3782">
        <f>IFERROR(INDEX('2 Staff List'!$HW$64:$HW$114,FF21),"")</f>
        <v>0</v>
      </c>
      <c r="FG161" s="3782">
        <f>IFERROR(INDEX('2 Staff List'!$HW$64:$HW$114,FG21),"")</f>
        <v>0</v>
      </c>
      <c r="FH161" s="3783"/>
      <c r="FI161" s="6"/>
      <c r="FJ161" s="1987"/>
      <c r="FK161" s="2142"/>
      <c r="FL161" s="2142"/>
      <c r="FM161" s="2142"/>
      <c r="FN161" s="2142"/>
      <c r="FO161" s="224"/>
      <c r="FP161" s="224"/>
      <c r="FQ161" s="224"/>
      <c r="FR161" s="224"/>
      <c r="FS161" s="224"/>
      <c r="FT161" s="224"/>
      <c r="FU161" s="224"/>
      <c r="FV161" s="224"/>
      <c r="FW161" s="224"/>
      <c r="FX161" s="224"/>
      <c r="FY161" s="14"/>
      <c r="FZ161" s="14"/>
      <c r="GA161" s="14"/>
      <c r="GB161" s="14"/>
      <c r="GC161" s="14"/>
      <c r="GD161" s="224"/>
      <c r="GE161" s="224"/>
      <c r="GF161" s="224"/>
      <c r="GG161" s="224"/>
      <c r="GH161" s="224"/>
      <c r="GI161" s="224"/>
      <c r="GJ161" s="224"/>
      <c r="GK161" s="224"/>
      <c r="GL161" s="224"/>
      <c r="GM161" s="224"/>
      <c r="GN161" s="3730" t="s">
        <v>4191</v>
      </c>
      <c r="GO161" s="3820"/>
      <c r="GP161" s="3715">
        <f ca="1">SUM(GT161:QJ161)</f>
        <v>28751.107592999997</v>
      </c>
      <c r="GQ161" s="3716"/>
      <c r="GR161" s="3717"/>
      <c r="GS161" s="182"/>
      <c r="GT161" s="3818">
        <f ca="1">GT159-GT156</f>
        <v>2395.9256327499993</v>
      </c>
      <c r="GU161" s="3807">
        <f t="shared" ref="GU161:JF161" ca="1" si="299">GU159-GU156</f>
        <v>2395.9256327499993</v>
      </c>
      <c r="GV161" s="3807">
        <f t="shared" ca="1" si="299"/>
        <v>2395.9256327499993</v>
      </c>
      <c r="GW161" s="3807">
        <f t="shared" ca="1" si="299"/>
        <v>2395.9256327499993</v>
      </c>
      <c r="GX161" s="3807">
        <f t="shared" ca="1" si="299"/>
        <v>2395.9256327499993</v>
      </c>
      <c r="GY161" s="3807">
        <f t="shared" ca="1" si="299"/>
        <v>2395.9256327499993</v>
      </c>
      <c r="GZ161" s="3807">
        <f t="shared" ca="1" si="299"/>
        <v>2395.9256327499993</v>
      </c>
      <c r="HA161" s="3807">
        <f t="shared" ca="1" si="299"/>
        <v>2395.9256327499993</v>
      </c>
      <c r="HB161" s="3807">
        <f t="shared" ca="1" si="299"/>
        <v>2395.9256327499993</v>
      </c>
      <c r="HC161" s="3807">
        <f t="shared" ca="1" si="299"/>
        <v>2395.9256327499993</v>
      </c>
      <c r="HD161" s="3807">
        <f t="shared" ca="1" si="299"/>
        <v>2395.9256327499993</v>
      </c>
      <c r="HE161" s="3807">
        <f t="shared" ca="1" si="299"/>
        <v>2395.9256327499993</v>
      </c>
      <c r="HF161" s="3807">
        <f t="shared" ca="1" si="299"/>
        <v>0</v>
      </c>
      <c r="HG161" s="3807">
        <f t="shared" ca="1" si="299"/>
        <v>0</v>
      </c>
      <c r="HH161" s="3807">
        <f t="shared" ca="1" si="299"/>
        <v>0</v>
      </c>
      <c r="HI161" s="3807">
        <f t="shared" ca="1" si="299"/>
        <v>0</v>
      </c>
      <c r="HJ161" s="3807">
        <f t="shared" ca="1" si="299"/>
        <v>0</v>
      </c>
      <c r="HK161" s="3807">
        <f t="shared" ca="1" si="299"/>
        <v>0</v>
      </c>
      <c r="HL161" s="3807">
        <f t="shared" ca="1" si="299"/>
        <v>0</v>
      </c>
      <c r="HM161" s="3807">
        <f t="shared" ca="1" si="299"/>
        <v>0</v>
      </c>
      <c r="HN161" s="3807">
        <f t="shared" ca="1" si="299"/>
        <v>0</v>
      </c>
      <c r="HO161" s="3807">
        <f t="shared" ca="1" si="299"/>
        <v>0</v>
      </c>
      <c r="HP161" s="3807">
        <f t="shared" ca="1" si="299"/>
        <v>0</v>
      </c>
      <c r="HQ161" s="3807">
        <f t="shared" ca="1" si="299"/>
        <v>0</v>
      </c>
      <c r="HR161" s="3807">
        <f t="shared" ca="1" si="299"/>
        <v>0</v>
      </c>
      <c r="HS161" s="3807">
        <f t="shared" ca="1" si="299"/>
        <v>0</v>
      </c>
      <c r="HT161" s="3807">
        <f t="shared" ca="1" si="299"/>
        <v>0</v>
      </c>
      <c r="HU161" s="3807">
        <f t="shared" ca="1" si="299"/>
        <v>0</v>
      </c>
      <c r="HV161" s="3807">
        <f t="shared" ca="1" si="299"/>
        <v>0</v>
      </c>
      <c r="HW161" s="3807">
        <f t="shared" ca="1" si="299"/>
        <v>0</v>
      </c>
      <c r="HX161" s="3807">
        <f t="shared" ca="1" si="299"/>
        <v>0</v>
      </c>
      <c r="HY161" s="3807">
        <f t="shared" ca="1" si="299"/>
        <v>0</v>
      </c>
      <c r="HZ161" s="3807">
        <f t="shared" ca="1" si="299"/>
        <v>0</v>
      </c>
      <c r="IA161" s="3807">
        <f t="shared" ca="1" si="299"/>
        <v>0</v>
      </c>
      <c r="IB161" s="3807">
        <f t="shared" ca="1" si="299"/>
        <v>0</v>
      </c>
      <c r="IC161" s="3807">
        <f t="shared" ca="1" si="299"/>
        <v>0</v>
      </c>
      <c r="ID161" s="3807">
        <f t="shared" ca="1" si="299"/>
        <v>0</v>
      </c>
      <c r="IE161" s="3807">
        <f t="shared" ca="1" si="299"/>
        <v>0</v>
      </c>
      <c r="IF161" s="3807">
        <f t="shared" ca="1" si="299"/>
        <v>0</v>
      </c>
      <c r="IG161" s="3807">
        <f t="shared" ca="1" si="299"/>
        <v>0</v>
      </c>
      <c r="IH161" s="3807">
        <f t="shared" ca="1" si="299"/>
        <v>0</v>
      </c>
      <c r="II161" s="3807">
        <f t="shared" ca="1" si="299"/>
        <v>0</v>
      </c>
      <c r="IJ161" s="3807">
        <f t="shared" ca="1" si="299"/>
        <v>0</v>
      </c>
      <c r="IK161" s="3807">
        <f t="shared" ca="1" si="299"/>
        <v>0</v>
      </c>
      <c r="IL161" s="3807">
        <f t="shared" ca="1" si="299"/>
        <v>0</v>
      </c>
      <c r="IM161" s="3807">
        <f t="shared" ca="1" si="299"/>
        <v>0</v>
      </c>
      <c r="IN161" s="3807">
        <f t="shared" ca="1" si="299"/>
        <v>0</v>
      </c>
      <c r="IO161" s="3807">
        <f t="shared" ca="1" si="299"/>
        <v>0</v>
      </c>
      <c r="IP161" s="3807">
        <f t="shared" ca="1" si="299"/>
        <v>0</v>
      </c>
      <c r="IQ161" s="3807">
        <f t="shared" ca="1" si="299"/>
        <v>0</v>
      </c>
      <c r="IR161" s="3807">
        <f t="shared" ca="1" si="299"/>
        <v>0</v>
      </c>
      <c r="IS161" s="3807">
        <f t="shared" ca="1" si="299"/>
        <v>0</v>
      </c>
      <c r="IT161" s="3807">
        <f t="shared" ca="1" si="299"/>
        <v>0</v>
      </c>
      <c r="IU161" s="3807">
        <f t="shared" ca="1" si="299"/>
        <v>0</v>
      </c>
      <c r="IV161" s="3807">
        <f t="shared" ca="1" si="299"/>
        <v>0</v>
      </c>
      <c r="IW161" s="3807">
        <f t="shared" ca="1" si="299"/>
        <v>0</v>
      </c>
      <c r="IX161" s="3807">
        <f t="shared" ca="1" si="299"/>
        <v>0</v>
      </c>
      <c r="IY161" s="3807">
        <f t="shared" ca="1" si="299"/>
        <v>0</v>
      </c>
      <c r="IZ161" s="3807">
        <f t="shared" ca="1" si="299"/>
        <v>0</v>
      </c>
      <c r="JA161" s="3807">
        <f t="shared" ca="1" si="299"/>
        <v>0</v>
      </c>
      <c r="JB161" s="3807">
        <f t="shared" ca="1" si="299"/>
        <v>0</v>
      </c>
      <c r="JC161" s="3807">
        <f t="shared" ca="1" si="299"/>
        <v>0</v>
      </c>
      <c r="JD161" s="3807">
        <f t="shared" ca="1" si="299"/>
        <v>0</v>
      </c>
      <c r="JE161" s="3807">
        <f t="shared" ca="1" si="299"/>
        <v>0</v>
      </c>
      <c r="JF161" s="3807">
        <f t="shared" ca="1" si="299"/>
        <v>0</v>
      </c>
      <c r="JG161" s="3807">
        <f t="shared" ref="JG161:LP161" ca="1" si="300">JG159-JG156</f>
        <v>0</v>
      </c>
      <c r="JH161" s="3807">
        <f t="shared" ca="1" si="300"/>
        <v>0</v>
      </c>
      <c r="JI161" s="3807">
        <f t="shared" ca="1" si="300"/>
        <v>0</v>
      </c>
      <c r="JJ161" s="3807">
        <f t="shared" ca="1" si="300"/>
        <v>0</v>
      </c>
      <c r="JK161" s="3807">
        <f t="shared" ca="1" si="300"/>
        <v>0</v>
      </c>
      <c r="JL161" s="3807">
        <f t="shared" ca="1" si="300"/>
        <v>0</v>
      </c>
      <c r="JM161" s="3807">
        <f t="shared" ca="1" si="300"/>
        <v>0</v>
      </c>
      <c r="JN161" s="3807">
        <f t="shared" ca="1" si="300"/>
        <v>0</v>
      </c>
      <c r="JO161" s="3807">
        <f t="shared" ca="1" si="300"/>
        <v>0</v>
      </c>
      <c r="JP161" s="3807">
        <f t="shared" ca="1" si="300"/>
        <v>0</v>
      </c>
      <c r="JQ161" s="3807">
        <f t="shared" ca="1" si="300"/>
        <v>0</v>
      </c>
      <c r="JR161" s="3807">
        <f t="shared" ca="1" si="300"/>
        <v>0</v>
      </c>
      <c r="JS161" s="3807">
        <f t="shared" ca="1" si="300"/>
        <v>0</v>
      </c>
      <c r="JT161" s="3807">
        <f t="shared" ca="1" si="300"/>
        <v>0</v>
      </c>
      <c r="JU161" s="3807">
        <f t="shared" ca="1" si="300"/>
        <v>0</v>
      </c>
      <c r="JV161" s="3807">
        <f t="shared" ca="1" si="300"/>
        <v>0</v>
      </c>
      <c r="JW161" s="3807">
        <f t="shared" ca="1" si="300"/>
        <v>0</v>
      </c>
      <c r="JX161" s="3807">
        <f t="shared" ca="1" si="300"/>
        <v>0</v>
      </c>
      <c r="JY161" s="3807">
        <f t="shared" ca="1" si="300"/>
        <v>0</v>
      </c>
      <c r="JZ161" s="3807">
        <f t="shared" ca="1" si="300"/>
        <v>0</v>
      </c>
      <c r="KA161" s="3807">
        <f t="shared" ca="1" si="300"/>
        <v>0</v>
      </c>
      <c r="KB161" s="3807">
        <f t="shared" ca="1" si="300"/>
        <v>0</v>
      </c>
      <c r="KC161" s="3807">
        <f t="shared" ca="1" si="300"/>
        <v>0</v>
      </c>
      <c r="KD161" s="3807">
        <f t="shared" ca="1" si="300"/>
        <v>0</v>
      </c>
      <c r="KE161" s="3807">
        <f t="shared" ca="1" si="300"/>
        <v>0</v>
      </c>
      <c r="KF161" s="3807">
        <f t="shared" ca="1" si="300"/>
        <v>0</v>
      </c>
      <c r="KG161" s="3807">
        <f t="shared" ca="1" si="300"/>
        <v>0</v>
      </c>
      <c r="KH161" s="3807">
        <f t="shared" ca="1" si="300"/>
        <v>0</v>
      </c>
      <c r="KI161" s="3807">
        <f t="shared" ca="1" si="300"/>
        <v>0</v>
      </c>
      <c r="KJ161" s="3807">
        <f t="shared" ca="1" si="300"/>
        <v>0</v>
      </c>
      <c r="KK161" s="3807">
        <f t="shared" ca="1" si="300"/>
        <v>0</v>
      </c>
      <c r="KL161" s="3807">
        <f t="shared" ca="1" si="300"/>
        <v>0</v>
      </c>
      <c r="KM161" s="3807">
        <f t="shared" ca="1" si="300"/>
        <v>0</v>
      </c>
      <c r="KN161" s="3807">
        <f t="shared" ca="1" si="300"/>
        <v>0</v>
      </c>
      <c r="KO161" s="3807">
        <f t="shared" ca="1" si="300"/>
        <v>0</v>
      </c>
      <c r="KP161" s="3807">
        <f t="shared" ca="1" si="300"/>
        <v>0</v>
      </c>
      <c r="KQ161" s="3807">
        <f t="shared" ca="1" si="300"/>
        <v>0</v>
      </c>
      <c r="KR161" s="3807">
        <f t="shared" ca="1" si="300"/>
        <v>0</v>
      </c>
      <c r="KS161" s="3807">
        <f t="shared" ca="1" si="300"/>
        <v>0</v>
      </c>
      <c r="KT161" s="3807">
        <f t="shared" ca="1" si="300"/>
        <v>0</v>
      </c>
      <c r="KU161" s="3807">
        <f t="shared" ca="1" si="300"/>
        <v>0</v>
      </c>
      <c r="KV161" s="3807">
        <f t="shared" ca="1" si="300"/>
        <v>0</v>
      </c>
      <c r="KW161" s="3807">
        <f t="shared" ca="1" si="300"/>
        <v>0</v>
      </c>
      <c r="KX161" s="3807">
        <f t="shared" ca="1" si="300"/>
        <v>0</v>
      </c>
      <c r="KY161" s="3807">
        <f t="shared" ca="1" si="300"/>
        <v>0</v>
      </c>
      <c r="KZ161" s="3807">
        <f t="shared" ca="1" si="300"/>
        <v>0</v>
      </c>
      <c r="LA161" s="3807">
        <f t="shared" ca="1" si="300"/>
        <v>0</v>
      </c>
      <c r="LB161" s="3807">
        <f t="shared" ca="1" si="300"/>
        <v>0</v>
      </c>
      <c r="LC161" s="3807">
        <f t="shared" ca="1" si="300"/>
        <v>0</v>
      </c>
      <c r="LD161" s="3807">
        <f t="shared" ca="1" si="300"/>
        <v>0</v>
      </c>
      <c r="LE161" s="3807">
        <f t="shared" ca="1" si="300"/>
        <v>0</v>
      </c>
      <c r="LF161" s="3807">
        <f t="shared" ca="1" si="300"/>
        <v>0</v>
      </c>
      <c r="LG161" s="3807">
        <f t="shared" ca="1" si="300"/>
        <v>0</v>
      </c>
      <c r="LH161" s="3807">
        <f t="shared" ca="1" si="300"/>
        <v>0</v>
      </c>
      <c r="LI161" s="3807">
        <f t="shared" ca="1" si="300"/>
        <v>0</v>
      </c>
      <c r="LJ161" s="3807">
        <f t="shared" ca="1" si="300"/>
        <v>0</v>
      </c>
      <c r="LK161" s="3807">
        <f t="shared" ca="1" si="300"/>
        <v>0</v>
      </c>
      <c r="LL161" s="3807">
        <f t="shared" ca="1" si="300"/>
        <v>0</v>
      </c>
      <c r="LM161" s="3807">
        <f t="shared" ca="1" si="300"/>
        <v>0</v>
      </c>
      <c r="LN161" s="3807">
        <f t="shared" ca="1" si="300"/>
        <v>0</v>
      </c>
      <c r="LO161" s="3807">
        <f t="shared" ca="1" si="300"/>
        <v>0</v>
      </c>
      <c r="LP161" s="3809">
        <f t="shared" ca="1" si="300"/>
        <v>0</v>
      </c>
      <c r="LQ161" s="3137"/>
    </row>
    <row r="162" spans="1:331" ht="20.100000000000001" customHeight="1" thickBot="1" x14ac:dyDescent="0.3">
      <c r="A162" s="280"/>
      <c r="B162" s="297"/>
      <c r="C162" s="1776"/>
      <c r="D162" s="1776"/>
      <c r="E162" s="1776"/>
      <c r="F162" s="1776"/>
      <c r="G162" s="1776"/>
      <c r="H162" s="1776"/>
      <c r="I162" s="1776"/>
      <c r="J162" s="6"/>
      <c r="K162" s="102"/>
      <c r="L162" s="102"/>
      <c r="M162" s="103"/>
      <c r="N162" s="103"/>
      <c r="O162" s="104"/>
      <c r="R162" s="1175" t="s">
        <v>3393</v>
      </c>
      <c r="S162" s="1175" t="s">
        <v>39</v>
      </c>
      <c r="T162" s="1176"/>
      <c r="U162" s="1176"/>
      <c r="V162" s="1176"/>
      <c r="W162" s="1176"/>
      <c r="X162" s="1176"/>
      <c r="Y162" s="1176"/>
      <c r="Z162" s="1176"/>
      <c r="AA162" s="1176"/>
      <c r="AB162" s="1176"/>
      <c r="AC162" s="1176"/>
      <c r="AD162" s="1176"/>
      <c r="AE162" s="1176"/>
      <c r="AF162" s="1176"/>
      <c r="AG162" s="1176"/>
      <c r="AH162" s="2519"/>
      <c r="AI162" s="1176"/>
      <c r="AJ162" s="1176"/>
      <c r="AK162" s="1176"/>
      <c r="AL162" s="1176"/>
      <c r="AM162" s="1176"/>
      <c r="AN162" s="1176"/>
      <c r="AO162" s="1176"/>
      <c r="AP162" s="1176"/>
      <c r="AQ162" s="1176"/>
      <c r="AR162" s="1176"/>
      <c r="AS162" s="1176"/>
      <c r="AT162" s="1176"/>
      <c r="AU162" s="1176"/>
      <c r="AV162" s="1176"/>
      <c r="AW162" s="1176"/>
      <c r="AX162" s="1176"/>
      <c r="AY162" s="1176"/>
      <c r="AZ162" s="1176"/>
      <c r="BA162" s="1176"/>
      <c r="BB162" s="1176"/>
      <c r="BC162" s="1176"/>
      <c r="BD162" s="1176"/>
      <c r="BE162" s="1176"/>
      <c r="BF162" s="1176"/>
      <c r="BG162" s="1176"/>
      <c r="BH162" s="1176"/>
      <c r="BI162" s="1176"/>
      <c r="BJ162" s="1176"/>
      <c r="BK162" s="1176"/>
      <c r="BL162" s="1176"/>
      <c r="BM162" s="1176"/>
      <c r="BN162" s="1176"/>
      <c r="BO162" s="1176"/>
      <c r="BP162" s="1176"/>
      <c r="BQ162" s="1176"/>
      <c r="BR162" s="1176"/>
      <c r="BS162" s="1176"/>
      <c r="BT162" s="1176"/>
      <c r="BU162" s="1176"/>
      <c r="BV162" s="1176"/>
      <c r="BW162" s="1176"/>
      <c r="BX162" s="1176"/>
      <c r="BY162" s="1176"/>
      <c r="BZ162" s="1176"/>
      <c r="CA162" s="1176"/>
      <c r="CB162" s="1176"/>
      <c r="CC162" s="1176"/>
      <c r="CD162" s="1176"/>
      <c r="CE162" s="1176"/>
      <c r="CF162" s="1176"/>
      <c r="CG162" s="1176"/>
      <c r="CH162" s="1176"/>
      <c r="CI162" s="1176"/>
      <c r="CJ162" s="1176"/>
      <c r="CK162" s="1176"/>
      <c r="CL162" s="1176"/>
      <c r="CM162" s="1176"/>
      <c r="CN162" s="1176"/>
      <c r="CO162" s="1176"/>
      <c r="CP162" s="1176"/>
      <c r="CQ162" s="1176"/>
      <c r="CR162" s="1176"/>
      <c r="CS162" s="1176"/>
      <c r="CT162" s="1176"/>
      <c r="CU162" s="1176"/>
      <c r="CV162" s="1176"/>
      <c r="CW162" s="1176"/>
      <c r="CX162" s="1176"/>
      <c r="CY162" s="1176"/>
      <c r="CZ162" s="1175" t="s">
        <v>31</v>
      </c>
      <c r="DA162" s="3010" t="s">
        <v>154</v>
      </c>
      <c r="DB162" s="109"/>
      <c r="DC162" s="2074" t="str">
        <f>IF(AND($C$7&lt;&gt;"F",DC161=0),"","ETC "&amp;IF(FM5=1,"Week No.","Month No."))</f>
        <v/>
      </c>
      <c r="DD162" s="109"/>
      <c r="DE162" s="6"/>
      <c r="DF162" s="6"/>
      <c r="DG162" s="6"/>
      <c r="DJ162" s="3786"/>
      <c r="DK162" s="3782"/>
      <c r="DL162" s="3782"/>
      <c r="DM162" s="3782"/>
      <c r="DN162" s="3782"/>
      <c r="DO162" s="3782"/>
      <c r="DP162" s="3782"/>
      <c r="DQ162" s="3782"/>
      <c r="DR162" s="3782"/>
      <c r="DS162" s="3782"/>
      <c r="DT162" s="3782"/>
      <c r="DU162" s="3782"/>
      <c r="DV162" s="3782"/>
      <c r="DW162" s="3782"/>
      <c r="DX162" s="3782"/>
      <c r="DY162" s="3782"/>
      <c r="DZ162" s="3782"/>
      <c r="EA162" s="3782"/>
      <c r="EB162" s="3782"/>
      <c r="EC162" s="3782"/>
      <c r="ED162" s="3782"/>
      <c r="EE162" s="3782"/>
      <c r="EF162" s="3782"/>
      <c r="EG162" s="3782"/>
      <c r="EH162" s="3782"/>
      <c r="EI162" s="3782"/>
      <c r="EJ162" s="3782"/>
      <c r="EK162" s="3782"/>
      <c r="EL162" s="3782"/>
      <c r="EM162" s="3782"/>
      <c r="EN162" s="3782"/>
      <c r="EO162" s="3782"/>
      <c r="EP162" s="3782"/>
      <c r="EQ162" s="3782"/>
      <c r="ER162" s="3782"/>
      <c r="ES162" s="3782"/>
      <c r="ET162" s="3782"/>
      <c r="EU162" s="3782"/>
      <c r="EV162" s="3782"/>
      <c r="EW162" s="3782"/>
      <c r="EX162" s="3782"/>
      <c r="EY162" s="3782"/>
      <c r="EZ162" s="3782"/>
      <c r="FA162" s="3782"/>
      <c r="FB162" s="3782"/>
      <c r="FC162" s="3782"/>
      <c r="FD162" s="3782"/>
      <c r="FE162" s="3782"/>
      <c r="FF162" s="3782"/>
      <c r="FG162" s="3782"/>
      <c r="FH162" s="3783"/>
      <c r="FI162" s="6"/>
      <c r="FJ162" s="3798" t="s">
        <v>2838</v>
      </c>
      <c r="FK162" s="3799"/>
      <c r="FL162" s="3799"/>
      <c r="FM162" s="3799"/>
      <c r="FN162" s="3800"/>
      <c r="FO162" s="224"/>
      <c r="FP162" s="224"/>
      <c r="FQ162" s="224"/>
      <c r="FR162" s="224"/>
      <c r="FS162" s="224"/>
      <c r="FT162" s="224"/>
      <c r="FU162" s="224"/>
      <c r="FV162" s="224"/>
      <c r="FW162" s="224"/>
      <c r="FX162" s="224"/>
      <c r="FY162" s="225"/>
      <c r="FZ162" s="225"/>
      <c r="GA162" s="225"/>
      <c r="GB162" s="225"/>
      <c r="GC162" s="225"/>
      <c r="GD162" s="224"/>
      <c r="GE162" s="224"/>
      <c r="GF162" s="224"/>
      <c r="GG162" s="224"/>
      <c r="GH162" s="224"/>
      <c r="GI162" s="224"/>
      <c r="GJ162" s="224"/>
      <c r="GK162" s="224"/>
      <c r="GL162" s="224"/>
      <c r="GM162" s="224"/>
      <c r="GN162" s="3821"/>
      <c r="GO162" s="3820"/>
      <c r="GP162" s="3718"/>
      <c r="GQ162" s="3719"/>
      <c r="GR162" s="3720"/>
      <c r="GS162" s="133"/>
      <c r="GT162" s="3819"/>
      <c r="GU162" s="3808"/>
      <c r="GV162" s="3808"/>
      <c r="GW162" s="3808"/>
      <c r="GX162" s="3808"/>
      <c r="GY162" s="3808"/>
      <c r="GZ162" s="3808"/>
      <c r="HA162" s="3808"/>
      <c r="HB162" s="3808"/>
      <c r="HC162" s="3808"/>
      <c r="HD162" s="3808"/>
      <c r="HE162" s="3808"/>
      <c r="HF162" s="3808"/>
      <c r="HG162" s="3808"/>
      <c r="HH162" s="3808"/>
      <c r="HI162" s="3808"/>
      <c r="HJ162" s="3808"/>
      <c r="HK162" s="3808"/>
      <c r="HL162" s="3808"/>
      <c r="HM162" s="3808"/>
      <c r="HN162" s="3808"/>
      <c r="HO162" s="3808"/>
      <c r="HP162" s="3808"/>
      <c r="HQ162" s="3808"/>
      <c r="HR162" s="3808"/>
      <c r="HS162" s="3808"/>
      <c r="HT162" s="3808"/>
      <c r="HU162" s="3808"/>
      <c r="HV162" s="3808"/>
      <c r="HW162" s="3808"/>
      <c r="HX162" s="3808"/>
      <c r="HY162" s="3808"/>
      <c r="HZ162" s="3808"/>
      <c r="IA162" s="3808"/>
      <c r="IB162" s="3808"/>
      <c r="IC162" s="3808"/>
      <c r="ID162" s="3808"/>
      <c r="IE162" s="3808"/>
      <c r="IF162" s="3808"/>
      <c r="IG162" s="3808"/>
      <c r="IH162" s="3808"/>
      <c r="II162" s="3808"/>
      <c r="IJ162" s="3808"/>
      <c r="IK162" s="3808"/>
      <c r="IL162" s="3808"/>
      <c r="IM162" s="3808"/>
      <c r="IN162" s="3808"/>
      <c r="IO162" s="3808"/>
      <c r="IP162" s="3808"/>
      <c r="IQ162" s="3808"/>
      <c r="IR162" s="3808"/>
      <c r="IS162" s="3808"/>
      <c r="IT162" s="3808"/>
      <c r="IU162" s="3808"/>
      <c r="IV162" s="3808"/>
      <c r="IW162" s="3808"/>
      <c r="IX162" s="3808"/>
      <c r="IY162" s="3808"/>
      <c r="IZ162" s="3808"/>
      <c r="JA162" s="3808"/>
      <c r="JB162" s="3808"/>
      <c r="JC162" s="3808"/>
      <c r="JD162" s="3808"/>
      <c r="JE162" s="3808"/>
      <c r="JF162" s="3808"/>
      <c r="JG162" s="3808"/>
      <c r="JH162" s="3808"/>
      <c r="JI162" s="3808"/>
      <c r="JJ162" s="3808"/>
      <c r="JK162" s="3808"/>
      <c r="JL162" s="3808"/>
      <c r="JM162" s="3808"/>
      <c r="JN162" s="3808"/>
      <c r="JO162" s="3808"/>
      <c r="JP162" s="3808"/>
      <c r="JQ162" s="3808"/>
      <c r="JR162" s="3808"/>
      <c r="JS162" s="3808"/>
      <c r="JT162" s="3808"/>
      <c r="JU162" s="3808"/>
      <c r="JV162" s="3808"/>
      <c r="JW162" s="3808"/>
      <c r="JX162" s="3808"/>
      <c r="JY162" s="3808"/>
      <c r="JZ162" s="3808"/>
      <c r="KA162" s="3808"/>
      <c r="KB162" s="3808"/>
      <c r="KC162" s="3808"/>
      <c r="KD162" s="3808"/>
      <c r="KE162" s="3808"/>
      <c r="KF162" s="3808"/>
      <c r="KG162" s="3808"/>
      <c r="KH162" s="3808"/>
      <c r="KI162" s="3808"/>
      <c r="KJ162" s="3808"/>
      <c r="KK162" s="3808"/>
      <c r="KL162" s="3808"/>
      <c r="KM162" s="3808"/>
      <c r="KN162" s="3808"/>
      <c r="KO162" s="3808"/>
      <c r="KP162" s="3808"/>
      <c r="KQ162" s="3808"/>
      <c r="KR162" s="3808"/>
      <c r="KS162" s="3808"/>
      <c r="KT162" s="3808"/>
      <c r="KU162" s="3808"/>
      <c r="KV162" s="3808"/>
      <c r="KW162" s="3808"/>
      <c r="KX162" s="3808"/>
      <c r="KY162" s="3808"/>
      <c r="KZ162" s="3808"/>
      <c r="LA162" s="3808"/>
      <c r="LB162" s="3808"/>
      <c r="LC162" s="3808"/>
      <c r="LD162" s="3808"/>
      <c r="LE162" s="3808"/>
      <c r="LF162" s="3808"/>
      <c r="LG162" s="3808"/>
      <c r="LH162" s="3808"/>
      <c r="LI162" s="3808"/>
      <c r="LJ162" s="3808"/>
      <c r="LK162" s="3808"/>
      <c r="LL162" s="3808"/>
      <c r="LM162" s="3808"/>
      <c r="LN162" s="3808"/>
      <c r="LO162" s="3808"/>
      <c r="LP162" s="3810"/>
      <c r="LQ162" s="992"/>
      <c r="LR162" s="133"/>
    </row>
    <row r="163" spans="1:331" ht="18" customHeight="1" thickBot="1" x14ac:dyDescent="0.3">
      <c r="A163" s="280"/>
      <c r="B163" s="297"/>
      <c r="C163" s="1776"/>
      <c r="D163" s="1776"/>
      <c r="E163" s="1776"/>
      <c r="F163" s="1776"/>
      <c r="G163" s="1776"/>
      <c r="H163" s="1776"/>
      <c r="I163" s="1776"/>
      <c r="J163" s="6"/>
      <c r="K163" s="102"/>
      <c r="L163" s="102"/>
      <c r="M163" s="103"/>
      <c r="N163" s="103"/>
      <c r="O163" s="104"/>
      <c r="P163" s="196" t="str">
        <f>IF($G$28=0,"Federal Projects shouldn't use general contingency","Labor Contingency as a % (S):")</f>
        <v>Labor Contingency as a % (S):</v>
      </c>
      <c r="Q163" s="1666"/>
      <c r="R163" s="1846">
        <f>T163</f>
        <v>0</v>
      </c>
      <c r="S163" s="1848">
        <f>Y163+V163</f>
        <v>0</v>
      </c>
      <c r="T163" s="2147">
        <f>IFERROR(IF($C$7="B",0,T164*$Q163*G28),0)</f>
        <v>0</v>
      </c>
      <c r="U163" s="458"/>
      <c r="V163" s="2147">
        <f>IFERROR(IF($C$7="B",0,V164*Q163*G28),0)</f>
        <v>0</v>
      </c>
      <c r="W163" s="2147">
        <f>IFERROR(IF($C$7="B",0,W164*$Q163*G28),0)</f>
        <v>0</v>
      </c>
      <c r="X163" s="2147">
        <f>IFERROR(IF($C$7="B",0,X164*$Q163*G28),0)</f>
        <v>0</v>
      </c>
      <c r="Y163" s="2147">
        <f>IFERROR(IF($C$7="B",0,Y164*$Q163*G28),0)</f>
        <v>0</v>
      </c>
      <c r="Z163" s="2147">
        <f>IFERROR(IF($C$7="B",0,Z164*$Q163*G28),0)</f>
        <v>0</v>
      </c>
      <c r="AA163" s="458"/>
      <c r="AB163" s="2144">
        <f>AB169+AB164+Y170+Y163+V169+V163+N("Total Direct Cost")</f>
        <v>45111.674231999998</v>
      </c>
      <c r="AC163" s="1649"/>
      <c r="AD163" s="1649"/>
      <c r="AE163" s="460"/>
      <c r="AF163" s="460"/>
      <c r="AG163" s="460"/>
      <c r="AH163" s="2520"/>
      <c r="AI163" s="460"/>
      <c r="AJ163" s="460"/>
      <c r="AK163" s="518">
        <f ca="1">SUM(AK173:AK365)</f>
        <v>0</v>
      </c>
      <c r="AL163" s="518">
        <f>SUM(AL173:AL365)</f>
        <v>0</v>
      </c>
      <c r="AM163" s="518">
        <f>SUM(AM173:AM365)</f>
        <v>0</v>
      </c>
      <c r="AN163" s="460"/>
      <c r="AO163" s="1763"/>
      <c r="AP163" s="1763"/>
      <c r="AQ163" s="1763"/>
      <c r="AR163" s="1763"/>
      <c r="AS163" s="1763"/>
      <c r="AT163" s="1763"/>
      <c r="AU163" s="1763"/>
      <c r="AV163" s="1763"/>
      <c r="AW163" s="1763"/>
      <c r="AX163" s="1763"/>
      <c r="AY163" s="460"/>
      <c r="AZ163" s="460"/>
      <c r="BA163" s="460"/>
      <c r="BB163" s="460"/>
      <c r="BC163" s="460"/>
      <c r="BD163" s="460"/>
      <c r="BE163" s="460"/>
      <c r="BF163" s="460"/>
      <c r="BG163" s="460"/>
      <c r="BH163" s="460"/>
      <c r="BI163" s="460"/>
      <c r="BJ163" s="460"/>
      <c r="BK163" s="460"/>
      <c r="BL163" s="460"/>
      <c r="BM163" s="460"/>
      <c r="BN163" s="460"/>
      <c r="BO163" s="460"/>
      <c r="BP163" s="460"/>
      <c r="BQ163" s="460"/>
      <c r="BR163" s="460"/>
      <c r="BS163" s="460"/>
      <c r="BT163" s="460"/>
      <c r="BU163" s="460"/>
      <c r="BV163" s="460"/>
      <c r="BW163" s="460"/>
      <c r="BX163" s="460"/>
      <c r="BY163" s="460"/>
      <c r="BZ163" s="460"/>
      <c r="CA163" s="460"/>
      <c r="CB163" s="460"/>
      <c r="CC163" s="460"/>
      <c r="CD163" s="460"/>
      <c r="CE163" s="460"/>
      <c r="CF163" s="460"/>
      <c r="CG163" s="460"/>
      <c r="CH163" s="460"/>
      <c r="CI163" s="460"/>
      <c r="CJ163" s="460"/>
      <c r="CK163" s="460"/>
      <c r="CL163" s="460"/>
      <c r="CM163" s="460"/>
      <c r="CN163" s="460"/>
      <c r="CO163" s="460"/>
      <c r="CP163" s="460"/>
      <c r="CQ163" s="460"/>
      <c r="CR163" s="460"/>
      <c r="CS163" s="460"/>
      <c r="CT163" s="460"/>
      <c r="CU163" s="460"/>
      <c r="CV163" s="460"/>
      <c r="CW163" s="460"/>
      <c r="CX163" s="1873">
        <f>'4 Sign-off'!C33</f>
        <v>1</v>
      </c>
      <c r="CY163" s="1872">
        <f>'1 Setup'!G2</f>
        <v>3</v>
      </c>
      <c r="CZ163" s="2986">
        <f>X163+W163</f>
        <v>0</v>
      </c>
      <c r="DA163" s="3032">
        <f>CZ163-S163</f>
        <v>0</v>
      </c>
      <c r="DB163" s="374"/>
      <c r="DC163" s="120"/>
      <c r="DD163" s="114"/>
      <c r="DE163" s="6"/>
      <c r="DF163" s="6"/>
      <c r="DG163" s="6"/>
      <c r="DJ163" s="3784" t="str">
        <f>IFERROR(INDEX('2 Staff List'!$HZ$64:$HZ$114,DJ21),"")</f>
        <v>L1A Designated Project Executive</v>
      </c>
      <c r="DK163" s="3784" t="str">
        <f>IFERROR(INDEX('2 Staff List'!$HZ$64:$HZ$114,DK21),"")</f>
        <v>L4A Senior Administrator</v>
      </c>
      <c r="DL163" s="3784" t="str">
        <f>IFERROR(INDEX('2 Staff List'!$HZ$64:$HZ$114,DL21),"")</f>
        <v>L1A Operational Manager</v>
      </c>
      <c r="DM163" s="3784" t="str">
        <f>IFERROR(INDEX('2 Staff List'!$HZ$64:$HZ$114,DM21),"")</f>
        <v>GDC PC Support</v>
      </c>
      <c r="DN163" s="3784" t="str">
        <f>IFERROR(INDEX('2 Staff List'!$HZ$64:$HZ$114,DN21),"")</f>
        <v>L2B Project Manager</v>
      </c>
      <c r="DO163" s="3784" t="str">
        <f>IFERROR(INDEX('2 Staff List'!$HZ$64:$HZ$114,DO21),"")</f>
        <v>L1A Operational Manager</v>
      </c>
      <c r="DP163" s="3784" t="str">
        <f>IFERROR(INDEX('2 Staff List'!$HZ$64:$HZ$114,DP21),"")</f>
        <v>L1B Service Lead</v>
      </c>
      <c r="DQ163" s="3784" t="str">
        <f>IFERROR(INDEX('2 Staff List'!$HZ$64:$HZ$114,DQ21),"")</f>
        <v>L3A Project Manager</v>
      </c>
      <c r="DR163" s="3784" t="str">
        <f>IFERROR(INDEX('2 Staff List'!$HZ$64:$HZ$114,DR21),"")</f>
        <v>L3B Senior Engineer</v>
      </c>
      <c r="DS163" s="3784" t="str">
        <f>IFERROR(INDEX('2 Staff List'!$HZ$64:$HZ$114,DS21),"")</f>
        <v>L3B Engineer</v>
      </c>
      <c r="DT163" s="3784">
        <f>IFERROR(INDEX('2 Staff List'!$HZ$64:$HZ$114,DT21),"")</f>
        <v>0</v>
      </c>
      <c r="DU163" s="3784">
        <f>IFERROR(INDEX('2 Staff List'!$HZ$64:$HZ$114,DU21),"")</f>
        <v>0</v>
      </c>
      <c r="DV163" s="3784">
        <f>IFERROR(INDEX('2 Staff List'!$HZ$64:$HZ$114,DV21),"")</f>
        <v>0</v>
      </c>
      <c r="DW163" s="3784">
        <f>IFERROR(INDEX('2 Staff List'!$HZ$64:$HZ$114,DW21),"")</f>
        <v>0</v>
      </c>
      <c r="DX163" s="3784">
        <f>IFERROR(INDEX('2 Staff List'!$HZ$64:$HZ$114,DX21),"")</f>
        <v>0</v>
      </c>
      <c r="DY163" s="3784">
        <f>IFERROR(INDEX('2 Staff List'!$HZ$64:$HZ$114,DY21),"")</f>
        <v>0</v>
      </c>
      <c r="DZ163" s="3784">
        <f>IFERROR(INDEX('2 Staff List'!$HZ$64:$HZ$114,DZ21),"")</f>
        <v>0</v>
      </c>
      <c r="EA163" s="3784">
        <f>IFERROR(INDEX('2 Staff List'!$HZ$64:$HZ$114,EA21),"")</f>
        <v>0</v>
      </c>
      <c r="EB163" s="3784">
        <f>IFERROR(INDEX('2 Staff List'!$HZ$64:$HZ$114,EB21),"")</f>
        <v>0</v>
      </c>
      <c r="EC163" s="3784">
        <f>IFERROR(INDEX('2 Staff List'!$HZ$64:$HZ$114,EC21),"")</f>
        <v>0</v>
      </c>
      <c r="ED163" s="3784">
        <f>IFERROR(INDEX('2 Staff List'!$HZ$64:$HZ$114,ED21),"")</f>
        <v>0</v>
      </c>
      <c r="EE163" s="3784">
        <f>IFERROR(INDEX('2 Staff List'!$HZ$64:$HZ$114,EE21),"")</f>
        <v>0</v>
      </c>
      <c r="EF163" s="3784">
        <f>IFERROR(INDEX('2 Staff List'!$HZ$64:$HZ$114,EF21),"")</f>
        <v>0</v>
      </c>
      <c r="EG163" s="3784">
        <f>IFERROR(INDEX('2 Staff List'!$HZ$64:$HZ$114,EG21),"")</f>
        <v>0</v>
      </c>
      <c r="EH163" s="3784">
        <f>IFERROR(INDEX('2 Staff List'!$HZ$64:$HZ$114,EH21),"")</f>
        <v>0</v>
      </c>
      <c r="EI163" s="3784">
        <f>IFERROR(INDEX('2 Staff List'!$HZ$64:$HZ$114,EI21),"")</f>
        <v>0</v>
      </c>
      <c r="EJ163" s="3784">
        <f>IFERROR(INDEX('2 Staff List'!$HZ$64:$HZ$114,EJ21),"")</f>
        <v>0</v>
      </c>
      <c r="EK163" s="3784">
        <f>IFERROR(INDEX('2 Staff List'!$HZ$64:$HZ$114,EK21),"")</f>
        <v>0</v>
      </c>
      <c r="EL163" s="3784">
        <f>IFERROR(INDEX('2 Staff List'!$HZ$64:$HZ$114,EL21),"")</f>
        <v>0</v>
      </c>
      <c r="EM163" s="3784">
        <f>IFERROR(INDEX('2 Staff List'!$HZ$64:$HZ$114,EM21),"")</f>
        <v>0</v>
      </c>
      <c r="EN163" s="3784">
        <f>IFERROR(INDEX('2 Staff List'!$HZ$64:$HZ$114,EN21),"")</f>
        <v>0</v>
      </c>
      <c r="EO163" s="3784">
        <f>IFERROR(INDEX('2 Staff List'!$HZ$64:$HZ$114,EO21),"")</f>
        <v>0</v>
      </c>
      <c r="EP163" s="3784">
        <f>IFERROR(INDEX('2 Staff List'!$HZ$64:$HZ$114,EP21),"")</f>
        <v>0</v>
      </c>
      <c r="EQ163" s="3784">
        <f>IFERROR(INDEX('2 Staff List'!$HZ$64:$HZ$114,EQ21),"")</f>
        <v>0</v>
      </c>
      <c r="ER163" s="3784">
        <f>IFERROR(INDEX('2 Staff List'!$HZ$64:$HZ$114,ER21),"")</f>
        <v>0</v>
      </c>
      <c r="ES163" s="3784">
        <f>IFERROR(INDEX('2 Staff List'!$HZ$64:$HZ$114,ES21),"")</f>
        <v>0</v>
      </c>
      <c r="ET163" s="3784">
        <f>IFERROR(INDEX('2 Staff List'!$HZ$64:$HZ$114,ET21),"")</f>
        <v>0</v>
      </c>
      <c r="EU163" s="3784">
        <f>IFERROR(INDEX('2 Staff List'!$HZ$64:$HZ$114,EU21),"")</f>
        <v>0</v>
      </c>
      <c r="EV163" s="3784">
        <f>IFERROR(INDEX('2 Staff List'!$HZ$64:$HZ$114,EV21),"")</f>
        <v>0</v>
      </c>
      <c r="EW163" s="3784">
        <f>IFERROR(INDEX('2 Staff List'!$HZ$64:$HZ$114,EW21),"")</f>
        <v>0</v>
      </c>
      <c r="EX163" s="3784">
        <f>IFERROR(INDEX('2 Staff List'!$HZ$64:$HZ$114,EX21),"")</f>
        <v>0</v>
      </c>
      <c r="EY163" s="3784">
        <f>IFERROR(INDEX('2 Staff List'!$HZ$64:$HZ$114,EY21),"")</f>
        <v>0</v>
      </c>
      <c r="EZ163" s="3784">
        <f>IFERROR(INDEX('2 Staff List'!$HZ$64:$HZ$114,EZ21),"")</f>
        <v>0</v>
      </c>
      <c r="FA163" s="3784">
        <f>IFERROR(INDEX('2 Staff List'!$HZ$64:$HZ$114,FA21),"")</f>
        <v>0</v>
      </c>
      <c r="FB163" s="3784">
        <f>IFERROR(INDEX('2 Staff List'!$HZ$64:$HZ$114,FB21),"")</f>
        <v>0</v>
      </c>
      <c r="FC163" s="3784">
        <f>IFERROR(INDEX('2 Staff List'!$HZ$64:$HZ$114,FC21),"")</f>
        <v>0</v>
      </c>
      <c r="FD163" s="3784">
        <f>IFERROR(INDEX('2 Staff List'!$HZ$64:$HZ$114,FD21),"")</f>
        <v>0</v>
      </c>
      <c r="FE163" s="3784">
        <f>IFERROR(INDEX('2 Staff List'!$HZ$64:$HZ$114,FE21),"")</f>
        <v>0</v>
      </c>
      <c r="FF163" s="3784">
        <f>IFERROR(INDEX('2 Staff List'!$HZ$64:$HZ$114,FF21),"")</f>
        <v>0</v>
      </c>
      <c r="FG163" s="3784">
        <f>IFERROR(INDEX('2 Staff List'!$HZ$64:$HZ$114,FG21),"")</f>
        <v>0</v>
      </c>
      <c r="FH163" s="3783"/>
      <c r="FI163" s="6"/>
      <c r="FJ163" s="3801"/>
      <c r="FK163" s="3802"/>
      <c r="FL163" s="3802"/>
      <c r="FM163" s="3802"/>
      <c r="FN163" s="3803"/>
      <c r="FO163" s="224"/>
      <c r="FP163" s="224"/>
      <c r="FQ163" s="224"/>
      <c r="FR163" s="224"/>
      <c r="FS163" s="224"/>
      <c r="FT163" s="224"/>
      <c r="FU163" s="224"/>
      <c r="FV163" s="224"/>
      <c r="FW163" s="224"/>
      <c r="FX163" s="224"/>
      <c r="FY163" s="225"/>
      <c r="FZ163" s="225"/>
      <c r="GA163" s="225"/>
      <c r="GB163" s="225"/>
      <c r="GC163" s="225"/>
      <c r="GD163" s="224"/>
      <c r="GE163" s="224"/>
      <c r="GF163" s="224"/>
      <c r="GG163" s="224"/>
      <c r="GH163" s="224"/>
      <c r="GI163" s="224"/>
      <c r="GJ163" s="224"/>
      <c r="GK163" s="224"/>
      <c r="GL163" s="224"/>
      <c r="GM163" s="224"/>
      <c r="GN163" s="120"/>
      <c r="GO163" s="35"/>
      <c r="GP163" s="35"/>
      <c r="GQ163" s="35"/>
      <c r="GR163" s="133"/>
      <c r="GS163" s="133"/>
      <c r="GT163" s="133"/>
      <c r="GU163" s="133"/>
      <c r="GV163" s="133"/>
      <c r="GW163" s="133"/>
      <c r="GX163" s="133"/>
      <c r="GY163" s="133"/>
      <c r="GZ163" s="133"/>
      <c r="HA163" s="133"/>
      <c r="HB163" s="133"/>
      <c r="HC163" s="133"/>
      <c r="HD163" s="133"/>
      <c r="HE163" s="133"/>
      <c r="HF163" s="133"/>
      <c r="HG163" s="133"/>
      <c r="HH163" s="133"/>
      <c r="HI163" s="133"/>
      <c r="HJ163" s="133"/>
      <c r="HK163" s="133"/>
      <c r="HL163" s="133"/>
      <c r="HM163" s="133"/>
      <c r="HN163" s="133"/>
      <c r="HO163" s="133"/>
      <c r="HP163" s="133"/>
      <c r="HQ163" s="133"/>
      <c r="HR163" s="133"/>
      <c r="HS163" s="133"/>
      <c r="HT163" s="133"/>
      <c r="HU163" s="133"/>
      <c r="HV163" s="133"/>
      <c r="HW163" s="133"/>
      <c r="HX163" s="133"/>
      <c r="HY163" s="133"/>
      <c r="HZ163" s="133"/>
      <c r="IA163" s="133"/>
      <c r="IB163" s="133"/>
      <c r="IC163" s="133"/>
      <c r="ID163" s="133"/>
      <c r="IE163" s="133"/>
      <c r="IF163" s="133"/>
      <c r="IG163" s="133"/>
      <c r="IH163" s="133"/>
      <c r="II163" s="133"/>
      <c r="IJ163" s="133"/>
      <c r="IK163" s="133"/>
      <c r="IL163" s="133"/>
      <c r="IM163" s="133"/>
      <c r="IN163" s="133"/>
      <c r="IO163" s="133"/>
      <c r="IP163" s="133"/>
      <c r="IQ163" s="133"/>
      <c r="IR163" s="133"/>
      <c r="IS163" s="133"/>
      <c r="IT163" s="133"/>
      <c r="IU163" s="133"/>
      <c r="IV163" s="133"/>
      <c r="IW163" s="133"/>
      <c r="IX163" s="133"/>
      <c r="IY163" s="133"/>
      <c r="IZ163" s="133"/>
      <c r="JA163" s="133"/>
      <c r="JB163" s="133"/>
      <c r="JC163" s="133"/>
      <c r="JD163" s="133"/>
      <c r="JE163" s="133"/>
      <c r="JF163" s="133"/>
      <c r="JG163" s="133"/>
      <c r="JH163" s="133"/>
      <c r="JI163" s="133"/>
      <c r="JJ163" s="133"/>
      <c r="JK163" s="133"/>
      <c r="JL163" s="133"/>
      <c r="JM163" s="133"/>
      <c r="JN163" s="133"/>
      <c r="JO163" s="133"/>
      <c r="JP163" s="133"/>
      <c r="JQ163" s="133"/>
      <c r="JR163" s="133"/>
      <c r="JS163" s="133"/>
      <c r="JT163" s="133"/>
      <c r="JU163" s="133"/>
      <c r="JV163" s="133"/>
      <c r="JW163" s="133"/>
      <c r="JX163" s="133"/>
      <c r="JY163" s="133"/>
      <c r="JZ163" s="133"/>
      <c r="KA163" s="133"/>
      <c r="KB163" s="133"/>
      <c r="KC163" s="133"/>
      <c r="KD163" s="133"/>
      <c r="KE163" s="133"/>
      <c r="KF163" s="133"/>
      <c r="KG163" s="133"/>
      <c r="KH163" s="133"/>
      <c r="KI163" s="133"/>
      <c r="KJ163" s="133"/>
      <c r="KK163" s="133"/>
      <c r="KL163" s="133"/>
      <c r="KM163" s="133"/>
      <c r="KN163" s="133"/>
      <c r="KO163" s="133"/>
      <c r="KP163" s="133"/>
      <c r="KQ163" s="133"/>
      <c r="KR163" s="133"/>
      <c r="KS163" s="133"/>
      <c r="KT163" s="133"/>
      <c r="KU163" s="133"/>
      <c r="KV163" s="133"/>
      <c r="KW163" s="133"/>
      <c r="KX163" s="133"/>
      <c r="KY163" s="133"/>
      <c r="KZ163" s="133"/>
      <c r="LA163" s="133"/>
      <c r="LB163" s="133"/>
      <c r="LC163" s="133"/>
      <c r="LD163" s="133"/>
      <c r="LE163" s="133"/>
      <c r="LF163" s="133"/>
      <c r="LG163" s="133"/>
      <c r="LH163" s="133"/>
      <c r="LI163" s="133"/>
      <c r="LJ163" s="133"/>
      <c r="LK163" s="133"/>
      <c r="LL163" s="133"/>
      <c r="LM163" s="133"/>
      <c r="LN163" s="133"/>
      <c r="LO163" s="133"/>
      <c r="LP163" s="133"/>
      <c r="LQ163" s="133"/>
      <c r="LR163" s="133"/>
    </row>
    <row r="164" spans="1:331" ht="18" customHeight="1" thickBot="1" x14ac:dyDescent="0.35">
      <c r="A164" s="280"/>
      <c r="B164" s="297"/>
      <c r="C164" s="101"/>
      <c r="D164" s="101"/>
      <c r="E164" s="101"/>
      <c r="F164" s="373"/>
      <c r="G164" s="373"/>
      <c r="H164" s="102"/>
      <c r="I164" s="102"/>
      <c r="K164" s="102"/>
      <c r="L164" s="102"/>
      <c r="M164" s="103"/>
      <c r="N164" s="103"/>
      <c r="O164" s="104"/>
      <c r="Q164" s="3014" t="str">
        <f>IF($G$28=0,"Federal Projects shouldn't use general contingency","Non-Labor Contingency (S):")</f>
        <v>Non-Labor Contingency (S):</v>
      </c>
      <c r="R164" s="3016" t="s">
        <v>3943</v>
      </c>
      <c r="S164" s="3015"/>
      <c r="T164" s="3026">
        <f>SUMIFS($T$173:$T$364,$CY$173:$CY$364,1,$AH$173:$AH$364,1,$CU$173:$CU$364,1,$CR$173:$CR$364,0)+N("Original Bill Hours")</f>
        <v>1363</v>
      </c>
      <c r="U164" s="2144"/>
      <c r="V164" s="2633">
        <f>SUMIFS($V$173:$V$364,$CY$173:$CY$364,1,$CU$173:$CU$364,1,$CR$173:$CR$364,0)+N("Original PC Cost")</f>
        <v>2357.9899999999998</v>
      </c>
      <c r="W164" s="2633">
        <f ca="1">SUMIFS($W$173:$W$364,$AH$173:$AH$364,1,$CY$173:$CY$364,1,$CU$173:$CU$364,1,$CR$173:$CR$364,0)+N("Original Fee")</f>
        <v>0</v>
      </c>
      <c r="X164" s="2633">
        <f ca="1">SUMIFS($X$173:$X$364,$CY$173:$CY$364,1,$AH$173:$AH$364,1,$CU$173:$CU$364,1,$CR$173:$CR$364,0)+N("Original Labor Revenue")</f>
        <v>68492.781824999998</v>
      </c>
      <c r="Y164" s="2633">
        <f>SUMIFS($Y$173:$Y$364,$CY$173:$CY$364,1,$CU$173:$CU$364,1,$CR$173:$CR$364,0)+N("Original Burdened Labor")</f>
        <v>37383.684232</v>
      </c>
      <c r="Z164" s="2633">
        <f>SUMIFS($Z$173:$Z$364,$CY$173:$CY$364,1,$CU$173:$CU$364,1,$CR$173:$CR$364,0)+N("Original Raw Labor")</f>
        <v>24594.5291</v>
      </c>
      <c r="AA164" s="458">
        <f>IF($C$7="B",0,CZ164)</f>
        <v>0</v>
      </c>
      <c r="AB164" s="458">
        <f>IF($C$7="B",0,AA164)</f>
        <v>0</v>
      </c>
      <c r="AC164" s="1649"/>
      <c r="AD164" s="1649"/>
      <c r="AE164" s="460"/>
      <c r="AF164" s="460"/>
      <c r="AG164" s="460"/>
      <c r="AH164" s="3835" t="s">
        <v>2122</v>
      </c>
      <c r="AI164" s="460"/>
      <c r="AJ164" s="460"/>
      <c r="AK164" s="460"/>
      <c r="AL164" s="460"/>
      <c r="AM164" s="460"/>
      <c r="AN164" s="460"/>
      <c r="AO164" s="1763"/>
      <c r="AP164" s="1763"/>
      <c r="AQ164" s="1763"/>
      <c r="AR164" s="1763"/>
      <c r="AS164" s="1763"/>
      <c r="AT164" s="1763"/>
      <c r="AU164" s="1763"/>
      <c r="AV164" s="1763"/>
      <c r="AW164" s="1763"/>
      <c r="AX164" s="1763"/>
      <c r="AY164" s="460"/>
      <c r="AZ164" s="460"/>
      <c r="BA164" s="460"/>
      <c r="BB164" s="460"/>
      <c r="BC164" s="460"/>
      <c r="BD164" s="460"/>
      <c r="BE164" s="460"/>
      <c r="BF164" s="460"/>
      <c r="BG164" s="460"/>
      <c r="BH164" s="460"/>
      <c r="BI164" s="460"/>
      <c r="BJ164" s="460"/>
      <c r="BK164" s="460"/>
      <c r="BL164" s="460"/>
      <c r="BM164" s="460"/>
      <c r="BN164" s="460"/>
      <c r="BO164" s="460"/>
      <c r="BP164" s="460"/>
      <c r="BQ164" s="460"/>
      <c r="BR164" s="460"/>
      <c r="BS164" s="460"/>
      <c r="BT164" s="460"/>
      <c r="BU164" s="460"/>
      <c r="BV164" s="460"/>
      <c r="BW164" s="460"/>
      <c r="BX164" s="460"/>
      <c r="BY164" s="460"/>
      <c r="BZ164" s="460"/>
      <c r="CA164" s="460"/>
      <c r="CB164" s="460"/>
      <c r="CC164" s="460"/>
      <c r="CD164" s="460"/>
      <c r="CE164" s="460"/>
      <c r="CF164" s="460"/>
      <c r="CG164" s="460"/>
      <c r="CH164" s="460"/>
      <c r="CI164" s="460"/>
      <c r="CJ164" s="460"/>
      <c r="CK164" s="460"/>
      <c r="CL164" s="460"/>
      <c r="CM164" s="460"/>
      <c r="CN164" s="460"/>
      <c r="CO164" s="460"/>
      <c r="CP164" s="460"/>
      <c r="CQ164" s="460"/>
      <c r="CR164" s="460"/>
      <c r="CS164" s="460"/>
      <c r="CT164" s="460"/>
      <c r="CU164" s="460"/>
      <c r="CV164" s="460"/>
      <c r="CW164" s="460"/>
      <c r="CX164" s="460"/>
      <c r="CY164" s="460"/>
      <c r="CZ164" s="3017"/>
      <c r="DA164" s="3032">
        <f>IF($C$7="B",0,(CZ164-S164)*G28)</f>
        <v>0</v>
      </c>
      <c r="DB164" s="196"/>
      <c r="DC164" s="120"/>
      <c r="DD164" s="219"/>
      <c r="DE164" s="6"/>
      <c r="DF164" s="6"/>
      <c r="DG164" s="6"/>
      <c r="DH164" s="35"/>
      <c r="DJ164" s="3784"/>
      <c r="DK164" s="3784"/>
      <c r="DL164" s="3784"/>
      <c r="DM164" s="3784"/>
      <c r="DN164" s="3784"/>
      <c r="DO164" s="3784"/>
      <c r="DP164" s="3784"/>
      <c r="DQ164" s="3784"/>
      <c r="DR164" s="3784"/>
      <c r="DS164" s="3784"/>
      <c r="DT164" s="3784"/>
      <c r="DU164" s="3784"/>
      <c r="DV164" s="3784"/>
      <c r="DW164" s="3784"/>
      <c r="DX164" s="3784"/>
      <c r="DY164" s="3784"/>
      <c r="DZ164" s="3784"/>
      <c r="EA164" s="3784"/>
      <c r="EB164" s="3784"/>
      <c r="EC164" s="3784"/>
      <c r="ED164" s="3784"/>
      <c r="EE164" s="3784"/>
      <c r="EF164" s="3784"/>
      <c r="EG164" s="3784"/>
      <c r="EH164" s="3784"/>
      <c r="EI164" s="3784"/>
      <c r="EJ164" s="3784"/>
      <c r="EK164" s="3784"/>
      <c r="EL164" s="3784"/>
      <c r="EM164" s="3784"/>
      <c r="EN164" s="3784"/>
      <c r="EO164" s="3784"/>
      <c r="EP164" s="3784"/>
      <c r="EQ164" s="3784"/>
      <c r="ER164" s="3784"/>
      <c r="ES164" s="3784"/>
      <c r="ET164" s="3784"/>
      <c r="EU164" s="3784"/>
      <c r="EV164" s="3784"/>
      <c r="EW164" s="3784"/>
      <c r="EX164" s="3784"/>
      <c r="EY164" s="3784"/>
      <c r="EZ164" s="3784"/>
      <c r="FA164" s="3784"/>
      <c r="FB164" s="3784"/>
      <c r="FC164" s="3784"/>
      <c r="FD164" s="3784"/>
      <c r="FE164" s="3784"/>
      <c r="FF164" s="3784"/>
      <c r="FG164" s="3784"/>
      <c r="FH164" s="3783"/>
      <c r="FI164" s="6"/>
      <c r="FJ164" s="3801"/>
      <c r="FK164" s="3802"/>
      <c r="FL164" s="3802"/>
      <c r="FM164" s="3802"/>
      <c r="FN164" s="3803"/>
      <c r="FO164" s="224"/>
      <c r="FP164" s="224"/>
      <c r="FQ164" s="224"/>
      <c r="FR164" s="224"/>
      <c r="FS164" s="224"/>
      <c r="FT164" s="224"/>
      <c r="FU164" s="224"/>
      <c r="FV164" s="224"/>
      <c r="FW164" s="224"/>
      <c r="FX164" s="224"/>
      <c r="FY164" s="225"/>
      <c r="FZ164" s="225"/>
      <c r="GA164" s="225"/>
      <c r="GB164" s="225"/>
      <c r="GC164" s="225"/>
      <c r="GD164" s="224"/>
      <c r="GE164" s="224"/>
      <c r="GF164" s="224"/>
      <c r="GG164" s="224"/>
      <c r="GH164" s="224"/>
      <c r="GI164" s="224"/>
      <c r="GJ164" s="224"/>
      <c r="GK164" s="224"/>
      <c r="GL164" s="224"/>
      <c r="GM164" s="224"/>
    </row>
    <row r="165" spans="1:331" ht="18" customHeight="1" thickBot="1" x14ac:dyDescent="0.35">
      <c r="A165" s="280"/>
      <c r="B165" s="297"/>
      <c r="C165" s="101"/>
      <c r="D165" s="101"/>
      <c r="E165" s="101"/>
      <c r="F165" s="373"/>
      <c r="G165" s="373"/>
      <c r="H165" s="102"/>
      <c r="I165" s="102"/>
      <c r="K165" s="102"/>
      <c r="L165" s="102"/>
      <c r="M165" s="103"/>
      <c r="N165" s="103"/>
      <c r="O165" s="104"/>
      <c r="P165" s="196"/>
      <c r="Q165" s="3109" t="str">
        <f>IF($G$28=0,"Federal Projects shouldn't use general contingency","Cost Reserve (R):")</f>
        <v>Cost Reserve (R):</v>
      </c>
      <c r="R165" s="1941" t="s">
        <v>3943</v>
      </c>
      <c r="S165" s="3015"/>
      <c r="T165" s="1847"/>
      <c r="U165" s="2063"/>
      <c r="V165" s="458"/>
      <c r="W165" s="458"/>
      <c r="X165" s="458"/>
      <c r="Y165" s="458"/>
      <c r="Z165" s="458"/>
      <c r="AA165" s="458"/>
      <c r="AB165" s="458"/>
      <c r="AC165" s="1648"/>
      <c r="AD165" s="1650"/>
      <c r="AE165" s="600"/>
      <c r="AF165" s="600"/>
      <c r="AG165" s="600"/>
      <c r="AH165" s="3836"/>
      <c r="AI165" s="600"/>
      <c r="AJ165" s="600"/>
      <c r="AK165" s="600"/>
      <c r="AL165" s="600"/>
      <c r="AM165" s="600"/>
      <c r="AN165" s="600"/>
      <c r="AO165" s="1922"/>
      <c r="AP165" s="1922"/>
      <c r="AQ165" s="1922"/>
      <c r="AR165" s="1922"/>
      <c r="AS165" s="1922"/>
      <c r="AT165" s="1922"/>
      <c r="AU165" s="1922"/>
      <c r="AV165" s="1922"/>
      <c r="AW165" s="1922"/>
      <c r="AX165" s="1922"/>
      <c r="AY165" s="600"/>
      <c r="AZ165" s="600"/>
      <c r="BA165" s="600"/>
      <c r="BB165" s="600"/>
      <c r="BC165" s="600"/>
      <c r="BD165" s="600"/>
      <c r="BE165" s="600"/>
      <c r="BF165" s="600"/>
      <c r="BG165" s="600"/>
      <c r="BH165" s="600"/>
      <c r="BI165" s="600"/>
      <c r="BJ165" s="600"/>
      <c r="BK165" s="600"/>
      <c r="BL165" s="600"/>
      <c r="BM165" s="600"/>
      <c r="BN165" s="600"/>
      <c r="BO165" s="600"/>
      <c r="BP165" s="600"/>
      <c r="BQ165" s="600"/>
      <c r="BR165" s="600"/>
      <c r="BS165" s="600"/>
      <c r="BT165" s="600"/>
      <c r="BU165" s="600"/>
      <c r="BV165" s="600"/>
      <c r="BW165" s="600"/>
      <c r="BX165" s="600"/>
      <c r="BY165" s="600"/>
      <c r="BZ165" s="600"/>
      <c r="CA165" s="600"/>
      <c r="CB165" s="600"/>
      <c r="CC165" s="600"/>
      <c r="CD165" s="600"/>
      <c r="CE165" s="600"/>
      <c r="CF165" s="600"/>
      <c r="CG165" s="600"/>
      <c r="CH165" s="600"/>
      <c r="CI165" s="600"/>
      <c r="CJ165" s="600"/>
      <c r="CK165" s="600"/>
      <c r="CL165" s="600"/>
      <c r="CM165" s="600"/>
      <c r="CN165" s="600"/>
      <c r="CO165" s="600"/>
      <c r="CP165" s="600"/>
      <c r="CQ165" s="600"/>
      <c r="CR165" s="600"/>
      <c r="CS165" s="600"/>
      <c r="CT165" s="600"/>
      <c r="CU165" s="600"/>
      <c r="CV165" s="600"/>
      <c r="CW165" s="600"/>
      <c r="CX165" s="600"/>
      <c r="CY165" s="1919"/>
      <c r="CZ165" s="2987" t="s">
        <v>3943</v>
      </c>
      <c r="DA165" s="3032">
        <f>IF($C$7="B",0,-S165*G28)</f>
        <v>0</v>
      </c>
      <c r="DB165" s="196"/>
      <c r="DC165" s="2062"/>
      <c r="DD165" s="219"/>
      <c r="DE165" s="6"/>
      <c r="DF165" s="6"/>
      <c r="DG165" s="6"/>
      <c r="DH165" s="67" t="s">
        <v>14</v>
      </c>
      <c r="DJ165" s="3784"/>
      <c r="DK165" s="3784"/>
      <c r="DL165" s="3784"/>
      <c r="DM165" s="3784"/>
      <c r="DN165" s="3784"/>
      <c r="DO165" s="3784"/>
      <c r="DP165" s="3784"/>
      <c r="DQ165" s="3784"/>
      <c r="DR165" s="3784"/>
      <c r="DS165" s="3784"/>
      <c r="DT165" s="3784"/>
      <c r="DU165" s="3784"/>
      <c r="DV165" s="3784"/>
      <c r="DW165" s="3784"/>
      <c r="DX165" s="3784"/>
      <c r="DY165" s="3784"/>
      <c r="DZ165" s="3784"/>
      <c r="EA165" s="3784"/>
      <c r="EB165" s="3784"/>
      <c r="EC165" s="3784"/>
      <c r="ED165" s="3784"/>
      <c r="EE165" s="3784"/>
      <c r="EF165" s="3784"/>
      <c r="EG165" s="3784"/>
      <c r="EH165" s="3784"/>
      <c r="EI165" s="3784"/>
      <c r="EJ165" s="3784"/>
      <c r="EK165" s="3784"/>
      <c r="EL165" s="3784"/>
      <c r="EM165" s="3784"/>
      <c r="EN165" s="3784"/>
      <c r="EO165" s="3784"/>
      <c r="EP165" s="3784"/>
      <c r="EQ165" s="3784"/>
      <c r="ER165" s="3784"/>
      <c r="ES165" s="3784"/>
      <c r="ET165" s="3784"/>
      <c r="EU165" s="3784"/>
      <c r="EV165" s="3784"/>
      <c r="EW165" s="3784"/>
      <c r="EX165" s="3784"/>
      <c r="EY165" s="3784"/>
      <c r="EZ165" s="3784"/>
      <c r="FA165" s="3784"/>
      <c r="FB165" s="3784"/>
      <c r="FC165" s="3784"/>
      <c r="FD165" s="3784"/>
      <c r="FE165" s="3784"/>
      <c r="FF165" s="3784"/>
      <c r="FG165" s="3784"/>
      <c r="FH165" s="3783"/>
      <c r="FI165" s="6"/>
      <c r="FJ165" s="3801"/>
      <c r="FK165" s="3802"/>
      <c r="FL165" s="3802"/>
      <c r="FM165" s="3802"/>
      <c r="FN165" s="3803"/>
      <c r="FO165" s="224"/>
      <c r="FP165" s="224"/>
      <c r="FQ165" s="224"/>
      <c r="FR165" s="224"/>
      <c r="FS165" s="224"/>
      <c r="FT165" s="224"/>
      <c r="FU165" s="224"/>
      <c r="FV165" s="224"/>
      <c r="FW165" s="224"/>
      <c r="FX165" s="224"/>
      <c r="FY165" s="225"/>
      <c r="FZ165" s="225"/>
      <c r="GA165" s="225"/>
      <c r="GB165" s="225"/>
      <c r="GC165" s="225"/>
      <c r="GD165" s="224"/>
      <c r="GE165" s="224"/>
      <c r="GF165" s="224"/>
      <c r="GG165" s="224"/>
      <c r="GH165" s="224"/>
      <c r="GI165" s="224"/>
      <c r="GJ165" s="224"/>
      <c r="GK165" s="224"/>
      <c r="GL165" s="224"/>
      <c r="GM165" s="224"/>
    </row>
    <row r="166" spans="1:331" ht="18" customHeight="1" thickBot="1" x14ac:dyDescent="0.35">
      <c r="A166" s="280"/>
      <c r="B166" s="297"/>
      <c r="C166" s="101"/>
      <c r="D166" s="101"/>
      <c r="E166" s="101"/>
      <c r="F166" s="373"/>
      <c r="G166" s="373"/>
      <c r="H166" s="102"/>
      <c r="I166" s="102"/>
      <c r="K166" s="102"/>
      <c r="L166" s="102"/>
      <c r="M166" s="103"/>
      <c r="N166" s="103"/>
      <c r="O166" s="104"/>
      <c r="Q166" s="3108" t="s">
        <v>4296</v>
      </c>
      <c r="R166" s="3047" t="s">
        <v>3943</v>
      </c>
      <c r="S166" s="3048" t="s">
        <v>3943</v>
      </c>
      <c r="T166" s="3110">
        <f>'1 Setup'!W96</f>
        <v>0</v>
      </c>
      <c r="U166" s="3103"/>
      <c r="V166" s="3103"/>
      <c r="W166" s="458">
        <f>IF(C7="B",0,SUMIFS($W$173:$W$364,$AH$173:$AH$364,1,$CY$173:$CY$364,1,$CU$173:$CU$364,1,$CR$173:$CR$364,0))+N("Original and Not Specified")</f>
        <v>0</v>
      </c>
      <c r="X166" s="3103"/>
      <c r="Y166" s="3103"/>
      <c r="Z166" s="3103"/>
      <c r="AA166" s="3104">
        <f>IF(DH29=0,0,($W$169+(X163*'1 Setup'!W96)))</f>
        <v>0</v>
      </c>
      <c r="AB166" s="3104"/>
      <c r="AC166" s="1648"/>
      <c r="AD166" s="1650"/>
      <c r="AE166" s="600"/>
      <c r="AF166" s="600"/>
      <c r="AG166" s="600"/>
      <c r="AH166" s="3836"/>
      <c r="AI166" s="600"/>
      <c r="AJ166" s="600"/>
      <c r="AK166" s="600"/>
      <c r="AL166" s="600"/>
      <c r="AM166" s="600"/>
      <c r="AN166" s="600"/>
      <c r="AO166" s="1922"/>
      <c r="AP166" s="1922"/>
      <c r="AQ166" s="1922"/>
      <c r="AR166" s="1922"/>
      <c r="AS166" s="1922"/>
      <c r="AT166" s="1922"/>
      <c r="AU166" s="1922"/>
      <c r="AV166" s="1922"/>
      <c r="AW166" s="1922"/>
      <c r="AX166" s="1922"/>
      <c r="AY166" s="600"/>
      <c r="AZ166" s="600"/>
      <c r="BA166" s="600"/>
      <c r="BB166" s="600"/>
      <c r="BC166" s="600"/>
      <c r="BD166" s="600"/>
      <c r="BE166" s="600"/>
      <c r="BF166" s="600"/>
      <c r="BG166" s="600"/>
      <c r="BH166" s="600"/>
      <c r="BI166" s="600"/>
      <c r="BJ166" s="600"/>
      <c r="BK166" s="600"/>
      <c r="BL166" s="600"/>
      <c r="BM166" s="600"/>
      <c r="BN166" s="600"/>
      <c r="BO166" s="600"/>
      <c r="BP166" s="600"/>
      <c r="BQ166" s="600"/>
      <c r="BR166" s="600"/>
      <c r="BS166" s="600"/>
      <c r="BT166" s="600"/>
      <c r="BU166" s="600"/>
      <c r="BV166" s="600"/>
      <c r="BW166" s="600"/>
      <c r="BX166" s="600"/>
      <c r="BY166" s="600"/>
      <c r="BZ166" s="600"/>
      <c r="CA166" s="600"/>
      <c r="CB166" s="600"/>
      <c r="CC166" s="600"/>
      <c r="CD166" s="600"/>
      <c r="CE166" s="600"/>
      <c r="CF166" s="600"/>
      <c r="CG166" s="600"/>
      <c r="CH166" s="600"/>
      <c r="CI166" s="600"/>
      <c r="CJ166" s="600"/>
      <c r="CK166" s="600"/>
      <c r="CL166" s="600"/>
      <c r="CM166" s="600"/>
      <c r="CN166" s="600"/>
      <c r="CO166" s="600"/>
      <c r="CP166" s="600"/>
      <c r="CQ166" s="600"/>
      <c r="CR166" s="600"/>
      <c r="CS166" s="600"/>
      <c r="CT166" s="600"/>
      <c r="CU166" s="600"/>
      <c r="CV166" s="600"/>
      <c r="CW166" s="600"/>
      <c r="CX166" s="600"/>
      <c r="CY166" s="1919"/>
      <c r="CZ166" s="3049">
        <f>W166</f>
        <v>0</v>
      </c>
      <c r="DA166" s="3050">
        <f>AB166</f>
        <v>0</v>
      </c>
      <c r="DB166" s="196"/>
      <c r="DC166" s="2062"/>
      <c r="DD166" s="219"/>
      <c r="DE166" s="6"/>
      <c r="DF166" s="6"/>
      <c r="DG166" s="6"/>
      <c r="DH166" s="35"/>
      <c r="DJ166" s="3784"/>
      <c r="DK166" s="3784"/>
      <c r="DL166" s="3784"/>
      <c r="DM166" s="3784"/>
      <c r="DN166" s="3784"/>
      <c r="DO166" s="3784"/>
      <c r="DP166" s="3784"/>
      <c r="DQ166" s="3784"/>
      <c r="DR166" s="3784"/>
      <c r="DS166" s="3784"/>
      <c r="DT166" s="3784"/>
      <c r="DU166" s="3784"/>
      <c r="DV166" s="3784"/>
      <c r="DW166" s="3784"/>
      <c r="DX166" s="3784"/>
      <c r="DY166" s="3784"/>
      <c r="DZ166" s="3784"/>
      <c r="EA166" s="3784"/>
      <c r="EB166" s="3784"/>
      <c r="EC166" s="3784"/>
      <c r="ED166" s="3784"/>
      <c r="EE166" s="3784"/>
      <c r="EF166" s="3784"/>
      <c r="EG166" s="3784"/>
      <c r="EH166" s="3784"/>
      <c r="EI166" s="3784"/>
      <c r="EJ166" s="3784"/>
      <c r="EK166" s="3784"/>
      <c r="EL166" s="3784"/>
      <c r="EM166" s="3784"/>
      <c r="EN166" s="3784"/>
      <c r="EO166" s="3784"/>
      <c r="EP166" s="3784"/>
      <c r="EQ166" s="3784"/>
      <c r="ER166" s="3784"/>
      <c r="ES166" s="3784"/>
      <c r="ET166" s="3784"/>
      <c r="EU166" s="3784"/>
      <c r="EV166" s="3784"/>
      <c r="EW166" s="3784"/>
      <c r="EX166" s="3784"/>
      <c r="EY166" s="3784"/>
      <c r="EZ166" s="3784"/>
      <c r="FA166" s="3784"/>
      <c r="FB166" s="3784"/>
      <c r="FC166" s="3784"/>
      <c r="FD166" s="3784"/>
      <c r="FE166" s="3784"/>
      <c r="FF166" s="3784"/>
      <c r="FG166" s="3784"/>
      <c r="FH166" s="3783"/>
      <c r="FI166" s="6"/>
      <c r="FJ166" s="3804"/>
      <c r="FK166" s="3805"/>
      <c r="FL166" s="3805"/>
      <c r="FM166" s="3805"/>
      <c r="FN166" s="3806"/>
      <c r="FO166" s="224"/>
      <c r="FP166" s="224"/>
      <c r="FQ166" s="224"/>
      <c r="FR166" s="224"/>
      <c r="FS166" s="224"/>
      <c r="FT166" s="224"/>
      <c r="FU166" s="224"/>
      <c r="FV166" s="224"/>
      <c r="FW166" s="224"/>
      <c r="FX166" s="224"/>
      <c r="FY166" s="225"/>
      <c r="FZ166" s="225"/>
      <c r="GA166" s="225"/>
      <c r="GB166" s="225"/>
      <c r="GC166" s="225"/>
      <c r="GD166" s="224"/>
      <c r="GE166" s="224"/>
      <c r="GF166" s="224"/>
      <c r="GG166" s="224"/>
      <c r="GH166" s="224"/>
      <c r="GI166" s="224"/>
      <c r="GJ166" s="224"/>
      <c r="GK166" s="224"/>
      <c r="GL166" s="224"/>
      <c r="GM166" s="224"/>
      <c r="GN166" s="3639" t="s">
        <v>791</v>
      </c>
      <c r="GO166" s="3639"/>
      <c r="GP166" s="3639"/>
      <c r="GQ166" s="3639"/>
      <c r="GR166" s="3639"/>
      <c r="GS166" s="3640"/>
      <c r="GT166" s="715" t="str">
        <f t="shared" ref="GT166:HY166" si="301">GT32</f>
        <v/>
      </c>
      <c r="GU166" s="715" t="str">
        <f t="shared" si="301"/>
        <v/>
      </c>
      <c r="GV166" s="715" t="str">
        <f t="shared" si="301"/>
        <v>P</v>
      </c>
      <c r="GW166" s="715" t="str">
        <f t="shared" si="301"/>
        <v/>
      </c>
      <c r="GX166" s="715" t="str">
        <f t="shared" si="301"/>
        <v/>
      </c>
      <c r="GY166" s="715" t="str">
        <f t="shared" si="301"/>
        <v/>
      </c>
      <c r="GZ166" s="715" t="str">
        <f t="shared" si="301"/>
        <v>P</v>
      </c>
      <c r="HA166" s="715" t="str">
        <f t="shared" si="301"/>
        <v/>
      </c>
      <c r="HB166" s="715" t="str">
        <f t="shared" si="301"/>
        <v/>
      </c>
      <c r="HC166" s="715" t="str">
        <f t="shared" si="301"/>
        <v/>
      </c>
      <c r="HD166" s="715" t="str">
        <f t="shared" si="301"/>
        <v/>
      </c>
      <c r="HE166" s="715" t="str">
        <f t="shared" si="301"/>
        <v>Q</v>
      </c>
      <c r="HF166" s="715" t="str">
        <f t="shared" si="301"/>
        <v/>
      </c>
      <c r="HG166" s="715" t="str">
        <f t="shared" si="301"/>
        <v/>
      </c>
      <c r="HH166" s="715" t="str">
        <f t="shared" si="301"/>
        <v/>
      </c>
      <c r="HI166" s="715" t="str">
        <f t="shared" si="301"/>
        <v>P</v>
      </c>
      <c r="HJ166" s="715" t="str">
        <f t="shared" si="301"/>
        <v/>
      </c>
      <c r="HK166" s="715" t="str">
        <f t="shared" si="301"/>
        <v/>
      </c>
      <c r="HL166" s="715" t="str">
        <f t="shared" si="301"/>
        <v/>
      </c>
      <c r="HM166" s="715" t="str">
        <f t="shared" si="301"/>
        <v>P</v>
      </c>
      <c r="HN166" s="715" t="str">
        <f t="shared" si="301"/>
        <v/>
      </c>
      <c r="HO166" s="715" t="str">
        <f t="shared" si="301"/>
        <v/>
      </c>
      <c r="HP166" s="715" t="str">
        <f t="shared" si="301"/>
        <v/>
      </c>
      <c r="HQ166" s="715" t="str">
        <f t="shared" si="301"/>
        <v/>
      </c>
      <c r="HR166" s="715" t="str">
        <f t="shared" si="301"/>
        <v>Q</v>
      </c>
      <c r="HS166" s="715" t="str">
        <f t="shared" si="301"/>
        <v/>
      </c>
      <c r="HT166" s="715" t="str">
        <f t="shared" si="301"/>
        <v/>
      </c>
      <c r="HU166" s="715" t="str">
        <f t="shared" si="301"/>
        <v/>
      </c>
      <c r="HV166" s="715" t="str">
        <f t="shared" si="301"/>
        <v>P</v>
      </c>
      <c r="HW166" s="715" t="str">
        <f t="shared" si="301"/>
        <v/>
      </c>
      <c r="HX166" s="715" t="str">
        <f t="shared" si="301"/>
        <v/>
      </c>
      <c r="HY166" s="715" t="str">
        <f t="shared" si="301"/>
        <v/>
      </c>
      <c r="HZ166" s="715" t="str">
        <f t="shared" ref="HZ166:JE166" si="302">HZ32</f>
        <v>P</v>
      </c>
      <c r="IA166" s="715" t="str">
        <f t="shared" si="302"/>
        <v/>
      </c>
      <c r="IB166" s="715" t="str">
        <f t="shared" si="302"/>
        <v/>
      </c>
      <c r="IC166" s="715" t="str">
        <f t="shared" si="302"/>
        <v/>
      </c>
      <c r="ID166" s="715" t="str">
        <f t="shared" si="302"/>
        <v/>
      </c>
      <c r="IE166" s="715" t="str">
        <f t="shared" si="302"/>
        <v>Y</v>
      </c>
      <c r="IF166" s="715" t="str">
        <f t="shared" si="302"/>
        <v/>
      </c>
      <c r="IG166" s="715" t="str">
        <f t="shared" si="302"/>
        <v/>
      </c>
      <c r="IH166" s="715" t="str">
        <f t="shared" si="302"/>
        <v/>
      </c>
      <c r="II166" s="715" t="str">
        <f t="shared" si="302"/>
        <v>P</v>
      </c>
      <c r="IJ166" s="715" t="str">
        <f t="shared" si="302"/>
        <v/>
      </c>
      <c r="IK166" s="715" t="str">
        <f t="shared" si="302"/>
        <v/>
      </c>
      <c r="IL166" s="715" t="str">
        <f t="shared" si="302"/>
        <v/>
      </c>
      <c r="IM166" s="715" t="str">
        <f t="shared" si="302"/>
        <v>P</v>
      </c>
      <c r="IN166" s="715" t="str">
        <f t="shared" si="302"/>
        <v/>
      </c>
      <c r="IO166" s="715" t="str">
        <f t="shared" si="302"/>
        <v/>
      </c>
      <c r="IP166" s="715" t="str">
        <f t="shared" si="302"/>
        <v/>
      </c>
      <c r="IQ166" s="715" t="str">
        <f t="shared" si="302"/>
        <v/>
      </c>
      <c r="IR166" s="715" t="str">
        <f t="shared" si="302"/>
        <v>Q</v>
      </c>
      <c r="IS166" s="715" t="str">
        <f t="shared" si="302"/>
        <v/>
      </c>
      <c r="IT166" s="715" t="str">
        <f t="shared" si="302"/>
        <v/>
      </c>
      <c r="IU166" s="715" t="str">
        <f t="shared" si="302"/>
        <v/>
      </c>
      <c r="IV166" s="715" t="str">
        <f t="shared" si="302"/>
        <v>P</v>
      </c>
      <c r="IW166" s="715" t="str">
        <f t="shared" si="302"/>
        <v/>
      </c>
      <c r="IX166" s="715" t="str">
        <f t="shared" si="302"/>
        <v/>
      </c>
      <c r="IY166" s="715" t="str">
        <f t="shared" si="302"/>
        <v/>
      </c>
      <c r="IZ166" s="715" t="str">
        <f t="shared" si="302"/>
        <v>P</v>
      </c>
      <c r="JA166" s="715" t="str">
        <f t="shared" si="302"/>
        <v/>
      </c>
      <c r="JB166" s="715" t="str">
        <f t="shared" si="302"/>
        <v/>
      </c>
      <c r="JC166" s="715" t="str">
        <f t="shared" si="302"/>
        <v/>
      </c>
      <c r="JD166" s="715" t="str">
        <f t="shared" si="302"/>
        <v/>
      </c>
      <c r="JE166" s="715" t="str">
        <f t="shared" si="302"/>
        <v>Q</v>
      </c>
      <c r="JF166" s="715" t="str">
        <f t="shared" ref="JF166:KK166" si="303">JF32</f>
        <v/>
      </c>
      <c r="JG166" s="715" t="str">
        <f t="shared" si="303"/>
        <v/>
      </c>
      <c r="JH166" s="715" t="str">
        <f t="shared" si="303"/>
        <v/>
      </c>
      <c r="JI166" s="715" t="str">
        <f t="shared" si="303"/>
        <v>P</v>
      </c>
      <c r="JJ166" s="715" t="str">
        <f t="shared" si="303"/>
        <v/>
      </c>
      <c r="JK166" s="715" t="str">
        <f t="shared" si="303"/>
        <v/>
      </c>
      <c r="JL166" s="715" t="str">
        <f t="shared" si="303"/>
        <v/>
      </c>
      <c r="JM166" s="715" t="str">
        <f t="shared" si="303"/>
        <v>P</v>
      </c>
      <c r="JN166" s="715" t="str">
        <f t="shared" si="303"/>
        <v/>
      </c>
      <c r="JO166" s="715" t="str">
        <f t="shared" si="303"/>
        <v/>
      </c>
      <c r="JP166" s="715" t="str">
        <f t="shared" si="303"/>
        <v/>
      </c>
      <c r="JQ166" s="715" t="str">
        <f t="shared" si="303"/>
        <v/>
      </c>
      <c r="JR166" s="715" t="str">
        <f t="shared" si="303"/>
        <v>Q</v>
      </c>
      <c r="JS166" s="715" t="str">
        <f t="shared" si="303"/>
        <v/>
      </c>
      <c r="JT166" s="715" t="str">
        <f t="shared" si="303"/>
        <v/>
      </c>
      <c r="JU166" s="715" t="str">
        <f t="shared" si="303"/>
        <v/>
      </c>
      <c r="JV166" s="715" t="str">
        <f t="shared" si="303"/>
        <v>P</v>
      </c>
      <c r="JW166" s="715" t="str">
        <f t="shared" si="303"/>
        <v/>
      </c>
      <c r="JX166" s="715" t="str">
        <f t="shared" si="303"/>
        <v/>
      </c>
      <c r="JY166" s="715" t="str">
        <f t="shared" si="303"/>
        <v/>
      </c>
      <c r="JZ166" s="715" t="str">
        <f t="shared" si="303"/>
        <v>P</v>
      </c>
      <c r="KA166" s="715" t="str">
        <f t="shared" si="303"/>
        <v/>
      </c>
      <c r="KB166" s="715" t="str">
        <f t="shared" si="303"/>
        <v/>
      </c>
      <c r="KC166" s="715" t="str">
        <f t="shared" si="303"/>
        <v/>
      </c>
      <c r="KD166" s="715" t="str">
        <f t="shared" si="303"/>
        <v/>
      </c>
      <c r="KE166" s="715" t="str">
        <f t="shared" si="303"/>
        <v>Y</v>
      </c>
      <c r="KF166" s="715" t="str">
        <f t="shared" si="303"/>
        <v/>
      </c>
      <c r="KG166" s="715" t="str">
        <f t="shared" si="303"/>
        <v/>
      </c>
      <c r="KH166" s="715" t="str">
        <f t="shared" si="303"/>
        <v/>
      </c>
      <c r="KI166" s="715" t="str">
        <f t="shared" si="303"/>
        <v>P</v>
      </c>
      <c r="KJ166" s="715" t="str">
        <f t="shared" si="303"/>
        <v/>
      </c>
      <c r="KK166" s="715" t="str">
        <f t="shared" si="303"/>
        <v/>
      </c>
      <c r="KL166" s="715" t="str">
        <f t="shared" ref="KL166:LP166" si="304">KL32</f>
        <v/>
      </c>
      <c r="KM166" s="715" t="str">
        <f t="shared" si="304"/>
        <v>P</v>
      </c>
      <c r="KN166" s="715" t="str">
        <f t="shared" si="304"/>
        <v/>
      </c>
      <c r="KO166" s="715" t="str">
        <f t="shared" si="304"/>
        <v/>
      </c>
      <c r="KP166" s="715" t="str">
        <f t="shared" si="304"/>
        <v/>
      </c>
      <c r="KQ166" s="715" t="str">
        <f t="shared" si="304"/>
        <v/>
      </c>
      <c r="KR166" s="715" t="str">
        <f t="shared" si="304"/>
        <v>Q</v>
      </c>
      <c r="KS166" s="715" t="str">
        <f t="shared" si="304"/>
        <v/>
      </c>
      <c r="KT166" s="715" t="str">
        <f t="shared" si="304"/>
        <v/>
      </c>
      <c r="KU166" s="715" t="str">
        <f t="shared" si="304"/>
        <v/>
      </c>
      <c r="KV166" s="715" t="str">
        <f t="shared" si="304"/>
        <v>P</v>
      </c>
      <c r="KW166" s="715" t="str">
        <f t="shared" si="304"/>
        <v/>
      </c>
      <c r="KX166" s="715" t="str">
        <f t="shared" si="304"/>
        <v/>
      </c>
      <c r="KY166" s="715" t="str">
        <f t="shared" si="304"/>
        <v/>
      </c>
      <c r="KZ166" s="715" t="str">
        <f t="shared" si="304"/>
        <v>P</v>
      </c>
      <c r="LA166" s="715" t="str">
        <f t="shared" si="304"/>
        <v/>
      </c>
      <c r="LB166" s="715" t="str">
        <f t="shared" si="304"/>
        <v/>
      </c>
      <c r="LC166" s="715" t="str">
        <f t="shared" si="304"/>
        <v/>
      </c>
      <c r="LD166" s="715" t="str">
        <f t="shared" si="304"/>
        <v/>
      </c>
      <c r="LE166" s="715" t="str">
        <f t="shared" si="304"/>
        <v>Q</v>
      </c>
      <c r="LF166" s="715" t="str">
        <f t="shared" si="304"/>
        <v/>
      </c>
      <c r="LG166" s="715" t="str">
        <f t="shared" si="304"/>
        <v/>
      </c>
      <c r="LH166" s="715" t="str">
        <f t="shared" si="304"/>
        <v/>
      </c>
      <c r="LI166" s="715" t="str">
        <f t="shared" si="304"/>
        <v>P</v>
      </c>
      <c r="LJ166" s="715" t="str">
        <f t="shared" si="304"/>
        <v/>
      </c>
      <c r="LK166" s="715" t="str">
        <f t="shared" si="304"/>
        <v/>
      </c>
      <c r="LL166" s="715" t="str">
        <f t="shared" si="304"/>
        <v/>
      </c>
      <c r="LM166" s="715" t="str">
        <f t="shared" si="304"/>
        <v>P</v>
      </c>
      <c r="LN166" s="715" t="str">
        <f t="shared" si="304"/>
        <v/>
      </c>
      <c r="LO166" s="715" t="str">
        <f t="shared" si="304"/>
        <v/>
      </c>
      <c r="LP166" s="715" t="str">
        <f t="shared" si="304"/>
        <v/>
      </c>
      <c r="LQ166" s="603"/>
    </row>
    <row r="167" spans="1:331" ht="18" customHeight="1" thickTop="1" x14ac:dyDescent="0.3">
      <c r="A167" s="280"/>
      <c r="B167" s="297"/>
      <c r="C167" s="101"/>
      <c r="D167" s="101"/>
      <c r="E167" s="101"/>
      <c r="F167" s="373"/>
      <c r="G167" s="373"/>
      <c r="H167" s="102"/>
      <c r="I167" s="102"/>
      <c r="K167" s="102"/>
      <c r="L167" s="102"/>
      <c r="M167" s="103"/>
      <c r="N167" s="103"/>
      <c r="O167" s="104"/>
      <c r="P167" s="196"/>
      <c r="Q167" s="3013" t="s">
        <v>4297</v>
      </c>
      <c r="R167" s="3052">
        <f>T167</f>
        <v>0</v>
      </c>
      <c r="S167" s="3053">
        <f>V167+Y167+AB167</f>
        <v>0</v>
      </c>
      <c r="T167" s="3101">
        <f>SUMIFS($T$173:$T$364,$CR$173:$CR$364,1,$CY$173:$CY$364,1)</f>
        <v>0</v>
      </c>
      <c r="U167" s="3101">
        <f>SUMIFS($U$173:$U$364,$CR$173:$CR$364,1,$CY$173:$CY$364,1)</f>
        <v>0</v>
      </c>
      <c r="V167" s="3101">
        <f>SUMIFS($V$173:$V$364,$CR$173:$CR$364,1,$CY$173:$CY$364,1)</f>
        <v>0</v>
      </c>
      <c r="W167" s="3101">
        <f>SUMIFS($W$173:$W$364,$CR$173:$CR$364,1,$CY$173:$CY$364,1)</f>
        <v>0</v>
      </c>
      <c r="X167" s="3101">
        <f>SUMIFS($X$173:$X$364,$CR$173:$CR$364,1,$CY$173:$CY$364,1)</f>
        <v>0</v>
      </c>
      <c r="Y167" s="3101">
        <f>SUMIFS($Y$173:$Y$364,$CR$173:$CR$364,1,$CY$173:$CY$364,1)</f>
        <v>0</v>
      </c>
      <c r="Z167" s="3101">
        <f>SUMIFS($Z$173:$Z$364,$CR$173:$CR$364,1,$CY$173:$CY$364,1)</f>
        <v>0</v>
      </c>
      <c r="AA167" s="3101">
        <f>SUMIFS($AA$173:$AA$364,$CR$173:$CR$364,1,$CY$173:$CY$364,1)</f>
        <v>0</v>
      </c>
      <c r="AB167" s="3101">
        <f>SUMIFS($AB$173:$AB$364,$CR$173:$CR$364,1,$CY$173:$CY$364,1)</f>
        <v>0</v>
      </c>
      <c r="AC167" s="1648"/>
      <c r="AD167" s="1650"/>
      <c r="AE167" s="600"/>
      <c r="AF167" s="600"/>
      <c r="AG167" s="600"/>
      <c r="AH167" s="3836"/>
      <c r="AI167" s="600"/>
      <c r="AJ167" s="600"/>
      <c r="AK167" s="600"/>
      <c r="AL167" s="600"/>
      <c r="AM167" s="600"/>
      <c r="AN167" s="600"/>
      <c r="AO167" s="600"/>
      <c r="AP167" s="600"/>
      <c r="AQ167" s="600"/>
      <c r="AR167" s="600"/>
      <c r="AS167" s="600"/>
      <c r="AT167" s="600"/>
      <c r="AU167" s="600"/>
      <c r="AV167" s="600"/>
      <c r="AW167" s="600"/>
      <c r="AX167" s="600"/>
      <c r="AY167" s="600"/>
      <c r="AZ167" s="600"/>
      <c r="BA167" s="600"/>
      <c r="BB167" s="600"/>
      <c r="BC167" s="600"/>
      <c r="BD167" s="600"/>
      <c r="BE167" s="600"/>
      <c r="BF167" s="600"/>
      <c r="BG167" s="600"/>
      <c r="BH167" s="600"/>
      <c r="BI167" s="600"/>
      <c r="BJ167" s="600"/>
      <c r="BK167" s="600"/>
      <c r="BL167" s="600"/>
      <c r="BM167" s="600"/>
      <c r="BN167" s="600"/>
      <c r="BO167" s="600"/>
      <c r="BP167" s="600"/>
      <c r="BQ167" s="600"/>
      <c r="BR167" s="600"/>
      <c r="BS167" s="600"/>
      <c r="BT167" s="600"/>
      <c r="BU167" s="600"/>
      <c r="BV167" s="600"/>
      <c r="BW167" s="600"/>
      <c r="BX167" s="600"/>
      <c r="BY167" s="600"/>
      <c r="BZ167" s="600"/>
      <c r="CA167" s="600"/>
      <c r="CB167" s="600"/>
      <c r="CC167" s="600"/>
      <c r="CD167" s="600"/>
      <c r="CE167" s="600"/>
      <c r="CF167" s="600"/>
      <c r="CG167" s="600"/>
      <c r="CH167" s="600"/>
      <c r="CI167" s="600"/>
      <c r="CJ167" s="600"/>
      <c r="CK167" s="600"/>
      <c r="CL167" s="600"/>
      <c r="CM167" s="600"/>
      <c r="CN167" s="600"/>
      <c r="CO167" s="600"/>
      <c r="CP167" s="600"/>
      <c r="CQ167" s="600"/>
      <c r="CR167" s="600"/>
      <c r="CS167" s="600"/>
      <c r="CT167" s="600"/>
      <c r="CU167" s="600"/>
      <c r="CV167" s="600"/>
      <c r="CW167" s="600"/>
      <c r="CX167" s="600"/>
      <c r="CY167" s="14"/>
      <c r="CZ167" s="3055">
        <f>X167+AA167+W167</f>
        <v>0</v>
      </c>
      <c r="DA167" s="3056">
        <f>CZ167-S167</f>
        <v>0</v>
      </c>
      <c r="DB167" s="196"/>
      <c r="DC167" s="120"/>
      <c r="DD167" s="642"/>
      <c r="DE167" s="9"/>
      <c r="DF167" s="162"/>
      <c r="DG167" s="643"/>
      <c r="DH167" s="35"/>
      <c r="DJ167" s="3784"/>
      <c r="DK167" s="3784"/>
      <c r="DL167" s="3784"/>
      <c r="DM167" s="3784"/>
      <c r="DN167" s="3784"/>
      <c r="DO167" s="3784"/>
      <c r="DP167" s="3784"/>
      <c r="DQ167" s="3784"/>
      <c r="DR167" s="3784"/>
      <c r="DS167" s="3784"/>
      <c r="DT167" s="3784"/>
      <c r="DU167" s="3784"/>
      <c r="DV167" s="3784"/>
      <c r="DW167" s="3784"/>
      <c r="DX167" s="3784"/>
      <c r="DY167" s="3784"/>
      <c r="DZ167" s="3784"/>
      <c r="EA167" s="3784"/>
      <c r="EB167" s="3784"/>
      <c r="EC167" s="3784"/>
      <c r="ED167" s="3784"/>
      <c r="EE167" s="3784"/>
      <c r="EF167" s="3784"/>
      <c r="EG167" s="3784"/>
      <c r="EH167" s="3784"/>
      <c r="EI167" s="3784"/>
      <c r="EJ167" s="3784"/>
      <c r="EK167" s="3784"/>
      <c r="EL167" s="3784"/>
      <c r="EM167" s="3784"/>
      <c r="EN167" s="3784"/>
      <c r="EO167" s="3784"/>
      <c r="EP167" s="3784"/>
      <c r="EQ167" s="3784"/>
      <c r="ER167" s="3784"/>
      <c r="ES167" s="3784"/>
      <c r="ET167" s="3784"/>
      <c r="EU167" s="3784"/>
      <c r="EV167" s="3784"/>
      <c r="EW167" s="3784"/>
      <c r="EX167" s="3784"/>
      <c r="EY167" s="3784"/>
      <c r="EZ167" s="3784"/>
      <c r="FA167" s="3784"/>
      <c r="FB167" s="3784"/>
      <c r="FC167" s="3784"/>
      <c r="FD167" s="3784"/>
      <c r="FE167" s="3784"/>
      <c r="FF167" s="3784"/>
      <c r="FG167" s="3784"/>
      <c r="FH167" s="3783"/>
      <c r="FI167" s="6"/>
      <c r="FJ167" s="6"/>
      <c r="FK167" s="6"/>
      <c r="FL167" s="6"/>
      <c r="FM167" s="3639" t="s">
        <v>4165</v>
      </c>
      <c r="FN167" s="3639"/>
      <c r="FO167" s="3639"/>
      <c r="FP167" s="3639"/>
      <c r="FQ167" s="3639"/>
      <c r="FR167" s="3639"/>
      <c r="FS167" s="3639"/>
      <c r="FT167" s="3639"/>
      <c r="FU167" s="3639"/>
      <c r="FV167" s="3639"/>
      <c r="FW167" s="3639"/>
      <c r="FX167" s="3639"/>
      <c r="FY167" s="3639"/>
      <c r="FZ167" s="3639"/>
      <c r="GA167" s="3639"/>
      <c r="GB167" s="3639"/>
      <c r="GC167" s="3639"/>
      <c r="GD167" s="3639"/>
      <c r="GE167" s="3639"/>
      <c r="GF167" s="3639"/>
      <c r="GG167" s="3639"/>
      <c r="GH167" s="3639"/>
      <c r="GI167" s="3639"/>
      <c r="GJ167" s="3639"/>
      <c r="GK167" s="3639"/>
      <c r="GL167" s="3639"/>
      <c r="GM167" s="3639"/>
      <c r="GN167" s="3639"/>
      <c r="GO167" s="3639"/>
      <c r="GP167" s="3639"/>
      <c r="GQ167" s="3639"/>
      <c r="GR167" s="3639"/>
      <c r="GS167" s="3640"/>
      <c r="GT167" s="3116">
        <f t="shared" ref="GT167:HY167" si="305">GT36</f>
        <v>1</v>
      </c>
      <c r="GU167" s="3117">
        <f t="shared" si="305"/>
        <v>1</v>
      </c>
      <c r="GV167" s="3117">
        <f t="shared" si="305"/>
        <v>1</v>
      </c>
      <c r="GW167" s="3117">
        <f t="shared" si="305"/>
        <v>1</v>
      </c>
      <c r="GX167" s="3117">
        <f t="shared" si="305"/>
        <v>1</v>
      </c>
      <c r="GY167" s="3117">
        <f t="shared" si="305"/>
        <v>1</v>
      </c>
      <c r="GZ167" s="3117">
        <f t="shared" si="305"/>
        <v>1</v>
      </c>
      <c r="HA167" s="3117">
        <f t="shared" si="305"/>
        <v>1</v>
      </c>
      <c r="HB167" s="3117">
        <f t="shared" si="305"/>
        <v>1</v>
      </c>
      <c r="HC167" s="3117">
        <f t="shared" si="305"/>
        <v>1</v>
      </c>
      <c r="HD167" s="3117">
        <f t="shared" si="305"/>
        <v>1</v>
      </c>
      <c r="HE167" s="3117">
        <f t="shared" si="305"/>
        <v>1</v>
      </c>
      <c r="HF167" s="3117">
        <f t="shared" si="305"/>
        <v>1</v>
      </c>
      <c r="HG167" s="3117">
        <f t="shared" si="305"/>
        <v>1</v>
      </c>
      <c r="HH167" s="3117">
        <f t="shared" si="305"/>
        <v>1</v>
      </c>
      <c r="HI167" s="3117">
        <f t="shared" si="305"/>
        <v>1</v>
      </c>
      <c r="HJ167" s="3117">
        <f t="shared" si="305"/>
        <v>1</v>
      </c>
      <c r="HK167" s="3117">
        <f t="shared" si="305"/>
        <v>1</v>
      </c>
      <c r="HL167" s="3117">
        <f t="shared" si="305"/>
        <v>1</v>
      </c>
      <c r="HM167" s="3117">
        <f t="shared" si="305"/>
        <v>1</v>
      </c>
      <c r="HN167" s="3117">
        <f t="shared" si="305"/>
        <v>1</v>
      </c>
      <c r="HO167" s="3117">
        <f t="shared" si="305"/>
        <v>1</v>
      </c>
      <c r="HP167" s="3117">
        <f t="shared" si="305"/>
        <v>1</v>
      </c>
      <c r="HQ167" s="3117">
        <f t="shared" si="305"/>
        <v>1</v>
      </c>
      <c r="HR167" s="3117">
        <f t="shared" si="305"/>
        <v>1</v>
      </c>
      <c r="HS167" s="3117">
        <f t="shared" si="305"/>
        <v>1</v>
      </c>
      <c r="HT167" s="3117">
        <f t="shared" si="305"/>
        <v>1</v>
      </c>
      <c r="HU167" s="3117">
        <f t="shared" si="305"/>
        <v>1</v>
      </c>
      <c r="HV167" s="3117">
        <f t="shared" si="305"/>
        <v>1</v>
      </c>
      <c r="HW167" s="3117">
        <f t="shared" si="305"/>
        <v>1</v>
      </c>
      <c r="HX167" s="3117">
        <f t="shared" si="305"/>
        <v>1</v>
      </c>
      <c r="HY167" s="3117">
        <f t="shared" si="305"/>
        <v>1</v>
      </c>
      <c r="HZ167" s="3117">
        <f t="shared" ref="HZ167:JE167" si="306">HZ36</f>
        <v>1</v>
      </c>
      <c r="IA167" s="3117">
        <f t="shared" si="306"/>
        <v>1</v>
      </c>
      <c r="IB167" s="3117">
        <f t="shared" si="306"/>
        <v>1</v>
      </c>
      <c r="IC167" s="3117">
        <f t="shared" si="306"/>
        <v>1</v>
      </c>
      <c r="ID167" s="3117">
        <f t="shared" si="306"/>
        <v>1</v>
      </c>
      <c r="IE167" s="3117">
        <f t="shared" si="306"/>
        <v>1</v>
      </c>
      <c r="IF167" s="3117">
        <f t="shared" si="306"/>
        <v>1</v>
      </c>
      <c r="IG167" s="3117">
        <f t="shared" si="306"/>
        <v>1</v>
      </c>
      <c r="IH167" s="3117">
        <f t="shared" si="306"/>
        <v>1</v>
      </c>
      <c r="II167" s="3117">
        <f t="shared" si="306"/>
        <v>1</v>
      </c>
      <c r="IJ167" s="3117">
        <f t="shared" si="306"/>
        <v>1</v>
      </c>
      <c r="IK167" s="3117">
        <f t="shared" si="306"/>
        <v>1</v>
      </c>
      <c r="IL167" s="3117">
        <f t="shared" si="306"/>
        <v>1</v>
      </c>
      <c r="IM167" s="3117">
        <f t="shared" si="306"/>
        <v>1</v>
      </c>
      <c r="IN167" s="3117">
        <f t="shared" si="306"/>
        <v>1</v>
      </c>
      <c r="IO167" s="3117">
        <f t="shared" si="306"/>
        <v>1</v>
      </c>
      <c r="IP167" s="3117">
        <f t="shared" si="306"/>
        <v>1</v>
      </c>
      <c r="IQ167" s="3117">
        <f t="shared" si="306"/>
        <v>1</v>
      </c>
      <c r="IR167" s="3117">
        <f t="shared" si="306"/>
        <v>1</v>
      </c>
      <c r="IS167" s="3117">
        <f t="shared" si="306"/>
        <v>1</v>
      </c>
      <c r="IT167" s="3117">
        <f t="shared" si="306"/>
        <v>1</v>
      </c>
      <c r="IU167" s="3117">
        <f t="shared" si="306"/>
        <v>1</v>
      </c>
      <c r="IV167" s="3117">
        <f t="shared" si="306"/>
        <v>1</v>
      </c>
      <c r="IW167" s="3117">
        <f t="shared" si="306"/>
        <v>1</v>
      </c>
      <c r="IX167" s="3117">
        <f t="shared" si="306"/>
        <v>1</v>
      </c>
      <c r="IY167" s="3117">
        <f t="shared" si="306"/>
        <v>1</v>
      </c>
      <c r="IZ167" s="3117">
        <f t="shared" si="306"/>
        <v>1</v>
      </c>
      <c r="JA167" s="3117">
        <f t="shared" si="306"/>
        <v>1</v>
      </c>
      <c r="JB167" s="3117">
        <f t="shared" si="306"/>
        <v>1</v>
      </c>
      <c r="JC167" s="3117">
        <f t="shared" si="306"/>
        <v>1</v>
      </c>
      <c r="JD167" s="3117">
        <f t="shared" si="306"/>
        <v>1</v>
      </c>
      <c r="JE167" s="3117">
        <f t="shared" si="306"/>
        <v>1</v>
      </c>
      <c r="JF167" s="3117">
        <f t="shared" ref="JF167:KK167" si="307">JF36</f>
        <v>2</v>
      </c>
      <c r="JG167" s="3117">
        <f t="shared" si="307"/>
        <v>2</v>
      </c>
      <c r="JH167" s="3117">
        <f t="shared" si="307"/>
        <v>2</v>
      </c>
      <c r="JI167" s="3117">
        <f t="shared" si="307"/>
        <v>2</v>
      </c>
      <c r="JJ167" s="3117">
        <f t="shared" si="307"/>
        <v>2</v>
      </c>
      <c r="JK167" s="3117">
        <f t="shared" si="307"/>
        <v>2</v>
      </c>
      <c r="JL167" s="3117">
        <f t="shared" si="307"/>
        <v>2</v>
      </c>
      <c r="JM167" s="3117">
        <f t="shared" si="307"/>
        <v>2</v>
      </c>
      <c r="JN167" s="3117">
        <f t="shared" si="307"/>
        <v>2</v>
      </c>
      <c r="JO167" s="3117">
        <f t="shared" si="307"/>
        <v>2</v>
      </c>
      <c r="JP167" s="3117">
        <f t="shared" si="307"/>
        <v>2</v>
      </c>
      <c r="JQ167" s="3117">
        <f t="shared" si="307"/>
        <v>2</v>
      </c>
      <c r="JR167" s="3117">
        <f t="shared" si="307"/>
        <v>2</v>
      </c>
      <c r="JS167" s="3117">
        <f t="shared" si="307"/>
        <v>2</v>
      </c>
      <c r="JT167" s="3117">
        <f t="shared" si="307"/>
        <v>2</v>
      </c>
      <c r="JU167" s="3117">
        <f t="shared" si="307"/>
        <v>2</v>
      </c>
      <c r="JV167" s="3117">
        <f t="shared" si="307"/>
        <v>2</v>
      </c>
      <c r="JW167" s="3117">
        <f t="shared" si="307"/>
        <v>2</v>
      </c>
      <c r="JX167" s="3117">
        <f t="shared" si="307"/>
        <v>2</v>
      </c>
      <c r="JY167" s="3117">
        <f t="shared" si="307"/>
        <v>2</v>
      </c>
      <c r="JZ167" s="3117">
        <f t="shared" si="307"/>
        <v>2</v>
      </c>
      <c r="KA167" s="3117">
        <f t="shared" si="307"/>
        <v>2</v>
      </c>
      <c r="KB167" s="3117">
        <f t="shared" si="307"/>
        <v>2</v>
      </c>
      <c r="KC167" s="3117">
        <f t="shared" si="307"/>
        <v>2</v>
      </c>
      <c r="KD167" s="3117">
        <f t="shared" si="307"/>
        <v>2</v>
      </c>
      <c r="KE167" s="3117">
        <f t="shared" si="307"/>
        <v>2</v>
      </c>
      <c r="KF167" s="3117">
        <f t="shared" si="307"/>
        <v>2</v>
      </c>
      <c r="KG167" s="3117">
        <f t="shared" si="307"/>
        <v>2</v>
      </c>
      <c r="KH167" s="3117">
        <f t="shared" si="307"/>
        <v>2</v>
      </c>
      <c r="KI167" s="3117">
        <f t="shared" si="307"/>
        <v>2</v>
      </c>
      <c r="KJ167" s="3117">
        <f t="shared" si="307"/>
        <v>2</v>
      </c>
      <c r="KK167" s="3117">
        <f t="shared" si="307"/>
        <v>2</v>
      </c>
      <c r="KL167" s="3117">
        <f t="shared" ref="KL167:LP167" si="308">KL36</f>
        <v>2</v>
      </c>
      <c r="KM167" s="3117">
        <f t="shared" si="308"/>
        <v>2</v>
      </c>
      <c r="KN167" s="3117">
        <f t="shared" si="308"/>
        <v>2</v>
      </c>
      <c r="KO167" s="3117">
        <f t="shared" si="308"/>
        <v>2</v>
      </c>
      <c r="KP167" s="3117">
        <f t="shared" si="308"/>
        <v>2</v>
      </c>
      <c r="KQ167" s="3117">
        <f t="shared" si="308"/>
        <v>2</v>
      </c>
      <c r="KR167" s="3117">
        <f t="shared" si="308"/>
        <v>2</v>
      </c>
      <c r="KS167" s="3117">
        <f t="shared" si="308"/>
        <v>2</v>
      </c>
      <c r="KT167" s="3117">
        <f t="shared" si="308"/>
        <v>2</v>
      </c>
      <c r="KU167" s="3117">
        <f t="shared" si="308"/>
        <v>2</v>
      </c>
      <c r="KV167" s="3117">
        <f t="shared" si="308"/>
        <v>2</v>
      </c>
      <c r="KW167" s="3117">
        <f t="shared" si="308"/>
        <v>2</v>
      </c>
      <c r="KX167" s="3117">
        <f t="shared" si="308"/>
        <v>2</v>
      </c>
      <c r="KY167" s="3117">
        <f t="shared" si="308"/>
        <v>2</v>
      </c>
      <c r="KZ167" s="3117">
        <f t="shared" si="308"/>
        <v>2</v>
      </c>
      <c r="LA167" s="3117">
        <f t="shared" si="308"/>
        <v>2</v>
      </c>
      <c r="LB167" s="3117">
        <f t="shared" si="308"/>
        <v>2</v>
      </c>
      <c r="LC167" s="3117">
        <f t="shared" si="308"/>
        <v>2</v>
      </c>
      <c r="LD167" s="3117">
        <f t="shared" si="308"/>
        <v>2</v>
      </c>
      <c r="LE167" s="3117">
        <f t="shared" si="308"/>
        <v>2</v>
      </c>
      <c r="LF167" s="3117">
        <f t="shared" si="308"/>
        <v>2</v>
      </c>
      <c r="LG167" s="3117">
        <f t="shared" si="308"/>
        <v>3</v>
      </c>
      <c r="LH167" s="3117">
        <f t="shared" si="308"/>
        <v>3</v>
      </c>
      <c r="LI167" s="3117">
        <f t="shared" si="308"/>
        <v>3</v>
      </c>
      <c r="LJ167" s="3117">
        <f t="shared" si="308"/>
        <v>3</v>
      </c>
      <c r="LK167" s="3117">
        <f t="shared" si="308"/>
        <v>3</v>
      </c>
      <c r="LL167" s="3117">
        <f t="shared" si="308"/>
        <v>3</v>
      </c>
      <c r="LM167" s="3117">
        <f t="shared" si="308"/>
        <v>3</v>
      </c>
      <c r="LN167" s="3117">
        <f t="shared" si="308"/>
        <v>3</v>
      </c>
      <c r="LO167" s="3117">
        <f t="shared" si="308"/>
        <v>3</v>
      </c>
      <c r="LP167" s="3118">
        <f t="shared" si="308"/>
        <v>3</v>
      </c>
      <c r="LQ167" s="999"/>
    </row>
    <row r="168" spans="1:331" ht="18" customHeight="1" x14ac:dyDescent="0.25">
      <c r="A168" s="280"/>
      <c r="C168" s="1"/>
      <c r="H168" s="102"/>
      <c r="I168" s="102"/>
      <c r="J168" s="1172"/>
      <c r="K168" s="102"/>
      <c r="L168" s="102"/>
      <c r="M168" s="103"/>
      <c r="N168" s="103"/>
      <c r="O168" s="104"/>
      <c r="Q168" s="196" t="s">
        <v>3941</v>
      </c>
      <c r="R168" s="3051" t="s">
        <v>3943</v>
      </c>
      <c r="S168" s="2061">
        <f>AB168</f>
        <v>0</v>
      </c>
      <c r="T168" s="457"/>
      <c r="U168" s="458"/>
      <c r="V168" s="458"/>
      <c r="W168" s="458"/>
      <c r="X168" s="458"/>
      <c r="Y168" s="458"/>
      <c r="Z168" s="458"/>
      <c r="AA168" s="459">
        <f>SUMIFS($AA$173:$AA$364,$CY$173:$CY$364,1,$AH$173:$AH$364,1,$DC$173:$DC$364,'2 Staff List'!$HB$46)</f>
        <v>0</v>
      </c>
      <c r="AB168" s="459">
        <f>SUMIFS($AB$173:$AB$364,$CY$173:$CY$364,1,$DC$173:$DC$364,'2 Staff List'!$HB$46)</f>
        <v>0</v>
      </c>
      <c r="AC168" s="1650"/>
      <c r="AD168" s="1650"/>
      <c r="AE168" s="3018"/>
      <c r="AF168" s="3018"/>
      <c r="AG168" s="3018"/>
      <c r="AH168" s="3836"/>
      <c r="AI168" s="3018"/>
      <c r="AJ168" s="3018"/>
      <c r="AK168" s="3018"/>
      <c r="AL168" s="601"/>
      <c r="AM168" s="601"/>
      <c r="AN168" s="3018"/>
      <c r="AO168" s="3830" t="s">
        <v>2020</v>
      </c>
      <c r="AP168" s="3830" t="s">
        <v>2021</v>
      </c>
      <c r="AQ168" s="3830" t="s">
        <v>2022</v>
      </c>
      <c r="AR168" s="3830" t="s">
        <v>2023</v>
      </c>
      <c r="AS168" s="3830" t="s">
        <v>2024</v>
      </c>
      <c r="AT168" s="3830" t="s">
        <v>2025</v>
      </c>
      <c r="AU168" s="3830" t="s">
        <v>2026</v>
      </c>
      <c r="AV168" s="3830" t="s">
        <v>2027</v>
      </c>
      <c r="AW168" s="3830" t="s">
        <v>2028</v>
      </c>
      <c r="AX168" s="3830" t="s">
        <v>2029</v>
      </c>
      <c r="AY168" s="2752"/>
      <c r="AZ168" s="2752"/>
      <c r="BA168" s="2752"/>
      <c r="BB168" s="2752"/>
      <c r="BC168" s="2752"/>
      <c r="BD168" s="2752"/>
      <c r="BE168" s="2752"/>
      <c r="BF168" s="2752"/>
      <c r="BG168" s="2752"/>
      <c r="BH168" s="2752"/>
      <c r="BI168" s="2752"/>
      <c r="BJ168" s="2752"/>
      <c r="BK168" s="2752"/>
      <c r="BL168" s="2752"/>
      <c r="BM168" s="2752"/>
      <c r="BN168" s="2752"/>
      <c r="BO168" s="2752"/>
      <c r="BP168" s="2752"/>
      <c r="BQ168" s="2752"/>
      <c r="BR168" s="2752"/>
      <c r="BS168" s="3830" t="s">
        <v>2030</v>
      </c>
      <c r="BT168" s="3830" t="s">
        <v>2031</v>
      </c>
      <c r="BU168" s="3830" t="s">
        <v>2032</v>
      </c>
      <c r="BV168" s="3830" t="s">
        <v>2033</v>
      </c>
      <c r="BW168" s="3830" t="s">
        <v>2034</v>
      </c>
      <c r="BX168" s="3830" t="s">
        <v>2035</v>
      </c>
      <c r="BY168" s="3830" t="s">
        <v>2036</v>
      </c>
      <c r="BZ168" s="3830" t="s">
        <v>2037</v>
      </c>
      <c r="CA168" s="3830" t="s">
        <v>2038</v>
      </c>
      <c r="CB168" s="3830" t="s">
        <v>2039</v>
      </c>
      <c r="CC168" s="3018"/>
      <c r="CD168" s="3018"/>
      <c r="CE168" s="3018"/>
      <c r="CF168" s="3018"/>
      <c r="CG168" s="3018"/>
      <c r="CH168" s="3018"/>
      <c r="CI168" s="3018"/>
      <c r="CJ168" s="3018"/>
      <c r="CK168" s="3018"/>
      <c r="CL168" s="3018"/>
      <c r="CM168" s="3018"/>
      <c r="CN168" s="3018"/>
      <c r="CO168" s="3018"/>
      <c r="CP168" s="3018"/>
      <c r="CQ168" s="3018"/>
      <c r="CR168" s="3018"/>
      <c r="CS168" s="3018"/>
      <c r="CT168" s="3018"/>
      <c r="CU168" s="3018"/>
      <c r="CV168" s="3018"/>
      <c r="CW168" s="3018"/>
      <c r="CX168" s="3018"/>
      <c r="CY168" s="3018"/>
      <c r="CZ168" s="2988">
        <f>AA168</f>
        <v>0</v>
      </c>
      <c r="DA168" s="3054">
        <f>CZ168-S168</f>
        <v>0</v>
      </c>
      <c r="DB168" s="374"/>
      <c r="DD168" s="1925"/>
      <c r="DE168" s="1924"/>
      <c r="DF168" s="1925"/>
      <c r="DG168" s="644"/>
      <c r="DH168" s="3724" t="s">
        <v>124</v>
      </c>
      <c r="DI168" s="3280"/>
      <c r="DJ168" s="3784"/>
      <c r="DK168" s="3784"/>
      <c r="DL168" s="3784"/>
      <c r="DM168" s="3784"/>
      <c r="DN168" s="3784"/>
      <c r="DO168" s="3784"/>
      <c r="DP168" s="3784"/>
      <c r="DQ168" s="3784"/>
      <c r="DR168" s="3784"/>
      <c r="DS168" s="3784"/>
      <c r="DT168" s="3784"/>
      <c r="DU168" s="3784"/>
      <c r="DV168" s="3784"/>
      <c r="DW168" s="3784"/>
      <c r="DX168" s="3784"/>
      <c r="DY168" s="3784"/>
      <c r="DZ168" s="3784"/>
      <c r="EA168" s="3784"/>
      <c r="EB168" s="3784"/>
      <c r="EC168" s="3784"/>
      <c r="ED168" s="3784"/>
      <c r="EE168" s="3784"/>
      <c r="EF168" s="3784"/>
      <c r="EG168" s="3784"/>
      <c r="EH168" s="3784"/>
      <c r="EI168" s="3784"/>
      <c r="EJ168" s="3784"/>
      <c r="EK168" s="3784"/>
      <c r="EL168" s="3784"/>
      <c r="EM168" s="3784"/>
      <c r="EN168" s="3784"/>
      <c r="EO168" s="3784"/>
      <c r="EP168" s="3784"/>
      <c r="EQ168" s="3784"/>
      <c r="ER168" s="3784"/>
      <c r="ES168" s="3784"/>
      <c r="ET168" s="3784"/>
      <c r="EU168" s="3784"/>
      <c r="EV168" s="3784"/>
      <c r="EW168" s="3784"/>
      <c r="EX168" s="3784"/>
      <c r="EY168" s="3784"/>
      <c r="EZ168" s="3784"/>
      <c r="FA168" s="3784"/>
      <c r="FB168" s="3784"/>
      <c r="FC168" s="3784"/>
      <c r="FD168" s="3784"/>
      <c r="FE168" s="3784"/>
      <c r="FF168" s="3784"/>
      <c r="FG168" s="3784"/>
      <c r="FH168" s="3783"/>
      <c r="FI168" s="6"/>
      <c r="FJ168" s="6"/>
      <c r="FK168" s="6"/>
      <c r="FL168" s="6"/>
      <c r="FM168" s="3639" t="s">
        <v>4167</v>
      </c>
      <c r="FN168" s="3639"/>
      <c r="FO168" s="3639"/>
      <c r="FP168" s="3639"/>
      <c r="FQ168" s="3639"/>
      <c r="FR168" s="3639"/>
      <c r="FS168" s="3639"/>
      <c r="FT168" s="3639"/>
      <c r="FU168" s="3639"/>
      <c r="FV168" s="3639"/>
      <c r="FW168" s="3639"/>
      <c r="FX168" s="3639"/>
      <c r="FY168" s="3639"/>
      <c r="FZ168" s="3639"/>
      <c r="GA168" s="3639"/>
      <c r="GB168" s="3639"/>
      <c r="GC168" s="3639"/>
      <c r="GD168" s="3639"/>
      <c r="GE168" s="3639"/>
      <c r="GF168" s="3639"/>
      <c r="GG168" s="3639"/>
      <c r="GH168" s="3639"/>
      <c r="GI168" s="3639"/>
      <c r="GJ168" s="3639"/>
      <c r="GK168" s="3639"/>
      <c r="GL168" s="3639"/>
      <c r="GM168" s="3639"/>
      <c r="GN168" s="3639"/>
      <c r="GO168" s="3639"/>
      <c r="GP168" s="3639"/>
      <c r="GQ168" s="3639"/>
      <c r="GR168" s="3639"/>
      <c r="GS168" s="3640"/>
      <c r="GT168" s="3119">
        <f t="shared" ref="GT168:HY168" si="309">GT34</f>
        <v>1</v>
      </c>
      <c r="GU168" s="3117">
        <f t="shared" si="309"/>
        <v>1</v>
      </c>
      <c r="GV168" s="3117">
        <f t="shared" si="309"/>
        <v>1</v>
      </c>
      <c r="GW168" s="3117">
        <f t="shared" si="309"/>
        <v>1</v>
      </c>
      <c r="GX168" s="3117">
        <f t="shared" si="309"/>
        <v>1</v>
      </c>
      <c r="GY168" s="3117">
        <f t="shared" si="309"/>
        <v>1</v>
      </c>
      <c r="GZ168" s="3117">
        <f t="shared" si="309"/>
        <v>1</v>
      </c>
      <c r="HA168" s="3117">
        <f t="shared" si="309"/>
        <v>1</v>
      </c>
      <c r="HB168" s="3117">
        <f t="shared" si="309"/>
        <v>1</v>
      </c>
      <c r="HC168" s="3117">
        <f t="shared" si="309"/>
        <v>1</v>
      </c>
      <c r="HD168" s="3117">
        <f t="shared" si="309"/>
        <v>1</v>
      </c>
      <c r="HE168" s="3117">
        <f t="shared" si="309"/>
        <v>1</v>
      </c>
      <c r="HF168" s="3117">
        <f t="shared" si="309"/>
        <v>1</v>
      </c>
      <c r="HG168" s="3117">
        <f t="shared" si="309"/>
        <v>1</v>
      </c>
      <c r="HH168" s="3117">
        <f t="shared" si="309"/>
        <v>1</v>
      </c>
      <c r="HI168" s="3117">
        <f t="shared" si="309"/>
        <v>1</v>
      </c>
      <c r="HJ168" s="3117">
        <f t="shared" si="309"/>
        <v>1</v>
      </c>
      <c r="HK168" s="3117">
        <f t="shared" si="309"/>
        <v>1</v>
      </c>
      <c r="HL168" s="3117">
        <f t="shared" si="309"/>
        <v>1</v>
      </c>
      <c r="HM168" s="3117">
        <f t="shared" si="309"/>
        <v>1</v>
      </c>
      <c r="HN168" s="3117">
        <f t="shared" si="309"/>
        <v>1</v>
      </c>
      <c r="HO168" s="3117">
        <f t="shared" si="309"/>
        <v>1</v>
      </c>
      <c r="HP168" s="3117">
        <f t="shared" si="309"/>
        <v>1</v>
      </c>
      <c r="HQ168" s="3117">
        <f t="shared" si="309"/>
        <v>1</v>
      </c>
      <c r="HR168" s="3117">
        <f t="shared" si="309"/>
        <v>1</v>
      </c>
      <c r="HS168" s="3117">
        <f t="shared" si="309"/>
        <v>1</v>
      </c>
      <c r="HT168" s="3117">
        <f t="shared" si="309"/>
        <v>1</v>
      </c>
      <c r="HU168" s="3117">
        <f t="shared" si="309"/>
        <v>1</v>
      </c>
      <c r="HV168" s="3117">
        <f t="shared" si="309"/>
        <v>1</v>
      </c>
      <c r="HW168" s="3117">
        <f t="shared" si="309"/>
        <v>1</v>
      </c>
      <c r="HX168" s="3117">
        <f t="shared" si="309"/>
        <v>1</v>
      </c>
      <c r="HY168" s="3117">
        <f t="shared" si="309"/>
        <v>1</v>
      </c>
      <c r="HZ168" s="3117">
        <f t="shared" ref="HZ168:JE168" si="310">HZ34</f>
        <v>1</v>
      </c>
      <c r="IA168" s="3117">
        <f t="shared" si="310"/>
        <v>1</v>
      </c>
      <c r="IB168" s="3117">
        <f t="shared" si="310"/>
        <v>1</v>
      </c>
      <c r="IC168" s="3117">
        <f t="shared" si="310"/>
        <v>1</v>
      </c>
      <c r="ID168" s="3117">
        <f t="shared" si="310"/>
        <v>1</v>
      </c>
      <c r="IE168" s="3117">
        <f t="shared" si="310"/>
        <v>1</v>
      </c>
      <c r="IF168" s="3117">
        <f t="shared" si="310"/>
        <v>1</v>
      </c>
      <c r="IG168" s="3117">
        <f t="shared" si="310"/>
        <v>1</v>
      </c>
      <c r="IH168" s="3117">
        <f t="shared" si="310"/>
        <v>1</v>
      </c>
      <c r="II168" s="3117">
        <f t="shared" si="310"/>
        <v>1</v>
      </c>
      <c r="IJ168" s="3117">
        <f t="shared" si="310"/>
        <v>1</v>
      </c>
      <c r="IK168" s="3117">
        <f t="shared" si="310"/>
        <v>1</v>
      </c>
      <c r="IL168" s="3117">
        <f t="shared" si="310"/>
        <v>1</v>
      </c>
      <c r="IM168" s="3117">
        <f t="shared" si="310"/>
        <v>1</v>
      </c>
      <c r="IN168" s="3117">
        <f t="shared" si="310"/>
        <v>1</v>
      </c>
      <c r="IO168" s="3117">
        <f t="shared" si="310"/>
        <v>1</v>
      </c>
      <c r="IP168" s="3117">
        <f t="shared" si="310"/>
        <v>1</v>
      </c>
      <c r="IQ168" s="3117">
        <f t="shared" si="310"/>
        <v>1</v>
      </c>
      <c r="IR168" s="3117">
        <f t="shared" si="310"/>
        <v>1</v>
      </c>
      <c r="IS168" s="3117">
        <f t="shared" si="310"/>
        <v>2</v>
      </c>
      <c r="IT168" s="3117">
        <f t="shared" si="310"/>
        <v>2</v>
      </c>
      <c r="IU168" s="3117">
        <f t="shared" si="310"/>
        <v>2</v>
      </c>
      <c r="IV168" s="3117">
        <f t="shared" si="310"/>
        <v>2</v>
      </c>
      <c r="IW168" s="3117">
        <f t="shared" si="310"/>
        <v>2</v>
      </c>
      <c r="IX168" s="3117">
        <f t="shared" si="310"/>
        <v>2</v>
      </c>
      <c r="IY168" s="3117">
        <f t="shared" si="310"/>
        <v>2</v>
      </c>
      <c r="IZ168" s="3117">
        <f t="shared" si="310"/>
        <v>2</v>
      </c>
      <c r="JA168" s="3117">
        <f t="shared" si="310"/>
        <v>2</v>
      </c>
      <c r="JB168" s="3117">
        <f t="shared" si="310"/>
        <v>2</v>
      </c>
      <c r="JC168" s="3117">
        <f t="shared" si="310"/>
        <v>2</v>
      </c>
      <c r="JD168" s="3117">
        <f t="shared" si="310"/>
        <v>2</v>
      </c>
      <c r="JE168" s="3117">
        <f t="shared" si="310"/>
        <v>2</v>
      </c>
      <c r="JF168" s="3117">
        <f t="shared" ref="JF168:KK168" si="311">JF34</f>
        <v>2</v>
      </c>
      <c r="JG168" s="3117">
        <f t="shared" si="311"/>
        <v>2</v>
      </c>
      <c r="JH168" s="3117">
        <f t="shared" si="311"/>
        <v>2</v>
      </c>
      <c r="JI168" s="3117">
        <f t="shared" si="311"/>
        <v>2</v>
      </c>
      <c r="JJ168" s="3117">
        <f t="shared" si="311"/>
        <v>2</v>
      </c>
      <c r="JK168" s="3117">
        <f t="shared" si="311"/>
        <v>2</v>
      </c>
      <c r="JL168" s="3117">
        <f t="shared" si="311"/>
        <v>2</v>
      </c>
      <c r="JM168" s="3117">
        <f t="shared" si="311"/>
        <v>2</v>
      </c>
      <c r="JN168" s="3117">
        <f t="shared" si="311"/>
        <v>2</v>
      </c>
      <c r="JO168" s="3117">
        <f t="shared" si="311"/>
        <v>2</v>
      </c>
      <c r="JP168" s="3117">
        <f t="shared" si="311"/>
        <v>2</v>
      </c>
      <c r="JQ168" s="3117">
        <f t="shared" si="311"/>
        <v>2</v>
      </c>
      <c r="JR168" s="3117">
        <f t="shared" si="311"/>
        <v>2</v>
      </c>
      <c r="JS168" s="3117">
        <f t="shared" si="311"/>
        <v>2</v>
      </c>
      <c r="JT168" s="3117">
        <f t="shared" si="311"/>
        <v>2</v>
      </c>
      <c r="JU168" s="3117">
        <f t="shared" si="311"/>
        <v>2</v>
      </c>
      <c r="JV168" s="3117">
        <f t="shared" si="311"/>
        <v>2</v>
      </c>
      <c r="JW168" s="3117">
        <f t="shared" si="311"/>
        <v>2</v>
      </c>
      <c r="JX168" s="3117">
        <f t="shared" si="311"/>
        <v>2</v>
      </c>
      <c r="JY168" s="3117">
        <f t="shared" si="311"/>
        <v>2</v>
      </c>
      <c r="JZ168" s="3117">
        <f t="shared" si="311"/>
        <v>2</v>
      </c>
      <c r="KA168" s="3117">
        <f t="shared" si="311"/>
        <v>2</v>
      </c>
      <c r="KB168" s="3117">
        <f t="shared" si="311"/>
        <v>2</v>
      </c>
      <c r="KC168" s="3117">
        <f t="shared" si="311"/>
        <v>2</v>
      </c>
      <c r="KD168" s="3117">
        <f t="shared" si="311"/>
        <v>2</v>
      </c>
      <c r="KE168" s="3117">
        <f t="shared" si="311"/>
        <v>2</v>
      </c>
      <c r="KF168" s="3117">
        <f t="shared" si="311"/>
        <v>2</v>
      </c>
      <c r="KG168" s="3117">
        <f t="shared" si="311"/>
        <v>2</v>
      </c>
      <c r="KH168" s="3117">
        <f t="shared" si="311"/>
        <v>2</v>
      </c>
      <c r="KI168" s="3117">
        <f t="shared" si="311"/>
        <v>2</v>
      </c>
      <c r="KJ168" s="3117">
        <f t="shared" si="311"/>
        <v>2</v>
      </c>
      <c r="KK168" s="3117">
        <f t="shared" si="311"/>
        <v>2</v>
      </c>
      <c r="KL168" s="3117">
        <f t="shared" ref="KL168:LP168" si="312">KL34</f>
        <v>2</v>
      </c>
      <c r="KM168" s="3117">
        <f t="shared" si="312"/>
        <v>2</v>
      </c>
      <c r="KN168" s="3117">
        <f t="shared" si="312"/>
        <v>2</v>
      </c>
      <c r="KO168" s="3117">
        <f t="shared" si="312"/>
        <v>2</v>
      </c>
      <c r="KP168" s="3117">
        <f t="shared" si="312"/>
        <v>2</v>
      </c>
      <c r="KQ168" s="3117">
        <f t="shared" si="312"/>
        <v>2</v>
      </c>
      <c r="KR168" s="3117">
        <f t="shared" si="312"/>
        <v>2</v>
      </c>
      <c r="KS168" s="3117">
        <f t="shared" si="312"/>
        <v>2</v>
      </c>
      <c r="KT168" s="3117">
        <f t="shared" si="312"/>
        <v>3</v>
      </c>
      <c r="KU168" s="3117">
        <f t="shared" si="312"/>
        <v>3</v>
      </c>
      <c r="KV168" s="3117">
        <f t="shared" si="312"/>
        <v>3</v>
      </c>
      <c r="KW168" s="3117">
        <f t="shared" si="312"/>
        <v>3</v>
      </c>
      <c r="KX168" s="3117">
        <f t="shared" si="312"/>
        <v>3</v>
      </c>
      <c r="KY168" s="3117">
        <f t="shared" si="312"/>
        <v>3</v>
      </c>
      <c r="KZ168" s="3117">
        <f t="shared" si="312"/>
        <v>3</v>
      </c>
      <c r="LA168" s="3117">
        <f t="shared" si="312"/>
        <v>3</v>
      </c>
      <c r="LB168" s="3117">
        <f t="shared" si="312"/>
        <v>3</v>
      </c>
      <c r="LC168" s="3117">
        <f t="shared" si="312"/>
        <v>3</v>
      </c>
      <c r="LD168" s="3117">
        <f t="shared" si="312"/>
        <v>3</v>
      </c>
      <c r="LE168" s="3117">
        <f t="shared" si="312"/>
        <v>3</v>
      </c>
      <c r="LF168" s="3117">
        <f t="shared" si="312"/>
        <v>3</v>
      </c>
      <c r="LG168" s="3117">
        <f t="shared" si="312"/>
        <v>3</v>
      </c>
      <c r="LH168" s="3117">
        <f t="shared" si="312"/>
        <v>3</v>
      </c>
      <c r="LI168" s="3117">
        <f t="shared" si="312"/>
        <v>3</v>
      </c>
      <c r="LJ168" s="3117">
        <f t="shared" si="312"/>
        <v>3</v>
      </c>
      <c r="LK168" s="3117">
        <f t="shared" si="312"/>
        <v>3</v>
      </c>
      <c r="LL168" s="3117">
        <f t="shared" si="312"/>
        <v>3</v>
      </c>
      <c r="LM168" s="3117">
        <f t="shared" si="312"/>
        <v>3</v>
      </c>
      <c r="LN168" s="3117">
        <f t="shared" si="312"/>
        <v>3</v>
      </c>
      <c r="LO168" s="3117">
        <f t="shared" si="312"/>
        <v>3</v>
      </c>
      <c r="LP168" s="3118">
        <f t="shared" si="312"/>
        <v>3</v>
      </c>
      <c r="LQ168" s="999"/>
      <c r="LR168" s="273" t="s">
        <v>461</v>
      </c>
    </row>
    <row r="169" spans="1:331" ht="18" customHeight="1" thickBot="1" x14ac:dyDescent="0.35">
      <c r="A169" s="280"/>
      <c r="B169" s="3749" t="s">
        <v>2056</v>
      </c>
      <c r="C169" s="3750"/>
      <c r="D169" s="101"/>
      <c r="E169" s="3749" t="s">
        <v>2312</v>
      </c>
      <c r="F169" s="3751"/>
      <c r="G169" s="3750"/>
      <c r="H169" s="102"/>
      <c r="I169" s="102"/>
      <c r="J169" s="1172"/>
      <c r="K169" s="102"/>
      <c r="L169" s="102"/>
      <c r="M169" s="103"/>
      <c r="N169" s="103"/>
      <c r="O169" s="104"/>
      <c r="Q169" s="196" t="s">
        <v>3942</v>
      </c>
      <c r="R169" s="1853" t="s">
        <v>3943</v>
      </c>
      <c r="S169" s="3012">
        <f>AB169+V169</f>
        <v>7727.99</v>
      </c>
      <c r="T169" s="457"/>
      <c r="U169" s="458"/>
      <c r="V169" s="2147">
        <f>SUMIFS($V$173:$V$364,$CY$173:$CY$364,1)-V167</f>
        <v>2357.9899999999998</v>
      </c>
      <c r="W169" s="458"/>
      <c r="X169" s="458"/>
      <c r="Y169" s="458"/>
      <c r="Z169" s="458"/>
      <c r="AA169" s="458">
        <f>SUMIFS($AA$173:$AA$364,$CY$173:$CY$364,1,$AH$173:$AH$364,1)-AA167-AA168</f>
        <v>5370</v>
      </c>
      <c r="AB169" s="458">
        <f>SUMIFS($AB$173:$AB$364,$CY$173:$CY$364,1)-AB167-AB168</f>
        <v>5370</v>
      </c>
      <c r="AC169" s="458">
        <f ca="1">SUMIFS($AC$173:$AC$364,$AH$173:$AH$364,1,$CY$173:$CY$364,1)</f>
        <v>68492.781824999998</v>
      </c>
      <c r="AD169" s="458">
        <f>SUMIFS($AD$173:$AD$364,$CY$173:$CY$364,1)</f>
        <v>37383.684232</v>
      </c>
      <c r="AE169" s="3018"/>
      <c r="AF169" s="3018"/>
      <c r="AG169" s="3018"/>
      <c r="AH169" s="3836"/>
      <c r="AI169" s="3018"/>
      <c r="AJ169" s="3018"/>
      <c r="AK169" s="3018"/>
      <c r="AL169" s="601"/>
      <c r="AM169" s="601"/>
      <c r="AN169" s="3018"/>
      <c r="AO169" s="3830"/>
      <c r="AP169" s="3830"/>
      <c r="AQ169" s="3830"/>
      <c r="AR169" s="3830"/>
      <c r="AS169" s="3830"/>
      <c r="AT169" s="3830"/>
      <c r="AU169" s="3830"/>
      <c r="AV169" s="3830"/>
      <c r="AW169" s="3830"/>
      <c r="AX169" s="3830"/>
      <c r="AY169" s="2752"/>
      <c r="AZ169" s="2752"/>
      <c r="BA169" s="2752"/>
      <c r="BB169" s="2752"/>
      <c r="BC169" s="2752"/>
      <c r="BD169" s="2752"/>
      <c r="BE169" s="2752"/>
      <c r="BF169" s="2752"/>
      <c r="BG169" s="2752"/>
      <c r="BH169" s="2752"/>
      <c r="BI169" s="2752"/>
      <c r="BJ169" s="2752"/>
      <c r="BK169" s="2752"/>
      <c r="BL169" s="2752"/>
      <c r="BM169" s="2752"/>
      <c r="BN169" s="2752"/>
      <c r="BO169" s="2752"/>
      <c r="BP169" s="2752"/>
      <c r="BQ169" s="2752"/>
      <c r="BR169" s="2752"/>
      <c r="BS169" s="3830"/>
      <c r="BT169" s="3830"/>
      <c r="BU169" s="3830"/>
      <c r="BV169" s="3830"/>
      <c r="BW169" s="3830"/>
      <c r="BX169" s="3830"/>
      <c r="BY169" s="3830"/>
      <c r="BZ169" s="3830"/>
      <c r="CA169" s="3830"/>
      <c r="CB169" s="3830"/>
      <c r="CC169" s="3018"/>
      <c r="CD169" s="3018"/>
      <c r="CE169" s="3018"/>
      <c r="CF169" s="3018"/>
      <c r="CG169" s="3018"/>
      <c r="CH169" s="3018"/>
      <c r="CI169" s="3018"/>
      <c r="CJ169" s="3018"/>
      <c r="CK169" s="3018"/>
      <c r="CL169" s="3018"/>
      <c r="CM169" s="3018"/>
      <c r="CN169" s="3018"/>
      <c r="CO169" s="3018"/>
      <c r="CP169" s="3018"/>
      <c r="CQ169" s="3018"/>
      <c r="CR169" s="3018"/>
      <c r="CS169" s="3018"/>
      <c r="CT169" s="3018"/>
      <c r="CU169" s="3018"/>
      <c r="CV169" s="3018"/>
      <c r="CW169" s="3018"/>
      <c r="CX169" s="3018"/>
      <c r="CY169" s="3018"/>
      <c r="CZ169" s="3019">
        <f>AA169+W169</f>
        <v>5370</v>
      </c>
      <c r="DA169" s="3032">
        <f>CZ169-S169</f>
        <v>-2357.9899999999998</v>
      </c>
      <c r="DB169" s="374"/>
      <c r="DC169" s="1923" t="s">
        <v>117</v>
      </c>
      <c r="DD169" s="1925"/>
      <c r="DE169" s="1924"/>
      <c r="DF169" s="1925"/>
      <c r="DG169" s="644"/>
      <c r="DH169" s="3724"/>
      <c r="DJ169" s="3785" t="str">
        <f>IFERROR(INDEX('2 Staff List'!$IA$64:$IA$114,DJ21),"")</f>
        <v>Waite Andy</v>
      </c>
      <c r="DK169" s="3785" t="str">
        <f>IFERROR(INDEX('2 Staff List'!$IA$64:$IA$114,DK21),"")</f>
        <v>Hutchinson Amanda</v>
      </c>
      <c r="DL169" s="3785" t="str">
        <f>IFERROR(INDEX('2 Staff List'!$IA$64:$IA$114,DL21),"")</f>
        <v>Spencer Peter</v>
      </c>
      <c r="DM169" s="3785" t="str">
        <f>IFERROR(INDEX('2 Staff List'!$IA$64:$IA$114,DM21),"")</f>
        <v>Mhatre, Rajesh Ramchandra</v>
      </c>
      <c r="DN169" s="3785" t="str">
        <f>IFERROR(INDEX('2 Staff List'!$IA$64:$IA$114,DN21),"")</f>
        <v>Thompson Vicky</v>
      </c>
      <c r="DO169" s="3785" t="str">
        <f>IFERROR(INDEX('2 Staff List'!$IA$64:$IA$114,DO21),"")</f>
        <v>Tipton Catherine</v>
      </c>
      <c r="DP169" s="3785" t="str">
        <f>IFERROR(INDEX('2 Staff List'!$IA$64:$IA$114,DP21),"")</f>
        <v>Robinson Emma</v>
      </c>
      <c r="DQ169" s="3785" t="str">
        <f>IFERROR(INDEX('2 Staff List'!$IA$64:$IA$114,DQ21),"")</f>
        <v>Phillips, Stephen</v>
      </c>
      <c r="DR169" s="3785" t="str">
        <f>IFERROR(INDEX('2 Staff List'!$IA$64:$IA$114,DR21),"")</f>
        <v>Parsons, Jenny</v>
      </c>
      <c r="DS169" s="3785" t="str">
        <f>IFERROR(INDEX('2 Staff List'!$IA$64:$IA$114,DS21),"")</f>
        <v>Cooper, Lucy</v>
      </c>
      <c r="DT169" s="3785">
        <f>IFERROR(INDEX('2 Staff List'!$IA$64:$IA$114,DT21),"")</f>
        <v>0</v>
      </c>
      <c r="DU169" s="3785">
        <f>IFERROR(INDEX('2 Staff List'!$IA$64:$IA$114,DU21),"")</f>
        <v>0</v>
      </c>
      <c r="DV169" s="3785">
        <f>IFERROR(INDEX('2 Staff List'!$IA$64:$IA$114,DV21),"")</f>
        <v>0</v>
      </c>
      <c r="DW169" s="3785">
        <f>IFERROR(INDEX('2 Staff List'!$IA$64:$IA$114,DW21),"")</f>
        <v>0</v>
      </c>
      <c r="DX169" s="3785">
        <f>IFERROR(INDEX('2 Staff List'!$IA$64:$IA$114,DX21),"")</f>
        <v>0</v>
      </c>
      <c r="DY169" s="3785">
        <f>IFERROR(INDEX('2 Staff List'!$IA$64:$IA$114,DY21),"")</f>
        <v>0</v>
      </c>
      <c r="DZ169" s="3785">
        <f>IFERROR(INDEX('2 Staff List'!$IA$64:$IA$114,DZ21),"")</f>
        <v>0</v>
      </c>
      <c r="EA169" s="3785">
        <f>IFERROR(INDEX('2 Staff List'!$IA$64:$IA$114,EA21),"")</f>
        <v>0</v>
      </c>
      <c r="EB169" s="3785">
        <f>IFERROR(INDEX('2 Staff List'!$IA$64:$IA$114,EB21),"")</f>
        <v>0</v>
      </c>
      <c r="EC169" s="3785">
        <f>IFERROR(INDEX('2 Staff List'!$IA$64:$IA$114,EC21),"")</f>
        <v>0</v>
      </c>
      <c r="ED169" s="3785">
        <f>IFERROR(INDEX('2 Staff List'!$IA$64:$IA$114,ED21),"")</f>
        <v>0</v>
      </c>
      <c r="EE169" s="3785">
        <f>IFERROR(INDEX('2 Staff List'!$IA$64:$IA$114,EE21),"")</f>
        <v>0</v>
      </c>
      <c r="EF169" s="3785">
        <f>IFERROR(INDEX('2 Staff List'!$IA$64:$IA$114,EF21),"")</f>
        <v>0</v>
      </c>
      <c r="EG169" s="3785">
        <f>IFERROR(INDEX('2 Staff List'!$IA$64:$IA$114,EG21),"")</f>
        <v>0</v>
      </c>
      <c r="EH169" s="3785">
        <f>IFERROR(INDEX('2 Staff List'!$IA$64:$IA$114,EH21),"")</f>
        <v>0</v>
      </c>
      <c r="EI169" s="3785">
        <f>IFERROR(INDEX('2 Staff List'!$IA$64:$IA$114,EI21),"")</f>
        <v>0</v>
      </c>
      <c r="EJ169" s="3785">
        <f>IFERROR(INDEX('2 Staff List'!$IA$64:$IA$114,EJ21),"")</f>
        <v>0</v>
      </c>
      <c r="EK169" s="3785">
        <f>IFERROR(INDEX('2 Staff List'!$IA$64:$IA$114,EK21),"")</f>
        <v>0</v>
      </c>
      <c r="EL169" s="3785">
        <f>IFERROR(INDEX('2 Staff List'!$IA$64:$IA$114,EL21),"")</f>
        <v>0</v>
      </c>
      <c r="EM169" s="3785">
        <f>IFERROR(INDEX('2 Staff List'!$IA$64:$IA$114,EM21),"")</f>
        <v>0</v>
      </c>
      <c r="EN169" s="3785">
        <f>IFERROR(INDEX('2 Staff List'!$IA$64:$IA$114,EN21),"")</f>
        <v>0</v>
      </c>
      <c r="EO169" s="3785">
        <f>IFERROR(INDEX('2 Staff List'!$IA$64:$IA$114,EO21),"")</f>
        <v>0</v>
      </c>
      <c r="EP169" s="3785">
        <f>IFERROR(INDEX('2 Staff List'!$IA$64:$IA$114,EP21),"")</f>
        <v>0</v>
      </c>
      <c r="EQ169" s="3785">
        <f>IFERROR(INDEX('2 Staff List'!$IA$64:$IA$114,EQ21),"")</f>
        <v>0</v>
      </c>
      <c r="ER169" s="3785">
        <f>IFERROR(INDEX('2 Staff List'!$IA$64:$IA$114,ER21),"")</f>
        <v>0</v>
      </c>
      <c r="ES169" s="3785">
        <f>IFERROR(INDEX('2 Staff List'!$IA$64:$IA$114,ES21),"")</f>
        <v>0</v>
      </c>
      <c r="ET169" s="3785">
        <f>IFERROR(INDEX('2 Staff List'!$IA$64:$IA$114,ET21),"")</f>
        <v>0</v>
      </c>
      <c r="EU169" s="3785">
        <f>IFERROR(INDEX('2 Staff List'!$IA$64:$IA$114,EU21),"")</f>
        <v>0</v>
      </c>
      <c r="EV169" s="3785">
        <f>IFERROR(INDEX('2 Staff List'!$IA$64:$IA$114,EV21),"")</f>
        <v>0</v>
      </c>
      <c r="EW169" s="3785">
        <f>IFERROR(INDEX('2 Staff List'!$IA$64:$IA$114,EW21),"")</f>
        <v>0</v>
      </c>
      <c r="EX169" s="3785">
        <f>IFERROR(INDEX('2 Staff List'!$IA$64:$IA$114,EX21),"")</f>
        <v>0</v>
      </c>
      <c r="EY169" s="3785">
        <f>IFERROR(INDEX('2 Staff List'!$IA$64:$IA$114,EY21),"")</f>
        <v>0</v>
      </c>
      <c r="EZ169" s="3785">
        <f>IFERROR(INDEX('2 Staff List'!$IA$64:$IA$114,EZ21),"")</f>
        <v>0</v>
      </c>
      <c r="FA169" s="3785">
        <f>IFERROR(INDEX('2 Staff List'!$IA$64:$IA$114,FA21),"")</f>
        <v>0</v>
      </c>
      <c r="FB169" s="3785">
        <f>IFERROR(INDEX('2 Staff List'!$IA$64:$IA$114,FB21),"")</f>
        <v>0</v>
      </c>
      <c r="FC169" s="3785">
        <f>IFERROR(INDEX('2 Staff List'!$IA$64:$IA$114,FC21),"")</f>
        <v>0</v>
      </c>
      <c r="FD169" s="3785">
        <f>IFERROR(INDEX('2 Staff List'!$IA$64:$IA$114,FD21),"")</f>
        <v>0</v>
      </c>
      <c r="FE169" s="3785">
        <f>IFERROR(INDEX('2 Staff List'!$IA$64:$IA$114,FE21),"")</f>
        <v>0</v>
      </c>
      <c r="FF169" s="3785">
        <f>IFERROR(INDEX('2 Staff List'!$IA$64:$IA$114,FF21),"")</f>
        <v>0</v>
      </c>
      <c r="FG169" s="3785">
        <f>IFERROR(INDEX('2 Staff List'!$IA$64:$IA$114,FG21),"")</f>
        <v>0</v>
      </c>
      <c r="FH169" s="3783"/>
      <c r="FI169" s="6"/>
      <c r="FJ169" s="6"/>
      <c r="FK169" s="6"/>
      <c r="FL169" s="6"/>
      <c r="FM169" s="6"/>
      <c r="FN169" s="6"/>
      <c r="FO169" s="224"/>
      <c r="FP169" s="224"/>
      <c r="FQ169" s="224"/>
      <c r="FR169" s="224"/>
      <c r="FS169" s="224"/>
      <c r="FT169" s="224"/>
      <c r="FU169" s="224"/>
      <c r="FV169" s="224"/>
      <c r="FW169" s="224"/>
      <c r="FX169" s="224"/>
      <c r="FY169" s="225"/>
      <c r="FZ169" s="225"/>
      <c r="GA169" s="225"/>
      <c r="GB169" s="225"/>
      <c r="GC169" s="225"/>
      <c r="GD169" s="1762"/>
      <c r="GE169" s="1762"/>
      <c r="GF169" s="1762"/>
      <c r="GG169" s="1762"/>
      <c r="GH169" s="1762"/>
      <c r="GI169" s="1762"/>
      <c r="GJ169" s="1762"/>
      <c r="GK169" s="1762"/>
      <c r="GL169" s="1762"/>
      <c r="GM169" s="1762"/>
      <c r="GN169" s="3639" t="str">
        <f>IF(FM5=1,"","Number of weeks in the period")</f>
        <v/>
      </c>
      <c r="GO169" s="3639"/>
      <c r="GP169" s="3639"/>
      <c r="GQ169" s="3639"/>
      <c r="GR169" s="3639"/>
      <c r="GS169" s="3640"/>
      <c r="GT169" s="2103" t="str">
        <f t="shared" ref="GT169:HY169" si="313">IF($FM$5=1,"",IF(GT166="",4,5))</f>
        <v/>
      </c>
      <c r="GU169" s="2104" t="str">
        <f t="shared" si="313"/>
        <v/>
      </c>
      <c r="GV169" s="2104" t="str">
        <f t="shared" si="313"/>
        <v/>
      </c>
      <c r="GW169" s="2104" t="str">
        <f t="shared" si="313"/>
        <v/>
      </c>
      <c r="GX169" s="2104" t="str">
        <f t="shared" si="313"/>
        <v/>
      </c>
      <c r="GY169" s="2104" t="str">
        <f t="shared" si="313"/>
        <v/>
      </c>
      <c r="GZ169" s="2104" t="str">
        <f t="shared" si="313"/>
        <v/>
      </c>
      <c r="HA169" s="2104" t="str">
        <f t="shared" si="313"/>
        <v/>
      </c>
      <c r="HB169" s="2104" t="str">
        <f t="shared" si="313"/>
        <v/>
      </c>
      <c r="HC169" s="2104" t="str">
        <f t="shared" si="313"/>
        <v/>
      </c>
      <c r="HD169" s="2104" t="str">
        <f t="shared" si="313"/>
        <v/>
      </c>
      <c r="HE169" s="2104" t="str">
        <f t="shared" si="313"/>
        <v/>
      </c>
      <c r="HF169" s="2104" t="str">
        <f t="shared" si="313"/>
        <v/>
      </c>
      <c r="HG169" s="2104" t="str">
        <f t="shared" si="313"/>
        <v/>
      </c>
      <c r="HH169" s="2104" t="str">
        <f t="shared" si="313"/>
        <v/>
      </c>
      <c r="HI169" s="2104" t="str">
        <f t="shared" si="313"/>
        <v/>
      </c>
      <c r="HJ169" s="2104" t="str">
        <f t="shared" si="313"/>
        <v/>
      </c>
      <c r="HK169" s="2104" t="str">
        <f t="shared" si="313"/>
        <v/>
      </c>
      <c r="HL169" s="2104" t="str">
        <f t="shared" si="313"/>
        <v/>
      </c>
      <c r="HM169" s="2104" t="str">
        <f t="shared" si="313"/>
        <v/>
      </c>
      <c r="HN169" s="2104" t="str">
        <f t="shared" si="313"/>
        <v/>
      </c>
      <c r="HO169" s="2104" t="str">
        <f t="shared" si="313"/>
        <v/>
      </c>
      <c r="HP169" s="2104" t="str">
        <f t="shared" si="313"/>
        <v/>
      </c>
      <c r="HQ169" s="2104" t="str">
        <f t="shared" si="313"/>
        <v/>
      </c>
      <c r="HR169" s="2104" t="str">
        <f t="shared" si="313"/>
        <v/>
      </c>
      <c r="HS169" s="2104" t="str">
        <f t="shared" si="313"/>
        <v/>
      </c>
      <c r="HT169" s="2104" t="str">
        <f t="shared" si="313"/>
        <v/>
      </c>
      <c r="HU169" s="2104" t="str">
        <f t="shared" si="313"/>
        <v/>
      </c>
      <c r="HV169" s="2104" t="str">
        <f t="shared" si="313"/>
        <v/>
      </c>
      <c r="HW169" s="2104" t="str">
        <f t="shared" si="313"/>
        <v/>
      </c>
      <c r="HX169" s="2104" t="str">
        <f t="shared" si="313"/>
        <v/>
      </c>
      <c r="HY169" s="2104" t="str">
        <f t="shared" si="313"/>
        <v/>
      </c>
      <c r="HZ169" s="2104" t="str">
        <f t="shared" ref="HZ169:JE169" si="314">IF($FM$5=1,"",IF(HZ166="",4,5))</f>
        <v/>
      </c>
      <c r="IA169" s="2104" t="str">
        <f t="shared" si="314"/>
        <v/>
      </c>
      <c r="IB169" s="2104" t="str">
        <f t="shared" si="314"/>
        <v/>
      </c>
      <c r="IC169" s="2104" t="str">
        <f t="shared" si="314"/>
        <v/>
      </c>
      <c r="ID169" s="2104" t="str">
        <f t="shared" si="314"/>
        <v/>
      </c>
      <c r="IE169" s="2104" t="str">
        <f t="shared" si="314"/>
        <v/>
      </c>
      <c r="IF169" s="2104" t="str">
        <f t="shared" si="314"/>
        <v/>
      </c>
      <c r="IG169" s="2104" t="str">
        <f t="shared" si="314"/>
        <v/>
      </c>
      <c r="IH169" s="2104" t="str">
        <f t="shared" si="314"/>
        <v/>
      </c>
      <c r="II169" s="2104" t="str">
        <f t="shared" si="314"/>
        <v/>
      </c>
      <c r="IJ169" s="2104" t="str">
        <f t="shared" si="314"/>
        <v/>
      </c>
      <c r="IK169" s="2104" t="str">
        <f t="shared" si="314"/>
        <v/>
      </c>
      <c r="IL169" s="2104" t="str">
        <f t="shared" si="314"/>
        <v/>
      </c>
      <c r="IM169" s="2104" t="str">
        <f t="shared" si="314"/>
        <v/>
      </c>
      <c r="IN169" s="2104" t="str">
        <f t="shared" si="314"/>
        <v/>
      </c>
      <c r="IO169" s="2104" t="str">
        <f t="shared" si="314"/>
        <v/>
      </c>
      <c r="IP169" s="2104" t="str">
        <f t="shared" si="314"/>
        <v/>
      </c>
      <c r="IQ169" s="2104" t="str">
        <f t="shared" si="314"/>
        <v/>
      </c>
      <c r="IR169" s="2104" t="str">
        <f t="shared" si="314"/>
        <v/>
      </c>
      <c r="IS169" s="2104" t="str">
        <f t="shared" si="314"/>
        <v/>
      </c>
      <c r="IT169" s="2104" t="str">
        <f t="shared" si="314"/>
        <v/>
      </c>
      <c r="IU169" s="2104" t="str">
        <f t="shared" si="314"/>
        <v/>
      </c>
      <c r="IV169" s="2104" t="str">
        <f t="shared" si="314"/>
        <v/>
      </c>
      <c r="IW169" s="2104" t="str">
        <f t="shared" si="314"/>
        <v/>
      </c>
      <c r="IX169" s="2104" t="str">
        <f t="shared" si="314"/>
        <v/>
      </c>
      <c r="IY169" s="2104" t="str">
        <f t="shared" si="314"/>
        <v/>
      </c>
      <c r="IZ169" s="2104" t="str">
        <f t="shared" si="314"/>
        <v/>
      </c>
      <c r="JA169" s="2104" t="str">
        <f t="shared" si="314"/>
        <v/>
      </c>
      <c r="JB169" s="2104" t="str">
        <f t="shared" si="314"/>
        <v/>
      </c>
      <c r="JC169" s="2104" t="str">
        <f t="shared" si="314"/>
        <v/>
      </c>
      <c r="JD169" s="2104" t="str">
        <f t="shared" si="314"/>
        <v/>
      </c>
      <c r="JE169" s="2104" t="str">
        <f t="shared" si="314"/>
        <v/>
      </c>
      <c r="JF169" s="2104" t="str">
        <f t="shared" ref="JF169:KK169" si="315">IF($FM$5=1,"",IF(JF166="",4,5))</f>
        <v/>
      </c>
      <c r="JG169" s="2104" t="str">
        <f t="shared" si="315"/>
        <v/>
      </c>
      <c r="JH169" s="2104" t="str">
        <f t="shared" si="315"/>
        <v/>
      </c>
      <c r="JI169" s="2104" t="str">
        <f t="shared" si="315"/>
        <v/>
      </c>
      <c r="JJ169" s="2104" t="str">
        <f t="shared" si="315"/>
        <v/>
      </c>
      <c r="JK169" s="2104" t="str">
        <f t="shared" si="315"/>
        <v/>
      </c>
      <c r="JL169" s="2104" t="str">
        <f t="shared" si="315"/>
        <v/>
      </c>
      <c r="JM169" s="2104" t="str">
        <f t="shared" si="315"/>
        <v/>
      </c>
      <c r="JN169" s="2104" t="str">
        <f t="shared" si="315"/>
        <v/>
      </c>
      <c r="JO169" s="2104" t="str">
        <f t="shared" si="315"/>
        <v/>
      </c>
      <c r="JP169" s="2104" t="str">
        <f t="shared" si="315"/>
        <v/>
      </c>
      <c r="JQ169" s="2104" t="str">
        <f t="shared" si="315"/>
        <v/>
      </c>
      <c r="JR169" s="2104" t="str">
        <f t="shared" si="315"/>
        <v/>
      </c>
      <c r="JS169" s="2104" t="str">
        <f t="shared" si="315"/>
        <v/>
      </c>
      <c r="JT169" s="2104" t="str">
        <f t="shared" si="315"/>
        <v/>
      </c>
      <c r="JU169" s="2104" t="str">
        <f t="shared" si="315"/>
        <v/>
      </c>
      <c r="JV169" s="2104" t="str">
        <f t="shared" si="315"/>
        <v/>
      </c>
      <c r="JW169" s="2104" t="str">
        <f t="shared" si="315"/>
        <v/>
      </c>
      <c r="JX169" s="2104" t="str">
        <f t="shared" si="315"/>
        <v/>
      </c>
      <c r="JY169" s="2104" t="str">
        <f t="shared" si="315"/>
        <v/>
      </c>
      <c r="JZ169" s="2104" t="str">
        <f t="shared" si="315"/>
        <v/>
      </c>
      <c r="KA169" s="2104" t="str">
        <f t="shared" si="315"/>
        <v/>
      </c>
      <c r="KB169" s="2104" t="str">
        <f t="shared" si="315"/>
        <v/>
      </c>
      <c r="KC169" s="2104" t="str">
        <f t="shared" si="315"/>
        <v/>
      </c>
      <c r="KD169" s="2104" t="str">
        <f t="shared" si="315"/>
        <v/>
      </c>
      <c r="KE169" s="2104" t="str">
        <f t="shared" si="315"/>
        <v/>
      </c>
      <c r="KF169" s="2104" t="str">
        <f t="shared" si="315"/>
        <v/>
      </c>
      <c r="KG169" s="2104" t="str">
        <f t="shared" si="315"/>
        <v/>
      </c>
      <c r="KH169" s="2104" t="str">
        <f t="shared" si="315"/>
        <v/>
      </c>
      <c r="KI169" s="2104" t="str">
        <f t="shared" si="315"/>
        <v/>
      </c>
      <c r="KJ169" s="2104" t="str">
        <f t="shared" si="315"/>
        <v/>
      </c>
      <c r="KK169" s="2104" t="str">
        <f t="shared" si="315"/>
        <v/>
      </c>
      <c r="KL169" s="2104" t="str">
        <f t="shared" ref="KL169:LP169" si="316">IF($FM$5=1,"",IF(KL166="",4,5))</f>
        <v/>
      </c>
      <c r="KM169" s="2104" t="str">
        <f t="shared" si="316"/>
        <v/>
      </c>
      <c r="KN169" s="2104" t="str">
        <f t="shared" si="316"/>
        <v/>
      </c>
      <c r="KO169" s="2104" t="str">
        <f t="shared" si="316"/>
        <v/>
      </c>
      <c r="KP169" s="2104" t="str">
        <f t="shared" si="316"/>
        <v/>
      </c>
      <c r="KQ169" s="2104" t="str">
        <f t="shared" si="316"/>
        <v/>
      </c>
      <c r="KR169" s="2104" t="str">
        <f t="shared" si="316"/>
        <v/>
      </c>
      <c r="KS169" s="2104" t="str">
        <f t="shared" si="316"/>
        <v/>
      </c>
      <c r="KT169" s="2104" t="str">
        <f t="shared" si="316"/>
        <v/>
      </c>
      <c r="KU169" s="2104" t="str">
        <f t="shared" si="316"/>
        <v/>
      </c>
      <c r="KV169" s="2104" t="str">
        <f t="shared" si="316"/>
        <v/>
      </c>
      <c r="KW169" s="2104" t="str">
        <f t="shared" si="316"/>
        <v/>
      </c>
      <c r="KX169" s="2104" t="str">
        <f t="shared" si="316"/>
        <v/>
      </c>
      <c r="KY169" s="2104" t="str">
        <f t="shared" si="316"/>
        <v/>
      </c>
      <c r="KZ169" s="2104" t="str">
        <f t="shared" si="316"/>
        <v/>
      </c>
      <c r="LA169" s="2104" t="str">
        <f t="shared" si="316"/>
        <v/>
      </c>
      <c r="LB169" s="2104" t="str">
        <f t="shared" si="316"/>
        <v/>
      </c>
      <c r="LC169" s="2104" t="str">
        <f t="shared" si="316"/>
        <v/>
      </c>
      <c r="LD169" s="2104" t="str">
        <f t="shared" si="316"/>
        <v/>
      </c>
      <c r="LE169" s="2104" t="str">
        <f t="shared" si="316"/>
        <v/>
      </c>
      <c r="LF169" s="2104" t="str">
        <f t="shared" si="316"/>
        <v/>
      </c>
      <c r="LG169" s="2104" t="str">
        <f t="shared" si="316"/>
        <v/>
      </c>
      <c r="LH169" s="2104" t="str">
        <f t="shared" si="316"/>
        <v/>
      </c>
      <c r="LI169" s="2104" t="str">
        <f t="shared" si="316"/>
        <v/>
      </c>
      <c r="LJ169" s="2104" t="str">
        <f t="shared" si="316"/>
        <v/>
      </c>
      <c r="LK169" s="2104" t="str">
        <f t="shared" si="316"/>
        <v/>
      </c>
      <c r="LL169" s="2104" t="str">
        <f t="shared" si="316"/>
        <v/>
      </c>
      <c r="LM169" s="2104" t="str">
        <f t="shared" si="316"/>
        <v/>
      </c>
      <c r="LN169" s="2104" t="str">
        <f t="shared" si="316"/>
        <v/>
      </c>
      <c r="LO169" s="2104" t="str">
        <f t="shared" si="316"/>
        <v/>
      </c>
      <c r="LP169" s="432" t="str">
        <f t="shared" si="316"/>
        <v/>
      </c>
      <c r="LQ169" s="999"/>
      <c r="LR169" s="273"/>
    </row>
    <row r="170" spans="1:331" ht="95.25" customHeight="1" thickBot="1" x14ac:dyDescent="0.3">
      <c r="A170" s="282"/>
      <c r="B170" s="3702" t="s">
        <v>120</v>
      </c>
      <c r="C170" s="3705" t="s">
        <v>1643</v>
      </c>
      <c r="D170" s="1771"/>
      <c r="E170" s="3708" t="str">
        <f>IF($C$7="E","","Change ID")</f>
        <v>Change ID</v>
      </c>
      <c r="F170" s="3710" t="str">
        <f>IF($C$7="E","Exclude Item","Change Status")</f>
        <v>Change Status</v>
      </c>
      <c r="G170" s="3758" t="s">
        <v>3944</v>
      </c>
      <c r="H170" s="6"/>
      <c r="I170" s="6"/>
      <c r="J170" s="3710" t="s">
        <v>2874</v>
      </c>
      <c r="K170" s="6"/>
      <c r="L170" s="3767" t="s">
        <v>778</v>
      </c>
      <c r="M170" s="3767" t="s">
        <v>772</v>
      </c>
      <c r="N170" s="3769" t="s">
        <v>793</v>
      </c>
      <c r="O170" s="3771" t="s">
        <v>1305</v>
      </c>
      <c r="Q170" s="2060" t="s">
        <v>4304</v>
      </c>
      <c r="R170" s="3020">
        <f>T170</f>
        <v>1363</v>
      </c>
      <c r="S170" s="3021">
        <f>Y170</f>
        <v>37383.684232</v>
      </c>
      <c r="T170" s="2146">
        <f>SUMIFS($T$173:$T$364,$CY$173:$CY$364,1)-T167</f>
        <v>1363</v>
      </c>
      <c r="U170" s="458">
        <f>SUMIFS($U$173:$U$364,$CY$173:$CY$364,1)-U167</f>
        <v>0</v>
      </c>
      <c r="V170" s="458"/>
      <c r="W170" s="2144">
        <f>SUMIFS($W$173:$W$364,$AH$173:$AH$364,1,$CY$173:$CY$364,1,$CU$173:$CU$364,0)-IF(C7="B",W167,0)+N("Fee for Approved Changes")</f>
        <v>0</v>
      </c>
      <c r="X170" s="2147">
        <f ca="1">SUMIFS($X$173:$X$364,$CY$173:$CY$364,1,$AH$173:$AH$364,1)-X167</f>
        <v>68492.781824999998</v>
      </c>
      <c r="Y170" s="2147">
        <f>SUMIFS($Y$173:$Y$364,$CY$173:$CY$364,1)-Y167</f>
        <v>37383.684232</v>
      </c>
      <c r="Z170" s="2147">
        <f>SUMIFS($Z$173:$Z$364,$CY$173:$CY$364,1)-Z167</f>
        <v>24594.5291</v>
      </c>
      <c r="AA170" s="2147"/>
      <c r="AB170" s="2147"/>
      <c r="AC170" s="1651" t="s">
        <v>1718</v>
      </c>
      <c r="AD170" s="1651" t="s">
        <v>1718</v>
      </c>
      <c r="AE170" s="2752" t="s">
        <v>6</v>
      </c>
      <c r="AF170" s="2752" t="s">
        <v>55</v>
      </c>
      <c r="AG170" s="2752" t="s">
        <v>56</v>
      </c>
      <c r="AH170" s="3836"/>
      <c r="AI170" s="2752" t="s">
        <v>2873</v>
      </c>
      <c r="AJ170" s="2752" t="s">
        <v>4303</v>
      </c>
      <c r="AK170" s="2752" t="s">
        <v>1863</v>
      </c>
      <c r="AL170" s="2752" t="s">
        <v>368</v>
      </c>
      <c r="AM170" s="2752" t="s">
        <v>369</v>
      </c>
      <c r="AN170" s="2752" t="s">
        <v>13</v>
      </c>
      <c r="AO170" s="3830"/>
      <c r="AP170" s="3830"/>
      <c r="AQ170" s="3830"/>
      <c r="AR170" s="3830"/>
      <c r="AS170" s="3830"/>
      <c r="AT170" s="3830"/>
      <c r="AU170" s="3830"/>
      <c r="AV170" s="3830"/>
      <c r="AW170" s="3830"/>
      <c r="AX170" s="3830"/>
      <c r="AY170" s="2752" t="s">
        <v>1130</v>
      </c>
      <c r="AZ170" s="2752" t="s">
        <v>1131</v>
      </c>
      <c r="BA170" s="2752" t="s">
        <v>1132</v>
      </c>
      <c r="BB170" s="2752" t="s">
        <v>1133</v>
      </c>
      <c r="BC170" s="2752" t="s">
        <v>1134</v>
      </c>
      <c r="BD170" s="2752" t="s">
        <v>1135</v>
      </c>
      <c r="BE170" s="2752" t="s">
        <v>1136</v>
      </c>
      <c r="BF170" s="2752" t="s">
        <v>1137</v>
      </c>
      <c r="BG170" s="2752" t="s">
        <v>1138</v>
      </c>
      <c r="BH170" s="2752" t="s">
        <v>1139</v>
      </c>
      <c r="BI170" s="2752" t="s">
        <v>1140</v>
      </c>
      <c r="BJ170" s="2752" t="s">
        <v>1141</v>
      </c>
      <c r="BK170" s="2752" t="s">
        <v>1142</v>
      </c>
      <c r="BL170" s="2752" t="s">
        <v>1143</v>
      </c>
      <c r="BM170" s="2752" t="s">
        <v>1144</v>
      </c>
      <c r="BN170" s="2752" t="s">
        <v>1145</v>
      </c>
      <c r="BO170" s="2752" t="s">
        <v>1146</v>
      </c>
      <c r="BP170" s="2752" t="s">
        <v>1147</v>
      </c>
      <c r="BQ170" s="2752" t="s">
        <v>1148</v>
      </c>
      <c r="BR170" s="2752" t="s">
        <v>1149</v>
      </c>
      <c r="BS170" s="3830"/>
      <c r="BT170" s="3830"/>
      <c r="BU170" s="3830"/>
      <c r="BV170" s="3830"/>
      <c r="BW170" s="3830"/>
      <c r="BX170" s="3830"/>
      <c r="BY170" s="3830"/>
      <c r="BZ170" s="3830"/>
      <c r="CA170" s="3830"/>
      <c r="CB170" s="3830"/>
      <c r="CC170" s="2752" t="s">
        <v>1108</v>
      </c>
      <c r="CD170" s="2752" t="s">
        <v>1109</v>
      </c>
      <c r="CE170" s="2752" t="s">
        <v>1110</v>
      </c>
      <c r="CF170" s="2752" t="s">
        <v>1111</v>
      </c>
      <c r="CG170" s="2752" t="s">
        <v>1112</v>
      </c>
      <c r="CH170" s="2752" t="s">
        <v>1113</v>
      </c>
      <c r="CI170" s="2752" t="s">
        <v>1114</v>
      </c>
      <c r="CJ170" s="2752" t="s">
        <v>1115</v>
      </c>
      <c r="CK170" s="2752" t="s">
        <v>1116</v>
      </c>
      <c r="CL170" s="2752" t="s">
        <v>1107</v>
      </c>
      <c r="CM170" s="2752" t="s">
        <v>28</v>
      </c>
      <c r="CN170" s="2752" t="s">
        <v>2355</v>
      </c>
      <c r="CO170" s="2752" t="s">
        <v>3374</v>
      </c>
      <c r="CP170" s="2752" t="s">
        <v>3373</v>
      </c>
      <c r="CQ170" s="2953" t="s">
        <v>2319</v>
      </c>
      <c r="CR170" s="3044" t="s">
        <v>4298</v>
      </c>
      <c r="CS170" s="2752" t="s">
        <v>2169</v>
      </c>
      <c r="CT170" s="2953" t="s">
        <v>3387</v>
      </c>
      <c r="CU170" s="461" t="s">
        <v>1229</v>
      </c>
      <c r="CV170" s="461" t="s">
        <v>2166</v>
      </c>
      <c r="CW170" s="461" t="s">
        <v>2167</v>
      </c>
      <c r="CX170" s="461" t="s">
        <v>3372</v>
      </c>
      <c r="CY170" s="1887" t="s">
        <v>2170</v>
      </c>
      <c r="CZ170" s="3022">
        <f ca="1">X170</f>
        <v>68492.781824999998</v>
      </c>
      <c r="DA170" s="3032">
        <f ca="1">CZ170-S170</f>
        <v>31109.097592999999</v>
      </c>
      <c r="DB170" s="374"/>
      <c r="DC170" s="364"/>
      <c r="DD170" s="3724" t="s">
        <v>110</v>
      </c>
      <c r="DE170" s="1271"/>
      <c r="DF170" s="3787" t="s">
        <v>2120</v>
      </c>
      <c r="DG170" s="644"/>
      <c r="DH170" s="3724"/>
      <c r="DI170" s="3279"/>
      <c r="DJ170" s="3785"/>
      <c r="DK170" s="3785"/>
      <c r="DL170" s="3785"/>
      <c r="DM170" s="3785"/>
      <c r="DN170" s="3785"/>
      <c r="DO170" s="3785"/>
      <c r="DP170" s="3785"/>
      <c r="DQ170" s="3785"/>
      <c r="DR170" s="3785"/>
      <c r="DS170" s="3785"/>
      <c r="DT170" s="3785"/>
      <c r="DU170" s="3785"/>
      <c r="DV170" s="3785"/>
      <c r="DW170" s="3785"/>
      <c r="DX170" s="3785"/>
      <c r="DY170" s="3785"/>
      <c r="DZ170" s="3785"/>
      <c r="EA170" s="3785"/>
      <c r="EB170" s="3785"/>
      <c r="EC170" s="3785"/>
      <c r="ED170" s="3785"/>
      <c r="EE170" s="3785"/>
      <c r="EF170" s="3785"/>
      <c r="EG170" s="3785"/>
      <c r="EH170" s="3785"/>
      <c r="EI170" s="3785"/>
      <c r="EJ170" s="3785"/>
      <c r="EK170" s="3785"/>
      <c r="EL170" s="3785"/>
      <c r="EM170" s="3785"/>
      <c r="EN170" s="3785"/>
      <c r="EO170" s="3785"/>
      <c r="EP170" s="3785"/>
      <c r="EQ170" s="3785"/>
      <c r="ER170" s="3785"/>
      <c r="ES170" s="3785"/>
      <c r="ET170" s="3785"/>
      <c r="EU170" s="3785"/>
      <c r="EV170" s="3785"/>
      <c r="EW170" s="3785"/>
      <c r="EX170" s="3785"/>
      <c r="EY170" s="3785"/>
      <c r="EZ170" s="3785"/>
      <c r="FA170" s="3785"/>
      <c r="FB170" s="3785"/>
      <c r="FC170" s="3785"/>
      <c r="FD170" s="3785"/>
      <c r="FE170" s="3785"/>
      <c r="FF170" s="3785"/>
      <c r="FG170" s="3785"/>
      <c r="FH170" s="3783"/>
      <c r="FI170" s="6"/>
      <c r="FJ170" s="3795" t="s">
        <v>2542</v>
      </c>
      <c r="FK170" s="3795"/>
      <c r="FL170" s="3795"/>
      <c r="FM170" s="3795"/>
      <c r="FN170" s="3797" t="s">
        <v>2686</v>
      </c>
      <c r="FO170" s="226" t="s">
        <v>2834</v>
      </c>
      <c r="FP170" s="226" t="s">
        <v>82</v>
      </c>
      <c r="FQ170" s="226" t="s">
        <v>80</v>
      </c>
      <c r="FR170" s="226" t="s">
        <v>86</v>
      </c>
      <c r="FS170" s="226" t="s">
        <v>83</v>
      </c>
      <c r="FT170" s="226" t="s">
        <v>84</v>
      </c>
      <c r="FU170" s="602" t="s">
        <v>2835</v>
      </c>
      <c r="FV170" s="602" t="s">
        <v>2589</v>
      </c>
      <c r="FW170" s="602" t="s">
        <v>2837</v>
      </c>
      <c r="FX170" s="226" t="s">
        <v>746</v>
      </c>
      <c r="FY170" s="226" t="s">
        <v>2119</v>
      </c>
      <c r="FZ170" s="226" t="s">
        <v>137</v>
      </c>
      <c r="GA170" s="226" t="s">
        <v>292</v>
      </c>
      <c r="GB170" s="227" t="s">
        <v>293</v>
      </c>
      <c r="GC170" s="226"/>
      <c r="GD170" s="226"/>
      <c r="GE170" s="226"/>
      <c r="GF170" s="226"/>
      <c r="GG170" s="226"/>
      <c r="GH170" s="226"/>
      <c r="GI170" s="226"/>
      <c r="GJ170" s="226"/>
      <c r="GK170" s="226"/>
      <c r="GL170" s="226"/>
      <c r="GM170" s="226"/>
      <c r="GN170" s="3713" t="str">
        <f>IF($FM$5=1,"Week Ending","Calendar Periods")</f>
        <v>Week Ending</v>
      </c>
      <c r="GO170" s="3714"/>
      <c r="GP170" s="3714"/>
      <c r="GQ170" s="3796"/>
      <c r="GR170" s="1357" t="s">
        <v>781</v>
      </c>
      <c r="GS170" s="1015"/>
      <c r="GT170" s="1100">
        <v>43840</v>
      </c>
      <c r="GU170" s="2498">
        <f t="shared" ref="GU170:HZ170" si="317">IF($GT$170=0,0,$GT$170+($FN$5*(GU37-1)))</f>
        <v>43847</v>
      </c>
      <c r="GV170" s="2499">
        <f t="shared" si="317"/>
        <v>43854</v>
      </c>
      <c r="GW170" s="2499">
        <f t="shared" si="317"/>
        <v>43861</v>
      </c>
      <c r="GX170" s="2499">
        <f t="shared" si="317"/>
        <v>43868</v>
      </c>
      <c r="GY170" s="2499">
        <f t="shared" si="317"/>
        <v>43875</v>
      </c>
      <c r="GZ170" s="2499">
        <f t="shared" si="317"/>
        <v>43882</v>
      </c>
      <c r="HA170" s="2499">
        <f t="shared" si="317"/>
        <v>43889</v>
      </c>
      <c r="HB170" s="2499">
        <f t="shared" si="317"/>
        <v>43896</v>
      </c>
      <c r="HC170" s="2499">
        <f t="shared" si="317"/>
        <v>43903</v>
      </c>
      <c r="HD170" s="2499">
        <f t="shared" si="317"/>
        <v>43910</v>
      </c>
      <c r="HE170" s="2499">
        <f t="shared" si="317"/>
        <v>43917</v>
      </c>
      <c r="HF170" s="2499">
        <f t="shared" si="317"/>
        <v>43924</v>
      </c>
      <c r="HG170" s="2499">
        <f t="shared" si="317"/>
        <v>43931</v>
      </c>
      <c r="HH170" s="2499">
        <f t="shared" si="317"/>
        <v>43938</v>
      </c>
      <c r="HI170" s="2499">
        <f t="shared" si="317"/>
        <v>43945</v>
      </c>
      <c r="HJ170" s="2499">
        <f t="shared" si="317"/>
        <v>43952</v>
      </c>
      <c r="HK170" s="2499">
        <f t="shared" si="317"/>
        <v>43959</v>
      </c>
      <c r="HL170" s="2499">
        <f t="shared" si="317"/>
        <v>43966</v>
      </c>
      <c r="HM170" s="2499">
        <f t="shared" si="317"/>
        <v>43973</v>
      </c>
      <c r="HN170" s="2499">
        <f t="shared" si="317"/>
        <v>43980</v>
      </c>
      <c r="HO170" s="2499">
        <f t="shared" si="317"/>
        <v>43987</v>
      </c>
      <c r="HP170" s="2499">
        <f t="shared" si="317"/>
        <v>43994</v>
      </c>
      <c r="HQ170" s="2499">
        <f t="shared" si="317"/>
        <v>44001</v>
      </c>
      <c r="HR170" s="2499">
        <f t="shared" si="317"/>
        <v>44008</v>
      </c>
      <c r="HS170" s="2499">
        <f t="shared" si="317"/>
        <v>44015</v>
      </c>
      <c r="HT170" s="2499">
        <f t="shared" si="317"/>
        <v>44022</v>
      </c>
      <c r="HU170" s="2499">
        <f t="shared" si="317"/>
        <v>44029</v>
      </c>
      <c r="HV170" s="2499">
        <f t="shared" si="317"/>
        <v>44036</v>
      </c>
      <c r="HW170" s="2499">
        <f t="shared" si="317"/>
        <v>44043</v>
      </c>
      <c r="HX170" s="2499">
        <f t="shared" si="317"/>
        <v>44050</v>
      </c>
      <c r="HY170" s="2499">
        <f t="shared" si="317"/>
        <v>44057</v>
      </c>
      <c r="HZ170" s="2499">
        <f t="shared" si="317"/>
        <v>44064</v>
      </c>
      <c r="IA170" s="2499">
        <f t="shared" ref="IA170:JF170" si="318">IF($GT$170=0,0,$GT$170+($FN$5*(IA37-1)))</f>
        <v>44071</v>
      </c>
      <c r="IB170" s="2499">
        <f t="shared" si="318"/>
        <v>44078</v>
      </c>
      <c r="IC170" s="2499">
        <f t="shared" si="318"/>
        <v>44085</v>
      </c>
      <c r="ID170" s="2499">
        <f t="shared" si="318"/>
        <v>44092</v>
      </c>
      <c r="IE170" s="2499">
        <f t="shared" si="318"/>
        <v>44099</v>
      </c>
      <c r="IF170" s="2499">
        <f t="shared" si="318"/>
        <v>44106</v>
      </c>
      <c r="IG170" s="2499">
        <f t="shared" si="318"/>
        <v>44113</v>
      </c>
      <c r="IH170" s="2499">
        <f t="shared" si="318"/>
        <v>44120</v>
      </c>
      <c r="II170" s="2499">
        <f t="shared" si="318"/>
        <v>44127</v>
      </c>
      <c r="IJ170" s="2499">
        <f t="shared" si="318"/>
        <v>44134</v>
      </c>
      <c r="IK170" s="2499">
        <f t="shared" si="318"/>
        <v>44141</v>
      </c>
      <c r="IL170" s="2499">
        <f t="shared" si="318"/>
        <v>44148</v>
      </c>
      <c r="IM170" s="2499">
        <f t="shared" si="318"/>
        <v>44155</v>
      </c>
      <c r="IN170" s="2499">
        <f t="shared" si="318"/>
        <v>44162</v>
      </c>
      <c r="IO170" s="2499">
        <f t="shared" si="318"/>
        <v>44169</v>
      </c>
      <c r="IP170" s="2499">
        <f t="shared" si="318"/>
        <v>44176</v>
      </c>
      <c r="IQ170" s="2499">
        <f t="shared" si="318"/>
        <v>44183</v>
      </c>
      <c r="IR170" s="2499">
        <f t="shared" si="318"/>
        <v>44190</v>
      </c>
      <c r="IS170" s="2499">
        <f t="shared" si="318"/>
        <v>44197</v>
      </c>
      <c r="IT170" s="2499">
        <f t="shared" si="318"/>
        <v>44204</v>
      </c>
      <c r="IU170" s="2499">
        <f t="shared" si="318"/>
        <v>44211</v>
      </c>
      <c r="IV170" s="2499">
        <f t="shared" si="318"/>
        <v>44218</v>
      </c>
      <c r="IW170" s="2499">
        <f t="shared" si="318"/>
        <v>44225</v>
      </c>
      <c r="IX170" s="2499">
        <f t="shared" si="318"/>
        <v>44232</v>
      </c>
      <c r="IY170" s="2499">
        <f t="shared" si="318"/>
        <v>44239</v>
      </c>
      <c r="IZ170" s="2499">
        <f t="shared" si="318"/>
        <v>44246</v>
      </c>
      <c r="JA170" s="2499">
        <f t="shared" si="318"/>
        <v>44253</v>
      </c>
      <c r="JB170" s="2499">
        <f t="shared" si="318"/>
        <v>44260</v>
      </c>
      <c r="JC170" s="2499">
        <f t="shared" si="318"/>
        <v>44267</v>
      </c>
      <c r="JD170" s="2499">
        <f t="shared" si="318"/>
        <v>44274</v>
      </c>
      <c r="JE170" s="2499">
        <f t="shared" si="318"/>
        <v>44281</v>
      </c>
      <c r="JF170" s="2499">
        <f t="shared" si="318"/>
        <v>44288</v>
      </c>
      <c r="JG170" s="2499">
        <f t="shared" ref="JG170:KL170" si="319">IF($GT$170=0,0,$GT$170+($FN$5*(JG37-1)))</f>
        <v>44295</v>
      </c>
      <c r="JH170" s="2499">
        <f t="shared" si="319"/>
        <v>44302</v>
      </c>
      <c r="JI170" s="2499">
        <f t="shared" si="319"/>
        <v>44309</v>
      </c>
      <c r="JJ170" s="2499">
        <f t="shared" si="319"/>
        <v>44316</v>
      </c>
      <c r="JK170" s="2499">
        <f t="shared" si="319"/>
        <v>44323</v>
      </c>
      <c r="JL170" s="2499">
        <f t="shared" si="319"/>
        <v>44330</v>
      </c>
      <c r="JM170" s="2499">
        <f t="shared" si="319"/>
        <v>44337</v>
      </c>
      <c r="JN170" s="2499">
        <f t="shared" si="319"/>
        <v>44344</v>
      </c>
      <c r="JO170" s="2499">
        <f t="shared" si="319"/>
        <v>44351</v>
      </c>
      <c r="JP170" s="2499">
        <f t="shared" si="319"/>
        <v>44358</v>
      </c>
      <c r="JQ170" s="2499">
        <f t="shared" si="319"/>
        <v>44365</v>
      </c>
      <c r="JR170" s="2499">
        <f t="shared" si="319"/>
        <v>44372</v>
      </c>
      <c r="JS170" s="2499">
        <f t="shared" si="319"/>
        <v>44379</v>
      </c>
      <c r="JT170" s="2499">
        <f t="shared" si="319"/>
        <v>44386</v>
      </c>
      <c r="JU170" s="2499">
        <f t="shared" si="319"/>
        <v>44393</v>
      </c>
      <c r="JV170" s="2499">
        <f t="shared" si="319"/>
        <v>44400</v>
      </c>
      <c r="JW170" s="2499">
        <f t="shared" si="319"/>
        <v>44407</v>
      </c>
      <c r="JX170" s="2499">
        <f t="shared" si="319"/>
        <v>44414</v>
      </c>
      <c r="JY170" s="2499">
        <f t="shared" si="319"/>
        <v>44421</v>
      </c>
      <c r="JZ170" s="2499">
        <f t="shared" si="319"/>
        <v>44428</v>
      </c>
      <c r="KA170" s="2499">
        <f t="shared" si="319"/>
        <v>44435</v>
      </c>
      <c r="KB170" s="2499">
        <f t="shared" si="319"/>
        <v>44442</v>
      </c>
      <c r="KC170" s="2499">
        <f t="shared" si="319"/>
        <v>44449</v>
      </c>
      <c r="KD170" s="2499">
        <f t="shared" si="319"/>
        <v>44456</v>
      </c>
      <c r="KE170" s="2499">
        <f t="shared" si="319"/>
        <v>44463</v>
      </c>
      <c r="KF170" s="2499">
        <f t="shared" si="319"/>
        <v>44470</v>
      </c>
      <c r="KG170" s="2499">
        <f t="shared" si="319"/>
        <v>44477</v>
      </c>
      <c r="KH170" s="2499">
        <f t="shared" si="319"/>
        <v>44484</v>
      </c>
      <c r="KI170" s="2499">
        <f t="shared" si="319"/>
        <v>44491</v>
      </c>
      <c r="KJ170" s="2499">
        <f t="shared" si="319"/>
        <v>44498</v>
      </c>
      <c r="KK170" s="2499">
        <f t="shared" si="319"/>
        <v>44505</v>
      </c>
      <c r="KL170" s="2499">
        <f t="shared" si="319"/>
        <v>44512</v>
      </c>
      <c r="KM170" s="2499">
        <f t="shared" ref="KM170:LP170" si="320">IF($GT$170=0,0,$GT$170+($FN$5*(KM37-1)))</f>
        <v>44519</v>
      </c>
      <c r="KN170" s="2499">
        <f t="shared" si="320"/>
        <v>44526</v>
      </c>
      <c r="KO170" s="2499">
        <f t="shared" si="320"/>
        <v>44533</v>
      </c>
      <c r="KP170" s="2499">
        <f t="shared" si="320"/>
        <v>44540</v>
      </c>
      <c r="KQ170" s="2499">
        <f t="shared" si="320"/>
        <v>44547</v>
      </c>
      <c r="KR170" s="2499">
        <f t="shared" si="320"/>
        <v>44554</v>
      </c>
      <c r="KS170" s="2499">
        <f t="shared" si="320"/>
        <v>44561</v>
      </c>
      <c r="KT170" s="2499">
        <f t="shared" si="320"/>
        <v>44568</v>
      </c>
      <c r="KU170" s="2499">
        <f t="shared" si="320"/>
        <v>44575</v>
      </c>
      <c r="KV170" s="2499">
        <f t="shared" si="320"/>
        <v>44582</v>
      </c>
      <c r="KW170" s="2499">
        <f t="shared" si="320"/>
        <v>44589</v>
      </c>
      <c r="KX170" s="2499">
        <f t="shared" si="320"/>
        <v>44596</v>
      </c>
      <c r="KY170" s="2499">
        <f t="shared" si="320"/>
        <v>44603</v>
      </c>
      <c r="KZ170" s="2499">
        <f t="shared" si="320"/>
        <v>44610</v>
      </c>
      <c r="LA170" s="2499">
        <f t="shared" si="320"/>
        <v>44617</v>
      </c>
      <c r="LB170" s="2499">
        <f t="shared" si="320"/>
        <v>44624</v>
      </c>
      <c r="LC170" s="2499">
        <f t="shared" si="320"/>
        <v>44631</v>
      </c>
      <c r="LD170" s="2499">
        <f t="shared" si="320"/>
        <v>44638</v>
      </c>
      <c r="LE170" s="2499">
        <f t="shared" si="320"/>
        <v>44645</v>
      </c>
      <c r="LF170" s="2499">
        <f t="shared" si="320"/>
        <v>44652</v>
      </c>
      <c r="LG170" s="2499">
        <f t="shared" si="320"/>
        <v>44659</v>
      </c>
      <c r="LH170" s="2499">
        <f t="shared" si="320"/>
        <v>44666</v>
      </c>
      <c r="LI170" s="2499">
        <f t="shared" si="320"/>
        <v>44673</v>
      </c>
      <c r="LJ170" s="2499">
        <f t="shared" si="320"/>
        <v>44680</v>
      </c>
      <c r="LK170" s="2499">
        <f t="shared" si="320"/>
        <v>44687</v>
      </c>
      <c r="LL170" s="2499">
        <f t="shared" si="320"/>
        <v>44694</v>
      </c>
      <c r="LM170" s="2499">
        <f t="shared" si="320"/>
        <v>44701</v>
      </c>
      <c r="LN170" s="2499">
        <f t="shared" si="320"/>
        <v>44708</v>
      </c>
      <c r="LO170" s="2499">
        <f t="shared" si="320"/>
        <v>44715</v>
      </c>
      <c r="LP170" s="2500">
        <f t="shared" si="320"/>
        <v>44722</v>
      </c>
      <c r="LQ170" s="992" t="s">
        <v>459</v>
      </c>
      <c r="LR170" s="362" t="s">
        <v>529</v>
      </c>
    </row>
    <row r="171" spans="1:331" ht="12.75" customHeight="1" x14ac:dyDescent="0.25">
      <c r="A171" s="282"/>
      <c r="B171" s="3703"/>
      <c r="C171" s="3706"/>
      <c r="D171" s="1771"/>
      <c r="E171" s="3708"/>
      <c r="F171" s="3710"/>
      <c r="G171" s="3759"/>
      <c r="H171" s="6"/>
      <c r="I171" s="3763" t="s">
        <v>795</v>
      </c>
      <c r="J171" s="3710"/>
      <c r="K171" s="6"/>
      <c r="L171" s="3767"/>
      <c r="M171" s="3767"/>
      <c r="N171" s="3769"/>
      <c r="O171" s="3771"/>
      <c r="P171" s="3765" t="s">
        <v>841</v>
      </c>
      <c r="Q171" s="1844"/>
      <c r="R171" s="3788" t="s">
        <v>3393</v>
      </c>
      <c r="S171" s="3788" t="s">
        <v>39</v>
      </c>
      <c r="T171" s="2989" t="s">
        <v>131</v>
      </c>
      <c r="U171" s="2989" t="s">
        <v>132</v>
      </c>
      <c r="V171" s="2989" t="s">
        <v>1607</v>
      </c>
      <c r="W171" s="2989" t="s">
        <v>488</v>
      </c>
      <c r="X171" s="2989" t="s">
        <v>94</v>
      </c>
      <c r="Y171" s="2989" t="s">
        <v>125</v>
      </c>
      <c r="Z171" s="2989" t="s">
        <v>311</v>
      </c>
      <c r="AA171" s="2989" t="s">
        <v>95</v>
      </c>
      <c r="AB171" s="2989" t="s">
        <v>96</v>
      </c>
      <c r="AC171" s="2989" t="s">
        <v>94</v>
      </c>
      <c r="AD171" s="2989" t="s">
        <v>4064</v>
      </c>
      <c r="AE171" s="2990"/>
      <c r="AF171" s="2990"/>
      <c r="AG171" s="2990"/>
      <c r="AH171" s="2990"/>
      <c r="AI171" s="2990"/>
      <c r="AJ171" s="2990"/>
      <c r="AK171" s="2990"/>
      <c r="AL171" s="2990"/>
      <c r="AM171" s="2990"/>
      <c r="AN171" s="2990"/>
      <c r="AO171" s="2991"/>
      <c r="AP171" s="2991"/>
      <c r="AQ171" s="2991"/>
      <c r="AR171" s="2991"/>
      <c r="AS171" s="2991"/>
      <c r="AT171" s="2991"/>
      <c r="AU171" s="2991"/>
      <c r="AV171" s="2991"/>
      <c r="AW171" s="2991"/>
      <c r="AX171" s="2991"/>
      <c r="AY171" s="2990"/>
      <c r="AZ171" s="2990"/>
      <c r="BA171" s="2990"/>
      <c r="BB171" s="2990"/>
      <c r="BC171" s="2990"/>
      <c r="BD171" s="2990"/>
      <c r="BE171" s="2990"/>
      <c r="BF171" s="2990"/>
      <c r="BG171" s="2990"/>
      <c r="BH171" s="2990"/>
      <c r="BI171" s="2990"/>
      <c r="BJ171" s="2990"/>
      <c r="BK171" s="2990"/>
      <c r="BL171" s="2990"/>
      <c r="BM171" s="2990"/>
      <c r="BN171" s="2990"/>
      <c r="BO171" s="2990"/>
      <c r="BP171" s="2990"/>
      <c r="BQ171" s="2990"/>
      <c r="BR171" s="2990"/>
      <c r="BS171" s="2990"/>
      <c r="BT171" s="2990"/>
      <c r="BU171" s="2990"/>
      <c r="BV171" s="2990"/>
      <c r="BW171" s="2990"/>
      <c r="BX171" s="2990"/>
      <c r="BY171" s="2990"/>
      <c r="BZ171" s="2990"/>
      <c r="CA171" s="2990"/>
      <c r="CB171" s="2990"/>
      <c r="CC171" s="2990"/>
      <c r="CD171" s="2990"/>
      <c r="CE171" s="2990"/>
      <c r="CF171" s="2990"/>
      <c r="CG171" s="2990"/>
      <c r="CH171" s="2990"/>
      <c r="CI171" s="2990"/>
      <c r="CJ171" s="2990"/>
      <c r="CK171" s="2990"/>
      <c r="CL171" s="2990"/>
      <c r="CM171" s="2990"/>
      <c r="CN171" s="2992" t="str">
        <f>'2 Staff List'!HB46</f>
        <v>3rd PARTY SERVICES</v>
      </c>
      <c r="CO171" s="2990"/>
      <c r="CP171" s="2990"/>
      <c r="CQ171" s="2990"/>
      <c r="CR171" s="2990"/>
      <c r="CS171" s="2990"/>
      <c r="CT171" s="2990"/>
      <c r="CU171" s="2990"/>
      <c r="CV171" s="2990"/>
      <c r="CW171" s="2990"/>
      <c r="CX171" s="2990"/>
      <c r="CY171" s="2990"/>
      <c r="CZ171" s="3788" t="s">
        <v>31</v>
      </c>
      <c r="DA171" s="3790" t="s">
        <v>154</v>
      </c>
      <c r="DB171" s="109"/>
      <c r="DC171" s="1274" t="s">
        <v>2487</v>
      </c>
      <c r="DD171" s="3724"/>
      <c r="DE171" s="1273" t="s">
        <v>39</v>
      </c>
      <c r="DF171" s="3787"/>
      <c r="DG171" s="645"/>
      <c r="DH171" s="3724"/>
      <c r="DI171" s="3279"/>
      <c r="DJ171" s="3067">
        <v>1</v>
      </c>
      <c r="DK171" s="3068">
        <v>2</v>
      </c>
      <c r="DL171" s="3068">
        <v>3</v>
      </c>
      <c r="DM171" s="3068">
        <v>4</v>
      </c>
      <c r="DN171" s="3068">
        <v>5</v>
      </c>
      <c r="DO171" s="3068">
        <v>6</v>
      </c>
      <c r="DP171" s="3068">
        <v>7</v>
      </c>
      <c r="DQ171" s="3068">
        <v>8</v>
      </c>
      <c r="DR171" s="3068">
        <v>9</v>
      </c>
      <c r="DS171" s="3068">
        <v>10</v>
      </c>
      <c r="DT171" s="3068">
        <v>11</v>
      </c>
      <c r="DU171" s="3068">
        <v>12</v>
      </c>
      <c r="DV171" s="3068">
        <v>13</v>
      </c>
      <c r="DW171" s="3068">
        <v>14</v>
      </c>
      <c r="DX171" s="3068">
        <v>15</v>
      </c>
      <c r="DY171" s="3068">
        <v>16</v>
      </c>
      <c r="DZ171" s="3068">
        <v>17</v>
      </c>
      <c r="EA171" s="3068">
        <v>18</v>
      </c>
      <c r="EB171" s="3068">
        <v>19</v>
      </c>
      <c r="EC171" s="3068">
        <v>20</v>
      </c>
      <c r="ED171" s="3068">
        <v>21</v>
      </c>
      <c r="EE171" s="3068">
        <v>22</v>
      </c>
      <c r="EF171" s="3068">
        <v>23</v>
      </c>
      <c r="EG171" s="3068">
        <v>24</v>
      </c>
      <c r="EH171" s="3068">
        <v>25</v>
      </c>
      <c r="EI171" s="3068">
        <v>26</v>
      </c>
      <c r="EJ171" s="3068">
        <v>27</v>
      </c>
      <c r="EK171" s="3068">
        <v>28</v>
      </c>
      <c r="EL171" s="3068">
        <v>29</v>
      </c>
      <c r="EM171" s="3068">
        <v>30</v>
      </c>
      <c r="EN171" s="3068">
        <v>31</v>
      </c>
      <c r="EO171" s="3068">
        <v>32</v>
      </c>
      <c r="EP171" s="3068">
        <v>33</v>
      </c>
      <c r="EQ171" s="3068">
        <v>34</v>
      </c>
      <c r="ER171" s="3068">
        <v>35</v>
      </c>
      <c r="ES171" s="3068">
        <v>36</v>
      </c>
      <c r="ET171" s="3068">
        <v>37</v>
      </c>
      <c r="EU171" s="3068">
        <v>38</v>
      </c>
      <c r="EV171" s="3068">
        <v>39</v>
      </c>
      <c r="EW171" s="3068">
        <v>40</v>
      </c>
      <c r="EX171" s="3068">
        <v>41</v>
      </c>
      <c r="EY171" s="3068">
        <v>42</v>
      </c>
      <c r="EZ171" s="3068">
        <v>43</v>
      </c>
      <c r="FA171" s="3068">
        <v>44</v>
      </c>
      <c r="FB171" s="3068">
        <v>45</v>
      </c>
      <c r="FC171" s="3068">
        <v>46</v>
      </c>
      <c r="FD171" s="3068">
        <v>47</v>
      </c>
      <c r="FE171" s="3068">
        <v>48</v>
      </c>
      <c r="FF171" s="3068">
        <v>49</v>
      </c>
      <c r="FG171" s="3069">
        <v>50</v>
      </c>
      <c r="FH171" s="3783"/>
      <c r="FI171" s="6"/>
      <c r="FJ171" s="3795"/>
      <c r="FK171" s="3795"/>
      <c r="FL171" s="3795"/>
      <c r="FM171" s="3795"/>
      <c r="FN171" s="3732"/>
      <c r="FO171" s="228"/>
      <c r="FP171" s="228"/>
      <c r="FQ171" s="228"/>
      <c r="FR171" s="228"/>
      <c r="FS171" s="228"/>
      <c r="FT171" s="2647">
        <f>SUM(FT173:FT365)</f>
        <v>0</v>
      </c>
      <c r="FU171" s="2605">
        <f>SUM(FU173:FU365)</f>
        <v>42753.684232</v>
      </c>
      <c r="FV171" s="2609">
        <f>IFERROR(FW171/FU171,0)</f>
        <v>0</v>
      </c>
      <c r="FW171" s="2605">
        <f>SUM(FW173:FW365)</f>
        <v>0</v>
      </c>
      <c r="FX171" s="228"/>
      <c r="FY171" s="389">
        <f t="array" ref="FY171">MATCH(2,1/(GR171:LO171&gt;0))</f>
        <v>14</v>
      </c>
      <c r="FZ171" s="389">
        <f t="array" ref="FZ171">MATCH(TRUE,GT171:LQ171&lt;&gt;0,0)</f>
        <v>1</v>
      </c>
      <c r="GA171" s="389">
        <f t="array" ref="GA171">MATCH(2,1/(GT171:LQ171&gt;0))</f>
        <v>12</v>
      </c>
      <c r="GB171" s="228"/>
      <c r="GC171" s="228"/>
      <c r="GD171" s="228"/>
      <c r="GE171" s="228"/>
      <c r="GF171" s="228"/>
      <c r="GG171" s="229"/>
      <c r="GH171" s="229"/>
      <c r="GI171" s="229"/>
      <c r="GJ171" s="228"/>
      <c r="GK171" s="228"/>
      <c r="GL171" s="228"/>
      <c r="GM171" s="228"/>
      <c r="GN171" s="3732" t="s">
        <v>2113</v>
      </c>
      <c r="GO171" s="3732" t="s">
        <v>2114</v>
      </c>
      <c r="GP171" s="3794" t="str">
        <f>IF($C$7="F","% Comp","")</f>
        <v/>
      </c>
      <c r="GQ171" s="35"/>
      <c r="GR171" s="3837" t="s">
        <v>60</v>
      </c>
      <c r="GS171" s="134"/>
      <c r="GT171" s="177">
        <f t="shared" ref="GT171:HY171" si="321">GT21</f>
        <v>1</v>
      </c>
      <c r="GU171" s="178">
        <f t="shared" si="321"/>
        <v>2</v>
      </c>
      <c r="GV171" s="177">
        <f t="shared" si="321"/>
        <v>3</v>
      </c>
      <c r="GW171" s="177">
        <f t="shared" si="321"/>
        <v>4</v>
      </c>
      <c r="GX171" s="177">
        <f t="shared" si="321"/>
        <v>5</v>
      </c>
      <c r="GY171" s="177">
        <f t="shared" si="321"/>
        <v>6</v>
      </c>
      <c r="GZ171" s="177">
        <f t="shared" si="321"/>
        <v>7</v>
      </c>
      <c r="HA171" s="177">
        <f t="shared" si="321"/>
        <v>8</v>
      </c>
      <c r="HB171" s="177">
        <f t="shared" si="321"/>
        <v>9</v>
      </c>
      <c r="HC171" s="177">
        <f t="shared" si="321"/>
        <v>10</v>
      </c>
      <c r="HD171" s="177">
        <f t="shared" si="321"/>
        <v>11</v>
      </c>
      <c r="HE171" s="177">
        <f t="shared" si="321"/>
        <v>12</v>
      </c>
      <c r="HF171" s="177">
        <f t="shared" si="321"/>
        <v>0</v>
      </c>
      <c r="HG171" s="177">
        <f t="shared" si="321"/>
        <v>0</v>
      </c>
      <c r="HH171" s="177">
        <f t="shared" si="321"/>
        <v>0</v>
      </c>
      <c r="HI171" s="177">
        <f t="shared" si="321"/>
        <v>0</v>
      </c>
      <c r="HJ171" s="177">
        <f t="shared" si="321"/>
        <v>0</v>
      </c>
      <c r="HK171" s="177">
        <f t="shared" si="321"/>
        <v>0</v>
      </c>
      <c r="HL171" s="177">
        <f t="shared" si="321"/>
        <v>0</v>
      </c>
      <c r="HM171" s="177">
        <f t="shared" si="321"/>
        <v>0</v>
      </c>
      <c r="HN171" s="177">
        <f t="shared" si="321"/>
        <v>0</v>
      </c>
      <c r="HO171" s="177">
        <f t="shared" si="321"/>
        <v>0</v>
      </c>
      <c r="HP171" s="177">
        <f t="shared" si="321"/>
        <v>0</v>
      </c>
      <c r="HQ171" s="177">
        <f t="shared" si="321"/>
        <v>0</v>
      </c>
      <c r="HR171" s="177">
        <f t="shared" si="321"/>
        <v>0</v>
      </c>
      <c r="HS171" s="177">
        <f t="shared" si="321"/>
        <v>0</v>
      </c>
      <c r="HT171" s="177">
        <f t="shared" si="321"/>
        <v>0</v>
      </c>
      <c r="HU171" s="177">
        <f t="shared" si="321"/>
        <v>0</v>
      </c>
      <c r="HV171" s="177">
        <f t="shared" si="321"/>
        <v>0</v>
      </c>
      <c r="HW171" s="177">
        <f t="shared" si="321"/>
        <v>0</v>
      </c>
      <c r="HX171" s="177">
        <f t="shared" si="321"/>
        <v>0</v>
      </c>
      <c r="HY171" s="177">
        <f t="shared" si="321"/>
        <v>0</v>
      </c>
      <c r="HZ171" s="177">
        <f t="shared" ref="HZ171:JE171" si="322">HZ21</f>
        <v>0</v>
      </c>
      <c r="IA171" s="177">
        <f t="shared" si="322"/>
        <v>0</v>
      </c>
      <c r="IB171" s="177">
        <f t="shared" si="322"/>
        <v>0</v>
      </c>
      <c r="IC171" s="177">
        <f t="shared" si="322"/>
        <v>0</v>
      </c>
      <c r="ID171" s="177">
        <f t="shared" si="322"/>
        <v>0</v>
      </c>
      <c r="IE171" s="177">
        <f t="shared" si="322"/>
        <v>0</v>
      </c>
      <c r="IF171" s="177">
        <f t="shared" si="322"/>
        <v>0</v>
      </c>
      <c r="IG171" s="177">
        <f t="shared" si="322"/>
        <v>0</v>
      </c>
      <c r="IH171" s="177">
        <f t="shared" si="322"/>
        <v>0</v>
      </c>
      <c r="II171" s="177">
        <f t="shared" si="322"/>
        <v>0</v>
      </c>
      <c r="IJ171" s="177">
        <f t="shared" si="322"/>
        <v>0</v>
      </c>
      <c r="IK171" s="177">
        <f t="shared" si="322"/>
        <v>0</v>
      </c>
      <c r="IL171" s="177">
        <f t="shared" si="322"/>
        <v>0</v>
      </c>
      <c r="IM171" s="177">
        <f t="shared" si="322"/>
        <v>0</v>
      </c>
      <c r="IN171" s="177">
        <f t="shared" si="322"/>
        <v>0</v>
      </c>
      <c r="IO171" s="177">
        <f t="shared" si="322"/>
        <v>0</v>
      </c>
      <c r="IP171" s="177">
        <f t="shared" si="322"/>
        <v>0</v>
      </c>
      <c r="IQ171" s="177">
        <f t="shared" si="322"/>
        <v>0</v>
      </c>
      <c r="IR171" s="177">
        <f t="shared" si="322"/>
        <v>0</v>
      </c>
      <c r="IS171" s="177">
        <f t="shared" si="322"/>
        <v>0</v>
      </c>
      <c r="IT171" s="177">
        <f t="shared" si="322"/>
        <v>0</v>
      </c>
      <c r="IU171" s="177">
        <f t="shared" si="322"/>
        <v>0</v>
      </c>
      <c r="IV171" s="177">
        <f t="shared" si="322"/>
        <v>0</v>
      </c>
      <c r="IW171" s="177">
        <f t="shared" si="322"/>
        <v>0</v>
      </c>
      <c r="IX171" s="177">
        <f t="shared" si="322"/>
        <v>0</v>
      </c>
      <c r="IY171" s="177">
        <f t="shared" si="322"/>
        <v>0</v>
      </c>
      <c r="IZ171" s="177">
        <f t="shared" si="322"/>
        <v>0</v>
      </c>
      <c r="JA171" s="177">
        <f t="shared" si="322"/>
        <v>0</v>
      </c>
      <c r="JB171" s="177">
        <f t="shared" si="322"/>
        <v>0</v>
      </c>
      <c r="JC171" s="177">
        <f t="shared" si="322"/>
        <v>0</v>
      </c>
      <c r="JD171" s="177">
        <f t="shared" si="322"/>
        <v>0</v>
      </c>
      <c r="JE171" s="177">
        <f t="shared" si="322"/>
        <v>0</v>
      </c>
      <c r="JF171" s="177">
        <f t="shared" ref="JF171:KK171" si="323">JF21</f>
        <v>0</v>
      </c>
      <c r="JG171" s="177">
        <f t="shared" si="323"/>
        <v>0</v>
      </c>
      <c r="JH171" s="177">
        <f t="shared" si="323"/>
        <v>0</v>
      </c>
      <c r="JI171" s="177">
        <f t="shared" si="323"/>
        <v>0</v>
      </c>
      <c r="JJ171" s="177">
        <f t="shared" si="323"/>
        <v>0</v>
      </c>
      <c r="JK171" s="177">
        <f t="shared" si="323"/>
        <v>0</v>
      </c>
      <c r="JL171" s="177">
        <f t="shared" si="323"/>
        <v>0</v>
      </c>
      <c r="JM171" s="177">
        <f t="shared" si="323"/>
        <v>0</v>
      </c>
      <c r="JN171" s="177">
        <f t="shared" si="323"/>
        <v>0</v>
      </c>
      <c r="JO171" s="177">
        <f t="shared" si="323"/>
        <v>0</v>
      </c>
      <c r="JP171" s="177">
        <f t="shared" si="323"/>
        <v>0</v>
      </c>
      <c r="JQ171" s="177">
        <f t="shared" si="323"/>
        <v>0</v>
      </c>
      <c r="JR171" s="177">
        <f t="shared" si="323"/>
        <v>0</v>
      </c>
      <c r="JS171" s="177">
        <f t="shared" si="323"/>
        <v>0</v>
      </c>
      <c r="JT171" s="177">
        <f t="shared" si="323"/>
        <v>0</v>
      </c>
      <c r="JU171" s="177">
        <f t="shared" si="323"/>
        <v>0</v>
      </c>
      <c r="JV171" s="177">
        <f t="shared" si="323"/>
        <v>0</v>
      </c>
      <c r="JW171" s="177">
        <f t="shared" si="323"/>
        <v>0</v>
      </c>
      <c r="JX171" s="177">
        <f t="shared" si="323"/>
        <v>0</v>
      </c>
      <c r="JY171" s="177">
        <f t="shared" si="323"/>
        <v>0</v>
      </c>
      <c r="JZ171" s="177">
        <f t="shared" si="323"/>
        <v>0</v>
      </c>
      <c r="KA171" s="177">
        <f t="shared" si="323"/>
        <v>0</v>
      </c>
      <c r="KB171" s="177">
        <f t="shared" si="323"/>
        <v>0</v>
      </c>
      <c r="KC171" s="177">
        <f t="shared" si="323"/>
        <v>0</v>
      </c>
      <c r="KD171" s="177">
        <f t="shared" si="323"/>
        <v>0</v>
      </c>
      <c r="KE171" s="177">
        <f t="shared" si="323"/>
        <v>0</v>
      </c>
      <c r="KF171" s="177">
        <f t="shared" si="323"/>
        <v>0</v>
      </c>
      <c r="KG171" s="177">
        <f t="shared" si="323"/>
        <v>0</v>
      </c>
      <c r="KH171" s="177">
        <f t="shared" si="323"/>
        <v>0</v>
      </c>
      <c r="KI171" s="177">
        <f t="shared" si="323"/>
        <v>0</v>
      </c>
      <c r="KJ171" s="177">
        <f t="shared" si="323"/>
        <v>0</v>
      </c>
      <c r="KK171" s="177">
        <f t="shared" si="323"/>
        <v>0</v>
      </c>
      <c r="KL171" s="177">
        <f t="shared" ref="KL171:LP171" si="324">KL21</f>
        <v>0</v>
      </c>
      <c r="KM171" s="177">
        <f t="shared" si="324"/>
        <v>0</v>
      </c>
      <c r="KN171" s="177">
        <f t="shared" si="324"/>
        <v>0</v>
      </c>
      <c r="KO171" s="177">
        <f t="shared" si="324"/>
        <v>0</v>
      </c>
      <c r="KP171" s="177">
        <f t="shared" si="324"/>
        <v>0</v>
      </c>
      <c r="KQ171" s="177">
        <f t="shared" si="324"/>
        <v>0</v>
      </c>
      <c r="KR171" s="177">
        <f t="shared" si="324"/>
        <v>0</v>
      </c>
      <c r="KS171" s="177">
        <f t="shared" si="324"/>
        <v>0</v>
      </c>
      <c r="KT171" s="177">
        <f t="shared" si="324"/>
        <v>0</v>
      </c>
      <c r="KU171" s="177">
        <f t="shared" si="324"/>
        <v>0</v>
      </c>
      <c r="KV171" s="177">
        <f t="shared" si="324"/>
        <v>0</v>
      </c>
      <c r="KW171" s="177">
        <f t="shared" si="324"/>
        <v>0</v>
      </c>
      <c r="KX171" s="177">
        <f t="shared" si="324"/>
        <v>0</v>
      </c>
      <c r="KY171" s="177">
        <f t="shared" si="324"/>
        <v>0</v>
      </c>
      <c r="KZ171" s="177">
        <f t="shared" si="324"/>
        <v>0</v>
      </c>
      <c r="LA171" s="177">
        <f t="shared" si="324"/>
        <v>0</v>
      </c>
      <c r="LB171" s="177">
        <f t="shared" si="324"/>
        <v>0</v>
      </c>
      <c r="LC171" s="177">
        <f t="shared" si="324"/>
        <v>0</v>
      </c>
      <c r="LD171" s="177">
        <f t="shared" si="324"/>
        <v>0</v>
      </c>
      <c r="LE171" s="177">
        <f t="shared" si="324"/>
        <v>0</v>
      </c>
      <c r="LF171" s="177">
        <f t="shared" si="324"/>
        <v>0</v>
      </c>
      <c r="LG171" s="177">
        <f t="shared" si="324"/>
        <v>0</v>
      </c>
      <c r="LH171" s="177">
        <f t="shared" si="324"/>
        <v>0</v>
      </c>
      <c r="LI171" s="177">
        <f t="shared" si="324"/>
        <v>0</v>
      </c>
      <c r="LJ171" s="177">
        <f t="shared" si="324"/>
        <v>0</v>
      </c>
      <c r="LK171" s="177">
        <f t="shared" si="324"/>
        <v>0</v>
      </c>
      <c r="LL171" s="177">
        <f t="shared" si="324"/>
        <v>0</v>
      </c>
      <c r="LM171" s="177">
        <f t="shared" si="324"/>
        <v>0</v>
      </c>
      <c r="LN171" s="177">
        <f t="shared" si="324"/>
        <v>0</v>
      </c>
      <c r="LO171" s="177">
        <f t="shared" si="324"/>
        <v>0</v>
      </c>
      <c r="LP171" s="177">
        <f t="shared" si="324"/>
        <v>0</v>
      </c>
      <c r="LQ171" s="6"/>
    </row>
    <row r="172" spans="1:331" ht="4.5" customHeight="1" x14ac:dyDescent="0.3">
      <c r="A172" s="282"/>
      <c r="B172" s="3704"/>
      <c r="C172" s="3707"/>
      <c r="D172" s="1771"/>
      <c r="E172" s="3709"/>
      <c r="F172" s="3711"/>
      <c r="G172" s="3834"/>
      <c r="H172" s="9"/>
      <c r="I172" s="3764"/>
      <c r="J172" s="3711"/>
      <c r="K172" s="6"/>
      <c r="L172" s="3768"/>
      <c r="M172" s="3768"/>
      <c r="N172" s="3770"/>
      <c r="O172" s="3772"/>
      <c r="P172" s="3766"/>
      <c r="Q172" s="1845"/>
      <c r="R172" s="3789"/>
      <c r="S172" s="3789"/>
      <c r="T172" s="462"/>
      <c r="U172" s="462"/>
      <c r="V172" s="462"/>
      <c r="W172" s="462"/>
      <c r="X172" s="463"/>
      <c r="Y172" s="463"/>
      <c r="Z172" s="463"/>
      <c r="AA172" s="463"/>
      <c r="AB172" s="463"/>
      <c r="AC172" s="463"/>
      <c r="AD172" s="463"/>
      <c r="AE172" s="464"/>
      <c r="AF172" s="464"/>
      <c r="AG172" s="464"/>
      <c r="AH172" s="464"/>
      <c r="AI172" s="464"/>
      <c r="AJ172" s="464"/>
      <c r="AK172" s="464"/>
      <c r="AL172" s="464"/>
      <c r="AM172" s="464"/>
      <c r="AN172" s="464"/>
      <c r="AO172" s="1765"/>
      <c r="AP172" s="1765"/>
      <c r="AQ172" s="1765"/>
      <c r="AR172" s="1765"/>
      <c r="AS172" s="1765"/>
      <c r="AT172" s="1765"/>
      <c r="AU172" s="1765"/>
      <c r="AV172" s="1765"/>
      <c r="AW172" s="1765"/>
      <c r="AX172" s="1765"/>
      <c r="AY172" s="464"/>
      <c r="AZ172" s="464"/>
      <c r="BA172" s="464"/>
      <c r="BB172" s="464"/>
      <c r="BC172" s="464"/>
      <c r="BD172" s="464"/>
      <c r="BE172" s="464"/>
      <c r="BF172" s="464"/>
      <c r="BG172" s="464"/>
      <c r="BH172" s="464"/>
      <c r="BI172" s="464"/>
      <c r="BJ172" s="464"/>
      <c r="BK172" s="464"/>
      <c r="BL172" s="464"/>
      <c r="BM172" s="464"/>
      <c r="BN172" s="464"/>
      <c r="BO172" s="464"/>
      <c r="BP172" s="464"/>
      <c r="BQ172" s="464"/>
      <c r="BR172" s="464"/>
      <c r="BS172" s="464"/>
      <c r="BT172" s="464"/>
      <c r="BU172" s="464"/>
      <c r="BV172" s="464"/>
      <c r="BW172" s="464"/>
      <c r="BX172" s="464"/>
      <c r="BY172" s="464"/>
      <c r="BZ172" s="464"/>
      <c r="CA172" s="464"/>
      <c r="CB172" s="464"/>
      <c r="CC172" s="464"/>
      <c r="CD172" s="464"/>
      <c r="CE172" s="464"/>
      <c r="CF172" s="464"/>
      <c r="CG172" s="464"/>
      <c r="CH172" s="464"/>
      <c r="CI172" s="464"/>
      <c r="CJ172" s="464"/>
      <c r="CK172" s="464"/>
      <c r="CL172" s="464"/>
      <c r="CM172" s="464"/>
      <c r="CN172" s="464"/>
      <c r="CO172" s="464"/>
      <c r="CP172" s="464"/>
      <c r="CQ172" s="464"/>
      <c r="CR172" s="464"/>
      <c r="CS172" s="464"/>
      <c r="CT172" s="464"/>
      <c r="CU172" s="464"/>
      <c r="CV172" s="464"/>
      <c r="CW172" s="464"/>
      <c r="CX172" s="464"/>
      <c r="CY172" s="464"/>
      <c r="CZ172" s="3789"/>
      <c r="DA172" s="3791"/>
      <c r="DB172" s="109"/>
      <c r="DC172" s="365"/>
      <c r="DD172" s="3725"/>
      <c r="DE172" s="1272"/>
      <c r="DF172" s="36"/>
      <c r="DG172" s="6"/>
      <c r="DH172" s="3725"/>
      <c r="DI172" s="3281"/>
      <c r="DJ172" s="110"/>
      <c r="DK172" s="110"/>
      <c r="DL172" s="110"/>
      <c r="DM172" s="110"/>
      <c r="DN172" s="110"/>
      <c r="DO172" s="110"/>
      <c r="DP172" s="110"/>
      <c r="DQ172" s="110"/>
      <c r="DR172" s="110"/>
      <c r="DS172" s="110"/>
      <c r="DT172" s="110"/>
      <c r="DU172" s="110"/>
      <c r="DV172" s="110"/>
      <c r="DW172" s="110"/>
      <c r="DX172" s="110"/>
      <c r="DY172" s="110"/>
      <c r="DZ172" s="110"/>
      <c r="EA172" s="110"/>
      <c r="EB172" s="110"/>
      <c r="EC172" s="110"/>
      <c r="ED172" s="110"/>
      <c r="EE172" s="110"/>
      <c r="EF172" s="110"/>
      <c r="EG172" s="110"/>
      <c r="EH172" s="110"/>
      <c r="EI172" s="110"/>
      <c r="EJ172" s="110"/>
      <c r="EK172" s="110"/>
      <c r="EL172" s="110"/>
      <c r="EM172" s="110"/>
      <c r="EN172" s="110"/>
      <c r="EO172" s="110"/>
      <c r="EP172" s="110"/>
      <c r="EQ172" s="110"/>
      <c r="ER172" s="110"/>
      <c r="ES172" s="110"/>
      <c r="ET172" s="110"/>
      <c r="EU172" s="110"/>
      <c r="EV172" s="110"/>
      <c r="EW172" s="110"/>
      <c r="EX172" s="110"/>
      <c r="EY172" s="110"/>
      <c r="EZ172" s="110"/>
      <c r="FA172" s="110"/>
      <c r="FB172" s="110"/>
      <c r="FC172" s="110"/>
      <c r="FD172" s="110"/>
      <c r="FE172" s="110"/>
      <c r="FF172" s="110"/>
      <c r="FG172" s="110"/>
      <c r="FH172" s="6"/>
      <c r="FI172" s="6"/>
      <c r="FJ172" s="132"/>
      <c r="FK172" s="132"/>
      <c r="FL172" s="6"/>
      <c r="FM172" s="6"/>
      <c r="FN172" s="3762"/>
      <c r="FO172" s="71"/>
      <c r="FP172" s="71"/>
      <c r="FQ172" s="71"/>
      <c r="FR172" s="71"/>
      <c r="FS172" s="71"/>
      <c r="FT172" s="71"/>
      <c r="FU172" s="71"/>
      <c r="FV172" s="71"/>
      <c r="FW172" s="71"/>
      <c r="FX172" s="71"/>
      <c r="FY172" s="71"/>
      <c r="FZ172" s="71"/>
      <c r="GA172" s="71"/>
      <c r="GB172" s="71"/>
      <c r="GC172" s="1048"/>
      <c r="GD172" s="71"/>
      <c r="GE172" s="71"/>
      <c r="GF172" s="71"/>
      <c r="GG172" s="71"/>
      <c r="GH172" s="71"/>
      <c r="GI172" s="71"/>
      <c r="GJ172" s="71"/>
      <c r="GK172" s="71"/>
      <c r="GL172" s="71"/>
      <c r="GM172" s="71"/>
      <c r="GN172" s="3733"/>
      <c r="GO172" s="3733"/>
      <c r="GP172" s="3711"/>
      <c r="GQ172" s="36"/>
      <c r="GR172" s="3838"/>
      <c r="GS172" s="134"/>
      <c r="GT172" s="6"/>
      <c r="GU172" s="6"/>
      <c r="GV172" s="6"/>
      <c r="GW172" s="6"/>
      <c r="GX172" s="6"/>
      <c r="GY172" s="6"/>
      <c r="GZ172" s="6"/>
      <c r="HA172" s="6"/>
      <c r="HB172" s="6"/>
      <c r="HC172" s="6"/>
      <c r="HD172" s="6"/>
      <c r="HE172" s="6"/>
      <c r="HF172" s="6"/>
      <c r="HG172" s="6"/>
      <c r="HH172" s="6"/>
      <c r="HI172" s="6"/>
      <c r="HJ172" s="6"/>
      <c r="HK172" s="6"/>
      <c r="HL172" s="6"/>
      <c r="HM172" s="6"/>
      <c r="HN172" s="6"/>
      <c r="HO172" s="6"/>
      <c r="HP172" s="6"/>
      <c r="HQ172" s="6"/>
      <c r="HR172" s="6"/>
      <c r="HS172" s="6"/>
      <c r="HT172" s="6"/>
      <c r="HU172" s="6"/>
      <c r="HV172" s="6"/>
      <c r="HW172" s="6"/>
      <c r="HX172" s="6"/>
      <c r="HY172" s="6"/>
      <c r="HZ172" s="6"/>
      <c r="IA172" s="6"/>
      <c r="IB172" s="6"/>
      <c r="IC172" s="6"/>
      <c r="ID172" s="6"/>
      <c r="IE172" s="6"/>
      <c r="IF172" s="6"/>
      <c r="IG172" s="6"/>
      <c r="IH172" s="6"/>
      <c r="II172" s="6"/>
      <c r="IJ172" s="6"/>
      <c r="IK172" s="6"/>
      <c r="IL172" s="6"/>
      <c r="IM172" s="6"/>
      <c r="IN172" s="6"/>
      <c r="IO172" s="6"/>
      <c r="IP172" s="6"/>
      <c r="IQ172" s="6"/>
      <c r="IR172" s="6"/>
      <c r="IS172" s="6"/>
      <c r="IT172" s="6"/>
      <c r="IU172" s="6"/>
      <c r="IV172" s="6"/>
      <c r="IW172" s="6"/>
      <c r="IX172" s="6"/>
      <c r="IY172" s="6"/>
      <c r="IZ172" s="6"/>
      <c r="JA172" s="6"/>
      <c r="JB172" s="6"/>
      <c r="JC172" s="6"/>
      <c r="JD172" s="6"/>
      <c r="JE172" s="6"/>
      <c r="JF172" s="6"/>
      <c r="JG172" s="6"/>
      <c r="JH172" s="6"/>
      <c r="JI172" s="6"/>
      <c r="JJ172" s="6"/>
      <c r="JK172" s="6"/>
      <c r="JL172" s="6"/>
      <c r="JM172" s="6"/>
      <c r="JN172" s="6"/>
      <c r="JO172" s="6"/>
      <c r="JP172" s="6"/>
      <c r="JQ172" s="6"/>
      <c r="JR172" s="6"/>
      <c r="JS172" s="6"/>
      <c r="JT172" s="6"/>
      <c r="JU172" s="6"/>
      <c r="JV172" s="6"/>
      <c r="JW172" s="6"/>
      <c r="JX172" s="6"/>
      <c r="JY172" s="6"/>
      <c r="JZ172" s="6"/>
      <c r="KA172" s="6"/>
      <c r="KB172" s="6"/>
      <c r="KC172" s="6"/>
      <c r="KD172" s="6"/>
      <c r="KE172" s="6"/>
      <c r="KF172" s="6"/>
      <c r="KG172" s="6"/>
      <c r="KH172" s="6"/>
      <c r="KI172" s="6"/>
      <c r="KJ172" s="6"/>
      <c r="KK172" s="6"/>
      <c r="KL172" s="6"/>
      <c r="KM172" s="6"/>
      <c r="KN172" s="6"/>
      <c r="KO172" s="6"/>
      <c r="KP172" s="6"/>
      <c r="KQ172" s="6"/>
      <c r="KR172" s="6"/>
      <c r="KS172" s="6"/>
      <c r="KT172" s="6"/>
      <c r="KU172" s="6"/>
      <c r="KV172" s="6"/>
      <c r="KW172" s="6"/>
      <c r="KX172" s="6"/>
      <c r="KY172" s="6"/>
      <c r="KZ172" s="6"/>
      <c r="LA172" s="6"/>
      <c r="LB172" s="6"/>
      <c r="LC172" s="6"/>
      <c r="LD172" s="6"/>
      <c r="LE172" s="6"/>
      <c r="LF172" s="6"/>
      <c r="LG172" s="6"/>
      <c r="LH172" s="6"/>
      <c r="LI172" s="6"/>
      <c r="LJ172" s="6"/>
      <c r="LK172" s="6"/>
      <c r="LL172" s="6"/>
      <c r="LM172" s="6"/>
      <c r="LN172" s="6"/>
      <c r="LO172" s="6"/>
      <c r="LP172" s="6"/>
      <c r="LQ172" s="6"/>
    </row>
    <row r="173" spans="1:331" s="2" customFormat="1" ht="15" customHeight="1" x14ac:dyDescent="0.25">
      <c r="A173" s="283"/>
      <c r="B173" s="302"/>
      <c r="C173" s="300"/>
      <c r="D173" s="105"/>
      <c r="E173" s="2297"/>
      <c r="F173" s="1812"/>
      <c r="G173" s="3344"/>
      <c r="H173" s="1814"/>
      <c r="I173" s="1745"/>
      <c r="J173" s="1213"/>
      <c r="K173" s="105"/>
      <c r="L173" s="91" t="s">
        <v>136</v>
      </c>
      <c r="M173" s="88"/>
      <c r="N173" s="89" t="s">
        <v>4375</v>
      </c>
      <c r="O173" s="90"/>
      <c r="P173" s="1849"/>
      <c r="Q173" s="1851"/>
      <c r="R173" s="993">
        <f t="shared" ref="R173:R204" si="325">CHOOSE(AE173,SUMIFS($T$173:$T$364,$AF$173:$AF$364,AF173,$AE$173:$AE$364,3,$CY$173:$CY$364,1,$AH$173:$AH$364,1),SUMIFS($T$173:$T$364,$AG$173:$AG$364,AG173,$AE$173:$AE$364,3,$CY$173:$CY$364,1,$AH$173:$AH$364,1),T173+U173)</f>
        <v>837</v>
      </c>
      <c r="S173" s="78">
        <f t="shared" ref="S173:S204" si="326">CHOOSE($AE173,SUMIFS($S$173:$S$364,$AF$173:$AF$364,AF173,$CY$173:$CY$364,1),SUMIFS($S$173:$S$364,$AG$173:$AG$364,AG173,$CY$173:$CY$364,1),V173+Y173+AB173)</f>
        <v>27346.643471999996</v>
      </c>
      <c r="T173" s="24">
        <f t="shared" ref="T173:T204" si="327">IF($AE173&lt;&gt;3,0,SUM($DJ173:$FH173)*$AN173*$AH173)</f>
        <v>0</v>
      </c>
      <c r="U173" s="24">
        <f t="shared" ref="U173:U204" si="328">IF($AE173&lt;&gt;3,0,SUM($DJ173:$FH173)*$AN173*(1-$AH173))</f>
        <v>0</v>
      </c>
      <c r="V173" s="24">
        <f t="shared" ref="V173:V204" si="329">IF($AE173&lt;&gt;3,0,SUMPRODUCT($DJ173:$FH173,$DJ$30:$FH$30)*$AN173*AH173)</f>
        <v>0</v>
      </c>
      <c r="W173" s="24">
        <f t="shared" ref="W173:W204" si="330">IFERROR(X173*SUMPRODUCT($DJ173:$FH173,$DJ$29:$FH$29)/SUM($DJ173:$FH173),0)</f>
        <v>0</v>
      </c>
      <c r="X173" s="72">
        <f>IF($AE173=3,SUMPRODUCT($BS173:$CB173,CC173:CL173)*AH173,0)</f>
        <v>0</v>
      </c>
      <c r="Y173" s="72">
        <f t="shared" ref="Y173:Y204" si="331">IF($AE173=3,SUMPRODUCT($AO173:$AX173,BI173:BR173),0)</f>
        <v>0</v>
      </c>
      <c r="Z173" s="24">
        <f t="shared" ref="Z173:Z204" si="332">IF($AE173=3,SUMPRODUCT($AO173:$AX173,AY173:BH173),0)</f>
        <v>0</v>
      </c>
      <c r="AA173" s="72">
        <f>$DE173*$CM173*(1+DF173)*AH173</f>
        <v>0</v>
      </c>
      <c r="AB173" s="24">
        <f>$DE173*$CM173*(1-$CQ173)</f>
        <v>0</v>
      </c>
      <c r="AC173" s="24">
        <f t="shared" ref="AC173:AC204" si="333">IF($AE173=3,SUMPRODUCT($DJ173:$FH173,$DJ$24:$FH$24)*AN173,0)</f>
        <v>0</v>
      </c>
      <c r="AD173" s="24">
        <f>IF($AE173=3,SUMPRODUCT($DJ173:$FH173,$DJ$22:$FH$22)*AN173,0)</f>
        <v>0</v>
      </c>
      <c r="AE173" s="2076">
        <f t="shared" ref="AE173:AE204" si="334">IF(N173="",3,IF(AND(L173&gt;0,M173&gt;0),2,1))</f>
        <v>1</v>
      </c>
      <c r="AF173" s="2076" t="str">
        <f t="shared" ref="AF173:AF204" si="335">IF(AND(ISNUMBER(VALUE(L173)),RIGHT(L173,1)="0"),(L173+0.00001),L173)</f>
        <v>6</v>
      </c>
      <c r="AG173" s="2076">
        <f t="shared" ref="AG173:AG204" si="336">IF(AND(ISNUMBER(VALUE(M173)),RIGHT(M173,1)="0"),(M173+0.00001),M173)</f>
        <v>0</v>
      </c>
      <c r="AH173" s="2521">
        <f>IF(OR($G173="NB",AI173="R"),0,1)</f>
        <v>1</v>
      </c>
      <c r="AI173" s="2521" t="str">
        <f t="shared" ref="AI173:AI204" si="337">LEFT(J173,1)</f>
        <v/>
      </c>
      <c r="AJ173" s="2521">
        <f>IF(SUM(X173:AB173)=0,0,IF(ISBLANK(DE173),"L","N"))</f>
        <v>0</v>
      </c>
      <c r="AK173" s="2076">
        <f>IF(OR(AJ173=0,AI173="S",ISBLANK(J173)),0,IF(OR(AI173="A",AI173="G",AI173="L"),IF(AJ173="L",0,1),IF(AJ173="N",0,1)))</f>
        <v>0</v>
      </c>
      <c r="AL173" s="2076">
        <f>IF(ISBLANK(J173),0,ISERROR(MATCH(J173,'5  Control Accounts'!$FA$29:$FA$96,0))*1)</f>
        <v>0</v>
      </c>
      <c r="AM173" s="2076">
        <f t="shared" ref="AM173:AM204" si="338">AND($C$6,(T173+U173+AB173)&lt;&gt;0,$F173&lt;&gt;"Exclude",ISBLANK(J173))*1</f>
        <v>0</v>
      </c>
      <c r="AN173" s="2076">
        <f t="shared" ref="AN173:AN204" si="339">IF(DE173&gt;0,0,IF(GR173="T",FQ173*(1+B173),IF(ISBLANK(DH173),1+B173,DH173*(1+B173))*IF(FO173="P",1-GP173,1)))</f>
        <v>1</v>
      </c>
      <c r="AO173" s="2077">
        <f>IF($AE173=3,IFERROR(SUMIFS($GT173:$LQ173,$GT$168:$LQ$168,1,$GT$25:$LQ$25,1)/SUMIFS($GT173:$LQ173,$GT$25:$LQ$25,1),1),0)</f>
        <v>0</v>
      </c>
      <c r="AP173" s="2077">
        <f>IF($AE173=3,IFERROR(SUMIFS($GT173:$LQ173,$GT$168:$LQ$168,2,$GT$25:$LQ$25,1)/SUMIFS($GT173:$LQ173,$GT$25:$LQ$25,1),0),0)</f>
        <v>0</v>
      </c>
      <c r="AQ173" s="2077">
        <f>IF($AE173=3,IFERROR(SUMIFS($GT173:$LQ173,$GT$168:$LQ$168,3,$GT$25:$LQ$25,1)/SUMIFS($GT173:$LQ173,$GT$25:$LQ$25,1),0),0)</f>
        <v>0</v>
      </c>
      <c r="AR173" s="2077">
        <f>IF($AE173=3,IFERROR(SUMIFS($GT173:$LQ173,$GT$168:$LQ$168,4,$GT$25:$LQ$25,1)/SUMIFS($GT173:$LQ173,$GT$25:$LQ$25,1),0),0)</f>
        <v>0</v>
      </c>
      <c r="AS173" s="2077">
        <f>IF($AE173=3,IFERROR(SUMIFS($GT173:$LQ173,$GT$168:$LQ$168,5,$GT$25:$LQ$25,1)/SUMIFS($GT173:$LQ173,$GT$25:$LQ$25,1),0),0)</f>
        <v>0</v>
      </c>
      <c r="AT173" s="2077">
        <f>IF($AE173=3,IFERROR(SUMIFS($GT173:$LQ173,$GT$168:$LQ$168,6,$GT$25:$LQ$25,1)/SUMIFS($GT173:$LQ173,$GT$25:$LQ$25,1),0),0)</f>
        <v>0</v>
      </c>
      <c r="AU173" s="2077">
        <f>IF($AE173=3,IFERROR(SUMIFS($GT173:$LQ173,$GT$168:$LQ$168,7,$GT$25:$LQ$25,1)/SUMIFS($GT173:$LQ173,$GT$25:$LQ$25,1),0),0)</f>
        <v>0</v>
      </c>
      <c r="AV173" s="2077">
        <f>IF($AE173=3,IFERROR(SUMIFS($GT173:$LQ173,$GT$168:$LQ$168,8,$GT$25:$LQ$25,1)/SUMIFS($GT173:$LQ173,$GT$25:$LQ$25,1),0),0)</f>
        <v>0</v>
      </c>
      <c r="AW173" s="2077">
        <f>IF($AE173=3,IFERROR(SUMIFS($GT173:$LQ173,$GT$168:$LQ$168,9,$GT$25:$LQ$25,1)/SUMIFS($GT173:$LQ173,$GT$25:$LQ$25,1),0),0)</f>
        <v>0</v>
      </c>
      <c r="AX173" s="2077">
        <f>IF($AE173=3,IFERROR(SUMIFS($GT173:$LQ173,$GT$168:$LQ$168,10,$GT$25:$LQ$25,1)/SUMIFS($GT173:$LQ173,$GT$25:$LQ$25,1),0),0)</f>
        <v>0</v>
      </c>
      <c r="AY173" s="2076">
        <f t="shared" ref="AY173:AY204" si="340">IF($AE173=3,SUMPRODUCT($DJ$45:$FH$45,$DJ173:$FH173)*$AN173,0)</f>
        <v>0</v>
      </c>
      <c r="AZ173" s="2076">
        <f t="shared" ref="AZ173:AZ204" si="341">IF($AE173=3,SUMPRODUCT($DJ$46:$FH$46,$DJ173:$FH173)*$AN173,0)</f>
        <v>0</v>
      </c>
      <c r="BA173" s="2076">
        <f t="shared" ref="BA173:BA204" si="342">IF($AE173=3,SUMPRODUCT($DJ$47:$FH$47,$DJ173:$FH173)*$AN173,0)</f>
        <v>0</v>
      </c>
      <c r="BB173" s="2076">
        <f t="shared" ref="BB173:BB204" si="343">IF($AE173=3,SUMPRODUCT($DJ$48:$FH$48,$DJ173:$FH173)*$AN173,0)</f>
        <v>0</v>
      </c>
      <c r="BC173" s="2078">
        <f t="shared" ref="BC173:BC204" si="344">IF($AE173=3,SUMPRODUCT($DJ$49:$FH$49,$DJ173:$FH173)*$AN173,0)</f>
        <v>0</v>
      </c>
      <c r="BD173" s="2078">
        <f t="shared" ref="BD173:BD204" si="345">IF($AE173=3,SUMPRODUCT($DJ$50:$FH$50,$DJ173:$FH173)*$AN173,0)</f>
        <v>0</v>
      </c>
      <c r="BE173" s="2078">
        <f t="shared" ref="BE173:BE204" si="346">IF($AE173=3,SUMPRODUCT($DJ$51:$FH$51,$DJ173:$FH173)*$AN173,0)</f>
        <v>0</v>
      </c>
      <c r="BF173" s="2078">
        <f t="shared" ref="BF173:BF204" si="347">IF($AE173=3,SUMPRODUCT($DJ$52:$FH$52,$DJ173:$FH173)*$AN173,0)</f>
        <v>0</v>
      </c>
      <c r="BG173" s="2078">
        <f t="shared" ref="BG173:BG204" si="348">IF($AE173=3,SUMPRODUCT($DJ$53:$FH$53,$DJ173:$FH173)*$AN173,0)</f>
        <v>0</v>
      </c>
      <c r="BH173" s="2078">
        <f t="shared" ref="BH173:BH204" si="349">IF($AE173=3,SUMPRODUCT($DJ$54:$FH$54,$DJ173:$FH173)*$AN173,0)</f>
        <v>0</v>
      </c>
      <c r="BI173" s="2078">
        <f t="shared" ref="BI173:BI204" si="350">IF($AE173=3,SUMPRODUCT($DJ$56:$FH$56,$DJ173:$FH173)*$AN173,0)</f>
        <v>0</v>
      </c>
      <c r="BJ173" s="2078">
        <f t="shared" ref="BJ173:BJ204" si="351">IF($AE173=3,SUMPRODUCT($DJ$57:$FH$57,$DJ173:$FH173)*$AN173,0)</f>
        <v>0</v>
      </c>
      <c r="BK173" s="2078">
        <f t="shared" ref="BK173:BK204" si="352">IF($AE173=3,SUMPRODUCT($DJ$58:$FH$58,$DJ173:$FH173)*$AN173,0)</f>
        <v>0</v>
      </c>
      <c r="BL173" s="2078">
        <f t="shared" ref="BL173:BL204" si="353">IF($AE173=3,SUMPRODUCT($DJ$59:$FH$59,$DJ173:$FH173)*$AN173,0)</f>
        <v>0</v>
      </c>
      <c r="BM173" s="2078">
        <f t="shared" ref="BM173:BM204" si="354">IF($AE173=3,SUMPRODUCT($DJ$60:$FH$60,$DJ173:$FH173)*$AN173,0)</f>
        <v>0</v>
      </c>
      <c r="BN173" s="2078">
        <f t="shared" ref="BN173:BN204" si="355">IF($AE173=3,SUMPRODUCT($DJ$61:$FH$61,$DJ173:$FH173)*$AN173,0)</f>
        <v>0</v>
      </c>
      <c r="BO173" s="2078">
        <f t="shared" ref="BO173:BO204" si="356">IF($AE173=3,SUMPRODUCT($DJ$62:$FH$62,$DJ173:$FH173)*$AN173,0)</f>
        <v>0</v>
      </c>
      <c r="BP173" s="2078">
        <f t="shared" ref="BP173:BP204" si="357">IF($AE173=3,SUMPRODUCT($DJ$63:$FH$63,$DJ173:$FH173)*$AN173,0)</f>
        <v>0</v>
      </c>
      <c r="BQ173" s="2078">
        <f t="shared" ref="BQ173:BQ204" si="358">IF($AE173=3,SUMPRODUCT($DJ$64:$FH$64,$DJ173:$FH173)*$AN173,0)</f>
        <v>0</v>
      </c>
      <c r="BR173" s="2078">
        <f t="shared" ref="BR173:BR204" si="359">IF($AE173=3,SUMPRODUCT($DJ$65:$FH$65,$DJ173:$FH173)*$AN173,0)</f>
        <v>0</v>
      </c>
      <c r="BS173" s="2079">
        <f>IF($AE173=3,IFERROR(SUMIFS($GT173:$LQ173,$GT$167:$LQ$167,1,$GT$25:$LQ$25,1)/SUMIFS($GT173:$LQ173,$GT$25:$LQ$25,1),1),0)</f>
        <v>0</v>
      </c>
      <c r="BT173" s="2079">
        <f>IF($AE173=3,IFERROR(SUMIFS($GT173:$LQ173,$GT$167:$LQ$167,2,$GT$25:$LQ$25,1)/SUMIFS($GT173:$LQ173,$GT$25:$LQ$25,1),0),0)</f>
        <v>0</v>
      </c>
      <c r="BU173" s="2079">
        <f>IF($AE173=3,IFERROR(SUMIFS($GT173:$LQ173,$GT$167:$LQ$167,3,$GT$25:$LQ$25,1)/SUMIFS($GT173:$LQ173,$GT$25:$LQ$25,1),0),0)</f>
        <v>0</v>
      </c>
      <c r="BV173" s="2079">
        <f>IF($AE173=3,IFERROR(SUMIFS($GT173:$LQ173,$GT$167:$LQ$167,4,$GT$25:$LQ$25,1)/SUMIFS($GT173:$LQ173,$GT$25:$LQ$25,1),0),0)</f>
        <v>0</v>
      </c>
      <c r="BW173" s="2079">
        <f>IF($AE173=3,IFERROR(SUMIFS($GT173:$LQ173,$GT$167:$LQ$167,5,$GT$25:$LQ$25,1)/SUMIFS($GT173:$LQ173,$GT$25:$LQ$25,1),0),0)</f>
        <v>0</v>
      </c>
      <c r="BX173" s="2079">
        <f>IF($AE173=3,IFERROR(SUMIFS($GT173:$LQ173,$GT$167:$LQ$167,6,$GT$25:$LQ$25,1)/SUMIFS($GT173:$LQ173,$GT$25:$LQ$25,1),0),0)</f>
        <v>0</v>
      </c>
      <c r="BY173" s="2079">
        <f>IF($AE173=3,IFERROR(SUMIFS($GT173:$LQ173,$GT$167:$LQ$167,7,$GT$25:$LQ$25,1)/SUMIFS($GT173:$LQ173,$GT$25:$LQ$25,1),0),0)</f>
        <v>0</v>
      </c>
      <c r="BZ173" s="2079">
        <f>IF($AE173=3,IFERROR(SUMIFS($GT173:$LQ173,$GT$167:$LQ$167,8,$GT$25:$LQ$25,1)/SUMIFS($GT173:$LQ173,$GT$25:$LQ$25,1),0),0)</f>
        <v>0</v>
      </c>
      <c r="CA173" s="2079">
        <f>IF($AE173=3,IFERROR(SUMIFS($GT173:$LQ173,$GT$167:$LQ$167,9,$GT$25:$LQ$25,1)/SUMIFS($GT173:$LQ173,$GT$25:$LQ$25,1),0),0)</f>
        <v>0</v>
      </c>
      <c r="CB173" s="2079">
        <f>IF($AE173=3,IFERROR(SUMIFS($GT173:$LQ173,$GT$167:$LQ$167,10,$GT$25:$LQ$25,1)/SUMIFS($GT173:$LQ173,$GT$25:$LQ$25,1),0),0)</f>
        <v>0</v>
      </c>
      <c r="CC173" s="2078">
        <f t="shared" ref="CC173:CC204" si="360">IF($AE173=3,SUMPRODUCT($DJ$78:$FH$78,$DJ173:$FH173)*$AN173,0)</f>
        <v>0</v>
      </c>
      <c r="CD173" s="2078">
        <f t="shared" ref="CD173:CD204" si="361">IF($AE173=3,SUMPRODUCT($DJ$79:$FH$79,$DJ173:$FH173)*$AN173,0)</f>
        <v>0</v>
      </c>
      <c r="CE173" s="2078">
        <f t="shared" ref="CE173:CE204" si="362">IF($AE173=3,SUMPRODUCT($DJ$80:$FH$80,$DJ173:$FH173)*$AN173,0)</f>
        <v>0</v>
      </c>
      <c r="CF173" s="2078">
        <f t="shared" ref="CF173:CF204" si="363">IF($AE173=3,SUMPRODUCT($DJ$81:$FH$81,$DJ173:$FH173)*$AN173,0)</f>
        <v>0</v>
      </c>
      <c r="CG173" s="2078">
        <f t="shared" ref="CG173:CG204" si="364">IF($AE173=3,SUMPRODUCT($DJ$82:$FH$82,$DJ173:$FH173)*$AN173,0)</f>
        <v>0</v>
      </c>
      <c r="CH173" s="2078">
        <f t="shared" ref="CH173:CH204" si="365">IF($AE173=3,SUMPRODUCT($DJ$83:$FH$83,$DJ173:$FH173)*$AN173,0)</f>
        <v>0</v>
      </c>
      <c r="CI173" s="2078">
        <f t="shared" ref="CI173:CI204" si="366">IF($AE173=3,SUMPRODUCT($DJ$84:$FH$84,$DJ173:$FH173)*$AN173,0)</f>
        <v>0</v>
      </c>
      <c r="CJ173" s="2078">
        <f t="shared" ref="CJ173:CJ204" si="367">IF($AE173=3,SUMPRODUCT($DJ$85:$FH$85,$DJ173:$FH173)*$AN173,0)</f>
        <v>0</v>
      </c>
      <c r="CK173" s="2078">
        <f t="shared" ref="CK173:CK204" si="368">IF($AE173=3,SUMPRODUCT($DJ$86:$FH$86,$DJ173:$FH173)*$AN173,0)</f>
        <v>0</v>
      </c>
      <c r="CL173" s="2078">
        <f t="shared" ref="CL173:CL204" si="369">IF($AE173=3,SUMPRODUCT($DJ$87:$FH$87,$DJ173:$FH173)*$AN173,0)</f>
        <v>0</v>
      </c>
      <c r="CM173" s="2078">
        <f>IF(ISBLANK(DD173),1,DD173)*IF(FO173="P",1-GP173,1)</f>
        <v>1</v>
      </c>
      <c r="CN173" s="2078">
        <f>IF(DC173=$CN$171,0,1)</f>
        <v>1</v>
      </c>
      <c r="CO173" s="2078">
        <f>IF(AND(AE173=3,OR(F173="",F173="Approved")),1,0)</f>
        <v>0</v>
      </c>
      <c r="CP173" s="2078">
        <f t="shared" ref="CP173:CP204" si="370">IF(AE173&lt;&gt;3,0,IF(OR(F173="",F173="Approved",F173="Pend w FC"),1,0))</f>
        <v>0</v>
      </c>
      <c r="CQ173" s="2078">
        <f>IF(AND(Z173=0,OR(AI173="V",AI173="W",G173="RO")),1,0)</f>
        <v>0</v>
      </c>
      <c r="CR173" s="2078">
        <f>IF(OR(AI173="S",AI173="R",AI173="V",AI173="U",AI173="W",AI173="Z"),1,0)</f>
        <v>0</v>
      </c>
      <c r="CS173" s="2078">
        <f t="shared" ref="CS173:CS204" si="371">IF(OR(F173="Pending",F173="Pend w FC"),1,0)</f>
        <v>0</v>
      </c>
      <c r="CT173" s="2078">
        <f>IF(OR($F173="Exclude",$AE173&lt;&gt;3),0,1)</f>
        <v>0</v>
      </c>
      <c r="CU173" s="2078">
        <f t="shared" ref="CU173:CU204" si="372">IF($AE173&lt;&gt;3,0,IF(F173="",1,0))</f>
        <v>0</v>
      </c>
      <c r="CV173" s="2078">
        <f>IF($F173="Approved",1,0)</f>
        <v>0</v>
      </c>
      <c r="CW173" s="2078">
        <f>IF(OR(AE173&lt;&gt;3,F173="Exclude"),0,IF(ISERROR(MATCH($E173,'4 Sign-off'!$S$123:$X$123,0)),0,1))</f>
        <v>0</v>
      </c>
      <c r="CX173" s="2078">
        <f t="shared" ref="CX173:CX204" si="373">IF($C$7&lt;&gt;"B",1,CHOOSE($CX$163,CW173,CS173+CV173,CS173,CV173))</f>
        <v>0</v>
      </c>
      <c r="CY173" s="2078">
        <f>CHOOSE($CY$163,CO173,CP173,CX173)</f>
        <v>0</v>
      </c>
      <c r="CZ173" s="2993">
        <f t="shared" ref="CZ173:CZ204" ca="1" si="374">CHOOSE($AE173,SUMIFS($CZ$173:$CZ$364,$AF$173:$AF$364,$AF173,$CY$173:$CY$364,1,$AH$173:$AH$364,1),SUMIFS($CZ$173:$CZ$364,$AG$173:$AG$364,$AG173,$CY$173:$CY$364,1,$AH$173:$AH$364,1),X173+AA173)</f>
        <v>44767.789500000006</v>
      </c>
      <c r="DA173" s="3036">
        <f t="shared" ref="DA173:DA204" ca="1" si="375">CHOOSE($AE173,SUMIFS($DA$173:$DA$364,$AF$173:$AF$364,$AF173,$CY$173:$CY$364,1,$AH$173:$AH$364,1),SUMIFS($DA$173:$DA$364,$AG$173:$AG$364,$AG173,$CY$173:$CY$364,1,$AH$173:$AH$364,1),CZ173-S173)</f>
        <v>17421.146028000006</v>
      </c>
      <c r="DB173" s="1664"/>
      <c r="DC173" s="1316"/>
      <c r="DD173" s="588"/>
      <c r="DE173" s="1317"/>
      <c r="DF173" s="106"/>
      <c r="DG173" s="111"/>
      <c r="DH173" s="139"/>
      <c r="DI173" s="142"/>
      <c r="DJ173" s="144"/>
      <c r="DK173" s="136"/>
      <c r="DL173" s="136"/>
      <c r="DM173" s="136"/>
      <c r="DN173" s="136"/>
      <c r="DO173" s="136"/>
      <c r="DP173" s="136"/>
      <c r="DQ173" s="136"/>
      <c r="DR173" s="136"/>
      <c r="DS173" s="136"/>
      <c r="DT173" s="136"/>
      <c r="DU173" s="136"/>
      <c r="DV173" s="136"/>
      <c r="DW173" s="136"/>
      <c r="DX173" s="136"/>
      <c r="DY173" s="136"/>
      <c r="DZ173" s="136"/>
      <c r="EA173" s="136"/>
      <c r="EB173" s="136"/>
      <c r="EC173" s="136"/>
      <c r="ED173" s="136"/>
      <c r="EE173" s="136"/>
      <c r="EF173" s="136"/>
      <c r="EG173" s="136"/>
      <c r="EH173" s="136"/>
      <c r="EI173" s="136"/>
      <c r="EJ173" s="136"/>
      <c r="EK173" s="136"/>
      <c r="EL173" s="136"/>
      <c r="EM173" s="136"/>
      <c r="EN173" s="136"/>
      <c r="EO173" s="136"/>
      <c r="EP173" s="136"/>
      <c r="EQ173" s="136"/>
      <c r="ER173" s="136"/>
      <c r="ES173" s="136"/>
      <c r="ET173" s="136"/>
      <c r="EU173" s="136"/>
      <c r="EV173" s="136"/>
      <c r="EW173" s="136"/>
      <c r="EX173" s="136"/>
      <c r="EY173" s="136"/>
      <c r="EZ173" s="136"/>
      <c r="FA173" s="136"/>
      <c r="FB173" s="136"/>
      <c r="FC173" s="136"/>
      <c r="FD173" s="136"/>
      <c r="FE173" s="136"/>
      <c r="FF173" s="136"/>
      <c r="FG173" s="859"/>
      <c r="FH173" s="862"/>
      <c r="FI173" s="1318"/>
      <c r="FJ173" s="123"/>
      <c r="FK173" s="124"/>
      <c r="FL173" s="125" t="str">
        <f t="shared" ref="FL173:FL204" si="376">N173&amp;O173&amp;"    "&amp;P173</f>
        <v xml:space="preserve">Milestone 6    </v>
      </c>
      <c r="FM173" s="125"/>
      <c r="FN173" s="1687">
        <f t="shared" ref="FN173:FN204" si="377">IF($AE173=3,T173,0)</f>
        <v>0</v>
      </c>
      <c r="FO173" s="45">
        <f>IF(AND($C$7="F",GR173="P"),"P",0)</f>
        <v>0</v>
      </c>
      <c r="FP173" s="45">
        <f>IFERROR(1/FQ173,1)</f>
        <v>1</v>
      </c>
      <c r="FQ173" s="73">
        <f t="shared" ref="FQ173:FQ204" si="378">IF($AE173=3,SUMPRODUCT(GT173:LQ173,$GT$25:$LQ$25),0)</f>
        <v>0</v>
      </c>
      <c r="FR173" s="45">
        <f t="shared" ref="FR173:FR204" si="379">SUM(GT173:LQ173)</f>
        <v>0</v>
      </c>
      <c r="FS173" s="45">
        <f t="shared" ref="FS173:FS204" si="380">IFERROR(AN173/FQ173,1)</f>
        <v>1</v>
      </c>
      <c r="FT173" s="73">
        <f t="shared" ref="FT173:FT204" si="381">AND($AE173=3,(T173+Z173+AB173)&gt;0,FQ173=0)*1</f>
        <v>0</v>
      </c>
      <c r="FU173" s="2602">
        <f>(DE173*IF(ISBLANK($DD173),1,$DD173))+(SUMPRODUCT(DJ173:FH173,$DJ$65:$FH$65)*IF(GR173="T",SUM(GT173:LQ173),IF(ISBLANK(DH173),1,DH173)))</f>
        <v>0</v>
      </c>
      <c r="FV173" s="2606">
        <f>IF(GR173="T",SUMPRODUCT(GT173:LQ173,$GT$20:$LQ$20)/SUM(GT173:LQ173),GP173)</f>
        <v>0</v>
      </c>
      <c r="FW173" s="2602">
        <f>IF(GR173&gt;0,FU173*FV173,0)</f>
        <v>0</v>
      </c>
      <c r="FX173" s="2630">
        <f>IF(SUM(DE173:FH173)&gt;0,1,0)</f>
        <v>0</v>
      </c>
      <c r="FY173" s="81" t="e">
        <f t="shared" ref="FY173:FY208" si="382">IF($C$7&lt;&gt;"F",GA173,IF(GA173&lt;$GO$25,NA(),GA173))</f>
        <v>#N/A</v>
      </c>
      <c r="FZ173" s="63" t="e">
        <f t="array" ref="FZ173">MATCH(1,($GT173:$LQ173&gt;0)*$GT$25:$LQ$25,0)</f>
        <v>#N/A</v>
      </c>
      <c r="GA173" s="63" t="e">
        <f t="array" ref="GA173">MATCH(2,1/(GT173:LQ173&gt;0))</f>
        <v>#N/A</v>
      </c>
      <c r="GB173" s="63">
        <f t="shared" ref="GB173:GB204" si="383">IF(OR((T173+U173+AA173+AB173)=0,FR173=0,CQ173=1,LEFT(J173,1)="S"),-1,J173)</f>
        <v>-1</v>
      </c>
      <c r="GC173" s="45"/>
      <c r="GD173" s="612"/>
      <c r="GE173" s="612"/>
      <c r="GF173" s="612"/>
      <c r="GG173" s="612"/>
      <c r="GH173" s="612"/>
      <c r="GI173" s="1009"/>
      <c r="GJ173" s="1009"/>
      <c r="GK173" s="1009"/>
      <c r="GL173" s="612"/>
      <c r="GM173" s="1009"/>
      <c r="GN173" s="383">
        <f t="shared" ref="GN173:GN204" si="384">IF(ISERROR(FZ173),0,CHOOSE($FM$5,(FZ173*7)+$GT$170-11,EOMONTH($GT$170,FZ173-2)+1))</f>
        <v>0</v>
      </c>
      <c r="GO173" s="384">
        <f t="shared" ref="GO173:GO204" si="385">IF(ISERROR(FY173),0,CHOOSE($FM$5,(FY173*7)+$GT$170-7,EOMONTH($GT$170,FY173-1)))</f>
        <v>0</v>
      </c>
      <c r="GP173" s="2634"/>
      <c r="GQ173" s="174"/>
      <c r="GR173" s="171"/>
      <c r="GS173" s="65"/>
      <c r="GT173" s="165"/>
      <c r="GU173" s="166"/>
      <c r="GV173" s="166"/>
      <c r="GW173" s="166"/>
      <c r="GX173" s="166"/>
      <c r="GY173" s="166"/>
      <c r="GZ173" s="166"/>
      <c r="HA173" s="166"/>
      <c r="HB173" s="166"/>
      <c r="HC173" s="166"/>
      <c r="HD173" s="166"/>
      <c r="HE173" s="166"/>
      <c r="HF173" s="166"/>
      <c r="HG173" s="166"/>
      <c r="HH173" s="166"/>
      <c r="HI173" s="166"/>
      <c r="HJ173" s="166"/>
      <c r="HK173" s="166"/>
      <c r="HL173" s="166"/>
      <c r="HM173" s="166"/>
      <c r="HN173" s="166"/>
      <c r="HO173" s="166"/>
      <c r="HP173" s="166"/>
      <c r="HQ173" s="166"/>
      <c r="HR173" s="166"/>
      <c r="HS173" s="166"/>
      <c r="HT173" s="166"/>
      <c r="HU173" s="166"/>
      <c r="HV173" s="166"/>
      <c r="HW173" s="166"/>
      <c r="HX173" s="166"/>
      <c r="HY173" s="166"/>
      <c r="HZ173" s="166"/>
      <c r="IA173" s="166"/>
      <c r="IB173" s="166"/>
      <c r="IC173" s="166"/>
      <c r="ID173" s="166"/>
      <c r="IE173" s="166"/>
      <c r="IF173" s="166"/>
      <c r="IG173" s="166"/>
      <c r="IH173" s="166"/>
      <c r="II173" s="166"/>
      <c r="IJ173" s="166"/>
      <c r="IK173" s="166"/>
      <c r="IL173" s="166"/>
      <c r="IM173" s="166"/>
      <c r="IN173" s="166"/>
      <c r="IO173" s="166"/>
      <c r="IP173" s="166"/>
      <c r="IQ173" s="166"/>
      <c r="IR173" s="166"/>
      <c r="IS173" s="166"/>
      <c r="IT173" s="166"/>
      <c r="IU173" s="166"/>
      <c r="IV173" s="166"/>
      <c r="IW173" s="166"/>
      <c r="IX173" s="166"/>
      <c r="IY173" s="166"/>
      <c r="IZ173" s="166"/>
      <c r="JA173" s="166"/>
      <c r="JB173" s="166"/>
      <c r="JC173" s="166"/>
      <c r="JD173" s="166"/>
      <c r="JE173" s="166"/>
      <c r="JF173" s="166"/>
      <c r="JG173" s="166"/>
      <c r="JH173" s="166"/>
      <c r="JI173" s="166"/>
      <c r="JJ173" s="166"/>
      <c r="JK173" s="166"/>
      <c r="JL173" s="166"/>
      <c r="JM173" s="166"/>
      <c r="JN173" s="166"/>
      <c r="JO173" s="166"/>
      <c r="JP173" s="166"/>
      <c r="JQ173" s="166"/>
      <c r="JR173" s="166"/>
      <c r="JS173" s="166"/>
      <c r="JT173" s="166"/>
      <c r="JU173" s="166"/>
      <c r="JV173" s="166"/>
      <c r="JW173" s="166"/>
      <c r="JX173" s="166"/>
      <c r="JY173" s="166"/>
      <c r="JZ173" s="166"/>
      <c r="KA173" s="166"/>
      <c r="KB173" s="166"/>
      <c r="KC173" s="166"/>
      <c r="KD173" s="166"/>
      <c r="KE173" s="166"/>
      <c r="KF173" s="166"/>
      <c r="KG173" s="166"/>
      <c r="KH173" s="166"/>
      <c r="KI173" s="166"/>
      <c r="KJ173" s="166"/>
      <c r="KK173" s="166"/>
      <c r="KL173" s="166"/>
      <c r="KM173" s="166"/>
      <c r="KN173" s="166"/>
      <c r="KO173" s="166"/>
      <c r="KP173" s="166"/>
      <c r="KQ173" s="166"/>
      <c r="KR173" s="166"/>
      <c r="KS173" s="166"/>
      <c r="KT173" s="166"/>
      <c r="KU173" s="166"/>
      <c r="KV173" s="166"/>
      <c r="KW173" s="166"/>
      <c r="KX173" s="166"/>
      <c r="KY173" s="166"/>
      <c r="KZ173" s="166"/>
      <c r="LA173" s="166"/>
      <c r="LB173" s="166"/>
      <c r="LC173" s="166"/>
      <c r="LD173" s="166"/>
      <c r="LE173" s="166"/>
      <c r="LF173" s="166"/>
      <c r="LG173" s="166"/>
      <c r="LH173" s="166"/>
      <c r="LI173" s="166"/>
      <c r="LJ173" s="166"/>
      <c r="LK173" s="166"/>
      <c r="LL173" s="166"/>
      <c r="LM173" s="166"/>
      <c r="LN173" s="166"/>
      <c r="LO173" s="166"/>
      <c r="LP173" s="605"/>
      <c r="LQ173" s="608"/>
      <c r="LR173" s="1319"/>
      <c r="LS173" s="1319"/>
    </row>
    <row r="174" spans="1:331" s="2" customFormat="1" ht="15" customHeight="1" x14ac:dyDescent="0.25">
      <c r="A174" s="283"/>
      <c r="B174" s="303"/>
      <c r="C174" s="301"/>
      <c r="D174" s="1287"/>
      <c r="E174" s="2298">
        <v>99</v>
      </c>
      <c r="F174" s="1812"/>
      <c r="G174" s="3342"/>
      <c r="H174" s="66"/>
      <c r="I174" s="1746"/>
      <c r="J174" s="1214"/>
      <c r="K174" s="105"/>
      <c r="L174" s="91" t="s">
        <v>136</v>
      </c>
      <c r="M174" s="92" t="s">
        <v>4376</v>
      </c>
      <c r="N174" s="93"/>
      <c r="O174" s="94" t="s">
        <v>4377</v>
      </c>
      <c r="P174" s="96"/>
      <c r="Q174" s="95"/>
      <c r="R174" s="993">
        <f t="shared" si="325"/>
        <v>384</v>
      </c>
      <c r="S174" s="23">
        <f t="shared" si="326"/>
        <v>11795.097599999999</v>
      </c>
      <c r="T174" s="24">
        <f t="shared" si="327"/>
        <v>384</v>
      </c>
      <c r="U174" s="24">
        <f t="shared" si="328"/>
        <v>0</v>
      </c>
      <c r="V174" s="24">
        <f t="shared" si="329"/>
        <v>664.31999999999994</v>
      </c>
      <c r="W174" s="24">
        <f t="shared" ca="1" si="330"/>
        <v>0</v>
      </c>
      <c r="X174" s="72">
        <f t="shared" ref="X174:X248" ca="1" si="386">IF($AE174=3,SUMPRODUCT($BS174:$CB174,CC174:CL174)*AH174,0)</f>
        <v>20338.281600000002</v>
      </c>
      <c r="Y174" s="72">
        <f t="shared" si="331"/>
        <v>11130.777599999999</v>
      </c>
      <c r="Z174" s="24">
        <f t="shared" si="332"/>
        <v>7322.88</v>
      </c>
      <c r="AA174" s="72">
        <f t="shared" ref="AA174:AA248" si="387">$DE174*$CM174*(1+DF174)*AH174</f>
        <v>0</v>
      </c>
      <c r="AB174" s="24">
        <f t="shared" ref="AB174:AB252" si="388">$DE174*$CM174*(1-$CQ174)</f>
        <v>0</v>
      </c>
      <c r="AC174" s="24">
        <f t="shared" ca="1" si="333"/>
        <v>20338.281600000002</v>
      </c>
      <c r="AD174" s="24">
        <f t="shared" ref="AD174:AD245" si="389">IF($AE174=3,SUMPRODUCT($DJ174:$FH174,$DJ$22:$FH$22)*AN174,0)</f>
        <v>11130.777599999999</v>
      </c>
      <c r="AE174" s="2076">
        <f t="shared" si="334"/>
        <v>3</v>
      </c>
      <c r="AF174" s="2076" t="str">
        <f t="shared" si="335"/>
        <v>6</v>
      </c>
      <c r="AG174" s="2076" t="str">
        <f t="shared" si="336"/>
        <v>6.1</v>
      </c>
      <c r="AH174" s="2521">
        <f t="shared" ref="AH174:AH245" si="390">IF(OR($G174="NB",AI174="R"),0,1)</f>
        <v>1</v>
      </c>
      <c r="AI174" s="2521" t="str">
        <f t="shared" si="337"/>
        <v/>
      </c>
      <c r="AJ174" s="2521" t="str">
        <f t="shared" ref="AJ174:AJ238" ca="1" si="391">IF(SUM(X174:AB174)=0,0,IF(ISBLANK(DE174),"L","N"))</f>
        <v>L</v>
      </c>
      <c r="AK174" s="2076">
        <f t="shared" ref="AK174:AK237" ca="1" si="392">IF(OR(AJ174=0,AI174="S",ISBLANK(J174)),0,IF(OR(AI174="A",AI174="G",AI174="L"),IF(AJ174="L",0,1),IF(AJ174="N",0,1)))</f>
        <v>0</v>
      </c>
      <c r="AL174" s="2076">
        <f>IF(ISBLANK(J174),0,ISERROR(MATCH(J174,'5  Control Accounts'!$FA$29:$FA$96,0))*1)</f>
        <v>0</v>
      </c>
      <c r="AM174" s="2076">
        <f t="shared" si="338"/>
        <v>0</v>
      </c>
      <c r="AN174" s="2076">
        <f t="shared" si="339"/>
        <v>1</v>
      </c>
      <c r="AO174" s="2077">
        <f t="shared" ref="AO174:AO245" si="393">IF($AE174=3,IFERROR(SUMIFS($GT174:$LQ174,$GT$168:$LQ$168,1,$GT$25:$LQ$25,1)/SUMIFS($GT174:$LQ174,$GT$25:$LQ$25,1),1),0)</f>
        <v>1</v>
      </c>
      <c r="AP174" s="2077">
        <f t="shared" ref="AP174:AP245" si="394">IF($AE174=3,IFERROR(SUMIFS($GT174:$LQ174,$GT$168:$LQ$168,2,$GT$25:$LQ$25,1)/SUMIFS($GT174:$LQ174,$GT$25:$LQ$25,1),0),0)</f>
        <v>0</v>
      </c>
      <c r="AQ174" s="2077">
        <f t="shared" ref="AQ174:AQ245" si="395">IF($AE174=3,IFERROR(SUMIFS($GT174:$LQ174,$GT$168:$LQ$168,3,$GT$25:$LQ$25,1)/SUMIFS($GT174:$LQ174,$GT$25:$LQ$25,1),0),0)</f>
        <v>0</v>
      </c>
      <c r="AR174" s="2077">
        <f t="shared" ref="AR174:AR245" si="396">IF($AE174=3,IFERROR(SUMIFS($GT174:$LQ174,$GT$168:$LQ$168,4,$GT$25:$LQ$25,1)/SUMIFS($GT174:$LQ174,$GT$25:$LQ$25,1),0),0)</f>
        <v>0</v>
      </c>
      <c r="AS174" s="2077">
        <f t="shared" ref="AS174:AS245" si="397">IF($AE174=3,IFERROR(SUMIFS($GT174:$LQ174,$GT$168:$LQ$168,5,$GT$25:$LQ$25,1)/SUMIFS($GT174:$LQ174,$GT$25:$LQ$25,1),0),0)</f>
        <v>0</v>
      </c>
      <c r="AT174" s="2077">
        <f t="shared" ref="AT174:AT245" si="398">IF($AE174=3,IFERROR(SUMIFS($GT174:$LQ174,$GT$168:$LQ$168,6,$GT$25:$LQ$25,1)/SUMIFS($GT174:$LQ174,$GT$25:$LQ$25,1),0),0)</f>
        <v>0</v>
      </c>
      <c r="AU174" s="2077">
        <f t="shared" ref="AU174:AU245" si="399">IF($AE174=3,IFERROR(SUMIFS($GT174:$LQ174,$GT$168:$LQ$168,7,$GT$25:$LQ$25,1)/SUMIFS($GT174:$LQ174,$GT$25:$LQ$25,1),0),0)</f>
        <v>0</v>
      </c>
      <c r="AV174" s="2077">
        <f t="shared" ref="AV174:AV245" si="400">IF($AE174=3,IFERROR(SUMIFS($GT174:$LQ174,$GT$168:$LQ$168,8,$GT$25:$LQ$25,1)/SUMIFS($GT174:$LQ174,$GT$25:$LQ$25,1),0),0)</f>
        <v>0</v>
      </c>
      <c r="AW174" s="2077">
        <f t="shared" ref="AW174:AW245" si="401">IF($AE174=3,IFERROR(SUMIFS($GT174:$LQ174,$GT$168:$LQ$168,9,$GT$25:$LQ$25,1)/SUMIFS($GT174:$LQ174,$GT$25:$LQ$25,1),0),0)</f>
        <v>0</v>
      </c>
      <c r="AX174" s="2077">
        <f t="shared" ref="AX174:AX245" si="402">IF($AE174=3,IFERROR(SUMIFS($GT174:$LQ174,$GT$168:$LQ$168,10,$GT$25:$LQ$25,1)/SUMIFS($GT174:$LQ174,$GT$25:$LQ$25,1),0),0)</f>
        <v>0</v>
      </c>
      <c r="AY174" s="2076">
        <f t="shared" si="340"/>
        <v>7322.88</v>
      </c>
      <c r="AZ174" s="2076">
        <f t="shared" si="341"/>
        <v>7322.88</v>
      </c>
      <c r="BA174" s="2076">
        <f t="shared" si="342"/>
        <v>7322.88</v>
      </c>
      <c r="BB174" s="2076">
        <f t="shared" si="343"/>
        <v>7322.88</v>
      </c>
      <c r="BC174" s="2078">
        <f t="shared" si="344"/>
        <v>7322.88</v>
      </c>
      <c r="BD174" s="2078">
        <f t="shared" si="345"/>
        <v>7322.88</v>
      </c>
      <c r="BE174" s="2078">
        <f t="shared" si="346"/>
        <v>7322.88</v>
      </c>
      <c r="BF174" s="2078">
        <f t="shared" si="347"/>
        <v>7322.88</v>
      </c>
      <c r="BG174" s="2078">
        <f t="shared" si="348"/>
        <v>7322.88</v>
      </c>
      <c r="BH174" s="2078">
        <f t="shared" si="349"/>
        <v>7322.88</v>
      </c>
      <c r="BI174" s="2078">
        <f t="shared" si="350"/>
        <v>11130.777599999999</v>
      </c>
      <c r="BJ174" s="2078">
        <f t="shared" si="351"/>
        <v>11130.777599999999</v>
      </c>
      <c r="BK174" s="2078">
        <f t="shared" si="352"/>
        <v>11130.777599999999</v>
      </c>
      <c r="BL174" s="2078">
        <f t="shared" si="353"/>
        <v>11130.777599999999</v>
      </c>
      <c r="BM174" s="2078">
        <f t="shared" si="354"/>
        <v>11130.777599999999</v>
      </c>
      <c r="BN174" s="2078">
        <f t="shared" si="355"/>
        <v>11130.777599999999</v>
      </c>
      <c r="BO174" s="2078">
        <f t="shared" si="356"/>
        <v>11130.777599999999</v>
      </c>
      <c r="BP174" s="2078">
        <f t="shared" si="357"/>
        <v>11130.777599999999</v>
      </c>
      <c r="BQ174" s="2078">
        <f t="shared" si="358"/>
        <v>11130.777599999999</v>
      </c>
      <c r="BR174" s="2078">
        <f t="shared" si="359"/>
        <v>11130.777599999999</v>
      </c>
      <c r="BS174" s="2079">
        <f t="shared" ref="BS174:BS245" si="403">IF($AE174=3,IFERROR(SUMIFS($GT174:$LQ174,$GT$167:$LQ$167,1,$GT$25:$LQ$25,1)/SUMIFS($GT174:$LQ174,$GT$25:$LQ$25,1),1),0)</f>
        <v>1</v>
      </c>
      <c r="BT174" s="2079">
        <f t="shared" ref="BT174:BT245" si="404">IF($AE174=3,IFERROR(SUMIFS($GT174:$LQ174,$GT$167:$LQ$167,2,$GT$25:$LQ$25,1)/SUMIFS($GT174:$LQ174,$GT$25:$LQ$25,1),0),0)</f>
        <v>0</v>
      </c>
      <c r="BU174" s="2079">
        <f t="shared" ref="BU174:BU245" si="405">IF($AE174=3,IFERROR(SUMIFS($GT174:$LQ174,$GT$167:$LQ$167,3,$GT$25:$LQ$25,1)/SUMIFS($GT174:$LQ174,$GT$25:$LQ$25,1),0),0)</f>
        <v>0</v>
      </c>
      <c r="BV174" s="2079">
        <f t="shared" ref="BV174:BV245" si="406">IF($AE174=3,IFERROR(SUMIFS($GT174:$LQ174,$GT$167:$LQ$167,4,$GT$25:$LQ$25,1)/SUMIFS($GT174:$LQ174,$GT$25:$LQ$25,1),0),0)</f>
        <v>0</v>
      </c>
      <c r="BW174" s="2079">
        <f t="shared" ref="BW174:BW245" si="407">IF($AE174=3,IFERROR(SUMIFS($GT174:$LQ174,$GT$167:$LQ$167,5,$GT$25:$LQ$25,1)/SUMIFS($GT174:$LQ174,$GT$25:$LQ$25,1),0),0)</f>
        <v>0</v>
      </c>
      <c r="BX174" s="2079">
        <f t="shared" ref="BX174:BX245" si="408">IF($AE174=3,IFERROR(SUMIFS($GT174:$LQ174,$GT$167:$LQ$167,6,$GT$25:$LQ$25,1)/SUMIFS($GT174:$LQ174,$GT$25:$LQ$25,1),0),0)</f>
        <v>0</v>
      </c>
      <c r="BY174" s="2079">
        <f t="shared" ref="BY174:BY245" si="409">IF($AE174=3,IFERROR(SUMIFS($GT174:$LQ174,$GT$167:$LQ$167,7,$GT$25:$LQ$25,1)/SUMIFS($GT174:$LQ174,$GT$25:$LQ$25,1),0),0)</f>
        <v>0</v>
      </c>
      <c r="BZ174" s="2079">
        <f t="shared" ref="BZ174:BZ245" si="410">IF($AE174=3,IFERROR(SUMIFS($GT174:$LQ174,$GT$167:$LQ$167,8,$GT$25:$LQ$25,1)/SUMIFS($GT174:$LQ174,$GT$25:$LQ$25,1),0),0)</f>
        <v>0</v>
      </c>
      <c r="CA174" s="2079">
        <f t="shared" ref="CA174:CA245" si="411">IF($AE174=3,IFERROR(SUMIFS($GT174:$LQ174,$GT$167:$LQ$167,9,$GT$25:$LQ$25,1)/SUMIFS($GT174:$LQ174,$GT$25:$LQ$25,1),0),0)</f>
        <v>0</v>
      </c>
      <c r="CB174" s="2079">
        <f t="shared" ref="CB174:CB245" si="412">IF($AE174=3,IFERROR(SUMIFS($GT174:$LQ174,$GT$167:$LQ$167,10,$GT$25:$LQ$25,1)/SUMIFS($GT174:$LQ174,$GT$25:$LQ$25,1),0),0)</f>
        <v>0</v>
      </c>
      <c r="CC174" s="2078">
        <f t="shared" ca="1" si="360"/>
        <v>20338.281600000002</v>
      </c>
      <c r="CD174" s="2078">
        <f t="shared" ca="1" si="361"/>
        <v>20338.281600000002</v>
      </c>
      <c r="CE174" s="2078">
        <f t="shared" ca="1" si="362"/>
        <v>20338.281600000002</v>
      </c>
      <c r="CF174" s="2078">
        <f t="shared" ca="1" si="363"/>
        <v>20338.281600000002</v>
      </c>
      <c r="CG174" s="2078">
        <f t="shared" ca="1" si="364"/>
        <v>20338.281600000002</v>
      </c>
      <c r="CH174" s="2078">
        <f t="shared" ca="1" si="365"/>
        <v>20338.281600000002</v>
      </c>
      <c r="CI174" s="2078">
        <f t="shared" ca="1" si="366"/>
        <v>20338.281600000002</v>
      </c>
      <c r="CJ174" s="2078">
        <f t="shared" ca="1" si="367"/>
        <v>20338.281600000002</v>
      </c>
      <c r="CK174" s="2078">
        <f t="shared" ca="1" si="368"/>
        <v>20338.281600000002</v>
      </c>
      <c r="CL174" s="2078">
        <f t="shared" ca="1" si="369"/>
        <v>20338.281600000002</v>
      </c>
      <c r="CM174" s="2078">
        <f t="shared" ref="CM174:CM252" si="413">IF(ISBLANK(DD174),1,DD174)*IF(FO174="P",1-GP174,1)</f>
        <v>1</v>
      </c>
      <c r="CN174" s="2078">
        <f t="shared" ref="CN174:CN252" si="414">IF(DC174=$CN$171,0,1)</f>
        <v>1</v>
      </c>
      <c r="CO174" s="2078">
        <f t="shared" ref="CO174:CO248" si="415">IF(AND(AE174=3,OR(F174="",F174="Approved")),1,0)</f>
        <v>1</v>
      </c>
      <c r="CP174" s="2078">
        <f t="shared" si="370"/>
        <v>1</v>
      </c>
      <c r="CQ174" s="2078">
        <f t="shared" ref="CQ174:CQ248" si="416">IF(AND(Z174=0,OR(AI174="V",AI174="W",G174="RO")),1,0)</f>
        <v>0</v>
      </c>
      <c r="CR174" s="2078">
        <f t="shared" ref="CR174:CR237" si="417">IF(OR(AI174="S",AI174="R",AI174="V",AI174="U",AI174="W",AI174="Z"),1,0)</f>
        <v>0</v>
      </c>
      <c r="CS174" s="2078">
        <f t="shared" si="371"/>
        <v>0</v>
      </c>
      <c r="CT174" s="2078">
        <f t="shared" ref="CT174:CT248" si="418">IF(OR($F174="Exclude",$AE174&lt;&gt;3),0,1)</f>
        <v>1</v>
      </c>
      <c r="CU174" s="2078">
        <f t="shared" si="372"/>
        <v>1</v>
      </c>
      <c r="CV174" s="2078">
        <f t="shared" ref="CV174:CV252" si="419">IF($F174="Approved",1,0)</f>
        <v>0</v>
      </c>
      <c r="CW174" s="2078">
        <f>IF(OR(AE174&lt;&gt;3,F174="Exclude"),0,IF(ISERROR(MATCH($E174,'4 Sign-off'!$S$123:$X$123,0)),0,1))</f>
        <v>1</v>
      </c>
      <c r="CX174" s="2078">
        <f t="shared" si="373"/>
        <v>1</v>
      </c>
      <c r="CY174" s="2078">
        <f t="shared" ref="CY174:CY252" si="420">CHOOSE($CY$163,CO174,CP174,CX174)</f>
        <v>1</v>
      </c>
      <c r="CZ174" s="2993">
        <f t="shared" ca="1" si="374"/>
        <v>20338.281600000002</v>
      </c>
      <c r="DA174" s="3037">
        <f t="shared" ca="1" si="375"/>
        <v>8543.1840000000029</v>
      </c>
      <c r="DB174" s="1664"/>
      <c r="DC174" s="1320"/>
      <c r="DD174" s="589"/>
      <c r="DE174" s="1321"/>
      <c r="DF174" s="107"/>
      <c r="DG174" s="112"/>
      <c r="DH174" s="140"/>
      <c r="DI174" s="22"/>
      <c r="DJ174" s="145"/>
      <c r="DK174" s="137"/>
      <c r="DL174" s="137"/>
      <c r="DM174" s="137"/>
      <c r="DN174" s="137"/>
      <c r="DO174" s="137"/>
      <c r="DP174" s="137"/>
      <c r="DQ174" s="137">
        <v>384</v>
      </c>
      <c r="DR174" s="137"/>
      <c r="DS174" s="137"/>
      <c r="DT174" s="137"/>
      <c r="DU174" s="137"/>
      <c r="DV174" s="137"/>
      <c r="DW174" s="137"/>
      <c r="DX174" s="137"/>
      <c r="DY174" s="137"/>
      <c r="DZ174" s="137"/>
      <c r="EA174" s="137"/>
      <c r="EB174" s="137"/>
      <c r="EC174" s="137"/>
      <c r="ED174" s="137"/>
      <c r="EE174" s="137"/>
      <c r="EF174" s="137"/>
      <c r="EG174" s="137"/>
      <c r="EH174" s="137"/>
      <c r="EI174" s="137"/>
      <c r="EJ174" s="137"/>
      <c r="EK174" s="137"/>
      <c r="EL174" s="137"/>
      <c r="EM174" s="137"/>
      <c r="EN174" s="137"/>
      <c r="EO174" s="137"/>
      <c r="EP174" s="137"/>
      <c r="EQ174" s="137"/>
      <c r="ER174" s="137"/>
      <c r="ES174" s="137"/>
      <c r="ET174" s="137"/>
      <c r="EU174" s="137"/>
      <c r="EV174" s="137"/>
      <c r="EW174" s="137"/>
      <c r="EX174" s="137"/>
      <c r="EY174" s="137"/>
      <c r="EZ174" s="137"/>
      <c r="FA174" s="137"/>
      <c r="FB174" s="137"/>
      <c r="FC174" s="137"/>
      <c r="FD174" s="137"/>
      <c r="FE174" s="137"/>
      <c r="FF174" s="137"/>
      <c r="FG174" s="860"/>
      <c r="FH174" s="863"/>
      <c r="FI174" s="1318"/>
      <c r="FJ174" s="126"/>
      <c r="FK174" s="127"/>
      <c r="FL174" s="128" t="str">
        <f t="shared" si="376"/>
        <v xml:space="preserve">WNEP Project Manager, 4 days per week, 6th January - 27th March (12 weeks)    </v>
      </c>
      <c r="FM174" s="128"/>
      <c r="FN174" s="1686">
        <f t="shared" si="377"/>
        <v>384</v>
      </c>
      <c r="FO174" s="46">
        <f t="shared" ref="FO174:FO252" si="421">IF(AND($C$7="F",GR174="P"),"P",0)</f>
        <v>0</v>
      </c>
      <c r="FP174" s="46">
        <f t="shared" ref="FP174:FP255" si="422">IFERROR(1/FQ174,1)</f>
        <v>8.3333333333333329E-2</v>
      </c>
      <c r="FQ174" s="75">
        <f t="shared" si="378"/>
        <v>12</v>
      </c>
      <c r="FR174" s="46">
        <f t="shared" si="379"/>
        <v>12</v>
      </c>
      <c r="FS174" s="46">
        <f t="shared" si="380"/>
        <v>8.3333333333333329E-2</v>
      </c>
      <c r="FT174" s="75">
        <f t="shared" si="381"/>
        <v>0</v>
      </c>
      <c r="FU174" s="2603">
        <f t="shared" ref="FU174:FU252" si="423">(DE174*IF(ISBLANK($DD174),1,$DD174))+(SUMPRODUCT(DJ174:FH174,$DJ$65:$FH$65)*IF(GR174="T",SUM(GT174:LQ174),IF(ISBLANK(DH174),1,DH174)))</f>
        <v>11130.777599999999</v>
      </c>
      <c r="FV174" s="2607">
        <f t="shared" ref="FV174:FV252" si="424">IF(GR174="T",SUMPRODUCT(GT174:LQ174,$GT$20:$LQ$20)/SUM(GT174:LQ174),GP174)</f>
        <v>0</v>
      </c>
      <c r="FW174" s="2603">
        <f t="shared" ref="FW174:FW252" si="425">IF(GR174&gt;0,FU174*FV174,0)</f>
        <v>0</v>
      </c>
      <c r="FX174" s="2631">
        <f t="shared" ref="FX174:FX252" si="426">IF(SUM(DE174:FH174)&gt;0,1,0)</f>
        <v>1</v>
      </c>
      <c r="FY174" s="81">
        <f t="shared" si="382"/>
        <v>12</v>
      </c>
      <c r="FZ174" s="64">
        <f t="array" ref="FZ174">MATCH(1,($GT174:$LQ174&gt;0)*$GT$25:$LQ$25,0)</f>
        <v>1</v>
      </c>
      <c r="GA174" s="64">
        <f t="array" ref="GA174">MATCH(2,1/(GT174:LQ174&gt;0))</f>
        <v>12</v>
      </c>
      <c r="GB174" s="64">
        <f t="shared" si="383"/>
        <v>0</v>
      </c>
      <c r="GC174" s="46"/>
      <c r="GD174" s="613"/>
      <c r="GE174" s="613"/>
      <c r="GF174" s="613"/>
      <c r="GG174" s="613"/>
      <c r="GH174" s="613"/>
      <c r="GI174" s="613"/>
      <c r="GJ174" s="613"/>
      <c r="GK174" s="613"/>
      <c r="GL174" s="613"/>
      <c r="GM174" s="613"/>
      <c r="GN174" s="385">
        <f t="shared" si="384"/>
        <v>43836</v>
      </c>
      <c r="GO174" s="386">
        <f t="shared" si="385"/>
        <v>43917</v>
      </c>
      <c r="GP174" s="2635"/>
      <c r="GQ174" s="175"/>
      <c r="GR174" s="172"/>
      <c r="GS174" s="65"/>
      <c r="GT174" s="167">
        <v>1</v>
      </c>
      <c r="GU174" s="167">
        <v>1</v>
      </c>
      <c r="GV174" s="167">
        <v>1</v>
      </c>
      <c r="GW174" s="167">
        <v>1</v>
      </c>
      <c r="GX174" s="167">
        <v>1</v>
      </c>
      <c r="GY174" s="167">
        <v>1</v>
      </c>
      <c r="GZ174" s="167">
        <v>1</v>
      </c>
      <c r="HA174" s="167">
        <v>1</v>
      </c>
      <c r="HB174" s="167">
        <v>1</v>
      </c>
      <c r="HC174" s="167">
        <v>1</v>
      </c>
      <c r="HD174" s="167">
        <v>1</v>
      </c>
      <c r="HE174" s="167">
        <v>1</v>
      </c>
      <c r="HF174" s="168"/>
      <c r="HG174" s="168"/>
      <c r="HH174" s="168"/>
      <c r="HI174" s="168"/>
      <c r="HJ174" s="168"/>
      <c r="HK174" s="168"/>
      <c r="HL174" s="168"/>
      <c r="HM174" s="168"/>
      <c r="HN174" s="168"/>
      <c r="HO174" s="168"/>
      <c r="HP174" s="168"/>
      <c r="HQ174" s="168"/>
      <c r="HR174" s="168"/>
      <c r="HS174" s="168"/>
      <c r="HT174" s="168"/>
      <c r="HU174" s="168"/>
      <c r="HV174" s="168"/>
      <c r="HW174" s="168"/>
      <c r="HX174" s="168"/>
      <c r="HY174" s="168"/>
      <c r="HZ174" s="168"/>
      <c r="IA174" s="168"/>
      <c r="IB174" s="168"/>
      <c r="IC174" s="168"/>
      <c r="ID174" s="168"/>
      <c r="IE174" s="168"/>
      <c r="IF174" s="168"/>
      <c r="IG174" s="168"/>
      <c r="IH174" s="168"/>
      <c r="II174" s="168"/>
      <c r="IJ174" s="168"/>
      <c r="IK174" s="168"/>
      <c r="IL174" s="168"/>
      <c r="IM174" s="168"/>
      <c r="IN174" s="168"/>
      <c r="IO174" s="168"/>
      <c r="IP174" s="168"/>
      <c r="IQ174" s="168"/>
      <c r="IR174" s="168"/>
      <c r="IS174" s="168"/>
      <c r="IT174" s="168"/>
      <c r="IU174" s="168"/>
      <c r="IV174" s="168"/>
      <c r="IW174" s="168"/>
      <c r="IX174" s="168"/>
      <c r="IY174" s="168"/>
      <c r="IZ174" s="168"/>
      <c r="JA174" s="168"/>
      <c r="JB174" s="168"/>
      <c r="JC174" s="168"/>
      <c r="JD174" s="168"/>
      <c r="JE174" s="168"/>
      <c r="JF174" s="168"/>
      <c r="JG174" s="168"/>
      <c r="JH174" s="168"/>
      <c r="JI174" s="168"/>
      <c r="JJ174" s="168"/>
      <c r="JK174" s="168"/>
      <c r="JL174" s="168"/>
      <c r="JM174" s="168"/>
      <c r="JN174" s="168"/>
      <c r="JO174" s="168"/>
      <c r="JP174" s="168"/>
      <c r="JQ174" s="168"/>
      <c r="JR174" s="168"/>
      <c r="JS174" s="168"/>
      <c r="JT174" s="168"/>
      <c r="JU174" s="168"/>
      <c r="JV174" s="168"/>
      <c r="JW174" s="168"/>
      <c r="JX174" s="168"/>
      <c r="JY174" s="168"/>
      <c r="JZ174" s="168"/>
      <c r="KA174" s="168"/>
      <c r="KB174" s="168"/>
      <c r="KC174" s="168"/>
      <c r="KD174" s="168"/>
      <c r="KE174" s="168"/>
      <c r="KF174" s="168"/>
      <c r="KG174" s="168"/>
      <c r="KH174" s="168"/>
      <c r="KI174" s="168"/>
      <c r="KJ174" s="168"/>
      <c r="KK174" s="168"/>
      <c r="KL174" s="168"/>
      <c r="KM174" s="168"/>
      <c r="KN174" s="168"/>
      <c r="KO174" s="168"/>
      <c r="KP174" s="168"/>
      <c r="KQ174" s="168"/>
      <c r="KR174" s="168"/>
      <c r="KS174" s="168"/>
      <c r="KT174" s="168"/>
      <c r="KU174" s="168"/>
      <c r="KV174" s="168"/>
      <c r="KW174" s="168"/>
      <c r="KX174" s="168"/>
      <c r="KY174" s="168"/>
      <c r="KZ174" s="168"/>
      <c r="LA174" s="168"/>
      <c r="LB174" s="168"/>
      <c r="LC174" s="168"/>
      <c r="LD174" s="168"/>
      <c r="LE174" s="168"/>
      <c r="LF174" s="168"/>
      <c r="LG174" s="168"/>
      <c r="LH174" s="168"/>
      <c r="LI174" s="168"/>
      <c r="LJ174" s="168"/>
      <c r="LK174" s="168"/>
      <c r="LL174" s="168"/>
      <c r="LM174" s="168"/>
      <c r="LN174" s="168"/>
      <c r="LO174" s="168"/>
      <c r="LP174" s="606"/>
      <c r="LQ174" s="609"/>
      <c r="LR174" s="1319"/>
      <c r="LS174" s="1319"/>
    </row>
    <row r="175" spans="1:331" s="2" customFormat="1" ht="15" customHeight="1" x14ac:dyDescent="0.25">
      <c r="A175" s="283"/>
      <c r="B175" s="303"/>
      <c r="C175" s="301"/>
      <c r="D175" s="1287"/>
      <c r="E175" s="2298">
        <v>99</v>
      </c>
      <c r="F175" s="1812"/>
      <c r="G175" s="3342"/>
      <c r="H175" s="66"/>
      <c r="I175" s="4174" t="s">
        <v>4395</v>
      </c>
      <c r="J175" s="1214"/>
      <c r="K175" s="105"/>
      <c r="L175" s="91" t="s">
        <v>136</v>
      </c>
      <c r="M175" s="92" t="s">
        <v>4378</v>
      </c>
      <c r="N175" s="93"/>
      <c r="O175" s="94" t="s">
        <v>4379</v>
      </c>
      <c r="P175" s="96"/>
      <c r="Q175" s="95"/>
      <c r="R175" s="993">
        <f t="shared" si="325"/>
        <v>0</v>
      </c>
      <c r="S175" s="23">
        <f t="shared" si="326"/>
        <v>810</v>
      </c>
      <c r="T175" s="24">
        <f t="shared" si="327"/>
        <v>0</v>
      </c>
      <c r="U175" s="24">
        <f t="shared" si="328"/>
        <v>0</v>
      </c>
      <c r="V175" s="24">
        <f t="shared" si="329"/>
        <v>0</v>
      </c>
      <c r="W175" s="24">
        <f t="shared" ca="1" si="330"/>
        <v>0</v>
      </c>
      <c r="X175" s="72">
        <f t="shared" ca="1" si="386"/>
        <v>0</v>
      </c>
      <c r="Y175" s="72">
        <f t="shared" si="331"/>
        <v>0</v>
      </c>
      <c r="Z175" s="24">
        <f t="shared" si="332"/>
        <v>0</v>
      </c>
      <c r="AA175" s="72">
        <f t="shared" si="387"/>
        <v>810</v>
      </c>
      <c r="AB175" s="24">
        <f t="shared" si="388"/>
        <v>810</v>
      </c>
      <c r="AC175" s="24">
        <f t="shared" ca="1" si="333"/>
        <v>0</v>
      </c>
      <c r="AD175" s="24">
        <f t="shared" si="389"/>
        <v>0</v>
      </c>
      <c r="AE175" s="2076">
        <f t="shared" si="334"/>
        <v>3</v>
      </c>
      <c r="AF175" s="2076" t="str">
        <f t="shared" si="335"/>
        <v>6</v>
      </c>
      <c r="AG175" s="2076" t="str">
        <f t="shared" si="336"/>
        <v>6.2</v>
      </c>
      <c r="AH175" s="2521">
        <f t="shared" si="390"/>
        <v>1</v>
      </c>
      <c r="AI175" s="2521" t="str">
        <f t="shared" si="337"/>
        <v/>
      </c>
      <c r="AJ175" s="2521" t="str">
        <f t="shared" ca="1" si="391"/>
        <v>N</v>
      </c>
      <c r="AK175" s="2076">
        <f t="shared" ca="1" si="392"/>
        <v>0</v>
      </c>
      <c r="AL175" s="2076">
        <f>IF(ISBLANK(J175),0,ISERROR(MATCH(J175,'5  Control Accounts'!$FA$29:$FA$96,0))*1)</f>
        <v>0</v>
      </c>
      <c r="AM175" s="2076">
        <f t="shared" si="338"/>
        <v>0</v>
      </c>
      <c r="AN175" s="2076">
        <f t="shared" si="339"/>
        <v>0</v>
      </c>
      <c r="AO175" s="2077">
        <f t="shared" si="393"/>
        <v>1</v>
      </c>
      <c r="AP175" s="2077">
        <f t="shared" si="394"/>
        <v>0</v>
      </c>
      <c r="AQ175" s="2077">
        <f t="shared" si="395"/>
        <v>0</v>
      </c>
      <c r="AR175" s="2077">
        <f t="shared" si="396"/>
        <v>0</v>
      </c>
      <c r="AS175" s="2077">
        <f t="shared" si="397"/>
        <v>0</v>
      </c>
      <c r="AT175" s="2077">
        <f t="shared" si="398"/>
        <v>0</v>
      </c>
      <c r="AU175" s="2077">
        <f t="shared" si="399"/>
        <v>0</v>
      </c>
      <c r="AV175" s="2077">
        <f t="shared" si="400"/>
        <v>0</v>
      </c>
      <c r="AW175" s="2077">
        <f t="shared" si="401"/>
        <v>0</v>
      </c>
      <c r="AX175" s="2077">
        <f t="shared" si="402"/>
        <v>0</v>
      </c>
      <c r="AY175" s="2076">
        <f t="shared" si="340"/>
        <v>0</v>
      </c>
      <c r="AZ175" s="2076">
        <f t="shared" si="341"/>
        <v>0</v>
      </c>
      <c r="BA175" s="2076">
        <f t="shared" si="342"/>
        <v>0</v>
      </c>
      <c r="BB175" s="2076">
        <f t="shared" si="343"/>
        <v>0</v>
      </c>
      <c r="BC175" s="2078">
        <f t="shared" si="344"/>
        <v>0</v>
      </c>
      <c r="BD175" s="2078">
        <f t="shared" si="345"/>
        <v>0</v>
      </c>
      <c r="BE175" s="2078">
        <f t="shared" si="346"/>
        <v>0</v>
      </c>
      <c r="BF175" s="2078">
        <f t="shared" si="347"/>
        <v>0</v>
      </c>
      <c r="BG175" s="2078">
        <f t="shared" si="348"/>
        <v>0</v>
      </c>
      <c r="BH175" s="2078">
        <f t="shared" si="349"/>
        <v>0</v>
      </c>
      <c r="BI175" s="2078">
        <f t="shared" si="350"/>
        <v>0</v>
      </c>
      <c r="BJ175" s="2078">
        <f t="shared" si="351"/>
        <v>0</v>
      </c>
      <c r="BK175" s="2078">
        <f t="shared" si="352"/>
        <v>0</v>
      </c>
      <c r="BL175" s="2078">
        <f t="shared" si="353"/>
        <v>0</v>
      </c>
      <c r="BM175" s="2078">
        <f t="shared" si="354"/>
        <v>0</v>
      </c>
      <c r="BN175" s="2078">
        <f t="shared" si="355"/>
        <v>0</v>
      </c>
      <c r="BO175" s="2078">
        <f t="shared" si="356"/>
        <v>0</v>
      </c>
      <c r="BP175" s="2078">
        <f t="shared" si="357"/>
        <v>0</v>
      </c>
      <c r="BQ175" s="2078">
        <f t="shared" si="358"/>
        <v>0</v>
      </c>
      <c r="BR175" s="2078">
        <f t="shared" si="359"/>
        <v>0</v>
      </c>
      <c r="BS175" s="2079">
        <f t="shared" si="403"/>
        <v>1</v>
      </c>
      <c r="BT175" s="2079">
        <f t="shared" si="404"/>
        <v>0</v>
      </c>
      <c r="BU175" s="2079">
        <f t="shared" si="405"/>
        <v>0</v>
      </c>
      <c r="BV175" s="2079">
        <f t="shared" si="406"/>
        <v>0</v>
      </c>
      <c r="BW175" s="2079">
        <f t="shared" si="407"/>
        <v>0</v>
      </c>
      <c r="BX175" s="2079">
        <f t="shared" si="408"/>
        <v>0</v>
      </c>
      <c r="BY175" s="2079">
        <f t="shared" si="409"/>
        <v>0</v>
      </c>
      <c r="BZ175" s="2079">
        <f t="shared" si="410"/>
        <v>0</v>
      </c>
      <c r="CA175" s="2079">
        <f t="shared" si="411"/>
        <v>0</v>
      </c>
      <c r="CB175" s="2079">
        <f t="shared" si="412"/>
        <v>0</v>
      </c>
      <c r="CC175" s="2078">
        <f t="shared" ca="1" si="360"/>
        <v>0</v>
      </c>
      <c r="CD175" s="2078">
        <f t="shared" ca="1" si="361"/>
        <v>0</v>
      </c>
      <c r="CE175" s="2078">
        <f t="shared" ca="1" si="362"/>
        <v>0</v>
      </c>
      <c r="CF175" s="2078">
        <f t="shared" ca="1" si="363"/>
        <v>0</v>
      </c>
      <c r="CG175" s="2078">
        <f t="shared" ca="1" si="364"/>
        <v>0</v>
      </c>
      <c r="CH175" s="2078">
        <f t="shared" ca="1" si="365"/>
        <v>0</v>
      </c>
      <c r="CI175" s="2078">
        <f t="shared" ca="1" si="366"/>
        <v>0</v>
      </c>
      <c r="CJ175" s="2078">
        <f t="shared" ca="1" si="367"/>
        <v>0</v>
      </c>
      <c r="CK175" s="2078">
        <f t="shared" ca="1" si="368"/>
        <v>0</v>
      </c>
      <c r="CL175" s="2078">
        <f t="shared" ca="1" si="369"/>
        <v>0</v>
      </c>
      <c r="CM175" s="2078">
        <f t="shared" si="413"/>
        <v>12</v>
      </c>
      <c r="CN175" s="2078">
        <f t="shared" si="414"/>
        <v>1</v>
      </c>
      <c r="CO175" s="2078">
        <f t="shared" si="415"/>
        <v>1</v>
      </c>
      <c r="CP175" s="2078">
        <f t="shared" si="370"/>
        <v>1</v>
      </c>
      <c r="CQ175" s="2078">
        <f t="shared" si="416"/>
        <v>0</v>
      </c>
      <c r="CR175" s="2078">
        <f t="shared" si="417"/>
        <v>0</v>
      </c>
      <c r="CS175" s="2078">
        <f t="shared" si="371"/>
        <v>0</v>
      </c>
      <c r="CT175" s="2078">
        <f t="shared" si="418"/>
        <v>1</v>
      </c>
      <c r="CU175" s="2078">
        <f t="shared" si="372"/>
        <v>1</v>
      </c>
      <c r="CV175" s="2078">
        <f t="shared" si="419"/>
        <v>0</v>
      </c>
      <c r="CW175" s="2078">
        <f>IF(OR(AE175&lt;&gt;3,F175="Exclude"),0,IF(ISERROR(MATCH($E175,'4 Sign-off'!$S$123:$X$123,0)),0,1))</f>
        <v>1</v>
      </c>
      <c r="CX175" s="2078">
        <f t="shared" si="373"/>
        <v>1</v>
      </c>
      <c r="CY175" s="2078">
        <f t="shared" si="420"/>
        <v>1</v>
      </c>
      <c r="CZ175" s="2993">
        <f t="shared" ca="1" si="374"/>
        <v>810</v>
      </c>
      <c r="DA175" s="3037">
        <f t="shared" ca="1" si="375"/>
        <v>0</v>
      </c>
      <c r="DB175" s="1664"/>
      <c r="DC175" s="1320" t="s">
        <v>631</v>
      </c>
      <c r="DD175" s="589">
        <v>12</v>
      </c>
      <c r="DE175" s="1321">
        <v>67.5</v>
      </c>
      <c r="DF175" s="107"/>
      <c r="DG175" s="112"/>
      <c r="DH175" s="140"/>
      <c r="DI175" s="22"/>
      <c r="DJ175" s="145"/>
      <c r="DK175" s="137"/>
      <c r="DL175" s="137"/>
      <c r="DM175" s="137"/>
      <c r="DN175" s="137"/>
      <c r="DO175" s="137"/>
      <c r="DP175" s="137"/>
      <c r="DQ175" s="137"/>
      <c r="DR175" s="137"/>
      <c r="DS175" s="137"/>
      <c r="DT175" s="137"/>
      <c r="DU175" s="137"/>
      <c r="DV175" s="137"/>
      <c r="DW175" s="137"/>
      <c r="DX175" s="137"/>
      <c r="DY175" s="137"/>
      <c r="DZ175" s="137"/>
      <c r="EA175" s="137"/>
      <c r="EB175" s="137"/>
      <c r="EC175" s="137"/>
      <c r="ED175" s="137"/>
      <c r="EE175" s="137"/>
      <c r="EF175" s="137"/>
      <c r="EG175" s="137"/>
      <c r="EH175" s="137"/>
      <c r="EI175" s="137"/>
      <c r="EJ175" s="137"/>
      <c r="EK175" s="137"/>
      <c r="EL175" s="137"/>
      <c r="EM175" s="137"/>
      <c r="EN175" s="137"/>
      <c r="EO175" s="137"/>
      <c r="EP175" s="137"/>
      <c r="EQ175" s="137"/>
      <c r="ER175" s="137"/>
      <c r="ES175" s="137"/>
      <c r="ET175" s="137"/>
      <c r="EU175" s="137"/>
      <c r="EV175" s="137"/>
      <c r="EW175" s="137"/>
      <c r="EX175" s="137"/>
      <c r="EY175" s="137"/>
      <c r="EZ175" s="137"/>
      <c r="FA175" s="137"/>
      <c r="FB175" s="137"/>
      <c r="FC175" s="137"/>
      <c r="FD175" s="137"/>
      <c r="FE175" s="137"/>
      <c r="FF175" s="137"/>
      <c r="FG175" s="860"/>
      <c r="FH175" s="863"/>
      <c r="FI175" s="1318"/>
      <c r="FJ175" s="126"/>
      <c r="FK175" s="127"/>
      <c r="FL175" s="128" t="str">
        <f t="shared" si="376"/>
        <v xml:space="preserve">Travel Expenses    </v>
      </c>
      <c r="FM175" s="128"/>
      <c r="FN175" s="1686">
        <f t="shared" si="377"/>
        <v>0</v>
      </c>
      <c r="FO175" s="46">
        <f t="shared" si="421"/>
        <v>0</v>
      </c>
      <c r="FP175" s="46">
        <f t="shared" si="422"/>
        <v>8.3333333333333329E-2</v>
      </c>
      <c r="FQ175" s="75">
        <f t="shared" si="378"/>
        <v>12</v>
      </c>
      <c r="FR175" s="46">
        <f t="shared" si="379"/>
        <v>12</v>
      </c>
      <c r="FS175" s="46">
        <f t="shared" si="380"/>
        <v>0</v>
      </c>
      <c r="FT175" s="75">
        <f t="shared" si="381"/>
        <v>0</v>
      </c>
      <c r="FU175" s="2603">
        <f t="shared" si="423"/>
        <v>810</v>
      </c>
      <c r="FV175" s="2607">
        <f t="shared" si="424"/>
        <v>0</v>
      </c>
      <c r="FW175" s="2603">
        <f t="shared" si="425"/>
        <v>0</v>
      </c>
      <c r="FX175" s="2631">
        <f t="shared" si="426"/>
        <v>1</v>
      </c>
      <c r="FY175" s="81">
        <f t="shared" si="382"/>
        <v>12</v>
      </c>
      <c r="FZ175" s="64">
        <f t="array" ref="FZ175">MATCH(1,($GT175:$LQ175&gt;0)*$GT$25:$LQ$25,0)</f>
        <v>1</v>
      </c>
      <c r="GA175" s="64">
        <f t="array" ref="GA175">MATCH(2,1/(GT175:LQ175&gt;0))</f>
        <v>12</v>
      </c>
      <c r="GB175" s="64">
        <f t="shared" si="383"/>
        <v>0</v>
      </c>
      <c r="GC175" s="46"/>
      <c r="GD175" s="613"/>
      <c r="GE175" s="613"/>
      <c r="GF175" s="613"/>
      <c r="GG175" s="613"/>
      <c r="GH175" s="613"/>
      <c r="GI175" s="613"/>
      <c r="GJ175" s="613"/>
      <c r="GK175" s="613"/>
      <c r="GL175" s="613"/>
      <c r="GM175" s="613"/>
      <c r="GN175" s="385">
        <f t="shared" si="384"/>
        <v>43836</v>
      </c>
      <c r="GO175" s="386">
        <f t="shared" si="385"/>
        <v>43917</v>
      </c>
      <c r="GP175" s="2635"/>
      <c r="GQ175" s="175"/>
      <c r="GR175" s="172"/>
      <c r="GS175" s="65"/>
      <c r="GT175" s="167">
        <v>1</v>
      </c>
      <c r="GU175" s="167">
        <v>1</v>
      </c>
      <c r="GV175" s="167">
        <v>1</v>
      </c>
      <c r="GW175" s="167">
        <v>1</v>
      </c>
      <c r="GX175" s="167">
        <v>1</v>
      </c>
      <c r="GY175" s="167">
        <v>1</v>
      </c>
      <c r="GZ175" s="167">
        <v>1</v>
      </c>
      <c r="HA175" s="167">
        <v>1</v>
      </c>
      <c r="HB175" s="167">
        <v>1</v>
      </c>
      <c r="HC175" s="167">
        <v>1</v>
      </c>
      <c r="HD175" s="167">
        <v>1</v>
      </c>
      <c r="HE175" s="167">
        <v>1</v>
      </c>
      <c r="HF175" s="168"/>
      <c r="HG175" s="168"/>
      <c r="HH175" s="168"/>
      <c r="HI175" s="168"/>
      <c r="HJ175" s="168"/>
      <c r="HK175" s="168"/>
      <c r="HL175" s="168"/>
      <c r="HM175" s="168"/>
      <c r="HN175" s="168"/>
      <c r="HO175" s="168"/>
      <c r="HP175" s="168"/>
      <c r="HQ175" s="168"/>
      <c r="HR175" s="168"/>
      <c r="HS175" s="168"/>
      <c r="HT175" s="168"/>
      <c r="HU175" s="168"/>
      <c r="HV175" s="168"/>
      <c r="HW175" s="168"/>
      <c r="HX175" s="168"/>
      <c r="HY175" s="168"/>
      <c r="HZ175" s="168"/>
      <c r="IA175" s="168"/>
      <c r="IB175" s="168"/>
      <c r="IC175" s="168"/>
      <c r="ID175" s="168"/>
      <c r="IE175" s="168"/>
      <c r="IF175" s="168"/>
      <c r="IG175" s="168"/>
      <c r="IH175" s="168"/>
      <c r="II175" s="168"/>
      <c r="IJ175" s="168"/>
      <c r="IK175" s="168"/>
      <c r="IL175" s="168"/>
      <c r="IM175" s="168"/>
      <c r="IN175" s="168"/>
      <c r="IO175" s="168"/>
      <c r="IP175" s="168"/>
      <c r="IQ175" s="168"/>
      <c r="IR175" s="168"/>
      <c r="IS175" s="168"/>
      <c r="IT175" s="168"/>
      <c r="IU175" s="168"/>
      <c r="IV175" s="168"/>
      <c r="IW175" s="168"/>
      <c r="IX175" s="168"/>
      <c r="IY175" s="168"/>
      <c r="IZ175" s="168"/>
      <c r="JA175" s="168"/>
      <c r="JB175" s="168"/>
      <c r="JC175" s="168"/>
      <c r="JD175" s="168"/>
      <c r="JE175" s="168"/>
      <c r="JF175" s="168"/>
      <c r="JG175" s="168"/>
      <c r="JH175" s="168"/>
      <c r="JI175" s="168"/>
      <c r="JJ175" s="168"/>
      <c r="JK175" s="168"/>
      <c r="JL175" s="168"/>
      <c r="JM175" s="168"/>
      <c r="JN175" s="168"/>
      <c r="JO175" s="168"/>
      <c r="JP175" s="168"/>
      <c r="JQ175" s="168"/>
      <c r="JR175" s="168"/>
      <c r="JS175" s="168"/>
      <c r="JT175" s="168"/>
      <c r="JU175" s="168"/>
      <c r="JV175" s="168"/>
      <c r="JW175" s="168"/>
      <c r="JX175" s="168"/>
      <c r="JY175" s="168"/>
      <c r="JZ175" s="168"/>
      <c r="KA175" s="168"/>
      <c r="KB175" s="168"/>
      <c r="KC175" s="168"/>
      <c r="KD175" s="168"/>
      <c r="KE175" s="168"/>
      <c r="KF175" s="168"/>
      <c r="KG175" s="168"/>
      <c r="KH175" s="168"/>
      <c r="KI175" s="168"/>
      <c r="KJ175" s="168"/>
      <c r="KK175" s="168"/>
      <c r="KL175" s="168"/>
      <c r="KM175" s="168"/>
      <c r="KN175" s="168"/>
      <c r="KO175" s="168"/>
      <c r="KP175" s="168"/>
      <c r="KQ175" s="168"/>
      <c r="KR175" s="168"/>
      <c r="KS175" s="168"/>
      <c r="KT175" s="168"/>
      <c r="KU175" s="168"/>
      <c r="KV175" s="168"/>
      <c r="KW175" s="168"/>
      <c r="KX175" s="168"/>
      <c r="KY175" s="168"/>
      <c r="KZ175" s="168"/>
      <c r="LA175" s="168"/>
      <c r="LB175" s="168"/>
      <c r="LC175" s="168"/>
      <c r="LD175" s="168"/>
      <c r="LE175" s="168"/>
      <c r="LF175" s="168"/>
      <c r="LG175" s="168"/>
      <c r="LH175" s="168"/>
      <c r="LI175" s="168"/>
      <c r="LJ175" s="168"/>
      <c r="LK175" s="168"/>
      <c r="LL175" s="168"/>
      <c r="LM175" s="168"/>
      <c r="LN175" s="168"/>
      <c r="LO175" s="168"/>
      <c r="LP175" s="606"/>
      <c r="LQ175" s="609"/>
      <c r="LR175" s="1319"/>
      <c r="LS175" s="1319"/>
    </row>
    <row r="176" spans="1:331" s="2" customFormat="1" ht="15" customHeight="1" x14ac:dyDescent="0.25">
      <c r="A176" s="283"/>
      <c r="B176" s="303"/>
      <c r="C176" s="301"/>
      <c r="D176" s="1287"/>
      <c r="E176" s="2298">
        <v>99</v>
      </c>
      <c r="F176" s="1812"/>
      <c r="G176" s="3342"/>
      <c r="H176" s="66"/>
      <c r="I176" s="1746"/>
      <c r="J176" s="1214"/>
      <c r="K176" s="105"/>
      <c r="L176" s="91" t="s">
        <v>136</v>
      </c>
      <c r="M176" s="92" t="s">
        <v>4380</v>
      </c>
      <c r="N176" s="93"/>
      <c r="O176" s="94" t="s">
        <v>4377</v>
      </c>
      <c r="P176" s="96"/>
      <c r="Q176" s="95"/>
      <c r="R176" s="993">
        <f t="shared" si="325"/>
        <v>384</v>
      </c>
      <c r="S176" s="23">
        <f t="shared" si="326"/>
        <v>11158.886399999999</v>
      </c>
      <c r="T176" s="24">
        <f t="shared" si="327"/>
        <v>384</v>
      </c>
      <c r="U176" s="24">
        <f t="shared" si="328"/>
        <v>0</v>
      </c>
      <c r="V176" s="24">
        <f t="shared" si="329"/>
        <v>664.31999999999994</v>
      </c>
      <c r="W176" s="24">
        <f t="shared" ca="1" si="330"/>
        <v>0</v>
      </c>
      <c r="X176" s="72">
        <f t="shared" ca="1" si="386"/>
        <v>18140.803200000002</v>
      </c>
      <c r="Y176" s="72">
        <f t="shared" si="331"/>
        <v>10494.5664</v>
      </c>
      <c r="Z176" s="24">
        <f t="shared" si="332"/>
        <v>6904.32</v>
      </c>
      <c r="AA176" s="72">
        <f t="shared" si="387"/>
        <v>0</v>
      </c>
      <c r="AB176" s="24">
        <f t="shared" si="388"/>
        <v>0</v>
      </c>
      <c r="AC176" s="24">
        <f t="shared" ca="1" si="333"/>
        <v>18140.803200000002</v>
      </c>
      <c r="AD176" s="24">
        <f t="shared" si="389"/>
        <v>10494.5664</v>
      </c>
      <c r="AE176" s="2076">
        <f t="shared" si="334"/>
        <v>3</v>
      </c>
      <c r="AF176" s="2076" t="str">
        <f t="shared" si="335"/>
        <v>6</v>
      </c>
      <c r="AG176" s="2076" t="str">
        <f t="shared" si="336"/>
        <v>6.3</v>
      </c>
      <c r="AH176" s="2521">
        <f t="shared" si="390"/>
        <v>1</v>
      </c>
      <c r="AI176" s="2521" t="str">
        <f t="shared" si="337"/>
        <v/>
      </c>
      <c r="AJ176" s="2521" t="str">
        <f t="shared" ca="1" si="391"/>
        <v>L</v>
      </c>
      <c r="AK176" s="2076">
        <f t="shared" ca="1" si="392"/>
        <v>0</v>
      </c>
      <c r="AL176" s="2076">
        <f>IF(ISBLANK(J176),0,ISERROR(MATCH(J176,'5  Control Accounts'!$FA$29:$FA$96,0))*1)</f>
        <v>0</v>
      </c>
      <c r="AM176" s="2076">
        <f t="shared" si="338"/>
        <v>0</v>
      </c>
      <c r="AN176" s="2076">
        <f t="shared" si="339"/>
        <v>1</v>
      </c>
      <c r="AO176" s="2077">
        <f t="shared" si="393"/>
        <v>1</v>
      </c>
      <c r="AP176" s="2077">
        <f t="shared" si="394"/>
        <v>0</v>
      </c>
      <c r="AQ176" s="2077">
        <f t="shared" si="395"/>
        <v>0</v>
      </c>
      <c r="AR176" s="2077">
        <f t="shared" si="396"/>
        <v>0</v>
      </c>
      <c r="AS176" s="2077">
        <f t="shared" si="397"/>
        <v>0</v>
      </c>
      <c r="AT176" s="2077">
        <f t="shared" si="398"/>
        <v>0</v>
      </c>
      <c r="AU176" s="2077">
        <f t="shared" si="399"/>
        <v>0</v>
      </c>
      <c r="AV176" s="2077">
        <f t="shared" si="400"/>
        <v>0</v>
      </c>
      <c r="AW176" s="2077">
        <f t="shared" si="401"/>
        <v>0</v>
      </c>
      <c r="AX176" s="2077">
        <f t="shared" si="402"/>
        <v>0</v>
      </c>
      <c r="AY176" s="2076">
        <f t="shared" si="340"/>
        <v>6904.32</v>
      </c>
      <c r="AZ176" s="2076">
        <f t="shared" si="341"/>
        <v>6904.32</v>
      </c>
      <c r="BA176" s="2076">
        <f t="shared" si="342"/>
        <v>6904.32</v>
      </c>
      <c r="BB176" s="2076">
        <f t="shared" si="343"/>
        <v>6904.32</v>
      </c>
      <c r="BC176" s="2078">
        <f t="shared" si="344"/>
        <v>6904.32</v>
      </c>
      <c r="BD176" s="2078">
        <f t="shared" si="345"/>
        <v>6904.32</v>
      </c>
      <c r="BE176" s="2078">
        <f t="shared" si="346"/>
        <v>6904.32</v>
      </c>
      <c r="BF176" s="2078">
        <f t="shared" si="347"/>
        <v>6904.32</v>
      </c>
      <c r="BG176" s="2078">
        <f t="shared" si="348"/>
        <v>6904.32</v>
      </c>
      <c r="BH176" s="2078">
        <f t="shared" si="349"/>
        <v>6904.32</v>
      </c>
      <c r="BI176" s="2078">
        <f t="shared" si="350"/>
        <v>10494.5664</v>
      </c>
      <c r="BJ176" s="2078">
        <f t="shared" si="351"/>
        <v>10494.5664</v>
      </c>
      <c r="BK176" s="2078">
        <f t="shared" si="352"/>
        <v>10494.5664</v>
      </c>
      <c r="BL176" s="2078">
        <f t="shared" si="353"/>
        <v>10494.5664</v>
      </c>
      <c r="BM176" s="2078">
        <f t="shared" si="354"/>
        <v>10494.5664</v>
      </c>
      <c r="BN176" s="2078">
        <f t="shared" si="355"/>
        <v>10494.5664</v>
      </c>
      <c r="BO176" s="2078">
        <f t="shared" si="356"/>
        <v>10494.5664</v>
      </c>
      <c r="BP176" s="2078">
        <f t="shared" si="357"/>
        <v>10494.5664</v>
      </c>
      <c r="BQ176" s="2078">
        <f t="shared" si="358"/>
        <v>10494.5664</v>
      </c>
      <c r="BR176" s="2078">
        <f t="shared" si="359"/>
        <v>10494.5664</v>
      </c>
      <c r="BS176" s="2079">
        <f t="shared" si="403"/>
        <v>1</v>
      </c>
      <c r="BT176" s="2079">
        <f t="shared" si="404"/>
        <v>0</v>
      </c>
      <c r="BU176" s="2079">
        <f t="shared" si="405"/>
        <v>0</v>
      </c>
      <c r="BV176" s="2079">
        <f t="shared" si="406"/>
        <v>0</v>
      </c>
      <c r="BW176" s="2079">
        <f t="shared" si="407"/>
        <v>0</v>
      </c>
      <c r="BX176" s="2079">
        <f t="shared" si="408"/>
        <v>0</v>
      </c>
      <c r="BY176" s="2079">
        <f t="shared" si="409"/>
        <v>0</v>
      </c>
      <c r="BZ176" s="2079">
        <f t="shared" si="410"/>
        <v>0</v>
      </c>
      <c r="CA176" s="2079">
        <f t="shared" si="411"/>
        <v>0</v>
      </c>
      <c r="CB176" s="2079">
        <f t="shared" si="412"/>
        <v>0</v>
      </c>
      <c r="CC176" s="2078">
        <f t="shared" ca="1" si="360"/>
        <v>18140.803200000002</v>
      </c>
      <c r="CD176" s="2078">
        <f t="shared" ca="1" si="361"/>
        <v>18140.803200000002</v>
      </c>
      <c r="CE176" s="2078">
        <f t="shared" ca="1" si="362"/>
        <v>18140.803200000002</v>
      </c>
      <c r="CF176" s="2078">
        <f t="shared" ca="1" si="363"/>
        <v>18140.803200000002</v>
      </c>
      <c r="CG176" s="2078">
        <f t="shared" ca="1" si="364"/>
        <v>18140.803200000002</v>
      </c>
      <c r="CH176" s="2078">
        <f t="shared" ca="1" si="365"/>
        <v>18140.803200000002</v>
      </c>
      <c r="CI176" s="2078">
        <f t="shared" ca="1" si="366"/>
        <v>18140.803200000002</v>
      </c>
      <c r="CJ176" s="2078">
        <f t="shared" ca="1" si="367"/>
        <v>18140.803200000002</v>
      </c>
      <c r="CK176" s="2078">
        <f t="shared" ca="1" si="368"/>
        <v>18140.803200000002</v>
      </c>
      <c r="CL176" s="2078">
        <f t="shared" ca="1" si="369"/>
        <v>18140.803200000002</v>
      </c>
      <c r="CM176" s="2078">
        <f t="shared" si="413"/>
        <v>1</v>
      </c>
      <c r="CN176" s="2078">
        <f t="shared" si="414"/>
        <v>1</v>
      </c>
      <c r="CO176" s="2078">
        <f t="shared" si="415"/>
        <v>1</v>
      </c>
      <c r="CP176" s="2078">
        <f t="shared" si="370"/>
        <v>1</v>
      </c>
      <c r="CQ176" s="2078">
        <f t="shared" si="416"/>
        <v>0</v>
      </c>
      <c r="CR176" s="2078">
        <f t="shared" si="417"/>
        <v>0</v>
      </c>
      <c r="CS176" s="2078">
        <f t="shared" si="371"/>
        <v>0</v>
      </c>
      <c r="CT176" s="2078">
        <f t="shared" si="418"/>
        <v>1</v>
      </c>
      <c r="CU176" s="2078">
        <f t="shared" si="372"/>
        <v>1</v>
      </c>
      <c r="CV176" s="2078">
        <f t="shared" si="419"/>
        <v>0</v>
      </c>
      <c r="CW176" s="2078">
        <f>IF(OR(AE176&lt;&gt;3,F176="Exclude"),0,IF(ISERROR(MATCH($E176,'4 Sign-off'!$S$123:$X$123,0)),0,1))</f>
        <v>1</v>
      </c>
      <c r="CX176" s="2078">
        <f t="shared" si="373"/>
        <v>1</v>
      </c>
      <c r="CY176" s="2078">
        <f t="shared" si="420"/>
        <v>1</v>
      </c>
      <c r="CZ176" s="2993">
        <f t="shared" ca="1" si="374"/>
        <v>18140.803200000002</v>
      </c>
      <c r="DA176" s="3037">
        <f t="shared" ca="1" si="375"/>
        <v>6981.9168000000027</v>
      </c>
      <c r="DB176" s="1664"/>
      <c r="DC176" s="1320"/>
      <c r="DD176" s="589"/>
      <c r="DE176" s="1321"/>
      <c r="DF176" s="107"/>
      <c r="DG176" s="112"/>
      <c r="DH176" s="140"/>
      <c r="DI176" s="22"/>
      <c r="DJ176" s="145"/>
      <c r="DK176" s="137"/>
      <c r="DL176" s="137"/>
      <c r="DM176" s="137"/>
      <c r="DN176" s="137"/>
      <c r="DO176" s="137"/>
      <c r="DP176" s="137"/>
      <c r="DQ176" s="137"/>
      <c r="DR176" s="137">
        <v>384</v>
      </c>
      <c r="DS176" s="137"/>
      <c r="DT176" s="137"/>
      <c r="DU176" s="137"/>
      <c r="DV176" s="137"/>
      <c r="DW176" s="137"/>
      <c r="DX176" s="137"/>
      <c r="DY176" s="137"/>
      <c r="DZ176" s="137"/>
      <c r="EA176" s="137"/>
      <c r="EB176" s="137"/>
      <c r="EC176" s="137"/>
      <c r="ED176" s="137"/>
      <c r="EE176" s="137"/>
      <c r="EF176" s="137"/>
      <c r="EG176" s="137"/>
      <c r="EH176" s="137"/>
      <c r="EI176" s="137"/>
      <c r="EJ176" s="137"/>
      <c r="EK176" s="137"/>
      <c r="EL176" s="137"/>
      <c r="EM176" s="137"/>
      <c r="EN176" s="137"/>
      <c r="EO176" s="137"/>
      <c r="EP176" s="137"/>
      <c r="EQ176" s="137"/>
      <c r="ER176" s="137"/>
      <c r="ES176" s="137"/>
      <c r="ET176" s="137"/>
      <c r="EU176" s="137"/>
      <c r="EV176" s="137"/>
      <c r="EW176" s="137"/>
      <c r="EX176" s="137"/>
      <c r="EY176" s="137"/>
      <c r="EZ176" s="137"/>
      <c r="FA176" s="137"/>
      <c r="FB176" s="137"/>
      <c r="FC176" s="137"/>
      <c r="FD176" s="137"/>
      <c r="FE176" s="137"/>
      <c r="FF176" s="137"/>
      <c r="FG176" s="860"/>
      <c r="FH176" s="1288"/>
      <c r="FI176" s="1318"/>
      <c r="FJ176" s="126"/>
      <c r="FK176" s="127"/>
      <c r="FL176" s="128" t="str">
        <f t="shared" si="376"/>
        <v xml:space="preserve">WNEP Project Manager, 4 days per week, 6th January - 27th March (12 weeks)    </v>
      </c>
      <c r="FM176" s="128"/>
      <c r="FN176" s="1686">
        <f t="shared" si="377"/>
        <v>384</v>
      </c>
      <c r="FO176" s="46">
        <f t="shared" si="421"/>
        <v>0</v>
      </c>
      <c r="FP176" s="46">
        <f t="shared" si="422"/>
        <v>8.3333333333333329E-2</v>
      </c>
      <c r="FQ176" s="75">
        <f t="shared" si="378"/>
        <v>12</v>
      </c>
      <c r="FR176" s="46">
        <f t="shared" si="379"/>
        <v>12</v>
      </c>
      <c r="FS176" s="46">
        <f t="shared" si="380"/>
        <v>8.3333333333333329E-2</v>
      </c>
      <c r="FT176" s="75">
        <f t="shared" si="381"/>
        <v>0</v>
      </c>
      <c r="FU176" s="2603">
        <f t="shared" si="423"/>
        <v>10494.5664</v>
      </c>
      <c r="FV176" s="2607">
        <f t="shared" si="424"/>
        <v>0</v>
      </c>
      <c r="FW176" s="2603">
        <f t="shared" si="425"/>
        <v>0</v>
      </c>
      <c r="FX176" s="2631">
        <f t="shared" si="426"/>
        <v>1</v>
      </c>
      <c r="FY176" s="81">
        <f t="shared" si="382"/>
        <v>12</v>
      </c>
      <c r="FZ176" s="64">
        <f t="array" ref="FZ176">MATCH(1,($GT176:$LQ176&gt;0)*$GT$25:$LQ$25,0)</f>
        <v>1</v>
      </c>
      <c r="GA176" s="64">
        <f t="array" ref="GA176">MATCH(2,1/(GT176:LQ176&gt;0))</f>
        <v>12</v>
      </c>
      <c r="GB176" s="64">
        <f t="shared" si="383"/>
        <v>0</v>
      </c>
      <c r="GC176" s="46"/>
      <c r="GD176" s="613"/>
      <c r="GE176" s="613"/>
      <c r="GF176" s="613"/>
      <c r="GG176" s="613"/>
      <c r="GH176" s="613"/>
      <c r="GI176" s="613"/>
      <c r="GJ176" s="613"/>
      <c r="GK176" s="613"/>
      <c r="GL176" s="613"/>
      <c r="GM176" s="613"/>
      <c r="GN176" s="385">
        <f t="shared" si="384"/>
        <v>43836</v>
      </c>
      <c r="GO176" s="386">
        <f t="shared" si="385"/>
        <v>43917</v>
      </c>
      <c r="GP176" s="2635"/>
      <c r="GQ176" s="175"/>
      <c r="GR176" s="172"/>
      <c r="GS176" s="65"/>
      <c r="GT176" s="167">
        <v>1</v>
      </c>
      <c r="GU176" s="167">
        <v>1</v>
      </c>
      <c r="GV176" s="167">
        <v>1</v>
      </c>
      <c r="GW176" s="167">
        <v>1</v>
      </c>
      <c r="GX176" s="167">
        <v>1</v>
      </c>
      <c r="GY176" s="167">
        <v>1</v>
      </c>
      <c r="GZ176" s="167">
        <v>1</v>
      </c>
      <c r="HA176" s="167">
        <v>1</v>
      </c>
      <c r="HB176" s="167">
        <v>1</v>
      </c>
      <c r="HC176" s="167">
        <v>1</v>
      </c>
      <c r="HD176" s="167">
        <v>1</v>
      </c>
      <c r="HE176" s="167">
        <v>1</v>
      </c>
      <c r="HF176" s="168"/>
      <c r="HG176" s="168"/>
      <c r="HH176" s="168"/>
      <c r="HI176" s="168"/>
      <c r="HJ176" s="168"/>
      <c r="HK176" s="168"/>
      <c r="HL176" s="168"/>
      <c r="HM176" s="168"/>
      <c r="HN176" s="168"/>
      <c r="HO176" s="168"/>
      <c r="HP176" s="168"/>
      <c r="HQ176" s="168"/>
      <c r="HR176" s="168"/>
      <c r="HS176" s="168"/>
      <c r="HT176" s="168"/>
      <c r="HU176" s="168"/>
      <c r="HV176" s="168"/>
      <c r="HW176" s="168"/>
      <c r="HX176" s="168"/>
      <c r="HY176" s="168"/>
      <c r="HZ176" s="168"/>
      <c r="IA176" s="168"/>
      <c r="IB176" s="168"/>
      <c r="IC176" s="168"/>
      <c r="ID176" s="168"/>
      <c r="IE176" s="168"/>
      <c r="IF176" s="168"/>
      <c r="IG176" s="168"/>
      <c r="IH176" s="168"/>
      <c r="II176" s="168"/>
      <c r="IJ176" s="168"/>
      <c r="IK176" s="168"/>
      <c r="IL176" s="168"/>
      <c r="IM176" s="168"/>
      <c r="IN176" s="168"/>
      <c r="IO176" s="168"/>
      <c r="IP176" s="168"/>
      <c r="IQ176" s="168"/>
      <c r="IR176" s="168"/>
      <c r="IS176" s="168"/>
      <c r="IT176" s="168"/>
      <c r="IU176" s="168"/>
      <c r="IV176" s="168"/>
      <c r="IW176" s="168"/>
      <c r="IX176" s="168"/>
      <c r="IY176" s="168"/>
      <c r="IZ176" s="168"/>
      <c r="JA176" s="168"/>
      <c r="JB176" s="168"/>
      <c r="JC176" s="168"/>
      <c r="JD176" s="168"/>
      <c r="JE176" s="168"/>
      <c r="JF176" s="168"/>
      <c r="JG176" s="168"/>
      <c r="JH176" s="168"/>
      <c r="JI176" s="168"/>
      <c r="JJ176" s="168"/>
      <c r="JK176" s="168"/>
      <c r="JL176" s="168"/>
      <c r="JM176" s="168"/>
      <c r="JN176" s="168"/>
      <c r="JO176" s="168"/>
      <c r="JP176" s="168"/>
      <c r="JQ176" s="168"/>
      <c r="JR176" s="168"/>
      <c r="JS176" s="168"/>
      <c r="JT176" s="168"/>
      <c r="JU176" s="168"/>
      <c r="JV176" s="168"/>
      <c r="JW176" s="168"/>
      <c r="JX176" s="168"/>
      <c r="JY176" s="168"/>
      <c r="JZ176" s="168"/>
      <c r="KA176" s="168"/>
      <c r="KB176" s="168"/>
      <c r="KC176" s="168"/>
      <c r="KD176" s="168"/>
      <c r="KE176" s="168"/>
      <c r="KF176" s="168"/>
      <c r="KG176" s="168"/>
      <c r="KH176" s="168"/>
      <c r="KI176" s="168"/>
      <c r="KJ176" s="168"/>
      <c r="KK176" s="168"/>
      <c r="KL176" s="168"/>
      <c r="KM176" s="168"/>
      <c r="KN176" s="168"/>
      <c r="KO176" s="168"/>
      <c r="KP176" s="168"/>
      <c r="KQ176" s="168"/>
      <c r="KR176" s="168"/>
      <c r="KS176" s="168"/>
      <c r="KT176" s="168"/>
      <c r="KU176" s="168"/>
      <c r="KV176" s="168"/>
      <c r="KW176" s="168"/>
      <c r="KX176" s="168"/>
      <c r="KY176" s="168"/>
      <c r="KZ176" s="168"/>
      <c r="LA176" s="168"/>
      <c r="LB176" s="168"/>
      <c r="LC176" s="168"/>
      <c r="LD176" s="168"/>
      <c r="LE176" s="168"/>
      <c r="LF176" s="168"/>
      <c r="LG176" s="168"/>
      <c r="LH176" s="168"/>
      <c r="LI176" s="168"/>
      <c r="LJ176" s="168"/>
      <c r="LK176" s="168"/>
      <c r="LL176" s="168"/>
      <c r="LM176" s="168"/>
      <c r="LN176" s="168"/>
      <c r="LO176" s="168"/>
      <c r="LP176" s="606"/>
      <c r="LQ176" s="609"/>
      <c r="LR176" s="1319"/>
      <c r="LS176" s="1319"/>
    </row>
    <row r="177" spans="1:331" s="2" customFormat="1" ht="15" customHeight="1" x14ac:dyDescent="0.25">
      <c r="A177" s="283"/>
      <c r="B177" s="303"/>
      <c r="C177" s="301"/>
      <c r="D177" s="1287"/>
      <c r="E177" s="2298">
        <v>99</v>
      </c>
      <c r="F177" s="1812"/>
      <c r="G177" s="3342"/>
      <c r="H177" s="66"/>
      <c r="I177" s="4174" t="s">
        <v>4396</v>
      </c>
      <c r="J177" s="1214"/>
      <c r="K177" s="105"/>
      <c r="L177" s="91" t="s">
        <v>136</v>
      </c>
      <c r="M177" s="92" t="s">
        <v>4381</v>
      </c>
      <c r="N177" s="93"/>
      <c r="O177" s="94" t="s">
        <v>4379</v>
      </c>
      <c r="P177" s="96"/>
      <c r="Q177" s="95"/>
      <c r="R177" s="993">
        <f t="shared" si="325"/>
        <v>0</v>
      </c>
      <c r="S177" s="23">
        <f t="shared" si="326"/>
        <v>1080</v>
      </c>
      <c r="T177" s="24">
        <f t="shared" si="327"/>
        <v>0</v>
      </c>
      <c r="U177" s="24">
        <f t="shared" si="328"/>
        <v>0</v>
      </c>
      <c r="V177" s="24">
        <f t="shared" si="329"/>
        <v>0</v>
      </c>
      <c r="W177" s="24">
        <f t="shared" ca="1" si="330"/>
        <v>0</v>
      </c>
      <c r="X177" s="72">
        <f t="shared" ca="1" si="386"/>
        <v>0</v>
      </c>
      <c r="Y177" s="72">
        <f t="shared" si="331"/>
        <v>0</v>
      </c>
      <c r="Z177" s="24">
        <f t="shared" si="332"/>
        <v>0</v>
      </c>
      <c r="AA177" s="72">
        <f t="shared" si="387"/>
        <v>1080</v>
      </c>
      <c r="AB177" s="24">
        <f t="shared" si="388"/>
        <v>1080</v>
      </c>
      <c r="AC177" s="24">
        <f t="shared" ca="1" si="333"/>
        <v>0</v>
      </c>
      <c r="AD177" s="24">
        <f t="shared" si="389"/>
        <v>0</v>
      </c>
      <c r="AE177" s="2078">
        <f t="shared" si="334"/>
        <v>3</v>
      </c>
      <c r="AF177" s="2078" t="str">
        <f t="shared" si="335"/>
        <v>6</v>
      </c>
      <c r="AG177" s="2078" t="str">
        <f t="shared" si="336"/>
        <v>6.4</v>
      </c>
      <c r="AH177" s="2521">
        <f t="shared" si="390"/>
        <v>1</v>
      </c>
      <c r="AI177" s="25" t="str">
        <f t="shared" si="337"/>
        <v/>
      </c>
      <c r="AJ177" s="2521" t="str">
        <f t="shared" ca="1" si="391"/>
        <v>N</v>
      </c>
      <c r="AK177" s="2076">
        <f t="shared" ca="1" si="392"/>
        <v>0</v>
      </c>
      <c r="AL177" s="2078">
        <f>IF(ISBLANK(J177),0,ISERROR(MATCH(J177,'5  Control Accounts'!$FA$29:$FA$96,0))*1)</f>
        <v>0</v>
      </c>
      <c r="AM177" s="2076">
        <f t="shared" si="338"/>
        <v>0</v>
      </c>
      <c r="AN177" s="2078">
        <f t="shared" si="339"/>
        <v>0</v>
      </c>
      <c r="AO177" s="2079">
        <f t="shared" si="393"/>
        <v>1</v>
      </c>
      <c r="AP177" s="2079">
        <f t="shared" si="394"/>
        <v>0</v>
      </c>
      <c r="AQ177" s="2079">
        <f t="shared" si="395"/>
        <v>0</v>
      </c>
      <c r="AR177" s="2079">
        <f t="shared" si="396"/>
        <v>0</v>
      </c>
      <c r="AS177" s="2079">
        <f t="shared" si="397"/>
        <v>0</v>
      </c>
      <c r="AT177" s="2079">
        <f t="shared" si="398"/>
        <v>0</v>
      </c>
      <c r="AU177" s="2079">
        <f t="shared" si="399"/>
        <v>0</v>
      </c>
      <c r="AV177" s="2079">
        <f t="shared" si="400"/>
        <v>0</v>
      </c>
      <c r="AW177" s="2079">
        <f t="shared" si="401"/>
        <v>0</v>
      </c>
      <c r="AX177" s="2079">
        <f t="shared" si="402"/>
        <v>0</v>
      </c>
      <c r="AY177" s="2078">
        <f t="shared" si="340"/>
        <v>0</v>
      </c>
      <c r="AZ177" s="2078">
        <f t="shared" si="341"/>
        <v>0</v>
      </c>
      <c r="BA177" s="2078">
        <f t="shared" si="342"/>
        <v>0</v>
      </c>
      <c r="BB177" s="2078">
        <f t="shared" si="343"/>
        <v>0</v>
      </c>
      <c r="BC177" s="2078">
        <f t="shared" si="344"/>
        <v>0</v>
      </c>
      <c r="BD177" s="2078">
        <f t="shared" si="345"/>
        <v>0</v>
      </c>
      <c r="BE177" s="2078">
        <f t="shared" si="346"/>
        <v>0</v>
      </c>
      <c r="BF177" s="2078">
        <f t="shared" si="347"/>
        <v>0</v>
      </c>
      <c r="BG177" s="2078">
        <f t="shared" si="348"/>
        <v>0</v>
      </c>
      <c r="BH177" s="2078">
        <f t="shared" si="349"/>
        <v>0</v>
      </c>
      <c r="BI177" s="2078">
        <f t="shared" si="350"/>
        <v>0</v>
      </c>
      <c r="BJ177" s="2078">
        <f t="shared" si="351"/>
        <v>0</v>
      </c>
      <c r="BK177" s="2078">
        <f t="shared" si="352"/>
        <v>0</v>
      </c>
      <c r="BL177" s="2078">
        <f t="shared" si="353"/>
        <v>0</v>
      </c>
      <c r="BM177" s="2078">
        <f t="shared" si="354"/>
        <v>0</v>
      </c>
      <c r="BN177" s="2078">
        <f t="shared" si="355"/>
        <v>0</v>
      </c>
      <c r="BO177" s="2078">
        <f t="shared" si="356"/>
        <v>0</v>
      </c>
      <c r="BP177" s="2078">
        <f t="shared" si="357"/>
        <v>0</v>
      </c>
      <c r="BQ177" s="2078">
        <f t="shared" si="358"/>
        <v>0</v>
      </c>
      <c r="BR177" s="2078">
        <f t="shared" si="359"/>
        <v>0</v>
      </c>
      <c r="BS177" s="2079">
        <f t="shared" si="403"/>
        <v>1</v>
      </c>
      <c r="BT177" s="2079">
        <f t="shared" si="404"/>
        <v>0</v>
      </c>
      <c r="BU177" s="2079">
        <f t="shared" si="405"/>
        <v>0</v>
      </c>
      <c r="BV177" s="2079">
        <f t="shared" si="406"/>
        <v>0</v>
      </c>
      <c r="BW177" s="2079">
        <f t="shared" si="407"/>
        <v>0</v>
      </c>
      <c r="BX177" s="2079">
        <f t="shared" si="408"/>
        <v>0</v>
      </c>
      <c r="BY177" s="2079">
        <f t="shared" si="409"/>
        <v>0</v>
      </c>
      <c r="BZ177" s="2079">
        <f t="shared" si="410"/>
        <v>0</v>
      </c>
      <c r="CA177" s="2079">
        <f t="shared" si="411"/>
        <v>0</v>
      </c>
      <c r="CB177" s="2079">
        <f t="shared" si="412"/>
        <v>0</v>
      </c>
      <c r="CC177" s="2078">
        <f t="shared" ca="1" si="360"/>
        <v>0</v>
      </c>
      <c r="CD177" s="2078">
        <f t="shared" ca="1" si="361"/>
        <v>0</v>
      </c>
      <c r="CE177" s="2078">
        <f t="shared" ca="1" si="362"/>
        <v>0</v>
      </c>
      <c r="CF177" s="2078">
        <f t="shared" ca="1" si="363"/>
        <v>0</v>
      </c>
      <c r="CG177" s="2078">
        <f t="shared" ca="1" si="364"/>
        <v>0</v>
      </c>
      <c r="CH177" s="2078">
        <f t="shared" ca="1" si="365"/>
        <v>0</v>
      </c>
      <c r="CI177" s="2078">
        <f t="shared" ca="1" si="366"/>
        <v>0</v>
      </c>
      <c r="CJ177" s="2078">
        <f t="shared" ca="1" si="367"/>
        <v>0</v>
      </c>
      <c r="CK177" s="2078">
        <f t="shared" ca="1" si="368"/>
        <v>0</v>
      </c>
      <c r="CL177" s="2078">
        <f t="shared" ca="1" si="369"/>
        <v>0</v>
      </c>
      <c r="CM177" s="2078">
        <f t="shared" si="413"/>
        <v>12</v>
      </c>
      <c r="CN177" s="2078">
        <f t="shared" si="414"/>
        <v>1</v>
      </c>
      <c r="CO177" s="2078">
        <f t="shared" si="415"/>
        <v>1</v>
      </c>
      <c r="CP177" s="2078">
        <f t="shared" si="370"/>
        <v>1</v>
      </c>
      <c r="CQ177" s="2078">
        <f t="shared" si="416"/>
        <v>0</v>
      </c>
      <c r="CR177" s="2078">
        <f t="shared" si="417"/>
        <v>0</v>
      </c>
      <c r="CS177" s="2078">
        <f t="shared" si="371"/>
        <v>0</v>
      </c>
      <c r="CT177" s="2078">
        <f t="shared" si="418"/>
        <v>1</v>
      </c>
      <c r="CU177" s="2078">
        <f t="shared" si="372"/>
        <v>1</v>
      </c>
      <c r="CV177" s="2078">
        <f t="shared" si="419"/>
        <v>0</v>
      </c>
      <c r="CW177" s="2078">
        <f>IF(OR(AE177&lt;&gt;3,F177="Exclude"),0,IF(ISERROR(MATCH($E177,'4 Sign-off'!$S$123:$X$123,0)),0,1))</f>
        <v>1</v>
      </c>
      <c r="CX177" s="2078">
        <f t="shared" si="373"/>
        <v>1</v>
      </c>
      <c r="CY177" s="2078">
        <f t="shared" si="420"/>
        <v>1</v>
      </c>
      <c r="CZ177" s="2993">
        <f t="shared" ca="1" si="374"/>
        <v>1080</v>
      </c>
      <c r="DA177" s="3037">
        <f t="shared" ca="1" si="375"/>
        <v>0</v>
      </c>
      <c r="DB177" s="1664"/>
      <c r="DC177" s="1320" t="s">
        <v>631</v>
      </c>
      <c r="DD177" s="589">
        <v>12</v>
      </c>
      <c r="DE177" s="1321">
        <v>90</v>
      </c>
      <c r="DF177" s="107"/>
      <c r="DG177" s="112"/>
      <c r="DH177" s="140"/>
      <c r="DI177" s="22"/>
      <c r="DJ177" s="145"/>
      <c r="DK177" s="137"/>
      <c r="DL177" s="137"/>
      <c r="DM177" s="137"/>
      <c r="DN177" s="137"/>
      <c r="DO177" s="137"/>
      <c r="DP177" s="137"/>
      <c r="DQ177" s="137"/>
      <c r="DR177" s="137"/>
      <c r="DS177" s="137"/>
      <c r="DT177" s="137"/>
      <c r="DU177" s="137"/>
      <c r="DV177" s="137"/>
      <c r="DW177" s="137"/>
      <c r="DX177" s="137"/>
      <c r="DY177" s="137"/>
      <c r="DZ177" s="137"/>
      <c r="EA177" s="137"/>
      <c r="EB177" s="137"/>
      <c r="EC177" s="137"/>
      <c r="ED177" s="137"/>
      <c r="EE177" s="137"/>
      <c r="EF177" s="137"/>
      <c r="EG177" s="137"/>
      <c r="EH177" s="137"/>
      <c r="EI177" s="137"/>
      <c r="EJ177" s="137"/>
      <c r="EK177" s="137"/>
      <c r="EL177" s="137"/>
      <c r="EM177" s="137"/>
      <c r="EN177" s="137"/>
      <c r="EO177" s="137"/>
      <c r="EP177" s="137"/>
      <c r="EQ177" s="137"/>
      <c r="ER177" s="137"/>
      <c r="ES177" s="137"/>
      <c r="ET177" s="137"/>
      <c r="EU177" s="137"/>
      <c r="EV177" s="137"/>
      <c r="EW177" s="137"/>
      <c r="EX177" s="137"/>
      <c r="EY177" s="137"/>
      <c r="EZ177" s="137"/>
      <c r="FA177" s="137"/>
      <c r="FB177" s="137"/>
      <c r="FC177" s="137"/>
      <c r="FD177" s="137"/>
      <c r="FE177" s="137"/>
      <c r="FF177" s="137"/>
      <c r="FG177" s="860"/>
      <c r="FH177" s="1288"/>
      <c r="FI177" s="1318"/>
      <c r="FJ177" s="126"/>
      <c r="FK177" s="127"/>
      <c r="FL177" s="128" t="str">
        <f t="shared" si="376"/>
        <v xml:space="preserve">Travel Expenses    </v>
      </c>
      <c r="FM177" s="128"/>
      <c r="FN177" s="1686">
        <f t="shared" si="377"/>
        <v>0</v>
      </c>
      <c r="FO177" s="46">
        <f t="shared" si="421"/>
        <v>0</v>
      </c>
      <c r="FP177" s="46">
        <f>IFERROR(1/FQ177,1)</f>
        <v>8.3333333333333329E-2</v>
      </c>
      <c r="FQ177" s="75">
        <f t="shared" si="378"/>
        <v>12</v>
      </c>
      <c r="FR177" s="46">
        <f t="shared" si="379"/>
        <v>12</v>
      </c>
      <c r="FS177" s="46">
        <f t="shared" si="380"/>
        <v>0</v>
      </c>
      <c r="FT177" s="75">
        <f t="shared" si="381"/>
        <v>0</v>
      </c>
      <c r="FU177" s="2603">
        <f t="shared" si="423"/>
        <v>1080</v>
      </c>
      <c r="FV177" s="2607">
        <f t="shared" si="424"/>
        <v>0</v>
      </c>
      <c r="FW177" s="2603">
        <f t="shared" si="425"/>
        <v>0</v>
      </c>
      <c r="FX177" s="2631">
        <f t="shared" si="426"/>
        <v>1</v>
      </c>
      <c r="FY177" s="81">
        <f t="shared" si="382"/>
        <v>12</v>
      </c>
      <c r="FZ177" s="64">
        <f t="array" ref="FZ177">MATCH(1,($GT177:$LQ177&gt;0)*$GT$25:$LQ$25,0)</f>
        <v>1</v>
      </c>
      <c r="GA177" s="64">
        <f t="array" ref="GA177">MATCH(2,1/(GT177:LQ177&gt;0))</f>
        <v>12</v>
      </c>
      <c r="GB177" s="64">
        <f t="shared" si="383"/>
        <v>0</v>
      </c>
      <c r="GC177" s="46"/>
      <c r="GD177" s="613"/>
      <c r="GE177" s="613"/>
      <c r="GF177" s="613"/>
      <c r="GG177" s="613"/>
      <c r="GH177" s="613"/>
      <c r="GI177" s="613"/>
      <c r="GJ177" s="613"/>
      <c r="GK177" s="613"/>
      <c r="GL177" s="613"/>
      <c r="GM177" s="613"/>
      <c r="GN177" s="385">
        <f t="shared" si="384"/>
        <v>43836</v>
      </c>
      <c r="GO177" s="386">
        <f t="shared" si="385"/>
        <v>43917</v>
      </c>
      <c r="GP177" s="2635"/>
      <c r="GQ177" s="175"/>
      <c r="GR177" s="172"/>
      <c r="GS177" s="65"/>
      <c r="GT177" s="167">
        <v>1</v>
      </c>
      <c r="GU177" s="167">
        <v>1</v>
      </c>
      <c r="GV177" s="167">
        <v>1</v>
      </c>
      <c r="GW177" s="167">
        <v>1</v>
      </c>
      <c r="GX177" s="167">
        <v>1</v>
      </c>
      <c r="GY177" s="167">
        <v>1</v>
      </c>
      <c r="GZ177" s="167">
        <v>1</v>
      </c>
      <c r="HA177" s="167">
        <v>1</v>
      </c>
      <c r="HB177" s="167">
        <v>1</v>
      </c>
      <c r="HC177" s="167">
        <v>1</v>
      </c>
      <c r="HD177" s="167">
        <v>1</v>
      </c>
      <c r="HE177" s="167">
        <v>1</v>
      </c>
      <c r="HF177" s="168"/>
      <c r="HG177" s="168"/>
      <c r="HH177" s="168"/>
      <c r="HI177" s="168"/>
      <c r="HJ177" s="168"/>
      <c r="HK177" s="168"/>
      <c r="HL177" s="168"/>
      <c r="HM177" s="168"/>
      <c r="HN177" s="168"/>
      <c r="HO177" s="168"/>
      <c r="HP177" s="168"/>
      <c r="HQ177" s="168"/>
      <c r="HR177" s="168"/>
      <c r="HS177" s="168"/>
      <c r="HT177" s="168"/>
      <c r="HU177" s="168"/>
      <c r="HV177" s="168"/>
      <c r="HW177" s="168"/>
      <c r="HX177" s="168"/>
      <c r="HY177" s="168"/>
      <c r="HZ177" s="168"/>
      <c r="IA177" s="168"/>
      <c r="IB177" s="168"/>
      <c r="IC177" s="168"/>
      <c r="ID177" s="168"/>
      <c r="IE177" s="168"/>
      <c r="IF177" s="168"/>
      <c r="IG177" s="168"/>
      <c r="IH177" s="168"/>
      <c r="II177" s="168"/>
      <c r="IJ177" s="168"/>
      <c r="IK177" s="168"/>
      <c r="IL177" s="168"/>
      <c r="IM177" s="168"/>
      <c r="IN177" s="168"/>
      <c r="IO177" s="168"/>
      <c r="IP177" s="168"/>
      <c r="IQ177" s="168"/>
      <c r="IR177" s="168"/>
      <c r="IS177" s="168"/>
      <c r="IT177" s="168"/>
      <c r="IU177" s="168"/>
      <c r="IV177" s="168"/>
      <c r="IW177" s="168"/>
      <c r="IX177" s="168"/>
      <c r="IY177" s="168"/>
      <c r="IZ177" s="168"/>
      <c r="JA177" s="168"/>
      <c r="JB177" s="168"/>
      <c r="JC177" s="168"/>
      <c r="JD177" s="168"/>
      <c r="JE177" s="168"/>
      <c r="JF177" s="168"/>
      <c r="JG177" s="168"/>
      <c r="JH177" s="168"/>
      <c r="JI177" s="168"/>
      <c r="JJ177" s="168"/>
      <c r="JK177" s="168"/>
      <c r="JL177" s="168"/>
      <c r="JM177" s="168"/>
      <c r="JN177" s="168"/>
      <c r="JO177" s="168"/>
      <c r="JP177" s="168"/>
      <c r="JQ177" s="168"/>
      <c r="JR177" s="168"/>
      <c r="JS177" s="168"/>
      <c r="JT177" s="168"/>
      <c r="JU177" s="168"/>
      <c r="JV177" s="168"/>
      <c r="JW177" s="168"/>
      <c r="JX177" s="168"/>
      <c r="JY177" s="168"/>
      <c r="JZ177" s="168"/>
      <c r="KA177" s="168"/>
      <c r="KB177" s="168"/>
      <c r="KC177" s="168"/>
      <c r="KD177" s="168"/>
      <c r="KE177" s="168"/>
      <c r="KF177" s="168"/>
      <c r="KG177" s="168"/>
      <c r="KH177" s="168"/>
      <c r="KI177" s="168"/>
      <c r="KJ177" s="168"/>
      <c r="KK177" s="168"/>
      <c r="KL177" s="168"/>
      <c r="KM177" s="168"/>
      <c r="KN177" s="168"/>
      <c r="KO177" s="168"/>
      <c r="KP177" s="168"/>
      <c r="KQ177" s="168"/>
      <c r="KR177" s="168"/>
      <c r="KS177" s="168"/>
      <c r="KT177" s="168"/>
      <c r="KU177" s="168"/>
      <c r="KV177" s="168"/>
      <c r="KW177" s="168"/>
      <c r="KX177" s="168"/>
      <c r="KY177" s="168"/>
      <c r="KZ177" s="168"/>
      <c r="LA177" s="168"/>
      <c r="LB177" s="168"/>
      <c r="LC177" s="168"/>
      <c r="LD177" s="168"/>
      <c r="LE177" s="168"/>
      <c r="LF177" s="168"/>
      <c r="LG177" s="168"/>
      <c r="LH177" s="168"/>
      <c r="LI177" s="168"/>
      <c r="LJ177" s="168"/>
      <c r="LK177" s="168"/>
      <c r="LL177" s="168"/>
      <c r="LM177" s="168"/>
      <c r="LN177" s="168"/>
      <c r="LO177" s="168"/>
      <c r="LP177" s="606"/>
      <c r="LQ177" s="609"/>
      <c r="LR177" s="1319"/>
      <c r="LS177" s="1319"/>
    </row>
    <row r="178" spans="1:331" s="2" customFormat="1" ht="15" customHeight="1" x14ac:dyDescent="0.25">
      <c r="A178" s="283"/>
      <c r="B178" s="303"/>
      <c r="C178" s="301"/>
      <c r="D178" s="1287"/>
      <c r="E178" s="2298">
        <v>99</v>
      </c>
      <c r="F178" s="1812"/>
      <c r="G178" s="3342"/>
      <c r="H178" s="66"/>
      <c r="I178" s="1746" t="s">
        <v>4397</v>
      </c>
      <c r="J178" s="1214"/>
      <c r="K178" s="105"/>
      <c r="L178" s="91" t="s">
        <v>136</v>
      </c>
      <c r="M178" s="92" t="s">
        <v>4382</v>
      </c>
      <c r="N178" s="93"/>
      <c r="O178" s="94" t="s">
        <v>4383</v>
      </c>
      <c r="P178" s="96"/>
      <c r="Q178" s="95"/>
      <c r="R178" s="993">
        <f t="shared" si="325"/>
        <v>6</v>
      </c>
      <c r="S178" s="23">
        <f t="shared" si="326"/>
        <v>215.89920000000001</v>
      </c>
      <c r="T178" s="24">
        <f t="shared" si="327"/>
        <v>6</v>
      </c>
      <c r="U178" s="24">
        <f t="shared" si="328"/>
        <v>0</v>
      </c>
      <c r="V178" s="24">
        <f t="shared" si="329"/>
        <v>10.379999999999999</v>
      </c>
      <c r="W178" s="24">
        <f t="shared" ca="1" si="330"/>
        <v>0</v>
      </c>
      <c r="X178" s="72">
        <f t="shared" ca="1" si="386"/>
        <v>430.16219999999998</v>
      </c>
      <c r="Y178" s="72">
        <f t="shared" si="331"/>
        <v>205.51920000000001</v>
      </c>
      <c r="Z178" s="24">
        <f t="shared" si="332"/>
        <v>135.20999999999998</v>
      </c>
      <c r="AA178" s="72">
        <f t="shared" si="387"/>
        <v>0</v>
      </c>
      <c r="AB178" s="24">
        <f t="shared" si="388"/>
        <v>0</v>
      </c>
      <c r="AC178" s="24">
        <f t="shared" ca="1" si="333"/>
        <v>430.16219999999998</v>
      </c>
      <c r="AD178" s="24">
        <f t="shared" si="389"/>
        <v>205.51920000000001</v>
      </c>
      <c r="AE178" s="2078">
        <f t="shared" si="334"/>
        <v>3</v>
      </c>
      <c r="AF178" s="2078" t="str">
        <f t="shared" si="335"/>
        <v>6</v>
      </c>
      <c r="AG178" s="2078" t="str">
        <f t="shared" si="336"/>
        <v>6.5</v>
      </c>
      <c r="AH178" s="2521">
        <f t="shared" si="390"/>
        <v>1</v>
      </c>
      <c r="AI178" s="25" t="str">
        <f t="shared" si="337"/>
        <v/>
      </c>
      <c r="AJ178" s="2521" t="str">
        <f t="shared" ca="1" si="391"/>
        <v>L</v>
      </c>
      <c r="AK178" s="2076">
        <f t="shared" ca="1" si="392"/>
        <v>0</v>
      </c>
      <c r="AL178" s="2078">
        <f>IF(ISBLANK(J178),0,ISERROR(MATCH(J178,'5  Control Accounts'!$FA$29:$FA$96,0))*1)</f>
        <v>0</v>
      </c>
      <c r="AM178" s="2076">
        <f t="shared" si="338"/>
        <v>0</v>
      </c>
      <c r="AN178" s="2078">
        <f t="shared" si="339"/>
        <v>1</v>
      </c>
      <c r="AO178" s="2079">
        <f t="shared" si="393"/>
        <v>1</v>
      </c>
      <c r="AP178" s="2079">
        <f t="shared" si="394"/>
        <v>0</v>
      </c>
      <c r="AQ178" s="2079">
        <f t="shared" si="395"/>
        <v>0</v>
      </c>
      <c r="AR178" s="2079">
        <f t="shared" si="396"/>
        <v>0</v>
      </c>
      <c r="AS178" s="2079">
        <f t="shared" si="397"/>
        <v>0</v>
      </c>
      <c r="AT178" s="2079">
        <f t="shared" si="398"/>
        <v>0</v>
      </c>
      <c r="AU178" s="2079">
        <f t="shared" si="399"/>
        <v>0</v>
      </c>
      <c r="AV178" s="2079">
        <f t="shared" si="400"/>
        <v>0</v>
      </c>
      <c r="AW178" s="2079">
        <f t="shared" si="401"/>
        <v>0</v>
      </c>
      <c r="AX178" s="2079">
        <f t="shared" si="402"/>
        <v>0</v>
      </c>
      <c r="AY178" s="2078">
        <f t="shared" si="340"/>
        <v>135.20999999999998</v>
      </c>
      <c r="AZ178" s="2078">
        <f t="shared" si="341"/>
        <v>135.20999999999998</v>
      </c>
      <c r="BA178" s="2078">
        <f t="shared" si="342"/>
        <v>135.20999999999998</v>
      </c>
      <c r="BB178" s="2078">
        <f t="shared" si="343"/>
        <v>135.20999999999998</v>
      </c>
      <c r="BC178" s="2078">
        <f t="shared" si="344"/>
        <v>135.20999999999998</v>
      </c>
      <c r="BD178" s="2078">
        <f t="shared" si="345"/>
        <v>135.20999999999998</v>
      </c>
      <c r="BE178" s="2078">
        <f t="shared" si="346"/>
        <v>135.20999999999998</v>
      </c>
      <c r="BF178" s="2078">
        <f t="shared" si="347"/>
        <v>135.20999999999998</v>
      </c>
      <c r="BG178" s="2078">
        <f t="shared" si="348"/>
        <v>135.20999999999998</v>
      </c>
      <c r="BH178" s="2078">
        <f t="shared" si="349"/>
        <v>135.20999999999998</v>
      </c>
      <c r="BI178" s="2078">
        <f t="shared" si="350"/>
        <v>205.51920000000001</v>
      </c>
      <c r="BJ178" s="2078">
        <f t="shared" si="351"/>
        <v>205.51920000000001</v>
      </c>
      <c r="BK178" s="2078">
        <f t="shared" si="352"/>
        <v>205.51920000000001</v>
      </c>
      <c r="BL178" s="2078">
        <f t="shared" si="353"/>
        <v>205.51920000000001</v>
      </c>
      <c r="BM178" s="2078">
        <f t="shared" si="354"/>
        <v>205.51920000000001</v>
      </c>
      <c r="BN178" s="2078">
        <f t="shared" si="355"/>
        <v>205.51920000000001</v>
      </c>
      <c r="BO178" s="2078">
        <f t="shared" si="356"/>
        <v>205.51920000000001</v>
      </c>
      <c r="BP178" s="2078">
        <f t="shared" si="357"/>
        <v>205.51920000000001</v>
      </c>
      <c r="BQ178" s="2078">
        <f t="shared" si="358"/>
        <v>205.51920000000001</v>
      </c>
      <c r="BR178" s="2078">
        <f t="shared" si="359"/>
        <v>205.51920000000001</v>
      </c>
      <c r="BS178" s="2079">
        <f t="shared" si="403"/>
        <v>1</v>
      </c>
      <c r="BT178" s="2079">
        <f t="shared" si="404"/>
        <v>0</v>
      </c>
      <c r="BU178" s="2079">
        <f t="shared" si="405"/>
        <v>0</v>
      </c>
      <c r="BV178" s="2079">
        <f t="shared" si="406"/>
        <v>0</v>
      </c>
      <c r="BW178" s="2079">
        <f t="shared" si="407"/>
        <v>0</v>
      </c>
      <c r="BX178" s="2079">
        <f t="shared" si="408"/>
        <v>0</v>
      </c>
      <c r="BY178" s="2079">
        <f t="shared" si="409"/>
        <v>0</v>
      </c>
      <c r="BZ178" s="2079">
        <f t="shared" si="410"/>
        <v>0</v>
      </c>
      <c r="CA178" s="2079">
        <f t="shared" si="411"/>
        <v>0</v>
      </c>
      <c r="CB178" s="2079">
        <f t="shared" si="412"/>
        <v>0</v>
      </c>
      <c r="CC178" s="2078">
        <f t="shared" ca="1" si="360"/>
        <v>430.16219999999998</v>
      </c>
      <c r="CD178" s="2078">
        <f t="shared" ca="1" si="361"/>
        <v>430.16219999999998</v>
      </c>
      <c r="CE178" s="2078">
        <f t="shared" ca="1" si="362"/>
        <v>430.16219999999998</v>
      </c>
      <c r="CF178" s="2078">
        <f t="shared" ca="1" si="363"/>
        <v>430.16219999999998</v>
      </c>
      <c r="CG178" s="2078">
        <f t="shared" ca="1" si="364"/>
        <v>430.16219999999998</v>
      </c>
      <c r="CH178" s="2078">
        <f t="shared" ca="1" si="365"/>
        <v>430.16219999999998</v>
      </c>
      <c r="CI178" s="2078">
        <f t="shared" ca="1" si="366"/>
        <v>430.16219999999998</v>
      </c>
      <c r="CJ178" s="2078">
        <f t="shared" ca="1" si="367"/>
        <v>430.16219999999998</v>
      </c>
      <c r="CK178" s="2078">
        <f t="shared" ca="1" si="368"/>
        <v>430.16219999999998</v>
      </c>
      <c r="CL178" s="2078">
        <f t="shared" ca="1" si="369"/>
        <v>430.16219999999998</v>
      </c>
      <c r="CM178" s="2078">
        <f t="shared" si="413"/>
        <v>1</v>
      </c>
      <c r="CN178" s="2078">
        <f t="shared" si="414"/>
        <v>1</v>
      </c>
      <c r="CO178" s="2078">
        <f t="shared" si="415"/>
        <v>1</v>
      </c>
      <c r="CP178" s="2078">
        <f t="shared" si="370"/>
        <v>1</v>
      </c>
      <c r="CQ178" s="2078">
        <f t="shared" si="416"/>
        <v>0</v>
      </c>
      <c r="CR178" s="2078">
        <f t="shared" si="417"/>
        <v>0</v>
      </c>
      <c r="CS178" s="2078">
        <f t="shared" si="371"/>
        <v>0</v>
      </c>
      <c r="CT178" s="2078">
        <f t="shared" si="418"/>
        <v>1</v>
      </c>
      <c r="CU178" s="2078">
        <f t="shared" si="372"/>
        <v>1</v>
      </c>
      <c r="CV178" s="2078">
        <f t="shared" si="419"/>
        <v>0</v>
      </c>
      <c r="CW178" s="2078">
        <f>IF(OR(AE178&lt;&gt;3,F178="Exclude"),0,IF(ISERROR(MATCH($E178,'4 Sign-off'!$S$123:$X$123,0)),0,1))</f>
        <v>1</v>
      </c>
      <c r="CX178" s="2078">
        <f t="shared" si="373"/>
        <v>1</v>
      </c>
      <c r="CY178" s="2078">
        <f t="shared" si="420"/>
        <v>1</v>
      </c>
      <c r="CZ178" s="2993">
        <f t="shared" ca="1" si="374"/>
        <v>430.16219999999998</v>
      </c>
      <c r="DA178" s="3037">
        <f t="shared" ca="1" si="375"/>
        <v>214.26299999999998</v>
      </c>
      <c r="DB178" s="1664"/>
      <c r="DC178" s="1320"/>
      <c r="DD178" s="589"/>
      <c r="DE178" s="1321"/>
      <c r="DF178" s="107"/>
      <c r="DG178" s="112"/>
      <c r="DH178" s="140"/>
      <c r="DI178" s="22"/>
      <c r="DJ178" s="145"/>
      <c r="DK178" s="137"/>
      <c r="DL178" s="137"/>
      <c r="DM178" s="137"/>
      <c r="DN178" s="137">
        <v>3</v>
      </c>
      <c r="DO178" s="137"/>
      <c r="DP178" s="137">
        <v>3</v>
      </c>
      <c r="DQ178" s="137"/>
      <c r="DR178" s="137"/>
      <c r="DS178" s="137"/>
      <c r="DT178" s="137"/>
      <c r="DU178" s="137"/>
      <c r="DV178" s="137"/>
      <c r="DW178" s="137"/>
      <c r="DX178" s="137"/>
      <c r="DY178" s="137"/>
      <c r="DZ178" s="137"/>
      <c r="EA178" s="137"/>
      <c r="EB178" s="137"/>
      <c r="EC178" s="137"/>
      <c r="ED178" s="137"/>
      <c r="EE178" s="137"/>
      <c r="EF178" s="137"/>
      <c r="EG178" s="137"/>
      <c r="EH178" s="137"/>
      <c r="EI178" s="137"/>
      <c r="EJ178" s="137"/>
      <c r="EK178" s="137"/>
      <c r="EL178" s="137"/>
      <c r="EM178" s="137"/>
      <c r="EN178" s="137"/>
      <c r="EO178" s="137"/>
      <c r="EP178" s="137"/>
      <c r="EQ178" s="137"/>
      <c r="ER178" s="137"/>
      <c r="ES178" s="137"/>
      <c r="ET178" s="137"/>
      <c r="EU178" s="137"/>
      <c r="EV178" s="137"/>
      <c r="EW178" s="137"/>
      <c r="EX178" s="137"/>
      <c r="EY178" s="137"/>
      <c r="EZ178" s="137"/>
      <c r="FA178" s="137"/>
      <c r="FB178" s="137"/>
      <c r="FC178" s="137"/>
      <c r="FD178" s="137"/>
      <c r="FE178" s="137"/>
      <c r="FF178" s="137"/>
      <c r="FG178" s="860"/>
      <c r="FH178" s="1288"/>
      <c r="FI178" s="1318"/>
      <c r="FJ178" s="126"/>
      <c r="FK178" s="127"/>
      <c r="FL178" s="128" t="str">
        <f t="shared" si="376"/>
        <v xml:space="preserve">Delivery management, co-ordination, liaison and support    </v>
      </c>
      <c r="FM178" s="128"/>
      <c r="FN178" s="1686">
        <f t="shared" si="377"/>
        <v>6</v>
      </c>
      <c r="FO178" s="46">
        <f t="shared" si="421"/>
        <v>0</v>
      </c>
      <c r="FP178" s="46">
        <f>IFERROR(1/FQ178,1)</f>
        <v>8.3333333333333329E-2</v>
      </c>
      <c r="FQ178" s="75">
        <f t="shared" si="378"/>
        <v>12</v>
      </c>
      <c r="FR178" s="46">
        <f t="shared" si="379"/>
        <v>12</v>
      </c>
      <c r="FS178" s="46">
        <f t="shared" si="380"/>
        <v>8.3333333333333329E-2</v>
      </c>
      <c r="FT178" s="75">
        <f t="shared" si="381"/>
        <v>0</v>
      </c>
      <c r="FU178" s="2603">
        <f t="shared" si="423"/>
        <v>205.51920000000001</v>
      </c>
      <c r="FV178" s="2607">
        <f t="shared" si="424"/>
        <v>0</v>
      </c>
      <c r="FW178" s="2603">
        <f t="shared" si="425"/>
        <v>0</v>
      </c>
      <c r="FX178" s="2631">
        <f t="shared" si="426"/>
        <v>1</v>
      </c>
      <c r="FY178" s="81">
        <f t="shared" si="382"/>
        <v>12</v>
      </c>
      <c r="FZ178" s="64">
        <f t="array" ref="FZ178">MATCH(1,($GT178:$LQ178&gt;0)*$GT$25:$LQ$25,0)</f>
        <v>1</v>
      </c>
      <c r="GA178" s="64">
        <f t="array" ref="GA178">MATCH(2,1/(GT178:LQ178&gt;0))</f>
        <v>12</v>
      </c>
      <c r="GB178" s="64">
        <f t="shared" si="383"/>
        <v>0</v>
      </c>
      <c r="GC178" s="46"/>
      <c r="GD178" s="613"/>
      <c r="GE178" s="613"/>
      <c r="GF178" s="613"/>
      <c r="GG178" s="613"/>
      <c r="GH178" s="613"/>
      <c r="GI178" s="613"/>
      <c r="GJ178" s="613"/>
      <c r="GK178" s="613"/>
      <c r="GL178" s="613"/>
      <c r="GM178" s="613"/>
      <c r="GN178" s="385">
        <f t="shared" si="384"/>
        <v>43836</v>
      </c>
      <c r="GO178" s="386">
        <f t="shared" si="385"/>
        <v>43917</v>
      </c>
      <c r="GP178" s="2635"/>
      <c r="GQ178" s="175"/>
      <c r="GR178" s="172"/>
      <c r="GS178" s="65"/>
      <c r="GT178" s="167">
        <v>1</v>
      </c>
      <c r="GU178" s="167">
        <v>1</v>
      </c>
      <c r="GV178" s="167">
        <v>1</v>
      </c>
      <c r="GW178" s="167">
        <v>1</v>
      </c>
      <c r="GX178" s="167">
        <v>1</v>
      </c>
      <c r="GY178" s="167">
        <v>1</v>
      </c>
      <c r="GZ178" s="167">
        <v>1</v>
      </c>
      <c r="HA178" s="167">
        <v>1</v>
      </c>
      <c r="HB178" s="167">
        <v>1</v>
      </c>
      <c r="HC178" s="167">
        <v>1</v>
      </c>
      <c r="HD178" s="167">
        <v>1</v>
      </c>
      <c r="HE178" s="167">
        <v>1</v>
      </c>
      <c r="HF178" s="168"/>
      <c r="HG178" s="168"/>
      <c r="HH178" s="168"/>
      <c r="HI178" s="168"/>
      <c r="HJ178" s="168"/>
      <c r="HK178" s="168"/>
      <c r="HL178" s="168"/>
      <c r="HM178" s="168"/>
      <c r="HN178" s="168"/>
      <c r="HO178" s="168"/>
      <c r="HP178" s="168"/>
      <c r="HQ178" s="168"/>
      <c r="HR178" s="168"/>
      <c r="HS178" s="168"/>
      <c r="HT178" s="168"/>
      <c r="HU178" s="168"/>
      <c r="HV178" s="168"/>
      <c r="HW178" s="168"/>
      <c r="HX178" s="168"/>
      <c r="HY178" s="168"/>
      <c r="HZ178" s="168"/>
      <c r="IA178" s="168"/>
      <c r="IB178" s="168"/>
      <c r="IC178" s="168"/>
      <c r="ID178" s="168"/>
      <c r="IE178" s="168"/>
      <c r="IF178" s="168"/>
      <c r="IG178" s="168"/>
      <c r="IH178" s="168"/>
      <c r="II178" s="168"/>
      <c r="IJ178" s="168"/>
      <c r="IK178" s="168"/>
      <c r="IL178" s="168"/>
      <c r="IM178" s="168"/>
      <c r="IN178" s="168"/>
      <c r="IO178" s="168"/>
      <c r="IP178" s="168"/>
      <c r="IQ178" s="168"/>
      <c r="IR178" s="168"/>
      <c r="IS178" s="168"/>
      <c r="IT178" s="168"/>
      <c r="IU178" s="168"/>
      <c r="IV178" s="168"/>
      <c r="IW178" s="168"/>
      <c r="IX178" s="168"/>
      <c r="IY178" s="168"/>
      <c r="IZ178" s="168"/>
      <c r="JA178" s="168"/>
      <c r="JB178" s="168"/>
      <c r="JC178" s="168"/>
      <c r="JD178" s="168"/>
      <c r="JE178" s="168"/>
      <c r="JF178" s="168"/>
      <c r="JG178" s="168"/>
      <c r="JH178" s="168"/>
      <c r="JI178" s="168"/>
      <c r="JJ178" s="168"/>
      <c r="JK178" s="168"/>
      <c r="JL178" s="168"/>
      <c r="JM178" s="168"/>
      <c r="JN178" s="168"/>
      <c r="JO178" s="168"/>
      <c r="JP178" s="168"/>
      <c r="JQ178" s="168"/>
      <c r="JR178" s="168"/>
      <c r="JS178" s="168"/>
      <c r="JT178" s="168"/>
      <c r="JU178" s="168"/>
      <c r="JV178" s="168"/>
      <c r="JW178" s="168"/>
      <c r="JX178" s="168"/>
      <c r="JY178" s="168"/>
      <c r="JZ178" s="168"/>
      <c r="KA178" s="168"/>
      <c r="KB178" s="168"/>
      <c r="KC178" s="168"/>
      <c r="KD178" s="168"/>
      <c r="KE178" s="168"/>
      <c r="KF178" s="168"/>
      <c r="KG178" s="168"/>
      <c r="KH178" s="168"/>
      <c r="KI178" s="168"/>
      <c r="KJ178" s="168"/>
      <c r="KK178" s="168"/>
      <c r="KL178" s="168"/>
      <c r="KM178" s="168"/>
      <c r="KN178" s="168"/>
      <c r="KO178" s="168"/>
      <c r="KP178" s="168"/>
      <c r="KQ178" s="168"/>
      <c r="KR178" s="168"/>
      <c r="KS178" s="168"/>
      <c r="KT178" s="168"/>
      <c r="KU178" s="168"/>
      <c r="KV178" s="168"/>
      <c r="KW178" s="168"/>
      <c r="KX178" s="168"/>
      <c r="KY178" s="168"/>
      <c r="KZ178" s="168"/>
      <c r="LA178" s="168"/>
      <c r="LB178" s="168"/>
      <c r="LC178" s="168"/>
      <c r="LD178" s="168"/>
      <c r="LE178" s="168"/>
      <c r="LF178" s="168"/>
      <c r="LG178" s="168"/>
      <c r="LH178" s="168"/>
      <c r="LI178" s="168"/>
      <c r="LJ178" s="168"/>
      <c r="LK178" s="168"/>
      <c r="LL178" s="168"/>
      <c r="LM178" s="168"/>
      <c r="LN178" s="168"/>
      <c r="LO178" s="168"/>
      <c r="LP178" s="606"/>
      <c r="LQ178" s="609"/>
      <c r="LR178" s="1319"/>
      <c r="LS178" s="1319"/>
    </row>
    <row r="179" spans="1:331" s="2" customFormat="1" ht="15" customHeight="1" x14ac:dyDescent="0.25">
      <c r="A179" s="283"/>
      <c r="B179" s="303"/>
      <c r="C179" s="301"/>
      <c r="D179" s="1287"/>
      <c r="E179" s="2298">
        <v>99</v>
      </c>
      <c r="F179" s="1812"/>
      <c r="G179" s="3342"/>
      <c r="H179" s="66"/>
      <c r="I179" s="1746" t="s">
        <v>4398</v>
      </c>
      <c r="J179" s="1214"/>
      <c r="K179" s="105"/>
      <c r="L179" s="91" t="s">
        <v>136</v>
      </c>
      <c r="M179" s="92" t="s">
        <v>4384</v>
      </c>
      <c r="N179" s="93"/>
      <c r="O179" s="94" t="s">
        <v>4385</v>
      </c>
      <c r="P179" s="96"/>
      <c r="Q179" s="95"/>
      <c r="R179" s="993">
        <f t="shared" si="325"/>
        <v>39</v>
      </c>
      <c r="S179" s="23">
        <f t="shared" si="326"/>
        <v>740.96193600000015</v>
      </c>
      <c r="T179" s="24">
        <f t="shared" si="327"/>
        <v>39</v>
      </c>
      <c r="U179" s="24">
        <f t="shared" si="328"/>
        <v>0</v>
      </c>
      <c r="V179" s="24">
        <f t="shared" si="329"/>
        <v>67.47</v>
      </c>
      <c r="W179" s="24">
        <f t="shared" ca="1" si="330"/>
        <v>0</v>
      </c>
      <c r="X179" s="72">
        <f t="shared" ca="1" si="386"/>
        <v>1777.5927000000001</v>
      </c>
      <c r="Y179" s="72">
        <f t="shared" si="331"/>
        <v>673.49193600000012</v>
      </c>
      <c r="Z179" s="24">
        <f t="shared" si="332"/>
        <v>443.08679999999998</v>
      </c>
      <c r="AA179" s="72">
        <f t="shared" si="387"/>
        <v>0</v>
      </c>
      <c r="AB179" s="24">
        <f t="shared" si="388"/>
        <v>0</v>
      </c>
      <c r="AC179" s="24">
        <f t="shared" ca="1" si="333"/>
        <v>1777.5927000000001</v>
      </c>
      <c r="AD179" s="24">
        <f t="shared" si="389"/>
        <v>673.49193600000012</v>
      </c>
      <c r="AE179" s="2078">
        <f t="shared" si="334"/>
        <v>3</v>
      </c>
      <c r="AF179" s="2078" t="str">
        <f t="shared" si="335"/>
        <v>6</v>
      </c>
      <c r="AG179" s="2078" t="str">
        <f t="shared" si="336"/>
        <v>6.6</v>
      </c>
      <c r="AH179" s="2521">
        <f t="shared" si="390"/>
        <v>1</v>
      </c>
      <c r="AI179" s="25" t="str">
        <f t="shared" si="337"/>
        <v/>
      </c>
      <c r="AJ179" s="2521" t="str">
        <f t="shared" ca="1" si="391"/>
        <v>L</v>
      </c>
      <c r="AK179" s="2076">
        <f t="shared" ca="1" si="392"/>
        <v>0</v>
      </c>
      <c r="AL179" s="2078">
        <f>IF(ISBLANK(J179),0,ISERROR(MATCH(J179,'5  Control Accounts'!$FA$29:$FA$96,0))*1)</f>
        <v>0</v>
      </c>
      <c r="AM179" s="2076">
        <f t="shared" si="338"/>
        <v>0</v>
      </c>
      <c r="AN179" s="2078">
        <f t="shared" si="339"/>
        <v>1</v>
      </c>
      <c r="AO179" s="2079">
        <f t="shared" si="393"/>
        <v>1</v>
      </c>
      <c r="AP179" s="2079">
        <f t="shared" si="394"/>
        <v>0</v>
      </c>
      <c r="AQ179" s="2079">
        <f t="shared" si="395"/>
        <v>0</v>
      </c>
      <c r="AR179" s="2079">
        <f t="shared" si="396"/>
        <v>0</v>
      </c>
      <c r="AS179" s="2079">
        <f t="shared" si="397"/>
        <v>0</v>
      </c>
      <c r="AT179" s="2079">
        <f t="shared" si="398"/>
        <v>0</v>
      </c>
      <c r="AU179" s="2079">
        <f t="shared" si="399"/>
        <v>0</v>
      </c>
      <c r="AV179" s="2079">
        <f t="shared" si="400"/>
        <v>0</v>
      </c>
      <c r="AW179" s="2079">
        <f t="shared" si="401"/>
        <v>0</v>
      </c>
      <c r="AX179" s="2079">
        <f t="shared" si="402"/>
        <v>0</v>
      </c>
      <c r="AY179" s="2078">
        <f t="shared" si="340"/>
        <v>443.08679999999998</v>
      </c>
      <c r="AZ179" s="2078">
        <f t="shared" si="341"/>
        <v>443.08679999999998</v>
      </c>
      <c r="BA179" s="2078">
        <f t="shared" si="342"/>
        <v>443.08679999999998</v>
      </c>
      <c r="BB179" s="2078">
        <f t="shared" si="343"/>
        <v>443.08679999999998</v>
      </c>
      <c r="BC179" s="2078">
        <f t="shared" si="344"/>
        <v>443.08679999999998</v>
      </c>
      <c r="BD179" s="2078">
        <f t="shared" si="345"/>
        <v>443.08679999999998</v>
      </c>
      <c r="BE179" s="2078">
        <f t="shared" si="346"/>
        <v>443.08679999999998</v>
      </c>
      <c r="BF179" s="2078">
        <f t="shared" si="347"/>
        <v>443.08679999999998</v>
      </c>
      <c r="BG179" s="2078">
        <f t="shared" si="348"/>
        <v>443.08679999999998</v>
      </c>
      <c r="BH179" s="2078">
        <f t="shared" si="349"/>
        <v>443.08679999999998</v>
      </c>
      <c r="BI179" s="2078">
        <f t="shared" si="350"/>
        <v>673.49193600000012</v>
      </c>
      <c r="BJ179" s="2078">
        <f t="shared" si="351"/>
        <v>673.49193600000012</v>
      </c>
      <c r="BK179" s="2078">
        <f t="shared" si="352"/>
        <v>673.49193600000012</v>
      </c>
      <c r="BL179" s="2078">
        <f t="shared" si="353"/>
        <v>673.49193600000012</v>
      </c>
      <c r="BM179" s="2078">
        <f t="shared" si="354"/>
        <v>673.49193600000012</v>
      </c>
      <c r="BN179" s="2078">
        <f t="shared" si="355"/>
        <v>673.49193600000012</v>
      </c>
      <c r="BO179" s="2078">
        <f t="shared" si="356"/>
        <v>673.49193600000012</v>
      </c>
      <c r="BP179" s="2078">
        <f t="shared" si="357"/>
        <v>673.49193600000012</v>
      </c>
      <c r="BQ179" s="2078">
        <f t="shared" si="358"/>
        <v>673.49193600000012</v>
      </c>
      <c r="BR179" s="2078">
        <f t="shared" si="359"/>
        <v>673.49193600000012</v>
      </c>
      <c r="BS179" s="2079">
        <f t="shared" si="403"/>
        <v>1</v>
      </c>
      <c r="BT179" s="2079">
        <f t="shared" si="404"/>
        <v>0</v>
      </c>
      <c r="BU179" s="2079">
        <f t="shared" si="405"/>
        <v>0</v>
      </c>
      <c r="BV179" s="2079">
        <f t="shared" si="406"/>
        <v>0</v>
      </c>
      <c r="BW179" s="2079">
        <f t="shared" si="407"/>
        <v>0</v>
      </c>
      <c r="BX179" s="2079">
        <f t="shared" si="408"/>
        <v>0</v>
      </c>
      <c r="BY179" s="2079">
        <f t="shared" si="409"/>
        <v>0</v>
      </c>
      <c r="BZ179" s="2079">
        <f t="shared" si="410"/>
        <v>0</v>
      </c>
      <c r="CA179" s="2079">
        <f t="shared" si="411"/>
        <v>0</v>
      </c>
      <c r="CB179" s="2079">
        <f t="shared" si="412"/>
        <v>0</v>
      </c>
      <c r="CC179" s="2078">
        <f t="shared" ca="1" si="360"/>
        <v>1777.5927000000001</v>
      </c>
      <c r="CD179" s="2078">
        <f t="shared" ca="1" si="361"/>
        <v>1777.5927000000001</v>
      </c>
      <c r="CE179" s="2078">
        <f t="shared" ca="1" si="362"/>
        <v>1777.5927000000001</v>
      </c>
      <c r="CF179" s="2078">
        <f t="shared" ca="1" si="363"/>
        <v>1777.5927000000001</v>
      </c>
      <c r="CG179" s="2078">
        <f t="shared" ca="1" si="364"/>
        <v>1777.5927000000001</v>
      </c>
      <c r="CH179" s="2078">
        <f t="shared" ca="1" si="365"/>
        <v>1777.5927000000001</v>
      </c>
      <c r="CI179" s="2078">
        <f t="shared" ca="1" si="366"/>
        <v>1777.5927000000001</v>
      </c>
      <c r="CJ179" s="2078">
        <f t="shared" ca="1" si="367"/>
        <v>1777.5927000000001</v>
      </c>
      <c r="CK179" s="2078">
        <f t="shared" ca="1" si="368"/>
        <v>1777.5927000000001</v>
      </c>
      <c r="CL179" s="2078">
        <f t="shared" ca="1" si="369"/>
        <v>1777.5927000000001</v>
      </c>
      <c r="CM179" s="2078">
        <f t="shared" si="413"/>
        <v>1</v>
      </c>
      <c r="CN179" s="2078">
        <f t="shared" si="414"/>
        <v>1</v>
      </c>
      <c r="CO179" s="2078">
        <f t="shared" si="415"/>
        <v>1</v>
      </c>
      <c r="CP179" s="2078">
        <f t="shared" si="370"/>
        <v>1</v>
      </c>
      <c r="CQ179" s="2078">
        <f t="shared" si="416"/>
        <v>0</v>
      </c>
      <c r="CR179" s="2078">
        <f t="shared" si="417"/>
        <v>0</v>
      </c>
      <c r="CS179" s="2078">
        <f t="shared" si="371"/>
        <v>0</v>
      </c>
      <c r="CT179" s="2078">
        <f t="shared" si="418"/>
        <v>1</v>
      </c>
      <c r="CU179" s="2078">
        <f t="shared" si="372"/>
        <v>1</v>
      </c>
      <c r="CV179" s="2078">
        <f t="shared" si="419"/>
        <v>0</v>
      </c>
      <c r="CW179" s="2078">
        <f>IF(OR(AE179&lt;&gt;3,F179="Exclude"),0,IF(ISERROR(MATCH($E179,'4 Sign-off'!$S$123:$X$123,0)),0,1))</f>
        <v>1</v>
      </c>
      <c r="CX179" s="2078">
        <f t="shared" si="373"/>
        <v>1</v>
      </c>
      <c r="CY179" s="2078">
        <f t="shared" si="420"/>
        <v>1</v>
      </c>
      <c r="CZ179" s="2993">
        <f t="shared" ca="1" si="374"/>
        <v>1777.5927000000001</v>
      </c>
      <c r="DA179" s="3037">
        <f t="shared" ca="1" si="375"/>
        <v>1036.630764</v>
      </c>
      <c r="DB179" s="1664"/>
      <c r="DC179" s="1320"/>
      <c r="DD179" s="589"/>
      <c r="DE179" s="1321"/>
      <c r="DF179" s="107"/>
      <c r="DG179" s="112"/>
      <c r="DH179" s="140"/>
      <c r="DI179" s="22"/>
      <c r="DJ179" s="145"/>
      <c r="DK179" s="137">
        <v>39</v>
      </c>
      <c r="DL179" s="137"/>
      <c r="DM179" s="137"/>
      <c r="DN179" s="137"/>
      <c r="DO179" s="137"/>
      <c r="DP179" s="137"/>
      <c r="DQ179" s="137"/>
      <c r="DR179" s="137"/>
      <c r="DS179" s="137"/>
      <c r="DT179" s="137"/>
      <c r="DU179" s="137"/>
      <c r="DV179" s="137"/>
      <c r="DW179" s="137"/>
      <c r="DX179" s="137"/>
      <c r="DY179" s="137"/>
      <c r="DZ179" s="137"/>
      <c r="EA179" s="137"/>
      <c r="EB179" s="137"/>
      <c r="EC179" s="137"/>
      <c r="ED179" s="137"/>
      <c r="EE179" s="137"/>
      <c r="EF179" s="137"/>
      <c r="EG179" s="137"/>
      <c r="EH179" s="137"/>
      <c r="EI179" s="137"/>
      <c r="EJ179" s="137"/>
      <c r="EK179" s="137"/>
      <c r="EL179" s="137"/>
      <c r="EM179" s="137"/>
      <c r="EN179" s="137"/>
      <c r="EO179" s="137"/>
      <c r="EP179" s="137"/>
      <c r="EQ179" s="137"/>
      <c r="ER179" s="137"/>
      <c r="ES179" s="137"/>
      <c r="ET179" s="137"/>
      <c r="EU179" s="137"/>
      <c r="EV179" s="137"/>
      <c r="EW179" s="137"/>
      <c r="EX179" s="137"/>
      <c r="EY179" s="137"/>
      <c r="EZ179" s="137"/>
      <c r="FA179" s="137"/>
      <c r="FB179" s="137"/>
      <c r="FC179" s="137"/>
      <c r="FD179" s="137"/>
      <c r="FE179" s="137"/>
      <c r="FF179" s="137"/>
      <c r="FG179" s="860"/>
      <c r="FH179" s="1288"/>
      <c r="FI179" s="1318"/>
      <c r="FJ179" s="126"/>
      <c r="FK179" s="127"/>
      <c r="FL179" s="128" t="str">
        <f t="shared" si="376"/>
        <v xml:space="preserve">Performance Management/Project Support/Administration    </v>
      </c>
      <c r="FM179" s="128"/>
      <c r="FN179" s="1686">
        <f t="shared" si="377"/>
        <v>39</v>
      </c>
      <c r="FO179" s="46">
        <f t="shared" si="421"/>
        <v>0</v>
      </c>
      <c r="FP179" s="46">
        <f>IFERROR(1/FQ179,1)</f>
        <v>8.3333333333333329E-2</v>
      </c>
      <c r="FQ179" s="75">
        <f t="shared" si="378"/>
        <v>12</v>
      </c>
      <c r="FR179" s="46">
        <f t="shared" si="379"/>
        <v>12</v>
      </c>
      <c r="FS179" s="46">
        <f t="shared" si="380"/>
        <v>8.3333333333333329E-2</v>
      </c>
      <c r="FT179" s="75">
        <f t="shared" si="381"/>
        <v>0</v>
      </c>
      <c r="FU179" s="2603">
        <f t="shared" si="423"/>
        <v>673.49193600000012</v>
      </c>
      <c r="FV179" s="2607">
        <f t="shared" si="424"/>
        <v>0</v>
      </c>
      <c r="FW179" s="2603">
        <f t="shared" si="425"/>
        <v>0</v>
      </c>
      <c r="FX179" s="2631">
        <f t="shared" si="426"/>
        <v>1</v>
      </c>
      <c r="FY179" s="81">
        <f t="shared" si="382"/>
        <v>12</v>
      </c>
      <c r="FZ179" s="64">
        <f t="array" ref="FZ179">MATCH(1,($GT179:$LQ179&gt;0)*$GT$25:$LQ$25,0)</f>
        <v>1</v>
      </c>
      <c r="GA179" s="64">
        <f t="array" ref="GA179">MATCH(2,1/(GT179:LQ179&gt;0))</f>
        <v>12</v>
      </c>
      <c r="GB179" s="64">
        <f t="shared" si="383"/>
        <v>0</v>
      </c>
      <c r="GC179" s="46"/>
      <c r="GD179" s="613"/>
      <c r="GE179" s="613"/>
      <c r="GF179" s="613"/>
      <c r="GG179" s="613"/>
      <c r="GH179" s="613"/>
      <c r="GI179" s="613"/>
      <c r="GJ179" s="613"/>
      <c r="GK179" s="613"/>
      <c r="GL179" s="613"/>
      <c r="GM179" s="613"/>
      <c r="GN179" s="385">
        <f t="shared" si="384"/>
        <v>43836</v>
      </c>
      <c r="GO179" s="386">
        <f t="shared" si="385"/>
        <v>43917</v>
      </c>
      <c r="GP179" s="2635"/>
      <c r="GQ179" s="175"/>
      <c r="GR179" s="172"/>
      <c r="GS179" s="65"/>
      <c r="GT179" s="167">
        <v>1</v>
      </c>
      <c r="GU179" s="167">
        <v>1</v>
      </c>
      <c r="GV179" s="167">
        <v>1</v>
      </c>
      <c r="GW179" s="167">
        <v>1</v>
      </c>
      <c r="GX179" s="167">
        <v>1</v>
      </c>
      <c r="GY179" s="167">
        <v>1</v>
      </c>
      <c r="GZ179" s="167">
        <v>1</v>
      </c>
      <c r="HA179" s="167">
        <v>1</v>
      </c>
      <c r="HB179" s="167">
        <v>1</v>
      </c>
      <c r="HC179" s="167">
        <v>1</v>
      </c>
      <c r="HD179" s="167">
        <v>1</v>
      </c>
      <c r="HE179" s="167">
        <v>1</v>
      </c>
      <c r="HF179" s="168"/>
      <c r="HG179" s="168"/>
      <c r="HH179" s="168"/>
      <c r="HI179" s="168"/>
      <c r="HJ179" s="168"/>
      <c r="HK179" s="168"/>
      <c r="HL179" s="168"/>
      <c r="HM179" s="168"/>
      <c r="HN179" s="168"/>
      <c r="HO179" s="168"/>
      <c r="HP179" s="168"/>
      <c r="HQ179" s="168"/>
      <c r="HR179" s="168"/>
      <c r="HS179" s="168"/>
      <c r="HT179" s="168"/>
      <c r="HU179" s="168"/>
      <c r="HV179" s="168"/>
      <c r="HW179" s="168"/>
      <c r="HX179" s="168"/>
      <c r="HY179" s="168"/>
      <c r="HZ179" s="168"/>
      <c r="IA179" s="168"/>
      <c r="IB179" s="168"/>
      <c r="IC179" s="168"/>
      <c r="ID179" s="168"/>
      <c r="IE179" s="168"/>
      <c r="IF179" s="168"/>
      <c r="IG179" s="168"/>
      <c r="IH179" s="168"/>
      <c r="II179" s="168"/>
      <c r="IJ179" s="168"/>
      <c r="IK179" s="168"/>
      <c r="IL179" s="168"/>
      <c r="IM179" s="168"/>
      <c r="IN179" s="168"/>
      <c r="IO179" s="168"/>
      <c r="IP179" s="168"/>
      <c r="IQ179" s="168"/>
      <c r="IR179" s="168"/>
      <c r="IS179" s="168"/>
      <c r="IT179" s="168"/>
      <c r="IU179" s="168"/>
      <c r="IV179" s="168"/>
      <c r="IW179" s="168"/>
      <c r="IX179" s="168"/>
      <c r="IY179" s="168"/>
      <c r="IZ179" s="168"/>
      <c r="JA179" s="168"/>
      <c r="JB179" s="168"/>
      <c r="JC179" s="168"/>
      <c r="JD179" s="168"/>
      <c r="JE179" s="168"/>
      <c r="JF179" s="168"/>
      <c r="JG179" s="168"/>
      <c r="JH179" s="168"/>
      <c r="JI179" s="168"/>
      <c r="JJ179" s="168"/>
      <c r="JK179" s="168"/>
      <c r="JL179" s="168"/>
      <c r="JM179" s="168"/>
      <c r="JN179" s="168"/>
      <c r="JO179" s="168"/>
      <c r="JP179" s="168"/>
      <c r="JQ179" s="168"/>
      <c r="JR179" s="168"/>
      <c r="JS179" s="168"/>
      <c r="JT179" s="168"/>
      <c r="JU179" s="168"/>
      <c r="JV179" s="168"/>
      <c r="JW179" s="168"/>
      <c r="JX179" s="168"/>
      <c r="JY179" s="168"/>
      <c r="JZ179" s="168"/>
      <c r="KA179" s="168"/>
      <c r="KB179" s="168"/>
      <c r="KC179" s="168"/>
      <c r="KD179" s="168"/>
      <c r="KE179" s="168"/>
      <c r="KF179" s="168"/>
      <c r="KG179" s="168"/>
      <c r="KH179" s="168"/>
      <c r="KI179" s="168"/>
      <c r="KJ179" s="168"/>
      <c r="KK179" s="168"/>
      <c r="KL179" s="168"/>
      <c r="KM179" s="168"/>
      <c r="KN179" s="168"/>
      <c r="KO179" s="168"/>
      <c r="KP179" s="168"/>
      <c r="KQ179" s="168"/>
      <c r="KR179" s="168"/>
      <c r="KS179" s="168"/>
      <c r="KT179" s="168"/>
      <c r="KU179" s="168"/>
      <c r="KV179" s="168"/>
      <c r="KW179" s="168"/>
      <c r="KX179" s="168"/>
      <c r="KY179" s="168"/>
      <c r="KZ179" s="168"/>
      <c r="LA179" s="168"/>
      <c r="LB179" s="168"/>
      <c r="LC179" s="168"/>
      <c r="LD179" s="168"/>
      <c r="LE179" s="168"/>
      <c r="LF179" s="168"/>
      <c r="LG179" s="168"/>
      <c r="LH179" s="168"/>
      <c r="LI179" s="168"/>
      <c r="LJ179" s="168"/>
      <c r="LK179" s="168"/>
      <c r="LL179" s="168"/>
      <c r="LM179" s="168"/>
      <c r="LN179" s="168"/>
      <c r="LO179" s="168"/>
      <c r="LP179" s="606"/>
      <c r="LQ179" s="609"/>
      <c r="LR179" s="1319"/>
      <c r="LS179" s="1319"/>
    </row>
    <row r="180" spans="1:331" s="2" customFormat="1" ht="15" customHeight="1" x14ac:dyDescent="0.25">
      <c r="A180" s="283"/>
      <c r="B180" s="303"/>
      <c r="C180" s="301"/>
      <c r="D180" s="1287"/>
      <c r="E180" s="2298">
        <v>99</v>
      </c>
      <c r="F180" s="1812"/>
      <c r="G180" s="3342"/>
      <c r="H180" s="66"/>
      <c r="I180" s="1746" t="s">
        <v>4399</v>
      </c>
      <c r="J180" s="1214"/>
      <c r="K180" s="105"/>
      <c r="L180" s="91" t="s">
        <v>136</v>
      </c>
      <c r="M180" s="92" t="s">
        <v>4386</v>
      </c>
      <c r="N180" s="93"/>
      <c r="O180" s="94" t="s">
        <v>4357</v>
      </c>
      <c r="P180" s="96"/>
      <c r="Q180" s="95"/>
      <c r="R180" s="993">
        <f t="shared" si="325"/>
        <v>24</v>
      </c>
      <c r="S180" s="23">
        <f t="shared" si="326"/>
        <v>1545.7983360000001</v>
      </c>
      <c r="T180" s="24">
        <f t="shared" si="327"/>
        <v>24</v>
      </c>
      <c r="U180" s="24">
        <f t="shared" si="328"/>
        <v>0</v>
      </c>
      <c r="V180" s="24">
        <f t="shared" si="329"/>
        <v>41.519999999999996</v>
      </c>
      <c r="W180" s="24">
        <f t="shared" ca="1" si="330"/>
        <v>0</v>
      </c>
      <c r="X180" s="72">
        <f t="shared" ca="1" si="386"/>
        <v>2190.9497999999999</v>
      </c>
      <c r="Y180" s="72">
        <f t="shared" si="331"/>
        <v>1504.2783360000001</v>
      </c>
      <c r="Z180" s="24">
        <f t="shared" si="332"/>
        <v>989.65679999999998</v>
      </c>
      <c r="AA180" s="72">
        <f t="shared" si="387"/>
        <v>0</v>
      </c>
      <c r="AB180" s="24">
        <f t="shared" si="388"/>
        <v>0</v>
      </c>
      <c r="AC180" s="24">
        <f t="shared" ca="1" si="333"/>
        <v>2190.9497999999999</v>
      </c>
      <c r="AD180" s="24">
        <f t="shared" si="389"/>
        <v>1504.2783360000001</v>
      </c>
      <c r="AE180" s="2078">
        <f t="shared" si="334"/>
        <v>3</v>
      </c>
      <c r="AF180" s="2078" t="str">
        <f t="shared" si="335"/>
        <v>6</v>
      </c>
      <c r="AG180" s="2078" t="str">
        <f t="shared" si="336"/>
        <v>6.7</v>
      </c>
      <c r="AH180" s="2521">
        <f t="shared" si="390"/>
        <v>1</v>
      </c>
      <c r="AI180" s="25" t="str">
        <f t="shared" si="337"/>
        <v/>
      </c>
      <c r="AJ180" s="2521" t="str">
        <f t="shared" ca="1" si="391"/>
        <v>L</v>
      </c>
      <c r="AK180" s="2076">
        <f t="shared" ca="1" si="392"/>
        <v>0</v>
      </c>
      <c r="AL180" s="2078">
        <f>IF(ISBLANK(J180),0,ISERROR(MATCH(J180,'5  Control Accounts'!$FA$29:$FA$96,0))*1)</f>
        <v>0</v>
      </c>
      <c r="AM180" s="2076">
        <f t="shared" si="338"/>
        <v>0</v>
      </c>
      <c r="AN180" s="2078">
        <f t="shared" si="339"/>
        <v>1</v>
      </c>
      <c r="AO180" s="2079">
        <f t="shared" si="393"/>
        <v>1</v>
      </c>
      <c r="AP180" s="2079">
        <f t="shared" si="394"/>
        <v>0</v>
      </c>
      <c r="AQ180" s="2079">
        <f t="shared" si="395"/>
        <v>0</v>
      </c>
      <c r="AR180" s="2079">
        <f t="shared" si="396"/>
        <v>0</v>
      </c>
      <c r="AS180" s="2079">
        <f t="shared" si="397"/>
        <v>0</v>
      </c>
      <c r="AT180" s="2079">
        <f t="shared" si="398"/>
        <v>0</v>
      </c>
      <c r="AU180" s="2079">
        <f t="shared" si="399"/>
        <v>0</v>
      </c>
      <c r="AV180" s="2079">
        <f t="shared" si="400"/>
        <v>0</v>
      </c>
      <c r="AW180" s="2079">
        <f t="shared" si="401"/>
        <v>0</v>
      </c>
      <c r="AX180" s="2079">
        <f t="shared" si="402"/>
        <v>0</v>
      </c>
      <c r="AY180" s="2078">
        <f t="shared" si="340"/>
        <v>989.65679999999998</v>
      </c>
      <c r="AZ180" s="2078">
        <f t="shared" si="341"/>
        <v>989.65679999999998</v>
      </c>
      <c r="BA180" s="2078">
        <f t="shared" si="342"/>
        <v>989.65679999999998</v>
      </c>
      <c r="BB180" s="2078">
        <f t="shared" si="343"/>
        <v>989.65679999999998</v>
      </c>
      <c r="BC180" s="2078">
        <f t="shared" si="344"/>
        <v>989.65679999999998</v>
      </c>
      <c r="BD180" s="2078">
        <f t="shared" si="345"/>
        <v>989.65679999999998</v>
      </c>
      <c r="BE180" s="2078">
        <f t="shared" si="346"/>
        <v>989.65679999999998</v>
      </c>
      <c r="BF180" s="2078">
        <f t="shared" si="347"/>
        <v>989.65679999999998</v>
      </c>
      <c r="BG180" s="2078">
        <f t="shared" si="348"/>
        <v>989.65679999999998</v>
      </c>
      <c r="BH180" s="2078">
        <f t="shared" si="349"/>
        <v>989.65679999999998</v>
      </c>
      <c r="BI180" s="2078">
        <f t="shared" si="350"/>
        <v>1504.2783360000001</v>
      </c>
      <c r="BJ180" s="2078">
        <f t="shared" si="351"/>
        <v>1504.2783360000001</v>
      </c>
      <c r="BK180" s="2078">
        <f t="shared" si="352"/>
        <v>1504.2783360000001</v>
      </c>
      <c r="BL180" s="2078">
        <f t="shared" si="353"/>
        <v>1504.2783360000001</v>
      </c>
      <c r="BM180" s="2078">
        <f t="shared" si="354"/>
        <v>1504.2783360000001</v>
      </c>
      <c r="BN180" s="2078">
        <f t="shared" si="355"/>
        <v>1504.2783360000001</v>
      </c>
      <c r="BO180" s="2078">
        <f t="shared" si="356"/>
        <v>1504.2783360000001</v>
      </c>
      <c r="BP180" s="2078">
        <f t="shared" si="357"/>
        <v>1504.2783360000001</v>
      </c>
      <c r="BQ180" s="2078">
        <f t="shared" si="358"/>
        <v>1504.2783360000001</v>
      </c>
      <c r="BR180" s="2078">
        <f t="shared" si="359"/>
        <v>1504.2783360000001</v>
      </c>
      <c r="BS180" s="2079">
        <f t="shared" si="403"/>
        <v>1</v>
      </c>
      <c r="BT180" s="2079">
        <f t="shared" si="404"/>
        <v>0</v>
      </c>
      <c r="BU180" s="2079">
        <f t="shared" si="405"/>
        <v>0</v>
      </c>
      <c r="BV180" s="2079">
        <f t="shared" si="406"/>
        <v>0</v>
      </c>
      <c r="BW180" s="2079">
        <f t="shared" si="407"/>
        <v>0</v>
      </c>
      <c r="BX180" s="2079">
        <f t="shared" si="408"/>
        <v>0</v>
      </c>
      <c r="BY180" s="2079">
        <f t="shared" si="409"/>
        <v>0</v>
      </c>
      <c r="BZ180" s="2079">
        <f t="shared" si="410"/>
        <v>0</v>
      </c>
      <c r="CA180" s="2079">
        <f t="shared" si="411"/>
        <v>0</v>
      </c>
      <c r="CB180" s="2079">
        <f t="shared" si="412"/>
        <v>0</v>
      </c>
      <c r="CC180" s="2078">
        <f t="shared" ca="1" si="360"/>
        <v>2190.9497999999999</v>
      </c>
      <c r="CD180" s="2078">
        <f t="shared" ca="1" si="361"/>
        <v>2190.9497999999999</v>
      </c>
      <c r="CE180" s="2078">
        <f t="shared" ca="1" si="362"/>
        <v>2190.9497999999999</v>
      </c>
      <c r="CF180" s="2078">
        <f t="shared" ca="1" si="363"/>
        <v>2190.9497999999999</v>
      </c>
      <c r="CG180" s="2078">
        <f t="shared" ca="1" si="364"/>
        <v>2190.9497999999999</v>
      </c>
      <c r="CH180" s="2078">
        <f t="shared" ca="1" si="365"/>
        <v>2190.9497999999999</v>
      </c>
      <c r="CI180" s="2078">
        <f t="shared" ca="1" si="366"/>
        <v>2190.9497999999999</v>
      </c>
      <c r="CJ180" s="2078">
        <f t="shared" ca="1" si="367"/>
        <v>2190.9497999999999</v>
      </c>
      <c r="CK180" s="2078">
        <f t="shared" ca="1" si="368"/>
        <v>2190.9497999999999</v>
      </c>
      <c r="CL180" s="2078">
        <f t="shared" ca="1" si="369"/>
        <v>2190.9497999999999</v>
      </c>
      <c r="CM180" s="2078">
        <f t="shared" si="413"/>
        <v>1</v>
      </c>
      <c r="CN180" s="2078">
        <f t="shared" si="414"/>
        <v>1</v>
      </c>
      <c r="CO180" s="2078">
        <f t="shared" si="415"/>
        <v>1</v>
      </c>
      <c r="CP180" s="2078">
        <f t="shared" si="370"/>
        <v>1</v>
      </c>
      <c r="CQ180" s="2078">
        <f t="shared" si="416"/>
        <v>0</v>
      </c>
      <c r="CR180" s="2078">
        <f t="shared" si="417"/>
        <v>0</v>
      </c>
      <c r="CS180" s="2078">
        <f t="shared" si="371"/>
        <v>0</v>
      </c>
      <c r="CT180" s="2078">
        <f t="shared" si="418"/>
        <v>1</v>
      </c>
      <c r="CU180" s="2078">
        <f t="shared" si="372"/>
        <v>1</v>
      </c>
      <c r="CV180" s="2078">
        <f t="shared" si="419"/>
        <v>0</v>
      </c>
      <c r="CW180" s="2078">
        <f>IF(OR(AE180&lt;&gt;3,F180="Exclude"),0,IF(ISERROR(MATCH($E180,'4 Sign-off'!$S$123:$X$123,0)),0,1))</f>
        <v>1</v>
      </c>
      <c r="CX180" s="2078">
        <f t="shared" si="373"/>
        <v>1</v>
      </c>
      <c r="CY180" s="2078">
        <f t="shared" si="420"/>
        <v>1</v>
      </c>
      <c r="CZ180" s="2993">
        <f t="shared" ca="1" si="374"/>
        <v>2190.9497999999999</v>
      </c>
      <c r="DA180" s="3037">
        <f t="shared" ca="1" si="375"/>
        <v>645.15146399999981</v>
      </c>
      <c r="DB180" s="1664"/>
      <c r="DC180" s="1320"/>
      <c r="DD180" s="589"/>
      <c r="DE180" s="1321"/>
      <c r="DF180" s="107"/>
      <c r="DG180" s="112"/>
      <c r="DH180" s="140"/>
      <c r="DI180" s="22"/>
      <c r="DJ180" s="145"/>
      <c r="DK180" s="137"/>
      <c r="DL180" s="137">
        <v>24</v>
      </c>
      <c r="DM180" s="137"/>
      <c r="DN180" s="137"/>
      <c r="DO180" s="137"/>
      <c r="DP180" s="137"/>
      <c r="DQ180" s="137"/>
      <c r="DR180" s="137"/>
      <c r="DS180" s="137"/>
      <c r="DT180" s="137"/>
      <c r="DU180" s="137"/>
      <c r="DV180" s="137"/>
      <c r="DW180" s="137"/>
      <c r="DX180" s="137"/>
      <c r="DY180" s="137"/>
      <c r="DZ180" s="137"/>
      <c r="EA180" s="137"/>
      <c r="EB180" s="137"/>
      <c r="EC180" s="137"/>
      <c r="ED180" s="137"/>
      <c r="EE180" s="137"/>
      <c r="EF180" s="137"/>
      <c r="EG180" s="137"/>
      <c r="EH180" s="137"/>
      <c r="EI180" s="137"/>
      <c r="EJ180" s="137"/>
      <c r="EK180" s="137"/>
      <c r="EL180" s="137"/>
      <c r="EM180" s="137"/>
      <c r="EN180" s="137"/>
      <c r="EO180" s="137"/>
      <c r="EP180" s="137"/>
      <c r="EQ180" s="137"/>
      <c r="ER180" s="137"/>
      <c r="ES180" s="137"/>
      <c r="ET180" s="137"/>
      <c r="EU180" s="137"/>
      <c r="EV180" s="137"/>
      <c r="EW180" s="137"/>
      <c r="EX180" s="137"/>
      <c r="EY180" s="137"/>
      <c r="EZ180" s="137"/>
      <c r="FA180" s="137"/>
      <c r="FB180" s="137"/>
      <c r="FC180" s="137"/>
      <c r="FD180" s="137"/>
      <c r="FE180" s="137"/>
      <c r="FF180" s="137"/>
      <c r="FG180" s="860"/>
      <c r="FH180" s="1288"/>
      <c r="FI180" s="1318"/>
      <c r="FJ180" s="126"/>
      <c r="FK180" s="127"/>
      <c r="FL180" s="128" t="str">
        <f t="shared" si="376"/>
        <v xml:space="preserve">Operational Management    </v>
      </c>
      <c r="FM180" s="128"/>
      <c r="FN180" s="1686">
        <f t="shared" si="377"/>
        <v>24</v>
      </c>
      <c r="FO180" s="46">
        <f t="shared" si="421"/>
        <v>0</v>
      </c>
      <c r="FP180" s="46">
        <f t="shared" si="422"/>
        <v>8.3333333333333329E-2</v>
      </c>
      <c r="FQ180" s="75">
        <f t="shared" si="378"/>
        <v>12</v>
      </c>
      <c r="FR180" s="46">
        <f t="shared" si="379"/>
        <v>12</v>
      </c>
      <c r="FS180" s="46">
        <f t="shared" si="380"/>
        <v>8.3333333333333329E-2</v>
      </c>
      <c r="FT180" s="75">
        <f t="shared" si="381"/>
        <v>0</v>
      </c>
      <c r="FU180" s="2603">
        <f t="shared" si="423"/>
        <v>1504.2783360000001</v>
      </c>
      <c r="FV180" s="2607">
        <f t="shared" si="424"/>
        <v>0</v>
      </c>
      <c r="FW180" s="2603">
        <f t="shared" si="425"/>
        <v>0</v>
      </c>
      <c r="FX180" s="2631">
        <f t="shared" si="426"/>
        <v>1</v>
      </c>
      <c r="FY180" s="81">
        <f t="shared" si="382"/>
        <v>12</v>
      </c>
      <c r="FZ180" s="64">
        <f t="array" ref="FZ180">MATCH(1,($GT180:$LQ180&gt;0)*$GT$25:$LQ$25,0)</f>
        <v>1</v>
      </c>
      <c r="GA180" s="64">
        <f t="array" ref="GA180">MATCH(2,1/(GT180:LQ180&gt;0))</f>
        <v>12</v>
      </c>
      <c r="GB180" s="64">
        <f t="shared" si="383"/>
        <v>0</v>
      </c>
      <c r="GC180" s="46"/>
      <c r="GD180" s="613"/>
      <c r="GE180" s="613"/>
      <c r="GF180" s="613"/>
      <c r="GG180" s="613"/>
      <c r="GH180" s="613"/>
      <c r="GI180" s="613"/>
      <c r="GJ180" s="613"/>
      <c r="GK180" s="613"/>
      <c r="GL180" s="613"/>
      <c r="GM180" s="613"/>
      <c r="GN180" s="385">
        <f t="shared" si="384"/>
        <v>43836</v>
      </c>
      <c r="GO180" s="386">
        <f t="shared" si="385"/>
        <v>43917</v>
      </c>
      <c r="GP180" s="2635"/>
      <c r="GQ180" s="175"/>
      <c r="GR180" s="172"/>
      <c r="GS180" s="65"/>
      <c r="GT180" s="167">
        <v>1</v>
      </c>
      <c r="GU180" s="167">
        <v>1</v>
      </c>
      <c r="GV180" s="167">
        <v>1</v>
      </c>
      <c r="GW180" s="167">
        <v>1</v>
      </c>
      <c r="GX180" s="167">
        <v>1</v>
      </c>
      <c r="GY180" s="167">
        <v>1</v>
      </c>
      <c r="GZ180" s="167">
        <v>1</v>
      </c>
      <c r="HA180" s="167">
        <v>1</v>
      </c>
      <c r="HB180" s="167">
        <v>1</v>
      </c>
      <c r="HC180" s="167">
        <v>1</v>
      </c>
      <c r="HD180" s="167">
        <v>1</v>
      </c>
      <c r="HE180" s="167">
        <v>1</v>
      </c>
      <c r="HF180" s="168"/>
      <c r="HG180" s="168"/>
      <c r="HH180" s="168"/>
      <c r="HI180" s="168"/>
      <c r="HJ180" s="168"/>
      <c r="HK180" s="168"/>
      <c r="HL180" s="168"/>
      <c r="HM180" s="168"/>
      <c r="HN180" s="168"/>
      <c r="HO180" s="168"/>
      <c r="HP180" s="168"/>
      <c r="HQ180" s="168"/>
      <c r="HR180" s="168"/>
      <c r="HS180" s="168"/>
      <c r="HT180" s="168"/>
      <c r="HU180" s="168"/>
      <c r="HV180" s="168"/>
      <c r="HW180" s="168"/>
      <c r="HX180" s="168"/>
      <c r="HY180" s="168"/>
      <c r="HZ180" s="168"/>
      <c r="IA180" s="168"/>
      <c r="IB180" s="168"/>
      <c r="IC180" s="168"/>
      <c r="ID180" s="168"/>
      <c r="IE180" s="168"/>
      <c r="IF180" s="168"/>
      <c r="IG180" s="168"/>
      <c r="IH180" s="168"/>
      <c r="II180" s="168"/>
      <c r="IJ180" s="168"/>
      <c r="IK180" s="168"/>
      <c r="IL180" s="168"/>
      <c r="IM180" s="168"/>
      <c r="IN180" s="168"/>
      <c r="IO180" s="168"/>
      <c r="IP180" s="168"/>
      <c r="IQ180" s="168"/>
      <c r="IR180" s="168"/>
      <c r="IS180" s="168"/>
      <c r="IT180" s="168"/>
      <c r="IU180" s="168"/>
      <c r="IV180" s="168"/>
      <c r="IW180" s="168"/>
      <c r="IX180" s="168"/>
      <c r="IY180" s="168"/>
      <c r="IZ180" s="168"/>
      <c r="JA180" s="168"/>
      <c r="JB180" s="168"/>
      <c r="JC180" s="168"/>
      <c r="JD180" s="168"/>
      <c r="JE180" s="168"/>
      <c r="JF180" s="168"/>
      <c r="JG180" s="168"/>
      <c r="JH180" s="168"/>
      <c r="JI180" s="168"/>
      <c r="JJ180" s="168"/>
      <c r="JK180" s="168"/>
      <c r="JL180" s="168"/>
      <c r="JM180" s="168"/>
      <c r="JN180" s="168"/>
      <c r="JO180" s="168"/>
      <c r="JP180" s="168"/>
      <c r="JQ180" s="168"/>
      <c r="JR180" s="168"/>
      <c r="JS180" s="168"/>
      <c r="JT180" s="168"/>
      <c r="JU180" s="168"/>
      <c r="JV180" s="168"/>
      <c r="JW180" s="168"/>
      <c r="JX180" s="168"/>
      <c r="JY180" s="168"/>
      <c r="JZ180" s="168"/>
      <c r="KA180" s="168"/>
      <c r="KB180" s="168"/>
      <c r="KC180" s="168"/>
      <c r="KD180" s="168"/>
      <c r="KE180" s="168"/>
      <c r="KF180" s="168"/>
      <c r="KG180" s="168"/>
      <c r="KH180" s="168"/>
      <c r="KI180" s="168"/>
      <c r="KJ180" s="168"/>
      <c r="KK180" s="168"/>
      <c r="KL180" s="168"/>
      <c r="KM180" s="168"/>
      <c r="KN180" s="168"/>
      <c r="KO180" s="168"/>
      <c r="KP180" s="168"/>
      <c r="KQ180" s="168"/>
      <c r="KR180" s="168"/>
      <c r="KS180" s="168"/>
      <c r="KT180" s="168"/>
      <c r="KU180" s="168"/>
      <c r="KV180" s="168"/>
      <c r="KW180" s="168"/>
      <c r="KX180" s="168"/>
      <c r="KY180" s="168"/>
      <c r="KZ180" s="168"/>
      <c r="LA180" s="168"/>
      <c r="LB180" s="168"/>
      <c r="LC180" s="168"/>
      <c r="LD180" s="168"/>
      <c r="LE180" s="168"/>
      <c r="LF180" s="168"/>
      <c r="LG180" s="168"/>
      <c r="LH180" s="168"/>
      <c r="LI180" s="168"/>
      <c r="LJ180" s="168"/>
      <c r="LK180" s="168"/>
      <c r="LL180" s="168"/>
      <c r="LM180" s="168"/>
      <c r="LN180" s="168"/>
      <c r="LO180" s="168"/>
      <c r="LP180" s="606"/>
      <c r="LQ180" s="609"/>
      <c r="LR180" s="1319"/>
      <c r="LS180" s="1319"/>
    </row>
    <row r="181" spans="1:331" s="2" customFormat="1" ht="15" customHeight="1" x14ac:dyDescent="0.25">
      <c r="A181" s="283"/>
      <c r="B181" s="303"/>
      <c r="C181" s="301"/>
      <c r="D181" s="1287"/>
      <c r="E181" s="2298"/>
      <c r="F181" s="1812"/>
      <c r="G181" s="3342"/>
      <c r="H181" s="66"/>
      <c r="I181" s="1746"/>
      <c r="J181" s="1214"/>
      <c r="K181" s="105"/>
      <c r="L181" s="91" t="s">
        <v>1503</v>
      </c>
      <c r="M181" s="92"/>
      <c r="N181" s="93" t="s">
        <v>4387</v>
      </c>
      <c r="O181" s="94"/>
      <c r="P181" s="96"/>
      <c r="Q181" s="95"/>
      <c r="R181" s="993">
        <f t="shared" si="325"/>
        <v>526</v>
      </c>
      <c r="S181" s="23">
        <f t="shared" si="326"/>
        <v>17765.030760000001</v>
      </c>
      <c r="T181" s="24">
        <f t="shared" si="327"/>
        <v>0</v>
      </c>
      <c r="U181" s="24">
        <f t="shared" si="328"/>
        <v>0</v>
      </c>
      <c r="V181" s="24">
        <f t="shared" si="329"/>
        <v>0</v>
      </c>
      <c r="W181" s="24">
        <f t="shared" si="330"/>
        <v>0</v>
      </c>
      <c r="X181" s="72">
        <f t="shared" si="386"/>
        <v>0</v>
      </c>
      <c r="Y181" s="72">
        <f t="shared" si="331"/>
        <v>0</v>
      </c>
      <c r="Z181" s="24">
        <f t="shared" si="332"/>
        <v>0</v>
      </c>
      <c r="AA181" s="72">
        <f t="shared" si="387"/>
        <v>0</v>
      </c>
      <c r="AB181" s="24">
        <f t="shared" si="388"/>
        <v>0</v>
      </c>
      <c r="AC181" s="24">
        <f t="shared" si="333"/>
        <v>0</v>
      </c>
      <c r="AD181" s="24">
        <f t="shared" si="389"/>
        <v>0</v>
      </c>
      <c r="AE181" s="2078">
        <f t="shared" si="334"/>
        <v>1</v>
      </c>
      <c r="AF181" s="2078" t="str">
        <f t="shared" si="335"/>
        <v>7</v>
      </c>
      <c r="AG181" s="2078">
        <f t="shared" si="336"/>
        <v>0</v>
      </c>
      <c r="AH181" s="2521">
        <f t="shared" si="390"/>
        <v>1</v>
      </c>
      <c r="AI181" s="25" t="str">
        <f t="shared" si="337"/>
        <v/>
      </c>
      <c r="AJ181" s="2521">
        <f t="shared" si="391"/>
        <v>0</v>
      </c>
      <c r="AK181" s="2076">
        <f t="shared" si="392"/>
        <v>0</v>
      </c>
      <c r="AL181" s="2078">
        <f>IF(ISBLANK(J181),0,ISERROR(MATCH(J181,'5  Control Accounts'!$FA$29:$FA$96,0))*1)</f>
        <v>0</v>
      </c>
      <c r="AM181" s="2076">
        <f t="shared" si="338"/>
        <v>0</v>
      </c>
      <c r="AN181" s="2078">
        <f t="shared" si="339"/>
        <v>1</v>
      </c>
      <c r="AO181" s="2079">
        <f t="shared" si="393"/>
        <v>0</v>
      </c>
      <c r="AP181" s="2079">
        <f t="shared" si="394"/>
        <v>0</v>
      </c>
      <c r="AQ181" s="2079">
        <f t="shared" si="395"/>
        <v>0</v>
      </c>
      <c r="AR181" s="2079">
        <f t="shared" si="396"/>
        <v>0</v>
      </c>
      <c r="AS181" s="2079">
        <f t="shared" si="397"/>
        <v>0</v>
      </c>
      <c r="AT181" s="2079">
        <f t="shared" si="398"/>
        <v>0</v>
      </c>
      <c r="AU181" s="2079">
        <f t="shared" si="399"/>
        <v>0</v>
      </c>
      <c r="AV181" s="2079">
        <f t="shared" si="400"/>
        <v>0</v>
      </c>
      <c r="AW181" s="2079">
        <f t="shared" si="401"/>
        <v>0</v>
      </c>
      <c r="AX181" s="2079">
        <f t="shared" si="402"/>
        <v>0</v>
      </c>
      <c r="AY181" s="2078">
        <f t="shared" si="340"/>
        <v>0</v>
      </c>
      <c r="AZ181" s="2078">
        <f t="shared" si="341"/>
        <v>0</v>
      </c>
      <c r="BA181" s="2078">
        <f t="shared" si="342"/>
        <v>0</v>
      </c>
      <c r="BB181" s="2078">
        <f t="shared" si="343"/>
        <v>0</v>
      </c>
      <c r="BC181" s="2078">
        <f t="shared" si="344"/>
        <v>0</v>
      </c>
      <c r="BD181" s="2078">
        <f t="shared" si="345"/>
        <v>0</v>
      </c>
      <c r="BE181" s="2078">
        <f t="shared" si="346"/>
        <v>0</v>
      </c>
      <c r="BF181" s="2078">
        <f t="shared" si="347"/>
        <v>0</v>
      </c>
      <c r="BG181" s="2078">
        <f t="shared" si="348"/>
        <v>0</v>
      </c>
      <c r="BH181" s="2078">
        <f t="shared" si="349"/>
        <v>0</v>
      </c>
      <c r="BI181" s="2078">
        <f t="shared" si="350"/>
        <v>0</v>
      </c>
      <c r="BJ181" s="2078">
        <f t="shared" si="351"/>
        <v>0</v>
      </c>
      <c r="BK181" s="2078">
        <f t="shared" si="352"/>
        <v>0</v>
      </c>
      <c r="BL181" s="2078">
        <f t="shared" si="353"/>
        <v>0</v>
      </c>
      <c r="BM181" s="2078">
        <f t="shared" si="354"/>
        <v>0</v>
      </c>
      <c r="BN181" s="2078">
        <f t="shared" si="355"/>
        <v>0</v>
      </c>
      <c r="BO181" s="2078">
        <f t="shared" si="356"/>
        <v>0</v>
      </c>
      <c r="BP181" s="2078">
        <f t="shared" si="357"/>
        <v>0</v>
      </c>
      <c r="BQ181" s="2078">
        <f t="shared" si="358"/>
        <v>0</v>
      </c>
      <c r="BR181" s="2078">
        <f t="shared" si="359"/>
        <v>0</v>
      </c>
      <c r="BS181" s="2079">
        <f t="shared" si="403"/>
        <v>0</v>
      </c>
      <c r="BT181" s="2079">
        <f t="shared" si="404"/>
        <v>0</v>
      </c>
      <c r="BU181" s="2079">
        <f t="shared" si="405"/>
        <v>0</v>
      </c>
      <c r="BV181" s="2079">
        <f t="shared" si="406"/>
        <v>0</v>
      </c>
      <c r="BW181" s="2079">
        <f t="shared" si="407"/>
        <v>0</v>
      </c>
      <c r="BX181" s="2079">
        <f t="shared" si="408"/>
        <v>0</v>
      </c>
      <c r="BY181" s="2079">
        <f t="shared" si="409"/>
        <v>0</v>
      </c>
      <c r="BZ181" s="2079">
        <f t="shared" si="410"/>
        <v>0</v>
      </c>
      <c r="CA181" s="2079">
        <f t="shared" si="411"/>
        <v>0</v>
      </c>
      <c r="CB181" s="2079">
        <f t="shared" si="412"/>
        <v>0</v>
      </c>
      <c r="CC181" s="2078">
        <f t="shared" si="360"/>
        <v>0</v>
      </c>
      <c r="CD181" s="2078">
        <f t="shared" si="361"/>
        <v>0</v>
      </c>
      <c r="CE181" s="2078">
        <f t="shared" si="362"/>
        <v>0</v>
      </c>
      <c r="CF181" s="2078">
        <f t="shared" si="363"/>
        <v>0</v>
      </c>
      <c r="CG181" s="2078">
        <f t="shared" si="364"/>
        <v>0</v>
      </c>
      <c r="CH181" s="2078">
        <f t="shared" si="365"/>
        <v>0</v>
      </c>
      <c r="CI181" s="2078">
        <f t="shared" si="366"/>
        <v>0</v>
      </c>
      <c r="CJ181" s="2078">
        <f t="shared" si="367"/>
        <v>0</v>
      </c>
      <c r="CK181" s="2078">
        <f t="shared" si="368"/>
        <v>0</v>
      </c>
      <c r="CL181" s="2078">
        <f t="shared" si="369"/>
        <v>0</v>
      </c>
      <c r="CM181" s="2078">
        <f t="shared" si="413"/>
        <v>1</v>
      </c>
      <c r="CN181" s="2078">
        <f t="shared" si="414"/>
        <v>1</v>
      </c>
      <c r="CO181" s="2078">
        <f t="shared" si="415"/>
        <v>0</v>
      </c>
      <c r="CP181" s="2078">
        <f t="shared" si="370"/>
        <v>0</v>
      </c>
      <c r="CQ181" s="2078">
        <f t="shared" si="416"/>
        <v>0</v>
      </c>
      <c r="CR181" s="2078">
        <f t="shared" si="417"/>
        <v>0</v>
      </c>
      <c r="CS181" s="2078">
        <f t="shared" si="371"/>
        <v>0</v>
      </c>
      <c r="CT181" s="2078">
        <f t="shared" si="418"/>
        <v>0</v>
      </c>
      <c r="CU181" s="2078">
        <f t="shared" si="372"/>
        <v>0</v>
      </c>
      <c r="CV181" s="2078">
        <f t="shared" si="419"/>
        <v>0</v>
      </c>
      <c r="CW181" s="2078">
        <f>IF(OR(AE181&lt;&gt;3,F181="Exclude"),0,IF(ISERROR(MATCH($E181,'4 Sign-off'!$S$123:$X$123,0)),0,1))</f>
        <v>0</v>
      </c>
      <c r="CX181" s="2078">
        <f t="shared" si="373"/>
        <v>0</v>
      </c>
      <c r="CY181" s="2078">
        <f t="shared" si="420"/>
        <v>0</v>
      </c>
      <c r="CZ181" s="2993">
        <f t="shared" ca="1" si="374"/>
        <v>29094.992324999999</v>
      </c>
      <c r="DA181" s="3037">
        <f t="shared" ca="1" si="375"/>
        <v>11329.961565000001</v>
      </c>
      <c r="DB181" s="1664"/>
      <c r="DC181" s="1320"/>
      <c r="DD181" s="589"/>
      <c r="DE181" s="1321"/>
      <c r="DF181" s="107"/>
      <c r="DG181" s="112"/>
      <c r="DH181" s="140"/>
      <c r="DI181" s="22"/>
      <c r="DJ181" s="145"/>
      <c r="DK181" s="137"/>
      <c r="DL181" s="137"/>
      <c r="DM181" s="137"/>
      <c r="DN181" s="137"/>
      <c r="DO181" s="137"/>
      <c r="DP181" s="137"/>
      <c r="DQ181" s="137"/>
      <c r="DR181" s="137"/>
      <c r="DS181" s="137"/>
      <c r="DT181" s="137"/>
      <c r="DU181" s="137"/>
      <c r="DV181" s="137"/>
      <c r="DW181" s="137"/>
      <c r="DX181" s="137"/>
      <c r="DY181" s="137"/>
      <c r="DZ181" s="137"/>
      <c r="EA181" s="137"/>
      <c r="EB181" s="137"/>
      <c r="EC181" s="137"/>
      <c r="ED181" s="137"/>
      <c r="EE181" s="137"/>
      <c r="EF181" s="137"/>
      <c r="EG181" s="137"/>
      <c r="EH181" s="137"/>
      <c r="EI181" s="137"/>
      <c r="EJ181" s="137"/>
      <c r="EK181" s="137"/>
      <c r="EL181" s="137"/>
      <c r="EM181" s="137"/>
      <c r="EN181" s="137"/>
      <c r="EO181" s="137"/>
      <c r="EP181" s="137"/>
      <c r="EQ181" s="137"/>
      <c r="ER181" s="137"/>
      <c r="ES181" s="137"/>
      <c r="ET181" s="137"/>
      <c r="EU181" s="137"/>
      <c r="EV181" s="137"/>
      <c r="EW181" s="137"/>
      <c r="EX181" s="137"/>
      <c r="EY181" s="137"/>
      <c r="EZ181" s="137"/>
      <c r="FA181" s="137"/>
      <c r="FB181" s="137"/>
      <c r="FC181" s="137"/>
      <c r="FD181" s="137"/>
      <c r="FE181" s="137"/>
      <c r="FF181" s="137"/>
      <c r="FG181" s="860"/>
      <c r="FH181" s="1288"/>
      <c r="FI181" s="1318"/>
      <c r="FJ181" s="126"/>
      <c r="FK181" s="127"/>
      <c r="FL181" s="128" t="str">
        <f t="shared" si="376"/>
        <v xml:space="preserve">Milestone 7    </v>
      </c>
      <c r="FM181" s="128"/>
      <c r="FN181" s="1686">
        <f t="shared" si="377"/>
        <v>0</v>
      </c>
      <c r="FO181" s="46">
        <f t="shared" si="421"/>
        <v>0</v>
      </c>
      <c r="FP181" s="46">
        <f t="shared" si="422"/>
        <v>1</v>
      </c>
      <c r="FQ181" s="75">
        <f t="shared" si="378"/>
        <v>0</v>
      </c>
      <c r="FR181" s="46">
        <f t="shared" si="379"/>
        <v>0</v>
      </c>
      <c r="FS181" s="46">
        <f t="shared" si="380"/>
        <v>1</v>
      </c>
      <c r="FT181" s="75">
        <f t="shared" si="381"/>
        <v>0</v>
      </c>
      <c r="FU181" s="2603">
        <f t="shared" si="423"/>
        <v>0</v>
      </c>
      <c r="FV181" s="2607">
        <f t="shared" si="424"/>
        <v>0</v>
      </c>
      <c r="FW181" s="2603">
        <f t="shared" si="425"/>
        <v>0</v>
      </c>
      <c r="FX181" s="2631">
        <f t="shared" si="426"/>
        <v>0</v>
      </c>
      <c r="FY181" s="81" t="e">
        <f t="shared" si="382"/>
        <v>#N/A</v>
      </c>
      <c r="FZ181" s="64" t="e">
        <f t="array" ref="FZ181">MATCH(1,($GT181:$LQ181&gt;0)*$GT$25:$LQ$25,0)</f>
        <v>#N/A</v>
      </c>
      <c r="GA181" s="64" t="e">
        <f t="array" ref="GA181">MATCH(2,1/(GT181:LQ181&gt;0))</f>
        <v>#N/A</v>
      </c>
      <c r="GB181" s="64">
        <f t="shared" si="383"/>
        <v>-1</v>
      </c>
      <c r="GC181" s="46"/>
      <c r="GD181" s="613"/>
      <c r="GE181" s="613"/>
      <c r="GF181" s="613"/>
      <c r="GG181" s="613"/>
      <c r="GH181" s="613"/>
      <c r="GI181" s="613"/>
      <c r="GJ181" s="613"/>
      <c r="GK181" s="613"/>
      <c r="GL181" s="613"/>
      <c r="GM181" s="613"/>
      <c r="GN181" s="385">
        <f t="shared" si="384"/>
        <v>0</v>
      </c>
      <c r="GO181" s="386">
        <f t="shared" si="385"/>
        <v>0</v>
      </c>
      <c r="GP181" s="2635"/>
      <c r="GQ181" s="175"/>
      <c r="GR181" s="172"/>
      <c r="GS181" s="65"/>
      <c r="GT181" s="167"/>
      <c r="GU181" s="168"/>
      <c r="GV181" s="168"/>
      <c r="GW181" s="168"/>
      <c r="GX181" s="168"/>
      <c r="GY181" s="168"/>
      <c r="GZ181" s="168"/>
      <c r="HA181" s="168"/>
      <c r="HB181" s="168"/>
      <c r="HC181" s="168"/>
      <c r="HD181" s="168"/>
      <c r="HE181" s="168"/>
      <c r="HF181" s="168"/>
      <c r="HG181" s="168"/>
      <c r="HH181" s="168"/>
      <c r="HI181" s="168"/>
      <c r="HJ181" s="168"/>
      <c r="HK181" s="168"/>
      <c r="HL181" s="168"/>
      <c r="HM181" s="168"/>
      <c r="HN181" s="168"/>
      <c r="HO181" s="168"/>
      <c r="HP181" s="168"/>
      <c r="HQ181" s="168"/>
      <c r="HR181" s="168"/>
      <c r="HS181" s="168"/>
      <c r="HT181" s="168"/>
      <c r="HU181" s="168"/>
      <c r="HV181" s="168"/>
      <c r="HW181" s="168"/>
      <c r="HX181" s="168"/>
      <c r="HY181" s="168"/>
      <c r="HZ181" s="168"/>
      <c r="IA181" s="168"/>
      <c r="IB181" s="168"/>
      <c r="IC181" s="168"/>
      <c r="ID181" s="168"/>
      <c r="IE181" s="168"/>
      <c r="IF181" s="168"/>
      <c r="IG181" s="168"/>
      <c r="IH181" s="168"/>
      <c r="II181" s="168"/>
      <c r="IJ181" s="168"/>
      <c r="IK181" s="168"/>
      <c r="IL181" s="168"/>
      <c r="IM181" s="168"/>
      <c r="IN181" s="168"/>
      <c r="IO181" s="168"/>
      <c r="IP181" s="168"/>
      <c r="IQ181" s="168"/>
      <c r="IR181" s="168"/>
      <c r="IS181" s="168"/>
      <c r="IT181" s="168"/>
      <c r="IU181" s="168"/>
      <c r="IV181" s="168"/>
      <c r="IW181" s="168"/>
      <c r="IX181" s="168"/>
      <c r="IY181" s="168"/>
      <c r="IZ181" s="168"/>
      <c r="JA181" s="168"/>
      <c r="JB181" s="168"/>
      <c r="JC181" s="168"/>
      <c r="JD181" s="168"/>
      <c r="JE181" s="168"/>
      <c r="JF181" s="168"/>
      <c r="JG181" s="168"/>
      <c r="JH181" s="168"/>
      <c r="JI181" s="168"/>
      <c r="JJ181" s="168"/>
      <c r="JK181" s="168"/>
      <c r="JL181" s="168"/>
      <c r="JM181" s="168"/>
      <c r="JN181" s="168"/>
      <c r="JO181" s="168"/>
      <c r="JP181" s="168"/>
      <c r="JQ181" s="168"/>
      <c r="JR181" s="168"/>
      <c r="JS181" s="168"/>
      <c r="JT181" s="168"/>
      <c r="JU181" s="168"/>
      <c r="JV181" s="168"/>
      <c r="JW181" s="168"/>
      <c r="JX181" s="168"/>
      <c r="JY181" s="168"/>
      <c r="JZ181" s="168"/>
      <c r="KA181" s="168"/>
      <c r="KB181" s="168"/>
      <c r="KC181" s="168"/>
      <c r="KD181" s="168"/>
      <c r="KE181" s="168"/>
      <c r="KF181" s="168"/>
      <c r="KG181" s="168"/>
      <c r="KH181" s="168"/>
      <c r="KI181" s="168"/>
      <c r="KJ181" s="168"/>
      <c r="KK181" s="168"/>
      <c r="KL181" s="168"/>
      <c r="KM181" s="168"/>
      <c r="KN181" s="168"/>
      <c r="KO181" s="168"/>
      <c r="KP181" s="168"/>
      <c r="KQ181" s="168"/>
      <c r="KR181" s="168"/>
      <c r="KS181" s="168"/>
      <c r="KT181" s="168"/>
      <c r="KU181" s="168"/>
      <c r="KV181" s="168"/>
      <c r="KW181" s="168"/>
      <c r="KX181" s="168"/>
      <c r="KY181" s="168"/>
      <c r="KZ181" s="168"/>
      <c r="LA181" s="168"/>
      <c r="LB181" s="168"/>
      <c r="LC181" s="168"/>
      <c r="LD181" s="168"/>
      <c r="LE181" s="168"/>
      <c r="LF181" s="168"/>
      <c r="LG181" s="168"/>
      <c r="LH181" s="168"/>
      <c r="LI181" s="168"/>
      <c r="LJ181" s="168"/>
      <c r="LK181" s="168"/>
      <c r="LL181" s="168"/>
      <c r="LM181" s="168"/>
      <c r="LN181" s="168"/>
      <c r="LO181" s="168"/>
      <c r="LP181" s="606"/>
      <c r="LQ181" s="609"/>
      <c r="LR181" s="1319"/>
      <c r="LS181" s="1319"/>
    </row>
    <row r="182" spans="1:331" s="2" customFormat="1" ht="15" customHeight="1" x14ac:dyDescent="0.25">
      <c r="A182" s="283"/>
      <c r="B182" s="303"/>
      <c r="C182" s="301"/>
      <c r="D182" s="1287"/>
      <c r="E182" s="2298">
        <v>99</v>
      </c>
      <c r="F182" s="1812"/>
      <c r="G182" s="3342"/>
      <c r="H182" s="66"/>
      <c r="I182" s="4174" t="s">
        <v>4413</v>
      </c>
      <c r="J182" s="1214"/>
      <c r="K182" s="105"/>
      <c r="L182" s="91" t="s">
        <v>1503</v>
      </c>
      <c r="M182" s="92" t="s">
        <v>4388</v>
      </c>
      <c r="N182" s="93"/>
      <c r="O182" s="94" t="s">
        <v>4389</v>
      </c>
      <c r="P182" s="96"/>
      <c r="Q182" s="95"/>
      <c r="R182" s="993">
        <f t="shared" si="325"/>
        <v>480</v>
      </c>
      <c r="S182" s="23">
        <f t="shared" si="326"/>
        <v>12628.032000000001</v>
      </c>
      <c r="T182" s="24">
        <f t="shared" si="327"/>
        <v>480</v>
      </c>
      <c r="U182" s="24">
        <f t="shared" si="328"/>
        <v>0</v>
      </c>
      <c r="V182" s="24">
        <f t="shared" si="329"/>
        <v>830.4</v>
      </c>
      <c r="W182" s="24">
        <f t="shared" ca="1" si="330"/>
        <v>0</v>
      </c>
      <c r="X182" s="72">
        <f t="shared" ca="1" si="386"/>
        <v>22676.004000000001</v>
      </c>
      <c r="Y182" s="72">
        <f t="shared" si="331"/>
        <v>11797.632000000001</v>
      </c>
      <c r="Z182" s="24">
        <f t="shared" si="332"/>
        <v>7761.6</v>
      </c>
      <c r="AA182" s="72">
        <f t="shared" si="387"/>
        <v>0</v>
      </c>
      <c r="AB182" s="24">
        <f t="shared" si="388"/>
        <v>0</v>
      </c>
      <c r="AC182" s="24">
        <f t="shared" ca="1" si="333"/>
        <v>22676.004000000001</v>
      </c>
      <c r="AD182" s="24">
        <f t="shared" si="389"/>
        <v>11797.632000000001</v>
      </c>
      <c r="AE182" s="2078">
        <f t="shared" si="334"/>
        <v>3</v>
      </c>
      <c r="AF182" s="2078" t="str">
        <f t="shared" si="335"/>
        <v>7</v>
      </c>
      <c r="AG182" s="2078" t="str">
        <f t="shared" si="336"/>
        <v>7.1</v>
      </c>
      <c r="AH182" s="2521">
        <f t="shared" si="390"/>
        <v>1</v>
      </c>
      <c r="AI182" s="25" t="str">
        <f t="shared" si="337"/>
        <v/>
      </c>
      <c r="AJ182" s="2521" t="str">
        <f t="shared" ca="1" si="391"/>
        <v>L</v>
      </c>
      <c r="AK182" s="2076">
        <f t="shared" ca="1" si="392"/>
        <v>0</v>
      </c>
      <c r="AL182" s="2078">
        <f>IF(ISBLANK(J182),0,ISERROR(MATCH(J182,'5  Control Accounts'!$FA$29:$FA$96,0))*1)</f>
        <v>0</v>
      </c>
      <c r="AM182" s="2076">
        <f t="shared" si="338"/>
        <v>0</v>
      </c>
      <c r="AN182" s="2078">
        <f t="shared" si="339"/>
        <v>1</v>
      </c>
      <c r="AO182" s="2079">
        <f t="shared" si="393"/>
        <v>1</v>
      </c>
      <c r="AP182" s="2079">
        <f t="shared" si="394"/>
        <v>0</v>
      </c>
      <c r="AQ182" s="2079">
        <f t="shared" si="395"/>
        <v>0</v>
      </c>
      <c r="AR182" s="2079">
        <f t="shared" si="396"/>
        <v>0</v>
      </c>
      <c r="AS182" s="2079">
        <f t="shared" si="397"/>
        <v>0</v>
      </c>
      <c r="AT182" s="2079">
        <f t="shared" si="398"/>
        <v>0</v>
      </c>
      <c r="AU182" s="2079">
        <f t="shared" si="399"/>
        <v>0</v>
      </c>
      <c r="AV182" s="2079">
        <f t="shared" si="400"/>
        <v>0</v>
      </c>
      <c r="AW182" s="2079">
        <f t="shared" si="401"/>
        <v>0</v>
      </c>
      <c r="AX182" s="2079">
        <f t="shared" si="402"/>
        <v>0</v>
      </c>
      <c r="AY182" s="2078">
        <f t="shared" si="340"/>
        <v>7761.6</v>
      </c>
      <c r="AZ182" s="2078">
        <f t="shared" si="341"/>
        <v>7761.6</v>
      </c>
      <c r="BA182" s="2078">
        <f t="shared" si="342"/>
        <v>7761.6</v>
      </c>
      <c r="BB182" s="2078">
        <f t="shared" si="343"/>
        <v>7761.6</v>
      </c>
      <c r="BC182" s="2078">
        <f t="shared" si="344"/>
        <v>7761.6</v>
      </c>
      <c r="BD182" s="2078">
        <f t="shared" si="345"/>
        <v>7761.6</v>
      </c>
      <c r="BE182" s="2078">
        <f t="shared" si="346"/>
        <v>7761.6</v>
      </c>
      <c r="BF182" s="2078">
        <f t="shared" si="347"/>
        <v>7761.6</v>
      </c>
      <c r="BG182" s="2078">
        <f t="shared" si="348"/>
        <v>7761.6</v>
      </c>
      <c r="BH182" s="2078">
        <f t="shared" si="349"/>
        <v>7761.6</v>
      </c>
      <c r="BI182" s="2078">
        <f t="shared" si="350"/>
        <v>11797.632000000001</v>
      </c>
      <c r="BJ182" s="2078">
        <f t="shared" si="351"/>
        <v>11797.632000000001</v>
      </c>
      <c r="BK182" s="2078">
        <f t="shared" si="352"/>
        <v>11797.632000000001</v>
      </c>
      <c r="BL182" s="2078">
        <f t="shared" si="353"/>
        <v>11797.632000000001</v>
      </c>
      <c r="BM182" s="2078">
        <f t="shared" si="354"/>
        <v>11797.632000000001</v>
      </c>
      <c r="BN182" s="2078">
        <f t="shared" si="355"/>
        <v>11797.632000000001</v>
      </c>
      <c r="BO182" s="2078">
        <f t="shared" si="356"/>
        <v>11797.632000000001</v>
      </c>
      <c r="BP182" s="2078">
        <f t="shared" si="357"/>
        <v>11797.632000000001</v>
      </c>
      <c r="BQ182" s="2078">
        <f t="shared" si="358"/>
        <v>11797.632000000001</v>
      </c>
      <c r="BR182" s="2078">
        <f t="shared" si="359"/>
        <v>11797.632000000001</v>
      </c>
      <c r="BS182" s="2079">
        <f t="shared" si="403"/>
        <v>1</v>
      </c>
      <c r="BT182" s="2079">
        <f t="shared" si="404"/>
        <v>0</v>
      </c>
      <c r="BU182" s="2079">
        <f t="shared" si="405"/>
        <v>0</v>
      </c>
      <c r="BV182" s="2079">
        <f t="shared" si="406"/>
        <v>0</v>
      </c>
      <c r="BW182" s="2079">
        <f t="shared" si="407"/>
        <v>0</v>
      </c>
      <c r="BX182" s="2079">
        <f t="shared" si="408"/>
        <v>0</v>
      </c>
      <c r="BY182" s="2079">
        <f t="shared" si="409"/>
        <v>0</v>
      </c>
      <c r="BZ182" s="2079">
        <f t="shared" si="410"/>
        <v>0</v>
      </c>
      <c r="CA182" s="2079">
        <f t="shared" si="411"/>
        <v>0</v>
      </c>
      <c r="CB182" s="2079">
        <f t="shared" si="412"/>
        <v>0</v>
      </c>
      <c r="CC182" s="2078">
        <f t="shared" ca="1" si="360"/>
        <v>22676.004000000001</v>
      </c>
      <c r="CD182" s="2078">
        <f t="shared" ca="1" si="361"/>
        <v>22676.004000000001</v>
      </c>
      <c r="CE182" s="2078">
        <f t="shared" ca="1" si="362"/>
        <v>22676.004000000001</v>
      </c>
      <c r="CF182" s="2078">
        <f t="shared" ca="1" si="363"/>
        <v>22676.004000000001</v>
      </c>
      <c r="CG182" s="2078">
        <f t="shared" ca="1" si="364"/>
        <v>22676.004000000001</v>
      </c>
      <c r="CH182" s="2078">
        <f t="shared" ca="1" si="365"/>
        <v>22676.004000000001</v>
      </c>
      <c r="CI182" s="2078">
        <f t="shared" ca="1" si="366"/>
        <v>22676.004000000001</v>
      </c>
      <c r="CJ182" s="2078">
        <f t="shared" ca="1" si="367"/>
        <v>22676.004000000001</v>
      </c>
      <c r="CK182" s="2078">
        <f t="shared" ca="1" si="368"/>
        <v>22676.004000000001</v>
      </c>
      <c r="CL182" s="2078">
        <f t="shared" ca="1" si="369"/>
        <v>22676.004000000001</v>
      </c>
      <c r="CM182" s="2078">
        <f t="shared" si="413"/>
        <v>1</v>
      </c>
      <c r="CN182" s="2078">
        <f t="shared" si="414"/>
        <v>1</v>
      </c>
      <c r="CO182" s="2078">
        <f t="shared" si="415"/>
        <v>1</v>
      </c>
      <c r="CP182" s="2078">
        <f t="shared" si="370"/>
        <v>1</v>
      </c>
      <c r="CQ182" s="2078">
        <f t="shared" si="416"/>
        <v>0</v>
      </c>
      <c r="CR182" s="2078">
        <f t="shared" si="417"/>
        <v>0</v>
      </c>
      <c r="CS182" s="2078">
        <f t="shared" si="371"/>
        <v>0</v>
      </c>
      <c r="CT182" s="2078">
        <f t="shared" si="418"/>
        <v>1</v>
      </c>
      <c r="CU182" s="2078">
        <f t="shared" si="372"/>
        <v>1</v>
      </c>
      <c r="CV182" s="2078">
        <f t="shared" si="419"/>
        <v>0</v>
      </c>
      <c r="CW182" s="2078">
        <f>IF(OR(AE182&lt;&gt;3,F182="Exclude"),0,IF(ISERROR(MATCH($E182,'4 Sign-off'!$S$123:$X$123,0)),0,1))</f>
        <v>1</v>
      </c>
      <c r="CX182" s="2078">
        <f t="shared" si="373"/>
        <v>1</v>
      </c>
      <c r="CY182" s="2078">
        <f t="shared" si="420"/>
        <v>1</v>
      </c>
      <c r="CZ182" s="2993">
        <f t="shared" ca="1" si="374"/>
        <v>22676.004000000001</v>
      </c>
      <c r="DA182" s="3037">
        <f t="shared" ca="1" si="375"/>
        <v>10047.972</v>
      </c>
      <c r="DB182" s="1664"/>
      <c r="DC182" s="1320"/>
      <c r="DD182" s="589"/>
      <c r="DE182" s="1321"/>
      <c r="DF182" s="107"/>
      <c r="DG182" s="112"/>
      <c r="DH182" s="140"/>
      <c r="DI182" s="22"/>
      <c r="DJ182" s="145"/>
      <c r="DK182" s="137"/>
      <c r="DL182" s="137"/>
      <c r="DM182" s="137"/>
      <c r="DN182" s="137"/>
      <c r="DO182" s="137"/>
      <c r="DP182" s="137"/>
      <c r="DQ182" s="137"/>
      <c r="DR182" s="137"/>
      <c r="DS182" s="137">
        <v>480</v>
      </c>
      <c r="DT182" s="137"/>
      <c r="DU182" s="137"/>
      <c r="DV182" s="137"/>
      <c r="DW182" s="137"/>
      <c r="DX182" s="137"/>
      <c r="DY182" s="137"/>
      <c r="DZ182" s="137"/>
      <c r="EA182" s="137"/>
      <c r="EB182" s="137"/>
      <c r="EC182" s="137"/>
      <c r="ED182" s="137"/>
      <c r="EE182" s="137"/>
      <c r="EF182" s="137"/>
      <c r="EG182" s="137"/>
      <c r="EH182" s="137"/>
      <c r="EI182" s="137"/>
      <c r="EJ182" s="137"/>
      <c r="EK182" s="137"/>
      <c r="EL182" s="137"/>
      <c r="EM182" s="137"/>
      <c r="EN182" s="137"/>
      <c r="EO182" s="137"/>
      <c r="EP182" s="137"/>
      <c r="EQ182" s="137"/>
      <c r="ER182" s="137"/>
      <c r="ES182" s="137"/>
      <c r="ET182" s="137"/>
      <c r="EU182" s="137"/>
      <c r="EV182" s="137"/>
      <c r="EW182" s="137"/>
      <c r="EX182" s="137"/>
      <c r="EY182" s="137"/>
      <c r="EZ182" s="137"/>
      <c r="FA182" s="137"/>
      <c r="FB182" s="137"/>
      <c r="FC182" s="137"/>
      <c r="FD182" s="137"/>
      <c r="FE182" s="137"/>
      <c r="FF182" s="137"/>
      <c r="FG182" s="860"/>
      <c r="FH182" s="1288"/>
      <c r="FI182" s="1318"/>
      <c r="FJ182" s="126"/>
      <c r="FK182" s="127"/>
      <c r="FL182" s="128" t="str">
        <f t="shared" si="376"/>
        <v xml:space="preserve">WNEP Assistant Programme Manager, 5 days per week, 6th January - 27th March (12 weeks)    </v>
      </c>
      <c r="FM182" s="128"/>
      <c r="FN182" s="1686">
        <f t="shared" si="377"/>
        <v>480</v>
      </c>
      <c r="FO182" s="46">
        <f t="shared" si="421"/>
        <v>0</v>
      </c>
      <c r="FP182" s="46">
        <f t="shared" si="422"/>
        <v>8.3333333333333329E-2</v>
      </c>
      <c r="FQ182" s="75">
        <f t="shared" si="378"/>
        <v>12</v>
      </c>
      <c r="FR182" s="46">
        <f t="shared" si="379"/>
        <v>12</v>
      </c>
      <c r="FS182" s="46">
        <f t="shared" si="380"/>
        <v>8.3333333333333329E-2</v>
      </c>
      <c r="FT182" s="75">
        <f t="shared" si="381"/>
        <v>0</v>
      </c>
      <c r="FU182" s="2603">
        <f t="shared" si="423"/>
        <v>11797.632000000001</v>
      </c>
      <c r="FV182" s="2607">
        <f t="shared" si="424"/>
        <v>0</v>
      </c>
      <c r="FW182" s="2603">
        <f t="shared" si="425"/>
        <v>0</v>
      </c>
      <c r="FX182" s="2631">
        <f t="shared" si="426"/>
        <v>1</v>
      </c>
      <c r="FY182" s="81">
        <f t="shared" si="382"/>
        <v>12</v>
      </c>
      <c r="FZ182" s="64">
        <f t="array" ref="FZ182">MATCH(1,($GT182:$LQ182&gt;0)*$GT$25:$LQ$25,0)</f>
        <v>1</v>
      </c>
      <c r="GA182" s="64">
        <f t="array" ref="GA182">MATCH(2,1/(GT182:LQ182&gt;0))</f>
        <v>12</v>
      </c>
      <c r="GB182" s="64">
        <f t="shared" si="383"/>
        <v>0</v>
      </c>
      <c r="GC182" s="46"/>
      <c r="GD182" s="613"/>
      <c r="GE182" s="613"/>
      <c r="GF182" s="613"/>
      <c r="GG182" s="613"/>
      <c r="GH182" s="613"/>
      <c r="GI182" s="613"/>
      <c r="GJ182" s="613"/>
      <c r="GK182" s="613"/>
      <c r="GL182" s="613"/>
      <c r="GM182" s="613"/>
      <c r="GN182" s="385">
        <f t="shared" si="384"/>
        <v>43836</v>
      </c>
      <c r="GO182" s="386">
        <f t="shared" si="385"/>
        <v>43917</v>
      </c>
      <c r="GP182" s="2635"/>
      <c r="GQ182" s="175"/>
      <c r="GR182" s="172"/>
      <c r="GS182" s="65"/>
      <c r="GT182" s="167">
        <v>1</v>
      </c>
      <c r="GU182" s="167">
        <v>1</v>
      </c>
      <c r="GV182" s="167">
        <v>1</v>
      </c>
      <c r="GW182" s="167">
        <v>1</v>
      </c>
      <c r="GX182" s="167">
        <v>1</v>
      </c>
      <c r="GY182" s="167">
        <v>1</v>
      </c>
      <c r="GZ182" s="167">
        <v>1</v>
      </c>
      <c r="HA182" s="167">
        <v>1</v>
      </c>
      <c r="HB182" s="167">
        <v>1</v>
      </c>
      <c r="HC182" s="167">
        <v>1</v>
      </c>
      <c r="HD182" s="167">
        <v>1</v>
      </c>
      <c r="HE182" s="167">
        <v>1</v>
      </c>
      <c r="HF182" s="168"/>
      <c r="HG182" s="168"/>
      <c r="HH182" s="168"/>
      <c r="HI182" s="168"/>
      <c r="HJ182" s="168"/>
      <c r="HK182" s="168"/>
      <c r="HL182" s="168"/>
      <c r="HM182" s="168"/>
      <c r="HN182" s="168"/>
      <c r="HO182" s="168"/>
      <c r="HP182" s="168"/>
      <c r="HQ182" s="168"/>
      <c r="HR182" s="168"/>
      <c r="HS182" s="168"/>
      <c r="HT182" s="168"/>
      <c r="HU182" s="168"/>
      <c r="HV182" s="168"/>
      <c r="HW182" s="168"/>
      <c r="HX182" s="168"/>
      <c r="HY182" s="168"/>
      <c r="HZ182" s="168"/>
      <c r="IA182" s="168"/>
      <c r="IB182" s="168"/>
      <c r="IC182" s="168"/>
      <c r="ID182" s="168"/>
      <c r="IE182" s="168"/>
      <c r="IF182" s="168"/>
      <c r="IG182" s="168"/>
      <c r="IH182" s="168"/>
      <c r="II182" s="168"/>
      <c r="IJ182" s="168"/>
      <c r="IK182" s="168"/>
      <c r="IL182" s="168"/>
      <c r="IM182" s="168"/>
      <c r="IN182" s="168"/>
      <c r="IO182" s="168"/>
      <c r="IP182" s="168"/>
      <c r="IQ182" s="168"/>
      <c r="IR182" s="168"/>
      <c r="IS182" s="168"/>
      <c r="IT182" s="168"/>
      <c r="IU182" s="168"/>
      <c r="IV182" s="168"/>
      <c r="IW182" s="168"/>
      <c r="IX182" s="168"/>
      <c r="IY182" s="168"/>
      <c r="IZ182" s="168"/>
      <c r="JA182" s="168"/>
      <c r="JB182" s="168"/>
      <c r="JC182" s="168"/>
      <c r="JD182" s="168"/>
      <c r="JE182" s="168"/>
      <c r="JF182" s="168"/>
      <c r="JG182" s="168"/>
      <c r="JH182" s="168"/>
      <c r="JI182" s="168"/>
      <c r="JJ182" s="168"/>
      <c r="JK182" s="168"/>
      <c r="JL182" s="168"/>
      <c r="JM182" s="168"/>
      <c r="JN182" s="168"/>
      <c r="JO182" s="168"/>
      <c r="JP182" s="168"/>
      <c r="JQ182" s="168"/>
      <c r="JR182" s="168"/>
      <c r="JS182" s="168"/>
      <c r="JT182" s="168"/>
      <c r="JU182" s="168"/>
      <c r="JV182" s="168"/>
      <c r="JW182" s="168"/>
      <c r="JX182" s="168"/>
      <c r="JY182" s="168"/>
      <c r="JZ182" s="168"/>
      <c r="KA182" s="168"/>
      <c r="KB182" s="168"/>
      <c r="KC182" s="168"/>
      <c r="KD182" s="168"/>
      <c r="KE182" s="168"/>
      <c r="KF182" s="168"/>
      <c r="KG182" s="168"/>
      <c r="KH182" s="168"/>
      <c r="KI182" s="168"/>
      <c r="KJ182" s="168"/>
      <c r="KK182" s="168"/>
      <c r="KL182" s="168"/>
      <c r="KM182" s="168"/>
      <c r="KN182" s="168"/>
      <c r="KO182" s="168"/>
      <c r="KP182" s="168"/>
      <c r="KQ182" s="168"/>
      <c r="KR182" s="168"/>
      <c r="KS182" s="168"/>
      <c r="KT182" s="168"/>
      <c r="KU182" s="168"/>
      <c r="KV182" s="168"/>
      <c r="KW182" s="168"/>
      <c r="KX182" s="168"/>
      <c r="KY182" s="168"/>
      <c r="KZ182" s="168"/>
      <c r="LA182" s="168"/>
      <c r="LB182" s="168"/>
      <c r="LC182" s="168"/>
      <c r="LD182" s="168"/>
      <c r="LE182" s="168"/>
      <c r="LF182" s="168"/>
      <c r="LG182" s="168"/>
      <c r="LH182" s="168"/>
      <c r="LI182" s="168"/>
      <c r="LJ182" s="168"/>
      <c r="LK182" s="168"/>
      <c r="LL182" s="168"/>
      <c r="LM182" s="168"/>
      <c r="LN182" s="168"/>
      <c r="LO182" s="168"/>
      <c r="LP182" s="606"/>
      <c r="LQ182" s="609"/>
      <c r="LR182" s="1319"/>
      <c r="LS182" s="1319"/>
    </row>
    <row r="183" spans="1:331" s="2" customFormat="1" ht="15" customHeight="1" x14ac:dyDescent="0.25">
      <c r="A183" s="283"/>
      <c r="B183" s="303"/>
      <c r="C183" s="301"/>
      <c r="D183" s="1287"/>
      <c r="E183" s="2298">
        <v>99</v>
      </c>
      <c r="F183" s="1812"/>
      <c r="G183" s="3342"/>
      <c r="H183" s="66"/>
      <c r="I183" s="4174" t="s">
        <v>4400</v>
      </c>
      <c r="J183" s="1214"/>
      <c r="K183" s="105"/>
      <c r="L183" s="91" t="s">
        <v>1503</v>
      </c>
      <c r="M183" s="92" t="s">
        <v>4390</v>
      </c>
      <c r="N183" s="93"/>
      <c r="O183" s="94" t="s">
        <v>4391</v>
      </c>
      <c r="P183" s="96"/>
      <c r="Q183" s="95"/>
      <c r="R183" s="993">
        <f t="shared" si="325"/>
        <v>0</v>
      </c>
      <c r="S183" s="23">
        <f t="shared" si="326"/>
        <v>3480</v>
      </c>
      <c r="T183" s="24">
        <f t="shared" si="327"/>
        <v>0</v>
      </c>
      <c r="U183" s="24">
        <f t="shared" si="328"/>
        <v>0</v>
      </c>
      <c r="V183" s="24">
        <f t="shared" si="329"/>
        <v>0</v>
      </c>
      <c r="W183" s="24">
        <f t="shared" ca="1" si="330"/>
        <v>0</v>
      </c>
      <c r="X183" s="72">
        <f t="shared" ca="1" si="386"/>
        <v>0</v>
      </c>
      <c r="Y183" s="72">
        <f t="shared" si="331"/>
        <v>0</v>
      </c>
      <c r="Z183" s="24">
        <f t="shared" si="332"/>
        <v>0</v>
      </c>
      <c r="AA183" s="72">
        <f t="shared" si="387"/>
        <v>3480</v>
      </c>
      <c r="AB183" s="24">
        <f t="shared" si="388"/>
        <v>3480</v>
      </c>
      <c r="AC183" s="24">
        <f t="shared" ca="1" si="333"/>
        <v>0</v>
      </c>
      <c r="AD183" s="24">
        <f t="shared" si="389"/>
        <v>0</v>
      </c>
      <c r="AE183" s="2078">
        <f t="shared" si="334"/>
        <v>3</v>
      </c>
      <c r="AF183" s="2078" t="str">
        <f t="shared" si="335"/>
        <v>7</v>
      </c>
      <c r="AG183" s="2078" t="str">
        <f t="shared" si="336"/>
        <v>7.2</v>
      </c>
      <c r="AH183" s="2521">
        <f t="shared" si="390"/>
        <v>1</v>
      </c>
      <c r="AI183" s="25" t="str">
        <f t="shared" si="337"/>
        <v/>
      </c>
      <c r="AJ183" s="2521" t="str">
        <f t="shared" ca="1" si="391"/>
        <v>N</v>
      </c>
      <c r="AK183" s="2076">
        <f t="shared" ca="1" si="392"/>
        <v>0</v>
      </c>
      <c r="AL183" s="2078">
        <f>IF(ISBLANK(J183),0,ISERROR(MATCH(J183,'5  Control Accounts'!$FA$29:$FA$96,0))*1)</f>
        <v>0</v>
      </c>
      <c r="AM183" s="2076">
        <f t="shared" si="338"/>
        <v>0</v>
      </c>
      <c r="AN183" s="2078">
        <f t="shared" si="339"/>
        <v>0</v>
      </c>
      <c r="AO183" s="2079">
        <f t="shared" si="393"/>
        <v>1</v>
      </c>
      <c r="AP183" s="2079">
        <f t="shared" si="394"/>
        <v>0</v>
      </c>
      <c r="AQ183" s="2079">
        <f t="shared" si="395"/>
        <v>0</v>
      </c>
      <c r="AR183" s="2079">
        <f t="shared" si="396"/>
        <v>0</v>
      </c>
      <c r="AS183" s="2079">
        <f t="shared" si="397"/>
        <v>0</v>
      </c>
      <c r="AT183" s="2079">
        <f t="shared" si="398"/>
        <v>0</v>
      </c>
      <c r="AU183" s="2079">
        <f t="shared" si="399"/>
        <v>0</v>
      </c>
      <c r="AV183" s="2079">
        <f t="shared" si="400"/>
        <v>0</v>
      </c>
      <c r="AW183" s="2079">
        <f t="shared" si="401"/>
        <v>0</v>
      </c>
      <c r="AX183" s="2079">
        <f t="shared" si="402"/>
        <v>0</v>
      </c>
      <c r="AY183" s="2078">
        <f t="shared" si="340"/>
        <v>0</v>
      </c>
      <c r="AZ183" s="2078">
        <f t="shared" si="341"/>
        <v>0</v>
      </c>
      <c r="BA183" s="2078">
        <f t="shared" si="342"/>
        <v>0</v>
      </c>
      <c r="BB183" s="2078">
        <f t="shared" si="343"/>
        <v>0</v>
      </c>
      <c r="BC183" s="2078">
        <f t="shared" si="344"/>
        <v>0</v>
      </c>
      <c r="BD183" s="2078">
        <f t="shared" si="345"/>
        <v>0</v>
      </c>
      <c r="BE183" s="2078">
        <f t="shared" si="346"/>
        <v>0</v>
      </c>
      <c r="BF183" s="2078">
        <f t="shared" si="347"/>
        <v>0</v>
      </c>
      <c r="BG183" s="2078">
        <f t="shared" si="348"/>
        <v>0</v>
      </c>
      <c r="BH183" s="2078">
        <f t="shared" si="349"/>
        <v>0</v>
      </c>
      <c r="BI183" s="2078">
        <f t="shared" si="350"/>
        <v>0</v>
      </c>
      <c r="BJ183" s="2078">
        <f t="shared" si="351"/>
        <v>0</v>
      </c>
      <c r="BK183" s="2078">
        <f t="shared" si="352"/>
        <v>0</v>
      </c>
      <c r="BL183" s="2078">
        <f t="shared" si="353"/>
        <v>0</v>
      </c>
      <c r="BM183" s="2078">
        <f t="shared" si="354"/>
        <v>0</v>
      </c>
      <c r="BN183" s="2078">
        <f t="shared" si="355"/>
        <v>0</v>
      </c>
      <c r="BO183" s="2078">
        <f t="shared" si="356"/>
        <v>0</v>
      </c>
      <c r="BP183" s="2078">
        <f t="shared" si="357"/>
        <v>0</v>
      </c>
      <c r="BQ183" s="2078">
        <f t="shared" si="358"/>
        <v>0</v>
      </c>
      <c r="BR183" s="2078">
        <f t="shared" si="359"/>
        <v>0</v>
      </c>
      <c r="BS183" s="2079">
        <f t="shared" si="403"/>
        <v>1</v>
      </c>
      <c r="BT183" s="2079">
        <f t="shared" si="404"/>
        <v>0</v>
      </c>
      <c r="BU183" s="2079">
        <f t="shared" si="405"/>
        <v>0</v>
      </c>
      <c r="BV183" s="2079">
        <f t="shared" si="406"/>
        <v>0</v>
      </c>
      <c r="BW183" s="2079">
        <f t="shared" si="407"/>
        <v>0</v>
      </c>
      <c r="BX183" s="2079">
        <f t="shared" si="408"/>
        <v>0</v>
      </c>
      <c r="BY183" s="2079">
        <f t="shared" si="409"/>
        <v>0</v>
      </c>
      <c r="BZ183" s="2079">
        <f t="shared" si="410"/>
        <v>0</v>
      </c>
      <c r="CA183" s="2079">
        <f t="shared" si="411"/>
        <v>0</v>
      </c>
      <c r="CB183" s="2079">
        <f t="shared" si="412"/>
        <v>0</v>
      </c>
      <c r="CC183" s="2078">
        <f t="shared" ca="1" si="360"/>
        <v>0</v>
      </c>
      <c r="CD183" s="2078">
        <f t="shared" ca="1" si="361"/>
        <v>0</v>
      </c>
      <c r="CE183" s="2078">
        <f t="shared" ca="1" si="362"/>
        <v>0</v>
      </c>
      <c r="CF183" s="2078">
        <f t="shared" ca="1" si="363"/>
        <v>0</v>
      </c>
      <c r="CG183" s="2078">
        <f t="shared" ca="1" si="364"/>
        <v>0</v>
      </c>
      <c r="CH183" s="2078">
        <f t="shared" ca="1" si="365"/>
        <v>0</v>
      </c>
      <c r="CI183" s="2078">
        <f t="shared" ca="1" si="366"/>
        <v>0</v>
      </c>
      <c r="CJ183" s="2078">
        <f t="shared" ca="1" si="367"/>
        <v>0</v>
      </c>
      <c r="CK183" s="2078">
        <f t="shared" ca="1" si="368"/>
        <v>0</v>
      </c>
      <c r="CL183" s="2078">
        <f t="shared" ca="1" si="369"/>
        <v>0</v>
      </c>
      <c r="CM183" s="2078">
        <f t="shared" si="413"/>
        <v>12</v>
      </c>
      <c r="CN183" s="2078">
        <f t="shared" si="414"/>
        <v>1</v>
      </c>
      <c r="CO183" s="2078">
        <f t="shared" si="415"/>
        <v>1</v>
      </c>
      <c r="CP183" s="2078">
        <f t="shared" si="370"/>
        <v>1</v>
      </c>
      <c r="CQ183" s="2078">
        <f t="shared" si="416"/>
        <v>0</v>
      </c>
      <c r="CR183" s="2078">
        <f t="shared" si="417"/>
        <v>0</v>
      </c>
      <c r="CS183" s="2078">
        <f t="shared" si="371"/>
        <v>0</v>
      </c>
      <c r="CT183" s="2078">
        <f t="shared" si="418"/>
        <v>1</v>
      </c>
      <c r="CU183" s="2078">
        <f t="shared" si="372"/>
        <v>1</v>
      </c>
      <c r="CV183" s="2078">
        <f t="shared" si="419"/>
        <v>0</v>
      </c>
      <c r="CW183" s="2078">
        <f>IF(OR(AE183&lt;&gt;3,F183="Exclude"),0,IF(ISERROR(MATCH($E183,'4 Sign-off'!$S$123:$X$123,0)),0,1))</f>
        <v>1</v>
      </c>
      <c r="CX183" s="2078">
        <f t="shared" si="373"/>
        <v>1</v>
      </c>
      <c r="CY183" s="2078">
        <f t="shared" si="420"/>
        <v>1</v>
      </c>
      <c r="CZ183" s="2993">
        <f t="shared" ca="1" si="374"/>
        <v>3480</v>
      </c>
      <c r="DA183" s="3037">
        <f t="shared" ca="1" si="375"/>
        <v>0</v>
      </c>
      <c r="DB183" s="1664"/>
      <c r="DC183" s="1320" t="s">
        <v>631</v>
      </c>
      <c r="DD183" s="589">
        <v>12</v>
      </c>
      <c r="DE183" s="1321">
        <v>290</v>
      </c>
      <c r="DF183" s="107"/>
      <c r="DG183" s="112"/>
      <c r="DH183" s="140"/>
      <c r="DI183" s="22"/>
      <c r="DJ183" s="145"/>
      <c r="DK183" s="137"/>
      <c r="DL183" s="137"/>
      <c r="DM183" s="137"/>
      <c r="DN183" s="137"/>
      <c r="DO183" s="137"/>
      <c r="DP183" s="137"/>
      <c r="DQ183" s="137"/>
      <c r="DR183" s="137"/>
      <c r="DS183" s="137"/>
      <c r="DT183" s="137"/>
      <c r="DU183" s="137"/>
      <c r="DV183" s="137"/>
      <c r="DW183" s="137"/>
      <c r="DX183" s="137"/>
      <c r="DY183" s="137"/>
      <c r="DZ183" s="137"/>
      <c r="EA183" s="137"/>
      <c r="EB183" s="137"/>
      <c r="EC183" s="137"/>
      <c r="ED183" s="137"/>
      <c r="EE183" s="137"/>
      <c r="EF183" s="137"/>
      <c r="EG183" s="137"/>
      <c r="EH183" s="137"/>
      <c r="EI183" s="137"/>
      <c r="EJ183" s="137"/>
      <c r="EK183" s="137"/>
      <c r="EL183" s="137"/>
      <c r="EM183" s="137"/>
      <c r="EN183" s="137"/>
      <c r="EO183" s="137"/>
      <c r="EP183" s="137"/>
      <c r="EQ183" s="137"/>
      <c r="ER183" s="137"/>
      <c r="ES183" s="137"/>
      <c r="ET183" s="137"/>
      <c r="EU183" s="137"/>
      <c r="EV183" s="137"/>
      <c r="EW183" s="137"/>
      <c r="EX183" s="137"/>
      <c r="EY183" s="137"/>
      <c r="EZ183" s="137"/>
      <c r="FA183" s="137"/>
      <c r="FB183" s="137"/>
      <c r="FC183" s="137"/>
      <c r="FD183" s="137"/>
      <c r="FE183" s="137"/>
      <c r="FF183" s="137"/>
      <c r="FG183" s="860"/>
      <c r="FH183" s="1288"/>
      <c r="FI183" s="1318"/>
      <c r="FJ183" s="126"/>
      <c r="FK183" s="127"/>
      <c r="FL183" s="128" t="str">
        <f t="shared" si="376"/>
        <v xml:space="preserve">Car hire and per diem expenses    </v>
      </c>
      <c r="FM183" s="128"/>
      <c r="FN183" s="1686">
        <f t="shared" si="377"/>
        <v>0</v>
      </c>
      <c r="FO183" s="46">
        <f t="shared" si="421"/>
        <v>0</v>
      </c>
      <c r="FP183" s="46">
        <f>IFERROR(1/FQ183,1)</f>
        <v>8.3333333333333329E-2</v>
      </c>
      <c r="FQ183" s="75">
        <f t="shared" si="378"/>
        <v>12</v>
      </c>
      <c r="FR183" s="46">
        <f t="shared" si="379"/>
        <v>12</v>
      </c>
      <c r="FS183" s="46">
        <f t="shared" si="380"/>
        <v>0</v>
      </c>
      <c r="FT183" s="75">
        <f t="shared" si="381"/>
        <v>0</v>
      </c>
      <c r="FU183" s="2603">
        <f t="shared" si="423"/>
        <v>3480</v>
      </c>
      <c r="FV183" s="2607">
        <f t="shared" si="424"/>
        <v>0</v>
      </c>
      <c r="FW183" s="2603">
        <f t="shared" si="425"/>
        <v>0</v>
      </c>
      <c r="FX183" s="2631">
        <f t="shared" si="426"/>
        <v>1</v>
      </c>
      <c r="FY183" s="81">
        <f t="shared" si="382"/>
        <v>12</v>
      </c>
      <c r="FZ183" s="64">
        <f t="array" ref="FZ183">MATCH(1,($GT183:$LQ183&gt;0)*$GT$25:$LQ$25,0)</f>
        <v>1</v>
      </c>
      <c r="GA183" s="64">
        <f t="array" ref="GA183">MATCH(2,1/(GT183:LQ183&gt;0))</f>
        <v>12</v>
      </c>
      <c r="GB183" s="64">
        <f t="shared" si="383"/>
        <v>0</v>
      </c>
      <c r="GC183" s="46"/>
      <c r="GD183" s="613"/>
      <c r="GE183" s="613"/>
      <c r="GF183" s="613"/>
      <c r="GG183" s="613"/>
      <c r="GH183" s="613"/>
      <c r="GI183" s="613"/>
      <c r="GJ183" s="613"/>
      <c r="GK183" s="613"/>
      <c r="GL183" s="613"/>
      <c r="GM183" s="613"/>
      <c r="GN183" s="385">
        <f t="shared" si="384"/>
        <v>43836</v>
      </c>
      <c r="GO183" s="386">
        <f t="shared" si="385"/>
        <v>43917</v>
      </c>
      <c r="GP183" s="2635"/>
      <c r="GQ183" s="175"/>
      <c r="GR183" s="172"/>
      <c r="GS183" s="65"/>
      <c r="GT183" s="167">
        <v>1</v>
      </c>
      <c r="GU183" s="167">
        <v>1</v>
      </c>
      <c r="GV183" s="167">
        <v>1</v>
      </c>
      <c r="GW183" s="167">
        <v>1</v>
      </c>
      <c r="GX183" s="167">
        <v>1</v>
      </c>
      <c r="GY183" s="167">
        <v>1</v>
      </c>
      <c r="GZ183" s="167">
        <v>1</v>
      </c>
      <c r="HA183" s="167">
        <v>1</v>
      </c>
      <c r="HB183" s="167">
        <v>1</v>
      </c>
      <c r="HC183" s="167">
        <v>1</v>
      </c>
      <c r="HD183" s="167">
        <v>1</v>
      </c>
      <c r="HE183" s="167">
        <v>1</v>
      </c>
      <c r="HF183" s="168"/>
      <c r="HG183" s="168"/>
      <c r="HH183" s="168"/>
      <c r="HI183" s="168"/>
      <c r="HJ183" s="168"/>
      <c r="HK183" s="168"/>
      <c r="HL183" s="168"/>
      <c r="HM183" s="168"/>
      <c r="HN183" s="168"/>
      <c r="HO183" s="168"/>
      <c r="HP183" s="168"/>
      <c r="HQ183" s="168"/>
      <c r="HR183" s="168"/>
      <c r="HS183" s="168"/>
      <c r="HT183" s="168"/>
      <c r="HU183" s="168"/>
      <c r="HV183" s="168"/>
      <c r="HW183" s="168"/>
      <c r="HX183" s="168"/>
      <c r="HY183" s="168"/>
      <c r="HZ183" s="168"/>
      <c r="IA183" s="168"/>
      <c r="IB183" s="168"/>
      <c r="IC183" s="168"/>
      <c r="ID183" s="168"/>
      <c r="IE183" s="168"/>
      <c r="IF183" s="168"/>
      <c r="IG183" s="168"/>
      <c r="IH183" s="168"/>
      <c r="II183" s="168"/>
      <c r="IJ183" s="168"/>
      <c r="IK183" s="168"/>
      <c r="IL183" s="168"/>
      <c r="IM183" s="168"/>
      <c r="IN183" s="168"/>
      <c r="IO183" s="168"/>
      <c r="IP183" s="168"/>
      <c r="IQ183" s="168"/>
      <c r="IR183" s="168"/>
      <c r="IS183" s="168"/>
      <c r="IT183" s="168"/>
      <c r="IU183" s="168"/>
      <c r="IV183" s="168"/>
      <c r="IW183" s="168"/>
      <c r="IX183" s="168"/>
      <c r="IY183" s="168"/>
      <c r="IZ183" s="168"/>
      <c r="JA183" s="168"/>
      <c r="JB183" s="168"/>
      <c r="JC183" s="168"/>
      <c r="JD183" s="168"/>
      <c r="JE183" s="168"/>
      <c r="JF183" s="168"/>
      <c r="JG183" s="168"/>
      <c r="JH183" s="168"/>
      <c r="JI183" s="168"/>
      <c r="JJ183" s="168"/>
      <c r="JK183" s="168"/>
      <c r="JL183" s="168"/>
      <c r="JM183" s="168"/>
      <c r="JN183" s="168"/>
      <c r="JO183" s="168"/>
      <c r="JP183" s="168"/>
      <c r="JQ183" s="168"/>
      <c r="JR183" s="168"/>
      <c r="JS183" s="168"/>
      <c r="JT183" s="168"/>
      <c r="JU183" s="168"/>
      <c r="JV183" s="168"/>
      <c r="JW183" s="168"/>
      <c r="JX183" s="168"/>
      <c r="JY183" s="168"/>
      <c r="JZ183" s="168"/>
      <c r="KA183" s="168"/>
      <c r="KB183" s="168"/>
      <c r="KC183" s="168"/>
      <c r="KD183" s="168"/>
      <c r="KE183" s="168"/>
      <c r="KF183" s="168"/>
      <c r="KG183" s="168"/>
      <c r="KH183" s="168"/>
      <c r="KI183" s="168"/>
      <c r="KJ183" s="168"/>
      <c r="KK183" s="168"/>
      <c r="KL183" s="168"/>
      <c r="KM183" s="168"/>
      <c r="KN183" s="168"/>
      <c r="KO183" s="168"/>
      <c r="KP183" s="168"/>
      <c r="KQ183" s="168"/>
      <c r="KR183" s="168"/>
      <c r="KS183" s="168"/>
      <c r="KT183" s="168"/>
      <c r="KU183" s="168"/>
      <c r="KV183" s="168"/>
      <c r="KW183" s="168"/>
      <c r="KX183" s="168"/>
      <c r="KY183" s="168"/>
      <c r="KZ183" s="168"/>
      <c r="LA183" s="168"/>
      <c r="LB183" s="168"/>
      <c r="LC183" s="168"/>
      <c r="LD183" s="168"/>
      <c r="LE183" s="168"/>
      <c r="LF183" s="168"/>
      <c r="LG183" s="168"/>
      <c r="LH183" s="168"/>
      <c r="LI183" s="168"/>
      <c r="LJ183" s="168"/>
      <c r="LK183" s="168"/>
      <c r="LL183" s="168"/>
      <c r="LM183" s="168"/>
      <c r="LN183" s="168"/>
      <c r="LO183" s="168"/>
      <c r="LP183" s="606"/>
      <c r="LQ183" s="609"/>
      <c r="LR183" s="1319"/>
      <c r="LS183" s="1319"/>
    </row>
    <row r="184" spans="1:331" s="2" customFormat="1" ht="15" customHeight="1" x14ac:dyDescent="0.25">
      <c r="A184" s="283"/>
      <c r="B184" s="303"/>
      <c r="C184" s="301"/>
      <c r="D184" s="1287"/>
      <c r="E184" s="2298">
        <v>99</v>
      </c>
      <c r="F184" s="1812"/>
      <c r="G184" s="3342"/>
      <c r="H184" s="66"/>
      <c r="I184" s="1746" t="s">
        <v>4397</v>
      </c>
      <c r="J184" s="1214"/>
      <c r="K184" s="105"/>
      <c r="L184" s="91" t="s">
        <v>1503</v>
      </c>
      <c r="M184" s="92" t="s">
        <v>4392</v>
      </c>
      <c r="N184" s="93"/>
      <c r="O184" s="94" t="s">
        <v>4383</v>
      </c>
      <c r="P184" s="96"/>
      <c r="Q184" s="95"/>
      <c r="R184" s="993">
        <f t="shared" si="325"/>
        <v>6</v>
      </c>
      <c r="S184" s="23">
        <f t="shared" si="326"/>
        <v>215.89920000000001</v>
      </c>
      <c r="T184" s="24">
        <f t="shared" si="327"/>
        <v>6</v>
      </c>
      <c r="U184" s="24">
        <f t="shared" si="328"/>
        <v>0</v>
      </c>
      <c r="V184" s="24">
        <f t="shared" si="329"/>
        <v>10.379999999999999</v>
      </c>
      <c r="W184" s="24">
        <f t="shared" ca="1" si="330"/>
        <v>0</v>
      </c>
      <c r="X184" s="72">
        <f t="shared" ca="1" si="386"/>
        <v>430.16219999999998</v>
      </c>
      <c r="Y184" s="72">
        <f t="shared" si="331"/>
        <v>205.51920000000001</v>
      </c>
      <c r="Z184" s="24">
        <f t="shared" si="332"/>
        <v>135.20999999999998</v>
      </c>
      <c r="AA184" s="72">
        <f t="shared" si="387"/>
        <v>0</v>
      </c>
      <c r="AB184" s="24">
        <f t="shared" si="388"/>
        <v>0</v>
      </c>
      <c r="AC184" s="24">
        <f t="shared" ca="1" si="333"/>
        <v>430.16219999999998</v>
      </c>
      <c r="AD184" s="24">
        <f t="shared" si="389"/>
        <v>205.51920000000001</v>
      </c>
      <c r="AE184" s="2078">
        <f t="shared" si="334"/>
        <v>3</v>
      </c>
      <c r="AF184" s="2078" t="str">
        <f t="shared" si="335"/>
        <v>7</v>
      </c>
      <c r="AG184" s="2078" t="str">
        <f t="shared" si="336"/>
        <v>7.3</v>
      </c>
      <c r="AH184" s="2521">
        <f t="shared" si="390"/>
        <v>1</v>
      </c>
      <c r="AI184" s="25" t="str">
        <f t="shared" si="337"/>
        <v/>
      </c>
      <c r="AJ184" s="2521" t="str">
        <f t="shared" ca="1" si="391"/>
        <v>L</v>
      </c>
      <c r="AK184" s="2076">
        <f t="shared" ca="1" si="392"/>
        <v>0</v>
      </c>
      <c r="AL184" s="2078">
        <f>IF(ISBLANK(J184),0,ISERROR(MATCH(J184,'5  Control Accounts'!$FA$29:$FA$96,0))*1)</f>
        <v>0</v>
      </c>
      <c r="AM184" s="2076">
        <f t="shared" si="338"/>
        <v>0</v>
      </c>
      <c r="AN184" s="2078">
        <f t="shared" si="339"/>
        <v>1</v>
      </c>
      <c r="AO184" s="2079">
        <f t="shared" si="393"/>
        <v>1</v>
      </c>
      <c r="AP184" s="2079">
        <f t="shared" si="394"/>
        <v>0</v>
      </c>
      <c r="AQ184" s="2079">
        <f t="shared" si="395"/>
        <v>0</v>
      </c>
      <c r="AR184" s="2079">
        <f t="shared" si="396"/>
        <v>0</v>
      </c>
      <c r="AS184" s="2079">
        <f t="shared" si="397"/>
        <v>0</v>
      </c>
      <c r="AT184" s="2079">
        <f t="shared" si="398"/>
        <v>0</v>
      </c>
      <c r="AU184" s="2079">
        <f t="shared" si="399"/>
        <v>0</v>
      </c>
      <c r="AV184" s="2079">
        <f t="shared" si="400"/>
        <v>0</v>
      </c>
      <c r="AW184" s="2079">
        <f t="shared" si="401"/>
        <v>0</v>
      </c>
      <c r="AX184" s="2079">
        <f t="shared" si="402"/>
        <v>0</v>
      </c>
      <c r="AY184" s="2078">
        <f t="shared" si="340"/>
        <v>135.20999999999998</v>
      </c>
      <c r="AZ184" s="2078">
        <f t="shared" si="341"/>
        <v>135.20999999999998</v>
      </c>
      <c r="BA184" s="2078">
        <f t="shared" si="342"/>
        <v>135.20999999999998</v>
      </c>
      <c r="BB184" s="2078">
        <f t="shared" si="343"/>
        <v>135.20999999999998</v>
      </c>
      <c r="BC184" s="2078">
        <f t="shared" si="344"/>
        <v>135.20999999999998</v>
      </c>
      <c r="BD184" s="2078">
        <f t="shared" si="345"/>
        <v>135.20999999999998</v>
      </c>
      <c r="BE184" s="2078">
        <f t="shared" si="346"/>
        <v>135.20999999999998</v>
      </c>
      <c r="BF184" s="2078">
        <f t="shared" si="347"/>
        <v>135.20999999999998</v>
      </c>
      <c r="BG184" s="2078">
        <f t="shared" si="348"/>
        <v>135.20999999999998</v>
      </c>
      <c r="BH184" s="2078">
        <f t="shared" si="349"/>
        <v>135.20999999999998</v>
      </c>
      <c r="BI184" s="2078">
        <f t="shared" si="350"/>
        <v>205.51920000000001</v>
      </c>
      <c r="BJ184" s="2078">
        <f t="shared" si="351"/>
        <v>205.51920000000001</v>
      </c>
      <c r="BK184" s="2078">
        <f t="shared" si="352"/>
        <v>205.51920000000001</v>
      </c>
      <c r="BL184" s="2078">
        <f t="shared" si="353"/>
        <v>205.51920000000001</v>
      </c>
      <c r="BM184" s="2078">
        <f t="shared" si="354"/>
        <v>205.51920000000001</v>
      </c>
      <c r="BN184" s="2078">
        <f t="shared" si="355"/>
        <v>205.51920000000001</v>
      </c>
      <c r="BO184" s="2078">
        <f t="shared" si="356"/>
        <v>205.51920000000001</v>
      </c>
      <c r="BP184" s="2078">
        <f t="shared" si="357"/>
        <v>205.51920000000001</v>
      </c>
      <c r="BQ184" s="2078">
        <f t="shared" si="358"/>
        <v>205.51920000000001</v>
      </c>
      <c r="BR184" s="2078">
        <f t="shared" si="359"/>
        <v>205.51920000000001</v>
      </c>
      <c r="BS184" s="2079">
        <f t="shared" si="403"/>
        <v>1</v>
      </c>
      <c r="BT184" s="2079">
        <f t="shared" si="404"/>
        <v>0</v>
      </c>
      <c r="BU184" s="2079">
        <f t="shared" si="405"/>
        <v>0</v>
      </c>
      <c r="BV184" s="2079">
        <f t="shared" si="406"/>
        <v>0</v>
      </c>
      <c r="BW184" s="2079">
        <f t="shared" si="407"/>
        <v>0</v>
      </c>
      <c r="BX184" s="2079">
        <f t="shared" si="408"/>
        <v>0</v>
      </c>
      <c r="BY184" s="2079">
        <f t="shared" si="409"/>
        <v>0</v>
      </c>
      <c r="BZ184" s="2079">
        <f t="shared" si="410"/>
        <v>0</v>
      </c>
      <c r="CA184" s="2079">
        <f t="shared" si="411"/>
        <v>0</v>
      </c>
      <c r="CB184" s="2079">
        <f t="shared" si="412"/>
        <v>0</v>
      </c>
      <c r="CC184" s="2078">
        <f t="shared" ca="1" si="360"/>
        <v>430.16219999999998</v>
      </c>
      <c r="CD184" s="2078">
        <f t="shared" ca="1" si="361"/>
        <v>430.16219999999998</v>
      </c>
      <c r="CE184" s="2078">
        <f t="shared" ca="1" si="362"/>
        <v>430.16219999999998</v>
      </c>
      <c r="CF184" s="2078">
        <f t="shared" ca="1" si="363"/>
        <v>430.16219999999998</v>
      </c>
      <c r="CG184" s="2078">
        <f t="shared" ca="1" si="364"/>
        <v>430.16219999999998</v>
      </c>
      <c r="CH184" s="2078">
        <f t="shared" ca="1" si="365"/>
        <v>430.16219999999998</v>
      </c>
      <c r="CI184" s="2078">
        <f t="shared" ca="1" si="366"/>
        <v>430.16219999999998</v>
      </c>
      <c r="CJ184" s="2078">
        <f t="shared" ca="1" si="367"/>
        <v>430.16219999999998</v>
      </c>
      <c r="CK184" s="2078">
        <f t="shared" ca="1" si="368"/>
        <v>430.16219999999998</v>
      </c>
      <c r="CL184" s="2078">
        <f t="shared" ca="1" si="369"/>
        <v>430.16219999999998</v>
      </c>
      <c r="CM184" s="2078">
        <f t="shared" si="413"/>
        <v>1</v>
      </c>
      <c r="CN184" s="2078">
        <f t="shared" si="414"/>
        <v>1</v>
      </c>
      <c r="CO184" s="2078">
        <f t="shared" si="415"/>
        <v>1</v>
      </c>
      <c r="CP184" s="2078">
        <f t="shared" si="370"/>
        <v>1</v>
      </c>
      <c r="CQ184" s="2078">
        <f t="shared" si="416"/>
        <v>0</v>
      </c>
      <c r="CR184" s="2078">
        <f t="shared" si="417"/>
        <v>0</v>
      </c>
      <c r="CS184" s="2078">
        <f t="shared" si="371"/>
        <v>0</v>
      </c>
      <c r="CT184" s="2078">
        <f t="shared" si="418"/>
        <v>1</v>
      </c>
      <c r="CU184" s="2078">
        <f t="shared" si="372"/>
        <v>1</v>
      </c>
      <c r="CV184" s="2078">
        <f t="shared" si="419"/>
        <v>0</v>
      </c>
      <c r="CW184" s="2078">
        <f>IF(OR(AE184&lt;&gt;3,F184="Exclude"),0,IF(ISERROR(MATCH($E184,'4 Sign-off'!$S$123:$X$123,0)),0,1))</f>
        <v>1</v>
      </c>
      <c r="CX184" s="2078">
        <f t="shared" si="373"/>
        <v>1</v>
      </c>
      <c r="CY184" s="2078">
        <f t="shared" si="420"/>
        <v>1</v>
      </c>
      <c r="CZ184" s="2993">
        <f t="shared" ca="1" si="374"/>
        <v>430.16219999999998</v>
      </c>
      <c r="DA184" s="3037">
        <f t="shared" ca="1" si="375"/>
        <v>214.26299999999998</v>
      </c>
      <c r="DB184" s="1664"/>
      <c r="DC184" s="1320"/>
      <c r="DD184" s="589"/>
      <c r="DE184" s="1321"/>
      <c r="DF184" s="107"/>
      <c r="DG184" s="112"/>
      <c r="DH184" s="140"/>
      <c r="DI184" s="22"/>
      <c r="DJ184" s="145"/>
      <c r="DK184" s="137"/>
      <c r="DL184" s="137"/>
      <c r="DM184" s="137"/>
      <c r="DN184" s="137">
        <v>3</v>
      </c>
      <c r="DO184" s="137"/>
      <c r="DP184" s="137">
        <v>3</v>
      </c>
      <c r="DQ184" s="137"/>
      <c r="DR184" s="137"/>
      <c r="DS184" s="137"/>
      <c r="DT184" s="137"/>
      <c r="DU184" s="137"/>
      <c r="DV184" s="137"/>
      <c r="DW184" s="137"/>
      <c r="DX184" s="137"/>
      <c r="DY184" s="137"/>
      <c r="DZ184" s="137"/>
      <c r="EA184" s="137"/>
      <c r="EB184" s="137"/>
      <c r="EC184" s="137"/>
      <c r="ED184" s="137"/>
      <c r="EE184" s="137"/>
      <c r="EF184" s="137"/>
      <c r="EG184" s="137"/>
      <c r="EH184" s="137"/>
      <c r="EI184" s="137"/>
      <c r="EJ184" s="137"/>
      <c r="EK184" s="137"/>
      <c r="EL184" s="137"/>
      <c r="EM184" s="137"/>
      <c r="EN184" s="137"/>
      <c r="EO184" s="137"/>
      <c r="EP184" s="137"/>
      <c r="EQ184" s="137"/>
      <c r="ER184" s="137"/>
      <c r="ES184" s="137"/>
      <c r="ET184" s="137"/>
      <c r="EU184" s="137"/>
      <c r="EV184" s="137"/>
      <c r="EW184" s="137"/>
      <c r="EX184" s="137"/>
      <c r="EY184" s="137"/>
      <c r="EZ184" s="137"/>
      <c r="FA184" s="137"/>
      <c r="FB184" s="137"/>
      <c r="FC184" s="137"/>
      <c r="FD184" s="137"/>
      <c r="FE184" s="137"/>
      <c r="FF184" s="137"/>
      <c r="FG184" s="860"/>
      <c r="FH184" s="1288"/>
      <c r="FI184" s="1318"/>
      <c r="FJ184" s="126"/>
      <c r="FK184" s="127"/>
      <c r="FL184" s="128" t="str">
        <f t="shared" si="376"/>
        <v xml:space="preserve">Delivery management, co-ordination, liaison and support    </v>
      </c>
      <c r="FM184" s="128"/>
      <c r="FN184" s="1686">
        <f t="shared" si="377"/>
        <v>6</v>
      </c>
      <c r="FO184" s="46">
        <f t="shared" si="421"/>
        <v>0</v>
      </c>
      <c r="FP184" s="46">
        <f>IFERROR(1/FQ184,1)</f>
        <v>8.3333333333333329E-2</v>
      </c>
      <c r="FQ184" s="75">
        <f t="shared" si="378"/>
        <v>12</v>
      </c>
      <c r="FR184" s="46">
        <f t="shared" si="379"/>
        <v>12</v>
      </c>
      <c r="FS184" s="46">
        <f t="shared" si="380"/>
        <v>8.3333333333333329E-2</v>
      </c>
      <c r="FT184" s="75">
        <f t="shared" si="381"/>
        <v>0</v>
      </c>
      <c r="FU184" s="2603">
        <f t="shared" si="423"/>
        <v>205.51920000000001</v>
      </c>
      <c r="FV184" s="2607">
        <f t="shared" si="424"/>
        <v>0</v>
      </c>
      <c r="FW184" s="2603">
        <f t="shared" si="425"/>
        <v>0</v>
      </c>
      <c r="FX184" s="2631">
        <f t="shared" si="426"/>
        <v>1</v>
      </c>
      <c r="FY184" s="81">
        <f t="shared" si="382"/>
        <v>12</v>
      </c>
      <c r="FZ184" s="64">
        <f t="array" ref="FZ184">MATCH(1,($GT184:$LQ184&gt;0)*$GT$25:$LQ$25,0)</f>
        <v>1</v>
      </c>
      <c r="GA184" s="64">
        <f t="array" ref="GA184">MATCH(2,1/(GT184:LQ184&gt;0))</f>
        <v>12</v>
      </c>
      <c r="GB184" s="64">
        <f t="shared" si="383"/>
        <v>0</v>
      </c>
      <c r="GC184" s="46"/>
      <c r="GD184" s="613"/>
      <c r="GE184" s="613"/>
      <c r="GF184" s="613"/>
      <c r="GG184" s="613"/>
      <c r="GH184" s="613"/>
      <c r="GI184" s="613"/>
      <c r="GJ184" s="613"/>
      <c r="GK184" s="613"/>
      <c r="GL184" s="613"/>
      <c r="GM184" s="613"/>
      <c r="GN184" s="385">
        <f t="shared" si="384"/>
        <v>43836</v>
      </c>
      <c r="GO184" s="386">
        <f t="shared" si="385"/>
        <v>43917</v>
      </c>
      <c r="GP184" s="2635"/>
      <c r="GQ184" s="175"/>
      <c r="GR184" s="172"/>
      <c r="GS184" s="65"/>
      <c r="GT184" s="167">
        <v>1</v>
      </c>
      <c r="GU184" s="167">
        <v>1</v>
      </c>
      <c r="GV184" s="167">
        <v>1</v>
      </c>
      <c r="GW184" s="167">
        <v>1</v>
      </c>
      <c r="GX184" s="167">
        <v>1</v>
      </c>
      <c r="GY184" s="167">
        <v>1</v>
      </c>
      <c r="GZ184" s="167">
        <v>1</v>
      </c>
      <c r="HA184" s="167">
        <v>1</v>
      </c>
      <c r="HB184" s="167">
        <v>1</v>
      </c>
      <c r="HC184" s="167">
        <v>1</v>
      </c>
      <c r="HD184" s="167">
        <v>1</v>
      </c>
      <c r="HE184" s="167">
        <v>1</v>
      </c>
      <c r="HF184" s="168"/>
      <c r="HG184" s="168"/>
      <c r="HH184" s="168"/>
      <c r="HI184" s="168"/>
      <c r="HJ184" s="168"/>
      <c r="HK184" s="168"/>
      <c r="HL184" s="168"/>
      <c r="HM184" s="168"/>
      <c r="HN184" s="168"/>
      <c r="HO184" s="168"/>
      <c r="HP184" s="168"/>
      <c r="HQ184" s="168"/>
      <c r="HR184" s="168"/>
      <c r="HS184" s="168"/>
      <c r="HT184" s="168"/>
      <c r="HU184" s="168"/>
      <c r="HV184" s="168"/>
      <c r="HW184" s="168"/>
      <c r="HX184" s="168"/>
      <c r="HY184" s="168"/>
      <c r="HZ184" s="168"/>
      <c r="IA184" s="168"/>
      <c r="IB184" s="168"/>
      <c r="IC184" s="168"/>
      <c r="ID184" s="168"/>
      <c r="IE184" s="168"/>
      <c r="IF184" s="168"/>
      <c r="IG184" s="168"/>
      <c r="IH184" s="168"/>
      <c r="II184" s="168"/>
      <c r="IJ184" s="168"/>
      <c r="IK184" s="168"/>
      <c r="IL184" s="168"/>
      <c r="IM184" s="168"/>
      <c r="IN184" s="168"/>
      <c r="IO184" s="168"/>
      <c r="IP184" s="168"/>
      <c r="IQ184" s="168"/>
      <c r="IR184" s="168"/>
      <c r="IS184" s="168"/>
      <c r="IT184" s="168"/>
      <c r="IU184" s="168"/>
      <c r="IV184" s="168"/>
      <c r="IW184" s="168"/>
      <c r="IX184" s="168"/>
      <c r="IY184" s="168"/>
      <c r="IZ184" s="168"/>
      <c r="JA184" s="168"/>
      <c r="JB184" s="168"/>
      <c r="JC184" s="168"/>
      <c r="JD184" s="168"/>
      <c r="JE184" s="168"/>
      <c r="JF184" s="168"/>
      <c r="JG184" s="168"/>
      <c r="JH184" s="168"/>
      <c r="JI184" s="168"/>
      <c r="JJ184" s="168"/>
      <c r="JK184" s="168"/>
      <c r="JL184" s="168"/>
      <c r="JM184" s="168"/>
      <c r="JN184" s="168"/>
      <c r="JO184" s="168"/>
      <c r="JP184" s="168"/>
      <c r="JQ184" s="168"/>
      <c r="JR184" s="168"/>
      <c r="JS184" s="168"/>
      <c r="JT184" s="168"/>
      <c r="JU184" s="168"/>
      <c r="JV184" s="168"/>
      <c r="JW184" s="168"/>
      <c r="JX184" s="168"/>
      <c r="JY184" s="168"/>
      <c r="JZ184" s="168"/>
      <c r="KA184" s="168"/>
      <c r="KB184" s="168"/>
      <c r="KC184" s="168"/>
      <c r="KD184" s="168"/>
      <c r="KE184" s="168"/>
      <c r="KF184" s="168"/>
      <c r="KG184" s="168"/>
      <c r="KH184" s="168"/>
      <c r="KI184" s="168"/>
      <c r="KJ184" s="168"/>
      <c r="KK184" s="168"/>
      <c r="KL184" s="168"/>
      <c r="KM184" s="168"/>
      <c r="KN184" s="168"/>
      <c r="KO184" s="168"/>
      <c r="KP184" s="168"/>
      <c r="KQ184" s="168"/>
      <c r="KR184" s="168"/>
      <c r="KS184" s="168"/>
      <c r="KT184" s="168"/>
      <c r="KU184" s="168"/>
      <c r="KV184" s="168"/>
      <c r="KW184" s="168"/>
      <c r="KX184" s="168"/>
      <c r="KY184" s="168"/>
      <c r="KZ184" s="168"/>
      <c r="LA184" s="168"/>
      <c r="LB184" s="168"/>
      <c r="LC184" s="168"/>
      <c r="LD184" s="168"/>
      <c r="LE184" s="168"/>
      <c r="LF184" s="168"/>
      <c r="LG184" s="168"/>
      <c r="LH184" s="168"/>
      <c r="LI184" s="168"/>
      <c r="LJ184" s="168"/>
      <c r="LK184" s="168"/>
      <c r="LL184" s="168"/>
      <c r="LM184" s="168"/>
      <c r="LN184" s="168"/>
      <c r="LO184" s="168"/>
      <c r="LP184" s="606"/>
      <c r="LQ184" s="609"/>
      <c r="LR184" s="1319"/>
      <c r="LS184" s="1319"/>
    </row>
    <row r="185" spans="1:331" s="2" customFormat="1" ht="15" customHeight="1" x14ac:dyDescent="0.25">
      <c r="A185" s="283"/>
      <c r="B185" s="303"/>
      <c r="C185" s="301"/>
      <c r="D185" s="1287"/>
      <c r="E185" s="2298">
        <v>99</v>
      </c>
      <c r="F185" s="1812"/>
      <c r="G185" s="3342"/>
      <c r="H185" s="66"/>
      <c r="I185" s="1746" t="s">
        <v>4398</v>
      </c>
      <c r="J185" s="1214"/>
      <c r="K185" s="105"/>
      <c r="L185" s="91" t="s">
        <v>1503</v>
      </c>
      <c r="M185" s="92" t="s">
        <v>4393</v>
      </c>
      <c r="N185" s="93"/>
      <c r="O185" s="94" t="s">
        <v>4385</v>
      </c>
      <c r="P185" s="96"/>
      <c r="Q185" s="95"/>
      <c r="R185" s="993">
        <f t="shared" si="325"/>
        <v>25</v>
      </c>
      <c r="S185" s="23">
        <f t="shared" si="326"/>
        <v>474.97560000000004</v>
      </c>
      <c r="T185" s="24">
        <f t="shared" si="327"/>
        <v>25</v>
      </c>
      <c r="U185" s="24">
        <f t="shared" si="328"/>
        <v>0</v>
      </c>
      <c r="V185" s="24">
        <f t="shared" si="329"/>
        <v>43.25</v>
      </c>
      <c r="W185" s="24">
        <f t="shared" ca="1" si="330"/>
        <v>0</v>
      </c>
      <c r="X185" s="72">
        <f t="shared" ca="1" si="386"/>
        <v>1139.4825000000001</v>
      </c>
      <c r="Y185" s="72">
        <f t="shared" si="331"/>
        <v>431.72560000000004</v>
      </c>
      <c r="Z185" s="24">
        <f t="shared" si="332"/>
        <v>284.03000000000003</v>
      </c>
      <c r="AA185" s="72">
        <f t="shared" si="387"/>
        <v>0</v>
      </c>
      <c r="AB185" s="24">
        <f t="shared" si="388"/>
        <v>0</v>
      </c>
      <c r="AC185" s="24">
        <f t="shared" ca="1" si="333"/>
        <v>1139.4825000000001</v>
      </c>
      <c r="AD185" s="24">
        <f t="shared" si="389"/>
        <v>431.72560000000004</v>
      </c>
      <c r="AE185" s="2078">
        <f t="shared" si="334"/>
        <v>3</v>
      </c>
      <c r="AF185" s="2078" t="str">
        <f t="shared" si="335"/>
        <v>7</v>
      </c>
      <c r="AG185" s="2078" t="str">
        <f t="shared" si="336"/>
        <v>7.4</v>
      </c>
      <c r="AH185" s="2521">
        <f t="shared" si="390"/>
        <v>1</v>
      </c>
      <c r="AI185" s="25" t="str">
        <f t="shared" si="337"/>
        <v/>
      </c>
      <c r="AJ185" s="2521" t="str">
        <f t="shared" ca="1" si="391"/>
        <v>L</v>
      </c>
      <c r="AK185" s="2076">
        <f t="shared" ca="1" si="392"/>
        <v>0</v>
      </c>
      <c r="AL185" s="2078">
        <f>IF(ISBLANK(J185),0,ISERROR(MATCH(J185,'5  Control Accounts'!$FA$29:$FA$96,0))*1)</f>
        <v>0</v>
      </c>
      <c r="AM185" s="2076">
        <f t="shared" si="338"/>
        <v>0</v>
      </c>
      <c r="AN185" s="2078">
        <f t="shared" si="339"/>
        <v>1</v>
      </c>
      <c r="AO185" s="2079">
        <f t="shared" si="393"/>
        <v>1</v>
      </c>
      <c r="AP185" s="2079">
        <f t="shared" si="394"/>
        <v>0</v>
      </c>
      <c r="AQ185" s="2079">
        <f t="shared" si="395"/>
        <v>0</v>
      </c>
      <c r="AR185" s="2079">
        <f t="shared" si="396"/>
        <v>0</v>
      </c>
      <c r="AS185" s="2079">
        <f t="shared" si="397"/>
        <v>0</v>
      </c>
      <c r="AT185" s="2079">
        <f t="shared" si="398"/>
        <v>0</v>
      </c>
      <c r="AU185" s="2079">
        <f t="shared" si="399"/>
        <v>0</v>
      </c>
      <c r="AV185" s="2079">
        <f t="shared" si="400"/>
        <v>0</v>
      </c>
      <c r="AW185" s="2079">
        <f t="shared" si="401"/>
        <v>0</v>
      </c>
      <c r="AX185" s="2079">
        <f t="shared" si="402"/>
        <v>0</v>
      </c>
      <c r="AY185" s="2078">
        <f t="shared" si="340"/>
        <v>284.03000000000003</v>
      </c>
      <c r="AZ185" s="2078">
        <f t="shared" si="341"/>
        <v>284.03000000000003</v>
      </c>
      <c r="BA185" s="2078">
        <f t="shared" si="342"/>
        <v>284.03000000000003</v>
      </c>
      <c r="BB185" s="2078">
        <f t="shared" si="343"/>
        <v>284.03000000000003</v>
      </c>
      <c r="BC185" s="2078">
        <f t="shared" si="344"/>
        <v>284.03000000000003</v>
      </c>
      <c r="BD185" s="2078">
        <f t="shared" si="345"/>
        <v>284.03000000000003</v>
      </c>
      <c r="BE185" s="2078">
        <f t="shared" si="346"/>
        <v>284.03000000000003</v>
      </c>
      <c r="BF185" s="2078">
        <f t="shared" si="347"/>
        <v>284.03000000000003</v>
      </c>
      <c r="BG185" s="2078">
        <f t="shared" si="348"/>
        <v>284.03000000000003</v>
      </c>
      <c r="BH185" s="2078">
        <f t="shared" si="349"/>
        <v>284.03000000000003</v>
      </c>
      <c r="BI185" s="2078">
        <f t="shared" si="350"/>
        <v>431.72560000000004</v>
      </c>
      <c r="BJ185" s="2078">
        <f t="shared" si="351"/>
        <v>431.72560000000004</v>
      </c>
      <c r="BK185" s="2078">
        <f t="shared" si="352"/>
        <v>431.72560000000004</v>
      </c>
      <c r="BL185" s="2078">
        <f t="shared" si="353"/>
        <v>431.72560000000004</v>
      </c>
      <c r="BM185" s="2078">
        <f t="shared" si="354"/>
        <v>431.72560000000004</v>
      </c>
      <c r="BN185" s="2078">
        <f t="shared" si="355"/>
        <v>431.72560000000004</v>
      </c>
      <c r="BO185" s="2078">
        <f t="shared" si="356"/>
        <v>431.72560000000004</v>
      </c>
      <c r="BP185" s="2078">
        <f t="shared" si="357"/>
        <v>431.72560000000004</v>
      </c>
      <c r="BQ185" s="2078">
        <f t="shared" si="358"/>
        <v>431.72560000000004</v>
      </c>
      <c r="BR185" s="2078">
        <f t="shared" si="359"/>
        <v>431.72560000000004</v>
      </c>
      <c r="BS185" s="2079">
        <f t="shared" si="403"/>
        <v>1</v>
      </c>
      <c r="BT185" s="2079">
        <f t="shared" si="404"/>
        <v>0</v>
      </c>
      <c r="BU185" s="2079">
        <f t="shared" si="405"/>
        <v>0</v>
      </c>
      <c r="BV185" s="2079">
        <f t="shared" si="406"/>
        <v>0</v>
      </c>
      <c r="BW185" s="2079">
        <f t="shared" si="407"/>
        <v>0</v>
      </c>
      <c r="BX185" s="2079">
        <f t="shared" si="408"/>
        <v>0</v>
      </c>
      <c r="BY185" s="2079">
        <f t="shared" si="409"/>
        <v>0</v>
      </c>
      <c r="BZ185" s="2079">
        <f t="shared" si="410"/>
        <v>0</v>
      </c>
      <c r="CA185" s="2079">
        <f t="shared" si="411"/>
        <v>0</v>
      </c>
      <c r="CB185" s="2079">
        <f t="shared" si="412"/>
        <v>0</v>
      </c>
      <c r="CC185" s="2078">
        <f t="shared" ca="1" si="360"/>
        <v>1139.4825000000001</v>
      </c>
      <c r="CD185" s="2078">
        <f t="shared" ca="1" si="361"/>
        <v>1139.4825000000001</v>
      </c>
      <c r="CE185" s="2078">
        <f t="shared" ca="1" si="362"/>
        <v>1139.4825000000001</v>
      </c>
      <c r="CF185" s="2078">
        <f t="shared" ca="1" si="363"/>
        <v>1139.4825000000001</v>
      </c>
      <c r="CG185" s="2078">
        <f t="shared" ca="1" si="364"/>
        <v>1139.4825000000001</v>
      </c>
      <c r="CH185" s="2078">
        <f t="shared" ca="1" si="365"/>
        <v>1139.4825000000001</v>
      </c>
      <c r="CI185" s="2078">
        <f t="shared" ca="1" si="366"/>
        <v>1139.4825000000001</v>
      </c>
      <c r="CJ185" s="2078">
        <f t="shared" ca="1" si="367"/>
        <v>1139.4825000000001</v>
      </c>
      <c r="CK185" s="2078">
        <f t="shared" ca="1" si="368"/>
        <v>1139.4825000000001</v>
      </c>
      <c r="CL185" s="2078">
        <f t="shared" ca="1" si="369"/>
        <v>1139.4825000000001</v>
      </c>
      <c r="CM185" s="2078">
        <f t="shared" si="413"/>
        <v>1</v>
      </c>
      <c r="CN185" s="2078">
        <f t="shared" si="414"/>
        <v>1</v>
      </c>
      <c r="CO185" s="2078">
        <f t="shared" si="415"/>
        <v>1</v>
      </c>
      <c r="CP185" s="2078">
        <f t="shared" si="370"/>
        <v>1</v>
      </c>
      <c r="CQ185" s="2078">
        <f t="shared" si="416"/>
        <v>0</v>
      </c>
      <c r="CR185" s="2078">
        <f t="shared" si="417"/>
        <v>0</v>
      </c>
      <c r="CS185" s="2078">
        <f t="shared" si="371"/>
        <v>0</v>
      </c>
      <c r="CT185" s="2078">
        <f t="shared" si="418"/>
        <v>1</v>
      </c>
      <c r="CU185" s="2078">
        <f t="shared" si="372"/>
        <v>1</v>
      </c>
      <c r="CV185" s="2078">
        <f t="shared" si="419"/>
        <v>0</v>
      </c>
      <c r="CW185" s="2078">
        <f>IF(OR(AE185&lt;&gt;3,F185="Exclude"),0,IF(ISERROR(MATCH($E185,'4 Sign-off'!$S$123:$X$123,0)),0,1))</f>
        <v>1</v>
      </c>
      <c r="CX185" s="2078">
        <f t="shared" si="373"/>
        <v>1</v>
      </c>
      <c r="CY185" s="2078">
        <f t="shared" si="420"/>
        <v>1</v>
      </c>
      <c r="CZ185" s="2993">
        <f t="shared" ca="1" si="374"/>
        <v>1139.4825000000001</v>
      </c>
      <c r="DA185" s="3037">
        <f t="shared" ca="1" si="375"/>
        <v>664.50690000000009</v>
      </c>
      <c r="DB185" s="1664"/>
      <c r="DC185" s="1320"/>
      <c r="DD185" s="589"/>
      <c r="DE185" s="1321"/>
      <c r="DF185" s="107"/>
      <c r="DG185" s="112"/>
      <c r="DH185" s="140"/>
      <c r="DI185" s="22"/>
      <c r="DJ185" s="145"/>
      <c r="DK185" s="137">
        <v>25</v>
      </c>
      <c r="DL185" s="137"/>
      <c r="DM185" s="137"/>
      <c r="DN185" s="137"/>
      <c r="DO185" s="137"/>
      <c r="DP185" s="137"/>
      <c r="DQ185" s="137"/>
      <c r="DR185" s="137"/>
      <c r="DS185" s="137"/>
      <c r="DT185" s="137"/>
      <c r="DU185" s="137"/>
      <c r="DV185" s="137"/>
      <c r="DW185" s="137"/>
      <c r="DX185" s="137"/>
      <c r="DY185" s="137"/>
      <c r="DZ185" s="137"/>
      <c r="EA185" s="137"/>
      <c r="EB185" s="137"/>
      <c r="EC185" s="137"/>
      <c r="ED185" s="137"/>
      <c r="EE185" s="137"/>
      <c r="EF185" s="137"/>
      <c r="EG185" s="137"/>
      <c r="EH185" s="137"/>
      <c r="EI185" s="137"/>
      <c r="EJ185" s="137"/>
      <c r="EK185" s="137"/>
      <c r="EL185" s="137"/>
      <c r="EM185" s="137"/>
      <c r="EN185" s="137"/>
      <c r="EO185" s="137"/>
      <c r="EP185" s="137"/>
      <c r="EQ185" s="137"/>
      <c r="ER185" s="137"/>
      <c r="ES185" s="137"/>
      <c r="ET185" s="137"/>
      <c r="EU185" s="137"/>
      <c r="EV185" s="137"/>
      <c r="EW185" s="137"/>
      <c r="EX185" s="137"/>
      <c r="EY185" s="137"/>
      <c r="EZ185" s="137"/>
      <c r="FA185" s="137"/>
      <c r="FB185" s="137"/>
      <c r="FC185" s="137"/>
      <c r="FD185" s="137"/>
      <c r="FE185" s="137"/>
      <c r="FF185" s="137"/>
      <c r="FG185" s="860"/>
      <c r="FH185" s="1288"/>
      <c r="FI185" s="1318"/>
      <c r="FJ185" s="126"/>
      <c r="FK185" s="127"/>
      <c r="FL185" s="128" t="str">
        <f t="shared" si="376"/>
        <v xml:space="preserve">Performance Management/Project Support/Administration    </v>
      </c>
      <c r="FM185" s="128"/>
      <c r="FN185" s="1686">
        <f t="shared" si="377"/>
        <v>25</v>
      </c>
      <c r="FO185" s="46">
        <f t="shared" si="421"/>
        <v>0</v>
      </c>
      <c r="FP185" s="46">
        <f t="shared" si="422"/>
        <v>8.3333333333333329E-2</v>
      </c>
      <c r="FQ185" s="75">
        <f t="shared" si="378"/>
        <v>12</v>
      </c>
      <c r="FR185" s="46">
        <f t="shared" si="379"/>
        <v>12</v>
      </c>
      <c r="FS185" s="46">
        <f t="shared" si="380"/>
        <v>8.3333333333333329E-2</v>
      </c>
      <c r="FT185" s="75">
        <f t="shared" si="381"/>
        <v>0</v>
      </c>
      <c r="FU185" s="2603">
        <f t="shared" si="423"/>
        <v>431.72560000000004</v>
      </c>
      <c r="FV185" s="2607">
        <f t="shared" si="424"/>
        <v>0</v>
      </c>
      <c r="FW185" s="2603">
        <f t="shared" si="425"/>
        <v>0</v>
      </c>
      <c r="FX185" s="2631">
        <f t="shared" si="426"/>
        <v>1</v>
      </c>
      <c r="FY185" s="81">
        <f t="shared" si="382"/>
        <v>12</v>
      </c>
      <c r="FZ185" s="64">
        <f t="array" ref="FZ185">MATCH(1,($GT185:$LQ185&gt;0)*$GT$25:$LQ$25,0)</f>
        <v>1</v>
      </c>
      <c r="GA185" s="64">
        <f t="array" ref="GA185">MATCH(2,1/(GT185:LQ185&gt;0))</f>
        <v>12</v>
      </c>
      <c r="GB185" s="64">
        <f t="shared" si="383"/>
        <v>0</v>
      </c>
      <c r="GC185" s="46"/>
      <c r="GD185" s="613"/>
      <c r="GE185" s="613"/>
      <c r="GF185" s="613"/>
      <c r="GG185" s="613"/>
      <c r="GH185" s="613"/>
      <c r="GI185" s="613"/>
      <c r="GJ185" s="613"/>
      <c r="GK185" s="613"/>
      <c r="GL185" s="613"/>
      <c r="GM185" s="613"/>
      <c r="GN185" s="385">
        <f t="shared" si="384"/>
        <v>43836</v>
      </c>
      <c r="GO185" s="386">
        <f t="shared" si="385"/>
        <v>43917</v>
      </c>
      <c r="GP185" s="2635"/>
      <c r="GQ185" s="175"/>
      <c r="GR185" s="172"/>
      <c r="GS185" s="65"/>
      <c r="GT185" s="167">
        <v>1</v>
      </c>
      <c r="GU185" s="167">
        <v>1</v>
      </c>
      <c r="GV185" s="167">
        <v>1</v>
      </c>
      <c r="GW185" s="167">
        <v>1</v>
      </c>
      <c r="GX185" s="167">
        <v>1</v>
      </c>
      <c r="GY185" s="167">
        <v>1</v>
      </c>
      <c r="GZ185" s="167">
        <v>1</v>
      </c>
      <c r="HA185" s="167">
        <v>1</v>
      </c>
      <c r="HB185" s="167">
        <v>1</v>
      </c>
      <c r="HC185" s="167">
        <v>1</v>
      </c>
      <c r="HD185" s="167">
        <v>1</v>
      </c>
      <c r="HE185" s="167">
        <v>1</v>
      </c>
      <c r="HF185" s="168"/>
      <c r="HG185" s="168"/>
      <c r="HH185" s="168"/>
      <c r="HI185" s="168"/>
      <c r="HJ185" s="168"/>
      <c r="HK185" s="168"/>
      <c r="HL185" s="168"/>
      <c r="HM185" s="168"/>
      <c r="HN185" s="168"/>
      <c r="HO185" s="168"/>
      <c r="HP185" s="168"/>
      <c r="HQ185" s="168"/>
      <c r="HR185" s="168"/>
      <c r="HS185" s="168"/>
      <c r="HT185" s="168"/>
      <c r="HU185" s="168"/>
      <c r="HV185" s="168"/>
      <c r="HW185" s="168"/>
      <c r="HX185" s="168"/>
      <c r="HY185" s="168"/>
      <c r="HZ185" s="168"/>
      <c r="IA185" s="168"/>
      <c r="IB185" s="168"/>
      <c r="IC185" s="168"/>
      <c r="ID185" s="168"/>
      <c r="IE185" s="168"/>
      <c r="IF185" s="168"/>
      <c r="IG185" s="168"/>
      <c r="IH185" s="168"/>
      <c r="II185" s="168"/>
      <c r="IJ185" s="168"/>
      <c r="IK185" s="168"/>
      <c r="IL185" s="168"/>
      <c r="IM185" s="168"/>
      <c r="IN185" s="168"/>
      <c r="IO185" s="168"/>
      <c r="IP185" s="168"/>
      <c r="IQ185" s="168"/>
      <c r="IR185" s="168"/>
      <c r="IS185" s="168"/>
      <c r="IT185" s="168"/>
      <c r="IU185" s="168"/>
      <c r="IV185" s="168"/>
      <c r="IW185" s="168"/>
      <c r="IX185" s="168"/>
      <c r="IY185" s="168"/>
      <c r="IZ185" s="168"/>
      <c r="JA185" s="168"/>
      <c r="JB185" s="168"/>
      <c r="JC185" s="168"/>
      <c r="JD185" s="168"/>
      <c r="JE185" s="168"/>
      <c r="JF185" s="168"/>
      <c r="JG185" s="168"/>
      <c r="JH185" s="168"/>
      <c r="JI185" s="168"/>
      <c r="JJ185" s="168"/>
      <c r="JK185" s="168"/>
      <c r="JL185" s="168"/>
      <c r="JM185" s="168"/>
      <c r="JN185" s="168"/>
      <c r="JO185" s="168"/>
      <c r="JP185" s="168"/>
      <c r="JQ185" s="168"/>
      <c r="JR185" s="168"/>
      <c r="JS185" s="168"/>
      <c r="JT185" s="168"/>
      <c r="JU185" s="168"/>
      <c r="JV185" s="168"/>
      <c r="JW185" s="168"/>
      <c r="JX185" s="168"/>
      <c r="JY185" s="168"/>
      <c r="JZ185" s="168"/>
      <c r="KA185" s="168"/>
      <c r="KB185" s="168"/>
      <c r="KC185" s="168"/>
      <c r="KD185" s="168"/>
      <c r="KE185" s="168"/>
      <c r="KF185" s="168"/>
      <c r="KG185" s="168"/>
      <c r="KH185" s="168"/>
      <c r="KI185" s="168"/>
      <c r="KJ185" s="168"/>
      <c r="KK185" s="168"/>
      <c r="KL185" s="168"/>
      <c r="KM185" s="168"/>
      <c r="KN185" s="168"/>
      <c r="KO185" s="168"/>
      <c r="KP185" s="168"/>
      <c r="KQ185" s="168"/>
      <c r="KR185" s="168"/>
      <c r="KS185" s="168"/>
      <c r="KT185" s="168"/>
      <c r="KU185" s="168"/>
      <c r="KV185" s="168"/>
      <c r="KW185" s="168"/>
      <c r="KX185" s="168"/>
      <c r="KY185" s="168"/>
      <c r="KZ185" s="168"/>
      <c r="LA185" s="168"/>
      <c r="LB185" s="168"/>
      <c r="LC185" s="168"/>
      <c r="LD185" s="168"/>
      <c r="LE185" s="168"/>
      <c r="LF185" s="168"/>
      <c r="LG185" s="168"/>
      <c r="LH185" s="168"/>
      <c r="LI185" s="168"/>
      <c r="LJ185" s="168"/>
      <c r="LK185" s="168"/>
      <c r="LL185" s="168"/>
      <c r="LM185" s="168"/>
      <c r="LN185" s="168"/>
      <c r="LO185" s="168"/>
      <c r="LP185" s="606"/>
      <c r="LQ185" s="609"/>
      <c r="LR185" s="1319"/>
      <c r="LS185" s="1319"/>
    </row>
    <row r="186" spans="1:331" s="2" customFormat="1" ht="15" customHeight="1" x14ac:dyDescent="0.25">
      <c r="A186" s="283"/>
      <c r="B186" s="303"/>
      <c r="C186" s="301"/>
      <c r="D186" s="1287"/>
      <c r="E186" s="2298">
        <v>99</v>
      </c>
      <c r="F186" s="1812"/>
      <c r="G186" s="3342"/>
      <c r="H186" s="66"/>
      <c r="I186" s="1746" t="s">
        <v>4399</v>
      </c>
      <c r="J186" s="1214"/>
      <c r="K186" s="105"/>
      <c r="L186" s="91" t="s">
        <v>1503</v>
      </c>
      <c r="M186" s="92" t="s">
        <v>4394</v>
      </c>
      <c r="N186" s="93"/>
      <c r="O186" s="94" t="s">
        <v>4357</v>
      </c>
      <c r="P186" s="96"/>
      <c r="Q186" s="95"/>
      <c r="R186" s="993">
        <f t="shared" si="325"/>
        <v>15</v>
      </c>
      <c r="S186" s="23">
        <f t="shared" si="326"/>
        <v>966.12396000000012</v>
      </c>
      <c r="T186" s="24">
        <f t="shared" si="327"/>
        <v>15</v>
      </c>
      <c r="U186" s="24">
        <f t="shared" si="328"/>
        <v>0</v>
      </c>
      <c r="V186" s="24">
        <f t="shared" si="329"/>
        <v>25.95</v>
      </c>
      <c r="W186" s="24">
        <f t="shared" ca="1" si="330"/>
        <v>0</v>
      </c>
      <c r="X186" s="72">
        <f t="shared" ca="1" si="386"/>
        <v>1369.343625</v>
      </c>
      <c r="Y186" s="72">
        <f t="shared" si="331"/>
        <v>940.17396000000008</v>
      </c>
      <c r="Z186" s="24">
        <f t="shared" si="332"/>
        <v>618.53550000000007</v>
      </c>
      <c r="AA186" s="72">
        <f t="shared" si="387"/>
        <v>0</v>
      </c>
      <c r="AB186" s="24">
        <f t="shared" si="388"/>
        <v>0</v>
      </c>
      <c r="AC186" s="24">
        <f t="shared" ca="1" si="333"/>
        <v>1369.343625</v>
      </c>
      <c r="AD186" s="24">
        <f t="shared" si="389"/>
        <v>940.17396000000008</v>
      </c>
      <c r="AE186" s="2078">
        <f t="shared" si="334"/>
        <v>3</v>
      </c>
      <c r="AF186" s="2078" t="str">
        <f t="shared" si="335"/>
        <v>7</v>
      </c>
      <c r="AG186" s="2078" t="str">
        <f t="shared" si="336"/>
        <v>7.5</v>
      </c>
      <c r="AH186" s="2521">
        <f t="shared" si="390"/>
        <v>1</v>
      </c>
      <c r="AI186" s="25" t="str">
        <f t="shared" si="337"/>
        <v/>
      </c>
      <c r="AJ186" s="2521" t="str">
        <f t="shared" ca="1" si="391"/>
        <v>L</v>
      </c>
      <c r="AK186" s="2076">
        <f t="shared" ca="1" si="392"/>
        <v>0</v>
      </c>
      <c r="AL186" s="2078">
        <f>IF(ISBLANK(J186),0,ISERROR(MATCH(J186,'5  Control Accounts'!$FA$29:$FA$96,0))*1)</f>
        <v>0</v>
      </c>
      <c r="AM186" s="2076">
        <f t="shared" si="338"/>
        <v>0</v>
      </c>
      <c r="AN186" s="2078">
        <f t="shared" si="339"/>
        <v>1</v>
      </c>
      <c r="AO186" s="2079">
        <f t="shared" si="393"/>
        <v>1</v>
      </c>
      <c r="AP186" s="2079">
        <f t="shared" si="394"/>
        <v>0</v>
      </c>
      <c r="AQ186" s="2079">
        <f t="shared" si="395"/>
        <v>0</v>
      </c>
      <c r="AR186" s="2079">
        <f t="shared" si="396"/>
        <v>0</v>
      </c>
      <c r="AS186" s="2079">
        <f t="shared" si="397"/>
        <v>0</v>
      </c>
      <c r="AT186" s="2079">
        <f t="shared" si="398"/>
        <v>0</v>
      </c>
      <c r="AU186" s="2079">
        <f t="shared" si="399"/>
        <v>0</v>
      </c>
      <c r="AV186" s="2079">
        <f t="shared" si="400"/>
        <v>0</v>
      </c>
      <c r="AW186" s="2079">
        <f t="shared" si="401"/>
        <v>0</v>
      </c>
      <c r="AX186" s="2079">
        <f t="shared" si="402"/>
        <v>0</v>
      </c>
      <c r="AY186" s="2078">
        <f t="shared" si="340"/>
        <v>618.53550000000007</v>
      </c>
      <c r="AZ186" s="2078">
        <f t="shared" si="341"/>
        <v>618.53550000000007</v>
      </c>
      <c r="BA186" s="2078">
        <f t="shared" si="342"/>
        <v>618.53550000000007</v>
      </c>
      <c r="BB186" s="2078">
        <f t="shared" si="343"/>
        <v>618.53550000000007</v>
      </c>
      <c r="BC186" s="2078">
        <f t="shared" si="344"/>
        <v>618.53550000000007</v>
      </c>
      <c r="BD186" s="2078">
        <f t="shared" si="345"/>
        <v>618.53550000000007</v>
      </c>
      <c r="BE186" s="2078">
        <f t="shared" si="346"/>
        <v>618.53550000000007</v>
      </c>
      <c r="BF186" s="2078">
        <f t="shared" si="347"/>
        <v>618.53550000000007</v>
      </c>
      <c r="BG186" s="2078">
        <f t="shared" si="348"/>
        <v>618.53550000000007</v>
      </c>
      <c r="BH186" s="2078">
        <f t="shared" si="349"/>
        <v>618.53550000000007</v>
      </c>
      <c r="BI186" s="2078">
        <f t="shared" si="350"/>
        <v>940.17396000000008</v>
      </c>
      <c r="BJ186" s="2078">
        <f t="shared" si="351"/>
        <v>940.17396000000008</v>
      </c>
      <c r="BK186" s="2078">
        <f t="shared" si="352"/>
        <v>940.17396000000008</v>
      </c>
      <c r="BL186" s="2078">
        <f t="shared" si="353"/>
        <v>940.17396000000008</v>
      </c>
      <c r="BM186" s="2078">
        <f t="shared" si="354"/>
        <v>940.17396000000008</v>
      </c>
      <c r="BN186" s="2078">
        <f t="shared" si="355"/>
        <v>940.17396000000008</v>
      </c>
      <c r="BO186" s="2078">
        <f t="shared" si="356"/>
        <v>940.17396000000008</v>
      </c>
      <c r="BP186" s="2078">
        <f t="shared" si="357"/>
        <v>940.17396000000008</v>
      </c>
      <c r="BQ186" s="2078">
        <f t="shared" si="358"/>
        <v>940.17396000000008</v>
      </c>
      <c r="BR186" s="2078">
        <f t="shared" si="359"/>
        <v>940.17396000000008</v>
      </c>
      <c r="BS186" s="2079">
        <f t="shared" si="403"/>
        <v>1</v>
      </c>
      <c r="BT186" s="2079">
        <f t="shared" si="404"/>
        <v>0</v>
      </c>
      <c r="BU186" s="2079">
        <f t="shared" si="405"/>
        <v>0</v>
      </c>
      <c r="BV186" s="2079">
        <f t="shared" si="406"/>
        <v>0</v>
      </c>
      <c r="BW186" s="2079">
        <f t="shared" si="407"/>
        <v>0</v>
      </c>
      <c r="BX186" s="2079">
        <f t="shared" si="408"/>
        <v>0</v>
      </c>
      <c r="BY186" s="2079">
        <f t="shared" si="409"/>
        <v>0</v>
      </c>
      <c r="BZ186" s="2079">
        <f t="shared" si="410"/>
        <v>0</v>
      </c>
      <c r="CA186" s="2079">
        <f t="shared" si="411"/>
        <v>0</v>
      </c>
      <c r="CB186" s="2079">
        <f t="shared" si="412"/>
        <v>0</v>
      </c>
      <c r="CC186" s="2078">
        <f t="shared" ca="1" si="360"/>
        <v>1369.343625</v>
      </c>
      <c r="CD186" s="2078">
        <f t="shared" ca="1" si="361"/>
        <v>1369.343625</v>
      </c>
      <c r="CE186" s="2078">
        <f t="shared" ca="1" si="362"/>
        <v>1369.343625</v>
      </c>
      <c r="CF186" s="2078">
        <f t="shared" ca="1" si="363"/>
        <v>1369.343625</v>
      </c>
      <c r="CG186" s="2078">
        <f t="shared" ca="1" si="364"/>
        <v>1369.343625</v>
      </c>
      <c r="CH186" s="2078">
        <f t="shared" ca="1" si="365"/>
        <v>1369.343625</v>
      </c>
      <c r="CI186" s="2078">
        <f t="shared" ca="1" si="366"/>
        <v>1369.343625</v>
      </c>
      <c r="CJ186" s="2078">
        <f t="shared" ca="1" si="367"/>
        <v>1369.343625</v>
      </c>
      <c r="CK186" s="2078">
        <f t="shared" ca="1" si="368"/>
        <v>1369.343625</v>
      </c>
      <c r="CL186" s="2078">
        <f t="shared" ca="1" si="369"/>
        <v>1369.343625</v>
      </c>
      <c r="CM186" s="2078">
        <f t="shared" si="413"/>
        <v>1</v>
      </c>
      <c r="CN186" s="2078">
        <f t="shared" si="414"/>
        <v>1</v>
      </c>
      <c r="CO186" s="2078">
        <f t="shared" si="415"/>
        <v>1</v>
      </c>
      <c r="CP186" s="2078">
        <f t="shared" si="370"/>
        <v>1</v>
      </c>
      <c r="CQ186" s="2078">
        <f t="shared" si="416"/>
        <v>0</v>
      </c>
      <c r="CR186" s="2078">
        <f t="shared" si="417"/>
        <v>0</v>
      </c>
      <c r="CS186" s="2078">
        <f t="shared" si="371"/>
        <v>0</v>
      </c>
      <c r="CT186" s="2078">
        <f t="shared" si="418"/>
        <v>1</v>
      </c>
      <c r="CU186" s="2078">
        <f t="shared" si="372"/>
        <v>1</v>
      </c>
      <c r="CV186" s="2078">
        <f t="shared" si="419"/>
        <v>0</v>
      </c>
      <c r="CW186" s="2078">
        <f>IF(OR(AE186&lt;&gt;3,F186="Exclude"),0,IF(ISERROR(MATCH($E186,'4 Sign-off'!$S$123:$X$123,0)),0,1))</f>
        <v>1</v>
      </c>
      <c r="CX186" s="2078">
        <f t="shared" si="373"/>
        <v>1</v>
      </c>
      <c r="CY186" s="2078">
        <f t="shared" si="420"/>
        <v>1</v>
      </c>
      <c r="CZ186" s="2993">
        <f t="shared" ca="1" si="374"/>
        <v>1369.343625</v>
      </c>
      <c r="DA186" s="3037">
        <f t="shared" ca="1" si="375"/>
        <v>403.21966499999985</v>
      </c>
      <c r="DB186" s="1664"/>
      <c r="DC186" s="1320"/>
      <c r="DD186" s="589"/>
      <c r="DE186" s="1321"/>
      <c r="DF186" s="107"/>
      <c r="DG186" s="112"/>
      <c r="DH186" s="140"/>
      <c r="DI186" s="22"/>
      <c r="DJ186" s="145"/>
      <c r="DK186" s="137"/>
      <c r="DL186" s="137">
        <v>15</v>
      </c>
      <c r="DM186" s="137"/>
      <c r="DN186" s="137"/>
      <c r="DO186" s="137"/>
      <c r="DP186" s="137"/>
      <c r="DQ186" s="137"/>
      <c r="DR186" s="137"/>
      <c r="DS186" s="137"/>
      <c r="DT186" s="137"/>
      <c r="DU186" s="137"/>
      <c r="DV186" s="137"/>
      <c r="DW186" s="137"/>
      <c r="DX186" s="137"/>
      <c r="DY186" s="137"/>
      <c r="DZ186" s="137"/>
      <c r="EA186" s="137"/>
      <c r="EB186" s="137"/>
      <c r="EC186" s="137"/>
      <c r="ED186" s="137"/>
      <c r="EE186" s="137"/>
      <c r="EF186" s="137"/>
      <c r="EG186" s="137"/>
      <c r="EH186" s="137"/>
      <c r="EI186" s="137"/>
      <c r="EJ186" s="137"/>
      <c r="EK186" s="137"/>
      <c r="EL186" s="137"/>
      <c r="EM186" s="137"/>
      <c r="EN186" s="137"/>
      <c r="EO186" s="137"/>
      <c r="EP186" s="137"/>
      <c r="EQ186" s="137"/>
      <c r="ER186" s="137"/>
      <c r="ES186" s="137"/>
      <c r="ET186" s="137"/>
      <c r="EU186" s="137"/>
      <c r="EV186" s="137"/>
      <c r="EW186" s="137"/>
      <c r="EX186" s="137"/>
      <c r="EY186" s="137"/>
      <c r="EZ186" s="137"/>
      <c r="FA186" s="137"/>
      <c r="FB186" s="137"/>
      <c r="FC186" s="137"/>
      <c r="FD186" s="137"/>
      <c r="FE186" s="137"/>
      <c r="FF186" s="137"/>
      <c r="FG186" s="860"/>
      <c r="FH186" s="1288"/>
      <c r="FI186" s="1318"/>
      <c r="FJ186" s="126"/>
      <c r="FK186" s="127"/>
      <c r="FL186" s="128" t="str">
        <f t="shared" si="376"/>
        <v xml:space="preserve">Operational Management    </v>
      </c>
      <c r="FM186" s="128"/>
      <c r="FN186" s="1686">
        <f t="shared" si="377"/>
        <v>15</v>
      </c>
      <c r="FO186" s="46">
        <f t="shared" si="421"/>
        <v>0</v>
      </c>
      <c r="FP186" s="46">
        <f t="shared" si="422"/>
        <v>8.3333333333333329E-2</v>
      </c>
      <c r="FQ186" s="75">
        <f t="shared" si="378"/>
        <v>12</v>
      </c>
      <c r="FR186" s="46">
        <f t="shared" si="379"/>
        <v>12</v>
      </c>
      <c r="FS186" s="46">
        <f t="shared" si="380"/>
        <v>8.3333333333333329E-2</v>
      </c>
      <c r="FT186" s="75">
        <f t="shared" si="381"/>
        <v>0</v>
      </c>
      <c r="FU186" s="2603">
        <f t="shared" si="423"/>
        <v>940.17396000000008</v>
      </c>
      <c r="FV186" s="2607">
        <f t="shared" si="424"/>
        <v>0</v>
      </c>
      <c r="FW186" s="2603">
        <f t="shared" si="425"/>
        <v>0</v>
      </c>
      <c r="FX186" s="2631">
        <f t="shared" si="426"/>
        <v>1</v>
      </c>
      <c r="FY186" s="81">
        <f t="shared" si="382"/>
        <v>12</v>
      </c>
      <c r="FZ186" s="64">
        <f t="array" ref="FZ186">MATCH(1,($GT186:$LQ186&gt;0)*$GT$25:$LQ$25,0)</f>
        <v>1</v>
      </c>
      <c r="GA186" s="64">
        <f t="array" ref="GA186">MATCH(2,1/(GT186:LQ186&gt;0))</f>
        <v>12</v>
      </c>
      <c r="GB186" s="64">
        <f t="shared" si="383"/>
        <v>0</v>
      </c>
      <c r="GC186" s="46"/>
      <c r="GD186" s="613"/>
      <c r="GE186" s="613"/>
      <c r="GF186" s="613"/>
      <c r="GG186" s="613"/>
      <c r="GH186" s="613"/>
      <c r="GI186" s="613"/>
      <c r="GJ186" s="613"/>
      <c r="GK186" s="613"/>
      <c r="GL186" s="613"/>
      <c r="GM186" s="613"/>
      <c r="GN186" s="385">
        <f t="shared" si="384"/>
        <v>43836</v>
      </c>
      <c r="GO186" s="386">
        <f t="shared" si="385"/>
        <v>43917</v>
      </c>
      <c r="GP186" s="2635"/>
      <c r="GQ186" s="175"/>
      <c r="GR186" s="172"/>
      <c r="GS186" s="65"/>
      <c r="GT186" s="167">
        <v>1</v>
      </c>
      <c r="GU186" s="167">
        <v>1</v>
      </c>
      <c r="GV186" s="167">
        <v>1</v>
      </c>
      <c r="GW186" s="167">
        <v>1</v>
      </c>
      <c r="GX186" s="167">
        <v>1</v>
      </c>
      <c r="GY186" s="167">
        <v>1</v>
      </c>
      <c r="GZ186" s="167">
        <v>1</v>
      </c>
      <c r="HA186" s="167">
        <v>1</v>
      </c>
      <c r="HB186" s="167">
        <v>1</v>
      </c>
      <c r="HC186" s="167">
        <v>1</v>
      </c>
      <c r="HD186" s="167">
        <v>1</v>
      </c>
      <c r="HE186" s="167">
        <v>1</v>
      </c>
      <c r="HF186" s="168"/>
      <c r="HG186" s="168"/>
      <c r="HH186" s="168"/>
      <c r="HI186" s="168"/>
      <c r="HJ186" s="168"/>
      <c r="HK186" s="168"/>
      <c r="HL186" s="168"/>
      <c r="HM186" s="168"/>
      <c r="HN186" s="168"/>
      <c r="HO186" s="168"/>
      <c r="HP186" s="168"/>
      <c r="HQ186" s="168"/>
      <c r="HR186" s="168"/>
      <c r="HS186" s="168"/>
      <c r="HT186" s="168"/>
      <c r="HU186" s="168"/>
      <c r="HV186" s="168"/>
      <c r="HW186" s="168"/>
      <c r="HX186" s="168"/>
      <c r="HY186" s="168"/>
      <c r="HZ186" s="168"/>
      <c r="IA186" s="168"/>
      <c r="IB186" s="168"/>
      <c r="IC186" s="168"/>
      <c r="ID186" s="168"/>
      <c r="IE186" s="168"/>
      <c r="IF186" s="168"/>
      <c r="IG186" s="168"/>
      <c r="IH186" s="168"/>
      <c r="II186" s="168"/>
      <c r="IJ186" s="168"/>
      <c r="IK186" s="168"/>
      <c r="IL186" s="168"/>
      <c r="IM186" s="168"/>
      <c r="IN186" s="168"/>
      <c r="IO186" s="168"/>
      <c r="IP186" s="168"/>
      <c r="IQ186" s="168"/>
      <c r="IR186" s="168"/>
      <c r="IS186" s="168"/>
      <c r="IT186" s="168"/>
      <c r="IU186" s="168"/>
      <c r="IV186" s="168"/>
      <c r="IW186" s="168"/>
      <c r="IX186" s="168"/>
      <c r="IY186" s="168"/>
      <c r="IZ186" s="168"/>
      <c r="JA186" s="168"/>
      <c r="JB186" s="168"/>
      <c r="JC186" s="168"/>
      <c r="JD186" s="168"/>
      <c r="JE186" s="168"/>
      <c r="JF186" s="168"/>
      <c r="JG186" s="168"/>
      <c r="JH186" s="168"/>
      <c r="JI186" s="168"/>
      <c r="JJ186" s="168"/>
      <c r="JK186" s="168"/>
      <c r="JL186" s="168"/>
      <c r="JM186" s="168"/>
      <c r="JN186" s="168"/>
      <c r="JO186" s="168"/>
      <c r="JP186" s="168"/>
      <c r="JQ186" s="168"/>
      <c r="JR186" s="168"/>
      <c r="JS186" s="168"/>
      <c r="JT186" s="168"/>
      <c r="JU186" s="168"/>
      <c r="JV186" s="168"/>
      <c r="JW186" s="168"/>
      <c r="JX186" s="168"/>
      <c r="JY186" s="168"/>
      <c r="JZ186" s="168"/>
      <c r="KA186" s="168"/>
      <c r="KB186" s="168"/>
      <c r="KC186" s="168"/>
      <c r="KD186" s="168"/>
      <c r="KE186" s="168"/>
      <c r="KF186" s="168"/>
      <c r="KG186" s="168"/>
      <c r="KH186" s="168"/>
      <c r="KI186" s="168"/>
      <c r="KJ186" s="168"/>
      <c r="KK186" s="168"/>
      <c r="KL186" s="168"/>
      <c r="KM186" s="168"/>
      <c r="KN186" s="168"/>
      <c r="KO186" s="168"/>
      <c r="KP186" s="168"/>
      <c r="KQ186" s="168"/>
      <c r="KR186" s="168"/>
      <c r="KS186" s="168"/>
      <c r="KT186" s="168"/>
      <c r="KU186" s="168"/>
      <c r="KV186" s="168"/>
      <c r="KW186" s="168"/>
      <c r="KX186" s="168"/>
      <c r="KY186" s="168"/>
      <c r="KZ186" s="168"/>
      <c r="LA186" s="168"/>
      <c r="LB186" s="168"/>
      <c r="LC186" s="168"/>
      <c r="LD186" s="168"/>
      <c r="LE186" s="168"/>
      <c r="LF186" s="168"/>
      <c r="LG186" s="168"/>
      <c r="LH186" s="168"/>
      <c r="LI186" s="168"/>
      <c r="LJ186" s="168"/>
      <c r="LK186" s="168"/>
      <c r="LL186" s="168"/>
      <c r="LM186" s="168"/>
      <c r="LN186" s="168"/>
      <c r="LO186" s="168"/>
      <c r="LP186" s="606"/>
      <c r="LQ186" s="609"/>
      <c r="LR186" s="1319"/>
      <c r="LS186" s="1319"/>
    </row>
    <row r="187" spans="1:331" s="2" customFormat="1" ht="15" customHeight="1" x14ac:dyDescent="0.25">
      <c r="A187" s="283"/>
      <c r="B187" s="303"/>
      <c r="C187" s="301"/>
      <c r="D187" s="1287"/>
      <c r="E187" s="2298"/>
      <c r="F187" s="1812"/>
      <c r="G187" s="3342"/>
      <c r="H187" s="66"/>
      <c r="I187" s="1746"/>
      <c r="J187" s="1214"/>
      <c r="K187" s="105"/>
      <c r="L187" s="91"/>
      <c r="M187" s="92"/>
      <c r="N187" s="93"/>
      <c r="O187" s="94"/>
      <c r="P187" s="96"/>
      <c r="Q187" s="95"/>
      <c r="R187" s="993">
        <f t="shared" si="325"/>
        <v>0</v>
      </c>
      <c r="S187" s="23">
        <f t="shared" si="326"/>
        <v>0</v>
      </c>
      <c r="T187" s="24">
        <f t="shared" si="327"/>
        <v>0</v>
      </c>
      <c r="U187" s="24">
        <f t="shared" si="328"/>
        <v>0</v>
      </c>
      <c r="V187" s="24">
        <f t="shared" si="329"/>
        <v>0</v>
      </c>
      <c r="W187" s="24">
        <f t="shared" ca="1" si="330"/>
        <v>0</v>
      </c>
      <c r="X187" s="72">
        <f t="shared" ca="1" si="386"/>
        <v>0</v>
      </c>
      <c r="Y187" s="72">
        <f t="shared" si="331"/>
        <v>0</v>
      </c>
      <c r="Z187" s="24">
        <f t="shared" si="332"/>
        <v>0</v>
      </c>
      <c r="AA187" s="72">
        <f t="shared" si="387"/>
        <v>0</v>
      </c>
      <c r="AB187" s="24">
        <f t="shared" si="388"/>
        <v>0</v>
      </c>
      <c r="AC187" s="24">
        <f t="shared" ca="1" si="333"/>
        <v>0</v>
      </c>
      <c r="AD187" s="24">
        <f t="shared" si="389"/>
        <v>0</v>
      </c>
      <c r="AE187" s="2078">
        <f t="shared" si="334"/>
        <v>3</v>
      </c>
      <c r="AF187" s="2078">
        <f t="shared" si="335"/>
        <v>0</v>
      </c>
      <c r="AG187" s="2078">
        <f t="shared" si="336"/>
        <v>0</v>
      </c>
      <c r="AH187" s="2521">
        <f t="shared" si="390"/>
        <v>1</v>
      </c>
      <c r="AI187" s="25" t="str">
        <f t="shared" si="337"/>
        <v/>
      </c>
      <c r="AJ187" s="2521">
        <f t="shared" ca="1" si="391"/>
        <v>0</v>
      </c>
      <c r="AK187" s="2076">
        <f t="shared" ca="1" si="392"/>
        <v>0</v>
      </c>
      <c r="AL187" s="2078">
        <f>IF(ISBLANK(J187),0,ISERROR(MATCH(J187,'5  Control Accounts'!$FA$29:$FA$96,0))*1)</f>
        <v>0</v>
      </c>
      <c r="AM187" s="2076">
        <f t="shared" si="338"/>
        <v>0</v>
      </c>
      <c r="AN187" s="2078">
        <f t="shared" si="339"/>
        <v>1</v>
      </c>
      <c r="AO187" s="2079">
        <f t="shared" si="393"/>
        <v>1</v>
      </c>
      <c r="AP187" s="2079">
        <f t="shared" si="394"/>
        <v>0</v>
      </c>
      <c r="AQ187" s="2079">
        <f t="shared" si="395"/>
        <v>0</v>
      </c>
      <c r="AR187" s="2079">
        <f t="shared" si="396"/>
        <v>0</v>
      </c>
      <c r="AS187" s="2079">
        <f t="shared" si="397"/>
        <v>0</v>
      </c>
      <c r="AT187" s="2079">
        <f t="shared" si="398"/>
        <v>0</v>
      </c>
      <c r="AU187" s="2079">
        <f t="shared" si="399"/>
        <v>0</v>
      </c>
      <c r="AV187" s="2079">
        <f t="shared" si="400"/>
        <v>0</v>
      </c>
      <c r="AW187" s="2079">
        <f t="shared" si="401"/>
        <v>0</v>
      </c>
      <c r="AX187" s="2079">
        <f t="shared" si="402"/>
        <v>0</v>
      </c>
      <c r="AY187" s="2078">
        <f t="shared" si="340"/>
        <v>0</v>
      </c>
      <c r="AZ187" s="2078">
        <f t="shared" si="341"/>
        <v>0</v>
      </c>
      <c r="BA187" s="2078">
        <f t="shared" si="342"/>
        <v>0</v>
      </c>
      <c r="BB187" s="2078">
        <f t="shared" si="343"/>
        <v>0</v>
      </c>
      <c r="BC187" s="2078">
        <f t="shared" si="344"/>
        <v>0</v>
      </c>
      <c r="BD187" s="2078">
        <f t="shared" si="345"/>
        <v>0</v>
      </c>
      <c r="BE187" s="2078">
        <f t="shared" si="346"/>
        <v>0</v>
      </c>
      <c r="BF187" s="2078">
        <f t="shared" si="347"/>
        <v>0</v>
      </c>
      <c r="BG187" s="2078">
        <f t="shared" si="348"/>
        <v>0</v>
      </c>
      <c r="BH187" s="2078">
        <f t="shared" si="349"/>
        <v>0</v>
      </c>
      <c r="BI187" s="2078">
        <f t="shared" si="350"/>
        <v>0</v>
      </c>
      <c r="BJ187" s="2078">
        <f t="shared" si="351"/>
        <v>0</v>
      </c>
      <c r="BK187" s="2078">
        <f t="shared" si="352"/>
        <v>0</v>
      </c>
      <c r="BL187" s="2078">
        <f t="shared" si="353"/>
        <v>0</v>
      </c>
      <c r="BM187" s="2078">
        <f t="shared" si="354"/>
        <v>0</v>
      </c>
      <c r="BN187" s="2078">
        <f t="shared" si="355"/>
        <v>0</v>
      </c>
      <c r="BO187" s="2078">
        <f t="shared" si="356"/>
        <v>0</v>
      </c>
      <c r="BP187" s="2078">
        <f t="shared" si="357"/>
        <v>0</v>
      </c>
      <c r="BQ187" s="2078">
        <f t="shared" si="358"/>
        <v>0</v>
      </c>
      <c r="BR187" s="2078">
        <f t="shared" si="359"/>
        <v>0</v>
      </c>
      <c r="BS187" s="2079">
        <f t="shared" si="403"/>
        <v>1</v>
      </c>
      <c r="BT187" s="2079">
        <f t="shared" si="404"/>
        <v>0</v>
      </c>
      <c r="BU187" s="2079">
        <f t="shared" si="405"/>
        <v>0</v>
      </c>
      <c r="BV187" s="2079">
        <f t="shared" si="406"/>
        <v>0</v>
      </c>
      <c r="BW187" s="2079">
        <f t="shared" si="407"/>
        <v>0</v>
      </c>
      <c r="BX187" s="2079">
        <f t="shared" si="408"/>
        <v>0</v>
      </c>
      <c r="BY187" s="2079">
        <f t="shared" si="409"/>
        <v>0</v>
      </c>
      <c r="BZ187" s="2079">
        <f t="shared" si="410"/>
        <v>0</v>
      </c>
      <c r="CA187" s="2079">
        <f t="shared" si="411"/>
        <v>0</v>
      </c>
      <c r="CB187" s="2079">
        <f t="shared" si="412"/>
        <v>0</v>
      </c>
      <c r="CC187" s="2078">
        <f t="shared" ca="1" si="360"/>
        <v>0</v>
      </c>
      <c r="CD187" s="2078">
        <f t="shared" ca="1" si="361"/>
        <v>0</v>
      </c>
      <c r="CE187" s="2078">
        <f t="shared" ca="1" si="362"/>
        <v>0</v>
      </c>
      <c r="CF187" s="2078">
        <f t="shared" ca="1" si="363"/>
        <v>0</v>
      </c>
      <c r="CG187" s="2078">
        <f t="shared" ca="1" si="364"/>
        <v>0</v>
      </c>
      <c r="CH187" s="2078">
        <f t="shared" ca="1" si="365"/>
        <v>0</v>
      </c>
      <c r="CI187" s="2078">
        <f t="shared" ca="1" si="366"/>
        <v>0</v>
      </c>
      <c r="CJ187" s="2078">
        <f t="shared" ca="1" si="367"/>
        <v>0</v>
      </c>
      <c r="CK187" s="2078">
        <f t="shared" ca="1" si="368"/>
        <v>0</v>
      </c>
      <c r="CL187" s="2078">
        <f t="shared" ca="1" si="369"/>
        <v>0</v>
      </c>
      <c r="CM187" s="2078">
        <f t="shared" si="413"/>
        <v>1</v>
      </c>
      <c r="CN187" s="2078">
        <f t="shared" si="414"/>
        <v>1</v>
      </c>
      <c r="CO187" s="2078">
        <f t="shared" si="415"/>
        <v>1</v>
      </c>
      <c r="CP187" s="2078">
        <f t="shared" si="370"/>
        <v>1</v>
      </c>
      <c r="CQ187" s="2078">
        <f t="shared" si="416"/>
        <v>0</v>
      </c>
      <c r="CR187" s="2078">
        <f t="shared" si="417"/>
        <v>0</v>
      </c>
      <c r="CS187" s="2078">
        <f t="shared" si="371"/>
        <v>0</v>
      </c>
      <c r="CT187" s="2078">
        <f t="shared" si="418"/>
        <v>1</v>
      </c>
      <c r="CU187" s="2078">
        <f t="shared" si="372"/>
        <v>1</v>
      </c>
      <c r="CV187" s="2078">
        <f t="shared" si="419"/>
        <v>0</v>
      </c>
      <c r="CW187" s="2078">
        <f>IF(OR(AE187&lt;&gt;3,F187="Exclude"),0,IF(ISERROR(MATCH($E187,'4 Sign-off'!$S$123:$X$123,0)),0,1))</f>
        <v>0</v>
      </c>
      <c r="CX187" s="2078">
        <f t="shared" si="373"/>
        <v>0</v>
      </c>
      <c r="CY187" s="2078">
        <f t="shared" si="420"/>
        <v>0</v>
      </c>
      <c r="CZ187" s="2993">
        <f t="shared" ca="1" si="374"/>
        <v>0</v>
      </c>
      <c r="DA187" s="3037">
        <f t="shared" ca="1" si="375"/>
        <v>0</v>
      </c>
      <c r="DB187" s="1664"/>
      <c r="DC187" s="1320"/>
      <c r="DD187" s="589"/>
      <c r="DE187" s="1321"/>
      <c r="DF187" s="107"/>
      <c r="DG187" s="112"/>
      <c r="DH187" s="140"/>
      <c r="DI187" s="22"/>
      <c r="DJ187" s="145"/>
      <c r="DK187" s="137"/>
      <c r="DL187" s="137"/>
      <c r="DM187" s="137"/>
      <c r="DN187" s="137"/>
      <c r="DO187" s="137"/>
      <c r="DP187" s="137"/>
      <c r="DQ187" s="137"/>
      <c r="DR187" s="137"/>
      <c r="DS187" s="137"/>
      <c r="DT187" s="137"/>
      <c r="DU187" s="137"/>
      <c r="DV187" s="137"/>
      <c r="DW187" s="137"/>
      <c r="DX187" s="137"/>
      <c r="DY187" s="137"/>
      <c r="DZ187" s="137"/>
      <c r="EA187" s="137"/>
      <c r="EB187" s="137"/>
      <c r="EC187" s="137"/>
      <c r="ED187" s="137"/>
      <c r="EE187" s="137"/>
      <c r="EF187" s="137"/>
      <c r="EG187" s="137"/>
      <c r="EH187" s="137"/>
      <c r="EI187" s="137"/>
      <c r="EJ187" s="137"/>
      <c r="EK187" s="137"/>
      <c r="EL187" s="137"/>
      <c r="EM187" s="137"/>
      <c r="EN187" s="137"/>
      <c r="EO187" s="137"/>
      <c r="EP187" s="137"/>
      <c r="EQ187" s="137"/>
      <c r="ER187" s="137"/>
      <c r="ES187" s="137"/>
      <c r="ET187" s="137"/>
      <c r="EU187" s="137"/>
      <c r="EV187" s="137"/>
      <c r="EW187" s="137"/>
      <c r="EX187" s="137"/>
      <c r="EY187" s="137"/>
      <c r="EZ187" s="137"/>
      <c r="FA187" s="137"/>
      <c r="FB187" s="137"/>
      <c r="FC187" s="137"/>
      <c r="FD187" s="137"/>
      <c r="FE187" s="137"/>
      <c r="FF187" s="137"/>
      <c r="FG187" s="860"/>
      <c r="FH187" s="1288"/>
      <c r="FI187" s="1318"/>
      <c r="FJ187" s="126"/>
      <c r="FK187" s="127"/>
      <c r="FL187" s="128" t="str">
        <f t="shared" si="376"/>
        <v xml:space="preserve">    </v>
      </c>
      <c r="FM187" s="128"/>
      <c r="FN187" s="1686">
        <f t="shared" si="377"/>
        <v>0</v>
      </c>
      <c r="FO187" s="46">
        <f t="shared" si="421"/>
        <v>0</v>
      </c>
      <c r="FP187" s="46">
        <f t="shared" si="422"/>
        <v>1</v>
      </c>
      <c r="FQ187" s="75">
        <f t="shared" si="378"/>
        <v>0</v>
      </c>
      <c r="FR187" s="46">
        <f t="shared" si="379"/>
        <v>0</v>
      </c>
      <c r="FS187" s="46">
        <f t="shared" si="380"/>
        <v>1</v>
      </c>
      <c r="FT187" s="75">
        <f t="shared" si="381"/>
        <v>0</v>
      </c>
      <c r="FU187" s="2603">
        <f t="shared" si="423"/>
        <v>0</v>
      </c>
      <c r="FV187" s="2607">
        <f t="shared" si="424"/>
        <v>0</v>
      </c>
      <c r="FW187" s="2603">
        <f t="shared" si="425"/>
        <v>0</v>
      </c>
      <c r="FX187" s="2631">
        <f t="shared" si="426"/>
        <v>0</v>
      </c>
      <c r="FY187" s="81" t="e">
        <f t="shared" si="382"/>
        <v>#N/A</v>
      </c>
      <c r="FZ187" s="64" t="e">
        <f t="array" ref="FZ187">MATCH(1,($GT187:$LQ187&gt;0)*$GT$25:$LQ$25,0)</f>
        <v>#N/A</v>
      </c>
      <c r="GA187" s="64" t="e">
        <f t="array" ref="GA187">MATCH(2,1/(GT187:LQ187&gt;0))</f>
        <v>#N/A</v>
      </c>
      <c r="GB187" s="64">
        <f t="shared" si="383"/>
        <v>-1</v>
      </c>
      <c r="GC187" s="46"/>
      <c r="GD187" s="613"/>
      <c r="GE187" s="613"/>
      <c r="GF187" s="613"/>
      <c r="GG187" s="613"/>
      <c r="GH187" s="613"/>
      <c r="GI187" s="613"/>
      <c r="GJ187" s="613"/>
      <c r="GK187" s="613"/>
      <c r="GL187" s="613"/>
      <c r="GM187" s="613"/>
      <c r="GN187" s="385">
        <f t="shared" si="384"/>
        <v>0</v>
      </c>
      <c r="GO187" s="386">
        <f t="shared" si="385"/>
        <v>0</v>
      </c>
      <c r="GP187" s="2635"/>
      <c r="GQ187" s="175"/>
      <c r="GR187" s="172"/>
      <c r="GS187" s="65"/>
      <c r="GT187" s="167"/>
      <c r="GU187" s="168"/>
      <c r="GV187" s="168"/>
      <c r="GW187" s="168"/>
      <c r="GX187" s="168"/>
      <c r="GY187" s="168"/>
      <c r="GZ187" s="168"/>
      <c r="HA187" s="168"/>
      <c r="HB187" s="168"/>
      <c r="HC187" s="168"/>
      <c r="HD187" s="168"/>
      <c r="HE187" s="168"/>
      <c r="HF187" s="168"/>
      <c r="HG187" s="168"/>
      <c r="HH187" s="168"/>
      <c r="HI187" s="168"/>
      <c r="HJ187" s="168"/>
      <c r="HK187" s="168"/>
      <c r="HL187" s="168"/>
      <c r="HM187" s="168"/>
      <c r="HN187" s="168"/>
      <c r="HO187" s="168"/>
      <c r="HP187" s="168"/>
      <c r="HQ187" s="168"/>
      <c r="HR187" s="168"/>
      <c r="HS187" s="168"/>
      <c r="HT187" s="168"/>
      <c r="HU187" s="168"/>
      <c r="HV187" s="168"/>
      <c r="HW187" s="168"/>
      <c r="HX187" s="168"/>
      <c r="HY187" s="168"/>
      <c r="HZ187" s="168"/>
      <c r="IA187" s="168"/>
      <c r="IB187" s="168"/>
      <c r="IC187" s="168"/>
      <c r="ID187" s="168"/>
      <c r="IE187" s="168"/>
      <c r="IF187" s="168"/>
      <c r="IG187" s="168"/>
      <c r="IH187" s="168"/>
      <c r="II187" s="168"/>
      <c r="IJ187" s="168"/>
      <c r="IK187" s="168"/>
      <c r="IL187" s="168"/>
      <c r="IM187" s="168"/>
      <c r="IN187" s="168"/>
      <c r="IO187" s="168"/>
      <c r="IP187" s="168"/>
      <c r="IQ187" s="168"/>
      <c r="IR187" s="168"/>
      <c r="IS187" s="168"/>
      <c r="IT187" s="168"/>
      <c r="IU187" s="168"/>
      <c r="IV187" s="168"/>
      <c r="IW187" s="168"/>
      <c r="IX187" s="168"/>
      <c r="IY187" s="168"/>
      <c r="IZ187" s="168"/>
      <c r="JA187" s="168"/>
      <c r="JB187" s="168"/>
      <c r="JC187" s="168"/>
      <c r="JD187" s="168"/>
      <c r="JE187" s="168"/>
      <c r="JF187" s="168"/>
      <c r="JG187" s="168"/>
      <c r="JH187" s="168"/>
      <c r="JI187" s="168"/>
      <c r="JJ187" s="168"/>
      <c r="JK187" s="168"/>
      <c r="JL187" s="168"/>
      <c r="JM187" s="168"/>
      <c r="JN187" s="168"/>
      <c r="JO187" s="168"/>
      <c r="JP187" s="168"/>
      <c r="JQ187" s="168"/>
      <c r="JR187" s="168"/>
      <c r="JS187" s="168"/>
      <c r="JT187" s="168"/>
      <c r="JU187" s="168"/>
      <c r="JV187" s="168"/>
      <c r="JW187" s="168"/>
      <c r="JX187" s="168"/>
      <c r="JY187" s="168"/>
      <c r="JZ187" s="168"/>
      <c r="KA187" s="168"/>
      <c r="KB187" s="168"/>
      <c r="KC187" s="168"/>
      <c r="KD187" s="168"/>
      <c r="KE187" s="168"/>
      <c r="KF187" s="168"/>
      <c r="KG187" s="168"/>
      <c r="KH187" s="168"/>
      <c r="KI187" s="168"/>
      <c r="KJ187" s="168"/>
      <c r="KK187" s="168"/>
      <c r="KL187" s="168"/>
      <c r="KM187" s="168"/>
      <c r="KN187" s="168"/>
      <c r="KO187" s="168"/>
      <c r="KP187" s="168"/>
      <c r="KQ187" s="168"/>
      <c r="KR187" s="168"/>
      <c r="KS187" s="168"/>
      <c r="KT187" s="168"/>
      <c r="KU187" s="168"/>
      <c r="KV187" s="168"/>
      <c r="KW187" s="168"/>
      <c r="KX187" s="168"/>
      <c r="KY187" s="168"/>
      <c r="KZ187" s="168"/>
      <c r="LA187" s="168"/>
      <c r="LB187" s="168"/>
      <c r="LC187" s="168"/>
      <c r="LD187" s="168"/>
      <c r="LE187" s="168"/>
      <c r="LF187" s="168"/>
      <c r="LG187" s="168"/>
      <c r="LH187" s="168"/>
      <c r="LI187" s="168"/>
      <c r="LJ187" s="168"/>
      <c r="LK187" s="168"/>
      <c r="LL187" s="168"/>
      <c r="LM187" s="168"/>
      <c r="LN187" s="168"/>
      <c r="LO187" s="168"/>
      <c r="LP187" s="606"/>
      <c r="LQ187" s="609"/>
      <c r="LR187" s="1319"/>
      <c r="LS187" s="1319"/>
    </row>
    <row r="188" spans="1:331" s="2" customFormat="1" ht="15" customHeight="1" x14ac:dyDescent="0.25">
      <c r="A188" s="283"/>
      <c r="B188" s="303"/>
      <c r="C188" s="301"/>
      <c r="D188" s="1287"/>
      <c r="E188" s="2298"/>
      <c r="F188" s="1812"/>
      <c r="G188" s="3342"/>
      <c r="H188" s="66"/>
      <c r="I188" s="1746"/>
      <c r="J188" s="1214"/>
      <c r="K188" s="105"/>
      <c r="L188" s="91"/>
      <c r="M188" s="92"/>
      <c r="N188" s="93"/>
      <c r="O188" s="94"/>
      <c r="P188" s="96"/>
      <c r="Q188" s="95"/>
      <c r="R188" s="993">
        <f t="shared" si="325"/>
        <v>0</v>
      </c>
      <c r="S188" s="23">
        <f t="shared" si="326"/>
        <v>0</v>
      </c>
      <c r="T188" s="24">
        <f t="shared" si="327"/>
        <v>0</v>
      </c>
      <c r="U188" s="24">
        <f t="shared" si="328"/>
        <v>0</v>
      </c>
      <c r="V188" s="24">
        <f t="shared" si="329"/>
        <v>0</v>
      </c>
      <c r="W188" s="24">
        <f t="shared" ca="1" si="330"/>
        <v>0</v>
      </c>
      <c r="X188" s="72">
        <f t="shared" ca="1" si="386"/>
        <v>0</v>
      </c>
      <c r="Y188" s="72">
        <f t="shared" si="331"/>
        <v>0</v>
      </c>
      <c r="Z188" s="24">
        <f t="shared" si="332"/>
        <v>0</v>
      </c>
      <c r="AA188" s="72">
        <f t="shared" si="387"/>
        <v>0</v>
      </c>
      <c r="AB188" s="24">
        <f t="shared" si="388"/>
        <v>0</v>
      </c>
      <c r="AC188" s="24">
        <f t="shared" ca="1" si="333"/>
        <v>0</v>
      </c>
      <c r="AD188" s="24">
        <f t="shared" si="389"/>
        <v>0</v>
      </c>
      <c r="AE188" s="2078">
        <f t="shared" si="334"/>
        <v>3</v>
      </c>
      <c r="AF188" s="2078">
        <f t="shared" si="335"/>
        <v>0</v>
      </c>
      <c r="AG188" s="2078">
        <f t="shared" si="336"/>
        <v>0</v>
      </c>
      <c r="AH188" s="2521">
        <f t="shared" si="390"/>
        <v>1</v>
      </c>
      <c r="AI188" s="25" t="str">
        <f t="shared" si="337"/>
        <v/>
      </c>
      <c r="AJ188" s="2521">
        <f t="shared" ca="1" si="391"/>
        <v>0</v>
      </c>
      <c r="AK188" s="2076">
        <f t="shared" ca="1" si="392"/>
        <v>0</v>
      </c>
      <c r="AL188" s="2078">
        <f>IF(ISBLANK(J188),0,ISERROR(MATCH(J188,'5  Control Accounts'!$FA$29:$FA$96,0))*1)</f>
        <v>0</v>
      </c>
      <c r="AM188" s="2076">
        <f t="shared" si="338"/>
        <v>0</v>
      </c>
      <c r="AN188" s="2078">
        <f t="shared" si="339"/>
        <v>1</v>
      </c>
      <c r="AO188" s="2079">
        <f t="shared" si="393"/>
        <v>1</v>
      </c>
      <c r="AP188" s="2079">
        <f t="shared" si="394"/>
        <v>0</v>
      </c>
      <c r="AQ188" s="2079">
        <f t="shared" si="395"/>
        <v>0</v>
      </c>
      <c r="AR188" s="2079">
        <f t="shared" si="396"/>
        <v>0</v>
      </c>
      <c r="AS188" s="2079">
        <f t="shared" si="397"/>
        <v>0</v>
      </c>
      <c r="AT188" s="2079">
        <f t="shared" si="398"/>
        <v>0</v>
      </c>
      <c r="AU188" s="2079">
        <f t="shared" si="399"/>
        <v>0</v>
      </c>
      <c r="AV188" s="2079">
        <f t="shared" si="400"/>
        <v>0</v>
      </c>
      <c r="AW188" s="2079">
        <f t="shared" si="401"/>
        <v>0</v>
      </c>
      <c r="AX188" s="2079">
        <f t="shared" si="402"/>
        <v>0</v>
      </c>
      <c r="AY188" s="2078">
        <f t="shared" si="340"/>
        <v>0</v>
      </c>
      <c r="AZ188" s="2078">
        <f t="shared" si="341"/>
        <v>0</v>
      </c>
      <c r="BA188" s="2078">
        <f t="shared" si="342"/>
        <v>0</v>
      </c>
      <c r="BB188" s="2078">
        <f t="shared" si="343"/>
        <v>0</v>
      </c>
      <c r="BC188" s="2078">
        <f t="shared" si="344"/>
        <v>0</v>
      </c>
      <c r="BD188" s="2078">
        <f t="shared" si="345"/>
        <v>0</v>
      </c>
      <c r="BE188" s="2078">
        <f t="shared" si="346"/>
        <v>0</v>
      </c>
      <c r="BF188" s="2078">
        <f t="shared" si="347"/>
        <v>0</v>
      </c>
      <c r="BG188" s="2078">
        <f t="shared" si="348"/>
        <v>0</v>
      </c>
      <c r="BH188" s="2078">
        <f t="shared" si="349"/>
        <v>0</v>
      </c>
      <c r="BI188" s="2078">
        <f t="shared" si="350"/>
        <v>0</v>
      </c>
      <c r="BJ188" s="2078">
        <f t="shared" si="351"/>
        <v>0</v>
      </c>
      <c r="BK188" s="2078">
        <f t="shared" si="352"/>
        <v>0</v>
      </c>
      <c r="BL188" s="2078">
        <f t="shared" si="353"/>
        <v>0</v>
      </c>
      <c r="BM188" s="2078">
        <f t="shared" si="354"/>
        <v>0</v>
      </c>
      <c r="BN188" s="2078">
        <f t="shared" si="355"/>
        <v>0</v>
      </c>
      <c r="BO188" s="2078">
        <f t="shared" si="356"/>
        <v>0</v>
      </c>
      <c r="BP188" s="2078">
        <f t="shared" si="357"/>
        <v>0</v>
      </c>
      <c r="BQ188" s="2078">
        <f t="shared" si="358"/>
        <v>0</v>
      </c>
      <c r="BR188" s="2078">
        <f t="shared" si="359"/>
        <v>0</v>
      </c>
      <c r="BS188" s="2079">
        <f t="shared" si="403"/>
        <v>1</v>
      </c>
      <c r="BT188" s="2079">
        <f t="shared" si="404"/>
        <v>0</v>
      </c>
      <c r="BU188" s="2079">
        <f t="shared" si="405"/>
        <v>0</v>
      </c>
      <c r="BV188" s="2079">
        <f t="shared" si="406"/>
        <v>0</v>
      </c>
      <c r="BW188" s="2079">
        <f t="shared" si="407"/>
        <v>0</v>
      </c>
      <c r="BX188" s="2079">
        <f t="shared" si="408"/>
        <v>0</v>
      </c>
      <c r="BY188" s="2079">
        <f t="shared" si="409"/>
        <v>0</v>
      </c>
      <c r="BZ188" s="2079">
        <f t="shared" si="410"/>
        <v>0</v>
      </c>
      <c r="CA188" s="2079">
        <f t="shared" si="411"/>
        <v>0</v>
      </c>
      <c r="CB188" s="2079">
        <f t="shared" si="412"/>
        <v>0</v>
      </c>
      <c r="CC188" s="2078">
        <f t="shared" ca="1" si="360"/>
        <v>0</v>
      </c>
      <c r="CD188" s="2078">
        <f t="shared" ca="1" si="361"/>
        <v>0</v>
      </c>
      <c r="CE188" s="2078">
        <f t="shared" ca="1" si="362"/>
        <v>0</v>
      </c>
      <c r="CF188" s="2078">
        <f t="shared" ca="1" si="363"/>
        <v>0</v>
      </c>
      <c r="CG188" s="2078">
        <f t="shared" ca="1" si="364"/>
        <v>0</v>
      </c>
      <c r="CH188" s="2078">
        <f t="shared" ca="1" si="365"/>
        <v>0</v>
      </c>
      <c r="CI188" s="2078">
        <f t="shared" ca="1" si="366"/>
        <v>0</v>
      </c>
      <c r="CJ188" s="2078">
        <f t="shared" ca="1" si="367"/>
        <v>0</v>
      </c>
      <c r="CK188" s="2078">
        <f t="shared" ca="1" si="368"/>
        <v>0</v>
      </c>
      <c r="CL188" s="2078">
        <f t="shared" ca="1" si="369"/>
        <v>0</v>
      </c>
      <c r="CM188" s="2078">
        <f t="shared" si="413"/>
        <v>1</v>
      </c>
      <c r="CN188" s="2078">
        <f t="shared" si="414"/>
        <v>1</v>
      </c>
      <c r="CO188" s="2078">
        <f t="shared" si="415"/>
        <v>1</v>
      </c>
      <c r="CP188" s="2078">
        <f t="shared" si="370"/>
        <v>1</v>
      </c>
      <c r="CQ188" s="2078">
        <f t="shared" si="416"/>
        <v>0</v>
      </c>
      <c r="CR188" s="2078">
        <f t="shared" si="417"/>
        <v>0</v>
      </c>
      <c r="CS188" s="2078">
        <f t="shared" si="371"/>
        <v>0</v>
      </c>
      <c r="CT188" s="2078">
        <f t="shared" si="418"/>
        <v>1</v>
      </c>
      <c r="CU188" s="2078">
        <f t="shared" si="372"/>
        <v>1</v>
      </c>
      <c r="CV188" s="2078">
        <f t="shared" si="419"/>
        <v>0</v>
      </c>
      <c r="CW188" s="2078">
        <f>IF(OR(AE188&lt;&gt;3,F188="Exclude"),0,IF(ISERROR(MATCH($E188,'4 Sign-off'!$S$123:$X$123,0)),0,1))</f>
        <v>0</v>
      </c>
      <c r="CX188" s="2078">
        <f t="shared" si="373"/>
        <v>0</v>
      </c>
      <c r="CY188" s="2078">
        <f t="shared" si="420"/>
        <v>0</v>
      </c>
      <c r="CZ188" s="2993">
        <f t="shared" ca="1" si="374"/>
        <v>0</v>
      </c>
      <c r="DA188" s="3037">
        <f t="shared" ca="1" si="375"/>
        <v>0</v>
      </c>
      <c r="DB188" s="1664"/>
      <c r="DC188" s="1320"/>
      <c r="DD188" s="589"/>
      <c r="DE188" s="1321"/>
      <c r="DF188" s="107"/>
      <c r="DG188" s="112"/>
      <c r="DH188" s="140"/>
      <c r="DI188" s="22"/>
      <c r="DJ188" s="145"/>
      <c r="DK188" s="137"/>
      <c r="DL188" s="137"/>
      <c r="DM188" s="137"/>
      <c r="DN188" s="137"/>
      <c r="DO188" s="137"/>
      <c r="DP188" s="137"/>
      <c r="DQ188" s="137"/>
      <c r="DR188" s="137"/>
      <c r="DS188" s="137"/>
      <c r="DT188" s="137"/>
      <c r="DU188" s="137"/>
      <c r="DV188" s="137"/>
      <c r="DW188" s="137"/>
      <c r="DX188" s="137"/>
      <c r="DY188" s="137"/>
      <c r="DZ188" s="137"/>
      <c r="EA188" s="137"/>
      <c r="EB188" s="137"/>
      <c r="EC188" s="137"/>
      <c r="ED188" s="137"/>
      <c r="EE188" s="137"/>
      <c r="EF188" s="137"/>
      <c r="EG188" s="137"/>
      <c r="EH188" s="137"/>
      <c r="EI188" s="137"/>
      <c r="EJ188" s="137"/>
      <c r="EK188" s="137"/>
      <c r="EL188" s="137"/>
      <c r="EM188" s="137"/>
      <c r="EN188" s="137"/>
      <c r="EO188" s="137"/>
      <c r="EP188" s="137"/>
      <c r="EQ188" s="137"/>
      <c r="ER188" s="137"/>
      <c r="ES188" s="137"/>
      <c r="ET188" s="137"/>
      <c r="EU188" s="137"/>
      <c r="EV188" s="137"/>
      <c r="EW188" s="137"/>
      <c r="EX188" s="137"/>
      <c r="EY188" s="137"/>
      <c r="EZ188" s="137"/>
      <c r="FA188" s="137"/>
      <c r="FB188" s="137"/>
      <c r="FC188" s="137"/>
      <c r="FD188" s="137"/>
      <c r="FE188" s="137"/>
      <c r="FF188" s="137"/>
      <c r="FG188" s="860"/>
      <c r="FH188" s="1288"/>
      <c r="FI188" s="1318"/>
      <c r="FJ188" s="126"/>
      <c r="FK188" s="127"/>
      <c r="FL188" s="128" t="str">
        <f t="shared" si="376"/>
        <v xml:space="preserve">    </v>
      </c>
      <c r="FM188" s="128"/>
      <c r="FN188" s="1686">
        <f t="shared" si="377"/>
        <v>0</v>
      </c>
      <c r="FO188" s="46">
        <f t="shared" si="421"/>
        <v>0</v>
      </c>
      <c r="FP188" s="46">
        <f>IFERROR(1/FQ188,1)</f>
        <v>1</v>
      </c>
      <c r="FQ188" s="75">
        <f t="shared" si="378"/>
        <v>0</v>
      </c>
      <c r="FR188" s="46">
        <f t="shared" si="379"/>
        <v>0</v>
      </c>
      <c r="FS188" s="46">
        <f t="shared" si="380"/>
        <v>1</v>
      </c>
      <c r="FT188" s="75">
        <f t="shared" si="381"/>
        <v>0</v>
      </c>
      <c r="FU188" s="2603">
        <f t="shared" si="423"/>
        <v>0</v>
      </c>
      <c r="FV188" s="2607">
        <f t="shared" si="424"/>
        <v>0</v>
      </c>
      <c r="FW188" s="2603">
        <f t="shared" si="425"/>
        <v>0</v>
      </c>
      <c r="FX188" s="2631">
        <f t="shared" si="426"/>
        <v>0</v>
      </c>
      <c r="FY188" s="81" t="e">
        <f t="shared" si="382"/>
        <v>#N/A</v>
      </c>
      <c r="FZ188" s="64" t="e">
        <f t="array" ref="FZ188">MATCH(1,($GT188:$LQ188&gt;0)*$GT$25:$LQ$25,0)</f>
        <v>#N/A</v>
      </c>
      <c r="GA188" s="64" t="e">
        <f t="array" ref="GA188">MATCH(2,1/(GT188:LQ188&gt;0))</f>
        <v>#N/A</v>
      </c>
      <c r="GB188" s="64">
        <f t="shared" si="383"/>
        <v>-1</v>
      </c>
      <c r="GC188" s="46"/>
      <c r="GD188" s="613"/>
      <c r="GE188" s="613"/>
      <c r="GF188" s="613"/>
      <c r="GG188" s="613"/>
      <c r="GH188" s="613"/>
      <c r="GI188" s="613"/>
      <c r="GJ188" s="613"/>
      <c r="GK188" s="613"/>
      <c r="GL188" s="613"/>
      <c r="GM188" s="613"/>
      <c r="GN188" s="385">
        <f t="shared" si="384"/>
        <v>0</v>
      </c>
      <c r="GO188" s="386">
        <f t="shared" si="385"/>
        <v>0</v>
      </c>
      <c r="GP188" s="2635"/>
      <c r="GQ188" s="175"/>
      <c r="GR188" s="172"/>
      <c r="GS188" s="65"/>
      <c r="GT188" s="167"/>
      <c r="GU188" s="168"/>
      <c r="GV188" s="168"/>
      <c r="GW188" s="168"/>
      <c r="GX188" s="168"/>
      <c r="GY188" s="168"/>
      <c r="GZ188" s="168"/>
      <c r="HA188" s="168"/>
      <c r="HB188" s="168"/>
      <c r="HC188" s="168"/>
      <c r="HD188" s="168"/>
      <c r="HE188" s="168"/>
      <c r="HF188" s="168"/>
      <c r="HG188" s="168"/>
      <c r="HH188" s="168"/>
      <c r="HI188" s="168"/>
      <c r="HJ188" s="168"/>
      <c r="HK188" s="168"/>
      <c r="HL188" s="168"/>
      <c r="HM188" s="168"/>
      <c r="HN188" s="168"/>
      <c r="HO188" s="168"/>
      <c r="HP188" s="168"/>
      <c r="HQ188" s="168"/>
      <c r="HR188" s="168"/>
      <c r="HS188" s="168"/>
      <c r="HT188" s="168"/>
      <c r="HU188" s="168"/>
      <c r="HV188" s="168"/>
      <c r="HW188" s="168"/>
      <c r="HX188" s="168"/>
      <c r="HY188" s="168"/>
      <c r="HZ188" s="168"/>
      <c r="IA188" s="168"/>
      <c r="IB188" s="168"/>
      <c r="IC188" s="168"/>
      <c r="ID188" s="168"/>
      <c r="IE188" s="168"/>
      <c r="IF188" s="168"/>
      <c r="IG188" s="168"/>
      <c r="IH188" s="168"/>
      <c r="II188" s="168"/>
      <c r="IJ188" s="168"/>
      <c r="IK188" s="168"/>
      <c r="IL188" s="168"/>
      <c r="IM188" s="168"/>
      <c r="IN188" s="168"/>
      <c r="IO188" s="168"/>
      <c r="IP188" s="168"/>
      <c r="IQ188" s="168"/>
      <c r="IR188" s="168"/>
      <c r="IS188" s="168"/>
      <c r="IT188" s="168"/>
      <c r="IU188" s="168"/>
      <c r="IV188" s="168"/>
      <c r="IW188" s="168"/>
      <c r="IX188" s="168"/>
      <c r="IY188" s="168"/>
      <c r="IZ188" s="168"/>
      <c r="JA188" s="168"/>
      <c r="JB188" s="168"/>
      <c r="JC188" s="168"/>
      <c r="JD188" s="168"/>
      <c r="JE188" s="168"/>
      <c r="JF188" s="168"/>
      <c r="JG188" s="168"/>
      <c r="JH188" s="168"/>
      <c r="JI188" s="168"/>
      <c r="JJ188" s="168"/>
      <c r="JK188" s="168"/>
      <c r="JL188" s="168"/>
      <c r="JM188" s="168"/>
      <c r="JN188" s="168"/>
      <c r="JO188" s="168"/>
      <c r="JP188" s="168"/>
      <c r="JQ188" s="168"/>
      <c r="JR188" s="168"/>
      <c r="JS188" s="168"/>
      <c r="JT188" s="168"/>
      <c r="JU188" s="168"/>
      <c r="JV188" s="168"/>
      <c r="JW188" s="168"/>
      <c r="JX188" s="168"/>
      <c r="JY188" s="168"/>
      <c r="JZ188" s="168"/>
      <c r="KA188" s="168"/>
      <c r="KB188" s="168"/>
      <c r="KC188" s="168"/>
      <c r="KD188" s="168"/>
      <c r="KE188" s="168"/>
      <c r="KF188" s="168"/>
      <c r="KG188" s="168"/>
      <c r="KH188" s="168"/>
      <c r="KI188" s="168"/>
      <c r="KJ188" s="168"/>
      <c r="KK188" s="168"/>
      <c r="KL188" s="168"/>
      <c r="KM188" s="168"/>
      <c r="KN188" s="168"/>
      <c r="KO188" s="168"/>
      <c r="KP188" s="168"/>
      <c r="KQ188" s="168"/>
      <c r="KR188" s="168"/>
      <c r="KS188" s="168"/>
      <c r="KT188" s="168"/>
      <c r="KU188" s="168"/>
      <c r="KV188" s="168"/>
      <c r="KW188" s="168"/>
      <c r="KX188" s="168"/>
      <c r="KY188" s="168"/>
      <c r="KZ188" s="168"/>
      <c r="LA188" s="168"/>
      <c r="LB188" s="168"/>
      <c r="LC188" s="168"/>
      <c r="LD188" s="168"/>
      <c r="LE188" s="168"/>
      <c r="LF188" s="168"/>
      <c r="LG188" s="168"/>
      <c r="LH188" s="168"/>
      <c r="LI188" s="168"/>
      <c r="LJ188" s="168"/>
      <c r="LK188" s="168"/>
      <c r="LL188" s="168"/>
      <c r="LM188" s="168"/>
      <c r="LN188" s="168"/>
      <c r="LO188" s="168"/>
      <c r="LP188" s="606"/>
      <c r="LQ188" s="609"/>
      <c r="LR188" s="1319"/>
      <c r="LS188" s="1319"/>
    </row>
    <row r="189" spans="1:331" s="2" customFormat="1" ht="15" customHeight="1" x14ac:dyDescent="0.25">
      <c r="A189" s="283"/>
      <c r="B189" s="303"/>
      <c r="C189" s="301"/>
      <c r="D189" s="1287"/>
      <c r="E189" s="2298"/>
      <c r="F189" s="1812"/>
      <c r="G189" s="3342"/>
      <c r="H189" s="66"/>
      <c r="I189" s="1746"/>
      <c r="J189" s="1214"/>
      <c r="K189" s="105"/>
      <c r="L189" s="91"/>
      <c r="M189" s="92"/>
      <c r="N189" s="93"/>
      <c r="O189" s="94"/>
      <c r="P189" s="96"/>
      <c r="Q189" s="95"/>
      <c r="R189" s="993">
        <f t="shared" si="325"/>
        <v>0</v>
      </c>
      <c r="S189" s="23">
        <f t="shared" si="326"/>
        <v>0</v>
      </c>
      <c r="T189" s="24">
        <f t="shared" si="327"/>
        <v>0</v>
      </c>
      <c r="U189" s="24">
        <f t="shared" si="328"/>
        <v>0</v>
      </c>
      <c r="V189" s="24">
        <f t="shared" si="329"/>
        <v>0</v>
      </c>
      <c r="W189" s="24">
        <f t="shared" ca="1" si="330"/>
        <v>0</v>
      </c>
      <c r="X189" s="72">
        <f t="shared" ca="1" si="386"/>
        <v>0</v>
      </c>
      <c r="Y189" s="72">
        <f t="shared" si="331"/>
        <v>0</v>
      </c>
      <c r="Z189" s="24">
        <f t="shared" si="332"/>
        <v>0</v>
      </c>
      <c r="AA189" s="72">
        <f t="shared" si="387"/>
        <v>0</v>
      </c>
      <c r="AB189" s="24">
        <f t="shared" si="388"/>
        <v>0</v>
      </c>
      <c r="AC189" s="24">
        <f t="shared" ca="1" si="333"/>
        <v>0</v>
      </c>
      <c r="AD189" s="24">
        <f t="shared" si="389"/>
        <v>0</v>
      </c>
      <c r="AE189" s="2078">
        <f t="shared" si="334"/>
        <v>3</v>
      </c>
      <c r="AF189" s="2078">
        <f t="shared" si="335"/>
        <v>0</v>
      </c>
      <c r="AG189" s="2078">
        <f t="shared" si="336"/>
        <v>0</v>
      </c>
      <c r="AH189" s="2521">
        <f t="shared" si="390"/>
        <v>1</v>
      </c>
      <c r="AI189" s="25" t="str">
        <f t="shared" si="337"/>
        <v/>
      </c>
      <c r="AJ189" s="2521">
        <f t="shared" ca="1" si="391"/>
        <v>0</v>
      </c>
      <c r="AK189" s="2076">
        <f t="shared" ca="1" si="392"/>
        <v>0</v>
      </c>
      <c r="AL189" s="2078">
        <f>IF(ISBLANK(J189),0,ISERROR(MATCH(J189,'5  Control Accounts'!$FA$29:$FA$96,0))*1)</f>
        <v>0</v>
      </c>
      <c r="AM189" s="2076">
        <f t="shared" si="338"/>
        <v>0</v>
      </c>
      <c r="AN189" s="2078">
        <f t="shared" si="339"/>
        <v>1</v>
      </c>
      <c r="AO189" s="2079">
        <f t="shared" si="393"/>
        <v>1</v>
      </c>
      <c r="AP189" s="2079">
        <f t="shared" si="394"/>
        <v>0</v>
      </c>
      <c r="AQ189" s="2079">
        <f t="shared" si="395"/>
        <v>0</v>
      </c>
      <c r="AR189" s="2079">
        <f t="shared" si="396"/>
        <v>0</v>
      </c>
      <c r="AS189" s="2079">
        <f t="shared" si="397"/>
        <v>0</v>
      </c>
      <c r="AT189" s="2079">
        <f t="shared" si="398"/>
        <v>0</v>
      </c>
      <c r="AU189" s="2079">
        <f t="shared" si="399"/>
        <v>0</v>
      </c>
      <c r="AV189" s="2079">
        <f t="shared" si="400"/>
        <v>0</v>
      </c>
      <c r="AW189" s="2079">
        <f t="shared" si="401"/>
        <v>0</v>
      </c>
      <c r="AX189" s="2079">
        <f t="shared" si="402"/>
        <v>0</v>
      </c>
      <c r="AY189" s="2078">
        <f t="shared" si="340"/>
        <v>0</v>
      </c>
      <c r="AZ189" s="2078">
        <f t="shared" si="341"/>
        <v>0</v>
      </c>
      <c r="BA189" s="2078">
        <f t="shared" si="342"/>
        <v>0</v>
      </c>
      <c r="BB189" s="2078">
        <f t="shared" si="343"/>
        <v>0</v>
      </c>
      <c r="BC189" s="2078">
        <f t="shared" si="344"/>
        <v>0</v>
      </c>
      <c r="BD189" s="2078">
        <f t="shared" si="345"/>
        <v>0</v>
      </c>
      <c r="BE189" s="2078">
        <f t="shared" si="346"/>
        <v>0</v>
      </c>
      <c r="BF189" s="2078">
        <f t="shared" si="347"/>
        <v>0</v>
      </c>
      <c r="BG189" s="2078">
        <f t="shared" si="348"/>
        <v>0</v>
      </c>
      <c r="BH189" s="2078">
        <f t="shared" si="349"/>
        <v>0</v>
      </c>
      <c r="BI189" s="2078">
        <f t="shared" si="350"/>
        <v>0</v>
      </c>
      <c r="BJ189" s="2078">
        <f t="shared" si="351"/>
        <v>0</v>
      </c>
      <c r="BK189" s="2078">
        <f t="shared" si="352"/>
        <v>0</v>
      </c>
      <c r="BL189" s="2078">
        <f t="shared" si="353"/>
        <v>0</v>
      </c>
      <c r="BM189" s="2078">
        <f t="shared" si="354"/>
        <v>0</v>
      </c>
      <c r="BN189" s="2078">
        <f t="shared" si="355"/>
        <v>0</v>
      </c>
      <c r="BO189" s="2078">
        <f t="shared" si="356"/>
        <v>0</v>
      </c>
      <c r="BP189" s="2078">
        <f t="shared" si="357"/>
        <v>0</v>
      </c>
      <c r="BQ189" s="2078">
        <f t="shared" si="358"/>
        <v>0</v>
      </c>
      <c r="BR189" s="2078">
        <f t="shared" si="359"/>
        <v>0</v>
      </c>
      <c r="BS189" s="2079">
        <f t="shared" si="403"/>
        <v>1</v>
      </c>
      <c r="BT189" s="2079">
        <f t="shared" si="404"/>
        <v>0</v>
      </c>
      <c r="BU189" s="2079">
        <f t="shared" si="405"/>
        <v>0</v>
      </c>
      <c r="BV189" s="2079">
        <f t="shared" si="406"/>
        <v>0</v>
      </c>
      <c r="BW189" s="2079">
        <f t="shared" si="407"/>
        <v>0</v>
      </c>
      <c r="BX189" s="2079">
        <f t="shared" si="408"/>
        <v>0</v>
      </c>
      <c r="BY189" s="2079">
        <f t="shared" si="409"/>
        <v>0</v>
      </c>
      <c r="BZ189" s="2079">
        <f t="shared" si="410"/>
        <v>0</v>
      </c>
      <c r="CA189" s="2079">
        <f t="shared" si="411"/>
        <v>0</v>
      </c>
      <c r="CB189" s="2079">
        <f t="shared" si="412"/>
        <v>0</v>
      </c>
      <c r="CC189" s="2078">
        <f t="shared" ca="1" si="360"/>
        <v>0</v>
      </c>
      <c r="CD189" s="2078">
        <f t="shared" ca="1" si="361"/>
        <v>0</v>
      </c>
      <c r="CE189" s="2078">
        <f t="shared" ca="1" si="362"/>
        <v>0</v>
      </c>
      <c r="CF189" s="2078">
        <f t="shared" ca="1" si="363"/>
        <v>0</v>
      </c>
      <c r="CG189" s="2078">
        <f t="shared" ca="1" si="364"/>
        <v>0</v>
      </c>
      <c r="CH189" s="2078">
        <f t="shared" ca="1" si="365"/>
        <v>0</v>
      </c>
      <c r="CI189" s="2078">
        <f t="shared" ca="1" si="366"/>
        <v>0</v>
      </c>
      <c r="CJ189" s="2078">
        <f t="shared" ca="1" si="367"/>
        <v>0</v>
      </c>
      <c r="CK189" s="2078">
        <f t="shared" ca="1" si="368"/>
        <v>0</v>
      </c>
      <c r="CL189" s="2078">
        <f t="shared" ca="1" si="369"/>
        <v>0</v>
      </c>
      <c r="CM189" s="2078">
        <f t="shared" si="413"/>
        <v>1</v>
      </c>
      <c r="CN189" s="2078">
        <f t="shared" si="414"/>
        <v>1</v>
      </c>
      <c r="CO189" s="2078">
        <f t="shared" si="415"/>
        <v>1</v>
      </c>
      <c r="CP189" s="2078">
        <f t="shared" si="370"/>
        <v>1</v>
      </c>
      <c r="CQ189" s="2078">
        <f t="shared" si="416"/>
        <v>0</v>
      </c>
      <c r="CR189" s="2078">
        <f t="shared" si="417"/>
        <v>0</v>
      </c>
      <c r="CS189" s="2078">
        <f t="shared" si="371"/>
        <v>0</v>
      </c>
      <c r="CT189" s="2078">
        <f t="shared" si="418"/>
        <v>1</v>
      </c>
      <c r="CU189" s="2078">
        <f t="shared" si="372"/>
        <v>1</v>
      </c>
      <c r="CV189" s="2078">
        <f t="shared" si="419"/>
        <v>0</v>
      </c>
      <c r="CW189" s="2078">
        <f>IF(OR(AE189&lt;&gt;3,F189="Exclude"),0,IF(ISERROR(MATCH($E189,'4 Sign-off'!$S$123:$X$123,0)),0,1))</f>
        <v>0</v>
      </c>
      <c r="CX189" s="2078">
        <f t="shared" si="373"/>
        <v>0</v>
      </c>
      <c r="CY189" s="2078">
        <f t="shared" si="420"/>
        <v>0</v>
      </c>
      <c r="CZ189" s="2993">
        <f t="shared" ca="1" si="374"/>
        <v>0</v>
      </c>
      <c r="DA189" s="3037">
        <f t="shared" ca="1" si="375"/>
        <v>0</v>
      </c>
      <c r="DB189" s="1664"/>
      <c r="DC189" s="1320"/>
      <c r="DD189" s="589"/>
      <c r="DE189" s="1321"/>
      <c r="DF189" s="107"/>
      <c r="DG189" s="112"/>
      <c r="DH189" s="140"/>
      <c r="DI189" s="22"/>
      <c r="DJ189" s="145"/>
      <c r="DK189" s="137"/>
      <c r="DL189" s="137"/>
      <c r="DM189" s="137"/>
      <c r="DN189" s="137"/>
      <c r="DO189" s="137"/>
      <c r="DP189" s="137"/>
      <c r="DQ189" s="137"/>
      <c r="DR189" s="137"/>
      <c r="DS189" s="137"/>
      <c r="DT189" s="137"/>
      <c r="DU189" s="137"/>
      <c r="DV189" s="137"/>
      <c r="DW189" s="137"/>
      <c r="DX189" s="137"/>
      <c r="DY189" s="137"/>
      <c r="DZ189" s="137"/>
      <c r="EA189" s="137"/>
      <c r="EB189" s="137"/>
      <c r="EC189" s="137"/>
      <c r="ED189" s="137"/>
      <c r="EE189" s="137"/>
      <c r="EF189" s="137"/>
      <c r="EG189" s="137"/>
      <c r="EH189" s="137"/>
      <c r="EI189" s="137"/>
      <c r="EJ189" s="137"/>
      <c r="EK189" s="137"/>
      <c r="EL189" s="137"/>
      <c r="EM189" s="137"/>
      <c r="EN189" s="137"/>
      <c r="EO189" s="137"/>
      <c r="EP189" s="137"/>
      <c r="EQ189" s="137"/>
      <c r="ER189" s="137"/>
      <c r="ES189" s="137"/>
      <c r="ET189" s="137"/>
      <c r="EU189" s="137"/>
      <c r="EV189" s="137"/>
      <c r="EW189" s="137"/>
      <c r="EX189" s="137"/>
      <c r="EY189" s="137"/>
      <c r="EZ189" s="137"/>
      <c r="FA189" s="137"/>
      <c r="FB189" s="137"/>
      <c r="FC189" s="137"/>
      <c r="FD189" s="137"/>
      <c r="FE189" s="137"/>
      <c r="FF189" s="137"/>
      <c r="FG189" s="860"/>
      <c r="FH189" s="1288"/>
      <c r="FI189" s="1318"/>
      <c r="FJ189" s="126"/>
      <c r="FK189" s="127"/>
      <c r="FL189" s="128" t="str">
        <f t="shared" si="376"/>
        <v xml:space="preserve">    </v>
      </c>
      <c r="FM189" s="128"/>
      <c r="FN189" s="1686">
        <f t="shared" si="377"/>
        <v>0</v>
      </c>
      <c r="FO189" s="46">
        <f t="shared" si="421"/>
        <v>0</v>
      </c>
      <c r="FP189" s="46">
        <f t="shared" si="422"/>
        <v>1</v>
      </c>
      <c r="FQ189" s="75">
        <f t="shared" si="378"/>
        <v>0</v>
      </c>
      <c r="FR189" s="46">
        <f t="shared" si="379"/>
        <v>0</v>
      </c>
      <c r="FS189" s="46">
        <f t="shared" si="380"/>
        <v>1</v>
      </c>
      <c r="FT189" s="75">
        <f t="shared" si="381"/>
        <v>0</v>
      </c>
      <c r="FU189" s="2603">
        <f t="shared" si="423"/>
        <v>0</v>
      </c>
      <c r="FV189" s="2607">
        <f t="shared" si="424"/>
        <v>0</v>
      </c>
      <c r="FW189" s="2603">
        <f t="shared" si="425"/>
        <v>0</v>
      </c>
      <c r="FX189" s="2631">
        <f t="shared" si="426"/>
        <v>0</v>
      </c>
      <c r="FY189" s="81" t="e">
        <f t="shared" si="382"/>
        <v>#N/A</v>
      </c>
      <c r="FZ189" s="64" t="e">
        <f t="array" ref="FZ189">MATCH(1,($GT189:$LQ189&gt;0)*$GT$25:$LQ$25,0)</f>
        <v>#N/A</v>
      </c>
      <c r="GA189" s="64" t="e">
        <f t="array" ref="GA189">MATCH(2,1/(GT189:LQ189&gt;0))</f>
        <v>#N/A</v>
      </c>
      <c r="GB189" s="64">
        <f t="shared" si="383"/>
        <v>-1</v>
      </c>
      <c r="GC189" s="46"/>
      <c r="GD189" s="613"/>
      <c r="GE189" s="613"/>
      <c r="GF189" s="613"/>
      <c r="GG189" s="613"/>
      <c r="GH189" s="613"/>
      <c r="GI189" s="613"/>
      <c r="GJ189" s="613"/>
      <c r="GK189" s="613"/>
      <c r="GL189" s="613"/>
      <c r="GM189" s="613"/>
      <c r="GN189" s="385">
        <f t="shared" si="384"/>
        <v>0</v>
      </c>
      <c r="GO189" s="386">
        <f t="shared" si="385"/>
        <v>0</v>
      </c>
      <c r="GP189" s="2635"/>
      <c r="GQ189" s="175"/>
      <c r="GR189" s="172"/>
      <c r="GS189" s="65"/>
      <c r="GT189" s="167"/>
      <c r="GU189" s="168"/>
      <c r="GV189" s="168"/>
      <c r="GW189" s="168"/>
      <c r="GX189" s="168"/>
      <c r="GY189" s="168"/>
      <c r="GZ189" s="168"/>
      <c r="HA189" s="168"/>
      <c r="HB189" s="168"/>
      <c r="HC189" s="168"/>
      <c r="HD189" s="168"/>
      <c r="HE189" s="168"/>
      <c r="HF189" s="168"/>
      <c r="HG189" s="168"/>
      <c r="HH189" s="168"/>
      <c r="HI189" s="168"/>
      <c r="HJ189" s="168"/>
      <c r="HK189" s="168"/>
      <c r="HL189" s="168"/>
      <c r="HM189" s="168"/>
      <c r="HN189" s="168"/>
      <c r="HO189" s="168"/>
      <c r="HP189" s="168"/>
      <c r="HQ189" s="168"/>
      <c r="HR189" s="168"/>
      <c r="HS189" s="168"/>
      <c r="HT189" s="168"/>
      <c r="HU189" s="168"/>
      <c r="HV189" s="168"/>
      <c r="HW189" s="168"/>
      <c r="HX189" s="168"/>
      <c r="HY189" s="168"/>
      <c r="HZ189" s="168"/>
      <c r="IA189" s="168"/>
      <c r="IB189" s="168"/>
      <c r="IC189" s="168"/>
      <c r="ID189" s="168"/>
      <c r="IE189" s="168"/>
      <c r="IF189" s="168"/>
      <c r="IG189" s="168"/>
      <c r="IH189" s="168"/>
      <c r="II189" s="168"/>
      <c r="IJ189" s="168"/>
      <c r="IK189" s="168"/>
      <c r="IL189" s="168"/>
      <c r="IM189" s="168"/>
      <c r="IN189" s="168"/>
      <c r="IO189" s="168"/>
      <c r="IP189" s="168"/>
      <c r="IQ189" s="168"/>
      <c r="IR189" s="168"/>
      <c r="IS189" s="168"/>
      <c r="IT189" s="168"/>
      <c r="IU189" s="168"/>
      <c r="IV189" s="168"/>
      <c r="IW189" s="168"/>
      <c r="IX189" s="168"/>
      <c r="IY189" s="168"/>
      <c r="IZ189" s="168"/>
      <c r="JA189" s="168"/>
      <c r="JB189" s="168"/>
      <c r="JC189" s="168"/>
      <c r="JD189" s="168"/>
      <c r="JE189" s="168"/>
      <c r="JF189" s="168"/>
      <c r="JG189" s="168"/>
      <c r="JH189" s="168"/>
      <c r="JI189" s="168"/>
      <c r="JJ189" s="168"/>
      <c r="JK189" s="168"/>
      <c r="JL189" s="168"/>
      <c r="JM189" s="168"/>
      <c r="JN189" s="168"/>
      <c r="JO189" s="168"/>
      <c r="JP189" s="168"/>
      <c r="JQ189" s="168"/>
      <c r="JR189" s="168"/>
      <c r="JS189" s="168"/>
      <c r="JT189" s="168"/>
      <c r="JU189" s="168"/>
      <c r="JV189" s="168"/>
      <c r="JW189" s="168"/>
      <c r="JX189" s="168"/>
      <c r="JY189" s="168"/>
      <c r="JZ189" s="168"/>
      <c r="KA189" s="168"/>
      <c r="KB189" s="168"/>
      <c r="KC189" s="168"/>
      <c r="KD189" s="168"/>
      <c r="KE189" s="168"/>
      <c r="KF189" s="168"/>
      <c r="KG189" s="168"/>
      <c r="KH189" s="168"/>
      <c r="KI189" s="168"/>
      <c r="KJ189" s="168"/>
      <c r="KK189" s="168"/>
      <c r="KL189" s="168"/>
      <c r="KM189" s="168"/>
      <c r="KN189" s="168"/>
      <c r="KO189" s="168"/>
      <c r="KP189" s="168"/>
      <c r="KQ189" s="168"/>
      <c r="KR189" s="168"/>
      <c r="KS189" s="168"/>
      <c r="KT189" s="168"/>
      <c r="KU189" s="168"/>
      <c r="KV189" s="168"/>
      <c r="KW189" s="168"/>
      <c r="KX189" s="168"/>
      <c r="KY189" s="168"/>
      <c r="KZ189" s="168"/>
      <c r="LA189" s="168"/>
      <c r="LB189" s="168"/>
      <c r="LC189" s="168"/>
      <c r="LD189" s="168"/>
      <c r="LE189" s="168"/>
      <c r="LF189" s="168"/>
      <c r="LG189" s="168"/>
      <c r="LH189" s="168"/>
      <c r="LI189" s="168"/>
      <c r="LJ189" s="168"/>
      <c r="LK189" s="168"/>
      <c r="LL189" s="168"/>
      <c r="LM189" s="168"/>
      <c r="LN189" s="168"/>
      <c r="LO189" s="168"/>
      <c r="LP189" s="606"/>
      <c r="LQ189" s="609"/>
      <c r="LR189" s="1319"/>
      <c r="LS189" s="1319"/>
    </row>
    <row r="190" spans="1:331" s="2" customFormat="1" ht="15" customHeight="1" x14ac:dyDescent="0.25">
      <c r="A190" s="283"/>
      <c r="B190" s="303"/>
      <c r="C190" s="301"/>
      <c r="D190" s="1287"/>
      <c r="E190" s="2298"/>
      <c r="F190" s="1812"/>
      <c r="G190" s="3342"/>
      <c r="H190" s="66"/>
      <c r="I190" s="1746"/>
      <c r="J190" s="1214"/>
      <c r="K190" s="105"/>
      <c r="L190" s="91"/>
      <c r="M190" s="92"/>
      <c r="N190" s="93"/>
      <c r="O190" s="94"/>
      <c r="P190" s="96"/>
      <c r="Q190" s="95"/>
      <c r="R190" s="993">
        <f t="shared" si="325"/>
        <v>0</v>
      </c>
      <c r="S190" s="23">
        <f t="shared" si="326"/>
        <v>0</v>
      </c>
      <c r="T190" s="24">
        <f t="shared" si="327"/>
        <v>0</v>
      </c>
      <c r="U190" s="24">
        <f t="shared" si="328"/>
        <v>0</v>
      </c>
      <c r="V190" s="24">
        <f t="shared" si="329"/>
        <v>0</v>
      </c>
      <c r="W190" s="24">
        <f t="shared" ca="1" si="330"/>
        <v>0</v>
      </c>
      <c r="X190" s="72">
        <f t="shared" ca="1" si="386"/>
        <v>0</v>
      </c>
      <c r="Y190" s="72">
        <f t="shared" si="331"/>
        <v>0</v>
      </c>
      <c r="Z190" s="24">
        <f t="shared" si="332"/>
        <v>0</v>
      </c>
      <c r="AA190" s="72">
        <f t="shared" si="387"/>
        <v>0</v>
      </c>
      <c r="AB190" s="24">
        <f t="shared" si="388"/>
        <v>0</v>
      </c>
      <c r="AC190" s="24">
        <f t="shared" ca="1" si="333"/>
        <v>0</v>
      </c>
      <c r="AD190" s="24">
        <f t="shared" si="389"/>
        <v>0</v>
      </c>
      <c r="AE190" s="2078">
        <f t="shared" si="334"/>
        <v>3</v>
      </c>
      <c r="AF190" s="2078">
        <f t="shared" si="335"/>
        <v>0</v>
      </c>
      <c r="AG190" s="2078">
        <f t="shared" si="336"/>
        <v>0</v>
      </c>
      <c r="AH190" s="2521">
        <f t="shared" si="390"/>
        <v>1</v>
      </c>
      <c r="AI190" s="25" t="str">
        <f t="shared" si="337"/>
        <v/>
      </c>
      <c r="AJ190" s="2521">
        <f t="shared" ca="1" si="391"/>
        <v>0</v>
      </c>
      <c r="AK190" s="2076">
        <f t="shared" ca="1" si="392"/>
        <v>0</v>
      </c>
      <c r="AL190" s="2078">
        <f>IF(ISBLANK(J190),0,ISERROR(MATCH(J190,'5  Control Accounts'!$FA$29:$FA$96,0))*1)</f>
        <v>0</v>
      </c>
      <c r="AM190" s="2076">
        <f t="shared" si="338"/>
        <v>0</v>
      </c>
      <c r="AN190" s="2078">
        <f t="shared" si="339"/>
        <v>1</v>
      </c>
      <c r="AO190" s="2079">
        <f t="shared" si="393"/>
        <v>1</v>
      </c>
      <c r="AP190" s="2079">
        <f t="shared" si="394"/>
        <v>0</v>
      </c>
      <c r="AQ190" s="2079">
        <f t="shared" si="395"/>
        <v>0</v>
      </c>
      <c r="AR190" s="2079">
        <f t="shared" si="396"/>
        <v>0</v>
      </c>
      <c r="AS190" s="2079">
        <f t="shared" si="397"/>
        <v>0</v>
      </c>
      <c r="AT190" s="2079">
        <f t="shared" si="398"/>
        <v>0</v>
      </c>
      <c r="AU190" s="2079">
        <f t="shared" si="399"/>
        <v>0</v>
      </c>
      <c r="AV190" s="2079">
        <f t="shared" si="400"/>
        <v>0</v>
      </c>
      <c r="AW190" s="2079">
        <f t="shared" si="401"/>
        <v>0</v>
      </c>
      <c r="AX190" s="2079">
        <f t="shared" si="402"/>
        <v>0</v>
      </c>
      <c r="AY190" s="2078">
        <f t="shared" si="340"/>
        <v>0</v>
      </c>
      <c r="AZ190" s="2078">
        <f t="shared" si="341"/>
        <v>0</v>
      </c>
      <c r="BA190" s="2078">
        <f t="shared" si="342"/>
        <v>0</v>
      </c>
      <c r="BB190" s="2078">
        <f t="shared" si="343"/>
        <v>0</v>
      </c>
      <c r="BC190" s="2078">
        <f t="shared" si="344"/>
        <v>0</v>
      </c>
      <c r="BD190" s="2078">
        <f t="shared" si="345"/>
        <v>0</v>
      </c>
      <c r="BE190" s="2078">
        <f t="shared" si="346"/>
        <v>0</v>
      </c>
      <c r="BF190" s="2078">
        <f t="shared" si="347"/>
        <v>0</v>
      </c>
      <c r="BG190" s="2078">
        <f t="shared" si="348"/>
        <v>0</v>
      </c>
      <c r="BH190" s="2078">
        <f t="shared" si="349"/>
        <v>0</v>
      </c>
      <c r="BI190" s="2078">
        <f t="shared" si="350"/>
        <v>0</v>
      </c>
      <c r="BJ190" s="2078">
        <f t="shared" si="351"/>
        <v>0</v>
      </c>
      <c r="BK190" s="2078">
        <f t="shared" si="352"/>
        <v>0</v>
      </c>
      <c r="BL190" s="2078">
        <f t="shared" si="353"/>
        <v>0</v>
      </c>
      <c r="BM190" s="2078">
        <f t="shared" si="354"/>
        <v>0</v>
      </c>
      <c r="BN190" s="2078">
        <f t="shared" si="355"/>
        <v>0</v>
      </c>
      <c r="BO190" s="2078">
        <f t="shared" si="356"/>
        <v>0</v>
      </c>
      <c r="BP190" s="2078">
        <f t="shared" si="357"/>
        <v>0</v>
      </c>
      <c r="BQ190" s="2078">
        <f t="shared" si="358"/>
        <v>0</v>
      </c>
      <c r="BR190" s="2078">
        <f t="shared" si="359"/>
        <v>0</v>
      </c>
      <c r="BS190" s="2079">
        <f t="shared" si="403"/>
        <v>1</v>
      </c>
      <c r="BT190" s="2079">
        <f t="shared" si="404"/>
        <v>0</v>
      </c>
      <c r="BU190" s="2079">
        <f t="shared" si="405"/>
        <v>0</v>
      </c>
      <c r="BV190" s="2079">
        <f t="shared" si="406"/>
        <v>0</v>
      </c>
      <c r="BW190" s="2079">
        <f t="shared" si="407"/>
        <v>0</v>
      </c>
      <c r="BX190" s="2079">
        <f t="shared" si="408"/>
        <v>0</v>
      </c>
      <c r="BY190" s="2079">
        <f t="shared" si="409"/>
        <v>0</v>
      </c>
      <c r="BZ190" s="2079">
        <f t="shared" si="410"/>
        <v>0</v>
      </c>
      <c r="CA190" s="2079">
        <f t="shared" si="411"/>
        <v>0</v>
      </c>
      <c r="CB190" s="2079">
        <f t="shared" si="412"/>
        <v>0</v>
      </c>
      <c r="CC190" s="2078">
        <f t="shared" ca="1" si="360"/>
        <v>0</v>
      </c>
      <c r="CD190" s="2078">
        <f t="shared" ca="1" si="361"/>
        <v>0</v>
      </c>
      <c r="CE190" s="2078">
        <f t="shared" ca="1" si="362"/>
        <v>0</v>
      </c>
      <c r="CF190" s="2078">
        <f t="shared" ca="1" si="363"/>
        <v>0</v>
      </c>
      <c r="CG190" s="2078">
        <f t="shared" ca="1" si="364"/>
        <v>0</v>
      </c>
      <c r="CH190" s="2078">
        <f t="shared" ca="1" si="365"/>
        <v>0</v>
      </c>
      <c r="CI190" s="2078">
        <f t="shared" ca="1" si="366"/>
        <v>0</v>
      </c>
      <c r="CJ190" s="2078">
        <f t="shared" ca="1" si="367"/>
        <v>0</v>
      </c>
      <c r="CK190" s="2078">
        <f t="shared" ca="1" si="368"/>
        <v>0</v>
      </c>
      <c r="CL190" s="2078">
        <f t="shared" ca="1" si="369"/>
        <v>0</v>
      </c>
      <c r="CM190" s="2078">
        <f t="shared" si="413"/>
        <v>1</v>
      </c>
      <c r="CN190" s="2078">
        <f t="shared" si="414"/>
        <v>1</v>
      </c>
      <c r="CO190" s="2078">
        <f t="shared" si="415"/>
        <v>1</v>
      </c>
      <c r="CP190" s="2078">
        <f t="shared" si="370"/>
        <v>1</v>
      </c>
      <c r="CQ190" s="2078">
        <f t="shared" si="416"/>
        <v>0</v>
      </c>
      <c r="CR190" s="2078">
        <f t="shared" si="417"/>
        <v>0</v>
      </c>
      <c r="CS190" s="2078">
        <f t="shared" si="371"/>
        <v>0</v>
      </c>
      <c r="CT190" s="2078">
        <f t="shared" si="418"/>
        <v>1</v>
      </c>
      <c r="CU190" s="2078">
        <f t="shared" si="372"/>
        <v>1</v>
      </c>
      <c r="CV190" s="2078">
        <f t="shared" si="419"/>
        <v>0</v>
      </c>
      <c r="CW190" s="2078">
        <f>IF(OR(AE190&lt;&gt;3,F190="Exclude"),0,IF(ISERROR(MATCH($E190,'4 Sign-off'!$S$123:$X$123,0)),0,1))</f>
        <v>0</v>
      </c>
      <c r="CX190" s="2078">
        <f t="shared" si="373"/>
        <v>0</v>
      </c>
      <c r="CY190" s="2078">
        <f t="shared" si="420"/>
        <v>0</v>
      </c>
      <c r="CZ190" s="2993">
        <f t="shared" ca="1" si="374"/>
        <v>0</v>
      </c>
      <c r="DA190" s="3037">
        <f t="shared" ca="1" si="375"/>
        <v>0</v>
      </c>
      <c r="DB190" s="1664"/>
      <c r="DC190" s="1320"/>
      <c r="DD190" s="589"/>
      <c r="DE190" s="1321"/>
      <c r="DF190" s="107"/>
      <c r="DG190" s="112"/>
      <c r="DH190" s="140"/>
      <c r="DI190" s="22"/>
      <c r="DJ190" s="145"/>
      <c r="DK190" s="137"/>
      <c r="DL190" s="137"/>
      <c r="DM190" s="137"/>
      <c r="DN190" s="137"/>
      <c r="DO190" s="137"/>
      <c r="DP190" s="137"/>
      <c r="DQ190" s="137"/>
      <c r="DR190" s="137"/>
      <c r="DS190" s="137"/>
      <c r="DT190" s="137"/>
      <c r="DU190" s="137"/>
      <c r="DV190" s="137"/>
      <c r="DW190" s="137"/>
      <c r="DX190" s="137"/>
      <c r="DY190" s="137"/>
      <c r="DZ190" s="137"/>
      <c r="EA190" s="137"/>
      <c r="EB190" s="137"/>
      <c r="EC190" s="137"/>
      <c r="ED190" s="137"/>
      <c r="EE190" s="137"/>
      <c r="EF190" s="137"/>
      <c r="EG190" s="137"/>
      <c r="EH190" s="137"/>
      <c r="EI190" s="137"/>
      <c r="EJ190" s="137"/>
      <c r="EK190" s="137"/>
      <c r="EL190" s="137"/>
      <c r="EM190" s="137"/>
      <c r="EN190" s="137"/>
      <c r="EO190" s="137"/>
      <c r="EP190" s="137"/>
      <c r="EQ190" s="137"/>
      <c r="ER190" s="137"/>
      <c r="ES190" s="137"/>
      <c r="ET190" s="137"/>
      <c r="EU190" s="137"/>
      <c r="EV190" s="137"/>
      <c r="EW190" s="137"/>
      <c r="EX190" s="137"/>
      <c r="EY190" s="137"/>
      <c r="EZ190" s="137"/>
      <c r="FA190" s="137"/>
      <c r="FB190" s="137"/>
      <c r="FC190" s="137"/>
      <c r="FD190" s="137"/>
      <c r="FE190" s="137"/>
      <c r="FF190" s="137"/>
      <c r="FG190" s="860"/>
      <c r="FH190" s="1288"/>
      <c r="FI190" s="1318"/>
      <c r="FJ190" s="126"/>
      <c r="FK190" s="127"/>
      <c r="FL190" s="128" t="str">
        <f t="shared" si="376"/>
        <v xml:space="preserve">    </v>
      </c>
      <c r="FM190" s="128"/>
      <c r="FN190" s="1686">
        <f t="shared" si="377"/>
        <v>0</v>
      </c>
      <c r="FO190" s="46">
        <f t="shared" si="421"/>
        <v>0</v>
      </c>
      <c r="FP190" s="46">
        <f t="shared" si="422"/>
        <v>1</v>
      </c>
      <c r="FQ190" s="75">
        <f t="shared" si="378"/>
        <v>0</v>
      </c>
      <c r="FR190" s="46">
        <f t="shared" si="379"/>
        <v>0</v>
      </c>
      <c r="FS190" s="46">
        <f t="shared" si="380"/>
        <v>1</v>
      </c>
      <c r="FT190" s="75">
        <f t="shared" si="381"/>
        <v>0</v>
      </c>
      <c r="FU190" s="2603">
        <f t="shared" si="423"/>
        <v>0</v>
      </c>
      <c r="FV190" s="2607">
        <f t="shared" si="424"/>
        <v>0</v>
      </c>
      <c r="FW190" s="2603">
        <f t="shared" si="425"/>
        <v>0</v>
      </c>
      <c r="FX190" s="2631">
        <f t="shared" si="426"/>
        <v>0</v>
      </c>
      <c r="FY190" s="81" t="e">
        <f t="shared" si="382"/>
        <v>#N/A</v>
      </c>
      <c r="FZ190" s="64" t="e">
        <f t="array" ref="FZ190">MATCH(1,($GT190:$LQ190&gt;0)*$GT$25:$LQ$25,0)</f>
        <v>#N/A</v>
      </c>
      <c r="GA190" s="64" t="e">
        <f t="array" ref="GA190">MATCH(2,1/(GT190:LQ190&gt;0))</f>
        <v>#N/A</v>
      </c>
      <c r="GB190" s="64">
        <f t="shared" si="383"/>
        <v>-1</v>
      </c>
      <c r="GC190" s="46"/>
      <c r="GD190" s="613"/>
      <c r="GE190" s="613"/>
      <c r="GF190" s="613"/>
      <c r="GG190" s="613"/>
      <c r="GH190" s="613"/>
      <c r="GI190" s="613"/>
      <c r="GJ190" s="613"/>
      <c r="GK190" s="613"/>
      <c r="GL190" s="613"/>
      <c r="GM190" s="613"/>
      <c r="GN190" s="385">
        <f t="shared" si="384"/>
        <v>0</v>
      </c>
      <c r="GO190" s="386">
        <f t="shared" si="385"/>
        <v>0</v>
      </c>
      <c r="GP190" s="2635"/>
      <c r="GQ190" s="175"/>
      <c r="GR190" s="172"/>
      <c r="GS190" s="65"/>
      <c r="GT190" s="167"/>
      <c r="GU190" s="168"/>
      <c r="GV190" s="168"/>
      <c r="GW190" s="168"/>
      <c r="GX190" s="168"/>
      <c r="GY190" s="168"/>
      <c r="GZ190" s="168"/>
      <c r="HA190" s="168"/>
      <c r="HB190" s="168"/>
      <c r="HC190" s="168"/>
      <c r="HD190" s="168"/>
      <c r="HE190" s="168"/>
      <c r="HF190" s="168"/>
      <c r="HG190" s="168"/>
      <c r="HH190" s="168"/>
      <c r="HI190" s="168"/>
      <c r="HJ190" s="168"/>
      <c r="HK190" s="168"/>
      <c r="HL190" s="168"/>
      <c r="HM190" s="168"/>
      <c r="HN190" s="168"/>
      <c r="HO190" s="168"/>
      <c r="HP190" s="168"/>
      <c r="HQ190" s="168"/>
      <c r="HR190" s="168"/>
      <c r="HS190" s="168"/>
      <c r="HT190" s="168"/>
      <c r="HU190" s="168"/>
      <c r="HV190" s="168"/>
      <c r="HW190" s="168"/>
      <c r="HX190" s="168"/>
      <c r="HY190" s="168"/>
      <c r="HZ190" s="168"/>
      <c r="IA190" s="168"/>
      <c r="IB190" s="168"/>
      <c r="IC190" s="168"/>
      <c r="ID190" s="168"/>
      <c r="IE190" s="168"/>
      <c r="IF190" s="168"/>
      <c r="IG190" s="168"/>
      <c r="IH190" s="168"/>
      <c r="II190" s="168"/>
      <c r="IJ190" s="168"/>
      <c r="IK190" s="168"/>
      <c r="IL190" s="168"/>
      <c r="IM190" s="168"/>
      <c r="IN190" s="168"/>
      <c r="IO190" s="168"/>
      <c r="IP190" s="168"/>
      <c r="IQ190" s="168"/>
      <c r="IR190" s="168"/>
      <c r="IS190" s="168"/>
      <c r="IT190" s="168"/>
      <c r="IU190" s="168"/>
      <c r="IV190" s="168"/>
      <c r="IW190" s="168"/>
      <c r="IX190" s="168"/>
      <c r="IY190" s="168"/>
      <c r="IZ190" s="168"/>
      <c r="JA190" s="168"/>
      <c r="JB190" s="168"/>
      <c r="JC190" s="168"/>
      <c r="JD190" s="168"/>
      <c r="JE190" s="168"/>
      <c r="JF190" s="168"/>
      <c r="JG190" s="168"/>
      <c r="JH190" s="168"/>
      <c r="JI190" s="168"/>
      <c r="JJ190" s="168"/>
      <c r="JK190" s="168"/>
      <c r="JL190" s="168"/>
      <c r="JM190" s="168"/>
      <c r="JN190" s="168"/>
      <c r="JO190" s="168"/>
      <c r="JP190" s="168"/>
      <c r="JQ190" s="168"/>
      <c r="JR190" s="168"/>
      <c r="JS190" s="168"/>
      <c r="JT190" s="168"/>
      <c r="JU190" s="168"/>
      <c r="JV190" s="168"/>
      <c r="JW190" s="168"/>
      <c r="JX190" s="168"/>
      <c r="JY190" s="168"/>
      <c r="JZ190" s="168"/>
      <c r="KA190" s="168"/>
      <c r="KB190" s="168"/>
      <c r="KC190" s="168"/>
      <c r="KD190" s="168"/>
      <c r="KE190" s="168"/>
      <c r="KF190" s="168"/>
      <c r="KG190" s="168"/>
      <c r="KH190" s="168"/>
      <c r="KI190" s="168"/>
      <c r="KJ190" s="168"/>
      <c r="KK190" s="168"/>
      <c r="KL190" s="168"/>
      <c r="KM190" s="168"/>
      <c r="KN190" s="168"/>
      <c r="KO190" s="168"/>
      <c r="KP190" s="168"/>
      <c r="KQ190" s="168"/>
      <c r="KR190" s="168"/>
      <c r="KS190" s="168"/>
      <c r="KT190" s="168"/>
      <c r="KU190" s="168"/>
      <c r="KV190" s="168"/>
      <c r="KW190" s="168"/>
      <c r="KX190" s="168"/>
      <c r="KY190" s="168"/>
      <c r="KZ190" s="168"/>
      <c r="LA190" s="168"/>
      <c r="LB190" s="168"/>
      <c r="LC190" s="168"/>
      <c r="LD190" s="168"/>
      <c r="LE190" s="168"/>
      <c r="LF190" s="168"/>
      <c r="LG190" s="168"/>
      <c r="LH190" s="168"/>
      <c r="LI190" s="168"/>
      <c r="LJ190" s="168"/>
      <c r="LK190" s="168"/>
      <c r="LL190" s="168"/>
      <c r="LM190" s="168"/>
      <c r="LN190" s="168"/>
      <c r="LO190" s="168"/>
      <c r="LP190" s="606"/>
      <c r="LQ190" s="609"/>
      <c r="LR190" s="1319"/>
      <c r="LS190" s="1319"/>
    </row>
    <row r="191" spans="1:331" s="2" customFormat="1" ht="15" customHeight="1" x14ac:dyDescent="0.25">
      <c r="A191" s="283"/>
      <c r="B191" s="303"/>
      <c r="C191" s="301"/>
      <c r="D191" s="1287"/>
      <c r="E191" s="2298"/>
      <c r="F191" s="1812"/>
      <c r="G191" s="3342"/>
      <c r="H191" s="66"/>
      <c r="I191" s="1746"/>
      <c r="J191" s="1214"/>
      <c r="K191" s="105"/>
      <c r="L191" s="91"/>
      <c r="M191" s="92"/>
      <c r="N191" s="93"/>
      <c r="O191" s="94"/>
      <c r="P191" s="96"/>
      <c r="Q191" s="95"/>
      <c r="R191" s="993">
        <f t="shared" si="325"/>
        <v>0</v>
      </c>
      <c r="S191" s="23">
        <f t="shared" si="326"/>
        <v>0</v>
      </c>
      <c r="T191" s="24">
        <f t="shared" si="327"/>
        <v>0</v>
      </c>
      <c r="U191" s="24">
        <f t="shared" si="328"/>
        <v>0</v>
      </c>
      <c r="V191" s="24">
        <f t="shared" si="329"/>
        <v>0</v>
      </c>
      <c r="W191" s="24">
        <f t="shared" ca="1" si="330"/>
        <v>0</v>
      </c>
      <c r="X191" s="72">
        <f t="shared" ca="1" si="386"/>
        <v>0</v>
      </c>
      <c r="Y191" s="72">
        <f t="shared" si="331"/>
        <v>0</v>
      </c>
      <c r="Z191" s="24">
        <f t="shared" si="332"/>
        <v>0</v>
      </c>
      <c r="AA191" s="72">
        <f t="shared" si="387"/>
        <v>0</v>
      </c>
      <c r="AB191" s="24">
        <f t="shared" si="388"/>
        <v>0</v>
      </c>
      <c r="AC191" s="24">
        <f t="shared" ca="1" si="333"/>
        <v>0</v>
      </c>
      <c r="AD191" s="24">
        <f t="shared" si="389"/>
        <v>0</v>
      </c>
      <c r="AE191" s="2078">
        <f t="shared" si="334"/>
        <v>3</v>
      </c>
      <c r="AF191" s="2078">
        <f t="shared" si="335"/>
        <v>0</v>
      </c>
      <c r="AG191" s="2078">
        <f t="shared" si="336"/>
        <v>0</v>
      </c>
      <c r="AH191" s="2521">
        <f t="shared" si="390"/>
        <v>1</v>
      </c>
      <c r="AI191" s="25" t="str">
        <f t="shared" si="337"/>
        <v/>
      </c>
      <c r="AJ191" s="2521">
        <f t="shared" ca="1" si="391"/>
        <v>0</v>
      </c>
      <c r="AK191" s="2076">
        <f t="shared" ca="1" si="392"/>
        <v>0</v>
      </c>
      <c r="AL191" s="2078">
        <f>IF(ISBLANK(J191),0,ISERROR(MATCH(J191,'5  Control Accounts'!$FA$29:$FA$96,0))*1)</f>
        <v>0</v>
      </c>
      <c r="AM191" s="2076">
        <f t="shared" si="338"/>
        <v>0</v>
      </c>
      <c r="AN191" s="2078">
        <f t="shared" si="339"/>
        <v>1</v>
      </c>
      <c r="AO191" s="2079">
        <f t="shared" si="393"/>
        <v>1</v>
      </c>
      <c r="AP191" s="2079">
        <f t="shared" si="394"/>
        <v>0</v>
      </c>
      <c r="AQ191" s="2079">
        <f t="shared" si="395"/>
        <v>0</v>
      </c>
      <c r="AR191" s="2079">
        <f t="shared" si="396"/>
        <v>0</v>
      </c>
      <c r="AS191" s="2079">
        <f t="shared" si="397"/>
        <v>0</v>
      </c>
      <c r="AT191" s="2079">
        <f t="shared" si="398"/>
        <v>0</v>
      </c>
      <c r="AU191" s="2079">
        <f t="shared" si="399"/>
        <v>0</v>
      </c>
      <c r="AV191" s="2079">
        <f t="shared" si="400"/>
        <v>0</v>
      </c>
      <c r="AW191" s="2079">
        <f t="shared" si="401"/>
        <v>0</v>
      </c>
      <c r="AX191" s="2079">
        <f t="shared" si="402"/>
        <v>0</v>
      </c>
      <c r="AY191" s="2078">
        <f t="shared" si="340"/>
        <v>0</v>
      </c>
      <c r="AZ191" s="2078">
        <f t="shared" si="341"/>
        <v>0</v>
      </c>
      <c r="BA191" s="2078">
        <f t="shared" si="342"/>
        <v>0</v>
      </c>
      <c r="BB191" s="2078">
        <f t="shared" si="343"/>
        <v>0</v>
      </c>
      <c r="BC191" s="2078">
        <f t="shared" si="344"/>
        <v>0</v>
      </c>
      <c r="BD191" s="2078">
        <f t="shared" si="345"/>
        <v>0</v>
      </c>
      <c r="BE191" s="2078">
        <f t="shared" si="346"/>
        <v>0</v>
      </c>
      <c r="BF191" s="2078">
        <f t="shared" si="347"/>
        <v>0</v>
      </c>
      <c r="BG191" s="2078">
        <f t="shared" si="348"/>
        <v>0</v>
      </c>
      <c r="BH191" s="2078">
        <f t="shared" si="349"/>
        <v>0</v>
      </c>
      <c r="BI191" s="2078">
        <f t="shared" si="350"/>
        <v>0</v>
      </c>
      <c r="BJ191" s="2078">
        <f t="shared" si="351"/>
        <v>0</v>
      </c>
      <c r="BK191" s="2078">
        <f t="shared" si="352"/>
        <v>0</v>
      </c>
      <c r="BL191" s="2078">
        <f t="shared" si="353"/>
        <v>0</v>
      </c>
      <c r="BM191" s="2078">
        <f t="shared" si="354"/>
        <v>0</v>
      </c>
      <c r="BN191" s="2078">
        <f t="shared" si="355"/>
        <v>0</v>
      </c>
      <c r="BO191" s="2078">
        <f t="shared" si="356"/>
        <v>0</v>
      </c>
      <c r="BP191" s="2078">
        <f t="shared" si="357"/>
        <v>0</v>
      </c>
      <c r="BQ191" s="2078">
        <f t="shared" si="358"/>
        <v>0</v>
      </c>
      <c r="BR191" s="2078">
        <f t="shared" si="359"/>
        <v>0</v>
      </c>
      <c r="BS191" s="2079">
        <f t="shared" si="403"/>
        <v>1</v>
      </c>
      <c r="BT191" s="2079">
        <f t="shared" si="404"/>
        <v>0</v>
      </c>
      <c r="BU191" s="2079">
        <f t="shared" si="405"/>
        <v>0</v>
      </c>
      <c r="BV191" s="2079">
        <f t="shared" si="406"/>
        <v>0</v>
      </c>
      <c r="BW191" s="2079">
        <f t="shared" si="407"/>
        <v>0</v>
      </c>
      <c r="BX191" s="2079">
        <f t="shared" si="408"/>
        <v>0</v>
      </c>
      <c r="BY191" s="2079">
        <f t="shared" si="409"/>
        <v>0</v>
      </c>
      <c r="BZ191" s="2079">
        <f t="shared" si="410"/>
        <v>0</v>
      </c>
      <c r="CA191" s="2079">
        <f t="shared" si="411"/>
        <v>0</v>
      </c>
      <c r="CB191" s="2079">
        <f t="shared" si="412"/>
        <v>0</v>
      </c>
      <c r="CC191" s="2078">
        <f t="shared" ca="1" si="360"/>
        <v>0</v>
      </c>
      <c r="CD191" s="2078">
        <f t="shared" ca="1" si="361"/>
        <v>0</v>
      </c>
      <c r="CE191" s="2078">
        <f t="shared" ca="1" si="362"/>
        <v>0</v>
      </c>
      <c r="CF191" s="2078">
        <f t="shared" ca="1" si="363"/>
        <v>0</v>
      </c>
      <c r="CG191" s="2078">
        <f t="shared" ca="1" si="364"/>
        <v>0</v>
      </c>
      <c r="CH191" s="2078">
        <f t="shared" ca="1" si="365"/>
        <v>0</v>
      </c>
      <c r="CI191" s="2078">
        <f t="shared" ca="1" si="366"/>
        <v>0</v>
      </c>
      <c r="CJ191" s="2078">
        <f t="shared" ca="1" si="367"/>
        <v>0</v>
      </c>
      <c r="CK191" s="2078">
        <f t="shared" ca="1" si="368"/>
        <v>0</v>
      </c>
      <c r="CL191" s="2078">
        <f t="shared" ca="1" si="369"/>
        <v>0</v>
      </c>
      <c r="CM191" s="2078">
        <f t="shared" si="413"/>
        <v>1</v>
      </c>
      <c r="CN191" s="2078">
        <f t="shared" si="414"/>
        <v>1</v>
      </c>
      <c r="CO191" s="2078">
        <f t="shared" si="415"/>
        <v>1</v>
      </c>
      <c r="CP191" s="2078">
        <f t="shared" si="370"/>
        <v>1</v>
      </c>
      <c r="CQ191" s="2078">
        <f t="shared" si="416"/>
        <v>0</v>
      </c>
      <c r="CR191" s="2078">
        <f t="shared" si="417"/>
        <v>0</v>
      </c>
      <c r="CS191" s="2078">
        <f t="shared" si="371"/>
        <v>0</v>
      </c>
      <c r="CT191" s="2078">
        <f t="shared" si="418"/>
        <v>1</v>
      </c>
      <c r="CU191" s="2078">
        <f t="shared" si="372"/>
        <v>1</v>
      </c>
      <c r="CV191" s="2078">
        <f t="shared" si="419"/>
        <v>0</v>
      </c>
      <c r="CW191" s="2078">
        <f>IF(OR(AE191&lt;&gt;3,F191="Exclude"),0,IF(ISERROR(MATCH($E191,'4 Sign-off'!$S$123:$X$123,0)),0,1))</f>
        <v>0</v>
      </c>
      <c r="CX191" s="2078">
        <f t="shared" si="373"/>
        <v>0</v>
      </c>
      <c r="CY191" s="2078">
        <f t="shared" si="420"/>
        <v>0</v>
      </c>
      <c r="CZ191" s="2993">
        <f t="shared" ca="1" si="374"/>
        <v>0</v>
      </c>
      <c r="DA191" s="3037">
        <f t="shared" ca="1" si="375"/>
        <v>0</v>
      </c>
      <c r="DB191" s="1664"/>
      <c r="DC191" s="1320"/>
      <c r="DD191" s="589"/>
      <c r="DE191" s="1321"/>
      <c r="DF191" s="107"/>
      <c r="DG191" s="112"/>
      <c r="DH191" s="140"/>
      <c r="DI191" s="22"/>
      <c r="DJ191" s="145"/>
      <c r="DK191" s="137"/>
      <c r="DL191" s="137"/>
      <c r="DM191" s="137"/>
      <c r="DN191" s="137"/>
      <c r="DO191" s="137"/>
      <c r="DP191" s="137"/>
      <c r="DQ191" s="137"/>
      <c r="DR191" s="137"/>
      <c r="DS191" s="137"/>
      <c r="DT191" s="137"/>
      <c r="DU191" s="137"/>
      <c r="DV191" s="137"/>
      <c r="DW191" s="137"/>
      <c r="DX191" s="137"/>
      <c r="DY191" s="137"/>
      <c r="DZ191" s="137"/>
      <c r="EA191" s="137"/>
      <c r="EB191" s="137"/>
      <c r="EC191" s="137"/>
      <c r="ED191" s="137"/>
      <c r="EE191" s="137"/>
      <c r="EF191" s="137"/>
      <c r="EG191" s="137"/>
      <c r="EH191" s="137"/>
      <c r="EI191" s="137"/>
      <c r="EJ191" s="137"/>
      <c r="EK191" s="137"/>
      <c r="EL191" s="137"/>
      <c r="EM191" s="137"/>
      <c r="EN191" s="137"/>
      <c r="EO191" s="137"/>
      <c r="EP191" s="137"/>
      <c r="EQ191" s="137"/>
      <c r="ER191" s="137"/>
      <c r="ES191" s="137"/>
      <c r="ET191" s="137"/>
      <c r="EU191" s="137"/>
      <c r="EV191" s="137"/>
      <c r="EW191" s="137"/>
      <c r="EX191" s="137"/>
      <c r="EY191" s="137"/>
      <c r="EZ191" s="137"/>
      <c r="FA191" s="137"/>
      <c r="FB191" s="137"/>
      <c r="FC191" s="137"/>
      <c r="FD191" s="137"/>
      <c r="FE191" s="137"/>
      <c r="FF191" s="137"/>
      <c r="FG191" s="860"/>
      <c r="FH191" s="1288"/>
      <c r="FI191" s="1318"/>
      <c r="FJ191" s="126"/>
      <c r="FK191" s="127"/>
      <c r="FL191" s="128" t="str">
        <f t="shared" si="376"/>
        <v xml:space="preserve">    </v>
      </c>
      <c r="FM191" s="128"/>
      <c r="FN191" s="1686">
        <f t="shared" si="377"/>
        <v>0</v>
      </c>
      <c r="FO191" s="46">
        <f t="shared" si="421"/>
        <v>0</v>
      </c>
      <c r="FP191" s="46">
        <f t="shared" ref="FP191" si="427">IFERROR(1/FQ191,1)</f>
        <v>1</v>
      </c>
      <c r="FQ191" s="75">
        <f t="shared" si="378"/>
        <v>0</v>
      </c>
      <c r="FR191" s="46">
        <f t="shared" si="379"/>
        <v>0</v>
      </c>
      <c r="FS191" s="46">
        <f t="shared" si="380"/>
        <v>1</v>
      </c>
      <c r="FT191" s="75">
        <f t="shared" si="381"/>
        <v>0</v>
      </c>
      <c r="FU191" s="2603">
        <f t="shared" si="423"/>
        <v>0</v>
      </c>
      <c r="FV191" s="2607">
        <f t="shared" si="424"/>
        <v>0</v>
      </c>
      <c r="FW191" s="2603">
        <f t="shared" si="425"/>
        <v>0</v>
      </c>
      <c r="FX191" s="2631">
        <f t="shared" si="426"/>
        <v>0</v>
      </c>
      <c r="FY191" s="81" t="e">
        <f t="shared" si="382"/>
        <v>#N/A</v>
      </c>
      <c r="FZ191" s="64" t="e">
        <f t="array" ref="FZ191">MATCH(1,($GT191:$LQ191&gt;0)*$GT$25:$LQ$25,0)</f>
        <v>#N/A</v>
      </c>
      <c r="GA191" s="64" t="e">
        <f t="array" ref="GA191">MATCH(2,1/(GT191:LQ191&gt;0))</f>
        <v>#N/A</v>
      </c>
      <c r="GB191" s="64">
        <f t="shared" si="383"/>
        <v>-1</v>
      </c>
      <c r="GC191" s="46"/>
      <c r="GD191" s="613"/>
      <c r="GE191" s="613"/>
      <c r="GF191" s="613"/>
      <c r="GG191" s="613"/>
      <c r="GH191" s="613"/>
      <c r="GI191" s="613"/>
      <c r="GJ191" s="613"/>
      <c r="GK191" s="613"/>
      <c r="GL191" s="613"/>
      <c r="GM191" s="613"/>
      <c r="GN191" s="385">
        <f t="shared" si="384"/>
        <v>0</v>
      </c>
      <c r="GO191" s="386">
        <f t="shared" si="385"/>
        <v>0</v>
      </c>
      <c r="GP191" s="2635"/>
      <c r="GQ191" s="175"/>
      <c r="GR191" s="172"/>
      <c r="GS191" s="65"/>
      <c r="GT191" s="167"/>
      <c r="GU191" s="168"/>
      <c r="GV191" s="168"/>
      <c r="GW191" s="168"/>
      <c r="GX191" s="168"/>
      <c r="GY191" s="168"/>
      <c r="GZ191" s="168"/>
      <c r="HA191" s="168"/>
      <c r="HB191" s="168"/>
      <c r="HC191" s="168"/>
      <c r="HD191" s="168"/>
      <c r="HE191" s="168"/>
      <c r="HF191" s="168"/>
      <c r="HG191" s="168"/>
      <c r="HH191" s="168"/>
      <c r="HI191" s="168"/>
      <c r="HJ191" s="168"/>
      <c r="HK191" s="168"/>
      <c r="HL191" s="168"/>
      <c r="HM191" s="168"/>
      <c r="HN191" s="168"/>
      <c r="HO191" s="168"/>
      <c r="HP191" s="168"/>
      <c r="HQ191" s="168"/>
      <c r="HR191" s="168"/>
      <c r="HS191" s="168"/>
      <c r="HT191" s="168"/>
      <c r="HU191" s="168"/>
      <c r="HV191" s="168"/>
      <c r="HW191" s="168"/>
      <c r="HX191" s="168"/>
      <c r="HY191" s="168"/>
      <c r="HZ191" s="168"/>
      <c r="IA191" s="168"/>
      <c r="IB191" s="168"/>
      <c r="IC191" s="168"/>
      <c r="ID191" s="168"/>
      <c r="IE191" s="168"/>
      <c r="IF191" s="168"/>
      <c r="IG191" s="168"/>
      <c r="IH191" s="168"/>
      <c r="II191" s="168"/>
      <c r="IJ191" s="168"/>
      <c r="IK191" s="168"/>
      <c r="IL191" s="168"/>
      <c r="IM191" s="168"/>
      <c r="IN191" s="168"/>
      <c r="IO191" s="168"/>
      <c r="IP191" s="168"/>
      <c r="IQ191" s="168"/>
      <c r="IR191" s="168"/>
      <c r="IS191" s="168"/>
      <c r="IT191" s="168"/>
      <c r="IU191" s="168"/>
      <c r="IV191" s="168"/>
      <c r="IW191" s="168"/>
      <c r="IX191" s="168"/>
      <c r="IY191" s="168"/>
      <c r="IZ191" s="168"/>
      <c r="JA191" s="168"/>
      <c r="JB191" s="168"/>
      <c r="JC191" s="168"/>
      <c r="JD191" s="168"/>
      <c r="JE191" s="168"/>
      <c r="JF191" s="168"/>
      <c r="JG191" s="168"/>
      <c r="JH191" s="168"/>
      <c r="JI191" s="168"/>
      <c r="JJ191" s="168"/>
      <c r="JK191" s="168"/>
      <c r="JL191" s="168"/>
      <c r="JM191" s="168"/>
      <c r="JN191" s="168"/>
      <c r="JO191" s="168"/>
      <c r="JP191" s="168"/>
      <c r="JQ191" s="168"/>
      <c r="JR191" s="168"/>
      <c r="JS191" s="168"/>
      <c r="JT191" s="168"/>
      <c r="JU191" s="168"/>
      <c r="JV191" s="168"/>
      <c r="JW191" s="168"/>
      <c r="JX191" s="168"/>
      <c r="JY191" s="168"/>
      <c r="JZ191" s="168"/>
      <c r="KA191" s="168"/>
      <c r="KB191" s="168"/>
      <c r="KC191" s="168"/>
      <c r="KD191" s="168"/>
      <c r="KE191" s="168"/>
      <c r="KF191" s="168"/>
      <c r="KG191" s="168"/>
      <c r="KH191" s="168"/>
      <c r="KI191" s="168"/>
      <c r="KJ191" s="168"/>
      <c r="KK191" s="168"/>
      <c r="KL191" s="168"/>
      <c r="KM191" s="168"/>
      <c r="KN191" s="168"/>
      <c r="KO191" s="168"/>
      <c r="KP191" s="168"/>
      <c r="KQ191" s="168"/>
      <c r="KR191" s="168"/>
      <c r="KS191" s="168"/>
      <c r="KT191" s="168"/>
      <c r="KU191" s="168"/>
      <c r="KV191" s="168"/>
      <c r="KW191" s="168"/>
      <c r="KX191" s="168"/>
      <c r="KY191" s="168"/>
      <c r="KZ191" s="168"/>
      <c r="LA191" s="168"/>
      <c r="LB191" s="168"/>
      <c r="LC191" s="168"/>
      <c r="LD191" s="168"/>
      <c r="LE191" s="168"/>
      <c r="LF191" s="168"/>
      <c r="LG191" s="168"/>
      <c r="LH191" s="168"/>
      <c r="LI191" s="168"/>
      <c r="LJ191" s="168"/>
      <c r="LK191" s="168"/>
      <c r="LL191" s="168"/>
      <c r="LM191" s="168"/>
      <c r="LN191" s="168"/>
      <c r="LO191" s="168"/>
      <c r="LP191" s="606"/>
      <c r="LQ191" s="609"/>
      <c r="LR191" s="1319"/>
      <c r="LS191" s="1319"/>
    </row>
    <row r="192" spans="1:331" s="2" customFormat="1" ht="15" customHeight="1" x14ac:dyDescent="0.25">
      <c r="A192" s="283"/>
      <c r="B192" s="303"/>
      <c r="C192" s="301"/>
      <c r="D192" s="1287"/>
      <c r="E192" s="2298"/>
      <c r="F192" s="1812"/>
      <c r="G192" s="3342"/>
      <c r="H192" s="66"/>
      <c r="I192" s="1746"/>
      <c r="J192" s="1214"/>
      <c r="K192" s="105"/>
      <c r="L192" s="91"/>
      <c r="M192" s="92"/>
      <c r="N192" s="93"/>
      <c r="O192" s="94"/>
      <c r="P192" s="96"/>
      <c r="Q192" s="95"/>
      <c r="R192" s="993">
        <f t="shared" si="325"/>
        <v>0</v>
      </c>
      <c r="S192" s="23">
        <f t="shared" si="326"/>
        <v>0</v>
      </c>
      <c r="T192" s="24">
        <f t="shared" si="327"/>
        <v>0</v>
      </c>
      <c r="U192" s="24">
        <f t="shared" si="328"/>
        <v>0</v>
      </c>
      <c r="V192" s="24">
        <f t="shared" si="329"/>
        <v>0</v>
      </c>
      <c r="W192" s="24">
        <f t="shared" ca="1" si="330"/>
        <v>0</v>
      </c>
      <c r="X192" s="72">
        <f t="shared" ca="1" si="386"/>
        <v>0</v>
      </c>
      <c r="Y192" s="72">
        <f t="shared" si="331"/>
        <v>0</v>
      </c>
      <c r="Z192" s="24">
        <f t="shared" si="332"/>
        <v>0</v>
      </c>
      <c r="AA192" s="72">
        <f t="shared" si="387"/>
        <v>0</v>
      </c>
      <c r="AB192" s="24">
        <f t="shared" si="388"/>
        <v>0</v>
      </c>
      <c r="AC192" s="24">
        <f t="shared" ca="1" si="333"/>
        <v>0</v>
      </c>
      <c r="AD192" s="24">
        <f t="shared" si="389"/>
        <v>0</v>
      </c>
      <c r="AE192" s="2078">
        <f t="shared" si="334"/>
        <v>3</v>
      </c>
      <c r="AF192" s="2078">
        <f t="shared" si="335"/>
        <v>0</v>
      </c>
      <c r="AG192" s="2078">
        <f t="shared" si="336"/>
        <v>0</v>
      </c>
      <c r="AH192" s="2521">
        <f t="shared" si="390"/>
        <v>1</v>
      </c>
      <c r="AI192" s="25" t="str">
        <f t="shared" si="337"/>
        <v/>
      </c>
      <c r="AJ192" s="2521">
        <f t="shared" ca="1" si="391"/>
        <v>0</v>
      </c>
      <c r="AK192" s="2076">
        <f t="shared" ca="1" si="392"/>
        <v>0</v>
      </c>
      <c r="AL192" s="2078">
        <f>IF(ISBLANK(J192),0,ISERROR(MATCH(J192,'5  Control Accounts'!$FA$29:$FA$96,0))*1)</f>
        <v>0</v>
      </c>
      <c r="AM192" s="2076">
        <f t="shared" si="338"/>
        <v>0</v>
      </c>
      <c r="AN192" s="2078">
        <f t="shared" si="339"/>
        <v>1</v>
      </c>
      <c r="AO192" s="2079">
        <f t="shared" si="393"/>
        <v>1</v>
      </c>
      <c r="AP192" s="2079">
        <f t="shared" si="394"/>
        <v>0</v>
      </c>
      <c r="AQ192" s="2079">
        <f t="shared" si="395"/>
        <v>0</v>
      </c>
      <c r="AR192" s="2079">
        <f t="shared" si="396"/>
        <v>0</v>
      </c>
      <c r="AS192" s="2079">
        <f t="shared" si="397"/>
        <v>0</v>
      </c>
      <c r="AT192" s="2079">
        <f t="shared" si="398"/>
        <v>0</v>
      </c>
      <c r="AU192" s="2079">
        <f t="shared" si="399"/>
        <v>0</v>
      </c>
      <c r="AV192" s="2079">
        <f t="shared" si="400"/>
        <v>0</v>
      </c>
      <c r="AW192" s="2079">
        <f t="shared" si="401"/>
        <v>0</v>
      </c>
      <c r="AX192" s="2079">
        <f t="shared" si="402"/>
        <v>0</v>
      </c>
      <c r="AY192" s="2078">
        <f t="shared" si="340"/>
        <v>0</v>
      </c>
      <c r="AZ192" s="2078">
        <f t="shared" si="341"/>
        <v>0</v>
      </c>
      <c r="BA192" s="2078">
        <f t="shared" si="342"/>
        <v>0</v>
      </c>
      <c r="BB192" s="2078">
        <f t="shared" si="343"/>
        <v>0</v>
      </c>
      <c r="BC192" s="2078">
        <f t="shared" si="344"/>
        <v>0</v>
      </c>
      <c r="BD192" s="2078">
        <f t="shared" si="345"/>
        <v>0</v>
      </c>
      <c r="BE192" s="2078">
        <f t="shared" si="346"/>
        <v>0</v>
      </c>
      <c r="BF192" s="2078">
        <f t="shared" si="347"/>
        <v>0</v>
      </c>
      <c r="BG192" s="2078">
        <f t="shared" si="348"/>
        <v>0</v>
      </c>
      <c r="BH192" s="2078">
        <f t="shared" si="349"/>
        <v>0</v>
      </c>
      <c r="BI192" s="2078">
        <f t="shared" si="350"/>
        <v>0</v>
      </c>
      <c r="BJ192" s="2078">
        <f t="shared" si="351"/>
        <v>0</v>
      </c>
      <c r="BK192" s="2078">
        <f t="shared" si="352"/>
        <v>0</v>
      </c>
      <c r="BL192" s="2078">
        <f t="shared" si="353"/>
        <v>0</v>
      </c>
      <c r="BM192" s="2078">
        <f t="shared" si="354"/>
        <v>0</v>
      </c>
      <c r="BN192" s="2078">
        <f t="shared" si="355"/>
        <v>0</v>
      </c>
      <c r="BO192" s="2078">
        <f t="shared" si="356"/>
        <v>0</v>
      </c>
      <c r="BP192" s="2078">
        <f t="shared" si="357"/>
        <v>0</v>
      </c>
      <c r="BQ192" s="2078">
        <f t="shared" si="358"/>
        <v>0</v>
      </c>
      <c r="BR192" s="2078">
        <f t="shared" si="359"/>
        <v>0</v>
      </c>
      <c r="BS192" s="2079">
        <f t="shared" si="403"/>
        <v>1</v>
      </c>
      <c r="BT192" s="2079">
        <f t="shared" si="404"/>
        <v>0</v>
      </c>
      <c r="BU192" s="2079">
        <f t="shared" si="405"/>
        <v>0</v>
      </c>
      <c r="BV192" s="2079">
        <f t="shared" si="406"/>
        <v>0</v>
      </c>
      <c r="BW192" s="2079">
        <f t="shared" si="407"/>
        <v>0</v>
      </c>
      <c r="BX192" s="2079">
        <f t="shared" si="408"/>
        <v>0</v>
      </c>
      <c r="BY192" s="2079">
        <f t="shared" si="409"/>
        <v>0</v>
      </c>
      <c r="BZ192" s="2079">
        <f t="shared" si="410"/>
        <v>0</v>
      </c>
      <c r="CA192" s="2079">
        <f t="shared" si="411"/>
        <v>0</v>
      </c>
      <c r="CB192" s="2079">
        <f t="shared" si="412"/>
        <v>0</v>
      </c>
      <c r="CC192" s="2078">
        <f t="shared" ca="1" si="360"/>
        <v>0</v>
      </c>
      <c r="CD192" s="2078">
        <f t="shared" ca="1" si="361"/>
        <v>0</v>
      </c>
      <c r="CE192" s="2078">
        <f t="shared" ca="1" si="362"/>
        <v>0</v>
      </c>
      <c r="CF192" s="2078">
        <f t="shared" ca="1" si="363"/>
        <v>0</v>
      </c>
      <c r="CG192" s="2078">
        <f t="shared" ca="1" si="364"/>
        <v>0</v>
      </c>
      <c r="CH192" s="2078">
        <f t="shared" ca="1" si="365"/>
        <v>0</v>
      </c>
      <c r="CI192" s="2078">
        <f t="shared" ca="1" si="366"/>
        <v>0</v>
      </c>
      <c r="CJ192" s="2078">
        <f t="shared" ca="1" si="367"/>
        <v>0</v>
      </c>
      <c r="CK192" s="2078">
        <f t="shared" ca="1" si="368"/>
        <v>0</v>
      </c>
      <c r="CL192" s="2078">
        <f t="shared" ca="1" si="369"/>
        <v>0</v>
      </c>
      <c r="CM192" s="2078">
        <f t="shared" si="413"/>
        <v>1</v>
      </c>
      <c r="CN192" s="2078">
        <f t="shared" si="414"/>
        <v>1</v>
      </c>
      <c r="CO192" s="2078">
        <f t="shared" si="415"/>
        <v>1</v>
      </c>
      <c r="CP192" s="2078">
        <f t="shared" si="370"/>
        <v>1</v>
      </c>
      <c r="CQ192" s="2078">
        <f t="shared" si="416"/>
        <v>0</v>
      </c>
      <c r="CR192" s="2078">
        <f t="shared" si="417"/>
        <v>0</v>
      </c>
      <c r="CS192" s="2078">
        <f t="shared" si="371"/>
        <v>0</v>
      </c>
      <c r="CT192" s="2078">
        <f t="shared" si="418"/>
        <v>1</v>
      </c>
      <c r="CU192" s="2078">
        <f t="shared" si="372"/>
        <v>1</v>
      </c>
      <c r="CV192" s="2078">
        <f t="shared" si="419"/>
        <v>0</v>
      </c>
      <c r="CW192" s="2078">
        <f>IF(OR(AE192&lt;&gt;3,F192="Exclude"),0,IF(ISERROR(MATCH($E192,'4 Sign-off'!$S$123:$X$123,0)),0,1))</f>
        <v>0</v>
      </c>
      <c r="CX192" s="2078">
        <f t="shared" si="373"/>
        <v>0</v>
      </c>
      <c r="CY192" s="2078">
        <f t="shared" si="420"/>
        <v>0</v>
      </c>
      <c r="CZ192" s="2993">
        <f t="shared" ca="1" si="374"/>
        <v>0</v>
      </c>
      <c r="DA192" s="3037">
        <f t="shared" ca="1" si="375"/>
        <v>0</v>
      </c>
      <c r="DB192" s="1664"/>
      <c r="DC192" s="1320"/>
      <c r="DD192" s="589"/>
      <c r="DE192" s="1321"/>
      <c r="DF192" s="107"/>
      <c r="DG192" s="112"/>
      <c r="DH192" s="140"/>
      <c r="DI192" s="22"/>
      <c r="DJ192" s="145"/>
      <c r="DK192" s="137"/>
      <c r="DL192" s="137"/>
      <c r="DM192" s="137"/>
      <c r="DN192" s="137"/>
      <c r="DO192" s="137"/>
      <c r="DP192" s="137"/>
      <c r="DQ192" s="137"/>
      <c r="DR192" s="137"/>
      <c r="DS192" s="137"/>
      <c r="DT192" s="137"/>
      <c r="DU192" s="137"/>
      <c r="DV192" s="137"/>
      <c r="DW192" s="137"/>
      <c r="DX192" s="137"/>
      <c r="DY192" s="137"/>
      <c r="DZ192" s="137"/>
      <c r="EA192" s="137"/>
      <c r="EB192" s="137"/>
      <c r="EC192" s="137"/>
      <c r="ED192" s="137"/>
      <c r="EE192" s="137"/>
      <c r="EF192" s="137"/>
      <c r="EG192" s="137"/>
      <c r="EH192" s="137"/>
      <c r="EI192" s="137"/>
      <c r="EJ192" s="137"/>
      <c r="EK192" s="137"/>
      <c r="EL192" s="137"/>
      <c r="EM192" s="137"/>
      <c r="EN192" s="137"/>
      <c r="EO192" s="137"/>
      <c r="EP192" s="137"/>
      <c r="EQ192" s="137"/>
      <c r="ER192" s="137"/>
      <c r="ES192" s="137"/>
      <c r="ET192" s="137"/>
      <c r="EU192" s="137"/>
      <c r="EV192" s="137"/>
      <c r="EW192" s="137"/>
      <c r="EX192" s="137"/>
      <c r="EY192" s="137"/>
      <c r="EZ192" s="137"/>
      <c r="FA192" s="137"/>
      <c r="FB192" s="137"/>
      <c r="FC192" s="137"/>
      <c r="FD192" s="137"/>
      <c r="FE192" s="137"/>
      <c r="FF192" s="137"/>
      <c r="FG192" s="860"/>
      <c r="FH192" s="1288"/>
      <c r="FI192" s="1318"/>
      <c r="FJ192" s="126"/>
      <c r="FK192" s="127"/>
      <c r="FL192" s="128" t="str">
        <f t="shared" si="376"/>
        <v xml:space="preserve">    </v>
      </c>
      <c r="FM192" s="128"/>
      <c r="FN192" s="1686">
        <f t="shared" si="377"/>
        <v>0</v>
      </c>
      <c r="FO192" s="46">
        <f t="shared" si="421"/>
        <v>0</v>
      </c>
      <c r="FP192" s="46">
        <f t="shared" ref="FP192" si="428">IFERROR(1/FQ192,1)</f>
        <v>1</v>
      </c>
      <c r="FQ192" s="75">
        <f t="shared" si="378"/>
        <v>0</v>
      </c>
      <c r="FR192" s="46">
        <f t="shared" si="379"/>
        <v>0</v>
      </c>
      <c r="FS192" s="46">
        <f t="shared" si="380"/>
        <v>1</v>
      </c>
      <c r="FT192" s="75">
        <f t="shared" si="381"/>
        <v>0</v>
      </c>
      <c r="FU192" s="2603">
        <f t="shared" si="423"/>
        <v>0</v>
      </c>
      <c r="FV192" s="2607">
        <f t="shared" si="424"/>
        <v>0</v>
      </c>
      <c r="FW192" s="2603">
        <f t="shared" si="425"/>
        <v>0</v>
      </c>
      <c r="FX192" s="2631">
        <f t="shared" si="426"/>
        <v>0</v>
      </c>
      <c r="FY192" s="81" t="e">
        <f t="shared" si="382"/>
        <v>#N/A</v>
      </c>
      <c r="FZ192" s="64" t="e">
        <f t="array" ref="FZ192">MATCH(1,($GT192:$LQ192&gt;0)*$GT$25:$LQ$25,0)</f>
        <v>#N/A</v>
      </c>
      <c r="GA192" s="64" t="e">
        <f t="array" ref="GA192">MATCH(2,1/(GT192:LQ192&gt;0))</f>
        <v>#N/A</v>
      </c>
      <c r="GB192" s="64">
        <f t="shared" si="383"/>
        <v>-1</v>
      </c>
      <c r="GC192" s="46"/>
      <c r="GD192" s="613"/>
      <c r="GE192" s="613"/>
      <c r="GF192" s="613"/>
      <c r="GG192" s="613"/>
      <c r="GH192" s="613"/>
      <c r="GI192" s="613"/>
      <c r="GJ192" s="613"/>
      <c r="GK192" s="613"/>
      <c r="GL192" s="613"/>
      <c r="GM192" s="613"/>
      <c r="GN192" s="385">
        <f t="shared" si="384"/>
        <v>0</v>
      </c>
      <c r="GO192" s="386">
        <f t="shared" si="385"/>
        <v>0</v>
      </c>
      <c r="GP192" s="2635"/>
      <c r="GQ192" s="175"/>
      <c r="GR192" s="172"/>
      <c r="GS192" s="65"/>
      <c r="GT192" s="167"/>
      <c r="GU192" s="168"/>
      <c r="GV192" s="168"/>
      <c r="GW192" s="168"/>
      <c r="GX192" s="168"/>
      <c r="GY192" s="168"/>
      <c r="GZ192" s="168"/>
      <c r="HA192" s="168"/>
      <c r="HB192" s="168"/>
      <c r="HC192" s="168"/>
      <c r="HD192" s="168"/>
      <c r="HE192" s="168"/>
      <c r="HF192" s="168"/>
      <c r="HG192" s="168"/>
      <c r="HH192" s="168"/>
      <c r="HI192" s="168"/>
      <c r="HJ192" s="168"/>
      <c r="HK192" s="168"/>
      <c r="HL192" s="168"/>
      <c r="HM192" s="168"/>
      <c r="HN192" s="168"/>
      <c r="HO192" s="168"/>
      <c r="HP192" s="168"/>
      <c r="HQ192" s="168"/>
      <c r="HR192" s="168"/>
      <c r="HS192" s="168"/>
      <c r="HT192" s="168"/>
      <c r="HU192" s="168"/>
      <c r="HV192" s="168"/>
      <c r="HW192" s="168"/>
      <c r="HX192" s="168"/>
      <c r="HY192" s="168"/>
      <c r="HZ192" s="168"/>
      <c r="IA192" s="168"/>
      <c r="IB192" s="168"/>
      <c r="IC192" s="168"/>
      <c r="ID192" s="168"/>
      <c r="IE192" s="168"/>
      <c r="IF192" s="168"/>
      <c r="IG192" s="168"/>
      <c r="IH192" s="168"/>
      <c r="II192" s="168"/>
      <c r="IJ192" s="168"/>
      <c r="IK192" s="168"/>
      <c r="IL192" s="168"/>
      <c r="IM192" s="168"/>
      <c r="IN192" s="168"/>
      <c r="IO192" s="168"/>
      <c r="IP192" s="168"/>
      <c r="IQ192" s="168"/>
      <c r="IR192" s="168"/>
      <c r="IS192" s="168"/>
      <c r="IT192" s="168"/>
      <c r="IU192" s="168"/>
      <c r="IV192" s="168"/>
      <c r="IW192" s="168"/>
      <c r="IX192" s="168"/>
      <c r="IY192" s="168"/>
      <c r="IZ192" s="168"/>
      <c r="JA192" s="168"/>
      <c r="JB192" s="168"/>
      <c r="JC192" s="168"/>
      <c r="JD192" s="168"/>
      <c r="JE192" s="168"/>
      <c r="JF192" s="168"/>
      <c r="JG192" s="168"/>
      <c r="JH192" s="168"/>
      <c r="JI192" s="168"/>
      <c r="JJ192" s="168"/>
      <c r="JK192" s="168"/>
      <c r="JL192" s="168"/>
      <c r="JM192" s="168"/>
      <c r="JN192" s="168"/>
      <c r="JO192" s="168"/>
      <c r="JP192" s="168"/>
      <c r="JQ192" s="168"/>
      <c r="JR192" s="168"/>
      <c r="JS192" s="168"/>
      <c r="JT192" s="168"/>
      <c r="JU192" s="168"/>
      <c r="JV192" s="168"/>
      <c r="JW192" s="168"/>
      <c r="JX192" s="168"/>
      <c r="JY192" s="168"/>
      <c r="JZ192" s="168"/>
      <c r="KA192" s="168"/>
      <c r="KB192" s="168"/>
      <c r="KC192" s="168"/>
      <c r="KD192" s="168"/>
      <c r="KE192" s="168"/>
      <c r="KF192" s="168"/>
      <c r="KG192" s="168"/>
      <c r="KH192" s="168"/>
      <c r="KI192" s="168"/>
      <c r="KJ192" s="168"/>
      <c r="KK192" s="168"/>
      <c r="KL192" s="168"/>
      <c r="KM192" s="168"/>
      <c r="KN192" s="168"/>
      <c r="KO192" s="168"/>
      <c r="KP192" s="168"/>
      <c r="KQ192" s="168"/>
      <c r="KR192" s="168"/>
      <c r="KS192" s="168"/>
      <c r="KT192" s="168"/>
      <c r="KU192" s="168"/>
      <c r="KV192" s="168"/>
      <c r="KW192" s="168"/>
      <c r="KX192" s="168"/>
      <c r="KY192" s="168"/>
      <c r="KZ192" s="168"/>
      <c r="LA192" s="168"/>
      <c r="LB192" s="168"/>
      <c r="LC192" s="168"/>
      <c r="LD192" s="168"/>
      <c r="LE192" s="168"/>
      <c r="LF192" s="168"/>
      <c r="LG192" s="168"/>
      <c r="LH192" s="168"/>
      <c r="LI192" s="168"/>
      <c r="LJ192" s="168"/>
      <c r="LK192" s="168"/>
      <c r="LL192" s="168"/>
      <c r="LM192" s="168"/>
      <c r="LN192" s="168"/>
      <c r="LO192" s="168"/>
      <c r="LP192" s="606"/>
      <c r="LQ192" s="609"/>
      <c r="LR192" s="1319"/>
      <c r="LS192" s="1319"/>
    </row>
    <row r="193" spans="1:331" s="2" customFormat="1" ht="15" customHeight="1" x14ac:dyDescent="0.25">
      <c r="A193" s="283"/>
      <c r="B193" s="303"/>
      <c r="C193" s="301"/>
      <c r="D193" s="1287"/>
      <c r="E193" s="2298"/>
      <c r="F193" s="1812"/>
      <c r="G193" s="3342"/>
      <c r="H193" s="66"/>
      <c r="I193" s="1746"/>
      <c r="J193" s="1214"/>
      <c r="K193" s="105"/>
      <c r="L193" s="91"/>
      <c r="M193" s="92"/>
      <c r="N193" s="93"/>
      <c r="O193" s="94"/>
      <c r="P193" s="96"/>
      <c r="Q193" s="95"/>
      <c r="R193" s="993">
        <f t="shared" si="325"/>
        <v>0</v>
      </c>
      <c r="S193" s="23">
        <f t="shared" si="326"/>
        <v>0</v>
      </c>
      <c r="T193" s="24">
        <f t="shared" si="327"/>
        <v>0</v>
      </c>
      <c r="U193" s="24">
        <f t="shared" si="328"/>
        <v>0</v>
      </c>
      <c r="V193" s="24">
        <f t="shared" si="329"/>
        <v>0</v>
      </c>
      <c r="W193" s="24">
        <f t="shared" ca="1" si="330"/>
        <v>0</v>
      </c>
      <c r="X193" s="72">
        <f t="shared" ca="1" si="386"/>
        <v>0</v>
      </c>
      <c r="Y193" s="72">
        <f t="shared" si="331"/>
        <v>0</v>
      </c>
      <c r="Z193" s="24">
        <f t="shared" si="332"/>
        <v>0</v>
      </c>
      <c r="AA193" s="72">
        <f t="shared" si="387"/>
        <v>0</v>
      </c>
      <c r="AB193" s="24">
        <f t="shared" si="388"/>
        <v>0</v>
      </c>
      <c r="AC193" s="24">
        <f t="shared" ca="1" si="333"/>
        <v>0</v>
      </c>
      <c r="AD193" s="24">
        <f t="shared" si="389"/>
        <v>0</v>
      </c>
      <c r="AE193" s="2078">
        <f t="shared" si="334"/>
        <v>3</v>
      </c>
      <c r="AF193" s="2078">
        <f t="shared" si="335"/>
        <v>0</v>
      </c>
      <c r="AG193" s="2078">
        <f t="shared" si="336"/>
        <v>0</v>
      </c>
      <c r="AH193" s="2521">
        <f t="shared" si="390"/>
        <v>1</v>
      </c>
      <c r="AI193" s="25" t="str">
        <f t="shared" si="337"/>
        <v/>
      </c>
      <c r="AJ193" s="2521">
        <f t="shared" ca="1" si="391"/>
        <v>0</v>
      </c>
      <c r="AK193" s="2076">
        <f t="shared" ca="1" si="392"/>
        <v>0</v>
      </c>
      <c r="AL193" s="2078">
        <f>IF(ISBLANK(J193),0,ISERROR(MATCH(J193,'5  Control Accounts'!$FA$29:$FA$96,0))*1)</f>
        <v>0</v>
      </c>
      <c r="AM193" s="2076">
        <f t="shared" si="338"/>
        <v>0</v>
      </c>
      <c r="AN193" s="2078">
        <f t="shared" si="339"/>
        <v>1</v>
      </c>
      <c r="AO193" s="2079">
        <f t="shared" si="393"/>
        <v>1</v>
      </c>
      <c r="AP193" s="2079">
        <f t="shared" si="394"/>
        <v>0</v>
      </c>
      <c r="AQ193" s="2079">
        <f t="shared" si="395"/>
        <v>0</v>
      </c>
      <c r="AR193" s="2079">
        <f t="shared" si="396"/>
        <v>0</v>
      </c>
      <c r="AS193" s="2079">
        <f t="shared" si="397"/>
        <v>0</v>
      </c>
      <c r="AT193" s="2079">
        <f t="shared" si="398"/>
        <v>0</v>
      </c>
      <c r="AU193" s="2079">
        <f t="shared" si="399"/>
        <v>0</v>
      </c>
      <c r="AV193" s="2079">
        <f t="shared" si="400"/>
        <v>0</v>
      </c>
      <c r="AW193" s="2079">
        <f t="shared" si="401"/>
        <v>0</v>
      </c>
      <c r="AX193" s="2079">
        <f t="shared" si="402"/>
        <v>0</v>
      </c>
      <c r="AY193" s="2078">
        <f t="shared" si="340"/>
        <v>0</v>
      </c>
      <c r="AZ193" s="2078">
        <f t="shared" si="341"/>
        <v>0</v>
      </c>
      <c r="BA193" s="2078">
        <f t="shared" si="342"/>
        <v>0</v>
      </c>
      <c r="BB193" s="2078">
        <f t="shared" si="343"/>
        <v>0</v>
      </c>
      <c r="BC193" s="2078">
        <f t="shared" si="344"/>
        <v>0</v>
      </c>
      <c r="BD193" s="2078">
        <f t="shared" si="345"/>
        <v>0</v>
      </c>
      <c r="BE193" s="2078">
        <f t="shared" si="346"/>
        <v>0</v>
      </c>
      <c r="BF193" s="2078">
        <f t="shared" si="347"/>
        <v>0</v>
      </c>
      <c r="BG193" s="2078">
        <f t="shared" si="348"/>
        <v>0</v>
      </c>
      <c r="BH193" s="2078">
        <f t="shared" si="349"/>
        <v>0</v>
      </c>
      <c r="BI193" s="2078">
        <f t="shared" si="350"/>
        <v>0</v>
      </c>
      <c r="BJ193" s="2078">
        <f t="shared" si="351"/>
        <v>0</v>
      </c>
      <c r="BK193" s="2078">
        <f t="shared" si="352"/>
        <v>0</v>
      </c>
      <c r="BL193" s="2078">
        <f t="shared" si="353"/>
        <v>0</v>
      </c>
      <c r="BM193" s="2078">
        <f t="shared" si="354"/>
        <v>0</v>
      </c>
      <c r="BN193" s="2078">
        <f t="shared" si="355"/>
        <v>0</v>
      </c>
      <c r="BO193" s="2078">
        <f t="shared" si="356"/>
        <v>0</v>
      </c>
      <c r="BP193" s="2078">
        <f t="shared" si="357"/>
        <v>0</v>
      </c>
      <c r="BQ193" s="2078">
        <f t="shared" si="358"/>
        <v>0</v>
      </c>
      <c r="BR193" s="2078">
        <f t="shared" si="359"/>
        <v>0</v>
      </c>
      <c r="BS193" s="2079">
        <f t="shared" si="403"/>
        <v>1</v>
      </c>
      <c r="BT193" s="2079">
        <f t="shared" si="404"/>
        <v>0</v>
      </c>
      <c r="BU193" s="2079">
        <f t="shared" si="405"/>
        <v>0</v>
      </c>
      <c r="BV193" s="2079">
        <f t="shared" si="406"/>
        <v>0</v>
      </c>
      <c r="BW193" s="2079">
        <f t="shared" si="407"/>
        <v>0</v>
      </c>
      <c r="BX193" s="2079">
        <f t="shared" si="408"/>
        <v>0</v>
      </c>
      <c r="BY193" s="2079">
        <f t="shared" si="409"/>
        <v>0</v>
      </c>
      <c r="BZ193" s="2079">
        <f t="shared" si="410"/>
        <v>0</v>
      </c>
      <c r="CA193" s="2079">
        <f t="shared" si="411"/>
        <v>0</v>
      </c>
      <c r="CB193" s="2079">
        <f t="shared" si="412"/>
        <v>0</v>
      </c>
      <c r="CC193" s="2078">
        <f t="shared" ca="1" si="360"/>
        <v>0</v>
      </c>
      <c r="CD193" s="2078">
        <f t="shared" ca="1" si="361"/>
        <v>0</v>
      </c>
      <c r="CE193" s="2078">
        <f t="shared" ca="1" si="362"/>
        <v>0</v>
      </c>
      <c r="CF193" s="2078">
        <f t="shared" ca="1" si="363"/>
        <v>0</v>
      </c>
      <c r="CG193" s="2078">
        <f t="shared" ca="1" si="364"/>
        <v>0</v>
      </c>
      <c r="CH193" s="2078">
        <f t="shared" ca="1" si="365"/>
        <v>0</v>
      </c>
      <c r="CI193" s="2078">
        <f t="shared" ca="1" si="366"/>
        <v>0</v>
      </c>
      <c r="CJ193" s="2078">
        <f t="shared" ca="1" si="367"/>
        <v>0</v>
      </c>
      <c r="CK193" s="2078">
        <f t="shared" ca="1" si="368"/>
        <v>0</v>
      </c>
      <c r="CL193" s="2078">
        <f t="shared" ca="1" si="369"/>
        <v>0</v>
      </c>
      <c r="CM193" s="2078">
        <f t="shared" si="413"/>
        <v>1</v>
      </c>
      <c r="CN193" s="2078">
        <f t="shared" si="414"/>
        <v>1</v>
      </c>
      <c r="CO193" s="2078">
        <f t="shared" si="415"/>
        <v>1</v>
      </c>
      <c r="CP193" s="2078">
        <f t="shared" si="370"/>
        <v>1</v>
      </c>
      <c r="CQ193" s="2078">
        <f t="shared" si="416"/>
        <v>0</v>
      </c>
      <c r="CR193" s="2078">
        <f t="shared" si="417"/>
        <v>0</v>
      </c>
      <c r="CS193" s="2078">
        <f t="shared" si="371"/>
        <v>0</v>
      </c>
      <c r="CT193" s="2078">
        <f t="shared" si="418"/>
        <v>1</v>
      </c>
      <c r="CU193" s="2078">
        <f t="shared" si="372"/>
        <v>1</v>
      </c>
      <c r="CV193" s="2078">
        <f t="shared" si="419"/>
        <v>0</v>
      </c>
      <c r="CW193" s="2078">
        <f>IF(OR(AE193&lt;&gt;3,F193="Exclude"),0,IF(ISERROR(MATCH($E193,'4 Sign-off'!$S$123:$X$123,0)),0,1))</f>
        <v>0</v>
      </c>
      <c r="CX193" s="2078">
        <f t="shared" si="373"/>
        <v>0</v>
      </c>
      <c r="CY193" s="2078">
        <f t="shared" si="420"/>
        <v>0</v>
      </c>
      <c r="CZ193" s="2993">
        <f t="shared" ca="1" si="374"/>
        <v>0</v>
      </c>
      <c r="DA193" s="3037">
        <f t="shared" ca="1" si="375"/>
        <v>0</v>
      </c>
      <c r="DB193" s="1664"/>
      <c r="DC193" s="1320"/>
      <c r="DD193" s="589"/>
      <c r="DE193" s="1321"/>
      <c r="DF193" s="107"/>
      <c r="DG193" s="112"/>
      <c r="DH193" s="140"/>
      <c r="DI193" s="22"/>
      <c r="DJ193" s="145"/>
      <c r="DK193" s="137"/>
      <c r="DL193" s="137"/>
      <c r="DM193" s="137"/>
      <c r="DN193" s="137"/>
      <c r="DO193" s="137"/>
      <c r="DP193" s="137"/>
      <c r="DQ193" s="137"/>
      <c r="DR193" s="137"/>
      <c r="DS193" s="137"/>
      <c r="DT193" s="137"/>
      <c r="DU193" s="137"/>
      <c r="DV193" s="137"/>
      <c r="DW193" s="137"/>
      <c r="DX193" s="137"/>
      <c r="DY193" s="137"/>
      <c r="DZ193" s="137"/>
      <c r="EA193" s="137"/>
      <c r="EB193" s="137"/>
      <c r="EC193" s="137"/>
      <c r="ED193" s="137"/>
      <c r="EE193" s="137"/>
      <c r="EF193" s="137"/>
      <c r="EG193" s="137"/>
      <c r="EH193" s="137"/>
      <c r="EI193" s="137"/>
      <c r="EJ193" s="137"/>
      <c r="EK193" s="137"/>
      <c r="EL193" s="137"/>
      <c r="EM193" s="137"/>
      <c r="EN193" s="137"/>
      <c r="EO193" s="137"/>
      <c r="EP193" s="137"/>
      <c r="EQ193" s="137"/>
      <c r="ER193" s="137"/>
      <c r="ES193" s="137"/>
      <c r="ET193" s="137"/>
      <c r="EU193" s="137"/>
      <c r="EV193" s="137"/>
      <c r="EW193" s="137"/>
      <c r="EX193" s="137"/>
      <c r="EY193" s="137"/>
      <c r="EZ193" s="137"/>
      <c r="FA193" s="137"/>
      <c r="FB193" s="137"/>
      <c r="FC193" s="137"/>
      <c r="FD193" s="137"/>
      <c r="FE193" s="137"/>
      <c r="FF193" s="137"/>
      <c r="FG193" s="860"/>
      <c r="FH193" s="1288"/>
      <c r="FI193" s="1318"/>
      <c r="FJ193" s="126"/>
      <c r="FK193" s="127"/>
      <c r="FL193" s="128" t="str">
        <f t="shared" si="376"/>
        <v xml:space="preserve">    </v>
      </c>
      <c r="FM193" s="128"/>
      <c r="FN193" s="1686">
        <f t="shared" si="377"/>
        <v>0</v>
      </c>
      <c r="FO193" s="46">
        <f t="shared" si="421"/>
        <v>0</v>
      </c>
      <c r="FP193" s="46">
        <f t="shared" si="422"/>
        <v>1</v>
      </c>
      <c r="FQ193" s="75">
        <f t="shared" si="378"/>
        <v>0</v>
      </c>
      <c r="FR193" s="46">
        <f t="shared" si="379"/>
        <v>0</v>
      </c>
      <c r="FS193" s="46">
        <f t="shared" si="380"/>
        <v>1</v>
      </c>
      <c r="FT193" s="75">
        <f t="shared" si="381"/>
        <v>0</v>
      </c>
      <c r="FU193" s="2603">
        <f t="shared" si="423"/>
        <v>0</v>
      </c>
      <c r="FV193" s="2607">
        <f t="shared" si="424"/>
        <v>0</v>
      </c>
      <c r="FW193" s="2603">
        <f t="shared" si="425"/>
        <v>0</v>
      </c>
      <c r="FX193" s="2631">
        <f t="shared" si="426"/>
        <v>0</v>
      </c>
      <c r="FY193" s="81" t="e">
        <f t="shared" si="382"/>
        <v>#N/A</v>
      </c>
      <c r="FZ193" s="64" t="e">
        <f t="array" ref="FZ193">MATCH(1,($GT193:$LQ193&gt;0)*$GT$25:$LQ$25,0)</f>
        <v>#N/A</v>
      </c>
      <c r="GA193" s="64" t="e">
        <f t="array" ref="GA193">MATCH(2,1/(GT193:LQ193&gt;0))</f>
        <v>#N/A</v>
      </c>
      <c r="GB193" s="64">
        <f t="shared" si="383"/>
        <v>-1</v>
      </c>
      <c r="GC193" s="46"/>
      <c r="GD193" s="613"/>
      <c r="GE193" s="613"/>
      <c r="GF193" s="613"/>
      <c r="GG193" s="613"/>
      <c r="GH193" s="613"/>
      <c r="GI193" s="613"/>
      <c r="GJ193" s="613"/>
      <c r="GK193" s="613"/>
      <c r="GL193" s="613"/>
      <c r="GM193" s="613"/>
      <c r="GN193" s="385">
        <f t="shared" si="384"/>
        <v>0</v>
      </c>
      <c r="GO193" s="386">
        <f t="shared" si="385"/>
        <v>0</v>
      </c>
      <c r="GP193" s="2635"/>
      <c r="GQ193" s="175"/>
      <c r="GR193" s="172"/>
      <c r="GS193" s="65"/>
      <c r="GT193" s="167"/>
      <c r="GU193" s="168"/>
      <c r="GV193" s="168"/>
      <c r="GW193" s="168"/>
      <c r="GX193" s="168"/>
      <c r="GY193" s="168"/>
      <c r="GZ193" s="168"/>
      <c r="HA193" s="168"/>
      <c r="HB193" s="168"/>
      <c r="HC193" s="168"/>
      <c r="HD193" s="168"/>
      <c r="HE193" s="168"/>
      <c r="HF193" s="168"/>
      <c r="HG193" s="168"/>
      <c r="HH193" s="168"/>
      <c r="HI193" s="168"/>
      <c r="HJ193" s="168"/>
      <c r="HK193" s="168"/>
      <c r="HL193" s="168"/>
      <c r="HM193" s="168"/>
      <c r="HN193" s="168"/>
      <c r="HO193" s="168"/>
      <c r="HP193" s="168"/>
      <c r="HQ193" s="168"/>
      <c r="HR193" s="168"/>
      <c r="HS193" s="168"/>
      <c r="HT193" s="168"/>
      <c r="HU193" s="168"/>
      <c r="HV193" s="168"/>
      <c r="HW193" s="168"/>
      <c r="HX193" s="168"/>
      <c r="HY193" s="168"/>
      <c r="HZ193" s="168"/>
      <c r="IA193" s="168"/>
      <c r="IB193" s="168"/>
      <c r="IC193" s="168"/>
      <c r="ID193" s="168"/>
      <c r="IE193" s="168"/>
      <c r="IF193" s="168"/>
      <c r="IG193" s="168"/>
      <c r="IH193" s="168"/>
      <c r="II193" s="168"/>
      <c r="IJ193" s="168"/>
      <c r="IK193" s="168"/>
      <c r="IL193" s="168"/>
      <c r="IM193" s="168"/>
      <c r="IN193" s="168"/>
      <c r="IO193" s="168"/>
      <c r="IP193" s="168"/>
      <c r="IQ193" s="168"/>
      <c r="IR193" s="168"/>
      <c r="IS193" s="168"/>
      <c r="IT193" s="168"/>
      <c r="IU193" s="168"/>
      <c r="IV193" s="168"/>
      <c r="IW193" s="168"/>
      <c r="IX193" s="168"/>
      <c r="IY193" s="168"/>
      <c r="IZ193" s="168"/>
      <c r="JA193" s="168"/>
      <c r="JB193" s="168"/>
      <c r="JC193" s="168"/>
      <c r="JD193" s="168"/>
      <c r="JE193" s="168"/>
      <c r="JF193" s="168"/>
      <c r="JG193" s="168"/>
      <c r="JH193" s="168"/>
      <c r="JI193" s="168"/>
      <c r="JJ193" s="168"/>
      <c r="JK193" s="168"/>
      <c r="JL193" s="168"/>
      <c r="JM193" s="168"/>
      <c r="JN193" s="168"/>
      <c r="JO193" s="168"/>
      <c r="JP193" s="168"/>
      <c r="JQ193" s="168"/>
      <c r="JR193" s="168"/>
      <c r="JS193" s="168"/>
      <c r="JT193" s="168"/>
      <c r="JU193" s="168"/>
      <c r="JV193" s="168"/>
      <c r="JW193" s="168"/>
      <c r="JX193" s="168"/>
      <c r="JY193" s="168"/>
      <c r="JZ193" s="168"/>
      <c r="KA193" s="168"/>
      <c r="KB193" s="168"/>
      <c r="KC193" s="168"/>
      <c r="KD193" s="168"/>
      <c r="KE193" s="168"/>
      <c r="KF193" s="168"/>
      <c r="KG193" s="168"/>
      <c r="KH193" s="168"/>
      <c r="KI193" s="168"/>
      <c r="KJ193" s="168"/>
      <c r="KK193" s="168"/>
      <c r="KL193" s="168"/>
      <c r="KM193" s="168"/>
      <c r="KN193" s="168"/>
      <c r="KO193" s="168"/>
      <c r="KP193" s="168"/>
      <c r="KQ193" s="168"/>
      <c r="KR193" s="168"/>
      <c r="KS193" s="168"/>
      <c r="KT193" s="168"/>
      <c r="KU193" s="168"/>
      <c r="KV193" s="168"/>
      <c r="KW193" s="168"/>
      <c r="KX193" s="168"/>
      <c r="KY193" s="168"/>
      <c r="KZ193" s="168"/>
      <c r="LA193" s="168"/>
      <c r="LB193" s="168"/>
      <c r="LC193" s="168"/>
      <c r="LD193" s="168"/>
      <c r="LE193" s="168"/>
      <c r="LF193" s="168"/>
      <c r="LG193" s="168"/>
      <c r="LH193" s="168"/>
      <c r="LI193" s="168"/>
      <c r="LJ193" s="168"/>
      <c r="LK193" s="168"/>
      <c r="LL193" s="168"/>
      <c r="LM193" s="168"/>
      <c r="LN193" s="168"/>
      <c r="LO193" s="168"/>
      <c r="LP193" s="606"/>
      <c r="LQ193" s="609"/>
      <c r="LR193" s="1319"/>
      <c r="LS193" s="1319"/>
    </row>
    <row r="194" spans="1:331" s="2" customFormat="1" ht="15" customHeight="1" x14ac:dyDescent="0.25">
      <c r="A194" s="283"/>
      <c r="B194" s="303"/>
      <c r="C194" s="301"/>
      <c r="D194" s="1287"/>
      <c r="E194" s="2298"/>
      <c r="F194" s="1812"/>
      <c r="G194" s="3342"/>
      <c r="H194" s="66"/>
      <c r="I194" s="1746"/>
      <c r="J194" s="1214"/>
      <c r="K194" s="105"/>
      <c r="L194" s="91"/>
      <c r="M194" s="92"/>
      <c r="N194" s="93"/>
      <c r="O194" s="96"/>
      <c r="P194" s="96"/>
      <c r="Q194" s="95"/>
      <c r="R194" s="993">
        <f t="shared" si="325"/>
        <v>0</v>
      </c>
      <c r="S194" s="23">
        <f t="shared" si="326"/>
        <v>0</v>
      </c>
      <c r="T194" s="24">
        <f t="shared" si="327"/>
        <v>0</v>
      </c>
      <c r="U194" s="24">
        <f t="shared" si="328"/>
        <v>0</v>
      </c>
      <c r="V194" s="24">
        <f t="shared" si="329"/>
        <v>0</v>
      </c>
      <c r="W194" s="24">
        <f t="shared" ca="1" si="330"/>
        <v>0</v>
      </c>
      <c r="X194" s="72">
        <f t="shared" ca="1" si="386"/>
        <v>0</v>
      </c>
      <c r="Y194" s="72">
        <f t="shared" si="331"/>
        <v>0</v>
      </c>
      <c r="Z194" s="24">
        <f t="shared" si="332"/>
        <v>0</v>
      </c>
      <c r="AA194" s="72">
        <f t="shared" si="387"/>
        <v>0</v>
      </c>
      <c r="AB194" s="24">
        <f t="shared" si="388"/>
        <v>0</v>
      </c>
      <c r="AC194" s="24">
        <f t="shared" ca="1" si="333"/>
        <v>0</v>
      </c>
      <c r="AD194" s="24">
        <f t="shared" si="389"/>
        <v>0</v>
      </c>
      <c r="AE194" s="2078">
        <f t="shared" si="334"/>
        <v>3</v>
      </c>
      <c r="AF194" s="2078">
        <f t="shared" si="335"/>
        <v>0</v>
      </c>
      <c r="AG194" s="2078">
        <f t="shared" si="336"/>
        <v>0</v>
      </c>
      <c r="AH194" s="2521">
        <f t="shared" si="390"/>
        <v>1</v>
      </c>
      <c r="AI194" s="25" t="str">
        <f t="shared" si="337"/>
        <v/>
      </c>
      <c r="AJ194" s="2521">
        <f t="shared" ca="1" si="391"/>
        <v>0</v>
      </c>
      <c r="AK194" s="2076">
        <f t="shared" ca="1" si="392"/>
        <v>0</v>
      </c>
      <c r="AL194" s="2078">
        <f>IF(ISBLANK(J194),0,ISERROR(MATCH(J194,'5  Control Accounts'!$FA$29:$FA$96,0))*1)</f>
        <v>0</v>
      </c>
      <c r="AM194" s="2076">
        <f t="shared" si="338"/>
        <v>0</v>
      </c>
      <c r="AN194" s="2078">
        <f t="shared" si="339"/>
        <v>1</v>
      </c>
      <c r="AO194" s="2079">
        <f t="shared" si="393"/>
        <v>1</v>
      </c>
      <c r="AP194" s="2079">
        <f t="shared" si="394"/>
        <v>0</v>
      </c>
      <c r="AQ194" s="2079">
        <f t="shared" si="395"/>
        <v>0</v>
      </c>
      <c r="AR194" s="2079">
        <f t="shared" si="396"/>
        <v>0</v>
      </c>
      <c r="AS194" s="2079">
        <f t="shared" si="397"/>
        <v>0</v>
      </c>
      <c r="AT194" s="2079">
        <f t="shared" si="398"/>
        <v>0</v>
      </c>
      <c r="AU194" s="2079">
        <f t="shared" si="399"/>
        <v>0</v>
      </c>
      <c r="AV194" s="2079">
        <f t="shared" si="400"/>
        <v>0</v>
      </c>
      <c r="AW194" s="2079">
        <f t="shared" si="401"/>
        <v>0</v>
      </c>
      <c r="AX194" s="2079">
        <f t="shared" si="402"/>
        <v>0</v>
      </c>
      <c r="AY194" s="2078">
        <f t="shared" si="340"/>
        <v>0</v>
      </c>
      <c r="AZ194" s="2078">
        <f t="shared" si="341"/>
        <v>0</v>
      </c>
      <c r="BA194" s="2078">
        <f t="shared" si="342"/>
        <v>0</v>
      </c>
      <c r="BB194" s="2078">
        <f t="shared" si="343"/>
        <v>0</v>
      </c>
      <c r="BC194" s="2078">
        <f t="shared" si="344"/>
        <v>0</v>
      </c>
      <c r="BD194" s="2078">
        <f t="shared" si="345"/>
        <v>0</v>
      </c>
      <c r="BE194" s="2078">
        <f t="shared" si="346"/>
        <v>0</v>
      </c>
      <c r="BF194" s="2078">
        <f t="shared" si="347"/>
        <v>0</v>
      </c>
      <c r="BG194" s="2078">
        <f t="shared" si="348"/>
        <v>0</v>
      </c>
      <c r="BH194" s="2078">
        <f t="shared" si="349"/>
        <v>0</v>
      </c>
      <c r="BI194" s="2078">
        <f t="shared" si="350"/>
        <v>0</v>
      </c>
      <c r="BJ194" s="2078">
        <f t="shared" si="351"/>
        <v>0</v>
      </c>
      <c r="BK194" s="2078">
        <f t="shared" si="352"/>
        <v>0</v>
      </c>
      <c r="BL194" s="2078">
        <f t="shared" si="353"/>
        <v>0</v>
      </c>
      <c r="BM194" s="2078">
        <f t="shared" si="354"/>
        <v>0</v>
      </c>
      <c r="BN194" s="2078">
        <f t="shared" si="355"/>
        <v>0</v>
      </c>
      <c r="BO194" s="2078">
        <f t="shared" si="356"/>
        <v>0</v>
      </c>
      <c r="BP194" s="2078">
        <f t="shared" si="357"/>
        <v>0</v>
      </c>
      <c r="BQ194" s="2078">
        <f t="shared" si="358"/>
        <v>0</v>
      </c>
      <c r="BR194" s="2078">
        <f t="shared" si="359"/>
        <v>0</v>
      </c>
      <c r="BS194" s="2079">
        <f t="shared" si="403"/>
        <v>1</v>
      </c>
      <c r="BT194" s="2079">
        <f t="shared" si="404"/>
        <v>0</v>
      </c>
      <c r="BU194" s="2079">
        <f t="shared" si="405"/>
        <v>0</v>
      </c>
      <c r="BV194" s="2079">
        <f t="shared" si="406"/>
        <v>0</v>
      </c>
      <c r="BW194" s="2079">
        <f t="shared" si="407"/>
        <v>0</v>
      </c>
      <c r="BX194" s="2079">
        <f t="shared" si="408"/>
        <v>0</v>
      </c>
      <c r="BY194" s="2079">
        <f t="shared" si="409"/>
        <v>0</v>
      </c>
      <c r="BZ194" s="2079">
        <f t="shared" si="410"/>
        <v>0</v>
      </c>
      <c r="CA194" s="2079">
        <f t="shared" si="411"/>
        <v>0</v>
      </c>
      <c r="CB194" s="2079">
        <f t="shared" si="412"/>
        <v>0</v>
      </c>
      <c r="CC194" s="2078">
        <f t="shared" ca="1" si="360"/>
        <v>0</v>
      </c>
      <c r="CD194" s="2078">
        <f t="shared" ca="1" si="361"/>
        <v>0</v>
      </c>
      <c r="CE194" s="2078">
        <f t="shared" ca="1" si="362"/>
        <v>0</v>
      </c>
      <c r="CF194" s="2078">
        <f t="shared" ca="1" si="363"/>
        <v>0</v>
      </c>
      <c r="CG194" s="2078">
        <f t="shared" ca="1" si="364"/>
        <v>0</v>
      </c>
      <c r="CH194" s="2078">
        <f t="shared" ca="1" si="365"/>
        <v>0</v>
      </c>
      <c r="CI194" s="2078">
        <f t="shared" ca="1" si="366"/>
        <v>0</v>
      </c>
      <c r="CJ194" s="2078">
        <f t="shared" ca="1" si="367"/>
        <v>0</v>
      </c>
      <c r="CK194" s="2078">
        <f t="shared" ca="1" si="368"/>
        <v>0</v>
      </c>
      <c r="CL194" s="2078">
        <f t="shared" ca="1" si="369"/>
        <v>0</v>
      </c>
      <c r="CM194" s="2078">
        <f t="shared" si="413"/>
        <v>1</v>
      </c>
      <c r="CN194" s="2078">
        <f t="shared" si="414"/>
        <v>1</v>
      </c>
      <c r="CO194" s="2078">
        <f t="shared" si="415"/>
        <v>1</v>
      </c>
      <c r="CP194" s="2078">
        <f t="shared" si="370"/>
        <v>1</v>
      </c>
      <c r="CQ194" s="2078">
        <f t="shared" si="416"/>
        <v>0</v>
      </c>
      <c r="CR194" s="2078">
        <f t="shared" si="417"/>
        <v>0</v>
      </c>
      <c r="CS194" s="2078">
        <f t="shared" si="371"/>
        <v>0</v>
      </c>
      <c r="CT194" s="2078">
        <f t="shared" si="418"/>
        <v>1</v>
      </c>
      <c r="CU194" s="2078">
        <f t="shared" si="372"/>
        <v>1</v>
      </c>
      <c r="CV194" s="2078">
        <f t="shared" si="419"/>
        <v>0</v>
      </c>
      <c r="CW194" s="2078">
        <f>IF(OR(AE194&lt;&gt;3,F194="Exclude"),0,IF(ISERROR(MATCH($E194,'4 Sign-off'!$S$123:$X$123,0)),0,1))</f>
        <v>0</v>
      </c>
      <c r="CX194" s="2078">
        <f t="shared" si="373"/>
        <v>0</v>
      </c>
      <c r="CY194" s="2078">
        <f t="shared" si="420"/>
        <v>0</v>
      </c>
      <c r="CZ194" s="2993">
        <f t="shared" ca="1" si="374"/>
        <v>0</v>
      </c>
      <c r="DA194" s="3037">
        <f t="shared" ca="1" si="375"/>
        <v>0</v>
      </c>
      <c r="DB194" s="1664"/>
      <c r="DC194" s="1320"/>
      <c r="DD194" s="589"/>
      <c r="DE194" s="1321"/>
      <c r="DF194" s="107"/>
      <c r="DG194" s="112"/>
      <c r="DH194" s="140"/>
      <c r="DI194" s="22"/>
      <c r="DJ194" s="145"/>
      <c r="DK194" s="137"/>
      <c r="DL194" s="137"/>
      <c r="DM194" s="137"/>
      <c r="DN194" s="137"/>
      <c r="DO194" s="137"/>
      <c r="DP194" s="137"/>
      <c r="DQ194" s="137"/>
      <c r="DR194" s="137"/>
      <c r="DS194" s="137"/>
      <c r="DT194" s="137"/>
      <c r="DU194" s="137"/>
      <c r="DV194" s="137"/>
      <c r="DW194" s="137"/>
      <c r="DX194" s="137"/>
      <c r="DY194" s="137"/>
      <c r="DZ194" s="137"/>
      <c r="EA194" s="137"/>
      <c r="EB194" s="137"/>
      <c r="EC194" s="137"/>
      <c r="ED194" s="137"/>
      <c r="EE194" s="137"/>
      <c r="EF194" s="137"/>
      <c r="EG194" s="137"/>
      <c r="EH194" s="137"/>
      <c r="EI194" s="137"/>
      <c r="EJ194" s="137"/>
      <c r="EK194" s="137"/>
      <c r="EL194" s="137"/>
      <c r="EM194" s="137"/>
      <c r="EN194" s="137"/>
      <c r="EO194" s="137"/>
      <c r="EP194" s="137"/>
      <c r="EQ194" s="137"/>
      <c r="ER194" s="137"/>
      <c r="ES194" s="137"/>
      <c r="ET194" s="137"/>
      <c r="EU194" s="137"/>
      <c r="EV194" s="137"/>
      <c r="EW194" s="137"/>
      <c r="EX194" s="137"/>
      <c r="EY194" s="137"/>
      <c r="EZ194" s="137"/>
      <c r="FA194" s="137"/>
      <c r="FB194" s="137"/>
      <c r="FC194" s="137"/>
      <c r="FD194" s="137"/>
      <c r="FE194" s="137"/>
      <c r="FF194" s="137"/>
      <c r="FG194" s="860"/>
      <c r="FH194" s="1288"/>
      <c r="FI194" s="1318"/>
      <c r="FJ194" s="126"/>
      <c r="FK194" s="127"/>
      <c r="FL194" s="128" t="str">
        <f t="shared" si="376"/>
        <v xml:space="preserve">    </v>
      </c>
      <c r="FM194" s="128"/>
      <c r="FN194" s="1686">
        <f t="shared" si="377"/>
        <v>0</v>
      </c>
      <c r="FO194" s="46">
        <f t="shared" si="421"/>
        <v>0</v>
      </c>
      <c r="FP194" s="46">
        <f t="shared" si="422"/>
        <v>1</v>
      </c>
      <c r="FQ194" s="75">
        <f t="shared" si="378"/>
        <v>0</v>
      </c>
      <c r="FR194" s="46">
        <f t="shared" si="379"/>
        <v>0</v>
      </c>
      <c r="FS194" s="46">
        <f t="shared" si="380"/>
        <v>1</v>
      </c>
      <c r="FT194" s="75">
        <f t="shared" si="381"/>
        <v>0</v>
      </c>
      <c r="FU194" s="2603">
        <f t="shared" si="423"/>
        <v>0</v>
      </c>
      <c r="FV194" s="2607">
        <f t="shared" si="424"/>
        <v>0</v>
      </c>
      <c r="FW194" s="2603">
        <f t="shared" si="425"/>
        <v>0</v>
      </c>
      <c r="FX194" s="2631">
        <f t="shared" si="426"/>
        <v>0</v>
      </c>
      <c r="FY194" s="81" t="e">
        <f t="shared" si="382"/>
        <v>#N/A</v>
      </c>
      <c r="FZ194" s="64" t="e">
        <f t="array" ref="FZ194">MATCH(1,($GT194:$LQ194&gt;0)*$GT$25:$LQ$25,0)</f>
        <v>#N/A</v>
      </c>
      <c r="GA194" s="64" t="e">
        <f t="array" ref="GA194">MATCH(2,1/(GT194:LQ194&gt;0))</f>
        <v>#N/A</v>
      </c>
      <c r="GB194" s="64">
        <f t="shared" si="383"/>
        <v>-1</v>
      </c>
      <c r="GC194" s="46"/>
      <c r="GD194" s="613"/>
      <c r="GE194" s="613"/>
      <c r="GF194" s="613"/>
      <c r="GG194" s="613"/>
      <c r="GH194" s="613"/>
      <c r="GI194" s="613"/>
      <c r="GJ194" s="613"/>
      <c r="GK194" s="613"/>
      <c r="GL194" s="613"/>
      <c r="GM194" s="613"/>
      <c r="GN194" s="385">
        <f t="shared" si="384"/>
        <v>0</v>
      </c>
      <c r="GO194" s="386">
        <f t="shared" si="385"/>
        <v>0</v>
      </c>
      <c r="GP194" s="2635"/>
      <c r="GQ194" s="175"/>
      <c r="GR194" s="172"/>
      <c r="GS194" s="65"/>
      <c r="GT194" s="167"/>
      <c r="GU194" s="168"/>
      <c r="GV194" s="168"/>
      <c r="GW194" s="168"/>
      <c r="GX194" s="168"/>
      <c r="GY194" s="168"/>
      <c r="GZ194" s="168"/>
      <c r="HA194" s="168"/>
      <c r="HB194" s="168"/>
      <c r="HC194" s="168"/>
      <c r="HD194" s="168"/>
      <c r="HE194" s="168"/>
      <c r="HF194" s="168"/>
      <c r="HG194" s="168"/>
      <c r="HH194" s="168"/>
      <c r="HI194" s="168"/>
      <c r="HJ194" s="168"/>
      <c r="HK194" s="168"/>
      <c r="HL194" s="168"/>
      <c r="HM194" s="168"/>
      <c r="HN194" s="168"/>
      <c r="HO194" s="168"/>
      <c r="HP194" s="168"/>
      <c r="HQ194" s="168"/>
      <c r="HR194" s="168"/>
      <c r="HS194" s="168"/>
      <c r="HT194" s="168"/>
      <c r="HU194" s="168"/>
      <c r="HV194" s="168"/>
      <c r="HW194" s="168"/>
      <c r="HX194" s="168"/>
      <c r="HY194" s="168"/>
      <c r="HZ194" s="168"/>
      <c r="IA194" s="168"/>
      <c r="IB194" s="168"/>
      <c r="IC194" s="168"/>
      <c r="ID194" s="168"/>
      <c r="IE194" s="168"/>
      <c r="IF194" s="168"/>
      <c r="IG194" s="168"/>
      <c r="IH194" s="168"/>
      <c r="II194" s="168"/>
      <c r="IJ194" s="168"/>
      <c r="IK194" s="168"/>
      <c r="IL194" s="168"/>
      <c r="IM194" s="168"/>
      <c r="IN194" s="168"/>
      <c r="IO194" s="168"/>
      <c r="IP194" s="168"/>
      <c r="IQ194" s="168"/>
      <c r="IR194" s="168"/>
      <c r="IS194" s="168"/>
      <c r="IT194" s="168"/>
      <c r="IU194" s="168"/>
      <c r="IV194" s="168"/>
      <c r="IW194" s="168"/>
      <c r="IX194" s="168"/>
      <c r="IY194" s="168"/>
      <c r="IZ194" s="168"/>
      <c r="JA194" s="168"/>
      <c r="JB194" s="168"/>
      <c r="JC194" s="168"/>
      <c r="JD194" s="168"/>
      <c r="JE194" s="168"/>
      <c r="JF194" s="168"/>
      <c r="JG194" s="168"/>
      <c r="JH194" s="168"/>
      <c r="JI194" s="168"/>
      <c r="JJ194" s="168"/>
      <c r="JK194" s="168"/>
      <c r="JL194" s="168"/>
      <c r="JM194" s="168"/>
      <c r="JN194" s="168"/>
      <c r="JO194" s="168"/>
      <c r="JP194" s="168"/>
      <c r="JQ194" s="168"/>
      <c r="JR194" s="168"/>
      <c r="JS194" s="168"/>
      <c r="JT194" s="168"/>
      <c r="JU194" s="168"/>
      <c r="JV194" s="168"/>
      <c r="JW194" s="168"/>
      <c r="JX194" s="168"/>
      <c r="JY194" s="168"/>
      <c r="JZ194" s="168"/>
      <c r="KA194" s="168"/>
      <c r="KB194" s="168"/>
      <c r="KC194" s="168"/>
      <c r="KD194" s="168"/>
      <c r="KE194" s="168"/>
      <c r="KF194" s="168"/>
      <c r="KG194" s="168"/>
      <c r="KH194" s="168"/>
      <c r="KI194" s="168"/>
      <c r="KJ194" s="168"/>
      <c r="KK194" s="168"/>
      <c r="KL194" s="168"/>
      <c r="KM194" s="168"/>
      <c r="KN194" s="168"/>
      <c r="KO194" s="168"/>
      <c r="KP194" s="168"/>
      <c r="KQ194" s="168"/>
      <c r="KR194" s="168"/>
      <c r="KS194" s="168"/>
      <c r="KT194" s="168"/>
      <c r="KU194" s="168"/>
      <c r="KV194" s="168"/>
      <c r="KW194" s="168"/>
      <c r="KX194" s="168"/>
      <c r="KY194" s="168"/>
      <c r="KZ194" s="168"/>
      <c r="LA194" s="168"/>
      <c r="LB194" s="168"/>
      <c r="LC194" s="168"/>
      <c r="LD194" s="168"/>
      <c r="LE194" s="168"/>
      <c r="LF194" s="168"/>
      <c r="LG194" s="168"/>
      <c r="LH194" s="168"/>
      <c r="LI194" s="168"/>
      <c r="LJ194" s="168"/>
      <c r="LK194" s="168"/>
      <c r="LL194" s="168"/>
      <c r="LM194" s="168"/>
      <c r="LN194" s="168"/>
      <c r="LO194" s="168"/>
      <c r="LP194" s="606"/>
      <c r="LQ194" s="609"/>
      <c r="LR194" s="1319"/>
      <c r="LS194" s="1319"/>
    </row>
    <row r="195" spans="1:331" s="2" customFormat="1" ht="15" customHeight="1" x14ac:dyDescent="0.25">
      <c r="A195" s="283"/>
      <c r="B195" s="303"/>
      <c r="C195" s="301"/>
      <c r="D195" s="1287"/>
      <c r="E195" s="2298"/>
      <c r="F195" s="1812"/>
      <c r="G195" s="3342"/>
      <c r="H195" s="66"/>
      <c r="I195" s="1746"/>
      <c r="J195" s="1214"/>
      <c r="K195" s="105"/>
      <c r="L195" s="91"/>
      <c r="M195" s="92"/>
      <c r="N195" s="93"/>
      <c r="O195" s="96"/>
      <c r="P195" s="96"/>
      <c r="Q195" s="95"/>
      <c r="R195" s="993">
        <f t="shared" si="325"/>
        <v>0</v>
      </c>
      <c r="S195" s="23">
        <f t="shared" si="326"/>
        <v>0</v>
      </c>
      <c r="T195" s="24">
        <f t="shared" si="327"/>
        <v>0</v>
      </c>
      <c r="U195" s="24">
        <f t="shared" si="328"/>
        <v>0</v>
      </c>
      <c r="V195" s="24">
        <f t="shared" si="329"/>
        <v>0</v>
      </c>
      <c r="W195" s="24">
        <f t="shared" ca="1" si="330"/>
        <v>0</v>
      </c>
      <c r="X195" s="72">
        <f t="shared" ca="1" si="386"/>
        <v>0</v>
      </c>
      <c r="Y195" s="72">
        <f t="shared" si="331"/>
        <v>0</v>
      </c>
      <c r="Z195" s="24">
        <f t="shared" si="332"/>
        <v>0</v>
      </c>
      <c r="AA195" s="72">
        <f t="shared" si="387"/>
        <v>0</v>
      </c>
      <c r="AB195" s="24">
        <f t="shared" si="388"/>
        <v>0</v>
      </c>
      <c r="AC195" s="24">
        <f t="shared" ca="1" si="333"/>
        <v>0</v>
      </c>
      <c r="AD195" s="24">
        <f t="shared" si="389"/>
        <v>0</v>
      </c>
      <c r="AE195" s="2078">
        <f t="shared" si="334"/>
        <v>3</v>
      </c>
      <c r="AF195" s="2078">
        <f t="shared" si="335"/>
        <v>0</v>
      </c>
      <c r="AG195" s="2078">
        <f t="shared" si="336"/>
        <v>0</v>
      </c>
      <c r="AH195" s="2521">
        <f t="shared" si="390"/>
        <v>1</v>
      </c>
      <c r="AI195" s="25" t="str">
        <f t="shared" si="337"/>
        <v/>
      </c>
      <c r="AJ195" s="2521">
        <f t="shared" ca="1" si="391"/>
        <v>0</v>
      </c>
      <c r="AK195" s="2076">
        <f t="shared" ca="1" si="392"/>
        <v>0</v>
      </c>
      <c r="AL195" s="2078">
        <f>IF(ISBLANK(J195),0,ISERROR(MATCH(J195,'5  Control Accounts'!$FA$29:$FA$96,0))*1)</f>
        <v>0</v>
      </c>
      <c r="AM195" s="2076">
        <f t="shared" si="338"/>
        <v>0</v>
      </c>
      <c r="AN195" s="2078">
        <f t="shared" si="339"/>
        <v>1</v>
      </c>
      <c r="AO195" s="2079">
        <f t="shared" si="393"/>
        <v>1</v>
      </c>
      <c r="AP195" s="2079">
        <f t="shared" si="394"/>
        <v>0</v>
      </c>
      <c r="AQ195" s="2079">
        <f t="shared" si="395"/>
        <v>0</v>
      </c>
      <c r="AR195" s="2079">
        <f t="shared" si="396"/>
        <v>0</v>
      </c>
      <c r="AS195" s="2079">
        <f t="shared" si="397"/>
        <v>0</v>
      </c>
      <c r="AT195" s="2079">
        <f t="shared" si="398"/>
        <v>0</v>
      </c>
      <c r="AU195" s="2079">
        <f t="shared" si="399"/>
        <v>0</v>
      </c>
      <c r="AV195" s="2079">
        <f t="shared" si="400"/>
        <v>0</v>
      </c>
      <c r="AW195" s="2079">
        <f t="shared" si="401"/>
        <v>0</v>
      </c>
      <c r="AX195" s="2079">
        <f t="shared" si="402"/>
        <v>0</v>
      </c>
      <c r="AY195" s="2078">
        <f t="shared" si="340"/>
        <v>0</v>
      </c>
      <c r="AZ195" s="2078">
        <f t="shared" si="341"/>
        <v>0</v>
      </c>
      <c r="BA195" s="2078">
        <f t="shared" si="342"/>
        <v>0</v>
      </c>
      <c r="BB195" s="2078">
        <f t="shared" si="343"/>
        <v>0</v>
      </c>
      <c r="BC195" s="2078">
        <f t="shared" si="344"/>
        <v>0</v>
      </c>
      <c r="BD195" s="2078">
        <f t="shared" si="345"/>
        <v>0</v>
      </c>
      <c r="BE195" s="2078">
        <f t="shared" si="346"/>
        <v>0</v>
      </c>
      <c r="BF195" s="2078">
        <f t="shared" si="347"/>
        <v>0</v>
      </c>
      <c r="BG195" s="2078">
        <f t="shared" si="348"/>
        <v>0</v>
      </c>
      <c r="BH195" s="2078">
        <f t="shared" si="349"/>
        <v>0</v>
      </c>
      <c r="BI195" s="2078">
        <f t="shared" si="350"/>
        <v>0</v>
      </c>
      <c r="BJ195" s="2078">
        <f t="shared" si="351"/>
        <v>0</v>
      </c>
      <c r="BK195" s="2078">
        <f t="shared" si="352"/>
        <v>0</v>
      </c>
      <c r="BL195" s="2078">
        <f t="shared" si="353"/>
        <v>0</v>
      </c>
      <c r="BM195" s="2078">
        <f t="shared" si="354"/>
        <v>0</v>
      </c>
      <c r="BN195" s="2078">
        <f t="shared" si="355"/>
        <v>0</v>
      </c>
      <c r="BO195" s="2078">
        <f t="shared" si="356"/>
        <v>0</v>
      </c>
      <c r="BP195" s="2078">
        <f t="shared" si="357"/>
        <v>0</v>
      </c>
      <c r="BQ195" s="2078">
        <f t="shared" si="358"/>
        <v>0</v>
      </c>
      <c r="BR195" s="2078">
        <f t="shared" si="359"/>
        <v>0</v>
      </c>
      <c r="BS195" s="2079">
        <f t="shared" si="403"/>
        <v>1</v>
      </c>
      <c r="BT195" s="2079">
        <f t="shared" si="404"/>
        <v>0</v>
      </c>
      <c r="BU195" s="2079">
        <f t="shared" si="405"/>
        <v>0</v>
      </c>
      <c r="BV195" s="2079">
        <f t="shared" si="406"/>
        <v>0</v>
      </c>
      <c r="BW195" s="2079">
        <f t="shared" si="407"/>
        <v>0</v>
      </c>
      <c r="BX195" s="2079">
        <f t="shared" si="408"/>
        <v>0</v>
      </c>
      <c r="BY195" s="2079">
        <f t="shared" si="409"/>
        <v>0</v>
      </c>
      <c r="BZ195" s="2079">
        <f t="shared" si="410"/>
        <v>0</v>
      </c>
      <c r="CA195" s="2079">
        <f t="shared" si="411"/>
        <v>0</v>
      </c>
      <c r="CB195" s="2079">
        <f t="shared" si="412"/>
        <v>0</v>
      </c>
      <c r="CC195" s="2078">
        <f t="shared" ca="1" si="360"/>
        <v>0</v>
      </c>
      <c r="CD195" s="2078">
        <f t="shared" ca="1" si="361"/>
        <v>0</v>
      </c>
      <c r="CE195" s="2078">
        <f t="shared" ca="1" si="362"/>
        <v>0</v>
      </c>
      <c r="CF195" s="2078">
        <f t="shared" ca="1" si="363"/>
        <v>0</v>
      </c>
      <c r="CG195" s="2078">
        <f t="shared" ca="1" si="364"/>
        <v>0</v>
      </c>
      <c r="CH195" s="2078">
        <f t="shared" ca="1" si="365"/>
        <v>0</v>
      </c>
      <c r="CI195" s="2078">
        <f t="shared" ca="1" si="366"/>
        <v>0</v>
      </c>
      <c r="CJ195" s="2078">
        <f t="shared" ca="1" si="367"/>
        <v>0</v>
      </c>
      <c r="CK195" s="2078">
        <f t="shared" ca="1" si="368"/>
        <v>0</v>
      </c>
      <c r="CL195" s="2078">
        <f t="shared" ca="1" si="369"/>
        <v>0</v>
      </c>
      <c r="CM195" s="2078">
        <f t="shared" si="413"/>
        <v>1</v>
      </c>
      <c r="CN195" s="2078">
        <f t="shared" si="414"/>
        <v>1</v>
      </c>
      <c r="CO195" s="2078">
        <f t="shared" si="415"/>
        <v>1</v>
      </c>
      <c r="CP195" s="2078">
        <f t="shared" si="370"/>
        <v>1</v>
      </c>
      <c r="CQ195" s="2078">
        <f t="shared" si="416"/>
        <v>0</v>
      </c>
      <c r="CR195" s="2078">
        <f t="shared" si="417"/>
        <v>0</v>
      </c>
      <c r="CS195" s="2078">
        <f t="shared" si="371"/>
        <v>0</v>
      </c>
      <c r="CT195" s="2078">
        <f t="shared" si="418"/>
        <v>1</v>
      </c>
      <c r="CU195" s="2078">
        <f t="shared" si="372"/>
        <v>1</v>
      </c>
      <c r="CV195" s="2078">
        <f t="shared" si="419"/>
        <v>0</v>
      </c>
      <c r="CW195" s="2078">
        <f>IF(OR(AE195&lt;&gt;3,F195="Exclude"),0,IF(ISERROR(MATCH($E195,'4 Sign-off'!$S$123:$X$123,0)),0,1))</f>
        <v>0</v>
      </c>
      <c r="CX195" s="2078">
        <f t="shared" si="373"/>
        <v>0</v>
      </c>
      <c r="CY195" s="2078">
        <f t="shared" si="420"/>
        <v>0</v>
      </c>
      <c r="CZ195" s="2993">
        <f t="shared" ca="1" si="374"/>
        <v>0</v>
      </c>
      <c r="DA195" s="3037">
        <f t="shared" ca="1" si="375"/>
        <v>0</v>
      </c>
      <c r="DB195" s="1664"/>
      <c r="DC195" s="1320"/>
      <c r="DD195" s="589"/>
      <c r="DE195" s="1321"/>
      <c r="DF195" s="107"/>
      <c r="DG195" s="112"/>
      <c r="DH195" s="140"/>
      <c r="DI195" s="22"/>
      <c r="DJ195" s="145"/>
      <c r="DK195" s="137"/>
      <c r="DL195" s="137"/>
      <c r="DM195" s="137"/>
      <c r="DN195" s="137"/>
      <c r="DO195" s="137"/>
      <c r="DP195" s="137"/>
      <c r="DQ195" s="137"/>
      <c r="DR195" s="137"/>
      <c r="DS195" s="137"/>
      <c r="DT195" s="137"/>
      <c r="DU195" s="137"/>
      <c r="DV195" s="137"/>
      <c r="DW195" s="137"/>
      <c r="DX195" s="137"/>
      <c r="DY195" s="137"/>
      <c r="DZ195" s="137"/>
      <c r="EA195" s="137"/>
      <c r="EB195" s="137"/>
      <c r="EC195" s="137"/>
      <c r="ED195" s="137"/>
      <c r="EE195" s="137"/>
      <c r="EF195" s="137"/>
      <c r="EG195" s="137"/>
      <c r="EH195" s="137"/>
      <c r="EI195" s="137"/>
      <c r="EJ195" s="137"/>
      <c r="EK195" s="137"/>
      <c r="EL195" s="137"/>
      <c r="EM195" s="137"/>
      <c r="EN195" s="137"/>
      <c r="EO195" s="137"/>
      <c r="EP195" s="137"/>
      <c r="EQ195" s="137"/>
      <c r="ER195" s="137"/>
      <c r="ES195" s="137"/>
      <c r="ET195" s="137"/>
      <c r="EU195" s="137"/>
      <c r="EV195" s="137"/>
      <c r="EW195" s="137"/>
      <c r="EX195" s="137"/>
      <c r="EY195" s="137"/>
      <c r="EZ195" s="137"/>
      <c r="FA195" s="137"/>
      <c r="FB195" s="137"/>
      <c r="FC195" s="137"/>
      <c r="FD195" s="137"/>
      <c r="FE195" s="137"/>
      <c r="FF195" s="137"/>
      <c r="FG195" s="860"/>
      <c r="FH195" s="1288"/>
      <c r="FI195" s="1318"/>
      <c r="FJ195" s="126"/>
      <c r="FK195" s="127"/>
      <c r="FL195" s="128" t="str">
        <f t="shared" si="376"/>
        <v xml:space="preserve">    </v>
      </c>
      <c r="FM195" s="128"/>
      <c r="FN195" s="1686">
        <f t="shared" si="377"/>
        <v>0</v>
      </c>
      <c r="FO195" s="46">
        <f t="shared" si="421"/>
        <v>0</v>
      </c>
      <c r="FP195" s="46">
        <f t="shared" si="422"/>
        <v>1</v>
      </c>
      <c r="FQ195" s="75">
        <f t="shared" si="378"/>
        <v>0</v>
      </c>
      <c r="FR195" s="46">
        <f t="shared" si="379"/>
        <v>0</v>
      </c>
      <c r="FS195" s="46">
        <f t="shared" si="380"/>
        <v>1</v>
      </c>
      <c r="FT195" s="75">
        <f t="shared" si="381"/>
        <v>0</v>
      </c>
      <c r="FU195" s="2603">
        <f t="shared" si="423"/>
        <v>0</v>
      </c>
      <c r="FV195" s="2607">
        <f t="shared" si="424"/>
        <v>0</v>
      </c>
      <c r="FW195" s="2603">
        <f t="shared" si="425"/>
        <v>0</v>
      </c>
      <c r="FX195" s="2631">
        <f t="shared" si="426"/>
        <v>0</v>
      </c>
      <c r="FY195" s="81" t="e">
        <f t="shared" si="382"/>
        <v>#N/A</v>
      </c>
      <c r="FZ195" s="64" t="e">
        <f t="array" ref="FZ195">MATCH(1,($GT195:$LQ195&gt;0)*$GT$25:$LQ$25,0)</f>
        <v>#N/A</v>
      </c>
      <c r="GA195" s="64" t="e">
        <f t="array" ref="GA195">MATCH(2,1/(GT195:LQ195&gt;0))</f>
        <v>#N/A</v>
      </c>
      <c r="GB195" s="64">
        <f t="shared" si="383"/>
        <v>-1</v>
      </c>
      <c r="GC195" s="46"/>
      <c r="GD195" s="613"/>
      <c r="GE195" s="613"/>
      <c r="GF195" s="613"/>
      <c r="GG195" s="613"/>
      <c r="GH195" s="613"/>
      <c r="GI195" s="613"/>
      <c r="GJ195" s="613"/>
      <c r="GK195" s="613"/>
      <c r="GL195" s="613"/>
      <c r="GM195" s="613"/>
      <c r="GN195" s="385">
        <f t="shared" si="384"/>
        <v>0</v>
      </c>
      <c r="GO195" s="386">
        <f t="shared" si="385"/>
        <v>0</v>
      </c>
      <c r="GP195" s="2635"/>
      <c r="GQ195" s="175"/>
      <c r="GR195" s="172"/>
      <c r="GS195" s="65"/>
      <c r="GT195" s="167"/>
      <c r="GU195" s="168"/>
      <c r="GV195" s="168"/>
      <c r="GW195" s="168"/>
      <c r="GX195" s="168"/>
      <c r="GY195" s="168"/>
      <c r="GZ195" s="168"/>
      <c r="HA195" s="168"/>
      <c r="HB195" s="168"/>
      <c r="HC195" s="168"/>
      <c r="HD195" s="168"/>
      <c r="HE195" s="168"/>
      <c r="HF195" s="168"/>
      <c r="HG195" s="168"/>
      <c r="HH195" s="168"/>
      <c r="HI195" s="168"/>
      <c r="HJ195" s="168"/>
      <c r="HK195" s="168"/>
      <c r="HL195" s="168"/>
      <c r="HM195" s="168"/>
      <c r="HN195" s="168"/>
      <c r="HO195" s="168"/>
      <c r="HP195" s="168"/>
      <c r="HQ195" s="168"/>
      <c r="HR195" s="168"/>
      <c r="HS195" s="168"/>
      <c r="HT195" s="168"/>
      <c r="HU195" s="168"/>
      <c r="HV195" s="168"/>
      <c r="HW195" s="168"/>
      <c r="HX195" s="168"/>
      <c r="HY195" s="168"/>
      <c r="HZ195" s="168"/>
      <c r="IA195" s="168"/>
      <c r="IB195" s="168"/>
      <c r="IC195" s="168"/>
      <c r="ID195" s="168"/>
      <c r="IE195" s="168"/>
      <c r="IF195" s="168"/>
      <c r="IG195" s="168"/>
      <c r="IH195" s="168"/>
      <c r="II195" s="168"/>
      <c r="IJ195" s="168"/>
      <c r="IK195" s="168"/>
      <c r="IL195" s="168"/>
      <c r="IM195" s="168"/>
      <c r="IN195" s="168"/>
      <c r="IO195" s="168"/>
      <c r="IP195" s="168"/>
      <c r="IQ195" s="168"/>
      <c r="IR195" s="168"/>
      <c r="IS195" s="168"/>
      <c r="IT195" s="168"/>
      <c r="IU195" s="168"/>
      <c r="IV195" s="168"/>
      <c r="IW195" s="168"/>
      <c r="IX195" s="168"/>
      <c r="IY195" s="168"/>
      <c r="IZ195" s="168"/>
      <c r="JA195" s="168"/>
      <c r="JB195" s="168"/>
      <c r="JC195" s="168"/>
      <c r="JD195" s="168"/>
      <c r="JE195" s="168"/>
      <c r="JF195" s="168"/>
      <c r="JG195" s="168"/>
      <c r="JH195" s="168"/>
      <c r="JI195" s="168"/>
      <c r="JJ195" s="168"/>
      <c r="JK195" s="168"/>
      <c r="JL195" s="168"/>
      <c r="JM195" s="168"/>
      <c r="JN195" s="168"/>
      <c r="JO195" s="168"/>
      <c r="JP195" s="168"/>
      <c r="JQ195" s="168"/>
      <c r="JR195" s="168"/>
      <c r="JS195" s="168"/>
      <c r="JT195" s="168"/>
      <c r="JU195" s="168"/>
      <c r="JV195" s="168"/>
      <c r="JW195" s="168"/>
      <c r="JX195" s="168"/>
      <c r="JY195" s="168"/>
      <c r="JZ195" s="168"/>
      <c r="KA195" s="168"/>
      <c r="KB195" s="168"/>
      <c r="KC195" s="168"/>
      <c r="KD195" s="168"/>
      <c r="KE195" s="168"/>
      <c r="KF195" s="168"/>
      <c r="KG195" s="168"/>
      <c r="KH195" s="168"/>
      <c r="KI195" s="168"/>
      <c r="KJ195" s="168"/>
      <c r="KK195" s="168"/>
      <c r="KL195" s="168"/>
      <c r="KM195" s="168"/>
      <c r="KN195" s="168"/>
      <c r="KO195" s="168"/>
      <c r="KP195" s="168"/>
      <c r="KQ195" s="168"/>
      <c r="KR195" s="168"/>
      <c r="KS195" s="168"/>
      <c r="KT195" s="168"/>
      <c r="KU195" s="168"/>
      <c r="KV195" s="168"/>
      <c r="KW195" s="168"/>
      <c r="KX195" s="168"/>
      <c r="KY195" s="168"/>
      <c r="KZ195" s="168"/>
      <c r="LA195" s="168"/>
      <c r="LB195" s="168"/>
      <c r="LC195" s="168"/>
      <c r="LD195" s="168"/>
      <c r="LE195" s="168"/>
      <c r="LF195" s="168"/>
      <c r="LG195" s="168"/>
      <c r="LH195" s="168"/>
      <c r="LI195" s="168"/>
      <c r="LJ195" s="168"/>
      <c r="LK195" s="168"/>
      <c r="LL195" s="168"/>
      <c r="LM195" s="168"/>
      <c r="LN195" s="168"/>
      <c r="LO195" s="168"/>
      <c r="LP195" s="606"/>
      <c r="LQ195" s="609"/>
      <c r="LR195" s="1319"/>
      <c r="LS195" s="1319"/>
    </row>
    <row r="196" spans="1:331" s="2" customFormat="1" ht="15" customHeight="1" x14ac:dyDescent="0.25">
      <c r="A196" s="283"/>
      <c r="B196" s="303"/>
      <c r="C196" s="301"/>
      <c r="D196" s="1287"/>
      <c r="E196" s="2298"/>
      <c r="F196" s="1812"/>
      <c r="G196" s="3342"/>
      <c r="H196" s="66"/>
      <c r="I196" s="1746"/>
      <c r="J196" s="1214"/>
      <c r="K196" s="105"/>
      <c r="L196" s="91"/>
      <c r="M196" s="92"/>
      <c r="N196" s="93"/>
      <c r="O196" s="96"/>
      <c r="P196" s="96"/>
      <c r="Q196" s="95"/>
      <c r="R196" s="993">
        <f t="shared" si="325"/>
        <v>0</v>
      </c>
      <c r="S196" s="23">
        <f t="shared" si="326"/>
        <v>0</v>
      </c>
      <c r="T196" s="24">
        <f t="shared" si="327"/>
        <v>0</v>
      </c>
      <c r="U196" s="24">
        <f t="shared" si="328"/>
        <v>0</v>
      </c>
      <c r="V196" s="24">
        <f t="shared" si="329"/>
        <v>0</v>
      </c>
      <c r="W196" s="24">
        <f t="shared" ca="1" si="330"/>
        <v>0</v>
      </c>
      <c r="X196" s="72">
        <f t="shared" ca="1" si="386"/>
        <v>0</v>
      </c>
      <c r="Y196" s="72">
        <f t="shared" si="331"/>
        <v>0</v>
      </c>
      <c r="Z196" s="24">
        <f t="shared" si="332"/>
        <v>0</v>
      </c>
      <c r="AA196" s="72">
        <f t="shared" si="387"/>
        <v>0</v>
      </c>
      <c r="AB196" s="24">
        <f t="shared" si="388"/>
        <v>0</v>
      </c>
      <c r="AC196" s="24">
        <f t="shared" ca="1" si="333"/>
        <v>0</v>
      </c>
      <c r="AD196" s="24">
        <f t="shared" si="389"/>
        <v>0</v>
      </c>
      <c r="AE196" s="2078">
        <f t="shared" si="334"/>
        <v>3</v>
      </c>
      <c r="AF196" s="2078">
        <f t="shared" si="335"/>
        <v>0</v>
      </c>
      <c r="AG196" s="2078">
        <f t="shared" si="336"/>
        <v>0</v>
      </c>
      <c r="AH196" s="2521">
        <f t="shared" si="390"/>
        <v>1</v>
      </c>
      <c r="AI196" s="25" t="str">
        <f t="shared" si="337"/>
        <v/>
      </c>
      <c r="AJ196" s="2521">
        <f t="shared" ca="1" si="391"/>
        <v>0</v>
      </c>
      <c r="AK196" s="2076">
        <f t="shared" ca="1" si="392"/>
        <v>0</v>
      </c>
      <c r="AL196" s="2078">
        <f>IF(ISBLANK(J196),0,ISERROR(MATCH(J196,'5  Control Accounts'!$FA$29:$FA$96,0))*1)</f>
        <v>0</v>
      </c>
      <c r="AM196" s="2076">
        <f t="shared" si="338"/>
        <v>0</v>
      </c>
      <c r="AN196" s="2078">
        <f t="shared" si="339"/>
        <v>1</v>
      </c>
      <c r="AO196" s="2079">
        <f t="shared" si="393"/>
        <v>1</v>
      </c>
      <c r="AP196" s="2079">
        <f t="shared" si="394"/>
        <v>0</v>
      </c>
      <c r="AQ196" s="2079">
        <f t="shared" si="395"/>
        <v>0</v>
      </c>
      <c r="AR196" s="2079">
        <f t="shared" si="396"/>
        <v>0</v>
      </c>
      <c r="AS196" s="2079">
        <f t="shared" si="397"/>
        <v>0</v>
      </c>
      <c r="AT196" s="2079">
        <f t="shared" si="398"/>
        <v>0</v>
      </c>
      <c r="AU196" s="2079">
        <f t="shared" si="399"/>
        <v>0</v>
      </c>
      <c r="AV196" s="2079">
        <f t="shared" si="400"/>
        <v>0</v>
      </c>
      <c r="AW196" s="2079">
        <f t="shared" si="401"/>
        <v>0</v>
      </c>
      <c r="AX196" s="2079">
        <f t="shared" si="402"/>
        <v>0</v>
      </c>
      <c r="AY196" s="2078">
        <f t="shared" si="340"/>
        <v>0</v>
      </c>
      <c r="AZ196" s="2078">
        <f t="shared" si="341"/>
        <v>0</v>
      </c>
      <c r="BA196" s="2078">
        <f t="shared" si="342"/>
        <v>0</v>
      </c>
      <c r="BB196" s="2078">
        <f t="shared" si="343"/>
        <v>0</v>
      </c>
      <c r="BC196" s="2078">
        <f t="shared" si="344"/>
        <v>0</v>
      </c>
      <c r="BD196" s="2078">
        <f t="shared" si="345"/>
        <v>0</v>
      </c>
      <c r="BE196" s="2078">
        <f t="shared" si="346"/>
        <v>0</v>
      </c>
      <c r="BF196" s="2078">
        <f t="shared" si="347"/>
        <v>0</v>
      </c>
      <c r="BG196" s="2078">
        <f t="shared" si="348"/>
        <v>0</v>
      </c>
      <c r="BH196" s="2078">
        <f t="shared" si="349"/>
        <v>0</v>
      </c>
      <c r="BI196" s="2078">
        <f t="shared" si="350"/>
        <v>0</v>
      </c>
      <c r="BJ196" s="2078">
        <f t="shared" si="351"/>
        <v>0</v>
      </c>
      <c r="BK196" s="2078">
        <f t="shared" si="352"/>
        <v>0</v>
      </c>
      <c r="BL196" s="2078">
        <f t="shared" si="353"/>
        <v>0</v>
      </c>
      <c r="BM196" s="2078">
        <f t="shared" si="354"/>
        <v>0</v>
      </c>
      <c r="BN196" s="2078">
        <f t="shared" si="355"/>
        <v>0</v>
      </c>
      <c r="BO196" s="2078">
        <f t="shared" si="356"/>
        <v>0</v>
      </c>
      <c r="BP196" s="2078">
        <f t="shared" si="357"/>
        <v>0</v>
      </c>
      <c r="BQ196" s="2078">
        <f t="shared" si="358"/>
        <v>0</v>
      </c>
      <c r="BR196" s="2078">
        <f t="shared" si="359"/>
        <v>0</v>
      </c>
      <c r="BS196" s="2079">
        <f t="shared" si="403"/>
        <v>1</v>
      </c>
      <c r="BT196" s="2079">
        <f t="shared" si="404"/>
        <v>0</v>
      </c>
      <c r="BU196" s="2079">
        <f t="shared" si="405"/>
        <v>0</v>
      </c>
      <c r="BV196" s="2079">
        <f t="shared" si="406"/>
        <v>0</v>
      </c>
      <c r="BW196" s="2079">
        <f t="shared" si="407"/>
        <v>0</v>
      </c>
      <c r="BX196" s="2079">
        <f t="shared" si="408"/>
        <v>0</v>
      </c>
      <c r="BY196" s="2079">
        <f t="shared" si="409"/>
        <v>0</v>
      </c>
      <c r="BZ196" s="2079">
        <f t="shared" si="410"/>
        <v>0</v>
      </c>
      <c r="CA196" s="2079">
        <f t="shared" si="411"/>
        <v>0</v>
      </c>
      <c r="CB196" s="2079">
        <f t="shared" si="412"/>
        <v>0</v>
      </c>
      <c r="CC196" s="2078">
        <f t="shared" ca="1" si="360"/>
        <v>0</v>
      </c>
      <c r="CD196" s="2078">
        <f t="shared" ca="1" si="361"/>
        <v>0</v>
      </c>
      <c r="CE196" s="2078">
        <f t="shared" ca="1" si="362"/>
        <v>0</v>
      </c>
      <c r="CF196" s="2078">
        <f t="shared" ca="1" si="363"/>
        <v>0</v>
      </c>
      <c r="CG196" s="2078">
        <f t="shared" ca="1" si="364"/>
        <v>0</v>
      </c>
      <c r="CH196" s="2078">
        <f t="shared" ca="1" si="365"/>
        <v>0</v>
      </c>
      <c r="CI196" s="2078">
        <f t="shared" ca="1" si="366"/>
        <v>0</v>
      </c>
      <c r="CJ196" s="2078">
        <f t="shared" ca="1" si="367"/>
        <v>0</v>
      </c>
      <c r="CK196" s="2078">
        <f t="shared" ca="1" si="368"/>
        <v>0</v>
      </c>
      <c r="CL196" s="2078">
        <f t="shared" ca="1" si="369"/>
        <v>0</v>
      </c>
      <c r="CM196" s="2078">
        <f t="shared" si="413"/>
        <v>1</v>
      </c>
      <c r="CN196" s="2078">
        <f t="shared" si="414"/>
        <v>1</v>
      </c>
      <c r="CO196" s="2078">
        <f t="shared" si="415"/>
        <v>1</v>
      </c>
      <c r="CP196" s="2078">
        <f t="shared" si="370"/>
        <v>1</v>
      </c>
      <c r="CQ196" s="2078">
        <f t="shared" si="416"/>
        <v>0</v>
      </c>
      <c r="CR196" s="2078">
        <f t="shared" si="417"/>
        <v>0</v>
      </c>
      <c r="CS196" s="2078">
        <f t="shared" si="371"/>
        <v>0</v>
      </c>
      <c r="CT196" s="2078">
        <f t="shared" si="418"/>
        <v>1</v>
      </c>
      <c r="CU196" s="2078">
        <f t="shared" si="372"/>
        <v>1</v>
      </c>
      <c r="CV196" s="2078">
        <f t="shared" si="419"/>
        <v>0</v>
      </c>
      <c r="CW196" s="2078">
        <f>IF(OR(AE196&lt;&gt;3,F196="Exclude"),0,IF(ISERROR(MATCH($E196,'4 Sign-off'!$S$123:$X$123,0)),0,1))</f>
        <v>0</v>
      </c>
      <c r="CX196" s="2078">
        <f t="shared" si="373"/>
        <v>0</v>
      </c>
      <c r="CY196" s="2078">
        <f t="shared" si="420"/>
        <v>0</v>
      </c>
      <c r="CZ196" s="2993">
        <f t="shared" ca="1" si="374"/>
        <v>0</v>
      </c>
      <c r="DA196" s="3037">
        <f t="shared" ca="1" si="375"/>
        <v>0</v>
      </c>
      <c r="DB196" s="1664"/>
      <c r="DC196" s="1320"/>
      <c r="DD196" s="589"/>
      <c r="DE196" s="1321"/>
      <c r="DF196" s="107"/>
      <c r="DG196" s="112"/>
      <c r="DH196" s="140"/>
      <c r="DI196" s="22"/>
      <c r="DJ196" s="145"/>
      <c r="DK196" s="137"/>
      <c r="DL196" s="137"/>
      <c r="DM196" s="137"/>
      <c r="DN196" s="137"/>
      <c r="DO196" s="137"/>
      <c r="DP196" s="137"/>
      <c r="DQ196" s="137"/>
      <c r="DR196" s="137"/>
      <c r="DS196" s="137"/>
      <c r="DT196" s="137"/>
      <c r="DU196" s="137"/>
      <c r="DV196" s="137"/>
      <c r="DW196" s="137"/>
      <c r="DX196" s="137"/>
      <c r="DY196" s="137"/>
      <c r="DZ196" s="137"/>
      <c r="EA196" s="137"/>
      <c r="EB196" s="137"/>
      <c r="EC196" s="137"/>
      <c r="ED196" s="137"/>
      <c r="EE196" s="137"/>
      <c r="EF196" s="137"/>
      <c r="EG196" s="137"/>
      <c r="EH196" s="137"/>
      <c r="EI196" s="137"/>
      <c r="EJ196" s="137"/>
      <c r="EK196" s="137"/>
      <c r="EL196" s="137"/>
      <c r="EM196" s="137"/>
      <c r="EN196" s="137"/>
      <c r="EO196" s="137"/>
      <c r="EP196" s="137"/>
      <c r="EQ196" s="137"/>
      <c r="ER196" s="137"/>
      <c r="ES196" s="137"/>
      <c r="ET196" s="137"/>
      <c r="EU196" s="137"/>
      <c r="EV196" s="137"/>
      <c r="EW196" s="137"/>
      <c r="EX196" s="137"/>
      <c r="EY196" s="137"/>
      <c r="EZ196" s="137"/>
      <c r="FA196" s="137"/>
      <c r="FB196" s="137"/>
      <c r="FC196" s="137"/>
      <c r="FD196" s="137"/>
      <c r="FE196" s="137"/>
      <c r="FF196" s="137"/>
      <c r="FG196" s="860"/>
      <c r="FH196" s="1288"/>
      <c r="FI196" s="1318"/>
      <c r="FJ196" s="126"/>
      <c r="FK196" s="127"/>
      <c r="FL196" s="128" t="str">
        <f t="shared" si="376"/>
        <v xml:space="preserve">    </v>
      </c>
      <c r="FM196" s="128"/>
      <c r="FN196" s="1686">
        <f t="shared" si="377"/>
        <v>0</v>
      </c>
      <c r="FO196" s="46">
        <f t="shared" si="421"/>
        <v>0</v>
      </c>
      <c r="FP196" s="46">
        <f t="shared" si="422"/>
        <v>1</v>
      </c>
      <c r="FQ196" s="75">
        <f t="shared" si="378"/>
        <v>0</v>
      </c>
      <c r="FR196" s="46">
        <f t="shared" si="379"/>
        <v>0</v>
      </c>
      <c r="FS196" s="46">
        <f t="shared" si="380"/>
        <v>1</v>
      </c>
      <c r="FT196" s="75">
        <f t="shared" si="381"/>
        <v>0</v>
      </c>
      <c r="FU196" s="2603">
        <f t="shared" si="423"/>
        <v>0</v>
      </c>
      <c r="FV196" s="2607">
        <f t="shared" si="424"/>
        <v>0</v>
      </c>
      <c r="FW196" s="2603">
        <f t="shared" si="425"/>
        <v>0</v>
      </c>
      <c r="FX196" s="2631">
        <f t="shared" si="426"/>
        <v>0</v>
      </c>
      <c r="FY196" s="81" t="e">
        <f t="shared" si="382"/>
        <v>#N/A</v>
      </c>
      <c r="FZ196" s="64" t="e">
        <f t="array" ref="FZ196">MATCH(1,($GT196:$LQ196&gt;0)*$GT$25:$LQ$25,0)</f>
        <v>#N/A</v>
      </c>
      <c r="GA196" s="64" t="e">
        <f t="array" ref="GA196">MATCH(2,1/(GT196:LQ196&gt;0))</f>
        <v>#N/A</v>
      </c>
      <c r="GB196" s="64">
        <f t="shared" si="383"/>
        <v>-1</v>
      </c>
      <c r="GC196" s="46"/>
      <c r="GD196" s="613"/>
      <c r="GE196" s="613"/>
      <c r="GF196" s="613"/>
      <c r="GG196" s="613"/>
      <c r="GH196" s="613"/>
      <c r="GI196" s="613"/>
      <c r="GJ196" s="613"/>
      <c r="GK196" s="613"/>
      <c r="GL196" s="613"/>
      <c r="GM196" s="613"/>
      <c r="GN196" s="385">
        <f t="shared" si="384"/>
        <v>0</v>
      </c>
      <c r="GO196" s="386">
        <f t="shared" si="385"/>
        <v>0</v>
      </c>
      <c r="GP196" s="2635"/>
      <c r="GQ196" s="175"/>
      <c r="GR196" s="172"/>
      <c r="GS196" s="65"/>
      <c r="GT196" s="167"/>
      <c r="GU196" s="168"/>
      <c r="GV196" s="168"/>
      <c r="GW196" s="168"/>
      <c r="GX196" s="168"/>
      <c r="GY196" s="168"/>
      <c r="GZ196" s="168"/>
      <c r="HA196" s="168"/>
      <c r="HB196" s="168"/>
      <c r="HC196" s="168"/>
      <c r="HD196" s="168"/>
      <c r="HE196" s="168"/>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168"/>
      <c r="JD196" s="168"/>
      <c r="JE196" s="168"/>
      <c r="JF196" s="168"/>
      <c r="JG196" s="168"/>
      <c r="JH196" s="168"/>
      <c r="JI196" s="168"/>
      <c r="JJ196" s="168"/>
      <c r="JK196" s="168"/>
      <c r="JL196" s="168"/>
      <c r="JM196" s="168"/>
      <c r="JN196" s="168"/>
      <c r="JO196" s="168"/>
      <c r="JP196" s="168"/>
      <c r="JQ196" s="168"/>
      <c r="JR196" s="168"/>
      <c r="JS196" s="168"/>
      <c r="JT196" s="168"/>
      <c r="JU196" s="168"/>
      <c r="JV196" s="168"/>
      <c r="JW196" s="168"/>
      <c r="JX196" s="168"/>
      <c r="JY196" s="168"/>
      <c r="JZ196" s="168"/>
      <c r="KA196" s="168"/>
      <c r="KB196" s="168"/>
      <c r="KC196" s="168"/>
      <c r="KD196" s="168"/>
      <c r="KE196" s="168"/>
      <c r="KF196" s="168"/>
      <c r="KG196" s="168"/>
      <c r="KH196" s="168"/>
      <c r="KI196" s="168"/>
      <c r="KJ196" s="168"/>
      <c r="KK196" s="168"/>
      <c r="KL196" s="168"/>
      <c r="KM196" s="168"/>
      <c r="KN196" s="168"/>
      <c r="KO196" s="168"/>
      <c r="KP196" s="168"/>
      <c r="KQ196" s="168"/>
      <c r="KR196" s="168"/>
      <c r="KS196" s="168"/>
      <c r="KT196" s="168"/>
      <c r="KU196" s="168"/>
      <c r="KV196" s="168"/>
      <c r="KW196" s="168"/>
      <c r="KX196" s="168"/>
      <c r="KY196" s="168"/>
      <c r="KZ196" s="168"/>
      <c r="LA196" s="168"/>
      <c r="LB196" s="168"/>
      <c r="LC196" s="168"/>
      <c r="LD196" s="168"/>
      <c r="LE196" s="168"/>
      <c r="LF196" s="168"/>
      <c r="LG196" s="168"/>
      <c r="LH196" s="168"/>
      <c r="LI196" s="168"/>
      <c r="LJ196" s="168"/>
      <c r="LK196" s="168"/>
      <c r="LL196" s="168"/>
      <c r="LM196" s="168"/>
      <c r="LN196" s="168"/>
      <c r="LO196" s="168"/>
      <c r="LP196" s="606"/>
      <c r="LQ196" s="609"/>
      <c r="LR196" s="1319"/>
      <c r="LS196" s="1319"/>
    </row>
    <row r="197" spans="1:331" s="2" customFormat="1" ht="15" customHeight="1" x14ac:dyDescent="0.25">
      <c r="A197" s="283"/>
      <c r="B197" s="303"/>
      <c r="C197" s="301"/>
      <c r="D197" s="1287"/>
      <c r="E197" s="2298"/>
      <c r="F197" s="1812"/>
      <c r="G197" s="3342"/>
      <c r="H197" s="66"/>
      <c r="I197" s="1746"/>
      <c r="J197" s="1214"/>
      <c r="K197" s="105"/>
      <c r="L197" s="91"/>
      <c r="M197" s="92"/>
      <c r="N197" s="93"/>
      <c r="O197" s="96"/>
      <c r="P197" s="96"/>
      <c r="Q197" s="95"/>
      <c r="R197" s="993">
        <f t="shared" si="325"/>
        <v>0</v>
      </c>
      <c r="S197" s="23">
        <f t="shared" si="326"/>
        <v>0</v>
      </c>
      <c r="T197" s="24">
        <f t="shared" si="327"/>
        <v>0</v>
      </c>
      <c r="U197" s="24">
        <f t="shared" si="328"/>
        <v>0</v>
      </c>
      <c r="V197" s="24">
        <f t="shared" si="329"/>
        <v>0</v>
      </c>
      <c r="W197" s="24">
        <f t="shared" ca="1" si="330"/>
        <v>0</v>
      </c>
      <c r="X197" s="72">
        <f t="shared" ca="1" si="386"/>
        <v>0</v>
      </c>
      <c r="Y197" s="72">
        <f t="shared" si="331"/>
        <v>0</v>
      </c>
      <c r="Z197" s="24">
        <f t="shared" si="332"/>
        <v>0</v>
      </c>
      <c r="AA197" s="72">
        <f t="shared" si="387"/>
        <v>0</v>
      </c>
      <c r="AB197" s="24">
        <f t="shared" si="388"/>
        <v>0</v>
      </c>
      <c r="AC197" s="24">
        <f t="shared" ca="1" si="333"/>
        <v>0</v>
      </c>
      <c r="AD197" s="24">
        <f t="shared" si="389"/>
        <v>0</v>
      </c>
      <c r="AE197" s="2078">
        <f t="shared" si="334"/>
        <v>3</v>
      </c>
      <c r="AF197" s="2078">
        <f t="shared" si="335"/>
        <v>0</v>
      </c>
      <c r="AG197" s="2078">
        <f t="shared" si="336"/>
        <v>0</v>
      </c>
      <c r="AH197" s="2521">
        <f t="shared" si="390"/>
        <v>1</v>
      </c>
      <c r="AI197" s="25" t="str">
        <f t="shared" si="337"/>
        <v/>
      </c>
      <c r="AJ197" s="2521">
        <f t="shared" ca="1" si="391"/>
        <v>0</v>
      </c>
      <c r="AK197" s="2076">
        <f t="shared" ca="1" si="392"/>
        <v>0</v>
      </c>
      <c r="AL197" s="2078">
        <f>IF(ISBLANK(J197),0,ISERROR(MATCH(J197,'5  Control Accounts'!$FA$29:$FA$96,0))*1)</f>
        <v>0</v>
      </c>
      <c r="AM197" s="2076">
        <f t="shared" si="338"/>
        <v>0</v>
      </c>
      <c r="AN197" s="2078">
        <f t="shared" si="339"/>
        <v>1</v>
      </c>
      <c r="AO197" s="2079">
        <f t="shared" si="393"/>
        <v>1</v>
      </c>
      <c r="AP197" s="2079">
        <f t="shared" si="394"/>
        <v>0</v>
      </c>
      <c r="AQ197" s="2079">
        <f t="shared" si="395"/>
        <v>0</v>
      </c>
      <c r="AR197" s="2079">
        <f t="shared" si="396"/>
        <v>0</v>
      </c>
      <c r="AS197" s="2079">
        <f t="shared" si="397"/>
        <v>0</v>
      </c>
      <c r="AT197" s="2079">
        <f t="shared" si="398"/>
        <v>0</v>
      </c>
      <c r="AU197" s="2079">
        <f t="shared" si="399"/>
        <v>0</v>
      </c>
      <c r="AV197" s="2079">
        <f t="shared" si="400"/>
        <v>0</v>
      </c>
      <c r="AW197" s="2079">
        <f t="shared" si="401"/>
        <v>0</v>
      </c>
      <c r="AX197" s="2079">
        <f t="shared" si="402"/>
        <v>0</v>
      </c>
      <c r="AY197" s="2078">
        <f t="shared" si="340"/>
        <v>0</v>
      </c>
      <c r="AZ197" s="2078">
        <f t="shared" si="341"/>
        <v>0</v>
      </c>
      <c r="BA197" s="2078">
        <f t="shared" si="342"/>
        <v>0</v>
      </c>
      <c r="BB197" s="2078">
        <f t="shared" si="343"/>
        <v>0</v>
      </c>
      <c r="BC197" s="2078">
        <f t="shared" si="344"/>
        <v>0</v>
      </c>
      <c r="BD197" s="2078">
        <f t="shared" si="345"/>
        <v>0</v>
      </c>
      <c r="BE197" s="2078">
        <f t="shared" si="346"/>
        <v>0</v>
      </c>
      <c r="BF197" s="2078">
        <f t="shared" si="347"/>
        <v>0</v>
      </c>
      <c r="BG197" s="2078">
        <f t="shared" si="348"/>
        <v>0</v>
      </c>
      <c r="BH197" s="2078">
        <f t="shared" si="349"/>
        <v>0</v>
      </c>
      <c r="BI197" s="2078">
        <f t="shared" si="350"/>
        <v>0</v>
      </c>
      <c r="BJ197" s="2078">
        <f t="shared" si="351"/>
        <v>0</v>
      </c>
      <c r="BK197" s="2078">
        <f t="shared" si="352"/>
        <v>0</v>
      </c>
      <c r="BL197" s="2078">
        <f t="shared" si="353"/>
        <v>0</v>
      </c>
      <c r="BM197" s="2078">
        <f t="shared" si="354"/>
        <v>0</v>
      </c>
      <c r="BN197" s="2078">
        <f t="shared" si="355"/>
        <v>0</v>
      </c>
      <c r="BO197" s="2078">
        <f t="shared" si="356"/>
        <v>0</v>
      </c>
      <c r="BP197" s="2078">
        <f t="shared" si="357"/>
        <v>0</v>
      </c>
      <c r="BQ197" s="2078">
        <f t="shared" si="358"/>
        <v>0</v>
      </c>
      <c r="BR197" s="2078">
        <f t="shared" si="359"/>
        <v>0</v>
      </c>
      <c r="BS197" s="2079">
        <f t="shared" si="403"/>
        <v>1</v>
      </c>
      <c r="BT197" s="2079">
        <f t="shared" si="404"/>
        <v>0</v>
      </c>
      <c r="BU197" s="2079">
        <f t="shared" si="405"/>
        <v>0</v>
      </c>
      <c r="BV197" s="2079">
        <f t="shared" si="406"/>
        <v>0</v>
      </c>
      <c r="BW197" s="2079">
        <f t="shared" si="407"/>
        <v>0</v>
      </c>
      <c r="BX197" s="2079">
        <f t="shared" si="408"/>
        <v>0</v>
      </c>
      <c r="BY197" s="2079">
        <f t="shared" si="409"/>
        <v>0</v>
      </c>
      <c r="BZ197" s="2079">
        <f t="shared" si="410"/>
        <v>0</v>
      </c>
      <c r="CA197" s="2079">
        <f t="shared" si="411"/>
        <v>0</v>
      </c>
      <c r="CB197" s="2079">
        <f t="shared" si="412"/>
        <v>0</v>
      </c>
      <c r="CC197" s="2078">
        <f t="shared" ca="1" si="360"/>
        <v>0</v>
      </c>
      <c r="CD197" s="2078">
        <f t="shared" ca="1" si="361"/>
        <v>0</v>
      </c>
      <c r="CE197" s="2078">
        <f t="shared" ca="1" si="362"/>
        <v>0</v>
      </c>
      <c r="CF197" s="2078">
        <f t="shared" ca="1" si="363"/>
        <v>0</v>
      </c>
      <c r="CG197" s="2078">
        <f t="shared" ca="1" si="364"/>
        <v>0</v>
      </c>
      <c r="CH197" s="2078">
        <f t="shared" ca="1" si="365"/>
        <v>0</v>
      </c>
      <c r="CI197" s="2078">
        <f t="shared" ca="1" si="366"/>
        <v>0</v>
      </c>
      <c r="CJ197" s="2078">
        <f t="shared" ca="1" si="367"/>
        <v>0</v>
      </c>
      <c r="CK197" s="2078">
        <f t="shared" ca="1" si="368"/>
        <v>0</v>
      </c>
      <c r="CL197" s="2078">
        <f t="shared" ca="1" si="369"/>
        <v>0</v>
      </c>
      <c r="CM197" s="2078">
        <f t="shared" si="413"/>
        <v>1</v>
      </c>
      <c r="CN197" s="2078">
        <f t="shared" si="414"/>
        <v>1</v>
      </c>
      <c r="CO197" s="2078">
        <f t="shared" si="415"/>
        <v>1</v>
      </c>
      <c r="CP197" s="2078">
        <f t="shared" si="370"/>
        <v>1</v>
      </c>
      <c r="CQ197" s="2078">
        <f t="shared" si="416"/>
        <v>0</v>
      </c>
      <c r="CR197" s="2078">
        <f t="shared" si="417"/>
        <v>0</v>
      </c>
      <c r="CS197" s="2078">
        <f t="shared" si="371"/>
        <v>0</v>
      </c>
      <c r="CT197" s="2078">
        <f t="shared" si="418"/>
        <v>1</v>
      </c>
      <c r="CU197" s="2078">
        <f t="shared" si="372"/>
        <v>1</v>
      </c>
      <c r="CV197" s="2078">
        <f t="shared" si="419"/>
        <v>0</v>
      </c>
      <c r="CW197" s="2078">
        <f>IF(OR(AE197&lt;&gt;3,F197="Exclude"),0,IF(ISERROR(MATCH($E197,'4 Sign-off'!$S$123:$X$123,0)),0,1))</f>
        <v>0</v>
      </c>
      <c r="CX197" s="2078">
        <f t="shared" si="373"/>
        <v>0</v>
      </c>
      <c r="CY197" s="2078">
        <f t="shared" si="420"/>
        <v>0</v>
      </c>
      <c r="CZ197" s="2993">
        <f t="shared" ca="1" si="374"/>
        <v>0</v>
      </c>
      <c r="DA197" s="3037">
        <f t="shared" ca="1" si="375"/>
        <v>0</v>
      </c>
      <c r="DB197" s="1664"/>
      <c r="DC197" s="1320"/>
      <c r="DD197" s="589"/>
      <c r="DE197" s="1321"/>
      <c r="DF197" s="107"/>
      <c r="DG197" s="112"/>
      <c r="DH197" s="140"/>
      <c r="DI197" s="22"/>
      <c r="DJ197" s="145"/>
      <c r="DK197" s="137"/>
      <c r="DL197" s="137"/>
      <c r="DM197" s="137"/>
      <c r="DN197" s="137"/>
      <c r="DO197" s="137"/>
      <c r="DP197" s="137"/>
      <c r="DQ197" s="137"/>
      <c r="DR197" s="137"/>
      <c r="DS197" s="137"/>
      <c r="DT197" s="137"/>
      <c r="DU197" s="137"/>
      <c r="DV197" s="137"/>
      <c r="DW197" s="137"/>
      <c r="DX197" s="137"/>
      <c r="DY197" s="137"/>
      <c r="DZ197" s="137"/>
      <c r="EA197" s="137"/>
      <c r="EB197" s="137"/>
      <c r="EC197" s="137"/>
      <c r="ED197" s="137"/>
      <c r="EE197" s="137"/>
      <c r="EF197" s="137"/>
      <c r="EG197" s="137"/>
      <c r="EH197" s="137"/>
      <c r="EI197" s="137"/>
      <c r="EJ197" s="137"/>
      <c r="EK197" s="137"/>
      <c r="EL197" s="137"/>
      <c r="EM197" s="137"/>
      <c r="EN197" s="137"/>
      <c r="EO197" s="137"/>
      <c r="EP197" s="137"/>
      <c r="EQ197" s="137"/>
      <c r="ER197" s="137"/>
      <c r="ES197" s="137"/>
      <c r="ET197" s="137"/>
      <c r="EU197" s="137"/>
      <c r="EV197" s="137"/>
      <c r="EW197" s="137"/>
      <c r="EX197" s="137"/>
      <c r="EY197" s="137"/>
      <c r="EZ197" s="137"/>
      <c r="FA197" s="137"/>
      <c r="FB197" s="137"/>
      <c r="FC197" s="137"/>
      <c r="FD197" s="137"/>
      <c r="FE197" s="137"/>
      <c r="FF197" s="137"/>
      <c r="FG197" s="860"/>
      <c r="FH197" s="1288"/>
      <c r="FI197" s="1318"/>
      <c r="FJ197" s="126"/>
      <c r="FK197" s="127"/>
      <c r="FL197" s="128" t="str">
        <f t="shared" si="376"/>
        <v xml:space="preserve">    </v>
      </c>
      <c r="FM197" s="128"/>
      <c r="FN197" s="1686">
        <f t="shared" si="377"/>
        <v>0</v>
      </c>
      <c r="FO197" s="46">
        <f t="shared" si="421"/>
        <v>0</v>
      </c>
      <c r="FP197" s="46">
        <f t="shared" si="422"/>
        <v>1</v>
      </c>
      <c r="FQ197" s="75">
        <f t="shared" si="378"/>
        <v>0</v>
      </c>
      <c r="FR197" s="46">
        <f t="shared" si="379"/>
        <v>0</v>
      </c>
      <c r="FS197" s="46">
        <f t="shared" si="380"/>
        <v>1</v>
      </c>
      <c r="FT197" s="75">
        <f t="shared" si="381"/>
        <v>0</v>
      </c>
      <c r="FU197" s="2603">
        <f t="shared" si="423"/>
        <v>0</v>
      </c>
      <c r="FV197" s="2607">
        <f t="shared" si="424"/>
        <v>0</v>
      </c>
      <c r="FW197" s="2603">
        <f t="shared" si="425"/>
        <v>0</v>
      </c>
      <c r="FX197" s="2631">
        <f t="shared" si="426"/>
        <v>0</v>
      </c>
      <c r="FY197" s="81" t="e">
        <f t="shared" si="382"/>
        <v>#N/A</v>
      </c>
      <c r="FZ197" s="64" t="e">
        <f t="array" ref="FZ197">MATCH(1,($GT197:$LQ197&gt;0)*$GT$25:$LQ$25,0)</f>
        <v>#N/A</v>
      </c>
      <c r="GA197" s="64" t="e">
        <f t="array" ref="GA197">MATCH(2,1/(GT197:LQ197&gt;0))</f>
        <v>#N/A</v>
      </c>
      <c r="GB197" s="64">
        <f t="shared" si="383"/>
        <v>-1</v>
      </c>
      <c r="GC197" s="46"/>
      <c r="GD197" s="613"/>
      <c r="GE197" s="613"/>
      <c r="GF197" s="613"/>
      <c r="GG197" s="613"/>
      <c r="GH197" s="613"/>
      <c r="GI197" s="613"/>
      <c r="GJ197" s="613"/>
      <c r="GK197" s="613"/>
      <c r="GL197" s="613"/>
      <c r="GM197" s="613"/>
      <c r="GN197" s="385">
        <f t="shared" si="384"/>
        <v>0</v>
      </c>
      <c r="GO197" s="386">
        <f t="shared" si="385"/>
        <v>0</v>
      </c>
      <c r="GP197" s="2635"/>
      <c r="GQ197" s="175"/>
      <c r="GR197" s="172"/>
      <c r="GS197" s="65"/>
      <c r="GT197" s="167"/>
      <c r="GU197" s="168"/>
      <c r="GV197" s="168"/>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168"/>
      <c r="JD197" s="168"/>
      <c r="JE197" s="168"/>
      <c r="JF197" s="168"/>
      <c r="JG197" s="168"/>
      <c r="JH197" s="168"/>
      <c r="JI197" s="168"/>
      <c r="JJ197" s="168"/>
      <c r="JK197" s="168"/>
      <c r="JL197" s="168"/>
      <c r="JM197" s="168"/>
      <c r="JN197" s="168"/>
      <c r="JO197" s="168"/>
      <c r="JP197" s="168"/>
      <c r="JQ197" s="168"/>
      <c r="JR197" s="168"/>
      <c r="JS197" s="168"/>
      <c r="JT197" s="168"/>
      <c r="JU197" s="168"/>
      <c r="JV197" s="168"/>
      <c r="JW197" s="168"/>
      <c r="JX197" s="168"/>
      <c r="JY197" s="168"/>
      <c r="JZ197" s="168"/>
      <c r="KA197" s="168"/>
      <c r="KB197" s="168"/>
      <c r="KC197" s="168"/>
      <c r="KD197" s="168"/>
      <c r="KE197" s="168"/>
      <c r="KF197" s="168"/>
      <c r="KG197" s="168"/>
      <c r="KH197" s="168"/>
      <c r="KI197" s="168"/>
      <c r="KJ197" s="168"/>
      <c r="KK197" s="168"/>
      <c r="KL197" s="168"/>
      <c r="KM197" s="168"/>
      <c r="KN197" s="168"/>
      <c r="KO197" s="168"/>
      <c r="KP197" s="168"/>
      <c r="KQ197" s="168"/>
      <c r="KR197" s="168"/>
      <c r="KS197" s="168"/>
      <c r="KT197" s="168"/>
      <c r="KU197" s="168"/>
      <c r="KV197" s="168"/>
      <c r="KW197" s="168"/>
      <c r="KX197" s="168"/>
      <c r="KY197" s="168"/>
      <c r="KZ197" s="168"/>
      <c r="LA197" s="168"/>
      <c r="LB197" s="168"/>
      <c r="LC197" s="168"/>
      <c r="LD197" s="168"/>
      <c r="LE197" s="168"/>
      <c r="LF197" s="168"/>
      <c r="LG197" s="168"/>
      <c r="LH197" s="168"/>
      <c r="LI197" s="168"/>
      <c r="LJ197" s="168"/>
      <c r="LK197" s="168"/>
      <c r="LL197" s="168"/>
      <c r="LM197" s="168"/>
      <c r="LN197" s="168"/>
      <c r="LO197" s="168"/>
      <c r="LP197" s="606"/>
      <c r="LQ197" s="609"/>
      <c r="LR197" s="1319"/>
      <c r="LS197" s="1319"/>
    </row>
    <row r="198" spans="1:331" s="2" customFormat="1" ht="15" customHeight="1" x14ac:dyDescent="0.25">
      <c r="A198" s="283"/>
      <c r="B198" s="303"/>
      <c r="C198" s="301"/>
      <c r="D198" s="1287"/>
      <c r="E198" s="2298"/>
      <c r="F198" s="1812"/>
      <c r="G198" s="3342"/>
      <c r="H198" s="66"/>
      <c r="I198" s="1746"/>
      <c r="J198" s="1214"/>
      <c r="K198" s="105"/>
      <c r="L198" s="91"/>
      <c r="M198" s="92"/>
      <c r="N198" s="93"/>
      <c r="O198" s="96"/>
      <c r="P198" s="96"/>
      <c r="Q198" s="95"/>
      <c r="R198" s="993">
        <f t="shared" si="325"/>
        <v>0</v>
      </c>
      <c r="S198" s="23">
        <f t="shared" si="326"/>
        <v>0</v>
      </c>
      <c r="T198" s="24">
        <f t="shared" si="327"/>
        <v>0</v>
      </c>
      <c r="U198" s="24">
        <f t="shared" si="328"/>
        <v>0</v>
      </c>
      <c r="V198" s="24">
        <f t="shared" si="329"/>
        <v>0</v>
      </c>
      <c r="W198" s="24">
        <f t="shared" ca="1" si="330"/>
        <v>0</v>
      </c>
      <c r="X198" s="72">
        <f t="shared" ca="1" si="386"/>
        <v>0</v>
      </c>
      <c r="Y198" s="72">
        <f t="shared" si="331"/>
        <v>0</v>
      </c>
      <c r="Z198" s="24">
        <f t="shared" si="332"/>
        <v>0</v>
      </c>
      <c r="AA198" s="72">
        <f t="shared" si="387"/>
        <v>0</v>
      </c>
      <c r="AB198" s="24">
        <f t="shared" si="388"/>
        <v>0</v>
      </c>
      <c r="AC198" s="24">
        <f t="shared" ca="1" si="333"/>
        <v>0</v>
      </c>
      <c r="AD198" s="24">
        <f t="shared" si="389"/>
        <v>0</v>
      </c>
      <c r="AE198" s="2078">
        <f t="shared" si="334"/>
        <v>3</v>
      </c>
      <c r="AF198" s="2078">
        <f t="shared" si="335"/>
        <v>0</v>
      </c>
      <c r="AG198" s="2078">
        <f t="shared" si="336"/>
        <v>0</v>
      </c>
      <c r="AH198" s="2521">
        <f t="shared" si="390"/>
        <v>1</v>
      </c>
      <c r="AI198" s="25" t="str">
        <f t="shared" si="337"/>
        <v/>
      </c>
      <c r="AJ198" s="2521">
        <f t="shared" ca="1" si="391"/>
        <v>0</v>
      </c>
      <c r="AK198" s="2076">
        <f t="shared" ca="1" si="392"/>
        <v>0</v>
      </c>
      <c r="AL198" s="2078">
        <f>IF(ISBLANK(J198),0,ISERROR(MATCH(J198,'5  Control Accounts'!$FA$29:$FA$96,0))*1)</f>
        <v>0</v>
      </c>
      <c r="AM198" s="2076">
        <f t="shared" si="338"/>
        <v>0</v>
      </c>
      <c r="AN198" s="2078">
        <f t="shared" si="339"/>
        <v>1</v>
      </c>
      <c r="AO198" s="2079">
        <f t="shared" si="393"/>
        <v>1</v>
      </c>
      <c r="AP198" s="2079">
        <f t="shared" si="394"/>
        <v>0</v>
      </c>
      <c r="AQ198" s="2079">
        <f t="shared" si="395"/>
        <v>0</v>
      </c>
      <c r="AR198" s="2079">
        <f t="shared" si="396"/>
        <v>0</v>
      </c>
      <c r="AS198" s="2079">
        <f t="shared" si="397"/>
        <v>0</v>
      </c>
      <c r="AT198" s="2079">
        <f t="shared" si="398"/>
        <v>0</v>
      </c>
      <c r="AU198" s="2079">
        <f t="shared" si="399"/>
        <v>0</v>
      </c>
      <c r="AV198" s="2079">
        <f t="shared" si="400"/>
        <v>0</v>
      </c>
      <c r="AW198" s="2079">
        <f t="shared" si="401"/>
        <v>0</v>
      </c>
      <c r="AX198" s="2079">
        <f t="shared" si="402"/>
        <v>0</v>
      </c>
      <c r="AY198" s="2078">
        <f t="shared" si="340"/>
        <v>0</v>
      </c>
      <c r="AZ198" s="2078">
        <f t="shared" si="341"/>
        <v>0</v>
      </c>
      <c r="BA198" s="2078">
        <f t="shared" si="342"/>
        <v>0</v>
      </c>
      <c r="BB198" s="2078">
        <f t="shared" si="343"/>
        <v>0</v>
      </c>
      <c r="BC198" s="2078">
        <f t="shared" si="344"/>
        <v>0</v>
      </c>
      <c r="BD198" s="2078">
        <f t="shared" si="345"/>
        <v>0</v>
      </c>
      <c r="BE198" s="2078">
        <f t="shared" si="346"/>
        <v>0</v>
      </c>
      <c r="BF198" s="2078">
        <f t="shared" si="347"/>
        <v>0</v>
      </c>
      <c r="BG198" s="2078">
        <f t="shared" si="348"/>
        <v>0</v>
      </c>
      <c r="BH198" s="2078">
        <f t="shared" si="349"/>
        <v>0</v>
      </c>
      <c r="BI198" s="2078">
        <f t="shared" si="350"/>
        <v>0</v>
      </c>
      <c r="BJ198" s="2078">
        <f t="shared" si="351"/>
        <v>0</v>
      </c>
      <c r="BK198" s="2078">
        <f t="shared" si="352"/>
        <v>0</v>
      </c>
      <c r="BL198" s="2078">
        <f t="shared" si="353"/>
        <v>0</v>
      </c>
      <c r="BM198" s="2078">
        <f t="shared" si="354"/>
        <v>0</v>
      </c>
      <c r="BN198" s="2078">
        <f t="shared" si="355"/>
        <v>0</v>
      </c>
      <c r="BO198" s="2078">
        <f t="shared" si="356"/>
        <v>0</v>
      </c>
      <c r="BP198" s="2078">
        <f t="shared" si="357"/>
        <v>0</v>
      </c>
      <c r="BQ198" s="2078">
        <f t="shared" si="358"/>
        <v>0</v>
      </c>
      <c r="BR198" s="2078">
        <f t="shared" si="359"/>
        <v>0</v>
      </c>
      <c r="BS198" s="2079">
        <f t="shared" si="403"/>
        <v>1</v>
      </c>
      <c r="BT198" s="2079">
        <f t="shared" si="404"/>
        <v>0</v>
      </c>
      <c r="BU198" s="2079">
        <f t="shared" si="405"/>
        <v>0</v>
      </c>
      <c r="BV198" s="2079">
        <f t="shared" si="406"/>
        <v>0</v>
      </c>
      <c r="BW198" s="2079">
        <f t="shared" si="407"/>
        <v>0</v>
      </c>
      <c r="BX198" s="2079">
        <f t="shared" si="408"/>
        <v>0</v>
      </c>
      <c r="BY198" s="2079">
        <f t="shared" si="409"/>
        <v>0</v>
      </c>
      <c r="BZ198" s="2079">
        <f t="shared" si="410"/>
        <v>0</v>
      </c>
      <c r="CA198" s="2079">
        <f t="shared" si="411"/>
        <v>0</v>
      </c>
      <c r="CB198" s="2079">
        <f t="shared" si="412"/>
        <v>0</v>
      </c>
      <c r="CC198" s="2078">
        <f t="shared" ca="1" si="360"/>
        <v>0</v>
      </c>
      <c r="CD198" s="2078">
        <f t="shared" ca="1" si="361"/>
        <v>0</v>
      </c>
      <c r="CE198" s="2078">
        <f t="shared" ca="1" si="362"/>
        <v>0</v>
      </c>
      <c r="CF198" s="2078">
        <f t="shared" ca="1" si="363"/>
        <v>0</v>
      </c>
      <c r="CG198" s="2078">
        <f t="shared" ca="1" si="364"/>
        <v>0</v>
      </c>
      <c r="CH198" s="2078">
        <f t="shared" ca="1" si="365"/>
        <v>0</v>
      </c>
      <c r="CI198" s="2078">
        <f t="shared" ca="1" si="366"/>
        <v>0</v>
      </c>
      <c r="CJ198" s="2078">
        <f t="shared" ca="1" si="367"/>
        <v>0</v>
      </c>
      <c r="CK198" s="2078">
        <f t="shared" ca="1" si="368"/>
        <v>0</v>
      </c>
      <c r="CL198" s="2078">
        <f t="shared" ca="1" si="369"/>
        <v>0</v>
      </c>
      <c r="CM198" s="2078">
        <f t="shared" si="413"/>
        <v>1</v>
      </c>
      <c r="CN198" s="2078">
        <f t="shared" si="414"/>
        <v>1</v>
      </c>
      <c r="CO198" s="2078">
        <f t="shared" si="415"/>
        <v>1</v>
      </c>
      <c r="CP198" s="2078">
        <f t="shared" si="370"/>
        <v>1</v>
      </c>
      <c r="CQ198" s="2078">
        <f t="shared" si="416"/>
        <v>0</v>
      </c>
      <c r="CR198" s="2078">
        <f t="shared" si="417"/>
        <v>0</v>
      </c>
      <c r="CS198" s="2078">
        <f t="shared" si="371"/>
        <v>0</v>
      </c>
      <c r="CT198" s="2078">
        <f t="shared" si="418"/>
        <v>1</v>
      </c>
      <c r="CU198" s="2078">
        <f t="shared" si="372"/>
        <v>1</v>
      </c>
      <c r="CV198" s="2078">
        <f t="shared" si="419"/>
        <v>0</v>
      </c>
      <c r="CW198" s="2078">
        <f>IF(OR(AE198&lt;&gt;3,F198="Exclude"),0,IF(ISERROR(MATCH($E198,'4 Sign-off'!$S$123:$X$123,0)),0,1))</f>
        <v>0</v>
      </c>
      <c r="CX198" s="2078">
        <f t="shared" si="373"/>
        <v>0</v>
      </c>
      <c r="CY198" s="2078">
        <f t="shared" si="420"/>
        <v>0</v>
      </c>
      <c r="CZ198" s="2993">
        <f t="shared" ca="1" si="374"/>
        <v>0</v>
      </c>
      <c r="DA198" s="3037">
        <f t="shared" ca="1" si="375"/>
        <v>0</v>
      </c>
      <c r="DB198" s="1664"/>
      <c r="DC198" s="1320"/>
      <c r="DD198" s="589"/>
      <c r="DE198" s="1321"/>
      <c r="DF198" s="107"/>
      <c r="DG198" s="112"/>
      <c r="DH198" s="140"/>
      <c r="DI198" s="22"/>
      <c r="DJ198" s="145"/>
      <c r="DK198" s="137"/>
      <c r="DL198" s="137"/>
      <c r="DM198" s="137"/>
      <c r="DN198" s="137"/>
      <c r="DO198" s="137"/>
      <c r="DP198" s="137"/>
      <c r="DQ198" s="137"/>
      <c r="DR198" s="137"/>
      <c r="DS198" s="137"/>
      <c r="DT198" s="137"/>
      <c r="DU198" s="137"/>
      <c r="DV198" s="137"/>
      <c r="DW198" s="137"/>
      <c r="DX198" s="137"/>
      <c r="DY198" s="137"/>
      <c r="DZ198" s="137"/>
      <c r="EA198" s="137"/>
      <c r="EB198" s="137"/>
      <c r="EC198" s="137"/>
      <c r="ED198" s="137"/>
      <c r="EE198" s="137"/>
      <c r="EF198" s="137"/>
      <c r="EG198" s="137"/>
      <c r="EH198" s="137"/>
      <c r="EI198" s="137"/>
      <c r="EJ198" s="137"/>
      <c r="EK198" s="137"/>
      <c r="EL198" s="137"/>
      <c r="EM198" s="137"/>
      <c r="EN198" s="137"/>
      <c r="EO198" s="137"/>
      <c r="EP198" s="137"/>
      <c r="EQ198" s="137"/>
      <c r="ER198" s="137"/>
      <c r="ES198" s="137"/>
      <c r="ET198" s="137"/>
      <c r="EU198" s="137"/>
      <c r="EV198" s="137"/>
      <c r="EW198" s="137"/>
      <c r="EX198" s="137"/>
      <c r="EY198" s="137"/>
      <c r="EZ198" s="137"/>
      <c r="FA198" s="137"/>
      <c r="FB198" s="137"/>
      <c r="FC198" s="137"/>
      <c r="FD198" s="137"/>
      <c r="FE198" s="137"/>
      <c r="FF198" s="137"/>
      <c r="FG198" s="860"/>
      <c r="FH198" s="1288"/>
      <c r="FI198" s="1318"/>
      <c r="FJ198" s="126"/>
      <c r="FK198" s="127"/>
      <c r="FL198" s="128" t="str">
        <f t="shared" si="376"/>
        <v xml:space="preserve">    </v>
      </c>
      <c r="FM198" s="128"/>
      <c r="FN198" s="1686">
        <f t="shared" si="377"/>
        <v>0</v>
      </c>
      <c r="FO198" s="46">
        <f t="shared" si="421"/>
        <v>0</v>
      </c>
      <c r="FP198" s="46">
        <f t="shared" si="422"/>
        <v>1</v>
      </c>
      <c r="FQ198" s="75">
        <f t="shared" si="378"/>
        <v>0</v>
      </c>
      <c r="FR198" s="46">
        <f t="shared" si="379"/>
        <v>0</v>
      </c>
      <c r="FS198" s="46">
        <f t="shared" si="380"/>
        <v>1</v>
      </c>
      <c r="FT198" s="75">
        <f t="shared" si="381"/>
        <v>0</v>
      </c>
      <c r="FU198" s="2603">
        <f t="shared" si="423"/>
        <v>0</v>
      </c>
      <c r="FV198" s="2607">
        <f t="shared" si="424"/>
        <v>0</v>
      </c>
      <c r="FW198" s="2603">
        <f t="shared" si="425"/>
        <v>0</v>
      </c>
      <c r="FX198" s="2631">
        <f t="shared" si="426"/>
        <v>0</v>
      </c>
      <c r="FY198" s="81" t="e">
        <f t="shared" si="382"/>
        <v>#N/A</v>
      </c>
      <c r="FZ198" s="64" t="e">
        <f t="array" ref="FZ198">MATCH(1,($GT198:$LQ198&gt;0)*$GT$25:$LQ$25,0)</f>
        <v>#N/A</v>
      </c>
      <c r="GA198" s="64" t="e">
        <f t="array" ref="GA198">MATCH(2,1/(GT198:LQ198&gt;0))</f>
        <v>#N/A</v>
      </c>
      <c r="GB198" s="64">
        <f t="shared" si="383"/>
        <v>-1</v>
      </c>
      <c r="GC198" s="46"/>
      <c r="GD198" s="613"/>
      <c r="GE198" s="613"/>
      <c r="GF198" s="613"/>
      <c r="GG198" s="613"/>
      <c r="GH198" s="613"/>
      <c r="GI198" s="613"/>
      <c r="GJ198" s="613"/>
      <c r="GK198" s="613"/>
      <c r="GL198" s="613"/>
      <c r="GM198" s="613"/>
      <c r="GN198" s="385">
        <f t="shared" si="384"/>
        <v>0</v>
      </c>
      <c r="GO198" s="386">
        <f t="shared" si="385"/>
        <v>0</v>
      </c>
      <c r="GP198" s="2635"/>
      <c r="GQ198" s="175"/>
      <c r="GR198" s="172"/>
      <c r="GS198" s="65"/>
      <c r="GT198" s="167"/>
      <c r="GU198" s="168"/>
      <c r="GV198" s="168"/>
      <c r="GW198" s="168"/>
      <c r="GX198" s="168"/>
      <c r="GY198" s="168"/>
      <c r="GZ198" s="168"/>
      <c r="HA198" s="168"/>
      <c r="HB198" s="168"/>
      <c r="HC198" s="168"/>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168"/>
      <c r="JD198" s="168"/>
      <c r="JE198" s="168"/>
      <c r="JF198" s="168"/>
      <c r="JG198" s="168"/>
      <c r="JH198" s="168"/>
      <c r="JI198" s="168"/>
      <c r="JJ198" s="168"/>
      <c r="JK198" s="168"/>
      <c r="JL198" s="168"/>
      <c r="JM198" s="168"/>
      <c r="JN198" s="168"/>
      <c r="JO198" s="168"/>
      <c r="JP198" s="168"/>
      <c r="JQ198" s="168"/>
      <c r="JR198" s="168"/>
      <c r="JS198" s="168"/>
      <c r="JT198" s="168"/>
      <c r="JU198" s="168"/>
      <c r="JV198" s="168"/>
      <c r="JW198" s="168"/>
      <c r="JX198" s="168"/>
      <c r="JY198" s="168"/>
      <c r="JZ198" s="168"/>
      <c r="KA198" s="168"/>
      <c r="KB198" s="168"/>
      <c r="KC198" s="168"/>
      <c r="KD198" s="168"/>
      <c r="KE198" s="168"/>
      <c r="KF198" s="168"/>
      <c r="KG198" s="168"/>
      <c r="KH198" s="168"/>
      <c r="KI198" s="168"/>
      <c r="KJ198" s="168"/>
      <c r="KK198" s="168"/>
      <c r="KL198" s="168"/>
      <c r="KM198" s="168"/>
      <c r="KN198" s="168"/>
      <c r="KO198" s="168"/>
      <c r="KP198" s="168"/>
      <c r="KQ198" s="168"/>
      <c r="KR198" s="168"/>
      <c r="KS198" s="168"/>
      <c r="KT198" s="168"/>
      <c r="KU198" s="168"/>
      <c r="KV198" s="168"/>
      <c r="KW198" s="168"/>
      <c r="KX198" s="168"/>
      <c r="KY198" s="168"/>
      <c r="KZ198" s="168"/>
      <c r="LA198" s="168"/>
      <c r="LB198" s="168"/>
      <c r="LC198" s="168"/>
      <c r="LD198" s="168"/>
      <c r="LE198" s="168"/>
      <c r="LF198" s="168"/>
      <c r="LG198" s="168"/>
      <c r="LH198" s="168"/>
      <c r="LI198" s="168"/>
      <c r="LJ198" s="168"/>
      <c r="LK198" s="168"/>
      <c r="LL198" s="168"/>
      <c r="LM198" s="168"/>
      <c r="LN198" s="168"/>
      <c r="LO198" s="168"/>
      <c r="LP198" s="606"/>
      <c r="LQ198" s="609"/>
      <c r="LR198" s="1319"/>
      <c r="LS198" s="1319"/>
    </row>
    <row r="199" spans="1:331" s="2" customFormat="1" ht="15" customHeight="1" x14ac:dyDescent="0.25">
      <c r="A199" s="283"/>
      <c r="B199" s="303"/>
      <c r="C199" s="301"/>
      <c r="D199" s="1287"/>
      <c r="E199" s="2298"/>
      <c r="F199" s="1812"/>
      <c r="G199" s="3342"/>
      <c r="H199" s="66"/>
      <c r="I199" s="1746"/>
      <c r="J199" s="1214"/>
      <c r="K199" s="105"/>
      <c r="L199" s="91"/>
      <c r="M199" s="92"/>
      <c r="N199" s="93"/>
      <c r="O199" s="96"/>
      <c r="P199" s="96"/>
      <c r="Q199" s="95"/>
      <c r="R199" s="993">
        <f t="shared" si="325"/>
        <v>0</v>
      </c>
      <c r="S199" s="23">
        <f t="shared" si="326"/>
        <v>0</v>
      </c>
      <c r="T199" s="24">
        <f t="shared" si="327"/>
        <v>0</v>
      </c>
      <c r="U199" s="24">
        <f t="shared" si="328"/>
        <v>0</v>
      </c>
      <c r="V199" s="24">
        <f t="shared" si="329"/>
        <v>0</v>
      </c>
      <c r="W199" s="24">
        <f t="shared" ca="1" si="330"/>
        <v>0</v>
      </c>
      <c r="X199" s="72">
        <f t="shared" ca="1" si="386"/>
        <v>0</v>
      </c>
      <c r="Y199" s="72">
        <f t="shared" si="331"/>
        <v>0</v>
      </c>
      <c r="Z199" s="24">
        <f t="shared" si="332"/>
        <v>0</v>
      </c>
      <c r="AA199" s="72">
        <f t="shared" si="387"/>
        <v>0</v>
      </c>
      <c r="AB199" s="24">
        <f t="shared" si="388"/>
        <v>0</v>
      </c>
      <c r="AC199" s="24">
        <f t="shared" ca="1" si="333"/>
        <v>0</v>
      </c>
      <c r="AD199" s="24">
        <f t="shared" si="389"/>
        <v>0</v>
      </c>
      <c r="AE199" s="2078">
        <f t="shared" si="334"/>
        <v>3</v>
      </c>
      <c r="AF199" s="2078">
        <f t="shared" si="335"/>
        <v>0</v>
      </c>
      <c r="AG199" s="2078">
        <f t="shared" si="336"/>
        <v>0</v>
      </c>
      <c r="AH199" s="2521">
        <f t="shared" si="390"/>
        <v>1</v>
      </c>
      <c r="AI199" s="25" t="str">
        <f t="shared" si="337"/>
        <v/>
      </c>
      <c r="AJ199" s="2521">
        <f t="shared" ca="1" si="391"/>
        <v>0</v>
      </c>
      <c r="AK199" s="2076">
        <f t="shared" ca="1" si="392"/>
        <v>0</v>
      </c>
      <c r="AL199" s="2078">
        <f>IF(ISBLANK(J199),0,ISERROR(MATCH(J199,'5  Control Accounts'!$FA$29:$FA$96,0))*1)</f>
        <v>0</v>
      </c>
      <c r="AM199" s="2076">
        <f t="shared" si="338"/>
        <v>0</v>
      </c>
      <c r="AN199" s="2078">
        <f t="shared" si="339"/>
        <v>1</v>
      </c>
      <c r="AO199" s="2079">
        <f t="shared" si="393"/>
        <v>1</v>
      </c>
      <c r="AP199" s="2079">
        <f t="shared" si="394"/>
        <v>0</v>
      </c>
      <c r="AQ199" s="2079">
        <f t="shared" si="395"/>
        <v>0</v>
      </c>
      <c r="AR199" s="2079">
        <f t="shared" si="396"/>
        <v>0</v>
      </c>
      <c r="AS199" s="2079">
        <f t="shared" si="397"/>
        <v>0</v>
      </c>
      <c r="AT199" s="2079">
        <f t="shared" si="398"/>
        <v>0</v>
      </c>
      <c r="AU199" s="2079">
        <f t="shared" si="399"/>
        <v>0</v>
      </c>
      <c r="AV199" s="2079">
        <f t="shared" si="400"/>
        <v>0</v>
      </c>
      <c r="AW199" s="2079">
        <f t="shared" si="401"/>
        <v>0</v>
      </c>
      <c r="AX199" s="2079">
        <f t="shared" si="402"/>
        <v>0</v>
      </c>
      <c r="AY199" s="2078">
        <f t="shared" si="340"/>
        <v>0</v>
      </c>
      <c r="AZ199" s="2078">
        <f t="shared" si="341"/>
        <v>0</v>
      </c>
      <c r="BA199" s="2078">
        <f t="shared" si="342"/>
        <v>0</v>
      </c>
      <c r="BB199" s="2078">
        <f t="shared" si="343"/>
        <v>0</v>
      </c>
      <c r="BC199" s="2078">
        <f t="shared" si="344"/>
        <v>0</v>
      </c>
      <c r="BD199" s="2078">
        <f t="shared" si="345"/>
        <v>0</v>
      </c>
      <c r="BE199" s="2078">
        <f t="shared" si="346"/>
        <v>0</v>
      </c>
      <c r="BF199" s="2078">
        <f t="shared" si="347"/>
        <v>0</v>
      </c>
      <c r="BG199" s="2078">
        <f t="shared" si="348"/>
        <v>0</v>
      </c>
      <c r="BH199" s="2078">
        <f t="shared" si="349"/>
        <v>0</v>
      </c>
      <c r="BI199" s="2078">
        <f t="shared" si="350"/>
        <v>0</v>
      </c>
      <c r="BJ199" s="2078">
        <f t="shared" si="351"/>
        <v>0</v>
      </c>
      <c r="BK199" s="2078">
        <f t="shared" si="352"/>
        <v>0</v>
      </c>
      <c r="BL199" s="2078">
        <f t="shared" si="353"/>
        <v>0</v>
      </c>
      <c r="BM199" s="2078">
        <f t="shared" si="354"/>
        <v>0</v>
      </c>
      <c r="BN199" s="2078">
        <f t="shared" si="355"/>
        <v>0</v>
      </c>
      <c r="BO199" s="2078">
        <f t="shared" si="356"/>
        <v>0</v>
      </c>
      <c r="BP199" s="2078">
        <f t="shared" si="357"/>
        <v>0</v>
      </c>
      <c r="BQ199" s="2078">
        <f t="shared" si="358"/>
        <v>0</v>
      </c>
      <c r="BR199" s="2078">
        <f t="shared" si="359"/>
        <v>0</v>
      </c>
      <c r="BS199" s="2079">
        <f t="shared" si="403"/>
        <v>1</v>
      </c>
      <c r="BT199" s="2079">
        <f t="shared" si="404"/>
        <v>0</v>
      </c>
      <c r="BU199" s="2079">
        <f t="shared" si="405"/>
        <v>0</v>
      </c>
      <c r="BV199" s="2079">
        <f t="shared" si="406"/>
        <v>0</v>
      </c>
      <c r="BW199" s="2079">
        <f t="shared" si="407"/>
        <v>0</v>
      </c>
      <c r="BX199" s="2079">
        <f t="shared" si="408"/>
        <v>0</v>
      </c>
      <c r="BY199" s="2079">
        <f t="shared" si="409"/>
        <v>0</v>
      </c>
      <c r="BZ199" s="2079">
        <f t="shared" si="410"/>
        <v>0</v>
      </c>
      <c r="CA199" s="2079">
        <f t="shared" si="411"/>
        <v>0</v>
      </c>
      <c r="CB199" s="2079">
        <f t="shared" si="412"/>
        <v>0</v>
      </c>
      <c r="CC199" s="2078">
        <f t="shared" ca="1" si="360"/>
        <v>0</v>
      </c>
      <c r="CD199" s="2078">
        <f t="shared" ca="1" si="361"/>
        <v>0</v>
      </c>
      <c r="CE199" s="2078">
        <f t="shared" ca="1" si="362"/>
        <v>0</v>
      </c>
      <c r="CF199" s="2078">
        <f t="shared" ca="1" si="363"/>
        <v>0</v>
      </c>
      <c r="CG199" s="2078">
        <f t="shared" ca="1" si="364"/>
        <v>0</v>
      </c>
      <c r="CH199" s="2078">
        <f t="shared" ca="1" si="365"/>
        <v>0</v>
      </c>
      <c r="CI199" s="2078">
        <f t="shared" ca="1" si="366"/>
        <v>0</v>
      </c>
      <c r="CJ199" s="2078">
        <f t="shared" ca="1" si="367"/>
        <v>0</v>
      </c>
      <c r="CK199" s="2078">
        <f t="shared" ca="1" si="368"/>
        <v>0</v>
      </c>
      <c r="CL199" s="2078">
        <f t="shared" ca="1" si="369"/>
        <v>0</v>
      </c>
      <c r="CM199" s="2078">
        <f t="shared" si="413"/>
        <v>1</v>
      </c>
      <c r="CN199" s="2078">
        <f t="shared" si="414"/>
        <v>1</v>
      </c>
      <c r="CO199" s="2078">
        <f t="shared" si="415"/>
        <v>1</v>
      </c>
      <c r="CP199" s="2078">
        <f t="shared" si="370"/>
        <v>1</v>
      </c>
      <c r="CQ199" s="2078">
        <f t="shared" si="416"/>
        <v>0</v>
      </c>
      <c r="CR199" s="2078">
        <f t="shared" si="417"/>
        <v>0</v>
      </c>
      <c r="CS199" s="2078">
        <f t="shared" si="371"/>
        <v>0</v>
      </c>
      <c r="CT199" s="2078">
        <f t="shared" si="418"/>
        <v>1</v>
      </c>
      <c r="CU199" s="2078">
        <f t="shared" si="372"/>
        <v>1</v>
      </c>
      <c r="CV199" s="2078">
        <f t="shared" si="419"/>
        <v>0</v>
      </c>
      <c r="CW199" s="2078">
        <f>IF(OR(AE199&lt;&gt;3,F199="Exclude"),0,IF(ISERROR(MATCH($E199,'4 Sign-off'!$S$123:$X$123,0)),0,1))</f>
        <v>0</v>
      </c>
      <c r="CX199" s="2078">
        <f t="shared" si="373"/>
        <v>0</v>
      </c>
      <c r="CY199" s="2078">
        <f t="shared" si="420"/>
        <v>0</v>
      </c>
      <c r="CZ199" s="2993">
        <f t="shared" ca="1" si="374"/>
        <v>0</v>
      </c>
      <c r="DA199" s="3037">
        <f t="shared" ca="1" si="375"/>
        <v>0</v>
      </c>
      <c r="DB199" s="1664"/>
      <c r="DC199" s="1320"/>
      <c r="DD199" s="589"/>
      <c r="DE199" s="1321"/>
      <c r="DF199" s="107"/>
      <c r="DG199" s="112"/>
      <c r="DH199" s="140"/>
      <c r="DI199" s="22"/>
      <c r="DJ199" s="145"/>
      <c r="DK199" s="137"/>
      <c r="DL199" s="137"/>
      <c r="DM199" s="137"/>
      <c r="DN199" s="137"/>
      <c r="DO199" s="137"/>
      <c r="DP199" s="137"/>
      <c r="DQ199" s="137"/>
      <c r="DR199" s="137"/>
      <c r="DS199" s="137"/>
      <c r="DT199" s="137"/>
      <c r="DU199" s="137"/>
      <c r="DV199" s="137"/>
      <c r="DW199" s="137"/>
      <c r="DX199" s="137"/>
      <c r="DY199" s="137"/>
      <c r="DZ199" s="137"/>
      <c r="EA199" s="137"/>
      <c r="EB199" s="137"/>
      <c r="EC199" s="137"/>
      <c r="ED199" s="137"/>
      <c r="EE199" s="137"/>
      <c r="EF199" s="137"/>
      <c r="EG199" s="137"/>
      <c r="EH199" s="137"/>
      <c r="EI199" s="137"/>
      <c r="EJ199" s="137"/>
      <c r="EK199" s="137"/>
      <c r="EL199" s="137"/>
      <c r="EM199" s="137"/>
      <c r="EN199" s="137"/>
      <c r="EO199" s="137"/>
      <c r="EP199" s="137"/>
      <c r="EQ199" s="137"/>
      <c r="ER199" s="137"/>
      <c r="ES199" s="137"/>
      <c r="ET199" s="137"/>
      <c r="EU199" s="137"/>
      <c r="EV199" s="137"/>
      <c r="EW199" s="137"/>
      <c r="EX199" s="137"/>
      <c r="EY199" s="137"/>
      <c r="EZ199" s="137"/>
      <c r="FA199" s="137"/>
      <c r="FB199" s="137"/>
      <c r="FC199" s="137"/>
      <c r="FD199" s="137"/>
      <c r="FE199" s="137"/>
      <c r="FF199" s="137"/>
      <c r="FG199" s="860"/>
      <c r="FH199" s="1288"/>
      <c r="FI199" s="1318"/>
      <c r="FJ199" s="126"/>
      <c r="FK199" s="127"/>
      <c r="FL199" s="128" t="str">
        <f t="shared" si="376"/>
        <v xml:space="preserve">    </v>
      </c>
      <c r="FM199" s="128"/>
      <c r="FN199" s="1686">
        <f t="shared" si="377"/>
        <v>0</v>
      </c>
      <c r="FO199" s="46">
        <f t="shared" si="421"/>
        <v>0</v>
      </c>
      <c r="FP199" s="46">
        <f t="shared" ref="FP199" si="429">IFERROR(1/FQ199,1)</f>
        <v>1</v>
      </c>
      <c r="FQ199" s="75">
        <f t="shared" si="378"/>
        <v>0</v>
      </c>
      <c r="FR199" s="46">
        <f t="shared" si="379"/>
        <v>0</v>
      </c>
      <c r="FS199" s="46">
        <f t="shared" si="380"/>
        <v>1</v>
      </c>
      <c r="FT199" s="75">
        <f t="shared" si="381"/>
        <v>0</v>
      </c>
      <c r="FU199" s="2603">
        <f t="shared" si="423"/>
        <v>0</v>
      </c>
      <c r="FV199" s="2607">
        <f t="shared" si="424"/>
        <v>0</v>
      </c>
      <c r="FW199" s="2603">
        <f t="shared" si="425"/>
        <v>0</v>
      </c>
      <c r="FX199" s="2631">
        <f t="shared" si="426"/>
        <v>0</v>
      </c>
      <c r="FY199" s="81" t="e">
        <f t="shared" si="382"/>
        <v>#N/A</v>
      </c>
      <c r="FZ199" s="64" t="e">
        <f t="array" ref="FZ199">MATCH(1,($GT199:$LQ199&gt;0)*$GT$25:$LQ$25,0)</f>
        <v>#N/A</v>
      </c>
      <c r="GA199" s="64" t="e">
        <f t="array" ref="GA199">MATCH(2,1/(GT199:LQ199&gt;0))</f>
        <v>#N/A</v>
      </c>
      <c r="GB199" s="64">
        <f t="shared" si="383"/>
        <v>-1</v>
      </c>
      <c r="GC199" s="46"/>
      <c r="GD199" s="613"/>
      <c r="GE199" s="613"/>
      <c r="GF199" s="613"/>
      <c r="GG199" s="613"/>
      <c r="GH199" s="613"/>
      <c r="GI199" s="613"/>
      <c r="GJ199" s="613"/>
      <c r="GK199" s="613"/>
      <c r="GL199" s="613"/>
      <c r="GM199" s="613"/>
      <c r="GN199" s="385">
        <f t="shared" si="384"/>
        <v>0</v>
      </c>
      <c r="GO199" s="386">
        <f t="shared" si="385"/>
        <v>0</v>
      </c>
      <c r="GP199" s="2635"/>
      <c r="GQ199" s="175"/>
      <c r="GR199" s="172"/>
      <c r="GS199" s="65"/>
      <c r="GT199" s="167"/>
      <c r="GU199" s="168"/>
      <c r="GV199" s="168"/>
      <c r="GW199" s="168"/>
      <c r="GX199" s="168"/>
      <c r="GY199" s="168"/>
      <c r="GZ199" s="168"/>
      <c r="HA199" s="168"/>
      <c r="HB199" s="168"/>
      <c r="HC199" s="168"/>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168"/>
      <c r="JD199" s="168"/>
      <c r="JE199" s="168"/>
      <c r="JF199" s="168"/>
      <c r="JG199" s="168"/>
      <c r="JH199" s="168"/>
      <c r="JI199" s="168"/>
      <c r="JJ199" s="168"/>
      <c r="JK199" s="168"/>
      <c r="JL199" s="168"/>
      <c r="JM199" s="168"/>
      <c r="JN199" s="168"/>
      <c r="JO199" s="168"/>
      <c r="JP199" s="168"/>
      <c r="JQ199" s="168"/>
      <c r="JR199" s="168"/>
      <c r="JS199" s="168"/>
      <c r="JT199" s="168"/>
      <c r="JU199" s="168"/>
      <c r="JV199" s="168"/>
      <c r="JW199" s="168"/>
      <c r="JX199" s="168"/>
      <c r="JY199" s="168"/>
      <c r="JZ199" s="168"/>
      <c r="KA199" s="168"/>
      <c r="KB199" s="168"/>
      <c r="KC199" s="168"/>
      <c r="KD199" s="168"/>
      <c r="KE199" s="168"/>
      <c r="KF199" s="168"/>
      <c r="KG199" s="168"/>
      <c r="KH199" s="168"/>
      <c r="KI199" s="168"/>
      <c r="KJ199" s="168"/>
      <c r="KK199" s="168"/>
      <c r="KL199" s="168"/>
      <c r="KM199" s="168"/>
      <c r="KN199" s="168"/>
      <c r="KO199" s="168"/>
      <c r="KP199" s="168"/>
      <c r="KQ199" s="168"/>
      <c r="KR199" s="168"/>
      <c r="KS199" s="168"/>
      <c r="KT199" s="168"/>
      <c r="KU199" s="168"/>
      <c r="KV199" s="168"/>
      <c r="KW199" s="168"/>
      <c r="KX199" s="168"/>
      <c r="KY199" s="168"/>
      <c r="KZ199" s="168"/>
      <c r="LA199" s="168"/>
      <c r="LB199" s="168"/>
      <c r="LC199" s="168"/>
      <c r="LD199" s="168"/>
      <c r="LE199" s="168"/>
      <c r="LF199" s="168"/>
      <c r="LG199" s="168"/>
      <c r="LH199" s="168"/>
      <c r="LI199" s="168"/>
      <c r="LJ199" s="168"/>
      <c r="LK199" s="168"/>
      <c r="LL199" s="168"/>
      <c r="LM199" s="168"/>
      <c r="LN199" s="168"/>
      <c r="LO199" s="168"/>
      <c r="LP199" s="606"/>
      <c r="LQ199" s="609"/>
      <c r="LR199" s="1319"/>
      <c r="LS199" s="1319"/>
    </row>
    <row r="200" spans="1:331" s="2" customFormat="1" ht="15" customHeight="1" x14ac:dyDescent="0.25">
      <c r="A200" s="283"/>
      <c r="B200" s="303"/>
      <c r="C200" s="301"/>
      <c r="D200" s="1287"/>
      <c r="E200" s="2298"/>
      <c r="F200" s="1812"/>
      <c r="G200" s="3342"/>
      <c r="H200" s="66"/>
      <c r="I200" s="1746"/>
      <c r="J200" s="1214"/>
      <c r="K200" s="105"/>
      <c r="L200" s="91"/>
      <c r="M200" s="92"/>
      <c r="N200" s="93"/>
      <c r="O200" s="94"/>
      <c r="P200" s="96"/>
      <c r="Q200" s="95"/>
      <c r="R200" s="993">
        <f t="shared" si="325"/>
        <v>0</v>
      </c>
      <c r="S200" s="23">
        <f t="shared" si="326"/>
        <v>0</v>
      </c>
      <c r="T200" s="24">
        <f t="shared" si="327"/>
        <v>0</v>
      </c>
      <c r="U200" s="24">
        <f t="shared" si="328"/>
        <v>0</v>
      </c>
      <c r="V200" s="24">
        <f t="shared" si="329"/>
        <v>0</v>
      </c>
      <c r="W200" s="24">
        <f t="shared" ca="1" si="330"/>
        <v>0</v>
      </c>
      <c r="X200" s="72">
        <f t="shared" ca="1" si="386"/>
        <v>0</v>
      </c>
      <c r="Y200" s="72">
        <f t="shared" si="331"/>
        <v>0</v>
      </c>
      <c r="Z200" s="24">
        <f t="shared" si="332"/>
        <v>0</v>
      </c>
      <c r="AA200" s="72">
        <f t="shared" si="387"/>
        <v>0</v>
      </c>
      <c r="AB200" s="24">
        <f t="shared" si="388"/>
        <v>0</v>
      </c>
      <c r="AC200" s="24">
        <f t="shared" ca="1" si="333"/>
        <v>0</v>
      </c>
      <c r="AD200" s="24">
        <f t="shared" si="389"/>
        <v>0</v>
      </c>
      <c r="AE200" s="2078">
        <f t="shared" si="334"/>
        <v>3</v>
      </c>
      <c r="AF200" s="2078">
        <f t="shared" si="335"/>
        <v>0</v>
      </c>
      <c r="AG200" s="2078">
        <f t="shared" si="336"/>
        <v>0</v>
      </c>
      <c r="AH200" s="2521">
        <f t="shared" si="390"/>
        <v>1</v>
      </c>
      <c r="AI200" s="25" t="str">
        <f t="shared" si="337"/>
        <v/>
      </c>
      <c r="AJ200" s="2521">
        <f t="shared" ca="1" si="391"/>
        <v>0</v>
      </c>
      <c r="AK200" s="2076">
        <f t="shared" ca="1" si="392"/>
        <v>0</v>
      </c>
      <c r="AL200" s="2078">
        <f>IF(ISBLANK(J200),0,ISERROR(MATCH(J200,'5  Control Accounts'!$FA$29:$FA$96,0))*1)</f>
        <v>0</v>
      </c>
      <c r="AM200" s="2076">
        <f t="shared" si="338"/>
        <v>0</v>
      </c>
      <c r="AN200" s="2078">
        <f t="shared" si="339"/>
        <v>1</v>
      </c>
      <c r="AO200" s="2079">
        <f t="shared" si="393"/>
        <v>1</v>
      </c>
      <c r="AP200" s="2079">
        <f t="shared" si="394"/>
        <v>0</v>
      </c>
      <c r="AQ200" s="2079">
        <f t="shared" si="395"/>
        <v>0</v>
      </c>
      <c r="AR200" s="2079">
        <f t="shared" si="396"/>
        <v>0</v>
      </c>
      <c r="AS200" s="2079">
        <f t="shared" si="397"/>
        <v>0</v>
      </c>
      <c r="AT200" s="2079">
        <f t="shared" si="398"/>
        <v>0</v>
      </c>
      <c r="AU200" s="2079">
        <f t="shared" si="399"/>
        <v>0</v>
      </c>
      <c r="AV200" s="2079">
        <f t="shared" si="400"/>
        <v>0</v>
      </c>
      <c r="AW200" s="2079">
        <f t="shared" si="401"/>
        <v>0</v>
      </c>
      <c r="AX200" s="2079">
        <f t="shared" si="402"/>
        <v>0</v>
      </c>
      <c r="AY200" s="2078">
        <f t="shared" si="340"/>
        <v>0</v>
      </c>
      <c r="AZ200" s="2078">
        <f t="shared" si="341"/>
        <v>0</v>
      </c>
      <c r="BA200" s="2078">
        <f t="shared" si="342"/>
        <v>0</v>
      </c>
      <c r="BB200" s="2078">
        <f t="shared" si="343"/>
        <v>0</v>
      </c>
      <c r="BC200" s="2078">
        <f t="shared" si="344"/>
        <v>0</v>
      </c>
      <c r="BD200" s="2078">
        <f t="shared" si="345"/>
        <v>0</v>
      </c>
      <c r="BE200" s="2078">
        <f t="shared" si="346"/>
        <v>0</v>
      </c>
      <c r="BF200" s="2078">
        <f t="shared" si="347"/>
        <v>0</v>
      </c>
      <c r="BG200" s="2078">
        <f t="shared" si="348"/>
        <v>0</v>
      </c>
      <c r="BH200" s="2078">
        <f t="shared" si="349"/>
        <v>0</v>
      </c>
      <c r="BI200" s="2078">
        <f t="shared" si="350"/>
        <v>0</v>
      </c>
      <c r="BJ200" s="2078">
        <f t="shared" si="351"/>
        <v>0</v>
      </c>
      <c r="BK200" s="2078">
        <f t="shared" si="352"/>
        <v>0</v>
      </c>
      <c r="BL200" s="2078">
        <f t="shared" si="353"/>
        <v>0</v>
      </c>
      <c r="BM200" s="2078">
        <f t="shared" si="354"/>
        <v>0</v>
      </c>
      <c r="BN200" s="2078">
        <f t="shared" si="355"/>
        <v>0</v>
      </c>
      <c r="BO200" s="2078">
        <f t="shared" si="356"/>
        <v>0</v>
      </c>
      <c r="BP200" s="2078">
        <f t="shared" si="357"/>
        <v>0</v>
      </c>
      <c r="BQ200" s="2078">
        <f t="shared" si="358"/>
        <v>0</v>
      </c>
      <c r="BR200" s="2078">
        <f t="shared" si="359"/>
        <v>0</v>
      </c>
      <c r="BS200" s="2079">
        <f t="shared" si="403"/>
        <v>1</v>
      </c>
      <c r="BT200" s="2079">
        <f t="shared" si="404"/>
        <v>0</v>
      </c>
      <c r="BU200" s="2079">
        <f t="shared" si="405"/>
        <v>0</v>
      </c>
      <c r="BV200" s="2079">
        <f t="shared" si="406"/>
        <v>0</v>
      </c>
      <c r="BW200" s="2079">
        <f t="shared" si="407"/>
        <v>0</v>
      </c>
      <c r="BX200" s="2079">
        <f t="shared" si="408"/>
        <v>0</v>
      </c>
      <c r="BY200" s="2079">
        <f t="shared" si="409"/>
        <v>0</v>
      </c>
      <c r="BZ200" s="2079">
        <f t="shared" si="410"/>
        <v>0</v>
      </c>
      <c r="CA200" s="2079">
        <f t="shared" si="411"/>
        <v>0</v>
      </c>
      <c r="CB200" s="2079">
        <f t="shared" si="412"/>
        <v>0</v>
      </c>
      <c r="CC200" s="2078">
        <f t="shared" ca="1" si="360"/>
        <v>0</v>
      </c>
      <c r="CD200" s="2078">
        <f t="shared" ca="1" si="361"/>
        <v>0</v>
      </c>
      <c r="CE200" s="2078">
        <f t="shared" ca="1" si="362"/>
        <v>0</v>
      </c>
      <c r="CF200" s="2078">
        <f t="shared" ca="1" si="363"/>
        <v>0</v>
      </c>
      <c r="CG200" s="2078">
        <f t="shared" ca="1" si="364"/>
        <v>0</v>
      </c>
      <c r="CH200" s="2078">
        <f t="shared" ca="1" si="365"/>
        <v>0</v>
      </c>
      <c r="CI200" s="2078">
        <f t="shared" ca="1" si="366"/>
        <v>0</v>
      </c>
      <c r="CJ200" s="2078">
        <f t="shared" ca="1" si="367"/>
        <v>0</v>
      </c>
      <c r="CK200" s="2078">
        <f t="shared" ca="1" si="368"/>
        <v>0</v>
      </c>
      <c r="CL200" s="2078">
        <f t="shared" ca="1" si="369"/>
        <v>0</v>
      </c>
      <c r="CM200" s="2078">
        <f t="shared" si="413"/>
        <v>1</v>
      </c>
      <c r="CN200" s="2078">
        <f t="shared" si="414"/>
        <v>1</v>
      </c>
      <c r="CO200" s="2078">
        <f t="shared" si="415"/>
        <v>1</v>
      </c>
      <c r="CP200" s="2078">
        <f t="shared" si="370"/>
        <v>1</v>
      </c>
      <c r="CQ200" s="2078">
        <f t="shared" si="416"/>
        <v>0</v>
      </c>
      <c r="CR200" s="2078">
        <f t="shared" si="417"/>
        <v>0</v>
      </c>
      <c r="CS200" s="2078">
        <f t="shared" si="371"/>
        <v>0</v>
      </c>
      <c r="CT200" s="2078">
        <f t="shared" si="418"/>
        <v>1</v>
      </c>
      <c r="CU200" s="2078">
        <f t="shared" si="372"/>
        <v>1</v>
      </c>
      <c r="CV200" s="2078">
        <f t="shared" si="419"/>
        <v>0</v>
      </c>
      <c r="CW200" s="2078">
        <f>IF(OR(AE200&lt;&gt;3,F200="Exclude"),0,IF(ISERROR(MATCH($E200,'4 Sign-off'!$S$123:$X$123,0)),0,1))</f>
        <v>0</v>
      </c>
      <c r="CX200" s="2078">
        <f t="shared" si="373"/>
        <v>0</v>
      </c>
      <c r="CY200" s="2078">
        <f t="shared" si="420"/>
        <v>0</v>
      </c>
      <c r="CZ200" s="2993">
        <f t="shared" ca="1" si="374"/>
        <v>0</v>
      </c>
      <c r="DA200" s="3037">
        <f t="shared" ca="1" si="375"/>
        <v>0</v>
      </c>
      <c r="DB200" s="1664"/>
      <c r="DC200" s="1320"/>
      <c r="DD200" s="589"/>
      <c r="DE200" s="1321"/>
      <c r="DF200" s="107"/>
      <c r="DG200" s="112"/>
      <c r="DH200" s="140"/>
      <c r="DI200" s="22"/>
      <c r="DJ200" s="145"/>
      <c r="DK200" s="137"/>
      <c r="DL200" s="137"/>
      <c r="DM200" s="137"/>
      <c r="DN200" s="137"/>
      <c r="DO200" s="137"/>
      <c r="DP200" s="137"/>
      <c r="DQ200" s="137"/>
      <c r="DR200" s="137"/>
      <c r="DS200" s="137"/>
      <c r="DT200" s="137"/>
      <c r="DU200" s="137"/>
      <c r="DV200" s="137"/>
      <c r="DW200" s="137"/>
      <c r="DX200" s="137"/>
      <c r="DY200" s="137"/>
      <c r="DZ200" s="137"/>
      <c r="EA200" s="137"/>
      <c r="EB200" s="137"/>
      <c r="EC200" s="137"/>
      <c r="ED200" s="137"/>
      <c r="EE200" s="137"/>
      <c r="EF200" s="137"/>
      <c r="EG200" s="137"/>
      <c r="EH200" s="137"/>
      <c r="EI200" s="137"/>
      <c r="EJ200" s="137"/>
      <c r="EK200" s="137"/>
      <c r="EL200" s="137"/>
      <c r="EM200" s="137"/>
      <c r="EN200" s="137"/>
      <c r="EO200" s="137"/>
      <c r="EP200" s="137"/>
      <c r="EQ200" s="137"/>
      <c r="ER200" s="137"/>
      <c r="ES200" s="137"/>
      <c r="ET200" s="137"/>
      <c r="EU200" s="137"/>
      <c r="EV200" s="137"/>
      <c r="EW200" s="137"/>
      <c r="EX200" s="137"/>
      <c r="EY200" s="137"/>
      <c r="EZ200" s="137"/>
      <c r="FA200" s="137"/>
      <c r="FB200" s="137"/>
      <c r="FC200" s="137"/>
      <c r="FD200" s="137"/>
      <c r="FE200" s="137"/>
      <c r="FF200" s="137"/>
      <c r="FG200" s="860"/>
      <c r="FH200" s="1288"/>
      <c r="FI200" s="1318"/>
      <c r="FJ200" s="126"/>
      <c r="FK200" s="127"/>
      <c r="FL200" s="128" t="str">
        <f t="shared" si="376"/>
        <v xml:space="preserve">    </v>
      </c>
      <c r="FM200" s="128"/>
      <c r="FN200" s="1686">
        <f t="shared" si="377"/>
        <v>0</v>
      </c>
      <c r="FO200" s="46">
        <f t="shared" si="421"/>
        <v>0</v>
      </c>
      <c r="FP200" s="46">
        <f t="shared" si="422"/>
        <v>1</v>
      </c>
      <c r="FQ200" s="75">
        <f t="shared" si="378"/>
        <v>0</v>
      </c>
      <c r="FR200" s="46">
        <f t="shared" si="379"/>
        <v>0</v>
      </c>
      <c r="FS200" s="46">
        <f t="shared" si="380"/>
        <v>1</v>
      </c>
      <c r="FT200" s="75">
        <f t="shared" si="381"/>
        <v>0</v>
      </c>
      <c r="FU200" s="2603">
        <f t="shared" si="423"/>
        <v>0</v>
      </c>
      <c r="FV200" s="2607">
        <f t="shared" si="424"/>
        <v>0</v>
      </c>
      <c r="FW200" s="2603">
        <f t="shared" si="425"/>
        <v>0</v>
      </c>
      <c r="FX200" s="2631">
        <f t="shared" si="426"/>
        <v>0</v>
      </c>
      <c r="FY200" s="81" t="e">
        <f t="shared" si="382"/>
        <v>#N/A</v>
      </c>
      <c r="FZ200" s="64" t="e">
        <f t="array" ref="FZ200">MATCH(1,($GT200:$LQ200&gt;0)*$GT$25:$LQ$25,0)</f>
        <v>#N/A</v>
      </c>
      <c r="GA200" s="64" t="e">
        <f t="array" ref="GA200">MATCH(2,1/(GT200:LQ200&gt;0))</f>
        <v>#N/A</v>
      </c>
      <c r="GB200" s="64">
        <f t="shared" si="383"/>
        <v>-1</v>
      </c>
      <c r="GC200" s="46"/>
      <c r="GD200" s="613"/>
      <c r="GE200" s="613"/>
      <c r="GF200" s="613"/>
      <c r="GG200" s="613"/>
      <c r="GH200" s="613"/>
      <c r="GI200" s="613"/>
      <c r="GJ200" s="613"/>
      <c r="GK200" s="613"/>
      <c r="GL200" s="613"/>
      <c r="GM200" s="613"/>
      <c r="GN200" s="385">
        <f t="shared" si="384"/>
        <v>0</v>
      </c>
      <c r="GO200" s="386">
        <f t="shared" si="385"/>
        <v>0</v>
      </c>
      <c r="GP200" s="2635"/>
      <c r="GQ200" s="175"/>
      <c r="GR200" s="172"/>
      <c r="GS200" s="65"/>
      <c r="GT200" s="167"/>
      <c r="GU200" s="168"/>
      <c r="GV200" s="168"/>
      <c r="GW200" s="168"/>
      <c r="GX200" s="168"/>
      <c r="GY200" s="168"/>
      <c r="GZ200" s="168"/>
      <c r="HA200" s="168"/>
      <c r="HB200" s="168"/>
      <c r="HC200" s="168"/>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168"/>
      <c r="JD200" s="168"/>
      <c r="JE200" s="168"/>
      <c r="JF200" s="168"/>
      <c r="JG200" s="168"/>
      <c r="JH200" s="168"/>
      <c r="JI200" s="168"/>
      <c r="JJ200" s="168"/>
      <c r="JK200" s="168"/>
      <c r="JL200" s="168"/>
      <c r="JM200" s="168"/>
      <c r="JN200" s="168"/>
      <c r="JO200" s="168"/>
      <c r="JP200" s="168"/>
      <c r="JQ200" s="168"/>
      <c r="JR200" s="168"/>
      <c r="JS200" s="168"/>
      <c r="JT200" s="168"/>
      <c r="JU200" s="168"/>
      <c r="JV200" s="168"/>
      <c r="JW200" s="168"/>
      <c r="JX200" s="168"/>
      <c r="JY200" s="168"/>
      <c r="JZ200" s="168"/>
      <c r="KA200" s="168"/>
      <c r="KB200" s="168"/>
      <c r="KC200" s="168"/>
      <c r="KD200" s="168"/>
      <c r="KE200" s="168"/>
      <c r="KF200" s="168"/>
      <c r="KG200" s="168"/>
      <c r="KH200" s="168"/>
      <c r="KI200" s="168"/>
      <c r="KJ200" s="168"/>
      <c r="KK200" s="168"/>
      <c r="KL200" s="168"/>
      <c r="KM200" s="168"/>
      <c r="KN200" s="168"/>
      <c r="KO200" s="168"/>
      <c r="KP200" s="168"/>
      <c r="KQ200" s="168"/>
      <c r="KR200" s="168"/>
      <c r="KS200" s="168"/>
      <c r="KT200" s="168"/>
      <c r="KU200" s="168"/>
      <c r="KV200" s="168"/>
      <c r="KW200" s="168"/>
      <c r="KX200" s="168"/>
      <c r="KY200" s="168"/>
      <c r="KZ200" s="168"/>
      <c r="LA200" s="168"/>
      <c r="LB200" s="168"/>
      <c r="LC200" s="168"/>
      <c r="LD200" s="168"/>
      <c r="LE200" s="168"/>
      <c r="LF200" s="168"/>
      <c r="LG200" s="168"/>
      <c r="LH200" s="168"/>
      <c r="LI200" s="168"/>
      <c r="LJ200" s="168"/>
      <c r="LK200" s="168"/>
      <c r="LL200" s="168"/>
      <c r="LM200" s="168"/>
      <c r="LN200" s="168"/>
      <c r="LO200" s="168"/>
      <c r="LP200" s="606"/>
      <c r="LQ200" s="609"/>
      <c r="LR200" s="1319"/>
      <c r="LS200" s="1319"/>
    </row>
    <row r="201" spans="1:331" s="2" customFormat="1" ht="15" customHeight="1" x14ac:dyDescent="0.25">
      <c r="A201" s="283"/>
      <c r="B201" s="303"/>
      <c r="C201" s="301"/>
      <c r="D201" s="1287"/>
      <c r="E201" s="2298"/>
      <c r="F201" s="1812"/>
      <c r="G201" s="3342"/>
      <c r="H201" s="66"/>
      <c r="I201" s="1746"/>
      <c r="J201" s="1214"/>
      <c r="K201" s="105"/>
      <c r="L201" s="91"/>
      <c r="M201" s="92"/>
      <c r="N201" s="93"/>
      <c r="O201" s="94"/>
      <c r="P201" s="96"/>
      <c r="Q201" s="95"/>
      <c r="R201" s="993">
        <f t="shared" si="325"/>
        <v>0</v>
      </c>
      <c r="S201" s="23">
        <f t="shared" si="326"/>
        <v>0</v>
      </c>
      <c r="T201" s="24">
        <f t="shared" si="327"/>
        <v>0</v>
      </c>
      <c r="U201" s="24">
        <f t="shared" si="328"/>
        <v>0</v>
      </c>
      <c r="V201" s="24">
        <f t="shared" si="329"/>
        <v>0</v>
      </c>
      <c r="W201" s="24">
        <f t="shared" ca="1" si="330"/>
        <v>0</v>
      </c>
      <c r="X201" s="72">
        <f t="shared" ca="1" si="386"/>
        <v>0</v>
      </c>
      <c r="Y201" s="72">
        <f t="shared" si="331"/>
        <v>0</v>
      </c>
      <c r="Z201" s="24">
        <f t="shared" si="332"/>
        <v>0</v>
      </c>
      <c r="AA201" s="72">
        <f t="shared" si="387"/>
        <v>0</v>
      </c>
      <c r="AB201" s="24">
        <f t="shared" si="388"/>
        <v>0</v>
      </c>
      <c r="AC201" s="24">
        <f t="shared" ca="1" si="333"/>
        <v>0</v>
      </c>
      <c r="AD201" s="24">
        <f t="shared" si="389"/>
        <v>0</v>
      </c>
      <c r="AE201" s="2078">
        <f t="shared" si="334"/>
        <v>3</v>
      </c>
      <c r="AF201" s="2078">
        <f t="shared" si="335"/>
        <v>0</v>
      </c>
      <c r="AG201" s="2078">
        <f t="shared" si="336"/>
        <v>0</v>
      </c>
      <c r="AH201" s="2521">
        <f t="shared" si="390"/>
        <v>1</v>
      </c>
      <c r="AI201" s="25" t="str">
        <f t="shared" si="337"/>
        <v/>
      </c>
      <c r="AJ201" s="2521">
        <f t="shared" ca="1" si="391"/>
        <v>0</v>
      </c>
      <c r="AK201" s="2076">
        <f t="shared" ca="1" si="392"/>
        <v>0</v>
      </c>
      <c r="AL201" s="2078">
        <f>IF(ISBLANK(J201),0,ISERROR(MATCH(J201,'5  Control Accounts'!$FA$29:$FA$96,0))*1)</f>
        <v>0</v>
      </c>
      <c r="AM201" s="2076">
        <f t="shared" si="338"/>
        <v>0</v>
      </c>
      <c r="AN201" s="2078">
        <f t="shared" si="339"/>
        <v>1</v>
      </c>
      <c r="AO201" s="2079">
        <f t="shared" si="393"/>
        <v>1</v>
      </c>
      <c r="AP201" s="2079">
        <f t="shared" si="394"/>
        <v>0</v>
      </c>
      <c r="AQ201" s="2079">
        <f t="shared" si="395"/>
        <v>0</v>
      </c>
      <c r="AR201" s="2079">
        <f t="shared" si="396"/>
        <v>0</v>
      </c>
      <c r="AS201" s="2079">
        <f t="shared" si="397"/>
        <v>0</v>
      </c>
      <c r="AT201" s="2079">
        <f t="shared" si="398"/>
        <v>0</v>
      </c>
      <c r="AU201" s="2079">
        <f t="shared" si="399"/>
        <v>0</v>
      </c>
      <c r="AV201" s="2079">
        <f t="shared" si="400"/>
        <v>0</v>
      </c>
      <c r="AW201" s="2079">
        <f t="shared" si="401"/>
        <v>0</v>
      </c>
      <c r="AX201" s="2079">
        <f t="shared" si="402"/>
        <v>0</v>
      </c>
      <c r="AY201" s="2078">
        <f t="shared" si="340"/>
        <v>0</v>
      </c>
      <c r="AZ201" s="2078">
        <f t="shared" si="341"/>
        <v>0</v>
      </c>
      <c r="BA201" s="2078">
        <f t="shared" si="342"/>
        <v>0</v>
      </c>
      <c r="BB201" s="2078">
        <f t="shared" si="343"/>
        <v>0</v>
      </c>
      <c r="BC201" s="2078">
        <f t="shared" si="344"/>
        <v>0</v>
      </c>
      <c r="BD201" s="2078">
        <f t="shared" si="345"/>
        <v>0</v>
      </c>
      <c r="BE201" s="2078">
        <f t="shared" si="346"/>
        <v>0</v>
      </c>
      <c r="BF201" s="2078">
        <f t="shared" si="347"/>
        <v>0</v>
      </c>
      <c r="BG201" s="2078">
        <f t="shared" si="348"/>
        <v>0</v>
      </c>
      <c r="BH201" s="2078">
        <f t="shared" si="349"/>
        <v>0</v>
      </c>
      <c r="BI201" s="2078">
        <f t="shared" si="350"/>
        <v>0</v>
      </c>
      <c r="BJ201" s="2078">
        <f t="shared" si="351"/>
        <v>0</v>
      </c>
      <c r="BK201" s="2078">
        <f t="shared" si="352"/>
        <v>0</v>
      </c>
      <c r="BL201" s="2078">
        <f t="shared" si="353"/>
        <v>0</v>
      </c>
      <c r="BM201" s="2078">
        <f t="shared" si="354"/>
        <v>0</v>
      </c>
      <c r="BN201" s="2078">
        <f t="shared" si="355"/>
        <v>0</v>
      </c>
      <c r="BO201" s="2078">
        <f t="shared" si="356"/>
        <v>0</v>
      </c>
      <c r="BP201" s="2078">
        <f t="shared" si="357"/>
        <v>0</v>
      </c>
      <c r="BQ201" s="2078">
        <f t="shared" si="358"/>
        <v>0</v>
      </c>
      <c r="BR201" s="2078">
        <f t="shared" si="359"/>
        <v>0</v>
      </c>
      <c r="BS201" s="2079">
        <f t="shared" si="403"/>
        <v>1</v>
      </c>
      <c r="BT201" s="2079">
        <f t="shared" si="404"/>
        <v>0</v>
      </c>
      <c r="BU201" s="2079">
        <f t="shared" si="405"/>
        <v>0</v>
      </c>
      <c r="BV201" s="2079">
        <f t="shared" si="406"/>
        <v>0</v>
      </c>
      <c r="BW201" s="2079">
        <f t="shared" si="407"/>
        <v>0</v>
      </c>
      <c r="BX201" s="2079">
        <f t="shared" si="408"/>
        <v>0</v>
      </c>
      <c r="BY201" s="2079">
        <f t="shared" si="409"/>
        <v>0</v>
      </c>
      <c r="BZ201" s="2079">
        <f t="shared" si="410"/>
        <v>0</v>
      </c>
      <c r="CA201" s="2079">
        <f t="shared" si="411"/>
        <v>0</v>
      </c>
      <c r="CB201" s="2079">
        <f t="shared" si="412"/>
        <v>0</v>
      </c>
      <c r="CC201" s="2078">
        <f t="shared" ca="1" si="360"/>
        <v>0</v>
      </c>
      <c r="CD201" s="2078">
        <f t="shared" ca="1" si="361"/>
        <v>0</v>
      </c>
      <c r="CE201" s="2078">
        <f t="shared" ca="1" si="362"/>
        <v>0</v>
      </c>
      <c r="CF201" s="2078">
        <f t="shared" ca="1" si="363"/>
        <v>0</v>
      </c>
      <c r="CG201" s="2078">
        <f t="shared" ca="1" si="364"/>
        <v>0</v>
      </c>
      <c r="CH201" s="2078">
        <f t="shared" ca="1" si="365"/>
        <v>0</v>
      </c>
      <c r="CI201" s="2078">
        <f t="shared" ca="1" si="366"/>
        <v>0</v>
      </c>
      <c r="CJ201" s="2078">
        <f t="shared" ca="1" si="367"/>
        <v>0</v>
      </c>
      <c r="CK201" s="2078">
        <f t="shared" ca="1" si="368"/>
        <v>0</v>
      </c>
      <c r="CL201" s="2078">
        <f t="shared" ca="1" si="369"/>
        <v>0</v>
      </c>
      <c r="CM201" s="2078">
        <f t="shared" si="413"/>
        <v>1</v>
      </c>
      <c r="CN201" s="2078">
        <f t="shared" si="414"/>
        <v>1</v>
      </c>
      <c r="CO201" s="2078">
        <f t="shared" si="415"/>
        <v>1</v>
      </c>
      <c r="CP201" s="2078">
        <f t="shared" si="370"/>
        <v>1</v>
      </c>
      <c r="CQ201" s="2078">
        <f t="shared" si="416"/>
        <v>0</v>
      </c>
      <c r="CR201" s="2078">
        <f t="shared" si="417"/>
        <v>0</v>
      </c>
      <c r="CS201" s="2078">
        <f t="shared" si="371"/>
        <v>0</v>
      </c>
      <c r="CT201" s="2078">
        <f t="shared" si="418"/>
        <v>1</v>
      </c>
      <c r="CU201" s="2078">
        <f t="shared" si="372"/>
        <v>1</v>
      </c>
      <c r="CV201" s="2078">
        <f t="shared" si="419"/>
        <v>0</v>
      </c>
      <c r="CW201" s="2078">
        <f>IF(OR(AE201&lt;&gt;3,F201="Exclude"),0,IF(ISERROR(MATCH($E201,'4 Sign-off'!$S$123:$X$123,0)),0,1))</f>
        <v>0</v>
      </c>
      <c r="CX201" s="2078">
        <f t="shared" si="373"/>
        <v>0</v>
      </c>
      <c r="CY201" s="2078">
        <f t="shared" si="420"/>
        <v>0</v>
      </c>
      <c r="CZ201" s="2993">
        <f t="shared" ca="1" si="374"/>
        <v>0</v>
      </c>
      <c r="DA201" s="3037">
        <f t="shared" ca="1" si="375"/>
        <v>0</v>
      </c>
      <c r="DB201" s="1664"/>
      <c r="DC201" s="1320"/>
      <c r="DD201" s="589"/>
      <c r="DE201" s="1321"/>
      <c r="DF201" s="107"/>
      <c r="DG201" s="112"/>
      <c r="DH201" s="140"/>
      <c r="DI201" s="22"/>
      <c r="DJ201" s="145"/>
      <c r="DK201" s="137"/>
      <c r="DL201" s="137"/>
      <c r="DM201" s="137"/>
      <c r="DN201" s="137"/>
      <c r="DO201" s="137"/>
      <c r="DP201" s="137"/>
      <c r="DQ201" s="137"/>
      <c r="DR201" s="137"/>
      <c r="DS201" s="137"/>
      <c r="DT201" s="137"/>
      <c r="DU201" s="137"/>
      <c r="DV201" s="137"/>
      <c r="DW201" s="137"/>
      <c r="DX201" s="137"/>
      <c r="DY201" s="137"/>
      <c r="DZ201" s="137"/>
      <c r="EA201" s="137"/>
      <c r="EB201" s="137"/>
      <c r="EC201" s="137"/>
      <c r="ED201" s="137"/>
      <c r="EE201" s="137"/>
      <c r="EF201" s="137"/>
      <c r="EG201" s="137"/>
      <c r="EH201" s="137"/>
      <c r="EI201" s="137"/>
      <c r="EJ201" s="137"/>
      <c r="EK201" s="137"/>
      <c r="EL201" s="137"/>
      <c r="EM201" s="137"/>
      <c r="EN201" s="137"/>
      <c r="EO201" s="137"/>
      <c r="EP201" s="137"/>
      <c r="EQ201" s="137"/>
      <c r="ER201" s="137"/>
      <c r="ES201" s="137"/>
      <c r="ET201" s="137"/>
      <c r="EU201" s="137"/>
      <c r="EV201" s="137"/>
      <c r="EW201" s="137"/>
      <c r="EX201" s="137"/>
      <c r="EY201" s="137"/>
      <c r="EZ201" s="137"/>
      <c r="FA201" s="137"/>
      <c r="FB201" s="137"/>
      <c r="FC201" s="137"/>
      <c r="FD201" s="137"/>
      <c r="FE201" s="137"/>
      <c r="FF201" s="137"/>
      <c r="FG201" s="860"/>
      <c r="FH201" s="1288"/>
      <c r="FI201" s="1318"/>
      <c r="FJ201" s="126"/>
      <c r="FK201" s="127"/>
      <c r="FL201" s="128" t="str">
        <f t="shared" si="376"/>
        <v xml:space="preserve">    </v>
      </c>
      <c r="FM201" s="128"/>
      <c r="FN201" s="1686">
        <f t="shared" si="377"/>
        <v>0</v>
      </c>
      <c r="FO201" s="46">
        <f t="shared" si="421"/>
        <v>0</v>
      </c>
      <c r="FP201" s="46">
        <f t="shared" si="422"/>
        <v>1</v>
      </c>
      <c r="FQ201" s="75">
        <f t="shared" si="378"/>
        <v>0</v>
      </c>
      <c r="FR201" s="46">
        <f t="shared" si="379"/>
        <v>0</v>
      </c>
      <c r="FS201" s="46">
        <f t="shared" si="380"/>
        <v>1</v>
      </c>
      <c r="FT201" s="75">
        <f t="shared" si="381"/>
        <v>0</v>
      </c>
      <c r="FU201" s="2603">
        <f t="shared" si="423"/>
        <v>0</v>
      </c>
      <c r="FV201" s="2607">
        <f t="shared" si="424"/>
        <v>0</v>
      </c>
      <c r="FW201" s="2603">
        <f t="shared" si="425"/>
        <v>0</v>
      </c>
      <c r="FX201" s="2631">
        <f t="shared" si="426"/>
        <v>0</v>
      </c>
      <c r="FY201" s="81" t="e">
        <f t="shared" si="382"/>
        <v>#N/A</v>
      </c>
      <c r="FZ201" s="64" t="e">
        <f t="array" ref="FZ201">MATCH(1,($GT201:$LQ201&gt;0)*$GT$25:$LQ$25,0)</f>
        <v>#N/A</v>
      </c>
      <c r="GA201" s="64" t="e">
        <f t="array" ref="GA201">MATCH(2,1/(GT201:LQ201&gt;0))</f>
        <v>#N/A</v>
      </c>
      <c r="GB201" s="64">
        <f t="shared" si="383"/>
        <v>-1</v>
      </c>
      <c r="GC201" s="46"/>
      <c r="GD201" s="613"/>
      <c r="GE201" s="613"/>
      <c r="GF201" s="613"/>
      <c r="GG201" s="613"/>
      <c r="GH201" s="613"/>
      <c r="GI201" s="613"/>
      <c r="GJ201" s="613"/>
      <c r="GK201" s="613"/>
      <c r="GL201" s="613"/>
      <c r="GM201" s="613"/>
      <c r="GN201" s="385">
        <f t="shared" si="384"/>
        <v>0</v>
      </c>
      <c r="GO201" s="386">
        <f t="shared" si="385"/>
        <v>0</v>
      </c>
      <c r="GP201" s="2635"/>
      <c r="GQ201" s="175"/>
      <c r="GR201" s="172"/>
      <c r="GS201" s="65"/>
      <c r="GT201" s="167"/>
      <c r="GU201" s="168"/>
      <c r="GV201" s="168"/>
      <c r="GW201" s="168"/>
      <c r="GX201" s="168"/>
      <c r="GY201" s="168"/>
      <c r="GZ201" s="168"/>
      <c r="HA201" s="168"/>
      <c r="HB201" s="168"/>
      <c r="HC201" s="168"/>
      <c r="HD201" s="168"/>
      <c r="HE201" s="168"/>
      <c r="HF201" s="168"/>
      <c r="HG201" s="168"/>
      <c r="HH201" s="168"/>
      <c r="HI201" s="168"/>
      <c r="HJ201" s="168"/>
      <c r="HK201" s="168"/>
      <c r="HL201" s="168"/>
      <c r="HM201" s="168"/>
      <c r="HN201" s="168"/>
      <c r="HO201" s="168"/>
      <c r="HP201" s="168"/>
      <c r="HQ201" s="168"/>
      <c r="HR201" s="168"/>
      <c r="HS201" s="168"/>
      <c r="HT201" s="168"/>
      <c r="HU201" s="168"/>
      <c r="HV201" s="168"/>
      <c r="HW201" s="168"/>
      <c r="HX201" s="168"/>
      <c r="HY201" s="168"/>
      <c r="HZ201" s="168"/>
      <c r="IA201" s="168"/>
      <c r="IB201" s="168"/>
      <c r="IC201" s="168"/>
      <c r="ID201" s="168"/>
      <c r="IE201" s="168"/>
      <c r="IF201" s="168"/>
      <c r="IG201" s="168"/>
      <c r="IH201" s="168"/>
      <c r="II201" s="168"/>
      <c r="IJ201" s="168"/>
      <c r="IK201" s="168"/>
      <c r="IL201" s="168"/>
      <c r="IM201" s="168"/>
      <c r="IN201" s="168"/>
      <c r="IO201" s="168"/>
      <c r="IP201" s="168"/>
      <c r="IQ201" s="168"/>
      <c r="IR201" s="168"/>
      <c r="IS201" s="168"/>
      <c r="IT201" s="168"/>
      <c r="IU201" s="168"/>
      <c r="IV201" s="168"/>
      <c r="IW201" s="168"/>
      <c r="IX201" s="168"/>
      <c r="IY201" s="168"/>
      <c r="IZ201" s="168"/>
      <c r="JA201" s="168"/>
      <c r="JB201" s="168"/>
      <c r="JC201" s="168"/>
      <c r="JD201" s="168"/>
      <c r="JE201" s="168"/>
      <c r="JF201" s="168"/>
      <c r="JG201" s="168"/>
      <c r="JH201" s="168"/>
      <c r="JI201" s="168"/>
      <c r="JJ201" s="168"/>
      <c r="JK201" s="168"/>
      <c r="JL201" s="168"/>
      <c r="JM201" s="168"/>
      <c r="JN201" s="168"/>
      <c r="JO201" s="168"/>
      <c r="JP201" s="168"/>
      <c r="JQ201" s="168"/>
      <c r="JR201" s="168"/>
      <c r="JS201" s="168"/>
      <c r="JT201" s="168"/>
      <c r="JU201" s="168"/>
      <c r="JV201" s="168"/>
      <c r="JW201" s="168"/>
      <c r="JX201" s="168"/>
      <c r="JY201" s="168"/>
      <c r="JZ201" s="168"/>
      <c r="KA201" s="168"/>
      <c r="KB201" s="168"/>
      <c r="KC201" s="168"/>
      <c r="KD201" s="168"/>
      <c r="KE201" s="168"/>
      <c r="KF201" s="168"/>
      <c r="KG201" s="168"/>
      <c r="KH201" s="168"/>
      <c r="KI201" s="168"/>
      <c r="KJ201" s="168"/>
      <c r="KK201" s="168"/>
      <c r="KL201" s="168"/>
      <c r="KM201" s="168"/>
      <c r="KN201" s="168"/>
      <c r="KO201" s="168"/>
      <c r="KP201" s="168"/>
      <c r="KQ201" s="168"/>
      <c r="KR201" s="168"/>
      <c r="KS201" s="168"/>
      <c r="KT201" s="168"/>
      <c r="KU201" s="168"/>
      <c r="KV201" s="168"/>
      <c r="KW201" s="168"/>
      <c r="KX201" s="168"/>
      <c r="KY201" s="168"/>
      <c r="KZ201" s="168"/>
      <c r="LA201" s="168"/>
      <c r="LB201" s="168"/>
      <c r="LC201" s="168"/>
      <c r="LD201" s="168"/>
      <c r="LE201" s="168"/>
      <c r="LF201" s="168"/>
      <c r="LG201" s="168"/>
      <c r="LH201" s="168"/>
      <c r="LI201" s="168"/>
      <c r="LJ201" s="168"/>
      <c r="LK201" s="168"/>
      <c r="LL201" s="168"/>
      <c r="LM201" s="168"/>
      <c r="LN201" s="168"/>
      <c r="LO201" s="168"/>
      <c r="LP201" s="606"/>
      <c r="LQ201" s="609"/>
      <c r="LR201" s="1319"/>
      <c r="LS201" s="1319"/>
    </row>
    <row r="202" spans="1:331" s="2" customFormat="1" ht="15" customHeight="1" x14ac:dyDescent="0.25">
      <c r="A202" s="283"/>
      <c r="B202" s="303"/>
      <c r="C202" s="301"/>
      <c r="D202" s="1287"/>
      <c r="E202" s="2298"/>
      <c r="F202" s="1812"/>
      <c r="G202" s="3342"/>
      <c r="H202" s="66"/>
      <c r="I202" s="1746"/>
      <c r="J202" s="1214"/>
      <c r="K202" s="105"/>
      <c r="L202" s="91"/>
      <c r="M202" s="92"/>
      <c r="N202" s="93"/>
      <c r="O202" s="94"/>
      <c r="P202" s="96"/>
      <c r="Q202" s="95"/>
      <c r="R202" s="993">
        <f t="shared" si="325"/>
        <v>0</v>
      </c>
      <c r="S202" s="23">
        <f t="shared" si="326"/>
        <v>0</v>
      </c>
      <c r="T202" s="24">
        <f t="shared" si="327"/>
        <v>0</v>
      </c>
      <c r="U202" s="24">
        <f t="shared" si="328"/>
        <v>0</v>
      </c>
      <c r="V202" s="24">
        <f t="shared" si="329"/>
        <v>0</v>
      </c>
      <c r="W202" s="24">
        <f t="shared" ca="1" si="330"/>
        <v>0</v>
      </c>
      <c r="X202" s="72">
        <f t="shared" ca="1" si="386"/>
        <v>0</v>
      </c>
      <c r="Y202" s="72">
        <f t="shared" si="331"/>
        <v>0</v>
      </c>
      <c r="Z202" s="24">
        <f t="shared" si="332"/>
        <v>0</v>
      </c>
      <c r="AA202" s="72">
        <f t="shared" si="387"/>
        <v>0</v>
      </c>
      <c r="AB202" s="24">
        <f t="shared" si="388"/>
        <v>0</v>
      </c>
      <c r="AC202" s="24">
        <f t="shared" ca="1" si="333"/>
        <v>0</v>
      </c>
      <c r="AD202" s="24">
        <f t="shared" si="389"/>
        <v>0</v>
      </c>
      <c r="AE202" s="2078">
        <f t="shared" si="334"/>
        <v>3</v>
      </c>
      <c r="AF202" s="2078">
        <f t="shared" si="335"/>
        <v>0</v>
      </c>
      <c r="AG202" s="2078">
        <f t="shared" si="336"/>
        <v>0</v>
      </c>
      <c r="AH202" s="2521">
        <f t="shared" si="390"/>
        <v>1</v>
      </c>
      <c r="AI202" s="25" t="str">
        <f t="shared" si="337"/>
        <v/>
      </c>
      <c r="AJ202" s="2521">
        <f t="shared" ca="1" si="391"/>
        <v>0</v>
      </c>
      <c r="AK202" s="2076">
        <f t="shared" ca="1" si="392"/>
        <v>0</v>
      </c>
      <c r="AL202" s="2078">
        <f>IF(ISBLANK(J202),0,ISERROR(MATCH(J202,'5  Control Accounts'!$FA$29:$FA$96,0))*1)</f>
        <v>0</v>
      </c>
      <c r="AM202" s="2076">
        <f t="shared" si="338"/>
        <v>0</v>
      </c>
      <c r="AN202" s="2078">
        <f t="shared" si="339"/>
        <v>1</v>
      </c>
      <c r="AO202" s="2079">
        <f t="shared" si="393"/>
        <v>1</v>
      </c>
      <c r="AP202" s="2079">
        <f t="shared" si="394"/>
        <v>0</v>
      </c>
      <c r="AQ202" s="2079">
        <f t="shared" si="395"/>
        <v>0</v>
      </c>
      <c r="AR202" s="2079">
        <f t="shared" si="396"/>
        <v>0</v>
      </c>
      <c r="AS202" s="2079">
        <f t="shared" si="397"/>
        <v>0</v>
      </c>
      <c r="AT202" s="2079">
        <f t="shared" si="398"/>
        <v>0</v>
      </c>
      <c r="AU202" s="2079">
        <f t="shared" si="399"/>
        <v>0</v>
      </c>
      <c r="AV202" s="2079">
        <f t="shared" si="400"/>
        <v>0</v>
      </c>
      <c r="AW202" s="2079">
        <f t="shared" si="401"/>
        <v>0</v>
      </c>
      <c r="AX202" s="2079">
        <f t="shared" si="402"/>
        <v>0</v>
      </c>
      <c r="AY202" s="2078">
        <f t="shared" si="340"/>
        <v>0</v>
      </c>
      <c r="AZ202" s="2078">
        <f t="shared" si="341"/>
        <v>0</v>
      </c>
      <c r="BA202" s="2078">
        <f t="shared" si="342"/>
        <v>0</v>
      </c>
      <c r="BB202" s="2078">
        <f t="shared" si="343"/>
        <v>0</v>
      </c>
      <c r="BC202" s="2078">
        <f t="shared" si="344"/>
        <v>0</v>
      </c>
      <c r="BD202" s="2078">
        <f t="shared" si="345"/>
        <v>0</v>
      </c>
      <c r="BE202" s="2078">
        <f t="shared" si="346"/>
        <v>0</v>
      </c>
      <c r="BF202" s="2078">
        <f t="shared" si="347"/>
        <v>0</v>
      </c>
      <c r="BG202" s="2078">
        <f t="shared" si="348"/>
        <v>0</v>
      </c>
      <c r="BH202" s="2078">
        <f t="shared" si="349"/>
        <v>0</v>
      </c>
      <c r="BI202" s="2078">
        <f t="shared" si="350"/>
        <v>0</v>
      </c>
      <c r="BJ202" s="2078">
        <f t="shared" si="351"/>
        <v>0</v>
      </c>
      <c r="BK202" s="2078">
        <f t="shared" si="352"/>
        <v>0</v>
      </c>
      <c r="BL202" s="2078">
        <f t="shared" si="353"/>
        <v>0</v>
      </c>
      <c r="BM202" s="2078">
        <f t="shared" si="354"/>
        <v>0</v>
      </c>
      <c r="BN202" s="2078">
        <f t="shared" si="355"/>
        <v>0</v>
      </c>
      <c r="BO202" s="2078">
        <f t="shared" si="356"/>
        <v>0</v>
      </c>
      <c r="BP202" s="2078">
        <f t="shared" si="357"/>
        <v>0</v>
      </c>
      <c r="BQ202" s="2078">
        <f t="shared" si="358"/>
        <v>0</v>
      </c>
      <c r="BR202" s="2078">
        <f t="shared" si="359"/>
        <v>0</v>
      </c>
      <c r="BS202" s="2079">
        <f t="shared" si="403"/>
        <v>1</v>
      </c>
      <c r="BT202" s="2079">
        <f t="shared" si="404"/>
        <v>0</v>
      </c>
      <c r="BU202" s="2079">
        <f t="shared" si="405"/>
        <v>0</v>
      </c>
      <c r="BV202" s="2079">
        <f t="shared" si="406"/>
        <v>0</v>
      </c>
      <c r="BW202" s="2079">
        <f t="shared" si="407"/>
        <v>0</v>
      </c>
      <c r="BX202" s="2079">
        <f t="shared" si="408"/>
        <v>0</v>
      </c>
      <c r="BY202" s="2079">
        <f t="shared" si="409"/>
        <v>0</v>
      </c>
      <c r="BZ202" s="2079">
        <f t="shared" si="410"/>
        <v>0</v>
      </c>
      <c r="CA202" s="2079">
        <f t="shared" si="411"/>
        <v>0</v>
      </c>
      <c r="CB202" s="2079">
        <f t="shared" si="412"/>
        <v>0</v>
      </c>
      <c r="CC202" s="2078">
        <f t="shared" ca="1" si="360"/>
        <v>0</v>
      </c>
      <c r="CD202" s="2078">
        <f t="shared" ca="1" si="361"/>
        <v>0</v>
      </c>
      <c r="CE202" s="2078">
        <f t="shared" ca="1" si="362"/>
        <v>0</v>
      </c>
      <c r="CF202" s="2078">
        <f t="shared" ca="1" si="363"/>
        <v>0</v>
      </c>
      <c r="CG202" s="2078">
        <f t="shared" ca="1" si="364"/>
        <v>0</v>
      </c>
      <c r="CH202" s="2078">
        <f t="shared" ca="1" si="365"/>
        <v>0</v>
      </c>
      <c r="CI202" s="2078">
        <f t="shared" ca="1" si="366"/>
        <v>0</v>
      </c>
      <c r="CJ202" s="2078">
        <f t="shared" ca="1" si="367"/>
        <v>0</v>
      </c>
      <c r="CK202" s="2078">
        <f t="shared" ca="1" si="368"/>
        <v>0</v>
      </c>
      <c r="CL202" s="2078">
        <f t="shared" ca="1" si="369"/>
        <v>0</v>
      </c>
      <c r="CM202" s="2078">
        <f t="shared" si="413"/>
        <v>1</v>
      </c>
      <c r="CN202" s="2078">
        <f t="shared" si="414"/>
        <v>1</v>
      </c>
      <c r="CO202" s="2078">
        <f t="shared" si="415"/>
        <v>1</v>
      </c>
      <c r="CP202" s="2078">
        <f t="shared" si="370"/>
        <v>1</v>
      </c>
      <c r="CQ202" s="2078">
        <f t="shared" si="416"/>
        <v>0</v>
      </c>
      <c r="CR202" s="2078">
        <f t="shared" si="417"/>
        <v>0</v>
      </c>
      <c r="CS202" s="2078">
        <f t="shared" si="371"/>
        <v>0</v>
      </c>
      <c r="CT202" s="2078">
        <f t="shared" si="418"/>
        <v>1</v>
      </c>
      <c r="CU202" s="2078">
        <f t="shared" si="372"/>
        <v>1</v>
      </c>
      <c r="CV202" s="2078">
        <f t="shared" si="419"/>
        <v>0</v>
      </c>
      <c r="CW202" s="2078">
        <f>IF(OR(AE202&lt;&gt;3,F202="Exclude"),0,IF(ISERROR(MATCH($E202,'4 Sign-off'!$S$123:$X$123,0)),0,1))</f>
        <v>0</v>
      </c>
      <c r="CX202" s="2078">
        <f t="shared" si="373"/>
        <v>0</v>
      </c>
      <c r="CY202" s="2078">
        <f t="shared" si="420"/>
        <v>0</v>
      </c>
      <c r="CZ202" s="2993">
        <f t="shared" ca="1" si="374"/>
        <v>0</v>
      </c>
      <c r="DA202" s="3037">
        <f t="shared" ca="1" si="375"/>
        <v>0</v>
      </c>
      <c r="DB202" s="1664"/>
      <c r="DC202" s="1320"/>
      <c r="DD202" s="589"/>
      <c r="DE202" s="1321"/>
      <c r="DF202" s="107"/>
      <c r="DG202" s="112"/>
      <c r="DH202" s="140"/>
      <c r="DI202" s="22"/>
      <c r="DJ202" s="145"/>
      <c r="DK202" s="137"/>
      <c r="DL202" s="137"/>
      <c r="DM202" s="137"/>
      <c r="DN202" s="137"/>
      <c r="DO202" s="137"/>
      <c r="DP202" s="137"/>
      <c r="DQ202" s="137"/>
      <c r="DR202" s="137"/>
      <c r="DS202" s="137"/>
      <c r="DT202" s="137"/>
      <c r="DU202" s="137"/>
      <c r="DV202" s="137"/>
      <c r="DW202" s="137"/>
      <c r="DX202" s="137"/>
      <c r="DY202" s="137"/>
      <c r="DZ202" s="137"/>
      <c r="EA202" s="137"/>
      <c r="EB202" s="137"/>
      <c r="EC202" s="137"/>
      <c r="ED202" s="137"/>
      <c r="EE202" s="137"/>
      <c r="EF202" s="137"/>
      <c r="EG202" s="137"/>
      <c r="EH202" s="137"/>
      <c r="EI202" s="137"/>
      <c r="EJ202" s="137"/>
      <c r="EK202" s="137"/>
      <c r="EL202" s="137"/>
      <c r="EM202" s="137"/>
      <c r="EN202" s="137"/>
      <c r="EO202" s="137"/>
      <c r="EP202" s="137"/>
      <c r="EQ202" s="137"/>
      <c r="ER202" s="137"/>
      <c r="ES202" s="137"/>
      <c r="ET202" s="137"/>
      <c r="EU202" s="137"/>
      <c r="EV202" s="137"/>
      <c r="EW202" s="137"/>
      <c r="EX202" s="137"/>
      <c r="EY202" s="137"/>
      <c r="EZ202" s="137"/>
      <c r="FA202" s="137"/>
      <c r="FB202" s="137"/>
      <c r="FC202" s="137"/>
      <c r="FD202" s="137"/>
      <c r="FE202" s="137"/>
      <c r="FF202" s="137"/>
      <c r="FG202" s="860"/>
      <c r="FH202" s="1288"/>
      <c r="FI202" s="1318"/>
      <c r="FJ202" s="126"/>
      <c r="FK202" s="127"/>
      <c r="FL202" s="128" t="str">
        <f t="shared" si="376"/>
        <v xml:space="preserve">    </v>
      </c>
      <c r="FM202" s="128"/>
      <c r="FN202" s="1686">
        <f t="shared" si="377"/>
        <v>0</v>
      </c>
      <c r="FO202" s="46">
        <f t="shared" si="421"/>
        <v>0</v>
      </c>
      <c r="FP202" s="46">
        <f t="shared" si="422"/>
        <v>1</v>
      </c>
      <c r="FQ202" s="75">
        <f t="shared" si="378"/>
        <v>0</v>
      </c>
      <c r="FR202" s="46">
        <f t="shared" si="379"/>
        <v>0</v>
      </c>
      <c r="FS202" s="46">
        <f t="shared" si="380"/>
        <v>1</v>
      </c>
      <c r="FT202" s="75">
        <f t="shared" si="381"/>
        <v>0</v>
      </c>
      <c r="FU202" s="2603">
        <f t="shared" si="423"/>
        <v>0</v>
      </c>
      <c r="FV202" s="2607">
        <f t="shared" si="424"/>
        <v>0</v>
      </c>
      <c r="FW202" s="2603">
        <f t="shared" si="425"/>
        <v>0</v>
      </c>
      <c r="FX202" s="2631">
        <f t="shared" si="426"/>
        <v>0</v>
      </c>
      <c r="FY202" s="81" t="e">
        <f t="shared" si="382"/>
        <v>#N/A</v>
      </c>
      <c r="FZ202" s="64" t="e">
        <f t="array" ref="FZ202">MATCH(1,($GT202:$LQ202&gt;0)*$GT$25:$LQ$25,0)</f>
        <v>#N/A</v>
      </c>
      <c r="GA202" s="64" t="e">
        <f t="array" ref="GA202">MATCH(2,1/(GT202:LQ202&gt;0))</f>
        <v>#N/A</v>
      </c>
      <c r="GB202" s="64">
        <f t="shared" si="383"/>
        <v>-1</v>
      </c>
      <c r="GC202" s="46"/>
      <c r="GD202" s="613"/>
      <c r="GE202" s="613"/>
      <c r="GF202" s="613"/>
      <c r="GG202" s="613"/>
      <c r="GH202" s="613"/>
      <c r="GI202" s="613"/>
      <c r="GJ202" s="613"/>
      <c r="GK202" s="613"/>
      <c r="GL202" s="613"/>
      <c r="GM202" s="613"/>
      <c r="GN202" s="385">
        <f t="shared" si="384"/>
        <v>0</v>
      </c>
      <c r="GO202" s="386">
        <f t="shared" si="385"/>
        <v>0</v>
      </c>
      <c r="GP202" s="2635"/>
      <c r="GQ202" s="175"/>
      <c r="GR202" s="172"/>
      <c r="GS202" s="65"/>
      <c r="GT202" s="167"/>
      <c r="GU202" s="168"/>
      <c r="GV202" s="168"/>
      <c r="GW202" s="168"/>
      <c r="GX202" s="168"/>
      <c r="GY202" s="168"/>
      <c r="GZ202" s="168"/>
      <c r="HA202" s="168"/>
      <c r="HB202" s="168"/>
      <c r="HC202" s="168"/>
      <c r="HD202" s="168"/>
      <c r="HE202" s="168"/>
      <c r="HF202" s="168"/>
      <c r="HG202" s="168"/>
      <c r="HH202" s="168"/>
      <c r="HI202" s="168"/>
      <c r="HJ202" s="168"/>
      <c r="HK202" s="168"/>
      <c r="HL202" s="168"/>
      <c r="HM202" s="168"/>
      <c r="HN202" s="168"/>
      <c r="HO202" s="168"/>
      <c r="HP202" s="168"/>
      <c r="HQ202" s="168"/>
      <c r="HR202" s="168"/>
      <c r="HS202" s="168"/>
      <c r="HT202" s="168"/>
      <c r="HU202" s="168"/>
      <c r="HV202" s="168"/>
      <c r="HW202" s="168"/>
      <c r="HX202" s="168"/>
      <c r="HY202" s="168"/>
      <c r="HZ202" s="168"/>
      <c r="IA202" s="168"/>
      <c r="IB202" s="168"/>
      <c r="IC202" s="168"/>
      <c r="ID202" s="168"/>
      <c r="IE202" s="168"/>
      <c r="IF202" s="168"/>
      <c r="IG202" s="168"/>
      <c r="IH202" s="168"/>
      <c r="II202" s="168"/>
      <c r="IJ202" s="168"/>
      <c r="IK202" s="168"/>
      <c r="IL202" s="168"/>
      <c r="IM202" s="168"/>
      <c r="IN202" s="168"/>
      <c r="IO202" s="168"/>
      <c r="IP202" s="168"/>
      <c r="IQ202" s="168"/>
      <c r="IR202" s="168"/>
      <c r="IS202" s="168"/>
      <c r="IT202" s="168"/>
      <c r="IU202" s="168"/>
      <c r="IV202" s="168"/>
      <c r="IW202" s="168"/>
      <c r="IX202" s="168"/>
      <c r="IY202" s="168"/>
      <c r="IZ202" s="168"/>
      <c r="JA202" s="168"/>
      <c r="JB202" s="168"/>
      <c r="JC202" s="168"/>
      <c r="JD202" s="168"/>
      <c r="JE202" s="168"/>
      <c r="JF202" s="168"/>
      <c r="JG202" s="168"/>
      <c r="JH202" s="168"/>
      <c r="JI202" s="168"/>
      <c r="JJ202" s="168"/>
      <c r="JK202" s="168"/>
      <c r="JL202" s="168"/>
      <c r="JM202" s="168"/>
      <c r="JN202" s="168"/>
      <c r="JO202" s="168"/>
      <c r="JP202" s="168"/>
      <c r="JQ202" s="168"/>
      <c r="JR202" s="168"/>
      <c r="JS202" s="168"/>
      <c r="JT202" s="168"/>
      <c r="JU202" s="168"/>
      <c r="JV202" s="168"/>
      <c r="JW202" s="168"/>
      <c r="JX202" s="168"/>
      <c r="JY202" s="168"/>
      <c r="JZ202" s="168"/>
      <c r="KA202" s="168"/>
      <c r="KB202" s="168"/>
      <c r="KC202" s="168"/>
      <c r="KD202" s="168"/>
      <c r="KE202" s="168"/>
      <c r="KF202" s="168"/>
      <c r="KG202" s="168"/>
      <c r="KH202" s="168"/>
      <c r="KI202" s="168"/>
      <c r="KJ202" s="168"/>
      <c r="KK202" s="168"/>
      <c r="KL202" s="168"/>
      <c r="KM202" s="168"/>
      <c r="KN202" s="168"/>
      <c r="KO202" s="168"/>
      <c r="KP202" s="168"/>
      <c r="KQ202" s="168"/>
      <c r="KR202" s="168"/>
      <c r="KS202" s="168"/>
      <c r="KT202" s="168"/>
      <c r="KU202" s="168"/>
      <c r="KV202" s="168"/>
      <c r="KW202" s="168"/>
      <c r="KX202" s="168"/>
      <c r="KY202" s="168"/>
      <c r="KZ202" s="168"/>
      <c r="LA202" s="168"/>
      <c r="LB202" s="168"/>
      <c r="LC202" s="168"/>
      <c r="LD202" s="168"/>
      <c r="LE202" s="168"/>
      <c r="LF202" s="168"/>
      <c r="LG202" s="168"/>
      <c r="LH202" s="168"/>
      <c r="LI202" s="168"/>
      <c r="LJ202" s="168"/>
      <c r="LK202" s="168"/>
      <c r="LL202" s="168"/>
      <c r="LM202" s="168"/>
      <c r="LN202" s="168"/>
      <c r="LO202" s="168"/>
      <c r="LP202" s="606"/>
      <c r="LQ202" s="609"/>
      <c r="LR202" s="1319"/>
      <c r="LS202" s="1319"/>
    </row>
    <row r="203" spans="1:331" s="2" customFormat="1" ht="15" customHeight="1" x14ac:dyDescent="0.25">
      <c r="A203" s="283"/>
      <c r="B203" s="303"/>
      <c r="C203" s="301"/>
      <c r="D203" s="1287"/>
      <c r="E203" s="2298"/>
      <c r="F203" s="1812"/>
      <c r="G203" s="3342"/>
      <c r="H203" s="66"/>
      <c r="I203" s="1746"/>
      <c r="J203" s="1214"/>
      <c r="K203" s="105"/>
      <c r="L203" s="91"/>
      <c r="M203" s="92"/>
      <c r="N203" s="93"/>
      <c r="O203" s="94"/>
      <c r="P203" s="96"/>
      <c r="Q203" s="95"/>
      <c r="R203" s="993">
        <f t="shared" si="325"/>
        <v>0</v>
      </c>
      <c r="S203" s="23">
        <f t="shared" si="326"/>
        <v>0</v>
      </c>
      <c r="T203" s="24">
        <f t="shared" si="327"/>
        <v>0</v>
      </c>
      <c r="U203" s="24">
        <f t="shared" si="328"/>
        <v>0</v>
      </c>
      <c r="V203" s="24">
        <f t="shared" si="329"/>
        <v>0</v>
      </c>
      <c r="W203" s="24">
        <f t="shared" ca="1" si="330"/>
        <v>0</v>
      </c>
      <c r="X203" s="72">
        <f t="shared" ca="1" si="386"/>
        <v>0</v>
      </c>
      <c r="Y203" s="72">
        <f t="shared" si="331"/>
        <v>0</v>
      </c>
      <c r="Z203" s="24">
        <f t="shared" si="332"/>
        <v>0</v>
      </c>
      <c r="AA203" s="72">
        <f t="shared" si="387"/>
        <v>0</v>
      </c>
      <c r="AB203" s="24">
        <f t="shared" si="388"/>
        <v>0</v>
      </c>
      <c r="AC203" s="24">
        <f t="shared" ca="1" si="333"/>
        <v>0</v>
      </c>
      <c r="AD203" s="24">
        <f t="shared" si="389"/>
        <v>0</v>
      </c>
      <c r="AE203" s="2078">
        <f t="shared" si="334"/>
        <v>3</v>
      </c>
      <c r="AF203" s="2078">
        <f t="shared" si="335"/>
        <v>0</v>
      </c>
      <c r="AG203" s="2078">
        <f t="shared" si="336"/>
        <v>0</v>
      </c>
      <c r="AH203" s="2521">
        <f t="shared" si="390"/>
        <v>1</v>
      </c>
      <c r="AI203" s="25" t="str">
        <f t="shared" si="337"/>
        <v/>
      </c>
      <c r="AJ203" s="2521">
        <f t="shared" ca="1" si="391"/>
        <v>0</v>
      </c>
      <c r="AK203" s="2076">
        <f t="shared" ca="1" si="392"/>
        <v>0</v>
      </c>
      <c r="AL203" s="2078">
        <f>IF(ISBLANK(J203),0,ISERROR(MATCH(J203,'5  Control Accounts'!$FA$29:$FA$96,0))*1)</f>
        <v>0</v>
      </c>
      <c r="AM203" s="2076">
        <f t="shared" si="338"/>
        <v>0</v>
      </c>
      <c r="AN203" s="2078">
        <f t="shared" si="339"/>
        <v>1</v>
      </c>
      <c r="AO203" s="2079">
        <f t="shared" si="393"/>
        <v>1</v>
      </c>
      <c r="AP203" s="2079">
        <f t="shared" si="394"/>
        <v>0</v>
      </c>
      <c r="AQ203" s="2079">
        <f t="shared" si="395"/>
        <v>0</v>
      </c>
      <c r="AR203" s="2079">
        <f t="shared" si="396"/>
        <v>0</v>
      </c>
      <c r="AS203" s="2079">
        <f t="shared" si="397"/>
        <v>0</v>
      </c>
      <c r="AT203" s="2079">
        <f t="shared" si="398"/>
        <v>0</v>
      </c>
      <c r="AU203" s="2079">
        <f t="shared" si="399"/>
        <v>0</v>
      </c>
      <c r="AV203" s="2079">
        <f t="shared" si="400"/>
        <v>0</v>
      </c>
      <c r="AW203" s="2079">
        <f t="shared" si="401"/>
        <v>0</v>
      </c>
      <c r="AX203" s="2079">
        <f t="shared" si="402"/>
        <v>0</v>
      </c>
      <c r="AY203" s="2078">
        <f t="shared" si="340"/>
        <v>0</v>
      </c>
      <c r="AZ203" s="2078">
        <f t="shared" si="341"/>
        <v>0</v>
      </c>
      <c r="BA203" s="2078">
        <f t="shared" si="342"/>
        <v>0</v>
      </c>
      <c r="BB203" s="2078">
        <f t="shared" si="343"/>
        <v>0</v>
      </c>
      <c r="BC203" s="2078">
        <f t="shared" si="344"/>
        <v>0</v>
      </c>
      <c r="BD203" s="2078">
        <f t="shared" si="345"/>
        <v>0</v>
      </c>
      <c r="BE203" s="2078">
        <f t="shared" si="346"/>
        <v>0</v>
      </c>
      <c r="BF203" s="2078">
        <f t="shared" si="347"/>
        <v>0</v>
      </c>
      <c r="BG203" s="2078">
        <f t="shared" si="348"/>
        <v>0</v>
      </c>
      <c r="BH203" s="2078">
        <f t="shared" si="349"/>
        <v>0</v>
      </c>
      <c r="BI203" s="2078">
        <f t="shared" si="350"/>
        <v>0</v>
      </c>
      <c r="BJ203" s="2078">
        <f t="shared" si="351"/>
        <v>0</v>
      </c>
      <c r="BK203" s="2078">
        <f t="shared" si="352"/>
        <v>0</v>
      </c>
      <c r="BL203" s="2078">
        <f t="shared" si="353"/>
        <v>0</v>
      </c>
      <c r="BM203" s="2078">
        <f t="shared" si="354"/>
        <v>0</v>
      </c>
      <c r="BN203" s="2078">
        <f t="shared" si="355"/>
        <v>0</v>
      </c>
      <c r="BO203" s="2078">
        <f t="shared" si="356"/>
        <v>0</v>
      </c>
      <c r="BP203" s="2078">
        <f t="shared" si="357"/>
        <v>0</v>
      </c>
      <c r="BQ203" s="2078">
        <f t="shared" si="358"/>
        <v>0</v>
      </c>
      <c r="BR203" s="2078">
        <f t="shared" si="359"/>
        <v>0</v>
      </c>
      <c r="BS203" s="2079">
        <f t="shared" si="403"/>
        <v>1</v>
      </c>
      <c r="BT203" s="2079">
        <f t="shared" si="404"/>
        <v>0</v>
      </c>
      <c r="BU203" s="2079">
        <f t="shared" si="405"/>
        <v>0</v>
      </c>
      <c r="BV203" s="2079">
        <f t="shared" si="406"/>
        <v>0</v>
      </c>
      <c r="BW203" s="2079">
        <f t="shared" si="407"/>
        <v>0</v>
      </c>
      <c r="BX203" s="2079">
        <f t="shared" si="408"/>
        <v>0</v>
      </c>
      <c r="BY203" s="2079">
        <f t="shared" si="409"/>
        <v>0</v>
      </c>
      <c r="BZ203" s="2079">
        <f t="shared" si="410"/>
        <v>0</v>
      </c>
      <c r="CA203" s="2079">
        <f t="shared" si="411"/>
        <v>0</v>
      </c>
      <c r="CB203" s="2079">
        <f t="shared" si="412"/>
        <v>0</v>
      </c>
      <c r="CC203" s="2078">
        <f t="shared" ca="1" si="360"/>
        <v>0</v>
      </c>
      <c r="CD203" s="2078">
        <f t="shared" ca="1" si="361"/>
        <v>0</v>
      </c>
      <c r="CE203" s="2078">
        <f t="shared" ca="1" si="362"/>
        <v>0</v>
      </c>
      <c r="CF203" s="2078">
        <f t="shared" ca="1" si="363"/>
        <v>0</v>
      </c>
      <c r="CG203" s="2078">
        <f t="shared" ca="1" si="364"/>
        <v>0</v>
      </c>
      <c r="CH203" s="2078">
        <f t="shared" ca="1" si="365"/>
        <v>0</v>
      </c>
      <c r="CI203" s="2078">
        <f t="shared" ca="1" si="366"/>
        <v>0</v>
      </c>
      <c r="CJ203" s="2078">
        <f t="shared" ca="1" si="367"/>
        <v>0</v>
      </c>
      <c r="CK203" s="2078">
        <f t="shared" ca="1" si="368"/>
        <v>0</v>
      </c>
      <c r="CL203" s="2078">
        <f t="shared" ca="1" si="369"/>
        <v>0</v>
      </c>
      <c r="CM203" s="2078">
        <f t="shared" si="413"/>
        <v>1</v>
      </c>
      <c r="CN203" s="2078">
        <f t="shared" si="414"/>
        <v>1</v>
      </c>
      <c r="CO203" s="2078">
        <f t="shared" si="415"/>
        <v>1</v>
      </c>
      <c r="CP203" s="2078">
        <f t="shared" si="370"/>
        <v>1</v>
      </c>
      <c r="CQ203" s="2078">
        <f t="shared" si="416"/>
        <v>0</v>
      </c>
      <c r="CR203" s="2078">
        <f t="shared" si="417"/>
        <v>0</v>
      </c>
      <c r="CS203" s="2078">
        <f t="shared" si="371"/>
        <v>0</v>
      </c>
      <c r="CT203" s="2078">
        <f t="shared" si="418"/>
        <v>1</v>
      </c>
      <c r="CU203" s="2078">
        <f t="shared" si="372"/>
        <v>1</v>
      </c>
      <c r="CV203" s="2078">
        <f t="shared" si="419"/>
        <v>0</v>
      </c>
      <c r="CW203" s="2078">
        <f>IF(OR(AE203&lt;&gt;3,F203="Exclude"),0,IF(ISERROR(MATCH($E203,'4 Sign-off'!$S$123:$X$123,0)),0,1))</f>
        <v>0</v>
      </c>
      <c r="CX203" s="2078">
        <f t="shared" si="373"/>
        <v>0</v>
      </c>
      <c r="CY203" s="2078">
        <f t="shared" si="420"/>
        <v>0</v>
      </c>
      <c r="CZ203" s="2993">
        <f t="shared" ca="1" si="374"/>
        <v>0</v>
      </c>
      <c r="DA203" s="3037">
        <f t="shared" ca="1" si="375"/>
        <v>0</v>
      </c>
      <c r="DB203" s="1664"/>
      <c r="DC203" s="1320"/>
      <c r="DD203" s="589"/>
      <c r="DE203" s="1321"/>
      <c r="DF203" s="107"/>
      <c r="DG203" s="112"/>
      <c r="DH203" s="140"/>
      <c r="DI203" s="22"/>
      <c r="DJ203" s="145"/>
      <c r="DK203" s="137"/>
      <c r="DL203" s="137"/>
      <c r="DM203" s="137"/>
      <c r="DN203" s="137"/>
      <c r="DO203" s="137"/>
      <c r="DP203" s="137"/>
      <c r="DQ203" s="137"/>
      <c r="DR203" s="137"/>
      <c r="DS203" s="137"/>
      <c r="DT203" s="137"/>
      <c r="DU203" s="137"/>
      <c r="DV203" s="137"/>
      <c r="DW203" s="137"/>
      <c r="DX203" s="137"/>
      <c r="DY203" s="137"/>
      <c r="DZ203" s="137"/>
      <c r="EA203" s="137"/>
      <c r="EB203" s="137"/>
      <c r="EC203" s="137"/>
      <c r="ED203" s="137"/>
      <c r="EE203" s="137"/>
      <c r="EF203" s="137"/>
      <c r="EG203" s="137"/>
      <c r="EH203" s="137"/>
      <c r="EI203" s="137"/>
      <c r="EJ203" s="137"/>
      <c r="EK203" s="137"/>
      <c r="EL203" s="137"/>
      <c r="EM203" s="137"/>
      <c r="EN203" s="137"/>
      <c r="EO203" s="137"/>
      <c r="EP203" s="137"/>
      <c r="EQ203" s="137"/>
      <c r="ER203" s="137"/>
      <c r="ES203" s="137"/>
      <c r="ET203" s="137"/>
      <c r="EU203" s="137"/>
      <c r="EV203" s="137"/>
      <c r="EW203" s="137"/>
      <c r="EX203" s="137"/>
      <c r="EY203" s="137"/>
      <c r="EZ203" s="137"/>
      <c r="FA203" s="137"/>
      <c r="FB203" s="137"/>
      <c r="FC203" s="137"/>
      <c r="FD203" s="137"/>
      <c r="FE203" s="137"/>
      <c r="FF203" s="137"/>
      <c r="FG203" s="860"/>
      <c r="FH203" s="1288"/>
      <c r="FI203" s="1318"/>
      <c r="FJ203" s="126"/>
      <c r="FK203" s="127"/>
      <c r="FL203" s="128" t="str">
        <f t="shared" si="376"/>
        <v xml:space="preserve">    </v>
      </c>
      <c r="FM203" s="128"/>
      <c r="FN203" s="1686">
        <f t="shared" si="377"/>
        <v>0</v>
      </c>
      <c r="FO203" s="46">
        <f t="shared" si="421"/>
        <v>0</v>
      </c>
      <c r="FP203" s="46">
        <f t="shared" si="422"/>
        <v>1</v>
      </c>
      <c r="FQ203" s="75">
        <f t="shared" si="378"/>
        <v>0</v>
      </c>
      <c r="FR203" s="46">
        <f t="shared" si="379"/>
        <v>0</v>
      </c>
      <c r="FS203" s="46">
        <f t="shared" si="380"/>
        <v>1</v>
      </c>
      <c r="FT203" s="75">
        <f t="shared" si="381"/>
        <v>0</v>
      </c>
      <c r="FU203" s="2603">
        <f t="shared" si="423"/>
        <v>0</v>
      </c>
      <c r="FV203" s="2607">
        <f t="shared" si="424"/>
        <v>0</v>
      </c>
      <c r="FW203" s="2603">
        <f t="shared" si="425"/>
        <v>0</v>
      </c>
      <c r="FX203" s="2631">
        <f t="shared" si="426"/>
        <v>0</v>
      </c>
      <c r="FY203" s="81" t="e">
        <f t="shared" si="382"/>
        <v>#N/A</v>
      </c>
      <c r="FZ203" s="64" t="e">
        <f t="array" ref="FZ203">MATCH(1,($GT203:$LQ203&gt;0)*$GT$25:$LQ$25,0)</f>
        <v>#N/A</v>
      </c>
      <c r="GA203" s="64" t="e">
        <f t="array" ref="GA203">MATCH(2,1/(GT203:LQ203&gt;0))</f>
        <v>#N/A</v>
      </c>
      <c r="GB203" s="64">
        <f t="shared" si="383"/>
        <v>-1</v>
      </c>
      <c r="GC203" s="46"/>
      <c r="GD203" s="613"/>
      <c r="GE203" s="613"/>
      <c r="GF203" s="613"/>
      <c r="GG203" s="613"/>
      <c r="GH203" s="613"/>
      <c r="GI203" s="613"/>
      <c r="GJ203" s="613"/>
      <c r="GK203" s="613"/>
      <c r="GL203" s="613"/>
      <c r="GM203" s="613"/>
      <c r="GN203" s="385">
        <f t="shared" si="384"/>
        <v>0</v>
      </c>
      <c r="GO203" s="386">
        <f t="shared" si="385"/>
        <v>0</v>
      </c>
      <c r="GP203" s="2635"/>
      <c r="GQ203" s="175"/>
      <c r="GR203" s="172"/>
      <c r="GS203" s="65"/>
      <c r="GT203" s="167"/>
      <c r="GU203" s="168"/>
      <c r="GV203" s="168"/>
      <c r="GW203" s="168"/>
      <c r="GX203" s="168"/>
      <c r="GY203" s="168"/>
      <c r="GZ203" s="168"/>
      <c r="HA203" s="168"/>
      <c r="HB203" s="168"/>
      <c r="HC203" s="168"/>
      <c r="HD203" s="168"/>
      <c r="HE203" s="168"/>
      <c r="HF203" s="168"/>
      <c r="HG203" s="168"/>
      <c r="HH203" s="168"/>
      <c r="HI203" s="168"/>
      <c r="HJ203" s="168"/>
      <c r="HK203" s="168"/>
      <c r="HL203" s="168"/>
      <c r="HM203" s="168"/>
      <c r="HN203" s="168"/>
      <c r="HO203" s="168"/>
      <c r="HP203" s="168"/>
      <c r="HQ203" s="168"/>
      <c r="HR203" s="168"/>
      <c r="HS203" s="168"/>
      <c r="HT203" s="168"/>
      <c r="HU203" s="168"/>
      <c r="HV203" s="168"/>
      <c r="HW203" s="168"/>
      <c r="HX203" s="168"/>
      <c r="HY203" s="168"/>
      <c r="HZ203" s="168"/>
      <c r="IA203" s="168"/>
      <c r="IB203" s="168"/>
      <c r="IC203" s="168"/>
      <c r="ID203" s="168"/>
      <c r="IE203" s="168"/>
      <c r="IF203" s="168"/>
      <c r="IG203" s="168"/>
      <c r="IH203" s="168"/>
      <c r="II203" s="168"/>
      <c r="IJ203" s="168"/>
      <c r="IK203" s="168"/>
      <c r="IL203" s="168"/>
      <c r="IM203" s="168"/>
      <c r="IN203" s="168"/>
      <c r="IO203" s="168"/>
      <c r="IP203" s="168"/>
      <c r="IQ203" s="168"/>
      <c r="IR203" s="168"/>
      <c r="IS203" s="168"/>
      <c r="IT203" s="168"/>
      <c r="IU203" s="168"/>
      <c r="IV203" s="168"/>
      <c r="IW203" s="168"/>
      <c r="IX203" s="168"/>
      <c r="IY203" s="168"/>
      <c r="IZ203" s="168"/>
      <c r="JA203" s="168"/>
      <c r="JB203" s="168"/>
      <c r="JC203" s="168"/>
      <c r="JD203" s="168"/>
      <c r="JE203" s="168"/>
      <c r="JF203" s="168"/>
      <c r="JG203" s="168"/>
      <c r="JH203" s="168"/>
      <c r="JI203" s="168"/>
      <c r="JJ203" s="168"/>
      <c r="JK203" s="168"/>
      <c r="JL203" s="168"/>
      <c r="JM203" s="168"/>
      <c r="JN203" s="168"/>
      <c r="JO203" s="168"/>
      <c r="JP203" s="168"/>
      <c r="JQ203" s="168"/>
      <c r="JR203" s="168"/>
      <c r="JS203" s="168"/>
      <c r="JT203" s="168"/>
      <c r="JU203" s="168"/>
      <c r="JV203" s="168"/>
      <c r="JW203" s="168"/>
      <c r="JX203" s="168"/>
      <c r="JY203" s="168"/>
      <c r="JZ203" s="168"/>
      <c r="KA203" s="168"/>
      <c r="KB203" s="168"/>
      <c r="KC203" s="168"/>
      <c r="KD203" s="168"/>
      <c r="KE203" s="168"/>
      <c r="KF203" s="168"/>
      <c r="KG203" s="168"/>
      <c r="KH203" s="168"/>
      <c r="KI203" s="168"/>
      <c r="KJ203" s="168"/>
      <c r="KK203" s="168"/>
      <c r="KL203" s="168"/>
      <c r="KM203" s="168"/>
      <c r="KN203" s="168"/>
      <c r="KO203" s="168"/>
      <c r="KP203" s="168"/>
      <c r="KQ203" s="168"/>
      <c r="KR203" s="168"/>
      <c r="KS203" s="168"/>
      <c r="KT203" s="168"/>
      <c r="KU203" s="168"/>
      <c r="KV203" s="168"/>
      <c r="KW203" s="168"/>
      <c r="KX203" s="168"/>
      <c r="KY203" s="168"/>
      <c r="KZ203" s="168"/>
      <c r="LA203" s="168"/>
      <c r="LB203" s="168"/>
      <c r="LC203" s="168"/>
      <c r="LD203" s="168"/>
      <c r="LE203" s="168"/>
      <c r="LF203" s="168"/>
      <c r="LG203" s="168"/>
      <c r="LH203" s="168"/>
      <c r="LI203" s="168"/>
      <c r="LJ203" s="168"/>
      <c r="LK203" s="168"/>
      <c r="LL203" s="168"/>
      <c r="LM203" s="168"/>
      <c r="LN203" s="168"/>
      <c r="LO203" s="168"/>
      <c r="LP203" s="606"/>
      <c r="LQ203" s="609"/>
      <c r="LR203" s="1319"/>
      <c r="LS203" s="1319"/>
    </row>
    <row r="204" spans="1:331" s="2" customFormat="1" ht="15" customHeight="1" x14ac:dyDescent="0.25">
      <c r="A204" s="283"/>
      <c r="B204" s="303"/>
      <c r="C204" s="301"/>
      <c r="D204" s="1287"/>
      <c r="E204" s="2298"/>
      <c r="F204" s="1812"/>
      <c r="G204" s="3342"/>
      <c r="H204" s="66"/>
      <c r="I204" s="1746"/>
      <c r="J204" s="1214"/>
      <c r="K204" s="105"/>
      <c r="L204" s="91"/>
      <c r="M204" s="92"/>
      <c r="N204" s="93"/>
      <c r="O204" s="94"/>
      <c r="P204" s="96"/>
      <c r="Q204" s="95"/>
      <c r="R204" s="993">
        <f t="shared" si="325"/>
        <v>0</v>
      </c>
      <c r="S204" s="23">
        <f t="shared" si="326"/>
        <v>0</v>
      </c>
      <c r="T204" s="24">
        <f t="shared" si="327"/>
        <v>0</v>
      </c>
      <c r="U204" s="24">
        <f t="shared" si="328"/>
        <v>0</v>
      </c>
      <c r="V204" s="24">
        <f t="shared" si="329"/>
        <v>0</v>
      </c>
      <c r="W204" s="24">
        <f t="shared" ca="1" si="330"/>
        <v>0</v>
      </c>
      <c r="X204" s="72">
        <f t="shared" ca="1" si="386"/>
        <v>0</v>
      </c>
      <c r="Y204" s="72">
        <f t="shared" si="331"/>
        <v>0</v>
      </c>
      <c r="Z204" s="24">
        <f t="shared" si="332"/>
        <v>0</v>
      </c>
      <c r="AA204" s="72">
        <f t="shared" si="387"/>
        <v>0</v>
      </c>
      <c r="AB204" s="24">
        <f t="shared" si="388"/>
        <v>0</v>
      </c>
      <c r="AC204" s="24">
        <f t="shared" ca="1" si="333"/>
        <v>0</v>
      </c>
      <c r="AD204" s="24">
        <f t="shared" si="389"/>
        <v>0</v>
      </c>
      <c r="AE204" s="2078">
        <f t="shared" si="334"/>
        <v>3</v>
      </c>
      <c r="AF204" s="2078">
        <f t="shared" si="335"/>
        <v>0</v>
      </c>
      <c r="AG204" s="2078">
        <f t="shared" si="336"/>
        <v>0</v>
      </c>
      <c r="AH204" s="2521">
        <f t="shared" si="390"/>
        <v>1</v>
      </c>
      <c r="AI204" s="25" t="str">
        <f t="shared" si="337"/>
        <v/>
      </c>
      <c r="AJ204" s="2521">
        <f t="shared" ca="1" si="391"/>
        <v>0</v>
      </c>
      <c r="AK204" s="2076">
        <f t="shared" ca="1" si="392"/>
        <v>0</v>
      </c>
      <c r="AL204" s="2078">
        <f>IF(ISBLANK(J204),0,ISERROR(MATCH(J204,'5  Control Accounts'!$FA$29:$FA$96,0))*1)</f>
        <v>0</v>
      </c>
      <c r="AM204" s="2076">
        <f t="shared" si="338"/>
        <v>0</v>
      </c>
      <c r="AN204" s="2078">
        <f t="shared" si="339"/>
        <v>1</v>
      </c>
      <c r="AO204" s="2079">
        <f t="shared" si="393"/>
        <v>1</v>
      </c>
      <c r="AP204" s="2079">
        <f t="shared" si="394"/>
        <v>0</v>
      </c>
      <c r="AQ204" s="2079">
        <f t="shared" si="395"/>
        <v>0</v>
      </c>
      <c r="AR204" s="2079">
        <f t="shared" si="396"/>
        <v>0</v>
      </c>
      <c r="AS204" s="2079">
        <f t="shared" si="397"/>
        <v>0</v>
      </c>
      <c r="AT204" s="2079">
        <f t="shared" si="398"/>
        <v>0</v>
      </c>
      <c r="AU204" s="2079">
        <f t="shared" si="399"/>
        <v>0</v>
      </c>
      <c r="AV204" s="2079">
        <f t="shared" si="400"/>
        <v>0</v>
      </c>
      <c r="AW204" s="2079">
        <f t="shared" si="401"/>
        <v>0</v>
      </c>
      <c r="AX204" s="2079">
        <f t="shared" si="402"/>
        <v>0</v>
      </c>
      <c r="AY204" s="2078">
        <f t="shared" si="340"/>
        <v>0</v>
      </c>
      <c r="AZ204" s="2078">
        <f t="shared" si="341"/>
        <v>0</v>
      </c>
      <c r="BA204" s="2078">
        <f t="shared" si="342"/>
        <v>0</v>
      </c>
      <c r="BB204" s="2078">
        <f t="shared" si="343"/>
        <v>0</v>
      </c>
      <c r="BC204" s="2078">
        <f t="shared" si="344"/>
        <v>0</v>
      </c>
      <c r="BD204" s="2078">
        <f t="shared" si="345"/>
        <v>0</v>
      </c>
      <c r="BE204" s="2078">
        <f t="shared" si="346"/>
        <v>0</v>
      </c>
      <c r="BF204" s="2078">
        <f t="shared" si="347"/>
        <v>0</v>
      </c>
      <c r="BG204" s="2078">
        <f t="shared" si="348"/>
        <v>0</v>
      </c>
      <c r="BH204" s="2078">
        <f t="shared" si="349"/>
        <v>0</v>
      </c>
      <c r="BI204" s="2078">
        <f t="shared" si="350"/>
        <v>0</v>
      </c>
      <c r="BJ204" s="2078">
        <f t="shared" si="351"/>
        <v>0</v>
      </c>
      <c r="BK204" s="2078">
        <f t="shared" si="352"/>
        <v>0</v>
      </c>
      <c r="BL204" s="2078">
        <f t="shared" si="353"/>
        <v>0</v>
      </c>
      <c r="BM204" s="2078">
        <f t="shared" si="354"/>
        <v>0</v>
      </c>
      <c r="BN204" s="2078">
        <f t="shared" si="355"/>
        <v>0</v>
      </c>
      <c r="BO204" s="2078">
        <f t="shared" si="356"/>
        <v>0</v>
      </c>
      <c r="BP204" s="2078">
        <f t="shared" si="357"/>
        <v>0</v>
      </c>
      <c r="BQ204" s="2078">
        <f t="shared" si="358"/>
        <v>0</v>
      </c>
      <c r="BR204" s="2078">
        <f t="shared" si="359"/>
        <v>0</v>
      </c>
      <c r="BS204" s="2079">
        <f t="shared" si="403"/>
        <v>1</v>
      </c>
      <c r="BT204" s="2079">
        <f t="shared" si="404"/>
        <v>0</v>
      </c>
      <c r="BU204" s="2079">
        <f t="shared" si="405"/>
        <v>0</v>
      </c>
      <c r="BV204" s="2079">
        <f t="shared" si="406"/>
        <v>0</v>
      </c>
      <c r="BW204" s="2079">
        <f t="shared" si="407"/>
        <v>0</v>
      </c>
      <c r="BX204" s="2079">
        <f t="shared" si="408"/>
        <v>0</v>
      </c>
      <c r="BY204" s="2079">
        <f t="shared" si="409"/>
        <v>0</v>
      </c>
      <c r="BZ204" s="2079">
        <f t="shared" si="410"/>
        <v>0</v>
      </c>
      <c r="CA204" s="2079">
        <f t="shared" si="411"/>
        <v>0</v>
      </c>
      <c r="CB204" s="2079">
        <f t="shared" si="412"/>
        <v>0</v>
      </c>
      <c r="CC204" s="2078">
        <f t="shared" ca="1" si="360"/>
        <v>0</v>
      </c>
      <c r="CD204" s="2078">
        <f t="shared" ca="1" si="361"/>
        <v>0</v>
      </c>
      <c r="CE204" s="2078">
        <f t="shared" ca="1" si="362"/>
        <v>0</v>
      </c>
      <c r="CF204" s="2078">
        <f t="shared" ca="1" si="363"/>
        <v>0</v>
      </c>
      <c r="CG204" s="2078">
        <f t="shared" ca="1" si="364"/>
        <v>0</v>
      </c>
      <c r="CH204" s="2078">
        <f t="shared" ca="1" si="365"/>
        <v>0</v>
      </c>
      <c r="CI204" s="2078">
        <f t="shared" ca="1" si="366"/>
        <v>0</v>
      </c>
      <c r="CJ204" s="2078">
        <f t="shared" ca="1" si="367"/>
        <v>0</v>
      </c>
      <c r="CK204" s="2078">
        <f t="shared" ca="1" si="368"/>
        <v>0</v>
      </c>
      <c r="CL204" s="2078">
        <f t="shared" ca="1" si="369"/>
        <v>0</v>
      </c>
      <c r="CM204" s="2078">
        <f t="shared" si="413"/>
        <v>1</v>
      </c>
      <c r="CN204" s="2078">
        <f t="shared" si="414"/>
        <v>1</v>
      </c>
      <c r="CO204" s="2078">
        <f t="shared" si="415"/>
        <v>1</v>
      </c>
      <c r="CP204" s="2078">
        <f t="shared" si="370"/>
        <v>1</v>
      </c>
      <c r="CQ204" s="2078">
        <f t="shared" si="416"/>
        <v>0</v>
      </c>
      <c r="CR204" s="2078">
        <f t="shared" si="417"/>
        <v>0</v>
      </c>
      <c r="CS204" s="2078">
        <f t="shared" si="371"/>
        <v>0</v>
      </c>
      <c r="CT204" s="2078">
        <f t="shared" si="418"/>
        <v>1</v>
      </c>
      <c r="CU204" s="2078">
        <f t="shared" si="372"/>
        <v>1</v>
      </c>
      <c r="CV204" s="2078">
        <f t="shared" si="419"/>
        <v>0</v>
      </c>
      <c r="CW204" s="2078">
        <f>IF(OR(AE204&lt;&gt;3,F204="Exclude"),0,IF(ISERROR(MATCH($E204,'4 Sign-off'!$S$123:$X$123,0)),0,1))</f>
        <v>0</v>
      </c>
      <c r="CX204" s="2078">
        <f t="shared" si="373"/>
        <v>0</v>
      </c>
      <c r="CY204" s="2078">
        <f t="shared" si="420"/>
        <v>0</v>
      </c>
      <c r="CZ204" s="2993">
        <f t="shared" ca="1" si="374"/>
        <v>0</v>
      </c>
      <c r="DA204" s="3037">
        <f t="shared" ca="1" si="375"/>
        <v>0</v>
      </c>
      <c r="DB204" s="1664"/>
      <c r="DC204" s="1320"/>
      <c r="DD204" s="589"/>
      <c r="DE204" s="1321"/>
      <c r="DF204" s="107"/>
      <c r="DG204" s="112"/>
      <c r="DH204" s="140"/>
      <c r="DI204" s="22"/>
      <c r="DJ204" s="145"/>
      <c r="DK204" s="137"/>
      <c r="DL204" s="137"/>
      <c r="DM204" s="137"/>
      <c r="DN204" s="137"/>
      <c r="DO204" s="137"/>
      <c r="DP204" s="137"/>
      <c r="DQ204" s="137"/>
      <c r="DR204" s="137"/>
      <c r="DS204" s="137"/>
      <c r="DT204" s="137"/>
      <c r="DU204" s="137"/>
      <c r="DV204" s="137"/>
      <c r="DW204" s="137"/>
      <c r="DX204" s="137"/>
      <c r="DY204" s="137"/>
      <c r="DZ204" s="137"/>
      <c r="EA204" s="137"/>
      <c r="EB204" s="137"/>
      <c r="EC204" s="137"/>
      <c r="ED204" s="137"/>
      <c r="EE204" s="137"/>
      <c r="EF204" s="137"/>
      <c r="EG204" s="137"/>
      <c r="EH204" s="137"/>
      <c r="EI204" s="137"/>
      <c r="EJ204" s="137"/>
      <c r="EK204" s="137"/>
      <c r="EL204" s="137"/>
      <c r="EM204" s="137"/>
      <c r="EN204" s="137"/>
      <c r="EO204" s="137"/>
      <c r="EP204" s="137"/>
      <c r="EQ204" s="137"/>
      <c r="ER204" s="137"/>
      <c r="ES204" s="137"/>
      <c r="ET204" s="137"/>
      <c r="EU204" s="137"/>
      <c r="EV204" s="137"/>
      <c r="EW204" s="137"/>
      <c r="EX204" s="137"/>
      <c r="EY204" s="137"/>
      <c r="EZ204" s="137"/>
      <c r="FA204" s="137"/>
      <c r="FB204" s="137"/>
      <c r="FC204" s="137"/>
      <c r="FD204" s="137"/>
      <c r="FE204" s="137"/>
      <c r="FF204" s="137"/>
      <c r="FG204" s="860"/>
      <c r="FH204" s="1288"/>
      <c r="FI204" s="1318"/>
      <c r="FJ204" s="126"/>
      <c r="FK204" s="127"/>
      <c r="FL204" s="128" t="str">
        <f t="shared" si="376"/>
        <v xml:space="preserve">    </v>
      </c>
      <c r="FM204" s="128"/>
      <c r="FN204" s="1686">
        <f t="shared" si="377"/>
        <v>0</v>
      </c>
      <c r="FO204" s="46">
        <f t="shared" si="421"/>
        <v>0</v>
      </c>
      <c r="FP204" s="46">
        <f t="shared" ref="FP204" si="430">IFERROR(1/FQ204,1)</f>
        <v>1</v>
      </c>
      <c r="FQ204" s="75">
        <f t="shared" si="378"/>
        <v>0</v>
      </c>
      <c r="FR204" s="46">
        <f t="shared" si="379"/>
        <v>0</v>
      </c>
      <c r="FS204" s="46">
        <f t="shared" si="380"/>
        <v>1</v>
      </c>
      <c r="FT204" s="75">
        <f t="shared" si="381"/>
        <v>0</v>
      </c>
      <c r="FU204" s="2603">
        <f t="shared" si="423"/>
        <v>0</v>
      </c>
      <c r="FV204" s="2607">
        <f t="shared" si="424"/>
        <v>0</v>
      </c>
      <c r="FW204" s="2603">
        <f t="shared" si="425"/>
        <v>0</v>
      </c>
      <c r="FX204" s="2631">
        <f t="shared" si="426"/>
        <v>0</v>
      </c>
      <c r="FY204" s="81" t="e">
        <f t="shared" si="382"/>
        <v>#N/A</v>
      </c>
      <c r="FZ204" s="64" t="e">
        <f t="array" ref="FZ204">MATCH(1,($GT204:$LQ204&gt;0)*$GT$25:$LQ$25,0)</f>
        <v>#N/A</v>
      </c>
      <c r="GA204" s="64" t="e">
        <f t="array" ref="GA204">MATCH(2,1/(GT204:LQ204&gt;0))</f>
        <v>#N/A</v>
      </c>
      <c r="GB204" s="64">
        <f t="shared" si="383"/>
        <v>-1</v>
      </c>
      <c r="GC204" s="46"/>
      <c r="GD204" s="613"/>
      <c r="GE204" s="613"/>
      <c r="GF204" s="613"/>
      <c r="GG204" s="613"/>
      <c r="GH204" s="613"/>
      <c r="GI204" s="613"/>
      <c r="GJ204" s="613"/>
      <c r="GK204" s="613"/>
      <c r="GL204" s="613"/>
      <c r="GM204" s="613"/>
      <c r="GN204" s="385">
        <f t="shared" si="384"/>
        <v>0</v>
      </c>
      <c r="GO204" s="386">
        <f t="shared" si="385"/>
        <v>0</v>
      </c>
      <c r="GP204" s="2635"/>
      <c r="GQ204" s="175"/>
      <c r="GR204" s="172"/>
      <c r="GS204" s="65"/>
      <c r="GT204" s="167"/>
      <c r="GU204" s="168"/>
      <c r="GV204" s="168"/>
      <c r="GW204" s="168"/>
      <c r="GX204" s="168"/>
      <c r="GY204" s="168"/>
      <c r="GZ204" s="168"/>
      <c r="HA204" s="168"/>
      <c r="HB204" s="168"/>
      <c r="HC204" s="168"/>
      <c r="HD204" s="168"/>
      <c r="HE204" s="168"/>
      <c r="HF204" s="168"/>
      <c r="HG204" s="168"/>
      <c r="HH204" s="168"/>
      <c r="HI204" s="168"/>
      <c r="HJ204" s="168"/>
      <c r="HK204" s="168"/>
      <c r="HL204" s="168"/>
      <c r="HM204" s="168"/>
      <c r="HN204" s="168"/>
      <c r="HO204" s="168"/>
      <c r="HP204" s="168"/>
      <c r="HQ204" s="168"/>
      <c r="HR204" s="168"/>
      <c r="HS204" s="168"/>
      <c r="HT204" s="168"/>
      <c r="HU204" s="168"/>
      <c r="HV204" s="168"/>
      <c r="HW204" s="168"/>
      <c r="HX204" s="168"/>
      <c r="HY204" s="168"/>
      <c r="HZ204" s="168"/>
      <c r="IA204" s="168"/>
      <c r="IB204" s="168"/>
      <c r="IC204" s="168"/>
      <c r="ID204" s="168"/>
      <c r="IE204" s="168"/>
      <c r="IF204" s="168"/>
      <c r="IG204" s="168"/>
      <c r="IH204" s="168"/>
      <c r="II204" s="168"/>
      <c r="IJ204" s="168"/>
      <c r="IK204" s="168"/>
      <c r="IL204" s="168"/>
      <c r="IM204" s="168"/>
      <c r="IN204" s="168"/>
      <c r="IO204" s="168"/>
      <c r="IP204" s="168"/>
      <c r="IQ204" s="168"/>
      <c r="IR204" s="168"/>
      <c r="IS204" s="168"/>
      <c r="IT204" s="168"/>
      <c r="IU204" s="168"/>
      <c r="IV204" s="168"/>
      <c r="IW204" s="168"/>
      <c r="IX204" s="168"/>
      <c r="IY204" s="168"/>
      <c r="IZ204" s="168"/>
      <c r="JA204" s="168"/>
      <c r="JB204" s="168"/>
      <c r="JC204" s="168"/>
      <c r="JD204" s="168"/>
      <c r="JE204" s="168"/>
      <c r="JF204" s="168"/>
      <c r="JG204" s="168"/>
      <c r="JH204" s="168"/>
      <c r="JI204" s="168"/>
      <c r="JJ204" s="168"/>
      <c r="JK204" s="168"/>
      <c r="JL204" s="168"/>
      <c r="JM204" s="168"/>
      <c r="JN204" s="168"/>
      <c r="JO204" s="168"/>
      <c r="JP204" s="168"/>
      <c r="JQ204" s="168"/>
      <c r="JR204" s="168"/>
      <c r="JS204" s="168"/>
      <c r="JT204" s="168"/>
      <c r="JU204" s="168"/>
      <c r="JV204" s="168"/>
      <c r="JW204" s="168"/>
      <c r="JX204" s="168"/>
      <c r="JY204" s="168"/>
      <c r="JZ204" s="168"/>
      <c r="KA204" s="168"/>
      <c r="KB204" s="168"/>
      <c r="KC204" s="168"/>
      <c r="KD204" s="168"/>
      <c r="KE204" s="168"/>
      <c r="KF204" s="168"/>
      <c r="KG204" s="168"/>
      <c r="KH204" s="168"/>
      <c r="KI204" s="168"/>
      <c r="KJ204" s="168"/>
      <c r="KK204" s="168"/>
      <c r="KL204" s="168"/>
      <c r="KM204" s="168"/>
      <c r="KN204" s="168"/>
      <c r="KO204" s="168"/>
      <c r="KP204" s="168"/>
      <c r="KQ204" s="168"/>
      <c r="KR204" s="168"/>
      <c r="KS204" s="168"/>
      <c r="KT204" s="168"/>
      <c r="KU204" s="168"/>
      <c r="KV204" s="168"/>
      <c r="KW204" s="168"/>
      <c r="KX204" s="168"/>
      <c r="KY204" s="168"/>
      <c r="KZ204" s="168"/>
      <c r="LA204" s="168"/>
      <c r="LB204" s="168"/>
      <c r="LC204" s="168"/>
      <c r="LD204" s="168"/>
      <c r="LE204" s="168"/>
      <c r="LF204" s="168"/>
      <c r="LG204" s="168"/>
      <c r="LH204" s="168"/>
      <c r="LI204" s="168"/>
      <c r="LJ204" s="168"/>
      <c r="LK204" s="168"/>
      <c r="LL204" s="168"/>
      <c r="LM204" s="168"/>
      <c r="LN204" s="168"/>
      <c r="LO204" s="168"/>
      <c r="LP204" s="606"/>
      <c r="LQ204" s="609"/>
      <c r="LR204" s="1319"/>
      <c r="LS204" s="1319"/>
    </row>
    <row r="205" spans="1:331" s="2" customFormat="1" ht="15" customHeight="1" x14ac:dyDescent="0.25">
      <c r="A205" s="283"/>
      <c r="B205" s="303"/>
      <c r="C205" s="301"/>
      <c r="D205" s="2753"/>
      <c r="E205" s="2298"/>
      <c r="F205" s="1812"/>
      <c r="G205" s="3342"/>
      <c r="H205" s="66"/>
      <c r="I205" s="1746"/>
      <c r="J205" s="1214"/>
      <c r="K205" s="105"/>
      <c r="L205" s="91"/>
      <c r="M205" s="92"/>
      <c r="N205" s="93"/>
      <c r="O205" s="94"/>
      <c r="P205" s="96"/>
      <c r="Q205" s="95"/>
      <c r="R205" s="993">
        <f t="shared" ref="R205:R237" si="431">CHOOSE(AE205,SUMIFS($T$173:$T$364,$AF$173:$AF$364,AF205,$AE$173:$AE$364,3,$CY$173:$CY$364,1,$AH$173:$AH$364,1),SUMIFS($T$173:$T$364,$AG$173:$AG$364,AG205,$AE$173:$AE$364,3,$CY$173:$CY$364,1,$AH$173:$AH$364,1),T205+U205)</f>
        <v>0</v>
      </c>
      <c r="S205" s="23">
        <f t="shared" ref="S205:S237" si="432">CHOOSE($AE205,SUMIFS($S$173:$S$364,$AF$173:$AF$364,AF205,$CY$173:$CY$364,1),SUMIFS($S$173:$S$364,$AG$173:$AG$364,AG205,$CY$173:$CY$364,1),V205+Y205+AB205)</f>
        <v>0</v>
      </c>
      <c r="T205" s="24">
        <f t="shared" ref="T205:T247" si="433">IF($AE205&lt;&gt;3,0,SUM($DJ205:$FH205)*$AN205*$AH205)</f>
        <v>0</v>
      </c>
      <c r="U205" s="24">
        <f t="shared" ref="U205:U247" si="434">IF($AE205&lt;&gt;3,0,SUM($DJ205:$FH205)*$AN205*(1-$AH205))</f>
        <v>0</v>
      </c>
      <c r="V205" s="24">
        <f t="shared" ref="V205:V247" si="435">IF($AE205&lt;&gt;3,0,SUMPRODUCT($DJ205:$FH205,$DJ$30:$FH$30)*$AN205*AH205)</f>
        <v>0</v>
      </c>
      <c r="W205" s="24">
        <f t="shared" ref="W205:W247" ca="1" si="436">IFERROR(X205*SUMPRODUCT($DJ205:$FH205,$DJ$29:$FH$29)/SUM($DJ205:$FH205),0)</f>
        <v>0</v>
      </c>
      <c r="X205" s="72">
        <f t="shared" ca="1" si="386"/>
        <v>0</v>
      </c>
      <c r="Y205" s="72">
        <f t="shared" ref="Y205:Y247" si="437">IF($AE205=3,SUMPRODUCT($AO205:$AX205,BI205:BR205),0)</f>
        <v>0</v>
      </c>
      <c r="Z205" s="24">
        <f t="shared" ref="Z205:Z247" si="438">IF($AE205=3,SUMPRODUCT($AO205:$AX205,AY205:BH205),0)</f>
        <v>0</v>
      </c>
      <c r="AA205" s="72">
        <f t="shared" si="387"/>
        <v>0</v>
      </c>
      <c r="AB205" s="24">
        <f t="shared" si="388"/>
        <v>0</v>
      </c>
      <c r="AC205" s="24">
        <f t="shared" ref="AC205:AC247" ca="1" si="439">IF($AE205=3,SUMPRODUCT($DJ205:$FH205,$DJ$24:$FH$24)*AN205,0)</f>
        <v>0</v>
      </c>
      <c r="AD205" s="24">
        <f t="shared" si="389"/>
        <v>0</v>
      </c>
      <c r="AE205" s="2078">
        <f t="shared" ref="AE205" si="440">IF(N205="",3,IF(AND(L205&gt;0,M205&gt;0),2,1))</f>
        <v>3</v>
      </c>
      <c r="AF205" s="2078">
        <f t="shared" ref="AF205" si="441">IF(AND(ISNUMBER(VALUE(L205)),RIGHT(L205,1)="0"),(L205+0.00001),L205)</f>
        <v>0</v>
      </c>
      <c r="AG205" s="2078">
        <f t="shared" ref="AG205" si="442">IF(AND(ISNUMBER(VALUE(M205)),RIGHT(M205,1)="0"),(M205+0.00001),M205)</f>
        <v>0</v>
      </c>
      <c r="AH205" s="2521">
        <f t="shared" si="390"/>
        <v>1</v>
      </c>
      <c r="AI205" s="25" t="str">
        <f t="shared" ref="AI205:AI247" si="443">LEFT(J205,1)</f>
        <v/>
      </c>
      <c r="AJ205" s="2521">
        <f t="shared" ca="1" si="391"/>
        <v>0</v>
      </c>
      <c r="AK205" s="2076">
        <f t="shared" ca="1" si="392"/>
        <v>0</v>
      </c>
      <c r="AL205" s="2078">
        <f>IF(ISBLANK(J205),0,ISERROR(MATCH(J205,'5  Control Accounts'!$FA$29:$FA$96,0))*1)</f>
        <v>0</v>
      </c>
      <c r="AM205" s="2076">
        <f t="shared" ref="AM205:AM247" si="444">AND($C$6,(T205+U205+AB205)&lt;&gt;0,$F205&lt;&gt;"Exclude",ISBLANK(J205))*1</f>
        <v>0</v>
      </c>
      <c r="AN205" s="2078">
        <f t="shared" ref="AN205:AN247" si="445">IF(DE205&gt;0,0,IF(GR205="T",FQ205*(1+B205),IF(ISBLANK(DH205),1+B205,DH205*(1+B205))*IF(FO205="P",1-GP205,1)))</f>
        <v>1</v>
      </c>
      <c r="AO205" s="2079">
        <f t="shared" si="393"/>
        <v>1</v>
      </c>
      <c r="AP205" s="2079">
        <f t="shared" si="394"/>
        <v>0</v>
      </c>
      <c r="AQ205" s="2079">
        <f t="shared" si="395"/>
        <v>0</v>
      </c>
      <c r="AR205" s="2079">
        <f t="shared" si="396"/>
        <v>0</v>
      </c>
      <c r="AS205" s="2079">
        <f t="shared" si="397"/>
        <v>0</v>
      </c>
      <c r="AT205" s="2079">
        <f t="shared" si="398"/>
        <v>0</v>
      </c>
      <c r="AU205" s="2079">
        <f t="shared" si="399"/>
        <v>0</v>
      </c>
      <c r="AV205" s="2079">
        <f t="shared" si="400"/>
        <v>0</v>
      </c>
      <c r="AW205" s="2079">
        <f t="shared" si="401"/>
        <v>0</v>
      </c>
      <c r="AX205" s="2079">
        <f t="shared" si="402"/>
        <v>0</v>
      </c>
      <c r="AY205" s="2078">
        <f t="shared" ref="AY205:AY247" si="446">IF($AE205=3,SUMPRODUCT($DJ$45:$FH$45,$DJ205:$FH205)*$AN205,0)</f>
        <v>0</v>
      </c>
      <c r="AZ205" s="2078">
        <f t="shared" ref="AZ205:AZ247" si="447">IF($AE205=3,SUMPRODUCT($DJ$46:$FH$46,$DJ205:$FH205)*$AN205,0)</f>
        <v>0</v>
      </c>
      <c r="BA205" s="2078">
        <f t="shared" ref="BA205:BA247" si="448">IF($AE205=3,SUMPRODUCT($DJ$47:$FH$47,$DJ205:$FH205)*$AN205,0)</f>
        <v>0</v>
      </c>
      <c r="BB205" s="2078">
        <f t="shared" ref="BB205:BB247" si="449">IF($AE205=3,SUMPRODUCT($DJ$48:$FH$48,$DJ205:$FH205)*$AN205,0)</f>
        <v>0</v>
      </c>
      <c r="BC205" s="2078">
        <f t="shared" ref="BC205:BC247" si="450">IF($AE205=3,SUMPRODUCT($DJ$49:$FH$49,$DJ205:$FH205)*$AN205,0)</f>
        <v>0</v>
      </c>
      <c r="BD205" s="2078">
        <f t="shared" ref="BD205:BD247" si="451">IF($AE205=3,SUMPRODUCT($DJ$50:$FH$50,$DJ205:$FH205)*$AN205,0)</f>
        <v>0</v>
      </c>
      <c r="BE205" s="2078">
        <f t="shared" ref="BE205:BE247" si="452">IF($AE205=3,SUMPRODUCT($DJ$51:$FH$51,$DJ205:$FH205)*$AN205,0)</f>
        <v>0</v>
      </c>
      <c r="BF205" s="2078">
        <f t="shared" ref="BF205:BF247" si="453">IF($AE205=3,SUMPRODUCT($DJ$52:$FH$52,$DJ205:$FH205)*$AN205,0)</f>
        <v>0</v>
      </c>
      <c r="BG205" s="2078">
        <f t="shared" ref="BG205:BG247" si="454">IF($AE205=3,SUMPRODUCT($DJ$53:$FH$53,$DJ205:$FH205)*$AN205,0)</f>
        <v>0</v>
      </c>
      <c r="BH205" s="2078">
        <f t="shared" ref="BH205:BH247" si="455">IF($AE205=3,SUMPRODUCT($DJ$54:$FH$54,$DJ205:$FH205)*$AN205,0)</f>
        <v>0</v>
      </c>
      <c r="BI205" s="2078">
        <f t="shared" ref="BI205:BI247" si="456">IF($AE205=3,SUMPRODUCT($DJ$56:$FH$56,$DJ205:$FH205)*$AN205,0)</f>
        <v>0</v>
      </c>
      <c r="BJ205" s="2078">
        <f t="shared" ref="BJ205:BJ247" si="457">IF($AE205=3,SUMPRODUCT($DJ$57:$FH$57,$DJ205:$FH205)*$AN205,0)</f>
        <v>0</v>
      </c>
      <c r="BK205" s="2078">
        <f t="shared" ref="BK205:BK247" si="458">IF($AE205=3,SUMPRODUCT($DJ$58:$FH$58,$DJ205:$FH205)*$AN205,0)</f>
        <v>0</v>
      </c>
      <c r="BL205" s="2078">
        <f t="shared" ref="BL205:BL247" si="459">IF($AE205=3,SUMPRODUCT($DJ$59:$FH$59,$DJ205:$FH205)*$AN205,0)</f>
        <v>0</v>
      </c>
      <c r="BM205" s="2078">
        <f t="shared" ref="BM205:BM247" si="460">IF($AE205=3,SUMPRODUCT($DJ$60:$FH$60,$DJ205:$FH205)*$AN205,0)</f>
        <v>0</v>
      </c>
      <c r="BN205" s="2078">
        <f t="shared" ref="BN205:BN247" si="461">IF($AE205=3,SUMPRODUCT($DJ$61:$FH$61,$DJ205:$FH205)*$AN205,0)</f>
        <v>0</v>
      </c>
      <c r="BO205" s="2078">
        <f t="shared" ref="BO205:BO247" si="462">IF($AE205=3,SUMPRODUCT($DJ$62:$FH$62,$DJ205:$FH205)*$AN205,0)</f>
        <v>0</v>
      </c>
      <c r="BP205" s="2078">
        <f t="shared" ref="BP205:BP247" si="463">IF($AE205=3,SUMPRODUCT($DJ$63:$FH$63,$DJ205:$FH205)*$AN205,0)</f>
        <v>0</v>
      </c>
      <c r="BQ205" s="2078">
        <f t="shared" ref="BQ205:BQ247" si="464">IF($AE205=3,SUMPRODUCT($DJ$64:$FH$64,$DJ205:$FH205)*$AN205,0)</f>
        <v>0</v>
      </c>
      <c r="BR205" s="2078">
        <f t="shared" ref="BR205:BR247" si="465">IF($AE205=3,SUMPRODUCT($DJ$65:$FH$65,$DJ205:$FH205)*$AN205,0)</f>
        <v>0</v>
      </c>
      <c r="BS205" s="2079">
        <f t="shared" si="403"/>
        <v>1</v>
      </c>
      <c r="BT205" s="2079">
        <f t="shared" si="404"/>
        <v>0</v>
      </c>
      <c r="BU205" s="2079">
        <f t="shared" si="405"/>
        <v>0</v>
      </c>
      <c r="BV205" s="2079">
        <f t="shared" si="406"/>
        <v>0</v>
      </c>
      <c r="BW205" s="2079">
        <f t="shared" si="407"/>
        <v>0</v>
      </c>
      <c r="BX205" s="2079">
        <f t="shared" si="408"/>
        <v>0</v>
      </c>
      <c r="BY205" s="2079">
        <f t="shared" si="409"/>
        <v>0</v>
      </c>
      <c r="BZ205" s="2079">
        <f t="shared" si="410"/>
        <v>0</v>
      </c>
      <c r="CA205" s="2079">
        <f t="shared" si="411"/>
        <v>0</v>
      </c>
      <c r="CB205" s="2079">
        <f t="shared" si="412"/>
        <v>0</v>
      </c>
      <c r="CC205" s="2078">
        <f t="shared" ref="CC205:CC247" ca="1" si="466">IF($AE205=3,SUMPRODUCT($DJ$78:$FH$78,$DJ205:$FH205)*$AN205,0)</f>
        <v>0</v>
      </c>
      <c r="CD205" s="2078">
        <f t="shared" ref="CD205:CD247" ca="1" si="467">IF($AE205=3,SUMPRODUCT($DJ$79:$FH$79,$DJ205:$FH205)*$AN205,0)</f>
        <v>0</v>
      </c>
      <c r="CE205" s="2078">
        <f t="shared" ref="CE205:CE247" ca="1" si="468">IF($AE205=3,SUMPRODUCT($DJ$80:$FH$80,$DJ205:$FH205)*$AN205,0)</f>
        <v>0</v>
      </c>
      <c r="CF205" s="2078">
        <f t="shared" ref="CF205:CF247" ca="1" si="469">IF($AE205=3,SUMPRODUCT($DJ$81:$FH$81,$DJ205:$FH205)*$AN205,0)</f>
        <v>0</v>
      </c>
      <c r="CG205" s="2078">
        <f t="shared" ref="CG205:CG247" ca="1" si="470">IF($AE205=3,SUMPRODUCT($DJ$82:$FH$82,$DJ205:$FH205)*$AN205,0)</f>
        <v>0</v>
      </c>
      <c r="CH205" s="2078">
        <f t="shared" ref="CH205:CH247" ca="1" si="471">IF($AE205=3,SUMPRODUCT($DJ$83:$FH$83,$DJ205:$FH205)*$AN205,0)</f>
        <v>0</v>
      </c>
      <c r="CI205" s="2078">
        <f t="shared" ref="CI205:CI247" ca="1" si="472">IF($AE205=3,SUMPRODUCT($DJ$84:$FH$84,$DJ205:$FH205)*$AN205,0)</f>
        <v>0</v>
      </c>
      <c r="CJ205" s="2078">
        <f t="shared" ref="CJ205:CJ247" ca="1" si="473">IF($AE205=3,SUMPRODUCT($DJ$85:$FH$85,$DJ205:$FH205)*$AN205,0)</f>
        <v>0</v>
      </c>
      <c r="CK205" s="2078">
        <f t="shared" ref="CK205:CK247" ca="1" si="474">IF($AE205=3,SUMPRODUCT($DJ$86:$FH$86,$DJ205:$FH205)*$AN205,0)</f>
        <v>0</v>
      </c>
      <c r="CL205" s="2078">
        <f t="shared" ref="CL205:CL247" ca="1" si="475">IF($AE205=3,SUMPRODUCT($DJ$87:$FH$87,$DJ205:$FH205)*$AN205,0)</f>
        <v>0</v>
      </c>
      <c r="CM205" s="2078">
        <f t="shared" ref="CM205" si="476">IF(ISBLANK(DD205),1,DD205)*IF(FO205="P",1-GP205,1)</f>
        <v>1</v>
      </c>
      <c r="CN205" s="2078">
        <f t="shared" ref="CN205" si="477">IF(DC205=$CN$171,0,1)</f>
        <v>1</v>
      </c>
      <c r="CO205" s="2078">
        <f t="shared" si="415"/>
        <v>1</v>
      </c>
      <c r="CP205" s="2078">
        <f t="shared" ref="CP205:CP247" si="478">IF(AE205&lt;&gt;3,0,IF(OR(F205="",F205="Approved",F205="Pend w FC"),1,0))</f>
        <v>1</v>
      </c>
      <c r="CQ205" s="2078">
        <f t="shared" si="416"/>
        <v>0</v>
      </c>
      <c r="CR205" s="2078">
        <f t="shared" si="417"/>
        <v>0</v>
      </c>
      <c r="CS205" s="2078">
        <f t="shared" ref="CS205:CS247" si="479">IF(OR(F205="Pending",F205="Pend w FC"),1,0)</f>
        <v>0</v>
      </c>
      <c r="CT205" s="2078">
        <f t="shared" si="418"/>
        <v>1</v>
      </c>
      <c r="CU205" s="2078">
        <f t="shared" ref="CU205:CU247" si="480">IF($AE205&lt;&gt;3,0,IF(F205="",1,0))</f>
        <v>1</v>
      </c>
      <c r="CV205" s="2078">
        <f t="shared" si="419"/>
        <v>0</v>
      </c>
      <c r="CW205" s="2078">
        <f>IF(OR(AE205&lt;&gt;3,F205="Exclude"),0,IF(ISERROR(MATCH($E205,'4 Sign-off'!$S$123:$X$123,0)),0,1))</f>
        <v>0</v>
      </c>
      <c r="CX205" s="2078">
        <f t="shared" ref="CX205:CX244" si="481">IF($C$7&lt;&gt;"B",1,CHOOSE($CX$163,CW205,CS205+CV205,CS205,CV205))</f>
        <v>0</v>
      </c>
      <c r="CY205" s="2078">
        <f t="shared" ref="CY205" si="482">CHOOSE($CY$163,CO205,CP205,CX205)</f>
        <v>0</v>
      </c>
      <c r="CZ205" s="2993">
        <f t="shared" ref="CZ205:CZ237" ca="1" si="483">CHOOSE($AE205,SUMIFS($CZ$173:$CZ$364,$AF$173:$AF$364,$AF205,$CY$173:$CY$364,1,$AH$173:$AH$364,1),SUMIFS($CZ$173:$CZ$364,$AG$173:$AG$364,$AG205,$CY$173:$CY$364,1,$AH$173:$AH$364,1),X205+AA205)</f>
        <v>0</v>
      </c>
      <c r="DA205" s="3037">
        <f t="shared" ref="DA205:DA237" ca="1" si="484">CHOOSE($AE205,SUMIFS($DA$173:$DA$364,$AF$173:$AF$364,$AF205,$CY$173:$CY$364,1,$AH$173:$AH$364,1),SUMIFS($DA$173:$DA$364,$AG$173:$AG$364,$AG205,$CY$173:$CY$364,1,$AH$173:$AH$364,1),CZ205-S205)</f>
        <v>0</v>
      </c>
      <c r="DB205" s="1664"/>
      <c r="DC205" s="1320"/>
      <c r="DD205" s="589"/>
      <c r="DE205" s="1321"/>
      <c r="DF205" s="107"/>
      <c r="DG205" s="112"/>
      <c r="DH205" s="140"/>
      <c r="DI205" s="22"/>
      <c r="DJ205" s="145"/>
      <c r="DK205" s="137"/>
      <c r="DL205" s="137"/>
      <c r="DM205" s="137"/>
      <c r="DN205" s="137"/>
      <c r="DO205" s="137"/>
      <c r="DP205" s="137"/>
      <c r="DQ205" s="137"/>
      <c r="DR205" s="137"/>
      <c r="DS205" s="137"/>
      <c r="DT205" s="137"/>
      <c r="DU205" s="137"/>
      <c r="DV205" s="137"/>
      <c r="DW205" s="137"/>
      <c r="DX205" s="137"/>
      <c r="DY205" s="137"/>
      <c r="DZ205" s="137"/>
      <c r="EA205" s="137"/>
      <c r="EB205" s="137"/>
      <c r="EC205" s="137"/>
      <c r="ED205" s="137"/>
      <c r="EE205" s="137"/>
      <c r="EF205" s="137"/>
      <c r="EG205" s="137"/>
      <c r="EH205" s="137"/>
      <c r="EI205" s="137"/>
      <c r="EJ205" s="137"/>
      <c r="EK205" s="137"/>
      <c r="EL205" s="137"/>
      <c r="EM205" s="137"/>
      <c r="EN205" s="137"/>
      <c r="EO205" s="137"/>
      <c r="EP205" s="137"/>
      <c r="EQ205" s="137"/>
      <c r="ER205" s="137"/>
      <c r="ES205" s="137"/>
      <c r="ET205" s="137"/>
      <c r="EU205" s="137"/>
      <c r="EV205" s="137"/>
      <c r="EW205" s="137"/>
      <c r="EX205" s="137"/>
      <c r="EY205" s="137"/>
      <c r="EZ205" s="137"/>
      <c r="FA205" s="137"/>
      <c r="FB205" s="137"/>
      <c r="FC205" s="137"/>
      <c r="FD205" s="137"/>
      <c r="FE205" s="137"/>
      <c r="FF205" s="137"/>
      <c r="FG205" s="860"/>
      <c r="FH205" s="2754"/>
      <c r="FI205" s="1318"/>
      <c r="FJ205" s="126"/>
      <c r="FK205" s="127"/>
      <c r="FL205" s="128" t="str">
        <f t="shared" ref="FL205:FL247" si="485">N205&amp;O205&amp;"    "&amp;P205</f>
        <v xml:space="preserve">    </v>
      </c>
      <c r="FM205" s="128"/>
      <c r="FN205" s="1686">
        <f t="shared" ref="FN205:FN247" si="486">IF($AE205=3,T205,0)</f>
        <v>0</v>
      </c>
      <c r="FO205" s="46">
        <f t="shared" ref="FO205" si="487">IF(AND($C$7="F",GR205="P"),"P",0)</f>
        <v>0</v>
      </c>
      <c r="FP205" s="46">
        <f t="shared" ref="FP205" si="488">IFERROR(1/FQ205,1)</f>
        <v>1</v>
      </c>
      <c r="FQ205" s="75">
        <f t="shared" ref="FQ205:FQ247" si="489">IF($AE205=3,SUMPRODUCT(GT205:LQ205,$GT$25:$LQ$25),0)</f>
        <v>0</v>
      </c>
      <c r="FR205" s="46">
        <f t="shared" ref="FR205" si="490">SUM(GT205:LQ205)</f>
        <v>0</v>
      </c>
      <c r="FS205" s="46">
        <f t="shared" ref="FS205" si="491">IFERROR(AN205/FQ205,1)</f>
        <v>1</v>
      </c>
      <c r="FT205" s="75">
        <f t="shared" ref="FT205:FT247" si="492">AND($AE205=3,(T205+Z205+AB205)&gt;0,FQ205=0)*1</f>
        <v>0</v>
      </c>
      <c r="FU205" s="2603">
        <f t="shared" ref="FU205" si="493">(DE205*IF(ISBLANK($DD205),1,$DD205))+(SUMPRODUCT(DJ205:FH205,$DJ$65:$FH$65)*IF(GR205="T",SUM(GT205:LQ205),IF(ISBLANK(DH205),1,DH205)))</f>
        <v>0</v>
      </c>
      <c r="FV205" s="2607">
        <f t="shared" ref="FV205" si="494">IF(GR205="T",SUMPRODUCT(GT205:LQ205,$GT$20:$LQ$20)/SUM(GT205:LQ205),GP205)</f>
        <v>0</v>
      </c>
      <c r="FW205" s="2603">
        <f t="shared" ref="FW205" si="495">IF(GR205&gt;0,FU205*FV205,0)</f>
        <v>0</v>
      </c>
      <c r="FX205" s="2631">
        <f t="shared" ref="FX205" si="496">IF(SUM(DE205:FH205)&gt;0,1,0)</f>
        <v>0</v>
      </c>
      <c r="FY205" s="81" t="e">
        <f t="shared" si="382"/>
        <v>#N/A</v>
      </c>
      <c r="FZ205" s="64" t="e">
        <f t="array" ref="FZ205">MATCH(1,($GT205:$LQ205&gt;0)*$GT$25:$LQ$25,0)</f>
        <v>#N/A</v>
      </c>
      <c r="GA205" s="64" t="e">
        <f t="array" ref="GA205">MATCH(2,1/(GT205:LQ205&gt;0))</f>
        <v>#N/A</v>
      </c>
      <c r="GB205" s="64">
        <f t="shared" ref="GB205:GB247" si="497">IF(OR((T205+U205+AA205+AB205)=0,FR205=0,CQ205=1,LEFT(J205,1)="S"),-1,J205)</f>
        <v>-1</v>
      </c>
      <c r="GC205" s="46"/>
      <c r="GD205" s="613"/>
      <c r="GE205" s="613"/>
      <c r="GF205" s="613"/>
      <c r="GG205" s="613"/>
      <c r="GH205" s="613"/>
      <c r="GI205" s="613"/>
      <c r="GJ205" s="613"/>
      <c r="GK205" s="613"/>
      <c r="GL205" s="613"/>
      <c r="GM205" s="613"/>
      <c r="GN205" s="385">
        <f t="shared" ref="GN205:GN244" si="498">IF(ISERROR(FZ205),0,CHOOSE($FM$5,(FZ205*7)+$GT$170-11,EOMONTH($GT$170,FZ205-2)+1))</f>
        <v>0</v>
      </c>
      <c r="GO205" s="386">
        <f t="shared" ref="GO205:GO244" si="499">IF(ISERROR(FY205),0,CHOOSE($FM$5,(FY205*7)+$GT$170-7,EOMONTH($GT$170,FY205-1)))</f>
        <v>0</v>
      </c>
      <c r="GP205" s="2635"/>
      <c r="GQ205" s="175"/>
      <c r="GR205" s="172"/>
      <c r="GS205" s="65"/>
      <c r="GT205" s="167"/>
      <c r="GU205" s="168"/>
      <c r="GV205" s="168"/>
      <c r="GW205" s="168"/>
      <c r="GX205" s="168"/>
      <c r="GY205" s="168"/>
      <c r="GZ205" s="168"/>
      <c r="HA205" s="168"/>
      <c r="HB205" s="168"/>
      <c r="HC205" s="168"/>
      <c r="HD205" s="168"/>
      <c r="HE205" s="168"/>
      <c r="HF205" s="168"/>
      <c r="HG205" s="168"/>
      <c r="HH205" s="168"/>
      <c r="HI205" s="168"/>
      <c r="HJ205" s="168"/>
      <c r="HK205" s="168"/>
      <c r="HL205" s="168"/>
      <c r="HM205" s="168"/>
      <c r="HN205" s="168"/>
      <c r="HO205" s="168"/>
      <c r="HP205" s="168"/>
      <c r="HQ205" s="168"/>
      <c r="HR205" s="168"/>
      <c r="HS205" s="168"/>
      <c r="HT205" s="168"/>
      <c r="HU205" s="168"/>
      <c r="HV205" s="168"/>
      <c r="HW205" s="168"/>
      <c r="HX205" s="168"/>
      <c r="HY205" s="168"/>
      <c r="HZ205" s="168"/>
      <c r="IA205" s="168"/>
      <c r="IB205" s="168"/>
      <c r="IC205" s="168"/>
      <c r="ID205" s="168"/>
      <c r="IE205" s="168"/>
      <c r="IF205" s="168"/>
      <c r="IG205" s="168"/>
      <c r="IH205" s="168"/>
      <c r="II205" s="168"/>
      <c r="IJ205" s="168"/>
      <c r="IK205" s="168"/>
      <c r="IL205" s="168"/>
      <c r="IM205" s="168"/>
      <c r="IN205" s="168"/>
      <c r="IO205" s="168"/>
      <c r="IP205" s="168"/>
      <c r="IQ205" s="168"/>
      <c r="IR205" s="168"/>
      <c r="IS205" s="168"/>
      <c r="IT205" s="168"/>
      <c r="IU205" s="168"/>
      <c r="IV205" s="168"/>
      <c r="IW205" s="168"/>
      <c r="IX205" s="168"/>
      <c r="IY205" s="168"/>
      <c r="IZ205" s="168"/>
      <c r="JA205" s="168"/>
      <c r="JB205" s="168"/>
      <c r="JC205" s="168"/>
      <c r="JD205" s="168"/>
      <c r="JE205" s="168"/>
      <c r="JF205" s="168"/>
      <c r="JG205" s="168"/>
      <c r="JH205" s="168"/>
      <c r="JI205" s="168"/>
      <c r="JJ205" s="168"/>
      <c r="JK205" s="168"/>
      <c r="JL205" s="168"/>
      <c r="JM205" s="168"/>
      <c r="JN205" s="168"/>
      <c r="JO205" s="168"/>
      <c r="JP205" s="168"/>
      <c r="JQ205" s="168"/>
      <c r="JR205" s="168"/>
      <c r="JS205" s="168"/>
      <c r="JT205" s="168"/>
      <c r="JU205" s="168"/>
      <c r="JV205" s="168"/>
      <c r="JW205" s="168"/>
      <c r="JX205" s="168"/>
      <c r="JY205" s="168"/>
      <c r="JZ205" s="168"/>
      <c r="KA205" s="168"/>
      <c r="KB205" s="168"/>
      <c r="KC205" s="168"/>
      <c r="KD205" s="168"/>
      <c r="KE205" s="168"/>
      <c r="KF205" s="168"/>
      <c r="KG205" s="168"/>
      <c r="KH205" s="168"/>
      <c r="KI205" s="168"/>
      <c r="KJ205" s="168"/>
      <c r="KK205" s="168"/>
      <c r="KL205" s="168"/>
      <c r="KM205" s="168"/>
      <c r="KN205" s="168"/>
      <c r="KO205" s="168"/>
      <c r="KP205" s="168"/>
      <c r="KQ205" s="168"/>
      <c r="KR205" s="168"/>
      <c r="KS205" s="168"/>
      <c r="KT205" s="168"/>
      <c r="KU205" s="168"/>
      <c r="KV205" s="168"/>
      <c r="KW205" s="168"/>
      <c r="KX205" s="168"/>
      <c r="KY205" s="168"/>
      <c r="KZ205" s="168"/>
      <c r="LA205" s="168"/>
      <c r="LB205" s="168"/>
      <c r="LC205" s="168"/>
      <c r="LD205" s="168"/>
      <c r="LE205" s="168"/>
      <c r="LF205" s="168"/>
      <c r="LG205" s="168"/>
      <c r="LH205" s="168"/>
      <c r="LI205" s="168"/>
      <c r="LJ205" s="168"/>
      <c r="LK205" s="168"/>
      <c r="LL205" s="168"/>
      <c r="LM205" s="168"/>
      <c r="LN205" s="168"/>
      <c r="LO205" s="168"/>
      <c r="LP205" s="606"/>
      <c r="LQ205" s="609"/>
      <c r="LR205" s="1319"/>
      <c r="LS205" s="1319"/>
    </row>
    <row r="206" spans="1:331" s="2" customFormat="1" ht="15" customHeight="1" x14ac:dyDescent="0.25">
      <c r="A206" s="283"/>
      <c r="B206" s="303"/>
      <c r="C206" s="301"/>
      <c r="D206" s="2753"/>
      <c r="E206" s="2298"/>
      <c r="F206" s="1812"/>
      <c r="G206" s="3342"/>
      <c r="H206" s="66"/>
      <c r="I206" s="1746"/>
      <c r="J206" s="1214"/>
      <c r="K206" s="105"/>
      <c r="L206" s="91"/>
      <c r="M206" s="92"/>
      <c r="N206" s="93"/>
      <c r="O206" s="94"/>
      <c r="P206" s="96"/>
      <c r="Q206" s="95"/>
      <c r="R206" s="993">
        <f t="shared" si="431"/>
        <v>0</v>
      </c>
      <c r="S206" s="23">
        <f t="shared" si="432"/>
        <v>0</v>
      </c>
      <c r="T206" s="24">
        <f t="shared" si="433"/>
        <v>0</v>
      </c>
      <c r="U206" s="24">
        <f t="shared" si="434"/>
        <v>0</v>
      </c>
      <c r="V206" s="24">
        <f t="shared" si="435"/>
        <v>0</v>
      </c>
      <c r="W206" s="24">
        <f t="shared" ca="1" si="436"/>
        <v>0</v>
      </c>
      <c r="X206" s="72">
        <f t="shared" ca="1" si="386"/>
        <v>0</v>
      </c>
      <c r="Y206" s="72">
        <f t="shared" si="437"/>
        <v>0</v>
      </c>
      <c r="Z206" s="24">
        <f t="shared" si="438"/>
        <v>0</v>
      </c>
      <c r="AA206" s="72">
        <f t="shared" si="387"/>
        <v>0</v>
      </c>
      <c r="AB206" s="24">
        <f t="shared" si="388"/>
        <v>0</v>
      </c>
      <c r="AC206" s="24">
        <f t="shared" ca="1" si="439"/>
        <v>0</v>
      </c>
      <c r="AD206" s="24">
        <f t="shared" si="389"/>
        <v>0</v>
      </c>
      <c r="AE206" s="2078">
        <f t="shared" ref="AE206:AE208" si="500">IF(N206="",3,IF(AND(L206&gt;0,M206&gt;0),2,1))</f>
        <v>3</v>
      </c>
      <c r="AF206" s="2078">
        <f t="shared" ref="AF206:AF208" si="501">IF(AND(ISNUMBER(VALUE(L206)),RIGHT(L206,1)="0"),(L206+0.00001),L206)</f>
        <v>0</v>
      </c>
      <c r="AG206" s="2078">
        <f t="shared" ref="AG206:AG208" si="502">IF(AND(ISNUMBER(VALUE(M206)),RIGHT(M206,1)="0"),(M206+0.00001),M206)</f>
        <v>0</v>
      </c>
      <c r="AH206" s="2521">
        <f t="shared" si="390"/>
        <v>1</v>
      </c>
      <c r="AI206" s="25" t="str">
        <f t="shared" si="443"/>
        <v/>
      </c>
      <c r="AJ206" s="2521">
        <f t="shared" ca="1" si="391"/>
        <v>0</v>
      </c>
      <c r="AK206" s="2076">
        <f t="shared" ca="1" si="392"/>
        <v>0</v>
      </c>
      <c r="AL206" s="2078">
        <f>IF(ISBLANK(J206),0,ISERROR(MATCH(J206,'5  Control Accounts'!$FA$29:$FA$96,0))*1)</f>
        <v>0</v>
      </c>
      <c r="AM206" s="2076">
        <f t="shared" si="444"/>
        <v>0</v>
      </c>
      <c r="AN206" s="2078">
        <f t="shared" si="445"/>
        <v>1</v>
      </c>
      <c r="AO206" s="2079">
        <f t="shared" si="393"/>
        <v>1</v>
      </c>
      <c r="AP206" s="2079">
        <f t="shared" si="394"/>
        <v>0</v>
      </c>
      <c r="AQ206" s="2079">
        <f t="shared" si="395"/>
        <v>0</v>
      </c>
      <c r="AR206" s="2079">
        <f t="shared" si="396"/>
        <v>0</v>
      </c>
      <c r="AS206" s="2079">
        <f t="shared" si="397"/>
        <v>0</v>
      </c>
      <c r="AT206" s="2079">
        <f t="shared" si="398"/>
        <v>0</v>
      </c>
      <c r="AU206" s="2079">
        <f t="shared" si="399"/>
        <v>0</v>
      </c>
      <c r="AV206" s="2079">
        <f t="shared" si="400"/>
        <v>0</v>
      </c>
      <c r="AW206" s="2079">
        <f t="shared" si="401"/>
        <v>0</v>
      </c>
      <c r="AX206" s="2079">
        <f t="shared" si="402"/>
        <v>0</v>
      </c>
      <c r="AY206" s="2078">
        <f t="shared" si="446"/>
        <v>0</v>
      </c>
      <c r="AZ206" s="2078">
        <f t="shared" si="447"/>
        <v>0</v>
      </c>
      <c r="BA206" s="2078">
        <f t="shared" si="448"/>
        <v>0</v>
      </c>
      <c r="BB206" s="2078">
        <f t="shared" si="449"/>
        <v>0</v>
      </c>
      <c r="BC206" s="2078">
        <f t="shared" si="450"/>
        <v>0</v>
      </c>
      <c r="BD206" s="2078">
        <f t="shared" si="451"/>
        <v>0</v>
      </c>
      <c r="BE206" s="2078">
        <f t="shared" si="452"/>
        <v>0</v>
      </c>
      <c r="BF206" s="2078">
        <f t="shared" si="453"/>
        <v>0</v>
      </c>
      <c r="BG206" s="2078">
        <f t="shared" si="454"/>
        <v>0</v>
      </c>
      <c r="BH206" s="2078">
        <f t="shared" si="455"/>
        <v>0</v>
      </c>
      <c r="BI206" s="2078">
        <f t="shared" si="456"/>
        <v>0</v>
      </c>
      <c r="BJ206" s="2078">
        <f t="shared" si="457"/>
        <v>0</v>
      </c>
      <c r="BK206" s="2078">
        <f t="shared" si="458"/>
        <v>0</v>
      </c>
      <c r="BL206" s="2078">
        <f t="shared" si="459"/>
        <v>0</v>
      </c>
      <c r="BM206" s="2078">
        <f t="shared" si="460"/>
        <v>0</v>
      </c>
      <c r="BN206" s="2078">
        <f t="shared" si="461"/>
        <v>0</v>
      </c>
      <c r="BO206" s="2078">
        <f t="shared" si="462"/>
        <v>0</v>
      </c>
      <c r="BP206" s="2078">
        <f t="shared" si="463"/>
        <v>0</v>
      </c>
      <c r="BQ206" s="2078">
        <f t="shared" si="464"/>
        <v>0</v>
      </c>
      <c r="BR206" s="2078">
        <f t="shared" si="465"/>
        <v>0</v>
      </c>
      <c r="BS206" s="2079">
        <f t="shared" si="403"/>
        <v>1</v>
      </c>
      <c r="BT206" s="2079">
        <f t="shared" si="404"/>
        <v>0</v>
      </c>
      <c r="BU206" s="2079">
        <f t="shared" si="405"/>
        <v>0</v>
      </c>
      <c r="BV206" s="2079">
        <f t="shared" si="406"/>
        <v>0</v>
      </c>
      <c r="BW206" s="2079">
        <f t="shared" si="407"/>
        <v>0</v>
      </c>
      <c r="BX206" s="2079">
        <f t="shared" si="408"/>
        <v>0</v>
      </c>
      <c r="BY206" s="2079">
        <f t="shared" si="409"/>
        <v>0</v>
      </c>
      <c r="BZ206" s="2079">
        <f t="shared" si="410"/>
        <v>0</v>
      </c>
      <c r="CA206" s="2079">
        <f t="shared" si="411"/>
        <v>0</v>
      </c>
      <c r="CB206" s="2079">
        <f t="shared" si="412"/>
        <v>0</v>
      </c>
      <c r="CC206" s="2078">
        <f t="shared" ca="1" si="466"/>
        <v>0</v>
      </c>
      <c r="CD206" s="2078">
        <f t="shared" ca="1" si="467"/>
        <v>0</v>
      </c>
      <c r="CE206" s="2078">
        <f t="shared" ca="1" si="468"/>
        <v>0</v>
      </c>
      <c r="CF206" s="2078">
        <f t="shared" ca="1" si="469"/>
        <v>0</v>
      </c>
      <c r="CG206" s="2078">
        <f t="shared" ca="1" si="470"/>
        <v>0</v>
      </c>
      <c r="CH206" s="2078">
        <f t="shared" ca="1" si="471"/>
        <v>0</v>
      </c>
      <c r="CI206" s="2078">
        <f t="shared" ca="1" si="472"/>
        <v>0</v>
      </c>
      <c r="CJ206" s="2078">
        <f t="shared" ca="1" si="473"/>
        <v>0</v>
      </c>
      <c r="CK206" s="2078">
        <f t="shared" ca="1" si="474"/>
        <v>0</v>
      </c>
      <c r="CL206" s="2078">
        <f t="shared" ca="1" si="475"/>
        <v>0</v>
      </c>
      <c r="CM206" s="2078">
        <f t="shared" ref="CM206:CM208" si="503">IF(ISBLANK(DD206),1,DD206)*IF(FO206="P",1-GP206,1)</f>
        <v>1</v>
      </c>
      <c r="CN206" s="2078">
        <f t="shared" ref="CN206:CN208" si="504">IF(DC206=$CN$171,0,1)</f>
        <v>1</v>
      </c>
      <c r="CO206" s="2078">
        <f t="shared" si="415"/>
        <v>1</v>
      </c>
      <c r="CP206" s="2078">
        <f t="shared" si="478"/>
        <v>1</v>
      </c>
      <c r="CQ206" s="2078">
        <f t="shared" si="416"/>
        <v>0</v>
      </c>
      <c r="CR206" s="2078">
        <f t="shared" si="417"/>
        <v>0</v>
      </c>
      <c r="CS206" s="2078">
        <f t="shared" si="479"/>
        <v>0</v>
      </c>
      <c r="CT206" s="2078">
        <f t="shared" si="418"/>
        <v>1</v>
      </c>
      <c r="CU206" s="2078">
        <f t="shared" si="480"/>
        <v>1</v>
      </c>
      <c r="CV206" s="2078">
        <f t="shared" si="419"/>
        <v>0</v>
      </c>
      <c r="CW206" s="2078">
        <f>IF(OR(AE206&lt;&gt;3,F206="Exclude"),0,IF(ISERROR(MATCH($E206,'4 Sign-off'!$S$123:$X$123,0)),0,1))</f>
        <v>0</v>
      </c>
      <c r="CX206" s="2078">
        <f t="shared" si="481"/>
        <v>0</v>
      </c>
      <c r="CY206" s="2078">
        <f t="shared" ref="CY206:CY208" si="505">CHOOSE($CY$163,CO206,CP206,CX206)</f>
        <v>0</v>
      </c>
      <c r="CZ206" s="2993">
        <f t="shared" ca="1" si="483"/>
        <v>0</v>
      </c>
      <c r="DA206" s="3037">
        <f t="shared" ca="1" si="484"/>
        <v>0</v>
      </c>
      <c r="DB206" s="1664"/>
      <c r="DC206" s="1320"/>
      <c r="DD206" s="589"/>
      <c r="DE206" s="1321"/>
      <c r="DF206" s="107"/>
      <c r="DG206" s="112"/>
      <c r="DH206" s="140"/>
      <c r="DI206" s="22"/>
      <c r="DJ206" s="145"/>
      <c r="DK206" s="137"/>
      <c r="DL206" s="137"/>
      <c r="DM206" s="137"/>
      <c r="DN206" s="137"/>
      <c r="DO206" s="137"/>
      <c r="DP206" s="137"/>
      <c r="DQ206" s="137"/>
      <c r="DR206" s="137"/>
      <c r="DS206" s="137"/>
      <c r="DT206" s="137"/>
      <c r="DU206" s="137"/>
      <c r="DV206" s="137"/>
      <c r="DW206" s="137"/>
      <c r="DX206" s="137"/>
      <c r="DY206" s="137"/>
      <c r="DZ206" s="137"/>
      <c r="EA206" s="137"/>
      <c r="EB206" s="137"/>
      <c r="EC206" s="137"/>
      <c r="ED206" s="137"/>
      <c r="EE206" s="137"/>
      <c r="EF206" s="137"/>
      <c r="EG206" s="137"/>
      <c r="EH206" s="137"/>
      <c r="EI206" s="137"/>
      <c r="EJ206" s="137"/>
      <c r="EK206" s="137"/>
      <c r="EL206" s="137"/>
      <c r="EM206" s="137"/>
      <c r="EN206" s="137"/>
      <c r="EO206" s="137"/>
      <c r="EP206" s="137"/>
      <c r="EQ206" s="137"/>
      <c r="ER206" s="137"/>
      <c r="ES206" s="137"/>
      <c r="ET206" s="137"/>
      <c r="EU206" s="137"/>
      <c r="EV206" s="137"/>
      <c r="EW206" s="137"/>
      <c r="EX206" s="137"/>
      <c r="EY206" s="137"/>
      <c r="EZ206" s="137"/>
      <c r="FA206" s="137"/>
      <c r="FB206" s="137"/>
      <c r="FC206" s="137"/>
      <c r="FD206" s="137"/>
      <c r="FE206" s="137"/>
      <c r="FF206" s="137"/>
      <c r="FG206" s="860"/>
      <c r="FH206" s="2754"/>
      <c r="FI206" s="1318"/>
      <c r="FJ206" s="126"/>
      <c r="FK206" s="127"/>
      <c r="FL206" s="128" t="str">
        <f t="shared" si="485"/>
        <v xml:space="preserve">    </v>
      </c>
      <c r="FM206" s="128"/>
      <c r="FN206" s="1686">
        <f t="shared" si="486"/>
        <v>0</v>
      </c>
      <c r="FO206" s="46">
        <f t="shared" ref="FO206:FO208" si="506">IF(AND($C$7="F",GR206="P"),"P",0)</f>
        <v>0</v>
      </c>
      <c r="FP206" s="46">
        <f t="shared" ref="FP206:FP208" si="507">IFERROR(1/FQ206,1)</f>
        <v>1</v>
      </c>
      <c r="FQ206" s="75">
        <f t="shared" si="489"/>
        <v>0</v>
      </c>
      <c r="FR206" s="46">
        <f t="shared" ref="FR206:FR208" si="508">SUM(GT206:LQ206)</f>
        <v>0</v>
      </c>
      <c r="FS206" s="46">
        <f t="shared" ref="FS206:FS208" si="509">IFERROR(AN206/FQ206,1)</f>
        <v>1</v>
      </c>
      <c r="FT206" s="75">
        <f t="shared" si="492"/>
        <v>0</v>
      </c>
      <c r="FU206" s="2603">
        <f t="shared" ref="FU206:FU208" si="510">(DE206*IF(ISBLANK($DD206),1,$DD206))+(SUMPRODUCT(DJ206:FH206,$DJ$65:$FH$65)*IF(GR206="T",SUM(GT206:LQ206),IF(ISBLANK(DH206),1,DH206)))</f>
        <v>0</v>
      </c>
      <c r="FV206" s="2607">
        <f t="shared" ref="FV206:FV208" si="511">IF(GR206="T",SUMPRODUCT(GT206:LQ206,$GT$20:$LQ$20)/SUM(GT206:LQ206),GP206)</f>
        <v>0</v>
      </c>
      <c r="FW206" s="2603">
        <f t="shared" ref="FW206:FW208" si="512">IF(GR206&gt;0,FU206*FV206,0)</f>
        <v>0</v>
      </c>
      <c r="FX206" s="2631">
        <f t="shared" ref="FX206:FX208" si="513">IF(SUM(DE206:FH206)&gt;0,1,0)</f>
        <v>0</v>
      </c>
      <c r="FY206" s="81" t="e">
        <f t="shared" si="382"/>
        <v>#N/A</v>
      </c>
      <c r="FZ206" s="64" t="e">
        <f t="array" ref="FZ206">MATCH(1,($GT206:$LQ206&gt;0)*$GT$25:$LQ$25,0)</f>
        <v>#N/A</v>
      </c>
      <c r="GA206" s="64" t="e">
        <f t="array" ref="GA206">MATCH(2,1/(GT206:LQ206&gt;0))</f>
        <v>#N/A</v>
      </c>
      <c r="GB206" s="64">
        <f t="shared" si="497"/>
        <v>-1</v>
      </c>
      <c r="GC206" s="46"/>
      <c r="GD206" s="613"/>
      <c r="GE206" s="613"/>
      <c r="GF206" s="613"/>
      <c r="GG206" s="613"/>
      <c r="GH206" s="613"/>
      <c r="GI206" s="613"/>
      <c r="GJ206" s="613"/>
      <c r="GK206" s="613"/>
      <c r="GL206" s="613"/>
      <c r="GM206" s="613"/>
      <c r="GN206" s="385">
        <f t="shared" si="498"/>
        <v>0</v>
      </c>
      <c r="GO206" s="386">
        <f t="shared" si="499"/>
        <v>0</v>
      </c>
      <c r="GP206" s="2635"/>
      <c r="GQ206" s="175"/>
      <c r="GR206" s="172"/>
      <c r="GS206" s="65"/>
      <c r="GT206" s="167"/>
      <c r="GU206" s="168"/>
      <c r="GV206" s="168"/>
      <c r="GW206" s="168"/>
      <c r="GX206" s="168"/>
      <c r="GY206" s="168"/>
      <c r="GZ206" s="168"/>
      <c r="HA206" s="168"/>
      <c r="HB206" s="168"/>
      <c r="HC206" s="168"/>
      <c r="HD206" s="168"/>
      <c r="HE206" s="168"/>
      <c r="HF206" s="168"/>
      <c r="HG206" s="168"/>
      <c r="HH206" s="168"/>
      <c r="HI206" s="168"/>
      <c r="HJ206" s="168"/>
      <c r="HK206" s="168"/>
      <c r="HL206" s="168"/>
      <c r="HM206" s="168"/>
      <c r="HN206" s="168"/>
      <c r="HO206" s="168"/>
      <c r="HP206" s="168"/>
      <c r="HQ206" s="168"/>
      <c r="HR206" s="168"/>
      <c r="HS206" s="168"/>
      <c r="HT206" s="168"/>
      <c r="HU206" s="168"/>
      <c r="HV206" s="168"/>
      <c r="HW206" s="168"/>
      <c r="HX206" s="168"/>
      <c r="HY206" s="168"/>
      <c r="HZ206" s="168"/>
      <c r="IA206" s="168"/>
      <c r="IB206" s="168"/>
      <c r="IC206" s="168"/>
      <c r="ID206" s="168"/>
      <c r="IE206" s="168"/>
      <c r="IF206" s="168"/>
      <c r="IG206" s="168"/>
      <c r="IH206" s="168"/>
      <c r="II206" s="168"/>
      <c r="IJ206" s="168"/>
      <c r="IK206" s="168"/>
      <c r="IL206" s="168"/>
      <c r="IM206" s="168"/>
      <c r="IN206" s="168"/>
      <c r="IO206" s="168"/>
      <c r="IP206" s="168"/>
      <c r="IQ206" s="168"/>
      <c r="IR206" s="168"/>
      <c r="IS206" s="168"/>
      <c r="IT206" s="168"/>
      <c r="IU206" s="168"/>
      <c r="IV206" s="168"/>
      <c r="IW206" s="168"/>
      <c r="IX206" s="168"/>
      <c r="IY206" s="168"/>
      <c r="IZ206" s="168"/>
      <c r="JA206" s="168"/>
      <c r="JB206" s="168"/>
      <c r="JC206" s="168"/>
      <c r="JD206" s="168"/>
      <c r="JE206" s="168"/>
      <c r="JF206" s="168"/>
      <c r="JG206" s="168"/>
      <c r="JH206" s="168"/>
      <c r="JI206" s="168"/>
      <c r="JJ206" s="168"/>
      <c r="JK206" s="168"/>
      <c r="JL206" s="168"/>
      <c r="JM206" s="168"/>
      <c r="JN206" s="168"/>
      <c r="JO206" s="168"/>
      <c r="JP206" s="168"/>
      <c r="JQ206" s="168"/>
      <c r="JR206" s="168"/>
      <c r="JS206" s="168"/>
      <c r="JT206" s="168"/>
      <c r="JU206" s="168"/>
      <c r="JV206" s="168"/>
      <c r="JW206" s="168"/>
      <c r="JX206" s="168"/>
      <c r="JY206" s="168"/>
      <c r="JZ206" s="168"/>
      <c r="KA206" s="168"/>
      <c r="KB206" s="168"/>
      <c r="KC206" s="168"/>
      <c r="KD206" s="168"/>
      <c r="KE206" s="168"/>
      <c r="KF206" s="168"/>
      <c r="KG206" s="168"/>
      <c r="KH206" s="168"/>
      <c r="KI206" s="168"/>
      <c r="KJ206" s="168"/>
      <c r="KK206" s="168"/>
      <c r="KL206" s="168"/>
      <c r="KM206" s="168"/>
      <c r="KN206" s="168"/>
      <c r="KO206" s="168"/>
      <c r="KP206" s="168"/>
      <c r="KQ206" s="168"/>
      <c r="KR206" s="168"/>
      <c r="KS206" s="168"/>
      <c r="KT206" s="168"/>
      <c r="KU206" s="168"/>
      <c r="KV206" s="168"/>
      <c r="KW206" s="168"/>
      <c r="KX206" s="168"/>
      <c r="KY206" s="168"/>
      <c r="KZ206" s="168"/>
      <c r="LA206" s="168"/>
      <c r="LB206" s="168"/>
      <c r="LC206" s="168"/>
      <c r="LD206" s="168"/>
      <c r="LE206" s="168"/>
      <c r="LF206" s="168"/>
      <c r="LG206" s="168"/>
      <c r="LH206" s="168"/>
      <c r="LI206" s="168"/>
      <c r="LJ206" s="168"/>
      <c r="LK206" s="168"/>
      <c r="LL206" s="168"/>
      <c r="LM206" s="168"/>
      <c r="LN206" s="168"/>
      <c r="LO206" s="168"/>
      <c r="LP206" s="606"/>
      <c r="LQ206" s="609"/>
      <c r="LR206" s="1319"/>
      <c r="LS206" s="1319"/>
    </row>
    <row r="207" spans="1:331" s="2" customFormat="1" ht="15" customHeight="1" x14ac:dyDescent="0.25">
      <c r="A207" s="283"/>
      <c r="B207" s="303"/>
      <c r="C207" s="301"/>
      <c r="D207" s="2753"/>
      <c r="E207" s="2298"/>
      <c r="F207" s="1812"/>
      <c r="G207" s="3342"/>
      <c r="H207" s="66"/>
      <c r="I207" s="1746"/>
      <c r="J207" s="1214"/>
      <c r="K207" s="105"/>
      <c r="L207" s="91"/>
      <c r="M207" s="92"/>
      <c r="N207" s="93"/>
      <c r="O207" s="94"/>
      <c r="P207" s="96"/>
      <c r="Q207" s="95"/>
      <c r="R207" s="993">
        <f t="shared" si="431"/>
        <v>0</v>
      </c>
      <c r="S207" s="23">
        <f t="shared" si="432"/>
        <v>0</v>
      </c>
      <c r="T207" s="24">
        <f t="shared" si="433"/>
        <v>0</v>
      </c>
      <c r="U207" s="24">
        <f t="shared" si="434"/>
        <v>0</v>
      </c>
      <c r="V207" s="24">
        <f t="shared" si="435"/>
        <v>0</v>
      </c>
      <c r="W207" s="24">
        <f t="shared" ca="1" si="436"/>
        <v>0</v>
      </c>
      <c r="X207" s="72">
        <f t="shared" ca="1" si="386"/>
        <v>0</v>
      </c>
      <c r="Y207" s="72">
        <f t="shared" si="437"/>
        <v>0</v>
      </c>
      <c r="Z207" s="24">
        <f t="shared" si="438"/>
        <v>0</v>
      </c>
      <c r="AA207" s="72">
        <f t="shared" si="387"/>
        <v>0</v>
      </c>
      <c r="AB207" s="24">
        <f t="shared" si="388"/>
        <v>0</v>
      </c>
      <c r="AC207" s="24">
        <f t="shared" ca="1" si="439"/>
        <v>0</v>
      </c>
      <c r="AD207" s="24">
        <f t="shared" si="389"/>
        <v>0</v>
      </c>
      <c r="AE207" s="2078">
        <f t="shared" si="500"/>
        <v>3</v>
      </c>
      <c r="AF207" s="2078">
        <f t="shared" si="501"/>
        <v>0</v>
      </c>
      <c r="AG207" s="2078">
        <f t="shared" si="502"/>
        <v>0</v>
      </c>
      <c r="AH207" s="2521">
        <f t="shared" si="390"/>
        <v>1</v>
      </c>
      <c r="AI207" s="25" t="str">
        <f t="shared" si="443"/>
        <v/>
      </c>
      <c r="AJ207" s="2521">
        <f t="shared" ca="1" si="391"/>
        <v>0</v>
      </c>
      <c r="AK207" s="2076">
        <f t="shared" ca="1" si="392"/>
        <v>0</v>
      </c>
      <c r="AL207" s="2078">
        <f>IF(ISBLANK(J207),0,ISERROR(MATCH(J207,'5  Control Accounts'!$FA$29:$FA$96,0))*1)</f>
        <v>0</v>
      </c>
      <c r="AM207" s="2076">
        <f t="shared" si="444"/>
        <v>0</v>
      </c>
      <c r="AN207" s="2078">
        <f t="shared" si="445"/>
        <v>1</v>
      </c>
      <c r="AO207" s="2079">
        <f t="shared" si="393"/>
        <v>1</v>
      </c>
      <c r="AP207" s="2079">
        <f t="shared" si="394"/>
        <v>0</v>
      </c>
      <c r="AQ207" s="2079">
        <f t="shared" si="395"/>
        <v>0</v>
      </c>
      <c r="AR207" s="2079">
        <f t="shared" si="396"/>
        <v>0</v>
      </c>
      <c r="AS207" s="2079">
        <f t="shared" si="397"/>
        <v>0</v>
      </c>
      <c r="AT207" s="2079">
        <f t="shared" si="398"/>
        <v>0</v>
      </c>
      <c r="AU207" s="2079">
        <f t="shared" si="399"/>
        <v>0</v>
      </c>
      <c r="AV207" s="2079">
        <f t="shared" si="400"/>
        <v>0</v>
      </c>
      <c r="AW207" s="2079">
        <f t="shared" si="401"/>
        <v>0</v>
      </c>
      <c r="AX207" s="2079">
        <f t="shared" si="402"/>
        <v>0</v>
      </c>
      <c r="AY207" s="2078">
        <f t="shared" si="446"/>
        <v>0</v>
      </c>
      <c r="AZ207" s="2078">
        <f t="shared" si="447"/>
        <v>0</v>
      </c>
      <c r="BA207" s="2078">
        <f t="shared" si="448"/>
        <v>0</v>
      </c>
      <c r="BB207" s="2078">
        <f t="shared" si="449"/>
        <v>0</v>
      </c>
      <c r="BC207" s="2078">
        <f t="shared" si="450"/>
        <v>0</v>
      </c>
      <c r="BD207" s="2078">
        <f t="shared" si="451"/>
        <v>0</v>
      </c>
      <c r="BE207" s="2078">
        <f t="shared" si="452"/>
        <v>0</v>
      </c>
      <c r="BF207" s="2078">
        <f t="shared" si="453"/>
        <v>0</v>
      </c>
      <c r="BG207" s="2078">
        <f t="shared" si="454"/>
        <v>0</v>
      </c>
      <c r="BH207" s="2078">
        <f t="shared" si="455"/>
        <v>0</v>
      </c>
      <c r="BI207" s="2078">
        <f t="shared" si="456"/>
        <v>0</v>
      </c>
      <c r="BJ207" s="2078">
        <f t="shared" si="457"/>
        <v>0</v>
      </c>
      <c r="BK207" s="2078">
        <f t="shared" si="458"/>
        <v>0</v>
      </c>
      <c r="BL207" s="2078">
        <f t="shared" si="459"/>
        <v>0</v>
      </c>
      <c r="BM207" s="2078">
        <f t="shared" si="460"/>
        <v>0</v>
      </c>
      <c r="BN207" s="2078">
        <f t="shared" si="461"/>
        <v>0</v>
      </c>
      <c r="BO207" s="2078">
        <f t="shared" si="462"/>
        <v>0</v>
      </c>
      <c r="BP207" s="2078">
        <f t="shared" si="463"/>
        <v>0</v>
      </c>
      <c r="BQ207" s="2078">
        <f t="shared" si="464"/>
        <v>0</v>
      </c>
      <c r="BR207" s="2078">
        <f t="shared" si="465"/>
        <v>0</v>
      </c>
      <c r="BS207" s="2079">
        <f t="shared" si="403"/>
        <v>1</v>
      </c>
      <c r="BT207" s="2079">
        <f t="shared" si="404"/>
        <v>0</v>
      </c>
      <c r="BU207" s="2079">
        <f t="shared" si="405"/>
        <v>0</v>
      </c>
      <c r="BV207" s="2079">
        <f t="shared" si="406"/>
        <v>0</v>
      </c>
      <c r="BW207" s="2079">
        <f t="shared" si="407"/>
        <v>0</v>
      </c>
      <c r="BX207" s="2079">
        <f t="shared" si="408"/>
        <v>0</v>
      </c>
      <c r="BY207" s="2079">
        <f t="shared" si="409"/>
        <v>0</v>
      </c>
      <c r="BZ207" s="2079">
        <f t="shared" si="410"/>
        <v>0</v>
      </c>
      <c r="CA207" s="2079">
        <f t="shared" si="411"/>
        <v>0</v>
      </c>
      <c r="CB207" s="2079">
        <f t="shared" si="412"/>
        <v>0</v>
      </c>
      <c r="CC207" s="2078">
        <f t="shared" ca="1" si="466"/>
        <v>0</v>
      </c>
      <c r="CD207" s="2078">
        <f t="shared" ca="1" si="467"/>
        <v>0</v>
      </c>
      <c r="CE207" s="2078">
        <f t="shared" ca="1" si="468"/>
        <v>0</v>
      </c>
      <c r="CF207" s="2078">
        <f t="shared" ca="1" si="469"/>
        <v>0</v>
      </c>
      <c r="CG207" s="2078">
        <f t="shared" ca="1" si="470"/>
        <v>0</v>
      </c>
      <c r="CH207" s="2078">
        <f t="shared" ca="1" si="471"/>
        <v>0</v>
      </c>
      <c r="CI207" s="2078">
        <f t="shared" ca="1" si="472"/>
        <v>0</v>
      </c>
      <c r="CJ207" s="2078">
        <f t="shared" ca="1" si="473"/>
        <v>0</v>
      </c>
      <c r="CK207" s="2078">
        <f t="shared" ca="1" si="474"/>
        <v>0</v>
      </c>
      <c r="CL207" s="2078">
        <f t="shared" ca="1" si="475"/>
        <v>0</v>
      </c>
      <c r="CM207" s="2078">
        <f t="shared" si="503"/>
        <v>1</v>
      </c>
      <c r="CN207" s="2078">
        <f t="shared" si="504"/>
        <v>1</v>
      </c>
      <c r="CO207" s="2078">
        <f t="shared" si="415"/>
        <v>1</v>
      </c>
      <c r="CP207" s="2078">
        <f t="shared" si="478"/>
        <v>1</v>
      </c>
      <c r="CQ207" s="2078">
        <f t="shared" si="416"/>
        <v>0</v>
      </c>
      <c r="CR207" s="2078">
        <f t="shared" si="417"/>
        <v>0</v>
      </c>
      <c r="CS207" s="2078">
        <f t="shared" si="479"/>
        <v>0</v>
      </c>
      <c r="CT207" s="2078">
        <f t="shared" si="418"/>
        <v>1</v>
      </c>
      <c r="CU207" s="2078">
        <f t="shared" si="480"/>
        <v>1</v>
      </c>
      <c r="CV207" s="2078">
        <f t="shared" si="419"/>
        <v>0</v>
      </c>
      <c r="CW207" s="2078">
        <f>IF(OR(AE207&lt;&gt;3,F207="Exclude"),0,IF(ISERROR(MATCH($E207,'4 Sign-off'!$S$123:$X$123,0)),0,1))</f>
        <v>0</v>
      </c>
      <c r="CX207" s="2078">
        <f t="shared" si="481"/>
        <v>0</v>
      </c>
      <c r="CY207" s="2078">
        <f t="shared" si="505"/>
        <v>0</v>
      </c>
      <c r="CZ207" s="2993">
        <f t="shared" ca="1" si="483"/>
        <v>0</v>
      </c>
      <c r="DA207" s="3037">
        <f t="shared" ca="1" si="484"/>
        <v>0</v>
      </c>
      <c r="DB207" s="1664"/>
      <c r="DC207" s="1320"/>
      <c r="DD207" s="589"/>
      <c r="DE207" s="1321"/>
      <c r="DF207" s="107"/>
      <c r="DG207" s="112"/>
      <c r="DH207" s="140"/>
      <c r="DI207" s="22"/>
      <c r="DJ207" s="145"/>
      <c r="DK207" s="137"/>
      <c r="DL207" s="137"/>
      <c r="DM207" s="137"/>
      <c r="DN207" s="137"/>
      <c r="DO207" s="137"/>
      <c r="DP207" s="137"/>
      <c r="DQ207" s="137"/>
      <c r="DR207" s="137"/>
      <c r="DS207" s="137"/>
      <c r="DT207" s="137"/>
      <c r="DU207" s="137"/>
      <c r="DV207" s="137"/>
      <c r="DW207" s="137"/>
      <c r="DX207" s="137"/>
      <c r="DY207" s="137"/>
      <c r="DZ207" s="137"/>
      <c r="EA207" s="137"/>
      <c r="EB207" s="137"/>
      <c r="EC207" s="137"/>
      <c r="ED207" s="137"/>
      <c r="EE207" s="137"/>
      <c r="EF207" s="137"/>
      <c r="EG207" s="137"/>
      <c r="EH207" s="137"/>
      <c r="EI207" s="137"/>
      <c r="EJ207" s="137"/>
      <c r="EK207" s="137"/>
      <c r="EL207" s="137"/>
      <c r="EM207" s="137"/>
      <c r="EN207" s="137"/>
      <c r="EO207" s="137"/>
      <c r="EP207" s="137"/>
      <c r="EQ207" s="137"/>
      <c r="ER207" s="137"/>
      <c r="ES207" s="137"/>
      <c r="ET207" s="137"/>
      <c r="EU207" s="137"/>
      <c r="EV207" s="137"/>
      <c r="EW207" s="137"/>
      <c r="EX207" s="137"/>
      <c r="EY207" s="137"/>
      <c r="EZ207" s="137"/>
      <c r="FA207" s="137"/>
      <c r="FB207" s="137"/>
      <c r="FC207" s="137"/>
      <c r="FD207" s="137"/>
      <c r="FE207" s="137"/>
      <c r="FF207" s="137"/>
      <c r="FG207" s="860"/>
      <c r="FH207" s="2754"/>
      <c r="FI207" s="1318"/>
      <c r="FJ207" s="126"/>
      <c r="FK207" s="127"/>
      <c r="FL207" s="128" t="str">
        <f t="shared" si="485"/>
        <v xml:space="preserve">    </v>
      </c>
      <c r="FM207" s="128"/>
      <c r="FN207" s="1686">
        <f t="shared" si="486"/>
        <v>0</v>
      </c>
      <c r="FO207" s="46">
        <f t="shared" si="506"/>
        <v>0</v>
      </c>
      <c r="FP207" s="46">
        <f t="shared" si="507"/>
        <v>1</v>
      </c>
      <c r="FQ207" s="75">
        <f t="shared" si="489"/>
        <v>0</v>
      </c>
      <c r="FR207" s="46">
        <f t="shared" si="508"/>
        <v>0</v>
      </c>
      <c r="FS207" s="46">
        <f t="shared" si="509"/>
        <v>1</v>
      </c>
      <c r="FT207" s="75">
        <f t="shared" si="492"/>
        <v>0</v>
      </c>
      <c r="FU207" s="2603">
        <f t="shared" si="510"/>
        <v>0</v>
      </c>
      <c r="FV207" s="2607">
        <f t="shared" si="511"/>
        <v>0</v>
      </c>
      <c r="FW207" s="2603">
        <f t="shared" si="512"/>
        <v>0</v>
      </c>
      <c r="FX207" s="2631">
        <f t="shared" si="513"/>
        <v>0</v>
      </c>
      <c r="FY207" s="81" t="e">
        <f t="shared" si="382"/>
        <v>#N/A</v>
      </c>
      <c r="FZ207" s="64" t="e">
        <f t="array" ref="FZ207">MATCH(1,($GT207:$LQ207&gt;0)*$GT$25:$LQ$25,0)</f>
        <v>#N/A</v>
      </c>
      <c r="GA207" s="64" t="e">
        <f t="array" ref="GA207">MATCH(2,1/(GT207:LQ207&gt;0))</f>
        <v>#N/A</v>
      </c>
      <c r="GB207" s="64">
        <f t="shared" si="497"/>
        <v>-1</v>
      </c>
      <c r="GC207" s="46"/>
      <c r="GD207" s="613"/>
      <c r="GE207" s="613"/>
      <c r="GF207" s="613"/>
      <c r="GG207" s="613"/>
      <c r="GH207" s="613"/>
      <c r="GI207" s="613"/>
      <c r="GJ207" s="613"/>
      <c r="GK207" s="613"/>
      <c r="GL207" s="613"/>
      <c r="GM207" s="613"/>
      <c r="GN207" s="385">
        <f t="shared" si="498"/>
        <v>0</v>
      </c>
      <c r="GO207" s="386">
        <f t="shared" si="499"/>
        <v>0</v>
      </c>
      <c r="GP207" s="2635"/>
      <c r="GQ207" s="175"/>
      <c r="GR207" s="172"/>
      <c r="GS207" s="65"/>
      <c r="GT207" s="167"/>
      <c r="GU207" s="168"/>
      <c r="GV207" s="168"/>
      <c r="GW207" s="168"/>
      <c r="GX207" s="168"/>
      <c r="GY207" s="168"/>
      <c r="GZ207" s="168"/>
      <c r="HA207" s="168"/>
      <c r="HB207" s="168"/>
      <c r="HC207" s="168"/>
      <c r="HD207" s="168"/>
      <c r="HE207" s="168"/>
      <c r="HF207" s="168"/>
      <c r="HG207" s="168"/>
      <c r="HH207" s="168"/>
      <c r="HI207" s="168"/>
      <c r="HJ207" s="168"/>
      <c r="HK207" s="168"/>
      <c r="HL207" s="168"/>
      <c r="HM207" s="168"/>
      <c r="HN207" s="168"/>
      <c r="HO207" s="168"/>
      <c r="HP207" s="168"/>
      <c r="HQ207" s="168"/>
      <c r="HR207" s="168"/>
      <c r="HS207" s="168"/>
      <c r="HT207" s="168"/>
      <c r="HU207" s="168"/>
      <c r="HV207" s="168"/>
      <c r="HW207" s="168"/>
      <c r="HX207" s="168"/>
      <c r="HY207" s="168"/>
      <c r="HZ207" s="168"/>
      <c r="IA207" s="168"/>
      <c r="IB207" s="168"/>
      <c r="IC207" s="168"/>
      <c r="ID207" s="168"/>
      <c r="IE207" s="168"/>
      <c r="IF207" s="168"/>
      <c r="IG207" s="168"/>
      <c r="IH207" s="168"/>
      <c r="II207" s="168"/>
      <c r="IJ207" s="168"/>
      <c r="IK207" s="168"/>
      <c r="IL207" s="168"/>
      <c r="IM207" s="168"/>
      <c r="IN207" s="168"/>
      <c r="IO207" s="168"/>
      <c r="IP207" s="168"/>
      <c r="IQ207" s="168"/>
      <c r="IR207" s="168"/>
      <c r="IS207" s="168"/>
      <c r="IT207" s="168"/>
      <c r="IU207" s="168"/>
      <c r="IV207" s="168"/>
      <c r="IW207" s="168"/>
      <c r="IX207" s="168"/>
      <c r="IY207" s="168"/>
      <c r="IZ207" s="168"/>
      <c r="JA207" s="168"/>
      <c r="JB207" s="168"/>
      <c r="JC207" s="168"/>
      <c r="JD207" s="168"/>
      <c r="JE207" s="168"/>
      <c r="JF207" s="168"/>
      <c r="JG207" s="168"/>
      <c r="JH207" s="168"/>
      <c r="JI207" s="168"/>
      <c r="JJ207" s="168"/>
      <c r="JK207" s="168"/>
      <c r="JL207" s="168"/>
      <c r="JM207" s="168"/>
      <c r="JN207" s="168"/>
      <c r="JO207" s="168"/>
      <c r="JP207" s="168"/>
      <c r="JQ207" s="168"/>
      <c r="JR207" s="168"/>
      <c r="JS207" s="168"/>
      <c r="JT207" s="168"/>
      <c r="JU207" s="168"/>
      <c r="JV207" s="168"/>
      <c r="JW207" s="168"/>
      <c r="JX207" s="168"/>
      <c r="JY207" s="168"/>
      <c r="JZ207" s="168"/>
      <c r="KA207" s="168"/>
      <c r="KB207" s="168"/>
      <c r="KC207" s="168"/>
      <c r="KD207" s="168"/>
      <c r="KE207" s="168"/>
      <c r="KF207" s="168"/>
      <c r="KG207" s="168"/>
      <c r="KH207" s="168"/>
      <c r="KI207" s="168"/>
      <c r="KJ207" s="168"/>
      <c r="KK207" s="168"/>
      <c r="KL207" s="168"/>
      <c r="KM207" s="168"/>
      <c r="KN207" s="168"/>
      <c r="KO207" s="168"/>
      <c r="KP207" s="168"/>
      <c r="KQ207" s="168"/>
      <c r="KR207" s="168"/>
      <c r="KS207" s="168"/>
      <c r="KT207" s="168"/>
      <c r="KU207" s="168"/>
      <c r="KV207" s="168"/>
      <c r="KW207" s="168"/>
      <c r="KX207" s="168"/>
      <c r="KY207" s="168"/>
      <c r="KZ207" s="168"/>
      <c r="LA207" s="168"/>
      <c r="LB207" s="168"/>
      <c r="LC207" s="168"/>
      <c r="LD207" s="168"/>
      <c r="LE207" s="168"/>
      <c r="LF207" s="168"/>
      <c r="LG207" s="168"/>
      <c r="LH207" s="168"/>
      <c r="LI207" s="168"/>
      <c r="LJ207" s="168"/>
      <c r="LK207" s="168"/>
      <c r="LL207" s="168"/>
      <c r="LM207" s="168"/>
      <c r="LN207" s="168"/>
      <c r="LO207" s="168"/>
      <c r="LP207" s="606"/>
      <c r="LQ207" s="609"/>
      <c r="LR207" s="1319"/>
      <c r="LS207" s="1319"/>
    </row>
    <row r="208" spans="1:331" s="2" customFormat="1" ht="15" customHeight="1" x14ac:dyDescent="0.25">
      <c r="A208" s="283"/>
      <c r="B208" s="303"/>
      <c r="C208" s="301"/>
      <c r="D208" s="2753"/>
      <c r="E208" s="2298"/>
      <c r="F208" s="1812"/>
      <c r="G208" s="3342"/>
      <c r="H208" s="66"/>
      <c r="I208" s="1746"/>
      <c r="J208" s="1214"/>
      <c r="K208" s="105"/>
      <c r="L208" s="91"/>
      <c r="M208" s="92"/>
      <c r="N208" s="93"/>
      <c r="O208" s="94"/>
      <c r="P208" s="96"/>
      <c r="Q208" s="95"/>
      <c r="R208" s="993">
        <f t="shared" si="431"/>
        <v>0</v>
      </c>
      <c r="S208" s="23">
        <f t="shared" si="432"/>
        <v>0</v>
      </c>
      <c r="T208" s="24">
        <f t="shared" si="433"/>
        <v>0</v>
      </c>
      <c r="U208" s="24">
        <f t="shared" si="434"/>
        <v>0</v>
      </c>
      <c r="V208" s="24">
        <f t="shared" si="435"/>
        <v>0</v>
      </c>
      <c r="W208" s="24">
        <f t="shared" ca="1" si="436"/>
        <v>0</v>
      </c>
      <c r="X208" s="72">
        <f t="shared" ca="1" si="386"/>
        <v>0</v>
      </c>
      <c r="Y208" s="72">
        <f t="shared" si="437"/>
        <v>0</v>
      </c>
      <c r="Z208" s="24">
        <f t="shared" si="438"/>
        <v>0</v>
      </c>
      <c r="AA208" s="72">
        <f t="shared" si="387"/>
        <v>0</v>
      </c>
      <c r="AB208" s="24">
        <f t="shared" si="388"/>
        <v>0</v>
      </c>
      <c r="AC208" s="24">
        <f t="shared" ca="1" si="439"/>
        <v>0</v>
      </c>
      <c r="AD208" s="24">
        <f t="shared" si="389"/>
        <v>0</v>
      </c>
      <c r="AE208" s="2078">
        <f t="shared" si="500"/>
        <v>3</v>
      </c>
      <c r="AF208" s="2078">
        <f t="shared" si="501"/>
        <v>0</v>
      </c>
      <c r="AG208" s="2078">
        <f t="shared" si="502"/>
        <v>0</v>
      </c>
      <c r="AH208" s="2521">
        <f t="shared" si="390"/>
        <v>1</v>
      </c>
      <c r="AI208" s="25" t="str">
        <f t="shared" si="443"/>
        <v/>
      </c>
      <c r="AJ208" s="2521">
        <f t="shared" ca="1" si="391"/>
        <v>0</v>
      </c>
      <c r="AK208" s="2076">
        <f t="shared" ca="1" si="392"/>
        <v>0</v>
      </c>
      <c r="AL208" s="2078">
        <f>IF(ISBLANK(J208),0,ISERROR(MATCH(J208,'5  Control Accounts'!$FA$29:$FA$96,0))*1)</f>
        <v>0</v>
      </c>
      <c r="AM208" s="2076">
        <f t="shared" si="444"/>
        <v>0</v>
      </c>
      <c r="AN208" s="2078">
        <f t="shared" si="445"/>
        <v>1</v>
      </c>
      <c r="AO208" s="2079">
        <f t="shared" si="393"/>
        <v>1</v>
      </c>
      <c r="AP208" s="2079">
        <f t="shared" si="394"/>
        <v>0</v>
      </c>
      <c r="AQ208" s="2079">
        <f t="shared" si="395"/>
        <v>0</v>
      </c>
      <c r="AR208" s="2079">
        <f t="shared" si="396"/>
        <v>0</v>
      </c>
      <c r="AS208" s="2079">
        <f t="shared" si="397"/>
        <v>0</v>
      </c>
      <c r="AT208" s="2079">
        <f t="shared" si="398"/>
        <v>0</v>
      </c>
      <c r="AU208" s="2079">
        <f t="shared" si="399"/>
        <v>0</v>
      </c>
      <c r="AV208" s="2079">
        <f t="shared" si="400"/>
        <v>0</v>
      </c>
      <c r="AW208" s="2079">
        <f t="shared" si="401"/>
        <v>0</v>
      </c>
      <c r="AX208" s="2079">
        <f t="shared" si="402"/>
        <v>0</v>
      </c>
      <c r="AY208" s="2078">
        <f t="shared" si="446"/>
        <v>0</v>
      </c>
      <c r="AZ208" s="2078">
        <f t="shared" si="447"/>
        <v>0</v>
      </c>
      <c r="BA208" s="2078">
        <f t="shared" si="448"/>
        <v>0</v>
      </c>
      <c r="BB208" s="2078">
        <f t="shared" si="449"/>
        <v>0</v>
      </c>
      <c r="BC208" s="2078">
        <f t="shared" si="450"/>
        <v>0</v>
      </c>
      <c r="BD208" s="2078">
        <f t="shared" si="451"/>
        <v>0</v>
      </c>
      <c r="BE208" s="2078">
        <f t="shared" si="452"/>
        <v>0</v>
      </c>
      <c r="BF208" s="2078">
        <f t="shared" si="453"/>
        <v>0</v>
      </c>
      <c r="BG208" s="2078">
        <f t="shared" si="454"/>
        <v>0</v>
      </c>
      <c r="BH208" s="2078">
        <f t="shared" si="455"/>
        <v>0</v>
      </c>
      <c r="BI208" s="2078">
        <f t="shared" si="456"/>
        <v>0</v>
      </c>
      <c r="BJ208" s="2078">
        <f t="shared" si="457"/>
        <v>0</v>
      </c>
      <c r="BK208" s="2078">
        <f t="shared" si="458"/>
        <v>0</v>
      </c>
      <c r="BL208" s="2078">
        <f t="shared" si="459"/>
        <v>0</v>
      </c>
      <c r="BM208" s="2078">
        <f t="shared" si="460"/>
        <v>0</v>
      </c>
      <c r="BN208" s="2078">
        <f t="shared" si="461"/>
        <v>0</v>
      </c>
      <c r="BO208" s="2078">
        <f t="shared" si="462"/>
        <v>0</v>
      </c>
      <c r="BP208" s="2078">
        <f t="shared" si="463"/>
        <v>0</v>
      </c>
      <c r="BQ208" s="2078">
        <f t="shared" si="464"/>
        <v>0</v>
      </c>
      <c r="BR208" s="2078">
        <f t="shared" si="465"/>
        <v>0</v>
      </c>
      <c r="BS208" s="2079">
        <f t="shared" si="403"/>
        <v>1</v>
      </c>
      <c r="BT208" s="2079">
        <f t="shared" si="404"/>
        <v>0</v>
      </c>
      <c r="BU208" s="2079">
        <f t="shared" si="405"/>
        <v>0</v>
      </c>
      <c r="BV208" s="2079">
        <f t="shared" si="406"/>
        <v>0</v>
      </c>
      <c r="BW208" s="2079">
        <f t="shared" si="407"/>
        <v>0</v>
      </c>
      <c r="BX208" s="2079">
        <f t="shared" si="408"/>
        <v>0</v>
      </c>
      <c r="BY208" s="2079">
        <f t="shared" si="409"/>
        <v>0</v>
      </c>
      <c r="BZ208" s="2079">
        <f t="shared" si="410"/>
        <v>0</v>
      </c>
      <c r="CA208" s="2079">
        <f t="shared" si="411"/>
        <v>0</v>
      </c>
      <c r="CB208" s="2079">
        <f t="shared" si="412"/>
        <v>0</v>
      </c>
      <c r="CC208" s="2078">
        <f t="shared" ca="1" si="466"/>
        <v>0</v>
      </c>
      <c r="CD208" s="2078">
        <f t="shared" ca="1" si="467"/>
        <v>0</v>
      </c>
      <c r="CE208" s="2078">
        <f t="shared" ca="1" si="468"/>
        <v>0</v>
      </c>
      <c r="CF208" s="2078">
        <f t="shared" ca="1" si="469"/>
        <v>0</v>
      </c>
      <c r="CG208" s="2078">
        <f t="shared" ca="1" si="470"/>
        <v>0</v>
      </c>
      <c r="CH208" s="2078">
        <f t="shared" ca="1" si="471"/>
        <v>0</v>
      </c>
      <c r="CI208" s="2078">
        <f t="shared" ca="1" si="472"/>
        <v>0</v>
      </c>
      <c r="CJ208" s="2078">
        <f t="shared" ca="1" si="473"/>
        <v>0</v>
      </c>
      <c r="CK208" s="2078">
        <f t="shared" ca="1" si="474"/>
        <v>0</v>
      </c>
      <c r="CL208" s="2078">
        <f t="shared" ca="1" si="475"/>
        <v>0</v>
      </c>
      <c r="CM208" s="2078">
        <f t="shared" si="503"/>
        <v>1</v>
      </c>
      <c r="CN208" s="2078">
        <f t="shared" si="504"/>
        <v>1</v>
      </c>
      <c r="CO208" s="2078">
        <f t="shared" si="415"/>
        <v>1</v>
      </c>
      <c r="CP208" s="2078">
        <f t="shared" si="478"/>
        <v>1</v>
      </c>
      <c r="CQ208" s="2078">
        <f t="shared" si="416"/>
        <v>0</v>
      </c>
      <c r="CR208" s="2078">
        <f t="shared" si="417"/>
        <v>0</v>
      </c>
      <c r="CS208" s="2078">
        <f t="shared" si="479"/>
        <v>0</v>
      </c>
      <c r="CT208" s="2078">
        <f t="shared" si="418"/>
        <v>1</v>
      </c>
      <c r="CU208" s="2078">
        <f t="shared" si="480"/>
        <v>1</v>
      </c>
      <c r="CV208" s="2078">
        <f t="shared" si="419"/>
        <v>0</v>
      </c>
      <c r="CW208" s="2078">
        <f>IF(OR(AE208&lt;&gt;3,F208="Exclude"),0,IF(ISERROR(MATCH($E208,'4 Sign-off'!$S$123:$X$123,0)),0,1))</f>
        <v>0</v>
      </c>
      <c r="CX208" s="2078">
        <f t="shared" si="481"/>
        <v>0</v>
      </c>
      <c r="CY208" s="2078">
        <f t="shared" si="505"/>
        <v>0</v>
      </c>
      <c r="CZ208" s="2993">
        <f t="shared" ca="1" si="483"/>
        <v>0</v>
      </c>
      <c r="DA208" s="3037">
        <f t="shared" ca="1" si="484"/>
        <v>0</v>
      </c>
      <c r="DB208" s="1664"/>
      <c r="DC208" s="1320"/>
      <c r="DD208" s="589"/>
      <c r="DE208" s="1321"/>
      <c r="DF208" s="107"/>
      <c r="DG208" s="112"/>
      <c r="DH208" s="140"/>
      <c r="DI208" s="22"/>
      <c r="DJ208" s="145"/>
      <c r="DK208" s="137"/>
      <c r="DL208" s="137"/>
      <c r="DM208" s="137"/>
      <c r="DN208" s="137"/>
      <c r="DO208" s="137"/>
      <c r="DP208" s="137"/>
      <c r="DQ208" s="137"/>
      <c r="DR208" s="137"/>
      <c r="DS208" s="137"/>
      <c r="DT208" s="137"/>
      <c r="DU208" s="137"/>
      <c r="DV208" s="137"/>
      <c r="DW208" s="137"/>
      <c r="DX208" s="137"/>
      <c r="DY208" s="137"/>
      <c r="DZ208" s="137"/>
      <c r="EA208" s="137"/>
      <c r="EB208" s="137"/>
      <c r="EC208" s="137"/>
      <c r="ED208" s="137"/>
      <c r="EE208" s="137"/>
      <c r="EF208" s="137"/>
      <c r="EG208" s="137"/>
      <c r="EH208" s="137"/>
      <c r="EI208" s="137"/>
      <c r="EJ208" s="137"/>
      <c r="EK208" s="137"/>
      <c r="EL208" s="137"/>
      <c r="EM208" s="137"/>
      <c r="EN208" s="137"/>
      <c r="EO208" s="137"/>
      <c r="EP208" s="137"/>
      <c r="EQ208" s="137"/>
      <c r="ER208" s="137"/>
      <c r="ES208" s="137"/>
      <c r="ET208" s="137"/>
      <c r="EU208" s="137"/>
      <c r="EV208" s="137"/>
      <c r="EW208" s="137"/>
      <c r="EX208" s="137"/>
      <c r="EY208" s="137"/>
      <c r="EZ208" s="137"/>
      <c r="FA208" s="137"/>
      <c r="FB208" s="137"/>
      <c r="FC208" s="137"/>
      <c r="FD208" s="137"/>
      <c r="FE208" s="137"/>
      <c r="FF208" s="137"/>
      <c r="FG208" s="860"/>
      <c r="FH208" s="2754"/>
      <c r="FI208" s="1318"/>
      <c r="FJ208" s="126"/>
      <c r="FK208" s="127"/>
      <c r="FL208" s="128" t="str">
        <f t="shared" si="485"/>
        <v xml:space="preserve">    </v>
      </c>
      <c r="FM208" s="128"/>
      <c r="FN208" s="1686">
        <f t="shared" si="486"/>
        <v>0</v>
      </c>
      <c r="FO208" s="46">
        <f t="shared" si="506"/>
        <v>0</v>
      </c>
      <c r="FP208" s="46">
        <f t="shared" si="507"/>
        <v>1</v>
      </c>
      <c r="FQ208" s="75">
        <f t="shared" si="489"/>
        <v>0</v>
      </c>
      <c r="FR208" s="46">
        <f t="shared" si="508"/>
        <v>0</v>
      </c>
      <c r="FS208" s="46">
        <f t="shared" si="509"/>
        <v>1</v>
      </c>
      <c r="FT208" s="75">
        <f t="shared" si="492"/>
        <v>0</v>
      </c>
      <c r="FU208" s="2603">
        <f t="shared" si="510"/>
        <v>0</v>
      </c>
      <c r="FV208" s="2607">
        <f t="shared" si="511"/>
        <v>0</v>
      </c>
      <c r="FW208" s="2603">
        <f t="shared" si="512"/>
        <v>0</v>
      </c>
      <c r="FX208" s="2631">
        <f t="shared" si="513"/>
        <v>0</v>
      </c>
      <c r="FY208" s="81" t="e">
        <f t="shared" si="382"/>
        <v>#N/A</v>
      </c>
      <c r="FZ208" s="64" t="e">
        <f t="array" ref="FZ208">MATCH(1,($GT208:$LQ208&gt;0)*$GT$25:$LQ$25,0)</f>
        <v>#N/A</v>
      </c>
      <c r="GA208" s="64" t="e">
        <f t="array" ref="GA208">MATCH(2,1/(GT208:LQ208&gt;0))</f>
        <v>#N/A</v>
      </c>
      <c r="GB208" s="64">
        <f t="shared" si="497"/>
        <v>-1</v>
      </c>
      <c r="GC208" s="46"/>
      <c r="GD208" s="613"/>
      <c r="GE208" s="613"/>
      <c r="GF208" s="613"/>
      <c r="GG208" s="613"/>
      <c r="GH208" s="613"/>
      <c r="GI208" s="613"/>
      <c r="GJ208" s="613"/>
      <c r="GK208" s="613"/>
      <c r="GL208" s="613"/>
      <c r="GM208" s="613"/>
      <c r="GN208" s="385">
        <f t="shared" si="498"/>
        <v>0</v>
      </c>
      <c r="GO208" s="386">
        <f t="shared" si="499"/>
        <v>0</v>
      </c>
      <c r="GP208" s="2635"/>
      <c r="GQ208" s="175"/>
      <c r="GR208" s="172"/>
      <c r="GS208" s="65"/>
      <c r="GT208" s="167"/>
      <c r="GU208" s="168"/>
      <c r="GV208" s="168"/>
      <c r="GW208" s="168"/>
      <c r="GX208" s="168"/>
      <c r="GY208" s="168"/>
      <c r="GZ208" s="168"/>
      <c r="HA208" s="168"/>
      <c r="HB208" s="168"/>
      <c r="HC208" s="168"/>
      <c r="HD208" s="168"/>
      <c r="HE208" s="168"/>
      <c r="HF208" s="168"/>
      <c r="HG208" s="168"/>
      <c r="HH208" s="168"/>
      <c r="HI208" s="168"/>
      <c r="HJ208" s="168"/>
      <c r="HK208" s="168"/>
      <c r="HL208" s="168"/>
      <c r="HM208" s="168"/>
      <c r="HN208" s="168"/>
      <c r="HO208" s="168"/>
      <c r="HP208" s="168"/>
      <c r="HQ208" s="168"/>
      <c r="HR208" s="168"/>
      <c r="HS208" s="168"/>
      <c r="HT208" s="168"/>
      <c r="HU208" s="168"/>
      <c r="HV208" s="168"/>
      <c r="HW208" s="168"/>
      <c r="HX208" s="168"/>
      <c r="HY208" s="168"/>
      <c r="HZ208" s="168"/>
      <c r="IA208" s="168"/>
      <c r="IB208" s="168"/>
      <c r="IC208" s="168"/>
      <c r="ID208" s="168"/>
      <c r="IE208" s="168"/>
      <c r="IF208" s="168"/>
      <c r="IG208" s="168"/>
      <c r="IH208" s="168"/>
      <c r="II208" s="168"/>
      <c r="IJ208" s="168"/>
      <c r="IK208" s="168"/>
      <c r="IL208" s="168"/>
      <c r="IM208" s="168"/>
      <c r="IN208" s="168"/>
      <c r="IO208" s="168"/>
      <c r="IP208" s="168"/>
      <c r="IQ208" s="168"/>
      <c r="IR208" s="168"/>
      <c r="IS208" s="168"/>
      <c r="IT208" s="168"/>
      <c r="IU208" s="168"/>
      <c r="IV208" s="168"/>
      <c r="IW208" s="168"/>
      <c r="IX208" s="168"/>
      <c r="IY208" s="168"/>
      <c r="IZ208" s="168"/>
      <c r="JA208" s="168"/>
      <c r="JB208" s="168"/>
      <c r="JC208" s="168"/>
      <c r="JD208" s="168"/>
      <c r="JE208" s="168"/>
      <c r="JF208" s="168"/>
      <c r="JG208" s="168"/>
      <c r="JH208" s="168"/>
      <c r="JI208" s="168"/>
      <c r="JJ208" s="168"/>
      <c r="JK208" s="168"/>
      <c r="JL208" s="168"/>
      <c r="JM208" s="168"/>
      <c r="JN208" s="168"/>
      <c r="JO208" s="168"/>
      <c r="JP208" s="168"/>
      <c r="JQ208" s="168"/>
      <c r="JR208" s="168"/>
      <c r="JS208" s="168"/>
      <c r="JT208" s="168"/>
      <c r="JU208" s="168"/>
      <c r="JV208" s="168"/>
      <c r="JW208" s="168"/>
      <c r="JX208" s="168"/>
      <c r="JY208" s="168"/>
      <c r="JZ208" s="168"/>
      <c r="KA208" s="168"/>
      <c r="KB208" s="168"/>
      <c r="KC208" s="168"/>
      <c r="KD208" s="168"/>
      <c r="KE208" s="168"/>
      <c r="KF208" s="168"/>
      <c r="KG208" s="168"/>
      <c r="KH208" s="168"/>
      <c r="KI208" s="168"/>
      <c r="KJ208" s="168"/>
      <c r="KK208" s="168"/>
      <c r="KL208" s="168"/>
      <c r="KM208" s="168"/>
      <c r="KN208" s="168"/>
      <c r="KO208" s="168"/>
      <c r="KP208" s="168"/>
      <c r="KQ208" s="168"/>
      <c r="KR208" s="168"/>
      <c r="KS208" s="168"/>
      <c r="KT208" s="168"/>
      <c r="KU208" s="168"/>
      <c r="KV208" s="168"/>
      <c r="KW208" s="168"/>
      <c r="KX208" s="168"/>
      <c r="KY208" s="168"/>
      <c r="KZ208" s="168"/>
      <c r="LA208" s="168"/>
      <c r="LB208" s="168"/>
      <c r="LC208" s="168"/>
      <c r="LD208" s="168"/>
      <c r="LE208" s="168"/>
      <c r="LF208" s="168"/>
      <c r="LG208" s="168"/>
      <c r="LH208" s="168"/>
      <c r="LI208" s="168"/>
      <c r="LJ208" s="168"/>
      <c r="LK208" s="168"/>
      <c r="LL208" s="168"/>
      <c r="LM208" s="168"/>
      <c r="LN208" s="168"/>
      <c r="LO208" s="168"/>
      <c r="LP208" s="606"/>
      <c r="LQ208" s="609"/>
      <c r="LR208" s="1319"/>
      <c r="LS208" s="1319"/>
    </row>
    <row r="209" spans="1:331" s="2" customFormat="1" ht="15" customHeight="1" x14ac:dyDescent="0.25">
      <c r="A209" s="283"/>
      <c r="B209" s="303"/>
      <c r="C209" s="301"/>
      <c r="D209" s="3339"/>
      <c r="E209" s="2298"/>
      <c r="F209" s="1812"/>
      <c r="G209" s="3342"/>
      <c r="H209" s="66"/>
      <c r="I209" s="1746"/>
      <c r="J209" s="1214"/>
      <c r="K209" s="105"/>
      <c r="L209" s="91"/>
      <c r="M209" s="92"/>
      <c r="N209" s="93"/>
      <c r="O209" s="94"/>
      <c r="P209" s="96"/>
      <c r="Q209" s="95"/>
      <c r="R209" s="993">
        <f t="shared" ref="R209" si="514">CHOOSE(AE209,SUMIFS($T$173:$T$364,$AF$173:$AF$364,AF209,$AE$173:$AE$364,3,$CY$173:$CY$364,1,$AH$173:$AH$364,1),SUMIFS($T$173:$T$364,$AG$173:$AG$364,AG209,$AE$173:$AE$364,3,$CY$173:$CY$364,1,$AH$173:$AH$364,1),T209+U209)</f>
        <v>0</v>
      </c>
      <c r="S209" s="23">
        <f t="shared" ref="S209" si="515">CHOOSE($AE209,SUMIFS($S$173:$S$364,$AF$173:$AF$364,AF209,$CY$173:$CY$364,1),SUMIFS($S$173:$S$364,$AG$173:$AG$364,AG209,$CY$173:$CY$364,1),V209+Y209+AB209)</f>
        <v>0</v>
      </c>
      <c r="T209" s="24">
        <f t="shared" si="433"/>
        <v>0</v>
      </c>
      <c r="U209" s="24">
        <f t="shared" si="434"/>
        <v>0</v>
      </c>
      <c r="V209" s="24">
        <f t="shared" ref="V209" si="516">IF($AE209&lt;&gt;3,0,SUMPRODUCT($DJ209:$FH209,$DJ$30:$FH$30)*$AN209*AH209)</f>
        <v>0</v>
      </c>
      <c r="W209" s="24">
        <f t="shared" ref="W209" ca="1" si="517">IFERROR(X209*SUMPRODUCT($DJ209:$FH209,$DJ$29:$FH$29)/SUM($DJ209:$FH209),0)</f>
        <v>0</v>
      </c>
      <c r="X209" s="72">
        <f t="shared" ref="X209" ca="1" si="518">IF($AE209=3,SUMPRODUCT($BS209:$CB209,CC209:CL209)*AH209,0)</f>
        <v>0</v>
      </c>
      <c r="Y209" s="72">
        <f t="shared" ref="Y209" si="519">IF($AE209=3,SUMPRODUCT($AO209:$AX209,BI209:BR209),0)</f>
        <v>0</v>
      </c>
      <c r="Z209" s="24">
        <f t="shared" ref="Z209" si="520">IF($AE209=3,SUMPRODUCT($AO209:$AX209,AY209:BH209),0)</f>
        <v>0</v>
      </c>
      <c r="AA209" s="72">
        <f t="shared" ref="AA209" si="521">$DE209*$CM209*(1+DF209)*AH209</f>
        <v>0</v>
      </c>
      <c r="AB209" s="24">
        <f t="shared" si="388"/>
        <v>0</v>
      </c>
      <c r="AC209" s="24">
        <f t="shared" ref="AC209" ca="1" si="522">IF($AE209=3,SUMPRODUCT($DJ209:$FH209,$DJ$24:$FH$24)*AN209,0)</f>
        <v>0</v>
      </c>
      <c r="AD209" s="24">
        <f t="shared" ref="AD209" si="523">IF($AE209=3,SUMPRODUCT($DJ209:$FH209,$DJ$22:$FH$22)*AN209,0)</f>
        <v>0</v>
      </c>
      <c r="AE209" s="2078">
        <f t="shared" ref="AE209" si="524">IF(N209="",3,IF(AND(L209&gt;0,M209&gt;0),2,1))</f>
        <v>3</v>
      </c>
      <c r="AF209" s="2078">
        <f t="shared" ref="AF209" si="525">IF(AND(ISNUMBER(VALUE(L209)),RIGHT(L209,1)="0"),(L209+0.00001),L209)</f>
        <v>0</v>
      </c>
      <c r="AG209" s="2078">
        <f t="shared" ref="AG209" si="526">IF(AND(ISNUMBER(VALUE(M209)),RIGHT(M209,1)="0"),(M209+0.00001),M209)</f>
        <v>0</v>
      </c>
      <c r="AH209" s="2521">
        <f t="shared" ref="AH209" si="527">IF(OR($G209="NB",AI209="R"),0,1)</f>
        <v>1</v>
      </c>
      <c r="AI209" s="25" t="str">
        <f t="shared" ref="AI209" si="528">LEFT(J209,1)</f>
        <v/>
      </c>
      <c r="AJ209" s="2521">
        <f t="shared" ref="AJ209" ca="1" si="529">IF(SUM(X209:AB209)=0,0,IF(ISBLANK(DE209),"L","N"))</f>
        <v>0</v>
      </c>
      <c r="AK209" s="2076">
        <f t="shared" ca="1" si="392"/>
        <v>0</v>
      </c>
      <c r="AL209" s="2078">
        <f>IF(ISBLANK(J209),0,ISERROR(MATCH(J209,'5  Control Accounts'!$FA$29:$FA$96,0))*1)</f>
        <v>0</v>
      </c>
      <c r="AM209" s="2076">
        <f t="shared" ref="AM209" si="530">AND($C$6,(T209+U209+AB209)&lt;&gt;0,$F209&lt;&gt;"Exclude",ISBLANK(J209))*1</f>
        <v>0</v>
      </c>
      <c r="AN209" s="2078">
        <f t="shared" ref="AN209" si="531">IF(DE209&gt;0,0,IF(GR209="T",FQ209*(1+B209),IF(ISBLANK(DH209),1+B209,DH209*(1+B209))*IF(FO209="P",1-GP209,1)))</f>
        <v>1</v>
      </c>
      <c r="AO209" s="2079">
        <f t="shared" si="393"/>
        <v>1</v>
      </c>
      <c r="AP209" s="2079">
        <f t="shared" si="394"/>
        <v>0</v>
      </c>
      <c r="AQ209" s="2079">
        <f t="shared" si="395"/>
        <v>0</v>
      </c>
      <c r="AR209" s="2079">
        <f t="shared" si="396"/>
        <v>0</v>
      </c>
      <c r="AS209" s="2079">
        <f t="shared" si="397"/>
        <v>0</v>
      </c>
      <c r="AT209" s="2079">
        <f t="shared" si="398"/>
        <v>0</v>
      </c>
      <c r="AU209" s="2079">
        <f t="shared" si="399"/>
        <v>0</v>
      </c>
      <c r="AV209" s="2079">
        <f t="shared" si="400"/>
        <v>0</v>
      </c>
      <c r="AW209" s="2079">
        <f t="shared" si="401"/>
        <v>0</v>
      </c>
      <c r="AX209" s="2079">
        <f t="shared" si="402"/>
        <v>0</v>
      </c>
      <c r="AY209" s="2078">
        <f t="shared" si="446"/>
        <v>0</v>
      </c>
      <c r="AZ209" s="2078">
        <f t="shared" si="447"/>
        <v>0</v>
      </c>
      <c r="BA209" s="2078">
        <f t="shared" si="448"/>
        <v>0</v>
      </c>
      <c r="BB209" s="2078">
        <f t="shared" si="449"/>
        <v>0</v>
      </c>
      <c r="BC209" s="2078">
        <f t="shared" si="450"/>
        <v>0</v>
      </c>
      <c r="BD209" s="2078">
        <f t="shared" si="451"/>
        <v>0</v>
      </c>
      <c r="BE209" s="2078">
        <f t="shared" si="452"/>
        <v>0</v>
      </c>
      <c r="BF209" s="2078">
        <f t="shared" si="453"/>
        <v>0</v>
      </c>
      <c r="BG209" s="2078">
        <f t="shared" si="454"/>
        <v>0</v>
      </c>
      <c r="BH209" s="2078">
        <f t="shared" si="455"/>
        <v>0</v>
      </c>
      <c r="BI209" s="2078">
        <f t="shared" si="456"/>
        <v>0</v>
      </c>
      <c r="BJ209" s="2078">
        <f t="shared" si="457"/>
        <v>0</v>
      </c>
      <c r="BK209" s="2078">
        <f t="shared" si="458"/>
        <v>0</v>
      </c>
      <c r="BL209" s="2078">
        <f t="shared" si="459"/>
        <v>0</v>
      </c>
      <c r="BM209" s="2078">
        <f t="shared" si="460"/>
        <v>0</v>
      </c>
      <c r="BN209" s="2078">
        <f t="shared" si="461"/>
        <v>0</v>
      </c>
      <c r="BO209" s="2078">
        <f t="shared" si="462"/>
        <v>0</v>
      </c>
      <c r="BP209" s="2078">
        <f t="shared" si="463"/>
        <v>0</v>
      </c>
      <c r="BQ209" s="2078">
        <f t="shared" si="464"/>
        <v>0</v>
      </c>
      <c r="BR209" s="2078">
        <f t="shared" si="465"/>
        <v>0</v>
      </c>
      <c r="BS209" s="2079">
        <f t="shared" si="403"/>
        <v>1</v>
      </c>
      <c r="BT209" s="2079">
        <f t="shared" si="404"/>
        <v>0</v>
      </c>
      <c r="BU209" s="2079">
        <f t="shared" si="405"/>
        <v>0</v>
      </c>
      <c r="BV209" s="2079">
        <f t="shared" si="406"/>
        <v>0</v>
      </c>
      <c r="BW209" s="2079">
        <f t="shared" si="407"/>
        <v>0</v>
      </c>
      <c r="BX209" s="2079">
        <f t="shared" si="408"/>
        <v>0</v>
      </c>
      <c r="BY209" s="2079">
        <f t="shared" si="409"/>
        <v>0</v>
      </c>
      <c r="BZ209" s="2079">
        <f t="shared" si="410"/>
        <v>0</v>
      </c>
      <c r="CA209" s="2079">
        <f t="shared" si="411"/>
        <v>0</v>
      </c>
      <c r="CB209" s="2079">
        <f t="shared" si="412"/>
        <v>0</v>
      </c>
      <c r="CC209" s="2078">
        <f t="shared" ca="1" si="466"/>
        <v>0</v>
      </c>
      <c r="CD209" s="2078">
        <f t="shared" ca="1" si="467"/>
        <v>0</v>
      </c>
      <c r="CE209" s="2078">
        <f t="shared" ca="1" si="468"/>
        <v>0</v>
      </c>
      <c r="CF209" s="2078">
        <f t="shared" ca="1" si="469"/>
        <v>0</v>
      </c>
      <c r="CG209" s="2078">
        <f t="shared" ca="1" si="470"/>
        <v>0</v>
      </c>
      <c r="CH209" s="2078">
        <f t="shared" ca="1" si="471"/>
        <v>0</v>
      </c>
      <c r="CI209" s="2078">
        <f t="shared" ca="1" si="472"/>
        <v>0</v>
      </c>
      <c r="CJ209" s="2078">
        <f t="shared" ca="1" si="473"/>
        <v>0</v>
      </c>
      <c r="CK209" s="2078">
        <f t="shared" ca="1" si="474"/>
        <v>0</v>
      </c>
      <c r="CL209" s="2078">
        <f t="shared" ca="1" si="475"/>
        <v>0</v>
      </c>
      <c r="CM209" s="2078">
        <f t="shared" ref="CM209" si="532">IF(ISBLANK(DD209),1,DD209)*IF(FO209="P",1-GP209,1)</f>
        <v>1</v>
      </c>
      <c r="CN209" s="2078">
        <f t="shared" ref="CN209" si="533">IF(DC209=$CN$171,0,1)</f>
        <v>1</v>
      </c>
      <c r="CO209" s="2078">
        <f t="shared" ref="CO209" si="534">IF(AND(AE209=3,OR(F209="",F209="Approved")),1,0)</f>
        <v>1</v>
      </c>
      <c r="CP209" s="2078">
        <f t="shared" ref="CP209" si="535">IF(AE209&lt;&gt;3,0,IF(OR(F209="",F209="Approved",F209="Pend w FC"),1,0))</f>
        <v>1</v>
      </c>
      <c r="CQ209" s="2078">
        <f t="shared" ref="CQ209" si="536">IF(AND(Z209=0,OR(AI209="V",AI209="W",G209="RO")),1,0)</f>
        <v>0</v>
      </c>
      <c r="CR209" s="2078">
        <f t="shared" si="417"/>
        <v>0</v>
      </c>
      <c r="CS209" s="2078">
        <f t="shared" ref="CS209" si="537">IF(OR(F209="Pending",F209="Pend w FC"),1,0)</f>
        <v>0</v>
      </c>
      <c r="CT209" s="2078">
        <f t="shared" si="418"/>
        <v>1</v>
      </c>
      <c r="CU209" s="2078">
        <f t="shared" ref="CU209" si="538">IF($AE209&lt;&gt;3,0,IF(F209="",1,0))</f>
        <v>1</v>
      </c>
      <c r="CV209" s="2078">
        <f t="shared" si="419"/>
        <v>0</v>
      </c>
      <c r="CW209" s="2078">
        <f>IF(OR(AE209&lt;&gt;3,F209="Exclude"),0,IF(ISERROR(MATCH($E209,'4 Sign-off'!$S$123:$X$123,0)),0,1))</f>
        <v>0</v>
      </c>
      <c r="CX209" s="2078">
        <f t="shared" ref="CX209" si="539">IF($C$7&lt;&gt;"B",1,CHOOSE($CX$163,CW209,CS209+CV209,CS209,CV209))</f>
        <v>0</v>
      </c>
      <c r="CY209" s="2078">
        <f t="shared" ref="CY209" si="540">CHOOSE($CY$163,CO209,CP209,CX209)</f>
        <v>0</v>
      </c>
      <c r="CZ209" s="2993">
        <f t="shared" ref="CZ209" ca="1" si="541">CHOOSE($AE209,SUMIFS($CZ$173:$CZ$364,$AF$173:$AF$364,$AF209,$CY$173:$CY$364,1,$AH$173:$AH$364,1),SUMIFS($CZ$173:$CZ$364,$AG$173:$AG$364,$AG209,$CY$173:$CY$364,1,$AH$173:$AH$364,1),X209+AA209)</f>
        <v>0</v>
      </c>
      <c r="DA209" s="3037">
        <f t="shared" ref="DA209" ca="1" si="542">CHOOSE($AE209,SUMIFS($DA$173:$DA$364,$AF$173:$AF$364,$AF209,$CY$173:$CY$364,1,$AH$173:$AH$364,1),SUMIFS($DA$173:$DA$364,$AG$173:$AG$364,$AG209,$CY$173:$CY$364,1,$AH$173:$AH$364,1),CZ209-S209)</f>
        <v>0</v>
      </c>
      <c r="DB209" s="1664"/>
      <c r="DC209" s="1320"/>
      <c r="DD209" s="589"/>
      <c r="DE209" s="1321"/>
      <c r="DF209" s="107"/>
      <c r="DG209" s="112"/>
      <c r="DH209" s="140"/>
      <c r="DI209" s="22"/>
      <c r="DJ209" s="145"/>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860"/>
      <c r="FH209" s="3338"/>
      <c r="FI209" s="1318"/>
      <c r="FJ209" s="126"/>
      <c r="FK209" s="127"/>
      <c r="FL209" s="128" t="str">
        <f t="shared" ref="FL209" si="543">N209&amp;O209&amp;"    "&amp;P209</f>
        <v xml:space="preserve">    </v>
      </c>
      <c r="FM209" s="128"/>
      <c r="FN209" s="1686">
        <f t="shared" ref="FN209" si="544">IF($AE209=3,T209,0)</f>
        <v>0</v>
      </c>
      <c r="FO209" s="46">
        <f t="shared" ref="FO209" si="545">IF(AND($C$7="F",GR209="P"),"P",0)</f>
        <v>0</v>
      </c>
      <c r="FP209" s="46">
        <f t="shared" ref="FP209" si="546">IFERROR(1/FQ209,1)</f>
        <v>1</v>
      </c>
      <c r="FQ209" s="75">
        <f t="shared" ref="FQ209" si="547">IF($AE209=3,SUMPRODUCT(GT209:LQ209,$GT$25:$LQ$25),0)</f>
        <v>0</v>
      </c>
      <c r="FR209" s="46">
        <f t="shared" ref="FR209" si="548">SUM(GT209:LQ209)</f>
        <v>0</v>
      </c>
      <c r="FS209" s="46">
        <f t="shared" ref="FS209" si="549">IFERROR(AN209/FQ209,1)</f>
        <v>1</v>
      </c>
      <c r="FT209" s="75">
        <f t="shared" ref="FT209" si="550">AND($AE209=3,(T209+Z209+AB209)&gt;0,FQ209=0)*1</f>
        <v>0</v>
      </c>
      <c r="FU209" s="2603">
        <f t="shared" ref="FU209" si="551">(DE209*IF(ISBLANK($DD209),1,$DD209))+(SUMPRODUCT(DJ209:FH209,$DJ$65:$FH$65)*IF(GR209="T",SUM(GT209:LQ209),IF(ISBLANK(DH209),1,DH209)))</f>
        <v>0</v>
      </c>
      <c r="FV209" s="2607">
        <f t="shared" ref="FV209" si="552">IF(GR209="T",SUMPRODUCT(GT209:LQ209,$GT$20:$LQ$20)/SUM(GT209:LQ209),GP209)</f>
        <v>0</v>
      </c>
      <c r="FW209" s="2603">
        <f t="shared" ref="FW209" si="553">IF(GR209&gt;0,FU209*FV209,0)</f>
        <v>0</v>
      </c>
      <c r="FX209" s="2631">
        <f t="shared" ref="FX209" si="554">IF(SUM(DE209:FH209)&gt;0,1,0)</f>
        <v>0</v>
      </c>
      <c r="FY209" s="81" t="e">
        <f t="shared" ref="FY209" si="555">IF($C$7&lt;&gt;"F",GA209,IF(GA209&lt;$GO$25,NA(),GA209))</f>
        <v>#N/A</v>
      </c>
      <c r="FZ209" s="64" t="e">
        <f t="array" ref="FZ209">MATCH(1,($GT209:$LQ209&gt;0)*$GT$25:$LQ$25,0)</f>
        <v>#N/A</v>
      </c>
      <c r="GA209" s="64" t="e">
        <f t="array" ref="GA209">MATCH(2,1/(GT209:LQ209&gt;0))</f>
        <v>#N/A</v>
      </c>
      <c r="GB209" s="64">
        <f t="shared" ref="GB209" si="556">IF(OR((T209+U209+AA209+AB209)=0,FR209=0,CQ209=1,LEFT(J209,1)="S"),-1,J209)</f>
        <v>-1</v>
      </c>
      <c r="GC209" s="46"/>
      <c r="GD209" s="613"/>
      <c r="GE209" s="613"/>
      <c r="GF209" s="613"/>
      <c r="GG209" s="613"/>
      <c r="GH209" s="613"/>
      <c r="GI209" s="613"/>
      <c r="GJ209" s="613"/>
      <c r="GK209" s="613"/>
      <c r="GL209" s="613"/>
      <c r="GM209" s="613"/>
      <c r="GN209" s="385">
        <f t="shared" ref="GN209" si="557">IF(ISERROR(FZ209),0,CHOOSE($FM$5,(FZ209*7)+$GT$170-11,EOMONTH($GT$170,FZ209-2)+1))</f>
        <v>0</v>
      </c>
      <c r="GO209" s="386">
        <f t="shared" ref="GO209" si="558">IF(ISERROR(FY209),0,CHOOSE($FM$5,(FY209*7)+$GT$170-7,EOMONTH($GT$170,FY209-1)))</f>
        <v>0</v>
      </c>
      <c r="GP209" s="2635"/>
      <c r="GQ209" s="175"/>
      <c r="GR209" s="172"/>
      <c r="GS209" s="65"/>
      <c r="GT209" s="167"/>
      <c r="GU209" s="168"/>
      <c r="GV209" s="168"/>
      <c r="GW209" s="168"/>
      <c r="GX209" s="168"/>
      <c r="GY209" s="168"/>
      <c r="GZ209" s="168"/>
      <c r="HA209" s="168"/>
      <c r="HB209" s="168"/>
      <c r="HC209" s="168"/>
      <c r="HD209" s="168"/>
      <c r="HE209" s="168"/>
      <c r="HF209" s="168"/>
      <c r="HG209" s="168"/>
      <c r="HH209" s="168"/>
      <c r="HI209" s="168"/>
      <c r="HJ209" s="168"/>
      <c r="HK209" s="168"/>
      <c r="HL209" s="168"/>
      <c r="HM209" s="168"/>
      <c r="HN209" s="168"/>
      <c r="HO209" s="168"/>
      <c r="HP209" s="168"/>
      <c r="HQ209" s="168"/>
      <c r="HR209" s="168"/>
      <c r="HS209" s="168"/>
      <c r="HT209" s="168"/>
      <c r="HU209" s="168"/>
      <c r="HV209" s="168"/>
      <c r="HW209" s="168"/>
      <c r="HX209" s="168"/>
      <c r="HY209" s="168"/>
      <c r="HZ209" s="168"/>
      <c r="IA209" s="168"/>
      <c r="IB209" s="168"/>
      <c r="IC209" s="168"/>
      <c r="ID209" s="168"/>
      <c r="IE209" s="168"/>
      <c r="IF209" s="168"/>
      <c r="IG209" s="168"/>
      <c r="IH209" s="168"/>
      <c r="II209" s="168"/>
      <c r="IJ209" s="168"/>
      <c r="IK209" s="168"/>
      <c r="IL209" s="168"/>
      <c r="IM209" s="168"/>
      <c r="IN209" s="168"/>
      <c r="IO209" s="168"/>
      <c r="IP209" s="168"/>
      <c r="IQ209" s="168"/>
      <c r="IR209" s="168"/>
      <c r="IS209" s="168"/>
      <c r="IT209" s="168"/>
      <c r="IU209" s="168"/>
      <c r="IV209" s="168"/>
      <c r="IW209" s="168"/>
      <c r="IX209" s="168"/>
      <c r="IY209" s="168"/>
      <c r="IZ209" s="168"/>
      <c r="JA209" s="168"/>
      <c r="JB209" s="168"/>
      <c r="JC209" s="168"/>
      <c r="JD209" s="168"/>
      <c r="JE209" s="168"/>
      <c r="JF209" s="168"/>
      <c r="JG209" s="168"/>
      <c r="JH209" s="168"/>
      <c r="JI209" s="168"/>
      <c r="JJ209" s="168"/>
      <c r="JK209" s="168"/>
      <c r="JL209" s="168"/>
      <c r="JM209" s="168"/>
      <c r="JN209" s="168"/>
      <c r="JO209" s="168"/>
      <c r="JP209" s="168"/>
      <c r="JQ209" s="168"/>
      <c r="JR209" s="168"/>
      <c r="JS209" s="168"/>
      <c r="JT209" s="168"/>
      <c r="JU209" s="168"/>
      <c r="JV209" s="168"/>
      <c r="JW209" s="168"/>
      <c r="JX209" s="168"/>
      <c r="JY209" s="168"/>
      <c r="JZ209" s="168"/>
      <c r="KA209" s="168"/>
      <c r="KB209" s="168"/>
      <c r="KC209" s="168"/>
      <c r="KD209" s="168"/>
      <c r="KE209" s="168"/>
      <c r="KF209" s="168"/>
      <c r="KG209" s="168"/>
      <c r="KH209" s="168"/>
      <c r="KI209" s="168"/>
      <c r="KJ209" s="168"/>
      <c r="KK209" s="168"/>
      <c r="KL209" s="168"/>
      <c r="KM209" s="168"/>
      <c r="KN209" s="168"/>
      <c r="KO209" s="168"/>
      <c r="KP209" s="168"/>
      <c r="KQ209" s="168"/>
      <c r="KR209" s="168"/>
      <c r="KS209" s="168"/>
      <c r="KT209" s="168"/>
      <c r="KU209" s="168"/>
      <c r="KV209" s="168"/>
      <c r="KW209" s="168"/>
      <c r="KX209" s="168"/>
      <c r="KY209" s="168"/>
      <c r="KZ209" s="168"/>
      <c r="LA209" s="168"/>
      <c r="LB209" s="168"/>
      <c r="LC209" s="168"/>
      <c r="LD209" s="168"/>
      <c r="LE209" s="168"/>
      <c r="LF209" s="168"/>
      <c r="LG209" s="168"/>
      <c r="LH209" s="168"/>
      <c r="LI209" s="168"/>
      <c r="LJ209" s="168"/>
      <c r="LK209" s="168"/>
      <c r="LL209" s="168"/>
      <c r="LM209" s="168"/>
      <c r="LN209" s="168"/>
      <c r="LO209" s="168"/>
      <c r="LP209" s="606"/>
      <c r="LQ209" s="609"/>
      <c r="LR209" s="1319"/>
      <c r="LS209" s="1319"/>
    </row>
    <row r="210" spans="1:331" s="2" customFormat="1" ht="15" customHeight="1" x14ac:dyDescent="0.25">
      <c r="A210" s="283"/>
      <c r="B210" s="303"/>
      <c r="C210" s="301"/>
      <c r="D210" s="3303"/>
      <c r="E210" s="2298"/>
      <c r="F210" s="1812"/>
      <c r="G210" s="3342"/>
      <c r="H210" s="66"/>
      <c r="I210" s="1746"/>
      <c r="J210" s="1214"/>
      <c r="K210" s="105"/>
      <c r="L210" s="91"/>
      <c r="M210" s="92"/>
      <c r="N210" s="93"/>
      <c r="O210" s="94"/>
      <c r="P210" s="96"/>
      <c r="Q210" s="95"/>
      <c r="R210" s="993">
        <f t="shared" si="431"/>
        <v>0</v>
      </c>
      <c r="S210" s="23">
        <f t="shared" si="432"/>
        <v>0</v>
      </c>
      <c r="T210" s="24">
        <f t="shared" si="433"/>
        <v>0</v>
      </c>
      <c r="U210" s="24">
        <f t="shared" si="434"/>
        <v>0</v>
      </c>
      <c r="V210" s="24">
        <f t="shared" ref="V210" si="559">IF($AE210&lt;&gt;3,0,SUMPRODUCT($DJ210:$FH210,$DJ$30:$FH$30)*$AN210*AH210)</f>
        <v>0</v>
      </c>
      <c r="W210" s="24">
        <f t="shared" ref="W210" ca="1" si="560">IFERROR(X210*SUMPRODUCT($DJ210:$FH210,$DJ$29:$FH$29)/SUM($DJ210:$FH210),0)</f>
        <v>0</v>
      </c>
      <c r="X210" s="72">
        <f t="shared" ref="X210" ca="1" si="561">IF($AE210=3,SUMPRODUCT($BS210:$CB210,CC210:CL210)*AH210,0)</f>
        <v>0</v>
      </c>
      <c r="Y210" s="72">
        <f t="shared" ref="Y210" si="562">IF($AE210=3,SUMPRODUCT($AO210:$AX210,BI210:BR210),0)</f>
        <v>0</v>
      </c>
      <c r="Z210" s="24">
        <f t="shared" ref="Z210" si="563">IF($AE210=3,SUMPRODUCT($AO210:$AX210,AY210:BH210),0)</f>
        <v>0</v>
      </c>
      <c r="AA210" s="72">
        <f t="shared" ref="AA210" si="564">$DE210*$CM210*(1+DF210)*AH210</f>
        <v>0</v>
      </c>
      <c r="AB210" s="24">
        <f t="shared" si="388"/>
        <v>0</v>
      </c>
      <c r="AC210" s="24">
        <f t="shared" ref="AC210" ca="1" si="565">IF($AE210=3,SUMPRODUCT($DJ210:$FH210,$DJ$24:$FH$24)*AN210,0)</f>
        <v>0</v>
      </c>
      <c r="AD210" s="24">
        <f t="shared" ref="AD210" si="566">IF($AE210=3,SUMPRODUCT($DJ210:$FH210,$DJ$22:$FH$22)*AN210,0)</f>
        <v>0</v>
      </c>
      <c r="AE210" s="2078">
        <f t="shared" ref="AE210" si="567">IF(N210="",3,IF(AND(L210&gt;0,M210&gt;0),2,1))</f>
        <v>3</v>
      </c>
      <c r="AF210" s="2078">
        <f t="shared" ref="AF210" si="568">IF(AND(ISNUMBER(VALUE(L210)),RIGHT(L210,1)="0"),(L210+0.00001),L210)</f>
        <v>0</v>
      </c>
      <c r="AG210" s="2078">
        <f t="shared" ref="AG210" si="569">IF(AND(ISNUMBER(VALUE(M210)),RIGHT(M210,1)="0"),(M210+0.00001),M210)</f>
        <v>0</v>
      </c>
      <c r="AH210" s="2521">
        <f t="shared" ref="AH210" si="570">IF(OR($G210="NB",AI210="R"),0,1)</f>
        <v>1</v>
      </c>
      <c r="AI210" s="25" t="str">
        <f t="shared" ref="AI210" si="571">LEFT(J210,1)</f>
        <v/>
      </c>
      <c r="AJ210" s="2521">
        <f t="shared" ca="1" si="391"/>
        <v>0</v>
      </c>
      <c r="AK210" s="2076">
        <f t="shared" ca="1" si="392"/>
        <v>0</v>
      </c>
      <c r="AL210" s="2078">
        <f>IF(ISBLANK(J210),0,ISERROR(MATCH(J210,'5  Control Accounts'!$FA$29:$FA$96,0))*1)</f>
        <v>0</v>
      </c>
      <c r="AM210" s="2076">
        <f t="shared" ref="AM210" si="572">AND($C$6,(T210+U210+AB210)&lt;&gt;0,$F210&lt;&gt;"Exclude",ISBLANK(J210))*1</f>
        <v>0</v>
      </c>
      <c r="AN210" s="2078">
        <f t="shared" ref="AN210" si="573">IF(DE210&gt;0,0,IF(GR210="T",FQ210*(1+B210),IF(ISBLANK(DH210),1+B210,DH210*(1+B210))*IF(FO210="P",1-GP210,1)))</f>
        <v>1</v>
      </c>
      <c r="AO210" s="2079">
        <f t="shared" si="393"/>
        <v>1</v>
      </c>
      <c r="AP210" s="2079">
        <f t="shared" si="394"/>
        <v>0</v>
      </c>
      <c r="AQ210" s="2079">
        <f t="shared" si="395"/>
        <v>0</v>
      </c>
      <c r="AR210" s="2079">
        <f t="shared" si="396"/>
        <v>0</v>
      </c>
      <c r="AS210" s="2079">
        <f t="shared" si="397"/>
        <v>0</v>
      </c>
      <c r="AT210" s="2079">
        <f t="shared" si="398"/>
        <v>0</v>
      </c>
      <c r="AU210" s="2079">
        <f t="shared" si="399"/>
        <v>0</v>
      </c>
      <c r="AV210" s="2079">
        <f t="shared" si="400"/>
        <v>0</v>
      </c>
      <c r="AW210" s="2079">
        <f t="shared" si="401"/>
        <v>0</v>
      </c>
      <c r="AX210" s="2079">
        <f t="shared" si="402"/>
        <v>0</v>
      </c>
      <c r="AY210" s="2078">
        <f t="shared" si="446"/>
        <v>0</v>
      </c>
      <c r="AZ210" s="2078">
        <f t="shared" si="447"/>
        <v>0</v>
      </c>
      <c r="BA210" s="2078">
        <f t="shared" si="448"/>
        <v>0</v>
      </c>
      <c r="BB210" s="2078">
        <f t="shared" si="449"/>
        <v>0</v>
      </c>
      <c r="BC210" s="2078">
        <f t="shared" si="450"/>
        <v>0</v>
      </c>
      <c r="BD210" s="2078">
        <f t="shared" si="451"/>
        <v>0</v>
      </c>
      <c r="BE210" s="2078">
        <f t="shared" si="452"/>
        <v>0</v>
      </c>
      <c r="BF210" s="2078">
        <f t="shared" si="453"/>
        <v>0</v>
      </c>
      <c r="BG210" s="2078">
        <f t="shared" si="454"/>
        <v>0</v>
      </c>
      <c r="BH210" s="2078">
        <f t="shared" si="455"/>
        <v>0</v>
      </c>
      <c r="BI210" s="2078">
        <f t="shared" si="456"/>
        <v>0</v>
      </c>
      <c r="BJ210" s="2078">
        <f t="shared" si="457"/>
        <v>0</v>
      </c>
      <c r="BK210" s="2078">
        <f t="shared" si="458"/>
        <v>0</v>
      </c>
      <c r="BL210" s="2078">
        <f t="shared" si="459"/>
        <v>0</v>
      </c>
      <c r="BM210" s="2078">
        <f t="shared" si="460"/>
        <v>0</v>
      </c>
      <c r="BN210" s="2078">
        <f t="shared" si="461"/>
        <v>0</v>
      </c>
      <c r="BO210" s="2078">
        <f t="shared" si="462"/>
        <v>0</v>
      </c>
      <c r="BP210" s="2078">
        <f t="shared" si="463"/>
        <v>0</v>
      </c>
      <c r="BQ210" s="2078">
        <f t="shared" si="464"/>
        <v>0</v>
      </c>
      <c r="BR210" s="2078">
        <f t="shared" si="465"/>
        <v>0</v>
      </c>
      <c r="BS210" s="2079">
        <f t="shared" si="403"/>
        <v>1</v>
      </c>
      <c r="BT210" s="2079">
        <f t="shared" si="404"/>
        <v>0</v>
      </c>
      <c r="BU210" s="2079">
        <f t="shared" si="405"/>
        <v>0</v>
      </c>
      <c r="BV210" s="2079">
        <f t="shared" si="406"/>
        <v>0</v>
      </c>
      <c r="BW210" s="2079">
        <f t="shared" si="407"/>
        <v>0</v>
      </c>
      <c r="BX210" s="2079">
        <f t="shared" si="408"/>
        <v>0</v>
      </c>
      <c r="BY210" s="2079">
        <f t="shared" si="409"/>
        <v>0</v>
      </c>
      <c r="BZ210" s="2079">
        <f t="shared" si="410"/>
        <v>0</v>
      </c>
      <c r="CA210" s="2079">
        <f t="shared" si="411"/>
        <v>0</v>
      </c>
      <c r="CB210" s="2079">
        <f t="shared" si="412"/>
        <v>0</v>
      </c>
      <c r="CC210" s="2078">
        <f t="shared" ca="1" si="466"/>
        <v>0</v>
      </c>
      <c r="CD210" s="2078">
        <f t="shared" ca="1" si="467"/>
        <v>0</v>
      </c>
      <c r="CE210" s="2078">
        <f t="shared" ca="1" si="468"/>
        <v>0</v>
      </c>
      <c r="CF210" s="2078">
        <f t="shared" ca="1" si="469"/>
        <v>0</v>
      </c>
      <c r="CG210" s="2078">
        <f t="shared" ca="1" si="470"/>
        <v>0</v>
      </c>
      <c r="CH210" s="2078">
        <f t="shared" ca="1" si="471"/>
        <v>0</v>
      </c>
      <c r="CI210" s="2078">
        <f t="shared" ca="1" si="472"/>
        <v>0</v>
      </c>
      <c r="CJ210" s="2078">
        <f t="shared" ca="1" si="473"/>
        <v>0</v>
      </c>
      <c r="CK210" s="2078">
        <f t="shared" ca="1" si="474"/>
        <v>0</v>
      </c>
      <c r="CL210" s="2078">
        <f t="shared" ca="1" si="475"/>
        <v>0</v>
      </c>
      <c r="CM210" s="2078">
        <f t="shared" ref="CM210" si="574">IF(ISBLANK(DD210),1,DD210)*IF(FO210="P",1-GP210,1)</f>
        <v>1</v>
      </c>
      <c r="CN210" s="2078">
        <f t="shared" ref="CN210" si="575">IF(DC210=$CN$171,0,1)</f>
        <v>1</v>
      </c>
      <c r="CO210" s="2078">
        <f t="shared" ref="CO210" si="576">IF(AND(AE210=3,OR(F210="",F210="Approved")),1,0)</f>
        <v>1</v>
      </c>
      <c r="CP210" s="2078">
        <f t="shared" ref="CP210" si="577">IF(AE210&lt;&gt;3,0,IF(OR(F210="",F210="Approved",F210="Pend w FC"),1,0))</f>
        <v>1</v>
      </c>
      <c r="CQ210" s="2078">
        <f t="shared" ref="CQ210" si="578">IF(AND(Z210=0,OR(AI210="V",AI210="W",G210="RO")),1,0)</f>
        <v>0</v>
      </c>
      <c r="CR210" s="2078">
        <f t="shared" si="417"/>
        <v>0</v>
      </c>
      <c r="CS210" s="2078">
        <f t="shared" ref="CS210" si="579">IF(OR(F210="Pending",F210="Pend w FC"),1,0)</f>
        <v>0</v>
      </c>
      <c r="CT210" s="2078">
        <f t="shared" si="418"/>
        <v>1</v>
      </c>
      <c r="CU210" s="2078">
        <f t="shared" ref="CU210" si="580">IF($AE210&lt;&gt;3,0,IF(F210="",1,0))</f>
        <v>1</v>
      </c>
      <c r="CV210" s="2078">
        <f t="shared" si="419"/>
        <v>0</v>
      </c>
      <c r="CW210" s="2078">
        <f>IF(OR(AE210&lt;&gt;3,F210="Exclude"),0,IF(ISERROR(MATCH($E210,'4 Sign-off'!$S$123:$X$123,0)),0,1))</f>
        <v>0</v>
      </c>
      <c r="CX210" s="2078">
        <f t="shared" ref="CX210" si="581">IF($C$7&lt;&gt;"B",1,CHOOSE($CX$163,CW210,CS210+CV210,CS210,CV210))</f>
        <v>0</v>
      </c>
      <c r="CY210" s="2078">
        <f t="shared" ref="CY210" si="582">CHOOSE($CY$163,CO210,CP210,CX210)</f>
        <v>0</v>
      </c>
      <c r="CZ210" s="2993">
        <f t="shared" ca="1" si="483"/>
        <v>0</v>
      </c>
      <c r="DA210" s="3037">
        <f t="shared" ca="1" si="484"/>
        <v>0</v>
      </c>
      <c r="DB210" s="1664"/>
      <c r="DC210" s="1320"/>
      <c r="DD210" s="589"/>
      <c r="DE210" s="1321"/>
      <c r="DF210" s="107"/>
      <c r="DG210" s="112"/>
      <c r="DH210" s="140"/>
      <c r="DI210" s="22"/>
      <c r="DJ210" s="145"/>
      <c r="DK210" s="137"/>
      <c r="DL210" s="137"/>
      <c r="DM210" s="137"/>
      <c r="DN210" s="137"/>
      <c r="DO210" s="137"/>
      <c r="DP210" s="137"/>
      <c r="DQ210" s="137"/>
      <c r="DR210" s="137"/>
      <c r="DS210" s="137"/>
      <c r="DT210" s="137"/>
      <c r="DU210" s="137"/>
      <c r="DV210" s="137"/>
      <c r="DW210" s="137"/>
      <c r="DX210" s="137"/>
      <c r="DY210" s="137"/>
      <c r="DZ210" s="137"/>
      <c r="EA210" s="137"/>
      <c r="EB210" s="137"/>
      <c r="EC210" s="137"/>
      <c r="ED210" s="137"/>
      <c r="EE210" s="137"/>
      <c r="EF210" s="137"/>
      <c r="EG210" s="137"/>
      <c r="EH210" s="137"/>
      <c r="EI210" s="137"/>
      <c r="EJ210" s="137"/>
      <c r="EK210" s="137"/>
      <c r="EL210" s="137"/>
      <c r="EM210" s="137"/>
      <c r="EN210" s="137"/>
      <c r="EO210" s="137"/>
      <c r="EP210" s="137"/>
      <c r="EQ210" s="137"/>
      <c r="ER210" s="137"/>
      <c r="ES210" s="137"/>
      <c r="ET210" s="137"/>
      <c r="EU210" s="137"/>
      <c r="EV210" s="137"/>
      <c r="EW210" s="137"/>
      <c r="EX210" s="137"/>
      <c r="EY210" s="137"/>
      <c r="EZ210" s="137"/>
      <c r="FA210" s="137"/>
      <c r="FB210" s="137"/>
      <c r="FC210" s="137"/>
      <c r="FD210" s="137"/>
      <c r="FE210" s="137"/>
      <c r="FF210" s="137"/>
      <c r="FG210" s="860"/>
      <c r="FH210" s="3302"/>
      <c r="FI210" s="1318"/>
      <c r="FJ210" s="126"/>
      <c r="FK210" s="127"/>
      <c r="FL210" s="128" t="str">
        <f t="shared" ref="FL210" si="583">N210&amp;O210&amp;"    "&amp;P210</f>
        <v xml:space="preserve">    </v>
      </c>
      <c r="FM210" s="128"/>
      <c r="FN210" s="1686">
        <f t="shared" ref="FN210" si="584">IF($AE210=3,T210,0)</f>
        <v>0</v>
      </c>
      <c r="FO210" s="46">
        <f t="shared" ref="FO210" si="585">IF(AND($C$7="F",GR210="P"),"P",0)</f>
        <v>0</v>
      </c>
      <c r="FP210" s="46">
        <f t="shared" ref="FP210" si="586">IFERROR(1/FQ210,1)</f>
        <v>1</v>
      </c>
      <c r="FQ210" s="75">
        <f t="shared" ref="FQ210" si="587">IF($AE210=3,SUMPRODUCT(GT210:LQ210,$GT$25:$LQ$25),0)</f>
        <v>0</v>
      </c>
      <c r="FR210" s="46">
        <f t="shared" ref="FR210" si="588">SUM(GT210:LQ210)</f>
        <v>0</v>
      </c>
      <c r="FS210" s="46">
        <f t="shared" ref="FS210" si="589">IFERROR(AN210/FQ210,1)</f>
        <v>1</v>
      </c>
      <c r="FT210" s="75">
        <f t="shared" ref="FT210" si="590">AND($AE210=3,(T210+Z210+AB210)&gt;0,FQ210=0)*1</f>
        <v>0</v>
      </c>
      <c r="FU210" s="2603">
        <f t="shared" ref="FU210" si="591">(DE210*IF(ISBLANK($DD210),1,$DD210))+(SUMPRODUCT(DJ210:FH210,$DJ$65:$FH$65)*IF(GR210="T",SUM(GT210:LQ210),IF(ISBLANK(DH210),1,DH210)))</f>
        <v>0</v>
      </c>
      <c r="FV210" s="2607">
        <f t="shared" ref="FV210" si="592">IF(GR210="T",SUMPRODUCT(GT210:LQ210,$GT$20:$LQ$20)/SUM(GT210:LQ210),GP210)</f>
        <v>0</v>
      </c>
      <c r="FW210" s="2603">
        <f t="shared" ref="FW210" si="593">IF(GR210&gt;0,FU210*FV210,0)</f>
        <v>0</v>
      </c>
      <c r="FX210" s="2631">
        <f t="shared" ref="FX210" si="594">IF(SUM(DE210:FH210)&gt;0,1,0)</f>
        <v>0</v>
      </c>
      <c r="FY210" s="81" t="e">
        <f t="shared" ref="FY210" si="595">IF($C$7&lt;&gt;"F",GA210,IF(GA210&lt;$GO$25,NA(),GA210))</f>
        <v>#N/A</v>
      </c>
      <c r="FZ210" s="64" t="e">
        <f t="array" ref="FZ210">MATCH(1,($GT210:$LQ210&gt;0)*$GT$25:$LQ$25,0)</f>
        <v>#N/A</v>
      </c>
      <c r="GA210" s="64" t="e">
        <f t="array" ref="GA210">MATCH(2,1/(GT210:LQ210&gt;0))</f>
        <v>#N/A</v>
      </c>
      <c r="GB210" s="64">
        <f t="shared" ref="GB210" si="596">IF(OR((T210+U210+AA210+AB210)=0,FR210=0,CQ210=1,LEFT(J210,1)="S"),-1,J210)</f>
        <v>-1</v>
      </c>
      <c r="GC210" s="46"/>
      <c r="GD210" s="613"/>
      <c r="GE210" s="613"/>
      <c r="GF210" s="613"/>
      <c r="GG210" s="613"/>
      <c r="GH210" s="613"/>
      <c r="GI210" s="613"/>
      <c r="GJ210" s="613"/>
      <c r="GK210" s="613"/>
      <c r="GL210" s="613"/>
      <c r="GM210" s="613"/>
      <c r="GN210" s="385">
        <f t="shared" ref="GN210" si="597">IF(ISERROR(FZ210),0,CHOOSE($FM$5,(FZ210*7)+$GT$170-11,EOMONTH($GT$170,FZ210-2)+1))</f>
        <v>0</v>
      </c>
      <c r="GO210" s="386">
        <f t="shared" ref="GO210" si="598">IF(ISERROR(FY210),0,CHOOSE($FM$5,(FY210*7)+$GT$170-7,EOMONTH($GT$170,FY210-1)))</f>
        <v>0</v>
      </c>
      <c r="GP210" s="2635"/>
      <c r="GQ210" s="175"/>
      <c r="GR210" s="172"/>
      <c r="GS210" s="65"/>
      <c r="GT210" s="167"/>
      <c r="GU210" s="168"/>
      <c r="GV210" s="168"/>
      <c r="GW210" s="168"/>
      <c r="GX210" s="168"/>
      <c r="GY210" s="168"/>
      <c r="GZ210" s="168"/>
      <c r="HA210" s="168"/>
      <c r="HB210" s="168"/>
      <c r="HC210" s="168"/>
      <c r="HD210" s="168"/>
      <c r="HE210" s="168"/>
      <c r="HF210" s="168"/>
      <c r="HG210" s="168"/>
      <c r="HH210" s="168"/>
      <c r="HI210" s="168"/>
      <c r="HJ210" s="168"/>
      <c r="HK210" s="168"/>
      <c r="HL210" s="168"/>
      <c r="HM210" s="168"/>
      <c r="HN210" s="168"/>
      <c r="HO210" s="168"/>
      <c r="HP210" s="168"/>
      <c r="HQ210" s="168"/>
      <c r="HR210" s="168"/>
      <c r="HS210" s="168"/>
      <c r="HT210" s="168"/>
      <c r="HU210" s="168"/>
      <c r="HV210" s="168"/>
      <c r="HW210" s="168"/>
      <c r="HX210" s="168"/>
      <c r="HY210" s="168"/>
      <c r="HZ210" s="168"/>
      <c r="IA210" s="168"/>
      <c r="IB210" s="168"/>
      <c r="IC210" s="168"/>
      <c r="ID210" s="168"/>
      <c r="IE210" s="168"/>
      <c r="IF210" s="168"/>
      <c r="IG210" s="168"/>
      <c r="IH210" s="168"/>
      <c r="II210" s="168"/>
      <c r="IJ210" s="168"/>
      <c r="IK210" s="168"/>
      <c r="IL210" s="168"/>
      <c r="IM210" s="168"/>
      <c r="IN210" s="168"/>
      <c r="IO210" s="168"/>
      <c r="IP210" s="168"/>
      <c r="IQ210" s="168"/>
      <c r="IR210" s="168"/>
      <c r="IS210" s="168"/>
      <c r="IT210" s="168"/>
      <c r="IU210" s="168"/>
      <c r="IV210" s="168"/>
      <c r="IW210" s="168"/>
      <c r="IX210" s="168"/>
      <c r="IY210" s="168"/>
      <c r="IZ210" s="168"/>
      <c r="JA210" s="168"/>
      <c r="JB210" s="168"/>
      <c r="JC210" s="168"/>
      <c r="JD210" s="168"/>
      <c r="JE210" s="168"/>
      <c r="JF210" s="168"/>
      <c r="JG210" s="168"/>
      <c r="JH210" s="168"/>
      <c r="JI210" s="168"/>
      <c r="JJ210" s="168"/>
      <c r="JK210" s="168"/>
      <c r="JL210" s="168"/>
      <c r="JM210" s="168"/>
      <c r="JN210" s="168"/>
      <c r="JO210" s="168"/>
      <c r="JP210" s="168"/>
      <c r="JQ210" s="168"/>
      <c r="JR210" s="168"/>
      <c r="JS210" s="168"/>
      <c r="JT210" s="168"/>
      <c r="JU210" s="168"/>
      <c r="JV210" s="168"/>
      <c r="JW210" s="168"/>
      <c r="JX210" s="168"/>
      <c r="JY210" s="168"/>
      <c r="JZ210" s="168"/>
      <c r="KA210" s="168"/>
      <c r="KB210" s="168"/>
      <c r="KC210" s="168"/>
      <c r="KD210" s="168"/>
      <c r="KE210" s="168"/>
      <c r="KF210" s="168"/>
      <c r="KG210" s="168"/>
      <c r="KH210" s="168"/>
      <c r="KI210" s="168"/>
      <c r="KJ210" s="168"/>
      <c r="KK210" s="168"/>
      <c r="KL210" s="168"/>
      <c r="KM210" s="168"/>
      <c r="KN210" s="168"/>
      <c r="KO210" s="168"/>
      <c r="KP210" s="168"/>
      <c r="KQ210" s="168"/>
      <c r="KR210" s="168"/>
      <c r="KS210" s="168"/>
      <c r="KT210" s="168"/>
      <c r="KU210" s="168"/>
      <c r="KV210" s="168"/>
      <c r="KW210" s="168"/>
      <c r="KX210" s="168"/>
      <c r="KY210" s="168"/>
      <c r="KZ210" s="168"/>
      <c r="LA210" s="168"/>
      <c r="LB210" s="168"/>
      <c r="LC210" s="168"/>
      <c r="LD210" s="168"/>
      <c r="LE210" s="168"/>
      <c r="LF210" s="168"/>
      <c r="LG210" s="168"/>
      <c r="LH210" s="168"/>
      <c r="LI210" s="168"/>
      <c r="LJ210" s="168"/>
      <c r="LK210" s="168"/>
      <c r="LL210" s="168"/>
      <c r="LM210" s="168"/>
      <c r="LN210" s="168"/>
      <c r="LO210" s="168"/>
      <c r="LP210" s="606"/>
      <c r="LQ210" s="609"/>
      <c r="LR210" s="1319"/>
      <c r="LS210" s="1319"/>
    </row>
    <row r="211" spans="1:331" s="2" customFormat="1" ht="15" customHeight="1" x14ac:dyDescent="0.25">
      <c r="A211" s="283"/>
      <c r="B211" s="303"/>
      <c r="C211" s="301"/>
      <c r="D211" s="3075"/>
      <c r="E211" s="2298"/>
      <c r="F211" s="1812"/>
      <c r="G211" s="3342"/>
      <c r="H211" s="66"/>
      <c r="I211" s="1746"/>
      <c r="J211" s="1214"/>
      <c r="K211" s="105"/>
      <c r="L211" s="91"/>
      <c r="M211" s="92"/>
      <c r="N211" s="93"/>
      <c r="O211" s="94"/>
      <c r="P211" s="96"/>
      <c r="Q211" s="95"/>
      <c r="R211" s="993">
        <f t="shared" si="431"/>
        <v>0</v>
      </c>
      <c r="S211" s="23">
        <f t="shared" si="432"/>
        <v>0</v>
      </c>
      <c r="T211" s="24">
        <f t="shared" si="433"/>
        <v>0</v>
      </c>
      <c r="U211" s="24">
        <f t="shared" si="434"/>
        <v>0</v>
      </c>
      <c r="V211" s="24">
        <f t="shared" ref="V211" si="599">IF($AE211&lt;&gt;3,0,SUMPRODUCT($DJ211:$FH211,$DJ$30:$FH$30)*$AN211*AH211)</f>
        <v>0</v>
      </c>
      <c r="W211" s="24">
        <f t="shared" ref="W211" ca="1" si="600">IFERROR(X211*SUMPRODUCT($DJ211:$FH211,$DJ$29:$FH$29)/SUM($DJ211:$FH211),0)</f>
        <v>0</v>
      </c>
      <c r="X211" s="72">
        <f t="shared" ref="X211" ca="1" si="601">IF($AE211=3,SUMPRODUCT($BS211:$CB211,CC211:CL211)*AH211,0)</f>
        <v>0</v>
      </c>
      <c r="Y211" s="72">
        <f t="shared" ref="Y211" si="602">IF($AE211=3,SUMPRODUCT($AO211:$AX211,BI211:BR211),0)</f>
        <v>0</v>
      </c>
      <c r="Z211" s="24">
        <f t="shared" ref="Z211" si="603">IF($AE211=3,SUMPRODUCT($AO211:$AX211,AY211:BH211),0)</f>
        <v>0</v>
      </c>
      <c r="AA211" s="72">
        <f t="shared" ref="AA211" si="604">$DE211*$CM211*(1+DF211)*AH211</f>
        <v>0</v>
      </c>
      <c r="AB211" s="24">
        <f t="shared" si="388"/>
        <v>0</v>
      </c>
      <c r="AC211" s="24">
        <f t="shared" ref="AC211" ca="1" si="605">IF($AE211=3,SUMPRODUCT($DJ211:$FH211,$DJ$24:$FH$24)*AN211,0)</f>
        <v>0</v>
      </c>
      <c r="AD211" s="24">
        <f t="shared" si="389"/>
        <v>0</v>
      </c>
      <c r="AE211" s="2078">
        <f t="shared" ref="AE211" si="606">IF(N211="",3,IF(AND(L211&gt;0,M211&gt;0),2,1))</f>
        <v>3</v>
      </c>
      <c r="AF211" s="2078">
        <f t="shared" ref="AF211" si="607">IF(AND(ISNUMBER(VALUE(L211)),RIGHT(L211,1)="0"),(L211+0.00001),L211)</f>
        <v>0</v>
      </c>
      <c r="AG211" s="2078">
        <f t="shared" ref="AG211" si="608">IF(AND(ISNUMBER(VALUE(M211)),RIGHT(M211,1)="0"),(M211+0.00001),M211)</f>
        <v>0</v>
      </c>
      <c r="AH211" s="2521">
        <f t="shared" si="390"/>
        <v>1</v>
      </c>
      <c r="AI211" s="25" t="str">
        <f t="shared" ref="AI211" si="609">LEFT(J211,1)</f>
        <v/>
      </c>
      <c r="AJ211" s="2521">
        <f t="shared" ca="1" si="391"/>
        <v>0</v>
      </c>
      <c r="AK211" s="2076">
        <f t="shared" ca="1" si="392"/>
        <v>0</v>
      </c>
      <c r="AL211" s="2078">
        <f>IF(ISBLANK(J211),0,ISERROR(MATCH(J211,'5  Control Accounts'!$FA$29:$FA$96,0))*1)</f>
        <v>0</v>
      </c>
      <c r="AM211" s="2076">
        <f t="shared" ref="AM211" si="610">AND($C$6,(T211+U211+AB211)&lt;&gt;0,$F211&lt;&gt;"Exclude",ISBLANK(J211))*1</f>
        <v>0</v>
      </c>
      <c r="AN211" s="2078">
        <f t="shared" ref="AN211" si="611">IF(DE211&gt;0,0,IF(GR211="T",FQ211*(1+B211),IF(ISBLANK(DH211),1+B211,DH211*(1+B211))*IF(FO211="P",1-GP211,1)))</f>
        <v>1</v>
      </c>
      <c r="AO211" s="2079">
        <f t="shared" si="393"/>
        <v>1</v>
      </c>
      <c r="AP211" s="2079">
        <f t="shared" si="394"/>
        <v>0</v>
      </c>
      <c r="AQ211" s="2079">
        <f t="shared" si="395"/>
        <v>0</v>
      </c>
      <c r="AR211" s="2079">
        <f t="shared" si="396"/>
        <v>0</v>
      </c>
      <c r="AS211" s="2079">
        <f t="shared" si="397"/>
        <v>0</v>
      </c>
      <c r="AT211" s="2079">
        <f t="shared" si="398"/>
        <v>0</v>
      </c>
      <c r="AU211" s="2079">
        <f t="shared" si="399"/>
        <v>0</v>
      </c>
      <c r="AV211" s="2079">
        <f t="shared" si="400"/>
        <v>0</v>
      </c>
      <c r="AW211" s="2079">
        <f t="shared" si="401"/>
        <v>0</v>
      </c>
      <c r="AX211" s="2079">
        <f t="shared" si="402"/>
        <v>0</v>
      </c>
      <c r="AY211" s="2078">
        <f t="shared" si="446"/>
        <v>0</v>
      </c>
      <c r="AZ211" s="2078">
        <f t="shared" si="447"/>
        <v>0</v>
      </c>
      <c r="BA211" s="2078">
        <f t="shared" si="448"/>
        <v>0</v>
      </c>
      <c r="BB211" s="2078">
        <f t="shared" si="449"/>
        <v>0</v>
      </c>
      <c r="BC211" s="2078">
        <f t="shared" si="450"/>
        <v>0</v>
      </c>
      <c r="BD211" s="2078">
        <f t="shared" si="451"/>
        <v>0</v>
      </c>
      <c r="BE211" s="2078">
        <f t="shared" si="452"/>
        <v>0</v>
      </c>
      <c r="BF211" s="2078">
        <f t="shared" si="453"/>
        <v>0</v>
      </c>
      <c r="BG211" s="2078">
        <f t="shared" si="454"/>
        <v>0</v>
      </c>
      <c r="BH211" s="2078">
        <f t="shared" si="455"/>
        <v>0</v>
      </c>
      <c r="BI211" s="2078">
        <f t="shared" si="456"/>
        <v>0</v>
      </c>
      <c r="BJ211" s="2078">
        <f t="shared" si="457"/>
        <v>0</v>
      </c>
      <c r="BK211" s="2078">
        <f t="shared" si="458"/>
        <v>0</v>
      </c>
      <c r="BL211" s="2078">
        <f t="shared" si="459"/>
        <v>0</v>
      </c>
      <c r="BM211" s="2078">
        <f t="shared" si="460"/>
        <v>0</v>
      </c>
      <c r="BN211" s="2078">
        <f t="shared" si="461"/>
        <v>0</v>
      </c>
      <c r="BO211" s="2078">
        <f t="shared" si="462"/>
        <v>0</v>
      </c>
      <c r="BP211" s="2078">
        <f t="shared" si="463"/>
        <v>0</v>
      </c>
      <c r="BQ211" s="2078">
        <f t="shared" si="464"/>
        <v>0</v>
      </c>
      <c r="BR211" s="2078">
        <f t="shared" si="465"/>
        <v>0</v>
      </c>
      <c r="BS211" s="2079">
        <f t="shared" si="403"/>
        <v>1</v>
      </c>
      <c r="BT211" s="2079">
        <f t="shared" si="404"/>
        <v>0</v>
      </c>
      <c r="BU211" s="2079">
        <f t="shared" si="405"/>
        <v>0</v>
      </c>
      <c r="BV211" s="2079">
        <f t="shared" si="406"/>
        <v>0</v>
      </c>
      <c r="BW211" s="2079">
        <f t="shared" si="407"/>
        <v>0</v>
      </c>
      <c r="BX211" s="2079">
        <f t="shared" si="408"/>
        <v>0</v>
      </c>
      <c r="BY211" s="2079">
        <f t="shared" si="409"/>
        <v>0</v>
      </c>
      <c r="BZ211" s="2079">
        <f t="shared" si="410"/>
        <v>0</v>
      </c>
      <c r="CA211" s="2079">
        <f t="shared" si="411"/>
        <v>0</v>
      </c>
      <c r="CB211" s="2079">
        <f t="shared" si="412"/>
        <v>0</v>
      </c>
      <c r="CC211" s="2078">
        <f t="shared" ca="1" si="466"/>
        <v>0</v>
      </c>
      <c r="CD211" s="2078">
        <f t="shared" ca="1" si="467"/>
        <v>0</v>
      </c>
      <c r="CE211" s="2078">
        <f t="shared" ca="1" si="468"/>
        <v>0</v>
      </c>
      <c r="CF211" s="2078">
        <f t="shared" ca="1" si="469"/>
        <v>0</v>
      </c>
      <c r="CG211" s="2078">
        <f t="shared" ca="1" si="470"/>
        <v>0</v>
      </c>
      <c r="CH211" s="2078">
        <f t="shared" ca="1" si="471"/>
        <v>0</v>
      </c>
      <c r="CI211" s="2078">
        <f t="shared" ca="1" si="472"/>
        <v>0</v>
      </c>
      <c r="CJ211" s="2078">
        <f t="shared" ca="1" si="473"/>
        <v>0</v>
      </c>
      <c r="CK211" s="2078">
        <f t="shared" ca="1" si="474"/>
        <v>0</v>
      </c>
      <c r="CL211" s="2078">
        <f t="shared" ca="1" si="475"/>
        <v>0</v>
      </c>
      <c r="CM211" s="2078">
        <f t="shared" ref="CM211" si="612">IF(ISBLANK(DD211),1,DD211)*IF(FO211="P",1-GP211,1)</f>
        <v>1</v>
      </c>
      <c r="CN211" s="2078">
        <f t="shared" ref="CN211" si="613">IF(DC211=$CN$171,0,1)</f>
        <v>1</v>
      </c>
      <c r="CO211" s="2078">
        <f t="shared" ref="CO211" si="614">IF(AND(AE211=3,OR(F211="",F211="Approved")),1,0)</f>
        <v>1</v>
      </c>
      <c r="CP211" s="2078">
        <f t="shared" ref="CP211" si="615">IF(AE211&lt;&gt;3,0,IF(OR(F211="",F211="Approved",F211="Pend w FC"),1,0))</f>
        <v>1</v>
      </c>
      <c r="CQ211" s="2078">
        <f t="shared" ref="CQ211" si="616">IF(AND(Z211=0,OR(AI211="V",AI211="W",G211="RO")),1,0)</f>
        <v>0</v>
      </c>
      <c r="CR211" s="2078">
        <f t="shared" si="417"/>
        <v>0</v>
      </c>
      <c r="CS211" s="2078">
        <f t="shared" ref="CS211" si="617">IF(OR(F211="Pending",F211="Pend w FC"),1,0)</f>
        <v>0</v>
      </c>
      <c r="CT211" s="2078">
        <f t="shared" si="418"/>
        <v>1</v>
      </c>
      <c r="CU211" s="2078">
        <f t="shared" ref="CU211" si="618">IF($AE211&lt;&gt;3,0,IF(F211="",1,0))</f>
        <v>1</v>
      </c>
      <c r="CV211" s="2078">
        <f t="shared" si="419"/>
        <v>0</v>
      </c>
      <c r="CW211" s="2078">
        <f>IF(OR(AE211&lt;&gt;3,F211="Exclude"),0,IF(ISERROR(MATCH($E211,'4 Sign-off'!$S$123:$X$123,0)),0,1))</f>
        <v>0</v>
      </c>
      <c r="CX211" s="2078">
        <f t="shared" si="481"/>
        <v>0</v>
      </c>
      <c r="CY211" s="2078">
        <f t="shared" ref="CY211" si="619">CHOOSE($CY$163,CO211,CP211,CX211)</f>
        <v>0</v>
      </c>
      <c r="CZ211" s="2993">
        <f t="shared" ca="1" si="483"/>
        <v>0</v>
      </c>
      <c r="DA211" s="3037">
        <f t="shared" ca="1" si="484"/>
        <v>0</v>
      </c>
      <c r="DB211" s="1664"/>
      <c r="DC211" s="1320"/>
      <c r="DD211" s="589"/>
      <c r="DE211" s="1321"/>
      <c r="DF211" s="107"/>
      <c r="DG211" s="112"/>
      <c r="DH211" s="140"/>
      <c r="DI211" s="22"/>
      <c r="DJ211" s="145"/>
      <c r="DK211" s="137"/>
      <c r="DL211" s="137"/>
      <c r="DM211" s="137"/>
      <c r="DN211" s="137"/>
      <c r="DO211" s="137"/>
      <c r="DP211" s="137"/>
      <c r="DQ211" s="137"/>
      <c r="DR211" s="137"/>
      <c r="DS211" s="137"/>
      <c r="DT211" s="137"/>
      <c r="DU211" s="137"/>
      <c r="DV211" s="137"/>
      <c r="DW211" s="137"/>
      <c r="DX211" s="137"/>
      <c r="DY211" s="137"/>
      <c r="DZ211" s="137"/>
      <c r="EA211" s="137"/>
      <c r="EB211" s="137"/>
      <c r="EC211" s="137"/>
      <c r="ED211" s="137"/>
      <c r="EE211" s="137"/>
      <c r="EF211" s="137"/>
      <c r="EG211" s="137"/>
      <c r="EH211" s="137"/>
      <c r="EI211" s="137"/>
      <c r="EJ211" s="137"/>
      <c r="EK211" s="137"/>
      <c r="EL211" s="137"/>
      <c r="EM211" s="137"/>
      <c r="EN211" s="137"/>
      <c r="EO211" s="137"/>
      <c r="EP211" s="137"/>
      <c r="EQ211" s="137"/>
      <c r="ER211" s="137"/>
      <c r="ES211" s="137"/>
      <c r="ET211" s="137"/>
      <c r="EU211" s="137"/>
      <c r="EV211" s="137"/>
      <c r="EW211" s="137"/>
      <c r="EX211" s="137"/>
      <c r="EY211" s="137"/>
      <c r="EZ211" s="137"/>
      <c r="FA211" s="137"/>
      <c r="FB211" s="137"/>
      <c r="FC211" s="137"/>
      <c r="FD211" s="137"/>
      <c r="FE211" s="137"/>
      <c r="FF211" s="137"/>
      <c r="FG211" s="860"/>
      <c r="FH211" s="3076"/>
      <c r="FI211" s="1318"/>
      <c r="FJ211" s="126"/>
      <c r="FK211" s="127"/>
      <c r="FL211" s="128" t="str">
        <f t="shared" ref="FL211" si="620">N211&amp;O211&amp;"    "&amp;P211</f>
        <v xml:space="preserve">    </v>
      </c>
      <c r="FM211" s="128"/>
      <c r="FN211" s="1686">
        <f t="shared" ref="FN211" si="621">IF($AE211=3,T211,0)</f>
        <v>0</v>
      </c>
      <c r="FO211" s="46">
        <f t="shared" ref="FO211" si="622">IF(AND($C$7="F",GR211="P"),"P",0)</f>
        <v>0</v>
      </c>
      <c r="FP211" s="46">
        <f t="shared" ref="FP211" si="623">IFERROR(1/FQ211,1)</f>
        <v>1</v>
      </c>
      <c r="FQ211" s="75">
        <f t="shared" ref="FQ211" si="624">IF($AE211=3,SUMPRODUCT(GT211:LQ211,$GT$25:$LQ$25),0)</f>
        <v>0</v>
      </c>
      <c r="FR211" s="46">
        <f t="shared" ref="FR211" si="625">SUM(GT211:LQ211)</f>
        <v>0</v>
      </c>
      <c r="FS211" s="46">
        <f t="shared" ref="FS211" si="626">IFERROR(AN211/FQ211,1)</f>
        <v>1</v>
      </c>
      <c r="FT211" s="75">
        <f t="shared" ref="FT211" si="627">AND($AE211=3,(T211+Z211+AB211)&gt;0,FQ211=0)*1</f>
        <v>0</v>
      </c>
      <c r="FU211" s="2603">
        <f t="shared" ref="FU211" si="628">(DE211*IF(ISBLANK($DD211),1,$DD211))+(SUMPRODUCT(DJ211:FH211,$DJ$65:$FH$65)*IF(GR211="T",SUM(GT211:LQ211),IF(ISBLANK(DH211),1,DH211)))</f>
        <v>0</v>
      </c>
      <c r="FV211" s="2607">
        <f t="shared" ref="FV211" si="629">IF(GR211="T",SUMPRODUCT(GT211:LQ211,$GT$20:$LQ$20)/SUM(GT211:LQ211),GP211)</f>
        <v>0</v>
      </c>
      <c r="FW211" s="2603">
        <f t="shared" ref="FW211" si="630">IF(GR211&gt;0,FU211*FV211,0)</f>
        <v>0</v>
      </c>
      <c r="FX211" s="2631">
        <f t="shared" ref="FX211" si="631">IF(SUM(DE211:FH211)&gt;0,1,0)</f>
        <v>0</v>
      </c>
      <c r="FY211" s="81" t="e">
        <f t="shared" ref="FY211" si="632">IF($C$7&lt;&gt;"F",GA211,IF(GA211&lt;$GO$25,NA(),GA211))</f>
        <v>#N/A</v>
      </c>
      <c r="FZ211" s="64" t="e">
        <f t="array" ref="FZ211">MATCH(1,($GT211:$LQ211&gt;0)*$GT$25:$LQ$25,0)</f>
        <v>#N/A</v>
      </c>
      <c r="GA211" s="64" t="e">
        <f t="array" ref="GA211">MATCH(2,1/(GT211:LQ211&gt;0))</f>
        <v>#N/A</v>
      </c>
      <c r="GB211" s="64">
        <f t="shared" ref="GB211" si="633">IF(OR((T211+U211+AA211+AB211)=0,FR211=0,CQ211=1,LEFT(J211,1)="S"),-1,J211)</f>
        <v>-1</v>
      </c>
      <c r="GC211" s="46"/>
      <c r="GD211" s="613"/>
      <c r="GE211" s="613"/>
      <c r="GF211" s="613"/>
      <c r="GG211" s="613"/>
      <c r="GH211" s="613"/>
      <c r="GI211" s="613"/>
      <c r="GJ211" s="613"/>
      <c r="GK211" s="613"/>
      <c r="GL211" s="613"/>
      <c r="GM211" s="613"/>
      <c r="GN211" s="385">
        <f t="shared" si="498"/>
        <v>0</v>
      </c>
      <c r="GO211" s="386">
        <f t="shared" si="499"/>
        <v>0</v>
      </c>
      <c r="GP211" s="2635"/>
      <c r="GQ211" s="175"/>
      <c r="GR211" s="172"/>
      <c r="GS211" s="65"/>
      <c r="GT211" s="167"/>
      <c r="GU211" s="168"/>
      <c r="GV211" s="168"/>
      <c r="GW211" s="168"/>
      <c r="GX211" s="168"/>
      <c r="GY211" s="168"/>
      <c r="GZ211" s="168"/>
      <c r="HA211" s="168"/>
      <c r="HB211" s="168"/>
      <c r="HC211" s="168"/>
      <c r="HD211" s="168"/>
      <c r="HE211" s="168"/>
      <c r="HF211" s="168"/>
      <c r="HG211" s="168"/>
      <c r="HH211" s="168"/>
      <c r="HI211" s="168"/>
      <c r="HJ211" s="168"/>
      <c r="HK211" s="168"/>
      <c r="HL211" s="168"/>
      <c r="HM211" s="168"/>
      <c r="HN211" s="168"/>
      <c r="HO211" s="168"/>
      <c r="HP211" s="168"/>
      <c r="HQ211" s="168"/>
      <c r="HR211" s="168"/>
      <c r="HS211" s="168"/>
      <c r="HT211" s="168"/>
      <c r="HU211" s="168"/>
      <c r="HV211" s="168"/>
      <c r="HW211" s="168"/>
      <c r="HX211" s="168"/>
      <c r="HY211" s="168"/>
      <c r="HZ211" s="168"/>
      <c r="IA211" s="168"/>
      <c r="IB211" s="168"/>
      <c r="IC211" s="168"/>
      <c r="ID211" s="168"/>
      <c r="IE211" s="168"/>
      <c r="IF211" s="168"/>
      <c r="IG211" s="168"/>
      <c r="IH211" s="168"/>
      <c r="II211" s="168"/>
      <c r="IJ211" s="168"/>
      <c r="IK211" s="168"/>
      <c r="IL211" s="168"/>
      <c r="IM211" s="168"/>
      <c r="IN211" s="168"/>
      <c r="IO211" s="168"/>
      <c r="IP211" s="168"/>
      <c r="IQ211" s="168"/>
      <c r="IR211" s="168"/>
      <c r="IS211" s="168"/>
      <c r="IT211" s="168"/>
      <c r="IU211" s="168"/>
      <c r="IV211" s="168"/>
      <c r="IW211" s="168"/>
      <c r="IX211" s="168"/>
      <c r="IY211" s="168"/>
      <c r="IZ211" s="168"/>
      <c r="JA211" s="168"/>
      <c r="JB211" s="168"/>
      <c r="JC211" s="168"/>
      <c r="JD211" s="168"/>
      <c r="JE211" s="168"/>
      <c r="JF211" s="168"/>
      <c r="JG211" s="168"/>
      <c r="JH211" s="168"/>
      <c r="JI211" s="168"/>
      <c r="JJ211" s="168"/>
      <c r="JK211" s="168"/>
      <c r="JL211" s="168"/>
      <c r="JM211" s="168"/>
      <c r="JN211" s="168"/>
      <c r="JO211" s="168"/>
      <c r="JP211" s="168"/>
      <c r="JQ211" s="168"/>
      <c r="JR211" s="168"/>
      <c r="JS211" s="168"/>
      <c r="JT211" s="168"/>
      <c r="JU211" s="168"/>
      <c r="JV211" s="168"/>
      <c r="JW211" s="168"/>
      <c r="JX211" s="168"/>
      <c r="JY211" s="168"/>
      <c r="JZ211" s="168"/>
      <c r="KA211" s="168"/>
      <c r="KB211" s="168"/>
      <c r="KC211" s="168"/>
      <c r="KD211" s="168"/>
      <c r="KE211" s="168"/>
      <c r="KF211" s="168"/>
      <c r="KG211" s="168"/>
      <c r="KH211" s="168"/>
      <c r="KI211" s="168"/>
      <c r="KJ211" s="168"/>
      <c r="KK211" s="168"/>
      <c r="KL211" s="168"/>
      <c r="KM211" s="168"/>
      <c r="KN211" s="168"/>
      <c r="KO211" s="168"/>
      <c r="KP211" s="168"/>
      <c r="KQ211" s="168"/>
      <c r="KR211" s="168"/>
      <c r="KS211" s="168"/>
      <c r="KT211" s="168"/>
      <c r="KU211" s="168"/>
      <c r="KV211" s="168"/>
      <c r="KW211" s="168"/>
      <c r="KX211" s="168"/>
      <c r="KY211" s="168"/>
      <c r="KZ211" s="168"/>
      <c r="LA211" s="168"/>
      <c r="LB211" s="168"/>
      <c r="LC211" s="168"/>
      <c r="LD211" s="168"/>
      <c r="LE211" s="168"/>
      <c r="LF211" s="168"/>
      <c r="LG211" s="168"/>
      <c r="LH211" s="168"/>
      <c r="LI211" s="168"/>
      <c r="LJ211" s="168"/>
      <c r="LK211" s="168"/>
      <c r="LL211" s="168"/>
      <c r="LM211" s="168"/>
      <c r="LN211" s="168"/>
      <c r="LO211" s="168"/>
      <c r="LP211" s="606"/>
      <c r="LQ211" s="609"/>
      <c r="LR211" s="1319"/>
      <c r="LS211" s="1319"/>
    </row>
    <row r="212" spans="1:331" s="2" customFormat="1" ht="15" customHeight="1" x14ac:dyDescent="0.25">
      <c r="A212" s="283"/>
      <c r="B212" s="303"/>
      <c r="C212" s="301"/>
      <c r="D212" s="3303"/>
      <c r="E212" s="2298"/>
      <c r="F212" s="1812"/>
      <c r="G212" s="3342"/>
      <c r="H212" s="66"/>
      <c r="I212" s="1746"/>
      <c r="J212" s="1214"/>
      <c r="K212" s="105"/>
      <c r="L212" s="91"/>
      <c r="M212" s="92"/>
      <c r="N212" s="93"/>
      <c r="O212" s="94"/>
      <c r="P212" s="96"/>
      <c r="Q212" s="95"/>
      <c r="R212" s="993">
        <f t="shared" si="431"/>
        <v>0</v>
      </c>
      <c r="S212" s="23">
        <f t="shared" si="432"/>
        <v>0</v>
      </c>
      <c r="T212" s="24">
        <f t="shared" si="433"/>
        <v>0</v>
      </c>
      <c r="U212" s="24">
        <f t="shared" si="434"/>
        <v>0</v>
      </c>
      <c r="V212" s="24">
        <f t="shared" ref="V212" si="634">IF($AE212&lt;&gt;3,0,SUMPRODUCT($DJ212:$FH212,$DJ$30:$FH$30)*$AN212*AH212)</f>
        <v>0</v>
      </c>
      <c r="W212" s="24">
        <f t="shared" ref="W212" ca="1" si="635">IFERROR(X212*SUMPRODUCT($DJ212:$FH212,$DJ$29:$FH$29)/SUM($DJ212:$FH212),0)</f>
        <v>0</v>
      </c>
      <c r="X212" s="72">
        <f t="shared" ref="X212" ca="1" si="636">IF($AE212=3,SUMPRODUCT($BS212:$CB212,CC212:CL212)*AH212,0)</f>
        <v>0</v>
      </c>
      <c r="Y212" s="72">
        <f t="shared" ref="Y212" si="637">IF($AE212=3,SUMPRODUCT($AO212:$AX212,BI212:BR212),0)</f>
        <v>0</v>
      </c>
      <c r="Z212" s="24">
        <f t="shared" ref="Z212" si="638">IF($AE212=3,SUMPRODUCT($AO212:$AX212,AY212:BH212),0)</f>
        <v>0</v>
      </c>
      <c r="AA212" s="72">
        <f t="shared" ref="AA212" si="639">$DE212*$CM212*(1+DF212)*AH212</f>
        <v>0</v>
      </c>
      <c r="AB212" s="24">
        <f t="shared" si="388"/>
        <v>0</v>
      </c>
      <c r="AC212" s="24">
        <f t="shared" ref="AC212" ca="1" si="640">IF($AE212=3,SUMPRODUCT($DJ212:$FH212,$DJ$24:$FH$24)*AN212,0)</f>
        <v>0</v>
      </c>
      <c r="AD212" s="24">
        <f t="shared" ref="AD212" si="641">IF($AE212=3,SUMPRODUCT($DJ212:$FH212,$DJ$22:$FH$22)*AN212,0)</f>
        <v>0</v>
      </c>
      <c r="AE212" s="2078">
        <f t="shared" ref="AE212" si="642">IF(N212="",3,IF(AND(L212&gt;0,M212&gt;0),2,1))</f>
        <v>3</v>
      </c>
      <c r="AF212" s="2078">
        <f t="shared" ref="AF212" si="643">IF(AND(ISNUMBER(VALUE(L212)),RIGHT(L212,1)="0"),(L212+0.00001),L212)</f>
        <v>0</v>
      </c>
      <c r="AG212" s="2078">
        <f t="shared" ref="AG212" si="644">IF(AND(ISNUMBER(VALUE(M212)),RIGHT(M212,1)="0"),(M212+0.00001),M212)</f>
        <v>0</v>
      </c>
      <c r="AH212" s="2521">
        <f t="shared" ref="AH212" si="645">IF(OR($G212="NB",AI212="R"),0,1)</f>
        <v>1</v>
      </c>
      <c r="AI212" s="25" t="str">
        <f t="shared" ref="AI212" si="646">LEFT(J212,1)</f>
        <v/>
      </c>
      <c r="AJ212" s="2521">
        <f t="shared" ca="1" si="391"/>
        <v>0</v>
      </c>
      <c r="AK212" s="2076">
        <f t="shared" ca="1" si="392"/>
        <v>0</v>
      </c>
      <c r="AL212" s="2078">
        <f>IF(ISBLANK(J212),0,ISERROR(MATCH(J212,'5  Control Accounts'!$FA$29:$FA$96,0))*1)</f>
        <v>0</v>
      </c>
      <c r="AM212" s="2076">
        <f t="shared" ref="AM212" si="647">AND($C$6,(T212+U212+AB212)&lt;&gt;0,$F212&lt;&gt;"Exclude",ISBLANK(J212))*1</f>
        <v>0</v>
      </c>
      <c r="AN212" s="2078">
        <f t="shared" ref="AN212" si="648">IF(DE212&gt;0,0,IF(GR212="T",FQ212*(1+B212),IF(ISBLANK(DH212),1+B212,DH212*(1+B212))*IF(FO212="P",1-GP212,1)))</f>
        <v>1</v>
      </c>
      <c r="AO212" s="2079">
        <f t="shared" si="393"/>
        <v>1</v>
      </c>
      <c r="AP212" s="2079">
        <f t="shared" si="394"/>
        <v>0</v>
      </c>
      <c r="AQ212" s="2079">
        <f t="shared" si="395"/>
        <v>0</v>
      </c>
      <c r="AR212" s="2079">
        <f t="shared" si="396"/>
        <v>0</v>
      </c>
      <c r="AS212" s="2079">
        <f t="shared" si="397"/>
        <v>0</v>
      </c>
      <c r="AT212" s="2079">
        <f t="shared" si="398"/>
        <v>0</v>
      </c>
      <c r="AU212" s="2079">
        <f t="shared" si="399"/>
        <v>0</v>
      </c>
      <c r="AV212" s="2079">
        <f t="shared" si="400"/>
        <v>0</v>
      </c>
      <c r="AW212" s="2079">
        <f t="shared" si="401"/>
        <v>0</v>
      </c>
      <c r="AX212" s="2079">
        <f t="shared" si="402"/>
        <v>0</v>
      </c>
      <c r="AY212" s="2078">
        <f t="shared" si="446"/>
        <v>0</v>
      </c>
      <c r="AZ212" s="2078">
        <f t="shared" si="447"/>
        <v>0</v>
      </c>
      <c r="BA212" s="2078">
        <f t="shared" si="448"/>
        <v>0</v>
      </c>
      <c r="BB212" s="2078">
        <f t="shared" si="449"/>
        <v>0</v>
      </c>
      <c r="BC212" s="2078">
        <f t="shared" si="450"/>
        <v>0</v>
      </c>
      <c r="BD212" s="2078">
        <f t="shared" si="451"/>
        <v>0</v>
      </c>
      <c r="BE212" s="2078">
        <f t="shared" si="452"/>
        <v>0</v>
      </c>
      <c r="BF212" s="2078">
        <f t="shared" si="453"/>
        <v>0</v>
      </c>
      <c r="BG212" s="2078">
        <f t="shared" si="454"/>
        <v>0</v>
      </c>
      <c r="BH212" s="2078">
        <f t="shared" si="455"/>
        <v>0</v>
      </c>
      <c r="BI212" s="2078">
        <f t="shared" si="456"/>
        <v>0</v>
      </c>
      <c r="BJ212" s="2078">
        <f t="shared" si="457"/>
        <v>0</v>
      </c>
      <c r="BK212" s="2078">
        <f t="shared" si="458"/>
        <v>0</v>
      </c>
      <c r="BL212" s="2078">
        <f t="shared" si="459"/>
        <v>0</v>
      </c>
      <c r="BM212" s="2078">
        <f t="shared" si="460"/>
        <v>0</v>
      </c>
      <c r="BN212" s="2078">
        <f t="shared" si="461"/>
        <v>0</v>
      </c>
      <c r="BO212" s="2078">
        <f t="shared" si="462"/>
        <v>0</v>
      </c>
      <c r="BP212" s="2078">
        <f t="shared" si="463"/>
        <v>0</v>
      </c>
      <c r="BQ212" s="2078">
        <f t="shared" si="464"/>
        <v>0</v>
      </c>
      <c r="BR212" s="2078">
        <f t="shared" si="465"/>
        <v>0</v>
      </c>
      <c r="BS212" s="2079">
        <f t="shared" si="403"/>
        <v>1</v>
      </c>
      <c r="BT212" s="2079">
        <f t="shared" si="404"/>
        <v>0</v>
      </c>
      <c r="BU212" s="2079">
        <f t="shared" si="405"/>
        <v>0</v>
      </c>
      <c r="BV212" s="2079">
        <f t="shared" si="406"/>
        <v>0</v>
      </c>
      <c r="BW212" s="2079">
        <f t="shared" si="407"/>
        <v>0</v>
      </c>
      <c r="BX212" s="2079">
        <f t="shared" si="408"/>
        <v>0</v>
      </c>
      <c r="BY212" s="2079">
        <f t="shared" si="409"/>
        <v>0</v>
      </c>
      <c r="BZ212" s="2079">
        <f t="shared" si="410"/>
        <v>0</v>
      </c>
      <c r="CA212" s="2079">
        <f t="shared" si="411"/>
        <v>0</v>
      </c>
      <c r="CB212" s="2079">
        <f t="shared" si="412"/>
        <v>0</v>
      </c>
      <c r="CC212" s="2078">
        <f t="shared" ca="1" si="466"/>
        <v>0</v>
      </c>
      <c r="CD212" s="2078">
        <f t="shared" ca="1" si="467"/>
        <v>0</v>
      </c>
      <c r="CE212" s="2078">
        <f t="shared" ca="1" si="468"/>
        <v>0</v>
      </c>
      <c r="CF212" s="2078">
        <f t="shared" ca="1" si="469"/>
        <v>0</v>
      </c>
      <c r="CG212" s="2078">
        <f t="shared" ca="1" si="470"/>
        <v>0</v>
      </c>
      <c r="CH212" s="2078">
        <f t="shared" ca="1" si="471"/>
        <v>0</v>
      </c>
      <c r="CI212" s="2078">
        <f t="shared" ca="1" si="472"/>
        <v>0</v>
      </c>
      <c r="CJ212" s="2078">
        <f t="shared" ca="1" si="473"/>
        <v>0</v>
      </c>
      <c r="CK212" s="2078">
        <f t="shared" ca="1" si="474"/>
        <v>0</v>
      </c>
      <c r="CL212" s="2078">
        <f t="shared" ca="1" si="475"/>
        <v>0</v>
      </c>
      <c r="CM212" s="2078">
        <f t="shared" ref="CM212" si="649">IF(ISBLANK(DD212),1,DD212)*IF(FO212="P",1-GP212,1)</f>
        <v>1</v>
      </c>
      <c r="CN212" s="2078">
        <f t="shared" ref="CN212" si="650">IF(DC212=$CN$171,0,1)</f>
        <v>1</v>
      </c>
      <c r="CO212" s="2078">
        <f t="shared" ref="CO212" si="651">IF(AND(AE212=3,OR(F212="",F212="Approved")),1,0)</f>
        <v>1</v>
      </c>
      <c r="CP212" s="2078">
        <f t="shared" ref="CP212" si="652">IF(AE212&lt;&gt;3,0,IF(OR(F212="",F212="Approved",F212="Pend w FC"),1,0))</f>
        <v>1</v>
      </c>
      <c r="CQ212" s="2078">
        <f t="shared" ref="CQ212" si="653">IF(AND(Z212=0,OR(AI212="V",AI212="W",G212="RO")),1,0)</f>
        <v>0</v>
      </c>
      <c r="CR212" s="2078">
        <f t="shared" si="417"/>
        <v>0</v>
      </c>
      <c r="CS212" s="2078">
        <f t="shared" ref="CS212" si="654">IF(OR(F212="Pending",F212="Pend w FC"),1,0)</f>
        <v>0</v>
      </c>
      <c r="CT212" s="2078">
        <f t="shared" si="418"/>
        <v>1</v>
      </c>
      <c r="CU212" s="2078">
        <f t="shared" ref="CU212" si="655">IF($AE212&lt;&gt;3,0,IF(F212="",1,0))</f>
        <v>1</v>
      </c>
      <c r="CV212" s="2078">
        <f t="shared" si="419"/>
        <v>0</v>
      </c>
      <c r="CW212" s="2078">
        <f>IF(OR(AE212&lt;&gt;3,F212="Exclude"),0,IF(ISERROR(MATCH($E212,'4 Sign-off'!$S$123:$X$123,0)),0,1))</f>
        <v>0</v>
      </c>
      <c r="CX212" s="2078">
        <f t="shared" ref="CX212" si="656">IF($C$7&lt;&gt;"B",1,CHOOSE($CX$163,CW212,CS212+CV212,CS212,CV212))</f>
        <v>0</v>
      </c>
      <c r="CY212" s="2078">
        <f t="shared" ref="CY212" si="657">CHOOSE($CY$163,CO212,CP212,CX212)</f>
        <v>0</v>
      </c>
      <c r="CZ212" s="2993">
        <f t="shared" ca="1" si="483"/>
        <v>0</v>
      </c>
      <c r="DA212" s="3037">
        <f t="shared" ca="1" si="484"/>
        <v>0</v>
      </c>
      <c r="DB212" s="1664"/>
      <c r="DC212" s="1320"/>
      <c r="DD212" s="589"/>
      <c r="DE212" s="1321"/>
      <c r="DF212" s="107"/>
      <c r="DG212" s="112"/>
      <c r="DH212" s="140"/>
      <c r="DI212" s="22"/>
      <c r="DJ212" s="145"/>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860"/>
      <c r="FH212" s="3302"/>
      <c r="FI212" s="1318"/>
      <c r="FJ212" s="126"/>
      <c r="FK212" s="127"/>
      <c r="FL212" s="128" t="str">
        <f t="shared" ref="FL212" si="658">N212&amp;O212&amp;"    "&amp;P212</f>
        <v xml:space="preserve">    </v>
      </c>
      <c r="FM212" s="128"/>
      <c r="FN212" s="1686">
        <f t="shared" ref="FN212" si="659">IF($AE212=3,T212,0)</f>
        <v>0</v>
      </c>
      <c r="FO212" s="46">
        <f t="shared" ref="FO212" si="660">IF(AND($C$7="F",GR212="P"),"P",0)</f>
        <v>0</v>
      </c>
      <c r="FP212" s="46">
        <f t="shared" ref="FP212" si="661">IFERROR(1/FQ212,1)</f>
        <v>1</v>
      </c>
      <c r="FQ212" s="75">
        <f t="shared" ref="FQ212" si="662">IF($AE212=3,SUMPRODUCT(GT212:LQ212,$GT$25:$LQ$25),0)</f>
        <v>0</v>
      </c>
      <c r="FR212" s="46">
        <f t="shared" ref="FR212" si="663">SUM(GT212:LQ212)</f>
        <v>0</v>
      </c>
      <c r="FS212" s="46">
        <f t="shared" ref="FS212" si="664">IFERROR(AN212/FQ212,1)</f>
        <v>1</v>
      </c>
      <c r="FT212" s="75">
        <f t="shared" ref="FT212" si="665">AND($AE212=3,(T212+Z212+AB212)&gt;0,FQ212=0)*1</f>
        <v>0</v>
      </c>
      <c r="FU212" s="2603">
        <f t="shared" ref="FU212" si="666">(DE212*IF(ISBLANK($DD212),1,$DD212))+(SUMPRODUCT(DJ212:FH212,$DJ$65:$FH$65)*IF(GR212="T",SUM(GT212:LQ212),IF(ISBLANK(DH212),1,DH212)))</f>
        <v>0</v>
      </c>
      <c r="FV212" s="2607">
        <f t="shared" ref="FV212" si="667">IF(GR212="T",SUMPRODUCT(GT212:LQ212,$GT$20:$LQ$20)/SUM(GT212:LQ212),GP212)</f>
        <v>0</v>
      </c>
      <c r="FW212" s="2603">
        <f t="shared" ref="FW212" si="668">IF(GR212&gt;0,FU212*FV212,0)</f>
        <v>0</v>
      </c>
      <c r="FX212" s="2631">
        <f t="shared" ref="FX212" si="669">IF(SUM(DE212:FH212)&gt;0,1,0)</f>
        <v>0</v>
      </c>
      <c r="FY212" s="81" t="e">
        <f t="shared" ref="FY212" si="670">IF($C$7&lt;&gt;"F",GA212,IF(GA212&lt;$GO$25,NA(),GA212))</f>
        <v>#N/A</v>
      </c>
      <c r="FZ212" s="64" t="e">
        <f t="array" ref="FZ212">MATCH(1,($GT212:$LQ212&gt;0)*$GT$25:$LQ$25,0)</f>
        <v>#N/A</v>
      </c>
      <c r="GA212" s="64" t="e">
        <f t="array" ref="GA212">MATCH(2,1/(GT212:LQ212&gt;0))</f>
        <v>#N/A</v>
      </c>
      <c r="GB212" s="64">
        <f t="shared" ref="GB212" si="671">IF(OR((T212+U212+AA212+AB212)=0,FR212=0,CQ212=1,LEFT(J212,1)="S"),-1,J212)</f>
        <v>-1</v>
      </c>
      <c r="GC212" s="46"/>
      <c r="GD212" s="613"/>
      <c r="GE212" s="613"/>
      <c r="GF212" s="613"/>
      <c r="GG212" s="613"/>
      <c r="GH212" s="613"/>
      <c r="GI212" s="613"/>
      <c r="GJ212" s="613"/>
      <c r="GK212" s="613"/>
      <c r="GL212" s="613"/>
      <c r="GM212" s="613"/>
      <c r="GN212" s="385">
        <f t="shared" ref="GN212" si="672">IF(ISERROR(FZ212),0,CHOOSE($FM$5,(FZ212*7)+$GT$170-11,EOMONTH($GT$170,FZ212-2)+1))</f>
        <v>0</v>
      </c>
      <c r="GO212" s="386">
        <f t="shared" ref="GO212" si="673">IF(ISERROR(FY212),0,CHOOSE($FM$5,(FY212*7)+$GT$170-7,EOMONTH($GT$170,FY212-1)))</f>
        <v>0</v>
      </c>
      <c r="GP212" s="2635"/>
      <c r="GQ212" s="175"/>
      <c r="GR212" s="172"/>
      <c r="GS212" s="65"/>
      <c r="GT212" s="167"/>
      <c r="GU212" s="168"/>
      <c r="GV212" s="168"/>
      <c r="GW212" s="168"/>
      <c r="GX212" s="168"/>
      <c r="GY212" s="168"/>
      <c r="GZ212" s="168"/>
      <c r="HA212" s="168"/>
      <c r="HB212" s="168"/>
      <c r="HC212" s="168"/>
      <c r="HD212" s="168"/>
      <c r="HE212" s="168"/>
      <c r="HF212" s="168"/>
      <c r="HG212" s="168"/>
      <c r="HH212" s="168"/>
      <c r="HI212" s="168"/>
      <c r="HJ212" s="168"/>
      <c r="HK212" s="168"/>
      <c r="HL212" s="168"/>
      <c r="HM212" s="168"/>
      <c r="HN212" s="168"/>
      <c r="HO212" s="168"/>
      <c r="HP212" s="168"/>
      <c r="HQ212" s="168"/>
      <c r="HR212" s="168"/>
      <c r="HS212" s="168"/>
      <c r="HT212" s="168"/>
      <c r="HU212" s="168"/>
      <c r="HV212" s="168"/>
      <c r="HW212" s="168"/>
      <c r="HX212" s="168"/>
      <c r="HY212" s="168"/>
      <c r="HZ212" s="168"/>
      <c r="IA212" s="168"/>
      <c r="IB212" s="168"/>
      <c r="IC212" s="168"/>
      <c r="ID212" s="168"/>
      <c r="IE212" s="168"/>
      <c r="IF212" s="168"/>
      <c r="IG212" s="168"/>
      <c r="IH212" s="168"/>
      <c r="II212" s="168"/>
      <c r="IJ212" s="168"/>
      <c r="IK212" s="168"/>
      <c r="IL212" s="168"/>
      <c r="IM212" s="168"/>
      <c r="IN212" s="168"/>
      <c r="IO212" s="168"/>
      <c r="IP212" s="168"/>
      <c r="IQ212" s="168"/>
      <c r="IR212" s="168"/>
      <c r="IS212" s="168"/>
      <c r="IT212" s="168"/>
      <c r="IU212" s="168"/>
      <c r="IV212" s="168"/>
      <c r="IW212" s="168"/>
      <c r="IX212" s="168"/>
      <c r="IY212" s="168"/>
      <c r="IZ212" s="168"/>
      <c r="JA212" s="168"/>
      <c r="JB212" s="168"/>
      <c r="JC212" s="168"/>
      <c r="JD212" s="168"/>
      <c r="JE212" s="168"/>
      <c r="JF212" s="168"/>
      <c r="JG212" s="168"/>
      <c r="JH212" s="168"/>
      <c r="JI212" s="168"/>
      <c r="JJ212" s="168"/>
      <c r="JK212" s="168"/>
      <c r="JL212" s="168"/>
      <c r="JM212" s="168"/>
      <c r="JN212" s="168"/>
      <c r="JO212" s="168"/>
      <c r="JP212" s="168"/>
      <c r="JQ212" s="168"/>
      <c r="JR212" s="168"/>
      <c r="JS212" s="168"/>
      <c r="JT212" s="168"/>
      <c r="JU212" s="168"/>
      <c r="JV212" s="168"/>
      <c r="JW212" s="168"/>
      <c r="JX212" s="168"/>
      <c r="JY212" s="168"/>
      <c r="JZ212" s="168"/>
      <c r="KA212" s="168"/>
      <c r="KB212" s="168"/>
      <c r="KC212" s="168"/>
      <c r="KD212" s="168"/>
      <c r="KE212" s="168"/>
      <c r="KF212" s="168"/>
      <c r="KG212" s="168"/>
      <c r="KH212" s="168"/>
      <c r="KI212" s="168"/>
      <c r="KJ212" s="168"/>
      <c r="KK212" s="168"/>
      <c r="KL212" s="168"/>
      <c r="KM212" s="168"/>
      <c r="KN212" s="168"/>
      <c r="KO212" s="168"/>
      <c r="KP212" s="168"/>
      <c r="KQ212" s="168"/>
      <c r="KR212" s="168"/>
      <c r="KS212" s="168"/>
      <c r="KT212" s="168"/>
      <c r="KU212" s="168"/>
      <c r="KV212" s="168"/>
      <c r="KW212" s="168"/>
      <c r="KX212" s="168"/>
      <c r="KY212" s="168"/>
      <c r="KZ212" s="168"/>
      <c r="LA212" s="168"/>
      <c r="LB212" s="168"/>
      <c r="LC212" s="168"/>
      <c r="LD212" s="168"/>
      <c r="LE212" s="168"/>
      <c r="LF212" s="168"/>
      <c r="LG212" s="168"/>
      <c r="LH212" s="168"/>
      <c r="LI212" s="168"/>
      <c r="LJ212" s="168"/>
      <c r="LK212" s="168"/>
      <c r="LL212" s="168"/>
      <c r="LM212" s="168"/>
      <c r="LN212" s="168"/>
      <c r="LO212" s="168"/>
      <c r="LP212" s="606"/>
      <c r="LQ212" s="609"/>
      <c r="LR212" s="1319"/>
      <c r="LS212" s="1319"/>
    </row>
    <row r="213" spans="1:331" s="2" customFormat="1" ht="15" customHeight="1" x14ac:dyDescent="0.25">
      <c r="A213" s="283"/>
      <c r="B213" s="303"/>
      <c r="C213" s="301"/>
      <c r="D213" s="3075"/>
      <c r="E213" s="2298"/>
      <c r="F213" s="1812"/>
      <c r="G213" s="3342"/>
      <c r="H213" s="66"/>
      <c r="I213" s="1746"/>
      <c r="J213" s="1214"/>
      <c r="K213" s="105"/>
      <c r="L213" s="91"/>
      <c r="M213" s="92"/>
      <c r="N213" s="93"/>
      <c r="O213" s="94"/>
      <c r="P213" s="96"/>
      <c r="Q213" s="95"/>
      <c r="R213" s="993">
        <f t="shared" si="431"/>
        <v>0</v>
      </c>
      <c r="S213" s="23">
        <f t="shared" si="432"/>
        <v>0</v>
      </c>
      <c r="T213" s="24">
        <f t="shared" si="433"/>
        <v>0</v>
      </c>
      <c r="U213" s="24">
        <f t="shared" si="434"/>
        <v>0</v>
      </c>
      <c r="V213" s="24">
        <f t="shared" ref="V213" si="674">IF($AE213&lt;&gt;3,0,SUMPRODUCT($DJ213:$FH213,$DJ$30:$FH$30)*$AN213*AH213)</f>
        <v>0</v>
      </c>
      <c r="W213" s="24">
        <f t="shared" ref="W213" ca="1" si="675">IFERROR(X213*SUMPRODUCT($DJ213:$FH213,$DJ$29:$FH$29)/SUM($DJ213:$FH213),0)</f>
        <v>0</v>
      </c>
      <c r="X213" s="72">
        <f t="shared" ref="X213" ca="1" si="676">IF($AE213=3,SUMPRODUCT($BS213:$CB213,CC213:CL213)*AH213,0)</f>
        <v>0</v>
      </c>
      <c r="Y213" s="72">
        <f t="shared" ref="Y213" si="677">IF($AE213=3,SUMPRODUCT($AO213:$AX213,BI213:BR213),0)</f>
        <v>0</v>
      </c>
      <c r="Z213" s="24">
        <f t="shared" ref="Z213" si="678">IF($AE213=3,SUMPRODUCT($AO213:$AX213,AY213:BH213),0)</f>
        <v>0</v>
      </c>
      <c r="AA213" s="72">
        <f t="shared" ref="AA213" si="679">$DE213*$CM213*(1+DF213)*AH213</f>
        <v>0</v>
      </c>
      <c r="AB213" s="24">
        <f t="shared" si="388"/>
        <v>0</v>
      </c>
      <c r="AC213" s="24">
        <f t="shared" ref="AC213" ca="1" si="680">IF($AE213=3,SUMPRODUCT($DJ213:$FH213,$DJ$24:$FH$24)*AN213,0)</f>
        <v>0</v>
      </c>
      <c r="AD213" s="24">
        <f t="shared" si="389"/>
        <v>0</v>
      </c>
      <c r="AE213" s="2078">
        <f t="shared" ref="AE213" si="681">IF(N213="",3,IF(AND(L213&gt;0,M213&gt;0),2,1))</f>
        <v>3</v>
      </c>
      <c r="AF213" s="2078">
        <f t="shared" ref="AF213" si="682">IF(AND(ISNUMBER(VALUE(L213)),RIGHT(L213,1)="0"),(L213+0.00001),L213)</f>
        <v>0</v>
      </c>
      <c r="AG213" s="2078">
        <f t="shared" ref="AG213" si="683">IF(AND(ISNUMBER(VALUE(M213)),RIGHT(M213,1)="0"),(M213+0.00001),M213)</f>
        <v>0</v>
      </c>
      <c r="AH213" s="2521">
        <f t="shared" si="390"/>
        <v>1</v>
      </c>
      <c r="AI213" s="25" t="str">
        <f t="shared" ref="AI213" si="684">LEFT(J213,1)</f>
        <v/>
      </c>
      <c r="AJ213" s="2521">
        <f t="shared" ca="1" si="391"/>
        <v>0</v>
      </c>
      <c r="AK213" s="2076">
        <f t="shared" ca="1" si="392"/>
        <v>0</v>
      </c>
      <c r="AL213" s="2078">
        <f>IF(ISBLANK(J213),0,ISERROR(MATCH(J213,'5  Control Accounts'!$FA$29:$FA$96,0))*1)</f>
        <v>0</v>
      </c>
      <c r="AM213" s="2076">
        <f t="shared" ref="AM213" si="685">AND($C$6,(T213+U213+AB213)&lt;&gt;0,$F213&lt;&gt;"Exclude",ISBLANK(J213))*1</f>
        <v>0</v>
      </c>
      <c r="AN213" s="2078">
        <f t="shared" ref="AN213" si="686">IF(DE213&gt;0,0,IF(GR213="T",FQ213*(1+B213),IF(ISBLANK(DH213),1+B213,DH213*(1+B213))*IF(FO213="P",1-GP213,1)))</f>
        <v>1</v>
      </c>
      <c r="AO213" s="2079">
        <f t="shared" si="393"/>
        <v>1</v>
      </c>
      <c r="AP213" s="2079">
        <f t="shared" si="394"/>
        <v>0</v>
      </c>
      <c r="AQ213" s="2079">
        <f t="shared" si="395"/>
        <v>0</v>
      </c>
      <c r="AR213" s="2079">
        <f t="shared" si="396"/>
        <v>0</v>
      </c>
      <c r="AS213" s="2079">
        <f t="shared" si="397"/>
        <v>0</v>
      </c>
      <c r="AT213" s="2079">
        <f t="shared" si="398"/>
        <v>0</v>
      </c>
      <c r="AU213" s="2079">
        <f t="shared" si="399"/>
        <v>0</v>
      </c>
      <c r="AV213" s="2079">
        <f t="shared" si="400"/>
        <v>0</v>
      </c>
      <c r="AW213" s="2079">
        <f t="shared" si="401"/>
        <v>0</v>
      </c>
      <c r="AX213" s="2079">
        <f t="shared" si="402"/>
        <v>0</v>
      </c>
      <c r="AY213" s="2078">
        <f t="shared" si="446"/>
        <v>0</v>
      </c>
      <c r="AZ213" s="2078">
        <f t="shared" si="447"/>
        <v>0</v>
      </c>
      <c r="BA213" s="2078">
        <f t="shared" si="448"/>
        <v>0</v>
      </c>
      <c r="BB213" s="2078">
        <f t="shared" si="449"/>
        <v>0</v>
      </c>
      <c r="BC213" s="2078">
        <f t="shared" si="450"/>
        <v>0</v>
      </c>
      <c r="BD213" s="2078">
        <f t="shared" si="451"/>
        <v>0</v>
      </c>
      <c r="BE213" s="2078">
        <f t="shared" si="452"/>
        <v>0</v>
      </c>
      <c r="BF213" s="2078">
        <f t="shared" si="453"/>
        <v>0</v>
      </c>
      <c r="BG213" s="2078">
        <f t="shared" si="454"/>
        <v>0</v>
      </c>
      <c r="BH213" s="2078">
        <f t="shared" si="455"/>
        <v>0</v>
      </c>
      <c r="BI213" s="2078">
        <f t="shared" si="456"/>
        <v>0</v>
      </c>
      <c r="BJ213" s="2078">
        <f t="shared" si="457"/>
        <v>0</v>
      </c>
      <c r="BK213" s="2078">
        <f t="shared" si="458"/>
        <v>0</v>
      </c>
      <c r="BL213" s="2078">
        <f t="shared" si="459"/>
        <v>0</v>
      </c>
      <c r="BM213" s="2078">
        <f t="shared" si="460"/>
        <v>0</v>
      </c>
      <c r="BN213" s="2078">
        <f t="shared" si="461"/>
        <v>0</v>
      </c>
      <c r="BO213" s="2078">
        <f t="shared" si="462"/>
        <v>0</v>
      </c>
      <c r="BP213" s="2078">
        <f t="shared" si="463"/>
        <v>0</v>
      </c>
      <c r="BQ213" s="2078">
        <f t="shared" si="464"/>
        <v>0</v>
      </c>
      <c r="BR213" s="2078">
        <f t="shared" si="465"/>
        <v>0</v>
      </c>
      <c r="BS213" s="2079">
        <f t="shared" si="403"/>
        <v>1</v>
      </c>
      <c r="BT213" s="2079">
        <f t="shared" si="404"/>
        <v>0</v>
      </c>
      <c r="BU213" s="2079">
        <f t="shared" si="405"/>
        <v>0</v>
      </c>
      <c r="BV213" s="2079">
        <f t="shared" si="406"/>
        <v>0</v>
      </c>
      <c r="BW213" s="2079">
        <f t="shared" si="407"/>
        <v>0</v>
      </c>
      <c r="BX213" s="2079">
        <f t="shared" si="408"/>
        <v>0</v>
      </c>
      <c r="BY213" s="2079">
        <f t="shared" si="409"/>
        <v>0</v>
      </c>
      <c r="BZ213" s="2079">
        <f t="shared" si="410"/>
        <v>0</v>
      </c>
      <c r="CA213" s="2079">
        <f t="shared" si="411"/>
        <v>0</v>
      </c>
      <c r="CB213" s="2079">
        <f t="shared" si="412"/>
        <v>0</v>
      </c>
      <c r="CC213" s="2078">
        <f t="shared" ca="1" si="466"/>
        <v>0</v>
      </c>
      <c r="CD213" s="2078">
        <f t="shared" ca="1" si="467"/>
        <v>0</v>
      </c>
      <c r="CE213" s="2078">
        <f t="shared" ca="1" si="468"/>
        <v>0</v>
      </c>
      <c r="CF213" s="2078">
        <f t="shared" ca="1" si="469"/>
        <v>0</v>
      </c>
      <c r="CG213" s="2078">
        <f t="shared" ca="1" si="470"/>
        <v>0</v>
      </c>
      <c r="CH213" s="2078">
        <f t="shared" ca="1" si="471"/>
        <v>0</v>
      </c>
      <c r="CI213" s="2078">
        <f t="shared" ca="1" si="472"/>
        <v>0</v>
      </c>
      <c r="CJ213" s="2078">
        <f t="shared" ca="1" si="473"/>
        <v>0</v>
      </c>
      <c r="CK213" s="2078">
        <f t="shared" ca="1" si="474"/>
        <v>0</v>
      </c>
      <c r="CL213" s="2078">
        <f t="shared" ca="1" si="475"/>
        <v>0</v>
      </c>
      <c r="CM213" s="2078">
        <f t="shared" ref="CM213" si="687">IF(ISBLANK(DD213),1,DD213)*IF(FO213="P",1-GP213,1)</f>
        <v>1</v>
      </c>
      <c r="CN213" s="2078">
        <f t="shared" ref="CN213" si="688">IF(DC213=$CN$171,0,1)</f>
        <v>1</v>
      </c>
      <c r="CO213" s="2078">
        <f t="shared" ref="CO213" si="689">IF(AND(AE213=3,OR(F213="",F213="Approved")),1,0)</f>
        <v>1</v>
      </c>
      <c r="CP213" s="2078">
        <f t="shared" ref="CP213" si="690">IF(AE213&lt;&gt;3,0,IF(OR(F213="",F213="Approved",F213="Pend w FC"),1,0))</f>
        <v>1</v>
      </c>
      <c r="CQ213" s="2078">
        <f t="shared" ref="CQ213" si="691">IF(AND(Z213=0,OR(AI213="V",AI213="W",G213="RO")),1,0)</f>
        <v>0</v>
      </c>
      <c r="CR213" s="2078">
        <f t="shared" si="417"/>
        <v>0</v>
      </c>
      <c r="CS213" s="2078">
        <f t="shared" ref="CS213" si="692">IF(OR(F213="Pending",F213="Pend w FC"),1,0)</f>
        <v>0</v>
      </c>
      <c r="CT213" s="2078">
        <f t="shared" si="418"/>
        <v>1</v>
      </c>
      <c r="CU213" s="2078">
        <f t="shared" ref="CU213" si="693">IF($AE213&lt;&gt;3,0,IF(F213="",1,0))</f>
        <v>1</v>
      </c>
      <c r="CV213" s="2078">
        <f t="shared" si="419"/>
        <v>0</v>
      </c>
      <c r="CW213" s="2078">
        <f>IF(OR(AE213&lt;&gt;3,F213="Exclude"),0,IF(ISERROR(MATCH($E213,'4 Sign-off'!$S$123:$X$123,0)),0,1))</f>
        <v>0</v>
      </c>
      <c r="CX213" s="2078">
        <f t="shared" si="481"/>
        <v>0</v>
      </c>
      <c r="CY213" s="2078">
        <f t="shared" ref="CY213" si="694">CHOOSE($CY$163,CO213,CP213,CX213)</f>
        <v>0</v>
      </c>
      <c r="CZ213" s="2993">
        <f t="shared" ca="1" si="483"/>
        <v>0</v>
      </c>
      <c r="DA213" s="3037">
        <f t="shared" ca="1" si="484"/>
        <v>0</v>
      </c>
      <c r="DB213" s="1664"/>
      <c r="DC213" s="1320"/>
      <c r="DD213" s="589"/>
      <c r="DE213" s="1321"/>
      <c r="DF213" s="107"/>
      <c r="DG213" s="112"/>
      <c r="DH213" s="140"/>
      <c r="DI213" s="22"/>
      <c r="DJ213" s="145"/>
      <c r="DK213" s="137"/>
      <c r="DL213" s="137"/>
      <c r="DM213" s="137"/>
      <c r="DN213" s="137"/>
      <c r="DO213" s="137"/>
      <c r="DP213" s="137"/>
      <c r="DQ213" s="137"/>
      <c r="DR213" s="137"/>
      <c r="DS213" s="137"/>
      <c r="DT213" s="137"/>
      <c r="DU213" s="137"/>
      <c r="DV213" s="137"/>
      <c r="DW213" s="137"/>
      <c r="DX213" s="137"/>
      <c r="DY213" s="137"/>
      <c r="DZ213" s="137"/>
      <c r="EA213" s="137"/>
      <c r="EB213" s="137"/>
      <c r="EC213" s="137"/>
      <c r="ED213" s="137"/>
      <c r="EE213" s="137"/>
      <c r="EF213" s="137"/>
      <c r="EG213" s="137"/>
      <c r="EH213" s="137"/>
      <c r="EI213" s="137"/>
      <c r="EJ213" s="137"/>
      <c r="EK213" s="137"/>
      <c r="EL213" s="137"/>
      <c r="EM213" s="137"/>
      <c r="EN213" s="137"/>
      <c r="EO213" s="137"/>
      <c r="EP213" s="137"/>
      <c r="EQ213" s="137"/>
      <c r="ER213" s="137"/>
      <c r="ES213" s="137"/>
      <c r="ET213" s="137"/>
      <c r="EU213" s="137"/>
      <c r="EV213" s="137"/>
      <c r="EW213" s="137"/>
      <c r="EX213" s="137"/>
      <c r="EY213" s="137"/>
      <c r="EZ213" s="137"/>
      <c r="FA213" s="137"/>
      <c r="FB213" s="137"/>
      <c r="FC213" s="137"/>
      <c r="FD213" s="137"/>
      <c r="FE213" s="137"/>
      <c r="FF213" s="137"/>
      <c r="FG213" s="860"/>
      <c r="FH213" s="3076"/>
      <c r="FI213" s="1318"/>
      <c r="FJ213" s="126"/>
      <c r="FK213" s="127"/>
      <c r="FL213" s="128" t="str">
        <f t="shared" ref="FL213" si="695">N213&amp;O213&amp;"    "&amp;P213</f>
        <v xml:space="preserve">    </v>
      </c>
      <c r="FM213" s="128"/>
      <c r="FN213" s="1686">
        <f t="shared" ref="FN213" si="696">IF($AE213=3,T213,0)</f>
        <v>0</v>
      </c>
      <c r="FO213" s="46">
        <f t="shared" ref="FO213" si="697">IF(AND($C$7="F",GR213="P"),"P",0)</f>
        <v>0</v>
      </c>
      <c r="FP213" s="46">
        <f t="shared" ref="FP213" si="698">IFERROR(1/FQ213,1)</f>
        <v>1</v>
      </c>
      <c r="FQ213" s="75">
        <f t="shared" ref="FQ213" si="699">IF($AE213=3,SUMPRODUCT(GT213:LQ213,$GT$25:$LQ$25),0)</f>
        <v>0</v>
      </c>
      <c r="FR213" s="46">
        <f t="shared" ref="FR213" si="700">SUM(GT213:LQ213)</f>
        <v>0</v>
      </c>
      <c r="FS213" s="46">
        <f t="shared" ref="FS213" si="701">IFERROR(AN213/FQ213,1)</f>
        <v>1</v>
      </c>
      <c r="FT213" s="75">
        <f t="shared" ref="FT213" si="702">AND($AE213=3,(T213+Z213+AB213)&gt;0,FQ213=0)*1</f>
        <v>0</v>
      </c>
      <c r="FU213" s="2603">
        <f t="shared" ref="FU213" si="703">(DE213*IF(ISBLANK($DD213),1,$DD213))+(SUMPRODUCT(DJ213:FH213,$DJ$65:$FH$65)*IF(GR213="T",SUM(GT213:LQ213),IF(ISBLANK(DH213),1,DH213)))</f>
        <v>0</v>
      </c>
      <c r="FV213" s="2607">
        <f t="shared" ref="FV213" si="704">IF(GR213="T",SUMPRODUCT(GT213:LQ213,$GT$20:$LQ$20)/SUM(GT213:LQ213),GP213)</f>
        <v>0</v>
      </c>
      <c r="FW213" s="2603">
        <f t="shared" ref="FW213" si="705">IF(GR213&gt;0,FU213*FV213,0)</f>
        <v>0</v>
      </c>
      <c r="FX213" s="2631">
        <f t="shared" ref="FX213" si="706">IF(SUM(DE213:FH213)&gt;0,1,0)</f>
        <v>0</v>
      </c>
      <c r="FY213" s="81" t="e">
        <f t="shared" ref="FY213" si="707">IF($C$7&lt;&gt;"F",GA213,IF(GA213&lt;$GO$25,NA(),GA213))</f>
        <v>#N/A</v>
      </c>
      <c r="FZ213" s="64" t="e">
        <f t="array" ref="FZ213">MATCH(1,($GT213:$LQ213&gt;0)*$GT$25:$LQ$25,0)</f>
        <v>#N/A</v>
      </c>
      <c r="GA213" s="64" t="e">
        <f t="array" ref="GA213">MATCH(2,1/(GT213:LQ213&gt;0))</f>
        <v>#N/A</v>
      </c>
      <c r="GB213" s="64">
        <f t="shared" ref="GB213" si="708">IF(OR((T213+U213+AA213+AB213)=0,FR213=0,CQ213=1,LEFT(J213,1)="S"),-1,J213)</f>
        <v>-1</v>
      </c>
      <c r="GC213" s="46"/>
      <c r="GD213" s="613"/>
      <c r="GE213" s="613"/>
      <c r="GF213" s="613"/>
      <c r="GG213" s="613"/>
      <c r="GH213" s="613"/>
      <c r="GI213" s="613"/>
      <c r="GJ213" s="613"/>
      <c r="GK213" s="613"/>
      <c r="GL213" s="613"/>
      <c r="GM213" s="613"/>
      <c r="GN213" s="385">
        <f t="shared" si="498"/>
        <v>0</v>
      </c>
      <c r="GO213" s="386">
        <f t="shared" si="499"/>
        <v>0</v>
      </c>
      <c r="GP213" s="2635"/>
      <c r="GQ213" s="175"/>
      <c r="GR213" s="172"/>
      <c r="GS213" s="65"/>
      <c r="GT213" s="167"/>
      <c r="GU213" s="168"/>
      <c r="GV213" s="168"/>
      <c r="GW213" s="168"/>
      <c r="GX213" s="168"/>
      <c r="GY213" s="168"/>
      <c r="GZ213" s="168"/>
      <c r="HA213" s="168"/>
      <c r="HB213" s="168"/>
      <c r="HC213" s="168"/>
      <c r="HD213" s="168"/>
      <c r="HE213" s="168"/>
      <c r="HF213" s="168"/>
      <c r="HG213" s="168"/>
      <c r="HH213" s="168"/>
      <c r="HI213" s="168"/>
      <c r="HJ213" s="168"/>
      <c r="HK213" s="168"/>
      <c r="HL213" s="168"/>
      <c r="HM213" s="168"/>
      <c r="HN213" s="168"/>
      <c r="HO213" s="168"/>
      <c r="HP213" s="168"/>
      <c r="HQ213" s="168"/>
      <c r="HR213" s="168"/>
      <c r="HS213" s="168"/>
      <c r="HT213" s="168"/>
      <c r="HU213" s="168"/>
      <c r="HV213" s="168"/>
      <c r="HW213" s="168"/>
      <c r="HX213" s="168"/>
      <c r="HY213" s="168"/>
      <c r="HZ213" s="168"/>
      <c r="IA213" s="168"/>
      <c r="IB213" s="168"/>
      <c r="IC213" s="168"/>
      <c r="ID213" s="168"/>
      <c r="IE213" s="168"/>
      <c r="IF213" s="168"/>
      <c r="IG213" s="168"/>
      <c r="IH213" s="168"/>
      <c r="II213" s="168"/>
      <c r="IJ213" s="168"/>
      <c r="IK213" s="168"/>
      <c r="IL213" s="168"/>
      <c r="IM213" s="168"/>
      <c r="IN213" s="168"/>
      <c r="IO213" s="168"/>
      <c r="IP213" s="168"/>
      <c r="IQ213" s="168"/>
      <c r="IR213" s="168"/>
      <c r="IS213" s="168"/>
      <c r="IT213" s="168"/>
      <c r="IU213" s="168"/>
      <c r="IV213" s="168"/>
      <c r="IW213" s="168"/>
      <c r="IX213" s="168"/>
      <c r="IY213" s="168"/>
      <c r="IZ213" s="168"/>
      <c r="JA213" s="168"/>
      <c r="JB213" s="168"/>
      <c r="JC213" s="168"/>
      <c r="JD213" s="168"/>
      <c r="JE213" s="168"/>
      <c r="JF213" s="168"/>
      <c r="JG213" s="168"/>
      <c r="JH213" s="168"/>
      <c r="JI213" s="168"/>
      <c r="JJ213" s="168"/>
      <c r="JK213" s="168"/>
      <c r="JL213" s="168"/>
      <c r="JM213" s="168"/>
      <c r="JN213" s="168"/>
      <c r="JO213" s="168"/>
      <c r="JP213" s="168"/>
      <c r="JQ213" s="168"/>
      <c r="JR213" s="168"/>
      <c r="JS213" s="168"/>
      <c r="JT213" s="168"/>
      <c r="JU213" s="168"/>
      <c r="JV213" s="168"/>
      <c r="JW213" s="168"/>
      <c r="JX213" s="168"/>
      <c r="JY213" s="168"/>
      <c r="JZ213" s="168"/>
      <c r="KA213" s="168"/>
      <c r="KB213" s="168"/>
      <c r="KC213" s="168"/>
      <c r="KD213" s="168"/>
      <c r="KE213" s="168"/>
      <c r="KF213" s="168"/>
      <c r="KG213" s="168"/>
      <c r="KH213" s="168"/>
      <c r="KI213" s="168"/>
      <c r="KJ213" s="168"/>
      <c r="KK213" s="168"/>
      <c r="KL213" s="168"/>
      <c r="KM213" s="168"/>
      <c r="KN213" s="168"/>
      <c r="KO213" s="168"/>
      <c r="KP213" s="168"/>
      <c r="KQ213" s="168"/>
      <c r="KR213" s="168"/>
      <c r="KS213" s="168"/>
      <c r="KT213" s="168"/>
      <c r="KU213" s="168"/>
      <c r="KV213" s="168"/>
      <c r="KW213" s="168"/>
      <c r="KX213" s="168"/>
      <c r="KY213" s="168"/>
      <c r="KZ213" s="168"/>
      <c r="LA213" s="168"/>
      <c r="LB213" s="168"/>
      <c r="LC213" s="168"/>
      <c r="LD213" s="168"/>
      <c r="LE213" s="168"/>
      <c r="LF213" s="168"/>
      <c r="LG213" s="168"/>
      <c r="LH213" s="168"/>
      <c r="LI213" s="168"/>
      <c r="LJ213" s="168"/>
      <c r="LK213" s="168"/>
      <c r="LL213" s="168"/>
      <c r="LM213" s="168"/>
      <c r="LN213" s="168"/>
      <c r="LO213" s="168"/>
      <c r="LP213" s="606"/>
      <c r="LQ213" s="609"/>
      <c r="LR213" s="1319"/>
      <c r="LS213" s="1319"/>
    </row>
    <row r="214" spans="1:331" s="2" customFormat="1" ht="15" customHeight="1" x14ac:dyDescent="0.25">
      <c r="A214" s="283"/>
      <c r="B214" s="303"/>
      <c r="C214" s="301"/>
      <c r="D214" s="3303"/>
      <c r="E214" s="2298"/>
      <c r="F214" s="1812"/>
      <c r="G214" s="3342"/>
      <c r="H214" s="66"/>
      <c r="I214" s="1746"/>
      <c r="J214" s="1214"/>
      <c r="K214" s="105"/>
      <c r="L214" s="91"/>
      <c r="M214" s="92"/>
      <c r="N214" s="93"/>
      <c r="O214" s="94"/>
      <c r="P214" s="96"/>
      <c r="Q214" s="95"/>
      <c r="R214" s="993">
        <f t="shared" si="431"/>
        <v>0</v>
      </c>
      <c r="S214" s="23">
        <f t="shared" si="432"/>
        <v>0</v>
      </c>
      <c r="T214" s="24">
        <f t="shared" si="433"/>
        <v>0</v>
      </c>
      <c r="U214" s="24">
        <f t="shared" si="434"/>
        <v>0</v>
      </c>
      <c r="V214" s="24">
        <f t="shared" ref="V214" si="709">IF($AE214&lt;&gt;3,0,SUMPRODUCT($DJ214:$FH214,$DJ$30:$FH$30)*$AN214*AH214)</f>
        <v>0</v>
      </c>
      <c r="W214" s="24">
        <f t="shared" ref="W214" ca="1" si="710">IFERROR(X214*SUMPRODUCT($DJ214:$FH214,$DJ$29:$FH$29)/SUM($DJ214:$FH214),0)</f>
        <v>0</v>
      </c>
      <c r="X214" s="72">
        <f t="shared" ref="X214" ca="1" si="711">IF($AE214=3,SUMPRODUCT($BS214:$CB214,CC214:CL214)*AH214,0)</f>
        <v>0</v>
      </c>
      <c r="Y214" s="72">
        <f t="shared" ref="Y214" si="712">IF($AE214=3,SUMPRODUCT($AO214:$AX214,BI214:BR214),0)</f>
        <v>0</v>
      </c>
      <c r="Z214" s="24">
        <f t="shared" ref="Z214" si="713">IF($AE214=3,SUMPRODUCT($AO214:$AX214,AY214:BH214),0)</f>
        <v>0</v>
      </c>
      <c r="AA214" s="72">
        <f t="shared" ref="AA214" si="714">$DE214*$CM214*(1+DF214)*AH214</f>
        <v>0</v>
      </c>
      <c r="AB214" s="24">
        <f t="shared" si="388"/>
        <v>0</v>
      </c>
      <c r="AC214" s="24">
        <f t="shared" ref="AC214" ca="1" si="715">IF($AE214=3,SUMPRODUCT($DJ214:$FH214,$DJ$24:$FH$24)*AN214,0)</f>
        <v>0</v>
      </c>
      <c r="AD214" s="24">
        <f t="shared" ref="AD214" si="716">IF($AE214=3,SUMPRODUCT($DJ214:$FH214,$DJ$22:$FH$22)*AN214,0)</f>
        <v>0</v>
      </c>
      <c r="AE214" s="2078">
        <f t="shared" ref="AE214" si="717">IF(N214="",3,IF(AND(L214&gt;0,M214&gt;0),2,1))</f>
        <v>3</v>
      </c>
      <c r="AF214" s="2078">
        <f t="shared" ref="AF214" si="718">IF(AND(ISNUMBER(VALUE(L214)),RIGHT(L214,1)="0"),(L214+0.00001),L214)</f>
        <v>0</v>
      </c>
      <c r="AG214" s="2078">
        <f t="shared" ref="AG214" si="719">IF(AND(ISNUMBER(VALUE(M214)),RIGHT(M214,1)="0"),(M214+0.00001),M214)</f>
        <v>0</v>
      </c>
      <c r="AH214" s="2521">
        <f t="shared" ref="AH214" si="720">IF(OR($G214="NB",AI214="R"),0,1)</f>
        <v>1</v>
      </c>
      <c r="AI214" s="25" t="str">
        <f t="shared" ref="AI214" si="721">LEFT(J214,1)</f>
        <v/>
      </c>
      <c r="AJ214" s="2521">
        <f t="shared" ca="1" si="391"/>
        <v>0</v>
      </c>
      <c r="AK214" s="2076">
        <f t="shared" ca="1" si="392"/>
        <v>0</v>
      </c>
      <c r="AL214" s="2078">
        <f>IF(ISBLANK(J214),0,ISERROR(MATCH(J214,'5  Control Accounts'!$FA$29:$FA$96,0))*1)</f>
        <v>0</v>
      </c>
      <c r="AM214" s="2076">
        <f t="shared" ref="AM214" si="722">AND($C$6,(T214+U214+AB214)&lt;&gt;0,$F214&lt;&gt;"Exclude",ISBLANK(J214))*1</f>
        <v>0</v>
      </c>
      <c r="AN214" s="2078">
        <f t="shared" ref="AN214" si="723">IF(DE214&gt;0,0,IF(GR214="T",FQ214*(1+B214),IF(ISBLANK(DH214),1+B214,DH214*(1+B214))*IF(FO214="P",1-GP214,1)))</f>
        <v>1</v>
      </c>
      <c r="AO214" s="2079">
        <f t="shared" si="393"/>
        <v>1</v>
      </c>
      <c r="AP214" s="2079">
        <f t="shared" si="394"/>
        <v>0</v>
      </c>
      <c r="AQ214" s="2079">
        <f t="shared" si="395"/>
        <v>0</v>
      </c>
      <c r="AR214" s="2079">
        <f t="shared" si="396"/>
        <v>0</v>
      </c>
      <c r="AS214" s="2079">
        <f t="shared" si="397"/>
        <v>0</v>
      </c>
      <c r="AT214" s="2079">
        <f t="shared" si="398"/>
        <v>0</v>
      </c>
      <c r="AU214" s="2079">
        <f t="shared" si="399"/>
        <v>0</v>
      </c>
      <c r="AV214" s="2079">
        <f t="shared" si="400"/>
        <v>0</v>
      </c>
      <c r="AW214" s="2079">
        <f t="shared" si="401"/>
        <v>0</v>
      </c>
      <c r="AX214" s="2079">
        <f t="shared" si="402"/>
        <v>0</v>
      </c>
      <c r="AY214" s="2078">
        <f t="shared" si="446"/>
        <v>0</v>
      </c>
      <c r="AZ214" s="2078">
        <f t="shared" si="447"/>
        <v>0</v>
      </c>
      <c r="BA214" s="2078">
        <f t="shared" si="448"/>
        <v>0</v>
      </c>
      <c r="BB214" s="2078">
        <f t="shared" si="449"/>
        <v>0</v>
      </c>
      <c r="BC214" s="2078">
        <f t="shared" si="450"/>
        <v>0</v>
      </c>
      <c r="BD214" s="2078">
        <f t="shared" si="451"/>
        <v>0</v>
      </c>
      <c r="BE214" s="2078">
        <f t="shared" si="452"/>
        <v>0</v>
      </c>
      <c r="BF214" s="2078">
        <f t="shared" si="453"/>
        <v>0</v>
      </c>
      <c r="BG214" s="2078">
        <f t="shared" si="454"/>
        <v>0</v>
      </c>
      <c r="BH214" s="2078">
        <f t="shared" si="455"/>
        <v>0</v>
      </c>
      <c r="BI214" s="2078">
        <f t="shared" si="456"/>
        <v>0</v>
      </c>
      <c r="BJ214" s="2078">
        <f t="shared" si="457"/>
        <v>0</v>
      </c>
      <c r="BK214" s="2078">
        <f t="shared" si="458"/>
        <v>0</v>
      </c>
      <c r="BL214" s="2078">
        <f t="shared" si="459"/>
        <v>0</v>
      </c>
      <c r="BM214" s="2078">
        <f t="shared" si="460"/>
        <v>0</v>
      </c>
      <c r="BN214" s="2078">
        <f t="shared" si="461"/>
        <v>0</v>
      </c>
      <c r="BO214" s="2078">
        <f t="shared" si="462"/>
        <v>0</v>
      </c>
      <c r="BP214" s="2078">
        <f t="shared" si="463"/>
        <v>0</v>
      </c>
      <c r="BQ214" s="2078">
        <f t="shared" si="464"/>
        <v>0</v>
      </c>
      <c r="BR214" s="2078">
        <f t="shared" si="465"/>
        <v>0</v>
      </c>
      <c r="BS214" s="2079">
        <f t="shared" si="403"/>
        <v>1</v>
      </c>
      <c r="BT214" s="2079">
        <f t="shared" si="404"/>
        <v>0</v>
      </c>
      <c r="BU214" s="2079">
        <f t="shared" si="405"/>
        <v>0</v>
      </c>
      <c r="BV214" s="2079">
        <f t="shared" si="406"/>
        <v>0</v>
      </c>
      <c r="BW214" s="2079">
        <f t="shared" si="407"/>
        <v>0</v>
      </c>
      <c r="BX214" s="2079">
        <f t="shared" si="408"/>
        <v>0</v>
      </c>
      <c r="BY214" s="2079">
        <f t="shared" si="409"/>
        <v>0</v>
      </c>
      <c r="BZ214" s="2079">
        <f t="shared" si="410"/>
        <v>0</v>
      </c>
      <c r="CA214" s="2079">
        <f t="shared" si="411"/>
        <v>0</v>
      </c>
      <c r="CB214" s="2079">
        <f t="shared" si="412"/>
        <v>0</v>
      </c>
      <c r="CC214" s="2078">
        <f t="shared" ca="1" si="466"/>
        <v>0</v>
      </c>
      <c r="CD214" s="2078">
        <f t="shared" ca="1" si="467"/>
        <v>0</v>
      </c>
      <c r="CE214" s="2078">
        <f t="shared" ca="1" si="468"/>
        <v>0</v>
      </c>
      <c r="CF214" s="2078">
        <f t="shared" ca="1" si="469"/>
        <v>0</v>
      </c>
      <c r="CG214" s="2078">
        <f t="shared" ca="1" si="470"/>
        <v>0</v>
      </c>
      <c r="CH214" s="2078">
        <f t="shared" ca="1" si="471"/>
        <v>0</v>
      </c>
      <c r="CI214" s="2078">
        <f t="shared" ca="1" si="472"/>
        <v>0</v>
      </c>
      <c r="CJ214" s="2078">
        <f t="shared" ca="1" si="473"/>
        <v>0</v>
      </c>
      <c r="CK214" s="2078">
        <f t="shared" ca="1" si="474"/>
        <v>0</v>
      </c>
      <c r="CL214" s="2078">
        <f t="shared" ca="1" si="475"/>
        <v>0</v>
      </c>
      <c r="CM214" s="2078">
        <f t="shared" ref="CM214" si="724">IF(ISBLANK(DD214),1,DD214)*IF(FO214="P",1-GP214,1)</f>
        <v>1</v>
      </c>
      <c r="CN214" s="2078">
        <f t="shared" ref="CN214" si="725">IF(DC214=$CN$171,0,1)</f>
        <v>1</v>
      </c>
      <c r="CO214" s="2078">
        <f t="shared" ref="CO214" si="726">IF(AND(AE214=3,OR(F214="",F214="Approved")),1,0)</f>
        <v>1</v>
      </c>
      <c r="CP214" s="2078">
        <f t="shared" ref="CP214" si="727">IF(AE214&lt;&gt;3,0,IF(OR(F214="",F214="Approved",F214="Pend w FC"),1,0))</f>
        <v>1</v>
      </c>
      <c r="CQ214" s="2078">
        <f t="shared" ref="CQ214" si="728">IF(AND(Z214=0,OR(AI214="V",AI214="W",G214="RO")),1,0)</f>
        <v>0</v>
      </c>
      <c r="CR214" s="2078">
        <f t="shared" si="417"/>
        <v>0</v>
      </c>
      <c r="CS214" s="2078">
        <f t="shared" ref="CS214" si="729">IF(OR(F214="Pending",F214="Pend w FC"),1,0)</f>
        <v>0</v>
      </c>
      <c r="CT214" s="2078">
        <f t="shared" si="418"/>
        <v>1</v>
      </c>
      <c r="CU214" s="2078">
        <f t="shared" ref="CU214" si="730">IF($AE214&lt;&gt;3,0,IF(F214="",1,0))</f>
        <v>1</v>
      </c>
      <c r="CV214" s="2078">
        <f t="shared" si="419"/>
        <v>0</v>
      </c>
      <c r="CW214" s="2078">
        <f>IF(OR(AE214&lt;&gt;3,F214="Exclude"),0,IF(ISERROR(MATCH($E214,'4 Sign-off'!$S$123:$X$123,0)),0,1))</f>
        <v>0</v>
      </c>
      <c r="CX214" s="2078">
        <f t="shared" ref="CX214" si="731">IF($C$7&lt;&gt;"B",1,CHOOSE($CX$163,CW214,CS214+CV214,CS214,CV214))</f>
        <v>0</v>
      </c>
      <c r="CY214" s="2078">
        <f t="shared" ref="CY214" si="732">CHOOSE($CY$163,CO214,CP214,CX214)</f>
        <v>0</v>
      </c>
      <c r="CZ214" s="2993">
        <f t="shared" ca="1" si="483"/>
        <v>0</v>
      </c>
      <c r="DA214" s="3037">
        <f t="shared" ca="1" si="484"/>
        <v>0</v>
      </c>
      <c r="DB214" s="1664"/>
      <c r="DC214" s="1320"/>
      <c r="DD214" s="589"/>
      <c r="DE214" s="1321"/>
      <c r="DF214" s="107"/>
      <c r="DG214" s="112"/>
      <c r="DH214" s="140"/>
      <c r="DI214" s="22"/>
      <c r="DJ214" s="145"/>
      <c r="DK214" s="137"/>
      <c r="DL214" s="137"/>
      <c r="DM214" s="137"/>
      <c r="DN214" s="137"/>
      <c r="DO214" s="137"/>
      <c r="DP214" s="137"/>
      <c r="DQ214" s="137"/>
      <c r="DR214" s="137"/>
      <c r="DS214" s="137"/>
      <c r="DT214" s="137"/>
      <c r="DU214" s="137"/>
      <c r="DV214" s="137"/>
      <c r="DW214" s="137"/>
      <c r="DX214" s="137"/>
      <c r="DY214" s="137"/>
      <c r="DZ214" s="137"/>
      <c r="EA214" s="137"/>
      <c r="EB214" s="137"/>
      <c r="EC214" s="137"/>
      <c r="ED214" s="137"/>
      <c r="EE214" s="137"/>
      <c r="EF214" s="137"/>
      <c r="EG214" s="137"/>
      <c r="EH214" s="137"/>
      <c r="EI214" s="137"/>
      <c r="EJ214" s="137"/>
      <c r="EK214" s="137"/>
      <c r="EL214" s="137"/>
      <c r="EM214" s="137"/>
      <c r="EN214" s="137"/>
      <c r="EO214" s="137"/>
      <c r="EP214" s="137"/>
      <c r="EQ214" s="137"/>
      <c r="ER214" s="137"/>
      <c r="ES214" s="137"/>
      <c r="ET214" s="137"/>
      <c r="EU214" s="137"/>
      <c r="EV214" s="137"/>
      <c r="EW214" s="137"/>
      <c r="EX214" s="137"/>
      <c r="EY214" s="137"/>
      <c r="EZ214" s="137"/>
      <c r="FA214" s="137"/>
      <c r="FB214" s="137"/>
      <c r="FC214" s="137"/>
      <c r="FD214" s="137"/>
      <c r="FE214" s="137"/>
      <c r="FF214" s="137"/>
      <c r="FG214" s="860"/>
      <c r="FH214" s="3302"/>
      <c r="FI214" s="1318"/>
      <c r="FJ214" s="126"/>
      <c r="FK214" s="127"/>
      <c r="FL214" s="128" t="str">
        <f t="shared" ref="FL214" si="733">N214&amp;O214&amp;"    "&amp;P214</f>
        <v xml:space="preserve">    </v>
      </c>
      <c r="FM214" s="128"/>
      <c r="FN214" s="1686">
        <f t="shared" ref="FN214" si="734">IF($AE214=3,T214,0)</f>
        <v>0</v>
      </c>
      <c r="FO214" s="46">
        <f t="shared" ref="FO214" si="735">IF(AND($C$7="F",GR214="P"),"P",0)</f>
        <v>0</v>
      </c>
      <c r="FP214" s="46">
        <f t="shared" ref="FP214" si="736">IFERROR(1/FQ214,1)</f>
        <v>1</v>
      </c>
      <c r="FQ214" s="75">
        <f t="shared" ref="FQ214" si="737">IF($AE214=3,SUMPRODUCT(GT214:LQ214,$GT$25:$LQ$25),0)</f>
        <v>0</v>
      </c>
      <c r="FR214" s="46">
        <f t="shared" ref="FR214" si="738">SUM(GT214:LQ214)</f>
        <v>0</v>
      </c>
      <c r="FS214" s="46">
        <f t="shared" ref="FS214" si="739">IFERROR(AN214/FQ214,1)</f>
        <v>1</v>
      </c>
      <c r="FT214" s="75">
        <f t="shared" ref="FT214" si="740">AND($AE214=3,(T214+Z214+AB214)&gt;0,FQ214=0)*1</f>
        <v>0</v>
      </c>
      <c r="FU214" s="2603">
        <f t="shared" ref="FU214" si="741">(DE214*IF(ISBLANK($DD214),1,$DD214))+(SUMPRODUCT(DJ214:FH214,$DJ$65:$FH$65)*IF(GR214="T",SUM(GT214:LQ214),IF(ISBLANK(DH214),1,DH214)))</f>
        <v>0</v>
      </c>
      <c r="FV214" s="2607">
        <f t="shared" ref="FV214" si="742">IF(GR214="T",SUMPRODUCT(GT214:LQ214,$GT$20:$LQ$20)/SUM(GT214:LQ214),GP214)</f>
        <v>0</v>
      </c>
      <c r="FW214" s="2603">
        <f t="shared" ref="FW214" si="743">IF(GR214&gt;0,FU214*FV214,0)</f>
        <v>0</v>
      </c>
      <c r="FX214" s="2631">
        <f t="shared" ref="FX214" si="744">IF(SUM(DE214:FH214)&gt;0,1,0)</f>
        <v>0</v>
      </c>
      <c r="FY214" s="81" t="e">
        <f t="shared" ref="FY214" si="745">IF($C$7&lt;&gt;"F",GA214,IF(GA214&lt;$GO$25,NA(),GA214))</f>
        <v>#N/A</v>
      </c>
      <c r="FZ214" s="64" t="e">
        <f t="array" ref="FZ214">MATCH(1,($GT214:$LQ214&gt;0)*$GT$25:$LQ$25,0)</f>
        <v>#N/A</v>
      </c>
      <c r="GA214" s="64" t="e">
        <f t="array" ref="GA214">MATCH(2,1/(GT214:LQ214&gt;0))</f>
        <v>#N/A</v>
      </c>
      <c r="GB214" s="64">
        <f t="shared" ref="GB214" si="746">IF(OR((T214+U214+AA214+AB214)=0,FR214=0,CQ214=1,LEFT(J214,1)="S"),-1,J214)</f>
        <v>-1</v>
      </c>
      <c r="GC214" s="46"/>
      <c r="GD214" s="613"/>
      <c r="GE214" s="613"/>
      <c r="GF214" s="613"/>
      <c r="GG214" s="613"/>
      <c r="GH214" s="613"/>
      <c r="GI214" s="613"/>
      <c r="GJ214" s="613"/>
      <c r="GK214" s="613"/>
      <c r="GL214" s="613"/>
      <c r="GM214" s="613"/>
      <c r="GN214" s="385">
        <f t="shared" ref="GN214" si="747">IF(ISERROR(FZ214),0,CHOOSE($FM$5,(FZ214*7)+$GT$170-11,EOMONTH($GT$170,FZ214-2)+1))</f>
        <v>0</v>
      </c>
      <c r="GO214" s="386">
        <f t="shared" ref="GO214" si="748">IF(ISERROR(FY214),0,CHOOSE($FM$5,(FY214*7)+$GT$170-7,EOMONTH($GT$170,FY214-1)))</f>
        <v>0</v>
      </c>
      <c r="GP214" s="2635"/>
      <c r="GQ214" s="175"/>
      <c r="GR214" s="172"/>
      <c r="GS214" s="65"/>
      <c r="GT214" s="167"/>
      <c r="GU214" s="168"/>
      <c r="GV214" s="168"/>
      <c r="GW214" s="168"/>
      <c r="GX214" s="168"/>
      <c r="GY214" s="168"/>
      <c r="GZ214" s="168"/>
      <c r="HA214" s="168"/>
      <c r="HB214" s="168"/>
      <c r="HC214" s="168"/>
      <c r="HD214" s="168"/>
      <c r="HE214" s="168"/>
      <c r="HF214" s="168"/>
      <c r="HG214" s="168"/>
      <c r="HH214" s="168"/>
      <c r="HI214" s="168"/>
      <c r="HJ214" s="168"/>
      <c r="HK214" s="168"/>
      <c r="HL214" s="168"/>
      <c r="HM214" s="168"/>
      <c r="HN214" s="168"/>
      <c r="HO214" s="168"/>
      <c r="HP214" s="168"/>
      <c r="HQ214" s="168"/>
      <c r="HR214" s="168"/>
      <c r="HS214" s="168"/>
      <c r="HT214" s="168"/>
      <c r="HU214" s="168"/>
      <c r="HV214" s="168"/>
      <c r="HW214" s="168"/>
      <c r="HX214" s="168"/>
      <c r="HY214" s="168"/>
      <c r="HZ214" s="168"/>
      <c r="IA214" s="168"/>
      <c r="IB214" s="168"/>
      <c r="IC214" s="168"/>
      <c r="ID214" s="168"/>
      <c r="IE214" s="168"/>
      <c r="IF214" s="168"/>
      <c r="IG214" s="168"/>
      <c r="IH214" s="168"/>
      <c r="II214" s="168"/>
      <c r="IJ214" s="168"/>
      <c r="IK214" s="168"/>
      <c r="IL214" s="168"/>
      <c r="IM214" s="168"/>
      <c r="IN214" s="168"/>
      <c r="IO214" s="168"/>
      <c r="IP214" s="168"/>
      <c r="IQ214" s="168"/>
      <c r="IR214" s="168"/>
      <c r="IS214" s="168"/>
      <c r="IT214" s="168"/>
      <c r="IU214" s="168"/>
      <c r="IV214" s="168"/>
      <c r="IW214" s="168"/>
      <c r="IX214" s="168"/>
      <c r="IY214" s="168"/>
      <c r="IZ214" s="168"/>
      <c r="JA214" s="168"/>
      <c r="JB214" s="168"/>
      <c r="JC214" s="168"/>
      <c r="JD214" s="168"/>
      <c r="JE214" s="168"/>
      <c r="JF214" s="168"/>
      <c r="JG214" s="168"/>
      <c r="JH214" s="168"/>
      <c r="JI214" s="168"/>
      <c r="JJ214" s="168"/>
      <c r="JK214" s="168"/>
      <c r="JL214" s="168"/>
      <c r="JM214" s="168"/>
      <c r="JN214" s="168"/>
      <c r="JO214" s="168"/>
      <c r="JP214" s="168"/>
      <c r="JQ214" s="168"/>
      <c r="JR214" s="168"/>
      <c r="JS214" s="168"/>
      <c r="JT214" s="168"/>
      <c r="JU214" s="168"/>
      <c r="JV214" s="168"/>
      <c r="JW214" s="168"/>
      <c r="JX214" s="168"/>
      <c r="JY214" s="168"/>
      <c r="JZ214" s="168"/>
      <c r="KA214" s="168"/>
      <c r="KB214" s="168"/>
      <c r="KC214" s="168"/>
      <c r="KD214" s="168"/>
      <c r="KE214" s="168"/>
      <c r="KF214" s="168"/>
      <c r="KG214" s="168"/>
      <c r="KH214" s="168"/>
      <c r="KI214" s="168"/>
      <c r="KJ214" s="168"/>
      <c r="KK214" s="168"/>
      <c r="KL214" s="168"/>
      <c r="KM214" s="168"/>
      <c r="KN214" s="168"/>
      <c r="KO214" s="168"/>
      <c r="KP214" s="168"/>
      <c r="KQ214" s="168"/>
      <c r="KR214" s="168"/>
      <c r="KS214" s="168"/>
      <c r="KT214" s="168"/>
      <c r="KU214" s="168"/>
      <c r="KV214" s="168"/>
      <c r="KW214" s="168"/>
      <c r="KX214" s="168"/>
      <c r="KY214" s="168"/>
      <c r="KZ214" s="168"/>
      <c r="LA214" s="168"/>
      <c r="LB214" s="168"/>
      <c r="LC214" s="168"/>
      <c r="LD214" s="168"/>
      <c r="LE214" s="168"/>
      <c r="LF214" s="168"/>
      <c r="LG214" s="168"/>
      <c r="LH214" s="168"/>
      <c r="LI214" s="168"/>
      <c r="LJ214" s="168"/>
      <c r="LK214" s="168"/>
      <c r="LL214" s="168"/>
      <c r="LM214" s="168"/>
      <c r="LN214" s="168"/>
      <c r="LO214" s="168"/>
      <c r="LP214" s="606"/>
      <c r="LQ214" s="609"/>
      <c r="LR214" s="1319"/>
      <c r="LS214" s="1319"/>
    </row>
    <row r="215" spans="1:331" s="2" customFormat="1" ht="15" customHeight="1" x14ac:dyDescent="0.25">
      <c r="A215" s="283"/>
      <c r="B215" s="303"/>
      <c r="C215" s="301"/>
      <c r="D215" s="3075"/>
      <c r="E215" s="2298"/>
      <c r="F215" s="1812"/>
      <c r="G215" s="3342"/>
      <c r="H215" s="66"/>
      <c r="I215" s="1746"/>
      <c r="J215" s="1214"/>
      <c r="K215" s="105"/>
      <c r="L215" s="91"/>
      <c r="M215" s="92"/>
      <c r="N215" s="93"/>
      <c r="O215" s="94"/>
      <c r="P215" s="96"/>
      <c r="Q215" s="95"/>
      <c r="R215" s="993">
        <f t="shared" si="431"/>
        <v>0</v>
      </c>
      <c r="S215" s="23">
        <f t="shared" si="432"/>
        <v>0</v>
      </c>
      <c r="T215" s="24">
        <f t="shared" si="433"/>
        <v>0</v>
      </c>
      <c r="U215" s="24">
        <f t="shared" si="434"/>
        <v>0</v>
      </c>
      <c r="V215" s="24">
        <f t="shared" ref="V215:V218" si="749">IF($AE215&lt;&gt;3,0,SUMPRODUCT($DJ215:$FH215,$DJ$30:$FH$30)*$AN215*AH215)</f>
        <v>0</v>
      </c>
      <c r="W215" s="24">
        <f t="shared" ref="W215:W218" ca="1" si="750">IFERROR(X215*SUMPRODUCT($DJ215:$FH215,$DJ$29:$FH$29)/SUM($DJ215:$FH215),0)</f>
        <v>0</v>
      </c>
      <c r="X215" s="72">
        <f t="shared" ref="X215:X218" ca="1" si="751">IF($AE215=3,SUMPRODUCT($BS215:$CB215,CC215:CL215)*AH215,0)</f>
        <v>0</v>
      </c>
      <c r="Y215" s="72">
        <f t="shared" ref="Y215:Y218" si="752">IF($AE215=3,SUMPRODUCT($AO215:$AX215,BI215:BR215),0)</f>
        <v>0</v>
      </c>
      <c r="Z215" s="24">
        <f t="shared" ref="Z215:Z218" si="753">IF($AE215=3,SUMPRODUCT($AO215:$AX215,AY215:BH215),0)</f>
        <v>0</v>
      </c>
      <c r="AA215" s="72">
        <f t="shared" ref="AA215:AA218" si="754">$DE215*$CM215*(1+DF215)*AH215</f>
        <v>0</v>
      </c>
      <c r="AB215" s="24">
        <f t="shared" si="388"/>
        <v>0</v>
      </c>
      <c r="AC215" s="24">
        <f t="shared" ref="AC215:AC218" ca="1" si="755">IF($AE215=3,SUMPRODUCT($DJ215:$FH215,$DJ$24:$FH$24)*AN215,0)</f>
        <v>0</v>
      </c>
      <c r="AD215" s="24">
        <f t="shared" si="389"/>
        <v>0</v>
      </c>
      <c r="AE215" s="2078">
        <f t="shared" ref="AE215:AE218" si="756">IF(N215="",3,IF(AND(L215&gt;0,M215&gt;0),2,1))</f>
        <v>3</v>
      </c>
      <c r="AF215" s="2078">
        <f t="shared" ref="AF215:AF218" si="757">IF(AND(ISNUMBER(VALUE(L215)),RIGHT(L215,1)="0"),(L215+0.00001),L215)</f>
        <v>0</v>
      </c>
      <c r="AG215" s="2078">
        <f t="shared" ref="AG215:AG218" si="758">IF(AND(ISNUMBER(VALUE(M215)),RIGHT(M215,1)="0"),(M215+0.00001),M215)</f>
        <v>0</v>
      </c>
      <c r="AH215" s="2521">
        <f t="shared" si="390"/>
        <v>1</v>
      </c>
      <c r="AI215" s="25" t="str">
        <f t="shared" ref="AI215:AI218" si="759">LEFT(J215,1)</f>
        <v/>
      </c>
      <c r="AJ215" s="2521">
        <f t="shared" ca="1" si="391"/>
        <v>0</v>
      </c>
      <c r="AK215" s="2076">
        <f t="shared" ca="1" si="392"/>
        <v>0</v>
      </c>
      <c r="AL215" s="2078">
        <f>IF(ISBLANK(J215),0,ISERROR(MATCH(J215,'5  Control Accounts'!$FA$29:$FA$96,0))*1)</f>
        <v>0</v>
      </c>
      <c r="AM215" s="2076">
        <f t="shared" ref="AM215:AM218" si="760">AND($C$6,(T215+U215+AB215)&lt;&gt;0,$F215&lt;&gt;"Exclude",ISBLANK(J215))*1</f>
        <v>0</v>
      </c>
      <c r="AN215" s="2078">
        <f t="shared" ref="AN215:AN218" si="761">IF(DE215&gt;0,0,IF(GR215="T",FQ215*(1+B215),IF(ISBLANK(DH215),1+B215,DH215*(1+B215))*IF(FO215="P",1-GP215,1)))</f>
        <v>1</v>
      </c>
      <c r="AO215" s="2079">
        <f t="shared" si="393"/>
        <v>1</v>
      </c>
      <c r="AP215" s="2079">
        <f t="shared" si="394"/>
        <v>0</v>
      </c>
      <c r="AQ215" s="2079">
        <f t="shared" si="395"/>
        <v>0</v>
      </c>
      <c r="AR215" s="2079">
        <f t="shared" si="396"/>
        <v>0</v>
      </c>
      <c r="AS215" s="2079">
        <f t="shared" si="397"/>
        <v>0</v>
      </c>
      <c r="AT215" s="2079">
        <f t="shared" si="398"/>
        <v>0</v>
      </c>
      <c r="AU215" s="2079">
        <f t="shared" si="399"/>
        <v>0</v>
      </c>
      <c r="AV215" s="2079">
        <f t="shared" si="400"/>
        <v>0</v>
      </c>
      <c r="AW215" s="2079">
        <f t="shared" si="401"/>
        <v>0</v>
      </c>
      <c r="AX215" s="2079">
        <f t="shared" si="402"/>
        <v>0</v>
      </c>
      <c r="AY215" s="2078">
        <f t="shared" si="446"/>
        <v>0</v>
      </c>
      <c r="AZ215" s="2078">
        <f t="shared" si="447"/>
        <v>0</v>
      </c>
      <c r="BA215" s="2078">
        <f t="shared" si="448"/>
        <v>0</v>
      </c>
      <c r="BB215" s="2078">
        <f t="shared" si="449"/>
        <v>0</v>
      </c>
      <c r="BC215" s="2078">
        <f t="shared" si="450"/>
        <v>0</v>
      </c>
      <c r="BD215" s="2078">
        <f t="shared" si="451"/>
        <v>0</v>
      </c>
      <c r="BE215" s="2078">
        <f t="shared" si="452"/>
        <v>0</v>
      </c>
      <c r="BF215" s="2078">
        <f t="shared" si="453"/>
        <v>0</v>
      </c>
      <c r="BG215" s="2078">
        <f t="shared" si="454"/>
        <v>0</v>
      </c>
      <c r="BH215" s="2078">
        <f t="shared" si="455"/>
        <v>0</v>
      </c>
      <c r="BI215" s="2078">
        <f t="shared" si="456"/>
        <v>0</v>
      </c>
      <c r="BJ215" s="2078">
        <f t="shared" si="457"/>
        <v>0</v>
      </c>
      <c r="BK215" s="2078">
        <f t="shared" si="458"/>
        <v>0</v>
      </c>
      <c r="BL215" s="2078">
        <f t="shared" si="459"/>
        <v>0</v>
      </c>
      <c r="BM215" s="2078">
        <f t="shared" si="460"/>
        <v>0</v>
      </c>
      <c r="BN215" s="2078">
        <f t="shared" si="461"/>
        <v>0</v>
      </c>
      <c r="BO215" s="2078">
        <f t="shared" si="462"/>
        <v>0</v>
      </c>
      <c r="BP215" s="2078">
        <f t="shared" si="463"/>
        <v>0</v>
      </c>
      <c r="BQ215" s="2078">
        <f t="shared" si="464"/>
        <v>0</v>
      </c>
      <c r="BR215" s="2078">
        <f t="shared" si="465"/>
        <v>0</v>
      </c>
      <c r="BS215" s="2079">
        <f t="shared" si="403"/>
        <v>1</v>
      </c>
      <c r="BT215" s="2079">
        <f t="shared" si="404"/>
        <v>0</v>
      </c>
      <c r="BU215" s="2079">
        <f t="shared" si="405"/>
        <v>0</v>
      </c>
      <c r="BV215" s="2079">
        <f t="shared" si="406"/>
        <v>0</v>
      </c>
      <c r="BW215" s="2079">
        <f t="shared" si="407"/>
        <v>0</v>
      </c>
      <c r="BX215" s="2079">
        <f t="shared" si="408"/>
        <v>0</v>
      </c>
      <c r="BY215" s="2079">
        <f t="shared" si="409"/>
        <v>0</v>
      </c>
      <c r="BZ215" s="2079">
        <f t="shared" si="410"/>
        <v>0</v>
      </c>
      <c r="CA215" s="2079">
        <f t="shared" si="411"/>
        <v>0</v>
      </c>
      <c r="CB215" s="2079">
        <f t="shared" si="412"/>
        <v>0</v>
      </c>
      <c r="CC215" s="2078">
        <f t="shared" ca="1" si="466"/>
        <v>0</v>
      </c>
      <c r="CD215" s="2078">
        <f t="shared" ca="1" si="467"/>
        <v>0</v>
      </c>
      <c r="CE215" s="2078">
        <f t="shared" ca="1" si="468"/>
        <v>0</v>
      </c>
      <c r="CF215" s="2078">
        <f t="shared" ca="1" si="469"/>
        <v>0</v>
      </c>
      <c r="CG215" s="2078">
        <f t="shared" ca="1" si="470"/>
        <v>0</v>
      </c>
      <c r="CH215" s="2078">
        <f t="shared" ca="1" si="471"/>
        <v>0</v>
      </c>
      <c r="CI215" s="2078">
        <f t="shared" ca="1" si="472"/>
        <v>0</v>
      </c>
      <c r="CJ215" s="2078">
        <f t="shared" ca="1" si="473"/>
        <v>0</v>
      </c>
      <c r="CK215" s="2078">
        <f t="shared" ca="1" si="474"/>
        <v>0</v>
      </c>
      <c r="CL215" s="2078">
        <f t="shared" ca="1" si="475"/>
        <v>0</v>
      </c>
      <c r="CM215" s="2078">
        <f t="shared" ref="CM215:CM218" si="762">IF(ISBLANK(DD215),1,DD215)*IF(FO215="P",1-GP215,1)</f>
        <v>1</v>
      </c>
      <c r="CN215" s="2078">
        <f t="shared" ref="CN215:CN218" si="763">IF(DC215=$CN$171,0,1)</f>
        <v>1</v>
      </c>
      <c r="CO215" s="2078">
        <f t="shared" ref="CO215:CO218" si="764">IF(AND(AE215=3,OR(F215="",F215="Approved")),1,0)</f>
        <v>1</v>
      </c>
      <c r="CP215" s="2078">
        <f t="shared" ref="CP215:CP218" si="765">IF(AE215&lt;&gt;3,0,IF(OR(F215="",F215="Approved",F215="Pend w FC"),1,0))</f>
        <v>1</v>
      </c>
      <c r="CQ215" s="2078">
        <f t="shared" ref="CQ215:CQ218" si="766">IF(AND(Z215=0,OR(AI215="V",AI215="W",G215="RO")),1,0)</f>
        <v>0</v>
      </c>
      <c r="CR215" s="2078">
        <f t="shared" si="417"/>
        <v>0</v>
      </c>
      <c r="CS215" s="2078">
        <f t="shared" ref="CS215:CS218" si="767">IF(OR(F215="Pending",F215="Pend w FC"),1,0)</f>
        <v>0</v>
      </c>
      <c r="CT215" s="2078">
        <f t="shared" si="418"/>
        <v>1</v>
      </c>
      <c r="CU215" s="2078">
        <f t="shared" ref="CU215:CU218" si="768">IF($AE215&lt;&gt;3,0,IF(F215="",1,0))</f>
        <v>1</v>
      </c>
      <c r="CV215" s="2078">
        <f t="shared" si="419"/>
        <v>0</v>
      </c>
      <c r="CW215" s="2078">
        <f>IF(OR(AE215&lt;&gt;3,F215="Exclude"),0,IF(ISERROR(MATCH($E215,'4 Sign-off'!$S$123:$X$123,0)),0,1))</f>
        <v>0</v>
      </c>
      <c r="CX215" s="2078">
        <f t="shared" si="481"/>
        <v>0</v>
      </c>
      <c r="CY215" s="2078">
        <f t="shared" ref="CY215:CY218" si="769">CHOOSE($CY$163,CO215,CP215,CX215)</f>
        <v>0</v>
      </c>
      <c r="CZ215" s="2993">
        <f t="shared" ca="1" si="483"/>
        <v>0</v>
      </c>
      <c r="DA215" s="3037">
        <f t="shared" ca="1" si="484"/>
        <v>0</v>
      </c>
      <c r="DB215" s="1664"/>
      <c r="DC215" s="1320"/>
      <c r="DD215" s="589"/>
      <c r="DE215" s="1321"/>
      <c r="DF215" s="107"/>
      <c r="DG215" s="112"/>
      <c r="DH215" s="140"/>
      <c r="DI215" s="22"/>
      <c r="DJ215" s="145"/>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860"/>
      <c r="FH215" s="3076"/>
      <c r="FI215" s="1318"/>
      <c r="FJ215" s="126"/>
      <c r="FK215" s="127"/>
      <c r="FL215" s="128" t="str">
        <f t="shared" ref="FL215:FL218" si="770">N215&amp;O215&amp;"    "&amp;P215</f>
        <v xml:space="preserve">    </v>
      </c>
      <c r="FM215" s="128"/>
      <c r="FN215" s="1686">
        <f t="shared" ref="FN215:FN218" si="771">IF($AE215=3,T215,0)</f>
        <v>0</v>
      </c>
      <c r="FO215" s="46">
        <f t="shared" ref="FO215:FO218" si="772">IF(AND($C$7="F",GR215="P"),"P",0)</f>
        <v>0</v>
      </c>
      <c r="FP215" s="46">
        <f t="shared" ref="FP215:FP218" si="773">IFERROR(1/FQ215,1)</f>
        <v>1</v>
      </c>
      <c r="FQ215" s="75">
        <f t="shared" ref="FQ215:FQ218" si="774">IF($AE215=3,SUMPRODUCT(GT215:LQ215,$GT$25:$LQ$25),0)</f>
        <v>0</v>
      </c>
      <c r="FR215" s="46">
        <f t="shared" ref="FR215" si="775">SUM(GT215:LQ215)</f>
        <v>0</v>
      </c>
      <c r="FS215" s="46">
        <f t="shared" ref="FS215:FS218" si="776">IFERROR(AN215/FQ215,1)</f>
        <v>1</v>
      </c>
      <c r="FT215" s="75">
        <f t="shared" ref="FT215:FT218" si="777">AND($AE215=3,(T215+Z215+AB215)&gt;0,FQ215=0)*1</f>
        <v>0</v>
      </c>
      <c r="FU215" s="2603">
        <f t="shared" ref="FU215:FU218" si="778">(DE215*IF(ISBLANK($DD215),1,$DD215))+(SUMPRODUCT(DJ215:FH215,$DJ$65:$FH$65)*IF(GR215="T",SUM(GT215:LQ215),IF(ISBLANK(DH215),1,DH215)))</f>
        <v>0</v>
      </c>
      <c r="FV215" s="2607">
        <f t="shared" ref="FV215:FV218" si="779">IF(GR215="T",SUMPRODUCT(GT215:LQ215,$GT$20:$LQ$20)/SUM(GT215:LQ215),GP215)</f>
        <v>0</v>
      </c>
      <c r="FW215" s="2603">
        <f t="shared" ref="FW215:FW218" si="780">IF(GR215&gt;0,FU215*FV215,0)</f>
        <v>0</v>
      </c>
      <c r="FX215" s="2631">
        <f t="shared" ref="FX215:FX218" si="781">IF(SUM(DE215:FH215)&gt;0,1,0)</f>
        <v>0</v>
      </c>
      <c r="FY215" s="81" t="e">
        <f t="shared" ref="FY215:FY218" si="782">IF($C$7&lt;&gt;"F",GA215,IF(GA215&lt;$GO$25,NA(),GA215))</f>
        <v>#N/A</v>
      </c>
      <c r="FZ215" s="64" t="e">
        <f t="array" ref="FZ215">MATCH(1,($GT215:$LQ215&gt;0)*$GT$25:$LQ$25,0)</f>
        <v>#N/A</v>
      </c>
      <c r="GA215" s="64" t="e">
        <f t="array" ref="GA215">MATCH(2,1/(GT215:LQ215&gt;0))</f>
        <v>#N/A</v>
      </c>
      <c r="GB215" s="64">
        <f t="shared" ref="GB215:GB218" si="783">IF(OR((T215+U215+AA215+AB215)=0,FR215=0,CQ215=1,LEFT(J215,1)="S"),-1,J215)</f>
        <v>-1</v>
      </c>
      <c r="GC215" s="46"/>
      <c r="GD215" s="613"/>
      <c r="GE215" s="613"/>
      <c r="GF215" s="613"/>
      <c r="GG215" s="613"/>
      <c r="GH215" s="613"/>
      <c r="GI215" s="613"/>
      <c r="GJ215" s="613"/>
      <c r="GK215" s="613"/>
      <c r="GL215" s="613"/>
      <c r="GM215" s="613"/>
      <c r="GN215" s="385">
        <f t="shared" si="498"/>
        <v>0</v>
      </c>
      <c r="GO215" s="386">
        <f t="shared" si="499"/>
        <v>0</v>
      </c>
      <c r="GP215" s="2635"/>
      <c r="GQ215" s="175"/>
      <c r="GR215" s="172"/>
      <c r="GS215" s="65"/>
      <c r="GT215" s="167"/>
      <c r="GU215" s="168"/>
      <c r="GV215" s="168"/>
      <c r="GW215" s="168"/>
      <c r="GX215" s="168"/>
      <c r="GY215" s="168"/>
      <c r="GZ215" s="168"/>
      <c r="HA215" s="168"/>
      <c r="HB215" s="168"/>
      <c r="HC215" s="168"/>
      <c r="HD215" s="168"/>
      <c r="HE215" s="168"/>
      <c r="HF215" s="168"/>
      <c r="HG215" s="168"/>
      <c r="HH215" s="168"/>
      <c r="HI215" s="168"/>
      <c r="HJ215" s="168"/>
      <c r="HK215" s="168"/>
      <c r="HL215" s="168"/>
      <c r="HM215" s="168"/>
      <c r="HN215" s="168"/>
      <c r="HO215" s="168"/>
      <c r="HP215" s="168"/>
      <c r="HQ215" s="168"/>
      <c r="HR215" s="168"/>
      <c r="HS215" s="168"/>
      <c r="HT215" s="168"/>
      <c r="HU215" s="168"/>
      <c r="HV215" s="168"/>
      <c r="HW215" s="168"/>
      <c r="HX215" s="168"/>
      <c r="HY215" s="168"/>
      <c r="HZ215" s="168"/>
      <c r="IA215" s="168"/>
      <c r="IB215" s="168"/>
      <c r="IC215" s="168"/>
      <c r="ID215" s="168"/>
      <c r="IE215" s="168"/>
      <c r="IF215" s="168"/>
      <c r="IG215" s="168"/>
      <c r="IH215" s="168"/>
      <c r="II215" s="168"/>
      <c r="IJ215" s="168"/>
      <c r="IK215" s="168"/>
      <c r="IL215" s="168"/>
      <c r="IM215" s="168"/>
      <c r="IN215" s="168"/>
      <c r="IO215" s="168"/>
      <c r="IP215" s="168"/>
      <c r="IQ215" s="168"/>
      <c r="IR215" s="168"/>
      <c r="IS215" s="168"/>
      <c r="IT215" s="168"/>
      <c r="IU215" s="168"/>
      <c r="IV215" s="168"/>
      <c r="IW215" s="168"/>
      <c r="IX215" s="168"/>
      <c r="IY215" s="168"/>
      <c r="IZ215" s="168"/>
      <c r="JA215" s="168"/>
      <c r="JB215" s="168"/>
      <c r="JC215" s="168"/>
      <c r="JD215" s="168"/>
      <c r="JE215" s="168"/>
      <c r="JF215" s="168"/>
      <c r="JG215" s="168"/>
      <c r="JH215" s="168"/>
      <c r="JI215" s="168"/>
      <c r="JJ215" s="168"/>
      <c r="JK215" s="168"/>
      <c r="JL215" s="168"/>
      <c r="JM215" s="168"/>
      <c r="JN215" s="168"/>
      <c r="JO215" s="168"/>
      <c r="JP215" s="168"/>
      <c r="JQ215" s="168"/>
      <c r="JR215" s="168"/>
      <c r="JS215" s="168"/>
      <c r="JT215" s="168"/>
      <c r="JU215" s="168"/>
      <c r="JV215" s="168"/>
      <c r="JW215" s="168"/>
      <c r="JX215" s="168"/>
      <c r="JY215" s="168"/>
      <c r="JZ215" s="168"/>
      <c r="KA215" s="168"/>
      <c r="KB215" s="168"/>
      <c r="KC215" s="168"/>
      <c r="KD215" s="168"/>
      <c r="KE215" s="168"/>
      <c r="KF215" s="168"/>
      <c r="KG215" s="168"/>
      <c r="KH215" s="168"/>
      <c r="KI215" s="168"/>
      <c r="KJ215" s="168"/>
      <c r="KK215" s="168"/>
      <c r="KL215" s="168"/>
      <c r="KM215" s="168"/>
      <c r="KN215" s="168"/>
      <c r="KO215" s="168"/>
      <c r="KP215" s="168"/>
      <c r="KQ215" s="168"/>
      <c r="KR215" s="168"/>
      <c r="KS215" s="168"/>
      <c r="KT215" s="168"/>
      <c r="KU215" s="168"/>
      <c r="KV215" s="168"/>
      <c r="KW215" s="168"/>
      <c r="KX215" s="168"/>
      <c r="KY215" s="168"/>
      <c r="KZ215" s="168"/>
      <c r="LA215" s="168"/>
      <c r="LB215" s="168"/>
      <c r="LC215" s="168"/>
      <c r="LD215" s="168"/>
      <c r="LE215" s="168"/>
      <c r="LF215" s="168"/>
      <c r="LG215" s="168"/>
      <c r="LH215" s="168"/>
      <c r="LI215" s="168"/>
      <c r="LJ215" s="168"/>
      <c r="LK215" s="168"/>
      <c r="LL215" s="168"/>
      <c r="LM215" s="168"/>
      <c r="LN215" s="168"/>
      <c r="LO215" s="168"/>
      <c r="LP215" s="606"/>
      <c r="LQ215" s="609"/>
      <c r="LR215" s="1319"/>
      <c r="LS215" s="1319"/>
    </row>
    <row r="216" spans="1:331" s="2" customFormat="1" ht="15" customHeight="1" x14ac:dyDescent="0.25">
      <c r="A216" s="283"/>
      <c r="B216" s="303"/>
      <c r="C216" s="301"/>
      <c r="D216" s="3303"/>
      <c r="E216" s="2298"/>
      <c r="F216" s="1812"/>
      <c r="G216" s="3342"/>
      <c r="H216" s="66"/>
      <c r="I216" s="1746"/>
      <c r="J216" s="1214"/>
      <c r="K216" s="105"/>
      <c r="L216" s="91"/>
      <c r="M216" s="92"/>
      <c r="N216" s="93"/>
      <c r="O216" s="94"/>
      <c r="P216" s="96"/>
      <c r="Q216" s="95"/>
      <c r="R216" s="993">
        <f t="shared" si="431"/>
        <v>0</v>
      </c>
      <c r="S216" s="23">
        <f t="shared" si="432"/>
        <v>0</v>
      </c>
      <c r="T216" s="24">
        <f t="shared" si="433"/>
        <v>0</v>
      </c>
      <c r="U216" s="24">
        <f t="shared" si="434"/>
        <v>0</v>
      </c>
      <c r="V216" s="24">
        <f t="shared" si="749"/>
        <v>0</v>
      </c>
      <c r="W216" s="24">
        <f t="shared" ca="1" si="750"/>
        <v>0</v>
      </c>
      <c r="X216" s="72">
        <f t="shared" ca="1" si="751"/>
        <v>0</v>
      </c>
      <c r="Y216" s="72">
        <f t="shared" si="752"/>
        <v>0</v>
      </c>
      <c r="Z216" s="24">
        <f t="shared" si="753"/>
        <v>0</v>
      </c>
      <c r="AA216" s="72">
        <f t="shared" si="754"/>
        <v>0</v>
      </c>
      <c r="AB216" s="24">
        <f t="shared" si="388"/>
        <v>0</v>
      </c>
      <c r="AC216" s="24">
        <f t="shared" ca="1" si="755"/>
        <v>0</v>
      </c>
      <c r="AD216" s="24">
        <f t="shared" ref="AD216:AD218" si="784">IF($AE216=3,SUMPRODUCT($DJ216:$FH216,$DJ$22:$FH$22)*AN216,0)</f>
        <v>0</v>
      </c>
      <c r="AE216" s="2078">
        <f t="shared" si="756"/>
        <v>3</v>
      </c>
      <c r="AF216" s="2078">
        <f t="shared" si="757"/>
        <v>0</v>
      </c>
      <c r="AG216" s="2078">
        <f t="shared" si="758"/>
        <v>0</v>
      </c>
      <c r="AH216" s="2521">
        <f t="shared" ref="AH216:AH218" si="785">IF(OR($G216="NB",AI216="R"),0,1)</f>
        <v>1</v>
      </c>
      <c r="AI216" s="25" t="str">
        <f t="shared" si="759"/>
        <v/>
      </c>
      <c r="AJ216" s="2521">
        <f t="shared" ca="1" si="391"/>
        <v>0</v>
      </c>
      <c r="AK216" s="2076">
        <f t="shared" ca="1" si="392"/>
        <v>0</v>
      </c>
      <c r="AL216" s="2078">
        <f>IF(ISBLANK(J216),0,ISERROR(MATCH(J216,'5  Control Accounts'!$FA$29:$FA$96,0))*1)</f>
        <v>0</v>
      </c>
      <c r="AM216" s="2076">
        <f t="shared" si="760"/>
        <v>0</v>
      </c>
      <c r="AN216" s="2078">
        <f t="shared" si="761"/>
        <v>1</v>
      </c>
      <c r="AO216" s="2079">
        <f t="shared" si="393"/>
        <v>1</v>
      </c>
      <c r="AP216" s="2079">
        <f t="shared" si="394"/>
        <v>0</v>
      </c>
      <c r="AQ216" s="2079">
        <f t="shared" si="395"/>
        <v>0</v>
      </c>
      <c r="AR216" s="2079">
        <f t="shared" si="396"/>
        <v>0</v>
      </c>
      <c r="AS216" s="2079">
        <f t="shared" si="397"/>
        <v>0</v>
      </c>
      <c r="AT216" s="2079">
        <f t="shared" si="398"/>
        <v>0</v>
      </c>
      <c r="AU216" s="2079">
        <f t="shared" si="399"/>
        <v>0</v>
      </c>
      <c r="AV216" s="2079">
        <f t="shared" si="400"/>
        <v>0</v>
      </c>
      <c r="AW216" s="2079">
        <f t="shared" si="401"/>
        <v>0</v>
      </c>
      <c r="AX216" s="2079">
        <f t="shared" si="402"/>
        <v>0</v>
      </c>
      <c r="AY216" s="2078">
        <f t="shared" si="446"/>
        <v>0</v>
      </c>
      <c r="AZ216" s="2078">
        <f t="shared" si="447"/>
        <v>0</v>
      </c>
      <c r="BA216" s="2078">
        <f t="shared" si="448"/>
        <v>0</v>
      </c>
      <c r="BB216" s="2078">
        <f t="shared" si="449"/>
        <v>0</v>
      </c>
      <c r="BC216" s="2078">
        <f t="shared" si="450"/>
        <v>0</v>
      </c>
      <c r="BD216" s="2078">
        <f t="shared" si="451"/>
        <v>0</v>
      </c>
      <c r="BE216" s="2078">
        <f t="shared" si="452"/>
        <v>0</v>
      </c>
      <c r="BF216" s="2078">
        <f t="shared" si="453"/>
        <v>0</v>
      </c>
      <c r="BG216" s="2078">
        <f t="shared" si="454"/>
        <v>0</v>
      </c>
      <c r="BH216" s="2078">
        <f t="shared" si="455"/>
        <v>0</v>
      </c>
      <c r="BI216" s="2078">
        <f t="shared" si="456"/>
        <v>0</v>
      </c>
      <c r="BJ216" s="2078">
        <f t="shared" si="457"/>
        <v>0</v>
      </c>
      <c r="BK216" s="2078">
        <f t="shared" si="458"/>
        <v>0</v>
      </c>
      <c r="BL216" s="2078">
        <f t="shared" si="459"/>
        <v>0</v>
      </c>
      <c r="BM216" s="2078">
        <f t="shared" si="460"/>
        <v>0</v>
      </c>
      <c r="BN216" s="2078">
        <f t="shared" si="461"/>
        <v>0</v>
      </c>
      <c r="BO216" s="2078">
        <f t="shared" si="462"/>
        <v>0</v>
      </c>
      <c r="BP216" s="2078">
        <f t="shared" si="463"/>
        <v>0</v>
      </c>
      <c r="BQ216" s="2078">
        <f t="shared" si="464"/>
        <v>0</v>
      </c>
      <c r="BR216" s="2078">
        <f t="shared" si="465"/>
        <v>0</v>
      </c>
      <c r="BS216" s="2079">
        <f t="shared" si="403"/>
        <v>1</v>
      </c>
      <c r="BT216" s="2079">
        <f t="shared" si="404"/>
        <v>0</v>
      </c>
      <c r="BU216" s="2079">
        <f t="shared" si="405"/>
        <v>0</v>
      </c>
      <c r="BV216" s="2079">
        <f t="shared" si="406"/>
        <v>0</v>
      </c>
      <c r="BW216" s="2079">
        <f t="shared" si="407"/>
        <v>0</v>
      </c>
      <c r="BX216" s="2079">
        <f t="shared" si="408"/>
        <v>0</v>
      </c>
      <c r="BY216" s="2079">
        <f t="shared" si="409"/>
        <v>0</v>
      </c>
      <c r="BZ216" s="2079">
        <f t="shared" si="410"/>
        <v>0</v>
      </c>
      <c r="CA216" s="2079">
        <f t="shared" si="411"/>
        <v>0</v>
      </c>
      <c r="CB216" s="2079">
        <f t="shared" si="412"/>
        <v>0</v>
      </c>
      <c r="CC216" s="2078">
        <f t="shared" ca="1" si="466"/>
        <v>0</v>
      </c>
      <c r="CD216" s="2078">
        <f t="shared" ca="1" si="467"/>
        <v>0</v>
      </c>
      <c r="CE216" s="2078">
        <f t="shared" ca="1" si="468"/>
        <v>0</v>
      </c>
      <c r="CF216" s="2078">
        <f t="shared" ca="1" si="469"/>
        <v>0</v>
      </c>
      <c r="CG216" s="2078">
        <f t="shared" ca="1" si="470"/>
        <v>0</v>
      </c>
      <c r="CH216" s="2078">
        <f t="shared" ca="1" si="471"/>
        <v>0</v>
      </c>
      <c r="CI216" s="2078">
        <f t="shared" ca="1" si="472"/>
        <v>0</v>
      </c>
      <c r="CJ216" s="2078">
        <f t="shared" ca="1" si="473"/>
        <v>0</v>
      </c>
      <c r="CK216" s="2078">
        <f t="shared" ca="1" si="474"/>
        <v>0</v>
      </c>
      <c r="CL216" s="2078">
        <f t="shared" ca="1" si="475"/>
        <v>0</v>
      </c>
      <c r="CM216" s="2078">
        <f t="shared" si="762"/>
        <v>1</v>
      </c>
      <c r="CN216" s="2078">
        <f t="shared" si="763"/>
        <v>1</v>
      </c>
      <c r="CO216" s="2078">
        <f t="shared" si="764"/>
        <v>1</v>
      </c>
      <c r="CP216" s="2078">
        <f t="shared" si="765"/>
        <v>1</v>
      </c>
      <c r="CQ216" s="2078">
        <f t="shared" si="766"/>
        <v>0</v>
      </c>
      <c r="CR216" s="2078">
        <f t="shared" si="417"/>
        <v>0</v>
      </c>
      <c r="CS216" s="2078">
        <f t="shared" si="767"/>
        <v>0</v>
      </c>
      <c r="CT216" s="2078">
        <f t="shared" si="418"/>
        <v>1</v>
      </c>
      <c r="CU216" s="2078">
        <f t="shared" si="768"/>
        <v>1</v>
      </c>
      <c r="CV216" s="2078">
        <f t="shared" si="419"/>
        <v>0</v>
      </c>
      <c r="CW216" s="2078">
        <f>IF(OR(AE216&lt;&gt;3,F216="Exclude"),0,IF(ISERROR(MATCH($E216,'4 Sign-off'!$S$123:$X$123,0)),0,1))</f>
        <v>0</v>
      </c>
      <c r="CX216" s="2078">
        <f t="shared" ref="CX216:CX218" si="786">IF($C$7&lt;&gt;"B",1,CHOOSE($CX$163,CW216,CS216+CV216,CS216,CV216))</f>
        <v>0</v>
      </c>
      <c r="CY216" s="2078">
        <f t="shared" si="769"/>
        <v>0</v>
      </c>
      <c r="CZ216" s="2993">
        <f t="shared" ca="1" si="483"/>
        <v>0</v>
      </c>
      <c r="DA216" s="3037">
        <f t="shared" ca="1" si="484"/>
        <v>0</v>
      </c>
      <c r="DB216" s="1664"/>
      <c r="DC216" s="1320"/>
      <c r="DD216" s="589"/>
      <c r="DE216" s="1321"/>
      <c r="DF216" s="107"/>
      <c r="DG216" s="112"/>
      <c r="DH216" s="140"/>
      <c r="DI216" s="22"/>
      <c r="DJ216" s="145"/>
      <c r="DK216" s="137"/>
      <c r="DL216" s="137"/>
      <c r="DM216" s="137"/>
      <c r="DN216" s="137"/>
      <c r="DO216" s="137"/>
      <c r="DP216" s="137"/>
      <c r="DQ216" s="137"/>
      <c r="DR216" s="137"/>
      <c r="DS216" s="137"/>
      <c r="DT216" s="137"/>
      <c r="DU216" s="137"/>
      <c r="DV216" s="137"/>
      <c r="DW216" s="137"/>
      <c r="DX216" s="137"/>
      <c r="DY216" s="137"/>
      <c r="DZ216" s="137"/>
      <c r="EA216" s="137"/>
      <c r="EB216" s="137"/>
      <c r="EC216" s="137"/>
      <c r="ED216" s="137"/>
      <c r="EE216" s="137"/>
      <c r="EF216" s="137"/>
      <c r="EG216" s="137"/>
      <c r="EH216" s="137"/>
      <c r="EI216" s="137"/>
      <c r="EJ216" s="137"/>
      <c r="EK216" s="137"/>
      <c r="EL216" s="137"/>
      <c r="EM216" s="137"/>
      <c r="EN216" s="137"/>
      <c r="EO216" s="137"/>
      <c r="EP216" s="137"/>
      <c r="EQ216" s="137"/>
      <c r="ER216" s="137"/>
      <c r="ES216" s="137"/>
      <c r="ET216" s="137"/>
      <c r="EU216" s="137"/>
      <c r="EV216" s="137"/>
      <c r="EW216" s="137"/>
      <c r="EX216" s="137"/>
      <c r="EY216" s="137"/>
      <c r="EZ216" s="137"/>
      <c r="FA216" s="137"/>
      <c r="FB216" s="137"/>
      <c r="FC216" s="137"/>
      <c r="FD216" s="137"/>
      <c r="FE216" s="137"/>
      <c r="FF216" s="137"/>
      <c r="FG216" s="860"/>
      <c r="FH216" s="863"/>
      <c r="FI216" s="1318"/>
      <c r="FJ216" s="126"/>
      <c r="FK216" s="127"/>
      <c r="FL216" s="128" t="str">
        <f t="shared" si="770"/>
        <v xml:space="preserve">    </v>
      </c>
      <c r="FM216" s="128"/>
      <c r="FN216" s="1686">
        <f t="shared" si="771"/>
        <v>0</v>
      </c>
      <c r="FO216" s="46">
        <f t="shared" si="772"/>
        <v>0</v>
      </c>
      <c r="FP216" s="46">
        <f t="shared" si="773"/>
        <v>1</v>
      </c>
      <c r="FQ216" s="75">
        <f t="shared" si="774"/>
        <v>0</v>
      </c>
      <c r="FR216" s="46">
        <f t="shared" ref="FR216:FR218" si="787">SUM(GT216:LQ216)</f>
        <v>0</v>
      </c>
      <c r="FS216" s="46">
        <f t="shared" si="776"/>
        <v>1</v>
      </c>
      <c r="FT216" s="75">
        <f t="shared" si="777"/>
        <v>0</v>
      </c>
      <c r="FU216" s="2603">
        <f t="shared" si="778"/>
        <v>0</v>
      </c>
      <c r="FV216" s="2607">
        <f t="shared" si="779"/>
        <v>0</v>
      </c>
      <c r="FW216" s="2603">
        <f t="shared" si="780"/>
        <v>0</v>
      </c>
      <c r="FX216" s="2631">
        <f t="shared" si="781"/>
        <v>0</v>
      </c>
      <c r="FY216" s="81" t="e">
        <f t="shared" si="782"/>
        <v>#N/A</v>
      </c>
      <c r="FZ216" s="64" t="e">
        <f t="array" ref="FZ216">MATCH(1,($GT216:$LQ216&gt;0)*$GT$25:$LQ$25,0)</f>
        <v>#N/A</v>
      </c>
      <c r="GA216" s="64" t="e">
        <f t="array" ref="GA216">MATCH(2,1/(GT216:LQ216&gt;0))</f>
        <v>#N/A</v>
      </c>
      <c r="GB216" s="64">
        <f t="shared" si="783"/>
        <v>-1</v>
      </c>
      <c r="GC216" s="46"/>
      <c r="GD216" s="613"/>
      <c r="GE216" s="613"/>
      <c r="GF216" s="613"/>
      <c r="GG216" s="613"/>
      <c r="GH216" s="613"/>
      <c r="GI216" s="613"/>
      <c r="GJ216" s="613"/>
      <c r="GK216" s="613"/>
      <c r="GL216" s="613"/>
      <c r="GM216" s="613"/>
      <c r="GN216" s="385">
        <f t="shared" ref="GN216:GN218" si="788">IF(ISERROR(FZ216),0,CHOOSE($FM$5,(FZ216*7)+$GT$170-11,EOMONTH($GT$170,FZ216-2)+1))</f>
        <v>0</v>
      </c>
      <c r="GO216" s="386">
        <f t="shared" ref="GO216:GO218" si="789">IF(ISERROR(FY216),0,CHOOSE($FM$5,(FY216*7)+$GT$170-7,EOMONTH($GT$170,FY216-1)))</f>
        <v>0</v>
      </c>
      <c r="GP216" s="2635"/>
      <c r="GQ216" s="175"/>
      <c r="GR216" s="172"/>
      <c r="GS216" s="65"/>
      <c r="GT216" s="167"/>
      <c r="GU216" s="168"/>
      <c r="GV216" s="168"/>
      <c r="GW216" s="168"/>
      <c r="GX216" s="168"/>
      <c r="GY216" s="168"/>
      <c r="GZ216" s="168"/>
      <c r="HA216" s="168"/>
      <c r="HB216" s="168"/>
      <c r="HC216" s="168"/>
      <c r="HD216" s="168"/>
      <c r="HE216" s="168"/>
      <c r="HF216" s="168"/>
      <c r="HG216" s="168"/>
      <c r="HH216" s="168"/>
      <c r="HI216" s="168"/>
      <c r="HJ216" s="168"/>
      <c r="HK216" s="168"/>
      <c r="HL216" s="168"/>
      <c r="HM216" s="168"/>
      <c r="HN216" s="168"/>
      <c r="HO216" s="168"/>
      <c r="HP216" s="168"/>
      <c r="HQ216" s="168"/>
      <c r="HR216" s="168"/>
      <c r="HS216" s="168"/>
      <c r="HT216" s="168"/>
      <c r="HU216" s="168"/>
      <c r="HV216" s="168"/>
      <c r="HW216" s="168"/>
      <c r="HX216" s="168"/>
      <c r="HY216" s="168"/>
      <c r="HZ216" s="168"/>
      <c r="IA216" s="168"/>
      <c r="IB216" s="168"/>
      <c r="IC216" s="168"/>
      <c r="ID216" s="168"/>
      <c r="IE216" s="168"/>
      <c r="IF216" s="168"/>
      <c r="IG216" s="168"/>
      <c r="IH216" s="168"/>
      <c r="II216" s="168"/>
      <c r="IJ216" s="168"/>
      <c r="IK216" s="168"/>
      <c r="IL216" s="168"/>
      <c r="IM216" s="168"/>
      <c r="IN216" s="168"/>
      <c r="IO216" s="168"/>
      <c r="IP216" s="168"/>
      <c r="IQ216" s="168"/>
      <c r="IR216" s="168"/>
      <c r="IS216" s="168"/>
      <c r="IT216" s="168"/>
      <c r="IU216" s="168"/>
      <c r="IV216" s="168"/>
      <c r="IW216" s="168"/>
      <c r="IX216" s="168"/>
      <c r="IY216" s="168"/>
      <c r="IZ216" s="168"/>
      <c r="JA216" s="168"/>
      <c r="JB216" s="168"/>
      <c r="JC216" s="168"/>
      <c r="JD216" s="168"/>
      <c r="JE216" s="168"/>
      <c r="JF216" s="168"/>
      <c r="JG216" s="168"/>
      <c r="JH216" s="168"/>
      <c r="JI216" s="168"/>
      <c r="JJ216" s="168"/>
      <c r="JK216" s="168"/>
      <c r="JL216" s="168"/>
      <c r="JM216" s="168"/>
      <c r="JN216" s="168"/>
      <c r="JO216" s="168"/>
      <c r="JP216" s="168"/>
      <c r="JQ216" s="168"/>
      <c r="JR216" s="168"/>
      <c r="JS216" s="168"/>
      <c r="JT216" s="168"/>
      <c r="JU216" s="168"/>
      <c r="JV216" s="168"/>
      <c r="JW216" s="168"/>
      <c r="JX216" s="168"/>
      <c r="JY216" s="168"/>
      <c r="JZ216" s="168"/>
      <c r="KA216" s="168"/>
      <c r="KB216" s="168"/>
      <c r="KC216" s="168"/>
      <c r="KD216" s="168"/>
      <c r="KE216" s="168"/>
      <c r="KF216" s="168"/>
      <c r="KG216" s="168"/>
      <c r="KH216" s="168"/>
      <c r="KI216" s="168"/>
      <c r="KJ216" s="168"/>
      <c r="KK216" s="168"/>
      <c r="KL216" s="168"/>
      <c r="KM216" s="168"/>
      <c r="KN216" s="168"/>
      <c r="KO216" s="168"/>
      <c r="KP216" s="168"/>
      <c r="KQ216" s="168"/>
      <c r="KR216" s="168"/>
      <c r="KS216" s="168"/>
      <c r="KT216" s="168"/>
      <c r="KU216" s="168"/>
      <c r="KV216" s="168"/>
      <c r="KW216" s="168"/>
      <c r="KX216" s="168"/>
      <c r="KY216" s="168"/>
      <c r="KZ216" s="168"/>
      <c r="LA216" s="168"/>
      <c r="LB216" s="168"/>
      <c r="LC216" s="168"/>
      <c r="LD216" s="168"/>
      <c r="LE216" s="168"/>
      <c r="LF216" s="168"/>
      <c r="LG216" s="168"/>
      <c r="LH216" s="168"/>
      <c r="LI216" s="168"/>
      <c r="LJ216" s="168"/>
      <c r="LK216" s="168"/>
      <c r="LL216" s="168"/>
      <c r="LM216" s="168"/>
      <c r="LN216" s="168"/>
      <c r="LO216" s="168"/>
      <c r="LP216" s="606"/>
      <c r="LQ216" s="609"/>
      <c r="LR216" s="1319"/>
      <c r="LS216" s="1319"/>
    </row>
    <row r="217" spans="1:331" s="2" customFormat="1" ht="15" customHeight="1" x14ac:dyDescent="0.25">
      <c r="A217" s="283"/>
      <c r="B217" s="303"/>
      <c r="C217" s="301"/>
      <c r="D217" s="3303"/>
      <c r="E217" s="2298"/>
      <c r="F217" s="1812"/>
      <c r="G217" s="3342"/>
      <c r="H217" s="66"/>
      <c r="I217" s="1746"/>
      <c r="J217" s="1214"/>
      <c r="K217" s="105"/>
      <c r="L217" s="91"/>
      <c r="M217" s="92"/>
      <c r="N217" s="93"/>
      <c r="O217" s="94"/>
      <c r="P217" s="96"/>
      <c r="Q217" s="95"/>
      <c r="R217" s="993">
        <f t="shared" si="431"/>
        <v>0</v>
      </c>
      <c r="S217" s="23">
        <f t="shared" si="432"/>
        <v>0</v>
      </c>
      <c r="T217" s="24">
        <f t="shared" si="433"/>
        <v>0</v>
      </c>
      <c r="U217" s="24">
        <f t="shared" si="434"/>
        <v>0</v>
      </c>
      <c r="V217" s="24">
        <f t="shared" ref="V217" si="790">IF($AE217&lt;&gt;3,0,SUMPRODUCT($DJ217:$FH217,$DJ$30:$FH$30)*$AN217*AH217)</f>
        <v>0</v>
      </c>
      <c r="W217" s="24">
        <f t="shared" ref="W217" ca="1" si="791">IFERROR(X217*SUMPRODUCT($DJ217:$FH217,$DJ$29:$FH$29)/SUM($DJ217:$FH217),0)</f>
        <v>0</v>
      </c>
      <c r="X217" s="72">
        <f t="shared" ref="X217" ca="1" si="792">IF($AE217=3,SUMPRODUCT($BS217:$CB217,CC217:CL217)*AH217,0)</f>
        <v>0</v>
      </c>
      <c r="Y217" s="72">
        <f t="shared" ref="Y217" si="793">IF($AE217=3,SUMPRODUCT($AO217:$AX217,BI217:BR217),0)</f>
        <v>0</v>
      </c>
      <c r="Z217" s="24">
        <f t="shared" ref="Z217" si="794">IF($AE217=3,SUMPRODUCT($AO217:$AX217,AY217:BH217),0)</f>
        <v>0</v>
      </c>
      <c r="AA217" s="72">
        <f t="shared" ref="AA217" si="795">$DE217*$CM217*(1+DF217)*AH217</f>
        <v>0</v>
      </c>
      <c r="AB217" s="24">
        <f t="shared" si="388"/>
        <v>0</v>
      </c>
      <c r="AC217" s="24">
        <f t="shared" ref="AC217" ca="1" si="796">IF($AE217=3,SUMPRODUCT($DJ217:$FH217,$DJ$24:$FH$24)*AN217,0)</f>
        <v>0</v>
      </c>
      <c r="AD217" s="24">
        <f t="shared" ref="AD217" si="797">IF($AE217=3,SUMPRODUCT($DJ217:$FH217,$DJ$22:$FH$22)*AN217,0)</f>
        <v>0</v>
      </c>
      <c r="AE217" s="2078">
        <f t="shared" ref="AE217" si="798">IF(N217="",3,IF(AND(L217&gt;0,M217&gt;0),2,1))</f>
        <v>3</v>
      </c>
      <c r="AF217" s="2078">
        <f t="shared" ref="AF217" si="799">IF(AND(ISNUMBER(VALUE(L217)),RIGHT(L217,1)="0"),(L217+0.00001),L217)</f>
        <v>0</v>
      </c>
      <c r="AG217" s="2078">
        <f t="shared" ref="AG217" si="800">IF(AND(ISNUMBER(VALUE(M217)),RIGHT(M217,1)="0"),(M217+0.00001),M217)</f>
        <v>0</v>
      </c>
      <c r="AH217" s="2521">
        <f t="shared" ref="AH217" si="801">IF(OR($G217="NB",AI217="R"),0,1)</f>
        <v>1</v>
      </c>
      <c r="AI217" s="25" t="str">
        <f t="shared" ref="AI217" si="802">LEFT(J217,1)</f>
        <v/>
      </c>
      <c r="AJ217" s="2521">
        <f t="shared" ca="1" si="391"/>
        <v>0</v>
      </c>
      <c r="AK217" s="2076">
        <f t="shared" ca="1" si="392"/>
        <v>0</v>
      </c>
      <c r="AL217" s="2078">
        <f>IF(ISBLANK(J217),0,ISERROR(MATCH(J217,'5  Control Accounts'!$FA$29:$FA$96,0))*1)</f>
        <v>0</v>
      </c>
      <c r="AM217" s="2076">
        <f t="shared" ref="AM217" si="803">AND($C$6,(T217+U217+AB217)&lt;&gt;0,$F217&lt;&gt;"Exclude",ISBLANK(J217))*1</f>
        <v>0</v>
      </c>
      <c r="AN217" s="2078">
        <f t="shared" ref="AN217" si="804">IF(DE217&gt;0,0,IF(GR217="T",FQ217*(1+B217),IF(ISBLANK(DH217),1+B217,DH217*(1+B217))*IF(FO217="P",1-GP217,1)))</f>
        <v>1</v>
      </c>
      <c r="AO217" s="2079">
        <f t="shared" si="393"/>
        <v>1</v>
      </c>
      <c r="AP217" s="2079">
        <f t="shared" si="394"/>
        <v>0</v>
      </c>
      <c r="AQ217" s="2079">
        <f t="shared" si="395"/>
        <v>0</v>
      </c>
      <c r="AR217" s="2079">
        <f t="shared" si="396"/>
        <v>0</v>
      </c>
      <c r="AS217" s="2079">
        <f t="shared" si="397"/>
        <v>0</v>
      </c>
      <c r="AT217" s="2079">
        <f t="shared" si="398"/>
        <v>0</v>
      </c>
      <c r="AU217" s="2079">
        <f t="shared" si="399"/>
        <v>0</v>
      </c>
      <c r="AV217" s="2079">
        <f t="shared" si="400"/>
        <v>0</v>
      </c>
      <c r="AW217" s="2079">
        <f t="shared" si="401"/>
        <v>0</v>
      </c>
      <c r="AX217" s="2079">
        <f t="shared" si="402"/>
        <v>0</v>
      </c>
      <c r="AY217" s="2078">
        <f t="shared" si="446"/>
        <v>0</v>
      </c>
      <c r="AZ217" s="2078">
        <f t="shared" si="447"/>
        <v>0</v>
      </c>
      <c r="BA217" s="2078">
        <f t="shared" si="448"/>
        <v>0</v>
      </c>
      <c r="BB217" s="2078">
        <f t="shared" si="449"/>
        <v>0</v>
      </c>
      <c r="BC217" s="2078">
        <f t="shared" si="450"/>
        <v>0</v>
      </c>
      <c r="BD217" s="2078">
        <f t="shared" si="451"/>
        <v>0</v>
      </c>
      <c r="BE217" s="2078">
        <f t="shared" si="452"/>
        <v>0</v>
      </c>
      <c r="BF217" s="2078">
        <f t="shared" si="453"/>
        <v>0</v>
      </c>
      <c r="BG217" s="2078">
        <f t="shared" si="454"/>
        <v>0</v>
      </c>
      <c r="BH217" s="2078">
        <f t="shared" si="455"/>
        <v>0</v>
      </c>
      <c r="BI217" s="2078">
        <f t="shared" si="456"/>
        <v>0</v>
      </c>
      <c r="BJ217" s="2078">
        <f t="shared" si="457"/>
        <v>0</v>
      </c>
      <c r="BK217" s="2078">
        <f t="shared" si="458"/>
        <v>0</v>
      </c>
      <c r="BL217" s="2078">
        <f t="shared" si="459"/>
        <v>0</v>
      </c>
      <c r="BM217" s="2078">
        <f t="shared" si="460"/>
        <v>0</v>
      </c>
      <c r="BN217" s="2078">
        <f t="shared" si="461"/>
        <v>0</v>
      </c>
      <c r="BO217" s="2078">
        <f t="shared" si="462"/>
        <v>0</v>
      </c>
      <c r="BP217" s="2078">
        <f t="shared" si="463"/>
        <v>0</v>
      </c>
      <c r="BQ217" s="2078">
        <f t="shared" si="464"/>
        <v>0</v>
      </c>
      <c r="BR217" s="2078">
        <f t="shared" si="465"/>
        <v>0</v>
      </c>
      <c r="BS217" s="2079">
        <f t="shared" si="403"/>
        <v>1</v>
      </c>
      <c r="BT217" s="2079">
        <f t="shared" si="404"/>
        <v>0</v>
      </c>
      <c r="BU217" s="2079">
        <f t="shared" si="405"/>
        <v>0</v>
      </c>
      <c r="BV217" s="2079">
        <f t="shared" si="406"/>
        <v>0</v>
      </c>
      <c r="BW217" s="2079">
        <f t="shared" si="407"/>
        <v>0</v>
      </c>
      <c r="BX217" s="2079">
        <f t="shared" si="408"/>
        <v>0</v>
      </c>
      <c r="BY217" s="2079">
        <f t="shared" si="409"/>
        <v>0</v>
      </c>
      <c r="BZ217" s="2079">
        <f t="shared" si="410"/>
        <v>0</v>
      </c>
      <c r="CA217" s="2079">
        <f t="shared" si="411"/>
        <v>0</v>
      </c>
      <c r="CB217" s="2079">
        <f t="shared" si="412"/>
        <v>0</v>
      </c>
      <c r="CC217" s="2078">
        <f t="shared" ca="1" si="466"/>
        <v>0</v>
      </c>
      <c r="CD217" s="2078">
        <f t="shared" ca="1" si="467"/>
        <v>0</v>
      </c>
      <c r="CE217" s="2078">
        <f t="shared" ca="1" si="468"/>
        <v>0</v>
      </c>
      <c r="CF217" s="2078">
        <f t="shared" ca="1" si="469"/>
        <v>0</v>
      </c>
      <c r="CG217" s="2078">
        <f t="shared" ca="1" si="470"/>
        <v>0</v>
      </c>
      <c r="CH217" s="2078">
        <f t="shared" ca="1" si="471"/>
        <v>0</v>
      </c>
      <c r="CI217" s="2078">
        <f t="shared" ca="1" si="472"/>
        <v>0</v>
      </c>
      <c r="CJ217" s="2078">
        <f t="shared" ca="1" si="473"/>
        <v>0</v>
      </c>
      <c r="CK217" s="2078">
        <f t="shared" ca="1" si="474"/>
        <v>0</v>
      </c>
      <c r="CL217" s="2078">
        <f t="shared" ca="1" si="475"/>
        <v>0</v>
      </c>
      <c r="CM217" s="2078">
        <f t="shared" ref="CM217" si="805">IF(ISBLANK(DD217),1,DD217)*IF(FO217="P",1-GP217,1)</f>
        <v>1</v>
      </c>
      <c r="CN217" s="2078">
        <f t="shared" ref="CN217" si="806">IF(DC217=$CN$171,0,1)</f>
        <v>1</v>
      </c>
      <c r="CO217" s="2078">
        <f t="shared" ref="CO217" si="807">IF(AND(AE217=3,OR(F217="",F217="Approved")),1,0)</f>
        <v>1</v>
      </c>
      <c r="CP217" s="2078">
        <f t="shared" ref="CP217" si="808">IF(AE217&lt;&gt;3,0,IF(OR(F217="",F217="Approved",F217="Pend w FC"),1,0))</f>
        <v>1</v>
      </c>
      <c r="CQ217" s="2078">
        <f t="shared" ref="CQ217" si="809">IF(AND(Z217=0,OR(AI217="V",AI217="W",G217="RO")),1,0)</f>
        <v>0</v>
      </c>
      <c r="CR217" s="2078">
        <f t="shared" si="417"/>
        <v>0</v>
      </c>
      <c r="CS217" s="2078">
        <f t="shared" ref="CS217" si="810">IF(OR(F217="Pending",F217="Pend w FC"),1,0)</f>
        <v>0</v>
      </c>
      <c r="CT217" s="2078">
        <f t="shared" si="418"/>
        <v>1</v>
      </c>
      <c r="CU217" s="2078">
        <f t="shared" ref="CU217" si="811">IF($AE217&lt;&gt;3,0,IF(F217="",1,0))</f>
        <v>1</v>
      </c>
      <c r="CV217" s="2078">
        <f t="shared" si="419"/>
        <v>0</v>
      </c>
      <c r="CW217" s="2078">
        <f>IF(OR(AE217&lt;&gt;3,F217="Exclude"),0,IF(ISERROR(MATCH($E217,'4 Sign-off'!$S$123:$X$123,0)),0,1))</f>
        <v>0</v>
      </c>
      <c r="CX217" s="2078">
        <f t="shared" ref="CX217" si="812">IF($C$7&lt;&gt;"B",1,CHOOSE($CX$163,CW217,CS217+CV217,CS217,CV217))</f>
        <v>0</v>
      </c>
      <c r="CY217" s="2078">
        <f t="shared" ref="CY217" si="813">CHOOSE($CY$163,CO217,CP217,CX217)</f>
        <v>0</v>
      </c>
      <c r="CZ217" s="2993">
        <f t="shared" ca="1" si="483"/>
        <v>0</v>
      </c>
      <c r="DA217" s="3037">
        <f t="shared" ca="1" si="484"/>
        <v>0</v>
      </c>
      <c r="DB217" s="1664"/>
      <c r="DC217" s="1320"/>
      <c r="DD217" s="589"/>
      <c r="DE217" s="1321"/>
      <c r="DF217" s="107"/>
      <c r="DG217" s="112"/>
      <c r="DH217" s="140"/>
      <c r="DI217" s="22"/>
      <c r="DJ217" s="145"/>
      <c r="DK217" s="137"/>
      <c r="DL217" s="137"/>
      <c r="DM217" s="137"/>
      <c r="DN217" s="137"/>
      <c r="DO217" s="137"/>
      <c r="DP217" s="137"/>
      <c r="DQ217" s="137"/>
      <c r="DR217" s="137"/>
      <c r="DS217" s="137"/>
      <c r="DT217" s="137"/>
      <c r="DU217" s="137"/>
      <c r="DV217" s="137"/>
      <c r="DW217" s="137"/>
      <c r="DX217" s="137"/>
      <c r="DY217" s="137"/>
      <c r="DZ217" s="137"/>
      <c r="EA217" s="137"/>
      <c r="EB217" s="137"/>
      <c r="EC217" s="137"/>
      <c r="ED217" s="137"/>
      <c r="EE217" s="137"/>
      <c r="EF217" s="137"/>
      <c r="EG217" s="137"/>
      <c r="EH217" s="137"/>
      <c r="EI217" s="137"/>
      <c r="EJ217" s="137"/>
      <c r="EK217" s="137"/>
      <c r="EL217" s="137"/>
      <c r="EM217" s="137"/>
      <c r="EN217" s="137"/>
      <c r="EO217" s="137"/>
      <c r="EP217" s="137"/>
      <c r="EQ217" s="137"/>
      <c r="ER217" s="137"/>
      <c r="ES217" s="137"/>
      <c r="ET217" s="137"/>
      <c r="EU217" s="137"/>
      <c r="EV217" s="137"/>
      <c r="EW217" s="137"/>
      <c r="EX217" s="137"/>
      <c r="EY217" s="137"/>
      <c r="EZ217" s="137"/>
      <c r="FA217" s="137"/>
      <c r="FB217" s="137"/>
      <c r="FC217" s="137"/>
      <c r="FD217" s="137"/>
      <c r="FE217" s="137"/>
      <c r="FF217" s="137"/>
      <c r="FG217" s="860"/>
      <c r="FH217" s="863"/>
      <c r="FI217" s="1318"/>
      <c r="FJ217" s="126"/>
      <c r="FK217" s="127"/>
      <c r="FL217" s="128" t="str">
        <f t="shared" ref="FL217" si="814">N217&amp;O217&amp;"    "&amp;P217</f>
        <v xml:space="preserve">    </v>
      </c>
      <c r="FM217" s="128"/>
      <c r="FN217" s="1686">
        <f t="shared" ref="FN217" si="815">IF($AE217=3,T217,0)</f>
        <v>0</v>
      </c>
      <c r="FO217" s="46">
        <f t="shared" ref="FO217" si="816">IF(AND($C$7="F",GR217="P"),"P",0)</f>
        <v>0</v>
      </c>
      <c r="FP217" s="46">
        <f t="shared" ref="FP217" si="817">IFERROR(1/FQ217,1)</f>
        <v>1</v>
      </c>
      <c r="FQ217" s="75">
        <f t="shared" ref="FQ217" si="818">IF($AE217=3,SUMPRODUCT(GT217:LQ217,$GT$25:$LQ$25),0)</f>
        <v>0</v>
      </c>
      <c r="FR217" s="46">
        <f t="shared" ref="FR217" si="819">SUM(GT217:LQ217)</f>
        <v>0</v>
      </c>
      <c r="FS217" s="46">
        <f t="shared" ref="FS217" si="820">IFERROR(AN217/FQ217,1)</f>
        <v>1</v>
      </c>
      <c r="FT217" s="75">
        <f t="shared" ref="FT217" si="821">AND($AE217=3,(T217+Z217+AB217)&gt;0,FQ217=0)*1</f>
        <v>0</v>
      </c>
      <c r="FU217" s="2603">
        <f t="shared" ref="FU217" si="822">(DE217*IF(ISBLANK($DD217),1,$DD217))+(SUMPRODUCT(DJ217:FH217,$DJ$65:$FH$65)*IF(GR217="T",SUM(GT217:LQ217),IF(ISBLANK(DH217),1,DH217)))</f>
        <v>0</v>
      </c>
      <c r="FV217" s="2607">
        <f t="shared" ref="FV217" si="823">IF(GR217="T",SUMPRODUCT(GT217:LQ217,$GT$20:$LQ$20)/SUM(GT217:LQ217),GP217)</f>
        <v>0</v>
      </c>
      <c r="FW217" s="2603">
        <f t="shared" ref="FW217" si="824">IF(GR217&gt;0,FU217*FV217,0)</f>
        <v>0</v>
      </c>
      <c r="FX217" s="2631">
        <f t="shared" ref="FX217" si="825">IF(SUM(DE217:FH217)&gt;0,1,0)</f>
        <v>0</v>
      </c>
      <c r="FY217" s="81" t="e">
        <f t="shared" ref="FY217" si="826">IF($C$7&lt;&gt;"F",GA217,IF(GA217&lt;$GO$25,NA(),GA217))</f>
        <v>#N/A</v>
      </c>
      <c r="FZ217" s="64" t="e">
        <f t="array" ref="FZ217">MATCH(1,($GT217:$LQ217&gt;0)*$GT$25:$LQ$25,0)</f>
        <v>#N/A</v>
      </c>
      <c r="GA217" s="64" t="e">
        <f t="array" ref="GA217">MATCH(2,1/(GT217:LQ217&gt;0))</f>
        <v>#N/A</v>
      </c>
      <c r="GB217" s="64">
        <f t="shared" ref="GB217" si="827">IF(OR((T217+U217+AA217+AB217)=0,FR217=0,CQ217=1,LEFT(J217,1)="S"),-1,J217)</f>
        <v>-1</v>
      </c>
      <c r="GC217" s="46"/>
      <c r="GD217" s="613"/>
      <c r="GE217" s="613"/>
      <c r="GF217" s="613"/>
      <c r="GG217" s="613"/>
      <c r="GH217" s="613"/>
      <c r="GI217" s="613"/>
      <c r="GJ217" s="613"/>
      <c r="GK217" s="613"/>
      <c r="GL217" s="613"/>
      <c r="GM217" s="613"/>
      <c r="GN217" s="385">
        <f t="shared" ref="GN217" si="828">IF(ISERROR(FZ217),0,CHOOSE($FM$5,(FZ217*7)+$GT$170-11,EOMONTH($GT$170,FZ217-2)+1))</f>
        <v>0</v>
      </c>
      <c r="GO217" s="386">
        <f t="shared" ref="GO217" si="829">IF(ISERROR(FY217),0,CHOOSE($FM$5,(FY217*7)+$GT$170-7,EOMONTH($GT$170,FY217-1)))</f>
        <v>0</v>
      </c>
      <c r="GP217" s="2635"/>
      <c r="GQ217" s="175"/>
      <c r="GR217" s="172"/>
      <c r="GS217" s="65"/>
      <c r="GT217" s="167"/>
      <c r="GU217" s="168"/>
      <c r="GV217" s="168"/>
      <c r="GW217" s="168"/>
      <c r="GX217" s="168"/>
      <c r="GY217" s="168"/>
      <c r="GZ217" s="168"/>
      <c r="HA217" s="168"/>
      <c r="HB217" s="168"/>
      <c r="HC217" s="168"/>
      <c r="HD217" s="168"/>
      <c r="HE217" s="168"/>
      <c r="HF217" s="168"/>
      <c r="HG217" s="168"/>
      <c r="HH217" s="168"/>
      <c r="HI217" s="168"/>
      <c r="HJ217" s="168"/>
      <c r="HK217" s="168"/>
      <c r="HL217" s="168"/>
      <c r="HM217" s="168"/>
      <c r="HN217" s="168"/>
      <c r="HO217" s="168"/>
      <c r="HP217" s="168"/>
      <c r="HQ217" s="168"/>
      <c r="HR217" s="168"/>
      <c r="HS217" s="168"/>
      <c r="HT217" s="168"/>
      <c r="HU217" s="168"/>
      <c r="HV217" s="168"/>
      <c r="HW217" s="168"/>
      <c r="HX217" s="168"/>
      <c r="HY217" s="168"/>
      <c r="HZ217" s="168"/>
      <c r="IA217" s="168"/>
      <c r="IB217" s="168"/>
      <c r="IC217" s="168"/>
      <c r="ID217" s="168"/>
      <c r="IE217" s="168"/>
      <c r="IF217" s="168"/>
      <c r="IG217" s="168"/>
      <c r="IH217" s="168"/>
      <c r="II217" s="168"/>
      <c r="IJ217" s="168"/>
      <c r="IK217" s="168"/>
      <c r="IL217" s="168"/>
      <c r="IM217" s="168"/>
      <c r="IN217" s="168"/>
      <c r="IO217" s="168"/>
      <c r="IP217" s="168"/>
      <c r="IQ217" s="168"/>
      <c r="IR217" s="168"/>
      <c r="IS217" s="168"/>
      <c r="IT217" s="168"/>
      <c r="IU217" s="168"/>
      <c r="IV217" s="168"/>
      <c r="IW217" s="168"/>
      <c r="IX217" s="168"/>
      <c r="IY217" s="168"/>
      <c r="IZ217" s="168"/>
      <c r="JA217" s="168"/>
      <c r="JB217" s="168"/>
      <c r="JC217" s="168"/>
      <c r="JD217" s="168"/>
      <c r="JE217" s="168"/>
      <c r="JF217" s="168"/>
      <c r="JG217" s="168"/>
      <c r="JH217" s="168"/>
      <c r="JI217" s="168"/>
      <c r="JJ217" s="168"/>
      <c r="JK217" s="168"/>
      <c r="JL217" s="168"/>
      <c r="JM217" s="168"/>
      <c r="JN217" s="168"/>
      <c r="JO217" s="168"/>
      <c r="JP217" s="168"/>
      <c r="JQ217" s="168"/>
      <c r="JR217" s="168"/>
      <c r="JS217" s="168"/>
      <c r="JT217" s="168"/>
      <c r="JU217" s="168"/>
      <c r="JV217" s="168"/>
      <c r="JW217" s="168"/>
      <c r="JX217" s="168"/>
      <c r="JY217" s="168"/>
      <c r="JZ217" s="168"/>
      <c r="KA217" s="168"/>
      <c r="KB217" s="168"/>
      <c r="KC217" s="168"/>
      <c r="KD217" s="168"/>
      <c r="KE217" s="168"/>
      <c r="KF217" s="168"/>
      <c r="KG217" s="168"/>
      <c r="KH217" s="168"/>
      <c r="KI217" s="168"/>
      <c r="KJ217" s="168"/>
      <c r="KK217" s="168"/>
      <c r="KL217" s="168"/>
      <c r="KM217" s="168"/>
      <c r="KN217" s="168"/>
      <c r="KO217" s="168"/>
      <c r="KP217" s="168"/>
      <c r="KQ217" s="168"/>
      <c r="KR217" s="168"/>
      <c r="KS217" s="168"/>
      <c r="KT217" s="168"/>
      <c r="KU217" s="168"/>
      <c r="KV217" s="168"/>
      <c r="KW217" s="168"/>
      <c r="KX217" s="168"/>
      <c r="KY217" s="168"/>
      <c r="KZ217" s="168"/>
      <c r="LA217" s="168"/>
      <c r="LB217" s="168"/>
      <c r="LC217" s="168"/>
      <c r="LD217" s="168"/>
      <c r="LE217" s="168"/>
      <c r="LF217" s="168"/>
      <c r="LG217" s="168"/>
      <c r="LH217" s="168"/>
      <c r="LI217" s="168"/>
      <c r="LJ217" s="168"/>
      <c r="LK217" s="168"/>
      <c r="LL217" s="168"/>
      <c r="LM217" s="168"/>
      <c r="LN217" s="168"/>
      <c r="LO217" s="168"/>
      <c r="LP217" s="606"/>
      <c r="LQ217" s="609"/>
      <c r="LR217" s="1319"/>
      <c r="LS217" s="1319"/>
    </row>
    <row r="218" spans="1:331" s="2" customFormat="1" ht="15" customHeight="1" x14ac:dyDescent="0.25">
      <c r="A218" s="283"/>
      <c r="B218" s="303"/>
      <c r="C218" s="301"/>
      <c r="D218" s="3303"/>
      <c r="E218" s="2298"/>
      <c r="F218" s="1812"/>
      <c r="G218" s="3342"/>
      <c r="H218" s="66"/>
      <c r="I218" s="1746"/>
      <c r="J218" s="1214"/>
      <c r="K218" s="105"/>
      <c r="L218" s="91"/>
      <c r="M218" s="92"/>
      <c r="N218" s="93"/>
      <c r="O218" s="94"/>
      <c r="P218" s="96"/>
      <c r="Q218" s="95"/>
      <c r="R218" s="993">
        <f t="shared" si="431"/>
        <v>0</v>
      </c>
      <c r="S218" s="23">
        <f t="shared" si="432"/>
        <v>0</v>
      </c>
      <c r="T218" s="24">
        <f t="shared" si="433"/>
        <v>0</v>
      </c>
      <c r="U218" s="24">
        <f t="shared" si="434"/>
        <v>0</v>
      </c>
      <c r="V218" s="24">
        <f t="shared" si="749"/>
        <v>0</v>
      </c>
      <c r="W218" s="24">
        <f t="shared" ca="1" si="750"/>
        <v>0</v>
      </c>
      <c r="X218" s="72">
        <f t="shared" ca="1" si="751"/>
        <v>0</v>
      </c>
      <c r="Y218" s="72">
        <f t="shared" si="752"/>
        <v>0</v>
      </c>
      <c r="Z218" s="24">
        <f t="shared" si="753"/>
        <v>0</v>
      </c>
      <c r="AA218" s="72">
        <f t="shared" si="754"/>
        <v>0</v>
      </c>
      <c r="AB218" s="24">
        <f t="shared" si="388"/>
        <v>0</v>
      </c>
      <c r="AC218" s="24">
        <f t="shared" ca="1" si="755"/>
        <v>0</v>
      </c>
      <c r="AD218" s="24">
        <f t="shared" si="784"/>
        <v>0</v>
      </c>
      <c r="AE218" s="2078">
        <f t="shared" si="756"/>
        <v>3</v>
      </c>
      <c r="AF218" s="2078">
        <f t="shared" si="757"/>
        <v>0</v>
      </c>
      <c r="AG218" s="2078">
        <f t="shared" si="758"/>
        <v>0</v>
      </c>
      <c r="AH218" s="2521">
        <f t="shared" si="785"/>
        <v>1</v>
      </c>
      <c r="AI218" s="25" t="str">
        <f t="shared" si="759"/>
        <v/>
      </c>
      <c r="AJ218" s="2521">
        <f t="shared" ca="1" si="391"/>
        <v>0</v>
      </c>
      <c r="AK218" s="2076">
        <f t="shared" ca="1" si="392"/>
        <v>0</v>
      </c>
      <c r="AL218" s="2078">
        <f>IF(ISBLANK(J218),0,ISERROR(MATCH(J218,'5  Control Accounts'!$FA$29:$FA$96,0))*1)</f>
        <v>0</v>
      </c>
      <c r="AM218" s="2076">
        <f t="shared" si="760"/>
        <v>0</v>
      </c>
      <c r="AN218" s="2078">
        <f t="shared" si="761"/>
        <v>1</v>
      </c>
      <c r="AO218" s="2079">
        <f t="shared" si="393"/>
        <v>1</v>
      </c>
      <c r="AP218" s="2079">
        <f t="shared" si="394"/>
        <v>0</v>
      </c>
      <c r="AQ218" s="2079">
        <f t="shared" si="395"/>
        <v>0</v>
      </c>
      <c r="AR218" s="2079">
        <f t="shared" si="396"/>
        <v>0</v>
      </c>
      <c r="AS218" s="2079">
        <f t="shared" si="397"/>
        <v>0</v>
      </c>
      <c r="AT218" s="2079">
        <f t="shared" si="398"/>
        <v>0</v>
      </c>
      <c r="AU218" s="2079">
        <f t="shared" si="399"/>
        <v>0</v>
      </c>
      <c r="AV218" s="2079">
        <f t="shared" si="400"/>
        <v>0</v>
      </c>
      <c r="AW218" s="2079">
        <f t="shared" si="401"/>
        <v>0</v>
      </c>
      <c r="AX218" s="2079">
        <f t="shared" si="402"/>
        <v>0</v>
      </c>
      <c r="AY218" s="2078">
        <f t="shared" si="446"/>
        <v>0</v>
      </c>
      <c r="AZ218" s="2078">
        <f t="shared" si="447"/>
        <v>0</v>
      </c>
      <c r="BA218" s="2078">
        <f t="shared" si="448"/>
        <v>0</v>
      </c>
      <c r="BB218" s="2078">
        <f t="shared" si="449"/>
        <v>0</v>
      </c>
      <c r="BC218" s="2078">
        <f t="shared" si="450"/>
        <v>0</v>
      </c>
      <c r="BD218" s="2078">
        <f t="shared" si="451"/>
        <v>0</v>
      </c>
      <c r="BE218" s="2078">
        <f t="shared" si="452"/>
        <v>0</v>
      </c>
      <c r="BF218" s="2078">
        <f t="shared" si="453"/>
        <v>0</v>
      </c>
      <c r="BG218" s="2078">
        <f t="shared" si="454"/>
        <v>0</v>
      </c>
      <c r="BH218" s="2078">
        <f t="shared" si="455"/>
        <v>0</v>
      </c>
      <c r="BI218" s="2078">
        <f t="shared" si="456"/>
        <v>0</v>
      </c>
      <c r="BJ218" s="2078">
        <f t="shared" si="457"/>
        <v>0</v>
      </c>
      <c r="BK218" s="2078">
        <f t="shared" si="458"/>
        <v>0</v>
      </c>
      <c r="BL218" s="2078">
        <f t="shared" si="459"/>
        <v>0</v>
      </c>
      <c r="BM218" s="2078">
        <f t="shared" si="460"/>
        <v>0</v>
      </c>
      <c r="BN218" s="2078">
        <f t="shared" si="461"/>
        <v>0</v>
      </c>
      <c r="BO218" s="2078">
        <f t="shared" si="462"/>
        <v>0</v>
      </c>
      <c r="BP218" s="2078">
        <f t="shared" si="463"/>
        <v>0</v>
      </c>
      <c r="BQ218" s="2078">
        <f t="shared" si="464"/>
        <v>0</v>
      </c>
      <c r="BR218" s="2078">
        <f t="shared" si="465"/>
        <v>0</v>
      </c>
      <c r="BS218" s="2079">
        <f t="shared" si="403"/>
        <v>1</v>
      </c>
      <c r="BT218" s="2079">
        <f t="shared" si="404"/>
        <v>0</v>
      </c>
      <c r="BU218" s="2079">
        <f t="shared" si="405"/>
        <v>0</v>
      </c>
      <c r="BV218" s="2079">
        <f t="shared" si="406"/>
        <v>0</v>
      </c>
      <c r="BW218" s="2079">
        <f t="shared" si="407"/>
        <v>0</v>
      </c>
      <c r="BX218" s="2079">
        <f t="shared" si="408"/>
        <v>0</v>
      </c>
      <c r="BY218" s="2079">
        <f t="shared" si="409"/>
        <v>0</v>
      </c>
      <c r="BZ218" s="2079">
        <f t="shared" si="410"/>
        <v>0</v>
      </c>
      <c r="CA218" s="2079">
        <f t="shared" si="411"/>
        <v>0</v>
      </c>
      <c r="CB218" s="2079">
        <f t="shared" si="412"/>
        <v>0</v>
      </c>
      <c r="CC218" s="2078">
        <f t="shared" ca="1" si="466"/>
        <v>0</v>
      </c>
      <c r="CD218" s="2078">
        <f t="shared" ca="1" si="467"/>
        <v>0</v>
      </c>
      <c r="CE218" s="2078">
        <f t="shared" ca="1" si="468"/>
        <v>0</v>
      </c>
      <c r="CF218" s="2078">
        <f t="shared" ca="1" si="469"/>
        <v>0</v>
      </c>
      <c r="CG218" s="2078">
        <f t="shared" ca="1" si="470"/>
        <v>0</v>
      </c>
      <c r="CH218" s="2078">
        <f t="shared" ca="1" si="471"/>
        <v>0</v>
      </c>
      <c r="CI218" s="2078">
        <f t="shared" ca="1" si="472"/>
        <v>0</v>
      </c>
      <c r="CJ218" s="2078">
        <f t="shared" ca="1" si="473"/>
        <v>0</v>
      </c>
      <c r="CK218" s="2078">
        <f t="shared" ca="1" si="474"/>
        <v>0</v>
      </c>
      <c r="CL218" s="2078">
        <f t="shared" ca="1" si="475"/>
        <v>0</v>
      </c>
      <c r="CM218" s="2078">
        <f t="shared" si="762"/>
        <v>1</v>
      </c>
      <c r="CN218" s="2078">
        <f t="shared" si="763"/>
        <v>1</v>
      </c>
      <c r="CO218" s="2078">
        <f t="shared" si="764"/>
        <v>1</v>
      </c>
      <c r="CP218" s="2078">
        <f t="shared" si="765"/>
        <v>1</v>
      </c>
      <c r="CQ218" s="2078">
        <f t="shared" si="766"/>
        <v>0</v>
      </c>
      <c r="CR218" s="2078">
        <f t="shared" si="417"/>
        <v>0</v>
      </c>
      <c r="CS218" s="2078">
        <f t="shared" si="767"/>
        <v>0</v>
      </c>
      <c r="CT218" s="2078">
        <f t="shared" si="418"/>
        <v>1</v>
      </c>
      <c r="CU218" s="2078">
        <f t="shared" si="768"/>
        <v>1</v>
      </c>
      <c r="CV218" s="2078">
        <f t="shared" si="419"/>
        <v>0</v>
      </c>
      <c r="CW218" s="2078">
        <f>IF(OR(AE218&lt;&gt;3,F218="Exclude"),0,IF(ISERROR(MATCH($E218,'4 Sign-off'!$S$123:$X$123,0)),0,1))</f>
        <v>0</v>
      </c>
      <c r="CX218" s="2078">
        <f t="shared" si="786"/>
        <v>0</v>
      </c>
      <c r="CY218" s="2078">
        <f t="shared" si="769"/>
        <v>0</v>
      </c>
      <c r="CZ218" s="2993">
        <f t="shared" ca="1" si="483"/>
        <v>0</v>
      </c>
      <c r="DA218" s="3037">
        <f t="shared" ca="1" si="484"/>
        <v>0</v>
      </c>
      <c r="DB218" s="1664"/>
      <c r="DC218" s="1320"/>
      <c r="DD218" s="589"/>
      <c r="DE218" s="1321"/>
      <c r="DF218" s="107"/>
      <c r="DG218" s="112"/>
      <c r="DH218" s="140"/>
      <c r="DI218" s="22"/>
      <c r="DJ218" s="145"/>
      <c r="DK218" s="137"/>
      <c r="DL218" s="137"/>
      <c r="DM218" s="137"/>
      <c r="DN218" s="137"/>
      <c r="DO218" s="137"/>
      <c r="DP218" s="137"/>
      <c r="DQ218" s="137"/>
      <c r="DR218" s="137"/>
      <c r="DS218" s="137"/>
      <c r="DT218" s="137"/>
      <c r="DU218" s="137"/>
      <c r="DV218" s="137"/>
      <c r="DW218" s="137"/>
      <c r="DX218" s="137"/>
      <c r="DY218" s="137"/>
      <c r="DZ218" s="137"/>
      <c r="EA218" s="137"/>
      <c r="EB218" s="137"/>
      <c r="EC218" s="137"/>
      <c r="ED218" s="137"/>
      <c r="EE218" s="137"/>
      <c r="EF218" s="137"/>
      <c r="EG218" s="137"/>
      <c r="EH218" s="137"/>
      <c r="EI218" s="137"/>
      <c r="EJ218" s="137"/>
      <c r="EK218" s="137"/>
      <c r="EL218" s="137"/>
      <c r="EM218" s="137"/>
      <c r="EN218" s="137"/>
      <c r="EO218" s="137"/>
      <c r="EP218" s="137"/>
      <c r="EQ218" s="137"/>
      <c r="ER218" s="137"/>
      <c r="ES218" s="137"/>
      <c r="ET218" s="137"/>
      <c r="EU218" s="137"/>
      <c r="EV218" s="137"/>
      <c r="EW218" s="137"/>
      <c r="EX218" s="137"/>
      <c r="EY218" s="137"/>
      <c r="EZ218" s="137"/>
      <c r="FA218" s="137"/>
      <c r="FB218" s="137"/>
      <c r="FC218" s="137"/>
      <c r="FD218" s="137"/>
      <c r="FE218" s="137"/>
      <c r="FF218" s="137"/>
      <c r="FG218" s="860"/>
      <c r="FH218" s="863"/>
      <c r="FI218" s="1318"/>
      <c r="FJ218" s="126"/>
      <c r="FK218" s="127"/>
      <c r="FL218" s="128" t="str">
        <f t="shared" si="770"/>
        <v xml:space="preserve">    </v>
      </c>
      <c r="FM218" s="128"/>
      <c r="FN218" s="1686">
        <f t="shared" si="771"/>
        <v>0</v>
      </c>
      <c r="FO218" s="46">
        <f t="shared" si="772"/>
        <v>0</v>
      </c>
      <c r="FP218" s="46">
        <f t="shared" si="773"/>
        <v>1</v>
      </c>
      <c r="FQ218" s="75">
        <f t="shared" si="774"/>
        <v>0</v>
      </c>
      <c r="FR218" s="46">
        <f t="shared" si="787"/>
        <v>0</v>
      </c>
      <c r="FS218" s="46">
        <f t="shared" si="776"/>
        <v>1</v>
      </c>
      <c r="FT218" s="75">
        <f t="shared" si="777"/>
        <v>0</v>
      </c>
      <c r="FU218" s="2603">
        <f t="shared" si="778"/>
        <v>0</v>
      </c>
      <c r="FV218" s="2607">
        <f t="shared" si="779"/>
        <v>0</v>
      </c>
      <c r="FW218" s="2603">
        <f t="shared" si="780"/>
        <v>0</v>
      </c>
      <c r="FX218" s="2631">
        <f t="shared" si="781"/>
        <v>0</v>
      </c>
      <c r="FY218" s="81" t="e">
        <f t="shared" si="782"/>
        <v>#N/A</v>
      </c>
      <c r="FZ218" s="64" t="e">
        <f t="array" ref="FZ218">MATCH(1,($GT218:$LQ218&gt;0)*$GT$25:$LQ$25,0)</f>
        <v>#N/A</v>
      </c>
      <c r="GA218" s="64" t="e">
        <f t="array" ref="GA218">MATCH(2,1/(GT218:LQ218&gt;0))</f>
        <v>#N/A</v>
      </c>
      <c r="GB218" s="64">
        <f t="shared" si="783"/>
        <v>-1</v>
      </c>
      <c r="GC218" s="46"/>
      <c r="GD218" s="613"/>
      <c r="GE218" s="613"/>
      <c r="GF218" s="613"/>
      <c r="GG218" s="613"/>
      <c r="GH218" s="613"/>
      <c r="GI218" s="613"/>
      <c r="GJ218" s="613"/>
      <c r="GK218" s="613"/>
      <c r="GL218" s="613"/>
      <c r="GM218" s="613"/>
      <c r="GN218" s="385">
        <f t="shared" si="788"/>
        <v>0</v>
      </c>
      <c r="GO218" s="386">
        <f t="shared" si="789"/>
        <v>0</v>
      </c>
      <c r="GP218" s="2635"/>
      <c r="GQ218" s="175"/>
      <c r="GR218" s="172"/>
      <c r="GS218" s="65"/>
      <c r="GT218" s="167"/>
      <c r="GU218" s="168"/>
      <c r="GV218" s="168"/>
      <c r="GW218" s="168"/>
      <c r="GX218" s="168"/>
      <c r="GY218" s="168"/>
      <c r="GZ218" s="168"/>
      <c r="HA218" s="168"/>
      <c r="HB218" s="168"/>
      <c r="HC218" s="168"/>
      <c r="HD218" s="168"/>
      <c r="HE218" s="168"/>
      <c r="HF218" s="168"/>
      <c r="HG218" s="168"/>
      <c r="HH218" s="168"/>
      <c r="HI218" s="168"/>
      <c r="HJ218" s="168"/>
      <c r="HK218" s="168"/>
      <c r="HL218" s="168"/>
      <c r="HM218" s="168"/>
      <c r="HN218" s="168"/>
      <c r="HO218" s="168"/>
      <c r="HP218" s="168"/>
      <c r="HQ218" s="168"/>
      <c r="HR218" s="168"/>
      <c r="HS218" s="168"/>
      <c r="HT218" s="168"/>
      <c r="HU218" s="168"/>
      <c r="HV218" s="168"/>
      <c r="HW218" s="168"/>
      <c r="HX218" s="168"/>
      <c r="HY218" s="168"/>
      <c r="HZ218" s="168"/>
      <c r="IA218" s="168"/>
      <c r="IB218" s="168"/>
      <c r="IC218" s="168"/>
      <c r="ID218" s="168"/>
      <c r="IE218" s="168"/>
      <c r="IF218" s="168"/>
      <c r="IG218" s="168"/>
      <c r="IH218" s="168"/>
      <c r="II218" s="168"/>
      <c r="IJ218" s="168"/>
      <c r="IK218" s="168"/>
      <c r="IL218" s="168"/>
      <c r="IM218" s="168"/>
      <c r="IN218" s="168"/>
      <c r="IO218" s="168"/>
      <c r="IP218" s="168"/>
      <c r="IQ218" s="168"/>
      <c r="IR218" s="168"/>
      <c r="IS218" s="168"/>
      <c r="IT218" s="168"/>
      <c r="IU218" s="168"/>
      <c r="IV218" s="168"/>
      <c r="IW218" s="168"/>
      <c r="IX218" s="168"/>
      <c r="IY218" s="168"/>
      <c r="IZ218" s="168"/>
      <c r="JA218" s="168"/>
      <c r="JB218" s="168"/>
      <c r="JC218" s="168"/>
      <c r="JD218" s="168"/>
      <c r="JE218" s="168"/>
      <c r="JF218" s="168"/>
      <c r="JG218" s="168"/>
      <c r="JH218" s="168"/>
      <c r="JI218" s="168"/>
      <c r="JJ218" s="168"/>
      <c r="JK218" s="168"/>
      <c r="JL218" s="168"/>
      <c r="JM218" s="168"/>
      <c r="JN218" s="168"/>
      <c r="JO218" s="168"/>
      <c r="JP218" s="168"/>
      <c r="JQ218" s="168"/>
      <c r="JR218" s="168"/>
      <c r="JS218" s="168"/>
      <c r="JT218" s="168"/>
      <c r="JU218" s="168"/>
      <c r="JV218" s="168"/>
      <c r="JW218" s="168"/>
      <c r="JX218" s="168"/>
      <c r="JY218" s="168"/>
      <c r="JZ218" s="168"/>
      <c r="KA218" s="168"/>
      <c r="KB218" s="168"/>
      <c r="KC218" s="168"/>
      <c r="KD218" s="168"/>
      <c r="KE218" s="168"/>
      <c r="KF218" s="168"/>
      <c r="KG218" s="168"/>
      <c r="KH218" s="168"/>
      <c r="KI218" s="168"/>
      <c r="KJ218" s="168"/>
      <c r="KK218" s="168"/>
      <c r="KL218" s="168"/>
      <c r="KM218" s="168"/>
      <c r="KN218" s="168"/>
      <c r="KO218" s="168"/>
      <c r="KP218" s="168"/>
      <c r="KQ218" s="168"/>
      <c r="KR218" s="168"/>
      <c r="KS218" s="168"/>
      <c r="KT218" s="168"/>
      <c r="KU218" s="168"/>
      <c r="KV218" s="168"/>
      <c r="KW218" s="168"/>
      <c r="KX218" s="168"/>
      <c r="KY218" s="168"/>
      <c r="KZ218" s="168"/>
      <c r="LA218" s="168"/>
      <c r="LB218" s="168"/>
      <c r="LC218" s="168"/>
      <c r="LD218" s="168"/>
      <c r="LE218" s="168"/>
      <c r="LF218" s="168"/>
      <c r="LG218" s="168"/>
      <c r="LH218" s="168"/>
      <c r="LI218" s="168"/>
      <c r="LJ218" s="168"/>
      <c r="LK218" s="168"/>
      <c r="LL218" s="168"/>
      <c r="LM218" s="168"/>
      <c r="LN218" s="168"/>
      <c r="LO218" s="168"/>
      <c r="LP218" s="606"/>
      <c r="LQ218" s="609"/>
      <c r="LR218" s="1319"/>
      <c r="LS218" s="1319"/>
    </row>
    <row r="219" spans="1:331" s="2" customFormat="1" ht="15" customHeight="1" x14ac:dyDescent="0.25">
      <c r="A219" s="283"/>
      <c r="B219" s="303"/>
      <c r="C219" s="301"/>
      <c r="D219" s="3303"/>
      <c r="E219" s="2298"/>
      <c r="F219" s="1812"/>
      <c r="G219" s="3342"/>
      <c r="H219" s="66"/>
      <c r="I219" s="1746"/>
      <c r="J219" s="1214"/>
      <c r="K219" s="105"/>
      <c r="L219" s="91"/>
      <c r="M219" s="92"/>
      <c r="N219" s="93"/>
      <c r="O219" s="94"/>
      <c r="P219" s="96"/>
      <c r="Q219" s="95"/>
      <c r="R219" s="993">
        <f t="shared" si="431"/>
        <v>0</v>
      </c>
      <c r="S219" s="23">
        <f t="shared" si="432"/>
        <v>0</v>
      </c>
      <c r="T219" s="24">
        <f t="shared" si="433"/>
        <v>0</v>
      </c>
      <c r="U219" s="24">
        <f t="shared" si="434"/>
        <v>0</v>
      </c>
      <c r="V219" s="24">
        <f t="shared" ref="V219" si="830">IF($AE219&lt;&gt;3,0,SUMPRODUCT($DJ219:$FH219,$DJ$30:$FH$30)*$AN219*AH219)</f>
        <v>0</v>
      </c>
      <c r="W219" s="24">
        <f t="shared" ref="W219" ca="1" si="831">IFERROR(X219*SUMPRODUCT($DJ219:$FH219,$DJ$29:$FH$29)/SUM($DJ219:$FH219),0)</f>
        <v>0</v>
      </c>
      <c r="X219" s="72">
        <f t="shared" ref="X219" ca="1" si="832">IF($AE219=3,SUMPRODUCT($BS219:$CB219,CC219:CL219)*AH219,0)</f>
        <v>0</v>
      </c>
      <c r="Y219" s="72">
        <f t="shared" ref="Y219" si="833">IF($AE219=3,SUMPRODUCT($AO219:$AX219,BI219:BR219),0)</f>
        <v>0</v>
      </c>
      <c r="Z219" s="24">
        <f t="shared" ref="Z219" si="834">IF($AE219=3,SUMPRODUCT($AO219:$AX219,AY219:BH219),0)</f>
        <v>0</v>
      </c>
      <c r="AA219" s="72">
        <f t="shared" ref="AA219" si="835">$DE219*$CM219*(1+DF219)*AH219</f>
        <v>0</v>
      </c>
      <c r="AB219" s="24">
        <f t="shared" si="388"/>
        <v>0</v>
      </c>
      <c r="AC219" s="24">
        <f t="shared" ref="AC219" ca="1" si="836">IF($AE219=3,SUMPRODUCT($DJ219:$FH219,$DJ$24:$FH$24)*AN219,0)</f>
        <v>0</v>
      </c>
      <c r="AD219" s="24">
        <f t="shared" ref="AD219" si="837">IF($AE219=3,SUMPRODUCT($DJ219:$FH219,$DJ$22:$FH$22)*AN219,0)</f>
        <v>0</v>
      </c>
      <c r="AE219" s="2078">
        <f t="shared" ref="AE219" si="838">IF(N219="",3,IF(AND(L219&gt;0,M219&gt;0),2,1))</f>
        <v>3</v>
      </c>
      <c r="AF219" s="2078">
        <f t="shared" ref="AF219" si="839">IF(AND(ISNUMBER(VALUE(L219)),RIGHT(L219,1)="0"),(L219+0.00001),L219)</f>
        <v>0</v>
      </c>
      <c r="AG219" s="2078">
        <f t="shared" ref="AG219" si="840">IF(AND(ISNUMBER(VALUE(M219)),RIGHT(M219,1)="0"),(M219+0.00001),M219)</f>
        <v>0</v>
      </c>
      <c r="AH219" s="2521">
        <f t="shared" ref="AH219" si="841">IF(OR($G219="NB",AI219="R"),0,1)</f>
        <v>1</v>
      </c>
      <c r="AI219" s="25" t="str">
        <f t="shared" ref="AI219" si="842">LEFT(J219,1)</f>
        <v/>
      </c>
      <c r="AJ219" s="2521">
        <f t="shared" ca="1" si="391"/>
        <v>0</v>
      </c>
      <c r="AK219" s="2076">
        <f t="shared" ca="1" si="392"/>
        <v>0</v>
      </c>
      <c r="AL219" s="2078">
        <f>IF(ISBLANK(J219),0,ISERROR(MATCH(J219,'5  Control Accounts'!$FA$29:$FA$96,0))*1)</f>
        <v>0</v>
      </c>
      <c r="AM219" s="2076">
        <f t="shared" ref="AM219" si="843">AND($C$6,(T219+U219+AB219)&lt;&gt;0,$F219&lt;&gt;"Exclude",ISBLANK(J219))*1</f>
        <v>0</v>
      </c>
      <c r="AN219" s="2078">
        <f t="shared" ref="AN219" si="844">IF(DE219&gt;0,0,IF(GR219="T",FQ219*(1+B219),IF(ISBLANK(DH219),1+B219,DH219*(1+B219))*IF(FO219="P",1-GP219,1)))</f>
        <v>1</v>
      </c>
      <c r="AO219" s="2079">
        <f t="shared" si="393"/>
        <v>1</v>
      </c>
      <c r="AP219" s="2079">
        <f t="shared" si="394"/>
        <v>0</v>
      </c>
      <c r="AQ219" s="2079">
        <f t="shared" si="395"/>
        <v>0</v>
      </c>
      <c r="AR219" s="2079">
        <f t="shared" si="396"/>
        <v>0</v>
      </c>
      <c r="AS219" s="2079">
        <f t="shared" si="397"/>
        <v>0</v>
      </c>
      <c r="AT219" s="2079">
        <f t="shared" si="398"/>
        <v>0</v>
      </c>
      <c r="AU219" s="2079">
        <f t="shared" si="399"/>
        <v>0</v>
      </c>
      <c r="AV219" s="2079">
        <f t="shared" si="400"/>
        <v>0</v>
      </c>
      <c r="AW219" s="2079">
        <f t="shared" si="401"/>
        <v>0</v>
      </c>
      <c r="AX219" s="2079">
        <f t="shared" si="402"/>
        <v>0</v>
      </c>
      <c r="AY219" s="2078">
        <f t="shared" si="446"/>
        <v>0</v>
      </c>
      <c r="AZ219" s="2078">
        <f t="shared" si="447"/>
        <v>0</v>
      </c>
      <c r="BA219" s="2078">
        <f t="shared" si="448"/>
        <v>0</v>
      </c>
      <c r="BB219" s="2078">
        <f t="shared" si="449"/>
        <v>0</v>
      </c>
      <c r="BC219" s="2078">
        <f t="shared" si="450"/>
        <v>0</v>
      </c>
      <c r="BD219" s="2078">
        <f t="shared" si="451"/>
        <v>0</v>
      </c>
      <c r="BE219" s="2078">
        <f t="shared" si="452"/>
        <v>0</v>
      </c>
      <c r="BF219" s="2078">
        <f t="shared" si="453"/>
        <v>0</v>
      </c>
      <c r="BG219" s="2078">
        <f t="shared" si="454"/>
        <v>0</v>
      </c>
      <c r="BH219" s="2078">
        <f t="shared" si="455"/>
        <v>0</v>
      </c>
      <c r="BI219" s="2078">
        <f t="shared" si="456"/>
        <v>0</v>
      </c>
      <c r="BJ219" s="2078">
        <f t="shared" si="457"/>
        <v>0</v>
      </c>
      <c r="BK219" s="2078">
        <f t="shared" si="458"/>
        <v>0</v>
      </c>
      <c r="BL219" s="2078">
        <f t="shared" si="459"/>
        <v>0</v>
      </c>
      <c r="BM219" s="2078">
        <f t="shared" si="460"/>
        <v>0</v>
      </c>
      <c r="BN219" s="2078">
        <f t="shared" si="461"/>
        <v>0</v>
      </c>
      <c r="BO219" s="2078">
        <f t="shared" si="462"/>
        <v>0</v>
      </c>
      <c r="BP219" s="2078">
        <f t="shared" si="463"/>
        <v>0</v>
      </c>
      <c r="BQ219" s="2078">
        <f t="shared" si="464"/>
        <v>0</v>
      </c>
      <c r="BR219" s="2078">
        <f t="shared" si="465"/>
        <v>0</v>
      </c>
      <c r="BS219" s="2079">
        <f t="shared" si="403"/>
        <v>1</v>
      </c>
      <c r="BT219" s="2079">
        <f t="shared" si="404"/>
        <v>0</v>
      </c>
      <c r="BU219" s="2079">
        <f t="shared" si="405"/>
        <v>0</v>
      </c>
      <c r="BV219" s="2079">
        <f t="shared" si="406"/>
        <v>0</v>
      </c>
      <c r="BW219" s="2079">
        <f t="shared" si="407"/>
        <v>0</v>
      </c>
      <c r="BX219" s="2079">
        <f t="shared" si="408"/>
        <v>0</v>
      </c>
      <c r="BY219" s="2079">
        <f t="shared" si="409"/>
        <v>0</v>
      </c>
      <c r="BZ219" s="2079">
        <f t="shared" si="410"/>
        <v>0</v>
      </c>
      <c r="CA219" s="2079">
        <f t="shared" si="411"/>
        <v>0</v>
      </c>
      <c r="CB219" s="2079">
        <f t="shared" si="412"/>
        <v>0</v>
      </c>
      <c r="CC219" s="2078">
        <f t="shared" ca="1" si="466"/>
        <v>0</v>
      </c>
      <c r="CD219" s="2078">
        <f t="shared" ca="1" si="467"/>
        <v>0</v>
      </c>
      <c r="CE219" s="2078">
        <f t="shared" ca="1" si="468"/>
        <v>0</v>
      </c>
      <c r="CF219" s="2078">
        <f t="shared" ca="1" si="469"/>
        <v>0</v>
      </c>
      <c r="CG219" s="2078">
        <f t="shared" ca="1" si="470"/>
        <v>0</v>
      </c>
      <c r="CH219" s="2078">
        <f t="shared" ca="1" si="471"/>
        <v>0</v>
      </c>
      <c r="CI219" s="2078">
        <f t="shared" ca="1" si="472"/>
        <v>0</v>
      </c>
      <c r="CJ219" s="2078">
        <f t="shared" ca="1" si="473"/>
        <v>0</v>
      </c>
      <c r="CK219" s="2078">
        <f t="shared" ca="1" si="474"/>
        <v>0</v>
      </c>
      <c r="CL219" s="2078">
        <f t="shared" ca="1" si="475"/>
        <v>0</v>
      </c>
      <c r="CM219" s="2078">
        <f t="shared" ref="CM219" si="845">IF(ISBLANK(DD219),1,DD219)*IF(FO219="P",1-GP219,1)</f>
        <v>1</v>
      </c>
      <c r="CN219" s="2078">
        <f t="shared" ref="CN219" si="846">IF(DC219=$CN$171,0,1)</f>
        <v>1</v>
      </c>
      <c r="CO219" s="2078">
        <f t="shared" ref="CO219" si="847">IF(AND(AE219=3,OR(F219="",F219="Approved")),1,0)</f>
        <v>1</v>
      </c>
      <c r="CP219" s="2078">
        <f t="shared" ref="CP219" si="848">IF(AE219&lt;&gt;3,0,IF(OR(F219="",F219="Approved",F219="Pend w FC"),1,0))</f>
        <v>1</v>
      </c>
      <c r="CQ219" s="2078">
        <f t="shared" ref="CQ219" si="849">IF(AND(Z219=0,OR(AI219="V",AI219="W",G219="RO")),1,0)</f>
        <v>0</v>
      </c>
      <c r="CR219" s="2078">
        <f t="shared" si="417"/>
        <v>0</v>
      </c>
      <c r="CS219" s="2078">
        <f t="shared" ref="CS219" si="850">IF(OR(F219="Pending",F219="Pend w FC"),1,0)</f>
        <v>0</v>
      </c>
      <c r="CT219" s="2078">
        <f t="shared" si="418"/>
        <v>1</v>
      </c>
      <c r="CU219" s="2078">
        <f t="shared" ref="CU219" si="851">IF($AE219&lt;&gt;3,0,IF(F219="",1,0))</f>
        <v>1</v>
      </c>
      <c r="CV219" s="2078">
        <f t="shared" si="419"/>
        <v>0</v>
      </c>
      <c r="CW219" s="2078">
        <f>IF(OR(AE219&lt;&gt;3,F219="Exclude"),0,IF(ISERROR(MATCH($E219,'4 Sign-off'!$S$123:$X$123,0)),0,1))</f>
        <v>0</v>
      </c>
      <c r="CX219" s="2078">
        <f t="shared" ref="CX219" si="852">IF($C$7&lt;&gt;"B",1,CHOOSE($CX$163,CW219,CS219+CV219,CS219,CV219))</f>
        <v>0</v>
      </c>
      <c r="CY219" s="2078">
        <f t="shared" ref="CY219" si="853">CHOOSE($CY$163,CO219,CP219,CX219)</f>
        <v>0</v>
      </c>
      <c r="CZ219" s="2993">
        <f t="shared" ca="1" si="483"/>
        <v>0</v>
      </c>
      <c r="DA219" s="3037">
        <f t="shared" ca="1" si="484"/>
        <v>0</v>
      </c>
      <c r="DB219" s="1664"/>
      <c r="DC219" s="1320"/>
      <c r="DD219" s="589"/>
      <c r="DE219" s="1321"/>
      <c r="DF219" s="107"/>
      <c r="DG219" s="112"/>
      <c r="DH219" s="140"/>
      <c r="DI219" s="22"/>
      <c r="DJ219" s="145"/>
      <c r="DK219" s="137"/>
      <c r="DL219" s="137"/>
      <c r="DM219" s="137"/>
      <c r="DN219" s="137"/>
      <c r="DO219" s="137"/>
      <c r="DP219" s="137"/>
      <c r="DQ219" s="137"/>
      <c r="DR219" s="137"/>
      <c r="DS219" s="137"/>
      <c r="DT219" s="137"/>
      <c r="DU219" s="137"/>
      <c r="DV219" s="137"/>
      <c r="DW219" s="137"/>
      <c r="DX219" s="137"/>
      <c r="DY219" s="137"/>
      <c r="DZ219" s="137"/>
      <c r="EA219" s="137"/>
      <c r="EB219" s="137"/>
      <c r="EC219" s="137"/>
      <c r="ED219" s="137"/>
      <c r="EE219" s="137"/>
      <c r="EF219" s="137"/>
      <c r="EG219" s="137"/>
      <c r="EH219" s="137"/>
      <c r="EI219" s="137"/>
      <c r="EJ219" s="137"/>
      <c r="EK219" s="137"/>
      <c r="EL219" s="137"/>
      <c r="EM219" s="137"/>
      <c r="EN219" s="137"/>
      <c r="EO219" s="137"/>
      <c r="EP219" s="137"/>
      <c r="EQ219" s="137"/>
      <c r="ER219" s="137"/>
      <c r="ES219" s="137"/>
      <c r="ET219" s="137"/>
      <c r="EU219" s="137"/>
      <c r="EV219" s="137"/>
      <c r="EW219" s="137"/>
      <c r="EX219" s="137"/>
      <c r="EY219" s="137"/>
      <c r="EZ219" s="137"/>
      <c r="FA219" s="137"/>
      <c r="FB219" s="137"/>
      <c r="FC219" s="137"/>
      <c r="FD219" s="137"/>
      <c r="FE219" s="137"/>
      <c r="FF219" s="137"/>
      <c r="FG219" s="860"/>
      <c r="FH219" s="863"/>
      <c r="FI219" s="1318"/>
      <c r="FJ219" s="126"/>
      <c r="FK219" s="127"/>
      <c r="FL219" s="128" t="str">
        <f t="shared" ref="FL219" si="854">N219&amp;O219&amp;"    "&amp;P219</f>
        <v xml:space="preserve">    </v>
      </c>
      <c r="FM219" s="128"/>
      <c r="FN219" s="1686">
        <f t="shared" ref="FN219" si="855">IF($AE219=3,T219,0)</f>
        <v>0</v>
      </c>
      <c r="FO219" s="46">
        <f t="shared" ref="FO219" si="856">IF(AND($C$7="F",GR219="P"),"P",0)</f>
        <v>0</v>
      </c>
      <c r="FP219" s="46">
        <f t="shared" ref="FP219" si="857">IFERROR(1/FQ219,1)</f>
        <v>1</v>
      </c>
      <c r="FQ219" s="75">
        <f t="shared" ref="FQ219" si="858">IF($AE219=3,SUMPRODUCT(GT219:LQ219,$GT$25:$LQ$25),0)</f>
        <v>0</v>
      </c>
      <c r="FR219" s="46">
        <f t="shared" ref="FR219" si="859">SUM(GT219:LQ219)</f>
        <v>0</v>
      </c>
      <c r="FS219" s="46">
        <f t="shared" ref="FS219" si="860">IFERROR(AN219/FQ219,1)</f>
        <v>1</v>
      </c>
      <c r="FT219" s="75">
        <f t="shared" ref="FT219" si="861">AND($AE219=3,(T219+Z219+AB219)&gt;0,FQ219=0)*1</f>
        <v>0</v>
      </c>
      <c r="FU219" s="2603">
        <f t="shared" ref="FU219" si="862">(DE219*IF(ISBLANK($DD219),1,$DD219))+(SUMPRODUCT(DJ219:FH219,$DJ$65:$FH$65)*IF(GR219="T",SUM(GT219:LQ219),IF(ISBLANK(DH219),1,DH219)))</f>
        <v>0</v>
      </c>
      <c r="FV219" s="2607">
        <f t="shared" ref="FV219" si="863">IF(GR219="T",SUMPRODUCT(GT219:LQ219,$GT$20:$LQ$20)/SUM(GT219:LQ219),GP219)</f>
        <v>0</v>
      </c>
      <c r="FW219" s="2603">
        <f t="shared" ref="FW219" si="864">IF(GR219&gt;0,FU219*FV219,0)</f>
        <v>0</v>
      </c>
      <c r="FX219" s="2631">
        <f t="shared" ref="FX219" si="865">IF(SUM(DE219:FH219)&gt;0,1,0)</f>
        <v>0</v>
      </c>
      <c r="FY219" s="81" t="e">
        <f t="shared" ref="FY219" si="866">IF($C$7&lt;&gt;"F",GA219,IF(GA219&lt;$GO$25,NA(),GA219))</f>
        <v>#N/A</v>
      </c>
      <c r="FZ219" s="64" t="e">
        <f t="array" ref="FZ219">MATCH(1,($GT219:$LQ219&gt;0)*$GT$25:$LQ$25,0)</f>
        <v>#N/A</v>
      </c>
      <c r="GA219" s="64" t="e">
        <f t="array" ref="GA219">MATCH(2,1/(GT219:LQ219&gt;0))</f>
        <v>#N/A</v>
      </c>
      <c r="GB219" s="64">
        <f t="shared" ref="GB219" si="867">IF(OR((T219+U219+AA219+AB219)=0,FR219=0,CQ219=1,LEFT(J219,1)="S"),-1,J219)</f>
        <v>-1</v>
      </c>
      <c r="GC219" s="46"/>
      <c r="GD219" s="613"/>
      <c r="GE219" s="613"/>
      <c r="GF219" s="613"/>
      <c r="GG219" s="613"/>
      <c r="GH219" s="613"/>
      <c r="GI219" s="613"/>
      <c r="GJ219" s="613"/>
      <c r="GK219" s="613"/>
      <c r="GL219" s="613"/>
      <c r="GM219" s="613"/>
      <c r="GN219" s="385">
        <f t="shared" ref="GN219" si="868">IF(ISERROR(FZ219),0,CHOOSE($FM$5,(FZ219*7)+$GT$170-11,EOMONTH($GT$170,FZ219-2)+1))</f>
        <v>0</v>
      </c>
      <c r="GO219" s="386">
        <f t="shared" ref="GO219" si="869">IF(ISERROR(FY219),0,CHOOSE($FM$5,(FY219*7)+$GT$170-7,EOMONTH($GT$170,FY219-1)))</f>
        <v>0</v>
      </c>
      <c r="GP219" s="2635"/>
      <c r="GQ219" s="175"/>
      <c r="GR219" s="172"/>
      <c r="GS219" s="65"/>
      <c r="GT219" s="167"/>
      <c r="GU219" s="168"/>
      <c r="GV219" s="168"/>
      <c r="GW219" s="168"/>
      <c r="GX219" s="168"/>
      <c r="GY219" s="168"/>
      <c r="GZ219" s="168"/>
      <c r="HA219" s="168"/>
      <c r="HB219" s="168"/>
      <c r="HC219" s="168"/>
      <c r="HD219" s="168"/>
      <c r="HE219" s="168"/>
      <c r="HF219" s="168"/>
      <c r="HG219" s="168"/>
      <c r="HH219" s="168"/>
      <c r="HI219" s="168"/>
      <c r="HJ219" s="168"/>
      <c r="HK219" s="168"/>
      <c r="HL219" s="168"/>
      <c r="HM219" s="168"/>
      <c r="HN219" s="168"/>
      <c r="HO219" s="168"/>
      <c r="HP219" s="168"/>
      <c r="HQ219" s="168"/>
      <c r="HR219" s="168"/>
      <c r="HS219" s="168"/>
      <c r="HT219" s="168"/>
      <c r="HU219" s="168"/>
      <c r="HV219" s="168"/>
      <c r="HW219" s="168"/>
      <c r="HX219" s="168"/>
      <c r="HY219" s="168"/>
      <c r="HZ219" s="168"/>
      <c r="IA219" s="168"/>
      <c r="IB219" s="168"/>
      <c r="IC219" s="168"/>
      <c r="ID219" s="168"/>
      <c r="IE219" s="168"/>
      <c r="IF219" s="168"/>
      <c r="IG219" s="168"/>
      <c r="IH219" s="168"/>
      <c r="II219" s="168"/>
      <c r="IJ219" s="168"/>
      <c r="IK219" s="168"/>
      <c r="IL219" s="168"/>
      <c r="IM219" s="168"/>
      <c r="IN219" s="168"/>
      <c r="IO219" s="168"/>
      <c r="IP219" s="168"/>
      <c r="IQ219" s="168"/>
      <c r="IR219" s="168"/>
      <c r="IS219" s="168"/>
      <c r="IT219" s="168"/>
      <c r="IU219" s="168"/>
      <c r="IV219" s="168"/>
      <c r="IW219" s="168"/>
      <c r="IX219" s="168"/>
      <c r="IY219" s="168"/>
      <c r="IZ219" s="168"/>
      <c r="JA219" s="168"/>
      <c r="JB219" s="168"/>
      <c r="JC219" s="168"/>
      <c r="JD219" s="168"/>
      <c r="JE219" s="168"/>
      <c r="JF219" s="168"/>
      <c r="JG219" s="168"/>
      <c r="JH219" s="168"/>
      <c r="JI219" s="168"/>
      <c r="JJ219" s="168"/>
      <c r="JK219" s="168"/>
      <c r="JL219" s="168"/>
      <c r="JM219" s="168"/>
      <c r="JN219" s="168"/>
      <c r="JO219" s="168"/>
      <c r="JP219" s="168"/>
      <c r="JQ219" s="168"/>
      <c r="JR219" s="168"/>
      <c r="JS219" s="168"/>
      <c r="JT219" s="168"/>
      <c r="JU219" s="168"/>
      <c r="JV219" s="168"/>
      <c r="JW219" s="168"/>
      <c r="JX219" s="168"/>
      <c r="JY219" s="168"/>
      <c r="JZ219" s="168"/>
      <c r="KA219" s="168"/>
      <c r="KB219" s="168"/>
      <c r="KC219" s="168"/>
      <c r="KD219" s="168"/>
      <c r="KE219" s="168"/>
      <c r="KF219" s="168"/>
      <c r="KG219" s="168"/>
      <c r="KH219" s="168"/>
      <c r="KI219" s="168"/>
      <c r="KJ219" s="168"/>
      <c r="KK219" s="168"/>
      <c r="KL219" s="168"/>
      <c r="KM219" s="168"/>
      <c r="KN219" s="168"/>
      <c r="KO219" s="168"/>
      <c r="KP219" s="168"/>
      <c r="KQ219" s="168"/>
      <c r="KR219" s="168"/>
      <c r="KS219" s="168"/>
      <c r="KT219" s="168"/>
      <c r="KU219" s="168"/>
      <c r="KV219" s="168"/>
      <c r="KW219" s="168"/>
      <c r="KX219" s="168"/>
      <c r="KY219" s="168"/>
      <c r="KZ219" s="168"/>
      <c r="LA219" s="168"/>
      <c r="LB219" s="168"/>
      <c r="LC219" s="168"/>
      <c r="LD219" s="168"/>
      <c r="LE219" s="168"/>
      <c r="LF219" s="168"/>
      <c r="LG219" s="168"/>
      <c r="LH219" s="168"/>
      <c r="LI219" s="168"/>
      <c r="LJ219" s="168"/>
      <c r="LK219" s="168"/>
      <c r="LL219" s="168"/>
      <c r="LM219" s="168"/>
      <c r="LN219" s="168"/>
      <c r="LO219" s="168"/>
      <c r="LP219" s="606"/>
      <c r="LQ219" s="609"/>
      <c r="LR219" s="1319"/>
      <c r="LS219" s="1319"/>
    </row>
    <row r="220" spans="1:331" s="2" customFormat="1" ht="15" customHeight="1" x14ac:dyDescent="0.25">
      <c r="A220" s="283"/>
      <c r="B220" s="303"/>
      <c r="C220" s="301"/>
      <c r="D220" s="1287"/>
      <c r="E220" s="2298"/>
      <c r="F220" s="1812"/>
      <c r="G220" s="3342"/>
      <c r="H220" s="66"/>
      <c r="I220" s="1746"/>
      <c r="J220" s="1214"/>
      <c r="K220" s="105"/>
      <c r="L220" s="91"/>
      <c r="M220" s="92"/>
      <c r="N220" s="93"/>
      <c r="O220" s="94"/>
      <c r="P220" s="96"/>
      <c r="Q220" s="95"/>
      <c r="R220" s="993">
        <f t="shared" si="431"/>
        <v>0</v>
      </c>
      <c r="S220" s="23">
        <f t="shared" si="432"/>
        <v>0</v>
      </c>
      <c r="T220" s="24">
        <f t="shared" si="433"/>
        <v>0</v>
      </c>
      <c r="U220" s="24">
        <f t="shared" si="434"/>
        <v>0</v>
      </c>
      <c r="V220" s="24">
        <f t="shared" si="435"/>
        <v>0</v>
      </c>
      <c r="W220" s="24">
        <f t="shared" ca="1" si="436"/>
        <v>0</v>
      </c>
      <c r="X220" s="72">
        <f t="shared" ca="1" si="386"/>
        <v>0</v>
      </c>
      <c r="Y220" s="72">
        <f t="shared" si="437"/>
        <v>0</v>
      </c>
      <c r="Z220" s="24">
        <f t="shared" si="438"/>
        <v>0</v>
      </c>
      <c r="AA220" s="72">
        <f t="shared" si="387"/>
        <v>0</v>
      </c>
      <c r="AB220" s="24">
        <f t="shared" si="388"/>
        <v>0</v>
      </c>
      <c r="AC220" s="24">
        <f t="shared" ca="1" si="439"/>
        <v>0</v>
      </c>
      <c r="AD220" s="24">
        <f t="shared" si="389"/>
        <v>0</v>
      </c>
      <c r="AE220" s="2078">
        <f t="shared" ref="AE220:AE251" si="870">IF(N220="",3,IF(AND(L220&gt;0,M220&gt;0),2,1))</f>
        <v>3</v>
      </c>
      <c r="AF220" s="2078">
        <f t="shared" ref="AF220:AF251" si="871">IF(AND(ISNUMBER(VALUE(L220)),RIGHT(L220,1)="0"),(L220+0.00001),L220)</f>
        <v>0</v>
      </c>
      <c r="AG220" s="2078">
        <f t="shared" ref="AG220:AG251" si="872">IF(AND(ISNUMBER(VALUE(M220)),RIGHT(M220,1)="0"),(M220+0.00001),M220)</f>
        <v>0</v>
      </c>
      <c r="AH220" s="2521">
        <f t="shared" si="390"/>
        <v>1</v>
      </c>
      <c r="AI220" s="25" t="str">
        <f t="shared" si="443"/>
        <v/>
      </c>
      <c r="AJ220" s="2521">
        <f t="shared" ca="1" si="391"/>
        <v>0</v>
      </c>
      <c r="AK220" s="2076">
        <f t="shared" ca="1" si="392"/>
        <v>0</v>
      </c>
      <c r="AL220" s="2078">
        <f>IF(ISBLANK(J220),0,ISERROR(MATCH(J220,'5  Control Accounts'!$FA$29:$FA$96,0))*1)</f>
        <v>0</v>
      </c>
      <c r="AM220" s="2076">
        <f t="shared" si="444"/>
        <v>0</v>
      </c>
      <c r="AN220" s="2078">
        <f t="shared" si="445"/>
        <v>1</v>
      </c>
      <c r="AO220" s="2079">
        <f t="shared" si="393"/>
        <v>1</v>
      </c>
      <c r="AP220" s="2079">
        <f t="shared" si="394"/>
        <v>0</v>
      </c>
      <c r="AQ220" s="2079">
        <f t="shared" si="395"/>
        <v>0</v>
      </c>
      <c r="AR220" s="2079">
        <f t="shared" si="396"/>
        <v>0</v>
      </c>
      <c r="AS220" s="2079">
        <f t="shared" si="397"/>
        <v>0</v>
      </c>
      <c r="AT220" s="2079">
        <f t="shared" si="398"/>
        <v>0</v>
      </c>
      <c r="AU220" s="2079">
        <f t="shared" si="399"/>
        <v>0</v>
      </c>
      <c r="AV220" s="2079">
        <f t="shared" si="400"/>
        <v>0</v>
      </c>
      <c r="AW220" s="2079">
        <f t="shared" si="401"/>
        <v>0</v>
      </c>
      <c r="AX220" s="2079">
        <f t="shared" si="402"/>
        <v>0</v>
      </c>
      <c r="AY220" s="2078">
        <f t="shared" si="446"/>
        <v>0</v>
      </c>
      <c r="AZ220" s="2078">
        <f t="shared" si="447"/>
        <v>0</v>
      </c>
      <c r="BA220" s="2078">
        <f t="shared" si="448"/>
        <v>0</v>
      </c>
      <c r="BB220" s="2078">
        <f t="shared" si="449"/>
        <v>0</v>
      </c>
      <c r="BC220" s="2078">
        <f t="shared" si="450"/>
        <v>0</v>
      </c>
      <c r="BD220" s="2078">
        <f t="shared" si="451"/>
        <v>0</v>
      </c>
      <c r="BE220" s="2078">
        <f t="shared" si="452"/>
        <v>0</v>
      </c>
      <c r="BF220" s="2078">
        <f t="shared" si="453"/>
        <v>0</v>
      </c>
      <c r="BG220" s="2078">
        <f t="shared" si="454"/>
        <v>0</v>
      </c>
      <c r="BH220" s="2078">
        <f t="shared" si="455"/>
        <v>0</v>
      </c>
      <c r="BI220" s="2078">
        <f t="shared" si="456"/>
        <v>0</v>
      </c>
      <c r="BJ220" s="2078">
        <f t="shared" si="457"/>
        <v>0</v>
      </c>
      <c r="BK220" s="2078">
        <f t="shared" si="458"/>
        <v>0</v>
      </c>
      <c r="BL220" s="2078">
        <f t="shared" si="459"/>
        <v>0</v>
      </c>
      <c r="BM220" s="2078">
        <f t="shared" si="460"/>
        <v>0</v>
      </c>
      <c r="BN220" s="2078">
        <f t="shared" si="461"/>
        <v>0</v>
      </c>
      <c r="BO220" s="2078">
        <f t="shared" si="462"/>
        <v>0</v>
      </c>
      <c r="BP220" s="2078">
        <f t="shared" si="463"/>
        <v>0</v>
      </c>
      <c r="BQ220" s="2078">
        <f t="shared" si="464"/>
        <v>0</v>
      </c>
      <c r="BR220" s="2078">
        <f t="shared" si="465"/>
        <v>0</v>
      </c>
      <c r="BS220" s="2079">
        <f t="shared" si="403"/>
        <v>1</v>
      </c>
      <c r="BT220" s="2079">
        <f t="shared" si="404"/>
        <v>0</v>
      </c>
      <c r="BU220" s="2079">
        <f t="shared" si="405"/>
        <v>0</v>
      </c>
      <c r="BV220" s="2079">
        <f t="shared" si="406"/>
        <v>0</v>
      </c>
      <c r="BW220" s="2079">
        <f t="shared" si="407"/>
        <v>0</v>
      </c>
      <c r="BX220" s="2079">
        <f t="shared" si="408"/>
        <v>0</v>
      </c>
      <c r="BY220" s="2079">
        <f t="shared" si="409"/>
        <v>0</v>
      </c>
      <c r="BZ220" s="2079">
        <f t="shared" si="410"/>
        <v>0</v>
      </c>
      <c r="CA220" s="2079">
        <f t="shared" si="411"/>
        <v>0</v>
      </c>
      <c r="CB220" s="2079">
        <f t="shared" si="412"/>
        <v>0</v>
      </c>
      <c r="CC220" s="2078">
        <f t="shared" ca="1" si="466"/>
        <v>0</v>
      </c>
      <c r="CD220" s="2078">
        <f t="shared" ca="1" si="467"/>
        <v>0</v>
      </c>
      <c r="CE220" s="2078">
        <f t="shared" ca="1" si="468"/>
        <v>0</v>
      </c>
      <c r="CF220" s="2078">
        <f t="shared" ca="1" si="469"/>
        <v>0</v>
      </c>
      <c r="CG220" s="2078">
        <f t="shared" ca="1" si="470"/>
        <v>0</v>
      </c>
      <c r="CH220" s="2078">
        <f t="shared" ca="1" si="471"/>
        <v>0</v>
      </c>
      <c r="CI220" s="2078">
        <f t="shared" ca="1" si="472"/>
        <v>0</v>
      </c>
      <c r="CJ220" s="2078">
        <f t="shared" ca="1" si="473"/>
        <v>0</v>
      </c>
      <c r="CK220" s="2078">
        <f t="shared" ca="1" si="474"/>
        <v>0</v>
      </c>
      <c r="CL220" s="2078">
        <f t="shared" ca="1" si="475"/>
        <v>0</v>
      </c>
      <c r="CM220" s="2078">
        <f t="shared" si="413"/>
        <v>1</v>
      </c>
      <c r="CN220" s="2078">
        <f t="shared" si="414"/>
        <v>1</v>
      </c>
      <c r="CO220" s="2078">
        <f t="shared" si="415"/>
        <v>1</v>
      </c>
      <c r="CP220" s="2078">
        <f t="shared" si="478"/>
        <v>1</v>
      </c>
      <c r="CQ220" s="2078">
        <f t="shared" si="416"/>
        <v>0</v>
      </c>
      <c r="CR220" s="2078">
        <f t="shared" si="417"/>
        <v>0</v>
      </c>
      <c r="CS220" s="2078">
        <f t="shared" si="479"/>
        <v>0</v>
      </c>
      <c r="CT220" s="2078">
        <f t="shared" si="418"/>
        <v>1</v>
      </c>
      <c r="CU220" s="2078">
        <f t="shared" si="480"/>
        <v>1</v>
      </c>
      <c r="CV220" s="2078">
        <f t="shared" si="419"/>
        <v>0</v>
      </c>
      <c r="CW220" s="2078">
        <f>IF(OR(AE220&lt;&gt;3,F220="Exclude"),0,IF(ISERROR(MATCH($E220,'4 Sign-off'!$S$123:$X$123,0)),0,1))</f>
        <v>0</v>
      </c>
      <c r="CX220" s="2078">
        <f t="shared" si="481"/>
        <v>0</v>
      </c>
      <c r="CY220" s="2078">
        <f t="shared" si="420"/>
        <v>0</v>
      </c>
      <c r="CZ220" s="2993">
        <f t="shared" ca="1" si="483"/>
        <v>0</v>
      </c>
      <c r="DA220" s="3037">
        <f t="shared" ca="1" si="484"/>
        <v>0</v>
      </c>
      <c r="DB220" s="1664"/>
      <c r="DC220" s="1320"/>
      <c r="DD220" s="589"/>
      <c r="DE220" s="1321"/>
      <c r="DF220" s="107"/>
      <c r="DG220" s="112"/>
      <c r="DH220" s="140"/>
      <c r="DI220" s="22"/>
      <c r="DJ220" s="145"/>
      <c r="DK220" s="137"/>
      <c r="DL220" s="137"/>
      <c r="DM220" s="137"/>
      <c r="DN220" s="137"/>
      <c r="DO220" s="137"/>
      <c r="DP220" s="137"/>
      <c r="DQ220" s="137"/>
      <c r="DR220" s="137"/>
      <c r="DS220" s="137"/>
      <c r="DT220" s="137"/>
      <c r="DU220" s="137"/>
      <c r="DV220" s="137"/>
      <c r="DW220" s="137"/>
      <c r="DX220" s="137"/>
      <c r="DY220" s="137"/>
      <c r="DZ220" s="137"/>
      <c r="EA220" s="137"/>
      <c r="EB220" s="137"/>
      <c r="EC220" s="137"/>
      <c r="ED220" s="137"/>
      <c r="EE220" s="137"/>
      <c r="EF220" s="137"/>
      <c r="EG220" s="137"/>
      <c r="EH220" s="137"/>
      <c r="EI220" s="137"/>
      <c r="EJ220" s="137"/>
      <c r="EK220" s="137"/>
      <c r="EL220" s="137"/>
      <c r="EM220" s="137"/>
      <c r="EN220" s="137"/>
      <c r="EO220" s="137"/>
      <c r="EP220" s="137"/>
      <c r="EQ220" s="137"/>
      <c r="ER220" s="137"/>
      <c r="ES220" s="137"/>
      <c r="ET220" s="137"/>
      <c r="EU220" s="137"/>
      <c r="EV220" s="137"/>
      <c r="EW220" s="137"/>
      <c r="EX220" s="137"/>
      <c r="EY220" s="137"/>
      <c r="EZ220" s="137"/>
      <c r="FA220" s="137"/>
      <c r="FB220" s="137"/>
      <c r="FC220" s="137"/>
      <c r="FD220" s="137"/>
      <c r="FE220" s="137"/>
      <c r="FF220" s="137"/>
      <c r="FG220" s="860"/>
      <c r="FH220" s="863"/>
      <c r="FI220" s="1318"/>
      <c r="FJ220" s="126"/>
      <c r="FK220" s="127"/>
      <c r="FL220" s="128" t="str">
        <f t="shared" si="485"/>
        <v xml:space="preserve">    </v>
      </c>
      <c r="FM220" s="128"/>
      <c r="FN220" s="1686">
        <f t="shared" si="486"/>
        <v>0</v>
      </c>
      <c r="FO220" s="46">
        <f t="shared" si="421"/>
        <v>0</v>
      </c>
      <c r="FP220" s="46">
        <f t="shared" si="422"/>
        <v>1</v>
      </c>
      <c r="FQ220" s="75">
        <f t="shared" si="489"/>
        <v>0</v>
      </c>
      <c r="FR220" s="46">
        <f t="shared" ref="FR220:FR251" si="873">SUM(GT220:LQ220)</f>
        <v>0</v>
      </c>
      <c r="FS220" s="46">
        <f t="shared" ref="FS220:FS251" si="874">IFERROR(AN220/FQ220,1)</f>
        <v>1</v>
      </c>
      <c r="FT220" s="75">
        <f t="shared" si="492"/>
        <v>0</v>
      </c>
      <c r="FU220" s="2603">
        <f t="shared" si="423"/>
        <v>0</v>
      </c>
      <c r="FV220" s="2607">
        <f t="shared" si="424"/>
        <v>0</v>
      </c>
      <c r="FW220" s="2603">
        <f t="shared" si="425"/>
        <v>0</v>
      </c>
      <c r="FX220" s="2631">
        <f t="shared" si="426"/>
        <v>0</v>
      </c>
      <c r="FY220" s="81" t="e">
        <f t="shared" ref="FY220:FY251" si="875">IF($C$7&lt;&gt;"F",GA220,IF(GA220&lt;$GO$25,NA(),GA220))</f>
        <v>#N/A</v>
      </c>
      <c r="FZ220" s="64" t="e">
        <f t="array" ref="FZ220">MATCH(1,($GT220:$LQ220&gt;0)*$GT$25:$LQ$25,0)</f>
        <v>#N/A</v>
      </c>
      <c r="GA220" s="64" t="e">
        <f t="array" ref="GA220">MATCH(2,1/(GT220:LQ220&gt;0))</f>
        <v>#N/A</v>
      </c>
      <c r="GB220" s="64">
        <f t="shared" si="497"/>
        <v>-1</v>
      </c>
      <c r="GC220" s="46"/>
      <c r="GD220" s="613"/>
      <c r="GE220" s="613"/>
      <c r="GF220" s="613"/>
      <c r="GG220" s="613"/>
      <c r="GH220" s="613"/>
      <c r="GI220" s="613"/>
      <c r="GJ220" s="613"/>
      <c r="GK220" s="613"/>
      <c r="GL220" s="613"/>
      <c r="GM220" s="613"/>
      <c r="GN220" s="385">
        <f t="shared" si="498"/>
        <v>0</v>
      </c>
      <c r="GO220" s="386">
        <f t="shared" si="499"/>
        <v>0</v>
      </c>
      <c r="GP220" s="2635"/>
      <c r="GQ220" s="175"/>
      <c r="GR220" s="172"/>
      <c r="GS220" s="65"/>
      <c r="GT220" s="167"/>
      <c r="GU220" s="168"/>
      <c r="GV220" s="168"/>
      <c r="GW220" s="168"/>
      <c r="GX220" s="168"/>
      <c r="GY220" s="168"/>
      <c r="GZ220" s="168"/>
      <c r="HA220" s="168"/>
      <c r="HB220" s="168"/>
      <c r="HC220" s="168"/>
      <c r="HD220" s="168"/>
      <c r="HE220" s="168"/>
      <c r="HF220" s="168"/>
      <c r="HG220" s="168"/>
      <c r="HH220" s="168"/>
      <c r="HI220" s="168"/>
      <c r="HJ220" s="168"/>
      <c r="HK220" s="168"/>
      <c r="HL220" s="168"/>
      <c r="HM220" s="168"/>
      <c r="HN220" s="168"/>
      <c r="HO220" s="168"/>
      <c r="HP220" s="168"/>
      <c r="HQ220" s="168"/>
      <c r="HR220" s="168"/>
      <c r="HS220" s="168"/>
      <c r="HT220" s="168"/>
      <c r="HU220" s="168"/>
      <c r="HV220" s="168"/>
      <c r="HW220" s="168"/>
      <c r="HX220" s="168"/>
      <c r="HY220" s="168"/>
      <c r="HZ220" s="168"/>
      <c r="IA220" s="168"/>
      <c r="IB220" s="168"/>
      <c r="IC220" s="168"/>
      <c r="ID220" s="168"/>
      <c r="IE220" s="168"/>
      <c r="IF220" s="168"/>
      <c r="IG220" s="168"/>
      <c r="IH220" s="168"/>
      <c r="II220" s="168"/>
      <c r="IJ220" s="168"/>
      <c r="IK220" s="168"/>
      <c r="IL220" s="168"/>
      <c r="IM220" s="168"/>
      <c r="IN220" s="168"/>
      <c r="IO220" s="168"/>
      <c r="IP220" s="168"/>
      <c r="IQ220" s="168"/>
      <c r="IR220" s="168"/>
      <c r="IS220" s="168"/>
      <c r="IT220" s="168"/>
      <c r="IU220" s="168"/>
      <c r="IV220" s="168"/>
      <c r="IW220" s="168"/>
      <c r="IX220" s="168"/>
      <c r="IY220" s="168"/>
      <c r="IZ220" s="168"/>
      <c r="JA220" s="168"/>
      <c r="JB220" s="168"/>
      <c r="JC220" s="168"/>
      <c r="JD220" s="168"/>
      <c r="JE220" s="168"/>
      <c r="JF220" s="168"/>
      <c r="JG220" s="168"/>
      <c r="JH220" s="168"/>
      <c r="JI220" s="168"/>
      <c r="JJ220" s="168"/>
      <c r="JK220" s="168"/>
      <c r="JL220" s="168"/>
      <c r="JM220" s="168"/>
      <c r="JN220" s="168"/>
      <c r="JO220" s="168"/>
      <c r="JP220" s="168"/>
      <c r="JQ220" s="168"/>
      <c r="JR220" s="168"/>
      <c r="JS220" s="168"/>
      <c r="JT220" s="168"/>
      <c r="JU220" s="168"/>
      <c r="JV220" s="168"/>
      <c r="JW220" s="168"/>
      <c r="JX220" s="168"/>
      <c r="JY220" s="168"/>
      <c r="JZ220" s="168"/>
      <c r="KA220" s="168"/>
      <c r="KB220" s="168"/>
      <c r="KC220" s="168"/>
      <c r="KD220" s="168"/>
      <c r="KE220" s="168"/>
      <c r="KF220" s="168"/>
      <c r="KG220" s="168"/>
      <c r="KH220" s="168"/>
      <c r="KI220" s="168"/>
      <c r="KJ220" s="168"/>
      <c r="KK220" s="168"/>
      <c r="KL220" s="168"/>
      <c r="KM220" s="168"/>
      <c r="KN220" s="168"/>
      <c r="KO220" s="168"/>
      <c r="KP220" s="168"/>
      <c r="KQ220" s="168"/>
      <c r="KR220" s="168"/>
      <c r="KS220" s="168"/>
      <c r="KT220" s="168"/>
      <c r="KU220" s="168"/>
      <c r="KV220" s="168"/>
      <c r="KW220" s="168"/>
      <c r="KX220" s="168"/>
      <c r="KY220" s="168"/>
      <c r="KZ220" s="168"/>
      <c r="LA220" s="168"/>
      <c r="LB220" s="168"/>
      <c r="LC220" s="168"/>
      <c r="LD220" s="168"/>
      <c r="LE220" s="168"/>
      <c r="LF220" s="168"/>
      <c r="LG220" s="168"/>
      <c r="LH220" s="168"/>
      <c r="LI220" s="168"/>
      <c r="LJ220" s="168"/>
      <c r="LK220" s="168"/>
      <c r="LL220" s="168"/>
      <c r="LM220" s="168"/>
      <c r="LN220" s="168"/>
      <c r="LO220" s="168"/>
      <c r="LP220" s="606"/>
      <c r="LQ220" s="609"/>
      <c r="LR220" s="1319"/>
      <c r="LS220" s="1319"/>
    </row>
    <row r="221" spans="1:331" s="2" customFormat="1" ht="15" customHeight="1" x14ac:dyDescent="0.25">
      <c r="A221" s="283"/>
      <c r="B221" s="303"/>
      <c r="C221" s="301"/>
      <c r="D221" s="1287"/>
      <c r="E221" s="2298"/>
      <c r="F221" s="1812"/>
      <c r="G221" s="3342"/>
      <c r="H221" s="66"/>
      <c r="I221" s="1746"/>
      <c r="J221" s="1214"/>
      <c r="K221" s="105"/>
      <c r="L221" s="91"/>
      <c r="M221" s="92"/>
      <c r="N221" s="93"/>
      <c r="O221" s="94"/>
      <c r="P221" s="96"/>
      <c r="Q221" s="95"/>
      <c r="R221" s="993">
        <f t="shared" si="431"/>
        <v>0</v>
      </c>
      <c r="S221" s="23">
        <f t="shared" si="432"/>
        <v>0</v>
      </c>
      <c r="T221" s="24">
        <f t="shared" si="433"/>
        <v>0</v>
      </c>
      <c r="U221" s="24">
        <f t="shared" si="434"/>
        <v>0</v>
      </c>
      <c r="V221" s="24">
        <f t="shared" si="435"/>
        <v>0</v>
      </c>
      <c r="W221" s="24">
        <f t="shared" ca="1" si="436"/>
        <v>0</v>
      </c>
      <c r="X221" s="72">
        <f t="shared" ca="1" si="386"/>
        <v>0</v>
      </c>
      <c r="Y221" s="72">
        <f t="shared" si="437"/>
        <v>0</v>
      </c>
      <c r="Z221" s="24">
        <f t="shared" si="438"/>
        <v>0</v>
      </c>
      <c r="AA221" s="72">
        <f t="shared" si="387"/>
        <v>0</v>
      </c>
      <c r="AB221" s="24">
        <f t="shared" si="388"/>
        <v>0</v>
      </c>
      <c r="AC221" s="24">
        <f t="shared" ca="1" si="439"/>
        <v>0</v>
      </c>
      <c r="AD221" s="24">
        <f t="shared" si="389"/>
        <v>0</v>
      </c>
      <c r="AE221" s="2078">
        <f t="shared" si="870"/>
        <v>3</v>
      </c>
      <c r="AF221" s="2078">
        <f t="shared" si="871"/>
        <v>0</v>
      </c>
      <c r="AG221" s="2078">
        <f t="shared" si="872"/>
        <v>0</v>
      </c>
      <c r="AH221" s="2521">
        <f t="shared" si="390"/>
        <v>1</v>
      </c>
      <c r="AI221" s="25" t="str">
        <f t="shared" si="443"/>
        <v/>
      </c>
      <c r="AJ221" s="2521">
        <f t="shared" ca="1" si="391"/>
        <v>0</v>
      </c>
      <c r="AK221" s="2076">
        <f t="shared" ca="1" si="392"/>
        <v>0</v>
      </c>
      <c r="AL221" s="2078">
        <f>IF(ISBLANK(J221),0,ISERROR(MATCH(J221,'5  Control Accounts'!$FA$29:$FA$96,0))*1)</f>
        <v>0</v>
      </c>
      <c r="AM221" s="2076">
        <f t="shared" si="444"/>
        <v>0</v>
      </c>
      <c r="AN221" s="2078">
        <f t="shared" si="445"/>
        <v>1</v>
      </c>
      <c r="AO221" s="2079">
        <f t="shared" si="393"/>
        <v>1</v>
      </c>
      <c r="AP221" s="2079">
        <f t="shared" si="394"/>
        <v>0</v>
      </c>
      <c r="AQ221" s="2079">
        <f t="shared" si="395"/>
        <v>0</v>
      </c>
      <c r="AR221" s="2079">
        <f t="shared" si="396"/>
        <v>0</v>
      </c>
      <c r="AS221" s="2079">
        <f t="shared" si="397"/>
        <v>0</v>
      </c>
      <c r="AT221" s="2079">
        <f t="shared" si="398"/>
        <v>0</v>
      </c>
      <c r="AU221" s="2079">
        <f t="shared" si="399"/>
        <v>0</v>
      </c>
      <c r="AV221" s="2079">
        <f t="shared" si="400"/>
        <v>0</v>
      </c>
      <c r="AW221" s="2079">
        <f t="shared" si="401"/>
        <v>0</v>
      </c>
      <c r="AX221" s="2079">
        <f t="shared" si="402"/>
        <v>0</v>
      </c>
      <c r="AY221" s="2078">
        <f t="shared" si="446"/>
        <v>0</v>
      </c>
      <c r="AZ221" s="2078">
        <f t="shared" si="447"/>
        <v>0</v>
      </c>
      <c r="BA221" s="2078">
        <f t="shared" si="448"/>
        <v>0</v>
      </c>
      <c r="BB221" s="2078">
        <f t="shared" si="449"/>
        <v>0</v>
      </c>
      <c r="BC221" s="2078">
        <f t="shared" si="450"/>
        <v>0</v>
      </c>
      <c r="BD221" s="2078">
        <f t="shared" si="451"/>
        <v>0</v>
      </c>
      <c r="BE221" s="2078">
        <f t="shared" si="452"/>
        <v>0</v>
      </c>
      <c r="BF221" s="2078">
        <f t="shared" si="453"/>
        <v>0</v>
      </c>
      <c r="BG221" s="2078">
        <f t="shared" si="454"/>
        <v>0</v>
      </c>
      <c r="BH221" s="2078">
        <f t="shared" si="455"/>
        <v>0</v>
      </c>
      <c r="BI221" s="2078">
        <f t="shared" si="456"/>
        <v>0</v>
      </c>
      <c r="BJ221" s="2078">
        <f t="shared" si="457"/>
        <v>0</v>
      </c>
      <c r="BK221" s="2078">
        <f t="shared" si="458"/>
        <v>0</v>
      </c>
      <c r="BL221" s="2078">
        <f t="shared" si="459"/>
        <v>0</v>
      </c>
      <c r="BM221" s="2078">
        <f t="shared" si="460"/>
        <v>0</v>
      </c>
      <c r="BN221" s="2078">
        <f t="shared" si="461"/>
        <v>0</v>
      </c>
      <c r="BO221" s="2078">
        <f t="shared" si="462"/>
        <v>0</v>
      </c>
      <c r="BP221" s="2078">
        <f t="shared" si="463"/>
        <v>0</v>
      </c>
      <c r="BQ221" s="2078">
        <f t="shared" si="464"/>
        <v>0</v>
      </c>
      <c r="BR221" s="2078">
        <f t="shared" si="465"/>
        <v>0</v>
      </c>
      <c r="BS221" s="2079">
        <f t="shared" si="403"/>
        <v>1</v>
      </c>
      <c r="BT221" s="2079">
        <f t="shared" si="404"/>
        <v>0</v>
      </c>
      <c r="BU221" s="2079">
        <f t="shared" si="405"/>
        <v>0</v>
      </c>
      <c r="BV221" s="2079">
        <f t="shared" si="406"/>
        <v>0</v>
      </c>
      <c r="BW221" s="2079">
        <f t="shared" si="407"/>
        <v>0</v>
      </c>
      <c r="BX221" s="2079">
        <f t="shared" si="408"/>
        <v>0</v>
      </c>
      <c r="BY221" s="2079">
        <f t="shared" si="409"/>
        <v>0</v>
      </c>
      <c r="BZ221" s="2079">
        <f t="shared" si="410"/>
        <v>0</v>
      </c>
      <c r="CA221" s="2079">
        <f t="shared" si="411"/>
        <v>0</v>
      </c>
      <c r="CB221" s="2079">
        <f t="shared" si="412"/>
        <v>0</v>
      </c>
      <c r="CC221" s="2078">
        <f t="shared" ca="1" si="466"/>
        <v>0</v>
      </c>
      <c r="CD221" s="2078">
        <f t="shared" ca="1" si="467"/>
        <v>0</v>
      </c>
      <c r="CE221" s="2078">
        <f t="shared" ca="1" si="468"/>
        <v>0</v>
      </c>
      <c r="CF221" s="2078">
        <f t="shared" ca="1" si="469"/>
        <v>0</v>
      </c>
      <c r="CG221" s="2078">
        <f t="shared" ca="1" si="470"/>
        <v>0</v>
      </c>
      <c r="CH221" s="2078">
        <f t="shared" ca="1" si="471"/>
        <v>0</v>
      </c>
      <c r="CI221" s="2078">
        <f t="shared" ca="1" si="472"/>
        <v>0</v>
      </c>
      <c r="CJ221" s="2078">
        <f t="shared" ca="1" si="473"/>
        <v>0</v>
      </c>
      <c r="CK221" s="2078">
        <f t="shared" ca="1" si="474"/>
        <v>0</v>
      </c>
      <c r="CL221" s="2078">
        <f t="shared" ca="1" si="475"/>
        <v>0</v>
      </c>
      <c r="CM221" s="2078">
        <f t="shared" si="413"/>
        <v>1</v>
      </c>
      <c r="CN221" s="2078">
        <f t="shared" si="414"/>
        <v>1</v>
      </c>
      <c r="CO221" s="2078">
        <f t="shared" si="415"/>
        <v>1</v>
      </c>
      <c r="CP221" s="2078">
        <f t="shared" si="478"/>
        <v>1</v>
      </c>
      <c r="CQ221" s="2078">
        <f t="shared" si="416"/>
        <v>0</v>
      </c>
      <c r="CR221" s="2078">
        <f t="shared" si="417"/>
        <v>0</v>
      </c>
      <c r="CS221" s="2078">
        <f t="shared" si="479"/>
        <v>0</v>
      </c>
      <c r="CT221" s="2078">
        <f t="shared" si="418"/>
        <v>1</v>
      </c>
      <c r="CU221" s="2078">
        <f t="shared" si="480"/>
        <v>1</v>
      </c>
      <c r="CV221" s="2078">
        <f t="shared" si="419"/>
        <v>0</v>
      </c>
      <c r="CW221" s="2078">
        <f>IF(OR(AE221&lt;&gt;3,F221="Exclude"),0,IF(ISERROR(MATCH($E221,'4 Sign-off'!$S$123:$X$123,0)),0,1))</f>
        <v>0</v>
      </c>
      <c r="CX221" s="2078">
        <f t="shared" si="481"/>
        <v>0</v>
      </c>
      <c r="CY221" s="2078">
        <f t="shared" si="420"/>
        <v>0</v>
      </c>
      <c r="CZ221" s="2993">
        <f t="shared" ca="1" si="483"/>
        <v>0</v>
      </c>
      <c r="DA221" s="3037">
        <f t="shared" ca="1" si="484"/>
        <v>0</v>
      </c>
      <c r="DB221" s="1664"/>
      <c r="DC221" s="1320"/>
      <c r="DD221" s="589"/>
      <c r="DE221" s="1321"/>
      <c r="DF221" s="107"/>
      <c r="DG221" s="112"/>
      <c r="DH221" s="140"/>
      <c r="DI221" s="22"/>
      <c r="DJ221" s="145"/>
      <c r="DK221" s="137"/>
      <c r="DL221" s="137"/>
      <c r="DM221" s="137"/>
      <c r="DN221" s="137"/>
      <c r="DO221" s="137"/>
      <c r="DP221" s="137"/>
      <c r="DQ221" s="137"/>
      <c r="DR221" s="137"/>
      <c r="DS221" s="137"/>
      <c r="DT221" s="137"/>
      <c r="DU221" s="137"/>
      <c r="DV221" s="137"/>
      <c r="DW221" s="137"/>
      <c r="DX221" s="137"/>
      <c r="DY221" s="137"/>
      <c r="DZ221" s="137"/>
      <c r="EA221" s="137"/>
      <c r="EB221" s="137"/>
      <c r="EC221" s="137"/>
      <c r="ED221" s="137"/>
      <c r="EE221" s="137"/>
      <c r="EF221" s="137"/>
      <c r="EG221" s="137"/>
      <c r="EH221" s="137"/>
      <c r="EI221" s="137"/>
      <c r="EJ221" s="137"/>
      <c r="EK221" s="137"/>
      <c r="EL221" s="137"/>
      <c r="EM221" s="137"/>
      <c r="EN221" s="137"/>
      <c r="EO221" s="137"/>
      <c r="EP221" s="137"/>
      <c r="EQ221" s="137"/>
      <c r="ER221" s="137"/>
      <c r="ES221" s="137"/>
      <c r="ET221" s="137"/>
      <c r="EU221" s="137"/>
      <c r="EV221" s="137"/>
      <c r="EW221" s="137"/>
      <c r="EX221" s="137"/>
      <c r="EY221" s="137"/>
      <c r="EZ221" s="137"/>
      <c r="FA221" s="137"/>
      <c r="FB221" s="137"/>
      <c r="FC221" s="137"/>
      <c r="FD221" s="137"/>
      <c r="FE221" s="137"/>
      <c r="FF221" s="137"/>
      <c r="FG221" s="860"/>
      <c r="FH221" s="863"/>
      <c r="FI221" s="1318"/>
      <c r="FJ221" s="126"/>
      <c r="FK221" s="127"/>
      <c r="FL221" s="128" t="str">
        <f t="shared" si="485"/>
        <v xml:space="preserve">    </v>
      </c>
      <c r="FM221" s="128"/>
      <c r="FN221" s="1686">
        <f t="shared" si="486"/>
        <v>0</v>
      </c>
      <c r="FO221" s="46">
        <f t="shared" si="421"/>
        <v>0</v>
      </c>
      <c r="FP221" s="46">
        <f t="shared" si="422"/>
        <v>1</v>
      </c>
      <c r="FQ221" s="75">
        <f t="shared" si="489"/>
        <v>0</v>
      </c>
      <c r="FR221" s="46">
        <f t="shared" si="873"/>
        <v>0</v>
      </c>
      <c r="FS221" s="46">
        <f t="shared" si="874"/>
        <v>1</v>
      </c>
      <c r="FT221" s="75">
        <f t="shared" si="492"/>
        <v>0</v>
      </c>
      <c r="FU221" s="2603">
        <f t="shared" si="423"/>
        <v>0</v>
      </c>
      <c r="FV221" s="2607">
        <f t="shared" si="424"/>
        <v>0</v>
      </c>
      <c r="FW221" s="2603">
        <f t="shared" si="425"/>
        <v>0</v>
      </c>
      <c r="FX221" s="2631">
        <f t="shared" si="426"/>
        <v>0</v>
      </c>
      <c r="FY221" s="81" t="e">
        <f t="shared" si="875"/>
        <v>#N/A</v>
      </c>
      <c r="FZ221" s="64" t="e">
        <f t="array" ref="FZ221">MATCH(1,($GT221:$LQ221&gt;0)*$GT$25:$LQ$25,0)</f>
        <v>#N/A</v>
      </c>
      <c r="GA221" s="64" t="e">
        <f t="array" ref="GA221">MATCH(2,1/(GT221:LQ221&gt;0))</f>
        <v>#N/A</v>
      </c>
      <c r="GB221" s="64">
        <f t="shared" si="497"/>
        <v>-1</v>
      </c>
      <c r="GC221" s="46"/>
      <c r="GD221" s="613"/>
      <c r="GE221" s="613"/>
      <c r="GF221" s="613"/>
      <c r="GG221" s="613"/>
      <c r="GH221" s="613"/>
      <c r="GI221" s="613"/>
      <c r="GJ221" s="613"/>
      <c r="GK221" s="613"/>
      <c r="GL221" s="613"/>
      <c r="GM221" s="613"/>
      <c r="GN221" s="385">
        <f t="shared" si="498"/>
        <v>0</v>
      </c>
      <c r="GO221" s="386">
        <f t="shared" si="499"/>
        <v>0</v>
      </c>
      <c r="GP221" s="2635"/>
      <c r="GQ221" s="175"/>
      <c r="GR221" s="172"/>
      <c r="GS221" s="65"/>
      <c r="GT221" s="167"/>
      <c r="GU221" s="168"/>
      <c r="GV221" s="168"/>
      <c r="GW221" s="168"/>
      <c r="GX221" s="168"/>
      <c r="GY221" s="168"/>
      <c r="GZ221" s="168"/>
      <c r="HA221" s="168"/>
      <c r="HB221" s="168"/>
      <c r="HC221" s="168"/>
      <c r="HD221" s="168"/>
      <c r="HE221" s="168"/>
      <c r="HF221" s="168"/>
      <c r="HG221" s="168"/>
      <c r="HH221" s="168"/>
      <c r="HI221" s="168"/>
      <c r="HJ221" s="168"/>
      <c r="HK221" s="168"/>
      <c r="HL221" s="168"/>
      <c r="HM221" s="168"/>
      <c r="HN221" s="168"/>
      <c r="HO221" s="168"/>
      <c r="HP221" s="168"/>
      <c r="HQ221" s="168"/>
      <c r="HR221" s="168"/>
      <c r="HS221" s="168"/>
      <c r="HT221" s="168"/>
      <c r="HU221" s="168"/>
      <c r="HV221" s="168"/>
      <c r="HW221" s="168"/>
      <c r="HX221" s="168"/>
      <c r="HY221" s="168"/>
      <c r="HZ221" s="168"/>
      <c r="IA221" s="168"/>
      <c r="IB221" s="168"/>
      <c r="IC221" s="168"/>
      <c r="ID221" s="168"/>
      <c r="IE221" s="168"/>
      <c r="IF221" s="168"/>
      <c r="IG221" s="168"/>
      <c r="IH221" s="168"/>
      <c r="II221" s="168"/>
      <c r="IJ221" s="168"/>
      <c r="IK221" s="168"/>
      <c r="IL221" s="168"/>
      <c r="IM221" s="168"/>
      <c r="IN221" s="168"/>
      <c r="IO221" s="168"/>
      <c r="IP221" s="168"/>
      <c r="IQ221" s="168"/>
      <c r="IR221" s="168"/>
      <c r="IS221" s="168"/>
      <c r="IT221" s="168"/>
      <c r="IU221" s="168"/>
      <c r="IV221" s="168"/>
      <c r="IW221" s="168"/>
      <c r="IX221" s="168"/>
      <c r="IY221" s="168"/>
      <c r="IZ221" s="168"/>
      <c r="JA221" s="168"/>
      <c r="JB221" s="168"/>
      <c r="JC221" s="168"/>
      <c r="JD221" s="168"/>
      <c r="JE221" s="168"/>
      <c r="JF221" s="168"/>
      <c r="JG221" s="168"/>
      <c r="JH221" s="168"/>
      <c r="JI221" s="168"/>
      <c r="JJ221" s="168"/>
      <c r="JK221" s="168"/>
      <c r="JL221" s="168"/>
      <c r="JM221" s="168"/>
      <c r="JN221" s="168"/>
      <c r="JO221" s="168"/>
      <c r="JP221" s="168"/>
      <c r="JQ221" s="168"/>
      <c r="JR221" s="168"/>
      <c r="JS221" s="168"/>
      <c r="JT221" s="168"/>
      <c r="JU221" s="168"/>
      <c r="JV221" s="168"/>
      <c r="JW221" s="168"/>
      <c r="JX221" s="168"/>
      <c r="JY221" s="168"/>
      <c r="JZ221" s="168"/>
      <c r="KA221" s="168"/>
      <c r="KB221" s="168"/>
      <c r="KC221" s="168"/>
      <c r="KD221" s="168"/>
      <c r="KE221" s="168"/>
      <c r="KF221" s="168"/>
      <c r="KG221" s="168"/>
      <c r="KH221" s="168"/>
      <c r="KI221" s="168"/>
      <c r="KJ221" s="168"/>
      <c r="KK221" s="168"/>
      <c r="KL221" s="168"/>
      <c r="KM221" s="168"/>
      <c r="KN221" s="168"/>
      <c r="KO221" s="168"/>
      <c r="KP221" s="168"/>
      <c r="KQ221" s="168"/>
      <c r="KR221" s="168"/>
      <c r="KS221" s="168"/>
      <c r="KT221" s="168"/>
      <c r="KU221" s="168"/>
      <c r="KV221" s="168"/>
      <c r="KW221" s="168"/>
      <c r="KX221" s="168"/>
      <c r="KY221" s="168"/>
      <c r="KZ221" s="168"/>
      <c r="LA221" s="168"/>
      <c r="LB221" s="168"/>
      <c r="LC221" s="168"/>
      <c r="LD221" s="168"/>
      <c r="LE221" s="168"/>
      <c r="LF221" s="168"/>
      <c r="LG221" s="168"/>
      <c r="LH221" s="168"/>
      <c r="LI221" s="168"/>
      <c r="LJ221" s="168"/>
      <c r="LK221" s="168"/>
      <c r="LL221" s="168"/>
      <c r="LM221" s="168"/>
      <c r="LN221" s="168"/>
      <c r="LO221" s="168"/>
      <c r="LP221" s="606"/>
      <c r="LQ221" s="609"/>
      <c r="LR221" s="1319"/>
      <c r="LS221" s="1319"/>
    </row>
    <row r="222" spans="1:331" s="2" customFormat="1" ht="15" customHeight="1" x14ac:dyDescent="0.25">
      <c r="A222" s="283"/>
      <c r="B222" s="303"/>
      <c r="C222" s="301"/>
      <c r="D222" s="1287"/>
      <c r="E222" s="2298"/>
      <c r="F222" s="1812"/>
      <c r="G222" s="3342"/>
      <c r="H222" s="66"/>
      <c r="I222" s="1746"/>
      <c r="J222" s="1214"/>
      <c r="K222" s="105"/>
      <c r="L222" s="91"/>
      <c r="M222" s="92"/>
      <c r="N222" s="93"/>
      <c r="O222" s="94"/>
      <c r="P222" s="96"/>
      <c r="Q222" s="95"/>
      <c r="R222" s="993">
        <f t="shared" si="431"/>
        <v>0</v>
      </c>
      <c r="S222" s="23">
        <f t="shared" si="432"/>
        <v>0</v>
      </c>
      <c r="T222" s="24">
        <f t="shared" si="433"/>
        <v>0</v>
      </c>
      <c r="U222" s="24">
        <f t="shared" si="434"/>
        <v>0</v>
      </c>
      <c r="V222" s="24">
        <f t="shared" si="435"/>
        <v>0</v>
      </c>
      <c r="W222" s="24">
        <f t="shared" ca="1" si="436"/>
        <v>0</v>
      </c>
      <c r="X222" s="72">
        <f t="shared" ca="1" si="386"/>
        <v>0</v>
      </c>
      <c r="Y222" s="72">
        <f t="shared" si="437"/>
        <v>0</v>
      </c>
      <c r="Z222" s="24">
        <f t="shared" si="438"/>
        <v>0</v>
      </c>
      <c r="AA222" s="72">
        <f t="shared" si="387"/>
        <v>0</v>
      </c>
      <c r="AB222" s="24">
        <f t="shared" si="388"/>
        <v>0</v>
      </c>
      <c r="AC222" s="24">
        <f t="shared" ca="1" si="439"/>
        <v>0</v>
      </c>
      <c r="AD222" s="24">
        <f t="shared" si="389"/>
        <v>0</v>
      </c>
      <c r="AE222" s="2078">
        <f t="shared" si="870"/>
        <v>3</v>
      </c>
      <c r="AF222" s="2078">
        <f t="shared" si="871"/>
        <v>0</v>
      </c>
      <c r="AG222" s="2078">
        <f t="shared" si="872"/>
        <v>0</v>
      </c>
      <c r="AH222" s="2521">
        <f t="shared" si="390"/>
        <v>1</v>
      </c>
      <c r="AI222" s="25" t="str">
        <f t="shared" si="443"/>
        <v/>
      </c>
      <c r="AJ222" s="2521">
        <f t="shared" ca="1" si="391"/>
        <v>0</v>
      </c>
      <c r="AK222" s="2076">
        <f t="shared" ca="1" si="392"/>
        <v>0</v>
      </c>
      <c r="AL222" s="2078">
        <f>IF(ISBLANK(J222),0,ISERROR(MATCH(J222,'5  Control Accounts'!$FA$29:$FA$96,0))*1)</f>
        <v>0</v>
      </c>
      <c r="AM222" s="2076">
        <f t="shared" si="444"/>
        <v>0</v>
      </c>
      <c r="AN222" s="2078">
        <f t="shared" si="445"/>
        <v>1</v>
      </c>
      <c r="AO222" s="2079">
        <f t="shared" si="393"/>
        <v>1</v>
      </c>
      <c r="AP222" s="2079">
        <f t="shared" si="394"/>
        <v>0</v>
      </c>
      <c r="AQ222" s="2079">
        <f t="shared" si="395"/>
        <v>0</v>
      </c>
      <c r="AR222" s="2079">
        <f t="shared" si="396"/>
        <v>0</v>
      </c>
      <c r="AS222" s="2079">
        <f t="shared" si="397"/>
        <v>0</v>
      </c>
      <c r="AT222" s="2079">
        <f t="shared" si="398"/>
        <v>0</v>
      </c>
      <c r="AU222" s="2079">
        <f t="shared" si="399"/>
        <v>0</v>
      </c>
      <c r="AV222" s="2079">
        <f t="shared" si="400"/>
        <v>0</v>
      </c>
      <c r="AW222" s="2079">
        <f t="shared" si="401"/>
        <v>0</v>
      </c>
      <c r="AX222" s="2079">
        <f t="shared" si="402"/>
        <v>0</v>
      </c>
      <c r="AY222" s="2078">
        <f t="shared" si="446"/>
        <v>0</v>
      </c>
      <c r="AZ222" s="2078">
        <f t="shared" si="447"/>
        <v>0</v>
      </c>
      <c r="BA222" s="2078">
        <f t="shared" si="448"/>
        <v>0</v>
      </c>
      <c r="BB222" s="2078">
        <f t="shared" si="449"/>
        <v>0</v>
      </c>
      <c r="BC222" s="2078">
        <f t="shared" si="450"/>
        <v>0</v>
      </c>
      <c r="BD222" s="2078">
        <f t="shared" si="451"/>
        <v>0</v>
      </c>
      <c r="BE222" s="2078">
        <f t="shared" si="452"/>
        <v>0</v>
      </c>
      <c r="BF222" s="2078">
        <f t="shared" si="453"/>
        <v>0</v>
      </c>
      <c r="BG222" s="2078">
        <f t="shared" si="454"/>
        <v>0</v>
      </c>
      <c r="BH222" s="2078">
        <f t="shared" si="455"/>
        <v>0</v>
      </c>
      <c r="BI222" s="2078">
        <f t="shared" si="456"/>
        <v>0</v>
      </c>
      <c r="BJ222" s="2078">
        <f t="shared" si="457"/>
        <v>0</v>
      </c>
      <c r="BK222" s="2078">
        <f t="shared" si="458"/>
        <v>0</v>
      </c>
      <c r="BL222" s="2078">
        <f t="shared" si="459"/>
        <v>0</v>
      </c>
      <c r="BM222" s="2078">
        <f t="shared" si="460"/>
        <v>0</v>
      </c>
      <c r="BN222" s="2078">
        <f t="shared" si="461"/>
        <v>0</v>
      </c>
      <c r="BO222" s="2078">
        <f t="shared" si="462"/>
        <v>0</v>
      </c>
      <c r="BP222" s="2078">
        <f t="shared" si="463"/>
        <v>0</v>
      </c>
      <c r="BQ222" s="2078">
        <f t="shared" si="464"/>
        <v>0</v>
      </c>
      <c r="BR222" s="2078">
        <f t="shared" si="465"/>
        <v>0</v>
      </c>
      <c r="BS222" s="2079">
        <f t="shared" si="403"/>
        <v>1</v>
      </c>
      <c r="BT222" s="2079">
        <f t="shared" si="404"/>
        <v>0</v>
      </c>
      <c r="BU222" s="2079">
        <f t="shared" si="405"/>
        <v>0</v>
      </c>
      <c r="BV222" s="2079">
        <f t="shared" si="406"/>
        <v>0</v>
      </c>
      <c r="BW222" s="2079">
        <f t="shared" si="407"/>
        <v>0</v>
      </c>
      <c r="BX222" s="2079">
        <f t="shared" si="408"/>
        <v>0</v>
      </c>
      <c r="BY222" s="2079">
        <f t="shared" si="409"/>
        <v>0</v>
      </c>
      <c r="BZ222" s="2079">
        <f t="shared" si="410"/>
        <v>0</v>
      </c>
      <c r="CA222" s="2079">
        <f t="shared" si="411"/>
        <v>0</v>
      </c>
      <c r="CB222" s="2079">
        <f t="shared" si="412"/>
        <v>0</v>
      </c>
      <c r="CC222" s="2078">
        <f t="shared" ca="1" si="466"/>
        <v>0</v>
      </c>
      <c r="CD222" s="2078">
        <f t="shared" ca="1" si="467"/>
        <v>0</v>
      </c>
      <c r="CE222" s="2078">
        <f t="shared" ca="1" si="468"/>
        <v>0</v>
      </c>
      <c r="CF222" s="2078">
        <f t="shared" ca="1" si="469"/>
        <v>0</v>
      </c>
      <c r="CG222" s="2078">
        <f t="shared" ca="1" si="470"/>
        <v>0</v>
      </c>
      <c r="CH222" s="2078">
        <f t="shared" ca="1" si="471"/>
        <v>0</v>
      </c>
      <c r="CI222" s="2078">
        <f t="shared" ca="1" si="472"/>
        <v>0</v>
      </c>
      <c r="CJ222" s="2078">
        <f t="shared" ca="1" si="473"/>
        <v>0</v>
      </c>
      <c r="CK222" s="2078">
        <f t="shared" ca="1" si="474"/>
        <v>0</v>
      </c>
      <c r="CL222" s="2078">
        <f t="shared" ca="1" si="475"/>
        <v>0</v>
      </c>
      <c r="CM222" s="2078">
        <f t="shared" si="413"/>
        <v>1</v>
      </c>
      <c r="CN222" s="2078">
        <f t="shared" si="414"/>
        <v>1</v>
      </c>
      <c r="CO222" s="2078">
        <f t="shared" si="415"/>
        <v>1</v>
      </c>
      <c r="CP222" s="2078">
        <f t="shared" si="478"/>
        <v>1</v>
      </c>
      <c r="CQ222" s="2078">
        <f t="shared" si="416"/>
        <v>0</v>
      </c>
      <c r="CR222" s="2078">
        <f t="shared" si="417"/>
        <v>0</v>
      </c>
      <c r="CS222" s="2078">
        <f t="shared" si="479"/>
        <v>0</v>
      </c>
      <c r="CT222" s="2078">
        <f t="shared" si="418"/>
        <v>1</v>
      </c>
      <c r="CU222" s="2078">
        <f t="shared" si="480"/>
        <v>1</v>
      </c>
      <c r="CV222" s="2078">
        <f t="shared" si="419"/>
        <v>0</v>
      </c>
      <c r="CW222" s="2078">
        <f>IF(OR(AE222&lt;&gt;3,F222="Exclude"),0,IF(ISERROR(MATCH($E222,'4 Sign-off'!$S$123:$X$123,0)),0,1))</f>
        <v>0</v>
      </c>
      <c r="CX222" s="2078">
        <f t="shared" si="481"/>
        <v>0</v>
      </c>
      <c r="CY222" s="2078">
        <f t="shared" si="420"/>
        <v>0</v>
      </c>
      <c r="CZ222" s="2993">
        <f t="shared" ca="1" si="483"/>
        <v>0</v>
      </c>
      <c r="DA222" s="3037">
        <f t="shared" ca="1" si="484"/>
        <v>0</v>
      </c>
      <c r="DB222" s="1664"/>
      <c r="DC222" s="1320"/>
      <c r="DD222" s="589"/>
      <c r="DE222" s="1321"/>
      <c r="DF222" s="107"/>
      <c r="DG222" s="112"/>
      <c r="DH222" s="140"/>
      <c r="DI222" s="22"/>
      <c r="DJ222" s="145"/>
      <c r="DK222" s="137"/>
      <c r="DL222" s="137"/>
      <c r="DM222" s="137"/>
      <c r="DN222" s="137"/>
      <c r="DO222" s="137"/>
      <c r="DP222" s="137"/>
      <c r="DQ222" s="137"/>
      <c r="DR222" s="137"/>
      <c r="DS222" s="137"/>
      <c r="DT222" s="137"/>
      <c r="DU222" s="137"/>
      <c r="DV222" s="137"/>
      <c r="DW222" s="137"/>
      <c r="DX222" s="137"/>
      <c r="DY222" s="137"/>
      <c r="DZ222" s="137"/>
      <c r="EA222" s="137"/>
      <c r="EB222" s="137"/>
      <c r="EC222" s="137"/>
      <c r="ED222" s="137"/>
      <c r="EE222" s="137"/>
      <c r="EF222" s="137"/>
      <c r="EG222" s="137"/>
      <c r="EH222" s="137"/>
      <c r="EI222" s="137"/>
      <c r="EJ222" s="137"/>
      <c r="EK222" s="137"/>
      <c r="EL222" s="137"/>
      <c r="EM222" s="137"/>
      <c r="EN222" s="137"/>
      <c r="EO222" s="137"/>
      <c r="EP222" s="137"/>
      <c r="EQ222" s="137"/>
      <c r="ER222" s="137"/>
      <c r="ES222" s="137"/>
      <c r="ET222" s="137"/>
      <c r="EU222" s="137"/>
      <c r="EV222" s="137"/>
      <c r="EW222" s="137"/>
      <c r="EX222" s="137"/>
      <c r="EY222" s="137"/>
      <c r="EZ222" s="137"/>
      <c r="FA222" s="137"/>
      <c r="FB222" s="137"/>
      <c r="FC222" s="137"/>
      <c r="FD222" s="137"/>
      <c r="FE222" s="137"/>
      <c r="FF222" s="137"/>
      <c r="FG222" s="860"/>
      <c r="FH222" s="863"/>
      <c r="FI222" s="1318"/>
      <c r="FJ222" s="126"/>
      <c r="FK222" s="127"/>
      <c r="FL222" s="128" t="str">
        <f t="shared" si="485"/>
        <v xml:space="preserve">    </v>
      </c>
      <c r="FM222" s="128"/>
      <c r="FN222" s="1686">
        <f t="shared" si="486"/>
        <v>0</v>
      </c>
      <c r="FO222" s="46">
        <f t="shared" si="421"/>
        <v>0</v>
      </c>
      <c r="FP222" s="46">
        <f t="shared" si="422"/>
        <v>1</v>
      </c>
      <c r="FQ222" s="75">
        <f t="shared" si="489"/>
        <v>0</v>
      </c>
      <c r="FR222" s="46">
        <f t="shared" si="873"/>
        <v>0</v>
      </c>
      <c r="FS222" s="46">
        <f t="shared" si="874"/>
        <v>1</v>
      </c>
      <c r="FT222" s="75">
        <f t="shared" si="492"/>
        <v>0</v>
      </c>
      <c r="FU222" s="2603">
        <f t="shared" si="423"/>
        <v>0</v>
      </c>
      <c r="FV222" s="2607">
        <f t="shared" si="424"/>
        <v>0</v>
      </c>
      <c r="FW222" s="2603">
        <f t="shared" si="425"/>
        <v>0</v>
      </c>
      <c r="FX222" s="2631">
        <f t="shared" si="426"/>
        <v>0</v>
      </c>
      <c r="FY222" s="81" t="e">
        <f t="shared" si="875"/>
        <v>#N/A</v>
      </c>
      <c r="FZ222" s="64" t="e">
        <f t="array" ref="FZ222">MATCH(1,($GT222:$LQ222&gt;0)*$GT$25:$LQ$25,0)</f>
        <v>#N/A</v>
      </c>
      <c r="GA222" s="64" t="e">
        <f t="array" ref="GA222">MATCH(2,1/(GT222:LQ222&gt;0))</f>
        <v>#N/A</v>
      </c>
      <c r="GB222" s="64">
        <f t="shared" si="497"/>
        <v>-1</v>
      </c>
      <c r="GC222" s="46"/>
      <c r="GD222" s="613"/>
      <c r="GE222" s="613"/>
      <c r="GF222" s="613"/>
      <c r="GG222" s="613"/>
      <c r="GH222" s="613"/>
      <c r="GI222" s="613"/>
      <c r="GJ222" s="613"/>
      <c r="GK222" s="613"/>
      <c r="GL222" s="613"/>
      <c r="GM222" s="613"/>
      <c r="GN222" s="385">
        <f t="shared" si="498"/>
        <v>0</v>
      </c>
      <c r="GO222" s="386">
        <f t="shared" si="499"/>
        <v>0</v>
      </c>
      <c r="GP222" s="2635"/>
      <c r="GQ222" s="175"/>
      <c r="GR222" s="172"/>
      <c r="GS222" s="65"/>
      <c r="GT222" s="167"/>
      <c r="GU222" s="168"/>
      <c r="GV222" s="168"/>
      <c r="GW222" s="168"/>
      <c r="GX222" s="168"/>
      <c r="GY222" s="168"/>
      <c r="GZ222" s="168"/>
      <c r="HA222" s="168"/>
      <c r="HB222" s="168"/>
      <c r="HC222" s="168"/>
      <c r="HD222" s="168"/>
      <c r="HE222" s="168"/>
      <c r="HF222" s="168"/>
      <c r="HG222" s="168"/>
      <c r="HH222" s="168"/>
      <c r="HI222" s="168"/>
      <c r="HJ222" s="168"/>
      <c r="HK222" s="168"/>
      <c r="HL222" s="168"/>
      <c r="HM222" s="168"/>
      <c r="HN222" s="168"/>
      <c r="HO222" s="168"/>
      <c r="HP222" s="168"/>
      <c r="HQ222" s="168"/>
      <c r="HR222" s="168"/>
      <c r="HS222" s="168"/>
      <c r="HT222" s="168"/>
      <c r="HU222" s="168"/>
      <c r="HV222" s="168"/>
      <c r="HW222" s="168"/>
      <c r="HX222" s="168"/>
      <c r="HY222" s="168"/>
      <c r="HZ222" s="168"/>
      <c r="IA222" s="168"/>
      <c r="IB222" s="168"/>
      <c r="IC222" s="168"/>
      <c r="ID222" s="168"/>
      <c r="IE222" s="168"/>
      <c r="IF222" s="168"/>
      <c r="IG222" s="168"/>
      <c r="IH222" s="168"/>
      <c r="II222" s="168"/>
      <c r="IJ222" s="168"/>
      <c r="IK222" s="168"/>
      <c r="IL222" s="168"/>
      <c r="IM222" s="168"/>
      <c r="IN222" s="168"/>
      <c r="IO222" s="168"/>
      <c r="IP222" s="168"/>
      <c r="IQ222" s="168"/>
      <c r="IR222" s="168"/>
      <c r="IS222" s="168"/>
      <c r="IT222" s="168"/>
      <c r="IU222" s="168"/>
      <c r="IV222" s="168"/>
      <c r="IW222" s="168"/>
      <c r="IX222" s="168"/>
      <c r="IY222" s="168"/>
      <c r="IZ222" s="168"/>
      <c r="JA222" s="168"/>
      <c r="JB222" s="168"/>
      <c r="JC222" s="168"/>
      <c r="JD222" s="168"/>
      <c r="JE222" s="168"/>
      <c r="JF222" s="168"/>
      <c r="JG222" s="168"/>
      <c r="JH222" s="168"/>
      <c r="JI222" s="168"/>
      <c r="JJ222" s="168"/>
      <c r="JK222" s="168"/>
      <c r="JL222" s="168"/>
      <c r="JM222" s="168"/>
      <c r="JN222" s="168"/>
      <c r="JO222" s="168"/>
      <c r="JP222" s="168"/>
      <c r="JQ222" s="168"/>
      <c r="JR222" s="168"/>
      <c r="JS222" s="168"/>
      <c r="JT222" s="168"/>
      <c r="JU222" s="168"/>
      <c r="JV222" s="168"/>
      <c r="JW222" s="168"/>
      <c r="JX222" s="168"/>
      <c r="JY222" s="168"/>
      <c r="JZ222" s="168"/>
      <c r="KA222" s="168"/>
      <c r="KB222" s="168"/>
      <c r="KC222" s="168"/>
      <c r="KD222" s="168"/>
      <c r="KE222" s="168"/>
      <c r="KF222" s="168"/>
      <c r="KG222" s="168"/>
      <c r="KH222" s="168"/>
      <c r="KI222" s="168"/>
      <c r="KJ222" s="168"/>
      <c r="KK222" s="168"/>
      <c r="KL222" s="168"/>
      <c r="KM222" s="168"/>
      <c r="KN222" s="168"/>
      <c r="KO222" s="168"/>
      <c r="KP222" s="168"/>
      <c r="KQ222" s="168"/>
      <c r="KR222" s="168"/>
      <c r="KS222" s="168"/>
      <c r="KT222" s="168"/>
      <c r="KU222" s="168"/>
      <c r="KV222" s="168"/>
      <c r="KW222" s="168"/>
      <c r="KX222" s="168"/>
      <c r="KY222" s="168"/>
      <c r="KZ222" s="168"/>
      <c r="LA222" s="168"/>
      <c r="LB222" s="168"/>
      <c r="LC222" s="168"/>
      <c r="LD222" s="168"/>
      <c r="LE222" s="168"/>
      <c r="LF222" s="168"/>
      <c r="LG222" s="168"/>
      <c r="LH222" s="168"/>
      <c r="LI222" s="168"/>
      <c r="LJ222" s="168"/>
      <c r="LK222" s="168"/>
      <c r="LL222" s="168"/>
      <c r="LM222" s="168"/>
      <c r="LN222" s="168"/>
      <c r="LO222" s="168"/>
      <c r="LP222" s="606"/>
      <c r="LQ222" s="609"/>
      <c r="LR222" s="1319"/>
      <c r="LS222" s="1319"/>
    </row>
    <row r="223" spans="1:331" s="2" customFormat="1" ht="15" customHeight="1" x14ac:dyDescent="0.25">
      <c r="A223" s="283"/>
      <c r="B223" s="303"/>
      <c r="C223" s="301"/>
      <c r="D223" s="1287"/>
      <c r="E223" s="2298"/>
      <c r="F223" s="1812"/>
      <c r="G223" s="3342"/>
      <c r="H223" s="66"/>
      <c r="I223" s="1746"/>
      <c r="J223" s="1214"/>
      <c r="K223" s="105"/>
      <c r="L223" s="91"/>
      <c r="M223" s="92"/>
      <c r="N223" s="93"/>
      <c r="O223" s="94"/>
      <c r="P223" s="96"/>
      <c r="Q223" s="95"/>
      <c r="R223" s="993">
        <f t="shared" si="431"/>
        <v>0</v>
      </c>
      <c r="S223" s="23">
        <f t="shared" si="432"/>
        <v>0</v>
      </c>
      <c r="T223" s="24">
        <f t="shared" si="433"/>
        <v>0</v>
      </c>
      <c r="U223" s="24">
        <f t="shared" si="434"/>
        <v>0</v>
      </c>
      <c r="V223" s="24">
        <f t="shared" si="435"/>
        <v>0</v>
      </c>
      <c r="W223" s="24">
        <f t="shared" ca="1" si="436"/>
        <v>0</v>
      </c>
      <c r="X223" s="72">
        <f t="shared" ca="1" si="386"/>
        <v>0</v>
      </c>
      <c r="Y223" s="72">
        <f t="shared" si="437"/>
        <v>0</v>
      </c>
      <c r="Z223" s="24">
        <f t="shared" si="438"/>
        <v>0</v>
      </c>
      <c r="AA223" s="72">
        <f t="shared" si="387"/>
        <v>0</v>
      </c>
      <c r="AB223" s="24">
        <f t="shared" si="388"/>
        <v>0</v>
      </c>
      <c r="AC223" s="24">
        <f t="shared" ca="1" si="439"/>
        <v>0</v>
      </c>
      <c r="AD223" s="24">
        <f t="shared" si="389"/>
        <v>0</v>
      </c>
      <c r="AE223" s="2078">
        <f t="shared" si="870"/>
        <v>3</v>
      </c>
      <c r="AF223" s="2078">
        <f t="shared" si="871"/>
        <v>0</v>
      </c>
      <c r="AG223" s="2078">
        <f t="shared" si="872"/>
        <v>0</v>
      </c>
      <c r="AH223" s="2521">
        <f t="shared" si="390"/>
        <v>1</v>
      </c>
      <c r="AI223" s="25" t="str">
        <f t="shared" si="443"/>
        <v/>
      </c>
      <c r="AJ223" s="2521">
        <f t="shared" ca="1" si="391"/>
        <v>0</v>
      </c>
      <c r="AK223" s="2076">
        <f t="shared" ca="1" si="392"/>
        <v>0</v>
      </c>
      <c r="AL223" s="2078">
        <f>IF(ISBLANK(J223),0,ISERROR(MATCH(J223,'5  Control Accounts'!$FA$29:$FA$96,0))*1)</f>
        <v>0</v>
      </c>
      <c r="AM223" s="2076">
        <f t="shared" si="444"/>
        <v>0</v>
      </c>
      <c r="AN223" s="2078">
        <f t="shared" si="445"/>
        <v>1</v>
      </c>
      <c r="AO223" s="2079">
        <f t="shared" si="393"/>
        <v>1</v>
      </c>
      <c r="AP223" s="2079">
        <f t="shared" si="394"/>
        <v>0</v>
      </c>
      <c r="AQ223" s="2079">
        <f t="shared" si="395"/>
        <v>0</v>
      </c>
      <c r="AR223" s="2079">
        <f t="shared" si="396"/>
        <v>0</v>
      </c>
      <c r="AS223" s="2079">
        <f t="shared" si="397"/>
        <v>0</v>
      </c>
      <c r="AT223" s="2079">
        <f t="shared" si="398"/>
        <v>0</v>
      </c>
      <c r="AU223" s="2079">
        <f t="shared" si="399"/>
        <v>0</v>
      </c>
      <c r="AV223" s="2079">
        <f t="shared" si="400"/>
        <v>0</v>
      </c>
      <c r="AW223" s="2079">
        <f t="shared" si="401"/>
        <v>0</v>
      </c>
      <c r="AX223" s="2079">
        <f t="shared" si="402"/>
        <v>0</v>
      </c>
      <c r="AY223" s="2078">
        <f t="shared" si="446"/>
        <v>0</v>
      </c>
      <c r="AZ223" s="2078">
        <f t="shared" si="447"/>
        <v>0</v>
      </c>
      <c r="BA223" s="2078">
        <f t="shared" si="448"/>
        <v>0</v>
      </c>
      <c r="BB223" s="2078">
        <f t="shared" si="449"/>
        <v>0</v>
      </c>
      <c r="BC223" s="2078">
        <f t="shared" si="450"/>
        <v>0</v>
      </c>
      <c r="BD223" s="2078">
        <f t="shared" si="451"/>
        <v>0</v>
      </c>
      <c r="BE223" s="2078">
        <f t="shared" si="452"/>
        <v>0</v>
      </c>
      <c r="BF223" s="2078">
        <f t="shared" si="453"/>
        <v>0</v>
      </c>
      <c r="BG223" s="2078">
        <f t="shared" si="454"/>
        <v>0</v>
      </c>
      <c r="BH223" s="2078">
        <f t="shared" si="455"/>
        <v>0</v>
      </c>
      <c r="BI223" s="2078">
        <f t="shared" si="456"/>
        <v>0</v>
      </c>
      <c r="BJ223" s="2078">
        <f t="shared" si="457"/>
        <v>0</v>
      </c>
      <c r="BK223" s="2078">
        <f t="shared" si="458"/>
        <v>0</v>
      </c>
      <c r="BL223" s="2078">
        <f t="shared" si="459"/>
        <v>0</v>
      </c>
      <c r="BM223" s="2078">
        <f t="shared" si="460"/>
        <v>0</v>
      </c>
      <c r="BN223" s="2078">
        <f t="shared" si="461"/>
        <v>0</v>
      </c>
      <c r="BO223" s="2078">
        <f t="shared" si="462"/>
        <v>0</v>
      </c>
      <c r="BP223" s="2078">
        <f t="shared" si="463"/>
        <v>0</v>
      </c>
      <c r="BQ223" s="2078">
        <f t="shared" si="464"/>
        <v>0</v>
      </c>
      <c r="BR223" s="2078">
        <f t="shared" si="465"/>
        <v>0</v>
      </c>
      <c r="BS223" s="2079">
        <f t="shared" si="403"/>
        <v>1</v>
      </c>
      <c r="BT223" s="2079">
        <f t="shared" si="404"/>
        <v>0</v>
      </c>
      <c r="BU223" s="2079">
        <f t="shared" si="405"/>
        <v>0</v>
      </c>
      <c r="BV223" s="2079">
        <f t="shared" si="406"/>
        <v>0</v>
      </c>
      <c r="BW223" s="2079">
        <f t="shared" si="407"/>
        <v>0</v>
      </c>
      <c r="BX223" s="2079">
        <f t="shared" si="408"/>
        <v>0</v>
      </c>
      <c r="BY223" s="2079">
        <f t="shared" si="409"/>
        <v>0</v>
      </c>
      <c r="BZ223" s="2079">
        <f t="shared" si="410"/>
        <v>0</v>
      </c>
      <c r="CA223" s="2079">
        <f t="shared" si="411"/>
        <v>0</v>
      </c>
      <c r="CB223" s="2079">
        <f t="shared" si="412"/>
        <v>0</v>
      </c>
      <c r="CC223" s="2078">
        <f t="shared" ca="1" si="466"/>
        <v>0</v>
      </c>
      <c r="CD223" s="2078">
        <f t="shared" ca="1" si="467"/>
        <v>0</v>
      </c>
      <c r="CE223" s="2078">
        <f t="shared" ca="1" si="468"/>
        <v>0</v>
      </c>
      <c r="CF223" s="2078">
        <f t="shared" ca="1" si="469"/>
        <v>0</v>
      </c>
      <c r="CG223" s="2078">
        <f t="shared" ca="1" si="470"/>
        <v>0</v>
      </c>
      <c r="CH223" s="2078">
        <f t="shared" ca="1" si="471"/>
        <v>0</v>
      </c>
      <c r="CI223" s="2078">
        <f t="shared" ca="1" si="472"/>
        <v>0</v>
      </c>
      <c r="CJ223" s="2078">
        <f t="shared" ca="1" si="473"/>
        <v>0</v>
      </c>
      <c r="CK223" s="2078">
        <f t="shared" ca="1" si="474"/>
        <v>0</v>
      </c>
      <c r="CL223" s="2078">
        <f t="shared" ca="1" si="475"/>
        <v>0</v>
      </c>
      <c r="CM223" s="2078">
        <f t="shared" si="413"/>
        <v>1</v>
      </c>
      <c r="CN223" s="2078">
        <f t="shared" si="414"/>
        <v>1</v>
      </c>
      <c r="CO223" s="2078">
        <f t="shared" si="415"/>
        <v>1</v>
      </c>
      <c r="CP223" s="2078">
        <f t="shared" si="478"/>
        <v>1</v>
      </c>
      <c r="CQ223" s="2078">
        <f t="shared" si="416"/>
        <v>0</v>
      </c>
      <c r="CR223" s="2078">
        <f t="shared" si="417"/>
        <v>0</v>
      </c>
      <c r="CS223" s="2078">
        <f t="shared" si="479"/>
        <v>0</v>
      </c>
      <c r="CT223" s="2078">
        <f t="shared" si="418"/>
        <v>1</v>
      </c>
      <c r="CU223" s="2078">
        <f t="shared" si="480"/>
        <v>1</v>
      </c>
      <c r="CV223" s="2078">
        <f t="shared" si="419"/>
        <v>0</v>
      </c>
      <c r="CW223" s="2078">
        <f>IF(OR(AE223&lt;&gt;3,F223="Exclude"),0,IF(ISERROR(MATCH($E223,'4 Sign-off'!$S$123:$X$123,0)),0,1))</f>
        <v>0</v>
      </c>
      <c r="CX223" s="2078">
        <f t="shared" si="481"/>
        <v>0</v>
      </c>
      <c r="CY223" s="2078">
        <f t="shared" si="420"/>
        <v>0</v>
      </c>
      <c r="CZ223" s="2993">
        <f t="shared" ca="1" si="483"/>
        <v>0</v>
      </c>
      <c r="DA223" s="3037">
        <f t="shared" ca="1" si="484"/>
        <v>0</v>
      </c>
      <c r="DB223" s="1664"/>
      <c r="DC223" s="1320"/>
      <c r="DD223" s="589"/>
      <c r="DE223" s="1321"/>
      <c r="DF223" s="107"/>
      <c r="DG223" s="112"/>
      <c r="DH223" s="140"/>
      <c r="DI223" s="22"/>
      <c r="DJ223" s="145"/>
      <c r="DK223" s="137"/>
      <c r="DL223" s="137"/>
      <c r="DM223" s="137"/>
      <c r="DN223" s="137"/>
      <c r="DO223" s="137"/>
      <c r="DP223" s="137"/>
      <c r="DQ223" s="137"/>
      <c r="DR223" s="137"/>
      <c r="DS223" s="137"/>
      <c r="DT223" s="137"/>
      <c r="DU223" s="137"/>
      <c r="DV223" s="137"/>
      <c r="DW223" s="137"/>
      <c r="DX223" s="137"/>
      <c r="DY223" s="137"/>
      <c r="DZ223" s="137"/>
      <c r="EA223" s="137"/>
      <c r="EB223" s="137"/>
      <c r="EC223" s="137"/>
      <c r="ED223" s="137"/>
      <c r="EE223" s="137"/>
      <c r="EF223" s="137"/>
      <c r="EG223" s="137"/>
      <c r="EH223" s="137"/>
      <c r="EI223" s="137"/>
      <c r="EJ223" s="137"/>
      <c r="EK223" s="137"/>
      <c r="EL223" s="137"/>
      <c r="EM223" s="137"/>
      <c r="EN223" s="137"/>
      <c r="EO223" s="137"/>
      <c r="EP223" s="137"/>
      <c r="EQ223" s="137"/>
      <c r="ER223" s="137"/>
      <c r="ES223" s="137"/>
      <c r="ET223" s="137"/>
      <c r="EU223" s="137"/>
      <c r="EV223" s="137"/>
      <c r="EW223" s="137"/>
      <c r="EX223" s="137"/>
      <c r="EY223" s="137"/>
      <c r="EZ223" s="137"/>
      <c r="FA223" s="137"/>
      <c r="FB223" s="137"/>
      <c r="FC223" s="137"/>
      <c r="FD223" s="137"/>
      <c r="FE223" s="137"/>
      <c r="FF223" s="137"/>
      <c r="FG223" s="860"/>
      <c r="FH223" s="863"/>
      <c r="FI223" s="1318"/>
      <c r="FJ223" s="126"/>
      <c r="FK223" s="127"/>
      <c r="FL223" s="128" t="str">
        <f t="shared" si="485"/>
        <v xml:space="preserve">    </v>
      </c>
      <c r="FM223" s="128"/>
      <c r="FN223" s="1686">
        <f t="shared" si="486"/>
        <v>0</v>
      </c>
      <c r="FO223" s="46">
        <f t="shared" si="421"/>
        <v>0</v>
      </c>
      <c r="FP223" s="46">
        <f t="shared" si="422"/>
        <v>1</v>
      </c>
      <c r="FQ223" s="75">
        <f t="shared" si="489"/>
        <v>0</v>
      </c>
      <c r="FR223" s="46">
        <f t="shared" si="873"/>
        <v>0</v>
      </c>
      <c r="FS223" s="46">
        <f t="shared" si="874"/>
        <v>1</v>
      </c>
      <c r="FT223" s="75">
        <f t="shared" si="492"/>
        <v>0</v>
      </c>
      <c r="FU223" s="2603">
        <f t="shared" si="423"/>
        <v>0</v>
      </c>
      <c r="FV223" s="2607">
        <f t="shared" si="424"/>
        <v>0</v>
      </c>
      <c r="FW223" s="2603">
        <f t="shared" si="425"/>
        <v>0</v>
      </c>
      <c r="FX223" s="2631">
        <f t="shared" si="426"/>
        <v>0</v>
      </c>
      <c r="FY223" s="81" t="e">
        <f t="shared" si="875"/>
        <v>#N/A</v>
      </c>
      <c r="FZ223" s="64" t="e">
        <f t="array" ref="FZ223">MATCH(1,($GT223:$LQ223&gt;0)*$GT$25:$LQ$25,0)</f>
        <v>#N/A</v>
      </c>
      <c r="GA223" s="64" t="e">
        <f t="array" ref="GA223">MATCH(2,1/(GT223:LQ223&gt;0))</f>
        <v>#N/A</v>
      </c>
      <c r="GB223" s="64">
        <f t="shared" si="497"/>
        <v>-1</v>
      </c>
      <c r="GC223" s="46"/>
      <c r="GD223" s="613"/>
      <c r="GE223" s="613"/>
      <c r="GF223" s="613"/>
      <c r="GG223" s="613"/>
      <c r="GH223" s="613"/>
      <c r="GI223" s="613"/>
      <c r="GJ223" s="613"/>
      <c r="GK223" s="613"/>
      <c r="GL223" s="613"/>
      <c r="GM223" s="613"/>
      <c r="GN223" s="385">
        <f t="shared" si="498"/>
        <v>0</v>
      </c>
      <c r="GO223" s="386">
        <f t="shared" si="499"/>
        <v>0</v>
      </c>
      <c r="GP223" s="2635"/>
      <c r="GQ223" s="175"/>
      <c r="GR223" s="172"/>
      <c r="GS223" s="65"/>
      <c r="GT223" s="167"/>
      <c r="GU223" s="168"/>
      <c r="GV223" s="168"/>
      <c r="GW223" s="168"/>
      <c r="GX223" s="168"/>
      <c r="GY223" s="168"/>
      <c r="GZ223" s="168"/>
      <c r="HA223" s="168"/>
      <c r="HB223" s="168"/>
      <c r="HC223" s="168"/>
      <c r="HD223" s="168"/>
      <c r="HE223" s="168"/>
      <c r="HF223" s="168"/>
      <c r="HG223" s="168"/>
      <c r="HH223" s="168"/>
      <c r="HI223" s="168"/>
      <c r="HJ223" s="168"/>
      <c r="HK223" s="168"/>
      <c r="HL223" s="168"/>
      <c r="HM223" s="168"/>
      <c r="HN223" s="168"/>
      <c r="HO223" s="168"/>
      <c r="HP223" s="168"/>
      <c r="HQ223" s="168"/>
      <c r="HR223" s="168"/>
      <c r="HS223" s="168"/>
      <c r="HT223" s="168"/>
      <c r="HU223" s="168"/>
      <c r="HV223" s="168"/>
      <c r="HW223" s="168"/>
      <c r="HX223" s="168"/>
      <c r="HY223" s="168"/>
      <c r="HZ223" s="168"/>
      <c r="IA223" s="168"/>
      <c r="IB223" s="168"/>
      <c r="IC223" s="168"/>
      <c r="ID223" s="168"/>
      <c r="IE223" s="168"/>
      <c r="IF223" s="168"/>
      <c r="IG223" s="168"/>
      <c r="IH223" s="168"/>
      <c r="II223" s="168"/>
      <c r="IJ223" s="168"/>
      <c r="IK223" s="168"/>
      <c r="IL223" s="168"/>
      <c r="IM223" s="168"/>
      <c r="IN223" s="168"/>
      <c r="IO223" s="168"/>
      <c r="IP223" s="168"/>
      <c r="IQ223" s="168"/>
      <c r="IR223" s="168"/>
      <c r="IS223" s="168"/>
      <c r="IT223" s="168"/>
      <c r="IU223" s="168"/>
      <c r="IV223" s="168"/>
      <c r="IW223" s="168"/>
      <c r="IX223" s="168"/>
      <c r="IY223" s="168"/>
      <c r="IZ223" s="168"/>
      <c r="JA223" s="168"/>
      <c r="JB223" s="168"/>
      <c r="JC223" s="168"/>
      <c r="JD223" s="168"/>
      <c r="JE223" s="168"/>
      <c r="JF223" s="168"/>
      <c r="JG223" s="168"/>
      <c r="JH223" s="168"/>
      <c r="JI223" s="168"/>
      <c r="JJ223" s="168"/>
      <c r="JK223" s="168"/>
      <c r="JL223" s="168"/>
      <c r="JM223" s="168"/>
      <c r="JN223" s="168"/>
      <c r="JO223" s="168"/>
      <c r="JP223" s="168"/>
      <c r="JQ223" s="168"/>
      <c r="JR223" s="168"/>
      <c r="JS223" s="168"/>
      <c r="JT223" s="168"/>
      <c r="JU223" s="168"/>
      <c r="JV223" s="168"/>
      <c r="JW223" s="168"/>
      <c r="JX223" s="168"/>
      <c r="JY223" s="168"/>
      <c r="JZ223" s="168"/>
      <c r="KA223" s="168"/>
      <c r="KB223" s="168"/>
      <c r="KC223" s="168"/>
      <c r="KD223" s="168"/>
      <c r="KE223" s="168"/>
      <c r="KF223" s="168"/>
      <c r="KG223" s="168"/>
      <c r="KH223" s="168"/>
      <c r="KI223" s="168"/>
      <c r="KJ223" s="168"/>
      <c r="KK223" s="168"/>
      <c r="KL223" s="168"/>
      <c r="KM223" s="168"/>
      <c r="KN223" s="168"/>
      <c r="KO223" s="168"/>
      <c r="KP223" s="168"/>
      <c r="KQ223" s="168"/>
      <c r="KR223" s="168"/>
      <c r="KS223" s="168"/>
      <c r="KT223" s="168"/>
      <c r="KU223" s="168"/>
      <c r="KV223" s="168"/>
      <c r="KW223" s="168"/>
      <c r="KX223" s="168"/>
      <c r="KY223" s="168"/>
      <c r="KZ223" s="168"/>
      <c r="LA223" s="168"/>
      <c r="LB223" s="168"/>
      <c r="LC223" s="168"/>
      <c r="LD223" s="168"/>
      <c r="LE223" s="168"/>
      <c r="LF223" s="168"/>
      <c r="LG223" s="168"/>
      <c r="LH223" s="168"/>
      <c r="LI223" s="168"/>
      <c r="LJ223" s="168"/>
      <c r="LK223" s="168"/>
      <c r="LL223" s="168"/>
      <c r="LM223" s="168"/>
      <c r="LN223" s="168"/>
      <c r="LO223" s="168"/>
      <c r="LP223" s="606"/>
      <c r="LQ223" s="609"/>
      <c r="LR223" s="1319"/>
      <c r="LS223" s="1319"/>
    </row>
    <row r="224" spans="1:331" s="2" customFormat="1" ht="15" customHeight="1" x14ac:dyDescent="0.25">
      <c r="A224" s="283"/>
      <c r="B224" s="303"/>
      <c r="C224" s="301"/>
      <c r="D224" s="1287"/>
      <c r="E224" s="2298"/>
      <c r="F224" s="1812"/>
      <c r="G224" s="3342"/>
      <c r="H224" s="66"/>
      <c r="I224" s="1746"/>
      <c r="J224" s="1214"/>
      <c r="K224" s="105"/>
      <c r="L224" s="91"/>
      <c r="M224" s="92"/>
      <c r="N224" s="93"/>
      <c r="O224" s="94"/>
      <c r="P224" s="96"/>
      <c r="Q224" s="95"/>
      <c r="R224" s="993">
        <f t="shared" si="431"/>
        <v>0</v>
      </c>
      <c r="S224" s="23">
        <f t="shared" si="432"/>
        <v>0</v>
      </c>
      <c r="T224" s="24">
        <f t="shared" si="433"/>
        <v>0</v>
      </c>
      <c r="U224" s="24">
        <f t="shared" si="434"/>
        <v>0</v>
      </c>
      <c r="V224" s="24">
        <f t="shared" si="435"/>
        <v>0</v>
      </c>
      <c r="W224" s="24">
        <f t="shared" ca="1" si="436"/>
        <v>0</v>
      </c>
      <c r="X224" s="72">
        <f t="shared" ca="1" si="386"/>
        <v>0</v>
      </c>
      <c r="Y224" s="72">
        <f t="shared" si="437"/>
        <v>0</v>
      </c>
      <c r="Z224" s="24">
        <f t="shared" si="438"/>
        <v>0</v>
      </c>
      <c r="AA224" s="72">
        <f t="shared" si="387"/>
        <v>0</v>
      </c>
      <c r="AB224" s="24">
        <f t="shared" si="388"/>
        <v>0</v>
      </c>
      <c r="AC224" s="24">
        <f t="shared" ca="1" si="439"/>
        <v>0</v>
      </c>
      <c r="AD224" s="24">
        <f t="shared" si="389"/>
        <v>0</v>
      </c>
      <c r="AE224" s="2078">
        <f t="shared" si="870"/>
        <v>3</v>
      </c>
      <c r="AF224" s="2078">
        <f t="shared" si="871"/>
        <v>0</v>
      </c>
      <c r="AG224" s="2078">
        <f t="shared" si="872"/>
        <v>0</v>
      </c>
      <c r="AH224" s="2521">
        <f t="shared" si="390"/>
        <v>1</v>
      </c>
      <c r="AI224" s="25" t="str">
        <f t="shared" si="443"/>
        <v/>
      </c>
      <c r="AJ224" s="2521">
        <f t="shared" ca="1" si="391"/>
        <v>0</v>
      </c>
      <c r="AK224" s="2076">
        <f t="shared" ca="1" si="392"/>
        <v>0</v>
      </c>
      <c r="AL224" s="2078">
        <f>IF(ISBLANK(J224),0,ISERROR(MATCH(J224,'5  Control Accounts'!$FA$29:$FA$96,0))*1)</f>
        <v>0</v>
      </c>
      <c r="AM224" s="2076">
        <f t="shared" si="444"/>
        <v>0</v>
      </c>
      <c r="AN224" s="2078">
        <f t="shared" si="445"/>
        <v>1</v>
      </c>
      <c r="AO224" s="2079">
        <f t="shared" si="393"/>
        <v>1</v>
      </c>
      <c r="AP224" s="2079">
        <f t="shared" si="394"/>
        <v>0</v>
      </c>
      <c r="AQ224" s="2079">
        <f t="shared" si="395"/>
        <v>0</v>
      </c>
      <c r="AR224" s="2079">
        <f t="shared" si="396"/>
        <v>0</v>
      </c>
      <c r="AS224" s="2079">
        <f t="shared" si="397"/>
        <v>0</v>
      </c>
      <c r="AT224" s="2079">
        <f t="shared" si="398"/>
        <v>0</v>
      </c>
      <c r="AU224" s="2079">
        <f t="shared" si="399"/>
        <v>0</v>
      </c>
      <c r="AV224" s="2079">
        <f t="shared" si="400"/>
        <v>0</v>
      </c>
      <c r="AW224" s="2079">
        <f t="shared" si="401"/>
        <v>0</v>
      </c>
      <c r="AX224" s="2079">
        <f t="shared" si="402"/>
        <v>0</v>
      </c>
      <c r="AY224" s="2078">
        <f t="shared" si="446"/>
        <v>0</v>
      </c>
      <c r="AZ224" s="2078">
        <f t="shared" si="447"/>
        <v>0</v>
      </c>
      <c r="BA224" s="2078">
        <f t="shared" si="448"/>
        <v>0</v>
      </c>
      <c r="BB224" s="2078">
        <f t="shared" si="449"/>
        <v>0</v>
      </c>
      <c r="BC224" s="2078">
        <f t="shared" si="450"/>
        <v>0</v>
      </c>
      <c r="BD224" s="2078">
        <f t="shared" si="451"/>
        <v>0</v>
      </c>
      <c r="BE224" s="2078">
        <f t="shared" si="452"/>
        <v>0</v>
      </c>
      <c r="BF224" s="2078">
        <f t="shared" si="453"/>
        <v>0</v>
      </c>
      <c r="BG224" s="2078">
        <f t="shared" si="454"/>
        <v>0</v>
      </c>
      <c r="BH224" s="2078">
        <f t="shared" si="455"/>
        <v>0</v>
      </c>
      <c r="BI224" s="2078">
        <f t="shared" si="456"/>
        <v>0</v>
      </c>
      <c r="BJ224" s="2078">
        <f t="shared" si="457"/>
        <v>0</v>
      </c>
      <c r="BK224" s="2078">
        <f t="shared" si="458"/>
        <v>0</v>
      </c>
      <c r="BL224" s="2078">
        <f t="shared" si="459"/>
        <v>0</v>
      </c>
      <c r="BM224" s="2078">
        <f t="shared" si="460"/>
        <v>0</v>
      </c>
      <c r="BN224" s="2078">
        <f t="shared" si="461"/>
        <v>0</v>
      </c>
      <c r="BO224" s="2078">
        <f t="shared" si="462"/>
        <v>0</v>
      </c>
      <c r="BP224" s="2078">
        <f t="shared" si="463"/>
        <v>0</v>
      </c>
      <c r="BQ224" s="2078">
        <f t="shared" si="464"/>
        <v>0</v>
      </c>
      <c r="BR224" s="2078">
        <f t="shared" si="465"/>
        <v>0</v>
      </c>
      <c r="BS224" s="2079">
        <f t="shared" si="403"/>
        <v>1</v>
      </c>
      <c r="BT224" s="2079">
        <f t="shared" si="404"/>
        <v>0</v>
      </c>
      <c r="BU224" s="2079">
        <f t="shared" si="405"/>
        <v>0</v>
      </c>
      <c r="BV224" s="2079">
        <f t="shared" si="406"/>
        <v>0</v>
      </c>
      <c r="BW224" s="2079">
        <f t="shared" si="407"/>
        <v>0</v>
      </c>
      <c r="BX224" s="2079">
        <f t="shared" si="408"/>
        <v>0</v>
      </c>
      <c r="BY224" s="2079">
        <f t="shared" si="409"/>
        <v>0</v>
      </c>
      <c r="BZ224" s="2079">
        <f t="shared" si="410"/>
        <v>0</v>
      </c>
      <c r="CA224" s="2079">
        <f t="shared" si="411"/>
        <v>0</v>
      </c>
      <c r="CB224" s="2079">
        <f t="shared" si="412"/>
        <v>0</v>
      </c>
      <c r="CC224" s="2078">
        <f t="shared" ca="1" si="466"/>
        <v>0</v>
      </c>
      <c r="CD224" s="2078">
        <f t="shared" ca="1" si="467"/>
        <v>0</v>
      </c>
      <c r="CE224" s="2078">
        <f t="shared" ca="1" si="468"/>
        <v>0</v>
      </c>
      <c r="CF224" s="2078">
        <f t="shared" ca="1" si="469"/>
        <v>0</v>
      </c>
      <c r="CG224" s="2078">
        <f t="shared" ca="1" si="470"/>
        <v>0</v>
      </c>
      <c r="CH224" s="2078">
        <f t="shared" ca="1" si="471"/>
        <v>0</v>
      </c>
      <c r="CI224" s="2078">
        <f t="shared" ca="1" si="472"/>
        <v>0</v>
      </c>
      <c r="CJ224" s="2078">
        <f t="shared" ca="1" si="473"/>
        <v>0</v>
      </c>
      <c r="CK224" s="2078">
        <f t="shared" ca="1" si="474"/>
        <v>0</v>
      </c>
      <c r="CL224" s="2078">
        <f t="shared" ca="1" si="475"/>
        <v>0</v>
      </c>
      <c r="CM224" s="2078">
        <f t="shared" si="413"/>
        <v>1</v>
      </c>
      <c r="CN224" s="2078">
        <f t="shared" si="414"/>
        <v>1</v>
      </c>
      <c r="CO224" s="2078">
        <f t="shared" si="415"/>
        <v>1</v>
      </c>
      <c r="CP224" s="2078">
        <f t="shared" si="478"/>
        <v>1</v>
      </c>
      <c r="CQ224" s="2078">
        <f t="shared" si="416"/>
        <v>0</v>
      </c>
      <c r="CR224" s="2078">
        <f t="shared" si="417"/>
        <v>0</v>
      </c>
      <c r="CS224" s="2078">
        <f t="shared" si="479"/>
        <v>0</v>
      </c>
      <c r="CT224" s="2078">
        <f t="shared" si="418"/>
        <v>1</v>
      </c>
      <c r="CU224" s="2078">
        <f t="shared" si="480"/>
        <v>1</v>
      </c>
      <c r="CV224" s="2078">
        <f t="shared" si="419"/>
        <v>0</v>
      </c>
      <c r="CW224" s="2078">
        <f>IF(OR(AE224&lt;&gt;3,F224="Exclude"),0,IF(ISERROR(MATCH($E224,'4 Sign-off'!$S$123:$X$123,0)),0,1))</f>
        <v>0</v>
      </c>
      <c r="CX224" s="2078">
        <f t="shared" si="481"/>
        <v>0</v>
      </c>
      <c r="CY224" s="2078">
        <f t="shared" si="420"/>
        <v>0</v>
      </c>
      <c r="CZ224" s="2993">
        <f t="shared" ca="1" si="483"/>
        <v>0</v>
      </c>
      <c r="DA224" s="3037">
        <f t="shared" ca="1" si="484"/>
        <v>0</v>
      </c>
      <c r="DB224" s="1664"/>
      <c r="DC224" s="1320"/>
      <c r="DD224" s="589"/>
      <c r="DE224" s="1321"/>
      <c r="DF224" s="107"/>
      <c r="DG224" s="112"/>
      <c r="DH224" s="140"/>
      <c r="DI224" s="22"/>
      <c r="DJ224" s="145"/>
      <c r="DK224" s="137"/>
      <c r="DL224" s="137"/>
      <c r="DM224" s="137"/>
      <c r="DN224" s="137"/>
      <c r="DO224" s="137"/>
      <c r="DP224" s="137"/>
      <c r="DQ224" s="137"/>
      <c r="DR224" s="137"/>
      <c r="DS224" s="137"/>
      <c r="DT224" s="137"/>
      <c r="DU224" s="137"/>
      <c r="DV224" s="137"/>
      <c r="DW224" s="137"/>
      <c r="DX224" s="137"/>
      <c r="DY224" s="137"/>
      <c r="DZ224" s="137"/>
      <c r="EA224" s="137"/>
      <c r="EB224" s="137"/>
      <c r="EC224" s="137"/>
      <c r="ED224" s="137"/>
      <c r="EE224" s="137"/>
      <c r="EF224" s="137"/>
      <c r="EG224" s="137"/>
      <c r="EH224" s="137"/>
      <c r="EI224" s="137"/>
      <c r="EJ224" s="137"/>
      <c r="EK224" s="137"/>
      <c r="EL224" s="137"/>
      <c r="EM224" s="137"/>
      <c r="EN224" s="137"/>
      <c r="EO224" s="137"/>
      <c r="EP224" s="137"/>
      <c r="EQ224" s="137"/>
      <c r="ER224" s="137"/>
      <c r="ES224" s="137"/>
      <c r="ET224" s="137"/>
      <c r="EU224" s="137"/>
      <c r="EV224" s="137"/>
      <c r="EW224" s="137"/>
      <c r="EX224" s="137"/>
      <c r="EY224" s="137"/>
      <c r="EZ224" s="137"/>
      <c r="FA224" s="137"/>
      <c r="FB224" s="137"/>
      <c r="FC224" s="137"/>
      <c r="FD224" s="137"/>
      <c r="FE224" s="137"/>
      <c r="FF224" s="137"/>
      <c r="FG224" s="860"/>
      <c r="FH224" s="863"/>
      <c r="FI224" s="1318"/>
      <c r="FJ224" s="126"/>
      <c r="FK224" s="127"/>
      <c r="FL224" s="128" t="str">
        <f t="shared" si="485"/>
        <v xml:space="preserve">    </v>
      </c>
      <c r="FM224" s="128"/>
      <c r="FN224" s="1686">
        <f t="shared" si="486"/>
        <v>0</v>
      </c>
      <c r="FO224" s="46">
        <f t="shared" si="421"/>
        <v>0</v>
      </c>
      <c r="FP224" s="46">
        <f t="shared" si="422"/>
        <v>1</v>
      </c>
      <c r="FQ224" s="75">
        <f t="shared" si="489"/>
        <v>0</v>
      </c>
      <c r="FR224" s="46">
        <f t="shared" si="873"/>
        <v>0</v>
      </c>
      <c r="FS224" s="46">
        <f t="shared" si="874"/>
        <v>1</v>
      </c>
      <c r="FT224" s="75">
        <f t="shared" si="492"/>
        <v>0</v>
      </c>
      <c r="FU224" s="2603">
        <f t="shared" si="423"/>
        <v>0</v>
      </c>
      <c r="FV224" s="2607">
        <f t="shared" si="424"/>
        <v>0</v>
      </c>
      <c r="FW224" s="2603">
        <f t="shared" si="425"/>
        <v>0</v>
      </c>
      <c r="FX224" s="2631">
        <f t="shared" si="426"/>
        <v>0</v>
      </c>
      <c r="FY224" s="81" t="e">
        <f t="shared" si="875"/>
        <v>#N/A</v>
      </c>
      <c r="FZ224" s="64" t="e">
        <f t="array" ref="FZ224">MATCH(1,($GT224:$LQ224&gt;0)*$GT$25:$LQ$25,0)</f>
        <v>#N/A</v>
      </c>
      <c r="GA224" s="64" t="e">
        <f t="array" ref="GA224">MATCH(2,1/(GT224:LQ224&gt;0))</f>
        <v>#N/A</v>
      </c>
      <c r="GB224" s="64">
        <f t="shared" si="497"/>
        <v>-1</v>
      </c>
      <c r="GC224" s="46"/>
      <c r="GD224" s="613"/>
      <c r="GE224" s="613"/>
      <c r="GF224" s="613"/>
      <c r="GG224" s="613"/>
      <c r="GH224" s="613"/>
      <c r="GI224" s="613"/>
      <c r="GJ224" s="613"/>
      <c r="GK224" s="613"/>
      <c r="GL224" s="613"/>
      <c r="GM224" s="613"/>
      <c r="GN224" s="385">
        <f t="shared" si="498"/>
        <v>0</v>
      </c>
      <c r="GO224" s="386">
        <f t="shared" si="499"/>
        <v>0</v>
      </c>
      <c r="GP224" s="2635"/>
      <c r="GQ224" s="175"/>
      <c r="GR224" s="172"/>
      <c r="GS224" s="65"/>
      <c r="GT224" s="167"/>
      <c r="GU224" s="168"/>
      <c r="GV224" s="168"/>
      <c r="GW224" s="168"/>
      <c r="GX224" s="168"/>
      <c r="GY224" s="168"/>
      <c r="GZ224" s="168"/>
      <c r="HA224" s="168"/>
      <c r="HB224" s="168"/>
      <c r="HC224" s="168"/>
      <c r="HD224" s="168"/>
      <c r="HE224" s="168"/>
      <c r="HF224" s="168"/>
      <c r="HG224" s="168"/>
      <c r="HH224" s="168"/>
      <c r="HI224" s="168"/>
      <c r="HJ224" s="168"/>
      <c r="HK224" s="168"/>
      <c r="HL224" s="168"/>
      <c r="HM224" s="168"/>
      <c r="HN224" s="168"/>
      <c r="HO224" s="168"/>
      <c r="HP224" s="168"/>
      <c r="HQ224" s="168"/>
      <c r="HR224" s="168"/>
      <c r="HS224" s="168"/>
      <c r="HT224" s="168"/>
      <c r="HU224" s="168"/>
      <c r="HV224" s="168"/>
      <c r="HW224" s="168"/>
      <c r="HX224" s="168"/>
      <c r="HY224" s="168"/>
      <c r="HZ224" s="168"/>
      <c r="IA224" s="168"/>
      <c r="IB224" s="168"/>
      <c r="IC224" s="168"/>
      <c r="ID224" s="168"/>
      <c r="IE224" s="168"/>
      <c r="IF224" s="168"/>
      <c r="IG224" s="168"/>
      <c r="IH224" s="168"/>
      <c r="II224" s="168"/>
      <c r="IJ224" s="168"/>
      <c r="IK224" s="168"/>
      <c r="IL224" s="168"/>
      <c r="IM224" s="168"/>
      <c r="IN224" s="168"/>
      <c r="IO224" s="168"/>
      <c r="IP224" s="168"/>
      <c r="IQ224" s="168"/>
      <c r="IR224" s="168"/>
      <c r="IS224" s="168"/>
      <c r="IT224" s="168"/>
      <c r="IU224" s="168"/>
      <c r="IV224" s="168"/>
      <c r="IW224" s="168"/>
      <c r="IX224" s="168"/>
      <c r="IY224" s="168"/>
      <c r="IZ224" s="168"/>
      <c r="JA224" s="168"/>
      <c r="JB224" s="168"/>
      <c r="JC224" s="168"/>
      <c r="JD224" s="168"/>
      <c r="JE224" s="168"/>
      <c r="JF224" s="168"/>
      <c r="JG224" s="168"/>
      <c r="JH224" s="168"/>
      <c r="JI224" s="168"/>
      <c r="JJ224" s="168"/>
      <c r="JK224" s="168"/>
      <c r="JL224" s="168"/>
      <c r="JM224" s="168"/>
      <c r="JN224" s="168"/>
      <c r="JO224" s="168"/>
      <c r="JP224" s="168"/>
      <c r="JQ224" s="168"/>
      <c r="JR224" s="168"/>
      <c r="JS224" s="168"/>
      <c r="JT224" s="168"/>
      <c r="JU224" s="168"/>
      <c r="JV224" s="168"/>
      <c r="JW224" s="168"/>
      <c r="JX224" s="168"/>
      <c r="JY224" s="168"/>
      <c r="JZ224" s="168"/>
      <c r="KA224" s="168"/>
      <c r="KB224" s="168"/>
      <c r="KC224" s="168"/>
      <c r="KD224" s="168"/>
      <c r="KE224" s="168"/>
      <c r="KF224" s="168"/>
      <c r="KG224" s="168"/>
      <c r="KH224" s="168"/>
      <c r="KI224" s="168"/>
      <c r="KJ224" s="168"/>
      <c r="KK224" s="168"/>
      <c r="KL224" s="168"/>
      <c r="KM224" s="168"/>
      <c r="KN224" s="168"/>
      <c r="KO224" s="168"/>
      <c r="KP224" s="168"/>
      <c r="KQ224" s="168"/>
      <c r="KR224" s="168"/>
      <c r="KS224" s="168"/>
      <c r="KT224" s="168"/>
      <c r="KU224" s="168"/>
      <c r="KV224" s="168"/>
      <c r="KW224" s="168"/>
      <c r="KX224" s="168"/>
      <c r="KY224" s="168"/>
      <c r="KZ224" s="168"/>
      <c r="LA224" s="168"/>
      <c r="LB224" s="168"/>
      <c r="LC224" s="168"/>
      <c r="LD224" s="168"/>
      <c r="LE224" s="168"/>
      <c r="LF224" s="168"/>
      <c r="LG224" s="168"/>
      <c r="LH224" s="168"/>
      <c r="LI224" s="168"/>
      <c r="LJ224" s="168"/>
      <c r="LK224" s="168"/>
      <c r="LL224" s="168"/>
      <c r="LM224" s="168"/>
      <c r="LN224" s="168"/>
      <c r="LO224" s="168"/>
      <c r="LP224" s="606"/>
      <c r="LQ224" s="609"/>
      <c r="LR224" s="1319"/>
      <c r="LS224" s="1319"/>
    </row>
    <row r="225" spans="1:331" s="2" customFormat="1" ht="15" customHeight="1" x14ac:dyDescent="0.25">
      <c r="A225" s="283"/>
      <c r="B225" s="303"/>
      <c r="C225" s="301"/>
      <c r="D225" s="1287"/>
      <c r="E225" s="2298"/>
      <c r="F225" s="1812"/>
      <c r="G225" s="3342"/>
      <c r="H225" s="66"/>
      <c r="I225" s="1746"/>
      <c r="J225" s="1214"/>
      <c r="K225" s="105"/>
      <c r="L225" s="91"/>
      <c r="M225" s="92"/>
      <c r="N225" s="93"/>
      <c r="O225" s="94"/>
      <c r="P225" s="96"/>
      <c r="Q225" s="95"/>
      <c r="R225" s="993">
        <f t="shared" si="431"/>
        <v>0</v>
      </c>
      <c r="S225" s="23">
        <f t="shared" si="432"/>
        <v>0</v>
      </c>
      <c r="T225" s="24">
        <f t="shared" si="433"/>
        <v>0</v>
      </c>
      <c r="U225" s="24">
        <f t="shared" si="434"/>
        <v>0</v>
      </c>
      <c r="V225" s="24">
        <f t="shared" si="435"/>
        <v>0</v>
      </c>
      <c r="W225" s="24">
        <f t="shared" ca="1" si="436"/>
        <v>0</v>
      </c>
      <c r="X225" s="72">
        <f t="shared" ca="1" si="386"/>
        <v>0</v>
      </c>
      <c r="Y225" s="72">
        <f t="shared" si="437"/>
        <v>0</v>
      </c>
      <c r="Z225" s="24">
        <f t="shared" si="438"/>
        <v>0</v>
      </c>
      <c r="AA225" s="72">
        <f t="shared" si="387"/>
        <v>0</v>
      </c>
      <c r="AB225" s="24">
        <f t="shared" si="388"/>
        <v>0</v>
      </c>
      <c r="AC225" s="24">
        <f t="shared" ca="1" si="439"/>
        <v>0</v>
      </c>
      <c r="AD225" s="24">
        <f t="shared" si="389"/>
        <v>0</v>
      </c>
      <c r="AE225" s="2078">
        <f t="shared" si="870"/>
        <v>3</v>
      </c>
      <c r="AF225" s="2078">
        <f t="shared" si="871"/>
        <v>0</v>
      </c>
      <c r="AG225" s="2078">
        <f t="shared" si="872"/>
        <v>0</v>
      </c>
      <c r="AH225" s="2521">
        <f t="shared" si="390"/>
        <v>1</v>
      </c>
      <c r="AI225" s="25" t="str">
        <f t="shared" si="443"/>
        <v/>
      </c>
      <c r="AJ225" s="2521">
        <f t="shared" ca="1" si="391"/>
        <v>0</v>
      </c>
      <c r="AK225" s="2076">
        <f t="shared" ca="1" si="392"/>
        <v>0</v>
      </c>
      <c r="AL225" s="2078">
        <f>IF(ISBLANK(J225),0,ISERROR(MATCH(J225,'5  Control Accounts'!$FA$29:$FA$96,0))*1)</f>
        <v>0</v>
      </c>
      <c r="AM225" s="2076">
        <f t="shared" si="444"/>
        <v>0</v>
      </c>
      <c r="AN225" s="2078">
        <f t="shared" si="445"/>
        <v>1</v>
      </c>
      <c r="AO225" s="2079">
        <f t="shared" si="393"/>
        <v>1</v>
      </c>
      <c r="AP225" s="2079">
        <f t="shared" si="394"/>
        <v>0</v>
      </c>
      <c r="AQ225" s="2079">
        <f t="shared" si="395"/>
        <v>0</v>
      </c>
      <c r="AR225" s="2079">
        <f t="shared" si="396"/>
        <v>0</v>
      </c>
      <c r="AS225" s="2079">
        <f t="shared" si="397"/>
        <v>0</v>
      </c>
      <c r="AT225" s="2079">
        <f t="shared" si="398"/>
        <v>0</v>
      </c>
      <c r="AU225" s="2079">
        <f t="shared" si="399"/>
        <v>0</v>
      </c>
      <c r="AV225" s="2079">
        <f t="shared" si="400"/>
        <v>0</v>
      </c>
      <c r="AW225" s="2079">
        <f t="shared" si="401"/>
        <v>0</v>
      </c>
      <c r="AX225" s="2079">
        <f t="shared" si="402"/>
        <v>0</v>
      </c>
      <c r="AY225" s="2078">
        <f t="shared" si="446"/>
        <v>0</v>
      </c>
      <c r="AZ225" s="2078">
        <f t="shared" si="447"/>
        <v>0</v>
      </c>
      <c r="BA225" s="2078">
        <f t="shared" si="448"/>
        <v>0</v>
      </c>
      <c r="BB225" s="2078">
        <f t="shared" si="449"/>
        <v>0</v>
      </c>
      <c r="BC225" s="2078">
        <f t="shared" si="450"/>
        <v>0</v>
      </c>
      <c r="BD225" s="2078">
        <f t="shared" si="451"/>
        <v>0</v>
      </c>
      <c r="BE225" s="2078">
        <f t="shared" si="452"/>
        <v>0</v>
      </c>
      <c r="BF225" s="2078">
        <f t="shared" si="453"/>
        <v>0</v>
      </c>
      <c r="BG225" s="2078">
        <f t="shared" si="454"/>
        <v>0</v>
      </c>
      <c r="BH225" s="2078">
        <f t="shared" si="455"/>
        <v>0</v>
      </c>
      <c r="BI225" s="2078">
        <f t="shared" si="456"/>
        <v>0</v>
      </c>
      <c r="BJ225" s="2078">
        <f t="shared" si="457"/>
        <v>0</v>
      </c>
      <c r="BK225" s="2078">
        <f t="shared" si="458"/>
        <v>0</v>
      </c>
      <c r="BL225" s="2078">
        <f t="shared" si="459"/>
        <v>0</v>
      </c>
      <c r="BM225" s="2078">
        <f t="shared" si="460"/>
        <v>0</v>
      </c>
      <c r="BN225" s="2078">
        <f t="shared" si="461"/>
        <v>0</v>
      </c>
      <c r="BO225" s="2078">
        <f t="shared" si="462"/>
        <v>0</v>
      </c>
      <c r="BP225" s="2078">
        <f t="shared" si="463"/>
        <v>0</v>
      </c>
      <c r="BQ225" s="2078">
        <f t="shared" si="464"/>
        <v>0</v>
      </c>
      <c r="BR225" s="2078">
        <f t="shared" si="465"/>
        <v>0</v>
      </c>
      <c r="BS225" s="2079">
        <f t="shared" si="403"/>
        <v>1</v>
      </c>
      <c r="BT225" s="2079">
        <f t="shared" si="404"/>
        <v>0</v>
      </c>
      <c r="BU225" s="2079">
        <f t="shared" si="405"/>
        <v>0</v>
      </c>
      <c r="BV225" s="2079">
        <f t="shared" si="406"/>
        <v>0</v>
      </c>
      <c r="BW225" s="2079">
        <f t="shared" si="407"/>
        <v>0</v>
      </c>
      <c r="BX225" s="2079">
        <f t="shared" si="408"/>
        <v>0</v>
      </c>
      <c r="BY225" s="2079">
        <f t="shared" si="409"/>
        <v>0</v>
      </c>
      <c r="BZ225" s="2079">
        <f t="shared" si="410"/>
        <v>0</v>
      </c>
      <c r="CA225" s="2079">
        <f t="shared" si="411"/>
        <v>0</v>
      </c>
      <c r="CB225" s="2079">
        <f t="shared" si="412"/>
        <v>0</v>
      </c>
      <c r="CC225" s="2078">
        <f t="shared" ca="1" si="466"/>
        <v>0</v>
      </c>
      <c r="CD225" s="2078">
        <f t="shared" ca="1" si="467"/>
        <v>0</v>
      </c>
      <c r="CE225" s="2078">
        <f t="shared" ca="1" si="468"/>
        <v>0</v>
      </c>
      <c r="CF225" s="2078">
        <f t="shared" ca="1" si="469"/>
        <v>0</v>
      </c>
      <c r="CG225" s="2078">
        <f t="shared" ca="1" si="470"/>
        <v>0</v>
      </c>
      <c r="CH225" s="2078">
        <f t="shared" ca="1" si="471"/>
        <v>0</v>
      </c>
      <c r="CI225" s="2078">
        <f t="shared" ca="1" si="472"/>
        <v>0</v>
      </c>
      <c r="CJ225" s="2078">
        <f t="shared" ca="1" si="473"/>
        <v>0</v>
      </c>
      <c r="CK225" s="2078">
        <f t="shared" ca="1" si="474"/>
        <v>0</v>
      </c>
      <c r="CL225" s="2078">
        <f t="shared" ca="1" si="475"/>
        <v>0</v>
      </c>
      <c r="CM225" s="2078">
        <f t="shared" si="413"/>
        <v>1</v>
      </c>
      <c r="CN225" s="2078">
        <f t="shared" si="414"/>
        <v>1</v>
      </c>
      <c r="CO225" s="2078">
        <f t="shared" si="415"/>
        <v>1</v>
      </c>
      <c r="CP225" s="2078">
        <f t="shared" si="478"/>
        <v>1</v>
      </c>
      <c r="CQ225" s="2078">
        <f t="shared" si="416"/>
        <v>0</v>
      </c>
      <c r="CR225" s="2078">
        <f t="shared" si="417"/>
        <v>0</v>
      </c>
      <c r="CS225" s="2078">
        <f t="shared" si="479"/>
        <v>0</v>
      </c>
      <c r="CT225" s="2078">
        <f t="shared" si="418"/>
        <v>1</v>
      </c>
      <c r="CU225" s="2078">
        <f t="shared" si="480"/>
        <v>1</v>
      </c>
      <c r="CV225" s="2078">
        <f t="shared" si="419"/>
        <v>0</v>
      </c>
      <c r="CW225" s="2078">
        <f>IF(OR(AE225&lt;&gt;3,F225="Exclude"),0,IF(ISERROR(MATCH($E225,'4 Sign-off'!$S$123:$X$123,0)),0,1))</f>
        <v>0</v>
      </c>
      <c r="CX225" s="2078">
        <f t="shared" si="481"/>
        <v>0</v>
      </c>
      <c r="CY225" s="2078">
        <f t="shared" si="420"/>
        <v>0</v>
      </c>
      <c r="CZ225" s="2993">
        <f t="shared" ca="1" si="483"/>
        <v>0</v>
      </c>
      <c r="DA225" s="3037">
        <f t="shared" ca="1" si="484"/>
        <v>0</v>
      </c>
      <c r="DB225" s="1664"/>
      <c r="DC225" s="1320"/>
      <c r="DD225" s="589"/>
      <c r="DE225" s="1321"/>
      <c r="DF225" s="107"/>
      <c r="DG225" s="112"/>
      <c r="DH225" s="140"/>
      <c r="DI225" s="22"/>
      <c r="DJ225" s="145"/>
      <c r="DK225" s="137"/>
      <c r="DL225" s="137"/>
      <c r="DM225" s="137"/>
      <c r="DN225" s="137"/>
      <c r="DO225" s="137"/>
      <c r="DP225" s="137"/>
      <c r="DQ225" s="137"/>
      <c r="DR225" s="137"/>
      <c r="DS225" s="137"/>
      <c r="DT225" s="137"/>
      <c r="DU225" s="137"/>
      <c r="DV225" s="137"/>
      <c r="DW225" s="137"/>
      <c r="DX225" s="137"/>
      <c r="DY225" s="137"/>
      <c r="DZ225" s="137"/>
      <c r="EA225" s="137"/>
      <c r="EB225" s="137"/>
      <c r="EC225" s="137"/>
      <c r="ED225" s="137"/>
      <c r="EE225" s="137"/>
      <c r="EF225" s="137"/>
      <c r="EG225" s="137"/>
      <c r="EH225" s="137"/>
      <c r="EI225" s="137"/>
      <c r="EJ225" s="137"/>
      <c r="EK225" s="137"/>
      <c r="EL225" s="137"/>
      <c r="EM225" s="137"/>
      <c r="EN225" s="137"/>
      <c r="EO225" s="137"/>
      <c r="EP225" s="137"/>
      <c r="EQ225" s="137"/>
      <c r="ER225" s="137"/>
      <c r="ES225" s="137"/>
      <c r="ET225" s="137"/>
      <c r="EU225" s="137"/>
      <c r="EV225" s="137"/>
      <c r="EW225" s="137"/>
      <c r="EX225" s="137"/>
      <c r="EY225" s="137"/>
      <c r="EZ225" s="137"/>
      <c r="FA225" s="137"/>
      <c r="FB225" s="137"/>
      <c r="FC225" s="137"/>
      <c r="FD225" s="137"/>
      <c r="FE225" s="137"/>
      <c r="FF225" s="137"/>
      <c r="FG225" s="860"/>
      <c r="FH225" s="863"/>
      <c r="FI225" s="1318"/>
      <c r="FJ225" s="126"/>
      <c r="FK225" s="127"/>
      <c r="FL225" s="128" t="str">
        <f t="shared" si="485"/>
        <v xml:space="preserve">    </v>
      </c>
      <c r="FM225" s="128"/>
      <c r="FN225" s="1686">
        <f t="shared" si="486"/>
        <v>0</v>
      </c>
      <c r="FO225" s="46">
        <f t="shared" si="421"/>
        <v>0</v>
      </c>
      <c r="FP225" s="46">
        <f t="shared" si="422"/>
        <v>1</v>
      </c>
      <c r="FQ225" s="75">
        <f t="shared" si="489"/>
        <v>0</v>
      </c>
      <c r="FR225" s="46">
        <f t="shared" si="873"/>
        <v>0</v>
      </c>
      <c r="FS225" s="46">
        <f t="shared" si="874"/>
        <v>1</v>
      </c>
      <c r="FT225" s="75">
        <f t="shared" si="492"/>
        <v>0</v>
      </c>
      <c r="FU225" s="2603">
        <f t="shared" si="423"/>
        <v>0</v>
      </c>
      <c r="FV225" s="2607">
        <f t="shared" si="424"/>
        <v>0</v>
      </c>
      <c r="FW225" s="2603">
        <f t="shared" si="425"/>
        <v>0</v>
      </c>
      <c r="FX225" s="2631">
        <f t="shared" si="426"/>
        <v>0</v>
      </c>
      <c r="FY225" s="81" t="e">
        <f t="shared" si="875"/>
        <v>#N/A</v>
      </c>
      <c r="FZ225" s="64" t="e">
        <f t="array" ref="FZ225">MATCH(1,($GT225:$LQ225&gt;0)*$GT$25:$LQ$25,0)</f>
        <v>#N/A</v>
      </c>
      <c r="GA225" s="64" t="e">
        <f t="array" ref="GA225">MATCH(2,1/(GT225:LQ225&gt;0))</f>
        <v>#N/A</v>
      </c>
      <c r="GB225" s="64">
        <f t="shared" si="497"/>
        <v>-1</v>
      </c>
      <c r="GC225" s="46"/>
      <c r="GD225" s="613"/>
      <c r="GE225" s="613"/>
      <c r="GF225" s="613"/>
      <c r="GG225" s="613"/>
      <c r="GH225" s="613"/>
      <c r="GI225" s="613"/>
      <c r="GJ225" s="613"/>
      <c r="GK225" s="613"/>
      <c r="GL225" s="613"/>
      <c r="GM225" s="613"/>
      <c r="GN225" s="385">
        <f t="shared" si="498"/>
        <v>0</v>
      </c>
      <c r="GO225" s="386">
        <f t="shared" si="499"/>
        <v>0</v>
      </c>
      <c r="GP225" s="2635"/>
      <c r="GQ225" s="175"/>
      <c r="GR225" s="172"/>
      <c r="GS225" s="65"/>
      <c r="GT225" s="167"/>
      <c r="GU225" s="168"/>
      <c r="GV225" s="168"/>
      <c r="GW225" s="168"/>
      <c r="GX225" s="168"/>
      <c r="GY225" s="168"/>
      <c r="GZ225" s="168"/>
      <c r="HA225" s="168"/>
      <c r="HB225" s="168"/>
      <c r="HC225" s="168"/>
      <c r="HD225" s="168"/>
      <c r="HE225" s="168"/>
      <c r="HF225" s="168"/>
      <c r="HG225" s="168"/>
      <c r="HH225" s="168"/>
      <c r="HI225" s="168"/>
      <c r="HJ225" s="168"/>
      <c r="HK225" s="168"/>
      <c r="HL225" s="168"/>
      <c r="HM225" s="168"/>
      <c r="HN225" s="168"/>
      <c r="HO225" s="168"/>
      <c r="HP225" s="168"/>
      <c r="HQ225" s="168"/>
      <c r="HR225" s="168"/>
      <c r="HS225" s="168"/>
      <c r="HT225" s="168"/>
      <c r="HU225" s="168"/>
      <c r="HV225" s="168"/>
      <c r="HW225" s="168"/>
      <c r="HX225" s="168"/>
      <c r="HY225" s="168"/>
      <c r="HZ225" s="168"/>
      <c r="IA225" s="168"/>
      <c r="IB225" s="168"/>
      <c r="IC225" s="168"/>
      <c r="ID225" s="168"/>
      <c r="IE225" s="168"/>
      <c r="IF225" s="168"/>
      <c r="IG225" s="168"/>
      <c r="IH225" s="168"/>
      <c r="II225" s="168"/>
      <c r="IJ225" s="168"/>
      <c r="IK225" s="168"/>
      <c r="IL225" s="168"/>
      <c r="IM225" s="168"/>
      <c r="IN225" s="168"/>
      <c r="IO225" s="168"/>
      <c r="IP225" s="168"/>
      <c r="IQ225" s="168"/>
      <c r="IR225" s="168"/>
      <c r="IS225" s="168"/>
      <c r="IT225" s="168"/>
      <c r="IU225" s="168"/>
      <c r="IV225" s="168"/>
      <c r="IW225" s="168"/>
      <c r="IX225" s="168"/>
      <c r="IY225" s="168"/>
      <c r="IZ225" s="168"/>
      <c r="JA225" s="168"/>
      <c r="JB225" s="168"/>
      <c r="JC225" s="168"/>
      <c r="JD225" s="168"/>
      <c r="JE225" s="168"/>
      <c r="JF225" s="168"/>
      <c r="JG225" s="168"/>
      <c r="JH225" s="168"/>
      <c r="JI225" s="168"/>
      <c r="JJ225" s="168"/>
      <c r="JK225" s="168"/>
      <c r="JL225" s="168"/>
      <c r="JM225" s="168"/>
      <c r="JN225" s="168"/>
      <c r="JO225" s="168"/>
      <c r="JP225" s="168"/>
      <c r="JQ225" s="168"/>
      <c r="JR225" s="168"/>
      <c r="JS225" s="168"/>
      <c r="JT225" s="168"/>
      <c r="JU225" s="168"/>
      <c r="JV225" s="168"/>
      <c r="JW225" s="168"/>
      <c r="JX225" s="168"/>
      <c r="JY225" s="168"/>
      <c r="JZ225" s="168"/>
      <c r="KA225" s="168"/>
      <c r="KB225" s="168"/>
      <c r="KC225" s="168"/>
      <c r="KD225" s="168"/>
      <c r="KE225" s="168"/>
      <c r="KF225" s="168"/>
      <c r="KG225" s="168"/>
      <c r="KH225" s="168"/>
      <c r="KI225" s="168"/>
      <c r="KJ225" s="168"/>
      <c r="KK225" s="168"/>
      <c r="KL225" s="168"/>
      <c r="KM225" s="168"/>
      <c r="KN225" s="168"/>
      <c r="KO225" s="168"/>
      <c r="KP225" s="168"/>
      <c r="KQ225" s="168"/>
      <c r="KR225" s="168"/>
      <c r="KS225" s="168"/>
      <c r="KT225" s="168"/>
      <c r="KU225" s="168"/>
      <c r="KV225" s="168"/>
      <c r="KW225" s="168"/>
      <c r="KX225" s="168"/>
      <c r="KY225" s="168"/>
      <c r="KZ225" s="168"/>
      <c r="LA225" s="168"/>
      <c r="LB225" s="168"/>
      <c r="LC225" s="168"/>
      <c r="LD225" s="168"/>
      <c r="LE225" s="168"/>
      <c r="LF225" s="168"/>
      <c r="LG225" s="168"/>
      <c r="LH225" s="168"/>
      <c r="LI225" s="168"/>
      <c r="LJ225" s="168"/>
      <c r="LK225" s="168"/>
      <c r="LL225" s="168"/>
      <c r="LM225" s="168"/>
      <c r="LN225" s="168"/>
      <c r="LO225" s="168"/>
      <c r="LP225" s="606"/>
      <c r="LQ225" s="609"/>
      <c r="LR225" s="1319"/>
      <c r="LS225" s="1319"/>
    </row>
    <row r="226" spans="1:331" s="2" customFormat="1" ht="15" customHeight="1" x14ac:dyDescent="0.25">
      <c r="A226" s="283"/>
      <c r="B226" s="303"/>
      <c r="C226" s="301"/>
      <c r="D226" s="1287"/>
      <c r="E226" s="2298"/>
      <c r="F226" s="1812"/>
      <c r="G226" s="3342"/>
      <c r="H226" s="66"/>
      <c r="I226" s="1746"/>
      <c r="J226" s="1214"/>
      <c r="K226" s="105"/>
      <c r="L226" s="91"/>
      <c r="M226" s="92"/>
      <c r="N226" s="93"/>
      <c r="O226" s="94"/>
      <c r="P226" s="96"/>
      <c r="Q226" s="95"/>
      <c r="R226" s="993">
        <f t="shared" si="431"/>
        <v>0</v>
      </c>
      <c r="S226" s="23">
        <f t="shared" si="432"/>
        <v>0</v>
      </c>
      <c r="T226" s="24">
        <f t="shared" si="433"/>
        <v>0</v>
      </c>
      <c r="U226" s="24">
        <f t="shared" si="434"/>
        <v>0</v>
      </c>
      <c r="V226" s="24">
        <f t="shared" si="435"/>
        <v>0</v>
      </c>
      <c r="W226" s="24">
        <f t="shared" ca="1" si="436"/>
        <v>0</v>
      </c>
      <c r="X226" s="72">
        <f t="shared" ca="1" si="386"/>
        <v>0</v>
      </c>
      <c r="Y226" s="72">
        <f t="shared" si="437"/>
        <v>0</v>
      </c>
      <c r="Z226" s="24">
        <f t="shared" si="438"/>
        <v>0</v>
      </c>
      <c r="AA226" s="72">
        <f t="shared" si="387"/>
        <v>0</v>
      </c>
      <c r="AB226" s="24">
        <f t="shared" si="388"/>
        <v>0</v>
      </c>
      <c r="AC226" s="24">
        <f t="shared" ca="1" si="439"/>
        <v>0</v>
      </c>
      <c r="AD226" s="24">
        <f t="shared" si="389"/>
        <v>0</v>
      </c>
      <c r="AE226" s="2078">
        <f t="shared" si="870"/>
        <v>3</v>
      </c>
      <c r="AF226" s="2078">
        <f t="shared" si="871"/>
        <v>0</v>
      </c>
      <c r="AG226" s="2078">
        <f t="shared" si="872"/>
        <v>0</v>
      </c>
      <c r="AH226" s="2521">
        <f t="shared" si="390"/>
        <v>1</v>
      </c>
      <c r="AI226" s="25" t="str">
        <f t="shared" si="443"/>
        <v/>
      </c>
      <c r="AJ226" s="2521">
        <f t="shared" ca="1" si="391"/>
        <v>0</v>
      </c>
      <c r="AK226" s="2076">
        <f t="shared" ca="1" si="392"/>
        <v>0</v>
      </c>
      <c r="AL226" s="2078">
        <f>IF(ISBLANK(J226),0,ISERROR(MATCH(J226,'5  Control Accounts'!$FA$29:$FA$96,0))*1)</f>
        <v>0</v>
      </c>
      <c r="AM226" s="2076">
        <f t="shared" si="444"/>
        <v>0</v>
      </c>
      <c r="AN226" s="2078">
        <f t="shared" si="445"/>
        <v>1</v>
      </c>
      <c r="AO226" s="2079">
        <f t="shared" si="393"/>
        <v>1</v>
      </c>
      <c r="AP226" s="2079">
        <f t="shared" si="394"/>
        <v>0</v>
      </c>
      <c r="AQ226" s="2079">
        <f t="shared" si="395"/>
        <v>0</v>
      </c>
      <c r="AR226" s="2079">
        <f t="shared" si="396"/>
        <v>0</v>
      </c>
      <c r="AS226" s="2079">
        <f t="shared" si="397"/>
        <v>0</v>
      </c>
      <c r="AT226" s="2079">
        <f t="shared" si="398"/>
        <v>0</v>
      </c>
      <c r="AU226" s="2079">
        <f t="shared" si="399"/>
        <v>0</v>
      </c>
      <c r="AV226" s="2079">
        <f t="shared" si="400"/>
        <v>0</v>
      </c>
      <c r="AW226" s="2079">
        <f t="shared" si="401"/>
        <v>0</v>
      </c>
      <c r="AX226" s="2079">
        <f t="shared" si="402"/>
        <v>0</v>
      </c>
      <c r="AY226" s="2078">
        <f t="shared" si="446"/>
        <v>0</v>
      </c>
      <c r="AZ226" s="2078">
        <f t="shared" si="447"/>
        <v>0</v>
      </c>
      <c r="BA226" s="2078">
        <f t="shared" si="448"/>
        <v>0</v>
      </c>
      <c r="BB226" s="2078">
        <f t="shared" si="449"/>
        <v>0</v>
      </c>
      <c r="BC226" s="2078">
        <f t="shared" si="450"/>
        <v>0</v>
      </c>
      <c r="BD226" s="2078">
        <f t="shared" si="451"/>
        <v>0</v>
      </c>
      <c r="BE226" s="2078">
        <f t="shared" si="452"/>
        <v>0</v>
      </c>
      <c r="BF226" s="2078">
        <f t="shared" si="453"/>
        <v>0</v>
      </c>
      <c r="BG226" s="2078">
        <f t="shared" si="454"/>
        <v>0</v>
      </c>
      <c r="BH226" s="2078">
        <f t="shared" si="455"/>
        <v>0</v>
      </c>
      <c r="BI226" s="2078">
        <f t="shared" si="456"/>
        <v>0</v>
      </c>
      <c r="BJ226" s="2078">
        <f t="shared" si="457"/>
        <v>0</v>
      </c>
      <c r="BK226" s="2078">
        <f t="shared" si="458"/>
        <v>0</v>
      </c>
      <c r="BL226" s="2078">
        <f t="shared" si="459"/>
        <v>0</v>
      </c>
      <c r="BM226" s="2078">
        <f t="shared" si="460"/>
        <v>0</v>
      </c>
      <c r="BN226" s="2078">
        <f t="shared" si="461"/>
        <v>0</v>
      </c>
      <c r="BO226" s="2078">
        <f t="shared" si="462"/>
        <v>0</v>
      </c>
      <c r="BP226" s="2078">
        <f t="shared" si="463"/>
        <v>0</v>
      </c>
      <c r="BQ226" s="2078">
        <f t="shared" si="464"/>
        <v>0</v>
      </c>
      <c r="BR226" s="2078">
        <f t="shared" si="465"/>
        <v>0</v>
      </c>
      <c r="BS226" s="2079">
        <f t="shared" si="403"/>
        <v>1</v>
      </c>
      <c r="BT226" s="2079">
        <f t="shared" si="404"/>
        <v>0</v>
      </c>
      <c r="BU226" s="2079">
        <f t="shared" si="405"/>
        <v>0</v>
      </c>
      <c r="BV226" s="2079">
        <f t="shared" si="406"/>
        <v>0</v>
      </c>
      <c r="BW226" s="2079">
        <f t="shared" si="407"/>
        <v>0</v>
      </c>
      <c r="BX226" s="2079">
        <f t="shared" si="408"/>
        <v>0</v>
      </c>
      <c r="BY226" s="2079">
        <f t="shared" si="409"/>
        <v>0</v>
      </c>
      <c r="BZ226" s="2079">
        <f t="shared" si="410"/>
        <v>0</v>
      </c>
      <c r="CA226" s="2079">
        <f t="shared" si="411"/>
        <v>0</v>
      </c>
      <c r="CB226" s="2079">
        <f t="shared" si="412"/>
        <v>0</v>
      </c>
      <c r="CC226" s="2078">
        <f t="shared" ca="1" si="466"/>
        <v>0</v>
      </c>
      <c r="CD226" s="2078">
        <f t="shared" ca="1" si="467"/>
        <v>0</v>
      </c>
      <c r="CE226" s="2078">
        <f t="shared" ca="1" si="468"/>
        <v>0</v>
      </c>
      <c r="CF226" s="2078">
        <f t="shared" ca="1" si="469"/>
        <v>0</v>
      </c>
      <c r="CG226" s="2078">
        <f t="shared" ca="1" si="470"/>
        <v>0</v>
      </c>
      <c r="CH226" s="2078">
        <f t="shared" ca="1" si="471"/>
        <v>0</v>
      </c>
      <c r="CI226" s="2078">
        <f t="shared" ca="1" si="472"/>
        <v>0</v>
      </c>
      <c r="CJ226" s="2078">
        <f t="shared" ca="1" si="473"/>
        <v>0</v>
      </c>
      <c r="CK226" s="2078">
        <f t="shared" ca="1" si="474"/>
        <v>0</v>
      </c>
      <c r="CL226" s="2078">
        <f t="shared" ca="1" si="475"/>
        <v>0</v>
      </c>
      <c r="CM226" s="2078">
        <f t="shared" si="413"/>
        <v>1</v>
      </c>
      <c r="CN226" s="2078">
        <f t="shared" si="414"/>
        <v>1</v>
      </c>
      <c r="CO226" s="2078">
        <f t="shared" si="415"/>
        <v>1</v>
      </c>
      <c r="CP226" s="2078">
        <f t="shared" si="478"/>
        <v>1</v>
      </c>
      <c r="CQ226" s="2078">
        <f t="shared" si="416"/>
        <v>0</v>
      </c>
      <c r="CR226" s="2078">
        <f t="shared" si="417"/>
        <v>0</v>
      </c>
      <c r="CS226" s="2078">
        <f t="shared" si="479"/>
        <v>0</v>
      </c>
      <c r="CT226" s="2078">
        <f t="shared" si="418"/>
        <v>1</v>
      </c>
      <c r="CU226" s="2078">
        <f t="shared" si="480"/>
        <v>1</v>
      </c>
      <c r="CV226" s="2078">
        <f t="shared" si="419"/>
        <v>0</v>
      </c>
      <c r="CW226" s="2078">
        <f>IF(OR(AE226&lt;&gt;3,F226="Exclude"),0,IF(ISERROR(MATCH($E226,'4 Sign-off'!$S$123:$X$123,0)),0,1))</f>
        <v>0</v>
      </c>
      <c r="CX226" s="2078">
        <f t="shared" si="481"/>
        <v>0</v>
      </c>
      <c r="CY226" s="2078">
        <f t="shared" si="420"/>
        <v>0</v>
      </c>
      <c r="CZ226" s="2993">
        <f t="shared" ca="1" si="483"/>
        <v>0</v>
      </c>
      <c r="DA226" s="3037">
        <f t="shared" ca="1" si="484"/>
        <v>0</v>
      </c>
      <c r="DB226" s="1664"/>
      <c r="DC226" s="1320"/>
      <c r="DD226" s="589"/>
      <c r="DE226" s="1321"/>
      <c r="DF226" s="107"/>
      <c r="DG226" s="112"/>
      <c r="DH226" s="140"/>
      <c r="DI226" s="22"/>
      <c r="DJ226" s="145"/>
      <c r="DK226" s="137"/>
      <c r="DL226" s="137"/>
      <c r="DM226" s="137"/>
      <c r="DN226" s="137"/>
      <c r="DO226" s="137"/>
      <c r="DP226" s="137"/>
      <c r="DQ226" s="137"/>
      <c r="DR226" s="137"/>
      <c r="DS226" s="137"/>
      <c r="DT226" s="137"/>
      <c r="DU226" s="137"/>
      <c r="DV226" s="137"/>
      <c r="DW226" s="137"/>
      <c r="DX226" s="137"/>
      <c r="DY226" s="137"/>
      <c r="DZ226" s="137"/>
      <c r="EA226" s="137"/>
      <c r="EB226" s="137"/>
      <c r="EC226" s="137"/>
      <c r="ED226" s="137"/>
      <c r="EE226" s="137"/>
      <c r="EF226" s="137"/>
      <c r="EG226" s="137"/>
      <c r="EH226" s="137"/>
      <c r="EI226" s="137"/>
      <c r="EJ226" s="137"/>
      <c r="EK226" s="137"/>
      <c r="EL226" s="137"/>
      <c r="EM226" s="137"/>
      <c r="EN226" s="137"/>
      <c r="EO226" s="137"/>
      <c r="EP226" s="137"/>
      <c r="EQ226" s="137"/>
      <c r="ER226" s="137"/>
      <c r="ES226" s="137"/>
      <c r="ET226" s="137"/>
      <c r="EU226" s="137"/>
      <c r="EV226" s="137"/>
      <c r="EW226" s="137"/>
      <c r="EX226" s="137"/>
      <c r="EY226" s="137"/>
      <c r="EZ226" s="137"/>
      <c r="FA226" s="137"/>
      <c r="FB226" s="137"/>
      <c r="FC226" s="137"/>
      <c r="FD226" s="137"/>
      <c r="FE226" s="137"/>
      <c r="FF226" s="137"/>
      <c r="FG226" s="860"/>
      <c r="FH226" s="863"/>
      <c r="FI226" s="1318"/>
      <c r="FJ226" s="126"/>
      <c r="FK226" s="127"/>
      <c r="FL226" s="128" t="str">
        <f t="shared" si="485"/>
        <v xml:space="preserve">    </v>
      </c>
      <c r="FM226" s="128"/>
      <c r="FN226" s="1686">
        <f t="shared" si="486"/>
        <v>0</v>
      </c>
      <c r="FO226" s="46">
        <f t="shared" si="421"/>
        <v>0</v>
      </c>
      <c r="FP226" s="46">
        <f t="shared" si="422"/>
        <v>1</v>
      </c>
      <c r="FQ226" s="75">
        <f t="shared" si="489"/>
        <v>0</v>
      </c>
      <c r="FR226" s="46">
        <f t="shared" si="873"/>
        <v>0</v>
      </c>
      <c r="FS226" s="46">
        <f t="shared" si="874"/>
        <v>1</v>
      </c>
      <c r="FT226" s="75">
        <f t="shared" si="492"/>
        <v>0</v>
      </c>
      <c r="FU226" s="2603">
        <f t="shared" si="423"/>
        <v>0</v>
      </c>
      <c r="FV226" s="2607">
        <f t="shared" si="424"/>
        <v>0</v>
      </c>
      <c r="FW226" s="2603">
        <f t="shared" si="425"/>
        <v>0</v>
      </c>
      <c r="FX226" s="2631">
        <f t="shared" si="426"/>
        <v>0</v>
      </c>
      <c r="FY226" s="81" t="e">
        <f t="shared" si="875"/>
        <v>#N/A</v>
      </c>
      <c r="FZ226" s="64" t="e">
        <f t="array" ref="FZ226">MATCH(1,($GT226:$LQ226&gt;0)*$GT$25:$LQ$25,0)</f>
        <v>#N/A</v>
      </c>
      <c r="GA226" s="64" t="e">
        <f t="array" ref="GA226">MATCH(2,1/(GT226:LQ226&gt;0))</f>
        <v>#N/A</v>
      </c>
      <c r="GB226" s="64">
        <f t="shared" si="497"/>
        <v>-1</v>
      </c>
      <c r="GC226" s="46"/>
      <c r="GD226" s="613"/>
      <c r="GE226" s="613"/>
      <c r="GF226" s="613"/>
      <c r="GG226" s="613"/>
      <c r="GH226" s="613"/>
      <c r="GI226" s="613"/>
      <c r="GJ226" s="613"/>
      <c r="GK226" s="613"/>
      <c r="GL226" s="613"/>
      <c r="GM226" s="613"/>
      <c r="GN226" s="385">
        <f t="shared" si="498"/>
        <v>0</v>
      </c>
      <c r="GO226" s="386">
        <f t="shared" si="499"/>
        <v>0</v>
      </c>
      <c r="GP226" s="2635"/>
      <c r="GQ226" s="175"/>
      <c r="GR226" s="172"/>
      <c r="GS226" s="65"/>
      <c r="GT226" s="167"/>
      <c r="GU226" s="168"/>
      <c r="GV226" s="168"/>
      <c r="GW226" s="168"/>
      <c r="GX226" s="168"/>
      <c r="GY226" s="168"/>
      <c r="GZ226" s="168"/>
      <c r="HA226" s="168"/>
      <c r="HB226" s="168"/>
      <c r="HC226" s="168"/>
      <c r="HD226" s="168"/>
      <c r="HE226" s="168"/>
      <c r="HF226" s="168"/>
      <c r="HG226" s="168"/>
      <c r="HH226" s="168"/>
      <c r="HI226" s="168"/>
      <c r="HJ226" s="168"/>
      <c r="HK226" s="168"/>
      <c r="HL226" s="168"/>
      <c r="HM226" s="168"/>
      <c r="HN226" s="168"/>
      <c r="HO226" s="168"/>
      <c r="HP226" s="168"/>
      <c r="HQ226" s="168"/>
      <c r="HR226" s="168"/>
      <c r="HS226" s="168"/>
      <c r="HT226" s="168"/>
      <c r="HU226" s="168"/>
      <c r="HV226" s="168"/>
      <c r="HW226" s="168"/>
      <c r="HX226" s="168"/>
      <c r="HY226" s="168"/>
      <c r="HZ226" s="168"/>
      <c r="IA226" s="168"/>
      <c r="IB226" s="168"/>
      <c r="IC226" s="168"/>
      <c r="ID226" s="168"/>
      <c r="IE226" s="168"/>
      <c r="IF226" s="168"/>
      <c r="IG226" s="168"/>
      <c r="IH226" s="168"/>
      <c r="II226" s="168"/>
      <c r="IJ226" s="168"/>
      <c r="IK226" s="168"/>
      <c r="IL226" s="168"/>
      <c r="IM226" s="168"/>
      <c r="IN226" s="168"/>
      <c r="IO226" s="168"/>
      <c r="IP226" s="168"/>
      <c r="IQ226" s="168"/>
      <c r="IR226" s="168"/>
      <c r="IS226" s="168"/>
      <c r="IT226" s="168"/>
      <c r="IU226" s="168"/>
      <c r="IV226" s="168"/>
      <c r="IW226" s="168"/>
      <c r="IX226" s="168"/>
      <c r="IY226" s="168"/>
      <c r="IZ226" s="168"/>
      <c r="JA226" s="168"/>
      <c r="JB226" s="168"/>
      <c r="JC226" s="168"/>
      <c r="JD226" s="168"/>
      <c r="JE226" s="168"/>
      <c r="JF226" s="168"/>
      <c r="JG226" s="168"/>
      <c r="JH226" s="168"/>
      <c r="JI226" s="168"/>
      <c r="JJ226" s="168"/>
      <c r="JK226" s="168"/>
      <c r="JL226" s="168"/>
      <c r="JM226" s="168"/>
      <c r="JN226" s="168"/>
      <c r="JO226" s="168"/>
      <c r="JP226" s="168"/>
      <c r="JQ226" s="168"/>
      <c r="JR226" s="168"/>
      <c r="JS226" s="168"/>
      <c r="JT226" s="168"/>
      <c r="JU226" s="168"/>
      <c r="JV226" s="168"/>
      <c r="JW226" s="168"/>
      <c r="JX226" s="168"/>
      <c r="JY226" s="168"/>
      <c r="JZ226" s="168"/>
      <c r="KA226" s="168"/>
      <c r="KB226" s="168"/>
      <c r="KC226" s="168"/>
      <c r="KD226" s="168"/>
      <c r="KE226" s="168"/>
      <c r="KF226" s="168"/>
      <c r="KG226" s="168"/>
      <c r="KH226" s="168"/>
      <c r="KI226" s="168"/>
      <c r="KJ226" s="168"/>
      <c r="KK226" s="168"/>
      <c r="KL226" s="168"/>
      <c r="KM226" s="168"/>
      <c r="KN226" s="168"/>
      <c r="KO226" s="168"/>
      <c r="KP226" s="168"/>
      <c r="KQ226" s="168"/>
      <c r="KR226" s="168"/>
      <c r="KS226" s="168"/>
      <c r="KT226" s="168"/>
      <c r="KU226" s="168"/>
      <c r="KV226" s="168"/>
      <c r="KW226" s="168"/>
      <c r="KX226" s="168"/>
      <c r="KY226" s="168"/>
      <c r="KZ226" s="168"/>
      <c r="LA226" s="168"/>
      <c r="LB226" s="168"/>
      <c r="LC226" s="168"/>
      <c r="LD226" s="168"/>
      <c r="LE226" s="168"/>
      <c r="LF226" s="168"/>
      <c r="LG226" s="168"/>
      <c r="LH226" s="168"/>
      <c r="LI226" s="168"/>
      <c r="LJ226" s="168"/>
      <c r="LK226" s="168"/>
      <c r="LL226" s="168"/>
      <c r="LM226" s="168"/>
      <c r="LN226" s="168"/>
      <c r="LO226" s="168"/>
      <c r="LP226" s="606"/>
      <c r="LQ226" s="609"/>
      <c r="LR226" s="1319"/>
      <c r="LS226" s="1319"/>
    </row>
    <row r="227" spans="1:331" s="2" customFormat="1" ht="15" customHeight="1" x14ac:dyDescent="0.25">
      <c r="A227" s="283"/>
      <c r="B227" s="303"/>
      <c r="C227" s="301"/>
      <c r="D227" s="1287"/>
      <c r="E227" s="2298"/>
      <c r="F227" s="1812"/>
      <c r="G227" s="3342"/>
      <c r="H227" s="66"/>
      <c r="I227" s="1746"/>
      <c r="J227" s="1214"/>
      <c r="K227" s="105"/>
      <c r="L227" s="91"/>
      <c r="M227" s="92"/>
      <c r="N227" s="93"/>
      <c r="O227" s="94"/>
      <c r="P227" s="96"/>
      <c r="Q227" s="95"/>
      <c r="R227" s="993">
        <f t="shared" si="431"/>
        <v>0</v>
      </c>
      <c r="S227" s="23">
        <f t="shared" si="432"/>
        <v>0</v>
      </c>
      <c r="T227" s="24">
        <f t="shared" si="433"/>
        <v>0</v>
      </c>
      <c r="U227" s="24">
        <f t="shared" si="434"/>
        <v>0</v>
      </c>
      <c r="V227" s="24">
        <f t="shared" si="435"/>
        <v>0</v>
      </c>
      <c r="W227" s="24">
        <f t="shared" ca="1" si="436"/>
        <v>0</v>
      </c>
      <c r="X227" s="72">
        <f t="shared" ca="1" si="386"/>
        <v>0</v>
      </c>
      <c r="Y227" s="72">
        <f t="shared" si="437"/>
        <v>0</v>
      </c>
      <c r="Z227" s="24">
        <f t="shared" si="438"/>
        <v>0</v>
      </c>
      <c r="AA227" s="72">
        <f t="shared" si="387"/>
        <v>0</v>
      </c>
      <c r="AB227" s="24">
        <f t="shared" si="388"/>
        <v>0</v>
      </c>
      <c r="AC227" s="24">
        <f t="shared" ca="1" si="439"/>
        <v>0</v>
      </c>
      <c r="AD227" s="24">
        <f t="shared" si="389"/>
        <v>0</v>
      </c>
      <c r="AE227" s="2078">
        <f t="shared" si="870"/>
        <v>3</v>
      </c>
      <c r="AF227" s="2078">
        <f t="shared" si="871"/>
        <v>0</v>
      </c>
      <c r="AG227" s="2078">
        <f t="shared" si="872"/>
        <v>0</v>
      </c>
      <c r="AH227" s="2521">
        <f t="shared" si="390"/>
        <v>1</v>
      </c>
      <c r="AI227" s="25" t="str">
        <f t="shared" si="443"/>
        <v/>
      </c>
      <c r="AJ227" s="2521">
        <f t="shared" ca="1" si="391"/>
        <v>0</v>
      </c>
      <c r="AK227" s="2076">
        <f t="shared" ca="1" si="392"/>
        <v>0</v>
      </c>
      <c r="AL227" s="2078">
        <f>IF(ISBLANK(J227),0,ISERROR(MATCH(J227,'5  Control Accounts'!$FA$29:$FA$96,0))*1)</f>
        <v>0</v>
      </c>
      <c r="AM227" s="2076">
        <f t="shared" si="444"/>
        <v>0</v>
      </c>
      <c r="AN227" s="2078">
        <f t="shared" si="445"/>
        <v>1</v>
      </c>
      <c r="AO227" s="2079">
        <f t="shared" si="393"/>
        <v>1</v>
      </c>
      <c r="AP227" s="2079">
        <f t="shared" si="394"/>
        <v>0</v>
      </c>
      <c r="AQ227" s="2079">
        <f t="shared" si="395"/>
        <v>0</v>
      </c>
      <c r="AR227" s="2079">
        <f t="shared" si="396"/>
        <v>0</v>
      </c>
      <c r="AS227" s="2079">
        <f t="shared" si="397"/>
        <v>0</v>
      </c>
      <c r="AT227" s="2079">
        <f t="shared" si="398"/>
        <v>0</v>
      </c>
      <c r="AU227" s="2079">
        <f t="shared" si="399"/>
        <v>0</v>
      </c>
      <c r="AV227" s="2079">
        <f t="shared" si="400"/>
        <v>0</v>
      </c>
      <c r="AW227" s="2079">
        <f t="shared" si="401"/>
        <v>0</v>
      </c>
      <c r="AX227" s="2079">
        <f t="shared" si="402"/>
        <v>0</v>
      </c>
      <c r="AY227" s="2078">
        <f t="shared" si="446"/>
        <v>0</v>
      </c>
      <c r="AZ227" s="2078">
        <f t="shared" si="447"/>
        <v>0</v>
      </c>
      <c r="BA227" s="2078">
        <f t="shared" si="448"/>
        <v>0</v>
      </c>
      <c r="BB227" s="2078">
        <f t="shared" si="449"/>
        <v>0</v>
      </c>
      <c r="BC227" s="2078">
        <f t="shared" si="450"/>
        <v>0</v>
      </c>
      <c r="BD227" s="2078">
        <f t="shared" si="451"/>
        <v>0</v>
      </c>
      <c r="BE227" s="2078">
        <f t="shared" si="452"/>
        <v>0</v>
      </c>
      <c r="BF227" s="2078">
        <f t="shared" si="453"/>
        <v>0</v>
      </c>
      <c r="BG227" s="2078">
        <f t="shared" si="454"/>
        <v>0</v>
      </c>
      <c r="BH227" s="2078">
        <f t="shared" si="455"/>
        <v>0</v>
      </c>
      <c r="BI227" s="2078">
        <f t="shared" si="456"/>
        <v>0</v>
      </c>
      <c r="BJ227" s="2078">
        <f t="shared" si="457"/>
        <v>0</v>
      </c>
      <c r="BK227" s="2078">
        <f t="shared" si="458"/>
        <v>0</v>
      </c>
      <c r="BL227" s="2078">
        <f t="shared" si="459"/>
        <v>0</v>
      </c>
      <c r="BM227" s="2078">
        <f t="shared" si="460"/>
        <v>0</v>
      </c>
      <c r="BN227" s="2078">
        <f t="shared" si="461"/>
        <v>0</v>
      </c>
      <c r="BO227" s="2078">
        <f t="shared" si="462"/>
        <v>0</v>
      </c>
      <c r="BP227" s="2078">
        <f t="shared" si="463"/>
        <v>0</v>
      </c>
      <c r="BQ227" s="2078">
        <f t="shared" si="464"/>
        <v>0</v>
      </c>
      <c r="BR227" s="2078">
        <f t="shared" si="465"/>
        <v>0</v>
      </c>
      <c r="BS227" s="2079">
        <f t="shared" si="403"/>
        <v>1</v>
      </c>
      <c r="BT227" s="2079">
        <f t="shared" si="404"/>
        <v>0</v>
      </c>
      <c r="BU227" s="2079">
        <f t="shared" si="405"/>
        <v>0</v>
      </c>
      <c r="BV227" s="2079">
        <f t="shared" si="406"/>
        <v>0</v>
      </c>
      <c r="BW227" s="2079">
        <f t="shared" si="407"/>
        <v>0</v>
      </c>
      <c r="BX227" s="2079">
        <f t="shared" si="408"/>
        <v>0</v>
      </c>
      <c r="BY227" s="2079">
        <f t="shared" si="409"/>
        <v>0</v>
      </c>
      <c r="BZ227" s="2079">
        <f t="shared" si="410"/>
        <v>0</v>
      </c>
      <c r="CA227" s="2079">
        <f t="shared" si="411"/>
        <v>0</v>
      </c>
      <c r="CB227" s="2079">
        <f t="shared" si="412"/>
        <v>0</v>
      </c>
      <c r="CC227" s="2078">
        <f t="shared" ca="1" si="466"/>
        <v>0</v>
      </c>
      <c r="CD227" s="2078">
        <f t="shared" ca="1" si="467"/>
        <v>0</v>
      </c>
      <c r="CE227" s="2078">
        <f t="shared" ca="1" si="468"/>
        <v>0</v>
      </c>
      <c r="CF227" s="2078">
        <f t="shared" ca="1" si="469"/>
        <v>0</v>
      </c>
      <c r="CG227" s="2078">
        <f t="shared" ca="1" si="470"/>
        <v>0</v>
      </c>
      <c r="CH227" s="2078">
        <f t="shared" ca="1" si="471"/>
        <v>0</v>
      </c>
      <c r="CI227" s="2078">
        <f t="shared" ca="1" si="472"/>
        <v>0</v>
      </c>
      <c r="CJ227" s="2078">
        <f t="shared" ca="1" si="473"/>
        <v>0</v>
      </c>
      <c r="CK227" s="2078">
        <f t="shared" ca="1" si="474"/>
        <v>0</v>
      </c>
      <c r="CL227" s="2078">
        <f t="shared" ca="1" si="475"/>
        <v>0</v>
      </c>
      <c r="CM227" s="2078">
        <f t="shared" si="413"/>
        <v>1</v>
      </c>
      <c r="CN227" s="2078">
        <f t="shared" si="414"/>
        <v>1</v>
      </c>
      <c r="CO227" s="2078">
        <f t="shared" si="415"/>
        <v>1</v>
      </c>
      <c r="CP227" s="2078">
        <f t="shared" si="478"/>
        <v>1</v>
      </c>
      <c r="CQ227" s="2078">
        <f t="shared" si="416"/>
        <v>0</v>
      </c>
      <c r="CR227" s="2078">
        <f t="shared" si="417"/>
        <v>0</v>
      </c>
      <c r="CS227" s="2078">
        <f t="shared" si="479"/>
        <v>0</v>
      </c>
      <c r="CT227" s="2078">
        <f t="shared" si="418"/>
        <v>1</v>
      </c>
      <c r="CU227" s="2078">
        <f t="shared" si="480"/>
        <v>1</v>
      </c>
      <c r="CV227" s="2078">
        <f t="shared" si="419"/>
        <v>0</v>
      </c>
      <c r="CW227" s="2078">
        <f>IF(OR(AE227&lt;&gt;3,F227="Exclude"),0,IF(ISERROR(MATCH($E227,'4 Sign-off'!$S$123:$X$123,0)),0,1))</f>
        <v>0</v>
      </c>
      <c r="CX227" s="2078">
        <f t="shared" si="481"/>
        <v>0</v>
      </c>
      <c r="CY227" s="2078">
        <f t="shared" si="420"/>
        <v>0</v>
      </c>
      <c r="CZ227" s="2993">
        <f t="shared" ca="1" si="483"/>
        <v>0</v>
      </c>
      <c r="DA227" s="3037">
        <f t="shared" ca="1" si="484"/>
        <v>0</v>
      </c>
      <c r="DB227" s="1664"/>
      <c r="DC227" s="1320"/>
      <c r="DD227" s="589"/>
      <c r="DE227" s="1321"/>
      <c r="DF227" s="107"/>
      <c r="DG227" s="112"/>
      <c r="DH227" s="140"/>
      <c r="DI227" s="22"/>
      <c r="DJ227" s="145"/>
      <c r="DK227" s="137"/>
      <c r="DL227" s="137"/>
      <c r="DM227" s="137"/>
      <c r="DN227" s="137"/>
      <c r="DO227" s="137"/>
      <c r="DP227" s="137"/>
      <c r="DQ227" s="137"/>
      <c r="DR227" s="137"/>
      <c r="DS227" s="137"/>
      <c r="DT227" s="137"/>
      <c r="DU227" s="137"/>
      <c r="DV227" s="137"/>
      <c r="DW227" s="137"/>
      <c r="DX227" s="137"/>
      <c r="DY227" s="137"/>
      <c r="DZ227" s="137"/>
      <c r="EA227" s="137"/>
      <c r="EB227" s="137"/>
      <c r="EC227" s="137"/>
      <c r="ED227" s="137"/>
      <c r="EE227" s="137"/>
      <c r="EF227" s="137"/>
      <c r="EG227" s="137"/>
      <c r="EH227" s="137"/>
      <c r="EI227" s="137"/>
      <c r="EJ227" s="137"/>
      <c r="EK227" s="137"/>
      <c r="EL227" s="137"/>
      <c r="EM227" s="137"/>
      <c r="EN227" s="137"/>
      <c r="EO227" s="137"/>
      <c r="EP227" s="137"/>
      <c r="EQ227" s="137"/>
      <c r="ER227" s="137"/>
      <c r="ES227" s="137"/>
      <c r="ET227" s="137"/>
      <c r="EU227" s="137"/>
      <c r="EV227" s="137"/>
      <c r="EW227" s="137"/>
      <c r="EX227" s="137"/>
      <c r="EY227" s="137"/>
      <c r="EZ227" s="137"/>
      <c r="FA227" s="137"/>
      <c r="FB227" s="137"/>
      <c r="FC227" s="137"/>
      <c r="FD227" s="137"/>
      <c r="FE227" s="137"/>
      <c r="FF227" s="137"/>
      <c r="FG227" s="860"/>
      <c r="FH227" s="863"/>
      <c r="FI227" s="1318"/>
      <c r="FJ227" s="126"/>
      <c r="FK227" s="127"/>
      <c r="FL227" s="128" t="str">
        <f t="shared" si="485"/>
        <v xml:space="preserve">    </v>
      </c>
      <c r="FM227" s="128"/>
      <c r="FN227" s="1686">
        <f t="shared" si="486"/>
        <v>0</v>
      </c>
      <c r="FO227" s="46">
        <f t="shared" si="421"/>
        <v>0</v>
      </c>
      <c r="FP227" s="46">
        <f t="shared" si="422"/>
        <v>1</v>
      </c>
      <c r="FQ227" s="75">
        <f t="shared" si="489"/>
        <v>0</v>
      </c>
      <c r="FR227" s="46">
        <f t="shared" si="873"/>
        <v>0</v>
      </c>
      <c r="FS227" s="46">
        <f t="shared" si="874"/>
        <v>1</v>
      </c>
      <c r="FT227" s="75">
        <f t="shared" si="492"/>
        <v>0</v>
      </c>
      <c r="FU227" s="2603">
        <f t="shared" si="423"/>
        <v>0</v>
      </c>
      <c r="FV227" s="2607">
        <f t="shared" si="424"/>
        <v>0</v>
      </c>
      <c r="FW227" s="2603">
        <f t="shared" si="425"/>
        <v>0</v>
      </c>
      <c r="FX227" s="2631">
        <f t="shared" si="426"/>
        <v>0</v>
      </c>
      <c r="FY227" s="81" t="e">
        <f t="shared" si="875"/>
        <v>#N/A</v>
      </c>
      <c r="FZ227" s="64" t="e">
        <f t="array" ref="FZ227">MATCH(1,($GT227:$LQ227&gt;0)*$GT$25:$LQ$25,0)</f>
        <v>#N/A</v>
      </c>
      <c r="GA227" s="64" t="e">
        <f t="array" ref="GA227">MATCH(2,1/(GT227:LQ227&gt;0))</f>
        <v>#N/A</v>
      </c>
      <c r="GB227" s="64">
        <f t="shared" si="497"/>
        <v>-1</v>
      </c>
      <c r="GC227" s="46"/>
      <c r="GD227" s="613"/>
      <c r="GE227" s="613"/>
      <c r="GF227" s="613"/>
      <c r="GG227" s="613"/>
      <c r="GH227" s="613"/>
      <c r="GI227" s="613"/>
      <c r="GJ227" s="613"/>
      <c r="GK227" s="613"/>
      <c r="GL227" s="613"/>
      <c r="GM227" s="613"/>
      <c r="GN227" s="385">
        <f t="shared" si="498"/>
        <v>0</v>
      </c>
      <c r="GO227" s="386">
        <f t="shared" si="499"/>
        <v>0</v>
      </c>
      <c r="GP227" s="2635"/>
      <c r="GQ227" s="175"/>
      <c r="GR227" s="172"/>
      <c r="GS227" s="65"/>
      <c r="GT227" s="167"/>
      <c r="GU227" s="168"/>
      <c r="GV227" s="168"/>
      <c r="GW227" s="168"/>
      <c r="GX227" s="168"/>
      <c r="GY227" s="168"/>
      <c r="GZ227" s="168"/>
      <c r="HA227" s="168"/>
      <c r="HB227" s="168"/>
      <c r="HC227" s="168"/>
      <c r="HD227" s="168"/>
      <c r="HE227" s="168"/>
      <c r="HF227" s="168"/>
      <c r="HG227" s="168"/>
      <c r="HH227" s="168"/>
      <c r="HI227" s="168"/>
      <c r="HJ227" s="168"/>
      <c r="HK227" s="168"/>
      <c r="HL227" s="168"/>
      <c r="HM227" s="168"/>
      <c r="HN227" s="168"/>
      <c r="HO227" s="168"/>
      <c r="HP227" s="168"/>
      <c r="HQ227" s="168"/>
      <c r="HR227" s="168"/>
      <c r="HS227" s="168"/>
      <c r="HT227" s="168"/>
      <c r="HU227" s="168"/>
      <c r="HV227" s="168"/>
      <c r="HW227" s="168"/>
      <c r="HX227" s="168"/>
      <c r="HY227" s="168"/>
      <c r="HZ227" s="168"/>
      <c r="IA227" s="168"/>
      <c r="IB227" s="168"/>
      <c r="IC227" s="168"/>
      <c r="ID227" s="168"/>
      <c r="IE227" s="168"/>
      <c r="IF227" s="168"/>
      <c r="IG227" s="168"/>
      <c r="IH227" s="168"/>
      <c r="II227" s="168"/>
      <c r="IJ227" s="168"/>
      <c r="IK227" s="168"/>
      <c r="IL227" s="168"/>
      <c r="IM227" s="168"/>
      <c r="IN227" s="168"/>
      <c r="IO227" s="168"/>
      <c r="IP227" s="168"/>
      <c r="IQ227" s="168"/>
      <c r="IR227" s="168"/>
      <c r="IS227" s="168"/>
      <c r="IT227" s="168"/>
      <c r="IU227" s="168"/>
      <c r="IV227" s="168"/>
      <c r="IW227" s="168"/>
      <c r="IX227" s="168"/>
      <c r="IY227" s="168"/>
      <c r="IZ227" s="168"/>
      <c r="JA227" s="168"/>
      <c r="JB227" s="168"/>
      <c r="JC227" s="168"/>
      <c r="JD227" s="168"/>
      <c r="JE227" s="168"/>
      <c r="JF227" s="168"/>
      <c r="JG227" s="168"/>
      <c r="JH227" s="168"/>
      <c r="JI227" s="168"/>
      <c r="JJ227" s="168"/>
      <c r="JK227" s="168"/>
      <c r="JL227" s="168"/>
      <c r="JM227" s="168"/>
      <c r="JN227" s="168"/>
      <c r="JO227" s="168"/>
      <c r="JP227" s="168"/>
      <c r="JQ227" s="168"/>
      <c r="JR227" s="168"/>
      <c r="JS227" s="168"/>
      <c r="JT227" s="168"/>
      <c r="JU227" s="168"/>
      <c r="JV227" s="168"/>
      <c r="JW227" s="168"/>
      <c r="JX227" s="168"/>
      <c r="JY227" s="168"/>
      <c r="JZ227" s="168"/>
      <c r="KA227" s="168"/>
      <c r="KB227" s="168"/>
      <c r="KC227" s="168"/>
      <c r="KD227" s="168"/>
      <c r="KE227" s="168"/>
      <c r="KF227" s="168"/>
      <c r="KG227" s="168"/>
      <c r="KH227" s="168"/>
      <c r="KI227" s="168"/>
      <c r="KJ227" s="168"/>
      <c r="KK227" s="168"/>
      <c r="KL227" s="168"/>
      <c r="KM227" s="168"/>
      <c r="KN227" s="168"/>
      <c r="KO227" s="168"/>
      <c r="KP227" s="168"/>
      <c r="KQ227" s="168"/>
      <c r="KR227" s="168"/>
      <c r="KS227" s="168"/>
      <c r="KT227" s="168"/>
      <c r="KU227" s="168"/>
      <c r="KV227" s="168"/>
      <c r="KW227" s="168"/>
      <c r="KX227" s="168"/>
      <c r="KY227" s="168"/>
      <c r="KZ227" s="168"/>
      <c r="LA227" s="168"/>
      <c r="LB227" s="168"/>
      <c r="LC227" s="168"/>
      <c r="LD227" s="168"/>
      <c r="LE227" s="168"/>
      <c r="LF227" s="168"/>
      <c r="LG227" s="168"/>
      <c r="LH227" s="168"/>
      <c r="LI227" s="168"/>
      <c r="LJ227" s="168"/>
      <c r="LK227" s="168"/>
      <c r="LL227" s="168"/>
      <c r="LM227" s="168"/>
      <c r="LN227" s="168"/>
      <c r="LO227" s="168"/>
      <c r="LP227" s="606"/>
      <c r="LQ227" s="609"/>
      <c r="LR227" s="1319"/>
      <c r="LS227" s="1319"/>
    </row>
    <row r="228" spans="1:331" s="2" customFormat="1" ht="15" customHeight="1" x14ac:dyDescent="0.25">
      <c r="A228" s="283"/>
      <c r="B228" s="303"/>
      <c r="C228" s="301"/>
      <c r="D228" s="1287"/>
      <c r="E228" s="2298"/>
      <c r="F228" s="1812"/>
      <c r="G228" s="3342"/>
      <c r="H228" s="66"/>
      <c r="I228" s="1746"/>
      <c r="J228" s="1214"/>
      <c r="K228" s="105"/>
      <c r="L228" s="91"/>
      <c r="M228" s="92"/>
      <c r="N228" s="93"/>
      <c r="O228" s="94"/>
      <c r="P228" s="96"/>
      <c r="Q228" s="95"/>
      <c r="R228" s="993">
        <f t="shared" si="431"/>
        <v>0</v>
      </c>
      <c r="S228" s="23">
        <f t="shared" si="432"/>
        <v>0</v>
      </c>
      <c r="T228" s="24">
        <f t="shared" si="433"/>
        <v>0</v>
      </c>
      <c r="U228" s="24">
        <f t="shared" si="434"/>
        <v>0</v>
      </c>
      <c r="V228" s="24">
        <f t="shared" si="435"/>
        <v>0</v>
      </c>
      <c r="W228" s="24">
        <f t="shared" ca="1" si="436"/>
        <v>0</v>
      </c>
      <c r="X228" s="72">
        <f t="shared" ca="1" si="386"/>
        <v>0</v>
      </c>
      <c r="Y228" s="72">
        <f t="shared" si="437"/>
        <v>0</v>
      </c>
      <c r="Z228" s="24">
        <f t="shared" si="438"/>
        <v>0</v>
      </c>
      <c r="AA228" s="72">
        <f t="shared" si="387"/>
        <v>0</v>
      </c>
      <c r="AB228" s="24">
        <f t="shared" si="388"/>
        <v>0</v>
      </c>
      <c r="AC228" s="24">
        <f t="shared" ca="1" si="439"/>
        <v>0</v>
      </c>
      <c r="AD228" s="24">
        <f t="shared" si="389"/>
        <v>0</v>
      </c>
      <c r="AE228" s="2078">
        <f t="shared" si="870"/>
        <v>3</v>
      </c>
      <c r="AF228" s="2078">
        <f t="shared" si="871"/>
        <v>0</v>
      </c>
      <c r="AG228" s="2078">
        <f t="shared" si="872"/>
        <v>0</v>
      </c>
      <c r="AH228" s="2521">
        <f t="shared" si="390"/>
        <v>1</v>
      </c>
      <c r="AI228" s="25" t="str">
        <f t="shared" si="443"/>
        <v/>
      </c>
      <c r="AJ228" s="2521">
        <f t="shared" ca="1" si="391"/>
        <v>0</v>
      </c>
      <c r="AK228" s="2076">
        <f t="shared" ca="1" si="392"/>
        <v>0</v>
      </c>
      <c r="AL228" s="2078">
        <f>IF(ISBLANK(J228),0,ISERROR(MATCH(J228,'5  Control Accounts'!$FA$29:$FA$96,0))*1)</f>
        <v>0</v>
      </c>
      <c r="AM228" s="2076">
        <f t="shared" si="444"/>
        <v>0</v>
      </c>
      <c r="AN228" s="2078">
        <f t="shared" si="445"/>
        <v>1</v>
      </c>
      <c r="AO228" s="2079">
        <f t="shared" si="393"/>
        <v>1</v>
      </c>
      <c r="AP228" s="2079">
        <f t="shared" si="394"/>
        <v>0</v>
      </c>
      <c r="AQ228" s="2079">
        <f t="shared" si="395"/>
        <v>0</v>
      </c>
      <c r="AR228" s="2079">
        <f t="shared" si="396"/>
        <v>0</v>
      </c>
      <c r="AS228" s="2079">
        <f t="shared" si="397"/>
        <v>0</v>
      </c>
      <c r="AT228" s="2079">
        <f t="shared" si="398"/>
        <v>0</v>
      </c>
      <c r="AU228" s="2079">
        <f t="shared" si="399"/>
        <v>0</v>
      </c>
      <c r="AV228" s="2079">
        <f t="shared" si="400"/>
        <v>0</v>
      </c>
      <c r="AW228" s="2079">
        <f t="shared" si="401"/>
        <v>0</v>
      </c>
      <c r="AX228" s="2079">
        <f t="shared" si="402"/>
        <v>0</v>
      </c>
      <c r="AY228" s="2078">
        <f t="shared" si="446"/>
        <v>0</v>
      </c>
      <c r="AZ228" s="2078">
        <f t="shared" si="447"/>
        <v>0</v>
      </c>
      <c r="BA228" s="2078">
        <f t="shared" si="448"/>
        <v>0</v>
      </c>
      <c r="BB228" s="2078">
        <f t="shared" si="449"/>
        <v>0</v>
      </c>
      <c r="BC228" s="2078">
        <f t="shared" si="450"/>
        <v>0</v>
      </c>
      <c r="BD228" s="2078">
        <f t="shared" si="451"/>
        <v>0</v>
      </c>
      <c r="BE228" s="2078">
        <f t="shared" si="452"/>
        <v>0</v>
      </c>
      <c r="BF228" s="2078">
        <f t="shared" si="453"/>
        <v>0</v>
      </c>
      <c r="BG228" s="2078">
        <f t="shared" si="454"/>
        <v>0</v>
      </c>
      <c r="BH228" s="2078">
        <f t="shared" si="455"/>
        <v>0</v>
      </c>
      <c r="BI228" s="2078">
        <f t="shared" si="456"/>
        <v>0</v>
      </c>
      <c r="BJ228" s="2078">
        <f t="shared" si="457"/>
        <v>0</v>
      </c>
      <c r="BK228" s="2078">
        <f t="shared" si="458"/>
        <v>0</v>
      </c>
      <c r="BL228" s="2078">
        <f t="shared" si="459"/>
        <v>0</v>
      </c>
      <c r="BM228" s="2078">
        <f t="shared" si="460"/>
        <v>0</v>
      </c>
      <c r="BN228" s="2078">
        <f t="shared" si="461"/>
        <v>0</v>
      </c>
      <c r="BO228" s="2078">
        <f t="shared" si="462"/>
        <v>0</v>
      </c>
      <c r="BP228" s="2078">
        <f t="shared" si="463"/>
        <v>0</v>
      </c>
      <c r="BQ228" s="2078">
        <f t="shared" si="464"/>
        <v>0</v>
      </c>
      <c r="BR228" s="2078">
        <f t="shared" si="465"/>
        <v>0</v>
      </c>
      <c r="BS228" s="2079">
        <f t="shared" si="403"/>
        <v>1</v>
      </c>
      <c r="BT228" s="2079">
        <f t="shared" si="404"/>
        <v>0</v>
      </c>
      <c r="BU228" s="2079">
        <f t="shared" si="405"/>
        <v>0</v>
      </c>
      <c r="BV228" s="2079">
        <f t="shared" si="406"/>
        <v>0</v>
      </c>
      <c r="BW228" s="2079">
        <f t="shared" si="407"/>
        <v>0</v>
      </c>
      <c r="BX228" s="2079">
        <f t="shared" si="408"/>
        <v>0</v>
      </c>
      <c r="BY228" s="2079">
        <f t="shared" si="409"/>
        <v>0</v>
      </c>
      <c r="BZ228" s="2079">
        <f t="shared" si="410"/>
        <v>0</v>
      </c>
      <c r="CA228" s="2079">
        <f t="shared" si="411"/>
        <v>0</v>
      </c>
      <c r="CB228" s="2079">
        <f t="shared" si="412"/>
        <v>0</v>
      </c>
      <c r="CC228" s="2078">
        <f t="shared" ca="1" si="466"/>
        <v>0</v>
      </c>
      <c r="CD228" s="2078">
        <f t="shared" ca="1" si="467"/>
        <v>0</v>
      </c>
      <c r="CE228" s="2078">
        <f t="shared" ca="1" si="468"/>
        <v>0</v>
      </c>
      <c r="CF228" s="2078">
        <f t="shared" ca="1" si="469"/>
        <v>0</v>
      </c>
      <c r="CG228" s="2078">
        <f t="shared" ca="1" si="470"/>
        <v>0</v>
      </c>
      <c r="CH228" s="2078">
        <f t="shared" ca="1" si="471"/>
        <v>0</v>
      </c>
      <c r="CI228" s="2078">
        <f t="shared" ca="1" si="472"/>
        <v>0</v>
      </c>
      <c r="CJ228" s="2078">
        <f t="shared" ca="1" si="473"/>
        <v>0</v>
      </c>
      <c r="CK228" s="2078">
        <f t="shared" ca="1" si="474"/>
        <v>0</v>
      </c>
      <c r="CL228" s="2078">
        <f t="shared" ca="1" si="475"/>
        <v>0</v>
      </c>
      <c r="CM228" s="2078">
        <f t="shared" si="413"/>
        <v>1</v>
      </c>
      <c r="CN228" s="2078">
        <f t="shared" si="414"/>
        <v>1</v>
      </c>
      <c r="CO228" s="2078">
        <f t="shared" si="415"/>
        <v>1</v>
      </c>
      <c r="CP228" s="2078">
        <f t="shared" si="478"/>
        <v>1</v>
      </c>
      <c r="CQ228" s="2078">
        <f t="shared" si="416"/>
        <v>0</v>
      </c>
      <c r="CR228" s="2078">
        <f t="shared" si="417"/>
        <v>0</v>
      </c>
      <c r="CS228" s="2078">
        <f t="shared" si="479"/>
        <v>0</v>
      </c>
      <c r="CT228" s="2078">
        <f t="shared" si="418"/>
        <v>1</v>
      </c>
      <c r="CU228" s="2078">
        <f t="shared" si="480"/>
        <v>1</v>
      </c>
      <c r="CV228" s="2078">
        <f t="shared" si="419"/>
        <v>0</v>
      </c>
      <c r="CW228" s="2078">
        <f>IF(OR(AE228&lt;&gt;3,F228="Exclude"),0,IF(ISERROR(MATCH($E228,'4 Sign-off'!$S$123:$X$123,0)),0,1))</f>
        <v>0</v>
      </c>
      <c r="CX228" s="2078">
        <f t="shared" si="481"/>
        <v>0</v>
      </c>
      <c r="CY228" s="2078">
        <f t="shared" si="420"/>
        <v>0</v>
      </c>
      <c r="CZ228" s="2993">
        <f t="shared" ca="1" si="483"/>
        <v>0</v>
      </c>
      <c r="DA228" s="3037">
        <f t="shared" ca="1" si="484"/>
        <v>0</v>
      </c>
      <c r="DB228" s="1664"/>
      <c r="DC228" s="1320"/>
      <c r="DD228" s="589"/>
      <c r="DE228" s="1321"/>
      <c r="DF228" s="107"/>
      <c r="DG228" s="112"/>
      <c r="DH228" s="140"/>
      <c r="DI228" s="22"/>
      <c r="DJ228" s="145"/>
      <c r="DK228" s="137"/>
      <c r="DL228" s="137"/>
      <c r="DM228" s="137"/>
      <c r="DN228" s="137"/>
      <c r="DO228" s="137"/>
      <c r="DP228" s="137"/>
      <c r="DQ228" s="137"/>
      <c r="DR228" s="137"/>
      <c r="DS228" s="137"/>
      <c r="DT228" s="137"/>
      <c r="DU228" s="137"/>
      <c r="DV228" s="137"/>
      <c r="DW228" s="137"/>
      <c r="DX228" s="137"/>
      <c r="DY228" s="137"/>
      <c r="DZ228" s="137"/>
      <c r="EA228" s="137"/>
      <c r="EB228" s="137"/>
      <c r="EC228" s="137"/>
      <c r="ED228" s="137"/>
      <c r="EE228" s="137"/>
      <c r="EF228" s="137"/>
      <c r="EG228" s="137"/>
      <c r="EH228" s="137"/>
      <c r="EI228" s="137"/>
      <c r="EJ228" s="137"/>
      <c r="EK228" s="137"/>
      <c r="EL228" s="137"/>
      <c r="EM228" s="137"/>
      <c r="EN228" s="137"/>
      <c r="EO228" s="137"/>
      <c r="EP228" s="137"/>
      <c r="EQ228" s="137"/>
      <c r="ER228" s="137"/>
      <c r="ES228" s="137"/>
      <c r="ET228" s="137"/>
      <c r="EU228" s="137"/>
      <c r="EV228" s="137"/>
      <c r="EW228" s="137"/>
      <c r="EX228" s="137"/>
      <c r="EY228" s="137"/>
      <c r="EZ228" s="137"/>
      <c r="FA228" s="137"/>
      <c r="FB228" s="137"/>
      <c r="FC228" s="137"/>
      <c r="FD228" s="137"/>
      <c r="FE228" s="137"/>
      <c r="FF228" s="137"/>
      <c r="FG228" s="860"/>
      <c r="FH228" s="863"/>
      <c r="FI228" s="1318"/>
      <c r="FJ228" s="126"/>
      <c r="FK228" s="127"/>
      <c r="FL228" s="128" t="str">
        <f t="shared" si="485"/>
        <v xml:space="preserve">    </v>
      </c>
      <c r="FM228" s="128"/>
      <c r="FN228" s="1686">
        <f t="shared" si="486"/>
        <v>0</v>
      </c>
      <c r="FO228" s="46">
        <f t="shared" si="421"/>
        <v>0</v>
      </c>
      <c r="FP228" s="46">
        <f t="shared" si="422"/>
        <v>1</v>
      </c>
      <c r="FQ228" s="75">
        <f t="shared" si="489"/>
        <v>0</v>
      </c>
      <c r="FR228" s="46">
        <f t="shared" si="873"/>
        <v>0</v>
      </c>
      <c r="FS228" s="46">
        <f t="shared" si="874"/>
        <v>1</v>
      </c>
      <c r="FT228" s="75">
        <f t="shared" si="492"/>
        <v>0</v>
      </c>
      <c r="FU228" s="2603">
        <f t="shared" si="423"/>
        <v>0</v>
      </c>
      <c r="FV228" s="2607">
        <f t="shared" si="424"/>
        <v>0</v>
      </c>
      <c r="FW228" s="2603">
        <f t="shared" si="425"/>
        <v>0</v>
      </c>
      <c r="FX228" s="2631">
        <f t="shared" si="426"/>
        <v>0</v>
      </c>
      <c r="FY228" s="81" t="e">
        <f t="shared" si="875"/>
        <v>#N/A</v>
      </c>
      <c r="FZ228" s="64" t="e">
        <f t="array" ref="FZ228">MATCH(1,($GT228:$LQ228&gt;0)*$GT$25:$LQ$25,0)</f>
        <v>#N/A</v>
      </c>
      <c r="GA228" s="64" t="e">
        <f t="array" ref="GA228">MATCH(2,1/(GT228:LQ228&gt;0))</f>
        <v>#N/A</v>
      </c>
      <c r="GB228" s="64">
        <f t="shared" si="497"/>
        <v>-1</v>
      </c>
      <c r="GC228" s="46"/>
      <c r="GD228" s="613"/>
      <c r="GE228" s="613"/>
      <c r="GF228" s="613"/>
      <c r="GG228" s="613"/>
      <c r="GH228" s="613"/>
      <c r="GI228" s="613"/>
      <c r="GJ228" s="613"/>
      <c r="GK228" s="613"/>
      <c r="GL228" s="613"/>
      <c r="GM228" s="613"/>
      <c r="GN228" s="385">
        <f t="shared" si="498"/>
        <v>0</v>
      </c>
      <c r="GO228" s="386">
        <f t="shared" si="499"/>
        <v>0</v>
      </c>
      <c r="GP228" s="2635"/>
      <c r="GQ228" s="175"/>
      <c r="GR228" s="172"/>
      <c r="GS228" s="65"/>
      <c r="GT228" s="167"/>
      <c r="GU228" s="168"/>
      <c r="GV228" s="168"/>
      <c r="GW228" s="168"/>
      <c r="GX228" s="168"/>
      <c r="GY228" s="168"/>
      <c r="GZ228" s="168"/>
      <c r="HA228" s="168"/>
      <c r="HB228" s="168"/>
      <c r="HC228" s="168"/>
      <c r="HD228" s="168"/>
      <c r="HE228" s="168"/>
      <c r="HF228" s="168"/>
      <c r="HG228" s="168"/>
      <c r="HH228" s="168"/>
      <c r="HI228" s="168"/>
      <c r="HJ228" s="168"/>
      <c r="HK228" s="168"/>
      <c r="HL228" s="168"/>
      <c r="HM228" s="168"/>
      <c r="HN228" s="168"/>
      <c r="HO228" s="168"/>
      <c r="HP228" s="168"/>
      <c r="HQ228" s="168"/>
      <c r="HR228" s="168"/>
      <c r="HS228" s="168"/>
      <c r="HT228" s="168"/>
      <c r="HU228" s="168"/>
      <c r="HV228" s="168"/>
      <c r="HW228" s="168"/>
      <c r="HX228" s="168"/>
      <c r="HY228" s="168"/>
      <c r="HZ228" s="168"/>
      <c r="IA228" s="168"/>
      <c r="IB228" s="168"/>
      <c r="IC228" s="168"/>
      <c r="ID228" s="168"/>
      <c r="IE228" s="168"/>
      <c r="IF228" s="168"/>
      <c r="IG228" s="168"/>
      <c r="IH228" s="168"/>
      <c r="II228" s="168"/>
      <c r="IJ228" s="168"/>
      <c r="IK228" s="168"/>
      <c r="IL228" s="168"/>
      <c r="IM228" s="168"/>
      <c r="IN228" s="168"/>
      <c r="IO228" s="168"/>
      <c r="IP228" s="168"/>
      <c r="IQ228" s="168"/>
      <c r="IR228" s="168"/>
      <c r="IS228" s="168"/>
      <c r="IT228" s="168"/>
      <c r="IU228" s="168"/>
      <c r="IV228" s="168"/>
      <c r="IW228" s="168"/>
      <c r="IX228" s="168"/>
      <c r="IY228" s="168"/>
      <c r="IZ228" s="168"/>
      <c r="JA228" s="168"/>
      <c r="JB228" s="168"/>
      <c r="JC228" s="168"/>
      <c r="JD228" s="168"/>
      <c r="JE228" s="168"/>
      <c r="JF228" s="168"/>
      <c r="JG228" s="168"/>
      <c r="JH228" s="168"/>
      <c r="JI228" s="168"/>
      <c r="JJ228" s="168"/>
      <c r="JK228" s="168"/>
      <c r="JL228" s="168"/>
      <c r="JM228" s="168"/>
      <c r="JN228" s="168"/>
      <c r="JO228" s="168"/>
      <c r="JP228" s="168"/>
      <c r="JQ228" s="168"/>
      <c r="JR228" s="168"/>
      <c r="JS228" s="168"/>
      <c r="JT228" s="168"/>
      <c r="JU228" s="168"/>
      <c r="JV228" s="168"/>
      <c r="JW228" s="168"/>
      <c r="JX228" s="168"/>
      <c r="JY228" s="168"/>
      <c r="JZ228" s="168"/>
      <c r="KA228" s="168"/>
      <c r="KB228" s="168"/>
      <c r="KC228" s="168"/>
      <c r="KD228" s="168"/>
      <c r="KE228" s="168"/>
      <c r="KF228" s="168"/>
      <c r="KG228" s="168"/>
      <c r="KH228" s="168"/>
      <c r="KI228" s="168"/>
      <c r="KJ228" s="168"/>
      <c r="KK228" s="168"/>
      <c r="KL228" s="168"/>
      <c r="KM228" s="168"/>
      <c r="KN228" s="168"/>
      <c r="KO228" s="168"/>
      <c r="KP228" s="168"/>
      <c r="KQ228" s="168"/>
      <c r="KR228" s="168"/>
      <c r="KS228" s="168"/>
      <c r="KT228" s="168"/>
      <c r="KU228" s="168"/>
      <c r="KV228" s="168"/>
      <c r="KW228" s="168"/>
      <c r="KX228" s="168"/>
      <c r="KY228" s="168"/>
      <c r="KZ228" s="168"/>
      <c r="LA228" s="168"/>
      <c r="LB228" s="168"/>
      <c r="LC228" s="168"/>
      <c r="LD228" s="168"/>
      <c r="LE228" s="168"/>
      <c r="LF228" s="168"/>
      <c r="LG228" s="168"/>
      <c r="LH228" s="168"/>
      <c r="LI228" s="168"/>
      <c r="LJ228" s="168"/>
      <c r="LK228" s="168"/>
      <c r="LL228" s="168"/>
      <c r="LM228" s="168"/>
      <c r="LN228" s="168"/>
      <c r="LO228" s="168"/>
      <c r="LP228" s="606"/>
      <c r="LQ228" s="609"/>
      <c r="LR228" s="1319"/>
      <c r="LS228" s="1319"/>
    </row>
    <row r="229" spans="1:331" s="2" customFormat="1" ht="15" customHeight="1" x14ac:dyDescent="0.25">
      <c r="A229" s="283"/>
      <c r="B229" s="303"/>
      <c r="C229" s="301"/>
      <c r="D229" s="1287"/>
      <c r="E229" s="2298"/>
      <c r="F229" s="1812"/>
      <c r="G229" s="3342"/>
      <c r="H229" s="66"/>
      <c r="I229" s="1746"/>
      <c r="J229" s="1214"/>
      <c r="K229" s="105"/>
      <c r="L229" s="91"/>
      <c r="M229" s="92"/>
      <c r="N229" s="93"/>
      <c r="O229" s="94"/>
      <c r="P229" s="96"/>
      <c r="Q229" s="95"/>
      <c r="R229" s="993">
        <f t="shared" si="431"/>
        <v>0</v>
      </c>
      <c r="S229" s="23">
        <f t="shared" si="432"/>
        <v>0</v>
      </c>
      <c r="T229" s="24">
        <f t="shared" si="433"/>
        <v>0</v>
      </c>
      <c r="U229" s="24">
        <f t="shared" si="434"/>
        <v>0</v>
      </c>
      <c r="V229" s="24">
        <f t="shared" si="435"/>
        <v>0</v>
      </c>
      <c r="W229" s="24">
        <f t="shared" ca="1" si="436"/>
        <v>0</v>
      </c>
      <c r="X229" s="72">
        <f t="shared" ca="1" si="386"/>
        <v>0</v>
      </c>
      <c r="Y229" s="72">
        <f t="shared" si="437"/>
        <v>0</v>
      </c>
      <c r="Z229" s="24">
        <f t="shared" si="438"/>
        <v>0</v>
      </c>
      <c r="AA229" s="72">
        <f t="shared" si="387"/>
        <v>0</v>
      </c>
      <c r="AB229" s="24">
        <f t="shared" si="388"/>
        <v>0</v>
      </c>
      <c r="AC229" s="24">
        <f t="shared" ca="1" si="439"/>
        <v>0</v>
      </c>
      <c r="AD229" s="24">
        <f t="shared" si="389"/>
        <v>0</v>
      </c>
      <c r="AE229" s="2078">
        <f t="shared" si="870"/>
        <v>3</v>
      </c>
      <c r="AF229" s="2078">
        <f t="shared" si="871"/>
        <v>0</v>
      </c>
      <c r="AG229" s="2078">
        <f t="shared" si="872"/>
        <v>0</v>
      </c>
      <c r="AH229" s="2521">
        <f t="shared" si="390"/>
        <v>1</v>
      </c>
      <c r="AI229" s="25" t="str">
        <f t="shared" si="443"/>
        <v/>
      </c>
      <c r="AJ229" s="2521">
        <f t="shared" ca="1" si="391"/>
        <v>0</v>
      </c>
      <c r="AK229" s="2076">
        <f t="shared" ca="1" si="392"/>
        <v>0</v>
      </c>
      <c r="AL229" s="2078">
        <f>IF(ISBLANK(J229),0,ISERROR(MATCH(J229,'5  Control Accounts'!$FA$29:$FA$96,0))*1)</f>
        <v>0</v>
      </c>
      <c r="AM229" s="2076">
        <f t="shared" si="444"/>
        <v>0</v>
      </c>
      <c r="AN229" s="2078">
        <f t="shared" si="445"/>
        <v>1</v>
      </c>
      <c r="AO229" s="2079">
        <f t="shared" si="393"/>
        <v>1</v>
      </c>
      <c r="AP229" s="2079">
        <f t="shared" si="394"/>
        <v>0</v>
      </c>
      <c r="AQ229" s="2079">
        <f t="shared" si="395"/>
        <v>0</v>
      </c>
      <c r="AR229" s="2079">
        <f t="shared" si="396"/>
        <v>0</v>
      </c>
      <c r="AS229" s="2079">
        <f t="shared" si="397"/>
        <v>0</v>
      </c>
      <c r="AT229" s="2079">
        <f t="shared" si="398"/>
        <v>0</v>
      </c>
      <c r="AU229" s="2079">
        <f t="shared" si="399"/>
        <v>0</v>
      </c>
      <c r="AV229" s="2079">
        <f t="shared" si="400"/>
        <v>0</v>
      </c>
      <c r="AW229" s="2079">
        <f t="shared" si="401"/>
        <v>0</v>
      </c>
      <c r="AX229" s="2079">
        <f t="shared" si="402"/>
        <v>0</v>
      </c>
      <c r="AY229" s="2078">
        <f t="shared" si="446"/>
        <v>0</v>
      </c>
      <c r="AZ229" s="2078">
        <f t="shared" si="447"/>
        <v>0</v>
      </c>
      <c r="BA229" s="2078">
        <f t="shared" si="448"/>
        <v>0</v>
      </c>
      <c r="BB229" s="2078">
        <f t="shared" si="449"/>
        <v>0</v>
      </c>
      <c r="BC229" s="2078">
        <f t="shared" si="450"/>
        <v>0</v>
      </c>
      <c r="BD229" s="2078">
        <f t="shared" si="451"/>
        <v>0</v>
      </c>
      <c r="BE229" s="2078">
        <f t="shared" si="452"/>
        <v>0</v>
      </c>
      <c r="BF229" s="2078">
        <f t="shared" si="453"/>
        <v>0</v>
      </c>
      <c r="BG229" s="2078">
        <f t="shared" si="454"/>
        <v>0</v>
      </c>
      <c r="BH229" s="2078">
        <f t="shared" si="455"/>
        <v>0</v>
      </c>
      <c r="BI229" s="2078">
        <f t="shared" si="456"/>
        <v>0</v>
      </c>
      <c r="BJ229" s="2078">
        <f t="shared" si="457"/>
        <v>0</v>
      </c>
      <c r="BK229" s="2078">
        <f t="shared" si="458"/>
        <v>0</v>
      </c>
      <c r="BL229" s="2078">
        <f t="shared" si="459"/>
        <v>0</v>
      </c>
      <c r="BM229" s="2078">
        <f t="shared" si="460"/>
        <v>0</v>
      </c>
      <c r="BN229" s="2078">
        <f t="shared" si="461"/>
        <v>0</v>
      </c>
      <c r="BO229" s="2078">
        <f t="shared" si="462"/>
        <v>0</v>
      </c>
      <c r="BP229" s="2078">
        <f t="shared" si="463"/>
        <v>0</v>
      </c>
      <c r="BQ229" s="2078">
        <f t="shared" si="464"/>
        <v>0</v>
      </c>
      <c r="BR229" s="2078">
        <f t="shared" si="465"/>
        <v>0</v>
      </c>
      <c r="BS229" s="2079">
        <f t="shared" si="403"/>
        <v>1</v>
      </c>
      <c r="BT229" s="2079">
        <f t="shared" si="404"/>
        <v>0</v>
      </c>
      <c r="BU229" s="2079">
        <f t="shared" si="405"/>
        <v>0</v>
      </c>
      <c r="BV229" s="2079">
        <f t="shared" si="406"/>
        <v>0</v>
      </c>
      <c r="BW229" s="2079">
        <f t="shared" si="407"/>
        <v>0</v>
      </c>
      <c r="BX229" s="2079">
        <f t="shared" si="408"/>
        <v>0</v>
      </c>
      <c r="BY229" s="2079">
        <f t="shared" si="409"/>
        <v>0</v>
      </c>
      <c r="BZ229" s="2079">
        <f t="shared" si="410"/>
        <v>0</v>
      </c>
      <c r="CA229" s="2079">
        <f t="shared" si="411"/>
        <v>0</v>
      </c>
      <c r="CB229" s="2079">
        <f t="shared" si="412"/>
        <v>0</v>
      </c>
      <c r="CC229" s="2078">
        <f t="shared" ca="1" si="466"/>
        <v>0</v>
      </c>
      <c r="CD229" s="2078">
        <f t="shared" ca="1" si="467"/>
        <v>0</v>
      </c>
      <c r="CE229" s="2078">
        <f t="shared" ca="1" si="468"/>
        <v>0</v>
      </c>
      <c r="CF229" s="2078">
        <f t="shared" ca="1" si="469"/>
        <v>0</v>
      </c>
      <c r="CG229" s="2078">
        <f t="shared" ca="1" si="470"/>
        <v>0</v>
      </c>
      <c r="CH229" s="2078">
        <f t="shared" ca="1" si="471"/>
        <v>0</v>
      </c>
      <c r="CI229" s="2078">
        <f t="shared" ca="1" si="472"/>
        <v>0</v>
      </c>
      <c r="CJ229" s="2078">
        <f t="shared" ca="1" si="473"/>
        <v>0</v>
      </c>
      <c r="CK229" s="2078">
        <f t="shared" ca="1" si="474"/>
        <v>0</v>
      </c>
      <c r="CL229" s="2078">
        <f t="shared" ca="1" si="475"/>
        <v>0</v>
      </c>
      <c r="CM229" s="2078">
        <f t="shared" si="413"/>
        <v>1</v>
      </c>
      <c r="CN229" s="2078">
        <f t="shared" si="414"/>
        <v>1</v>
      </c>
      <c r="CO229" s="2078">
        <f t="shared" si="415"/>
        <v>1</v>
      </c>
      <c r="CP229" s="2078">
        <f t="shared" si="478"/>
        <v>1</v>
      </c>
      <c r="CQ229" s="2078">
        <f t="shared" si="416"/>
        <v>0</v>
      </c>
      <c r="CR229" s="2078">
        <f t="shared" si="417"/>
        <v>0</v>
      </c>
      <c r="CS229" s="2078">
        <f t="shared" si="479"/>
        <v>0</v>
      </c>
      <c r="CT229" s="2078">
        <f t="shared" si="418"/>
        <v>1</v>
      </c>
      <c r="CU229" s="2078">
        <f t="shared" si="480"/>
        <v>1</v>
      </c>
      <c r="CV229" s="2078">
        <f t="shared" si="419"/>
        <v>0</v>
      </c>
      <c r="CW229" s="2078">
        <f>IF(OR(AE229&lt;&gt;3,F229="Exclude"),0,IF(ISERROR(MATCH($E229,'4 Sign-off'!$S$123:$X$123,0)),0,1))</f>
        <v>0</v>
      </c>
      <c r="CX229" s="2078">
        <f t="shared" si="481"/>
        <v>0</v>
      </c>
      <c r="CY229" s="2078">
        <f t="shared" si="420"/>
        <v>0</v>
      </c>
      <c r="CZ229" s="2993">
        <f t="shared" ca="1" si="483"/>
        <v>0</v>
      </c>
      <c r="DA229" s="3037">
        <f t="shared" ca="1" si="484"/>
        <v>0</v>
      </c>
      <c r="DB229" s="1664"/>
      <c r="DC229" s="1320"/>
      <c r="DD229" s="589"/>
      <c r="DE229" s="1321"/>
      <c r="DF229" s="107"/>
      <c r="DG229" s="112"/>
      <c r="DH229" s="140"/>
      <c r="DI229" s="22"/>
      <c r="DJ229" s="145"/>
      <c r="DK229" s="137"/>
      <c r="DL229" s="137"/>
      <c r="DM229" s="137"/>
      <c r="DN229" s="137"/>
      <c r="DO229" s="137"/>
      <c r="DP229" s="137"/>
      <c r="DQ229" s="137"/>
      <c r="DR229" s="137"/>
      <c r="DS229" s="137"/>
      <c r="DT229" s="137"/>
      <c r="DU229" s="137"/>
      <c r="DV229" s="137"/>
      <c r="DW229" s="137"/>
      <c r="DX229" s="137"/>
      <c r="DY229" s="137"/>
      <c r="DZ229" s="137"/>
      <c r="EA229" s="137"/>
      <c r="EB229" s="137"/>
      <c r="EC229" s="137"/>
      <c r="ED229" s="137"/>
      <c r="EE229" s="137"/>
      <c r="EF229" s="137"/>
      <c r="EG229" s="137"/>
      <c r="EH229" s="137"/>
      <c r="EI229" s="137"/>
      <c r="EJ229" s="137"/>
      <c r="EK229" s="137"/>
      <c r="EL229" s="137"/>
      <c r="EM229" s="137"/>
      <c r="EN229" s="137"/>
      <c r="EO229" s="137"/>
      <c r="EP229" s="137"/>
      <c r="EQ229" s="137"/>
      <c r="ER229" s="137"/>
      <c r="ES229" s="137"/>
      <c r="ET229" s="137"/>
      <c r="EU229" s="137"/>
      <c r="EV229" s="137"/>
      <c r="EW229" s="137"/>
      <c r="EX229" s="137"/>
      <c r="EY229" s="137"/>
      <c r="EZ229" s="137"/>
      <c r="FA229" s="137"/>
      <c r="FB229" s="137"/>
      <c r="FC229" s="137"/>
      <c r="FD229" s="137"/>
      <c r="FE229" s="137"/>
      <c r="FF229" s="137"/>
      <c r="FG229" s="860"/>
      <c r="FH229" s="863"/>
      <c r="FI229" s="1318"/>
      <c r="FJ229" s="126"/>
      <c r="FK229" s="127"/>
      <c r="FL229" s="128" t="str">
        <f t="shared" si="485"/>
        <v xml:space="preserve">    </v>
      </c>
      <c r="FM229" s="128"/>
      <c r="FN229" s="1686">
        <f t="shared" si="486"/>
        <v>0</v>
      </c>
      <c r="FO229" s="46">
        <f t="shared" si="421"/>
        <v>0</v>
      </c>
      <c r="FP229" s="46">
        <f t="shared" si="422"/>
        <v>1</v>
      </c>
      <c r="FQ229" s="75">
        <f t="shared" si="489"/>
        <v>0</v>
      </c>
      <c r="FR229" s="46">
        <f t="shared" si="873"/>
        <v>0</v>
      </c>
      <c r="FS229" s="46">
        <f t="shared" si="874"/>
        <v>1</v>
      </c>
      <c r="FT229" s="75">
        <f t="shared" si="492"/>
        <v>0</v>
      </c>
      <c r="FU229" s="2603">
        <f t="shared" si="423"/>
        <v>0</v>
      </c>
      <c r="FV229" s="2607">
        <f t="shared" si="424"/>
        <v>0</v>
      </c>
      <c r="FW229" s="2603">
        <f t="shared" si="425"/>
        <v>0</v>
      </c>
      <c r="FX229" s="2631">
        <f t="shared" si="426"/>
        <v>0</v>
      </c>
      <c r="FY229" s="81" t="e">
        <f t="shared" si="875"/>
        <v>#N/A</v>
      </c>
      <c r="FZ229" s="64" t="e">
        <f t="array" ref="FZ229">MATCH(1,($GT229:$LQ229&gt;0)*$GT$25:$LQ$25,0)</f>
        <v>#N/A</v>
      </c>
      <c r="GA229" s="64" t="e">
        <f t="array" ref="GA229">MATCH(2,1/(GT229:LQ229&gt;0))</f>
        <v>#N/A</v>
      </c>
      <c r="GB229" s="64">
        <f t="shared" si="497"/>
        <v>-1</v>
      </c>
      <c r="GC229" s="46"/>
      <c r="GD229" s="613"/>
      <c r="GE229" s="613"/>
      <c r="GF229" s="613"/>
      <c r="GG229" s="613"/>
      <c r="GH229" s="613"/>
      <c r="GI229" s="613"/>
      <c r="GJ229" s="613"/>
      <c r="GK229" s="613"/>
      <c r="GL229" s="613"/>
      <c r="GM229" s="613"/>
      <c r="GN229" s="385">
        <f t="shared" si="498"/>
        <v>0</v>
      </c>
      <c r="GO229" s="386">
        <f t="shared" si="499"/>
        <v>0</v>
      </c>
      <c r="GP229" s="2635"/>
      <c r="GQ229" s="175"/>
      <c r="GR229" s="172"/>
      <c r="GS229" s="65"/>
      <c r="GT229" s="167"/>
      <c r="GU229" s="168"/>
      <c r="GV229" s="168"/>
      <c r="GW229" s="168"/>
      <c r="GX229" s="168"/>
      <c r="GY229" s="168"/>
      <c r="GZ229" s="168"/>
      <c r="HA229" s="168"/>
      <c r="HB229" s="168"/>
      <c r="HC229" s="168"/>
      <c r="HD229" s="168"/>
      <c r="HE229" s="168"/>
      <c r="HF229" s="168"/>
      <c r="HG229" s="168"/>
      <c r="HH229" s="168"/>
      <c r="HI229" s="168"/>
      <c r="HJ229" s="168"/>
      <c r="HK229" s="168"/>
      <c r="HL229" s="168"/>
      <c r="HM229" s="168"/>
      <c r="HN229" s="168"/>
      <c r="HO229" s="168"/>
      <c r="HP229" s="168"/>
      <c r="HQ229" s="168"/>
      <c r="HR229" s="168"/>
      <c r="HS229" s="168"/>
      <c r="HT229" s="168"/>
      <c r="HU229" s="168"/>
      <c r="HV229" s="168"/>
      <c r="HW229" s="168"/>
      <c r="HX229" s="168"/>
      <c r="HY229" s="168"/>
      <c r="HZ229" s="168"/>
      <c r="IA229" s="168"/>
      <c r="IB229" s="168"/>
      <c r="IC229" s="168"/>
      <c r="ID229" s="168"/>
      <c r="IE229" s="168"/>
      <c r="IF229" s="168"/>
      <c r="IG229" s="168"/>
      <c r="IH229" s="168"/>
      <c r="II229" s="168"/>
      <c r="IJ229" s="168"/>
      <c r="IK229" s="168"/>
      <c r="IL229" s="168"/>
      <c r="IM229" s="168"/>
      <c r="IN229" s="168"/>
      <c r="IO229" s="168"/>
      <c r="IP229" s="168"/>
      <c r="IQ229" s="168"/>
      <c r="IR229" s="168"/>
      <c r="IS229" s="168"/>
      <c r="IT229" s="168"/>
      <c r="IU229" s="168"/>
      <c r="IV229" s="168"/>
      <c r="IW229" s="168"/>
      <c r="IX229" s="168"/>
      <c r="IY229" s="168"/>
      <c r="IZ229" s="168"/>
      <c r="JA229" s="168"/>
      <c r="JB229" s="168"/>
      <c r="JC229" s="168"/>
      <c r="JD229" s="168"/>
      <c r="JE229" s="168"/>
      <c r="JF229" s="168"/>
      <c r="JG229" s="168"/>
      <c r="JH229" s="168"/>
      <c r="JI229" s="168"/>
      <c r="JJ229" s="168"/>
      <c r="JK229" s="168"/>
      <c r="JL229" s="168"/>
      <c r="JM229" s="168"/>
      <c r="JN229" s="168"/>
      <c r="JO229" s="168"/>
      <c r="JP229" s="168"/>
      <c r="JQ229" s="168"/>
      <c r="JR229" s="168"/>
      <c r="JS229" s="168"/>
      <c r="JT229" s="168"/>
      <c r="JU229" s="168"/>
      <c r="JV229" s="168"/>
      <c r="JW229" s="168"/>
      <c r="JX229" s="168"/>
      <c r="JY229" s="168"/>
      <c r="JZ229" s="168"/>
      <c r="KA229" s="168"/>
      <c r="KB229" s="168"/>
      <c r="KC229" s="168"/>
      <c r="KD229" s="168"/>
      <c r="KE229" s="168"/>
      <c r="KF229" s="168"/>
      <c r="KG229" s="168"/>
      <c r="KH229" s="168"/>
      <c r="KI229" s="168"/>
      <c r="KJ229" s="168"/>
      <c r="KK229" s="168"/>
      <c r="KL229" s="168"/>
      <c r="KM229" s="168"/>
      <c r="KN229" s="168"/>
      <c r="KO229" s="168"/>
      <c r="KP229" s="168"/>
      <c r="KQ229" s="168"/>
      <c r="KR229" s="168"/>
      <c r="KS229" s="168"/>
      <c r="KT229" s="168"/>
      <c r="KU229" s="168"/>
      <c r="KV229" s="168"/>
      <c r="KW229" s="168"/>
      <c r="KX229" s="168"/>
      <c r="KY229" s="168"/>
      <c r="KZ229" s="168"/>
      <c r="LA229" s="168"/>
      <c r="LB229" s="168"/>
      <c r="LC229" s="168"/>
      <c r="LD229" s="168"/>
      <c r="LE229" s="168"/>
      <c r="LF229" s="168"/>
      <c r="LG229" s="168"/>
      <c r="LH229" s="168"/>
      <c r="LI229" s="168"/>
      <c r="LJ229" s="168"/>
      <c r="LK229" s="168"/>
      <c r="LL229" s="168"/>
      <c r="LM229" s="168"/>
      <c r="LN229" s="168"/>
      <c r="LO229" s="168"/>
      <c r="LP229" s="606"/>
      <c r="LQ229" s="609"/>
      <c r="LR229" s="1319"/>
      <c r="LS229" s="1319"/>
    </row>
    <row r="230" spans="1:331" s="2" customFormat="1" ht="15" customHeight="1" x14ac:dyDescent="0.25">
      <c r="A230" s="283"/>
      <c r="B230" s="303"/>
      <c r="C230" s="301"/>
      <c r="D230" s="1287"/>
      <c r="E230" s="2298"/>
      <c r="F230" s="1812"/>
      <c r="G230" s="3342"/>
      <c r="H230" s="66"/>
      <c r="I230" s="1746"/>
      <c r="J230" s="1214"/>
      <c r="K230" s="105"/>
      <c r="L230" s="91"/>
      <c r="M230" s="92"/>
      <c r="N230" s="93"/>
      <c r="O230" s="94"/>
      <c r="P230" s="96"/>
      <c r="Q230" s="95"/>
      <c r="R230" s="993">
        <f t="shared" si="431"/>
        <v>0</v>
      </c>
      <c r="S230" s="23">
        <f t="shared" si="432"/>
        <v>0</v>
      </c>
      <c r="T230" s="24">
        <f t="shared" si="433"/>
        <v>0</v>
      </c>
      <c r="U230" s="24">
        <f t="shared" si="434"/>
        <v>0</v>
      </c>
      <c r="V230" s="24">
        <f t="shared" si="435"/>
        <v>0</v>
      </c>
      <c r="W230" s="24">
        <f t="shared" ca="1" si="436"/>
        <v>0</v>
      </c>
      <c r="X230" s="72">
        <f t="shared" ca="1" si="386"/>
        <v>0</v>
      </c>
      <c r="Y230" s="72">
        <f t="shared" si="437"/>
        <v>0</v>
      </c>
      <c r="Z230" s="24">
        <f t="shared" si="438"/>
        <v>0</v>
      </c>
      <c r="AA230" s="72">
        <f t="shared" si="387"/>
        <v>0</v>
      </c>
      <c r="AB230" s="24">
        <f t="shared" si="388"/>
        <v>0</v>
      </c>
      <c r="AC230" s="24">
        <f t="shared" ca="1" si="439"/>
        <v>0</v>
      </c>
      <c r="AD230" s="24">
        <f t="shared" si="389"/>
        <v>0</v>
      </c>
      <c r="AE230" s="2078">
        <f t="shared" si="870"/>
        <v>3</v>
      </c>
      <c r="AF230" s="2078">
        <f t="shared" si="871"/>
        <v>0</v>
      </c>
      <c r="AG230" s="2078">
        <f t="shared" si="872"/>
        <v>0</v>
      </c>
      <c r="AH230" s="2521">
        <f t="shared" si="390"/>
        <v>1</v>
      </c>
      <c r="AI230" s="25" t="str">
        <f t="shared" si="443"/>
        <v/>
      </c>
      <c r="AJ230" s="2521">
        <f t="shared" ca="1" si="391"/>
        <v>0</v>
      </c>
      <c r="AK230" s="2076">
        <f t="shared" ca="1" si="392"/>
        <v>0</v>
      </c>
      <c r="AL230" s="2078">
        <f>IF(ISBLANK(J230),0,ISERROR(MATCH(J230,'5  Control Accounts'!$FA$29:$FA$96,0))*1)</f>
        <v>0</v>
      </c>
      <c r="AM230" s="2076">
        <f t="shared" si="444"/>
        <v>0</v>
      </c>
      <c r="AN230" s="2078">
        <f t="shared" si="445"/>
        <v>1</v>
      </c>
      <c r="AO230" s="2079">
        <f t="shared" si="393"/>
        <v>1</v>
      </c>
      <c r="AP230" s="2079">
        <f t="shared" si="394"/>
        <v>0</v>
      </c>
      <c r="AQ230" s="2079">
        <f t="shared" si="395"/>
        <v>0</v>
      </c>
      <c r="AR230" s="2079">
        <f t="shared" si="396"/>
        <v>0</v>
      </c>
      <c r="AS230" s="2079">
        <f t="shared" si="397"/>
        <v>0</v>
      </c>
      <c r="AT230" s="2079">
        <f t="shared" si="398"/>
        <v>0</v>
      </c>
      <c r="AU230" s="2079">
        <f t="shared" si="399"/>
        <v>0</v>
      </c>
      <c r="AV230" s="2079">
        <f t="shared" si="400"/>
        <v>0</v>
      </c>
      <c r="AW230" s="2079">
        <f t="shared" si="401"/>
        <v>0</v>
      </c>
      <c r="AX230" s="2079">
        <f t="shared" si="402"/>
        <v>0</v>
      </c>
      <c r="AY230" s="2078">
        <f t="shared" si="446"/>
        <v>0</v>
      </c>
      <c r="AZ230" s="2078">
        <f t="shared" si="447"/>
        <v>0</v>
      </c>
      <c r="BA230" s="2078">
        <f t="shared" si="448"/>
        <v>0</v>
      </c>
      <c r="BB230" s="2078">
        <f t="shared" si="449"/>
        <v>0</v>
      </c>
      <c r="BC230" s="2078">
        <f t="shared" si="450"/>
        <v>0</v>
      </c>
      <c r="BD230" s="2078">
        <f t="shared" si="451"/>
        <v>0</v>
      </c>
      <c r="BE230" s="2078">
        <f t="shared" si="452"/>
        <v>0</v>
      </c>
      <c r="BF230" s="2078">
        <f t="shared" si="453"/>
        <v>0</v>
      </c>
      <c r="BG230" s="2078">
        <f t="shared" si="454"/>
        <v>0</v>
      </c>
      <c r="BH230" s="2078">
        <f t="shared" si="455"/>
        <v>0</v>
      </c>
      <c r="BI230" s="2078">
        <f t="shared" si="456"/>
        <v>0</v>
      </c>
      <c r="BJ230" s="2078">
        <f t="shared" si="457"/>
        <v>0</v>
      </c>
      <c r="BK230" s="2078">
        <f t="shared" si="458"/>
        <v>0</v>
      </c>
      <c r="BL230" s="2078">
        <f t="shared" si="459"/>
        <v>0</v>
      </c>
      <c r="BM230" s="2078">
        <f t="shared" si="460"/>
        <v>0</v>
      </c>
      <c r="BN230" s="2078">
        <f t="shared" si="461"/>
        <v>0</v>
      </c>
      <c r="BO230" s="2078">
        <f t="shared" si="462"/>
        <v>0</v>
      </c>
      <c r="BP230" s="2078">
        <f t="shared" si="463"/>
        <v>0</v>
      </c>
      <c r="BQ230" s="2078">
        <f t="shared" si="464"/>
        <v>0</v>
      </c>
      <c r="BR230" s="2078">
        <f t="shared" si="465"/>
        <v>0</v>
      </c>
      <c r="BS230" s="2079">
        <f t="shared" si="403"/>
        <v>1</v>
      </c>
      <c r="BT230" s="2079">
        <f t="shared" si="404"/>
        <v>0</v>
      </c>
      <c r="BU230" s="2079">
        <f t="shared" si="405"/>
        <v>0</v>
      </c>
      <c r="BV230" s="2079">
        <f t="shared" si="406"/>
        <v>0</v>
      </c>
      <c r="BW230" s="2079">
        <f t="shared" si="407"/>
        <v>0</v>
      </c>
      <c r="BX230" s="2079">
        <f t="shared" si="408"/>
        <v>0</v>
      </c>
      <c r="BY230" s="2079">
        <f t="shared" si="409"/>
        <v>0</v>
      </c>
      <c r="BZ230" s="2079">
        <f t="shared" si="410"/>
        <v>0</v>
      </c>
      <c r="CA230" s="2079">
        <f t="shared" si="411"/>
        <v>0</v>
      </c>
      <c r="CB230" s="2079">
        <f t="shared" si="412"/>
        <v>0</v>
      </c>
      <c r="CC230" s="2078">
        <f t="shared" ca="1" si="466"/>
        <v>0</v>
      </c>
      <c r="CD230" s="2078">
        <f t="shared" ca="1" si="467"/>
        <v>0</v>
      </c>
      <c r="CE230" s="2078">
        <f t="shared" ca="1" si="468"/>
        <v>0</v>
      </c>
      <c r="CF230" s="2078">
        <f t="shared" ca="1" si="469"/>
        <v>0</v>
      </c>
      <c r="CG230" s="2078">
        <f t="shared" ca="1" si="470"/>
        <v>0</v>
      </c>
      <c r="CH230" s="2078">
        <f t="shared" ca="1" si="471"/>
        <v>0</v>
      </c>
      <c r="CI230" s="2078">
        <f t="shared" ca="1" si="472"/>
        <v>0</v>
      </c>
      <c r="CJ230" s="2078">
        <f t="shared" ca="1" si="473"/>
        <v>0</v>
      </c>
      <c r="CK230" s="2078">
        <f t="shared" ca="1" si="474"/>
        <v>0</v>
      </c>
      <c r="CL230" s="2078">
        <f t="shared" ca="1" si="475"/>
        <v>0</v>
      </c>
      <c r="CM230" s="2078">
        <f t="shared" si="413"/>
        <v>1</v>
      </c>
      <c r="CN230" s="2078">
        <f t="shared" si="414"/>
        <v>1</v>
      </c>
      <c r="CO230" s="2078">
        <f t="shared" si="415"/>
        <v>1</v>
      </c>
      <c r="CP230" s="2078">
        <f t="shared" si="478"/>
        <v>1</v>
      </c>
      <c r="CQ230" s="2078">
        <f t="shared" si="416"/>
        <v>0</v>
      </c>
      <c r="CR230" s="2078">
        <f t="shared" si="417"/>
        <v>0</v>
      </c>
      <c r="CS230" s="2078">
        <f t="shared" si="479"/>
        <v>0</v>
      </c>
      <c r="CT230" s="2078">
        <f t="shared" si="418"/>
        <v>1</v>
      </c>
      <c r="CU230" s="2078">
        <f t="shared" si="480"/>
        <v>1</v>
      </c>
      <c r="CV230" s="2078">
        <f t="shared" si="419"/>
        <v>0</v>
      </c>
      <c r="CW230" s="2078">
        <f>IF(OR(AE230&lt;&gt;3,F230="Exclude"),0,IF(ISERROR(MATCH($E230,'4 Sign-off'!$S$123:$X$123,0)),0,1))</f>
        <v>0</v>
      </c>
      <c r="CX230" s="2078">
        <f t="shared" si="481"/>
        <v>0</v>
      </c>
      <c r="CY230" s="2078">
        <f t="shared" si="420"/>
        <v>0</v>
      </c>
      <c r="CZ230" s="2993">
        <f t="shared" ca="1" si="483"/>
        <v>0</v>
      </c>
      <c r="DA230" s="3037">
        <f t="shared" ca="1" si="484"/>
        <v>0</v>
      </c>
      <c r="DB230" s="1664"/>
      <c r="DC230" s="1320"/>
      <c r="DD230" s="589"/>
      <c r="DE230" s="1321"/>
      <c r="DF230" s="107"/>
      <c r="DG230" s="112"/>
      <c r="DH230" s="140"/>
      <c r="DI230" s="22"/>
      <c r="DJ230" s="145"/>
      <c r="DK230" s="137"/>
      <c r="DL230" s="137"/>
      <c r="DM230" s="137"/>
      <c r="DN230" s="137"/>
      <c r="DO230" s="137"/>
      <c r="DP230" s="137"/>
      <c r="DQ230" s="137"/>
      <c r="DR230" s="137"/>
      <c r="DS230" s="137"/>
      <c r="DT230" s="137"/>
      <c r="DU230" s="137"/>
      <c r="DV230" s="137"/>
      <c r="DW230" s="137"/>
      <c r="DX230" s="137"/>
      <c r="DY230" s="137"/>
      <c r="DZ230" s="137"/>
      <c r="EA230" s="137"/>
      <c r="EB230" s="137"/>
      <c r="EC230" s="137"/>
      <c r="ED230" s="137"/>
      <c r="EE230" s="137"/>
      <c r="EF230" s="137"/>
      <c r="EG230" s="137"/>
      <c r="EH230" s="137"/>
      <c r="EI230" s="137"/>
      <c r="EJ230" s="137"/>
      <c r="EK230" s="137"/>
      <c r="EL230" s="137"/>
      <c r="EM230" s="137"/>
      <c r="EN230" s="137"/>
      <c r="EO230" s="137"/>
      <c r="EP230" s="137"/>
      <c r="EQ230" s="137"/>
      <c r="ER230" s="137"/>
      <c r="ES230" s="137"/>
      <c r="ET230" s="137"/>
      <c r="EU230" s="137"/>
      <c r="EV230" s="137"/>
      <c r="EW230" s="137"/>
      <c r="EX230" s="137"/>
      <c r="EY230" s="137"/>
      <c r="EZ230" s="137"/>
      <c r="FA230" s="137"/>
      <c r="FB230" s="137"/>
      <c r="FC230" s="137"/>
      <c r="FD230" s="137"/>
      <c r="FE230" s="137"/>
      <c r="FF230" s="137"/>
      <c r="FG230" s="860"/>
      <c r="FH230" s="863"/>
      <c r="FI230" s="1318"/>
      <c r="FJ230" s="126"/>
      <c r="FK230" s="127"/>
      <c r="FL230" s="128" t="str">
        <f t="shared" si="485"/>
        <v xml:space="preserve">    </v>
      </c>
      <c r="FM230" s="128"/>
      <c r="FN230" s="1686">
        <f t="shared" si="486"/>
        <v>0</v>
      </c>
      <c r="FO230" s="46">
        <f t="shared" si="421"/>
        <v>0</v>
      </c>
      <c r="FP230" s="46">
        <f t="shared" si="422"/>
        <v>1</v>
      </c>
      <c r="FQ230" s="75">
        <f t="shared" si="489"/>
        <v>0</v>
      </c>
      <c r="FR230" s="46">
        <f t="shared" si="873"/>
        <v>0</v>
      </c>
      <c r="FS230" s="46">
        <f t="shared" si="874"/>
        <v>1</v>
      </c>
      <c r="FT230" s="75">
        <f t="shared" si="492"/>
        <v>0</v>
      </c>
      <c r="FU230" s="2603">
        <f t="shared" si="423"/>
        <v>0</v>
      </c>
      <c r="FV230" s="2607">
        <f t="shared" si="424"/>
        <v>0</v>
      </c>
      <c r="FW230" s="2603">
        <f t="shared" si="425"/>
        <v>0</v>
      </c>
      <c r="FX230" s="2631">
        <f t="shared" si="426"/>
        <v>0</v>
      </c>
      <c r="FY230" s="81" t="e">
        <f t="shared" si="875"/>
        <v>#N/A</v>
      </c>
      <c r="FZ230" s="64" t="e">
        <f t="array" ref="FZ230">MATCH(1,($GT230:$LQ230&gt;0)*$GT$25:$LQ$25,0)</f>
        <v>#N/A</v>
      </c>
      <c r="GA230" s="64" t="e">
        <f t="array" ref="GA230">MATCH(2,1/(GT230:LQ230&gt;0))</f>
        <v>#N/A</v>
      </c>
      <c r="GB230" s="64">
        <f t="shared" si="497"/>
        <v>-1</v>
      </c>
      <c r="GC230" s="46"/>
      <c r="GD230" s="613"/>
      <c r="GE230" s="613"/>
      <c r="GF230" s="613"/>
      <c r="GG230" s="613"/>
      <c r="GH230" s="613"/>
      <c r="GI230" s="613"/>
      <c r="GJ230" s="613"/>
      <c r="GK230" s="613"/>
      <c r="GL230" s="613"/>
      <c r="GM230" s="613"/>
      <c r="GN230" s="385">
        <f t="shared" si="498"/>
        <v>0</v>
      </c>
      <c r="GO230" s="386">
        <f t="shared" si="499"/>
        <v>0</v>
      </c>
      <c r="GP230" s="2635"/>
      <c r="GQ230" s="175"/>
      <c r="GR230" s="172"/>
      <c r="GS230" s="65"/>
      <c r="GT230" s="167"/>
      <c r="GU230" s="168"/>
      <c r="GV230" s="168"/>
      <c r="GW230" s="168"/>
      <c r="GX230" s="168"/>
      <c r="GY230" s="168"/>
      <c r="GZ230" s="168"/>
      <c r="HA230" s="168"/>
      <c r="HB230" s="168"/>
      <c r="HC230" s="168"/>
      <c r="HD230" s="168"/>
      <c r="HE230" s="168"/>
      <c r="HF230" s="168"/>
      <c r="HG230" s="168"/>
      <c r="HH230" s="168"/>
      <c r="HI230" s="168"/>
      <c r="HJ230" s="168"/>
      <c r="HK230" s="168"/>
      <c r="HL230" s="168"/>
      <c r="HM230" s="168"/>
      <c r="HN230" s="168"/>
      <c r="HO230" s="168"/>
      <c r="HP230" s="168"/>
      <c r="HQ230" s="168"/>
      <c r="HR230" s="168"/>
      <c r="HS230" s="168"/>
      <c r="HT230" s="168"/>
      <c r="HU230" s="168"/>
      <c r="HV230" s="168"/>
      <c r="HW230" s="168"/>
      <c r="HX230" s="168"/>
      <c r="HY230" s="168"/>
      <c r="HZ230" s="168"/>
      <c r="IA230" s="168"/>
      <c r="IB230" s="168"/>
      <c r="IC230" s="168"/>
      <c r="ID230" s="168"/>
      <c r="IE230" s="168"/>
      <c r="IF230" s="168"/>
      <c r="IG230" s="168"/>
      <c r="IH230" s="168"/>
      <c r="II230" s="168"/>
      <c r="IJ230" s="168"/>
      <c r="IK230" s="168"/>
      <c r="IL230" s="168"/>
      <c r="IM230" s="168"/>
      <c r="IN230" s="168"/>
      <c r="IO230" s="168"/>
      <c r="IP230" s="168"/>
      <c r="IQ230" s="168"/>
      <c r="IR230" s="168"/>
      <c r="IS230" s="168"/>
      <c r="IT230" s="168"/>
      <c r="IU230" s="168"/>
      <c r="IV230" s="168"/>
      <c r="IW230" s="168"/>
      <c r="IX230" s="168"/>
      <c r="IY230" s="168"/>
      <c r="IZ230" s="168"/>
      <c r="JA230" s="168"/>
      <c r="JB230" s="168"/>
      <c r="JC230" s="168"/>
      <c r="JD230" s="168"/>
      <c r="JE230" s="168"/>
      <c r="JF230" s="168"/>
      <c r="JG230" s="168"/>
      <c r="JH230" s="168"/>
      <c r="JI230" s="168"/>
      <c r="JJ230" s="168"/>
      <c r="JK230" s="168"/>
      <c r="JL230" s="168"/>
      <c r="JM230" s="168"/>
      <c r="JN230" s="168"/>
      <c r="JO230" s="168"/>
      <c r="JP230" s="168"/>
      <c r="JQ230" s="168"/>
      <c r="JR230" s="168"/>
      <c r="JS230" s="168"/>
      <c r="JT230" s="168"/>
      <c r="JU230" s="168"/>
      <c r="JV230" s="168"/>
      <c r="JW230" s="168"/>
      <c r="JX230" s="168"/>
      <c r="JY230" s="168"/>
      <c r="JZ230" s="168"/>
      <c r="KA230" s="168"/>
      <c r="KB230" s="168"/>
      <c r="KC230" s="168"/>
      <c r="KD230" s="168"/>
      <c r="KE230" s="168"/>
      <c r="KF230" s="168"/>
      <c r="KG230" s="168"/>
      <c r="KH230" s="168"/>
      <c r="KI230" s="168"/>
      <c r="KJ230" s="168"/>
      <c r="KK230" s="168"/>
      <c r="KL230" s="168"/>
      <c r="KM230" s="168"/>
      <c r="KN230" s="168"/>
      <c r="KO230" s="168"/>
      <c r="KP230" s="168"/>
      <c r="KQ230" s="168"/>
      <c r="KR230" s="168"/>
      <c r="KS230" s="168"/>
      <c r="KT230" s="168"/>
      <c r="KU230" s="168"/>
      <c r="KV230" s="168"/>
      <c r="KW230" s="168"/>
      <c r="KX230" s="168"/>
      <c r="KY230" s="168"/>
      <c r="KZ230" s="168"/>
      <c r="LA230" s="168"/>
      <c r="LB230" s="168"/>
      <c r="LC230" s="168"/>
      <c r="LD230" s="168"/>
      <c r="LE230" s="168"/>
      <c r="LF230" s="168"/>
      <c r="LG230" s="168"/>
      <c r="LH230" s="168"/>
      <c r="LI230" s="168"/>
      <c r="LJ230" s="168"/>
      <c r="LK230" s="168"/>
      <c r="LL230" s="168"/>
      <c r="LM230" s="168"/>
      <c r="LN230" s="168"/>
      <c r="LO230" s="168"/>
      <c r="LP230" s="606"/>
      <c r="LQ230" s="609"/>
      <c r="LR230" s="1319"/>
      <c r="LS230" s="1319"/>
    </row>
    <row r="231" spans="1:331" s="2" customFormat="1" ht="15" customHeight="1" x14ac:dyDescent="0.25">
      <c r="A231" s="283"/>
      <c r="B231" s="303"/>
      <c r="C231" s="301"/>
      <c r="D231" s="1287"/>
      <c r="E231" s="2298"/>
      <c r="F231" s="1812"/>
      <c r="G231" s="3342"/>
      <c r="H231" s="66"/>
      <c r="I231" s="1746"/>
      <c r="J231" s="1214"/>
      <c r="K231" s="105"/>
      <c r="L231" s="91"/>
      <c r="M231" s="92"/>
      <c r="N231" s="93"/>
      <c r="O231" s="94"/>
      <c r="P231" s="96"/>
      <c r="Q231" s="95"/>
      <c r="R231" s="993">
        <f t="shared" si="431"/>
        <v>0</v>
      </c>
      <c r="S231" s="23">
        <f t="shared" si="432"/>
        <v>0</v>
      </c>
      <c r="T231" s="24">
        <f t="shared" si="433"/>
        <v>0</v>
      </c>
      <c r="U231" s="24">
        <f t="shared" si="434"/>
        <v>0</v>
      </c>
      <c r="V231" s="24">
        <f t="shared" si="435"/>
        <v>0</v>
      </c>
      <c r="W231" s="24">
        <f t="shared" ca="1" si="436"/>
        <v>0</v>
      </c>
      <c r="X231" s="72">
        <f t="shared" ca="1" si="386"/>
        <v>0</v>
      </c>
      <c r="Y231" s="72">
        <f t="shared" si="437"/>
        <v>0</v>
      </c>
      <c r="Z231" s="24">
        <f t="shared" si="438"/>
        <v>0</v>
      </c>
      <c r="AA231" s="72">
        <f t="shared" si="387"/>
        <v>0</v>
      </c>
      <c r="AB231" s="24">
        <f t="shared" si="388"/>
        <v>0</v>
      </c>
      <c r="AC231" s="24">
        <f t="shared" ca="1" si="439"/>
        <v>0</v>
      </c>
      <c r="AD231" s="24">
        <f t="shared" si="389"/>
        <v>0</v>
      </c>
      <c r="AE231" s="2078">
        <f t="shared" si="870"/>
        <v>3</v>
      </c>
      <c r="AF231" s="2078">
        <f t="shared" si="871"/>
        <v>0</v>
      </c>
      <c r="AG231" s="2078">
        <f t="shared" si="872"/>
        <v>0</v>
      </c>
      <c r="AH231" s="2521">
        <f t="shared" si="390"/>
        <v>1</v>
      </c>
      <c r="AI231" s="25" t="str">
        <f t="shared" si="443"/>
        <v/>
      </c>
      <c r="AJ231" s="2521">
        <f t="shared" ca="1" si="391"/>
        <v>0</v>
      </c>
      <c r="AK231" s="2076">
        <f t="shared" ca="1" si="392"/>
        <v>0</v>
      </c>
      <c r="AL231" s="2078">
        <f>IF(ISBLANK(J231),0,ISERROR(MATCH(J231,'5  Control Accounts'!$FA$29:$FA$96,0))*1)</f>
        <v>0</v>
      </c>
      <c r="AM231" s="2076">
        <f t="shared" si="444"/>
        <v>0</v>
      </c>
      <c r="AN231" s="2078">
        <f t="shared" si="445"/>
        <v>1</v>
      </c>
      <c r="AO231" s="2079">
        <f t="shared" si="393"/>
        <v>1</v>
      </c>
      <c r="AP231" s="2079">
        <f t="shared" si="394"/>
        <v>0</v>
      </c>
      <c r="AQ231" s="2079">
        <f t="shared" si="395"/>
        <v>0</v>
      </c>
      <c r="AR231" s="2079">
        <f t="shared" si="396"/>
        <v>0</v>
      </c>
      <c r="AS231" s="2079">
        <f t="shared" si="397"/>
        <v>0</v>
      </c>
      <c r="AT231" s="2079">
        <f t="shared" si="398"/>
        <v>0</v>
      </c>
      <c r="AU231" s="2079">
        <f t="shared" si="399"/>
        <v>0</v>
      </c>
      <c r="AV231" s="2079">
        <f t="shared" si="400"/>
        <v>0</v>
      </c>
      <c r="AW231" s="2079">
        <f t="shared" si="401"/>
        <v>0</v>
      </c>
      <c r="AX231" s="2079">
        <f t="shared" si="402"/>
        <v>0</v>
      </c>
      <c r="AY231" s="2078">
        <f t="shared" si="446"/>
        <v>0</v>
      </c>
      <c r="AZ231" s="2078">
        <f t="shared" si="447"/>
        <v>0</v>
      </c>
      <c r="BA231" s="2078">
        <f t="shared" si="448"/>
        <v>0</v>
      </c>
      <c r="BB231" s="2078">
        <f t="shared" si="449"/>
        <v>0</v>
      </c>
      <c r="BC231" s="2078">
        <f t="shared" si="450"/>
        <v>0</v>
      </c>
      <c r="BD231" s="2078">
        <f t="shared" si="451"/>
        <v>0</v>
      </c>
      <c r="BE231" s="2078">
        <f t="shared" si="452"/>
        <v>0</v>
      </c>
      <c r="BF231" s="2078">
        <f t="shared" si="453"/>
        <v>0</v>
      </c>
      <c r="BG231" s="2078">
        <f t="shared" si="454"/>
        <v>0</v>
      </c>
      <c r="BH231" s="2078">
        <f t="shared" si="455"/>
        <v>0</v>
      </c>
      <c r="BI231" s="2078">
        <f t="shared" si="456"/>
        <v>0</v>
      </c>
      <c r="BJ231" s="2078">
        <f t="shared" si="457"/>
        <v>0</v>
      </c>
      <c r="BK231" s="2078">
        <f t="shared" si="458"/>
        <v>0</v>
      </c>
      <c r="BL231" s="2078">
        <f t="shared" si="459"/>
        <v>0</v>
      </c>
      <c r="BM231" s="2078">
        <f t="shared" si="460"/>
        <v>0</v>
      </c>
      <c r="BN231" s="2078">
        <f t="shared" si="461"/>
        <v>0</v>
      </c>
      <c r="BO231" s="2078">
        <f t="shared" si="462"/>
        <v>0</v>
      </c>
      <c r="BP231" s="2078">
        <f t="shared" si="463"/>
        <v>0</v>
      </c>
      <c r="BQ231" s="2078">
        <f t="shared" si="464"/>
        <v>0</v>
      </c>
      <c r="BR231" s="2078">
        <f t="shared" si="465"/>
        <v>0</v>
      </c>
      <c r="BS231" s="2079">
        <f t="shared" si="403"/>
        <v>1</v>
      </c>
      <c r="BT231" s="2079">
        <f t="shared" si="404"/>
        <v>0</v>
      </c>
      <c r="BU231" s="2079">
        <f t="shared" si="405"/>
        <v>0</v>
      </c>
      <c r="BV231" s="2079">
        <f t="shared" si="406"/>
        <v>0</v>
      </c>
      <c r="BW231" s="2079">
        <f t="shared" si="407"/>
        <v>0</v>
      </c>
      <c r="BX231" s="2079">
        <f t="shared" si="408"/>
        <v>0</v>
      </c>
      <c r="BY231" s="2079">
        <f t="shared" si="409"/>
        <v>0</v>
      </c>
      <c r="BZ231" s="2079">
        <f t="shared" si="410"/>
        <v>0</v>
      </c>
      <c r="CA231" s="2079">
        <f t="shared" si="411"/>
        <v>0</v>
      </c>
      <c r="CB231" s="2079">
        <f t="shared" si="412"/>
        <v>0</v>
      </c>
      <c r="CC231" s="2078">
        <f t="shared" ca="1" si="466"/>
        <v>0</v>
      </c>
      <c r="CD231" s="2078">
        <f t="shared" ca="1" si="467"/>
        <v>0</v>
      </c>
      <c r="CE231" s="2078">
        <f t="shared" ca="1" si="468"/>
        <v>0</v>
      </c>
      <c r="CF231" s="2078">
        <f t="shared" ca="1" si="469"/>
        <v>0</v>
      </c>
      <c r="CG231" s="2078">
        <f t="shared" ca="1" si="470"/>
        <v>0</v>
      </c>
      <c r="CH231" s="2078">
        <f t="shared" ca="1" si="471"/>
        <v>0</v>
      </c>
      <c r="CI231" s="2078">
        <f t="shared" ca="1" si="472"/>
        <v>0</v>
      </c>
      <c r="CJ231" s="2078">
        <f t="shared" ca="1" si="473"/>
        <v>0</v>
      </c>
      <c r="CK231" s="2078">
        <f t="shared" ca="1" si="474"/>
        <v>0</v>
      </c>
      <c r="CL231" s="2078">
        <f t="shared" ca="1" si="475"/>
        <v>0</v>
      </c>
      <c r="CM231" s="2078">
        <f t="shared" si="413"/>
        <v>1</v>
      </c>
      <c r="CN231" s="2078">
        <f t="shared" si="414"/>
        <v>1</v>
      </c>
      <c r="CO231" s="2078">
        <f t="shared" si="415"/>
        <v>1</v>
      </c>
      <c r="CP231" s="2078">
        <f t="shared" si="478"/>
        <v>1</v>
      </c>
      <c r="CQ231" s="2078">
        <f t="shared" si="416"/>
        <v>0</v>
      </c>
      <c r="CR231" s="2078">
        <f t="shared" si="417"/>
        <v>0</v>
      </c>
      <c r="CS231" s="2078">
        <f t="shared" si="479"/>
        <v>0</v>
      </c>
      <c r="CT231" s="2078">
        <f t="shared" si="418"/>
        <v>1</v>
      </c>
      <c r="CU231" s="2078">
        <f t="shared" si="480"/>
        <v>1</v>
      </c>
      <c r="CV231" s="2078">
        <f t="shared" si="419"/>
        <v>0</v>
      </c>
      <c r="CW231" s="2078">
        <f>IF(OR(AE231&lt;&gt;3,F231="Exclude"),0,IF(ISERROR(MATCH($E231,'4 Sign-off'!$S$123:$X$123,0)),0,1))</f>
        <v>0</v>
      </c>
      <c r="CX231" s="2078">
        <f t="shared" si="481"/>
        <v>0</v>
      </c>
      <c r="CY231" s="2078">
        <f t="shared" si="420"/>
        <v>0</v>
      </c>
      <c r="CZ231" s="2993">
        <f t="shared" ca="1" si="483"/>
        <v>0</v>
      </c>
      <c r="DA231" s="3037">
        <f t="shared" ca="1" si="484"/>
        <v>0</v>
      </c>
      <c r="DB231" s="1664"/>
      <c r="DC231" s="1320"/>
      <c r="DD231" s="589"/>
      <c r="DE231" s="1321"/>
      <c r="DF231" s="107"/>
      <c r="DG231" s="112"/>
      <c r="DH231" s="140"/>
      <c r="DI231" s="22"/>
      <c r="DJ231" s="145"/>
      <c r="DK231" s="137"/>
      <c r="DL231" s="137"/>
      <c r="DM231" s="137"/>
      <c r="DN231" s="137"/>
      <c r="DO231" s="137"/>
      <c r="DP231" s="137"/>
      <c r="DQ231" s="137"/>
      <c r="DR231" s="137"/>
      <c r="DS231" s="137"/>
      <c r="DT231" s="137"/>
      <c r="DU231" s="137"/>
      <c r="DV231" s="137"/>
      <c r="DW231" s="137"/>
      <c r="DX231" s="137"/>
      <c r="DY231" s="137"/>
      <c r="DZ231" s="137"/>
      <c r="EA231" s="137"/>
      <c r="EB231" s="137"/>
      <c r="EC231" s="137"/>
      <c r="ED231" s="137"/>
      <c r="EE231" s="137"/>
      <c r="EF231" s="137"/>
      <c r="EG231" s="137"/>
      <c r="EH231" s="137"/>
      <c r="EI231" s="137"/>
      <c r="EJ231" s="137"/>
      <c r="EK231" s="137"/>
      <c r="EL231" s="137"/>
      <c r="EM231" s="137"/>
      <c r="EN231" s="137"/>
      <c r="EO231" s="137"/>
      <c r="EP231" s="137"/>
      <c r="EQ231" s="137"/>
      <c r="ER231" s="137"/>
      <c r="ES231" s="137"/>
      <c r="ET231" s="137"/>
      <c r="EU231" s="137"/>
      <c r="EV231" s="137"/>
      <c r="EW231" s="137"/>
      <c r="EX231" s="137"/>
      <c r="EY231" s="137"/>
      <c r="EZ231" s="137"/>
      <c r="FA231" s="137"/>
      <c r="FB231" s="137"/>
      <c r="FC231" s="137"/>
      <c r="FD231" s="137"/>
      <c r="FE231" s="137"/>
      <c r="FF231" s="137"/>
      <c r="FG231" s="860"/>
      <c r="FH231" s="863"/>
      <c r="FI231" s="1318"/>
      <c r="FJ231" s="126"/>
      <c r="FK231" s="127"/>
      <c r="FL231" s="128" t="str">
        <f t="shared" si="485"/>
        <v xml:space="preserve">    </v>
      </c>
      <c r="FM231" s="128"/>
      <c r="FN231" s="1686">
        <f t="shared" si="486"/>
        <v>0</v>
      </c>
      <c r="FO231" s="46">
        <f t="shared" si="421"/>
        <v>0</v>
      </c>
      <c r="FP231" s="46">
        <f t="shared" si="422"/>
        <v>1</v>
      </c>
      <c r="FQ231" s="75">
        <f t="shared" si="489"/>
        <v>0</v>
      </c>
      <c r="FR231" s="46">
        <f t="shared" si="873"/>
        <v>0</v>
      </c>
      <c r="FS231" s="46">
        <f t="shared" si="874"/>
        <v>1</v>
      </c>
      <c r="FT231" s="75">
        <f t="shared" si="492"/>
        <v>0</v>
      </c>
      <c r="FU231" s="2603">
        <f t="shared" si="423"/>
        <v>0</v>
      </c>
      <c r="FV231" s="2607">
        <f t="shared" si="424"/>
        <v>0</v>
      </c>
      <c r="FW231" s="2603">
        <f t="shared" si="425"/>
        <v>0</v>
      </c>
      <c r="FX231" s="2631">
        <f t="shared" si="426"/>
        <v>0</v>
      </c>
      <c r="FY231" s="81" t="e">
        <f t="shared" si="875"/>
        <v>#N/A</v>
      </c>
      <c r="FZ231" s="64" t="e">
        <f t="array" ref="FZ231">MATCH(1,($GT231:$LQ231&gt;0)*$GT$25:$LQ$25,0)</f>
        <v>#N/A</v>
      </c>
      <c r="GA231" s="64" t="e">
        <f t="array" ref="GA231">MATCH(2,1/(GT231:LQ231&gt;0))</f>
        <v>#N/A</v>
      </c>
      <c r="GB231" s="64">
        <f t="shared" si="497"/>
        <v>-1</v>
      </c>
      <c r="GC231" s="46"/>
      <c r="GD231" s="613"/>
      <c r="GE231" s="613"/>
      <c r="GF231" s="613"/>
      <c r="GG231" s="613"/>
      <c r="GH231" s="613"/>
      <c r="GI231" s="613"/>
      <c r="GJ231" s="613"/>
      <c r="GK231" s="613"/>
      <c r="GL231" s="613"/>
      <c r="GM231" s="613"/>
      <c r="GN231" s="385">
        <f t="shared" si="498"/>
        <v>0</v>
      </c>
      <c r="GO231" s="386">
        <f t="shared" si="499"/>
        <v>0</v>
      </c>
      <c r="GP231" s="2635"/>
      <c r="GQ231" s="175"/>
      <c r="GR231" s="172"/>
      <c r="GS231" s="65"/>
      <c r="GT231" s="167"/>
      <c r="GU231" s="168"/>
      <c r="GV231" s="168"/>
      <c r="GW231" s="168"/>
      <c r="GX231" s="168"/>
      <c r="GY231" s="168"/>
      <c r="GZ231" s="168"/>
      <c r="HA231" s="168"/>
      <c r="HB231" s="168"/>
      <c r="HC231" s="168"/>
      <c r="HD231" s="168"/>
      <c r="HE231" s="168"/>
      <c r="HF231" s="168"/>
      <c r="HG231" s="168"/>
      <c r="HH231" s="168"/>
      <c r="HI231" s="168"/>
      <c r="HJ231" s="168"/>
      <c r="HK231" s="168"/>
      <c r="HL231" s="168"/>
      <c r="HM231" s="168"/>
      <c r="HN231" s="168"/>
      <c r="HO231" s="168"/>
      <c r="HP231" s="168"/>
      <c r="HQ231" s="168"/>
      <c r="HR231" s="168"/>
      <c r="HS231" s="168"/>
      <c r="HT231" s="168"/>
      <c r="HU231" s="168"/>
      <c r="HV231" s="168"/>
      <c r="HW231" s="168"/>
      <c r="HX231" s="168"/>
      <c r="HY231" s="168"/>
      <c r="HZ231" s="168"/>
      <c r="IA231" s="168"/>
      <c r="IB231" s="168"/>
      <c r="IC231" s="168"/>
      <c r="ID231" s="168"/>
      <c r="IE231" s="168"/>
      <c r="IF231" s="168"/>
      <c r="IG231" s="168"/>
      <c r="IH231" s="168"/>
      <c r="II231" s="168"/>
      <c r="IJ231" s="168"/>
      <c r="IK231" s="168"/>
      <c r="IL231" s="168"/>
      <c r="IM231" s="168"/>
      <c r="IN231" s="168"/>
      <c r="IO231" s="168"/>
      <c r="IP231" s="168"/>
      <c r="IQ231" s="168"/>
      <c r="IR231" s="168"/>
      <c r="IS231" s="168"/>
      <c r="IT231" s="168"/>
      <c r="IU231" s="168"/>
      <c r="IV231" s="168"/>
      <c r="IW231" s="168"/>
      <c r="IX231" s="168"/>
      <c r="IY231" s="168"/>
      <c r="IZ231" s="168"/>
      <c r="JA231" s="168"/>
      <c r="JB231" s="168"/>
      <c r="JC231" s="168"/>
      <c r="JD231" s="168"/>
      <c r="JE231" s="168"/>
      <c r="JF231" s="168"/>
      <c r="JG231" s="168"/>
      <c r="JH231" s="168"/>
      <c r="JI231" s="168"/>
      <c r="JJ231" s="168"/>
      <c r="JK231" s="168"/>
      <c r="JL231" s="168"/>
      <c r="JM231" s="168"/>
      <c r="JN231" s="168"/>
      <c r="JO231" s="168"/>
      <c r="JP231" s="168"/>
      <c r="JQ231" s="168"/>
      <c r="JR231" s="168"/>
      <c r="JS231" s="168"/>
      <c r="JT231" s="168"/>
      <c r="JU231" s="168"/>
      <c r="JV231" s="168"/>
      <c r="JW231" s="168"/>
      <c r="JX231" s="168"/>
      <c r="JY231" s="168"/>
      <c r="JZ231" s="168"/>
      <c r="KA231" s="168"/>
      <c r="KB231" s="168"/>
      <c r="KC231" s="168"/>
      <c r="KD231" s="168"/>
      <c r="KE231" s="168"/>
      <c r="KF231" s="168"/>
      <c r="KG231" s="168"/>
      <c r="KH231" s="168"/>
      <c r="KI231" s="168"/>
      <c r="KJ231" s="168"/>
      <c r="KK231" s="168"/>
      <c r="KL231" s="168"/>
      <c r="KM231" s="168"/>
      <c r="KN231" s="168"/>
      <c r="KO231" s="168"/>
      <c r="KP231" s="168"/>
      <c r="KQ231" s="168"/>
      <c r="KR231" s="168"/>
      <c r="KS231" s="168"/>
      <c r="KT231" s="168"/>
      <c r="KU231" s="168"/>
      <c r="KV231" s="168"/>
      <c r="KW231" s="168"/>
      <c r="KX231" s="168"/>
      <c r="KY231" s="168"/>
      <c r="KZ231" s="168"/>
      <c r="LA231" s="168"/>
      <c r="LB231" s="168"/>
      <c r="LC231" s="168"/>
      <c r="LD231" s="168"/>
      <c r="LE231" s="168"/>
      <c r="LF231" s="168"/>
      <c r="LG231" s="168"/>
      <c r="LH231" s="168"/>
      <c r="LI231" s="168"/>
      <c r="LJ231" s="168"/>
      <c r="LK231" s="168"/>
      <c r="LL231" s="168"/>
      <c r="LM231" s="168"/>
      <c r="LN231" s="168"/>
      <c r="LO231" s="168"/>
      <c r="LP231" s="606"/>
      <c r="LQ231" s="609"/>
      <c r="LR231" s="1319"/>
      <c r="LS231" s="1319"/>
    </row>
    <row r="232" spans="1:331" s="2" customFormat="1" ht="15" customHeight="1" x14ac:dyDescent="0.25">
      <c r="A232" s="283"/>
      <c r="B232" s="303"/>
      <c r="C232" s="301"/>
      <c r="D232" s="1287"/>
      <c r="E232" s="2298"/>
      <c r="F232" s="1812"/>
      <c r="G232" s="3342"/>
      <c r="H232" s="66"/>
      <c r="I232" s="1746"/>
      <c r="J232" s="1214"/>
      <c r="K232" s="105"/>
      <c r="L232" s="91"/>
      <c r="M232" s="92"/>
      <c r="N232" s="93"/>
      <c r="O232" s="94"/>
      <c r="P232" s="96"/>
      <c r="Q232" s="95"/>
      <c r="R232" s="993">
        <f t="shared" si="431"/>
        <v>0</v>
      </c>
      <c r="S232" s="23">
        <f t="shared" si="432"/>
        <v>0</v>
      </c>
      <c r="T232" s="24">
        <f t="shared" si="433"/>
        <v>0</v>
      </c>
      <c r="U232" s="24">
        <f t="shared" si="434"/>
        <v>0</v>
      </c>
      <c r="V232" s="24">
        <f t="shared" si="435"/>
        <v>0</v>
      </c>
      <c r="W232" s="24">
        <f t="shared" ca="1" si="436"/>
        <v>0</v>
      </c>
      <c r="X232" s="72">
        <f t="shared" ca="1" si="386"/>
        <v>0</v>
      </c>
      <c r="Y232" s="72">
        <f t="shared" si="437"/>
        <v>0</v>
      </c>
      <c r="Z232" s="24">
        <f t="shared" si="438"/>
        <v>0</v>
      </c>
      <c r="AA232" s="72">
        <f t="shared" si="387"/>
        <v>0</v>
      </c>
      <c r="AB232" s="24">
        <f t="shared" si="388"/>
        <v>0</v>
      </c>
      <c r="AC232" s="24">
        <f t="shared" ca="1" si="439"/>
        <v>0</v>
      </c>
      <c r="AD232" s="24">
        <f t="shared" si="389"/>
        <v>0</v>
      </c>
      <c r="AE232" s="2078">
        <f t="shared" si="870"/>
        <v>3</v>
      </c>
      <c r="AF232" s="2078">
        <f t="shared" si="871"/>
        <v>0</v>
      </c>
      <c r="AG232" s="2078">
        <f t="shared" si="872"/>
        <v>0</v>
      </c>
      <c r="AH232" s="2521">
        <f t="shared" si="390"/>
        <v>1</v>
      </c>
      <c r="AI232" s="25" t="str">
        <f t="shared" si="443"/>
        <v/>
      </c>
      <c r="AJ232" s="2521">
        <f t="shared" ca="1" si="391"/>
        <v>0</v>
      </c>
      <c r="AK232" s="2076">
        <f t="shared" ca="1" si="392"/>
        <v>0</v>
      </c>
      <c r="AL232" s="2078">
        <f>IF(ISBLANK(J232),0,ISERROR(MATCH(J232,'5  Control Accounts'!$FA$29:$FA$96,0))*1)</f>
        <v>0</v>
      </c>
      <c r="AM232" s="2076">
        <f t="shared" si="444"/>
        <v>0</v>
      </c>
      <c r="AN232" s="2078">
        <f t="shared" si="445"/>
        <v>1</v>
      </c>
      <c r="AO232" s="2079">
        <f t="shared" si="393"/>
        <v>1</v>
      </c>
      <c r="AP232" s="2079">
        <f t="shared" si="394"/>
        <v>0</v>
      </c>
      <c r="AQ232" s="2079">
        <f t="shared" si="395"/>
        <v>0</v>
      </c>
      <c r="AR232" s="2079">
        <f t="shared" si="396"/>
        <v>0</v>
      </c>
      <c r="AS232" s="2079">
        <f t="shared" si="397"/>
        <v>0</v>
      </c>
      <c r="AT232" s="2079">
        <f t="shared" si="398"/>
        <v>0</v>
      </c>
      <c r="AU232" s="2079">
        <f t="shared" si="399"/>
        <v>0</v>
      </c>
      <c r="AV232" s="2079">
        <f t="shared" si="400"/>
        <v>0</v>
      </c>
      <c r="AW232" s="2079">
        <f t="shared" si="401"/>
        <v>0</v>
      </c>
      <c r="AX232" s="2079">
        <f t="shared" si="402"/>
        <v>0</v>
      </c>
      <c r="AY232" s="2078">
        <f t="shared" si="446"/>
        <v>0</v>
      </c>
      <c r="AZ232" s="2078">
        <f t="shared" si="447"/>
        <v>0</v>
      </c>
      <c r="BA232" s="2078">
        <f t="shared" si="448"/>
        <v>0</v>
      </c>
      <c r="BB232" s="2078">
        <f t="shared" si="449"/>
        <v>0</v>
      </c>
      <c r="BC232" s="2078">
        <f t="shared" si="450"/>
        <v>0</v>
      </c>
      <c r="BD232" s="2078">
        <f t="shared" si="451"/>
        <v>0</v>
      </c>
      <c r="BE232" s="2078">
        <f t="shared" si="452"/>
        <v>0</v>
      </c>
      <c r="BF232" s="2078">
        <f t="shared" si="453"/>
        <v>0</v>
      </c>
      <c r="BG232" s="2078">
        <f t="shared" si="454"/>
        <v>0</v>
      </c>
      <c r="BH232" s="2078">
        <f t="shared" si="455"/>
        <v>0</v>
      </c>
      <c r="BI232" s="2078">
        <f t="shared" si="456"/>
        <v>0</v>
      </c>
      <c r="BJ232" s="2078">
        <f t="shared" si="457"/>
        <v>0</v>
      </c>
      <c r="BK232" s="2078">
        <f t="shared" si="458"/>
        <v>0</v>
      </c>
      <c r="BL232" s="2078">
        <f t="shared" si="459"/>
        <v>0</v>
      </c>
      <c r="BM232" s="2078">
        <f t="shared" si="460"/>
        <v>0</v>
      </c>
      <c r="BN232" s="2078">
        <f t="shared" si="461"/>
        <v>0</v>
      </c>
      <c r="BO232" s="2078">
        <f t="shared" si="462"/>
        <v>0</v>
      </c>
      <c r="BP232" s="2078">
        <f t="shared" si="463"/>
        <v>0</v>
      </c>
      <c r="BQ232" s="2078">
        <f t="shared" si="464"/>
        <v>0</v>
      </c>
      <c r="BR232" s="2078">
        <f t="shared" si="465"/>
        <v>0</v>
      </c>
      <c r="BS232" s="2079">
        <f t="shared" si="403"/>
        <v>1</v>
      </c>
      <c r="BT232" s="2079">
        <f t="shared" si="404"/>
        <v>0</v>
      </c>
      <c r="BU232" s="2079">
        <f t="shared" si="405"/>
        <v>0</v>
      </c>
      <c r="BV232" s="2079">
        <f t="shared" si="406"/>
        <v>0</v>
      </c>
      <c r="BW232" s="2079">
        <f t="shared" si="407"/>
        <v>0</v>
      </c>
      <c r="BX232" s="2079">
        <f t="shared" si="408"/>
        <v>0</v>
      </c>
      <c r="BY232" s="2079">
        <f t="shared" si="409"/>
        <v>0</v>
      </c>
      <c r="BZ232" s="2079">
        <f t="shared" si="410"/>
        <v>0</v>
      </c>
      <c r="CA232" s="2079">
        <f t="shared" si="411"/>
        <v>0</v>
      </c>
      <c r="CB232" s="2079">
        <f t="shared" si="412"/>
        <v>0</v>
      </c>
      <c r="CC232" s="2078">
        <f t="shared" ca="1" si="466"/>
        <v>0</v>
      </c>
      <c r="CD232" s="2078">
        <f t="shared" ca="1" si="467"/>
        <v>0</v>
      </c>
      <c r="CE232" s="2078">
        <f t="shared" ca="1" si="468"/>
        <v>0</v>
      </c>
      <c r="CF232" s="2078">
        <f t="shared" ca="1" si="469"/>
        <v>0</v>
      </c>
      <c r="CG232" s="2078">
        <f t="shared" ca="1" si="470"/>
        <v>0</v>
      </c>
      <c r="CH232" s="2078">
        <f t="shared" ca="1" si="471"/>
        <v>0</v>
      </c>
      <c r="CI232" s="2078">
        <f t="shared" ca="1" si="472"/>
        <v>0</v>
      </c>
      <c r="CJ232" s="2078">
        <f t="shared" ca="1" si="473"/>
        <v>0</v>
      </c>
      <c r="CK232" s="2078">
        <f t="shared" ca="1" si="474"/>
        <v>0</v>
      </c>
      <c r="CL232" s="2078">
        <f t="shared" ca="1" si="475"/>
        <v>0</v>
      </c>
      <c r="CM232" s="2078">
        <f t="shared" si="413"/>
        <v>1</v>
      </c>
      <c r="CN232" s="2078">
        <f t="shared" si="414"/>
        <v>1</v>
      </c>
      <c r="CO232" s="2078">
        <f t="shared" si="415"/>
        <v>1</v>
      </c>
      <c r="CP232" s="2078">
        <f t="shared" si="478"/>
        <v>1</v>
      </c>
      <c r="CQ232" s="2078">
        <f t="shared" si="416"/>
        <v>0</v>
      </c>
      <c r="CR232" s="2078">
        <f t="shared" si="417"/>
        <v>0</v>
      </c>
      <c r="CS232" s="2078">
        <f t="shared" si="479"/>
        <v>0</v>
      </c>
      <c r="CT232" s="2078">
        <f t="shared" si="418"/>
        <v>1</v>
      </c>
      <c r="CU232" s="2078">
        <f t="shared" si="480"/>
        <v>1</v>
      </c>
      <c r="CV232" s="2078">
        <f t="shared" si="419"/>
        <v>0</v>
      </c>
      <c r="CW232" s="2078">
        <f>IF(OR(AE232&lt;&gt;3,F232="Exclude"),0,IF(ISERROR(MATCH($E232,'4 Sign-off'!$S$123:$X$123,0)),0,1))</f>
        <v>0</v>
      </c>
      <c r="CX232" s="2078">
        <f t="shared" si="481"/>
        <v>0</v>
      </c>
      <c r="CY232" s="2078">
        <f t="shared" si="420"/>
        <v>0</v>
      </c>
      <c r="CZ232" s="2993">
        <f t="shared" ca="1" si="483"/>
        <v>0</v>
      </c>
      <c r="DA232" s="3037">
        <f t="shared" ca="1" si="484"/>
        <v>0</v>
      </c>
      <c r="DB232" s="1664"/>
      <c r="DC232" s="1320"/>
      <c r="DD232" s="589"/>
      <c r="DE232" s="1321"/>
      <c r="DF232" s="107"/>
      <c r="DG232" s="112"/>
      <c r="DH232" s="140"/>
      <c r="DI232" s="22"/>
      <c r="DJ232" s="145"/>
      <c r="DK232" s="137"/>
      <c r="DL232" s="137"/>
      <c r="DM232" s="137"/>
      <c r="DN232" s="137"/>
      <c r="DO232" s="137"/>
      <c r="DP232" s="137"/>
      <c r="DQ232" s="137"/>
      <c r="DR232" s="137"/>
      <c r="DS232" s="137"/>
      <c r="DT232" s="137"/>
      <c r="DU232" s="137"/>
      <c r="DV232" s="137"/>
      <c r="DW232" s="137"/>
      <c r="DX232" s="137"/>
      <c r="DY232" s="137"/>
      <c r="DZ232" s="137"/>
      <c r="EA232" s="137"/>
      <c r="EB232" s="137"/>
      <c r="EC232" s="137"/>
      <c r="ED232" s="137"/>
      <c r="EE232" s="137"/>
      <c r="EF232" s="137"/>
      <c r="EG232" s="137"/>
      <c r="EH232" s="137"/>
      <c r="EI232" s="137"/>
      <c r="EJ232" s="137"/>
      <c r="EK232" s="137"/>
      <c r="EL232" s="137"/>
      <c r="EM232" s="137"/>
      <c r="EN232" s="137"/>
      <c r="EO232" s="137"/>
      <c r="EP232" s="137"/>
      <c r="EQ232" s="137"/>
      <c r="ER232" s="137"/>
      <c r="ES232" s="137"/>
      <c r="ET232" s="137"/>
      <c r="EU232" s="137"/>
      <c r="EV232" s="137"/>
      <c r="EW232" s="137"/>
      <c r="EX232" s="137"/>
      <c r="EY232" s="137"/>
      <c r="EZ232" s="137"/>
      <c r="FA232" s="137"/>
      <c r="FB232" s="137"/>
      <c r="FC232" s="137"/>
      <c r="FD232" s="137"/>
      <c r="FE232" s="137"/>
      <c r="FF232" s="137"/>
      <c r="FG232" s="860"/>
      <c r="FH232" s="863"/>
      <c r="FI232" s="1318"/>
      <c r="FJ232" s="126"/>
      <c r="FK232" s="127"/>
      <c r="FL232" s="128" t="str">
        <f t="shared" si="485"/>
        <v xml:space="preserve">    </v>
      </c>
      <c r="FM232" s="128"/>
      <c r="FN232" s="1686">
        <f t="shared" si="486"/>
        <v>0</v>
      </c>
      <c r="FO232" s="46">
        <f t="shared" si="421"/>
        <v>0</v>
      </c>
      <c r="FP232" s="46">
        <f t="shared" si="422"/>
        <v>1</v>
      </c>
      <c r="FQ232" s="75">
        <f t="shared" si="489"/>
        <v>0</v>
      </c>
      <c r="FR232" s="46">
        <f t="shared" si="873"/>
        <v>0</v>
      </c>
      <c r="FS232" s="46">
        <f t="shared" si="874"/>
        <v>1</v>
      </c>
      <c r="FT232" s="75">
        <f t="shared" si="492"/>
        <v>0</v>
      </c>
      <c r="FU232" s="2603">
        <f t="shared" si="423"/>
        <v>0</v>
      </c>
      <c r="FV232" s="2607">
        <f t="shared" si="424"/>
        <v>0</v>
      </c>
      <c r="FW232" s="2603">
        <f t="shared" si="425"/>
        <v>0</v>
      </c>
      <c r="FX232" s="2631">
        <f t="shared" si="426"/>
        <v>0</v>
      </c>
      <c r="FY232" s="81" t="e">
        <f t="shared" si="875"/>
        <v>#N/A</v>
      </c>
      <c r="FZ232" s="64" t="e">
        <f t="array" ref="FZ232">MATCH(1,($GT232:$LQ232&gt;0)*$GT$25:$LQ$25,0)</f>
        <v>#N/A</v>
      </c>
      <c r="GA232" s="64" t="e">
        <f t="array" ref="GA232">MATCH(2,1/(GT232:LQ232&gt;0))</f>
        <v>#N/A</v>
      </c>
      <c r="GB232" s="64">
        <f t="shared" si="497"/>
        <v>-1</v>
      </c>
      <c r="GC232" s="46"/>
      <c r="GD232" s="613"/>
      <c r="GE232" s="613"/>
      <c r="GF232" s="613"/>
      <c r="GG232" s="613"/>
      <c r="GH232" s="613"/>
      <c r="GI232" s="613"/>
      <c r="GJ232" s="613"/>
      <c r="GK232" s="613"/>
      <c r="GL232" s="613"/>
      <c r="GM232" s="613"/>
      <c r="GN232" s="385">
        <f t="shared" si="498"/>
        <v>0</v>
      </c>
      <c r="GO232" s="386">
        <f t="shared" si="499"/>
        <v>0</v>
      </c>
      <c r="GP232" s="2635"/>
      <c r="GQ232" s="175"/>
      <c r="GR232" s="172"/>
      <c r="GS232" s="65"/>
      <c r="GT232" s="167"/>
      <c r="GU232" s="168"/>
      <c r="GV232" s="168"/>
      <c r="GW232" s="168"/>
      <c r="GX232" s="168"/>
      <c r="GY232" s="168"/>
      <c r="GZ232" s="168"/>
      <c r="HA232" s="168"/>
      <c r="HB232" s="168"/>
      <c r="HC232" s="168"/>
      <c r="HD232" s="168"/>
      <c r="HE232" s="168"/>
      <c r="HF232" s="168"/>
      <c r="HG232" s="168"/>
      <c r="HH232" s="168"/>
      <c r="HI232" s="168"/>
      <c r="HJ232" s="168"/>
      <c r="HK232" s="168"/>
      <c r="HL232" s="168"/>
      <c r="HM232" s="168"/>
      <c r="HN232" s="168"/>
      <c r="HO232" s="168"/>
      <c r="HP232" s="168"/>
      <c r="HQ232" s="168"/>
      <c r="HR232" s="168"/>
      <c r="HS232" s="168"/>
      <c r="HT232" s="168"/>
      <c r="HU232" s="168"/>
      <c r="HV232" s="168"/>
      <c r="HW232" s="168"/>
      <c r="HX232" s="168"/>
      <c r="HY232" s="168"/>
      <c r="HZ232" s="168"/>
      <c r="IA232" s="168"/>
      <c r="IB232" s="168"/>
      <c r="IC232" s="168"/>
      <c r="ID232" s="168"/>
      <c r="IE232" s="168"/>
      <c r="IF232" s="168"/>
      <c r="IG232" s="168"/>
      <c r="IH232" s="168"/>
      <c r="II232" s="168"/>
      <c r="IJ232" s="168"/>
      <c r="IK232" s="168"/>
      <c r="IL232" s="168"/>
      <c r="IM232" s="168"/>
      <c r="IN232" s="168"/>
      <c r="IO232" s="168"/>
      <c r="IP232" s="168"/>
      <c r="IQ232" s="168"/>
      <c r="IR232" s="168"/>
      <c r="IS232" s="168"/>
      <c r="IT232" s="168"/>
      <c r="IU232" s="168"/>
      <c r="IV232" s="168"/>
      <c r="IW232" s="168"/>
      <c r="IX232" s="168"/>
      <c r="IY232" s="168"/>
      <c r="IZ232" s="168"/>
      <c r="JA232" s="168"/>
      <c r="JB232" s="168"/>
      <c r="JC232" s="168"/>
      <c r="JD232" s="168"/>
      <c r="JE232" s="168"/>
      <c r="JF232" s="168"/>
      <c r="JG232" s="168"/>
      <c r="JH232" s="168"/>
      <c r="JI232" s="168"/>
      <c r="JJ232" s="168"/>
      <c r="JK232" s="168"/>
      <c r="JL232" s="168"/>
      <c r="JM232" s="168"/>
      <c r="JN232" s="168"/>
      <c r="JO232" s="168"/>
      <c r="JP232" s="168"/>
      <c r="JQ232" s="168"/>
      <c r="JR232" s="168"/>
      <c r="JS232" s="168"/>
      <c r="JT232" s="168"/>
      <c r="JU232" s="168"/>
      <c r="JV232" s="168"/>
      <c r="JW232" s="168"/>
      <c r="JX232" s="168"/>
      <c r="JY232" s="168"/>
      <c r="JZ232" s="168"/>
      <c r="KA232" s="168"/>
      <c r="KB232" s="168"/>
      <c r="KC232" s="168"/>
      <c r="KD232" s="168"/>
      <c r="KE232" s="168"/>
      <c r="KF232" s="168"/>
      <c r="KG232" s="168"/>
      <c r="KH232" s="168"/>
      <c r="KI232" s="168"/>
      <c r="KJ232" s="168"/>
      <c r="KK232" s="168"/>
      <c r="KL232" s="168"/>
      <c r="KM232" s="168"/>
      <c r="KN232" s="168"/>
      <c r="KO232" s="168"/>
      <c r="KP232" s="168"/>
      <c r="KQ232" s="168"/>
      <c r="KR232" s="168"/>
      <c r="KS232" s="168"/>
      <c r="KT232" s="168"/>
      <c r="KU232" s="168"/>
      <c r="KV232" s="168"/>
      <c r="KW232" s="168"/>
      <c r="KX232" s="168"/>
      <c r="KY232" s="168"/>
      <c r="KZ232" s="168"/>
      <c r="LA232" s="168"/>
      <c r="LB232" s="168"/>
      <c r="LC232" s="168"/>
      <c r="LD232" s="168"/>
      <c r="LE232" s="168"/>
      <c r="LF232" s="168"/>
      <c r="LG232" s="168"/>
      <c r="LH232" s="168"/>
      <c r="LI232" s="168"/>
      <c r="LJ232" s="168"/>
      <c r="LK232" s="168"/>
      <c r="LL232" s="168"/>
      <c r="LM232" s="168"/>
      <c r="LN232" s="168"/>
      <c r="LO232" s="168"/>
      <c r="LP232" s="606"/>
      <c r="LQ232" s="609"/>
      <c r="LR232" s="1319"/>
      <c r="LS232" s="1319"/>
    </row>
    <row r="233" spans="1:331" s="2" customFormat="1" ht="15" customHeight="1" x14ac:dyDescent="0.25">
      <c r="A233" s="283"/>
      <c r="B233" s="303"/>
      <c r="C233" s="301"/>
      <c r="D233" s="1287"/>
      <c r="E233" s="2298"/>
      <c r="F233" s="1812"/>
      <c r="G233" s="3342"/>
      <c r="H233" s="66"/>
      <c r="I233" s="1746"/>
      <c r="J233" s="1214"/>
      <c r="K233" s="105"/>
      <c r="L233" s="91"/>
      <c r="M233" s="92"/>
      <c r="N233" s="93"/>
      <c r="O233" s="94"/>
      <c r="P233" s="96"/>
      <c r="Q233" s="95"/>
      <c r="R233" s="993">
        <f t="shared" si="431"/>
        <v>0</v>
      </c>
      <c r="S233" s="23">
        <f t="shared" si="432"/>
        <v>0</v>
      </c>
      <c r="T233" s="24">
        <f t="shared" si="433"/>
        <v>0</v>
      </c>
      <c r="U233" s="24">
        <f t="shared" si="434"/>
        <v>0</v>
      </c>
      <c r="V233" s="24">
        <f t="shared" si="435"/>
        <v>0</v>
      </c>
      <c r="W233" s="24">
        <f t="shared" ca="1" si="436"/>
        <v>0</v>
      </c>
      <c r="X233" s="72">
        <f t="shared" ca="1" si="386"/>
        <v>0</v>
      </c>
      <c r="Y233" s="72">
        <f t="shared" si="437"/>
        <v>0</v>
      </c>
      <c r="Z233" s="24">
        <f t="shared" si="438"/>
        <v>0</v>
      </c>
      <c r="AA233" s="72">
        <f t="shared" si="387"/>
        <v>0</v>
      </c>
      <c r="AB233" s="24">
        <f t="shared" si="388"/>
        <v>0</v>
      </c>
      <c r="AC233" s="24">
        <f t="shared" ca="1" si="439"/>
        <v>0</v>
      </c>
      <c r="AD233" s="24">
        <f t="shared" si="389"/>
        <v>0</v>
      </c>
      <c r="AE233" s="2078">
        <f t="shared" si="870"/>
        <v>3</v>
      </c>
      <c r="AF233" s="2078">
        <f t="shared" si="871"/>
        <v>0</v>
      </c>
      <c r="AG233" s="2078">
        <f t="shared" si="872"/>
        <v>0</v>
      </c>
      <c r="AH233" s="2521">
        <f t="shared" si="390"/>
        <v>1</v>
      </c>
      <c r="AI233" s="25" t="str">
        <f t="shared" si="443"/>
        <v/>
      </c>
      <c r="AJ233" s="2521">
        <f t="shared" ca="1" si="391"/>
        <v>0</v>
      </c>
      <c r="AK233" s="2076">
        <f t="shared" ca="1" si="392"/>
        <v>0</v>
      </c>
      <c r="AL233" s="2078">
        <f>IF(ISBLANK(J233),0,ISERROR(MATCH(J233,'5  Control Accounts'!$FA$29:$FA$96,0))*1)</f>
        <v>0</v>
      </c>
      <c r="AM233" s="2076">
        <f t="shared" si="444"/>
        <v>0</v>
      </c>
      <c r="AN233" s="2078">
        <f t="shared" si="445"/>
        <v>1</v>
      </c>
      <c r="AO233" s="2079">
        <f t="shared" si="393"/>
        <v>1</v>
      </c>
      <c r="AP233" s="2079">
        <f t="shared" si="394"/>
        <v>0</v>
      </c>
      <c r="AQ233" s="2079">
        <f t="shared" si="395"/>
        <v>0</v>
      </c>
      <c r="AR233" s="2079">
        <f t="shared" si="396"/>
        <v>0</v>
      </c>
      <c r="AS233" s="2079">
        <f t="shared" si="397"/>
        <v>0</v>
      </c>
      <c r="AT233" s="2079">
        <f t="shared" si="398"/>
        <v>0</v>
      </c>
      <c r="AU233" s="2079">
        <f t="shared" si="399"/>
        <v>0</v>
      </c>
      <c r="AV233" s="2079">
        <f t="shared" si="400"/>
        <v>0</v>
      </c>
      <c r="AW233" s="2079">
        <f t="shared" si="401"/>
        <v>0</v>
      </c>
      <c r="AX233" s="2079">
        <f t="shared" si="402"/>
        <v>0</v>
      </c>
      <c r="AY233" s="2078">
        <f t="shared" si="446"/>
        <v>0</v>
      </c>
      <c r="AZ233" s="2078">
        <f t="shared" si="447"/>
        <v>0</v>
      </c>
      <c r="BA233" s="2078">
        <f t="shared" si="448"/>
        <v>0</v>
      </c>
      <c r="BB233" s="2078">
        <f t="shared" si="449"/>
        <v>0</v>
      </c>
      <c r="BC233" s="2078">
        <f t="shared" si="450"/>
        <v>0</v>
      </c>
      <c r="BD233" s="2078">
        <f t="shared" si="451"/>
        <v>0</v>
      </c>
      <c r="BE233" s="2078">
        <f t="shared" si="452"/>
        <v>0</v>
      </c>
      <c r="BF233" s="2078">
        <f t="shared" si="453"/>
        <v>0</v>
      </c>
      <c r="BG233" s="2078">
        <f t="shared" si="454"/>
        <v>0</v>
      </c>
      <c r="BH233" s="2078">
        <f t="shared" si="455"/>
        <v>0</v>
      </c>
      <c r="BI233" s="2078">
        <f t="shared" si="456"/>
        <v>0</v>
      </c>
      <c r="BJ233" s="2078">
        <f t="shared" si="457"/>
        <v>0</v>
      </c>
      <c r="BK233" s="2078">
        <f t="shared" si="458"/>
        <v>0</v>
      </c>
      <c r="BL233" s="2078">
        <f t="shared" si="459"/>
        <v>0</v>
      </c>
      <c r="BM233" s="2078">
        <f t="shared" si="460"/>
        <v>0</v>
      </c>
      <c r="BN233" s="2078">
        <f t="shared" si="461"/>
        <v>0</v>
      </c>
      <c r="BO233" s="2078">
        <f t="shared" si="462"/>
        <v>0</v>
      </c>
      <c r="BP233" s="2078">
        <f t="shared" si="463"/>
        <v>0</v>
      </c>
      <c r="BQ233" s="2078">
        <f t="shared" si="464"/>
        <v>0</v>
      </c>
      <c r="BR233" s="2078">
        <f t="shared" si="465"/>
        <v>0</v>
      </c>
      <c r="BS233" s="2079">
        <f t="shared" si="403"/>
        <v>1</v>
      </c>
      <c r="BT233" s="2079">
        <f t="shared" si="404"/>
        <v>0</v>
      </c>
      <c r="BU233" s="2079">
        <f t="shared" si="405"/>
        <v>0</v>
      </c>
      <c r="BV233" s="2079">
        <f t="shared" si="406"/>
        <v>0</v>
      </c>
      <c r="BW233" s="2079">
        <f t="shared" si="407"/>
        <v>0</v>
      </c>
      <c r="BX233" s="2079">
        <f t="shared" si="408"/>
        <v>0</v>
      </c>
      <c r="BY233" s="2079">
        <f t="shared" si="409"/>
        <v>0</v>
      </c>
      <c r="BZ233" s="2079">
        <f t="shared" si="410"/>
        <v>0</v>
      </c>
      <c r="CA233" s="2079">
        <f t="shared" si="411"/>
        <v>0</v>
      </c>
      <c r="CB233" s="2079">
        <f t="shared" si="412"/>
        <v>0</v>
      </c>
      <c r="CC233" s="2078">
        <f t="shared" ca="1" si="466"/>
        <v>0</v>
      </c>
      <c r="CD233" s="2078">
        <f t="shared" ca="1" si="467"/>
        <v>0</v>
      </c>
      <c r="CE233" s="2078">
        <f t="shared" ca="1" si="468"/>
        <v>0</v>
      </c>
      <c r="CF233" s="2078">
        <f t="shared" ca="1" si="469"/>
        <v>0</v>
      </c>
      <c r="CG233" s="2078">
        <f t="shared" ca="1" si="470"/>
        <v>0</v>
      </c>
      <c r="CH233" s="2078">
        <f t="shared" ca="1" si="471"/>
        <v>0</v>
      </c>
      <c r="CI233" s="2078">
        <f t="shared" ca="1" si="472"/>
        <v>0</v>
      </c>
      <c r="CJ233" s="2078">
        <f t="shared" ca="1" si="473"/>
        <v>0</v>
      </c>
      <c r="CK233" s="2078">
        <f t="shared" ca="1" si="474"/>
        <v>0</v>
      </c>
      <c r="CL233" s="2078">
        <f t="shared" ca="1" si="475"/>
        <v>0</v>
      </c>
      <c r="CM233" s="2078">
        <f t="shared" si="413"/>
        <v>1</v>
      </c>
      <c r="CN233" s="2078">
        <f t="shared" si="414"/>
        <v>1</v>
      </c>
      <c r="CO233" s="2078">
        <f t="shared" si="415"/>
        <v>1</v>
      </c>
      <c r="CP233" s="2078">
        <f t="shared" si="478"/>
        <v>1</v>
      </c>
      <c r="CQ233" s="2078">
        <f t="shared" si="416"/>
        <v>0</v>
      </c>
      <c r="CR233" s="2078">
        <f t="shared" si="417"/>
        <v>0</v>
      </c>
      <c r="CS233" s="2078">
        <f t="shared" si="479"/>
        <v>0</v>
      </c>
      <c r="CT233" s="2078">
        <f t="shared" si="418"/>
        <v>1</v>
      </c>
      <c r="CU233" s="2078">
        <f t="shared" si="480"/>
        <v>1</v>
      </c>
      <c r="CV233" s="2078">
        <f t="shared" si="419"/>
        <v>0</v>
      </c>
      <c r="CW233" s="2078">
        <f>IF(OR(AE233&lt;&gt;3,F233="Exclude"),0,IF(ISERROR(MATCH($E233,'4 Sign-off'!$S$123:$X$123,0)),0,1))</f>
        <v>0</v>
      </c>
      <c r="CX233" s="2078">
        <f t="shared" si="481"/>
        <v>0</v>
      </c>
      <c r="CY233" s="2078">
        <f t="shared" si="420"/>
        <v>0</v>
      </c>
      <c r="CZ233" s="2993">
        <f t="shared" ca="1" si="483"/>
        <v>0</v>
      </c>
      <c r="DA233" s="3037">
        <f t="shared" ca="1" si="484"/>
        <v>0</v>
      </c>
      <c r="DB233" s="1664"/>
      <c r="DC233" s="1320"/>
      <c r="DD233" s="589"/>
      <c r="DE233" s="1321"/>
      <c r="DF233" s="107"/>
      <c r="DG233" s="112"/>
      <c r="DH233" s="140"/>
      <c r="DI233" s="22"/>
      <c r="DJ233" s="145"/>
      <c r="DK233" s="137"/>
      <c r="DL233" s="137"/>
      <c r="DM233" s="137"/>
      <c r="DN233" s="137"/>
      <c r="DO233" s="137"/>
      <c r="DP233" s="137"/>
      <c r="DQ233" s="137"/>
      <c r="DR233" s="137"/>
      <c r="DS233" s="137"/>
      <c r="DT233" s="137"/>
      <c r="DU233" s="137"/>
      <c r="DV233" s="137"/>
      <c r="DW233" s="137"/>
      <c r="DX233" s="137"/>
      <c r="DY233" s="137"/>
      <c r="DZ233" s="137"/>
      <c r="EA233" s="137"/>
      <c r="EB233" s="137"/>
      <c r="EC233" s="137"/>
      <c r="ED233" s="137"/>
      <c r="EE233" s="137"/>
      <c r="EF233" s="137"/>
      <c r="EG233" s="137"/>
      <c r="EH233" s="137"/>
      <c r="EI233" s="137"/>
      <c r="EJ233" s="137"/>
      <c r="EK233" s="137"/>
      <c r="EL233" s="137"/>
      <c r="EM233" s="137"/>
      <c r="EN233" s="137"/>
      <c r="EO233" s="137"/>
      <c r="EP233" s="137"/>
      <c r="EQ233" s="137"/>
      <c r="ER233" s="137"/>
      <c r="ES233" s="137"/>
      <c r="ET233" s="137"/>
      <c r="EU233" s="137"/>
      <c r="EV233" s="137"/>
      <c r="EW233" s="137"/>
      <c r="EX233" s="137"/>
      <c r="EY233" s="137"/>
      <c r="EZ233" s="137"/>
      <c r="FA233" s="137"/>
      <c r="FB233" s="137"/>
      <c r="FC233" s="137"/>
      <c r="FD233" s="137"/>
      <c r="FE233" s="137"/>
      <c r="FF233" s="137"/>
      <c r="FG233" s="860"/>
      <c r="FH233" s="863"/>
      <c r="FI233" s="1318"/>
      <c r="FJ233" s="126"/>
      <c r="FK233" s="127"/>
      <c r="FL233" s="128" t="str">
        <f t="shared" si="485"/>
        <v xml:space="preserve">    </v>
      </c>
      <c r="FM233" s="128"/>
      <c r="FN233" s="1686">
        <f t="shared" si="486"/>
        <v>0</v>
      </c>
      <c r="FO233" s="46">
        <f t="shared" si="421"/>
        <v>0</v>
      </c>
      <c r="FP233" s="46">
        <f t="shared" si="422"/>
        <v>1</v>
      </c>
      <c r="FQ233" s="75">
        <f t="shared" si="489"/>
        <v>0</v>
      </c>
      <c r="FR233" s="46">
        <f t="shared" si="873"/>
        <v>0</v>
      </c>
      <c r="FS233" s="46">
        <f t="shared" si="874"/>
        <v>1</v>
      </c>
      <c r="FT233" s="75">
        <f t="shared" si="492"/>
        <v>0</v>
      </c>
      <c r="FU233" s="2603">
        <f t="shared" si="423"/>
        <v>0</v>
      </c>
      <c r="FV233" s="2607">
        <f t="shared" si="424"/>
        <v>0</v>
      </c>
      <c r="FW233" s="2603">
        <f t="shared" si="425"/>
        <v>0</v>
      </c>
      <c r="FX233" s="2631">
        <f t="shared" si="426"/>
        <v>0</v>
      </c>
      <c r="FY233" s="81" t="e">
        <f t="shared" si="875"/>
        <v>#N/A</v>
      </c>
      <c r="FZ233" s="64" t="e">
        <f t="array" ref="FZ233">MATCH(1,($GT233:$LQ233&gt;0)*$GT$25:$LQ$25,0)</f>
        <v>#N/A</v>
      </c>
      <c r="GA233" s="64" t="e">
        <f t="array" ref="GA233">MATCH(2,1/(GT233:LQ233&gt;0))</f>
        <v>#N/A</v>
      </c>
      <c r="GB233" s="64">
        <f t="shared" si="497"/>
        <v>-1</v>
      </c>
      <c r="GC233" s="46"/>
      <c r="GD233" s="613"/>
      <c r="GE233" s="613"/>
      <c r="GF233" s="613"/>
      <c r="GG233" s="613"/>
      <c r="GH233" s="613"/>
      <c r="GI233" s="613"/>
      <c r="GJ233" s="613"/>
      <c r="GK233" s="613"/>
      <c r="GL233" s="613"/>
      <c r="GM233" s="613"/>
      <c r="GN233" s="385">
        <f t="shared" si="498"/>
        <v>0</v>
      </c>
      <c r="GO233" s="386">
        <f t="shared" si="499"/>
        <v>0</v>
      </c>
      <c r="GP233" s="2635"/>
      <c r="GQ233" s="175"/>
      <c r="GR233" s="172"/>
      <c r="GS233" s="65"/>
      <c r="GT233" s="167"/>
      <c r="GU233" s="168"/>
      <c r="GV233" s="168"/>
      <c r="GW233" s="168"/>
      <c r="GX233" s="168"/>
      <c r="GY233" s="168"/>
      <c r="GZ233" s="168"/>
      <c r="HA233" s="168"/>
      <c r="HB233" s="168"/>
      <c r="HC233" s="168"/>
      <c r="HD233" s="168"/>
      <c r="HE233" s="168"/>
      <c r="HF233" s="168"/>
      <c r="HG233" s="168"/>
      <c r="HH233" s="168"/>
      <c r="HI233" s="168"/>
      <c r="HJ233" s="168"/>
      <c r="HK233" s="168"/>
      <c r="HL233" s="168"/>
      <c r="HM233" s="168"/>
      <c r="HN233" s="168"/>
      <c r="HO233" s="168"/>
      <c r="HP233" s="168"/>
      <c r="HQ233" s="168"/>
      <c r="HR233" s="168"/>
      <c r="HS233" s="168"/>
      <c r="HT233" s="168"/>
      <c r="HU233" s="168"/>
      <c r="HV233" s="168"/>
      <c r="HW233" s="168"/>
      <c r="HX233" s="168"/>
      <c r="HY233" s="168"/>
      <c r="HZ233" s="168"/>
      <c r="IA233" s="168"/>
      <c r="IB233" s="168"/>
      <c r="IC233" s="168"/>
      <c r="ID233" s="168"/>
      <c r="IE233" s="168"/>
      <c r="IF233" s="168"/>
      <c r="IG233" s="168"/>
      <c r="IH233" s="168"/>
      <c r="II233" s="168"/>
      <c r="IJ233" s="168"/>
      <c r="IK233" s="168"/>
      <c r="IL233" s="168"/>
      <c r="IM233" s="168"/>
      <c r="IN233" s="168"/>
      <c r="IO233" s="168"/>
      <c r="IP233" s="168"/>
      <c r="IQ233" s="168"/>
      <c r="IR233" s="168"/>
      <c r="IS233" s="168"/>
      <c r="IT233" s="168"/>
      <c r="IU233" s="168"/>
      <c r="IV233" s="168"/>
      <c r="IW233" s="168"/>
      <c r="IX233" s="168"/>
      <c r="IY233" s="168"/>
      <c r="IZ233" s="168"/>
      <c r="JA233" s="168"/>
      <c r="JB233" s="168"/>
      <c r="JC233" s="168"/>
      <c r="JD233" s="168"/>
      <c r="JE233" s="168"/>
      <c r="JF233" s="168"/>
      <c r="JG233" s="168"/>
      <c r="JH233" s="168"/>
      <c r="JI233" s="168"/>
      <c r="JJ233" s="168"/>
      <c r="JK233" s="168"/>
      <c r="JL233" s="168"/>
      <c r="JM233" s="168"/>
      <c r="JN233" s="168"/>
      <c r="JO233" s="168"/>
      <c r="JP233" s="168"/>
      <c r="JQ233" s="168"/>
      <c r="JR233" s="168"/>
      <c r="JS233" s="168"/>
      <c r="JT233" s="168"/>
      <c r="JU233" s="168"/>
      <c r="JV233" s="168"/>
      <c r="JW233" s="168"/>
      <c r="JX233" s="168"/>
      <c r="JY233" s="168"/>
      <c r="JZ233" s="168"/>
      <c r="KA233" s="168"/>
      <c r="KB233" s="168"/>
      <c r="KC233" s="168"/>
      <c r="KD233" s="168"/>
      <c r="KE233" s="168"/>
      <c r="KF233" s="168"/>
      <c r="KG233" s="168"/>
      <c r="KH233" s="168"/>
      <c r="KI233" s="168"/>
      <c r="KJ233" s="168"/>
      <c r="KK233" s="168"/>
      <c r="KL233" s="168"/>
      <c r="KM233" s="168"/>
      <c r="KN233" s="168"/>
      <c r="KO233" s="168"/>
      <c r="KP233" s="168"/>
      <c r="KQ233" s="168"/>
      <c r="KR233" s="168"/>
      <c r="KS233" s="168"/>
      <c r="KT233" s="168"/>
      <c r="KU233" s="168"/>
      <c r="KV233" s="168"/>
      <c r="KW233" s="168"/>
      <c r="KX233" s="168"/>
      <c r="KY233" s="168"/>
      <c r="KZ233" s="168"/>
      <c r="LA233" s="168"/>
      <c r="LB233" s="168"/>
      <c r="LC233" s="168"/>
      <c r="LD233" s="168"/>
      <c r="LE233" s="168"/>
      <c r="LF233" s="168"/>
      <c r="LG233" s="168"/>
      <c r="LH233" s="168"/>
      <c r="LI233" s="168"/>
      <c r="LJ233" s="168"/>
      <c r="LK233" s="168"/>
      <c r="LL233" s="168"/>
      <c r="LM233" s="168"/>
      <c r="LN233" s="168"/>
      <c r="LO233" s="168"/>
      <c r="LP233" s="606"/>
      <c r="LQ233" s="609"/>
      <c r="LR233" s="1319"/>
      <c r="LS233" s="1319"/>
    </row>
    <row r="234" spans="1:331" s="2" customFormat="1" ht="15" customHeight="1" x14ac:dyDescent="0.25">
      <c r="A234" s="283"/>
      <c r="B234" s="303"/>
      <c r="C234" s="301"/>
      <c r="D234" s="1287"/>
      <c r="E234" s="2298"/>
      <c r="F234" s="1812"/>
      <c r="G234" s="3342"/>
      <c r="H234" s="66"/>
      <c r="I234" s="1746"/>
      <c r="J234" s="1214"/>
      <c r="K234" s="105"/>
      <c r="L234" s="91"/>
      <c r="M234" s="92"/>
      <c r="N234" s="93"/>
      <c r="O234" s="94"/>
      <c r="P234" s="96"/>
      <c r="Q234" s="95"/>
      <c r="R234" s="993">
        <f t="shared" si="431"/>
        <v>0</v>
      </c>
      <c r="S234" s="23">
        <f t="shared" si="432"/>
        <v>0</v>
      </c>
      <c r="T234" s="24">
        <f t="shared" si="433"/>
        <v>0</v>
      </c>
      <c r="U234" s="24">
        <f t="shared" si="434"/>
        <v>0</v>
      </c>
      <c r="V234" s="24">
        <f t="shared" si="435"/>
        <v>0</v>
      </c>
      <c r="W234" s="24">
        <f t="shared" ca="1" si="436"/>
        <v>0</v>
      </c>
      <c r="X234" s="72">
        <f t="shared" ca="1" si="386"/>
        <v>0</v>
      </c>
      <c r="Y234" s="72">
        <f t="shared" si="437"/>
        <v>0</v>
      </c>
      <c r="Z234" s="24">
        <f t="shared" si="438"/>
        <v>0</v>
      </c>
      <c r="AA234" s="72">
        <f t="shared" si="387"/>
        <v>0</v>
      </c>
      <c r="AB234" s="24">
        <f t="shared" si="388"/>
        <v>0</v>
      </c>
      <c r="AC234" s="24">
        <f t="shared" ca="1" si="439"/>
        <v>0</v>
      </c>
      <c r="AD234" s="24">
        <f t="shared" si="389"/>
        <v>0</v>
      </c>
      <c r="AE234" s="2078">
        <f t="shared" si="870"/>
        <v>3</v>
      </c>
      <c r="AF234" s="2078">
        <f t="shared" si="871"/>
        <v>0</v>
      </c>
      <c r="AG234" s="2078">
        <f t="shared" si="872"/>
        <v>0</v>
      </c>
      <c r="AH234" s="2521">
        <f t="shared" si="390"/>
        <v>1</v>
      </c>
      <c r="AI234" s="25" t="str">
        <f t="shared" si="443"/>
        <v/>
      </c>
      <c r="AJ234" s="2521">
        <f t="shared" ca="1" si="391"/>
        <v>0</v>
      </c>
      <c r="AK234" s="2076">
        <f t="shared" ca="1" si="392"/>
        <v>0</v>
      </c>
      <c r="AL234" s="2078">
        <f>IF(ISBLANK(J234),0,ISERROR(MATCH(J234,'5  Control Accounts'!$FA$29:$FA$96,0))*1)</f>
        <v>0</v>
      </c>
      <c r="AM234" s="2076">
        <f t="shared" si="444"/>
        <v>0</v>
      </c>
      <c r="AN234" s="2078">
        <f t="shared" si="445"/>
        <v>1</v>
      </c>
      <c r="AO234" s="2079">
        <f t="shared" si="393"/>
        <v>1</v>
      </c>
      <c r="AP234" s="2079">
        <f t="shared" si="394"/>
        <v>0</v>
      </c>
      <c r="AQ234" s="2079">
        <f t="shared" si="395"/>
        <v>0</v>
      </c>
      <c r="AR234" s="2079">
        <f t="shared" si="396"/>
        <v>0</v>
      </c>
      <c r="AS234" s="2079">
        <f t="shared" si="397"/>
        <v>0</v>
      </c>
      <c r="AT234" s="2079">
        <f t="shared" si="398"/>
        <v>0</v>
      </c>
      <c r="AU234" s="2079">
        <f t="shared" si="399"/>
        <v>0</v>
      </c>
      <c r="AV234" s="2079">
        <f t="shared" si="400"/>
        <v>0</v>
      </c>
      <c r="AW234" s="2079">
        <f t="shared" si="401"/>
        <v>0</v>
      </c>
      <c r="AX234" s="2079">
        <f t="shared" si="402"/>
        <v>0</v>
      </c>
      <c r="AY234" s="2078">
        <f t="shared" si="446"/>
        <v>0</v>
      </c>
      <c r="AZ234" s="2078">
        <f t="shared" si="447"/>
        <v>0</v>
      </c>
      <c r="BA234" s="2078">
        <f t="shared" si="448"/>
        <v>0</v>
      </c>
      <c r="BB234" s="2078">
        <f t="shared" si="449"/>
        <v>0</v>
      </c>
      <c r="BC234" s="2078">
        <f t="shared" si="450"/>
        <v>0</v>
      </c>
      <c r="BD234" s="2078">
        <f t="shared" si="451"/>
        <v>0</v>
      </c>
      <c r="BE234" s="2078">
        <f t="shared" si="452"/>
        <v>0</v>
      </c>
      <c r="BF234" s="2078">
        <f t="shared" si="453"/>
        <v>0</v>
      </c>
      <c r="BG234" s="2078">
        <f t="shared" si="454"/>
        <v>0</v>
      </c>
      <c r="BH234" s="2078">
        <f t="shared" si="455"/>
        <v>0</v>
      </c>
      <c r="BI234" s="2078">
        <f t="shared" si="456"/>
        <v>0</v>
      </c>
      <c r="BJ234" s="2078">
        <f t="shared" si="457"/>
        <v>0</v>
      </c>
      <c r="BK234" s="2078">
        <f t="shared" si="458"/>
        <v>0</v>
      </c>
      <c r="BL234" s="2078">
        <f t="shared" si="459"/>
        <v>0</v>
      </c>
      <c r="BM234" s="2078">
        <f t="shared" si="460"/>
        <v>0</v>
      </c>
      <c r="BN234" s="2078">
        <f t="shared" si="461"/>
        <v>0</v>
      </c>
      <c r="BO234" s="2078">
        <f t="shared" si="462"/>
        <v>0</v>
      </c>
      <c r="BP234" s="2078">
        <f t="shared" si="463"/>
        <v>0</v>
      </c>
      <c r="BQ234" s="2078">
        <f t="shared" si="464"/>
        <v>0</v>
      </c>
      <c r="BR234" s="2078">
        <f t="shared" si="465"/>
        <v>0</v>
      </c>
      <c r="BS234" s="2079">
        <f t="shared" si="403"/>
        <v>1</v>
      </c>
      <c r="BT234" s="2079">
        <f t="shared" si="404"/>
        <v>0</v>
      </c>
      <c r="BU234" s="2079">
        <f t="shared" si="405"/>
        <v>0</v>
      </c>
      <c r="BV234" s="2079">
        <f t="shared" si="406"/>
        <v>0</v>
      </c>
      <c r="BW234" s="2079">
        <f t="shared" si="407"/>
        <v>0</v>
      </c>
      <c r="BX234" s="2079">
        <f t="shared" si="408"/>
        <v>0</v>
      </c>
      <c r="BY234" s="2079">
        <f t="shared" si="409"/>
        <v>0</v>
      </c>
      <c r="BZ234" s="2079">
        <f t="shared" si="410"/>
        <v>0</v>
      </c>
      <c r="CA234" s="2079">
        <f t="shared" si="411"/>
        <v>0</v>
      </c>
      <c r="CB234" s="2079">
        <f t="shared" si="412"/>
        <v>0</v>
      </c>
      <c r="CC234" s="2078">
        <f t="shared" ca="1" si="466"/>
        <v>0</v>
      </c>
      <c r="CD234" s="2078">
        <f t="shared" ca="1" si="467"/>
        <v>0</v>
      </c>
      <c r="CE234" s="2078">
        <f t="shared" ca="1" si="468"/>
        <v>0</v>
      </c>
      <c r="CF234" s="2078">
        <f t="shared" ca="1" si="469"/>
        <v>0</v>
      </c>
      <c r="CG234" s="2078">
        <f t="shared" ca="1" si="470"/>
        <v>0</v>
      </c>
      <c r="CH234" s="2078">
        <f t="shared" ca="1" si="471"/>
        <v>0</v>
      </c>
      <c r="CI234" s="2078">
        <f t="shared" ca="1" si="472"/>
        <v>0</v>
      </c>
      <c r="CJ234" s="2078">
        <f t="shared" ca="1" si="473"/>
        <v>0</v>
      </c>
      <c r="CK234" s="2078">
        <f t="shared" ca="1" si="474"/>
        <v>0</v>
      </c>
      <c r="CL234" s="2078">
        <f t="shared" ca="1" si="475"/>
        <v>0</v>
      </c>
      <c r="CM234" s="2078">
        <f t="shared" si="413"/>
        <v>1</v>
      </c>
      <c r="CN234" s="2078">
        <f t="shared" si="414"/>
        <v>1</v>
      </c>
      <c r="CO234" s="2078">
        <f t="shared" si="415"/>
        <v>1</v>
      </c>
      <c r="CP234" s="2078">
        <f t="shared" si="478"/>
        <v>1</v>
      </c>
      <c r="CQ234" s="2078">
        <f t="shared" si="416"/>
        <v>0</v>
      </c>
      <c r="CR234" s="2078">
        <f t="shared" si="417"/>
        <v>0</v>
      </c>
      <c r="CS234" s="2078">
        <f t="shared" si="479"/>
        <v>0</v>
      </c>
      <c r="CT234" s="2078">
        <f t="shared" si="418"/>
        <v>1</v>
      </c>
      <c r="CU234" s="2078">
        <f t="shared" si="480"/>
        <v>1</v>
      </c>
      <c r="CV234" s="2078">
        <f t="shared" si="419"/>
        <v>0</v>
      </c>
      <c r="CW234" s="2078">
        <f>IF(OR(AE234&lt;&gt;3,F234="Exclude"),0,IF(ISERROR(MATCH($E234,'4 Sign-off'!$S$123:$X$123,0)),0,1))</f>
        <v>0</v>
      </c>
      <c r="CX234" s="2078">
        <f t="shared" si="481"/>
        <v>0</v>
      </c>
      <c r="CY234" s="2078">
        <f t="shared" si="420"/>
        <v>0</v>
      </c>
      <c r="CZ234" s="2993">
        <f t="shared" ca="1" si="483"/>
        <v>0</v>
      </c>
      <c r="DA234" s="3037">
        <f t="shared" ca="1" si="484"/>
        <v>0</v>
      </c>
      <c r="DB234" s="1664"/>
      <c r="DC234" s="1320"/>
      <c r="DD234" s="589"/>
      <c r="DE234" s="1321"/>
      <c r="DF234" s="107"/>
      <c r="DG234" s="112"/>
      <c r="DH234" s="140"/>
      <c r="DI234" s="22"/>
      <c r="DJ234" s="145"/>
      <c r="DK234" s="137"/>
      <c r="DL234" s="137"/>
      <c r="DM234" s="137"/>
      <c r="DN234" s="137"/>
      <c r="DO234" s="137"/>
      <c r="DP234" s="137"/>
      <c r="DQ234" s="137"/>
      <c r="DR234" s="137"/>
      <c r="DS234" s="137"/>
      <c r="DT234" s="137"/>
      <c r="DU234" s="137"/>
      <c r="DV234" s="137"/>
      <c r="DW234" s="137"/>
      <c r="DX234" s="137"/>
      <c r="DY234" s="137"/>
      <c r="DZ234" s="137"/>
      <c r="EA234" s="137"/>
      <c r="EB234" s="137"/>
      <c r="EC234" s="137"/>
      <c r="ED234" s="137"/>
      <c r="EE234" s="137"/>
      <c r="EF234" s="137"/>
      <c r="EG234" s="137"/>
      <c r="EH234" s="137"/>
      <c r="EI234" s="137"/>
      <c r="EJ234" s="137"/>
      <c r="EK234" s="137"/>
      <c r="EL234" s="137"/>
      <c r="EM234" s="137"/>
      <c r="EN234" s="137"/>
      <c r="EO234" s="137"/>
      <c r="EP234" s="137"/>
      <c r="EQ234" s="137"/>
      <c r="ER234" s="137"/>
      <c r="ES234" s="137"/>
      <c r="ET234" s="137"/>
      <c r="EU234" s="137"/>
      <c r="EV234" s="137"/>
      <c r="EW234" s="137"/>
      <c r="EX234" s="137"/>
      <c r="EY234" s="137"/>
      <c r="EZ234" s="137"/>
      <c r="FA234" s="137"/>
      <c r="FB234" s="137"/>
      <c r="FC234" s="137"/>
      <c r="FD234" s="137"/>
      <c r="FE234" s="137"/>
      <c r="FF234" s="137"/>
      <c r="FG234" s="860"/>
      <c r="FH234" s="863"/>
      <c r="FI234" s="1318"/>
      <c r="FJ234" s="126"/>
      <c r="FK234" s="127"/>
      <c r="FL234" s="128" t="str">
        <f t="shared" si="485"/>
        <v xml:space="preserve">    </v>
      </c>
      <c r="FM234" s="128"/>
      <c r="FN234" s="1686">
        <f t="shared" si="486"/>
        <v>0</v>
      </c>
      <c r="FO234" s="46">
        <f t="shared" si="421"/>
        <v>0</v>
      </c>
      <c r="FP234" s="46">
        <f t="shared" si="422"/>
        <v>1</v>
      </c>
      <c r="FQ234" s="75">
        <f t="shared" si="489"/>
        <v>0</v>
      </c>
      <c r="FR234" s="46">
        <f t="shared" si="873"/>
        <v>0</v>
      </c>
      <c r="FS234" s="46">
        <f t="shared" si="874"/>
        <v>1</v>
      </c>
      <c r="FT234" s="75">
        <f t="shared" si="492"/>
        <v>0</v>
      </c>
      <c r="FU234" s="2603">
        <f t="shared" si="423"/>
        <v>0</v>
      </c>
      <c r="FV234" s="2607">
        <f t="shared" si="424"/>
        <v>0</v>
      </c>
      <c r="FW234" s="2603">
        <f t="shared" si="425"/>
        <v>0</v>
      </c>
      <c r="FX234" s="2631">
        <f t="shared" si="426"/>
        <v>0</v>
      </c>
      <c r="FY234" s="81" t="e">
        <f t="shared" si="875"/>
        <v>#N/A</v>
      </c>
      <c r="FZ234" s="64" t="e">
        <f t="array" ref="FZ234">MATCH(1,($GT234:$LQ234&gt;0)*$GT$25:$LQ$25,0)</f>
        <v>#N/A</v>
      </c>
      <c r="GA234" s="64" t="e">
        <f t="array" ref="GA234">MATCH(2,1/(GT234:LQ234&gt;0))</f>
        <v>#N/A</v>
      </c>
      <c r="GB234" s="64">
        <f t="shared" si="497"/>
        <v>-1</v>
      </c>
      <c r="GC234" s="46"/>
      <c r="GD234" s="613"/>
      <c r="GE234" s="613"/>
      <c r="GF234" s="613"/>
      <c r="GG234" s="613"/>
      <c r="GH234" s="613"/>
      <c r="GI234" s="613"/>
      <c r="GJ234" s="613"/>
      <c r="GK234" s="613"/>
      <c r="GL234" s="613"/>
      <c r="GM234" s="613"/>
      <c r="GN234" s="385">
        <f t="shared" si="498"/>
        <v>0</v>
      </c>
      <c r="GO234" s="386">
        <f t="shared" si="499"/>
        <v>0</v>
      </c>
      <c r="GP234" s="2635"/>
      <c r="GQ234" s="175"/>
      <c r="GR234" s="172"/>
      <c r="GS234" s="65"/>
      <c r="GT234" s="167"/>
      <c r="GU234" s="168"/>
      <c r="GV234" s="168"/>
      <c r="GW234" s="168"/>
      <c r="GX234" s="168"/>
      <c r="GY234" s="168"/>
      <c r="GZ234" s="168"/>
      <c r="HA234" s="168"/>
      <c r="HB234" s="168"/>
      <c r="HC234" s="168"/>
      <c r="HD234" s="168"/>
      <c r="HE234" s="168"/>
      <c r="HF234" s="168"/>
      <c r="HG234" s="168"/>
      <c r="HH234" s="168"/>
      <c r="HI234" s="168"/>
      <c r="HJ234" s="168"/>
      <c r="HK234" s="168"/>
      <c r="HL234" s="168"/>
      <c r="HM234" s="168"/>
      <c r="HN234" s="168"/>
      <c r="HO234" s="168"/>
      <c r="HP234" s="168"/>
      <c r="HQ234" s="168"/>
      <c r="HR234" s="168"/>
      <c r="HS234" s="168"/>
      <c r="HT234" s="168"/>
      <c r="HU234" s="168"/>
      <c r="HV234" s="168"/>
      <c r="HW234" s="168"/>
      <c r="HX234" s="168"/>
      <c r="HY234" s="168"/>
      <c r="HZ234" s="168"/>
      <c r="IA234" s="168"/>
      <c r="IB234" s="168"/>
      <c r="IC234" s="168"/>
      <c r="ID234" s="168"/>
      <c r="IE234" s="168"/>
      <c r="IF234" s="168"/>
      <c r="IG234" s="168"/>
      <c r="IH234" s="168"/>
      <c r="II234" s="168"/>
      <c r="IJ234" s="168"/>
      <c r="IK234" s="168"/>
      <c r="IL234" s="168"/>
      <c r="IM234" s="168"/>
      <c r="IN234" s="168"/>
      <c r="IO234" s="168"/>
      <c r="IP234" s="168"/>
      <c r="IQ234" s="168"/>
      <c r="IR234" s="168"/>
      <c r="IS234" s="168"/>
      <c r="IT234" s="168"/>
      <c r="IU234" s="168"/>
      <c r="IV234" s="168"/>
      <c r="IW234" s="168"/>
      <c r="IX234" s="168"/>
      <c r="IY234" s="168"/>
      <c r="IZ234" s="168"/>
      <c r="JA234" s="168"/>
      <c r="JB234" s="168"/>
      <c r="JC234" s="168"/>
      <c r="JD234" s="168"/>
      <c r="JE234" s="168"/>
      <c r="JF234" s="168"/>
      <c r="JG234" s="168"/>
      <c r="JH234" s="168"/>
      <c r="JI234" s="168"/>
      <c r="JJ234" s="168"/>
      <c r="JK234" s="168"/>
      <c r="JL234" s="168"/>
      <c r="JM234" s="168"/>
      <c r="JN234" s="168"/>
      <c r="JO234" s="168"/>
      <c r="JP234" s="168"/>
      <c r="JQ234" s="168"/>
      <c r="JR234" s="168"/>
      <c r="JS234" s="168"/>
      <c r="JT234" s="168"/>
      <c r="JU234" s="168"/>
      <c r="JV234" s="168"/>
      <c r="JW234" s="168"/>
      <c r="JX234" s="168"/>
      <c r="JY234" s="168"/>
      <c r="JZ234" s="168"/>
      <c r="KA234" s="168"/>
      <c r="KB234" s="168"/>
      <c r="KC234" s="168"/>
      <c r="KD234" s="168"/>
      <c r="KE234" s="168"/>
      <c r="KF234" s="168"/>
      <c r="KG234" s="168"/>
      <c r="KH234" s="168"/>
      <c r="KI234" s="168"/>
      <c r="KJ234" s="168"/>
      <c r="KK234" s="168"/>
      <c r="KL234" s="168"/>
      <c r="KM234" s="168"/>
      <c r="KN234" s="168"/>
      <c r="KO234" s="168"/>
      <c r="KP234" s="168"/>
      <c r="KQ234" s="168"/>
      <c r="KR234" s="168"/>
      <c r="KS234" s="168"/>
      <c r="KT234" s="168"/>
      <c r="KU234" s="168"/>
      <c r="KV234" s="168"/>
      <c r="KW234" s="168"/>
      <c r="KX234" s="168"/>
      <c r="KY234" s="168"/>
      <c r="KZ234" s="168"/>
      <c r="LA234" s="168"/>
      <c r="LB234" s="168"/>
      <c r="LC234" s="168"/>
      <c r="LD234" s="168"/>
      <c r="LE234" s="168"/>
      <c r="LF234" s="168"/>
      <c r="LG234" s="168"/>
      <c r="LH234" s="168"/>
      <c r="LI234" s="168"/>
      <c r="LJ234" s="168"/>
      <c r="LK234" s="168"/>
      <c r="LL234" s="168"/>
      <c r="LM234" s="168"/>
      <c r="LN234" s="168"/>
      <c r="LO234" s="168"/>
      <c r="LP234" s="606"/>
      <c r="LQ234" s="609"/>
      <c r="LR234" s="1319"/>
      <c r="LS234" s="1319"/>
    </row>
    <row r="235" spans="1:331" s="2" customFormat="1" ht="15" customHeight="1" x14ac:dyDescent="0.25">
      <c r="A235" s="283"/>
      <c r="B235" s="303"/>
      <c r="C235" s="301"/>
      <c r="D235" s="1287"/>
      <c r="E235" s="2298"/>
      <c r="F235" s="1812"/>
      <c r="G235" s="3342"/>
      <c r="H235" s="66"/>
      <c r="I235" s="1746"/>
      <c r="J235" s="1214"/>
      <c r="K235" s="105"/>
      <c r="L235" s="91"/>
      <c r="M235" s="92"/>
      <c r="N235" s="93"/>
      <c r="O235" s="94"/>
      <c r="P235" s="96"/>
      <c r="Q235" s="95"/>
      <c r="R235" s="993">
        <f t="shared" si="431"/>
        <v>0</v>
      </c>
      <c r="S235" s="23">
        <f t="shared" si="432"/>
        <v>0</v>
      </c>
      <c r="T235" s="24">
        <f t="shared" si="433"/>
        <v>0</v>
      </c>
      <c r="U235" s="24">
        <f t="shared" si="434"/>
        <v>0</v>
      </c>
      <c r="V235" s="24">
        <f t="shared" si="435"/>
        <v>0</v>
      </c>
      <c r="W235" s="24">
        <f t="shared" ca="1" si="436"/>
        <v>0</v>
      </c>
      <c r="X235" s="72">
        <f t="shared" ca="1" si="386"/>
        <v>0</v>
      </c>
      <c r="Y235" s="72">
        <f t="shared" si="437"/>
        <v>0</v>
      </c>
      <c r="Z235" s="24">
        <f t="shared" si="438"/>
        <v>0</v>
      </c>
      <c r="AA235" s="72">
        <f t="shared" si="387"/>
        <v>0</v>
      </c>
      <c r="AB235" s="24">
        <f t="shared" si="388"/>
        <v>0</v>
      </c>
      <c r="AC235" s="24">
        <f t="shared" ca="1" si="439"/>
        <v>0</v>
      </c>
      <c r="AD235" s="24">
        <f t="shared" si="389"/>
        <v>0</v>
      </c>
      <c r="AE235" s="2078">
        <f t="shared" si="870"/>
        <v>3</v>
      </c>
      <c r="AF235" s="2078">
        <f t="shared" si="871"/>
        <v>0</v>
      </c>
      <c r="AG235" s="2078">
        <f t="shared" si="872"/>
        <v>0</v>
      </c>
      <c r="AH235" s="2521">
        <f t="shared" si="390"/>
        <v>1</v>
      </c>
      <c r="AI235" s="25" t="str">
        <f t="shared" si="443"/>
        <v/>
      </c>
      <c r="AJ235" s="2521">
        <f t="shared" ca="1" si="391"/>
        <v>0</v>
      </c>
      <c r="AK235" s="2076">
        <f t="shared" ca="1" si="392"/>
        <v>0</v>
      </c>
      <c r="AL235" s="2078">
        <f>IF(ISBLANK(J235),0,ISERROR(MATCH(J235,'5  Control Accounts'!$FA$29:$FA$96,0))*1)</f>
        <v>0</v>
      </c>
      <c r="AM235" s="2076">
        <f t="shared" si="444"/>
        <v>0</v>
      </c>
      <c r="AN235" s="2078">
        <f t="shared" si="445"/>
        <v>1</v>
      </c>
      <c r="AO235" s="2079">
        <f t="shared" si="393"/>
        <v>1</v>
      </c>
      <c r="AP235" s="2079">
        <f t="shared" si="394"/>
        <v>0</v>
      </c>
      <c r="AQ235" s="2079">
        <f t="shared" si="395"/>
        <v>0</v>
      </c>
      <c r="AR235" s="2079">
        <f t="shared" si="396"/>
        <v>0</v>
      </c>
      <c r="AS235" s="2079">
        <f t="shared" si="397"/>
        <v>0</v>
      </c>
      <c r="AT235" s="2079">
        <f t="shared" si="398"/>
        <v>0</v>
      </c>
      <c r="AU235" s="2079">
        <f t="shared" si="399"/>
        <v>0</v>
      </c>
      <c r="AV235" s="2079">
        <f t="shared" si="400"/>
        <v>0</v>
      </c>
      <c r="AW235" s="2079">
        <f t="shared" si="401"/>
        <v>0</v>
      </c>
      <c r="AX235" s="2079">
        <f t="shared" si="402"/>
        <v>0</v>
      </c>
      <c r="AY235" s="2078">
        <f t="shared" si="446"/>
        <v>0</v>
      </c>
      <c r="AZ235" s="2078">
        <f t="shared" si="447"/>
        <v>0</v>
      </c>
      <c r="BA235" s="2078">
        <f t="shared" si="448"/>
        <v>0</v>
      </c>
      <c r="BB235" s="2078">
        <f t="shared" si="449"/>
        <v>0</v>
      </c>
      <c r="BC235" s="2078">
        <f t="shared" si="450"/>
        <v>0</v>
      </c>
      <c r="BD235" s="2078">
        <f t="shared" si="451"/>
        <v>0</v>
      </c>
      <c r="BE235" s="2078">
        <f t="shared" si="452"/>
        <v>0</v>
      </c>
      <c r="BF235" s="2078">
        <f t="shared" si="453"/>
        <v>0</v>
      </c>
      <c r="BG235" s="2078">
        <f t="shared" si="454"/>
        <v>0</v>
      </c>
      <c r="BH235" s="2078">
        <f t="shared" si="455"/>
        <v>0</v>
      </c>
      <c r="BI235" s="2078">
        <f t="shared" si="456"/>
        <v>0</v>
      </c>
      <c r="BJ235" s="2078">
        <f t="shared" si="457"/>
        <v>0</v>
      </c>
      <c r="BK235" s="2078">
        <f t="shared" si="458"/>
        <v>0</v>
      </c>
      <c r="BL235" s="2078">
        <f t="shared" si="459"/>
        <v>0</v>
      </c>
      <c r="BM235" s="2078">
        <f t="shared" si="460"/>
        <v>0</v>
      </c>
      <c r="BN235" s="2078">
        <f t="shared" si="461"/>
        <v>0</v>
      </c>
      <c r="BO235" s="2078">
        <f t="shared" si="462"/>
        <v>0</v>
      </c>
      <c r="BP235" s="2078">
        <f t="shared" si="463"/>
        <v>0</v>
      </c>
      <c r="BQ235" s="2078">
        <f t="shared" si="464"/>
        <v>0</v>
      </c>
      <c r="BR235" s="2078">
        <f t="shared" si="465"/>
        <v>0</v>
      </c>
      <c r="BS235" s="2079">
        <f t="shared" si="403"/>
        <v>1</v>
      </c>
      <c r="BT235" s="2079">
        <f t="shared" si="404"/>
        <v>0</v>
      </c>
      <c r="BU235" s="2079">
        <f t="shared" si="405"/>
        <v>0</v>
      </c>
      <c r="BV235" s="2079">
        <f t="shared" si="406"/>
        <v>0</v>
      </c>
      <c r="BW235" s="2079">
        <f t="shared" si="407"/>
        <v>0</v>
      </c>
      <c r="BX235" s="2079">
        <f t="shared" si="408"/>
        <v>0</v>
      </c>
      <c r="BY235" s="2079">
        <f t="shared" si="409"/>
        <v>0</v>
      </c>
      <c r="BZ235" s="2079">
        <f t="shared" si="410"/>
        <v>0</v>
      </c>
      <c r="CA235" s="2079">
        <f t="shared" si="411"/>
        <v>0</v>
      </c>
      <c r="CB235" s="2079">
        <f t="shared" si="412"/>
        <v>0</v>
      </c>
      <c r="CC235" s="2078">
        <f t="shared" ca="1" si="466"/>
        <v>0</v>
      </c>
      <c r="CD235" s="2078">
        <f t="shared" ca="1" si="467"/>
        <v>0</v>
      </c>
      <c r="CE235" s="2078">
        <f t="shared" ca="1" si="468"/>
        <v>0</v>
      </c>
      <c r="CF235" s="2078">
        <f t="shared" ca="1" si="469"/>
        <v>0</v>
      </c>
      <c r="CG235" s="2078">
        <f t="shared" ca="1" si="470"/>
        <v>0</v>
      </c>
      <c r="CH235" s="2078">
        <f t="shared" ca="1" si="471"/>
        <v>0</v>
      </c>
      <c r="CI235" s="2078">
        <f t="shared" ca="1" si="472"/>
        <v>0</v>
      </c>
      <c r="CJ235" s="2078">
        <f t="shared" ca="1" si="473"/>
        <v>0</v>
      </c>
      <c r="CK235" s="2078">
        <f t="shared" ca="1" si="474"/>
        <v>0</v>
      </c>
      <c r="CL235" s="2078">
        <f t="shared" ca="1" si="475"/>
        <v>0</v>
      </c>
      <c r="CM235" s="2078">
        <f t="shared" si="413"/>
        <v>1</v>
      </c>
      <c r="CN235" s="2078">
        <f t="shared" si="414"/>
        <v>1</v>
      </c>
      <c r="CO235" s="2078">
        <f t="shared" si="415"/>
        <v>1</v>
      </c>
      <c r="CP235" s="2078">
        <f t="shared" si="478"/>
        <v>1</v>
      </c>
      <c r="CQ235" s="2078">
        <f t="shared" si="416"/>
        <v>0</v>
      </c>
      <c r="CR235" s="2078">
        <f t="shared" si="417"/>
        <v>0</v>
      </c>
      <c r="CS235" s="2078">
        <f t="shared" si="479"/>
        <v>0</v>
      </c>
      <c r="CT235" s="2078">
        <f t="shared" si="418"/>
        <v>1</v>
      </c>
      <c r="CU235" s="2078">
        <f t="shared" si="480"/>
        <v>1</v>
      </c>
      <c r="CV235" s="2078">
        <f t="shared" si="419"/>
        <v>0</v>
      </c>
      <c r="CW235" s="2078">
        <f>IF(OR(AE235&lt;&gt;3,F235="Exclude"),0,IF(ISERROR(MATCH($E235,'4 Sign-off'!$S$123:$X$123,0)),0,1))</f>
        <v>0</v>
      </c>
      <c r="CX235" s="2078">
        <f t="shared" si="481"/>
        <v>0</v>
      </c>
      <c r="CY235" s="2078">
        <f t="shared" si="420"/>
        <v>0</v>
      </c>
      <c r="CZ235" s="2993">
        <f t="shared" ca="1" si="483"/>
        <v>0</v>
      </c>
      <c r="DA235" s="3037">
        <f t="shared" ca="1" si="484"/>
        <v>0</v>
      </c>
      <c r="DB235" s="1664"/>
      <c r="DC235" s="1320"/>
      <c r="DD235" s="589"/>
      <c r="DE235" s="1321"/>
      <c r="DF235" s="107"/>
      <c r="DG235" s="112"/>
      <c r="DH235" s="140"/>
      <c r="DI235" s="22"/>
      <c r="DJ235" s="145"/>
      <c r="DK235" s="137"/>
      <c r="DL235" s="137"/>
      <c r="DM235" s="137"/>
      <c r="DN235" s="137"/>
      <c r="DO235" s="137"/>
      <c r="DP235" s="137"/>
      <c r="DQ235" s="137"/>
      <c r="DR235" s="137"/>
      <c r="DS235" s="137"/>
      <c r="DT235" s="137"/>
      <c r="DU235" s="137"/>
      <c r="DV235" s="137"/>
      <c r="DW235" s="137"/>
      <c r="DX235" s="137"/>
      <c r="DY235" s="137"/>
      <c r="DZ235" s="137"/>
      <c r="EA235" s="137"/>
      <c r="EB235" s="137"/>
      <c r="EC235" s="137"/>
      <c r="ED235" s="137"/>
      <c r="EE235" s="137"/>
      <c r="EF235" s="137"/>
      <c r="EG235" s="137"/>
      <c r="EH235" s="137"/>
      <c r="EI235" s="137"/>
      <c r="EJ235" s="137"/>
      <c r="EK235" s="137"/>
      <c r="EL235" s="137"/>
      <c r="EM235" s="137"/>
      <c r="EN235" s="137"/>
      <c r="EO235" s="137"/>
      <c r="EP235" s="137"/>
      <c r="EQ235" s="137"/>
      <c r="ER235" s="137"/>
      <c r="ES235" s="137"/>
      <c r="ET235" s="137"/>
      <c r="EU235" s="137"/>
      <c r="EV235" s="137"/>
      <c r="EW235" s="137"/>
      <c r="EX235" s="137"/>
      <c r="EY235" s="137"/>
      <c r="EZ235" s="137"/>
      <c r="FA235" s="137"/>
      <c r="FB235" s="137"/>
      <c r="FC235" s="137"/>
      <c r="FD235" s="137"/>
      <c r="FE235" s="137"/>
      <c r="FF235" s="137"/>
      <c r="FG235" s="860"/>
      <c r="FH235" s="863"/>
      <c r="FI235" s="1318"/>
      <c r="FJ235" s="126"/>
      <c r="FK235" s="127"/>
      <c r="FL235" s="128" t="str">
        <f t="shared" si="485"/>
        <v xml:space="preserve">    </v>
      </c>
      <c r="FM235" s="128"/>
      <c r="FN235" s="1686">
        <f t="shared" si="486"/>
        <v>0</v>
      </c>
      <c r="FO235" s="46">
        <f t="shared" si="421"/>
        <v>0</v>
      </c>
      <c r="FP235" s="46">
        <f t="shared" si="422"/>
        <v>1</v>
      </c>
      <c r="FQ235" s="75">
        <f t="shared" si="489"/>
        <v>0</v>
      </c>
      <c r="FR235" s="46">
        <f t="shared" si="873"/>
        <v>0</v>
      </c>
      <c r="FS235" s="46">
        <f t="shared" si="874"/>
        <v>1</v>
      </c>
      <c r="FT235" s="75">
        <f t="shared" si="492"/>
        <v>0</v>
      </c>
      <c r="FU235" s="2603">
        <f t="shared" si="423"/>
        <v>0</v>
      </c>
      <c r="FV235" s="2607">
        <f t="shared" si="424"/>
        <v>0</v>
      </c>
      <c r="FW235" s="2603">
        <f t="shared" si="425"/>
        <v>0</v>
      </c>
      <c r="FX235" s="2631">
        <f t="shared" si="426"/>
        <v>0</v>
      </c>
      <c r="FY235" s="81" t="e">
        <f t="shared" si="875"/>
        <v>#N/A</v>
      </c>
      <c r="FZ235" s="64" t="e">
        <f t="array" ref="FZ235">MATCH(1,($GT235:$LQ235&gt;0)*$GT$25:$LQ$25,0)</f>
        <v>#N/A</v>
      </c>
      <c r="GA235" s="64" t="e">
        <f t="array" ref="GA235">MATCH(2,1/(GT235:LQ235&gt;0))</f>
        <v>#N/A</v>
      </c>
      <c r="GB235" s="64">
        <f t="shared" si="497"/>
        <v>-1</v>
      </c>
      <c r="GC235" s="46"/>
      <c r="GD235" s="613"/>
      <c r="GE235" s="613"/>
      <c r="GF235" s="613"/>
      <c r="GG235" s="613"/>
      <c r="GH235" s="613"/>
      <c r="GI235" s="613"/>
      <c r="GJ235" s="613"/>
      <c r="GK235" s="613"/>
      <c r="GL235" s="613"/>
      <c r="GM235" s="613"/>
      <c r="GN235" s="385">
        <f t="shared" si="498"/>
        <v>0</v>
      </c>
      <c r="GO235" s="386">
        <f t="shared" si="499"/>
        <v>0</v>
      </c>
      <c r="GP235" s="2635"/>
      <c r="GQ235" s="175"/>
      <c r="GR235" s="172"/>
      <c r="GS235" s="65"/>
      <c r="GT235" s="167"/>
      <c r="GU235" s="168"/>
      <c r="GV235" s="168"/>
      <c r="GW235" s="168"/>
      <c r="GX235" s="168"/>
      <c r="GY235" s="168"/>
      <c r="GZ235" s="168"/>
      <c r="HA235" s="168"/>
      <c r="HB235" s="168"/>
      <c r="HC235" s="168"/>
      <c r="HD235" s="168"/>
      <c r="HE235" s="168"/>
      <c r="HF235" s="168"/>
      <c r="HG235" s="168"/>
      <c r="HH235" s="168"/>
      <c r="HI235" s="168"/>
      <c r="HJ235" s="168"/>
      <c r="HK235" s="168"/>
      <c r="HL235" s="168"/>
      <c r="HM235" s="168"/>
      <c r="HN235" s="168"/>
      <c r="HO235" s="168"/>
      <c r="HP235" s="168"/>
      <c r="HQ235" s="168"/>
      <c r="HR235" s="168"/>
      <c r="HS235" s="168"/>
      <c r="HT235" s="168"/>
      <c r="HU235" s="168"/>
      <c r="HV235" s="168"/>
      <c r="HW235" s="168"/>
      <c r="HX235" s="168"/>
      <c r="HY235" s="168"/>
      <c r="HZ235" s="168"/>
      <c r="IA235" s="168"/>
      <c r="IB235" s="168"/>
      <c r="IC235" s="168"/>
      <c r="ID235" s="168"/>
      <c r="IE235" s="168"/>
      <c r="IF235" s="168"/>
      <c r="IG235" s="168"/>
      <c r="IH235" s="168"/>
      <c r="II235" s="168"/>
      <c r="IJ235" s="168"/>
      <c r="IK235" s="168"/>
      <c r="IL235" s="168"/>
      <c r="IM235" s="168"/>
      <c r="IN235" s="168"/>
      <c r="IO235" s="168"/>
      <c r="IP235" s="168"/>
      <c r="IQ235" s="168"/>
      <c r="IR235" s="168"/>
      <c r="IS235" s="168"/>
      <c r="IT235" s="168"/>
      <c r="IU235" s="168"/>
      <c r="IV235" s="168"/>
      <c r="IW235" s="168"/>
      <c r="IX235" s="168"/>
      <c r="IY235" s="168"/>
      <c r="IZ235" s="168"/>
      <c r="JA235" s="168"/>
      <c r="JB235" s="168"/>
      <c r="JC235" s="168"/>
      <c r="JD235" s="168"/>
      <c r="JE235" s="168"/>
      <c r="JF235" s="168"/>
      <c r="JG235" s="168"/>
      <c r="JH235" s="168"/>
      <c r="JI235" s="168"/>
      <c r="JJ235" s="168"/>
      <c r="JK235" s="168"/>
      <c r="JL235" s="168"/>
      <c r="JM235" s="168"/>
      <c r="JN235" s="168"/>
      <c r="JO235" s="168"/>
      <c r="JP235" s="168"/>
      <c r="JQ235" s="168"/>
      <c r="JR235" s="168"/>
      <c r="JS235" s="168"/>
      <c r="JT235" s="168"/>
      <c r="JU235" s="168"/>
      <c r="JV235" s="168"/>
      <c r="JW235" s="168"/>
      <c r="JX235" s="168"/>
      <c r="JY235" s="168"/>
      <c r="JZ235" s="168"/>
      <c r="KA235" s="168"/>
      <c r="KB235" s="168"/>
      <c r="KC235" s="168"/>
      <c r="KD235" s="168"/>
      <c r="KE235" s="168"/>
      <c r="KF235" s="168"/>
      <c r="KG235" s="168"/>
      <c r="KH235" s="168"/>
      <c r="KI235" s="168"/>
      <c r="KJ235" s="168"/>
      <c r="KK235" s="168"/>
      <c r="KL235" s="168"/>
      <c r="KM235" s="168"/>
      <c r="KN235" s="168"/>
      <c r="KO235" s="168"/>
      <c r="KP235" s="168"/>
      <c r="KQ235" s="168"/>
      <c r="KR235" s="168"/>
      <c r="KS235" s="168"/>
      <c r="KT235" s="168"/>
      <c r="KU235" s="168"/>
      <c r="KV235" s="168"/>
      <c r="KW235" s="168"/>
      <c r="KX235" s="168"/>
      <c r="KY235" s="168"/>
      <c r="KZ235" s="168"/>
      <c r="LA235" s="168"/>
      <c r="LB235" s="168"/>
      <c r="LC235" s="168"/>
      <c r="LD235" s="168"/>
      <c r="LE235" s="168"/>
      <c r="LF235" s="168"/>
      <c r="LG235" s="168"/>
      <c r="LH235" s="168"/>
      <c r="LI235" s="168"/>
      <c r="LJ235" s="168"/>
      <c r="LK235" s="168"/>
      <c r="LL235" s="168"/>
      <c r="LM235" s="168"/>
      <c r="LN235" s="168"/>
      <c r="LO235" s="168"/>
      <c r="LP235" s="606"/>
      <c r="LQ235" s="609"/>
      <c r="LR235" s="1319"/>
      <c r="LS235" s="1319"/>
    </row>
    <row r="236" spans="1:331" s="2" customFormat="1" ht="15" customHeight="1" x14ac:dyDescent="0.25">
      <c r="A236" s="283"/>
      <c r="B236" s="303"/>
      <c r="C236" s="301"/>
      <c r="D236" s="1287"/>
      <c r="E236" s="2298"/>
      <c r="F236" s="1812"/>
      <c r="G236" s="3342"/>
      <c r="H236" s="66"/>
      <c r="I236" s="1746"/>
      <c r="J236" s="1214"/>
      <c r="K236" s="105"/>
      <c r="L236" s="91"/>
      <c r="M236" s="92"/>
      <c r="N236" s="93"/>
      <c r="O236" s="94"/>
      <c r="P236" s="96"/>
      <c r="Q236" s="95"/>
      <c r="R236" s="993">
        <f t="shared" si="431"/>
        <v>0</v>
      </c>
      <c r="S236" s="23">
        <f t="shared" si="432"/>
        <v>0</v>
      </c>
      <c r="T236" s="24">
        <f t="shared" si="433"/>
        <v>0</v>
      </c>
      <c r="U236" s="24">
        <f t="shared" si="434"/>
        <v>0</v>
      </c>
      <c r="V236" s="24">
        <f t="shared" si="435"/>
        <v>0</v>
      </c>
      <c r="W236" s="24">
        <f t="shared" ca="1" si="436"/>
        <v>0</v>
      </c>
      <c r="X236" s="72">
        <f t="shared" ca="1" si="386"/>
        <v>0</v>
      </c>
      <c r="Y236" s="72">
        <f t="shared" si="437"/>
        <v>0</v>
      </c>
      <c r="Z236" s="24">
        <f t="shared" si="438"/>
        <v>0</v>
      </c>
      <c r="AA236" s="72">
        <f t="shared" si="387"/>
        <v>0</v>
      </c>
      <c r="AB236" s="24">
        <f t="shared" si="388"/>
        <v>0</v>
      </c>
      <c r="AC236" s="24">
        <f t="shared" ca="1" si="439"/>
        <v>0</v>
      </c>
      <c r="AD236" s="24">
        <f t="shared" si="389"/>
        <v>0</v>
      </c>
      <c r="AE236" s="2078">
        <f t="shared" si="870"/>
        <v>3</v>
      </c>
      <c r="AF236" s="2078">
        <f t="shared" si="871"/>
        <v>0</v>
      </c>
      <c r="AG236" s="2078">
        <f t="shared" si="872"/>
        <v>0</v>
      </c>
      <c r="AH236" s="2521">
        <f t="shared" si="390"/>
        <v>1</v>
      </c>
      <c r="AI236" s="25" t="str">
        <f t="shared" si="443"/>
        <v/>
      </c>
      <c r="AJ236" s="2521">
        <f t="shared" ca="1" si="391"/>
        <v>0</v>
      </c>
      <c r="AK236" s="2076">
        <f t="shared" ca="1" si="392"/>
        <v>0</v>
      </c>
      <c r="AL236" s="2078">
        <f>IF(ISBLANK(J236),0,ISERROR(MATCH(J236,'5  Control Accounts'!$FA$29:$FA$96,0))*1)</f>
        <v>0</v>
      </c>
      <c r="AM236" s="2076">
        <f t="shared" si="444"/>
        <v>0</v>
      </c>
      <c r="AN236" s="2078">
        <f t="shared" si="445"/>
        <v>1</v>
      </c>
      <c r="AO236" s="2079">
        <f t="shared" si="393"/>
        <v>1</v>
      </c>
      <c r="AP236" s="2079">
        <f t="shared" si="394"/>
        <v>0</v>
      </c>
      <c r="AQ236" s="2079">
        <f t="shared" si="395"/>
        <v>0</v>
      </c>
      <c r="AR236" s="2079">
        <f t="shared" si="396"/>
        <v>0</v>
      </c>
      <c r="AS236" s="2079">
        <f t="shared" si="397"/>
        <v>0</v>
      </c>
      <c r="AT236" s="2079">
        <f t="shared" si="398"/>
        <v>0</v>
      </c>
      <c r="AU236" s="2079">
        <f t="shared" si="399"/>
        <v>0</v>
      </c>
      <c r="AV236" s="2079">
        <f t="shared" si="400"/>
        <v>0</v>
      </c>
      <c r="AW236" s="2079">
        <f t="shared" si="401"/>
        <v>0</v>
      </c>
      <c r="AX236" s="2079">
        <f t="shared" si="402"/>
        <v>0</v>
      </c>
      <c r="AY236" s="2078">
        <f t="shared" si="446"/>
        <v>0</v>
      </c>
      <c r="AZ236" s="2078">
        <f t="shared" si="447"/>
        <v>0</v>
      </c>
      <c r="BA236" s="2078">
        <f t="shared" si="448"/>
        <v>0</v>
      </c>
      <c r="BB236" s="2078">
        <f t="shared" si="449"/>
        <v>0</v>
      </c>
      <c r="BC236" s="2078">
        <f t="shared" si="450"/>
        <v>0</v>
      </c>
      <c r="BD236" s="2078">
        <f t="shared" si="451"/>
        <v>0</v>
      </c>
      <c r="BE236" s="2078">
        <f t="shared" si="452"/>
        <v>0</v>
      </c>
      <c r="BF236" s="2078">
        <f t="shared" si="453"/>
        <v>0</v>
      </c>
      <c r="BG236" s="2078">
        <f t="shared" si="454"/>
        <v>0</v>
      </c>
      <c r="BH236" s="2078">
        <f t="shared" si="455"/>
        <v>0</v>
      </c>
      <c r="BI236" s="2078">
        <f t="shared" si="456"/>
        <v>0</v>
      </c>
      <c r="BJ236" s="2078">
        <f t="shared" si="457"/>
        <v>0</v>
      </c>
      <c r="BK236" s="2078">
        <f t="shared" si="458"/>
        <v>0</v>
      </c>
      <c r="BL236" s="2078">
        <f t="shared" si="459"/>
        <v>0</v>
      </c>
      <c r="BM236" s="2078">
        <f t="shared" si="460"/>
        <v>0</v>
      </c>
      <c r="BN236" s="2078">
        <f t="shared" si="461"/>
        <v>0</v>
      </c>
      <c r="BO236" s="2078">
        <f t="shared" si="462"/>
        <v>0</v>
      </c>
      <c r="BP236" s="2078">
        <f t="shared" si="463"/>
        <v>0</v>
      </c>
      <c r="BQ236" s="2078">
        <f t="shared" si="464"/>
        <v>0</v>
      </c>
      <c r="BR236" s="2078">
        <f t="shared" si="465"/>
        <v>0</v>
      </c>
      <c r="BS236" s="2079">
        <f t="shared" si="403"/>
        <v>1</v>
      </c>
      <c r="BT236" s="2079">
        <f t="shared" si="404"/>
        <v>0</v>
      </c>
      <c r="BU236" s="2079">
        <f t="shared" si="405"/>
        <v>0</v>
      </c>
      <c r="BV236" s="2079">
        <f t="shared" si="406"/>
        <v>0</v>
      </c>
      <c r="BW236" s="2079">
        <f t="shared" si="407"/>
        <v>0</v>
      </c>
      <c r="BX236" s="2079">
        <f t="shared" si="408"/>
        <v>0</v>
      </c>
      <c r="BY236" s="2079">
        <f t="shared" si="409"/>
        <v>0</v>
      </c>
      <c r="BZ236" s="2079">
        <f t="shared" si="410"/>
        <v>0</v>
      </c>
      <c r="CA236" s="2079">
        <f t="shared" si="411"/>
        <v>0</v>
      </c>
      <c r="CB236" s="2079">
        <f t="shared" si="412"/>
        <v>0</v>
      </c>
      <c r="CC236" s="2078">
        <f t="shared" ca="1" si="466"/>
        <v>0</v>
      </c>
      <c r="CD236" s="2078">
        <f t="shared" ca="1" si="467"/>
        <v>0</v>
      </c>
      <c r="CE236" s="2078">
        <f t="shared" ca="1" si="468"/>
        <v>0</v>
      </c>
      <c r="CF236" s="2078">
        <f t="shared" ca="1" si="469"/>
        <v>0</v>
      </c>
      <c r="CG236" s="2078">
        <f t="shared" ca="1" si="470"/>
        <v>0</v>
      </c>
      <c r="CH236" s="2078">
        <f t="shared" ca="1" si="471"/>
        <v>0</v>
      </c>
      <c r="CI236" s="2078">
        <f t="shared" ca="1" si="472"/>
        <v>0</v>
      </c>
      <c r="CJ236" s="2078">
        <f t="shared" ca="1" si="473"/>
        <v>0</v>
      </c>
      <c r="CK236" s="2078">
        <f t="shared" ca="1" si="474"/>
        <v>0</v>
      </c>
      <c r="CL236" s="2078">
        <f t="shared" ca="1" si="475"/>
        <v>0</v>
      </c>
      <c r="CM236" s="2078">
        <f t="shared" si="413"/>
        <v>1</v>
      </c>
      <c r="CN236" s="2078">
        <f t="shared" si="414"/>
        <v>1</v>
      </c>
      <c r="CO236" s="2078">
        <f t="shared" si="415"/>
        <v>1</v>
      </c>
      <c r="CP236" s="2078">
        <f t="shared" si="478"/>
        <v>1</v>
      </c>
      <c r="CQ236" s="2078">
        <f t="shared" si="416"/>
        <v>0</v>
      </c>
      <c r="CR236" s="2078">
        <f t="shared" si="417"/>
        <v>0</v>
      </c>
      <c r="CS236" s="2078">
        <f t="shared" si="479"/>
        <v>0</v>
      </c>
      <c r="CT236" s="2078">
        <f t="shared" si="418"/>
        <v>1</v>
      </c>
      <c r="CU236" s="2078">
        <f t="shared" si="480"/>
        <v>1</v>
      </c>
      <c r="CV236" s="2078">
        <f t="shared" si="419"/>
        <v>0</v>
      </c>
      <c r="CW236" s="2078">
        <f>IF(OR(AE236&lt;&gt;3,F236="Exclude"),0,IF(ISERROR(MATCH($E236,'4 Sign-off'!$S$123:$X$123,0)),0,1))</f>
        <v>0</v>
      </c>
      <c r="CX236" s="2078">
        <f t="shared" si="481"/>
        <v>0</v>
      </c>
      <c r="CY236" s="2078">
        <f t="shared" si="420"/>
        <v>0</v>
      </c>
      <c r="CZ236" s="2993">
        <f t="shared" ca="1" si="483"/>
        <v>0</v>
      </c>
      <c r="DA236" s="3037">
        <f t="shared" ca="1" si="484"/>
        <v>0</v>
      </c>
      <c r="DB236" s="1664"/>
      <c r="DC236" s="1320"/>
      <c r="DD236" s="589"/>
      <c r="DE236" s="1321"/>
      <c r="DF236" s="107"/>
      <c r="DG236" s="112"/>
      <c r="DH236" s="140"/>
      <c r="DI236" s="22"/>
      <c r="DJ236" s="145"/>
      <c r="DK236" s="137"/>
      <c r="DL236" s="137"/>
      <c r="DM236" s="137"/>
      <c r="DN236" s="137"/>
      <c r="DO236" s="137"/>
      <c r="DP236" s="137"/>
      <c r="DQ236" s="137"/>
      <c r="DR236" s="137"/>
      <c r="DS236" s="137"/>
      <c r="DT236" s="137"/>
      <c r="DU236" s="137"/>
      <c r="DV236" s="137"/>
      <c r="DW236" s="137"/>
      <c r="DX236" s="137"/>
      <c r="DY236" s="137"/>
      <c r="DZ236" s="137"/>
      <c r="EA236" s="137"/>
      <c r="EB236" s="137"/>
      <c r="EC236" s="137"/>
      <c r="ED236" s="137"/>
      <c r="EE236" s="137"/>
      <c r="EF236" s="137"/>
      <c r="EG236" s="137"/>
      <c r="EH236" s="137"/>
      <c r="EI236" s="137"/>
      <c r="EJ236" s="137"/>
      <c r="EK236" s="137"/>
      <c r="EL236" s="137"/>
      <c r="EM236" s="137"/>
      <c r="EN236" s="137"/>
      <c r="EO236" s="137"/>
      <c r="EP236" s="137"/>
      <c r="EQ236" s="137"/>
      <c r="ER236" s="137"/>
      <c r="ES236" s="137"/>
      <c r="ET236" s="137"/>
      <c r="EU236" s="137"/>
      <c r="EV236" s="137"/>
      <c r="EW236" s="137"/>
      <c r="EX236" s="137"/>
      <c r="EY236" s="137"/>
      <c r="EZ236" s="137"/>
      <c r="FA236" s="137"/>
      <c r="FB236" s="137"/>
      <c r="FC236" s="137"/>
      <c r="FD236" s="137"/>
      <c r="FE236" s="137"/>
      <c r="FF236" s="137"/>
      <c r="FG236" s="860"/>
      <c r="FH236" s="863"/>
      <c r="FI236" s="1318"/>
      <c r="FJ236" s="126"/>
      <c r="FK236" s="127"/>
      <c r="FL236" s="128" t="str">
        <f t="shared" si="485"/>
        <v xml:space="preserve">    </v>
      </c>
      <c r="FM236" s="128"/>
      <c r="FN236" s="1686">
        <f t="shared" si="486"/>
        <v>0</v>
      </c>
      <c r="FO236" s="46">
        <f t="shared" si="421"/>
        <v>0</v>
      </c>
      <c r="FP236" s="46">
        <f t="shared" si="422"/>
        <v>1</v>
      </c>
      <c r="FQ236" s="75">
        <f t="shared" si="489"/>
        <v>0</v>
      </c>
      <c r="FR236" s="46">
        <f t="shared" si="873"/>
        <v>0</v>
      </c>
      <c r="FS236" s="46">
        <f t="shared" si="874"/>
        <v>1</v>
      </c>
      <c r="FT236" s="75">
        <f t="shared" si="492"/>
        <v>0</v>
      </c>
      <c r="FU236" s="2603">
        <f t="shared" si="423"/>
        <v>0</v>
      </c>
      <c r="FV236" s="2607">
        <f t="shared" si="424"/>
        <v>0</v>
      </c>
      <c r="FW236" s="2603">
        <f t="shared" si="425"/>
        <v>0</v>
      </c>
      <c r="FX236" s="2631">
        <f t="shared" si="426"/>
        <v>0</v>
      </c>
      <c r="FY236" s="81" t="e">
        <f t="shared" si="875"/>
        <v>#N/A</v>
      </c>
      <c r="FZ236" s="64" t="e">
        <f t="array" ref="FZ236">MATCH(1,($GT236:$LQ236&gt;0)*$GT$25:$LQ$25,0)</f>
        <v>#N/A</v>
      </c>
      <c r="GA236" s="64" t="e">
        <f t="array" ref="GA236">MATCH(2,1/(GT236:LQ236&gt;0))</f>
        <v>#N/A</v>
      </c>
      <c r="GB236" s="64">
        <f t="shared" si="497"/>
        <v>-1</v>
      </c>
      <c r="GC236" s="46"/>
      <c r="GD236" s="613"/>
      <c r="GE236" s="613"/>
      <c r="GF236" s="613"/>
      <c r="GG236" s="613"/>
      <c r="GH236" s="613"/>
      <c r="GI236" s="613"/>
      <c r="GJ236" s="613"/>
      <c r="GK236" s="613"/>
      <c r="GL236" s="613"/>
      <c r="GM236" s="613"/>
      <c r="GN236" s="385">
        <f t="shared" si="498"/>
        <v>0</v>
      </c>
      <c r="GO236" s="386">
        <f t="shared" si="499"/>
        <v>0</v>
      </c>
      <c r="GP236" s="2635"/>
      <c r="GQ236" s="175"/>
      <c r="GR236" s="172"/>
      <c r="GS236" s="65"/>
      <c r="GT236" s="167"/>
      <c r="GU236" s="168"/>
      <c r="GV236" s="168"/>
      <c r="GW236" s="168"/>
      <c r="GX236" s="168"/>
      <c r="GY236" s="168"/>
      <c r="GZ236" s="168"/>
      <c r="HA236" s="168"/>
      <c r="HB236" s="168"/>
      <c r="HC236" s="168"/>
      <c r="HD236" s="168"/>
      <c r="HE236" s="168"/>
      <c r="HF236" s="168"/>
      <c r="HG236" s="168"/>
      <c r="HH236" s="168"/>
      <c r="HI236" s="168"/>
      <c r="HJ236" s="168"/>
      <c r="HK236" s="168"/>
      <c r="HL236" s="168"/>
      <c r="HM236" s="168"/>
      <c r="HN236" s="168"/>
      <c r="HO236" s="168"/>
      <c r="HP236" s="168"/>
      <c r="HQ236" s="168"/>
      <c r="HR236" s="168"/>
      <c r="HS236" s="168"/>
      <c r="HT236" s="168"/>
      <c r="HU236" s="168"/>
      <c r="HV236" s="168"/>
      <c r="HW236" s="168"/>
      <c r="HX236" s="168"/>
      <c r="HY236" s="168"/>
      <c r="HZ236" s="168"/>
      <c r="IA236" s="168"/>
      <c r="IB236" s="168"/>
      <c r="IC236" s="168"/>
      <c r="ID236" s="168"/>
      <c r="IE236" s="168"/>
      <c r="IF236" s="168"/>
      <c r="IG236" s="168"/>
      <c r="IH236" s="168"/>
      <c r="II236" s="168"/>
      <c r="IJ236" s="168"/>
      <c r="IK236" s="168"/>
      <c r="IL236" s="168"/>
      <c r="IM236" s="168"/>
      <c r="IN236" s="168"/>
      <c r="IO236" s="168"/>
      <c r="IP236" s="168"/>
      <c r="IQ236" s="168"/>
      <c r="IR236" s="168"/>
      <c r="IS236" s="168"/>
      <c r="IT236" s="168"/>
      <c r="IU236" s="168"/>
      <c r="IV236" s="168"/>
      <c r="IW236" s="168"/>
      <c r="IX236" s="168"/>
      <c r="IY236" s="168"/>
      <c r="IZ236" s="168"/>
      <c r="JA236" s="168"/>
      <c r="JB236" s="168"/>
      <c r="JC236" s="168"/>
      <c r="JD236" s="168"/>
      <c r="JE236" s="168"/>
      <c r="JF236" s="168"/>
      <c r="JG236" s="168"/>
      <c r="JH236" s="168"/>
      <c r="JI236" s="168"/>
      <c r="JJ236" s="168"/>
      <c r="JK236" s="168"/>
      <c r="JL236" s="168"/>
      <c r="JM236" s="168"/>
      <c r="JN236" s="168"/>
      <c r="JO236" s="168"/>
      <c r="JP236" s="168"/>
      <c r="JQ236" s="168"/>
      <c r="JR236" s="168"/>
      <c r="JS236" s="168"/>
      <c r="JT236" s="168"/>
      <c r="JU236" s="168"/>
      <c r="JV236" s="168"/>
      <c r="JW236" s="168"/>
      <c r="JX236" s="168"/>
      <c r="JY236" s="168"/>
      <c r="JZ236" s="168"/>
      <c r="KA236" s="168"/>
      <c r="KB236" s="168"/>
      <c r="KC236" s="168"/>
      <c r="KD236" s="168"/>
      <c r="KE236" s="168"/>
      <c r="KF236" s="168"/>
      <c r="KG236" s="168"/>
      <c r="KH236" s="168"/>
      <c r="KI236" s="168"/>
      <c r="KJ236" s="168"/>
      <c r="KK236" s="168"/>
      <c r="KL236" s="168"/>
      <c r="KM236" s="168"/>
      <c r="KN236" s="168"/>
      <c r="KO236" s="168"/>
      <c r="KP236" s="168"/>
      <c r="KQ236" s="168"/>
      <c r="KR236" s="168"/>
      <c r="KS236" s="168"/>
      <c r="KT236" s="168"/>
      <c r="KU236" s="168"/>
      <c r="KV236" s="168"/>
      <c r="KW236" s="168"/>
      <c r="KX236" s="168"/>
      <c r="KY236" s="168"/>
      <c r="KZ236" s="168"/>
      <c r="LA236" s="168"/>
      <c r="LB236" s="168"/>
      <c r="LC236" s="168"/>
      <c r="LD236" s="168"/>
      <c r="LE236" s="168"/>
      <c r="LF236" s="168"/>
      <c r="LG236" s="168"/>
      <c r="LH236" s="168"/>
      <c r="LI236" s="168"/>
      <c r="LJ236" s="168"/>
      <c r="LK236" s="168"/>
      <c r="LL236" s="168"/>
      <c r="LM236" s="168"/>
      <c r="LN236" s="168"/>
      <c r="LO236" s="168"/>
      <c r="LP236" s="606"/>
      <c r="LQ236" s="609"/>
      <c r="LR236" s="1319"/>
      <c r="LS236" s="1319"/>
    </row>
    <row r="237" spans="1:331" s="2" customFormat="1" ht="15" customHeight="1" x14ac:dyDescent="0.25">
      <c r="A237" s="283"/>
      <c r="B237" s="303"/>
      <c r="C237" s="301"/>
      <c r="D237" s="1287"/>
      <c r="E237" s="2298"/>
      <c r="F237" s="1812"/>
      <c r="G237" s="3342"/>
      <c r="H237" s="66"/>
      <c r="I237" s="1746"/>
      <c r="J237" s="1214"/>
      <c r="K237" s="105"/>
      <c r="L237" s="91"/>
      <c r="M237" s="92"/>
      <c r="N237" s="93"/>
      <c r="O237" s="94"/>
      <c r="P237" s="96"/>
      <c r="Q237" s="95"/>
      <c r="R237" s="993">
        <f t="shared" si="431"/>
        <v>0</v>
      </c>
      <c r="S237" s="23">
        <f t="shared" si="432"/>
        <v>0</v>
      </c>
      <c r="T237" s="24">
        <f t="shared" si="433"/>
        <v>0</v>
      </c>
      <c r="U237" s="24">
        <f t="shared" si="434"/>
        <v>0</v>
      </c>
      <c r="V237" s="24">
        <f t="shared" si="435"/>
        <v>0</v>
      </c>
      <c r="W237" s="24">
        <f t="shared" ca="1" si="436"/>
        <v>0</v>
      </c>
      <c r="X237" s="72">
        <f t="shared" ca="1" si="386"/>
        <v>0</v>
      </c>
      <c r="Y237" s="72">
        <f t="shared" si="437"/>
        <v>0</v>
      </c>
      <c r="Z237" s="24">
        <f t="shared" si="438"/>
        <v>0</v>
      </c>
      <c r="AA237" s="72">
        <f t="shared" si="387"/>
        <v>0</v>
      </c>
      <c r="AB237" s="24">
        <f t="shared" si="388"/>
        <v>0</v>
      </c>
      <c r="AC237" s="24">
        <f t="shared" ca="1" si="439"/>
        <v>0</v>
      </c>
      <c r="AD237" s="24">
        <f t="shared" si="389"/>
        <v>0</v>
      </c>
      <c r="AE237" s="2078">
        <f t="shared" si="870"/>
        <v>3</v>
      </c>
      <c r="AF237" s="2078">
        <f t="shared" si="871"/>
        <v>0</v>
      </c>
      <c r="AG237" s="2078">
        <f t="shared" si="872"/>
        <v>0</v>
      </c>
      <c r="AH237" s="2521">
        <f t="shared" si="390"/>
        <v>1</v>
      </c>
      <c r="AI237" s="25" t="str">
        <f t="shared" si="443"/>
        <v/>
      </c>
      <c r="AJ237" s="2521">
        <f t="shared" ca="1" si="391"/>
        <v>0</v>
      </c>
      <c r="AK237" s="2076">
        <f t="shared" ca="1" si="392"/>
        <v>0</v>
      </c>
      <c r="AL237" s="2078">
        <f>IF(ISBLANK(J237),0,ISERROR(MATCH(J237,'5  Control Accounts'!$FA$29:$FA$96,0))*1)</f>
        <v>0</v>
      </c>
      <c r="AM237" s="2076">
        <f t="shared" si="444"/>
        <v>0</v>
      </c>
      <c r="AN237" s="2078">
        <f t="shared" si="445"/>
        <v>1</v>
      </c>
      <c r="AO237" s="2079">
        <f t="shared" si="393"/>
        <v>1</v>
      </c>
      <c r="AP237" s="2079">
        <f t="shared" si="394"/>
        <v>0</v>
      </c>
      <c r="AQ237" s="2079">
        <f t="shared" si="395"/>
        <v>0</v>
      </c>
      <c r="AR237" s="2079">
        <f t="shared" si="396"/>
        <v>0</v>
      </c>
      <c r="AS237" s="2079">
        <f t="shared" si="397"/>
        <v>0</v>
      </c>
      <c r="AT237" s="2079">
        <f t="shared" si="398"/>
        <v>0</v>
      </c>
      <c r="AU237" s="2079">
        <f t="shared" si="399"/>
        <v>0</v>
      </c>
      <c r="AV237" s="2079">
        <f t="shared" si="400"/>
        <v>0</v>
      </c>
      <c r="AW237" s="2079">
        <f t="shared" si="401"/>
        <v>0</v>
      </c>
      <c r="AX237" s="2079">
        <f t="shared" si="402"/>
        <v>0</v>
      </c>
      <c r="AY237" s="2078">
        <f t="shared" si="446"/>
        <v>0</v>
      </c>
      <c r="AZ237" s="2078">
        <f t="shared" si="447"/>
        <v>0</v>
      </c>
      <c r="BA237" s="2078">
        <f t="shared" si="448"/>
        <v>0</v>
      </c>
      <c r="BB237" s="2078">
        <f t="shared" si="449"/>
        <v>0</v>
      </c>
      <c r="BC237" s="2078">
        <f t="shared" si="450"/>
        <v>0</v>
      </c>
      <c r="BD237" s="2078">
        <f t="shared" si="451"/>
        <v>0</v>
      </c>
      <c r="BE237" s="2078">
        <f t="shared" si="452"/>
        <v>0</v>
      </c>
      <c r="BF237" s="2078">
        <f t="shared" si="453"/>
        <v>0</v>
      </c>
      <c r="BG237" s="2078">
        <f t="shared" si="454"/>
        <v>0</v>
      </c>
      <c r="BH237" s="2078">
        <f t="shared" si="455"/>
        <v>0</v>
      </c>
      <c r="BI237" s="2078">
        <f t="shared" si="456"/>
        <v>0</v>
      </c>
      <c r="BJ237" s="2078">
        <f t="shared" si="457"/>
        <v>0</v>
      </c>
      <c r="BK237" s="2078">
        <f t="shared" si="458"/>
        <v>0</v>
      </c>
      <c r="BL237" s="2078">
        <f t="shared" si="459"/>
        <v>0</v>
      </c>
      <c r="BM237" s="2078">
        <f t="shared" si="460"/>
        <v>0</v>
      </c>
      <c r="BN237" s="2078">
        <f t="shared" si="461"/>
        <v>0</v>
      </c>
      <c r="BO237" s="2078">
        <f t="shared" si="462"/>
        <v>0</v>
      </c>
      <c r="BP237" s="2078">
        <f t="shared" si="463"/>
        <v>0</v>
      </c>
      <c r="BQ237" s="2078">
        <f t="shared" si="464"/>
        <v>0</v>
      </c>
      <c r="BR237" s="2078">
        <f t="shared" si="465"/>
        <v>0</v>
      </c>
      <c r="BS237" s="2079">
        <f t="shared" si="403"/>
        <v>1</v>
      </c>
      <c r="BT237" s="2079">
        <f t="shared" si="404"/>
        <v>0</v>
      </c>
      <c r="BU237" s="2079">
        <f t="shared" si="405"/>
        <v>0</v>
      </c>
      <c r="BV237" s="2079">
        <f t="shared" si="406"/>
        <v>0</v>
      </c>
      <c r="BW237" s="2079">
        <f t="shared" si="407"/>
        <v>0</v>
      </c>
      <c r="BX237" s="2079">
        <f t="shared" si="408"/>
        <v>0</v>
      </c>
      <c r="BY237" s="2079">
        <f t="shared" si="409"/>
        <v>0</v>
      </c>
      <c r="BZ237" s="2079">
        <f t="shared" si="410"/>
        <v>0</v>
      </c>
      <c r="CA237" s="2079">
        <f t="shared" si="411"/>
        <v>0</v>
      </c>
      <c r="CB237" s="2079">
        <f t="shared" si="412"/>
        <v>0</v>
      </c>
      <c r="CC237" s="2078">
        <f t="shared" ca="1" si="466"/>
        <v>0</v>
      </c>
      <c r="CD237" s="2078">
        <f t="shared" ca="1" si="467"/>
        <v>0</v>
      </c>
      <c r="CE237" s="2078">
        <f t="shared" ca="1" si="468"/>
        <v>0</v>
      </c>
      <c r="CF237" s="2078">
        <f t="shared" ca="1" si="469"/>
        <v>0</v>
      </c>
      <c r="CG237" s="2078">
        <f t="shared" ca="1" si="470"/>
        <v>0</v>
      </c>
      <c r="CH237" s="2078">
        <f t="shared" ca="1" si="471"/>
        <v>0</v>
      </c>
      <c r="CI237" s="2078">
        <f t="shared" ca="1" si="472"/>
        <v>0</v>
      </c>
      <c r="CJ237" s="2078">
        <f t="shared" ca="1" si="473"/>
        <v>0</v>
      </c>
      <c r="CK237" s="2078">
        <f t="shared" ca="1" si="474"/>
        <v>0</v>
      </c>
      <c r="CL237" s="2078">
        <f t="shared" ca="1" si="475"/>
        <v>0</v>
      </c>
      <c r="CM237" s="2078">
        <f t="shared" si="413"/>
        <v>1</v>
      </c>
      <c r="CN237" s="2078">
        <f t="shared" si="414"/>
        <v>1</v>
      </c>
      <c r="CO237" s="2078">
        <f t="shared" si="415"/>
        <v>1</v>
      </c>
      <c r="CP237" s="2078">
        <f t="shared" si="478"/>
        <v>1</v>
      </c>
      <c r="CQ237" s="2078">
        <f t="shared" si="416"/>
        <v>0</v>
      </c>
      <c r="CR237" s="2078">
        <f t="shared" si="417"/>
        <v>0</v>
      </c>
      <c r="CS237" s="2078">
        <f t="shared" si="479"/>
        <v>0</v>
      </c>
      <c r="CT237" s="2078">
        <f t="shared" si="418"/>
        <v>1</v>
      </c>
      <c r="CU237" s="2078">
        <f t="shared" si="480"/>
        <v>1</v>
      </c>
      <c r="CV237" s="2078">
        <f t="shared" si="419"/>
        <v>0</v>
      </c>
      <c r="CW237" s="2078">
        <f>IF(OR(AE237&lt;&gt;3,F237="Exclude"),0,IF(ISERROR(MATCH($E237,'4 Sign-off'!$S$123:$X$123,0)),0,1))</f>
        <v>0</v>
      </c>
      <c r="CX237" s="2078">
        <f t="shared" si="481"/>
        <v>0</v>
      </c>
      <c r="CY237" s="2078">
        <f t="shared" si="420"/>
        <v>0</v>
      </c>
      <c r="CZ237" s="2993">
        <f t="shared" ca="1" si="483"/>
        <v>0</v>
      </c>
      <c r="DA237" s="3037">
        <f t="shared" ca="1" si="484"/>
        <v>0</v>
      </c>
      <c r="DB237" s="1664"/>
      <c r="DC237" s="1320"/>
      <c r="DD237" s="589"/>
      <c r="DE237" s="1321"/>
      <c r="DF237" s="107"/>
      <c r="DG237" s="112"/>
      <c r="DH237" s="140"/>
      <c r="DI237" s="22"/>
      <c r="DJ237" s="145"/>
      <c r="DK237" s="137"/>
      <c r="DL237" s="137"/>
      <c r="DM237" s="137"/>
      <c r="DN237" s="137"/>
      <c r="DO237" s="137"/>
      <c r="DP237" s="137"/>
      <c r="DQ237" s="137"/>
      <c r="DR237" s="137"/>
      <c r="DS237" s="137"/>
      <c r="DT237" s="137"/>
      <c r="DU237" s="137"/>
      <c r="DV237" s="137"/>
      <c r="DW237" s="137"/>
      <c r="DX237" s="137"/>
      <c r="DY237" s="137"/>
      <c r="DZ237" s="137"/>
      <c r="EA237" s="137"/>
      <c r="EB237" s="137"/>
      <c r="EC237" s="137"/>
      <c r="ED237" s="137"/>
      <c r="EE237" s="137"/>
      <c r="EF237" s="137"/>
      <c r="EG237" s="137"/>
      <c r="EH237" s="137"/>
      <c r="EI237" s="137"/>
      <c r="EJ237" s="137"/>
      <c r="EK237" s="137"/>
      <c r="EL237" s="137"/>
      <c r="EM237" s="137"/>
      <c r="EN237" s="137"/>
      <c r="EO237" s="137"/>
      <c r="EP237" s="137"/>
      <c r="EQ237" s="137"/>
      <c r="ER237" s="137"/>
      <c r="ES237" s="137"/>
      <c r="ET237" s="137"/>
      <c r="EU237" s="137"/>
      <c r="EV237" s="137"/>
      <c r="EW237" s="137"/>
      <c r="EX237" s="137"/>
      <c r="EY237" s="137"/>
      <c r="EZ237" s="137"/>
      <c r="FA237" s="137"/>
      <c r="FB237" s="137"/>
      <c r="FC237" s="137"/>
      <c r="FD237" s="137"/>
      <c r="FE237" s="137"/>
      <c r="FF237" s="137"/>
      <c r="FG237" s="860"/>
      <c r="FH237" s="863"/>
      <c r="FI237" s="1318"/>
      <c r="FJ237" s="126"/>
      <c r="FK237" s="127"/>
      <c r="FL237" s="128" t="str">
        <f t="shared" si="485"/>
        <v xml:space="preserve">    </v>
      </c>
      <c r="FM237" s="128"/>
      <c r="FN237" s="1686">
        <f t="shared" si="486"/>
        <v>0</v>
      </c>
      <c r="FO237" s="46">
        <f t="shared" si="421"/>
        <v>0</v>
      </c>
      <c r="FP237" s="46">
        <f t="shared" si="422"/>
        <v>1</v>
      </c>
      <c r="FQ237" s="75">
        <f t="shared" si="489"/>
        <v>0</v>
      </c>
      <c r="FR237" s="46">
        <f t="shared" si="873"/>
        <v>0</v>
      </c>
      <c r="FS237" s="46">
        <f t="shared" si="874"/>
        <v>1</v>
      </c>
      <c r="FT237" s="75">
        <f t="shared" si="492"/>
        <v>0</v>
      </c>
      <c r="FU237" s="2603">
        <f t="shared" si="423"/>
        <v>0</v>
      </c>
      <c r="FV237" s="2607">
        <f t="shared" si="424"/>
        <v>0</v>
      </c>
      <c r="FW237" s="2603">
        <f t="shared" si="425"/>
        <v>0</v>
      </c>
      <c r="FX237" s="2631">
        <f t="shared" si="426"/>
        <v>0</v>
      </c>
      <c r="FY237" s="81" t="e">
        <f t="shared" si="875"/>
        <v>#N/A</v>
      </c>
      <c r="FZ237" s="64" t="e">
        <f t="array" ref="FZ237">MATCH(1,($GT237:$LQ237&gt;0)*$GT$25:$LQ$25,0)</f>
        <v>#N/A</v>
      </c>
      <c r="GA237" s="64" t="e">
        <f t="array" ref="GA237">MATCH(2,1/(GT237:LQ237&gt;0))</f>
        <v>#N/A</v>
      </c>
      <c r="GB237" s="64">
        <f t="shared" si="497"/>
        <v>-1</v>
      </c>
      <c r="GC237" s="46"/>
      <c r="GD237" s="613"/>
      <c r="GE237" s="613"/>
      <c r="GF237" s="613"/>
      <c r="GG237" s="613"/>
      <c r="GH237" s="613"/>
      <c r="GI237" s="613"/>
      <c r="GJ237" s="613"/>
      <c r="GK237" s="613"/>
      <c r="GL237" s="613"/>
      <c r="GM237" s="613"/>
      <c r="GN237" s="385">
        <f t="shared" si="498"/>
        <v>0</v>
      </c>
      <c r="GO237" s="386">
        <f t="shared" si="499"/>
        <v>0</v>
      </c>
      <c r="GP237" s="2635"/>
      <c r="GQ237" s="175"/>
      <c r="GR237" s="172"/>
      <c r="GS237" s="65"/>
      <c r="GT237" s="167"/>
      <c r="GU237" s="168"/>
      <c r="GV237" s="168"/>
      <c r="GW237" s="168"/>
      <c r="GX237" s="168"/>
      <c r="GY237" s="168"/>
      <c r="GZ237" s="168"/>
      <c r="HA237" s="168"/>
      <c r="HB237" s="168"/>
      <c r="HC237" s="168"/>
      <c r="HD237" s="168"/>
      <c r="HE237" s="168"/>
      <c r="HF237" s="168"/>
      <c r="HG237" s="168"/>
      <c r="HH237" s="168"/>
      <c r="HI237" s="168"/>
      <c r="HJ237" s="168"/>
      <c r="HK237" s="168"/>
      <c r="HL237" s="168"/>
      <c r="HM237" s="168"/>
      <c r="HN237" s="168"/>
      <c r="HO237" s="168"/>
      <c r="HP237" s="168"/>
      <c r="HQ237" s="168"/>
      <c r="HR237" s="168"/>
      <c r="HS237" s="168"/>
      <c r="HT237" s="168"/>
      <c r="HU237" s="168"/>
      <c r="HV237" s="168"/>
      <c r="HW237" s="168"/>
      <c r="HX237" s="168"/>
      <c r="HY237" s="168"/>
      <c r="HZ237" s="168"/>
      <c r="IA237" s="168"/>
      <c r="IB237" s="168"/>
      <c r="IC237" s="168"/>
      <c r="ID237" s="168"/>
      <c r="IE237" s="168"/>
      <c r="IF237" s="168"/>
      <c r="IG237" s="168"/>
      <c r="IH237" s="168"/>
      <c r="II237" s="168"/>
      <c r="IJ237" s="168"/>
      <c r="IK237" s="168"/>
      <c r="IL237" s="168"/>
      <c r="IM237" s="168"/>
      <c r="IN237" s="168"/>
      <c r="IO237" s="168"/>
      <c r="IP237" s="168"/>
      <c r="IQ237" s="168"/>
      <c r="IR237" s="168"/>
      <c r="IS237" s="168"/>
      <c r="IT237" s="168"/>
      <c r="IU237" s="168"/>
      <c r="IV237" s="168"/>
      <c r="IW237" s="168"/>
      <c r="IX237" s="168"/>
      <c r="IY237" s="168"/>
      <c r="IZ237" s="168"/>
      <c r="JA237" s="168"/>
      <c r="JB237" s="168"/>
      <c r="JC237" s="168"/>
      <c r="JD237" s="168"/>
      <c r="JE237" s="168"/>
      <c r="JF237" s="168"/>
      <c r="JG237" s="168"/>
      <c r="JH237" s="168"/>
      <c r="JI237" s="168"/>
      <c r="JJ237" s="168"/>
      <c r="JK237" s="168"/>
      <c r="JL237" s="168"/>
      <c r="JM237" s="168"/>
      <c r="JN237" s="168"/>
      <c r="JO237" s="168"/>
      <c r="JP237" s="168"/>
      <c r="JQ237" s="168"/>
      <c r="JR237" s="168"/>
      <c r="JS237" s="168"/>
      <c r="JT237" s="168"/>
      <c r="JU237" s="168"/>
      <c r="JV237" s="168"/>
      <c r="JW237" s="168"/>
      <c r="JX237" s="168"/>
      <c r="JY237" s="168"/>
      <c r="JZ237" s="168"/>
      <c r="KA237" s="168"/>
      <c r="KB237" s="168"/>
      <c r="KC237" s="168"/>
      <c r="KD237" s="168"/>
      <c r="KE237" s="168"/>
      <c r="KF237" s="168"/>
      <c r="KG237" s="168"/>
      <c r="KH237" s="168"/>
      <c r="KI237" s="168"/>
      <c r="KJ237" s="168"/>
      <c r="KK237" s="168"/>
      <c r="KL237" s="168"/>
      <c r="KM237" s="168"/>
      <c r="KN237" s="168"/>
      <c r="KO237" s="168"/>
      <c r="KP237" s="168"/>
      <c r="KQ237" s="168"/>
      <c r="KR237" s="168"/>
      <c r="KS237" s="168"/>
      <c r="KT237" s="168"/>
      <c r="KU237" s="168"/>
      <c r="KV237" s="168"/>
      <c r="KW237" s="168"/>
      <c r="KX237" s="168"/>
      <c r="KY237" s="168"/>
      <c r="KZ237" s="168"/>
      <c r="LA237" s="168"/>
      <c r="LB237" s="168"/>
      <c r="LC237" s="168"/>
      <c r="LD237" s="168"/>
      <c r="LE237" s="168"/>
      <c r="LF237" s="168"/>
      <c r="LG237" s="168"/>
      <c r="LH237" s="168"/>
      <c r="LI237" s="168"/>
      <c r="LJ237" s="168"/>
      <c r="LK237" s="168"/>
      <c r="LL237" s="168"/>
      <c r="LM237" s="168"/>
      <c r="LN237" s="168"/>
      <c r="LO237" s="168"/>
      <c r="LP237" s="606"/>
      <c r="LQ237" s="609"/>
      <c r="LR237" s="1319"/>
      <c r="LS237" s="1319"/>
    </row>
    <row r="238" spans="1:331" s="2" customFormat="1" ht="15" customHeight="1" x14ac:dyDescent="0.25">
      <c r="A238" s="283"/>
      <c r="B238" s="303"/>
      <c r="C238" s="301"/>
      <c r="D238" s="1287"/>
      <c r="E238" s="2298"/>
      <c r="F238" s="1812"/>
      <c r="G238" s="3342"/>
      <c r="H238" s="66"/>
      <c r="I238" s="1746"/>
      <c r="J238" s="1214"/>
      <c r="K238" s="105"/>
      <c r="L238" s="91"/>
      <c r="M238" s="92"/>
      <c r="N238" s="93"/>
      <c r="O238" s="94"/>
      <c r="P238" s="96"/>
      <c r="Q238" s="95"/>
      <c r="R238" s="993">
        <f t="shared" ref="R238:R269" si="876">CHOOSE(AE238,SUMIFS($T$173:$T$364,$AF$173:$AF$364,AF238,$AE$173:$AE$364,3,$CY$173:$CY$364,1,$AH$173:$AH$364,1),SUMIFS($T$173:$T$364,$AG$173:$AG$364,AG238,$AE$173:$AE$364,3,$CY$173:$CY$364,1,$AH$173:$AH$364,1),T238+U238)</f>
        <v>0</v>
      </c>
      <c r="S238" s="23">
        <f t="shared" ref="S238:S269" si="877">CHOOSE($AE238,SUMIFS($S$173:$S$364,$AF$173:$AF$364,AF238,$CY$173:$CY$364,1),SUMIFS($S$173:$S$364,$AG$173:$AG$364,AG238,$CY$173:$CY$364,1),V238+Y238+AB238)</f>
        <v>0</v>
      </c>
      <c r="T238" s="24">
        <f t="shared" si="433"/>
        <v>0</v>
      </c>
      <c r="U238" s="24">
        <f t="shared" si="434"/>
        <v>0</v>
      </c>
      <c r="V238" s="24">
        <f t="shared" si="435"/>
        <v>0</v>
      </c>
      <c r="W238" s="24">
        <f t="shared" ca="1" si="436"/>
        <v>0</v>
      </c>
      <c r="X238" s="72">
        <f t="shared" ca="1" si="386"/>
        <v>0</v>
      </c>
      <c r="Y238" s="72">
        <f t="shared" si="437"/>
        <v>0</v>
      </c>
      <c r="Z238" s="24">
        <f t="shared" si="438"/>
        <v>0</v>
      </c>
      <c r="AA238" s="72">
        <f t="shared" si="387"/>
        <v>0</v>
      </c>
      <c r="AB238" s="24">
        <f t="shared" si="388"/>
        <v>0</v>
      </c>
      <c r="AC238" s="24">
        <f t="shared" ca="1" si="439"/>
        <v>0</v>
      </c>
      <c r="AD238" s="24">
        <f t="shared" si="389"/>
        <v>0</v>
      </c>
      <c r="AE238" s="2078">
        <f t="shared" si="870"/>
        <v>3</v>
      </c>
      <c r="AF238" s="2078">
        <f t="shared" si="871"/>
        <v>0</v>
      </c>
      <c r="AG238" s="2078">
        <f t="shared" si="872"/>
        <v>0</v>
      </c>
      <c r="AH238" s="2521">
        <f t="shared" si="390"/>
        <v>1</v>
      </c>
      <c r="AI238" s="25" t="str">
        <f t="shared" si="443"/>
        <v/>
      </c>
      <c r="AJ238" s="2521">
        <f t="shared" ca="1" si="391"/>
        <v>0</v>
      </c>
      <c r="AK238" s="2076">
        <f t="shared" ref="AK238:AK301" ca="1" si="878">IF(OR(AJ238=0,AI238="S",ISBLANK(J238)),0,IF(OR(AI238="A",AI238="G",AI238="L"),IF(AJ238="L",0,1),IF(AJ238="N",0,1)))</f>
        <v>0</v>
      </c>
      <c r="AL238" s="2078">
        <f>IF(ISBLANK(J238),0,ISERROR(MATCH(J238,'5  Control Accounts'!$FA$29:$FA$96,0))*1)</f>
        <v>0</v>
      </c>
      <c r="AM238" s="2076">
        <f t="shared" si="444"/>
        <v>0</v>
      </c>
      <c r="AN238" s="2078">
        <f t="shared" si="445"/>
        <v>1</v>
      </c>
      <c r="AO238" s="2079">
        <f t="shared" si="393"/>
        <v>1</v>
      </c>
      <c r="AP238" s="2079">
        <f t="shared" si="394"/>
        <v>0</v>
      </c>
      <c r="AQ238" s="2079">
        <f t="shared" si="395"/>
        <v>0</v>
      </c>
      <c r="AR238" s="2079">
        <f t="shared" si="396"/>
        <v>0</v>
      </c>
      <c r="AS238" s="2079">
        <f t="shared" si="397"/>
        <v>0</v>
      </c>
      <c r="AT238" s="2079">
        <f t="shared" si="398"/>
        <v>0</v>
      </c>
      <c r="AU238" s="2079">
        <f t="shared" si="399"/>
        <v>0</v>
      </c>
      <c r="AV238" s="2079">
        <f t="shared" si="400"/>
        <v>0</v>
      </c>
      <c r="AW238" s="2079">
        <f t="shared" si="401"/>
        <v>0</v>
      </c>
      <c r="AX238" s="2079">
        <f t="shared" si="402"/>
        <v>0</v>
      </c>
      <c r="AY238" s="2078">
        <f t="shared" si="446"/>
        <v>0</v>
      </c>
      <c r="AZ238" s="2078">
        <f t="shared" si="447"/>
        <v>0</v>
      </c>
      <c r="BA238" s="2078">
        <f t="shared" si="448"/>
        <v>0</v>
      </c>
      <c r="BB238" s="2078">
        <f t="shared" si="449"/>
        <v>0</v>
      </c>
      <c r="BC238" s="2078">
        <f t="shared" si="450"/>
        <v>0</v>
      </c>
      <c r="BD238" s="2078">
        <f t="shared" si="451"/>
        <v>0</v>
      </c>
      <c r="BE238" s="2078">
        <f t="shared" si="452"/>
        <v>0</v>
      </c>
      <c r="BF238" s="2078">
        <f t="shared" si="453"/>
        <v>0</v>
      </c>
      <c r="BG238" s="2078">
        <f t="shared" si="454"/>
        <v>0</v>
      </c>
      <c r="BH238" s="2078">
        <f t="shared" si="455"/>
        <v>0</v>
      </c>
      <c r="BI238" s="2078">
        <f t="shared" si="456"/>
        <v>0</v>
      </c>
      <c r="BJ238" s="2078">
        <f t="shared" si="457"/>
        <v>0</v>
      </c>
      <c r="BK238" s="2078">
        <f t="shared" si="458"/>
        <v>0</v>
      </c>
      <c r="BL238" s="2078">
        <f t="shared" si="459"/>
        <v>0</v>
      </c>
      <c r="BM238" s="2078">
        <f t="shared" si="460"/>
        <v>0</v>
      </c>
      <c r="BN238" s="2078">
        <f t="shared" si="461"/>
        <v>0</v>
      </c>
      <c r="BO238" s="2078">
        <f t="shared" si="462"/>
        <v>0</v>
      </c>
      <c r="BP238" s="2078">
        <f t="shared" si="463"/>
        <v>0</v>
      </c>
      <c r="BQ238" s="2078">
        <f t="shared" si="464"/>
        <v>0</v>
      </c>
      <c r="BR238" s="2078">
        <f t="shared" si="465"/>
        <v>0</v>
      </c>
      <c r="BS238" s="2079">
        <f t="shared" si="403"/>
        <v>1</v>
      </c>
      <c r="BT238" s="2079">
        <f t="shared" si="404"/>
        <v>0</v>
      </c>
      <c r="BU238" s="2079">
        <f t="shared" si="405"/>
        <v>0</v>
      </c>
      <c r="BV238" s="2079">
        <f t="shared" si="406"/>
        <v>0</v>
      </c>
      <c r="BW238" s="2079">
        <f t="shared" si="407"/>
        <v>0</v>
      </c>
      <c r="BX238" s="2079">
        <f t="shared" si="408"/>
        <v>0</v>
      </c>
      <c r="BY238" s="2079">
        <f t="shared" si="409"/>
        <v>0</v>
      </c>
      <c r="BZ238" s="2079">
        <f t="shared" si="410"/>
        <v>0</v>
      </c>
      <c r="CA238" s="2079">
        <f t="shared" si="411"/>
        <v>0</v>
      </c>
      <c r="CB238" s="2079">
        <f t="shared" si="412"/>
        <v>0</v>
      </c>
      <c r="CC238" s="2078">
        <f t="shared" ca="1" si="466"/>
        <v>0</v>
      </c>
      <c r="CD238" s="2078">
        <f t="shared" ca="1" si="467"/>
        <v>0</v>
      </c>
      <c r="CE238" s="2078">
        <f t="shared" ca="1" si="468"/>
        <v>0</v>
      </c>
      <c r="CF238" s="2078">
        <f t="shared" ca="1" si="469"/>
        <v>0</v>
      </c>
      <c r="CG238" s="2078">
        <f t="shared" ca="1" si="470"/>
        <v>0</v>
      </c>
      <c r="CH238" s="2078">
        <f t="shared" ca="1" si="471"/>
        <v>0</v>
      </c>
      <c r="CI238" s="2078">
        <f t="shared" ca="1" si="472"/>
        <v>0</v>
      </c>
      <c r="CJ238" s="2078">
        <f t="shared" ca="1" si="473"/>
        <v>0</v>
      </c>
      <c r="CK238" s="2078">
        <f t="shared" ca="1" si="474"/>
        <v>0</v>
      </c>
      <c r="CL238" s="2078">
        <f t="shared" ca="1" si="475"/>
        <v>0</v>
      </c>
      <c r="CM238" s="2078">
        <f t="shared" si="413"/>
        <v>1</v>
      </c>
      <c r="CN238" s="2078">
        <f t="shared" si="414"/>
        <v>1</v>
      </c>
      <c r="CO238" s="2078">
        <f t="shared" si="415"/>
        <v>1</v>
      </c>
      <c r="CP238" s="2078">
        <f t="shared" si="478"/>
        <v>1</v>
      </c>
      <c r="CQ238" s="2078">
        <f t="shared" si="416"/>
        <v>0</v>
      </c>
      <c r="CR238" s="2078">
        <f t="shared" ref="CR238:CR301" si="879">IF(OR(AI238="S",AI238="R",AI238="V",AI238="U",AI238="W",AI238="Z"),1,0)</f>
        <v>0</v>
      </c>
      <c r="CS238" s="2078">
        <f t="shared" si="479"/>
        <v>0</v>
      </c>
      <c r="CT238" s="2078">
        <f t="shared" si="418"/>
        <v>1</v>
      </c>
      <c r="CU238" s="2078">
        <f t="shared" si="480"/>
        <v>1</v>
      </c>
      <c r="CV238" s="2078">
        <f t="shared" si="419"/>
        <v>0</v>
      </c>
      <c r="CW238" s="2078">
        <f>IF(OR(AE238&lt;&gt;3,F238="Exclude"),0,IF(ISERROR(MATCH($E238,'4 Sign-off'!$S$123:$X$123,0)),0,1))</f>
        <v>0</v>
      </c>
      <c r="CX238" s="2078">
        <f t="shared" si="481"/>
        <v>0</v>
      </c>
      <c r="CY238" s="2078">
        <f t="shared" si="420"/>
        <v>0</v>
      </c>
      <c r="CZ238" s="2993">
        <f t="shared" ref="CZ238:CZ269" ca="1" si="880">CHOOSE($AE238,SUMIFS($CZ$173:$CZ$364,$AF$173:$AF$364,$AF238,$CY$173:$CY$364,1,$AH$173:$AH$364,1),SUMIFS($CZ$173:$CZ$364,$AG$173:$AG$364,$AG238,$CY$173:$CY$364,1,$AH$173:$AH$364,1),X238+AA238)</f>
        <v>0</v>
      </c>
      <c r="DA238" s="3037">
        <f t="shared" ref="DA238:DA269" ca="1" si="881">CHOOSE($AE238,SUMIFS($DA$173:$DA$364,$AF$173:$AF$364,$AF238,$CY$173:$CY$364,1,$AH$173:$AH$364,1),SUMIFS($DA$173:$DA$364,$AG$173:$AG$364,$AG238,$CY$173:$CY$364,1,$AH$173:$AH$364,1),CZ238-S238)</f>
        <v>0</v>
      </c>
      <c r="DB238" s="1664"/>
      <c r="DC238" s="1320"/>
      <c r="DD238" s="589"/>
      <c r="DE238" s="1321"/>
      <c r="DF238" s="107"/>
      <c r="DG238" s="112"/>
      <c r="DH238" s="140"/>
      <c r="DI238" s="22"/>
      <c r="DJ238" s="145"/>
      <c r="DK238" s="137"/>
      <c r="DL238" s="137"/>
      <c r="DM238" s="137"/>
      <c r="DN238" s="137"/>
      <c r="DO238" s="137"/>
      <c r="DP238" s="137"/>
      <c r="DQ238" s="137"/>
      <c r="DR238" s="137"/>
      <c r="DS238" s="137"/>
      <c r="DT238" s="137"/>
      <c r="DU238" s="137"/>
      <c r="DV238" s="137"/>
      <c r="DW238" s="137"/>
      <c r="DX238" s="137"/>
      <c r="DY238" s="137"/>
      <c r="DZ238" s="137"/>
      <c r="EA238" s="137"/>
      <c r="EB238" s="137"/>
      <c r="EC238" s="137"/>
      <c r="ED238" s="137"/>
      <c r="EE238" s="137"/>
      <c r="EF238" s="137"/>
      <c r="EG238" s="137"/>
      <c r="EH238" s="137"/>
      <c r="EI238" s="137"/>
      <c r="EJ238" s="137"/>
      <c r="EK238" s="137"/>
      <c r="EL238" s="137"/>
      <c r="EM238" s="137"/>
      <c r="EN238" s="137"/>
      <c r="EO238" s="137"/>
      <c r="EP238" s="137"/>
      <c r="EQ238" s="137"/>
      <c r="ER238" s="137"/>
      <c r="ES238" s="137"/>
      <c r="ET238" s="137"/>
      <c r="EU238" s="137"/>
      <c r="EV238" s="137"/>
      <c r="EW238" s="137"/>
      <c r="EX238" s="137"/>
      <c r="EY238" s="137"/>
      <c r="EZ238" s="137"/>
      <c r="FA238" s="137"/>
      <c r="FB238" s="137"/>
      <c r="FC238" s="137"/>
      <c r="FD238" s="137"/>
      <c r="FE238" s="137"/>
      <c r="FF238" s="137"/>
      <c r="FG238" s="860"/>
      <c r="FH238" s="863"/>
      <c r="FI238" s="1318"/>
      <c r="FJ238" s="126"/>
      <c r="FK238" s="127"/>
      <c r="FL238" s="128" t="str">
        <f t="shared" si="485"/>
        <v xml:space="preserve">    </v>
      </c>
      <c r="FM238" s="128"/>
      <c r="FN238" s="1686">
        <f t="shared" si="486"/>
        <v>0</v>
      </c>
      <c r="FO238" s="46">
        <f t="shared" si="421"/>
        <v>0</v>
      </c>
      <c r="FP238" s="46">
        <f t="shared" si="422"/>
        <v>1</v>
      </c>
      <c r="FQ238" s="75">
        <f t="shared" si="489"/>
        <v>0</v>
      </c>
      <c r="FR238" s="46">
        <f t="shared" si="873"/>
        <v>0</v>
      </c>
      <c r="FS238" s="46">
        <f t="shared" si="874"/>
        <v>1</v>
      </c>
      <c r="FT238" s="75">
        <f t="shared" si="492"/>
        <v>0</v>
      </c>
      <c r="FU238" s="2603">
        <f t="shared" si="423"/>
        <v>0</v>
      </c>
      <c r="FV238" s="2607">
        <f t="shared" si="424"/>
        <v>0</v>
      </c>
      <c r="FW238" s="2603">
        <f t="shared" si="425"/>
        <v>0</v>
      </c>
      <c r="FX238" s="2631">
        <f t="shared" si="426"/>
        <v>0</v>
      </c>
      <c r="FY238" s="81" t="e">
        <f t="shared" si="875"/>
        <v>#N/A</v>
      </c>
      <c r="FZ238" s="64" t="e">
        <f t="array" ref="FZ238">MATCH(1,($GT238:$LQ238&gt;0)*$GT$25:$LQ$25,0)</f>
        <v>#N/A</v>
      </c>
      <c r="GA238" s="64" t="e">
        <f t="array" ref="GA238">MATCH(2,1/(GT238:LQ238&gt;0))</f>
        <v>#N/A</v>
      </c>
      <c r="GB238" s="64">
        <f t="shared" si="497"/>
        <v>-1</v>
      </c>
      <c r="GC238" s="46"/>
      <c r="GD238" s="613"/>
      <c r="GE238" s="613"/>
      <c r="GF238" s="613"/>
      <c r="GG238" s="613"/>
      <c r="GH238" s="613"/>
      <c r="GI238" s="613"/>
      <c r="GJ238" s="613"/>
      <c r="GK238" s="613"/>
      <c r="GL238" s="613"/>
      <c r="GM238" s="613"/>
      <c r="GN238" s="385">
        <f t="shared" si="498"/>
        <v>0</v>
      </c>
      <c r="GO238" s="386">
        <f t="shared" si="499"/>
        <v>0</v>
      </c>
      <c r="GP238" s="2635"/>
      <c r="GQ238" s="175"/>
      <c r="GR238" s="172"/>
      <c r="GS238" s="65"/>
      <c r="GT238" s="167"/>
      <c r="GU238" s="168"/>
      <c r="GV238" s="168"/>
      <c r="GW238" s="168"/>
      <c r="GX238" s="168"/>
      <c r="GY238" s="168"/>
      <c r="GZ238" s="168"/>
      <c r="HA238" s="168"/>
      <c r="HB238" s="168"/>
      <c r="HC238" s="168"/>
      <c r="HD238" s="168"/>
      <c r="HE238" s="168"/>
      <c r="HF238" s="168"/>
      <c r="HG238" s="168"/>
      <c r="HH238" s="168"/>
      <c r="HI238" s="168"/>
      <c r="HJ238" s="168"/>
      <c r="HK238" s="168"/>
      <c r="HL238" s="168"/>
      <c r="HM238" s="168"/>
      <c r="HN238" s="168"/>
      <c r="HO238" s="168"/>
      <c r="HP238" s="168"/>
      <c r="HQ238" s="168"/>
      <c r="HR238" s="168"/>
      <c r="HS238" s="168"/>
      <c r="HT238" s="168"/>
      <c r="HU238" s="168"/>
      <c r="HV238" s="168"/>
      <c r="HW238" s="168"/>
      <c r="HX238" s="168"/>
      <c r="HY238" s="168"/>
      <c r="HZ238" s="168"/>
      <c r="IA238" s="168"/>
      <c r="IB238" s="168"/>
      <c r="IC238" s="168"/>
      <c r="ID238" s="168"/>
      <c r="IE238" s="168"/>
      <c r="IF238" s="168"/>
      <c r="IG238" s="168"/>
      <c r="IH238" s="168"/>
      <c r="II238" s="168"/>
      <c r="IJ238" s="168"/>
      <c r="IK238" s="168"/>
      <c r="IL238" s="168"/>
      <c r="IM238" s="168"/>
      <c r="IN238" s="168"/>
      <c r="IO238" s="168"/>
      <c r="IP238" s="168"/>
      <c r="IQ238" s="168"/>
      <c r="IR238" s="168"/>
      <c r="IS238" s="168"/>
      <c r="IT238" s="168"/>
      <c r="IU238" s="168"/>
      <c r="IV238" s="168"/>
      <c r="IW238" s="168"/>
      <c r="IX238" s="168"/>
      <c r="IY238" s="168"/>
      <c r="IZ238" s="168"/>
      <c r="JA238" s="168"/>
      <c r="JB238" s="168"/>
      <c r="JC238" s="168"/>
      <c r="JD238" s="168"/>
      <c r="JE238" s="168"/>
      <c r="JF238" s="168"/>
      <c r="JG238" s="168"/>
      <c r="JH238" s="168"/>
      <c r="JI238" s="168"/>
      <c r="JJ238" s="168"/>
      <c r="JK238" s="168"/>
      <c r="JL238" s="168"/>
      <c r="JM238" s="168"/>
      <c r="JN238" s="168"/>
      <c r="JO238" s="168"/>
      <c r="JP238" s="168"/>
      <c r="JQ238" s="168"/>
      <c r="JR238" s="168"/>
      <c r="JS238" s="168"/>
      <c r="JT238" s="168"/>
      <c r="JU238" s="168"/>
      <c r="JV238" s="168"/>
      <c r="JW238" s="168"/>
      <c r="JX238" s="168"/>
      <c r="JY238" s="168"/>
      <c r="JZ238" s="168"/>
      <c r="KA238" s="168"/>
      <c r="KB238" s="168"/>
      <c r="KC238" s="168"/>
      <c r="KD238" s="168"/>
      <c r="KE238" s="168"/>
      <c r="KF238" s="168"/>
      <c r="KG238" s="168"/>
      <c r="KH238" s="168"/>
      <c r="KI238" s="168"/>
      <c r="KJ238" s="168"/>
      <c r="KK238" s="168"/>
      <c r="KL238" s="168"/>
      <c r="KM238" s="168"/>
      <c r="KN238" s="168"/>
      <c r="KO238" s="168"/>
      <c r="KP238" s="168"/>
      <c r="KQ238" s="168"/>
      <c r="KR238" s="168"/>
      <c r="KS238" s="168"/>
      <c r="KT238" s="168"/>
      <c r="KU238" s="168"/>
      <c r="KV238" s="168"/>
      <c r="KW238" s="168"/>
      <c r="KX238" s="168"/>
      <c r="KY238" s="168"/>
      <c r="KZ238" s="168"/>
      <c r="LA238" s="168"/>
      <c r="LB238" s="168"/>
      <c r="LC238" s="168"/>
      <c r="LD238" s="168"/>
      <c r="LE238" s="168"/>
      <c r="LF238" s="168"/>
      <c r="LG238" s="168"/>
      <c r="LH238" s="168"/>
      <c r="LI238" s="168"/>
      <c r="LJ238" s="168"/>
      <c r="LK238" s="168"/>
      <c r="LL238" s="168"/>
      <c r="LM238" s="168"/>
      <c r="LN238" s="168"/>
      <c r="LO238" s="168"/>
      <c r="LP238" s="606"/>
      <c r="LQ238" s="609"/>
      <c r="LR238" s="1319"/>
      <c r="LS238" s="1319"/>
    </row>
    <row r="239" spans="1:331" s="2" customFormat="1" ht="15" customHeight="1" x14ac:dyDescent="0.25">
      <c r="A239" s="283"/>
      <c r="B239" s="303"/>
      <c r="C239" s="301"/>
      <c r="D239" s="1287"/>
      <c r="E239" s="2298"/>
      <c r="F239" s="1812"/>
      <c r="G239" s="3342"/>
      <c r="H239" s="66"/>
      <c r="I239" s="1746"/>
      <c r="J239" s="1214"/>
      <c r="K239" s="105"/>
      <c r="L239" s="91"/>
      <c r="M239" s="92"/>
      <c r="N239" s="93"/>
      <c r="O239" s="94"/>
      <c r="P239" s="96"/>
      <c r="Q239" s="95"/>
      <c r="R239" s="993">
        <f t="shared" si="876"/>
        <v>0</v>
      </c>
      <c r="S239" s="23">
        <f t="shared" si="877"/>
        <v>0</v>
      </c>
      <c r="T239" s="24">
        <f t="shared" si="433"/>
        <v>0</v>
      </c>
      <c r="U239" s="24">
        <f t="shared" si="434"/>
        <v>0</v>
      </c>
      <c r="V239" s="24">
        <f t="shared" si="435"/>
        <v>0</v>
      </c>
      <c r="W239" s="24">
        <f t="shared" ca="1" si="436"/>
        <v>0</v>
      </c>
      <c r="X239" s="72">
        <f t="shared" ca="1" si="386"/>
        <v>0</v>
      </c>
      <c r="Y239" s="72">
        <f t="shared" si="437"/>
        <v>0</v>
      </c>
      <c r="Z239" s="24">
        <f t="shared" si="438"/>
        <v>0</v>
      </c>
      <c r="AA239" s="72">
        <f t="shared" si="387"/>
        <v>0</v>
      </c>
      <c r="AB239" s="24">
        <f t="shared" si="388"/>
        <v>0</v>
      </c>
      <c r="AC239" s="24">
        <f t="shared" ca="1" si="439"/>
        <v>0</v>
      </c>
      <c r="AD239" s="24">
        <f t="shared" si="389"/>
        <v>0</v>
      </c>
      <c r="AE239" s="2078">
        <f t="shared" si="870"/>
        <v>3</v>
      </c>
      <c r="AF239" s="2078">
        <f t="shared" si="871"/>
        <v>0</v>
      </c>
      <c r="AG239" s="2078">
        <f t="shared" si="872"/>
        <v>0</v>
      </c>
      <c r="AH239" s="2521">
        <f t="shared" si="390"/>
        <v>1</v>
      </c>
      <c r="AI239" s="25" t="str">
        <f t="shared" si="443"/>
        <v/>
      </c>
      <c r="AJ239" s="2521">
        <f t="shared" ref="AJ239:AJ302" ca="1" si="882">IF(SUM(X239:AB239)=0,0,IF(ISBLANK(DE239),"L","N"))</f>
        <v>0</v>
      </c>
      <c r="AK239" s="2076">
        <f t="shared" ca="1" si="878"/>
        <v>0</v>
      </c>
      <c r="AL239" s="2078">
        <f>IF(ISBLANK(J239),0,ISERROR(MATCH(J239,'5  Control Accounts'!$FA$29:$FA$96,0))*1)</f>
        <v>0</v>
      </c>
      <c r="AM239" s="2076">
        <f t="shared" si="444"/>
        <v>0</v>
      </c>
      <c r="AN239" s="2078">
        <f t="shared" si="445"/>
        <v>1</v>
      </c>
      <c r="AO239" s="2079">
        <f t="shared" si="393"/>
        <v>1</v>
      </c>
      <c r="AP239" s="2079">
        <f t="shared" si="394"/>
        <v>0</v>
      </c>
      <c r="AQ239" s="2079">
        <f t="shared" si="395"/>
        <v>0</v>
      </c>
      <c r="AR239" s="2079">
        <f t="shared" si="396"/>
        <v>0</v>
      </c>
      <c r="AS239" s="2079">
        <f t="shared" si="397"/>
        <v>0</v>
      </c>
      <c r="AT239" s="2079">
        <f t="shared" si="398"/>
        <v>0</v>
      </c>
      <c r="AU239" s="2079">
        <f t="shared" si="399"/>
        <v>0</v>
      </c>
      <c r="AV239" s="2079">
        <f t="shared" si="400"/>
        <v>0</v>
      </c>
      <c r="AW239" s="2079">
        <f t="shared" si="401"/>
        <v>0</v>
      </c>
      <c r="AX239" s="2079">
        <f t="shared" si="402"/>
        <v>0</v>
      </c>
      <c r="AY239" s="2078">
        <f t="shared" si="446"/>
        <v>0</v>
      </c>
      <c r="AZ239" s="2078">
        <f t="shared" si="447"/>
        <v>0</v>
      </c>
      <c r="BA239" s="2078">
        <f t="shared" si="448"/>
        <v>0</v>
      </c>
      <c r="BB239" s="2078">
        <f t="shared" si="449"/>
        <v>0</v>
      </c>
      <c r="BC239" s="2078">
        <f t="shared" si="450"/>
        <v>0</v>
      </c>
      <c r="BD239" s="2078">
        <f t="shared" si="451"/>
        <v>0</v>
      </c>
      <c r="BE239" s="2078">
        <f t="shared" si="452"/>
        <v>0</v>
      </c>
      <c r="BF239" s="2078">
        <f t="shared" si="453"/>
        <v>0</v>
      </c>
      <c r="BG239" s="2078">
        <f t="shared" si="454"/>
        <v>0</v>
      </c>
      <c r="BH239" s="2078">
        <f t="shared" si="455"/>
        <v>0</v>
      </c>
      <c r="BI239" s="2078">
        <f t="shared" si="456"/>
        <v>0</v>
      </c>
      <c r="BJ239" s="2078">
        <f t="shared" si="457"/>
        <v>0</v>
      </c>
      <c r="BK239" s="2078">
        <f t="shared" si="458"/>
        <v>0</v>
      </c>
      <c r="BL239" s="2078">
        <f t="shared" si="459"/>
        <v>0</v>
      </c>
      <c r="BM239" s="2078">
        <f t="shared" si="460"/>
        <v>0</v>
      </c>
      <c r="BN239" s="2078">
        <f t="shared" si="461"/>
        <v>0</v>
      </c>
      <c r="BO239" s="2078">
        <f t="shared" si="462"/>
        <v>0</v>
      </c>
      <c r="BP239" s="2078">
        <f t="shared" si="463"/>
        <v>0</v>
      </c>
      <c r="BQ239" s="2078">
        <f t="shared" si="464"/>
        <v>0</v>
      </c>
      <c r="BR239" s="2078">
        <f t="shared" si="465"/>
        <v>0</v>
      </c>
      <c r="BS239" s="2079">
        <f t="shared" si="403"/>
        <v>1</v>
      </c>
      <c r="BT239" s="2079">
        <f t="shared" si="404"/>
        <v>0</v>
      </c>
      <c r="BU239" s="2079">
        <f t="shared" si="405"/>
        <v>0</v>
      </c>
      <c r="BV239" s="2079">
        <f t="shared" si="406"/>
        <v>0</v>
      </c>
      <c r="BW239" s="2079">
        <f t="shared" si="407"/>
        <v>0</v>
      </c>
      <c r="BX239" s="2079">
        <f t="shared" si="408"/>
        <v>0</v>
      </c>
      <c r="BY239" s="2079">
        <f t="shared" si="409"/>
        <v>0</v>
      </c>
      <c r="BZ239" s="2079">
        <f t="shared" si="410"/>
        <v>0</v>
      </c>
      <c r="CA239" s="2079">
        <f t="shared" si="411"/>
        <v>0</v>
      </c>
      <c r="CB239" s="2079">
        <f t="shared" si="412"/>
        <v>0</v>
      </c>
      <c r="CC239" s="2078">
        <f t="shared" ca="1" si="466"/>
        <v>0</v>
      </c>
      <c r="CD239" s="2078">
        <f t="shared" ca="1" si="467"/>
        <v>0</v>
      </c>
      <c r="CE239" s="2078">
        <f t="shared" ca="1" si="468"/>
        <v>0</v>
      </c>
      <c r="CF239" s="2078">
        <f t="shared" ca="1" si="469"/>
        <v>0</v>
      </c>
      <c r="CG239" s="2078">
        <f t="shared" ca="1" si="470"/>
        <v>0</v>
      </c>
      <c r="CH239" s="2078">
        <f t="shared" ca="1" si="471"/>
        <v>0</v>
      </c>
      <c r="CI239" s="2078">
        <f t="shared" ca="1" si="472"/>
        <v>0</v>
      </c>
      <c r="CJ239" s="2078">
        <f t="shared" ca="1" si="473"/>
        <v>0</v>
      </c>
      <c r="CK239" s="2078">
        <f t="shared" ca="1" si="474"/>
        <v>0</v>
      </c>
      <c r="CL239" s="2078">
        <f t="shared" ca="1" si="475"/>
        <v>0</v>
      </c>
      <c r="CM239" s="2078">
        <f t="shared" si="413"/>
        <v>1</v>
      </c>
      <c r="CN239" s="2078">
        <f t="shared" si="414"/>
        <v>1</v>
      </c>
      <c r="CO239" s="2078">
        <f t="shared" si="415"/>
        <v>1</v>
      </c>
      <c r="CP239" s="2078">
        <f t="shared" si="478"/>
        <v>1</v>
      </c>
      <c r="CQ239" s="2078">
        <f t="shared" si="416"/>
        <v>0</v>
      </c>
      <c r="CR239" s="2078">
        <f t="shared" si="879"/>
        <v>0</v>
      </c>
      <c r="CS239" s="2078">
        <f t="shared" si="479"/>
        <v>0</v>
      </c>
      <c r="CT239" s="2078">
        <f t="shared" si="418"/>
        <v>1</v>
      </c>
      <c r="CU239" s="2078">
        <f t="shared" si="480"/>
        <v>1</v>
      </c>
      <c r="CV239" s="2078">
        <f t="shared" si="419"/>
        <v>0</v>
      </c>
      <c r="CW239" s="2078">
        <f>IF(OR(AE239&lt;&gt;3,F239="Exclude"),0,IF(ISERROR(MATCH($E239,'4 Sign-off'!$S$123:$X$123,0)),0,1))</f>
        <v>0</v>
      </c>
      <c r="CX239" s="2078">
        <f t="shared" si="481"/>
        <v>0</v>
      </c>
      <c r="CY239" s="2078">
        <f t="shared" si="420"/>
        <v>0</v>
      </c>
      <c r="CZ239" s="2993">
        <f t="shared" ca="1" si="880"/>
        <v>0</v>
      </c>
      <c r="DA239" s="3037">
        <f t="shared" ca="1" si="881"/>
        <v>0</v>
      </c>
      <c r="DB239" s="1664"/>
      <c r="DC239" s="1320"/>
      <c r="DD239" s="589"/>
      <c r="DE239" s="1321"/>
      <c r="DF239" s="107"/>
      <c r="DG239" s="112"/>
      <c r="DH239" s="140"/>
      <c r="DI239" s="22"/>
      <c r="DJ239" s="145"/>
      <c r="DK239" s="137"/>
      <c r="DL239" s="137"/>
      <c r="DM239" s="137"/>
      <c r="DN239" s="137"/>
      <c r="DO239" s="137"/>
      <c r="DP239" s="137"/>
      <c r="DQ239" s="137"/>
      <c r="DR239" s="137"/>
      <c r="DS239" s="137"/>
      <c r="DT239" s="137"/>
      <c r="DU239" s="137"/>
      <c r="DV239" s="137"/>
      <c r="DW239" s="137"/>
      <c r="DX239" s="137"/>
      <c r="DY239" s="137"/>
      <c r="DZ239" s="137"/>
      <c r="EA239" s="137"/>
      <c r="EB239" s="137"/>
      <c r="EC239" s="137"/>
      <c r="ED239" s="137"/>
      <c r="EE239" s="137"/>
      <c r="EF239" s="137"/>
      <c r="EG239" s="137"/>
      <c r="EH239" s="137"/>
      <c r="EI239" s="137"/>
      <c r="EJ239" s="137"/>
      <c r="EK239" s="137"/>
      <c r="EL239" s="137"/>
      <c r="EM239" s="137"/>
      <c r="EN239" s="137"/>
      <c r="EO239" s="137"/>
      <c r="EP239" s="137"/>
      <c r="EQ239" s="137"/>
      <c r="ER239" s="137"/>
      <c r="ES239" s="137"/>
      <c r="ET239" s="137"/>
      <c r="EU239" s="137"/>
      <c r="EV239" s="137"/>
      <c r="EW239" s="137"/>
      <c r="EX239" s="137"/>
      <c r="EY239" s="137"/>
      <c r="EZ239" s="137"/>
      <c r="FA239" s="137"/>
      <c r="FB239" s="137"/>
      <c r="FC239" s="137"/>
      <c r="FD239" s="137"/>
      <c r="FE239" s="137"/>
      <c r="FF239" s="137"/>
      <c r="FG239" s="860"/>
      <c r="FH239" s="863"/>
      <c r="FI239" s="1318"/>
      <c r="FJ239" s="126"/>
      <c r="FK239" s="127"/>
      <c r="FL239" s="128" t="str">
        <f t="shared" si="485"/>
        <v xml:space="preserve">    </v>
      </c>
      <c r="FM239" s="128"/>
      <c r="FN239" s="1686">
        <f t="shared" si="486"/>
        <v>0</v>
      </c>
      <c r="FO239" s="46">
        <f t="shared" si="421"/>
        <v>0</v>
      </c>
      <c r="FP239" s="46">
        <f t="shared" si="422"/>
        <v>1</v>
      </c>
      <c r="FQ239" s="75">
        <f t="shared" si="489"/>
        <v>0</v>
      </c>
      <c r="FR239" s="46">
        <f t="shared" si="873"/>
        <v>0</v>
      </c>
      <c r="FS239" s="46">
        <f t="shared" si="874"/>
        <v>1</v>
      </c>
      <c r="FT239" s="75">
        <f t="shared" si="492"/>
        <v>0</v>
      </c>
      <c r="FU239" s="2603">
        <f t="shared" si="423"/>
        <v>0</v>
      </c>
      <c r="FV239" s="2607">
        <f t="shared" si="424"/>
        <v>0</v>
      </c>
      <c r="FW239" s="2603">
        <f t="shared" si="425"/>
        <v>0</v>
      </c>
      <c r="FX239" s="2631">
        <f t="shared" si="426"/>
        <v>0</v>
      </c>
      <c r="FY239" s="81" t="e">
        <f t="shared" si="875"/>
        <v>#N/A</v>
      </c>
      <c r="FZ239" s="64" t="e">
        <f t="array" ref="FZ239">MATCH(1,($GT239:$LQ239&gt;0)*$GT$25:$LQ$25,0)</f>
        <v>#N/A</v>
      </c>
      <c r="GA239" s="64" t="e">
        <f t="array" ref="GA239">MATCH(2,1/(GT239:LQ239&gt;0))</f>
        <v>#N/A</v>
      </c>
      <c r="GB239" s="64">
        <f t="shared" si="497"/>
        <v>-1</v>
      </c>
      <c r="GC239" s="46"/>
      <c r="GD239" s="613"/>
      <c r="GE239" s="613"/>
      <c r="GF239" s="613"/>
      <c r="GG239" s="613"/>
      <c r="GH239" s="613"/>
      <c r="GI239" s="613"/>
      <c r="GJ239" s="613"/>
      <c r="GK239" s="613"/>
      <c r="GL239" s="613"/>
      <c r="GM239" s="613"/>
      <c r="GN239" s="385">
        <f t="shared" si="498"/>
        <v>0</v>
      </c>
      <c r="GO239" s="386">
        <f t="shared" si="499"/>
        <v>0</v>
      </c>
      <c r="GP239" s="2635"/>
      <c r="GQ239" s="175"/>
      <c r="GR239" s="172"/>
      <c r="GS239" s="65"/>
      <c r="GT239" s="167"/>
      <c r="GU239" s="168"/>
      <c r="GV239" s="168"/>
      <c r="GW239" s="168"/>
      <c r="GX239" s="168"/>
      <c r="GY239" s="168"/>
      <c r="GZ239" s="168"/>
      <c r="HA239" s="168"/>
      <c r="HB239" s="168"/>
      <c r="HC239" s="168"/>
      <c r="HD239" s="168"/>
      <c r="HE239" s="168"/>
      <c r="HF239" s="168"/>
      <c r="HG239" s="168"/>
      <c r="HH239" s="168"/>
      <c r="HI239" s="168"/>
      <c r="HJ239" s="168"/>
      <c r="HK239" s="168"/>
      <c r="HL239" s="168"/>
      <c r="HM239" s="168"/>
      <c r="HN239" s="168"/>
      <c r="HO239" s="168"/>
      <c r="HP239" s="168"/>
      <c r="HQ239" s="168"/>
      <c r="HR239" s="168"/>
      <c r="HS239" s="168"/>
      <c r="HT239" s="168"/>
      <c r="HU239" s="168"/>
      <c r="HV239" s="168"/>
      <c r="HW239" s="168"/>
      <c r="HX239" s="168"/>
      <c r="HY239" s="168"/>
      <c r="HZ239" s="168"/>
      <c r="IA239" s="168"/>
      <c r="IB239" s="168"/>
      <c r="IC239" s="168"/>
      <c r="ID239" s="168"/>
      <c r="IE239" s="168"/>
      <c r="IF239" s="168"/>
      <c r="IG239" s="168"/>
      <c r="IH239" s="168"/>
      <c r="II239" s="168"/>
      <c r="IJ239" s="168"/>
      <c r="IK239" s="168"/>
      <c r="IL239" s="168"/>
      <c r="IM239" s="168"/>
      <c r="IN239" s="168"/>
      <c r="IO239" s="168"/>
      <c r="IP239" s="168"/>
      <c r="IQ239" s="168"/>
      <c r="IR239" s="168"/>
      <c r="IS239" s="168"/>
      <c r="IT239" s="168"/>
      <c r="IU239" s="168"/>
      <c r="IV239" s="168"/>
      <c r="IW239" s="168"/>
      <c r="IX239" s="168"/>
      <c r="IY239" s="168"/>
      <c r="IZ239" s="168"/>
      <c r="JA239" s="168"/>
      <c r="JB239" s="168"/>
      <c r="JC239" s="168"/>
      <c r="JD239" s="168"/>
      <c r="JE239" s="168"/>
      <c r="JF239" s="168"/>
      <c r="JG239" s="168"/>
      <c r="JH239" s="168"/>
      <c r="JI239" s="168"/>
      <c r="JJ239" s="168"/>
      <c r="JK239" s="168"/>
      <c r="JL239" s="168"/>
      <c r="JM239" s="168"/>
      <c r="JN239" s="168"/>
      <c r="JO239" s="168"/>
      <c r="JP239" s="168"/>
      <c r="JQ239" s="168"/>
      <c r="JR239" s="168"/>
      <c r="JS239" s="168"/>
      <c r="JT239" s="168"/>
      <c r="JU239" s="168"/>
      <c r="JV239" s="168"/>
      <c r="JW239" s="168"/>
      <c r="JX239" s="168"/>
      <c r="JY239" s="168"/>
      <c r="JZ239" s="168"/>
      <c r="KA239" s="168"/>
      <c r="KB239" s="168"/>
      <c r="KC239" s="168"/>
      <c r="KD239" s="168"/>
      <c r="KE239" s="168"/>
      <c r="KF239" s="168"/>
      <c r="KG239" s="168"/>
      <c r="KH239" s="168"/>
      <c r="KI239" s="168"/>
      <c r="KJ239" s="168"/>
      <c r="KK239" s="168"/>
      <c r="KL239" s="168"/>
      <c r="KM239" s="168"/>
      <c r="KN239" s="168"/>
      <c r="KO239" s="168"/>
      <c r="KP239" s="168"/>
      <c r="KQ239" s="168"/>
      <c r="KR239" s="168"/>
      <c r="KS239" s="168"/>
      <c r="KT239" s="168"/>
      <c r="KU239" s="168"/>
      <c r="KV239" s="168"/>
      <c r="KW239" s="168"/>
      <c r="KX239" s="168"/>
      <c r="KY239" s="168"/>
      <c r="KZ239" s="168"/>
      <c r="LA239" s="168"/>
      <c r="LB239" s="168"/>
      <c r="LC239" s="168"/>
      <c r="LD239" s="168"/>
      <c r="LE239" s="168"/>
      <c r="LF239" s="168"/>
      <c r="LG239" s="168"/>
      <c r="LH239" s="168"/>
      <c r="LI239" s="168"/>
      <c r="LJ239" s="168"/>
      <c r="LK239" s="168"/>
      <c r="LL239" s="168"/>
      <c r="LM239" s="168"/>
      <c r="LN239" s="168"/>
      <c r="LO239" s="168"/>
      <c r="LP239" s="606"/>
      <c r="LQ239" s="609"/>
      <c r="LR239" s="1319"/>
      <c r="LS239" s="1319"/>
    </row>
    <row r="240" spans="1:331" s="2" customFormat="1" ht="15" customHeight="1" x14ac:dyDescent="0.25">
      <c r="A240" s="283"/>
      <c r="B240" s="303"/>
      <c r="C240" s="301"/>
      <c r="D240" s="1287"/>
      <c r="E240" s="2298"/>
      <c r="F240" s="1812"/>
      <c r="G240" s="3342"/>
      <c r="H240" s="66"/>
      <c r="I240" s="1746"/>
      <c r="J240" s="1214"/>
      <c r="K240" s="105"/>
      <c r="L240" s="91"/>
      <c r="M240" s="92"/>
      <c r="N240" s="93"/>
      <c r="O240" s="94"/>
      <c r="P240" s="96"/>
      <c r="Q240" s="95"/>
      <c r="R240" s="993">
        <f t="shared" si="876"/>
        <v>0</v>
      </c>
      <c r="S240" s="23">
        <f t="shared" si="877"/>
        <v>0</v>
      </c>
      <c r="T240" s="24">
        <f t="shared" si="433"/>
        <v>0</v>
      </c>
      <c r="U240" s="24">
        <f t="shared" si="434"/>
        <v>0</v>
      </c>
      <c r="V240" s="24">
        <f t="shared" si="435"/>
        <v>0</v>
      </c>
      <c r="W240" s="24">
        <f t="shared" ca="1" si="436"/>
        <v>0</v>
      </c>
      <c r="X240" s="72">
        <f t="shared" ca="1" si="386"/>
        <v>0</v>
      </c>
      <c r="Y240" s="72">
        <f t="shared" si="437"/>
        <v>0</v>
      </c>
      <c r="Z240" s="24">
        <f t="shared" si="438"/>
        <v>0</v>
      </c>
      <c r="AA240" s="72">
        <f t="shared" si="387"/>
        <v>0</v>
      </c>
      <c r="AB240" s="24">
        <f t="shared" si="388"/>
        <v>0</v>
      </c>
      <c r="AC240" s="24">
        <f t="shared" ca="1" si="439"/>
        <v>0</v>
      </c>
      <c r="AD240" s="24">
        <f t="shared" si="389"/>
        <v>0</v>
      </c>
      <c r="AE240" s="2078">
        <f t="shared" si="870"/>
        <v>3</v>
      </c>
      <c r="AF240" s="2078">
        <f t="shared" si="871"/>
        <v>0</v>
      </c>
      <c r="AG240" s="2078">
        <f t="shared" si="872"/>
        <v>0</v>
      </c>
      <c r="AH240" s="2521">
        <f t="shared" si="390"/>
        <v>1</v>
      </c>
      <c r="AI240" s="25" t="str">
        <f t="shared" si="443"/>
        <v/>
      </c>
      <c r="AJ240" s="2521">
        <f t="shared" ca="1" si="882"/>
        <v>0</v>
      </c>
      <c r="AK240" s="2076">
        <f t="shared" ca="1" si="878"/>
        <v>0</v>
      </c>
      <c r="AL240" s="2078">
        <f>IF(ISBLANK(J240),0,ISERROR(MATCH(J240,'5  Control Accounts'!$FA$29:$FA$96,0))*1)</f>
        <v>0</v>
      </c>
      <c r="AM240" s="2076">
        <f t="shared" si="444"/>
        <v>0</v>
      </c>
      <c r="AN240" s="2078">
        <f t="shared" si="445"/>
        <v>1</v>
      </c>
      <c r="AO240" s="2079">
        <f t="shared" si="393"/>
        <v>1</v>
      </c>
      <c r="AP240" s="2079">
        <f t="shared" si="394"/>
        <v>0</v>
      </c>
      <c r="AQ240" s="2079">
        <f t="shared" si="395"/>
        <v>0</v>
      </c>
      <c r="AR240" s="2079">
        <f t="shared" si="396"/>
        <v>0</v>
      </c>
      <c r="AS240" s="2079">
        <f t="shared" si="397"/>
        <v>0</v>
      </c>
      <c r="AT240" s="2079">
        <f t="shared" si="398"/>
        <v>0</v>
      </c>
      <c r="AU240" s="2079">
        <f t="shared" si="399"/>
        <v>0</v>
      </c>
      <c r="AV240" s="2079">
        <f t="shared" si="400"/>
        <v>0</v>
      </c>
      <c r="AW240" s="2079">
        <f t="shared" si="401"/>
        <v>0</v>
      </c>
      <c r="AX240" s="2079">
        <f t="shared" si="402"/>
        <v>0</v>
      </c>
      <c r="AY240" s="2078">
        <f t="shared" si="446"/>
        <v>0</v>
      </c>
      <c r="AZ240" s="2078">
        <f t="shared" si="447"/>
        <v>0</v>
      </c>
      <c r="BA240" s="2078">
        <f t="shared" si="448"/>
        <v>0</v>
      </c>
      <c r="BB240" s="2078">
        <f t="shared" si="449"/>
        <v>0</v>
      </c>
      <c r="BC240" s="2078">
        <f t="shared" si="450"/>
        <v>0</v>
      </c>
      <c r="BD240" s="2078">
        <f t="shared" si="451"/>
        <v>0</v>
      </c>
      <c r="BE240" s="2078">
        <f t="shared" si="452"/>
        <v>0</v>
      </c>
      <c r="BF240" s="2078">
        <f t="shared" si="453"/>
        <v>0</v>
      </c>
      <c r="BG240" s="2078">
        <f t="shared" si="454"/>
        <v>0</v>
      </c>
      <c r="BH240" s="2078">
        <f t="shared" si="455"/>
        <v>0</v>
      </c>
      <c r="BI240" s="2078">
        <f t="shared" si="456"/>
        <v>0</v>
      </c>
      <c r="BJ240" s="2078">
        <f t="shared" si="457"/>
        <v>0</v>
      </c>
      <c r="BK240" s="2078">
        <f t="shared" si="458"/>
        <v>0</v>
      </c>
      <c r="BL240" s="2078">
        <f t="shared" si="459"/>
        <v>0</v>
      </c>
      <c r="BM240" s="2078">
        <f t="shared" si="460"/>
        <v>0</v>
      </c>
      <c r="BN240" s="2078">
        <f t="shared" si="461"/>
        <v>0</v>
      </c>
      <c r="BO240" s="2078">
        <f t="shared" si="462"/>
        <v>0</v>
      </c>
      <c r="BP240" s="2078">
        <f t="shared" si="463"/>
        <v>0</v>
      </c>
      <c r="BQ240" s="2078">
        <f t="shared" si="464"/>
        <v>0</v>
      </c>
      <c r="BR240" s="2078">
        <f t="shared" si="465"/>
        <v>0</v>
      </c>
      <c r="BS240" s="2079">
        <f t="shared" si="403"/>
        <v>1</v>
      </c>
      <c r="BT240" s="2079">
        <f t="shared" si="404"/>
        <v>0</v>
      </c>
      <c r="BU240" s="2079">
        <f t="shared" si="405"/>
        <v>0</v>
      </c>
      <c r="BV240" s="2079">
        <f t="shared" si="406"/>
        <v>0</v>
      </c>
      <c r="BW240" s="2079">
        <f t="shared" si="407"/>
        <v>0</v>
      </c>
      <c r="BX240" s="2079">
        <f t="shared" si="408"/>
        <v>0</v>
      </c>
      <c r="BY240" s="2079">
        <f t="shared" si="409"/>
        <v>0</v>
      </c>
      <c r="BZ240" s="2079">
        <f t="shared" si="410"/>
        <v>0</v>
      </c>
      <c r="CA240" s="2079">
        <f t="shared" si="411"/>
        <v>0</v>
      </c>
      <c r="CB240" s="2079">
        <f t="shared" si="412"/>
        <v>0</v>
      </c>
      <c r="CC240" s="2078">
        <f t="shared" ca="1" si="466"/>
        <v>0</v>
      </c>
      <c r="CD240" s="2078">
        <f t="shared" ca="1" si="467"/>
        <v>0</v>
      </c>
      <c r="CE240" s="2078">
        <f t="shared" ca="1" si="468"/>
        <v>0</v>
      </c>
      <c r="CF240" s="2078">
        <f t="shared" ca="1" si="469"/>
        <v>0</v>
      </c>
      <c r="CG240" s="2078">
        <f t="shared" ca="1" si="470"/>
        <v>0</v>
      </c>
      <c r="CH240" s="2078">
        <f t="shared" ca="1" si="471"/>
        <v>0</v>
      </c>
      <c r="CI240" s="2078">
        <f t="shared" ca="1" si="472"/>
        <v>0</v>
      </c>
      <c r="CJ240" s="2078">
        <f t="shared" ca="1" si="473"/>
        <v>0</v>
      </c>
      <c r="CK240" s="2078">
        <f t="shared" ca="1" si="474"/>
        <v>0</v>
      </c>
      <c r="CL240" s="2078">
        <f t="shared" ca="1" si="475"/>
        <v>0</v>
      </c>
      <c r="CM240" s="2078">
        <f t="shared" si="413"/>
        <v>1</v>
      </c>
      <c r="CN240" s="2078">
        <f t="shared" si="414"/>
        <v>1</v>
      </c>
      <c r="CO240" s="2078">
        <f t="shared" si="415"/>
        <v>1</v>
      </c>
      <c r="CP240" s="2078">
        <f t="shared" si="478"/>
        <v>1</v>
      </c>
      <c r="CQ240" s="2078">
        <f t="shared" si="416"/>
        <v>0</v>
      </c>
      <c r="CR240" s="2078">
        <f t="shared" si="879"/>
        <v>0</v>
      </c>
      <c r="CS240" s="2078">
        <f t="shared" si="479"/>
        <v>0</v>
      </c>
      <c r="CT240" s="2078">
        <f t="shared" si="418"/>
        <v>1</v>
      </c>
      <c r="CU240" s="2078">
        <f t="shared" si="480"/>
        <v>1</v>
      </c>
      <c r="CV240" s="2078">
        <f t="shared" si="419"/>
        <v>0</v>
      </c>
      <c r="CW240" s="2078">
        <f>IF(OR(AE240&lt;&gt;3,F240="Exclude"),0,IF(ISERROR(MATCH($E240,'4 Sign-off'!$S$123:$X$123,0)),0,1))</f>
        <v>0</v>
      </c>
      <c r="CX240" s="2078">
        <f t="shared" si="481"/>
        <v>0</v>
      </c>
      <c r="CY240" s="2078">
        <f t="shared" si="420"/>
        <v>0</v>
      </c>
      <c r="CZ240" s="2993">
        <f t="shared" ca="1" si="880"/>
        <v>0</v>
      </c>
      <c r="DA240" s="3037">
        <f t="shared" ca="1" si="881"/>
        <v>0</v>
      </c>
      <c r="DB240" s="1664"/>
      <c r="DC240" s="1320"/>
      <c r="DD240" s="589"/>
      <c r="DE240" s="1321"/>
      <c r="DF240" s="107"/>
      <c r="DG240" s="112"/>
      <c r="DH240" s="140"/>
      <c r="DI240" s="22"/>
      <c r="DJ240" s="145"/>
      <c r="DK240" s="137"/>
      <c r="DL240" s="137"/>
      <c r="DM240" s="137"/>
      <c r="DN240" s="137"/>
      <c r="DO240" s="137"/>
      <c r="DP240" s="137"/>
      <c r="DQ240" s="137"/>
      <c r="DR240" s="137"/>
      <c r="DS240" s="137"/>
      <c r="DT240" s="137"/>
      <c r="DU240" s="137"/>
      <c r="DV240" s="137"/>
      <c r="DW240" s="137"/>
      <c r="DX240" s="137"/>
      <c r="DY240" s="137"/>
      <c r="DZ240" s="137"/>
      <c r="EA240" s="137"/>
      <c r="EB240" s="137"/>
      <c r="EC240" s="137"/>
      <c r="ED240" s="137"/>
      <c r="EE240" s="137"/>
      <c r="EF240" s="137"/>
      <c r="EG240" s="137"/>
      <c r="EH240" s="137"/>
      <c r="EI240" s="137"/>
      <c r="EJ240" s="137"/>
      <c r="EK240" s="137"/>
      <c r="EL240" s="137"/>
      <c r="EM240" s="137"/>
      <c r="EN240" s="137"/>
      <c r="EO240" s="137"/>
      <c r="EP240" s="137"/>
      <c r="EQ240" s="137"/>
      <c r="ER240" s="137"/>
      <c r="ES240" s="137"/>
      <c r="ET240" s="137"/>
      <c r="EU240" s="137"/>
      <c r="EV240" s="137"/>
      <c r="EW240" s="137"/>
      <c r="EX240" s="137"/>
      <c r="EY240" s="137"/>
      <c r="EZ240" s="137"/>
      <c r="FA240" s="137"/>
      <c r="FB240" s="137"/>
      <c r="FC240" s="137"/>
      <c r="FD240" s="137"/>
      <c r="FE240" s="137"/>
      <c r="FF240" s="137"/>
      <c r="FG240" s="860"/>
      <c r="FH240" s="863"/>
      <c r="FI240" s="1318"/>
      <c r="FJ240" s="126"/>
      <c r="FK240" s="127"/>
      <c r="FL240" s="128" t="str">
        <f t="shared" si="485"/>
        <v xml:space="preserve">    </v>
      </c>
      <c r="FM240" s="128"/>
      <c r="FN240" s="1686">
        <f t="shared" si="486"/>
        <v>0</v>
      </c>
      <c r="FO240" s="46">
        <f t="shared" si="421"/>
        <v>0</v>
      </c>
      <c r="FP240" s="46">
        <f t="shared" si="422"/>
        <v>1</v>
      </c>
      <c r="FQ240" s="75">
        <f t="shared" si="489"/>
        <v>0</v>
      </c>
      <c r="FR240" s="46">
        <f t="shared" si="873"/>
        <v>0</v>
      </c>
      <c r="FS240" s="46">
        <f t="shared" si="874"/>
        <v>1</v>
      </c>
      <c r="FT240" s="75">
        <f t="shared" si="492"/>
        <v>0</v>
      </c>
      <c r="FU240" s="2603">
        <f t="shared" si="423"/>
        <v>0</v>
      </c>
      <c r="FV240" s="2607">
        <f t="shared" si="424"/>
        <v>0</v>
      </c>
      <c r="FW240" s="2603">
        <f t="shared" si="425"/>
        <v>0</v>
      </c>
      <c r="FX240" s="2631">
        <f t="shared" si="426"/>
        <v>0</v>
      </c>
      <c r="FY240" s="81" t="e">
        <f t="shared" si="875"/>
        <v>#N/A</v>
      </c>
      <c r="FZ240" s="64" t="e">
        <f t="array" ref="FZ240">MATCH(1,($GT240:$LQ240&gt;0)*$GT$25:$LQ$25,0)</f>
        <v>#N/A</v>
      </c>
      <c r="GA240" s="64" t="e">
        <f t="array" ref="GA240">MATCH(2,1/(GT240:LQ240&gt;0))</f>
        <v>#N/A</v>
      </c>
      <c r="GB240" s="64">
        <f t="shared" si="497"/>
        <v>-1</v>
      </c>
      <c r="GC240" s="46"/>
      <c r="GD240" s="613"/>
      <c r="GE240" s="613"/>
      <c r="GF240" s="613"/>
      <c r="GG240" s="613"/>
      <c r="GH240" s="613"/>
      <c r="GI240" s="613"/>
      <c r="GJ240" s="613"/>
      <c r="GK240" s="613"/>
      <c r="GL240" s="613"/>
      <c r="GM240" s="613"/>
      <c r="GN240" s="385">
        <f t="shared" si="498"/>
        <v>0</v>
      </c>
      <c r="GO240" s="386">
        <f t="shared" si="499"/>
        <v>0</v>
      </c>
      <c r="GP240" s="2635"/>
      <c r="GQ240" s="175"/>
      <c r="GR240" s="172"/>
      <c r="GS240" s="65"/>
      <c r="GT240" s="167"/>
      <c r="GU240" s="168"/>
      <c r="GV240" s="168"/>
      <c r="GW240" s="168"/>
      <c r="GX240" s="168"/>
      <c r="GY240" s="168"/>
      <c r="GZ240" s="168"/>
      <c r="HA240" s="168"/>
      <c r="HB240" s="168"/>
      <c r="HC240" s="168"/>
      <c r="HD240" s="168"/>
      <c r="HE240" s="168"/>
      <c r="HF240" s="168"/>
      <c r="HG240" s="168"/>
      <c r="HH240" s="168"/>
      <c r="HI240" s="168"/>
      <c r="HJ240" s="168"/>
      <c r="HK240" s="168"/>
      <c r="HL240" s="168"/>
      <c r="HM240" s="168"/>
      <c r="HN240" s="168"/>
      <c r="HO240" s="168"/>
      <c r="HP240" s="168"/>
      <c r="HQ240" s="168"/>
      <c r="HR240" s="168"/>
      <c r="HS240" s="168"/>
      <c r="HT240" s="168"/>
      <c r="HU240" s="168"/>
      <c r="HV240" s="168"/>
      <c r="HW240" s="168"/>
      <c r="HX240" s="168"/>
      <c r="HY240" s="168"/>
      <c r="HZ240" s="168"/>
      <c r="IA240" s="168"/>
      <c r="IB240" s="168"/>
      <c r="IC240" s="168"/>
      <c r="ID240" s="168"/>
      <c r="IE240" s="168"/>
      <c r="IF240" s="168"/>
      <c r="IG240" s="168"/>
      <c r="IH240" s="168"/>
      <c r="II240" s="168"/>
      <c r="IJ240" s="168"/>
      <c r="IK240" s="168"/>
      <c r="IL240" s="168"/>
      <c r="IM240" s="168"/>
      <c r="IN240" s="168"/>
      <c r="IO240" s="168"/>
      <c r="IP240" s="168"/>
      <c r="IQ240" s="168"/>
      <c r="IR240" s="168"/>
      <c r="IS240" s="168"/>
      <c r="IT240" s="168"/>
      <c r="IU240" s="168"/>
      <c r="IV240" s="168"/>
      <c r="IW240" s="168"/>
      <c r="IX240" s="168"/>
      <c r="IY240" s="168"/>
      <c r="IZ240" s="168"/>
      <c r="JA240" s="168"/>
      <c r="JB240" s="168"/>
      <c r="JC240" s="168"/>
      <c r="JD240" s="168"/>
      <c r="JE240" s="168"/>
      <c r="JF240" s="168"/>
      <c r="JG240" s="168"/>
      <c r="JH240" s="168"/>
      <c r="JI240" s="168"/>
      <c r="JJ240" s="168"/>
      <c r="JK240" s="168"/>
      <c r="JL240" s="168"/>
      <c r="JM240" s="168"/>
      <c r="JN240" s="168"/>
      <c r="JO240" s="168"/>
      <c r="JP240" s="168"/>
      <c r="JQ240" s="168"/>
      <c r="JR240" s="168"/>
      <c r="JS240" s="168"/>
      <c r="JT240" s="168"/>
      <c r="JU240" s="168"/>
      <c r="JV240" s="168"/>
      <c r="JW240" s="168"/>
      <c r="JX240" s="168"/>
      <c r="JY240" s="168"/>
      <c r="JZ240" s="168"/>
      <c r="KA240" s="168"/>
      <c r="KB240" s="168"/>
      <c r="KC240" s="168"/>
      <c r="KD240" s="168"/>
      <c r="KE240" s="168"/>
      <c r="KF240" s="168"/>
      <c r="KG240" s="168"/>
      <c r="KH240" s="168"/>
      <c r="KI240" s="168"/>
      <c r="KJ240" s="168"/>
      <c r="KK240" s="168"/>
      <c r="KL240" s="168"/>
      <c r="KM240" s="168"/>
      <c r="KN240" s="168"/>
      <c r="KO240" s="168"/>
      <c r="KP240" s="168"/>
      <c r="KQ240" s="168"/>
      <c r="KR240" s="168"/>
      <c r="KS240" s="168"/>
      <c r="KT240" s="168"/>
      <c r="KU240" s="168"/>
      <c r="KV240" s="168"/>
      <c r="KW240" s="168"/>
      <c r="KX240" s="168"/>
      <c r="KY240" s="168"/>
      <c r="KZ240" s="168"/>
      <c r="LA240" s="168"/>
      <c r="LB240" s="168"/>
      <c r="LC240" s="168"/>
      <c r="LD240" s="168"/>
      <c r="LE240" s="168"/>
      <c r="LF240" s="168"/>
      <c r="LG240" s="168"/>
      <c r="LH240" s="168"/>
      <c r="LI240" s="168"/>
      <c r="LJ240" s="168"/>
      <c r="LK240" s="168"/>
      <c r="LL240" s="168"/>
      <c r="LM240" s="168"/>
      <c r="LN240" s="168"/>
      <c r="LO240" s="168"/>
      <c r="LP240" s="606"/>
      <c r="LQ240" s="609"/>
      <c r="LR240" s="1319"/>
      <c r="LS240" s="1319"/>
    </row>
    <row r="241" spans="1:331" s="2" customFormat="1" ht="15" customHeight="1" x14ac:dyDescent="0.25">
      <c r="A241" s="283"/>
      <c r="B241" s="303"/>
      <c r="C241" s="301"/>
      <c r="D241" s="1287"/>
      <c r="E241" s="2298"/>
      <c r="F241" s="1812"/>
      <c r="G241" s="3342"/>
      <c r="H241" s="66"/>
      <c r="I241" s="1746"/>
      <c r="J241" s="1214"/>
      <c r="K241" s="105"/>
      <c r="L241" s="91"/>
      <c r="M241" s="92"/>
      <c r="N241" s="93"/>
      <c r="O241" s="94"/>
      <c r="P241" s="96"/>
      <c r="Q241" s="95"/>
      <c r="R241" s="993">
        <f t="shared" si="876"/>
        <v>0</v>
      </c>
      <c r="S241" s="23">
        <f t="shared" si="877"/>
        <v>0</v>
      </c>
      <c r="T241" s="24">
        <f t="shared" si="433"/>
        <v>0</v>
      </c>
      <c r="U241" s="24">
        <f t="shared" si="434"/>
        <v>0</v>
      </c>
      <c r="V241" s="24">
        <f t="shared" si="435"/>
        <v>0</v>
      </c>
      <c r="W241" s="24">
        <f t="shared" ca="1" si="436"/>
        <v>0</v>
      </c>
      <c r="X241" s="72">
        <f t="shared" ca="1" si="386"/>
        <v>0</v>
      </c>
      <c r="Y241" s="72">
        <f t="shared" si="437"/>
        <v>0</v>
      </c>
      <c r="Z241" s="24">
        <f t="shared" si="438"/>
        <v>0</v>
      </c>
      <c r="AA241" s="72">
        <f t="shared" si="387"/>
        <v>0</v>
      </c>
      <c r="AB241" s="24">
        <f t="shared" si="388"/>
        <v>0</v>
      </c>
      <c r="AC241" s="24">
        <f t="shared" ca="1" si="439"/>
        <v>0</v>
      </c>
      <c r="AD241" s="24">
        <f t="shared" si="389"/>
        <v>0</v>
      </c>
      <c r="AE241" s="2078">
        <f t="shared" si="870"/>
        <v>3</v>
      </c>
      <c r="AF241" s="2078">
        <f t="shared" si="871"/>
        <v>0</v>
      </c>
      <c r="AG241" s="2078">
        <f t="shared" si="872"/>
        <v>0</v>
      </c>
      <c r="AH241" s="2521">
        <f t="shared" si="390"/>
        <v>1</v>
      </c>
      <c r="AI241" s="25" t="str">
        <f t="shared" si="443"/>
        <v/>
      </c>
      <c r="AJ241" s="2521">
        <f t="shared" ca="1" si="882"/>
        <v>0</v>
      </c>
      <c r="AK241" s="2076">
        <f t="shared" ca="1" si="878"/>
        <v>0</v>
      </c>
      <c r="AL241" s="2078">
        <f>IF(ISBLANK(J241),0,ISERROR(MATCH(J241,'5  Control Accounts'!$FA$29:$FA$96,0))*1)</f>
        <v>0</v>
      </c>
      <c r="AM241" s="2076">
        <f t="shared" si="444"/>
        <v>0</v>
      </c>
      <c r="AN241" s="2078">
        <f t="shared" si="445"/>
        <v>1</v>
      </c>
      <c r="AO241" s="2079">
        <f t="shared" si="393"/>
        <v>1</v>
      </c>
      <c r="AP241" s="2079">
        <f t="shared" si="394"/>
        <v>0</v>
      </c>
      <c r="AQ241" s="2079">
        <f t="shared" si="395"/>
        <v>0</v>
      </c>
      <c r="AR241" s="2079">
        <f t="shared" si="396"/>
        <v>0</v>
      </c>
      <c r="AS241" s="2079">
        <f t="shared" si="397"/>
        <v>0</v>
      </c>
      <c r="AT241" s="2079">
        <f t="shared" si="398"/>
        <v>0</v>
      </c>
      <c r="AU241" s="2079">
        <f t="shared" si="399"/>
        <v>0</v>
      </c>
      <c r="AV241" s="2079">
        <f t="shared" si="400"/>
        <v>0</v>
      </c>
      <c r="AW241" s="2079">
        <f t="shared" si="401"/>
        <v>0</v>
      </c>
      <c r="AX241" s="2079">
        <f t="shared" si="402"/>
        <v>0</v>
      </c>
      <c r="AY241" s="2078">
        <f t="shared" si="446"/>
        <v>0</v>
      </c>
      <c r="AZ241" s="2078">
        <f t="shared" si="447"/>
        <v>0</v>
      </c>
      <c r="BA241" s="2078">
        <f t="shared" si="448"/>
        <v>0</v>
      </c>
      <c r="BB241" s="2078">
        <f t="shared" si="449"/>
        <v>0</v>
      </c>
      <c r="BC241" s="2078">
        <f t="shared" si="450"/>
        <v>0</v>
      </c>
      <c r="BD241" s="2078">
        <f t="shared" si="451"/>
        <v>0</v>
      </c>
      <c r="BE241" s="2078">
        <f t="shared" si="452"/>
        <v>0</v>
      </c>
      <c r="BF241" s="2078">
        <f t="shared" si="453"/>
        <v>0</v>
      </c>
      <c r="BG241" s="2078">
        <f t="shared" si="454"/>
        <v>0</v>
      </c>
      <c r="BH241" s="2078">
        <f t="shared" si="455"/>
        <v>0</v>
      </c>
      <c r="BI241" s="2078">
        <f t="shared" si="456"/>
        <v>0</v>
      </c>
      <c r="BJ241" s="2078">
        <f t="shared" si="457"/>
        <v>0</v>
      </c>
      <c r="BK241" s="2078">
        <f t="shared" si="458"/>
        <v>0</v>
      </c>
      <c r="BL241" s="2078">
        <f t="shared" si="459"/>
        <v>0</v>
      </c>
      <c r="BM241" s="2078">
        <f t="shared" si="460"/>
        <v>0</v>
      </c>
      <c r="BN241" s="2078">
        <f t="shared" si="461"/>
        <v>0</v>
      </c>
      <c r="BO241" s="2078">
        <f t="shared" si="462"/>
        <v>0</v>
      </c>
      <c r="BP241" s="2078">
        <f t="shared" si="463"/>
        <v>0</v>
      </c>
      <c r="BQ241" s="2078">
        <f t="shared" si="464"/>
        <v>0</v>
      </c>
      <c r="BR241" s="2078">
        <f t="shared" si="465"/>
        <v>0</v>
      </c>
      <c r="BS241" s="2079">
        <f t="shared" si="403"/>
        <v>1</v>
      </c>
      <c r="BT241" s="2079">
        <f t="shared" si="404"/>
        <v>0</v>
      </c>
      <c r="BU241" s="2079">
        <f t="shared" si="405"/>
        <v>0</v>
      </c>
      <c r="BV241" s="2079">
        <f t="shared" si="406"/>
        <v>0</v>
      </c>
      <c r="BW241" s="2079">
        <f t="shared" si="407"/>
        <v>0</v>
      </c>
      <c r="BX241" s="2079">
        <f t="shared" si="408"/>
        <v>0</v>
      </c>
      <c r="BY241" s="2079">
        <f t="shared" si="409"/>
        <v>0</v>
      </c>
      <c r="BZ241" s="2079">
        <f t="shared" si="410"/>
        <v>0</v>
      </c>
      <c r="CA241" s="2079">
        <f t="shared" si="411"/>
        <v>0</v>
      </c>
      <c r="CB241" s="2079">
        <f t="shared" si="412"/>
        <v>0</v>
      </c>
      <c r="CC241" s="2078">
        <f t="shared" ca="1" si="466"/>
        <v>0</v>
      </c>
      <c r="CD241" s="2078">
        <f t="shared" ca="1" si="467"/>
        <v>0</v>
      </c>
      <c r="CE241" s="2078">
        <f t="shared" ca="1" si="468"/>
        <v>0</v>
      </c>
      <c r="CF241" s="2078">
        <f t="shared" ca="1" si="469"/>
        <v>0</v>
      </c>
      <c r="CG241" s="2078">
        <f t="shared" ca="1" si="470"/>
        <v>0</v>
      </c>
      <c r="CH241" s="2078">
        <f t="shared" ca="1" si="471"/>
        <v>0</v>
      </c>
      <c r="CI241" s="2078">
        <f t="shared" ca="1" si="472"/>
        <v>0</v>
      </c>
      <c r="CJ241" s="2078">
        <f t="shared" ca="1" si="473"/>
        <v>0</v>
      </c>
      <c r="CK241" s="2078">
        <f t="shared" ca="1" si="474"/>
        <v>0</v>
      </c>
      <c r="CL241" s="2078">
        <f t="shared" ca="1" si="475"/>
        <v>0</v>
      </c>
      <c r="CM241" s="2078">
        <f t="shared" si="413"/>
        <v>1</v>
      </c>
      <c r="CN241" s="2078">
        <f t="shared" si="414"/>
        <v>1</v>
      </c>
      <c r="CO241" s="2078">
        <f t="shared" si="415"/>
        <v>1</v>
      </c>
      <c r="CP241" s="2078">
        <f t="shared" si="478"/>
        <v>1</v>
      </c>
      <c r="CQ241" s="2078">
        <f t="shared" si="416"/>
        <v>0</v>
      </c>
      <c r="CR241" s="2078">
        <f t="shared" si="879"/>
        <v>0</v>
      </c>
      <c r="CS241" s="2078">
        <f t="shared" si="479"/>
        <v>0</v>
      </c>
      <c r="CT241" s="2078">
        <f t="shared" si="418"/>
        <v>1</v>
      </c>
      <c r="CU241" s="2078">
        <f t="shared" si="480"/>
        <v>1</v>
      </c>
      <c r="CV241" s="2078">
        <f t="shared" si="419"/>
        <v>0</v>
      </c>
      <c r="CW241" s="2078">
        <f>IF(OR(AE241&lt;&gt;3,F241="Exclude"),0,IF(ISERROR(MATCH($E241,'4 Sign-off'!$S$123:$X$123,0)),0,1))</f>
        <v>0</v>
      </c>
      <c r="CX241" s="2078">
        <f t="shared" si="481"/>
        <v>0</v>
      </c>
      <c r="CY241" s="2078">
        <f t="shared" si="420"/>
        <v>0</v>
      </c>
      <c r="CZ241" s="2993">
        <f t="shared" ca="1" si="880"/>
        <v>0</v>
      </c>
      <c r="DA241" s="3037">
        <f t="shared" ca="1" si="881"/>
        <v>0</v>
      </c>
      <c r="DB241" s="1664"/>
      <c r="DC241" s="1320"/>
      <c r="DD241" s="589"/>
      <c r="DE241" s="1321"/>
      <c r="DF241" s="107"/>
      <c r="DG241" s="112"/>
      <c r="DH241" s="140"/>
      <c r="DI241" s="22"/>
      <c r="DJ241" s="145"/>
      <c r="DK241" s="137"/>
      <c r="DL241" s="137"/>
      <c r="DM241" s="137"/>
      <c r="DN241" s="137"/>
      <c r="DO241" s="137"/>
      <c r="DP241" s="137"/>
      <c r="DQ241" s="137"/>
      <c r="DR241" s="137"/>
      <c r="DS241" s="137"/>
      <c r="DT241" s="137"/>
      <c r="DU241" s="137"/>
      <c r="DV241" s="137"/>
      <c r="DW241" s="137"/>
      <c r="DX241" s="137"/>
      <c r="DY241" s="137"/>
      <c r="DZ241" s="137"/>
      <c r="EA241" s="137"/>
      <c r="EB241" s="137"/>
      <c r="EC241" s="137"/>
      <c r="ED241" s="137"/>
      <c r="EE241" s="137"/>
      <c r="EF241" s="137"/>
      <c r="EG241" s="137"/>
      <c r="EH241" s="137"/>
      <c r="EI241" s="137"/>
      <c r="EJ241" s="137"/>
      <c r="EK241" s="137"/>
      <c r="EL241" s="137"/>
      <c r="EM241" s="137"/>
      <c r="EN241" s="137"/>
      <c r="EO241" s="137"/>
      <c r="EP241" s="137"/>
      <c r="EQ241" s="137"/>
      <c r="ER241" s="137"/>
      <c r="ES241" s="137"/>
      <c r="ET241" s="137"/>
      <c r="EU241" s="137"/>
      <c r="EV241" s="137"/>
      <c r="EW241" s="137"/>
      <c r="EX241" s="137"/>
      <c r="EY241" s="137"/>
      <c r="EZ241" s="137"/>
      <c r="FA241" s="137"/>
      <c r="FB241" s="137"/>
      <c r="FC241" s="137"/>
      <c r="FD241" s="137"/>
      <c r="FE241" s="137"/>
      <c r="FF241" s="137"/>
      <c r="FG241" s="860"/>
      <c r="FH241" s="863"/>
      <c r="FI241" s="1318"/>
      <c r="FJ241" s="126"/>
      <c r="FK241" s="127"/>
      <c r="FL241" s="128" t="str">
        <f t="shared" si="485"/>
        <v xml:space="preserve">    </v>
      </c>
      <c r="FM241" s="128"/>
      <c r="FN241" s="1686">
        <f t="shared" si="486"/>
        <v>0</v>
      </c>
      <c r="FO241" s="46">
        <f t="shared" si="421"/>
        <v>0</v>
      </c>
      <c r="FP241" s="46">
        <f t="shared" si="422"/>
        <v>1</v>
      </c>
      <c r="FQ241" s="75">
        <f t="shared" si="489"/>
        <v>0</v>
      </c>
      <c r="FR241" s="46">
        <f t="shared" si="873"/>
        <v>0</v>
      </c>
      <c r="FS241" s="46">
        <f t="shared" si="874"/>
        <v>1</v>
      </c>
      <c r="FT241" s="75">
        <f t="shared" si="492"/>
        <v>0</v>
      </c>
      <c r="FU241" s="2603">
        <f t="shared" si="423"/>
        <v>0</v>
      </c>
      <c r="FV241" s="2607">
        <f t="shared" si="424"/>
        <v>0</v>
      </c>
      <c r="FW241" s="2603">
        <f t="shared" si="425"/>
        <v>0</v>
      </c>
      <c r="FX241" s="2631">
        <f t="shared" si="426"/>
        <v>0</v>
      </c>
      <c r="FY241" s="81" t="e">
        <f t="shared" si="875"/>
        <v>#N/A</v>
      </c>
      <c r="FZ241" s="64" t="e">
        <f t="array" ref="FZ241">MATCH(1,($GT241:$LQ241&gt;0)*$GT$25:$LQ$25,0)</f>
        <v>#N/A</v>
      </c>
      <c r="GA241" s="64" t="e">
        <f t="array" ref="GA241">MATCH(2,1/(GT241:LQ241&gt;0))</f>
        <v>#N/A</v>
      </c>
      <c r="GB241" s="64">
        <f t="shared" si="497"/>
        <v>-1</v>
      </c>
      <c r="GC241" s="46"/>
      <c r="GD241" s="613"/>
      <c r="GE241" s="613"/>
      <c r="GF241" s="613"/>
      <c r="GG241" s="613"/>
      <c r="GH241" s="613"/>
      <c r="GI241" s="613"/>
      <c r="GJ241" s="613"/>
      <c r="GK241" s="613"/>
      <c r="GL241" s="613"/>
      <c r="GM241" s="613"/>
      <c r="GN241" s="385">
        <f t="shared" si="498"/>
        <v>0</v>
      </c>
      <c r="GO241" s="386">
        <f t="shared" si="499"/>
        <v>0</v>
      </c>
      <c r="GP241" s="2635"/>
      <c r="GQ241" s="175"/>
      <c r="GR241" s="172"/>
      <c r="GS241" s="65"/>
      <c r="GT241" s="167"/>
      <c r="GU241" s="168"/>
      <c r="GV241" s="168"/>
      <c r="GW241" s="168"/>
      <c r="GX241" s="168"/>
      <c r="GY241" s="168"/>
      <c r="GZ241" s="168"/>
      <c r="HA241" s="168"/>
      <c r="HB241" s="168"/>
      <c r="HC241" s="168"/>
      <c r="HD241" s="168"/>
      <c r="HE241" s="168"/>
      <c r="HF241" s="168"/>
      <c r="HG241" s="168"/>
      <c r="HH241" s="168"/>
      <c r="HI241" s="168"/>
      <c r="HJ241" s="168"/>
      <c r="HK241" s="168"/>
      <c r="HL241" s="168"/>
      <c r="HM241" s="168"/>
      <c r="HN241" s="168"/>
      <c r="HO241" s="168"/>
      <c r="HP241" s="168"/>
      <c r="HQ241" s="168"/>
      <c r="HR241" s="168"/>
      <c r="HS241" s="168"/>
      <c r="HT241" s="168"/>
      <c r="HU241" s="168"/>
      <c r="HV241" s="168"/>
      <c r="HW241" s="168"/>
      <c r="HX241" s="168"/>
      <c r="HY241" s="168"/>
      <c r="HZ241" s="168"/>
      <c r="IA241" s="168"/>
      <c r="IB241" s="168"/>
      <c r="IC241" s="168"/>
      <c r="ID241" s="168"/>
      <c r="IE241" s="168"/>
      <c r="IF241" s="168"/>
      <c r="IG241" s="168"/>
      <c r="IH241" s="168"/>
      <c r="II241" s="168"/>
      <c r="IJ241" s="168"/>
      <c r="IK241" s="168"/>
      <c r="IL241" s="168"/>
      <c r="IM241" s="168"/>
      <c r="IN241" s="168"/>
      <c r="IO241" s="168"/>
      <c r="IP241" s="168"/>
      <c r="IQ241" s="168"/>
      <c r="IR241" s="168"/>
      <c r="IS241" s="168"/>
      <c r="IT241" s="168"/>
      <c r="IU241" s="168"/>
      <c r="IV241" s="168"/>
      <c r="IW241" s="168"/>
      <c r="IX241" s="168"/>
      <c r="IY241" s="168"/>
      <c r="IZ241" s="168"/>
      <c r="JA241" s="168"/>
      <c r="JB241" s="168"/>
      <c r="JC241" s="168"/>
      <c r="JD241" s="168"/>
      <c r="JE241" s="168"/>
      <c r="JF241" s="168"/>
      <c r="JG241" s="168"/>
      <c r="JH241" s="168"/>
      <c r="JI241" s="168"/>
      <c r="JJ241" s="168"/>
      <c r="JK241" s="168"/>
      <c r="JL241" s="168"/>
      <c r="JM241" s="168"/>
      <c r="JN241" s="168"/>
      <c r="JO241" s="168"/>
      <c r="JP241" s="168"/>
      <c r="JQ241" s="168"/>
      <c r="JR241" s="168"/>
      <c r="JS241" s="168"/>
      <c r="JT241" s="168"/>
      <c r="JU241" s="168"/>
      <c r="JV241" s="168"/>
      <c r="JW241" s="168"/>
      <c r="JX241" s="168"/>
      <c r="JY241" s="168"/>
      <c r="JZ241" s="168"/>
      <c r="KA241" s="168"/>
      <c r="KB241" s="168"/>
      <c r="KC241" s="168"/>
      <c r="KD241" s="168"/>
      <c r="KE241" s="168"/>
      <c r="KF241" s="168"/>
      <c r="KG241" s="168"/>
      <c r="KH241" s="168"/>
      <c r="KI241" s="168"/>
      <c r="KJ241" s="168"/>
      <c r="KK241" s="168"/>
      <c r="KL241" s="168"/>
      <c r="KM241" s="168"/>
      <c r="KN241" s="168"/>
      <c r="KO241" s="168"/>
      <c r="KP241" s="168"/>
      <c r="KQ241" s="168"/>
      <c r="KR241" s="168"/>
      <c r="KS241" s="168"/>
      <c r="KT241" s="168"/>
      <c r="KU241" s="168"/>
      <c r="KV241" s="168"/>
      <c r="KW241" s="168"/>
      <c r="KX241" s="168"/>
      <c r="KY241" s="168"/>
      <c r="KZ241" s="168"/>
      <c r="LA241" s="168"/>
      <c r="LB241" s="168"/>
      <c r="LC241" s="168"/>
      <c r="LD241" s="168"/>
      <c r="LE241" s="168"/>
      <c r="LF241" s="168"/>
      <c r="LG241" s="168"/>
      <c r="LH241" s="168"/>
      <c r="LI241" s="168"/>
      <c r="LJ241" s="168"/>
      <c r="LK241" s="168"/>
      <c r="LL241" s="168"/>
      <c r="LM241" s="168"/>
      <c r="LN241" s="168"/>
      <c r="LO241" s="168"/>
      <c r="LP241" s="606"/>
      <c r="LQ241" s="609"/>
      <c r="LR241" s="1319"/>
      <c r="LS241" s="1319"/>
    </row>
    <row r="242" spans="1:331" s="2" customFormat="1" ht="15" customHeight="1" x14ac:dyDescent="0.25">
      <c r="A242" s="283"/>
      <c r="B242" s="303"/>
      <c r="C242" s="301"/>
      <c r="D242" s="1287"/>
      <c r="E242" s="2298"/>
      <c r="F242" s="1812"/>
      <c r="G242" s="3342"/>
      <c r="H242" s="66"/>
      <c r="I242" s="1746"/>
      <c r="J242" s="1214"/>
      <c r="K242" s="105"/>
      <c r="L242" s="91"/>
      <c r="M242" s="92"/>
      <c r="N242" s="93"/>
      <c r="O242" s="94"/>
      <c r="P242" s="96"/>
      <c r="Q242" s="95"/>
      <c r="R242" s="993">
        <f t="shared" si="876"/>
        <v>0</v>
      </c>
      <c r="S242" s="23">
        <f t="shared" si="877"/>
        <v>0</v>
      </c>
      <c r="T242" s="24">
        <f t="shared" si="433"/>
        <v>0</v>
      </c>
      <c r="U242" s="24">
        <f t="shared" si="434"/>
        <v>0</v>
      </c>
      <c r="V242" s="24">
        <f t="shared" si="435"/>
        <v>0</v>
      </c>
      <c r="W242" s="24">
        <f t="shared" ca="1" si="436"/>
        <v>0</v>
      </c>
      <c r="X242" s="72">
        <f t="shared" ca="1" si="386"/>
        <v>0</v>
      </c>
      <c r="Y242" s="72">
        <f t="shared" si="437"/>
        <v>0</v>
      </c>
      <c r="Z242" s="24">
        <f t="shared" si="438"/>
        <v>0</v>
      </c>
      <c r="AA242" s="72">
        <f t="shared" si="387"/>
        <v>0</v>
      </c>
      <c r="AB242" s="24">
        <f t="shared" si="388"/>
        <v>0</v>
      </c>
      <c r="AC242" s="24">
        <f t="shared" ca="1" si="439"/>
        <v>0</v>
      </c>
      <c r="AD242" s="24">
        <f t="shared" si="389"/>
        <v>0</v>
      </c>
      <c r="AE242" s="2078">
        <f t="shared" si="870"/>
        <v>3</v>
      </c>
      <c r="AF242" s="2078">
        <f t="shared" si="871"/>
        <v>0</v>
      </c>
      <c r="AG242" s="2078">
        <f t="shared" si="872"/>
        <v>0</v>
      </c>
      <c r="AH242" s="2521">
        <f t="shared" si="390"/>
        <v>1</v>
      </c>
      <c r="AI242" s="25" t="str">
        <f t="shared" si="443"/>
        <v/>
      </c>
      <c r="AJ242" s="2521">
        <f t="shared" ca="1" si="882"/>
        <v>0</v>
      </c>
      <c r="AK242" s="2076">
        <f t="shared" ca="1" si="878"/>
        <v>0</v>
      </c>
      <c r="AL242" s="2078">
        <f>IF(ISBLANK(J242),0,ISERROR(MATCH(J242,'5  Control Accounts'!$FA$29:$FA$96,0))*1)</f>
        <v>0</v>
      </c>
      <c r="AM242" s="2076">
        <f t="shared" si="444"/>
        <v>0</v>
      </c>
      <c r="AN242" s="2078">
        <f t="shared" si="445"/>
        <v>1</v>
      </c>
      <c r="AO242" s="2079">
        <f t="shared" si="393"/>
        <v>1</v>
      </c>
      <c r="AP242" s="2079">
        <f t="shared" si="394"/>
        <v>0</v>
      </c>
      <c r="AQ242" s="2079">
        <f t="shared" si="395"/>
        <v>0</v>
      </c>
      <c r="AR242" s="2079">
        <f t="shared" si="396"/>
        <v>0</v>
      </c>
      <c r="AS242" s="2079">
        <f t="shared" si="397"/>
        <v>0</v>
      </c>
      <c r="AT242" s="2079">
        <f t="shared" si="398"/>
        <v>0</v>
      </c>
      <c r="AU242" s="2079">
        <f t="shared" si="399"/>
        <v>0</v>
      </c>
      <c r="AV242" s="2079">
        <f t="shared" si="400"/>
        <v>0</v>
      </c>
      <c r="AW242" s="2079">
        <f t="shared" si="401"/>
        <v>0</v>
      </c>
      <c r="AX242" s="2079">
        <f t="shared" si="402"/>
        <v>0</v>
      </c>
      <c r="AY242" s="2078">
        <f t="shared" si="446"/>
        <v>0</v>
      </c>
      <c r="AZ242" s="2078">
        <f t="shared" si="447"/>
        <v>0</v>
      </c>
      <c r="BA242" s="2078">
        <f t="shared" si="448"/>
        <v>0</v>
      </c>
      <c r="BB242" s="2078">
        <f t="shared" si="449"/>
        <v>0</v>
      </c>
      <c r="BC242" s="2078">
        <f t="shared" si="450"/>
        <v>0</v>
      </c>
      <c r="BD242" s="2078">
        <f t="shared" si="451"/>
        <v>0</v>
      </c>
      <c r="BE242" s="2078">
        <f t="shared" si="452"/>
        <v>0</v>
      </c>
      <c r="BF242" s="2078">
        <f t="shared" si="453"/>
        <v>0</v>
      </c>
      <c r="BG242" s="2078">
        <f t="shared" si="454"/>
        <v>0</v>
      </c>
      <c r="BH242" s="2078">
        <f t="shared" si="455"/>
        <v>0</v>
      </c>
      <c r="BI242" s="2078">
        <f t="shared" si="456"/>
        <v>0</v>
      </c>
      <c r="BJ242" s="2078">
        <f t="shared" si="457"/>
        <v>0</v>
      </c>
      <c r="BK242" s="2078">
        <f t="shared" si="458"/>
        <v>0</v>
      </c>
      <c r="BL242" s="2078">
        <f t="shared" si="459"/>
        <v>0</v>
      </c>
      <c r="BM242" s="2078">
        <f t="shared" si="460"/>
        <v>0</v>
      </c>
      <c r="BN242" s="2078">
        <f t="shared" si="461"/>
        <v>0</v>
      </c>
      <c r="BO242" s="2078">
        <f t="shared" si="462"/>
        <v>0</v>
      </c>
      <c r="BP242" s="2078">
        <f t="shared" si="463"/>
        <v>0</v>
      </c>
      <c r="BQ242" s="2078">
        <f t="shared" si="464"/>
        <v>0</v>
      </c>
      <c r="BR242" s="2078">
        <f t="shared" si="465"/>
        <v>0</v>
      </c>
      <c r="BS242" s="2079">
        <f t="shared" si="403"/>
        <v>1</v>
      </c>
      <c r="BT242" s="2079">
        <f t="shared" si="404"/>
        <v>0</v>
      </c>
      <c r="BU242" s="2079">
        <f t="shared" si="405"/>
        <v>0</v>
      </c>
      <c r="BV242" s="2079">
        <f t="shared" si="406"/>
        <v>0</v>
      </c>
      <c r="BW242" s="2079">
        <f t="shared" si="407"/>
        <v>0</v>
      </c>
      <c r="BX242" s="2079">
        <f t="shared" si="408"/>
        <v>0</v>
      </c>
      <c r="BY242" s="2079">
        <f t="shared" si="409"/>
        <v>0</v>
      </c>
      <c r="BZ242" s="2079">
        <f t="shared" si="410"/>
        <v>0</v>
      </c>
      <c r="CA242" s="2079">
        <f t="shared" si="411"/>
        <v>0</v>
      </c>
      <c r="CB242" s="2079">
        <f t="shared" si="412"/>
        <v>0</v>
      </c>
      <c r="CC242" s="2078">
        <f t="shared" ca="1" si="466"/>
        <v>0</v>
      </c>
      <c r="CD242" s="2078">
        <f t="shared" ca="1" si="467"/>
        <v>0</v>
      </c>
      <c r="CE242" s="2078">
        <f t="shared" ca="1" si="468"/>
        <v>0</v>
      </c>
      <c r="CF242" s="2078">
        <f t="shared" ca="1" si="469"/>
        <v>0</v>
      </c>
      <c r="CG242" s="2078">
        <f t="shared" ca="1" si="470"/>
        <v>0</v>
      </c>
      <c r="CH242" s="2078">
        <f t="shared" ca="1" si="471"/>
        <v>0</v>
      </c>
      <c r="CI242" s="2078">
        <f t="shared" ca="1" si="472"/>
        <v>0</v>
      </c>
      <c r="CJ242" s="2078">
        <f t="shared" ca="1" si="473"/>
        <v>0</v>
      </c>
      <c r="CK242" s="2078">
        <f t="shared" ca="1" si="474"/>
        <v>0</v>
      </c>
      <c r="CL242" s="2078">
        <f t="shared" ca="1" si="475"/>
        <v>0</v>
      </c>
      <c r="CM242" s="2078">
        <f t="shared" si="413"/>
        <v>1</v>
      </c>
      <c r="CN242" s="2078">
        <f t="shared" si="414"/>
        <v>1</v>
      </c>
      <c r="CO242" s="2078">
        <f t="shared" si="415"/>
        <v>1</v>
      </c>
      <c r="CP242" s="2078">
        <f t="shared" si="478"/>
        <v>1</v>
      </c>
      <c r="CQ242" s="2078">
        <f t="shared" si="416"/>
        <v>0</v>
      </c>
      <c r="CR242" s="2078">
        <f t="shared" si="879"/>
        <v>0</v>
      </c>
      <c r="CS242" s="2078">
        <f t="shared" si="479"/>
        <v>0</v>
      </c>
      <c r="CT242" s="2078">
        <f t="shared" si="418"/>
        <v>1</v>
      </c>
      <c r="CU242" s="2078">
        <f t="shared" si="480"/>
        <v>1</v>
      </c>
      <c r="CV242" s="2078">
        <f t="shared" si="419"/>
        <v>0</v>
      </c>
      <c r="CW242" s="2078">
        <f>IF(OR(AE242&lt;&gt;3,F242="Exclude"),0,IF(ISERROR(MATCH($E242,'4 Sign-off'!$S$123:$X$123,0)),0,1))</f>
        <v>0</v>
      </c>
      <c r="CX242" s="2078">
        <f t="shared" si="481"/>
        <v>0</v>
      </c>
      <c r="CY242" s="2078">
        <f t="shared" si="420"/>
        <v>0</v>
      </c>
      <c r="CZ242" s="2993">
        <f t="shared" ca="1" si="880"/>
        <v>0</v>
      </c>
      <c r="DA242" s="3037">
        <f t="shared" ca="1" si="881"/>
        <v>0</v>
      </c>
      <c r="DB242" s="1664"/>
      <c r="DC242" s="1320"/>
      <c r="DD242" s="589"/>
      <c r="DE242" s="1321"/>
      <c r="DF242" s="107"/>
      <c r="DG242" s="112"/>
      <c r="DH242" s="140"/>
      <c r="DI242" s="22"/>
      <c r="DJ242" s="145"/>
      <c r="DK242" s="137"/>
      <c r="DL242" s="137"/>
      <c r="DM242" s="137"/>
      <c r="DN242" s="137"/>
      <c r="DO242" s="137"/>
      <c r="DP242" s="137"/>
      <c r="DQ242" s="137"/>
      <c r="DR242" s="137"/>
      <c r="DS242" s="137"/>
      <c r="DT242" s="137"/>
      <c r="DU242" s="137"/>
      <c r="DV242" s="137"/>
      <c r="DW242" s="137"/>
      <c r="DX242" s="137"/>
      <c r="DY242" s="137"/>
      <c r="DZ242" s="137"/>
      <c r="EA242" s="137"/>
      <c r="EB242" s="137"/>
      <c r="EC242" s="137"/>
      <c r="ED242" s="137"/>
      <c r="EE242" s="137"/>
      <c r="EF242" s="137"/>
      <c r="EG242" s="137"/>
      <c r="EH242" s="137"/>
      <c r="EI242" s="137"/>
      <c r="EJ242" s="137"/>
      <c r="EK242" s="137"/>
      <c r="EL242" s="137"/>
      <c r="EM242" s="137"/>
      <c r="EN242" s="137"/>
      <c r="EO242" s="137"/>
      <c r="EP242" s="137"/>
      <c r="EQ242" s="137"/>
      <c r="ER242" s="137"/>
      <c r="ES242" s="137"/>
      <c r="ET242" s="137"/>
      <c r="EU242" s="137"/>
      <c r="EV242" s="137"/>
      <c r="EW242" s="137"/>
      <c r="EX242" s="137"/>
      <c r="EY242" s="137"/>
      <c r="EZ242" s="137"/>
      <c r="FA242" s="137"/>
      <c r="FB242" s="137"/>
      <c r="FC242" s="137"/>
      <c r="FD242" s="137"/>
      <c r="FE242" s="137"/>
      <c r="FF242" s="137"/>
      <c r="FG242" s="860"/>
      <c r="FH242" s="863"/>
      <c r="FI242" s="1318"/>
      <c r="FJ242" s="126"/>
      <c r="FK242" s="127"/>
      <c r="FL242" s="128" t="str">
        <f t="shared" si="485"/>
        <v xml:space="preserve">    </v>
      </c>
      <c r="FM242" s="128"/>
      <c r="FN242" s="1686">
        <f t="shared" si="486"/>
        <v>0</v>
      </c>
      <c r="FO242" s="46">
        <f t="shared" si="421"/>
        <v>0</v>
      </c>
      <c r="FP242" s="46">
        <f t="shared" si="422"/>
        <v>1</v>
      </c>
      <c r="FQ242" s="75">
        <f t="shared" si="489"/>
        <v>0</v>
      </c>
      <c r="FR242" s="46">
        <f t="shared" si="873"/>
        <v>0</v>
      </c>
      <c r="FS242" s="46">
        <f t="shared" si="874"/>
        <v>1</v>
      </c>
      <c r="FT242" s="75">
        <f t="shared" si="492"/>
        <v>0</v>
      </c>
      <c r="FU242" s="2603">
        <f t="shared" si="423"/>
        <v>0</v>
      </c>
      <c r="FV242" s="2607">
        <f t="shared" si="424"/>
        <v>0</v>
      </c>
      <c r="FW242" s="2603">
        <f t="shared" si="425"/>
        <v>0</v>
      </c>
      <c r="FX242" s="2631">
        <f t="shared" si="426"/>
        <v>0</v>
      </c>
      <c r="FY242" s="81" t="e">
        <f t="shared" si="875"/>
        <v>#N/A</v>
      </c>
      <c r="FZ242" s="64" t="e">
        <f t="array" ref="FZ242">MATCH(1,($GT242:$LQ242&gt;0)*$GT$25:$LQ$25,0)</f>
        <v>#N/A</v>
      </c>
      <c r="GA242" s="64" t="e">
        <f t="array" ref="GA242">MATCH(2,1/(GT242:LQ242&gt;0))</f>
        <v>#N/A</v>
      </c>
      <c r="GB242" s="64">
        <f t="shared" si="497"/>
        <v>-1</v>
      </c>
      <c r="GC242" s="46"/>
      <c r="GD242" s="613"/>
      <c r="GE242" s="613"/>
      <c r="GF242" s="613"/>
      <c r="GG242" s="613"/>
      <c r="GH242" s="613"/>
      <c r="GI242" s="613"/>
      <c r="GJ242" s="613"/>
      <c r="GK242" s="613"/>
      <c r="GL242" s="613"/>
      <c r="GM242" s="613"/>
      <c r="GN242" s="385">
        <f t="shared" si="498"/>
        <v>0</v>
      </c>
      <c r="GO242" s="386">
        <f t="shared" si="499"/>
        <v>0</v>
      </c>
      <c r="GP242" s="2635"/>
      <c r="GQ242" s="175"/>
      <c r="GR242" s="172"/>
      <c r="GS242" s="65"/>
      <c r="GT242" s="167"/>
      <c r="GU242" s="168"/>
      <c r="GV242" s="168"/>
      <c r="GW242" s="168"/>
      <c r="GX242" s="168"/>
      <c r="GY242" s="168"/>
      <c r="GZ242" s="168"/>
      <c r="HA242" s="168"/>
      <c r="HB242" s="168"/>
      <c r="HC242" s="168"/>
      <c r="HD242" s="168"/>
      <c r="HE242" s="168"/>
      <c r="HF242" s="168"/>
      <c r="HG242" s="168"/>
      <c r="HH242" s="168"/>
      <c r="HI242" s="168"/>
      <c r="HJ242" s="168"/>
      <c r="HK242" s="168"/>
      <c r="HL242" s="168"/>
      <c r="HM242" s="168"/>
      <c r="HN242" s="168"/>
      <c r="HO242" s="168"/>
      <c r="HP242" s="168"/>
      <c r="HQ242" s="168"/>
      <c r="HR242" s="168"/>
      <c r="HS242" s="168"/>
      <c r="HT242" s="168"/>
      <c r="HU242" s="168"/>
      <c r="HV242" s="168"/>
      <c r="HW242" s="168"/>
      <c r="HX242" s="168"/>
      <c r="HY242" s="168"/>
      <c r="HZ242" s="168"/>
      <c r="IA242" s="168"/>
      <c r="IB242" s="168"/>
      <c r="IC242" s="168"/>
      <c r="ID242" s="168"/>
      <c r="IE242" s="168"/>
      <c r="IF242" s="168"/>
      <c r="IG242" s="168"/>
      <c r="IH242" s="168"/>
      <c r="II242" s="168"/>
      <c r="IJ242" s="168"/>
      <c r="IK242" s="168"/>
      <c r="IL242" s="168"/>
      <c r="IM242" s="168"/>
      <c r="IN242" s="168"/>
      <c r="IO242" s="168"/>
      <c r="IP242" s="168"/>
      <c r="IQ242" s="168"/>
      <c r="IR242" s="168"/>
      <c r="IS242" s="168"/>
      <c r="IT242" s="168"/>
      <c r="IU242" s="168"/>
      <c r="IV242" s="168"/>
      <c r="IW242" s="168"/>
      <c r="IX242" s="168"/>
      <c r="IY242" s="168"/>
      <c r="IZ242" s="168"/>
      <c r="JA242" s="168"/>
      <c r="JB242" s="168"/>
      <c r="JC242" s="168"/>
      <c r="JD242" s="168"/>
      <c r="JE242" s="168"/>
      <c r="JF242" s="168"/>
      <c r="JG242" s="168"/>
      <c r="JH242" s="168"/>
      <c r="JI242" s="168"/>
      <c r="JJ242" s="168"/>
      <c r="JK242" s="168"/>
      <c r="JL242" s="168"/>
      <c r="JM242" s="168"/>
      <c r="JN242" s="168"/>
      <c r="JO242" s="168"/>
      <c r="JP242" s="168"/>
      <c r="JQ242" s="168"/>
      <c r="JR242" s="168"/>
      <c r="JS242" s="168"/>
      <c r="JT242" s="168"/>
      <c r="JU242" s="168"/>
      <c r="JV242" s="168"/>
      <c r="JW242" s="168"/>
      <c r="JX242" s="168"/>
      <c r="JY242" s="168"/>
      <c r="JZ242" s="168"/>
      <c r="KA242" s="168"/>
      <c r="KB242" s="168"/>
      <c r="KC242" s="168"/>
      <c r="KD242" s="168"/>
      <c r="KE242" s="168"/>
      <c r="KF242" s="168"/>
      <c r="KG242" s="168"/>
      <c r="KH242" s="168"/>
      <c r="KI242" s="168"/>
      <c r="KJ242" s="168"/>
      <c r="KK242" s="168"/>
      <c r="KL242" s="168"/>
      <c r="KM242" s="168"/>
      <c r="KN242" s="168"/>
      <c r="KO242" s="168"/>
      <c r="KP242" s="168"/>
      <c r="KQ242" s="168"/>
      <c r="KR242" s="168"/>
      <c r="KS242" s="168"/>
      <c r="KT242" s="168"/>
      <c r="KU242" s="168"/>
      <c r="KV242" s="168"/>
      <c r="KW242" s="168"/>
      <c r="KX242" s="168"/>
      <c r="KY242" s="168"/>
      <c r="KZ242" s="168"/>
      <c r="LA242" s="168"/>
      <c r="LB242" s="168"/>
      <c r="LC242" s="168"/>
      <c r="LD242" s="168"/>
      <c r="LE242" s="168"/>
      <c r="LF242" s="168"/>
      <c r="LG242" s="168"/>
      <c r="LH242" s="168"/>
      <c r="LI242" s="168"/>
      <c r="LJ242" s="168"/>
      <c r="LK242" s="168"/>
      <c r="LL242" s="168"/>
      <c r="LM242" s="168"/>
      <c r="LN242" s="168"/>
      <c r="LO242" s="168"/>
      <c r="LP242" s="606"/>
      <c r="LQ242" s="609"/>
      <c r="LR242" s="1319"/>
      <c r="LS242" s="1319"/>
    </row>
    <row r="243" spans="1:331" s="2" customFormat="1" ht="15" customHeight="1" x14ac:dyDescent="0.25">
      <c r="A243" s="283"/>
      <c r="B243" s="303"/>
      <c r="C243" s="301"/>
      <c r="D243" s="1287"/>
      <c r="E243" s="2298"/>
      <c r="F243" s="1812"/>
      <c r="G243" s="3342"/>
      <c r="H243" s="66"/>
      <c r="I243" s="1746"/>
      <c r="J243" s="1214"/>
      <c r="K243" s="105"/>
      <c r="L243" s="91"/>
      <c r="M243" s="92"/>
      <c r="N243" s="93"/>
      <c r="O243" s="94"/>
      <c r="P243" s="96"/>
      <c r="Q243" s="95"/>
      <c r="R243" s="993">
        <f t="shared" si="876"/>
        <v>0</v>
      </c>
      <c r="S243" s="23">
        <f t="shared" si="877"/>
        <v>0</v>
      </c>
      <c r="T243" s="24">
        <f t="shared" si="433"/>
        <v>0</v>
      </c>
      <c r="U243" s="24">
        <f t="shared" si="434"/>
        <v>0</v>
      </c>
      <c r="V243" s="24">
        <f t="shared" si="435"/>
        <v>0</v>
      </c>
      <c r="W243" s="24">
        <f t="shared" ca="1" si="436"/>
        <v>0</v>
      </c>
      <c r="X243" s="72">
        <f t="shared" ca="1" si="386"/>
        <v>0</v>
      </c>
      <c r="Y243" s="72">
        <f t="shared" si="437"/>
        <v>0</v>
      </c>
      <c r="Z243" s="24">
        <f t="shared" si="438"/>
        <v>0</v>
      </c>
      <c r="AA243" s="72">
        <f t="shared" si="387"/>
        <v>0</v>
      </c>
      <c r="AB243" s="24">
        <f t="shared" si="388"/>
        <v>0</v>
      </c>
      <c r="AC243" s="24">
        <f t="shared" ca="1" si="439"/>
        <v>0</v>
      </c>
      <c r="AD243" s="24">
        <f t="shared" si="389"/>
        <v>0</v>
      </c>
      <c r="AE243" s="2078">
        <f t="shared" si="870"/>
        <v>3</v>
      </c>
      <c r="AF243" s="2078">
        <f t="shared" si="871"/>
        <v>0</v>
      </c>
      <c r="AG243" s="2078">
        <f t="shared" si="872"/>
        <v>0</v>
      </c>
      <c r="AH243" s="2521">
        <f t="shared" si="390"/>
        <v>1</v>
      </c>
      <c r="AI243" s="25" t="str">
        <f t="shared" si="443"/>
        <v/>
      </c>
      <c r="AJ243" s="2521">
        <f t="shared" ca="1" si="882"/>
        <v>0</v>
      </c>
      <c r="AK243" s="2076">
        <f t="shared" ca="1" si="878"/>
        <v>0</v>
      </c>
      <c r="AL243" s="2078">
        <f>IF(ISBLANK(J243),0,ISERROR(MATCH(J243,'5  Control Accounts'!$FA$29:$FA$96,0))*1)</f>
        <v>0</v>
      </c>
      <c r="AM243" s="2076">
        <f t="shared" si="444"/>
        <v>0</v>
      </c>
      <c r="AN243" s="2078">
        <f t="shared" si="445"/>
        <v>1</v>
      </c>
      <c r="AO243" s="2079">
        <f t="shared" si="393"/>
        <v>1</v>
      </c>
      <c r="AP243" s="2079">
        <f t="shared" si="394"/>
        <v>0</v>
      </c>
      <c r="AQ243" s="2079">
        <f t="shared" si="395"/>
        <v>0</v>
      </c>
      <c r="AR243" s="2079">
        <f t="shared" si="396"/>
        <v>0</v>
      </c>
      <c r="AS243" s="2079">
        <f t="shared" si="397"/>
        <v>0</v>
      </c>
      <c r="AT243" s="2079">
        <f t="shared" si="398"/>
        <v>0</v>
      </c>
      <c r="AU243" s="2079">
        <f t="shared" si="399"/>
        <v>0</v>
      </c>
      <c r="AV243" s="2079">
        <f t="shared" si="400"/>
        <v>0</v>
      </c>
      <c r="AW243" s="2079">
        <f t="shared" si="401"/>
        <v>0</v>
      </c>
      <c r="AX243" s="2079">
        <f t="shared" si="402"/>
        <v>0</v>
      </c>
      <c r="AY243" s="2078">
        <f t="shared" si="446"/>
        <v>0</v>
      </c>
      <c r="AZ243" s="2078">
        <f t="shared" si="447"/>
        <v>0</v>
      </c>
      <c r="BA243" s="2078">
        <f t="shared" si="448"/>
        <v>0</v>
      </c>
      <c r="BB243" s="2078">
        <f t="shared" si="449"/>
        <v>0</v>
      </c>
      <c r="BC243" s="2078">
        <f t="shared" si="450"/>
        <v>0</v>
      </c>
      <c r="BD243" s="2078">
        <f t="shared" si="451"/>
        <v>0</v>
      </c>
      <c r="BE243" s="2078">
        <f t="shared" si="452"/>
        <v>0</v>
      </c>
      <c r="BF243" s="2078">
        <f t="shared" si="453"/>
        <v>0</v>
      </c>
      <c r="BG243" s="2078">
        <f t="shared" si="454"/>
        <v>0</v>
      </c>
      <c r="BH243" s="2078">
        <f t="shared" si="455"/>
        <v>0</v>
      </c>
      <c r="BI243" s="2078">
        <f t="shared" si="456"/>
        <v>0</v>
      </c>
      <c r="BJ243" s="2078">
        <f t="shared" si="457"/>
        <v>0</v>
      </c>
      <c r="BK243" s="2078">
        <f t="shared" si="458"/>
        <v>0</v>
      </c>
      <c r="BL243" s="2078">
        <f t="shared" si="459"/>
        <v>0</v>
      </c>
      <c r="BM243" s="2078">
        <f t="shared" si="460"/>
        <v>0</v>
      </c>
      <c r="BN243" s="2078">
        <f t="shared" si="461"/>
        <v>0</v>
      </c>
      <c r="BO243" s="2078">
        <f t="shared" si="462"/>
        <v>0</v>
      </c>
      <c r="BP243" s="2078">
        <f t="shared" si="463"/>
        <v>0</v>
      </c>
      <c r="BQ243" s="2078">
        <f t="shared" si="464"/>
        <v>0</v>
      </c>
      <c r="BR243" s="2078">
        <f t="shared" si="465"/>
        <v>0</v>
      </c>
      <c r="BS243" s="2079">
        <f t="shared" si="403"/>
        <v>1</v>
      </c>
      <c r="BT243" s="2079">
        <f t="shared" si="404"/>
        <v>0</v>
      </c>
      <c r="BU243" s="2079">
        <f t="shared" si="405"/>
        <v>0</v>
      </c>
      <c r="BV243" s="2079">
        <f t="shared" si="406"/>
        <v>0</v>
      </c>
      <c r="BW243" s="2079">
        <f t="shared" si="407"/>
        <v>0</v>
      </c>
      <c r="BX243" s="2079">
        <f t="shared" si="408"/>
        <v>0</v>
      </c>
      <c r="BY243" s="2079">
        <f t="shared" si="409"/>
        <v>0</v>
      </c>
      <c r="BZ243" s="2079">
        <f t="shared" si="410"/>
        <v>0</v>
      </c>
      <c r="CA243" s="2079">
        <f t="shared" si="411"/>
        <v>0</v>
      </c>
      <c r="CB243" s="2079">
        <f t="shared" si="412"/>
        <v>0</v>
      </c>
      <c r="CC243" s="2078">
        <f t="shared" ca="1" si="466"/>
        <v>0</v>
      </c>
      <c r="CD243" s="2078">
        <f t="shared" ca="1" si="467"/>
        <v>0</v>
      </c>
      <c r="CE243" s="2078">
        <f t="shared" ca="1" si="468"/>
        <v>0</v>
      </c>
      <c r="CF243" s="2078">
        <f t="shared" ca="1" si="469"/>
        <v>0</v>
      </c>
      <c r="CG243" s="2078">
        <f t="shared" ca="1" si="470"/>
        <v>0</v>
      </c>
      <c r="CH243" s="2078">
        <f t="shared" ca="1" si="471"/>
        <v>0</v>
      </c>
      <c r="CI243" s="2078">
        <f t="shared" ca="1" si="472"/>
        <v>0</v>
      </c>
      <c r="CJ243" s="2078">
        <f t="shared" ca="1" si="473"/>
        <v>0</v>
      </c>
      <c r="CK243" s="2078">
        <f t="shared" ca="1" si="474"/>
        <v>0</v>
      </c>
      <c r="CL243" s="2078">
        <f t="shared" ca="1" si="475"/>
        <v>0</v>
      </c>
      <c r="CM243" s="2078">
        <f t="shared" si="413"/>
        <v>1</v>
      </c>
      <c r="CN243" s="2078">
        <f t="shared" si="414"/>
        <v>1</v>
      </c>
      <c r="CO243" s="2078">
        <f t="shared" si="415"/>
        <v>1</v>
      </c>
      <c r="CP243" s="2078">
        <f t="shared" si="478"/>
        <v>1</v>
      </c>
      <c r="CQ243" s="2078">
        <f t="shared" si="416"/>
        <v>0</v>
      </c>
      <c r="CR243" s="2078">
        <f t="shared" si="879"/>
        <v>0</v>
      </c>
      <c r="CS243" s="2078">
        <f t="shared" si="479"/>
        <v>0</v>
      </c>
      <c r="CT243" s="2078">
        <f t="shared" si="418"/>
        <v>1</v>
      </c>
      <c r="CU243" s="2078">
        <f t="shared" si="480"/>
        <v>1</v>
      </c>
      <c r="CV243" s="2078">
        <f t="shared" si="419"/>
        <v>0</v>
      </c>
      <c r="CW243" s="2078">
        <f>IF(OR(AE243&lt;&gt;3,F243="Exclude"),0,IF(ISERROR(MATCH($E243,'4 Sign-off'!$S$123:$X$123,0)),0,1))</f>
        <v>0</v>
      </c>
      <c r="CX243" s="2078">
        <f t="shared" si="481"/>
        <v>0</v>
      </c>
      <c r="CY243" s="2078">
        <f t="shared" si="420"/>
        <v>0</v>
      </c>
      <c r="CZ243" s="2993">
        <f t="shared" ca="1" si="880"/>
        <v>0</v>
      </c>
      <c r="DA243" s="3037">
        <f t="shared" ca="1" si="881"/>
        <v>0</v>
      </c>
      <c r="DB243" s="1664"/>
      <c r="DC243" s="1320"/>
      <c r="DD243" s="589"/>
      <c r="DE243" s="1321"/>
      <c r="DF243" s="107"/>
      <c r="DG243" s="112"/>
      <c r="DH243" s="140"/>
      <c r="DI243" s="22"/>
      <c r="DJ243" s="145"/>
      <c r="DK243" s="137"/>
      <c r="DL243" s="137"/>
      <c r="DM243" s="137"/>
      <c r="DN243" s="137"/>
      <c r="DO243" s="137"/>
      <c r="DP243" s="137"/>
      <c r="DQ243" s="137"/>
      <c r="DR243" s="137"/>
      <c r="DS243" s="137"/>
      <c r="DT243" s="137"/>
      <c r="DU243" s="137"/>
      <c r="DV243" s="137"/>
      <c r="DW243" s="137"/>
      <c r="DX243" s="137"/>
      <c r="DY243" s="137"/>
      <c r="DZ243" s="137"/>
      <c r="EA243" s="137"/>
      <c r="EB243" s="137"/>
      <c r="EC243" s="137"/>
      <c r="ED243" s="137"/>
      <c r="EE243" s="137"/>
      <c r="EF243" s="137"/>
      <c r="EG243" s="137"/>
      <c r="EH243" s="137"/>
      <c r="EI243" s="137"/>
      <c r="EJ243" s="137"/>
      <c r="EK243" s="137"/>
      <c r="EL243" s="137"/>
      <c r="EM243" s="137"/>
      <c r="EN243" s="137"/>
      <c r="EO243" s="137"/>
      <c r="EP243" s="137"/>
      <c r="EQ243" s="137"/>
      <c r="ER243" s="137"/>
      <c r="ES243" s="137"/>
      <c r="ET243" s="137"/>
      <c r="EU243" s="137"/>
      <c r="EV243" s="137"/>
      <c r="EW243" s="137"/>
      <c r="EX243" s="137"/>
      <c r="EY243" s="137"/>
      <c r="EZ243" s="137"/>
      <c r="FA243" s="137"/>
      <c r="FB243" s="137"/>
      <c r="FC243" s="137"/>
      <c r="FD243" s="137"/>
      <c r="FE243" s="137"/>
      <c r="FF243" s="137"/>
      <c r="FG243" s="860"/>
      <c r="FH243" s="863"/>
      <c r="FI243" s="1318"/>
      <c r="FJ243" s="126"/>
      <c r="FK243" s="127"/>
      <c r="FL243" s="128" t="str">
        <f t="shared" si="485"/>
        <v xml:space="preserve">    </v>
      </c>
      <c r="FM243" s="128"/>
      <c r="FN243" s="1686">
        <f t="shared" si="486"/>
        <v>0</v>
      </c>
      <c r="FO243" s="46">
        <f t="shared" si="421"/>
        <v>0</v>
      </c>
      <c r="FP243" s="46">
        <f t="shared" si="422"/>
        <v>1</v>
      </c>
      <c r="FQ243" s="75">
        <f t="shared" si="489"/>
        <v>0</v>
      </c>
      <c r="FR243" s="46">
        <f t="shared" si="873"/>
        <v>0</v>
      </c>
      <c r="FS243" s="46">
        <f t="shared" si="874"/>
        <v>1</v>
      </c>
      <c r="FT243" s="75">
        <f t="shared" si="492"/>
        <v>0</v>
      </c>
      <c r="FU243" s="2603">
        <f t="shared" si="423"/>
        <v>0</v>
      </c>
      <c r="FV243" s="2607">
        <f t="shared" si="424"/>
        <v>0</v>
      </c>
      <c r="FW243" s="2603">
        <f t="shared" si="425"/>
        <v>0</v>
      </c>
      <c r="FX243" s="2631">
        <f t="shared" si="426"/>
        <v>0</v>
      </c>
      <c r="FY243" s="81" t="e">
        <f t="shared" si="875"/>
        <v>#N/A</v>
      </c>
      <c r="FZ243" s="64" t="e">
        <f t="array" ref="FZ243">MATCH(1,($GT243:$LQ243&gt;0)*$GT$25:$LQ$25,0)</f>
        <v>#N/A</v>
      </c>
      <c r="GA243" s="64" t="e">
        <f t="array" ref="GA243">MATCH(2,1/(GT243:LQ243&gt;0))</f>
        <v>#N/A</v>
      </c>
      <c r="GB243" s="64">
        <f t="shared" si="497"/>
        <v>-1</v>
      </c>
      <c r="GC243" s="46"/>
      <c r="GD243" s="613"/>
      <c r="GE243" s="613"/>
      <c r="GF243" s="613"/>
      <c r="GG243" s="613"/>
      <c r="GH243" s="613"/>
      <c r="GI243" s="613"/>
      <c r="GJ243" s="613"/>
      <c r="GK243" s="613"/>
      <c r="GL243" s="613"/>
      <c r="GM243" s="613"/>
      <c r="GN243" s="385">
        <f t="shared" si="498"/>
        <v>0</v>
      </c>
      <c r="GO243" s="386">
        <f t="shared" si="499"/>
        <v>0</v>
      </c>
      <c r="GP243" s="2635"/>
      <c r="GQ243" s="175"/>
      <c r="GR243" s="172"/>
      <c r="GS243" s="65"/>
      <c r="GT243" s="167"/>
      <c r="GU243" s="168"/>
      <c r="GV243" s="168"/>
      <c r="GW243" s="168"/>
      <c r="GX243" s="168"/>
      <c r="GY243" s="168"/>
      <c r="GZ243" s="168"/>
      <c r="HA243" s="168"/>
      <c r="HB243" s="168"/>
      <c r="HC243" s="168"/>
      <c r="HD243" s="168"/>
      <c r="HE243" s="168"/>
      <c r="HF243" s="168"/>
      <c r="HG243" s="168"/>
      <c r="HH243" s="168"/>
      <c r="HI243" s="168"/>
      <c r="HJ243" s="168"/>
      <c r="HK243" s="168"/>
      <c r="HL243" s="168"/>
      <c r="HM243" s="168"/>
      <c r="HN243" s="168"/>
      <c r="HO243" s="168"/>
      <c r="HP243" s="168"/>
      <c r="HQ243" s="168"/>
      <c r="HR243" s="168"/>
      <c r="HS243" s="168"/>
      <c r="HT243" s="168"/>
      <c r="HU243" s="168"/>
      <c r="HV243" s="168"/>
      <c r="HW243" s="168"/>
      <c r="HX243" s="168"/>
      <c r="HY243" s="168"/>
      <c r="HZ243" s="168"/>
      <c r="IA243" s="168"/>
      <c r="IB243" s="168"/>
      <c r="IC243" s="168"/>
      <c r="ID243" s="168"/>
      <c r="IE243" s="168"/>
      <c r="IF243" s="168"/>
      <c r="IG243" s="168"/>
      <c r="IH243" s="168"/>
      <c r="II243" s="168"/>
      <c r="IJ243" s="168"/>
      <c r="IK243" s="168"/>
      <c r="IL243" s="168"/>
      <c r="IM243" s="168"/>
      <c r="IN243" s="168"/>
      <c r="IO243" s="168"/>
      <c r="IP243" s="168"/>
      <c r="IQ243" s="168"/>
      <c r="IR243" s="168"/>
      <c r="IS243" s="168"/>
      <c r="IT243" s="168"/>
      <c r="IU243" s="168"/>
      <c r="IV243" s="168"/>
      <c r="IW243" s="168"/>
      <c r="IX243" s="168"/>
      <c r="IY243" s="168"/>
      <c r="IZ243" s="168"/>
      <c r="JA243" s="168"/>
      <c r="JB243" s="168"/>
      <c r="JC243" s="168"/>
      <c r="JD243" s="168"/>
      <c r="JE243" s="168"/>
      <c r="JF243" s="168"/>
      <c r="JG243" s="168"/>
      <c r="JH243" s="168"/>
      <c r="JI243" s="168"/>
      <c r="JJ243" s="168"/>
      <c r="JK243" s="168"/>
      <c r="JL243" s="168"/>
      <c r="JM243" s="168"/>
      <c r="JN243" s="168"/>
      <c r="JO243" s="168"/>
      <c r="JP243" s="168"/>
      <c r="JQ243" s="168"/>
      <c r="JR243" s="168"/>
      <c r="JS243" s="168"/>
      <c r="JT243" s="168"/>
      <c r="JU243" s="168"/>
      <c r="JV243" s="168"/>
      <c r="JW243" s="168"/>
      <c r="JX243" s="168"/>
      <c r="JY243" s="168"/>
      <c r="JZ243" s="168"/>
      <c r="KA243" s="168"/>
      <c r="KB243" s="168"/>
      <c r="KC243" s="168"/>
      <c r="KD243" s="168"/>
      <c r="KE243" s="168"/>
      <c r="KF243" s="168"/>
      <c r="KG243" s="168"/>
      <c r="KH243" s="168"/>
      <c r="KI243" s="168"/>
      <c r="KJ243" s="168"/>
      <c r="KK243" s="168"/>
      <c r="KL243" s="168"/>
      <c r="KM243" s="168"/>
      <c r="KN243" s="168"/>
      <c r="KO243" s="168"/>
      <c r="KP243" s="168"/>
      <c r="KQ243" s="168"/>
      <c r="KR243" s="168"/>
      <c r="KS243" s="168"/>
      <c r="KT243" s="168"/>
      <c r="KU243" s="168"/>
      <c r="KV243" s="168"/>
      <c r="KW243" s="168"/>
      <c r="KX243" s="168"/>
      <c r="KY243" s="168"/>
      <c r="KZ243" s="168"/>
      <c r="LA243" s="168"/>
      <c r="LB243" s="168"/>
      <c r="LC243" s="168"/>
      <c r="LD243" s="168"/>
      <c r="LE243" s="168"/>
      <c r="LF243" s="168"/>
      <c r="LG243" s="168"/>
      <c r="LH243" s="168"/>
      <c r="LI243" s="168"/>
      <c r="LJ243" s="168"/>
      <c r="LK243" s="168"/>
      <c r="LL243" s="168"/>
      <c r="LM243" s="168"/>
      <c r="LN243" s="168"/>
      <c r="LO243" s="168"/>
      <c r="LP243" s="606"/>
      <c r="LQ243" s="609"/>
      <c r="LR243" s="1319"/>
      <c r="LS243" s="1319"/>
    </row>
    <row r="244" spans="1:331" s="2" customFormat="1" ht="15" customHeight="1" x14ac:dyDescent="0.25">
      <c r="A244" s="283"/>
      <c r="B244" s="303"/>
      <c r="C244" s="301"/>
      <c r="D244" s="1287"/>
      <c r="E244" s="2298"/>
      <c r="F244" s="1812"/>
      <c r="G244" s="3342"/>
      <c r="H244" s="66"/>
      <c r="I244" s="1746"/>
      <c r="J244" s="1214"/>
      <c r="K244" s="105"/>
      <c r="L244" s="91"/>
      <c r="M244" s="92"/>
      <c r="N244" s="93"/>
      <c r="O244" s="94"/>
      <c r="P244" s="96"/>
      <c r="Q244" s="95"/>
      <c r="R244" s="993">
        <f t="shared" si="876"/>
        <v>0</v>
      </c>
      <c r="S244" s="23">
        <f t="shared" si="877"/>
        <v>0</v>
      </c>
      <c r="T244" s="24">
        <f t="shared" si="433"/>
        <v>0</v>
      </c>
      <c r="U244" s="24">
        <f t="shared" si="434"/>
        <v>0</v>
      </c>
      <c r="V244" s="24">
        <f t="shared" si="435"/>
        <v>0</v>
      </c>
      <c r="W244" s="24">
        <f t="shared" ca="1" si="436"/>
        <v>0</v>
      </c>
      <c r="X244" s="72">
        <f t="shared" ca="1" si="386"/>
        <v>0</v>
      </c>
      <c r="Y244" s="72">
        <f t="shared" si="437"/>
        <v>0</v>
      </c>
      <c r="Z244" s="24">
        <f t="shared" si="438"/>
        <v>0</v>
      </c>
      <c r="AA244" s="72">
        <f t="shared" si="387"/>
        <v>0</v>
      </c>
      <c r="AB244" s="24">
        <f t="shared" si="388"/>
        <v>0</v>
      </c>
      <c r="AC244" s="24">
        <f t="shared" ca="1" si="439"/>
        <v>0</v>
      </c>
      <c r="AD244" s="24">
        <f t="shared" si="389"/>
        <v>0</v>
      </c>
      <c r="AE244" s="2078">
        <f t="shared" si="870"/>
        <v>3</v>
      </c>
      <c r="AF244" s="2078">
        <f t="shared" si="871"/>
        <v>0</v>
      </c>
      <c r="AG244" s="2078">
        <f t="shared" si="872"/>
        <v>0</v>
      </c>
      <c r="AH244" s="2521">
        <f t="shared" si="390"/>
        <v>1</v>
      </c>
      <c r="AI244" s="25" t="str">
        <f t="shared" si="443"/>
        <v/>
      </c>
      <c r="AJ244" s="2521">
        <f t="shared" ca="1" si="882"/>
        <v>0</v>
      </c>
      <c r="AK244" s="2076">
        <f t="shared" ca="1" si="878"/>
        <v>0</v>
      </c>
      <c r="AL244" s="2078">
        <f>IF(ISBLANK(J244),0,ISERROR(MATCH(J244,'5  Control Accounts'!$FA$29:$FA$96,0))*1)</f>
        <v>0</v>
      </c>
      <c r="AM244" s="2076">
        <f t="shared" si="444"/>
        <v>0</v>
      </c>
      <c r="AN244" s="2078">
        <f t="shared" si="445"/>
        <v>1</v>
      </c>
      <c r="AO244" s="2079">
        <f t="shared" si="393"/>
        <v>1</v>
      </c>
      <c r="AP244" s="2079">
        <f t="shared" si="394"/>
        <v>0</v>
      </c>
      <c r="AQ244" s="2079">
        <f t="shared" si="395"/>
        <v>0</v>
      </c>
      <c r="AR244" s="2079">
        <f t="shared" si="396"/>
        <v>0</v>
      </c>
      <c r="AS244" s="2079">
        <f t="shared" si="397"/>
        <v>0</v>
      </c>
      <c r="AT244" s="2079">
        <f t="shared" si="398"/>
        <v>0</v>
      </c>
      <c r="AU244" s="2079">
        <f t="shared" si="399"/>
        <v>0</v>
      </c>
      <c r="AV244" s="2079">
        <f t="shared" si="400"/>
        <v>0</v>
      </c>
      <c r="AW244" s="2079">
        <f t="shared" si="401"/>
        <v>0</v>
      </c>
      <c r="AX244" s="2079">
        <f t="shared" si="402"/>
        <v>0</v>
      </c>
      <c r="AY244" s="2078">
        <f t="shared" si="446"/>
        <v>0</v>
      </c>
      <c r="AZ244" s="2078">
        <f t="shared" si="447"/>
        <v>0</v>
      </c>
      <c r="BA244" s="2078">
        <f t="shared" si="448"/>
        <v>0</v>
      </c>
      <c r="BB244" s="2078">
        <f t="shared" si="449"/>
        <v>0</v>
      </c>
      <c r="BC244" s="2078">
        <f t="shared" si="450"/>
        <v>0</v>
      </c>
      <c r="BD244" s="2078">
        <f t="shared" si="451"/>
        <v>0</v>
      </c>
      <c r="BE244" s="2078">
        <f t="shared" si="452"/>
        <v>0</v>
      </c>
      <c r="BF244" s="2078">
        <f t="shared" si="453"/>
        <v>0</v>
      </c>
      <c r="BG244" s="2078">
        <f t="shared" si="454"/>
        <v>0</v>
      </c>
      <c r="BH244" s="2078">
        <f t="shared" si="455"/>
        <v>0</v>
      </c>
      <c r="BI244" s="2078">
        <f t="shared" si="456"/>
        <v>0</v>
      </c>
      <c r="BJ244" s="2078">
        <f t="shared" si="457"/>
        <v>0</v>
      </c>
      <c r="BK244" s="2078">
        <f t="shared" si="458"/>
        <v>0</v>
      </c>
      <c r="BL244" s="2078">
        <f t="shared" si="459"/>
        <v>0</v>
      </c>
      <c r="BM244" s="2078">
        <f t="shared" si="460"/>
        <v>0</v>
      </c>
      <c r="BN244" s="2078">
        <f t="shared" si="461"/>
        <v>0</v>
      </c>
      <c r="BO244" s="2078">
        <f t="shared" si="462"/>
        <v>0</v>
      </c>
      <c r="BP244" s="2078">
        <f t="shared" si="463"/>
        <v>0</v>
      </c>
      <c r="BQ244" s="2078">
        <f t="shared" si="464"/>
        <v>0</v>
      </c>
      <c r="BR244" s="2078">
        <f t="shared" si="465"/>
        <v>0</v>
      </c>
      <c r="BS244" s="2079">
        <f t="shared" si="403"/>
        <v>1</v>
      </c>
      <c r="BT244" s="2079">
        <f t="shared" si="404"/>
        <v>0</v>
      </c>
      <c r="BU244" s="2079">
        <f t="shared" si="405"/>
        <v>0</v>
      </c>
      <c r="BV244" s="2079">
        <f t="shared" si="406"/>
        <v>0</v>
      </c>
      <c r="BW244" s="2079">
        <f t="shared" si="407"/>
        <v>0</v>
      </c>
      <c r="BX244" s="2079">
        <f t="shared" si="408"/>
        <v>0</v>
      </c>
      <c r="BY244" s="2079">
        <f t="shared" si="409"/>
        <v>0</v>
      </c>
      <c r="BZ244" s="2079">
        <f t="shared" si="410"/>
        <v>0</v>
      </c>
      <c r="CA244" s="2079">
        <f t="shared" si="411"/>
        <v>0</v>
      </c>
      <c r="CB244" s="2079">
        <f t="shared" si="412"/>
        <v>0</v>
      </c>
      <c r="CC244" s="2078">
        <f t="shared" ca="1" si="466"/>
        <v>0</v>
      </c>
      <c r="CD244" s="2078">
        <f t="shared" ca="1" si="467"/>
        <v>0</v>
      </c>
      <c r="CE244" s="2078">
        <f t="shared" ca="1" si="468"/>
        <v>0</v>
      </c>
      <c r="CF244" s="2078">
        <f t="shared" ca="1" si="469"/>
        <v>0</v>
      </c>
      <c r="CG244" s="2078">
        <f t="shared" ca="1" si="470"/>
        <v>0</v>
      </c>
      <c r="CH244" s="2078">
        <f t="shared" ca="1" si="471"/>
        <v>0</v>
      </c>
      <c r="CI244" s="2078">
        <f t="shared" ca="1" si="472"/>
        <v>0</v>
      </c>
      <c r="CJ244" s="2078">
        <f t="shared" ca="1" si="473"/>
        <v>0</v>
      </c>
      <c r="CK244" s="2078">
        <f t="shared" ca="1" si="474"/>
        <v>0</v>
      </c>
      <c r="CL244" s="2078">
        <f t="shared" ca="1" si="475"/>
        <v>0</v>
      </c>
      <c r="CM244" s="2078">
        <f t="shared" si="413"/>
        <v>1</v>
      </c>
      <c r="CN244" s="2078">
        <f t="shared" si="414"/>
        <v>1</v>
      </c>
      <c r="CO244" s="2078">
        <f t="shared" si="415"/>
        <v>1</v>
      </c>
      <c r="CP244" s="2078">
        <f t="shared" si="478"/>
        <v>1</v>
      </c>
      <c r="CQ244" s="2078">
        <f t="shared" si="416"/>
        <v>0</v>
      </c>
      <c r="CR244" s="2078">
        <f t="shared" si="879"/>
        <v>0</v>
      </c>
      <c r="CS244" s="2078">
        <f t="shared" si="479"/>
        <v>0</v>
      </c>
      <c r="CT244" s="2078">
        <f t="shared" si="418"/>
        <v>1</v>
      </c>
      <c r="CU244" s="2078">
        <f t="shared" si="480"/>
        <v>1</v>
      </c>
      <c r="CV244" s="2078">
        <f t="shared" si="419"/>
        <v>0</v>
      </c>
      <c r="CW244" s="2078">
        <f>IF(OR(AE244&lt;&gt;3,F244="Exclude"),0,IF(ISERROR(MATCH($E244,'4 Sign-off'!$S$123:$X$123,0)),0,1))</f>
        <v>0</v>
      </c>
      <c r="CX244" s="2078">
        <f t="shared" si="481"/>
        <v>0</v>
      </c>
      <c r="CY244" s="2078">
        <f t="shared" si="420"/>
        <v>0</v>
      </c>
      <c r="CZ244" s="2993">
        <f t="shared" ca="1" si="880"/>
        <v>0</v>
      </c>
      <c r="DA244" s="3037">
        <f t="shared" ca="1" si="881"/>
        <v>0</v>
      </c>
      <c r="DB244" s="1664"/>
      <c r="DC244" s="1320"/>
      <c r="DD244" s="589"/>
      <c r="DE244" s="1321"/>
      <c r="DF244" s="107"/>
      <c r="DG244" s="112"/>
      <c r="DH244" s="140"/>
      <c r="DI244" s="22"/>
      <c r="DJ244" s="145"/>
      <c r="DK244" s="137"/>
      <c r="DL244" s="137"/>
      <c r="DM244" s="137"/>
      <c r="DN244" s="137"/>
      <c r="DO244" s="137"/>
      <c r="DP244" s="137"/>
      <c r="DQ244" s="137"/>
      <c r="DR244" s="137"/>
      <c r="DS244" s="137"/>
      <c r="DT244" s="137"/>
      <c r="DU244" s="137"/>
      <c r="DV244" s="137"/>
      <c r="DW244" s="137"/>
      <c r="DX244" s="137"/>
      <c r="DY244" s="137"/>
      <c r="DZ244" s="137"/>
      <c r="EA244" s="137"/>
      <c r="EB244" s="137"/>
      <c r="EC244" s="137"/>
      <c r="ED244" s="137"/>
      <c r="EE244" s="137"/>
      <c r="EF244" s="137"/>
      <c r="EG244" s="137"/>
      <c r="EH244" s="137"/>
      <c r="EI244" s="137"/>
      <c r="EJ244" s="137"/>
      <c r="EK244" s="137"/>
      <c r="EL244" s="137"/>
      <c r="EM244" s="137"/>
      <c r="EN244" s="137"/>
      <c r="EO244" s="137"/>
      <c r="EP244" s="137"/>
      <c r="EQ244" s="137"/>
      <c r="ER244" s="137"/>
      <c r="ES244" s="137"/>
      <c r="ET244" s="137"/>
      <c r="EU244" s="137"/>
      <c r="EV244" s="137"/>
      <c r="EW244" s="137"/>
      <c r="EX244" s="137"/>
      <c r="EY244" s="137"/>
      <c r="EZ244" s="137"/>
      <c r="FA244" s="137"/>
      <c r="FB244" s="137"/>
      <c r="FC244" s="137"/>
      <c r="FD244" s="137"/>
      <c r="FE244" s="137"/>
      <c r="FF244" s="137"/>
      <c r="FG244" s="860"/>
      <c r="FH244" s="863"/>
      <c r="FI244" s="1318"/>
      <c r="FJ244" s="126"/>
      <c r="FK244" s="127"/>
      <c r="FL244" s="128" t="str">
        <f t="shared" si="485"/>
        <v xml:space="preserve">    </v>
      </c>
      <c r="FM244" s="128"/>
      <c r="FN244" s="1686">
        <f t="shared" si="486"/>
        <v>0</v>
      </c>
      <c r="FO244" s="46">
        <f t="shared" si="421"/>
        <v>0</v>
      </c>
      <c r="FP244" s="46">
        <f t="shared" si="422"/>
        <v>1</v>
      </c>
      <c r="FQ244" s="75">
        <f t="shared" si="489"/>
        <v>0</v>
      </c>
      <c r="FR244" s="46">
        <f t="shared" si="873"/>
        <v>0</v>
      </c>
      <c r="FS244" s="46">
        <f t="shared" si="874"/>
        <v>1</v>
      </c>
      <c r="FT244" s="75">
        <f t="shared" si="492"/>
        <v>0</v>
      </c>
      <c r="FU244" s="2603">
        <f t="shared" si="423"/>
        <v>0</v>
      </c>
      <c r="FV244" s="2607">
        <f t="shared" si="424"/>
        <v>0</v>
      </c>
      <c r="FW244" s="2603">
        <f t="shared" si="425"/>
        <v>0</v>
      </c>
      <c r="FX244" s="2631">
        <f t="shared" si="426"/>
        <v>0</v>
      </c>
      <c r="FY244" s="81" t="e">
        <f t="shared" si="875"/>
        <v>#N/A</v>
      </c>
      <c r="FZ244" s="64" t="e">
        <f t="array" ref="FZ244">MATCH(1,($GT244:$LQ244&gt;0)*$GT$25:$LQ$25,0)</f>
        <v>#N/A</v>
      </c>
      <c r="GA244" s="64" t="e">
        <f t="array" ref="GA244">MATCH(2,1/(GT244:LQ244&gt;0))</f>
        <v>#N/A</v>
      </c>
      <c r="GB244" s="64">
        <f t="shared" si="497"/>
        <v>-1</v>
      </c>
      <c r="GC244" s="46"/>
      <c r="GD244" s="613"/>
      <c r="GE244" s="613"/>
      <c r="GF244" s="613"/>
      <c r="GG244" s="613"/>
      <c r="GH244" s="613"/>
      <c r="GI244" s="613"/>
      <c r="GJ244" s="613"/>
      <c r="GK244" s="613"/>
      <c r="GL244" s="613"/>
      <c r="GM244" s="613"/>
      <c r="GN244" s="385">
        <f t="shared" si="498"/>
        <v>0</v>
      </c>
      <c r="GO244" s="386">
        <f t="shared" si="499"/>
        <v>0</v>
      </c>
      <c r="GP244" s="2635"/>
      <c r="GQ244" s="175"/>
      <c r="GR244" s="172"/>
      <c r="GS244" s="65"/>
      <c r="GT244" s="167"/>
      <c r="GU244" s="168"/>
      <c r="GV244" s="168"/>
      <c r="GW244" s="168"/>
      <c r="GX244" s="168"/>
      <c r="GY244" s="168"/>
      <c r="GZ244" s="168"/>
      <c r="HA244" s="168"/>
      <c r="HB244" s="168"/>
      <c r="HC244" s="168"/>
      <c r="HD244" s="168"/>
      <c r="HE244" s="168"/>
      <c r="HF244" s="168"/>
      <c r="HG244" s="168"/>
      <c r="HH244" s="168"/>
      <c r="HI244" s="168"/>
      <c r="HJ244" s="168"/>
      <c r="HK244" s="168"/>
      <c r="HL244" s="168"/>
      <c r="HM244" s="168"/>
      <c r="HN244" s="168"/>
      <c r="HO244" s="168"/>
      <c r="HP244" s="168"/>
      <c r="HQ244" s="168"/>
      <c r="HR244" s="168"/>
      <c r="HS244" s="168"/>
      <c r="HT244" s="168"/>
      <c r="HU244" s="168"/>
      <c r="HV244" s="168"/>
      <c r="HW244" s="168"/>
      <c r="HX244" s="168"/>
      <c r="HY244" s="168"/>
      <c r="HZ244" s="168"/>
      <c r="IA244" s="168"/>
      <c r="IB244" s="168"/>
      <c r="IC244" s="168"/>
      <c r="ID244" s="168"/>
      <c r="IE244" s="168"/>
      <c r="IF244" s="168"/>
      <c r="IG244" s="168"/>
      <c r="IH244" s="168"/>
      <c r="II244" s="168"/>
      <c r="IJ244" s="168"/>
      <c r="IK244" s="168"/>
      <c r="IL244" s="168"/>
      <c r="IM244" s="168"/>
      <c r="IN244" s="168"/>
      <c r="IO244" s="168"/>
      <c r="IP244" s="168"/>
      <c r="IQ244" s="168"/>
      <c r="IR244" s="168"/>
      <c r="IS244" s="168"/>
      <c r="IT244" s="168"/>
      <c r="IU244" s="168"/>
      <c r="IV244" s="168"/>
      <c r="IW244" s="168"/>
      <c r="IX244" s="168"/>
      <c r="IY244" s="168"/>
      <c r="IZ244" s="168"/>
      <c r="JA244" s="168"/>
      <c r="JB244" s="168"/>
      <c r="JC244" s="168"/>
      <c r="JD244" s="168"/>
      <c r="JE244" s="168"/>
      <c r="JF244" s="168"/>
      <c r="JG244" s="168"/>
      <c r="JH244" s="168"/>
      <c r="JI244" s="168"/>
      <c r="JJ244" s="168"/>
      <c r="JK244" s="168"/>
      <c r="JL244" s="168"/>
      <c r="JM244" s="168"/>
      <c r="JN244" s="168"/>
      <c r="JO244" s="168"/>
      <c r="JP244" s="168"/>
      <c r="JQ244" s="168"/>
      <c r="JR244" s="168"/>
      <c r="JS244" s="168"/>
      <c r="JT244" s="168"/>
      <c r="JU244" s="168"/>
      <c r="JV244" s="168"/>
      <c r="JW244" s="168"/>
      <c r="JX244" s="168"/>
      <c r="JY244" s="168"/>
      <c r="JZ244" s="168"/>
      <c r="KA244" s="168"/>
      <c r="KB244" s="168"/>
      <c r="KC244" s="168"/>
      <c r="KD244" s="168"/>
      <c r="KE244" s="168"/>
      <c r="KF244" s="168"/>
      <c r="KG244" s="168"/>
      <c r="KH244" s="168"/>
      <c r="KI244" s="168"/>
      <c r="KJ244" s="168"/>
      <c r="KK244" s="168"/>
      <c r="KL244" s="168"/>
      <c r="KM244" s="168"/>
      <c r="KN244" s="168"/>
      <c r="KO244" s="168"/>
      <c r="KP244" s="168"/>
      <c r="KQ244" s="168"/>
      <c r="KR244" s="168"/>
      <c r="KS244" s="168"/>
      <c r="KT244" s="168"/>
      <c r="KU244" s="168"/>
      <c r="KV244" s="168"/>
      <c r="KW244" s="168"/>
      <c r="KX244" s="168"/>
      <c r="KY244" s="168"/>
      <c r="KZ244" s="168"/>
      <c r="LA244" s="168"/>
      <c r="LB244" s="168"/>
      <c r="LC244" s="168"/>
      <c r="LD244" s="168"/>
      <c r="LE244" s="168"/>
      <c r="LF244" s="168"/>
      <c r="LG244" s="168"/>
      <c r="LH244" s="168"/>
      <c r="LI244" s="168"/>
      <c r="LJ244" s="168"/>
      <c r="LK244" s="168"/>
      <c r="LL244" s="168"/>
      <c r="LM244" s="168"/>
      <c r="LN244" s="168"/>
      <c r="LO244" s="168"/>
      <c r="LP244" s="606"/>
      <c r="LQ244" s="609"/>
      <c r="LR244" s="1319"/>
      <c r="LS244" s="1319"/>
    </row>
    <row r="245" spans="1:331" s="2" customFormat="1" ht="15" customHeight="1" x14ac:dyDescent="0.25">
      <c r="A245" s="283"/>
      <c r="B245" s="303"/>
      <c r="C245" s="301"/>
      <c r="D245" s="1287"/>
      <c r="E245" s="2298"/>
      <c r="F245" s="1812"/>
      <c r="G245" s="3342"/>
      <c r="H245" s="66"/>
      <c r="I245" s="1746"/>
      <c r="J245" s="1214"/>
      <c r="K245" s="105"/>
      <c r="L245" s="91"/>
      <c r="M245" s="92"/>
      <c r="N245" s="93"/>
      <c r="O245" s="94"/>
      <c r="P245" s="96"/>
      <c r="Q245" s="95"/>
      <c r="R245" s="993">
        <f t="shared" si="876"/>
        <v>0</v>
      </c>
      <c r="S245" s="23">
        <f t="shared" si="877"/>
        <v>0</v>
      </c>
      <c r="T245" s="24">
        <f t="shared" si="433"/>
        <v>0</v>
      </c>
      <c r="U245" s="24">
        <f t="shared" si="434"/>
        <v>0</v>
      </c>
      <c r="V245" s="24">
        <f t="shared" si="435"/>
        <v>0</v>
      </c>
      <c r="W245" s="24">
        <f t="shared" ca="1" si="436"/>
        <v>0</v>
      </c>
      <c r="X245" s="72">
        <f t="shared" ca="1" si="386"/>
        <v>0</v>
      </c>
      <c r="Y245" s="72">
        <f t="shared" si="437"/>
        <v>0</v>
      </c>
      <c r="Z245" s="24">
        <f t="shared" si="438"/>
        <v>0</v>
      </c>
      <c r="AA245" s="72">
        <f t="shared" si="387"/>
        <v>0</v>
      </c>
      <c r="AB245" s="24">
        <f t="shared" si="388"/>
        <v>0</v>
      </c>
      <c r="AC245" s="24">
        <f t="shared" ca="1" si="439"/>
        <v>0</v>
      </c>
      <c r="AD245" s="24">
        <f t="shared" si="389"/>
        <v>0</v>
      </c>
      <c r="AE245" s="2078">
        <f t="shared" si="870"/>
        <v>3</v>
      </c>
      <c r="AF245" s="2078">
        <f t="shared" si="871"/>
        <v>0</v>
      </c>
      <c r="AG245" s="2078">
        <f t="shared" si="872"/>
        <v>0</v>
      </c>
      <c r="AH245" s="2521">
        <f t="shared" si="390"/>
        <v>1</v>
      </c>
      <c r="AI245" s="25" t="str">
        <f t="shared" si="443"/>
        <v/>
      </c>
      <c r="AJ245" s="2521">
        <f t="shared" ca="1" si="882"/>
        <v>0</v>
      </c>
      <c r="AK245" s="2076">
        <f t="shared" ca="1" si="878"/>
        <v>0</v>
      </c>
      <c r="AL245" s="2078">
        <f>IF(ISBLANK(J245),0,ISERROR(MATCH(J245,'5  Control Accounts'!$FA$29:$FA$96,0))*1)</f>
        <v>0</v>
      </c>
      <c r="AM245" s="2076">
        <f t="shared" si="444"/>
        <v>0</v>
      </c>
      <c r="AN245" s="2078">
        <f t="shared" si="445"/>
        <v>1</v>
      </c>
      <c r="AO245" s="2079">
        <f t="shared" si="393"/>
        <v>1</v>
      </c>
      <c r="AP245" s="2079">
        <f t="shared" si="394"/>
        <v>0</v>
      </c>
      <c r="AQ245" s="2079">
        <f t="shared" si="395"/>
        <v>0</v>
      </c>
      <c r="AR245" s="2079">
        <f t="shared" si="396"/>
        <v>0</v>
      </c>
      <c r="AS245" s="2079">
        <f t="shared" si="397"/>
        <v>0</v>
      </c>
      <c r="AT245" s="2079">
        <f t="shared" si="398"/>
        <v>0</v>
      </c>
      <c r="AU245" s="2079">
        <f t="shared" si="399"/>
        <v>0</v>
      </c>
      <c r="AV245" s="2079">
        <f t="shared" si="400"/>
        <v>0</v>
      </c>
      <c r="AW245" s="2079">
        <f t="shared" si="401"/>
        <v>0</v>
      </c>
      <c r="AX245" s="2079">
        <f t="shared" si="402"/>
        <v>0</v>
      </c>
      <c r="AY245" s="2078">
        <f t="shared" si="446"/>
        <v>0</v>
      </c>
      <c r="AZ245" s="2078">
        <f t="shared" si="447"/>
        <v>0</v>
      </c>
      <c r="BA245" s="2078">
        <f t="shared" si="448"/>
        <v>0</v>
      </c>
      <c r="BB245" s="2078">
        <f t="shared" si="449"/>
        <v>0</v>
      </c>
      <c r="BC245" s="2078">
        <f t="shared" si="450"/>
        <v>0</v>
      </c>
      <c r="BD245" s="2078">
        <f t="shared" si="451"/>
        <v>0</v>
      </c>
      <c r="BE245" s="2078">
        <f t="shared" si="452"/>
        <v>0</v>
      </c>
      <c r="BF245" s="2078">
        <f t="shared" si="453"/>
        <v>0</v>
      </c>
      <c r="BG245" s="2078">
        <f t="shared" si="454"/>
        <v>0</v>
      </c>
      <c r="BH245" s="2078">
        <f t="shared" si="455"/>
        <v>0</v>
      </c>
      <c r="BI245" s="2078">
        <f t="shared" si="456"/>
        <v>0</v>
      </c>
      <c r="BJ245" s="2078">
        <f t="shared" si="457"/>
        <v>0</v>
      </c>
      <c r="BK245" s="2078">
        <f t="shared" si="458"/>
        <v>0</v>
      </c>
      <c r="BL245" s="2078">
        <f t="shared" si="459"/>
        <v>0</v>
      </c>
      <c r="BM245" s="2078">
        <f t="shared" si="460"/>
        <v>0</v>
      </c>
      <c r="BN245" s="2078">
        <f t="shared" si="461"/>
        <v>0</v>
      </c>
      <c r="BO245" s="2078">
        <f t="shared" si="462"/>
        <v>0</v>
      </c>
      <c r="BP245" s="2078">
        <f t="shared" si="463"/>
        <v>0</v>
      </c>
      <c r="BQ245" s="2078">
        <f t="shared" si="464"/>
        <v>0</v>
      </c>
      <c r="BR245" s="2078">
        <f t="shared" si="465"/>
        <v>0</v>
      </c>
      <c r="BS245" s="2079">
        <f t="shared" si="403"/>
        <v>1</v>
      </c>
      <c r="BT245" s="2079">
        <f t="shared" si="404"/>
        <v>0</v>
      </c>
      <c r="BU245" s="2079">
        <f t="shared" si="405"/>
        <v>0</v>
      </c>
      <c r="BV245" s="2079">
        <f t="shared" si="406"/>
        <v>0</v>
      </c>
      <c r="BW245" s="2079">
        <f t="shared" si="407"/>
        <v>0</v>
      </c>
      <c r="BX245" s="2079">
        <f t="shared" si="408"/>
        <v>0</v>
      </c>
      <c r="BY245" s="2079">
        <f t="shared" si="409"/>
        <v>0</v>
      </c>
      <c r="BZ245" s="2079">
        <f t="shared" si="410"/>
        <v>0</v>
      </c>
      <c r="CA245" s="2079">
        <f t="shared" si="411"/>
        <v>0</v>
      </c>
      <c r="CB245" s="2079">
        <f t="shared" si="412"/>
        <v>0</v>
      </c>
      <c r="CC245" s="2078">
        <f t="shared" ca="1" si="466"/>
        <v>0</v>
      </c>
      <c r="CD245" s="2078">
        <f t="shared" ca="1" si="467"/>
        <v>0</v>
      </c>
      <c r="CE245" s="2078">
        <f t="shared" ca="1" si="468"/>
        <v>0</v>
      </c>
      <c r="CF245" s="2078">
        <f t="shared" ca="1" si="469"/>
        <v>0</v>
      </c>
      <c r="CG245" s="2078">
        <f t="shared" ca="1" si="470"/>
        <v>0</v>
      </c>
      <c r="CH245" s="2078">
        <f t="shared" ca="1" si="471"/>
        <v>0</v>
      </c>
      <c r="CI245" s="2078">
        <f t="shared" ca="1" si="472"/>
        <v>0</v>
      </c>
      <c r="CJ245" s="2078">
        <f t="shared" ca="1" si="473"/>
        <v>0</v>
      </c>
      <c r="CK245" s="2078">
        <f t="shared" ca="1" si="474"/>
        <v>0</v>
      </c>
      <c r="CL245" s="2078">
        <f t="shared" ca="1" si="475"/>
        <v>0</v>
      </c>
      <c r="CM245" s="2078">
        <f t="shared" si="413"/>
        <v>1</v>
      </c>
      <c r="CN245" s="2078">
        <f t="shared" si="414"/>
        <v>1</v>
      </c>
      <c r="CO245" s="2078">
        <f t="shared" si="415"/>
        <v>1</v>
      </c>
      <c r="CP245" s="2078">
        <f t="shared" si="478"/>
        <v>1</v>
      </c>
      <c r="CQ245" s="2078">
        <f t="shared" si="416"/>
        <v>0</v>
      </c>
      <c r="CR245" s="2078">
        <f t="shared" si="879"/>
        <v>0</v>
      </c>
      <c r="CS245" s="2078">
        <f t="shared" si="479"/>
        <v>0</v>
      </c>
      <c r="CT245" s="2078">
        <f t="shared" si="418"/>
        <v>1</v>
      </c>
      <c r="CU245" s="2078">
        <f t="shared" si="480"/>
        <v>1</v>
      </c>
      <c r="CV245" s="2078">
        <f t="shared" si="419"/>
        <v>0</v>
      </c>
      <c r="CW245" s="2078">
        <f>IF(OR(AE245&lt;&gt;3,F245="Exclude"),0,IF(ISERROR(MATCH($E245,'4 Sign-off'!$S$123:$X$123,0)),0,1))</f>
        <v>0</v>
      </c>
      <c r="CX245" s="2078">
        <f t="shared" ref="CX245:CX276" si="883">IF($C$7&lt;&gt;"B",1,CHOOSE($CX$163,CW245,CS245+CV245,CS245,CV245))</f>
        <v>0</v>
      </c>
      <c r="CY245" s="2078">
        <f t="shared" si="420"/>
        <v>0</v>
      </c>
      <c r="CZ245" s="2993">
        <f t="shared" ca="1" si="880"/>
        <v>0</v>
      </c>
      <c r="DA245" s="3037">
        <f t="shared" ca="1" si="881"/>
        <v>0</v>
      </c>
      <c r="DB245" s="1664"/>
      <c r="DC245" s="1320"/>
      <c r="DD245" s="589"/>
      <c r="DE245" s="1321"/>
      <c r="DF245" s="107"/>
      <c r="DG245" s="112"/>
      <c r="DH245" s="140"/>
      <c r="DI245" s="22"/>
      <c r="DJ245" s="145"/>
      <c r="DK245" s="137"/>
      <c r="DL245" s="137"/>
      <c r="DM245" s="137"/>
      <c r="DN245" s="137"/>
      <c r="DO245" s="137"/>
      <c r="DP245" s="137"/>
      <c r="DQ245" s="137"/>
      <c r="DR245" s="137"/>
      <c r="DS245" s="137"/>
      <c r="DT245" s="137"/>
      <c r="DU245" s="137"/>
      <c r="DV245" s="137"/>
      <c r="DW245" s="137"/>
      <c r="DX245" s="137"/>
      <c r="DY245" s="137"/>
      <c r="DZ245" s="137"/>
      <c r="EA245" s="137"/>
      <c r="EB245" s="137"/>
      <c r="EC245" s="137"/>
      <c r="ED245" s="137"/>
      <c r="EE245" s="137"/>
      <c r="EF245" s="137"/>
      <c r="EG245" s="137"/>
      <c r="EH245" s="137"/>
      <c r="EI245" s="137"/>
      <c r="EJ245" s="137"/>
      <c r="EK245" s="137"/>
      <c r="EL245" s="137"/>
      <c r="EM245" s="137"/>
      <c r="EN245" s="137"/>
      <c r="EO245" s="137"/>
      <c r="EP245" s="137"/>
      <c r="EQ245" s="137"/>
      <c r="ER245" s="137"/>
      <c r="ES245" s="137"/>
      <c r="ET245" s="137"/>
      <c r="EU245" s="137"/>
      <c r="EV245" s="137"/>
      <c r="EW245" s="137"/>
      <c r="EX245" s="137"/>
      <c r="EY245" s="137"/>
      <c r="EZ245" s="137"/>
      <c r="FA245" s="137"/>
      <c r="FB245" s="137"/>
      <c r="FC245" s="137"/>
      <c r="FD245" s="137"/>
      <c r="FE245" s="137"/>
      <c r="FF245" s="137"/>
      <c r="FG245" s="860"/>
      <c r="FH245" s="863"/>
      <c r="FI245" s="1318"/>
      <c r="FJ245" s="126"/>
      <c r="FK245" s="127"/>
      <c r="FL245" s="128" t="str">
        <f t="shared" si="485"/>
        <v xml:space="preserve">    </v>
      </c>
      <c r="FM245" s="128"/>
      <c r="FN245" s="1686">
        <f t="shared" si="486"/>
        <v>0</v>
      </c>
      <c r="FO245" s="46">
        <f t="shared" si="421"/>
        <v>0</v>
      </c>
      <c r="FP245" s="46">
        <f t="shared" si="422"/>
        <v>1</v>
      </c>
      <c r="FQ245" s="75">
        <f t="shared" si="489"/>
        <v>0</v>
      </c>
      <c r="FR245" s="46">
        <f t="shared" si="873"/>
        <v>0</v>
      </c>
      <c r="FS245" s="46">
        <f t="shared" si="874"/>
        <v>1</v>
      </c>
      <c r="FT245" s="75">
        <f t="shared" si="492"/>
        <v>0</v>
      </c>
      <c r="FU245" s="2603">
        <f t="shared" si="423"/>
        <v>0</v>
      </c>
      <c r="FV245" s="2607">
        <f t="shared" si="424"/>
        <v>0</v>
      </c>
      <c r="FW245" s="2603">
        <f t="shared" si="425"/>
        <v>0</v>
      </c>
      <c r="FX245" s="2631">
        <f t="shared" si="426"/>
        <v>0</v>
      </c>
      <c r="FY245" s="81" t="e">
        <f t="shared" si="875"/>
        <v>#N/A</v>
      </c>
      <c r="FZ245" s="64" t="e">
        <f t="array" ref="FZ245">MATCH(1,($GT245:$LQ245&gt;0)*$GT$25:$LQ$25,0)</f>
        <v>#N/A</v>
      </c>
      <c r="GA245" s="64" t="e">
        <f t="array" ref="GA245">MATCH(2,1/(GT245:LQ245&gt;0))</f>
        <v>#N/A</v>
      </c>
      <c r="GB245" s="64">
        <f t="shared" si="497"/>
        <v>-1</v>
      </c>
      <c r="GC245" s="46"/>
      <c r="GD245" s="613"/>
      <c r="GE245" s="613"/>
      <c r="GF245" s="613"/>
      <c r="GG245" s="613"/>
      <c r="GH245" s="613"/>
      <c r="GI245" s="613"/>
      <c r="GJ245" s="613"/>
      <c r="GK245" s="613"/>
      <c r="GL245" s="613"/>
      <c r="GM245" s="613"/>
      <c r="GN245" s="385">
        <f t="shared" ref="GN245:GN276" si="884">IF(ISERROR(FZ245),0,CHOOSE($FM$5,(FZ245*7)+$GT$170-11,EOMONTH($GT$170,FZ245-2)+1))</f>
        <v>0</v>
      </c>
      <c r="GO245" s="386">
        <f t="shared" ref="GO245:GO276" si="885">IF(ISERROR(FY245),0,CHOOSE($FM$5,(FY245*7)+$GT$170-7,EOMONTH($GT$170,FY245-1)))</f>
        <v>0</v>
      </c>
      <c r="GP245" s="2635"/>
      <c r="GQ245" s="175"/>
      <c r="GR245" s="172"/>
      <c r="GS245" s="65"/>
      <c r="GT245" s="167"/>
      <c r="GU245" s="168"/>
      <c r="GV245" s="168"/>
      <c r="GW245" s="168"/>
      <c r="GX245" s="168"/>
      <c r="GY245" s="168"/>
      <c r="GZ245" s="168"/>
      <c r="HA245" s="168"/>
      <c r="HB245" s="168"/>
      <c r="HC245" s="168"/>
      <c r="HD245" s="168"/>
      <c r="HE245" s="168"/>
      <c r="HF245" s="168"/>
      <c r="HG245" s="168"/>
      <c r="HH245" s="168"/>
      <c r="HI245" s="168"/>
      <c r="HJ245" s="168"/>
      <c r="HK245" s="168"/>
      <c r="HL245" s="168"/>
      <c r="HM245" s="168"/>
      <c r="HN245" s="168"/>
      <c r="HO245" s="168"/>
      <c r="HP245" s="168"/>
      <c r="HQ245" s="168"/>
      <c r="HR245" s="168"/>
      <c r="HS245" s="168"/>
      <c r="HT245" s="168"/>
      <c r="HU245" s="168"/>
      <c r="HV245" s="168"/>
      <c r="HW245" s="168"/>
      <c r="HX245" s="168"/>
      <c r="HY245" s="168"/>
      <c r="HZ245" s="168"/>
      <c r="IA245" s="168"/>
      <c r="IB245" s="168"/>
      <c r="IC245" s="168"/>
      <c r="ID245" s="168"/>
      <c r="IE245" s="168"/>
      <c r="IF245" s="168"/>
      <c r="IG245" s="168"/>
      <c r="IH245" s="168"/>
      <c r="II245" s="168"/>
      <c r="IJ245" s="168"/>
      <c r="IK245" s="168"/>
      <c r="IL245" s="168"/>
      <c r="IM245" s="168"/>
      <c r="IN245" s="168"/>
      <c r="IO245" s="168"/>
      <c r="IP245" s="168"/>
      <c r="IQ245" s="168"/>
      <c r="IR245" s="168"/>
      <c r="IS245" s="168"/>
      <c r="IT245" s="168"/>
      <c r="IU245" s="168"/>
      <c r="IV245" s="168"/>
      <c r="IW245" s="168"/>
      <c r="IX245" s="168"/>
      <c r="IY245" s="168"/>
      <c r="IZ245" s="168"/>
      <c r="JA245" s="168"/>
      <c r="JB245" s="168"/>
      <c r="JC245" s="168"/>
      <c r="JD245" s="168"/>
      <c r="JE245" s="168"/>
      <c r="JF245" s="168"/>
      <c r="JG245" s="168"/>
      <c r="JH245" s="168"/>
      <c r="JI245" s="168"/>
      <c r="JJ245" s="168"/>
      <c r="JK245" s="168"/>
      <c r="JL245" s="168"/>
      <c r="JM245" s="168"/>
      <c r="JN245" s="168"/>
      <c r="JO245" s="168"/>
      <c r="JP245" s="168"/>
      <c r="JQ245" s="168"/>
      <c r="JR245" s="168"/>
      <c r="JS245" s="168"/>
      <c r="JT245" s="168"/>
      <c r="JU245" s="168"/>
      <c r="JV245" s="168"/>
      <c r="JW245" s="168"/>
      <c r="JX245" s="168"/>
      <c r="JY245" s="168"/>
      <c r="JZ245" s="168"/>
      <c r="KA245" s="168"/>
      <c r="KB245" s="168"/>
      <c r="KC245" s="168"/>
      <c r="KD245" s="168"/>
      <c r="KE245" s="168"/>
      <c r="KF245" s="168"/>
      <c r="KG245" s="168"/>
      <c r="KH245" s="168"/>
      <c r="KI245" s="168"/>
      <c r="KJ245" s="168"/>
      <c r="KK245" s="168"/>
      <c r="KL245" s="168"/>
      <c r="KM245" s="168"/>
      <c r="KN245" s="168"/>
      <c r="KO245" s="168"/>
      <c r="KP245" s="168"/>
      <c r="KQ245" s="168"/>
      <c r="KR245" s="168"/>
      <c r="KS245" s="168"/>
      <c r="KT245" s="168"/>
      <c r="KU245" s="168"/>
      <c r="KV245" s="168"/>
      <c r="KW245" s="168"/>
      <c r="KX245" s="168"/>
      <c r="KY245" s="168"/>
      <c r="KZ245" s="168"/>
      <c r="LA245" s="168"/>
      <c r="LB245" s="168"/>
      <c r="LC245" s="168"/>
      <c r="LD245" s="168"/>
      <c r="LE245" s="168"/>
      <c r="LF245" s="168"/>
      <c r="LG245" s="168"/>
      <c r="LH245" s="168"/>
      <c r="LI245" s="168"/>
      <c r="LJ245" s="168"/>
      <c r="LK245" s="168"/>
      <c r="LL245" s="168"/>
      <c r="LM245" s="168"/>
      <c r="LN245" s="168"/>
      <c r="LO245" s="168"/>
      <c r="LP245" s="606"/>
      <c r="LQ245" s="609"/>
      <c r="LR245" s="1319"/>
      <c r="LS245" s="1319"/>
    </row>
    <row r="246" spans="1:331" s="2" customFormat="1" ht="15" customHeight="1" x14ac:dyDescent="0.25">
      <c r="A246" s="283"/>
      <c r="B246" s="303"/>
      <c r="C246" s="301"/>
      <c r="D246" s="1287"/>
      <c r="E246" s="2298"/>
      <c r="F246" s="1812"/>
      <c r="G246" s="3342"/>
      <c r="H246" s="66"/>
      <c r="I246" s="1746"/>
      <c r="J246" s="1214"/>
      <c r="K246" s="105"/>
      <c r="L246" s="91"/>
      <c r="M246" s="92"/>
      <c r="N246" s="93"/>
      <c r="O246" s="94"/>
      <c r="P246" s="96"/>
      <c r="Q246" s="95"/>
      <c r="R246" s="993">
        <f t="shared" si="876"/>
        <v>0</v>
      </c>
      <c r="S246" s="23">
        <f t="shared" si="877"/>
        <v>0</v>
      </c>
      <c r="T246" s="24">
        <f t="shared" si="433"/>
        <v>0</v>
      </c>
      <c r="U246" s="24">
        <f t="shared" si="434"/>
        <v>0</v>
      </c>
      <c r="V246" s="24">
        <f t="shared" si="435"/>
        <v>0</v>
      </c>
      <c r="W246" s="24">
        <f t="shared" ca="1" si="436"/>
        <v>0</v>
      </c>
      <c r="X246" s="72">
        <f t="shared" ca="1" si="386"/>
        <v>0</v>
      </c>
      <c r="Y246" s="72">
        <f t="shared" si="437"/>
        <v>0</v>
      </c>
      <c r="Z246" s="24">
        <f t="shared" si="438"/>
        <v>0</v>
      </c>
      <c r="AA246" s="72">
        <f t="shared" si="387"/>
        <v>0</v>
      </c>
      <c r="AB246" s="24">
        <f t="shared" si="388"/>
        <v>0</v>
      </c>
      <c r="AC246" s="24">
        <f t="shared" ca="1" si="439"/>
        <v>0</v>
      </c>
      <c r="AD246" s="24">
        <f t="shared" ref="AD246:AD309" si="886">IF($AE246=3,SUMPRODUCT($DJ246:$FH246,$DJ$22:$FH$22)*AN246,0)</f>
        <v>0</v>
      </c>
      <c r="AE246" s="2078">
        <f t="shared" si="870"/>
        <v>3</v>
      </c>
      <c r="AF246" s="2078">
        <f t="shared" si="871"/>
        <v>0</v>
      </c>
      <c r="AG246" s="2078">
        <f t="shared" si="872"/>
        <v>0</v>
      </c>
      <c r="AH246" s="2521">
        <f t="shared" ref="AH246:AH309" si="887">IF(OR($G246="NB",AI246="R"),0,1)</f>
        <v>1</v>
      </c>
      <c r="AI246" s="25" t="str">
        <f t="shared" si="443"/>
        <v/>
      </c>
      <c r="AJ246" s="2521">
        <f t="shared" ca="1" si="882"/>
        <v>0</v>
      </c>
      <c r="AK246" s="2076">
        <f t="shared" ca="1" si="878"/>
        <v>0</v>
      </c>
      <c r="AL246" s="2078">
        <f>IF(ISBLANK(J246),0,ISERROR(MATCH(J246,'5  Control Accounts'!$FA$29:$FA$96,0))*1)</f>
        <v>0</v>
      </c>
      <c r="AM246" s="2076">
        <f t="shared" si="444"/>
        <v>0</v>
      </c>
      <c r="AN246" s="2078">
        <f t="shared" si="445"/>
        <v>1</v>
      </c>
      <c r="AO246" s="2079">
        <f t="shared" ref="AO246:AO309" si="888">IF($AE246=3,IFERROR(SUMIFS($GT246:$LQ246,$GT$168:$LQ$168,1,$GT$25:$LQ$25,1)/SUMIFS($GT246:$LQ246,$GT$25:$LQ$25,1),1),0)</f>
        <v>1</v>
      </c>
      <c r="AP246" s="2079">
        <f t="shared" ref="AP246:AP309" si="889">IF($AE246=3,IFERROR(SUMIFS($GT246:$LQ246,$GT$168:$LQ$168,2,$GT$25:$LQ$25,1)/SUMIFS($GT246:$LQ246,$GT$25:$LQ$25,1),0),0)</f>
        <v>0</v>
      </c>
      <c r="AQ246" s="2079">
        <f t="shared" ref="AQ246:AQ309" si="890">IF($AE246=3,IFERROR(SUMIFS($GT246:$LQ246,$GT$168:$LQ$168,3,$GT$25:$LQ$25,1)/SUMIFS($GT246:$LQ246,$GT$25:$LQ$25,1),0),0)</f>
        <v>0</v>
      </c>
      <c r="AR246" s="2079">
        <f t="shared" ref="AR246:AR309" si="891">IF($AE246=3,IFERROR(SUMIFS($GT246:$LQ246,$GT$168:$LQ$168,4,$GT$25:$LQ$25,1)/SUMIFS($GT246:$LQ246,$GT$25:$LQ$25,1),0),0)</f>
        <v>0</v>
      </c>
      <c r="AS246" s="2079">
        <f t="shared" ref="AS246:AS309" si="892">IF($AE246=3,IFERROR(SUMIFS($GT246:$LQ246,$GT$168:$LQ$168,5,$GT$25:$LQ$25,1)/SUMIFS($GT246:$LQ246,$GT$25:$LQ$25,1),0),0)</f>
        <v>0</v>
      </c>
      <c r="AT246" s="2079">
        <f t="shared" ref="AT246:AT309" si="893">IF($AE246=3,IFERROR(SUMIFS($GT246:$LQ246,$GT$168:$LQ$168,6,$GT$25:$LQ$25,1)/SUMIFS($GT246:$LQ246,$GT$25:$LQ$25,1),0),0)</f>
        <v>0</v>
      </c>
      <c r="AU246" s="2079">
        <f t="shared" ref="AU246:AU309" si="894">IF($AE246=3,IFERROR(SUMIFS($GT246:$LQ246,$GT$168:$LQ$168,7,$GT$25:$LQ$25,1)/SUMIFS($GT246:$LQ246,$GT$25:$LQ$25,1),0),0)</f>
        <v>0</v>
      </c>
      <c r="AV246" s="2079">
        <f t="shared" ref="AV246:AV309" si="895">IF($AE246=3,IFERROR(SUMIFS($GT246:$LQ246,$GT$168:$LQ$168,8,$GT$25:$LQ$25,1)/SUMIFS($GT246:$LQ246,$GT$25:$LQ$25,1),0),0)</f>
        <v>0</v>
      </c>
      <c r="AW246" s="2079">
        <f t="shared" ref="AW246:AW309" si="896">IF($AE246=3,IFERROR(SUMIFS($GT246:$LQ246,$GT$168:$LQ$168,9,$GT$25:$LQ$25,1)/SUMIFS($GT246:$LQ246,$GT$25:$LQ$25,1),0),0)</f>
        <v>0</v>
      </c>
      <c r="AX246" s="2079">
        <f t="shared" ref="AX246:AX309" si="897">IF($AE246=3,IFERROR(SUMIFS($GT246:$LQ246,$GT$168:$LQ$168,10,$GT$25:$LQ$25,1)/SUMIFS($GT246:$LQ246,$GT$25:$LQ$25,1),0),0)</f>
        <v>0</v>
      </c>
      <c r="AY246" s="2078">
        <f t="shared" si="446"/>
        <v>0</v>
      </c>
      <c r="AZ246" s="2078">
        <f t="shared" si="447"/>
        <v>0</v>
      </c>
      <c r="BA246" s="2078">
        <f t="shared" si="448"/>
        <v>0</v>
      </c>
      <c r="BB246" s="2078">
        <f t="shared" si="449"/>
        <v>0</v>
      </c>
      <c r="BC246" s="2078">
        <f t="shared" si="450"/>
        <v>0</v>
      </c>
      <c r="BD246" s="2078">
        <f t="shared" si="451"/>
        <v>0</v>
      </c>
      <c r="BE246" s="2078">
        <f t="shared" si="452"/>
        <v>0</v>
      </c>
      <c r="BF246" s="2078">
        <f t="shared" si="453"/>
        <v>0</v>
      </c>
      <c r="BG246" s="2078">
        <f t="shared" si="454"/>
        <v>0</v>
      </c>
      <c r="BH246" s="2078">
        <f t="shared" si="455"/>
        <v>0</v>
      </c>
      <c r="BI246" s="2078">
        <f t="shared" si="456"/>
        <v>0</v>
      </c>
      <c r="BJ246" s="2078">
        <f t="shared" si="457"/>
        <v>0</v>
      </c>
      <c r="BK246" s="2078">
        <f t="shared" si="458"/>
        <v>0</v>
      </c>
      <c r="BL246" s="2078">
        <f t="shared" si="459"/>
        <v>0</v>
      </c>
      <c r="BM246" s="2078">
        <f t="shared" si="460"/>
        <v>0</v>
      </c>
      <c r="BN246" s="2078">
        <f t="shared" si="461"/>
        <v>0</v>
      </c>
      <c r="BO246" s="2078">
        <f t="shared" si="462"/>
        <v>0</v>
      </c>
      <c r="BP246" s="2078">
        <f t="shared" si="463"/>
        <v>0</v>
      </c>
      <c r="BQ246" s="2078">
        <f t="shared" si="464"/>
        <v>0</v>
      </c>
      <c r="BR246" s="2078">
        <f t="shared" si="465"/>
        <v>0</v>
      </c>
      <c r="BS246" s="2079">
        <f t="shared" ref="BS246:BS309" si="898">IF($AE246=3,IFERROR(SUMIFS($GT246:$LQ246,$GT$167:$LQ$167,1,$GT$25:$LQ$25,1)/SUMIFS($GT246:$LQ246,$GT$25:$LQ$25,1),1),0)</f>
        <v>1</v>
      </c>
      <c r="BT246" s="2079">
        <f t="shared" ref="BT246:BT309" si="899">IF($AE246=3,IFERROR(SUMIFS($GT246:$LQ246,$GT$167:$LQ$167,2,$GT$25:$LQ$25,1)/SUMIFS($GT246:$LQ246,$GT$25:$LQ$25,1),0),0)</f>
        <v>0</v>
      </c>
      <c r="BU246" s="2079">
        <f t="shared" ref="BU246:BU309" si="900">IF($AE246=3,IFERROR(SUMIFS($GT246:$LQ246,$GT$167:$LQ$167,3,$GT$25:$LQ$25,1)/SUMIFS($GT246:$LQ246,$GT$25:$LQ$25,1),0),0)</f>
        <v>0</v>
      </c>
      <c r="BV246" s="2079">
        <f t="shared" ref="BV246:BV309" si="901">IF($AE246=3,IFERROR(SUMIFS($GT246:$LQ246,$GT$167:$LQ$167,4,$GT$25:$LQ$25,1)/SUMIFS($GT246:$LQ246,$GT$25:$LQ$25,1),0),0)</f>
        <v>0</v>
      </c>
      <c r="BW246" s="2079">
        <f t="shared" ref="BW246:BW309" si="902">IF($AE246=3,IFERROR(SUMIFS($GT246:$LQ246,$GT$167:$LQ$167,5,$GT$25:$LQ$25,1)/SUMIFS($GT246:$LQ246,$GT$25:$LQ$25,1),0),0)</f>
        <v>0</v>
      </c>
      <c r="BX246" s="2079">
        <f t="shared" ref="BX246:BX309" si="903">IF($AE246=3,IFERROR(SUMIFS($GT246:$LQ246,$GT$167:$LQ$167,6,$GT$25:$LQ$25,1)/SUMIFS($GT246:$LQ246,$GT$25:$LQ$25,1),0),0)</f>
        <v>0</v>
      </c>
      <c r="BY246" s="2079">
        <f t="shared" ref="BY246:BY309" si="904">IF($AE246=3,IFERROR(SUMIFS($GT246:$LQ246,$GT$167:$LQ$167,7,$GT$25:$LQ$25,1)/SUMIFS($GT246:$LQ246,$GT$25:$LQ$25,1),0),0)</f>
        <v>0</v>
      </c>
      <c r="BZ246" s="2079">
        <f t="shared" ref="BZ246:BZ309" si="905">IF($AE246=3,IFERROR(SUMIFS($GT246:$LQ246,$GT$167:$LQ$167,8,$GT$25:$LQ$25,1)/SUMIFS($GT246:$LQ246,$GT$25:$LQ$25,1),0),0)</f>
        <v>0</v>
      </c>
      <c r="CA246" s="2079">
        <f t="shared" ref="CA246:CA309" si="906">IF($AE246=3,IFERROR(SUMIFS($GT246:$LQ246,$GT$167:$LQ$167,9,$GT$25:$LQ$25,1)/SUMIFS($GT246:$LQ246,$GT$25:$LQ$25,1),0),0)</f>
        <v>0</v>
      </c>
      <c r="CB246" s="2079">
        <f t="shared" ref="CB246:CB309" si="907">IF($AE246=3,IFERROR(SUMIFS($GT246:$LQ246,$GT$167:$LQ$167,10,$GT$25:$LQ$25,1)/SUMIFS($GT246:$LQ246,$GT$25:$LQ$25,1),0),0)</f>
        <v>0</v>
      </c>
      <c r="CC246" s="2078">
        <f t="shared" ca="1" si="466"/>
        <v>0</v>
      </c>
      <c r="CD246" s="2078">
        <f t="shared" ca="1" si="467"/>
        <v>0</v>
      </c>
      <c r="CE246" s="2078">
        <f t="shared" ca="1" si="468"/>
        <v>0</v>
      </c>
      <c r="CF246" s="2078">
        <f t="shared" ca="1" si="469"/>
        <v>0</v>
      </c>
      <c r="CG246" s="2078">
        <f t="shared" ca="1" si="470"/>
        <v>0</v>
      </c>
      <c r="CH246" s="2078">
        <f t="shared" ca="1" si="471"/>
        <v>0</v>
      </c>
      <c r="CI246" s="2078">
        <f t="shared" ca="1" si="472"/>
        <v>0</v>
      </c>
      <c r="CJ246" s="2078">
        <f t="shared" ca="1" si="473"/>
        <v>0</v>
      </c>
      <c r="CK246" s="2078">
        <f t="shared" ca="1" si="474"/>
        <v>0</v>
      </c>
      <c r="CL246" s="2078">
        <f t="shared" ca="1" si="475"/>
        <v>0</v>
      </c>
      <c r="CM246" s="2078">
        <f t="shared" si="413"/>
        <v>1</v>
      </c>
      <c r="CN246" s="2078">
        <f t="shared" si="414"/>
        <v>1</v>
      </c>
      <c r="CO246" s="2078">
        <f t="shared" si="415"/>
        <v>1</v>
      </c>
      <c r="CP246" s="2078">
        <f t="shared" si="478"/>
        <v>1</v>
      </c>
      <c r="CQ246" s="2078">
        <f t="shared" si="416"/>
        <v>0</v>
      </c>
      <c r="CR246" s="2078">
        <f t="shared" si="879"/>
        <v>0</v>
      </c>
      <c r="CS246" s="2078">
        <f t="shared" si="479"/>
        <v>0</v>
      </c>
      <c r="CT246" s="2078">
        <f t="shared" si="418"/>
        <v>1</v>
      </c>
      <c r="CU246" s="2078">
        <f t="shared" si="480"/>
        <v>1</v>
      </c>
      <c r="CV246" s="2078">
        <f t="shared" si="419"/>
        <v>0</v>
      </c>
      <c r="CW246" s="2078">
        <f>IF(OR(AE246&lt;&gt;3,F246="Exclude"),0,IF(ISERROR(MATCH($E246,'4 Sign-off'!$S$123:$X$123,0)),0,1))</f>
        <v>0</v>
      </c>
      <c r="CX246" s="2078">
        <f t="shared" si="883"/>
        <v>0</v>
      </c>
      <c r="CY246" s="2078">
        <f t="shared" si="420"/>
        <v>0</v>
      </c>
      <c r="CZ246" s="2993">
        <f t="shared" ca="1" si="880"/>
        <v>0</v>
      </c>
      <c r="DA246" s="3037">
        <f t="shared" ca="1" si="881"/>
        <v>0</v>
      </c>
      <c r="DB246" s="1664"/>
      <c r="DC246" s="1320"/>
      <c r="DD246" s="589"/>
      <c r="DE246" s="1321"/>
      <c r="DF246" s="107"/>
      <c r="DG246" s="112"/>
      <c r="DH246" s="140"/>
      <c r="DI246" s="22"/>
      <c r="DJ246" s="145"/>
      <c r="DK246" s="137"/>
      <c r="DL246" s="137"/>
      <c r="DM246" s="137"/>
      <c r="DN246" s="137"/>
      <c r="DO246" s="137"/>
      <c r="DP246" s="137"/>
      <c r="DQ246" s="137"/>
      <c r="DR246" s="137"/>
      <c r="DS246" s="137"/>
      <c r="DT246" s="137"/>
      <c r="DU246" s="137"/>
      <c r="DV246" s="137"/>
      <c r="DW246" s="137"/>
      <c r="DX246" s="137"/>
      <c r="DY246" s="137"/>
      <c r="DZ246" s="137"/>
      <c r="EA246" s="137"/>
      <c r="EB246" s="137"/>
      <c r="EC246" s="137"/>
      <c r="ED246" s="137"/>
      <c r="EE246" s="137"/>
      <c r="EF246" s="137"/>
      <c r="EG246" s="137"/>
      <c r="EH246" s="137"/>
      <c r="EI246" s="137"/>
      <c r="EJ246" s="137"/>
      <c r="EK246" s="137"/>
      <c r="EL246" s="137"/>
      <c r="EM246" s="137"/>
      <c r="EN246" s="137"/>
      <c r="EO246" s="137"/>
      <c r="EP246" s="137"/>
      <c r="EQ246" s="137"/>
      <c r="ER246" s="137"/>
      <c r="ES246" s="137"/>
      <c r="ET246" s="137"/>
      <c r="EU246" s="137"/>
      <c r="EV246" s="137"/>
      <c r="EW246" s="137"/>
      <c r="EX246" s="137"/>
      <c r="EY246" s="137"/>
      <c r="EZ246" s="137"/>
      <c r="FA246" s="137"/>
      <c r="FB246" s="137"/>
      <c r="FC246" s="137"/>
      <c r="FD246" s="137"/>
      <c r="FE246" s="137"/>
      <c r="FF246" s="137"/>
      <c r="FG246" s="860"/>
      <c r="FH246" s="863"/>
      <c r="FI246" s="1318"/>
      <c r="FJ246" s="126"/>
      <c r="FK246" s="127"/>
      <c r="FL246" s="128" t="str">
        <f t="shared" si="485"/>
        <v xml:space="preserve">    </v>
      </c>
      <c r="FM246" s="128"/>
      <c r="FN246" s="1686">
        <f t="shared" si="486"/>
        <v>0</v>
      </c>
      <c r="FO246" s="46">
        <f t="shared" si="421"/>
        <v>0</v>
      </c>
      <c r="FP246" s="46">
        <f t="shared" si="422"/>
        <v>1</v>
      </c>
      <c r="FQ246" s="75">
        <f t="shared" si="489"/>
        <v>0</v>
      </c>
      <c r="FR246" s="46">
        <f t="shared" si="873"/>
        <v>0</v>
      </c>
      <c r="FS246" s="46">
        <f t="shared" si="874"/>
        <v>1</v>
      </c>
      <c r="FT246" s="75">
        <f t="shared" si="492"/>
        <v>0</v>
      </c>
      <c r="FU246" s="2603">
        <f t="shared" si="423"/>
        <v>0</v>
      </c>
      <c r="FV246" s="2607">
        <f t="shared" si="424"/>
        <v>0</v>
      </c>
      <c r="FW246" s="2603">
        <f t="shared" si="425"/>
        <v>0</v>
      </c>
      <c r="FX246" s="2631">
        <f t="shared" si="426"/>
        <v>0</v>
      </c>
      <c r="FY246" s="81" t="e">
        <f t="shared" si="875"/>
        <v>#N/A</v>
      </c>
      <c r="FZ246" s="64" t="e">
        <f t="array" ref="FZ246">MATCH(1,($GT246:$LQ246&gt;0)*$GT$25:$LQ$25,0)</f>
        <v>#N/A</v>
      </c>
      <c r="GA246" s="64" t="e">
        <f t="array" ref="GA246">MATCH(2,1/(GT246:LQ246&gt;0))</f>
        <v>#N/A</v>
      </c>
      <c r="GB246" s="64">
        <f t="shared" si="497"/>
        <v>-1</v>
      </c>
      <c r="GC246" s="46"/>
      <c r="GD246" s="613"/>
      <c r="GE246" s="613"/>
      <c r="GF246" s="613"/>
      <c r="GG246" s="613"/>
      <c r="GH246" s="613"/>
      <c r="GI246" s="613"/>
      <c r="GJ246" s="613"/>
      <c r="GK246" s="613"/>
      <c r="GL246" s="613"/>
      <c r="GM246" s="613"/>
      <c r="GN246" s="385">
        <f t="shared" si="884"/>
        <v>0</v>
      </c>
      <c r="GO246" s="386">
        <f t="shared" si="885"/>
        <v>0</v>
      </c>
      <c r="GP246" s="2635"/>
      <c r="GQ246" s="175"/>
      <c r="GR246" s="172"/>
      <c r="GS246" s="65"/>
      <c r="GT246" s="167"/>
      <c r="GU246" s="168"/>
      <c r="GV246" s="168"/>
      <c r="GW246" s="168"/>
      <c r="GX246" s="168"/>
      <c r="GY246" s="168"/>
      <c r="GZ246" s="168"/>
      <c r="HA246" s="168"/>
      <c r="HB246" s="168"/>
      <c r="HC246" s="168"/>
      <c r="HD246" s="168"/>
      <c r="HE246" s="168"/>
      <c r="HF246" s="168"/>
      <c r="HG246" s="168"/>
      <c r="HH246" s="168"/>
      <c r="HI246" s="168"/>
      <c r="HJ246" s="168"/>
      <c r="HK246" s="168"/>
      <c r="HL246" s="168"/>
      <c r="HM246" s="168"/>
      <c r="HN246" s="168"/>
      <c r="HO246" s="168"/>
      <c r="HP246" s="168"/>
      <c r="HQ246" s="168"/>
      <c r="HR246" s="168"/>
      <c r="HS246" s="168"/>
      <c r="HT246" s="168"/>
      <c r="HU246" s="168"/>
      <c r="HV246" s="168"/>
      <c r="HW246" s="168"/>
      <c r="HX246" s="168"/>
      <c r="HY246" s="168"/>
      <c r="HZ246" s="168"/>
      <c r="IA246" s="168"/>
      <c r="IB246" s="168"/>
      <c r="IC246" s="168"/>
      <c r="ID246" s="168"/>
      <c r="IE246" s="168"/>
      <c r="IF246" s="168"/>
      <c r="IG246" s="168"/>
      <c r="IH246" s="168"/>
      <c r="II246" s="168"/>
      <c r="IJ246" s="168"/>
      <c r="IK246" s="168"/>
      <c r="IL246" s="168"/>
      <c r="IM246" s="168"/>
      <c r="IN246" s="168"/>
      <c r="IO246" s="168"/>
      <c r="IP246" s="168"/>
      <c r="IQ246" s="168"/>
      <c r="IR246" s="168"/>
      <c r="IS246" s="168"/>
      <c r="IT246" s="168"/>
      <c r="IU246" s="168"/>
      <c r="IV246" s="168"/>
      <c r="IW246" s="168"/>
      <c r="IX246" s="168"/>
      <c r="IY246" s="168"/>
      <c r="IZ246" s="168"/>
      <c r="JA246" s="168"/>
      <c r="JB246" s="168"/>
      <c r="JC246" s="168"/>
      <c r="JD246" s="168"/>
      <c r="JE246" s="168"/>
      <c r="JF246" s="168"/>
      <c r="JG246" s="168"/>
      <c r="JH246" s="168"/>
      <c r="JI246" s="168"/>
      <c r="JJ246" s="168"/>
      <c r="JK246" s="168"/>
      <c r="JL246" s="168"/>
      <c r="JM246" s="168"/>
      <c r="JN246" s="168"/>
      <c r="JO246" s="168"/>
      <c r="JP246" s="168"/>
      <c r="JQ246" s="168"/>
      <c r="JR246" s="168"/>
      <c r="JS246" s="168"/>
      <c r="JT246" s="168"/>
      <c r="JU246" s="168"/>
      <c r="JV246" s="168"/>
      <c r="JW246" s="168"/>
      <c r="JX246" s="168"/>
      <c r="JY246" s="168"/>
      <c r="JZ246" s="168"/>
      <c r="KA246" s="168"/>
      <c r="KB246" s="168"/>
      <c r="KC246" s="168"/>
      <c r="KD246" s="168"/>
      <c r="KE246" s="168"/>
      <c r="KF246" s="168"/>
      <c r="KG246" s="168"/>
      <c r="KH246" s="168"/>
      <c r="KI246" s="168"/>
      <c r="KJ246" s="168"/>
      <c r="KK246" s="168"/>
      <c r="KL246" s="168"/>
      <c r="KM246" s="168"/>
      <c r="KN246" s="168"/>
      <c r="KO246" s="168"/>
      <c r="KP246" s="168"/>
      <c r="KQ246" s="168"/>
      <c r="KR246" s="168"/>
      <c r="KS246" s="168"/>
      <c r="KT246" s="168"/>
      <c r="KU246" s="168"/>
      <c r="KV246" s="168"/>
      <c r="KW246" s="168"/>
      <c r="KX246" s="168"/>
      <c r="KY246" s="168"/>
      <c r="KZ246" s="168"/>
      <c r="LA246" s="168"/>
      <c r="LB246" s="168"/>
      <c r="LC246" s="168"/>
      <c r="LD246" s="168"/>
      <c r="LE246" s="168"/>
      <c r="LF246" s="168"/>
      <c r="LG246" s="168"/>
      <c r="LH246" s="168"/>
      <c r="LI246" s="168"/>
      <c r="LJ246" s="168"/>
      <c r="LK246" s="168"/>
      <c r="LL246" s="168"/>
      <c r="LM246" s="168"/>
      <c r="LN246" s="168"/>
      <c r="LO246" s="168"/>
      <c r="LP246" s="606"/>
      <c r="LQ246" s="609"/>
      <c r="LR246" s="1319"/>
      <c r="LS246" s="1319"/>
    </row>
    <row r="247" spans="1:331" s="2" customFormat="1" ht="15" customHeight="1" x14ac:dyDescent="0.25">
      <c r="A247" s="283"/>
      <c r="B247" s="303"/>
      <c r="C247" s="301"/>
      <c r="D247" s="1287"/>
      <c r="E247" s="2298"/>
      <c r="F247" s="1812"/>
      <c r="G247" s="3342"/>
      <c r="H247" s="66"/>
      <c r="I247" s="1746"/>
      <c r="J247" s="1214"/>
      <c r="K247" s="105"/>
      <c r="L247" s="91"/>
      <c r="M247" s="92"/>
      <c r="N247" s="93"/>
      <c r="O247" s="94"/>
      <c r="P247" s="96"/>
      <c r="Q247" s="95"/>
      <c r="R247" s="993">
        <f t="shared" si="876"/>
        <v>0</v>
      </c>
      <c r="S247" s="23">
        <f t="shared" si="877"/>
        <v>0</v>
      </c>
      <c r="T247" s="24">
        <f t="shared" si="433"/>
        <v>0</v>
      </c>
      <c r="U247" s="24">
        <f t="shared" si="434"/>
        <v>0</v>
      </c>
      <c r="V247" s="24">
        <f t="shared" si="435"/>
        <v>0</v>
      </c>
      <c r="W247" s="24">
        <f t="shared" ca="1" si="436"/>
        <v>0</v>
      </c>
      <c r="X247" s="72">
        <f t="shared" ca="1" si="386"/>
        <v>0</v>
      </c>
      <c r="Y247" s="72">
        <f t="shared" si="437"/>
        <v>0</v>
      </c>
      <c r="Z247" s="24">
        <f t="shared" si="438"/>
        <v>0</v>
      </c>
      <c r="AA247" s="72">
        <f t="shared" si="387"/>
        <v>0</v>
      </c>
      <c r="AB247" s="24">
        <f t="shared" si="388"/>
        <v>0</v>
      </c>
      <c r="AC247" s="24">
        <f t="shared" ca="1" si="439"/>
        <v>0</v>
      </c>
      <c r="AD247" s="24">
        <f t="shared" si="886"/>
        <v>0</v>
      </c>
      <c r="AE247" s="2078">
        <f t="shared" si="870"/>
        <v>3</v>
      </c>
      <c r="AF247" s="2078">
        <f t="shared" si="871"/>
        <v>0</v>
      </c>
      <c r="AG247" s="2078">
        <f t="shared" si="872"/>
        <v>0</v>
      </c>
      <c r="AH247" s="2521">
        <f t="shared" si="887"/>
        <v>1</v>
      </c>
      <c r="AI247" s="25" t="str">
        <f t="shared" si="443"/>
        <v/>
      </c>
      <c r="AJ247" s="2521">
        <f t="shared" ca="1" si="882"/>
        <v>0</v>
      </c>
      <c r="AK247" s="2076">
        <f t="shared" ca="1" si="878"/>
        <v>0</v>
      </c>
      <c r="AL247" s="2078">
        <f>IF(ISBLANK(J247),0,ISERROR(MATCH(J247,'5  Control Accounts'!$FA$29:$FA$96,0))*1)</f>
        <v>0</v>
      </c>
      <c r="AM247" s="2076">
        <f t="shared" si="444"/>
        <v>0</v>
      </c>
      <c r="AN247" s="2078">
        <f t="shared" si="445"/>
        <v>1</v>
      </c>
      <c r="AO247" s="2079">
        <f t="shared" si="888"/>
        <v>1</v>
      </c>
      <c r="AP247" s="2079">
        <f t="shared" si="889"/>
        <v>0</v>
      </c>
      <c r="AQ247" s="2079">
        <f t="shared" si="890"/>
        <v>0</v>
      </c>
      <c r="AR247" s="2079">
        <f t="shared" si="891"/>
        <v>0</v>
      </c>
      <c r="AS247" s="2079">
        <f t="shared" si="892"/>
        <v>0</v>
      </c>
      <c r="AT247" s="2079">
        <f t="shared" si="893"/>
        <v>0</v>
      </c>
      <c r="AU247" s="2079">
        <f t="shared" si="894"/>
        <v>0</v>
      </c>
      <c r="AV247" s="2079">
        <f t="shared" si="895"/>
        <v>0</v>
      </c>
      <c r="AW247" s="2079">
        <f t="shared" si="896"/>
        <v>0</v>
      </c>
      <c r="AX247" s="2079">
        <f t="shared" si="897"/>
        <v>0</v>
      </c>
      <c r="AY247" s="2078">
        <f t="shared" si="446"/>
        <v>0</v>
      </c>
      <c r="AZ247" s="2078">
        <f t="shared" si="447"/>
        <v>0</v>
      </c>
      <c r="BA247" s="2078">
        <f t="shared" si="448"/>
        <v>0</v>
      </c>
      <c r="BB247" s="2078">
        <f t="shared" si="449"/>
        <v>0</v>
      </c>
      <c r="BC247" s="2078">
        <f t="shared" si="450"/>
        <v>0</v>
      </c>
      <c r="BD247" s="2078">
        <f t="shared" si="451"/>
        <v>0</v>
      </c>
      <c r="BE247" s="2078">
        <f t="shared" si="452"/>
        <v>0</v>
      </c>
      <c r="BF247" s="2078">
        <f t="shared" si="453"/>
        <v>0</v>
      </c>
      <c r="BG247" s="2078">
        <f t="shared" si="454"/>
        <v>0</v>
      </c>
      <c r="BH247" s="2078">
        <f t="shared" si="455"/>
        <v>0</v>
      </c>
      <c r="BI247" s="2078">
        <f t="shared" si="456"/>
        <v>0</v>
      </c>
      <c r="BJ247" s="2078">
        <f t="shared" si="457"/>
        <v>0</v>
      </c>
      <c r="BK247" s="2078">
        <f t="shared" si="458"/>
        <v>0</v>
      </c>
      <c r="BL247" s="2078">
        <f t="shared" si="459"/>
        <v>0</v>
      </c>
      <c r="BM247" s="2078">
        <f t="shared" si="460"/>
        <v>0</v>
      </c>
      <c r="BN247" s="2078">
        <f t="shared" si="461"/>
        <v>0</v>
      </c>
      <c r="BO247" s="2078">
        <f t="shared" si="462"/>
        <v>0</v>
      </c>
      <c r="BP247" s="2078">
        <f t="shared" si="463"/>
        <v>0</v>
      </c>
      <c r="BQ247" s="2078">
        <f t="shared" si="464"/>
        <v>0</v>
      </c>
      <c r="BR247" s="2078">
        <f t="shared" si="465"/>
        <v>0</v>
      </c>
      <c r="BS247" s="2079">
        <f t="shared" si="898"/>
        <v>1</v>
      </c>
      <c r="BT247" s="2079">
        <f t="shared" si="899"/>
        <v>0</v>
      </c>
      <c r="BU247" s="2079">
        <f t="shared" si="900"/>
        <v>0</v>
      </c>
      <c r="BV247" s="2079">
        <f t="shared" si="901"/>
        <v>0</v>
      </c>
      <c r="BW247" s="2079">
        <f t="shared" si="902"/>
        <v>0</v>
      </c>
      <c r="BX247" s="2079">
        <f t="shared" si="903"/>
        <v>0</v>
      </c>
      <c r="BY247" s="2079">
        <f t="shared" si="904"/>
        <v>0</v>
      </c>
      <c r="BZ247" s="2079">
        <f t="shared" si="905"/>
        <v>0</v>
      </c>
      <c r="CA247" s="2079">
        <f t="shared" si="906"/>
        <v>0</v>
      </c>
      <c r="CB247" s="2079">
        <f t="shared" si="907"/>
        <v>0</v>
      </c>
      <c r="CC247" s="2078">
        <f t="shared" ca="1" si="466"/>
        <v>0</v>
      </c>
      <c r="CD247" s="2078">
        <f t="shared" ca="1" si="467"/>
        <v>0</v>
      </c>
      <c r="CE247" s="2078">
        <f t="shared" ca="1" si="468"/>
        <v>0</v>
      </c>
      <c r="CF247" s="2078">
        <f t="shared" ca="1" si="469"/>
        <v>0</v>
      </c>
      <c r="CG247" s="2078">
        <f t="shared" ca="1" si="470"/>
        <v>0</v>
      </c>
      <c r="CH247" s="2078">
        <f t="shared" ca="1" si="471"/>
        <v>0</v>
      </c>
      <c r="CI247" s="2078">
        <f t="shared" ca="1" si="472"/>
        <v>0</v>
      </c>
      <c r="CJ247" s="2078">
        <f t="shared" ca="1" si="473"/>
        <v>0</v>
      </c>
      <c r="CK247" s="2078">
        <f t="shared" ca="1" si="474"/>
        <v>0</v>
      </c>
      <c r="CL247" s="2078">
        <f t="shared" ca="1" si="475"/>
        <v>0</v>
      </c>
      <c r="CM247" s="2078">
        <f t="shared" si="413"/>
        <v>1</v>
      </c>
      <c r="CN247" s="2078">
        <f t="shared" si="414"/>
        <v>1</v>
      </c>
      <c r="CO247" s="2078">
        <f t="shared" si="415"/>
        <v>1</v>
      </c>
      <c r="CP247" s="2078">
        <f t="shared" si="478"/>
        <v>1</v>
      </c>
      <c r="CQ247" s="2078">
        <f t="shared" si="416"/>
        <v>0</v>
      </c>
      <c r="CR247" s="2078">
        <f t="shared" si="879"/>
        <v>0</v>
      </c>
      <c r="CS247" s="2078">
        <f t="shared" si="479"/>
        <v>0</v>
      </c>
      <c r="CT247" s="2078">
        <f t="shared" si="418"/>
        <v>1</v>
      </c>
      <c r="CU247" s="2078">
        <f t="shared" si="480"/>
        <v>1</v>
      </c>
      <c r="CV247" s="2078">
        <f t="shared" si="419"/>
        <v>0</v>
      </c>
      <c r="CW247" s="2078">
        <f>IF(OR(AE247&lt;&gt;3,F247="Exclude"),0,IF(ISERROR(MATCH($E247,'4 Sign-off'!$S$123:$X$123,0)),0,1))</f>
        <v>0</v>
      </c>
      <c r="CX247" s="2078">
        <f t="shared" si="883"/>
        <v>0</v>
      </c>
      <c r="CY247" s="2078">
        <f t="shared" si="420"/>
        <v>0</v>
      </c>
      <c r="CZ247" s="2993">
        <f t="shared" ca="1" si="880"/>
        <v>0</v>
      </c>
      <c r="DA247" s="3037">
        <f t="shared" ca="1" si="881"/>
        <v>0</v>
      </c>
      <c r="DB247" s="1664"/>
      <c r="DC247" s="1320"/>
      <c r="DD247" s="589"/>
      <c r="DE247" s="1321"/>
      <c r="DF247" s="107"/>
      <c r="DG247" s="112"/>
      <c r="DH247" s="140"/>
      <c r="DI247" s="22"/>
      <c r="DJ247" s="145"/>
      <c r="DK247" s="137"/>
      <c r="DL247" s="137"/>
      <c r="DM247" s="137"/>
      <c r="DN247" s="137"/>
      <c r="DO247" s="137"/>
      <c r="DP247" s="137"/>
      <c r="DQ247" s="137"/>
      <c r="DR247" s="137"/>
      <c r="DS247" s="137"/>
      <c r="DT247" s="137"/>
      <c r="DU247" s="137"/>
      <c r="DV247" s="137"/>
      <c r="DW247" s="137"/>
      <c r="DX247" s="137"/>
      <c r="DY247" s="137"/>
      <c r="DZ247" s="137"/>
      <c r="EA247" s="137"/>
      <c r="EB247" s="137"/>
      <c r="EC247" s="137"/>
      <c r="ED247" s="137"/>
      <c r="EE247" s="137"/>
      <c r="EF247" s="137"/>
      <c r="EG247" s="137"/>
      <c r="EH247" s="137"/>
      <c r="EI247" s="137"/>
      <c r="EJ247" s="137"/>
      <c r="EK247" s="137"/>
      <c r="EL247" s="137"/>
      <c r="EM247" s="137"/>
      <c r="EN247" s="137"/>
      <c r="EO247" s="137"/>
      <c r="EP247" s="137"/>
      <c r="EQ247" s="137"/>
      <c r="ER247" s="137"/>
      <c r="ES247" s="137"/>
      <c r="ET247" s="137"/>
      <c r="EU247" s="137"/>
      <c r="EV247" s="137"/>
      <c r="EW247" s="137"/>
      <c r="EX247" s="137"/>
      <c r="EY247" s="137"/>
      <c r="EZ247" s="137"/>
      <c r="FA247" s="137"/>
      <c r="FB247" s="137"/>
      <c r="FC247" s="137"/>
      <c r="FD247" s="137"/>
      <c r="FE247" s="137"/>
      <c r="FF247" s="137"/>
      <c r="FG247" s="860"/>
      <c r="FH247" s="863"/>
      <c r="FI247" s="1318"/>
      <c r="FJ247" s="126"/>
      <c r="FK247" s="127"/>
      <c r="FL247" s="128" t="str">
        <f t="shared" si="485"/>
        <v xml:space="preserve">    </v>
      </c>
      <c r="FM247" s="128"/>
      <c r="FN247" s="1686">
        <f t="shared" si="486"/>
        <v>0</v>
      </c>
      <c r="FO247" s="46">
        <f t="shared" si="421"/>
        <v>0</v>
      </c>
      <c r="FP247" s="46">
        <f t="shared" si="422"/>
        <v>1</v>
      </c>
      <c r="FQ247" s="75">
        <f t="shared" si="489"/>
        <v>0</v>
      </c>
      <c r="FR247" s="46">
        <f t="shared" si="873"/>
        <v>0</v>
      </c>
      <c r="FS247" s="46">
        <f t="shared" si="874"/>
        <v>1</v>
      </c>
      <c r="FT247" s="75">
        <f t="shared" si="492"/>
        <v>0</v>
      </c>
      <c r="FU247" s="2603">
        <f t="shared" si="423"/>
        <v>0</v>
      </c>
      <c r="FV247" s="2607">
        <f t="shared" si="424"/>
        <v>0</v>
      </c>
      <c r="FW247" s="2603">
        <f t="shared" si="425"/>
        <v>0</v>
      </c>
      <c r="FX247" s="2631">
        <f t="shared" si="426"/>
        <v>0</v>
      </c>
      <c r="FY247" s="81" t="e">
        <f t="shared" si="875"/>
        <v>#N/A</v>
      </c>
      <c r="FZ247" s="64" t="e">
        <f t="array" ref="FZ247">MATCH(1,($GT247:$LQ247&gt;0)*$GT$25:$LQ$25,0)</f>
        <v>#N/A</v>
      </c>
      <c r="GA247" s="64" t="e">
        <f t="array" ref="GA247">MATCH(2,1/(GT247:LQ247&gt;0))</f>
        <v>#N/A</v>
      </c>
      <c r="GB247" s="64">
        <f t="shared" si="497"/>
        <v>-1</v>
      </c>
      <c r="GC247" s="46"/>
      <c r="GD247" s="613"/>
      <c r="GE247" s="613"/>
      <c r="GF247" s="613"/>
      <c r="GG247" s="613"/>
      <c r="GH247" s="613"/>
      <c r="GI247" s="613"/>
      <c r="GJ247" s="613"/>
      <c r="GK247" s="613"/>
      <c r="GL247" s="613"/>
      <c r="GM247" s="613"/>
      <c r="GN247" s="385">
        <f t="shared" si="884"/>
        <v>0</v>
      </c>
      <c r="GO247" s="386">
        <f t="shared" si="885"/>
        <v>0</v>
      </c>
      <c r="GP247" s="2635"/>
      <c r="GQ247" s="175"/>
      <c r="GR247" s="172"/>
      <c r="GS247" s="65"/>
      <c r="GT247" s="167"/>
      <c r="GU247" s="168"/>
      <c r="GV247" s="168"/>
      <c r="GW247" s="168"/>
      <c r="GX247" s="168"/>
      <c r="GY247" s="168"/>
      <c r="GZ247" s="168"/>
      <c r="HA247" s="168"/>
      <c r="HB247" s="168"/>
      <c r="HC247" s="168"/>
      <c r="HD247" s="168"/>
      <c r="HE247" s="168"/>
      <c r="HF247" s="168"/>
      <c r="HG247" s="168"/>
      <c r="HH247" s="168"/>
      <c r="HI247" s="168"/>
      <c r="HJ247" s="168"/>
      <c r="HK247" s="168"/>
      <c r="HL247" s="168"/>
      <c r="HM247" s="168"/>
      <c r="HN247" s="168"/>
      <c r="HO247" s="168"/>
      <c r="HP247" s="168"/>
      <c r="HQ247" s="168"/>
      <c r="HR247" s="168"/>
      <c r="HS247" s="168"/>
      <c r="HT247" s="168"/>
      <c r="HU247" s="168"/>
      <c r="HV247" s="168"/>
      <c r="HW247" s="168"/>
      <c r="HX247" s="168"/>
      <c r="HY247" s="168"/>
      <c r="HZ247" s="168"/>
      <c r="IA247" s="168"/>
      <c r="IB247" s="168"/>
      <c r="IC247" s="168"/>
      <c r="ID247" s="168"/>
      <c r="IE247" s="168"/>
      <c r="IF247" s="168"/>
      <c r="IG247" s="168"/>
      <c r="IH247" s="168"/>
      <c r="II247" s="168"/>
      <c r="IJ247" s="168"/>
      <c r="IK247" s="168"/>
      <c r="IL247" s="168"/>
      <c r="IM247" s="168"/>
      <c r="IN247" s="168"/>
      <c r="IO247" s="168"/>
      <c r="IP247" s="168"/>
      <c r="IQ247" s="168"/>
      <c r="IR247" s="168"/>
      <c r="IS247" s="168"/>
      <c r="IT247" s="168"/>
      <c r="IU247" s="168"/>
      <c r="IV247" s="168"/>
      <c r="IW247" s="168"/>
      <c r="IX247" s="168"/>
      <c r="IY247" s="168"/>
      <c r="IZ247" s="168"/>
      <c r="JA247" s="168"/>
      <c r="JB247" s="168"/>
      <c r="JC247" s="168"/>
      <c r="JD247" s="168"/>
      <c r="JE247" s="168"/>
      <c r="JF247" s="168"/>
      <c r="JG247" s="168"/>
      <c r="JH247" s="168"/>
      <c r="JI247" s="168"/>
      <c r="JJ247" s="168"/>
      <c r="JK247" s="168"/>
      <c r="JL247" s="168"/>
      <c r="JM247" s="168"/>
      <c r="JN247" s="168"/>
      <c r="JO247" s="168"/>
      <c r="JP247" s="168"/>
      <c r="JQ247" s="168"/>
      <c r="JR247" s="168"/>
      <c r="JS247" s="168"/>
      <c r="JT247" s="168"/>
      <c r="JU247" s="168"/>
      <c r="JV247" s="168"/>
      <c r="JW247" s="168"/>
      <c r="JX247" s="168"/>
      <c r="JY247" s="168"/>
      <c r="JZ247" s="168"/>
      <c r="KA247" s="168"/>
      <c r="KB247" s="168"/>
      <c r="KC247" s="168"/>
      <c r="KD247" s="168"/>
      <c r="KE247" s="168"/>
      <c r="KF247" s="168"/>
      <c r="KG247" s="168"/>
      <c r="KH247" s="168"/>
      <c r="KI247" s="168"/>
      <c r="KJ247" s="168"/>
      <c r="KK247" s="168"/>
      <c r="KL247" s="168"/>
      <c r="KM247" s="168"/>
      <c r="KN247" s="168"/>
      <c r="KO247" s="168"/>
      <c r="KP247" s="168"/>
      <c r="KQ247" s="168"/>
      <c r="KR247" s="168"/>
      <c r="KS247" s="168"/>
      <c r="KT247" s="168"/>
      <c r="KU247" s="168"/>
      <c r="KV247" s="168"/>
      <c r="KW247" s="168"/>
      <c r="KX247" s="168"/>
      <c r="KY247" s="168"/>
      <c r="KZ247" s="168"/>
      <c r="LA247" s="168"/>
      <c r="LB247" s="168"/>
      <c r="LC247" s="168"/>
      <c r="LD247" s="168"/>
      <c r="LE247" s="168"/>
      <c r="LF247" s="168"/>
      <c r="LG247" s="168"/>
      <c r="LH247" s="168"/>
      <c r="LI247" s="168"/>
      <c r="LJ247" s="168"/>
      <c r="LK247" s="168"/>
      <c r="LL247" s="168"/>
      <c r="LM247" s="168"/>
      <c r="LN247" s="168"/>
      <c r="LO247" s="168"/>
      <c r="LP247" s="606"/>
      <c r="LQ247" s="609"/>
      <c r="LR247" s="1319"/>
      <c r="LS247" s="1319"/>
    </row>
    <row r="248" spans="1:331" s="2" customFormat="1" ht="15" customHeight="1" x14ac:dyDescent="0.25">
      <c r="A248" s="283"/>
      <c r="B248" s="303"/>
      <c r="C248" s="301"/>
      <c r="D248" s="1287"/>
      <c r="E248" s="2298"/>
      <c r="F248" s="1812"/>
      <c r="G248" s="3342"/>
      <c r="H248" s="66"/>
      <c r="I248" s="1746"/>
      <c r="J248" s="1214"/>
      <c r="K248" s="105"/>
      <c r="L248" s="91"/>
      <c r="M248" s="92"/>
      <c r="N248" s="93"/>
      <c r="O248" s="94"/>
      <c r="P248" s="96"/>
      <c r="Q248" s="95"/>
      <c r="R248" s="993">
        <f t="shared" si="876"/>
        <v>0</v>
      </c>
      <c r="S248" s="23">
        <f t="shared" si="877"/>
        <v>0</v>
      </c>
      <c r="T248" s="24">
        <f t="shared" ref="T248:T279" si="908">IF($AE248&lt;&gt;3,0,SUM($DJ248:$FH248)*$AN248*$AH248)</f>
        <v>0</v>
      </c>
      <c r="U248" s="24">
        <f t="shared" ref="U248:U279" si="909">IF($AE248&lt;&gt;3,0,SUM($DJ248:$FH248)*$AN248*(1-$AH248))</f>
        <v>0</v>
      </c>
      <c r="V248" s="24">
        <f t="shared" ref="V248:V279" si="910">IF($AE248&lt;&gt;3,0,SUMPRODUCT($DJ248:$FH248,$DJ$30:$FH$30)*$AN248*AH248)</f>
        <v>0</v>
      </c>
      <c r="W248" s="24">
        <f t="shared" ref="W248:W279" ca="1" si="911">IFERROR(X248*SUMPRODUCT($DJ248:$FH248,$DJ$29:$FH$29)/SUM($DJ248:$FH248),0)</f>
        <v>0</v>
      </c>
      <c r="X248" s="72">
        <f t="shared" ca="1" si="386"/>
        <v>0</v>
      </c>
      <c r="Y248" s="72">
        <f t="shared" ref="Y248:Y279" si="912">IF($AE248=3,SUMPRODUCT($AO248:$AX248,BI248:BR248),0)</f>
        <v>0</v>
      </c>
      <c r="Z248" s="24">
        <f t="shared" ref="Z248:Z279" si="913">IF($AE248=3,SUMPRODUCT($AO248:$AX248,AY248:BH248),0)</f>
        <v>0</v>
      </c>
      <c r="AA248" s="72">
        <f t="shared" si="387"/>
        <v>0</v>
      </c>
      <c r="AB248" s="24">
        <f t="shared" si="388"/>
        <v>0</v>
      </c>
      <c r="AC248" s="24">
        <f t="shared" ref="AC248:AC279" ca="1" si="914">IF($AE248=3,SUMPRODUCT($DJ248:$FH248,$DJ$24:$FH$24)*AN248,0)</f>
        <v>0</v>
      </c>
      <c r="AD248" s="24">
        <f t="shared" si="886"/>
        <v>0</v>
      </c>
      <c r="AE248" s="2078">
        <f t="shared" si="870"/>
        <v>3</v>
      </c>
      <c r="AF248" s="2078">
        <f t="shared" si="871"/>
        <v>0</v>
      </c>
      <c r="AG248" s="2078">
        <f t="shared" si="872"/>
        <v>0</v>
      </c>
      <c r="AH248" s="2521">
        <f t="shared" si="887"/>
        <v>1</v>
      </c>
      <c r="AI248" s="25" t="str">
        <f t="shared" ref="AI248:AI279" si="915">LEFT(J248,1)</f>
        <v/>
      </c>
      <c r="AJ248" s="2521">
        <f t="shared" ca="1" si="882"/>
        <v>0</v>
      </c>
      <c r="AK248" s="2076">
        <f t="shared" ca="1" si="878"/>
        <v>0</v>
      </c>
      <c r="AL248" s="2078">
        <f>IF(ISBLANK(J248),0,ISERROR(MATCH(J248,'5  Control Accounts'!$FA$29:$FA$96,0))*1)</f>
        <v>0</v>
      </c>
      <c r="AM248" s="2076">
        <f t="shared" ref="AM248:AM279" si="916">AND($C$6,(T248+U248+AB248)&lt;&gt;0,$F248&lt;&gt;"Exclude",ISBLANK(J248))*1</f>
        <v>0</v>
      </c>
      <c r="AN248" s="2078">
        <f t="shared" ref="AN248:AN279" si="917">IF(DE248&gt;0,0,IF(GR248="T",FQ248*(1+B248),IF(ISBLANK(DH248),1+B248,DH248*(1+B248))*IF(FO248="P",1-GP248,1)))</f>
        <v>1</v>
      </c>
      <c r="AO248" s="2079">
        <f t="shared" si="888"/>
        <v>1</v>
      </c>
      <c r="AP248" s="2079">
        <f t="shared" si="889"/>
        <v>0</v>
      </c>
      <c r="AQ248" s="2079">
        <f t="shared" si="890"/>
        <v>0</v>
      </c>
      <c r="AR248" s="2079">
        <f t="shared" si="891"/>
        <v>0</v>
      </c>
      <c r="AS248" s="2079">
        <f t="shared" si="892"/>
        <v>0</v>
      </c>
      <c r="AT248" s="2079">
        <f t="shared" si="893"/>
        <v>0</v>
      </c>
      <c r="AU248" s="2079">
        <f t="shared" si="894"/>
        <v>0</v>
      </c>
      <c r="AV248" s="2079">
        <f t="shared" si="895"/>
        <v>0</v>
      </c>
      <c r="AW248" s="2079">
        <f t="shared" si="896"/>
        <v>0</v>
      </c>
      <c r="AX248" s="2079">
        <f t="shared" si="897"/>
        <v>0</v>
      </c>
      <c r="AY248" s="2078">
        <f t="shared" ref="AY248:AY279" si="918">IF($AE248=3,SUMPRODUCT($DJ$45:$FH$45,$DJ248:$FH248)*$AN248,0)</f>
        <v>0</v>
      </c>
      <c r="AZ248" s="2078">
        <f t="shared" ref="AZ248:AZ279" si="919">IF($AE248=3,SUMPRODUCT($DJ$46:$FH$46,$DJ248:$FH248)*$AN248,0)</f>
        <v>0</v>
      </c>
      <c r="BA248" s="2078">
        <f t="shared" ref="BA248:BA279" si="920">IF($AE248=3,SUMPRODUCT($DJ$47:$FH$47,$DJ248:$FH248)*$AN248,0)</f>
        <v>0</v>
      </c>
      <c r="BB248" s="2078">
        <f t="shared" ref="BB248:BB279" si="921">IF($AE248=3,SUMPRODUCT($DJ$48:$FH$48,$DJ248:$FH248)*$AN248,0)</f>
        <v>0</v>
      </c>
      <c r="BC248" s="2078">
        <f t="shared" ref="BC248:BC279" si="922">IF($AE248=3,SUMPRODUCT($DJ$49:$FH$49,$DJ248:$FH248)*$AN248,0)</f>
        <v>0</v>
      </c>
      <c r="BD248" s="2078">
        <f t="shared" ref="BD248:BD279" si="923">IF($AE248=3,SUMPRODUCT($DJ$50:$FH$50,$DJ248:$FH248)*$AN248,0)</f>
        <v>0</v>
      </c>
      <c r="BE248" s="2078">
        <f t="shared" ref="BE248:BE279" si="924">IF($AE248=3,SUMPRODUCT($DJ$51:$FH$51,$DJ248:$FH248)*$AN248,0)</f>
        <v>0</v>
      </c>
      <c r="BF248" s="2078">
        <f t="shared" ref="BF248:BF279" si="925">IF($AE248=3,SUMPRODUCT($DJ$52:$FH$52,$DJ248:$FH248)*$AN248,0)</f>
        <v>0</v>
      </c>
      <c r="BG248" s="2078">
        <f t="shared" ref="BG248:BG279" si="926">IF($AE248=3,SUMPRODUCT($DJ$53:$FH$53,$DJ248:$FH248)*$AN248,0)</f>
        <v>0</v>
      </c>
      <c r="BH248" s="2078">
        <f t="shared" ref="BH248:BH279" si="927">IF($AE248=3,SUMPRODUCT($DJ$54:$FH$54,$DJ248:$FH248)*$AN248,0)</f>
        <v>0</v>
      </c>
      <c r="BI248" s="2078">
        <f t="shared" ref="BI248:BI279" si="928">IF($AE248=3,SUMPRODUCT($DJ$56:$FH$56,$DJ248:$FH248)*$AN248,0)</f>
        <v>0</v>
      </c>
      <c r="BJ248" s="2078">
        <f t="shared" ref="BJ248:BJ279" si="929">IF($AE248=3,SUMPRODUCT($DJ$57:$FH$57,$DJ248:$FH248)*$AN248,0)</f>
        <v>0</v>
      </c>
      <c r="BK248" s="2078">
        <f t="shared" ref="BK248:BK279" si="930">IF($AE248=3,SUMPRODUCT($DJ$58:$FH$58,$DJ248:$FH248)*$AN248,0)</f>
        <v>0</v>
      </c>
      <c r="BL248" s="2078">
        <f t="shared" ref="BL248:BL279" si="931">IF($AE248=3,SUMPRODUCT($DJ$59:$FH$59,$DJ248:$FH248)*$AN248,0)</f>
        <v>0</v>
      </c>
      <c r="BM248" s="2078">
        <f t="shared" ref="BM248:BM279" si="932">IF($AE248=3,SUMPRODUCT($DJ$60:$FH$60,$DJ248:$FH248)*$AN248,0)</f>
        <v>0</v>
      </c>
      <c r="BN248" s="2078">
        <f t="shared" ref="BN248:BN279" si="933">IF($AE248=3,SUMPRODUCT($DJ$61:$FH$61,$DJ248:$FH248)*$AN248,0)</f>
        <v>0</v>
      </c>
      <c r="BO248" s="2078">
        <f t="shared" ref="BO248:BO279" si="934">IF($AE248=3,SUMPRODUCT($DJ$62:$FH$62,$DJ248:$FH248)*$AN248,0)</f>
        <v>0</v>
      </c>
      <c r="BP248" s="2078">
        <f t="shared" ref="BP248:BP279" si="935">IF($AE248=3,SUMPRODUCT($DJ$63:$FH$63,$DJ248:$FH248)*$AN248,0)</f>
        <v>0</v>
      </c>
      <c r="BQ248" s="2078">
        <f t="shared" ref="BQ248:BQ279" si="936">IF($AE248=3,SUMPRODUCT($DJ$64:$FH$64,$DJ248:$FH248)*$AN248,0)</f>
        <v>0</v>
      </c>
      <c r="BR248" s="2078">
        <f t="shared" ref="BR248:BR279" si="937">IF($AE248=3,SUMPRODUCT($DJ$65:$FH$65,$DJ248:$FH248)*$AN248,0)</f>
        <v>0</v>
      </c>
      <c r="BS248" s="2079">
        <f t="shared" si="898"/>
        <v>1</v>
      </c>
      <c r="BT248" s="2079">
        <f t="shared" si="899"/>
        <v>0</v>
      </c>
      <c r="BU248" s="2079">
        <f t="shared" si="900"/>
        <v>0</v>
      </c>
      <c r="BV248" s="2079">
        <f t="shared" si="901"/>
        <v>0</v>
      </c>
      <c r="BW248" s="2079">
        <f t="shared" si="902"/>
        <v>0</v>
      </c>
      <c r="BX248" s="2079">
        <f t="shared" si="903"/>
        <v>0</v>
      </c>
      <c r="BY248" s="2079">
        <f t="shared" si="904"/>
        <v>0</v>
      </c>
      <c r="BZ248" s="2079">
        <f t="shared" si="905"/>
        <v>0</v>
      </c>
      <c r="CA248" s="2079">
        <f t="shared" si="906"/>
        <v>0</v>
      </c>
      <c r="CB248" s="2079">
        <f t="shared" si="907"/>
        <v>0</v>
      </c>
      <c r="CC248" s="2078">
        <f t="shared" ref="CC248:CC279" ca="1" si="938">IF($AE248=3,SUMPRODUCT($DJ$78:$FH$78,$DJ248:$FH248)*$AN248,0)</f>
        <v>0</v>
      </c>
      <c r="CD248" s="2078">
        <f t="shared" ref="CD248:CD279" ca="1" si="939">IF($AE248=3,SUMPRODUCT($DJ$79:$FH$79,$DJ248:$FH248)*$AN248,0)</f>
        <v>0</v>
      </c>
      <c r="CE248" s="2078">
        <f t="shared" ref="CE248:CE279" ca="1" si="940">IF($AE248=3,SUMPRODUCT($DJ$80:$FH$80,$DJ248:$FH248)*$AN248,0)</f>
        <v>0</v>
      </c>
      <c r="CF248" s="2078">
        <f t="shared" ref="CF248:CF279" ca="1" si="941">IF($AE248=3,SUMPRODUCT($DJ$81:$FH$81,$DJ248:$FH248)*$AN248,0)</f>
        <v>0</v>
      </c>
      <c r="CG248" s="2078">
        <f t="shared" ref="CG248:CG279" ca="1" si="942">IF($AE248=3,SUMPRODUCT($DJ$82:$FH$82,$DJ248:$FH248)*$AN248,0)</f>
        <v>0</v>
      </c>
      <c r="CH248" s="2078">
        <f t="shared" ref="CH248:CH279" ca="1" si="943">IF($AE248=3,SUMPRODUCT($DJ$83:$FH$83,$DJ248:$FH248)*$AN248,0)</f>
        <v>0</v>
      </c>
      <c r="CI248" s="2078">
        <f t="shared" ref="CI248:CI279" ca="1" si="944">IF($AE248=3,SUMPRODUCT($DJ$84:$FH$84,$DJ248:$FH248)*$AN248,0)</f>
        <v>0</v>
      </c>
      <c r="CJ248" s="2078">
        <f t="shared" ref="CJ248:CJ279" ca="1" si="945">IF($AE248=3,SUMPRODUCT($DJ$85:$FH$85,$DJ248:$FH248)*$AN248,0)</f>
        <v>0</v>
      </c>
      <c r="CK248" s="2078">
        <f t="shared" ref="CK248:CK279" ca="1" si="946">IF($AE248=3,SUMPRODUCT($DJ$86:$FH$86,$DJ248:$FH248)*$AN248,0)</f>
        <v>0</v>
      </c>
      <c r="CL248" s="2078">
        <f t="shared" ref="CL248:CL279" ca="1" si="947">IF($AE248=3,SUMPRODUCT($DJ$87:$FH$87,$DJ248:$FH248)*$AN248,0)</f>
        <v>0</v>
      </c>
      <c r="CM248" s="2078">
        <f t="shared" si="413"/>
        <v>1</v>
      </c>
      <c r="CN248" s="2078">
        <f t="shared" si="414"/>
        <v>1</v>
      </c>
      <c r="CO248" s="2078">
        <f t="shared" si="415"/>
        <v>1</v>
      </c>
      <c r="CP248" s="2078">
        <f t="shared" ref="CP248:CP279" si="948">IF(AE248&lt;&gt;3,0,IF(OR(F248="",F248="Approved",F248="Pend w FC"),1,0))</f>
        <v>1</v>
      </c>
      <c r="CQ248" s="2078">
        <f t="shared" si="416"/>
        <v>0</v>
      </c>
      <c r="CR248" s="2078">
        <f t="shared" si="879"/>
        <v>0</v>
      </c>
      <c r="CS248" s="2078">
        <f t="shared" ref="CS248:CS279" si="949">IF(OR(F248="Pending",F248="Pend w FC"),1,0)</f>
        <v>0</v>
      </c>
      <c r="CT248" s="2078">
        <f t="shared" si="418"/>
        <v>1</v>
      </c>
      <c r="CU248" s="2078">
        <f t="shared" ref="CU248:CU279" si="950">IF($AE248&lt;&gt;3,0,IF(F248="",1,0))</f>
        <v>1</v>
      </c>
      <c r="CV248" s="2078">
        <f t="shared" si="419"/>
        <v>0</v>
      </c>
      <c r="CW248" s="2078">
        <f>IF(OR(AE248&lt;&gt;3,F248="Exclude"),0,IF(ISERROR(MATCH($E248,'4 Sign-off'!$S$123:$X$123,0)),0,1))</f>
        <v>0</v>
      </c>
      <c r="CX248" s="2078">
        <f t="shared" si="883"/>
        <v>0</v>
      </c>
      <c r="CY248" s="2078">
        <f t="shared" si="420"/>
        <v>0</v>
      </c>
      <c r="CZ248" s="2993">
        <f t="shared" ca="1" si="880"/>
        <v>0</v>
      </c>
      <c r="DA248" s="3037">
        <f t="shared" ca="1" si="881"/>
        <v>0</v>
      </c>
      <c r="DB248" s="1664"/>
      <c r="DC248" s="1320"/>
      <c r="DD248" s="589"/>
      <c r="DE248" s="1321"/>
      <c r="DF248" s="107"/>
      <c r="DG248" s="112"/>
      <c r="DH248" s="140"/>
      <c r="DI248" s="22"/>
      <c r="DJ248" s="145"/>
      <c r="DK248" s="137"/>
      <c r="DL248" s="137"/>
      <c r="DM248" s="137"/>
      <c r="DN248" s="137"/>
      <c r="DO248" s="137"/>
      <c r="DP248" s="137"/>
      <c r="DQ248" s="137"/>
      <c r="DR248" s="137"/>
      <c r="DS248" s="137"/>
      <c r="DT248" s="137"/>
      <c r="DU248" s="137"/>
      <c r="DV248" s="137"/>
      <c r="DW248" s="137"/>
      <c r="DX248" s="137"/>
      <c r="DY248" s="137"/>
      <c r="DZ248" s="137"/>
      <c r="EA248" s="137"/>
      <c r="EB248" s="137"/>
      <c r="EC248" s="137"/>
      <c r="ED248" s="137"/>
      <c r="EE248" s="137"/>
      <c r="EF248" s="137"/>
      <c r="EG248" s="137"/>
      <c r="EH248" s="137"/>
      <c r="EI248" s="137"/>
      <c r="EJ248" s="137"/>
      <c r="EK248" s="137"/>
      <c r="EL248" s="137"/>
      <c r="EM248" s="137"/>
      <c r="EN248" s="137"/>
      <c r="EO248" s="137"/>
      <c r="EP248" s="137"/>
      <c r="EQ248" s="137"/>
      <c r="ER248" s="137"/>
      <c r="ES248" s="137"/>
      <c r="ET248" s="137"/>
      <c r="EU248" s="137"/>
      <c r="EV248" s="137"/>
      <c r="EW248" s="137"/>
      <c r="EX248" s="137"/>
      <c r="EY248" s="137"/>
      <c r="EZ248" s="137"/>
      <c r="FA248" s="137"/>
      <c r="FB248" s="137"/>
      <c r="FC248" s="137"/>
      <c r="FD248" s="137"/>
      <c r="FE248" s="137"/>
      <c r="FF248" s="137"/>
      <c r="FG248" s="860"/>
      <c r="FH248" s="863"/>
      <c r="FI248" s="1318"/>
      <c r="FJ248" s="126"/>
      <c r="FK248" s="127"/>
      <c r="FL248" s="128" t="str">
        <f t="shared" ref="FL248:FL279" si="951">N248&amp;O248&amp;"    "&amp;P248</f>
        <v xml:space="preserve">    </v>
      </c>
      <c r="FM248" s="128"/>
      <c r="FN248" s="1686">
        <f t="shared" ref="FN248:FN279" si="952">IF($AE248=3,T248,0)</f>
        <v>0</v>
      </c>
      <c r="FO248" s="46">
        <f t="shared" si="421"/>
        <v>0</v>
      </c>
      <c r="FP248" s="46">
        <f t="shared" si="422"/>
        <v>1</v>
      </c>
      <c r="FQ248" s="75">
        <f t="shared" ref="FQ248:FQ279" si="953">IF($AE248=3,SUMPRODUCT(GT248:LQ248,$GT$25:$LQ$25),0)</f>
        <v>0</v>
      </c>
      <c r="FR248" s="46">
        <f t="shared" si="873"/>
        <v>0</v>
      </c>
      <c r="FS248" s="46">
        <f t="shared" si="874"/>
        <v>1</v>
      </c>
      <c r="FT248" s="75">
        <f t="shared" ref="FT248:FT279" si="954">AND($AE248=3,(T248+Z248+AB248)&gt;0,FQ248=0)*1</f>
        <v>0</v>
      </c>
      <c r="FU248" s="2603">
        <f t="shared" si="423"/>
        <v>0</v>
      </c>
      <c r="FV248" s="2607">
        <f t="shared" si="424"/>
        <v>0</v>
      </c>
      <c r="FW248" s="2603">
        <f t="shared" si="425"/>
        <v>0</v>
      </c>
      <c r="FX248" s="2631">
        <f t="shared" si="426"/>
        <v>0</v>
      </c>
      <c r="FY248" s="81" t="e">
        <f t="shared" si="875"/>
        <v>#N/A</v>
      </c>
      <c r="FZ248" s="64" t="e">
        <f t="array" ref="FZ248">MATCH(1,($GT248:$LQ248&gt;0)*$GT$25:$LQ$25,0)</f>
        <v>#N/A</v>
      </c>
      <c r="GA248" s="64" t="e">
        <f t="array" ref="GA248">MATCH(2,1/(GT248:LQ248&gt;0))</f>
        <v>#N/A</v>
      </c>
      <c r="GB248" s="64">
        <f t="shared" ref="GB248:GB279" si="955">IF(OR((T248+U248+AA248+AB248)=0,FR248=0,CQ248=1,LEFT(J248,1)="S"),-1,J248)</f>
        <v>-1</v>
      </c>
      <c r="GC248" s="46"/>
      <c r="GD248" s="613"/>
      <c r="GE248" s="613"/>
      <c r="GF248" s="613"/>
      <c r="GG248" s="613"/>
      <c r="GH248" s="613"/>
      <c r="GI248" s="613"/>
      <c r="GJ248" s="613"/>
      <c r="GK248" s="613"/>
      <c r="GL248" s="613"/>
      <c r="GM248" s="613"/>
      <c r="GN248" s="385">
        <f t="shared" si="884"/>
        <v>0</v>
      </c>
      <c r="GO248" s="386">
        <f t="shared" si="885"/>
        <v>0</v>
      </c>
      <c r="GP248" s="2635"/>
      <c r="GQ248" s="175"/>
      <c r="GR248" s="172"/>
      <c r="GS248" s="65"/>
      <c r="GT248" s="167"/>
      <c r="GU248" s="168"/>
      <c r="GV248" s="168"/>
      <c r="GW248" s="168"/>
      <c r="GX248" s="168"/>
      <c r="GY248" s="168"/>
      <c r="GZ248" s="168"/>
      <c r="HA248" s="168"/>
      <c r="HB248" s="168"/>
      <c r="HC248" s="168"/>
      <c r="HD248" s="168"/>
      <c r="HE248" s="168"/>
      <c r="HF248" s="168"/>
      <c r="HG248" s="168"/>
      <c r="HH248" s="168"/>
      <c r="HI248" s="168"/>
      <c r="HJ248" s="168"/>
      <c r="HK248" s="168"/>
      <c r="HL248" s="168"/>
      <c r="HM248" s="168"/>
      <c r="HN248" s="168"/>
      <c r="HO248" s="168"/>
      <c r="HP248" s="168"/>
      <c r="HQ248" s="168"/>
      <c r="HR248" s="168"/>
      <c r="HS248" s="168"/>
      <c r="HT248" s="168"/>
      <c r="HU248" s="168"/>
      <c r="HV248" s="168"/>
      <c r="HW248" s="168"/>
      <c r="HX248" s="168"/>
      <c r="HY248" s="168"/>
      <c r="HZ248" s="168"/>
      <c r="IA248" s="168"/>
      <c r="IB248" s="168"/>
      <c r="IC248" s="168"/>
      <c r="ID248" s="168"/>
      <c r="IE248" s="168"/>
      <c r="IF248" s="168"/>
      <c r="IG248" s="168"/>
      <c r="IH248" s="168"/>
      <c r="II248" s="168"/>
      <c r="IJ248" s="168"/>
      <c r="IK248" s="168"/>
      <c r="IL248" s="168"/>
      <c r="IM248" s="168"/>
      <c r="IN248" s="168"/>
      <c r="IO248" s="168"/>
      <c r="IP248" s="168"/>
      <c r="IQ248" s="168"/>
      <c r="IR248" s="168"/>
      <c r="IS248" s="168"/>
      <c r="IT248" s="168"/>
      <c r="IU248" s="168"/>
      <c r="IV248" s="168"/>
      <c r="IW248" s="168"/>
      <c r="IX248" s="168"/>
      <c r="IY248" s="168"/>
      <c r="IZ248" s="168"/>
      <c r="JA248" s="168"/>
      <c r="JB248" s="168"/>
      <c r="JC248" s="168"/>
      <c r="JD248" s="168"/>
      <c r="JE248" s="168"/>
      <c r="JF248" s="168"/>
      <c r="JG248" s="168"/>
      <c r="JH248" s="168"/>
      <c r="JI248" s="168"/>
      <c r="JJ248" s="168"/>
      <c r="JK248" s="168"/>
      <c r="JL248" s="168"/>
      <c r="JM248" s="168"/>
      <c r="JN248" s="168"/>
      <c r="JO248" s="168"/>
      <c r="JP248" s="168"/>
      <c r="JQ248" s="168"/>
      <c r="JR248" s="168"/>
      <c r="JS248" s="168"/>
      <c r="JT248" s="168"/>
      <c r="JU248" s="168"/>
      <c r="JV248" s="168"/>
      <c r="JW248" s="168"/>
      <c r="JX248" s="168"/>
      <c r="JY248" s="168"/>
      <c r="JZ248" s="168"/>
      <c r="KA248" s="168"/>
      <c r="KB248" s="168"/>
      <c r="KC248" s="168"/>
      <c r="KD248" s="168"/>
      <c r="KE248" s="168"/>
      <c r="KF248" s="168"/>
      <c r="KG248" s="168"/>
      <c r="KH248" s="168"/>
      <c r="KI248" s="168"/>
      <c r="KJ248" s="168"/>
      <c r="KK248" s="168"/>
      <c r="KL248" s="168"/>
      <c r="KM248" s="168"/>
      <c r="KN248" s="168"/>
      <c r="KO248" s="168"/>
      <c r="KP248" s="168"/>
      <c r="KQ248" s="168"/>
      <c r="KR248" s="168"/>
      <c r="KS248" s="168"/>
      <c r="KT248" s="168"/>
      <c r="KU248" s="168"/>
      <c r="KV248" s="168"/>
      <c r="KW248" s="168"/>
      <c r="KX248" s="168"/>
      <c r="KY248" s="168"/>
      <c r="KZ248" s="168"/>
      <c r="LA248" s="168"/>
      <c r="LB248" s="168"/>
      <c r="LC248" s="168"/>
      <c r="LD248" s="168"/>
      <c r="LE248" s="168"/>
      <c r="LF248" s="168"/>
      <c r="LG248" s="168"/>
      <c r="LH248" s="168"/>
      <c r="LI248" s="168"/>
      <c r="LJ248" s="168"/>
      <c r="LK248" s="168"/>
      <c r="LL248" s="168"/>
      <c r="LM248" s="168"/>
      <c r="LN248" s="168"/>
      <c r="LO248" s="168"/>
      <c r="LP248" s="606"/>
      <c r="LQ248" s="609"/>
      <c r="LR248" s="1319"/>
      <c r="LS248" s="1319"/>
    </row>
    <row r="249" spans="1:331" s="2" customFormat="1" ht="15" customHeight="1" x14ac:dyDescent="0.25">
      <c r="A249" s="283"/>
      <c r="B249" s="303"/>
      <c r="C249" s="301"/>
      <c r="D249" s="1287"/>
      <c r="E249" s="2298"/>
      <c r="F249" s="1812"/>
      <c r="G249" s="3342"/>
      <c r="H249" s="66"/>
      <c r="I249" s="1746"/>
      <c r="J249" s="1214"/>
      <c r="K249" s="105"/>
      <c r="L249" s="91"/>
      <c r="M249" s="92"/>
      <c r="N249" s="93"/>
      <c r="O249" s="94"/>
      <c r="P249" s="96"/>
      <c r="Q249" s="95"/>
      <c r="R249" s="993">
        <f t="shared" si="876"/>
        <v>0</v>
      </c>
      <c r="S249" s="23">
        <f t="shared" si="877"/>
        <v>0</v>
      </c>
      <c r="T249" s="24">
        <f t="shared" si="908"/>
        <v>0</v>
      </c>
      <c r="U249" s="24">
        <f t="shared" si="909"/>
        <v>0</v>
      </c>
      <c r="V249" s="24">
        <f t="shared" si="910"/>
        <v>0</v>
      </c>
      <c r="W249" s="24">
        <f t="shared" ca="1" si="911"/>
        <v>0</v>
      </c>
      <c r="X249" s="72">
        <f t="shared" ref="X249:X312" ca="1" si="956">IF($AE249=3,SUMPRODUCT($BS249:$CB249,CC249:CL249)*AH249,0)</f>
        <v>0</v>
      </c>
      <c r="Y249" s="72">
        <f t="shared" si="912"/>
        <v>0</v>
      </c>
      <c r="Z249" s="24">
        <f t="shared" si="913"/>
        <v>0</v>
      </c>
      <c r="AA249" s="72">
        <f t="shared" ref="AA249:AA312" si="957">$DE249*$CM249*(1+DF249)*AH249</f>
        <v>0</v>
      </c>
      <c r="AB249" s="24">
        <f t="shared" si="388"/>
        <v>0</v>
      </c>
      <c r="AC249" s="24">
        <f t="shared" ca="1" si="914"/>
        <v>0</v>
      </c>
      <c r="AD249" s="24">
        <f t="shared" si="886"/>
        <v>0</v>
      </c>
      <c r="AE249" s="2078">
        <f t="shared" si="870"/>
        <v>3</v>
      </c>
      <c r="AF249" s="2078">
        <f t="shared" si="871"/>
        <v>0</v>
      </c>
      <c r="AG249" s="2078">
        <f t="shared" si="872"/>
        <v>0</v>
      </c>
      <c r="AH249" s="2521">
        <f t="shared" si="887"/>
        <v>1</v>
      </c>
      <c r="AI249" s="25" t="str">
        <f t="shared" si="915"/>
        <v/>
      </c>
      <c r="AJ249" s="2521">
        <f t="shared" ca="1" si="882"/>
        <v>0</v>
      </c>
      <c r="AK249" s="2076">
        <f t="shared" ca="1" si="878"/>
        <v>0</v>
      </c>
      <c r="AL249" s="2078">
        <f>IF(ISBLANK(J249),0,ISERROR(MATCH(J249,'5  Control Accounts'!$FA$29:$FA$96,0))*1)</f>
        <v>0</v>
      </c>
      <c r="AM249" s="2076">
        <f t="shared" si="916"/>
        <v>0</v>
      </c>
      <c r="AN249" s="2078">
        <f t="shared" si="917"/>
        <v>1</v>
      </c>
      <c r="AO249" s="2079">
        <f t="shared" si="888"/>
        <v>1</v>
      </c>
      <c r="AP249" s="2079">
        <f t="shared" si="889"/>
        <v>0</v>
      </c>
      <c r="AQ249" s="2079">
        <f t="shared" si="890"/>
        <v>0</v>
      </c>
      <c r="AR249" s="2079">
        <f t="shared" si="891"/>
        <v>0</v>
      </c>
      <c r="AS249" s="2079">
        <f t="shared" si="892"/>
        <v>0</v>
      </c>
      <c r="AT249" s="2079">
        <f t="shared" si="893"/>
        <v>0</v>
      </c>
      <c r="AU249" s="2079">
        <f t="shared" si="894"/>
        <v>0</v>
      </c>
      <c r="AV249" s="2079">
        <f t="shared" si="895"/>
        <v>0</v>
      </c>
      <c r="AW249" s="2079">
        <f t="shared" si="896"/>
        <v>0</v>
      </c>
      <c r="AX249" s="2079">
        <f t="shared" si="897"/>
        <v>0</v>
      </c>
      <c r="AY249" s="2078">
        <f t="shared" si="918"/>
        <v>0</v>
      </c>
      <c r="AZ249" s="2078">
        <f t="shared" si="919"/>
        <v>0</v>
      </c>
      <c r="BA249" s="2078">
        <f t="shared" si="920"/>
        <v>0</v>
      </c>
      <c r="BB249" s="2078">
        <f t="shared" si="921"/>
        <v>0</v>
      </c>
      <c r="BC249" s="2078">
        <f t="shared" si="922"/>
        <v>0</v>
      </c>
      <c r="BD249" s="2078">
        <f t="shared" si="923"/>
        <v>0</v>
      </c>
      <c r="BE249" s="2078">
        <f t="shared" si="924"/>
        <v>0</v>
      </c>
      <c r="BF249" s="2078">
        <f t="shared" si="925"/>
        <v>0</v>
      </c>
      <c r="BG249" s="2078">
        <f t="shared" si="926"/>
        <v>0</v>
      </c>
      <c r="BH249" s="2078">
        <f t="shared" si="927"/>
        <v>0</v>
      </c>
      <c r="BI249" s="2078">
        <f t="shared" si="928"/>
        <v>0</v>
      </c>
      <c r="BJ249" s="2078">
        <f t="shared" si="929"/>
        <v>0</v>
      </c>
      <c r="BK249" s="2078">
        <f t="shared" si="930"/>
        <v>0</v>
      </c>
      <c r="BL249" s="2078">
        <f t="shared" si="931"/>
        <v>0</v>
      </c>
      <c r="BM249" s="2078">
        <f t="shared" si="932"/>
        <v>0</v>
      </c>
      <c r="BN249" s="2078">
        <f t="shared" si="933"/>
        <v>0</v>
      </c>
      <c r="BO249" s="2078">
        <f t="shared" si="934"/>
        <v>0</v>
      </c>
      <c r="BP249" s="2078">
        <f t="shared" si="935"/>
        <v>0</v>
      </c>
      <c r="BQ249" s="2078">
        <f t="shared" si="936"/>
        <v>0</v>
      </c>
      <c r="BR249" s="2078">
        <f t="shared" si="937"/>
        <v>0</v>
      </c>
      <c r="BS249" s="2079">
        <f t="shared" si="898"/>
        <v>1</v>
      </c>
      <c r="BT249" s="2079">
        <f t="shared" si="899"/>
        <v>0</v>
      </c>
      <c r="BU249" s="2079">
        <f t="shared" si="900"/>
        <v>0</v>
      </c>
      <c r="BV249" s="2079">
        <f t="shared" si="901"/>
        <v>0</v>
      </c>
      <c r="BW249" s="2079">
        <f t="shared" si="902"/>
        <v>0</v>
      </c>
      <c r="BX249" s="2079">
        <f t="shared" si="903"/>
        <v>0</v>
      </c>
      <c r="BY249" s="2079">
        <f t="shared" si="904"/>
        <v>0</v>
      </c>
      <c r="BZ249" s="2079">
        <f t="shared" si="905"/>
        <v>0</v>
      </c>
      <c r="CA249" s="2079">
        <f t="shared" si="906"/>
        <v>0</v>
      </c>
      <c r="CB249" s="2079">
        <f t="shared" si="907"/>
        <v>0</v>
      </c>
      <c r="CC249" s="2078">
        <f t="shared" ca="1" si="938"/>
        <v>0</v>
      </c>
      <c r="CD249" s="2078">
        <f t="shared" ca="1" si="939"/>
        <v>0</v>
      </c>
      <c r="CE249" s="2078">
        <f t="shared" ca="1" si="940"/>
        <v>0</v>
      </c>
      <c r="CF249" s="2078">
        <f t="shared" ca="1" si="941"/>
        <v>0</v>
      </c>
      <c r="CG249" s="2078">
        <f t="shared" ca="1" si="942"/>
        <v>0</v>
      </c>
      <c r="CH249" s="2078">
        <f t="shared" ca="1" si="943"/>
        <v>0</v>
      </c>
      <c r="CI249" s="2078">
        <f t="shared" ca="1" si="944"/>
        <v>0</v>
      </c>
      <c r="CJ249" s="2078">
        <f t="shared" ca="1" si="945"/>
        <v>0</v>
      </c>
      <c r="CK249" s="2078">
        <f t="shared" ca="1" si="946"/>
        <v>0</v>
      </c>
      <c r="CL249" s="2078">
        <f t="shared" ca="1" si="947"/>
        <v>0</v>
      </c>
      <c r="CM249" s="2078">
        <f t="shared" si="413"/>
        <v>1</v>
      </c>
      <c r="CN249" s="2078">
        <f t="shared" si="414"/>
        <v>1</v>
      </c>
      <c r="CO249" s="2078">
        <f t="shared" ref="CO249:CO312" si="958">IF(AND(AE249=3,OR(F249="",F249="Approved")),1,0)</f>
        <v>1</v>
      </c>
      <c r="CP249" s="2078">
        <f t="shared" si="948"/>
        <v>1</v>
      </c>
      <c r="CQ249" s="2078">
        <f t="shared" ref="CQ249:CQ312" si="959">IF(AND(Z249=0,OR(AI249="V",AI249="W",G249="RO")),1,0)</f>
        <v>0</v>
      </c>
      <c r="CR249" s="2078">
        <f t="shared" si="879"/>
        <v>0</v>
      </c>
      <c r="CS249" s="2078">
        <f t="shared" si="949"/>
        <v>0</v>
      </c>
      <c r="CT249" s="2078">
        <f t="shared" ref="CT249:CT312" si="960">IF(OR($F249="Exclude",$AE249&lt;&gt;3),0,1)</f>
        <v>1</v>
      </c>
      <c r="CU249" s="2078">
        <f t="shared" si="950"/>
        <v>1</v>
      </c>
      <c r="CV249" s="2078">
        <f t="shared" si="419"/>
        <v>0</v>
      </c>
      <c r="CW249" s="2078">
        <f>IF(OR(AE249&lt;&gt;3,F249="Exclude"),0,IF(ISERROR(MATCH($E249,'4 Sign-off'!$S$123:$X$123,0)),0,1))</f>
        <v>0</v>
      </c>
      <c r="CX249" s="2078">
        <f t="shared" si="883"/>
        <v>0</v>
      </c>
      <c r="CY249" s="2078">
        <f t="shared" si="420"/>
        <v>0</v>
      </c>
      <c r="CZ249" s="2993">
        <f t="shared" ca="1" si="880"/>
        <v>0</v>
      </c>
      <c r="DA249" s="3037">
        <f t="shared" ca="1" si="881"/>
        <v>0</v>
      </c>
      <c r="DB249" s="1664"/>
      <c r="DC249" s="1320"/>
      <c r="DD249" s="589"/>
      <c r="DE249" s="1321"/>
      <c r="DF249" s="107"/>
      <c r="DG249" s="112"/>
      <c r="DH249" s="140"/>
      <c r="DI249" s="22"/>
      <c r="DJ249" s="145"/>
      <c r="DK249" s="137"/>
      <c r="DL249" s="137"/>
      <c r="DM249" s="137"/>
      <c r="DN249" s="137"/>
      <c r="DO249" s="137"/>
      <c r="DP249" s="137"/>
      <c r="DQ249" s="137"/>
      <c r="DR249" s="137"/>
      <c r="DS249" s="137"/>
      <c r="DT249" s="137"/>
      <c r="DU249" s="137"/>
      <c r="DV249" s="137"/>
      <c r="DW249" s="137"/>
      <c r="DX249" s="137"/>
      <c r="DY249" s="137"/>
      <c r="DZ249" s="137"/>
      <c r="EA249" s="137"/>
      <c r="EB249" s="137"/>
      <c r="EC249" s="137"/>
      <c r="ED249" s="137"/>
      <c r="EE249" s="137"/>
      <c r="EF249" s="137"/>
      <c r="EG249" s="137"/>
      <c r="EH249" s="137"/>
      <c r="EI249" s="137"/>
      <c r="EJ249" s="137"/>
      <c r="EK249" s="137"/>
      <c r="EL249" s="137"/>
      <c r="EM249" s="137"/>
      <c r="EN249" s="137"/>
      <c r="EO249" s="137"/>
      <c r="EP249" s="137"/>
      <c r="EQ249" s="137"/>
      <c r="ER249" s="137"/>
      <c r="ES249" s="137"/>
      <c r="ET249" s="137"/>
      <c r="EU249" s="137"/>
      <c r="EV249" s="137"/>
      <c r="EW249" s="137"/>
      <c r="EX249" s="137"/>
      <c r="EY249" s="137"/>
      <c r="EZ249" s="137"/>
      <c r="FA249" s="137"/>
      <c r="FB249" s="137"/>
      <c r="FC249" s="137"/>
      <c r="FD249" s="137"/>
      <c r="FE249" s="137"/>
      <c r="FF249" s="137"/>
      <c r="FG249" s="860"/>
      <c r="FH249" s="863"/>
      <c r="FI249" s="1318"/>
      <c r="FJ249" s="126"/>
      <c r="FK249" s="127"/>
      <c r="FL249" s="128" t="str">
        <f t="shared" si="951"/>
        <v xml:space="preserve">    </v>
      </c>
      <c r="FM249" s="128"/>
      <c r="FN249" s="1686">
        <f t="shared" si="952"/>
        <v>0</v>
      </c>
      <c r="FO249" s="46">
        <f t="shared" si="421"/>
        <v>0</v>
      </c>
      <c r="FP249" s="46">
        <f t="shared" si="422"/>
        <v>1</v>
      </c>
      <c r="FQ249" s="75">
        <f t="shared" si="953"/>
        <v>0</v>
      </c>
      <c r="FR249" s="46">
        <f t="shared" si="873"/>
        <v>0</v>
      </c>
      <c r="FS249" s="46">
        <f t="shared" si="874"/>
        <v>1</v>
      </c>
      <c r="FT249" s="75">
        <f t="shared" si="954"/>
        <v>0</v>
      </c>
      <c r="FU249" s="2603">
        <f t="shared" si="423"/>
        <v>0</v>
      </c>
      <c r="FV249" s="2607">
        <f t="shared" si="424"/>
        <v>0</v>
      </c>
      <c r="FW249" s="2603">
        <f t="shared" si="425"/>
        <v>0</v>
      </c>
      <c r="FX249" s="2631">
        <f t="shared" si="426"/>
        <v>0</v>
      </c>
      <c r="FY249" s="81" t="e">
        <f t="shared" si="875"/>
        <v>#N/A</v>
      </c>
      <c r="FZ249" s="64" t="e">
        <f t="array" ref="FZ249">MATCH(1,($GT249:$LQ249&gt;0)*$GT$25:$LQ$25,0)</f>
        <v>#N/A</v>
      </c>
      <c r="GA249" s="64" t="e">
        <f t="array" ref="GA249">MATCH(2,1/(GT249:LQ249&gt;0))</f>
        <v>#N/A</v>
      </c>
      <c r="GB249" s="64">
        <f t="shared" si="955"/>
        <v>-1</v>
      </c>
      <c r="GC249" s="46"/>
      <c r="GD249" s="613"/>
      <c r="GE249" s="613"/>
      <c r="GF249" s="613"/>
      <c r="GG249" s="613"/>
      <c r="GH249" s="613"/>
      <c r="GI249" s="613"/>
      <c r="GJ249" s="613"/>
      <c r="GK249" s="613"/>
      <c r="GL249" s="613"/>
      <c r="GM249" s="613"/>
      <c r="GN249" s="385">
        <f t="shared" si="884"/>
        <v>0</v>
      </c>
      <c r="GO249" s="386">
        <f t="shared" si="885"/>
        <v>0</v>
      </c>
      <c r="GP249" s="2635"/>
      <c r="GQ249" s="175"/>
      <c r="GR249" s="172"/>
      <c r="GS249" s="65"/>
      <c r="GT249" s="167"/>
      <c r="GU249" s="168"/>
      <c r="GV249" s="168"/>
      <c r="GW249" s="168"/>
      <c r="GX249" s="168"/>
      <c r="GY249" s="168"/>
      <c r="GZ249" s="168"/>
      <c r="HA249" s="168"/>
      <c r="HB249" s="168"/>
      <c r="HC249" s="168"/>
      <c r="HD249" s="168"/>
      <c r="HE249" s="168"/>
      <c r="HF249" s="168"/>
      <c r="HG249" s="168"/>
      <c r="HH249" s="168"/>
      <c r="HI249" s="168"/>
      <c r="HJ249" s="168"/>
      <c r="HK249" s="168"/>
      <c r="HL249" s="168"/>
      <c r="HM249" s="168"/>
      <c r="HN249" s="168"/>
      <c r="HO249" s="168"/>
      <c r="HP249" s="168"/>
      <c r="HQ249" s="168"/>
      <c r="HR249" s="168"/>
      <c r="HS249" s="168"/>
      <c r="HT249" s="168"/>
      <c r="HU249" s="168"/>
      <c r="HV249" s="168"/>
      <c r="HW249" s="168"/>
      <c r="HX249" s="168"/>
      <c r="HY249" s="168"/>
      <c r="HZ249" s="168"/>
      <c r="IA249" s="168"/>
      <c r="IB249" s="168"/>
      <c r="IC249" s="168"/>
      <c r="ID249" s="168"/>
      <c r="IE249" s="168"/>
      <c r="IF249" s="168"/>
      <c r="IG249" s="168"/>
      <c r="IH249" s="168"/>
      <c r="II249" s="168"/>
      <c r="IJ249" s="168"/>
      <c r="IK249" s="168"/>
      <c r="IL249" s="168"/>
      <c r="IM249" s="168"/>
      <c r="IN249" s="168"/>
      <c r="IO249" s="168"/>
      <c r="IP249" s="168"/>
      <c r="IQ249" s="168"/>
      <c r="IR249" s="168"/>
      <c r="IS249" s="168"/>
      <c r="IT249" s="168"/>
      <c r="IU249" s="168"/>
      <c r="IV249" s="168"/>
      <c r="IW249" s="168"/>
      <c r="IX249" s="168"/>
      <c r="IY249" s="168"/>
      <c r="IZ249" s="168"/>
      <c r="JA249" s="168"/>
      <c r="JB249" s="168"/>
      <c r="JC249" s="168"/>
      <c r="JD249" s="168"/>
      <c r="JE249" s="168"/>
      <c r="JF249" s="168"/>
      <c r="JG249" s="168"/>
      <c r="JH249" s="168"/>
      <c r="JI249" s="168"/>
      <c r="JJ249" s="168"/>
      <c r="JK249" s="168"/>
      <c r="JL249" s="168"/>
      <c r="JM249" s="168"/>
      <c r="JN249" s="168"/>
      <c r="JO249" s="168"/>
      <c r="JP249" s="168"/>
      <c r="JQ249" s="168"/>
      <c r="JR249" s="168"/>
      <c r="JS249" s="168"/>
      <c r="JT249" s="168"/>
      <c r="JU249" s="168"/>
      <c r="JV249" s="168"/>
      <c r="JW249" s="168"/>
      <c r="JX249" s="168"/>
      <c r="JY249" s="168"/>
      <c r="JZ249" s="168"/>
      <c r="KA249" s="168"/>
      <c r="KB249" s="168"/>
      <c r="KC249" s="168"/>
      <c r="KD249" s="168"/>
      <c r="KE249" s="168"/>
      <c r="KF249" s="168"/>
      <c r="KG249" s="168"/>
      <c r="KH249" s="168"/>
      <c r="KI249" s="168"/>
      <c r="KJ249" s="168"/>
      <c r="KK249" s="168"/>
      <c r="KL249" s="168"/>
      <c r="KM249" s="168"/>
      <c r="KN249" s="168"/>
      <c r="KO249" s="168"/>
      <c r="KP249" s="168"/>
      <c r="KQ249" s="168"/>
      <c r="KR249" s="168"/>
      <c r="KS249" s="168"/>
      <c r="KT249" s="168"/>
      <c r="KU249" s="168"/>
      <c r="KV249" s="168"/>
      <c r="KW249" s="168"/>
      <c r="KX249" s="168"/>
      <c r="KY249" s="168"/>
      <c r="KZ249" s="168"/>
      <c r="LA249" s="168"/>
      <c r="LB249" s="168"/>
      <c r="LC249" s="168"/>
      <c r="LD249" s="168"/>
      <c r="LE249" s="168"/>
      <c r="LF249" s="168"/>
      <c r="LG249" s="168"/>
      <c r="LH249" s="168"/>
      <c r="LI249" s="168"/>
      <c r="LJ249" s="168"/>
      <c r="LK249" s="168"/>
      <c r="LL249" s="168"/>
      <c r="LM249" s="168"/>
      <c r="LN249" s="168"/>
      <c r="LO249" s="168"/>
      <c r="LP249" s="606"/>
      <c r="LQ249" s="609"/>
      <c r="LR249" s="1319"/>
      <c r="LS249" s="1319"/>
    </row>
    <row r="250" spans="1:331" s="2" customFormat="1" ht="15" customHeight="1" x14ac:dyDescent="0.25">
      <c r="A250" s="283"/>
      <c r="B250" s="303"/>
      <c r="C250" s="301"/>
      <c r="D250" s="1287"/>
      <c r="E250" s="2298"/>
      <c r="F250" s="1812"/>
      <c r="G250" s="3342"/>
      <c r="H250" s="66"/>
      <c r="I250" s="1746"/>
      <c r="J250" s="1214"/>
      <c r="K250" s="105"/>
      <c r="L250" s="91"/>
      <c r="M250" s="92"/>
      <c r="N250" s="93"/>
      <c r="O250" s="94"/>
      <c r="P250" s="96"/>
      <c r="Q250" s="95"/>
      <c r="R250" s="993">
        <f t="shared" si="876"/>
        <v>0</v>
      </c>
      <c r="S250" s="23">
        <f t="shared" si="877"/>
        <v>0</v>
      </c>
      <c r="T250" s="24">
        <f t="shared" si="908"/>
        <v>0</v>
      </c>
      <c r="U250" s="24">
        <f t="shared" si="909"/>
        <v>0</v>
      </c>
      <c r="V250" s="24">
        <f t="shared" si="910"/>
        <v>0</v>
      </c>
      <c r="W250" s="24">
        <f t="shared" ca="1" si="911"/>
        <v>0</v>
      </c>
      <c r="X250" s="72">
        <f t="shared" ca="1" si="956"/>
        <v>0</v>
      </c>
      <c r="Y250" s="72">
        <f t="shared" si="912"/>
        <v>0</v>
      </c>
      <c r="Z250" s="24">
        <f t="shared" si="913"/>
        <v>0</v>
      </c>
      <c r="AA250" s="72">
        <f t="shared" si="957"/>
        <v>0</v>
      </c>
      <c r="AB250" s="24">
        <f t="shared" si="388"/>
        <v>0</v>
      </c>
      <c r="AC250" s="24">
        <f t="shared" ca="1" si="914"/>
        <v>0</v>
      </c>
      <c r="AD250" s="24">
        <f t="shared" si="886"/>
        <v>0</v>
      </c>
      <c r="AE250" s="2078">
        <f t="shared" si="870"/>
        <v>3</v>
      </c>
      <c r="AF250" s="2078">
        <f t="shared" si="871"/>
        <v>0</v>
      </c>
      <c r="AG250" s="2078">
        <f t="shared" si="872"/>
        <v>0</v>
      </c>
      <c r="AH250" s="2521">
        <f t="shared" si="887"/>
        <v>1</v>
      </c>
      <c r="AI250" s="25" t="str">
        <f t="shared" si="915"/>
        <v/>
      </c>
      <c r="AJ250" s="2521">
        <f t="shared" ca="1" si="882"/>
        <v>0</v>
      </c>
      <c r="AK250" s="2076">
        <f t="shared" ca="1" si="878"/>
        <v>0</v>
      </c>
      <c r="AL250" s="2078">
        <f>IF(ISBLANK(J250),0,ISERROR(MATCH(J250,'5  Control Accounts'!$FA$29:$FA$96,0))*1)</f>
        <v>0</v>
      </c>
      <c r="AM250" s="2076">
        <f t="shared" si="916"/>
        <v>0</v>
      </c>
      <c r="AN250" s="2078">
        <f t="shared" si="917"/>
        <v>1</v>
      </c>
      <c r="AO250" s="2079">
        <f t="shared" si="888"/>
        <v>1</v>
      </c>
      <c r="AP250" s="2079">
        <f t="shared" si="889"/>
        <v>0</v>
      </c>
      <c r="AQ250" s="2079">
        <f t="shared" si="890"/>
        <v>0</v>
      </c>
      <c r="AR250" s="2079">
        <f t="shared" si="891"/>
        <v>0</v>
      </c>
      <c r="AS250" s="2079">
        <f t="shared" si="892"/>
        <v>0</v>
      </c>
      <c r="AT250" s="2079">
        <f t="shared" si="893"/>
        <v>0</v>
      </c>
      <c r="AU250" s="2079">
        <f t="shared" si="894"/>
        <v>0</v>
      </c>
      <c r="AV250" s="2079">
        <f t="shared" si="895"/>
        <v>0</v>
      </c>
      <c r="AW250" s="2079">
        <f t="shared" si="896"/>
        <v>0</v>
      </c>
      <c r="AX250" s="2079">
        <f t="shared" si="897"/>
        <v>0</v>
      </c>
      <c r="AY250" s="2078">
        <f t="shared" si="918"/>
        <v>0</v>
      </c>
      <c r="AZ250" s="2078">
        <f t="shared" si="919"/>
        <v>0</v>
      </c>
      <c r="BA250" s="2078">
        <f t="shared" si="920"/>
        <v>0</v>
      </c>
      <c r="BB250" s="2078">
        <f t="shared" si="921"/>
        <v>0</v>
      </c>
      <c r="BC250" s="2078">
        <f t="shared" si="922"/>
        <v>0</v>
      </c>
      <c r="BD250" s="2078">
        <f t="shared" si="923"/>
        <v>0</v>
      </c>
      <c r="BE250" s="2078">
        <f t="shared" si="924"/>
        <v>0</v>
      </c>
      <c r="BF250" s="2078">
        <f t="shared" si="925"/>
        <v>0</v>
      </c>
      <c r="BG250" s="2078">
        <f t="shared" si="926"/>
        <v>0</v>
      </c>
      <c r="BH250" s="2078">
        <f t="shared" si="927"/>
        <v>0</v>
      </c>
      <c r="BI250" s="2078">
        <f t="shared" si="928"/>
        <v>0</v>
      </c>
      <c r="BJ250" s="2078">
        <f t="shared" si="929"/>
        <v>0</v>
      </c>
      <c r="BK250" s="2078">
        <f t="shared" si="930"/>
        <v>0</v>
      </c>
      <c r="BL250" s="2078">
        <f t="shared" si="931"/>
        <v>0</v>
      </c>
      <c r="BM250" s="2078">
        <f t="shared" si="932"/>
        <v>0</v>
      </c>
      <c r="BN250" s="2078">
        <f t="shared" si="933"/>
        <v>0</v>
      </c>
      <c r="BO250" s="2078">
        <f t="shared" si="934"/>
        <v>0</v>
      </c>
      <c r="BP250" s="2078">
        <f t="shared" si="935"/>
        <v>0</v>
      </c>
      <c r="BQ250" s="2078">
        <f t="shared" si="936"/>
        <v>0</v>
      </c>
      <c r="BR250" s="2078">
        <f t="shared" si="937"/>
        <v>0</v>
      </c>
      <c r="BS250" s="2079">
        <f t="shared" si="898"/>
        <v>1</v>
      </c>
      <c r="BT250" s="2079">
        <f t="shared" si="899"/>
        <v>0</v>
      </c>
      <c r="BU250" s="2079">
        <f t="shared" si="900"/>
        <v>0</v>
      </c>
      <c r="BV250" s="2079">
        <f t="shared" si="901"/>
        <v>0</v>
      </c>
      <c r="BW250" s="2079">
        <f t="shared" si="902"/>
        <v>0</v>
      </c>
      <c r="BX250" s="2079">
        <f t="shared" si="903"/>
        <v>0</v>
      </c>
      <c r="BY250" s="2079">
        <f t="shared" si="904"/>
        <v>0</v>
      </c>
      <c r="BZ250" s="2079">
        <f t="shared" si="905"/>
        <v>0</v>
      </c>
      <c r="CA250" s="2079">
        <f t="shared" si="906"/>
        <v>0</v>
      </c>
      <c r="CB250" s="2079">
        <f t="shared" si="907"/>
        <v>0</v>
      </c>
      <c r="CC250" s="2078">
        <f t="shared" ca="1" si="938"/>
        <v>0</v>
      </c>
      <c r="CD250" s="2078">
        <f t="shared" ca="1" si="939"/>
        <v>0</v>
      </c>
      <c r="CE250" s="2078">
        <f t="shared" ca="1" si="940"/>
        <v>0</v>
      </c>
      <c r="CF250" s="2078">
        <f t="shared" ca="1" si="941"/>
        <v>0</v>
      </c>
      <c r="CG250" s="2078">
        <f t="shared" ca="1" si="942"/>
        <v>0</v>
      </c>
      <c r="CH250" s="2078">
        <f t="shared" ca="1" si="943"/>
        <v>0</v>
      </c>
      <c r="CI250" s="2078">
        <f t="shared" ca="1" si="944"/>
        <v>0</v>
      </c>
      <c r="CJ250" s="2078">
        <f t="shared" ca="1" si="945"/>
        <v>0</v>
      </c>
      <c r="CK250" s="2078">
        <f t="shared" ca="1" si="946"/>
        <v>0</v>
      </c>
      <c r="CL250" s="2078">
        <f t="shared" ca="1" si="947"/>
        <v>0</v>
      </c>
      <c r="CM250" s="2078">
        <f t="shared" si="413"/>
        <v>1</v>
      </c>
      <c r="CN250" s="2078">
        <f t="shared" si="414"/>
        <v>1</v>
      </c>
      <c r="CO250" s="2078">
        <f t="shared" si="958"/>
        <v>1</v>
      </c>
      <c r="CP250" s="2078">
        <f t="shared" si="948"/>
        <v>1</v>
      </c>
      <c r="CQ250" s="2078">
        <f t="shared" si="959"/>
        <v>0</v>
      </c>
      <c r="CR250" s="2078">
        <f t="shared" si="879"/>
        <v>0</v>
      </c>
      <c r="CS250" s="2078">
        <f t="shared" si="949"/>
        <v>0</v>
      </c>
      <c r="CT250" s="2078">
        <f t="shared" si="960"/>
        <v>1</v>
      </c>
      <c r="CU250" s="2078">
        <f t="shared" si="950"/>
        <v>1</v>
      </c>
      <c r="CV250" s="2078">
        <f t="shared" si="419"/>
        <v>0</v>
      </c>
      <c r="CW250" s="2078">
        <f>IF(OR(AE250&lt;&gt;3,F250="Exclude"),0,IF(ISERROR(MATCH($E250,'4 Sign-off'!$S$123:$X$123,0)),0,1))</f>
        <v>0</v>
      </c>
      <c r="CX250" s="2078">
        <f t="shared" si="883"/>
        <v>0</v>
      </c>
      <c r="CY250" s="2078">
        <f t="shared" si="420"/>
        <v>0</v>
      </c>
      <c r="CZ250" s="2993">
        <f t="shared" ca="1" si="880"/>
        <v>0</v>
      </c>
      <c r="DA250" s="3037">
        <f t="shared" ca="1" si="881"/>
        <v>0</v>
      </c>
      <c r="DB250" s="1664"/>
      <c r="DC250" s="1320"/>
      <c r="DD250" s="589"/>
      <c r="DE250" s="1321"/>
      <c r="DF250" s="107"/>
      <c r="DG250" s="112"/>
      <c r="DH250" s="140"/>
      <c r="DI250" s="22"/>
      <c r="DJ250" s="145"/>
      <c r="DK250" s="137"/>
      <c r="DL250" s="137"/>
      <c r="DM250" s="137"/>
      <c r="DN250" s="137"/>
      <c r="DO250" s="137"/>
      <c r="DP250" s="137"/>
      <c r="DQ250" s="137"/>
      <c r="DR250" s="137"/>
      <c r="DS250" s="137"/>
      <c r="DT250" s="137"/>
      <c r="DU250" s="137"/>
      <c r="DV250" s="137"/>
      <c r="DW250" s="137"/>
      <c r="DX250" s="137"/>
      <c r="DY250" s="137"/>
      <c r="DZ250" s="137"/>
      <c r="EA250" s="137"/>
      <c r="EB250" s="137"/>
      <c r="EC250" s="137"/>
      <c r="ED250" s="137"/>
      <c r="EE250" s="137"/>
      <c r="EF250" s="137"/>
      <c r="EG250" s="137"/>
      <c r="EH250" s="137"/>
      <c r="EI250" s="137"/>
      <c r="EJ250" s="137"/>
      <c r="EK250" s="137"/>
      <c r="EL250" s="137"/>
      <c r="EM250" s="137"/>
      <c r="EN250" s="137"/>
      <c r="EO250" s="137"/>
      <c r="EP250" s="137"/>
      <c r="EQ250" s="137"/>
      <c r="ER250" s="137"/>
      <c r="ES250" s="137"/>
      <c r="ET250" s="137"/>
      <c r="EU250" s="137"/>
      <c r="EV250" s="137"/>
      <c r="EW250" s="137"/>
      <c r="EX250" s="137"/>
      <c r="EY250" s="137"/>
      <c r="EZ250" s="137"/>
      <c r="FA250" s="137"/>
      <c r="FB250" s="137"/>
      <c r="FC250" s="137"/>
      <c r="FD250" s="137"/>
      <c r="FE250" s="137"/>
      <c r="FF250" s="137"/>
      <c r="FG250" s="860"/>
      <c r="FH250" s="863"/>
      <c r="FI250" s="1318"/>
      <c r="FJ250" s="126"/>
      <c r="FK250" s="127"/>
      <c r="FL250" s="128" t="str">
        <f t="shared" si="951"/>
        <v xml:space="preserve">    </v>
      </c>
      <c r="FM250" s="128"/>
      <c r="FN250" s="1686">
        <f t="shared" si="952"/>
        <v>0</v>
      </c>
      <c r="FO250" s="46">
        <f t="shared" si="421"/>
        <v>0</v>
      </c>
      <c r="FP250" s="46">
        <f t="shared" si="422"/>
        <v>1</v>
      </c>
      <c r="FQ250" s="75">
        <f t="shared" si="953"/>
        <v>0</v>
      </c>
      <c r="FR250" s="46">
        <f t="shared" si="873"/>
        <v>0</v>
      </c>
      <c r="FS250" s="46">
        <f t="shared" si="874"/>
        <v>1</v>
      </c>
      <c r="FT250" s="75">
        <f t="shared" si="954"/>
        <v>0</v>
      </c>
      <c r="FU250" s="2603">
        <f t="shared" si="423"/>
        <v>0</v>
      </c>
      <c r="FV250" s="2607">
        <f t="shared" si="424"/>
        <v>0</v>
      </c>
      <c r="FW250" s="2603">
        <f t="shared" si="425"/>
        <v>0</v>
      </c>
      <c r="FX250" s="2631">
        <f t="shared" si="426"/>
        <v>0</v>
      </c>
      <c r="FY250" s="81" t="e">
        <f t="shared" si="875"/>
        <v>#N/A</v>
      </c>
      <c r="FZ250" s="64" t="e">
        <f t="array" ref="FZ250">MATCH(1,($GT250:$LQ250&gt;0)*$GT$25:$LQ$25,0)</f>
        <v>#N/A</v>
      </c>
      <c r="GA250" s="64" t="e">
        <f t="array" ref="GA250">MATCH(2,1/(GT250:LQ250&gt;0))</f>
        <v>#N/A</v>
      </c>
      <c r="GB250" s="64">
        <f t="shared" si="955"/>
        <v>-1</v>
      </c>
      <c r="GC250" s="46"/>
      <c r="GD250" s="613"/>
      <c r="GE250" s="613"/>
      <c r="GF250" s="613"/>
      <c r="GG250" s="613"/>
      <c r="GH250" s="613"/>
      <c r="GI250" s="613"/>
      <c r="GJ250" s="613"/>
      <c r="GK250" s="613"/>
      <c r="GL250" s="613"/>
      <c r="GM250" s="613"/>
      <c r="GN250" s="385">
        <f t="shared" si="884"/>
        <v>0</v>
      </c>
      <c r="GO250" s="386">
        <f t="shared" si="885"/>
        <v>0</v>
      </c>
      <c r="GP250" s="2635"/>
      <c r="GQ250" s="175"/>
      <c r="GR250" s="172"/>
      <c r="GS250" s="65"/>
      <c r="GT250" s="167"/>
      <c r="GU250" s="168"/>
      <c r="GV250" s="168"/>
      <c r="GW250" s="168"/>
      <c r="GX250" s="168"/>
      <c r="GY250" s="168"/>
      <c r="GZ250" s="168"/>
      <c r="HA250" s="168"/>
      <c r="HB250" s="168"/>
      <c r="HC250" s="168"/>
      <c r="HD250" s="168"/>
      <c r="HE250" s="168"/>
      <c r="HF250" s="168"/>
      <c r="HG250" s="168"/>
      <c r="HH250" s="168"/>
      <c r="HI250" s="168"/>
      <c r="HJ250" s="168"/>
      <c r="HK250" s="168"/>
      <c r="HL250" s="168"/>
      <c r="HM250" s="168"/>
      <c r="HN250" s="168"/>
      <c r="HO250" s="168"/>
      <c r="HP250" s="168"/>
      <c r="HQ250" s="168"/>
      <c r="HR250" s="168"/>
      <c r="HS250" s="168"/>
      <c r="HT250" s="168"/>
      <c r="HU250" s="168"/>
      <c r="HV250" s="168"/>
      <c r="HW250" s="168"/>
      <c r="HX250" s="168"/>
      <c r="HY250" s="168"/>
      <c r="HZ250" s="168"/>
      <c r="IA250" s="168"/>
      <c r="IB250" s="168"/>
      <c r="IC250" s="168"/>
      <c r="ID250" s="168"/>
      <c r="IE250" s="168"/>
      <c r="IF250" s="168"/>
      <c r="IG250" s="168"/>
      <c r="IH250" s="168"/>
      <c r="II250" s="168"/>
      <c r="IJ250" s="168"/>
      <c r="IK250" s="168"/>
      <c r="IL250" s="168"/>
      <c r="IM250" s="168"/>
      <c r="IN250" s="168"/>
      <c r="IO250" s="168"/>
      <c r="IP250" s="168"/>
      <c r="IQ250" s="168"/>
      <c r="IR250" s="168"/>
      <c r="IS250" s="168"/>
      <c r="IT250" s="168"/>
      <c r="IU250" s="168"/>
      <c r="IV250" s="168"/>
      <c r="IW250" s="168"/>
      <c r="IX250" s="168"/>
      <c r="IY250" s="168"/>
      <c r="IZ250" s="168"/>
      <c r="JA250" s="168"/>
      <c r="JB250" s="168"/>
      <c r="JC250" s="168"/>
      <c r="JD250" s="168"/>
      <c r="JE250" s="168"/>
      <c r="JF250" s="168"/>
      <c r="JG250" s="168"/>
      <c r="JH250" s="168"/>
      <c r="JI250" s="168"/>
      <c r="JJ250" s="168"/>
      <c r="JK250" s="168"/>
      <c r="JL250" s="168"/>
      <c r="JM250" s="168"/>
      <c r="JN250" s="168"/>
      <c r="JO250" s="168"/>
      <c r="JP250" s="168"/>
      <c r="JQ250" s="168"/>
      <c r="JR250" s="168"/>
      <c r="JS250" s="168"/>
      <c r="JT250" s="168"/>
      <c r="JU250" s="168"/>
      <c r="JV250" s="168"/>
      <c r="JW250" s="168"/>
      <c r="JX250" s="168"/>
      <c r="JY250" s="168"/>
      <c r="JZ250" s="168"/>
      <c r="KA250" s="168"/>
      <c r="KB250" s="168"/>
      <c r="KC250" s="168"/>
      <c r="KD250" s="168"/>
      <c r="KE250" s="168"/>
      <c r="KF250" s="168"/>
      <c r="KG250" s="168"/>
      <c r="KH250" s="168"/>
      <c r="KI250" s="168"/>
      <c r="KJ250" s="168"/>
      <c r="KK250" s="168"/>
      <c r="KL250" s="168"/>
      <c r="KM250" s="168"/>
      <c r="KN250" s="168"/>
      <c r="KO250" s="168"/>
      <c r="KP250" s="168"/>
      <c r="KQ250" s="168"/>
      <c r="KR250" s="168"/>
      <c r="KS250" s="168"/>
      <c r="KT250" s="168"/>
      <c r="KU250" s="168"/>
      <c r="KV250" s="168"/>
      <c r="KW250" s="168"/>
      <c r="KX250" s="168"/>
      <c r="KY250" s="168"/>
      <c r="KZ250" s="168"/>
      <c r="LA250" s="168"/>
      <c r="LB250" s="168"/>
      <c r="LC250" s="168"/>
      <c r="LD250" s="168"/>
      <c r="LE250" s="168"/>
      <c r="LF250" s="168"/>
      <c r="LG250" s="168"/>
      <c r="LH250" s="168"/>
      <c r="LI250" s="168"/>
      <c r="LJ250" s="168"/>
      <c r="LK250" s="168"/>
      <c r="LL250" s="168"/>
      <c r="LM250" s="168"/>
      <c r="LN250" s="168"/>
      <c r="LO250" s="168"/>
      <c r="LP250" s="606"/>
      <c r="LQ250" s="609"/>
      <c r="LR250" s="1319"/>
      <c r="LS250" s="1319"/>
    </row>
    <row r="251" spans="1:331" s="2" customFormat="1" ht="15" customHeight="1" x14ac:dyDescent="0.25">
      <c r="A251" s="283"/>
      <c r="B251" s="303"/>
      <c r="C251" s="301"/>
      <c r="D251" s="1287"/>
      <c r="E251" s="2298"/>
      <c r="F251" s="1812"/>
      <c r="G251" s="3342"/>
      <c r="H251" s="66"/>
      <c r="I251" s="1746"/>
      <c r="J251" s="1214"/>
      <c r="K251" s="105"/>
      <c r="L251" s="91"/>
      <c r="M251" s="92"/>
      <c r="N251" s="93"/>
      <c r="O251" s="94"/>
      <c r="P251" s="96"/>
      <c r="Q251" s="95"/>
      <c r="R251" s="993">
        <f t="shared" si="876"/>
        <v>0</v>
      </c>
      <c r="S251" s="23">
        <f t="shared" si="877"/>
        <v>0</v>
      </c>
      <c r="T251" s="24">
        <f t="shared" si="908"/>
        <v>0</v>
      </c>
      <c r="U251" s="24">
        <f t="shared" si="909"/>
        <v>0</v>
      </c>
      <c r="V251" s="24">
        <f t="shared" si="910"/>
        <v>0</v>
      </c>
      <c r="W251" s="24">
        <f t="shared" ca="1" si="911"/>
        <v>0</v>
      </c>
      <c r="X251" s="72">
        <f t="shared" ca="1" si="956"/>
        <v>0</v>
      </c>
      <c r="Y251" s="72">
        <f t="shared" si="912"/>
        <v>0</v>
      </c>
      <c r="Z251" s="24">
        <f t="shared" si="913"/>
        <v>0</v>
      </c>
      <c r="AA251" s="72">
        <f t="shared" si="957"/>
        <v>0</v>
      </c>
      <c r="AB251" s="24">
        <f t="shared" si="388"/>
        <v>0</v>
      </c>
      <c r="AC251" s="24">
        <f t="shared" ca="1" si="914"/>
        <v>0</v>
      </c>
      <c r="AD251" s="24">
        <f t="shared" si="886"/>
        <v>0</v>
      </c>
      <c r="AE251" s="2078">
        <f t="shared" si="870"/>
        <v>3</v>
      </c>
      <c r="AF251" s="2078">
        <f t="shared" si="871"/>
        <v>0</v>
      </c>
      <c r="AG251" s="2078">
        <f t="shared" si="872"/>
        <v>0</v>
      </c>
      <c r="AH251" s="2521">
        <f t="shared" si="887"/>
        <v>1</v>
      </c>
      <c r="AI251" s="25" t="str">
        <f t="shared" si="915"/>
        <v/>
      </c>
      <c r="AJ251" s="2521">
        <f t="shared" ca="1" si="882"/>
        <v>0</v>
      </c>
      <c r="AK251" s="2076">
        <f t="shared" ca="1" si="878"/>
        <v>0</v>
      </c>
      <c r="AL251" s="2078">
        <f>IF(ISBLANK(J251),0,ISERROR(MATCH(J251,'5  Control Accounts'!$FA$29:$FA$96,0))*1)</f>
        <v>0</v>
      </c>
      <c r="AM251" s="2076">
        <f t="shared" si="916"/>
        <v>0</v>
      </c>
      <c r="AN251" s="2078">
        <f t="shared" si="917"/>
        <v>1</v>
      </c>
      <c r="AO251" s="2079">
        <f t="shared" si="888"/>
        <v>1</v>
      </c>
      <c r="AP251" s="2079">
        <f t="shared" si="889"/>
        <v>0</v>
      </c>
      <c r="AQ251" s="2079">
        <f t="shared" si="890"/>
        <v>0</v>
      </c>
      <c r="AR251" s="2079">
        <f t="shared" si="891"/>
        <v>0</v>
      </c>
      <c r="AS251" s="2079">
        <f t="shared" si="892"/>
        <v>0</v>
      </c>
      <c r="AT251" s="2079">
        <f t="shared" si="893"/>
        <v>0</v>
      </c>
      <c r="AU251" s="2079">
        <f t="shared" si="894"/>
        <v>0</v>
      </c>
      <c r="AV251" s="2079">
        <f t="shared" si="895"/>
        <v>0</v>
      </c>
      <c r="AW251" s="2079">
        <f t="shared" si="896"/>
        <v>0</v>
      </c>
      <c r="AX251" s="2079">
        <f t="shared" si="897"/>
        <v>0</v>
      </c>
      <c r="AY251" s="2078">
        <f t="shared" si="918"/>
        <v>0</v>
      </c>
      <c r="AZ251" s="2078">
        <f t="shared" si="919"/>
        <v>0</v>
      </c>
      <c r="BA251" s="2078">
        <f t="shared" si="920"/>
        <v>0</v>
      </c>
      <c r="BB251" s="2078">
        <f t="shared" si="921"/>
        <v>0</v>
      </c>
      <c r="BC251" s="2078">
        <f t="shared" si="922"/>
        <v>0</v>
      </c>
      <c r="BD251" s="2078">
        <f t="shared" si="923"/>
        <v>0</v>
      </c>
      <c r="BE251" s="2078">
        <f t="shared" si="924"/>
        <v>0</v>
      </c>
      <c r="BF251" s="2078">
        <f t="shared" si="925"/>
        <v>0</v>
      </c>
      <c r="BG251" s="2078">
        <f t="shared" si="926"/>
        <v>0</v>
      </c>
      <c r="BH251" s="2078">
        <f t="shared" si="927"/>
        <v>0</v>
      </c>
      <c r="BI251" s="2078">
        <f t="shared" si="928"/>
        <v>0</v>
      </c>
      <c r="BJ251" s="2078">
        <f t="shared" si="929"/>
        <v>0</v>
      </c>
      <c r="BK251" s="2078">
        <f t="shared" si="930"/>
        <v>0</v>
      </c>
      <c r="BL251" s="2078">
        <f t="shared" si="931"/>
        <v>0</v>
      </c>
      <c r="BM251" s="2078">
        <f t="shared" si="932"/>
        <v>0</v>
      </c>
      <c r="BN251" s="2078">
        <f t="shared" si="933"/>
        <v>0</v>
      </c>
      <c r="BO251" s="2078">
        <f t="shared" si="934"/>
        <v>0</v>
      </c>
      <c r="BP251" s="2078">
        <f t="shared" si="935"/>
        <v>0</v>
      </c>
      <c r="BQ251" s="2078">
        <f t="shared" si="936"/>
        <v>0</v>
      </c>
      <c r="BR251" s="2078">
        <f t="shared" si="937"/>
        <v>0</v>
      </c>
      <c r="BS251" s="2079">
        <f t="shared" si="898"/>
        <v>1</v>
      </c>
      <c r="BT251" s="2079">
        <f t="shared" si="899"/>
        <v>0</v>
      </c>
      <c r="BU251" s="2079">
        <f t="shared" si="900"/>
        <v>0</v>
      </c>
      <c r="BV251" s="2079">
        <f t="shared" si="901"/>
        <v>0</v>
      </c>
      <c r="BW251" s="2079">
        <f t="shared" si="902"/>
        <v>0</v>
      </c>
      <c r="BX251" s="2079">
        <f t="shared" si="903"/>
        <v>0</v>
      </c>
      <c r="BY251" s="2079">
        <f t="shared" si="904"/>
        <v>0</v>
      </c>
      <c r="BZ251" s="2079">
        <f t="shared" si="905"/>
        <v>0</v>
      </c>
      <c r="CA251" s="2079">
        <f t="shared" si="906"/>
        <v>0</v>
      </c>
      <c r="CB251" s="2079">
        <f t="shared" si="907"/>
        <v>0</v>
      </c>
      <c r="CC251" s="2078">
        <f t="shared" ca="1" si="938"/>
        <v>0</v>
      </c>
      <c r="CD251" s="2078">
        <f t="shared" ca="1" si="939"/>
        <v>0</v>
      </c>
      <c r="CE251" s="2078">
        <f t="shared" ca="1" si="940"/>
        <v>0</v>
      </c>
      <c r="CF251" s="2078">
        <f t="shared" ca="1" si="941"/>
        <v>0</v>
      </c>
      <c r="CG251" s="2078">
        <f t="shared" ca="1" si="942"/>
        <v>0</v>
      </c>
      <c r="CH251" s="2078">
        <f t="shared" ca="1" si="943"/>
        <v>0</v>
      </c>
      <c r="CI251" s="2078">
        <f t="shared" ca="1" si="944"/>
        <v>0</v>
      </c>
      <c r="CJ251" s="2078">
        <f t="shared" ca="1" si="945"/>
        <v>0</v>
      </c>
      <c r="CK251" s="2078">
        <f t="shared" ca="1" si="946"/>
        <v>0</v>
      </c>
      <c r="CL251" s="2078">
        <f t="shared" ca="1" si="947"/>
        <v>0</v>
      </c>
      <c r="CM251" s="2078">
        <f t="shared" si="413"/>
        <v>1</v>
      </c>
      <c r="CN251" s="2078">
        <f t="shared" si="414"/>
        <v>1</v>
      </c>
      <c r="CO251" s="2078">
        <f t="shared" si="958"/>
        <v>1</v>
      </c>
      <c r="CP251" s="2078">
        <f t="shared" si="948"/>
        <v>1</v>
      </c>
      <c r="CQ251" s="2078">
        <f t="shared" si="959"/>
        <v>0</v>
      </c>
      <c r="CR251" s="2078">
        <f t="shared" si="879"/>
        <v>0</v>
      </c>
      <c r="CS251" s="2078">
        <f t="shared" si="949"/>
        <v>0</v>
      </c>
      <c r="CT251" s="2078">
        <f t="shared" si="960"/>
        <v>1</v>
      </c>
      <c r="CU251" s="2078">
        <f t="shared" si="950"/>
        <v>1</v>
      </c>
      <c r="CV251" s="2078">
        <f t="shared" si="419"/>
        <v>0</v>
      </c>
      <c r="CW251" s="2078">
        <f>IF(OR(AE251&lt;&gt;3,F251="Exclude"),0,IF(ISERROR(MATCH($E251,'4 Sign-off'!$S$123:$X$123,0)),0,1))</f>
        <v>0</v>
      </c>
      <c r="CX251" s="2078">
        <f t="shared" si="883"/>
        <v>0</v>
      </c>
      <c r="CY251" s="2078">
        <f t="shared" si="420"/>
        <v>0</v>
      </c>
      <c r="CZ251" s="2993">
        <f t="shared" ca="1" si="880"/>
        <v>0</v>
      </c>
      <c r="DA251" s="3037">
        <f t="shared" ca="1" si="881"/>
        <v>0</v>
      </c>
      <c r="DB251" s="1664"/>
      <c r="DC251" s="1320"/>
      <c r="DD251" s="589"/>
      <c r="DE251" s="1321"/>
      <c r="DF251" s="107"/>
      <c r="DG251" s="112"/>
      <c r="DH251" s="140"/>
      <c r="DI251" s="22"/>
      <c r="DJ251" s="145"/>
      <c r="DK251" s="137"/>
      <c r="DL251" s="137"/>
      <c r="DM251" s="137"/>
      <c r="DN251" s="137"/>
      <c r="DO251" s="137"/>
      <c r="DP251" s="137"/>
      <c r="DQ251" s="137"/>
      <c r="DR251" s="137"/>
      <c r="DS251" s="137"/>
      <c r="DT251" s="137"/>
      <c r="DU251" s="137"/>
      <c r="DV251" s="137"/>
      <c r="DW251" s="137"/>
      <c r="DX251" s="137"/>
      <c r="DY251" s="137"/>
      <c r="DZ251" s="137"/>
      <c r="EA251" s="137"/>
      <c r="EB251" s="137"/>
      <c r="EC251" s="137"/>
      <c r="ED251" s="137"/>
      <c r="EE251" s="137"/>
      <c r="EF251" s="137"/>
      <c r="EG251" s="137"/>
      <c r="EH251" s="137"/>
      <c r="EI251" s="137"/>
      <c r="EJ251" s="137"/>
      <c r="EK251" s="137"/>
      <c r="EL251" s="137"/>
      <c r="EM251" s="137"/>
      <c r="EN251" s="137"/>
      <c r="EO251" s="137"/>
      <c r="EP251" s="137"/>
      <c r="EQ251" s="137"/>
      <c r="ER251" s="137"/>
      <c r="ES251" s="137"/>
      <c r="ET251" s="137"/>
      <c r="EU251" s="137"/>
      <c r="EV251" s="137"/>
      <c r="EW251" s="137"/>
      <c r="EX251" s="137"/>
      <c r="EY251" s="137"/>
      <c r="EZ251" s="137"/>
      <c r="FA251" s="137"/>
      <c r="FB251" s="137"/>
      <c r="FC251" s="137"/>
      <c r="FD251" s="137"/>
      <c r="FE251" s="137"/>
      <c r="FF251" s="137"/>
      <c r="FG251" s="860"/>
      <c r="FH251" s="863"/>
      <c r="FI251" s="1318"/>
      <c r="FJ251" s="126"/>
      <c r="FK251" s="127"/>
      <c r="FL251" s="128" t="str">
        <f t="shared" si="951"/>
        <v xml:space="preserve">    </v>
      </c>
      <c r="FM251" s="128"/>
      <c r="FN251" s="1686">
        <f t="shared" si="952"/>
        <v>0</v>
      </c>
      <c r="FO251" s="46">
        <f t="shared" si="421"/>
        <v>0</v>
      </c>
      <c r="FP251" s="46">
        <f t="shared" si="422"/>
        <v>1</v>
      </c>
      <c r="FQ251" s="75">
        <f t="shared" si="953"/>
        <v>0</v>
      </c>
      <c r="FR251" s="46">
        <f t="shared" si="873"/>
        <v>0</v>
      </c>
      <c r="FS251" s="46">
        <f t="shared" si="874"/>
        <v>1</v>
      </c>
      <c r="FT251" s="75">
        <f t="shared" si="954"/>
        <v>0</v>
      </c>
      <c r="FU251" s="2603">
        <f t="shared" si="423"/>
        <v>0</v>
      </c>
      <c r="FV251" s="2607">
        <f t="shared" si="424"/>
        <v>0</v>
      </c>
      <c r="FW251" s="2603">
        <f t="shared" si="425"/>
        <v>0</v>
      </c>
      <c r="FX251" s="2631">
        <f t="shared" si="426"/>
        <v>0</v>
      </c>
      <c r="FY251" s="81" t="e">
        <f t="shared" si="875"/>
        <v>#N/A</v>
      </c>
      <c r="FZ251" s="64" t="e">
        <f t="array" ref="FZ251">MATCH(1,($GT251:$LQ251&gt;0)*$GT$25:$LQ$25,0)</f>
        <v>#N/A</v>
      </c>
      <c r="GA251" s="64" t="e">
        <f t="array" ref="GA251">MATCH(2,1/(GT251:LQ251&gt;0))</f>
        <v>#N/A</v>
      </c>
      <c r="GB251" s="64">
        <f t="shared" si="955"/>
        <v>-1</v>
      </c>
      <c r="GC251" s="46"/>
      <c r="GD251" s="613"/>
      <c r="GE251" s="613"/>
      <c r="GF251" s="613"/>
      <c r="GG251" s="613"/>
      <c r="GH251" s="613"/>
      <c r="GI251" s="613"/>
      <c r="GJ251" s="613"/>
      <c r="GK251" s="613"/>
      <c r="GL251" s="613"/>
      <c r="GM251" s="613"/>
      <c r="GN251" s="385">
        <f t="shared" si="884"/>
        <v>0</v>
      </c>
      <c r="GO251" s="386">
        <f t="shared" si="885"/>
        <v>0</v>
      </c>
      <c r="GP251" s="2635"/>
      <c r="GQ251" s="175"/>
      <c r="GR251" s="172"/>
      <c r="GS251" s="65"/>
      <c r="GT251" s="167"/>
      <c r="GU251" s="168"/>
      <c r="GV251" s="168"/>
      <c r="GW251" s="168"/>
      <c r="GX251" s="168"/>
      <c r="GY251" s="168"/>
      <c r="GZ251" s="168"/>
      <c r="HA251" s="168"/>
      <c r="HB251" s="168"/>
      <c r="HC251" s="168"/>
      <c r="HD251" s="168"/>
      <c r="HE251" s="168"/>
      <c r="HF251" s="168"/>
      <c r="HG251" s="168"/>
      <c r="HH251" s="168"/>
      <c r="HI251" s="168"/>
      <c r="HJ251" s="168"/>
      <c r="HK251" s="168"/>
      <c r="HL251" s="168"/>
      <c r="HM251" s="168"/>
      <c r="HN251" s="168"/>
      <c r="HO251" s="168"/>
      <c r="HP251" s="168"/>
      <c r="HQ251" s="168"/>
      <c r="HR251" s="168"/>
      <c r="HS251" s="168"/>
      <c r="HT251" s="168"/>
      <c r="HU251" s="168"/>
      <c r="HV251" s="168"/>
      <c r="HW251" s="168"/>
      <c r="HX251" s="168"/>
      <c r="HY251" s="168"/>
      <c r="HZ251" s="168"/>
      <c r="IA251" s="168"/>
      <c r="IB251" s="168"/>
      <c r="IC251" s="168"/>
      <c r="ID251" s="168"/>
      <c r="IE251" s="168"/>
      <c r="IF251" s="168"/>
      <c r="IG251" s="168"/>
      <c r="IH251" s="168"/>
      <c r="II251" s="168"/>
      <c r="IJ251" s="168"/>
      <c r="IK251" s="168"/>
      <c r="IL251" s="168"/>
      <c r="IM251" s="168"/>
      <c r="IN251" s="168"/>
      <c r="IO251" s="168"/>
      <c r="IP251" s="168"/>
      <c r="IQ251" s="168"/>
      <c r="IR251" s="168"/>
      <c r="IS251" s="168"/>
      <c r="IT251" s="168"/>
      <c r="IU251" s="168"/>
      <c r="IV251" s="168"/>
      <c r="IW251" s="168"/>
      <c r="IX251" s="168"/>
      <c r="IY251" s="168"/>
      <c r="IZ251" s="168"/>
      <c r="JA251" s="168"/>
      <c r="JB251" s="168"/>
      <c r="JC251" s="168"/>
      <c r="JD251" s="168"/>
      <c r="JE251" s="168"/>
      <c r="JF251" s="168"/>
      <c r="JG251" s="168"/>
      <c r="JH251" s="168"/>
      <c r="JI251" s="168"/>
      <c r="JJ251" s="168"/>
      <c r="JK251" s="168"/>
      <c r="JL251" s="168"/>
      <c r="JM251" s="168"/>
      <c r="JN251" s="168"/>
      <c r="JO251" s="168"/>
      <c r="JP251" s="168"/>
      <c r="JQ251" s="168"/>
      <c r="JR251" s="168"/>
      <c r="JS251" s="168"/>
      <c r="JT251" s="168"/>
      <c r="JU251" s="168"/>
      <c r="JV251" s="168"/>
      <c r="JW251" s="168"/>
      <c r="JX251" s="168"/>
      <c r="JY251" s="168"/>
      <c r="JZ251" s="168"/>
      <c r="KA251" s="168"/>
      <c r="KB251" s="168"/>
      <c r="KC251" s="168"/>
      <c r="KD251" s="168"/>
      <c r="KE251" s="168"/>
      <c r="KF251" s="168"/>
      <c r="KG251" s="168"/>
      <c r="KH251" s="168"/>
      <c r="KI251" s="168"/>
      <c r="KJ251" s="168"/>
      <c r="KK251" s="168"/>
      <c r="KL251" s="168"/>
      <c r="KM251" s="168"/>
      <c r="KN251" s="168"/>
      <c r="KO251" s="168"/>
      <c r="KP251" s="168"/>
      <c r="KQ251" s="168"/>
      <c r="KR251" s="168"/>
      <c r="KS251" s="168"/>
      <c r="KT251" s="168"/>
      <c r="KU251" s="168"/>
      <c r="KV251" s="168"/>
      <c r="KW251" s="168"/>
      <c r="KX251" s="168"/>
      <c r="KY251" s="168"/>
      <c r="KZ251" s="168"/>
      <c r="LA251" s="168"/>
      <c r="LB251" s="168"/>
      <c r="LC251" s="168"/>
      <c r="LD251" s="168"/>
      <c r="LE251" s="168"/>
      <c r="LF251" s="168"/>
      <c r="LG251" s="168"/>
      <c r="LH251" s="168"/>
      <c r="LI251" s="168"/>
      <c r="LJ251" s="168"/>
      <c r="LK251" s="168"/>
      <c r="LL251" s="168"/>
      <c r="LM251" s="168"/>
      <c r="LN251" s="168"/>
      <c r="LO251" s="168"/>
      <c r="LP251" s="606"/>
      <c r="LQ251" s="609"/>
      <c r="LR251" s="1319"/>
      <c r="LS251" s="1319"/>
    </row>
    <row r="252" spans="1:331" s="2" customFormat="1" ht="15" customHeight="1" x14ac:dyDescent="0.25">
      <c r="A252" s="283"/>
      <c r="B252" s="303"/>
      <c r="C252" s="301"/>
      <c r="D252" s="1287"/>
      <c r="E252" s="2298"/>
      <c r="F252" s="1812"/>
      <c r="G252" s="3342"/>
      <c r="H252" s="66"/>
      <c r="I252" s="1746"/>
      <c r="J252" s="1214"/>
      <c r="K252" s="105"/>
      <c r="L252" s="91"/>
      <c r="M252" s="92"/>
      <c r="N252" s="93"/>
      <c r="O252" s="94"/>
      <c r="P252" s="96"/>
      <c r="Q252" s="95"/>
      <c r="R252" s="993">
        <f t="shared" si="876"/>
        <v>0</v>
      </c>
      <c r="S252" s="23">
        <f t="shared" si="877"/>
        <v>0</v>
      </c>
      <c r="T252" s="24">
        <f t="shared" si="908"/>
        <v>0</v>
      </c>
      <c r="U252" s="24">
        <f t="shared" si="909"/>
        <v>0</v>
      </c>
      <c r="V252" s="24">
        <f t="shared" si="910"/>
        <v>0</v>
      </c>
      <c r="W252" s="24">
        <f t="shared" ca="1" si="911"/>
        <v>0</v>
      </c>
      <c r="X252" s="72">
        <f t="shared" ca="1" si="956"/>
        <v>0</v>
      </c>
      <c r="Y252" s="72">
        <f t="shared" si="912"/>
        <v>0</v>
      </c>
      <c r="Z252" s="24">
        <f t="shared" si="913"/>
        <v>0</v>
      </c>
      <c r="AA252" s="72">
        <f t="shared" si="957"/>
        <v>0</v>
      </c>
      <c r="AB252" s="24">
        <f t="shared" si="388"/>
        <v>0</v>
      </c>
      <c r="AC252" s="24">
        <f t="shared" ca="1" si="914"/>
        <v>0</v>
      </c>
      <c r="AD252" s="24">
        <f t="shared" si="886"/>
        <v>0</v>
      </c>
      <c r="AE252" s="2078">
        <f t="shared" ref="AE252:AE283" si="961">IF(N252="",3,IF(AND(L252&gt;0,M252&gt;0),2,1))</f>
        <v>3</v>
      </c>
      <c r="AF252" s="2078">
        <f t="shared" ref="AF252:AF283" si="962">IF(AND(ISNUMBER(VALUE(L252)),RIGHT(L252,1)="0"),(L252+0.00001),L252)</f>
        <v>0</v>
      </c>
      <c r="AG252" s="2078">
        <f t="shared" ref="AG252:AG283" si="963">IF(AND(ISNUMBER(VALUE(M252)),RIGHT(M252,1)="0"),(M252+0.00001),M252)</f>
        <v>0</v>
      </c>
      <c r="AH252" s="2521">
        <f t="shared" si="887"/>
        <v>1</v>
      </c>
      <c r="AI252" s="25" t="str">
        <f t="shared" si="915"/>
        <v/>
      </c>
      <c r="AJ252" s="2521">
        <f t="shared" ca="1" si="882"/>
        <v>0</v>
      </c>
      <c r="AK252" s="2076">
        <f t="shared" ca="1" si="878"/>
        <v>0</v>
      </c>
      <c r="AL252" s="2078">
        <f>IF(ISBLANK(J252),0,ISERROR(MATCH(J252,'5  Control Accounts'!$FA$29:$FA$96,0))*1)</f>
        <v>0</v>
      </c>
      <c r="AM252" s="2076">
        <f t="shared" si="916"/>
        <v>0</v>
      </c>
      <c r="AN252" s="2078">
        <f t="shared" si="917"/>
        <v>1</v>
      </c>
      <c r="AO252" s="2079">
        <f t="shared" si="888"/>
        <v>1</v>
      </c>
      <c r="AP252" s="2079">
        <f t="shared" si="889"/>
        <v>0</v>
      </c>
      <c r="AQ252" s="2079">
        <f t="shared" si="890"/>
        <v>0</v>
      </c>
      <c r="AR252" s="2079">
        <f t="shared" si="891"/>
        <v>0</v>
      </c>
      <c r="AS252" s="2079">
        <f t="shared" si="892"/>
        <v>0</v>
      </c>
      <c r="AT252" s="2079">
        <f t="shared" si="893"/>
        <v>0</v>
      </c>
      <c r="AU252" s="2079">
        <f t="shared" si="894"/>
        <v>0</v>
      </c>
      <c r="AV252" s="2079">
        <f t="shared" si="895"/>
        <v>0</v>
      </c>
      <c r="AW252" s="2079">
        <f t="shared" si="896"/>
        <v>0</v>
      </c>
      <c r="AX252" s="2079">
        <f t="shared" si="897"/>
        <v>0</v>
      </c>
      <c r="AY252" s="2078">
        <f t="shared" si="918"/>
        <v>0</v>
      </c>
      <c r="AZ252" s="2078">
        <f t="shared" si="919"/>
        <v>0</v>
      </c>
      <c r="BA252" s="2078">
        <f t="shared" si="920"/>
        <v>0</v>
      </c>
      <c r="BB252" s="2078">
        <f t="shared" si="921"/>
        <v>0</v>
      </c>
      <c r="BC252" s="2078">
        <f t="shared" si="922"/>
        <v>0</v>
      </c>
      <c r="BD252" s="2078">
        <f t="shared" si="923"/>
        <v>0</v>
      </c>
      <c r="BE252" s="2078">
        <f t="shared" si="924"/>
        <v>0</v>
      </c>
      <c r="BF252" s="2078">
        <f t="shared" si="925"/>
        <v>0</v>
      </c>
      <c r="BG252" s="2078">
        <f t="shared" si="926"/>
        <v>0</v>
      </c>
      <c r="BH252" s="2078">
        <f t="shared" si="927"/>
        <v>0</v>
      </c>
      <c r="BI252" s="2078">
        <f t="shared" si="928"/>
        <v>0</v>
      </c>
      <c r="BJ252" s="2078">
        <f t="shared" si="929"/>
        <v>0</v>
      </c>
      <c r="BK252" s="2078">
        <f t="shared" si="930"/>
        <v>0</v>
      </c>
      <c r="BL252" s="2078">
        <f t="shared" si="931"/>
        <v>0</v>
      </c>
      <c r="BM252" s="2078">
        <f t="shared" si="932"/>
        <v>0</v>
      </c>
      <c r="BN252" s="2078">
        <f t="shared" si="933"/>
        <v>0</v>
      </c>
      <c r="BO252" s="2078">
        <f t="shared" si="934"/>
        <v>0</v>
      </c>
      <c r="BP252" s="2078">
        <f t="shared" si="935"/>
        <v>0</v>
      </c>
      <c r="BQ252" s="2078">
        <f t="shared" si="936"/>
        <v>0</v>
      </c>
      <c r="BR252" s="2078">
        <f t="shared" si="937"/>
        <v>0</v>
      </c>
      <c r="BS252" s="2079">
        <f t="shared" si="898"/>
        <v>1</v>
      </c>
      <c r="BT252" s="2079">
        <f t="shared" si="899"/>
        <v>0</v>
      </c>
      <c r="BU252" s="2079">
        <f t="shared" si="900"/>
        <v>0</v>
      </c>
      <c r="BV252" s="2079">
        <f t="shared" si="901"/>
        <v>0</v>
      </c>
      <c r="BW252" s="2079">
        <f t="shared" si="902"/>
        <v>0</v>
      </c>
      <c r="BX252" s="2079">
        <f t="shared" si="903"/>
        <v>0</v>
      </c>
      <c r="BY252" s="2079">
        <f t="shared" si="904"/>
        <v>0</v>
      </c>
      <c r="BZ252" s="2079">
        <f t="shared" si="905"/>
        <v>0</v>
      </c>
      <c r="CA252" s="2079">
        <f t="shared" si="906"/>
        <v>0</v>
      </c>
      <c r="CB252" s="2079">
        <f t="shared" si="907"/>
        <v>0</v>
      </c>
      <c r="CC252" s="2078">
        <f t="shared" ca="1" si="938"/>
        <v>0</v>
      </c>
      <c r="CD252" s="2078">
        <f t="shared" ca="1" si="939"/>
        <v>0</v>
      </c>
      <c r="CE252" s="2078">
        <f t="shared" ca="1" si="940"/>
        <v>0</v>
      </c>
      <c r="CF252" s="2078">
        <f t="shared" ca="1" si="941"/>
        <v>0</v>
      </c>
      <c r="CG252" s="2078">
        <f t="shared" ca="1" si="942"/>
        <v>0</v>
      </c>
      <c r="CH252" s="2078">
        <f t="shared" ca="1" si="943"/>
        <v>0</v>
      </c>
      <c r="CI252" s="2078">
        <f t="shared" ca="1" si="944"/>
        <v>0</v>
      </c>
      <c r="CJ252" s="2078">
        <f t="shared" ca="1" si="945"/>
        <v>0</v>
      </c>
      <c r="CK252" s="2078">
        <f t="shared" ca="1" si="946"/>
        <v>0</v>
      </c>
      <c r="CL252" s="2078">
        <f t="shared" ca="1" si="947"/>
        <v>0</v>
      </c>
      <c r="CM252" s="2078">
        <f t="shared" si="413"/>
        <v>1</v>
      </c>
      <c r="CN252" s="2078">
        <f t="shared" si="414"/>
        <v>1</v>
      </c>
      <c r="CO252" s="2078">
        <f t="shared" si="958"/>
        <v>1</v>
      </c>
      <c r="CP252" s="2078">
        <f t="shared" si="948"/>
        <v>1</v>
      </c>
      <c r="CQ252" s="2078">
        <f t="shared" si="959"/>
        <v>0</v>
      </c>
      <c r="CR252" s="2078">
        <f t="shared" si="879"/>
        <v>0</v>
      </c>
      <c r="CS252" s="2078">
        <f t="shared" si="949"/>
        <v>0</v>
      </c>
      <c r="CT252" s="2078">
        <f t="shared" si="960"/>
        <v>1</v>
      </c>
      <c r="CU252" s="2078">
        <f t="shared" si="950"/>
        <v>1</v>
      </c>
      <c r="CV252" s="2078">
        <f t="shared" si="419"/>
        <v>0</v>
      </c>
      <c r="CW252" s="2078">
        <f>IF(OR(AE252&lt;&gt;3,F252="Exclude"),0,IF(ISERROR(MATCH($E252,'4 Sign-off'!$S$123:$X$123,0)),0,1))</f>
        <v>0</v>
      </c>
      <c r="CX252" s="2078">
        <f t="shared" si="883"/>
        <v>0</v>
      </c>
      <c r="CY252" s="2078">
        <f t="shared" si="420"/>
        <v>0</v>
      </c>
      <c r="CZ252" s="2993">
        <f t="shared" ca="1" si="880"/>
        <v>0</v>
      </c>
      <c r="DA252" s="3037">
        <f t="shared" ca="1" si="881"/>
        <v>0</v>
      </c>
      <c r="DB252" s="1664"/>
      <c r="DC252" s="1320"/>
      <c r="DD252" s="589"/>
      <c r="DE252" s="1321"/>
      <c r="DF252" s="107"/>
      <c r="DG252" s="112"/>
      <c r="DH252" s="140"/>
      <c r="DI252" s="22"/>
      <c r="DJ252" s="145"/>
      <c r="DK252" s="137"/>
      <c r="DL252" s="137"/>
      <c r="DM252" s="137"/>
      <c r="DN252" s="137"/>
      <c r="DO252" s="137"/>
      <c r="DP252" s="137"/>
      <c r="DQ252" s="137"/>
      <c r="DR252" s="137"/>
      <c r="DS252" s="137"/>
      <c r="DT252" s="137"/>
      <c r="DU252" s="137"/>
      <c r="DV252" s="137"/>
      <c r="DW252" s="137"/>
      <c r="DX252" s="137"/>
      <c r="DY252" s="137"/>
      <c r="DZ252" s="137"/>
      <c r="EA252" s="137"/>
      <c r="EB252" s="137"/>
      <c r="EC252" s="137"/>
      <c r="ED252" s="137"/>
      <c r="EE252" s="137"/>
      <c r="EF252" s="137"/>
      <c r="EG252" s="137"/>
      <c r="EH252" s="137"/>
      <c r="EI252" s="137"/>
      <c r="EJ252" s="137"/>
      <c r="EK252" s="137"/>
      <c r="EL252" s="137"/>
      <c r="EM252" s="137"/>
      <c r="EN252" s="137"/>
      <c r="EO252" s="137"/>
      <c r="EP252" s="137"/>
      <c r="EQ252" s="137"/>
      <c r="ER252" s="137"/>
      <c r="ES252" s="137"/>
      <c r="ET252" s="137"/>
      <c r="EU252" s="137"/>
      <c r="EV252" s="137"/>
      <c r="EW252" s="137"/>
      <c r="EX252" s="137"/>
      <c r="EY252" s="137"/>
      <c r="EZ252" s="137"/>
      <c r="FA252" s="137"/>
      <c r="FB252" s="137"/>
      <c r="FC252" s="137"/>
      <c r="FD252" s="137"/>
      <c r="FE252" s="137"/>
      <c r="FF252" s="137"/>
      <c r="FG252" s="860"/>
      <c r="FH252" s="863"/>
      <c r="FI252" s="1318"/>
      <c r="FJ252" s="126"/>
      <c r="FK252" s="127"/>
      <c r="FL252" s="128" t="str">
        <f t="shared" si="951"/>
        <v xml:space="preserve">    </v>
      </c>
      <c r="FM252" s="128"/>
      <c r="FN252" s="1686">
        <f t="shared" si="952"/>
        <v>0</v>
      </c>
      <c r="FO252" s="46">
        <f t="shared" si="421"/>
        <v>0</v>
      </c>
      <c r="FP252" s="46">
        <f t="shared" si="422"/>
        <v>1</v>
      </c>
      <c r="FQ252" s="75">
        <f t="shared" si="953"/>
        <v>0</v>
      </c>
      <c r="FR252" s="46">
        <f t="shared" ref="FR252:FR283" si="964">SUM(GT252:LQ252)</f>
        <v>0</v>
      </c>
      <c r="FS252" s="46">
        <f t="shared" ref="FS252:FS283" si="965">IFERROR(AN252/FQ252,1)</f>
        <v>1</v>
      </c>
      <c r="FT252" s="75">
        <f t="shared" si="954"/>
        <v>0</v>
      </c>
      <c r="FU252" s="2603">
        <f t="shared" si="423"/>
        <v>0</v>
      </c>
      <c r="FV252" s="2607">
        <f t="shared" si="424"/>
        <v>0</v>
      </c>
      <c r="FW252" s="2603">
        <f t="shared" si="425"/>
        <v>0</v>
      </c>
      <c r="FX252" s="2631">
        <f t="shared" si="426"/>
        <v>0</v>
      </c>
      <c r="FY252" s="81" t="e">
        <f t="shared" ref="FY252:FY283" si="966">IF($C$7&lt;&gt;"F",GA252,IF(GA252&lt;$GO$25,NA(),GA252))</f>
        <v>#N/A</v>
      </c>
      <c r="FZ252" s="64" t="e">
        <f t="array" ref="FZ252">MATCH(1,($GT252:$LQ252&gt;0)*$GT$25:$LQ$25,0)</f>
        <v>#N/A</v>
      </c>
      <c r="GA252" s="64" t="e">
        <f t="array" ref="GA252">MATCH(2,1/(GT252:LQ252&gt;0))</f>
        <v>#N/A</v>
      </c>
      <c r="GB252" s="64">
        <f t="shared" si="955"/>
        <v>-1</v>
      </c>
      <c r="GC252" s="46"/>
      <c r="GD252" s="613"/>
      <c r="GE252" s="613"/>
      <c r="GF252" s="613"/>
      <c r="GG252" s="613"/>
      <c r="GH252" s="613"/>
      <c r="GI252" s="613"/>
      <c r="GJ252" s="613"/>
      <c r="GK252" s="613"/>
      <c r="GL252" s="613"/>
      <c r="GM252" s="613"/>
      <c r="GN252" s="385">
        <f t="shared" si="884"/>
        <v>0</v>
      </c>
      <c r="GO252" s="386">
        <f t="shared" si="885"/>
        <v>0</v>
      </c>
      <c r="GP252" s="2635"/>
      <c r="GQ252" s="175"/>
      <c r="GR252" s="172"/>
      <c r="GS252" s="65"/>
      <c r="GT252" s="167"/>
      <c r="GU252" s="168"/>
      <c r="GV252" s="168"/>
      <c r="GW252" s="168"/>
      <c r="GX252" s="168"/>
      <c r="GY252" s="168"/>
      <c r="GZ252" s="168"/>
      <c r="HA252" s="168"/>
      <c r="HB252" s="168"/>
      <c r="HC252" s="168"/>
      <c r="HD252" s="168"/>
      <c r="HE252" s="168"/>
      <c r="HF252" s="168"/>
      <c r="HG252" s="168"/>
      <c r="HH252" s="168"/>
      <c r="HI252" s="168"/>
      <c r="HJ252" s="168"/>
      <c r="HK252" s="168"/>
      <c r="HL252" s="168"/>
      <c r="HM252" s="168"/>
      <c r="HN252" s="168"/>
      <c r="HO252" s="168"/>
      <c r="HP252" s="168"/>
      <c r="HQ252" s="168"/>
      <c r="HR252" s="168"/>
      <c r="HS252" s="168"/>
      <c r="HT252" s="168"/>
      <c r="HU252" s="168"/>
      <c r="HV252" s="168"/>
      <c r="HW252" s="168"/>
      <c r="HX252" s="168"/>
      <c r="HY252" s="168"/>
      <c r="HZ252" s="168"/>
      <c r="IA252" s="168"/>
      <c r="IB252" s="168"/>
      <c r="IC252" s="168"/>
      <c r="ID252" s="168"/>
      <c r="IE252" s="168"/>
      <c r="IF252" s="168"/>
      <c r="IG252" s="168"/>
      <c r="IH252" s="168"/>
      <c r="II252" s="168"/>
      <c r="IJ252" s="168"/>
      <c r="IK252" s="168"/>
      <c r="IL252" s="168"/>
      <c r="IM252" s="168"/>
      <c r="IN252" s="168"/>
      <c r="IO252" s="168"/>
      <c r="IP252" s="168"/>
      <c r="IQ252" s="168"/>
      <c r="IR252" s="168"/>
      <c r="IS252" s="168"/>
      <c r="IT252" s="168"/>
      <c r="IU252" s="168"/>
      <c r="IV252" s="168"/>
      <c r="IW252" s="168"/>
      <c r="IX252" s="168"/>
      <c r="IY252" s="168"/>
      <c r="IZ252" s="168"/>
      <c r="JA252" s="168"/>
      <c r="JB252" s="168"/>
      <c r="JC252" s="168"/>
      <c r="JD252" s="168"/>
      <c r="JE252" s="168"/>
      <c r="JF252" s="168"/>
      <c r="JG252" s="168"/>
      <c r="JH252" s="168"/>
      <c r="JI252" s="168"/>
      <c r="JJ252" s="168"/>
      <c r="JK252" s="168"/>
      <c r="JL252" s="168"/>
      <c r="JM252" s="168"/>
      <c r="JN252" s="168"/>
      <c r="JO252" s="168"/>
      <c r="JP252" s="168"/>
      <c r="JQ252" s="168"/>
      <c r="JR252" s="168"/>
      <c r="JS252" s="168"/>
      <c r="JT252" s="168"/>
      <c r="JU252" s="168"/>
      <c r="JV252" s="168"/>
      <c r="JW252" s="168"/>
      <c r="JX252" s="168"/>
      <c r="JY252" s="168"/>
      <c r="JZ252" s="168"/>
      <c r="KA252" s="168"/>
      <c r="KB252" s="168"/>
      <c r="KC252" s="168"/>
      <c r="KD252" s="168"/>
      <c r="KE252" s="168"/>
      <c r="KF252" s="168"/>
      <c r="KG252" s="168"/>
      <c r="KH252" s="168"/>
      <c r="KI252" s="168"/>
      <c r="KJ252" s="168"/>
      <c r="KK252" s="168"/>
      <c r="KL252" s="168"/>
      <c r="KM252" s="168"/>
      <c r="KN252" s="168"/>
      <c r="KO252" s="168"/>
      <c r="KP252" s="168"/>
      <c r="KQ252" s="168"/>
      <c r="KR252" s="168"/>
      <c r="KS252" s="168"/>
      <c r="KT252" s="168"/>
      <c r="KU252" s="168"/>
      <c r="KV252" s="168"/>
      <c r="KW252" s="168"/>
      <c r="KX252" s="168"/>
      <c r="KY252" s="168"/>
      <c r="KZ252" s="168"/>
      <c r="LA252" s="168"/>
      <c r="LB252" s="168"/>
      <c r="LC252" s="168"/>
      <c r="LD252" s="168"/>
      <c r="LE252" s="168"/>
      <c r="LF252" s="168"/>
      <c r="LG252" s="168"/>
      <c r="LH252" s="168"/>
      <c r="LI252" s="168"/>
      <c r="LJ252" s="168"/>
      <c r="LK252" s="168"/>
      <c r="LL252" s="168"/>
      <c r="LM252" s="168"/>
      <c r="LN252" s="168"/>
      <c r="LO252" s="168"/>
      <c r="LP252" s="606"/>
      <c r="LQ252" s="609"/>
      <c r="LR252" s="1319"/>
      <c r="LS252" s="1319"/>
    </row>
    <row r="253" spans="1:331" s="2" customFormat="1" ht="15" customHeight="1" x14ac:dyDescent="0.25">
      <c r="A253" s="283"/>
      <c r="B253" s="303"/>
      <c r="C253" s="301"/>
      <c r="D253" s="1287"/>
      <c r="E253" s="2298"/>
      <c r="F253" s="1812"/>
      <c r="G253" s="3342"/>
      <c r="H253" s="66"/>
      <c r="I253" s="1746"/>
      <c r="J253" s="1214"/>
      <c r="K253" s="105"/>
      <c r="L253" s="91"/>
      <c r="M253" s="92"/>
      <c r="N253" s="93"/>
      <c r="O253" s="94"/>
      <c r="P253" s="96"/>
      <c r="Q253" s="95"/>
      <c r="R253" s="993">
        <f t="shared" si="876"/>
        <v>0</v>
      </c>
      <c r="S253" s="23">
        <f t="shared" si="877"/>
        <v>0</v>
      </c>
      <c r="T253" s="24">
        <f t="shared" si="908"/>
        <v>0</v>
      </c>
      <c r="U253" s="24">
        <f t="shared" si="909"/>
        <v>0</v>
      </c>
      <c r="V253" s="24">
        <f t="shared" si="910"/>
        <v>0</v>
      </c>
      <c r="W253" s="24">
        <f t="shared" ca="1" si="911"/>
        <v>0</v>
      </c>
      <c r="X253" s="72">
        <f t="shared" ca="1" si="956"/>
        <v>0</v>
      </c>
      <c r="Y253" s="72">
        <f t="shared" si="912"/>
        <v>0</v>
      </c>
      <c r="Z253" s="24">
        <f t="shared" si="913"/>
        <v>0</v>
      </c>
      <c r="AA253" s="72">
        <f t="shared" si="957"/>
        <v>0</v>
      </c>
      <c r="AB253" s="24">
        <f t="shared" ref="AB253:AB316" si="967">$DE253*$CM253*(1-$CQ253)</f>
        <v>0</v>
      </c>
      <c r="AC253" s="24">
        <f t="shared" ca="1" si="914"/>
        <v>0</v>
      </c>
      <c r="AD253" s="24">
        <f t="shared" si="886"/>
        <v>0</v>
      </c>
      <c r="AE253" s="2078">
        <f t="shared" si="961"/>
        <v>3</v>
      </c>
      <c r="AF253" s="2078">
        <f t="shared" si="962"/>
        <v>0</v>
      </c>
      <c r="AG253" s="2078">
        <f t="shared" si="963"/>
        <v>0</v>
      </c>
      <c r="AH253" s="2521">
        <f t="shared" si="887"/>
        <v>1</v>
      </c>
      <c r="AI253" s="25" t="str">
        <f t="shared" si="915"/>
        <v/>
      </c>
      <c r="AJ253" s="2521">
        <f t="shared" ca="1" si="882"/>
        <v>0</v>
      </c>
      <c r="AK253" s="2076">
        <f t="shared" ca="1" si="878"/>
        <v>0</v>
      </c>
      <c r="AL253" s="2078">
        <f>IF(ISBLANK(J253),0,ISERROR(MATCH(J253,'5  Control Accounts'!$FA$29:$FA$96,0))*1)</f>
        <v>0</v>
      </c>
      <c r="AM253" s="2076">
        <f t="shared" si="916"/>
        <v>0</v>
      </c>
      <c r="AN253" s="2078">
        <f t="shared" si="917"/>
        <v>1</v>
      </c>
      <c r="AO253" s="2079">
        <f t="shared" si="888"/>
        <v>1</v>
      </c>
      <c r="AP253" s="2079">
        <f t="shared" si="889"/>
        <v>0</v>
      </c>
      <c r="AQ253" s="2079">
        <f t="shared" si="890"/>
        <v>0</v>
      </c>
      <c r="AR253" s="2079">
        <f t="shared" si="891"/>
        <v>0</v>
      </c>
      <c r="AS253" s="2079">
        <f t="shared" si="892"/>
        <v>0</v>
      </c>
      <c r="AT253" s="2079">
        <f t="shared" si="893"/>
        <v>0</v>
      </c>
      <c r="AU253" s="2079">
        <f t="shared" si="894"/>
        <v>0</v>
      </c>
      <c r="AV253" s="2079">
        <f t="shared" si="895"/>
        <v>0</v>
      </c>
      <c r="AW253" s="2079">
        <f t="shared" si="896"/>
        <v>0</v>
      </c>
      <c r="AX253" s="2079">
        <f t="shared" si="897"/>
        <v>0</v>
      </c>
      <c r="AY253" s="2078">
        <f t="shared" si="918"/>
        <v>0</v>
      </c>
      <c r="AZ253" s="2078">
        <f t="shared" si="919"/>
        <v>0</v>
      </c>
      <c r="BA253" s="2078">
        <f t="shared" si="920"/>
        <v>0</v>
      </c>
      <c r="BB253" s="2078">
        <f t="shared" si="921"/>
        <v>0</v>
      </c>
      <c r="BC253" s="2078">
        <f t="shared" si="922"/>
        <v>0</v>
      </c>
      <c r="BD253" s="2078">
        <f t="shared" si="923"/>
        <v>0</v>
      </c>
      <c r="BE253" s="2078">
        <f t="shared" si="924"/>
        <v>0</v>
      </c>
      <c r="BF253" s="2078">
        <f t="shared" si="925"/>
        <v>0</v>
      </c>
      <c r="BG253" s="2078">
        <f t="shared" si="926"/>
        <v>0</v>
      </c>
      <c r="BH253" s="2078">
        <f t="shared" si="927"/>
        <v>0</v>
      </c>
      <c r="BI253" s="2078">
        <f t="shared" si="928"/>
        <v>0</v>
      </c>
      <c r="BJ253" s="2078">
        <f t="shared" si="929"/>
        <v>0</v>
      </c>
      <c r="BK253" s="2078">
        <f t="shared" si="930"/>
        <v>0</v>
      </c>
      <c r="BL253" s="2078">
        <f t="shared" si="931"/>
        <v>0</v>
      </c>
      <c r="BM253" s="2078">
        <f t="shared" si="932"/>
        <v>0</v>
      </c>
      <c r="BN253" s="2078">
        <f t="shared" si="933"/>
        <v>0</v>
      </c>
      <c r="BO253" s="2078">
        <f t="shared" si="934"/>
        <v>0</v>
      </c>
      <c r="BP253" s="2078">
        <f t="shared" si="935"/>
        <v>0</v>
      </c>
      <c r="BQ253" s="2078">
        <f t="shared" si="936"/>
        <v>0</v>
      </c>
      <c r="BR253" s="2078">
        <f t="shared" si="937"/>
        <v>0</v>
      </c>
      <c r="BS253" s="2079">
        <f t="shared" si="898"/>
        <v>1</v>
      </c>
      <c r="BT253" s="2079">
        <f t="shared" si="899"/>
        <v>0</v>
      </c>
      <c r="BU253" s="2079">
        <f t="shared" si="900"/>
        <v>0</v>
      </c>
      <c r="BV253" s="2079">
        <f t="shared" si="901"/>
        <v>0</v>
      </c>
      <c r="BW253" s="2079">
        <f t="shared" si="902"/>
        <v>0</v>
      </c>
      <c r="BX253" s="2079">
        <f t="shared" si="903"/>
        <v>0</v>
      </c>
      <c r="BY253" s="2079">
        <f t="shared" si="904"/>
        <v>0</v>
      </c>
      <c r="BZ253" s="2079">
        <f t="shared" si="905"/>
        <v>0</v>
      </c>
      <c r="CA253" s="2079">
        <f t="shared" si="906"/>
        <v>0</v>
      </c>
      <c r="CB253" s="2079">
        <f t="shared" si="907"/>
        <v>0</v>
      </c>
      <c r="CC253" s="2078">
        <f t="shared" ca="1" si="938"/>
        <v>0</v>
      </c>
      <c r="CD253" s="2078">
        <f t="shared" ca="1" si="939"/>
        <v>0</v>
      </c>
      <c r="CE253" s="2078">
        <f t="shared" ca="1" si="940"/>
        <v>0</v>
      </c>
      <c r="CF253" s="2078">
        <f t="shared" ca="1" si="941"/>
        <v>0</v>
      </c>
      <c r="CG253" s="2078">
        <f t="shared" ca="1" si="942"/>
        <v>0</v>
      </c>
      <c r="CH253" s="2078">
        <f t="shared" ca="1" si="943"/>
        <v>0</v>
      </c>
      <c r="CI253" s="2078">
        <f t="shared" ca="1" si="944"/>
        <v>0</v>
      </c>
      <c r="CJ253" s="2078">
        <f t="shared" ca="1" si="945"/>
        <v>0</v>
      </c>
      <c r="CK253" s="2078">
        <f t="shared" ca="1" si="946"/>
        <v>0</v>
      </c>
      <c r="CL253" s="2078">
        <f t="shared" ca="1" si="947"/>
        <v>0</v>
      </c>
      <c r="CM253" s="2078">
        <f t="shared" ref="CM253:CM316" si="968">IF(ISBLANK(DD253),1,DD253)*IF(FO253="P",1-GP253,1)</f>
        <v>1</v>
      </c>
      <c r="CN253" s="2078">
        <f t="shared" ref="CN253:CN316" si="969">IF(DC253=$CN$171,0,1)</f>
        <v>1</v>
      </c>
      <c r="CO253" s="2078">
        <f t="shared" si="958"/>
        <v>1</v>
      </c>
      <c r="CP253" s="2078">
        <f t="shared" si="948"/>
        <v>1</v>
      </c>
      <c r="CQ253" s="2078">
        <f t="shared" si="959"/>
        <v>0</v>
      </c>
      <c r="CR253" s="2078">
        <f t="shared" si="879"/>
        <v>0</v>
      </c>
      <c r="CS253" s="2078">
        <f t="shared" si="949"/>
        <v>0</v>
      </c>
      <c r="CT253" s="2078">
        <f t="shared" si="960"/>
        <v>1</v>
      </c>
      <c r="CU253" s="2078">
        <f t="shared" si="950"/>
        <v>1</v>
      </c>
      <c r="CV253" s="2078">
        <f t="shared" ref="CV253:CV316" si="970">IF($F253="Approved",1,0)</f>
        <v>0</v>
      </c>
      <c r="CW253" s="2078">
        <f>IF(OR(AE253&lt;&gt;3,F253="Exclude"),0,IF(ISERROR(MATCH($E253,'4 Sign-off'!$S$123:$X$123,0)),0,1))</f>
        <v>0</v>
      </c>
      <c r="CX253" s="2078">
        <f t="shared" si="883"/>
        <v>0</v>
      </c>
      <c r="CY253" s="2078">
        <f t="shared" ref="CY253:CY316" si="971">CHOOSE($CY$163,CO253,CP253,CX253)</f>
        <v>0</v>
      </c>
      <c r="CZ253" s="2993">
        <f t="shared" ca="1" si="880"/>
        <v>0</v>
      </c>
      <c r="DA253" s="3037">
        <f t="shared" ca="1" si="881"/>
        <v>0</v>
      </c>
      <c r="DB253" s="1664"/>
      <c r="DC253" s="1320"/>
      <c r="DD253" s="589"/>
      <c r="DE253" s="1321"/>
      <c r="DF253" s="107"/>
      <c r="DG253" s="112"/>
      <c r="DH253" s="140"/>
      <c r="DI253" s="22"/>
      <c r="DJ253" s="145"/>
      <c r="DK253" s="137"/>
      <c r="DL253" s="137"/>
      <c r="DM253" s="137"/>
      <c r="DN253" s="137"/>
      <c r="DO253" s="137"/>
      <c r="DP253" s="137"/>
      <c r="DQ253" s="137"/>
      <c r="DR253" s="137"/>
      <c r="DS253" s="137"/>
      <c r="DT253" s="137"/>
      <c r="DU253" s="137"/>
      <c r="DV253" s="137"/>
      <c r="DW253" s="137"/>
      <c r="DX253" s="137"/>
      <c r="DY253" s="137"/>
      <c r="DZ253" s="137"/>
      <c r="EA253" s="137"/>
      <c r="EB253" s="137"/>
      <c r="EC253" s="137"/>
      <c r="ED253" s="137"/>
      <c r="EE253" s="137"/>
      <c r="EF253" s="137"/>
      <c r="EG253" s="137"/>
      <c r="EH253" s="137"/>
      <c r="EI253" s="137"/>
      <c r="EJ253" s="137"/>
      <c r="EK253" s="137"/>
      <c r="EL253" s="137"/>
      <c r="EM253" s="137"/>
      <c r="EN253" s="137"/>
      <c r="EO253" s="137"/>
      <c r="EP253" s="137"/>
      <c r="EQ253" s="137"/>
      <c r="ER253" s="137"/>
      <c r="ES253" s="137"/>
      <c r="ET253" s="137"/>
      <c r="EU253" s="137"/>
      <c r="EV253" s="137"/>
      <c r="EW253" s="137"/>
      <c r="EX253" s="137"/>
      <c r="EY253" s="137"/>
      <c r="EZ253" s="137"/>
      <c r="FA253" s="137"/>
      <c r="FB253" s="137"/>
      <c r="FC253" s="137"/>
      <c r="FD253" s="137"/>
      <c r="FE253" s="137"/>
      <c r="FF253" s="137"/>
      <c r="FG253" s="860"/>
      <c r="FH253" s="863"/>
      <c r="FI253" s="1318"/>
      <c r="FJ253" s="126"/>
      <c r="FK253" s="127"/>
      <c r="FL253" s="128" t="str">
        <f t="shared" si="951"/>
        <v xml:space="preserve">    </v>
      </c>
      <c r="FM253" s="128"/>
      <c r="FN253" s="1686">
        <f t="shared" si="952"/>
        <v>0</v>
      </c>
      <c r="FO253" s="46">
        <f t="shared" ref="FO253:FO316" si="972">IF(AND($C$7="F",GR253="P"),"P",0)</f>
        <v>0</v>
      </c>
      <c r="FP253" s="46">
        <f t="shared" si="422"/>
        <v>1</v>
      </c>
      <c r="FQ253" s="75">
        <f t="shared" si="953"/>
        <v>0</v>
      </c>
      <c r="FR253" s="46">
        <f t="shared" si="964"/>
        <v>0</v>
      </c>
      <c r="FS253" s="46">
        <f t="shared" si="965"/>
        <v>1</v>
      </c>
      <c r="FT253" s="75">
        <f t="shared" si="954"/>
        <v>0</v>
      </c>
      <c r="FU253" s="2603">
        <f t="shared" ref="FU253:FU316" si="973">(DE253*IF(ISBLANK($DD253),1,$DD253))+(SUMPRODUCT(DJ253:FH253,$DJ$65:$FH$65)*IF(GR253="T",SUM(GT253:LQ253),IF(ISBLANK(DH253),1,DH253)))</f>
        <v>0</v>
      </c>
      <c r="FV253" s="2607">
        <f t="shared" ref="FV253:FV316" si="974">IF(GR253="T",SUMPRODUCT(GT253:LQ253,$GT$20:$LQ$20)/SUM(GT253:LQ253),GP253)</f>
        <v>0</v>
      </c>
      <c r="FW253" s="2603">
        <f t="shared" ref="FW253:FW316" si="975">IF(GR253&gt;0,FU253*FV253,0)</f>
        <v>0</v>
      </c>
      <c r="FX253" s="2631">
        <f t="shared" ref="FX253:FX316" si="976">IF(SUM(DE253:FH253)&gt;0,1,0)</f>
        <v>0</v>
      </c>
      <c r="FY253" s="81" t="e">
        <f t="shared" si="966"/>
        <v>#N/A</v>
      </c>
      <c r="FZ253" s="64" t="e">
        <f t="array" ref="FZ253">MATCH(1,($GT253:$LQ253&gt;0)*$GT$25:$LQ$25,0)</f>
        <v>#N/A</v>
      </c>
      <c r="GA253" s="64" t="e">
        <f t="array" ref="GA253">MATCH(2,1/(GT253:LQ253&gt;0))</f>
        <v>#N/A</v>
      </c>
      <c r="GB253" s="64">
        <f t="shared" si="955"/>
        <v>-1</v>
      </c>
      <c r="GC253" s="46"/>
      <c r="GD253" s="613"/>
      <c r="GE253" s="613"/>
      <c r="GF253" s="613"/>
      <c r="GG253" s="613"/>
      <c r="GH253" s="613"/>
      <c r="GI253" s="613"/>
      <c r="GJ253" s="613"/>
      <c r="GK253" s="613"/>
      <c r="GL253" s="613"/>
      <c r="GM253" s="613"/>
      <c r="GN253" s="385">
        <f t="shared" si="884"/>
        <v>0</v>
      </c>
      <c r="GO253" s="386">
        <f t="shared" si="885"/>
        <v>0</v>
      </c>
      <c r="GP253" s="2635"/>
      <c r="GQ253" s="175"/>
      <c r="GR253" s="172"/>
      <c r="GS253" s="65"/>
      <c r="GT253" s="167"/>
      <c r="GU253" s="168"/>
      <c r="GV253" s="168"/>
      <c r="GW253" s="168"/>
      <c r="GX253" s="168"/>
      <c r="GY253" s="168"/>
      <c r="GZ253" s="168"/>
      <c r="HA253" s="168"/>
      <c r="HB253" s="168"/>
      <c r="HC253" s="168"/>
      <c r="HD253" s="168"/>
      <c r="HE253" s="168"/>
      <c r="HF253" s="168"/>
      <c r="HG253" s="168"/>
      <c r="HH253" s="168"/>
      <c r="HI253" s="168"/>
      <c r="HJ253" s="168"/>
      <c r="HK253" s="168"/>
      <c r="HL253" s="168"/>
      <c r="HM253" s="168"/>
      <c r="HN253" s="168"/>
      <c r="HO253" s="168"/>
      <c r="HP253" s="168"/>
      <c r="HQ253" s="168"/>
      <c r="HR253" s="168"/>
      <c r="HS253" s="168"/>
      <c r="HT253" s="168"/>
      <c r="HU253" s="168"/>
      <c r="HV253" s="168"/>
      <c r="HW253" s="168"/>
      <c r="HX253" s="168"/>
      <c r="HY253" s="168"/>
      <c r="HZ253" s="168"/>
      <c r="IA253" s="168"/>
      <c r="IB253" s="168"/>
      <c r="IC253" s="168"/>
      <c r="ID253" s="168"/>
      <c r="IE253" s="168"/>
      <c r="IF253" s="168"/>
      <c r="IG253" s="168"/>
      <c r="IH253" s="168"/>
      <c r="II253" s="168"/>
      <c r="IJ253" s="168"/>
      <c r="IK253" s="168"/>
      <c r="IL253" s="168"/>
      <c r="IM253" s="168"/>
      <c r="IN253" s="168"/>
      <c r="IO253" s="168"/>
      <c r="IP253" s="168"/>
      <c r="IQ253" s="168"/>
      <c r="IR253" s="168"/>
      <c r="IS253" s="168"/>
      <c r="IT253" s="168"/>
      <c r="IU253" s="168"/>
      <c r="IV253" s="168"/>
      <c r="IW253" s="168"/>
      <c r="IX253" s="168"/>
      <c r="IY253" s="168"/>
      <c r="IZ253" s="168"/>
      <c r="JA253" s="168"/>
      <c r="JB253" s="168"/>
      <c r="JC253" s="168"/>
      <c r="JD253" s="168"/>
      <c r="JE253" s="168"/>
      <c r="JF253" s="168"/>
      <c r="JG253" s="168"/>
      <c r="JH253" s="168"/>
      <c r="JI253" s="168"/>
      <c r="JJ253" s="168"/>
      <c r="JK253" s="168"/>
      <c r="JL253" s="168"/>
      <c r="JM253" s="168"/>
      <c r="JN253" s="168"/>
      <c r="JO253" s="168"/>
      <c r="JP253" s="168"/>
      <c r="JQ253" s="168"/>
      <c r="JR253" s="168"/>
      <c r="JS253" s="168"/>
      <c r="JT253" s="168"/>
      <c r="JU253" s="168"/>
      <c r="JV253" s="168"/>
      <c r="JW253" s="168"/>
      <c r="JX253" s="168"/>
      <c r="JY253" s="168"/>
      <c r="JZ253" s="168"/>
      <c r="KA253" s="168"/>
      <c r="KB253" s="168"/>
      <c r="KC253" s="168"/>
      <c r="KD253" s="168"/>
      <c r="KE253" s="168"/>
      <c r="KF253" s="168"/>
      <c r="KG253" s="168"/>
      <c r="KH253" s="168"/>
      <c r="KI253" s="168"/>
      <c r="KJ253" s="168"/>
      <c r="KK253" s="168"/>
      <c r="KL253" s="168"/>
      <c r="KM253" s="168"/>
      <c r="KN253" s="168"/>
      <c r="KO253" s="168"/>
      <c r="KP253" s="168"/>
      <c r="KQ253" s="168"/>
      <c r="KR253" s="168"/>
      <c r="KS253" s="168"/>
      <c r="KT253" s="168"/>
      <c r="KU253" s="168"/>
      <c r="KV253" s="168"/>
      <c r="KW253" s="168"/>
      <c r="KX253" s="168"/>
      <c r="KY253" s="168"/>
      <c r="KZ253" s="168"/>
      <c r="LA253" s="168"/>
      <c r="LB253" s="168"/>
      <c r="LC253" s="168"/>
      <c r="LD253" s="168"/>
      <c r="LE253" s="168"/>
      <c r="LF253" s="168"/>
      <c r="LG253" s="168"/>
      <c r="LH253" s="168"/>
      <c r="LI253" s="168"/>
      <c r="LJ253" s="168"/>
      <c r="LK253" s="168"/>
      <c r="LL253" s="168"/>
      <c r="LM253" s="168"/>
      <c r="LN253" s="168"/>
      <c r="LO253" s="168"/>
      <c r="LP253" s="606"/>
      <c r="LQ253" s="609"/>
      <c r="LR253" s="1319"/>
      <c r="LS253" s="1319"/>
    </row>
    <row r="254" spans="1:331" s="2" customFormat="1" ht="15" customHeight="1" x14ac:dyDescent="0.25">
      <c r="A254" s="283"/>
      <c r="B254" s="303"/>
      <c r="C254" s="301"/>
      <c r="D254" s="1287"/>
      <c r="E254" s="2298"/>
      <c r="F254" s="1812"/>
      <c r="G254" s="3342"/>
      <c r="H254" s="66"/>
      <c r="I254" s="1746"/>
      <c r="J254" s="1214"/>
      <c r="K254" s="105"/>
      <c r="L254" s="91"/>
      <c r="M254" s="92"/>
      <c r="N254" s="93"/>
      <c r="O254" s="94"/>
      <c r="P254" s="96"/>
      <c r="Q254" s="95"/>
      <c r="R254" s="993">
        <f t="shared" si="876"/>
        <v>0</v>
      </c>
      <c r="S254" s="23">
        <f t="shared" si="877"/>
        <v>0</v>
      </c>
      <c r="T254" s="24">
        <f t="shared" si="908"/>
        <v>0</v>
      </c>
      <c r="U254" s="24">
        <f t="shared" si="909"/>
        <v>0</v>
      </c>
      <c r="V254" s="24">
        <f t="shared" si="910"/>
        <v>0</v>
      </c>
      <c r="W254" s="24">
        <f t="shared" ca="1" si="911"/>
        <v>0</v>
      </c>
      <c r="X254" s="72">
        <f t="shared" ca="1" si="956"/>
        <v>0</v>
      </c>
      <c r="Y254" s="72">
        <f t="shared" si="912"/>
        <v>0</v>
      </c>
      <c r="Z254" s="24">
        <f t="shared" si="913"/>
        <v>0</v>
      </c>
      <c r="AA254" s="72">
        <f t="shared" si="957"/>
        <v>0</v>
      </c>
      <c r="AB254" s="24">
        <f t="shared" si="967"/>
        <v>0</v>
      </c>
      <c r="AC254" s="24">
        <f t="shared" ca="1" si="914"/>
        <v>0</v>
      </c>
      <c r="AD254" s="24">
        <f t="shared" si="886"/>
        <v>0</v>
      </c>
      <c r="AE254" s="2078">
        <f t="shared" si="961"/>
        <v>3</v>
      </c>
      <c r="AF254" s="2078">
        <f t="shared" si="962"/>
        <v>0</v>
      </c>
      <c r="AG254" s="2078">
        <f t="shared" si="963"/>
        <v>0</v>
      </c>
      <c r="AH254" s="2521">
        <f t="shared" si="887"/>
        <v>1</v>
      </c>
      <c r="AI254" s="25" t="str">
        <f t="shared" si="915"/>
        <v/>
      </c>
      <c r="AJ254" s="2521">
        <f t="shared" ca="1" si="882"/>
        <v>0</v>
      </c>
      <c r="AK254" s="2076">
        <f t="shared" ca="1" si="878"/>
        <v>0</v>
      </c>
      <c r="AL254" s="2078">
        <f>IF(ISBLANK(J254),0,ISERROR(MATCH(J254,'5  Control Accounts'!$FA$29:$FA$96,0))*1)</f>
        <v>0</v>
      </c>
      <c r="AM254" s="2076">
        <f t="shared" si="916"/>
        <v>0</v>
      </c>
      <c r="AN254" s="2078">
        <f t="shared" si="917"/>
        <v>1</v>
      </c>
      <c r="AO254" s="2079">
        <f t="shared" si="888"/>
        <v>1</v>
      </c>
      <c r="AP254" s="2079">
        <f t="shared" si="889"/>
        <v>0</v>
      </c>
      <c r="AQ254" s="2079">
        <f t="shared" si="890"/>
        <v>0</v>
      </c>
      <c r="AR254" s="2079">
        <f t="shared" si="891"/>
        <v>0</v>
      </c>
      <c r="AS254" s="2079">
        <f t="shared" si="892"/>
        <v>0</v>
      </c>
      <c r="AT254" s="2079">
        <f t="shared" si="893"/>
        <v>0</v>
      </c>
      <c r="AU254" s="2079">
        <f t="shared" si="894"/>
        <v>0</v>
      </c>
      <c r="AV254" s="2079">
        <f t="shared" si="895"/>
        <v>0</v>
      </c>
      <c r="AW254" s="2079">
        <f t="shared" si="896"/>
        <v>0</v>
      </c>
      <c r="AX254" s="2079">
        <f t="shared" si="897"/>
        <v>0</v>
      </c>
      <c r="AY254" s="2078">
        <f t="shared" si="918"/>
        <v>0</v>
      </c>
      <c r="AZ254" s="2078">
        <f t="shared" si="919"/>
        <v>0</v>
      </c>
      <c r="BA254" s="2078">
        <f t="shared" si="920"/>
        <v>0</v>
      </c>
      <c r="BB254" s="2078">
        <f t="shared" si="921"/>
        <v>0</v>
      </c>
      <c r="BC254" s="2078">
        <f t="shared" si="922"/>
        <v>0</v>
      </c>
      <c r="BD254" s="2078">
        <f t="shared" si="923"/>
        <v>0</v>
      </c>
      <c r="BE254" s="2078">
        <f t="shared" si="924"/>
        <v>0</v>
      </c>
      <c r="BF254" s="2078">
        <f t="shared" si="925"/>
        <v>0</v>
      </c>
      <c r="BG254" s="2078">
        <f t="shared" si="926"/>
        <v>0</v>
      </c>
      <c r="BH254" s="2078">
        <f t="shared" si="927"/>
        <v>0</v>
      </c>
      <c r="BI254" s="2078">
        <f t="shared" si="928"/>
        <v>0</v>
      </c>
      <c r="BJ254" s="2078">
        <f t="shared" si="929"/>
        <v>0</v>
      </c>
      <c r="BK254" s="2078">
        <f t="shared" si="930"/>
        <v>0</v>
      </c>
      <c r="BL254" s="2078">
        <f t="shared" si="931"/>
        <v>0</v>
      </c>
      <c r="BM254" s="2078">
        <f t="shared" si="932"/>
        <v>0</v>
      </c>
      <c r="BN254" s="2078">
        <f t="shared" si="933"/>
        <v>0</v>
      </c>
      <c r="BO254" s="2078">
        <f t="shared" si="934"/>
        <v>0</v>
      </c>
      <c r="BP254" s="2078">
        <f t="shared" si="935"/>
        <v>0</v>
      </c>
      <c r="BQ254" s="2078">
        <f t="shared" si="936"/>
        <v>0</v>
      </c>
      <c r="BR254" s="2078">
        <f t="shared" si="937"/>
        <v>0</v>
      </c>
      <c r="BS254" s="2079">
        <f t="shared" si="898"/>
        <v>1</v>
      </c>
      <c r="BT254" s="2079">
        <f t="shared" si="899"/>
        <v>0</v>
      </c>
      <c r="BU254" s="2079">
        <f t="shared" si="900"/>
        <v>0</v>
      </c>
      <c r="BV254" s="2079">
        <f t="shared" si="901"/>
        <v>0</v>
      </c>
      <c r="BW254" s="2079">
        <f t="shared" si="902"/>
        <v>0</v>
      </c>
      <c r="BX254" s="2079">
        <f t="shared" si="903"/>
        <v>0</v>
      </c>
      <c r="BY254" s="2079">
        <f t="shared" si="904"/>
        <v>0</v>
      </c>
      <c r="BZ254" s="2079">
        <f t="shared" si="905"/>
        <v>0</v>
      </c>
      <c r="CA254" s="2079">
        <f t="shared" si="906"/>
        <v>0</v>
      </c>
      <c r="CB254" s="2079">
        <f t="shared" si="907"/>
        <v>0</v>
      </c>
      <c r="CC254" s="2078">
        <f t="shared" ca="1" si="938"/>
        <v>0</v>
      </c>
      <c r="CD254" s="2078">
        <f t="shared" ca="1" si="939"/>
        <v>0</v>
      </c>
      <c r="CE254" s="2078">
        <f t="shared" ca="1" si="940"/>
        <v>0</v>
      </c>
      <c r="CF254" s="2078">
        <f t="shared" ca="1" si="941"/>
        <v>0</v>
      </c>
      <c r="CG254" s="2078">
        <f t="shared" ca="1" si="942"/>
        <v>0</v>
      </c>
      <c r="CH254" s="2078">
        <f t="shared" ca="1" si="943"/>
        <v>0</v>
      </c>
      <c r="CI254" s="2078">
        <f t="shared" ca="1" si="944"/>
        <v>0</v>
      </c>
      <c r="CJ254" s="2078">
        <f t="shared" ca="1" si="945"/>
        <v>0</v>
      </c>
      <c r="CK254" s="2078">
        <f t="shared" ca="1" si="946"/>
        <v>0</v>
      </c>
      <c r="CL254" s="2078">
        <f t="shared" ca="1" si="947"/>
        <v>0</v>
      </c>
      <c r="CM254" s="2078">
        <f t="shared" si="968"/>
        <v>1</v>
      </c>
      <c r="CN254" s="2078">
        <f t="shared" si="969"/>
        <v>1</v>
      </c>
      <c r="CO254" s="2078">
        <f t="shared" si="958"/>
        <v>1</v>
      </c>
      <c r="CP254" s="2078">
        <f t="shared" si="948"/>
        <v>1</v>
      </c>
      <c r="CQ254" s="2078">
        <f t="shared" si="959"/>
        <v>0</v>
      </c>
      <c r="CR254" s="2078">
        <f t="shared" si="879"/>
        <v>0</v>
      </c>
      <c r="CS254" s="2078">
        <f t="shared" si="949"/>
        <v>0</v>
      </c>
      <c r="CT254" s="2078">
        <f t="shared" si="960"/>
        <v>1</v>
      </c>
      <c r="CU254" s="2078">
        <f t="shared" si="950"/>
        <v>1</v>
      </c>
      <c r="CV254" s="2078">
        <f t="shared" si="970"/>
        <v>0</v>
      </c>
      <c r="CW254" s="2078">
        <f>IF(OR(AE254&lt;&gt;3,F254="Exclude"),0,IF(ISERROR(MATCH($E254,'4 Sign-off'!$S$123:$X$123,0)),0,1))</f>
        <v>0</v>
      </c>
      <c r="CX254" s="2078">
        <f t="shared" si="883"/>
        <v>0</v>
      </c>
      <c r="CY254" s="2078">
        <f t="shared" si="971"/>
        <v>0</v>
      </c>
      <c r="CZ254" s="2993">
        <f t="shared" ca="1" si="880"/>
        <v>0</v>
      </c>
      <c r="DA254" s="3037">
        <f t="shared" ca="1" si="881"/>
        <v>0</v>
      </c>
      <c r="DB254" s="1664"/>
      <c r="DC254" s="1320"/>
      <c r="DD254" s="589"/>
      <c r="DE254" s="1321"/>
      <c r="DF254" s="107"/>
      <c r="DG254" s="112"/>
      <c r="DH254" s="140"/>
      <c r="DI254" s="22"/>
      <c r="DJ254" s="145"/>
      <c r="DK254" s="137"/>
      <c r="DL254" s="137"/>
      <c r="DM254" s="137"/>
      <c r="DN254" s="137"/>
      <c r="DO254" s="137"/>
      <c r="DP254" s="137"/>
      <c r="DQ254" s="137"/>
      <c r="DR254" s="137"/>
      <c r="DS254" s="137"/>
      <c r="DT254" s="137"/>
      <c r="DU254" s="137"/>
      <c r="DV254" s="137"/>
      <c r="DW254" s="137"/>
      <c r="DX254" s="137"/>
      <c r="DY254" s="137"/>
      <c r="DZ254" s="137"/>
      <c r="EA254" s="137"/>
      <c r="EB254" s="137"/>
      <c r="EC254" s="137"/>
      <c r="ED254" s="137"/>
      <c r="EE254" s="137"/>
      <c r="EF254" s="137"/>
      <c r="EG254" s="137"/>
      <c r="EH254" s="137"/>
      <c r="EI254" s="137"/>
      <c r="EJ254" s="137"/>
      <c r="EK254" s="137"/>
      <c r="EL254" s="137"/>
      <c r="EM254" s="137"/>
      <c r="EN254" s="137"/>
      <c r="EO254" s="137"/>
      <c r="EP254" s="137"/>
      <c r="EQ254" s="137"/>
      <c r="ER254" s="137"/>
      <c r="ES254" s="137"/>
      <c r="ET254" s="137"/>
      <c r="EU254" s="137"/>
      <c r="EV254" s="137"/>
      <c r="EW254" s="137"/>
      <c r="EX254" s="137"/>
      <c r="EY254" s="137"/>
      <c r="EZ254" s="137"/>
      <c r="FA254" s="137"/>
      <c r="FB254" s="137"/>
      <c r="FC254" s="137"/>
      <c r="FD254" s="137"/>
      <c r="FE254" s="137"/>
      <c r="FF254" s="137"/>
      <c r="FG254" s="860"/>
      <c r="FH254" s="863"/>
      <c r="FI254" s="1318"/>
      <c r="FJ254" s="126"/>
      <c r="FK254" s="127"/>
      <c r="FL254" s="128" t="str">
        <f t="shared" si="951"/>
        <v xml:space="preserve">    </v>
      </c>
      <c r="FM254" s="128"/>
      <c r="FN254" s="1686">
        <f t="shared" si="952"/>
        <v>0</v>
      </c>
      <c r="FO254" s="46">
        <f t="shared" si="972"/>
        <v>0</v>
      </c>
      <c r="FP254" s="46">
        <f t="shared" si="422"/>
        <v>1</v>
      </c>
      <c r="FQ254" s="75">
        <f t="shared" si="953"/>
        <v>0</v>
      </c>
      <c r="FR254" s="46">
        <f t="shared" si="964"/>
        <v>0</v>
      </c>
      <c r="FS254" s="46">
        <f t="shared" si="965"/>
        <v>1</v>
      </c>
      <c r="FT254" s="75">
        <f t="shared" si="954"/>
        <v>0</v>
      </c>
      <c r="FU254" s="2603">
        <f t="shared" si="973"/>
        <v>0</v>
      </c>
      <c r="FV254" s="2607">
        <f t="shared" si="974"/>
        <v>0</v>
      </c>
      <c r="FW254" s="2603">
        <f t="shared" si="975"/>
        <v>0</v>
      </c>
      <c r="FX254" s="2631">
        <f t="shared" si="976"/>
        <v>0</v>
      </c>
      <c r="FY254" s="81" t="e">
        <f t="shared" si="966"/>
        <v>#N/A</v>
      </c>
      <c r="FZ254" s="64" t="e">
        <f t="array" ref="FZ254">MATCH(1,($GT254:$LQ254&gt;0)*$GT$25:$LQ$25,0)</f>
        <v>#N/A</v>
      </c>
      <c r="GA254" s="64" t="e">
        <f t="array" ref="GA254">MATCH(2,1/(GT254:LQ254&gt;0))</f>
        <v>#N/A</v>
      </c>
      <c r="GB254" s="64">
        <f t="shared" si="955"/>
        <v>-1</v>
      </c>
      <c r="GC254" s="46"/>
      <c r="GD254" s="613"/>
      <c r="GE254" s="613"/>
      <c r="GF254" s="613"/>
      <c r="GG254" s="613"/>
      <c r="GH254" s="613"/>
      <c r="GI254" s="613"/>
      <c r="GJ254" s="613"/>
      <c r="GK254" s="613"/>
      <c r="GL254" s="613"/>
      <c r="GM254" s="613"/>
      <c r="GN254" s="385">
        <f t="shared" si="884"/>
        <v>0</v>
      </c>
      <c r="GO254" s="386">
        <f t="shared" si="885"/>
        <v>0</v>
      </c>
      <c r="GP254" s="2635"/>
      <c r="GQ254" s="175"/>
      <c r="GR254" s="172"/>
      <c r="GS254" s="65"/>
      <c r="GT254" s="167"/>
      <c r="GU254" s="168"/>
      <c r="GV254" s="168"/>
      <c r="GW254" s="168"/>
      <c r="GX254" s="168"/>
      <c r="GY254" s="168"/>
      <c r="GZ254" s="168"/>
      <c r="HA254" s="168"/>
      <c r="HB254" s="168"/>
      <c r="HC254" s="168"/>
      <c r="HD254" s="168"/>
      <c r="HE254" s="168"/>
      <c r="HF254" s="168"/>
      <c r="HG254" s="168"/>
      <c r="HH254" s="168"/>
      <c r="HI254" s="168"/>
      <c r="HJ254" s="168"/>
      <c r="HK254" s="168"/>
      <c r="HL254" s="168"/>
      <c r="HM254" s="168"/>
      <c r="HN254" s="168"/>
      <c r="HO254" s="168"/>
      <c r="HP254" s="168"/>
      <c r="HQ254" s="168"/>
      <c r="HR254" s="168"/>
      <c r="HS254" s="168"/>
      <c r="HT254" s="168"/>
      <c r="HU254" s="168"/>
      <c r="HV254" s="168"/>
      <c r="HW254" s="168"/>
      <c r="HX254" s="168"/>
      <c r="HY254" s="168"/>
      <c r="HZ254" s="168"/>
      <c r="IA254" s="168"/>
      <c r="IB254" s="168"/>
      <c r="IC254" s="168"/>
      <c r="ID254" s="168"/>
      <c r="IE254" s="168"/>
      <c r="IF254" s="168"/>
      <c r="IG254" s="168"/>
      <c r="IH254" s="168"/>
      <c r="II254" s="168"/>
      <c r="IJ254" s="168"/>
      <c r="IK254" s="168"/>
      <c r="IL254" s="168"/>
      <c r="IM254" s="168"/>
      <c r="IN254" s="168"/>
      <c r="IO254" s="168"/>
      <c r="IP254" s="168"/>
      <c r="IQ254" s="168"/>
      <c r="IR254" s="168"/>
      <c r="IS254" s="168"/>
      <c r="IT254" s="168"/>
      <c r="IU254" s="168"/>
      <c r="IV254" s="168"/>
      <c r="IW254" s="168"/>
      <c r="IX254" s="168"/>
      <c r="IY254" s="168"/>
      <c r="IZ254" s="168"/>
      <c r="JA254" s="168"/>
      <c r="JB254" s="168"/>
      <c r="JC254" s="168"/>
      <c r="JD254" s="168"/>
      <c r="JE254" s="168"/>
      <c r="JF254" s="168"/>
      <c r="JG254" s="168"/>
      <c r="JH254" s="168"/>
      <c r="JI254" s="168"/>
      <c r="JJ254" s="168"/>
      <c r="JK254" s="168"/>
      <c r="JL254" s="168"/>
      <c r="JM254" s="168"/>
      <c r="JN254" s="168"/>
      <c r="JO254" s="168"/>
      <c r="JP254" s="168"/>
      <c r="JQ254" s="168"/>
      <c r="JR254" s="168"/>
      <c r="JS254" s="168"/>
      <c r="JT254" s="168"/>
      <c r="JU254" s="168"/>
      <c r="JV254" s="168"/>
      <c r="JW254" s="168"/>
      <c r="JX254" s="168"/>
      <c r="JY254" s="168"/>
      <c r="JZ254" s="168"/>
      <c r="KA254" s="168"/>
      <c r="KB254" s="168"/>
      <c r="KC254" s="168"/>
      <c r="KD254" s="168"/>
      <c r="KE254" s="168"/>
      <c r="KF254" s="168"/>
      <c r="KG254" s="168"/>
      <c r="KH254" s="168"/>
      <c r="KI254" s="168"/>
      <c r="KJ254" s="168"/>
      <c r="KK254" s="168"/>
      <c r="KL254" s="168"/>
      <c r="KM254" s="168"/>
      <c r="KN254" s="168"/>
      <c r="KO254" s="168"/>
      <c r="KP254" s="168"/>
      <c r="KQ254" s="168"/>
      <c r="KR254" s="168"/>
      <c r="KS254" s="168"/>
      <c r="KT254" s="168"/>
      <c r="KU254" s="168"/>
      <c r="KV254" s="168"/>
      <c r="KW254" s="168"/>
      <c r="KX254" s="168"/>
      <c r="KY254" s="168"/>
      <c r="KZ254" s="168"/>
      <c r="LA254" s="168"/>
      <c r="LB254" s="168"/>
      <c r="LC254" s="168"/>
      <c r="LD254" s="168"/>
      <c r="LE254" s="168"/>
      <c r="LF254" s="168"/>
      <c r="LG254" s="168"/>
      <c r="LH254" s="168"/>
      <c r="LI254" s="168"/>
      <c r="LJ254" s="168"/>
      <c r="LK254" s="168"/>
      <c r="LL254" s="168"/>
      <c r="LM254" s="168"/>
      <c r="LN254" s="168"/>
      <c r="LO254" s="168"/>
      <c r="LP254" s="606"/>
      <c r="LQ254" s="609"/>
      <c r="LR254" s="1319"/>
      <c r="LS254" s="1319"/>
    </row>
    <row r="255" spans="1:331" s="2" customFormat="1" ht="15" customHeight="1" x14ac:dyDescent="0.25">
      <c r="A255" s="283"/>
      <c r="B255" s="303"/>
      <c r="C255" s="301"/>
      <c r="D255" s="1287"/>
      <c r="E255" s="2298"/>
      <c r="F255" s="1812"/>
      <c r="G255" s="3342"/>
      <c r="H255" s="66"/>
      <c r="I255" s="1746"/>
      <c r="J255" s="1214"/>
      <c r="K255" s="105"/>
      <c r="L255" s="91"/>
      <c r="M255" s="92"/>
      <c r="N255" s="93"/>
      <c r="O255" s="94"/>
      <c r="P255" s="96"/>
      <c r="Q255" s="95"/>
      <c r="R255" s="993">
        <f t="shared" si="876"/>
        <v>0</v>
      </c>
      <c r="S255" s="23">
        <f t="shared" si="877"/>
        <v>0</v>
      </c>
      <c r="T255" s="24">
        <f t="shared" si="908"/>
        <v>0</v>
      </c>
      <c r="U255" s="24">
        <f t="shared" si="909"/>
        <v>0</v>
      </c>
      <c r="V255" s="24">
        <f t="shared" si="910"/>
        <v>0</v>
      </c>
      <c r="W255" s="24">
        <f t="shared" ca="1" si="911"/>
        <v>0</v>
      </c>
      <c r="X255" s="72">
        <f t="shared" ca="1" si="956"/>
        <v>0</v>
      </c>
      <c r="Y255" s="72">
        <f t="shared" si="912"/>
        <v>0</v>
      </c>
      <c r="Z255" s="24">
        <f t="shared" si="913"/>
        <v>0</v>
      </c>
      <c r="AA255" s="72">
        <f t="shared" si="957"/>
        <v>0</v>
      </c>
      <c r="AB255" s="24">
        <f t="shared" si="967"/>
        <v>0</v>
      </c>
      <c r="AC255" s="24">
        <f t="shared" ca="1" si="914"/>
        <v>0</v>
      </c>
      <c r="AD255" s="24">
        <f t="shared" si="886"/>
        <v>0</v>
      </c>
      <c r="AE255" s="2078">
        <f t="shared" si="961"/>
        <v>3</v>
      </c>
      <c r="AF255" s="2078">
        <f t="shared" si="962"/>
        <v>0</v>
      </c>
      <c r="AG255" s="2078">
        <f t="shared" si="963"/>
        <v>0</v>
      </c>
      <c r="AH255" s="2521">
        <f t="shared" si="887"/>
        <v>1</v>
      </c>
      <c r="AI255" s="25" t="str">
        <f t="shared" si="915"/>
        <v/>
      </c>
      <c r="AJ255" s="2521">
        <f t="shared" ca="1" si="882"/>
        <v>0</v>
      </c>
      <c r="AK255" s="2076">
        <f t="shared" ca="1" si="878"/>
        <v>0</v>
      </c>
      <c r="AL255" s="2078">
        <f>IF(ISBLANK(J255),0,ISERROR(MATCH(J255,'5  Control Accounts'!$FA$29:$FA$96,0))*1)</f>
        <v>0</v>
      </c>
      <c r="AM255" s="2076">
        <f t="shared" si="916"/>
        <v>0</v>
      </c>
      <c r="AN255" s="2078">
        <f t="shared" si="917"/>
        <v>1</v>
      </c>
      <c r="AO255" s="2079">
        <f t="shared" si="888"/>
        <v>1</v>
      </c>
      <c r="AP255" s="2079">
        <f t="shared" si="889"/>
        <v>0</v>
      </c>
      <c r="AQ255" s="2079">
        <f t="shared" si="890"/>
        <v>0</v>
      </c>
      <c r="AR255" s="2079">
        <f t="shared" si="891"/>
        <v>0</v>
      </c>
      <c r="AS255" s="2079">
        <f t="shared" si="892"/>
        <v>0</v>
      </c>
      <c r="AT255" s="2079">
        <f t="shared" si="893"/>
        <v>0</v>
      </c>
      <c r="AU255" s="2079">
        <f t="shared" si="894"/>
        <v>0</v>
      </c>
      <c r="AV255" s="2079">
        <f t="shared" si="895"/>
        <v>0</v>
      </c>
      <c r="AW255" s="2079">
        <f t="shared" si="896"/>
        <v>0</v>
      </c>
      <c r="AX255" s="2079">
        <f t="shared" si="897"/>
        <v>0</v>
      </c>
      <c r="AY255" s="2078">
        <f t="shared" si="918"/>
        <v>0</v>
      </c>
      <c r="AZ255" s="2078">
        <f t="shared" si="919"/>
        <v>0</v>
      </c>
      <c r="BA255" s="2078">
        <f t="shared" si="920"/>
        <v>0</v>
      </c>
      <c r="BB255" s="2078">
        <f t="shared" si="921"/>
        <v>0</v>
      </c>
      <c r="BC255" s="2078">
        <f t="shared" si="922"/>
        <v>0</v>
      </c>
      <c r="BD255" s="2078">
        <f t="shared" si="923"/>
        <v>0</v>
      </c>
      <c r="BE255" s="2078">
        <f t="shared" si="924"/>
        <v>0</v>
      </c>
      <c r="BF255" s="2078">
        <f t="shared" si="925"/>
        <v>0</v>
      </c>
      <c r="BG255" s="2078">
        <f t="shared" si="926"/>
        <v>0</v>
      </c>
      <c r="BH255" s="2078">
        <f t="shared" si="927"/>
        <v>0</v>
      </c>
      <c r="BI255" s="2078">
        <f t="shared" si="928"/>
        <v>0</v>
      </c>
      <c r="BJ255" s="2078">
        <f t="shared" si="929"/>
        <v>0</v>
      </c>
      <c r="BK255" s="2078">
        <f t="shared" si="930"/>
        <v>0</v>
      </c>
      <c r="BL255" s="2078">
        <f t="shared" si="931"/>
        <v>0</v>
      </c>
      <c r="BM255" s="2078">
        <f t="shared" si="932"/>
        <v>0</v>
      </c>
      <c r="BN255" s="2078">
        <f t="shared" si="933"/>
        <v>0</v>
      </c>
      <c r="BO255" s="2078">
        <f t="shared" si="934"/>
        <v>0</v>
      </c>
      <c r="BP255" s="2078">
        <f t="shared" si="935"/>
        <v>0</v>
      </c>
      <c r="BQ255" s="2078">
        <f t="shared" si="936"/>
        <v>0</v>
      </c>
      <c r="BR255" s="2078">
        <f t="shared" si="937"/>
        <v>0</v>
      </c>
      <c r="BS255" s="2079">
        <f t="shared" si="898"/>
        <v>1</v>
      </c>
      <c r="BT255" s="2079">
        <f t="shared" si="899"/>
        <v>0</v>
      </c>
      <c r="BU255" s="2079">
        <f t="shared" si="900"/>
        <v>0</v>
      </c>
      <c r="BV255" s="2079">
        <f t="shared" si="901"/>
        <v>0</v>
      </c>
      <c r="BW255" s="2079">
        <f t="shared" si="902"/>
        <v>0</v>
      </c>
      <c r="BX255" s="2079">
        <f t="shared" si="903"/>
        <v>0</v>
      </c>
      <c r="BY255" s="2079">
        <f t="shared" si="904"/>
        <v>0</v>
      </c>
      <c r="BZ255" s="2079">
        <f t="shared" si="905"/>
        <v>0</v>
      </c>
      <c r="CA255" s="2079">
        <f t="shared" si="906"/>
        <v>0</v>
      </c>
      <c r="CB255" s="2079">
        <f t="shared" si="907"/>
        <v>0</v>
      </c>
      <c r="CC255" s="2078">
        <f t="shared" ca="1" si="938"/>
        <v>0</v>
      </c>
      <c r="CD255" s="2078">
        <f t="shared" ca="1" si="939"/>
        <v>0</v>
      </c>
      <c r="CE255" s="2078">
        <f t="shared" ca="1" si="940"/>
        <v>0</v>
      </c>
      <c r="CF255" s="2078">
        <f t="shared" ca="1" si="941"/>
        <v>0</v>
      </c>
      <c r="CG255" s="2078">
        <f t="shared" ca="1" si="942"/>
        <v>0</v>
      </c>
      <c r="CH255" s="2078">
        <f t="shared" ca="1" si="943"/>
        <v>0</v>
      </c>
      <c r="CI255" s="2078">
        <f t="shared" ca="1" si="944"/>
        <v>0</v>
      </c>
      <c r="CJ255" s="2078">
        <f t="shared" ca="1" si="945"/>
        <v>0</v>
      </c>
      <c r="CK255" s="2078">
        <f t="shared" ca="1" si="946"/>
        <v>0</v>
      </c>
      <c r="CL255" s="2078">
        <f t="shared" ca="1" si="947"/>
        <v>0</v>
      </c>
      <c r="CM255" s="2078">
        <f t="shared" si="968"/>
        <v>1</v>
      </c>
      <c r="CN255" s="2078">
        <f t="shared" si="969"/>
        <v>1</v>
      </c>
      <c r="CO255" s="2078">
        <f t="shared" si="958"/>
        <v>1</v>
      </c>
      <c r="CP255" s="2078">
        <f t="shared" si="948"/>
        <v>1</v>
      </c>
      <c r="CQ255" s="2078">
        <f t="shared" si="959"/>
        <v>0</v>
      </c>
      <c r="CR255" s="2078">
        <f t="shared" si="879"/>
        <v>0</v>
      </c>
      <c r="CS255" s="2078">
        <f t="shared" si="949"/>
        <v>0</v>
      </c>
      <c r="CT255" s="2078">
        <f t="shared" si="960"/>
        <v>1</v>
      </c>
      <c r="CU255" s="2078">
        <f t="shared" si="950"/>
        <v>1</v>
      </c>
      <c r="CV255" s="2078">
        <f t="shared" si="970"/>
        <v>0</v>
      </c>
      <c r="CW255" s="2078">
        <f>IF(OR(AE255&lt;&gt;3,F255="Exclude"),0,IF(ISERROR(MATCH($E255,'4 Sign-off'!$S$123:$X$123,0)),0,1))</f>
        <v>0</v>
      </c>
      <c r="CX255" s="2078">
        <f t="shared" si="883"/>
        <v>0</v>
      </c>
      <c r="CY255" s="2078">
        <f t="shared" si="971"/>
        <v>0</v>
      </c>
      <c r="CZ255" s="2993">
        <f t="shared" ca="1" si="880"/>
        <v>0</v>
      </c>
      <c r="DA255" s="3037">
        <f t="shared" ca="1" si="881"/>
        <v>0</v>
      </c>
      <c r="DB255" s="1664"/>
      <c r="DC255" s="1320"/>
      <c r="DD255" s="589"/>
      <c r="DE255" s="1321"/>
      <c r="DF255" s="107"/>
      <c r="DG255" s="112"/>
      <c r="DH255" s="140"/>
      <c r="DI255" s="22"/>
      <c r="DJ255" s="145"/>
      <c r="DK255" s="137"/>
      <c r="DL255" s="137"/>
      <c r="DM255" s="137"/>
      <c r="DN255" s="137"/>
      <c r="DO255" s="137"/>
      <c r="DP255" s="137"/>
      <c r="DQ255" s="137"/>
      <c r="DR255" s="137"/>
      <c r="DS255" s="137"/>
      <c r="DT255" s="137"/>
      <c r="DU255" s="137"/>
      <c r="DV255" s="137"/>
      <c r="DW255" s="137"/>
      <c r="DX255" s="137"/>
      <c r="DY255" s="137"/>
      <c r="DZ255" s="137"/>
      <c r="EA255" s="137"/>
      <c r="EB255" s="137"/>
      <c r="EC255" s="137"/>
      <c r="ED255" s="137"/>
      <c r="EE255" s="137"/>
      <c r="EF255" s="137"/>
      <c r="EG255" s="137"/>
      <c r="EH255" s="137"/>
      <c r="EI255" s="137"/>
      <c r="EJ255" s="137"/>
      <c r="EK255" s="137"/>
      <c r="EL255" s="137"/>
      <c r="EM255" s="137"/>
      <c r="EN255" s="137"/>
      <c r="EO255" s="137"/>
      <c r="EP255" s="137"/>
      <c r="EQ255" s="137"/>
      <c r="ER255" s="137"/>
      <c r="ES255" s="137"/>
      <c r="ET255" s="137"/>
      <c r="EU255" s="137"/>
      <c r="EV255" s="137"/>
      <c r="EW255" s="137"/>
      <c r="EX255" s="137"/>
      <c r="EY255" s="137"/>
      <c r="EZ255" s="137"/>
      <c r="FA255" s="137"/>
      <c r="FB255" s="137"/>
      <c r="FC255" s="137"/>
      <c r="FD255" s="137"/>
      <c r="FE255" s="137"/>
      <c r="FF255" s="137"/>
      <c r="FG255" s="860"/>
      <c r="FH255" s="863"/>
      <c r="FI255" s="1318"/>
      <c r="FJ255" s="126"/>
      <c r="FK255" s="127"/>
      <c r="FL255" s="128" t="str">
        <f t="shared" si="951"/>
        <v xml:space="preserve">    </v>
      </c>
      <c r="FM255" s="128"/>
      <c r="FN255" s="1686">
        <f t="shared" si="952"/>
        <v>0</v>
      </c>
      <c r="FO255" s="46">
        <f t="shared" si="972"/>
        <v>0</v>
      </c>
      <c r="FP255" s="46">
        <f t="shared" si="422"/>
        <v>1</v>
      </c>
      <c r="FQ255" s="75">
        <f t="shared" si="953"/>
        <v>0</v>
      </c>
      <c r="FR255" s="46">
        <f t="shared" si="964"/>
        <v>0</v>
      </c>
      <c r="FS255" s="46">
        <f t="shared" si="965"/>
        <v>1</v>
      </c>
      <c r="FT255" s="75">
        <f t="shared" si="954"/>
        <v>0</v>
      </c>
      <c r="FU255" s="2603">
        <f t="shared" si="973"/>
        <v>0</v>
      </c>
      <c r="FV255" s="2607">
        <f t="shared" si="974"/>
        <v>0</v>
      </c>
      <c r="FW255" s="2603">
        <f t="shared" si="975"/>
        <v>0</v>
      </c>
      <c r="FX255" s="2631">
        <f t="shared" si="976"/>
        <v>0</v>
      </c>
      <c r="FY255" s="81" t="e">
        <f t="shared" si="966"/>
        <v>#N/A</v>
      </c>
      <c r="FZ255" s="64" t="e">
        <f t="array" ref="FZ255">MATCH(1,($GT255:$LQ255&gt;0)*$GT$25:$LQ$25,0)</f>
        <v>#N/A</v>
      </c>
      <c r="GA255" s="64" t="e">
        <f t="array" ref="GA255">MATCH(2,1/(GT255:LQ255&gt;0))</f>
        <v>#N/A</v>
      </c>
      <c r="GB255" s="64">
        <f t="shared" si="955"/>
        <v>-1</v>
      </c>
      <c r="GC255" s="46"/>
      <c r="GD255" s="613"/>
      <c r="GE255" s="613"/>
      <c r="GF255" s="613"/>
      <c r="GG255" s="613"/>
      <c r="GH255" s="613"/>
      <c r="GI255" s="613"/>
      <c r="GJ255" s="613"/>
      <c r="GK255" s="613"/>
      <c r="GL255" s="613"/>
      <c r="GM255" s="613"/>
      <c r="GN255" s="385">
        <f t="shared" si="884"/>
        <v>0</v>
      </c>
      <c r="GO255" s="386">
        <f t="shared" si="885"/>
        <v>0</v>
      </c>
      <c r="GP255" s="2635"/>
      <c r="GQ255" s="175"/>
      <c r="GR255" s="172"/>
      <c r="GS255" s="65"/>
      <c r="GT255" s="167"/>
      <c r="GU255" s="168"/>
      <c r="GV255" s="168"/>
      <c r="GW255" s="168"/>
      <c r="GX255" s="168"/>
      <c r="GY255" s="168"/>
      <c r="GZ255" s="168"/>
      <c r="HA255" s="168"/>
      <c r="HB255" s="168"/>
      <c r="HC255" s="168"/>
      <c r="HD255" s="168"/>
      <c r="HE255" s="168"/>
      <c r="HF255" s="168"/>
      <c r="HG255" s="168"/>
      <c r="HH255" s="168"/>
      <c r="HI255" s="168"/>
      <c r="HJ255" s="168"/>
      <c r="HK255" s="168"/>
      <c r="HL255" s="168"/>
      <c r="HM255" s="168"/>
      <c r="HN255" s="168"/>
      <c r="HO255" s="168"/>
      <c r="HP255" s="168"/>
      <c r="HQ255" s="168"/>
      <c r="HR255" s="168"/>
      <c r="HS255" s="168"/>
      <c r="HT255" s="168"/>
      <c r="HU255" s="168"/>
      <c r="HV255" s="168"/>
      <c r="HW255" s="168"/>
      <c r="HX255" s="168"/>
      <c r="HY255" s="168"/>
      <c r="HZ255" s="168"/>
      <c r="IA255" s="168"/>
      <c r="IB255" s="168"/>
      <c r="IC255" s="168"/>
      <c r="ID255" s="168"/>
      <c r="IE255" s="168"/>
      <c r="IF255" s="168"/>
      <c r="IG255" s="168"/>
      <c r="IH255" s="168"/>
      <c r="II255" s="168"/>
      <c r="IJ255" s="168"/>
      <c r="IK255" s="168"/>
      <c r="IL255" s="168"/>
      <c r="IM255" s="168"/>
      <c r="IN255" s="168"/>
      <c r="IO255" s="168"/>
      <c r="IP255" s="168"/>
      <c r="IQ255" s="168"/>
      <c r="IR255" s="168"/>
      <c r="IS255" s="168"/>
      <c r="IT255" s="168"/>
      <c r="IU255" s="168"/>
      <c r="IV255" s="168"/>
      <c r="IW255" s="168"/>
      <c r="IX255" s="168"/>
      <c r="IY255" s="168"/>
      <c r="IZ255" s="168"/>
      <c r="JA255" s="168"/>
      <c r="JB255" s="168"/>
      <c r="JC255" s="168"/>
      <c r="JD255" s="168"/>
      <c r="JE255" s="168"/>
      <c r="JF255" s="168"/>
      <c r="JG255" s="168"/>
      <c r="JH255" s="168"/>
      <c r="JI255" s="168"/>
      <c r="JJ255" s="168"/>
      <c r="JK255" s="168"/>
      <c r="JL255" s="168"/>
      <c r="JM255" s="168"/>
      <c r="JN255" s="168"/>
      <c r="JO255" s="168"/>
      <c r="JP255" s="168"/>
      <c r="JQ255" s="168"/>
      <c r="JR255" s="168"/>
      <c r="JS255" s="168"/>
      <c r="JT255" s="168"/>
      <c r="JU255" s="168"/>
      <c r="JV255" s="168"/>
      <c r="JW255" s="168"/>
      <c r="JX255" s="168"/>
      <c r="JY255" s="168"/>
      <c r="JZ255" s="168"/>
      <c r="KA255" s="168"/>
      <c r="KB255" s="168"/>
      <c r="KC255" s="168"/>
      <c r="KD255" s="168"/>
      <c r="KE255" s="168"/>
      <c r="KF255" s="168"/>
      <c r="KG255" s="168"/>
      <c r="KH255" s="168"/>
      <c r="KI255" s="168"/>
      <c r="KJ255" s="168"/>
      <c r="KK255" s="168"/>
      <c r="KL255" s="168"/>
      <c r="KM255" s="168"/>
      <c r="KN255" s="168"/>
      <c r="KO255" s="168"/>
      <c r="KP255" s="168"/>
      <c r="KQ255" s="168"/>
      <c r="KR255" s="168"/>
      <c r="KS255" s="168"/>
      <c r="KT255" s="168"/>
      <c r="KU255" s="168"/>
      <c r="KV255" s="168"/>
      <c r="KW255" s="168"/>
      <c r="KX255" s="168"/>
      <c r="KY255" s="168"/>
      <c r="KZ255" s="168"/>
      <c r="LA255" s="168"/>
      <c r="LB255" s="168"/>
      <c r="LC255" s="168"/>
      <c r="LD255" s="168"/>
      <c r="LE255" s="168"/>
      <c r="LF255" s="168"/>
      <c r="LG255" s="168"/>
      <c r="LH255" s="168"/>
      <c r="LI255" s="168"/>
      <c r="LJ255" s="168"/>
      <c r="LK255" s="168"/>
      <c r="LL255" s="168"/>
      <c r="LM255" s="168"/>
      <c r="LN255" s="168"/>
      <c r="LO255" s="168"/>
      <c r="LP255" s="606"/>
      <c r="LQ255" s="609"/>
      <c r="LR255" s="1319"/>
      <c r="LS255" s="1319"/>
    </row>
    <row r="256" spans="1:331" s="2" customFormat="1" ht="15" customHeight="1" x14ac:dyDescent="0.25">
      <c r="A256" s="283"/>
      <c r="B256" s="303"/>
      <c r="C256" s="301"/>
      <c r="D256" s="1287"/>
      <c r="E256" s="2298"/>
      <c r="F256" s="1812"/>
      <c r="G256" s="3342"/>
      <c r="H256" s="66"/>
      <c r="I256" s="1746"/>
      <c r="J256" s="1214"/>
      <c r="K256" s="105"/>
      <c r="L256" s="91"/>
      <c r="M256" s="92"/>
      <c r="N256" s="93"/>
      <c r="O256" s="94"/>
      <c r="P256" s="96"/>
      <c r="Q256" s="95"/>
      <c r="R256" s="993">
        <f t="shared" si="876"/>
        <v>0</v>
      </c>
      <c r="S256" s="23">
        <f t="shared" si="877"/>
        <v>0</v>
      </c>
      <c r="T256" s="24">
        <f t="shared" si="908"/>
        <v>0</v>
      </c>
      <c r="U256" s="24">
        <f t="shared" si="909"/>
        <v>0</v>
      </c>
      <c r="V256" s="24">
        <f t="shared" si="910"/>
        <v>0</v>
      </c>
      <c r="W256" s="24">
        <f t="shared" ca="1" si="911"/>
        <v>0</v>
      </c>
      <c r="X256" s="72">
        <f t="shared" ca="1" si="956"/>
        <v>0</v>
      </c>
      <c r="Y256" s="72">
        <f t="shared" si="912"/>
        <v>0</v>
      </c>
      <c r="Z256" s="24">
        <f t="shared" si="913"/>
        <v>0</v>
      </c>
      <c r="AA256" s="72">
        <f t="shared" si="957"/>
        <v>0</v>
      </c>
      <c r="AB256" s="24">
        <f t="shared" si="967"/>
        <v>0</v>
      </c>
      <c r="AC256" s="24">
        <f t="shared" ca="1" si="914"/>
        <v>0</v>
      </c>
      <c r="AD256" s="24">
        <f t="shared" si="886"/>
        <v>0</v>
      </c>
      <c r="AE256" s="2078">
        <f t="shared" si="961"/>
        <v>3</v>
      </c>
      <c r="AF256" s="2078">
        <f t="shared" si="962"/>
        <v>0</v>
      </c>
      <c r="AG256" s="2078">
        <f t="shared" si="963"/>
        <v>0</v>
      </c>
      <c r="AH256" s="2521">
        <f t="shared" si="887"/>
        <v>1</v>
      </c>
      <c r="AI256" s="25" t="str">
        <f t="shared" si="915"/>
        <v/>
      </c>
      <c r="AJ256" s="2521">
        <f t="shared" ca="1" si="882"/>
        <v>0</v>
      </c>
      <c r="AK256" s="2076">
        <f t="shared" ca="1" si="878"/>
        <v>0</v>
      </c>
      <c r="AL256" s="2078">
        <f>IF(ISBLANK(J256),0,ISERROR(MATCH(J256,'5  Control Accounts'!$FA$29:$FA$96,0))*1)</f>
        <v>0</v>
      </c>
      <c r="AM256" s="2076">
        <f t="shared" si="916"/>
        <v>0</v>
      </c>
      <c r="AN256" s="2078">
        <f t="shared" si="917"/>
        <v>1</v>
      </c>
      <c r="AO256" s="2079">
        <f t="shared" si="888"/>
        <v>1</v>
      </c>
      <c r="AP256" s="2079">
        <f t="shared" si="889"/>
        <v>0</v>
      </c>
      <c r="AQ256" s="2079">
        <f t="shared" si="890"/>
        <v>0</v>
      </c>
      <c r="AR256" s="2079">
        <f t="shared" si="891"/>
        <v>0</v>
      </c>
      <c r="AS256" s="2079">
        <f t="shared" si="892"/>
        <v>0</v>
      </c>
      <c r="AT256" s="2079">
        <f t="shared" si="893"/>
        <v>0</v>
      </c>
      <c r="AU256" s="2079">
        <f t="shared" si="894"/>
        <v>0</v>
      </c>
      <c r="AV256" s="2079">
        <f t="shared" si="895"/>
        <v>0</v>
      </c>
      <c r="AW256" s="2079">
        <f t="shared" si="896"/>
        <v>0</v>
      </c>
      <c r="AX256" s="2079">
        <f t="shared" si="897"/>
        <v>0</v>
      </c>
      <c r="AY256" s="2078">
        <f t="shared" si="918"/>
        <v>0</v>
      </c>
      <c r="AZ256" s="2078">
        <f t="shared" si="919"/>
        <v>0</v>
      </c>
      <c r="BA256" s="2078">
        <f t="shared" si="920"/>
        <v>0</v>
      </c>
      <c r="BB256" s="2078">
        <f t="shared" si="921"/>
        <v>0</v>
      </c>
      <c r="BC256" s="2078">
        <f t="shared" si="922"/>
        <v>0</v>
      </c>
      <c r="BD256" s="2078">
        <f t="shared" si="923"/>
        <v>0</v>
      </c>
      <c r="BE256" s="2078">
        <f t="shared" si="924"/>
        <v>0</v>
      </c>
      <c r="BF256" s="2078">
        <f t="shared" si="925"/>
        <v>0</v>
      </c>
      <c r="BG256" s="2078">
        <f t="shared" si="926"/>
        <v>0</v>
      </c>
      <c r="BH256" s="2078">
        <f t="shared" si="927"/>
        <v>0</v>
      </c>
      <c r="BI256" s="2078">
        <f t="shared" si="928"/>
        <v>0</v>
      </c>
      <c r="BJ256" s="2078">
        <f t="shared" si="929"/>
        <v>0</v>
      </c>
      <c r="BK256" s="2078">
        <f t="shared" si="930"/>
        <v>0</v>
      </c>
      <c r="BL256" s="2078">
        <f t="shared" si="931"/>
        <v>0</v>
      </c>
      <c r="BM256" s="2078">
        <f t="shared" si="932"/>
        <v>0</v>
      </c>
      <c r="BN256" s="2078">
        <f t="shared" si="933"/>
        <v>0</v>
      </c>
      <c r="BO256" s="2078">
        <f t="shared" si="934"/>
        <v>0</v>
      </c>
      <c r="BP256" s="2078">
        <f t="shared" si="935"/>
        <v>0</v>
      </c>
      <c r="BQ256" s="2078">
        <f t="shared" si="936"/>
        <v>0</v>
      </c>
      <c r="BR256" s="2078">
        <f t="shared" si="937"/>
        <v>0</v>
      </c>
      <c r="BS256" s="2079">
        <f t="shared" si="898"/>
        <v>1</v>
      </c>
      <c r="BT256" s="2079">
        <f t="shared" si="899"/>
        <v>0</v>
      </c>
      <c r="BU256" s="2079">
        <f t="shared" si="900"/>
        <v>0</v>
      </c>
      <c r="BV256" s="2079">
        <f t="shared" si="901"/>
        <v>0</v>
      </c>
      <c r="BW256" s="2079">
        <f t="shared" si="902"/>
        <v>0</v>
      </c>
      <c r="BX256" s="2079">
        <f t="shared" si="903"/>
        <v>0</v>
      </c>
      <c r="BY256" s="2079">
        <f t="shared" si="904"/>
        <v>0</v>
      </c>
      <c r="BZ256" s="2079">
        <f t="shared" si="905"/>
        <v>0</v>
      </c>
      <c r="CA256" s="2079">
        <f t="shared" si="906"/>
        <v>0</v>
      </c>
      <c r="CB256" s="2079">
        <f t="shared" si="907"/>
        <v>0</v>
      </c>
      <c r="CC256" s="2078">
        <f t="shared" ca="1" si="938"/>
        <v>0</v>
      </c>
      <c r="CD256" s="2078">
        <f t="shared" ca="1" si="939"/>
        <v>0</v>
      </c>
      <c r="CE256" s="2078">
        <f t="shared" ca="1" si="940"/>
        <v>0</v>
      </c>
      <c r="CF256" s="2078">
        <f t="shared" ca="1" si="941"/>
        <v>0</v>
      </c>
      <c r="CG256" s="2078">
        <f t="shared" ca="1" si="942"/>
        <v>0</v>
      </c>
      <c r="CH256" s="2078">
        <f t="shared" ca="1" si="943"/>
        <v>0</v>
      </c>
      <c r="CI256" s="2078">
        <f t="shared" ca="1" si="944"/>
        <v>0</v>
      </c>
      <c r="CJ256" s="2078">
        <f t="shared" ca="1" si="945"/>
        <v>0</v>
      </c>
      <c r="CK256" s="2078">
        <f t="shared" ca="1" si="946"/>
        <v>0</v>
      </c>
      <c r="CL256" s="2078">
        <f t="shared" ca="1" si="947"/>
        <v>0</v>
      </c>
      <c r="CM256" s="2078">
        <f t="shared" si="968"/>
        <v>1</v>
      </c>
      <c r="CN256" s="2078">
        <f t="shared" si="969"/>
        <v>1</v>
      </c>
      <c r="CO256" s="2078">
        <f t="shared" si="958"/>
        <v>1</v>
      </c>
      <c r="CP256" s="2078">
        <f t="shared" si="948"/>
        <v>1</v>
      </c>
      <c r="CQ256" s="2078">
        <f t="shared" si="959"/>
        <v>0</v>
      </c>
      <c r="CR256" s="2078">
        <f t="shared" si="879"/>
        <v>0</v>
      </c>
      <c r="CS256" s="2078">
        <f t="shared" si="949"/>
        <v>0</v>
      </c>
      <c r="CT256" s="2078">
        <f t="shared" si="960"/>
        <v>1</v>
      </c>
      <c r="CU256" s="2078">
        <f t="shared" si="950"/>
        <v>1</v>
      </c>
      <c r="CV256" s="2078">
        <f t="shared" si="970"/>
        <v>0</v>
      </c>
      <c r="CW256" s="2078">
        <f>IF(OR(AE256&lt;&gt;3,F256="Exclude"),0,IF(ISERROR(MATCH($E256,'4 Sign-off'!$S$123:$X$123,0)),0,1))</f>
        <v>0</v>
      </c>
      <c r="CX256" s="2078">
        <f t="shared" si="883"/>
        <v>0</v>
      </c>
      <c r="CY256" s="2078">
        <f t="shared" si="971"/>
        <v>0</v>
      </c>
      <c r="CZ256" s="2993">
        <f t="shared" ca="1" si="880"/>
        <v>0</v>
      </c>
      <c r="DA256" s="3037">
        <f t="shared" ca="1" si="881"/>
        <v>0</v>
      </c>
      <c r="DB256" s="1664"/>
      <c r="DC256" s="1320"/>
      <c r="DD256" s="589"/>
      <c r="DE256" s="1321"/>
      <c r="DF256" s="107"/>
      <c r="DG256" s="112"/>
      <c r="DH256" s="140"/>
      <c r="DI256" s="22"/>
      <c r="DJ256" s="145"/>
      <c r="DK256" s="137"/>
      <c r="DL256" s="137"/>
      <c r="DM256" s="137"/>
      <c r="DN256" s="137"/>
      <c r="DO256" s="137"/>
      <c r="DP256" s="137"/>
      <c r="DQ256" s="137"/>
      <c r="DR256" s="137"/>
      <c r="DS256" s="137"/>
      <c r="DT256" s="137"/>
      <c r="DU256" s="137"/>
      <c r="DV256" s="137"/>
      <c r="DW256" s="137"/>
      <c r="DX256" s="137"/>
      <c r="DY256" s="137"/>
      <c r="DZ256" s="137"/>
      <c r="EA256" s="137"/>
      <c r="EB256" s="137"/>
      <c r="EC256" s="137"/>
      <c r="ED256" s="137"/>
      <c r="EE256" s="137"/>
      <c r="EF256" s="137"/>
      <c r="EG256" s="137"/>
      <c r="EH256" s="137"/>
      <c r="EI256" s="137"/>
      <c r="EJ256" s="137"/>
      <c r="EK256" s="137"/>
      <c r="EL256" s="137"/>
      <c r="EM256" s="137"/>
      <c r="EN256" s="137"/>
      <c r="EO256" s="137"/>
      <c r="EP256" s="137"/>
      <c r="EQ256" s="137"/>
      <c r="ER256" s="137"/>
      <c r="ES256" s="137"/>
      <c r="ET256" s="137"/>
      <c r="EU256" s="137"/>
      <c r="EV256" s="137"/>
      <c r="EW256" s="137"/>
      <c r="EX256" s="137"/>
      <c r="EY256" s="137"/>
      <c r="EZ256" s="137"/>
      <c r="FA256" s="137"/>
      <c r="FB256" s="137"/>
      <c r="FC256" s="137"/>
      <c r="FD256" s="137"/>
      <c r="FE256" s="137"/>
      <c r="FF256" s="137"/>
      <c r="FG256" s="860"/>
      <c r="FH256" s="863"/>
      <c r="FI256" s="1318"/>
      <c r="FJ256" s="126"/>
      <c r="FK256" s="127"/>
      <c r="FL256" s="128" t="str">
        <f t="shared" si="951"/>
        <v xml:space="preserve">    </v>
      </c>
      <c r="FM256" s="128"/>
      <c r="FN256" s="1686">
        <f t="shared" si="952"/>
        <v>0</v>
      </c>
      <c r="FO256" s="46">
        <f t="shared" si="972"/>
        <v>0</v>
      </c>
      <c r="FP256" s="46">
        <f t="shared" ref="FP256:FP313" si="977">IFERROR(1/FQ256,1)</f>
        <v>1</v>
      </c>
      <c r="FQ256" s="75">
        <f t="shared" si="953"/>
        <v>0</v>
      </c>
      <c r="FR256" s="46">
        <f t="shared" si="964"/>
        <v>0</v>
      </c>
      <c r="FS256" s="46">
        <f t="shared" si="965"/>
        <v>1</v>
      </c>
      <c r="FT256" s="75">
        <f t="shared" si="954"/>
        <v>0</v>
      </c>
      <c r="FU256" s="2603">
        <f t="shared" si="973"/>
        <v>0</v>
      </c>
      <c r="FV256" s="2607">
        <f t="shared" si="974"/>
        <v>0</v>
      </c>
      <c r="FW256" s="2603">
        <f t="shared" si="975"/>
        <v>0</v>
      </c>
      <c r="FX256" s="2631">
        <f t="shared" si="976"/>
        <v>0</v>
      </c>
      <c r="FY256" s="81" t="e">
        <f t="shared" si="966"/>
        <v>#N/A</v>
      </c>
      <c r="FZ256" s="64" t="e">
        <f t="array" ref="FZ256">MATCH(1,($GT256:$LQ256&gt;0)*$GT$25:$LQ$25,0)</f>
        <v>#N/A</v>
      </c>
      <c r="GA256" s="64" t="e">
        <f t="array" ref="GA256">MATCH(2,1/(GT256:LQ256&gt;0))</f>
        <v>#N/A</v>
      </c>
      <c r="GB256" s="64">
        <f t="shared" si="955"/>
        <v>-1</v>
      </c>
      <c r="GC256" s="46"/>
      <c r="GD256" s="613"/>
      <c r="GE256" s="613"/>
      <c r="GF256" s="613"/>
      <c r="GG256" s="613"/>
      <c r="GH256" s="613"/>
      <c r="GI256" s="613"/>
      <c r="GJ256" s="613"/>
      <c r="GK256" s="613"/>
      <c r="GL256" s="613"/>
      <c r="GM256" s="613"/>
      <c r="GN256" s="385">
        <f t="shared" si="884"/>
        <v>0</v>
      </c>
      <c r="GO256" s="386">
        <f t="shared" si="885"/>
        <v>0</v>
      </c>
      <c r="GP256" s="2635"/>
      <c r="GQ256" s="175"/>
      <c r="GR256" s="172"/>
      <c r="GS256" s="65"/>
      <c r="GT256" s="167"/>
      <c r="GU256" s="168"/>
      <c r="GV256" s="168"/>
      <c r="GW256" s="168"/>
      <c r="GX256" s="168"/>
      <c r="GY256" s="168"/>
      <c r="GZ256" s="168"/>
      <c r="HA256" s="168"/>
      <c r="HB256" s="168"/>
      <c r="HC256" s="168"/>
      <c r="HD256" s="168"/>
      <c r="HE256" s="168"/>
      <c r="HF256" s="168"/>
      <c r="HG256" s="168"/>
      <c r="HH256" s="168"/>
      <c r="HI256" s="168"/>
      <c r="HJ256" s="168"/>
      <c r="HK256" s="168"/>
      <c r="HL256" s="168"/>
      <c r="HM256" s="168"/>
      <c r="HN256" s="168"/>
      <c r="HO256" s="168"/>
      <c r="HP256" s="168"/>
      <c r="HQ256" s="168"/>
      <c r="HR256" s="168"/>
      <c r="HS256" s="168"/>
      <c r="HT256" s="168"/>
      <c r="HU256" s="168"/>
      <c r="HV256" s="168"/>
      <c r="HW256" s="168"/>
      <c r="HX256" s="168"/>
      <c r="HY256" s="168"/>
      <c r="HZ256" s="168"/>
      <c r="IA256" s="168"/>
      <c r="IB256" s="168"/>
      <c r="IC256" s="168"/>
      <c r="ID256" s="168"/>
      <c r="IE256" s="168"/>
      <c r="IF256" s="168"/>
      <c r="IG256" s="168"/>
      <c r="IH256" s="168"/>
      <c r="II256" s="168"/>
      <c r="IJ256" s="168"/>
      <c r="IK256" s="168"/>
      <c r="IL256" s="168"/>
      <c r="IM256" s="168"/>
      <c r="IN256" s="168"/>
      <c r="IO256" s="168"/>
      <c r="IP256" s="168"/>
      <c r="IQ256" s="168"/>
      <c r="IR256" s="168"/>
      <c r="IS256" s="168"/>
      <c r="IT256" s="168"/>
      <c r="IU256" s="168"/>
      <c r="IV256" s="168"/>
      <c r="IW256" s="168"/>
      <c r="IX256" s="168"/>
      <c r="IY256" s="168"/>
      <c r="IZ256" s="168"/>
      <c r="JA256" s="168"/>
      <c r="JB256" s="168"/>
      <c r="JC256" s="168"/>
      <c r="JD256" s="168"/>
      <c r="JE256" s="168"/>
      <c r="JF256" s="168"/>
      <c r="JG256" s="168"/>
      <c r="JH256" s="168"/>
      <c r="JI256" s="168"/>
      <c r="JJ256" s="168"/>
      <c r="JK256" s="168"/>
      <c r="JL256" s="168"/>
      <c r="JM256" s="168"/>
      <c r="JN256" s="168"/>
      <c r="JO256" s="168"/>
      <c r="JP256" s="168"/>
      <c r="JQ256" s="168"/>
      <c r="JR256" s="168"/>
      <c r="JS256" s="168"/>
      <c r="JT256" s="168"/>
      <c r="JU256" s="168"/>
      <c r="JV256" s="168"/>
      <c r="JW256" s="168"/>
      <c r="JX256" s="168"/>
      <c r="JY256" s="168"/>
      <c r="JZ256" s="168"/>
      <c r="KA256" s="168"/>
      <c r="KB256" s="168"/>
      <c r="KC256" s="168"/>
      <c r="KD256" s="168"/>
      <c r="KE256" s="168"/>
      <c r="KF256" s="168"/>
      <c r="KG256" s="168"/>
      <c r="KH256" s="168"/>
      <c r="KI256" s="168"/>
      <c r="KJ256" s="168"/>
      <c r="KK256" s="168"/>
      <c r="KL256" s="168"/>
      <c r="KM256" s="168"/>
      <c r="KN256" s="168"/>
      <c r="KO256" s="168"/>
      <c r="KP256" s="168"/>
      <c r="KQ256" s="168"/>
      <c r="KR256" s="168"/>
      <c r="KS256" s="168"/>
      <c r="KT256" s="168"/>
      <c r="KU256" s="168"/>
      <c r="KV256" s="168"/>
      <c r="KW256" s="168"/>
      <c r="KX256" s="168"/>
      <c r="KY256" s="168"/>
      <c r="KZ256" s="168"/>
      <c r="LA256" s="168"/>
      <c r="LB256" s="168"/>
      <c r="LC256" s="168"/>
      <c r="LD256" s="168"/>
      <c r="LE256" s="168"/>
      <c r="LF256" s="168"/>
      <c r="LG256" s="168"/>
      <c r="LH256" s="168"/>
      <c r="LI256" s="168"/>
      <c r="LJ256" s="168"/>
      <c r="LK256" s="168"/>
      <c r="LL256" s="168"/>
      <c r="LM256" s="168"/>
      <c r="LN256" s="168"/>
      <c r="LO256" s="168"/>
      <c r="LP256" s="606"/>
      <c r="LQ256" s="609"/>
      <c r="LR256" s="1319"/>
      <c r="LS256" s="1319"/>
    </row>
    <row r="257" spans="1:331" s="2" customFormat="1" ht="15" customHeight="1" x14ac:dyDescent="0.25">
      <c r="A257" s="283"/>
      <c r="B257" s="303"/>
      <c r="C257" s="301"/>
      <c r="D257" s="1287"/>
      <c r="E257" s="2298"/>
      <c r="F257" s="1812"/>
      <c r="G257" s="3342"/>
      <c r="H257" s="66"/>
      <c r="I257" s="1746"/>
      <c r="J257" s="1214"/>
      <c r="K257" s="105"/>
      <c r="L257" s="91"/>
      <c r="M257" s="92"/>
      <c r="N257" s="93"/>
      <c r="O257" s="94"/>
      <c r="P257" s="96"/>
      <c r="Q257" s="95"/>
      <c r="R257" s="993">
        <f t="shared" si="876"/>
        <v>0</v>
      </c>
      <c r="S257" s="23">
        <f t="shared" si="877"/>
        <v>0</v>
      </c>
      <c r="T257" s="24">
        <f t="shared" si="908"/>
        <v>0</v>
      </c>
      <c r="U257" s="24">
        <f t="shared" si="909"/>
        <v>0</v>
      </c>
      <c r="V257" s="24">
        <f t="shared" si="910"/>
        <v>0</v>
      </c>
      <c r="W257" s="24">
        <f t="shared" ca="1" si="911"/>
        <v>0</v>
      </c>
      <c r="X257" s="72">
        <f t="shared" ca="1" si="956"/>
        <v>0</v>
      </c>
      <c r="Y257" s="72">
        <f t="shared" si="912"/>
        <v>0</v>
      </c>
      <c r="Z257" s="24">
        <f t="shared" si="913"/>
        <v>0</v>
      </c>
      <c r="AA257" s="72">
        <f t="shared" si="957"/>
        <v>0</v>
      </c>
      <c r="AB257" s="24">
        <f t="shared" si="967"/>
        <v>0</v>
      </c>
      <c r="AC257" s="24">
        <f t="shared" ca="1" si="914"/>
        <v>0</v>
      </c>
      <c r="AD257" s="24">
        <f t="shared" si="886"/>
        <v>0</v>
      </c>
      <c r="AE257" s="2078">
        <f t="shared" si="961"/>
        <v>3</v>
      </c>
      <c r="AF257" s="2078">
        <f t="shared" si="962"/>
        <v>0</v>
      </c>
      <c r="AG257" s="2078">
        <f t="shared" si="963"/>
        <v>0</v>
      </c>
      <c r="AH257" s="2521">
        <f t="shared" si="887"/>
        <v>1</v>
      </c>
      <c r="AI257" s="25" t="str">
        <f t="shared" si="915"/>
        <v/>
      </c>
      <c r="AJ257" s="2521">
        <f t="shared" ca="1" si="882"/>
        <v>0</v>
      </c>
      <c r="AK257" s="2076">
        <f t="shared" ca="1" si="878"/>
        <v>0</v>
      </c>
      <c r="AL257" s="2078">
        <f>IF(ISBLANK(J257),0,ISERROR(MATCH(J257,'5  Control Accounts'!$FA$29:$FA$96,0))*1)</f>
        <v>0</v>
      </c>
      <c r="AM257" s="2076">
        <f t="shared" si="916"/>
        <v>0</v>
      </c>
      <c r="AN257" s="2078">
        <f t="shared" si="917"/>
        <v>1</v>
      </c>
      <c r="AO257" s="2079">
        <f t="shared" si="888"/>
        <v>1</v>
      </c>
      <c r="AP257" s="2079">
        <f t="shared" si="889"/>
        <v>0</v>
      </c>
      <c r="AQ257" s="2079">
        <f t="shared" si="890"/>
        <v>0</v>
      </c>
      <c r="AR257" s="2079">
        <f t="shared" si="891"/>
        <v>0</v>
      </c>
      <c r="AS257" s="2079">
        <f t="shared" si="892"/>
        <v>0</v>
      </c>
      <c r="AT257" s="2079">
        <f t="shared" si="893"/>
        <v>0</v>
      </c>
      <c r="AU257" s="2079">
        <f t="shared" si="894"/>
        <v>0</v>
      </c>
      <c r="AV257" s="2079">
        <f t="shared" si="895"/>
        <v>0</v>
      </c>
      <c r="AW257" s="2079">
        <f t="shared" si="896"/>
        <v>0</v>
      </c>
      <c r="AX257" s="2079">
        <f t="shared" si="897"/>
        <v>0</v>
      </c>
      <c r="AY257" s="2078">
        <f t="shared" si="918"/>
        <v>0</v>
      </c>
      <c r="AZ257" s="2078">
        <f t="shared" si="919"/>
        <v>0</v>
      </c>
      <c r="BA257" s="2078">
        <f t="shared" si="920"/>
        <v>0</v>
      </c>
      <c r="BB257" s="2078">
        <f t="shared" si="921"/>
        <v>0</v>
      </c>
      <c r="BC257" s="2078">
        <f t="shared" si="922"/>
        <v>0</v>
      </c>
      <c r="BD257" s="2078">
        <f t="shared" si="923"/>
        <v>0</v>
      </c>
      <c r="BE257" s="2078">
        <f t="shared" si="924"/>
        <v>0</v>
      </c>
      <c r="BF257" s="2078">
        <f t="shared" si="925"/>
        <v>0</v>
      </c>
      <c r="BG257" s="2078">
        <f t="shared" si="926"/>
        <v>0</v>
      </c>
      <c r="BH257" s="2078">
        <f t="shared" si="927"/>
        <v>0</v>
      </c>
      <c r="BI257" s="2078">
        <f t="shared" si="928"/>
        <v>0</v>
      </c>
      <c r="BJ257" s="2078">
        <f t="shared" si="929"/>
        <v>0</v>
      </c>
      <c r="BK257" s="2078">
        <f t="shared" si="930"/>
        <v>0</v>
      </c>
      <c r="BL257" s="2078">
        <f t="shared" si="931"/>
        <v>0</v>
      </c>
      <c r="BM257" s="2078">
        <f t="shared" si="932"/>
        <v>0</v>
      </c>
      <c r="BN257" s="2078">
        <f t="shared" si="933"/>
        <v>0</v>
      </c>
      <c r="BO257" s="2078">
        <f t="shared" si="934"/>
        <v>0</v>
      </c>
      <c r="BP257" s="2078">
        <f t="shared" si="935"/>
        <v>0</v>
      </c>
      <c r="BQ257" s="2078">
        <f t="shared" si="936"/>
        <v>0</v>
      </c>
      <c r="BR257" s="2078">
        <f t="shared" si="937"/>
        <v>0</v>
      </c>
      <c r="BS257" s="2079">
        <f t="shared" si="898"/>
        <v>1</v>
      </c>
      <c r="BT257" s="2079">
        <f t="shared" si="899"/>
        <v>0</v>
      </c>
      <c r="BU257" s="2079">
        <f t="shared" si="900"/>
        <v>0</v>
      </c>
      <c r="BV257" s="2079">
        <f t="shared" si="901"/>
        <v>0</v>
      </c>
      <c r="BW257" s="2079">
        <f t="shared" si="902"/>
        <v>0</v>
      </c>
      <c r="BX257" s="2079">
        <f t="shared" si="903"/>
        <v>0</v>
      </c>
      <c r="BY257" s="2079">
        <f t="shared" si="904"/>
        <v>0</v>
      </c>
      <c r="BZ257" s="2079">
        <f t="shared" si="905"/>
        <v>0</v>
      </c>
      <c r="CA257" s="2079">
        <f t="shared" si="906"/>
        <v>0</v>
      </c>
      <c r="CB257" s="2079">
        <f t="shared" si="907"/>
        <v>0</v>
      </c>
      <c r="CC257" s="2078">
        <f t="shared" ca="1" si="938"/>
        <v>0</v>
      </c>
      <c r="CD257" s="2078">
        <f t="shared" ca="1" si="939"/>
        <v>0</v>
      </c>
      <c r="CE257" s="2078">
        <f t="shared" ca="1" si="940"/>
        <v>0</v>
      </c>
      <c r="CF257" s="2078">
        <f t="shared" ca="1" si="941"/>
        <v>0</v>
      </c>
      <c r="CG257" s="2078">
        <f t="shared" ca="1" si="942"/>
        <v>0</v>
      </c>
      <c r="CH257" s="2078">
        <f t="shared" ca="1" si="943"/>
        <v>0</v>
      </c>
      <c r="CI257" s="2078">
        <f t="shared" ca="1" si="944"/>
        <v>0</v>
      </c>
      <c r="CJ257" s="2078">
        <f t="shared" ca="1" si="945"/>
        <v>0</v>
      </c>
      <c r="CK257" s="2078">
        <f t="shared" ca="1" si="946"/>
        <v>0</v>
      </c>
      <c r="CL257" s="2078">
        <f t="shared" ca="1" si="947"/>
        <v>0</v>
      </c>
      <c r="CM257" s="2078">
        <f t="shared" si="968"/>
        <v>1</v>
      </c>
      <c r="CN257" s="2078">
        <f t="shared" si="969"/>
        <v>1</v>
      </c>
      <c r="CO257" s="2078">
        <f t="shared" si="958"/>
        <v>1</v>
      </c>
      <c r="CP257" s="2078">
        <f t="shared" si="948"/>
        <v>1</v>
      </c>
      <c r="CQ257" s="2078">
        <f t="shared" si="959"/>
        <v>0</v>
      </c>
      <c r="CR257" s="2078">
        <f t="shared" si="879"/>
        <v>0</v>
      </c>
      <c r="CS257" s="2078">
        <f t="shared" si="949"/>
        <v>0</v>
      </c>
      <c r="CT257" s="2078">
        <f t="shared" si="960"/>
        <v>1</v>
      </c>
      <c r="CU257" s="2078">
        <f t="shared" si="950"/>
        <v>1</v>
      </c>
      <c r="CV257" s="2078">
        <f t="shared" si="970"/>
        <v>0</v>
      </c>
      <c r="CW257" s="2078">
        <f>IF(OR(AE257&lt;&gt;3,F257="Exclude"),0,IF(ISERROR(MATCH($E257,'4 Sign-off'!$S$123:$X$123,0)),0,1))</f>
        <v>0</v>
      </c>
      <c r="CX257" s="2078">
        <f t="shared" si="883"/>
        <v>0</v>
      </c>
      <c r="CY257" s="2078">
        <f t="shared" si="971"/>
        <v>0</v>
      </c>
      <c r="CZ257" s="2993">
        <f t="shared" ca="1" si="880"/>
        <v>0</v>
      </c>
      <c r="DA257" s="3037">
        <f t="shared" ca="1" si="881"/>
        <v>0</v>
      </c>
      <c r="DB257" s="1664"/>
      <c r="DC257" s="1320"/>
      <c r="DD257" s="589"/>
      <c r="DE257" s="1321"/>
      <c r="DF257" s="107"/>
      <c r="DG257" s="112"/>
      <c r="DH257" s="140"/>
      <c r="DI257" s="22"/>
      <c r="DJ257" s="145"/>
      <c r="DK257" s="137"/>
      <c r="DL257" s="137"/>
      <c r="DM257" s="137"/>
      <c r="DN257" s="137"/>
      <c r="DO257" s="137"/>
      <c r="DP257" s="137"/>
      <c r="DQ257" s="137"/>
      <c r="DR257" s="137"/>
      <c r="DS257" s="137"/>
      <c r="DT257" s="137"/>
      <c r="DU257" s="137"/>
      <c r="DV257" s="137"/>
      <c r="DW257" s="137"/>
      <c r="DX257" s="137"/>
      <c r="DY257" s="137"/>
      <c r="DZ257" s="137"/>
      <c r="EA257" s="137"/>
      <c r="EB257" s="137"/>
      <c r="EC257" s="137"/>
      <c r="ED257" s="137"/>
      <c r="EE257" s="137"/>
      <c r="EF257" s="137"/>
      <c r="EG257" s="137"/>
      <c r="EH257" s="137"/>
      <c r="EI257" s="137"/>
      <c r="EJ257" s="137"/>
      <c r="EK257" s="137"/>
      <c r="EL257" s="137"/>
      <c r="EM257" s="137"/>
      <c r="EN257" s="137"/>
      <c r="EO257" s="137"/>
      <c r="EP257" s="137"/>
      <c r="EQ257" s="137"/>
      <c r="ER257" s="137"/>
      <c r="ES257" s="137"/>
      <c r="ET257" s="137"/>
      <c r="EU257" s="137"/>
      <c r="EV257" s="137"/>
      <c r="EW257" s="137"/>
      <c r="EX257" s="137"/>
      <c r="EY257" s="137"/>
      <c r="EZ257" s="137"/>
      <c r="FA257" s="137"/>
      <c r="FB257" s="137"/>
      <c r="FC257" s="137"/>
      <c r="FD257" s="137"/>
      <c r="FE257" s="137"/>
      <c r="FF257" s="137"/>
      <c r="FG257" s="860"/>
      <c r="FH257" s="863"/>
      <c r="FI257" s="1318"/>
      <c r="FJ257" s="126"/>
      <c r="FK257" s="127"/>
      <c r="FL257" s="128" t="str">
        <f t="shared" si="951"/>
        <v xml:space="preserve">    </v>
      </c>
      <c r="FM257" s="128"/>
      <c r="FN257" s="1686">
        <f t="shared" si="952"/>
        <v>0</v>
      </c>
      <c r="FO257" s="46">
        <f t="shared" si="972"/>
        <v>0</v>
      </c>
      <c r="FP257" s="46">
        <f t="shared" si="977"/>
        <v>1</v>
      </c>
      <c r="FQ257" s="75">
        <f t="shared" si="953"/>
        <v>0</v>
      </c>
      <c r="FR257" s="46">
        <f t="shared" si="964"/>
        <v>0</v>
      </c>
      <c r="FS257" s="46">
        <f t="shared" si="965"/>
        <v>1</v>
      </c>
      <c r="FT257" s="75">
        <f t="shared" si="954"/>
        <v>0</v>
      </c>
      <c r="FU257" s="2603">
        <f t="shared" si="973"/>
        <v>0</v>
      </c>
      <c r="FV257" s="2607">
        <f t="shared" si="974"/>
        <v>0</v>
      </c>
      <c r="FW257" s="2603">
        <f t="shared" si="975"/>
        <v>0</v>
      </c>
      <c r="FX257" s="2631">
        <f t="shared" si="976"/>
        <v>0</v>
      </c>
      <c r="FY257" s="81" t="e">
        <f t="shared" si="966"/>
        <v>#N/A</v>
      </c>
      <c r="FZ257" s="64" t="e">
        <f t="array" ref="FZ257">MATCH(1,($GT257:$LQ257&gt;0)*$GT$25:$LQ$25,0)</f>
        <v>#N/A</v>
      </c>
      <c r="GA257" s="64" t="e">
        <f t="array" ref="GA257">MATCH(2,1/(GT257:LQ257&gt;0))</f>
        <v>#N/A</v>
      </c>
      <c r="GB257" s="64">
        <f t="shared" si="955"/>
        <v>-1</v>
      </c>
      <c r="GC257" s="46"/>
      <c r="GD257" s="613"/>
      <c r="GE257" s="613"/>
      <c r="GF257" s="613"/>
      <c r="GG257" s="613"/>
      <c r="GH257" s="613"/>
      <c r="GI257" s="613"/>
      <c r="GJ257" s="613"/>
      <c r="GK257" s="613"/>
      <c r="GL257" s="613"/>
      <c r="GM257" s="613"/>
      <c r="GN257" s="385">
        <f t="shared" si="884"/>
        <v>0</v>
      </c>
      <c r="GO257" s="386">
        <f t="shared" si="885"/>
        <v>0</v>
      </c>
      <c r="GP257" s="2635"/>
      <c r="GQ257" s="175"/>
      <c r="GR257" s="172"/>
      <c r="GS257" s="65"/>
      <c r="GT257" s="167"/>
      <c r="GU257" s="168"/>
      <c r="GV257" s="168"/>
      <c r="GW257" s="168"/>
      <c r="GX257" s="168"/>
      <c r="GY257" s="168"/>
      <c r="GZ257" s="168"/>
      <c r="HA257" s="168"/>
      <c r="HB257" s="168"/>
      <c r="HC257" s="168"/>
      <c r="HD257" s="168"/>
      <c r="HE257" s="168"/>
      <c r="HF257" s="168"/>
      <c r="HG257" s="168"/>
      <c r="HH257" s="168"/>
      <c r="HI257" s="168"/>
      <c r="HJ257" s="168"/>
      <c r="HK257" s="168"/>
      <c r="HL257" s="168"/>
      <c r="HM257" s="168"/>
      <c r="HN257" s="168"/>
      <c r="HO257" s="168"/>
      <c r="HP257" s="168"/>
      <c r="HQ257" s="168"/>
      <c r="HR257" s="168"/>
      <c r="HS257" s="168"/>
      <c r="HT257" s="168"/>
      <c r="HU257" s="168"/>
      <c r="HV257" s="168"/>
      <c r="HW257" s="168"/>
      <c r="HX257" s="168"/>
      <c r="HY257" s="168"/>
      <c r="HZ257" s="168"/>
      <c r="IA257" s="168"/>
      <c r="IB257" s="168"/>
      <c r="IC257" s="168"/>
      <c r="ID257" s="168"/>
      <c r="IE257" s="168"/>
      <c r="IF257" s="168"/>
      <c r="IG257" s="168"/>
      <c r="IH257" s="168"/>
      <c r="II257" s="168"/>
      <c r="IJ257" s="168"/>
      <c r="IK257" s="168"/>
      <c r="IL257" s="168"/>
      <c r="IM257" s="168"/>
      <c r="IN257" s="168"/>
      <c r="IO257" s="168"/>
      <c r="IP257" s="168"/>
      <c r="IQ257" s="168"/>
      <c r="IR257" s="168"/>
      <c r="IS257" s="168"/>
      <c r="IT257" s="168"/>
      <c r="IU257" s="168"/>
      <c r="IV257" s="168"/>
      <c r="IW257" s="168"/>
      <c r="IX257" s="168"/>
      <c r="IY257" s="168"/>
      <c r="IZ257" s="168"/>
      <c r="JA257" s="168"/>
      <c r="JB257" s="168"/>
      <c r="JC257" s="168"/>
      <c r="JD257" s="168"/>
      <c r="JE257" s="168"/>
      <c r="JF257" s="168"/>
      <c r="JG257" s="168"/>
      <c r="JH257" s="168"/>
      <c r="JI257" s="168"/>
      <c r="JJ257" s="168"/>
      <c r="JK257" s="168"/>
      <c r="JL257" s="168"/>
      <c r="JM257" s="168"/>
      <c r="JN257" s="168"/>
      <c r="JO257" s="168"/>
      <c r="JP257" s="168"/>
      <c r="JQ257" s="168"/>
      <c r="JR257" s="168"/>
      <c r="JS257" s="168"/>
      <c r="JT257" s="168"/>
      <c r="JU257" s="168"/>
      <c r="JV257" s="168"/>
      <c r="JW257" s="168"/>
      <c r="JX257" s="168"/>
      <c r="JY257" s="168"/>
      <c r="JZ257" s="168"/>
      <c r="KA257" s="168"/>
      <c r="KB257" s="168"/>
      <c r="KC257" s="168"/>
      <c r="KD257" s="168"/>
      <c r="KE257" s="168"/>
      <c r="KF257" s="168"/>
      <c r="KG257" s="168"/>
      <c r="KH257" s="168"/>
      <c r="KI257" s="168"/>
      <c r="KJ257" s="168"/>
      <c r="KK257" s="168"/>
      <c r="KL257" s="168"/>
      <c r="KM257" s="168"/>
      <c r="KN257" s="168"/>
      <c r="KO257" s="168"/>
      <c r="KP257" s="168"/>
      <c r="KQ257" s="168"/>
      <c r="KR257" s="168"/>
      <c r="KS257" s="168"/>
      <c r="KT257" s="168"/>
      <c r="KU257" s="168"/>
      <c r="KV257" s="168"/>
      <c r="KW257" s="168"/>
      <c r="KX257" s="168"/>
      <c r="KY257" s="168"/>
      <c r="KZ257" s="168"/>
      <c r="LA257" s="168"/>
      <c r="LB257" s="168"/>
      <c r="LC257" s="168"/>
      <c r="LD257" s="168"/>
      <c r="LE257" s="168"/>
      <c r="LF257" s="168"/>
      <c r="LG257" s="168"/>
      <c r="LH257" s="168"/>
      <c r="LI257" s="168"/>
      <c r="LJ257" s="168"/>
      <c r="LK257" s="168"/>
      <c r="LL257" s="168"/>
      <c r="LM257" s="168"/>
      <c r="LN257" s="168"/>
      <c r="LO257" s="168"/>
      <c r="LP257" s="606"/>
      <c r="LQ257" s="609"/>
      <c r="LR257" s="1319"/>
      <c r="LS257" s="1319"/>
    </row>
    <row r="258" spans="1:331" s="2" customFormat="1" ht="15" customHeight="1" x14ac:dyDescent="0.25">
      <c r="A258" s="283"/>
      <c r="B258" s="303"/>
      <c r="C258" s="301"/>
      <c r="D258" s="1287"/>
      <c r="E258" s="2298"/>
      <c r="F258" s="1812"/>
      <c r="G258" s="3342"/>
      <c r="H258" s="66"/>
      <c r="I258" s="1746"/>
      <c r="J258" s="1214"/>
      <c r="K258" s="105"/>
      <c r="L258" s="91"/>
      <c r="M258" s="92"/>
      <c r="N258" s="93"/>
      <c r="O258" s="94"/>
      <c r="P258" s="96"/>
      <c r="Q258" s="95"/>
      <c r="R258" s="993">
        <f t="shared" si="876"/>
        <v>0</v>
      </c>
      <c r="S258" s="23">
        <f t="shared" si="877"/>
        <v>0</v>
      </c>
      <c r="T258" s="24">
        <f t="shared" si="908"/>
        <v>0</v>
      </c>
      <c r="U258" s="24">
        <f t="shared" si="909"/>
        <v>0</v>
      </c>
      <c r="V258" s="24">
        <f t="shared" si="910"/>
        <v>0</v>
      </c>
      <c r="W258" s="24">
        <f t="shared" ca="1" si="911"/>
        <v>0</v>
      </c>
      <c r="X258" s="72">
        <f t="shared" ca="1" si="956"/>
        <v>0</v>
      </c>
      <c r="Y258" s="72">
        <f t="shared" si="912"/>
        <v>0</v>
      </c>
      <c r="Z258" s="24">
        <f t="shared" si="913"/>
        <v>0</v>
      </c>
      <c r="AA258" s="72">
        <f t="shared" si="957"/>
        <v>0</v>
      </c>
      <c r="AB258" s="24">
        <f t="shared" si="967"/>
        <v>0</v>
      </c>
      <c r="AC258" s="24">
        <f t="shared" ca="1" si="914"/>
        <v>0</v>
      </c>
      <c r="AD258" s="24">
        <f t="shared" si="886"/>
        <v>0</v>
      </c>
      <c r="AE258" s="2078">
        <f t="shared" si="961"/>
        <v>3</v>
      </c>
      <c r="AF258" s="2078">
        <f t="shared" si="962"/>
        <v>0</v>
      </c>
      <c r="AG258" s="2078">
        <f t="shared" si="963"/>
        <v>0</v>
      </c>
      <c r="AH258" s="2521">
        <f t="shared" si="887"/>
        <v>1</v>
      </c>
      <c r="AI258" s="25" t="str">
        <f t="shared" si="915"/>
        <v/>
      </c>
      <c r="AJ258" s="2521">
        <f t="shared" ca="1" si="882"/>
        <v>0</v>
      </c>
      <c r="AK258" s="2076">
        <f t="shared" ca="1" si="878"/>
        <v>0</v>
      </c>
      <c r="AL258" s="2078">
        <f>IF(ISBLANK(J258),0,ISERROR(MATCH(J258,'5  Control Accounts'!$FA$29:$FA$96,0))*1)</f>
        <v>0</v>
      </c>
      <c r="AM258" s="2076">
        <f t="shared" si="916"/>
        <v>0</v>
      </c>
      <c r="AN258" s="2078">
        <f t="shared" si="917"/>
        <v>1</v>
      </c>
      <c r="AO258" s="2079">
        <f t="shared" si="888"/>
        <v>1</v>
      </c>
      <c r="AP258" s="2079">
        <f t="shared" si="889"/>
        <v>0</v>
      </c>
      <c r="AQ258" s="2079">
        <f t="shared" si="890"/>
        <v>0</v>
      </c>
      <c r="AR258" s="2079">
        <f t="shared" si="891"/>
        <v>0</v>
      </c>
      <c r="AS258" s="2079">
        <f t="shared" si="892"/>
        <v>0</v>
      </c>
      <c r="AT258" s="2079">
        <f t="shared" si="893"/>
        <v>0</v>
      </c>
      <c r="AU258" s="2079">
        <f t="shared" si="894"/>
        <v>0</v>
      </c>
      <c r="AV258" s="2079">
        <f t="shared" si="895"/>
        <v>0</v>
      </c>
      <c r="AW258" s="2079">
        <f t="shared" si="896"/>
        <v>0</v>
      </c>
      <c r="AX258" s="2079">
        <f t="shared" si="897"/>
        <v>0</v>
      </c>
      <c r="AY258" s="2078">
        <f t="shared" si="918"/>
        <v>0</v>
      </c>
      <c r="AZ258" s="2078">
        <f t="shared" si="919"/>
        <v>0</v>
      </c>
      <c r="BA258" s="2078">
        <f t="shared" si="920"/>
        <v>0</v>
      </c>
      <c r="BB258" s="2078">
        <f t="shared" si="921"/>
        <v>0</v>
      </c>
      <c r="BC258" s="2078">
        <f t="shared" si="922"/>
        <v>0</v>
      </c>
      <c r="BD258" s="2078">
        <f t="shared" si="923"/>
        <v>0</v>
      </c>
      <c r="BE258" s="2078">
        <f t="shared" si="924"/>
        <v>0</v>
      </c>
      <c r="BF258" s="2078">
        <f t="shared" si="925"/>
        <v>0</v>
      </c>
      <c r="BG258" s="2078">
        <f t="shared" si="926"/>
        <v>0</v>
      </c>
      <c r="BH258" s="2078">
        <f t="shared" si="927"/>
        <v>0</v>
      </c>
      <c r="BI258" s="2078">
        <f t="shared" si="928"/>
        <v>0</v>
      </c>
      <c r="BJ258" s="2078">
        <f t="shared" si="929"/>
        <v>0</v>
      </c>
      <c r="BK258" s="2078">
        <f t="shared" si="930"/>
        <v>0</v>
      </c>
      <c r="BL258" s="2078">
        <f t="shared" si="931"/>
        <v>0</v>
      </c>
      <c r="BM258" s="2078">
        <f t="shared" si="932"/>
        <v>0</v>
      </c>
      <c r="BN258" s="2078">
        <f t="shared" si="933"/>
        <v>0</v>
      </c>
      <c r="BO258" s="2078">
        <f t="shared" si="934"/>
        <v>0</v>
      </c>
      <c r="BP258" s="2078">
        <f t="shared" si="935"/>
        <v>0</v>
      </c>
      <c r="BQ258" s="2078">
        <f t="shared" si="936"/>
        <v>0</v>
      </c>
      <c r="BR258" s="2078">
        <f t="shared" si="937"/>
        <v>0</v>
      </c>
      <c r="BS258" s="2079">
        <f t="shared" si="898"/>
        <v>1</v>
      </c>
      <c r="BT258" s="2079">
        <f t="shared" si="899"/>
        <v>0</v>
      </c>
      <c r="BU258" s="2079">
        <f t="shared" si="900"/>
        <v>0</v>
      </c>
      <c r="BV258" s="2079">
        <f t="shared" si="901"/>
        <v>0</v>
      </c>
      <c r="BW258" s="2079">
        <f t="shared" si="902"/>
        <v>0</v>
      </c>
      <c r="BX258" s="2079">
        <f t="shared" si="903"/>
        <v>0</v>
      </c>
      <c r="BY258" s="2079">
        <f t="shared" si="904"/>
        <v>0</v>
      </c>
      <c r="BZ258" s="2079">
        <f t="shared" si="905"/>
        <v>0</v>
      </c>
      <c r="CA258" s="2079">
        <f t="shared" si="906"/>
        <v>0</v>
      </c>
      <c r="CB258" s="2079">
        <f t="shared" si="907"/>
        <v>0</v>
      </c>
      <c r="CC258" s="2078">
        <f t="shared" ca="1" si="938"/>
        <v>0</v>
      </c>
      <c r="CD258" s="2078">
        <f t="shared" ca="1" si="939"/>
        <v>0</v>
      </c>
      <c r="CE258" s="2078">
        <f t="shared" ca="1" si="940"/>
        <v>0</v>
      </c>
      <c r="CF258" s="2078">
        <f t="shared" ca="1" si="941"/>
        <v>0</v>
      </c>
      <c r="CG258" s="2078">
        <f t="shared" ca="1" si="942"/>
        <v>0</v>
      </c>
      <c r="CH258" s="2078">
        <f t="shared" ca="1" si="943"/>
        <v>0</v>
      </c>
      <c r="CI258" s="2078">
        <f t="shared" ca="1" si="944"/>
        <v>0</v>
      </c>
      <c r="CJ258" s="2078">
        <f t="shared" ca="1" si="945"/>
        <v>0</v>
      </c>
      <c r="CK258" s="2078">
        <f t="shared" ca="1" si="946"/>
        <v>0</v>
      </c>
      <c r="CL258" s="2078">
        <f t="shared" ca="1" si="947"/>
        <v>0</v>
      </c>
      <c r="CM258" s="2078">
        <f t="shared" si="968"/>
        <v>1</v>
      </c>
      <c r="CN258" s="2078">
        <f t="shared" si="969"/>
        <v>1</v>
      </c>
      <c r="CO258" s="2078">
        <f t="shared" si="958"/>
        <v>1</v>
      </c>
      <c r="CP258" s="2078">
        <f t="shared" si="948"/>
        <v>1</v>
      </c>
      <c r="CQ258" s="2078">
        <f t="shared" si="959"/>
        <v>0</v>
      </c>
      <c r="CR258" s="2078">
        <f t="shared" si="879"/>
        <v>0</v>
      </c>
      <c r="CS258" s="2078">
        <f t="shared" si="949"/>
        <v>0</v>
      </c>
      <c r="CT258" s="2078">
        <f t="shared" si="960"/>
        <v>1</v>
      </c>
      <c r="CU258" s="2078">
        <f t="shared" si="950"/>
        <v>1</v>
      </c>
      <c r="CV258" s="2078">
        <f t="shared" si="970"/>
        <v>0</v>
      </c>
      <c r="CW258" s="2078">
        <f>IF(OR(AE258&lt;&gt;3,F258="Exclude"),0,IF(ISERROR(MATCH($E258,'4 Sign-off'!$S$123:$X$123,0)),0,1))</f>
        <v>0</v>
      </c>
      <c r="CX258" s="2078">
        <f t="shared" si="883"/>
        <v>0</v>
      </c>
      <c r="CY258" s="2078">
        <f t="shared" si="971"/>
        <v>0</v>
      </c>
      <c r="CZ258" s="2993">
        <f t="shared" ca="1" si="880"/>
        <v>0</v>
      </c>
      <c r="DA258" s="3037">
        <f t="shared" ca="1" si="881"/>
        <v>0</v>
      </c>
      <c r="DB258" s="1664"/>
      <c r="DC258" s="1320"/>
      <c r="DD258" s="589"/>
      <c r="DE258" s="1321"/>
      <c r="DF258" s="107"/>
      <c r="DG258" s="112"/>
      <c r="DH258" s="140"/>
      <c r="DI258" s="22"/>
      <c r="DJ258" s="145"/>
      <c r="DK258" s="137"/>
      <c r="DL258" s="137"/>
      <c r="DM258" s="137"/>
      <c r="DN258" s="137"/>
      <c r="DO258" s="137"/>
      <c r="DP258" s="137"/>
      <c r="DQ258" s="137"/>
      <c r="DR258" s="137"/>
      <c r="DS258" s="137"/>
      <c r="DT258" s="137"/>
      <c r="DU258" s="137"/>
      <c r="DV258" s="137"/>
      <c r="DW258" s="137"/>
      <c r="DX258" s="137"/>
      <c r="DY258" s="137"/>
      <c r="DZ258" s="137"/>
      <c r="EA258" s="137"/>
      <c r="EB258" s="137"/>
      <c r="EC258" s="137"/>
      <c r="ED258" s="137"/>
      <c r="EE258" s="137"/>
      <c r="EF258" s="137"/>
      <c r="EG258" s="137"/>
      <c r="EH258" s="137"/>
      <c r="EI258" s="137"/>
      <c r="EJ258" s="137"/>
      <c r="EK258" s="137"/>
      <c r="EL258" s="137"/>
      <c r="EM258" s="137"/>
      <c r="EN258" s="137"/>
      <c r="EO258" s="137"/>
      <c r="EP258" s="137"/>
      <c r="EQ258" s="137"/>
      <c r="ER258" s="137"/>
      <c r="ES258" s="137"/>
      <c r="ET258" s="137"/>
      <c r="EU258" s="137"/>
      <c r="EV258" s="137"/>
      <c r="EW258" s="137"/>
      <c r="EX258" s="137"/>
      <c r="EY258" s="137"/>
      <c r="EZ258" s="137"/>
      <c r="FA258" s="137"/>
      <c r="FB258" s="137"/>
      <c r="FC258" s="137"/>
      <c r="FD258" s="137"/>
      <c r="FE258" s="137"/>
      <c r="FF258" s="137"/>
      <c r="FG258" s="860"/>
      <c r="FH258" s="863"/>
      <c r="FI258" s="1318"/>
      <c r="FJ258" s="126"/>
      <c r="FK258" s="127"/>
      <c r="FL258" s="128" t="str">
        <f t="shared" si="951"/>
        <v xml:space="preserve">    </v>
      </c>
      <c r="FM258" s="128"/>
      <c r="FN258" s="1686">
        <f t="shared" si="952"/>
        <v>0</v>
      </c>
      <c r="FO258" s="46">
        <f t="shared" si="972"/>
        <v>0</v>
      </c>
      <c r="FP258" s="46">
        <f t="shared" si="977"/>
        <v>1</v>
      </c>
      <c r="FQ258" s="75">
        <f t="shared" si="953"/>
        <v>0</v>
      </c>
      <c r="FR258" s="46">
        <f t="shared" si="964"/>
        <v>0</v>
      </c>
      <c r="FS258" s="46">
        <f t="shared" si="965"/>
        <v>1</v>
      </c>
      <c r="FT258" s="75">
        <f t="shared" si="954"/>
        <v>0</v>
      </c>
      <c r="FU258" s="2603">
        <f t="shared" si="973"/>
        <v>0</v>
      </c>
      <c r="FV258" s="2607">
        <f t="shared" si="974"/>
        <v>0</v>
      </c>
      <c r="FW258" s="2603">
        <f t="shared" si="975"/>
        <v>0</v>
      </c>
      <c r="FX258" s="2631">
        <f t="shared" si="976"/>
        <v>0</v>
      </c>
      <c r="FY258" s="81" t="e">
        <f t="shared" si="966"/>
        <v>#N/A</v>
      </c>
      <c r="FZ258" s="64" t="e">
        <f t="array" ref="FZ258">MATCH(1,($GT258:$LQ258&gt;0)*$GT$25:$LQ$25,0)</f>
        <v>#N/A</v>
      </c>
      <c r="GA258" s="64" t="e">
        <f t="array" ref="GA258">MATCH(2,1/(GT258:LQ258&gt;0))</f>
        <v>#N/A</v>
      </c>
      <c r="GB258" s="64">
        <f t="shared" si="955"/>
        <v>-1</v>
      </c>
      <c r="GC258" s="46"/>
      <c r="GD258" s="613"/>
      <c r="GE258" s="613"/>
      <c r="GF258" s="613"/>
      <c r="GG258" s="613"/>
      <c r="GH258" s="613"/>
      <c r="GI258" s="613"/>
      <c r="GJ258" s="613"/>
      <c r="GK258" s="613"/>
      <c r="GL258" s="613"/>
      <c r="GM258" s="613"/>
      <c r="GN258" s="385">
        <f t="shared" si="884"/>
        <v>0</v>
      </c>
      <c r="GO258" s="386">
        <f t="shared" si="885"/>
        <v>0</v>
      </c>
      <c r="GP258" s="2635"/>
      <c r="GQ258" s="175"/>
      <c r="GR258" s="172"/>
      <c r="GS258" s="65"/>
      <c r="GT258" s="167"/>
      <c r="GU258" s="168"/>
      <c r="GV258" s="168"/>
      <c r="GW258" s="168"/>
      <c r="GX258" s="168"/>
      <c r="GY258" s="168"/>
      <c r="GZ258" s="168"/>
      <c r="HA258" s="168"/>
      <c r="HB258" s="168"/>
      <c r="HC258" s="168"/>
      <c r="HD258" s="168"/>
      <c r="HE258" s="168"/>
      <c r="HF258" s="168"/>
      <c r="HG258" s="168"/>
      <c r="HH258" s="168"/>
      <c r="HI258" s="168"/>
      <c r="HJ258" s="168"/>
      <c r="HK258" s="168"/>
      <c r="HL258" s="168"/>
      <c r="HM258" s="168"/>
      <c r="HN258" s="168"/>
      <c r="HO258" s="168"/>
      <c r="HP258" s="168"/>
      <c r="HQ258" s="168"/>
      <c r="HR258" s="168"/>
      <c r="HS258" s="168"/>
      <c r="HT258" s="168"/>
      <c r="HU258" s="168"/>
      <c r="HV258" s="168"/>
      <c r="HW258" s="168"/>
      <c r="HX258" s="168"/>
      <c r="HY258" s="168"/>
      <c r="HZ258" s="168"/>
      <c r="IA258" s="168"/>
      <c r="IB258" s="168"/>
      <c r="IC258" s="168"/>
      <c r="ID258" s="168"/>
      <c r="IE258" s="168"/>
      <c r="IF258" s="168"/>
      <c r="IG258" s="168"/>
      <c r="IH258" s="168"/>
      <c r="II258" s="168"/>
      <c r="IJ258" s="168"/>
      <c r="IK258" s="168"/>
      <c r="IL258" s="168"/>
      <c r="IM258" s="168"/>
      <c r="IN258" s="168"/>
      <c r="IO258" s="168"/>
      <c r="IP258" s="168"/>
      <c r="IQ258" s="168"/>
      <c r="IR258" s="168"/>
      <c r="IS258" s="168"/>
      <c r="IT258" s="168"/>
      <c r="IU258" s="168"/>
      <c r="IV258" s="168"/>
      <c r="IW258" s="168"/>
      <c r="IX258" s="168"/>
      <c r="IY258" s="168"/>
      <c r="IZ258" s="168"/>
      <c r="JA258" s="168"/>
      <c r="JB258" s="168"/>
      <c r="JC258" s="168"/>
      <c r="JD258" s="168"/>
      <c r="JE258" s="168"/>
      <c r="JF258" s="168"/>
      <c r="JG258" s="168"/>
      <c r="JH258" s="168"/>
      <c r="JI258" s="168"/>
      <c r="JJ258" s="168"/>
      <c r="JK258" s="168"/>
      <c r="JL258" s="168"/>
      <c r="JM258" s="168"/>
      <c r="JN258" s="168"/>
      <c r="JO258" s="168"/>
      <c r="JP258" s="168"/>
      <c r="JQ258" s="168"/>
      <c r="JR258" s="168"/>
      <c r="JS258" s="168"/>
      <c r="JT258" s="168"/>
      <c r="JU258" s="168"/>
      <c r="JV258" s="168"/>
      <c r="JW258" s="168"/>
      <c r="JX258" s="168"/>
      <c r="JY258" s="168"/>
      <c r="JZ258" s="168"/>
      <c r="KA258" s="168"/>
      <c r="KB258" s="168"/>
      <c r="KC258" s="168"/>
      <c r="KD258" s="168"/>
      <c r="KE258" s="168"/>
      <c r="KF258" s="168"/>
      <c r="KG258" s="168"/>
      <c r="KH258" s="168"/>
      <c r="KI258" s="168"/>
      <c r="KJ258" s="168"/>
      <c r="KK258" s="168"/>
      <c r="KL258" s="168"/>
      <c r="KM258" s="168"/>
      <c r="KN258" s="168"/>
      <c r="KO258" s="168"/>
      <c r="KP258" s="168"/>
      <c r="KQ258" s="168"/>
      <c r="KR258" s="168"/>
      <c r="KS258" s="168"/>
      <c r="KT258" s="168"/>
      <c r="KU258" s="168"/>
      <c r="KV258" s="168"/>
      <c r="KW258" s="168"/>
      <c r="KX258" s="168"/>
      <c r="KY258" s="168"/>
      <c r="KZ258" s="168"/>
      <c r="LA258" s="168"/>
      <c r="LB258" s="168"/>
      <c r="LC258" s="168"/>
      <c r="LD258" s="168"/>
      <c r="LE258" s="168"/>
      <c r="LF258" s="168"/>
      <c r="LG258" s="168"/>
      <c r="LH258" s="168"/>
      <c r="LI258" s="168"/>
      <c r="LJ258" s="168"/>
      <c r="LK258" s="168"/>
      <c r="LL258" s="168"/>
      <c r="LM258" s="168"/>
      <c r="LN258" s="168"/>
      <c r="LO258" s="168"/>
      <c r="LP258" s="606"/>
      <c r="LQ258" s="609"/>
      <c r="LR258" s="1319"/>
      <c r="LS258" s="1319"/>
    </row>
    <row r="259" spans="1:331" s="2" customFormat="1" ht="15" customHeight="1" x14ac:dyDescent="0.25">
      <c r="A259" s="283"/>
      <c r="B259" s="303"/>
      <c r="C259" s="301"/>
      <c r="D259" s="1287"/>
      <c r="E259" s="2298"/>
      <c r="F259" s="1812"/>
      <c r="G259" s="3342"/>
      <c r="H259" s="66"/>
      <c r="I259" s="1746"/>
      <c r="J259" s="1214"/>
      <c r="K259" s="105"/>
      <c r="L259" s="91"/>
      <c r="M259" s="92"/>
      <c r="N259" s="93"/>
      <c r="O259" s="94"/>
      <c r="P259" s="96"/>
      <c r="Q259" s="95"/>
      <c r="R259" s="993">
        <f t="shared" si="876"/>
        <v>0</v>
      </c>
      <c r="S259" s="23">
        <f t="shared" si="877"/>
        <v>0</v>
      </c>
      <c r="T259" s="24">
        <f t="shared" si="908"/>
        <v>0</v>
      </c>
      <c r="U259" s="24">
        <f t="shared" si="909"/>
        <v>0</v>
      </c>
      <c r="V259" s="24">
        <f t="shared" si="910"/>
        <v>0</v>
      </c>
      <c r="W259" s="24">
        <f t="shared" ca="1" si="911"/>
        <v>0</v>
      </c>
      <c r="X259" s="72">
        <f t="shared" ca="1" si="956"/>
        <v>0</v>
      </c>
      <c r="Y259" s="72">
        <f t="shared" si="912"/>
        <v>0</v>
      </c>
      <c r="Z259" s="24">
        <f t="shared" si="913"/>
        <v>0</v>
      </c>
      <c r="AA259" s="72">
        <f t="shared" si="957"/>
        <v>0</v>
      </c>
      <c r="AB259" s="24">
        <f t="shared" si="967"/>
        <v>0</v>
      </c>
      <c r="AC259" s="24">
        <f t="shared" ca="1" si="914"/>
        <v>0</v>
      </c>
      <c r="AD259" s="24">
        <f t="shared" si="886"/>
        <v>0</v>
      </c>
      <c r="AE259" s="2078">
        <f t="shared" si="961"/>
        <v>3</v>
      </c>
      <c r="AF259" s="2078">
        <f t="shared" si="962"/>
        <v>0</v>
      </c>
      <c r="AG259" s="2078">
        <f t="shared" si="963"/>
        <v>0</v>
      </c>
      <c r="AH259" s="2521">
        <f t="shared" si="887"/>
        <v>1</v>
      </c>
      <c r="AI259" s="25" t="str">
        <f t="shared" si="915"/>
        <v/>
      </c>
      <c r="AJ259" s="2521">
        <f t="shared" ca="1" si="882"/>
        <v>0</v>
      </c>
      <c r="AK259" s="2076">
        <f t="shared" ca="1" si="878"/>
        <v>0</v>
      </c>
      <c r="AL259" s="2078">
        <f>IF(ISBLANK(J259),0,ISERROR(MATCH(J259,'5  Control Accounts'!$FA$29:$FA$96,0))*1)</f>
        <v>0</v>
      </c>
      <c r="AM259" s="2076">
        <f t="shared" si="916"/>
        <v>0</v>
      </c>
      <c r="AN259" s="2078">
        <f t="shared" si="917"/>
        <v>1</v>
      </c>
      <c r="AO259" s="2079">
        <f t="shared" si="888"/>
        <v>1</v>
      </c>
      <c r="AP259" s="2079">
        <f t="shared" si="889"/>
        <v>0</v>
      </c>
      <c r="AQ259" s="2079">
        <f t="shared" si="890"/>
        <v>0</v>
      </c>
      <c r="AR259" s="2079">
        <f t="shared" si="891"/>
        <v>0</v>
      </c>
      <c r="AS259" s="2079">
        <f t="shared" si="892"/>
        <v>0</v>
      </c>
      <c r="AT259" s="2079">
        <f t="shared" si="893"/>
        <v>0</v>
      </c>
      <c r="AU259" s="2079">
        <f t="shared" si="894"/>
        <v>0</v>
      </c>
      <c r="AV259" s="2079">
        <f t="shared" si="895"/>
        <v>0</v>
      </c>
      <c r="AW259" s="2079">
        <f t="shared" si="896"/>
        <v>0</v>
      </c>
      <c r="AX259" s="2079">
        <f t="shared" si="897"/>
        <v>0</v>
      </c>
      <c r="AY259" s="2078">
        <f t="shared" si="918"/>
        <v>0</v>
      </c>
      <c r="AZ259" s="2078">
        <f t="shared" si="919"/>
        <v>0</v>
      </c>
      <c r="BA259" s="2078">
        <f t="shared" si="920"/>
        <v>0</v>
      </c>
      <c r="BB259" s="2078">
        <f t="shared" si="921"/>
        <v>0</v>
      </c>
      <c r="BC259" s="2078">
        <f t="shared" si="922"/>
        <v>0</v>
      </c>
      <c r="BD259" s="2078">
        <f t="shared" si="923"/>
        <v>0</v>
      </c>
      <c r="BE259" s="2078">
        <f t="shared" si="924"/>
        <v>0</v>
      </c>
      <c r="BF259" s="2078">
        <f t="shared" si="925"/>
        <v>0</v>
      </c>
      <c r="BG259" s="2078">
        <f t="shared" si="926"/>
        <v>0</v>
      </c>
      <c r="BH259" s="2078">
        <f t="shared" si="927"/>
        <v>0</v>
      </c>
      <c r="BI259" s="2078">
        <f t="shared" si="928"/>
        <v>0</v>
      </c>
      <c r="BJ259" s="2078">
        <f t="shared" si="929"/>
        <v>0</v>
      </c>
      <c r="BK259" s="2078">
        <f t="shared" si="930"/>
        <v>0</v>
      </c>
      <c r="BL259" s="2078">
        <f t="shared" si="931"/>
        <v>0</v>
      </c>
      <c r="BM259" s="2078">
        <f t="shared" si="932"/>
        <v>0</v>
      </c>
      <c r="BN259" s="2078">
        <f t="shared" si="933"/>
        <v>0</v>
      </c>
      <c r="BO259" s="2078">
        <f t="shared" si="934"/>
        <v>0</v>
      </c>
      <c r="BP259" s="2078">
        <f t="shared" si="935"/>
        <v>0</v>
      </c>
      <c r="BQ259" s="2078">
        <f t="shared" si="936"/>
        <v>0</v>
      </c>
      <c r="BR259" s="2078">
        <f t="shared" si="937"/>
        <v>0</v>
      </c>
      <c r="BS259" s="2079">
        <f t="shared" si="898"/>
        <v>1</v>
      </c>
      <c r="BT259" s="2079">
        <f t="shared" si="899"/>
        <v>0</v>
      </c>
      <c r="BU259" s="2079">
        <f t="shared" si="900"/>
        <v>0</v>
      </c>
      <c r="BV259" s="2079">
        <f t="shared" si="901"/>
        <v>0</v>
      </c>
      <c r="BW259" s="2079">
        <f t="shared" si="902"/>
        <v>0</v>
      </c>
      <c r="BX259" s="2079">
        <f t="shared" si="903"/>
        <v>0</v>
      </c>
      <c r="BY259" s="2079">
        <f t="shared" si="904"/>
        <v>0</v>
      </c>
      <c r="BZ259" s="2079">
        <f t="shared" si="905"/>
        <v>0</v>
      </c>
      <c r="CA259" s="2079">
        <f t="shared" si="906"/>
        <v>0</v>
      </c>
      <c r="CB259" s="2079">
        <f t="shared" si="907"/>
        <v>0</v>
      </c>
      <c r="CC259" s="2078">
        <f t="shared" ca="1" si="938"/>
        <v>0</v>
      </c>
      <c r="CD259" s="2078">
        <f t="shared" ca="1" si="939"/>
        <v>0</v>
      </c>
      <c r="CE259" s="2078">
        <f t="shared" ca="1" si="940"/>
        <v>0</v>
      </c>
      <c r="CF259" s="2078">
        <f t="shared" ca="1" si="941"/>
        <v>0</v>
      </c>
      <c r="CG259" s="2078">
        <f t="shared" ca="1" si="942"/>
        <v>0</v>
      </c>
      <c r="CH259" s="2078">
        <f t="shared" ca="1" si="943"/>
        <v>0</v>
      </c>
      <c r="CI259" s="2078">
        <f t="shared" ca="1" si="944"/>
        <v>0</v>
      </c>
      <c r="CJ259" s="2078">
        <f t="shared" ca="1" si="945"/>
        <v>0</v>
      </c>
      <c r="CK259" s="2078">
        <f t="shared" ca="1" si="946"/>
        <v>0</v>
      </c>
      <c r="CL259" s="2078">
        <f t="shared" ca="1" si="947"/>
        <v>0</v>
      </c>
      <c r="CM259" s="2078">
        <f t="shared" si="968"/>
        <v>1</v>
      </c>
      <c r="CN259" s="2078">
        <f t="shared" si="969"/>
        <v>1</v>
      </c>
      <c r="CO259" s="2078">
        <f t="shared" si="958"/>
        <v>1</v>
      </c>
      <c r="CP259" s="2078">
        <f t="shared" si="948"/>
        <v>1</v>
      </c>
      <c r="CQ259" s="2078">
        <f t="shared" si="959"/>
        <v>0</v>
      </c>
      <c r="CR259" s="2078">
        <f t="shared" si="879"/>
        <v>0</v>
      </c>
      <c r="CS259" s="2078">
        <f t="shared" si="949"/>
        <v>0</v>
      </c>
      <c r="CT259" s="2078">
        <f t="shared" si="960"/>
        <v>1</v>
      </c>
      <c r="CU259" s="2078">
        <f t="shared" si="950"/>
        <v>1</v>
      </c>
      <c r="CV259" s="2078">
        <f t="shared" si="970"/>
        <v>0</v>
      </c>
      <c r="CW259" s="2078">
        <f>IF(OR(AE259&lt;&gt;3,F259="Exclude"),0,IF(ISERROR(MATCH($E259,'4 Sign-off'!$S$123:$X$123,0)),0,1))</f>
        <v>0</v>
      </c>
      <c r="CX259" s="2078">
        <f t="shared" si="883"/>
        <v>0</v>
      </c>
      <c r="CY259" s="2078">
        <f t="shared" si="971"/>
        <v>0</v>
      </c>
      <c r="CZ259" s="2993">
        <f t="shared" ca="1" si="880"/>
        <v>0</v>
      </c>
      <c r="DA259" s="3037">
        <f t="shared" ca="1" si="881"/>
        <v>0</v>
      </c>
      <c r="DB259" s="1664"/>
      <c r="DC259" s="1320"/>
      <c r="DD259" s="589"/>
      <c r="DE259" s="1321"/>
      <c r="DF259" s="107"/>
      <c r="DG259" s="112"/>
      <c r="DH259" s="140"/>
      <c r="DI259" s="22"/>
      <c r="DJ259" s="145"/>
      <c r="DK259" s="137"/>
      <c r="DL259" s="137"/>
      <c r="DM259" s="137"/>
      <c r="DN259" s="137"/>
      <c r="DO259" s="137"/>
      <c r="DP259" s="137"/>
      <c r="DQ259" s="137"/>
      <c r="DR259" s="137"/>
      <c r="DS259" s="137"/>
      <c r="DT259" s="137"/>
      <c r="DU259" s="137"/>
      <c r="DV259" s="137"/>
      <c r="DW259" s="137"/>
      <c r="DX259" s="137"/>
      <c r="DY259" s="137"/>
      <c r="DZ259" s="137"/>
      <c r="EA259" s="137"/>
      <c r="EB259" s="137"/>
      <c r="EC259" s="137"/>
      <c r="ED259" s="137"/>
      <c r="EE259" s="137"/>
      <c r="EF259" s="137"/>
      <c r="EG259" s="137"/>
      <c r="EH259" s="137"/>
      <c r="EI259" s="137"/>
      <c r="EJ259" s="137"/>
      <c r="EK259" s="137"/>
      <c r="EL259" s="137"/>
      <c r="EM259" s="137"/>
      <c r="EN259" s="137"/>
      <c r="EO259" s="137"/>
      <c r="EP259" s="137"/>
      <c r="EQ259" s="137"/>
      <c r="ER259" s="137"/>
      <c r="ES259" s="137"/>
      <c r="ET259" s="137"/>
      <c r="EU259" s="137"/>
      <c r="EV259" s="137"/>
      <c r="EW259" s="137"/>
      <c r="EX259" s="137"/>
      <c r="EY259" s="137"/>
      <c r="EZ259" s="137"/>
      <c r="FA259" s="137"/>
      <c r="FB259" s="137"/>
      <c r="FC259" s="137"/>
      <c r="FD259" s="137"/>
      <c r="FE259" s="137"/>
      <c r="FF259" s="137"/>
      <c r="FG259" s="860"/>
      <c r="FH259" s="863"/>
      <c r="FI259" s="1318"/>
      <c r="FJ259" s="126"/>
      <c r="FK259" s="127"/>
      <c r="FL259" s="128" t="str">
        <f t="shared" si="951"/>
        <v xml:space="preserve">    </v>
      </c>
      <c r="FM259" s="128"/>
      <c r="FN259" s="1686">
        <f t="shared" si="952"/>
        <v>0</v>
      </c>
      <c r="FO259" s="46">
        <f t="shared" si="972"/>
        <v>0</v>
      </c>
      <c r="FP259" s="46">
        <f t="shared" si="977"/>
        <v>1</v>
      </c>
      <c r="FQ259" s="75">
        <f t="shared" si="953"/>
        <v>0</v>
      </c>
      <c r="FR259" s="46">
        <f t="shared" si="964"/>
        <v>0</v>
      </c>
      <c r="FS259" s="46">
        <f t="shared" si="965"/>
        <v>1</v>
      </c>
      <c r="FT259" s="75">
        <f t="shared" si="954"/>
        <v>0</v>
      </c>
      <c r="FU259" s="2603">
        <f t="shared" si="973"/>
        <v>0</v>
      </c>
      <c r="FV259" s="2607">
        <f t="shared" si="974"/>
        <v>0</v>
      </c>
      <c r="FW259" s="2603">
        <f t="shared" si="975"/>
        <v>0</v>
      </c>
      <c r="FX259" s="2631">
        <f t="shared" si="976"/>
        <v>0</v>
      </c>
      <c r="FY259" s="81" t="e">
        <f t="shared" si="966"/>
        <v>#N/A</v>
      </c>
      <c r="FZ259" s="64" t="e">
        <f t="array" ref="FZ259">MATCH(1,($GT259:$LQ259&gt;0)*$GT$25:$LQ$25,0)</f>
        <v>#N/A</v>
      </c>
      <c r="GA259" s="64" t="e">
        <f t="array" ref="GA259">MATCH(2,1/(GT259:LQ259&gt;0))</f>
        <v>#N/A</v>
      </c>
      <c r="GB259" s="64">
        <f t="shared" si="955"/>
        <v>-1</v>
      </c>
      <c r="GC259" s="46"/>
      <c r="GD259" s="613"/>
      <c r="GE259" s="613"/>
      <c r="GF259" s="613"/>
      <c r="GG259" s="613"/>
      <c r="GH259" s="613"/>
      <c r="GI259" s="613"/>
      <c r="GJ259" s="613"/>
      <c r="GK259" s="613"/>
      <c r="GL259" s="613"/>
      <c r="GM259" s="613"/>
      <c r="GN259" s="385">
        <f t="shared" si="884"/>
        <v>0</v>
      </c>
      <c r="GO259" s="386">
        <f t="shared" si="885"/>
        <v>0</v>
      </c>
      <c r="GP259" s="2635"/>
      <c r="GQ259" s="175"/>
      <c r="GR259" s="172"/>
      <c r="GS259" s="65"/>
      <c r="GT259" s="167"/>
      <c r="GU259" s="168"/>
      <c r="GV259" s="168"/>
      <c r="GW259" s="168"/>
      <c r="GX259" s="168"/>
      <c r="GY259" s="168"/>
      <c r="GZ259" s="168"/>
      <c r="HA259" s="168"/>
      <c r="HB259" s="168"/>
      <c r="HC259" s="168"/>
      <c r="HD259" s="168"/>
      <c r="HE259" s="168"/>
      <c r="HF259" s="168"/>
      <c r="HG259" s="168"/>
      <c r="HH259" s="168"/>
      <c r="HI259" s="168"/>
      <c r="HJ259" s="168"/>
      <c r="HK259" s="168"/>
      <c r="HL259" s="168"/>
      <c r="HM259" s="168"/>
      <c r="HN259" s="168"/>
      <c r="HO259" s="168"/>
      <c r="HP259" s="168"/>
      <c r="HQ259" s="168"/>
      <c r="HR259" s="168"/>
      <c r="HS259" s="168"/>
      <c r="HT259" s="168"/>
      <c r="HU259" s="168"/>
      <c r="HV259" s="168"/>
      <c r="HW259" s="168"/>
      <c r="HX259" s="168"/>
      <c r="HY259" s="168"/>
      <c r="HZ259" s="168"/>
      <c r="IA259" s="168"/>
      <c r="IB259" s="168"/>
      <c r="IC259" s="168"/>
      <c r="ID259" s="168"/>
      <c r="IE259" s="168"/>
      <c r="IF259" s="168"/>
      <c r="IG259" s="168"/>
      <c r="IH259" s="168"/>
      <c r="II259" s="168"/>
      <c r="IJ259" s="168"/>
      <c r="IK259" s="168"/>
      <c r="IL259" s="168"/>
      <c r="IM259" s="168"/>
      <c r="IN259" s="168"/>
      <c r="IO259" s="168"/>
      <c r="IP259" s="168"/>
      <c r="IQ259" s="168"/>
      <c r="IR259" s="168"/>
      <c r="IS259" s="168"/>
      <c r="IT259" s="168"/>
      <c r="IU259" s="168"/>
      <c r="IV259" s="168"/>
      <c r="IW259" s="168"/>
      <c r="IX259" s="168"/>
      <c r="IY259" s="168"/>
      <c r="IZ259" s="168"/>
      <c r="JA259" s="168"/>
      <c r="JB259" s="168"/>
      <c r="JC259" s="168"/>
      <c r="JD259" s="168"/>
      <c r="JE259" s="168"/>
      <c r="JF259" s="168"/>
      <c r="JG259" s="168"/>
      <c r="JH259" s="168"/>
      <c r="JI259" s="168"/>
      <c r="JJ259" s="168"/>
      <c r="JK259" s="168"/>
      <c r="JL259" s="168"/>
      <c r="JM259" s="168"/>
      <c r="JN259" s="168"/>
      <c r="JO259" s="168"/>
      <c r="JP259" s="168"/>
      <c r="JQ259" s="168"/>
      <c r="JR259" s="168"/>
      <c r="JS259" s="168"/>
      <c r="JT259" s="168"/>
      <c r="JU259" s="168"/>
      <c r="JV259" s="168"/>
      <c r="JW259" s="168"/>
      <c r="JX259" s="168"/>
      <c r="JY259" s="168"/>
      <c r="JZ259" s="168"/>
      <c r="KA259" s="168"/>
      <c r="KB259" s="168"/>
      <c r="KC259" s="168"/>
      <c r="KD259" s="168"/>
      <c r="KE259" s="168"/>
      <c r="KF259" s="168"/>
      <c r="KG259" s="168"/>
      <c r="KH259" s="168"/>
      <c r="KI259" s="168"/>
      <c r="KJ259" s="168"/>
      <c r="KK259" s="168"/>
      <c r="KL259" s="168"/>
      <c r="KM259" s="168"/>
      <c r="KN259" s="168"/>
      <c r="KO259" s="168"/>
      <c r="KP259" s="168"/>
      <c r="KQ259" s="168"/>
      <c r="KR259" s="168"/>
      <c r="KS259" s="168"/>
      <c r="KT259" s="168"/>
      <c r="KU259" s="168"/>
      <c r="KV259" s="168"/>
      <c r="KW259" s="168"/>
      <c r="KX259" s="168"/>
      <c r="KY259" s="168"/>
      <c r="KZ259" s="168"/>
      <c r="LA259" s="168"/>
      <c r="LB259" s="168"/>
      <c r="LC259" s="168"/>
      <c r="LD259" s="168"/>
      <c r="LE259" s="168"/>
      <c r="LF259" s="168"/>
      <c r="LG259" s="168"/>
      <c r="LH259" s="168"/>
      <c r="LI259" s="168"/>
      <c r="LJ259" s="168"/>
      <c r="LK259" s="168"/>
      <c r="LL259" s="168"/>
      <c r="LM259" s="168"/>
      <c r="LN259" s="168"/>
      <c r="LO259" s="168"/>
      <c r="LP259" s="606"/>
      <c r="LQ259" s="609"/>
      <c r="LR259" s="1319"/>
      <c r="LS259" s="1319"/>
    </row>
    <row r="260" spans="1:331" s="2" customFormat="1" ht="15" customHeight="1" x14ac:dyDescent="0.25">
      <c r="A260" s="283"/>
      <c r="B260" s="303"/>
      <c r="C260" s="301"/>
      <c r="D260" s="1287"/>
      <c r="E260" s="2298"/>
      <c r="F260" s="1812"/>
      <c r="G260" s="3342"/>
      <c r="H260" s="66"/>
      <c r="I260" s="1746"/>
      <c r="J260" s="1214"/>
      <c r="K260" s="105"/>
      <c r="L260" s="91"/>
      <c r="M260" s="92"/>
      <c r="N260" s="93"/>
      <c r="O260" s="94"/>
      <c r="P260" s="96"/>
      <c r="Q260" s="95"/>
      <c r="R260" s="993">
        <f t="shared" si="876"/>
        <v>0</v>
      </c>
      <c r="S260" s="23">
        <f t="shared" si="877"/>
        <v>0</v>
      </c>
      <c r="T260" s="24">
        <f t="shared" si="908"/>
        <v>0</v>
      </c>
      <c r="U260" s="24">
        <f t="shared" si="909"/>
        <v>0</v>
      </c>
      <c r="V260" s="24">
        <f t="shared" si="910"/>
        <v>0</v>
      </c>
      <c r="W260" s="24">
        <f t="shared" ca="1" si="911"/>
        <v>0</v>
      </c>
      <c r="X260" s="72">
        <f t="shared" ca="1" si="956"/>
        <v>0</v>
      </c>
      <c r="Y260" s="72">
        <f t="shared" si="912"/>
        <v>0</v>
      </c>
      <c r="Z260" s="24">
        <f t="shared" si="913"/>
        <v>0</v>
      </c>
      <c r="AA260" s="72">
        <f t="shared" si="957"/>
        <v>0</v>
      </c>
      <c r="AB260" s="24">
        <f t="shared" si="967"/>
        <v>0</v>
      </c>
      <c r="AC260" s="24">
        <f t="shared" ca="1" si="914"/>
        <v>0</v>
      </c>
      <c r="AD260" s="24">
        <f t="shared" si="886"/>
        <v>0</v>
      </c>
      <c r="AE260" s="2078">
        <f t="shared" si="961"/>
        <v>3</v>
      </c>
      <c r="AF260" s="2078">
        <f t="shared" si="962"/>
        <v>0</v>
      </c>
      <c r="AG260" s="2078">
        <f t="shared" si="963"/>
        <v>0</v>
      </c>
      <c r="AH260" s="2521">
        <f t="shared" si="887"/>
        <v>1</v>
      </c>
      <c r="AI260" s="25" t="str">
        <f t="shared" si="915"/>
        <v/>
      </c>
      <c r="AJ260" s="2521">
        <f t="shared" ca="1" si="882"/>
        <v>0</v>
      </c>
      <c r="AK260" s="2076">
        <f t="shared" ca="1" si="878"/>
        <v>0</v>
      </c>
      <c r="AL260" s="2078">
        <f>IF(ISBLANK(J260),0,ISERROR(MATCH(J260,'5  Control Accounts'!$FA$29:$FA$96,0))*1)</f>
        <v>0</v>
      </c>
      <c r="AM260" s="2076">
        <f t="shared" si="916"/>
        <v>0</v>
      </c>
      <c r="AN260" s="2078">
        <f t="shared" si="917"/>
        <v>1</v>
      </c>
      <c r="AO260" s="2079">
        <f t="shared" si="888"/>
        <v>1</v>
      </c>
      <c r="AP260" s="2079">
        <f t="shared" si="889"/>
        <v>0</v>
      </c>
      <c r="AQ260" s="2079">
        <f t="shared" si="890"/>
        <v>0</v>
      </c>
      <c r="AR260" s="2079">
        <f t="shared" si="891"/>
        <v>0</v>
      </c>
      <c r="AS260" s="2079">
        <f t="shared" si="892"/>
        <v>0</v>
      </c>
      <c r="AT260" s="2079">
        <f t="shared" si="893"/>
        <v>0</v>
      </c>
      <c r="AU260" s="2079">
        <f t="shared" si="894"/>
        <v>0</v>
      </c>
      <c r="AV260" s="2079">
        <f t="shared" si="895"/>
        <v>0</v>
      </c>
      <c r="AW260" s="2079">
        <f t="shared" si="896"/>
        <v>0</v>
      </c>
      <c r="AX260" s="2079">
        <f t="shared" si="897"/>
        <v>0</v>
      </c>
      <c r="AY260" s="2078">
        <f t="shared" si="918"/>
        <v>0</v>
      </c>
      <c r="AZ260" s="2078">
        <f t="shared" si="919"/>
        <v>0</v>
      </c>
      <c r="BA260" s="2078">
        <f t="shared" si="920"/>
        <v>0</v>
      </c>
      <c r="BB260" s="2078">
        <f t="shared" si="921"/>
        <v>0</v>
      </c>
      <c r="BC260" s="2078">
        <f t="shared" si="922"/>
        <v>0</v>
      </c>
      <c r="BD260" s="2078">
        <f t="shared" si="923"/>
        <v>0</v>
      </c>
      <c r="BE260" s="2078">
        <f t="shared" si="924"/>
        <v>0</v>
      </c>
      <c r="BF260" s="2078">
        <f t="shared" si="925"/>
        <v>0</v>
      </c>
      <c r="BG260" s="2078">
        <f t="shared" si="926"/>
        <v>0</v>
      </c>
      <c r="BH260" s="2078">
        <f t="shared" si="927"/>
        <v>0</v>
      </c>
      <c r="BI260" s="2078">
        <f t="shared" si="928"/>
        <v>0</v>
      </c>
      <c r="BJ260" s="2078">
        <f t="shared" si="929"/>
        <v>0</v>
      </c>
      <c r="BK260" s="2078">
        <f t="shared" si="930"/>
        <v>0</v>
      </c>
      <c r="BL260" s="2078">
        <f t="shared" si="931"/>
        <v>0</v>
      </c>
      <c r="BM260" s="2078">
        <f t="shared" si="932"/>
        <v>0</v>
      </c>
      <c r="BN260" s="2078">
        <f t="shared" si="933"/>
        <v>0</v>
      </c>
      <c r="BO260" s="2078">
        <f t="shared" si="934"/>
        <v>0</v>
      </c>
      <c r="BP260" s="2078">
        <f t="shared" si="935"/>
        <v>0</v>
      </c>
      <c r="BQ260" s="2078">
        <f t="shared" si="936"/>
        <v>0</v>
      </c>
      <c r="BR260" s="2078">
        <f t="shared" si="937"/>
        <v>0</v>
      </c>
      <c r="BS260" s="2079">
        <f t="shared" si="898"/>
        <v>1</v>
      </c>
      <c r="BT260" s="2079">
        <f t="shared" si="899"/>
        <v>0</v>
      </c>
      <c r="BU260" s="2079">
        <f t="shared" si="900"/>
        <v>0</v>
      </c>
      <c r="BV260" s="2079">
        <f t="shared" si="901"/>
        <v>0</v>
      </c>
      <c r="BW260" s="2079">
        <f t="shared" si="902"/>
        <v>0</v>
      </c>
      <c r="BX260" s="2079">
        <f t="shared" si="903"/>
        <v>0</v>
      </c>
      <c r="BY260" s="2079">
        <f t="shared" si="904"/>
        <v>0</v>
      </c>
      <c r="BZ260" s="2079">
        <f t="shared" si="905"/>
        <v>0</v>
      </c>
      <c r="CA260" s="2079">
        <f t="shared" si="906"/>
        <v>0</v>
      </c>
      <c r="CB260" s="2079">
        <f t="shared" si="907"/>
        <v>0</v>
      </c>
      <c r="CC260" s="2078">
        <f t="shared" ca="1" si="938"/>
        <v>0</v>
      </c>
      <c r="CD260" s="2078">
        <f t="shared" ca="1" si="939"/>
        <v>0</v>
      </c>
      <c r="CE260" s="2078">
        <f t="shared" ca="1" si="940"/>
        <v>0</v>
      </c>
      <c r="CF260" s="2078">
        <f t="shared" ca="1" si="941"/>
        <v>0</v>
      </c>
      <c r="CG260" s="2078">
        <f t="shared" ca="1" si="942"/>
        <v>0</v>
      </c>
      <c r="CH260" s="2078">
        <f t="shared" ca="1" si="943"/>
        <v>0</v>
      </c>
      <c r="CI260" s="2078">
        <f t="shared" ca="1" si="944"/>
        <v>0</v>
      </c>
      <c r="CJ260" s="2078">
        <f t="shared" ca="1" si="945"/>
        <v>0</v>
      </c>
      <c r="CK260" s="2078">
        <f t="shared" ca="1" si="946"/>
        <v>0</v>
      </c>
      <c r="CL260" s="2078">
        <f t="shared" ca="1" si="947"/>
        <v>0</v>
      </c>
      <c r="CM260" s="2078">
        <f t="shared" si="968"/>
        <v>1</v>
      </c>
      <c r="CN260" s="2078">
        <f t="shared" si="969"/>
        <v>1</v>
      </c>
      <c r="CO260" s="2078">
        <f t="shared" si="958"/>
        <v>1</v>
      </c>
      <c r="CP260" s="2078">
        <f t="shared" si="948"/>
        <v>1</v>
      </c>
      <c r="CQ260" s="2078">
        <f t="shared" si="959"/>
        <v>0</v>
      </c>
      <c r="CR260" s="2078">
        <f t="shared" si="879"/>
        <v>0</v>
      </c>
      <c r="CS260" s="2078">
        <f t="shared" si="949"/>
        <v>0</v>
      </c>
      <c r="CT260" s="2078">
        <f t="shared" si="960"/>
        <v>1</v>
      </c>
      <c r="CU260" s="2078">
        <f t="shared" si="950"/>
        <v>1</v>
      </c>
      <c r="CV260" s="2078">
        <f t="shared" si="970"/>
        <v>0</v>
      </c>
      <c r="CW260" s="2078">
        <f>IF(OR(AE260&lt;&gt;3,F260="Exclude"),0,IF(ISERROR(MATCH($E260,'4 Sign-off'!$S$123:$X$123,0)),0,1))</f>
        <v>0</v>
      </c>
      <c r="CX260" s="2078">
        <f t="shared" si="883"/>
        <v>0</v>
      </c>
      <c r="CY260" s="2078">
        <f t="shared" si="971"/>
        <v>0</v>
      </c>
      <c r="CZ260" s="2993">
        <f t="shared" ca="1" si="880"/>
        <v>0</v>
      </c>
      <c r="DA260" s="3037">
        <f t="shared" ca="1" si="881"/>
        <v>0</v>
      </c>
      <c r="DB260" s="1664"/>
      <c r="DC260" s="1320"/>
      <c r="DD260" s="589"/>
      <c r="DE260" s="1321"/>
      <c r="DF260" s="107"/>
      <c r="DG260" s="112"/>
      <c r="DH260" s="140"/>
      <c r="DI260" s="22"/>
      <c r="DJ260" s="145"/>
      <c r="DK260" s="137"/>
      <c r="DL260" s="137"/>
      <c r="DM260" s="137"/>
      <c r="DN260" s="137"/>
      <c r="DO260" s="137"/>
      <c r="DP260" s="137"/>
      <c r="DQ260" s="137"/>
      <c r="DR260" s="137"/>
      <c r="DS260" s="137"/>
      <c r="DT260" s="137"/>
      <c r="DU260" s="137"/>
      <c r="DV260" s="137"/>
      <c r="DW260" s="137"/>
      <c r="DX260" s="137"/>
      <c r="DY260" s="137"/>
      <c r="DZ260" s="137"/>
      <c r="EA260" s="137"/>
      <c r="EB260" s="137"/>
      <c r="EC260" s="137"/>
      <c r="ED260" s="137"/>
      <c r="EE260" s="137"/>
      <c r="EF260" s="137"/>
      <c r="EG260" s="137"/>
      <c r="EH260" s="137"/>
      <c r="EI260" s="137"/>
      <c r="EJ260" s="137"/>
      <c r="EK260" s="137"/>
      <c r="EL260" s="137"/>
      <c r="EM260" s="137"/>
      <c r="EN260" s="137"/>
      <c r="EO260" s="137"/>
      <c r="EP260" s="137"/>
      <c r="EQ260" s="137"/>
      <c r="ER260" s="137"/>
      <c r="ES260" s="137"/>
      <c r="ET260" s="137"/>
      <c r="EU260" s="137"/>
      <c r="EV260" s="137"/>
      <c r="EW260" s="137"/>
      <c r="EX260" s="137"/>
      <c r="EY260" s="137"/>
      <c r="EZ260" s="137"/>
      <c r="FA260" s="137"/>
      <c r="FB260" s="137"/>
      <c r="FC260" s="137"/>
      <c r="FD260" s="137"/>
      <c r="FE260" s="137"/>
      <c r="FF260" s="137"/>
      <c r="FG260" s="860"/>
      <c r="FH260" s="863"/>
      <c r="FI260" s="1318"/>
      <c r="FJ260" s="126"/>
      <c r="FK260" s="127"/>
      <c r="FL260" s="128" t="str">
        <f t="shared" si="951"/>
        <v xml:space="preserve">    </v>
      </c>
      <c r="FM260" s="128"/>
      <c r="FN260" s="1686">
        <f t="shared" si="952"/>
        <v>0</v>
      </c>
      <c r="FO260" s="46">
        <f t="shared" si="972"/>
        <v>0</v>
      </c>
      <c r="FP260" s="46">
        <f t="shared" si="977"/>
        <v>1</v>
      </c>
      <c r="FQ260" s="75">
        <f t="shared" si="953"/>
        <v>0</v>
      </c>
      <c r="FR260" s="46">
        <f t="shared" si="964"/>
        <v>0</v>
      </c>
      <c r="FS260" s="46">
        <f t="shared" si="965"/>
        <v>1</v>
      </c>
      <c r="FT260" s="75">
        <f t="shared" si="954"/>
        <v>0</v>
      </c>
      <c r="FU260" s="2603">
        <f t="shared" si="973"/>
        <v>0</v>
      </c>
      <c r="FV260" s="2607">
        <f t="shared" si="974"/>
        <v>0</v>
      </c>
      <c r="FW260" s="2603">
        <f t="shared" si="975"/>
        <v>0</v>
      </c>
      <c r="FX260" s="2631">
        <f t="shared" si="976"/>
        <v>0</v>
      </c>
      <c r="FY260" s="81" t="e">
        <f t="shared" si="966"/>
        <v>#N/A</v>
      </c>
      <c r="FZ260" s="64" t="e">
        <f t="array" ref="FZ260">MATCH(1,($GT260:$LQ260&gt;0)*$GT$25:$LQ$25,0)</f>
        <v>#N/A</v>
      </c>
      <c r="GA260" s="64" t="e">
        <f t="array" ref="GA260">MATCH(2,1/(GT260:LQ260&gt;0))</f>
        <v>#N/A</v>
      </c>
      <c r="GB260" s="64">
        <f t="shared" si="955"/>
        <v>-1</v>
      </c>
      <c r="GC260" s="46"/>
      <c r="GD260" s="613"/>
      <c r="GE260" s="613"/>
      <c r="GF260" s="613"/>
      <c r="GG260" s="613"/>
      <c r="GH260" s="613"/>
      <c r="GI260" s="613"/>
      <c r="GJ260" s="613"/>
      <c r="GK260" s="613"/>
      <c r="GL260" s="613"/>
      <c r="GM260" s="613"/>
      <c r="GN260" s="385">
        <f t="shared" si="884"/>
        <v>0</v>
      </c>
      <c r="GO260" s="386">
        <f t="shared" si="885"/>
        <v>0</v>
      </c>
      <c r="GP260" s="2635"/>
      <c r="GQ260" s="175"/>
      <c r="GR260" s="172"/>
      <c r="GS260" s="65"/>
      <c r="GT260" s="167"/>
      <c r="GU260" s="168"/>
      <c r="GV260" s="168"/>
      <c r="GW260" s="168"/>
      <c r="GX260" s="168"/>
      <c r="GY260" s="168"/>
      <c r="GZ260" s="168"/>
      <c r="HA260" s="168"/>
      <c r="HB260" s="168"/>
      <c r="HC260" s="168"/>
      <c r="HD260" s="168"/>
      <c r="HE260" s="168"/>
      <c r="HF260" s="168"/>
      <c r="HG260" s="168"/>
      <c r="HH260" s="168"/>
      <c r="HI260" s="168"/>
      <c r="HJ260" s="168"/>
      <c r="HK260" s="168"/>
      <c r="HL260" s="168"/>
      <c r="HM260" s="168"/>
      <c r="HN260" s="168"/>
      <c r="HO260" s="168"/>
      <c r="HP260" s="168"/>
      <c r="HQ260" s="168"/>
      <c r="HR260" s="168"/>
      <c r="HS260" s="168"/>
      <c r="HT260" s="168"/>
      <c r="HU260" s="168"/>
      <c r="HV260" s="168"/>
      <c r="HW260" s="168"/>
      <c r="HX260" s="168"/>
      <c r="HY260" s="168"/>
      <c r="HZ260" s="168"/>
      <c r="IA260" s="168"/>
      <c r="IB260" s="168"/>
      <c r="IC260" s="168"/>
      <c r="ID260" s="168"/>
      <c r="IE260" s="168"/>
      <c r="IF260" s="168"/>
      <c r="IG260" s="168"/>
      <c r="IH260" s="168"/>
      <c r="II260" s="168"/>
      <c r="IJ260" s="168"/>
      <c r="IK260" s="168"/>
      <c r="IL260" s="168"/>
      <c r="IM260" s="168"/>
      <c r="IN260" s="168"/>
      <c r="IO260" s="168"/>
      <c r="IP260" s="168"/>
      <c r="IQ260" s="168"/>
      <c r="IR260" s="168"/>
      <c r="IS260" s="168"/>
      <c r="IT260" s="168"/>
      <c r="IU260" s="168"/>
      <c r="IV260" s="168"/>
      <c r="IW260" s="168"/>
      <c r="IX260" s="168"/>
      <c r="IY260" s="168"/>
      <c r="IZ260" s="168"/>
      <c r="JA260" s="168"/>
      <c r="JB260" s="168"/>
      <c r="JC260" s="168"/>
      <c r="JD260" s="168"/>
      <c r="JE260" s="168"/>
      <c r="JF260" s="168"/>
      <c r="JG260" s="168"/>
      <c r="JH260" s="168"/>
      <c r="JI260" s="168"/>
      <c r="JJ260" s="168"/>
      <c r="JK260" s="168"/>
      <c r="JL260" s="168"/>
      <c r="JM260" s="168"/>
      <c r="JN260" s="168"/>
      <c r="JO260" s="168"/>
      <c r="JP260" s="168"/>
      <c r="JQ260" s="168"/>
      <c r="JR260" s="168"/>
      <c r="JS260" s="168"/>
      <c r="JT260" s="168"/>
      <c r="JU260" s="168"/>
      <c r="JV260" s="168"/>
      <c r="JW260" s="168"/>
      <c r="JX260" s="168"/>
      <c r="JY260" s="168"/>
      <c r="JZ260" s="168"/>
      <c r="KA260" s="168"/>
      <c r="KB260" s="168"/>
      <c r="KC260" s="168"/>
      <c r="KD260" s="168"/>
      <c r="KE260" s="168"/>
      <c r="KF260" s="168"/>
      <c r="KG260" s="168"/>
      <c r="KH260" s="168"/>
      <c r="KI260" s="168"/>
      <c r="KJ260" s="168"/>
      <c r="KK260" s="168"/>
      <c r="KL260" s="168"/>
      <c r="KM260" s="168"/>
      <c r="KN260" s="168"/>
      <c r="KO260" s="168"/>
      <c r="KP260" s="168"/>
      <c r="KQ260" s="168"/>
      <c r="KR260" s="168"/>
      <c r="KS260" s="168"/>
      <c r="KT260" s="168"/>
      <c r="KU260" s="168"/>
      <c r="KV260" s="168"/>
      <c r="KW260" s="168"/>
      <c r="KX260" s="168"/>
      <c r="KY260" s="168"/>
      <c r="KZ260" s="168"/>
      <c r="LA260" s="168"/>
      <c r="LB260" s="168"/>
      <c r="LC260" s="168"/>
      <c r="LD260" s="168"/>
      <c r="LE260" s="168"/>
      <c r="LF260" s="168"/>
      <c r="LG260" s="168"/>
      <c r="LH260" s="168"/>
      <c r="LI260" s="168"/>
      <c r="LJ260" s="168"/>
      <c r="LK260" s="168"/>
      <c r="LL260" s="168"/>
      <c r="LM260" s="168"/>
      <c r="LN260" s="168"/>
      <c r="LO260" s="168"/>
      <c r="LP260" s="606"/>
      <c r="LQ260" s="609"/>
      <c r="LR260" s="1319"/>
      <c r="LS260" s="1319"/>
    </row>
    <row r="261" spans="1:331" s="2" customFormat="1" ht="15" customHeight="1" x14ac:dyDescent="0.25">
      <c r="A261" s="283"/>
      <c r="B261" s="303"/>
      <c r="C261" s="301"/>
      <c r="D261" s="1287"/>
      <c r="E261" s="2298"/>
      <c r="F261" s="1812"/>
      <c r="G261" s="3342"/>
      <c r="H261" s="66"/>
      <c r="I261" s="1746"/>
      <c r="J261" s="1214"/>
      <c r="K261" s="105"/>
      <c r="L261" s="91"/>
      <c r="M261" s="92"/>
      <c r="N261" s="93"/>
      <c r="O261" s="94"/>
      <c r="P261" s="96"/>
      <c r="Q261" s="95"/>
      <c r="R261" s="993">
        <f t="shared" si="876"/>
        <v>0</v>
      </c>
      <c r="S261" s="23">
        <f t="shared" si="877"/>
        <v>0</v>
      </c>
      <c r="T261" s="24">
        <f t="shared" si="908"/>
        <v>0</v>
      </c>
      <c r="U261" s="24">
        <f t="shared" si="909"/>
        <v>0</v>
      </c>
      <c r="V261" s="24">
        <f t="shared" si="910"/>
        <v>0</v>
      </c>
      <c r="W261" s="24">
        <f t="shared" ca="1" si="911"/>
        <v>0</v>
      </c>
      <c r="X261" s="72">
        <f t="shared" ca="1" si="956"/>
        <v>0</v>
      </c>
      <c r="Y261" s="72">
        <f t="shared" si="912"/>
        <v>0</v>
      </c>
      <c r="Z261" s="24">
        <f t="shared" si="913"/>
        <v>0</v>
      </c>
      <c r="AA261" s="72">
        <f t="shared" si="957"/>
        <v>0</v>
      </c>
      <c r="AB261" s="24">
        <f t="shared" si="967"/>
        <v>0</v>
      </c>
      <c r="AC261" s="24">
        <f t="shared" ca="1" si="914"/>
        <v>0</v>
      </c>
      <c r="AD261" s="24">
        <f t="shared" si="886"/>
        <v>0</v>
      </c>
      <c r="AE261" s="2078">
        <f t="shared" si="961"/>
        <v>3</v>
      </c>
      <c r="AF261" s="2078">
        <f t="shared" si="962"/>
        <v>0</v>
      </c>
      <c r="AG261" s="2078">
        <f t="shared" si="963"/>
        <v>0</v>
      </c>
      <c r="AH261" s="2521">
        <f t="shared" si="887"/>
        <v>1</v>
      </c>
      <c r="AI261" s="25" t="str">
        <f t="shared" si="915"/>
        <v/>
      </c>
      <c r="AJ261" s="2521">
        <f t="shared" ca="1" si="882"/>
        <v>0</v>
      </c>
      <c r="AK261" s="2076">
        <f t="shared" ca="1" si="878"/>
        <v>0</v>
      </c>
      <c r="AL261" s="2078">
        <f>IF(ISBLANK(J261),0,ISERROR(MATCH(J261,'5  Control Accounts'!$FA$29:$FA$96,0))*1)</f>
        <v>0</v>
      </c>
      <c r="AM261" s="2076">
        <f t="shared" si="916"/>
        <v>0</v>
      </c>
      <c r="AN261" s="2078">
        <f t="shared" si="917"/>
        <v>1</v>
      </c>
      <c r="AO261" s="2079">
        <f t="shared" si="888"/>
        <v>1</v>
      </c>
      <c r="AP261" s="2079">
        <f t="shared" si="889"/>
        <v>0</v>
      </c>
      <c r="AQ261" s="2079">
        <f t="shared" si="890"/>
        <v>0</v>
      </c>
      <c r="AR261" s="2079">
        <f t="shared" si="891"/>
        <v>0</v>
      </c>
      <c r="AS261" s="2079">
        <f t="shared" si="892"/>
        <v>0</v>
      </c>
      <c r="AT261" s="2079">
        <f t="shared" si="893"/>
        <v>0</v>
      </c>
      <c r="AU261" s="2079">
        <f t="shared" si="894"/>
        <v>0</v>
      </c>
      <c r="AV261" s="2079">
        <f t="shared" si="895"/>
        <v>0</v>
      </c>
      <c r="AW261" s="2079">
        <f t="shared" si="896"/>
        <v>0</v>
      </c>
      <c r="AX261" s="2079">
        <f t="shared" si="897"/>
        <v>0</v>
      </c>
      <c r="AY261" s="2078">
        <f t="shared" si="918"/>
        <v>0</v>
      </c>
      <c r="AZ261" s="2078">
        <f t="shared" si="919"/>
        <v>0</v>
      </c>
      <c r="BA261" s="2078">
        <f t="shared" si="920"/>
        <v>0</v>
      </c>
      <c r="BB261" s="2078">
        <f t="shared" si="921"/>
        <v>0</v>
      </c>
      <c r="BC261" s="2078">
        <f t="shared" si="922"/>
        <v>0</v>
      </c>
      <c r="BD261" s="2078">
        <f t="shared" si="923"/>
        <v>0</v>
      </c>
      <c r="BE261" s="2078">
        <f t="shared" si="924"/>
        <v>0</v>
      </c>
      <c r="BF261" s="2078">
        <f t="shared" si="925"/>
        <v>0</v>
      </c>
      <c r="BG261" s="2078">
        <f t="shared" si="926"/>
        <v>0</v>
      </c>
      <c r="BH261" s="2078">
        <f t="shared" si="927"/>
        <v>0</v>
      </c>
      <c r="BI261" s="2078">
        <f t="shared" si="928"/>
        <v>0</v>
      </c>
      <c r="BJ261" s="2078">
        <f t="shared" si="929"/>
        <v>0</v>
      </c>
      <c r="BK261" s="2078">
        <f t="shared" si="930"/>
        <v>0</v>
      </c>
      <c r="BL261" s="2078">
        <f t="shared" si="931"/>
        <v>0</v>
      </c>
      <c r="BM261" s="2078">
        <f t="shared" si="932"/>
        <v>0</v>
      </c>
      <c r="BN261" s="2078">
        <f t="shared" si="933"/>
        <v>0</v>
      </c>
      <c r="BO261" s="2078">
        <f t="shared" si="934"/>
        <v>0</v>
      </c>
      <c r="BP261" s="2078">
        <f t="shared" si="935"/>
        <v>0</v>
      </c>
      <c r="BQ261" s="2078">
        <f t="shared" si="936"/>
        <v>0</v>
      </c>
      <c r="BR261" s="2078">
        <f t="shared" si="937"/>
        <v>0</v>
      </c>
      <c r="BS261" s="2079">
        <f t="shared" si="898"/>
        <v>1</v>
      </c>
      <c r="BT261" s="2079">
        <f t="shared" si="899"/>
        <v>0</v>
      </c>
      <c r="BU261" s="2079">
        <f t="shared" si="900"/>
        <v>0</v>
      </c>
      <c r="BV261" s="2079">
        <f t="shared" si="901"/>
        <v>0</v>
      </c>
      <c r="BW261" s="2079">
        <f t="shared" si="902"/>
        <v>0</v>
      </c>
      <c r="BX261" s="2079">
        <f t="shared" si="903"/>
        <v>0</v>
      </c>
      <c r="BY261" s="2079">
        <f t="shared" si="904"/>
        <v>0</v>
      </c>
      <c r="BZ261" s="2079">
        <f t="shared" si="905"/>
        <v>0</v>
      </c>
      <c r="CA261" s="2079">
        <f t="shared" si="906"/>
        <v>0</v>
      </c>
      <c r="CB261" s="2079">
        <f t="shared" si="907"/>
        <v>0</v>
      </c>
      <c r="CC261" s="2078">
        <f t="shared" ca="1" si="938"/>
        <v>0</v>
      </c>
      <c r="CD261" s="2078">
        <f t="shared" ca="1" si="939"/>
        <v>0</v>
      </c>
      <c r="CE261" s="2078">
        <f t="shared" ca="1" si="940"/>
        <v>0</v>
      </c>
      <c r="CF261" s="2078">
        <f t="shared" ca="1" si="941"/>
        <v>0</v>
      </c>
      <c r="CG261" s="2078">
        <f t="shared" ca="1" si="942"/>
        <v>0</v>
      </c>
      <c r="CH261" s="2078">
        <f t="shared" ca="1" si="943"/>
        <v>0</v>
      </c>
      <c r="CI261" s="2078">
        <f t="shared" ca="1" si="944"/>
        <v>0</v>
      </c>
      <c r="CJ261" s="2078">
        <f t="shared" ca="1" si="945"/>
        <v>0</v>
      </c>
      <c r="CK261" s="2078">
        <f t="shared" ca="1" si="946"/>
        <v>0</v>
      </c>
      <c r="CL261" s="2078">
        <f t="shared" ca="1" si="947"/>
        <v>0</v>
      </c>
      <c r="CM261" s="2078">
        <f t="shared" si="968"/>
        <v>1</v>
      </c>
      <c r="CN261" s="2078">
        <f t="shared" si="969"/>
        <v>1</v>
      </c>
      <c r="CO261" s="2078">
        <f t="shared" si="958"/>
        <v>1</v>
      </c>
      <c r="CP261" s="2078">
        <f t="shared" si="948"/>
        <v>1</v>
      </c>
      <c r="CQ261" s="2078">
        <f t="shared" si="959"/>
        <v>0</v>
      </c>
      <c r="CR261" s="2078">
        <f t="shared" si="879"/>
        <v>0</v>
      </c>
      <c r="CS261" s="2078">
        <f t="shared" si="949"/>
        <v>0</v>
      </c>
      <c r="CT261" s="2078">
        <f t="shared" si="960"/>
        <v>1</v>
      </c>
      <c r="CU261" s="2078">
        <f t="shared" si="950"/>
        <v>1</v>
      </c>
      <c r="CV261" s="2078">
        <f t="shared" si="970"/>
        <v>0</v>
      </c>
      <c r="CW261" s="2078">
        <f>IF(OR(AE261&lt;&gt;3,F261="Exclude"),0,IF(ISERROR(MATCH($E261,'4 Sign-off'!$S$123:$X$123,0)),0,1))</f>
        <v>0</v>
      </c>
      <c r="CX261" s="2078">
        <f t="shared" si="883"/>
        <v>0</v>
      </c>
      <c r="CY261" s="2078">
        <f t="shared" si="971"/>
        <v>0</v>
      </c>
      <c r="CZ261" s="2993">
        <f t="shared" ca="1" si="880"/>
        <v>0</v>
      </c>
      <c r="DA261" s="3037">
        <f t="shared" ca="1" si="881"/>
        <v>0</v>
      </c>
      <c r="DB261" s="1664"/>
      <c r="DC261" s="1320"/>
      <c r="DD261" s="589"/>
      <c r="DE261" s="1321"/>
      <c r="DF261" s="107"/>
      <c r="DG261" s="112"/>
      <c r="DH261" s="140"/>
      <c r="DI261" s="22"/>
      <c r="DJ261" s="145"/>
      <c r="DK261" s="137"/>
      <c r="DL261" s="137"/>
      <c r="DM261" s="137"/>
      <c r="DN261" s="137"/>
      <c r="DO261" s="137"/>
      <c r="DP261" s="137"/>
      <c r="DQ261" s="137"/>
      <c r="DR261" s="137"/>
      <c r="DS261" s="137"/>
      <c r="DT261" s="137"/>
      <c r="DU261" s="137"/>
      <c r="DV261" s="137"/>
      <c r="DW261" s="137"/>
      <c r="DX261" s="137"/>
      <c r="DY261" s="137"/>
      <c r="DZ261" s="137"/>
      <c r="EA261" s="137"/>
      <c r="EB261" s="137"/>
      <c r="EC261" s="137"/>
      <c r="ED261" s="137"/>
      <c r="EE261" s="137"/>
      <c r="EF261" s="137"/>
      <c r="EG261" s="137"/>
      <c r="EH261" s="137"/>
      <c r="EI261" s="137"/>
      <c r="EJ261" s="137"/>
      <c r="EK261" s="137"/>
      <c r="EL261" s="137"/>
      <c r="EM261" s="137"/>
      <c r="EN261" s="137"/>
      <c r="EO261" s="137"/>
      <c r="EP261" s="137"/>
      <c r="EQ261" s="137"/>
      <c r="ER261" s="137"/>
      <c r="ES261" s="137"/>
      <c r="ET261" s="137"/>
      <c r="EU261" s="137"/>
      <c r="EV261" s="137"/>
      <c r="EW261" s="137"/>
      <c r="EX261" s="137"/>
      <c r="EY261" s="137"/>
      <c r="EZ261" s="137"/>
      <c r="FA261" s="137"/>
      <c r="FB261" s="137"/>
      <c r="FC261" s="137"/>
      <c r="FD261" s="137"/>
      <c r="FE261" s="137"/>
      <c r="FF261" s="137"/>
      <c r="FG261" s="860"/>
      <c r="FH261" s="863"/>
      <c r="FI261" s="1318"/>
      <c r="FJ261" s="126"/>
      <c r="FK261" s="127"/>
      <c r="FL261" s="128" t="str">
        <f t="shared" si="951"/>
        <v xml:space="preserve">    </v>
      </c>
      <c r="FM261" s="128"/>
      <c r="FN261" s="1686">
        <f t="shared" si="952"/>
        <v>0</v>
      </c>
      <c r="FO261" s="46">
        <f t="shared" si="972"/>
        <v>0</v>
      </c>
      <c r="FP261" s="46">
        <f t="shared" si="977"/>
        <v>1</v>
      </c>
      <c r="FQ261" s="75">
        <f t="shared" si="953"/>
        <v>0</v>
      </c>
      <c r="FR261" s="46">
        <f t="shared" si="964"/>
        <v>0</v>
      </c>
      <c r="FS261" s="46">
        <f t="shared" si="965"/>
        <v>1</v>
      </c>
      <c r="FT261" s="75">
        <f t="shared" si="954"/>
        <v>0</v>
      </c>
      <c r="FU261" s="2603">
        <f t="shared" si="973"/>
        <v>0</v>
      </c>
      <c r="FV261" s="2607">
        <f t="shared" si="974"/>
        <v>0</v>
      </c>
      <c r="FW261" s="2603">
        <f t="shared" si="975"/>
        <v>0</v>
      </c>
      <c r="FX261" s="2631">
        <f t="shared" si="976"/>
        <v>0</v>
      </c>
      <c r="FY261" s="81" t="e">
        <f t="shared" si="966"/>
        <v>#N/A</v>
      </c>
      <c r="FZ261" s="64" t="e">
        <f t="array" ref="FZ261">MATCH(1,($GT261:$LQ261&gt;0)*$GT$25:$LQ$25,0)</f>
        <v>#N/A</v>
      </c>
      <c r="GA261" s="64" t="e">
        <f t="array" ref="GA261">MATCH(2,1/(GT261:LQ261&gt;0))</f>
        <v>#N/A</v>
      </c>
      <c r="GB261" s="64">
        <f t="shared" si="955"/>
        <v>-1</v>
      </c>
      <c r="GC261" s="46"/>
      <c r="GD261" s="613"/>
      <c r="GE261" s="613"/>
      <c r="GF261" s="613"/>
      <c r="GG261" s="613"/>
      <c r="GH261" s="613"/>
      <c r="GI261" s="613"/>
      <c r="GJ261" s="613"/>
      <c r="GK261" s="613"/>
      <c r="GL261" s="613"/>
      <c r="GM261" s="613"/>
      <c r="GN261" s="385">
        <f t="shared" si="884"/>
        <v>0</v>
      </c>
      <c r="GO261" s="386">
        <f t="shared" si="885"/>
        <v>0</v>
      </c>
      <c r="GP261" s="2635"/>
      <c r="GQ261" s="175"/>
      <c r="GR261" s="172"/>
      <c r="GS261" s="65"/>
      <c r="GT261" s="167"/>
      <c r="GU261" s="168"/>
      <c r="GV261" s="168"/>
      <c r="GW261" s="168"/>
      <c r="GX261" s="168"/>
      <c r="GY261" s="168"/>
      <c r="GZ261" s="168"/>
      <c r="HA261" s="168"/>
      <c r="HB261" s="168"/>
      <c r="HC261" s="168"/>
      <c r="HD261" s="168"/>
      <c r="HE261" s="168"/>
      <c r="HF261" s="168"/>
      <c r="HG261" s="168"/>
      <c r="HH261" s="168"/>
      <c r="HI261" s="168"/>
      <c r="HJ261" s="168"/>
      <c r="HK261" s="168"/>
      <c r="HL261" s="168"/>
      <c r="HM261" s="168"/>
      <c r="HN261" s="168"/>
      <c r="HO261" s="168"/>
      <c r="HP261" s="168"/>
      <c r="HQ261" s="168"/>
      <c r="HR261" s="168"/>
      <c r="HS261" s="168"/>
      <c r="HT261" s="168"/>
      <c r="HU261" s="168"/>
      <c r="HV261" s="168"/>
      <c r="HW261" s="168"/>
      <c r="HX261" s="168"/>
      <c r="HY261" s="168"/>
      <c r="HZ261" s="168"/>
      <c r="IA261" s="168"/>
      <c r="IB261" s="168"/>
      <c r="IC261" s="168"/>
      <c r="ID261" s="168"/>
      <c r="IE261" s="168"/>
      <c r="IF261" s="168"/>
      <c r="IG261" s="168"/>
      <c r="IH261" s="168"/>
      <c r="II261" s="168"/>
      <c r="IJ261" s="168"/>
      <c r="IK261" s="168"/>
      <c r="IL261" s="168"/>
      <c r="IM261" s="168"/>
      <c r="IN261" s="168"/>
      <c r="IO261" s="168"/>
      <c r="IP261" s="168"/>
      <c r="IQ261" s="168"/>
      <c r="IR261" s="168"/>
      <c r="IS261" s="168"/>
      <c r="IT261" s="168"/>
      <c r="IU261" s="168"/>
      <c r="IV261" s="168"/>
      <c r="IW261" s="168"/>
      <c r="IX261" s="168"/>
      <c r="IY261" s="168"/>
      <c r="IZ261" s="168"/>
      <c r="JA261" s="168"/>
      <c r="JB261" s="168"/>
      <c r="JC261" s="168"/>
      <c r="JD261" s="168"/>
      <c r="JE261" s="168"/>
      <c r="JF261" s="168"/>
      <c r="JG261" s="168"/>
      <c r="JH261" s="168"/>
      <c r="JI261" s="168"/>
      <c r="JJ261" s="168"/>
      <c r="JK261" s="168"/>
      <c r="JL261" s="168"/>
      <c r="JM261" s="168"/>
      <c r="JN261" s="168"/>
      <c r="JO261" s="168"/>
      <c r="JP261" s="168"/>
      <c r="JQ261" s="168"/>
      <c r="JR261" s="168"/>
      <c r="JS261" s="168"/>
      <c r="JT261" s="168"/>
      <c r="JU261" s="168"/>
      <c r="JV261" s="168"/>
      <c r="JW261" s="168"/>
      <c r="JX261" s="168"/>
      <c r="JY261" s="168"/>
      <c r="JZ261" s="168"/>
      <c r="KA261" s="168"/>
      <c r="KB261" s="168"/>
      <c r="KC261" s="168"/>
      <c r="KD261" s="168"/>
      <c r="KE261" s="168"/>
      <c r="KF261" s="168"/>
      <c r="KG261" s="168"/>
      <c r="KH261" s="168"/>
      <c r="KI261" s="168"/>
      <c r="KJ261" s="168"/>
      <c r="KK261" s="168"/>
      <c r="KL261" s="168"/>
      <c r="KM261" s="168"/>
      <c r="KN261" s="168"/>
      <c r="KO261" s="168"/>
      <c r="KP261" s="168"/>
      <c r="KQ261" s="168"/>
      <c r="KR261" s="168"/>
      <c r="KS261" s="168"/>
      <c r="KT261" s="168"/>
      <c r="KU261" s="168"/>
      <c r="KV261" s="168"/>
      <c r="KW261" s="168"/>
      <c r="KX261" s="168"/>
      <c r="KY261" s="168"/>
      <c r="KZ261" s="168"/>
      <c r="LA261" s="168"/>
      <c r="LB261" s="168"/>
      <c r="LC261" s="168"/>
      <c r="LD261" s="168"/>
      <c r="LE261" s="168"/>
      <c r="LF261" s="168"/>
      <c r="LG261" s="168"/>
      <c r="LH261" s="168"/>
      <c r="LI261" s="168"/>
      <c r="LJ261" s="168"/>
      <c r="LK261" s="168"/>
      <c r="LL261" s="168"/>
      <c r="LM261" s="168"/>
      <c r="LN261" s="168"/>
      <c r="LO261" s="168"/>
      <c r="LP261" s="606"/>
      <c r="LQ261" s="609"/>
      <c r="LR261" s="1319"/>
      <c r="LS261" s="1319"/>
    </row>
    <row r="262" spans="1:331" s="2" customFormat="1" ht="15" customHeight="1" x14ac:dyDescent="0.25">
      <c r="A262" s="283"/>
      <c r="B262" s="303"/>
      <c r="C262" s="301"/>
      <c r="D262" s="1287"/>
      <c r="E262" s="2298"/>
      <c r="F262" s="1812"/>
      <c r="G262" s="3342"/>
      <c r="H262" s="66"/>
      <c r="I262" s="1746"/>
      <c r="J262" s="1214"/>
      <c r="K262" s="105"/>
      <c r="L262" s="91"/>
      <c r="M262" s="92"/>
      <c r="N262" s="93"/>
      <c r="O262" s="94"/>
      <c r="P262" s="96"/>
      <c r="Q262" s="95"/>
      <c r="R262" s="993">
        <f t="shared" si="876"/>
        <v>0</v>
      </c>
      <c r="S262" s="23">
        <f t="shared" si="877"/>
        <v>0</v>
      </c>
      <c r="T262" s="24">
        <f t="shared" si="908"/>
        <v>0</v>
      </c>
      <c r="U262" s="24">
        <f t="shared" si="909"/>
        <v>0</v>
      </c>
      <c r="V262" s="24">
        <f t="shared" si="910"/>
        <v>0</v>
      </c>
      <c r="W262" s="24">
        <f t="shared" ca="1" si="911"/>
        <v>0</v>
      </c>
      <c r="X262" s="72">
        <f t="shared" ca="1" si="956"/>
        <v>0</v>
      </c>
      <c r="Y262" s="72">
        <f t="shared" si="912"/>
        <v>0</v>
      </c>
      <c r="Z262" s="24">
        <f t="shared" si="913"/>
        <v>0</v>
      </c>
      <c r="AA262" s="72">
        <f t="shared" si="957"/>
        <v>0</v>
      </c>
      <c r="AB262" s="24">
        <f t="shared" si="967"/>
        <v>0</v>
      </c>
      <c r="AC262" s="24">
        <f t="shared" ca="1" si="914"/>
        <v>0</v>
      </c>
      <c r="AD262" s="24">
        <f t="shared" si="886"/>
        <v>0</v>
      </c>
      <c r="AE262" s="2078">
        <f t="shared" si="961"/>
        <v>3</v>
      </c>
      <c r="AF262" s="2078">
        <f t="shared" si="962"/>
        <v>0</v>
      </c>
      <c r="AG262" s="2078">
        <f t="shared" si="963"/>
        <v>0</v>
      </c>
      <c r="AH262" s="2521">
        <f t="shared" si="887"/>
        <v>1</v>
      </c>
      <c r="AI262" s="25" t="str">
        <f t="shared" si="915"/>
        <v/>
      </c>
      <c r="AJ262" s="2521">
        <f t="shared" ca="1" si="882"/>
        <v>0</v>
      </c>
      <c r="AK262" s="2076">
        <f t="shared" ca="1" si="878"/>
        <v>0</v>
      </c>
      <c r="AL262" s="2078">
        <f>IF(ISBLANK(J262),0,ISERROR(MATCH(J262,'5  Control Accounts'!$FA$29:$FA$96,0))*1)</f>
        <v>0</v>
      </c>
      <c r="AM262" s="2076">
        <f t="shared" si="916"/>
        <v>0</v>
      </c>
      <c r="AN262" s="2078">
        <f t="shared" si="917"/>
        <v>1</v>
      </c>
      <c r="AO262" s="2079">
        <f t="shared" si="888"/>
        <v>1</v>
      </c>
      <c r="AP262" s="2079">
        <f t="shared" si="889"/>
        <v>0</v>
      </c>
      <c r="AQ262" s="2079">
        <f t="shared" si="890"/>
        <v>0</v>
      </c>
      <c r="AR262" s="2079">
        <f t="shared" si="891"/>
        <v>0</v>
      </c>
      <c r="AS262" s="2079">
        <f t="shared" si="892"/>
        <v>0</v>
      </c>
      <c r="AT262" s="2079">
        <f t="shared" si="893"/>
        <v>0</v>
      </c>
      <c r="AU262" s="2079">
        <f t="shared" si="894"/>
        <v>0</v>
      </c>
      <c r="AV262" s="2079">
        <f t="shared" si="895"/>
        <v>0</v>
      </c>
      <c r="AW262" s="2079">
        <f t="shared" si="896"/>
        <v>0</v>
      </c>
      <c r="AX262" s="2079">
        <f t="shared" si="897"/>
        <v>0</v>
      </c>
      <c r="AY262" s="2078">
        <f t="shared" si="918"/>
        <v>0</v>
      </c>
      <c r="AZ262" s="2078">
        <f t="shared" si="919"/>
        <v>0</v>
      </c>
      <c r="BA262" s="2078">
        <f t="shared" si="920"/>
        <v>0</v>
      </c>
      <c r="BB262" s="2078">
        <f t="shared" si="921"/>
        <v>0</v>
      </c>
      <c r="BC262" s="2078">
        <f t="shared" si="922"/>
        <v>0</v>
      </c>
      <c r="BD262" s="2078">
        <f t="shared" si="923"/>
        <v>0</v>
      </c>
      <c r="BE262" s="2078">
        <f t="shared" si="924"/>
        <v>0</v>
      </c>
      <c r="BF262" s="2078">
        <f t="shared" si="925"/>
        <v>0</v>
      </c>
      <c r="BG262" s="2078">
        <f t="shared" si="926"/>
        <v>0</v>
      </c>
      <c r="BH262" s="2078">
        <f t="shared" si="927"/>
        <v>0</v>
      </c>
      <c r="BI262" s="2078">
        <f t="shared" si="928"/>
        <v>0</v>
      </c>
      <c r="BJ262" s="2078">
        <f t="shared" si="929"/>
        <v>0</v>
      </c>
      <c r="BK262" s="2078">
        <f t="shared" si="930"/>
        <v>0</v>
      </c>
      <c r="BL262" s="2078">
        <f t="shared" si="931"/>
        <v>0</v>
      </c>
      <c r="BM262" s="2078">
        <f t="shared" si="932"/>
        <v>0</v>
      </c>
      <c r="BN262" s="2078">
        <f t="shared" si="933"/>
        <v>0</v>
      </c>
      <c r="BO262" s="2078">
        <f t="shared" si="934"/>
        <v>0</v>
      </c>
      <c r="BP262" s="2078">
        <f t="shared" si="935"/>
        <v>0</v>
      </c>
      <c r="BQ262" s="2078">
        <f t="shared" si="936"/>
        <v>0</v>
      </c>
      <c r="BR262" s="2078">
        <f t="shared" si="937"/>
        <v>0</v>
      </c>
      <c r="BS262" s="2079">
        <f t="shared" si="898"/>
        <v>1</v>
      </c>
      <c r="BT262" s="2079">
        <f t="shared" si="899"/>
        <v>0</v>
      </c>
      <c r="BU262" s="2079">
        <f t="shared" si="900"/>
        <v>0</v>
      </c>
      <c r="BV262" s="2079">
        <f t="shared" si="901"/>
        <v>0</v>
      </c>
      <c r="BW262" s="2079">
        <f t="shared" si="902"/>
        <v>0</v>
      </c>
      <c r="BX262" s="2079">
        <f t="shared" si="903"/>
        <v>0</v>
      </c>
      <c r="BY262" s="2079">
        <f t="shared" si="904"/>
        <v>0</v>
      </c>
      <c r="BZ262" s="2079">
        <f t="shared" si="905"/>
        <v>0</v>
      </c>
      <c r="CA262" s="2079">
        <f t="shared" si="906"/>
        <v>0</v>
      </c>
      <c r="CB262" s="2079">
        <f t="shared" si="907"/>
        <v>0</v>
      </c>
      <c r="CC262" s="2078">
        <f t="shared" ca="1" si="938"/>
        <v>0</v>
      </c>
      <c r="CD262" s="2078">
        <f t="shared" ca="1" si="939"/>
        <v>0</v>
      </c>
      <c r="CE262" s="2078">
        <f t="shared" ca="1" si="940"/>
        <v>0</v>
      </c>
      <c r="CF262" s="2078">
        <f t="shared" ca="1" si="941"/>
        <v>0</v>
      </c>
      <c r="CG262" s="2078">
        <f t="shared" ca="1" si="942"/>
        <v>0</v>
      </c>
      <c r="CH262" s="2078">
        <f t="shared" ca="1" si="943"/>
        <v>0</v>
      </c>
      <c r="CI262" s="2078">
        <f t="shared" ca="1" si="944"/>
        <v>0</v>
      </c>
      <c r="CJ262" s="2078">
        <f t="shared" ca="1" si="945"/>
        <v>0</v>
      </c>
      <c r="CK262" s="2078">
        <f t="shared" ca="1" si="946"/>
        <v>0</v>
      </c>
      <c r="CL262" s="2078">
        <f t="shared" ca="1" si="947"/>
        <v>0</v>
      </c>
      <c r="CM262" s="2078">
        <f t="shared" si="968"/>
        <v>1</v>
      </c>
      <c r="CN262" s="2078">
        <f t="shared" si="969"/>
        <v>1</v>
      </c>
      <c r="CO262" s="2078">
        <f t="shared" si="958"/>
        <v>1</v>
      </c>
      <c r="CP262" s="2078">
        <f t="shared" si="948"/>
        <v>1</v>
      </c>
      <c r="CQ262" s="2078">
        <f t="shared" si="959"/>
        <v>0</v>
      </c>
      <c r="CR262" s="2078">
        <f t="shared" si="879"/>
        <v>0</v>
      </c>
      <c r="CS262" s="2078">
        <f t="shared" si="949"/>
        <v>0</v>
      </c>
      <c r="CT262" s="2078">
        <f t="shared" si="960"/>
        <v>1</v>
      </c>
      <c r="CU262" s="2078">
        <f t="shared" si="950"/>
        <v>1</v>
      </c>
      <c r="CV262" s="2078">
        <f t="shared" si="970"/>
        <v>0</v>
      </c>
      <c r="CW262" s="2078">
        <f>IF(OR(AE262&lt;&gt;3,F262="Exclude"),0,IF(ISERROR(MATCH($E262,'4 Sign-off'!$S$123:$X$123,0)),0,1))</f>
        <v>0</v>
      </c>
      <c r="CX262" s="2078">
        <f t="shared" si="883"/>
        <v>0</v>
      </c>
      <c r="CY262" s="2078">
        <f t="shared" si="971"/>
        <v>0</v>
      </c>
      <c r="CZ262" s="2993">
        <f t="shared" ca="1" si="880"/>
        <v>0</v>
      </c>
      <c r="DA262" s="3037">
        <f t="shared" ca="1" si="881"/>
        <v>0</v>
      </c>
      <c r="DB262" s="1664"/>
      <c r="DC262" s="1320"/>
      <c r="DD262" s="589"/>
      <c r="DE262" s="1321"/>
      <c r="DF262" s="107"/>
      <c r="DG262" s="112"/>
      <c r="DH262" s="140"/>
      <c r="DI262" s="22"/>
      <c r="DJ262" s="145"/>
      <c r="DK262" s="137"/>
      <c r="DL262" s="137"/>
      <c r="DM262" s="137"/>
      <c r="DN262" s="137"/>
      <c r="DO262" s="137"/>
      <c r="DP262" s="137"/>
      <c r="DQ262" s="137"/>
      <c r="DR262" s="137"/>
      <c r="DS262" s="137"/>
      <c r="DT262" s="137"/>
      <c r="DU262" s="137"/>
      <c r="DV262" s="137"/>
      <c r="DW262" s="137"/>
      <c r="DX262" s="137"/>
      <c r="DY262" s="137"/>
      <c r="DZ262" s="137"/>
      <c r="EA262" s="137"/>
      <c r="EB262" s="137"/>
      <c r="EC262" s="137"/>
      <c r="ED262" s="137"/>
      <c r="EE262" s="137"/>
      <c r="EF262" s="137"/>
      <c r="EG262" s="137"/>
      <c r="EH262" s="137"/>
      <c r="EI262" s="137"/>
      <c r="EJ262" s="137"/>
      <c r="EK262" s="137"/>
      <c r="EL262" s="137"/>
      <c r="EM262" s="137"/>
      <c r="EN262" s="137"/>
      <c r="EO262" s="137"/>
      <c r="EP262" s="137"/>
      <c r="EQ262" s="137"/>
      <c r="ER262" s="137"/>
      <c r="ES262" s="137"/>
      <c r="ET262" s="137"/>
      <c r="EU262" s="137"/>
      <c r="EV262" s="137"/>
      <c r="EW262" s="137"/>
      <c r="EX262" s="137"/>
      <c r="EY262" s="137"/>
      <c r="EZ262" s="137"/>
      <c r="FA262" s="137"/>
      <c r="FB262" s="137"/>
      <c r="FC262" s="137"/>
      <c r="FD262" s="137"/>
      <c r="FE262" s="137"/>
      <c r="FF262" s="137"/>
      <c r="FG262" s="860"/>
      <c r="FH262" s="863"/>
      <c r="FI262" s="1318"/>
      <c r="FJ262" s="126"/>
      <c r="FK262" s="127"/>
      <c r="FL262" s="128" t="str">
        <f t="shared" si="951"/>
        <v xml:space="preserve">    </v>
      </c>
      <c r="FM262" s="128"/>
      <c r="FN262" s="1686">
        <f t="shared" si="952"/>
        <v>0</v>
      </c>
      <c r="FO262" s="46">
        <f t="shared" si="972"/>
        <v>0</v>
      </c>
      <c r="FP262" s="46">
        <f t="shared" si="977"/>
        <v>1</v>
      </c>
      <c r="FQ262" s="75">
        <f t="shared" si="953"/>
        <v>0</v>
      </c>
      <c r="FR262" s="46">
        <f t="shared" si="964"/>
        <v>0</v>
      </c>
      <c r="FS262" s="46">
        <f t="shared" si="965"/>
        <v>1</v>
      </c>
      <c r="FT262" s="75">
        <f t="shared" si="954"/>
        <v>0</v>
      </c>
      <c r="FU262" s="2603">
        <f t="shared" si="973"/>
        <v>0</v>
      </c>
      <c r="FV262" s="2607">
        <f t="shared" si="974"/>
        <v>0</v>
      </c>
      <c r="FW262" s="2603">
        <f t="shared" si="975"/>
        <v>0</v>
      </c>
      <c r="FX262" s="2631">
        <f t="shared" si="976"/>
        <v>0</v>
      </c>
      <c r="FY262" s="81" t="e">
        <f t="shared" si="966"/>
        <v>#N/A</v>
      </c>
      <c r="FZ262" s="64" t="e">
        <f t="array" ref="FZ262">MATCH(1,($GT262:$LQ262&gt;0)*$GT$25:$LQ$25,0)</f>
        <v>#N/A</v>
      </c>
      <c r="GA262" s="64" t="e">
        <f t="array" ref="GA262">MATCH(2,1/(GT262:LQ262&gt;0))</f>
        <v>#N/A</v>
      </c>
      <c r="GB262" s="64">
        <f t="shared" si="955"/>
        <v>-1</v>
      </c>
      <c r="GC262" s="46"/>
      <c r="GD262" s="613"/>
      <c r="GE262" s="613"/>
      <c r="GF262" s="613"/>
      <c r="GG262" s="613"/>
      <c r="GH262" s="613"/>
      <c r="GI262" s="613"/>
      <c r="GJ262" s="613"/>
      <c r="GK262" s="613"/>
      <c r="GL262" s="613"/>
      <c r="GM262" s="613"/>
      <c r="GN262" s="385">
        <f t="shared" si="884"/>
        <v>0</v>
      </c>
      <c r="GO262" s="386">
        <f t="shared" si="885"/>
        <v>0</v>
      </c>
      <c r="GP262" s="2635"/>
      <c r="GQ262" s="175"/>
      <c r="GR262" s="172"/>
      <c r="GS262" s="65"/>
      <c r="GT262" s="167"/>
      <c r="GU262" s="168"/>
      <c r="GV262" s="168"/>
      <c r="GW262" s="168"/>
      <c r="GX262" s="168"/>
      <c r="GY262" s="168"/>
      <c r="GZ262" s="168"/>
      <c r="HA262" s="168"/>
      <c r="HB262" s="168"/>
      <c r="HC262" s="168"/>
      <c r="HD262" s="168"/>
      <c r="HE262" s="168"/>
      <c r="HF262" s="168"/>
      <c r="HG262" s="168"/>
      <c r="HH262" s="168"/>
      <c r="HI262" s="168"/>
      <c r="HJ262" s="168"/>
      <c r="HK262" s="168"/>
      <c r="HL262" s="168"/>
      <c r="HM262" s="168"/>
      <c r="HN262" s="168"/>
      <c r="HO262" s="168"/>
      <c r="HP262" s="168"/>
      <c r="HQ262" s="168"/>
      <c r="HR262" s="168"/>
      <c r="HS262" s="168"/>
      <c r="HT262" s="168"/>
      <c r="HU262" s="168"/>
      <c r="HV262" s="168"/>
      <c r="HW262" s="168"/>
      <c r="HX262" s="168"/>
      <c r="HY262" s="168"/>
      <c r="HZ262" s="168"/>
      <c r="IA262" s="168"/>
      <c r="IB262" s="168"/>
      <c r="IC262" s="168"/>
      <c r="ID262" s="168"/>
      <c r="IE262" s="168"/>
      <c r="IF262" s="168"/>
      <c r="IG262" s="168"/>
      <c r="IH262" s="168"/>
      <c r="II262" s="168"/>
      <c r="IJ262" s="168"/>
      <c r="IK262" s="168"/>
      <c r="IL262" s="168"/>
      <c r="IM262" s="168"/>
      <c r="IN262" s="168"/>
      <c r="IO262" s="168"/>
      <c r="IP262" s="168"/>
      <c r="IQ262" s="168"/>
      <c r="IR262" s="168"/>
      <c r="IS262" s="168"/>
      <c r="IT262" s="168"/>
      <c r="IU262" s="168"/>
      <c r="IV262" s="168"/>
      <c r="IW262" s="168"/>
      <c r="IX262" s="168"/>
      <c r="IY262" s="168"/>
      <c r="IZ262" s="168"/>
      <c r="JA262" s="168"/>
      <c r="JB262" s="168"/>
      <c r="JC262" s="168"/>
      <c r="JD262" s="168"/>
      <c r="JE262" s="168"/>
      <c r="JF262" s="168"/>
      <c r="JG262" s="168"/>
      <c r="JH262" s="168"/>
      <c r="JI262" s="168"/>
      <c r="JJ262" s="168"/>
      <c r="JK262" s="168"/>
      <c r="JL262" s="168"/>
      <c r="JM262" s="168"/>
      <c r="JN262" s="168"/>
      <c r="JO262" s="168"/>
      <c r="JP262" s="168"/>
      <c r="JQ262" s="168"/>
      <c r="JR262" s="168"/>
      <c r="JS262" s="168"/>
      <c r="JT262" s="168"/>
      <c r="JU262" s="168"/>
      <c r="JV262" s="168"/>
      <c r="JW262" s="168"/>
      <c r="JX262" s="168"/>
      <c r="JY262" s="168"/>
      <c r="JZ262" s="168"/>
      <c r="KA262" s="168"/>
      <c r="KB262" s="168"/>
      <c r="KC262" s="168"/>
      <c r="KD262" s="168"/>
      <c r="KE262" s="168"/>
      <c r="KF262" s="168"/>
      <c r="KG262" s="168"/>
      <c r="KH262" s="168"/>
      <c r="KI262" s="168"/>
      <c r="KJ262" s="168"/>
      <c r="KK262" s="168"/>
      <c r="KL262" s="168"/>
      <c r="KM262" s="168"/>
      <c r="KN262" s="168"/>
      <c r="KO262" s="168"/>
      <c r="KP262" s="168"/>
      <c r="KQ262" s="168"/>
      <c r="KR262" s="168"/>
      <c r="KS262" s="168"/>
      <c r="KT262" s="168"/>
      <c r="KU262" s="168"/>
      <c r="KV262" s="168"/>
      <c r="KW262" s="168"/>
      <c r="KX262" s="168"/>
      <c r="KY262" s="168"/>
      <c r="KZ262" s="168"/>
      <c r="LA262" s="168"/>
      <c r="LB262" s="168"/>
      <c r="LC262" s="168"/>
      <c r="LD262" s="168"/>
      <c r="LE262" s="168"/>
      <c r="LF262" s="168"/>
      <c r="LG262" s="168"/>
      <c r="LH262" s="168"/>
      <c r="LI262" s="168"/>
      <c r="LJ262" s="168"/>
      <c r="LK262" s="168"/>
      <c r="LL262" s="168"/>
      <c r="LM262" s="168"/>
      <c r="LN262" s="168"/>
      <c r="LO262" s="168"/>
      <c r="LP262" s="606"/>
      <c r="LQ262" s="609"/>
      <c r="LR262" s="1319"/>
      <c r="LS262" s="1319"/>
    </row>
    <row r="263" spans="1:331" s="2" customFormat="1" ht="15" customHeight="1" x14ac:dyDescent="0.25">
      <c r="A263" s="283"/>
      <c r="B263" s="303"/>
      <c r="C263" s="301"/>
      <c r="D263" s="1287"/>
      <c r="E263" s="2298"/>
      <c r="F263" s="1812"/>
      <c r="G263" s="3342"/>
      <c r="H263" s="66"/>
      <c r="I263" s="1746"/>
      <c r="J263" s="1214"/>
      <c r="K263" s="105"/>
      <c r="L263" s="91"/>
      <c r="M263" s="92"/>
      <c r="N263" s="93"/>
      <c r="O263" s="94"/>
      <c r="P263" s="96"/>
      <c r="Q263" s="95"/>
      <c r="R263" s="993">
        <f t="shared" si="876"/>
        <v>0</v>
      </c>
      <c r="S263" s="23">
        <f t="shared" si="877"/>
        <v>0</v>
      </c>
      <c r="T263" s="24">
        <f t="shared" si="908"/>
        <v>0</v>
      </c>
      <c r="U263" s="24">
        <f t="shared" si="909"/>
        <v>0</v>
      </c>
      <c r="V263" s="24">
        <f t="shared" si="910"/>
        <v>0</v>
      </c>
      <c r="W263" s="24">
        <f t="shared" ca="1" si="911"/>
        <v>0</v>
      </c>
      <c r="X263" s="72">
        <f t="shared" ca="1" si="956"/>
        <v>0</v>
      </c>
      <c r="Y263" s="72">
        <f t="shared" si="912"/>
        <v>0</v>
      </c>
      <c r="Z263" s="24">
        <f t="shared" si="913"/>
        <v>0</v>
      </c>
      <c r="AA263" s="72">
        <f t="shared" si="957"/>
        <v>0</v>
      </c>
      <c r="AB263" s="24">
        <f t="shared" si="967"/>
        <v>0</v>
      </c>
      <c r="AC263" s="24">
        <f t="shared" ca="1" si="914"/>
        <v>0</v>
      </c>
      <c r="AD263" s="24">
        <f t="shared" si="886"/>
        <v>0</v>
      </c>
      <c r="AE263" s="2078">
        <f t="shared" si="961"/>
        <v>3</v>
      </c>
      <c r="AF263" s="2078">
        <f t="shared" si="962"/>
        <v>0</v>
      </c>
      <c r="AG263" s="2078">
        <f t="shared" si="963"/>
        <v>0</v>
      </c>
      <c r="AH263" s="2521">
        <f t="shared" si="887"/>
        <v>1</v>
      </c>
      <c r="AI263" s="25" t="str">
        <f t="shared" si="915"/>
        <v/>
      </c>
      <c r="AJ263" s="2521">
        <f t="shared" ca="1" si="882"/>
        <v>0</v>
      </c>
      <c r="AK263" s="2076">
        <f t="shared" ca="1" si="878"/>
        <v>0</v>
      </c>
      <c r="AL263" s="2078">
        <f>IF(ISBLANK(J263),0,ISERROR(MATCH(J263,'5  Control Accounts'!$FA$29:$FA$96,0))*1)</f>
        <v>0</v>
      </c>
      <c r="AM263" s="2076">
        <f t="shared" si="916"/>
        <v>0</v>
      </c>
      <c r="AN263" s="2078">
        <f t="shared" si="917"/>
        <v>1</v>
      </c>
      <c r="AO263" s="2079">
        <f t="shared" si="888"/>
        <v>1</v>
      </c>
      <c r="AP263" s="2079">
        <f t="shared" si="889"/>
        <v>0</v>
      </c>
      <c r="AQ263" s="2079">
        <f t="shared" si="890"/>
        <v>0</v>
      </c>
      <c r="AR263" s="2079">
        <f t="shared" si="891"/>
        <v>0</v>
      </c>
      <c r="AS263" s="2079">
        <f t="shared" si="892"/>
        <v>0</v>
      </c>
      <c r="AT263" s="2079">
        <f t="shared" si="893"/>
        <v>0</v>
      </c>
      <c r="AU263" s="2079">
        <f t="shared" si="894"/>
        <v>0</v>
      </c>
      <c r="AV263" s="2079">
        <f t="shared" si="895"/>
        <v>0</v>
      </c>
      <c r="AW263" s="2079">
        <f t="shared" si="896"/>
        <v>0</v>
      </c>
      <c r="AX263" s="2079">
        <f t="shared" si="897"/>
        <v>0</v>
      </c>
      <c r="AY263" s="2078">
        <f t="shared" si="918"/>
        <v>0</v>
      </c>
      <c r="AZ263" s="2078">
        <f t="shared" si="919"/>
        <v>0</v>
      </c>
      <c r="BA263" s="2078">
        <f t="shared" si="920"/>
        <v>0</v>
      </c>
      <c r="BB263" s="2078">
        <f t="shared" si="921"/>
        <v>0</v>
      </c>
      <c r="BC263" s="2078">
        <f t="shared" si="922"/>
        <v>0</v>
      </c>
      <c r="BD263" s="2078">
        <f t="shared" si="923"/>
        <v>0</v>
      </c>
      <c r="BE263" s="2078">
        <f t="shared" si="924"/>
        <v>0</v>
      </c>
      <c r="BF263" s="2078">
        <f t="shared" si="925"/>
        <v>0</v>
      </c>
      <c r="BG263" s="2078">
        <f t="shared" si="926"/>
        <v>0</v>
      </c>
      <c r="BH263" s="2078">
        <f t="shared" si="927"/>
        <v>0</v>
      </c>
      <c r="BI263" s="2078">
        <f t="shared" si="928"/>
        <v>0</v>
      </c>
      <c r="BJ263" s="2078">
        <f t="shared" si="929"/>
        <v>0</v>
      </c>
      <c r="BK263" s="2078">
        <f t="shared" si="930"/>
        <v>0</v>
      </c>
      <c r="BL263" s="2078">
        <f t="shared" si="931"/>
        <v>0</v>
      </c>
      <c r="BM263" s="2078">
        <f t="shared" si="932"/>
        <v>0</v>
      </c>
      <c r="BN263" s="2078">
        <f t="shared" si="933"/>
        <v>0</v>
      </c>
      <c r="BO263" s="2078">
        <f t="shared" si="934"/>
        <v>0</v>
      </c>
      <c r="BP263" s="2078">
        <f t="shared" si="935"/>
        <v>0</v>
      </c>
      <c r="BQ263" s="2078">
        <f t="shared" si="936"/>
        <v>0</v>
      </c>
      <c r="BR263" s="2078">
        <f t="shared" si="937"/>
        <v>0</v>
      </c>
      <c r="BS263" s="2079">
        <f t="shared" si="898"/>
        <v>1</v>
      </c>
      <c r="BT263" s="2079">
        <f t="shared" si="899"/>
        <v>0</v>
      </c>
      <c r="BU263" s="2079">
        <f t="shared" si="900"/>
        <v>0</v>
      </c>
      <c r="BV263" s="2079">
        <f t="shared" si="901"/>
        <v>0</v>
      </c>
      <c r="BW263" s="2079">
        <f t="shared" si="902"/>
        <v>0</v>
      </c>
      <c r="BX263" s="2079">
        <f t="shared" si="903"/>
        <v>0</v>
      </c>
      <c r="BY263" s="2079">
        <f t="shared" si="904"/>
        <v>0</v>
      </c>
      <c r="BZ263" s="2079">
        <f t="shared" si="905"/>
        <v>0</v>
      </c>
      <c r="CA263" s="2079">
        <f t="shared" si="906"/>
        <v>0</v>
      </c>
      <c r="CB263" s="2079">
        <f t="shared" si="907"/>
        <v>0</v>
      </c>
      <c r="CC263" s="2078">
        <f t="shared" ca="1" si="938"/>
        <v>0</v>
      </c>
      <c r="CD263" s="2078">
        <f t="shared" ca="1" si="939"/>
        <v>0</v>
      </c>
      <c r="CE263" s="2078">
        <f t="shared" ca="1" si="940"/>
        <v>0</v>
      </c>
      <c r="CF263" s="2078">
        <f t="shared" ca="1" si="941"/>
        <v>0</v>
      </c>
      <c r="CG263" s="2078">
        <f t="shared" ca="1" si="942"/>
        <v>0</v>
      </c>
      <c r="CH263" s="2078">
        <f t="shared" ca="1" si="943"/>
        <v>0</v>
      </c>
      <c r="CI263" s="2078">
        <f t="shared" ca="1" si="944"/>
        <v>0</v>
      </c>
      <c r="CJ263" s="2078">
        <f t="shared" ca="1" si="945"/>
        <v>0</v>
      </c>
      <c r="CK263" s="2078">
        <f t="shared" ca="1" si="946"/>
        <v>0</v>
      </c>
      <c r="CL263" s="2078">
        <f t="shared" ca="1" si="947"/>
        <v>0</v>
      </c>
      <c r="CM263" s="2078">
        <f t="shared" si="968"/>
        <v>1</v>
      </c>
      <c r="CN263" s="2078">
        <f t="shared" si="969"/>
        <v>1</v>
      </c>
      <c r="CO263" s="2078">
        <f t="shared" si="958"/>
        <v>1</v>
      </c>
      <c r="CP263" s="2078">
        <f t="shared" si="948"/>
        <v>1</v>
      </c>
      <c r="CQ263" s="2078">
        <f t="shared" si="959"/>
        <v>0</v>
      </c>
      <c r="CR263" s="2078">
        <f t="shared" si="879"/>
        <v>0</v>
      </c>
      <c r="CS263" s="2078">
        <f t="shared" si="949"/>
        <v>0</v>
      </c>
      <c r="CT263" s="2078">
        <f t="shared" si="960"/>
        <v>1</v>
      </c>
      <c r="CU263" s="2078">
        <f t="shared" si="950"/>
        <v>1</v>
      </c>
      <c r="CV263" s="2078">
        <f t="shared" si="970"/>
        <v>0</v>
      </c>
      <c r="CW263" s="2078">
        <f>IF(OR(AE263&lt;&gt;3,F263="Exclude"),0,IF(ISERROR(MATCH($E263,'4 Sign-off'!$S$123:$X$123,0)),0,1))</f>
        <v>0</v>
      </c>
      <c r="CX263" s="2078">
        <f t="shared" si="883"/>
        <v>0</v>
      </c>
      <c r="CY263" s="2078">
        <f t="shared" si="971"/>
        <v>0</v>
      </c>
      <c r="CZ263" s="2993">
        <f t="shared" ca="1" si="880"/>
        <v>0</v>
      </c>
      <c r="DA263" s="3037">
        <f t="shared" ca="1" si="881"/>
        <v>0</v>
      </c>
      <c r="DB263" s="1664"/>
      <c r="DC263" s="1320"/>
      <c r="DD263" s="589"/>
      <c r="DE263" s="1321"/>
      <c r="DF263" s="107"/>
      <c r="DG263" s="112"/>
      <c r="DH263" s="140"/>
      <c r="DI263" s="22"/>
      <c r="DJ263" s="145"/>
      <c r="DK263" s="137"/>
      <c r="DL263" s="137"/>
      <c r="DM263" s="137"/>
      <c r="DN263" s="137"/>
      <c r="DO263" s="137"/>
      <c r="DP263" s="137"/>
      <c r="DQ263" s="137"/>
      <c r="DR263" s="137"/>
      <c r="DS263" s="137"/>
      <c r="DT263" s="137"/>
      <c r="DU263" s="137"/>
      <c r="DV263" s="137"/>
      <c r="DW263" s="137"/>
      <c r="DX263" s="137"/>
      <c r="DY263" s="137"/>
      <c r="DZ263" s="137"/>
      <c r="EA263" s="137"/>
      <c r="EB263" s="137"/>
      <c r="EC263" s="137"/>
      <c r="ED263" s="137"/>
      <c r="EE263" s="137"/>
      <c r="EF263" s="137"/>
      <c r="EG263" s="137"/>
      <c r="EH263" s="137"/>
      <c r="EI263" s="137"/>
      <c r="EJ263" s="137"/>
      <c r="EK263" s="137"/>
      <c r="EL263" s="137"/>
      <c r="EM263" s="137"/>
      <c r="EN263" s="137"/>
      <c r="EO263" s="137"/>
      <c r="EP263" s="137"/>
      <c r="EQ263" s="137"/>
      <c r="ER263" s="137"/>
      <c r="ES263" s="137"/>
      <c r="ET263" s="137"/>
      <c r="EU263" s="137"/>
      <c r="EV263" s="137"/>
      <c r="EW263" s="137"/>
      <c r="EX263" s="137"/>
      <c r="EY263" s="137"/>
      <c r="EZ263" s="137"/>
      <c r="FA263" s="137"/>
      <c r="FB263" s="137"/>
      <c r="FC263" s="137"/>
      <c r="FD263" s="137"/>
      <c r="FE263" s="137"/>
      <c r="FF263" s="137"/>
      <c r="FG263" s="860"/>
      <c r="FH263" s="863"/>
      <c r="FI263" s="1318"/>
      <c r="FJ263" s="126"/>
      <c r="FK263" s="127"/>
      <c r="FL263" s="128" t="str">
        <f t="shared" si="951"/>
        <v xml:space="preserve">    </v>
      </c>
      <c r="FM263" s="128"/>
      <c r="FN263" s="1686">
        <f t="shared" si="952"/>
        <v>0</v>
      </c>
      <c r="FO263" s="46">
        <f t="shared" si="972"/>
        <v>0</v>
      </c>
      <c r="FP263" s="46">
        <f t="shared" si="977"/>
        <v>1</v>
      </c>
      <c r="FQ263" s="75">
        <f t="shared" si="953"/>
        <v>0</v>
      </c>
      <c r="FR263" s="46">
        <f t="shared" si="964"/>
        <v>0</v>
      </c>
      <c r="FS263" s="46">
        <f t="shared" si="965"/>
        <v>1</v>
      </c>
      <c r="FT263" s="75">
        <f t="shared" si="954"/>
        <v>0</v>
      </c>
      <c r="FU263" s="2603">
        <f t="shared" si="973"/>
        <v>0</v>
      </c>
      <c r="FV263" s="2607">
        <f t="shared" si="974"/>
        <v>0</v>
      </c>
      <c r="FW263" s="2603">
        <f t="shared" si="975"/>
        <v>0</v>
      </c>
      <c r="FX263" s="2631">
        <f t="shared" si="976"/>
        <v>0</v>
      </c>
      <c r="FY263" s="81" t="e">
        <f t="shared" si="966"/>
        <v>#N/A</v>
      </c>
      <c r="FZ263" s="64" t="e">
        <f t="array" ref="FZ263">MATCH(1,($GT263:$LQ263&gt;0)*$GT$25:$LQ$25,0)</f>
        <v>#N/A</v>
      </c>
      <c r="GA263" s="64" t="e">
        <f t="array" ref="GA263">MATCH(2,1/(GT263:LQ263&gt;0))</f>
        <v>#N/A</v>
      </c>
      <c r="GB263" s="64">
        <f t="shared" si="955"/>
        <v>-1</v>
      </c>
      <c r="GC263" s="46"/>
      <c r="GD263" s="613"/>
      <c r="GE263" s="613"/>
      <c r="GF263" s="613"/>
      <c r="GG263" s="613"/>
      <c r="GH263" s="613"/>
      <c r="GI263" s="613"/>
      <c r="GJ263" s="613"/>
      <c r="GK263" s="613"/>
      <c r="GL263" s="613"/>
      <c r="GM263" s="613"/>
      <c r="GN263" s="385">
        <f t="shared" si="884"/>
        <v>0</v>
      </c>
      <c r="GO263" s="386">
        <f t="shared" si="885"/>
        <v>0</v>
      </c>
      <c r="GP263" s="2635"/>
      <c r="GQ263" s="175"/>
      <c r="GR263" s="172"/>
      <c r="GS263" s="65"/>
      <c r="GT263" s="167"/>
      <c r="GU263" s="168"/>
      <c r="GV263" s="168"/>
      <c r="GW263" s="168"/>
      <c r="GX263" s="168"/>
      <c r="GY263" s="168"/>
      <c r="GZ263" s="168"/>
      <c r="HA263" s="168"/>
      <c r="HB263" s="168"/>
      <c r="HC263" s="168"/>
      <c r="HD263" s="168"/>
      <c r="HE263" s="168"/>
      <c r="HF263" s="168"/>
      <c r="HG263" s="168"/>
      <c r="HH263" s="168"/>
      <c r="HI263" s="168"/>
      <c r="HJ263" s="168"/>
      <c r="HK263" s="168"/>
      <c r="HL263" s="168"/>
      <c r="HM263" s="168"/>
      <c r="HN263" s="168"/>
      <c r="HO263" s="168"/>
      <c r="HP263" s="168"/>
      <c r="HQ263" s="168"/>
      <c r="HR263" s="168"/>
      <c r="HS263" s="168"/>
      <c r="HT263" s="168"/>
      <c r="HU263" s="168"/>
      <c r="HV263" s="168"/>
      <c r="HW263" s="168"/>
      <c r="HX263" s="168"/>
      <c r="HY263" s="168"/>
      <c r="HZ263" s="168"/>
      <c r="IA263" s="168"/>
      <c r="IB263" s="168"/>
      <c r="IC263" s="168"/>
      <c r="ID263" s="168"/>
      <c r="IE263" s="168"/>
      <c r="IF263" s="168"/>
      <c r="IG263" s="168"/>
      <c r="IH263" s="168"/>
      <c r="II263" s="168"/>
      <c r="IJ263" s="168"/>
      <c r="IK263" s="168"/>
      <c r="IL263" s="168"/>
      <c r="IM263" s="168"/>
      <c r="IN263" s="168"/>
      <c r="IO263" s="168"/>
      <c r="IP263" s="168"/>
      <c r="IQ263" s="168"/>
      <c r="IR263" s="168"/>
      <c r="IS263" s="168"/>
      <c r="IT263" s="168"/>
      <c r="IU263" s="168"/>
      <c r="IV263" s="168"/>
      <c r="IW263" s="168"/>
      <c r="IX263" s="168"/>
      <c r="IY263" s="168"/>
      <c r="IZ263" s="168"/>
      <c r="JA263" s="168"/>
      <c r="JB263" s="168"/>
      <c r="JC263" s="168"/>
      <c r="JD263" s="168"/>
      <c r="JE263" s="168"/>
      <c r="JF263" s="168"/>
      <c r="JG263" s="168"/>
      <c r="JH263" s="168"/>
      <c r="JI263" s="168"/>
      <c r="JJ263" s="168"/>
      <c r="JK263" s="168"/>
      <c r="JL263" s="168"/>
      <c r="JM263" s="168"/>
      <c r="JN263" s="168"/>
      <c r="JO263" s="168"/>
      <c r="JP263" s="168"/>
      <c r="JQ263" s="168"/>
      <c r="JR263" s="168"/>
      <c r="JS263" s="168"/>
      <c r="JT263" s="168"/>
      <c r="JU263" s="168"/>
      <c r="JV263" s="168"/>
      <c r="JW263" s="168"/>
      <c r="JX263" s="168"/>
      <c r="JY263" s="168"/>
      <c r="JZ263" s="168"/>
      <c r="KA263" s="168"/>
      <c r="KB263" s="168"/>
      <c r="KC263" s="168"/>
      <c r="KD263" s="168"/>
      <c r="KE263" s="168"/>
      <c r="KF263" s="168"/>
      <c r="KG263" s="168"/>
      <c r="KH263" s="168"/>
      <c r="KI263" s="168"/>
      <c r="KJ263" s="168"/>
      <c r="KK263" s="168"/>
      <c r="KL263" s="168"/>
      <c r="KM263" s="168"/>
      <c r="KN263" s="168"/>
      <c r="KO263" s="168"/>
      <c r="KP263" s="168"/>
      <c r="KQ263" s="168"/>
      <c r="KR263" s="168"/>
      <c r="KS263" s="168"/>
      <c r="KT263" s="168"/>
      <c r="KU263" s="168"/>
      <c r="KV263" s="168"/>
      <c r="KW263" s="168"/>
      <c r="KX263" s="168"/>
      <c r="KY263" s="168"/>
      <c r="KZ263" s="168"/>
      <c r="LA263" s="168"/>
      <c r="LB263" s="168"/>
      <c r="LC263" s="168"/>
      <c r="LD263" s="168"/>
      <c r="LE263" s="168"/>
      <c r="LF263" s="168"/>
      <c r="LG263" s="168"/>
      <c r="LH263" s="168"/>
      <c r="LI263" s="168"/>
      <c r="LJ263" s="168"/>
      <c r="LK263" s="168"/>
      <c r="LL263" s="168"/>
      <c r="LM263" s="168"/>
      <c r="LN263" s="168"/>
      <c r="LO263" s="168"/>
      <c r="LP263" s="606"/>
      <c r="LQ263" s="609"/>
      <c r="LR263" s="1319"/>
      <c r="LS263" s="1319"/>
    </row>
    <row r="264" spans="1:331" s="2" customFormat="1" ht="15" customHeight="1" x14ac:dyDescent="0.25">
      <c r="A264" s="283"/>
      <c r="B264" s="303"/>
      <c r="C264" s="301"/>
      <c r="D264" s="1287"/>
      <c r="E264" s="2298"/>
      <c r="F264" s="1812"/>
      <c r="G264" s="3342"/>
      <c r="H264" s="66"/>
      <c r="I264" s="1746"/>
      <c r="J264" s="1214"/>
      <c r="K264" s="105"/>
      <c r="L264" s="91"/>
      <c r="M264" s="92"/>
      <c r="N264" s="93"/>
      <c r="O264" s="94"/>
      <c r="P264" s="96"/>
      <c r="Q264" s="95"/>
      <c r="R264" s="993">
        <f t="shared" si="876"/>
        <v>0</v>
      </c>
      <c r="S264" s="23">
        <f t="shared" si="877"/>
        <v>0</v>
      </c>
      <c r="T264" s="24">
        <f t="shared" si="908"/>
        <v>0</v>
      </c>
      <c r="U264" s="24">
        <f t="shared" si="909"/>
        <v>0</v>
      </c>
      <c r="V264" s="24">
        <f t="shared" si="910"/>
        <v>0</v>
      </c>
      <c r="W264" s="24">
        <f t="shared" ca="1" si="911"/>
        <v>0</v>
      </c>
      <c r="X264" s="72">
        <f t="shared" ca="1" si="956"/>
        <v>0</v>
      </c>
      <c r="Y264" s="72">
        <f t="shared" si="912"/>
        <v>0</v>
      </c>
      <c r="Z264" s="24">
        <f t="shared" si="913"/>
        <v>0</v>
      </c>
      <c r="AA264" s="72">
        <f t="shared" si="957"/>
        <v>0</v>
      </c>
      <c r="AB264" s="24">
        <f t="shared" si="967"/>
        <v>0</v>
      </c>
      <c r="AC264" s="24">
        <f t="shared" ca="1" si="914"/>
        <v>0</v>
      </c>
      <c r="AD264" s="24">
        <f t="shared" si="886"/>
        <v>0</v>
      </c>
      <c r="AE264" s="2078">
        <f t="shared" si="961"/>
        <v>3</v>
      </c>
      <c r="AF264" s="2078">
        <f t="shared" si="962"/>
        <v>0</v>
      </c>
      <c r="AG264" s="2078">
        <f t="shared" si="963"/>
        <v>0</v>
      </c>
      <c r="AH264" s="2521">
        <f t="shared" si="887"/>
        <v>1</v>
      </c>
      <c r="AI264" s="25" t="str">
        <f t="shared" si="915"/>
        <v/>
      </c>
      <c r="AJ264" s="2521">
        <f t="shared" ca="1" si="882"/>
        <v>0</v>
      </c>
      <c r="AK264" s="2076">
        <f t="shared" ca="1" si="878"/>
        <v>0</v>
      </c>
      <c r="AL264" s="2078">
        <f>IF(ISBLANK(J264),0,ISERROR(MATCH(J264,'5  Control Accounts'!$FA$29:$FA$96,0))*1)</f>
        <v>0</v>
      </c>
      <c r="AM264" s="2076">
        <f t="shared" si="916"/>
        <v>0</v>
      </c>
      <c r="AN264" s="2078">
        <f t="shared" si="917"/>
        <v>1</v>
      </c>
      <c r="AO264" s="2079">
        <f t="shared" si="888"/>
        <v>1</v>
      </c>
      <c r="AP264" s="2079">
        <f t="shared" si="889"/>
        <v>0</v>
      </c>
      <c r="AQ264" s="2079">
        <f t="shared" si="890"/>
        <v>0</v>
      </c>
      <c r="AR264" s="2079">
        <f t="shared" si="891"/>
        <v>0</v>
      </c>
      <c r="AS264" s="2079">
        <f t="shared" si="892"/>
        <v>0</v>
      </c>
      <c r="AT264" s="2079">
        <f t="shared" si="893"/>
        <v>0</v>
      </c>
      <c r="AU264" s="2079">
        <f t="shared" si="894"/>
        <v>0</v>
      </c>
      <c r="AV264" s="2079">
        <f t="shared" si="895"/>
        <v>0</v>
      </c>
      <c r="AW264" s="2079">
        <f t="shared" si="896"/>
        <v>0</v>
      </c>
      <c r="AX264" s="2079">
        <f t="shared" si="897"/>
        <v>0</v>
      </c>
      <c r="AY264" s="2078">
        <f t="shared" si="918"/>
        <v>0</v>
      </c>
      <c r="AZ264" s="2078">
        <f t="shared" si="919"/>
        <v>0</v>
      </c>
      <c r="BA264" s="2078">
        <f t="shared" si="920"/>
        <v>0</v>
      </c>
      <c r="BB264" s="2078">
        <f t="shared" si="921"/>
        <v>0</v>
      </c>
      <c r="BC264" s="2078">
        <f t="shared" si="922"/>
        <v>0</v>
      </c>
      <c r="BD264" s="2078">
        <f t="shared" si="923"/>
        <v>0</v>
      </c>
      <c r="BE264" s="2078">
        <f t="shared" si="924"/>
        <v>0</v>
      </c>
      <c r="BF264" s="2078">
        <f t="shared" si="925"/>
        <v>0</v>
      </c>
      <c r="BG264" s="2078">
        <f t="shared" si="926"/>
        <v>0</v>
      </c>
      <c r="BH264" s="2078">
        <f t="shared" si="927"/>
        <v>0</v>
      </c>
      <c r="BI264" s="2078">
        <f t="shared" si="928"/>
        <v>0</v>
      </c>
      <c r="BJ264" s="2078">
        <f t="shared" si="929"/>
        <v>0</v>
      </c>
      <c r="BK264" s="2078">
        <f t="shared" si="930"/>
        <v>0</v>
      </c>
      <c r="BL264" s="2078">
        <f t="shared" si="931"/>
        <v>0</v>
      </c>
      <c r="BM264" s="2078">
        <f t="shared" si="932"/>
        <v>0</v>
      </c>
      <c r="BN264" s="2078">
        <f t="shared" si="933"/>
        <v>0</v>
      </c>
      <c r="BO264" s="2078">
        <f t="shared" si="934"/>
        <v>0</v>
      </c>
      <c r="BP264" s="2078">
        <f t="shared" si="935"/>
        <v>0</v>
      </c>
      <c r="BQ264" s="2078">
        <f t="shared" si="936"/>
        <v>0</v>
      </c>
      <c r="BR264" s="2078">
        <f t="shared" si="937"/>
        <v>0</v>
      </c>
      <c r="BS264" s="2079">
        <f t="shared" si="898"/>
        <v>1</v>
      </c>
      <c r="BT264" s="2079">
        <f t="shared" si="899"/>
        <v>0</v>
      </c>
      <c r="BU264" s="2079">
        <f t="shared" si="900"/>
        <v>0</v>
      </c>
      <c r="BV264" s="2079">
        <f t="shared" si="901"/>
        <v>0</v>
      </c>
      <c r="BW264" s="2079">
        <f t="shared" si="902"/>
        <v>0</v>
      </c>
      <c r="BX264" s="2079">
        <f t="shared" si="903"/>
        <v>0</v>
      </c>
      <c r="BY264" s="2079">
        <f t="shared" si="904"/>
        <v>0</v>
      </c>
      <c r="BZ264" s="2079">
        <f t="shared" si="905"/>
        <v>0</v>
      </c>
      <c r="CA264" s="2079">
        <f t="shared" si="906"/>
        <v>0</v>
      </c>
      <c r="CB264" s="2079">
        <f t="shared" si="907"/>
        <v>0</v>
      </c>
      <c r="CC264" s="2078">
        <f t="shared" ca="1" si="938"/>
        <v>0</v>
      </c>
      <c r="CD264" s="2078">
        <f t="shared" ca="1" si="939"/>
        <v>0</v>
      </c>
      <c r="CE264" s="2078">
        <f t="shared" ca="1" si="940"/>
        <v>0</v>
      </c>
      <c r="CF264" s="2078">
        <f t="shared" ca="1" si="941"/>
        <v>0</v>
      </c>
      <c r="CG264" s="2078">
        <f t="shared" ca="1" si="942"/>
        <v>0</v>
      </c>
      <c r="CH264" s="2078">
        <f t="shared" ca="1" si="943"/>
        <v>0</v>
      </c>
      <c r="CI264" s="2078">
        <f t="shared" ca="1" si="944"/>
        <v>0</v>
      </c>
      <c r="CJ264" s="2078">
        <f t="shared" ca="1" si="945"/>
        <v>0</v>
      </c>
      <c r="CK264" s="2078">
        <f t="shared" ca="1" si="946"/>
        <v>0</v>
      </c>
      <c r="CL264" s="2078">
        <f t="shared" ca="1" si="947"/>
        <v>0</v>
      </c>
      <c r="CM264" s="2078">
        <f t="shared" si="968"/>
        <v>1</v>
      </c>
      <c r="CN264" s="2078">
        <f t="shared" si="969"/>
        <v>1</v>
      </c>
      <c r="CO264" s="2078">
        <f t="shared" si="958"/>
        <v>1</v>
      </c>
      <c r="CP264" s="2078">
        <f t="shared" si="948"/>
        <v>1</v>
      </c>
      <c r="CQ264" s="2078">
        <f t="shared" si="959"/>
        <v>0</v>
      </c>
      <c r="CR264" s="2078">
        <f t="shared" si="879"/>
        <v>0</v>
      </c>
      <c r="CS264" s="2078">
        <f t="shared" si="949"/>
        <v>0</v>
      </c>
      <c r="CT264" s="2078">
        <f t="shared" si="960"/>
        <v>1</v>
      </c>
      <c r="CU264" s="2078">
        <f t="shared" si="950"/>
        <v>1</v>
      </c>
      <c r="CV264" s="2078">
        <f t="shared" si="970"/>
        <v>0</v>
      </c>
      <c r="CW264" s="2078">
        <f>IF(OR(AE264&lt;&gt;3,F264="Exclude"),0,IF(ISERROR(MATCH($E264,'4 Sign-off'!$S$123:$X$123,0)),0,1))</f>
        <v>0</v>
      </c>
      <c r="CX264" s="2078">
        <f t="shared" si="883"/>
        <v>0</v>
      </c>
      <c r="CY264" s="2078">
        <f t="shared" si="971"/>
        <v>0</v>
      </c>
      <c r="CZ264" s="2993">
        <f t="shared" ca="1" si="880"/>
        <v>0</v>
      </c>
      <c r="DA264" s="3037">
        <f t="shared" ca="1" si="881"/>
        <v>0</v>
      </c>
      <c r="DB264" s="1664"/>
      <c r="DC264" s="1320"/>
      <c r="DD264" s="589"/>
      <c r="DE264" s="1321"/>
      <c r="DF264" s="107"/>
      <c r="DG264" s="112"/>
      <c r="DH264" s="140"/>
      <c r="DI264" s="22"/>
      <c r="DJ264" s="145"/>
      <c r="DK264" s="137"/>
      <c r="DL264" s="137"/>
      <c r="DM264" s="137"/>
      <c r="DN264" s="137"/>
      <c r="DO264" s="137"/>
      <c r="DP264" s="137"/>
      <c r="DQ264" s="137"/>
      <c r="DR264" s="137"/>
      <c r="DS264" s="137"/>
      <c r="DT264" s="137"/>
      <c r="DU264" s="137"/>
      <c r="DV264" s="137"/>
      <c r="DW264" s="137"/>
      <c r="DX264" s="137"/>
      <c r="DY264" s="137"/>
      <c r="DZ264" s="137"/>
      <c r="EA264" s="137"/>
      <c r="EB264" s="137"/>
      <c r="EC264" s="137"/>
      <c r="ED264" s="137"/>
      <c r="EE264" s="137"/>
      <c r="EF264" s="137"/>
      <c r="EG264" s="137"/>
      <c r="EH264" s="137"/>
      <c r="EI264" s="137"/>
      <c r="EJ264" s="137"/>
      <c r="EK264" s="137"/>
      <c r="EL264" s="137"/>
      <c r="EM264" s="137"/>
      <c r="EN264" s="137"/>
      <c r="EO264" s="137"/>
      <c r="EP264" s="137"/>
      <c r="EQ264" s="137"/>
      <c r="ER264" s="137"/>
      <c r="ES264" s="137"/>
      <c r="ET264" s="137"/>
      <c r="EU264" s="137"/>
      <c r="EV264" s="137"/>
      <c r="EW264" s="137"/>
      <c r="EX264" s="137"/>
      <c r="EY264" s="137"/>
      <c r="EZ264" s="137"/>
      <c r="FA264" s="137"/>
      <c r="FB264" s="137"/>
      <c r="FC264" s="137"/>
      <c r="FD264" s="137"/>
      <c r="FE264" s="137"/>
      <c r="FF264" s="137"/>
      <c r="FG264" s="860"/>
      <c r="FH264" s="863"/>
      <c r="FI264" s="1318"/>
      <c r="FJ264" s="126"/>
      <c r="FK264" s="127"/>
      <c r="FL264" s="128" t="str">
        <f t="shared" si="951"/>
        <v xml:space="preserve">    </v>
      </c>
      <c r="FM264" s="128"/>
      <c r="FN264" s="1686">
        <f t="shared" si="952"/>
        <v>0</v>
      </c>
      <c r="FO264" s="46">
        <f t="shared" si="972"/>
        <v>0</v>
      </c>
      <c r="FP264" s="46">
        <f t="shared" si="977"/>
        <v>1</v>
      </c>
      <c r="FQ264" s="75">
        <f t="shared" si="953"/>
        <v>0</v>
      </c>
      <c r="FR264" s="46">
        <f t="shared" si="964"/>
        <v>0</v>
      </c>
      <c r="FS264" s="46">
        <f t="shared" si="965"/>
        <v>1</v>
      </c>
      <c r="FT264" s="75">
        <f t="shared" si="954"/>
        <v>0</v>
      </c>
      <c r="FU264" s="2603">
        <f t="shared" si="973"/>
        <v>0</v>
      </c>
      <c r="FV264" s="2607">
        <f t="shared" si="974"/>
        <v>0</v>
      </c>
      <c r="FW264" s="2603">
        <f t="shared" si="975"/>
        <v>0</v>
      </c>
      <c r="FX264" s="2631">
        <f t="shared" si="976"/>
        <v>0</v>
      </c>
      <c r="FY264" s="81" t="e">
        <f t="shared" si="966"/>
        <v>#N/A</v>
      </c>
      <c r="FZ264" s="64" t="e">
        <f t="array" ref="FZ264">MATCH(1,($GT264:$LQ264&gt;0)*$GT$25:$LQ$25,0)</f>
        <v>#N/A</v>
      </c>
      <c r="GA264" s="64" t="e">
        <f t="array" ref="GA264">MATCH(2,1/(GT264:LQ264&gt;0))</f>
        <v>#N/A</v>
      </c>
      <c r="GB264" s="64">
        <f t="shared" si="955"/>
        <v>-1</v>
      </c>
      <c r="GC264" s="46"/>
      <c r="GD264" s="613"/>
      <c r="GE264" s="613"/>
      <c r="GF264" s="613"/>
      <c r="GG264" s="613"/>
      <c r="GH264" s="613"/>
      <c r="GI264" s="613"/>
      <c r="GJ264" s="613"/>
      <c r="GK264" s="613"/>
      <c r="GL264" s="613"/>
      <c r="GM264" s="613"/>
      <c r="GN264" s="385">
        <f t="shared" si="884"/>
        <v>0</v>
      </c>
      <c r="GO264" s="386">
        <f t="shared" si="885"/>
        <v>0</v>
      </c>
      <c r="GP264" s="2635"/>
      <c r="GQ264" s="175"/>
      <c r="GR264" s="172"/>
      <c r="GS264" s="65"/>
      <c r="GT264" s="167"/>
      <c r="GU264" s="168"/>
      <c r="GV264" s="168"/>
      <c r="GW264" s="168"/>
      <c r="GX264" s="168"/>
      <c r="GY264" s="168"/>
      <c r="GZ264" s="168"/>
      <c r="HA264" s="168"/>
      <c r="HB264" s="168"/>
      <c r="HC264" s="168"/>
      <c r="HD264" s="168"/>
      <c r="HE264" s="168"/>
      <c r="HF264" s="168"/>
      <c r="HG264" s="168"/>
      <c r="HH264" s="168"/>
      <c r="HI264" s="168"/>
      <c r="HJ264" s="168"/>
      <c r="HK264" s="168"/>
      <c r="HL264" s="168"/>
      <c r="HM264" s="168"/>
      <c r="HN264" s="168"/>
      <c r="HO264" s="168"/>
      <c r="HP264" s="168"/>
      <c r="HQ264" s="168"/>
      <c r="HR264" s="168"/>
      <c r="HS264" s="168"/>
      <c r="HT264" s="168"/>
      <c r="HU264" s="168"/>
      <c r="HV264" s="168"/>
      <c r="HW264" s="168"/>
      <c r="HX264" s="168"/>
      <c r="HY264" s="168"/>
      <c r="HZ264" s="168"/>
      <c r="IA264" s="168"/>
      <c r="IB264" s="168"/>
      <c r="IC264" s="168"/>
      <c r="ID264" s="168"/>
      <c r="IE264" s="168"/>
      <c r="IF264" s="168"/>
      <c r="IG264" s="168"/>
      <c r="IH264" s="168"/>
      <c r="II264" s="168"/>
      <c r="IJ264" s="168"/>
      <c r="IK264" s="168"/>
      <c r="IL264" s="168"/>
      <c r="IM264" s="168"/>
      <c r="IN264" s="168"/>
      <c r="IO264" s="168"/>
      <c r="IP264" s="168"/>
      <c r="IQ264" s="168"/>
      <c r="IR264" s="168"/>
      <c r="IS264" s="168"/>
      <c r="IT264" s="168"/>
      <c r="IU264" s="168"/>
      <c r="IV264" s="168"/>
      <c r="IW264" s="168"/>
      <c r="IX264" s="168"/>
      <c r="IY264" s="168"/>
      <c r="IZ264" s="168"/>
      <c r="JA264" s="168"/>
      <c r="JB264" s="168"/>
      <c r="JC264" s="168"/>
      <c r="JD264" s="168"/>
      <c r="JE264" s="168"/>
      <c r="JF264" s="168"/>
      <c r="JG264" s="168"/>
      <c r="JH264" s="168"/>
      <c r="JI264" s="168"/>
      <c r="JJ264" s="168"/>
      <c r="JK264" s="168"/>
      <c r="JL264" s="168"/>
      <c r="JM264" s="168"/>
      <c r="JN264" s="168"/>
      <c r="JO264" s="168"/>
      <c r="JP264" s="168"/>
      <c r="JQ264" s="168"/>
      <c r="JR264" s="168"/>
      <c r="JS264" s="168"/>
      <c r="JT264" s="168"/>
      <c r="JU264" s="168"/>
      <c r="JV264" s="168"/>
      <c r="JW264" s="168"/>
      <c r="JX264" s="168"/>
      <c r="JY264" s="168"/>
      <c r="JZ264" s="168"/>
      <c r="KA264" s="168"/>
      <c r="KB264" s="168"/>
      <c r="KC264" s="168"/>
      <c r="KD264" s="168"/>
      <c r="KE264" s="168"/>
      <c r="KF264" s="168"/>
      <c r="KG264" s="168"/>
      <c r="KH264" s="168"/>
      <c r="KI264" s="168"/>
      <c r="KJ264" s="168"/>
      <c r="KK264" s="168"/>
      <c r="KL264" s="168"/>
      <c r="KM264" s="168"/>
      <c r="KN264" s="168"/>
      <c r="KO264" s="168"/>
      <c r="KP264" s="168"/>
      <c r="KQ264" s="168"/>
      <c r="KR264" s="168"/>
      <c r="KS264" s="168"/>
      <c r="KT264" s="168"/>
      <c r="KU264" s="168"/>
      <c r="KV264" s="168"/>
      <c r="KW264" s="168"/>
      <c r="KX264" s="168"/>
      <c r="KY264" s="168"/>
      <c r="KZ264" s="168"/>
      <c r="LA264" s="168"/>
      <c r="LB264" s="168"/>
      <c r="LC264" s="168"/>
      <c r="LD264" s="168"/>
      <c r="LE264" s="168"/>
      <c r="LF264" s="168"/>
      <c r="LG264" s="168"/>
      <c r="LH264" s="168"/>
      <c r="LI264" s="168"/>
      <c r="LJ264" s="168"/>
      <c r="LK264" s="168"/>
      <c r="LL264" s="168"/>
      <c r="LM264" s="168"/>
      <c r="LN264" s="168"/>
      <c r="LO264" s="168"/>
      <c r="LP264" s="606"/>
      <c r="LQ264" s="609"/>
      <c r="LR264" s="1319"/>
      <c r="LS264" s="1319"/>
    </row>
    <row r="265" spans="1:331" s="2" customFormat="1" ht="15" customHeight="1" x14ac:dyDescent="0.25">
      <c r="A265" s="283"/>
      <c r="B265" s="303"/>
      <c r="C265" s="301"/>
      <c r="D265" s="1287"/>
      <c r="E265" s="2298"/>
      <c r="F265" s="1812"/>
      <c r="G265" s="3342"/>
      <c r="H265" s="66"/>
      <c r="I265" s="1746"/>
      <c r="J265" s="1214"/>
      <c r="K265" s="105"/>
      <c r="L265" s="91"/>
      <c r="M265" s="92"/>
      <c r="N265" s="93"/>
      <c r="O265" s="94"/>
      <c r="P265" s="96"/>
      <c r="Q265" s="95"/>
      <c r="R265" s="993">
        <f t="shared" si="876"/>
        <v>0</v>
      </c>
      <c r="S265" s="23">
        <f t="shared" si="877"/>
        <v>0</v>
      </c>
      <c r="T265" s="24">
        <f t="shared" si="908"/>
        <v>0</v>
      </c>
      <c r="U265" s="24">
        <f t="shared" si="909"/>
        <v>0</v>
      </c>
      <c r="V265" s="24">
        <f t="shared" si="910"/>
        <v>0</v>
      </c>
      <c r="W265" s="24">
        <f t="shared" ca="1" si="911"/>
        <v>0</v>
      </c>
      <c r="X265" s="72">
        <f t="shared" ca="1" si="956"/>
        <v>0</v>
      </c>
      <c r="Y265" s="72">
        <f t="shared" si="912"/>
        <v>0</v>
      </c>
      <c r="Z265" s="24">
        <f t="shared" si="913"/>
        <v>0</v>
      </c>
      <c r="AA265" s="72">
        <f t="shared" si="957"/>
        <v>0</v>
      </c>
      <c r="AB265" s="24">
        <f t="shared" si="967"/>
        <v>0</v>
      </c>
      <c r="AC265" s="24">
        <f t="shared" ca="1" si="914"/>
        <v>0</v>
      </c>
      <c r="AD265" s="24">
        <f t="shared" si="886"/>
        <v>0</v>
      </c>
      <c r="AE265" s="2078">
        <f t="shared" si="961"/>
        <v>3</v>
      </c>
      <c r="AF265" s="2078">
        <f t="shared" si="962"/>
        <v>0</v>
      </c>
      <c r="AG265" s="2078">
        <f t="shared" si="963"/>
        <v>0</v>
      </c>
      <c r="AH265" s="2521">
        <f t="shared" si="887"/>
        <v>1</v>
      </c>
      <c r="AI265" s="25" t="str">
        <f t="shared" si="915"/>
        <v/>
      </c>
      <c r="AJ265" s="2521">
        <f t="shared" ca="1" si="882"/>
        <v>0</v>
      </c>
      <c r="AK265" s="2076">
        <f t="shared" ca="1" si="878"/>
        <v>0</v>
      </c>
      <c r="AL265" s="2078">
        <f>IF(ISBLANK(J265),0,ISERROR(MATCH(J265,'5  Control Accounts'!$FA$29:$FA$96,0))*1)</f>
        <v>0</v>
      </c>
      <c r="AM265" s="2076">
        <f t="shared" si="916"/>
        <v>0</v>
      </c>
      <c r="AN265" s="2078">
        <f t="shared" si="917"/>
        <v>1</v>
      </c>
      <c r="AO265" s="2079">
        <f t="shared" si="888"/>
        <v>1</v>
      </c>
      <c r="AP265" s="2079">
        <f t="shared" si="889"/>
        <v>0</v>
      </c>
      <c r="AQ265" s="2079">
        <f t="shared" si="890"/>
        <v>0</v>
      </c>
      <c r="AR265" s="2079">
        <f t="shared" si="891"/>
        <v>0</v>
      </c>
      <c r="AS265" s="2079">
        <f t="shared" si="892"/>
        <v>0</v>
      </c>
      <c r="AT265" s="2079">
        <f t="shared" si="893"/>
        <v>0</v>
      </c>
      <c r="AU265" s="2079">
        <f t="shared" si="894"/>
        <v>0</v>
      </c>
      <c r="AV265" s="2079">
        <f t="shared" si="895"/>
        <v>0</v>
      </c>
      <c r="AW265" s="2079">
        <f t="shared" si="896"/>
        <v>0</v>
      </c>
      <c r="AX265" s="2079">
        <f t="shared" si="897"/>
        <v>0</v>
      </c>
      <c r="AY265" s="2078">
        <f t="shared" si="918"/>
        <v>0</v>
      </c>
      <c r="AZ265" s="2078">
        <f t="shared" si="919"/>
        <v>0</v>
      </c>
      <c r="BA265" s="2078">
        <f t="shared" si="920"/>
        <v>0</v>
      </c>
      <c r="BB265" s="2078">
        <f t="shared" si="921"/>
        <v>0</v>
      </c>
      <c r="BC265" s="2078">
        <f t="shared" si="922"/>
        <v>0</v>
      </c>
      <c r="BD265" s="2078">
        <f t="shared" si="923"/>
        <v>0</v>
      </c>
      <c r="BE265" s="2078">
        <f t="shared" si="924"/>
        <v>0</v>
      </c>
      <c r="BF265" s="2078">
        <f t="shared" si="925"/>
        <v>0</v>
      </c>
      <c r="BG265" s="2078">
        <f t="shared" si="926"/>
        <v>0</v>
      </c>
      <c r="BH265" s="2078">
        <f t="shared" si="927"/>
        <v>0</v>
      </c>
      <c r="BI265" s="2078">
        <f t="shared" si="928"/>
        <v>0</v>
      </c>
      <c r="BJ265" s="2078">
        <f t="shared" si="929"/>
        <v>0</v>
      </c>
      <c r="BK265" s="2078">
        <f t="shared" si="930"/>
        <v>0</v>
      </c>
      <c r="BL265" s="2078">
        <f t="shared" si="931"/>
        <v>0</v>
      </c>
      <c r="BM265" s="2078">
        <f t="shared" si="932"/>
        <v>0</v>
      </c>
      <c r="BN265" s="2078">
        <f t="shared" si="933"/>
        <v>0</v>
      </c>
      <c r="BO265" s="2078">
        <f t="shared" si="934"/>
        <v>0</v>
      </c>
      <c r="BP265" s="2078">
        <f t="shared" si="935"/>
        <v>0</v>
      </c>
      <c r="BQ265" s="2078">
        <f t="shared" si="936"/>
        <v>0</v>
      </c>
      <c r="BR265" s="2078">
        <f t="shared" si="937"/>
        <v>0</v>
      </c>
      <c r="BS265" s="2079">
        <f t="shared" si="898"/>
        <v>1</v>
      </c>
      <c r="BT265" s="2079">
        <f t="shared" si="899"/>
        <v>0</v>
      </c>
      <c r="BU265" s="2079">
        <f t="shared" si="900"/>
        <v>0</v>
      </c>
      <c r="BV265" s="2079">
        <f t="shared" si="901"/>
        <v>0</v>
      </c>
      <c r="BW265" s="2079">
        <f t="shared" si="902"/>
        <v>0</v>
      </c>
      <c r="BX265" s="2079">
        <f t="shared" si="903"/>
        <v>0</v>
      </c>
      <c r="BY265" s="2079">
        <f t="shared" si="904"/>
        <v>0</v>
      </c>
      <c r="BZ265" s="2079">
        <f t="shared" si="905"/>
        <v>0</v>
      </c>
      <c r="CA265" s="2079">
        <f t="shared" si="906"/>
        <v>0</v>
      </c>
      <c r="CB265" s="2079">
        <f t="shared" si="907"/>
        <v>0</v>
      </c>
      <c r="CC265" s="2078">
        <f t="shared" ca="1" si="938"/>
        <v>0</v>
      </c>
      <c r="CD265" s="2078">
        <f t="shared" ca="1" si="939"/>
        <v>0</v>
      </c>
      <c r="CE265" s="2078">
        <f t="shared" ca="1" si="940"/>
        <v>0</v>
      </c>
      <c r="CF265" s="2078">
        <f t="shared" ca="1" si="941"/>
        <v>0</v>
      </c>
      <c r="CG265" s="2078">
        <f t="shared" ca="1" si="942"/>
        <v>0</v>
      </c>
      <c r="CH265" s="2078">
        <f t="shared" ca="1" si="943"/>
        <v>0</v>
      </c>
      <c r="CI265" s="2078">
        <f t="shared" ca="1" si="944"/>
        <v>0</v>
      </c>
      <c r="CJ265" s="2078">
        <f t="shared" ca="1" si="945"/>
        <v>0</v>
      </c>
      <c r="CK265" s="2078">
        <f t="shared" ca="1" si="946"/>
        <v>0</v>
      </c>
      <c r="CL265" s="2078">
        <f t="shared" ca="1" si="947"/>
        <v>0</v>
      </c>
      <c r="CM265" s="2078">
        <f t="shared" si="968"/>
        <v>1</v>
      </c>
      <c r="CN265" s="2078">
        <f t="shared" si="969"/>
        <v>1</v>
      </c>
      <c r="CO265" s="2078">
        <f t="shared" si="958"/>
        <v>1</v>
      </c>
      <c r="CP265" s="2078">
        <f t="shared" si="948"/>
        <v>1</v>
      </c>
      <c r="CQ265" s="2078">
        <f t="shared" si="959"/>
        <v>0</v>
      </c>
      <c r="CR265" s="2078">
        <f t="shared" si="879"/>
        <v>0</v>
      </c>
      <c r="CS265" s="2078">
        <f t="shared" si="949"/>
        <v>0</v>
      </c>
      <c r="CT265" s="2078">
        <f t="shared" si="960"/>
        <v>1</v>
      </c>
      <c r="CU265" s="2078">
        <f t="shared" si="950"/>
        <v>1</v>
      </c>
      <c r="CV265" s="2078">
        <f t="shared" si="970"/>
        <v>0</v>
      </c>
      <c r="CW265" s="2078">
        <f>IF(OR(AE265&lt;&gt;3,F265="Exclude"),0,IF(ISERROR(MATCH($E265,'4 Sign-off'!$S$123:$X$123,0)),0,1))</f>
        <v>0</v>
      </c>
      <c r="CX265" s="2078">
        <f t="shared" si="883"/>
        <v>0</v>
      </c>
      <c r="CY265" s="2078">
        <f t="shared" si="971"/>
        <v>0</v>
      </c>
      <c r="CZ265" s="2993">
        <f t="shared" ca="1" si="880"/>
        <v>0</v>
      </c>
      <c r="DA265" s="3037">
        <f t="shared" ca="1" si="881"/>
        <v>0</v>
      </c>
      <c r="DB265" s="1664"/>
      <c r="DC265" s="1320"/>
      <c r="DD265" s="589"/>
      <c r="DE265" s="1321"/>
      <c r="DF265" s="107"/>
      <c r="DG265" s="112"/>
      <c r="DH265" s="140"/>
      <c r="DI265" s="22"/>
      <c r="DJ265" s="145"/>
      <c r="DK265" s="137"/>
      <c r="DL265" s="137"/>
      <c r="DM265" s="137"/>
      <c r="DN265" s="137"/>
      <c r="DO265" s="137"/>
      <c r="DP265" s="137"/>
      <c r="DQ265" s="137"/>
      <c r="DR265" s="137"/>
      <c r="DS265" s="137"/>
      <c r="DT265" s="137"/>
      <c r="DU265" s="137"/>
      <c r="DV265" s="137"/>
      <c r="DW265" s="137"/>
      <c r="DX265" s="137"/>
      <c r="DY265" s="137"/>
      <c r="DZ265" s="137"/>
      <c r="EA265" s="137"/>
      <c r="EB265" s="137"/>
      <c r="EC265" s="137"/>
      <c r="ED265" s="137"/>
      <c r="EE265" s="137"/>
      <c r="EF265" s="137"/>
      <c r="EG265" s="137"/>
      <c r="EH265" s="137"/>
      <c r="EI265" s="137"/>
      <c r="EJ265" s="137"/>
      <c r="EK265" s="137"/>
      <c r="EL265" s="137"/>
      <c r="EM265" s="137"/>
      <c r="EN265" s="137"/>
      <c r="EO265" s="137"/>
      <c r="EP265" s="137"/>
      <c r="EQ265" s="137"/>
      <c r="ER265" s="137"/>
      <c r="ES265" s="137"/>
      <c r="ET265" s="137"/>
      <c r="EU265" s="137"/>
      <c r="EV265" s="137"/>
      <c r="EW265" s="137"/>
      <c r="EX265" s="137"/>
      <c r="EY265" s="137"/>
      <c r="EZ265" s="137"/>
      <c r="FA265" s="137"/>
      <c r="FB265" s="137"/>
      <c r="FC265" s="137"/>
      <c r="FD265" s="137"/>
      <c r="FE265" s="137"/>
      <c r="FF265" s="137"/>
      <c r="FG265" s="860"/>
      <c r="FH265" s="863"/>
      <c r="FI265" s="1318"/>
      <c r="FJ265" s="126"/>
      <c r="FK265" s="127"/>
      <c r="FL265" s="128" t="str">
        <f t="shared" si="951"/>
        <v xml:space="preserve">    </v>
      </c>
      <c r="FM265" s="128"/>
      <c r="FN265" s="1686">
        <f t="shared" si="952"/>
        <v>0</v>
      </c>
      <c r="FO265" s="46">
        <f t="shared" si="972"/>
        <v>0</v>
      </c>
      <c r="FP265" s="46">
        <f t="shared" si="977"/>
        <v>1</v>
      </c>
      <c r="FQ265" s="75">
        <f t="shared" si="953"/>
        <v>0</v>
      </c>
      <c r="FR265" s="46">
        <f t="shared" si="964"/>
        <v>0</v>
      </c>
      <c r="FS265" s="46">
        <f t="shared" si="965"/>
        <v>1</v>
      </c>
      <c r="FT265" s="75">
        <f t="shared" si="954"/>
        <v>0</v>
      </c>
      <c r="FU265" s="2603">
        <f t="shared" si="973"/>
        <v>0</v>
      </c>
      <c r="FV265" s="2607">
        <f t="shared" si="974"/>
        <v>0</v>
      </c>
      <c r="FW265" s="2603">
        <f t="shared" si="975"/>
        <v>0</v>
      </c>
      <c r="FX265" s="2631">
        <f t="shared" si="976"/>
        <v>0</v>
      </c>
      <c r="FY265" s="81" t="e">
        <f t="shared" si="966"/>
        <v>#N/A</v>
      </c>
      <c r="FZ265" s="64" t="e">
        <f t="array" ref="FZ265">MATCH(1,($GT265:$LQ265&gt;0)*$GT$25:$LQ$25,0)</f>
        <v>#N/A</v>
      </c>
      <c r="GA265" s="64" t="e">
        <f t="array" ref="GA265">MATCH(2,1/(GT265:LQ265&gt;0))</f>
        <v>#N/A</v>
      </c>
      <c r="GB265" s="64">
        <f t="shared" si="955"/>
        <v>-1</v>
      </c>
      <c r="GC265" s="46"/>
      <c r="GD265" s="613"/>
      <c r="GE265" s="613"/>
      <c r="GF265" s="613"/>
      <c r="GG265" s="613"/>
      <c r="GH265" s="613"/>
      <c r="GI265" s="613"/>
      <c r="GJ265" s="613"/>
      <c r="GK265" s="613"/>
      <c r="GL265" s="613"/>
      <c r="GM265" s="613"/>
      <c r="GN265" s="385">
        <f t="shared" si="884"/>
        <v>0</v>
      </c>
      <c r="GO265" s="386">
        <f t="shared" si="885"/>
        <v>0</v>
      </c>
      <c r="GP265" s="2635"/>
      <c r="GQ265" s="175"/>
      <c r="GR265" s="172"/>
      <c r="GS265" s="65"/>
      <c r="GT265" s="167"/>
      <c r="GU265" s="168"/>
      <c r="GV265" s="168"/>
      <c r="GW265" s="168"/>
      <c r="GX265" s="168"/>
      <c r="GY265" s="168"/>
      <c r="GZ265" s="168"/>
      <c r="HA265" s="168"/>
      <c r="HB265" s="168"/>
      <c r="HC265" s="168"/>
      <c r="HD265" s="168"/>
      <c r="HE265" s="168"/>
      <c r="HF265" s="168"/>
      <c r="HG265" s="168"/>
      <c r="HH265" s="168"/>
      <c r="HI265" s="168"/>
      <c r="HJ265" s="168"/>
      <c r="HK265" s="168"/>
      <c r="HL265" s="168"/>
      <c r="HM265" s="168"/>
      <c r="HN265" s="168"/>
      <c r="HO265" s="168"/>
      <c r="HP265" s="168"/>
      <c r="HQ265" s="168"/>
      <c r="HR265" s="168"/>
      <c r="HS265" s="168"/>
      <c r="HT265" s="168"/>
      <c r="HU265" s="168"/>
      <c r="HV265" s="168"/>
      <c r="HW265" s="168"/>
      <c r="HX265" s="168"/>
      <c r="HY265" s="168"/>
      <c r="HZ265" s="168"/>
      <c r="IA265" s="168"/>
      <c r="IB265" s="168"/>
      <c r="IC265" s="168"/>
      <c r="ID265" s="168"/>
      <c r="IE265" s="168"/>
      <c r="IF265" s="168"/>
      <c r="IG265" s="168"/>
      <c r="IH265" s="168"/>
      <c r="II265" s="168"/>
      <c r="IJ265" s="168"/>
      <c r="IK265" s="168"/>
      <c r="IL265" s="168"/>
      <c r="IM265" s="168"/>
      <c r="IN265" s="168"/>
      <c r="IO265" s="168"/>
      <c r="IP265" s="168"/>
      <c r="IQ265" s="168"/>
      <c r="IR265" s="168"/>
      <c r="IS265" s="168"/>
      <c r="IT265" s="168"/>
      <c r="IU265" s="168"/>
      <c r="IV265" s="168"/>
      <c r="IW265" s="168"/>
      <c r="IX265" s="168"/>
      <c r="IY265" s="168"/>
      <c r="IZ265" s="168"/>
      <c r="JA265" s="168"/>
      <c r="JB265" s="168"/>
      <c r="JC265" s="168"/>
      <c r="JD265" s="168"/>
      <c r="JE265" s="168"/>
      <c r="JF265" s="168"/>
      <c r="JG265" s="168"/>
      <c r="JH265" s="168"/>
      <c r="JI265" s="168"/>
      <c r="JJ265" s="168"/>
      <c r="JK265" s="168"/>
      <c r="JL265" s="168"/>
      <c r="JM265" s="168"/>
      <c r="JN265" s="168"/>
      <c r="JO265" s="168"/>
      <c r="JP265" s="168"/>
      <c r="JQ265" s="168"/>
      <c r="JR265" s="168"/>
      <c r="JS265" s="168"/>
      <c r="JT265" s="168"/>
      <c r="JU265" s="168"/>
      <c r="JV265" s="168"/>
      <c r="JW265" s="168"/>
      <c r="JX265" s="168"/>
      <c r="JY265" s="168"/>
      <c r="JZ265" s="168"/>
      <c r="KA265" s="168"/>
      <c r="KB265" s="168"/>
      <c r="KC265" s="168"/>
      <c r="KD265" s="168"/>
      <c r="KE265" s="168"/>
      <c r="KF265" s="168"/>
      <c r="KG265" s="168"/>
      <c r="KH265" s="168"/>
      <c r="KI265" s="168"/>
      <c r="KJ265" s="168"/>
      <c r="KK265" s="168"/>
      <c r="KL265" s="168"/>
      <c r="KM265" s="168"/>
      <c r="KN265" s="168"/>
      <c r="KO265" s="168"/>
      <c r="KP265" s="168"/>
      <c r="KQ265" s="168"/>
      <c r="KR265" s="168"/>
      <c r="KS265" s="168"/>
      <c r="KT265" s="168"/>
      <c r="KU265" s="168"/>
      <c r="KV265" s="168"/>
      <c r="KW265" s="168"/>
      <c r="KX265" s="168"/>
      <c r="KY265" s="168"/>
      <c r="KZ265" s="168"/>
      <c r="LA265" s="168"/>
      <c r="LB265" s="168"/>
      <c r="LC265" s="168"/>
      <c r="LD265" s="168"/>
      <c r="LE265" s="168"/>
      <c r="LF265" s="168"/>
      <c r="LG265" s="168"/>
      <c r="LH265" s="168"/>
      <c r="LI265" s="168"/>
      <c r="LJ265" s="168"/>
      <c r="LK265" s="168"/>
      <c r="LL265" s="168"/>
      <c r="LM265" s="168"/>
      <c r="LN265" s="168"/>
      <c r="LO265" s="168"/>
      <c r="LP265" s="606"/>
      <c r="LQ265" s="609"/>
      <c r="LR265" s="1319"/>
      <c r="LS265" s="1319"/>
    </row>
    <row r="266" spans="1:331" s="2" customFormat="1" ht="15" customHeight="1" x14ac:dyDescent="0.25">
      <c r="A266" s="283"/>
      <c r="B266" s="303"/>
      <c r="C266" s="301"/>
      <c r="D266" s="1287"/>
      <c r="E266" s="2298"/>
      <c r="F266" s="1812"/>
      <c r="G266" s="3342"/>
      <c r="H266" s="66"/>
      <c r="I266" s="1746"/>
      <c r="J266" s="1214"/>
      <c r="K266" s="105"/>
      <c r="L266" s="91"/>
      <c r="M266" s="92"/>
      <c r="N266" s="93"/>
      <c r="O266" s="94"/>
      <c r="P266" s="96"/>
      <c r="Q266" s="95"/>
      <c r="R266" s="993">
        <f t="shared" si="876"/>
        <v>0</v>
      </c>
      <c r="S266" s="23">
        <f t="shared" si="877"/>
        <v>0</v>
      </c>
      <c r="T266" s="24">
        <f t="shared" si="908"/>
        <v>0</v>
      </c>
      <c r="U266" s="24">
        <f t="shared" si="909"/>
        <v>0</v>
      </c>
      <c r="V266" s="24">
        <f t="shared" si="910"/>
        <v>0</v>
      </c>
      <c r="W266" s="24">
        <f t="shared" ca="1" si="911"/>
        <v>0</v>
      </c>
      <c r="X266" s="72">
        <f t="shared" ca="1" si="956"/>
        <v>0</v>
      </c>
      <c r="Y266" s="72">
        <f t="shared" si="912"/>
        <v>0</v>
      </c>
      <c r="Z266" s="24">
        <f t="shared" si="913"/>
        <v>0</v>
      </c>
      <c r="AA266" s="72">
        <f t="shared" si="957"/>
        <v>0</v>
      </c>
      <c r="AB266" s="24">
        <f t="shared" si="967"/>
        <v>0</v>
      </c>
      <c r="AC266" s="24">
        <f t="shared" ca="1" si="914"/>
        <v>0</v>
      </c>
      <c r="AD266" s="24">
        <f t="shared" si="886"/>
        <v>0</v>
      </c>
      <c r="AE266" s="2078">
        <f t="shared" si="961"/>
        <v>3</v>
      </c>
      <c r="AF266" s="2078">
        <f t="shared" si="962"/>
        <v>0</v>
      </c>
      <c r="AG266" s="2078">
        <f t="shared" si="963"/>
        <v>0</v>
      </c>
      <c r="AH266" s="2521">
        <f t="shared" si="887"/>
        <v>1</v>
      </c>
      <c r="AI266" s="25" t="str">
        <f t="shared" si="915"/>
        <v/>
      </c>
      <c r="AJ266" s="2521">
        <f t="shared" ca="1" si="882"/>
        <v>0</v>
      </c>
      <c r="AK266" s="2076">
        <f t="shared" ca="1" si="878"/>
        <v>0</v>
      </c>
      <c r="AL266" s="2078">
        <f>IF(ISBLANK(J266),0,ISERROR(MATCH(J266,'5  Control Accounts'!$FA$29:$FA$96,0))*1)</f>
        <v>0</v>
      </c>
      <c r="AM266" s="2076">
        <f t="shared" si="916"/>
        <v>0</v>
      </c>
      <c r="AN266" s="2078">
        <f t="shared" si="917"/>
        <v>1</v>
      </c>
      <c r="AO266" s="2079">
        <f t="shared" si="888"/>
        <v>1</v>
      </c>
      <c r="AP266" s="2079">
        <f t="shared" si="889"/>
        <v>0</v>
      </c>
      <c r="AQ266" s="2079">
        <f t="shared" si="890"/>
        <v>0</v>
      </c>
      <c r="AR266" s="2079">
        <f t="shared" si="891"/>
        <v>0</v>
      </c>
      <c r="AS266" s="2079">
        <f t="shared" si="892"/>
        <v>0</v>
      </c>
      <c r="AT266" s="2079">
        <f t="shared" si="893"/>
        <v>0</v>
      </c>
      <c r="AU266" s="2079">
        <f t="shared" si="894"/>
        <v>0</v>
      </c>
      <c r="AV266" s="2079">
        <f t="shared" si="895"/>
        <v>0</v>
      </c>
      <c r="AW266" s="2079">
        <f t="shared" si="896"/>
        <v>0</v>
      </c>
      <c r="AX266" s="2079">
        <f t="shared" si="897"/>
        <v>0</v>
      </c>
      <c r="AY266" s="2078">
        <f t="shared" si="918"/>
        <v>0</v>
      </c>
      <c r="AZ266" s="2078">
        <f t="shared" si="919"/>
        <v>0</v>
      </c>
      <c r="BA266" s="2078">
        <f t="shared" si="920"/>
        <v>0</v>
      </c>
      <c r="BB266" s="2078">
        <f t="shared" si="921"/>
        <v>0</v>
      </c>
      <c r="BC266" s="2078">
        <f t="shared" si="922"/>
        <v>0</v>
      </c>
      <c r="BD266" s="2078">
        <f t="shared" si="923"/>
        <v>0</v>
      </c>
      <c r="BE266" s="2078">
        <f t="shared" si="924"/>
        <v>0</v>
      </c>
      <c r="BF266" s="2078">
        <f t="shared" si="925"/>
        <v>0</v>
      </c>
      <c r="BG266" s="2078">
        <f t="shared" si="926"/>
        <v>0</v>
      </c>
      <c r="BH266" s="2078">
        <f t="shared" si="927"/>
        <v>0</v>
      </c>
      <c r="BI266" s="2078">
        <f t="shared" si="928"/>
        <v>0</v>
      </c>
      <c r="BJ266" s="2078">
        <f t="shared" si="929"/>
        <v>0</v>
      </c>
      <c r="BK266" s="2078">
        <f t="shared" si="930"/>
        <v>0</v>
      </c>
      <c r="BL266" s="2078">
        <f t="shared" si="931"/>
        <v>0</v>
      </c>
      <c r="BM266" s="2078">
        <f t="shared" si="932"/>
        <v>0</v>
      </c>
      <c r="BN266" s="2078">
        <f t="shared" si="933"/>
        <v>0</v>
      </c>
      <c r="BO266" s="2078">
        <f t="shared" si="934"/>
        <v>0</v>
      </c>
      <c r="BP266" s="2078">
        <f t="shared" si="935"/>
        <v>0</v>
      </c>
      <c r="BQ266" s="2078">
        <f t="shared" si="936"/>
        <v>0</v>
      </c>
      <c r="BR266" s="2078">
        <f t="shared" si="937"/>
        <v>0</v>
      </c>
      <c r="BS266" s="2079">
        <f t="shared" si="898"/>
        <v>1</v>
      </c>
      <c r="BT266" s="2079">
        <f t="shared" si="899"/>
        <v>0</v>
      </c>
      <c r="BU266" s="2079">
        <f t="shared" si="900"/>
        <v>0</v>
      </c>
      <c r="BV266" s="2079">
        <f t="shared" si="901"/>
        <v>0</v>
      </c>
      <c r="BW266" s="2079">
        <f t="shared" si="902"/>
        <v>0</v>
      </c>
      <c r="BX266" s="2079">
        <f t="shared" si="903"/>
        <v>0</v>
      </c>
      <c r="BY266" s="2079">
        <f t="shared" si="904"/>
        <v>0</v>
      </c>
      <c r="BZ266" s="2079">
        <f t="shared" si="905"/>
        <v>0</v>
      </c>
      <c r="CA266" s="2079">
        <f t="shared" si="906"/>
        <v>0</v>
      </c>
      <c r="CB266" s="2079">
        <f t="shared" si="907"/>
        <v>0</v>
      </c>
      <c r="CC266" s="2078">
        <f t="shared" ca="1" si="938"/>
        <v>0</v>
      </c>
      <c r="CD266" s="2078">
        <f t="shared" ca="1" si="939"/>
        <v>0</v>
      </c>
      <c r="CE266" s="2078">
        <f t="shared" ca="1" si="940"/>
        <v>0</v>
      </c>
      <c r="CF266" s="2078">
        <f t="shared" ca="1" si="941"/>
        <v>0</v>
      </c>
      <c r="CG266" s="2078">
        <f t="shared" ca="1" si="942"/>
        <v>0</v>
      </c>
      <c r="CH266" s="2078">
        <f t="shared" ca="1" si="943"/>
        <v>0</v>
      </c>
      <c r="CI266" s="2078">
        <f t="shared" ca="1" si="944"/>
        <v>0</v>
      </c>
      <c r="CJ266" s="2078">
        <f t="shared" ca="1" si="945"/>
        <v>0</v>
      </c>
      <c r="CK266" s="2078">
        <f t="shared" ca="1" si="946"/>
        <v>0</v>
      </c>
      <c r="CL266" s="2078">
        <f t="shared" ca="1" si="947"/>
        <v>0</v>
      </c>
      <c r="CM266" s="2078">
        <f t="shared" si="968"/>
        <v>1</v>
      </c>
      <c r="CN266" s="2078">
        <f t="shared" si="969"/>
        <v>1</v>
      </c>
      <c r="CO266" s="2078">
        <f t="shared" si="958"/>
        <v>1</v>
      </c>
      <c r="CP266" s="2078">
        <f t="shared" si="948"/>
        <v>1</v>
      </c>
      <c r="CQ266" s="2078">
        <f t="shared" si="959"/>
        <v>0</v>
      </c>
      <c r="CR266" s="2078">
        <f t="shared" si="879"/>
        <v>0</v>
      </c>
      <c r="CS266" s="2078">
        <f t="shared" si="949"/>
        <v>0</v>
      </c>
      <c r="CT266" s="2078">
        <f t="shared" si="960"/>
        <v>1</v>
      </c>
      <c r="CU266" s="2078">
        <f t="shared" si="950"/>
        <v>1</v>
      </c>
      <c r="CV266" s="2078">
        <f t="shared" si="970"/>
        <v>0</v>
      </c>
      <c r="CW266" s="2078">
        <f>IF(OR(AE266&lt;&gt;3,F266="Exclude"),0,IF(ISERROR(MATCH($E266,'4 Sign-off'!$S$123:$X$123,0)),0,1))</f>
        <v>0</v>
      </c>
      <c r="CX266" s="2078">
        <f t="shared" si="883"/>
        <v>0</v>
      </c>
      <c r="CY266" s="2078">
        <f t="shared" si="971"/>
        <v>0</v>
      </c>
      <c r="CZ266" s="2993">
        <f t="shared" ca="1" si="880"/>
        <v>0</v>
      </c>
      <c r="DA266" s="3037">
        <f t="shared" ca="1" si="881"/>
        <v>0</v>
      </c>
      <c r="DB266" s="1664"/>
      <c r="DC266" s="1320"/>
      <c r="DD266" s="589"/>
      <c r="DE266" s="1321"/>
      <c r="DF266" s="107"/>
      <c r="DG266" s="112"/>
      <c r="DH266" s="140"/>
      <c r="DI266" s="22"/>
      <c r="DJ266" s="145"/>
      <c r="DK266" s="137"/>
      <c r="DL266" s="137"/>
      <c r="DM266" s="137"/>
      <c r="DN266" s="137"/>
      <c r="DO266" s="137"/>
      <c r="DP266" s="137"/>
      <c r="DQ266" s="137"/>
      <c r="DR266" s="137"/>
      <c r="DS266" s="137"/>
      <c r="DT266" s="137"/>
      <c r="DU266" s="137"/>
      <c r="DV266" s="137"/>
      <c r="DW266" s="137"/>
      <c r="DX266" s="137"/>
      <c r="DY266" s="137"/>
      <c r="DZ266" s="137"/>
      <c r="EA266" s="137"/>
      <c r="EB266" s="137"/>
      <c r="EC266" s="137"/>
      <c r="ED266" s="137"/>
      <c r="EE266" s="137"/>
      <c r="EF266" s="137"/>
      <c r="EG266" s="137"/>
      <c r="EH266" s="137"/>
      <c r="EI266" s="137"/>
      <c r="EJ266" s="137"/>
      <c r="EK266" s="137"/>
      <c r="EL266" s="137"/>
      <c r="EM266" s="137"/>
      <c r="EN266" s="137"/>
      <c r="EO266" s="137"/>
      <c r="EP266" s="137"/>
      <c r="EQ266" s="137"/>
      <c r="ER266" s="137"/>
      <c r="ES266" s="137"/>
      <c r="ET266" s="137"/>
      <c r="EU266" s="137"/>
      <c r="EV266" s="137"/>
      <c r="EW266" s="137"/>
      <c r="EX266" s="137"/>
      <c r="EY266" s="137"/>
      <c r="EZ266" s="137"/>
      <c r="FA266" s="137"/>
      <c r="FB266" s="137"/>
      <c r="FC266" s="137"/>
      <c r="FD266" s="137"/>
      <c r="FE266" s="137"/>
      <c r="FF266" s="137"/>
      <c r="FG266" s="860"/>
      <c r="FH266" s="863"/>
      <c r="FI266" s="1318"/>
      <c r="FJ266" s="126"/>
      <c r="FK266" s="127"/>
      <c r="FL266" s="128" t="str">
        <f t="shared" si="951"/>
        <v xml:space="preserve">    </v>
      </c>
      <c r="FM266" s="128"/>
      <c r="FN266" s="1686">
        <f t="shared" si="952"/>
        <v>0</v>
      </c>
      <c r="FO266" s="46">
        <f t="shared" si="972"/>
        <v>0</v>
      </c>
      <c r="FP266" s="46">
        <f t="shared" si="977"/>
        <v>1</v>
      </c>
      <c r="FQ266" s="75">
        <f t="shared" si="953"/>
        <v>0</v>
      </c>
      <c r="FR266" s="46">
        <f t="shared" si="964"/>
        <v>0</v>
      </c>
      <c r="FS266" s="46">
        <f t="shared" si="965"/>
        <v>1</v>
      </c>
      <c r="FT266" s="75">
        <f t="shared" si="954"/>
        <v>0</v>
      </c>
      <c r="FU266" s="2603">
        <f t="shared" si="973"/>
        <v>0</v>
      </c>
      <c r="FV266" s="2607">
        <f t="shared" si="974"/>
        <v>0</v>
      </c>
      <c r="FW266" s="2603">
        <f t="shared" si="975"/>
        <v>0</v>
      </c>
      <c r="FX266" s="2631">
        <f t="shared" si="976"/>
        <v>0</v>
      </c>
      <c r="FY266" s="81" t="e">
        <f t="shared" si="966"/>
        <v>#N/A</v>
      </c>
      <c r="FZ266" s="64" t="e">
        <f t="array" ref="FZ266">MATCH(1,($GT266:$LQ266&gt;0)*$GT$25:$LQ$25,0)</f>
        <v>#N/A</v>
      </c>
      <c r="GA266" s="64" t="e">
        <f t="array" ref="GA266">MATCH(2,1/(GT266:LQ266&gt;0))</f>
        <v>#N/A</v>
      </c>
      <c r="GB266" s="64">
        <f t="shared" si="955"/>
        <v>-1</v>
      </c>
      <c r="GC266" s="46"/>
      <c r="GD266" s="613"/>
      <c r="GE266" s="613"/>
      <c r="GF266" s="613"/>
      <c r="GG266" s="613"/>
      <c r="GH266" s="613"/>
      <c r="GI266" s="613"/>
      <c r="GJ266" s="613"/>
      <c r="GK266" s="613"/>
      <c r="GL266" s="613"/>
      <c r="GM266" s="613"/>
      <c r="GN266" s="385">
        <f t="shared" si="884"/>
        <v>0</v>
      </c>
      <c r="GO266" s="386">
        <f t="shared" si="885"/>
        <v>0</v>
      </c>
      <c r="GP266" s="2635"/>
      <c r="GQ266" s="175"/>
      <c r="GR266" s="172"/>
      <c r="GS266" s="65"/>
      <c r="GT266" s="167"/>
      <c r="GU266" s="168"/>
      <c r="GV266" s="168"/>
      <c r="GW266" s="168"/>
      <c r="GX266" s="168"/>
      <c r="GY266" s="168"/>
      <c r="GZ266" s="168"/>
      <c r="HA266" s="168"/>
      <c r="HB266" s="168"/>
      <c r="HC266" s="168"/>
      <c r="HD266" s="168"/>
      <c r="HE266" s="168"/>
      <c r="HF266" s="168"/>
      <c r="HG266" s="168"/>
      <c r="HH266" s="168"/>
      <c r="HI266" s="168"/>
      <c r="HJ266" s="168"/>
      <c r="HK266" s="168"/>
      <c r="HL266" s="168"/>
      <c r="HM266" s="168"/>
      <c r="HN266" s="168"/>
      <c r="HO266" s="168"/>
      <c r="HP266" s="168"/>
      <c r="HQ266" s="168"/>
      <c r="HR266" s="168"/>
      <c r="HS266" s="168"/>
      <c r="HT266" s="168"/>
      <c r="HU266" s="168"/>
      <c r="HV266" s="168"/>
      <c r="HW266" s="168"/>
      <c r="HX266" s="168"/>
      <c r="HY266" s="168"/>
      <c r="HZ266" s="168"/>
      <c r="IA266" s="168"/>
      <c r="IB266" s="168"/>
      <c r="IC266" s="168"/>
      <c r="ID266" s="168"/>
      <c r="IE266" s="168"/>
      <c r="IF266" s="168"/>
      <c r="IG266" s="168"/>
      <c r="IH266" s="168"/>
      <c r="II266" s="168"/>
      <c r="IJ266" s="168"/>
      <c r="IK266" s="168"/>
      <c r="IL266" s="168"/>
      <c r="IM266" s="168"/>
      <c r="IN266" s="168"/>
      <c r="IO266" s="168"/>
      <c r="IP266" s="168"/>
      <c r="IQ266" s="168"/>
      <c r="IR266" s="168"/>
      <c r="IS266" s="168"/>
      <c r="IT266" s="168"/>
      <c r="IU266" s="168"/>
      <c r="IV266" s="168"/>
      <c r="IW266" s="168"/>
      <c r="IX266" s="168"/>
      <c r="IY266" s="168"/>
      <c r="IZ266" s="168"/>
      <c r="JA266" s="168"/>
      <c r="JB266" s="168"/>
      <c r="JC266" s="168"/>
      <c r="JD266" s="168"/>
      <c r="JE266" s="168"/>
      <c r="JF266" s="168"/>
      <c r="JG266" s="168"/>
      <c r="JH266" s="168"/>
      <c r="JI266" s="168"/>
      <c r="JJ266" s="168"/>
      <c r="JK266" s="168"/>
      <c r="JL266" s="168"/>
      <c r="JM266" s="168"/>
      <c r="JN266" s="168"/>
      <c r="JO266" s="168"/>
      <c r="JP266" s="168"/>
      <c r="JQ266" s="168"/>
      <c r="JR266" s="168"/>
      <c r="JS266" s="168"/>
      <c r="JT266" s="168"/>
      <c r="JU266" s="168"/>
      <c r="JV266" s="168"/>
      <c r="JW266" s="168"/>
      <c r="JX266" s="168"/>
      <c r="JY266" s="168"/>
      <c r="JZ266" s="168"/>
      <c r="KA266" s="168"/>
      <c r="KB266" s="168"/>
      <c r="KC266" s="168"/>
      <c r="KD266" s="168"/>
      <c r="KE266" s="168"/>
      <c r="KF266" s="168"/>
      <c r="KG266" s="168"/>
      <c r="KH266" s="168"/>
      <c r="KI266" s="168"/>
      <c r="KJ266" s="168"/>
      <c r="KK266" s="168"/>
      <c r="KL266" s="168"/>
      <c r="KM266" s="168"/>
      <c r="KN266" s="168"/>
      <c r="KO266" s="168"/>
      <c r="KP266" s="168"/>
      <c r="KQ266" s="168"/>
      <c r="KR266" s="168"/>
      <c r="KS266" s="168"/>
      <c r="KT266" s="168"/>
      <c r="KU266" s="168"/>
      <c r="KV266" s="168"/>
      <c r="KW266" s="168"/>
      <c r="KX266" s="168"/>
      <c r="KY266" s="168"/>
      <c r="KZ266" s="168"/>
      <c r="LA266" s="168"/>
      <c r="LB266" s="168"/>
      <c r="LC266" s="168"/>
      <c r="LD266" s="168"/>
      <c r="LE266" s="168"/>
      <c r="LF266" s="168"/>
      <c r="LG266" s="168"/>
      <c r="LH266" s="168"/>
      <c r="LI266" s="168"/>
      <c r="LJ266" s="168"/>
      <c r="LK266" s="168"/>
      <c r="LL266" s="168"/>
      <c r="LM266" s="168"/>
      <c r="LN266" s="168"/>
      <c r="LO266" s="168"/>
      <c r="LP266" s="606"/>
      <c r="LQ266" s="609"/>
      <c r="LR266" s="1319"/>
      <c r="LS266" s="1319"/>
    </row>
    <row r="267" spans="1:331" s="2" customFormat="1" ht="15" customHeight="1" x14ac:dyDescent="0.25">
      <c r="A267" s="283"/>
      <c r="B267" s="303"/>
      <c r="C267" s="301"/>
      <c r="D267" s="1287"/>
      <c r="E267" s="2298"/>
      <c r="F267" s="1812"/>
      <c r="G267" s="3342"/>
      <c r="H267" s="66"/>
      <c r="I267" s="1746"/>
      <c r="J267" s="1214"/>
      <c r="K267" s="105"/>
      <c r="L267" s="91"/>
      <c r="M267" s="92"/>
      <c r="N267" s="93"/>
      <c r="O267" s="94"/>
      <c r="P267" s="96"/>
      <c r="Q267" s="95"/>
      <c r="R267" s="993">
        <f t="shared" si="876"/>
        <v>0</v>
      </c>
      <c r="S267" s="23">
        <f t="shared" si="877"/>
        <v>0</v>
      </c>
      <c r="T267" s="24">
        <f t="shared" si="908"/>
        <v>0</v>
      </c>
      <c r="U267" s="24">
        <f t="shared" si="909"/>
        <v>0</v>
      </c>
      <c r="V267" s="24">
        <f t="shared" si="910"/>
        <v>0</v>
      </c>
      <c r="W267" s="24">
        <f t="shared" ca="1" si="911"/>
        <v>0</v>
      </c>
      <c r="X267" s="72">
        <f t="shared" ca="1" si="956"/>
        <v>0</v>
      </c>
      <c r="Y267" s="72">
        <f t="shared" si="912"/>
        <v>0</v>
      </c>
      <c r="Z267" s="24">
        <f t="shared" si="913"/>
        <v>0</v>
      </c>
      <c r="AA267" s="72">
        <f t="shared" si="957"/>
        <v>0</v>
      </c>
      <c r="AB267" s="24">
        <f t="shared" si="967"/>
        <v>0</v>
      </c>
      <c r="AC267" s="24">
        <f t="shared" ca="1" si="914"/>
        <v>0</v>
      </c>
      <c r="AD267" s="24">
        <f t="shared" si="886"/>
        <v>0</v>
      </c>
      <c r="AE267" s="2078">
        <f t="shared" si="961"/>
        <v>3</v>
      </c>
      <c r="AF267" s="2078">
        <f t="shared" si="962"/>
        <v>0</v>
      </c>
      <c r="AG267" s="2078">
        <f t="shared" si="963"/>
        <v>0</v>
      </c>
      <c r="AH267" s="2521">
        <f t="shared" si="887"/>
        <v>1</v>
      </c>
      <c r="AI267" s="25" t="str">
        <f t="shared" si="915"/>
        <v/>
      </c>
      <c r="AJ267" s="2521">
        <f t="shared" ca="1" si="882"/>
        <v>0</v>
      </c>
      <c r="AK267" s="2076">
        <f t="shared" ca="1" si="878"/>
        <v>0</v>
      </c>
      <c r="AL267" s="2078">
        <f>IF(ISBLANK(J267),0,ISERROR(MATCH(J267,'5  Control Accounts'!$FA$29:$FA$96,0))*1)</f>
        <v>0</v>
      </c>
      <c r="AM267" s="2076">
        <f t="shared" si="916"/>
        <v>0</v>
      </c>
      <c r="AN267" s="2078">
        <f t="shared" si="917"/>
        <v>1</v>
      </c>
      <c r="AO267" s="2079">
        <f t="shared" si="888"/>
        <v>1</v>
      </c>
      <c r="AP267" s="2079">
        <f t="shared" si="889"/>
        <v>0</v>
      </c>
      <c r="AQ267" s="2079">
        <f t="shared" si="890"/>
        <v>0</v>
      </c>
      <c r="AR267" s="2079">
        <f t="shared" si="891"/>
        <v>0</v>
      </c>
      <c r="AS267" s="2079">
        <f t="shared" si="892"/>
        <v>0</v>
      </c>
      <c r="AT267" s="2079">
        <f t="shared" si="893"/>
        <v>0</v>
      </c>
      <c r="AU267" s="2079">
        <f t="shared" si="894"/>
        <v>0</v>
      </c>
      <c r="AV267" s="2079">
        <f t="shared" si="895"/>
        <v>0</v>
      </c>
      <c r="AW267" s="2079">
        <f t="shared" si="896"/>
        <v>0</v>
      </c>
      <c r="AX267" s="2079">
        <f t="shared" si="897"/>
        <v>0</v>
      </c>
      <c r="AY267" s="2078">
        <f t="shared" si="918"/>
        <v>0</v>
      </c>
      <c r="AZ267" s="2078">
        <f t="shared" si="919"/>
        <v>0</v>
      </c>
      <c r="BA267" s="2078">
        <f t="shared" si="920"/>
        <v>0</v>
      </c>
      <c r="BB267" s="2078">
        <f t="shared" si="921"/>
        <v>0</v>
      </c>
      <c r="BC267" s="2078">
        <f t="shared" si="922"/>
        <v>0</v>
      </c>
      <c r="BD267" s="2078">
        <f t="shared" si="923"/>
        <v>0</v>
      </c>
      <c r="BE267" s="2078">
        <f t="shared" si="924"/>
        <v>0</v>
      </c>
      <c r="BF267" s="2078">
        <f t="shared" si="925"/>
        <v>0</v>
      </c>
      <c r="BG267" s="2078">
        <f t="shared" si="926"/>
        <v>0</v>
      </c>
      <c r="BH267" s="2078">
        <f t="shared" si="927"/>
        <v>0</v>
      </c>
      <c r="BI267" s="2078">
        <f t="shared" si="928"/>
        <v>0</v>
      </c>
      <c r="BJ267" s="2078">
        <f t="shared" si="929"/>
        <v>0</v>
      </c>
      <c r="BK267" s="2078">
        <f t="shared" si="930"/>
        <v>0</v>
      </c>
      <c r="BL267" s="2078">
        <f t="shared" si="931"/>
        <v>0</v>
      </c>
      <c r="BM267" s="2078">
        <f t="shared" si="932"/>
        <v>0</v>
      </c>
      <c r="BN267" s="2078">
        <f t="shared" si="933"/>
        <v>0</v>
      </c>
      <c r="BO267" s="2078">
        <f t="shared" si="934"/>
        <v>0</v>
      </c>
      <c r="BP267" s="2078">
        <f t="shared" si="935"/>
        <v>0</v>
      </c>
      <c r="BQ267" s="2078">
        <f t="shared" si="936"/>
        <v>0</v>
      </c>
      <c r="BR267" s="2078">
        <f t="shared" si="937"/>
        <v>0</v>
      </c>
      <c r="BS267" s="2079">
        <f t="shared" si="898"/>
        <v>1</v>
      </c>
      <c r="BT267" s="2079">
        <f t="shared" si="899"/>
        <v>0</v>
      </c>
      <c r="BU267" s="2079">
        <f t="shared" si="900"/>
        <v>0</v>
      </c>
      <c r="BV267" s="2079">
        <f t="shared" si="901"/>
        <v>0</v>
      </c>
      <c r="BW267" s="2079">
        <f t="shared" si="902"/>
        <v>0</v>
      </c>
      <c r="BX267" s="2079">
        <f t="shared" si="903"/>
        <v>0</v>
      </c>
      <c r="BY267" s="2079">
        <f t="shared" si="904"/>
        <v>0</v>
      </c>
      <c r="BZ267" s="2079">
        <f t="shared" si="905"/>
        <v>0</v>
      </c>
      <c r="CA267" s="2079">
        <f t="shared" si="906"/>
        <v>0</v>
      </c>
      <c r="CB267" s="2079">
        <f t="shared" si="907"/>
        <v>0</v>
      </c>
      <c r="CC267" s="2078">
        <f t="shared" ca="1" si="938"/>
        <v>0</v>
      </c>
      <c r="CD267" s="2078">
        <f t="shared" ca="1" si="939"/>
        <v>0</v>
      </c>
      <c r="CE267" s="2078">
        <f t="shared" ca="1" si="940"/>
        <v>0</v>
      </c>
      <c r="CF267" s="2078">
        <f t="shared" ca="1" si="941"/>
        <v>0</v>
      </c>
      <c r="CG267" s="2078">
        <f t="shared" ca="1" si="942"/>
        <v>0</v>
      </c>
      <c r="CH267" s="2078">
        <f t="shared" ca="1" si="943"/>
        <v>0</v>
      </c>
      <c r="CI267" s="2078">
        <f t="shared" ca="1" si="944"/>
        <v>0</v>
      </c>
      <c r="CJ267" s="2078">
        <f t="shared" ca="1" si="945"/>
        <v>0</v>
      </c>
      <c r="CK267" s="2078">
        <f t="shared" ca="1" si="946"/>
        <v>0</v>
      </c>
      <c r="CL267" s="2078">
        <f t="shared" ca="1" si="947"/>
        <v>0</v>
      </c>
      <c r="CM267" s="2078">
        <f t="shared" si="968"/>
        <v>1</v>
      </c>
      <c r="CN267" s="2078">
        <f t="shared" si="969"/>
        <v>1</v>
      </c>
      <c r="CO267" s="2078">
        <f t="shared" si="958"/>
        <v>1</v>
      </c>
      <c r="CP267" s="2078">
        <f t="shared" si="948"/>
        <v>1</v>
      </c>
      <c r="CQ267" s="2078">
        <f t="shared" si="959"/>
        <v>0</v>
      </c>
      <c r="CR267" s="2078">
        <f t="shared" si="879"/>
        <v>0</v>
      </c>
      <c r="CS267" s="2078">
        <f t="shared" si="949"/>
        <v>0</v>
      </c>
      <c r="CT267" s="2078">
        <f t="shared" si="960"/>
        <v>1</v>
      </c>
      <c r="CU267" s="2078">
        <f t="shared" si="950"/>
        <v>1</v>
      </c>
      <c r="CV267" s="2078">
        <f t="shared" si="970"/>
        <v>0</v>
      </c>
      <c r="CW267" s="2078">
        <f>IF(OR(AE267&lt;&gt;3,F267="Exclude"),0,IF(ISERROR(MATCH($E267,'4 Sign-off'!$S$123:$X$123,0)),0,1))</f>
        <v>0</v>
      </c>
      <c r="CX267" s="2078">
        <f t="shared" si="883"/>
        <v>0</v>
      </c>
      <c r="CY267" s="2078">
        <f t="shared" si="971"/>
        <v>0</v>
      </c>
      <c r="CZ267" s="2993">
        <f t="shared" ca="1" si="880"/>
        <v>0</v>
      </c>
      <c r="DA267" s="3037">
        <f t="shared" ca="1" si="881"/>
        <v>0</v>
      </c>
      <c r="DB267" s="1664"/>
      <c r="DC267" s="1320"/>
      <c r="DD267" s="589"/>
      <c r="DE267" s="1321"/>
      <c r="DF267" s="107"/>
      <c r="DG267" s="112"/>
      <c r="DH267" s="140"/>
      <c r="DI267" s="22"/>
      <c r="DJ267" s="145"/>
      <c r="DK267" s="137"/>
      <c r="DL267" s="137"/>
      <c r="DM267" s="137"/>
      <c r="DN267" s="137"/>
      <c r="DO267" s="137"/>
      <c r="DP267" s="137"/>
      <c r="DQ267" s="137"/>
      <c r="DR267" s="137"/>
      <c r="DS267" s="137"/>
      <c r="DT267" s="137"/>
      <c r="DU267" s="137"/>
      <c r="DV267" s="137"/>
      <c r="DW267" s="137"/>
      <c r="DX267" s="137"/>
      <c r="DY267" s="137"/>
      <c r="DZ267" s="137"/>
      <c r="EA267" s="137"/>
      <c r="EB267" s="137"/>
      <c r="EC267" s="137"/>
      <c r="ED267" s="137"/>
      <c r="EE267" s="137"/>
      <c r="EF267" s="137"/>
      <c r="EG267" s="137"/>
      <c r="EH267" s="137"/>
      <c r="EI267" s="137"/>
      <c r="EJ267" s="137"/>
      <c r="EK267" s="137"/>
      <c r="EL267" s="137"/>
      <c r="EM267" s="137"/>
      <c r="EN267" s="137"/>
      <c r="EO267" s="137"/>
      <c r="EP267" s="137"/>
      <c r="EQ267" s="137"/>
      <c r="ER267" s="137"/>
      <c r="ES267" s="137"/>
      <c r="ET267" s="137"/>
      <c r="EU267" s="137"/>
      <c r="EV267" s="137"/>
      <c r="EW267" s="137"/>
      <c r="EX267" s="137"/>
      <c r="EY267" s="137"/>
      <c r="EZ267" s="137"/>
      <c r="FA267" s="137"/>
      <c r="FB267" s="137"/>
      <c r="FC267" s="137"/>
      <c r="FD267" s="137"/>
      <c r="FE267" s="137"/>
      <c r="FF267" s="137"/>
      <c r="FG267" s="860"/>
      <c r="FH267" s="863"/>
      <c r="FI267" s="1318"/>
      <c r="FJ267" s="126"/>
      <c r="FK267" s="127"/>
      <c r="FL267" s="128" t="str">
        <f t="shared" si="951"/>
        <v xml:space="preserve">    </v>
      </c>
      <c r="FM267" s="128"/>
      <c r="FN267" s="1686">
        <f t="shared" si="952"/>
        <v>0</v>
      </c>
      <c r="FO267" s="46">
        <f t="shared" si="972"/>
        <v>0</v>
      </c>
      <c r="FP267" s="46">
        <f t="shared" si="977"/>
        <v>1</v>
      </c>
      <c r="FQ267" s="75">
        <f t="shared" si="953"/>
        <v>0</v>
      </c>
      <c r="FR267" s="46">
        <f t="shared" si="964"/>
        <v>0</v>
      </c>
      <c r="FS267" s="46">
        <f t="shared" si="965"/>
        <v>1</v>
      </c>
      <c r="FT267" s="75">
        <f t="shared" si="954"/>
        <v>0</v>
      </c>
      <c r="FU267" s="2603">
        <f t="shared" si="973"/>
        <v>0</v>
      </c>
      <c r="FV267" s="2607">
        <f t="shared" si="974"/>
        <v>0</v>
      </c>
      <c r="FW267" s="2603">
        <f t="shared" si="975"/>
        <v>0</v>
      </c>
      <c r="FX267" s="2631">
        <f t="shared" si="976"/>
        <v>0</v>
      </c>
      <c r="FY267" s="81" t="e">
        <f t="shared" si="966"/>
        <v>#N/A</v>
      </c>
      <c r="FZ267" s="64" t="e">
        <f t="array" ref="FZ267">MATCH(1,($GT267:$LQ267&gt;0)*$GT$25:$LQ$25,0)</f>
        <v>#N/A</v>
      </c>
      <c r="GA267" s="64" t="e">
        <f t="array" ref="GA267">MATCH(2,1/(GT267:LQ267&gt;0))</f>
        <v>#N/A</v>
      </c>
      <c r="GB267" s="64">
        <f t="shared" si="955"/>
        <v>-1</v>
      </c>
      <c r="GC267" s="46"/>
      <c r="GD267" s="613"/>
      <c r="GE267" s="613"/>
      <c r="GF267" s="613"/>
      <c r="GG267" s="613"/>
      <c r="GH267" s="613"/>
      <c r="GI267" s="613"/>
      <c r="GJ267" s="613"/>
      <c r="GK267" s="613"/>
      <c r="GL267" s="613"/>
      <c r="GM267" s="613"/>
      <c r="GN267" s="385">
        <f t="shared" si="884"/>
        <v>0</v>
      </c>
      <c r="GO267" s="386">
        <f t="shared" si="885"/>
        <v>0</v>
      </c>
      <c r="GP267" s="2635"/>
      <c r="GQ267" s="175"/>
      <c r="GR267" s="172"/>
      <c r="GS267" s="65"/>
      <c r="GT267" s="167"/>
      <c r="GU267" s="168"/>
      <c r="GV267" s="168"/>
      <c r="GW267" s="168"/>
      <c r="GX267" s="168"/>
      <c r="GY267" s="168"/>
      <c r="GZ267" s="168"/>
      <c r="HA267" s="168"/>
      <c r="HB267" s="168"/>
      <c r="HC267" s="168"/>
      <c r="HD267" s="168"/>
      <c r="HE267" s="168"/>
      <c r="HF267" s="168"/>
      <c r="HG267" s="168"/>
      <c r="HH267" s="168"/>
      <c r="HI267" s="168"/>
      <c r="HJ267" s="168"/>
      <c r="HK267" s="168"/>
      <c r="HL267" s="168"/>
      <c r="HM267" s="168"/>
      <c r="HN267" s="168"/>
      <c r="HO267" s="168"/>
      <c r="HP267" s="168"/>
      <c r="HQ267" s="168"/>
      <c r="HR267" s="168"/>
      <c r="HS267" s="168"/>
      <c r="HT267" s="168"/>
      <c r="HU267" s="168"/>
      <c r="HV267" s="168"/>
      <c r="HW267" s="168"/>
      <c r="HX267" s="168"/>
      <c r="HY267" s="168"/>
      <c r="HZ267" s="168"/>
      <c r="IA267" s="168"/>
      <c r="IB267" s="168"/>
      <c r="IC267" s="168"/>
      <c r="ID267" s="168"/>
      <c r="IE267" s="168"/>
      <c r="IF267" s="168"/>
      <c r="IG267" s="168"/>
      <c r="IH267" s="168"/>
      <c r="II267" s="168"/>
      <c r="IJ267" s="168"/>
      <c r="IK267" s="168"/>
      <c r="IL267" s="168"/>
      <c r="IM267" s="168"/>
      <c r="IN267" s="168"/>
      <c r="IO267" s="168"/>
      <c r="IP267" s="168"/>
      <c r="IQ267" s="168"/>
      <c r="IR267" s="168"/>
      <c r="IS267" s="168"/>
      <c r="IT267" s="168"/>
      <c r="IU267" s="168"/>
      <c r="IV267" s="168"/>
      <c r="IW267" s="168"/>
      <c r="IX267" s="168"/>
      <c r="IY267" s="168"/>
      <c r="IZ267" s="168"/>
      <c r="JA267" s="168"/>
      <c r="JB267" s="168"/>
      <c r="JC267" s="168"/>
      <c r="JD267" s="168"/>
      <c r="JE267" s="168"/>
      <c r="JF267" s="168"/>
      <c r="JG267" s="168"/>
      <c r="JH267" s="168"/>
      <c r="JI267" s="168"/>
      <c r="JJ267" s="168"/>
      <c r="JK267" s="168"/>
      <c r="JL267" s="168"/>
      <c r="JM267" s="168"/>
      <c r="JN267" s="168"/>
      <c r="JO267" s="168"/>
      <c r="JP267" s="168"/>
      <c r="JQ267" s="168"/>
      <c r="JR267" s="168"/>
      <c r="JS267" s="168"/>
      <c r="JT267" s="168"/>
      <c r="JU267" s="168"/>
      <c r="JV267" s="168"/>
      <c r="JW267" s="168"/>
      <c r="JX267" s="168"/>
      <c r="JY267" s="168"/>
      <c r="JZ267" s="168"/>
      <c r="KA267" s="168"/>
      <c r="KB267" s="168"/>
      <c r="KC267" s="168"/>
      <c r="KD267" s="168"/>
      <c r="KE267" s="168"/>
      <c r="KF267" s="168"/>
      <c r="KG267" s="168"/>
      <c r="KH267" s="168"/>
      <c r="KI267" s="168"/>
      <c r="KJ267" s="168"/>
      <c r="KK267" s="168"/>
      <c r="KL267" s="168"/>
      <c r="KM267" s="168"/>
      <c r="KN267" s="168"/>
      <c r="KO267" s="168"/>
      <c r="KP267" s="168"/>
      <c r="KQ267" s="168"/>
      <c r="KR267" s="168"/>
      <c r="KS267" s="168"/>
      <c r="KT267" s="168"/>
      <c r="KU267" s="168"/>
      <c r="KV267" s="168"/>
      <c r="KW267" s="168"/>
      <c r="KX267" s="168"/>
      <c r="KY267" s="168"/>
      <c r="KZ267" s="168"/>
      <c r="LA267" s="168"/>
      <c r="LB267" s="168"/>
      <c r="LC267" s="168"/>
      <c r="LD267" s="168"/>
      <c r="LE267" s="168"/>
      <c r="LF267" s="168"/>
      <c r="LG267" s="168"/>
      <c r="LH267" s="168"/>
      <c r="LI267" s="168"/>
      <c r="LJ267" s="168"/>
      <c r="LK267" s="168"/>
      <c r="LL267" s="168"/>
      <c r="LM267" s="168"/>
      <c r="LN267" s="168"/>
      <c r="LO267" s="168"/>
      <c r="LP267" s="606"/>
      <c r="LQ267" s="609"/>
      <c r="LR267" s="1319"/>
      <c r="LS267" s="1319"/>
    </row>
    <row r="268" spans="1:331" s="2" customFormat="1" ht="15" customHeight="1" x14ac:dyDescent="0.25">
      <c r="A268" s="283"/>
      <c r="B268" s="303"/>
      <c r="C268" s="301"/>
      <c r="D268" s="1287"/>
      <c r="E268" s="2298"/>
      <c r="F268" s="1812"/>
      <c r="G268" s="3342"/>
      <c r="H268" s="66"/>
      <c r="I268" s="1746"/>
      <c r="J268" s="1214"/>
      <c r="K268" s="105"/>
      <c r="L268" s="91"/>
      <c r="M268" s="92"/>
      <c r="N268" s="93"/>
      <c r="O268" s="94"/>
      <c r="P268" s="96"/>
      <c r="Q268" s="95"/>
      <c r="R268" s="993">
        <f t="shared" si="876"/>
        <v>0</v>
      </c>
      <c r="S268" s="23">
        <f t="shared" si="877"/>
        <v>0</v>
      </c>
      <c r="T268" s="24">
        <f t="shared" si="908"/>
        <v>0</v>
      </c>
      <c r="U268" s="24">
        <f t="shared" si="909"/>
        <v>0</v>
      </c>
      <c r="V268" s="24">
        <f t="shared" si="910"/>
        <v>0</v>
      </c>
      <c r="W268" s="24">
        <f t="shared" ca="1" si="911"/>
        <v>0</v>
      </c>
      <c r="X268" s="72">
        <f t="shared" ca="1" si="956"/>
        <v>0</v>
      </c>
      <c r="Y268" s="72">
        <f t="shared" si="912"/>
        <v>0</v>
      </c>
      <c r="Z268" s="24">
        <f t="shared" si="913"/>
        <v>0</v>
      </c>
      <c r="AA268" s="72">
        <f t="shared" si="957"/>
        <v>0</v>
      </c>
      <c r="AB268" s="24">
        <f t="shared" si="967"/>
        <v>0</v>
      </c>
      <c r="AC268" s="24">
        <f t="shared" ca="1" si="914"/>
        <v>0</v>
      </c>
      <c r="AD268" s="24">
        <f t="shared" si="886"/>
        <v>0</v>
      </c>
      <c r="AE268" s="2078">
        <f t="shared" si="961"/>
        <v>3</v>
      </c>
      <c r="AF268" s="2078">
        <f t="shared" si="962"/>
        <v>0</v>
      </c>
      <c r="AG268" s="2078">
        <f t="shared" si="963"/>
        <v>0</v>
      </c>
      <c r="AH268" s="2521">
        <f t="shared" si="887"/>
        <v>1</v>
      </c>
      <c r="AI268" s="25" t="str">
        <f t="shared" si="915"/>
        <v/>
      </c>
      <c r="AJ268" s="2521">
        <f t="shared" ca="1" si="882"/>
        <v>0</v>
      </c>
      <c r="AK268" s="2076">
        <f t="shared" ca="1" si="878"/>
        <v>0</v>
      </c>
      <c r="AL268" s="2078">
        <f>IF(ISBLANK(J268),0,ISERROR(MATCH(J268,'5  Control Accounts'!$FA$29:$FA$96,0))*1)</f>
        <v>0</v>
      </c>
      <c r="AM268" s="2076">
        <f t="shared" si="916"/>
        <v>0</v>
      </c>
      <c r="AN268" s="2078">
        <f t="shared" si="917"/>
        <v>1</v>
      </c>
      <c r="AO268" s="2079">
        <f t="shared" si="888"/>
        <v>1</v>
      </c>
      <c r="AP268" s="2079">
        <f t="shared" si="889"/>
        <v>0</v>
      </c>
      <c r="AQ268" s="2079">
        <f t="shared" si="890"/>
        <v>0</v>
      </c>
      <c r="AR268" s="2079">
        <f t="shared" si="891"/>
        <v>0</v>
      </c>
      <c r="AS268" s="2079">
        <f t="shared" si="892"/>
        <v>0</v>
      </c>
      <c r="AT268" s="2079">
        <f t="shared" si="893"/>
        <v>0</v>
      </c>
      <c r="AU268" s="2079">
        <f t="shared" si="894"/>
        <v>0</v>
      </c>
      <c r="AV268" s="2079">
        <f t="shared" si="895"/>
        <v>0</v>
      </c>
      <c r="AW268" s="2079">
        <f t="shared" si="896"/>
        <v>0</v>
      </c>
      <c r="AX268" s="2079">
        <f t="shared" si="897"/>
        <v>0</v>
      </c>
      <c r="AY268" s="2078">
        <f t="shared" si="918"/>
        <v>0</v>
      </c>
      <c r="AZ268" s="2078">
        <f t="shared" si="919"/>
        <v>0</v>
      </c>
      <c r="BA268" s="2078">
        <f t="shared" si="920"/>
        <v>0</v>
      </c>
      <c r="BB268" s="2078">
        <f t="shared" si="921"/>
        <v>0</v>
      </c>
      <c r="BC268" s="2078">
        <f t="shared" si="922"/>
        <v>0</v>
      </c>
      <c r="BD268" s="2078">
        <f t="shared" si="923"/>
        <v>0</v>
      </c>
      <c r="BE268" s="2078">
        <f t="shared" si="924"/>
        <v>0</v>
      </c>
      <c r="BF268" s="2078">
        <f t="shared" si="925"/>
        <v>0</v>
      </c>
      <c r="BG268" s="2078">
        <f t="shared" si="926"/>
        <v>0</v>
      </c>
      <c r="BH268" s="2078">
        <f t="shared" si="927"/>
        <v>0</v>
      </c>
      <c r="BI268" s="2078">
        <f t="shared" si="928"/>
        <v>0</v>
      </c>
      <c r="BJ268" s="2078">
        <f t="shared" si="929"/>
        <v>0</v>
      </c>
      <c r="BK268" s="2078">
        <f t="shared" si="930"/>
        <v>0</v>
      </c>
      <c r="BL268" s="2078">
        <f t="shared" si="931"/>
        <v>0</v>
      </c>
      <c r="BM268" s="2078">
        <f t="shared" si="932"/>
        <v>0</v>
      </c>
      <c r="BN268" s="2078">
        <f t="shared" si="933"/>
        <v>0</v>
      </c>
      <c r="BO268" s="2078">
        <f t="shared" si="934"/>
        <v>0</v>
      </c>
      <c r="BP268" s="2078">
        <f t="shared" si="935"/>
        <v>0</v>
      </c>
      <c r="BQ268" s="2078">
        <f t="shared" si="936"/>
        <v>0</v>
      </c>
      <c r="BR268" s="2078">
        <f t="shared" si="937"/>
        <v>0</v>
      </c>
      <c r="BS268" s="2079">
        <f t="shared" si="898"/>
        <v>1</v>
      </c>
      <c r="BT268" s="2079">
        <f t="shared" si="899"/>
        <v>0</v>
      </c>
      <c r="BU268" s="2079">
        <f t="shared" si="900"/>
        <v>0</v>
      </c>
      <c r="BV268" s="2079">
        <f t="shared" si="901"/>
        <v>0</v>
      </c>
      <c r="BW268" s="2079">
        <f t="shared" si="902"/>
        <v>0</v>
      </c>
      <c r="BX268" s="2079">
        <f t="shared" si="903"/>
        <v>0</v>
      </c>
      <c r="BY268" s="2079">
        <f t="shared" si="904"/>
        <v>0</v>
      </c>
      <c r="BZ268" s="2079">
        <f t="shared" si="905"/>
        <v>0</v>
      </c>
      <c r="CA268" s="2079">
        <f t="shared" si="906"/>
        <v>0</v>
      </c>
      <c r="CB268" s="2079">
        <f t="shared" si="907"/>
        <v>0</v>
      </c>
      <c r="CC268" s="2078">
        <f t="shared" ca="1" si="938"/>
        <v>0</v>
      </c>
      <c r="CD268" s="2078">
        <f t="shared" ca="1" si="939"/>
        <v>0</v>
      </c>
      <c r="CE268" s="2078">
        <f t="shared" ca="1" si="940"/>
        <v>0</v>
      </c>
      <c r="CF268" s="2078">
        <f t="shared" ca="1" si="941"/>
        <v>0</v>
      </c>
      <c r="CG268" s="2078">
        <f t="shared" ca="1" si="942"/>
        <v>0</v>
      </c>
      <c r="CH268" s="2078">
        <f t="shared" ca="1" si="943"/>
        <v>0</v>
      </c>
      <c r="CI268" s="2078">
        <f t="shared" ca="1" si="944"/>
        <v>0</v>
      </c>
      <c r="CJ268" s="2078">
        <f t="shared" ca="1" si="945"/>
        <v>0</v>
      </c>
      <c r="CK268" s="2078">
        <f t="shared" ca="1" si="946"/>
        <v>0</v>
      </c>
      <c r="CL268" s="2078">
        <f t="shared" ca="1" si="947"/>
        <v>0</v>
      </c>
      <c r="CM268" s="2078">
        <f t="shared" si="968"/>
        <v>1</v>
      </c>
      <c r="CN268" s="2078">
        <f t="shared" si="969"/>
        <v>1</v>
      </c>
      <c r="CO268" s="2078">
        <f t="shared" si="958"/>
        <v>1</v>
      </c>
      <c r="CP268" s="2078">
        <f t="shared" si="948"/>
        <v>1</v>
      </c>
      <c r="CQ268" s="2078">
        <f t="shared" si="959"/>
        <v>0</v>
      </c>
      <c r="CR268" s="2078">
        <f t="shared" si="879"/>
        <v>0</v>
      </c>
      <c r="CS268" s="2078">
        <f t="shared" si="949"/>
        <v>0</v>
      </c>
      <c r="CT268" s="2078">
        <f t="shared" si="960"/>
        <v>1</v>
      </c>
      <c r="CU268" s="2078">
        <f t="shared" si="950"/>
        <v>1</v>
      </c>
      <c r="CV268" s="2078">
        <f t="shared" si="970"/>
        <v>0</v>
      </c>
      <c r="CW268" s="2078">
        <f>IF(OR(AE268&lt;&gt;3,F268="Exclude"),0,IF(ISERROR(MATCH($E268,'4 Sign-off'!$S$123:$X$123,0)),0,1))</f>
        <v>0</v>
      </c>
      <c r="CX268" s="2078">
        <f t="shared" si="883"/>
        <v>0</v>
      </c>
      <c r="CY268" s="2078">
        <f t="shared" si="971"/>
        <v>0</v>
      </c>
      <c r="CZ268" s="2993">
        <f t="shared" ca="1" si="880"/>
        <v>0</v>
      </c>
      <c r="DA268" s="3037">
        <f t="shared" ca="1" si="881"/>
        <v>0</v>
      </c>
      <c r="DB268" s="1664"/>
      <c r="DC268" s="1320"/>
      <c r="DD268" s="589"/>
      <c r="DE268" s="1321"/>
      <c r="DF268" s="107"/>
      <c r="DG268" s="112"/>
      <c r="DH268" s="140"/>
      <c r="DI268" s="22"/>
      <c r="DJ268" s="145"/>
      <c r="DK268" s="137"/>
      <c r="DL268" s="137"/>
      <c r="DM268" s="137"/>
      <c r="DN268" s="137"/>
      <c r="DO268" s="137"/>
      <c r="DP268" s="137"/>
      <c r="DQ268" s="137"/>
      <c r="DR268" s="137"/>
      <c r="DS268" s="137"/>
      <c r="DT268" s="137"/>
      <c r="DU268" s="137"/>
      <c r="DV268" s="137"/>
      <c r="DW268" s="137"/>
      <c r="DX268" s="137"/>
      <c r="DY268" s="137"/>
      <c r="DZ268" s="137"/>
      <c r="EA268" s="137"/>
      <c r="EB268" s="137"/>
      <c r="EC268" s="137"/>
      <c r="ED268" s="137"/>
      <c r="EE268" s="137"/>
      <c r="EF268" s="137"/>
      <c r="EG268" s="137"/>
      <c r="EH268" s="137"/>
      <c r="EI268" s="137"/>
      <c r="EJ268" s="137"/>
      <c r="EK268" s="137"/>
      <c r="EL268" s="137"/>
      <c r="EM268" s="137"/>
      <c r="EN268" s="137"/>
      <c r="EO268" s="137"/>
      <c r="EP268" s="137"/>
      <c r="EQ268" s="137"/>
      <c r="ER268" s="137"/>
      <c r="ES268" s="137"/>
      <c r="ET268" s="137"/>
      <c r="EU268" s="137"/>
      <c r="EV268" s="137"/>
      <c r="EW268" s="137"/>
      <c r="EX268" s="137"/>
      <c r="EY268" s="137"/>
      <c r="EZ268" s="137"/>
      <c r="FA268" s="137"/>
      <c r="FB268" s="137"/>
      <c r="FC268" s="137"/>
      <c r="FD268" s="137"/>
      <c r="FE268" s="137"/>
      <c r="FF268" s="137"/>
      <c r="FG268" s="860"/>
      <c r="FH268" s="863"/>
      <c r="FI268" s="1318"/>
      <c r="FJ268" s="126"/>
      <c r="FK268" s="127"/>
      <c r="FL268" s="128" t="str">
        <f t="shared" si="951"/>
        <v xml:space="preserve">    </v>
      </c>
      <c r="FM268" s="128"/>
      <c r="FN268" s="1686">
        <f t="shared" si="952"/>
        <v>0</v>
      </c>
      <c r="FO268" s="46">
        <f t="shared" si="972"/>
        <v>0</v>
      </c>
      <c r="FP268" s="46">
        <f t="shared" si="977"/>
        <v>1</v>
      </c>
      <c r="FQ268" s="75">
        <f t="shared" si="953"/>
        <v>0</v>
      </c>
      <c r="FR268" s="46">
        <f t="shared" si="964"/>
        <v>0</v>
      </c>
      <c r="FS268" s="46">
        <f t="shared" si="965"/>
        <v>1</v>
      </c>
      <c r="FT268" s="75">
        <f t="shared" si="954"/>
        <v>0</v>
      </c>
      <c r="FU268" s="2603">
        <f t="shared" si="973"/>
        <v>0</v>
      </c>
      <c r="FV268" s="2607">
        <f t="shared" si="974"/>
        <v>0</v>
      </c>
      <c r="FW268" s="2603">
        <f t="shared" si="975"/>
        <v>0</v>
      </c>
      <c r="FX268" s="2631">
        <f t="shared" si="976"/>
        <v>0</v>
      </c>
      <c r="FY268" s="81" t="e">
        <f t="shared" si="966"/>
        <v>#N/A</v>
      </c>
      <c r="FZ268" s="64" t="e">
        <f t="array" ref="FZ268">MATCH(1,($GT268:$LQ268&gt;0)*$GT$25:$LQ$25,0)</f>
        <v>#N/A</v>
      </c>
      <c r="GA268" s="64" t="e">
        <f t="array" ref="GA268">MATCH(2,1/(GT268:LQ268&gt;0))</f>
        <v>#N/A</v>
      </c>
      <c r="GB268" s="64">
        <f t="shared" si="955"/>
        <v>-1</v>
      </c>
      <c r="GC268" s="46"/>
      <c r="GD268" s="613"/>
      <c r="GE268" s="613"/>
      <c r="GF268" s="613"/>
      <c r="GG268" s="613"/>
      <c r="GH268" s="613"/>
      <c r="GI268" s="613"/>
      <c r="GJ268" s="613"/>
      <c r="GK268" s="613"/>
      <c r="GL268" s="613"/>
      <c r="GM268" s="613"/>
      <c r="GN268" s="385">
        <f t="shared" si="884"/>
        <v>0</v>
      </c>
      <c r="GO268" s="386">
        <f t="shared" si="885"/>
        <v>0</v>
      </c>
      <c r="GP268" s="2635"/>
      <c r="GQ268" s="175"/>
      <c r="GR268" s="172"/>
      <c r="GS268" s="65"/>
      <c r="GT268" s="167"/>
      <c r="GU268" s="168"/>
      <c r="GV268" s="168"/>
      <c r="GW268" s="168"/>
      <c r="GX268" s="168"/>
      <c r="GY268" s="168"/>
      <c r="GZ268" s="168"/>
      <c r="HA268" s="168"/>
      <c r="HB268" s="168"/>
      <c r="HC268" s="168"/>
      <c r="HD268" s="168"/>
      <c r="HE268" s="168"/>
      <c r="HF268" s="168"/>
      <c r="HG268" s="168"/>
      <c r="HH268" s="168"/>
      <c r="HI268" s="168"/>
      <c r="HJ268" s="168"/>
      <c r="HK268" s="168"/>
      <c r="HL268" s="168"/>
      <c r="HM268" s="168"/>
      <c r="HN268" s="168"/>
      <c r="HO268" s="168"/>
      <c r="HP268" s="168"/>
      <c r="HQ268" s="168"/>
      <c r="HR268" s="168"/>
      <c r="HS268" s="168"/>
      <c r="HT268" s="168"/>
      <c r="HU268" s="168"/>
      <c r="HV268" s="168"/>
      <c r="HW268" s="168"/>
      <c r="HX268" s="168"/>
      <c r="HY268" s="168"/>
      <c r="HZ268" s="168"/>
      <c r="IA268" s="168"/>
      <c r="IB268" s="168"/>
      <c r="IC268" s="168"/>
      <c r="ID268" s="168"/>
      <c r="IE268" s="168"/>
      <c r="IF268" s="168"/>
      <c r="IG268" s="168"/>
      <c r="IH268" s="168"/>
      <c r="II268" s="168"/>
      <c r="IJ268" s="168"/>
      <c r="IK268" s="168"/>
      <c r="IL268" s="168"/>
      <c r="IM268" s="168"/>
      <c r="IN268" s="168"/>
      <c r="IO268" s="168"/>
      <c r="IP268" s="168"/>
      <c r="IQ268" s="168"/>
      <c r="IR268" s="168"/>
      <c r="IS268" s="168"/>
      <c r="IT268" s="168"/>
      <c r="IU268" s="168"/>
      <c r="IV268" s="168"/>
      <c r="IW268" s="168"/>
      <c r="IX268" s="168"/>
      <c r="IY268" s="168"/>
      <c r="IZ268" s="168"/>
      <c r="JA268" s="168"/>
      <c r="JB268" s="168"/>
      <c r="JC268" s="168"/>
      <c r="JD268" s="168"/>
      <c r="JE268" s="168"/>
      <c r="JF268" s="168"/>
      <c r="JG268" s="168"/>
      <c r="JH268" s="168"/>
      <c r="JI268" s="168"/>
      <c r="JJ268" s="168"/>
      <c r="JK268" s="168"/>
      <c r="JL268" s="168"/>
      <c r="JM268" s="168"/>
      <c r="JN268" s="168"/>
      <c r="JO268" s="168"/>
      <c r="JP268" s="168"/>
      <c r="JQ268" s="168"/>
      <c r="JR268" s="168"/>
      <c r="JS268" s="168"/>
      <c r="JT268" s="168"/>
      <c r="JU268" s="168"/>
      <c r="JV268" s="168"/>
      <c r="JW268" s="168"/>
      <c r="JX268" s="168"/>
      <c r="JY268" s="168"/>
      <c r="JZ268" s="168"/>
      <c r="KA268" s="168"/>
      <c r="KB268" s="168"/>
      <c r="KC268" s="168"/>
      <c r="KD268" s="168"/>
      <c r="KE268" s="168"/>
      <c r="KF268" s="168"/>
      <c r="KG268" s="168"/>
      <c r="KH268" s="168"/>
      <c r="KI268" s="168"/>
      <c r="KJ268" s="168"/>
      <c r="KK268" s="168"/>
      <c r="KL268" s="168"/>
      <c r="KM268" s="168"/>
      <c r="KN268" s="168"/>
      <c r="KO268" s="168"/>
      <c r="KP268" s="168"/>
      <c r="KQ268" s="168"/>
      <c r="KR268" s="168"/>
      <c r="KS268" s="168"/>
      <c r="KT268" s="168"/>
      <c r="KU268" s="168"/>
      <c r="KV268" s="168"/>
      <c r="KW268" s="168"/>
      <c r="KX268" s="168"/>
      <c r="KY268" s="168"/>
      <c r="KZ268" s="168"/>
      <c r="LA268" s="168"/>
      <c r="LB268" s="168"/>
      <c r="LC268" s="168"/>
      <c r="LD268" s="168"/>
      <c r="LE268" s="168"/>
      <c r="LF268" s="168"/>
      <c r="LG268" s="168"/>
      <c r="LH268" s="168"/>
      <c r="LI268" s="168"/>
      <c r="LJ268" s="168"/>
      <c r="LK268" s="168"/>
      <c r="LL268" s="168"/>
      <c r="LM268" s="168"/>
      <c r="LN268" s="168"/>
      <c r="LO268" s="168"/>
      <c r="LP268" s="606"/>
      <c r="LQ268" s="609"/>
      <c r="LR268" s="1319"/>
      <c r="LS268" s="1319"/>
    </row>
    <row r="269" spans="1:331" s="2" customFormat="1" ht="15" customHeight="1" x14ac:dyDescent="0.25">
      <c r="A269" s="283"/>
      <c r="B269" s="303"/>
      <c r="C269" s="301"/>
      <c r="D269" s="1287"/>
      <c r="E269" s="2298"/>
      <c r="F269" s="1812"/>
      <c r="G269" s="3342"/>
      <c r="H269" s="66"/>
      <c r="I269" s="1746"/>
      <c r="J269" s="1214"/>
      <c r="K269" s="105"/>
      <c r="L269" s="91"/>
      <c r="M269" s="92"/>
      <c r="N269" s="93"/>
      <c r="O269" s="94"/>
      <c r="P269" s="96"/>
      <c r="Q269" s="95"/>
      <c r="R269" s="993">
        <f t="shared" si="876"/>
        <v>0</v>
      </c>
      <c r="S269" s="23">
        <f t="shared" si="877"/>
        <v>0</v>
      </c>
      <c r="T269" s="24">
        <f t="shared" si="908"/>
        <v>0</v>
      </c>
      <c r="U269" s="24">
        <f t="shared" si="909"/>
        <v>0</v>
      </c>
      <c r="V269" s="24">
        <f t="shared" si="910"/>
        <v>0</v>
      </c>
      <c r="W269" s="24">
        <f t="shared" ca="1" si="911"/>
        <v>0</v>
      </c>
      <c r="X269" s="72">
        <f t="shared" ca="1" si="956"/>
        <v>0</v>
      </c>
      <c r="Y269" s="72">
        <f t="shared" si="912"/>
        <v>0</v>
      </c>
      <c r="Z269" s="24">
        <f t="shared" si="913"/>
        <v>0</v>
      </c>
      <c r="AA269" s="72">
        <f t="shared" si="957"/>
        <v>0</v>
      </c>
      <c r="AB269" s="24">
        <f t="shared" si="967"/>
        <v>0</v>
      </c>
      <c r="AC269" s="24">
        <f t="shared" ca="1" si="914"/>
        <v>0</v>
      </c>
      <c r="AD269" s="24">
        <f t="shared" si="886"/>
        <v>0</v>
      </c>
      <c r="AE269" s="2078">
        <f t="shared" si="961"/>
        <v>3</v>
      </c>
      <c r="AF269" s="2078">
        <f t="shared" si="962"/>
        <v>0</v>
      </c>
      <c r="AG269" s="2078">
        <f t="shared" si="963"/>
        <v>0</v>
      </c>
      <c r="AH269" s="2521">
        <f t="shared" si="887"/>
        <v>1</v>
      </c>
      <c r="AI269" s="25" t="str">
        <f t="shared" si="915"/>
        <v/>
      </c>
      <c r="AJ269" s="2521">
        <f t="shared" ca="1" si="882"/>
        <v>0</v>
      </c>
      <c r="AK269" s="2076">
        <f t="shared" ca="1" si="878"/>
        <v>0</v>
      </c>
      <c r="AL269" s="2078">
        <f>IF(ISBLANK(J269),0,ISERROR(MATCH(J269,'5  Control Accounts'!$FA$29:$FA$96,0))*1)</f>
        <v>0</v>
      </c>
      <c r="AM269" s="2076">
        <f t="shared" si="916"/>
        <v>0</v>
      </c>
      <c r="AN269" s="2078">
        <f t="shared" si="917"/>
        <v>1</v>
      </c>
      <c r="AO269" s="2079">
        <f t="shared" si="888"/>
        <v>1</v>
      </c>
      <c r="AP269" s="2079">
        <f t="shared" si="889"/>
        <v>0</v>
      </c>
      <c r="AQ269" s="2079">
        <f t="shared" si="890"/>
        <v>0</v>
      </c>
      <c r="AR269" s="2079">
        <f t="shared" si="891"/>
        <v>0</v>
      </c>
      <c r="AS269" s="2079">
        <f t="shared" si="892"/>
        <v>0</v>
      </c>
      <c r="AT269" s="2079">
        <f t="shared" si="893"/>
        <v>0</v>
      </c>
      <c r="AU269" s="2079">
        <f t="shared" si="894"/>
        <v>0</v>
      </c>
      <c r="AV269" s="2079">
        <f t="shared" si="895"/>
        <v>0</v>
      </c>
      <c r="AW269" s="2079">
        <f t="shared" si="896"/>
        <v>0</v>
      </c>
      <c r="AX269" s="2079">
        <f t="shared" si="897"/>
        <v>0</v>
      </c>
      <c r="AY269" s="2078">
        <f t="shared" si="918"/>
        <v>0</v>
      </c>
      <c r="AZ269" s="2078">
        <f t="shared" si="919"/>
        <v>0</v>
      </c>
      <c r="BA269" s="2078">
        <f t="shared" si="920"/>
        <v>0</v>
      </c>
      <c r="BB269" s="2078">
        <f t="shared" si="921"/>
        <v>0</v>
      </c>
      <c r="BC269" s="2078">
        <f t="shared" si="922"/>
        <v>0</v>
      </c>
      <c r="BD269" s="2078">
        <f t="shared" si="923"/>
        <v>0</v>
      </c>
      <c r="BE269" s="2078">
        <f t="shared" si="924"/>
        <v>0</v>
      </c>
      <c r="BF269" s="2078">
        <f t="shared" si="925"/>
        <v>0</v>
      </c>
      <c r="BG269" s="2078">
        <f t="shared" si="926"/>
        <v>0</v>
      </c>
      <c r="BH269" s="2078">
        <f t="shared" si="927"/>
        <v>0</v>
      </c>
      <c r="BI269" s="2078">
        <f t="shared" si="928"/>
        <v>0</v>
      </c>
      <c r="BJ269" s="2078">
        <f t="shared" si="929"/>
        <v>0</v>
      </c>
      <c r="BK269" s="2078">
        <f t="shared" si="930"/>
        <v>0</v>
      </c>
      <c r="BL269" s="2078">
        <f t="shared" si="931"/>
        <v>0</v>
      </c>
      <c r="BM269" s="2078">
        <f t="shared" si="932"/>
        <v>0</v>
      </c>
      <c r="BN269" s="2078">
        <f t="shared" si="933"/>
        <v>0</v>
      </c>
      <c r="BO269" s="2078">
        <f t="shared" si="934"/>
        <v>0</v>
      </c>
      <c r="BP269" s="2078">
        <f t="shared" si="935"/>
        <v>0</v>
      </c>
      <c r="BQ269" s="2078">
        <f t="shared" si="936"/>
        <v>0</v>
      </c>
      <c r="BR269" s="2078">
        <f t="shared" si="937"/>
        <v>0</v>
      </c>
      <c r="BS269" s="2079">
        <f t="shared" si="898"/>
        <v>1</v>
      </c>
      <c r="BT269" s="2079">
        <f t="shared" si="899"/>
        <v>0</v>
      </c>
      <c r="BU269" s="2079">
        <f t="shared" si="900"/>
        <v>0</v>
      </c>
      <c r="BV269" s="2079">
        <f t="shared" si="901"/>
        <v>0</v>
      </c>
      <c r="BW269" s="2079">
        <f t="shared" si="902"/>
        <v>0</v>
      </c>
      <c r="BX269" s="2079">
        <f t="shared" si="903"/>
        <v>0</v>
      </c>
      <c r="BY269" s="2079">
        <f t="shared" si="904"/>
        <v>0</v>
      </c>
      <c r="BZ269" s="2079">
        <f t="shared" si="905"/>
        <v>0</v>
      </c>
      <c r="CA269" s="2079">
        <f t="shared" si="906"/>
        <v>0</v>
      </c>
      <c r="CB269" s="2079">
        <f t="shared" si="907"/>
        <v>0</v>
      </c>
      <c r="CC269" s="2078">
        <f t="shared" ca="1" si="938"/>
        <v>0</v>
      </c>
      <c r="CD269" s="2078">
        <f t="shared" ca="1" si="939"/>
        <v>0</v>
      </c>
      <c r="CE269" s="2078">
        <f t="shared" ca="1" si="940"/>
        <v>0</v>
      </c>
      <c r="CF269" s="2078">
        <f t="shared" ca="1" si="941"/>
        <v>0</v>
      </c>
      <c r="CG269" s="2078">
        <f t="shared" ca="1" si="942"/>
        <v>0</v>
      </c>
      <c r="CH269" s="2078">
        <f t="shared" ca="1" si="943"/>
        <v>0</v>
      </c>
      <c r="CI269" s="2078">
        <f t="shared" ca="1" si="944"/>
        <v>0</v>
      </c>
      <c r="CJ269" s="2078">
        <f t="shared" ca="1" si="945"/>
        <v>0</v>
      </c>
      <c r="CK269" s="2078">
        <f t="shared" ca="1" si="946"/>
        <v>0</v>
      </c>
      <c r="CL269" s="2078">
        <f t="shared" ca="1" si="947"/>
        <v>0</v>
      </c>
      <c r="CM269" s="2078">
        <f t="shared" si="968"/>
        <v>1</v>
      </c>
      <c r="CN269" s="2078">
        <f t="shared" si="969"/>
        <v>1</v>
      </c>
      <c r="CO269" s="2078">
        <f t="shared" si="958"/>
        <v>1</v>
      </c>
      <c r="CP269" s="2078">
        <f t="shared" si="948"/>
        <v>1</v>
      </c>
      <c r="CQ269" s="2078">
        <f t="shared" si="959"/>
        <v>0</v>
      </c>
      <c r="CR269" s="2078">
        <f t="shared" si="879"/>
        <v>0</v>
      </c>
      <c r="CS269" s="2078">
        <f t="shared" si="949"/>
        <v>0</v>
      </c>
      <c r="CT269" s="2078">
        <f t="shared" si="960"/>
        <v>1</v>
      </c>
      <c r="CU269" s="2078">
        <f t="shared" si="950"/>
        <v>1</v>
      </c>
      <c r="CV269" s="2078">
        <f t="shared" si="970"/>
        <v>0</v>
      </c>
      <c r="CW269" s="2078">
        <f>IF(OR(AE269&lt;&gt;3,F269="Exclude"),0,IF(ISERROR(MATCH($E269,'4 Sign-off'!$S$123:$X$123,0)),0,1))</f>
        <v>0</v>
      </c>
      <c r="CX269" s="2078">
        <f t="shared" si="883"/>
        <v>0</v>
      </c>
      <c r="CY269" s="2078">
        <f t="shared" si="971"/>
        <v>0</v>
      </c>
      <c r="CZ269" s="2993">
        <f t="shared" ca="1" si="880"/>
        <v>0</v>
      </c>
      <c r="DA269" s="3037">
        <f t="shared" ca="1" si="881"/>
        <v>0</v>
      </c>
      <c r="DB269" s="1664"/>
      <c r="DC269" s="1320"/>
      <c r="DD269" s="589"/>
      <c r="DE269" s="1321"/>
      <c r="DF269" s="107"/>
      <c r="DG269" s="112"/>
      <c r="DH269" s="140"/>
      <c r="DI269" s="22"/>
      <c r="DJ269" s="145"/>
      <c r="DK269" s="137"/>
      <c r="DL269" s="137"/>
      <c r="DM269" s="137"/>
      <c r="DN269" s="137"/>
      <c r="DO269" s="137"/>
      <c r="DP269" s="137"/>
      <c r="DQ269" s="137"/>
      <c r="DR269" s="137"/>
      <c r="DS269" s="137"/>
      <c r="DT269" s="137"/>
      <c r="DU269" s="137"/>
      <c r="DV269" s="137"/>
      <c r="DW269" s="137"/>
      <c r="DX269" s="137"/>
      <c r="DY269" s="137"/>
      <c r="DZ269" s="137"/>
      <c r="EA269" s="137"/>
      <c r="EB269" s="137"/>
      <c r="EC269" s="137"/>
      <c r="ED269" s="137"/>
      <c r="EE269" s="137"/>
      <c r="EF269" s="137"/>
      <c r="EG269" s="137"/>
      <c r="EH269" s="137"/>
      <c r="EI269" s="137"/>
      <c r="EJ269" s="137"/>
      <c r="EK269" s="137"/>
      <c r="EL269" s="137"/>
      <c r="EM269" s="137"/>
      <c r="EN269" s="137"/>
      <c r="EO269" s="137"/>
      <c r="EP269" s="137"/>
      <c r="EQ269" s="137"/>
      <c r="ER269" s="137"/>
      <c r="ES269" s="137"/>
      <c r="ET269" s="137"/>
      <c r="EU269" s="137"/>
      <c r="EV269" s="137"/>
      <c r="EW269" s="137"/>
      <c r="EX269" s="137"/>
      <c r="EY269" s="137"/>
      <c r="EZ269" s="137"/>
      <c r="FA269" s="137"/>
      <c r="FB269" s="137"/>
      <c r="FC269" s="137"/>
      <c r="FD269" s="137"/>
      <c r="FE269" s="137"/>
      <c r="FF269" s="137"/>
      <c r="FG269" s="860"/>
      <c r="FH269" s="863"/>
      <c r="FI269" s="1318"/>
      <c r="FJ269" s="126"/>
      <c r="FK269" s="127"/>
      <c r="FL269" s="128" t="str">
        <f t="shared" si="951"/>
        <v xml:space="preserve">    </v>
      </c>
      <c r="FM269" s="128"/>
      <c r="FN269" s="1686">
        <f t="shared" si="952"/>
        <v>0</v>
      </c>
      <c r="FO269" s="46">
        <f t="shared" si="972"/>
        <v>0</v>
      </c>
      <c r="FP269" s="46">
        <f t="shared" si="977"/>
        <v>1</v>
      </c>
      <c r="FQ269" s="75">
        <f t="shared" si="953"/>
        <v>0</v>
      </c>
      <c r="FR269" s="46">
        <f t="shared" si="964"/>
        <v>0</v>
      </c>
      <c r="FS269" s="46">
        <f t="shared" si="965"/>
        <v>1</v>
      </c>
      <c r="FT269" s="75">
        <f t="shared" si="954"/>
        <v>0</v>
      </c>
      <c r="FU269" s="2603">
        <f t="shared" si="973"/>
        <v>0</v>
      </c>
      <c r="FV269" s="2607">
        <f t="shared" si="974"/>
        <v>0</v>
      </c>
      <c r="FW269" s="2603">
        <f t="shared" si="975"/>
        <v>0</v>
      </c>
      <c r="FX269" s="2631">
        <f t="shared" si="976"/>
        <v>0</v>
      </c>
      <c r="FY269" s="81" t="e">
        <f t="shared" si="966"/>
        <v>#N/A</v>
      </c>
      <c r="FZ269" s="64" t="e">
        <f t="array" ref="FZ269">MATCH(1,($GT269:$LQ269&gt;0)*$GT$25:$LQ$25,0)</f>
        <v>#N/A</v>
      </c>
      <c r="GA269" s="64" t="e">
        <f t="array" ref="GA269">MATCH(2,1/(GT269:LQ269&gt;0))</f>
        <v>#N/A</v>
      </c>
      <c r="GB269" s="64">
        <f t="shared" si="955"/>
        <v>-1</v>
      </c>
      <c r="GC269" s="46"/>
      <c r="GD269" s="613"/>
      <c r="GE269" s="613"/>
      <c r="GF269" s="613"/>
      <c r="GG269" s="613"/>
      <c r="GH269" s="613"/>
      <c r="GI269" s="613"/>
      <c r="GJ269" s="613"/>
      <c r="GK269" s="613"/>
      <c r="GL269" s="613"/>
      <c r="GM269" s="613"/>
      <c r="GN269" s="385">
        <f t="shared" si="884"/>
        <v>0</v>
      </c>
      <c r="GO269" s="386">
        <f t="shared" si="885"/>
        <v>0</v>
      </c>
      <c r="GP269" s="2635"/>
      <c r="GQ269" s="175"/>
      <c r="GR269" s="172"/>
      <c r="GS269" s="65"/>
      <c r="GT269" s="167"/>
      <c r="GU269" s="168"/>
      <c r="GV269" s="168"/>
      <c r="GW269" s="168"/>
      <c r="GX269" s="168"/>
      <c r="GY269" s="168"/>
      <c r="GZ269" s="168"/>
      <c r="HA269" s="168"/>
      <c r="HB269" s="168"/>
      <c r="HC269" s="168"/>
      <c r="HD269" s="168"/>
      <c r="HE269" s="168"/>
      <c r="HF269" s="168"/>
      <c r="HG269" s="168"/>
      <c r="HH269" s="168"/>
      <c r="HI269" s="168"/>
      <c r="HJ269" s="168"/>
      <c r="HK269" s="168"/>
      <c r="HL269" s="168"/>
      <c r="HM269" s="168"/>
      <c r="HN269" s="168"/>
      <c r="HO269" s="168"/>
      <c r="HP269" s="168"/>
      <c r="HQ269" s="168"/>
      <c r="HR269" s="168"/>
      <c r="HS269" s="168"/>
      <c r="HT269" s="168"/>
      <c r="HU269" s="168"/>
      <c r="HV269" s="168"/>
      <c r="HW269" s="168"/>
      <c r="HX269" s="168"/>
      <c r="HY269" s="168"/>
      <c r="HZ269" s="168"/>
      <c r="IA269" s="168"/>
      <c r="IB269" s="168"/>
      <c r="IC269" s="168"/>
      <c r="ID269" s="168"/>
      <c r="IE269" s="168"/>
      <c r="IF269" s="168"/>
      <c r="IG269" s="168"/>
      <c r="IH269" s="168"/>
      <c r="II269" s="168"/>
      <c r="IJ269" s="168"/>
      <c r="IK269" s="168"/>
      <c r="IL269" s="168"/>
      <c r="IM269" s="168"/>
      <c r="IN269" s="168"/>
      <c r="IO269" s="168"/>
      <c r="IP269" s="168"/>
      <c r="IQ269" s="168"/>
      <c r="IR269" s="168"/>
      <c r="IS269" s="168"/>
      <c r="IT269" s="168"/>
      <c r="IU269" s="168"/>
      <c r="IV269" s="168"/>
      <c r="IW269" s="168"/>
      <c r="IX269" s="168"/>
      <c r="IY269" s="168"/>
      <c r="IZ269" s="168"/>
      <c r="JA269" s="168"/>
      <c r="JB269" s="168"/>
      <c r="JC269" s="168"/>
      <c r="JD269" s="168"/>
      <c r="JE269" s="168"/>
      <c r="JF269" s="168"/>
      <c r="JG269" s="168"/>
      <c r="JH269" s="168"/>
      <c r="JI269" s="168"/>
      <c r="JJ269" s="168"/>
      <c r="JK269" s="168"/>
      <c r="JL269" s="168"/>
      <c r="JM269" s="168"/>
      <c r="JN269" s="168"/>
      <c r="JO269" s="168"/>
      <c r="JP269" s="168"/>
      <c r="JQ269" s="168"/>
      <c r="JR269" s="168"/>
      <c r="JS269" s="168"/>
      <c r="JT269" s="168"/>
      <c r="JU269" s="168"/>
      <c r="JV269" s="168"/>
      <c r="JW269" s="168"/>
      <c r="JX269" s="168"/>
      <c r="JY269" s="168"/>
      <c r="JZ269" s="168"/>
      <c r="KA269" s="168"/>
      <c r="KB269" s="168"/>
      <c r="KC269" s="168"/>
      <c r="KD269" s="168"/>
      <c r="KE269" s="168"/>
      <c r="KF269" s="168"/>
      <c r="KG269" s="168"/>
      <c r="KH269" s="168"/>
      <c r="KI269" s="168"/>
      <c r="KJ269" s="168"/>
      <c r="KK269" s="168"/>
      <c r="KL269" s="168"/>
      <c r="KM269" s="168"/>
      <c r="KN269" s="168"/>
      <c r="KO269" s="168"/>
      <c r="KP269" s="168"/>
      <c r="KQ269" s="168"/>
      <c r="KR269" s="168"/>
      <c r="KS269" s="168"/>
      <c r="KT269" s="168"/>
      <c r="KU269" s="168"/>
      <c r="KV269" s="168"/>
      <c r="KW269" s="168"/>
      <c r="KX269" s="168"/>
      <c r="KY269" s="168"/>
      <c r="KZ269" s="168"/>
      <c r="LA269" s="168"/>
      <c r="LB269" s="168"/>
      <c r="LC269" s="168"/>
      <c r="LD269" s="168"/>
      <c r="LE269" s="168"/>
      <c r="LF269" s="168"/>
      <c r="LG269" s="168"/>
      <c r="LH269" s="168"/>
      <c r="LI269" s="168"/>
      <c r="LJ269" s="168"/>
      <c r="LK269" s="168"/>
      <c r="LL269" s="168"/>
      <c r="LM269" s="168"/>
      <c r="LN269" s="168"/>
      <c r="LO269" s="168"/>
      <c r="LP269" s="606"/>
      <c r="LQ269" s="609"/>
      <c r="LR269" s="1319"/>
      <c r="LS269" s="1319"/>
    </row>
    <row r="270" spans="1:331" s="2" customFormat="1" ht="15" customHeight="1" x14ac:dyDescent="0.25">
      <c r="A270" s="283"/>
      <c r="B270" s="303"/>
      <c r="C270" s="301"/>
      <c r="D270" s="1287"/>
      <c r="E270" s="2298"/>
      <c r="F270" s="1812"/>
      <c r="G270" s="3342"/>
      <c r="H270" s="66"/>
      <c r="I270" s="1746"/>
      <c r="J270" s="1214"/>
      <c r="K270" s="105"/>
      <c r="L270" s="91"/>
      <c r="M270" s="92"/>
      <c r="N270" s="93"/>
      <c r="O270" s="94"/>
      <c r="P270" s="96"/>
      <c r="Q270" s="95"/>
      <c r="R270" s="993">
        <f t="shared" ref="R270:R301" si="978">CHOOSE(AE270,SUMIFS($T$173:$T$364,$AF$173:$AF$364,AF270,$AE$173:$AE$364,3,$CY$173:$CY$364,1,$AH$173:$AH$364,1),SUMIFS($T$173:$T$364,$AG$173:$AG$364,AG270,$AE$173:$AE$364,3,$CY$173:$CY$364,1,$AH$173:$AH$364,1),T270+U270)</f>
        <v>0</v>
      </c>
      <c r="S270" s="23">
        <f t="shared" ref="S270:S301" si="979">CHOOSE($AE270,SUMIFS($S$173:$S$364,$AF$173:$AF$364,AF270,$CY$173:$CY$364,1),SUMIFS($S$173:$S$364,$AG$173:$AG$364,AG270,$CY$173:$CY$364,1),V270+Y270+AB270)</f>
        <v>0</v>
      </c>
      <c r="T270" s="24">
        <f t="shared" si="908"/>
        <v>0</v>
      </c>
      <c r="U270" s="24">
        <f t="shared" si="909"/>
        <v>0</v>
      </c>
      <c r="V270" s="24">
        <f t="shared" si="910"/>
        <v>0</v>
      </c>
      <c r="W270" s="24">
        <f t="shared" ca="1" si="911"/>
        <v>0</v>
      </c>
      <c r="X270" s="72">
        <f t="shared" ca="1" si="956"/>
        <v>0</v>
      </c>
      <c r="Y270" s="72">
        <f t="shared" si="912"/>
        <v>0</v>
      </c>
      <c r="Z270" s="24">
        <f t="shared" si="913"/>
        <v>0</v>
      </c>
      <c r="AA270" s="72">
        <f t="shared" si="957"/>
        <v>0</v>
      </c>
      <c r="AB270" s="24">
        <f t="shared" si="967"/>
        <v>0</v>
      </c>
      <c r="AC270" s="24">
        <f t="shared" ca="1" si="914"/>
        <v>0</v>
      </c>
      <c r="AD270" s="24">
        <f t="shared" si="886"/>
        <v>0</v>
      </c>
      <c r="AE270" s="2078">
        <f t="shared" si="961"/>
        <v>3</v>
      </c>
      <c r="AF270" s="2078">
        <f t="shared" si="962"/>
        <v>0</v>
      </c>
      <c r="AG270" s="2078">
        <f t="shared" si="963"/>
        <v>0</v>
      </c>
      <c r="AH270" s="2521">
        <f t="shared" si="887"/>
        <v>1</v>
      </c>
      <c r="AI270" s="25" t="str">
        <f t="shared" si="915"/>
        <v/>
      </c>
      <c r="AJ270" s="2521">
        <f t="shared" ca="1" si="882"/>
        <v>0</v>
      </c>
      <c r="AK270" s="2076">
        <f t="shared" ca="1" si="878"/>
        <v>0</v>
      </c>
      <c r="AL270" s="2078">
        <f>IF(ISBLANK(J270),0,ISERROR(MATCH(J270,'5  Control Accounts'!$FA$29:$FA$96,0))*1)</f>
        <v>0</v>
      </c>
      <c r="AM270" s="2076">
        <f t="shared" si="916"/>
        <v>0</v>
      </c>
      <c r="AN270" s="2078">
        <f t="shared" si="917"/>
        <v>1</v>
      </c>
      <c r="AO270" s="2079">
        <f t="shared" si="888"/>
        <v>1</v>
      </c>
      <c r="AP270" s="2079">
        <f t="shared" si="889"/>
        <v>0</v>
      </c>
      <c r="AQ270" s="2079">
        <f t="shared" si="890"/>
        <v>0</v>
      </c>
      <c r="AR270" s="2079">
        <f t="shared" si="891"/>
        <v>0</v>
      </c>
      <c r="AS270" s="2079">
        <f t="shared" si="892"/>
        <v>0</v>
      </c>
      <c r="AT270" s="2079">
        <f t="shared" si="893"/>
        <v>0</v>
      </c>
      <c r="AU270" s="2079">
        <f t="shared" si="894"/>
        <v>0</v>
      </c>
      <c r="AV270" s="2079">
        <f t="shared" si="895"/>
        <v>0</v>
      </c>
      <c r="AW270" s="2079">
        <f t="shared" si="896"/>
        <v>0</v>
      </c>
      <c r="AX270" s="2079">
        <f t="shared" si="897"/>
        <v>0</v>
      </c>
      <c r="AY270" s="2078">
        <f t="shared" si="918"/>
        <v>0</v>
      </c>
      <c r="AZ270" s="2078">
        <f t="shared" si="919"/>
        <v>0</v>
      </c>
      <c r="BA270" s="2078">
        <f t="shared" si="920"/>
        <v>0</v>
      </c>
      <c r="BB270" s="2078">
        <f t="shared" si="921"/>
        <v>0</v>
      </c>
      <c r="BC270" s="2078">
        <f t="shared" si="922"/>
        <v>0</v>
      </c>
      <c r="BD270" s="2078">
        <f t="shared" si="923"/>
        <v>0</v>
      </c>
      <c r="BE270" s="2078">
        <f t="shared" si="924"/>
        <v>0</v>
      </c>
      <c r="BF270" s="2078">
        <f t="shared" si="925"/>
        <v>0</v>
      </c>
      <c r="BG270" s="2078">
        <f t="shared" si="926"/>
        <v>0</v>
      </c>
      <c r="BH270" s="2078">
        <f t="shared" si="927"/>
        <v>0</v>
      </c>
      <c r="BI270" s="2078">
        <f t="shared" si="928"/>
        <v>0</v>
      </c>
      <c r="BJ270" s="2078">
        <f t="shared" si="929"/>
        <v>0</v>
      </c>
      <c r="BK270" s="2078">
        <f t="shared" si="930"/>
        <v>0</v>
      </c>
      <c r="BL270" s="2078">
        <f t="shared" si="931"/>
        <v>0</v>
      </c>
      <c r="BM270" s="2078">
        <f t="shared" si="932"/>
        <v>0</v>
      </c>
      <c r="BN270" s="2078">
        <f t="shared" si="933"/>
        <v>0</v>
      </c>
      <c r="BO270" s="2078">
        <f t="shared" si="934"/>
        <v>0</v>
      </c>
      <c r="BP270" s="2078">
        <f t="shared" si="935"/>
        <v>0</v>
      </c>
      <c r="BQ270" s="2078">
        <f t="shared" si="936"/>
        <v>0</v>
      </c>
      <c r="BR270" s="2078">
        <f t="shared" si="937"/>
        <v>0</v>
      </c>
      <c r="BS270" s="2079">
        <f t="shared" si="898"/>
        <v>1</v>
      </c>
      <c r="BT270" s="2079">
        <f t="shared" si="899"/>
        <v>0</v>
      </c>
      <c r="BU270" s="2079">
        <f t="shared" si="900"/>
        <v>0</v>
      </c>
      <c r="BV270" s="2079">
        <f t="shared" si="901"/>
        <v>0</v>
      </c>
      <c r="BW270" s="2079">
        <f t="shared" si="902"/>
        <v>0</v>
      </c>
      <c r="BX270" s="2079">
        <f t="shared" si="903"/>
        <v>0</v>
      </c>
      <c r="BY270" s="2079">
        <f t="shared" si="904"/>
        <v>0</v>
      </c>
      <c r="BZ270" s="2079">
        <f t="shared" si="905"/>
        <v>0</v>
      </c>
      <c r="CA270" s="2079">
        <f t="shared" si="906"/>
        <v>0</v>
      </c>
      <c r="CB270" s="2079">
        <f t="shared" si="907"/>
        <v>0</v>
      </c>
      <c r="CC270" s="2078">
        <f t="shared" ca="1" si="938"/>
        <v>0</v>
      </c>
      <c r="CD270" s="2078">
        <f t="shared" ca="1" si="939"/>
        <v>0</v>
      </c>
      <c r="CE270" s="2078">
        <f t="shared" ca="1" si="940"/>
        <v>0</v>
      </c>
      <c r="CF270" s="2078">
        <f t="shared" ca="1" si="941"/>
        <v>0</v>
      </c>
      <c r="CG270" s="2078">
        <f t="shared" ca="1" si="942"/>
        <v>0</v>
      </c>
      <c r="CH270" s="2078">
        <f t="shared" ca="1" si="943"/>
        <v>0</v>
      </c>
      <c r="CI270" s="2078">
        <f t="shared" ca="1" si="944"/>
        <v>0</v>
      </c>
      <c r="CJ270" s="2078">
        <f t="shared" ca="1" si="945"/>
        <v>0</v>
      </c>
      <c r="CK270" s="2078">
        <f t="shared" ca="1" si="946"/>
        <v>0</v>
      </c>
      <c r="CL270" s="2078">
        <f t="shared" ca="1" si="947"/>
        <v>0</v>
      </c>
      <c r="CM270" s="2078">
        <f t="shared" si="968"/>
        <v>1</v>
      </c>
      <c r="CN270" s="2078">
        <f t="shared" si="969"/>
        <v>1</v>
      </c>
      <c r="CO270" s="2078">
        <f t="shared" si="958"/>
        <v>1</v>
      </c>
      <c r="CP270" s="2078">
        <f t="shared" si="948"/>
        <v>1</v>
      </c>
      <c r="CQ270" s="2078">
        <f t="shared" si="959"/>
        <v>0</v>
      </c>
      <c r="CR270" s="2078">
        <f t="shared" si="879"/>
        <v>0</v>
      </c>
      <c r="CS270" s="2078">
        <f t="shared" si="949"/>
        <v>0</v>
      </c>
      <c r="CT270" s="2078">
        <f t="shared" si="960"/>
        <v>1</v>
      </c>
      <c r="CU270" s="2078">
        <f t="shared" si="950"/>
        <v>1</v>
      </c>
      <c r="CV270" s="2078">
        <f t="shared" si="970"/>
        <v>0</v>
      </c>
      <c r="CW270" s="2078">
        <f>IF(OR(AE270&lt;&gt;3,F270="Exclude"),0,IF(ISERROR(MATCH($E270,'4 Sign-off'!$S$123:$X$123,0)),0,1))</f>
        <v>0</v>
      </c>
      <c r="CX270" s="2078">
        <f t="shared" si="883"/>
        <v>0</v>
      </c>
      <c r="CY270" s="2078">
        <f t="shared" si="971"/>
        <v>0</v>
      </c>
      <c r="CZ270" s="2993">
        <f t="shared" ref="CZ270:CZ301" ca="1" si="980">CHOOSE($AE270,SUMIFS($CZ$173:$CZ$364,$AF$173:$AF$364,$AF270,$CY$173:$CY$364,1,$AH$173:$AH$364,1),SUMIFS($CZ$173:$CZ$364,$AG$173:$AG$364,$AG270,$CY$173:$CY$364,1,$AH$173:$AH$364,1),X270+AA270)</f>
        <v>0</v>
      </c>
      <c r="DA270" s="3037">
        <f t="shared" ref="DA270:DA301" ca="1" si="981">CHOOSE($AE270,SUMIFS($DA$173:$DA$364,$AF$173:$AF$364,$AF270,$CY$173:$CY$364,1,$AH$173:$AH$364,1),SUMIFS($DA$173:$DA$364,$AG$173:$AG$364,$AG270,$CY$173:$CY$364,1,$AH$173:$AH$364,1),CZ270-S270)</f>
        <v>0</v>
      </c>
      <c r="DB270" s="1664"/>
      <c r="DC270" s="1320"/>
      <c r="DD270" s="589"/>
      <c r="DE270" s="1321"/>
      <c r="DF270" s="107"/>
      <c r="DG270" s="112"/>
      <c r="DH270" s="140"/>
      <c r="DI270" s="22"/>
      <c r="DJ270" s="145"/>
      <c r="DK270" s="137"/>
      <c r="DL270" s="137"/>
      <c r="DM270" s="137"/>
      <c r="DN270" s="137"/>
      <c r="DO270" s="137"/>
      <c r="DP270" s="137"/>
      <c r="DQ270" s="137"/>
      <c r="DR270" s="137"/>
      <c r="DS270" s="137"/>
      <c r="DT270" s="137"/>
      <c r="DU270" s="137"/>
      <c r="DV270" s="137"/>
      <c r="DW270" s="137"/>
      <c r="DX270" s="137"/>
      <c r="DY270" s="137"/>
      <c r="DZ270" s="137"/>
      <c r="EA270" s="137"/>
      <c r="EB270" s="137"/>
      <c r="EC270" s="137"/>
      <c r="ED270" s="137"/>
      <c r="EE270" s="137"/>
      <c r="EF270" s="137"/>
      <c r="EG270" s="137"/>
      <c r="EH270" s="137"/>
      <c r="EI270" s="137"/>
      <c r="EJ270" s="137"/>
      <c r="EK270" s="137"/>
      <c r="EL270" s="137"/>
      <c r="EM270" s="137"/>
      <c r="EN270" s="137"/>
      <c r="EO270" s="137"/>
      <c r="EP270" s="137"/>
      <c r="EQ270" s="137"/>
      <c r="ER270" s="137"/>
      <c r="ES270" s="137"/>
      <c r="ET270" s="137"/>
      <c r="EU270" s="137"/>
      <c r="EV270" s="137"/>
      <c r="EW270" s="137"/>
      <c r="EX270" s="137"/>
      <c r="EY270" s="137"/>
      <c r="EZ270" s="137"/>
      <c r="FA270" s="137"/>
      <c r="FB270" s="137"/>
      <c r="FC270" s="137"/>
      <c r="FD270" s="137"/>
      <c r="FE270" s="137"/>
      <c r="FF270" s="137"/>
      <c r="FG270" s="860"/>
      <c r="FH270" s="863"/>
      <c r="FI270" s="1318"/>
      <c r="FJ270" s="126"/>
      <c r="FK270" s="127"/>
      <c r="FL270" s="128" t="str">
        <f t="shared" si="951"/>
        <v xml:space="preserve">    </v>
      </c>
      <c r="FM270" s="128"/>
      <c r="FN270" s="1686">
        <f t="shared" si="952"/>
        <v>0</v>
      </c>
      <c r="FO270" s="46">
        <f t="shared" si="972"/>
        <v>0</v>
      </c>
      <c r="FP270" s="46">
        <f t="shared" si="977"/>
        <v>1</v>
      </c>
      <c r="FQ270" s="75">
        <f t="shared" si="953"/>
        <v>0</v>
      </c>
      <c r="FR270" s="46">
        <f t="shared" si="964"/>
        <v>0</v>
      </c>
      <c r="FS270" s="46">
        <f t="shared" si="965"/>
        <v>1</v>
      </c>
      <c r="FT270" s="75">
        <f t="shared" si="954"/>
        <v>0</v>
      </c>
      <c r="FU270" s="2603">
        <f t="shared" si="973"/>
        <v>0</v>
      </c>
      <c r="FV270" s="2607">
        <f t="shared" si="974"/>
        <v>0</v>
      </c>
      <c r="FW270" s="2603">
        <f t="shared" si="975"/>
        <v>0</v>
      </c>
      <c r="FX270" s="2631">
        <f t="shared" si="976"/>
        <v>0</v>
      </c>
      <c r="FY270" s="81" t="e">
        <f t="shared" si="966"/>
        <v>#N/A</v>
      </c>
      <c r="FZ270" s="64" t="e">
        <f t="array" ref="FZ270">MATCH(1,($GT270:$LQ270&gt;0)*$GT$25:$LQ$25,0)</f>
        <v>#N/A</v>
      </c>
      <c r="GA270" s="64" t="e">
        <f t="array" ref="GA270">MATCH(2,1/(GT270:LQ270&gt;0))</f>
        <v>#N/A</v>
      </c>
      <c r="GB270" s="64">
        <f t="shared" si="955"/>
        <v>-1</v>
      </c>
      <c r="GC270" s="46"/>
      <c r="GD270" s="613"/>
      <c r="GE270" s="613"/>
      <c r="GF270" s="613"/>
      <c r="GG270" s="613"/>
      <c r="GH270" s="613"/>
      <c r="GI270" s="613"/>
      <c r="GJ270" s="613"/>
      <c r="GK270" s="613"/>
      <c r="GL270" s="613"/>
      <c r="GM270" s="613"/>
      <c r="GN270" s="385">
        <f t="shared" si="884"/>
        <v>0</v>
      </c>
      <c r="GO270" s="386">
        <f t="shared" si="885"/>
        <v>0</v>
      </c>
      <c r="GP270" s="2635"/>
      <c r="GQ270" s="175"/>
      <c r="GR270" s="172"/>
      <c r="GS270" s="65"/>
      <c r="GT270" s="167"/>
      <c r="GU270" s="168"/>
      <c r="GV270" s="168"/>
      <c r="GW270" s="168"/>
      <c r="GX270" s="168"/>
      <c r="GY270" s="168"/>
      <c r="GZ270" s="168"/>
      <c r="HA270" s="168"/>
      <c r="HB270" s="168"/>
      <c r="HC270" s="168"/>
      <c r="HD270" s="168"/>
      <c r="HE270" s="168"/>
      <c r="HF270" s="168"/>
      <c r="HG270" s="168"/>
      <c r="HH270" s="168"/>
      <c r="HI270" s="168"/>
      <c r="HJ270" s="168"/>
      <c r="HK270" s="168"/>
      <c r="HL270" s="168"/>
      <c r="HM270" s="168"/>
      <c r="HN270" s="168"/>
      <c r="HO270" s="168"/>
      <c r="HP270" s="168"/>
      <c r="HQ270" s="168"/>
      <c r="HR270" s="168"/>
      <c r="HS270" s="168"/>
      <c r="HT270" s="168"/>
      <c r="HU270" s="168"/>
      <c r="HV270" s="168"/>
      <c r="HW270" s="168"/>
      <c r="HX270" s="168"/>
      <c r="HY270" s="168"/>
      <c r="HZ270" s="168"/>
      <c r="IA270" s="168"/>
      <c r="IB270" s="168"/>
      <c r="IC270" s="168"/>
      <c r="ID270" s="168"/>
      <c r="IE270" s="168"/>
      <c r="IF270" s="168"/>
      <c r="IG270" s="168"/>
      <c r="IH270" s="168"/>
      <c r="II270" s="168"/>
      <c r="IJ270" s="168"/>
      <c r="IK270" s="168"/>
      <c r="IL270" s="168"/>
      <c r="IM270" s="168"/>
      <c r="IN270" s="168"/>
      <c r="IO270" s="168"/>
      <c r="IP270" s="168"/>
      <c r="IQ270" s="168"/>
      <c r="IR270" s="168"/>
      <c r="IS270" s="168"/>
      <c r="IT270" s="168"/>
      <c r="IU270" s="168"/>
      <c r="IV270" s="168"/>
      <c r="IW270" s="168"/>
      <c r="IX270" s="168"/>
      <c r="IY270" s="168"/>
      <c r="IZ270" s="168"/>
      <c r="JA270" s="168"/>
      <c r="JB270" s="168"/>
      <c r="JC270" s="168"/>
      <c r="JD270" s="168"/>
      <c r="JE270" s="168"/>
      <c r="JF270" s="168"/>
      <c r="JG270" s="168"/>
      <c r="JH270" s="168"/>
      <c r="JI270" s="168"/>
      <c r="JJ270" s="168"/>
      <c r="JK270" s="168"/>
      <c r="JL270" s="168"/>
      <c r="JM270" s="168"/>
      <c r="JN270" s="168"/>
      <c r="JO270" s="168"/>
      <c r="JP270" s="168"/>
      <c r="JQ270" s="168"/>
      <c r="JR270" s="168"/>
      <c r="JS270" s="168"/>
      <c r="JT270" s="168"/>
      <c r="JU270" s="168"/>
      <c r="JV270" s="168"/>
      <c r="JW270" s="168"/>
      <c r="JX270" s="168"/>
      <c r="JY270" s="168"/>
      <c r="JZ270" s="168"/>
      <c r="KA270" s="168"/>
      <c r="KB270" s="168"/>
      <c r="KC270" s="168"/>
      <c r="KD270" s="168"/>
      <c r="KE270" s="168"/>
      <c r="KF270" s="168"/>
      <c r="KG270" s="168"/>
      <c r="KH270" s="168"/>
      <c r="KI270" s="168"/>
      <c r="KJ270" s="168"/>
      <c r="KK270" s="168"/>
      <c r="KL270" s="168"/>
      <c r="KM270" s="168"/>
      <c r="KN270" s="168"/>
      <c r="KO270" s="168"/>
      <c r="KP270" s="168"/>
      <c r="KQ270" s="168"/>
      <c r="KR270" s="168"/>
      <c r="KS270" s="168"/>
      <c r="KT270" s="168"/>
      <c r="KU270" s="168"/>
      <c r="KV270" s="168"/>
      <c r="KW270" s="168"/>
      <c r="KX270" s="168"/>
      <c r="KY270" s="168"/>
      <c r="KZ270" s="168"/>
      <c r="LA270" s="168"/>
      <c r="LB270" s="168"/>
      <c r="LC270" s="168"/>
      <c r="LD270" s="168"/>
      <c r="LE270" s="168"/>
      <c r="LF270" s="168"/>
      <c r="LG270" s="168"/>
      <c r="LH270" s="168"/>
      <c r="LI270" s="168"/>
      <c r="LJ270" s="168"/>
      <c r="LK270" s="168"/>
      <c r="LL270" s="168"/>
      <c r="LM270" s="168"/>
      <c r="LN270" s="168"/>
      <c r="LO270" s="168"/>
      <c r="LP270" s="606"/>
      <c r="LQ270" s="609"/>
      <c r="LR270" s="1319"/>
      <c r="LS270" s="1319"/>
    </row>
    <row r="271" spans="1:331" s="2" customFormat="1" ht="15" customHeight="1" x14ac:dyDescent="0.25">
      <c r="A271" s="283"/>
      <c r="B271" s="303"/>
      <c r="C271" s="301"/>
      <c r="D271" s="1287"/>
      <c r="E271" s="2298"/>
      <c r="F271" s="1812"/>
      <c r="G271" s="3342"/>
      <c r="H271" s="66"/>
      <c r="I271" s="1746"/>
      <c r="J271" s="1214"/>
      <c r="K271" s="105"/>
      <c r="L271" s="91"/>
      <c r="M271" s="92"/>
      <c r="N271" s="93"/>
      <c r="O271" s="94"/>
      <c r="P271" s="96"/>
      <c r="Q271" s="95"/>
      <c r="R271" s="993">
        <f t="shared" si="978"/>
        <v>0</v>
      </c>
      <c r="S271" s="23">
        <f t="shared" si="979"/>
        <v>0</v>
      </c>
      <c r="T271" s="24">
        <f t="shared" si="908"/>
        <v>0</v>
      </c>
      <c r="U271" s="24">
        <f t="shared" si="909"/>
        <v>0</v>
      </c>
      <c r="V271" s="24">
        <f t="shared" si="910"/>
        <v>0</v>
      </c>
      <c r="W271" s="24">
        <f t="shared" ca="1" si="911"/>
        <v>0</v>
      </c>
      <c r="X271" s="72">
        <f t="shared" ca="1" si="956"/>
        <v>0</v>
      </c>
      <c r="Y271" s="72">
        <f t="shared" si="912"/>
        <v>0</v>
      </c>
      <c r="Z271" s="24">
        <f t="shared" si="913"/>
        <v>0</v>
      </c>
      <c r="AA271" s="72">
        <f t="shared" si="957"/>
        <v>0</v>
      </c>
      <c r="AB271" s="24">
        <f t="shared" si="967"/>
        <v>0</v>
      </c>
      <c r="AC271" s="24">
        <f t="shared" ca="1" si="914"/>
        <v>0</v>
      </c>
      <c r="AD271" s="24">
        <f t="shared" si="886"/>
        <v>0</v>
      </c>
      <c r="AE271" s="2078">
        <f t="shared" si="961"/>
        <v>3</v>
      </c>
      <c r="AF271" s="2078">
        <f t="shared" si="962"/>
        <v>0</v>
      </c>
      <c r="AG271" s="2078">
        <f t="shared" si="963"/>
        <v>0</v>
      </c>
      <c r="AH271" s="2521">
        <f t="shared" si="887"/>
        <v>1</v>
      </c>
      <c r="AI271" s="25" t="str">
        <f t="shared" si="915"/>
        <v/>
      </c>
      <c r="AJ271" s="2521">
        <f t="shared" ca="1" si="882"/>
        <v>0</v>
      </c>
      <c r="AK271" s="2076">
        <f t="shared" ca="1" si="878"/>
        <v>0</v>
      </c>
      <c r="AL271" s="2078">
        <f>IF(ISBLANK(J271),0,ISERROR(MATCH(J271,'5  Control Accounts'!$FA$29:$FA$96,0))*1)</f>
        <v>0</v>
      </c>
      <c r="AM271" s="2076">
        <f t="shared" si="916"/>
        <v>0</v>
      </c>
      <c r="AN271" s="2078">
        <f t="shared" si="917"/>
        <v>1</v>
      </c>
      <c r="AO271" s="2079">
        <f t="shared" si="888"/>
        <v>1</v>
      </c>
      <c r="AP271" s="2079">
        <f t="shared" si="889"/>
        <v>0</v>
      </c>
      <c r="AQ271" s="2079">
        <f t="shared" si="890"/>
        <v>0</v>
      </c>
      <c r="AR271" s="2079">
        <f t="shared" si="891"/>
        <v>0</v>
      </c>
      <c r="AS271" s="2079">
        <f t="shared" si="892"/>
        <v>0</v>
      </c>
      <c r="AT271" s="2079">
        <f t="shared" si="893"/>
        <v>0</v>
      </c>
      <c r="AU271" s="2079">
        <f t="shared" si="894"/>
        <v>0</v>
      </c>
      <c r="AV271" s="2079">
        <f t="shared" si="895"/>
        <v>0</v>
      </c>
      <c r="AW271" s="2079">
        <f t="shared" si="896"/>
        <v>0</v>
      </c>
      <c r="AX271" s="2079">
        <f t="shared" si="897"/>
        <v>0</v>
      </c>
      <c r="AY271" s="2078">
        <f t="shared" si="918"/>
        <v>0</v>
      </c>
      <c r="AZ271" s="2078">
        <f t="shared" si="919"/>
        <v>0</v>
      </c>
      <c r="BA271" s="2078">
        <f t="shared" si="920"/>
        <v>0</v>
      </c>
      <c r="BB271" s="2078">
        <f t="shared" si="921"/>
        <v>0</v>
      </c>
      <c r="BC271" s="2078">
        <f t="shared" si="922"/>
        <v>0</v>
      </c>
      <c r="BD271" s="2078">
        <f t="shared" si="923"/>
        <v>0</v>
      </c>
      <c r="BE271" s="2078">
        <f t="shared" si="924"/>
        <v>0</v>
      </c>
      <c r="BF271" s="2078">
        <f t="shared" si="925"/>
        <v>0</v>
      </c>
      <c r="BG271" s="2078">
        <f t="shared" si="926"/>
        <v>0</v>
      </c>
      <c r="BH271" s="2078">
        <f t="shared" si="927"/>
        <v>0</v>
      </c>
      <c r="BI271" s="2078">
        <f t="shared" si="928"/>
        <v>0</v>
      </c>
      <c r="BJ271" s="2078">
        <f t="shared" si="929"/>
        <v>0</v>
      </c>
      <c r="BK271" s="2078">
        <f t="shared" si="930"/>
        <v>0</v>
      </c>
      <c r="BL271" s="2078">
        <f t="shared" si="931"/>
        <v>0</v>
      </c>
      <c r="BM271" s="2078">
        <f t="shared" si="932"/>
        <v>0</v>
      </c>
      <c r="BN271" s="2078">
        <f t="shared" si="933"/>
        <v>0</v>
      </c>
      <c r="BO271" s="2078">
        <f t="shared" si="934"/>
        <v>0</v>
      </c>
      <c r="BP271" s="2078">
        <f t="shared" si="935"/>
        <v>0</v>
      </c>
      <c r="BQ271" s="2078">
        <f t="shared" si="936"/>
        <v>0</v>
      </c>
      <c r="BR271" s="2078">
        <f t="shared" si="937"/>
        <v>0</v>
      </c>
      <c r="BS271" s="2079">
        <f t="shared" si="898"/>
        <v>1</v>
      </c>
      <c r="BT271" s="2079">
        <f t="shared" si="899"/>
        <v>0</v>
      </c>
      <c r="BU271" s="2079">
        <f t="shared" si="900"/>
        <v>0</v>
      </c>
      <c r="BV271" s="2079">
        <f t="shared" si="901"/>
        <v>0</v>
      </c>
      <c r="BW271" s="2079">
        <f t="shared" si="902"/>
        <v>0</v>
      </c>
      <c r="BX271" s="2079">
        <f t="shared" si="903"/>
        <v>0</v>
      </c>
      <c r="BY271" s="2079">
        <f t="shared" si="904"/>
        <v>0</v>
      </c>
      <c r="BZ271" s="2079">
        <f t="shared" si="905"/>
        <v>0</v>
      </c>
      <c r="CA271" s="2079">
        <f t="shared" si="906"/>
        <v>0</v>
      </c>
      <c r="CB271" s="2079">
        <f t="shared" si="907"/>
        <v>0</v>
      </c>
      <c r="CC271" s="2078">
        <f t="shared" ca="1" si="938"/>
        <v>0</v>
      </c>
      <c r="CD271" s="2078">
        <f t="shared" ca="1" si="939"/>
        <v>0</v>
      </c>
      <c r="CE271" s="2078">
        <f t="shared" ca="1" si="940"/>
        <v>0</v>
      </c>
      <c r="CF271" s="2078">
        <f t="shared" ca="1" si="941"/>
        <v>0</v>
      </c>
      <c r="CG271" s="2078">
        <f t="shared" ca="1" si="942"/>
        <v>0</v>
      </c>
      <c r="CH271" s="2078">
        <f t="shared" ca="1" si="943"/>
        <v>0</v>
      </c>
      <c r="CI271" s="2078">
        <f t="shared" ca="1" si="944"/>
        <v>0</v>
      </c>
      <c r="CJ271" s="2078">
        <f t="shared" ca="1" si="945"/>
        <v>0</v>
      </c>
      <c r="CK271" s="2078">
        <f t="shared" ca="1" si="946"/>
        <v>0</v>
      </c>
      <c r="CL271" s="2078">
        <f t="shared" ca="1" si="947"/>
        <v>0</v>
      </c>
      <c r="CM271" s="2078">
        <f t="shared" si="968"/>
        <v>1</v>
      </c>
      <c r="CN271" s="2078">
        <f t="shared" si="969"/>
        <v>1</v>
      </c>
      <c r="CO271" s="2078">
        <f t="shared" si="958"/>
        <v>1</v>
      </c>
      <c r="CP271" s="2078">
        <f t="shared" si="948"/>
        <v>1</v>
      </c>
      <c r="CQ271" s="2078">
        <f t="shared" si="959"/>
        <v>0</v>
      </c>
      <c r="CR271" s="2078">
        <f t="shared" si="879"/>
        <v>0</v>
      </c>
      <c r="CS271" s="2078">
        <f t="shared" si="949"/>
        <v>0</v>
      </c>
      <c r="CT271" s="2078">
        <f t="shared" si="960"/>
        <v>1</v>
      </c>
      <c r="CU271" s="2078">
        <f t="shared" si="950"/>
        <v>1</v>
      </c>
      <c r="CV271" s="2078">
        <f t="shared" si="970"/>
        <v>0</v>
      </c>
      <c r="CW271" s="2078">
        <f>IF(OR(AE271&lt;&gt;3,F271="Exclude"),0,IF(ISERROR(MATCH($E271,'4 Sign-off'!$S$123:$X$123,0)),0,1))</f>
        <v>0</v>
      </c>
      <c r="CX271" s="2078">
        <f t="shared" si="883"/>
        <v>0</v>
      </c>
      <c r="CY271" s="2078">
        <f t="shared" si="971"/>
        <v>0</v>
      </c>
      <c r="CZ271" s="2993">
        <f t="shared" ca="1" si="980"/>
        <v>0</v>
      </c>
      <c r="DA271" s="3037">
        <f t="shared" ca="1" si="981"/>
        <v>0</v>
      </c>
      <c r="DB271" s="1664"/>
      <c r="DC271" s="1320"/>
      <c r="DD271" s="589"/>
      <c r="DE271" s="1321"/>
      <c r="DF271" s="107"/>
      <c r="DG271" s="112"/>
      <c r="DH271" s="140"/>
      <c r="DI271" s="22"/>
      <c r="DJ271" s="145"/>
      <c r="DK271" s="137"/>
      <c r="DL271" s="137"/>
      <c r="DM271" s="137"/>
      <c r="DN271" s="137"/>
      <c r="DO271" s="137"/>
      <c r="DP271" s="137"/>
      <c r="DQ271" s="137"/>
      <c r="DR271" s="137"/>
      <c r="DS271" s="137"/>
      <c r="DT271" s="137"/>
      <c r="DU271" s="137"/>
      <c r="DV271" s="137"/>
      <c r="DW271" s="137"/>
      <c r="DX271" s="137"/>
      <c r="DY271" s="137"/>
      <c r="DZ271" s="137"/>
      <c r="EA271" s="137"/>
      <c r="EB271" s="137"/>
      <c r="EC271" s="137"/>
      <c r="ED271" s="137"/>
      <c r="EE271" s="137"/>
      <c r="EF271" s="137"/>
      <c r="EG271" s="137"/>
      <c r="EH271" s="137"/>
      <c r="EI271" s="137"/>
      <c r="EJ271" s="137"/>
      <c r="EK271" s="137"/>
      <c r="EL271" s="137"/>
      <c r="EM271" s="137"/>
      <c r="EN271" s="137"/>
      <c r="EO271" s="137"/>
      <c r="EP271" s="137"/>
      <c r="EQ271" s="137"/>
      <c r="ER271" s="137"/>
      <c r="ES271" s="137"/>
      <c r="ET271" s="137"/>
      <c r="EU271" s="137"/>
      <c r="EV271" s="137"/>
      <c r="EW271" s="137"/>
      <c r="EX271" s="137"/>
      <c r="EY271" s="137"/>
      <c r="EZ271" s="137"/>
      <c r="FA271" s="137"/>
      <c r="FB271" s="137"/>
      <c r="FC271" s="137"/>
      <c r="FD271" s="137"/>
      <c r="FE271" s="137"/>
      <c r="FF271" s="137"/>
      <c r="FG271" s="860"/>
      <c r="FH271" s="863"/>
      <c r="FI271" s="1318"/>
      <c r="FJ271" s="126"/>
      <c r="FK271" s="127"/>
      <c r="FL271" s="128" t="str">
        <f t="shared" si="951"/>
        <v xml:space="preserve">    </v>
      </c>
      <c r="FM271" s="128"/>
      <c r="FN271" s="1686">
        <f t="shared" si="952"/>
        <v>0</v>
      </c>
      <c r="FO271" s="46">
        <f t="shared" si="972"/>
        <v>0</v>
      </c>
      <c r="FP271" s="46">
        <f t="shared" si="977"/>
        <v>1</v>
      </c>
      <c r="FQ271" s="75">
        <f t="shared" si="953"/>
        <v>0</v>
      </c>
      <c r="FR271" s="46">
        <f t="shared" si="964"/>
        <v>0</v>
      </c>
      <c r="FS271" s="46">
        <f t="shared" si="965"/>
        <v>1</v>
      </c>
      <c r="FT271" s="75">
        <f t="shared" si="954"/>
        <v>0</v>
      </c>
      <c r="FU271" s="2603">
        <f t="shared" si="973"/>
        <v>0</v>
      </c>
      <c r="FV271" s="2607">
        <f t="shared" si="974"/>
        <v>0</v>
      </c>
      <c r="FW271" s="2603">
        <f t="shared" si="975"/>
        <v>0</v>
      </c>
      <c r="FX271" s="2631">
        <f t="shared" si="976"/>
        <v>0</v>
      </c>
      <c r="FY271" s="81" t="e">
        <f t="shared" si="966"/>
        <v>#N/A</v>
      </c>
      <c r="FZ271" s="64" t="e">
        <f t="array" ref="FZ271">MATCH(1,($GT271:$LQ271&gt;0)*$GT$25:$LQ$25,0)</f>
        <v>#N/A</v>
      </c>
      <c r="GA271" s="64" t="e">
        <f t="array" ref="GA271">MATCH(2,1/(GT271:LQ271&gt;0))</f>
        <v>#N/A</v>
      </c>
      <c r="GB271" s="64">
        <f t="shared" si="955"/>
        <v>-1</v>
      </c>
      <c r="GC271" s="46"/>
      <c r="GD271" s="613"/>
      <c r="GE271" s="613"/>
      <c r="GF271" s="613"/>
      <c r="GG271" s="613"/>
      <c r="GH271" s="613"/>
      <c r="GI271" s="613"/>
      <c r="GJ271" s="613"/>
      <c r="GK271" s="613"/>
      <c r="GL271" s="613"/>
      <c r="GM271" s="613"/>
      <c r="GN271" s="385">
        <f t="shared" si="884"/>
        <v>0</v>
      </c>
      <c r="GO271" s="386">
        <f t="shared" si="885"/>
        <v>0</v>
      </c>
      <c r="GP271" s="2635"/>
      <c r="GQ271" s="175"/>
      <c r="GR271" s="172"/>
      <c r="GS271" s="65"/>
      <c r="GT271" s="167"/>
      <c r="GU271" s="168"/>
      <c r="GV271" s="168"/>
      <c r="GW271" s="168"/>
      <c r="GX271" s="168"/>
      <c r="GY271" s="168"/>
      <c r="GZ271" s="168"/>
      <c r="HA271" s="168"/>
      <c r="HB271" s="168"/>
      <c r="HC271" s="168"/>
      <c r="HD271" s="168"/>
      <c r="HE271" s="168"/>
      <c r="HF271" s="168"/>
      <c r="HG271" s="168"/>
      <c r="HH271" s="168"/>
      <c r="HI271" s="168"/>
      <c r="HJ271" s="168"/>
      <c r="HK271" s="168"/>
      <c r="HL271" s="168"/>
      <c r="HM271" s="168"/>
      <c r="HN271" s="168"/>
      <c r="HO271" s="168"/>
      <c r="HP271" s="168"/>
      <c r="HQ271" s="168"/>
      <c r="HR271" s="168"/>
      <c r="HS271" s="168"/>
      <c r="HT271" s="168"/>
      <c r="HU271" s="168"/>
      <c r="HV271" s="168"/>
      <c r="HW271" s="168"/>
      <c r="HX271" s="168"/>
      <c r="HY271" s="168"/>
      <c r="HZ271" s="168"/>
      <c r="IA271" s="168"/>
      <c r="IB271" s="168"/>
      <c r="IC271" s="168"/>
      <c r="ID271" s="168"/>
      <c r="IE271" s="168"/>
      <c r="IF271" s="168"/>
      <c r="IG271" s="168"/>
      <c r="IH271" s="168"/>
      <c r="II271" s="168"/>
      <c r="IJ271" s="168"/>
      <c r="IK271" s="168"/>
      <c r="IL271" s="168"/>
      <c r="IM271" s="168"/>
      <c r="IN271" s="168"/>
      <c r="IO271" s="168"/>
      <c r="IP271" s="168"/>
      <c r="IQ271" s="168"/>
      <c r="IR271" s="168"/>
      <c r="IS271" s="168"/>
      <c r="IT271" s="168"/>
      <c r="IU271" s="168"/>
      <c r="IV271" s="168"/>
      <c r="IW271" s="168"/>
      <c r="IX271" s="168"/>
      <c r="IY271" s="168"/>
      <c r="IZ271" s="168"/>
      <c r="JA271" s="168"/>
      <c r="JB271" s="168"/>
      <c r="JC271" s="168"/>
      <c r="JD271" s="168"/>
      <c r="JE271" s="168"/>
      <c r="JF271" s="168"/>
      <c r="JG271" s="168"/>
      <c r="JH271" s="168"/>
      <c r="JI271" s="168"/>
      <c r="JJ271" s="168"/>
      <c r="JK271" s="168"/>
      <c r="JL271" s="168"/>
      <c r="JM271" s="168"/>
      <c r="JN271" s="168"/>
      <c r="JO271" s="168"/>
      <c r="JP271" s="168"/>
      <c r="JQ271" s="168"/>
      <c r="JR271" s="168"/>
      <c r="JS271" s="168"/>
      <c r="JT271" s="168"/>
      <c r="JU271" s="168"/>
      <c r="JV271" s="168"/>
      <c r="JW271" s="168"/>
      <c r="JX271" s="168"/>
      <c r="JY271" s="168"/>
      <c r="JZ271" s="168"/>
      <c r="KA271" s="168"/>
      <c r="KB271" s="168"/>
      <c r="KC271" s="168"/>
      <c r="KD271" s="168"/>
      <c r="KE271" s="168"/>
      <c r="KF271" s="168"/>
      <c r="KG271" s="168"/>
      <c r="KH271" s="168"/>
      <c r="KI271" s="168"/>
      <c r="KJ271" s="168"/>
      <c r="KK271" s="168"/>
      <c r="KL271" s="168"/>
      <c r="KM271" s="168"/>
      <c r="KN271" s="168"/>
      <c r="KO271" s="168"/>
      <c r="KP271" s="168"/>
      <c r="KQ271" s="168"/>
      <c r="KR271" s="168"/>
      <c r="KS271" s="168"/>
      <c r="KT271" s="168"/>
      <c r="KU271" s="168"/>
      <c r="KV271" s="168"/>
      <c r="KW271" s="168"/>
      <c r="KX271" s="168"/>
      <c r="KY271" s="168"/>
      <c r="KZ271" s="168"/>
      <c r="LA271" s="168"/>
      <c r="LB271" s="168"/>
      <c r="LC271" s="168"/>
      <c r="LD271" s="168"/>
      <c r="LE271" s="168"/>
      <c r="LF271" s="168"/>
      <c r="LG271" s="168"/>
      <c r="LH271" s="168"/>
      <c r="LI271" s="168"/>
      <c r="LJ271" s="168"/>
      <c r="LK271" s="168"/>
      <c r="LL271" s="168"/>
      <c r="LM271" s="168"/>
      <c r="LN271" s="168"/>
      <c r="LO271" s="168"/>
      <c r="LP271" s="606"/>
      <c r="LQ271" s="609"/>
      <c r="LR271" s="1319"/>
      <c r="LS271" s="1319"/>
    </row>
    <row r="272" spans="1:331" s="2" customFormat="1" ht="15" customHeight="1" x14ac:dyDescent="0.25">
      <c r="A272" s="283"/>
      <c r="B272" s="303"/>
      <c r="C272" s="301"/>
      <c r="D272" s="1287"/>
      <c r="E272" s="2298"/>
      <c r="F272" s="1812"/>
      <c r="G272" s="3342"/>
      <c r="H272" s="66"/>
      <c r="I272" s="1746"/>
      <c r="J272" s="1214"/>
      <c r="K272" s="105"/>
      <c r="L272" s="91"/>
      <c r="M272" s="92"/>
      <c r="N272" s="93"/>
      <c r="O272" s="94"/>
      <c r="P272" s="96"/>
      <c r="Q272" s="95"/>
      <c r="R272" s="993">
        <f t="shared" si="978"/>
        <v>0</v>
      </c>
      <c r="S272" s="23">
        <f t="shared" si="979"/>
        <v>0</v>
      </c>
      <c r="T272" s="24">
        <f t="shared" si="908"/>
        <v>0</v>
      </c>
      <c r="U272" s="24">
        <f t="shared" si="909"/>
        <v>0</v>
      </c>
      <c r="V272" s="24">
        <f t="shared" si="910"/>
        <v>0</v>
      </c>
      <c r="W272" s="24">
        <f t="shared" ca="1" si="911"/>
        <v>0</v>
      </c>
      <c r="X272" s="72">
        <f t="shared" ca="1" si="956"/>
        <v>0</v>
      </c>
      <c r="Y272" s="72">
        <f t="shared" si="912"/>
        <v>0</v>
      </c>
      <c r="Z272" s="24">
        <f t="shared" si="913"/>
        <v>0</v>
      </c>
      <c r="AA272" s="72">
        <f t="shared" si="957"/>
        <v>0</v>
      </c>
      <c r="AB272" s="24">
        <f t="shared" si="967"/>
        <v>0</v>
      </c>
      <c r="AC272" s="24">
        <f t="shared" ca="1" si="914"/>
        <v>0</v>
      </c>
      <c r="AD272" s="24">
        <f t="shared" si="886"/>
        <v>0</v>
      </c>
      <c r="AE272" s="2078">
        <f t="shared" si="961"/>
        <v>3</v>
      </c>
      <c r="AF272" s="2078">
        <f t="shared" si="962"/>
        <v>0</v>
      </c>
      <c r="AG272" s="2078">
        <f t="shared" si="963"/>
        <v>0</v>
      </c>
      <c r="AH272" s="2521">
        <f t="shared" si="887"/>
        <v>1</v>
      </c>
      <c r="AI272" s="25" t="str">
        <f t="shared" si="915"/>
        <v/>
      </c>
      <c r="AJ272" s="2521">
        <f t="shared" ca="1" si="882"/>
        <v>0</v>
      </c>
      <c r="AK272" s="2076">
        <f t="shared" ca="1" si="878"/>
        <v>0</v>
      </c>
      <c r="AL272" s="2078">
        <f>IF(ISBLANK(J272),0,ISERROR(MATCH(J272,'5  Control Accounts'!$FA$29:$FA$96,0))*1)</f>
        <v>0</v>
      </c>
      <c r="AM272" s="2076">
        <f t="shared" si="916"/>
        <v>0</v>
      </c>
      <c r="AN272" s="2078">
        <f t="shared" si="917"/>
        <v>1</v>
      </c>
      <c r="AO272" s="2079">
        <f t="shared" si="888"/>
        <v>1</v>
      </c>
      <c r="AP272" s="2079">
        <f t="shared" si="889"/>
        <v>0</v>
      </c>
      <c r="AQ272" s="2079">
        <f t="shared" si="890"/>
        <v>0</v>
      </c>
      <c r="AR272" s="2079">
        <f t="shared" si="891"/>
        <v>0</v>
      </c>
      <c r="AS272" s="2079">
        <f t="shared" si="892"/>
        <v>0</v>
      </c>
      <c r="AT272" s="2079">
        <f t="shared" si="893"/>
        <v>0</v>
      </c>
      <c r="AU272" s="2079">
        <f t="shared" si="894"/>
        <v>0</v>
      </c>
      <c r="AV272" s="2079">
        <f t="shared" si="895"/>
        <v>0</v>
      </c>
      <c r="AW272" s="2079">
        <f t="shared" si="896"/>
        <v>0</v>
      </c>
      <c r="AX272" s="2079">
        <f t="shared" si="897"/>
        <v>0</v>
      </c>
      <c r="AY272" s="2078">
        <f t="shared" si="918"/>
        <v>0</v>
      </c>
      <c r="AZ272" s="2078">
        <f t="shared" si="919"/>
        <v>0</v>
      </c>
      <c r="BA272" s="2078">
        <f t="shared" si="920"/>
        <v>0</v>
      </c>
      <c r="BB272" s="2078">
        <f t="shared" si="921"/>
        <v>0</v>
      </c>
      <c r="BC272" s="2078">
        <f t="shared" si="922"/>
        <v>0</v>
      </c>
      <c r="BD272" s="2078">
        <f t="shared" si="923"/>
        <v>0</v>
      </c>
      <c r="BE272" s="2078">
        <f t="shared" si="924"/>
        <v>0</v>
      </c>
      <c r="BF272" s="2078">
        <f t="shared" si="925"/>
        <v>0</v>
      </c>
      <c r="BG272" s="2078">
        <f t="shared" si="926"/>
        <v>0</v>
      </c>
      <c r="BH272" s="2078">
        <f t="shared" si="927"/>
        <v>0</v>
      </c>
      <c r="BI272" s="2078">
        <f t="shared" si="928"/>
        <v>0</v>
      </c>
      <c r="BJ272" s="2078">
        <f t="shared" si="929"/>
        <v>0</v>
      </c>
      <c r="BK272" s="2078">
        <f t="shared" si="930"/>
        <v>0</v>
      </c>
      <c r="BL272" s="2078">
        <f t="shared" si="931"/>
        <v>0</v>
      </c>
      <c r="BM272" s="2078">
        <f t="shared" si="932"/>
        <v>0</v>
      </c>
      <c r="BN272" s="2078">
        <f t="shared" si="933"/>
        <v>0</v>
      </c>
      <c r="BO272" s="2078">
        <f t="shared" si="934"/>
        <v>0</v>
      </c>
      <c r="BP272" s="2078">
        <f t="shared" si="935"/>
        <v>0</v>
      </c>
      <c r="BQ272" s="2078">
        <f t="shared" si="936"/>
        <v>0</v>
      </c>
      <c r="BR272" s="2078">
        <f t="shared" si="937"/>
        <v>0</v>
      </c>
      <c r="BS272" s="2079">
        <f t="shared" si="898"/>
        <v>1</v>
      </c>
      <c r="BT272" s="2079">
        <f t="shared" si="899"/>
        <v>0</v>
      </c>
      <c r="BU272" s="2079">
        <f t="shared" si="900"/>
        <v>0</v>
      </c>
      <c r="BV272" s="2079">
        <f t="shared" si="901"/>
        <v>0</v>
      </c>
      <c r="BW272" s="2079">
        <f t="shared" si="902"/>
        <v>0</v>
      </c>
      <c r="BX272" s="2079">
        <f t="shared" si="903"/>
        <v>0</v>
      </c>
      <c r="BY272" s="2079">
        <f t="shared" si="904"/>
        <v>0</v>
      </c>
      <c r="BZ272" s="2079">
        <f t="shared" si="905"/>
        <v>0</v>
      </c>
      <c r="CA272" s="2079">
        <f t="shared" si="906"/>
        <v>0</v>
      </c>
      <c r="CB272" s="2079">
        <f t="shared" si="907"/>
        <v>0</v>
      </c>
      <c r="CC272" s="2078">
        <f t="shared" ca="1" si="938"/>
        <v>0</v>
      </c>
      <c r="CD272" s="2078">
        <f t="shared" ca="1" si="939"/>
        <v>0</v>
      </c>
      <c r="CE272" s="2078">
        <f t="shared" ca="1" si="940"/>
        <v>0</v>
      </c>
      <c r="CF272" s="2078">
        <f t="shared" ca="1" si="941"/>
        <v>0</v>
      </c>
      <c r="CG272" s="2078">
        <f t="shared" ca="1" si="942"/>
        <v>0</v>
      </c>
      <c r="CH272" s="2078">
        <f t="shared" ca="1" si="943"/>
        <v>0</v>
      </c>
      <c r="CI272" s="2078">
        <f t="shared" ca="1" si="944"/>
        <v>0</v>
      </c>
      <c r="CJ272" s="2078">
        <f t="shared" ca="1" si="945"/>
        <v>0</v>
      </c>
      <c r="CK272" s="2078">
        <f t="shared" ca="1" si="946"/>
        <v>0</v>
      </c>
      <c r="CL272" s="2078">
        <f t="shared" ca="1" si="947"/>
        <v>0</v>
      </c>
      <c r="CM272" s="2078">
        <f t="shared" si="968"/>
        <v>1</v>
      </c>
      <c r="CN272" s="2078">
        <f t="shared" si="969"/>
        <v>1</v>
      </c>
      <c r="CO272" s="2078">
        <f t="shared" si="958"/>
        <v>1</v>
      </c>
      <c r="CP272" s="2078">
        <f t="shared" si="948"/>
        <v>1</v>
      </c>
      <c r="CQ272" s="2078">
        <f t="shared" si="959"/>
        <v>0</v>
      </c>
      <c r="CR272" s="2078">
        <f t="shared" si="879"/>
        <v>0</v>
      </c>
      <c r="CS272" s="2078">
        <f t="shared" si="949"/>
        <v>0</v>
      </c>
      <c r="CT272" s="2078">
        <f t="shared" si="960"/>
        <v>1</v>
      </c>
      <c r="CU272" s="2078">
        <f t="shared" si="950"/>
        <v>1</v>
      </c>
      <c r="CV272" s="2078">
        <f t="shared" si="970"/>
        <v>0</v>
      </c>
      <c r="CW272" s="2078">
        <f>IF(OR(AE272&lt;&gt;3,F272="Exclude"),0,IF(ISERROR(MATCH($E272,'4 Sign-off'!$S$123:$X$123,0)),0,1))</f>
        <v>0</v>
      </c>
      <c r="CX272" s="2078">
        <f t="shared" si="883"/>
        <v>0</v>
      </c>
      <c r="CY272" s="2078">
        <f t="shared" si="971"/>
        <v>0</v>
      </c>
      <c r="CZ272" s="2993">
        <f t="shared" ca="1" si="980"/>
        <v>0</v>
      </c>
      <c r="DA272" s="3037">
        <f t="shared" ca="1" si="981"/>
        <v>0</v>
      </c>
      <c r="DB272" s="1664"/>
      <c r="DC272" s="1320"/>
      <c r="DD272" s="589"/>
      <c r="DE272" s="1321"/>
      <c r="DF272" s="107"/>
      <c r="DG272" s="112"/>
      <c r="DH272" s="140"/>
      <c r="DI272" s="22"/>
      <c r="DJ272" s="145"/>
      <c r="DK272" s="137"/>
      <c r="DL272" s="137"/>
      <c r="DM272" s="137"/>
      <c r="DN272" s="137"/>
      <c r="DO272" s="137"/>
      <c r="DP272" s="137"/>
      <c r="DQ272" s="137"/>
      <c r="DR272" s="137"/>
      <c r="DS272" s="137"/>
      <c r="DT272" s="137"/>
      <c r="DU272" s="137"/>
      <c r="DV272" s="137"/>
      <c r="DW272" s="137"/>
      <c r="DX272" s="137"/>
      <c r="DY272" s="137"/>
      <c r="DZ272" s="137"/>
      <c r="EA272" s="137"/>
      <c r="EB272" s="137"/>
      <c r="EC272" s="137"/>
      <c r="ED272" s="137"/>
      <c r="EE272" s="137"/>
      <c r="EF272" s="137"/>
      <c r="EG272" s="137"/>
      <c r="EH272" s="137"/>
      <c r="EI272" s="137"/>
      <c r="EJ272" s="137"/>
      <c r="EK272" s="137"/>
      <c r="EL272" s="137"/>
      <c r="EM272" s="137"/>
      <c r="EN272" s="137"/>
      <c r="EO272" s="137"/>
      <c r="EP272" s="137"/>
      <c r="EQ272" s="137"/>
      <c r="ER272" s="137"/>
      <c r="ES272" s="137"/>
      <c r="ET272" s="137"/>
      <c r="EU272" s="137"/>
      <c r="EV272" s="137"/>
      <c r="EW272" s="137"/>
      <c r="EX272" s="137"/>
      <c r="EY272" s="137"/>
      <c r="EZ272" s="137"/>
      <c r="FA272" s="137"/>
      <c r="FB272" s="137"/>
      <c r="FC272" s="137"/>
      <c r="FD272" s="137"/>
      <c r="FE272" s="137"/>
      <c r="FF272" s="137"/>
      <c r="FG272" s="860"/>
      <c r="FH272" s="863"/>
      <c r="FI272" s="1318"/>
      <c r="FJ272" s="126"/>
      <c r="FK272" s="127"/>
      <c r="FL272" s="128" t="str">
        <f t="shared" si="951"/>
        <v xml:space="preserve">    </v>
      </c>
      <c r="FM272" s="128"/>
      <c r="FN272" s="1686">
        <f t="shared" si="952"/>
        <v>0</v>
      </c>
      <c r="FO272" s="46">
        <f t="shared" si="972"/>
        <v>0</v>
      </c>
      <c r="FP272" s="46">
        <f t="shared" si="977"/>
        <v>1</v>
      </c>
      <c r="FQ272" s="75">
        <f t="shared" si="953"/>
        <v>0</v>
      </c>
      <c r="FR272" s="46">
        <f t="shared" si="964"/>
        <v>0</v>
      </c>
      <c r="FS272" s="46">
        <f t="shared" si="965"/>
        <v>1</v>
      </c>
      <c r="FT272" s="75">
        <f t="shared" si="954"/>
        <v>0</v>
      </c>
      <c r="FU272" s="2603">
        <f t="shared" si="973"/>
        <v>0</v>
      </c>
      <c r="FV272" s="2607">
        <f t="shared" si="974"/>
        <v>0</v>
      </c>
      <c r="FW272" s="2603">
        <f t="shared" si="975"/>
        <v>0</v>
      </c>
      <c r="FX272" s="2631">
        <f t="shared" si="976"/>
        <v>0</v>
      </c>
      <c r="FY272" s="81" t="e">
        <f t="shared" si="966"/>
        <v>#N/A</v>
      </c>
      <c r="FZ272" s="64" t="e">
        <f t="array" ref="FZ272">MATCH(1,($GT272:$LQ272&gt;0)*$GT$25:$LQ$25,0)</f>
        <v>#N/A</v>
      </c>
      <c r="GA272" s="64" t="e">
        <f t="array" ref="GA272">MATCH(2,1/(GT272:LQ272&gt;0))</f>
        <v>#N/A</v>
      </c>
      <c r="GB272" s="64">
        <f t="shared" si="955"/>
        <v>-1</v>
      </c>
      <c r="GC272" s="46"/>
      <c r="GD272" s="613"/>
      <c r="GE272" s="613"/>
      <c r="GF272" s="613"/>
      <c r="GG272" s="613"/>
      <c r="GH272" s="613"/>
      <c r="GI272" s="613"/>
      <c r="GJ272" s="613"/>
      <c r="GK272" s="613"/>
      <c r="GL272" s="613"/>
      <c r="GM272" s="613"/>
      <c r="GN272" s="385">
        <f t="shared" si="884"/>
        <v>0</v>
      </c>
      <c r="GO272" s="386">
        <f t="shared" si="885"/>
        <v>0</v>
      </c>
      <c r="GP272" s="2635"/>
      <c r="GQ272" s="175"/>
      <c r="GR272" s="172"/>
      <c r="GS272" s="65"/>
      <c r="GT272" s="167"/>
      <c r="GU272" s="168"/>
      <c r="GV272" s="168"/>
      <c r="GW272" s="168"/>
      <c r="GX272" s="168"/>
      <c r="GY272" s="168"/>
      <c r="GZ272" s="168"/>
      <c r="HA272" s="168"/>
      <c r="HB272" s="168"/>
      <c r="HC272" s="168"/>
      <c r="HD272" s="168"/>
      <c r="HE272" s="168"/>
      <c r="HF272" s="168"/>
      <c r="HG272" s="168"/>
      <c r="HH272" s="168"/>
      <c r="HI272" s="168"/>
      <c r="HJ272" s="168"/>
      <c r="HK272" s="168"/>
      <c r="HL272" s="168"/>
      <c r="HM272" s="168"/>
      <c r="HN272" s="168"/>
      <c r="HO272" s="168"/>
      <c r="HP272" s="168"/>
      <c r="HQ272" s="168"/>
      <c r="HR272" s="168"/>
      <c r="HS272" s="168"/>
      <c r="HT272" s="168"/>
      <c r="HU272" s="168"/>
      <c r="HV272" s="168"/>
      <c r="HW272" s="168"/>
      <c r="HX272" s="168"/>
      <c r="HY272" s="168"/>
      <c r="HZ272" s="168"/>
      <c r="IA272" s="168"/>
      <c r="IB272" s="168"/>
      <c r="IC272" s="168"/>
      <c r="ID272" s="168"/>
      <c r="IE272" s="168"/>
      <c r="IF272" s="168"/>
      <c r="IG272" s="168"/>
      <c r="IH272" s="168"/>
      <c r="II272" s="168"/>
      <c r="IJ272" s="168"/>
      <c r="IK272" s="168"/>
      <c r="IL272" s="168"/>
      <c r="IM272" s="168"/>
      <c r="IN272" s="168"/>
      <c r="IO272" s="168"/>
      <c r="IP272" s="168"/>
      <c r="IQ272" s="168"/>
      <c r="IR272" s="168"/>
      <c r="IS272" s="168"/>
      <c r="IT272" s="168"/>
      <c r="IU272" s="168"/>
      <c r="IV272" s="168"/>
      <c r="IW272" s="168"/>
      <c r="IX272" s="168"/>
      <c r="IY272" s="168"/>
      <c r="IZ272" s="168"/>
      <c r="JA272" s="168"/>
      <c r="JB272" s="168"/>
      <c r="JC272" s="168"/>
      <c r="JD272" s="168"/>
      <c r="JE272" s="168"/>
      <c r="JF272" s="168"/>
      <c r="JG272" s="168"/>
      <c r="JH272" s="168"/>
      <c r="JI272" s="168"/>
      <c r="JJ272" s="168"/>
      <c r="JK272" s="168"/>
      <c r="JL272" s="168"/>
      <c r="JM272" s="168"/>
      <c r="JN272" s="168"/>
      <c r="JO272" s="168"/>
      <c r="JP272" s="168"/>
      <c r="JQ272" s="168"/>
      <c r="JR272" s="168"/>
      <c r="JS272" s="168"/>
      <c r="JT272" s="168"/>
      <c r="JU272" s="168"/>
      <c r="JV272" s="168"/>
      <c r="JW272" s="168"/>
      <c r="JX272" s="168"/>
      <c r="JY272" s="168"/>
      <c r="JZ272" s="168"/>
      <c r="KA272" s="168"/>
      <c r="KB272" s="168"/>
      <c r="KC272" s="168"/>
      <c r="KD272" s="168"/>
      <c r="KE272" s="168"/>
      <c r="KF272" s="168"/>
      <c r="KG272" s="168"/>
      <c r="KH272" s="168"/>
      <c r="KI272" s="168"/>
      <c r="KJ272" s="168"/>
      <c r="KK272" s="168"/>
      <c r="KL272" s="168"/>
      <c r="KM272" s="168"/>
      <c r="KN272" s="168"/>
      <c r="KO272" s="168"/>
      <c r="KP272" s="168"/>
      <c r="KQ272" s="168"/>
      <c r="KR272" s="168"/>
      <c r="KS272" s="168"/>
      <c r="KT272" s="168"/>
      <c r="KU272" s="168"/>
      <c r="KV272" s="168"/>
      <c r="KW272" s="168"/>
      <c r="KX272" s="168"/>
      <c r="KY272" s="168"/>
      <c r="KZ272" s="168"/>
      <c r="LA272" s="168"/>
      <c r="LB272" s="168"/>
      <c r="LC272" s="168"/>
      <c r="LD272" s="168"/>
      <c r="LE272" s="168"/>
      <c r="LF272" s="168"/>
      <c r="LG272" s="168"/>
      <c r="LH272" s="168"/>
      <c r="LI272" s="168"/>
      <c r="LJ272" s="168"/>
      <c r="LK272" s="168"/>
      <c r="LL272" s="168"/>
      <c r="LM272" s="168"/>
      <c r="LN272" s="168"/>
      <c r="LO272" s="168"/>
      <c r="LP272" s="606"/>
      <c r="LQ272" s="609"/>
      <c r="LR272" s="1319"/>
      <c r="LS272" s="1319"/>
    </row>
    <row r="273" spans="1:331" s="2" customFormat="1" ht="15" customHeight="1" x14ac:dyDescent="0.25">
      <c r="A273" s="283"/>
      <c r="B273" s="303"/>
      <c r="C273" s="301"/>
      <c r="D273" s="1287"/>
      <c r="E273" s="2298"/>
      <c r="F273" s="1812"/>
      <c r="G273" s="3342"/>
      <c r="H273" s="66"/>
      <c r="I273" s="1746"/>
      <c r="J273" s="1214"/>
      <c r="K273" s="105"/>
      <c r="L273" s="91"/>
      <c r="M273" s="92"/>
      <c r="N273" s="93"/>
      <c r="O273" s="94"/>
      <c r="P273" s="96"/>
      <c r="Q273" s="95"/>
      <c r="R273" s="993">
        <f t="shared" si="978"/>
        <v>0</v>
      </c>
      <c r="S273" s="23">
        <f t="shared" si="979"/>
        <v>0</v>
      </c>
      <c r="T273" s="24">
        <f t="shared" si="908"/>
        <v>0</v>
      </c>
      <c r="U273" s="24">
        <f t="shared" si="909"/>
        <v>0</v>
      </c>
      <c r="V273" s="24">
        <f t="shared" si="910"/>
        <v>0</v>
      </c>
      <c r="W273" s="24">
        <f t="shared" ca="1" si="911"/>
        <v>0</v>
      </c>
      <c r="X273" s="72">
        <f t="shared" ca="1" si="956"/>
        <v>0</v>
      </c>
      <c r="Y273" s="72">
        <f t="shared" si="912"/>
        <v>0</v>
      </c>
      <c r="Z273" s="24">
        <f t="shared" si="913"/>
        <v>0</v>
      </c>
      <c r="AA273" s="72">
        <f t="shared" si="957"/>
        <v>0</v>
      </c>
      <c r="AB273" s="24">
        <f t="shared" si="967"/>
        <v>0</v>
      </c>
      <c r="AC273" s="24">
        <f t="shared" ca="1" si="914"/>
        <v>0</v>
      </c>
      <c r="AD273" s="24">
        <f t="shared" si="886"/>
        <v>0</v>
      </c>
      <c r="AE273" s="2078">
        <f t="shared" si="961"/>
        <v>3</v>
      </c>
      <c r="AF273" s="2078">
        <f t="shared" si="962"/>
        <v>0</v>
      </c>
      <c r="AG273" s="2078">
        <f t="shared" si="963"/>
        <v>0</v>
      </c>
      <c r="AH273" s="2521">
        <f t="shared" si="887"/>
        <v>1</v>
      </c>
      <c r="AI273" s="25" t="str">
        <f t="shared" si="915"/>
        <v/>
      </c>
      <c r="AJ273" s="2521">
        <f t="shared" ca="1" si="882"/>
        <v>0</v>
      </c>
      <c r="AK273" s="2076">
        <f t="shared" ca="1" si="878"/>
        <v>0</v>
      </c>
      <c r="AL273" s="2078">
        <f>IF(ISBLANK(J273),0,ISERROR(MATCH(J273,'5  Control Accounts'!$FA$29:$FA$96,0))*1)</f>
        <v>0</v>
      </c>
      <c r="AM273" s="2076">
        <f t="shared" si="916"/>
        <v>0</v>
      </c>
      <c r="AN273" s="2078">
        <f t="shared" si="917"/>
        <v>1</v>
      </c>
      <c r="AO273" s="2079">
        <f t="shared" si="888"/>
        <v>1</v>
      </c>
      <c r="AP273" s="2079">
        <f t="shared" si="889"/>
        <v>0</v>
      </c>
      <c r="AQ273" s="2079">
        <f t="shared" si="890"/>
        <v>0</v>
      </c>
      <c r="AR273" s="2079">
        <f t="shared" si="891"/>
        <v>0</v>
      </c>
      <c r="AS273" s="2079">
        <f t="shared" si="892"/>
        <v>0</v>
      </c>
      <c r="AT273" s="2079">
        <f t="shared" si="893"/>
        <v>0</v>
      </c>
      <c r="AU273" s="2079">
        <f t="shared" si="894"/>
        <v>0</v>
      </c>
      <c r="AV273" s="2079">
        <f t="shared" si="895"/>
        <v>0</v>
      </c>
      <c r="AW273" s="2079">
        <f t="shared" si="896"/>
        <v>0</v>
      </c>
      <c r="AX273" s="2079">
        <f t="shared" si="897"/>
        <v>0</v>
      </c>
      <c r="AY273" s="2078">
        <f t="shared" si="918"/>
        <v>0</v>
      </c>
      <c r="AZ273" s="2078">
        <f t="shared" si="919"/>
        <v>0</v>
      </c>
      <c r="BA273" s="2078">
        <f t="shared" si="920"/>
        <v>0</v>
      </c>
      <c r="BB273" s="2078">
        <f t="shared" si="921"/>
        <v>0</v>
      </c>
      <c r="BC273" s="2078">
        <f t="shared" si="922"/>
        <v>0</v>
      </c>
      <c r="BD273" s="2078">
        <f t="shared" si="923"/>
        <v>0</v>
      </c>
      <c r="BE273" s="2078">
        <f t="shared" si="924"/>
        <v>0</v>
      </c>
      <c r="BF273" s="2078">
        <f t="shared" si="925"/>
        <v>0</v>
      </c>
      <c r="BG273" s="2078">
        <f t="shared" si="926"/>
        <v>0</v>
      </c>
      <c r="BH273" s="2078">
        <f t="shared" si="927"/>
        <v>0</v>
      </c>
      <c r="BI273" s="2078">
        <f t="shared" si="928"/>
        <v>0</v>
      </c>
      <c r="BJ273" s="2078">
        <f t="shared" si="929"/>
        <v>0</v>
      </c>
      <c r="BK273" s="2078">
        <f t="shared" si="930"/>
        <v>0</v>
      </c>
      <c r="BL273" s="2078">
        <f t="shared" si="931"/>
        <v>0</v>
      </c>
      <c r="BM273" s="2078">
        <f t="shared" si="932"/>
        <v>0</v>
      </c>
      <c r="BN273" s="2078">
        <f t="shared" si="933"/>
        <v>0</v>
      </c>
      <c r="BO273" s="2078">
        <f t="shared" si="934"/>
        <v>0</v>
      </c>
      <c r="BP273" s="2078">
        <f t="shared" si="935"/>
        <v>0</v>
      </c>
      <c r="BQ273" s="2078">
        <f t="shared" si="936"/>
        <v>0</v>
      </c>
      <c r="BR273" s="2078">
        <f t="shared" si="937"/>
        <v>0</v>
      </c>
      <c r="BS273" s="2079">
        <f t="shared" si="898"/>
        <v>1</v>
      </c>
      <c r="BT273" s="2079">
        <f t="shared" si="899"/>
        <v>0</v>
      </c>
      <c r="BU273" s="2079">
        <f t="shared" si="900"/>
        <v>0</v>
      </c>
      <c r="BV273" s="2079">
        <f t="shared" si="901"/>
        <v>0</v>
      </c>
      <c r="BW273" s="2079">
        <f t="shared" si="902"/>
        <v>0</v>
      </c>
      <c r="BX273" s="2079">
        <f t="shared" si="903"/>
        <v>0</v>
      </c>
      <c r="BY273" s="2079">
        <f t="shared" si="904"/>
        <v>0</v>
      </c>
      <c r="BZ273" s="2079">
        <f t="shared" si="905"/>
        <v>0</v>
      </c>
      <c r="CA273" s="2079">
        <f t="shared" si="906"/>
        <v>0</v>
      </c>
      <c r="CB273" s="2079">
        <f t="shared" si="907"/>
        <v>0</v>
      </c>
      <c r="CC273" s="2078">
        <f t="shared" ca="1" si="938"/>
        <v>0</v>
      </c>
      <c r="CD273" s="2078">
        <f t="shared" ca="1" si="939"/>
        <v>0</v>
      </c>
      <c r="CE273" s="2078">
        <f t="shared" ca="1" si="940"/>
        <v>0</v>
      </c>
      <c r="CF273" s="2078">
        <f t="shared" ca="1" si="941"/>
        <v>0</v>
      </c>
      <c r="CG273" s="2078">
        <f t="shared" ca="1" si="942"/>
        <v>0</v>
      </c>
      <c r="CH273" s="2078">
        <f t="shared" ca="1" si="943"/>
        <v>0</v>
      </c>
      <c r="CI273" s="2078">
        <f t="shared" ca="1" si="944"/>
        <v>0</v>
      </c>
      <c r="CJ273" s="2078">
        <f t="shared" ca="1" si="945"/>
        <v>0</v>
      </c>
      <c r="CK273" s="2078">
        <f t="shared" ca="1" si="946"/>
        <v>0</v>
      </c>
      <c r="CL273" s="2078">
        <f t="shared" ca="1" si="947"/>
        <v>0</v>
      </c>
      <c r="CM273" s="2078">
        <f t="shared" si="968"/>
        <v>1</v>
      </c>
      <c r="CN273" s="2078">
        <f t="shared" si="969"/>
        <v>1</v>
      </c>
      <c r="CO273" s="2078">
        <f t="shared" si="958"/>
        <v>1</v>
      </c>
      <c r="CP273" s="2078">
        <f t="shared" si="948"/>
        <v>1</v>
      </c>
      <c r="CQ273" s="2078">
        <f t="shared" si="959"/>
        <v>0</v>
      </c>
      <c r="CR273" s="2078">
        <f t="shared" si="879"/>
        <v>0</v>
      </c>
      <c r="CS273" s="2078">
        <f t="shared" si="949"/>
        <v>0</v>
      </c>
      <c r="CT273" s="2078">
        <f t="shared" si="960"/>
        <v>1</v>
      </c>
      <c r="CU273" s="2078">
        <f t="shared" si="950"/>
        <v>1</v>
      </c>
      <c r="CV273" s="2078">
        <f t="shared" si="970"/>
        <v>0</v>
      </c>
      <c r="CW273" s="2078">
        <f>IF(OR(AE273&lt;&gt;3,F273="Exclude"),0,IF(ISERROR(MATCH($E273,'4 Sign-off'!$S$123:$X$123,0)),0,1))</f>
        <v>0</v>
      </c>
      <c r="CX273" s="2078">
        <f t="shared" si="883"/>
        <v>0</v>
      </c>
      <c r="CY273" s="2078">
        <f t="shared" si="971"/>
        <v>0</v>
      </c>
      <c r="CZ273" s="2993">
        <f t="shared" ca="1" si="980"/>
        <v>0</v>
      </c>
      <c r="DA273" s="3037">
        <f t="shared" ca="1" si="981"/>
        <v>0</v>
      </c>
      <c r="DB273" s="1664"/>
      <c r="DC273" s="1320"/>
      <c r="DD273" s="589"/>
      <c r="DE273" s="1321"/>
      <c r="DF273" s="107"/>
      <c r="DG273" s="112"/>
      <c r="DH273" s="140"/>
      <c r="DI273" s="22"/>
      <c r="DJ273" s="145"/>
      <c r="DK273" s="137"/>
      <c r="DL273" s="137"/>
      <c r="DM273" s="137"/>
      <c r="DN273" s="137"/>
      <c r="DO273" s="137"/>
      <c r="DP273" s="137"/>
      <c r="DQ273" s="137"/>
      <c r="DR273" s="137"/>
      <c r="DS273" s="137"/>
      <c r="DT273" s="137"/>
      <c r="DU273" s="137"/>
      <c r="DV273" s="137"/>
      <c r="DW273" s="137"/>
      <c r="DX273" s="137"/>
      <c r="DY273" s="137"/>
      <c r="DZ273" s="137"/>
      <c r="EA273" s="137"/>
      <c r="EB273" s="137"/>
      <c r="EC273" s="137"/>
      <c r="ED273" s="137"/>
      <c r="EE273" s="137"/>
      <c r="EF273" s="137"/>
      <c r="EG273" s="137"/>
      <c r="EH273" s="137"/>
      <c r="EI273" s="137"/>
      <c r="EJ273" s="137"/>
      <c r="EK273" s="137"/>
      <c r="EL273" s="137"/>
      <c r="EM273" s="137"/>
      <c r="EN273" s="137"/>
      <c r="EO273" s="137"/>
      <c r="EP273" s="137"/>
      <c r="EQ273" s="137"/>
      <c r="ER273" s="137"/>
      <c r="ES273" s="137"/>
      <c r="ET273" s="137"/>
      <c r="EU273" s="137"/>
      <c r="EV273" s="137"/>
      <c r="EW273" s="137"/>
      <c r="EX273" s="137"/>
      <c r="EY273" s="137"/>
      <c r="EZ273" s="137"/>
      <c r="FA273" s="137"/>
      <c r="FB273" s="137"/>
      <c r="FC273" s="137"/>
      <c r="FD273" s="137"/>
      <c r="FE273" s="137"/>
      <c r="FF273" s="137"/>
      <c r="FG273" s="860"/>
      <c r="FH273" s="863"/>
      <c r="FI273" s="1318"/>
      <c r="FJ273" s="126"/>
      <c r="FK273" s="127"/>
      <c r="FL273" s="128" t="str">
        <f t="shared" si="951"/>
        <v xml:space="preserve">    </v>
      </c>
      <c r="FM273" s="128"/>
      <c r="FN273" s="1686">
        <f t="shared" si="952"/>
        <v>0</v>
      </c>
      <c r="FO273" s="46">
        <f t="shared" si="972"/>
        <v>0</v>
      </c>
      <c r="FP273" s="46">
        <f t="shared" si="977"/>
        <v>1</v>
      </c>
      <c r="FQ273" s="75">
        <f t="shared" si="953"/>
        <v>0</v>
      </c>
      <c r="FR273" s="46">
        <f t="shared" si="964"/>
        <v>0</v>
      </c>
      <c r="FS273" s="46">
        <f t="shared" si="965"/>
        <v>1</v>
      </c>
      <c r="FT273" s="75">
        <f t="shared" si="954"/>
        <v>0</v>
      </c>
      <c r="FU273" s="2603">
        <f t="shared" si="973"/>
        <v>0</v>
      </c>
      <c r="FV273" s="2607">
        <f t="shared" si="974"/>
        <v>0</v>
      </c>
      <c r="FW273" s="2603">
        <f t="shared" si="975"/>
        <v>0</v>
      </c>
      <c r="FX273" s="2631">
        <f t="shared" si="976"/>
        <v>0</v>
      </c>
      <c r="FY273" s="81" t="e">
        <f t="shared" si="966"/>
        <v>#N/A</v>
      </c>
      <c r="FZ273" s="64" t="e">
        <f t="array" ref="FZ273">MATCH(1,($GT273:$LQ273&gt;0)*$GT$25:$LQ$25,0)</f>
        <v>#N/A</v>
      </c>
      <c r="GA273" s="64" t="e">
        <f t="array" ref="GA273">MATCH(2,1/(GT273:LQ273&gt;0))</f>
        <v>#N/A</v>
      </c>
      <c r="GB273" s="64">
        <f t="shared" si="955"/>
        <v>-1</v>
      </c>
      <c r="GC273" s="46"/>
      <c r="GD273" s="613"/>
      <c r="GE273" s="613"/>
      <c r="GF273" s="613"/>
      <c r="GG273" s="613"/>
      <c r="GH273" s="613"/>
      <c r="GI273" s="613"/>
      <c r="GJ273" s="613"/>
      <c r="GK273" s="613"/>
      <c r="GL273" s="613"/>
      <c r="GM273" s="613"/>
      <c r="GN273" s="385">
        <f t="shared" si="884"/>
        <v>0</v>
      </c>
      <c r="GO273" s="386">
        <f t="shared" si="885"/>
        <v>0</v>
      </c>
      <c r="GP273" s="2635"/>
      <c r="GQ273" s="175"/>
      <c r="GR273" s="172"/>
      <c r="GS273" s="65"/>
      <c r="GT273" s="167"/>
      <c r="GU273" s="168"/>
      <c r="GV273" s="168"/>
      <c r="GW273" s="168"/>
      <c r="GX273" s="168"/>
      <c r="GY273" s="168"/>
      <c r="GZ273" s="168"/>
      <c r="HA273" s="168"/>
      <c r="HB273" s="168"/>
      <c r="HC273" s="168"/>
      <c r="HD273" s="168"/>
      <c r="HE273" s="168"/>
      <c r="HF273" s="168"/>
      <c r="HG273" s="168"/>
      <c r="HH273" s="168"/>
      <c r="HI273" s="168"/>
      <c r="HJ273" s="168"/>
      <c r="HK273" s="168"/>
      <c r="HL273" s="168"/>
      <c r="HM273" s="168"/>
      <c r="HN273" s="168"/>
      <c r="HO273" s="168"/>
      <c r="HP273" s="168"/>
      <c r="HQ273" s="168"/>
      <c r="HR273" s="168"/>
      <c r="HS273" s="168"/>
      <c r="HT273" s="168"/>
      <c r="HU273" s="168"/>
      <c r="HV273" s="168"/>
      <c r="HW273" s="168"/>
      <c r="HX273" s="168"/>
      <c r="HY273" s="168"/>
      <c r="HZ273" s="168"/>
      <c r="IA273" s="168"/>
      <c r="IB273" s="168"/>
      <c r="IC273" s="168"/>
      <c r="ID273" s="168"/>
      <c r="IE273" s="168"/>
      <c r="IF273" s="168"/>
      <c r="IG273" s="168"/>
      <c r="IH273" s="168"/>
      <c r="II273" s="168"/>
      <c r="IJ273" s="168"/>
      <c r="IK273" s="168"/>
      <c r="IL273" s="168"/>
      <c r="IM273" s="168"/>
      <c r="IN273" s="168"/>
      <c r="IO273" s="168"/>
      <c r="IP273" s="168"/>
      <c r="IQ273" s="168"/>
      <c r="IR273" s="168"/>
      <c r="IS273" s="168"/>
      <c r="IT273" s="168"/>
      <c r="IU273" s="168"/>
      <c r="IV273" s="168"/>
      <c r="IW273" s="168"/>
      <c r="IX273" s="168"/>
      <c r="IY273" s="168"/>
      <c r="IZ273" s="168"/>
      <c r="JA273" s="168"/>
      <c r="JB273" s="168"/>
      <c r="JC273" s="168"/>
      <c r="JD273" s="168"/>
      <c r="JE273" s="168"/>
      <c r="JF273" s="168"/>
      <c r="JG273" s="168"/>
      <c r="JH273" s="168"/>
      <c r="JI273" s="168"/>
      <c r="JJ273" s="168"/>
      <c r="JK273" s="168"/>
      <c r="JL273" s="168"/>
      <c r="JM273" s="168"/>
      <c r="JN273" s="168"/>
      <c r="JO273" s="168"/>
      <c r="JP273" s="168"/>
      <c r="JQ273" s="168"/>
      <c r="JR273" s="168"/>
      <c r="JS273" s="168"/>
      <c r="JT273" s="168"/>
      <c r="JU273" s="168"/>
      <c r="JV273" s="168"/>
      <c r="JW273" s="168"/>
      <c r="JX273" s="168"/>
      <c r="JY273" s="168"/>
      <c r="JZ273" s="168"/>
      <c r="KA273" s="168"/>
      <c r="KB273" s="168"/>
      <c r="KC273" s="168"/>
      <c r="KD273" s="168"/>
      <c r="KE273" s="168"/>
      <c r="KF273" s="168"/>
      <c r="KG273" s="168"/>
      <c r="KH273" s="168"/>
      <c r="KI273" s="168"/>
      <c r="KJ273" s="168"/>
      <c r="KK273" s="168"/>
      <c r="KL273" s="168"/>
      <c r="KM273" s="168"/>
      <c r="KN273" s="168"/>
      <c r="KO273" s="168"/>
      <c r="KP273" s="168"/>
      <c r="KQ273" s="168"/>
      <c r="KR273" s="168"/>
      <c r="KS273" s="168"/>
      <c r="KT273" s="168"/>
      <c r="KU273" s="168"/>
      <c r="KV273" s="168"/>
      <c r="KW273" s="168"/>
      <c r="KX273" s="168"/>
      <c r="KY273" s="168"/>
      <c r="KZ273" s="168"/>
      <c r="LA273" s="168"/>
      <c r="LB273" s="168"/>
      <c r="LC273" s="168"/>
      <c r="LD273" s="168"/>
      <c r="LE273" s="168"/>
      <c r="LF273" s="168"/>
      <c r="LG273" s="168"/>
      <c r="LH273" s="168"/>
      <c r="LI273" s="168"/>
      <c r="LJ273" s="168"/>
      <c r="LK273" s="168"/>
      <c r="LL273" s="168"/>
      <c r="LM273" s="168"/>
      <c r="LN273" s="168"/>
      <c r="LO273" s="168"/>
      <c r="LP273" s="606"/>
      <c r="LQ273" s="609"/>
      <c r="LR273" s="1319"/>
      <c r="LS273" s="1319"/>
    </row>
    <row r="274" spans="1:331" s="2" customFormat="1" ht="15" customHeight="1" x14ac:dyDescent="0.25">
      <c r="A274" s="283"/>
      <c r="B274" s="303"/>
      <c r="C274" s="301"/>
      <c r="D274" s="1287"/>
      <c r="E274" s="2298"/>
      <c r="F274" s="1812"/>
      <c r="G274" s="3342"/>
      <c r="H274" s="66"/>
      <c r="I274" s="1746"/>
      <c r="J274" s="1214"/>
      <c r="K274" s="105"/>
      <c r="L274" s="91"/>
      <c r="M274" s="92"/>
      <c r="N274" s="93"/>
      <c r="O274" s="94"/>
      <c r="P274" s="96"/>
      <c r="Q274" s="95"/>
      <c r="R274" s="993">
        <f t="shared" si="978"/>
        <v>0</v>
      </c>
      <c r="S274" s="23">
        <f t="shared" si="979"/>
        <v>0</v>
      </c>
      <c r="T274" s="24">
        <f t="shared" si="908"/>
        <v>0</v>
      </c>
      <c r="U274" s="24">
        <f t="shared" si="909"/>
        <v>0</v>
      </c>
      <c r="V274" s="24">
        <f t="shared" si="910"/>
        <v>0</v>
      </c>
      <c r="W274" s="24">
        <f t="shared" ca="1" si="911"/>
        <v>0</v>
      </c>
      <c r="X274" s="72">
        <f t="shared" ca="1" si="956"/>
        <v>0</v>
      </c>
      <c r="Y274" s="72">
        <f t="shared" si="912"/>
        <v>0</v>
      </c>
      <c r="Z274" s="24">
        <f t="shared" si="913"/>
        <v>0</v>
      </c>
      <c r="AA274" s="72">
        <f t="shared" si="957"/>
        <v>0</v>
      </c>
      <c r="AB274" s="24">
        <f t="shared" si="967"/>
        <v>0</v>
      </c>
      <c r="AC274" s="24">
        <f t="shared" ca="1" si="914"/>
        <v>0</v>
      </c>
      <c r="AD274" s="24">
        <f t="shared" si="886"/>
        <v>0</v>
      </c>
      <c r="AE274" s="2078">
        <f t="shared" si="961"/>
        <v>3</v>
      </c>
      <c r="AF274" s="2078">
        <f t="shared" si="962"/>
        <v>0</v>
      </c>
      <c r="AG274" s="2078">
        <f t="shared" si="963"/>
        <v>0</v>
      </c>
      <c r="AH274" s="2521">
        <f t="shared" si="887"/>
        <v>1</v>
      </c>
      <c r="AI274" s="25" t="str">
        <f t="shared" si="915"/>
        <v/>
      </c>
      <c r="AJ274" s="2521">
        <f t="shared" ca="1" si="882"/>
        <v>0</v>
      </c>
      <c r="AK274" s="2076">
        <f t="shared" ca="1" si="878"/>
        <v>0</v>
      </c>
      <c r="AL274" s="2078">
        <f>IF(ISBLANK(J274),0,ISERROR(MATCH(J274,'5  Control Accounts'!$FA$29:$FA$96,0))*1)</f>
        <v>0</v>
      </c>
      <c r="AM274" s="2076">
        <f t="shared" si="916"/>
        <v>0</v>
      </c>
      <c r="AN274" s="2078">
        <f t="shared" si="917"/>
        <v>1</v>
      </c>
      <c r="AO274" s="2079">
        <f t="shared" si="888"/>
        <v>1</v>
      </c>
      <c r="AP274" s="2079">
        <f t="shared" si="889"/>
        <v>0</v>
      </c>
      <c r="AQ274" s="2079">
        <f t="shared" si="890"/>
        <v>0</v>
      </c>
      <c r="AR274" s="2079">
        <f t="shared" si="891"/>
        <v>0</v>
      </c>
      <c r="AS274" s="2079">
        <f t="shared" si="892"/>
        <v>0</v>
      </c>
      <c r="AT274" s="2079">
        <f t="shared" si="893"/>
        <v>0</v>
      </c>
      <c r="AU274" s="2079">
        <f t="shared" si="894"/>
        <v>0</v>
      </c>
      <c r="AV274" s="2079">
        <f t="shared" si="895"/>
        <v>0</v>
      </c>
      <c r="AW274" s="2079">
        <f t="shared" si="896"/>
        <v>0</v>
      </c>
      <c r="AX274" s="2079">
        <f t="shared" si="897"/>
        <v>0</v>
      </c>
      <c r="AY274" s="2078">
        <f t="shared" si="918"/>
        <v>0</v>
      </c>
      <c r="AZ274" s="2078">
        <f t="shared" si="919"/>
        <v>0</v>
      </c>
      <c r="BA274" s="2078">
        <f t="shared" si="920"/>
        <v>0</v>
      </c>
      <c r="BB274" s="2078">
        <f t="shared" si="921"/>
        <v>0</v>
      </c>
      <c r="BC274" s="2078">
        <f t="shared" si="922"/>
        <v>0</v>
      </c>
      <c r="BD274" s="2078">
        <f t="shared" si="923"/>
        <v>0</v>
      </c>
      <c r="BE274" s="2078">
        <f t="shared" si="924"/>
        <v>0</v>
      </c>
      <c r="BF274" s="2078">
        <f t="shared" si="925"/>
        <v>0</v>
      </c>
      <c r="BG274" s="2078">
        <f t="shared" si="926"/>
        <v>0</v>
      </c>
      <c r="BH274" s="2078">
        <f t="shared" si="927"/>
        <v>0</v>
      </c>
      <c r="BI274" s="2078">
        <f t="shared" si="928"/>
        <v>0</v>
      </c>
      <c r="BJ274" s="2078">
        <f t="shared" si="929"/>
        <v>0</v>
      </c>
      <c r="BK274" s="2078">
        <f t="shared" si="930"/>
        <v>0</v>
      </c>
      <c r="BL274" s="2078">
        <f t="shared" si="931"/>
        <v>0</v>
      </c>
      <c r="BM274" s="2078">
        <f t="shared" si="932"/>
        <v>0</v>
      </c>
      <c r="BN274" s="2078">
        <f t="shared" si="933"/>
        <v>0</v>
      </c>
      <c r="BO274" s="2078">
        <f t="shared" si="934"/>
        <v>0</v>
      </c>
      <c r="BP274" s="2078">
        <f t="shared" si="935"/>
        <v>0</v>
      </c>
      <c r="BQ274" s="2078">
        <f t="shared" si="936"/>
        <v>0</v>
      </c>
      <c r="BR274" s="2078">
        <f t="shared" si="937"/>
        <v>0</v>
      </c>
      <c r="BS274" s="2079">
        <f t="shared" si="898"/>
        <v>1</v>
      </c>
      <c r="BT274" s="2079">
        <f t="shared" si="899"/>
        <v>0</v>
      </c>
      <c r="BU274" s="2079">
        <f t="shared" si="900"/>
        <v>0</v>
      </c>
      <c r="BV274" s="2079">
        <f t="shared" si="901"/>
        <v>0</v>
      </c>
      <c r="BW274" s="2079">
        <f t="shared" si="902"/>
        <v>0</v>
      </c>
      <c r="BX274" s="2079">
        <f t="shared" si="903"/>
        <v>0</v>
      </c>
      <c r="BY274" s="2079">
        <f t="shared" si="904"/>
        <v>0</v>
      </c>
      <c r="BZ274" s="2079">
        <f t="shared" si="905"/>
        <v>0</v>
      </c>
      <c r="CA274" s="2079">
        <f t="shared" si="906"/>
        <v>0</v>
      </c>
      <c r="CB274" s="2079">
        <f t="shared" si="907"/>
        <v>0</v>
      </c>
      <c r="CC274" s="2078">
        <f t="shared" ca="1" si="938"/>
        <v>0</v>
      </c>
      <c r="CD274" s="2078">
        <f t="shared" ca="1" si="939"/>
        <v>0</v>
      </c>
      <c r="CE274" s="2078">
        <f t="shared" ca="1" si="940"/>
        <v>0</v>
      </c>
      <c r="CF274" s="2078">
        <f t="shared" ca="1" si="941"/>
        <v>0</v>
      </c>
      <c r="CG274" s="2078">
        <f t="shared" ca="1" si="942"/>
        <v>0</v>
      </c>
      <c r="CH274" s="2078">
        <f t="shared" ca="1" si="943"/>
        <v>0</v>
      </c>
      <c r="CI274" s="2078">
        <f t="shared" ca="1" si="944"/>
        <v>0</v>
      </c>
      <c r="CJ274" s="2078">
        <f t="shared" ca="1" si="945"/>
        <v>0</v>
      </c>
      <c r="CK274" s="2078">
        <f t="shared" ca="1" si="946"/>
        <v>0</v>
      </c>
      <c r="CL274" s="2078">
        <f t="shared" ca="1" si="947"/>
        <v>0</v>
      </c>
      <c r="CM274" s="2078">
        <f t="shared" si="968"/>
        <v>1</v>
      </c>
      <c r="CN274" s="2078">
        <f t="shared" si="969"/>
        <v>1</v>
      </c>
      <c r="CO274" s="2078">
        <f t="shared" si="958"/>
        <v>1</v>
      </c>
      <c r="CP274" s="2078">
        <f t="shared" si="948"/>
        <v>1</v>
      </c>
      <c r="CQ274" s="2078">
        <f t="shared" si="959"/>
        <v>0</v>
      </c>
      <c r="CR274" s="2078">
        <f t="shared" si="879"/>
        <v>0</v>
      </c>
      <c r="CS274" s="2078">
        <f t="shared" si="949"/>
        <v>0</v>
      </c>
      <c r="CT274" s="2078">
        <f t="shared" si="960"/>
        <v>1</v>
      </c>
      <c r="CU274" s="2078">
        <f t="shared" si="950"/>
        <v>1</v>
      </c>
      <c r="CV274" s="2078">
        <f t="shared" si="970"/>
        <v>0</v>
      </c>
      <c r="CW274" s="2078">
        <f>IF(OR(AE274&lt;&gt;3,F274="Exclude"),0,IF(ISERROR(MATCH($E274,'4 Sign-off'!$S$123:$X$123,0)),0,1))</f>
        <v>0</v>
      </c>
      <c r="CX274" s="2078">
        <f t="shared" si="883"/>
        <v>0</v>
      </c>
      <c r="CY274" s="2078">
        <f t="shared" si="971"/>
        <v>0</v>
      </c>
      <c r="CZ274" s="2993">
        <f t="shared" ca="1" si="980"/>
        <v>0</v>
      </c>
      <c r="DA274" s="3037">
        <f t="shared" ca="1" si="981"/>
        <v>0</v>
      </c>
      <c r="DB274" s="1664"/>
      <c r="DC274" s="1320"/>
      <c r="DD274" s="589"/>
      <c r="DE274" s="1321"/>
      <c r="DF274" s="107"/>
      <c r="DG274" s="112"/>
      <c r="DH274" s="140"/>
      <c r="DI274" s="22"/>
      <c r="DJ274" s="145"/>
      <c r="DK274" s="137"/>
      <c r="DL274" s="137"/>
      <c r="DM274" s="137"/>
      <c r="DN274" s="137"/>
      <c r="DO274" s="137"/>
      <c r="DP274" s="137"/>
      <c r="DQ274" s="137"/>
      <c r="DR274" s="137"/>
      <c r="DS274" s="137"/>
      <c r="DT274" s="137"/>
      <c r="DU274" s="137"/>
      <c r="DV274" s="137"/>
      <c r="DW274" s="137"/>
      <c r="DX274" s="137"/>
      <c r="DY274" s="137"/>
      <c r="DZ274" s="137"/>
      <c r="EA274" s="137"/>
      <c r="EB274" s="137"/>
      <c r="EC274" s="137"/>
      <c r="ED274" s="137"/>
      <c r="EE274" s="137"/>
      <c r="EF274" s="137"/>
      <c r="EG274" s="137"/>
      <c r="EH274" s="137"/>
      <c r="EI274" s="137"/>
      <c r="EJ274" s="137"/>
      <c r="EK274" s="137"/>
      <c r="EL274" s="137"/>
      <c r="EM274" s="137"/>
      <c r="EN274" s="137"/>
      <c r="EO274" s="137"/>
      <c r="EP274" s="137"/>
      <c r="EQ274" s="137"/>
      <c r="ER274" s="137"/>
      <c r="ES274" s="137"/>
      <c r="ET274" s="137"/>
      <c r="EU274" s="137"/>
      <c r="EV274" s="137"/>
      <c r="EW274" s="137"/>
      <c r="EX274" s="137"/>
      <c r="EY274" s="137"/>
      <c r="EZ274" s="137"/>
      <c r="FA274" s="137"/>
      <c r="FB274" s="137"/>
      <c r="FC274" s="137"/>
      <c r="FD274" s="137"/>
      <c r="FE274" s="137"/>
      <c r="FF274" s="137"/>
      <c r="FG274" s="860"/>
      <c r="FH274" s="863"/>
      <c r="FI274" s="1318"/>
      <c r="FJ274" s="126"/>
      <c r="FK274" s="127"/>
      <c r="FL274" s="128" t="str">
        <f t="shared" si="951"/>
        <v xml:space="preserve">    </v>
      </c>
      <c r="FM274" s="128"/>
      <c r="FN274" s="1686">
        <f t="shared" si="952"/>
        <v>0</v>
      </c>
      <c r="FO274" s="46">
        <f t="shared" si="972"/>
        <v>0</v>
      </c>
      <c r="FP274" s="46">
        <f t="shared" si="977"/>
        <v>1</v>
      </c>
      <c r="FQ274" s="75">
        <f t="shared" si="953"/>
        <v>0</v>
      </c>
      <c r="FR274" s="46">
        <f t="shared" si="964"/>
        <v>0</v>
      </c>
      <c r="FS274" s="46">
        <f t="shared" si="965"/>
        <v>1</v>
      </c>
      <c r="FT274" s="75">
        <f t="shared" si="954"/>
        <v>0</v>
      </c>
      <c r="FU274" s="2603">
        <f t="shared" si="973"/>
        <v>0</v>
      </c>
      <c r="FV274" s="2607">
        <f t="shared" si="974"/>
        <v>0</v>
      </c>
      <c r="FW274" s="2603">
        <f t="shared" si="975"/>
        <v>0</v>
      </c>
      <c r="FX274" s="2631">
        <f t="shared" si="976"/>
        <v>0</v>
      </c>
      <c r="FY274" s="81" t="e">
        <f t="shared" si="966"/>
        <v>#N/A</v>
      </c>
      <c r="FZ274" s="64" t="e">
        <f t="array" ref="FZ274">MATCH(1,($GT274:$LQ274&gt;0)*$GT$25:$LQ$25,0)</f>
        <v>#N/A</v>
      </c>
      <c r="GA274" s="64" t="e">
        <f t="array" ref="GA274">MATCH(2,1/(GT274:LQ274&gt;0))</f>
        <v>#N/A</v>
      </c>
      <c r="GB274" s="64">
        <f t="shared" si="955"/>
        <v>-1</v>
      </c>
      <c r="GC274" s="46"/>
      <c r="GD274" s="613"/>
      <c r="GE274" s="613"/>
      <c r="GF274" s="613"/>
      <c r="GG274" s="613"/>
      <c r="GH274" s="613"/>
      <c r="GI274" s="613"/>
      <c r="GJ274" s="613"/>
      <c r="GK274" s="613"/>
      <c r="GL274" s="613"/>
      <c r="GM274" s="613"/>
      <c r="GN274" s="385">
        <f t="shared" si="884"/>
        <v>0</v>
      </c>
      <c r="GO274" s="386">
        <f t="shared" si="885"/>
        <v>0</v>
      </c>
      <c r="GP274" s="2635"/>
      <c r="GQ274" s="175"/>
      <c r="GR274" s="172"/>
      <c r="GS274" s="65"/>
      <c r="GT274" s="167"/>
      <c r="GU274" s="168"/>
      <c r="GV274" s="168"/>
      <c r="GW274" s="168"/>
      <c r="GX274" s="168"/>
      <c r="GY274" s="168"/>
      <c r="GZ274" s="168"/>
      <c r="HA274" s="168"/>
      <c r="HB274" s="168"/>
      <c r="HC274" s="168"/>
      <c r="HD274" s="168"/>
      <c r="HE274" s="168"/>
      <c r="HF274" s="168"/>
      <c r="HG274" s="168"/>
      <c r="HH274" s="168"/>
      <c r="HI274" s="168"/>
      <c r="HJ274" s="168"/>
      <c r="HK274" s="168"/>
      <c r="HL274" s="168"/>
      <c r="HM274" s="168"/>
      <c r="HN274" s="168"/>
      <c r="HO274" s="168"/>
      <c r="HP274" s="168"/>
      <c r="HQ274" s="168"/>
      <c r="HR274" s="168"/>
      <c r="HS274" s="168"/>
      <c r="HT274" s="168"/>
      <c r="HU274" s="168"/>
      <c r="HV274" s="168"/>
      <c r="HW274" s="168"/>
      <c r="HX274" s="168"/>
      <c r="HY274" s="168"/>
      <c r="HZ274" s="168"/>
      <c r="IA274" s="168"/>
      <c r="IB274" s="168"/>
      <c r="IC274" s="168"/>
      <c r="ID274" s="168"/>
      <c r="IE274" s="168"/>
      <c r="IF274" s="168"/>
      <c r="IG274" s="168"/>
      <c r="IH274" s="168"/>
      <c r="II274" s="168"/>
      <c r="IJ274" s="168"/>
      <c r="IK274" s="168"/>
      <c r="IL274" s="168"/>
      <c r="IM274" s="168"/>
      <c r="IN274" s="168"/>
      <c r="IO274" s="168"/>
      <c r="IP274" s="168"/>
      <c r="IQ274" s="168"/>
      <c r="IR274" s="168"/>
      <c r="IS274" s="168"/>
      <c r="IT274" s="168"/>
      <c r="IU274" s="168"/>
      <c r="IV274" s="168"/>
      <c r="IW274" s="168"/>
      <c r="IX274" s="168"/>
      <c r="IY274" s="168"/>
      <c r="IZ274" s="168"/>
      <c r="JA274" s="168"/>
      <c r="JB274" s="168"/>
      <c r="JC274" s="168"/>
      <c r="JD274" s="168"/>
      <c r="JE274" s="168"/>
      <c r="JF274" s="168"/>
      <c r="JG274" s="168"/>
      <c r="JH274" s="168"/>
      <c r="JI274" s="168"/>
      <c r="JJ274" s="168"/>
      <c r="JK274" s="168"/>
      <c r="JL274" s="168"/>
      <c r="JM274" s="168"/>
      <c r="JN274" s="168"/>
      <c r="JO274" s="168"/>
      <c r="JP274" s="168"/>
      <c r="JQ274" s="168"/>
      <c r="JR274" s="168"/>
      <c r="JS274" s="168"/>
      <c r="JT274" s="168"/>
      <c r="JU274" s="168"/>
      <c r="JV274" s="168"/>
      <c r="JW274" s="168"/>
      <c r="JX274" s="168"/>
      <c r="JY274" s="168"/>
      <c r="JZ274" s="168"/>
      <c r="KA274" s="168"/>
      <c r="KB274" s="168"/>
      <c r="KC274" s="168"/>
      <c r="KD274" s="168"/>
      <c r="KE274" s="168"/>
      <c r="KF274" s="168"/>
      <c r="KG274" s="168"/>
      <c r="KH274" s="168"/>
      <c r="KI274" s="168"/>
      <c r="KJ274" s="168"/>
      <c r="KK274" s="168"/>
      <c r="KL274" s="168"/>
      <c r="KM274" s="168"/>
      <c r="KN274" s="168"/>
      <c r="KO274" s="168"/>
      <c r="KP274" s="168"/>
      <c r="KQ274" s="168"/>
      <c r="KR274" s="168"/>
      <c r="KS274" s="168"/>
      <c r="KT274" s="168"/>
      <c r="KU274" s="168"/>
      <c r="KV274" s="168"/>
      <c r="KW274" s="168"/>
      <c r="KX274" s="168"/>
      <c r="KY274" s="168"/>
      <c r="KZ274" s="168"/>
      <c r="LA274" s="168"/>
      <c r="LB274" s="168"/>
      <c r="LC274" s="168"/>
      <c r="LD274" s="168"/>
      <c r="LE274" s="168"/>
      <c r="LF274" s="168"/>
      <c r="LG274" s="168"/>
      <c r="LH274" s="168"/>
      <c r="LI274" s="168"/>
      <c r="LJ274" s="168"/>
      <c r="LK274" s="168"/>
      <c r="LL274" s="168"/>
      <c r="LM274" s="168"/>
      <c r="LN274" s="168"/>
      <c r="LO274" s="168"/>
      <c r="LP274" s="606"/>
      <c r="LQ274" s="609"/>
      <c r="LR274" s="1319"/>
      <c r="LS274" s="1319"/>
    </row>
    <row r="275" spans="1:331" s="2" customFormat="1" ht="15" customHeight="1" x14ac:dyDescent="0.25">
      <c r="A275" s="283"/>
      <c r="B275" s="303"/>
      <c r="C275" s="301"/>
      <c r="D275" s="1287"/>
      <c r="E275" s="2298"/>
      <c r="F275" s="1812"/>
      <c r="G275" s="3342"/>
      <c r="H275" s="66"/>
      <c r="I275" s="1746"/>
      <c r="J275" s="1214"/>
      <c r="K275" s="105"/>
      <c r="L275" s="91"/>
      <c r="M275" s="92"/>
      <c r="N275" s="93"/>
      <c r="O275" s="94"/>
      <c r="P275" s="96"/>
      <c r="Q275" s="95"/>
      <c r="R275" s="993">
        <f t="shared" si="978"/>
        <v>0</v>
      </c>
      <c r="S275" s="23">
        <f t="shared" si="979"/>
        <v>0</v>
      </c>
      <c r="T275" s="24">
        <f t="shared" si="908"/>
        <v>0</v>
      </c>
      <c r="U275" s="24">
        <f t="shared" si="909"/>
        <v>0</v>
      </c>
      <c r="V275" s="24">
        <f t="shared" si="910"/>
        <v>0</v>
      </c>
      <c r="W275" s="24">
        <f t="shared" ca="1" si="911"/>
        <v>0</v>
      </c>
      <c r="X275" s="72">
        <f t="shared" ca="1" si="956"/>
        <v>0</v>
      </c>
      <c r="Y275" s="72">
        <f t="shared" si="912"/>
        <v>0</v>
      </c>
      <c r="Z275" s="24">
        <f t="shared" si="913"/>
        <v>0</v>
      </c>
      <c r="AA275" s="72">
        <f t="shared" si="957"/>
        <v>0</v>
      </c>
      <c r="AB275" s="24">
        <f t="shared" si="967"/>
        <v>0</v>
      </c>
      <c r="AC275" s="24">
        <f t="shared" ca="1" si="914"/>
        <v>0</v>
      </c>
      <c r="AD275" s="24">
        <f t="shared" si="886"/>
        <v>0</v>
      </c>
      <c r="AE275" s="2078">
        <f t="shared" si="961"/>
        <v>3</v>
      </c>
      <c r="AF275" s="2078">
        <f t="shared" si="962"/>
        <v>0</v>
      </c>
      <c r="AG275" s="2078">
        <f t="shared" si="963"/>
        <v>0</v>
      </c>
      <c r="AH275" s="2521">
        <f t="shared" si="887"/>
        <v>1</v>
      </c>
      <c r="AI275" s="25" t="str">
        <f t="shared" si="915"/>
        <v/>
      </c>
      <c r="AJ275" s="2521">
        <f t="shared" ca="1" si="882"/>
        <v>0</v>
      </c>
      <c r="AK275" s="2076">
        <f t="shared" ca="1" si="878"/>
        <v>0</v>
      </c>
      <c r="AL275" s="2078">
        <f>IF(ISBLANK(J275),0,ISERROR(MATCH(J275,'5  Control Accounts'!$FA$29:$FA$96,0))*1)</f>
        <v>0</v>
      </c>
      <c r="AM275" s="2076">
        <f t="shared" si="916"/>
        <v>0</v>
      </c>
      <c r="AN275" s="2078">
        <f t="shared" si="917"/>
        <v>1</v>
      </c>
      <c r="AO275" s="2079">
        <f t="shared" si="888"/>
        <v>1</v>
      </c>
      <c r="AP275" s="2079">
        <f t="shared" si="889"/>
        <v>0</v>
      </c>
      <c r="AQ275" s="2079">
        <f t="shared" si="890"/>
        <v>0</v>
      </c>
      <c r="AR275" s="2079">
        <f t="shared" si="891"/>
        <v>0</v>
      </c>
      <c r="AS275" s="2079">
        <f t="shared" si="892"/>
        <v>0</v>
      </c>
      <c r="AT275" s="2079">
        <f t="shared" si="893"/>
        <v>0</v>
      </c>
      <c r="AU275" s="2079">
        <f t="shared" si="894"/>
        <v>0</v>
      </c>
      <c r="AV275" s="2079">
        <f t="shared" si="895"/>
        <v>0</v>
      </c>
      <c r="AW275" s="2079">
        <f t="shared" si="896"/>
        <v>0</v>
      </c>
      <c r="AX275" s="2079">
        <f t="shared" si="897"/>
        <v>0</v>
      </c>
      <c r="AY275" s="2078">
        <f t="shared" si="918"/>
        <v>0</v>
      </c>
      <c r="AZ275" s="2078">
        <f t="shared" si="919"/>
        <v>0</v>
      </c>
      <c r="BA275" s="2078">
        <f t="shared" si="920"/>
        <v>0</v>
      </c>
      <c r="BB275" s="2078">
        <f t="shared" si="921"/>
        <v>0</v>
      </c>
      <c r="BC275" s="2078">
        <f t="shared" si="922"/>
        <v>0</v>
      </c>
      <c r="BD275" s="2078">
        <f t="shared" si="923"/>
        <v>0</v>
      </c>
      <c r="BE275" s="2078">
        <f t="shared" si="924"/>
        <v>0</v>
      </c>
      <c r="BF275" s="2078">
        <f t="shared" si="925"/>
        <v>0</v>
      </c>
      <c r="BG275" s="2078">
        <f t="shared" si="926"/>
        <v>0</v>
      </c>
      <c r="BH275" s="2078">
        <f t="shared" si="927"/>
        <v>0</v>
      </c>
      <c r="BI275" s="2078">
        <f t="shared" si="928"/>
        <v>0</v>
      </c>
      <c r="BJ275" s="2078">
        <f t="shared" si="929"/>
        <v>0</v>
      </c>
      <c r="BK275" s="2078">
        <f t="shared" si="930"/>
        <v>0</v>
      </c>
      <c r="BL275" s="2078">
        <f t="shared" si="931"/>
        <v>0</v>
      </c>
      <c r="BM275" s="2078">
        <f t="shared" si="932"/>
        <v>0</v>
      </c>
      <c r="BN275" s="2078">
        <f t="shared" si="933"/>
        <v>0</v>
      </c>
      <c r="BO275" s="2078">
        <f t="shared" si="934"/>
        <v>0</v>
      </c>
      <c r="BP275" s="2078">
        <f t="shared" si="935"/>
        <v>0</v>
      </c>
      <c r="BQ275" s="2078">
        <f t="shared" si="936"/>
        <v>0</v>
      </c>
      <c r="BR275" s="2078">
        <f t="shared" si="937"/>
        <v>0</v>
      </c>
      <c r="BS275" s="2079">
        <f t="shared" si="898"/>
        <v>1</v>
      </c>
      <c r="BT275" s="2079">
        <f t="shared" si="899"/>
        <v>0</v>
      </c>
      <c r="BU275" s="2079">
        <f t="shared" si="900"/>
        <v>0</v>
      </c>
      <c r="BV275" s="2079">
        <f t="shared" si="901"/>
        <v>0</v>
      </c>
      <c r="BW275" s="2079">
        <f t="shared" si="902"/>
        <v>0</v>
      </c>
      <c r="BX275" s="2079">
        <f t="shared" si="903"/>
        <v>0</v>
      </c>
      <c r="BY275" s="2079">
        <f t="shared" si="904"/>
        <v>0</v>
      </c>
      <c r="BZ275" s="2079">
        <f t="shared" si="905"/>
        <v>0</v>
      </c>
      <c r="CA275" s="2079">
        <f t="shared" si="906"/>
        <v>0</v>
      </c>
      <c r="CB275" s="2079">
        <f t="shared" si="907"/>
        <v>0</v>
      </c>
      <c r="CC275" s="2078">
        <f t="shared" ca="1" si="938"/>
        <v>0</v>
      </c>
      <c r="CD275" s="2078">
        <f t="shared" ca="1" si="939"/>
        <v>0</v>
      </c>
      <c r="CE275" s="2078">
        <f t="shared" ca="1" si="940"/>
        <v>0</v>
      </c>
      <c r="CF275" s="2078">
        <f t="shared" ca="1" si="941"/>
        <v>0</v>
      </c>
      <c r="CG275" s="2078">
        <f t="shared" ca="1" si="942"/>
        <v>0</v>
      </c>
      <c r="CH275" s="2078">
        <f t="shared" ca="1" si="943"/>
        <v>0</v>
      </c>
      <c r="CI275" s="2078">
        <f t="shared" ca="1" si="944"/>
        <v>0</v>
      </c>
      <c r="CJ275" s="2078">
        <f t="shared" ca="1" si="945"/>
        <v>0</v>
      </c>
      <c r="CK275" s="2078">
        <f t="shared" ca="1" si="946"/>
        <v>0</v>
      </c>
      <c r="CL275" s="2078">
        <f t="shared" ca="1" si="947"/>
        <v>0</v>
      </c>
      <c r="CM275" s="2078">
        <f t="shared" si="968"/>
        <v>1</v>
      </c>
      <c r="CN275" s="2078">
        <f t="shared" si="969"/>
        <v>1</v>
      </c>
      <c r="CO275" s="2078">
        <f t="shared" si="958"/>
        <v>1</v>
      </c>
      <c r="CP275" s="2078">
        <f t="shared" si="948"/>
        <v>1</v>
      </c>
      <c r="CQ275" s="2078">
        <f t="shared" si="959"/>
        <v>0</v>
      </c>
      <c r="CR275" s="2078">
        <f t="shared" si="879"/>
        <v>0</v>
      </c>
      <c r="CS275" s="2078">
        <f t="shared" si="949"/>
        <v>0</v>
      </c>
      <c r="CT275" s="2078">
        <f t="shared" si="960"/>
        <v>1</v>
      </c>
      <c r="CU275" s="2078">
        <f t="shared" si="950"/>
        <v>1</v>
      </c>
      <c r="CV275" s="2078">
        <f t="shared" si="970"/>
        <v>0</v>
      </c>
      <c r="CW275" s="2078">
        <f>IF(OR(AE275&lt;&gt;3,F275="Exclude"),0,IF(ISERROR(MATCH($E275,'4 Sign-off'!$S$123:$X$123,0)),0,1))</f>
        <v>0</v>
      </c>
      <c r="CX275" s="2078">
        <f t="shared" si="883"/>
        <v>0</v>
      </c>
      <c r="CY275" s="2078">
        <f t="shared" si="971"/>
        <v>0</v>
      </c>
      <c r="CZ275" s="2993">
        <f t="shared" ca="1" si="980"/>
        <v>0</v>
      </c>
      <c r="DA275" s="3037">
        <f t="shared" ca="1" si="981"/>
        <v>0</v>
      </c>
      <c r="DB275" s="1664"/>
      <c r="DC275" s="1320"/>
      <c r="DD275" s="589"/>
      <c r="DE275" s="1321"/>
      <c r="DF275" s="107"/>
      <c r="DG275" s="112"/>
      <c r="DH275" s="140"/>
      <c r="DI275" s="22"/>
      <c r="DJ275" s="145"/>
      <c r="DK275" s="137"/>
      <c r="DL275" s="137"/>
      <c r="DM275" s="137"/>
      <c r="DN275" s="137"/>
      <c r="DO275" s="137"/>
      <c r="DP275" s="137"/>
      <c r="DQ275" s="137"/>
      <c r="DR275" s="137"/>
      <c r="DS275" s="137"/>
      <c r="DT275" s="137"/>
      <c r="DU275" s="137"/>
      <c r="DV275" s="137"/>
      <c r="DW275" s="137"/>
      <c r="DX275" s="137"/>
      <c r="DY275" s="137"/>
      <c r="DZ275" s="137"/>
      <c r="EA275" s="137"/>
      <c r="EB275" s="137"/>
      <c r="EC275" s="137"/>
      <c r="ED275" s="137"/>
      <c r="EE275" s="137"/>
      <c r="EF275" s="137"/>
      <c r="EG275" s="137"/>
      <c r="EH275" s="137"/>
      <c r="EI275" s="137"/>
      <c r="EJ275" s="137"/>
      <c r="EK275" s="137"/>
      <c r="EL275" s="137"/>
      <c r="EM275" s="137"/>
      <c r="EN275" s="137"/>
      <c r="EO275" s="137"/>
      <c r="EP275" s="137"/>
      <c r="EQ275" s="137"/>
      <c r="ER275" s="137"/>
      <c r="ES275" s="137"/>
      <c r="ET275" s="137"/>
      <c r="EU275" s="137"/>
      <c r="EV275" s="137"/>
      <c r="EW275" s="137"/>
      <c r="EX275" s="137"/>
      <c r="EY275" s="137"/>
      <c r="EZ275" s="137"/>
      <c r="FA275" s="137"/>
      <c r="FB275" s="137"/>
      <c r="FC275" s="137"/>
      <c r="FD275" s="137"/>
      <c r="FE275" s="137"/>
      <c r="FF275" s="137"/>
      <c r="FG275" s="860"/>
      <c r="FH275" s="863"/>
      <c r="FI275" s="1318"/>
      <c r="FJ275" s="126"/>
      <c r="FK275" s="127"/>
      <c r="FL275" s="128" t="str">
        <f t="shared" si="951"/>
        <v xml:space="preserve">    </v>
      </c>
      <c r="FM275" s="128"/>
      <c r="FN275" s="1686">
        <f t="shared" si="952"/>
        <v>0</v>
      </c>
      <c r="FO275" s="46">
        <f t="shared" si="972"/>
        <v>0</v>
      </c>
      <c r="FP275" s="46">
        <f t="shared" si="977"/>
        <v>1</v>
      </c>
      <c r="FQ275" s="75">
        <f t="shared" si="953"/>
        <v>0</v>
      </c>
      <c r="FR275" s="46">
        <f t="shared" si="964"/>
        <v>0</v>
      </c>
      <c r="FS275" s="46">
        <f t="shared" si="965"/>
        <v>1</v>
      </c>
      <c r="FT275" s="75">
        <f t="shared" si="954"/>
        <v>0</v>
      </c>
      <c r="FU275" s="2603">
        <f t="shared" si="973"/>
        <v>0</v>
      </c>
      <c r="FV275" s="2607">
        <f t="shared" si="974"/>
        <v>0</v>
      </c>
      <c r="FW275" s="2603">
        <f t="shared" si="975"/>
        <v>0</v>
      </c>
      <c r="FX275" s="2631">
        <f t="shared" si="976"/>
        <v>0</v>
      </c>
      <c r="FY275" s="81" t="e">
        <f t="shared" si="966"/>
        <v>#N/A</v>
      </c>
      <c r="FZ275" s="64" t="e">
        <f t="array" ref="FZ275">MATCH(1,($GT275:$LQ275&gt;0)*$GT$25:$LQ$25,0)</f>
        <v>#N/A</v>
      </c>
      <c r="GA275" s="64" t="e">
        <f t="array" ref="GA275">MATCH(2,1/(GT275:LQ275&gt;0))</f>
        <v>#N/A</v>
      </c>
      <c r="GB275" s="64">
        <f t="shared" si="955"/>
        <v>-1</v>
      </c>
      <c r="GC275" s="46"/>
      <c r="GD275" s="613"/>
      <c r="GE275" s="613"/>
      <c r="GF275" s="613"/>
      <c r="GG275" s="613"/>
      <c r="GH275" s="613"/>
      <c r="GI275" s="613"/>
      <c r="GJ275" s="613"/>
      <c r="GK275" s="613"/>
      <c r="GL275" s="613"/>
      <c r="GM275" s="613"/>
      <c r="GN275" s="385">
        <f t="shared" si="884"/>
        <v>0</v>
      </c>
      <c r="GO275" s="386">
        <f t="shared" si="885"/>
        <v>0</v>
      </c>
      <c r="GP275" s="2635"/>
      <c r="GQ275" s="175"/>
      <c r="GR275" s="172"/>
      <c r="GS275" s="65"/>
      <c r="GT275" s="167"/>
      <c r="GU275" s="168"/>
      <c r="GV275" s="168"/>
      <c r="GW275" s="168"/>
      <c r="GX275" s="168"/>
      <c r="GY275" s="168"/>
      <c r="GZ275" s="168"/>
      <c r="HA275" s="168"/>
      <c r="HB275" s="168"/>
      <c r="HC275" s="168"/>
      <c r="HD275" s="168"/>
      <c r="HE275" s="168"/>
      <c r="HF275" s="168"/>
      <c r="HG275" s="168"/>
      <c r="HH275" s="168"/>
      <c r="HI275" s="168"/>
      <c r="HJ275" s="168"/>
      <c r="HK275" s="168"/>
      <c r="HL275" s="168"/>
      <c r="HM275" s="168"/>
      <c r="HN275" s="168"/>
      <c r="HO275" s="168"/>
      <c r="HP275" s="168"/>
      <c r="HQ275" s="168"/>
      <c r="HR275" s="168"/>
      <c r="HS275" s="168"/>
      <c r="HT275" s="168"/>
      <c r="HU275" s="168"/>
      <c r="HV275" s="168"/>
      <c r="HW275" s="168"/>
      <c r="HX275" s="168"/>
      <c r="HY275" s="168"/>
      <c r="HZ275" s="168"/>
      <c r="IA275" s="168"/>
      <c r="IB275" s="168"/>
      <c r="IC275" s="168"/>
      <c r="ID275" s="168"/>
      <c r="IE275" s="168"/>
      <c r="IF275" s="168"/>
      <c r="IG275" s="168"/>
      <c r="IH275" s="168"/>
      <c r="II275" s="168"/>
      <c r="IJ275" s="168"/>
      <c r="IK275" s="168"/>
      <c r="IL275" s="168"/>
      <c r="IM275" s="168"/>
      <c r="IN275" s="168"/>
      <c r="IO275" s="168"/>
      <c r="IP275" s="168"/>
      <c r="IQ275" s="168"/>
      <c r="IR275" s="168"/>
      <c r="IS275" s="168"/>
      <c r="IT275" s="168"/>
      <c r="IU275" s="168"/>
      <c r="IV275" s="168"/>
      <c r="IW275" s="168"/>
      <c r="IX275" s="168"/>
      <c r="IY275" s="168"/>
      <c r="IZ275" s="168"/>
      <c r="JA275" s="168"/>
      <c r="JB275" s="168"/>
      <c r="JC275" s="168"/>
      <c r="JD275" s="168"/>
      <c r="JE275" s="168"/>
      <c r="JF275" s="168"/>
      <c r="JG275" s="168"/>
      <c r="JH275" s="168"/>
      <c r="JI275" s="168"/>
      <c r="JJ275" s="168"/>
      <c r="JK275" s="168"/>
      <c r="JL275" s="168"/>
      <c r="JM275" s="168"/>
      <c r="JN275" s="168"/>
      <c r="JO275" s="168"/>
      <c r="JP275" s="168"/>
      <c r="JQ275" s="168"/>
      <c r="JR275" s="168"/>
      <c r="JS275" s="168"/>
      <c r="JT275" s="168"/>
      <c r="JU275" s="168"/>
      <c r="JV275" s="168"/>
      <c r="JW275" s="168"/>
      <c r="JX275" s="168"/>
      <c r="JY275" s="168"/>
      <c r="JZ275" s="168"/>
      <c r="KA275" s="168"/>
      <c r="KB275" s="168"/>
      <c r="KC275" s="168"/>
      <c r="KD275" s="168"/>
      <c r="KE275" s="168"/>
      <c r="KF275" s="168"/>
      <c r="KG275" s="168"/>
      <c r="KH275" s="168"/>
      <c r="KI275" s="168"/>
      <c r="KJ275" s="168"/>
      <c r="KK275" s="168"/>
      <c r="KL275" s="168"/>
      <c r="KM275" s="168"/>
      <c r="KN275" s="168"/>
      <c r="KO275" s="168"/>
      <c r="KP275" s="168"/>
      <c r="KQ275" s="168"/>
      <c r="KR275" s="168"/>
      <c r="KS275" s="168"/>
      <c r="KT275" s="168"/>
      <c r="KU275" s="168"/>
      <c r="KV275" s="168"/>
      <c r="KW275" s="168"/>
      <c r="KX275" s="168"/>
      <c r="KY275" s="168"/>
      <c r="KZ275" s="168"/>
      <c r="LA275" s="168"/>
      <c r="LB275" s="168"/>
      <c r="LC275" s="168"/>
      <c r="LD275" s="168"/>
      <c r="LE275" s="168"/>
      <c r="LF275" s="168"/>
      <c r="LG275" s="168"/>
      <c r="LH275" s="168"/>
      <c r="LI275" s="168"/>
      <c r="LJ275" s="168"/>
      <c r="LK275" s="168"/>
      <c r="LL275" s="168"/>
      <c r="LM275" s="168"/>
      <c r="LN275" s="168"/>
      <c r="LO275" s="168"/>
      <c r="LP275" s="606"/>
      <c r="LQ275" s="609"/>
      <c r="LR275" s="1319"/>
      <c r="LS275" s="1319"/>
    </row>
    <row r="276" spans="1:331" s="2" customFormat="1" ht="15" customHeight="1" x14ac:dyDescent="0.25">
      <c r="A276" s="283"/>
      <c r="B276" s="303"/>
      <c r="C276" s="301"/>
      <c r="D276" s="1287"/>
      <c r="E276" s="2298"/>
      <c r="F276" s="1812"/>
      <c r="G276" s="3342"/>
      <c r="H276" s="66"/>
      <c r="I276" s="1746"/>
      <c r="J276" s="1214"/>
      <c r="K276" s="105"/>
      <c r="L276" s="91"/>
      <c r="M276" s="92"/>
      <c r="N276" s="93"/>
      <c r="O276" s="94"/>
      <c r="P276" s="96"/>
      <c r="Q276" s="95"/>
      <c r="R276" s="993">
        <f t="shared" si="978"/>
        <v>0</v>
      </c>
      <c r="S276" s="23">
        <f t="shared" si="979"/>
        <v>0</v>
      </c>
      <c r="T276" s="24">
        <f t="shared" si="908"/>
        <v>0</v>
      </c>
      <c r="U276" s="24">
        <f t="shared" si="909"/>
        <v>0</v>
      </c>
      <c r="V276" s="24">
        <f t="shared" si="910"/>
        <v>0</v>
      </c>
      <c r="W276" s="24">
        <f t="shared" ca="1" si="911"/>
        <v>0</v>
      </c>
      <c r="X276" s="72">
        <f t="shared" ca="1" si="956"/>
        <v>0</v>
      </c>
      <c r="Y276" s="72">
        <f t="shared" si="912"/>
        <v>0</v>
      </c>
      <c r="Z276" s="24">
        <f t="shared" si="913"/>
        <v>0</v>
      </c>
      <c r="AA276" s="72">
        <f t="shared" si="957"/>
        <v>0</v>
      </c>
      <c r="AB276" s="24">
        <f t="shared" si="967"/>
        <v>0</v>
      </c>
      <c r="AC276" s="24">
        <f t="shared" ca="1" si="914"/>
        <v>0</v>
      </c>
      <c r="AD276" s="24">
        <f t="shared" si="886"/>
        <v>0</v>
      </c>
      <c r="AE276" s="2078">
        <f t="shared" si="961"/>
        <v>3</v>
      </c>
      <c r="AF276" s="2078">
        <f t="shared" si="962"/>
        <v>0</v>
      </c>
      <c r="AG276" s="2078">
        <f t="shared" si="963"/>
        <v>0</v>
      </c>
      <c r="AH276" s="2521">
        <f t="shared" si="887"/>
        <v>1</v>
      </c>
      <c r="AI276" s="25" t="str">
        <f t="shared" si="915"/>
        <v/>
      </c>
      <c r="AJ276" s="2521">
        <f t="shared" ca="1" si="882"/>
        <v>0</v>
      </c>
      <c r="AK276" s="2076">
        <f t="shared" ca="1" si="878"/>
        <v>0</v>
      </c>
      <c r="AL276" s="2078">
        <f>IF(ISBLANK(J276),0,ISERROR(MATCH(J276,'5  Control Accounts'!$FA$29:$FA$96,0))*1)</f>
        <v>0</v>
      </c>
      <c r="AM276" s="2076">
        <f t="shared" si="916"/>
        <v>0</v>
      </c>
      <c r="AN276" s="2078">
        <f t="shared" si="917"/>
        <v>1</v>
      </c>
      <c r="AO276" s="2079">
        <f t="shared" si="888"/>
        <v>1</v>
      </c>
      <c r="AP276" s="2079">
        <f t="shared" si="889"/>
        <v>0</v>
      </c>
      <c r="AQ276" s="2079">
        <f t="shared" si="890"/>
        <v>0</v>
      </c>
      <c r="AR276" s="2079">
        <f t="shared" si="891"/>
        <v>0</v>
      </c>
      <c r="AS276" s="2079">
        <f t="shared" si="892"/>
        <v>0</v>
      </c>
      <c r="AT276" s="2079">
        <f t="shared" si="893"/>
        <v>0</v>
      </c>
      <c r="AU276" s="2079">
        <f t="shared" si="894"/>
        <v>0</v>
      </c>
      <c r="AV276" s="2079">
        <f t="shared" si="895"/>
        <v>0</v>
      </c>
      <c r="AW276" s="2079">
        <f t="shared" si="896"/>
        <v>0</v>
      </c>
      <c r="AX276" s="2079">
        <f t="shared" si="897"/>
        <v>0</v>
      </c>
      <c r="AY276" s="2078">
        <f t="shared" si="918"/>
        <v>0</v>
      </c>
      <c r="AZ276" s="2078">
        <f t="shared" si="919"/>
        <v>0</v>
      </c>
      <c r="BA276" s="2078">
        <f t="shared" si="920"/>
        <v>0</v>
      </c>
      <c r="BB276" s="2078">
        <f t="shared" si="921"/>
        <v>0</v>
      </c>
      <c r="BC276" s="2078">
        <f t="shared" si="922"/>
        <v>0</v>
      </c>
      <c r="BD276" s="2078">
        <f t="shared" si="923"/>
        <v>0</v>
      </c>
      <c r="BE276" s="2078">
        <f t="shared" si="924"/>
        <v>0</v>
      </c>
      <c r="BF276" s="2078">
        <f t="shared" si="925"/>
        <v>0</v>
      </c>
      <c r="BG276" s="2078">
        <f t="shared" si="926"/>
        <v>0</v>
      </c>
      <c r="BH276" s="2078">
        <f t="shared" si="927"/>
        <v>0</v>
      </c>
      <c r="BI276" s="2078">
        <f t="shared" si="928"/>
        <v>0</v>
      </c>
      <c r="BJ276" s="2078">
        <f t="shared" si="929"/>
        <v>0</v>
      </c>
      <c r="BK276" s="2078">
        <f t="shared" si="930"/>
        <v>0</v>
      </c>
      <c r="BL276" s="2078">
        <f t="shared" si="931"/>
        <v>0</v>
      </c>
      <c r="BM276" s="2078">
        <f t="shared" si="932"/>
        <v>0</v>
      </c>
      <c r="BN276" s="2078">
        <f t="shared" si="933"/>
        <v>0</v>
      </c>
      <c r="BO276" s="2078">
        <f t="shared" si="934"/>
        <v>0</v>
      </c>
      <c r="BP276" s="2078">
        <f t="shared" si="935"/>
        <v>0</v>
      </c>
      <c r="BQ276" s="2078">
        <f t="shared" si="936"/>
        <v>0</v>
      </c>
      <c r="BR276" s="2078">
        <f t="shared" si="937"/>
        <v>0</v>
      </c>
      <c r="BS276" s="2079">
        <f t="shared" si="898"/>
        <v>1</v>
      </c>
      <c r="BT276" s="2079">
        <f t="shared" si="899"/>
        <v>0</v>
      </c>
      <c r="BU276" s="2079">
        <f t="shared" si="900"/>
        <v>0</v>
      </c>
      <c r="BV276" s="2079">
        <f t="shared" si="901"/>
        <v>0</v>
      </c>
      <c r="BW276" s="2079">
        <f t="shared" si="902"/>
        <v>0</v>
      </c>
      <c r="BX276" s="2079">
        <f t="shared" si="903"/>
        <v>0</v>
      </c>
      <c r="BY276" s="2079">
        <f t="shared" si="904"/>
        <v>0</v>
      </c>
      <c r="BZ276" s="2079">
        <f t="shared" si="905"/>
        <v>0</v>
      </c>
      <c r="CA276" s="2079">
        <f t="shared" si="906"/>
        <v>0</v>
      </c>
      <c r="CB276" s="2079">
        <f t="shared" si="907"/>
        <v>0</v>
      </c>
      <c r="CC276" s="2078">
        <f t="shared" ca="1" si="938"/>
        <v>0</v>
      </c>
      <c r="CD276" s="2078">
        <f t="shared" ca="1" si="939"/>
        <v>0</v>
      </c>
      <c r="CE276" s="2078">
        <f t="shared" ca="1" si="940"/>
        <v>0</v>
      </c>
      <c r="CF276" s="2078">
        <f t="shared" ca="1" si="941"/>
        <v>0</v>
      </c>
      <c r="CG276" s="2078">
        <f t="shared" ca="1" si="942"/>
        <v>0</v>
      </c>
      <c r="CH276" s="2078">
        <f t="shared" ca="1" si="943"/>
        <v>0</v>
      </c>
      <c r="CI276" s="2078">
        <f t="shared" ca="1" si="944"/>
        <v>0</v>
      </c>
      <c r="CJ276" s="2078">
        <f t="shared" ca="1" si="945"/>
        <v>0</v>
      </c>
      <c r="CK276" s="2078">
        <f t="shared" ca="1" si="946"/>
        <v>0</v>
      </c>
      <c r="CL276" s="2078">
        <f t="shared" ca="1" si="947"/>
        <v>0</v>
      </c>
      <c r="CM276" s="2078">
        <f t="shared" si="968"/>
        <v>1</v>
      </c>
      <c r="CN276" s="2078">
        <f t="shared" si="969"/>
        <v>1</v>
      </c>
      <c r="CO276" s="2078">
        <f t="shared" si="958"/>
        <v>1</v>
      </c>
      <c r="CP276" s="2078">
        <f t="shared" si="948"/>
        <v>1</v>
      </c>
      <c r="CQ276" s="2078">
        <f t="shared" si="959"/>
        <v>0</v>
      </c>
      <c r="CR276" s="2078">
        <f t="shared" si="879"/>
        <v>0</v>
      </c>
      <c r="CS276" s="2078">
        <f t="shared" si="949"/>
        <v>0</v>
      </c>
      <c r="CT276" s="2078">
        <f t="shared" si="960"/>
        <v>1</v>
      </c>
      <c r="CU276" s="2078">
        <f t="shared" si="950"/>
        <v>1</v>
      </c>
      <c r="CV276" s="2078">
        <f t="shared" si="970"/>
        <v>0</v>
      </c>
      <c r="CW276" s="2078">
        <f>IF(OR(AE276&lt;&gt;3,F276="Exclude"),0,IF(ISERROR(MATCH($E276,'4 Sign-off'!$S$123:$X$123,0)),0,1))</f>
        <v>0</v>
      </c>
      <c r="CX276" s="2078">
        <f t="shared" si="883"/>
        <v>0</v>
      </c>
      <c r="CY276" s="2078">
        <f t="shared" si="971"/>
        <v>0</v>
      </c>
      <c r="CZ276" s="2993">
        <f t="shared" ca="1" si="980"/>
        <v>0</v>
      </c>
      <c r="DA276" s="3037">
        <f t="shared" ca="1" si="981"/>
        <v>0</v>
      </c>
      <c r="DB276" s="1664"/>
      <c r="DC276" s="1320"/>
      <c r="DD276" s="589"/>
      <c r="DE276" s="1321"/>
      <c r="DF276" s="107"/>
      <c r="DG276" s="112"/>
      <c r="DH276" s="140"/>
      <c r="DI276" s="22"/>
      <c r="DJ276" s="145"/>
      <c r="DK276" s="137"/>
      <c r="DL276" s="137"/>
      <c r="DM276" s="137"/>
      <c r="DN276" s="137"/>
      <c r="DO276" s="137"/>
      <c r="DP276" s="137"/>
      <c r="DQ276" s="137"/>
      <c r="DR276" s="137"/>
      <c r="DS276" s="137"/>
      <c r="DT276" s="137"/>
      <c r="DU276" s="137"/>
      <c r="DV276" s="137"/>
      <c r="DW276" s="137"/>
      <c r="DX276" s="137"/>
      <c r="DY276" s="137"/>
      <c r="DZ276" s="137"/>
      <c r="EA276" s="137"/>
      <c r="EB276" s="137"/>
      <c r="EC276" s="137"/>
      <c r="ED276" s="137"/>
      <c r="EE276" s="137"/>
      <c r="EF276" s="137"/>
      <c r="EG276" s="137"/>
      <c r="EH276" s="137"/>
      <c r="EI276" s="137"/>
      <c r="EJ276" s="137"/>
      <c r="EK276" s="137"/>
      <c r="EL276" s="137"/>
      <c r="EM276" s="137"/>
      <c r="EN276" s="137"/>
      <c r="EO276" s="137"/>
      <c r="EP276" s="137"/>
      <c r="EQ276" s="137"/>
      <c r="ER276" s="137"/>
      <c r="ES276" s="137"/>
      <c r="ET276" s="137"/>
      <c r="EU276" s="137"/>
      <c r="EV276" s="137"/>
      <c r="EW276" s="137"/>
      <c r="EX276" s="137"/>
      <c r="EY276" s="137"/>
      <c r="EZ276" s="137"/>
      <c r="FA276" s="137"/>
      <c r="FB276" s="137"/>
      <c r="FC276" s="137"/>
      <c r="FD276" s="137"/>
      <c r="FE276" s="137"/>
      <c r="FF276" s="137"/>
      <c r="FG276" s="860"/>
      <c r="FH276" s="863"/>
      <c r="FI276" s="1318"/>
      <c r="FJ276" s="126"/>
      <c r="FK276" s="127"/>
      <c r="FL276" s="128" t="str">
        <f t="shared" si="951"/>
        <v xml:space="preserve">    </v>
      </c>
      <c r="FM276" s="128"/>
      <c r="FN276" s="1686">
        <f t="shared" si="952"/>
        <v>0</v>
      </c>
      <c r="FO276" s="46">
        <f t="shared" si="972"/>
        <v>0</v>
      </c>
      <c r="FP276" s="46">
        <f t="shared" si="977"/>
        <v>1</v>
      </c>
      <c r="FQ276" s="75">
        <f t="shared" si="953"/>
        <v>0</v>
      </c>
      <c r="FR276" s="46">
        <f t="shared" si="964"/>
        <v>0</v>
      </c>
      <c r="FS276" s="46">
        <f t="shared" si="965"/>
        <v>1</v>
      </c>
      <c r="FT276" s="75">
        <f t="shared" si="954"/>
        <v>0</v>
      </c>
      <c r="FU276" s="2603">
        <f t="shared" si="973"/>
        <v>0</v>
      </c>
      <c r="FV276" s="2607">
        <f t="shared" si="974"/>
        <v>0</v>
      </c>
      <c r="FW276" s="2603">
        <f t="shared" si="975"/>
        <v>0</v>
      </c>
      <c r="FX276" s="2631">
        <f t="shared" si="976"/>
        <v>0</v>
      </c>
      <c r="FY276" s="81" t="e">
        <f t="shared" si="966"/>
        <v>#N/A</v>
      </c>
      <c r="FZ276" s="64" t="e">
        <f t="array" ref="FZ276">MATCH(1,($GT276:$LQ276&gt;0)*$GT$25:$LQ$25,0)</f>
        <v>#N/A</v>
      </c>
      <c r="GA276" s="64" t="e">
        <f t="array" ref="GA276">MATCH(2,1/(GT276:LQ276&gt;0))</f>
        <v>#N/A</v>
      </c>
      <c r="GB276" s="64">
        <f t="shared" si="955"/>
        <v>-1</v>
      </c>
      <c r="GC276" s="46"/>
      <c r="GD276" s="613"/>
      <c r="GE276" s="613"/>
      <c r="GF276" s="613"/>
      <c r="GG276" s="613"/>
      <c r="GH276" s="613"/>
      <c r="GI276" s="613"/>
      <c r="GJ276" s="613"/>
      <c r="GK276" s="613"/>
      <c r="GL276" s="613"/>
      <c r="GM276" s="613"/>
      <c r="GN276" s="385">
        <f t="shared" si="884"/>
        <v>0</v>
      </c>
      <c r="GO276" s="386">
        <f t="shared" si="885"/>
        <v>0</v>
      </c>
      <c r="GP276" s="2635"/>
      <c r="GQ276" s="175"/>
      <c r="GR276" s="172"/>
      <c r="GS276" s="65"/>
      <c r="GT276" s="167"/>
      <c r="GU276" s="168"/>
      <c r="GV276" s="168"/>
      <c r="GW276" s="168"/>
      <c r="GX276" s="168"/>
      <c r="GY276" s="168"/>
      <c r="GZ276" s="168"/>
      <c r="HA276" s="168"/>
      <c r="HB276" s="168"/>
      <c r="HC276" s="168"/>
      <c r="HD276" s="168"/>
      <c r="HE276" s="168"/>
      <c r="HF276" s="168"/>
      <c r="HG276" s="168"/>
      <c r="HH276" s="168"/>
      <c r="HI276" s="168"/>
      <c r="HJ276" s="168"/>
      <c r="HK276" s="168"/>
      <c r="HL276" s="168"/>
      <c r="HM276" s="168"/>
      <c r="HN276" s="168"/>
      <c r="HO276" s="168"/>
      <c r="HP276" s="168"/>
      <c r="HQ276" s="168"/>
      <c r="HR276" s="168"/>
      <c r="HS276" s="168"/>
      <c r="HT276" s="168"/>
      <c r="HU276" s="168"/>
      <c r="HV276" s="168"/>
      <c r="HW276" s="168"/>
      <c r="HX276" s="168"/>
      <c r="HY276" s="168"/>
      <c r="HZ276" s="168"/>
      <c r="IA276" s="168"/>
      <c r="IB276" s="168"/>
      <c r="IC276" s="168"/>
      <c r="ID276" s="168"/>
      <c r="IE276" s="168"/>
      <c r="IF276" s="168"/>
      <c r="IG276" s="168"/>
      <c r="IH276" s="168"/>
      <c r="II276" s="168"/>
      <c r="IJ276" s="168"/>
      <c r="IK276" s="168"/>
      <c r="IL276" s="168"/>
      <c r="IM276" s="168"/>
      <c r="IN276" s="168"/>
      <c r="IO276" s="168"/>
      <c r="IP276" s="168"/>
      <c r="IQ276" s="168"/>
      <c r="IR276" s="168"/>
      <c r="IS276" s="168"/>
      <c r="IT276" s="168"/>
      <c r="IU276" s="168"/>
      <c r="IV276" s="168"/>
      <c r="IW276" s="168"/>
      <c r="IX276" s="168"/>
      <c r="IY276" s="168"/>
      <c r="IZ276" s="168"/>
      <c r="JA276" s="168"/>
      <c r="JB276" s="168"/>
      <c r="JC276" s="168"/>
      <c r="JD276" s="168"/>
      <c r="JE276" s="168"/>
      <c r="JF276" s="168"/>
      <c r="JG276" s="168"/>
      <c r="JH276" s="168"/>
      <c r="JI276" s="168"/>
      <c r="JJ276" s="168"/>
      <c r="JK276" s="168"/>
      <c r="JL276" s="168"/>
      <c r="JM276" s="168"/>
      <c r="JN276" s="168"/>
      <c r="JO276" s="168"/>
      <c r="JP276" s="168"/>
      <c r="JQ276" s="168"/>
      <c r="JR276" s="168"/>
      <c r="JS276" s="168"/>
      <c r="JT276" s="168"/>
      <c r="JU276" s="168"/>
      <c r="JV276" s="168"/>
      <c r="JW276" s="168"/>
      <c r="JX276" s="168"/>
      <c r="JY276" s="168"/>
      <c r="JZ276" s="168"/>
      <c r="KA276" s="168"/>
      <c r="KB276" s="168"/>
      <c r="KC276" s="168"/>
      <c r="KD276" s="168"/>
      <c r="KE276" s="168"/>
      <c r="KF276" s="168"/>
      <c r="KG276" s="168"/>
      <c r="KH276" s="168"/>
      <c r="KI276" s="168"/>
      <c r="KJ276" s="168"/>
      <c r="KK276" s="168"/>
      <c r="KL276" s="168"/>
      <c r="KM276" s="168"/>
      <c r="KN276" s="168"/>
      <c r="KO276" s="168"/>
      <c r="KP276" s="168"/>
      <c r="KQ276" s="168"/>
      <c r="KR276" s="168"/>
      <c r="KS276" s="168"/>
      <c r="KT276" s="168"/>
      <c r="KU276" s="168"/>
      <c r="KV276" s="168"/>
      <c r="KW276" s="168"/>
      <c r="KX276" s="168"/>
      <c r="KY276" s="168"/>
      <c r="KZ276" s="168"/>
      <c r="LA276" s="168"/>
      <c r="LB276" s="168"/>
      <c r="LC276" s="168"/>
      <c r="LD276" s="168"/>
      <c r="LE276" s="168"/>
      <c r="LF276" s="168"/>
      <c r="LG276" s="168"/>
      <c r="LH276" s="168"/>
      <c r="LI276" s="168"/>
      <c r="LJ276" s="168"/>
      <c r="LK276" s="168"/>
      <c r="LL276" s="168"/>
      <c r="LM276" s="168"/>
      <c r="LN276" s="168"/>
      <c r="LO276" s="168"/>
      <c r="LP276" s="606"/>
      <c r="LQ276" s="609"/>
      <c r="LR276" s="1319"/>
      <c r="LS276" s="1319"/>
    </row>
    <row r="277" spans="1:331" s="2" customFormat="1" ht="15" customHeight="1" x14ac:dyDescent="0.25">
      <c r="A277" s="283"/>
      <c r="B277" s="303"/>
      <c r="C277" s="301"/>
      <c r="D277" s="1287"/>
      <c r="E277" s="2298"/>
      <c r="F277" s="1812"/>
      <c r="G277" s="3342"/>
      <c r="H277" s="66"/>
      <c r="I277" s="1746"/>
      <c r="J277" s="1214"/>
      <c r="K277" s="105"/>
      <c r="L277" s="91"/>
      <c r="M277" s="92"/>
      <c r="N277" s="93"/>
      <c r="O277" s="94"/>
      <c r="P277" s="96"/>
      <c r="Q277" s="95"/>
      <c r="R277" s="993">
        <f t="shared" si="978"/>
        <v>0</v>
      </c>
      <c r="S277" s="23">
        <f t="shared" si="979"/>
        <v>0</v>
      </c>
      <c r="T277" s="24">
        <f t="shared" si="908"/>
        <v>0</v>
      </c>
      <c r="U277" s="24">
        <f t="shared" si="909"/>
        <v>0</v>
      </c>
      <c r="V277" s="24">
        <f t="shared" si="910"/>
        <v>0</v>
      </c>
      <c r="W277" s="24">
        <f t="shared" ca="1" si="911"/>
        <v>0</v>
      </c>
      <c r="X277" s="72">
        <f t="shared" ca="1" si="956"/>
        <v>0</v>
      </c>
      <c r="Y277" s="72">
        <f t="shared" si="912"/>
        <v>0</v>
      </c>
      <c r="Z277" s="24">
        <f t="shared" si="913"/>
        <v>0</v>
      </c>
      <c r="AA277" s="72">
        <f t="shared" si="957"/>
        <v>0</v>
      </c>
      <c r="AB277" s="24">
        <f t="shared" si="967"/>
        <v>0</v>
      </c>
      <c r="AC277" s="24">
        <f t="shared" ca="1" si="914"/>
        <v>0</v>
      </c>
      <c r="AD277" s="24">
        <f t="shared" si="886"/>
        <v>0</v>
      </c>
      <c r="AE277" s="2078">
        <f t="shared" si="961"/>
        <v>3</v>
      </c>
      <c r="AF277" s="2078">
        <f t="shared" si="962"/>
        <v>0</v>
      </c>
      <c r="AG277" s="2078">
        <f t="shared" si="963"/>
        <v>0</v>
      </c>
      <c r="AH277" s="2521">
        <f t="shared" si="887"/>
        <v>1</v>
      </c>
      <c r="AI277" s="25" t="str">
        <f t="shared" si="915"/>
        <v/>
      </c>
      <c r="AJ277" s="2521">
        <f t="shared" ca="1" si="882"/>
        <v>0</v>
      </c>
      <c r="AK277" s="2076">
        <f t="shared" ca="1" si="878"/>
        <v>0</v>
      </c>
      <c r="AL277" s="2078">
        <f>IF(ISBLANK(J277),0,ISERROR(MATCH(J277,'5  Control Accounts'!$FA$29:$FA$96,0))*1)</f>
        <v>0</v>
      </c>
      <c r="AM277" s="2076">
        <f t="shared" si="916"/>
        <v>0</v>
      </c>
      <c r="AN277" s="2078">
        <f t="shared" si="917"/>
        <v>1</v>
      </c>
      <c r="AO277" s="2079">
        <f t="shared" si="888"/>
        <v>1</v>
      </c>
      <c r="AP277" s="2079">
        <f t="shared" si="889"/>
        <v>0</v>
      </c>
      <c r="AQ277" s="2079">
        <f t="shared" si="890"/>
        <v>0</v>
      </c>
      <c r="AR277" s="2079">
        <f t="shared" si="891"/>
        <v>0</v>
      </c>
      <c r="AS277" s="2079">
        <f t="shared" si="892"/>
        <v>0</v>
      </c>
      <c r="AT277" s="2079">
        <f t="shared" si="893"/>
        <v>0</v>
      </c>
      <c r="AU277" s="2079">
        <f t="shared" si="894"/>
        <v>0</v>
      </c>
      <c r="AV277" s="2079">
        <f t="shared" si="895"/>
        <v>0</v>
      </c>
      <c r="AW277" s="2079">
        <f t="shared" si="896"/>
        <v>0</v>
      </c>
      <c r="AX277" s="2079">
        <f t="shared" si="897"/>
        <v>0</v>
      </c>
      <c r="AY277" s="2078">
        <f t="shared" si="918"/>
        <v>0</v>
      </c>
      <c r="AZ277" s="2078">
        <f t="shared" si="919"/>
        <v>0</v>
      </c>
      <c r="BA277" s="2078">
        <f t="shared" si="920"/>
        <v>0</v>
      </c>
      <c r="BB277" s="2078">
        <f t="shared" si="921"/>
        <v>0</v>
      </c>
      <c r="BC277" s="2078">
        <f t="shared" si="922"/>
        <v>0</v>
      </c>
      <c r="BD277" s="2078">
        <f t="shared" si="923"/>
        <v>0</v>
      </c>
      <c r="BE277" s="2078">
        <f t="shared" si="924"/>
        <v>0</v>
      </c>
      <c r="BF277" s="2078">
        <f t="shared" si="925"/>
        <v>0</v>
      </c>
      <c r="BG277" s="2078">
        <f t="shared" si="926"/>
        <v>0</v>
      </c>
      <c r="BH277" s="2078">
        <f t="shared" si="927"/>
        <v>0</v>
      </c>
      <c r="BI277" s="2078">
        <f t="shared" si="928"/>
        <v>0</v>
      </c>
      <c r="BJ277" s="2078">
        <f t="shared" si="929"/>
        <v>0</v>
      </c>
      <c r="BK277" s="2078">
        <f t="shared" si="930"/>
        <v>0</v>
      </c>
      <c r="BL277" s="2078">
        <f t="shared" si="931"/>
        <v>0</v>
      </c>
      <c r="BM277" s="2078">
        <f t="shared" si="932"/>
        <v>0</v>
      </c>
      <c r="BN277" s="2078">
        <f t="shared" si="933"/>
        <v>0</v>
      </c>
      <c r="BO277" s="2078">
        <f t="shared" si="934"/>
        <v>0</v>
      </c>
      <c r="BP277" s="2078">
        <f t="shared" si="935"/>
        <v>0</v>
      </c>
      <c r="BQ277" s="2078">
        <f t="shared" si="936"/>
        <v>0</v>
      </c>
      <c r="BR277" s="2078">
        <f t="shared" si="937"/>
        <v>0</v>
      </c>
      <c r="BS277" s="2079">
        <f t="shared" si="898"/>
        <v>1</v>
      </c>
      <c r="BT277" s="2079">
        <f t="shared" si="899"/>
        <v>0</v>
      </c>
      <c r="BU277" s="2079">
        <f t="shared" si="900"/>
        <v>0</v>
      </c>
      <c r="BV277" s="2079">
        <f t="shared" si="901"/>
        <v>0</v>
      </c>
      <c r="BW277" s="2079">
        <f t="shared" si="902"/>
        <v>0</v>
      </c>
      <c r="BX277" s="2079">
        <f t="shared" si="903"/>
        <v>0</v>
      </c>
      <c r="BY277" s="2079">
        <f t="shared" si="904"/>
        <v>0</v>
      </c>
      <c r="BZ277" s="2079">
        <f t="shared" si="905"/>
        <v>0</v>
      </c>
      <c r="CA277" s="2079">
        <f t="shared" si="906"/>
        <v>0</v>
      </c>
      <c r="CB277" s="2079">
        <f t="shared" si="907"/>
        <v>0</v>
      </c>
      <c r="CC277" s="2078">
        <f t="shared" ca="1" si="938"/>
        <v>0</v>
      </c>
      <c r="CD277" s="2078">
        <f t="shared" ca="1" si="939"/>
        <v>0</v>
      </c>
      <c r="CE277" s="2078">
        <f t="shared" ca="1" si="940"/>
        <v>0</v>
      </c>
      <c r="CF277" s="2078">
        <f t="shared" ca="1" si="941"/>
        <v>0</v>
      </c>
      <c r="CG277" s="2078">
        <f t="shared" ca="1" si="942"/>
        <v>0</v>
      </c>
      <c r="CH277" s="2078">
        <f t="shared" ca="1" si="943"/>
        <v>0</v>
      </c>
      <c r="CI277" s="2078">
        <f t="shared" ca="1" si="944"/>
        <v>0</v>
      </c>
      <c r="CJ277" s="2078">
        <f t="shared" ca="1" si="945"/>
        <v>0</v>
      </c>
      <c r="CK277" s="2078">
        <f t="shared" ca="1" si="946"/>
        <v>0</v>
      </c>
      <c r="CL277" s="2078">
        <f t="shared" ca="1" si="947"/>
        <v>0</v>
      </c>
      <c r="CM277" s="2078">
        <f t="shared" si="968"/>
        <v>1</v>
      </c>
      <c r="CN277" s="2078">
        <f t="shared" si="969"/>
        <v>1</v>
      </c>
      <c r="CO277" s="2078">
        <f t="shared" si="958"/>
        <v>1</v>
      </c>
      <c r="CP277" s="2078">
        <f t="shared" si="948"/>
        <v>1</v>
      </c>
      <c r="CQ277" s="2078">
        <f t="shared" si="959"/>
        <v>0</v>
      </c>
      <c r="CR277" s="2078">
        <f t="shared" si="879"/>
        <v>0</v>
      </c>
      <c r="CS277" s="2078">
        <f t="shared" si="949"/>
        <v>0</v>
      </c>
      <c r="CT277" s="2078">
        <f t="shared" si="960"/>
        <v>1</v>
      </c>
      <c r="CU277" s="2078">
        <f t="shared" si="950"/>
        <v>1</v>
      </c>
      <c r="CV277" s="2078">
        <f t="shared" si="970"/>
        <v>0</v>
      </c>
      <c r="CW277" s="2078">
        <f>IF(OR(AE277&lt;&gt;3,F277="Exclude"),0,IF(ISERROR(MATCH($E277,'4 Sign-off'!$S$123:$X$123,0)),0,1))</f>
        <v>0</v>
      </c>
      <c r="CX277" s="2078">
        <f t="shared" ref="CX277:CX308" si="982">IF($C$7&lt;&gt;"B",1,CHOOSE($CX$163,CW277,CS277+CV277,CS277,CV277))</f>
        <v>0</v>
      </c>
      <c r="CY277" s="2078">
        <f t="shared" si="971"/>
        <v>0</v>
      </c>
      <c r="CZ277" s="2993">
        <f t="shared" ca="1" si="980"/>
        <v>0</v>
      </c>
      <c r="DA277" s="3037">
        <f t="shared" ca="1" si="981"/>
        <v>0</v>
      </c>
      <c r="DB277" s="1664"/>
      <c r="DC277" s="1320"/>
      <c r="DD277" s="589"/>
      <c r="DE277" s="1321"/>
      <c r="DF277" s="107"/>
      <c r="DG277" s="112"/>
      <c r="DH277" s="140"/>
      <c r="DI277" s="22"/>
      <c r="DJ277" s="145"/>
      <c r="DK277" s="137"/>
      <c r="DL277" s="137"/>
      <c r="DM277" s="137"/>
      <c r="DN277" s="137"/>
      <c r="DO277" s="137"/>
      <c r="DP277" s="137"/>
      <c r="DQ277" s="137"/>
      <c r="DR277" s="137"/>
      <c r="DS277" s="137"/>
      <c r="DT277" s="137"/>
      <c r="DU277" s="137"/>
      <c r="DV277" s="137"/>
      <c r="DW277" s="137"/>
      <c r="DX277" s="137"/>
      <c r="DY277" s="137"/>
      <c r="DZ277" s="137"/>
      <c r="EA277" s="137"/>
      <c r="EB277" s="137"/>
      <c r="EC277" s="137"/>
      <c r="ED277" s="137"/>
      <c r="EE277" s="137"/>
      <c r="EF277" s="137"/>
      <c r="EG277" s="137"/>
      <c r="EH277" s="137"/>
      <c r="EI277" s="137"/>
      <c r="EJ277" s="137"/>
      <c r="EK277" s="137"/>
      <c r="EL277" s="137"/>
      <c r="EM277" s="137"/>
      <c r="EN277" s="137"/>
      <c r="EO277" s="137"/>
      <c r="EP277" s="137"/>
      <c r="EQ277" s="137"/>
      <c r="ER277" s="137"/>
      <c r="ES277" s="137"/>
      <c r="ET277" s="137"/>
      <c r="EU277" s="137"/>
      <c r="EV277" s="137"/>
      <c r="EW277" s="137"/>
      <c r="EX277" s="137"/>
      <c r="EY277" s="137"/>
      <c r="EZ277" s="137"/>
      <c r="FA277" s="137"/>
      <c r="FB277" s="137"/>
      <c r="FC277" s="137"/>
      <c r="FD277" s="137"/>
      <c r="FE277" s="137"/>
      <c r="FF277" s="137"/>
      <c r="FG277" s="860"/>
      <c r="FH277" s="863"/>
      <c r="FI277" s="1318"/>
      <c r="FJ277" s="126"/>
      <c r="FK277" s="127"/>
      <c r="FL277" s="128" t="str">
        <f t="shared" si="951"/>
        <v xml:space="preserve">    </v>
      </c>
      <c r="FM277" s="128"/>
      <c r="FN277" s="1686">
        <f t="shared" si="952"/>
        <v>0</v>
      </c>
      <c r="FO277" s="46">
        <f t="shared" si="972"/>
        <v>0</v>
      </c>
      <c r="FP277" s="46">
        <f t="shared" si="977"/>
        <v>1</v>
      </c>
      <c r="FQ277" s="75">
        <f t="shared" si="953"/>
        <v>0</v>
      </c>
      <c r="FR277" s="46">
        <f t="shared" si="964"/>
        <v>0</v>
      </c>
      <c r="FS277" s="46">
        <f t="shared" si="965"/>
        <v>1</v>
      </c>
      <c r="FT277" s="75">
        <f t="shared" si="954"/>
        <v>0</v>
      </c>
      <c r="FU277" s="2603">
        <f t="shared" si="973"/>
        <v>0</v>
      </c>
      <c r="FV277" s="2607">
        <f t="shared" si="974"/>
        <v>0</v>
      </c>
      <c r="FW277" s="2603">
        <f t="shared" si="975"/>
        <v>0</v>
      </c>
      <c r="FX277" s="2631">
        <f t="shared" si="976"/>
        <v>0</v>
      </c>
      <c r="FY277" s="81" t="e">
        <f t="shared" si="966"/>
        <v>#N/A</v>
      </c>
      <c r="FZ277" s="64" t="e">
        <f t="array" ref="FZ277">MATCH(1,($GT277:$LQ277&gt;0)*$GT$25:$LQ$25,0)</f>
        <v>#N/A</v>
      </c>
      <c r="GA277" s="64" t="e">
        <f t="array" ref="GA277">MATCH(2,1/(GT277:LQ277&gt;0))</f>
        <v>#N/A</v>
      </c>
      <c r="GB277" s="64">
        <f t="shared" si="955"/>
        <v>-1</v>
      </c>
      <c r="GC277" s="46"/>
      <c r="GD277" s="613"/>
      <c r="GE277" s="613"/>
      <c r="GF277" s="613"/>
      <c r="GG277" s="613"/>
      <c r="GH277" s="613"/>
      <c r="GI277" s="613"/>
      <c r="GJ277" s="613"/>
      <c r="GK277" s="613"/>
      <c r="GL277" s="613"/>
      <c r="GM277" s="613"/>
      <c r="GN277" s="385">
        <f t="shared" ref="GN277:GN308" si="983">IF(ISERROR(FZ277),0,CHOOSE($FM$5,(FZ277*7)+$GT$170-11,EOMONTH($GT$170,FZ277-2)+1))</f>
        <v>0</v>
      </c>
      <c r="GO277" s="386">
        <f t="shared" ref="GO277:GO308" si="984">IF(ISERROR(FY277),0,CHOOSE($FM$5,(FY277*7)+$GT$170-7,EOMONTH($GT$170,FY277-1)))</f>
        <v>0</v>
      </c>
      <c r="GP277" s="2635"/>
      <c r="GQ277" s="175"/>
      <c r="GR277" s="172"/>
      <c r="GS277" s="65"/>
      <c r="GT277" s="167"/>
      <c r="GU277" s="168"/>
      <c r="GV277" s="168"/>
      <c r="GW277" s="168"/>
      <c r="GX277" s="168"/>
      <c r="GY277" s="168"/>
      <c r="GZ277" s="168"/>
      <c r="HA277" s="168"/>
      <c r="HB277" s="168"/>
      <c r="HC277" s="168"/>
      <c r="HD277" s="168"/>
      <c r="HE277" s="168"/>
      <c r="HF277" s="168"/>
      <c r="HG277" s="168"/>
      <c r="HH277" s="168"/>
      <c r="HI277" s="168"/>
      <c r="HJ277" s="168"/>
      <c r="HK277" s="168"/>
      <c r="HL277" s="168"/>
      <c r="HM277" s="168"/>
      <c r="HN277" s="168"/>
      <c r="HO277" s="168"/>
      <c r="HP277" s="168"/>
      <c r="HQ277" s="168"/>
      <c r="HR277" s="168"/>
      <c r="HS277" s="168"/>
      <c r="HT277" s="168"/>
      <c r="HU277" s="168"/>
      <c r="HV277" s="168"/>
      <c r="HW277" s="168"/>
      <c r="HX277" s="168"/>
      <c r="HY277" s="168"/>
      <c r="HZ277" s="168"/>
      <c r="IA277" s="168"/>
      <c r="IB277" s="168"/>
      <c r="IC277" s="168"/>
      <c r="ID277" s="168"/>
      <c r="IE277" s="168"/>
      <c r="IF277" s="168"/>
      <c r="IG277" s="168"/>
      <c r="IH277" s="168"/>
      <c r="II277" s="168"/>
      <c r="IJ277" s="168"/>
      <c r="IK277" s="168"/>
      <c r="IL277" s="168"/>
      <c r="IM277" s="168"/>
      <c r="IN277" s="168"/>
      <c r="IO277" s="168"/>
      <c r="IP277" s="168"/>
      <c r="IQ277" s="168"/>
      <c r="IR277" s="168"/>
      <c r="IS277" s="168"/>
      <c r="IT277" s="168"/>
      <c r="IU277" s="168"/>
      <c r="IV277" s="168"/>
      <c r="IW277" s="168"/>
      <c r="IX277" s="168"/>
      <c r="IY277" s="168"/>
      <c r="IZ277" s="168"/>
      <c r="JA277" s="168"/>
      <c r="JB277" s="168"/>
      <c r="JC277" s="168"/>
      <c r="JD277" s="168"/>
      <c r="JE277" s="168"/>
      <c r="JF277" s="168"/>
      <c r="JG277" s="168"/>
      <c r="JH277" s="168"/>
      <c r="JI277" s="168"/>
      <c r="JJ277" s="168"/>
      <c r="JK277" s="168"/>
      <c r="JL277" s="168"/>
      <c r="JM277" s="168"/>
      <c r="JN277" s="168"/>
      <c r="JO277" s="168"/>
      <c r="JP277" s="168"/>
      <c r="JQ277" s="168"/>
      <c r="JR277" s="168"/>
      <c r="JS277" s="168"/>
      <c r="JT277" s="168"/>
      <c r="JU277" s="168"/>
      <c r="JV277" s="168"/>
      <c r="JW277" s="168"/>
      <c r="JX277" s="168"/>
      <c r="JY277" s="168"/>
      <c r="JZ277" s="168"/>
      <c r="KA277" s="168"/>
      <c r="KB277" s="168"/>
      <c r="KC277" s="168"/>
      <c r="KD277" s="168"/>
      <c r="KE277" s="168"/>
      <c r="KF277" s="168"/>
      <c r="KG277" s="168"/>
      <c r="KH277" s="168"/>
      <c r="KI277" s="168"/>
      <c r="KJ277" s="168"/>
      <c r="KK277" s="168"/>
      <c r="KL277" s="168"/>
      <c r="KM277" s="168"/>
      <c r="KN277" s="168"/>
      <c r="KO277" s="168"/>
      <c r="KP277" s="168"/>
      <c r="KQ277" s="168"/>
      <c r="KR277" s="168"/>
      <c r="KS277" s="168"/>
      <c r="KT277" s="168"/>
      <c r="KU277" s="168"/>
      <c r="KV277" s="168"/>
      <c r="KW277" s="168"/>
      <c r="KX277" s="168"/>
      <c r="KY277" s="168"/>
      <c r="KZ277" s="168"/>
      <c r="LA277" s="168"/>
      <c r="LB277" s="168"/>
      <c r="LC277" s="168"/>
      <c r="LD277" s="168"/>
      <c r="LE277" s="168"/>
      <c r="LF277" s="168"/>
      <c r="LG277" s="168"/>
      <c r="LH277" s="168"/>
      <c r="LI277" s="168"/>
      <c r="LJ277" s="168"/>
      <c r="LK277" s="168"/>
      <c r="LL277" s="168"/>
      <c r="LM277" s="168"/>
      <c r="LN277" s="168"/>
      <c r="LO277" s="168"/>
      <c r="LP277" s="606"/>
      <c r="LQ277" s="609"/>
      <c r="LR277" s="1319"/>
      <c r="LS277" s="1319"/>
    </row>
    <row r="278" spans="1:331" s="2" customFormat="1" ht="15" customHeight="1" x14ac:dyDescent="0.25">
      <c r="A278" s="283"/>
      <c r="B278" s="303"/>
      <c r="C278" s="301"/>
      <c r="D278" s="1287"/>
      <c r="E278" s="2298"/>
      <c r="F278" s="1812"/>
      <c r="G278" s="3342"/>
      <c r="H278" s="66"/>
      <c r="I278" s="1746"/>
      <c r="J278" s="1214"/>
      <c r="K278" s="105"/>
      <c r="L278" s="91"/>
      <c r="M278" s="92"/>
      <c r="N278" s="93"/>
      <c r="O278" s="94"/>
      <c r="P278" s="96"/>
      <c r="Q278" s="95"/>
      <c r="R278" s="993">
        <f t="shared" si="978"/>
        <v>0</v>
      </c>
      <c r="S278" s="23">
        <f t="shared" si="979"/>
        <v>0</v>
      </c>
      <c r="T278" s="24">
        <f t="shared" si="908"/>
        <v>0</v>
      </c>
      <c r="U278" s="24">
        <f t="shared" si="909"/>
        <v>0</v>
      </c>
      <c r="V278" s="24">
        <f t="shared" si="910"/>
        <v>0</v>
      </c>
      <c r="W278" s="24">
        <f t="shared" ca="1" si="911"/>
        <v>0</v>
      </c>
      <c r="X278" s="72">
        <f t="shared" ca="1" si="956"/>
        <v>0</v>
      </c>
      <c r="Y278" s="72">
        <f t="shared" si="912"/>
        <v>0</v>
      </c>
      <c r="Z278" s="24">
        <f t="shared" si="913"/>
        <v>0</v>
      </c>
      <c r="AA278" s="72">
        <f t="shared" si="957"/>
        <v>0</v>
      </c>
      <c r="AB278" s="24">
        <f t="shared" si="967"/>
        <v>0</v>
      </c>
      <c r="AC278" s="24">
        <f t="shared" ca="1" si="914"/>
        <v>0</v>
      </c>
      <c r="AD278" s="24">
        <f t="shared" si="886"/>
        <v>0</v>
      </c>
      <c r="AE278" s="2078">
        <f t="shared" si="961"/>
        <v>3</v>
      </c>
      <c r="AF278" s="2078">
        <f t="shared" si="962"/>
        <v>0</v>
      </c>
      <c r="AG278" s="2078">
        <f t="shared" si="963"/>
        <v>0</v>
      </c>
      <c r="AH278" s="2521">
        <f t="shared" si="887"/>
        <v>1</v>
      </c>
      <c r="AI278" s="25" t="str">
        <f t="shared" si="915"/>
        <v/>
      </c>
      <c r="AJ278" s="2521">
        <f t="shared" ca="1" si="882"/>
        <v>0</v>
      </c>
      <c r="AK278" s="2076">
        <f t="shared" ca="1" si="878"/>
        <v>0</v>
      </c>
      <c r="AL278" s="2078">
        <f>IF(ISBLANK(J278),0,ISERROR(MATCH(J278,'5  Control Accounts'!$FA$29:$FA$96,0))*1)</f>
        <v>0</v>
      </c>
      <c r="AM278" s="2076">
        <f t="shared" si="916"/>
        <v>0</v>
      </c>
      <c r="AN278" s="2078">
        <f t="shared" si="917"/>
        <v>1</v>
      </c>
      <c r="AO278" s="2079">
        <f t="shared" si="888"/>
        <v>1</v>
      </c>
      <c r="AP278" s="2079">
        <f t="shared" si="889"/>
        <v>0</v>
      </c>
      <c r="AQ278" s="2079">
        <f t="shared" si="890"/>
        <v>0</v>
      </c>
      <c r="AR278" s="2079">
        <f t="shared" si="891"/>
        <v>0</v>
      </c>
      <c r="AS278" s="2079">
        <f t="shared" si="892"/>
        <v>0</v>
      </c>
      <c r="AT278" s="2079">
        <f t="shared" si="893"/>
        <v>0</v>
      </c>
      <c r="AU278" s="2079">
        <f t="shared" si="894"/>
        <v>0</v>
      </c>
      <c r="AV278" s="2079">
        <f t="shared" si="895"/>
        <v>0</v>
      </c>
      <c r="AW278" s="2079">
        <f t="shared" si="896"/>
        <v>0</v>
      </c>
      <c r="AX278" s="2079">
        <f t="shared" si="897"/>
        <v>0</v>
      </c>
      <c r="AY278" s="2078">
        <f t="shared" si="918"/>
        <v>0</v>
      </c>
      <c r="AZ278" s="2078">
        <f t="shared" si="919"/>
        <v>0</v>
      </c>
      <c r="BA278" s="2078">
        <f t="shared" si="920"/>
        <v>0</v>
      </c>
      <c r="BB278" s="2078">
        <f t="shared" si="921"/>
        <v>0</v>
      </c>
      <c r="BC278" s="2078">
        <f t="shared" si="922"/>
        <v>0</v>
      </c>
      <c r="BD278" s="2078">
        <f t="shared" si="923"/>
        <v>0</v>
      </c>
      <c r="BE278" s="2078">
        <f t="shared" si="924"/>
        <v>0</v>
      </c>
      <c r="BF278" s="2078">
        <f t="shared" si="925"/>
        <v>0</v>
      </c>
      <c r="BG278" s="2078">
        <f t="shared" si="926"/>
        <v>0</v>
      </c>
      <c r="BH278" s="2078">
        <f t="shared" si="927"/>
        <v>0</v>
      </c>
      <c r="BI278" s="2078">
        <f t="shared" si="928"/>
        <v>0</v>
      </c>
      <c r="BJ278" s="2078">
        <f t="shared" si="929"/>
        <v>0</v>
      </c>
      <c r="BK278" s="2078">
        <f t="shared" si="930"/>
        <v>0</v>
      </c>
      <c r="BL278" s="2078">
        <f t="shared" si="931"/>
        <v>0</v>
      </c>
      <c r="BM278" s="2078">
        <f t="shared" si="932"/>
        <v>0</v>
      </c>
      <c r="BN278" s="2078">
        <f t="shared" si="933"/>
        <v>0</v>
      </c>
      <c r="BO278" s="2078">
        <f t="shared" si="934"/>
        <v>0</v>
      </c>
      <c r="BP278" s="2078">
        <f t="shared" si="935"/>
        <v>0</v>
      </c>
      <c r="BQ278" s="2078">
        <f t="shared" si="936"/>
        <v>0</v>
      </c>
      <c r="BR278" s="2078">
        <f t="shared" si="937"/>
        <v>0</v>
      </c>
      <c r="BS278" s="2079">
        <f t="shared" si="898"/>
        <v>1</v>
      </c>
      <c r="BT278" s="2079">
        <f t="shared" si="899"/>
        <v>0</v>
      </c>
      <c r="BU278" s="2079">
        <f t="shared" si="900"/>
        <v>0</v>
      </c>
      <c r="BV278" s="2079">
        <f t="shared" si="901"/>
        <v>0</v>
      </c>
      <c r="BW278" s="2079">
        <f t="shared" si="902"/>
        <v>0</v>
      </c>
      <c r="BX278" s="2079">
        <f t="shared" si="903"/>
        <v>0</v>
      </c>
      <c r="BY278" s="2079">
        <f t="shared" si="904"/>
        <v>0</v>
      </c>
      <c r="BZ278" s="2079">
        <f t="shared" si="905"/>
        <v>0</v>
      </c>
      <c r="CA278" s="2079">
        <f t="shared" si="906"/>
        <v>0</v>
      </c>
      <c r="CB278" s="2079">
        <f t="shared" si="907"/>
        <v>0</v>
      </c>
      <c r="CC278" s="2078">
        <f t="shared" ca="1" si="938"/>
        <v>0</v>
      </c>
      <c r="CD278" s="2078">
        <f t="shared" ca="1" si="939"/>
        <v>0</v>
      </c>
      <c r="CE278" s="2078">
        <f t="shared" ca="1" si="940"/>
        <v>0</v>
      </c>
      <c r="CF278" s="2078">
        <f t="shared" ca="1" si="941"/>
        <v>0</v>
      </c>
      <c r="CG278" s="2078">
        <f t="shared" ca="1" si="942"/>
        <v>0</v>
      </c>
      <c r="CH278" s="2078">
        <f t="shared" ca="1" si="943"/>
        <v>0</v>
      </c>
      <c r="CI278" s="2078">
        <f t="shared" ca="1" si="944"/>
        <v>0</v>
      </c>
      <c r="CJ278" s="2078">
        <f t="shared" ca="1" si="945"/>
        <v>0</v>
      </c>
      <c r="CK278" s="2078">
        <f t="shared" ca="1" si="946"/>
        <v>0</v>
      </c>
      <c r="CL278" s="2078">
        <f t="shared" ca="1" si="947"/>
        <v>0</v>
      </c>
      <c r="CM278" s="2078">
        <f t="shared" si="968"/>
        <v>1</v>
      </c>
      <c r="CN278" s="2078">
        <f t="shared" si="969"/>
        <v>1</v>
      </c>
      <c r="CO278" s="2078">
        <f t="shared" si="958"/>
        <v>1</v>
      </c>
      <c r="CP278" s="2078">
        <f t="shared" si="948"/>
        <v>1</v>
      </c>
      <c r="CQ278" s="2078">
        <f t="shared" si="959"/>
        <v>0</v>
      </c>
      <c r="CR278" s="2078">
        <f t="shared" si="879"/>
        <v>0</v>
      </c>
      <c r="CS278" s="2078">
        <f t="shared" si="949"/>
        <v>0</v>
      </c>
      <c r="CT278" s="2078">
        <f t="shared" si="960"/>
        <v>1</v>
      </c>
      <c r="CU278" s="2078">
        <f t="shared" si="950"/>
        <v>1</v>
      </c>
      <c r="CV278" s="2078">
        <f t="shared" si="970"/>
        <v>0</v>
      </c>
      <c r="CW278" s="2078">
        <f>IF(OR(AE278&lt;&gt;3,F278="Exclude"),0,IF(ISERROR(MATCH($E278,'4 Sign-off'!$S$123:$X$123,0)),0,1))</f>
        <v>0</v>
      </c>
      <c r="CX278" s="2078">
        <f t="shared" si="982"/>
        <v>0</v>
      </c>
      <c r="CY278" s="2078">
        <f t="shared" si="971"/>
        <v>0</v>
      </c>
      <c r="CZ278" s="2993">
        <f t="shared" ca="1" si="980"/>
        <v>0</v>
      </c>
      <c r="DA278" s="3037">
        <f t="shared" ca="1" si="981"/>
        <v>0</v>
      </c>
      <c r="DB278" s="1664"/>
      <c r="DC278" s="1320"/>
      <c r="DD278" s="589"/>
      <c r="DE278" s="1321"/>
      <c r="DF278" s="107"/>
      <c r="DG278" s="112"/>
      <c r="DH278" s="140"/>
      <c r="DI278" s="22"/>
      <c r="DJ278" s="145"/>
      <c r="DK278" s="137"/>
      <c r="DL278" s="137"/>
      <c r="DM278" s="137"/>
      <c r="DN278" s="137"/>
      <c r="DO278" s="137"/>
      <c r="DP278" s="137"/>
      <c r="DQ278" s="137"/>
      <c r="DR278" s="137"/>
      <c r="DS278" s="137"/>
      <c r="DT278" s="137"/>
      <c r="DU278" s="137"/>
      <c r="DV278" s="137"/>
      <c r="DW278" s="137"/>
      <c r="DX278" s="137"/>
      <c r="DY278" s="137"/>
      <c r="DZ278" s="137"/>
      <c r="EA278" s="137"/>
      <c r="EB278" s="137"/>
      <c r="EC278" s="137"/>
      <c r="ED278" s="137"/>
      <c r="EE278" s="137"/>
      <c r="EF278" s="137"/>
      <c r="EG278" s="137"/>
      <c r="EH278" s="137"/>
      <c r="EI278" s="137"/>
      <c r="EJ278" s="137"/>
      <c r="EK278" s="137"/>
      <c r="EL278" s="137"/>
      <c r="EM278" s="137"/>
      <c r="EN278" s="137"/>
      <c r="EO278" s="137"/>
      <c r="EP278" s="137"/>
      <c r="EQ278" s="137"/>
      <c r="ER278" s="137"/>
      <c r="ES278" s="137"/>
      <c r="ET278" s="137"/>
      <c r="EU278" s="137"/>
      <c r="EV278" s="137"/>
      <c r="EW278" s="137"/>
      <c r="EX278" s="137"/>
      <c r="EY278" s="137"/>
      <c r="EZ278" s="137"/>
      <c r="FA278" s="137"/>
      <c r="FB278" s="137"/>
      <c r="FC278" s="137"/>
      <c r="FD278" s="137"/>
      <c r="FE278" s="137"/>
      <c r="FF278" s="137"/>
      <c r="FG278" s="860"/>
      <c r="FH278" s="863"/>
      <c r="FI278" s="1318"/>
      <c r="FJ278" s="126"/>
      <c r="FK278" s="127"/>
      <c r="FL278" s="128" t="str">
        <f t="shared" si="951"/>
        <v xml:space="preserve">    </v>
      </c>
      <c r="FM278" s="128"/>
      <c r="FN278" s="1686">
        <f t="shared" si="952"/>
        <v>0</v>
      </c>
      <c r="FO278" s="46">
        <f t="shared" si="972"/>
        <v>0</v>
      </c>
      <c r="FP278" s="46">
        <f t="shared" si="977"/>
        <v>1</v>
      </c>
      <c r="FQ278" s="75">
        <f t="shared" si="953"/>
        <v>0</v>
      </c>
      <c r="FR278" s="46">
        <f t="shared" si="964"/>
        <v>0</v>
      </c>
      <c r="FS278" s="46">
        <f t="shared" si="965"/>
        <v>1</v>
      </c>
      <c r="FT278" s="75">
        <f t="shared" si="954"/>
        <v>0</v>
      </c>
      <c r="FU278" s="2603">
        <f t="shared" si="973"/>
        <v>0</v>
      </c>
      <c r="FV278" s="2607">
        <f t="shared" si="974"/>
        <v>0</v>
      </c>
      <c r="FW278" s="2603">
        <f t="shared" si="975"/>
        <v>0</v>
      </c>
      <c r="FX278" s="2631">
        <f t="shared" si="976"/>
        <v>0</v>
      </c>
      <c r="FY278" s="81" t="e">
        <f t="shared" si="966"/>
        <v>#N/A</v>
      </c>
      <c r="FZ278" s="64" t="e">
        <f t="array" ref="FZ278">MATCH(1,($GT278:$LQ278&gt;0)*$GT$25:$LQ$25,0)</f>
        <v>#N/A</v>
      </c>
      <c r="GA278" s="64" t="e">
        <f t="array" ref="GA278">MATCH(2,1/(GT278:LQ278&gt;0))</f>
        <v>#N/A</v>
      </c>
      <c r="GB278" s="64">
        <f t="shared" si="955"/>
        <v>-1</v>
      </c>
      <c r="GC278" s="46"/>
      <c r="GD278" s="613"/>
      <c r="GE278" s="613"/>
      <c r="GF278" s="613"/>
      <c r="GG278" s="613"/>
      <c r="GH278" s="613"/>
      <c r="GI278" s="613"/>
      <c r="GJ278" s="613"/>
      <c r="GK278" s="613"/>
      <c r="GL278" s="613"/>
      <c r="GM278" s="613"/>
      <c r="GN278" s="385">
        <f t="shared" si="983"/>
        <v>0</v>
      </c>
      <c r="GO278" s="386">
        <f t="shared" si="984"/>
        <v>0</v>
      </c>
      <c r="GP278" s="2635"/>
      <c r="GQ278" s="175"/>
      <c r="GR278" s="172"/>
      <c r="GS278" s="65"/>
      <c r="GT278" s="167"/>
      <c r="GU278" s="168"/>
      <c r="GV278" s="168"/>
      <c r="GW278" s="168"/>
      <c r="GX278" s="168"/>
      <c r="GY278" s="168"/>
      <c r="GZ278" s="168"/>
      <c r="HA278" s="168"/>
      <c r="HB278" s="168"/>
      <c r="HC278" s="168"/>
      <c r="HD278" s="168"/>
      <c r="HE278" s="168"/>
      <c r="HF278" s="168"/>
      <c r="HG278" s="168"/>
      <c r="HH278" s="168"/>
      <c r="HI278" s="168"/>
      <c r="HJ278" s="168"/>
      <c r="HK278" s="168"/>
      <c r="HL278" s="168"/>
      <c r="HM278" s="168"/>
      <c r="HN278" s="168"/>
      <c r="HO278" s="168"/>
      <c r="HP278" s="168"/>
      <c r="HQ278" s="168"/>
      <c r="HR278" s="168"/>
      <c r="HS278" s="168"/>
      <c r="HT278" s="168"/>
      <c r="HU278" s="168"/>
      <c r="HV278" s="168"/>
      <c r="HW278" s="168"/>
      <c r="HX278" s="168"/>
      <c r="HY278" s="168"/>
      <c r="HZ278" s="168"/>
      <c r="IA278" s="168"/>
      <c r="IB278" s="168"/>
      <c r="IC278" s="168"/>
      <c r="ID278" s="168"/>
      <c r="IE278" s="168"/>
      <c r="IF278" s="168"/>
      <c r="IG278" s="168"/>
      <c r="IH278" s="168"/>
      <c r="II278" s="168"/>
      <c r="IJ278" s="168"/>
      <c r="IK278" s="168"/>
      <c r="IL278" s="168"/>
      <c r="IM278" s="168"/>
      <c r="IN278" s="168"/>
      <c r="IO278" s="168"/>
      <c r="IP278" s="168"/>
      <c r="IQ278" s="168"/>
      <c r="IR278" s="168"/>
      <c r="IS278" s="168"/>
      <c r="IT278" s="168"/>
      <c r="IU278" s="168"/>
      <c r="IV278" s="168"/>
      <c r="IW278" s="168"/>
      <c r="IX278" s="168"/>
      <c r="IY278" s="168"/>
      <c r="IZ278" s="168"/>
      <c r="JA278" s="168"/>
      <c r="JB278" s="168"/>
      <c r="JC278" s="168"/>
      <c r="JD278" s="168"/>
      <c r="JE278" s="168"/>
      <c r="JF278" s="168"/>
      <c r="JG278" s="168"/>
      <c r="JH278" s="168"/>
      <c r="JI278" s="168"/>
      <c r="JJ278" s="168"/>
      <c r="JK278" s="168"/>
      <c r="JL278" s="168"/>
      <c r="JM278" s="168"/>
      <c r="JN278" s="168"/>
      <c r="JO278" s="168"/>
      <c r="JP278" s="168"/>
      <c r="JQ278" s="168"/>
      <c r="JR278" s="168"/>
      <c r="JS278" s="168"/>
      <c r="JT278" s="168"/>
      <c r="JU278" s="168"/>
      <c r="JV278" s="168"/>
      <c r="JW278" s="168"/>
      <c r="JX278" s="168"/>
      <c r="JY278" s="168"/>
      <c r="JZ278" s="168"/>
      <c r="KA278" s="168"/>
      <c r="KB278" s="168"/>
      <c r="KC278" s="168"/>
      <c r="KD278" s="168"/>
      <c r="KE278" s="168"/>
      <c r="KF278" s="168"/>
      <c r="KG278" s="168"/>
      <c r="KH278" s="168"/>
      <c r="KI278" s="168"/>
      <c r="KJ278" s="168"/>
      <c r="KK278" s="168"/>
      <c r="KL278" s="168"/>
      <c r="KM278" s="168"/>
      <c r="KN278" s="168"/>
      <c r="KO278" s="168"/>
      <c r="KP278" s="168"/>
      <c r="KQ278" s="168"/>
      <c r="KR278" s="168"/>
      <c r="KS278" s="168"/>
      <c r="KT278" s="168"/>
      <c r="KU278" s="168"/>
      <c r="KV278" s="168"/>
      <c r="KW278" s="168"/>
      <c r="KX278" s="168"/>
      <c r="KY278" s="168"/>
      <c r="KZ278" s="168"/>
      <c r="LA278" s="168"/>
      <c r="LB278" s="168"/>
      <c r="LC278" s="168"/>
      <c r="LD278" s="168"/>
      <c r="LE278" s="168"/>
      <c r="LF278" s="168"/>
      <c r="LG278" s="168"/>
      <c r="LH278" s="168"/>
      <c r="LI278" s="168"/>
      <c r="LJ278" s="168"/>
      <c r="LK278" s="168"/>
      <c r="LL278" s="168"/>
      <c r="LM278" s="168"/>
      <c r="LN278" s="168"/>
      <c r="LO278" s="168"/>
      <c r="LP278" s="606"/>
      <c r="LQ278" s="609"/>
      <c r="LR278" s="1319"/>
      <c r="LS278" s="1319"/>
    </row>
    <row r="279" spans="1:331" s="2" customFormat="1" ht="15" customHeight="1" x14ac:dyDescent="0.25">
      <c r="A279" s="283"/>
      <c r="B279" s="303"/>
      <c r="C279" s="301"/>
      <c r="D279" s="1287"/>
      <c r="E279" s="2298"/>
      <c r="F279" s="1812"/>
      <c r="G279" s="3342"/>
      <c r="H279" s="66"/>
      <c r="I279" s="1746"/>
      <c r="J279" s="1214"/>
      <c r="K279" s="105"/>
      <c r="L279" s="91"/>
      <c r="M279" s="92"/>
      <c r="N279" s="93"/>
      <c r="O279" s="94"/>
      <c r="P279" s="96"/>
      <c r="Q279" s="95"/>
      <c r="R279" s="993">
        <f t="shared" si="978"/>
        <v>0</v>
      </c>
      <c r="S279" s="23">
        <f t="shared" si="979"/>
        <v>0</v>
      </c>
      <c r="T279" s="24">
        <f t="shared" si="908"/>
        <v>0</v>
      </c>
      <c r="U279" s="24">
        <f t="shared" si="909"/>
        <v>0</v>
      </c>
      <c r="V279" s="24">
        <f t="shared" si="910"/>
        <v>0</v>
      </c>
      <c r="W279" s="24">
        <f t="shared" ca="1" si="911"/>
        <v>0</v>
      </c>
      <c r="X279" s="72">
        <f t="shared" ca="1" si="956"/>
        <v>0</v>
      </c>
      <c r="Y279" s="72">
        <f t="shared" si="912"/>
        <v>0</v>
      </c>
      <c r="Z279" s="24">
        <f t="shared" si="913"/>
        <v>0</v>
      </c>
      <c r="AA279" s="72">
        <f t="shared" si="957"/>
        <v>0</v>
      </c>
      <c r="AB279" s="24">
        <f t="shared" si="967"/>
        <v>0</v>
      </c>
      <c r="AC279" s="24">
        <f t="shared" ca="1" si="914"/>
        <v>0</v>
      </c>
      <c r="AD279" s="24">
        <f t="shared" si="886"/>
        <v>0</v>
      </c>
      <c r="AE279" s="2078">
        <f t="shared" si="961"/>
        <v>3</v>
      </c>
      <c r="AF279" s="2078">
        <f t="shared" si="962"/>
        <v>0</v>
      </c>
      <c r="AG279" s="2078">
        <f t="shared" si="963"/>
        <v>0</v>
      </c>
      <c r="AH279" s="2521">
        <f t="shared" si="887"/>
        <v>1</v>
      </c>
      <c r="AI279" s="25" t="str">
        <f t="shared" si="915"/>
        <v/>
      </c>
      <c r="AJ279" s="2521">
        <f t="shared" ca="1" si="882"/>
        <v>0</v>
      </c>
      <c r="AK279" s="2076">
        <f t="shared" ca="1" si="878"/>
        <v>0</v>
      </c>
      <c r="AL279" s="2078">
        <f>IF(ISBLANK(J279),0,ISERROR(MATCH(J279,'5  Control Accounts'!$FA$29:$FA$96,0))*1)</f>
        <v>0</v>
      </c>
      <c r="AM279" s="2076">
        <f t="shared" si="916"/>
        <v>0</v>
      </c>
      <c r="AN279" s="2078">
        <f t="shared" si="917"/>
        <v>1</v>
      </c>
      <c r="AO279" s="2079">
        <f t="shared" si="888"/>
        <v>1</v>
      </c>
      <c r="AP279" s="2079">
        <f t="shared" si="889"/>
        <v>0</v>
      </c>
      <c r="AQ279" s="2079">
        <f t="shared" si="890"/>
        <v>0</v>
      </c>
      <c r="AR279" s="2079">
        <f t="shared" si="891"/>
        <v>0</v>
      </c>
      <c r="AS279" s="2079">
        <f t="shared" si="892"/>
        <v>0</v>
      </c>
      <c r="AT279" s="2079">
        <f t="shared" si="893"/>
        <v>0</v>
      </c>
      <c r="AU279" s="2079">
        <f t="shared" si="894"/>
        <v>0</v>
      </c>
      <c r="AV279" s="2079">
        <f t="shared" si="895"/>
        <v>0</v>
      </c>
      <c r="AW279" s="2079">
        <f t="shared" si="896"/>
        <v>0</v>
      </c>
      <c r="AX279" s="2079">
        <f t="shared" si="897"/>
        <v>0</v>
      </c>
      <c r="AY279" s="2078">
        <f t="shared" si="918"/>
        <v>0</v>
      </c>
      <c r="AZ279" s="2078">
        <f t="shared" si="919"/>
        <v>0</v>
      </c>
      <c r="BA279" s="2078">
        <f t="shared" si="920"/>
        <v>0</v>
      </c>
      <c r="BB279" s="2078">
        <f t="shared" si="921"/>
        <v>0</v>
      </c>
      <c r="BC279" s="2078">
        <f t="shared" si="922"/>
        <v>0</v>
      </c>
      <c r="BD279" s="2078">
        <f t="shared" si="923"/>
        <v>0</v>
      </c>
      <c r="BE279" s="2078">
        <f t="shared" si="924"/>
        <v>0</v>
      </c>
      <c r="BF279" s="2078">
        <f t="shared" si="925"/>
        <v>0</v>
      </c>
      <c r="BG279" s="2078">
        <f t="shared" si="926"/>
        <v>0</v>
      </c>
      <c r="BH279" s="2078">
        <f t="shared" si="927"/>
        <v>0</v>
      </c>
      <c r="BI279" s="2078">
        <f t="shared" si="928"/>
        <v>0</v>
      </c>
      <c r="BJ279" s="2078">
        <f t="shared" si="929"/>
        <v>0</v>
      </c>
      <c r="BK279" s="2078">
        <f t="shared" si="930"/>
        <v>0</v>
      </c>
      <c r="BL279" s="2078">
        <f t="shared" si="931"/>
        <v>0</v>
      </c>
      <c r="BM279" s="2078">
        <f t="shared" si="932"/>
        <v>0</v>
      </c>
      <c r="BN279" s="2078">
        <f t="shared" si="933"/>
        <v>0</v>
      </c>
      <c r="BO279" s="2078">
        <f t="shared" si="934"/>
        <v>0</v>
      </c>
      <c r="BP279" s="2078">
        <f t="shared" si="935"/>
        <v>0</v>
      </c>
      <c r="BQ279" s="2078">
        <f t="shared" si="936"/>
        <v>0</v>
      </c>
      <c r="BR279" s="2078">
        <f t="shared" si="937"/>
        <v>0</v>
      </c>
      <c r="BS279" s="2079">
        <f t="shared" si="898"/>
        <v>1</v>
      </c>
      <c r="BT279" s="2079">
        <f t="shared" si="899"/>
        <v>0</v>
      </c>
      <c r="BU279" s="2079">
        <f t="shared" si="900"/>
        <v>0</v>
      </c>
      <c r="BV279" s="2079">
        <f t="shared" si="901"/>
        <v>0</v>
      </c>
      <c r="BW279" s="2079">
        <f t="shared" si="902"/>
        <v>0</v>
      </c>
      <c r="BX279" s="2079">
        <f t="shared" si="903"/>
        <v>0</v>
      </c>
      <c r="BY279" s="2079">
        <f t="shared" si="904"/>
        <v>0</v>
      </c>
      <c r="BZ279" s="2079">
        <f t="shared" si="905"/>
        <v>0</v>
      </c>
      <c r="CA279" s="2079">
        <f t="shared" si="906"/>
        <v>0</v>
      </c>
      <c r="CB279" s="2079">
        <f t="shared" si="907"/>
        <v>0</v>
      </c>
      <c r="CC279" s="2078">
        <f t="shared" ca="1" si="938"/>
        <v>0</v>
      </c>
      <c r="CD279" s="2078">
        <f t="shared" ca="1" si="939"/>
        <v>0</v>
      </c>
      <c r="CE279" s="2078">
        <f t="shared" ca="1" si="940"/>
        <v>0</v>
      </c>
      <c r="CF279" s="2078">
        <f t="shared" ca="1" si="941"/>
        <v>0</v>
      </c>
      <c r="CG279" s="2078">
        <f t="shared" ca="1" si="942"/>
        <v>0</v>
      </c>
      <c r="CH279" s="2078">
        <f t="shared" ca="1" si="943"/>
        <v>0</v>
      </c>
      <c r="CI279" s="2078">
        <f t="shared" ca="1" si="944"/>
        <v>0</v>
      </c>
      <c r="CJ279" s="2078">
        <f t="shared" ca="1" si="945"/>
        <v>0</v>
      </c>
      <c r="CK279" s="2078">
        <f t="shared" ca="1" si="946"/>
        <v>0</v>
      </c>
      <c r="CL279" s="2078">
        <f t="shared" ca="1" si="947"/>
        <v>0</v>
      </c>
      <c r="CM279" s="2078">
        <f t="shared" si="968"/>
        <v>1</v>
      </c>
      <c r="CN279" s="2078">
        <f t="shared" si="969"/>
        <v>1</v>
      </c>
      <c r="CO279" s="2078">
        <f t="shared" si="958"/>
        <v>1</v>
      </c>
      <c r="CP279" s="2078">
        <f t="shared" si="948"/>
        <v>1</v>
      </c>
      <c r="CQ279" s="2078">
        <f t="shared" si="959"/>
        <v>0</v>
      </c>
      <c r="CR279" s="2078">
        <f t="shared" si="879"/>
        <v>0</v>
      </c>
      <c r="CS279" s="2078">
        <f t="shared" si="949"/>
        <v>0</v>
      </c>
      <c r="CT279" s="2078">
        <f t="shared" si="960"/>
        <v>1</v>
      </c>
      <c r="CU279" s="2078">
        <f t="shared" si="950"/>
        <v>1</v>
      </c>
      <c r="CV279" s="2078">
        <f t="shared" si="970"/>
        <v>0</v>
      </c>
      <c r="CW279" s="2078">
        <f>IF(OR(AE279&lt;&gt;3,F279="Exclude"),0,IF(ISERROR(MATCH($E279,'4 Sign-off'!$S$123:$X$123,0)),0,1))</f>
        <v>0</v>
      </c>
      <c r="CX279" s="2078">
        <f t="shared" si="982"/>
        <v>0</v>
      </c>
      <c r="CY279" s="2078">
        <f t="shared" si="971"/>
        <v>0</v>
      </c>
      <c r="CZ279" s="2993">
        <f t="shared" ca="1" si="980"/>
        <v>0</v>
      </c>
      <c r="DA279" s="3037">
        <f t="shared" ca="1" si="981"/>
        <v>0</v>
      </c>
      <c r="DB279" s="1664"/>
      <c r="DC279" s="1320"/>
      <c r="DD279" s="589"/>
      <c r="DE279" s="1321"/>
      <c r="DF279" s="107"/>
      <c r="DG279" s="112"/>
      <c r="DH279" s="140"/>
      <c r="DI279" s="22"/>
      <c r="DJ279" s="145"/>
      <c r="DK279" s="137"/>
      <c r="DL279" s="137"/>
      <c r="DM279" s="137"/>
      <c r="DN279" s="137"/>
      <c r="DO279" s="137"/>
      <c r="DP279" s="137"/>
      <c r="DQ279" s="137"/>
      <c r="DR279" s="137"/>
      <c r="DS279" s="137"/>
      <c r="DT279" s="137"/>
      <c r="DU279" s="137"/>
      <c r="DV279" s="137"/>
      <c r="DW279" s="137"/>
      <c r="DX279" s="137"/>
      <c r="DY279" s="137"/>
      <c r="DZ279" s="137"/>
      <c r="EA279" s="137"/>
      <c r="EB279" s="137"/>
      <c r="EC279" s="137"/>
      <c r="ED279" s="137"/>
      <c r="EE279" s="137"/>
      <c r="EF279" s="137"/>
      <c r="EG279" s="137"/>
      <c r="EH279" s="137"/>
      <c r="EI279" s="137"/>
      <c r="EJ279" s="137"/>
      <c r="EK279" s="137"/>
      <c r="EL279" s="137"/>
      <c r="EM279" s="137"/>
      <c r="EN279" s="137"/>
      <c r="EO279" s="137"/>
      <c r="EP279" s="137"/>
      <c r="EQ279" s="137"/>
      <c r="ER279" s="137"/>
      <c r="ES279" s="137"/>
      <c r="ET279" s="137"/>
      <c r="EU279" s="137"/>
      <c r="EV279" s="137"/>
      <c r="EW279" s="137"/>
      <c r="EX279" s="137"/>
      <c r="EY279" s="137"/>
      <c r="EZ279" s="137"/>
      <c r="FA279" s="137"/>
      <c r="FB279" s="137"/>
      <c r="FC279" s="137"/>
      <c r="FD279" s="137"/>
      <c r="FE279" s="137"/>
      <c r="FF279" s="137"/>
      <c r="FG279" s="860"/>
      <c r="FH279" s="863"/>
      <c r="FI279" s="1318"/>
      <c r="FJ279" s="126"/>
      <c r="FK279" s="127"/>
      <c r="FL279" s="128" t="str">
        <f t="shared" si="951"/>
        <v xml:space="preserve">    </v>
      </c>
      <c r="FM279" s="128"/>
      <c r="FN279" s="1686">
        <f t="shared" si="952"/>
        <v>0</v>
      </c>
      <c r="FO279" s="46">
        <f t="shared" si="972"/>
        <v>0</v>
      </c>
      <c r="FP279" s="46">
        <f t="shared" si="977"/>
        <v>1</v>
      </c>
      <c r="FQ279" s="75">
        <f t="shared" si="953"/>
        <v>0</v>
      </c>
      <c r="FR279" s="46">
        <f t="shared" si="964"/>
        <v>0</v>
      </c>
      <c r="FS279" s="46">
        <f t="shared" si="965"/>
        <v>1</v>
      </c>
      <c r="FT279" s="75">
        <f t="shared" si="954"/>
        <v>0</v>
      </c>
      <c r="FU279" s="2603">
        <f t="shared" si="973"/>
        <v>0</v>
      </c>
      <c r="FV279" s="2607">
        <f t="shared" si="974"/>
        <v>0</v>
      </c>
      <c r="FW279" s="2603">
        <f t="shared" si="975"/>
        <v>0</v>
      </c>
      <c r="FX279" s="2631">
        <f t="shared" si="976"/>
        <v>0</v>
      </c>
      <c r="FY279" s="81" t="e">
        <f t="shared" si="966"/>
        <v>#N/A</v>
      </c>
      <c r="FZ279" s="64" t="e">
        <f t="array" ref="FZ279">MATCH(1,($GT279:$LQ279&gt;0)*$GT$25:$LQ$25,0)</f>
        <v>#N/A</v>
      </c>
      <c r="GA279" s="64" t="e">
        <f t="array" ref="GA279">MATCH(2,1/(GT279:LQ279&gt;0))</f>
        <v>#N/A</v>
      </c>
      <c r="GB279" s="64">
        <f t="shared" si="955"/>
        <v>-1</v>
      </c>
      <c r="GC279" s="46"/>
      <c r="GD279" s="613"/>
      <c r="GE279" s="613"/>
      <c r="GF279" s="613"/>
      <c r="GG279" s="613"/>
      <c r="GH279" s="613"/>
      <c r="GI279" s="613"/>
      <c r="GJ279" s="613"/>
      <c r="GK279" s="613"/>
      <c r="GL279" s="613"/>
      <c r="GM279" s="613"/>
      <c r="GN279" s="385">
        <f t="shared" si="983"/>
        <v>0</v>
      </c>
      <c r="GO279" s="386">
        <f t="shared" si="984"/>
        <v>0</v>
      </c>
      <c r="GP279" s="2635"/>
      <c r="GQ279" s="175"/>
      <c r="GR279" s="172"/>
      <c r="GS279" s="65"/>
      <c r="GT279" s="167"/>
      <c r="GU279" s="168"/>
      <c r="GV279" s="168"/>
      <c r="GW279" s="168"/>
      <c r="GX279" s="168"/>
      <c r="GY279" s="168"/>
      <c r="GZ279" s="168"/>
      <c r="HA279" s="168"/>
      <c r="HB279" s="168"/>
      <c r="HC279" s="168"/>
      <c r="HD279" s="168"/>
      <c r="HE279" s="168"/>
      <c r="HF279" s="168"/>
      <c r="HG279" s="168"/>
      <c r="HH279" s="168"/>
      <c r="HI279" s="168"/>
      <c r="HJ279" s="168"/>
      <c r="HK279" s="168"/>
      <c r="HL279" s="168"/>
      <c r="HM279" s="168"/>
      <c r="HN279" s="168"/>
      <c r="HO279" s="168"/>
      <c r="HP279" s="168"/>
      <c r="HQ279" s="168"/>
      <c r="HR279" s="168"/>
      <c r="HS279" s="168"/>
      <c r="HT279" s="168"/>
      <c r="HU279" s="168"/>
      <c r="HV279" s="168"/>
      <c r="HW279" s="168"/>
      <c r="HX279" s="168"/>
      <c r="HY279" s="168"/>
      <c r="HZ279" s="168"/>
      <c r="IA279" s="168"/>
      <c r="IB279" s="168"/>
      <c r="IC279" s="168"/>
      <c r="ID279" s="168"/>
      <c r="IE279" s="168"/>
      <c r="IF279" s="168"/>
      <c r="IG279" s="168"/>
      <c r="IH279" s="168"/>
      <c r="II279" s="168"/>
      <c r="IJ279" s="168"/>
      <c r="IK279" s="168"/>
      <c r="IL279" s="168"/>
      <c r="IM279" s="168"/>
      <c r="IN279" s="168"/>
      <c r="IO279" s="168"/>
      <c r="IP279" s="168"/>
      <c r="IQ279" s="168"/>
      <c r="IR279" s="168"/>
      <c r="IS279" s="168"/>
      <c r="IT279" s="168"/>
      <c r="IU279" s="168"/>
      <c r="IV279" s="168"/>
      <c r="IW279" s="168"/>
      <c r="IX279" s="168"/>
      <c r="IY279" s="168"/>
      <c r="IZ279" s="168"/>
      <c r="JA279" s="168"/>
      <c r="JB279" s="168"/>
      <c r="JC279" s="168"/>
      <c r="JD279" s="168"/>
      <c r="JE279" s="168"/>
      <c r="JF279" s="168"/>
      <c r="JG279" s="168"/>
      <c r="JH279" s="168"/>
      <c r="JI279" s="168"/>
      <c r="JJ279" s="168"/>
      <c r="JK279" s="168"/>
      <c r="JL279" s="168"/>
      <c r="JM279" s="168"/>
      <c r="JN279" s="168"/>
      <c r="JO279" s="168"/>
      <c r="JP279" s="168"/>
      <c r="JQ279" s="168"/>
      <c r="JR279" s="168"/>
      <c r="JS279" s="168"/>
      <c r="JT279" s="168"/>
      <c r="JU279" s="168"/>
      <c r="JV279" s="168"/>
      <c r="JW279" s="168"/>
      <c r="JX279" s="168"/>
      <c r="JY279" s="168"/>
      <c r="JZ279" s="168"/>
      <c r="KA279" s="168"/>
      <c r="KB279" s="168"/>
      <c r="KC279" s="168"/>
      <c r="KD279" s="168"/>
      <c r="KE279" s="168"/>
      <c r="KF279" s="168"/>
      <c r="KG279" s="168"/>
      <c r="KH279" s="168"/>
      <c r="KI279" s="168"/>
      <c r="KJ279" s="168"/>
      <c r="KK279" s="168"/>
      <c r="KL279" s="168"/>
      <c r="KM279" s="168"/>
      <c r="KN279" s="168"/>
      <c r="KO279" s="168"/>
      <c r="KP279" s="168"/>
      <c r="KQ279" s="168"/>
      <c r="KR279" s="168"/>
      <c r="KS279" s="168"/>
      <c r="KT279" s="168"/>
      <c r="KU279" s="168"/>
      <c r="KV279" s="168"/>
      <c r="KW279" s="168"/>
      <c r="KX279" s="168"/>
      <c r="KY279" s="168"/>
      <c r="KZ279" s="168"/>
      <c r="LA279" s="168"/>
      <c r="LB279" s="168"/>
      <c r="LC279" s="168"/>
      <c r="LD279" s="168"/>
      <c r="LE279" s="168"/>
      <c r="LF279" s="168"/>
      <c r="LG279" s="168"/>
      <c r="LH279" s="168"/>
      <c r="LI279" s="168"/>
      <c r="LJ279" s="168"/>
      <c r="LK279" s="168"/>
      <c r="LL279" s="168"/>
      <c r="LM279" s="168"/>
      <c r="LN279" s="168"/>
      <c r="LO279" s="168"/>
      <c r="LP279" s="606"/>
      <c r="LQ279" s="609"/>
      <c r="LR279" s="1319"/>
      <c r="LS279" s="1319"/>
    </row>
    <row r="280" spans="1:331" s="2" customFormat="1" ht="15" customHeight="1" x14ac:dyDescent="0.25">
      <c r="A280" s="283"/>
      <c r="B280" s="303"/>
      <c r="C280" s="301"/>
      <c r="D280" s="1287"/>
      <c r="E280" s="2298"/>
      <c r="F280" s="1812"/>
      <c r="G280" s="3342"/>
      <c r="H280" s="66"/>
      <c r="I280" s="1746"/>
      <c r="J280" s="1214"/>
      <c r="K280" s="105"/>
      <c r="L280" s="91"/>
      <c r="M280" s="92"/>
      <c r="N280" s="93"/>
      <c r="O280" s="94"/>
      <c r="P280" s="96"/>
      <c r="Q280" s="95"/>
      <c r="R280" s="993">
        <f t="shared" si="978"/>
        <v>0</v>
      </c>
      <c r="S280" s="23">
        <f t="shared" si="979"/>
        <v>0</v>
      </c>
      <c r="T280" s="24">
        <f t="shared" ref="T280:T311" si="985">IF($AE280&lt;&gt;3,0,SUM($DJ280:$FH280)*$AN280*$AH280)</f>
        <v>0</v>
      </c>
      <c r="U280" s="24">
        <f t="shared" ref="U280:U311" si="986">IF($AE280&lt;&gt;3,0,SUM($DJ280:$FH280)*$AN280*(1-$AH280))</f>
        <v>0</v>
      </c>
      <c r="V280" s="24">
        <f t="shared" ref="V280:V311" si="987">IF($AE280&lt;&gt;3,0,SUMPRODUCT($DJ280:$FH280,$DJ$30:$FH$30)*$AN280*AH280)</f>
        <v>0</v>
      </c>
      <c r="W280" s="24">
        <f t="shared" ref="W280:W311" ca="1" si="988">IFERROR(X280*SUMPRODUCT($DJ280:$FH280,$DJ$29:$FH$29)/SUM($DJ280:$FH280),0)</f>
        <v>0</v>
      </c>
      <c r="X280" s="72">
        <f t="shared" ca="1" si="956"/>
        <v>0</v>
      </c>
      <c r="Y280" s="72">
        <f t="shared" ref="Y280:Y311" si="989">IF($AE280=3,SUMPRODUCT($AO280:$AX280,BI280:BR280),0)</f>
        <v>0</v>
      </c>
      <c r="Z280" s="24">
        <f t="shared" ref="Z280:Z311" si="990">IF($AE280=3,SUMPRODUCT($AO280:$AX280,AY280:BH280),0)</f>
        <v>0</v>
      </c>
      <c r="AA280" s="72">
        <f t="shared" si="957"/>
        <v>0</v>
      </c>
      <c r="AB280" s="24">
        <f t="shared" si="967"/>
        <v>0</v>
      </c>
      <c r="AC280" s="24">
        <f t="shared" ref="AC280:AC311" ca="1" si="991">IF($AE280=3,SUMPRODUCT($DJ280:$FH280,$DJ$24:$FH$24)*AN280,0)</f>
        <v>0</v>
      </c>
      <c r="AD280" s="24">
        <f t="shared" si="886"/>
        <v>0</v>
      </c>
      <c r="AE280" s="2078">
        <f t="shared" si="961"/>
        <v>3</v>
      </c>
      <c r="AF280" s="2078">
        <f t="shared" si="962"/>
        <v>0</v>
      </c>
      <c r="AG280" s="2078">
        <f t="shared" si="963"/>
        <v>0</v>
      </c>
      <c r="AH280" s="2521">
        <f t="shared" si="887"/>
        <v>1</v>
      </c>
      <c r="AI280" s="25" t="str">
        <f t="shared" ref="AI280:AI311" si="992">LEFT(J280,1)</f>
        <v/>
      </c>
      <c r="AJ280" s="2521">
        <f t="shared" ca="1" si="882"/>
        <v>0</v>
      </c>
      <c r="AK280" s="2076">
        <f t="shared" ca="1" si="878"/>
        <v>0</v>
      </c>
      <c r="AL280" s="2078">
        <f>IF(ISBLANK(J280),0,ISERROR(MATCH(J280,'5  Control Accounts'!$FA$29:$FA$96,0))*1)</f>
        <v>0</v>
      </c>
      <c r="AM280" s="2076">
        <f t="shared" ref="AM280:AM311" si="993">AND($C$6,(T280+U280+AB280)&lt;&gt;0,$F280&lt;&gt;"Exclude",ISBLANK(J280))*1</f>
        <v>0</v>
      </c>
      <c r="AN280" s="2078">
        <f t="shared" ref="AN280:AN311" si="994">IF(DE280&gt;0,0,IF(GR280="T",FQ280*(1+B280),IF(ISBLANK(DH280),1+B280,DH280*(1+B280))*IF(FO280="P",1-GP280,1)))</f>
        <v>1</v>
      </c>
      <c r="AO280" s="2079">
        <f t="shared" si="888"/>
        <v>1</v>
      </c>
      <c r="AP280" s="2079">
        <f t="shared" si="889"/>
        <v>0</v>
      </c>
      <c r="AQ280" s="2079">
        <f t="shared" si="890"/>
        <v>0</v>
      </c>
      <c r="AR280" s="2079">
        <f t="shared" si="891"/>
        <v>0</v>
      </c>
      <c r="AS280" s="2079">
        <f t="shared" si="892"/>
        <v>0</v>
      </c>
      <c r="AT280" s="2079">
        <f t="shared" si="893"/>
        <v>0</v>
      </c>
      <c r="AU280" s="2079">
        <f t="shared" si="894"/>
        <v>0</v>
      </c>
      <c r="AV280" s="2079">
        <f t="shared" si="895"/>
        <v>0</v>
      </c>
      <c r="AW280" s="2079">
        <f t="shared" si="896"/>
        <v>0</v>
      </c>
      <c r="AX280" s="2079">
        <f t="shared" si="897"/>
        <v>0</v>
      </c>
      <c r="AY280" s="2078">
        <f t="shared" ref="AY280:AY311" si="995">IF($AE280=3,SUMPRODUCT($DJ$45:$FH$45,$DJ280:$FH280)*$AN280,0)</f>
        <v>0</v>
      </c>
      <c r="AZ280" s="2078">
        <f t="shared" ref="AZ280:AZ311" si="996">IF($AE280=3,SUMPRODUCT($DJ$46:$FH$46,$DJ280:$FH280)*$AN280,0)</f>
        <v>0</v>
      </c>
      <c r="BA280" s="2078">
        <f t="shared" ref="BA280:BA311" si="997">IF($AE280=3,SUMPRODUCT($DJ$47:$FH$47,$DJ280:$FH280)*$AN280,0)</f>
        <v>0</v>
      </c>
      <c r="BB280" s="2078">
        <f t="shared" ref="BB280:BB311" si="998">IF($AE280=3,SUMPRODUCT($DJ$48:$FH$48,$DJ280:$FH280)*$AN280,0)</f>
        <v>0</v>
      </c>
      <c r="BC280" s="2078">
        <f t="shared" ref="BC280:BC311" si="999">IF($AE280=3,SUMPRODUCT($DJ$49:$FH$49,$DJ280:$FH280)*$AN280,0)</f>
        <v>0</v>
      </c>
      <c r="BD280" s="2078">
        <f t="shared" ref="BD280:BD311" si="1000">IF($AE280=3,SUMPRODUCT($DJ$50:$FH$50,$DJ280:$FH280)*$AN280,0)</f>
        <v>0</v>
      </c>
      <c r="BE280" s="2078">
        <f t="shared" ref="BE280:BE311" si="1001">IF($AE280=3,SUMPRODUCT($DJ$51:$FH$51,$DJ280:$FH280)*$AN280,0)</f>
        <v>0</v>
      </c>
      <c r="BF280" s="2078">
        <f t="shared" ref="BF280:BF311" si="1002">IF($AE280=3,SUMPRODUCT($DJ$52:$FH$52,$DJ280:$FH280)*$AN280,0)</f>
        <v>0</v>
      </c>
      <c r="BG280" s="2078">
        <f t="shared" ref="BG280:BG311" si="1003">IF($AE280=3,SUMPRODUCT($DJ$53:$FH$53,$DJ280:$FH280)*$AN280,0)</f>
        <v>0</v>
      </c>
      <c r="BH280" s="2078">
        <f t="shared" ref="BH280:BH311" si="1004">IF($AE280=3,SUMPRODUCT($DJ$54:$FH$54,$DJ280:$FH280)*$AN280,0)</f>
        <v>0</v>
      </c>
      <c r="BI280" s="2078">
        <f t="shared" ref="BI280:BI311" si="1005">IF($AE280=3,SUMPRODUCT($DJ$56:$FH$56,$DJ280:$FH280)*$AN280,0)</f>
        <v>0</v>
      </c>
      <c r="BJ280" s="2078">
        <f t="shared" ref="BJ280:BJ311" si="1006">IF($AE280=3,SUMPRODUCT($DJ$57:$FH$57,$DJ280:$FH280)*$AN280,0)</f>
        <v>0</v>
      </c>
      <c r="BK280" s="2078">
        <f t="shared" ref="BK280:BK311" si="1007">IF($AE280=3,SUMPRODUCT($DJ$58:$FH$58,$DJ280:$FH280)*$AN280,0)</f>
        <v>0</v>
      </c>
      <c r="BL280" s="2078">
        <f t="shared" ref="BL280:BL311" si="1008">IF($AE280=3,SUMPRODUCT($DJ$59:$FH$59,$DJ280:$FH280)*$AN280,0)</f>
        <v>0</v>
      </c>
      <c r="BM280" s="2078">
        <f t="shared" ref="BM280:BM311" si="1009">IF($AE280=3,SUMPRODUCT($DJ$60:$FH$60,$DJ280:$FH280)*$AN280,0)</f>
        <v>0</v>
      </c>
      <c r="BN280" s="2078">
        <f t="shared" ref="BN280:BN311" si="1010">IF($AE280=3,SUMPRODUCT($DJ$61:$FH$61,$DJ280:$FH280)*$AN280,0)</f>
        <v>0</v>
      </c>
      <c r="BO280" s="2078">
        <f t="shared" ref="BO280:BO311" si="1011">IF($AE280=3,SUMPRODUCT($DJ$62:$FH$62,$DJ280:$FH280)*$AN280,0)</f>
        <v>0</v>
      </c>
      <c r="BP280" s="2078">
        <f t="shared" ref="BP280:BP311" si="1012">IF($AE280=3,SUMPRODUCT($DJ$63:$FH$63,$DJ280:$FH280)*$AN280,0)</f>
        <v>0</v>
      </c>
      <c r="BQ280" s="2078">
        <f t="shared" ref="BQ280:BQ311" si="1013">IF($AE280=3,SUMPRODUCT($DJ$64:$FH$64,$DJ280:$FH280)*$AN280,0)</f>
        <v>0</v>
      </c>
      <c r="BR280" s="2078">
        <f t="shared" ref="BR280:BR311" si="1014">IF($AE280=3,SUMPRODUCT($DJ$65:$FH$65,$DJ280:$FH280)*$AN280,0)</f>
        <v>0</v>
      </c>
      <c r="BS280" s="2079">
        <f t="shared" si="898"/>
        <v>1</v>
      </c>
      <c r="BT280" s="2079">
        <f t="shared" si="899"/>
        <v>0</v>
      </c>
      <c r="BU280" s="2079">
        <f t="shared" si="900"/>
        <v>0</v>
      </c>
      <c r="BV280" s="2079">
        <f t="shared" si="901"/>
        <v>0</v>
      </c>
      <c r="BW280" s="2079">
        <f t="shared" si="902"/>
        <v>0</v>
      </c>
      <c r="BX280" s="2079">
        <f t="shared" si="903"/>
        <v>0</v>
      </c>
      <c r="BY280" s="2079">
        <f t="shared" si="904"/>
        <v>0</v>
      </c>
      <c r="BZ280" s="2079">
        <f t="shared" si="905"/>
        <v>0</v>
      </c>
      <c r="CA280" s="2079">
        <f t="shared" si="906"/>
        <v>0</v>
      </c>
      <c r="CB280" s="2079">
        <f t="shared" si="907"/>
        <v>0</v>
      </c>
      <c r="CC280" s="2078">
        <f t="shared" ref="CC280:CC311" ca="1" si="1015">IF($AE280=3,SUMPRODUCT($DJ$78:$FH$78,$DJ280:$FH280)*$AN280,0)</f>
        <v>0</v>
      </c>
      <c r="CD280" s="2078">
        <f t="shared" ref="CD280:CD311" ca="1" si="1016">IF($AE280=3,SUMPRODUCT($DJ$79:$FH$79,$DJ280:$FH280)*$AN280,0)</f>
        <v>0</v>
      </c>
      <c r="CE280" s="2078">
        <f t="shared" ref="CE280:CE311" ca="1" si="1017">IF($AE280=3,SUMPRODUCT($DJ$80:$FH$80,$DJ280:$FH280)*$AN280,0)</f>
        <v>0</v>
      </c>
      <c r="CF280" s="2078">
        <f t="shared" ref="CF280:CF311" ca="1" si="1018">IF($AE280=3,SUMPRODUCT($DJ$81:$FH$81,$DJ280:$FH280)*$AN280,0)</f>
        <v>0</v>
      </c>
      <c r="CG280" s="2078">
        <f t="shared" ref="CG280:CG311" ca="1" si="1019">IF($AE280=3,SUMPRODUCT($DJ$82:$FH$82,$DJ280:$FH280)*$AN280,0)</f>
        <v>0</v>
      </c>
      <c r="CH280" s="2078">
        <f t="shared" ref="CH280:CH311" ca="1" si="1020">IF($AE280=3,SUMPRODUCT($DJ$83:$FH$83,$DJ280:$FH280)*$AN280,0)</f>
        <v>0</v>
      </c>
      <c r="CI280" s="2078">
        <f t="shared" ref="CI280:CI311" ca="1" si="1021">IF($AE280=3,SUMPRODUCT($DJ$84:$FH$84,$DJ280:$FH280)*$AN280,0)</f>
        <v>0</v>
      </c>
      <c r="CJ280" s="2078">
        <f t="shared" ref="CJ280:CJ311" ca="1" si="1022">IF($AE280=3,SUMPRODUCT($DJ$85:$FH$85,$DJ280:$FH280)*$AN280,0)</f>
        <v>0</v>
      </c>
      <c r="CK280" s="2078">
        <f t="shared" ref="CK280:CK311" ca="1" si="1023">IF($AE280=3,SUMPRODUCT($DJ$86:$FH$86,$DJ280:$FH280)*$AN280,0)</f>
        <v>0</v>
      </c>
      <c r="CL280" s="2078">
        <f t="shared" ref="CL280:CL311" ca="1" si="1024">IF($AE280=3,SUMPRODUCT($DJ$87:$FH$87,$DJ280:$FH280)*$AN280,0)</f>
        <v>0</v>
      </c>
      <c r="CM280" s="2078">
        <f t="shared" si="968"/>
        <v>1</v>
      </c>
      <c r="CN280" s="2078">
        <f t="shared" si="969"/>
        <v>1</v>
      </c>
      <c r="CO280" s="2078">
        <f t="shared" si="958"/>
        <v>1</v>
      </c>
      <c r="CP280" s="2078">
        <f t="shared" ref="CP280:CP311" si="1025">IF(AE280&lt;&gt;3,0,IF(OR(F280="",F280="Approved",F280="Pend w FC"),1,0))</f>
        <v>1</v>
      </c>
      <c r="CQ280" s="2078">
        <f t="shared" si="959"/>
        <v>0</v>
      </c>
      <c r="CR280" s="2078">
        <f t="shared" si="879"/>
        <v>0</v>
      </c>
      <c r="CS280" s="2078">
        <f t="shared" ref="CS280:CS311" si="1026">IF(OR(F280="Pending",F280="Pend w FC"),1,0)</f>
        <v>0</v>
      </c>
      <c r="CT280" s="2078">
        <f t="shared" si="960"/>
        <v>1</v>
      </c>
      <c r="CU280" s="2078">
        <f t="shared" ref="CU280:CU311" si="1027">IF($AE280&lt;&gt;3,0,IF(F280="",1,0))</f>
        <v>1</v>
      </c>
      <c r="CV280" s="2078">
        <f t="shared" si="970"/>
        <v>0</v>
      </c>
      <c r="CW280" s="2078">
        <f>IF(OR(AE280&lt;&gt;3,F280="Exclude"),0,IF(ISERROR(MATCH($E280,'4 Sign-off'!$S$123:$X$123,0)),0,1))</f>
        <v>0</v>
      </c>
      <c r="CX280" s="2078">
        <f t="shared" si="982"/>
        <v>0</v>
      </c>
      <c r="CY280" s="2078">
        <f t="shared" si="971"/>
        <v>0</v>
      </c>
      <c r="CZ280" s="2993">
        <f t="shared" ca="1" si="980"/>
        <v>0</v>
      </c>
      <c r="DA280" s="3037">
        <f t="shared" ca="1" si="981"/>
        <v>0</v>
      </c>
      <c r="DB280" s="1664"/>
      <c r="DC280" s="1320"/>
      <c r="DD280" s="589"/>
      <c r="DE280" s="1321"/>
      <c r="DF280" s="107"/>
      <c r="DG280" s="112"/>
      <c r="DH280" s="140"/>
      <c r="DI280" s="22"/>
      <c r="DJ280" s="145"/>
      <c r="DK280" s="137"/>
      <c r="DL280" s="137"/>
      <c r="DM280" s="137"/>
      <c r="DN280" s="137"/>
      <c r="DO280" s="137"/>
      <c r="DP280" s="137"/>
      <c r="DQ280" s="137"/>
      <c r="DR280" s="137"/>
      <c r="DS280" s="137"/>
      <c r="DT280" s="137"/>
      <c r="DU280" s="137"/>
      <c r="DV280" s="137"/>
      <c r="DW280" s="137"/>
      <c r="DX280" s="137"/>
      <c r="DY280" s="137"/>
      <c r="DZ280" s="137"/>
      <c r="EA280" s="137"/>
      <c r="EB280" s="137"/>
      <c r="EC280" s="137"/>
      <c r="ED280" s="137"/>
      <c r="EE280" s="137"/>
      <c r="EF280" s="137"/>
      <c r="EG280" s="137"/>
      <c r="EH280" s="137"/>
      <c r="EI280" s="137"/>
      <c r="EJ280" s="137"/>
      <c r="EK280" s="137"/>
      <c r="EL280" s="137"/>
      <c r="EM280" s="137"/>
      <c r="EN280" s="137"/>
      <c r="EO280" s="137"/>
      <c r="EP280" s="137"/>
      <c r="EQ280" s="137"/>
      <c r="ER280" s="137"/>
      <c r="ES280" s="137"/>
      <c r="ET280" s="137"/>
      <c r="EU280" s="137"/>
      <c r="EV280" s="137"/>
      <c r="EW280" s="137"/>
      <c r="EX280" s="137"/>
      <c r="EY280" s="137"/>
      <c r="EZ280" s="137"/>
      <c r="FA280" s="137"/>
      <c r="FB280" s="137"/>
      <c r="FC280" s="137"/>
      <c r="FD280" s="137"/>
      <c r="FE280" s="137"/>
      <c r="FF280" s="137"/>
      <c r="FG280" s="860"/>
      <c r="FH280" s="863"/>
      <c r="FI280" s="1318"/>
      <c r="FJ280" s="126"/>
      <c r="FK280" s="127"/>
      <c r="FL280" s="128" t="str">
        <f t="shared" ref="FL280:FL311" si="1028">N280&amp;O280&amp;"    "&amp;P280</f>
        <v xml:space="preserve">    </v>
      </c>
      <c r="FM280" s="128"/>
      <c r="FN280" s="1686">
        <f t="shared" ref="FN280:FN311" si="1029">IF($AE280=3,T280,0)</f>
        <v>0</v>
      </c>
      <c r="FO280" s="46">
        <f t="shared" si="972"/>
        <v>0</v>
      </c>
      <c r="FP280" s="46">
        <f t="shared" si="977"/>
        <v>1</v>
      </c>
      <c r="FQ280" s="75">
        <f t="shared" ref="FQ280:FQ311" si="1030">IF($AE280=3,SUMPRODUCT(GT280:LQ280,$GT$25:$LQ$25),0)</f>
        <v>0</v>
      </c>
      <c r="FR280" s="46">
        <f t="shared" si="964"/>
        <v>0</v>
      </c>
      <c r="FS280" s="46">
        <f t="shared" si="965"/>
        <v>1</v>
      </c>
      <c r="FT280" s="75">
        <f t="shared" ref="FT280:FT311" si="1031">AND($AE280=3,(T280+Z280+AB280)&gt;0,FQ280=0)*1</f>
        <v>0</v>
      </c>
      <c r="FU280" s="2603">
        <f t="shared" si="973"/>
        <v>0</v>
      </c>
      <c r="FV280" s="2607">
        <f t="shared" si="974"/>
        <v>0</v>
      </c>
      <c r="FW280" s="2603">
        <f t="shared" si="975"/>
        <v>0</v>
      </c>
      <c r="FX280" s="2631">
        <f t="shared" si="976"/>
        <v>0</v>
      </c>
      <c r="FY280" s="81" t="e">
        <f t="shared" si="966"/>
        <v>#N/A</v>
      </c>
      <c r="FZ280" s="64" t="e">
        <f t="array" ref="FZ280">MATCH(1,($GT280:$LQ280&gt;0)*$GT$25:$LQ$25,0)</f>
        <v>#N/A</v>
      </c>
      <c r="GA280" s="64" t="e">
        <f t="array" ref="GA280">MATCH(2,1/(GT280:LQ280&gt;0))</f>
        <v>#N/A</v>
      </c>
      <c r="GB280" s="64">
        <f t="shared" ref="GB280:GB311" si="1032">IF(OR((T280+U280+AA280+AB280)=0,FR280=0,CQ280=1,LEFT(J280,1)="S"),-1,J280)</f>
        <v>-1</v>
      </c>
      <c r="GC280" s="46"/>
      <c r="GD280" s="613"/>
      <c r="GE280" s="613"/>
      <c r="GF280" s="613"/>
      <c r="GG280" s="613"/>
      <c r="GH280" s="613"/>
      <c r="GI280" s="613"/>
      <c r="GJ280" s="613"/>
      <c r="GK280" s="613"/>
      <c r="GL280" s="613"/>
      <c r="GM280" s="613"/>
      <c r="GN280" s="385">
        <f t="shared" si="983"/>
        <v>0</v>
      </c>
      <c r="GO280" s="386">
        <f t="shared" si="984"/>
        <v>0</v>
      </c>
      <c r="GP280" s="2635"/>
      <c r="GQ280" s="175"/>
      <c r="GR280" s="172"/>
      <c r="GS280" s="65"/>
      <c r="GT280" s="167"/>
      <c r="GU280" s="168"/>
      <c r="GV280" s="168"/>
      <c r="GW280" s="168"/>
      <c r="GX280" s="168"/>
      <c r="GY280" s="168"/>
      <c r="GZ280" s="168"/>
      <c r="HA280" s="168"/>
      <c r="HB280" s="168"/>
      <c r="HC280" s="168"/>
      <c r="HD280" s="168"/>
      <c r="HE280" s="168"/>
      <c r="HF280" s="168"/>
      <c r="HG280" s="168"/>
      <c r="HH280" s="168"/>
      <c r="HI280" s="168"/>
      <c r="HJ280" s="168"/>
      <c r="HK280" s="168"/>
      <c r="HL280" s="168"/>
      <c r="HM280" s="168"/>
      <c r="HN280" s="168"/>
      <c r="HO280" s="168"/>
      <c r="HP280" s="168"/>
      <c r="HQ280" s="168"/>
      <c r="HR280" s="168"/>
      <c r="HS280" s="168"/>
      <c r="HT280" s="168"/>
      <c r="HU280" s="168"/>
      <c r="HV280" s="168"/>
      <c r="HW280" s="168"/>
      <c r="HX280" s="168"/>
      <c r="HY280" s="168"/>
      <c r="HZ280" s="168"/>
      <c r="IA280" s="168"/>
      <c r="IB280" s="168"/>
      <c r="IC280" s="168"/>
      <c r="ID280" s="168"/>
      <c r="IE280" s="168"/>
      <c r="IF280" s="168"/>
      <c r="IG280" s="168"/>
      <c r="IH280" s="168"/>
      <c r="II280" s="168"/>
      <c r="IJ280" s="168"/>
      <c r="IK280" s="168"/>
      <c r="IL280" s="168"/>
      <c r="IM280" s="168"/>
      <c r="IN280" s="168"/>
      <c r="IO280" s="168"/>
      <c r="IP280" s="168"/>
      <c r="IQ280" s="168"/>
      <c r="IR280" s="168"/>
      <c r="IS280" s="168"/>
      <c r="IT280" s="168"/>
      <c r="IU280" s="168"/>
      <c r="IV280" s="168"/>
      <c r="IW280" s="168"/>
      <c r="IX280" s="168"/>
      <c r="IY280" s="168"/>
      <c r="IZ280" s="168"/>
      <c r="JA280" s="168"/>
      <c r="JB280" s="168"/>
      <c r="JC280" s="168"/>
      <c r="JD280" s="168"/>
      <c r="JE280" s="168"/>
      <c r="JF280" s="168"/>
      <c r="JG280" s="168"/>
      <c r="JH280" s="168"/>
      <c r="JI280" s="168"/>
      <c r="JJ280" s="168"/>
      <c r="JK280" s="168"/>
      <c r="JL280" s="168"/>
      <c r="JM280" s="168"/>
      <c r="JN280" s="168"/>
      <c r="JO280" s="168"/>
      <c r="JP280" s="168"/>
      <c r="JQ280" s="168"/>
      <c r="JR280" s="168"/>
      <c r="JS280" s="168"/>
      <c r="JT280" s="168"/>
      <c r="JU280" s="168"/>
      <c r="JV280" s="168"/>
      <c r="JW280" s="168"/>
      <c r="JX280" s="168"/>
      <c r="JY280" s="168"/>
      <c r="JZ280" s="168"/>
      <c r="KA280" s="168"/>
      <c r="KB280" s="168"/>
      <c r="KC280" s="168"/>
      <c r="KD280" s="168"/>
      <c r="KE280" s="168"/>
      <c r="KF280" s="168"/>
      <c r="KG280" s="168"/>
      <c r="KH280" s="168"/>
      <c r="KI280" s="168"/>
      <c r="KJ280" s="168"/>
      <c r="KK280" s="168"/>
      <c r="KL280" s="168"/>
      <c r="KM280" s="168"/>
      <c r="KN280" s="168"/>
      <c r="KO280" s="168"/>
      <c r="KP280" s="168"/>
      <c r="KQ280" s="168"/>
      <c r="KR280" s="168"/>
      <c r="KS280" s="168"/>
      <c r="KT280" s="168"/>
      <c r="KU280" s="168"/>
      <c r="KV280" s="168"/>
      <c r="KW280" s="168"/>
      <c r="KX280" s="168"/>
      <c r="KY280" s="168"/>
      <c r="KZ280" s="168"/>
      <c r="LA280" s="168"/>
      <c r="LB280" s="168"/>
      <c r="LC280" s="168"/>
      <c r="LD280" s="168"/>
      <c r="LE280" s="168"/>
      <c r="LF280" s="168"/>
      <c r="LG280" s="168"/>
      <c r="LH280" s="168"/>
      <c r="LI280" s="168"/>
      <c r="LJ280" s="168"/>
      <c r="LK280" s="168"/>
      <c r="LL280" s="168"/>
      <c r="LM280" s="168"/>
      <c r="LN280" s="168"/>
      <c r="LO280" s="168"/>
      <c r="LP280" s="606"/>
      <c r="LQ280" s="609"/>
      <c r="LR280" s="1319"/>
      <c r="LS280" s="1319"/>
    </row>
    <row r="281" spans="1:331" s="2" customFormat="1" ht="15" customHeight="1" x14ac:dyDescent="0.25">
      <c r="A281" s="283"/>
      <c r="B281" s="303"/>
      <c r="C281" s="301"/>
      <c r="D281" s="1287"/>
      <c r="E281" s="2298"/>
      <c r="F281" s="1812"/>
      <c r="G281" s="3342"/>
      <c r="H281" s="66"/>
      <c r="I281" s="1746"/>
      <c r="J281" s="1214"/>
      <c r="K281" s="105"/>
      <c r="L281" s="91"/>
      <c r="M281" s="92"/>
      <c r="N281" s="93"/>
      <c r="O281" s="94"/>
      <c r="P281" s="96"/>
      <c r="Q281" s="95"/>
      <c r="R281" s="993">
        <f t="shared" si="978"/>
        <v>0</v>
      </c>
      <c r="S281" s="23">
        <f t="shared" si="979"/>
        <v>0</v>
      </c>
      <c r="T281" s="24">
        <f t="shared" si="985"/>
        <v>0</v>
      </c>
      <c r="U281" s="24">
        <f t="shared" si="986"/>
        <v>0</v>
      </c>
      <c r="V281" s="24">
        <f t="shared" si="987"/>
        <v>0</v>
      </c>
      <c r="W281" s="24">
        <f t="shared" ca="1" si="988"/>
        <v>0</v>
      </c>
      <c r="X281" s="72">
        <f t="shared" ca="1" si="956"/>
        <v>0</v>
      </c>
      <c r="Y281" s="72">
        <f t="shared" si="989"/>
        <v>0</v>
      </c>
      <c r="Z281" s="24">
        <f t="shared" si="990"/>
        <v>0</v>
      </c>
      <c r="AA281" s="72">
        <f t="shared" si="957"/>
        <v>0</v>
      </c>
      <c r="AB281" s="24">
        <f t="shared" si="967"/>
        <v>0</v>
      </c>
      <c r="AC281" s="24">
        <f t="shared" ca="1" si="991"/>
        <v>0</v>
      </c>
      <c r="AD281" s="24">
        <f t="shared" si="886"/>
        <v>0</v>
      </c>
      <c r="AE281" s="2078">
        <f t="shared" si="961"/>
        <v>3</v>
      </c>
      <c r="AF281" s="2078">
        <f t="shared" si="962"/>
        <v>0</v>
      </c>
      <c r="AG281" s="2078">
        <f t="shared" si="963"/>
        <v>0</v>
      </c>
      <c r="AH281" s="2521">
        <f t="shared" si="887"/>
        <v>1</v>
      </c>
      <c r="AI281" s="25" t="str">
        <f t="shared" si="992"/>
        <v/>
      </c>
      <c r="AJ281" s="2521">
        <f t="shared" ca="1" si="882"/>
        <v>0</v>
      </c>
      <c r="AK281" s="2076">
        <f t="shared" ca="1" si="878"/>
        <v>0</v>
      </c>
      <c r="AL281" s="2078">
        <f>IF(ISBLANK(J281),0,ISERROR(MATCH(J281,'5  Control Accounts'!$FA$29:$FA$96,0))*1)</f>
        <v>0</v>
      </c>
      <c r="AM281" s="2076">
        <f t="shared" si="993"/>
        <v>0</v>
      </c>
      <c r="AN281" s="2078">
        <f t="shared" si="994"/>
        <v>1</v>
      </c>
      <c r="AO281" s="2079">
        <f t="shared" si="888"/>
        <v>1</v>
      </c>
      <c r="AP281" s="2079">
        <f t="shared" si="889"/>
        <v>0</v>
      </c>
      <c r="AQ281" s="2079">
        <f t="shared" si="890"/>
        <v>0</v>
      </c>
      <c r="AR281" s="2079">
        <f t="shared" si="891"/>
        <v>0</v>
      </c>
      <c r="AS281" s="2079">
        <f t="shared" si="892"/>
        <v>0</v>
      </c>
      <c r="AT281" s="2079">
        <f t="shared" si="893"/>
        <v>0</v>
      </c>
      <c r="AU281" s="2079">
        <f t="shared" si="894"/>
        <v>0</v>
      </c>
      <c r="AV281" s="2079">
        <f t="shared" si="895"/>
        <v>0</v>
      </c>
      <c r="AW281" s="2079">
        <f t="shared" si="896"/>
        <v>0</v>
      </c>
      <c r="AX281" s="2079">
        <f t="shared" si="897"/>
        <v>0</v>
      </c>
      <c r="AY281" s="2078">
        <f t="shared" si="995"/>
        <v>0</v>
      </c>
      <c r="AZ281" s="2078">
        <f t="shared" si="996"/>
        <v>0</v>
      </c>
      <c r="BA281" s="2078">
        <f t="shared" si="997"/>
        <v>0</v>
      </c>
      <c r="BB281" s="2078">
        <f t="shared" si="998"/>
        <v>0</v>
      </c>
      <c r="BC281" s="2078">
        <f t="shared" si="999"/>
        <v>0</v>
      </c>
      <c r="BD281" s="2078">
        <f t="shared" si="1000"/>
        <v>0</v>
      </c>
      <c r="BE281" s="2078">
        <f t="shared" si="1001"/>
        <v>0</v>
      </c>
      <c r="BF281" s="2078">
        <f t="shared" si="1002"/>
        <v>0</v>
      </c>
      <c r="BG281" s="2078">
        <f t="shared" si="1003"/>
        <v>0</v>
      </c>
      <c r="BH281" s="2078">
        <f t="shared" si="1004"/>
        <v>0</v>
      </c>
      <c r="BI281" s="2078">
        <f t="shared" si="1005"/>
        <v>0</v>
      </c>
      <c r="BJ281" s="2078">
        <f t="shared" si="1006"/>
        <v>0</v>
      </c>
      <c r="BK281" s="2078">
        <f t="shared" si="1007"/>
        <v>0</v>
      </c>
      <c r="BL281" s="2078">
        <f t="shared" si="1008"/>
        <v>0</v>
      </c>
      <c r="BM281" s="2078">
        <f t="shared" si="1009"/>
        <v>0</v>
      </c>
      <c r="BN281" s="2078">
        <f t="shared" si="1010"/>
        <v>0</v>
      </c>
      <c r="BO281" s="2078">
        <f t="shared" si="1011"/>
        <v>0</v>
      </c>
      <c r="BP281" s="2078">
        <f t="shared" si="1012"/>
        <v>0</v>
      </c>
      <c r="BQ281" s="2078">
        <f t="shared" si="1013"/>
        <v>0</v>
      </c>
      <c r="BR281" s="2078">
        <f t="shared" si="1014"/>
        <v>0</v>
      </c>
      <c r="BS281" s="2079">
        <f t="shared" si="898"/>
        <v>1</v>
      </c>
      <c r="BT281" s="2079">
        <f t="shared" si="899"/>
        <v>0</v>
      </c>
      <c r="BU281" s="2079">
        <f t="shared" si="900"/>
        <v>0</v>
      </c>
      <c r="BV281" s="2079">
        <f t="shared" si="901"/>
        <v>0</v>
      </c>
      <c r="BW281" s="2079">
        <f t="shared" si="902"/>
        <v>0</v>
      </c>
      <c r="BX281" s="2079">
        <f t="shared" si="903"/>
        <v>0</v>
      </c>
      <c r="BY281" s="2079">
        <f t="shared" si="904"/>
        <v>0</v>
      </c>
      <c r="BZ281" s="2079">
        <f t="shared" si="905"/>
        <v>0</v>
      </c>
      <c r="CA281" s="2079">
        <f t="shared" si="906"/>
        <v>0</v>
      </c>
      <c r="CB281" s="2079">
        <f t="shared" si="907"/>
        <v>0</v>
      </c>
      <c r="CC281" s="2078">
        <f t="shared" ca="1" si="1015"/>
        <v>0</v>
      </c>
      <c r="CD281" s="2078">
        <f t="shared" ca="1" si="1016"/>
        <v>0</v>
      </c>
      <c r="CE281" s="2078">
        <f t="shared" ca="1" si="1017"/>
        <v>0</v>
      </c>
      <c r="CF281" s="2078">
        <f t="shared" ca="1" si="1018"/>
        <v>0</v>
      </c>
      <c r="CG281" s="2078">
        <f t="shared" ca="1" si="1019"/>
        <v>0</v>
      </c>
      <c r="CH281" s="2078">
        <f t="shared" ca="1" si="1020"/>
        <v>0</v>
      </c>
      <c r="CI281" s="2078">
        <f t="shared" ca="1" si="1021"/>
        <v>0</v>
      </c>
      <c r="CJ281" s="2078">
        <f t="shared" ca="1" si="1022"/>
        <v>0</v>
      </c>
      <c r="CK281" s="2078">
        <f t="shared" ca="1" si="1023"/>
        <v>0</v>
      </c>
      <c r="CL281" s="2078">
        <f t="shared" ca="1" si="1024"/>
        <v>0</v>
      </c>
      <c r="CM281" s="2078">
        <f t="shared" si="968"/>
        <v>1</v>
      </c>
      <c r="CN281" s="2078">
        <f t="shared" si="969"/>
        <v>1</v>
      </c>
      <c r="CO281" s="2078">
        <f t="shared" si="958"/>
        <v>1</v>
      </c>
      <c r="CP281" s="2078">
        <f t="shared" si="1025"/>
        <v>1</v>
      </c>
      <c r="CQ281" s="2078">
        <f t="shared" si="959"/>
        <v>0</v>
      </c>
      <c r="CR281" s="2078">
        <f t="shared" si="879"/>
        <v>0</v>
      </c>
      <c r="CS281" s="2078">
        <f t="shared" si="1026"/>
        <v>0</v>
      </c>
      <c r="CT281" s="2078">
        <f t="shared" si="960"/>
        <v>1</v>
      </c>
      <c r="CU281" s="2078">
        <f t="shared" si="1027"/>
        <v>1</v>
      </c>
      <c r="CV281" s="2078">
        <f t="shared" si="970"/>
        <v>0</v>
      </c>
      <c r="CW281" s="2078">
        <f>IF(OR(AE281&lt;&gt;3,F281="Exclude"),0,IF(ISERROR(MATCH($E281,'4 Sign-off'!$S$123:$X$123,0)),0,1))</f>
        <v>0</v>
      </c>
      <c r="CX281" s="2078">
        <f t="shared" si="982"/>
        <v>0</v>
      </c>
      <c r="CY281" s="2078">
        <f t="shared" si="971"/>
        <v>0</v>
      </c>
      <c r="CZ281" s="2993">
        <f t="shared" ca="1" si="980"/>
        <v>0</v>
      </c>
      <c r="DA281" s="3037">
        <f t="shared" ca="1" si="981"/>
        <v>0</v>
      </c>
      <c r="DB281" s="1664"/>
      <c r="DC281" s="1320"/>
      <c r="DD281" s="589"/>
      <c r="DE281" s="1321"/>
      <c r="DF281" s="107"/>
      <c r="DG281" s="112"/>
      <c r="DH281" s="140"/>
      <c r="DI281" s="22"/>
      <c r="DJ281" s="145"/>
      <c r="DK281" s="137"/>
      <c r="DL281" s="137"/>
      <c r="DM281" s="137"/>
      <c r="DN281" s="137"/>
      <c r="DO281" s="137"/>
      <c r="DP281" s="137"/>
      <c r="DQ281" s="137"/>
      <c r="DR281" s="137"/>
      <c r="DS281" s="137"/>
      <c r="DT281" s="137"/>
      <c r="DU281" s="137"/>
      <c r="DV281" s="137"/>
      <c r="DW281" s="137"/>
      <c r="DX281" s="137"/>
      <c r="DY281" s="137"/>
      <c r="DZ281" s="137"/>
      <c r="EA281" s="137"/>
      <c r="EB281" s="137"/>
      <c r="EC281" s="137"/>
      <c r="ED281" s="137"/>
      <c r="EE281" s="137"/>
      <c r="EF281" s="137"/>
      <c r="EG281" s="137"/>
      <c r="EH281" s="137"/>
      <c r="EI281" s="137"/>
      <c r="EJ281" s="137"/>
      <c r="EK281" s="137"/>
      <c r="EL281" s="137"/>
      <c r="EM281" s="137"/>
      <c r="EN281" s="137"/>
      <c r="EO281" s="137"/>
      <c r="EP281" s="137"/>
      <c r="EQ281" s="137"/>
      <c r="ER281" s="137"/>
      <c r="ES281" s="137"/>
      <c r="ET281" s="137"/>
      <c r="EU281" s="137"/>
      <c r="EV281" s="137"/>
      <c r="EW281" s="137"/>
      <c r="EX281" s="137"/>
      <c r="EY281" s="137"/>
      <c r="EZ281" s="137"/>
      <c r="FA281" s="137"/>
      <c r="FB281" s="137"/>
      <c r="FC281" s="137"/>
      <c r="FD281" s="137"/>
      <c r="FE281" s="137"/>
      <c r="FF281" s="137"/>
      <c r="FG281" s="860"/>
      <c r="FH281" s="863"/>
      <c r="FI281" s="1318"/>
      <c r="FJ281" s="126"/>
      <c r="FK281" s="127"/>
      <c r="FL281" s="128" t="str">
        <f t="shared" si="1028"/>
        <v xml:space="preserve">    </v>
      </c>
      <c r="FM281" s="128"/>
      <c r="FN281" s="1686">
        <f t="shared" si="1029"/>
        <v>0</v>
      </c>
      <c r="FO281" s="46">
        <f t="shared" si="972"/>
        <v>0</v>
      </c>
      <c r="FP281" s="46">
        <f t="shared" si="977"/>
        <v>1</v>
      </c>
      <c r="FQ281" s="75">
        <f t="shared" si="1030"/>
        <v>0</v>
      </c>
      <c r="FR281" s="46">
        <f t="shared" si="964"/>
        <v>0</v>
      </c>
      <c r="FS281" s="46">
        <f t="shared" si="965"/>
        <v>1</v>
      </c>
      <c r="FT281" s="75">
        <f t="shared" si="1031"/>
        <v>0</v>
      </c>
      <c r="FU281" s="2603">
        <f t="shared" si="973"/>
        <v>0</v>
      </c>
      <c r="FV281" s="2607">
        <f t="shared" si="974"/>
        <v>0</v>
      </c>
      <c r="FW281" s="2603">
        <f t="shared" si="975"/>
        <v>0</v>
      </c>
      <c r="FX281" s="2631">
        <f t="shared" si="976"/>
        <v>0</v>
      </c>
      <c r="FY281" s="81" t="e">
        <f t="shared" si="966"/>
        <v>#N/A</v>
      </c>
      <c r="FZ281" s="64" t="e">
        <f t="array" ref="FZ281">MATCH(1,($GT281:$LQ281&gt;0)*$GT$25:$LQ$25,0)</f>
        <v>#N/A</v>
      </c>
      <c r="GA281" s="64" t="e">
        <f t="array" ref="GA281">MATCH(2,1/(GT281:LQ281&gt;0))</f>
        <v>#N/A</v>
      </c>
      <c r="GB281" s="64">
        <f t="shared" si="1032"/>
        <v>-1</v>
      </c>
      <c r="GC281" s="46"/>
      <c r="GD281" s="613"/>
      <c r="GE281" s="613"/>
      <c r="GF281" s="613"/>
      <c r="GG281" s="613"/>
      <c r="GH281" s="613"/>
      <c r="GI281" s="613"/>
      <c r="GJ281" s="613"/>
      <c r="GK281" s="613"/>
      <c r="GL281" s="613"/>
      <c r="GM281" s="613"/>
      <c r="GN281" s="385">
        <f t="shared" si="983"/>
        <v>0</v>
      </c>
      <c r="GO281" s="386">
        <f t="shared" si="984"/>
        <v>0</v>
      </c>
      <c r="GP281" s="2635"/>
      <c r="GQ281" s="175"/>
      <c r="GR281" s="172"/>
      <c r="GS281" s="65"/>
      <c r="GT281" s="167"/>
      <c r="GU281" s="168"/>
      <c r="GV281" s="168"/>
      <c r="GW281" s="168"/>
      <c r="GX281" s="168"/>
      <c r="GY281" s="168"/>
      <c r="GZ281" s="168"/>
      <c r="HA281" s="168"/>
      <c r="HB281" s="168"/>
      <c r="HC281" s="168"/>
      <c r="HD281" s="168"/>
      <c r="HE281" s="168"/>
      <c r="HF281" s="168"/>
      <c r="HG281" s="168"/>
      <c r="HH281" s="168"/>
      <c r="HI281" s="168"/>
      <c r="HJ281" s="168"/>
      <c r="HK281" s="168"/>
      <c r="HL281" s="168"/>
      <c r="HM281" s="168"/>
      <c r="HN281" s="168"/>
      <c r="HO281" s="168"/>
      <c r="HP281" s="168"/>
      <c r="HQ281" s="168"/>
      <c r="HR281" s="168"/>
      <c r="HS281" s="168"/>
      <c r="HT281" s="168"/>
      <c r="HU281" s="168"/>
      <c r="HV281" s="168"/>
      <c r="HW281" s="168"/>
      <c r="HX281" s="168"/>
      <c r="HY281" s="168"/>
      <c r="HZ281" s="168"/>
      <c r="IA281" s="168"/>
      <c r="IB281" s="168"/>
      <c r="IC281" s="168"/>
      <c r="ID281" s="168"/>
      <c r="IE281" s="168"/>
      <c r="IF281" s="168"/>
      <c r="IG281" s="168"/>
      <c r="IH281" s="168"/>
      <c r="II281" s="168"/>
      <c r="IJ281" s="168"/>
      <c r="IK281" s="168"/>
      <c r="IL281" s="168"/>
      <c r="IM281" s="168"/>
      <c r="IN281" s="168"/>
      <c r="IO281" s="168"/>
      <c r="IP281" s="168"/>
      <c r="IQ281" s="168"/>
      <c r="IR281" s="168"/>
      <c r="IS281" s="168"/>
      <c r="IT281" s="168"/>
      <c r="IU281" s="168"/>
      <c r="IV281" s="168"/>
      <c r="IW281" s="168"/>
      <c r="IX281" s="168"/>
      <c r="IY281" s="168"/>
      <c r="IZ281" s="168"/>
      <c r="JA281" s="168"/>
      <c r="JB281" s="168"/>
      <c r="JC281" s="168"/>
      <c r="JD281" s="168"/>
      <c r="JE281" s="168"/>
      <c r="JF281" s="168"/>
      <c r="JG281" s="168"/>
      <c r="JH281" s="168"/>
      <c r="JI281" s="168"/>
      <c r="JJ281" s="168"/>
      <c r="JK281" s="168"/>
      <c r="JL281" s="168"/>
      <c r="JM281" s="168"/>
      <c r="JN281" s="168"/>
      <c r="JO281" s="168"/>
      <c r="JP281" s="168"/>
      <c r="JQ281" s="168"/>
      <c r="JR281" s="168"/>
      <c r="JS281" s="168"/>
      <c r="JT281" s="168"/>
      <c r="JU281" s="168"/>
      <c r="JV281" s="168"/>
      <c r="JW281" s="168"/>
      <c r="JX281" s="168"/>
      <c r="JY281" s="168"/>
      <c r="JZ281" s="168"/>
      <c r="KA281" s="168"/>
      <c r="KB281" s="168"/>
      <c r="KC281" s="168"/>
      <c r="KD281" s="168"/>
      <c r="KE281" s="168"/>
      <c r="KF281" s="168"/>
      <c r="KG281" s="168"/>
      <c r="KH281" s="168"/>
      <c r="KI281" s="168"/>
      <c r="KJ281" s="168"/>
      <c r="KK281" s="168"/>
      <c r="KL281" s="168"/>
      <c r="KM281" s="168"/>
      <c r="KN281" s="168"/>
      <c r="KO281" s="168"/>
      <c r="KP281" s="168"/>
      <c r="KQ281" s="168"/>
      <c r="KR281" s="168"/>
      <c r="KS281" s="168"/>
      <c r="KT281" s="168"/>
      <c r="KU281" s="168"/>
      <c r="KV281" s="168"/>
      <c r="KW281" s="168"/>
      <c r="KX281" s="168"/>
      <c r="KY281" s="168"/>
      <c r="KZ281" s="168"/>
      <c r="LA281" s="168"/>
      <c r="LB281" s="168"/>
      <c r="LC281" s="168"/>
      <c r="LD281" s="168"/>
      <c r="LE281" s="168"/>
      <c r="LF281" s="168"/>
      <c r="LG281" s="168"/>
      <c r="LH281" s="168"/>
      <c r="LI281" s="168"/>
      <c r="LJ281" s="168"/>
      <c r="LK281" s="168"/>
      <c r="LL281" s="168"/>
      <c r="LM281" s="168"/>
      <c r="LN281" s="168"/>
      <c r="LO281" s="168"/>
      <c r="LP281" s="606"/>
      <c r="LQ281" s="609"/>
      <c r="LR281" s="1319"/>
      <c r="LS281" s="1319"/>
    </row>
    <row r="282" spans="1:331" s="2" customFormat="1" ht="15" customHeight="1" x14ac:dyDescent="0.25">
      <c r="A282" s="283"/>
      <c r="B282" s="303"/>
      <c r="C282" s="301"/>
      <c r="D282" s="1287"/>
      <c r="E282" s="2298"/>
      <c r="F282" s="1812"/>
      <c r="G282" s="3342"/>
      <c r="H282" s="66"/>
      <c r="I282" s="1746"/>
      <c r="J282" s="1214"/>
      <c r="K282" s="105"/>
      <c r="L282" s="91"/>
      <c r="M282" s="92"/>
      <c r="N282" s="93"/>
      <c r="O282" s="94"/>
      <c r="P282" s="96"/>
      <c r="Q282" s="95"/>
      <c r="R282" s="993">
        <f t="shared" si="978"/>
        <v>0</v>
      </c>
      <c r="S282" s="23">
        <f t="shared" si="979"/>
        <v>0</v>
      </c>
      <c r="T282" s="24">
        <f t="shared" si="985"/>
        <v>0</v>
      </c>
      <c r="U282" s="24">
        <f t="shared" si="986"/>
        <v>0</v>
      </c>
      <c r="V282" s="24">
        <f t="shared" si="987"/>
        <v>0</v>
      </c>
      <c r="W282" s="24">
        <f t="shared" ca="1" si="988"/>
        <v>0</v>
      </c>
      <c r="X282" s="72">
        <f t="shared" ca="1" si="956"/>
        <v>0</v>
      </c>
      <c r="Y282" s="72">
        <f t="shared" si="989"/>
        <v>0</v>
      </c>
      <c r="Z282" s="24">
        <f t="shared" si="990"/>
        <v>0</v>
      </c>
      <c r="AA282" s="72">
        <f t="shared" si="957"/>
        <v>0</v>
      </c>
      <c r="AB282" s="24">
        <f t="shared" si="967"/>
        <v>0</v>
      </c>
      <c r="AC282" s="24">
        <f t="shared" ca="1" si="991"/>
        <v>0</v>
      </c>
      <c r="AD282" s="24">
        <f t="shared" si="886"/>
        <v>0</v>
      </c>
      <c r="AE282" s="2078">
        <f t="shared" si="961"/>
        <v>3</v>
      </c>
      <c r="AF282" s="2078">
        <f t="shared" si="962"/>
        <v>0</v>
      </c>
      <c r="AG282" s="2078">
        <f t="shared" si="963"/>
        <v>0</v>
      </c>
      <c r="AH282" s="2521">
        <f t="shared" si="887"/>
        <v>1</v>
      </c>
      <c r="AI282" s="25" t="str">
        <f t="shared" si="992"/>
        <v/>
      </c>
      <c r="AJ282" s="2521">
        <f t="shared" ca="1" si="882"/>
        <v>0</v>
      </c>
      <c r="AK282" s="2076">
        <f t="shared" ca="1" si="878"/>
        <v>0</v>
      </c>
      <c r="AL282" s="2078">
        <f>IF(ISBLANK(J282),0,ISERROR(MATCH(J282,'5  Control Accounts'!$FA$29:$FA$96,0))*1)</f>
        <v>0</v>
      </c>
      <c r="AM282" s="2076">
        <f t="shared" si="993"/>
        <v>0</v>
      </c>
      <c r="AN282" s="2078">
        <f t="shared" si="994"/>
        <v>1</v>
      </c>
      <c r="AO282" s="2079">
        <f t="shared" si="888"/>
        <v>1</v>
      </c>
      <c r="AP282" s="2079">
        <f t="shared" si="889"/>
        <v>0</v>
      </c>
      <c r="AQ282" s="2079">
        <f t="shared" si="890"/>
        <v>0</v>
      </c>
      <c r="AR282" s="2079">
        <f t="shared" si="891"/>
        <v>0</v>
      </c>
      <c r="AS282" s="2079">
        <f t="shared" si="892"/>
        <v>0</v>
      </c>
      <c r="AT282" s="2079">
        <f t="shared" si="893"/>
        <v>0</v>
      </c>
      <c r="AU282" s="2079">
        <f t="shared" si="894"/>
        <v>0</v>
      </c>
      <c r="AV282" s="2079">
        <f t="shared" si="895"/>
        <v>0</v>
      </c>
      <c r="AW282" s="2079">
        <f t="shared" si="896"/>
        <v>0</v>
      </c>
      <c r="AX282" s="2079">
        <f t="shared" si="897"/>
        <v>0</v>
      </c>
      <c r="AY282" s="2078">
        <f t="shared" si="995"/>
        <v>0</v>
      </c>
      <c r="AZ282" s="2078">
        <f t="shared" si="996"/>
        <v>0</v>
      </c>
      <c r="BA282" s="2078">
        <f t="shared" si="997"/>
        <v>0</v>
      </c>
      <c r="BB282" s="2078">
        <f t="shared" si="998"/>
        <v>0</v>
      </c>
      <c r="BC282" s="2078">
        <f t="shared" si="999"/>
        <v>0</v>
      </c>
      <c r="BD282" s="2078">
        <f t="shared" si="1000"/>
        <v>0</v>
      </c>
      <c r="BE282" s="2078">
        <f t="shared" si="1001"/>
        <v>0</v>
      </c>
      <c r="BF282" s="2078">
        <f t="shared" si="1002"/>
        <v>0</v>
      </c>
      <c r="BG282" s="2078">
        <f t="shared" si="1003"/>
        <v>0</v>
      </c>
      <c r="BH282" s="2078">
        <f t="shared" si="1004"/>
        <v>0</v>
      </c>
      <c r="BI282" s="2078">
        <f t="shared" si="1005"/>
        <v>0</v>
      </c>
      <c r="BJ282" s="2078">
        <f t="shared" si="1006"/>
        <v>0</v>
      </c>
      <c r="BK282" s="2078">
        <f t="shared" si="1007"/>
        <v>0</v>
      </c>
      <c r="BL282" s="2078">
        <f t="shared" si="1008"/>
        <v>0</v>
      </c>
      <c r="BM282" s="2078">
        <f t="shared" si="1009"/>
        <v>0</v>
      </c>
      <c r="BN282" s="2078">
        <f t="shared" si="1010"/>
        <v>0</v>
      </c>
      <c r="BO282" s="2078">
        <f t="shared" si="1011"/>
        <v>0</v>
      </c>
      <c r="BP282" s="2078">
        <f t="shared" si="1012"/>
        <v>0</v>
      </c>
      <c r="BQ282" s="2078">
        <f t="shared" si="1013"/>
        <v>0</v>
      </c>
      <c r="BR282" s="2078">
        <f t="shared" si="1014"/>
        <v>0</v>
      </c>
      <c r="BS282" s="2079">
        <f t="shared" si="898"/>
        <v>1</v>
      </c>
      <c r="BT282" s="2079">
        <f t="shared" si="899"/>
        <v>0</v>
      </c>
      <c r="BU282" s="2079">
        <f t="shared" si="900"/>
        <v>0</v>
      </c>
      <c r="BV282" s="2079">
        <f t="shared" si="901"/>
        <v>0</v>
      </c>
      <c r="BW282" s="2079">
        <f t="shared" si="902"/>
        <v>0</v>
      </c>
      <c r="BX282" s="2079">
        <f t="shared" si="903"/>
        <v>0</v>
      </c>
      <c r="BY282" s="2079">
        <f t="shared" si="904"/>
        <v>0</v>
      </c>
      <c r="BZ282" s="2079">
        <f t="shared" si="905"/>
        <v>0</v>
      </c>
      <c r="CA282" s="2079">
        <f t="shared" si="906"/>
        <v>0</v>
      </c>
      <c r="CB282" s="2079">
        <f t="shared" si="907"/>
        <v>0</v>
      </c>
      <c r="CC282" s="2078">
        <f t="shared" ca="1" si="1015"/>
        <v>0</v>
      </c>
      <c r="CD282" s="2078">
        <f t="shared" ca="1" si="1016"/>
        <v>0</v>
      </c>
      <c r="CE282" s="2078">
        <f t="shared" ca="1" si="1017"/>
        <v>0</v>
      </c>
      <c r="CF282" s="2078">
        <f t="shared" ca="1" si="1018"/>
        <v>0</v>
      </c>
      <c r="CG282" s="2078">
        <f t="shared" ca="1" si="1019"/>
        <v>0</v>
      </c>
      <c r="CH282" s="2078">
        <f t="shared" ca="1" si="1020"/>
        <v>0</v>
      </c>
      <c r="CI282" s="2078">
        <f t="shared" ca="1" si="1021"/>
        <v>0</v>
      </c>
      <c r="CJ282" s="2078">
        <f t="shared" ca="1" si="1022"/>
        <v>0</v>
      </c>
      <c r="CK282" s="2078">
        <f t="shared" ca="1" si="1023"/>
        <v>0</v>
      </c>
      <c r="CL282" s="2078">
        <f t="shared" ca="1" si="1024"/>
        <v>0</v>
      </c>
      <c r="CM282" s="2078">
        <f t="shared" si="968"/>
        <v>1</v>
      </c>
      <c r="CN282" s="2078">
        <f t="shared" si="969"/>
        <v>1</v>
      </c>
      <c r="CO282" s="2078">
        <f t="shared" si="958"/>
        <v>1</v>
      </c>
      <c r="CP282" s="2078">
        <f t="shared" si="1025"/>
        <v>1</v>
      </c>
      <c r="CQ282" s="2078">
        <f t="shared" si="959"/>
        <v>0</v>
      </c>
      <c r="CR282" s="2078">
        <f t="shared" si="879"/>
        <v>0</v>
      </c>
      <c r="CS282" s="2078">
        <f t="shared" si="1026"/>
        <v>0</v>
      </c>
      <c r="CT282" s="2078">
        <f t="shared" si="960"/>
        <v>1</v>
      </c>
      <c r="CU282" s="2078">
        <f t="shared" si="1027"/>
        <v>1</v>
      </c>
      <c r="CV282" s="2078">
        <f t="shared" si="970"/>
        <v>0</v>
      </c>
      <c r="CW282" s="2078">
        <f>IF(OR(AE282&lt;&gt;3,F282="Exclude"),0,IF(ISERROR(MATCH($E282,'4 Sign-off'!$S$123:$X$123,0)),0,1))</f>
        <v>0</v>
      </c>
      <c r="CX282" s="2078">
        <f t="shared" si="982"/>
        <v>0</v>
      </c>
      <c r="CY282" s="2078">
        <f t="shared" si="971"/>
        <v>0</v>
      </c>
      <c r="CZ282" s="2993">
        <f t="shared" ca="1" si="980"/>
        <v>0</v>
      </c>
      <c r="DA282" s="3037">
        <f t="shared" ca="1" si="981"/>
        <v>0</v>
      </c>
      <c r="DB282" s="1664"/>
      <c r="DC282" s="1320"/>
      <c r="DD282" s="589"/>
      <c r="DE282" s="1321"/>
      <c r="DF282" s="107"/>
      <c r="DG282" s="112"/>
      <c r="DH282" s="140"/>
      <c r="DI282" s="22"/>
      <c r="DJ282" s="145"/>
      <c r="DK282" s="137"/>
      <c r="DL282" s="137"/>
      <c r="DM282" s="137"/>
      <c r="DN282" s="137"/>
      <c r="DO282" s="137"/>
      <c r="DP282" s="137"/>
      <c r="DQ282" s="137"/>
      <c r="DR282" s="137"/>
      <c r="DS282" s="137"/>
      <c r="DT282" s="137"/>
      <c r="DU282" s="137"/>
      <c r="DV282" s="137"/>
      <c r="DW282" s="137"/>
      <c r="DX282" s="137"/>
      <c r="DY282" s="137"/>
      <c r="DZ282" s="137"/>
      <c r="EA282" s="137"/>
      <c r="EB282" s="137"/>
      <c r="EC282" s="137"/>
      <c r="ED282" s="137"/>
      <c r="EE282" s="137"/>
      <c r="EF282" s="137"/>
      <c r="EG282" s="137"/>
      <c r="EH282" s="137"/>
      <c r="EI282" s="137"/>
      <c r="EJ282" s="137"/>
      <c r="EK282" s="137"/>
      <c r="EL282" s="137"/>
      <c r="EM282" s="137"/>
      <c r="EN282" s="137"/>
      <c r="EO282" s="137"/>
      <c r="EP282" s="137"/>
      <c r="EQ282" s="137"/>
      <c r="ER282" s="137"/>
      <c r="ES282" s="137"/>
      <c r="ET282" s="137"/>
      <c r="EU282" s="137"/>
      <c r="EV282" s="137"/>
      <c r="EW282" s="137"/>
      <c r="EX282" s="137"/>
      <c r="EY282" s="137"/>
      <c r="EZ282" s="137"/>
      <c r="FA282" s="137"/>
      <c r="FB282" s="137"/>
      <c r="FC282" s="137"/>
      <c r="FD282" s="137"/>
      <c r="FE282" s="137"/>
      <c r="FF282" s="137"/>
      <c r="FG282" s="860"/>
      <c r="FH282" s="863"/>
      <c r="FI282" s="1318"/>
      <c r="FJ282" s="126"/>
      <c r="FK282" s="127"/>
      <c r="FL282" s="128" t="str">
        <f t="shared" si="1028"/>
        <v xml:space="preserve">    </v>
      </c>
      <c r="FM282" s="128"/>
      <c r="FN282" s="1686">
        <f t="shared" si="1029"/>
        <v>0</v>
      </c>
      <c r="FO282" s="46">
        <f t="shared" si="972"/>
        <v>0</v>
      </c>
      <c r="FP282" s="46">
        <f t="shared" si="977"/>
        <v>1</v>
      </c>
      <c r="FQ282" s="75">
        <f t="shared" si="1030"/>
        <v>0</v>
      </c>
      <c r="FR282" s="46">
        <f t="shared" si="964"/>
        <v>0</v>
      </c>
      <c r="FS282" s="46">
        <f t="shared" si="965"/>
        <v>1</v>
      </c>
      <c r="FT282" s="75">
        <f t="shared" si="1031"/>
        <v>0</v>
      </c>
      <c r="FU282" s="2603">
        <f t="shared" si="973"/>
        <v>0</v>
      </c>
      <c r="FV282" s="2607">
        <f t="shared" si="974"/>
        <v>0</v>
      </c>
      <c r="FW282" s="2603">
        <f t="shared" si="975"/>
        <v>0</v>
      </c>
      <c r="FX282" s="2631">
        <f t="shared" si="976"/>
        <v>0</v>
      </c>
      <c r="FY282" s="81" t="e">
        <f t="shared" si="966"/>
        <v>#N/A</v>
      </c>
      <c r="FZ282" s="64" t="e">
        <f t="array" ref="FZ282">MATCH(1,($GT282:$LQ282&gt;0)*$GT$25:$LQ$25,0)</f>
        <v>#N/A</v>
      </c>
      <c r="GA282" s="64" t="e">
        <f t="array" ref="GA282">MATCH(2,1/(GT282:LQ282&gt;0))</f>
        <v>#N/A</v>
      </c>
      <c r="GB282" s="64">
        <f t="shared" si="1032"/>
        <v>-1</v>
      </c>
      <c r="GC282" s="46"/>
      <c r="GD282" s="613"/>
      <c r="GE282" s="613"/>
      <c r="GF282" s="613"/>
      <c r="GG282" s="613"/>
      <c r="GH282" s="613"/>
      <c r="GI282" s="613"/>
      <c r="GJ282" s="613"/>
      <c r="GK282" s="613"/>
      <c r="GL282" s="613"/>
      <c r="GM282" s="613"/>
      <c r="GN282" s="385">
        <f t="shared" si="983"/>
        <v>0</v>
      </c>
      <c r="GO282" s="386">
        <f t="shared" si="984"/>
        <v>0</v>
      </c>
      <c r="GP282" s="2635"/>
      <c r="GQ282" s="175"/>
      <c r="GR282" s="172"/>
      <c r="GS282" s="65"/>
      <c r="GT282" s="167"/>
      <c r="GU282" s="168"/>
      <c r="GV282" s="168"/>
      <c r="GW282" s="168"/>
      <c r="GX282" s="168"/>
      <c r="GY282" s="168"/>
      <c r="GZ282" s="168"/>
      <c r="HA282" s="168"/>
      <c r="HB282" s="168"/>
      <c r="HC282" s="168"/>
      <c r="HD282" s="168"/>
      <c r="HE282" s="168"/>
      <c r="HF282" s="168"/>
      <c r="HG282" s="168"/>
      <c r="HH282" s="168"/>
      <c r="HI282" s="168"/>
      <c r="HJ282" s="168"/>
      <c r="HK282" s="168"/>
      <c r="HL282" s="168"/>
      <c r="HM282" s="168"/>
      <c r="HN282" s="168"/>
      <c r="HO282" s="168"/>
      <c r="HP282" s="168"/>
      <c r="HQ282" s="168"/>
      <c r="HR282" s="168"/>
      <c r="HS282" s="168"/>
      <c r="HT282" s="168"/>
      <c r="HU282" s="168"/>
      <c r="HV282" s="168"/>
      <c r="HW282" s="168"/>
      <c r="HX282" s="168"/>
      <c r="HY282" s="168"/>
      <c r="HZ282" s="168"/>
      <c r="IA282" s="168"/>
      <c r="IB282" s="168"/>
      <c r="IC282" s="168"/>
      <c r="ID282" s="168"/>
      <c r="IE282" s="168"/>
      <c r="IF282" s="168"/>
      <c r="IG282" s="168"/>
      <c r="IH282" s="168"/>
      <c r="II282" s="168"/>
      <c r="IJ282" s="168"/>
      <c r="IK282" s="168"/>
      <c r="IL282" s="168"/>
      <c r="IM282" s="168"/>
      <c r="IN282" s="168"/>
      <c r="IO282" s="168"/>
      <c r="IP282" s="168"/>
      <c r="IQ282" s="168"/>
      <c r="IR282" s="168"/>
      <c r="IS282" s="168"/>
      <c r="IT282" s="168"/>
      <c r="IU282" s="168"/>
      <c r="IV282" s="168"/>
      <c r="IW282" s="168"/>
      <c r="IX282" s="168"/>
      <c r="IY282" s="168"/>
      <c r="IZ282" s="168"/>
      <c r="JA282" s="168"/>
      <c r="JB282" s="168"/>
      <c r="JC282" s="168"/>
      <c r="JD282" s="168"/>
      <c r="JE282" s="168"/>
      <c r="JF282" s="168"/>
      <c r="JG282" s="168"/>
      <c r="JH282" s="168"/>
      <c r="JI282" s="168"/>
      <c r="JJ282" s="168"/>
      <c r="JK282" s="168"/>
      <c r="JL282" s="168"/>
      <c r="JM282" s="168"/>
      <c r="JN282" s="168"/>
      <c r="JO282" s="168"/>
      <c r="JP282" s="168"/>
      <c r="JQ282" s="168"/>
      <c r="JR282" s="168"/>
      <c r="JS282" s="168"/>
      <c r="JT282" s="168"/>
      <c r="JU282" s="168"/>
      <c r="JV282" s="168"/>
      <c r="JW282" s="168"/>
      <c r="JX282" s="168"/>
      <c r="JY282" s="168"/>
      <c r="JZ282" s="168"/>
      <c r="KA282" s="168"/>
      <c r="KB282" s="168"/>
      <c r="KC282" s="168"/>
      <c r="KD282" s="168"/>
      <c r="KE282" s="168"/>
      <c r="KF282" s="168"/>
      <c r="KG282" s="168"/>
      <c r="KH282" s="168"/>
      <c r="KI282" s="168"/>
      <c r="KJ282" s="168"/>
      <c r="KK282" s="168"/>
      <c r="KL282" s="168"/>
      <c r="KM282" s="168"/>
      <c r="KN282" s="168"/>
      <c r="KO282" s="168"/>
      <c r="KP282" s="168"/>
      <c r="KQ282" s="168"/>
      <c r="KR282" s="168"/>
      <c r="KS282" s="168"/>
      <c r="KT282" s="168"/>
      <c r="KU282" s="168"/>
      <c r="KV282" s="168"/>
      <c r="KW282" s="168"/>
      <c r="KX282" s="168"/>
      <c r="KY282" s="168"/>
      <c r="KZ282" s="168"/>
      <c r="LA282" s="168"/>
      <c r="LB282" s="168"/>
      <c r="LC282" s="168"/>
      <c r="LD282" s="168"/>
      <c r="LE282" s="168"/>
      <c r="LF282" s="168"/>
      <c r="LG282" s="168"/>
      <c r="LH282" s="168"/>
      <c r="LI282" s="168"/>
      <c r="LJ282" s="168"/>
      <c r="LK282" s="168"/>
      <c r="LL282" s="168"/>
      <c r="LM282" s="168"/>
      <c r="LN282" s="168"/>
      <c r="LO282" s="168"/>
      <c r="LP282" s="606"/>
      <c r="LQ282" s="609"/>
      <c r="LR282" s="1319"/>
      <c r="LS282" s="1319"/>
    </row>
    <row r="283" spans="1:331" s="2" customFormat="1" ht="15" customHeight="1" x14ac:dyDescent="0.25">
      <c r="A283" s="283"/>
      <c r="B283" s="303"/>
      <c r="C283" s="301"/>
      <c r="D283" s="1287"/>
      <c r="E283" s="2298"/>
      <c r="F283" s="1812"/>
      <c r="G283" s="3342"/>
      <c r="H283" s="66"/>
      <c r="I283" s="1746"/>
      <c r="J283" s="1214"/>
      <c r="K283" s="105"/>
      <c r="L283" s="91"/>
      <c r="M283" s="92"/>
      <c r="N283" s="93"/>
      <c r="O283" s="94"/>
      <c r="P283" s="96"/>
      <c r="Q283" s="95"/>
      <c r="R283" s="993">
        <f t="shared" si="978"/>
        <v>0</v>
      </c>
      <c r="S283" s="23">
        <f t="shared" si="979"/>
        <v>0</v>
      </c>
      <c r="T283" s="24">
        <f t="shared" si="985"/>
        <v>0</v>
      </c>
      <c r="U283" s="24">
        <f t="shared" si="986"/>
        <v>0</v>
      </c>
      <c r="V283" s="24">
        <f t="shared" si="987"/>
        <v>0</v>
      </c>
      <c r="W283" s="24">
        <f t="shared" ca="1" si="988"/>
        <v>0</v>
      </c>
      <c r="X283" s="72">
        <f t="shared" ca="1" si="956"/>
        <v>0</v>
      </c>
      <c r="Y283" s="72">
        <f t="shared" si="989"/>
        <v>0</v>
      </c>
      <c r="Z283" s="24">
        <f t="shared" si="990"/>
        <v>0</v>
      </c>
      <c r="AA283" s="72">
        <f t="shared" si="957"/>
        <v>0</v>
      </c>
      <c r="AB283" s="24">
        <f t="shared" si="967"/>
        <v>0</v>
      </c>
      <c r="AC283" s="24">
        <f t="shared" ca="1" si="991"/>
        <v>0</v>
      </c>
      <c r="AD283" s="24">
        <f t="shared" si="886"/>
        <v>0</v>
      </c>
      <c r="AE283" s="2078">
        <f t="shared" si="961"/>
        <v>3</v>
      </c>
      <c r="AF283" s="2078">
        <f t="shared" si="962"/>
        <v>0</v>
      </c>
      <c r="AG283" s="2078">
        <f t="shared" si="963"/>
        <v>0</v>
      </c>
      <c r="AH283" s="2521">
        <f t="shared" si="887"/>
        <v>1</v>
      </c>
      <c r="AI283" s="25" t="str">
        <f t="shared" si="992"/>
        <v/>
      </c>
      <c r="AJ283" s="2521">
        <f t="shared" ca="1" si="882"/>
        <v>0</v>
      </c>
      <c r="AK283" s="2076">
        <f t="shared" ca="1" si="878"/>
        <v>0</v>
      </c>
      <c r="AL283" s="2078">
        <f>IF(ISBLANK(J283),0,ISERROR(MATCH(J283,'5  Control Accounts'!$FA$29:$FA$96,0))*1)</f>
        <v>0</v>
      </c>
      <c r="AM283" s="2076">
        <f t="shared" si="993"/>
        <v>0</v>
      </c>
      <c r="AN283" s="2078">
        <f t="shared" si="994"/>
        <v>1</v>
      </c>
      <c r="AO283" s="2079">
        <f t="shared" si="888"/>
        <v>1</v>
      </c>
      <c r="AP283" s="2079">
        <f t="shared" si="889"/>
        <v>0</v>
      </c>
      <c r="AQ283" s="2079">
        <f t="shared" si="890"/>
        <v>0</v>
      </c>
      <c r="AR283" s="2079">
        <f t="shared" si="891"/>
        <v>0</v>
      </c>
      <c r="AS283" s="2079">
        <f t="shared" si="892"/>
        <v>0</v>
      </c>
      <c r="AT283" s="2079">
        <f t="shared" si="893"/>
        <v>0</v>
      </c>
      <c r="AU283" s="2079">
        <f t="shared" si="894"/>
        <v>0</v>
      </c>
      <c r="AV283" s="2079">
        <f t="shared" si="895"/>
        <v>0</v>
      </c>
      <c r="AW283" s="2079">
        <f t="shared" si="896"/>
        <v>0</v>
      </c>
      <c r="AX283" s="2079">
        <f t="shared" si="897"/>
        <v>0</v>
      </c>
      <c r="AY283" s="2078">
        <f t="shared" si="995"/>
        <v>0</v>
      </c>
      <c r="AZ283" s="2078">
        <f t="shared" si="996"/>
        <v>0</v>
      </c>
      <c r="BA283" s="2078">
        <f t="shared" si="997"/>
        <v>0</v>
      </c>
      <c r="BB283" s="2078">
        <f t="shared" si="998"/>
        <v>0</v>
      </c>
      <c r="BC283" s="2078">
        <f t="shared" si="999"/>
        <v>0</v>
      </c>
      <c r="BD283" s="2078">
        <f t="shared" si="1000"/>
        <v>0</v>
      </c>
      <c r="BE283" s="2078">
        <f t="shared" si="1001"/>
        <v>0</v>
      </c>
      <c r="BF283" s="2078">
        <f t="shared" si="1002"/>
        <v>0</v>
      </c>
      <c r="BG283" s="2078">
        <f t="shared" si="1003"/>
        <v>0</v>
      </c>
      <c r="BH283" s="2078">
        <f t="shared" si="1004"/>
        <v>0</v>
      </c>
      <c r="BI283" s="2078">
        <f t="shared" si="1005"/>
        <v>0</v>
      </c>
      <c r="BJ283" s="2078">
        <f t="shared" si="1006"/>
        <v>0</v>
      </c>
      <c r="BK283" s="2078">
        <f t="shared" si="1007"/>
        <v>0</v>
      </c>
      <c r="BL283" s="2078">
        <f t="shared" si="1008"/>
        <v>0</v>
      </c>
      <c r="BM283" s="2078">
        <f t="shared" si="1009"/>
        <v>0</v>
      </c>
      <c r="BN283" s="2078">
        <f t="shared" si="1010"/>
        <v>0</v>
      </c>
      <c r="BO283" s="2078">
        <f t="shared" si="1011"/>
        <v>0</v>
      </c>
      <c r="BP283" s="2078">
        <f t="shared" si="1012"/>
        <v>0</v>
      </c>
      <c r="BQ283" s="2078">
        <f t="shared" si="1013"/>
        <v>0</v>
      </c>
      <c r="BR283" s="2078">
        <f t="shared" si="1014"/>
        <v>0</v>
      </c>
      <c r="BS283" s="2079">
        <f t="shared" si="898"/>
        <v>1</v>
      </c>
      <c r="BT283" s="2079">
        <f t="shared" si="899"/>
        <v>0</v>
      </c>
      <c r="BU283" s="2079">
        <f t="shared" si="900"/>
        <v>0</v>
      </c>
      <c r="BV283" s="2079">
        <f t="shared" si="901"/>
        <v>0</v>
      </c>
      <c r="BW283" s="2079">
        <f t="shared" si="902"/>
        <v>0</v>
      </c>
      <c r="BX283" s="2079">
        <f t="shared" si="903"/>
        <v>0</v>
      </c>
      <c r="BY283" s="2079">
        <f t="shared" si="904"/>
        <v>0</v>
      </c>
      <c r="BZ283" s="2079">
        <f t="shared" si="905"/>
        <v>0</v>
      </c>
      <c r="CA283" s="2079">
        <f t="shared" si="906"/>
        <v>0</v>
      </c>
      <c r="CB283" s="2079">
        <f t="shared" si="907"/>
        <v>0</v>
      </c>
      <c r="CC283" s="2078">
        <f t="shared" ca="1" si="1015"/>
        <v>0</v>
      </c>
      <c r="CD283" s="2078">
        <f t="shared" ca="1" si="1016"/>
        <v>0</v>
      </c>
      <c r="CE283" s="2078">
        <f t="shared" ca="1" si="1017"/>
        <v>0</v>
      </c>
      <c r="CF283" s="2078">
        <f t="shared" ca="1" si="1018"/>
        <v>0</v>
      </c>
      <c r="CG283" s="2078">
        <f t="shared" ca="1" si="1019"/>
        <v>0</v>
      </c>
      <c r="CH283" s="2078">
        <f t="shared" ca="1" si="1020"/>
        <v>0</v>
      </c>
      <c r="CI283" s="2078">
        <f t="shared" ca="1" si="1021"/>
        <v>0</v>
      </c>
      <c r="CJ283" s="2078">
        <f t="shared" ca="1" si="1022"/>
        <v>0</v>
      </c>
      <c r="CK283" s="2078">
        <f t="shared" ca="1" si="1023"/>
        <v>0</v>
      </c>
      <c r="CL283" s="2078">
        <f t="shared" ca="1" si="1024"/>
        <v>0</v>
      </c>
      <c r="CM283" s="2078">
        <f t="shared" si="968"/>
        <v>1</v>
      </c>
      <c r="CN283" s="2078">
        <f t="shared" si="969"/>
        <v>1</v>
      </c>
      <c r="CO283" s="2078">
        <f t="shared" si="958"/>
        <v>1</v>
      </c>
      <c r="CP283" s="2078">
        <f t="shared" si="1025"/>
        <v>1</v>
      </c>
      <c r="CQ283" s="2078">
        <f t="shared" si="959"/>
        <v>0</v>
      </c>
      <c r="CR283" s="2078">
        <f t="shared" si="879"/>
        <v>0</v>
      </c>
      <c r="CS283" s="2078">
        <f t="shared" si="1026"/>
        <v>0</v>
      </c>
      <c r="CT283" s="2078">
        <f t="shared" si="960"/>
        <v>1</v>
      </c>
      <c r="CU283" s="2078">
        <f t="shared" si="1027"/>
        <v>1</v>
      </c>
      <c r="CV283" s="2078">
        <f t="shared" si="970"/>
        <v>0</v>
      </c>
      <c r="CW283" s="2078">
        <f>IF(OR(AE283&lt;&gt;3,F283="Exclude"),0,IF(ISERROR(MATCH($E283,'4 Sign-off'!$S$123:$X$123,0)),0,1))</f>
        <v>0</v>
      </c>
      <c r="CX283" s="2078">
        <f t="shared" si="982"/>
        <v>0</v>
      </c>
      <c r="CY283" s="2078">
        <f t="shared" si="971"/>
        <v>0</v>
      </c>
      <c r="CZ283" s="2993">
        <f t="shared" ca="1" si="980"/>
        <v>0</v>
      </c>
      <c r="DA283" s="3037">
        <f t="shared" ca="1" si="981"/>
        <v>0</v>
      </c>
      <c r="DB283" s="1664"/>
      <c r="DC283" s="1320"/>
      <c r="DD283" s="589"/>
      <c r="DE283" s="1321"/>
      <c r="DF283" s="107"/>
      <c r="DG283" s="112"/>
      <c r="DH283" s="140"/>
      <c r="DI283" s="22"/>
      <c r="DJ283" s="145"/>
      <c r="DK283" s="137"/>
      <c r="DL283" s="137"/>
      <c r="DM283" s="137"/>
      <c r="DN283" s="137"/>
      <c r="DO283" s="137"/>
      <c r="DP283" s="137"/>
      <c r="DQ283" s="137"/>
      <c r="DR283" s="137"/>
      <c r="DS283" s="137"/>
      <c r="DT283" s="137"/>
      <c r="DU283" s="137"/>
      <c r="DV283" s="137"/>
      <c r="DW283" s="137"/>
      <c r="DX283" s="137"/>
      <c r="DY283" s="137"/>
      <c r="DZ283" s="137"/>
      <c r="EA283" s="137"/>
      <c r="EB283" s="137"/>
      <c r="EC283" s="137"/>
      <c r="ED283" s="137"/>
      <c r="EE283" s="137"/>
      <c r="EF283" s="137"/>
      <c r="EG283" s="137"/>
      <c r="EH283" s="137"/>
      <c r="EI283" s="137"/>
      <c r="EJ283" s="137"/>
      <c r="EK283" s="137"/>
      <c r="EL283" s="137"/>
      <c r="EM283" s="137"/>
      <c r="EN283" s="137"/>
      <c r="EO283" s="137"/>
      <c r="EP283" s="137"/>
      <c r="EQ283" s="137"/>
      <c r="ER283" s="137"/>
      <c r="ES283" s="137"/>
      <c r="ET283" s="137"/>
      <c r="EU283" s="137"/>
      <c r="EV283" s="137"/>
      <c r="EW283" s="137"/>
      <c r="EX283" s="137"/>
      <c r="EY283" s="137"/>
      <c r="EZ283" s="137"/>
      <c r="FA283" s="137"/>
      <c r="FB283" s="137"/>
      <c r="FC283" s="137"/>
      <c r="FD283" s="137"/>
      <c r="FE283" s="137"/>
      <c r="FF283" s="137"/>
      <c r="FG283" s="860"/>
      <c r="FH283" s="863"/>
      <c r="FI283" s="1318"/>
      <c r="FJ283" s="126"/>
      <c r="FK283" s="127"/>
      <c r="FL283" s="128" t="str">
        <f t="shared" si="1028"/>
        <v xml:space="preserve">    </v>
      </c>
      <c r="FM283" s="128"/>
      <c r="FN283" s="1686">
        <f t="shared" si="1029"/>
        <v>0</v>
      </c>
      <c r="FO283" s="46">
        <f t="shared" si="972"/>
        <v>0</v>
      </c>
      <c r="FP283" s="46">
        <f t="shared" si="977"/>
        <v>1</v>
      </c>
      <c r="FQ283" s="75">
        <f t="shared" si="1030"/>
        <v>0</v>
      </c>
      <c r="FR283" s="46">
        <f t="shared" si="964"/>
        <v>0</v>
      </c>
      <c r="FS283" s="46">
        <f t="shared" si="965"/>
        <v>1</v>
      </c>
      <c r="FT283" s="75">
        <f t="shared" si="1031"/>
        <v>0</v>
      </c>
      <c r="FU283" s="2603">
        <f t="shared" si="973"/>
        <v>0</v>
      </c>
      <c r="FV283" s="2607">
        <f t="shared" si="974"/>
        <v>0</v>
      </c>
      <c r="FW283" s="2603">
        <f t="shared" si="975"/>
        <v>0</v>
      </c>
      <c r="FX283" s="2631">
        <f t="shared" si="976"/>
        <v>0</v>
      </c>
      <c r="FY283" s="81" t="e">
        <f t="shared" si="966"/>
        <v>#N/A</v>
      </c>
      <c r="FZ283" s="64" t="e">
        <f t="array" ref="FZ283">MATCH(1,($GT283:$LQ283&gt;0)*$GT$25:$LQ$25,0)</f>
        <v>#N/A</v>
      </c>
      <c r="GA283" s="64" t="e">
        <f t="array" ref="GA283">MATCH(2,1/(GT283:LQ283&gt;0))</f>
        <v>#N/A</v>
      </c>
      <c r="GB283" s="64">
        <f t="shared" si="1032"/>
        <v>-1</v>
      </c>
      <c r="GC283" s="46"/>
      <c r="GD283" s="613"/>
      <c r="GE283" s="613"/>
      <c r="GF283" s="613"/>
      <c r="GG283" s="613"/>
      <c r="GH283" s="613"/>
      <c r="GI283" s="613"/>
      <c r="GJ283" s="613"/>
      <c r="GK283" s="613"/>
      <c r="GL283" s="613"/>
      <c r="GM283" s="613"/>
      <c r="GN283" s="385">
        <f t="shared" si="983"/>
        <v>0</v>
      </c>
      <c r="GO283" s="386">
        <f t="shared" si="984"/>
        <v>0</v>
      </c>
      <c r="GP283" s="2635"/>
      <c r="GQ283" s="175"/>
      <c r="GR283" s="172"/>
      <c r="GS283" s="65"/>
      <c r="GT283" s="167"/>
      <c r="GU283" s="168"/>
      <c r="GV283" s="168"/>
      <c r="GW283" s="168"/>
      <c r="GX283" s="168"/>
      <c r="GY283" s="168"/>
      <c r="GZ283" s="168"/>
      <c r="HA283" s="168"/>
      <c r="HB283" s="168"/>
      <c r="HC283" s="168"/>
      <c r="HD283" s="168"/>
      <c r="HE283" s="168"/>
      <c r="HF283" s="168"/>
      <c r="HG283" s="168"/>
      <c r="HH283" s="168"/>
      <c r="HI283" s="168"/>
      <c r="HJ283" s="168"/>
      <c r="HK283" s="168"/>
      <c r="HL283" s="168"/>
      <c r="HM283" s="168"/>
      <c r="HN283" s="168"/>
      <c r="HO283" s="168"/>
      <c r="HP283" s="168"/>
      <c r="HQ283" s="168"/>
      <c r="HR283" s="168"/>
      <c r="HS283" s="168"/>
      <c r="HT283" s="168"/>
      <c r="HU283" s="168"/>
      <c r="HV283" s="168"/>
      <c r="HW283" s="168"/>
      <c r="HX283" s="168"/>
      <c r="HY283" s="168"/>
      <c r="HZ283" s="168"/>
      <c r="IA283" s="168"/>
      <c r="IB283" s="168"/>
      <c r="IC283" s="168"/>
      <c r="ID283" s="168"/>
      <c r="IE283" s="168"/>
      <c r="IF283" s="168"/>
      <c r="IG283" s="168"/>
      <c r="IH283" s="168"/>
      <c r="II283" s="168"/>
      <c r="IJ283" s="168"/>
      <c r="IK283" s="168"/>
      <c r="IL283" s="168"/>
      <c r="IM283" s="168"/>
      <c r="IN283" s="168"/>
      <c r="IO283" s="168"/>
      <c r="IP283" s="168"/>
      <c r="IQ283" s="168"/>
      <c r="IR283" s="168"/>
      <c r="IS283" s="168"/>
      <c r="IT283" s="168"/>
      <c r="IU283" s="168"/>
      <c r="IV283" s="168"/>
      <c r="IW283" s="168"/>
      <c r="IX283" s="168"/>
      <c r="IY283" s="168"/>
      <c r="IZ283" s="168"/>
      <c r="JA283" s="168"/>
      <c r="JB283" s="168"/>
      <c r="JC283" s="168"/>
      <c r="JD283" s="168"/>
      <c r="JE283" s="168"/>
      <c r="JF283" s="168"/>
      <c r="JG283" s="168"/>
      <c r="JH283" s="168"/>
      <c r="JI283" s="168"/>
      <c r="JJ283" s="168"/>
      <c r="JK283" s="168"/>
      <c r="JL283" s="168"/>
      <c r="JM283" s="168"/>
      <c r="JN283" s="168"/>
      <c r="JO283" s="168"/>
      <c r="JP283" s="168"/>
      <c r="JQ283" s="168"/>
      <c r="JR283" s="168"/>
      <c r="JS283" s="168"/>
      <c r="JT283" s="168"/>
      <c r="JU283" s="168"/>
      <c r="JV283" s="168"/>
      <c r="JW283" s="168"/>
      <c r="JX283" s="168"/>
      <c r="JY283" s="168"/>
      <c r="JZ283" s="168"/>
      <c r="KA283" s="168"/>
      <c r="KB283" s="168"/>
      <c r="KC283" s="168"/>
      <c r="KD283" s="168"/>
      <c r="KE283" s="168"/>
      <c r="KF283" s="168"/>
      <c r="KG283" s="168"/>
      <c r="KH283" s="168"/>
      <c r="KI283" s="168"/>
      <c r="KJ283" s="168"/>
      <c r="KK283" s="168"/>
      <c r="KL283" s="168"/>
      <c r="KM283" s="168"/>
      <c r="KN283" s="168"/>
      <c r="KO283" s="168"/>
      <c r="KP283" s="168"/>
      <c r="KQ283" s="168"/>
      <c r="KR283" s="168"/>
      <c r="KS283" s="168"/>
      <c r="KT283" s="168"/>
      <c r="KU283" s="168"/>
      <c r="KV283" s="168"/>
      <c r="KW283" s="168"/>
      <c r="KX283" s="168"/>
      <c r="KY283" s="168"/>
      <c r="KZ283" s="168"/>
      <c r="LA283" s="168"/>
      <c r="LB283" s="168"/>
      <c r="LC283" s="168"/>
      <c r="LD283" s="168"/>
      <c r="LE283" s="168"/>
      <c r="LF283" s="168"/>
      <c r="LG283" s="168"/>
      <c r="LH283" s="168"/>
      <c r="LI283" s="168"/>
      <c r="LJ283" s="168"/>
      <c r="LK283" s="168"/>
      <c r="LL283" s="168"/>
      <c r="LM283" s="168"/>
      <c r="LN283" s="168"/>
      <c r="LO283" s="168"/>
      <c r="LP283" s="606"/>
      <c r="LQ283" s="609"/>
      <c r="LR283" s="1319"/>
      <c r="LS283" s="1319"/>
    </row>
    <row r="284" spans="1:331" s="2" customFormat="1" ht="15" customHeight="1" x14ac:dyDescent="0.25">
      <c r="A284" s="283"/>
      <c r="B284" s="303"/>
      <c r="C284" s="301"/>
      <c r="D284" s="1287"/>
      <c r="E284" s="2298"/>
      <c r="F284" s="1812"/>
      <c r="G284" s="3342"/>
      <c r="H284" s="66"/>
      <c r="I284" s="1746"/>
      <c r="J284" s="1214"/>
      <c r="K284" s="105"/>
      <c r="L284" s="91"/>
      <c r="M284" s="92"/>
      <c r="N284" s="93"/>
      <c r="O284" s="94"/>
      <c r="P284" s="96"/>
      <c r="Q284" s="95"/>
      <c r="R284" s="993">
        <f t="shared" si="978"/>
        <v>0</v>
      </c>
      <c r="S284" s="23">
        <f t="shared" si="979"/>
        <v>0</v>
      </c>
      <c r="T284" s="24">
        <f t="shared" si="985"/>
        <v>0</v>
      </c>
      <c r="U284" s="24">
        <f t="shared" si="986"/>
        <v>0</v>
      </c>
      <c r="V284" s="24">
        <f t="shared" si="987"/>
        <v>0</v>
      </c>
      <c r="W284" s="24">
        <f t="shared" ca="1" si="988"/>
        <v>0</v>
      </c>
      <c r="X284" s="72">
        <f t="shared" ca="1" si="956"/>
        <v>0</v>
      </c>
      <c r="Y284" s="72">
        <f t="shared" si="989"/>
        <v>0</v>
      </c>
      <c r="Z284" s="24">
        <f t="shared" si="990"/>
        <v>0</v>
      </c>
      <c r="AA284" s="72">
        <f t="shared" si="957"/>
        <v>0</v>
      </c>
      <c r="AB284" s="24">
        <f t="shared" si="967"/>
        <v>0</v>
      </c>
      <c r="AC284" s="24">
        <f t="shared" ca="1" si="991"/>
        <v>0</v>
      </c>
      <c r="AD284" s="24">
        <f t="shared" si="886"/>
        <v>0</v>
      </c>
      <c r="AE284" s="2078">
        <f t="shared" ref="AE284:AE315" si="1033">IF(N284="",3,IF(AND(L284&gt;0,M284&gt;0),2,1))</f>
        <v>3</v>
      </c>
      <c r="AF284" s="2078">
        <f t="shared" ref="AF284:AF315" si="1034">IF(AND(ISNUMBER(VALUE(L284)),RIGHT(L284,1)="0"),(L284+0.00001),L284)</f>
        <v>0</v>
      </c>
      <c r="AG284" s="2078">
        <f t="shared" ref="AG284:AG315" si="1035">IF(AND(ISNUMBER(VALUE(M284)),RIGHT(M284,1)="0"),(M284+0.00001),M284)</f>
        <v>0</v>
      </c>
      <c r="AH284" s="2521">
        <f t="shared" si="887"/>
        <v>1</v>
      </c>
      <c r="AI284" s="25" t="str">
        <f t="shared" si="992"/>
        <v/>
      </c>
      <c r="AJ284" s="2521">
        <f t="shared" ca="1" si="882"/>
        <v>0</v>
      </c>
      <c r="AK284" s="2076">
        <f t="shared" ca="1" si="878"/>
        <v>0</v>
      </c>
      <c r="AL284" s="2078">
        <f>IF(ISBLANK(J284),0,ISERROR(MATCH(J284,'5  Control Accounts'!$FA$29:$FA$96,0))*1)</f>
        <v>0</v>
      </c>
      <c r="AM284" s="2076">
        <f t="shared" si="993"/>
        <v>0</v>
      </c>
      <c r="AN284" s="2078">
        <f t="shared" si="994"/>
        <v>1</v>
      </c>
      <c r="AO284" s="2079">
        <f t="shared" si="888"/>
        <v>1</v>
      </c>
      <c r="AP284" s="2079">
        <f t="shared" si="889"/>
        <v>0</v>
      </c>
      <c r="AQ284" s="2079">
        <f t="shared" si="890"/>
        <v>0</v>
      </c>
      <c r="AR284" s="2079">
        <f t="shared" si="891"/>
        <v>0</v>
      </c>
      <c r="AS284" s="2079">
        <f t="shared" si="892"/>
        <v>0</v>
      </c>
      <c r="AT284" s="2079">
        <f t="shared" si="893"/>
        <v>0</v>
      </c>
      <c r="AU284" s="2079">
        <f t="shared" si="894"/>
        <v>0</v>
      </c>
      <c r="AV284" s="2079">
        <f t="shared" si="895"/>
        <v>0</v>
      </c>
      <c r="AW284" s="2079">
        <f t="shared" si="896"/>
        <v>0</v>
      </c>
      <c r="AX284" s="2079">
        <f t="shared" si="897"/>
        <v>0</v>
      </c>
      <c r="AY284" s="2078">
        <f t="shared" si="995"/>
        <v>0</v>
      </c>
      <c r="AZ284" s="2078">
        <f t="shared" si="996"/>
        <v>0</v>
      </c>
      <c r="BA284" s="2078">
        <f t="shared" si="997"/>
        <v>0</v>
      </c>
      <c r="BB284" s="2078">
        <f t="shared" si="998"/>
        <v>0</v>
      </c>
      <c r="BC284" s="2078">
        <f t="shared" si="999"/>
        <v>0</v>
      </c>
      <c r="BD284" s="2078">
        <f t="shared" si="1000"/>
        <v>0</v>
      </c>
      <c r="BE284" s="2078">
        <f t="shared" si="1001"/>
        <v>0</v>
      </c>
      <c r="BF284" s="2078">
        <f t="shared" si="1002"/>
        <v>0</v>
      </c>
      <c r="BG284" s="2078">
        <f t="shared" si="1003"/>
        <v>0</v>
      </c>
      <c r="BH284" s="2078">
        <f t="shared" si="1004"/>
        <v>0</v>
      </c>
      <c r="BI284" s="2078">
        <f t="shared" si="1005"/>
        <v>0</v>
      </c>
      <c r="BJ284" s="2078">
        <f t="shared" si="1006"/>
        <v>0</v>
      </c>
      <c r="BK284" s="2078">
        <f t="shared" si="1007"/>
        <v>0</v>
      </c>
      <c r="BL284" s="2078">
        <f t="shared" si="1008"/>
        <v>0</v>
      </c>
      <c r="BM284" s="2078">
        <f t="shared" si="1009"/>
        <v>0</v>
      </c>
      <c r="BN284" s="2078">
        <f t="shared" si="1010"/>
        <v>0</v>
      </c>
      <c r="BO284" s="2078">
        <f t="shared" si="1011"/>
        <v>0</v>
      </c>
      <c r="BP284" s="2078">
        <f t="shared" si="1012"/>
        <v>0</v>
      </c>
      <c r="BQ284" s="2078">
        <f t="shared" si="1013"/>
        <v>0</v>
      </c>
      <c r="BR284" s="2078">
        <f t="shared" si="1014"/>
        <v>0</v>
      </c>
      <c r="BS284" s="2079">
        <f t="shared" si="898"/>
        <v>1</v>
      </c>
      <c r="BT284" s="2079">
        <f t="shared" si="899"/>
        <v>0</v>
      </c>
      <c r="BU284" s="2079">
        <f t="shared" si="900"/>
        <v>0</v>
      </c>
      <c r="BV284" s="2079">
        <f t="shared" si="901"/>
        <v>0</v>
      </c>
      <c r="BW284" s="2079">
        <f t="shared" si="902"/>
        <v>0</v>
      </c>
      <c r="BX284" s="2079">
        <f t="shared" si="903"/>
        <v>0</v>
      </c>
      <c r="BY284" s="2079">
        <f t="shared" si="904"/>
        <v>0</v>
      </c>
      <c r="BZ284" s="2079">
        <f t="shared" si="905"/>
        <v>0</v>
      </c>
      <c r="CA284" s="2079">
        <f t="shared" si="906"/>
        <v>0</v>
      </c>
      <c r="CB284" s="2079">
        <f t="shared" si="907"/>
        <v>0</v>
      </c>
      <c r="CC284" s="2078">
        <f t="shared" ca="1" si="1015"/>
        <v>0</v>
      </c>
      <c r="CD284" s="2078">
        <f t="shared" ca="1" si="1016"/>
        <v>0</v>
      </c>
      <c r="CE284" s="2078">
        <f t="shared" ca="1" si="1017"/>
        <v>0</v>
      </c>
      <c r="CF284" s="2078">
        <f t="shared" ca="1" si="1018"/>
        <v>0</v>
      </c>
      <c r="CG284" s="2078">
        <f t="shared" ca="1" si="1019"/>
        <v>0</v>
      </c>
      <c r="CH284" s="2078">
        <f t="shared" ca="1" si="1020"/>
        <v>0</v>
      </c>
      <c r="CI284" s="2078">
        <f t="shared" ca="1" si="1021"/>
        <v>0</v>
      </c>
      <c r="CJ284" s="2078">
        <f t="shared" ca="1" si="1022"/>
        <v>0</v>
      </c>
      <c r="CK284" s="2078">
        <f t="shared" ca="1" si="1023"/>
        <v>0</v>
      </c>
      <c r="CL284" s="2078">
        <f t="shared" ca="1" si="1024"/>
        <v>0</v>
      </c>
      <c r="CM284" s="2078">
        <f t="shared" si="968"/>
        <v>1</v>
      </c>
      <c r="CN284" s="2078">
        <f t="shared" si="969"/>
        <v>1</v>
      </c>
      <c r="CO284" s="2078">
        <f t="shared" si="958"/>
        <v>1</v>
      </c>
      <c r="CP284" s="2078">
        <f t="shared" si="1025"/>
        <v>1</v>
      </c>
      <c r="CQ284" s="2078">
        <f t="shared" si="959"/>
        <v>0</v>
      </c>
      <c r="CR284" s="2078">
        <f t="shared" si="879"/>
        <v>0</v>
      </c>
      <c r="CS284" s="2078">
        <f t="shared" si="1026"/>
        <v>0</v>
      </c>
      <c r="CT284" s="2078">
        <f t="shared" si="960"/>
        <v>1</v>
      </c>
      <c r="CU284" s="2078">
        <f t="shared" si="1027"/>
        <v>1</v>
      </c>
      <c r="CV284" s="2078">
        <f t="shared" si="970"/>
        <v>0</v>
      </c>
      <c r="CW284" s="2078">
        <f>IF(OR(AE284&lt;&gt;3,F284="Exclude"),0,IF(ISERROR(MATCH($E284,'4 Sign-off'!$S$123:$X$123,0)),0,1))</f>
        <v>0</v>
      </c>
      <c r="CX284" s="2078">
        <f t="shared" si="982"/>
        <v>0</v>
      </c>
      <c r="CY284" s="2078">
        <f t="shared" si="971"/>
        <v>0</v>
      </c>
      <c r="CZ284" s="2993">
        <f t="shared" ca="1" si="980"/>
        <v>0</v>
      </c>
      <c r="DA284" s="3037">
        <f t="shared" ca="1" si="981"/>
        <v>0</v>
      </c>
      <c r="DB284" s="1664"/>
      <c r="DC284" s="1320"/>
      <c r="DD284" s="589"/>
      <c r="DE284" s="1321"/>
      <c r="DF284" s="107"/>
      <c r="DG284" s="112"/>
      <c r="DH284" s="140"/>
      <c r="DI284" s="22"/>
      <c r="DJ284" s="145"/>
      <c r="DK284" s="137"/>
      <c r="DL284" s="137"/>
      <c r="DM284" s="137"/>
      <c r="DN284" s="137"/>
      <c r="DO284" s="137"/>
      <c r="DP284" s="137"/>
      <c r="DQ284" s="137"/>
      <c r="DR284" s="137"/>
      <c r="DS284" s="137"/>
      <c r="DT284" s="137"/>
      <c r="DU284" s="137"/>
      <c r="DV284" s="137"/>
      <c r="DW284" s="137"/>
      <c r="DX284" s="137"/>
      <c r="DY284" s="137"/>
      <c r="DZ284" s="137"/>
      <c r="EA284" s="137"/>
      <c r="EB284" s="137"/>
      <c r="EC284" s="137"/>
      <c r="ED284" s="137"/>
      <c r="EE284" s="137"/>
      <c r="EF284" s="137"/>
      <c r="EG284" s="137"/>
      <c r="EH284" s="137"/>
      <c r="EI284" s="137"/>
      <c r="EJ284" s="137"/>
      <c r="EK284" s="137"/>
      <c r="EL284" s="137"/>
      <c r="EM284" s="137"/>
      <c r="EN284" s="137"/>
      <c r="EO284" s="137"/>
      <c r="EP284" s="137"/>
      <c r="EQ284" s="137"/>
      <c r="ER284" s="137"/>
      <c r="ES284" s="137"/>
      <c r="ET284" s="137"/>
      <c r="EU284" s="137"/>
      <c r="EV284" s="137"/>
      <c r="EW284" s="137"/>
      <c r="EX284" s="137"/>
      <c r="EY284" s="137"/>
      <c r="EZ284" s="137"/>
      <c r="FA284" s="137"/>
      <c r="FB284" s="137"/>
      <c r="FC284" s="137"/>
      <c r="FD284" s="137"/>
      <c r="FE284" s="137"/>
      <c r="FF284" s="137"/>
      <c r="FG284" s="860"/>
      <c r="FH284" s="863"/>
      <c r="FI284" s="1318"/>
      <c r="FJ284" s="126"/>
      <c r="FK284" s="127"/>
      <c r="FL284" s="128" t="str">
        <f t="shared" si="1028"/>
        <v xml:space="preserve">    </v>
      </c>
      <c r="FM284" s="128"/>
      <c r="FN284" s="1686">
        <f t="shared" si="1029"/>
        <v>0</v>
      </c>
      <c r="FO284" s="46">
        <f t="shared" si="972"/>
        <v>0</v>
      </c>
      <c r="FP284" s="46">
        <f t="shared" si="977"/>
        <v>1</v>
      </c>
      <c r="FQ284" s="75">
        <f t="shared" si="1030"/>
        <v>0</v>
      </c>
      <c r="FR284" s="46">
        <f t="shared" ref="FR284:FR315" si="1036">SUM(GT284:LQ284)</f>
        <v>0</v>
      </c>
      <c r="FS284" s="46">
        <f t="shared" ref="FS284:FS315" si="1037">IFERROR(AN284/FQ284,1)</f>
        <v>1</v>
      </c>
      <c r="FT284" s="75">
        <f t="shared" si="1031"/>
        <v>0</v>
      </c>
      <c r="FU284" s="2603">
        <f t="shared" si="973"/>
        <v>0</v>
      </c>
      <c r="FV284" s="2607">
        <f t="shared" si="974"/>
        <v>0</v>
      </c>
      <c r="FW284" s="2603">
        <f t="shared" si="975"/>
        <v>0</v>
      </c>
      <c r="FX284" s="2631">
        <f t="shared" si="976"/>
        <v>0</v>
      </c>
      <c r="FY284" s="81" t="e">
        <f t="shared" ref="FY284:FY315" si="1038">IF($C$7&lt;&gt;"F",GA284,IF(GA284&lt;$GO$25,NA(),GA284))</f>
        <v>#N/A</v>
      </c>
      <c r="FZ284" s="64" t="e">
        <f t="array" ref="FZ284">MATCH(1,($GT284:$LQ284&gt;0)*$GT$25:$LQ$25,0)</f>
        <v>#N/A</v>
      </c>
      <c r="GA284" s="64" t="e">
        <f t="array" ref="GA284">MATCH(2,1/(GT284:LQ284&gt;0))</f>
        <v>#N/A</v>
      </c>
      <c r="GB284" s="64">
        <f t="shared" si="1032"/>
        <v>-1</v>
      </c>
      <c r="GC284" s="46"/>
      <c r="GD284" s="613"/>
      <c r="GE284" s="613"/>
      <c r="GF284" s="613"/>
      <c r="GG284" s="613"/>
      <c r="GH284" s="613"/>
      <c r="GI284" s="613"/>
      <c r="GJ284" s="613"/>
      <c r="GK284" s="613"/>
      <c r="GL284" s="613"/>
      <c r="GM284" s="613"/>
      <c r="GN284" s="385">
        <f t="shared" si="983"/>
        <v>0</v>
      </c>
      <c r="GO284" s="386">
        <f t="shared" si="984"/>
        <v>0</v>
      </c>
      <c r="GP284" s="2635"/>
      <c r="GQ284" s="175"/>
      <c r="GR284" s="172"/>
      <c r="GS284" s="65"/>
      <c r="GT284" s="167"/>
      <c r="GU284" s="168"/>
      <c r="GV284" s="168"/>
      <c r="GW284" s="168"/>
      <c r="GX284" s="168"/>
      <c r="GY284" s="168"/>
      <c r="GZ284" s="168"/>
      <c r="HA284" s="168"/>
      <c r="HB284" s="168"/>
      <c r="HC284" s="168"/>
      <c r="HD284" s="168"/>
      <c r="HE284" s="168"/>
      <c r="HF284" s="168"/>
      <c r="HG284" s="168"/>
      <c r="HH284" s="168"/>
      <c r="HI284" s="168"/>
      <c r="HJ284" s="168"/>
      <c r="HK284" s="168"/>
      <c r="HL284" s="168"/>
      <c r="HM284" s="168"/>
      <c r="HN284" s="168"/>
      <c r="HO284" s="168"/>
      <c r="HP284" s="168"/>
      <c r="HQ284" s="168"/>
      <c r="HR284" s="168"/>
      <c r="HS284" s="168"/>
      <c r="HT284" s="168"/>
      <c r="HU284" s="168"/>
      <c r="HV284" s="168"/>
      <c r="HW284" s="168"/>
      <c r="HX284" s="168"/>
      <c r="HY284" s="168"/>
      <c r="HZ284" s="168"/>
      <c r="IA284" s="168"/>
      <c r="IB284" s="168"/>
      <c r="IC284" s="168"/>
      <c r="ID284" s="168"/>
      <c r="IE284" s="168"/>
      <c r="IF284" s="168"/>
      <c r="IG284" s="168"/>
      <c r="IH284" s="168"/>
      <c r="II284" s="168"/>
      <c r="IJ284" s="168"/>
      <c r="IK284" s="168"/>
      <c r="IL284" s="168"/>
      <c r="IM284" s="168"/>
      <c r="IN284" s="168"/>
      <c r="IO284" s="168"/>
      <c r="IP284" s="168"/>
      <c r="IQ284" s="168"/>
      <c r="IR284" s="168"/>
      <c r="IS284" s="168"/>
      <c r="IT284" s="168"/>
      <c r="IU284" s="168"/>
      <c r="IV284" s="168"/>
      <c r="IW284" s="168"/>
      <c r="IX284" s="168"/>
      <c r="IY284" s="168"/>
      <c r="IZ284" s="168"/>
      <c r="JA284" s="168"/>
      <c r="JB284" s="168"/>
      <c r="JC284" s="168"/>
      <c r="JD284" s="168"/>
      <c r="JE284" s="168"/>
      <c r="JF284" s="168"/>
      <c r="JG284" s="168"/>
      <c r="JH284" s="168"/>
      <c r="JI284" s="168"/>
      <c r="JJ284" s="168"/>
      <c r="JK284" s="168"/>
      <c r="JL284" s="168"/>
      <c r="JM284" s="168"/>
      <c r="JN284" s="168"/>
      <c r="JO284" s="168"/>
      <c r="JP284" s="168"/>
      <c r="JQ284" s="168"/>
      <c r="JR284" s="168"/>
      <c r="JS284" s="168"/>
      <c r="JT284" s="168"/>
      <c r="JU284" s="168"/>
      <c r="JV284" s="168"/>
      <c r="JW284" s="168"/>
      <c r="JX284" s="168"/>
      <c r="JY284" s="168"/>
      <c r="JZ284" s="168"/>
      <c r="KA284" s="168"/>
      <c r="KB284" s="168"/>
      <c r="KC284" s="168"/>
      <c r="KD284" s="168"/>
      <c r="KE284" s="168"/>
      <c r="KF284" s="168"/>
      <c r="KG284" s="168"/>
      <c r="KH284" s="168"/>
      <c r="KI284" s="168"/>
      <c r="KJ284" s="168"/>
      <c r="KK284" s="168"/>
      <c r="KL284" s="168"/>
      <c r="KM284" s="168"/>
      <c r="KN284" s="168"/>
      <c r="KO284" s="168"/>
      <c r="KP284" s="168"/>
      <c r="KQ284" s="168"/>
      <c r="KR284" s="168"/>
      <c r="KS284" s="168"/>
      <c r="KT284" s="168"/>
      <c r="KU284" s="168"/>
      <c r="KV284" s="168"/>
      <c r="KW284" s="168"/>
      <c r="KX284" s="168"/>
      <c r="KY284" s="168"/>
      <c r="KZ284" s="168"/>
      <c r="LA284" s="168"/>
      <c r="LB284" s="168"/>
      <c r="LC284" s="168"/>
      <c r="LD284" s="168"/>
      <c r="LE284" s="168"/>
      <c r="LF284" s="168"/>
      <c r="LG284" s="168"/>
      <c r="LH284" s="168"/>
      <c r="LI284" s="168"/>
      <c r="LJ284" s="168"/>
      <c r="LK284" s="168"/>
      <c r="LL284" s="168"/>
      <c r="LM284" s="168"/>
      <c r="LN284" s="168"/>
      <c r="LO284" s="168"/>
      <c r="LP284" s="606"/>
      <c r="LQ284" s="609"/>
      <c r="LR284" s="1319"/>
      <c r="LS284" s="1319"/>
    </row>
    <row r="285" spans="1:331" s="2" customFormat="1" ht="15" customHeight="1" x14ac:dyDescent="0.25">
      <c r="A285" s="283"/>
      <c r="B285" s="303"/>
      <c r="C285" s="301"/>
      <c r="D285" s="1287"/>
      <c r="E285" s="2298"/>
      <c r="F285" s="1812"/>
      <c r="G285" s="3342"/>
      <c r="H285" s="66"/>
      <c r="I285" s="1746"/>
      <c r="J285" s="1214"/>
      <c r="K285" s="105"/>
      <c r="L285" s="91"/>
      <c r="M285" s="92"/>
      <c r="N285" s="93"/>
      <c r="O285" s="94"/>
      <c r="P285" s="96"/>
      <c r="Q285" s="95"/>
      <c r="R285" s="993">
        <f t="shared" si="978"/>
        <v>0</v>
      </c>
      <c r="S285" s="23">
        <f t="shared" si="979"/>
        <v>0</v>
      </c>
      <c r="T285" s="24">
        <f t="shared" si="985"/>
        <v>0</v>
      </c>
      <c r="U285" s="24">
        <f t="shared" si="986"/>
        <v>0</v>
      </c>
      <c r="V285" s="24">
        <f t="shared" si="987"/>
        <v>0</v>
      </c>
      <c r="W285" s="24">
        <f t="shared" ca="1" si="988"/>
        <v>0</v>
      </c>
      <c r="X285" s="72">
        <f t="shared" ca="1" si="956"/>
        <v>0</v>
      </c>
      <c r="Y285" s="72">
        <f t="shared" si="989"/>
        <v>0</v>
      </c>
      <c r="Z285" s="24">
        <f t="shared" si="990"/>
        <v>0</v>
      </c>
      <c r="AA285" s="72">
        <f t="shared" si="957"/>
        <v>0</v>
      </c>
      <c r="AB285" s="24">
        <f t="shared" si="967"/>
        <v>0</v>
      </c>
      <c r="AC285" s="24">
        <f t="shared" ca="1" si="991"/>
        <v>0</v>
      </c>
      <c r="AD285" s="24">
        <f t="shared" si="886"/>
        <v>0</v>
      </c>
      <c r="AE285" s="2078">
        <f t="shared" si="1033"/>
        <v>3</v>
      </c>
      <c r="AF285" s="2078">
        <f t="shared" si="1034"/>
        <v>0</v>
      </c>
      <c r="AG285" s="2078">
        <f t="shared" si="1035"/>
        <v>0</v>
      </c>
      <c r="AH285" s="2521">
        <f t="shared" si="887"/>
        <v>1</v>
      </c>
      <c r="AI285" s="25" t="str">
        <f t="shared" si="992"/>
        <v/>
      </c>
      <c r="AJ285" s="2521">
        <f t="shared" ca="1" si="882"/>
        <v>0</v>
      </c>
      <c r="AK285" s="2076">
        <f t="shared" ca="1" si="878"/>
        <v>0</v>
      </c>
      <c r="AL285" s="2078">
        <f>IF(ISBLANK(J285),0,ISERROR(MATCH(J285,'5  Control Accounts'!$FA$29:$FA$96,0))*1)</f>
        <v>0</v>
      </c>
      <c r="AM285" s="2076">
        <f t="shared" si="993"/>
        <v>0</v>
      </c>
      <c r="AN285" s="2078">
        <f t="shared" si="994"/>
        <v>1</v>
      </c>
      <c r="AO285" s="2079">
        <f t="shared" si="888"/>
        <v>1</v>
      </c>
      <c r="AP285" s="2079">
        <f t="shared" si="889"/>
        <v>0</v>
      </c>
      <c r="AQ285" s="2079">
        <f t="shared" si="890"/>
        <v>0</v>
      </c>
      <c r="AR285" s="2079">
        <f t="shared" si="891"/>
        <v>0</v>
      </c>
      <c r="AS285" s="2079">
        <f t="shared" si="892"/>
        <v>0</v>
      </c>
      <c r="AT285" s="2079">
        <f t="shared" si="893"/>
        <v>0</v>
      </c>
      <c r="AU285" s="2079">
        <f t="shared" si="894"/>
        <v>0</v>
      </c>
      <c r="AV285" s="2079">
        <f t="shared" si="895"/>
        <v>0</v>
      </c>
      <c r="AW285" s="2079">
        <f t="shared" si="896"/>
        <v>0</v>
      </c>
      <c r="AX285" s="2079">
        <f t="shared" si="897"/>
        <v>0</v>
      </c>
      <c r="AY285" s="2078">
        <f t="shared" si="995"/>
        <v>0</v>
      </c>
      <c r="AZ285" s="2078">
        <f t="shared" si="996"/>
        <v>0</v>
      </c>
      <c r="BA285" s="2078">
        <f t="shared" si="997"/>
        <v>0</v>
      </c>
      <c r="BB285" s="2078">
        <f t="shared" si="998"/>
        <v>0</v>
      </c>
      <c r="BC285" s="2078">
        <f t="shared" si="999"/>
        <v>0</v>
      </c>
      <c r="BD285" s="2078">
        <f t="shared" si="1000"/>
        <v>0</v>
      </c>
      <c r="BE285" s="2078">
        <f t="shared" si="1001"/>
        <v>0</v>
      </c>
      <c r="BF285" s="2078">
        <f t="shared" si="1002"/>
        <v>0</v>
      </c>
      <c r="BG285" s="2078">
        <f t="shared" si="1003"/>
        <v>0</v>
      </c>
      <c r="BH285" s="2078">
        <f t="shared" si="1004"/>
        <v>0</v>
      </c>
      <c r="BI285" s="2078">
        <f t="shared" si="1005"/>
        <v>0</v>
      </c>
      <c r="BJ285" s="2078">
        <f t="shared" si="1006"/>
        <v>0</v>
      </c>
      <c r="BK285" s="2078">
        <f t="shared" si="1007"/>
        <v>0</v>
      </c>
      <c r="BL285" s="2078">
        <f t="shared" si="1008"/>
        <v>0</v>
      </c>
      <c r="BM285" s="2078">
        <f t="shared" si="1009"/>
        <v>0</v>
      </c>
      <c r="BN285" s="2078">
        <f t="shared" si="1010"/>
        <v>0</v>
      </c>
      <c r="BO285" s="2078">
        <f t="shared" si="1011"/>
        <v>0</v>
      </c>
      <c r="BP285" s="2078">
        <f t="shared" si="1012"/>
        <v>0</v>
      </c>
      <c r="BQ285" s="2078">
        <f t="shared" si="1013"/>
        <v>0</v>
      </c>
      <c r="BR285" s="2078">
        <f t="shared" si="1014"/>
        <v>0</v>
      </c>
      <c r="BS285" s="2079">
        <f t="shared" si="898"/>
        <v>1</v>
      </c>
      <c r="BT285" s="2079">
        <f t="shared" si="899"/>
        <v>0</v>
      </c>
      <c r="BU285" s="2079">
        <f t="shared" si="900"/>
        <v>0</v>
      </c>
      <c r="BV285" s="2079">
        <f t="shared" si="901"/>
        <v>0</v>
      </c>
      <c r="BW285" s="2079">
        <f t="shared" si="902"/>
        <v>0</v>
      </c>
      <c r="BX285" s="2079">
        <f t="shared" si="903"/>
        <v>0</v>
      </c>
      <c r="BY285" s="2079">
        <f t="shared" si="904"/>
        <v>0</v>
      </c>
      <c r="BZ285" s="2079">
        <f t="shared" si="905"/>
        <v>0</v>
      </c>
      <c r="CA285" s="2079">
        <f t="shared" si="906"/>
        <v>0</v>
      </c>
      <c r="CB285" s="2079">
        <f t="shared" si="907"/>
        <v>0</v>
      </c>
      <c r="CC285" s="2078">
        <f t="shared" ca="1" si="1015"/>
        <v>0</v>
      </c>
      <c r="CD285" s="2078">
        <f t="shared" ca="1" si="1016"/>
        <v>0</v>
      </c>
      <c r="CE285" s="2078">
        <f t="shared" ca="1" si="1017"/>
        <v>0</v>
      </c>
      <c r="CF285" s="2078">
        <f t="shared" ca="1" si="1018"/>
        <v>0</v>
      </c>
      <c r="CG285" s="2078">
        <f t="shared" ca="1" si="1019"/>
        <v>0</v>
      </c>
      <c r="CH285" s="2078">
        <f t="shared" ca="1" si="1020"/>
        <v>0</v>
      </c>
      <c r="CI285" s="2078">
        <f t="shared" ca="1" si="1021"/>
        <v>0</v>
      </c>
      <c r="CJ285" s="2078">
        <f t="shared" ca="1" si="1022"/>
        <v>0</v>
      </c>
      <c r="CK285" s="2078">
        <f t="shared" ca="1" si="1023"/>
        <v>0</v>
      </c>
      <c r="CL285" s="2078">
        <f t="shared" ca="1" si="1024"/>
        <v>0</v>
      </c>
      <c r="CM285" s="2078">
        <f t="shared" si="968"/>
        <v>1</v>
      </c>
      <c r="CN285" s="2078">
        <f t="shared" si="969"/>
        <v>1</v>
      </c>
      <c r="CO285" s="2078">
        <f t="shared" si="958"/>
        <v>1</v>
      </c>
      <c r="CP285" s="2078">
        <f t="shared" si="1025"/>
        <v>1</v>
      </c>
      <c r="CQ285" s="2078">
        <f t="shared" si="959"/>
        <v>0</v>
      </c>
      <c r="CR285" s="2078">
        <f t="shared" si="879"/>
        <v>0</v>
      </c>
      <c r="CS285" s="2078">
        <f t="shared" si="1026"/>
        <v>0</v>
      </c>
      <c r="CT285" s="2078">
        <f t="shared" si="960"/>
        <v>1</v>
      </c>
      <c r="CU285" s="2078">
        <f t="shared" si="1027"/>
        <v>1</v>
      </c>
      <c r="CV285" s="2078">
        <f t="shared" si="970"/>
        <v>0</v>
      </c>
      <c r="CW285" s="2078">
        <f>IF(OR(AE285&lt;&gt;3,F285="Exclude"),0,IF(ISERROR(MATCH($E285,'4 Sign-off'!$S$123:$X$123,0)),0,1))</f>
        <v>0</v>
      </c>
      <c r="CX285" s="2078">
        <f t="shared" si="982"/>
        <v>0</v>
      </c>
      <c r="CY285" s="2078">
        <f t="shared" si="971"/>
        <v>0</v>
      </c>
      <c r="CZ285" s="2993">
        <f t="shared" ca="1" si="980"/>
        <v>0</v>
      </c>
      <c r="DA285" s="3037">
        <f t="shared" ca="1" si="981"/>
        <v>0</v>
      </c>
      <c r="DB285" s="1664"/>
      <c r="DC285" s="1320"/>
      <c r="DD285" s="589"/>
      <c r="DE285" s="1321"/>
      <c r="DF285" s="107"/>
      <c r="DG285" s="112"/>
      <c r="DH285" s="140"/>
      <c r="DI285" s="22"/>
      <c r="DJ285" s="145"/>
      <c r="DK285" s="137"/>
      <c r="DL285" s="137"/>
      <c r="DM285" s="137"/>
      <c r="DN285" s="137"/>
      <c r="DO285" s="137"/>
      <c r="DP285" s="137"/>
      <c r="DQ285" s="137"/>
      <c r="DR285" s="137"/>
      <c r="DS285" s="137"/>
      <c r="DT285" s="137"/>
      <c r="DU285" s="137"/>
      <c r="DV285" s="137"/>
      <c r="DW285" s="137"/>
      <c r="DX285" s="137"/>
      <c r="DY285" s="137"/>
      <c r="DZ285" s="137"/>
      <c r="EA285" s="137"/>
      <c r="EB285" s="137"/>
      <c r="EC285" s="137"/>
      <c r="ED285" s="137"/>
      <c r="EE285" s="137"/>
      <c r="EF285" s="137"/>
      <c r="EG285" s="137"/>
      <c r="EH285" s="137"/>
      <c r="EI285" s="137"/>
      <c r="EJ285" s="137"/>
      <c r="EK285" s="137"/>
      <c r="EL285" s="137"/>
      <c r="EM285" s="137"/>
      <c r="EN285" s="137"/>
      <c r="EO285" s="137"/>
      <c r="EP285" s="137"/>
      <c r="EQ285" s="137"/>
      <c r="ER285" s="137"/>
      <c r="ES285" s="137"/>
      <c r="ET285" s="137"/>
      <c r="EU285" s="137"/>
      <c r="EV285" s="137"/>
      <c r="EW285" s="137"/>
      <c r="EX285" s="137"/>
      <c r="EY285" s="137"/>
      <c r="EZ285" s="137"/>
      <c r="FA285" s="137"/>
      <c r="FB285" s="137"/>
      <c r="FC285" s="137"/>
      <c r="FD285" s="137"/>
      <c r="FE285" s="137"/>
      <c r="FF285" s="137"/>
      <c r="FG285" s="860"/>
      <c r="FH285" s="863"/>
      <c r="FI285" s="1318"/>
      <c r="FJ285" s="126"/>
      <c r="FK285" s="127"/>
      <c r="FL285" s="128" t="str">
        <f t="shared" si="1028"/>
        <v xml:space="preserve">    </v>
      </c>
      <c r="FM285" s="128"/>
      <c r="FN285" s="1686">
        <f t="shared" si="1029"/>
        <v>0</v>
      </c>
      <c r="FO285" s="46">
        <f t="shared" si="972"/>
        <v>0</v>
      </c>
      <c r="FP285" s="46">
        <f t="shared" si="977"/>
        <v>1</v>
      </c>
      <c r="FQ285" s="75">
        <f t="shared" si="1030"/>
        <v>0</v>
      </c>
      <c r="FR285" s="46">
        <f t="shared" si="1036"/>
        <v>0</v>
      </c>
      <c r="FS285" s="46">
        <f t="shared" si="1037"/>
        <v>1</v>
      </c>
      <c r="FT285" s="75">
        <f t="shared" si="1031"/>
        <v>0</v>
      </c>
      <c r="FU285" s="2603">
        <f t="shared" si="973"/>
        <v>0</v>
      </c>
      <c r="FV285" s="2607">
        <f t="shared" si="974"/>
        <v>0</v>
      </c>
      <c r="FW285" s="2603">
        <f t="shared" si="975"/>
        <v>0</v>
      </c>
      <c r="FX285" s="2631">
        <f t="shared" si="976"/>
        <v>0</v>
      </c>
      <c r="FY285" s="81" t="e">
        <f t="shared" si="1038"/>
        <v>#N/A</v>
      </c>
      <c r="FZ285" s="64" t="e">
        <f t="array" ref="FZ285">MATCH(1,($GT285:$LQ285&gt;0)*$GT$25:$LQ$25,0)</f>
        <v>#N/A</v>
      </c>
      <c r="GA285" s="64" t="e">
        <f t="array" ref="GA285">MATCH(2,1/(GT285:LQ285&gt;0))</f>
        <v>#N/A</v>
      </c>
      <c r="GB285" s="64">
        <f t="shared" si="1032"/>
        <v>-1</v>
      </c>
      <c r="GC285" s="46"/>
      <c r="GD285" s="613"/>
      <c r="GE285" s="613"/>
      <c r="GF285" s="613"/>
      <c r="GG285" s="613"/>
      <c r="GH285" s="613"/>
      <c r="GI285" s="613"/>
      <c r="GJ285" s="613"/>
      <c r="GK285" s="613"/>
      <c r="GL285" s="613"/>
      <c r="GM285" s="613"/>
      <c r="GN285" s="385">
        <f t="shared" si="983"/>
        <v>0</v>
      </c>
      <c r="GO285" s="386">
        <f t="shared" si="984"/>
        <v>0</v>
      </c>
      <c r="GP285" s="2635"/>
      <c r="GQ285" s="175"/>
      <c r="GR285" s="172"/>
      <c r="GS285" s="65"/>
      <c r="GT285" s="167"/>
      <c r="GU285" s="168"/>
      <c r="GV285" s="168"/>
      <c r="GW285" s="168"/>
      <c r="GX285" s="168"/>
      <c r="GY285" s="168"/>
      <c r="GZ285" s="168"/>
      <c r="HA285" s="168"/>
      <c r="HB285" s="168"/>
      <c r="HC285" s="168"/>
      <c r="HD285" s="168"/>
      <c r="HE285" s="168"/>
      <c r="HF285" s="168"/>
      <c r="HG285" s="168"/>
      <c r="HH285" s="168"/>
      <c r="HI285" s="168"/>
      <c r="HJ285" s="168"/>
      <c r="HK285" s="168"/>
      <c r="HL285" s="168"/>
      <c r="HM285" s="168"/>
      <c r="HN285" s="168"/>
      <c r="HO285" s="168"/>
      <c r="HP285" s="168"/>
      <c r="HQ285" s="168"/>
      <c r="HR285" s="168"/>
      <c r="HS285" s="168"/>
      <c r="HT285" s="168"/>
      <c r="HU285" s="168"/>
      <c r="HV285" s="168"/>
      <c r="HW285" s="168"/>
      <c r="HX285" s="168"/>
      <c r="HY285" s="168"/>
      <c r="HZ285" s="168"/>
      <c r="IA285" s="168"/>
      <c r="IB285" s="168"/>
      <c r="IC285" s="168"/>
      <c r="ID285" s="168"/>
      <c r="IE285" s="168"/>
      <c r="IF285" s="168"/>
      <c r="IG285" s="168"/>
      <c r="IH285" s="168"/>
      <c r="II285" s="168"/>
      <c r="IJ285" s="168"/>
      <c r="IK285" s="168"/>
      <c r="IL285" s="168"/>
      <c r="IM285" s="168"/>
      <c r="IN285" s="168"/>
      <c r="IO285" s="168"/>
      <c r="IP285" s="168"/>
      <c r="IQ285" s="168"/>
      <c r="IR285" s="168"/>
      <c r="IS285" s="168"/>
      <c r="IT285" s="168"/>
      <c r="IU285" s="168"/>
      <c r="IV285" s="168"/>
      <c r="IW285" s="168"/>
      <c r="IX285" s="168"/>
      <c r="IY285" s="168"/>
      <c r="IZ285" s="168"/>
      <c r="JA285" s="168"/>
      <c r="JB285" s="168"/>
      <c r="JC285" s="168"/>
      <c r="JD285" s="168"/>
      <c r="JE285" s="168"/>
      <c r="JF285" s="168"/>
      <c r="JG285" s="168"/>
      <c r="JH285" s="168"/>
      <c r="JI285" s="168"/>
      <c r="JJ285" s="168"/>
      <c r="JK285" s="168"/>
      <c r="JL285" s="168"/>
      <c r="JM285" s="168"/>
      <c r="JN285" s="168"/>
      <c r="JO285" s="168"/>
      <c r="JP285" s="168"/>
      <c r="JQ285" s="168"/>
      <c r="JR285" s="168"/>
      <c r="JS285" s="168"/>
      <c r="JT285" s="168"/>
      <c r="JU285" s="168"/>
      <c r="JV285" s="168"/>
      <c r="JW285" s="168"/>
      <c r="JX285" s="168"/>
      <c r="JY285" s="168"/>
      <c r="JZ285" s="168"/>
      <c r="KA285" s="168"/>
      <c r="KB285" s="168"/>
      <c r="KC285" s="168"/>
      <c r="KD285" s="168"/>
      <c r="KE285" s="168"/>
      <c r="KF285" s="168"/>
      <c r="KG285" s="168"/>
      <c r="KH285" s="168"/>
      <c r="KI285" s="168"/>
      <c r="KJ285" s="168"/>
      <c r="KK285" s="168"/>
      <c r="KL285" s="168"/>
      <c r="KM285" s="168"/>
      <c r="KN285" s="168"/>
      <c r="KO285" s="168"/>
      <c r="KP285" s="168"/>
      <c r="KQ285" s="168"/>
      <c r="KR285" s="168"/>
      <c r="KS285" s="168"/>
      <c r="KT285" s="168"/>
      <c r="KU285" s="168"/>
      <c r="KV285" s="168"/>
      <c r="KW285" s="168"/>
      <c r="KX285" s="168"/>
      <c r="KY285" s="168"/>
      <c r="KZ285" s="168"/>
      <c r="LA285" s="168"/>
      <c r="LB285" s="168"/>
      <c r="LC285" s="168"/>
      <c r="LD285" s="168"/>
      <c r="LE285" s="168"/>
      <c r="LF285" s="168"/>
      <c r="LG285" s="168"/>
      <c r="LH285" s="168"/>
      <c r="LI285" s="168"/>
      <c r="LJ285" s="168"/>
      <c r="LK285" s="168"/>
      <c r="LL285" s="168"/>
      <c r="LM285" s="168"/>
      <c r="LN285" s="168"/>
      <c r="LO285" s="168"/>
      <c r="LP285" s="606"/>
      <c r="LQ285" s="609"/>
      <c r="LR285" s="1319"/>
      <c r="LS285" s="1319"/>
    </row>
    <row r="286" spans="1:331" s="2" customFormat="1" ht="15" customHeight="1" x14ac:dyDescent="0.25">
      <c r="A286" s="283"/>
      <c r="B286" s="303"/>
      <c r="C286" s="301"/>
      <c r="D286" s="1287"/>
      <c r="E286" s="2298"/>
      <c r="F286" s="1812"/>
      <c r="G286" s="3342"/>
      <c r="H286" s="66"/>
      <c r="I286" s="1746"/>
      <c r="J286" s="1214"/>
      <c r="K286" s="105"/>
      <c r="L286" s="91"/>
      <c r="M286" s="92"/>
      <c r="N286" s="93"/>
      <c r="O286" s="94"/>
      <c r="P286" s="96"/>
      <c r="Q286" s="95"/>
      <c r="R286" s="993">
        <f t="shared" si="978"/>
        <v>0</v>
      </c>
      <c r="S286" s="23">
        <f t="shared" si="979"/>
        <v>0</v>
      </c>
      <c r="T286" s="24">
        <f t="shared" si="985"/>
        <v>0</v>
      </c>
      <c r="U286" s="24">
        <f t="shared" si="986"/>
        <v>0</v>
      </c>
      <c r="V286" s="24">
        <f t="shared" si="987"/>
        <v>0</v>
      </c>
      <c r="W286" s="24">
        <f t="shared" ca="1" si="988"/>
        <v>0</v>
      </c>
      <c r="X286" s="72">
        <f t="shared" ca="1" si="956"/>
        <v>0</v>
      </c>
      <c r="Y286" s="72">
        <f t="shared" si="989"/>
        <v>0</v>
      </c>
      <c r="Z286" s="24">
        <f t="shared" si="990"/>
        <v>0</v>
      </c>
      <c r="AA286" s="72">
        <f t="shared" si="957"/>
        <v>0</v>
      </c>
      <c r="AB286" s="24">
        <f t="shared" si="967"/>
        <v>0</v>
      </c>
      <c r="AC286" s="24">
        <f t="shared" ca="1" si="991"/>
        <v>0</v>
      </c>
      <c r="AD286" s="24">
        <f t="shared" si="886"/>
        <v>0</v>
      </c>
      <c r="AE286" s="2078">
        <f t="shared" si="1033"/>
        <v>3</v>
      </c>
      <c r="AF286" s="2078">
        <f t="shared" si="1034"/>
        <v>0</v>
      </c>
      <c r="AG286" s="2078">
        <f t="shared" si="1035"/>
        <v>0</v>
      </c>
      <c r="AH286" s="2521">
        <f t="shared" si="887"/>
        <v>1</v>
      </c>
      <c r="AI286" s="25" t="str">
        <f t="shared" si="992"/>
        <v/>
      </c>
      <c r="AJ286" s="2521">
        <f t="shared" ca="1" si="882"/>
        <v>0</v>
      </c>
      <c r="AK286" s="2076">
        <f t="shared" ca="1" si="878"/>
        <v>0</v>
      </c>
      <c r="AL286" s="2078">
        <f>IF(ISBLANK(J286),0,ISERROR(MATCH(J286,'5  Control Accounts'!$FA$29:$FA$96,0))*1)</f>
        <v>0</v>
      </c>
      <c r="AM286" s="2076">
        <f t="shared" si="993"/>
        <v>0</v>
      </c>
      <c r="AN286" s="2078">
        <f t="shared" si="994"/>
        <v>1</v>
      </c>
      <c r="AO286" s="2079">
        <f t="shared" si="888"/>
        <v>1</v>
      </c>
      <c r="AP286" s="2079">
        <f t="shared" si="889"/>
        <v>0</v>
      </c>
      <c r="AQ286" s="2079">
        <f t="shared" si="890"/>
        <v>0</v>
      </c>
      <c r="AR286" s="2079">
        <f t="shared" si="891"/>
        <v>0</v>
      </c>
      <c r="AS286" s="2079">
        <f t="shared" si="892"/>
        <v>0</v>
      </c>
      <c r="AT286" s="2079">
        <f t="shared" si="893"/>
        <v>0</v>
      </c>
      <c r="AU286" s="2079">
        <f t="shared" si="894"/>
        <v>0</v>
      </c>
      <c r="AV286" s="2079">
        <f t="shared" si="895"/>
        <v>0</v>
      </c>
      <c r="AW286" s="2079">
        <f t="shared" si="896"/>
        <v>0</v>
      </c>
      <c r="AX286" s="2079">
        <f t="shared" si="897"/>
        <v>0</v>
      </c>
      <c r="AY286" s="2078">
        <f t="shared" si="995"/>
        <v>0</v>
      </c>
      <c r="AZ286" s="2078">
        <f t="shared" si="996"/>
        <v>0</v>
      </c>
      <c r="BA286" s="2078">
        <f t="shared" si="997"/>
        <v>0</v>
      </c>
      <c r="BB286" s="2078">
        <f t="shared" si="998"/>
        <v>0</v>
      </c>
      <c r="BC286" s="2078">
        <f t="shared" si="999"/>
        <v>0</v>
      </c>
      <c r="BD286" s="2078">
        <f t="shared" si="1000"/>
        <v>0</v>
      </c>
      <c r="BE286" s="2078">
        <f t="shared" si="1001"/>
        <v>0</v>
      </c>
      <c r="BF286" s="2078">
        <f t="shared" si="1002"/>
        <v>0</v>
      </c>
      <c r="BG286" s="2078">
        <f t="shared" si="1003"/>
        <v>0</v>
      </c>
      <c r="BH286" s="2078">
        <f t="shared" si="1004"/>
        <v>0</v>
      </c>
      <c r="BI286" s="2078">
        <f t="shared" si="1005"/>
        <v>0</v>
      </c>
      <c r="BJ286" s="2078">
        <f t="shared" si="1006"/>
        <v>0</v>
      </c>
      <c r="BK286" s="2078">
        <f t="shared" si="1007"/>
        <v>0</v>
      </c>
      <c r="BL286" s="2078">
        <f t="shared" si="1008"/>
        <v>0</v>
      </c>
      <c r="BM286" s="2078">
        <f t="shared" si="1009"/>
        <v>0</v>
      </c>
      <c r="BN286" s="2078">
        <f t="shared" si="1010"/>
        <v>0</v>
      </c>
      <c r="BO286" s="2078">
        <f t="shared" si="1011"/>
        <v>0</v>
      </c>
      <c r="BP286" s="2078">
        <f t="shared" si="1012"/>
        <v>0</v>
      </c>
      <c r="BQ286" s="2078">
        <f t="shared" si="1013"/>
        <v>0</v>
      </c>
      <c r="BR286" s="2078">
        <f t="shared" si="1014"/>
        <v>0</v>
      </c>
      <c r="BS286" s="2079">
        <f t="shared" si="898"/>
        <v>1</v>
      </c>
      <c r="BT286" s="2079">
        <f t="shared" si="899"/>
        <v>0</v>
      </c>
      <c r="BU286" s="2079">
        <f t="shared" si="900"/>
        <v>0</v>
      </c>
      <c r="BV286" s="2079">
        <f t="shared" si="901"/>
        <v>0</v>
      </c>
      <c r="BW286" s="2079">
        <f t="shared" si="902"/>
        <v>0</v>
      </c>
      <c r="BX286" s="2079">
        <f t="shared" si="903"/>
        <v>0</v>
      </c>
      <c r="BY286" s="2079">
        <f t="shared" si="904"/>
        <v>0</v>
      </c>
      <c r="BZ286" s="2079">
        <f t="shared" si="905"/>
        <v>0</v>
      </c>
      <c r="CA286" s="2079">
        <f t="shared" si="906"/>
        <v>0</v>
      </c>
      <c r="CB286" s="2079">
        <f t="shared" si="907"/>
        <v>0</v>
      </c>
      <c r="CC286" s="2078">
        <f t="shared" ca="1" si="1015"/>
        <v>0</v>
      </c>
      <c r="CD286" s="2078">
        <f t="shared" ca="1" si="1016"/>
        <v>0</v>
      </c>
      <c r="CE286" s="2078">
        <f t="shared" ca="1" si="1017"/>
        <v>0</v>
      </c>
      <c r="CF286" s="2078">
        <f t="shared" ca="1" si="1018"/>
        <v>0</v>
      </c>
      <c r="CG286" s="2078">
        <f t="shared" ca="1" si="1019"/>
        <v>0</v>
      </c>
      <c r="CH286" s="2078">
        <f t="shared" ca="1" si="1020"/>
        <v>0</v>
      </c>
      <c r="CI286" s="2078">
        <f t="shared" ca="1" si="1021"/>
        <v>0</v>
      </c>
      <c r="CJ286" s="2078">
        <f t="shared" ca="1" si="1022"/>
        <v>0</v>
      </c>
      <c r="CK286" s="2078">
        <f t="shared" ca="1" si="1023"/>
        <v>0</v>
      </c>
      <c r="CL286" s="2078">
        <f t="shared" ca="1" si="1024"/>
        <v>0</v>
      </c>
      <c r="CM286" s="2078">
        <f t="shared" si="968"/>
        <v>1</v>
      </c>
      <c r="CN286" s="2078">
        <f t="shared" si="969"/>
        <v>1</v>
      </c>
      <c r="CO286" s="2078">
        <f t="shared" si="958"/>
        <v>1</v>
      </c>
      <c r="CP286" s="2078">
        <f t="shared" si="1025"/>
        <v>1</v>
      </c>
      <c r="CQ286" s="2078">
        <f t="shared" si="959"/>
        <v>0</v>
      </c>
      <c r="CR286" s="2078">
        <f t="shared" si="879"/>
        <v>0</v>
      </c>
      <c r="CS286" s="2078">
        <f t="shared" si="1026"/>
        <v>0</v>
      </c>
      <c r="CT286" s="2078">
        <f t="shared" si="960"/>
        <v>1</v>
      </c>
      <c r="CU286" s="2078">
        <f t="shared" si="1027"/>
        <v>1</v>
      </c>
      <c r="CV286" s="2078">
        <f t="shared" si="970"/>
        <v>0</v>
      </c>
      <c r="CW286" s="2078">
        <f>IF(OR(AE286&lt;&gt;3,F286="Exclude"),0,IF(ISERROR(MATCH($E286,'4 Sign-off'!$S$123:$X$123,0)),0,1))</f>
        <v>0</v>
      </c>
      <c r="CX286" s="2078">
        <f t="shared" si="982"/>
        <v>0</v>
      </c>
      <c r="CY286" s="2078">
        <f t="shared" si="971"/>
        <v>0</v>
      </c>
      <c r="CZ286" s="2993">
        <f t="shared" ca="1" si="980"/>
        <v>0</v>
      </c>
      <c r="DA286" s="3037">
        <f t="shared" ca="1" si="981"/>
        <v>0</v>
      </c>
      <c r="DB286" s="1664"/>
      <c r="DC286" s="1320"/>
      <c r="DD286" s="589"/>
      <c r="DE286" s="1321"/>
      <c r="DF286" s="107"/>
      <c r="DG286" s="112"/>
      <c r="DH286" s="140"/>
      <c r="DI286" s="22"/>
      <c r="DJ286" s="145"/>
      <c r="DK286" s="137"/>
      <c r="DL286" s="137"/>
      <c r="DM286" s="137"/>
      <c r="DN286" s="137"/>
      <c r="DO286" s="137"/>
      <c r="DP286" s="137"/>
      <c r="DQ286" s="137"/>
      <c r="DR286" s="137"/>
      <c r="DS286" s="137"/>
      <c r="DT286" s="137"/>
      <c r="DU286" s="137"/>
      <c r="DV286" s="137"/>
      <c r="DW286" s="137"/>
      <c r="DX286" s="137"/>
      <c r="DY286" s="137"/>
      <c r="DZ286" s="137"/>
      <c r="EA286" s="137"/>
      <c r="EB286" s="137"/>
      <c r="EC286" s="137"/>
      <c r="ED286" s="137"/>
      <c r="EE286" s="137"/>
      <c r="EF286" s="137"/>
      <c r="EG286" s="137"/>
      <c r="EH286" s="137"/>
      <c r="EI286" s="137"/>
      <c r="EJ286" s="137"/>
      <c r="EK286" s="137"/>
      <c r="EL286" s="137"/>
      <c r="EM286" s="137"/>
      <c r="EN286" s="137"/>
      <c r="EO286" s="137"/>
      <c r="EP286" s="137"/>
      <c r="EQ286" s="137"/>
      <c r="ER286" s="137"/>
      <c r="ES286" s="137"/>
      <c r="ET286" s="137"/>
      <c r="EU286" s="137"/>
      <c r="EV286" s="137"/>
      <c r="EW286" s="137"/>
      <c r="EX286" s="137"/>
      <c r="EY286" s="137"/>
      <c r="EZ286" s="137"/>
      <c r="FA286" s="137"/>
      <c r="FB286" s="137"/>
      <c r="FC286" s="137"/>
      <c r="FD286" s="137"/>
      <c r="FE286" s="137"/>
      <c r="FF286" s="137"/>
      <c r="FG286" s="860"/>
      <c r="FH286" s="863"/>
      <c r="FI286" s="1318"/>
      <c r="FJ286" s="126"/>
      <c r="FK286" s="127"/>
      <c r="FL286" s="128" t="str">
        <f t="shared" si="1028"/>
        <v xml:space="preserve">    </v>
      </c>
      <c r="FM286" s="128"/>
      <c r="FN286" s="1686">
        <f t="shared" si="1029"/>
        <v>0</v>
      </c>
      <c r="FO286" s="46">
        <f t="shared" si="972"/>
        <v>0</v>
      </c>
      <c r="FP286" s="46">
        <f t="shared" si="977"/>
        <v>1</v>
      </c>
      <c r="FQ286" s="75">
        <f t="shared" si="1030"/>
        <v>0</v>
      </c>
      <c r="FR286" s="46">
        <f t="shared" si="1036"/>
        <v>0</v>
      </c>
      <c r="FS286" s="46">
        <f t="shared" si="1037"/>
        <v>1</v>
      </c>
      <c r="FT286" s="75">
        <f t="shared" si="1031"/>
        <v>0</v>
      </c>
      <c r="FU286" s="2603">
        <f t="shared" si="973"/>
        <v>0</v>
      </c>
      <c r="FV286" s="2607">
        <f t="shared" si="974"/>
        <v>0</v>
      </c>
      <c r="FW286" s="2603">
        <f t="shared" si="975"/>
        <v>0</v>
      </c>
      <c r="FX286" s="2631">
        <f t="shared" si="976"/>
        <v>0</v>
      </c>
      <c r="FY286" s="81" t="e">
        <f t="shared" si="1038"/>
        <v>#N/A</v>
      </c>
      <c r="FZ286" s="64" t="e">
        <f t="array" ref="FZ286">MATCH(1,($GT286:$LQ286&gt;0)*$GT$25:$LQ$25,0)</f>
        <v>#N/A</v>
      </c>
      <c r="GA286" s="64" t="e">
        <f t="array" ref="GA286">MATCH(2,1/(GT286:LQ286&gt;0))</f>
        <v>#N/A</v>
      </c>
      <c r="GB286" s="64">
        <f t="shared" si="1032"/>
        <v>-1</v>
      </c>
      <c r="GC286" s="46"/>
      <c r="GD286" s="613"/>
      <c r="GE286" s="613"/>
      <c r="GF286" s="613"/>
      <c r="GG286" s="613"/>
      <c r="GH286" s="613"/>
      <c r="GI286" s="613"/>
      <c r="GJ286" s="613"/>
      <c r="GK286" s="613"/>
      <c r="GL286" s="613"/>
      <c r="GM286" s="613"/>
      <c r="GN286" s="385">
        <f t="shared" si="983"/>
        <v>0</v>
      </c>
      <c r="GO286" s="386">
        <f t="shared" si="984"/>
        <v>0</v>
      </c>
      <c r="GP286" s="2635"/>
      <c r="GQ286" s="175"/>
      <c r="GR286" s="172"/>
      <c r="GS286" s="65"/>
      <c r="GT286" s="167"/>
      <c r="GU286" s="168"/>
      <c r="GV286" s="168"/>
      <c r="GW286" s="168"/>
      <c r="GX286" s="168"/>
      <c r="GY286" s="168"/>
      <c r="GZ286" s="168"/>
      <c r="HA286" s="168"/>
      <c r="HB286" s="168"/>
      <c r="HC286" s="168"/>
      <c r="HD286" s="168"/>
      <c r="HE286" s="168"/>
      <c r="HF286" s="168"/>
      <c r="HG286" s="168"/>
      <c r="HH286" s="168"/>
      <c r="HI286" s="168"/>
      <c r="HJ286" s="168"/>
      <c r="HK286" s="168"/>
      <c r="HL286" s="168"/>
      <c r="HM286" s="168"/>
      <c r="HN286" s="168"/>
      <c r="HO286" s="168"/>
      <c r="HP286" s="168"/>
      <c r="HQ286" s="168"/>
      <c r="HR286" s="168"/>
      <c r="HS286" s="168"/>
      <c r="HT286" s="168"/>
      <c r="HU286" s="168"/>
      <c r="HV286" s="168"/>
      <c r="HW286" s="168"/>
      <c r="HX286" s="168"/>
      <c r="HY286" s="168"/>
      <c r="HZ286" s="168"/>
      <c r="IA286" s="168"/>
      <c r="IB286" s="168"/>
      <c r="IC286" s="168"/>
      <c r="ID286" s="168"/>
      <c r="IE286" s="168"/>
      <c r="IF286" s="168"/>
      <c r="IG286" s="168"/>
      <c r="IH286" s="168"/>
      <c r="II286" s="168"/>
      <c r="IJ286" s="168"/>
      <c r="IK286" s="168"/>
      <c r="IL286" s="168"/>
      <c r="IM286" s="168"/>
      <c r="IN286" s="168"/>
      <c r="IO286" s="168"/>
      <c r="IP286" s="168"/>
      <c r="IQ286" s="168"/>
      <c r="IR286" s="168"/>
      <c r="IS286" s="168"/>
      <c r="IT286" s="168"/>
      <c r="IU286" s="168"/>
      <c r="IV286" s="168"/>
      <c r="IW286" s="168"/>
      <c r="IX286" s="168"/>
      <c r="IY286" s="168"/>
      <c r="IZ286" s="168"/>
      <c r="JA286" s="168"/>
      <c r="JB286" s="168"/>
      <c r="JC286" s="168"/>
      <c r="JD286" s="168"/>
      <c r="JE286" s="168"/>
      <c r="JF286" s="168"/>
      <c r="JG286" s="168"/>
      <c r="JH286" s="168"/>
      <c r="JI286" s="168"/>
      <c r="JJ286" s="168"/>
      <c r="JK286" s="168"/>
      <c r="JL286" s="168"/>
      <c r="JM286" s="168"/>
      <c r="JN286" s="168"/>
      <c r="JO286" s="168"/>
      <c r="JP286" s="168"/>
      <c r="JQ286" s="168"/>
      <c r="JR286" s="168"/>
      <c r="JS286" s="168"/>
      <c r="JT286" s="168"/>
      <c r="JU286" s="168"/>
      <c r="JV286" s="168"/>
      <c r="JW286" s="168"/>
      <c r="JX286" s="168"/>
      <c r="JY286" s="168"/>
      <c r="JZ286" s="168"/>
      <c r="KA286" s="168"/>
      <c r="KB286" s="168"/>
      <c r="KC286" s="168"/>
      <c r="KD286" s="168"/>
      <c r="KE286" s="168"/>
      <c r="KF286" s="168"/>
      <c r="KG286" s="168"/>
      <c r="KH286" s="168"/>
      <c r="KI286" s="168"/>
      <c r="KJ286" s="168"/>
      <c r="KK286" s="168"/>
      <c r="KL286" s="168"/>
      <c r="KM286" s="168"/>
      <c r="KN286" s="168"/>
      <c r="KO286" s="168"/>
      <c r="KP286" s="168"/>
      <c r="KQ286" s="168"/>
      <c r="KR286" s="168"/>
      <c r="KS286" s="168"/>
      <c r="KT286" s="168"/>
      <c r="KU286" s="168"/>
      <c r="KV286" s="168"/>
      <c r="KW286" s="168"/>
      <c r="KX286" s="168"/>
      <c r="KY286" s="168"/>
      <c r="KZ286" s="168"/>
      <c r="LA286" s="168"/>
      <c r="LB286" s="168"/>
      <c r="LC286" s="168"/>
      <c r="LD286" s="168"/>
      <c r="LE286" s="168"/>
      <c r="LF286" s="168"/>
      <c r="LG286" s="168"/>
      <c r="LH286" s="168"/>
      <c r="LI286" s="168"/>
      <c r="LJ286" s="168"/>
      <c r="LK286" s="168"/>
      <c r="LL286" s="168"/>
      <c r="LM286" s="168"/>
      <c r="LN286" s="168"/>
      <c r="LO286" s="168"/>
      <c r="LP286" s="606"/>
      <c r="LQ286" s="609"/>
      <c r="LR286" s="1319"/>
      <c r="LS286" s="1319"/>
    </row>
    <row r="287" spans="1:331" s="2" customFormat="1" ht="15" customHeight="1" x14ac:dyDescent="0.25">
      <c r="A287" s="283"/>
      <c r="B287" s="303"/>
      <c r="C287" s="301"/>
      <c r="D287" s="1287"/>
      <c r="E287" s="2298"/>
      <c r="F287" s="1812"/>
      <c r="G287" s="3342"/>
      <c r="H287" s="66"/>
      <c r="I287" s="1746"/>
      <c r="J287" s="1214"/>
      <c r="K287" s="105"/>
      <c r="L287" s="91"/>
      <c r="M287" s="92"/>
      <c r="N287" s="93"/>
      <c r="O287" s="94"/>
      <c r="P287" s="96"/>
      <c r="Q287" s="95"/>
      <c r="R287" s="993">
        <f t="shared" si="978"/>
        <v>0</v>
      </c>
      <c r="S287" s="23">
        <f t="shared" si="979"/>
        <v>0</v>
      </c>
      <c r="T287" s="24">
        <f t="shared" si="985"/>
        <v>0</v>
      </c>
      <c r="U287" s="24">
        <f t="shared" si="986"/>
        <v>0</v>
      </c>
      <c r="V287" s="24">
        <f t="shared" si="987"/>
        <v>0</v>
      </c>
      <c r="W287" s="24">
        <f t="shared" ca="1" si="988"/>
        <v>0</v>
      </c>
      <c r="X287" s="72">
        <f t="shared" ca="1" si="956"/>
        <v>0</v>
      </c>
      <c r="Y287" s="72">
        <f t="shared" si="989"/>
        <v>0</v>
      </c>
      <c r="Z287" s="24">
        <f t="shared" si="990"/>
        <v>0</v>
      </c>
      <c r="AA287" s="72">
        <f t="shared" si="957"/>
        <v>0</v>
      </c>
      <c r="AB287" s="24">
        <f t="shared" si="967"/>
        <v>0</v>
      </c>
      <c r="AC287" s="24">
        <f t="shared" ca="1" si="991"/>
        <v>0</v>
      </c>
      <c r="AD287" s="24">
        <f t="shared" si="886"/>
        <v>0</v>
      </c>
      <c r="AE287" s="2078">
        <f t="shared" si="1033"/>
        <v>3</v>
      </c>
      <c r="AF287" s="2078">
        <f t="shared" si="1034"/>
        <v>0</v>
      </c>
      <c r="AG287" s="2078">
        <f t="shared" si="1035"/>
        <v>0</v>
      </c>
      <c r="AH287" s="2521">
        <f t="shared" si="887"/>
        <v>1</v>
      </c>
      <c r="AI287" s="25" t="str">
        <f t="shared" si="992"/>
        <v/>
      </c>
      <c r="AJ287" s="2521">
        <f t="shared" ca="1" si="882"/>
        <v>0</v>
      </c>
      <c r="AK287" s="2076">
        <f t="shared" ca="1" si="878"/>
        <v>0</v>
      </c>
      <c r="AL287" s="2078">
        <f>IF(ISBLANK(J287),0,ISERROR(MATCH(J287,'5  Control Accounts'!$FA$29:$FA$96,0))*1)</f>
        <v>0</v>
      </c>
      <c r="AM287" s="2076">
        <f t="shared" si="993"/>
        <v>0</v>
      </c>
      <c r="AN287" s="2078">
        <f t="shared" si="994"/>
        <v>1</v>
      </c>
      <c r="AO287" s="2079">
        <f t="shared" si="888"/>
        <v>1</v>
      </c>
      <c r="AP287" s="2079">
        <f t="shared" si="889"/>
        <v>0</v>
      </c>
      <c r="AQ287" s="2079">
        <f t="shared" si="890"/>
        <v>0</v>
      </c>
      <c r="AR287" s="2079">
        <f t="shared" si="891"/>
        <v>0</v>
      </c>
      <c r="AS287" s="2079">
        <f t="shared" si="892"/>
        <v>0</v>
      </c>
      <c r="AT287" s="2079">
        <f t="shared" si="893"/>
        <v>0</v>
      </c>
      <c r="AU287" s="2079">
        <f t="shared" si="894"/>
        <v>0</v>
      </c>
      <c r="AV287" s="2079">
        <f t="shared" si="895"/>
        <v>0</v>
      </c>
      <c r="AW287" s="2079">
        <f t="shared" si="896"/>
        <v>0</v>
      </c>
      <c r="AX287" s="2079">
        <f t="shared" si="897"/>
        <v>0</v>
      </c>
      <c r="AY287" s="2078">
        <f t="shared" si="995"/>
        <v>0</v>
      </c>
      <c r="AZ287" s="2078">
        <f t="shared" si="996"/>
        <v>0</v>
      </c>
      <c r="BA287" s="2078">
        <f t="shared" si="997"/>
        <v>0</v>
      </c>
      <c r="BB287" s="2078">
        <f t="shared" si="998"/>
        <v>0</v>
      </c>
      <c r="BC287" s="2078">
        <f t="shared" si="999"/>
        <v>0</v>
      </c>
      <c r="BD287" s="2078">
        <f t="shared" si="1000"/>
        <v>0</v>
      </c>
      <c r="BE287" s="2078">
        <f t="shared" si="1001"/>
        <v>0</v>
      </c>
      <c r="BF287" s="2078">
        <f t="shared" si="1002"/>
        <v>0</v>
      </c>
      <c r="BG287" s="2078">
        <f t="shared" si="1003"/>
        <v>0</v>
      </c>
      <c r="BH287" s="2078">
        <f t="shared" si="1004"/>
        <v>0</v>
      </c>
      <c r="BI287" s="2078">
        <f t="shared" si="1005"/>
        <v>0</v>
      </c>
      <c r="BJ287" s="2078">
        <f t="shared" si="1006"/>
        <v>0</v>
      </c>
      <c r="BK287" s="2078">
        <f t="shared" si="1007"/>
        <v>0</v>
      </c>
      <c r="BL287" s="2078">
        <f t="shared" si="1008"/>
        <v>0</v>
      </c>
      <c r="BM287" s="2078">
        <f t="shared" si="1009"/>
        <v>0</v>
      </c>
      <c r="BN287" s="2078">
        <f t="shared" si="1010"/>
        <v>0</v>
      </c>
      <c r="BO287" s="2078">
        <f t="shared" si="1011"/>
        <v>0</v>
      </c>
      <c r="BP287" s="2078">
        <f t="shared" si="1012"/>
        <v>0</v>
      </c>
      <c r="BQ287" s="2078">
        <f t="shared" si="1013"/>
        <v>0</v>
      </c>
      <c r="BR287" s="2078">
        <f t="shared" si="1014"/>
        <v>0</v>
      </c>
      <c r="BS287" s="2079">
        <f t="shared" si="898"/>
        <v>1</v>
      </c>
      <c r="BT287" s="2079">
        <f t="shared" si="899"/>
        <v>0</v>
      </c>
      <c r="BU287" s="2079">
        <f t="shared" si="900"/>
        <v>0</v>
      </c>
      <c r="BV287" s="2079">
        <f t="shared" si="901"/>
        <v>0</v>
      </c>
      <c r="BW287" s="2079">
        <f t="shared" si="902"/>
        <v>0</v>
      </c>
      <c r="BX287" s="2079">
        <f t="shared" si="903"/>
        <v>0</v>
      </c>
      <c r="BY287" s="2079">
        <f t="shared" si="904"/>
        <v>0</v>
      </c>
      <c r="BZ287" s="2079">
        <f t="shared" si="905"/>
        <v>0</v>
      </c>
      <c r="CA287" s="2079">
        <f t="shared" si="906"/>
        <v>0</v>
      </c>
      <c r="CB287" s="2079">
        <f t="shared" si="907"/>
        <v>0</v>
      </c>
      <c r="CC287" s="2078">
        <f t="shared" ca="1" si="1015"/>
        <v>0</v>
      </c>
      <c r="CD287" s="2078">
        <f t="shared" ca="1" si="1016"/>
        <v>0</v>
      </c>
      <c r="CE287" s="2078">
        <f t="shared" ca="1" si="1017"/>
        <v>0</v>
      </c>
      <c r="CF287" s="2078">
        <f t="shared" ca="1" si="1018"/>
        <v>0</v>
      </c>
      <c r="CG287" s="2078">
        <f t="shared" ca="1" si="1019"/>
        <v>0</v>
      </c>
      <c r="CH287" s="2078">
        <f t="shared" ca="1" si="1020"/>
        <v>0</v>
      </c>
      <c r="CI287" s="2078">
        <f t="shared" ca="1" si="1021"/>
        <v>0</v>
      </c>
      <c r="CJ287" s="2078">
        <f t="shared" ca="1" si="1022"/>
        <v>0</v>
      </c>
      <c r="CK287" s="2078">
        <f t="shared" ca="1" si="1023"/>
        <v>0</v>
      </c>
      <c r="CL287" s="2078">
        <f t="shared" ca="1" si="1024"/>
        <v>0</v>
      </c>
      <c r="CM287" s="2078">
        <f t="shared" si="968"/>
        <v>1</v>
      </c>
      <c r="CN287" s="2078">
        <f t="shared" si="969"/>
        <v>1</v>
      </c>
      <c r="CO287" s="2078">
        <f t="shared" si="958"/>
        <v>1</v>
      </c>
      <c r="CP287" s="2078">
        <f t="shared" si="1025"/>
        <v>1</v>
      </c>
      <c r="CQ287" s="2078">
        <f t="shared" si="959"/>
        <v>0</v>
      </c>
      <c r="CR287" s="2078">
        <f t="shared" si="879"/>
        <v>0</v>
      </c>
      <c r="CS287" s="2078">
        <f t="shared" si="1026"/>
        <v>0</v>
      </c>
      <c r="CT287" s="2078">
        <f t="shared" si="960"/>
        <v>1</v>
      </c>
      <c r="CU287" s="2078">
        <f t="shared" si="1027"/>
        <v>1</v>
      </c>
      <c r="CV287" s="2078">
        <f t="shared" si="970"/>
        <v>0</v>
      </c>
      <c r="CW287" s="2078">
        <f>IF(OR(AE287&lt;&gt;3,F287="Exclude"),0,IF(ISERROR(MATCH($E287,'4 Sign-off'!$S$123:$X$123,0)),0,1))</f>
        <v>0</v>
      </c>
      <c r="CX287" s="2078">
        <f t="shared" si="982"/>
        <v>0</v>
      </c>
      <c r="CY287" s="2078">
        <f t="shared" si="971"/>
        <v>0</v>
      </c>
      <c r="CZ287" s="2993">
        <f t="shared" ca="1" si="980"/>
        <v>0</v>
      </c>
      <c r="DA287" s="3037">
        <f t="shared" ca="1" si="981"/>
        <v>0</v>
      </c>
      <c r="DB287" s="1664"/>
      <c r="DC287" s="1320"/>
      <c r="DD287" s="589"/>
      <c r="DE287" s="1321"/>
      <c r="DF287" s="107"/>
      <c r="DG287" s="112"/>
      <c r="DH287" s="140"/>
      <c r="DI287" s="22"/>
      <c r="DJ287" s="145"/>
      <c r="DK287" s="137"/>
      <c r="DL287" s="137"/>
      <c r="DM287" s="137"/>
      <c r="DN287" s="137"/>
      <c r="DO287" s="137"/>
      <c r="DP287" s="137"/>
      <c r="DQ287" s="137"/>
      <c r="DR287" s="137"/>
      <c r="DS287" s="137"/>
      <c r="DT287" s="137"/>
      <c r="DU287" s="137"/>
      <c r="DV287" s="137"/>
      <c r="DW287" s="137"/>
      <c r="DX287" s="137"/>
      <c r="DY287" s="137"/>
      <c r="DZ287" s="137"/>
      <c r="EA287" s="137"/>
      <c r="EB287" s="137"/>
      <c r="EC287" s="137"/>
      <c r="ED287" s="137"/>
      <c r="EE287" s="137"/>
      <c r="EF287" s="137"/>
      <c r="EG287" s="137"/>
      <c r="EH287" s="137"/>
      <c r="EI287" s="137"/>
      <c r="EJ287" s="137"/>
      <c r="EK287" s="137"/>
      <c r="EL287" s="137"/>
      <c r="EM287" s="137"/>
      <c r="EN287" s="137"/>
      <c r="EO287" s="137"/>
      <c r="EP287" s="137"/>
      <c r="EQ287" s="137"/>
      <c r="ER287" s="137"/>
      <c r="ES287" s="137"/>
      <c r="ET287" s="137"/>
      <c r="EU287" s="137"/>
      <c r="EV287" s="137"/>
      <c r="EW287" s="137"/>
      <c r="EX287" s="137"/>
      <c r="EY287" s="137"/>
      <c r="EZ287" s="137"/>
      <c r="FA287" s="137"/>
      <c r="FB287" s="137"/>
      <c r="FC287" s="137"/>
      <c r="FD287" s="137"/>
      <c r="FE287" s="137"/>
      <c r="FF287" s="137"/>
      <c r="FG287" s="860"/>
      <c r="FH287" s="863"/>
      <c r="FI287" s="1318"/>
      <c r="FJ287" s="126"/>
      <c r="FK287" s="127"/>
      <c r="FL287" s="128" t="str">
        <f t="shared" si="1028"/>
        <v xml:space="preserve">    </v>
      </c>
      <c r="FM287" s="128"/>
      <c r="FN287" s="1686">
        <f t="shared" si="1029"/>
        <v>0</v>
      </c>
      <c r="FO287" s="46">
        <f t="shared" si="972"/>
        <v>0</v>
      </c>
      <c r="FP287" s="46">
        <f t="shared" si="977"/>
        <v>1</v>
      </c>
      <c r="FQ287" s="75">
        <f t="shared" si="1030"/>
        <v>0</v>
      </c>
      <c r="FR287" s="46">
        <f t="shared" si="1036"/>
        <v>0</v>
      </c>
      <c r="FS287" s="46">
        <f t="shared" si="1037"/>
        <v>1</v>
      </c>
      <c r="FT287" s="75">
        <f t="shared" si="1031"/>
        <v>0</v>
      </c>
      <c r="FU287" s="2603">
        <f t="shared" si="973"/>
        <v>0</v>
      </c>
      <c r="FV287" s="2607">
        <f t="shared" si="974"/>
        <v>0</v>
      </c>
      <c r="FW287" s="2603">
        <f t="shared" si="975"/>
        <v>0</v>
      </c>
      <c r="FX287" s="2631">
        <f t="shared" si="976"/>
        <v>0</v>
      </c>
      <c r="FY287" s="81" t="e">
        <f t="shared" si="1038"/>
        <v>#N/A</v>
      </c>
      <c r="FZ287" s="64" t="e">
        <f t="array" ref="FZ287">MATCH(1,($GT287:$LQ287&gt;0)*$GT$25:$LQ$25,0)</f>
        <v>#N/A</v>
      </c>
      <c r="GA287" s="64" t="e">
        <f t="array" ref="GA287">MATCH(2,1/(GT287:LQ287&gt;0))</f>
        <v>#N/A</v>
      </c>
      <c r="GB287" s="64">
        <f t="shared" si="1032"/>
        <v>-1</v>
      </c>
      <c r="GC287" s="46"/>
      <c r="GD287" s="613"/>
      <c r="GE287" s="613"/>
      <c r="GF287" s="613"/>
      <c r="GG287" s="613"/>
      <c r="GH287" s="613"/>
      <c r="GI287" s="613"/>
      <c r="GJ287" s="613"/>
      <c r="GK287" s="613"/>
      <c r="GL287" s="613"/>
      <c r="GM287" s="613"/>
      <c r="GN287" s="385">
        <f t="shared" si="983"/>
        <v>0</v>
      </c>
      <c r="GO287" s="386">
        <f t="shared" si="984"/>
        <v>0</v>
      </c>
      <c r="GP287" s="2635"/>
      <c r="GQ287" s="175"/>
      <c r="GR287" s="172"/>
      <c r="GS287" s="65"/>
      <c r="GT287" s="167"/>
      <c r="GU287" s="168"/>
      <c r="GV287" s="168"/>
      <c r="GW287" s="168"/>
      <c r="GX287" s="168"/>
      <c r="GY287" s="168"/>
      <c r="GZ287" s="168"/>
      <c r="HA287" s="168"/>
      <c r="HB287" s="168"/>
      <c r="HC287" s="168"/>
      <c r="HD287" s="168"/>
      <c r="HE287" s="168"/>
      <c r="HF287" s="168"/>
      <c r="HG287" s="168"/>
      <c r="HH287" s="168"/>
      <c r="HI287" s="168"/>
      <c r="HJ287" s="168"/>
      <c r="HK287" s="168"/>
      <c r="HL287" s="168"/>
      <c r="HM287" s="168"/>
      <c r="HN287" s="168"/>
      <c r="HO287" s="168"/>
      <c r="HP287" s="168"/>
      <c r="HQ287" s="168"/>
      <c r="HR287" s="168"/>
      <c r="HS287" s="168"/>
      <c r="HT287" s="168"/>
      <c r="HU287" s="168"/>
      <c r="HV287" s="168"/>
      <c r="HW287" s="168"/>
      <c r="HX287" s="168"/>
      <c r="HY287" s="168"/>
      <c r="HZ287" s="168"/>
      <c r="IA287" s="168"/>
      <c r="IB287" s="168"/>
      <c r="IC287" s="168"/>
      <c r="ID287" s="168"/>
      <c r="IE287" s="168"/>
      <c r="IF287" s="168"/>
      <c r="IG287" s="168"/>
      <c r="IH287" s="168"/>
      <c r="II287" s="168"/>
      <c r="IJ287" s="168"/>
      <c r="IK287" s="168"/>
      <c r="IL287" s="168"/>
      <c r="IM287" s="168"/>
      <c r="IN287" s="168"/>
      <c r="IO287" s="168"/>
      <c r="IP287" s="168"/>
      <c r="IQ287" s="168"/>
      <c r="IR287" s="168"/>
      <c r="IS287" s="168"/>
      <c r="IT287" s="168"/>
      <c r="IU287" s="168"/>
      <c r="IV287" s="168"/>
      <c r="IW287" s="168"/>
      <c r="IX287" s="168"/>
      <c r="IY287" s="168"/>
      <c r="IZ287" s="168"/>
      <c r="JA287" s="168"/>
      <c r="JB287" s="168"/>
      <c r="JC287" s="168"/>
      <c r="JD287" s="168"/>
      <c r="JE287" s="168"/>
      <c r="JF287" s="168"/>
      <c r="JG287" s="168"/>
      <c r="JH287" s="168"/>
      <c r="JI287" s="168"/>
      <c r="JJ287" s="168"/>
      <c r="JK287" s="168"/>
      <c r="JL287" s="168"/>
      <c r="JM287" s="168"/>
      <c r="JN287" s="168"/>
      <c r="JO287" s="168"/>
      <c r="JP287" s="168"/>
      <c r="JQ287" s="168"/>
      <c r="JR287" s="168"/>
      <c r="JS287" s="168"/>
      <c r="JT287" s="168"/>
      <c r="JU287" s="168"/>
      <c r="JV287" s="168"/>
      <c r="JW287" s="168"/>
      <c r="JX287" s="168"/>
      <c r="JY287" s="168"/>
      <c r="JZ287" s="168"/>
      <c r="KA287" s="168"/>
      <c r="KB287" s="168"/>
      <c r="KC287" s="168"/>
      <c r="KD287" s="168"/>
      <c r="KE287" s="168"/>
      <c r="KF287" s="168"/>
      <c r="KG287" s="168"/>
      <c r="KH287" s="168"/>
      <c r="KI287" s="168"/>
      <c r="KJ287" s="168"/>
      <c r="KK287" s="168"/>
      <c r="KL287" s="168"/>
      <c r="KM287" s="168"/>
      <c r="KN287" s="168"/>
      <c r="KO287" s="168"/>
      <c r="KP287" s="168"/>
      <c r="KQ287" s="168"/>
      <c r="KR287" s="168"/>
      <c r="KS287" s="168"/>
      <c r="KT287" s="168"/>
      <c r="KU287" s="168"/>
      <c r="KV287" s="168"/>
      <c r="KW287" s="168"/>
      <c r="KX287" s="168"/>
      <c r="KY287" s="168"/>
      <c r="KZ287" s="168"/>
      <c r="LA287" s="168"/>
      <c r="LB287" s="168"/>
      <c r="LC287" s="168"/>
      <c r="LD287" s="168"/>
      <c r="LE287" s="168"/>
      <c r="LF287" s="168"/>
      <c r="LG287" s="168"/>
      <c r="LH287" s="168"/>
      <c r="LI287" s="168"/>
      <c r="LJ287" s="168"/>
      <c r="LK287" s="168"/>
      <c r="LL287" s="168"/>
      <c r="LM287" s="168"/>
      <c r="LN287" s="168"/>
      <c r="LO287" s="168"/>
      <c r="LP287" s="606"/>
      <c r="LQ287" s="609"/>
      <c r="LR287" s="1319"/>
      <c r="LS287" s="1319"/>
    </row>
    <row r="288" spans="1:331" s="2" customFormat="1" ht="15" customHeight="1" x14ac:dyDescent="0.25">
      <c r="A288" s="283"/>
      <c r="B288" s="303"/>
      <c r="C288" s="301"/>
      <c r="D288" s="1287"/>
      <c r="E288" s="2298"/>
      <c r="F288" s="1812"/>
      <c r="G288" s="3342"/>
      <c r="H288" s="66"/>
      <c r="I288" s="1746"/>
      <c r="J288" s="1214"/>
      <c r="K288" s="105"/>
      <c r="L288" s="91"/>
      <c r="M288" s="92"/>
      <c r="N288" s="93"/>
      <c r="O288" s="94"/>
      <c r="P288" s="96"/>
      <c r="Q288" s="95"/>
      <c r="R288" s="993">
        <f t="shared" si="978"/>
        <v>0</v>
      </c>
      <c r="S288" s="23">
        <f t="shared" si="979"/>
        <v>0</v>
      </c>
      <c r="T288" s="24">
        <f t="shared" si="985"/>
        <v>0</v>
      </c>
      <c r="U288" s="24">
        <f t="shared" si="986"/>
        <v>0</v>
      </c>
      <c r="V288" s="24">
        <f t="shared" si="987"/>
        <v>0</v>
      </c>
      <c r="W288" s="24">
        <f t="shared" ca="1" si="988"/>
        <v>0</v>
      </c>
      <c r="X288" s="72">
        <f t="shared" ca="1" si="956"/>
        <v>0</v>
      </c>
      <c r="Y288" s="72">
        <f t="shared" si="989"/>
        <v>0</v>
      </c>
      <c r="Z288" s="24">
        <f t="shared" si="990"/>
        <v>0</v>
      </c>
      <c r="AA288" s="72">
        <f t="shared" si="957"/>
        <v>0</v>
      </c>
      <c r="AB288" s="24">
        <f t="shared" si="967"/>
        <v>0</v>
      </c>
      <c r="AC288" s="24">
        <f t="shared" ca="1" si="991"/>
        <v>0</v>
      </c>
      <c r="AD288" s="24">
        <f t="shared" si="886"/>
        <v>0</v>
      </c>
      <c r="AE288" s="2078">
        <f t="shared" si="1033"/>
        <v>3</v>
      </c>
      <c r="AF288" s="2078">
        <f t="shared" si="1034"/>
        <v>0</v>
      </c>
      <c r="AG288" s="2078">
        <f t="shared" si="1035"/>
        <v>0</v>
      </c>
      <c r="AH288" s="2521">
        <f t="shared" si="887"/>
        <v>1</v>
      </c>
      <c r="AI288" s="25" t="str">
        <f t="shared" si="992"/>
        <v/>
      </c>
      <c r="AJ288" s="2521">
        <f t="shared" ca="1" si="882"/>
        <v>0</v>
      </c>
      <c r="AK288" s="2076">
        <f t="shared" ca="1" si="878"/>
        <v>0</v>
      </c>
      <c r="AL288" s="2078">
        <f>IF(ISBLANK(J288),0,ISERROR(MATCH(J288,'5  Control Accounts'!$FA$29:$FA$96,0))*1)</f>
        <v>0</v>
      </c>
      <c r="AM288" s="2076">
        <f t="shared" si="993"/>
        <v>0</v>
      </c>
      <c r="AN288" s="2078">
        <f t="shared" si="994"/>
        <v>1</v>
      </c>
      <c r="AO288" s="2079">
        <f t="shared" si="888"/>
        <v>1</v>
      </c>
      <c r="AP288" s="2079">
        <f t="shared" si="889"/>
        <v>0</v>
      </c>
      <c r="AQ288" s="2079">
        <f t="shared" si="890"/>
        <v>0</v>
      </c>
      <c r="AR288" s="2079">
        <f t="shared" si="891"/>
        <v>0</v>
      </c>
      <c r="AS288" s="2079">
        <f t="shared" si="892"/>
        <v>0</v>
      </c>
      <c r="AT288" s="2079">
        <f t="shared" si="893"/>
        <v>0</v>
      </c>
      <c r="AU288" s="2079">
        <f t="shared" si="894"/>
        <v>0</v>
      </c>
      <c r="AV288" s="2079">
        <f t="shared" si="895"/>
        <v>0</v>
      </c>
      <c r="AW288" s="2079">
        <f t="shared" si="896"/>
        <v>0</v>
      </c>
      <c r="AX288" s="2079">
        <f t="shared" si="897"/>
        <v>0</v>
      </c>
      <c r="AY288" s="2078">
        <f t="shared" si="995"/>
        <v>0</v>
      </c>
      <c r="AZ288" s="2078">
        <f t="shared" si="996"/>
        <v>0</v>
      </c>
      <c r="BA288" s="2078">
        <f t="shared" si="997"/>
        <v>0</v>
      </c>
      <c r="BB288" s="2078">
        <f t="shared" si="998"/>
        <v>0</v>
      </c>
      <c r="BC288" s="2078">
        <f t="shared" si="999"/>
        <v>0</v>
      </c>
      <c r="BD288" s="2078">
        <f t="shared" si="1000"/>
        <v>0</v>
      </c>
      <c r="BE288" s="2078">
        <f t="shared" si="1001"/>
        <v>0</v>
      </c>
      <c r="BF288" s="2078">
        <f t="shared" si="1002"/>
        <v>0</v>
      </c>
      <c r="BG288" s="2078">
        <f t="shared" si="1003"/>
        <v>0</v>
      </c>
      <c r="BH288" s="2078">
        <f t="shared" si="1004"/>
        <v>0</v>
      </c>
      <c r="BI288" s="2078">
        <f t="shared" si="1005"/>
        <v>0</v>
      </c>
      <c r="BJ288" s="2078">
        <f t="shared" si="1006"/>
        <v>0</v>
      </c>
      <c r="BK288" s="2078">
        <f t="shared" si="1007"/>
        <v>0</v>
      </c>
      <c r="BL288" s="2078">
        <f t="shared" si="1008"/>
        <v>0</v>
      </c>
      <c r="BM288" s="2078">
        <f t="shared" si="1009"/>
        <v>0</v>
      </c>
      <c r="BN288" s="2078">
        <f t="shared" si="1010"/>
        <v>0</v>
      </c>
      <c r="BO288" s="2078">
        <f t="shared" si="1011"/>
        <v>0</v>
      </c>
      <c r="BP288" s="2078">
        <f t="shared" si="1012"/>
        <v>0</v>
      </c>
      <c r="BQ288" s="2078">
        <f t="shared" si="1013"/>
        <v>0</v>
      </c>
      <c r="BR288" s="2078">
        <f t="shared" si="1014"/>
        <v>0</v>
      </c>
      <c r="BS288" s="2079">
        <f t="shared" si="898"/>
        <v>1</v>
      </c>
      <c r="BT288" s="2079">
        <f t="shared" si="899"/>
        <v>0</v>
      </c>
      <c r="BU288" s="2079">
        <f t="shared" si="900"/>
        <v>0</v>
      </c>
      <c r="BV288" s="2079">
        <f t="shared" si="901"/>
        <v>0</v>
      </c>
      <c r="BW288" s="2079">
        <f t="shared" si="902"/>
        <v>0</v>
      </c>
      <c r="BX288" s="2079">
        <f t="shared" si="903"/>
        <v>0</v>
      </c>
      <c r="BY288" s="2079">
        <f t="shared" si="904"/>
        <v>0</v>
      </c>
      <c r="BZ288" s="2079">
        <f t="shared" si="905"/>
        <v>0</v>
      </c>
      <c r="CA288" s="2079">
        <f t="shared" si="906"/>
        <v>0</v>
      </c>
      <c r="CB288" s="2079">
        <f t="shared" si="907"/>
        <v>0</v>
      </c>
      <c r="CC288" s="2078">
        <f t="shared" ca="1" si="1015"/>
        <v>0</v>
      </c>
      <c r="CD288" s="2078">
        <f t="shared" ca="1" si="1016"/>
        <v>0</v>
      </c>
      <c r="CE288" s="2078">
        <f t="shared" ca="1" si="1017"/>
        <v>0</v>
      </c>
      <c r="CF288" s="2078">
        <f t="shared" ca="1" si="1018"/>
        <v>0</v>
      </c>
      <c r="CG288" s="2078">
        <f t="shared" ca="1" si="1019"/>
        <v>0</v>
      </c>
      <c r="CH288" s="2078">
        <f t="shared" ca="1" si="1020"/>
        <v>0</v>
      </c>
      <c r="CI288" s="2078">
        <f t="shared" ca="1" si="1021"/>
        <v>0</v>
      </c>
      <c r="CJ288" s="2078">
        <f t="shared" ca="1" si="1022"/>
        <v>0</v>
      </c>
      <c r="CK288" s="2078">
        <f t="shared" ca="1" si="1023"/>
        <v>0</v>
      </c>
      <c r="CL288" s="2078">
        <f t="shared" ca="1" si="1024"/>
        <v>0</v>
      </c>
      <c r="CM288" s="2078">
        <f t="shared" si="968"/>
        <v>1</v>
      </c>
      <c r="CN288" s="2078">
        <f t="shared" si="969"/>
        <v>1</v>
      </c>
      <c r="CO288" s="2078">
        <f t="shared" si="958"/>
        <v>1</v>
      </c>
      <c r="CP288" s="2078">
        <f t="shared" si="1025"/>
        <v>1</v>
      </c>
      <c r="CQ288" s="2078">
        <f t="shared" si="959"/>
        <v>0</v>
      </c>
      <c r="CR288" s="2078">
        <f t="shared" si="879"/>
        <v>0</v>
      </c>
      <c r="CS288" s="2078">
        <f t="shared" si="1026"/>
        <v>0</v>
      </c>
      <c r="CT288" s="2078">
        <f t="shared" si="960"/>
        <v>1</v>
      </c>
      <c r="CU288" s="2078">
        <f t="shared" si="1027"/>
        <v>1</v>
      </c>
      <c r="CV288" s="2078">
        <f t="shared" si="970"/>
        <v>0</v>
      </c>
      <c r="CW288" s="2078">
        <f>IF(OR(AE288&lt;&gt;3,F288="Exclude"),0,IF(ISERROR(MATCH($E288,'4 Sign-off'!$S$123:$X$123,0)),0,1))</f>
        <v>0</v>
      </c>
      <c r="CX288" s="2078">
        <f t="shared" si="982"/>
        <v>0</v>
      </c>
      <c r="CY288" s="2078">
        <f t="shared" si="971"/>
        <v>0</v>
      </c>
      <c r="CZ288" s="2993">
        <f t="shared" ca="1" si="980"/>
        <v>0</v>
      </c>
      <c r="DA288" s="3037">
        <f t="shared" ca="1" si="981"/>
        <v>0</v>
      </c>
      <c r="DB288" s="1664"/>
      <c r="DC288" s="1320"/>
      <c r="DD288" s="589"/>
      <c r="DE288" s="1321"/>
      <c r="DF288" s="107"/>
      <c r="DG288" s="112"/>
      <c r="DH288" s="140"/>
      <c r="DI288" s="22"/>
      <c r="DJ288" s="145"/>
      <c r="DK288" s="137"/>
      <c r="DL288" s="137"/>
      <c r="DM288" s="137"/>
      <c r="DN288" s="137"/>
      <c r="DO288" s="137"/>
      <c r="DP288" s="137"/>
      <c r="DQ288" s="137"/>
      <c r="DR288" s="137"/>
      <c r="DS288" s="137"/>
      <c r="DT288" s="137"/>
      <c r="DU288" s="137"/>
      <c r="DV288" s="137"/>
      <c r="DW288" s="137"/>
      <c r="DX288" s="137"/>
      <c r="DY288" s="137"/>
      <c r="DZ288" s="137"/>
      <c r="EA288" s="137"/>
      <c r="EB288" s="137"/>
      <c r="EC288" s="137"/>
      <c r="ED288" s="137"/>
      <c r="EE288" s="137"/>
      <c r="EF288" s="137"/>
      <c r="EG288" s="137"/>
      <c r="EH288" s="137"/>
      <c r="EI288" s="137"/>
      <c r="EJ288" s="137"/>
      <c r="EK288" s="137"/>
      <c r="EL288" s="137"/>
      <c r="EM288" s="137"/>
      <c r="EN288" s="137"/>
      <c r="EO288" s="137"/>
      <c r="EP288" s="137"/>
      <c r="EQ288" s="137"/>
      <c r="ER288" s="137"/>
      <c r="ES288" s="137"/>
      <c r="ET288" s="137"/>
      <c r="EU288" s="137"/>
      <c r="EV288" s="137"/>
      <c r="EW288" s="137"/>
      <c r="EX288" s="137"/>
      <c r="EY288" s="137"/>
      <c r="EZ288" s="137"/>
      <c r="FA288" s="137"/>
      <c r="FB288" s="137"/>
      <c r="FC288" s="137"/>
      <c r="FD288" s="137"/>
      <c r="FE288" s="137"/>
      <c r="FF288" s="137"/>
      <c r="FG288" s="860"/>
      <c r="FH288" s="863"/>
      <c r="FI288" s="1318"/>
      <c r="FJ288" s="126"/>
      <c r="FK288" s="127"/>
      <c r="FL288" s="128" t="str">
        <f t="shared" si="1028"/>
        <v xml:space="preserve">    </v>
      </c>
      <c r="FM288" s="128"/>
      <c r="FN288" s="1686">
        <f t="shared" si="1029"/>
        <v>0</v>
      </c>
      <c r="FO288" s="46">
        <f t="shared" si="972"/>
        <v>0</v>
      </c>
      <c r="FP288" s="46">
        <f t="shared" si="977"/>
        <v>1</v>
      </c>
      <c r="FQ288" s="75">
        <f t="shared" si="1030"/>
        <v>0</v>
      </c>
      <c r="FR288" s="46">
        <f t="shared" si="1036"/>
        <v>0</v>
      </c>
      <c r="FS288" s="46">
        <f t="shared" si="1037"/>
        <v>1</v>
      </c>
      <c r="FT288" s="75">
        <f t="shared" si="1031"/>
        <v>0</v>
      </c>
      <c r="FU288" s="2603">
        <f t="shared" si="973"/>
        <v>0</v>
      </c>
      <c r="FV288" s="2607">
        <f t="shared" si="974"/>
        <v>0</v>
      </c>
      <c r="FW288" s="2603">
        <f t="shared" si="975"/>
        <v>0</v>
      </c>
      <c r="FX288" s="2631">
        <f t="shared" si="976"/>
        <v>0</v>
      </c>
      <c r="FY288" s="81" t="e">
        <f t="shared" si="1038"/>
        <v>#N/A</v>
      </c>
      <c r="FZ288" s="64" t="e">
        <f t="array" ref="FZ288">MATCH(1,($GT288:$LQ288&gt;0)*$GT$25:$LQ$25,0)</f>
        <v>#N/A</v>
      </c>
      <c r="GA288" s="64" t="e">
        <f t="array" ref="GA288">MATCH(2,1/(GT288:LQ288&gt;0))</f>
        <v>#N/A</v>
      </c>
      <c r="GB288" s="64">
        <f t="shared" si="1032"/>
        <v>-1</v>
      </c>
      <c r="GC288" s="46"/>
      <c r="GD288" s="613"/>
      <c r="GE288" s="613"/>
      <c r="GF288" s="613"/>
      <c r="GG288" s="613"/>
      <c r="GH288" s="613"/>
      <c r="GI288" s="613"/>
      <c r="GJ288" s="613"/>
      <c r="GK288" s="613"/>
      <c r="GL288" s="613"/>
      <c r="GM288" s="613"/>
      <c r="GN288" s="385">
        <f t="shared" si="983"/>
        <v>0</v>
      </c>
      <c r="GO288" s="386">
        <f t="shared" si="984"/>
        <v>0</v>
      </c>
      <c r="GP288" s="2635"/>
      <c r="GQ288" s="175"/>
      <c r="GR288" s="172"/>
      <c r="GS288" s="65"/>
      <c r="GT288" s="167"/>
      <c r="GU288" s="168"/>
      <c r="GV288" s="168"/>
      <c r="GW288" s="168"/>
      <c r="GX288" s="168"/>
      <c r="GY288" s="168"/>
      <c r="GZ288" s="168"/>
      <c r="HA288" s="168"/>
      <c r="HB288" s="168"/>
      <c r="HC288" s="168"/>
      <c r="HD288" s="168"/>
      <c r="HE288" s="168"/>
      <c r="HF288" s="168"/>
      <c r="HG288" s="168"/>
      <c r="HH288" s="168"/>
      <c r="HI288" s="168"/>
      <c r="HJ288" s="168"/>
      <c r="HK288" s="168"/>
      <c r="HL288" s="168"/>
      <c r="HM288" s="168"/>
      <c r="HN288" s="168"/>
      <c r="HO288" s="168"/>
      <c r="HP288" s="168"/>
      <c r="HQ288" s="168"/>
      <c r="HR288" s="168"/>
      <c r="HS288" s="168"/>
      <c r="HT288" s="168"/>
      <c r="HU288" s="168"/>
      <c r="HV288" s="168"/>
      <c r="HW288" s="168"/>
      <c r="HX288" s="168"/>
      <c r="HY288" s="168"/>
      <c r="HZ288" s="168"/>
      <c r="IA288" s="168"/>
      <c r="IB288" s="168"/>
      <c r="IC288" s="168"/>
      <c r="ID288" s="168"/>
      <c r="IE288" s="168"/>
      <c r="IF288" s="168"/>
      <c r="IG288" s="168"/>
      <c r="IH288" s="168"/>
      <c r="II288" s="168"/>
      <c r="IJ288" s="168"/>
      <c r="IK288" s="168"/>
      <c r="IL288" s="168"/>
      <c r="IM288" s="168"/>
      <c r="IN288" s="168"/>
      <c r="IO288" s="168"/>
      <c r="IP288" s="168"/>
      <c r="IQ288" s="168"/>
      <c r="IR288" s="168"/>
      <c r="IS288" s="168"/>
      <c r="IT288" s="168"/>
      <c r="IU288" s="168"/>
      <c r="IV288" s="168"/>
      <c r="IW288" s="168"/>
      <c r="IX288" s="168"/>
      <c r="IY288" s="168"/>
      <c r="IZ288" s="168"/>
      <c r="JA288" s="168"/>
      <c r="JB288" s="168"/>
      <c r="JC288" s="168"/>
      <c r="JD288" s="168"/>
      <c r="JE288" s="168"/>
      <c r="JF288" s="168"/>
      <c r="JG288" s="168"/>
      <c r="JH288" s="168"/>
      <c r="JI288" s="168"/>
      <c r="JJ288" s="168"/>
      <c r="JK288" s="168"/>
      <c r="JL288" s="168"/>
      <c r="JM288" s="168"/>
      <c r="JN288" s="168"/>
      <c r="JO288" s="168"/>
      <c r="JP288" s="168"/>
      <c r="JQ288" s="168"/>
      <c r="JR288" s="168"/>
      <c r="JS288" s="168"/>
      <c r="JT288" s="168"/>
      <c r="JU288" s="168"/>
      <c r="JV288" s="168"/>
      <c r="JW288" s="168"/>
      <c r="JX288" s="168"/>
      <c r="JY288" s="168"/>
      <c r="JZ288" s="168"/>
      <c r="KA288" s="168"/>
      <c r="KB288" s="168"/>
      <c r="KC288" s="168"/>
      <c r="KD288" s="168"/>
      <c r="KE288" s="168"/>
      <c r="KF288" s="168"/>
      <c r="KG288" s="168"/>
      <c r="KH288" s="168"/>
      <c r="KI288" s="168"/>
      <c r="KJ288" s="168"/>
      <c r="KK288" s="168"/>
      <c r="KL288" s="168"/>
      <c r="KM288" s="168"/>
      <c r="KN288" s="168"/>
      <c r="KO288" s="168"/>
      <c r="KP288" s="168"/>
      <c r="KQ288" s="168"/>
      <c r="KR288" s="168"/>
      <c r="KS288" s="168"/>
      <c r="KT288" s="168"/>
      <c r="KU288" s="168"/>
      <c r="KV288" s="168"/>
      <c r="KW288" s="168"/>
      <c r="KX288" s="168"/>
      <c r="KY288" s="168"/>
      <c r="KZ288" s="168"/>
      <c r="LA288" s="168"/>
      <c r="LB288" s="168"/>
      <c r="LC288" s="168"/>
      <c r="LD288" s="168"/>
      <c r="LE288" s="168"/>
      <c r="LF288" s="168"/>
      <c r="LG288" s="168"/>
      <c r="LH288" s="168"/>
      <c r="LI288" s="168"/>
      <c r="LJ288" s="168"/>
      <c r="LK288" s="168"/>
      <c r="LL288" s="168"/>
      <c r="LM288" s="168"/>
      <c r="LN288" s="168"/>
      <c r="LO288" s="168"/>
      <c r="LP288" s="606"/>
      <c r="LQ288" s="609"/>
      <c r="LR288" s="1319"/>
      <c r="LS288" s="1319"/>
    </row>
    <row r="289" spans="1:331" s="2" customFormat="1" ht="15" customHeight="1" x14ac:dyDescent="0.25">
      <c r="A289" s="283"/>
      <c r="B289" s="303"/>
      <c r="C289" s="301"/>
      <c r="D289" s="1287"/>
      <c r="E289" s="2298"/>
      <c r="F289" s="1812"/>
      <c r="G289" s="3342"/>
      <c r="H289" s="66"/>
      <c r="I289" s="1746"/>
      <c r="J289" s="1214"/>
      <c r="K289" s="105"/>
      <c r="L289" s="91"/>
      <c r="M289" s="92"/>
      <c r="N289" s="93"/>
      <c r="O289" s="94"/>
      <c r="P289" s="96"/>
      <c r="Q289" s="95"/>
      <c r="R289" s="993">
        <f t="shared" si="978"/>
        <v>0</v>
      </c>
      <c r="S289" s="23">
        <f t="shared" si="979"/>
        <v>0</v>
      </c>
      <c r="T289" s="24">
        <f t="shared" si="985"/>
        <v>0</v>
      </c>
      <c r="U289" s="24">
        <f t="shared" si="986"/>
        <v>0</v>
      </c>
      <c r="V289" s="24">
        <f t="shared" si="987"/>
        <v>0</v>
      </c>
      <c r="W289" s="24">
        <f t="shared" ca="1" si="988"/>
        <v>0</v>
      </c>
      <c r="X289" s="72">
        <f t="shared" ca="1" si="956"/>
        <v>0</v>
      </c>
      <c r="Y289" s="72">
        <f t="shared" si="989"/>
        <v>0</v>
      </c>
      <c r="Z289" s="24">
        <f t="shared" si="990"/>
        <v>0</v>
      </c>
      <c r="AA289" s="72">
        <f t="shared" si="957"/>
        <v>0</v>
      </c>
      <c r="AB289" s="24">
        <f t="shared" si="967"/>
        <v>0</v>
      </c>
      <c r="AC289" s="24">
        <f t="shared" ca="1" si="991"/>
        <v>0</v>
      </c>
      <c r="AD289" s="24">
        <f t="shared" si="886"/>
        <v>0</v>
      </c>
      <c r="AE289" s="2078">
        <f t="shared" si="1033"/>
        <v>3</v>
      </c>
      <c r="AF289" s="2078">
        <f t="shared" si="1034"/>
        <v>0</v>
      </c>
      <c r="AG289" s="2078">
        <f t="shared" si="1035"/>
        <v>0</v>
      </c>
      <c r="AH289" s="2521">
        <f t="shared" si="887"/>
        <v>1</v>
      </c>
      <c r="AI289" s="25" t="str">
        <f t="shared" si="992"/>
        <v/>
      </c>
      <c r="AJ289" s="2521">
        <f t="shared" ca="1" si="882"/>
        <v>0</v>
      </c>
      <c r="AK289" s="2076">
        <f t="shared" ca="1" si="878"/>
        <v>0</v>
      </c>
      <c r="AL289" s="2078">
        <f>IF(ISBLANK(J289),0,ISERROR(MATCH(J289,'5  Control Accounts'!$FA$29:$FA$96,0))*1)</f>
        <v>0</v>
      </c>
      <c r="AM289" s="2076">
        <f t="shared" si="993"/>
        <v>0</v>
      </c>
      <c r="AN289" s="2078">
        <f t="shared" si="994"/>
        <v>1</v>
      </c>
      <c r="AO289" s="2079">
        <f t="shared" si="888"/>
        <v>1</v>
      </c>
      <c r="AP289" s="2079">
        <f t="shared" si="889"/>
        <v>0</v>
      </c>
      <c r="AQ289" s="2079">
        <f t="shared" si="890"/>
        <v>0</v>
      </c>
      <c r="AR289" s="2079">
        <f t="shared" si="891"/>
        <v>0</v>
      </c>
      <c r="AS289" s="2079">
        <f t="shared" si="892"/>
        <v>0</v>
      </c>
      <c r="AT289" s="2079">
        <f t="shared" si="893"/>
        <v>0</v>
      </c>
      <c r="AU289" s="2079">
        <f t="shared" si="894"/>
        <v>0</v>
      </c>
      <c r="AV289" s="2079">
        <f t="shared" si="895"/>
        <v>0</v>
      </c>
      <c r="AW289" s="2079">
        <f t="shared" si="896"/>
        <v>0</v>
      </c>
      <c r="AX289" s="2079">
        <f t="shared" si="897"/>
        <v>0</v>
      </c>
      <c r="AY289" s="2078">
        <f t="shared" si="995"/>
        <v>0</v>
      </c>
      <c r="AZ289" s="2078">
        <f t="shared" si="996"/>
        <v>0</v>
      </c>
      <c r="BA289" s="2078">
        <f t="shared" si="997"/>
        <v>0</v>
      </c>
      <c r="BB289" s="2078">
        <f t="shared" si="998"/>
        <v>0</v>
      </c>
      <c r="BC289" s="2078">
        <f t="shared" si="999"/>
        <v>0</v>
      </c>
      <c r="BD289" s="2078">
        <f t="shared" si="1000"/>
        <v>0</v>
      </c>
      <c r="BE289" s="2078">
        <f t="shared" si="1001"/>
        <v>0</v>
      </c>
      <c r="BF289" s="2078">
        <f t="shared" si="1002"/>
        <v>0</v>
      </c>
      <c r="BG289" s="2078">
        <f t="shared" si="1003"/>
        <v>0</v>
      </c>
      <c r="BH289" s="2078">
        <f t="shared" si="1004"/>
        <v>0</v>
      </c>
      <c r="BI289" s="2078">
        <f t="shared" si="1005"/>
        <v>0</v>
      </c>
      <c r="BJ289" s="2078">
        <f t="shared" si="1006"/>
        <v>0</v>
      </c>
      <c r="BK289" s="2078">
        <f t="shared" si="1007"/>
        <v>0</v>
      </c>
      <c r="BL289" s="2078">
        <f t="shared" si="1008"/>
        <v>0</v>
      </c>
      <c r="BM289" s="2078">
        <f t="shared" si="1009"/>
        <v>0</v>
      </c>
      <c r="BN289" s="2078">
        <f t="shared" si="1010"/>
        <v>0</v>
      </c>
      <c r="BO289" s="2078">
        <f t="shared" si="1011"/>
        <v>0</v>
      </c>
      <c r="BP289" s="2078">
        <f t="shared" si="1012"/>
        <v>0</v>
      </c>
      <c r="BQ289" s="2078">
        <f t="shared" si="1013"/>
        <v>0</v>
      </c>
      <c r="BR289" s="2078">
        <f t="shared" si="1014"/>
        <v>0</v>
      </c>
      <c r="BS289" s="2079">
        <f t="shared" si="898"/>
        <v>1</v>
      </c>
      <c r="BT289" s="2079">
        <f t="shared" si="899"/>
        <v>0</v>
      </c>
      <c r="BU289" s="2079">
        <f t="shared" si="900"/>
        <v>0</v>
      </c>
      <c r="BV289" s="2079">
        <f t="shared" si="901"/>
        <v>0</v>
      </c>
      <c r="BW289" s="2079">
        <f t="shared" si="902"/>
        <v>0</v>
      </c>
      <c r="BX289" s="2079">
        <f t="shared" si="903"/>
        <v>0</v>
      </c>
      <c r="BY289" s="2079">
        <f t="shared" si="904"/>
        <v>0</v>
      </c>
      <c r="BZ289" s="2079">
        <f t="shared" si="905"/>
        <v>0</v>
      </c>
      <c r="CA289" s="2079">
        <f t="shared" si="906"/>
        <v>0</v>
      </c>
      <c r="CB289" s="2079">
        <f t="shared" si="907"/>
        <v>0</v>
      </c>
      <c r="CC289" s="2078">
        <f t="shared" ca="1" si="1015"/>
        <v>0</v>
      </c>
      <c r="CD289" s="2078">
        <f t="shared" ca="1" si="1016"/>
        <v>0</v>
      </c>
      <c r="CE289" s="2078">
        <f t="shared" ca="1" si="1017"/>
        <v>0</v>
      </c>
      <c r="CF289" s="2078">
        <f t="shared" ca="1" si="1018"/>
        <v>0</v>
      </c>
      <c r="CG289" s="2078">
        <f t="shared" ca="1" si="1019"/>
        <v>0</v>
      </c>
      <c r="CH289" s="2078">
        <f t="shared" ca="1" si="1020"/>
        <v>0</v>
      </c>
      <c r="CI289" s="2078">
        <f t="shared" ca="1" si="1021"/>
        <v>0</v>
      </c>
      <c r="CJ289" s="2078">
        <f t="shared" ca="1" si="1022"/>
        <v>0</v>
      </c>
      <c r="CK289" s="2078">
        <f t="shared" ca="1" si="1023"/>
        <v>0</v>
      </c>
      <c r="CL289" s="2078">
        <f t="shared" ca="1" si="1024"/>
        <v>0</v>
      </c>
      <c r="CM289" s="2078">
        <f t="shared" si="968"/>
        <v>1</v>
      </c>
      <c r="CN289" s="2078">
        <f t="shared" si="969"/>
        <v>1</v>
      </c>
      <c r="CO289" s="2078">
        <f t="shared" si="958"/>
        <v>1</v>
      </c>
      <c r="CP289" s="2078">
        <f t="shared" si="1025"/>
        <v>1</v>
      </c>
      <c r="CQ289" s="2078">
        <f t="shared" si="959"/>
        <v>0</v>
      </c>
      <c r="CR289" s="2078">
        <f t="shared" si="879"/>
        <v>0</v>
      </c>
      <c r="CS289" s="2078">
        <f t="shared" si="1026"/>
        <v>0</v>
      </c>
      <c r="CT289" s="2078">
        <f t="shared" si="960"/>
        <v>1</v>
      </c>
      <c r="CU289" s="2078">
        <f t="shared" si="1027"/>
        <v>1</v>
      </c>
      <c r="CV289" s="2078">
        <f t="shared" si="970"/>
        <v>0</v>
      </c>
      <c r="CW289" s="2078">
        <f>IF(OR(AE289&lt;&gt;3,F289="Exclude"),0,IF(ISERROR(MATCH($E289,'4 Sign-off'!$S$123:$X$123,0)),0,1))</f>
        <v>0</v>
      </c>
      <c r="CX289" s="2078">
        <f t="shared" si="982"/>
        <v>0</v>
      </c>
      <c r="CY289" s="2078">
        <f t="shared" si="971"/>
        <v>0</v>
      </c>
      <c r="CZ289" s="2993">
        <f t="shared" ca="1" si="980"/>
        <v>0</v>
      </c>
      <c r="DA289" s="3037">
        <f t="shared" ca="1" si="981"/>
        <v>0</v>
      </c>
      <c r="DB289" s="1664"/>
      <c r="DC289" s="1320"/>
      <c r="DD289" s="589"/>
      <c r="DE289" s="1321"/>
      <c r="DF289" s="107"/>
      <c r="DG289" s="112"/>
      <c r="DH289" s="140"/>
      <c r="DI289" s="22"/>
      <c r="DJ289" s="145"/>
      <c r="DK289" s="137"/>
      <c r="DL289" s="137"/>
      <c r="DM289" s="137"/>
      <c r="DN289" s="137"/>
      <c r="DO289" s="137"/>
      <c r="DP289" s="137"/>
      <c r="DQ289" s="137"/>
      <c r="DR289" s="137"/>
      <c r="DS289" s="137"/>
      <c r="DT289" s="137"/>
      <c r="DU289" s="137"/>
      <c r="DV289" s="137"/>
      <c r="DW289" s="137"/>
      <c r="DX289" s="137"/>
      <c r="DY289" s="137"/>
      <c r="DZ289" s="137"/>
      <c r="EA289" s="137"/>
      <c r="EB289" s="137"/>
      <c r="EC289" s="137"/>
      <c r="ED289" s="137"/>
      <c r="EE289" s="137"/>
      <c r="EF289" s="137"/>
      <c r="EG289" s="137"/>
      <c r="EH289" s="137"/>
      <c r="EI289" s="137"/>
      <c r="EJ289" s="137"/>
      <c r="EK289" s="137"/>
      <c r="EL289" s="137"/>
      <c r="EM289" s="137"/>
      <c r="EN289" s="137"/>
      <c r="EO289" s="137"/>
      <c r="EP289" s="137"/>
      <c r="EQ289" s="137"/>
      <c r="ER289" s="137"/>
      <c r="ES289" s="137"/>
      <c r="ET289" s="137"/>
      <c r="EU289" s="137"/>
      <c r="EV289" s="137"/>
      <c r="EW289" s="137"/>
      <c r="EX289" s="137"/>
      <c r="EY289" s="137"/>
      <c r="EZ289" s="137"/>
      <c r="FA289" s="137"/>
      <c r="FB289" s="137"/>
      <c r="FC289" s="137"/>
      <c r="FD289" s="137"/>
      <c r="FE289" s="137"/>
      <c r="FF289" s="137"/>
      <c r="FG289" s="860"/>
      <c r="FH289" s="863"/>
      <c r="FI289" s="1318"/>
      <c r="FJ289" s="126"/>
      <c r="FK289" s="127"/>
      <c r="FL289" s="128" t="str">
        <f t="shared" si="1028"/>
        <v xml:space="preserve">    </v>
      </c>
      <c r="FM289" s="128"/>
      <c r="FN289" s="1686">
        <f t="shared" si="1029"/>
        <v>0</v>
      </c>
      <c r="FO289" s="46">
        <f t="shared" si="972"/>
        <v>0</v>
      </c>
      <c r="FP289" s="46">
        <f t="shared" si="977"/>
        <v>1</v>
      </c>
      <c r="FQ289" s="75">
        <f t="shared" si="1030"/>
        <v>0</v>
      </c>
      <c r="FR289" s="46">
        <f t="shared" si="1036"/>
        <v>0</v>
      </c>
      <c r="FS289" s="46">
        <f t="shared" si="1037"/>
        <v>1</v>
      </c>
      <c r="FT289" s="75">
        <f t="shared" si="1031"/>
        <v>0</v>
      </c>
      <c r="FU289" s="2603">
        <f t="shared" si="973"/>
        <v>0</v>
      </c>
      <c r="FV289" s="2607">
        <f t="shared" si="974"/>
        <v>0</v>
      </c>
      <c r="FW289" s="2603">
        <f t="shared" si="975"/>
        <v>0</v>
      </c>
      <c r="FX289" s="2631">
        <f t="shared" si="976"/>
        <v>0</v>
      </c>
      <c r="FY289" s="81" t="e">
        <f t="shared" si="1038"/>
        <v>#N/A</v>
      </c>
      <c r="FZ289" s="64" t="e">
        <f t="array" ref="FZ289">MATCH(1,($GT289:$LQ289&gt;0)*$GT$25:$LQ$25,0)</f>
        <v>#N/A</v>
      </c>
      <c r="GA289" s="64" t="e">
        <f t="array" ref="GA289">MATCH(2,1/(GT289:LQ289&gt;0))</f>
        <v>#N/A</v>
      </c>
      <c r="GB289" s="64">
        <f t="shared" si="1032"/>
        <v>-1</v>
      </c>
      <c r="GC289" s="46"/>
      <c r="GD289" s="613"/>
      <c r="GE289" s="613"/>
      <c r="GF289" s="613"/>
      <c r="GG289" s="613"/>
      <c r="GH289" s="613"/>
      <c r="GI289" s="613"/>
      <c r="GJ289" s="613"/>
      <c r="GK289" s="613"/>
      <c r="GL289" s="613"/>
      <c r="GM289" s="613"/>
      <c r="GN289" s="385">
        <f t="shared" si="983"/>
        <v>0</v>
      </c>
      <c r="GO289" s="386">
        <f t="shared" si="984"/>
        <v>0</v>
      </c>
      <c r="GP289" s="2635"/>
      <c r="GQ289" s="175"/>
      <c r="GR289" s="172"/>
      <c r="GS289" s="65"/>
      <c r="GT289" s="167"/>
      <c r="GU289" s="168"/>
      <c r="GV289" s="168"/>
      <c r="GW289" s="168"/>
      <c r="GX289" s="168"/>
      <c r="GY289" s="168"/>
      <c r="GZ289" s="168"/>
      <c r="HA289" s="168"/>
      <c r="HB289" s="168"/>
      <c r="HC289" s="168"/>
      <c r="HD289" s="168"/>
      <c r="HE289" s="168"/>
      <c r="HF289" s="168"/>
      <c r="HG289" s="168"/>
      <c r="HH289" s="168"/>
      <c r="HI289" s="168"/>
      <c r="HJ289" s="168"/>
      <c r="HK289" s="168"/>
      <c r="HL289" s="168"/>
      <c r="HM289" s="168"/>
      <c r="HN289" s="168"/>
      <c r="HO289" s="168"/>
      <c r="HP289" s="168"/>
      <c r="HQ289" s="168"/>
      <c r="HR289" s="168"/>
      <c r="HS289" s="168"/>
      <c r="HT289" s="168"/>
      <c r="HU289" s="168"/>
      <c r="HV289" s="168"/>
      <c r="HW289" s="168"/>
      <c r="HX289" s="168"/>
      <c r="HY289" s="168"/>
      <c r="HZ289" s="168"/>
      <c r="IA289" s="168"/>
      <c r="IB289" s="168"/>
      <c r="IC289" s="168"/>
      <c r="ID289" s="168"/>
      <c r="IE289" s="168"/>
      <c r="IF289" s="168"/>
      <c r="IG289" s="168"/>
      <c r="IH289" s="168"/>
      <c r="II289" s="168"/>
      <c r="IJ289" s="168"/>
      <c r="IK289" s="168"/>
      <c r="IL289" s="168"/>
      <c r="IM289" s="168"/>
      <c r="IN289" s="168"/>
      <c r="IO289" s="168"/>
      <c r="IP289" s="168"/>
      <c r="IQ289" s="168"/>
      <c r="IR289" s="168"/>
      <c r="IS289" s="168"/>
      <c r="IT289" s="168"/>
      <c r="IU289" s="168"/>
      <c r="IV289" s="168"/>
      <c r="IW289" s="168"/>
      <c r="IX289" s="168"/>
      <c r="IY289" s="168"/>
      <c r="IZ289" s="168"/>
      <c r="JA289" s="168"/>
      <c r="JB289" s="168"/>
      <c r="JC289" s="168"/>
      <c r="JD289" s="168"/>
      <c r="JE289" s="168"/>
      <c r="JF289" s="168"/>
      <c r="JG289" s="168"/>
      <c r="JH289" s="168"/>
      <c r="JI289" s="168"/>
      <c r="JJ289" s="168"/>
      <c r="JK289" s="168"/>
      <c r="JL289" s="168"/>
      <c r="JM289" s="168"/>
      <c r="JN289" s="168"/>
      <c r="JO289" s="168"/>
      <c r="JP289" s="168"/>
      <c r="JQ289" s="168"/>
      <c r="JR289" s="168"/>
      <c r="JS289" s="168"/>
      <c r="JT289" s="168"/>
      <c r="JU289" s="168"/>
      <c r="JV289" s="168"/>
      <c r="JW289" s="168"/>
      <c r="JX289" s="168"/>
      <c r="JY289" s="168"/>
      <c r="JZ289" s="168"/>
      <c r="KA289" s="168"/>
      <c r="KB289" s="168"/>
      <c r="KC289" s="168"/>
      <c r="KD289" s="168"/>
      <c r="KE289" s="168"/>
      <c r="KF289" s="168"/>
      <c r="KG289" s="168"/>
      <c r="KH289" s="168"/>
      <c r="KI289" s="168"/>
      <c r="KJ289" s="168"/>
      <c r="KK289" s="168"/>
      <c r="KL289" s="168"/>
      <c r="KM289" s="168"/>
      <c r="KN289" s="168"/>
      <c r="KO289" s="168"/>
      <c r="KP289" s="168"/>
      <c r="KQ289" s="168"/>
      <c r="KR289" s="168"/>
      <c r="KS289" s="168"/>
      <c r="KT289" s="168"/>
      <c r="KU289" s="168"/>
      <c r="KV289" s="168"/>
      <c r="KW289" s="168"/>
      <c r="KX289" s="168"/>
      <c r="KY289" s="168"/>
      <c r="KZ289" s="168"/>
      <c r="LA289" s="168"/>
      <c r="LB289" s="168"/>
      <c r="LC289" s="168"/>
      <c r="LD289" s="168"/>
      <c r="LE289" s="168"/>
      <c r="LF289" s="168"/>
      <c r="LG289" s="168"/>
      <c r="LH289" s="168"/>
      <c r="LI289" s="168"/>
      <c r="LJ289" s="168"/>
      <c r="LK289" s="168"/>
      <c r="LL289" s="168"/>
      <c r="LM289" s="168"/>
      <c r="LN289" s="168"/>
      <c r="LO289" s="168"/>
      <c r="LP289" s="606"/>
      <c r="LQ289" s="609"/>
      <c r="LR289" s="1319"/>
      <c r="LS289" s="1319"/>
    </row>
    <row r="290" spans="1:331" s="2" customFormat="1" ht="15" customHeight="1" x14ac:dyDescent="0.25">
      <c r="A290" s="283"/>
      <c r="B290" s="303"/>
      <c r="C290" s="301"/>
      <c r="D290" s="1287"/>
      <c r="E290" s="2298"/>
      <c r="F290" s="1812"/>
      <c r="G290" s="3342"/>
      <c r="H290" s="66"/>
      <c r="I290" s="1746"/>
      <c r="J290" s="1214"/>
      <c r="K290" s="105"/>
      <c r="L290" s="91"/>
      <c r="M290" s="92"/>
      <c r="N290" s="93"/>
      <c r="O290" s="94"/>
      <c r="P290" s="96"/>
      <c r="Q290" s="95"/>
      <c r="R290" s="993">
        <f t="shared" si="978"/>
        <v>0</v>
      </c>
      <c r="S290" s="23">
        <f t="shared" si="979"/>
        <v>0</v>
      </c>
      <c r="T290" s="24">
        <f t="shared" si="985"/>
        <v>0</v>
      </c>
      <c r="U290" s="24">
        <f t="shared" si="986"/>
        <v>0</v>
      </c>
      <c r="V290" s="24">
        <f t="shared" si="987"/>
        <v>0</v>
      </c>
      <c r="W290" s="24">
        <f t="shared" ca="1" si="988"/>
        <v>0</v>
      </c>
      <c r="X290" s="72">
        <f t="shared" ca="1" si="956"/>
        <v>0</v>
      </c>
      <c r="Y290" s="72">
        <f t="shared" si="989"/>
        <v>0</v>
      </c>
      <c r="Z290" s="24">
        <f t="shared" si="990"/>
        <v>0</v>
      </c>
      <c r="AA290" s="72">
        <f t="shared" si="957"/>
        <v>0</v>
      </c>
      <c r="AB290" s="24">
        <f t="shared" si="967"/>
        <v>0</v>
      </c>
      <c r="AC290" s="24">
        <f t="shared" ca="1" si="991"/>
        <v>0</v>
      </c>
      <c r="AD290" s="24">
        <f t="shared" si="886"/>
        <v>0</v>
      </c>
      <c r="AE290" s="2078">
        <f t="shared" si="1033"/>
        <v>3</v>
      </c>
      <c r="AF290" s="2078">
        <f t="shared" si="1034"/>
        <v>0</v>
      </c>
      <c r="AG290" s="2078">
        <f t="shared" si="1035"/>
        <v>0</v>
      </c>
      <c r="AH290" s="2521">
        <f t="shared" si="887"/>
        <v>1</v>
      </c>
      <c r="AI290" s="25" t="str">
        <f t="shared" si="992"/>
        <v/>
      </c>
      <c r="AJ290" s="2521">
        <f t="shared" ca="1" si="882"/>
        <v>0</v>
      </c>
      <c r="AK290" s="2076">
        <f t="shared" ca="1" si="878"/>
        <v>0</v>
      </c>
      <c r="AL290" s="2078">
        <f>IF(ISBLANK(J290),0,ISERROR(MATCH(J290,'5  Control Accounts'!$FA$29:$FA$96,0))*1)</f>
        <v>0</v>
      </c>
      <c r="AM290" s="2076">
        <f t="shared" si="993"/>
        <v>0</v>
      </c>
      <c r="AN290" s="2078">
        <f t="shared" si="994"/>
        <v>1</v>
      </c>
      <c r="AO290" s="2079">
        <f t="shared" si="888"/>
        <v>1</v>
      </c>
      <c r="AP290" s="2079">
        <f t="shared" si="889"/>
        <v>0</v>
      </c>
      <c r="AQ290" s="2079">
        <f t="shared" si="890"/>
        <v>0</v>
      </c>
      <c r="AR290" s="2079">
        <f t="shared" si="891"/>
        <v>0</v>
      </c>
      <c r="AS290" s="2079">
        <f t="shared" si="892"/>
        <v>0</v>
      </c>
      <c r="AT290" s="2079">
        <f t="shared" si="893"/>
        <v>0</v>
      </c>
      <c r="AU290" s="2079">
        <f t="shared" si="894"/>
        <v>0</v>
      </c>
      <c r="AV290" s="2079">
        <f t="shared" si="895"/>
        <v>0</v>
      </c>
      <c r="AW290" s="2079">
        <f t="shared" si="896"/>
        <v>0</v>
      </c>
      <c r="AX290" s="2079">
        <f t="shared" si="897"/>
        <v>0</v>
      </c>
      <c r="AY290" s="2078">
        <f t="shared" si="995"/>
        <v>0</v>
      </c>
      <c r="AZ290" s="2078">
        <f t="shared" si="996"/>
        <v>0</v>
      </c>
      <c r="BA290" s="2078">
        <f t="shared" si="997"/>
        <v>0</v>
      </c>
      <c r="BB290" s="2078">
        <f t="shared" si="998"/>
        <v>0</v>
      </c>
      <c r="BC290" s="2078">
        <f t="shared" si="999"/>
        <v>0</v>
      </c>
      <c r="BD290" s="2078">
        <f t="shared" si="1000"/>
        <v>0</v>
      </c>
      <c r="BE290" s="2078">
        <f t="shared" si="1001"/>
        <v>0</v>
      </c>
      <c r="BF290" s="2078">
        <f t="shared" si="1002"/>
        <v>0</v>
      </c>
      <c r="BG290" s="2078">
        <f t="shared" si="1003"/>
        <v>0</v>
      </c>
      <c r="BH290" s="2078">
        <f t="shared" si="1004"/>
        <v>0</v>
      </c>
      <c r="BI290" s="2078">
        <f t="shared" si="1005"/>
        <v>0</v>
      </c>
      <c r="BJ290" s="2078">
        <f t="shared" si="1006"/>
        <v>0</v>
      </c>
      <c r="BK290" s="2078">
        <f t="shared" si="1007"/>
        <v>0</v>
      </c>
      <c r="BL290" s="2078">
        <f t="shared" si="1008"/>
        <v>0</v>
      </c>
      <c r="BM290" s="2078">
        <f t="shared" si="1009"/>
        <v>0</v>
      </c>
      <c r="BN290" s="2078">
        <f t="shared" si="1010"/>
        <v>0</v>
      </c>
      <c r="BO290" s="2078">
        <f t="shared" si="1011"/>
        <v>0</v>
      </c>
      <c r="BP290" s="2078">
        <f t="shared" si="1012"/>
        <v>0</v>
      </c>
      <c r="BQ290" s="2078">
        <f t="shared" si="1013"/>
        <v>0</v>
      </c>
      <c r="BR290" s="2078">
        <f t="shared" si="1014"/>
        <v>0</v>
      </c>
      <c r="BS290" s="2079">
        <f t="shared" si="898"/>
        <v>1</v>
      </c>
      <c r="BT290" s="2079">
        <f t="shared" si="899"/>
        <v>0</v>
      </c>
      <c r="BU290" s="2079">
        <f t="shared" si="900"/>
        <v>0</v>
      </c>
      <c r="BV290" s="2079">
        <f t="shared" si="901"/>
        <v>0</v>
      </c>
      <c r="BW290" s="2079">
        <f t="shared" si="902"/>
        <v>0</v>
      </c>
      <c r="BX290" s="2079">
        <f t="shared" si="903"/>
        <v>0</v>
      </c>
      <c r="BY290" s="2079">
        <f t="shared" si="904"/>
        <v>0</v>
      </c>
      <c r="BZ290" s="2079">
        <f t="shared" si="905"/>
        <v>0</v>
      </c>
      <c r="CA290" s="2079">
        <f t="shared" si="906"/>
        <v>0</v>
      </c>
      <c r="CB290" s="2079">
        <f t="shared" si="907"/>
        <v>0</v>
      </c>
      <c r="CC290" s="2078">
        <f t="shared" ca="1" si="1015"/>
        <v>0</v>
      </c>
      <c r="CD290" s="2078">
        <f t="shared" ca="1" si="1016"/>
        <v>0</v>
      </c>
      <c r="CE290" s="2078">
        <f t="shared" ca="1" si="1017"/>
        <v>0</v>
      </c>
      <c r="CF290" s="2078">
        <f t="shared" ca="1" si="1018"/>
        <v>0</v>
      </c>
      <c r="CG290" s="2078">
        <f t="shared" ca="1" si="1019"/>
        <v>0</v>
      </c>
      <c r="CH290" s="2078">
        <f t="shared" ca="1" si="1020"/>
        <v>0</v>
      </c>
      <c r="CI290" s="2078">
        <f t="shared" ca="1" si="1021"/>
        <v>0</v>
      </c>
      <c r="CJ290" s="2078">
        <f t="shared" ca="1" si="1022"/>
        <v>0</v>
      </c>
      <c r="CK290" s="2078">
        <f t="shared" ca="1" si="1023"/>
        <v>0</v>
      </c>
      <c r="CL290" s="2078">
        <f t="shared" ca="1" si="1024"/>
        <v>0</v>
      </c>
      <c r="CM290" s="2078">
        <f t="shared" si="968"/>
        <v>1</v>
      </c>
      <c r="CN290" s="2078">
        <f t="shared" si="969"/>
        <v>1</v>
      </c>
      <c r="CO290" s="2078">
        <f t="shared" si="958"/>
        <v>1</v>
      </c>
      <c r="CP290" s="2078">
        <f t="shared" si="1025"/>
        <v>1</v>
      </c>
      <c r="CQ290" s="2078">
        <f t="shared" si="959"/>
        <v>0</v>
      </c>
      <c r="CR290" s="2078">
        <f t="shared" si="879"/>
        <v>0</v>
      </c>
      <c r="CS290" s="2078">
        <f t="shared" si="1026"/>
        <v>0</v>
      </c>
      <c r="CT290" s="2078">
        <f t="shared" si="960"/>
        <v>1</v>
      </c>
      <c r="CU290" s="2078">
        <f t="shared" si="1027"/>
        <v>1</v>
      </c>
      <c r="CV290" s="2078">
        <f t="shared" si="970"/>
        <v>0</v>
      </c>
      <c r="CW290" s="2078">
        <f>IF(OR(AE290&lt;&gt;3,F290="Exclude"),0,IF(ISERROR(MATCH($E290,'4 Sign-off'!$S$123:$X$123,0)),0,1))</f>
        <v>0</v>
      </c>
      <c r="CX290" s="2078">
        <f t="shared" si="982"/>
        <v>0</v>
      </c>
      <c r="CY290" s="2078">
        <f t="shared" si="971"/>
        <v>0</v>
      </c>
      <c r="CZ290" s="2993">
        <f t="shared" ca="1" si="980"/>
        <v>0</v>
      </c>
      <c r="DA290" s="3037">
        <f t="shared" ca="1" si="981"/>
        <v>0</v>
      </c>
      <c r="DB290" s="1664"/>
      <c r="DC290" s="1320"/>
      <c r="DD290" s="589"/>
      <c r="DE290" s="1321"/>
      <c r="DF290" s="107"/>
      <c r="DG290" s="112"/>
      <c r="DH290" s="140"/>
      <c r="DI290" s="22"/>
      <c r="DJ290" s="145"/>
      <c r="DK290" s="137"/>
      <c r="DL290" s="137"/>
      <c r="DM290" s="137"/>
      <c r="DN290" s="137"/>
      <c r="DO290" s="137"/>
      <c r="DP290" s="137"/>
      <c r="DQ290" s="137"/>
      <c r="DR290" s="137"/>
      <c r="DS290" s="137"/>
      <c r="DT290" s="137"/>
      <c r="DU290" s="137"/>
      <c r="DV290" s="137"/>
      <c r="DW290" s="137"/>
      <c r="DX290" s="137"/>
      <c r="DY290" s="137"/>
      <c r="DZ290" s="137"/>
      <c r="EA290" s="137"/>
      <c r="EB290" s="137"/>
      <c r="EC290" s="137"/>
      <c r="ED290" s="137"/>
      <c r="EE290" s="137"/>
      <c r="EF290" s="137"/>
      <c r="EG290" s="137"/>
      <c r="EH290" s="137"/>
      <c r="EI290" s="137"/>
      <c r="EJ290" s="137"/>
      <c r="EK290" s="137"/>
      <c r="EL290" s="137"/>
      <c r="EM290" s="137"/>
      <c r="EN290" s="137"/>
      <c r="EO290" s="137"/>
      <c r="EP290" s="137"/>
      <c r="EQ290" s="137"/>
      <c r="ER290" s="137"/>
      <c r="ES290" s="137"/>
      <c r="ET290" s="137"/>
      <c r="EU290" s="137"/>
      <c r="EV290" s="137"/>
      <c r="EW290" s="137"/>
      <c r="EX290" s="137"/>
      <c r="EY290" s="137"/>
      <c r="EZ290" s="137"/>
      <c r="FA290" s="137"/>
      <c r="FB290" s="137"/>
      <c r="FC290" s="137"/>
      <c r="FD290" s="137"/>
      <c r="FE290" s="137"/>
      <c r="FF290" s="137"/>
      <c r="FG290" s="860"/>
      <c r="FH290" s="863"/>
      <c r="FI290" s="1318"/>
      <c r="FJ290" s="126"/>
      <c r="FK290" s="127"/>
      <c r="FL290" s="128" t="str">
        <f t="shared" si="1028"/>
        <v xml:space="preserve">    </v>
      </c>
      <c r="FM290" s="128"/>
      <c r="FN290" s="1686">
        <f t="shared" si="1029"/>
        <v>0</v>
      </c>
      <c r="FO290" s="46">
        <f t="shared" si="972"/>
        <v>0</v>
      </c>
      <c r="FP290" s="46">
        <f t="shared" si="977"/>
        <v>1</v>
      </c>
      <c r="FQ290" s="75">
        <f t="shared" si="1030"/>
        <v>0</v>
      </c>
      <c r="FR290" s="46">
        <f t="shared" si="1036"/>
        <v>0</v>
      </c>
      <c r="FS290" s="46">
        <f t="shared" si="1037"/>
        <v>1</v>
      </c>
      <c r="FT290" s="75">
        <f t="shared" si="1031"/>
        <v>0</v>
      </c>
      <c r="FU290" s="2603">
        <f t="shared" si="973"/>
        <v>0</v>
      </c>
      <c r="FV290" s="2607">
        <f t="shared" si="974"/>
        <v>0</v>
      </c>
      <c r="FW290" s="2603">
        <f t="shared" si="975"/>
        <v>0</v>
      </c>
      <c r="FX290" s="2631">
        <f t="shared" si="976"/>
        <v>0</v>
      </c>
      <c r="FY290" s="81" t="e">
        <f t="shared" si="1038"/>
        <v>#N/A</v>
      </c>
      <c r="FZ290" s="64" t="e">
        <f t="array" ref="FZ290">MATCH(1,($GT290:$LQ290&gt;0)*$GT$25:$LQ$25,0)</f>
        <v>#N/A</v>
      </c>
      <c r="GA290" s="64" t="e">
        <f t="array" ref="GA290">MATCH(2,1/(GT290:LQ290&gt;0))</f>
        <v>#N/A</v>
      </c>
      <c r="GB290" s="64">
        <f t="shared" si="1032"/>
        <v>-1</v>
      </c>
      <c r="GC290" s="46"/>
      <c r="GD290" s="613"/>
      <c r="GE290" s="613"/>
      <c r="GF290" s="613"/>
      <c r="GG290" s="613"/>
      <c r="GH290" s="613"/>
      <c r="GI290" s="613"/>
      <c r="GJ290" s="613"/>
      <c r="GK290" s="613"/>
      <c r="GL290" s="613"/>
      <c r="GM290" s="613"/>
      <c r="GN290" s="385">
        <f t="shared" si="983"/>
        <v>0</v>
      </c>
      <c r="GO290" s="386">
        <f t="shared" si="984"/>
        <v>0</v>
      </c>
      <c r="GP290" s="2635"/>
      <c r="GQ290" s="175"/>
      <c r="GR290" s="172"/>
      <c r="GS290" s="65"/>
      <c r="GT290" s="167"/>
      <c r="GU290" s="168"/>
      <c r="GV290" s="168"/>
      <c r="GW290" s="168"/>
      <c r="GX290" s="168"/>
      <c r="GY290" s="168"/>
      <c r="GZ290" s="168"/>
      <c r="HA290" s="168"/>
      <c r="HB290" s="168"/>
      <c r="HC290" s="168"/>
      <c r="HD290" s="168"/>
      <c r="HE290" s="168"/>
      <c r="HF290" s="168"/>
      <c r="HG290" s="168"/>
      <c r="HH290" s="168"/>
      <c r="HI290" s="168"/>
      <c r="HJ290" s="168"/>
      <c r="HK290" s="168"/>
      <c r="HL290" s="168"/>
      <c r="HM290" s="168"/>
      <c r="HN290" s="168"/>
      <c r="HO290" s="168"/>
      <c r="HP290" s="168"/>
      <c r="HQ290" s="168"/>
      <c r="HR290" s="168"/>
      <c r="HS290" s="168"/>
      <c r="HT290" s="168"/>
      <c r="HU290" s="168"/>
      <c r="HV290" s="168"/>
      <c r="HW290" s="168"/>
      <c r="HX290" s="168"/>
      <c r="HY290" s="168"/>
      <c r="HZ290" s="168"/>
      <c r="IA290" s="168"/>
      <c r="IB290" s="168"/>
      <c r="IC290" s="168"/>
      <c r="ID290" s="168"/>
      <c r="IE290" s="168"/>
      <c r="IF290" s="168"/>
      <c r="IG290" s="168"/>
      <c r="IH290" s="168"/>
      <c r="II290" s="168"/>
      <c r="IJ290" s="168"/>
      <c r="IK290" s="168"/>
      <c r="IL290" s="168"/>
      <c r="IM290" s="168"/>
      <c r="IN290" s="168"/>
      <c r="IO290" s="168"/>
      <c r="IP290" s="168"/>
      <c r="IQ290" s="168"/>
      <c r="IR290" s="168"/>
      <c r="IS290" s="168"/>
      <c r="IT290" s="168"/>
      <c r="IU290" s="168"/>
      <c r="IV290" s="168"/>
      <c r="IW290" s="168"/>
      <c r="IX290" s="168"/>
      <c r="IY290" s="168"/>
      <c r="IZ290" s="168"/>
      <c r="JA290" s="168"/>
      <c r="JB290" s="168"/>
      <c r="JC290" s="168"/>
      <c r="JD290" s="168"/>
      <c r="JE290" s="168"/>
      <c r="JF290" s="168"/>
      <c r="JG290" s="168"/>
      <c r="JH290" s="168"/>
      <c r="JI290" s="168"/>
      <c r="JJ290" s="168"/>
      <c r="JK290" s="168"/>
      <c r="JL290" s="168"/>
      <c r="JM290" s="168"/>
      <c r="JN290" s="168"/>
      <c r="JO290" s="168"/>
      <c r="JP290" s="168"/>
      <c r="JQ290" s="168"/>
      <c r="JR290" s="168"/>
      <c r="JS290" s="168"/>
      <c r="JT290" s="168"/>
      <c r="JU290" s="168"/>
      <c r="JV290" s="168"/>
      <c r="JW290" s="168"/>
      <c r="JX290" s="168"/>
      <c r="JY290" s="168"/>
      <c r="JZ290" s="168"/>
      <c r="KA290" s="168"/>
      <c r="KB290" s="168"/>
      <c r="KC290" s="168"/>
      <c r="KD290" s="168"/>
      <c r="KE290" s="168"/>
      <c r="KF290" s="168"/>
      <c r="KG290" s="168"/>
      <c r="KH290" s="168"/>
      <c r="KI290" s="168"/>
      <c r="KJ290" s="168"/>
      <c r="KK290" s="168"/>
      <c r="KL290" s="168"/>
      <c r="KM290" s="168"/>
      <c r="KN290" s="168"/>
      <c r="KO290" s="168"/>
      <c r="KP290" s="168"/>
      <c r="KQ290" s="168"/>
      <c r="KR290" s="168"/>
      <c r="KS290" s="168"/>
      <c r="KT290" s="168"/>
      <c r="KU290" s="168"/>
      <c r="KV290" s="168"/>
      <c r="KW290" s="168"/>
      <c r="KX290" s="168"/>
      <c r="KY290" s="168"/>
      <c r="KZ290" s="168"/>
      <c r="LA290" s="168"/>
      <c r="LB290" s="168"/>
      <c r="LC290" s="168"/>
      <c r="LD290" s="168"/>
      <c r="LE290" s="168"/>
      <c r="LF290" s="168"/>
      <c r="LG290" s="168"/>
      <c r="LH290" s="168"/>
      <c r="LI290" s="168"/>
      <c r="LJ290" s="168"/>
      <c r="LK290" s="168"/>
      <c r="LL290" s="168"/>
      <c r="LM290" s="168"/>
      <c r="LN290" s="168"/>
      <c r="LO290" s="168"/>
      <c r="LP290" s="606"/>
      <c r="LQ290" s="609"/>
      <c r="LR290" s="1319"/>
      <c r="LS290" s="1319"/>
    </row>
    <row r="291" spans="1:331" s="2" customFormat="1" ht="15" customHeight="1" x14ac:dyDescent="0.25">
      <c r="A291" s="283"/>
      <c r="B291" s="303"/>
      <c r="C291" s="301"/>
      <c r="D291" s="1287"/>
      <c r="E291" s="2298"/>
      <c r="F291" s="1812"/>
      <c r="G291" s="3342"/>
      <c r="H291" s="66"/>
      <c r="I291" s="1746"/>
      <c r="J291" s="1214"/>
      <c r="K291" s="105"/>
      <c r="L291" s="91"/>
      <c r="M291" s="92"/>
      <c r="N291" s="93"/>
      <c r="O291" s="94"/>
      <c r="P291" s="96"/>
      <c r="Q291" s="95"/>
      <c r="R291" s="993">
        <f t="shared" si="978"/>
        <v>0</v>
      </c>
      <c r="S291" s="23">
        <f t="shared" si="979"/>
        <v>0</v>
      </c>
      <c r="T291" s="24">
        <f t="shared" si="985"/>
        <v>0</v>
      </c>
      <c r="U291" s="24">
        <f t="shared" si="986"/>
        <v>0</v>
      </c>
      <c r="V291" s="24">
        <f t="shared" si="987"/>
        <v>0</v>
      </c>
      <c r="W291" s="24">
        <f t="shared" ca="1" si="988"/>
        <v>0</v>
      </c>
      <c r="X291" s="72">
        <f t="shared" ca="1" si="956"/>
        <v>0</v>
      </c>
      <c r="Y291" s="72">
        <f t="shared" si="989"/>
        <v>0</v>
      </c>
      <c r="Z291" s="24">
        <f t="shared" si="990"/>
        <v>0</v>
      </c>
      <c r="AA291" s="72">
        <f t="shared" si="957"/>
        <v>0</v>
      </c>
      <c r="AB291" s="24">
        <f t="shared" si="967"/>
        <v>0</v>
      </c>
      <c r="AC291" s="24">
        <f t="shared" ca="1" si="991"/>
        <v>0</v>
      </c>
      <c r="AD291" s="24">
        <f t="shared" si="886"/>
        <v>0</v>
      </c>
      <c r="AE291" s="2078">
        <f t="shared" si="1033"/>
        <v>3</v>
      </c>
      <c r="AF291" s="2078">
        <f t="shared" si="1034"/>
        <v>0</v>
      </c>
      <c r="AG291" s="2078">
        <f t="shared" si="1035"/>
        <v>0</v>
      </c>
      <c r="AH291" s="2521">
        <f t="shared" si="887"/>
        <v>1</v>
      </c>
      <c r="AI291" s="25" t="str">
        <f t="shared" si="992"/>
        <v/>
      </c>
      <c r="AJ291" s="2521">
        <f t="shared" ca="1" si="882"/>
        <v>0</v>
      </c>
      <c r="AK291" s="2076">
        <f t="shared" ca="1" si="878"/>
        <v>0</v>
      </c>
      <c r="AL291" s="2078">
        <f>IF(ISBLANK(J291),0,ISERROR(MATCH(J291,'5  Control Accounts'!$FA$29:$FA$96,0))*1)</f>
        <v>0</v>
      </c>
      <c r="AM291" s="2076">
        <f t="shared" si="993"/>
        <v>0</v>
      </c>
      <c r="AN291" s="2078">
        <f t="shared" si="994"/>
        <v>1</v>
      </c>
      <c r="AO291" s="2079">
        <f t="shared" si="888"/>
        <v>1</v>
      </c>
      <c r="AP291" s="2079">
        <f t="shared" si="889"/>
        <v>0</v>
      </c>
      <c r="AQ291" s="2079">
        <f t="shared" si="890"/>
        <v>0</v>
      </c>
      <c r="AR291" s="2079">
        <f t="shared" si="891"/>
        <v>0</v>
      </c>
      <c r="AS291" s="2079">
        <f t="shared" si="892"/>
        <v>0</v>
      </c>
      <c r="AT291" s="2079">
        <f t="shared" si="893"/>
        <v>0</v>
      </c>
      <c r="AU291" s="2079">
        <f t="shared" si="894"/>
        <v>0</v>
      </c>
      <c r="AV291" s="2079">
        <f t="shared" si="895"/>
        <v>0</v>
      </c>
      <c r="AW291" s="2079">
        <f t="shared" si="896"/>
        <v>0</v>
      </c>
      <c r="AX291" s="2079">
        <f t="shared" si="897"/>
        <v>0</v>
      </c>
      <c r="AY291" s="2078">
        <f t="shared" si="995"/>
        <v>0</v>
      </c>
      <c r="AZ291" s="2078">
        <f t="shared" si="996"/>
        <v>0</v>
      </c>
      <c r="BA291" s="2078">
        <f t="shared" si="997"/>
        <v>0</v>
      </c>
      <c r="BB291" s="2078">
        <f t="shared" si="998"/>
        <v>0</v>
      </c>
      <c r="BC291" s="2078">
        <f t="shared" si="999"/>
        <v>0</v>
      </c>
      <c r="BD291" s="2078">
        <f t="shared" si="1000"/>
        <v>0</v>
      </c>
      <c r="BE291" s="2078">
        <f t="shared" si="1001"/>
        <v>0</v>
      </c>
      <c r="BF291" s="2078">
        <f t="shared" si="1002"/>
        <v>0</v>
      </c>
      <c r="BG291" s="2078">
        <f t="shared" si="1003"/>
        <v>0</v>
      </c>
      <c r="BH291" s="2078">
        <f t="shared" si="1004"/>
        <v>0</v>
      </c>
      <c r="BI291" s="2078">
        <f t="shared" si="1005"/>
        <v>0</v>
      </c>
      <c r="BJ291" s="2078">
        <f t="shared" si="1006"/>
        <v>0</v>
      </c>
      <c r="BK291" s="2078">
        <f t="shared" si="1007"/>
        <v>0</v>
      </c>
      <c r="BL291" s="2078">
        <f t="shared" si="1008"/>
        <v>0</v>
      </c>
      <c r="BM291" s="2078">
        <f t="shared" si="1009"/>
        <v>0</v>
      </c>
      <c r="BN291" s="2078">
        <f t="shared" si="1010"/>
        <v>0</v>
      </c>
      <c r="BO291" s="2078">
        <f t="shared" si="1011"/>
        <v>0</v>
      </c>
      <c r="BP291" s="2078">
        <f t="shared" si="1012"/>
        <v>0</v>
      </c>
      <c r="BQ291" s="2078">
        <f t="shared" si="1013"/>
        <v>0</v>
      </c>
      <c r="BR291" s="2078">
        <f t="shared" si="1014"/>
        <v>0</v>
      </c>
      <c r="BS291" s="2079">
        <f t="shared" si="898"/>
        <v>1</v>
      </c>
      <c r="BT291" s="2079">
        <f t="shared" si="899"/>
        <v>0</v>
      </c>
      <c r="BU291" s="2079">
        <f t="shared" si="900"/>
        <v>0</v>
      </c>
      <c r="BV291" s="2079">
        <f t="shared" si="901"/>
        <v>0</v>
      </c>
      <c r="BW291" s="2079">
        <f t="shared" si="902"/>
        <v>0</v>
      </c>
      <c r="BX291" s="2079">
        <f t="shared" si="903"/>
        <v>0</v>
      </c>
      <c r="BY291" s="2079">
        <f t="shared" si="904"/>
        <v>0</v>
      </c>
      <c r="BZ291" s="2079">
        <f t="shared" si="905"/>
        <v>0</v>
      </c>
      <c r="CA291" s="2079">
        <f t="shared" si="906"/>
        <v>0</v>
      </c>
      <c r="CB291" s="2079">
        <f t="shared" si="907"/>
        <v>0</v>
      </c>
      <c r="CC291" s="2078">
        <f t="shared" ca="1" si="1015"/>
        <v>0</v>
      </c>
      <c r="CD291" s="2078">
        <f t="shared" ca="1" si="1016"/>
        <v>0</v>
      </c>
      <c r="CE291" s="2078">
        <f t="shared" ca="1" si="1017"/>
        <v>0</v>
      </c>
      <c r="CF291" s="2078">
        <f t="shared" ca="1" si="1018"/>
        <v>0</v>
      </c>
      <c r="CG291" s="2078">
        <f t="shared" ca="1" si="1019"/>
        <v>0</v>
      </c>
      <c r="CH291" s="2078">
        <f t="shared" ca="1" si="1020"/>
        <v>0</v>
      </c>
      <c r="CI291" s="2078">
        <f t="shared" ca="1" si="1021"/>
        <v>0</v>
      </c>
      <c r="CJ291" s="2078">
        <f t="shared" ca="1" si="1022"/>
        <v>0</v>
      </c>
      <c r="CK291" s="2078">
        <f t="shared" ca="1" si="1023"/>
        <v>0</v>
      </c>
      <c r="CL291" s="2078">
        <f t="shared" ca="1" si="1024"/>
        <v>0</v>
      </c>
      <c r="CM291" s="2078">
        <f t="shared" si="968"/>
        <v>1</v>
      </c>
      <c r="CN291" s="2078">
        <f t="shared" si="969"/>
        <v>1</v>
      </c>
      <c r="CO291" s="2078">
        <f t="shared" si="958"/>
        <v>1</v>
      </c>
      <c r="CP291" s="2078">
        <f t="shared" si="1025"/>
        <v>1</v>
      </c>
      <c r="CQ291" s="2078">
        <f t="shared" si="959"/>
        <v>0</v>
      </c>
      <c r="CR291" s="2078">
        <f t="shared" si="879"/>
        <v>0</v>
      </c>
      <c r="CS291" s="2078">
        <f t="shared" si="1026"/>
        <v>0</v>
      </c>
      <c r="CT291" s="2078">
        <f t="shared" si="960"/>
        <v>1</v>
      </c>
      <c r="CU291" s="2078">
        <f t="shared" si="1027"/>
        <v>1</v>
      </c>
      <c r="CV291" s="2078">
        <f t="shared" si="970"/>
        <v>0</v>
      </c>
      <c r="CW291" s="2078">
        <f>IF(OR(AE291&lt;&gt;3,F291="Exclude"),0,IF(ISERROR(MATCH($E291,'4 Sign-off'!$S$123:$X$123,0)),0,1))</f>
        <v>0</v>
      </c>
      <c r="CX291" s="2078">
        <f t="shared" si="982"/>
        <v>0</v>
      </c>
      <c r="CY291" s="2078">
        <f t="shared" si="971"/>
        <v>0</v>
      </c>
      <c r="CZ291" s="2993">
        <f t="shared" ca="1" si="980"/>
        <v>0</v>
      </c>
      <c r="DA291" s="3037">
        <f t="shared" ca="1" si="981"/>
        <v>0</v>
      </c>
      <c r="DB291" s="1664"/>
      <c r="DC291" s="1320"/>
      <c r="DD291" s="589"/>
      <c r="DE291" s="1321"/>
      <c r="DF291" s="107"/>
      <c r="DG291" s="112"/>
      <c r="DH291" s="140"/>
      <c r="DI291" s="22"/>
      <c r="DJ291" s="145"/>
      <c r="DK291" s="137"/>
      <c r="DL291" s="137"/>
      <c r="DM291" s="137"/>
      <c r="DN291" s="137"/>
      <c r="DO291" s="137"/>
      <c r="DP291" s="137"/>
      <c r="DQ291" s="137"/>
      <c r="DR291" s="137"/>
      <c r="DS291" s="137"/>
      <c r="DT291" s="137"/>
      <c r="DU291" s="137"/>
      <c r="DV291" s="137"/>
      <c r="DW291" s="137"/>
      <c r="DX291" s="137"/>
      <c r="DY291" s="137"/>
      <c r="DZ291" s="137"/>
      <c r="EA291" s="137"/>
      <c r="EB291" s="137"/>
      <c r="EC291" s="137"/>
      <c r="ED291" s="137"/>
      <c r="EE291" s="137"/>
      <c r="EF291" s="137"/>
      <c r="EG291" s="137"/>
      <c r="EH291" s="137"/>
      <c r="EI291" s="137"/>
      <c r="EJ291" s="137"/>
      <c r="EK291" s="137"/>
      <c r="EL291" s="137"/>
      <c r="EM291" s="137"/>
      <c r="EN291" s="137"/>
      <c r="EO291" s="137"/>
      <c r="EP291" s="137"/>
      <c r="EQ291" s="137"/>
      <c r="ER291" s="137"/>
      <c r="ES291" s="137"/>
      <c r="ET291" s="137"/>
      <c r="EU291" s="137"/>
      <c r="EV291" s="137"/>
      <c r="EW291" s="137"/>
      <c r="EX291" s="137"/>
      <c r="EY291" s="137"/>
      <c r="EZ291" s="137"/>
      <c r="FA291" s="137"/>
      <c r="FB291" s="137"/>
      <c r="FC291" s="137"/>
      <c r="FD291" s="137"/>
      <c r="FE291" s="137"/>
      <c r="FF291" s="137"/>
      <c r="FG291" s="860"/>
      <c r="FH291" s="863"/>
      <c r="FI291" s="1318"/>
      <c r="FJ291" s="126"/>
      <c r="FK291" s="127"/>
      <c r="FL291" s="128" t="str">
        <f t="shared" si="1028"/>
        <v xml:space="preserve">    </v>
      </c>
      <c r="FM291" s="128"/>
      <c r="FN291" s="1686">
        <f t="shared" si="1029"/>
        <v>0</v>
      </c>
      <c r="FO291" s="46">
        <f t="shared" si="972"/>
        <v>0</v>
      </c>
      <c r="FP291" s="46">
        <f t="shared" si="977"/>
        <v>1</v>
      </c>
      <c r="FQ291" s="75">
        <f t="shared" si="1030"/>
        <v>0</v>
      </c>
      <c r="FR291" s="46">
        <f t="shared" si="1036"/>
        <v>0</v>
      </c>
      <c r="FS291" s="46">
        <f t="shared" si="1037"/>
        <v>1</v>
      </c>
      <c r="FT291" s="75">
        <f t="shared" si="1031"/>
        <v>0</v>
      </c>
      <c r="FU291" s="2603">
        <f t="shared" si="973"/>
        <v>0</v>
      </c>
      <c r="FV291" s="2607">
        <f t="shared" si="974"/>
        <v>0</v>
      </c>
      <c r="FW291" s="2603">
        <f t="shared" si="975"/>
        <v>0</v>
      </c>
      <c r="FX291" s="2631">
        <f t="shared" si="976"/>
        <v>0</v>
      </c>
      <c r="FY291" s="81" t="e">
        <f t="shared" si="1038"/>
        <v>#N/A</v>
      </c>
      <c r="FZ291" s="64" t="e">
        <f t="array" ref="FZ291">MATCH(1,($GT291:$LQ291&gt;0)*$GT$25:$LQ$25,0)</f>
        <v>#N/A</v>
      </c>
      <c r="GA291" s="64" t="e">
        <f t="array" ref="GA291">MATCH(2,1/(GT291:LQ291&gt;0))</f>
        <v>#N/A</v>
      </c>
      <c r="GB291" s="64">
        <f t="shared" si="1032"/>
        <v>-1</v>
      </c>
      <c r="GC291" s="46"/>
      <c r="GD291" s="613"/>
      <c r="GE291" s="613"/>
      <c r="GF291" s="613"/>
      <c r="GG291" s="613"/>
      <c r="GH291" s="613"/>
      <c r="GI291" s="613"/>
      <c r="GJ291" s="613"/>
      <c r="GK291" s="613"/>
      <c r="GL291" s="613"/>
      <c r="GM291" s="613"/>
      <c r="GN291" s="385">
        <f t="shared" si="983"/>
        <v>0</v>
      </c>
      <c r="GO291" s="386">
        <f t="shared" si="984"/>
        <v>0</v>
      </c>
      <c r="GP291" s="2635"/>
      <c r="GQ291" s="175"/>
      <c r="GR291" s="172"/>
      <c r="GS291" s="65"/>
      <c r="GT291" s="167"/>
      <c r="GU291" s="168"/>
      <c r="GV291" s="168"/>
      <c r="GW291" s="168"/>
      <c r="GX291" s="168"/>
      <c r="GY291" s="168"/>
      <c r="GZ291" s="168"/>
      <c r="HA291" s="168"/>
      <c r="HB291" s="168"/>
      <c r="HC291" s="168"/>
      <c r="HD291" s="168"/>
      <c r="HE291" s="168"/>
      <c r="HF291" s="168"/>
      <c r="HG291" s="168"/>
      <c r="HH291" s="168"/>
      <c r="HI291" s="168"/>
      <c r="HJ291" s="168"/>
      <c r="HK291" s="168"/>
      <c r="HL291" s="168"/>
      <c r="HM291" s="168"/>
      <c r="HN291" s="168"/>
      <c r="HO291" s="168"/>
      <c r="HP291" s="168"/>
      <c r="HQ291" s="168"/>
      <c r="HR291" s="168"/>
      <c r="HS291" s="168"/>
      <c r="HT291" s="168"/>
      <c r="HU291" s="168"/>
      <c r="HV291" s="168"/>
      <c r="HW291" s="168"/>
      <c r="HX291" s="168"/>
      <c r="HY291" s="168"/>
      <c r="HZ291" s="168"/>
      <c r="IA291" s="168"/>
      <c r="IB291" s="168"/>
      <c r="IC291" s="168"/>
      <c r="ID291" s="168"/>
      <c r="IE291" s="168"/>
      <c r="IF291" s="168"/>
      <c r="IG291" s="168"/>
      <c r="IH291" s="168"/>
      <c r="II291" s="168"/>
      <c r="IJ291" s="168"/>
      <c r="IK291" s="168"/>
      <c r="IL291" s="168"/>
      <c r="IM291" s="168"/>
      <c r="IN291" s="168"/>
      <c r="IO291" s="168"/>
      <c r="IP291" s="168"/>
      <c r="IQ291" s="168"/>
      <c r="IR291" s="168"/>
      <c r="IS291" s="168"/>
      <c r="IT291" s="168"/>
      <c r="IU291" s="168"/>
      <c r="IV291" s="168"/>
      <c r="IW291" s="168"/>
      <c r="IX291" s="168"/>
      <c r="IY291" s="168"/>
      <c r="IZ291" s="168"/>
      <c r="JA291" s="168"/>
      <c r="JB291" s="168"/>
      <c r="JC291" s="168"/>
      <c r="JD291" s="168"/>
      <c r="JE291" s="168"/>
      <c r="JF291" s="168"/>
      <c r="JG291" s="168"/>
      <c r="JH291" s="168"/>
      <c r="JI291" s="168"/>
      <c r="JJ291" s="168"/>
      <c r="JK291" s="168"/>
      <c r="JL291" s="168"/>
      <c r="JM291" s="168"/>
      <c r="JN291" s="168"/>
      <c r="JO291" s="168"/>
      <c r="JP291" s="168"/>
      <c r="JQ291" s="168"/>
      <c r="JR291" s="168"/>
      <c r="JS291" s="168"/>
      <c r="JT291" s="168"/>
      <c r="JU291" s="168"/>
      <c r="JV291" s="168"/>
      <c r="JW291" s="168"/>
      <c r="JX291" s="168"/>
      <c r="JY291" s="168"/>
      <c r="JZ291" s="168"/>
      <c r="KA291" s="168"/>
      <c r="KB291" s="168"/>
      <c r="KC291" s="168"/>
      <c r="KD291" s="168"/>
      <c r="KE291" s="168"/>
      <c r="KF291" s="168"/>
      <c r="KG291" s="168"/>
      <c r="KH291" s="168"/>
      <c r="KI291" s="168"/>
      <c r="KJ291" s="168"/>
      <c r="KK291" s="168"/>
      <c r="KL291" s="168"/>
      <c r="KM291" s="168"/>
      <c r="KN291" s="168"/>
      <c r="KO291" s="168"/>
      <c r="KP291" s="168"/>
      <c r="KQ291" s="168"/>
      <c r="KR291" s="168"/>
      <c r="KS291" s="168"/>
      <c r="KT291" s="168"/>
      <c r="KU291" s="168"/>
      <c r="KV291" s="168"/>
      <c r="KW291" s="168"/>
      <c r="KX291" s="168"/>
      <c r="KY291" s="168"/>
      <c r="KZ291" s="168"/>
      <c r="LA291" s="168"/>
      <c r="LB291" s="168"/>
      <c r="LC291" s="168"/>
      <c r="LD291" s="168"/>
      <c r="LE291" s="168"/>
      <c r="LF291" s="168"/>
      <c r="LG291" s="168"/>
      <c r="LH291" s="168"/>
      <c r="LI291" s="168"/>
      <c r="LJ291" s="168"/>
      <c r="LK291" s="168"/>
      <c r="LL291" s="168"/>
      <c r="LM291" s="168"/>
      <c r="LN291" s="168"/>
      <c r="LO291" s="168"/>
      <c r="LP291" s="606"/>
      <c r="LQ291" s="609"/>
      <c r="LR291" s="1319"/>
      <c r="LS291" s="1319"/>
    </row>
    <row r="292" spans="1:331" s="2" customFormat="1" ht="15" customHeight="1" x14ac:dyDescent="0.25">
      <c r="A292" s="283"/>
      <c r="B292" s="303"/>
      <c r="C292" s="301"/>
      <c r="D292" s="1287"/>
      <c r="E292" s="2298"/>
      <c r="F292" s="1812"/>
      <c r="G292" s="3342"/>
      <c r="H292" s="66"/>
      <c r="I292" s="1746"/>
      <c r="J292" s="1214"/>
      <c r="K292" s="105"/>
      <c r="L292" s="91"/>
      <c r="M292" s="92"/>
      <c r="N292" s="93"/>
      <c r="O292" s="94"/>
      <c r="P292" s="96"/>
      <c r="Q292" s="95"/>
      <c r="R292" s="993">
        <f t="shared" si="978"/>
        <v>0</v>
      </c>
      <c r="S292" s="23">
        <f t="shared" si="979"/>
        <v>0</v>
      </c>
      <c r="T292" s="24">
        <f t="shared" si="985"/>
        <v>0</v>
      </c>
      <c r="U292" s="24">
        <f t="shared" si="986"/>
        <v>0</v>
      </c>
      <c r="V292" s="24">
        <f t="shared" si="987"/>
        <v>0</v>
      </c>
      <c r="W292" s="24">
        <f t="shared" ca="1" si="988"/>
        <v>0</v>
      </c>
      <c r="X292" s="72">
        <f t="shared" ca="1" si="956"/>
        <v>0</v>
      </c>
      <c r="Y292" s="72">
        <f t="shared" si="989"/>
        <v>0</v>
      </c>
      <c r="Z292" s="24">
        <f t="shared" si="990"/>
        <v>0</v>
      </c>
      <c r="AA292" s="72">
        <f t="shared" si="957"/>
        <v>0</v>
      </c>
      <c r="AB292" s="24">
        <f t="shared" si="967"/>
        <v>0</v>
      </c>
      <c r="AC292" s="24">
        <f t="shared" ca="1" si="991"/>
        <v>0</v>
      </c>
      <c r="AD292" s="24">
        <f t="shared" si="886"/>
        <v>0</v>
      </c>
      <c r="AE292" s="2078">
        <f t="shared" si="1033"/>
        <v>3</v>
      </c>
      <c r="AF292" s="2078">
        <f t="shared" si="1034"/>
        <v>0</v>
      </c>
      <c r="AG292" s="2078">
        <f t="shared" si="1035"/>
        <v>0</v>
      </c>
      <c r="AH292" s="2521">
        <f t="shared" si="887"/>
        <v>1</v>
      </c>
      <c r="AI292" s="25" t="str">
        <f t="shared" si="992"/>
        <v/>
      </c>
      <c r="AJ292" s="2521">
        <f t="shared" ca="1" si="882"/>
        <v>0</v>
      </c>
      <c r="AK292" s="2076">
        <f t="shared" ca="1" si="878"/>
        <v>0</v>
      </c>
      <c r="AL292" s="2078">
        <f>IF(ISBLANK(J292),0,ISERROR(MATCH(J292,'5  Control Accounts'!$FA$29:$FA$96,0))*1)</f>
        <v>0</v>
      </c>
      <c r="AM292" s="2076">
        <f t="shared" si="993"/>
        <v>0</v>
      </c>
      <c r="AN292" s="2078">
        <f t="shared" si="994"/>
        <v>1</v>
      </c>
      <c r="AO292" s="2079">
        <f t="shared" si="888"/>
        <v>1</v>
      </c>
      <c r="AP292" s="2079">
        <f t="shared" si="889"/>
        <v>0</v>
      </c>
      <c r="AQ292" s="2079">
        <f t="shared" si="890"/>
        <v>0</v>
      </c>
      <c r="AR292" s="2079">
        <f t="shared" si="891"/>
        <v>0</v>
      </c>
      <c r="AS292" s="2079">
        <f t="shared" si="892"/>
        <v>0</v>
      </c>
      <c r="AT292" s="2079">
        <f t="shared" si="893"/>
        <v>0</v>
      </c>
      <c r="AU292" s="2079">
        <f t="shared" si="894"/>
        <v>0</v>
      </c>
      <c r="AV292" s="2079">
        <f t="shared" si="895"/>
        <v>0</v>
      </c>
      <c r="AW292" s="2079">
        <f t="shared" si="896"/>
        <v>0</v>
      </c>
      <c r="AX292" s="2079">
        <f t="shared" si="897"/>
        <v>0</v>
      </c>
      <c r="AY292" s="2078">
        <f t="shared" si="995"/>
        <v>0</v>
      </c>
      <c r="AZ292" s="2078">
        <f t="shared" si="996"/>
        <v>0</v>
      </c>
      <c r="BA292" s="2078">
        <f t="shared" si="997"/>
        <v>0</v>
      </c>
      <c r="BB292" s="2078">
        <f t="shared" si="998"/>
        <v>0</v>
      </c>
      <c r="BC292" s="2078">
        <f t="shared" si="999"/>
        <v>0</v>
      </c>
      <c r="BD292" s="2078">
        <f t="shared" si="1000"/>
        <v>0</v>
      </c>
      <c r="BE292" s="2078">
        <f t="shared" si="1001"/>
        <v>0</v>
      </c>
      <c r="BF292" s="2078">
        <f t="shared" si="1002"/>
        <v>0</v>
      </c>
      <c r="BG292" s="2078">
        <f t="shared" si="1003"/>
        <v>0</v>
      </c>
      <c r="BH292" s="2078">
        <f t="shared" si="1004"/>
        <v>0</v>
      </c>
      <c r="BI292" s="2078">
        <f t="shared" si="1005"/>
        <v>0</v>
      </c>
      <c r="BJ292" s="2078">
        <f t="shared" si="1006"/>
        <v>0</v>
      </c>
      <c r="BK292" s="2078">
        <f t="shared" si="1007"/>
        <v>0</v>
      </c>
      <c r="BL292" s="2078">
        <f t="shared" si="1008"/>
        <v>0</v>
      </c>
      <c r="BM292" s="2078">
        <f t="shared" si="1009"/>
        <v>0</v>
      </c>
      <c r="BN292" s="2078">
        <f t="shared" si="1010"/>
        <v>0</v>
      </c>
      <c r="BO292" s="2078">
        <f t="shared" si="1011"/>
        <v>0</v>
      </c>
      <c r="BP292" s="2078">
        <f t="shared" si="1012"/>
        <v>0</v>
      </c>
      <c r="BQ292" s="2078">
        <f t="shared" si="1013"/>
        <v>0</v>
      </c>
      <c r="BR292" s="2078">
        <f t="shared" si="1014"/>
        <v>0</v>
      </c>
      <c r="BS292" s="2079">
        <f t="shared" si="898"/>
        <v>1</v>
      </c>
      <c r="BT292" s="2079">
        <f t="shared" si="899"/>
        <v>0</v>
      </c>
      <c r="BU292" s="2079">
        <f t="shared" si="900"/>
        <v>0</v>
      </c>
      <c r="BV292" s="2079">
        <f t="shared" si="901"/>
        <v>0</v>
      </c>
      <c r="BW292" s="2079">
        <f t="shared" si="902"/>
        <v>0</v>
      </c>
      <c r="BX292" s="2079">
        <f t="shared" si="903"/>
        <v>0</v>
      </c>
      <c r="BY292" s="2079">
        <f t="shared" si="904"/>
        <v>0</v>
      </c>
      <c r="BZ292" s="2079">
        <f t="shared" si="905"/>
        <v>0</v>
      </c>
      <c r="CA292" s="2079">
        <f t="shared" si="906"/>
        <v>0</v>
      </c>
      <c r="CB292" s="2079">
        <f t="shared" si="907"/>
        <v>0</v>
      </c>
      <c r="CC292" s="2078">
        <f t="shared" ca="1" si="1015"/>
        <v>0</v>
      </c>
      <c r="CD292" s="2078">
        <f t="shared" ca="1" si="1016"/>
        <v>0</v>
      </c>
      <c r="CE292" s="2078">
        <f t="shared" ca="1" si="1017"/>
        <v>0</v>
      </c>
      <c r="CF292" s="2078">
        <f t="shared" ca="1" si="1018"/>
        <v>0</v>
      </c>
      <c r="CG292" s="2078">
        <f t="shared" ca="1" si="1019"/>
        <v>0</v>
      </c>
      <c r="CH292" s="2078">
        <f t="shared" ca="1" si="1020"/>
        <v>0</v>
      </c>
      <c r="CI292" s="2078">
        <f t="shared" ca="1" si="1021"/>
        <v>0</v>
      </c>
      <c r="CJ292" s="2078">
        <f t="shared" ca="1" si="1022"/>
        <v>0</v>
      </c>
      <c r="CK292" s="2078">
        <f t="shared" ca="1" si="1023"/>
        <v>0</v>
      </c>
      <c r="CL292" s="2078">
        <f t="shared" ca="1" si="1024"/>
        <v>0</v>
      </c>
      <c r="CM292" s="2078">
        <f t="shared" si="968"/>
        <v>1</v>
      </c>
      <c r="CN292" s="2078">
        <f t="shared" si="969"/>
        <v>1</v>
      </c>
      <c r="CO292" s="2078">
        <f t="shared" si="958"/>
        <v>1</v>
      </c>
      <c r="CP292" s="2078">
        <f t="shared" si="1025"/>
        <v>1</v>
      </c>
      <c r="CQ292" s="2078">
        <f t="shared" si="959"/>
        <v>0</v>
      </c>
      <c r="CR292" s="2078">
        <f t="shared" si="879"/>
        <v>0</v>
      </c>
      <c r="CS292" s="2078">
        <f t="shared" si="1026"/>
        <v>0</v>
      </c>
      <c r="CT292" s="2078">
        <f t="shared" si="960"/>
        <v>1</v>
      </c>
      <c r="CU292" s="2078">
        <f t="shared" si="1027"/>
        <v>1</v>
      </c>
      <c r="CV292" s="2078">
        <f t="shared" si="970"/>
        <v>0</v>
      </c>
      <c r="CW292" s="2078">
        <f>IF(OR(AE292&lt;&gt;3,F292="Exclude"),0,IF(ISERROR(MATCH($E292,'4 Sign-off'!$S$123:$X$123,0)),0,1))</f>
        <v>0</v>
      </c>
      <c r="CX292" s="2078">
        <f t="shared" si="982"/>
        <v>0</v>
      </c>
      <c r="CY292" s="2078">
        <f t="shared" si="971"/>
        <v>0</v>
      </c>
      <c r="CZ292" s="2993">
        <f t="shared" ca="1" si="980"/>
        <v>0</v>
      </c>
      <c r="DA292" s="3037">
        <f t="shared" ca="1" si="981"/>
        <v>0</v>
      </c>
      <c r="DB292" s="1664"/>
      <c r="DC292" s="1320"/>
      <c r="DD292" s="589"/>
      <c r="DE292" s="1321"/>
      <c r="DF292" s="107"/>
      <c r="DG292" s="112"/>
      <c r="DH292" s="140"/>
      <c r="DI292" s="22"/>
      <c r="DJ292" s="145"/>
      <c r="DK292" s="137"/>
      <c r="DL292" s="137"/>
      <c r="DM292" s="137"/>
      <c r="DN292" s="137"/>
      <c r="DO292" s="137"/>
      <c r="DP292" s="137"/>
      <c r="DQ292" s="137"/>
      <c r="DR292" s="137"/>
      <c r="DS292" s="137"/>
      <c r="DT292" s="137"/>
      <c r="DU292" s="137"/>
      <c r="DV292" s="137"/>
      <c r="DW292" s="137"/>
      <c r="DX292" s="137"/>
      <c r="DY292" s="137"/>
      <c r="DZ292" s="137"/>
      <c r="EA292" s="137"/>
      <c r="EB292" s="137"/>
      <c r="EC292" s="137"/>
      <c r="ED292" s="137"/>
      <c r="EE292" s="137"/>
      <c r="EF292" s="137"/>
      <c r="EG292" s="137"/>
      <c r="EH292" s="137"/>
      <c r="EI292" s="137"/>
      <c r="EJ292" s="137"/>
      <c r="EK292" s="137"/>
      <c r="EL292" s="137"/>
      <c r="EM292" s="137"/>
      <c r="EN292" s="137"/>
      <c r="EO292" s="137"/>
      <c r="EP292" s="137"/>
      <c r="EQ292" s="137"/>
      <c r="ER292" s="137"/>
      <c r="ES292" s="137"/>
      <c r="ET292" s="137"/>
      <c r="EU292" s="137"/>
      <c r="EV292" s="137"/>
      <c r="EW292" s="137"/>
      <c r="EX292" s="137"/>
      <c r="EY292" s="137"/>
      <c r="EZ292" s="137"/>
      <c r="FA292" s="137"/>
      <c r="FB292" s="137"/>
      <c r="FC292" s="137"/>
      <c r="FD292" s="137"/>
      <c r="FE292" s="137"/>
      <c r="FF292" s="137"/>
      <c r="FG292" s="860"/>
      <c r="FH292" s="863"/>
      <c r="FI292" s="1318"/>
      <c r="FJ292" s="126"/>
      <c r="FK292" s="127"/>
      <c r="FL292" s="128" t="str">
        <f t="shared" si="1028"/>
        <v xml:space="preserve">    </v>
      </c>
      <c r="FM292" s="128"/>
      <c r="FN292" s="1686">
        <f t="shared" si="1029"/>
        <v>0</v>
      </c>
      <c r="FO292" s="46">
        <f t="shared" si="972"/>
        <v>0</v>
      </c>
      <c r="FP292" s="46">
        <f t="shared" si="977"/>
        <v>1</v>
      </c>
      <c r="FQ292" s="75">
        <f t="shared" si="1030"/>
        <v>0</v>
      </c>
      <c r="FR292" s="46">
        <f t="shared" si="1036"/>
        <v>0</v>
      </c>
      <c r="FS292" s="46">
        <f t="shared" si="1037"/>
        <v>1</v>
      </c>
      <c r="FT292" s="75">
        <f t="shared" si="1031"/>
        <v>0</v>
      </c>
      <c r="FU292" s="2603">
        <f t="shared" si="973"/>
        <v>0</v>
      </c>
      <c r="FV292" s="2607">
        <f t="shared" si="974"/>
        <v>0</v>
      </c>
      <c r="FW292" s="2603">
        <f t="shared" si="975"/>
        <v>0</v>
      </c>
      <c r="FX292" s="2631">
        <f t="shared" si="976"/>
        <v>0</v>
      </c>
      <c r="FY292" s="81" t="e">
        <f t="shared" si="1038"/>
        <v>#N/A</v>
      </c>
      <c r="FZ292" s="64" t="e">
        <f t="array" ref="FZ292">MATCH(1,($GT292:$LQ292&gt;0)*$GT$25:$LQ$25,0)</f>
        <v>#N/A</v>
      </c>
      <c r="GA292" s="64" t="e">
        <f t="array" ref="GA292">MATCH(2,1/(GT292:LQ292&gt;0))</f>
        <v>#N/A</v>
      </c>
      <c r="GB292" s="64">
        <f t="shared" si="1032"/>
        <v>-1</v>
      </c>
      <c r="GC292" s="46"/>
      <c r="GD292" s="613"/>
      <c r="GE292" s="613"/>
      <c r="GF292" s="613"/>
      <c r="GG292" s="613"/>
      <c r="GH292" s="613"/>
      <c r="GI292" s="613"/>
      <c r="GJ292" s="613"/>
      <c r="GK292" s="613"/>
      <c r="GL292" s="613"/>
      <c r="GM292" s="613"/>
      <c r="GN292" s="385">
        <f t="shared" si="983"/>
        <v>0</v>
      </c>
      <c r="GO292" s="386">
        <f t="shared" si="984"/>
        <v>0</v>
      </c>
      <c r="GP292" s="2635"/>
      <c r="GQ292" s="175"/>
      <c r="GR292" s="172"/>
      <c r="GS292" s="65"/>
      <c r="GT292" s="167"/>
      <c r="GU292" s="168"/>
      <c r="GV292" s="168"/>
      <c r="GW292" s="168"/>
      <c r="GX292" s="168"/>
      <c r="GY292" s="168"/>
      <c r="GZ292" s="168"/>
      <c r="HA292" s="168"/>
      <c r="HB292" s="168"/>
      <c r="HC292" s="168"/>
      <c r="HD292" s="168"/>
      <c r="HE292" s="168"/>
      <c r="HF292" s="168"/>
      <c r="HG292" s="168"/>
      <c r="HH292" s="168"/>
      <c r="HI292" s="168"/>
      <c r="HJ292" s="168"/>
      <c r="HK292" s="168"/>
      <c r="HL292" s="168"/>
      <c r="HM292" s="168"/>
      <c r="HN292" s="168"/>
      <c r="HO292" s="168"/>
      <c r="HP292" s="168"/>
      <c r="HQ292" s="168"/>
      <c r="HR292" s="168"/>
      <c r="HS292" s="168"/>
      <c r="HT292" s="168"/>
      <c r="HU292" s="168"/>
      <c r="HV292" s="168"/>
      <c r="HW292" s="168"/>
      <c r="HX292" s="168"/>
      <c r="HY292" s="168"/>
      <c r="HZ292" s="168"/>
      <c r="IA292" s="168"/>
      <c r="IB292" s="168"/>
      <c r="IC292" s="168"/>
      <c r="ID292" s="168"/>
      <c r="IE292" s="168"/>
      <c r="IF292" s="168"/>
      <c r="IG292" s="168"/>
      <c r="IH292" s="168"/>
      <c r="II292" s="168"/>
      <c r="IJ292" s="168"/>
      <c r="IK292" s="168"/>
      <c r="IL292" s="168"/>
      <c r="IM292" s="168"/>
      <c r="IN292" s="168"/>
      <c r="IO292" s="168"/>
      <c r="IP292" s="168"/>
      <c r="IQ292" s="168"/>
      <c r="IR292" s="168"/>
      <c r="IS292" s="168"/>
      <c r="IT292" s="168"/>
      <c r="IU292" s="168"/>
      <c r="IV292" s="168"/>
      <c r="IW292" s="168"/>
      <c r="IX292" s="168"/>
      <c r="IY292" s="168"/>
      <c r="IZ292" s="168"/>
      <c r="JA292" s="168"/>
      <c r="JB292" s="168"/>
      <c r="JC292" s="168"/>
      <c r="JD292" s="168"/>
      <c r="JE292" s="168"/>
      <c r="JF292" s="168"/>
      <c r="JG292" s="168"/>
      <c r="JH292" s="168"/>
      <c r="JI292" s="168"/>
      <c r="JJ292" s="168"/>
      <c r="JK292" s="168"/>
      <c r="JL292" s="168"/>
      <c r="JM292" s="168"/>
      <c r="JN292" s="168"/>
      <c r="JO292" s="168"/>
      <c r="JP292" s="168"/>
      <c r="JQ292" s="168"/>
      <c r="JR292" s="168"/>
      <c r="JS292" s="168"/>
      <c r="JT292" s="168"/>
      <c r="JU292" s="168"/>
      <c r="JV292" s="168"/>
      <c r="JW292" s="168"/>
      <c r="JX292" s="168"/>
      <c r="JY292" s="168"/>
      <c r="JZ292" s="168"/>
      <c r="KA292" s="168"/>
      <c r="KB292" s="168"/>
      <c r="KC292" s="168"/>
      <c r="KD292" s="168"/>
      <c r="KE292" s="168"/>
      <c r="KF292" s="168"/>
      <c r="KG292" s="168"/>
      <c r="KH292" s="168"/>
      <c r="KI292" s="168"/>
      <c r="KJ292" s="168"/>
      <c r="KK292" s="168"/>
      <c r="KL292" s="168"/>
      <c r="KM292" s="168"/>
      <c r="KN292" s="168"/>
      <c r="KO292" s="168"/>
      <c r="KP292" s="168"/>
      <c r="KQ292" s="168"/>
      <c r="KR292" s="168"/>
      <c r="KS292" s="168"/>
      <c r="KT292" s="168"/>
      <c r="KU292" s="168"/>
      <c r="KV292" s="168"/>
      <c r="KW292" s="168"/>
      <c r="KX292" s="168"/>
      <c r="KY292" s="168"/>
      <c r="KZ292" s="168"/>
      <c r="LA292" s="168"/>
      <c r="LB292" s="168"/>
      <c r="LC292" s="168"/>
      <c r="LD292" s="168"/>
      <c r="LE292" s="168"/>
      <c r="LF292" s="168"/>
      <c r="LG292" s="168"/>
      <c r="LH292" s="168"/>
      <c r="LI292" s="168"/>
      <c r="LJ292" s="168"/>
      <c r="LK292" s="168"/>
      <c r="LL292" s="168"/>
      <c r="LM292" s="168"/>
      <c r="LN292" s="168"/>
      <c r="LO292" s="168"/>
      <c r="LP292" s="606"/>
      <c r="LQ292" s="609"/>
      <c r="LR292" s="1319"/>
      <c r="LS292" s="1319"/>
    </row>
    <row r="293" spans="1:331" s="2" customFormat="1" ht="15" customHeight="1" x14ac:dyDescent="0.25">
      <c r="A293" s="283"/>
      <c r="B293" s="303"/>
      <c r="C293" s="301"/>
      <c r="D293" s="1287"/>
      <c r="E293" s="2298"/>
      <c r="F293" s="1812"/>
      <c r="G293" s="3342"/>
      <c r="H293" s="66"/>
      <c r="I293" s="1746"/>
      <c r="J293" s="1214"/>
      <c r="K293" s="105"/>
      <c r="L293" s="91"/>
      <c r="M293" s="92"/>
      <c r="N293" s="93"/>
      <c r="O293" s="94"/>
      <c r="P293" s="96"/>
      <c r="Q293" s="95"/>
      <c r="R293" s="993">
        <f t="shared" si="978"/>
        <v>0</v>
      </c>
      <c r="S293" s="23">
        <f t="shared" si="979"/>
        <v>0</v>
      </c>
      <c r="T293" s="24">
        <f t="shared" si="985"/>
        <v>0</v>
      </c>
      <c r="U293" s="24">
        <f t="shared" si="986"/>
        <v>0</v>
      </c>
      <c r="V293" s="24">
        <f t="shared" si="987"/>
        <v>0</v>
      </c>
      <c r="W293" s="24">
        <f t="shared" ca="1" si="988"/>
        <v>0</v>
      </c>
      <c r="X293" s="72">
        <f t="shared" ca="1" si="956"/>
        <v>0</v>
      </c>
      <c r="Y293" s="72">
        <f t="shared" si="989"/>
        <v>0</v>
      </c>
      <c r="Z293" s="24">
        <f t="shared" si="990"/>
        <v>0</v>
      </c>
      <c r="AA293" s="72">
        <f t="shared" si="957"/>
        <v>0</v>
      </c>
      <c r="AB293" s="24">
        <f t="shared" si="967"/>
        <v>0</v>
      </c>
      <c r="AC293" s="24">
        <f t="shared" ca="1" si="991"/>
        <v>0</v>
      </c>
      <c r="AD293" s="24">
        <f t="shared" si="886"/>
        <v>0</v>
      </c>
      <c r="AE293" s="2078">
        <f t="shared" si="1033"/>
        <v>3</v>
      </c>
      <c r="AF293" s="2078">
        <f t="shared" si="1034"/>
        <v>0</v>
      </c>
      <c r="AG293" s="2078">
        <f t="shared" si="1035"/>
        <v>0</v>
      </c>
      <c r="AH293" s="2521">
        <f t="shared" si="887"/>
        <v>1</v>
      </c>
      <c r="AI293" s="25" t="str">
        <f t="shared" si="992"/>
        <v/>
      </c>
      <c r="AJ293" s="2521">
        <f t="shared" ca="1" si="882"/>
        <v>0</v>
      </c>
      <c r="AK293" s="2076">
        <f t="shared" ca="1" si="878"/>
        <v>0</v>
      </c>
      <c r="AL293" s="2078">
        <f>IF(ISBLANK(J293),0,ISERROR(MATCH(J293,'5  Control Accounts'!$FA$29:$FA$96,0))*1)</f>
        <v>0</v>
      </c>
      <c r="AM293" s="2076">
        <f t="shared" si="993"/>
        <v>0</v>
      </c>
      <c r="AN293" s="2078">
        <f t="shared" si="994"/>
        <v>1</v>
      </c>
      <c r="AO293" s="2079">
        <f t="shared" si="888"/>
        <v>1</v>
      </c>
      <c r="AP293" s="2079">
        <f t="shared" si="889"/>
        <v>0</v>
      </c>
      <c r="AQ293" s="2079">
        <f t="shared" si="890"/>
        <v>0</v>
      </c>
      <c r="AR293" s="2079">
        <f t="shared" si="891"/>
        <v>0</v>
      </c>
      <c r="AS293" s="2079">
        <f t="shared" si="892"/>
        <v>0</v>
      </c>
      <c r="AT293" s="2079">
        <f t="shared" si="893"/>
        <v>0</v>
      </c>
      <c r="AU293" s="2079">
        <f t="shared" si="894"/>
        <v>0</v>
      </c>
      <c r="AV293" s="2079">
        <f t="shared" si="895"/>
        <v>0</v>
      </c>
      <c r="AW293" s="2079">
        <f t="shared" si="896"/>
        <v>0</v>
      </c>
      <c r="AX293" s="2079">
        <f t="shared" si="897"/>
        <v>0</v>
      </c>
      <c r="AY293" s="2078">
        <f t="shared" si="995"/>
        <v>0</v>
      </c>
      <c r="AZ293" s="2078">
        <f t="shared" si="996"/>
        <v>0</v>
      </c>
      <c r="BA293" s="2078">
        <f t="shared" si="997"/>
        <v>0</v>
      </c>
      <c r="BB293" s="2078">
        <f t="shared" si="998"/>
        <v>0</v>
      </c>
      <c r="BC293" s="2078">
        <f t="shared" si="999"/>
        <v>0</v>
      </c>
      <c r="BD293" s="2078">
        <f t="shared" si="1000"/>
        <v>0</v>
      </c>
      <c r="BE293" s="2078">
        <f t="shared" si="1001"/>
        <v>0</v>
      </c>
      <c r="BF293" s="2078">
        <f t="shared" si="1002"/>
        <v>0</v>
      </c>
      <c r="BG293" s="2078">
        <f t="shared" si="1003"/>
        <v>0</v>
      </c>
      <c r="BH293" s="2078">
        <f t="shared" si="1004"/>
        <v>0</v>
      </c>
      <c r="BI293" s="2078">
        <f t="shared" si="1005"/>
        <v>0</v>
      </c>
      <c r="BJ293" s="2078">
        <f t="shared" si="1006"/>
        <v>0</v>
      </c>
      <c r="BK293" s="2078">
        <f t="shared" si="1007"/>
        <v>0</v>
      </c>
      <c r="BL293" s="2078">
        <f t="shared" si="1008"/>
        <v>0</v>
      </c>
      <c r="BM293" s="2078">
        <f t="shared" si="1009"/>
        <v>0</v>
      </c>
      <c r="BN293" s="2078">
        <f t="shared" si="1010"/>
        <v>0</v>
      </c>
      <c r="BO293" s="2078">
        <f t="shared" si="1011"/>
        <v>0</v>
      </c>
      <c r="BP293" s="2078">
        <f t="shared" si="1012"/>
        <v>0</v>
      </c>
      <c r="BQ293" s="2078">
        <f t="shared" si="1013"/>
        <v>0</v>
      </c>
      <c r="BR293" s="2078">
        <f t="shared" si="1014"/>
        <v>0</v>
      </c>
      <c r="BS293" s="2079">
        <f t="shared" si="898"/>
        <v>1</v>
      </c>
      <c r="BT293" s="2079">
        <f t="shared" si="899"/>
        <v>0</v>
      </c>
      <c r="BU293" s="2079">
        <f t="shared" si="900"/>
        <v>0</v>
      </c>
      <c r="BV293" s="2079">
        <f t="shared" si="901"/>
        <v>0</v>
      </c>
      <c r="BW293" s="2079">
        <f t="shared" si="902"/>
        <v>0</v>
      </c>
      <c r="BX293" s="2079">
        <f t="shared" si="903"/>
        <v>0</v>
      </c>
      <c r="BY293" s="2079">
        <f t="shared" si="904"/>
        <v>0</v>
      </c>
      <c r="BZ293" s="2079">
        <f t="shared" si="905"/>
        <v>0</v>
      </c>
      <c r="CA293" s="2079">
        <f t="shared" si="906"/>
        <v>0</v>
      </c>
      <c r="CB293" s="2079">
        <f t="shared" si="907"/>
        <v>0</v>
      </c>
      <c r="CC293" s="2078">
        <f t="shared" ca="1" si="1015"/>
        <v>0</v>
      </c>
      <c r="CD293" s="2078">
        <f t="shared" ca="1" si="1016"/>
        <v>0</v>
      </c>
      <c r="CE293" s="2078">
        <f t="shared" ca="1" si="1017"/>
        <v>0</v>
      </c>
      <c r="CF293" s="2078">
        <f t="shared" ca="1" si="1018"/>
        <v>0</v>
      </c>
      <c r="CG293" s="2078">
        <f t="shared" ca="1" si="1019"/>
        <v>0</v>
      </c>
      <c r="CH293" s="2078">
        <f t="shared" ca="1" si="1020"/>
        <v>0</v>
      </c>
      <c r="CI293" s="2078">
        <f t="shared" ca="1" si="1021"/>
        <v>0</v>
      </c>
      <c r="CJ293" s="2078">
        <f t="shared" ca="1" si="1022"/>
        <v>0</v>
      </c>
      <c r="CK293" s="2078">
        <f t="shared" ca="1" si="1023"/>
        <v>0</v>
      </c>
      <c r="CL293" s="2078">
        <f t="shared" ca="1" si="1024"/>
        <v>0</v>
      </c>
      <c r="CM293" s="2078">
        <f t="shared" si="968"/>
        <v>1</v>
      </c>
      <c r="CN293" s="2078">
        <f t="shared" si="969"/>
        <v>1</v>
      </c>
      <c r="CO293" s="2078">
        <f t="shared" si="958"/>
        <v>1</v>
      </c>
      <c r="CP293" s="2078">
        <f t="shared" si="1025"/>
        <v>1</v>
      </c>
      <c r="CQ293" s="2078">
        <f t="shared" si="959"/>
        <v>0</v>
      </c>
      <c r="CR293" s="2078">
        <f t="shared" si="879"/>
        <v>0</v>
      </c>
      <c r="CS293" s="2078">
        <f t="shared" si="1026"/>
        <v>0</v>
      </c>
      <c r="CT293" s="2078">
        <f t="shared" si="960"/>
        <v>1</v>
      </c>
      <c r="CU293" s="2078">
        <f t="shared" si="1027"/>
        <v>1</v>
      </c>
      <c r="CV293" s="2078">
        <f t="shared" si="970"/>
        <v>0</v>
      </c>
      <c r="CW293" s="2078">
        <f>IF(OR(AE293&lt;&gt;3,F293="Exclude"),0,IF(ISERROR(MATCH($E293,'4 Sign-off'!$S$123:$X$123,0)),0,1))</f>
        <v>0</v>
      </c>
      <c r="CX293" s="2078">
        <f t="shared" si="982"/>
        <v>0</v>
      </c>
      <c r="CY293" s="2078">
        <f t="shared" si="971"/>
        <v>0</v>
      </c>
      <c r="CZ293" s="2993">
        <f t="shared" ca="1" si="980"/>
        <v>0</v>
      </c>
      <c r="DA293" s="3037">
        <f t="shared" ca="1" si="981"/>
        <v>0</v>
      </c>
      <c r="DB293" s="1664"/>
      <c r="DC293" s="1320"/>
      <c r="DD293" s="589"/>
      <c r="DE293" s="1321"/>
      <c r="DF293" s="107"/>
      <c r="DG293" s="112"/>
      <c r="DH293" s="140"/>
      <c r="DI293" s="22"/>
      <c r="DJ293" s="145"/>
      <c r="DK293" s="137"/>
      <c r="DL293" s="137"/>
      <c r="DM293" s="137"/>
      <c r="DN293" s="137"/>
      <c r="DO293" s="137"/>
      <c r="DP293" s="137"/>
      <c r="DQ293" s="137"/>
      <c r="DR293" s="137"/>
      <c r="DS293" s="137"/>
      <c r="DT293" s="137"/>
      <c r="DU293" s="137"/>
      <c r="DV293" s="137"/>
      <c r="DW293" s="137"/>
      <c r="DX293" s="137"/>
      <c r="DY293" s="137"/>
      <c r="DZ293" s="137"/>
      <c r="EA293" s="137"/>
      <c r="EB293" s="137"/>
      <c r="EC293" s="137"/>
      <c r="ED293" s="137"/>
      <c r="EE293" s="137"/>
      <c r="EF293" s="137"/>
      <c r="EG293" s="137"/>
      <c r="EH293" s="137"/>
      <c r="EI293" s="137"/>
      <c r="EJ293" s="137"/>
      <c r="EK293" s="137"/>
      <c r="EL293" s="137"/>
      <c r="EM293" s="137"/>
      <c r="EN293" s="137"/>
      <c r="EO293" s="137"/>
      <c r="EP293" s="137"/>
      <c r="EQ293" s="137"/>
      <c r="ER293" s="137"/>
      <c r="ES293" s="137"/>
      <c r="ET293" s="137"/>
      <c r="EU293" s="137"/>
      <c r="EV293" s="137"/>
      <c r="EW293" s="137"/>
      <c r="EX293" s="137"/>
      <c r="EY293" s="137"/>
      <c r="EZ293" s="137"/>
      <c r="FA293" s="137"/>
      <c r="FB293" s="137"/>
      <c r="FC293" s="137"/>
      <c r="FD293" s="137"/>
      <c r="FE293" s="137"/>
      <c r="FF293" s="137"/>
      <c r="FG293" s="860"/>
      <c r="FH293" s="863"/>
      <c r="FI293" s="1318"/>
      <c r="FJ293" s="126"/>
      <c r="FK293" s="127"/>
      <c r="FL293" s="128" t="str">
        <f t="shared" si="1028"/>
        <v xml:space="preserve">    </v>
      </c>
      <c r="FM293" s="128"/>
      <c r="FN293" s="1686">
        <f t="shared" si="1029"/>
        <v>0</v>
      </c>
      <c r="FO293" s="46">
        <f t="shared" si="972"/>
        <v>0</v>
      </c>
      <c r="FP293" s="46">
        <f t="shared" si="977"/>
        <v>1</v>
      </c>
      <c r="FQ293" s="75">
        <f t="shared" si="1030"/>
        <v>0</v>
      </c>
      <c r="FR293" s="46">
        <f t="shared" si="1036"/>
        <v>0</v>
      </c>
      <c r="FS293" s="46">
        <f t="shared" si="1037"/>
        <v>1</v>
      </c>
      <c r="FT293" s="75">
        <f t="shared" si="1031"/>
        <v>0</v>
      </c>
      <c r="FU293" s="2603">
        <f t="shared" si="973"/>
        <v>0</v>
      </c>
      <c r="FV293" s="2607">
        <f t="shared" si="974"/>
        <v>0</v>
      </c>
      <c r="FW293" s="2603">
        <f t="shared" si="975"/>
        <v>0</v>
      </c>
      <c r="FX293" s="2631">
        <f t="shared" si="976"/>
        <v>0</v>
      </c>
      <c r="FY293" s="81" t="e">
        <f t="shared" si="1038"/>
        <v>#N/A</v>
      </c>
      <c r="FZ293" s="64" t="e">
        <f t="array" ref="FZ293">MATCH(1,($GT293:$LQ293&gt;0)*$GT$25:$LQ$25,0)</f>
        <v>#N/A</v>
      </c>
      <c r="GA293" s="64" t="e">
        <f t="array" ref="GA293">MATCH(2,1/(GT293:LQ293&gt;0))</f>
        <v>#N/A</v>
      </c>
      <c r="GB293" s="64">
        <f t="shared" si="1032"/>
        <v>-1</v>
      </c>
      <c r="GC293" s="46"/>
      <c r="GD293" s="613"/>
      <c r="GE293" s="613"/>
      <c r="GF293" s="613"/>
      <c r="GG293" s="613"/>
      <c r="GH293" s="613"/>
      <c r="GI293" s="613"/>
      <c r="GJ293" s="613"/>
      <c r="GK293" s="613"/>
      <c r="GL293" s="613"/>
      <c r="GM293" s="613"/>
      <c r="GN293" s="385">
        <f t="shared" si="983"/>
        <v>0</v>
      </c>
      <c r="GO293" s="386">
        <f t="shared" si="984"/>
        <v>0</v>
      </c>
      <c r="GP293" s="2635"/>
      <c r="GQ293" s="175"/>
      <c r="GR293" s="172"/>
      <c r="GS293" s="65"/>
      <c r="GT293" s="167"/>
      <c r="GU293" s="168"/>
      <c r="GV293" s="168"/>
      <c r="GW293" s="168"/>
      <c r="GX293" s="168"/>
      <c r="GY293" s="168"/>
      <c r="GZ293" s="168"/>
      <c r="HA293" s="168"/>
      <c r="HB293" s="168"/>
      <c r="HC293" s="168"/>
      <c r="HD293" s="168"/>
      <c r="HE293" s="168"/>
      <c r="HF293" s="168"/>
      <c r="HG293" s="168"/>
      <c r="HH293" s="168"/>
      <c r="HI293" s="168"/>
      <c r="HJ293" s="168"/>
      <c r="HK293" s="168"/>
      <c r="HL293" s="168"/>
      <c r="HM293" s="168"/>
      <c r="HN293" s="168"/>
      <c r="HO293" s="168"/>
      <c r="HP293" s="168"/>
      <c r="HQ293" s="168"/>
      <c r="HR293" s="168"/>
      <c r="HS293" s="168"/>
      <c r="HT293" s="168"/>
      <c r="HU293" s="168"/>
      <c r="HV293" s="168"/>
      <c r="HW293" s="168"/>
      <c r="HX293" s="168"/>
      <c r="HY293" s="168"/>
      <c r="HZ293" s="168"/>
      <c r="IA293" s="168"/>
      <c r="IB293" s="168"/>
      <c r="IC293" s="168"/>
      <c r="ID293" s="168"/>
      <c r="IE293" s="168"/>
      <c r="IF293" s="168"/>
      <c r="IG293" s="168"/>
      <c r="IH293" s="168"/>
      <c r="II293" s="168"/>
      <c r="IJ293" s="168"/>
      <c r="IK293" s="168"/>
      <c r="IL293" s="168"/>
      <c r="IM293" s="168"/>
      <c r="IN293" s="168"/>
      <c r="IO293" s="168"/>
      <c r="IP293" s="168"/>
      <c r="IQ293" s="168"/>
      <c r="IR293" s="168"/>
      <c r="IS293" s="168"/>
      <c r="IT293" s="168"/>
      <c r="IU293" s="168"/>
      <c r="IV293" s="168"/>
      <c r="IW293" s="168"/>
      <c r="IX293" s="168"/>
      <c r="IY293" s="168"/>
      <c r="IZ293" s="168"/>
      <c r="JA293" s="168"/>
      <c r="JB293" s="168"/>
      <c r="JC293" s="168"/>
      <c r="JD293" s="168"/>
      <c r="JE293" s="168"/>
      <c r="JF293" s="168"/>
      <c r="JG293" s="168"/>
      <c r="JH293" s="168"/>
      <c r="JI293" s="168"/>
      <c r="JJ293" s="168"/>
      <c r="JK293" s="168"/>
      <c r="JL293" s="168"/>
      <c r="JM293" s="168"/>
      <c r="JN293" s="168"/>
      <c r="JO293" s="168"/>
      <c r="JP293" s="168"/>
      <c r="JQ293" s="168"/>
      <c r="JR293" s="168"/>
      <c r="JS293" s="168"/>
      <c r="JT293" s="168"/>
      <c r="JU293" s="168"/>
      <c r="JV293" s="168"/>
      <c r="JW293" s="168"/>
      <c r="JX293" s="168"/>
      <c r="JY293" s="168"/>
      <c r="JZ293" s="168"/>
      <c r="KA293" s="168"/>
      <c r="KB293" s="168"/>
      <c r="KC293" s="168"/>
      <c r="KD293" s="168"/>
      <c r="KE293" s="168"/>
      <c r="KF293" s="168"/>
      <c r="KG293" s="168"/>
      <c r="KH293" s="168"/>
      <c r="KI293" s="168"/>
      <c r="KJ293" s="168"/>
      <c r="KK293" s="168"/>
      <c r="KL293" s="168"/>
      <c r="KM293" s="168"/>
      <c r="KN293" s="168"/>
      <c r="KO293" s="168"/>
      <c r="KP293" s="168"/>
      <c r="KQ293" s="168"/>
      <c r="KR293" s="168"/>
      <c r="KS293" s="168"/>
      <c r="KT293" s="168"/>
      <c r="KU293" s="168"/>
      <c r="KV293" s="168"/>
      <c r="KW293" s="168"/>
      <c r="KX293" s="168"/>
      <c r="KY293" s="168"/>
      <c r="KZ293" s="168"/>
      <c r="LA293" s="168"/>
      <c r="LB293" s="168"/>
      <c r="LC293" s="168"/>
      <c r="LD293" s="168"/>
      <c r="LE293" s="168"/>
      <c r="LF293" s="168"/>
      <c r="LG293" s="168"/>
      <c r="LH293" s="168"/>
      <c r="LI293" s="168"/>
      <c r="LJ293" s="168"/>
      <c r="LK293" s="168"/>
      <c r="LL293" s="168"/>
      <c r="LM293" s="168"/>
      <c r="LN293" s="168"/>
      <c r="LO293" s="168"/>
      <c r="LP293" s="606"/>
      <c r="LQ293" s="609"/>
      <c r="LR293" s="1319"/>
      <c r="LS293" s="1319"/>
    </row>
    <row r="294" spans="1:331" s="2" customFormat="1" ht="15" customHeight="1" x14ac:dyDescent="0.25">
      <c r="A294" s="283"/>
      <c r="B294" s="303"/>
      <c r="C294" s="301"/>
      <c r="D294" s="1287"/>
      <c r="E294" s="2298"/>
      <c r="F294" s="1812"/>
      <c r="G294" s="3342"/>
      <c r="H294" s="66"/>
      <c r="I294" s="1746"/>
      <c r="J294" s="1214"/>
      <c r="K294" s="105"/>
      <c r="L294" s="91"/>
      <c r="M294" s="92"/>
      <c r="N294" s="93"/>
      <c r="O294" s="94"/>
      <c r="P294" s="96"/>
      <c r="Q294" s="95"/>
      <c r="R294" s="993">
        <f t="shared" si="978"/>
        <v>0</v>
      </c>
      <c r="S294" s="23">
        <f t="shared" si="979"/>
        <v>0</v>
      </c>
      <c r="T294" s="24">
        <f t="shared" si="985"/>
        <v>0</v>
      </c>
      <c r="U294" s="24">
        <f t="shared" si="986"/>
        <v>0</v>
      </c>
      <c r="V294" s="24">
        <f t="shared" si="987"/>
        <v>0</v>
      </c>
      <c r="W294" s="24">
        <f t="shared" ca="1" si="988"/>
        <v>0</v>
      </c>
      <c r="X294" s="72">
        <f t="shared" ca="1" si="956"/>
        <v>0</v>
      </c>
      <c r="Y294" s="72">
        <f t="shared" si="989"/>
        <v>0</v>
      </c>
      <c r="Z294" s="24">
        <f t="shared" si="990"/>
        <v>0</v>
      </c>
      <c r="AA294" s="72">
        <f t="shared" si="957"/>
        <v>0</v>
      </c>
      <c r="AB294" s="24">
        <f t="shared" si="967"/>
        <v>0</v>
      </c>
      <c r="AC294" s="24">
        <f t="shared" ca="1" si="991"/>
        <v>0</v>
      </c>
      <c r="AD294" s="24">
        <f t="shared" si="886"/>
        <v>0</v>
      </c>
      <c r="AE294" s="2078">
        <f t="shared" si="1033"/>
        <v>3</v>
      </c>
      <c r="AF294" s="2078">
        <f t="shared" si="1034"/>
        <v>0</v>
      </c>
      <c r="AG294" s="2078">
        <f t="shared" si="1035"/>
        <v>0</v>
      </c>
      <c r="AH294" s="2521">
        <f t="shared" si="887"/>
        <v>1</v>
      </c>
      <c r="AI294" s="25" t="str">
        <f t="shared" si="992"/>
        <v/>
      </c>
      <c r="AJ294" s="2521">
        <f t="shared" ca="1" si="882"/>
        <v>0</v>
      </c>
      <c r="AK294" s="2076">
        <f t="shared" ca="1" si="878"/>
        <v>0</v>
      </c>
      <c r="AL294" s="2078">
        <f>IF(ISBLANK(J294),0,ISERROR(MATCH(J294,'5  Control Accounts'!$FA$29:$FA$96,0))*1)</f>
        <v>0</v>
      </c>
      <c r="AM294" s="2076">
        <f t="shared" si="993"/>
        <v>0</v>
      </c>
      <c r="AN294" s="2078">
        <f t="shared" si="994"/>
        <v>1</v>
      </c>
      <c r="AO294" s="2079">
        <f t="shared" si="888"/>
        <v>1</v>
      </c>
      <c r="AP294" s="2079">
        <f t="shared" si="889"/>
        <v>0</v>
      </c>
      <c r="AQ294" s="2079">
        <f t="shared" si="890"/>
        <v>0</v>
      </c>
      <c r="AR294" s="2079">
        <f t="shared" si="891"/>
        <v>0</v>
      </c>
      <c r="AS294" s="2079">
        <f t="shared" si="892"/>
        <v>0</v>
      </c>
      <c r="AT294" s="2079">
        <f t="shared" si="893"/>
        <v>0</v>
      </c>
      <c r="AU294" s="2079">
        <f t="shared" si="894"/>
        <v>0</v>
      </c>
      <c r="AV294" s="2079">
        <f t="shared" si="895"/>
        <v>0</v>
      </c>
      <c r="AW294" s="2079">
        <f t="shared" si="896"/>
        <v>0</v>
      </c>
      <c r="AX294" s="2079">
        <f t="shared" si="897"/>
        <v>0</v>
      </c>
      <c r="AY294" s="2078">
        <f t="shared" si="995"/>
        <v>0</v>
      </c>
      <c r="AZ294" s="2078">
        <f t="shared" si="996"/>
        <v>0</v>
      </c>
      <c r="BA294" s="2078">
        <f t="shared" si="997"/>
        <v>0</v>
      </c>
      <c r="BB294" s="2078">
        <f t="shared" si="998"/>
        <v>0</v>
      </c>
      <c r="BC294" s="2078">
        <f t="shared" si="999"/>
        <v>0</v>
      </c>
      <c r="BD294" s="2078">
        <f t="shared" si="1000"/>
        <v>0</v>
      </c>
      <c r="BE294" s="2078">
        <f t="shared" si="1001"/>
        <v>0</v>
      </c>
      <c r="BF294" s="2078">
        <f t="shared" si="1002"/>
        <v>0</v>
      </c>
      <c r="BG294" s="2078">
        <f t="shared" si="1003"/>
        <v>0</v>
      </c>
      <c r="BH294" s="2078">
        <f t="shared" si="1004"/>
        <v>0</v>
      </c>
      <c r="BI294" s="2078">
        <f t="shared" si="1005"/>
        <v>0</v>
      </c>
      <c r="BJ294" s="2078">
        <f t="shared" si="1006"/>
        <v>0</v>
      </c>
      <c r="BK294" s="2078">
        <f t="shared" si="1007"/>
        <v>0</v>
      </c>
      <c r="BL294" s="2078">
        <f t="shared" si="1008"/>
        <v>0</v>
      </c>
      <c r="BM294" s="2078">
        <f t="shared" si="1009"/>
        <v>0</v>
      </c>
      <c r="BN294" s="2078">
        <f t="shared" si="1010"/>
        <v>0</v>
      </c>
      <c r="BO294" s="2078">
        <f t="shared" si="1011"/>
        <v>0</v>
      </c>
      <c r="BP294" s="2078">
        <f t="shared" si="1012"/>
        <v>0</v>
      </c>
      <c r="BQ294" s="2078">
        <f t="shared" si="1013"/>
        <v>0</v>
      </c>
      <c r="BR294" s="2078">
        <f t="shared" si="1014"/>
        <v>0</v>
      </c>
      <c r="BS294" s="2079">
        <f t="shared" si="898"/>
        <v>1</v>
      </c>
      <c r="BT294" s="2079">
        <f t="shared" si="899"/>
        <v>0</v>
      </c>
      <c r="BU294" s="2079">
        <f t="shared" si="900"/>
        <v>0</v>
      </c>
      <c r="BV294" s="2079">
        <f t="shared" si="901"/>
        <v>0</v>
      </c>
      <c r="BW294" s="2079">
        <f t="shared" si="902"/>
        <v>0</v>
      </c>
      <c r="BX294" s="2079">
        <f t="shared" si="903"/>
        <v>0</v>
      </c>
      <c r="BY294" s="2079">
        <f t="shared" si="904"/>
        <v>0</v>
      </c>
      <c r="BZ294" s="2079">
        <f t="shared" si="905"/>
        <v>0</v>
      </c>
      <c r="CA294" s="2079">
        <f t="shared" si="906"/>
        <v>0</v>
      </c>
      <c r="CB294" s="2079">
        <f t="shared" si="907"/>
        <v>0</v>
      </c>
      <c r="CC294" s="2078">
        <f t="shared" ca="1" si="1015"/>
        <v>0</v>
      </c>
      <c r="CD294" s="2078">
        <f t="shared" ca="1" si="1016"/>
        <v>0</v>
      </c>
      <c r="CE294" s="2078">
        <f t="shared" ca="1" si="1017"/>
        <v>0</v>
      </c>
      <c r="CF294" s="2078">
        <f t="shared" ca="1" si="1018"/>
        <v>0</v>
      </c>
      <c r="CG294" s="2078">
        <f t="shared" ca="1" si="1019"/>
        <v>0</v>
      </c>
      <c r="CH294" s="2078">
        <f t="shared" ca="1" si="1020"/>
        <v>0</v>
      </c>
      <c r="CI294" s="2078">
        <f t="shared" ca="1" si="1021"/>
        <v>0</v>
      </c>
      <c r="CJ294" s="2078">
        <f t="shared" ca="1" si="1022"/>
        <v>0</v>
      </c>
      <c r="CK294" s="2078">
        <f t="shared" ca="1" si="1023"/>
        <v>0</v>
      </c>
      <c r="CL294" s="2078">
        <f t="shared" ca="1" si="1024"/>
        <v>0</v>
      </c>
      <c r="CM294" s="2078">
        <f t="shared" si="968"/>
        <v>1</v>
      </c>
      <c r="CN294" s="2078">
        <f t="shared" si="969"/>
        <v>1</v>
      </c>
      <c r="CO294" s="2078">
        <f t="shared" si="958"/>
        <v>1</v>
      </c>
      <c r="CP294" s="2078">
        <f t="shared" si="1025"/>
        <v>1</v>
      </c>
      <c r="CQ294" s="2078">
        <f t="shared" si="959"/>
        <v>0</v>
      </c>
      <c r="CR294" s="2078">
        <f t="shared" si="879"/>
        <v>0</v>
      </c>
      <c r="CS294" s="2078">
        <f t="shared" si="1026"/>
        <v>0</v>
      </c>
      <c r="CT294" s="2078">
        <f t="shared" si="960"/>
        <v>1</v>
      </c>
      <c r="CU294" s="2078">
        <f t="shared" si="1027"/>
        <v>1</v>
      </c>
      <c r="CV294" s="2078">
        <f t="shared" si="970"/>
        <v>0</v>
      </c>
      <c r="CW294" s="2078">
        <f>IF(OR(AE294&lt;&gt;3,F294="Exclude"),0,IF(ISERROR(MATCH($E294,'4 Sign-off'!$S$123:$X$123,0)),0,1))</f>
        <v>0</v>
      </c>
      <c r="CX294" s="2078">
        <f t="shared" si="982"/>
        <v>0</v>
      </c>
      <c r="CY294" s="2078">
        <f t="shared" si="971"/>
        <v>0</v>
      </c>
      <c r="CZ294" s="2993">
        <f t="shared" ca="1" si="980"/>
        <v>0</v>
      </c>
      <c r="DA294" s="3037">
        <f t="shared" ca="1" si="981"/>
        <v>0</v>
      </c>
      <c r="DB294" s="1664"/>
      <c r="DC294" s="1320"/>
      <c r="DD294" s="589"/>
      <c r="DE294" s="1321"/>
      <c r="DF294" s="107"/>
      <c r="DG294" s="112"/>
      <c r="DH294" s="140"/>
      <c r="DI294" s="22"/>
      <c r="DJ294" s="145"/>
      <c r="DK294" s="137"/>
      <c r="DL294" s="137"/>
      <c r="DM294" s="137"/>
      <c r="DN294" s="137"/>
      <c r="DO294" s="137"/>
      <c r="DP294" s="137"/>
      <c r="DQ294" s="137"/>
      <c r="DR294" s="137"/>
      <c r="DS294" s="137"/>
      <c r="DT294" s="137"/>
      <c r="DU294" s="137"/>
      <c r="DV294" s="137"/>
      <c r="DW294" s="137"/>
      <c r="DX294" s="137"/>
      <c r="DY294" s="137"/>
      <c r="DZ294" s="137"/>
      <c r="EA294" s="137"/>
      <c r="EB294" s="137"/>
      <c r="EC294" s="137"/>
      <c r="ED294" s="137"/>
      <c r="EE294" s="137"/>
      <c r="EF294" s="137"/>
      <c r="EG294" s="137"/>
      <c r="EH294" s="137"/>
      <c r="EI294" s="137"/>
      <c r="EJ294" s="137"/>
      <c r="EK294" s="137"/>
      <c r="EL294" s="137"/>
      <c r="EM294" s="137"/>
      <c r="EN294" s="137"/>
      <c r="EO294" s="137"/>
      <c r="EP294" s="137"/>
      <c r="EQ294" s="137"/>
      <c r="ER294" s="137"/>
      <c r="ES294" s="137"/>
      <c r="ET294" s="137"/>
      <c r="EU294" s="137"/>
      <c r="EV294" s="137"/>
      <c r="EW294" s="137"/>
      <c r="EX294" s="137"/>
      <c r="EY294" s="137"/>
      <c r="EZ294" s="137"/>
      <c r="FA294" s="137"/>
      <c r="FB294" s="137"/>
      <c r="FC294" s="137"/>
      <c r="FD294" s="137"/>
      <c r="FE294" s="137"/>
      <c r="FF294" s="137"/>
      <c r="FG294" s="860"/>
      <c r="FH294" s="863"/>
      <c r="FI294" s="1318"/>
      <c r="FJ294" s="126"/>
      <c r="FK294" s="127"/>
      <c r="FL294" s="128" t="str">
        <f t="shared" si="1028"/>
        <v xml:space="preserve">    </v>
      </c>
      <c r="FM294" s="128"/>
      <c r="FN294" s="1686">
        <f t="shared" si="1029"/>
        <v>0</v>
      </c>
      <c r="FO294" s="46">
        <f t="shared" si="972"/>
        <v>0</v>
      </c>
      <c r="FP294" s="46">
        <f t="shared" si="977"/>
        <v>1</v>
      </c>
      <c r="FQ294" s="75">
        <f t="shared" si="1030"/>
        <v>0</v>
      </c>
      <c r="FR294" s="46">
        <f t="shared" si="1036"/>
        <v>0</v>
      </c>
      <c r="FS294" s="46">
        <f t="shared" si="1037"/>
        <v>1</v>
      </c>
      <c r="FT294" s="75">
        <f t="shared" si="1031"/>
        <v>0</v>
      </c>
      <c r="FU294" s="2603">
        <f t="shared" si="973"/>
        <v>0</v>
      </c>
      <c r="FV294" s="2607">
        <f t="shared" si="974"/>
        <v>0</v>
      </c>
      <c r="FW294" s="2603">
        <f t="shared" si="975"/>
        <v>0</v>
      </c>
      <c r="FX294" s="2631">
        <f t="shared" si="976"/>
        <v>0</v>
      </c>
      <c r="FY294" s="81" t="e">
        <f t="shared" si="1038"/>
        <v>#N/A</v>
      </c>
      <c r="FZ294" s="64" t="e">
        <f t="array" ref="FZ294">MATCH(1,($GT294:$LQ294&gt;0)*$GT$25:$LQ$25,0)</f>
        <v>#N/A</v>
      </c>
      <c r="GA294" s="64" t="e">
        <f t="array" ref="GA294">MATCH(2,1/(GT294:LQ294&gt;0))</f>
        <v>#N/A</v>
      </c>
      <c r="GB294" s="64">
        <f t="shared" si="1032"/>
        <v>-1</v>
      </c>
      <c r="GC294" s="46"/>
      <c r="GD294" s="613"/>
      <c r="GE294" s="613"/>
      <c r="GF294" s="613"/>
      <c r="GG294" s="613"/>
      <c r="GH294" s="613"/>
      <c r="GI294" s="613"/>
      <c r="GJ294" s="613"/>
      <c r="GK294" s="613"/>
      <c r="GL294" s="613"/>
      <c r="GM294" s="613"/>
      <c r="GN294" s="385">
        <f t="shared" si="983"/>
        <v>0</v>
      </c>
      <c r="GO294" s="386">
        <f t="shared" si="984"/>
        <v>0</v>
      </c>
      <c r="GP294" s="2635"/>
      <c r="GQ294" s="175"/>
      <c r="GR294" s="172"/>
      <c r="GS294" s="65"/>
      <c r="GT294" s="167"/>
      <c r="GU294" s="168"/>
      <c r="GV294" s="168"/>
      <c r="GW294" s="168"/>
      <c r="GX294" s="168"/>
      <c r="GY294" s="168"/>
      <c r="GZ294" s="168"/>
      <c r="HA294" s="168"/>
      <c r="HB294" s="168"/>
      <c r="HC294" s="168"/>
      <c r="HD294" s="168"/>
      <c r="HE294" s="168"/>
      <c r="HF294" s="168"/>
      <c r="HG294" s="168"/>
      <c r="HH294" s="168"/>
      <c r="HI294" s="168"/>
      <c r="HJ294" s="168"/>
      <c r="HK294" s="168"/>
      <c r="HL294" s="168"/>
      <c r="HM294" s="168"/>
      <c r="HN294" s="168"/>
      <c r="HO294" s="168"/>
      <c r="HP294" s="168"/>
      <c r="HQ294" s="168"/>
      <c r="HR294" s="168"/>
      <c r="HS294" s="168"/>
      <c r="HT294" s="168"/>
      <c r="HU294" s="168"/>
      <c r="HV294" s="168"/>
      <c r="HW294" s="168"/>
      <c r="HX294" s="168"/>
      <c r="HY294" s="168"/>
      <c r="HZ294" s="168"/>
      <c r="IA294" s="168"/>
      <c r="IB294" s="168"/>
      <c r="IC294" s="168"/>
      <c r="ID294" s="168"/>
      <c r="IE294" s="168"/>
      <c r="IF294" s="168"/>
      <c r="IG294" s="168"/>
      <c r="IH294" s="168"/>
      <c r="II294" s="168"/>
      <c r="IJ294" s="168"/>
      <c r="IK294" s="168"/>
      <c r="IL294" s="168"/>
      <c r="IM294" s="168"/>
      <c r="IN294" s="168"/>
      <c r="IO294" s="168"/>
      <c r="IP294" s="168"/>
      <c r="IQ294" s="168"/>
      <c r="IR294" s="168"/>
      <c r="IS294" s="168"/>
      <c r="IT294" s="168"/>
      <c r="IU294" s="168"/>
      <c r="IV294" s="168"/>
      <c r="IW294" s="168"/>
      <c r="IX294" s="168"/>
      <c r="IY294" s="168"/>
      <c r="IZ294" s="168"/>
      <c r="JA294" s="168"/>
      <c r="JB294" s="168"/>
      <c r="JC294" s="168"/>
      <c r="JD294" s="168"/>
      <c r="JE294" s="168"/>
      <c r="JF294" s="168"/>
      <c r="JG294" s="168"/>
      <c r="JH294" s="168"/>
      <c r="JI294" s="168"/>
      <c r="JJ294" s="168"/>
      <c r="JK294" s="168"/>
      <c r="JL294" s="168"/>
      <c r="JM294" s="168"/>
      <c r="JN294" s="168"/>
      <c r="JO294" s="168"/>
      <c r="JP294" s="168"/>
      <c r="JQ294" s="168"/>
      <c r="JR294" s="168"/>
      <c r="JS294" s="168"/>
      <c r="JT294" s="168"/>
      <c r="JU294" s="168"/>
      <c r="JV294" s="168"/>
      <c r="JW294" s="168"/>
      <c r="JX294" s="168"/>
      <c r="JY294" s="168"/>
      <c r="JZ294" s="168"/>
      <c r="KA294" s="168"/>
      <c r="KB294" s="168"/>
      <c r="KC294" s="168"/>
      <c r="KD294" s="168"/>
      <c r="KE294" s="168"/>
      <c r="KF294" s="168"/>
      <c r="KG294" s="168"/>
      <c r="KH294" s="168"/>
      <c r="KI294" s="168"/>
      <c r="KJ294" s="168"/>
      <c r="KK294" s="168"/>
      <c r="KL294" s="168"/>
      <c r="KM294" s="168"/>
      <c r="KN294" s="168"/>
      <c r="KO294" s="168"/>
      <c r="KP294" s="168"/>
      <c r="KQ294" s="168"/>
      <c r="KR294" s="168"/>
      <c r="KS294" s="168"/>
      <c r="KT294" s="168"/>
      <c r="KU294" s="168"/>
      <c r="KV294" s="168"/>
      <c r="KW294" s="168"/>
      <c r="KX294" s="168"/>
      <c r="KY294" s="168"/>
      <c r="KZ294" s="168"/>
      <c r="LA294" s="168"/>
      <c r="LB294" s="168"/>
      <c r="LC294" s="168"/>
      <c r="LD294" s="168"/>
      <c r="LE294" s="168"/>
      <c r="LF294" s="168"/>
      <c r="LG294" s="168"/>
      <c r="LH294" s="168"/>
      <c r="LI294" s="168"/>
      <c r="LJ294" s="168"/>
      <c r="LK294" s="168"/>
      <c r="LL294" s="168"/>
      <c r="LM294" s="168"/>
      <c r="LN294" s="168"/>
      <c r="LO294" s="168"/>
      <c r="LP294" s="606"/>
      <c r="LQ294" s="609"/>
      <c r="LR294" s="1319"/>
      <c r="LS294" s="1319"/>
    </row>
    <row r="295" spans="1:331" s="2" customFormat="1" ht="15" customHeight="1" x14ac:dyDescent="0.25">
      <c r="A295" s="283"/>
      <c r="B295" s="303"/>
      <c r="C295" s="301"/>
      <c r="D295" s="1287"/>
      <c r="E295" s="2298"/>
      <c r="F295" s="1812"/>
      <c r="G295" s="3342"/>
      <c r="H295" s="66"/>
      <c r="I295" s="1746"/>
      <c r="J295" s="1214"/>
      <c r="K295" s="105"/>
      <c r="L295" s="91"/>
      <c r="M295" s="92"/>
      <c r="N295" s="93"/>
      <c r="O295" s="94"/>
      <c r="P295" s="96"/>
      <c r="Q295" s="95"/>
      <c r="R295" s="993">
        <f t="shared" si="978"/>
        <v>0</v>
      </c>
      <c r="S295" s="23">
        <f t="shared" si="979"/>
        <v>0</v>
      </c>
      <c r="T295" s="24">
        <f t="shared" si="985"/>
        <v>0</v>
      </c>
      <c r="U295" s="24">
        <f t="shared" si="986"/>
        <v>0</v>
      </c>
      <c r="V295" s="24">
        <f t="shared" si="987"/>
        <v>0</v>
      </c>
      <c r="W295" s="24">
        <f t="shared" ca="1" si="988"/>
        <v>0</v>
      </c>
      <c r="X295" s="72">
        <f t="shared" ca="1" si="956"/>
        <v>0</v>
      </c>
      <c r="Y295" s="72">
        <f t="shared" si="989"/>
        <v>0</v>
      </c>
      <c r="Z295" s="24">
        <f t="shared" si="990"/>
        <v>0</v>
      </c>
      <c r="AA295" s="72">
        <f t="shared" si="957"/>
        <v>0</v>
      </c>
      <c r="AB295" s="24">
        <f t="shared" si="967"/>
        <v>0</v>
      </c>
      <c r="AC295" s="24">
        <f t="shared" ca="1" si="991"/>
        <v>0</v>
      </c>
      <c r="AD295" s="24">
        <f t="shared" si="886"/>
        <v>0</v>
      </c>
      <c r="AE295" s="2078">
        <f t="shared" si="1033"/>
        <v>3</v>
      </c>
      <c r="AF295" s="2078">
        <f t="shared" si="1034"/>
        <v>0</v>
      </c>
      <c r="AG295" s="2078">
        <f t="shared" si="1035"/>
        <v>0</v>
      </c>
      <c r="AH295" s="2521">
        <f t="shared" si="887"/>
        <v>1</v>
      </c>
      <c r="AI295" s="25" t="str">
        <f t="shared" si="992"/>
        <v/>
      </c>
      <c r="AJ295" s="2521">
        <f t="shared" ca="1" si="882"/>
        <v>0</v>
      </c>
      <c r="AK295" s="2076">
        <f t="shared" ca="1" si="878"/>
        <v>0</v>
      </c>
      <c r="AL295" s="2078">
        <f>IF(ISBLANK(J295),0,ISERROR(MATCH(J295,'5  Control Accounts'!$FA$29:$FA$96,0))*1)</f>
        <v>0</v>
      </c>
      <c r="AM295" s="2076">
        <f t="shared" si="993"/>
        <v>0</v>
      </c>
      <c r="AN295" s="2078">
        <f t="shared" si="994"/>
        <v>1</v>
      </c>
      <c r="AO295" s="2079">
        <f t="shared" si="888"/>
        <v>1</v>
      </c>
      <c r="AP295" s="2079">
        <f t="shared" si="889"/>
        <v>0</v>
      </c>
      <c r="AQ295" s="2079">
        <f t="shared" si="890"/>
        <v>0</v>
      </c>
      <c r="AR295" s="2079">
        <f t="shared" si="891"/>
        <v>0</v>
      </c>
      <c r="AS295" s="2079">
        <f t="shared" si="892"/>
        <v>0</v>
      </c>
      <c r="AT295" s="2079">
        <f t="shared" si="893"/>
        <v>0</v>
      </c>
      <c r="AU295" s="2079">
        <f t="shared" si="894"/>
        <v>0</v>
      </c>
      <c r="AV295" s="2079">
        <f t="shared" si="895"/>
        <v>0</v>
      </c>
      <c r="AW295" s="2079">
        <f t="shared" si="896"/>
        <v>0</v>
      </c>
      <c r="AX295" s="2079">
        <f t="shared" si="897"/>
        <v>0</v>
      </c>
      <c r="AY295" s="2078">
        <f t="shared" si="995"/>
        <v>0</v>
      </c>
      <c r="AZ295" s="2078">
        <f t="shared" si="996"/>
        <v>0</v>
      </c>
      <c r="BA295" s="2078">
        <f t="shared" si="997"/>
        <v>0</v>
      </c>
      <c r="BB295" s="2078">
        <f t="shared" si="998"/>
        <v>0</v>
      </c>
      <c r="BC295" s="2078">
        <f t="shared" si="999"/>
        <v>0</v>
      </c>
      <c r="BD295" s="2078">
        <f t="shared" si="1000"/>
        <v>0</v>
      </c>
      <c r="BE295" s="2078">
        <f t="shared" si="1001"/>
        <v>0</v>
      </c>
      <c r="BF295" s="2078">
        <f t="shared" si="1002"/>
        <v>0</v>
      </c>
      <c r="BG295" s="2078">
        <f t="shared" si="1003"/>
        <v>0</v>
      </c>
      <c r="BH295" s="2078">
        <f t="shared" si="1004"/>
        <v>0</v>
      </c>
      <c r="BI295" s="2078">
        <f t="shared" si="1005"/>
        <v>0</v>
      </c>
      <c r="BJ295" s="2078">
        <f t="shared" si="1006"/>
        <v>0</v>
      </c>
      <c r="BK295" s="2078">
        <f t="shared" si="1007"/>
        <v>0</v>
      </c>
      <c r="BL295" s="2078">
        <f t="shared" si="1008"/>
        <v>0</v>
      </c>
      <c r="BM295" s="2078">
        <f t="shared" si="1009"/>
        <v>0</v>
      </c>
      <c r="BN295" s="2078">
        <f t="shared" si="1010"/>
        <v>0</v>
      </c>
      <c r="BO295" s="2078">
        <f t="shared" si="1011"/>
        <v>0</v>
      </c>
      <c r="BP295" s="2078">
        <f t="shared" si="1012"/>
        <v>0</v>
      </c>
      <c r="BQ295" s="2078">
        <f t="shared" si="1013"/>
        <v>0</v>
      </c>
      <c r="BR295" s="2078">
        <f t="shared" si="1014"/>
        <v>0</v>
      </c>
      <c r="BS295" s="2079">
        <f t="shared" si="898"/>
        <v>1</v>
      </c>
      <c r="BT295" s="2079">
        <f t="shared" si="899"/>
        <v>0</v>
      </c>
      <c r="BU295" s="2079">
        <f t="shared" si="900"/>
        <v>0</v>
      </c>
      <c r="BV295" s="2079">
        <f t="shared" si="901"/>
        <v>0</v>
      </c>
      <c r="BW295" s="2079">
        <f t="shared" si="902"/>
        <v>0</v>
      </c>
      <c r="BX295" s="2079">
        <f t="shared" si="903"/>
        <v>0</v>
      </c>
      <c r="BY295" s="2079">
        <f t="shared" si="904"/>
        <v>0</v>
      </c>
      <c r="BZ295" s="2079">
        <f t="shared" si="905"/>
        <v>0</v>
      </c>
      <c r="CA295" s="2079">
        <f t="shared" si="906"/>
        <v>0</v>
      </c>
      <c r="CB295" s="2079">
        <f t="shared" si="907"/>
        <v>0</v>
      </c>
      <c r="CC295" s="2078">
        <f t="shared" ca="1" si="1015"/>
        <v>0</v>
      </c>
      <c r="CD295" s="2078">
        <f t="shared" ca="1" si="1016"/>
        <v>0</v>
      </c>
      <c r="CE295" s="2078">
        <f t="shared" ca="1" si="1017"/>
        <v>0</v>
      </c>
      <c r="CF295" s="2078">
        <f t="shared" ca="1" si="1018"/>
        <v>0</v>
      </c>
      <c r="CG295" s="2078">
        <f t="shared" ca="1" si="1019"/>
        <v>0</v>
      </c>
      <c r="CH295" s="2078">
        <f t="shared" ca="1" si="1020"/>
        <v>0</v>
      </c>
      <c r="CI295" s="2078">
        <f t="shared" ca="1" si="1021"/>
        <v>0</v>
      </c>
      <c r="CJ295" s="2078">
        <f t="shared" ca="1" si="1022"/>
        <v>0</v>
      </c>
      <c r="CK295" s="2078">
        <f t="shared" ca="1" si="1023"/>
        <v>0</v>
      </c>
      <c r="CL295" s="2078">
        <f t="shared" ca="1" si="1024"/>
        <v>0</v>
      </c>
      <c r="CM295" s="2078">
        <f t="shared" si="968"/>
        <v>1</v>
      </c>
      <c r="CN295" s="2078">
        <f t="shared" si="969"/>
        <v>1</v>
      </c>
      <c r="CO295" s="2078">
        <f t="shared" si="958"/>
        <v>1</v>
      </c>
      <c r="CP295" s="2078">
        <f t="shared" si="1025"/>
        <v>1</v>
      </c>
      <c r="CQ295" s="2078">
        <f t="shared" si="959"/>
        <v>0</v>
      </c>
      <c r="CR295" s="2078">
        <f t="shared" si="879"/>
        <v>0</v>
      </c>
      <c r="CS295" s="2078">
        <f t="shared" si="1026"/>
        <v>0</v>
      </c>
      <c r="CT295" s="2078">
        <f t="shared" si="960"/>
        <v>1</v>
      </c>
      <c r="CU295" s="2078">
        <f t="shared" si="1027"/>
        <v>1</v>
      </c>
      <c r="CV295" s="2078">
        <f t="shared" si="970"/>
        <v>0</v>
      </c>
      <c r="CW295" s="2078">
        <f>IF(OR(AE295&lt;&gt;3,F295="Exclude"),0,IF(ISERROR(MATCH($E295,'4 Sign-off'!$S$123:$X$123,0)),0,1))</f>
        <v>0</v>
      </c>
      <c r="CX295" s="2078">
        <f t="shared" si="982"/>
        <v>0</v>
      </c>
      <c r="CY295" s="2078">
        <f t="shared" si="971"/>
        <v>0</v>
      </c>
      <c r="CZ295" s="2993">
        <f t="shared" ca="1" si="980"/>
        <v>0</v>
      </c>
      <c r="DA295" s="3037">
        <f t="shared" ca="1" si="981"/>
        <v>0</v>
      </c>
      <c r="DB295" s="1664"/>
      <c r="DC295" s="1320"/>
      <c r="DD295" s="589"/>
      <c r="DE295" s="1321"/>
      <c r="DF295" s="107"/>
      <c r="DG295" s="112"/>
      <c r="DH295" s="140"/>
      <c r="DI295" s="22"/>
      <c r="DJ295" s="145"/>
      <c r="DK295" s="137"/>
      <c r="DL295" s="137"/>
      <c r="DM295" s="137"/>
      <c r="DN295" s="137"/>
      <c r="DO295" s="137"/>
      <c r="DP295" s="137"/>
      <c r="DQ295" s="137"/>
      <c r="DR295" s="137"/>
      <c r="DS295" s="137"/>
      <c r="DT295" s="137"/>
      <c r="DU295" s="137"/>
      <c r="DV295" s="137"/>
      <c r="DW295" s="137"/>
      <c r="DX295" s="137"/>
      <c r="DY295" s="137"/>
      <c r="DZ295" s="137"/>
      <c r="EA295" s="137"/>
      <c r="EB295" s="137"/>
      <c r="EC295" s="137"/>
      <c r="ED295" s="137"/>
      <c r="EE295" s="137"/>
      <c r="EF295" s="137"/>
      <c r="EG295" s="137"/>
      <c r="EH295" s="137"/>
      <c r="EI295" s="137"/>
      <c r="EJ295" s="137"/>
      <c r="EK295" s="137"/>
      <c r="EL295" s="137"/>
      <c r="EM295" s="137"/>
      <c r="EN295" s="137"/>
      <c r="EO295" s="137"/>
      <c r="EP295" s="137"/>
      <c r="EQ295" s="137"/>
      <c r="ER295" s="137"/>
      <c r="ES295" s="137"/>
      <c r="ET295" s="137"/>
      <c r="EU295" s="137"/>
      <c r="EV295" s="137"/>
      <c r="EW295" s="137"/>
      <c r="EX295" s="137"/>
      <c r="EY295" s="137"/>
      <c r="EZ295" s="137"/>
      <c r="FA295" s="137"/>
      <c r="FB295" s="137"/>
      <c r="FC295" s="137"/>
      <c r="FD295" s="137"/>
      <c r="FE295" s="137"/>
      <c r="FF295" s="137"/>
      <c r="FG295" s="860"/>
      <c r="FH295" s="863"/>
      <c r="FI295" s="1318"/>
      <c r="FJ295" s="126"/>
      <c r="FK295" s="127"/>
      <c r="FL295" s="128" t="str">
        <f t="shared" si="1028"/>
        <v xml:space="preserve">    </v>
      </c>
      <c r="FM295" s="128"/>
      <c r="FN295" s="1686">
        <f t="shared" si="1029"/>
        <v>0</v>
      </c>
      <c r="FO295" s="46">
        <f t="shared" si="972"/>
        <v>0</v>
      </c>
      <c r="FP295" s="46">
        <f t="shared" si="977"/>
        <v>1</v>
      </c>
      <c r="FQ295" s="75">
        <f t="shared" si="1030"/>
        <v>0</v>
      </c>
      <c r="FR295" s="46">
        <f t="shared" si="1036"/>
        <v>0</v>
      </c>
      <c r="FS295" s="46">
        <f t="shared" si="1037"/>
        <v>1</v>
      </c>
      <c r="FT295" s="75">
        <f t="shared" si="1031"/>
        <v>0</v>
      </c>
      <c r="FU295" s="2603">
        <f t="shared" si="973"/>
        <v>0</v>
      </c>
      <c r="FV295" s="2607">
        <f t="shared" si="974"/>
        <v>0</v>
      </c>
      <c r="FW295" s="2603">
        <f t="shared" si="975"/>
        <v>0</v>
      </c>
      <c r="FX295" s="2631">
        <f t="shared" si="976"/>
        <v>0</v>
      </c>
      <c r="FY295" s="81" t="e">
        <f t="shared" si="1038"/>
        <v>#N/A</v>
      </c>
      <c r="FZ295" s="64" t="e">
        <f t="array" ref="FZ295">MATCH(1,($GT295:$LQ295&gt;0)*$GT$25:$LQ$25,0)</f>
        <v>#N/A</v>
      </c>
      <c r="GA295" s="64" t="e">
        <f t="array" ref="GA295">MATCH(2,1/(GT295:LQ295&gt;0))</f>
        <v>#N/A</v>
      </c>
      <c r="GB295" s="64">
        <f t="shared" si="1032"/>
        <v>-1</v>
      </c>
      <c r="GC295" s="46"/>
      <c r="GD295" s="613"/>
      <c r="GE295" s="613"/>
      <c r="GF295" s="613"/>
      <c r="GG295" s="613"/>
      <c r="GH295" s="613"/>
      <c r="GI295" s="613"/>
      <c r="GJ295" s="613"/>
      <c r="GK295" s="613"/>
      <c r="GL295" s="613"/>
      <c r="GM295" s="613"/>
      <c r="GN295" s="385">
        <f t="shared" si="983"/>
        <v>0</v>
      </c>
      <c r="GO295" s="386">
        <f t="shared" si="984"/>
        <v>0</v>
      </c>
      <c r="GP295" s="2635"/>
      <c r="GQ295" s="175"/>
      <c r="GR295" s="172"/>
      <c r="GS295" s="65"/>
      <c r="GT295" s="167"/>
      <c r="GU295" s="168"/>
      <c r="GV295" s="168"/>
      <c r="GW295" s="168"/>
      <c r="GX295" s="168"/>
      <c r="GY295" s="168"/>
      <c r="GZ295" s="168"/>
      <c r="HA295" s="168"/>
      <c r="HB295" s="168"/>
      <c r="HC295" s="168"/>
      <c r="HD295" s="168"/>
      <c r="HE295" s="168"/>
      <c r="HF295" s="168"/>
      <c r="HG295" s="168"/>
      <c r="HH295" s="168"/>
      <c r="HI295" s="168"/>
      <c r="HJ295" s="168"/>
      <c r="HK295" s="168"/>
      <c r="HL295" s="168"/>
      <c r="HM295" s="168"/>
      <c r="HN295" s="168"/>
      <c r="HO295" s="168"/>
      <c r="HP295" s="168"/>
      <c r="HQ295" s="168"/>
      <c r="HR295" s="168"/>
      <c r="HS295" s="168"/>
      <c r="HT295" s="168"/>
      <c r="HU295" s="168"/>
      <c r="HV295" s="168"/>
      <c r="HW295" s="168"/>
      <c r="HX295" s="168"/>
      <c r="HY295" s="168"/>
      <c r="HZ295" s="168"/>
      <c r="IA295" s="168"/>
      <c r="IB295" s="168"/>
      <c r="IC295" s="168"/>
      <c r="ID295" s="168"/>
      <c r="IE295" s="168"/>
      <c r="IF295" s="168"/>
      <c r="IG295" s="168"/>
      <c r="IH295" s="168"/>
      <c r="II295" s="168"/>
      <c r="IJ295" s="168"/>
      <c r="IK295" s="168"/>
      <c r="IL295" s="168"/>
      <c r="IM295" s="168"/>
      <c r="IN295" s="168"/>
      <c r="IO295" s="168"/>
      <c r="IP295" s="168"/>
      <c r="IQ295" s="168"/>
      <c r="IR295" s="168"/>
      <c r="IS295" s="168"/>
      <c r="IT295" s="168"/>
      <c r="IU295" s="168"/>
      <c r="IV295" s="168"/>
      <c r="IW295" s="168"/>
      <c r="IX295" s="168"/>
      <c r="IY295" s="168"/>
      <c r="IZ295" s="168"/>
      <c r="JA295" s="168"/>
      <c r="JB295" s="168"/>
      <c r="JC295" s="168"/>
      <c r="JD295" s="168"/>
      <c r="JE295" s="168"/>
      <c r="JF295" s="168"/>
      <c r="JG295" s="168"/>
      <c r="JH295" s="168"/>
      <c r="JI295" s="168"/>
      <c r="JJ295" s="168"/>
      <c r="JK295" s="168"/>
      <c r="JL295" s="168"/>
      <c r="JM295" s="168"/>
      <c r="JN295" s="168"/>
      <c r="JO295" s="168"/>
      <c r="JP295" s="168"/>
      <c r="JQ295" s="168"/>
      <c r="JR295" s="168"/>
      <c r="JS295" s="168"/>
      <c r="JT295" s="168"/>
      <c r="JU295" s="168"/>
      <c r="JV295" s="168"/>
      <c r="JW295" s="168"/>
      <c r="JX295" s="168"/>
      <c r="JY295" s="168"/>
      <c r="JZ295" s="168"/>
      <c r="KA295" s="168"/>
      <c r="KB295" s="168"/>
      <c r="KC295" s="168"/>
      <c r="KD295" s="168"/>
      <c r="KE295" s="168"/>
      <c r="KF295" s="168"/>
      <c r="KG295" s="168"/>
      <c r="KH295" s="168"/>
      <c r="KI295" s="168"/>
      <c r="KJ295" s="168"/>
      <c r="KK295" s="168"/>
      <c r="KL295" s="168"/>
      <c r="KM295" s="168"/>
      <c r="KN295" s="168"/>
      <c r="KO295" s="168"/>
      <c r="KP295" s="168"/>
      <c r="KQ295" s="168"/>
      <c r="KR295" s="168"/>
      <c r="KS295" s="168"/>
      <c r="KT295" s="168"/>
      <c r="KU295" s="168"/>
      <c r="KV295" s="168"/>
      <c r="KW295" s="168"/>
      <c r="KX295" s="168"/>
      <c r="KY295" s="168"/>
      <c r="KZ295" s="168"/>
      <c r="LA295" s="168"/>
      <c r="LB295" s="168"/>
      <c r="LC295" s="168"/>
      <c r="LD295" s="168"/>
      <c r="LE295" s="168"/>
      <c r="LF295" s="168"/>
      <c r="LG295" s="168"/>
      <c r="LH295" s="168"/>
      <c r="LI295" s="168"/>
      <c r="LJ295" s="168"/>
      <c r="LK295" s="168"/>
      <c r="LL295" s="168"/>
      <c r="LM295" s="168"/>
      <c r="LN295" s="168"/>
      <c r="LO295" s="168"/>
      <c r="LP295" s="606"/>
      <c r="LQ295" s="609"/>
      <c r="LR295" s="1319"/>
      <c r="LS295" s="1319"/>
    </row>
    <row r="296" spans="1:331" s="2" customFormat="1" ht="15" customHeight="1" x14ac:dyDescent="0.25">
      <c r="A296" s="283"/>
      <c r="B296" s="303"/>
      <c r="C296" s="301"/>
      <c r="D296" s="1287"/>
      <c r="E296" s="2298"/>
      <c r="F296" s="1812"/>
      <c r="G296" s="3342"/>
      <c r="H296" s="66"/>
      <c r="I296" s="1746"/>
      <c r="J296" s="1214"/>
      <c r="K296" s="105"/>
      <c r="L296" s="91"/>
      <c r="M296" s="92"/>
      <c r="N296" s="93"/>
      <c r="O296" s="94"/>
      <c r="P296" s="96"/>
      <c r="Q296" s="95"/>
      <c r="R296" s="993">
        <f t="shared" si="978"/>
        <v>0</v>
      </c>
      <c r="S296" s="23">
        <f t="shared" si="979"/>
        <v>0</v>
      </c>
      <c r="T296" s="24">
        <f t="shared" si="985"/>
        <v>0</v>
      </c>
      <c r="U296" s="24">
        <f t="shared" si="986"/>
        <v>0</v>
      </c>
      <c r="V296" s="24">
        <f t="shared" si="987"/>
        <v>0</v>
      </c>
      <c r="W296" s="24">
        <f t="shared" ca="1" si="988"/>
        <v>0</v>
      </c>
      <c r="X296" s="72">
        <f t="shared" ca="1" si="956"/>
        <v>0</v>
      </c>
      <c r="Y296" s="72">
        <f t="shared" si="989"/>
        <v>0</v>
      </c>
      <c r="Z296" s="24">
        <f t="shared" si="990"/>
        <v>0</v>
      </c>
      <c r="AA296" s="72">
        <f t="shared" si="957"/>
        <v>0</v>
      </c>
      <c r="AB296" s="24">
        <f t="shared" si="967"/>
        <v>0</v>
      </c>
      <c r="AC296" s="24">
        <f t="shared" ca="1" si="991"/>
        <v>0</v>
      </c>
      <c r="AD296" s="24">
        <f t="shared" si="886"/>
        <v>0</v>
      </c>
      <c r="AE296" s="2078">
        <f t="shared" si="1033"/>
        <v>3</v>
      </c>
      <c r="AF296" s="2078">
        <f t="shared" si="1034"/>
        <v>0</v>
      </c>
      <c r="AG296" s="2078">
        <f t="shared" si="1035"/>
        <v>0</v>
      </c>
      <c r="AH296" s="2521">
        <f t="shared" si="887"/>
        <v>1</v>
      </c>
      <c r="AI296" s="25" t="str">
        <f t="shared" si="992"/>
        <v/>
      </c>
      <c r="AJ296" s="2521">
        <f t="shared" ca="1" si="882"/>
        <v>0</v>
      </c>
      <c r="AK296" s="2076">
        <f t="shared" ca="1" si="878"/>
        <v>0</v>
      </c>
      <c r="AL296" s="2078">
        <f>IF(ISBLANK(J296),0,ISERROR(MATCH(J296,'5  Control Accounts'!$FA$29:$FA$96,0))*1)</f>
        <v>0</v>
      </c>
      <c r="AM296" s="2076">
        <f t="shared" si="993"/>
        <v>0</v>
      </c>
      <c r="AN296" s="2078">
        <f t="shared" si="994"/>
        <v>1</v>
      </c>
      <c r="AO296" s="2079">
        <f t="shared" si="888"/>
        <v>1</v>
      </c>
      <c r="AP296" s="2079">
        <f t="shared" si="889"/>
        <v>0</v>
      </c>
      <c r="AQ296" s="2079">
        <f t="shared" si="890"/>
        <v>0</v>
      </c>
      <c r="AR296" s="2079">
        <f t="shared" si="891"/>
        <v>0</v>
      </c>
      <c r="AS296" s="2079">
        <f t="shared" si="892"/>
        <v>0</v>
      </c>
      <c r="AT296" s="2079">
        <f t="shared" si="893"/>
        <v>0</v>
      </c>
      <c r="AU296" s="2079">
        <f t="shared" si="894"/>
        <v>0</v>
      </c>
      <c r="AV296" s="2079">
        <f t="shared" si="895"/>
        <v>0</v>
      </c>
      <c r="AW296" s="2079">
        <f t="shared" si="896"/>
        <v>0</v>
      </c>
      <c r="AX296" s="2079">
        <f t="shared" si="897"/>
        <v>0</v>
      </c>
      <c r="AY296" s="2078">
        <f t="shared" si="995"/>
        <v>0</v>
      </c>
      <c r="AZ296" s="2078">
        <f t="shared" si="996"/>
        <v>0</v>
      </c>
      <c r="BA296" s="2078">
        <f t="shared" si="997"/>
        <v>0</v>
      </c>
      <c r="BB296" s="2078">
        <f t="shared" si="998"/>
        <v>0</v>
      </c>
      <c r="BC296" s="2078">
        <f t="shared" si="999"/>
        <v>0</v>
      </c>
      <c r="BD296" s="2078">
        <f t="shared" si="1000"/>
        <v>0</v>
      </c>
      <c r="BE296" s="2078">
        <f t="shared" si="1001"/>
        <v>0</v>
      </c>
      <c r="BF296" s="2078">
        <f t="shared" si="1002"/>
        <v>0</v>
      </c>
      <c r="BG296" s="2078">
        <f t="shared" si="1003"/>
        <v>0</v>
      </c>
      <c r="BH296" s="2078">
        <f t="shared" si="1004"/>
        <v>0</v>
      </c>
      <c r="BI296" s="2078">
        <f t="shared" si="1005"/>
        <v>0</v>
      </c>
      <c r="BJ296" s="2078">
        <f t="shared" si="1006"/>
        <v>0</v>
      </c>
      <c r="BK296" s="2078">
        <f t="shared" si="1007"/>
        <v>0</v>
      </c>
      <c r="BL296" s="2078">
        <f t="shared" si="1008"/>
        <v>0</v>
      </c>
      <c r="BM296" s="2078">
        <f t="shared" si="1009"/>
        <v>0</v>
      </c>
      <c r="BN296" s="2078">
        <f t="shared" si="1010"/>
        <v>0</v>
      </c>
      <c r="BO296" s="2078">
        <f t="shared" si="1011"/>
        <v>0</v>
      </c>
      <c r="BP296" s="2078">
        <f t="shared" si="1012"/>
        <v>0</v>
      </c>
      <c r="BQ296" s="2078">
        <f t="shared" si="1013"/>
        <v>0</v>
      </c>
      <c r="BR296" s="2078">
        <f t="shared" si="1014"/>
        <v>0</v>
      </c>
      <c r="BS296" s="2079">
        <f t="shared" si="898"/>
        <v>1</v>
      </c>
      <c r="BT296" s="2079">
        <f t="shared" si="899"/>
        <v>0</v>
      </c>
      <c r="BU296" s="2079">
        <f t="shared" si="900"/>
        <v>0</v>
      </c>
      <c r="BV296" s="2079">
        <f t="shared" si="901"/>
        <v>0</v>
      </c>
      <c r="BW296" s="2079">
        <f t="shared" si="902"/>
        <v>0</v>
      </c>
      <c r="BX296" s="2079">
        <f t="shared" si="903"/>
        <v>0</v>
      </c>
      <c r="BY296" s="2079">
        <f t="shared" si="904"/>
        <v>0</v>
      </c>
      <c r="BZ296" s="2079">
        <f t="shared" si="905"/>
        <v>0</v>
      </c>
      <c r="CA296" s="2079">
        <f t="shared" si="906"/>
        <v>0</v>
      </c>
      <c r="CB296" s="2079">
        <f t="shared" si="907"/>
        <v>0</v>
      </c>
      <c r="CC296" s="2078">
        <f t="shared" ca="1" si="1015"/>
        <v>0</v>
      </c>
      <c r="CD296" s="2078">
        <f t="shared" ca="1" si="1016"/>
        <v>0</v>
      </c>
      <c r="CE296" s="2078">
        <f t="shared" ca="1" si="1017"/>
        <v>0</v>
      </c>
      <c r="CF296" s="2078">
        <f t="shared" ca="1" si="1018"/>
        <v>0</v>
      </c>
      <c r="CG296" s="2078">
        <f t="shared" ca="1" si="1019"/>
        <v>0</v>
      </c>
      <c r="CH296" s="2078">
        <f t="shared" ca="1" si="1020"/>
        <v>0</v>
      </c>
      <c r="CI296" s="2078">
        <f t="shared" ca="1" si="1021"/>
        <v>0</v>
      </c>
      <c r="CJ296" s="2078">
        <f t="shared" ca="1" si="1022"/>
        <v>0</v>
      </c>
      <c r="CK296" s="2078">
        <f t="shared" ca="1" si="1023"/>
        <v>0</v>
      </c>
      <c r="CL296" s="2078">
        <f t="shared" ca="1" si="1024"/>
        <v>0</v>
      </c>
      <c r="CM296" s="2078">
        <f t="shared" si="968"/>
        <v>1</v>
      </c>
      <c r="CN296" s="2078">
        <f t="shared" si="969"/>
        <v>1</v>
      </c>
      <c r="CO296" s="2078">
        <f t="shared" si="958"/>
        <v>1</v>
      </c>
      <c r="CP296" s="2078">
        <f t="shared" si="1025"/>
        <v>1</v>
      </c>
      <c r="CQ296" s="2078">
        <f t="shared" si="959"/>
        <v>0</v>
      </c>
      <c r="CR296" s="2078">
        <f t="shared" si="879"/>
        <v>0</v>
      </c>
      <c r="CS296" s="2078">
        <f t="shared" si="1026"/>
        <v>0</v>
      </c>
      <c r="CT296" s="2078">
        <f t="shared" si="960"/>
        <v>1</v>
      </c>
      <c r="CU296" s="2078">
        <f t="shared" si="1027"/>
        <v>1</v>
      </c>
      <c r="CV296" s="2078">
        <f t="shared" si="970"/>
        <v>0</v>
      </c>
      <c r="CW296" s="2078">
        <f>IF(OR(AE296&lt;&gt;3,F296="Exclude"),0,IF(ISERROR(MATCH($E296,'4 Sign-off'!$S$123:$X$123,0)),0,1))</f>
        <v>0</v>
      </c>
      <c r="CX296" s="2078">
        <f t="shared" si="982"/>
        <v>0</v>
      </c>
      <c r="CY296" s="2078">
        <f t="shared" si="971"/>
        <v>0</v>
      </c>
      <c r="CZ296" s="2993">
        <f t="shared" ca="1" si="980"/>
        <v>0</v>
      </c>
      <c r="DA296" s="3037">
        <f t="shared" ca="1" si="981"/>
        <v>0</v>
      </c>
      <c r="DB296" s="1664"/>
      <c r="DC296" s="1320"/>
      <c r="DD296" s="589"/>
      <c r="DE296" s="1321"/>
      <c r="DF296" s="107"/>
      <c r="DG296" s="112"/>
      <c r="DH296" s="140"/>
      <c r="DI296" s="22"/>
      <c r="DJ296" s="145"/>
      <c r="DK296" s="137"/>
      <c r="DL296" s="137"/>
      <c r="DM296" s="137"/>
      <c r="DN296" s="137"/>
      <c r="DO296" s="137"/>
      <c r="DP296" s="137"/>
      <c r="DQ296" s="137"/>
      <c r="DR296" s="137"/>
      <c r="DS296" s="137"/>
      <c r="DT296" s="137"/>
      <c r="DU296" s="137"/>
      <c r="DV296" s="137"/>
      <c r="DW296" s="137"/>
      <c r="DX296" s="137"/>
      <c r="DY296" s="137"/>
      <c r="DZ296" s="137"/>
      <c r="EA296" s="137"/>
      <c r="EB296" s="137"/>
      <c r="EC296" s="137"/>
      <c r="ED296" s="137"/>
      <c r="EE296" s="137"/>
      <c r="EF296" s="137"/>
      <c r="EG296" s="137"/>
      <c r="EH296" s="137"/>
      <c r="EI296" s="137"/>
      <c r="EJ296" s="137"/>
      <c r="EK296" s="137"/>
      <c r="EL296" s="137"/>
      <c r="EM296" s="137"/>
      <c r="EN296" s="137"/>
      <c r="EO296" s="137"/>
      <c r="EP296" s="137"/>
      <c r="EQ296" s="137"/>
      <c r="ER296" s="137"/>
      <c r="ES296" s="137"/>
      <c r="ET296" s="137"/>
      <c r="EU296" s="137"/>
      <c r="EV296" s="137"/>
      <c r="EW296" s="137"/>
      <c r="EX296" s="137"/>
      <c r="EY296" s="137"/>
      <c r="EZ296" s="137"/>
      <c r="FA296" s="137"/>
      <c r="FB296" s="137"/>
      <c r="FC296" s="137"/>
      <c r="FD296" s="137"/>
      <c r="FE296" s="137"/>
      <c r="FF296" s="137"/>
      <c r="FG296" s="860"/>
      <c r="FH296" s="863"/>
      <c r="FI296" s="1318"/>
      <c r="FJ296" s="126"/>
      <c r="FK296" s="127"/>
      <c r="FL296" s="128" t="str">
        <f t="shared" si="1028"/>
        <v xml:space="preserve">    </v>
      </c>
      <c r="FM296" s="128"/>
      <c r="FN296" s="1686">
        <f t="shared" si="1029"/>
        <v>0</v>
      </c>
      <c r="FO296" s="46">
        <f t="shared" si="972"/>
        <v>0</v>
      </c>
      <c r="FP296" s="46">
        <f t="shared" si="977"/>
        <v>1</v>
      </c>
      <c r="FQ296" s="75">
        <f t="shared" si="1030"/>
        <v>0</v>
      </c>
      <c r="FR296" s="46">
        <f t="shared" si="1036"/>
        <v>0</v>
      </c>
      <c r="FS296" s="46">
        <f t="shared" si="1037"/>
        <v>1</v>
      </c>
      <c r="FT296" s="75">
        <f t="shared" si="1031"/>
        <v>0</v>
      </c>
      <c r="FU296" s="2603">
        <f t="shared" si="973"/>
        <v>0</v>
      </c>
      <c r="FV296" s="2607">
        <f t="shared" si="974"/>
        <v>0</v>
      </c>
      <c r="FW296" s="2603">
        <f t="shared" si="975"/>
        <v>0</v>
      </c>
      <c r="FX296" s="2631">
        <f t="shared" si="976"/>
        <v>0</v>
      </c>
      <c r="FY296" s="81" t="e">
        <f t="shared" si="1038"/>
        <v>#N/A</v>
      </c>
      <c r="FZ296" s="64" t="e">
        <f t="array" ref="FZ296">MATCH(1,($GT296:$LQ296&gt;0)*$GT$25:$LQ$25,0)</f>
        <v>#N/A</v>
      </c>
      <c r="GA296" s="64" t="e">
        <f t="array" ref="GA296">MATCH(2,1/(GT296:LQ296&gt;0))</f>
        <v>#N/A</v>
      </c>
      <c r="GB296" s="64">
        <f t="shared" si="1032"/>
        <v>-1</v>
      </c>
      <c r="GC296" s="46"/>
      <c r="GD296" s="613"/>
      <c r="GE296" s="613"/>
      <c r="GF296" s="613"/>
      <c r="GG296" s="613"/>
      <c r="GH296" s="613"/>
      <c r="GI296" s="613"/>
      <c r="GJ296" s="613"/>
      <c r="GK296" s="613"/>
      <c r="GL296" s="613"/>
      <c r="GM296" s="613"/>
      <c r="GN296" s="385">
        <f t="shared" si="983"/>
        <v>0</v>
      </c>
      <c r="GO296" s="386">
        <f t="shared" si="984"/>
        <v>0</v>
      </c>
      <c r="GP296" s="2635"/>
      <c r="GQ296" s="175"/>
      <c r="GR296" s="172"/>
      <c r="GS296" s="65"/>
      <c r="GT296" s="167"/>
      <c r="GU296" s="168"/>
      <c r="GV296" s="168"/>
      <c r="GW296" s="168"/>
      <c r="GX296" s="168"/>
      <c r="GY296" s="168"/>
      <c r="GZ296" s="168"/>
      <c r="HA296" s="168"/>
      <c r="HB296" s="168"/>
      <c r="HC296" s="168"/>
      <c r="HD296" s="168"/>
      <c r="HE296" s="168"/>
      <c r="HF296" s="168"/>
      <c r="HG296" s="168"/>
      <c r="HH296" s="168"/>
      <c r="HI296" s="168"/>
      <c r="HJ296" s="168"/>
      <c r="HK296" s="168"/>
      <c r="HL296" s="168"/>
      <c r="HM296" s="168"/>
      <c r="HN296" s="168"/>
      <c r="HO296" s="168"/>
      <c r="HP296" s="168"/>
      <c r="HQ296" s="168"/>
      <c r="HR296" s="168"/>
      <c r="HS296" s="168"/>
      <c r="HT296" s="168"/>
      <c r="HU296" s="168"/>
      <c r="HV296" s="168"/>
      <c r="HW296" s="168"/>
      <c r="HX296" s="168"/>
      <c r="HY296" s="168"/>
      <c r="HZ296" s="168"/>
      <c r="IA296" s="168"/>
      <c r="IB296" s="168"/>
      <c r="IC296" s="168"/>
      <c r="ID296" s="168"/>
      <c r="IE296" s="168"/>
      <c r="IF296" s="168"/>
      <c r="IG296" s="168"/>
      <c r="IH296" s="168"/>
      <c r="II296" s="168"/>
      <c r="IJ296" s="168"/>
      <c r="IK296" s="168"/>
      <c r="IL296" s="168"/>
      <c r="IM296" s="168"/>
      <c r="IN296" s="168"/>
      <c r="IO296" s="168"/>
      <c r="IP296" s="168"/>
      <c r="IQ296" s="168"/>
      <c r="IR296" s="168"/>
      <c r="IS296" s="168"/>
      <c r="IT296" s="168"/>
      <c r="IU296" s="168"/>
      <c r="IV296" s="168"/>
      <c r="IW296" s="168"/>
      <c r="IX296" s="168"/>
      <c r="IY296" s="168"/>
      <c r="IZ296" s="168"/>
      <c r="JA296" s="168"/>
      <c r="JB296" s="168"/>
      <c r="JC296" s="168"/>
      <c r="JD296" s="168"/>
      <c r="JE296" s="168"/>
      <c r="JF296" s="168"/>
      <c r="JG296" s="168"/>
      <c r="JH296" s="168"/>
      <c r="JI296" s="168"/>
      <c r="JJ296" s="168"/>
      <c r="JK296" s="168"/>
      <c r="JL296" s="168"/>
      <c r="JM296" s="168"/>
      <c r="JN296" s="168"/>
      <c r="JO296" s="168"/>
      <c r="JP296" s="168"/>
      <c r="JQ296" s="168"/>
      <c r="JR296" s="168"/>
      <c r="JS296" s="168"/>
      <c r="JT296" s="168"/>
      <c r="JU296" s="168"/>
      <c r="JV296" s="168"/>
      <c r="JW296" s="168"/>
      <c r="JX296" s="168"/>
      <c r="JY296" s="168"/>
      <c r="JZ296" s="168"/>
      <c r="KA296" s="168"/>
      <c r="KB296" s="168"/>
      <c r="KC296" s="168"/>
      <c r="KD296" s="168"/>
      <c r="KE296" s="168"/>
      <c r="KF296" s="168"/>
      <c r="KG296" s="168"/>
      <c r="KH296" s="168"/>
      <c r="KI296" s="168"/>
      <c r="KJ296" s="168"/>
      <c r="KK296" s="168"/>
      <c r="KL296" s="168"/>
      <c r="KM296" s="168"/>
      <c r="KN296" s="168"/>
      <c r="KO296" s="168"/>
      <c r="KP296" s="168"/>
      <c r="KQ296" s="168"/>
      <c r="KR296" s="168"/>
      <c r="KS296" s="168"/>
      <c r="KT296" s="168"/>
      <c r="KU296" s="168"/>
      <c r="KV296" s="168"/>
      <c r="KW296" s="168"/>
      <c r="KX296" s="168"/>
      <c r="KY296" s="168"/>
      <c r="KZ296" s="168"/>
      <c r="LA296" s="168"/>
      <c r="LB296" s="168"/>
      <c r="LC296" s="168"/>
      <c r="LD296" s="168"/>
      <c r="LE296" s="168"/>
      <c r="LF296" s="168"/>
      <c r="LG296" s="168"/>
      <c r="LH296" s="168"/>
      <c r="LI296" s="168"/>
      <c r="LJ296" s="168"/>
      <c r="LK296" s="168"/>
      <c r="LL296" s="168"/>
      <c r="LM296" s="168"/>
      <c r="LN296" s="168"/>
      <c r="LO296" s="168"/>
      <c r="LP296" s="606"/>
      <c r="LQ296" s="609"/>
      <c r="LR296" s="1319"/>
      <c r="LS296" s="1319"/>
    </row>
    <row r="297" spans="1:331" s="2" customFormat="1" ht="15" customHeight="1" x14ac:dyDescent="0.25">
      <c r="A297" s="283"/>
      <c r="B297" s="303"/>
      <c r="C297" s="301"/>
      <c r="D297" s="1287"/>
      <c r="E297" s="2298"/>
      <c r="F297" s="1812"/>
      <c r="G297" s="3342"/>
      <c r="H297" s="66"/>
      <c r="I297" s="1746"/>
      <c r="J297" s="1214"/>
      <c r="K297" s="105"/>
      <c r="L297" s="91"/>
      <c r="M297" s="92"/>
      <c r="N297" s="93"/>
      <c r="O297" s="94"/>
      <c r="P297" s="96"/>
      <c r="Q297" s="95"/>
      <c r="R297" s="993">
        <f t="shared" si="978"/>
        <v>0</v>
      </c>
      <c r="S297" s="23">
        <f t="shared" si="979"/>
        <v>0</v>
      </c>
      <c r="T297" s="24">
        <f t="shared" si="985"/>
        <v>0</v>
      </c>
      <c r="U297" s="24">
        <f t="shared" si="986"/>
        <v>0</v>
      </c>
      <c r="V297" s="24">
        <f t="shared" si="987"/>
        <v>0</v>
      </c>
      <c r="W297" s="24">
        <f t="shared" ca="1" si="988"/>
        <v>0</v>
      </c>
      <c r="X297" s="72">
        <f t="shared" ca="1" si="956"/>
        <v>0</v>
      </c>
      <c r="Y297" s="72">
        <f t="shared" si="989"/>
        <v>0</v>
      </c>
      <c r="Z297" s="24">
        <f t="shared" si="990"/>
        <v>0</v>
      </c>
      <c r="AA297" s="72">
        <f t="shared" si="957"/>
        <v>0</v>
      </c>
      <c r="AB297" s="24">
        <f t="shared" si="967"/>
        <v>0</v>
      </c>
      <c r="AC297" s="24">
        <f t="shared" ca="1" si="991"/>
        <v>0</v>
      </c>
      <c r="AD297" s="24">
        <f t="shared" si="886"/>
        <v>0</v>
      </c>
      <c r="AE297" s="2078">
        <f t="shared" si="1033"/>
        <v>3</v>
      </c>
      <c r="AF297" s="2078">
        <f t="shared" si="1034"/>
        <v>0</v>
      </c>
      <c r="AG297" s="2078">
        <f t="shared" si="1035"/>
        <v>0</v>
      </c>
      <c r="AH297" s="2521">
        <f t="shared" si="887"/>
        <v>1</v>
      </c>
      <c r="AI297" s="25" t="str">
        <f t="shared" si="992"/>
        <v/>
      </c>
      <c r="AJ297" s="2521">
        <f t="shared" ca="1" si="882"/>
        <v>0</v>
      </c>
      <c r="AK297" s="2076">
        <f t="shared" ca="1" si="878"/>
        <v>0</v>
      </c>
      <c r="AL297" s="2078">
        <f>IF(ISBLANK(J297),0,ISERROR(MATCH(J297,'5  Control Accounts'!$FA$29:$FA$96,0))*1)</f>
        <v>0</v>
      </c>
      <c r="AM297" s="2076">
        <f t="shared" si="993"/>
        <v>0</v>
      </c>
      <c r="AN297" s="2078">
        <f t="shared" si="994"/>
        <v>1</v>
      </c>
      <c r="AO297" s="2079">
        <f t="shared" si="888"/>
        <v>1</v>
      </c>
      <c r="AP297" s="2079">
        <f t="shared" si="889"/>
        <v>0</v>
      </c>
      <c r="AQ297" s="2079">
        <f t="shared" si="890"/>
        <v>0</v>
      </c>
      <c r="AR297" s="2079">
        <f t="shared" si="891"/>
        <v>0</v>
      </c>
      <c r="AS297" s="2079">
        <f t="shared" si="892"/>
        <v>0</v>
      </c>
      <c r="AT297" s="2079">
        <f t="shared" si="893"/>
        <v>0</v>
      </c>
      <c r="AU297" s="2079">
        <f t="shared" si="894"/>
        <v>0</v>
      </c>
      <c r="AV297" s="2079">
        <f t="shared" si="895"/>
        <v>0</v>
      </c>
      <c r="AW297" s="2079">
        <f t="shared" si="896"/>
        <v>0</v>
      </c>
      <c r="AX297" s="2079">
        <f t="shared" si="897"/>
        <v>0</v>
      </c>
      <c r="AY297" s="2078">
        <f t="shared" si="995"/>
        <v>0</v>
      </c>
      <c r="AZ297" s="2078">
        <f t="shared" si="996"/>
        <v>0</v>
      </c>
      <c r="BA297" s="2078">
        <f t="shared" si="997"/>
        <v>0</v>
      </c>
      <c r="BB297" s="2078">
        <f t="shared" si="998"/>
        <v>0</v>
      </c>
      <c r="BC297" s="2078">
        <f t="shared" si="999"/>
        <v>0</v>
      </c>
      <c r="BD297" s="2078">
        <f t="shared" si="1000"/>
        <v>0</v>
      </c>
      <c r="BE297" s="2078">
        <f t="shared" si="1001"/>
        <v>0</v>
      </c>
      <c r="BF297" s="2078">
        <f t="shared" si="1002"/>
        <v>0</v>
      </c>
      <c r="BG297" s="2078">
        <f t="shared" si="1003"/>
        <v>0</v>
      </c>
      <c r="BH297" s="2078">
        <f t="shared" si="1004"/>
        <v>0</v>
      </c>
      <c r="BI297" s="2078">
        <f t="shared" si="1005"/>
        <v>0</v>
      </c>
      <c r="BJ297" s="2078">
        <f t="shared" si="1006"/>
        <v>0</v>
      </c>
      <c r="BK297" s="2078">
        <f t="shared" si="1007"/>
        <v>0</v>
      </c>
      <c r="BL297" s="2078">
        <f t="shared" si="1008"/>
        <v>0</v>
      </c>
      <c r="BM297" s="2078">
        <f t="shared" si="1009"/>
        <v>0</v>
      </c>
      <c r="BN297" s="2078">
        <f t="shared" si="1010"/>
        <v>0</v>
      </c>
      <c r="BO297" s="2078">
        <f t="shared" si="1011"/>
        <v>0</v>
      </c>
      <c r="BP297" s="2078">
        <f t="shared" si="1012"/>
        <v>0</v>
      </c>
      <c r="BQ297" s="2078">
        <f t="shared" si="1013"/>
        <v>0</v>
      </c>
      <c r="BR297" s="2078">
        <f t="shared" si="1014"/>
        <v>0</v>
      </c>
      <c r="BS297" s="2079">
        <f t="shared" si="898"/>
        <v>1</v>
      </c>
      <c r="BT297" s="2079">
        <f t="shared" si="899"/>
        <v>0</v>
      </c>
      <c r="BU297" s="2079">
        <f t="shared" si="900"/>
        <v>0</v>
      </c>
      <c r="BV297" s="2079">
        <f t="shared" si="901"/>
        <v>0</v>
      </c>
      <c r="BW297" s="2079">
        <f t="shared" si="902"/>
        <v>0</v>
      </c>
      <c r="BX297" s="2079">
        <f t="shared" si="903"/>
        <v>0</v>
      </c>
      <c r="BY297" s="2079">
        <f t="shared" si="904"/>
        <v>0</v>
      </c>
      <c r="BZ297" s="2079">
        <f t="shared" si="905"/>
        <v>0</v>
      </c>
      <c r="CA297" s="2079">
        <f t="shared" si="906"/>
        <v>0</v>
      </c>
      <c r="CB297" s="2079">
        <f t="shared" si="907"/>
        <v>0</v>
      </c>
      <c r="CC297" s="2078">
        <f t="shared" ca="1" si="1015"/>
        <v>0</v>
      </c>
      <c r="CD297" s="2078">
        <f t="shared" ca="1" si="1016"/>
        <v>0</v>
      </c>
      <c r="CE297" s="2078">
        <f t="shared" ca="1" si="1017"/>
        <v>0</v>
      </c>
      <c r="CF297" s="2078">
        <f t="shared" ca="1" si="1018"/>
        <v>0</v>
      </c>
      <c r="CG297" s="2078">
        <f t="shared" ca="1" si="1019"/>
        <v>0</v>
      </c>
      <c r="CH297" s="2078">
        <f t="shared" ca="1" si="1020"/>
        <v>0</v>
      </c>
      <c r="CI297" s="2078">
        <f t="shared" ca="1" si="1021"/>
        <v>0</v>
      </c>
      <c r="CJ297" s="2078">
        <f t="shared" ca="1" si="1022"/>
        <v>0</v>
      </c>
      <c r="CK297" s="2078">
        <f t="shared" ca="1" si="1023"/>
        <v>0</v>
      </c>
      <c r="CL297" s="2078">
        <f t="shared" ca="1" si="1024"/>
        <v>0</v>
      </c>
      <c r="CM297" s="2078">
        <f t="shared" si="968"/>
        <v>1</v>
      </c>
      <c r="CN297" s="2078">
        <f t="shared" si="969"/>
        <v>1</v>
      </c>
      <c r="CO297" s="2078">
        <f t="shared" si="958"/>
        <v>1</v>
      </c>
      <c r="CP297" s="2078">
        <f t="shared" si="1025"/>
        <v>1</v>
      </c>
      <c r="CQ297" s="2078">
        <f t="shared" si="959"/>
        <v>0</v>
      </c>
      <c r="CR297" s="2078">
        <f t="shared" si="879"/>
        <v>0</v>
      </c>
      <c r="CS297" s="2078">
        <f t="shared" si="1026"/>
        <v>0</v>
      </c>
      <c r="CT297" s="2078">
        <f t="shared" si="960"/>
        <v>1</v>
      </c>
      <c r="CU297" s="2078">
        <f t="shared" si="1027"/>
        <v>1</v>
      </c>
      <c r="CV297" s="2078">
        <f t="shared" si="970"/>
        <v>0</v>
      </c>
      <c r="CW297" s="2078">
        <f>IF(OR(AE297&lt;&gt;3,F297="Exclude"),0,IF(ISERROR(MATCH($E297,'4 Sign-off'!$S$123:$X$123,0)),0,1))</f>
        <v>0</v>
      </c>
      <c r="CX297" s="2078">
        <f t="shared" si="982"/>
        <v>0</v>
      </c>
      <c r="CY297" s="2078">
        <f t="shared" si="971"/>
        <v>0</v>
      </c>
      <c r="CZ297" s="2993">
        <f t="shared" ca="1" si="980"/>
        <v>0</v>
      </c>
      <c r="DA297" s="3037">
        <f t="shared" ca="1" si="981"/>
        <v>0</v>
      </c>
      <c r="DB297" s="1664"/>
      <c r="DC297" s="1320"/>
      <c r="DD297" s="589"/>
      <c r="DE297" s="1321"/>
      <c r="DF297" s="107"/>
      <c r="DG297" s="112"/>
      <c r="DH297" s="140"/>
      <c r="DI297" s="22"/>
      <c r="DJ297" s="145"/>
      <c r="DK297" s="137"/>
      <c r="DL297" s="137"/>
      <c r="DM297" s="137"/>
      <c r="DN297" s="137"/>
      <c r="DO297" s="137"/>
      <c r="DP297" s="137"/>
      <c r="DQ297" s="137"/>
      <c r="DR297" s="137"/>
      <c r="DS297" s="137"/>
      <c r="DT297" s="137"/>
      <c r="DU297" s="137"/>
      <c r="DV297" s="137"/>
      <c r="DW297" s="137"/>
      <c r="DX297" s="137"/>
      <c r="DY297" s="137"/>
      <c r="DZ297" s="137"/>
      <c r="EA297" s="137"/>
      <c r="EB297" s="137"/>
      <c r="EC297" s="137"/>
      <c r="ED297" s="137"/>
      <c r="EE297" s="137"/>
      <c r="EF297" s="137"/>
      <c r="EG297" s="137"/>
      <c r="EH297" s="137"/>
      <c r="EI297" s="137"/>
      <c r="EJ297" s="137"/>
      <c r="EK297" s="137"/>
      <c r="EL297" s="137"/>
      <c r="EM297" s="137"/>
      <c r="EN297" s="137"/>
      <c r="EO297" s="137"/>
      <c r="EP297" s="137"/>
      <c r="EQ297" s="137"/>
      <c r="ER297" s="137"/>
      <c r="ES297" s="137"/>
      <c r="ET297" s="137"/>
      <c r="EU297" s="137"/>
      <c r="EV297" s="137"/>
      <c r="EW297" s="137"/>
      <c r="EX297" s="137"/>
      <c r="EY297" s="137"/>
      <c r="EZ297" s="137"/>
      <c r="FA297" s="137"/>
      <c r="FB297" s="137"/>
      <c r="FC297" s="137"/>
      <c r="FD297" s="137"/>
      <c r="FE297" s="137"/>
      <c r="FF297" s="137"/>
      <c r="FG297" s="860"/>
      <c r="FH297" s="863"/>
      <c r="FI297" s="1318"/>
      <c r="FJ297" s="126"/>
      <c r="FK297" s="127"/>
      <c r="FL297" s="128" t="str">
        <f t="shared" si="1028"/>
        <v xml:space="preserve">    </v>
      </c>
      <c r="FM297" s="128"/>
      <c r="FN297" s="1686">
        <f t="shared" si="1029"/>
        <v>0</v>
      </c>
      <c r="FO297" s="46">
        <f t="shared" si="972"/>
        <v>0</v>
      </c>
      <c r="FP297" s="46">
        <f t="shared" si="977"/>
        <v>1</v>
      </c>
      <c r="FQ297" s="75">
        <f t="shared" si="1030"/>
        <v>0</v>
      </c>
      <c r="FR297" s="46">
        <f t="shared" si="1036"/>
        <v>0</v>
      </c>
      <c r="FS297" s="46">
        <f t="shared" si="1037"/>
        <v>1</v>
      </c>
      <c r="FT297" s="75">
        <f t="shared" si="1031"/>
        <v>0</v>
      </c>
      <c r="FU297" s="2603">
        <f t="shared" si="973"/>
        <v>0</v>
      </c>
      <c r="FV297" s="2607">
        <f t="shared" si="974"/>
        <v>0</v>
      </c>
      <c r="FW297" s="2603">
        <f t="shared" si="975"/>
        <v>0</v>
      </c>
      <c r="FX297" s="2631">
        <f t="shared" si="976"/>
        <v>0</v>
      </c>
      <c r="FY297" s="81" t="e">
        <f t="shared" si="1038"/>
        <v>#N/A</v>
      </c>
      <c r="FZ297" s="64" t="e">
        <f t="array" ref="FZ297">MATCH(1,($GT297:$LQ297&gt;0)*$GT$25:$LQ$25,0)</f>
        <v>#N/A</v>
      </c>
      <c r="GA297" s="64" t="e">
        <f t="array" ref="GA297">MATCH(2,1/(GT297:LQ297&gt;0))</f>
        <v>#N/A</v>
      </c>
      <c r="GB297" s="64">
        <f t="shared" si="1032"/>
        <v>-1</v>
      </c>
      <c r="GC297" s="46"/>
      <c r="GD297" s="613"/>
      <c r="GE297" s="613"/>
      <c r="GF297" s="613"/>
      <c r="GG297" s="613"/>
      <c r="GH297" s="613"/>
      <c r="GI297" s="613"/>
      <c r="GJ297" s="613"/>
      <c r="GK297" s="613"/>
      <c r="GL297" s="613"/>
      <c r="GM297" s="613"/>
      <c r="GN297" s="385">
        <f t="shared" si="983"/>
        <v>0</v>
      </c>
      <c r="GO297" s="386">
        <f t="shared" si="984"/>
        <v>0</v>
      </c>
      <c r="GP297" s="2635"/>
      <c r="GQ297" s="175"/>
      <c r="GR297" s="172"/>
      <c r="GS297" s="65"/>
      <c r="GT297" s="167"/>
      <c r="GU297" s="168"/>
      <c r="GV297" s="168"/>
      <c r="GW297" s="168"/>
      <c r="GX297" s="168"/>
      <c r="GY297" s="168"/>
      <c r="GZ297" s="168"/>
      <c r="HA297" s="168"/>
      <c r="HB297" s="168"/>
      <c r="HC297" s="168"/>
      <c r="HD297" s="168"/>
      <c r="HE297" s="168"/>
      <c r="HF297" s="168"/>
      <c r="HG297" s="168"/>
      <c r="HH297" s="168"/>
      <c r="HI297" s="168"/>
      <c r="HJ297" s="168"/>
      <c r="HK297" s="168"/>
      <c r="HL297" s="168"/>
      <c r="HM297" s="168"/>
      <c r="HN297" s="168"/>
      <c r="HO297" s="168"/>
      <c r="HP297" s="168"/>
      <c r="HQ297" s="168"/>
      <c r="HR297" s="168"/>
      <c r="HS297" s="168"/>
      <c r="HT297" s="168"/>
      <c r="HU297" s="168"/>
      <c r="HV297" s="168"/>
      <c r="HW297" s="168"/>
      <c r="HX297" s="168"/>
      <c r="HY297" s="168"/>
      <c r="HZ297" s="168"/>
      <c r="IA297" s="168"/>
      <c r="IB297" s="168"/>
      <c r="IC297" s="168"/>
      <c r="ID297" s="168"/>
      <c r="IE297" s="168"/>
      <c r="IF297" s="168"/>
      <c r="IG297" s="168"/>
      <c r="IH297" s="168"/>
      <c r="II297" s="168"/>
      <c r="IJ297" s="168"/>
      <c r="IK297" s="168"/>
      <c r="IL297" s="168"/>
      <c r="IM297" s="168"/>
      <c r="IN297" s="168"/>
      <c r="IO297" s="168"/>
      <c r="IP297" s="168"/>
      <c r="IQ297" s="168"/>
      <c r="IR297" s="168"/>
      <c r="IS297" s="168"/>
      <c r="IT297" s="168"/>
      <c r="IU297" s="168"/>
      <c r="IV297" s="168"/>
      <c r="IW297" s="168"/>
      <c r="IX297" s="168"/>
      <c r="IY297" s="168"/>
      <c r="IZ297" s="168"/>
      <c r="JA297" s="168"/>
      <c r="JB297" s="168"/>
      <c r="JC297" s="168"/>
      <c r="JD297" s="168"/>
      <c r="JE297" s="168"/>
      <c r="JF297" s="168"/>
      <c r="JG297" s="168"/>
      <c r="JH297" s="168"/>
      <c r="JI297" s="168"/>
      <c r="JJ297" s="168"/>
      <c r="JK297" s="168"/>
      <c r="JL297" s="168"/>
      <c r="JM297" s="168"/>
      <c r="JN297" s="168"/>
      <c r="JO297" s="168"/>
      <c r="JP297" s="168"/>
      <c r="JQ297" s="168"/>
      <c r="JR297" s="168"/>
      <c r="JS297" s="168"/>
      <c r="JT297" s="168"/>
      <c r="JU297" s="168"/>
      <c r="JV297" s="168"/>
      <c r="JW297" s="168"/>
      <c r="JX297" s="168"/>
      <c r="JY297" s="168"/>
      <c r="JZ297" s="168"/>
      <c r="KA297" s="168"/>
      <c r="KB297" s="168"/>
      <c r="KC297" s="168"/>
      <c r="KD297" s="168"/>
      <c r="KE297" s="168"/>
      <c r="KF297" s="168"/>
      <c r="KG297" s="168"/>
      <c r="KH297" s="168"/>
      <c r="KI297" s="168"/>
      <c r="KJ297" s="168"/>
      <c r="KK297" s="168"/>
      <c r="KL297" s="168"/>
      <c r="KM297" s="168"/>
      <c r="KN297" s="168"/>
      <c r="KO297" s="168"/>
      <c r="KP297" s="168"/>
      <c r="KQ297" s="168"/>
      <c r="KR297" s="168"/>
      <c r="KS297" s="168"/>
      <c r="KT297" s="168"/>
      <c r="KU297" s="168"/>
      <c r="KV297" s="168"/>
      <c r="KW297" s="168"/>
      <c r="KX297" s="168"/>
      <c r="KY297" s="168"/>
      <c r="KZ297" s="168"/>
      <c r="LA297" s="168"/>
      <c r="LB297" s="168"/>
      <c r="LC297" s="168"/>
      <c r="LD297" s="168"/>
      <c r="LE297" s="168"/>
      <c r="LF297" s="168"/>
      <c r="LG297" s="168"/>
      <c r="LH297" s="168"/>
      <c r="LI297" s="168"/>
      <c r="LJ297" s="168"/>
      <c r="LK297" s="168"/>
      <c r="LL297" s="168"/>
      <c r="LM297" s="168"/>
      <c r="LN297" s="168"/>
      <c r="LO297" s="168"/>
      <c r="LP297" s="606"/>
      <c r="LQ297" s="609"/>
      <c r="LR297" s="1319"/>
      <c r="LS297" s="1319"/>
    </row>
    <row r="298" spans="1:331" s="2" customFormat="1" ht="15" customHeight="1" x14ac:dyDescent="0.25">
      <c r="A298" s="283"/>
      <c r="B298" s="303"/>
      <c r="C298" s="301"/>
      <c r="D298" s="1287"/>
      <c r="E298" s="2298"/>
      <c r="F298" s="1812"/>
      <c r="G298" s="3342"/>
      <c r="H298" s="66"/>
      <c r="I298" s="1746"/>
      <c r="J298" s="1214"/>
      <c r="K298" s="105"/>
      <c r="L298" s="91"/>
      <c r="M298" s="92"/>
      <c r="N298" s="93"/>
      <c r="O298" s="94"/>
      <c r="P298" s="96"/>
      <c r="Q298" s="95"/>
      <c r="R298" s="993">
        <f t="shared" si="978"/>
        <v>0</v>
      </c>
      <c r="S298" s="23">
        <f t="shared" si="979"/>
        <v>0</v>
      </c>
      <c r="T298" s="24">
        <f t="shared" si="985"/>
        <v>0</v>
      </c>
      <c r="U298" s="24">
        <f t="shared" si="986"/>
        <v>0</v>
      </c>
      <c r="V298" s="24">
        <f t="shared" si="987"/>
        <v>0</v>
      </c>
      <c r="W298" s="24">
        <f t="shared" ca="1" si="988"/>
        <v>0</v>
      </c>
      <c r="X298" s="72">
        <f t="shared" ca="1" si="956"/>
        <v>0</v>
      </c>
      <c r="Y298" s="72">
        <f t="shared" si="989"/>
        <v>0</v>
      </c>
      <c r="Z298" s="24">
        <f t="shared" si="990"/>
        <v>0</v>
      </c>
      <c r="AA298" s="72">
        <f t="shared" si="957"/>
        <v>0</v>
      </c>
      <c r="AB298" s="24">
        <f t="shared" si="967"/>
        <v>0</v>
      </c>
      <c r="AC298" s="24">
        <f t="shared" ca="1" si="991"/>
        <v>0</v>
      </c>
      <c r="AD298" s="24">
        <f t="shared" si="886"/>
        <v>0</v>
      </c>
      <c r="AE298" s="2078">
        <f t="shared" si="1033"/>
        <v>3</v>
      </c>
      <c r="AF298" s="2078">
        <f t="shared" si="1034"/>
        <v>0</v>
      </c>
      <c r="AG298" s="2078">
        <f t="shared" si="1035"/>
        <v>0</v>
      </c>
      <c r="AH298" s="2521">
        <f t="shared" si="887"/>
        <v>1</v>
      </c>
      <c r="AI298" s="25" t="str">
        <f t="shared" si="992"/>
        <v/>
      </c>
      <c r="AJ298" s="2521">
        <f t="shared" ca="1" si="882"/>
        <v>0</v>
      </c>
      <c r="AK298" s="2076">
        <f t="shared" ca="1" si="878"/>
        <v>0</v>
      </c>
      <c r="AL298" s="2078">
        <f>IF(ISBLANK(J298),0,ISERROR(MATCH(J298,'5  Control Accounts'!$FA$29:$FA$96,0))*1)</f>
        <v>0</v>
      </c>
      <c r="AM298" s="2076">
        <f t="shared" si="993"/>
        <v>0</v>
      </c>
      <c r="AN298" s="2078">
        <f t="shared" si="994"/>
        <v>1</v>
      </c>
      <c r="AO298" s="2079">
        <f t="shared" si="888"/>
        <v>1</v>
      </c>
      <c r="AP298" s="2079">
        <f t="shared" si="889"/>
        <v>0</v>
      </c>
      <c r="AQ298" s="2079">
        <f t="shared" si="890"/>
        <v>0</v>
      </c>
      <c r="AR298" s="2079">
        <f t="shared" si="891"/>
        <v>0</v>
      </c>
      <c r="AS298" s="2079">
        <f t="shared" si="892"/>
        <v>0</v>
      </c>
      <c r="AT298" s="2079">
        <f t="shared" si="893"/>
        <v>0</v>
      </c>
      <c r="AU298" s="2079">
        <f t="shared" si="894"/>
        <v>0</v>
      </c>
      <c r="AV298" s="2079">
        <f t="shared" si="895"/>
        <v>0</v>
      </c>
      <c r="AW298" s="2079">
        <f t="shared" si="896"/>
        <v>0</v>
      </c>
      <c r="AX298" s="2079">
        <f t="shared" si="897"/>
        <v>0</v>
      </c>
      <c r="AY298" s="2078">
        <f t="shared" si="995"/>
        <v>0</v>
      </c>
      <c r="AZ298" s="2078">
        <f t="shared" si="996"/>
        <v>0</v>
      </c>
      <c r="BA298" s="2078">
        <f t="shared" si="997"/>
        <v>0</v>
      </c>
      <c r="BB298" s="2078">
        <f t="shared" si="998"/>
        <v>0</v>
      </c>
      <c r="BC298" s="2078">
        <f t="shared" si="999"/>
        <v>0</v>
      </c>
      <c r="BD298" s="2078">
        <f t="shared" si="1000"/>
        <v>0</v>
      </c>
      <c r="BE298" s="2078">
        <f t="shared" si="1001"/>
        <v>0</v>
      </c>
      <c r="BF298" s="2078">
        <f t="shared" si="1002"/>
        <v>0</v>
      </c>
      <c r="BG298" s="2078">
        <f t="shared" si="1003"/>
        <v>0</v>
      </c>
      <c r="BH298" s="2078">
        <f t="shared" si="1004"/>
        <v>0</v>
      </c>
      <c r="BI298" s="2078">
        <f t="shared" si="1005"/>
        <v>0</v>
      </c>
      <c r="BJ298" s="2078">
        <f t="shared" si="1006"/>
        <v>0</v>
      </c>
      <c r="BK298" s="2078">
        <f t="shared" si="1007"/>
        <v>0</v>
      </c>
      <c r="BL298" s="2078">
        <f t="shared" si="1008"/>
        <v>0</v>
      </c>
      <c r="BM298" s="2078">
        <f t="shared" si="1009"/>
        <v>0</v>
      </c>
      <c r="BN298" s="2078">
        <f t="shared" si="1010"/>
        <v>0</v>
      </c>
      <c r="BO298" s="2078">
        <f t="shared" si="1011"/>
        <v>0</v>
      </c>
      <c r="BP298" s="2078">
        <f t="shared" si="1012"/>
        <v>0</v>
      </c>
      <c r="BQ298" s="2078">
        <f t="shared" si="1013"/>
        <v>0</v>
      </c>
      <c r="BR298" s="2078">
        <f t="shared" si="1014"/>
        <v>0</v>
      </c>
      <c r="BS298" s="2079">
        <f t="shared" si="898"/>
        <v>1</v>
      </c>
      <c r="BT298" s="2079">
        <f t="shared" si="899"/>
        <v>0</v>
      </c>
      <c r="BU298" s="2079">
        <f t="shared" si="900"/>
        <v>0</v>
      </c>
      <c r="BV298" s="2079">
        <f t="shared" si="901"/>
        <v>0</v>
      </c>
      <c r="BW298" s="2079">
        <f t="shared" si="902"/>
        <v>0</v>
      </c>
      <c r="BX298" s="2079">
        <f t="shared" si="903"/>
        <v>0</v>
      </c>
      <c r="BY298" s="2079">
        <f t="shared" si="904"/>
        <v>0</v>
      </c>
      <c r="BZ298" s="2079">
        <f t="shared" si="905"/>
        <v>0</v>
      </c>
      <c r="CA298" s="2079">
        <f t="shared" si="906"/>
        <v>0</v>
      </c>
      <c r="CB298" s="2079">
        <f t="shared" si="907"/>
        <v>0</v>
      </c>
      <c r="CC298" s="2078">
        <f t="shared" ca="1" si="1015"/>
        <v>0</v>
      </c>
      <c r="CD298" s="2078">
        <f t="shared" ca="1" si="1016"/>
        <v>0</v>
      </c>
      <c r="CE298" s="2078">
        <f t="shared" ca="1" si="1017"/>
        <v>0</v>
      </c>
      <c r="CF298" s="2078">
        <f t="shared" ca="1" si="1018"/>
        <v>0</v>
      </c>
      <c r="CG298" s="2078">
        <f t="shared" ca="1" si="1019"/>
        <v>0</v>
      </c>
      <c r="CH298" s="2078">
        <f t="shared" ca="1" si="1020"/>
        <v>0</v>
      </c>
      <c r="CI298" s="2078">
        <f t="shared" ca="1" si="1021"/>
        <v>0</v>
      </c>
      <c r="CJ298" s="2078">
        <f t="shared" ca="1" si="1022"/>
        <v>0</v>
      </c>
      <c r="CK298" s="2078">
        <f t="shared" ca="1" si="1023"/>
        <v>0</v>
      </c>
      <c r="CL298" s="2078">
        <f t="shared" ca="1" si="1024"/>
        <v>0</v>
      </c>
      <c r="CM298" s="2078">
        <f t="shared" si="968"/>
        <v>1</v>
      </c>
      <c r="CN298" s="2078">
        <f t="shared" si="969"/>
        <v>1</v>
      </c>
      <c r="CO298" s="2078">
        <f t="shared" si="958"/>
        <v>1</v>
      </c>
      <c r="CP298" s="2078">
        <f t="shared" si="1025"/>
        <v>1</v>
      </c>
      <c r="CQ298" s="2078">
        <f t="shared" si="959"/>
        <v>0</v>
      </c>
      <c r="CR298" s="2078">
        <f t="shared" si="879"/>
        <v>0</v>
      </c>
      <c r="CS298" s="2078">
        <f t="shared" si="1026"/>
        <v>0</v>
      </c>
      <c r="CT298" s="2078">
        <f t="shared" si="960"/>
        <v>1</v>
      </c>
      <c r="CU298" s="2078">
        <f t="shared" si="1027"/>
        <v>1</v>
      </c>
      <c r="CV298" s="2078">
        <f t="shared" si="970"/>
        <v>0</v>
      </c>
      <c r="CW298" s="2078">
        <f>IF(OR(AE298&lt;&gt;3,F298="Exclude"),0,IF(ISERROR(MATCH($E298,'4 Sign-off'!$S$123:$X$123,0)),0,1))</f>
        <v>0</v>
      </c>
      <c r="CX298" s="2078">
        <f t="shared" si="982"/>
        <v>0</v>
      </c>
      <c r="CY298" s="2078">
        <f t="shared" si="971"/>
        <v>0</v>
      </c>
      <c r="CZ298" s="2993">
        <f t="shared" ca="1" si="980"/>
        <v>0</v>
      </c>
      <c r="DA298" s="3037">
        <f t="shared" ca="1" si="981"/>
        <v>0</v>
      </c>
      <c r="DB298" s="1664"/>
      <c r="DC298" s="1320"/>
      <c r="DD298" s="589"/>
      <c r="DE298" s="1321"/>
      <c r="DF298" s="107"/>
      <c r="DG298" s="112"/>
      <c r="DH298" s="140"/>
      <c r="DI298" s="22"/>
      <c r="DJ298" s="145"/>
      <c r="DK298" s="137"/>
      <c r="DL298" s="137"/>
      <c r="DM298" s="137"/>
      <c r="DN298" s="137"/>
      <c r="DO298" s="137"/>
      <c r="DP298" s="137"/>
      <c r="DQ298" s="137"/>
      <c r="DR298" s="137"/>
      <c r="DS298" s="137"/>
      <c r="DT298" s="137"/>
      <c r="DU298" s="137"/>
      <c r="DV298" s="137"/>
      <c r="DW298" s="137"/>
      <c r="DX298" s="137"/>
      <c r="DY298" s="137"/>
      <c r="DZ298" s="137"/>
      <c r="EA298" s="137"/>
      <c r="EB298" s="137"/>
      <c r="EC298" s="137"/>
      <c r="ED298" s="137"/>
      <c r="EE298" s="137"/>
      <c r="EF298" s="137"/>
      <c r="EG298" s="137"/>
      <c r="EH298" s="137"/>
      <c r="EI298" s="137"/>
      <c r="EJ298" s="137"/>
      <c r="EK298" s="137"/>
      <c r="EL298" s="137"/>
      <c r="EM298" s="137"/>
      <c r="EN298" s="137"/>
      <c r="EO298" s="137"/>
      <c r="EP298" s="137"/>
      <c r="EQ298" s="137"/>
      <c r="ER298" s="137"/>
      <c r="ES298" s="137"/>
      <c r="ET298" s="137"/>
      <c r="EU298" s="137"/>
      <c r="EV298" s="137"/>
      <c r="EW298" s="137"/>
      <c r="EX298" s="137"/>
      <c r="EY298" s="137"/>
      <c r="EZ298" s="137"/>
      <c r="FA298" s="137"/>
      <c r="FB298" s="137"/>
      <c r="FC298" s="137"/>
      <c r="FD298" s="137"/>
      <c r="FE298" s="137"/>
      <c r="FF298" s="137"/>
      <c r="FG298" s="860"/>
      <c r="FH298" s="863"/>
      <c r="FI298" s="1318"/>
      <c r="FJ298" s="126"/>
      <c r="FK298" s="127"/>
      <c r="FL298" s="128" t="str">
        <f t="shared" si="1028"/>
        <v xml:space="preserve">    </v>
      </c>
      <c r="FM298" s="128"/>
      <c r="FN298" s="1686">
        <f t="shared" si="1029"/>
        <v>0</v>
      </c>
      <c r="FO298" s="46">
        <f t="shared" si="972"/>
        <v>0</v>
      </c>
      <c r="FP298" s="46">
        <f t="shared" si="977"/>
        <v>1</v>
      </c>
      <c r="FQ298" s="75">
        <f t="shared" si="1030"/>
        <v>0</v>
      </c>
      <c r="FR298" s="46">
        <f t="shared" si="1036"/>
        <v>0</v>
      </c>
      <c r="FS298" s="46">
        <f t="shared" si="1037"/>
        <v>1</v>
      </c>
      <c r="FT298" s="75">
        <f t="shared" si="1031"/>
        <v>0</v>
      </c>
      <c r="FU298" s="2603">
        <f t="shared" si="973"/>
        <v>0</v>
      </c>
      <c r="FV298" s="2607">
        <f t="shared" si="974"/>
        <v>0</v>
      </c>
      <c r="FW298" s="2603">
        <f t="shared" si="975"/>
        <v>0</v>
      </c>
      <c r="FX298" s="2631">
        <f t="shared" si="976"/>
        <v>0</v>
      </c>
      <c r="FY298" s="81" t="e">
        <f t="shared" si="1038"/>
        <v>#N/A</v>
      </c>
      <c r="FZ298" s="64" t="e">
        <f t="array" ref="FZ298">MATCH(1,($GT298:$LQ298&gt;0)*$GT$25:$LQ$25,0)</f>
        <v>#N/A</v>
      </c>
      <c r="GA298" s="64" t="e">
        <f t="array" ref="GA298">MATCH(2,1/(GT298:LQ298&gt;0))</f>
        <v>#N/A</v>
      </c>
      <c r="GB298" s="64">
        <f t="shared" si="1032"/>
        <v>-1</v>
      </c>
      <c r="GC298" s="46"/>
      <c r="GD298" s="613"/>
      <c r="GE298" s="613"/>
      <c r="GF298" s="613"/>
      <c r="GG298" s="613"/>
      <c r="GH298" s="613"/>
      <c r="GI298" s="613"/>
      <c r="GJ298" s="613"/>
      <c r="GK298" s="613"/>
      <c r="GL298" s="613"/>
      <c r="GM298" s="613"/>
      <c r="GN298" s="385">
        <f t="shared" si="983"/>
        <v>0</v>
      </c>
      <c r="GO298" s="386">
        <f t="shared" si="984"/>
        <v>0</v>
      </c>
      <c r="GP298" s="2635"/>
      <c r="GQ298" s="175"/>
      <c r="GR298" s="172"/>
      <c r="GS298" s="65"/>
      <c r="GT298" s="167"/>
      <c r="GU298" s="168"/>
      <c r="GV298" s="168"/>
      <c r="GW298" s="168"/>
      <c r="GX298" s="168"/>
      <c r="GY298" s="168"/>
      <c r="GZ298" s="168"/>
      <c r="HA298" s="168"/>
      <c r="HB298" s="168"/>
      <c r="HC298" s="168"/>
      <c r="HD298" s="168"/>
      <c r="HE298" s="168"/>
      <c r="HF298" s="168"/>
      <c r="HG298" s="168"/>
      <c r="HH298" s="168"/>
      <c r="HI298" s="168"/>
      <c r="HJ298" s="168"/>
      <c r="HK298" s="168"/>
      <c r="HL298" s="168"/>
      <c r="HM298" s="168"/>
      <c r="HN298" s="168"/>
      <c r="HO298" s="168"/>
      <c r="HP298" s="168"/>
      <c r="HQ298" s="168"/>
      <c r="HR298" s="168"/>
      <c r="HS298" s="168"/>
      <c r="HT298" s="168"/>
      <c r="HU298" s="168"/>
      <c r="HV298" s="168"/>
      <c r="HW298" s="168"/>
      <c r="HX298" s="168"/>
      <c r="HY298" s="168"/>
      <c r="HZ298" s="168"/>
      <c r="IA298" s="168"/>
      <c r="IB298" s="168"/>
      <c r="IC298" s="168"/>
      <c r="ID298" s="168"/>
      <c r="IE298" s="168"/>
      <c r="IF298" s="168"/>
      <c r="IG298" s="168"/>
      <c r="IH298" s="168"/>
      <c r="II298" s="168"/>
      <c r="IJ298" s="168"/>
      <c r="IK298" s="168"/>
      <c r="IL298" s="168"/>
      <c r="IM298" s="168"/>
      <c r="IN298" s="168"/>
      <c r="IO298" s="168"/>
      <c r="IP298" s="168"/>
      <c r="IQ298" s="168"/>
      <c r="IR298" s="168"/>
      <c r="IS298" s="168"/>
      <c r="IT298" s="168"/>
      <c r="IU298" s="168"/>
      <c r="IV298" s="168"/>
      <c r="IW298" s="168"/>
      <c r="IX298" s="168"/>
      <c r="IY298" s="168"/>
      <c r="IZ298" s="168"/>
      <c r="JA298" s="168"/>
      <c r="JB298" s="168"/>
      <c r="JC298" s="168"/>
      <c r="JD298" s="168"/>
      <c r="JE298" s="168"/>
      <c r="JF298" s="168"/>
      <c r="JG298" s="168"/>
      <c r="JH298" s="168"/>
      <c r="JI298" s="168"/>
      <c r="JJ298" s="168"/>
      <c r="JK298" s="168"/>
      <c r="JL298" s="168"/>
      <c r="JM298" s="168"/>
      <c r="JN298" s="168"/>
      <c r="JO298" s="168"/>
      <c r="JP298" s="168"/>
      <c r="JQ298" s="168"/>
      <c r="JR298" s="168"/>
      <c r="JS298" s="168"/>
      <c r="JT298" s="168"/>
      <c r="JU298" s="168"/>
      <c r="JV298" s="168"/>
      <c r="JW298" s="168"/>
      <c r="JX298" s="168"/>
      <c r="JY298" s="168"/>
      <c r="JZ298" s="168"/>
      <c r="KA298" s="168"/>
      <c r="KB298" s="168"/>
      <c r="KC298" s="168"/>
      <c r="KD298" s="168"/>
      <c r="KE298" s="168"/>
      <c r="KF298" s="168"/>
      <c r="KG298" s="168"/>
      <c r="KH298" s="168"/>
      <c r="KI298" s="168"/>
      <c r="KJ298" s="168"/>
      <c r="KK298" s="168"/>
      <c r="KL298" s="168"/>
      <c r="KM298" s="168"/>
      <c r="KN298" s="168"/>
      <c r="KO298" s="168"/>
      <c r="KP298" s="168"/>
      <c r="KQ298" s="168"/>
      <c r="KR298" s="168"/>
      <c r="KS298" s="168"/>
      <c r="KT298" s="168"/>
      <c r="KU298" s="168"/>
      <c r="KV298" s="168"/>
      <c r="KW298" s="168"/>
      <c r="KX298" s="168"/>
      <c r="KY298" s="168"/>
      <c r="KZ298" s="168"/>
      <c r="LA298" s="168"/>
      <c r="LB298" s="168"/>
      <c r="LC298" s="168"/>
      <c r="LD298" s="168"/>
      <c r="LE298" s="168"/>
      <c r="LF298" s="168"/>
      <c r="LG298" s="168"/>
      <c r="LH298" s="168"/>
      <c r="LI298" s="168"/>
      <c r="LJ298" s="168"/>
      <c r="LK298" s="168"/>
      <c r="LL298" s="168"/>
      <c r="LM298" s="168"/>
      <c r="LN298" s="168"/>
      <c r="LO298" s="168"/>
      <c r="LP298" s="606"/>
      <c r="LQ298" s="609"/>
      <c r="LR298" s="1319"/>
      <c r="LS298" s="1319"/>
    </row>
    <row r="299" spans="1:331" s="2" customFormat="1" ht="15" customHeight="1" x14ac:dyDescent="0.25">
      <c r="A299" s="283"/>
      <c r="B299" s="303"/>
      <c r="C299" s="301"/>
      <c r="D299" s="1287"/>
      <c r="E299" s="2298"/>
      <c r="F299" s="1812"/>
      <c r="G299" s="3342"/>
      <c r="H299" s="66"/>
      <c r="I299" s="1746"/>
      <c r="J299" s="1214"/>
      <c r="K299" s="105"/>
      <c r="L299" s="91"/>
      <c r="M299" s="92"/>
      <c r="N299" s="93"/>
      <c r="O299" s="94"/>
      <c r="P299" s="96"/>
      <c r="Q299" s="95"/>
      <c r="R299" s="993">
        <f t="shared" si="978"/>
        <v>0</v>
      </c>
      <c r="S299" s="23">
        <f t="shared" si="979"/>
        <v>0</v>
      </c>
      <c r="T299" s="24">
        <f t="shared" si="985"/>
        <v>0</v>
      </c>
      <c r="U299" s="24">
        <f t="shared" si="986"/>
        <v>0</v>
      </c>
      <c r="V299" s="24">
        <f t="shared" si="987"/>
        <v>0</v>
      </c>
      <c r="W299" s="24">
        <f t="shared" ca="1" si="988"/>
        <v>0</v>
      </c>
      <c r="X299" s="72">
        <f t="shared" ca="1" si="956"/>
        <v>0</v>
      </c>
      <c r="Y299" s="72">
        <f t="shared" si="989"/>
        <v>0</v>
      </c>
      <c r="Z299" s="24">
        <f t="shared" si="990"/>
        <v>0</v>
      </c>
      <c r="AA299" s="72">
        <f t="shared" si="957"/>
        <v>0</v>
      </c>
      <c r="AB299" s="24">
        <f t="shared" si="967"/>
        <v>0</v>
      </c>
      <c r="AC299" s="24">
        <f t="shared" ca="1" si="991"/>
        <v>0</v>
      </c>
      <c r="AD299" s="24">
        <f t="shared" si="886"/>
        <v>0</v>
      </c>
      <c r="AE299" s="2078">
        <f t="shared" si="1033"/>
        <v>3</v>
      </c>
      <c r="AF299" s="2078">
        <f t="shared" si="1034"/>
        <v>0</v>
      </c>
      <c r="AG299" s="2078">
        <f t="shared" si="1035"/>
        <v>0</v>
      </c>
      <c r="AH299" s="2521">
        <f t="shared" si="887"/>
        <v>1</v>
      </c>
      <c r="AI299" s="25" t="str">
        <f t="shared" si="992"/>
        <v/>
      </c>
      <c r="AJ299" s="2521">
        <f t="shared" ca="1" si="882"/>
        <v>0</v>
      </c>
      <c r="AK299" s="2076">
        <f t="shared" ca="1" si="878"/>
        <v>0</v>
      </c>
      <c r="AL299" s="2078">
        <f>IF(ISBLANK(J299),0,ISERROR(MATCH(J299,'5  Control Accounts'!$FA$29:$FA$96,0))*1)</f>
        <v>0</v>
      </c>
      <c r="AM299" s="2076">
        <f t="shared" si="993"/>
        <v>0</v>
      </c>
      <c r="AN299" s="2078">
        <f t="shared" si="994"/>
        <v>1</v>
      </c>
      <c r="AO299" s="2079">
        <f t="shared" si="888"/>
        <v>1</v>
      </c>
      <c r="AP299" s="2079">
        <f t="shared" si="889"/>
        <v>0</v>
      </c>
      <c r="AQ299" s="2079">
        <f t="shared" si="890"/>
        <v>0</v>
      </c>
      <c r="AR299" s="2079">
        <f t="shared" si="891"/>
        <v>0</v>
      </c>
      <c r="AS299" s="2079">
        <f t="shared" si="892"/>
        <v>0</v>
      </c>
      <c r="AT299" s="2079">
        <f t="shared" si="893"/>
        <v>0</v>
      </c>
      <c r="AU299" s="2079">
        <f t="shared" si="894"/>
        <v>0</v>
      </c>
      <c r="AV299" s="2079">
        <f t="shared" si="895"/>
        <v>0</v>
      </c>
      <c r="AW299" s="2079">
        <f t="shared" si="896"/>
        <v>0</v>
      </c>
      <c r="AX299" s="2079">
        <f t="shared" si="897"/>
        <v>0</v>
      </c>
      <c r="AY299" s="2078">
        <f t="shared" si="995"/>
        <v>0</v>
      </c>
      <c r="AZ299" s="2078">
        <f t="shared" si="996"/>
        <v>0</v>
      </c>
      <c r="BA299" s="2078">
        <f t="shared" si="997"/>
        <v>0</v>
      </c>
      <c r="BB299" s="2078">
        <f t="shared" si="998"/>
        <v>0</v>
      </c>
      <c r="BC299" s="2078">
        <f t="shared" si="999"/>
        <v>0</v>
      </c>
      <c r="BD299" s="2078">
        <f t="shared" si="1000"/>
        <v>0</v>
      </c>
      <c r="BE299" s="2078">
        <f t="shared" si="1001"/>
        <v>0</v>
      </c>
      <c r="BF299" s="2078">
        <f t="shared" si="1002"/>
        <v>0</v>
      </c>
      <c r="BG299" s="2078">
        <f t="shared" si="1003"/>
        <v>0</v>
      </c>
      <c r="BH299" s="2078">
        <f t="shared" si="1004"/>
        <v>0</v>
      </c>
      <c r="BI299" s="2078">
        <f t="shared" si="1005"/>
        <v>0</v>
      </c>
      <c r="BJ299" s="2078">
        <f t="shared" si="1006"/>
        <v>0</v>
      </c>
      <c r="BK299" s="2078">
        <f t="shared" si="1007"/>
        <v>0</v>
      </c>
      <c r="BL299" s="2078">
        <f t="shared" si="1008"/>
        <v>0</v>
      </c>
      <c r="BM299" s="2078">
        <f t="shared" si="1009"/>
        <v>0</v>
      </c>
      <c r="BN299" s="2078">
        <f t="shared" si="1010"/>
        <v>0</v>
      </c>
      <c r="BO299" s="2078">
        <f t="shared" si="1011"/>
        <v>0</v>
      </c>
      <c r="BP299" s="2078">
        <f t="shared" si="1012"/>
        <v>0</v>
      </c>
      <c r="BQ299" s="2078">
        <f t="shared" si="1013"/>
        <v>0</v>
      </c>
      <c r="BR299" s="2078">
        <f t="shared" si="1014"/>
        <v>0</v>
      </c>
      <c r="BS299" s="2079">
        <f t="shared" si="898"/>
        <v>1</v>
      </c>
      <c r="BT299" s="2079">
        <f t="shared" si="899"/>
        <v>0</v>
      </c>
      <c r="BU299" s="2079">
        <f t="shared" si="900"/>
        <v>0</v>
      </c>
      <c r="BV299" s="2079">
        <f t="shared" si="901"/>
        <v>0</v>
      </c>
      <c r="BW299" s="2079">
        <f t="shared" si="902"/>
        <v>0</v>
      </c>
      <c r="BX299" s="2079">
        <f t="shared" si="903"/>
        <v>0</v>
      </c>
      <c r="BY299" s="2079">
        <f t="shared" si="904"/>
        <v>0</v>
      </c>
      <c r="BZ299" s="2079">
        <f t="shared" si="905"/>
        <v>0</v>
      </c>
      <c r="CA299" s="2079">
        <f t="shared" si="906"/>
        <v>0</v>
      </c>
      <c r="CB299" s="2079">
        <f t="shared" si="907"/>
        <v>0</v>
      </c>
      <c r="CC299" s="2078">
        <f t="shared" ca="1" si="1015"/>
        <v>0</v>
      </c>
      <c r="CD299" s="2078">
        <f t="shared" ca="1" si="1016"/>
        <v>0</v>
      </c>
      <c r="CE299" s="2078">
        <f t="shared" ca="1" si="1017"/>
        <v>0</v>
      </c>
      <c r="CF299" s="2078">
        <f t="shared" ca="1" si="1018"/>
        <v>0</v>
      </c>
      <c r="CG299" s="2078">
        <f t="shared" ca="1" si="1019"/>
        <v>0</v>
      </c>
      <c r="CH299" s="2078">
        <f t="shared" ca="1" si="1020"/>
        <v>0</v>
      </c>
      <c r="CI299" s="2078">
        <f t="shared" ca="1" si="1021"/>
        <v>0</v>
      </c>
      <c r="CJ299" s="2078">
        <f t="shared" ca="1" si="1022"/>
        <v>0</v>
      </c>
      <c r="CK299" s="2078">
        <f t="shared" ca="1" si="1023"/>
        <v>0</v>
      </c>
      <c r="CL299" s="2078">
        <f t="shared" ca="1" si="1024"/>
        <v>0</v>
      </c>
      <c r="CM299" s="2078">
        <f t="shared" si="968"/>
        <v>1</v>
      </c>
      <c r="CN299" s="2078">
        <f t="shared" si="969"/>
        <v>1</v>
      </c>
      <c r="CO299" s="2078">
        <f t="shared" si="958"/>
        <v>1</v>
      </c>
      <c r="CP299" s="2078">
        <f t="shared" si="1025"/>
        <v>1</v>
      </c>
      <c r="CQ299" s="2078">
        <f t="shared" si="959"/>
        <v>0</v>
      </c>
      <c r="CR299" s="2078">
        <f t="shared" si="879"/>
        <v>0</v>
      </c>
      <c r="CS299" s="2078">
        <f t="shared" si="1026"/>
        <v>0</v>
      </c>
      <c r="CT299" s="2078">
        <f t="shared" si="960"/>
        <v>1</v>
      </c>
      <c r="CU299" s="2078">
        <f t="shared" si="1027"/>
        <v>1</v>
      </c>
      <c r="CV299" s="2078">
        <f t="shared" si="970"/>
        <v>0</v>
      </c>
      <c r="CW299" s="2078">
        <f>IF(OR(AE299&lt;&gt;3,F299="Exclude"),0,IF(ISERROR(MATCH($E299,'4 Sign-off'!$S$123:$X$123,0)),0,1))</f>
        <v>0</v>
      </c>
      <c r="CX299" s="2078">
        <f t="shared" si="982"/>
        <v>0</v>
      </c>
      <c r="CY299" s="2078">
        <f t="shared" si="971"/>
        <v>0</v>
      </c>
      <c r="CZ299" s="2993">
        <f t="shared" ca="1" si="980"/>
        <v>0</v>
      </c>
      <c r="DA299" s="3037">
        <f t="shared" ca="1" si="981"/>
        <v>0</v>
      </c>
      <c r="DB299" s="1664"/>
      <c r="DC299" s="1320"/>
      <c r="DD299" s="589"/>
      <c r="DE299" s="1321"/>
      <c r="DF299" s="107"/>
      <c r="DG299" s="112"/>
      <c r="DH299" s="140"/>
      <c r="DI299" s="22"/>
      <c r="DJ299" s="145"/>
      <c r="DK299" s="137"/>
      <c r="DL299" s="137"/>
      <c r="DM299" s="137"/>
      <c r="DN299" s="137"/>
      <c r="DO299" s="137"/>
      <c r="DP299" s="137"/>
      <c r="DQ299" s="137"/>
      <c r="DR299" s="137"/>
      <c r="DS299" s="137"/>
      <c r="DT299" s="137"/>
      <c r="DU299" s="137"/>
      <c r="DV299" s="137"/>
      <c r="DW299" s="137"/>
      <c r="DX299" s="137"/>
      <c r="DY299" s="137"/>
      <c r="DZ299" s="137"/>
      <c r="EA299" s="137"/>
      <c r="EB299" s="137"/>
      <c r="EC299" s="137"/>
      <c r="ED299" s="137"/>
      <c r="EE299" s="137"/>
      <c r="EF299" s="137"/>
      <c r="EG299" s="137"/>
      <c r="EH299" s="137"/>
      <c r="EI299" s="137"/>
      <c r="EJ299" s="137"/>
      <c r="EK299" s="137"/>
      <c r="EL299" s="137"/>
      <c r="EM299" s="137"/>
      <c r="EN299" s="137"/>
      <c r="EO299" s="137"/>
      <c r="EP299" s="137"/>
      <c r="EQ299" s="137"/>
      <c r="ER299" s="137"/>
      <c r="ES299" s="137"/>
      <c r="ET299" s="137"/>
      <c r="EU299" s="137"/>
      <c r="EV299" s="137"/>
      <c r="EW299" s="137"/>
      <c r="EX299" s="137"/>
      <c r="EY299" s="137"/>
      <c r="EZ299" s="137"/>
      <c r="FA299" s="137"/>
      <c r="FB299" s="137"/>
      <c r="FC299" s="137"/>
      <c r="FD299" s="137"/>
      <c r="FE299" s="137"/>
      <c r="FF299" s="137"/>
      <c r="FG299" s="860"/>
      <c r="FH299" s="863"/>
      <c r="FI299" s="1318"/>
      <c r="FJ299" s="126"/>
      <c r="FK299" s="127"/>
      <c r="FL299" s="128" t="str">
        <f t="shared" si="1028"/>
        <v xml:space="preserve">    </v>
      </c>
      <c r="FM299" s="128"/>
      <c r="FN299" s="1686">
        <f t="shared" si="1029"/>
        <v>0</v>
      </c>
      <c r="FO299" s="46">
        <f t="shared" si="972"/>
        <v>0</v>
      </c>
      <c r="FP299" s="46">
        <f t="shared" si="977"/>
        <v>1</v>
      </c>
      <c r="FQ299" s="75">
        <f t="shared" si="1030"/>
        <v>0</v>
      </c>
      <c r="FR299" s="46">
        <f t="shared" si="1036"/>
        <v>0</v>
      </c>
      <c r="FS299" s="46">
        <f t="shared" si="1037"/>
        <v>1</v>
      </c>
      <c r="FT299" s="75">
        <f t="shared" si="1031"/>
        <v>0</v>
      </c>
      <c r="FU299" s="2603">
        <f t="shared" si="973"/>
        <v>0</v>
      </c>
      <c r="FV299" s="2607">
        <f t="shared" si="974"/>
        <v>0</v>
      </c>
      <c r="FW299" s="2603">
        <f t="shared" si="975"/>
        <v>0</v>
      </c>
      <c r="FX299" s="2631">
        <f t="shared" si="976"/>
        <v>0</v>
      </c>
      <c r="FY299" s="81" t="e">
        <f t="shared" si="1038"/>
        <v>#N/A</v>
      </c>
      <c r="FZ299" s="64" t="e">
        <f t="array" ref="FZ299">MATCH(1,($GT299:$LQ299&gt;0)*$GT$25:$LQ$25,0)</f>
        <v>#N/A</v>
      </c>
      <c r="GA299" s="64" t="e">
        <f t="array" ref="GA299">MATCH(2,1/(GT299:LQ299&gt;0))</f>
        <v>#N/A</v>
      </c>
      <c r="GB299" s="64">
        <f t="shared" si="1032"/>
        <v>-1</v>
      </c>
      <c r="GC299" s="46"/>
      <c r="GD299" s="613"/>
      <c r="GE299" s="613"/>
      <c r="GF299" s="613"/>
      <c r="GG299" s="613"/>
      <c r="GH299" s="613"/>
      <c r="GI299" s="613"/>
      <c r="GJ299" s="613"/>
      <c r="GK299" s="613"/>
      <c r="GL299" s="613"/>
      <c r="GM299" s="613"/>
      <c r="GN299" s="385">
        <f t="shared" si="983"/>
        <v>0</v>
      </c>
      <c r="GO299" s="386">
        <f t="shared" si="984"/>
        <v>0</v>
      </c>
      <c r="GP299" s="2635"/>
      <c r="GQ299" s="175"/>
      <c r="GR299" s="172"/>
      <c r="GS299" s="65"/>
      <c r="GT299" s="167"/>
      <c r="GU299" s="168"/>
      <c r="GV299" s="168"/>
      <c r="GW299" s="168"/>
      <c r="GX299" s="168"/>
      <c r="GY299" s="168"/>
      <c r="GZ299" s="168"/>
      <c r="HA299" s="168"/>
      <c r="HB299" s="168"/>
      <c r="HC299" s="168"/>
      <c r="HD299" s="168"/>
      <c r="HE299" s="168"/>
      <c r="HF299" s="168"/>
      <c r="HG299" s="168"/>
      <c r="HH299" s="168"/>
      <c r="HI299" s="168"/>
      <c r="HJ299" s="168"/>
      <c r="HK299" s="168"/>
      <c r="HL299" s="168"/>
      <c r="HM299" s="168"/>
      <c r="HN299" s="168"/>
      <c r="HO299" s="168"/>
      <c r="HP299" s="168"/>
      <c r="HQ299" s="168"/>
      <c r="HR299" s="168"/>
      <c r="HS299" s="168"/>
      <c r="HT299" s="168"/>
      <c r="HU299" s="168"/>
      <c r="HV299" s="168"/>
      <c r="HW299" s="168"/>
      <c r="HX299" s="168"/>
      <c r="HY299" s="168"/>
      <c r="HZ299" s="168"/>
      <c r="IA299" s="168"/>
      <c r="IB299" s="168"/>
      <c r="IC299" s="168"/>
      <c r="ID299" s="168"/>
      <c r="IE299" s="168"/>
      <c r="IF299" s="168"/>
      <c r="IG299" s="168"/>
      <c r="IH299" s="168"/>
      <c r="II299" s="168"/>
      <c r="IJ299" s="168"/>
      <c r="IK299" s="168"/>
      <c r="IL299" s="168"/>
      <c r="IM299" s="168"/>
      <c r="IN299" s="168"/>
      <c r="IO299" s="168"/>
      <c r="IP299" s="168"/>
      <c r="IQ299" s="168"/>
      <c r="IR299" s="168"/>
      <c r="IS299" s="168"/>
      <c r="IT299" s="168"/>
      <c r="IU299" s="168"/>
      <c r="IV299" s="168"/>
      <c r="IW299" s="168"/>
      <c r="IX299" s="168"/>
      <c r="IY299" s="168"/>
      <c r="IZ299" s="168"/>
      <c r="JA299" s="168"/>
      <c r="JB299" s="168"/>
      <c r="JC299" s="168"/>
      <c r="JD299" s="168"/>
      <c r="JE299" s="168"/>
      <c r="JF299" s="168"/>
      <c r="JG299" s="168"/>
      <c r="JH299" s="168"/>
      <c r="JI299" s="168"/>
      <c r="JJ299" s="168"/>
      <c r="JK299" s="168"/>
      <c r="JL299" s="168"/>
      <c r="JM299" s="168"/>
      <c r="JN299" s="168"/>
      <c r="JO299" s="168"/>
      <c r="JP299" s="168"/>
      <c r="JQ299" s="168"/>
      <c r="JR299" s="168"/>
      <c r="JS299" s="168"/>
      <c r="JT299" s="168"/>
      <c r="JU299" s="168"/>
      <c r="JV299" s="168"/>
      <c r="JW299" s="168"/>
      <c r="JX299" s="168"/>
      <c r="JY299" s="168"/>
      <c r="JZ299" s="168"/>
      <c r="KA299" s="168"/>
      <c r="KB299" s="168"/>
      <c r="KC299" s="168"/>
      <c r="KD299" s="168"/>
      <c r="KE299" s="168"/>
      <c r="KF299" s="168"/>
      <c r="KG299" s="168"/>
      <c r="KH299" s="168"/>
      <c r="KI299" s="168"/>
      <c r="KJ299" s="168"/>
      <c r="KK299" s="168"/>
      <c r="KL299" s="168"/>
      <c r="KM299" s="168"/>
      <c r="KN299" s="168"/>
      <c r="KO299" s="168"/>
      <c r="KP299" s="168"/>
      <c r="KQ299" s="168"/>
      <c r="KR299" s="168"/>
      <c r="KS299" s="168"/>
      <c r="KT299" s="168"/>
      <c r="KU299" s="168"/>
      <c r="KV299" s="168"/>
      <c r="KW299" s="168"/>
      <c r="KX299" s="168"/>
      <c r="KY299" s="168"/>
      <c r="KZ299" s="168"/>
      <c r="LA299" s="168"/>
      <c r="LB299" s="168"/>
      <c r="LC299" s="168"/>
      <c r="LD299" s="168"/>
      <c r="LE299" s="168"/>
      <c r="LF299" s="168"/>
      <c r="LG299" s="168"/>
      <c r="LH299" s="168"/>
      <c r="LI299" s="168"/>
      <c r="LJ299" s="168"/>
      <c r="LK299" s="168"/>
      <c r="LL299" s="168"/>
      <c r="LM299" s="168"/>
      <c r="LN299" s="168"/>
      <c r="LO299" s="168"/>
      <c r="LP299" s="606"/>
      <c r="LQ299" s="609"/>
      <c r="LR299" s="1319"/>
      <c r="LS299" s="1319"/>
    </row>
    <row r="300" spans="1:331" s="2" customFormat="1" ht="15" customHeight="1" x14ac:dyDescent="0.25">
      <c r="A300" s="283"/>
      <c r="B300" s="303"/>
      <c r="C300" s="301"/>
      <c r="D300" s="1287"/>
      <c r="E300" s="2298"/>
      <c r="F300" s="1812"/>
      <c r="G300" s="3342"/>
      <c r="H300" s="66"/>
      <c r="I300" s="1746"/>
      <c r="J300" s="1214"/>
      <c r="K300" s="105"/>
      <c r="L300" s="91"/>
      <c r="M300" s="92"/>
      <c r="N300" s="93"/>
      <c r="O300" s="94"/>
      <c r="P300" s="96"/>
      <c r="Q300" s="95"/>
      <c r="R300" s="993">
        <f t="shared" si="978"/>
        <v>0</v>
      </c>
      <c r="S300" s="23">
        <f t="shared" si="979"/>
        <v>0</v>
      </c>
      <c r="T300" s="24">
        <f t="shared" si="985"/>
        <v>0</v>
      </c>
      <c r="U300" s="24">
        <f t="shared" si="986"/>
        <v>0</v>
      </c>
      <c r="V300" s="24">
        <f t="shared" si="987"/>
        <v>0</v>
      </c>
      <c r="W300" s="24">
        <f t="shared" ca="1" si="988"/>
        <v>0</v>
      </c>
      <c r="X300" s="72">
        <f t="shared" ca="1" si="956"/>
        <v>0</v>
      </c>
      <c r="Y300" s="72">
        <f t="shared" si="989"/>
        <v>0</v>
      </c>
      <c r="Z300" s="24">
        <f t="shared" si="990"/>
        <v>0</v>
      </c>
      <c r="AA300" s="72">
        <f t="shared" si="957"/>
        <v>0</v>
      </c>
      <c r="AB300" s="24">
        <f t="shared" si="967"/>
        <v>0</v>
      </c>
      <c r="AC300" s="24">
        <f t="shared" ca="1" si="991"/>
        <v>0</v>
      </c>
      <c r="AD300" s="24">
        <f t="shared" si="886"/>
        <v>0</v>
      </c>
      <c r="AE300" s="2078">
        <f t="shared" si="1033"/>
        <v>3</v>
      </c>
      <c r="AF300" s="2078">
        <f t="shared" si="1034"/>
        <v>0</v>
      </c>
      <c r="AG300" s="2078">
        <f t="shared" si="1035"/>
        <v>0</v>
      </c>
      <c r="AH300" s="2521">
        <f t="shared" si="887"/>
        <v>1</v>
      </c>
      <c r="AI300" s="25" t="str">
        <f t="shared" si="992"/>
        <v/>
      </c>
      <c r="AJ300" s="2521">
        <f t="shared" ca="1" si="882"/>
        <v>0</v>
      </c>
      <c r="AK300" s="2076">
        <f t="shared" ca="1" si="878"/>
        <v>0</v>
      </c>
      <c r="AL300" s="2078">
        <f>IF(ISBLANK(J300),0,ISERROR(MATCH(J300,'5  Control Accounts'!$FA$29:$FA$96,0))*1)</f>
        <v>0</v>
      </c>
      <c r="AM300" s="2076">
        <f t="shared" si="993"/>
        <v>0</v>
      </c>
      <c r="AN300" s="2078">
        <f t="shared" si="994"/>
        <v>1</v>
      </c>
      <c r="AO300" s="2079">
        <f t="shared" si="888"/>
        <v>1</v>
      </c>
      <c r="AP300" s="2079">
        <f t="shared" si="889"/>
        <v>0</v>
      </c>
      <c r="AQ300" s="2079">
        <f t="shared" si="890"/>
        <v>0</v>
      </c>
      <c r="AR300" s="2079">
        <f t="shared" si="891"/>
        <v>0</v>
      </c>
      <c r="AS300" s="2079">
        <f t="shared" si="892"/>
        <v>0</v>
      </c>
      <c r="AT300" s="2079">
        <f t="shared" si="893"/>
        <v>0</v>
      </c>
      <c r="AU300" s="2079">
        <f t="shared" si="894"/>
        <v>0</v>
      </c>
      <c r="AV300" s="2079">
        <f t="shared" si="895"/>
        <v>0</v>
      </c>
      <c r="AW300" s="2079">
        <f t="shared" si="896"/>
        <v>0</v>
      </c>
      <c r="AX300" s="2079">
        <f t="shared" si="897"/>
        <v>0</v>
      </c>
      <c r="AY300" s="2078">
        <f t="shared" si="995"/>
        <v>0</v>
      </c>
      <c r="AZ300" s="2078">
        <f t="shared" si="996"/>
        <v>0</v>
      </c>
      <c r="BA300" s="2078">
        <f t="shared" si="997"/>
        <v>0</v>
      </c>
      <c r="BB300" s="2078">
        <f t="shared" si="998"/>
        <v>0</v>
      </c>
      <c r="BC300" s="2078">
        <f t="shared" si="999"/>
        <v>0</v>
      </c>
      <c r="BD300" s="2078">
        <f t="shared" si="1000"/>
        <v>0</v>
      </c>
      <c r="BE300" s="2078">
        <f t="shared" si="1001"/>
        <v>0</v>
      </c>
      <c r="BF300" s="2078">
        <f t="shared" si="1002"/>
        <v>0</v>
      </c>
      <c r="BG300" s="2078">
        <f t="shared" si="1003"/>
        <v>0</v>
      </c>
      <c r="BH300" s="2078">
        <f t="shared" si="1004"/>
        <v>0</v>
      </c>
      <c r="BI300" s="2078">
        <f t="shared" si="1005"/>
        <v>0</v>
      </c>
      <c r="BJ300" s="2078">
        <f t="shared" si="1006"/>
        <v>0</v>
      </c>
      <c r="BK300" s="2078">
        <f t="shared" si="1007"/>
        <v>0</v>
      </c>
      <c r="BL300" s="2078">
        <f t="shared" si="1008"/>
        <v>0</v>
      </c>
      <c r="BM300" s="2078">
        <f t="shared" si="1009"/>
        <v>0</v>
      </c>
      <c r="BN300" s="2078">
        <f t="shared" si="1010"/>
        <v>0</v>
      </c>
      <c r="BO300" s="2078">
        <f t="shared" si="1011"/>
        <v>0</v>
      </c>
      <c r="BP300" s="2078">
        <f t="shared" si="1012"/>
        <v>0</v>
      </c>
      <c r="BQ300" s="2078">
        <f t="shared" si="1013"/>
        <v>0</v>
      </c>
      <c r="BR300" s="2078">
        <f t="shared" si="1014"/>
        <v>0</v>
      </c>
      <c r="BS300" s="2079">
        <f t="shared" si="898"/>
        <v>1</v>
      </c>
      <c r="BT300" s="2079">
        <f t="shared" si="899"/>
        <v>0</v>
      </c>
      <c r="BU300" s="2079">
        <f t="shared" si="900"/>
        <v>0</v>
      </c>
      <c r="BV300" s="2079">
        <f t="shared" si="901"/>
        <v>0</v>
      </c>
      <c r="BW300" s="2079">
        <f t="shared" si="902"/>
        <v>0</v>
      </c>
      <c r="BX300" s="2079">
        <f t="shared" si="903"/>
        <v>0</v>
      </c>
      <c r="BY300" s="2079">
        <f t="shared" si="904"/>
        <v>0</v>
      </c>
      <c r="BZ300" s="2079">
        <f t="shared" si="905"/>
        <v>0</v>
      </c>
      <c r="CA300" s="2079">
        <f t="shared" si="906"/>
        <v>0</v>
      </c>
      <c r="CB300" s="2079">
        <f t="shared" si="907"/>
        <v>0</v>
      </c>
      <c r="CC300" s="2078">
        <f t="shared" ca="1" si="1015"/>
        <v>0</v>
      </c>
      <c r="CD300" s="2078">
        <f t="shared" ca="1" si="1016"/>
        <v>0</v>
      </c>
      <c r="CE300" s="2078">
        <f t="shared" ca="1" si="1017"/>
        <v>0</v>
      </c>
      <c r="CF300" s="2078">
        <f t="shared" ca="1" si="1018"/>
        <v>0</v>
      </c>
      <c r="CG300" s="2078">
        <f t="shared" ca="1" si="1019"/>
        <v>0</v>
      </c>
      <c r="CH300" s="2078">
        <f t="shared" ca="1" si="1020"/>
        <v>0</v>
      </c>
      <c r="CI300" s="2078">
        <f t="shared" ca="1" si="1021"/>
        <v>0</v>
      </c>
      <c r="CJ300" s="2078">
        <f t="shared" ca="1" si="1022"/>
        <v>0</v>
      </c>
      <c r="CK300" s="2078">
        <f t="shared" ca="1" si="1023"/>
        <v>0</v>
      </c>
      <c r="CL300" s="2078">
        <f t="shared" ca="1" si="1024"/>
        <v>0</v>
      </c>
      <c r="CM300" s="2078">
        <f t="shared" si="968"/>
        <v>1</v>
      </c>
      <c r="CN300" s="2078">
        <f t="shared" si="969"/>
        <v>1</v>
      </c>
      <c r="CO300" s="2078">
        <f t="shared" si="958"/>
        <v>1</v>
      </c>
      <c r="CP300" s="2078">
        <f t="shared" si="1025"/>
        <v>1</v>
      </c>
      <c r="CQ300" s="2078">
        <f t="shared" si="959"/>
        <v>0</v>
      </c>
      <c r="CR300" s="2078">
        <f t="shared" si="879"/>
        <v>0</v>
      </c>
      <c r="CS300" s="2078">
        <f t="shared" si="1026"/>
        <v>0</v>
      </c>
      <c r="CT300" s="2078">
        <f t="shared" si="960"/>
        <v>1</v>
      </c>
      <c r="CU300" s="2078">
        <f t="shared" si="1027"/>
        <v>1</v>
      </c>
      <c r="CV300" s="2078">
        <f t="shared" si="970"/>
        <v>0</v>
      </c>
      <c r="CW300" s="2078">
        <f>IF(OR(AE300&lt;&gt;3,F300="Exclude"),0,IF(ISERROR(MATCH($E300,'4 Sign-off'!$S$123:$X$123,0)),0,1))</f>
        <v>0</v>
      </c>
      <c r="CX300" s="2078">
        <f t="shared" si="982"/>
        <v>0</v>
      </c>
      <c r="CY300" s="2078">
        <f t="shared" si="971"/>
        <v>0</v>
      </c>
      <c r="CZ300" s="2993">
        <f t="shared" ca="1" si="980"/>
        <v>0</v>
      </c>
      <c r="DA300" s="3037">
        <f t="shared" ca="1" si="981"/>
        <v>0</v>
      </c>
      <c r="DB300" s="1664"/>
      <c r="DC300" s="1320"/>
      <c r="DD300" s="589"/>
      <c r="DE300" s="1321"/>
      <c r="DF300" s="107"/>
      <c r="DG300" s="112"/>
      <c r="DH300" s="140"/>
      <c r="DI300" s="22"/>
      <c r="DJ300" s="145"/>
      <c r="DK300" s="137"/>
      <c r="DL300" s="137"/>
      <c r="DM300" s="137"/>
      <c r="DN300" s="137"/>
      <c r="DO300" s="137"/>
      <c r="DP300" s="137"/>
      <c r="DQ300" s="137"/>
      <c r="DR300" s="137"/>
      <c r="DS300" s="137"/>
      <c r="DT300" s="137"/>
      <c r="DU300" s="137"/>
      <c r="DV300" s="137"/>
      <c r="DW300" s="137"/>
      <c r="DX300" s="137"/>
      <c r="DY300" s="137"/>
      <c r="DZ300" s="137"/>
      <c r="EA300" s="137"/>
      <c r="EB300" s="137"/>
      <c r="EC300" s="137"/>
      <c r="ED300" s="137"/>
      <c r="EE300" s="137"/>
      <c r="EF300" s="137"/>
      <c r="EG300" s="137"/>
      <c r="EH300" s="137"/>
      <c r="EI300" s="137"/>
      <c r="EJ300" s="137"/>
      <c r="EK300" s="137"/>
      <c r="EL300" s="137"/>
      <c r="EM300" s="137"/>
      <c r="EN300" s="137"/>
      <c r="EO300" s="137"/>
      <c r="EP300" s="137"/>
      <c r="EQ300" s="137"/>
      <c r="ER300" s="137"/>
      <c r="ES300" s="137"/>
      <c r="ET300" s="137"/>
      <c r="EU300" s="137"/>
      <c r="EV300" s="137"/>
      <c r="EW300" s="137"/>
      <c r="EX300" s="137"/>
      <c r="EY300" s="137"/>
      <c r="EZ300" s="137"/>
      <c r="FA300" s="137"/>
      <c r="FB300" s="137"/>
      <c r="FC300" s="137"/>
      <c r="FD300" s="137"/>
      <c r="FE300" s="137"/>
      <c r="FF300" s="137"/>
      <c r="FG300" s="860"/>
      <c r="FH300" s="863"/>
      <c r="FI300" s="1318"/>
      <c r="FJ300" s="126"/>
      <c r="FK300" s="127"/>
      <c r="FL300" s="128" t="str">
        <f t="shared" si="1028"/>
        <v xml:space="preserve">    </v>
      </c>
      <c r="FM300" s="128"/>
      <c r="FN300" s="1686">
        <f t="shared" si="1029"/>
        <v>0</v>
      </c>
      <c r="FO300" s="46">
        <f t="shared" si="972"/>
        <v>0</v>
      </c>
      <c r="FP300" s="46">
        <f t="shared" si="977"/>
        <v>1</v>
      </c>
      <c r="FQ300" s="75">
        <f t="shared" si="1030"/>
        <v>0</v>
      </c>
      <c r="FR300" s="46">
        <f t="shared" si="1036"/>
        <v>0</v>
      </c>
      <c r="FS300" s="46">
        <f t="shared" si="1037"/>
        <v>1</v>
      </c>
      <c r="FT300" s="75">
        <f t="shared" si="1031"/>
        <v>0</v>
      </c>
      <c r="FU300" s="2603">
        <f t="shared" si="973"/>
        <v>0</v>
      </c>
      <c r="FV300" s="2607">
        <f t="shared" si="974"/>
        <v>0</v>
      </c>
      <c r="FW300" s="2603">
        <f t="shared" si="975"/>
        <v>0</v>
      </c>
      <c r="FX300" s="2631">
        <f t="shared" si="976"/>
        <v>0</v>
      </c>
      <c r="FY300" s="81" t="e">
        <f t="shared" si="1038"/>
        <v>#N/A</v>
      </c>
      <c r="FZ300" s="64" t="e">
        <f t="array" ref="FZ300">MATCH(1,($GT300:$LQ300&gt;0)*$GT$25:$LQ$25,0)</f>
        <v>#N/A</v>
      </c>
      <c r="GA300" s="64" t="e">
        <f t="array" ref="GA300">MATCH(2,1/(GT300:LQ300&gt;0))</f>
        <v>#N/A</v>
      </c>
      <c r="GB300" s="64">
        <f t="shared" si="1032"/>
        <v>-1</v>
      </c>
      <c r="GC300" s="46"/>
      <c r="GD300" s="613"/>
      <c r="GE300" s="613"/>
      <c r="GF300" s="613"/>
      <c r="GG300" s="613"/>
      <c r="GH300" s="613"/>
      <c r="GI300" s="613"/>
      <c r="GJ300" s="613"/>
      <c r="GK300" s="613"/>
      <c r="GL300" s="613"/>
      <c r="GM300" s="613"/>
      <c r="GN300" s="385">
        <f t="shared" si="983"/>
        <v>0</v>
      </c>
      <c r="GO300" s="386">
        <f t="shared" si="984"/>
        <v>0</v>
      </c>
      <c r="GP300" s="2635"/>
      <c r="GQ300" s="175"/>
      <c r="GR300" s="172"/>
      <c r="GS300" s="65"/>
      <c r="GT300" s="167"/>
      <c r="GU300" s="168"/>
      <c r="GV300" s="168"/>
      <c r="GW300" s="168"/>
      <c r="GX300" s="168"/>
      <c r="GY300" s="168"/>
      <c r="GZ300" s="168"/>
      <c r="HA300" s="168"/>
      <c r="HB300" s="168"/>
      <c r="HC300" s="168"/>
      <c r="HD300" s="168"/>
      <c r="HE300" s="168"/>
      <c r="HF300" s="168"/>
      <c r="HG300" s="168"/>
      <c r="HH300" s="168"/>
      <c r="HI300" s="168"/>
      <c r="HJ300" s="168"/>
      <c r="HK300" s="168"/>
      <c r="HL300" s="168"/>
      <c r="HM300" s="168"/>
      <c r="HN300" s="168"/>
      <c r="HO300" s="168"/>
      <c r="HP300" s="168"/>
      <c r="HQ300" s="168"/>
      <c r="HR300" s="168"/>
      <c r="HS300" s="168"/>
      <c r="HT300" s="168"/>
      <c r="HU300" s="168"/>
      <c r="HV300" s="168"/>
      <c r="HW300" s="168"/>
      <c r="HX300" s="168"/>
      <c r="HY300" s="168"/>
      <c r="HZ300" s="168"/>
      <c r="IA300" s="168"/>
      <c r="IB300" s="168"/>
      <c r="IC300" s="168"/>
      <c r="ID300" s="168"/>
      <c r="IE300" s="168"/>
      <c r="IF300" s="168"/>
      <c r="IG300" s="168"/>
      <c r="IH300" s="168"/>
      <c r="II300" s="168"/>
      <c r="IJ300" s="168"/>
      <c r="IK300" s="168"/>
      <c r="IL300" s="168"/>
      <c r="IM300" s="168"/>
      <c r="IN300" s="168"/>
      <c r="IO300" s="168"/>
      <c r="IP300" s="168"/>
      <c r="IQ300" s="168"/>
      <c r="IR300" s="168"/>
      <c r="IS300" s="168"/>
      <c r="IT300" s="168"/>
      <c r="IU300" s="168"/>
      <c r="IV300" s="168"/>
      <c r="IW300" s="168"/>
      <c r="IX300" s="168"/>
      <c r="IY300" s="168"/>
      <c r="IZ300" s="168"/>
      <c r="JA300" s="168"/>
      <c r="JB300" s="168"/>
      <c r="JC300" s="168"/>
      <c r="JD300" s="168"/>
      <c r="JE300" s="168"/>
      <c r="JF300" s="168"/>
      <c r="JG300" s="168"/>
      <c r="JH300" s="168"/>
      <c r="JI300" s="168"/>
      <c r="JJ300" s="168"/>
      <c r="JK300" s="168"/>
      <c r="JL300" s="168"/>
      <c r="JM300" s="168"/>
      <c r="JN300" s="168"/>
      <c r="JO300" s="168"/>
      <c r="JP300" s="168"/>
      <c r="JQ300" s="168"/>
      <c r="JR300" s="168"/>
      <c r="JS300" s="168"/>
      <c r="JT300" s="168"/>
      <c r="JU300" s="168"/>
      <c r="JV300" s="168"/>
      <c r="JW300" s="168"/>
      <c r="JX300" s="168"/>
      <c r="JY300" s="168"/>
      <c r="JZ300" s="168"/>
      <c r="KA300" s="168"/>
      <c r="KB300" s="168"/>
      <c r="KC300" s="168"/>
      <c r="KD300" s="168"/>
      <c r="KE300" s="168"/>
      <c r="KF300" s="168"/>
      <c r="KG300" s="168"/>
      <c r="KH300" s="168"/>
      <c r="KI300" s="168"/>
      <c r="KJ300" s="168"/>
      <c r="KK300" s="168"/>
      <c r="KL300" s="168"/>
      <c r="KM300" s="168"/>
      <c r="KN300" s="168"/>
      <c r="KO300" s="168"/>
      <c r="KP300" s="168"/>
      <c r="KQ300" s="168"/>
      <c r="KR300" s="168"/>
      <c r="KS300" s="168"/>
      <c r="KT300" s="168"/>
      <c r="KU300" s="168"/>
      <c r="KV300" s="168"/>
      <c r="KW300" s="168"/>
      <c r="KX300" s="168"/>
      <c r="KY300" s="168"/>
      <c r="KZ300" s="168"/>
      <c r="LA300" s="168"/>
      <c r="LB300" s="168"/>
      <c r="LC300" s="168"/>
      <c r="LD300" s="168"/>
      <c r="LE300" s="168"/>
      <c r="LF300" s="168"/>
      <c r="LG300" s="168"/>
      <c r="LH300" s="168"/>
      <c r="LI300" s="168"/>
      <c r="LJ300" s="168"/>
      <c r="LK300" s="168"/>
      <c r="LL300" s="168"/>
      <c r="LM300" s="168"/>
      <c r="LN300" s="168"/>
      <c r="LO300" s="168"/>
      <c r="LP300" s="606"/>
      <c r="LQ300" s="609"/>
      <c r="LR300" s="1319"/>
      <c r="LS300" s="1319"/>
    </row>
    <row r="301" spans="1:331" s="2" customFormat="1" ht="15" customHeight="1" x14ac:dyDescent="0.25">
      <c r="A301" s="283"/>
      <c r="B301" s="303"/>
      <c r="C301" s="301"/>
      <c r="D301" s="1287"/>
      <c r="E301" s="2298"/>
      <c r="F301" s="1812"/>
      <c r="G301" s="3342"/>
      <c r="H301" s="66"/>
      <c r="I301" s="1746"/>
      <c r="J301" s="1214"/>
      <c r="K301" s="105"/>
      <c r="L301" s="91"/>
      <c r="M301" s="92"/>
      <c r="N301" s="93"/>
      <c r="O301" s="94"/>
      <c r="P301" s="96"/>
      <c r="Q301" s="95"/>
      <c r="R301" s="993">
        <f t="shared" si="978"/>
        <v>0</v>
      </c>
      <c r="S301" s="23">
        <f t="shared" si="979"/>
        <v>0</v>
      </c>
      <c r="T301" s="24">
        <f t="shared" si="985"/>
        <v>0</v>
      </c>
      <c r="U301" s="24">
        <f t="shared" si="986"/>
        <v>0</v>
      </c>
      <c r="V301" s="24">
        <f t="shared" si="987"/>
        <v>0</v>
      </c>
      <c r="W301" s="24">
        <f t="shared" ca="1" si="988"/>
        <v>0</v>
      </c>
      <c r="X301" s="72">
        <f t="shared" ca="1" si="956"/>
        <v>0</v>
      </c>
      <c r="Y301" s="72">
        <f t="shared" si="989"/>
        <v>0</v>
      </c>
      <c r="Z301" s="24">
        <f t="shared" si="990"/>
        <v>0</v>
      </c>
      <c r="AA301" s="72">
        <f t="shared" si="957"/>
        <v>0</v>
      </c>
      <c r="AB301" s="24">
        <f t="shared" si="967"/>
        <v>0</v>
      </c>
      <c r="AC301" s="24">
        <f t="shared" ca="1" si="991"/>
        <v>0</v>
      </c>
      <c r="AD301" s="24">
        <f t="shared" si="886"/>
        <v>0</v>
      </c>
      <c r="AE301" s="2078">
        <f t="shared" si="1033"/>
        <v>3</v>
      </c>
      <c r="AF301" s="2078">
        <f t="shared" si="1034"/>
        <v>0</v>
      </c>
      <c r="AG301" s="2078">
        <f t="shared" si="1035"/>
        <v>0</v>
      </c>
      <c r="AH301" s="2521">
        <f t="shared" si="887"/>
        <v>1</v>
      </c>
      <c r="AI301" s="25" t="str">
        <f t="shared" si="992"/>
        <v/>
      </c>
      <c r="AJ301" s="2521">
        <f t="shared" ca="1" si="882"/>
        <v>0</v>
      </c>
      <c r="AK301" s="2076">
        <f t="shared" ca="1" si="878"/>
        <v>0</v>
      </c>
      <c r="AL301" s="2078">
        <f>IF(ISBLANK(J301),0,ISERROR(MATCH(J301,'5  Control Accounts'!$FA$29:$FA$96,0))*1)</f>
        <v>0</v>
      </c>
      <c r="AM301" s="2076">
        <f t="shared" si="993"/>
        <v>0</v>
      </c>
      <c r="AN301" s="2078">
        <f t="shared" si="994"/>
        <v>1</v>
      </c>
      <c r="AO301" s="2079">
        <f t="shared" si="888"/>
        <v>1</v>
      </c>
      <c r="AP301" s="2079">
        <f t="shared" si="889"/>
        <v>0</v>
      </c>
      <c r="AQ301" s="2079">
        <f t="shared" si="890"/>
        <v>0</v>
      </c>
      <c r="AR301" s="2079">
        <f t="shared" si="891"/>
        <v>0</v>
      </c>
      <c r="AS301" s="2079">
        <f t="shared" si="892"/>
        <v>0</v>
      </c>
      <c r="AT301" s="2079">
        <f t="shared" si="893"/>
        <v>0</v>
      </c>
      <c r="AU301" s="2079">
        <f t="shared" si="894"/>
        <v>0</v>
      </c>
      <c r="AV301" s="2079">
        <f t="shared" si="895"/>
        <v>0</v>
      </c>
      <c r="AW301" s="2079">
        <f t="shared" si="896"/>
        <v>0</v>
      </c>
      <c r="AX301" s="2079">
        <f t="shared" si="897"/>
        <v>0</v>
      </c>
      <c r="AY301" s="2078">
        <f t="shared" si="995"/>
        <v>0</v>
      </c>
      <c r="AZ301" s="2078">
        <f t="shared" si="996"/>
        <v>0</v>
      </c>
      <c r="BA301" s="2078">
        <f t="shared" si="997"/>
        <v>0</v>
      </c>
      <c r="BB301" s="2078">
        <f t="shared" si="998"/>
        <v>0</v>
      </c>
      <c r="BC301" s="2078">
        <f t="shared" si="999"/>
        <v>0</v>
      </c>
      <c r="BD301" s="2078">
        <f t="shared" si="1000"/>
        <v>0</v>
      </c>
      <c r="BE301" s="2078">
        <f t="shared" si="1001"/>
        <v>0</v>
      </c>
      <c r="BF301" s="2078">
        <f t="shared" si="1002"/>
        <v>0</v>
      </c>
      <c r="BG301" s="2078">
        <f t="shared" si="1003"/>
        <v>0</v>
      </c>
      <c r="BH301" s="2078">
        <f t="shared" si="1004"/>
        <v>0</v>
      </c>
      <c r="BI301" s="2078">
        <f t="shared" si="1005"/>
        <v>0</v>
      </c>
      <c r="BJ301" s="2078">
        <f t="shared" si="1006"/>
        <v>0</v>
      </c>
      <c r="BK301" s="2078">
        <f t="shared" si="1007"/>
        <v>0</v>
      </c>
      <c r="BL301" s="2078">
        <f t="shared" si="1008"/>
        <v>0</v>
      </c>
      <c r="BM301" s="2078">
        <f t="shared" si="1009"/>
        <v>0</v>
      </c>
      <c r="BN301" s="2078">
        <f t="shared" si="1010"/>
        <v>0</v>
      </c>
      <c r="BO301" s="2078">
        <f t="shared" si="1011"/>
        <v>0</v>
      </c>
      <c r="BP301" s="2078">
        <f t="shared" si="1012"/>
        <v>0</v>
      </c>
      <c r="BQ301" s="2078">
        <f t="shared" si="1013"/>
        <v>0</v>
      </c>
      <c r="BR301" s="2078">
        <f t="shared" si="1014"/>
        <v>0</v>
      </c>
      <c r="BS301" s="2079">
        <f t="shared" si="898"/>
        <v>1</v>
      </c>
      <c r="BT301" s="2079">
        <f t="shared" si="899"/>
        <v>0</v>
      </c>
      <c r="BU301" s="2079">
        <f t="shared" si="900"/>
        <v>0</v>
      </c>
      <c r="BV301" s="2079">
        <f t="shared" si="901"/>
        <v>0</v>
      </c>
      <c r="BW301" s="2079">
        <f t="shared" si="902"/>
        <v>0</v>
      </c>
      <c r="BX301" s="2079">
        <f t="shared" si="903"/>
        <v>0</v>
      </c>
      <c r="BY301" s="2079">
        <f t="shared" si="904"/>
        <v>0</v>
      </c>
      <c r="BZ301" s="2079">
        <f t="shared" si="905"/>
        <v>0</v>
      </c>
      <c r="CA301" s="2079">
        <f t="shared" si="906"/>
        <v>0</v>
      </c>
      <c r="CB301" s="2079">
        <f t="shared" si="907"/>
        <v>0</v>
      </c>
      <c r="CC301" s="2078">
        <f t="shared" ca="1" si="1015"/>
        <v>0</v>
      </c>
      <c r="CD301" s="2078">
        <f t="shared" ca="1" si="1016"/>
        <v>0</v>
      </c>
      <c r="CE301" s="2078">
        <f t="shared" ca="1" si="1017"/>
        <v>0</v>
      </c>
      <c r="CF301" s="2078">
        <f t="shared" ca="1" si="1018"/>
        <v>0</v>
      </c>
      <c r="CG301" s="2078">
        <f t="shared" ca="1" si="1019"/>
        <v>0</v>
      </c>
      <c r="CH301" s="2078">
        <f t="shared" ca="1" si="1020"/>
        <v>0</v>
      </c>
      <c r="CI301" s="2078">
        <f t="shared" ca="1" si="1021"/>
        <v>0</v>
      </c>
      <c r="CJ301" s="2078">
        <f t="shared" ca="1" si="1022"/>
        <v>0</v>
      </c>
      <c r="CK301" s="2078">
        <f t="shared" ca="1" si="1023"/>
        <v>0</v>
      </c>
      <c r="CL301" s="2078">
        <f t="shared" ca="1" si="1024"/>
        <v>0</v>
      </c>
      <c r="CM301" s="2078">
        <f t="shared" si="968"/>
        <v>1</v>
      </c>
      <c r="CN301" s="2078">
        <f t="shared" si="969"/>
        <v>1</v>
      </c>
      <c r="CO301" s="2078">
        <f t="shared" si="958"/>
        <v>1</v>
      </c>
      <c r="CP301" s="2078">
        <f t="shared" si="1025"/>
        <v>1</v>
      </c>
      <c r="CQ301" s="2078">
        <f t="shared" si="959"/>
        <v>0</v>
      </c>
      <c r="CR301" s="2078">
        <f t="shared" si="879"/>
        <v>0</v>
      </c>
      <c r="CS301" s="2078">
        <f t="shared" si="1026"/>
        <v>0</v>
      </c>
      <c r="CT301" s="2078">
        <f t="shared" si="960"/>
        <v>1</v>
      </c>
      <c r="CU301" s="2078">
        <f t="shared" si="1027"/>
        <v>1</v>
      </c>
      <c r="CV301" s="2078">
        <f t="shared" si="970"/>
        <v>0</v>
      </c>
      <c r="CW301" s="2078">
        <f>IF(OR(AE301&lt;&gt;3,F301="Exclude"),0,IF(ISERROR(MATCH($E301,'4 Sign-off'!$S$123:$X$123,0)),0,1))</f>
        <v>0</v>
      </c>
      <c r="CX301" s="2078">
        <f t="shared" si="982"/>
        <v>0</v>
      </c>
      <c r="CY301" s="2078">
        <f t="shared" si="971"/>
        <v>0</v>
      </c>
      <c r="CZ301" s="2993">
        <f t="shared" ca="1" si="980"/>
        <v>0</v>
      </c>
      <c r="DA301" s="3037">
        <f t="shared" ca="1" si="981"/>
        <v>0</v>
      </c>
      <c r="DB301" s="1664"/>
      <c r="DC301" s="1320"/>
      <c r="DD301" s="589"/>
      <c r="DE301" s="1321"/>
      <c r="DF301" s="107"/>
      <c r="DG301" s="112"/>
      <c r="DH301" s="140"/>
      <c r="DI301" s="22"/>
      <c r="DJ301" s="145"/>
      <c r="DK301" s="137"/>
      <c r="DL301" s="137"/>
      <c r="DM301" s="137"/>
      <c r="DN301" s="137"/>
      <c r="DO301" s="137"/>
      <c r="DP301" s="137"/>
      <c r="DQ301" s="137"/>
      <c r="DR301" s="137"/>
      <c r="DS301" s="137"/>
      <c r="DT301" s="137"/>
      <c r="DU301" s="137"/>
      <c r="DV301" s="137"/>
      <c r="DW301" s="137"/>
      <c r="DX301" s="137"/>
      <c r="DY301" s="137"/>
      <c r="DZ301" s="137"/>
      <c r="EA301" s="137"/>
      <c r="EB301" s="137"/>
      <c r="EC301" s="137"/>
      <c r="ED301" s="137"/>
      <c r="EE301" s="137"/>
      <c r="EF301" s="137"/>
      <c r="EG301" s="137"/>
      <c r="EH301" s="137"/>
      <c r="EI301" s="137"/>
      <c r="EJ301" s="137"/>
      <c r="EK301" s="137"/>
      <c r="EL301" s="137"/>
      <c r="EM301" s="137"/>
      <c r="EN301" s="137"/>
      <c r="EO301" s="137"/>
      <c r="EP301" s="137"/>
      <c r="EQ301" s="137"/>
      <c r="ER301" s="137"/>
      <c r="ES301" s="137"/>
      <c r="ET301" s="137"/>
      <c r="EU301" s="137"/>
      <c r="EV301" s="137"/>
      <c r="EW301" s="137"/>
      <c r="EX301" s="137"/>
      <c r="EY301" s="137"/>
      <c r="EZ301" s="137"/>
      <c r="FA301" s="137"/>
      <c r="FB301" s="137"/>
      <c r="FC301" s="137"/>
      <c r="FD301" s="137"/>
      <c r="FE301" s="137"/>
      <c r="FF301" s="137"/>
      <c r="FG301" s="860"/>
      <c r="FH301" s="863"/>
      <c r="FI301" s="1318"/>
      <c r="FJ301" s="126"/>
      <c r="FK301" s="127"/>
      <c r="FL301" s="128" t="str">
        <f t="shared" si="1028"/>
        <v xml:space="preserve">    </v>
      </c>
      <c r="FM301" s="128"/>
      <c r="FN301" s="1686">
        <f t="shared" si="1029"/>
        <v>0</v>
      </c>
      <c r="FO301" s="46">
        <f t="shared" si="972"/>
        <v>0</v>
      </c>
      <c r="FP301" s="46">
        <f t="shared" si="977"/>
        <v>1</v>
      </c>
      <c r="FQ301" s="75">
        <f t="shared" si="1030"/>
        <v>0</v>
      </c>
      <c r="FR301" s="46">
        <f t="shared" si="1036"/>
        <v>0</v>
      </c>
      <c r="FS301" s="46">
        <f t="shared" si="1037"/>
        <v>1</v>
      </c>
      <c r="FT301" s="75">
        <f t="shared" si="1031"/>
        <v>0</v>
      </c>
      <c r="FU301" s="2603">
        <f t="shared" si="973"/>
        <v>0</v>
      </c>
      <c r="FV301" s="2607">
        <f t="shared" si="974"/>
        <v>0</v>
      </c>
      <c r="FW301" s="2603">
        <f t="shared" si="975"/>
        <v>0</v>
      </c>
      <c r="FX301" s="2631">
        <f t="shared" si="976"/>
        <v>0</v>
      </c>
      <c r="FY301" s="81" t="e">
        <f t="shared" si="1038"/>
        <v>#N/A</v>
      </c>
      <c r="FZ301" s="64" t="e">
        <f t="array" ref="FZ301">MATCH(1,($GT301:$LQ301&gt;0)*$GT$25:$LQ$25,0)</f>
        <v>#N/A</v>
      </c>
      <c r="GA301" s="64" t="e">
        <f t="array" ref="GA301">MATCH(2,1/(GT301:LQ301&gt;0))</f>
        <v>#N/A</v>
      </c>
      <c r="GB301" s="64">
        <f t="shared" si="1032"/>
        <v>-1</v>
      </c>
      <c r="GC301" s="46"/>
      <c r="GD301" s="613"/>
      <c r="GE301" s="613"/>
      <c r="GF301" s="613"/>
      <c r="GG301" s="613"/>
      <c r="GH301" s="613"/>
      <c r="GI301" s="613"/>
      <c r="GJ301" s="613"/>
      <c r="GK301" s="613"/>
      <c r="GL301" s="613"/>
      <c r="GM301" s="613"/>
      <c r="GN301" s="385">
        <f t="shared" si="983"/>
        <v>0</v>
      </c>
      <c r="GO301" s="386">
        <f t="shared" si="984"/>
        <v>0</v>
      </c>
      <c r="GP301" s="2635"/>
      <c r="GQ301" s="175"/>
      <c r="GR301" s="172"/>
      <c r="GS301" s="65"/>
      <c r="GT301" s="167"/>
      <c r="GU301" s="168"/>
      <c r="GV301" s="168"/>
      <c r="GW301" s="168"/>
      <c r="GX301" s="168"/>
      <c r="GY301" s="168"/>
      <c r="GZ301" s="168"/>
      <c r="HA301" s="168"/>
      <c r="HB301" s="168"/>
      <c r="HC301" s="168"/>
      <c r="HD301" s="168"/>
      <c r="HE301" s="168"/>
      <c r="HF301" s="168"/>
      <c r="HG301" s="168"/>
      <c r="HH301" s="168"/>
      <c r="HI301" s="168"/>
      <c r="HJ301" s="168"/>
      <c r="HK301" s="168"/>
      <c r="HL301" s="168"/>
      <c r="HM301" s="168"/>
      <c r="HN301" s="168"/>
      <c r="HO301" s="168"/>
      <c r="HP301" s="168"/>
      <c r="HQ301" s="168"/>
      <c r="HR301" s="168"/>
      <c r="HS301" s="168"/>
      <c r="HT301" s="168"/>
      <c r="HU301" s="168"/>
      <c r="HV301" s="168"/>
      <c r="HW301" s="168"/>
      <c r="HX301" s="168"/>
      <c r="HY301" s="168"/>
      <c r="HZ301" s="168"/>
      <c r="IA301" s="168"/>
      <c r="IB301" s="168"/>
      <c r="IC301" s="168"/>
      <c r="ID301" s="168"/>
      <c r="IE301" s="168"/>
      <c r="IF301" s="168"/>
      <c r="IG301" s="168"/>
      <c r="IH301" s="168"/>
      <c r="II301" s="168"/>
      <c r="IJ301" s="168"/>
      <c r="IK301" s="168"/>
      <c r="IL301" s="168"/>
      <c r="IM301" s="168"/>
      <c r="IN301" s="168"/>
      <c r="IO301" s="168"/>
      <c r="IP301" s="168"/>
      <c r="IQ301" s="168"/>
      <c r="IR301" s="168"/>
      <c r="IS301" s="168"/>
      <c r="IT301" s="168"/>
      <c r="IU301" s="168"/>
      <c r="IV301" s="168"/>
      <c r="IW301" s="168"/>
      <c r="IX301" s="168"/>
      <c r="IY301" s="168"/>
      <c r="IZ301" s="168"/>
      <c r="JA301" s="168"/>
      <c r="JB301" s="168"/>
      <c r="JC301" s="168"/>
      <c r="JD301" s="168"/>
      <c r="JE301" s="168"/>
      <c r="JF301" s="168"/>
      <c r="JG301" s="168"/>
      <c r="JH301" s="168"/>
      <c r="JI301" s="168"/>
      <c r="JJ301" s="168"/>
      <c r="JK301" s="168"/>
      <c r="JL301" s="168"/>
      <c r="JM301" s="168"/>
      <c r="JN301" s="168"/>
      <c r="JO301" s="168"/>
      <c r="JP301" s="168"/>
      <c r="JQ301" s="168"/>
      <c r="JR301" s="168"/>
      <c r="JS301" s="168"/>
      <c r="JT301" s="168"/>
      <c r="JU301" s="168"/>
      <c r="JV301" s="168"/>
      <c r="JW301" s="168"/>
      <c r="JX301" s="168"/>
      <c r="JY301" s="168"/>
      <c r="JZ301" s="168"/>
      <c r="KA301" s="168"/>
      <c r="KB301" s="168"/>
      <c r="KC301" s="168"/>
      <c r="KD301" s="168"/>
      <c r="KE301" s="168"/>
      <c r="KF301" s="168"/>
      <c r="KG301" s="168"/>
      <c r="KH301" s="168"/>
      <c r="KI301" s="168"/>
      <c r="KJ301" s="168"/>
      <c r="KK301" s="168"/>
      <c r="KL301" s="168"/>
      <c r="KM301" s="168"/>
      <c r="KN301" s="168"/>
      <c r="KO301" s="168"/>
      <c r="KP301" s="168"/>
      <c r="KQ301" s="168"/>
      <c r="KR301" s="168"/>
      <c r="KS301" s="168"/>
      <c r="KT301" s="168"/>
      <c r="KU301" s="168"/>
      <c r="KV301" s="168"/>
      <c r="KW301" s="168"/>
      <c r="KX301" s="168"/>
      <c r="KY301" s="168"/>
      <c r="KZ301" s="168"/>
      <c r="LA301" s="168"/>
      <c r="LB301" s="168"/>
      <c r="LC301" s="168"/>
      <c r="LD301" s="168"/>
      <c r="LE301" s="168"/>
      <c r="LF301" s="168"/>
      <c r="LG301" s="168"/>
      <c r="LH301" s="168"/>
      <c r="LI301" s="168"/>
      <c r="LJ301" s="168"/>
      <c r="LK301" s="168"/>
      <c r="LL301" s="168"/>
      <c r="LM301" s="168"/>
      <c r="LN301" s="168"/>
      <c r="LO301" s="168"/>
      <c r="LP301" s="606"/>
      <c r="LQ301" s="609"/>
      <c r="LR301" s="1319"/>
      <c r="LS301" s="1319"/>
    </row>
    <row r="302" spans="1:331" s="2" customFormat="1" ht="15" customHeight="1" x14ac:dyDescent="0.25">
      <c r="A302" s="283"/>
      <c r="B302" s="303"/>
      <c r="C302" s="301"/>
      <c r="D302" s="1287"/>
      <c r="E302" s="2298"/>
      <c r="F302" s="1812"/>
      <c r="G302" s="3342"/>
      <c r="H302" s="66"/>
      <c r="I302" s="1746"/>
      <c r="J302" s="1214"/>
      <c r="K302" s="105"/>
      <c r="L302" s="91"/>
      <c r="M302" s="92"/>
      <c r="N302" s="93"/>
      <c r="O302" s="94"/>
      <c r="P302" s="96"/>
      <c r="Q302" s="95"/>
      <c r="R302" s="993">
        <f t="shared" ref="R302:R333" si="1039">CHOOSE(AE302,SUMIFS($T$173:$T$364,$AF$173:$AF$364,AF302,$AE$173:$AE$364,3,$CY$173:$CY$364,1,$AH$173:$AH$364,1),SUMIFS($T$173:$T$364,$AG$173:$AG$364,AG302,$AE$173:$AE$364,3,$CY$173:$CY$364,1,$AH$173:$AH$364,1),T302+U302)</f>
        <v>0</v>
      </c>
      <c r="S302" s="23">
        <f t="shared" ref="S302:S333" si="1040">CHOOSE($AE302,SUMIFS($S$173:$S$364,$AF$173:$AF$364,AF302,$CY$173:$CY$364,1),SUMIFS($S$173:$S$364,$AG$173:$AG$364,AG302,$CY$173:$CY$364,1),V302+Y302+AB302)</f>
        <v>0</v>
      </c>
      <c r="T302" s="24">
        <f t="shared" si="985"/>
        <v>0</v>
      </c>
      <c r="U302" s="24">
        <f t="shared" si="986"/>
        <v>0</v>
      </c>
      <c r="V302" s="24">
        <f t="shared" si="987"/>
        <v>0</v>
      </c>
      <c r="W302" s="24">
        <f t="shared" ca="1" si="988"/>
        <v>0</v>
      </c>
      <c r="X302" s="72">
        <f t="shared" ca="1" si="956"/>
        <v>0</v>
      </c>
      <c r="Y302" s="72">
        <f t="shared" si="989"/>
        <v>0</v>
      </c>
      <c r="Z302" s="24">
        <f t="shared" si="990"/>
        <v>0</v>
      </c>
      <c r="AA302" s="72">
        <f t="shared" si="957"/>
        <v>0</v>
      </c>
      <c r="AB302" s="24">
        <f t="shared" si="967"/>
        <v>0</v>
      </c>
      <c r="AC302" s="24">
        <f t="shared" ca="1" si="991"/>
        <v>0</v>
      </c>
      <c r="AD302" s="24">
        <f t="shared" si="886"/>
        <v>0</v>
      </c>
      <c r="AE302" s="2078">
        <f t="shared" si="1033"/>
        <v>3</v>
      </c>
      <c r="AF302" s="2078">
        <f t="shared" si="1034"/>
        <v>0</v>
      </c>
      <c r="AG302" s="2078">
        <f t="shared" si="1035"/>
        <v>0</v>
      </c>
      <c r="AH302" s="2521">
        <f t="shared" si="887"/>
        <v>1</v>
      </c>
      <c r="AI302" s="25" t="str">
        <f t="shared" si="992"/>
        <v/>
      </c>
      <c r="AJ302" s="2521">
        <f t="shared" ca="1" si="882"/>
        <v>0</v>
      </c>
      <c r="AK302" s="2076">
        <f t="shared" ref="AK302:AK364" ca="1" si="1041">IF(OR(AJ302=0,AI302="S",ISBLANK(J302)),0,IF(OR(AI302="A",AI302="G",AI302="L"),IF(AJ302="L",0,1),IF(AJ302="N",0,1)))</f>
        <v>0</v>
      </c>
      <c r="AL302" s="2078">
        <f>IF(ISBLANK(J302),0,ISERROR(MATCH(J302,'5  Control Accounts'!$FA$29:$FA$96,0))*1)</f>
        <v>0</v>
      </c>
      <c r="AM302" s="2076">
        <f t="shared" si="993"/>
        <v>0</v>
      </c>
      <c r="AN302" s="2078">
        <f t="shared" si="994"/>
        <v>1</v>
      </c>
      <c r="AO302" s="2079">
        <f t="shared" si="888"/>
        <v>1</v>
      </c>
      <c r="AP302" s="2079">
        <f t="shared" si="889"/>
        <v>0</v>
      </c>
      <c r="AQ302" s="2079">
        <f t="shared" si="890"/>
        <v>0</v>
      </c>
      <c r="AR302" s="2079">
        <f t="shared" si="891"/>
        <v>0</v>
      </c>
      <c r="AS302" s="2079">
        <f t="shared" si="892"/>
        <v>0</v>
      </c>
      <c r="AT302" s="2079">
        <f t="shared" si="893"/>
        <v>0</v>
      </c>
      <c r="AU302" s="2079">
        <f t="shared" si="894"/>
        <v>0</v>
      </c>
      <c r="AV302" s="2079">
        <f t="shared" si="895"/>
        <v>0</v>
      </c>
      <c r="AW302" s="2079">
        <f t="shared" si="896"/>
        <v>0</v>
      </c>
      <c r="AX302" s="2079">
        <f t="shared" si="897"/>
        <v>0</v>
      </c>
      <c r="AY302" s="2078">
        <f t="shared" si="995"/>
        <v>0</v>
      </c>
      <c r="AZ302" s="2078">
        <f t="shared" si="996"/>
        <v>0</v>
      </c>
      <c r="BA302" s="2078">
        <f t="shared" si="997"/>
        <v>0</v>
      </c>
      <c r="BB302" s="2078">
        <f t="shared" si="998"/>
        <v>0</v>
      </c>
      <c r="BC302" s="2078">
        <f t="shared" si="999"/>
        <v>0</v>
      </c>
      <c r="BD302" s="2078">
        <f t="shared" si="1000"/>
        <v>0</v>
      </c>
      <c r="BE302" s="2078">
        <f t="shared" si="1001"/>
        <v>0</v>
      </c>
      <c r="BF302" s="2078">
        <f t="shared" si="1002"/>
        <v>0</v>
      </c>
      <c r="BG302" s="2078">
        <f t="shared" si="1003"/>
        <v>0</v>
      </c>
      <c r="BH302" s="2078">
        <f t="shared" si="1004"/>
        <v>0</v>
      </c>
      <c r="BI302" s="2078">
        <f t="shared" si="1005"/>
        <v>0</v>
      </c>
      <c r="BJ302" s="2078">
        <f t="shared" si="1006"/>
        <v>0</v>
      </c>
      <c r="BK302" s="2078">
        <f t="shared" si="1007"/>
        <v>0</v>
      </c>
      <c r="BL302" s="2078">
        <f t="shared" si="1008"/>
        <v>0</v>
      </c>
      <c r="BM302" s="2078">
        <f t="shared" si="1009"/>
        <v>0</v>
      </c>
      <c r="BN302" s="2078">
        <f t="shared" si="1010"/>
        <v>0</v>
      </c>
      <c r="BO302" s="2078">
        <f t="shared" si="1011"/>
        <v>0</v>
      </c>
      <c r="BP302" s="2078">
        <f t="shared" si="1012"/>
        <v>0</v>
      </c>
      <c r="BQ302" s="2078">
        <f t="shared" si="1013"/>
        <v>0</v>
      </c>
      <c r="BR302" s="2078">
        <f t="shared" si="1014"/>
        <v>0</v>
      </c>
      <c r="BS302" s="2079">
        <f t="shared" si="898"/>
        <v>1</v>
      </c>
      <c r="BT302" s="2079">
        <f t="shared" si="899"/>
        <v>0</v>
      </c>
      <c r="BU302" s="2079">
        <f t="shared" si="900"/>
        <v>0</v>
      </c>
      <c r="BV302" s="2079">
        <f t="shared" si="901"/>
        <v>0</v>
      </c>
      <c r="BW302" s="2079">
        <f t="shared" si="902"/>
        <v>0</v>
      </c>
      <c r="BX302" s="2079">
        <f t="shared" si="903"/>
        <v>0</v>
      </c>
      <c r="BY302" s="2079">
        <f t="shared" si="904"/>
        <v>0</v>
      </c>
      <c r="BZ302" s="2079">
        <f t="shared" si="905"/>
        <v>0</v>
      </c>
      <c r="CA302" s="2079">
        <f t="shared" si="906"/>
        <v>0</v>
      </c>
      <c r="CB302" s="2079">
        <f t="shared" si="907"/>
        <v>0</v>
      </c>
      <c r="CC302" s="2078">
        <f t="shared" ca="1" si="1015"/>
        <v>0</v>
      </c>
      <c r="CD302" s="2078">
        <f t="shared" ca="1" si="1016"/>
        <v>0</v>
      </c>
      <c r="CE302" s="2078">
        <f t="shared" ca="1" si="1017"/>
        <v>0</v>
      </c>
      <c r="CF302" s="2078">
        <f t="shared" ca="1" si="1018"/>
        <v>0</v>
      </c>
      <c r="CG302" s="2078">
        <f t="shared" ca="1" si="1019"/>
        <v>0</v>
      </c>
      <c r="CH302" s="2078">
        <f t="shared" ca="1" si="1020"/>
        <v>0</v>
      </c>
      <c r="CI302" s="2078">
        <f t="shared" ca="1" si="1021"/>
        <v>0</v>
      </c>
      <c r="CJ302" s="2078">
        <f t="shared" ca="1" si="1022"/>
        <v>0</v>
      </c>
      <c r="CK302" s="2078">
        <f t="shared" ca="1" si="1023"/>
        <v>0</v>
      </c>
      <c r="CL302" s="2078">
        <f t="shared" ca="1" si="1024"/>
        <v>0</v>
      </c>
      <c r="CM302" s="2078">
        <f t="shared" si="968"/>
        <v>1</v>
      </c>
      <c r="CN302" s="2078">
        <f t="shared" si="969"/>
        <v>1</v>
      </c>
      <c r="CO302" s="2078">
        <f t="shared" si="958"/>
        <v>1</v>
      </c>
      <c r="CP302" s="2078">
        <f t="shared" si="1025"/>
        <v>1</v>
      </c>
      <c r="CQ302" s="2078">
        <f t="shared" si="959"/>
        <v>0</v>
      </c>
      <c r="CR302" s="2078">
        <f t="shared" ref="CR302:CR364" si="1042">IF(OR(AI302="S",AI302="R",AI302="V",AI302="U",AI302="W",AI302="Z"),1,0)</f>
        <v>0</v>
      </c>
      <c r="CS302" s="2078">
        <f t="shared" si="1026"/>
        <v>0</v>
      </c>
      <c r="CT302" s="2078">
        <f t="shared" si="960"/>
        <v>1</v>
      </c>
      <c r="CU302" s="2078">
        <f t="shared" si="1027"/>
        <v>1</v>
      </c>
      <c r="CV302" s="2078">
        <f t="shared" si="970"/>
        <v>0</v>
      </c>
      <c r="CW302" s="2078">
        <f>IF(OR(AE302&lt;&gt;3,F302="Exclude"),0,IF(ISERROR(MATCH($E302,'4 Sign-off'!$S$123:$X$123,0)),0,1))</f>
        <v>0</v>
      </c>
      <c r="CX302" s="2078">
        <f t="shared" si="982"/>
        <v>0</v>
      </c>
      <c r="CY302" s="2078">
        <f t="shared" si="971"/>
        <v>0</v>
      </c>
      <c r="CZ302" s="2993">
        <f t="shared" ref="CZ302:CZ333" ca="1" si="1043">CHOOSE($AE302,SUMIFS($CZ$173:$CZ$364,$AF$173:$AF$364,$AF302,$CY$173:$CY$364,1,$AH$173:$AH$364,1),SUMIFS($CZ$173:$CZ$364,$AG$173:$AG$364,$AG302,$CY$173:$CY$364,1,$AH$173:$AH$364,1),X302+AA302)</f>
        <v>0</v>
      </c>
      <c r="DA302" s="3037">
        <f t="shared" ref="DA302:DA333" ca="1" si="1044">CHOOSE($AE302,SUMIFS($DA$173:$DA$364,$AF$173:$AF$364,$AF302,$CY$173:$CY$364,1,$AH$173:$AH$364,1),SUMIFS($DA$173:$DA$364,$AG$173:$AG$364,$AG302,$CY$173:$CY$364,1,$AH$173:$AH$364,1),CZ302-S302)</f>
        <v>0</v>
      </c>
      <c r="DB302" s="1664"/>
      <c r="DC302" s="1320"/>
      <c r="DD302" s="589"/>
      <c r="DE302" s="1321"/>
      <c r="DF302" s="107"/>
      <c r="DG302" s="112"/>
      <c r="DH302" s="140"/>
      <c r="DI302" s="22"/>
      <c r="DJ302" s="145"/>
      <c r="DK302" s="137"/>
      <c r="DL302" s="137"/>
      <c r="DM302" s="137"/>
      <c r="DN302" s="137"/>
      <c r="DO302" s="137"/>
      <c r="DP302" s="137"/>
      <c r="DQ302" s="137"/>
      <c r="DR302" s="137"/>
      <c r="DS302" s="137"/>
      <c r="DT302" s="137"/>
      <c r="DU302" s="137"/>
      <c r="DV302" s="137"/>
      <c r="DW302" s="137"/>
      <c r="DX302" s="137"/>
      <c r="DY302" s="137"/>
      <c r="DZ302" s="137"/>
      <c r="EA302" s="137"/>
      <c r="EB302" s="137"/>
      <c r="EC302" s="137"/>
      <c r="ED302" s="137"/>
      <c r="EE302" s="137"/>
      <c r="EF302" s="137"/>
      <c r="EG302" s="137"/>
      <c r="EH302" s="137"/>
      <c r="EI302" s="137"/>
      <c r="EJ302" s="137"/>
      <c r="EK302" s="137"/>
      <c r="EL302" s="137"/>
      <c r="EM302" s="137"/>
      <c r="EN302" s="137"/>
      <c r="EO302" s="137"/>
      <c r="EP302" s="137"/>
      <c r="EQ302" s="137"/>
      <c r="ER302" s="137"/>
      <c r="ES302" s="137"/>
      <c r="ET302" s="137"/>
      <c r="EU302" s="137"/>
      <c r="EV302" s="137"/>
      <c r="EW302" s="137"/>
      <c r="EX302" s="137"/>
      <c r="EY302" s="137"/>
      <c r="EZ302" s="137"/>
      <c r="FA302" s="137"/>
      <c r="FB302" s="137"/>
      <c r="FC302" s="137"/>
      <c r="FD302" s="137"/>
      <c r="FE302" s="137"/>
      <c r="FF302" s="137"/>
      <c r="FG302" s="860"/>
      <c r="FH302" s="863"/>
      <c r="FI302" s="1318"/>
      <c r="FJ302" s="126"/>
      <c r="FK302" s="127"/>
      <c r="FL302" s="128" t="str">
        <f t="shared" si="1028"/>
        <v xml:space="preserve">    </v>
      </c>
      <c r="FM302" s="128"/>
      <c r="FN302" s="1686">
        <f t="shared" si="1029"/>
        <v>0</v>
      </c>
      <c r="FO302" s="46">
        <f t="shared" si="972"/>
        <v>0</v>
      </c>
      <c r="FP302" s="46">
        <f t="shared" si="977"/>
        <v>1</v>
      </c>
      <c r="FQ302" s="75">
        <f t="shared" si="1030"/>
        <v>0</v>
      </c>
      <c r="FR302" s="46">
        <f t="shared" si="1036"/>
        <v>0</v>
      </c>
      <c r="FS302" s="46">
        <f t="shared" si="1037"/>
        <v>1</v>
      </c>
      <c r="FT302" s="75">
        <f t="shared" si="1031"/>
        <v>0</v>
      </c>
      <c r="FU302" s="2603">
        <f t="shared" si="973"/>
        <v>0</v>
      </c>
      <c r="FV302" s="2607">
        <f t="shared" si="974"/>
        <v>0</v>
      </c>
      <c r="FW302" s="2603">
        <f t="shared" si="975"/>
        <v>0</v>
      </c>
      <c r="FX302" s="2631">
        <f t="shared" si="976"/>
        <v>0</v>
      </c>
      <c r="FY302" s="81" t="e">
        <f t="shared" si="1038"/>
        <v>#N/A</v>
      </c>
      <c r="FZ302" s="64" t="e">
        <f t="array" ref="FZ302">MATCH(1,($GT302:$LQ302&gt;0)*$GT$25:$LQ$25,0)</f>
        <v>#N/A</v>
      </c>
      <c r="GA302" s="64" t="e">
        <f t="array" ref="GA302">MATCH(2,1/(GT302:LQ302&gt;0))</f>
        <v>#N/A</v>
      </c>
      <c r="GB302" s="64">
        <f t="shared" si="1032"/>
        <v>-1</v>
      </c>
      <c r="GC302" s="46"/>
      <c r="GD302" s="613"/>
      <c r="GE302" s="613"/>
      <c r="GF302" s="613"/>
      <c r="GG302" s="613"/>
      <c r="GH302" s="613"/>
      <c r="GI302" s="613"/>
      <c r="GJ302" s="613"/>
      <c r="GK302" s="613"/>
      <c r="GL302" s="613"/>
      <c r="GM302" s="613"/>
      <c r="GN302" s="385">
        <f t="shared" si="983"/>
        <v>0</v>
      </c>
      <c r="GO302" s="386">
        <f t="shared" si="984"/>
        <v>0</v>
      </c>
      <c r="GP302" s="2635"/>
      <c r="GQ302" s="175"/>
      <c r="GR302" s="172"/>
      <c r="GS302" s="65"/>
      <c r="GT302" s="167"/>
      <c r="GU302" s="168"/>
      <c r="GV302" s="168"/>
      <c r="GW302" s="168"/>
      <c r="GX302" s="168"/>
      <c r="GY302" s="168"/>
      <c r="GZ302" s="168"/>
      <c r="HA302" s="168"/>
      <c r="HB302" s="168"/>
      <c r="HC302" s="168"/>
      <c r="HD302" s="168"/>
      <c r="HE302" s="168"/>
      <c r="HF302" s="168"/>
      <c r="HG302" s="168"/>
      <c r="HH302" s="168"/>
      <c r="HI302" s="168"/>
      <c r="HJ302" s="168"/>
      <c r="HK302" s="168"/>
      <c r="HL302" s="168"/>
      <c r="HM302" s="168"/>
      <c r="HN302" s="168"/>
      <c r="HO302" s="168"/>
      <c r="HP302" s="168"/>
      <c r="HQ302" s="168"/>
      <c r="HR302" s="168"/>
      <c r="HS302" s="168"/>
      <c r="HT302" s="168"/>
      <c r="HU302" s="168"/>
      <c r="HV302" s="168"/>
      <c r="HW302" s="168"/>
      <c r="HX302" s="168"/>
      <c r="HY302" s="168"/>
      <c r="HZ302" s="168"/>
      <c r="IA302" s="168"/>
      <c r="IB302" s="168"/>
      <c r="IC302" s="168"/>
      <c r="ID302" s="168"/>
      <c r="IE302" s="168"/>
      <c r="IF302" s="168"/>
      <c r="IG302" s="168"/>
      <c r="IH302" s="168"/>
      <c r="II302" s="168"/>
      <c r="IJ302" s="168"/>
      <c r="IK302" s="168"/>
      <c r="IL302" s="168"/>
      <c r="IM302" s="168"/>
      <c r="IN302" s="168"/>
      <c r="IO302" s="168"/>
      <c r="IP302" s="168"/>
      <c r="IQ302" s="168"/>
      <c r="IR302" s="168"/>
      <c r="IS302" s="168"/>
      <c r="IT302" s="168"/>
      <c r="IU302" s="168"/>
      <c r="IV302" s="168"/>
      <c r="IW302" s="168"/>
      <c r="IX302" s="168"/>
      <c r="IY302" s="168"/>
      <c r="IZ302" s="168"/>
      <c r="JA302" s="168"/>
      <c r="JB302" s="168"/>
      <c r="JC302" s="168"/>
      <c r="JD302" s="168"/>
      <c r="JE302" s="168"/>
      <c r="JF302" s="168"/>
      <c r="JG302" s="168"/>
      <c r="JH302" s="168"/>
      <c r="JI302" s="168"/>
      <c r="JJ302" s="168"/>
      <c r="JK302" s="168"/>
      <c r="JL302" s="168"/>
      <c r="JM302" s="168"/>
      <c r="JN302" s="168"/>
      <c r="JO302" s="168"/>
      <c r="JP302" s="168"/>
      <c r="JQ302" s="168"/>
      <c r="JR302" s="168"/>
      <c r="JS302" s="168"/>
      <c r="JT302" s="168"/>
      <c r="JU302" s="168"/>
      <c r="JV302" s="168"/>
      <c r="JW302" s="168"/>
      <c r="JX302" s="168"/>
      <c r="JY302" s="168"/>
      <c r="JZ302" s="168"/>
      <c r="KA302" s="168"/>
      <c r="KB302" s="168"/>
      <c r="KC302" s="168"/>
      <c r="KD302" s="168"/>
      <c r="KE302" s="168"/>
      <c r="KF302" s="168"/>
      <c r="KG302" s="168"/>
      <c r="KH302" s="168"/>
      <c r="KI302" s="168"/>
      <c r="KJ302" s="168"/>
      <c r="KK302" s="168"/>
      <c r="KL302" s="168"/>
      <c r="KM302" s="168"/>
      <c r="KN302" s="168"/>
      <c r="KO302" s="168"/>
      <c r="KP302" s="168"/>
      <c r="KQ302" s="168"/>
      <c r="KR302" s="168"/>
      <c r="KS302" s="168"/>
      <c r="KT302" s="168"/>
      <c r="KU302" s="168"/>
      <c r="KV302" s="168"/>
      <c r="KW302" s="168"/>
      <c r="KX302" s="168"/>
      <c r="KY302" s="168"/>
      <c r="KZ302" s="168"/>
      <c r="LA302" s="168"/>
      <c r="LB302" s="168"/>
      <c r="LC302" s="168"/>
      <c r="LD302" s="168"/>
      <c r="LE302" s="168"/>
      <c r="LF302" s="168"/>
      <c r="LG302" s="168"/>
      <c r="LH302" s="168"/>
      <c r="LI302" s="168"/>
      <c r="LJ302" s="168"/>
      <c r="LK302" s="168"/>
      <c r="LL302" s="168"/>
      <c r="LM302" s="168"/>
      <c r="LN302" s="168"/>
      <c r="LO302" s="168"/>
      <c r="LP302" s="606"/>
      <c r="LQ302" s="609"/>
      <c r="LR302" s="1319"/>
      <c r="LS302" s="1319"/>
    </row>
    <row r="303" spans="1:331" s="2" customFormat="1" ht="15" customHeight="1" x14ac:dyDescent="0.25">
      <c r="A303" s="283"/>
      <c r="B303" s="303"/>
      <c r="C303" s="301"/>
      <c r="D303" s="1287"/>
      <c r="E303" s="2298"/>
      <c r="F303" s="1812"/>
      <c r="G303" s="3342"/>
      <c r="H303" s="66"/>
      <c r="I303" s="1746"/>
      <c r="J303" s="1214"/>
      <c r="K303" s="105"/>
      <c r="L303" s="91"/>
      <c r="M303" s="92"/>
      <c r="N303" s="93"/>
      <c r="O303" s="94"/>
      <c r="P303" s="96"/>
      <c r="Q303" s="95"/>
      <c r="R303" s="993">
        <f t="shared" si="1039"/>
        <v>0</v>
      </c>
      <c r="S303" s="23">
        <f t="shared" si="1040"/>
        <v>0</v>
      </c>
      <c r="T303" s="24">
        <f t="shared" si="985"/>
        <v>0</v>
      </c>
      <c r="U303" s="24">
        <f t="shared" si="986"/>
        <v>0</v>
      </c>
      <c r="V303" s="24">
        <f t="shared" si="987"/>
        <v>0</v>
      </c>
      <c r="W303" s="24">
        <f t="shared" ca="1" si="988"/>
        <v>0</v>
      </c>
      <c r="X303" s="72">
        <f t="shared" ca="1" si="956"/>
        <v>0</v>
      </c>
      <c r="Y303" s="72">
        <f t="shared" si="989"/>
        <v>0</v>
      </c>
      <c r="Z303" s="24">
        <f t="shared" si="990"/>
        <v>0</v>
      </c>
      <c r="AA303" s="72">
        <f t="shared" si="957"/>
        <v>0</v>
      </c>
      <c r="AB303" s="24">
        <f t="shared" si="967"/>
        <v>0</v>
      </c>
      <c r="AC303" s="24">
        <f t="shared" ca="1" si="991"/>
        <v>0</v>
      </c>
      <c r="AD303" s="24">
        <f t="shared" si="886"/>
        <v>0</v>
      </c>
      <c r="AE303" s="2078">
        <f t="shared" si="1033"/>
        <v>3</v>
      </c>
      <c r="AF303" s="2078">
        <f t="shared" si="1034"/>
        <v>0</v>
      </c>
      <c r="AG303" s="2078">
        <f t="shared" si="1035"/>
        <v>0</v>
      </c>
      <c r="AH303" s="2521">
        <f t="shared" si="887"/>
        <v>1</v>
      </c>
      <c r="AI303" s="25" t="str">
        <f t="shared" si="992"/>
        <v/>
      </c>
      <c r="AJ303" s="2521">
        <f t="shared" ref="AJ303:AJ364" ca="1" si="1045">IF(SUM(X303:AB303)=0,0,IF(ISBLANK(DE303),"L","N"))</f>
        <v>0</v>
      </c>
      <c r="AK303" s="2076">
        <f t="shared" ca="1" si="1041"/>
        <v>0</v>
      </c>
      <c r="AL303" s="2078">
        <f>IF(ISBLANK(J303),0,ISERROR(MATCH(J303,'5  Control Accounts'!$FA$29:$FA$96,0))*1)</f>
        <v>0</v>
      </c>
      <c r="AM303" s="2076">
        <f t="shared" si="993"/>
        <v>0</v>
      </c>
      <c r="AN303" s="2078">
        <f t="shared" si="994"/>
        <v>1</v>
      </c>
      <c r="AO303" s="2079">
        <f t="shared" si="888"/>
        <v>1</v>
      </c>
      <c r="AP303" s="2079">
        <f t="shared" si="889"/>
        <v>0</v>
      </c>
      <c r="AQ303" s="2079">
        <f t="shared" si="890"/>
        <v>0</v>
      </c>
      <c r="AR303" s="2079">
        <f t="shared" si="891"/>
        <v>0</v>
      </c>
      <c r="AS303" s="2079">
        <f t="shared" si="892"/>
        <v>0</v>
      </c>
      <c r="AT303" s="2079">
        <f t="shared" si="893"/>
        <v>0</v>
      </c>
      <c r="AU303" s="2079">
        <f t="shared" si="894"/>
        <v>0</v>
      </c>
      <c r="AV303" s="2079">
        <f t="shared" si="895"/>
        <v>0</v>
      </c>
      <c r="AW303" s="2079">
        <f t="shared" si="896"/>
        <v>0</v>
      </c>
      <c r="AX303" s="2079">
        <f t="shared" si="897"/>
        <v>0</v>
      </c>
      <c r="AY303" s="2078">
        <f t="shared" si="995"/>
        <v>0</v>
      </c>
      <c r="AZ303" s="2078">
        <f t="shared" si="996"/>
        <v>0</v>
      </c>
      <c r="BA303" s="2078">
        <f t="shared" si="997"/>
        <v>0</v>
      </c>
      <c r="BB303" s="2078">
        <f t="shared" si="998"/>
        <v>0</v>
      </c>
      <c r="BC303" s="2078">
        <f t="shared" si="999"/>
        <v>0</v>
      </c>
      <c r="BD303" s="2078">
        <f t="shared" si="1000"/>
        <v>0</v>
      </c>
      <c r="BE303" s="2078">
        <f t="shared" si="1001"/>
        <v>0</v>
      </c>
      <c r="BF303" s="2078">
        <f t="shared" si="1002"/>
        <v>0</v>
      </c>
      <c r="BG303" s="2078">
        <f t="shared" si="1003"/>
        <v>0</v>
      </c>
      <c r="BH303" s="2078">
        <f t="shared" si="1004"/>
        <v>0</v>
      </c>
      <c r="BI303" s="2078">
        <f t="shared" si="1005"/>
        <v>0</v>
      </c>
      <c r="BJ303" s="2078">
        <f t="shared" si="1006"/>
        <v>0</v>
      </c>
      <c r="BK303" s="2078">
        <f t="shared" si="1007"/>
        <v>0</v>
      </c>
      <c r="BL303" s="2078">
        <f t="shared" si="1008"/>
        <v>0</v>
      </c>
      <c r="BM303" s="2078">
        <f t="shared" si="1009"/>
        <v>0</v>
      </c>
      <c r="BN303" s="2078">
        <f t="shared" si="1010"/>
        <v>0</v>
      </c>
      <c r="BO303" s="2078">
        <f t="shared" si="1011"/>
        <v>0</v>
      </c>
      <c r="BP303" s="2078">
        <f t="shared" si="1012"/>
        <v>0</v>
      </c>
      <c r="BQ303" s="2078">
        <f t="shared" si="1013"/>
        <v>0</v>
      </c>
      <c r="BR303" s="2078">
        <f t="shared" si="1014"/>
        <v>0</v>
      </c>
      <c r="BS303" s="2079">
        <f t="shared" si="898"/>
        <v>1</v>
      </c>
      <c r="BT303" s="2079">
        <f t="shared" si="899"/>
        <v>0</v>
      </c>
      <c r="BU303" s="2079">
        <f t="shared" si="900"/>
        <v>0</v>
      </c>
      <c r="BV303" s="2079">
        <f t="shared" si="901"/>
        <v>0</v>
      </c>
      <c r="BW303" s="2079">
        <f t="shared" si="902"/>
        <v>0</v>
      </c>
      <c r="BX303" s="2079">
        <f t="shared" si="903"/>
        <v>0</v>
      </c>
      <c r="BY303" s="2079">
        <f t="shared" si="904"/>
        <v>0</v>
      </c>
      <c r="BZ303" s="2079">
        <f t="shared" si="905"/>
        <v>0</v>
      </c>
      <c r="CA303" s="2079">
        <f t="shared" si="906"/>
        <v>0</v>
      </c>
      <c r="CB303" s="2079">
        <f t="shared" si="907"/>
        <v>0</v>
      </c>
      <c r="CC303" s="2078">
        <f t="shared" ca="1" si="1015"/>
        <v>0</v>
      </c>
      <c r="CD303" s="2078">
        <f t="shared" ca="1" si="1016"/>
        <v>0</v>
      </c>
      <c r="CE303" s="2078">
        <f t="shared" ca="1" si="1017"/>
        <v>0</v>
      </c>
      <c r="CF303" s="2078">
        <f t="shared" ca="1" si="1018"/>
        <v>0</v>
      </c>
      <c r="CG303" s="2078">
        <f t="shared" ca="1" si="1019"/>
        <v>0</v>
      </c>
      <c r="CH303" s="2078">
        <f t="shared" ca="1" si="1020"/>
        <v>0</v>
      </c>
      <c r="CI303" s="2078">
        <f t="shared" ca="1" si="1021"/>
        <v>0</v>
      </c>
      <c r="CJ303" s="2078">
        <f t="shared" ca="1" si="1022"/>
        <v>0</v>
      </c>
      <c r="CK303" s="2078">
        <f t="shared" ca="1" si="1023"/>
        <v>0</v>
      </c>
      <c r="CL303" s="2078">
        <f t="shared" ca="1" si="1024"/>
        <v>0</v>
      </c>
      <c r="CM303" s="2078">
        <f t="shared" si="968"/>
        <v>1</v>
      </c>
      <c r="CN303" s="2078">
        <f t="shared" si="969"/>
        <v>1</v>
      </c>
      <c r="CO303" s="2078">
        <f t="shared" si="958"/>
        <v>1</v>
      </c>
      <c r="CP303" s="2078">
        <f t="shared" si="1025"/>
        <v>1</v>
      </c>
      <c r="CQ303" s="2078">
        <f t="shared" si="959"/>
        <v>0</v>
      </c>
      <c r="CR303" s="2078">
        <f t="shared" si="1042"/>
        <v>0</v>
      </c>
      <c r="CS303" s="2078">
        <f t="shared" si="1026"/>
        <v>0</v>
      </c>
      <c r="CT303" s="2078">
        <f t="shared" si="960"/>
        <v>1</v>
      </c>
      <c r="CU303" s="2078">
        <f t="shared" si="1027"/>
        <v>1</v>
      </c>
      <c r="CV303" s="2078">
        <f t="shared" si="970"/>
        <v>0</v>
      </c>
      <c r="CW303" s="2078">
        <f>IF(OR(AE303&lt;&gt;3,F303="Exclude"),0,IF(ISERROR(MATCH($E303,'4 Sign-off'!$S$123:$X$123,0)),0,1))</f>
        <v>0</v>
      </c>
      <c r="CX303" s="2078">
        <f t="shared" si="982"/>
        <v>0</v>
      </c>
      <c r="CY303" s="2078">
        <f t="shared" si="971"/>
        <v>0</v>
      </c>
      <c r="CZ303" s="2993">
        <f t="shared" ca="1" si="1043"/>
        <v>0</v>
      </c>
      <c r="DA303" s="3037">
        <f t="shared" ca="1" si="1044"/>
        <v>0</v>
      </c>
      <c r="DB303" s="1664"/>
      <c r="DC303" s="1320"/>
      <c r="DD303" s="589"/>
      <c r="DE303" s="1321"/>
      <c r="DF303" s="107"/>
      <c r="DG303" s="112"/>
      <c r="DH303" s="140"/>
      <c r="DI303" s="22"/>
      <c r="DJ303" s="145"/>
      <c r="DK303" s="137"/>
      <c r="DL303" s="137"/>
      <c r="DM303" s="137"/>
      <c r="DN303" s="137"/>
      <c r="DO303" s="137"/>
      <c r="DP303" s="137"/>
      <c r="DQ303" s="137"/>
      <c r="DR303" s="137"/>
      <c r="DS303" s="137"/>
      <c r="DT303" s="137"/>
      <c r="DU303" s="137"/>
      <c r="DV303" s="137"/>
      <c r="DW303" s="137"/>
      <c r="DX303" s="137"/>
      <c r="DY303" s="137"/>
      <c r="DZ303" s="137"/>
      <c r="EA303" s="137"/>
      <c r="EB303" s="137"/>
      <c r="EC303" s="137"/>
      <c r="ED303" s="137"/>
      <c r="EE303" s="137"/>
      <c r="EF303" s="137"/>
      <c r="EG303" s="137"/>
      <c r="EH303" s="137"/>
      <c r="EI303" s="137"/>
      <c r="EJ303" s="137"/>
      <c r="EK303" s="137"/>
      <c r="EL303" s="137"/>
      <c r="EM303" s="137"/>
      <c r="EN303" s="137"/>
      <c r="EO303" s="137"/>
      <c r="EP303" s="137"/>
      <c r="EQ303" s="137"/>
      <c r="ER303" s="137"/>
      <c r="ES303" s="137"/>
      <c r="ET303" s="137"/>
      <c r="EU303" s="137"/>
      <c r="EV303" s="137"/>
      <c r="EW303" s="137"/>
      <c r="EX303" s="137"/>
      <c r="EY303" s="137"/>
      <c r="EZ303" s="137"/>
      <c r="FA303" s="137"/>
      <c r="FB303" s="137"/>
      <c r="FC303" s="137"/>
      <c r="FD303" s="137"/>
      <c r="FE303" s="137"/>
      <c r="FF303" s="137"/>
      <c r="FG303" s="860"/>
      <c r="FH303" s="863"/>
      <c r="FI303" s="1318"/>
      <c r="FJ303" s="126"/>
      <c r="FK303" s="127"/>
      <c r="FL303" s="128" t="str">
        <f t="shared" si="1028"/>
        <v xml:space="preserve">    </v>
      </c>
      <c r="FM303" s="128"/>
      <c r="FN303" s="1686">
        <f t="shared" si="1029"/>
        <v>0</v>
      </c>
      <c r="FO303" s="46">
        <f t="shared" si="972"/>
        <v>0</v>
      </c>
      <c r="FP303" s="46">
        <f t="shared" si="977"/>
        <v>1</v>
      </c>
      <c r="FQ303" s="75">
        <f t="shared" si="1030"/>
        <v>0</v>
      </c>
      <c r="FR303" s="46">
        <f t="shared" si="1036"/>
        <v>0</v>
      </c>
      <c r="FS303" s="46">
        <f t="shared" si="1037"/>
        <v>1</v>
      </c>
      <c r="FT303" s="75">
        <f t="shared" si="1031"/>
        <v>0</v>
      </c>
      <c r="FU303" s="2603">
        <f t="shared" si="973"/>
        <v>0</v>
      </c>
      <c r="FV303" s="2607">
        <f t="shared" si="974"/>
        <v>0</v>
      </c>
      <c r="FW303" s="2603">
        <f t="shared" si="975"/>
        <v>0</v>
      </c>
      <c r="FX303" s="2631">
        <f t="shared" si="976"/>
        <v>0</v>
      </c>
      <c r="FY303" s="81" t="e">
        <f t="shared" si="1038"/>
        <v>#N/A</v>
      </c>
      <c r="FZ303" s="64" t="e">
        <f t="array" ref="FZ303">MATCH(1,($GT303:$LQ303&gt;0)*$GT$25:$LQ$25,0)</f>
        <v>#N/A</v>
      </c>
      <c r="GA303" s="64" t="e">
        <f t="array" ref="GA303">MATCH(2,1/(GT303:LQ303&gt;0))</f>
        <v>#N/A</v>
      </c>
      <c r="GB303" s="64">
        <f t="shared" si="1032"/>
        <v>-1</v>
      </c>
      <c r="GC303" s="46"/>
      <c r="GD303" s="613"/>
      <c r="GE303" s="613"/>
      <c r="GF303" s="613"/>
      <c r="GG303" s="613"/>
      <c r="GH303" s="613"/>
      <c r="GI303" s="613"/>
      <c r="GJ303" s="613"/>
      <c r="GK303" s="613"/>
      <c r="GL303" s="613"/>
      <c r="GM303" s="613"/>
      <c r="GN303" s="385">
        <f t="shared" si="983"/>
        <v>0</v>
      </c>
      <c r="GO303" s="386">
        <f t="shared" si="984"/>
        <v>0</v>
      </c>
      <c r="GP303" s="2635"/>
      <c r="GQ303" s="175"/>
      <c r="GR303" s="172"/>
      <c r="GS303" s="65"/>
      <c r="GT303" s="167"/>
      <c r="GU303" s="168"/>
      <c r="GV303" s="168"/>
      <c r="GW303" s="168"/>
      <c r="GX303" s="168"/>
      <c r="GY303" s="168"/>
      <c r="GZ303" s="168"/>
      <c r="HA303" s="168"/>
      <c r="HB303" s="168"/>
      <c r="HC303" s="168"/>
      <c r="HD303" s="168"/>
      <c r="HE303" s="168"/>
      <c r="HF303" s="168"/>
      <c r="HG303" s="168"/>
      <c r="HH303" s="168"/>
      <c r="HI303" s="168"/>
      <c r="HJ303" s="168"/>
      <c r="HK303" s="168"/>
      <c r="HL303" s="168"/>
      <c r="HM303" s="168"/>
      <c r="HN303" s="168"/>
      <c r="HO303" s="168"/>
      <c r="HP303" s="168"/>
      <c r="HQ303" s="168"/>
      <c r="HR303" s="168"/>
      <c r="HS303" s="168"/>
      <c r="HT303" s="168"/>
      <c r="HU303" s="168"/>
      <c r="HV303" s="168"/>
      <c r="HW303" s="168"/>
      <c r="HX303" s="168"/>
      <c r="HY303" s="168"/>
      <c r="HZ303" s="168"/>
      <c r="IA303" s="168"/>
      <c r="IB303" s="168"/>
      <c r="IC303" s="168"/>
      <c r="ID303" s="168"/>
      <c r="IE303" s="168"/>
      <c r="IF303" s="168"/>
      <c r="IG303" s="168"/>
      <c r="IH303" s="168"/>
      <c r="II303" s="168"/>
      <c r="IJ303" s="168"/>
      <c r="IK303" s="168"/>
      <c r="IL303" s="168"/>
      <c r="IM303" s="168"/>
      <c r="IN303" s="168"/>
      <c r="IO303" s="168"/>
      <c r="IP303" s="168"/>
      <c r="IQ303" s="168"/>
      <c r="IR303" s="168"/>
      <c r="IS303" s="168"/>
      <c r="IT303" s="168"/>
      <c r="IU303" s="168"/>
      <c r="IV303" s="168"/>
      <c r="IW303" s="168"/>
      <c r="IX303" s="168"/>
      <c r="IY303" s="168"/>
      <c r="IZ303" s="168"/>
      <c r="JA303" s="168"/>
      <c r="JB303" s="168"/>
      <c r="JC303" s="168"/>
      <c r="JD303" s="168"/>
      <c r="JE303" s="168"/>
      <c r="JF303" s="168"/>
      <c r="JG303" s="168"/>
      <c r="JH303" s="168"/>
      <c r="JI303" s="168"/>
      <c r="JJ303" s="168"/>
      <c r="JK303" s="168"/>
      <c r="JL303" s="168"/>
      <c r="JM303" s="168"/>
      <c r="JN303" s="168"/>
      <c r="JO303" s="168"/>
      <c r="JP303" s="168"/>
      <c r="JQ303" s="168"/>
      <c r="JR303" s="168"/>
      <c r="JS303" s="168"/>
      <c r="JT303" s="168"/>
      <c r="JU303" s="168"/>
      <c r="JV303" s="168"/>
      <c r="JW303" s="168"/>
      <c r="JX303" s="168"/>
      <c r="JY303" s="168"/>
      <c r="JZ303" s="168"/>
      <c r="KA303" s="168"/>
      <c r="KB303" s="168"/>
      <c r="KC303" s="168"/>
      <c r="KD303" s="168"/>
      <c r="KE303" s="168"/>
      <c r="KF303" s="168"/>
      <c r="KG303" s="168"/>
      <c r="KH303" s="168"/>
      <c r="KI303" s="168"/>
      <c r="KJ303" s="168"/>
      <c r="KK303" s="168"/>
      <c r="KL303" s="168"/>
      <c r="KM303" s="168"/>
      <c r="KN303" s="168"/>
      <c r="KO303" s="168"/>
      <c r="KP303" s="168"/>
      <c r="KQ303" s="168"/>
      <c r="KR303" s="168"/>
      <c r="KS303" s="168"/>
      <c r="KT303" s="168"/>
      <c r="KU303" s="168"/>
      <c r="KV303" s="168"/>
      <c r="KW303" s="168"/>
      <c r="KX303" s="168"/>
      <c r="KY303" s="168"/>
      <c r="KZ303" s="168"/>
      <c r="LA303" s="168"/>
      <c r="LB303" s="168"/>
      <c r="LC303" s="168"/>
      <c r="LD303" s="168"/>
      <c r="LE303" s="168"/>
      <c r="LF303" s="168"/>
      <c r="LG303" s="168"/>
      <c r="LH303" s="168"/>
      <c r="LI303" s="168"/>
      <c r="LJ303" s="168"/>
      <c r="LK303" s="168"/>
      <c r="LL303" s="168"/>
      <c r="LM303" s="168"/>
      <c r="LN303" s="168"/>
      <c r="LO303" s="168"/>
      <c r="LP303" s="606"/>
      <c r="LQ303" s="609"/>
      <c r="LR303" s="1319"/>
      <c r="LS303" s="1319"/>
    </row>
    <row r="304" spans="1:331" s="2" customFormat="1" ht="15" customHeight="1" x14ac:dyDescent="0.25">
      <c r="A304" s="283"/>
      <c r="B304" s="303"/>
      <c r="C304" s="301"/>
      <c r="D304" s="1287"/>
      <c r="E304" s="2298"/>
      <c r="F304" s="1812"/>
      <c r="G304" s="3342"/>
      <c r="H304" s="66"/>
      <c r="I304" s="1746"/>
      <c r="J304" s="1214"/>
      <c r="K304" s="105"/>
      <c r="L304" s="91"/>
      <c r="M304" s="92"/>
      <c r="N304" s="93"/>
      <c r="O304" s="94"/>
      <c r="P304" s="96"/>
      <c r="Q304" s="95"/>
      <c r="R304" s="993">
        <f t="shared" si="1039"/>
        <v>0</v>
      </c>
      <c r="S304" s="23">
        <f t="shared" si="1040"/>
        <v>0</v>
      </c>
      <c r="T304" s="24">
        <f t="shared" si="985"/>
        <v>0</v>
      </c>
      <c r="U304" s="24">
        <f t="shared" si="986"/>
        <v>0</v>
      </c>
      <c r="V304" s="24">
        <f t="shared" si="987"/>
        <v>0</v>
      </c>
      <c r="W304" s="24">
        <f t="shared" ca="1" si="988"/>
        <v>0</v>
      </c>
      <c r="X304" s="72">
        <f t="shared" ca="1" si="956"/>
        <v>0</v>
      </c>
      <c r="Y304" s="72">
        <f t="shared" si="989"/>
        <v>0</v>
      </c>
      <c r="Z304" s="24">
        <f t="shared" si="990"/>
        <v>0</v>
      </c>
      <c r="AA304" s="72">
        <f t="shared" si="957"/>
        <v>0</v>
      </c>
      <c r="AB304" s="24">
        <f t="shared" si="967"/>
        <v>0</v>
      </c>
      <c r="AC304" s="24">
        <f t="shared" ca="1" si="991"/>
        <v>0</v>
      </c>
      <c r="AD304" s="24">
        <f t="shared" si="886"/>
        <v>0</v>
      </c>
      <c r="AE304" s="2078">
        <f t="shared" si="1033"/>
        <v>3</v>
      </c>
      <c r="AF304" s="2078">
        <f t="shared" si="1034"/>
        <v>0</v>
      </c>
      <c r="AG304" s="2078">
        <f t="shared" si="1035"/>
        <v>0</v>
      </c>
      <c r="AH304" s="2521">
        <f t="shared" si="887"/>
        <v>1</v>
      </c>
      <c r="AI304" s="25" t="str">
        <f t="shared" si="992"/>
        <v/>
      </c>
      <c r="AJ304" s="2521">
        <f t="shared" ca="1" si="1045"/>
        <v>0</v>
      </c>
      <c r="AK304" s="2076">
        <f t="shared" ca="1" si="1041"/>
        <v>0</v>
      </c>
      <c r="AL304" s="2078">
        <f>IF(ISBLANK(J304),0,ISERROR(MATCH(J304,'5  Control Accounts'!$FA$29:$FA$96,0))*1)</f>
        <v>0</v>
      </c>
      <c r="AM304" s="2076">
        <f t="shared" si="993"/>
        <v>0</v>
      </c>
      <c r="AN304" s="2078">
        <f t="shared" si="994"/>
        <v>1</v>
      </c>
      <c r="AO304" s="2079">
        <f t="shared" si="888"/>
        <v>1</v>
      </c>
      <c r="AP304" s="2079">
        <f t="shared" si="889"/>
        <v>0</v>
      </c>
      <c r="AQ304" s="2079">
        <f t="shared" si="890"/>
        <v>0</v>
      </c>
      <c r="AR304" s="2079">
        <f t="shared" si="891"/>
        <v>0</v>
      </c>
      <c r="AS304" s="2079">
        <f t="shared" si="892"/>
        <v>0</v>
      </c>
      <c r="AT304" s="2079">
        <f t="shared" si="893"/>
        <v>0</v>
      </c>
      <c r="AU304" s="2079">
        <f t="shared" si="894"/>
        <v>0</v>
      </c>
      <c r="AV304" s="2079">
        <f t="shared" si="895"/>
        <v>0</v>
      </c>
      <c r="AW304" s="2079">
        <f t="shared" si="896"/>
        <v>0</v>
      </c>
      <c r="AX304" s="2079">
        <f t="shared" si="897"/>
        <v>0</v>
      </c>
      <c r="AY304" s="2078">
        <f t="shared" si="995"/>
        <v>0</v>
      </c>
      <c r="AZ304" s="2078">
        <f t="shared" si="996"/>
        <v>0</v>
      </c>
      <c r="BA304" s="2078">
        <f t="shared" si="997"/>
        <v>0</v>
      </c>
      <c r="BB304" s="2078">
        <f t="shared" si="998"/>
        <v>0</v>
      </c>
      <c r="BC304" s="2078">
        <f t="shared" si="999"/>
        <v>0</v>
      </c>
      <c r="BD304" s="2078">
        <f t="shared" si="1000"/>
        <v>0</v>
      </c>
      <c r="BE304" s="2078">
        <f t="shared" si="1001"/>
        <v>0</v>
      </c>
      <c r="BF304" s="2078">
        <f t="shared" si="1002"/>
        <v>0</v>
      </c>
      <c r="BG304" s="2078">
        <f t="shared" si="1003"/>
        <v>0</v>
      </c>
      <c r="BH304" s="2078">
        <f t="shared" si="1004"/>
        <v>0</v>
      </c>
      <c r="BI304" s="2078">
        <f t="shared" si="1005"/>
        <v>0</v>
      </c>
      <c r="BJ304" s="2078">
        <f t="shared" si="1006"/>
        <v>0</v>
      </c>
      <c r="BK304" s="2078">
        <f t="shared" si="1007"/>
        <v>0</v>
      </c>
      <c r="BL304" s="2078">
        <f t="shared" si="1008"/>
        <v>0</v>
      </c>
      <c r="BM304" s="2078">
        <f t="shared" si="1009"/>
        <v>0</v>
      </c>
      <c r="BN304" s="2078">
        <f t="shared" si="1010"/>
        <v>0</v>
      </c>
      <c r="BO304" s="2078">
        <f t="shared" si="1011"/>
        <v>0</v>
      </c>
      <c r="BP304" s="2078">
        <f t="shared" si="1012"/>
        <v>0</v>
      </c>
      <c r="BQ304" s="2078">
        <f t="shared" si="1013"/>
        <v>0</v>
      </c>
      <c r="BR304" s="2078">
        <f t="shared" si="1014"/>
        <v>0</v>
      </c>
      <c r="BS304" s="2079">
        <f t="shared" si="898"/>
        <v>1</v>
      </c>
      <c r="BT304" s="2079">
        <f t="shared" si="899"/>
        <v>0</v>
      </c>
      <c r="BU304" s="2079">
        <f t="shared" si="900"/>
        <v>0</v>
      </c>
      <c r="BV304" s="2079">
        <f t="shared" si="901"/>
        <v>0</v>
      </c>
      <c r="BW304" s="2079">
        <f t="shared" si="902"/>
        <v>0</v>
      </c>
      <c r="BX304" s="2079">
        <f t="shared" si="903"/>
        <v>0</v>
      </c>
      <c r="BY304" s="2079">
        <f t="shared" si="904"/>
        <v>0</v>
      </c>
      <c r="BZ304" s="2079">
        <f t="shared" si="905"/>
        <v>0</v>
      </c>
      <c r="CA304" s="2079">
        <f t="shared" si="906"/>
        <v>0</v>
      </c>
      <c r="CB304" s="2079">
        <f t="shared" si="907"/>
        <v>0</v>
      </c>
      <c r="CC304" s="2078">
        <f t="shared" ca="1" si="1015"/>
        <v>0</v>
      </c>
      <c r="CD304" s="2078">
        <f t="shared" ca="1" si="1016"/>
        <v>0</v>
      </c>
      <c r="CE304" s="2078">
        <f t="shared" ca="1" si="1017"/>
        <v>0</v>
      </c>
      <c r="CF304" s="2078">
        <f t="shared" ca="1" si="1018"/>
        <v>0</v>
      </c>
      <c r="CG304" s="2078">
        <f t="shared" ca="1" si="1019"/>
        <v>0</v>
      </c>
      <c r="CH304" s="2078">
        <f t="shared" ca="1" si="1020"/>
        <v>0</v>
      </c>
      <c r="CI304" s="2078">
        <f t="shared" ca="1" si="1021"/>
        <v>0</v>
      </c>
      <c r="CJ304" s="2078">
        <f t="shared" ca="1" si="1022"/>
        <v>0</v>
      </c>
      <c r="CK304" s="2078">
        <f t="shared" ca="1" si="1023"/>
        <v>0</v>
      </c>
      <c r="CL304" s="2078">
        <f t="shared" ca="1" si="1024"/>
        <v>0</v>
      </c>
      <c r="CM304" s="2078">
        <f t="shared" si="968"/>
        <v>1</v>
      </c>
      <c r="CN304" s="2078">
        <f t="shared" si="969"/>
        <v>1</v>
      </c>
      <c r="CO304" s="2078">
        <f t="shared" si="958"/>
        <v>1</v>
      </c>
      <c r="CP304" s="2078">
        <f t="shared" si="1025"/>
        <v>1</v>
      </c>
      <c r="CQ304" s="2078">
        <f t="shared" si="959"/>
        <v>0</v>
      </c>
      <c r="CR304" s="2078">
        <f t="shared" si="1042"/>
        <v>0</v>
      </c>
      <c r="CS304" s="2078">
        <f t="shared" si="1026"/>
        <v>0</v>
      </c>
      <c r="CT304" s="2078">
        <f t="shared" si="960"/>
        <v>1</v>
      </c>
      <c r="CU304" s="2078">
        <f t="shared" si="1027"/>
        <v>1</v>
      </c>
      <c r="CV304" s="2078">
        <f t="shared" si="970"/>
        <v>0</v>
      </c>
      <c r="CW304" s="2078">
        <f>IF(OR(AE304&lt;&gt;3,F304="Exclude"),0,IF(ISERROR(MATCH($E304,'4 Sign-off'!$S$123:$X$123,0)),0,1))</f>
        <v>0</v>
      </c>
      <c r="CX304" s="2078">
        <f t="shared" si="982"/>
        <v>0</v>
      </c>
      <c r="CY304" s="2078">
        <f t="shared" si="971"/>
        <v>0</v>
      </c>
      <c r="CZ304" s="2993">
        <f t="shared" ca="1" si="1043"/>
        <v>0</v>
      </c>
      <c r="DA304" s="3037">
        <f t="shared" ca="1" si="1044"/>
        <v>0</v>
      </c>
      <c r="DB304" s="1664"/>
      <c r="DC304" s="1320"/>
      <c r="DD304" s="589"/>
      <c r="DE304" s="1321"/>
      <c r="DF304" s="107"/>
      <c r="DG304" s="112"/>
      <c r="DH304" s="140"/>
      <c r="DI304" s="22"/>
      <c r="DJ304" s="145"/>
      <c r="DK304" s="137"/>
      <c r="DL304" s="137"/>
      <c r="DM304" s="137"/>
      <c r="DN304" s="137"/>
      <c r="DO304" s="137"/>
      <c r="DP304" s="137"/>
      <c r="DQ304" s="137"/>
      <c r="DR304" s="137"/>
      <c r="DS304" s="137"/>
      <c r="DT304" s="137"/>
      <c r="DU304" s="137"/>
      <c r="DV304" s="137"/>
      <c r="DW304" s="137"/>
      <c r="DX304" s="137"/>
      <c r="DY304" s="137"/>
      <c r="DZ304" s="137"/>
      <c r="EA304" s="137"/>
      <c r="EB304" s="137"/>
      <c r="EC304" s="137"/>
      <c r="ED304" s="137"/>
      <c r="EE304" s="137"/>
      <c r="EF304" s="137"/>
      <c r="EG304" s="137"/>
      <c r="EH304" s="137"/>
      <c r="EI304" s="137"/>
      <c r="EJ304" s="137"/>
      <c r="EK304" s="137"/>
      <c r="EL304" s="137"/>
      <c r="EM304" s="137"/>
      <c r="EN304" s="137"/>
      <c r="EO304" s="137"/>
      <c r="EP304" s="137"/>
      <c r="EQ304" s="137"/>
      <c r="ER304" s="137"/>
      <c r="ES304" s="137"/>
      <c r="ET304" s="137"/>
      <c r="EU304" s="137"/>
      <c r="EV304" s="137"/>
      <c r="EW304" s="137"/>
      <c r="EX304" s="137"/>
      <c r="EY304" s="137"/>
      <c r="EZ304" s="137"/>
      <c r="FA304" s="137"/>
      <c r="FB304" s="137"/>
      <c r="FC304" s="137"/>
      <c r="FD304" s="137"/>
      <c r="FE304" s="137"/>
      <c r="FF304" s="137"/>
      <c r="FG304" s="860"/>
      <c r="FH304" s="863"/>
      <c r="FI304" s="1318"/>
      <c r="FJ304" s="126"/>
      <c r="FK304" s="127"/>
      <c r="FL304" s="128" t="str">
        <f t="shared" si="1028"/>
        <v xml:space="preserve">    </v>
      </c>
      <c r="FM304" s="128"/>
      <c r="FN304" s="1686">
        <f t="shared" si="1029"/>
        <v>0</v>
      </c>
      <c r="FO304" s="46">
        <f t="shared" si="972"/>
        <v>0</v>
      </c>
      <c r="FP304" s="46">
        <f t="shared" si="977"/>
        <v>1</v>
      </c>
      <c r="FQ304" s="75">
        <f t="shared" si="1030"/>
        <v>0</v>
      </c>
      <c r="FR304" s="46">
        <f t="shared" si="1036"/>
        <v>0</v>
      </c>
      <c r="FS304" s="46">
        <f t="shared" si="1037"/>
        <v>1</v>
      </c>
      <c r="FT304" s="75">
        <f t="shared" si="1031"/>
        <v>0</v>
      </c>
      <c r="FU304" s="2603">
        <f t="shared" si="973"/>
        <v>0</v>
      </c>
      <c r="FV304" s="2607">
        <f t="shared" si="974"/>
        <v>0</v>
      </c>
      <c r="FW304" s="2603">
        <f t="shared" si="975"/>
        <v>0</v>
      </c>
      <c r="FX304" s="2631">
        <f t="shared" si="976"/>
        <v>0</v>
      </c>
      <c r="FY304" s="81" t="e">
        <f t="shared" si="1038"/>
        <v>#N/A</v>
      </c>
      <c r="FZ304" s="64" t="e">
        <f t="array" ref="FZ304">MATCH(1,($GT304:$LQ304&gt;0)*$GT$25:$LQ$25,0)</f>
        <v>#N/A</v>
      </c>
      <c r="GA304" s="64" t="e">
        <f t="array" ref="GA304">MATCH(2,1/(GT304:LQ304&gt;0))</f>
        <v>#N/A</v>
      </c>
      <c r="GB304" s="64">
        <f t="shared" si="1032"/>
        <v>-1</v>
      </c>
      <c r="GC304" s="46"/>
      <c r="GD304" s="613"/>
      <c r="GE304" s="613"/>
      <c r="GF304" s="613"/>
      <c r="GG304" s="613"/>
      <c r="GH304" s="613"/>
      <c r="GI304" s="613"/>
      <c r="GJ304" s="613"/>
      <c r="GK304" s="613"/>
      <c r="GL304" s="613"/>
      <c r="GM304" s="613"/>
      <c r="GN304" s="385">
        <f t="shared" si="983"/>
        <v>0</v>
      </c>
      <c r="GO304" s="386">
        <f t="shared" si="984"/>
        <v>0</v>
      </c>
      <c r="GP304" s="2635"/>
      <c r="GQ304" s="175"/>
      <c r="GR304" s="172"/>
      <c r="GS304" s="65"/>
      <c r="GT304" s="167"/>
      <c r="GU304" s="168"/>
      <c r="GV304" s="168"/>
      <c r="GW304" s="168"/>
      <c r="GX304" s="168"/>
      <c r="GY304" s="168"/>
      <c r="GZ304" s="168"/>
      <c r="HA304" s="168"/>
      <c r="HB304" s="168"/>
      <c r="HC304" s="168"/>
      <c r="HD304" s="168"/>
      <c r="HE304" s="168"/>
      <c r="HF304" s="168"/>
      <c r="HG304" s="168"/>
      <c r="HH304" s="168"/>
      <c r="HI304" s="168"/>
      <c r="HJ304" s="168"/>
      <c r="HK304" s="168"/>
      <c r="HL304" s="168"/>
      <c r="HM304" s="168"/>
      <c r="HN304" s="168"/>
      <c r="HO304" s="168"/>
      <c r="HP304" s="168"/>
      <c r="HQ304" s="168"/>
      <c r="HR304" s="168"/>
      <c r="HS304" s="168"/>
      <c r="HT304" s="168"/>
      <c r="HU304" s="168"/>
      <c r="HV304" s="168"/>
      <c r="HW304" s="168"/>
      <c r="HX304" s="168"/>
      <c r="HY304" s="168"/>
      <c r="HZ304" s="168"/>
      <c r="IA304" s="168"/>
      <c r="IB304" s="168"/>
      <c r="IC304" s="168"/>
      <c r="ID304" s="168"/>
      <c r="IE304" s="168"/>
      <c r="IF304" s="168"/>
      <c r="IG304" s="168"/>
      <c r="IH304" s="168"/>
      <c r="II304" s="168"/>
      <c r="IJ304" s="168"/>
      <c r="IK304" s="168"/>
      <c r="IL304" s="168"/>
      <c r="IM304" s="168"/>
      <c r="IN304" s="168"/>
      <c r="IO304" s="168"/>
      <c r="IP304" s="168"/>
      <c r="IQ304" s="168"/>
      <c r="IR304" s="168"/>
      <c r="IS304" s="168"/>
      <c r="IT304" s="168"/>
      <c r="IU304" s="168"/>
      <c r="IV304" s="168"/>
      <c r="IW304" s="168"/>
      <c r="IX304" s="168"/>
      <c r="IY304" s="168"/>
      <c r="IZ304" s="168"/>
      <c r="JA304" s="168"/>
      <c r="JB304" s="168"/>
      <c r="JC304" s="168"/>
      <c r="JD304" s="168"/>
      <c r="JE304" s="168"/>
      <c r="JF304" s="168"/>
      <c r="JG304" s="168"/>
      <c r="JH304" s="168"/>
      <c r="JI304" s="168"/>
      <c r="JJ304" s="168"/>
      <c r="JK304" s="168"/>
      <c r="JL304" s="168"/>
      <c r="JM304" s="168"/>
      <c r="JN304" s="168"/>
      <c r="JO304" s="168"/>
      <c r="JP304" s="168"/>
      <c r="JQ304" s="168"/>
      <c r="JR304" s="168"/>
      <c r="JS304" s="168"/>
      <c r="JT304" s="168"/>
      <c r="JU304" s="168"/>
      <c r="JV304" s="168"/>
      <c r="JW304" s="168"/>
      <c r="JX304" s="168"/>
      <c r="JY304" s="168"/>
      <c r="JZ304" s="168"/>
      <c r="KA304" s="168"/>
      <c r="KB304" s="168"/>
      <c r="KC304" s="168"/>
      <c r="KD304" s="168"/>
      <c r="KE304" s="168"/>
      <c r="KF304" s="168"/>
      <c r="KG304" s="168"/>
      <c r="KH304" s="168"/>
      <c r="KI304" s="168"/>
      <c r="KJ304" s="168"/>
      <c r="KK304" s="168"/>
      <c r="KL304" s="168"/>
      <c r="KM304" s="168"/>
      <c r="KN304" s="168"/>
      <c r="KO304" s="168"/>
      <c r="KP304" s="168"/>
      <c r="KQ304" s="168"/>
      <c r="KR304" s="168"/>
      <c r="KS304" s="168"/>
      <c r="KT304" s="168"/>
      <c r="KU304" s="168"/>
      <c r="KV304" s="168"/>
      <c r="KW304" s="168"/>
      <c r="KX304" s="168"/>
      <c r="KY304" s="168"/>
      <c r="KZ304" s="168"/>
      <c r="LA304" s="168"/>
      <c r="LB304" s="168"/>
      <c r="LC304" s="168"/>
      <c r="LD304" s="168"/>
      <c r="LE304" s="168"/>
      <c r="LF304" s="168"/>
      <c r="LG304" s="168"/>
      <c r="LH304" s="168"/>
      <c r="LI304" s="168"/>
      <c r="LJ304" s="168"/>
      <c r="LK304" s="168"/>
      <c r="LL304" s="168"/>
      <c r="LM304" s="168"/>
      <c r="LN304" s="168"/>
      <c r="LO304" s="168"/>
      <c r="LP304" s="606"/>
      <c r="LQ304" s="609"/>
      <c r="LR304" s="1319"/>
      <c r="LS304" s="1319"/>
    </row>
    <row r="305" spans="1:331" s="2" customFormat="1" ht="15" customHeight="1" x14ac:dyDescent="0.25">
      <c r="A305" s="283"/>
      <c r="B305" s="303"/>
      <c r="C305" s="301"/>
      <c r="D305" s="1287"/>
      <c r="E305" s="2298"/>
      <c r="F305" s="1812"/>
      <c r="G305" s="3342"/>
      <c r="H305" s="66"/>
      <c r="I305" s="1746"/>
      <c r="J305" s="1214"/>
      <c r="K305" s="105"/>
      <c r="L305" s="91"/>
      <c r="M305" s="92"/>
      <c r="N305" s="93"/>
      <c r="O305" s="94"/>
      <c r="P305" s="96"/>
      <c r="Q305" s="95"/>
      <c r="R305" s="993">
        <f t="shared" si="1039"/>
        <v>0</v>
      </c>
      <c r="S305" s="23">
        <f t="shared" si="1040"/>
        <v>0</v>
      </c>
      <c r="T305" s="24">
        <f t="shared" si="985"/>
        <v>0</v>
      </c>
      <c r="U305" s="24">
        <f t="shared" si="986"/>
        <v>0</v>
      </c>
      <c r="V305" s="24">
        <f t="shared" si="987"/>
        <v>0</v>
      </c>
      <c r="W305" s="24">
        <f t="shared" ca="1" si="988"/>
        <v>0</v>
      </c>
      <c r="X305" s="72">
        <f t="shared" ca="1" si="956"/>
        <v>0</v>
      </c>
      <c r="Y305" s="72">
        <f t="shared" si="989"/>
        <v>0</v>
      </c>
      <c r="Z305" s="24">
        <f t="shared" si="990"/>
        <v>0</v>
      </c>
      <c r="AA305" s="72">
        <f t="shared" si="957"/>
        <v>0</v>
      </c>
      <c r="AB305" s="24">
        <f t="shared" si="967"/>
        <v>0</v>
      </c>
      <c r="AC305" s="24">
        <f t="shared" ca="1" si="991"/>
        <v>0</v>
      </c>
      <c r="AD305" s="24">
        <f t="shared" si="886"/>
        <v>0</v>
      </c>
      <c r="AE305" s="2078">
        <f t="shared" si="1033"/>
        <v>3</v>
      </c>
      <c r="AF305" s="2078">
        <f t="shared" si="1034"/>
        <v>0</v>
      </c>
      <c r="AG305" s="2078">
        <f t="shared" si="1035"/>
        <v>0</v>
      </c>
      <c r="AH305" s="2521">
        <f t="shared" si="887"/>
        <v>1</v>
      </c>
      <c r="AI305" s="25" t="str">
        <f t="shared" si="992"/>
        <v/>
      </c>
      <c r="AJ305" s="2521">
        <f t="shared" ca="1" si="1045"/>
        <v>0</v>
      </c>
      <c r="AK305" s="2076">
        <f t="shared" ca="1" si="1041"/>
        <v>0</v>
      </c>
      <c r="AL305" s="2078">
        <f>IF(ISBLANK(J305),0,ISERROR(MATCH(J305,'5  Control Accounts'!$FA$29:$FA$96,0))*1)</f>
        <v>0</v>
      </c>
      <c r="AM305" s="2076">
        <f t="shared" si="993"/>
        <v>0</v>
      </c>
      <c r="AN305" s="2078">
        <f t="shared" si="994"/>
        <v>1</v>
      </c>
      <c r="AO305" s="2079">
        <f t="shared" si="888"/>
        <v>1</v>
      </c>
      <c r="AP305" s="2079">
        <f t="shared" si="889"/>
        <v>0</v>
      </c>
      <c r="AQ305" s="2079">
        <f t="shared" si="890"/>
        <v>0</v>
      </c>
      <c r="AR305" s="2079">
        <f t="shared" si="891"/>
        <v>0</v>
      </c>
      <c r="AS305" s="2079">
        <f t="shared" si="892"/>
        <v>0</v>
      </c>
      <c r="AT305" s="2079">
        <f t="shared" si="893"/>
        <v>0</v>
      </c>
      <c r="AU305" s="2079">
        <f t="shared" si="894"/>
        <v>0</v>
      </c>
      <c r="AV305" s="2079">
        <f t="shared" si="895"/>
        <v>0</v>
      </c>
      <c r="AW305" s="2079">
        <f t="shared" si="896"/>
        <v>0</v>
      </c>
      <c r="AX305" s="2079">
        <f t="shared" si="897"/>
        <v>0</v>
      </c>
      <c r="AY305" s="2078">
        <f t="shared" si="995"/>
        <v>0</v>
      </c>
      <c r="AZ305" s="2078">
        <f t="shared" si="996"/>
        <v>0</v>
      </c>
      <c r="BA305" s="2078">
        <f t="shared" si="997"/>
        <v>0</v>
      </c>
      <c r="BB305" s="2078">
        <f t="shared" si="998"/>
        <v>0</v>
      </c>
      <c r="BC305" s="2078">
        <f t="shared" si="999"/>
        <v>0</v>
      </c>
      <c r="BD305" s="2078">
        <f t="shared" si="1000"/>
        <v>0</v>
      </c>
      <c r="BE305" s="2078">
        <f t="shared" si="1001"/>
        <v>0</v>
      </c>
      <c r="BF305" s="2078">
        <f t="shared" si="1002"/>
        <v>0</v>
      </c>
      <c r="BG305" s="2078">
        <f t="shared" si="1003"/>
        <v>0</v>
      </c>
      <c r="BH305" s="2078">
        <f t="shared" si="1004"/>
        <v>0</v>
      </c>
      <c r="BI305" s="2078">
        <f t="shared" si="1005"/>
        <v>0</v>
      </c>
      <c r="BJ305" s="2078">
        <f t="shared" si="1006"/>
        <v>0</v>
      </c>
      <c r="BK305" s="2078">
        <f t="shared" si="1007"/>
        <v>0</v>
      </c>
      <c r="BL305" s="2078">
        <f t="shared" si="1008"/>
        <v>0</v>
      </c>
      <c r="BM305" s="2078">
        <f t="shared" si="1009"/>
        <v>0</v>
      </c>
      <c r="BN305" s="2078">
        <f t="shared" si="1010"/>
        <v>0</v>
      </c>
      <c r="BO305" s="2078">
        <f t="shared" si="1011"/>
        <v>0</v>
      </c>
      <c r="BP305" s="2078">
        <f t="shared" si="1012"/>
        <v>0</v>
      </c>
      <c r="BQ305" s="2078">
        <f t="shared" si="1013"/>
        <v>0</v>
      </c>
      <c r="BR305" s="2078">
        <f t="shared" si="1014"/>
        <v>0</v>
      </c>
      <c r="BS305" s="2079">
        <f t="shared" si="898"/>
        <v>1</v>
      </c>
      <c r="BT305" s="2079">
        <f t="shared" si="899"/>
        <v>0</v>
      </c>
      <c r="BU305" s="2079">
        <f t="shared" si="900"/>
        <v>0</v>
      </c>
      <c r="BV305" s="2079">
        <f t="shared" si="901"/>
        <v>0</v>
      </c>
      <c r="BW305" s="2079">
        <f t="shared" si="902"/>
        <v>0</v>
      </c>
      <c r="BX305" s="2079">
        <f t="shared" si="903"/>
        <v>0</v>
      </c>
      <c r="BY305" s="2079">
        <f t="shared" si="904"/>
        <v>0</v>
      </c>
      <c r="BZ305" s="2079">
        <f t="shared" si="905"/>
        <v>0</v>
      </c>
      <c r="CA305" s="2079">
        <f t="shared" si="906"/>
        <v>0</v>
      </c>
      <c r="CB305" s="2079">
        <f t="shared" si="907"/>
        <v>0</v>
      </c>
      <c r="CC305" s="2078">
        <f t="shared" ca="1" si="1015"/>
        <v>0</v>
      </c>
      <c r="CD305" s="2078">
        <f t="shared" ca="1" si="1016"/>
        <v>0</v>
      </c>
      <c r="CE305" s="2078">
        <f t="shared" ca="1" si="1017"/>
        <v>0</v>
      </c>
      <c r="CF305" s="2078">
        <f t="shared" ca="1" si="1018"/>
        <v>0</v>
      </c>
      <c r="CG305" s="2078">
        <f t="shared" ca="1" si="1019"/>
        <v>0</v>
      </c>
      <c r="CH305" s="2078">
        <f t="shared" ca="1" si="1020"/>
        <v>0</v>
      </c>
      <c r="CI305" s="2078">
        <f t="shared" ca="1" si="1021"/>
        <v>0</v>
      </c>
      <c r="CJ305" s="2078">
        <f t="shared" ca="1" si="1022"/>
        <v>0</v>
      </c>
      <c r="CK305" s="2078">
        <f t="shared" ca="1" si="1023"/>
        <v>0</v>
      </c>
      <c r="CL305" s="2078">
        <f t="shared" ca="1" si="1024"/>
        <v>0</v>
      </c>
      <c r="CM305" s="2078">
        <f t="shared" si="968"/>
        <v>1</v>
      </c>
      <c r="CN305" s="2078">
        <f t="shared" si="969"/>
        <v>1</v>
      </c>
      <c r="CO305" s="2078">
        <f t="shared" si="958"/>
        <v>1</v>
      </c>
      <c r="CP305" s="2078">
        <f t="shared" si="1025"/>
        <v>1</v>
      </c>
      <c r="CQ305" s="2078">
        <f t="shared" si="959"/>
        <v>0</v>
      </c>
      <c r="CR305" s="2078">
        <f t="shared" si="1042"/>
        <v>0</v>
      </c>
      <c r="CS305" s="2078">
        <f t="shared" si="1026"/>
        <v>0</v>
      </c>
      <c r="CT305" s="2078">
        <f t="shared" si="960"/>
        <v>1</v>
      </c>
      <c r="CU305" s="2078">
        <f t="shared" si="1027"/>
        <v>1</v>
      </c>
      <c r="CV305" s="2078">
        <f t="shared" si="970"/>
        <v>0</v>
      </c>
      <c r="CW305" s="2078">
        <f>IF(OR(AE305&lt;&gt;3,F305="Exclude"),0,IF(ISERROR(MATCH($E305,'4 Sign-off'!$S$123:$X$123,0)),0,1))</f>
        <v>0</v>
      </c>
      <c r="CX305" s="2078">
        <f t="shared" si="982"/>
        <v>0</v>
      </c>
      <c r="CY305" s="2078">
        <f t="shared" si="971"/>
        <v>0</v>
      </c>
      <c r="CZ305" s="2993">
        <f t="shared" ca="1" si="1043"/>
        <v>0</v>
      </c>
      <c r="DA305" s="3037">
        <f t="shared" ca="1" si="1044"/>
        <v>0</v>
      </c>
      <c r="DB305" s="1664"/>
      <c r="DC305" s="1320"/>
      <c r="DD305" s="589"/>
      <c r="DE305" s="1321"/>
      <c r="DF305" s="107"/>
      <c r="DG305" s="112"/>
      <c r="DH305" s="140"/>
      <c r="DI305" s="22"/>
      <c r="DJ305" s="145"/>
      <c r="DK305" s="137"/>
      <c r="DL305" s="137"/>
      <c r="DM305" s="137"/>
      <c r="DN305" s="137"/>
      <c r="DO305" s="137"/>
      <c r="DP305" s="137"/>
      <c r="DQ305" s="137"/>
      <c r="DR305" s="137"/>
      <c r="DS305" s="137"/>
      <c r="DT305" s="137"/>
      <c r="DU305" s="137"/>
      <c r="DV305" s="137"/>
      <c r="DW305" s="137"/>
      <c r="DX305" s="137"/>
      <c r="DY305" s="137"/>
      <c r="DZ305" s="137"/>
      <c r="EA305" s="137"/>
      <c r="EB305" s="137"/>
      <c r="EC305" s="137"/>
      <c r="ED305" s="137"/>
      <c r="EE305" s="137"/>
      <c r="EF305" s="137"/>
      <c r="EG305" s="137"/>
      <c r="EH305" s="137"/>
      <c r="EI305" s="137"/>
      <c r="EJ305" s="137"/>
      <c r="EK305" s="137"/>
      <c r="EL305" s="137"/>
      <c r="EM305" s="137"/>
      <c r="EN305" s="137"/>
      <c r="EO305" s="137"/>
      <c r="EP305" s="137"/>
      <c r="EQ305" s="137"/>
      <c r="ER305" s="137"/>
      <c r="ES305" s="137"/>
      <c r="ET305" s="137"/>
      <c r="EU305" s="137"/>
      <c r="EV305" s="137"/>
      <c r="EW305" s="137"/>
      <c r="EX305" s="137"/>
      <c r="EY305" s="137"/>
      <c r="EZ305" s="137"/>
      <c r="FA305" s="137"/>
      <c r="FB305" s="137"/>
      <c r="FC305" s="137"/>
      <c r="FD305" s="137"/>
      <c r="FE305" s="137"/>
      <c r="FF305" s="137"/>
      <c r="FG305" s="860"/>
      <c r="FH305" s="863"/>
      <c r="FI305" s="1318"/>
      <c r="FJ305" s="126"/>
      <c r="FK305" s="127"/>
      <c r="FL305" s="128" t="str">
        <f t="shared" si="1028"/>
        <v xml:space="preserve">    </v>
      </c>
      <c r="FM305" s="128"/>
      <c r="FN305" s="1686">
        <f t="shared" si="1029"/>
        <v>0</v>
      </c>
      <c r="FO305" s="46">
        <f t="shared" si="972"/>
        <v>0</v>
      </c>
      <c r="FP305" s="46">
        <f t="shared" si="977"/>
        <v>1</v>
      </c>
      <c r="FQ305" s="75">
        <f t="shared" si="1030"/>
        <v>0</v>
      </c>
      <c r="FR305" s="46">
        <f t="shared" si="1036"/>
        <v>0</v>
      </c>
      <c r="FS305" s="46">
        <f t="shared" si="1037"/>
        <v>1</v>
      </c>
      <c r="FT305" s="75">
        <f t="shared" si="1031"/>
        <v>0</v>
      </c>
      <c r="FU305" s="2603">
        <f t="shared" si="973"/>
        <v>0</v>
      </c>
      <c r="FV305" s="2607">
        <f t="shared" si="974"/>
        <v>0</v>
      </c>
      <c r="FW305" s="2603">
        <f t="shared" si="975"/>
        <v>0</v>
      </c>
      <c r="FX305" s="2631">
        <f t="shared" si="976"/>
        <v>0</v>
      </c>
      <c r="FY305" s="81" t="e">
        <f t="shared" si="1038"/>
        <v>#N/A</v>
      </c>
      <c r="FZ305" s="64" t="e">
        <f t="array" ref="FZ305">MATCH(1,($GT305:$LQ305&gt;0)*$GT$25:$LQ$25,0)</f>
        <v>#N/A</v>
      </c>
      <c r="GA305" s="64" t="e">
        <f t="array" ref="GA305">MATCH(2,1/(GT305:LQ305&gt;0))</f>
        <v>#N/A</v>
      </c>
      <c r="GB305" s="64">
        <f t="shared" si="1032"/>
        <v>-1</v>
      </c>
      <c r="GC305" s="46"/>
      <c r="GD305" s="613"/>
      <c r="GE305" s="613"/>
      <c r="GF305" s="613"/>
      <c r="GG305" s="613"/>
      <c r="GH305" s="613"/>
      <c r="GI305" s="613"/>
      <c r="GJ305" s="613"/>
      <c r="GK305" s="613"/>
      <c r="GL305" s="613"/>
      <c r="GM305" s="613"/>
      <c r="GN305" s="385">
        <f t="shared" si="983"/>
        <v>0</v>
      </c>
      <c r="GO305" s="386">
        <f t="shared" si="984"/>
        <v>0</v>
      </c>
      <c r="GP305" s="2635"/>
      <c r="GQ305" s="175"/>
      <c r="GR305" s="172"/>
      <c r="GS305" s="65"/>
      <c r="GT305" s="167"/>
      <c r="GU305" s="168"/>
      <c r="GV305" s="168"/>
      <c r="GW305" s="168"/>
      <c r="GX305" s="168"/>
      <c r="GY305" s="168"/>
      <c r="GZ305" s="168"/>
      <c r="HA305" s="168"/>
      <c r="HB305" s="168"/>
      <c r="HC305" s="168"/>
      <c r="HD305" s="168"/>
      <c r="HE305" s="168"/>
      <c r="HF305" s="168"/>
      <c r="HG305" s="168"/>
      <c r="HH305" s="168"/>
      <c r="HI305" s="168"/>
      <c r="HJ305" s="168"/>
      <c r="HK305" s="168"/>
      <c r="HL305" s="168"/>
      <c r="HM305" s="168"/>
      <c r="HN305" s="168"/>
      <c r="HO305" s="168"/>
      <c r="HP305" s="168"/>
      <c r="HQ305" s="168"/>
      <c r="HR305" s="168"/>
      <c r="HS305" s="168"/>
      <c r="HT305" s="168"/>
      <c r="HU305" s="168"/>
      <c r="HV305" s="168"/>
      <c r="HW305" s="168"/>
      <c r="HX305" s="168"/>
      <c r="HY305" s="168"/>
      <c r="HZ305" s="168"/>
      <c r="IA305" s="168"/>
      <c r="IB305" s="168"/>
      <c r="IC305" s="168"/>
      <c r="ID305" s="168"/>
      <c r="IE305" s="168"/>
      <c r="IF305" s="168"/>
      <c r="IG305" s="168"/>
      <c r="IH305" s="168"/>
      <c r="II305" s="168"/>
      <c r="IJ305" s="168"/>
      <c r="IK305" s="168"/>
      <c r="IL305" s="168"/>
      <c r="IM305" s="168"/>
      <c r="IN305" s="168"/>
      <c r="IO305" s="168"/>
      <c r="IP305" s="168"/>
      <c r="IQ305" s="168"/>
      <c r="IR305" s="168"/>
      <c r="IS305" s="168"/>
      <c r="IT305" s="168"/>
      <c r="IU305" s="168"/>
      <c r="IV305" s="168"/>
      <c r="IW305" s="168"/>
      <c r="IX305" s="168"/>
      <c r="IY305" s="168"/>
      <c r="IZ305" s="168"/>
      <c r="JA305" s="168"/>
      <c r="JB305" s="168"/>
      <c r="JC305" s="168"/>
      <c r="JD305" s="168"/>
      <c r="JE305" s="168"/>
      <c r="JF305" s="168"/>
      <c r="JG305" s="168"/>
      <c r="JH305" s="168"/>
      <c r="JI305" s="168"/>
      <c r="JJ305" s="168"/>
      <c r="JK305" s="168"/>
      <c r="JL305" s="168"/>
      <c r="JM305" s="168"/>
      <c r="JN305" s="168"/>
      <c r="JO305" s="168"/>
      <c r="JP305" s="168"/>
      <c r="JQ305" s="168"/>
      <c r="JR305" s="168"/>
      <c r="JS305" s="168"/>
      <c r="JT305" s="168"/>
      <c r="JU305" s="168"/>
      <c r="JV305" s="168"/>
      <c r="JW305" s="168"/>
      <c r="JX305" s="168"/>
      <c r="JY305" s="168"/>
      <c r="JZ305" s="168"/>
      <c r="KA305" s="168"/>
      <c r="KB305" s="168"/>
      <c r="KC305" s="168"/>
      <c r="KD305" s="168"/>
      <c r="KE305" s="168"/>
      <c r="KF305" s="168"/>
      <c r="KG305" s="168"/>
      <c r="KH305" s="168"/>
      <c r="KI305" s="168"/>
      <c r="KJ305" s="168"/>
      <c r="KK305" s="168"/>
      <c r="KL305" s="168"/>
      <c r="KM305" s="168"/>
      <c r="KN305" s="168"/>
      <c r="KO305" s="168"/>
      <c r="KP305" s="168"/>
      <c r="KQ305" s="168"/>
      <c r="KR305" s="168"/>
      <c r="KS305" s="168"/>
      <c r="KT305" s="168"/>
      <c r="KU305" s="168"/>
      <c r="KV305" s="168"/>
      <c r="KW305" s="168"/>
      <c r="KX305" s="168"/>
      <c r="KY305" s="168"/>
      <c r="KZ305" s="168"/>
      <c r="LA305" s="168"/>
      <c r="LB305" s="168"/>
      <c r="LC305" s="168"/>
      <c r="LD305" s="168"/>
      <c r="LE305" s="168"/>
      <c r="LF305" s="168"/>
      <c r="LG305" s="168"/>
      <c r="LH305" s="168"/>
      <c r="LI305" s="168"/>
      <c r="LJ305" s="168"/>
      <c r="LK305" s="168"/>
      <c r="LL305" s="168"/>
      <c r="LM305" s="168"/>
      <c r="LN305" s="168"/>
      <c r="LO305" s="168"/>
      <c r="LP305" s="606"/>
      <c r="LQ305" s="609"/>
      <c r="LR305" s="1319"/>
      <c r="LS305" s="1319"/>
    </row>
    <row r="306" spans="1:331" s="2" customFormat="1" ht="15" customHeight="1" x14ac:dyDescent="0.25">
      <c r="A306" s="283"/>
      <c r="B306" s="303"/>
      <c r="C306" s="301"/>
      <c r="D306" s="1287"/>
      <c r="E306" s="2298"/>
      <c r="F306" s="1812"/>
      <c r="G306" s="3342"/>
      <c r="H306" s="66"/>
      <c r="I306" s="1746"/>
      <c r="J306" s="1214"/>
      <c r="K306" s="105"/>
      <c r="L306" s="91"/>
      <c r="M306" s="92"/>
      <c r="N306" s="93"/>
      <c r="O306" s="94"/>
      <c r="P306" s="96"/>
      <c r="Q306" s="95"/>
      <c r="R306" s="993">
        <f t="shared" si="1039"/>
        <v>0</v>
      </c>
      <c r="S306" s="23">
        <f t="shared" si="1040"/>
        <v>0</v>
      </c>
      <c r="T306" s="24">
        <f t="shared" si="985"/>
        <v>0</v>
      </c>
      <c r="U306" s="24">
        <f t="shared" si="986"/>
        <v>0</v>
      </c>
      <c r="V306" s="24">
        <f t="shared" si="987"/>
        <v>0</v>
      </c>
      <c r="W306" s="24">
        <f t="shared" ca="1" si="988"/>
        <v>0</v>
      </c>
      <c r="X306" s="72">
        <f t="shared" ca="1" si="956"/>
        <v>0</v>
      </c>
      <c r="Y306" s="72">
        <f t="shared" si="989"/>
        <v>0</v>
      </c>
      <c r="Z306" s="24">
        <f t="shared" si="990"/>
        <v>0</v>
      </c>
      <c r="AA306" s="72">
        <f t="shared" si="957"/>
        <v>0</v>
      </c>
      <c r="AB306" s="24">
        <f t="shared" si="967"/>
        <v>0</v>
      </c>
      <c r="AC306" s="24">
        <f t="shared" ca="1" si="991"/>
        <v>0</v>
      </c>
      <c r="AD306" s="24">
        <f t="shared" si="886"/>
        <v>0</v>
      </c>
      <c r="AE306" s="2078">
        <f t="shared" si="1033"/>
        <v>3</v>
      </c>
      <c r="AF306" s="2078">
        <f t="shared" si="1034"/>
        <v>0</v>
      </c>
      <c r="AG306" s="2078">
        <f t="shared" si="1035"/>
        <v>0</v>
      </c>
      <c r="AH306" s="2521">
        <f t="shared" si="887"/>
        <v>1</v>
      </c>
      <c r="AI306" s="25" t="str">
        <f t="shared" si="992"/>
        <v/>
      </c>
      <c r="AJ306" s="2521">
        <f t="shared" ca="1" si="1045"/>
        <v>0</v>
      </c>
      <c r="AK306" s="2076">
        <f t="shared" ca="1" si="1041"/>
        <v>0</v>
      </c>
      <c r="AL306" s="2078">
        <f>IF(ISBLANK(J306),0,ISERROR(MATCH(J306,'5  Control Accounts'!$FA$29:$FA$96,0))*1)</f>
        <v>0</v>
      </c>
      <c r="AM306" s="2076">
        <f t="shared" si="993"/>
        <v>0</v>
      </c>
      <c r="AN306" s="2078">
        <f t="shared" si="994"/>
        <v>1</v>
      </c>
      <c r="AO306" s="2079">
        <f t="shared" si="888"/>
        <v>1</v>
      </c>
      <c r="AP306" s="2079">
        <f t="shared" si="889"/>
        <v>0</v>
      </c>
      <c r="AQ306" s="2079">
        <f t="shared" si="890"/>
        <v>0</v>
      </c>
      <c r="AR306" s="2079">
        <f t="shared" si="891"/>
        <v>0</v>
      </c>
      <c r="AS306" s="2079">
        <f t="shared" si="892"/>
        <v>0</v>
      </c>
      <c r="AT306" s="2079">
        <f t="shared" si="893"/>
        <v>0</v>
      </c>
      <c r="AU306" s="2079">
        <f t="shared" si="894"/>
        <v>0</v>
      </c>
      <c r="AV306" s="2079">
        <f t="shared" si="895"/>
        <v>0</v>
      </c>
      <c r="AW306" s="2079">
        <f t="shared" si="896"/>
        <v>0</v>
      </c>
      <c r="AX306" s="2079">
        <f t="shared" si="897"/>
        <v>0</v>
      </c>
      <c r="AY306" s="2078">
        <f t="shared" si="995"/>
        <v>0</v>
      </c>
      <c r="AZ306" s="2078">
        <f t="shared" si="996"/>
        <v>0</v>
      </c>
      <c r="BA306" s="2078">
        <f t="shared" si="997"/>
        <v>0</v>
      </c>
      <c r="BB306" s="2078">
        <f t="shared" si="998"/>
        <v>0</v>
      </c>
      <c r="BC306" s="2078">
        <f t="shared" si="999"/>
        <v>0</v>
      </c>
      <c r="BD306" s="2078">
        <f t="shared" si="1000"/>
        <v>0</v>
      </c>
      <c r="BE306" s="2078">
        <f t="shared" si="1001"/>
        <v>0</v>
      </c>
      <c r="BF306" s="2078">
        <f t="shared" si="1002"/>
        <v>0</v>
      </c>
      <c r="BG306" s="2078">
        <f t="shared" si="1003"/>
        <v>0</v>
      </c>
      <c r="BH306" s="2078">
        <f t="shared" si="1004"/>
        <v>0</v>
      </c>
      <c r="BI306" s="2078">
        <f t="shared" si="1005"/>
        <v>0</v>
      </c>
      <c r="BJ306" s="2078">
        <f t="shared" si="1006"/>
        <v>0</v>
      </c>
      <c r="BK306" s="2078">
        <f t="shared" si="1007"/>
        <v>0</v>
      </c>
      <c r="BL306" s="2078">
        <f t="shared" si="1008"/>
        <v>0</v>
      </c>
      <c r="BM306" s="2078">
        <f t="shared" si="1009"/>
        <v>0</v>
      </c>
      <c r="BN306" s="2078">
        <f t="shared" si="1010"/>
        <v>0</v>
      </c>
      <c r="BO306" s="2078">
        <f t="shared" si="1011"/>
        <v>0</v>
      </c>
      <c r="BP306" s="2078">
        <f t="shared" si="1012"/>
        <v>0</v>
      </c>
      <c r="BQ306" s="2078">
        <f t="shared" si="1013"/>
        <v>0</v>
      </c>
      <c r="BR306" s="2078">
        <f t="shared" si="1014"/>
        <v>0</v>
      </c>
      <c r="BS306" s="2079">
        <f t="shared" si="898"/>
        <v>1</v>
      </c>
      <c r="BT306" s="2079">
        <f t="shared" si="899"/>
        <v>0</v>
      </c>
      <c r="BU306" s="2079">
        <f t="shared" si="900"/>
        <v>0</v>
      </c>
      <c r="BV306" s="2079">
        <f t="shared" si="901"/>
        <v>0</v>
      </c>
      <c r="BW306" s="2079">
        <f t="shared" si="902"/>
        <v>0</v>
      </c>
      <c r="BX306" s="2079">
        <f t="shared" si="903"/>
        <v>0</v>
      </c>
      <c r="BY306" s="2079">
        <f t="shared" si="904"/>
        <v>0</v>
      </c>
      <c r="BZ306" s="2079">
        <f t="shared" si="905"/>
        <v>0</v>
      </c>
      <c r="CA306" s="2079">
        <f t="shared" si="906"/>
        <v>0</v>
      </c>
      <c r="CB306" s="2079">
        <f t="shared" si="907"/>
        <v>0</v>
      </c>
      <c r="CC306" s="2078">
        <f t="shared" ca="1" si="1015"/>
        <v>0</v>
      </c>
      <c r="CD306" s="2078">
        <f t="shared" ca="1" si="1016"/>
        <v>0</v>
      </c>
      <c r="CE306" s="2078">
        <f t="shared" ca="1" si="1017"/>
        <v>0</v>
      </c>
      <c r="CF306" s="2078">
        <f t="shared" ca="1" si="1018"/>
        <v>0</v>
      </c>
      <c r="CG306" s="2078">
        <f t="shared" ca="1" si="1019"/>
        <v>0</v>
      </c>
      <c r="CH306" s="2078">
        <f t="shared" ca="1" si="1020"/>
        <v>0</v>
      </c>
      <c r="CI306" s="2078">
        <f t="shared" ca="1" si="1021"/>
        <v>0</v>
      </c>
      <c r="CJ306" s="2078">
        <f t="shared" ca="1" si="1022"/>
        <v>0</v>
      </c>
      <c r="CK306" s="2078">
        <f t="shared" ca="1" si="1023"/>
        <v>0</v>
      </c>
      <c r="CL306" s="2078">
        <f t="shared" ca="1" si="1024"/>
        <v>0</v>
      </c>
      <c r="CM306" s="2078">
        <f t="shared" si="968"/>
        <v>1</v>
      </c>
      <c r="CN306" s="2078">
        <f t="shared" si="969"/>
        <v>1</v>
      </c>
      <c r="CO306" s="2078">
        <f t="shared" si="958"/>
        <v>1</v>
      </c>
      <c r="CP306" s="2078">
        <f t="shared" si="1025"/>
        <v>1</v>
      </c>
      <c r="CQ306" s="2078">
        <f t="shared" si="959"/>
        <v>0</v>
      </c>
      <c r="CR306" s="2078">
        <f t="shared" si="1042"/>
        <v>0</v>
      </c>
      <c r="CS306" s="2078">
        <f t="shared" si="1026"/>
        <v>0</v>
      </c>
      <c r="CT306" s="2078">
        <f t="shared" si="960"/>
        <v>1</v>
      </c>
      <c r="CU306" s="2078">
        <f t="shared" si="1027"/>
        <v>1</v>
      </c>
      <c r="CV306" s="2078">
        <f t="shared" si="970"/>
        <v>0</v>
      </c>
      <c r="CW306" s="2078">
        <f>IF(OR(AE306&lt;&gt;3,F306="Exclude"),0,IF(ISERROR(MATCH($E306,'4 Sign-off'!$S$123:$X$123,0)),0,1))</f>
        <v>0</v>
      </c>
      <c r="CX306" s="2078">
        <f t="shared" si="982"/>
        <v>0</v>
      </c>
      <c r="CY306" s="2078">
        <f t="shared" si="971"/>
        <v>0</v>
      </c>
      <c r="CZ306" s="2993">
        <f t="shared" ca="1" si="1043"/>
        <v>0</v>
      </c>
      <c r="DA306" s="3037">
        <f t="shared" ca="1" si="1044"/>
        <v>0</v>
      </c>
      <c r="DB306" s="1664"/>
      <c r="DC306" s="1320"/>
      <c r="DD306" s="589"/>
      <c r="DE306" s="1321"/>
      <c r="DF306" s="107"/>
      <c r="DG306" s="112"/>
      <c r="DH306" s="140"/>
      <c r="DI306" s="22"/>
      <c r="DJ306" s="145"/>
      <c r="DK306" s="137"/>
      <c r="DL306" s="137"/>
      <c r="DM306" s="137"/>
      <c r="DN306" s="137"/>
      <c r="DO306" s="137"/>
      <c r="DP306" s="137"/>
      <c r="DQ306" s="137"/>
      <c r="DR306" s="137"/>
      <c r="DS306" s="137"/>
      <c r="DT306" s="137"/>
      <c r="DU306" s="137"/>
      <c r="DV306" s="137"/>
      <c r="DW306" s="137"/>
      <c r="DX306" s="137"/>
      <c r="DY306" s="137"/>
      <c r="DZ306" s="137"/>
      <c r="EA306" s="137"/>
      <c r="EB306" s="137"/>
      <c r="EC306" s="137"/>
      <c r="ED306" s="137"/>
      <c r="EE306" s="137"/>
      <c r="EF306" s="137"/>
      <c r="EG306" s="137"/>
      <c r="EH306" s="137"/>
      <c r="EI306" s="137"/>
      <c r="EJ306" s="137"/>
      <c r="EK306" s="137"/>
      <c r="EL306" s="137"/>
      <c r="EM306" s="137"/>
      <c r="EN306" s="137"/>
      <c r="EO306" s="137"/>
      <c r="EP306" s="137"/>
      <c r="EQ306" s="137"/>
      <c r="ER306" s="137"/>
      <c r="ES306" s="137"/>
      <c r="ET306" s="137"/>
      <c r="EU306" s="137"/>
      <c r="EV306" s="137"/>
      <c r="EW306" s="137"/>
      <c r="EX306" s="137"/>
      <c r="EY306" s="137"/>
      <c r="EZ306" s="137"/>
      <c r="FA306" s="137"/>
      <c r="FB306" s="137"/>
      <c r="FC306" s="137"/>
      <c r="FD306" s="137"/>
      <c r="FE306" s="137"/>
      <c r="FF306" s="137"/>
      <c r="FG306" s="860"/>
      <c r="FH306" s="863"/>
      <c r="FI306" s="1318"/>
      <c r="FJ306" s="126"/>
      <c r="FK306" s="127"/>
      <c r="FL306" s="128" t="str">
        <f t="shared" si="1028"/>
        <v xml:space="preserve">    </v>
      </c>
      <c r="FM306" s="128"/>
      <c r="FN306" s="1686">
        <f t="shared" si="1029"/>
        <v>0</v>
      </c>
      <c r="FO306" s="46">
        <f t="shared" si="972"/>
        <v>0</v>
      </c>
      <c r="FP306" s="46">
        <f t="shared" si="977"/>
        <v>1</v>
      </c>
      <c r="FQ306" s="75">
        <f t="shared" si="1030"/>
        <v>0</v>
      </c>
      <c r="FR306" s="46">
        <f t="shared" si="1036"/>
        <v>0</v>
      </c>
      <c r="FS306" s="46">
        <f t="shared" si="1037"/>
        <v>1</v>
      </c>
      <c r="FT306" s="75">
        <f t="shared" si="1031"/>
        <v>0</v>
      </c>
      <c r="FU306" s="2603">
        <f t="shared" si="973"/>
        <v>0</v>
      </c>
      <c r="FV306" s="2607">
        <f t="shared" si="974"/>
        <v>0</v>
      </c>
      <c r="FW306" s="2603">
        <f t="shared" si="975"/>
        <v>0</v>
      </c>
      <c r="FX306" s="2631">
        <f t="shared" si="976"/>
        <v>0</v>
      </c>
      <c r="FY306" s="81" t="e">
        <f t="shared" si="1038"/>
        <v>#N/A</v>
      </c>
      <c r="FZ306" s="64" t="e">
        <f t="array" ref="FZ306">MATCH(1,($GT306:$LQ306&gt;0)*$GT$25:$LQ$25,0)</f>
        <v>#N/A</v>
      </c>
      <c r="GA306" s="64" t="e">
        <f t="array" ref="GA306">MATCH(2,1/(GT306:LQ306&gt;0))</f>
        <v>#N/A</v>
      </c>
      <c r="GB306" s="64">
        <f t="shared" si="1032"/>
        <v>-1</v>
      </c>
      <c r="GC306" s="46"/>
      <c r="GD306" s="613"/>
      <c r="GE306" s="613"/>
      <c r="GF306" s="613"/>
      <c r="GG306" s="613"/>
      <c r="GH306" s="613"/>
      <c r="GI306" s="613"/>
      <c r="GJ306" s="613"/>
      <c r="GK306" s="613"/>
      <c r="GL306" s="613"/>
      <c r="GM306" s="613"/>
      <c r="GN306" s="385">
        <f t="shared" si="983"/>
        <v>0</v>
      </c>
      <c r="GO306" s="386">
        <f t="shared" si="984"/>
        <v>0</v>
      </c>
      <c r="GP306" s="2635"/>
      <c r="GQ306" s="175"/>
      <c r="GR306" s="172"/>
      <c r="GS306" s="65"/>
      <c r="GT306" s="167"/>
      <c r="GU306" s="168"/>
      <c r="GV306" s="168"/>
      <c r="GW306" s="168"/>
      <c r="GX306" s="168"/>
      <c r="GY306" s="168"/>
      <c r="GZ306" s="168"/>
      <c r="HA306" s="168"/>
      <c r="HB306" s="168"/>
      <c r="HC306" s="168"/>
      <c r="HD306" s="168"/>
      <c r="HE306" s="168"/>
      <c r="HF306" s="168"/>
      <c r="HG306" s="168"/>
      <c r="HH306" s="168"/>
      <c r="HI306" s="168"/>
      <c r="HJ306" s="168"/>
      <c r="HK306" s="168"/>
      <c r="HL306" s="168"/>
      <c r="HM306" s="168"/>
      <c r="HN306" s="168"/>
      <c r="HO306" s="168"/>
      <c r="HP306" s="168"/>
      <c r="HQ306" s="168"/>
      <c r="HR306" s="168"/>
      <c r="HS306" s="168"/>
      <c r="HT306" s="168"/>
      <c r="HU306" s="168"/>
      <c r="HV306" s="168"/>
      <c r="HW306" s="168"/>
      <c r="HX306" s="168"/>
      <c r="HY306" s="168"/>
      <c r="HZ306" s="168"/>
      <c r="IA306" s="168"/>
      <c r="IB306" s="168"/>
      <c r="IC306" s="168"/>
      <c r="ID306" s="168"/>
      <c r="IE306" s="168"/>
      <c r="IF306" s="168"/>
      <c r="IG306" s="168"/>
      <c r="IH306" s="168"/>
      <c r="II306" s="168"/>
      <c r="IJ306" s="168"/>
      <c r="IK306" s="168"/>
      <c r="IL306" s="168"/>
      <c r="IM306" s="168"/>
      <c r="IN306" s="168"/>
      <c r="IO306" s="168"/>
      <c r="IP306" s="168"/>
      <c r="IQ306" s="168"/>
      <c r="IR306" s="168"/>
      <c r="IS306" s="168"/>
      <c r="IT306" s="168"/>
      <c r="IU306" s="168"/>
      <c r="IV306" s="168"/>
      <c r="IW306" s="168"/>
      <c r="IX306" s="168"/>
      <c r="IY306" s="168"/>
      <c r="IZ306" s="168"/>
      <c r="JA306" s="168"/>
      <c r="JB306" s="168"/>
      <c r="JC306" s="168"/>
      <c r="JD306" s="168"/>
      <c r="JE306" s="168"/>
      <c r="JF306" s="168"/>
      <c r="JG306" s="168"/>
      <c r="JH306" s="168"/>
      <c r="JI306" s="168"/>
      <c r="JJ306" s="168"/>
      <c r="JK306" s="168"/>
      <c r="JL306" s="168"/>
      <c r="JM306" s="168"/>
      <c r="JN306" s="168"/>
      <c r="JO306" s="168"/>
      <c r="JP306" s="168"/>
      <c r="JQ306" s="168"/>
      <c r="JR306" s="168"/>
      <c r="JS306" s="168"/>
      <c r="JT306" s="168"/>
      <c r="JU306" s="168"/>
      <c r="JV306" s="168"/>
      <c r="JW306" s="168"/>
      <c r="JX306" s="168"/>
      <c r="JY306" s="168"/>
      <c r="JZ306" s="168"/>
      <c r="KA306" s="168"/>
      <c r="KB306" s="168"/>
      <c r="KC306" s="168"/>
      <c r="KD306" s="168"/>
      <c r="KE306" s="168"/>
      <c r="KF306" s="168"/>
      <c r="KG306" s="168"/>
      <c r="KH306" s="168"/>
      <c r="KI306" s="168"/>
      <c r="KJ306" s="168"/>
      <c r="KK306" s="168"/>
      <c r="KL306" s="168"/>
      <c r="KM306" s="168"/>
      <c r="KN306" s="168"/>
      <c r="KO306" s="168"/>
      <c r="KP306" s="168"/>
      <c r="KQ306" s="168"/>
      <c r="KR306" s="168"/>
      <c r="KS306" s="168"/>
      <c r="KT306" s="168"/>
      <c r="KU306" s="168"/>
      <c r="KV306" s="168"/>
      <c r="KW306" s="168"/>
      <c r="KX306" s="168"/>
      <c r="KY306" s="168"/>
      <c r="KZ306" s="168"/>
      <c r="LA306" s="168"/>
      <c r="LB306" s="168"/>
      <c r="LC306" s="168"/>
      <c r="LD306" s="168"/>
      <c r="LE306" s="168"/>
      <c r="LF306" s="168"/>
      <c r="LG306" s="168"/>
      <c r="LH306" s="168"/>
      <c r="LI306" s="168"/>
      <c r="LJ306" s="168"/>
      <c r="LK306" s="168"/>
      <c r="LL306" s="168"/>
      <c r="LM306" s="168"/>
      <c r="LN306" s="168"/>
      <c r="LO306" s="168"/>
      <c r="LP306" s="606"/>
      <c r="LQ306" s="609"/>
      <c r="LR306" s="1319"/>
      <c r="LS306" s="1319"/>
    </row>
    <row r="307" spans="1:331" s="2" customFormat="1" ht="15" customHeight="1" x14ac:dyDescent="0.25">
      <c r="A307" s="283"/>
      <c r="B307" s="303"/>
      <c r="C307" s="301"/>
      <c r="D307" s="1287"/>
      <c r="E307" s="2298"/>
      <c r="F307" s="1812"/>
      <c r="G307" s="3342"/>
      <c r="H307" s="66"/>
      <c r="I307" s="1746"/>
      <c r="J307" s="1214"/>
      <c r="K307" s="105"/>
      <c r="L307" s="91"/>
      <c r="M307" s="92"/>
      <c r="N307" s="93"/>
      <c r="O307" s="94"/>
      <c r="P307" s="96"/>
      <c r="Q307" s="95"/>
      <c r="R307" s="993">
        <f t="shared" si="1039"/>
        <v>0</v>
      </c>
      <c r="S307" s="23">
        <f t="shared" si="1040"/>
        <v>0</v>
      </c>
      <c r="T307" s="24">
        <f t="shared" si="985"/>
        <v>0</v>
      </c>
      <c r="U307" s="24">
        <f t="shared" si="986"/>
        <v>0</v>
      </c>
      <c r="V307" s="24">
        <f t="shared" si="987"/>
        <v>0</v>
      </c>
      <c r="W307" s="24">
        <f t="shared" ca="1" si="988"/>
        <v>0</v>
      </c>
      <c r="X307" s="72">
        <f t="shared" ca="1" si="956"/>
        <v>0</v>
      </c>
      <c r="Y307" s="72">
        <f t="shared" si="989"/>
        <v>0</v>
      </c>
      <c r="Z307" s="24">
        <f t="shared" si="990"/>
        <v>0</v>
      </c>
      <c r="AA307" s="72">
        <f t="shared" si="957"/>
        <v>0</v>
      </c>
      <c r="AB307" s="24">
        <f t="shared" si="967"/>
        <v>0</v>
      </c>
      <c r="AC307" s="24">
        <f t="shared" ca="1" si="991"/>
        <v>0</v>
      </c>
      <c r="AD307" s="24">
        <f t="shared" si="886"/>
        <v>0</v>
      </c>
      <c r="AE307" s="2078">
        <f t="shared" si="1033"/>
        <v>3</v>
      </c>
      <c r="AF307" s="2078">
        <f t="shared" si="1034"/>
        <v>0</v>
      </c>
      <c r="AG307" s="2078">
        <f t="shared" si="1035"/>
        <v>0</v>
      </c>
      <c r="AH307" s="2521">
        <f t="shared" si="887"/>
        <v>1</v>
      </c>
      <c r="AI307" s="25" t="str">
        <f t="shared" si="992"/>
        <v/>
      </c>
      <c r="AJ307" s="2521">
        <f t="shared" ca="1" si="1045"/>
        <v>0</v>
      </c>
      <c r="AK307" s="2076">
        <f t="shared" ca="1" si="1041"/>
        <v>0</v>
      </c>
      <c r="AL307" s="2078">
        <f>IF(ISBLANK(J307),0,ISERROR(MATCH(J307,'5  Control Accounts'!$FA$29:$FA$96,0))*1)</f>
        <v>0</v>
      </c>
      <c r="AM307" s="2076">
        <f t="shared" si="993"/>
        <v>0</v>
      </c>
      <c r="AN307" s="2078">
        <f t="shared" si="994"/>
        <v>1</v>
      </c>
      <c r="AO307" s="2079">
        <f t="shared" si="888"/>
        <v>1</v>
      </c>
      <c r="AP307" s="2079">
        <f t="shared" si="889"/>
        <v>0</v>
      </c>
      <c r="AQ307" s="2079">
        <f t="shared" si="890"/>
        <v>0</v>
      </c>
      <c r="AR307" s="2079">
        <f t="shared" si="891"/>
        <v>0</v>
      </c>
      <c r="AS307" s="2079">
        <f t="shared" si="892"/>
        <v>0</v>
      </c>
      <c r="AT307" s="2079">
        <f t="shared" si="893"/>
        <v>0</v>
      </c>
      <c r="AU307" s="2079">
        <f t="shared" si="894"/>
        <v>0</v>
      </c>
      <c r="AV307" s="2079">
        <f t="shared" si="895"/>
        <v>0</v>
      </c>
      <c r="AW307" s="2079">
        <f t="shared" si="896"/>
        <v>0</v>
      </c>
      <c r="AX307" s="2079">
        <f t="shared" si="897"/>
        <v>0</v>
      </c>
      <c r="AY307" s="2078">
        <f t="shared" si="995"/>
        <v>0</v>
      </c>
      <c r="AZ307" s="2078">
        <f t="shared" si="996"/>
        <v>0</v>
      </c>
      <c r="BA307" s="2078">
        <f t="shared" si="997"/>
        <v>0</v>
      </c>
      <c r="BB307" s="2078">
        <f t="shared" si="998"/>
        <v>0</v>
      </c>
      <c r="BC307" s="2078">
        <f t="shared" si="999"/>
        <v>0</v>
      </c>
      <c r="BD307" s="2078">
        <f t="shared" si="1000"/>
        <v>0</v>
      </c>
      <c r="BE307" s="2078">
        <f t="shared" si="1001"/>
        <v>0</v>
      </c>
      <c r="BF307" s="2078">
        <f t="shared" si="1002"/>
        <v>0</v>
      </c>
      <c r="BG307" s="2078">
        <f t="shared" si="1003"/>
        <v>0</v>
      </c>
      <c r="BH307" s="2078">
        <f t="shared" si="1004"/>
        <v>0</v>
      </c>
      <c r="BI307" s="2078">
        <f t="shared" si="1005"/>
        <v>0</v>
      </c>
      <c r="BJ307" s="2078">
        <f t="shared" si="1006"/>
        <v>0</v>
      </c>
      <c r="BK307" s="2078">
        <f t="shared" si="1007"/>
        <v>0</v>
      </c>
      <c r="BL307" s="2078">
        <f t="shared" si="1008"/>
        <v>0</v>
      </c>
      <c r="BM307" s="2078">
        <f t="shared" si="1009"/>
        <v>0</v>
      </c>
      <c r="BN307" s="2078">
        <f t="shared" si="1010"/>
        <v>0</v>
      </c>
      <c r="BO307" s="2078">
        <f t="shared" si="1011"/>
        <v>0</v>
      </c>
      <c r="BP307" s="2078">
        <f t="shared" si="1012"/>
        <v>0</v>
      </c>
      <c r="BQ307" s="2078">
        <f t="shared" si="1013"/>
        <v>0</v>
      </c>
      <c r="BR307" s="2078">
        <f t="shared" si="1014"/>
        <v>0</v>
      </c>
      <c r="BS307" s="2079">
        <f t="shared" si="898"/>
        <v>1</v>
      </c>
      <c r="BT307" s="2079">
        <f t="shared" si="899"/>
        <v>0</v>
      </c>
      <c r="BU307" s="2079">
        <f t="shared" si="900"/>
        <v>0</v>
      </c>
      <c r="BV307" s="2079">
        <f t="shared" si="901"/>
        <v>0</v>
      </c>
      <c r="BW307" s="2079">
        <f t="shared" si="902"/>
        <v>0</v>
      </c>
      <c r="BX307" s="2079">
        <f t="shared" si="903"/>
        <v>0</v>
      </c>
      <c r="BY307" s="2079">
        <f t="shared" si="904"/>
        <v>0</v>
      </c>
      <c r="BZ307" s="2079">
        <f t="shared" si="905"/>
        <v>0</v>
      </c>
      <c r="CA307" s="2079">
        <f t="shared" si="906"/>
        <v>0</v>
      </c>
      <c r="CB307" s="2079">
        <f t="shared" si="907"/>
        <v>0</v>
      </c>
      <c r="CC307" s="2078">
        <f t="shared" ca="1" si="1015"/>
        <v>0</v>
      </c>
      <c r="CD307" s="2078">
        <f t="shared" ca="1" si="1016"/>
        <v>0</v>
      </c>
      <c r="CE307" s="2078">
        <f t="shared" ca="1" si="1017"/>
        <v>0</v>
      </c>
      <c r="CF307" s="2078">
        <f t="shared" ca="1" si="1018"/>
        <v>0</v>
      </c>
      <c r="CG307" s="2078">
        <f t="shared" ca="1" si="1019"/>
        <v>0</v>
      </c>
      <c r="CH307" s="2078">
        <f t="shared" ca="1" si="1020"/>
        <v>0</v>
      </c>
      <c r="CI307" s="2078">
        <f t="shared" ca="1" si="1021"/>
        <v>0</v>
      </c>
      <c r="CJ307" s="2078">
        <f t="shared" ca="1" si="1022"/>
        <v>0</v>
      </c>
      <c r="CK307" s="2078">
        <f t="shared" ca="1" si="1023"/>
        <v>0</v>
      </c>
      <c r="CL307" s="2078">
        <f t="shared" ca="1" si="1024"/>
        <v>0</v>
      </c>
      <c r="CM307" s="2078">
        <f t="shared" si="968"/>
        <v>1</v>
      </c>
      <c r="CN307" s="2078">
        <f t="shared" si="969"/>
        <v>1</v>
      </c>
      <c r="CO307" s="2078">
        <f t="shared" si="958"/>
        <v>1</v>
      </c>
      <c r="CP307" s="2078">
        <f t="shared" si="1025"/>
        <v>1</v>
      </c>
      <c r="CQ307" s="2078">
        <f t="shared" si="959"/>
        <v>0</v>
      </c>
      <c r="CR307" s="2078">
        <f t="shared" si="1042"/>
        <v>0</v>
      </c>
      <c r="CS307" s="2078">
        <f t="shared" si="1026"/>
        <v>0</v>
      </c>
      <c r="CT307" s="2078">
        <f t="shared" si="960"/>
        <v>1</v>
      </c>
      <c r="CU307" s="2078">
        <f t="shared" si="1027"/>
        <v>1</v>
      </c>
      <c r="CV307" s="2078">
        <f t="shared" si="970"/>
        <v>0</v>
      </c>
      <c r="CW307" s="2078">
        <f>IF(OR(AE307&lt;&gt;3,F307="Exclude"),0,IF(ISERROR(MATCH($E307,'4 Sign-off'!$S$123:$X$123,0)),0,1))</f>
        <v>0</v>
      </c>
      <c r="CX307" s="2078">
        <f t="shared" si="982"/>
        <v>0</v>
      </c>
      <c r="CY307" s="2078">
        <f t="shared" si="971"/>
        <v>0</v>
      </c>
      <c r="CZ307" s="2993">
        <f t="shared" ca="1" si="1043"/>
        <v>0</v>
      </c>
      <c r="DA307" s="3037">
        <f t="shared" ca="1" si="1044"/>
        <v>0</v>
      </c>
      <c r="DB307" s="1664"/>
      <c r="DC307" s="1320"/>
      <c r="DD307" s="589"/>
      <c r="DE307" s="1321"/>
      <c r="DF307" s="107"/>
      <c r="DG307" s="112"/>
      <c r="DH307" s="140"/>
      <c r="DI307" s="22"/>
      <c r="DJ307" s="145"/>
      <c r="DK307" s="137"/>
      <c r="DL307" s="137"/>
      <c r="DM307" s="137"/>
      <c r="DN307" s="137"/>
      <c r="DO307" s="137"/>
      <c r="DP307" s="137"/>
      <c r="DQ307" s="137"/>
      <c r="DR307" s="137"/>
      <c r="DS307" s="137"/>
      <c r="DT307" s="137"/>
      <c r="DU307" s="137"/>
      <c r="DV307" s="137"/>
      <c r="DW307" s="137"/>
      <c r="DX307" s="137"/>
      <c r="DY307" s="137"/>
      <c r="DZ307" s="137"/>
      <c r="EA307" s="137"/>
      <c r="EB307" s="137"/>
      <c r="EC307" s="137"/>
      <c r="ED307" s="137"/>
      <c r="EE307" s="137"/>
      <c r="EF307" s="137"/>
      <c r="EG307" s="137"/>
      <c r="EH307" s="137"/>
      <c r="EI307" s="137"/>
      <c r="EJ307" s="137"/>
      <c r="EK307" s="137"/>
      <c r="EL307" s="137"/>
      <c r="EM307" s="137"/>
      <c r="EN307" s="137"/>
      <c r="EO307" s="137"/>
      <c r="EP307" s="137"/>
      <c r="EQ307" s="137"/>
      <c r="ER307" s="137"/>
      <c r="ES307" s="137"/>
      <c r="ET307" s="137"/>
      <c r="EU307" s="137"/>
      <c r="EV307" s="137"/>
      <c r="EW307" s="137"/>
      <c r="EX307" s="137"/>
      <c r="EY307" s="137"/>
      <c r="EZ307" s="137"/>
      <c r="FA307" s="137"/>
      <c r="FB307" s="137"/>
      <c r="FC307" s="137"/>
      <c r="FD307" s="137"/>
      <c r="FE307" s="137"/>
      <c r="FF307" s="137"/>
      <c r="FG307" s="860"/>
      <c r="FH307" s="863"/>
      <c r="FI307" s="1318"/>
      <c r="FJ307" s="126"/>
      <c r="FK307" s="127"/>
      <c r="FL307" s="128" t="str">
        <f t="shared" si="1028"/>
        <v xml:space="preserve">    </v>
      </c>
      <c r="FM307" s="128"/>
      <c r="FN307" s="1686">
        <f t="shared" si="1029"/>
        <v>0</v>
      </c>
      <c r="FO307" s="46">
        <f t="shared" si="972"/>
        <v>0</v>
      </c>
      <c r="FP307" s="46">
        <f t="shared" si="977"/>
        <v>1</v>
      </c>
      <c r="FQ307" s="75">
        <f t="shared" si="1030"/>
        <v>0</v>
      </c>
      <c r="FR307" s="46">
        <f t="shared" si="1036"/>
        <v>0</v>
      </c>
      <c r="FS307" s="46">
        <f t="shared" si="1037"/>
        <v>1</v>
      </c>
      <c r="FT307" s="75">
        <f t="shared" si="1031"/>
        <v>0</v>
      </c>
      <c r="FU307" s="2603">
        <f t="shared" si="973"/>
        <v>0</v>
      </c>
      <c r="FV307" s="2607">
        <f t="shared" si="974"/>
        <v>0</v>
      </c>
      <c r="FW307" s="2603">
        <f t="shared" si="975"/>
        <v>0</v>
      </c>
      <c r="FX307" s="2631">
        <f t="shared" si="976"/>
        <v>0</v>
      </c>
      <c r="FY307" s="81" t="e">
        <f t="shared" si="1038"/>
        <v>#N/A</v>
      </c>
      <c r="FZ307" s="64" t="e">
        <f t="array" ref="FZ307">MATCH(1,($GT307:$LQ307&gt;0)*$GT$25:$LQ$25,0)</f>
        <v>#N/A</v>
      </c>
      <c r="GA307" s="64" t="e">
        <f t="array" ref="GA307">MATCH(2,1/(GT307:LQ307&gt;0))</f>
        <v>#N/A</v>
      </c>
      <c r="GB307" s="64">
        <f t="shared" si="1032"/>
        <v>-1</v>
      </c>
      <c r="GC307" s="46"/>
      <c r="GD307" s="613"/>
      <c r="GE307" s="613"/>
      <c r="GF307" s="613"/>
      <c r="GG307" s="613"/>
      <c r="GH307" s="613"/>
      <c r="GI307" s="613"/>
      <c r="GJ307" s="613"/>
      <c r="GK307" s="613"/>
      <c r="GL307" s="613"/>
      <c r="GM307" s="613"/>
      <c r="GN307" s="385">
        <f t="shared" si="983"/>
        <v>0</v>
      </c>
      <c r="GO307" s="386">
        <f t="shared" si="984"/>
        <v>0</v>
      </c>
      <c r="GP307" s="2635"/>
      <c r="GQ307" s="175"/>
      <c r="GR307" s="172"/>
      <c r="GS307" s="65"/>
      <c r="GT307" s="167"/>
      <c r="GU307" s="168"/>
      <c r="GV307" s="168"/>
      <c r="GW307" s="168"/>
      <c r="GX307" s="168"/>
      <c r="GY307" s="168"/>
      <c r="GZ307" s="168"/>
      <c r="HA307" s="168"/>
      <c r="HB307" s="168"/>
      <c r="HC307" s="168"/>
      <c r="HD307" s="168"/>
      <c r="HE307" s="168"/>
      <c r="HF307" s="168"/>
      <c r="HG307" s="168"/>
      <c r="HH307" s="168"/>
      <c r="HI307" s="168"/>
      <c r="HJ307" s="168"/>
      <c r="HK307" s="168"/>
      <c r="HL307" s="168"/>
      <c r="HM307" s="168"/>
      <c r="HN307" s="168"/>
      <c r="HO307" s="168"/>
      <c r="HP307" s="168"/>
      <c r="HQ307" s="168"/>
      <c r="HR307" s="168"/>
      <c r="HS307" s="168"/>
      <c r="HT307" s="168"/>
      <c r="HU307" s="168"/>
      <c r="HV307" s="168"/>
      <c r="HW307" s="168"/>
      <c r="HX307" s="168"/>
      <c r="HY307" s="168"/>
      <c r="HZ307" s="168"/>
      <c r="IA307" s="168"/>
      <c r="IB307" s="168"/>
      <c r="IC307" s="168"/>
      <c r="ID307" s="168"/>
      <c r="IE307" s="168"/>
      <c r="IF307" s="168"/>
      <c r="IG307" s="168"/>
      <c r="IH307" s="168"/>
      <c r="II307" s="168"/>
      <c r="IJ307" s="168"/>
      <c r="IK307" s="168"/>
      <c r="IL307" s="168"/>
      <c r="IM307" s="168"/>
      <c r="IN307" s="168"/>
      <c r="IO307" s="168"/>
      <c r="IP307" s="168"/>
      <c r="IQ307" s="168"/>
      <c r="IR307" s="168"/>
      <c r="IS307" s="168"/>
      <c r="IT307" s="168"/>
      <c r="IU307" s="168"/>
      <c r="IV307" s="168"/>
      <c r="IW307" s="168"/>
      <c r="IX307" s="168"/>
      <c r="IY307" s="168"/>
      <c r="IZ307" s="168"/>
      <c r="JA307" s="168"/>
      <c r="JB307" s="168"/>
      <c r="JC307" s="168"/>
      <c r="JD307" s="168"/>
      <c r="JE307" s="168"/>
      <c r="JF307" s="168"/>
      <c r="JG307" s="168"/>
      <c r="JH307" s="168"/>
      <c r="JI307" s="168"/>
      <c r="JJ307" s="168"/>
      <c r="JK307" s="168"/>
      <c r="JL307" s="168"/>
      <c r="JM307" s="168"/>
      <c r="JN307" s="168"/>
      <c r="JO307" s="168"/>
      <c r="JP307" s="168"/>
      <c r="JQ307" s="168"/>
      <c r="JR307" s="168"/>
      <c r="JS307" s="168"/>
      <c r="JT307" s="168"/>
      <c r="JU307" s="168"/>
      <c r="JV307" s="168"/>
      <c r="JW307" s="168"/>
      <c r="JX307" s="168"/>
      <c r="JY307" s="168"/>
      <c r="JZ307" s="168"/>
      <c r="KA307" s="168"/>
      <c r="KB307" s="168"/>
      <c r="KC307" s="168"/>
      <c r="KD307" s="168"/>
      <c r="KE307" s="168"/>
      <c r="KF307" s="168"/>
      <c r="KG307" s="168"/>
      <c r="KH307" s="168"/>
      <c r="KI307" s="168"/>
      <c r="KJ307" s="168"/>
      <c r="KK307" s="168"/>
      <c r="KL307" s="168"/>
      <c r="KM307" s="168"/>
      <c r="KN307" s="168"/>
      <c r="KO307" s="168"/>
      <c r="KP307" s="168"/>
      <c r="KQ307" s="168"/>
      <c r="KR307" s="168"/>
      <c r="KS307" s="168"/>
      <c r="KT307" s="168"/>
      <c r="KU307" s="168"/>
      <c r="KV307" s="168"/>
      <c r="KW307" s="168"/>
      <c r="KX307" s="168"/>
      <c r="KY307" s="168"/>
      <c r="KZ307" s="168"/>
      <c r="LA307" s="168"/>
      <c r="LB307" s="168"/>
      <c r="LC307" s="168"/>
      <c r="LD307" s="168"/>
      <c r="LE307" s="168"/>
      <c r="LF307" s="168"/>
      <c r="LG307" s="168"/>
      <c r="LH307" s="168"/>
      <c r="LI307" s="168"/>
      <c r="LJ307" s="168"/>
      <c r="LK307" s="168"/>
      <c r="LL307" s="168"/>
      <c r="LM307" s="168"/>
      <c r="LN307" s="168"/>
      <c r="LO307" s="168"/>
      <c r="LP307" s="606"/>
      <c r="LQ307" s="609"/>
      <c r="LR307" s="1319"/>
      <c r="LS307" s="1319"/>
    </row>
    <row r="308" spans="1:331" s="2" customFormat="1" ht="15" customHeight="1" x14ac:dyDescent="0.25">
      <c r="A308" s="283"/>
      <c r="B308" s="303"/>
      <c r="C308" s="301"/>
      <c r="D308" s="1287"/>
      <c r="E308" s="2298"/>
      <c r="F308" s="1812"/>
      <c r="G308" s="3342"/>
      <c r="H308" s="66"/>
      <c r="I308" s="1746"/>
      <c r="J308" s="1214"/>
      <c r="K308" s="105"/>
      <c r="L308" s="91"/>
      <c r="M308" s="92"/>
      <c r="N308" s="93"/>
      <c r="O308" s="94"/>
      <c r="P308" s="96"/>
      <c r="Q308" s="95"/>
      <c r="R308" s="993">
        <f t="shared" si="1039"/>
        <v>0</v>
      </c>
      <c r="S308" s="23">
        <f t="shared" si="1040"/>
        <v>0</v>
      </c>
      <c r="T308" s="24">
        <f t="shared" si="985"/>
        <v>0</v>
      </c>
      <c r="U308" s="24">
        <f t="shared" si="986"/>
        <v>0</v>
      </c>
      <c r="V308" s="24">
        <f t="shared" si="987"/>
        <v>0</v>
      </c>
      <c r="W308" s="24">
        <f t="shared" ca="1" si="988"/>
        <v>0</v>
      </c>
      <c r="X308" s="72">
        <f t="shared" ca="1" si="956"/>
        <v>0</v>
      </c>
      <c r="Y308" s="72">
        <f t="shared" si="989"/>
        <v>0</v>
      </c>
      <c r="Z308" s="24">
        <f t="shared" si="990"/>
        <v>0</v>
      </c>
      <c r="AA308" s="72">
        <f t="shared" si="957"/>
        <v>0</v>
      </c>
      <c r="AB308" s="24">
        <f t="shared" si="967"/>
        <v>0</v>
      </c>
      <c r="AC308" s="24">
        <f t="shared" ca="1" si="991"/>
        <v>0</v>
      </c>
      <c r="AD308" s="24">
        <f t="shared" si="886"/>
        <v>0</v>
      </c>
      <c r="AE308" s="2078">
        <f t="shared" si="1033"/>
        <v>3</v>
      </c>
      <c r="AF308" s="2078">
        <f t="shared" si="1034"/>
        <v>0</v>
      </c>
      <c r="AG308" s="2078">
        <f t="shared" si="1035"/>
        <v>0</v>
      </c>
      <c r="AH308" s="2521">
        <f t="shared" si="887"/>
        <v>1</v>
      </c>
      <c r="AI308" s="25" t="str">
        <f t="shared" si="992"/>
        <v/>
      </c>
      <c r="AJ308" s="2521">
        <f t="shared" ca="1" si="1045"/>
        <v>0</v>
      </c>
      <c r="AK308" s="2076">
        <f t="shared" ca="1" si="1041"/>
        <v>0</v>
      </c>
      <c r="AL308" s="2078">
        <f>IF(ISBLANK(J308),0,ISERROR(MATCH(J308,'5  Control Accounts'!$FA$29:$FA$96,0))*1)</f>
        <v>0</v>
      </c>
      <c r="AM308" s="2076">
        <f t="shared" si="993"/>
        <v>0</v>
      </c>
      <c r="AN308" s="2078">
        <f t="shared" si="994"/>
        <v>1</v>
      </c>
      <c r="AO308" s="2079">
        <f t="shared" si="888"/>
        <v>1</v>
      </c>
      <c r="AP308" s="2079">
        <f t="shared" si="889"/>
        <v>0</v>
      </c>
      <c r="AQ308" s="2079">
        <f t="shared" si="890"/>
        <v>0</v>
      </c>
      <c r="AR308" s="2079">
        <f t="shared" si="891"/>
        <v>0</v>
      </c>
      <c r="AS308" s="2079">
        <f t="shared" si="892"/>
        <v>0</v>
      </c>
      <c r="AT308" s="2079">
        <f t="shared" si="893"/>
        <v>0</v>
      </c>
      <c r="AU308" s="2079">
        <f t="shared" si="894"/>
        <v>0</v>
      </c>
      <c r="AV308" s="2079">
        <f t="shared" si="895"/>
        <v>0</v>
      </c>
      <c r="AW308" s="2079">
        <f t="shared" si="896"/>
        <v>0</v>
      </c>
      <c r="AX308" s="2079">
        <f t="shared" si="897"/>
        <v>0</v>
      </c>
      <c r="AY308" s="2078">
        <f t="shared" si="995"/>
        <v>0</v>
      </c>
      <c r="AZ308" s="2078">
        <f t="shared" si="996"/>
        <v>0</v>
      </c>
      <c r="BA308" s="2078">
        <f t="shared" si="997"/>
        <v>0</v>
      </c>
      <c r="BB308" s="2078">
        <f t="shared" si="998"/>
        <v>0</v>
      </c>
      <c r="BC308" s="2078">
        <f t="shared" si="999"/>
        <v>0</v>
      </c>
      <c r="BD308" s="2078">
        <f t="shared" si="1000"/>
        <v>0</v>
      </c>
      <c r="BE308" s="2078">
        <f t="shared" si="1001"/>
        <v>0</v>
      </c>
      <c r="BF308" s="2078">
        <f t="shared" si="1002"/>
        <v>0</v>
      </c>
      <c r="BG308" s="2078">
        <f t="shared" si="1003"/>
        <v>0</v>
      </c>
      <c r="BH308" s="2078">
        <f t="shared" si="1004"/>
        <v>0</v>
      </c>
      <c r="BI308" s="2078">
        <f t="shared" si="1005"/>
        <v>0</v>
      </c>
      <c r="BJ308" s="2078">
        <f t="shared" si="1006"/>
        <v>0</v>
      </c>
      <c r="BK308" s="2078">
        <f t="shared" si="1007"/>
        <v>0</v>
      </c>
      <c r="BL308" s="2078">
        <f t="shared" si="1008"/>
        <v>0</v>
      </c>
      <c r="BM308" s="2078">
        <f t="shared" si="1009"/>
        <v>0</v>
      </c>
      <c r="BN308" s="2078">
        <f t="shared" si="1010"/>
        <v>0</v>
      </c>
      <c r="BO308" s="2078">
        <f t="shared" si="1011"/>
        <v>0</v>
      </c>
      <c r="BP308" s="2078">
        <f t="shared" si="1012"/>
        <v>0</v>
      </c>
      <c r="BQ308" s="2078">
        <f t="shared" si="1013"/>
        <v>0</v>
      </c>
      <c r="BR308" s="2078">
        <f t="shared" si="1014"/>
        <v>0</v>
      </c>
      <c r="BS308" s="2079">
        <f t="shared" si="898"/>
        <v>1</v>
      </c>
      <c r="BT308" s="2079">
        <f t="shared" si="899"/>
        <v>0</v>
      </c>
      <c r="BU308" s="2079">
        <f t="shared" si="900"/>
        <v>0</v>
      </c>
      <c r="BV308" s="2079">
        <f t="shared" si="901"/>
        <v>0</v>
      </c>
      <c r="BW308" s="2079">
        <f t="shared" si="902"/>
        <v>0</v>
      </c>
      <c r="BX308" s="2079">
        <f t="shared" si="903"/>
        <v>0</v>
      </c>
      <c r="BY308" s="2079">
        <f t="shared" si="904"/>
        <v>0</v>
      </c>
      <c r="BZ308" s="2079">
        <f t="shared" si="905"/>
        <v>0</v>
      </c>
      <c r="CA308" s="2079">
        <f t="shared" si="906"/>
        <v>0</v>
      </c>
      <c r="CB308" s="2079">
        <f t="shared" si="907"/>
        <v>0</v>
      </c>
      <c r="CC308" s="2078">
        <f t="shared" ca="1" si="1015"/>
        <v>0</v>
      </c>
      <c r="CD308" s="2078">
        <f t="shared" ca="1" si="1016"/>
        <v>0</v>
      </c>
      <c r="CE308" s="2078">
        <f t="shared" ca="1" si="1017"/>
        <v>0</v>
      </c>
      <c r="CF308" s="2078">
        <f t="shared" ca="1" si="1018"/>
        <v>0</v>
      </c>
      <c r="CG308" s="2078">
        <f t="shared" ca="1" si="1019"/>
        <v>0</v>
      </c>
      <c r="CH308" s="2078">
        <f t="shared" ca="1" si="1020"/>
        <v>0</v>
      </c>
      <c r="CI308" s="2078">
        <f t="shared" ca="1" si="1021"/>
        <v>0</v>
      </c>
      <c r="CJ308" s="2078">
        <f t="shared" ca="1" si="1022"/>
        <v>0</v>
      </c>
      <c r="CK308" s="2078">
        <f t="shared" ca="1" si="1023"/>
        <v>0</v>
      </c>
      <c r="CL308" s="2078">
        <f t="shared" ca="1" si="1024"/>
        <v>0</v>
      </c>
      <c r="CM308" s="2078">
        <f t="shared" si="968"/>
        <v>1</v>
      </c>
      <c r="CN308" s="2078">
        <f t="shared" si="969"/>
        <v>1</v>
      </c>
      <c r="CO308" s="2078">
        <f t="shared" si="958"/>
        <v>1</v>
      </c>
      <c r="CP308" s="2078">
        <f t="shared" si="1025"/>
        <v>1</v>
      </c>
      <c r="CQ308" s="2078">
        <f t="shared" si="959"/>
        <v>0</v>
      </c>
      <c r="CR308" s="2078">
        <f t="shared" si="1042"/>
        <v>0</v>
      </c>
      <c r="CS308" s="2078">
        <f t="shared" si="1026"/>
        <v>0</v>
      </c>
      <c r="CT308" s="2078">
        <f t="shared" si="960"/>
        <v>1</v>
      </c>
      <c r="CU308" s="2078">
        <f t="shared" si="1027"/>
        <v>1</v>
      </c>
      <c r="CV308" s="2078">
        <f t="shared" si="970"/>
        <v>0</v>
      </c>
      <c r="CW308" s="2078">
        <f>IF(OR(AE308&lt;&gt;3,F308="Exclude"),0,IF(ISERROR(MATCH($E308,'4 Sign-off'!$S$123:$X$123,0)),0,1))</f>
        <v>0</v>
      </c>
      <c r="CX308" s="2078">
        <f t="shared" si="982"/>
        <v>0</v>
      </c>
      <c r="CY308" s="2078">
        <f t="shared" si="971"/>
        <v>0</v>
      </c>
      <c r="CZ308" s="2993">
        <f t="shared" ca="1" si="1043"/>
        <v>0</v>
      </c>
      <c r="DA308" s="3037">
        <f t="shared" ca="1" si="1044"/>
        <v>0</v>
      </c>
      <c r="DB308" s="1664"/>
      <c r="DC308" s="1320"/>
      <c r="DD308" s="589"/>
      <c r="DE308" s="1321"/>
      <c r="DF308" s="107"/>
      <c r="DG308" s="112"/>
      <c r="DH308" s="140"/>
      <c r="DI308" s="22"/>
      <c r="DJ308" s="145"/>
      <c r="DK308" s="137"/>
      <c r="DL308" s="137"/>
      <c r="DM308" s="137"/>
      <c r="DN308" s="137"/>
      <c r="DO308" s="137"/>
      <c r="DP308" s="137"/>
      <c r="DQ308" s="137"/>
      <c r="DR308" s="137"/>
      <c r="DS308" s="137"/>
      <c r="DT308" s="137"/>
      <c r="DU308" s="137"/>
      <c r="DV308" s="137"/>
      <c r="DW308" s="137"/>
      <c r="DX308" s="137"/>
      <c r="DY308" s="137"/>
      <c r="DZ308" s="137"/>
      <c r="EA308" s="137"/>
      <c r="EB308" s="137"/>
      <c r="EC308" s="137"/>
      <c r="ED308" s="137"/>
      <c r="EE308" s="137"/>
      <c r="EF308" s="137"/>
      <c r="EG308" s="137"/>
      <c r="EH308" s="137"/>
      <c r="EI308" s="137"/>
      <c r="EJ308" s="137"/>
      <c r="EK308" s="137"/>
      <c r="EL308" s="137"/>
      <c r="EM308" s="137"/>
      <c r="EN308" s="137"/>
      <c r="EO308" s="137"/>
      <c r="EP308" s="137"/>
      <c r="EQ308" s="137"/>
      <c r="ER308" s="137"/>
      <c r="ES308" s="137"/>
      <c r="ET308" s="137"/>
      <c r="EU308" s="137"/>
      <c r="EV308" s="137"/>
      <c r="EW308" s="137"/>
      <c r="EX308" s="137"/>
      <c r="EY308" s="137"/>
      <c r="EZ308" s="137"/>
      <c r="FA308" s="137"/>
      <c r="FB308" s="137"/>
      <c r="FC308" s="137"/>
      <c r="FD308" s="137"/>
      <c r="FE308" s="137"/>
      <c r="FF308" s="137"/>
      <c r="FG308" s="860"/>
      <c r="FH308" s="863"/>
      <c r="FI308" s="1318"/>
      <c r="FJ308" s="126"/>
      <c r="FK308" s="127"/>
      <c r="FL308" s="128" t="str">
        <f t="shared" si="1028"/>
        <v xml:space="preserve">    </v>
      </c>
      <c r="FM308" s="128"/>
      <c r="FN308" s="1686">
        <f t="shared" si="1029"/>
        <v>0</v>
      </c>
      <c r="FO308" s="46">
        <f t="shared" si="972"/>
        <v>0</v>
      </c>
      <c r="FP308" s="46">
        <f t="shared" si="977"/>
        <v>1</v>
      </c>
      <c r="FQ308" s="75">
        <f t="shared" si="1030"/>
        <v>0</v>
      </c>
      <c r="FR308" s="46">
        <f t="shared" si="1036"/>
        <v>0</v>
      </c>
      <c r="FS308" s="46">
        <f t="shared" si="1037"/>
        <v>1</v>
      </c>
      <c r="FT308" s="75">
        <f t="shared" si="1031"/>
        <v>0</v>
      </c>
      <c r="FU308" s="2603">
        <f t="shared" si="973"/>
        <v>0</v>
      </c>
      <c r="FV308" s="2607">
        <f t="shared" si="974"/>
        <v>0</v>
      </c>
      <c r="FW308" s="2603">
        <f t="shared" si="975"/>
        <v>0</v>
      </c>
      <c r="FX308" s="2631">
        <f t="shared" si="976"/>
        <v>0</v>
      </c>
      <c r="FY308" s="81" t="e">
        <f t="shared" si="1038"/>
        <v>#N/A</v>
      </c>
      <c r="FZ308" s="64" t="e">
        <f t="array" ref="FZ308">MATCH(1,($GT308:$LQ308&gt;0)*$GT$25:$LQ$25,0)</f>
        <v>#N/A</v>
      </c>
      <c r="GA308" s="64" t="e">
        <f t="array" ref="GA308">MATCH(2,1/(GT308:LQ308&gt;0))</f>
        <v>#N/A</v>
      </c>
      <c r="GB308" s="64">
        <f t="shared" si="1032"/>
        <v>-1</v>
      </c>
      <c r="GC308" s="46"/>
      <c r="GD308" s="613"/>
      <c r="GE308" s="613"/>
      <c r="GF308" s="613"/>
      <c r="GG308" s="613"/>
      <c r="GH308" s="613"/>
      <c r="GI308" s="613"/>
      <c r="GJ308" s="613"/>
      <c r="GK308" s="613"/>
      <c r="GL308" s="613"/>
      <c r="GM308" s="613"/>
      <c r="GN308" s="385">
        <f t="shared" si="983"/>
        <v>0</v>
      </c>
      <c r="GO308" s="386">
        <f t="shared" si="984"/>
        <v>0</v>
      </c>
      <c r="GP308" s="2635"/>
      <c r="GQ308" s="175"/>
      <c r="GR308" s="172"/>
      <c r="GS308" s="65"/>
      <c r="GT308" s="167"/>
      <c r="GU308" s="168"/>
      <c r="GV308" s="168"/>
      <c r="GW308" s="168"/>
      <c r="GX308" s="168"/>
      <c r="GY308" s="168"/>
      <c r="GZ308" s="168"/>
      <c r="HA308" s="168"/>
      <c r="HB308" s="168"/>
      <c r="HC308" s="168"/>
      <c r="HD308" s="168"/>
      <c r="HE308" s="168"/>
      <c r="HF308" s="168"/>
      <c r="HG308" s="168"/>
      <c r="HH308" s="168"/>
      <c r="HI308" s="168"/>
      <c r="HJ308" s="168"/>
      <c r="HK308" s="168"/>
      <c r="HL308" s="168"/>
      <c r="HM308" s="168"/>
      <c r="HN308" s="168"/>
      <c r="HO308" s="168"/>
      <c r="HP308" s="168"/>
      <c r="HQ308" s="168"/>
      <c r="HR308" s="168"/>
      <c r="HS308" s="168"/>
      <c r="HT308" s="168"/>
      <c r="HU308" s="168"/>
      <c r="HV308" s="168"/>
      <c r="HW308" s="168"/>
      <c r="HX308" s="168"/>
      <c r="HY308" s="168"/>
      <c r="HZ308" s="168"/>
      <c r="IA308" s="168"/>
      <c r="IB308" s="168"/>
      <c r="IC308" s="168"/>
      <c r="ID308" s="168"/>
      <c r="IE308" s="168"/>
      <c r="IF308" s="168"/>
      <c r="IG308" s="168"/>
      <c r="IH308" s="168"/>
      <c r="II308" s="168"/>
      <c r="IJ308" s="168"/>
      <c r="IK308" s="168"/>
      <c r="IL308" s="168"/>
      <c r="IM308" s="168"/>
      <c r="IN308" s="168"/>
      <c r="IO308" s="168"/>
      <c r="IP308" s="168"/>
      <c r="IQ308" s="168"/>
      <c r="IR308" s="168"/>
      <c r="IS308" s="168"/>
      <c r="IT308" s="168"/>
      <c r="IU308" s="168"/>
      <c r="IV308" s="168"/>
      <c r="IW308" s="168"/>
      <c r="IX308" s="168"/>
      <c r="IY308" s="168"/>
      <c r="IZ308" s="168"/>
      <c r="JA308" s="168"/>
      <c r="JB308" s="168"/>
      <c r="JC308" s="168"/>
      <c r="JD308" s="168"/>
      <c r="JE308" s="168"/>
      <c r="JF308" s="168"/>
      <c r="JG308" s="168"/>
      <c r="JH308" s="168"/>
      <c r="JI308" s="168"/>
      <c r="JJ308" s="168"/>
      <c r="JK308" s="168"/>
      <c r="JL308" s="168"/>
      <c r="JM308" s="168"/>
      <c r="JN308" s="168"/>
      <c r="JO308" s="168"/>
      <c r="JP308" s="168"/>
      <c r="JQ308" s="168"/>
      <c r="JR308" s="168"/>
      <c r="JS308" s="168"/>
      <c r="JT308" s="168"/>
      <c r="JU308" s="168"/>
      <c r="JV308" s="168"/>
      <c r="JW308" s="168"/>
      <c r="JX308" s="168"/>
      <c r="JY308" s="168"/>
      <c r="JZ308" s="168"/>
      <c r="KA308" s="168"/>
      <c r="KB308" s="168"/>
      <c r="KC308" s="168"/>
      <c r="KD308" s="168"/>
      <c r="KE308" s="168"/>
      <c r="KF308" s="168"/>
      <c r="KG308" s="168"/>
      <c r="KH308" s="168"/>
      <c r="KI308" s="168"/>
      <c r="KJ308" s="168"/>
      <c r="KK308" s="168"/>
      <c r="KL308" s="168"/>
      <c r="KM308" s="168"/>
      <c r="KN308" s="168"/>
      <c r="KO308" s="168"/>
      <c r="KP308" s="168"/>
      <c r="KQ308" s="168"/>
      <c r="KR308" s="168"/>
      <c r="KS308" s="168"/>
      <c r="KT308" s="168"/>
      <c r="KU308" s="168"/>
      <c r="KV308" s="168"/>
      <c r="KW308" s="168"/>
      <c r="KX308" s="168"/>
      <c r="KY308" s="168"/>
      <c r="KZ308" s="168"/>
      <c r="LA308" s="168"/>
      <c r="LB308" s="168"/>
      <c r="LC308" s="168"/>
      <c r="LD308" s="168"/>
      <c r="LE308" s="168"/>
      <c r="LF308" s="168"/>
      <c r="LG308" s="168"/>
      <c r="LH308" s="168"/>
      <c r="LI308" s="168"/>
      <c r="LJ308" s="168"/>
      <c r="LK308" s="168"/>
      <c r="LL308" s="168"/>
      <c r="LM308" s="168"/>
      <c r="LN308" s="168"/>
      <c r="LO308" s="168"/>
      <c r="LP308" s="606"/>
      <c r="LQ308" s="609"/>
      <c r="LR308" s="1319"/>
      <c r="LS308" s="1319"/>
    </row>
    <row r="309" spans="1:331" s="2" customFormat="1" ht="15" customHeight="1" x14ac:dyDescent="0.25">
      <c r="A309" s="283"/>
      <c r="B309" s="303"/>
      <c r="C309" s="301"/>
      <c r="D309" s="1287"/>
      <c r="E309" s="2298"/>
      <c r="F309" s="1812"/>
      <c r="G309" s="3342"/>
      <c r="H309" s="66"/>
      <c r="I309" s="1746"/>
      <c r="J309" s="1214"/>
      <c r="K309" s="105"/>
      <c r="L309" s="91"/>
      <c r="M309" s="92"/>
      <c r="N309" s="93"/>
      <c r="O309" s="94"/>
      <c r="P309" s="96"/>
      <c r="Q309" s="95"/>
      <c r="R309" s="993">
        <f t="shared" si="1039"/>
        <v>0</v>
      </c>
      <c r="S309" s="23">
        <f t="shared" si="1040"/>
        <v>0</v>
      </c>
      <c r="T309" s="24">
        <f t="shared" si="985"/>
        <v>0</v>
      </c>
      <c r="U309" s="24">
        <f t="shared" si="986"/>
        <v>0</v>
      </c>
      <c r="V309" s="24">
        <f t="shared" si="987"/>
        <v>0</v>
      </c>
      <c r="W309" s="24">
        <f t="shared" ca="1" si="988"/>
        <v>0</v>
      </c>
      <c r="X309" s="72">
        <f t="shared" ca="1" si="956"/>
        <v>0</v>
      </c>
      <c r="Y309" s="72">
        <f t="shared" si="989"/>
        <v>0</v>
      </c>
      <c r="Z309" s="24">
        <f t="shared" si="990"/>
        <v>0</v>
      </c>
      <c r="AA309" s="72">
        <f t="shared" si="957"/>
        <v>0</v>
      </c>
      <c r="AB309" s="24">
        <f t="shared" si="967"/>
        <v>0</v>
      </c>
      <c r="AC309" s="24">
        <f t="shared" ca="1" si="991"/>
        <v>0</v>
      </c>
      <c r="AD309" s="24">
        <f t="shared" si="886"/>
        <v>0</v>
      </c>
      <c r="AE309" s="2078">
        <f t="shared" si="1033"/>
        <v>3</v>
      </c>
      <c r="AF309" s="2078">
        <f t="shared" si="1034"/>
        <v>0</v>
      </c>
      <c r="AG309" s="2078">
        <f t="shared" si="1035"/>
        <v>0</v>
      </c>
      <c r="AH309" s="2521">
        <f t="shared" si="887"/>
        <v>1</v>
      </c>
      <c r="AI309" s="25" t="str">
        <f t="shared" si="992"/>
        <v/>
      </c>
      <c r="AJ309" s="2521">
        <f t="shared" ca="1" si="1045"/>
        <v>0</v>
      </c>
      <c r="AK309" s="2076">
        <f t="shared" ca="1" si="1041"/>
        <v>0</v>
      </c>
      <c r="AL309" s="2078">
        <f>IF(ISBLANK(J309),0,ISERROR(MATCH(J309,'5  Control Accounts'!$FA$29:$FA$96,0))*1)</f>
        <v>0</v>
      </c>
      <c r="AM309" s="2076">
        <f t="shared" si="993"/>
        <v>0</v>
      </c>
      <c r="AN309" s="2078">
        <f t="shared" si="994"/>
        <v>1</v>
      </c>
      <c r="AO309" s="2079">
        <f t="shared" si="888"/>
        <v>1</v>
      </c>
      <c r="AP309" s="2079">
        <f t="shared" si="889"/>
        <v>0</v>
      </c>
      <c r="AQ309" s="2079">
        <f t="shared" si="890"/>
        <v>0</v>
      </c>
      <c r="AR309" s="2079">
        <f t="shared" si="891"/>
        <v>0</v>
      </c>
      <c r="AS309" s="2079">
        <f t="shared" si="892"/>
        <v>0</v>
      </c>
      <c r="AT309" s="2079">
        <f t="shared" si="893"/>
        <v>0</v>
      </c>
      <c r="AU309" s="2079">
        <f t="shared" si="894"/>
        <v>0</v>
      </c>
      <c r="AV309" s="2079">
        <f t="shared" si="895"/>
        <v>0</v>
      </c>
      <c r="AW309" s="2079">
        <f t="shared" si="896"/>
        <v>0</v>
      </c>
      <c r="AX309" s="2079">
        <f t="shared" si="897"/>
        <v>0</v>
      </c>
      <c r="AY309" s="2078">
        <f t="shared" si="995"/>
        <v>0</v>
      </c>
      <c r="AZ309" s="2078">
        <f t="shared" si="996"/>
        <v>0</v>
      </c>
      <c r="BA309" s="2078">
        <f t="shared" si="997"/>
        <v>0</v>
      </c>
      <c r="BB309" s="2078">
        <f t="shared" si="998"/>
        <v>0</v>
      </c>
      <c r="BC309" s="2078">
        <f t="shared" si="999"/>
        <v>0</v>
      </c>
      <c r="BD309" s="2078">
        <f t="shared" si="1000"/>
        <v>0</v>
      </c>
      <c r="BE309" s="2078">
        <f t="shared" si="1001"/>
        <v>0</v>
      </c>
      <c r="BF309" s="2078">
        <f t="shared" si="1002"/>
        <v>0</v>
      </c>
      <c r="BG309" s="2078">
        <f t="shared" si="1003"/>
        <v>0</v>
      </c>
      <c r="BH309" s="2078">
        <f t="shared" si="1004"/>
        <v>0</v>
      </c>
      <c r="BI309" s="2078">
        <f t="shared" si="1005"/>
        <v>0</v>
      </c>
      <c r="BJ309" s="2078">
        <f t="shared" si="1006"/>
        <v>0</v>
      </c>
      <c r="BK309" s="2078">
        <f t="shared" si="1007"/>
        <v>0</v>
      </c>
      <c r="BL309" s="2078">
        <f t="shared" si="1008"/>
        <v>0</v>
      </c>
      <c r="BM309" s="2078">
        <f t="shared" si="1009"/>
        <v>0</v>
      </c>
      <c r="BN309" s="2078">
        <f t="shared" si="1010"/>
        <v>0</v>
      </c>
      <c r="BO309" s="2078">
        <f t="shared" si="1011"/>
        <v>0</v>
      </c>
      <c r="BP309" s="2078">
        <f t="shared" si="1012"/>
        <v>0</v>
      </c>
      <c r="BQ309" s="2078">
        <f t="shared" si="1013"/>
        <v>0</v>
      </c>
      <c r="BR309" s="2078">
        <f t="shared" si="1014"/>
        <v>0</v>
      </c>
      <c r="BS309" s="2079">
        <f t="shared" si="898"/>
        <v>1</v>
      </c>
      <c r="BT309" s="2079">
        <f t="shared" si="899"/>
        <v>0</v>
      </c>
      <c r="BU309" s="2079">
        <f t="shared" si="900"/>
        <v>0</v>
      </c>
      <c r="BV309" s="2079">
        <f t="shared" si="901"/>
        <v>0</v>
      </c>
      <c r="BW309" s="2079">
        <f t="shared" si="902"/>
        <v>0</v>
      </c>
      <c r="BX309" s="2079">
        <f t="shared" si="903"/>
        <v>0</v>
      </c>
      <c r="BY309" s="2079">
        <f t="shared" si="904"/>
        <v>0</v>
      </c>
      <c r="BZ309" s="2079">
        <f t="shared" si="905"/>
        <v>0</v>
      </c>
      <c r="CA309" s="2079">
        <f t="shared" si="906"/>
        <v>0</v>
      </c>
      <c r="CB309" s="2079">
        <f t="shared" si="907"/>
        <v>0</v>
      </c>
      <c r="CC309" s="2078">
        <f t="shared" ca="1" si="1015"/>
        <v>0</v>
      </c>
      <c r="CD309" s="2078">
        <f t="shared" ca="1" si="1016"/>
        <v>0</v>
      </c>
      <c r="CE309" s="2078">
        <f t="shared" ca="1" si="1017"/>
        <v>0</v>
      </c>
      <c r="CF309" s="2078">
        <f t="shared" ca="1" si="1018"/>
        <v>0</v>
      </c>
      <c r="CG309" s="2078">
        <f t="shared" ca="1" si="1019"/>
        <v>0</v>
      </c>
      <c r="CH309" s="2078">
        <f t="shared" ca="1" si="1020"/>
        <v>0</v>
      </c>
      <c r="CI309" s="2078">
        <f t="shared" ca="1" si="1021"/>
        <v>0</v>
      </c>
      <c r="CJ309" s="2078">
        <f t="shared" ca="1" si="1022"/>
        <v>0</v>
      </c>
      <c r="CK309" s="2078">
        <f t="shared" ca="1" si="1023"/>
        <v>0</v>
      </c>
      <c r="CL309" s="2078">
        <f t="shared" ca="1" si="1024"/>
        <v>0</v>
      </c>
      <c r="CM309" s="2078">
        <f t="shared" si="968"/>
        <v>1</v>
      </c>
      <c r="CN309" s="2078">
        <f t="shared" si="969"/>
        <v>1</v>
      </c>
      <c r="CO309" s="2078">
        <f t="shared" si="958"/>
        <v>1</v>
      </c>
      <c r="CP309" s="2078">
        <f t="shared" si="1025"/>
        <v>1</v>
      </c>
      <c r="CQ309" s="2078">
        <f t="shared" si="959"/>
        <v>0</v>
      </c>
      <c r="CR309" s="2078">
        <f t="shared" si="1042"/>
        <v>0</v>
      </c>
      <c r="CS309" s="2078">
        <f t="shared" si="1026"/>
        <v>0</v>
      </c>
      <c r="CT309" s="2078">
        <f t="shared" si="960"/>
        <v>1</v>
      </c>
      <c r="CU309" s="2078">
        <f t="shared" si="1027"/>
        <v>1</v>
      </c>
      <c r="CV309" s="2078">
        <f t="shared" si="970"/>
        <v>0</v>
      </c>
      <c r="CW309" s="2078">
        <f>IF(OR(AE309&lt;&gt;3,F309="Exclude"),0,IF(ISERROR(MATCH($E309,'4 Sign-off'!$S$123:$X$123,0)),0,1))</f>
        <v>0</v>
      </c>
      <c r="CX309" s="2078">
        <f t="shared" ref="CX309:CX338" si="1046">IF($C$7&lt;&gt;"B",1,CHOOSE($CX$163,CW309,CS309+CV309,CS309,CV309))</f>
        <v>0</v>
      </c>
      <c r="CY309" s="2078">
        <f t="shared" si="971"/>
        <v>0</v>
      </c>
      <c r="CZ309" s="2993">
        <f t="shared" ca="1" si="1043"/>
        <v>0</v>
      </c>
      <c r="DA309" s="3037">
        <f t="shared" ca="1" si="1044"/>
        <v>0</v>
      </c>
      <c r="DB309" s="1664"/>
      <c r="DC309" s="1320"/>
      <c r="DD309" s="589"/>
      <c r="DE309" s="1321"/>
      <c r="DF309" s="107"/>
      <c r="DG309" s="112"/>
      <c r="DH309" s="140"/>
      <c r="DI309" s="22"/>
      <c r="DJ309" s="145"/>
      <c r="DK309" s="137"/>
      <c r="DL309" s="137"/>
      <c r="DM309" s="137"/>
      <c r="DN309" s="137"/>
      <c r="DO309" s="137"/>
      <c r="DP309" s="137"/>
      <c r="DQ309" s="137"/>
      <c r="DR309" s="137"/>
      <c r="DS309" s="137"/>
      <c r="DT309" s="137"/>
      <c r="DU309" s="137"/>
      <c r="DV309" s="137"/>
      <c r="DW309" s="137"/>
      <c r="DX309" s="137"/>
      <c r="DY309" s="137"/>
      <c r="DZ309" s="137"/>
      <c r="EA309" s="137"/>
      <c r="EB309" s="137"/>
      <c r="EC309" s="137"/>
      <c r="ED309" s="137"/>
      <c r="EE309" s="137"/>
      <c r="EF309" s="137"/>
      <c r="EG309" s="137"/>
      <c r="EH309" s="137"/>
      <c r="EI309" s="137"/>
      <c r="EJ309" s="137"/>
      <c r="EK309" s="137"/>
      <c r="EL309" s="137"/>
      <c r="EM309" s="137"/>
      <c r="EN309" s="137"/>
      <c r="EO309" s="137"/>
      <c r="EP309" s="137"/>
      <c r="EQ309" s="137"/>
      <c r="ER309" s="137"/>
      <c r="ES309" s="137"/>
      <c r="ET309" s="137"/>
      <c r="EU309" s="137"/>
      <c r="EV309" s="137"/>
      <c r="EW309" s="137"/>
      <c r="EX309" s="137"/>
      <c r="EY309" s="137"/>
      <c r="EZ309" s="137"/>
      <c r="FA309" s="137"/>
      <c r="FB309" s="137"/>
      <c r="FC309" s="137"/>
      <c r="FD309" s="137"/>
      <c r="FE309" s="137"/>
      <c r="FF309" s="137"/>
      <c r="FG309" s="860"/>
      <c r="FH309" s="863"/>
      <c r="FI309" s="1318"/>
      <c r="FJ309" s="126"/>
      <c r="FK309" s="127"/>
      <c r="FL309" s="128" t="str">
        <f t="shared" si="1028"/>
        <v xml:space="preserve">    </v>
      </c>
      <c r="FM309" s="128"/>
      <c r="FN309" s="1686">
        <f t="shared" si="1029"/>
        <v>0</v>
      </c>
      <c r="FO309" s="46">
        <f t="shared" si="972"/>
        <v>0</v>
      </c>
      <c r="FP309" s="46">
        <f t="shared" si="977"/>
        <v>1</v>
      </c>
      <c r="FQ309" s="75">
        <f t="shared" si="1030"/>
        <v>0</v>
      </c>
      <c r="FR309" s="46">
        <f t="shared" si="1036"/>
        <v>0</v>
      </c>
      <c r="FS309" s="46">
        <f t="shared" si="1037"/>
        <v>1</v>
      </c>
      <c r="FT309" s="75">
        <f t="shared" si="1031"/>
        <v>0</v>
      </c>
      <c r="FU309" s="2603">
        <f t="shared" si="973"/>
        <v>0</v>
      </c>
      <c r="FV309" s="2607">
        <f t="shared" si="974"/>
        <v>0</v>
      </c>
      <c r="FW309" s="2603">
        <f t="shared" si="975"/>
        <v>0</v>
      </c>
      <c r="FX309" s="2631">
        <f t="shared" si="976"/>
        <v>0</v>
      </c>
      <c r="FY309" s="81" t="e">
        <f t="shared" si="1038"/>
        <v>#N/A</v>
      </c>
      <c r="FZ309" s="64" t="e">
        <f t="array" ref="FZ309">MATCH(1,($GT309:$LQ309&gt;0)*$GT$25:$LQ$25,0)</f>
        <v>#N/A</v>
      </c>
      <c r="GA309" s="64" t="e">
        <f t="array" ref="GA309">MATCH(2,1/(GT309:LQ309&gt;0))</f>
        <v>#N/A</v>
      </c>
      <c r="GB309" s="64">
        <f t="shared" si="1032"/>
        <v>-1</v>
      </c>
      <c r="GC309" s="46"/>
      <c r="GD309" s="613"/>
      <c r="GE309" s="613"/>
      <c r="GF309" s="613"/>
      <c r="GG309" s="613"/>
      <c r="GH309" s="613"/>
      <c r="GI309" s="613"/>
      <c r="GJ309" s="613"/>
      <c r="GK309" s="613"/>
      <c r="GL309" s="613"/>
      <c r="GM309" s="613"/>
      <c r="GN309" s="385">
        <f t="shared" ref="GN309:GN338" si="1047">IF(ISERROR(FZ309),0,CHOOSE($FM$5,(FZ309*7)+$GT$170-11,EOMONTH($GT$170,FZ309-2)+1))</f>
        <v>0</v>
      </c>
      <c r="GO309" s="386">
        <f t="shared" ref="GO309:GO338" si="1048">IF(ISERROR(FY309),0,CHOOSE($FM$5,(FY309*7)+$GT$170-7,EOMONTH($GT$170,FY309-1)))</f>
        <v>0</v>
      </c>
      <c r="GP309" s="2635"/>
      <c r="GQ309" s="175"/>
      <c r="GR309" s="172"/>
      <c r="GS309" s="65"/>
      <c r="GT309" s="167"/>
      <c r="GU309" s="168"/>
      <c r="GV309" s="168"/>
      <c r="GW309" s="168"/>
      <c r="GX309" s="168"/>
      <c r="GY309" s="168"/>
      <c r="GZ309" s="168"/>
      <c r="HA309" s="168"/>
      <c r="HB309" s="168"/>
      <c r="HC309" s="168"/>
      <c r="HD309" s="168"/>
      <c r="HE309" s="168"/>
      <c r="HF309" s="168"/>
      <c r="HG309" s="168"/>
      <c r="HH309" s="168"/>
      <c r="HI309" s="168"/>
      <c r="HJ309" s="168"/>
      <c r="HK309" s="168"/>
      <c r="HL309" s="168"/>
      <c r="HM309" s="168"/>
      <c r="HN309" s="168"/>
      <c r="HO309" s="168"/>
      <c r="HP309" s="168"/>
      <c r="HQ309" s="168"/>
      <c r="HR309" s="168"/>
      <c r="HS309" s="168"/>
      <c r="HT309" s="168"/>
      <c r="HU309" s="168"/>
      <c r="HV309" s="168"/>
      <c r="HW309" s="168"/>
      <c r="HX309" s="168"/>
      <c r="HY309" s="168"/>
      <c r="HZ309" s="168"/>
      <c r="IA309" s="168"/>
      <c r="IB309" s="168"/>
      <c r="IC309" s="168"/>
      <c r="ID309" s="168"/>
      <c r="IE309" s="168"/>
      <c r="IF309" s="168"/>
      <c r="IG309" s="168"/>
      <c r="IH309" s="168"/>
      <c r="II309" s="168"/>
      <c r="IJ309" s="168"/>
      <c r="IK309" s="168"/>
      <c r="IL309" s="168"/>
      <c r="IM309" s="168"/>
      <c r="IN309" s="168"/>
      <c r="IO309" s="168"/>
      <c r="IP309" s="168"/>
      <c r="IQ309" s="168"/>
      <c r="IR309" s="168"/>
      <c r="IS309" s="168"/>
      <c r="IT309" s="168"/>
      <c r="IU309" s="168"/>
      <c r="IV309" s="168"/>
      <c r="IW309" s="168"/>
      <c r="IX309" s="168"/>
      <c r="IY309" s="168"/>
      <c r="IZ309" s="168"/>
      <c r="JA309" s="168"/>
      <c r="JB309" s="168"/>
      <c r="JC309" s="168"/>
      <c r="JD309" s="168"/>
      <c r="JE309" s="168"/>
      <c r="JF309" s="168"/>
      <c r="JG309" s="168"/>
      <c r="JH309" s="168"/>
      <c r="JI309" s="168"/>
      <c r="JJ309" s="168"/>
      <c r="JK309" s="168"/>
      <c r="JL309" s="168"/>
      <c r="JM309" s="168"/>
      <c r="JN309" s="168"/>
      <c r="JO309" s="168"/>
      <c r="JP309" s="168"/>
      <c r="JQ309" s="168"/>
      <c r="JR309" s="168"/>
      <c r="JS309" s="168"/>
      <c r="JT309" s="168"/>
      <c r="JU309" s="168"/>
      <c r="JV309" s="168"/>
      <c r="JW309" s="168"/>
      <c r="JX309" s="168"/>
      <c r="JY309" s="168"/>
      <c r="JZ309" s="168"/>
      <c r="KA309" s="168"/>
      <c r="KB309" s="168"/>
      <c r="KC309" s="168"/>
      <c r="KD309" s="168"/>
      <c r="KE309" s="168"/>
      <c r="KF309" s="168"/>
      <c r="KG309" s="168"/>
      <c r="KH309" s="168"/>
      <c r="KI309" s="168"/>
      <c r="KJ309" s="168"/>
      <c r="KK309" s="168"/>
      <c r="KL309" s="168"/>
      <c r="KM309" s="168"/>
      <c r="KN309" s="168"/>
      <c r="KO309" s="168"/>
      <c r="KP309" s="168"/>
      <c r="KQ309" s="168"/>
      <c r="KR309" s="168"/>
      <c r="KS309" s="168"/>
      <c r="KT309" s="168"/>
      <c r="KU309" s="168"/>
      <c r="KV309" s="168"/>
      <c r="KW309" s="168"/>
      <c r="KX309" s="168"/>
      <c r="KY309" s="168"/>
      <c r="KZ309" s="168"/>
      <c r="LA309" s="168"/>
      <c r="LB309" s="168"/>
      <c r="LC309" s="168"/>
      <c r="LD309" s="168"/>
      <c r="LE309" s="168"/>
      <c r="LF309" s="168"/>
      <c r="LG309" s="168"/>
      <c r="LH309" s="168"/>
      <c r="LI309" s="168"/>
      <c r="LJ309" s="168"/>
      <c r="LK309" s="168"/>
      <c r="LL309" s="168"/>
      <c r="LM309" s="168"/>
      <c r="LN309" s="168"/>
      <c r="LO309" s="168"/>
      <c r="LP309" s="606"/>
      <c r="LQ309" s="609"/>
      <c r="LR309" s="1319"/>
      <c r="LS309" s="1319"/>
    </row>
    <row r="310" spans="1:331" s="2" customFormat="1" ht="15" customHeight="1" x14ac:dyDescent="0.25">
      <c r="A310" s="283"/>
      <c r="B310" s="303"/>
      <c r="C310" s="301"/>
      <c r="D310" s="1287"/>
      <c r="E310" s="2298"/>
      <c r="F310" s="1812"/>
      <c r="G310" s="3342"/>
      <c r="H310" s="66"/>
      <c r="I310" s="1746"/>
      <c r="J310" s="1214"/>
      <c r="K310" s="105"/>
      <c r="L310" s="91"/>
      <c r="M310" s="92"/>
      <c r="N310" s="93"/>
      <c r="O310" s="94"/>
      <c r="P310" s="96"/>
      <c r="Q310" s="95"/>
      <c r="R310" s="993">
        <f t="shared" si="1039"/>
        <v>0</v>
      </c>
      <c r="S310" s="23">
        <f t="shared" si="1040"/>
        <v>0</v>
      </c>
      <c r="T310" s="24">
        <f t="shared" si="985"/>
        <v>0</v>
      </c>
      <c r="U310" s="24">
        <f t="shared" si="986"/>
        <v>0</v>
      </c>
      <c r="V310" s="24">
        <f t="shared" si="987"/>
        <v>0</v>
      </c>
      <c r="W310" s="24">
        <f t="shared" ca="1" si="988"/>
        <v>0</v>
      </c>
      <c r="X310" s="72">
        <f t="shared" ca="1" si="956"/>
        <v>0</v>
      </c>
      <c r="Y310" s="72">
        <f t="shared" si="989"/>
        <v>0</v>
      </c>
      <c r="Z310" s="24">
        <f t="shared" si="990"/>
        <v>0</v>
      </c>
      <c r="AA310" s="72">
        <f t="shared" si="957"/>
        <v>0</v>
      </c>
      <c r="AB310" s="24">
        <f t="shared" si="967"/>
        <v>0</v>
      </c>
      <c r="AC310" s="24">
        <f t="shared" ca="1" si="991"/>
        <v>0</v>
      </c>
      <c r="AD310" s="24">
        <f t="shared" ref="AD310:AD364" si="1049">IF($AE310=3,SUMPRODUCT($DJ310:$FH310,$DJ$22:$FH$22)*AN310,0)</f>
        <v>0</v>
      </c>
      <c r="AE310" s="2078">
        <f t="shared" si="1033"/>
        <v>3</v>
      </c>
      <c r="AF310" s="2078">
        <f t="shared" si="1034"/>
        <v>0</v>
      </c>
      <c r="AG310" s="2078">
        <f t="shared" si="1035"/>
        <v>0</v>
      </c>
      <c r="AH310" s="2521">
        <f t="shared" ref="AH310:AH364" si="1050">IF(OR($G310="NB",AI310="R"),0,1)</f>
        <v>1</v>
      </c>
      <c r="AI310" s="25" t="str">
        <f t="shared" si="992"/>
        <v/>
      </c>
      <c r="AJ310" s="2521">
        <f t="shared" ca="1" si="1045"/>
        <v>0</v>
      </c>
      <c r="AK310" s="2076">
        <f t="shared" ca="1" si="1041"/>
        <v>0</v>
      </c>
      <c r="AL310" s="2078">
        <f>IF(ISBLANK(J310),0,ISERROR(MATCH(J310,'5  Control Accounts'!$FA$29:$FA$96,0))*1)</f>
        <v>0</v>
      </c>
      <c r="AM310" s="2076">
        <f t="shared" si="993"/>
        <v>0</v>
      </c>
      <c r="AN310" s="2078">
        <f t="shared" si="994"/>
        <v>1</v>
      </c>
      <c r="AO310" s="2079">
        <f t="shared" ref="AO310:AO364" si="1051">IF($AE310=3,IFERROR(SUMIFS($GT310:$LQ310,$GT$168:$LQ$168,1,$GT$25:$LQ$25,1)/SUMIFS($GT310:$LQ310,$GT$25:$LQ$25,1),1),0)</f>
        <v>1</v>
      </c>
      <c r="AP310" s="2079">
        <f t="shared" ref="AP310:AP364" si="1052">IF($AE310=3,IFERROR(SUMIFS($GT310:$LQ310,$GT$168:$LQ$168,2,$GT$25:$LQ$25,1)/SUMIFS($GT310:$LQ310,$GT$25:$LQ$25,1),0),0)</f>
        <v>0</v>
      </c>
      <c r="AQ310" s="2079">
        <f t="shared" ref="AQ310:AQ364" si="1053">IF($AE310=3,IFERROR(SUMIFS($GT310:$LQ310,$GT$168:$LQ$168,3,$GT$25:$LQ$25,1)/SUMIFS($GT310:$LQ310,$GT$25:$LQ$25,1),0),0)</f>
        <v>0</v>
      </c>
      <c r="AR310" s="2079">
        <f t="shared" ref="AR310:AR364" si="1054">IF($AE310=3,IFERROR(SUMIFS($GT310:$LQ310,$GT$168:$LQ$168,4,$GT$25:$LQ$25,1)/SUMIFS($GT310:$LQ310,$GT$25:$LQ$25,1),0),0)</f>
        <v>0</v>
      </c>
      <c r="AS310" s="2079">
        <f t="shared" ref="AS310:AS364" si="1055">IF($AE310=3,IFERROR(SUMIFS($GT310:$LQ310,$GT$168:$LQ$168,5,$GT$25:$LQ$25,1)/SUMIFS($GT310:$LQ310,$GT$25:$LQ$25,1),0),0)</f>
        <v>0</v>
      </c>
      <c r="AT310" s="2079">
        <f t="shared" ref="AT310:AT364" si="1056">IF($AE310=3,IFERROR(SUMIFS($GT310:$LQ310,$GT$168:$LQ$168,6,$GT$25:$LQ$25,1)/SUMIFS($GT310:$LQ310,$GT$25:$LQ$25,1),0),0)</f>
        <v>0</v>
      </c>
      <c r="AU310" s="2079">
        <f t="shared" ref="AU310:AU364" si="1057">IF($AE310=3,IFERROR(SUMIFS($GT310:$LQ310,$GT$168:$LQ$168,7,$GT$25:$LQ$25,1)/SUMIFS($GT310:$LQ310,$GT$25:$LQ$25,1),0),0)</f>
        <v>0</v>
      </c>
      <c r="AV310" s="2079">
        <f t="shared" ref="AV310:AV364" si="1058">IF($AE310=3,IFERROR(SUMIFS($GT310:$LQ310,$GT$168:$LQ$168,8,$GT$25:$LQ$25,1)/SUMIFS($GT310:$LQ310,$GT$25:$LQ$25,1),0),0)</f>
        <v>0</v>
      </c>
      <c r="AW310" s="2079">
        <f t="shared" ref="AW310:AW364" si="1059">IF($AE310=3,IFERROR(SUMIFS($GT310:$LQ310,$GT$168:$LQ$168,9,$GT$25:$LQ$25,1)/SUMIFS($GT310:$LQ310,$GT$25:$LQ$25,1),0),0)</f>
        <v>0</v>
      </c>
      <c r="AX310" s="2079">
        <f t="shared" ref="AX310:AX364" si="1060">IF($AE310=3,IFERROR(SUMIFS($GT310:$LQ310,$GT$168:$LQ$168,10,$GT$25:$LQ$25,1)/SUMIFS($GT310:$LQ310,$GT$25:$LQ$25,1),0),0)</f>
        <v>0</v>
      </c>
      <c r="AY310" s="2078">
        <f t="shared" si="995"/>
        <v>0</v>
      </c>
      <c r="AZ310" s="2078">
        <f t="shared" si="996"/>
        <v>0</v>
      </c>
      <c r="BA310" s="2078">
        <f t="shared" si="997"/>
        <v>0</v>
      </c>
      <c r="BB310" s="2078">
        <f t="shared" si="998"/>
        <v>0</v>
      </c>
      <c r="BC310" s="2078">
        <f t="shared" si="999"/>
        <v>0</v>
      </c>
      <c r="BD310" s="2078">
        <f t="shared" si="1000"/>
        <v>0</v>
      </c>
      <c r="BE310" s="2078">
        <f t="shared" si="1001"/>
        <v>0</v>
      </c>
      <c r="BF310" s="2078">
        <f t="shared" si="1002"/>
        <v>0</v>
      </c>
      <c r="BG310" s="2078">
        <f t="shared" si="1003"/>
        <v>0</v>
      </c>
      <c r="BH310" s="2078">
        <f t="shared" si="1004"/>
        <v>0</v>
      </c>
      <c r="BI310" s="2078">
        <f t="shared" si="1005"/>
        <v>0</v>
      </c>
      <c r="BJ310" s="2078">
        <f t="shared" si="1006"/>
        <v>0</v>
      </c>
      <c r="BK310" s="2078">
        <f t="shared" si="1007"/>
        <v>0</v>
      </c>
      <c r="BL310" s="2078">
        <f t="shared" si="1008"/>
        <v>0</v>
      </c>
      <c r="BM310" s="2078">
        <f t="shared" si="1009"/>
        <v>0</v>
      </c>
      <c r="BN310" s="2078">
        <f t="shared" si="1010"/>
        <v>0</v>
      </c>
      <c r="BO310" s="2078">
        <f t="shared" si="1011"/>
        <v>0</v>
      </c>
      <c r="BP310" s="2078">
        <f t="shared" si="1012"/>
        <v>0</v>
      </c>
      <c r="BQ310" s="2078">
        <f t="shared" si="1013"/>
        <v>0</v>
      </c>
      <c r="BR310" s="2078">
        <f t="shared" si="1014"/>
        <v>0</v>
      </c>
      <c r="BS310" s="2079">
        <f t="shared" ref="BS310:BS364" si="1061">IF($AE310=3,IFERROR(SUMIFS($GT310:$LQ310,$GT$167:$LQ$167,1,$GT$25:$LQ$25,1)/SUMIFS($GT310:$LQ310,$GT$25:$LQ$25,1),1),0)</f>
        <v>1</v>
      </c>
      <c r="BT310" s="2079">
        <f t="shared" ref="BT310:BT364" si="1062">IF($AE310=3,IFERROR(SUMIFS($GT310:$LQ310,$GT$167:$LQ$167,2,$GT$25:$LQ$25,1)/SUMIFS($GT310:$LQ310,$GT$25:$LQ$25,1),0),0)</f>
        <v>0</v>
      </c>
      <c r="BU310" s="2079">
        <f t="shared" ref="BU310:BU364" si="1063">IF($AE310=3,IFERROR(SUMIFS($GT310:$LQ310,$GT$167:$LQ$167,3,$GT$25:$LQ$25,1)/SUMIFS($GT310:$LQ310,$GT$25:$LQ$25,1),0),0)</f>
        <v>0</v>
      </c>
      <c r="BV310" s="2079">
        <f t="shared" ref="BV310:BV364" si="1064">IF($AE310=3,IFERROR(SUMIFS($GT310:$LQ310,$GT$167:$LQ$167,4,$GT$25:$LQ$25,1)/SUMIFS($GT310:$LQ310,$GT$25:$LQ$25,1),0),0)</f>
        <v>0</v>
      </c>
      <c r="BW310" s="2079">
        <f t="shared" ref="BW310:BW364" si="1065">IF($AE310=3,IFERROR(SUMIFS($GT310:$LQ310,$GT$167:$LQ$167,5,$GT$25:$LQ$25,1)/SUMIFS($GT310:$LQ310,$GT$25:$LQ$25,1),0),0)</f>
        <v>0</v>
      </c>
      <c r="BX310" s="2079">
        <f t="shared" ref="BX310:BX364" si="1066">IF($AE310=3,IFERROR(SUMIFS($GT310:$LQ310,$GT$167:$LQ$167,6,$GT$25:$LQ$25,1)/SUMIFS($GT310:$LQ310,$GT$25:$LQ$25,1),0),0)</f>
        <v>0</v>
      </c>
      <c r="BY310" s="2079">
        <f t="shared" ref="BY310:BY364" si="1067">IF($AE310=3,IFERROR(SUMIFS($GT310:$LQ310,$GT$167:$LQ$167,7,$GT$25:$LQ$25,1)/SUMIFS($GT310:$LQ310,$GT$25:$LQ$25,1),0),0)</f>
        <v>0</v>
      </c>
      <c r="BZ310" s="2079">
        <f t="shared" ref="BZ310:BZ364" si="1068">IF($AE310=3,IFERROR(SUMIFS($GT310:$LQ310,$GT$167:$LQ$167,8,$GT$25:$LQ$25,1)/SUMIFS($GT310:$LQ310,$GT$25:$LQ$25,1),0),0)</f>
        <v>0</v>
      </c>
      <c r="CA310" s="2079">
        <f t="shared" ref="CA310:CA364" si="1069">IF($AE310=3,IFERROR(SUMIFS($GT310:$LQ310,$GT$167:$LQ$167,9,$GT$25:$LQ$25,1)/SUMIFS($GT310:$LQ310,$GT$25:$LQ$25,1),0),0)</f>
        <v>0</v>
      </c>
      <c r="CB310" s="2079">
        <f t="shared" ref="CB310:CB364" si="1070">IF($AE310=3,IFERROR(SUMIFS($GT310:$LQ310,$GT$167:$LQ$167,10,$GT$25:$LQ$25,1)/SUMIFS($GT310:$LQ310,$GT$25:$LQ$25,1),0),0)</f>
        <v>0</v>
      </c>
      <c r="CC310" s="2078">
        <f t="shared" ca="1" si="1015"/>
        <v>0</v>
      </c>
      <c r="CD310" s="2078">
        <f t="shared" ca="1" si="1016"/>
        <v>0</v>
      </c>
      <c r="CE310" s="2078">
        <f t="shared" ca="1" si="1017"/>
        <v>0</v>
      </c>
      <c r="CF310" s="2078">
        <f t="shared" ca="1" si="1018"/>
        <v>0</v>
      </c>
      <c r="CG310" s="2078">
        <f t="shared" ca="1" si="1019"/>
        <v>0</v>
      </c>
      <c r="CH310" s="2078">
        <f t="shared" ca="1" si="1020"/>
        <v>0</v>
      </c>
      <c r="CI310" s="2078">
        <f t="shared" ca="1" si="1021"/>
        <v>0</v>
      </c>
      <c r="CJ310" s="2078">
        <f t="shared" ca="1" si="1022"/>
        <v>0</v>
      </c>
      <c r="CK310" s="2078">
        <f t="shared" ca="1" si="1023"/>
        <v>0</v>
      </c>
      <c r="CL310" s="2078">
        <f t="shared" ca="1" si="1024"/>
        <v>0</v>
      </c>
      <c r="CM310" s="2078">
        <f t="shared" si="968"/>
        <v>1</v>
      </c>
      <c r="CN310" s="2078">
        <f t="shared" si="969"/>
        <v>1</v>
      </c>
      <c r="CO310" s="2078">
        <f t="shared" si="958"/>
        <v>1</v>
      </c>
      <c r="CP310" s="2078">
        <f t="shared" si="1025"/>
        <v>1</v>
      </c>
      <c r="CQ310" s="2078">
        <f t="shared" si="959"/>
        <v>0</v>
      </c>
      <c r="CR310" s="2078">
        <f t="shared" si="1042"/>
        <v>0</v>
      </c>
      <c r="CS310" s="2078">
        <f t="shared" si="1026"/>
        <v>0</v>
      </c>
      <c r="CT310" s="2078">
        <f t="shared" si="960"/>
        <v>1</v>
      </c>
      <c r="CU310" s="2078">
        <f t="shared" si="1027"/>
        <v>1</v>
      </c>
      <c r="CV310" s="2078">
        <f t="shared" si="970"/>
        <v>0</v>
      </c>
      <c r="CW310" s="2078">
        <f>IF(OR(AE310&lt;&gt;3,F310="Exclude"),0,IF(ISERROR(MATCH($E310,'4 Sign-off'!$S$123:$X$123,0)),0,1))</f>
        <v>0</v>
      </c>
      <c r="CX310" s="2078">
        <f t="shared" si="1046"/>
        <v>0</v>
      </c>
      <c r="CY310" s="2078">
        <f t="shared" si="971"/>
        <v>0</v>
      </c>
      <c r="CZ310" s="2993">
        <f t="shared" ca="1" si="1043"/>
        <v>0</v>
      </c>
      <c r="DA310" s="3037">
        <f t="shared" ca="1" si="1044"/>
        <v>0</v>
      </c>
      <c r="DB310" s="1664"/>
      <c r="DC310" s="1320"/>
      <c r="DD310" s="589"/>
      <c r="DE310" s="1321"/>
      <c r="DF310" s="107"/>
      <c r="DG310" s="112"/>
      <c r="DH310" s="140"/>
      <c r="DI310" s="22"/>
      <c r="DJ310" s="145"/>
      <c r="DK310" s="137"/>
      <c r="DL310" s="137"/>
      <c r="DM310" s="137"/>
      <c r="DN310" s="137"/>
      <c r="DO310" s="137"/>
      <c r="DP310" s="137"/>
      <c r="DQ310" s="137"/>
      <c r="DR310" s="137"/>
      <c r="DS310" s="137"/>
      <c r="DT310" s="137"/>
      <c r="DU310" s="137"/>
      <c r="DV310" s="137"/>
      <c r="DW310" s="137"/>
      <c r="DX310" s="137"/>
      <c r="DY310" s="137"/>
      <c r="DZ310" s="137"/>
      <c r="EA310" s="137"/>
      <c r="EB310" s="137"/>
      <c r="EC310" s="137"/>
      <c r="ED310" s="137"/>
      <c r="EE310" s="137"/>
      <c r="EF310" s="137"/>
      <c r="EG310" s="137"/>
      <c r="EH310" s="137"/>
      <c r="EI310" s="137"/>
      <c r="EJ310" s="137"/>
      <c r="EK310" s="137"/>
      <c r="EL310" s="137"/>
      <c r="EM310" s="137"/>
      <c r="EN310" s="137"/>
      <c r="EO310" s="137"/>
      <c r="EP310" s="137"/>
      <c r="EQ310" s="137"/>
      <c r="ER310" s="137"/>
      <c r="ES310" s="137"/>
      <c r="ET310" s="137"/>
      <c r="EU310" s="137"/>
      <c r="EV310" s="137"/>
      <c r="EW310" s="137"/>
      <c r="EX310" s="137"/>
      <c r="EY310" s="137"/>
      <c r="EZ310" s="137"/>
      <c r="FA310" s="137"/>
      <c r="FB310" s="137"/>
      <c r="FC310" s="137"/>
      <c r="FD310" s="137"/>
      <c r="FE310" s="137"/>
      <c r="FF310" s="137"/>
      <c r="FG310" s="860"/>
      <c r="FH310" s="863"/>
      <c r="FI310" s="1318"/>
      <c r="FJ310" s="126"/>
      <c r="FK310" s="127"/>
      <c r="FL310" s="128" t="str">
        <f t="shared" si="1028"/>
        <v xml:space="preserve">    </v>
      </c>
      <c r="FM310" s="128"/>
      <c r="FN310" s="1686">
        <f t="shared" si="1029"/>
        <v>0</v>
      </c>
      <c r="FO310" s="46">
        <f t="shared" si="972"/>
        <v>0</v>
      </c>
      <c r="FP310" s="46">
        <f t="shared" si="977"/>
        <v>1</v>
      </c>
      <c r="FQ310" s="75">
        <f t="shared" si="1030"/>
        <v>0</v>
      </c>
      <c r="FR310" s="46">
        <f t="shared" si="1036"/>
        <v>0</v>
      </c>
      <c r="FS310" s="46">
        <f t="shared" si="1037"/>
        <v>1</v>
      </c>
      <c r="FT310" s="75">
        <f t="shared" si="1031"/>
        <v>0</v>
      </c>
      <c r="FU310" s="2603">
        <f t="shared" si="973"/>
        <v>0</v>
      </c>
      <c r="FV310" s="2607">
        <f t="shared" si="974"/>
        <v>0</v>
      </c>
      <c r="FW310" s="2603">
        <f t="shared" si="975"/>
        <v>0</v>
      </c>
      <c r="FX310" s="2631">
        <f t="shared" si="976"/>
        <v>0</v>
      </c>
      <c r="FY310" s="81" t="e">
        <f t="shared" si="1038"/>
        <v>#N/A</v>
      </c>
      <c r="FZ310" s="64" t="e">
        <f t="array" ref="FZ310">MATCH(1,($GT310:$LQ310&gt;0)*$GT$25:$LQ$25,0)</f>
        <v>#N/A</v>
      </c>
      <c r="GA310" s="64" t="e">
        <f t="array" ref="GA310">MATCH(2,1/(GT310:LQ310&gt;0))</f>
        <v>#N/A</v>
      </c>
      <c r="GB310" s="64">
        <f t="shared" si="1032"/>
        <v>-1</v>
      </c>
      <c r="GC310" s="46"/>
      <c r="GD310" s="613"/>
      <c r="GE310" s="613"/>
      <c r="GF310" s="613"/>
      <c r="GG310" s="613"/>
      <c r="GH310" s="613"/>
      <c r="GI310" s="613"/>
      <c r="GJ310" s="613"/>
      <c r="GK310" s="613"/>
      <c r="GL310" s="613"/>
      <c r="GM310" s="613"/>
      <c r="GN310" s="385">
        <f t="shared" si="1047"/>
        <v>0</v>
      </c>
      <c r="GO310" s="386">
        <f t="shared" si="1048"/>
        <v>0</v>
      </c>
      <c r="GP310" s="2635"/>
      <c r="GQ310" s="175"/>
      <c r="GR310" s="172"/>
      <c r="GS310" s="65"/>
      <c r="GT310" s="167"/>
      <c r="GU310" s="168"/>
      <c r="GV310" s="168"/>
      <c r="GW310" s="168"/>
      <c r="GX310" s="168"/>
      <c r="GY310" s="168"/>
      <c r="GZ310" s="168"/>
      <c r="HA310" s="168"/>
      <c r="HB310" s="168"/>
      <c r="HC310" s="168"/>
      <c r="HD310" s="168"/>
      <c r="HE310" s="168"/>
      <c r="HF310" s="168"/>
      <c r="HG310" s="168"/>
      <c r="HH310" s="168"/>
      <c r="HI310" s="168"/>
      <c r="HJ310" s="168"/>
      <c r="HK310" s="168"/>
      <c r="HL310" s="168"/>
      <c r="HM310" s="168"/>
      <c r="HN310" s="168"/>
      <c r="HO310" s="168"/>
      <c r="HP310" s="168"/>
      <c r="HQ310" s="168"/>
      <c r="HR310" s="168"/>
      <c r="HS310" s="168"/>
      <c r="HT310" s="168"/>
      <c r="HU310" s="168"/>
      <c r="HV310" s="168"/>
      <c r="HW310" s="168"/>
      <c r="HX310" s="168"/>
      <c r="HY310" s="168"/>
      <c r="HZ310" s="168"/>
      <c r="IA310" s="168"/>
      <c r="IB310" s="168"/>
      <c r="IC310" s="168"/>
      <c r="ID310" s="168"/>
      <c r="IE310" s="168"/>
      <c r="IF310" s="168"/>
      <c r="IG310" s="168"/>
      <c r="IH310" s="168"/>
      <c r="II310" s="168"/>
      <c r="IJ310" s="168"/>
      <c r="IK310" s="168"/>
      <c r="IL310" s="168"/>
      <c r="IM310" s="168"/>
      <c r="IN310" s="168"/>
      <c r="IO310" s="168"/>
      <c r="IP310" s="168"/>
      <c r="IQ310" s="168"/>
      <c r="IR310" s="168"/>
      <c r="IS310" s="168"/>
      <c r="IT310" s="168"/>
      <c r="IU310" s="168"/>
      <c r="IV310" s="168"/>
      <c r="IW310" s="168"/>
      <c r="IX310" s="168"/>
      <c r="IY310" s="168"/>
      <c r="IZ310" s="168"/>
      <c r="JA310" s="168"/>
      <c r="JB310" s="168"/>
      <c r="JC310" s="168"/>
      <c r="JD310" s="168"/>
      <c r="JE310" s="168"/>
      <c r="JF310" s="168"/>
      <c r="JG310" s="168"/>
      <c r="JH310" s="168"/>
      <c r="JI310" s="168"/>
      <c r="JJ310" s="168"/>
      <c r="JK310" s="168"/>
      <c r="JL310" s="168"/>
      <c r="JM310" s="168"/>
      <c r="JN310" s="168"/>
      <c r="JO310" s="168"/>
      <c r="JP310" s="168"/>
      <c r="JQ310" s="168"/>
      <c r="JR310" s="168"/>
      <c r="JS310" s="168"/>
      <c r="JT310" s="168"/>
      <c r="JU310" s="168"/>
      <c r="JV310" s="168"/>
      <c r="JW310" s="168"/>
      <c r="JX310" s="168"/>
      <c r="JY310" s="168"/>
      <c r="JZ310" s="168"/>
      <c r="KA310" s="168"/>
      <c r="KB310" s="168"/>
      <c r="KC310" s="168"/>
      <c r="KD310" s="168"/>
      <c r="KE310" s="168"/>
      <c r="KF310" s="168"/>
      <c r="KG310" s="168"/>
      <c r="KH310" s="168"/>
      <c r="KI310" s="168"/>
      <c r="KJ310" s="168"/>
      <c r="KK310" s="168"/>
      <c r="KL310" s="168"/>
      <c r="KM310" s="168"/>
      <c r="KN310" s="168"/>
      <c r="KO310" s="168"/>
      <c r="KP310" s="168"/>
      <c r="KQ310" s="168"/>
      <c r="KR310" s="168"/>
      <c r="KS310" s="168"/>
      <c r="KT310" s="168"/>
      <c r="KU310" s="168"/>
      <c r="KV310" s="168"/>
      <c r="KW310" s="168"/>
      <c r="KX310" s="168"/>
      <c r="KY310" s="168"/>
      <c r="KZ310" s="168"/>
      <c r="LA310" s="168"/>
      <c r="LB310" s="168"/>
      <c r="LC310" s="168"/>
      <c r="LD310" s="168"/>
      <c r="LE310" s="168"/>
      <c r="LF310" s="168"/>
      <c r="LG310" s="168"/>
      <c r="LH310" s="168"/>
      <c r="LI310" s="168"/>
      <c r="LJ310" s="168"/>
      <c r="LK310" s="168"/>
      <c r="LL310" s="168"/>
      <c r="LM310" s="168"/>
      <c r="LN310" s="168"/>
      <c r="LO310" s="168"/>
      <c r="LP310" s="606"/>
      <c r="LQ310" s="609"/>
      <c r="LR310" s="1319"/>
      <c r="LS310" s="1319"/>
    </row>
    <row r="311" spans="1:331" s="2" customFormat="1" ht="15" customHeight="1" x14ac:dyDescent="0.25">
      <c r="A311" s="283"/>
      <c r="B311" s="303"/>
      <c r="C311" s="301"/>
      <c r="D311" s="1287"/>
      <c r="E311" s="2298"/>
      <c r="F311" s="1812"/>
      <c r="G311" s="3342"/>
      <c r="H311" s="66"/>
      <c r="I311" s="1746"/>
      <c r="J311" s="1214"/>
      <c r="K311" s="105"/>
      <c r="L311" s="91"/>
      <c r="M311" s="92"/>
      <c r="N311" s="93"/>
      <c r="O311" s="94"/>
      <c r="P311" s="96"/>
      <c r="Q311" s="95"/>
      <c r="R311" s="993">
        <f t="shared" si="1039"/>
        <v>0</v>
      </c>
      <c r="S311" s="23">
        <f t="shared" si="1040"/>
        <v>0</v>
      </c>
      <c r="T311" s="24">
        <f t="shared" si="985"/>
        <v>0</v>
      </c>
      <c r="U311" s="24">
        <f t="shared" si="986"/>
        <v>0</v>
      </c>
      <c r="V311" s="24">
        <f t="shared" si="987"/>
        <v>0</v>
      </c>
      <c r="W311" s="24">
        <f t="shared" ca="1" si="988"/>
        <v>0</v>
      </c>
      <c r="X311" s="72">
        <f t="shared" ca="1" si="956"/>
        <v>0</v>
      </c>
      <c r="Y311" s="72">
        <f t="shared" si="989"/>
        <v>0</v>
      </c>
      <c r="Z311" s="24">
        <f t="shared" si="990"/>
        <v>0</v>
      </c>
      <c r="AA311" s="72">
        <f t="shared" si="957"/>
        <v>0</v>
      </c>
      <c r="AB311" s="24">
        <f t="shared" si="967"/>
        <v>0</v>
      </c>
      <c r="AC311" s="24">
        <f t="shared" ca="1" si="991"/>
        <v>0</v>
      </c>
      <c r="AD311" s="24">
        <f t="shared" si="1049"/>
        <v>0</v>
      </c>
      <c r="AE311" s="2078">
        <f t="shared" si="1033"/>
        <v>3</v>
      </c>
      <c r="AF311" s="2078">
        <f t="shared" si="1034"/>
        <v>0</v>
      </c>
      <c r="AG311" s="2078">
        <f t="shared" si="1035"/>
        <v>0</v>
      </c>
      <c r="AH311" s="2521">
        <f t="shared" si="1050"/>
        <v>1</v>
      </c>
      <c r="AI311" s="25" t="str">
        <f t="shared" si="992"/>
        <v/>
      </c>
      <c r="AJ311" s="2521">
        <f t="shared" ca="1" si="1045"/>
        <v>0</v>
      </c>
      <c r="AK311" s="2076">
        <f t="shared" ca="1" si="1041"/>
        <v>0</v>
      </c>
      <c r="AL311" s="2078">
        <f>IF(ISBLANK(J311),0,ISERROR(MATCH(J311,'5  Control Accounts'!$FA$29:$FA$96,0))*1)</f>
        <v>0</v>
      </c>
      <c r="AM311" s="2076">
        <f t="shared" si="993"/>
        <v>0</v>
      </c>
      <c r="AN311" s="2078">
        <f t="shared" si="994"/>
        <v>1</v>
      </c>
      <c r="AO311" s="2079">
        <f t="shared" si="1051"/>
        <v>1</v>
      </c>
      <c r="AP311" s="2079">
        <f t="shared" si="1052"/>
        <v>0</v>
      </c>
      <c r="AQ311" s="2079">
        <f t="shared" si="1053"/>
        <v>0</v>
      </c>
      <c r="AR311" s="2079">
        <f t="shared" si="1054"/>
        <v>0</v>
      </c>
      <c r="AS311" s="2079">
        <f t="shared" si="1055"/>
        <v>0</v>
      </c>
      <c r="AT311" s="2079">
        <f t="shared" si="1056"/>
        <v>0</v>
      </c>
      <c r="AU311" s="2079">
        <f t="shared" si="1057"/>
        <v>0</v>
      </c>
      <c r="AV311" s="2079">
        <f t="shared" si="1058"/>
        <v>0</v>
      </c>
      <c r="AW311" s="2079">
        <f t="shared" si="1059"/>
        <v>0</v>
      </c>
      <c r="AX311" s="2079">
        <f t="shared" si="1060"/>
        <v>0</v>
      </c>
      <c r="AY311" s="2078">
        <f t="shared" si="995"/>
        <v>0</v>
      </c>
      <c r="AZ311" s="2078">
        <f t="shared" si="996"/>
        <v>0</v>
      </c>
      <c r="BA311" s="2078">
        <f t="shared" si="997"/>
        <v>0</v>
      </c>
      <c r="BB311" s="2078">
        <f t="shared" si="998"/>
        <v>0</v>
      </c>
      <c r="BC311" s="2078">
        <f t="shared" si="999"/>
        <v>0</v>
      </c>
      <c r="BD311" s="2078">
        <f t="shared" si="1000"/>
        <v>0</v>
      </c>
      <c r="BE311" s="2078">
        <f t="shared" si="1001"/>
        <v>0</v>
      </c>
      <c r="BF311" s="2078">
        <f t="shared" si="1002"/>
        <v>0</v>
      </c>
      <c r="BG311" s="2078">
        <f t="shared" si="1003"/>
        <v>0</v>
      </c>
      <c r="BH311" s="2078">
        <f t="shared" si="1004"/>
        <v>0</v>
      </c>
      <c r="BI311" s="2078">
        <f t="shared" si="1005"/>
        <v>0</v>
      </c>
      <c r="BJ311" s="2078">
        <f t="shared" si="1006"/>
        <v>0</v>
      </c>
      <c r="BK311" s="2078">
        <f t="shared" si="1007"/>
        <v>0</v>
      </c>
      <c r="BL311" s="2078">
        <f t="shared" si="1008"/>
        <v>0</v>
      </c>
      <c r="BM311" s="2078">
        <f t="shared" si="1009"/>
        <v>0</v>
      </c>
      <c r="BN311" s="2078">
        <f t="shared" si="1010"/>
        <v>0</v>
      </c>
      <c r="BO311" s="2078">
        <f t="shared" si="1011"/>
        <v>0</v>
      </c>
      <c r="BP311" s="2078">
        <f t="shared" si="1012"/>
        <v>0</v>
      </c>
      <c r="BQ311" s="2078">
        <f t="shared" si="1013"/>
        <v>0</v>
      </c>
      <c r="BR311" s="2078">
        <f t="shared" si="1014"/>
        <v>0</v>
      </c>
      <c r="BS311" s="2079">
        <f t="shared" si="1061"/>
        <v>1</v>
      </c>
      <c r="BT311" s="2079">
        <f t="shared" si="1062"/>
        <v>0</v>
      </c>
      <c r="BU311" s="2079">
        <f t="shared" si="1063"/>
        <v>0</v>
      </c>
      <c r="BV311" s="2079">
        <f t="shared" si="1064"/>
        <v>0</v>
      </c>
      <c r="BW311" s="2079">
        <f t="shared" si="1065"/>
        <v>0</v>
      </c>
      <c r="BX311" s="2079">
        <f t="shared" si="1066"/>
        <v>0</v>
      </c>
      <c r="BY311" s="2079">
        <f t="shared" si="1067"/>
        <v>0</v>
      </c>
      <c r="BZ311" s="2079">
        <f t="shared" si="1068"/>
        <v>0</v>
      </c>
      <c r="CA311" s="2079">
        <f t="shared" si="1069"/>
        <v>0</v>
      </c>
      <c r="CB311" s="2079">
        <f t="shared" si="1070"/>
        <v>0</v>
      </c>
      <c r="CC311" s="2078">
        <f t="shared" ca="1" si="1015"/>
        <v>0</v>
      </c>
      <c r="CD311" s="2078">
        <f t="shared" ca="1" si="1016"/>
        <v>0</v>
      </c>
      <c r="CE311" s="2078">
        <f t="shared" ca="1" si="1017"/>
        <v>0</v>
      </c>
      <c r="CF311" s="2078">
        <f t="shared" ca="1" si="1018"/>
        <v>0</v>
      </c>
      <c r="CG311" s="2078">
        <f t="shared" ca="1" si="1019"/>
        <v>0</v>
      </c>
      <c r="CH311" s="2078">
        <f t="shared" ca="1" si="1020"/>
        <v>0</v>
      </c>
      <c r="CI311" s="2078">
        <f t="shared" ca="1" si="1021"/>
        <v>0</v>
      </c>
      <c r="CJ311" s="2078">
        <f t="shared" ca="1" si="1022"/>
        <v>0</v>
      </c>
      <c r="CK311" s="2078">
        <f t="shared" ca="1" si="1023"/>
        <v>0</v>
      </c>
      <c r="CL311" s="2078">
        <f t="shared" ca="1" si="1024"/>
        <v>0</v>
      </c>
      <c r="CM311" s="2078">
        <f t="shared" si="968"/>
        <v>1</v>
      </c>
      <c r="CN311" s="2078">
        <f t="shared" si="969"/>
        <v>1</v>
      </c>
      <c r="CO311" s="2078">
        <f t="shared" si="958"/>
        <v>1</v>
      </c>
      <c r="CP311" s="2078">
        <f t="shared" si="1025"/>
        <v>1</v>
      </c>
      <c r="CQ311" s="2078">
        <f t="shared" si="959"/>
        <v>0</v>
      </c>
      <c r="CR311" s="2078">
        <f t="shared" si="1042"/>
        <v>0</v>
      </c>
      <c r="CS311" s="2078">
        <f t="shared" si="1026"/>
        <v>0</v>
      </c>
      <c r="CT311" s="2078">
        <f t="shared" si="960"/>
        <v>1</v>
      </c>
      <c r="CU311" s="2078">
        <f t="shared" si="1027"/>
        <v>1</v>
      </c>
      <c r="CV311" s="2078">
        <f t="shared" si="970"/>
        <v>0</v>
      </c>
      <c r="CW311" s="2078">
        <f>IF(OR(AE311&lt;&gt;3,F311="Exclude"),0,IF(ISERROR(MATCH($E311,'4 Sign-off'!$S$123:$X$123,0)),0,1))</f>
        <v>0</v>
      </c>
      <c r="CX311" s="2078">
        <f t="shared" si="1046"/>
        <v>0</v>
      </c>
      <c r="CY311" s="2078">
        <f t="shared" si="971"/>
        <v>0</v>
      </c>
      <c r="CZ311" s="2993">
        <f t="shared" ca="1" si="1043"/>
        <v>0</v>
      </c>
      <c r="DA311" s="3037">
        <f t="shared" ca="1" si="1044"/>
        <v>0</v>
      </c>
      <c r="DB311" s="1664"/>
      <c r="DC311" s="1320"/>
      <c r="DD311" s="589"/>
      <c r="DE311" s="1321"/>
      <c r="DF311" s="107"/>
      <c r="DG311" s="112"/>
      <c r="DH311" s="140"/>
      <c r="DI311" s="22"/>
      <c r="DJ311" s="145"/>
      <c r="DK311" s="137"/>
      <c r="DL311" s="137"/>
      <c r="DM311" s="137"/>
      <c r="DN311" s="137"/>
      <c r="DO311" s="137"/>
      <c r="DP311" s="137"/>
      <c r="DQ311" s="137"/>
      <c r="DR311" s="137"/>
      <c r="DS311" s="137"/>
      <c r="DT311" s="137"/>
      <c r="DU311" s="137"/>
      <c r="DV311" s="137"/>
      <c r="DW311" s="137"/>
      <c r="DX311" s="137"/>
      <c r="DY311" s="137"/>
      <c r="DZ311" s="137"/>
      <c r="EA311" s="137"/>
      <c r="EB311" s="137"/>
      <c r="EC311" s="137"/>
      <c r="ED311" s="137"/>
      <c r="EE311" s="137"/>
      <c r="EF311" s="137"/>
      <c r="EG311" s="137"/>
      <c r="EH311" s="137"/>
      <c r="EI311" s="137"/>
      <c r="EJ311" s="137"/>
      <c r="EK311" s="137"/>
      <c r="EL311" s="137"/>
      <c r="EM311" s="137"/>
      <c r="EN311" s="137"/>
      <c r="EO311" s="137"/>
      <c r="EP311" s="137"/>
      <c r="EQ311" s="137"/>
      <c r="ER311" s="137"/>
      <c r="ES311" s="137"/>
      <c r="ET311" s="137"/>
      <c r="EU311" s="137"/>
      <c r="EV311" s="137"/>
      <c r="EW311" s="137"/>
      <c r="EX311" s="137"/>
      <c r="EY311" s="137"/>
      <c r="EZ311" s="137"/>
      <c r="FA311" s="137"/>
      <c r="FB311" s="137"/>
      <c r="FC311" s="137"/>
      <c r="FD311" s="137"/>
      <c r="FE311" s="137"/>
      <c r="FF311" s="137"/>
      <c r="FG311" s="860"/>
      <c r="FH311" s="863"/>
      <c r="FI311" s="1318"/>
      <c r="FJ311" s="126"/>
      <c r="FK311" s="127"/>
      <c r="FL311" s="128" t="str">
        <f t="shared" si="1028"/>
        <v xml:space="preserve">    </v>
      </c>
      <c r="FM311" s="128"/>
      <c r="FN311" s="1686">
        <f t="shared" si="1029"/>
        <v>0</v>
      </c>
      <c r="FO311" s="46">
        <f t="shared" si="972"/>
        <v>0</v>
      </c>
      <c r="FP311" s="46">
        <f t="shared" si="977"/>
        <v>1</v>
      </c>
      <c r="FQ311" s="75">
        <f t="shared" si="1030"/>
        <v>0</v>
      </c>
      <c r="FR311" s="46">
        <f t="shared" si="1036"/>
        <v>0</v>
      </c>
      <c r="FS311" s="46">
        <f t="shared" si="1037"/>
        <v>1</v>
      </c>
      <c r="FT311" s="75">
        <f t="shared" si="1031"/>
        <v>0</v>
      </c>
      <c r="FU311" s="2603">
        <f t="shared" si="973"/>
        <v>0</v>
      </c>
      <c r="FV311" s="2607">
        <f t="shared" si="974"/>
        <v>0</v>
      </c>
      <c r="FW311" s="2603">
        <f t="shared" si="975"/>
        <v>0</v>
      </c>
      <c r="FX311" s="2631">
        <f t="shared" si="976"/>
        <v>0</v>
      </c>
      <c r="FY311" s="81" t="e">
        <f t="shared" si="1038"/>
        <v>#N/A</v>
      </c>
      <c r="FZ311" s="64" t="e">
        <f t="array" ref="FZ311">MATCH(1,($GT311:$LQ311&gt;0)*$GT$25:$LQ$25,0)</f>
        <v>#N/A</v>
      </c>
      <c r="GA311" s="64" t="e">
        <f t="array" ref="GA311">MATCH(2,1/(GT311:LQ311&gt;0))</f>
        <v>#N/A</v>
      </c>
      <c r="GB311" s="64">
        <f t="shared" si="1032"/>
        <v>-1</v>
      </c>
      <c r="GC311" s="46"/>
      <c r="GD311" s="613"/>
      <c r="GE311" s="613"/>
      <c r="GF311" s="613"/>
      <c r="GG311" s="613"/>
      <c r="GH311" s="613"/>
      <c r="GI311" s="613"/>
      <c r="GJ311" s="613"/>
      <c r="GK311" s="613"/>
      <c r="GL311" s="613"/>
      <c r="GM311" s="613"/>
      <c r="GN311" s="385">
        <f t="shared" si="1047"/>
        <v>0</v>
      </c>
      <c r="GO311" s="386">
        <f t="shared" si="1048"/>
        <v>0</v>
      </c>
      <c r="GP311" s="2635"/>
      <c r="GQ311" s="175"/>
      <c r="GR311" s="172"/>
      <c r="GS311" s="65"/>
      <c r="GT311" s="167"/>
      <c r="GU311" s="168"/>
      <c r="GV311" s="168"/>
      <c r="GW311" s="168"/>
      <c r="GX311" s="168"/>
      <c r="GY311" s="168"/>
      <c r="GZ311" s="168"/>
      <c r="HA311" s="168"/>
      <c r="HB311" s="168"/>
      <c r="HC311" s="168"/>
      <c r="HD311" s="168"/>
      <c r="HE311" s="168"/>
      <c r="HF311" s="168"/>
      <c r="HG311" s="168"/>
      <c r="HH311" s="168"/>
      <c r="HI311" s="168"/>
      <c r="HJ311" s="168"/>
      <c r="HK311" s="168"/>
      <c r="HL311" s="168"/>
      <c r="HM311" s="168"/>
      <c r="HN311" s="168"/>
      <c r="HO311" s="168"/>
      <c r="HP311" s="168"/>
      <c r="HQ311" s="168"/>
      <c r="HR311" s="168"/>
      <c r="HS311" s="168"/>
      <c r="HT311" s="168"/>
      <c r="HU311" s="168"/>
      <c r="HV311" s="168"/>
      <c r="HW311" s="168"/>
      <c r="HX311" s="168"/>
      <c r="HY311" s="168"/>
      <c r="HZ311" s="168"/>
      <c r="IA311" s="168"/>
      <c r="IB311" s="168"/>
      <c r="IC311" s="168"/>
      <c r="ID311" s="168"/>
      <c r="IE311" s="168"/>
      <c r="IF311" s="168"/>
      <c r="IG311" s="168"/>
      <c r="IH311" s="168"/>
      <c r="II311" s="168"/>
      <c r="IJ311" s="168"/>
      <c r="IK311" s="168"/>
      <c r="IL311" s="168"/>
      <c r="IM311" s="168"/>
      <c r="IN311" s="168"/>
      <c r="IO311" s="168"/>
      <c r="IP311" s="168"/>
      <c r="IQ311" s="168"/>
      <c r="IR311" s="168"/>
      <c r="IS311" s="168"/>
      <c r="IT311" s="168"/>
      <c r="IU311" s="168"/>
      <c r="IV311" s="168"/>
      <c r="IW311" s="168"/>
      <c r="IX311" s="168"/>
      <c r="IY311" s="168"/>
      <c r="IZ311" s="168"/>
      <c r="JA311" s="168"/>
      <c r="JB311" s="168"/>
      <c r="JC311" s="168"/>
      <c r="JD311" s="168"/>
      <c r="JE311" s="168"/>
      <c r="JF311" s="168"/>
      <c r="JG311" s="168"/>
      <c r="JH311" s="168"/>
      <c r="JI311" s="168"/>
      <c r="JJ311" s="168"/>
      <c r="JK311" s="168"/>
      <c r="JL311" s="168"/>
      <c r="JM311" s="168"/>
      <c r="JN311" s="168"/>
      <c r="JO311" s="168"/>
      <c r="JP311" s="168"/>
      <c r="JQ311" s="168"/>
      <c r="JR311" s="168"/>
      <c r="JS311" s="168"/>
      <c r="JT311" s="168"/>
      <c r="JU311" s="168"/>
      <c r="JV311" s="168"/>
      <c r="JW311" s="168"/>
      <c r="JX311" s="168"/>
      <c r="JY311" s="168"/>
      <c r="JZ311" s="168"/>
      <c r="KA311" s="168"/>
      <c r="KB311" s="168"/>
      <c r="KC311" s="168"/>
      <c r="KD311" s="168"/>
      <c r="KE311" s="168"/>
      <c r="KF311" s="168"/>
      <c r="KG311" s="168"/>
      <c r="KH311" s="168"/>
      <c r="KI311" s="168"/>
      <c r="KJ311" s="168"/>
      <c r="KK311" s="168"/>
      <c r="KL311" s="168"/>
      <c r="KM311" s="168"/>
      <c r="KN311" s="168"/>
      <c r="KO311" s="168"/>
      <c r="KP311" s="168"/>
      <c r="KQ311" s="168"/>
      <c r="KR311" s="168"/>
      <c r="KS311" s="168"/>
      <c r="KT311" s="168"/>
      <c r="KU311" s="168"/>
      <c r="KV311" s="168"/>
      <c r="KW311" s="168"/>
      <c r="KX311" s="168"/>
      <c r="KY311" s="168"/>
      <c r="KZ311" s="168"/>
      <c r="LA311" s="168"/>
      <c r="LB311" s="168"/>
      <c r="LC311" s="168"/>
      <c r="LD311" s="168"/>
      <c r="LE311" s="168"/>
      <c r="LF311" s="168"/>
      <c r="LG311" s="168"/>
      <c r="LH311" s="168"/>
      <c r="LI311" s="168"/>
      <c r="LJ311" s="168"/>
      <c r="LK311" s="168"/>
      <c r="LL311" s="168"/>
      <c r="LM311" s="168"/>
      <c r="LN311" s="168"/>
      <c r="LO311" s="168"/>
      <c r="LP311" s="606"/>
      <c r="LQ311" s="609"/>
      <c r="LR311" s="1319"/>
      <c r="LS311" s="1319"/>
    </row>
    <row r="312" spans="1:331" s="2" customFormat="1" ht="15" customHeight="1" x14ac:dyDescent="0.25">
      <c r="A312" s="283"/>
      <c r="B312" s="303"/>
      <c r="C312" s="301"/>
      <c r="D312" s="1287"/>
      <c r="E312" s="2298"/>
      <c r="F312" s="1812"/>
      <c r="G312" s="3342"/>
      <c r="H312" s="66"/>
      <c r="I312" s="1746"/>
      <c r="J312" s="1214"/>
      <c r="K312" s="105"/>
      <c r="L312" s="91"/>
      <c r="M312" s="92"/>
      <c r="N312" s="93"/>
      <c r="O312" s="94"/>
      <c r="P312" s="96"/>
      <c r="Q312" s="95"/>
      <c r="R312" s="993">
        <f t="shared" si="1039"/>
        <v>0</v>
      </c>
      <c r="S312" s="23">
        <f t="shared" si="1040"/>
        <v>0</v>
      </c>
      <c r="T312" s="24">
        <f t="shared" ref="T312:T341" si="1071">IF($AE312&lt;&gt;3,0,SUM($DJ312:$FH312)*$AN312*$AH312)</f>
        <v>0</v>
      </c>
      <c r="U312" s="24">
        <f t="shared" ref="U312:U341" si="1072">IF($AE312&lt;&gt;3,0,SUM($DJ312:$FH312)*$AN312*(1-$AH312))</f>
        <v>0</v>
      </c>
      <c r="V312" s="24">
        <f t="shared" ref="V312:V341" si="1073">IF($AE312&lt;&gt;3,0,SUMPRODUCT($DJ312:$FH312,$DJ$30:$FH$30)*$AN312*AH312)</f>
        <v>0</v>
      </c>
      <c r="W312" s="24">
        <f t="shared" ref="W312:W341" ca="1" si="1074">IFERROR(X312*SUMPRODUCT($DJ312:$FH312,$DJ$29:$FH$29)/SUM($DJ312:$FH312),0)</f>
        <v>0</v>
      </c>
      <c r="X312" s="72">
        <f t="shared" ca="1" si="956"/>
        <v>0</v>
      </c>
      <c r="Y312" s="72">
        <f t="shared" ref="Y312:Y341" si="1075">IF($AE312=3,SUMPRODUCT($AO312:$AX312,BI312:BR312),0)</f>
        <v>0</v>
      </c>
      <c r="Z312" s="24">
        <f t="shared" ref="Z312:Z341" si="1076">IF($AE312=3,SUMPRODUCT($AO312:$AX312,AY312:BH312),0)</f>
        <v>0</v>
      </c>
      <c r="AA312" s="72">
        <f t="shared" si="957"/>
        <v>0</v>
      </c>
      <c r="AB312" s="24">
        <f t="shared" si="967"/>
        <v>0</v>
      </c>
      <c r="AC312" s="24">
        <f t="shared" ref="AC312:AC341" ca="1" si="1077">IF($AE312=3,SUMPRODUCT($DJ312:$FH312,$DJ$24:$FH$24)*AN312,0)</f>
        <v>0</v>
      </c>
      <c r="AD312" s="24">
        <f t="shared" si="1049"/>
        <v>0</v>
      </c>
      <c r="AE312" s="2078">
        <f t="shared" si="1033"/>
        <v>3</v>
      </c>
      <c r="AF312" s="2078">
        <f t="shared" si="1034"/>
        <v>0</v>
      </c>
      <c r="AG312" s="2078">
        <f t="shared" si="1035"/>
        <v>0</v>
      </c>
      <c r="AH312" s="2521">
        <f t="shared" si="1050"/>
        <v>1</v>
      </c>
      <c r="AI312" s="25" t="str">
        <f t="shared" ref="AI312:AI341" si="1078">LEFT(J312,1)</f>
        <v/>
      </c>
      <c r="AJ312" s="2521">
        <f t="shared" ca="1" si="1045"/>
        <v>0</v>
      </c>
      <c r="AK312" s="2076">
        <f t="shared" ca="1" si="1041"/>
        <v>0</v>
      </c>
      <c r="AL312" s="2078">
        <f>IF(ISBLANK(J312),0,ISERROR(MATCH(J312,'5  Control Accounts'!$FA$29:$FA$96,0))*1)</f>
        <v>0</v>
      </c>
      <c r="AM312" s="2076">
        <f t="shared" ref="AM312:AM341" si="1079">AND($C$6,(T312+U312+AB312)&lt;&gt;0,$F312&lt;&gt;"Exclude",ISBLANK(J312))*1</f>
        <v>0</v>
      </c>
      <c r="AN312" s="2078">
        <f t="shared" ref="AN312:AN341" si="1080">IF(DE312&gt;0,0,IF(GR312="T",FQ312*(1+B312),IF(ISBLANK(DH312),1+B312,DH312*(1+B312))*IF(FO312="P",1-GP312,1)))</f>
        <v>1</v>
      </c>
      <c r="AO312" s="2079">
        <f t="shared" si="1051"/>
        <v>1</v>
      </c>
      <c r="AP312" s="2079">
        <f t="shared" si="1052"/>
        <v>0</v>
      </c>
      <c r="AQ312" s="2079">
        <f t="shared" si="1053"/>
        <v>0</v>
      </c>
      <c r="AR312" s="2079">
        <f t="shared" si="1054"/>
        <v>0</v>
      </c>
      <c r="AS312" s="2079">
        <f t="shared" si="1055"/>
        <v>0</v>
      </c>
      <c r="AT312" s="2079">
        <f t="shared" si="1056"/>
        <v>0</v>
      </c>
      <c r="AU312" s="2079">
        <f t="shared" si="1057"/>
        <v>0</v>
      </c>
      <c r="AV312" s="2079">
        <f t="shared" si="1058"/>
        <v>0</v>
      </c>
      <c r="AW312" s="2079">
        <f t="shared" si="1059"/>
        <v>0</v>
      </c>
      <c r="AX312" s="2079">
        <f t="shared" si="1060"/>
        <v>0</v>
      </c>
      <c r="AY312" s="2078">
        <f t="shared" ref="AY312:AY341" si="1081">IF($AE312=3,SUMPRODUCT($DJ$45:$FH$45,$DJ312:$FH312)*$AN312,0)</f>
        <v>0</v>
      </c>
      <c r="AZ312" s="2078">
        <f t="shared" ref="AZ312:AZ341" si="1082">IF($AE312=3,SUMPRODUCT($DJ$46:$FH$46,$DJ312:$FH312)*$AN312,0)</f>
        <v>0</v>
      </c>
      <c r="BA312" s="2078">
        <f t="shared" ref="BA312:BA341" si="1083">IF($AE312=3,SUMPRODUCT($DJ$47:$FH$47,$DJ312:$FH312)*$AN312,0)</f>
        <v>0</v>
      </c>
      <c r="BB312" s="2078">
        <f t="shared" ref="BB312:BB341" si="1084">IF($AE312=3,SUMPRODUCT($DJ$48:$FH$48,$DJ312:$FH312)*$AN312,0)</f>
        <v>0</v>
      </c>
      <c r="BC312" s="2078">
        <f t="shared" ref="BC312:BC341" si="1085">IF($AE312=3,SUMPRODUCT($DJ$49:$FH$49,$DJ312:$FH312)*$AN312,0)</f>
        <v>0</v>
      </c>
      <c r="BD312" s="2078">
        <f t="shared" ref="BD312:BD341" si="1086">IF($AE312=3,SUMPRODUCT($DJ$50:$FH$50,$DJ312:$FH312)*$AN312,0)</f>
        <v>0</v>
      </c>
      <c r="BE312" s="2078">
        <f t="shared" ref="BE312:BE341" si="1087">IF($AE312=3,SUMPRODUCT($DJ$51:$FH$51,$DJ312:$FH312)*$AN312,0)</f>
        <v>0</v>
      </c>
      <c r="BF312" s="2078">
        <f t="shared" ref="BF312:BF341" si="1088">IF($AE312=3,SUMPRODUCT($DJ$52:$FH$52,$DJ312:$FH312)*$AN312,0)</f>
        <v>0</v>
      </c>
      <c r="BG312" s="2078">
        <f t="shared" ref="BG312:BG341" si="1089">IF($AE312=3,SUMPRODUCT($DJ$53:$FH$53,$DJ312:$FH312)*$AN312,0)</f>
        <v>0</v>
      </c>
      <c r="BH312" s="2078">
        <f t="shared" ref="BH312:BH341" si="1090">IF($AE312=3,SUMPRODUCT($DJ$54:$FH$54,$DJ312:$FH312)*$AN312,0)</f>
        <v>0</v>
      </c>
      <c r="BI312" s="2078">
        <f t="shared" ref="BI312:BI341" si="1091">IF($AE312=3,SUMPRODUCT($DJ$56:$FH$56,$DJ312:$FH312)*$AN312,0)</f>
        <v>0</v>
      </c>
      <c r="BJ312" s="2078">
        <f t="shared" ref="BJ312:BJ341" si="1092">IF($AE312=3,SUMPRODUCT($DJ$57:$FH$57,$DJ312:$FH312)*$AN312,0)</f>
        <v>0</v>
      </c>
      <c r="BK312" s="2078">
        <f t="shared" ref="BK312:BK341" si="1093">IF($AE312=3,SUMPRODUCT($DJ$58:$FH$58,$DJ312:$FH312)*$AN312,0)</f>
        <v>0</v>
      </c>
      <c r="BL312" s="2078">
        <f t="shared" ref="BL312:BL341" si="1094">IF($AE312=3,SUMPRODUCT($DJ$59:$FH$59,$DJ312:$FH312)*$AN312,0)</f>
        <v>0</v>
      </c>
      <c r="BM312" s="2078">
        <f t="shared" ref="BM312:BM341" si="1095">IF($AE312=3,SUMPRODUCT($DJ$60:$FH$60,$DJ312:$FH312)*$AN312,0)</f>
        <v>0</v>
      </c>
      <c r="BN312" s="2078">
        <f t="shared" ref="BN312:BN341" si="1096">IF($AE312=3,SUMPRODUCT($DJ$61:$FH$61,$DJ312:$FH312)*$AN312,0)</f>
        <v>0</v>
      </c>
      <c r="BO312" s="2078">
        <f t="shared" ref="BO312:BO341" si="1097">IF($AE312=3,SUMPRODUCT($DJ$62:$FH$62,$DJ312:$FH312)*$AN312,0)</f>
        <v>0</v>
      </c>
      <c r="BP312" s="2078">
        <f t="shared" ref="BP312:BP341" si="1098">IF($AE312=3,SUMPRODUCT($DJ$63:$FH$63,$DJ312:$FH312)*$AN312,0)</f>
        <v>0</v>
      </c>
      <c r="BQ312" s="2078">
        <f t="shared" ref="BQ312:BQ341" si="1099">IF($AE312=3,SUMPRODUCT($DJ$64:$FH$64,$DJ312:$FH312)*$AN312,0)</f>
        <v>0</v>
      </c>
      <c r="BR312" s="2078">
        <f t="shared" ref="BR312:BR341" si="1100">IF($AE312=3,SUMPRODUCT($DJ$65:$FH$65,$DJ312:$FH312)*$AN312,0)</f>
        <v>0</v>
      </c>
      <c r="BS312" s="2079">
        <f t="shared" si="1061"/>
        <v>1</v>
      </c>
      <c r="BT312" s="2079">
        <f t="shared" si="1062"/>
        <v>0</v>
      </c>
      <c r="BU312" s="2079">
        <f t="shared" si="1063"/>
        <v>0</v>
      </c>
      <c r="BV312" s="2079">
        <f t="shared" si="1064"/>
        <v>0</v>
      </c>
      <c r="BW312" s="2079">
        <f t="shared" si="1065"/>
        <v>0</v>
      </c>
      <c r="BX312" s="2079">
        <f t="shared" si="1066"/>
        <v>0</v>
      </c>
      <c r="BY312" s="2079">
        <f t="shared" si="1067"/>
        <v>0</v>
      </c>
      <c r="BZ312" s="2079">
        <f t="shared" si="1068"/>
        <v>0</v>
      </c>
      <c r="CA312" s="2079">
        <f t="shared" si="1069"/>
        <v>0</v>
      </c>
      <c r="CB312" s="2079">
        <f t="shared" si="1070"/>
        <v>0</v>
      </c>
      <c r="CC312" s="2078">
        <f t="shared" ref="CC312:CC341" ca="1" si="1101">IF($AE312=3,SUMPRODUCT($DJ$78:$FH$78,$DJ312:$FH312)*$AN312,0)</f>
        <v>0</v>
      </c>
      <c r="CD312" s="2078">
        <f t="shared" ref="CD312:CD341" ca="1" si="1102">IF($AE312=3,SUMPRODUCT($DJ$79:$FH$79,$DJ312:$FH312)*$AN312,0)</f>
        <v>0</v>
      </c>
      <c r="CE312" s="2078">
        <f t="shared" ref="CE312:CE341" ca="1" si="1103">IF($AE312=3,SUMPRODUCT($DJ$80:$FH$80,$DJ312:$FH312)*$AN312,0)</f>
        <v>0</v>
      </c>
      <c r="CF312" s="2078">
        <f t="shared" ref="CF312:CF341" ca="1" si="1104">IF($AE312=3,SUMPRODUCT($DJ$81:$FH$81,$DJ312:$FH312)*$AN312,0)</f>
        <v>0</v>
      </c>
      <c r="CG312" s="2078">
        <f t="shared" ref="CG312:CG341" ca="1" si="1105">IF($AE312=3,SUMPRODUCT($DJ$82:$FH$82,$DJ312:$FH312)*$AN312,0)</f>
        <v>0</v>
      </c>
      <c r="CH312" s="2078">
        <f t="shared" ref="CH312:CH341" ca="1" si="1106">IF($AE312=3,SUMPRODUCT($DJ$83:$FH$83,$DJ312:$FH312)*$AN312,0)</f>
        <v>0</v>
      </c>
      <c r="CI312" s="2078">
        <f t="shared" ref="CI312:CI341" ca="1" si="1107">IF($AE312=3,SUMPRODUCT($DJ$84:$FH$84,$DJ312:$FH312)*$AN312,0)</f>
        <v>0</v>
      </c>
      <c r="CJ312" s="2078">
        <f t="shared" ref="CJ312:CJ341" ca="1" si="1108">IF($AE312=3,SUMPRODUCT($DJ$85:$FH$85,$DJ312:$FH312)*$AN312,0)</f>
        <v>0</v>
      </c>
      <c r="CK312" s="2078">
        <f t="shared" ref="CK312:CK341" ca="1" si="1109">IF($AE312=3,SUMPRODUCT($DJ$86:$FH$86,$DJ312:$FH312)*$AN312,0)</f>
        <v>0</v>
      </c>
      <c r="CL312" s="2078">
        <f t="shared" ref="CL312:CL341" ca="1" si="1110">IF($AE312=3,SUMPRODUCT($DJ$87:$FH$87,$DJ312:$FH312)*$AN312,0)</f>
        <v>0</v>
      </c>
      <c r="CM312" s="2078">
        <f t="shared" si="968"/>
        <v>1</v>
      </c>
      <c r="CN312" s="2078">
        <f t="shared" si="969"/>
        <v>1</v>
      </c>
      <c r="CO312" s="2078">
        <f t="shared" si="958"/>
        <v>1</v>
      </c>
      <c r="CP312" s="2078">
        <f t="shared" ref="CP312:CP341" si="1111">IF(AE312&lt;&gt;3,0,IF(OR(F312="",F312="Approved",F312="Pend w FC"),1,0))</f>
        <v>1</v>
      </c>
      <c r="CQ312" s="2078">
        <f t="shared" si="959"/>
        <v>0</v>
      </c>
      <c r="CR312" s="2078">
        <f t="shared" si="1042"/>
        <v>0</v>
      </c>
      <c r="CS312" s="2078">
        <f t="shared" ref="CS312:CS341" si="1112">IF(OR(F312="Pending",F312="Pend w FC"),1,0)</f>
        <v>0</v>
      </c>
      <c r="CT312" s="2078">
        <f t="shared" si="960"/>
        <v>1</v>
      </c>
      <c r="CU312" s="2078">
        <f t="shared" ref="CU312:CU341" si="1113">IF($AE312&lt;&gt;3,0,IF(F312="",1,0))</f>
        <v>1</v>
      </c>
      <c r="CV312" s="2078">
        <f t="shared" si="970"/>
        <v>0</v>
      </c>
      <c r="CW312" s="2078">
        <f>IF(OR(AE312&lt;&gt;3,F312="Exclude"),0,IF(ISERROR(MATCH($E312,'4 Sign-off'!$S$123:$X$123,0)),0,1))</f>
        <v>0</v>
      </c>
      <c r="CX312" s="2078">
        <f t="shared" si="1046"/>
        <v>0</v>
      </c>
      <c r="CY312" s="2078">
        <f t="shared" si="971"/>
        <v>0</v>
      </c>
      <c r="CZ312" s="2993">
        <f t="shared" ca="1" si="1043"/>
        <v>0</v>
      </c>
      <c r="DA312" s="3037">
        <f t="shared" ca="1" si="1044"/>
        <v>0</v>
      </c>
      <c r="DB312" s="1664"/>
      <c r="DC312" s="1320"/>
      <c r="DD312" s="589"/>
      <c r="DE312" s="1321"/>
      <c r="DF312" s="107"/>
      <c r="DG312" s="112"/>
      <c r="DH312" s="140"/>
      <c r="DI312" s="22"/>
      <c r="DJ312" s="145"/>
      <c r="DK312" s="137"/>
      <c r="DL312" s="137"/>
      <c r="DM312" s="137"/>
      <c r="DN312" s="137"/>
      <c r="DO312" s="137"/>
      <c r="DP312" s="137"/>
      <c r="DQ312" s="137"/>
      <c r="DR312" s="137"/>
      <c r="DS312" s="137"/>
      <c r="DT312" s="137"/>
      <c r="DU312" s="137"/>
      <c r="DV312" s="137"/>
      <c r="DW312" s="137"/>
      <c r="DX312" s="137"/>
      <c r="DY312" s="137"/>
      <c r="DZ312" s="137"/>
      <c r="EA312" s="137"/>
      <c r="EB312" s="137"/>
      <c r="EC312" s="137"/>
      <c r="ED312" s="137"/>
      <c r="EE312" s="137"/>
      <c r="EF312" s="137"/>
      <c r="EG312" s="137"/>
      <c r="EH312" s="137"/>
      <c r="EI312" s="137"/>
      <c r="EJ312" s="137"/>
      <c r="EK312" s="137"/>
      <c r="EL312" s="137"/>
      <c r="EM312" s="137"/>
      <c r="EN312" s="137"/>
      <c r="EO312" s="137"/>
      <c r="EP312" s="137"/>
      <c r="EQ312" s="137"/>
      <c r="ER312" s="137"/>
      <c r="ES312" s="137"/>
      <c r="ET312" s="137"/>
      <c r="EU312" s="137"/>
      <c r="EV312" s="137"/>
      <c r="EW312" s="137"/>
      <c r="EX312" s="137"/>
      <c r="EY312" s="137"/>
      <c r="EZ312" s="137"/>
      <c r="FA312" s="137"/>
      <c r="FB312" s="137"/>
      <c r="FC312" s="137"/>
      <c r="FD312" s="137"/>
      <c r="FE312" s="137"/>
      <c r="FF312" s="137"/>
      <c r="FG312" s="860"/>
      <c r="FH312" s="863"/>
      <c r="FI312" s="1318"/>
      <c r="FJ312" s="126"/>
      <c r="FK312" s="127"/>
      <c r="FL312" s="128" t="str">
        <f t="shared" ref="FL312:FL341" si="1114">N312&amp;O312&amp;"    "&amp;P312</f>
        <v xml:space="preserve">    </v>
      </c>
      <c r="FM312" s="128"/>
      <c r="FN312" s="1686">
        <f t="shared" ref="FN312:FN341" si="1115">IF($AE312=3,T312,0)</f>
        <v>0</v>
      </c>
      <c r="FO312" s="46">
        <f t="shared" si="972"/>
        <v>0</v>
      </c>
      <c r="FP312" s="46">
        <f t="shared" si="977"/>
        <v>1</v>
      </c>
      <c r="FQ312" s="75">
        <f t="shared" ref="FQ312:FQ341" si="1116">IF($AE312=3,SUMPRODUCT(GT312:LQ312,$GT$25:$LQ$25),0)</f>
        <v>0</v>
      </c>
      <c r="FR312" s="46">
        <f t="shared" si="1036"/>
        <v>0</v>
      </c>
      <c r="FS312" s="46">
        <f t="shared" si="1037"/>
        <v>1</v>
      </c>
      <c r="FT312" s="75">
        <f t="shared" ref="FT312:FT341" si="1117">AND($AE312=3,(T312+Z312+AB312)&gt;0,FQ312=0)*1</f>
        <v>0</v>
      </c>
      <c r="FU312" s="2603">
        <f t="shared" si="973"/>
        <v>0</v>
      </c>
      <c r="FV312" s="2607">
        <f t="shared" si="974"/>
        <v>0</v>
      </c>
      <c r="FW312" s="2603">
        <f t="shared" si="975"/>
        <v>0</v>
      </c>
      <c r="FX312" s="2631">
        <f t="shared" si="976"/>
        <v>0</v>
      </c>
      <c r="FY312" s="81" t="e">
        <f t="shared" si="1038"/>
        <v>#N/A</v>
      </c>
      <c r="FZ312" s="64" t="e">
        <f t="array" ref="FZ312">MATCH(1,($GT312:$LQ312&gt;0)*$GT$25:$LQ$25,0)</f>
        <v>#N/A</v>
      </c>
      <c r="GA312" s="64" t="e">
        <f t="array" ref="GA312">MATCH(2,1/(GT312:LQ312&gt;0))</f>
        <v>#N/A</v>
      </c>
      <c r="GB312" s="64">
        <f t="shared" ref="GB312:GB341" si="1118">IF(OR((T312+U312+AA312+AB312)=0,FR312=0,CQ312=1,LEFT(J312,1)="S"),-1,J312)</f>
        <v>-1</v>
      </c>
      <c r="GC312" s="46"/>
      <c r="GD312" s="613"/>
      <c r="GE312" s="613"/>
      <c r="GF312" s="613"/>
      <c r="GG312" s="613"/>
      <c r="GH312" s="613"/>
      <c r="GI312" s="613"/>
      <c r="GJ312" s="613"/>
      <c r="GK312" s="613"/>
      <c r="GL312" s="613"/>
      <c r="GM312" s="613"/>
      <c r="GN312" s="385">
        <f t="shared" si="1047"/>
        <v>0</v>
      </c>
      <c r="GO312" s="386">
        <f t="shared" si="1048"/>
        <v>0</v>
      </c>
      <c r="GP312" s="2635"/>
      <c r="GQ312" s="175"/>
      <c r="GR312" s="172"/>
      <c r="GS312" s="65"/>
      <c r="GT312" s="167"/>
      <c r="GU312" s="168"/>
      <c r="GV312" s="168"/>
      <c r="GW312" s="168"/>
      <c r="GX312" s="168"/>
      <c r="GY312" s="168"/>
      <c r="GZ312" s="168"/>
      <c r="HA312" s="168"/>
      <c r="HB312" s="168"/>
      <c r="HC312" s="168"/>
      <c r="HD312" s="168"/>
      <c r="HE312" s="168"/>
      <c r="HF312" s="168"/>
      <c r="HG312" s="168"/>
      <c r="HH312" s="168"/>
      <c r="HI312" s="168"/>
      <c r="HJ312" s="168"/>
      <c r="HK312" s="168"/>
      <c r="HL312" s="168"/>
      <c r="HM312" s="168"/>
      <c r="HN312" s="168"/>
      <c r="HO312" s="168"/>
      <c r="HP312" s="168"/>
      <c r="HQ312" s="168"/>
      <c r="HR312" s="168"/>
      <c r="HS312" s="168"/>
      <c r="HT312" s="168"/>
      <c r="HU312" s="168"/>
      <c r="HV312" s="168"/>
      <c r="HW312" s="168"/>
      <c r="HX312" s="168"/>
      <c r="HY312" s="168"/>
      <c r="HZ312" s="168"/>
      <c r="IA312" s="168"/>
      <c r="IB312" s="168"/>
      <c r="IC312" s="168"/>
      <c r="ID312" s="168"/>
      <c r="IE312" s="168"/>
      <c r="IF312" s="168"/>
      <c r="IG312" s="168"/>
      <c r="IH312" s="168"/>
      <c r="II312" s="168"/>
      <c r="IJ312" s="168"/>
      <c r="IK312" s="168"/>
      <c r="IL312" s="168"/>
      <c r="IM312" s="168"/>
      <c r="IN312" s="168"/>
      <c r="IO312" s="168"/>
      <c r="IP312" s="168"/>
      <c r="IQ312" s="168"/>
      <c r="IR312" s="168"/>
      <c r="IS312" s="168"/>
      <c r="IT312" s="168"/>
      <c r="IU312" s="168"/>
      <c r="IV312" s="168"/>
      <c r="IW312" s="168"/>
      <c r="IX312" s="168"/>
      <c r="IY312" s="168"/>
      <c r="IZ312" s="168"/>
      <c r="JA312" s="168"/>
      <c r="JB312" s="168"/>
      <c r="JC312" s="168"/>
      <c r="JD312" s="168"/>
      <c r="JE312" s="168"/>
      <c r="JF312" s="168"/>
      <c r="JG312" s="168"/>
      <c r="JH312" s="168"/>
      <c r="JI312" s="168"/>
      <c r="JJ312" s="168"/>
      <c r="JK312" s="168"/>
      <c r="JL312" s="168"/>
      <c r="JM312" s="168"/>
      <c r="JN312" s="168"/>
      <c r="JO312" s="168"/>
      <c r="JP312" s="168"/>
      <c r="JQ312" s="168"/>
      <c r="JR312" s="168"/>
      <c r="JS312" s="168"/>
      <c r="JT312" s="168"/>
      <c r="JU312" s="168"/>
      <c r="JV312" s="168"/>
      <c r="JW312" s="168"/>
      <c r="JX312" s="168"/>
      <c r="JY312" s="168"/>
      <c r="JZ312" s="168"/>
      <c r="KA312" s="168"/>
      <c r="KB312" s="168"/>
      <c r="KC312" s="168"/>
      <c r="KD312" s="168"/>
      <c r="KE312" s="168"/>
      <c r="KF312" s="168"/>
      <c r="KG312" s="168"/>
      <c r="KH312" s="168"/>
      <c r="KI312" s="168"/>
      <c r="KJ312" s="168"/>
      <c r="KK312" s="168"/>
      <c r="KL312" s="168"/>
      <c r="KM312" s="168"/>
      <c r="KN312" s="168"/>
      <c r="KO312" s="168"/>
      <c r="KP312" s="168"/>
      <c r="KQ312" s="168"/>
      <c r="KR312" s="168"/>
      <c r="KS312" s="168"/>
      <c r="KT312" s="168"/>
      <c r="KU312" s="168"/>
      <c r="KV312" s="168"/>
      <c r="KW312" s="168"/>
      <c r="KX312" s="168"/>
      <c r="KY312" s="168"/>
      <c r="KZ312" s="168"/>
      <c r="LA312" s="168"/>
      <c r="LB312" s="168"/>
      <c r="LC312" s="168"/>
      <c r="LD312" s="168"/>
      <c r="LE312" s="168"/>
      <c r="LF312" s="168"/>
      <c r="LG312" s="168"/>
      <c r="LH312" s="168"/>
      <c r="LI312" s="168"/>
      <c r="LJ312" s="168"/>
      <c r="LK312" s="168"/>
      <c r="LL312" s="168"/>
      <c r="LM312" s="168"/>
      <c r="LN312" s="168"/>
      <c r="LO312" s="168"/>
      <c r="LP312" s="606"/>
      <c r="LQ312" s="609"/>
      <c r="LR312" s="1319"/>
      <c r="LS312" s="1319"/>
    </row>
    <row r="313" spans="1:331" s="2" customFormat="1" ht="15" customHeight="1" x14ac:dyDescent="0.25">
      <c r="A313" s="283"/>
      <c r="B313" s="303"/>
      <c r="C313" s="301"/>
      <c r="D313" s="1287"/>
      <c r="E313" s="2298"/>
      <c r="F313" s="1812"/>
      <c r="G313" s="3342"/>
      <c r="H313" s="66"/>
      <c r="I313" s="1746"/>
      <c r="J313" s="1214"/>
      <c r="K313" s="105"/>
      <c r="L313" s="91"/>
      <c r="M313" s="92"/>
      <c r="N313" s="93"/>
      <c r="O313" s="94"/>
      <c r="P313" s="96"/>
      <c r="Q313" s="95"/>
      <c r="R313" s="993">
        <f t="shared" si="1039"/>
        <v>0</v>
      </c>
      <c r="S313" s="23">
        <f t="shared" si="1040"/>
        <v>0</v>
      </c>
      <c r="T313" s="24">
        <f t="shared" si="1071"/>
        <v>0</v>
      </c>
      <c r="U313" s="24">
        <f t="shared" si="1072"/>
        <v>0</v>
      </c>
      <c r="V313" s="24">
        <f t="shared" si="1073"/>
        <v>0</v>
      </c>
      <c r="W313" s="24">
        <f t="shared" ca="1" si="1074"/>
        <v>0</v>
      </c>
      <c r="X313" s="72">
        <f t="shared" ref="X313:X364" ca="1" si="1119">IF($AE313=3,SUMPRODUCT($BS313:$CB313,CC313:CL313)*AH313,0)</f>
        <v>0</v>
      </c>
      <c r="Y313" s="72">
        <f t="shared" si="1075"/>
        <v>0</v>
      </c>
      <c r="Z313" s="24">
        <f t="shared" si="1076"/>
        <v>0</v>
      </c>
      <c r="AA313" s="72">
        <f t="shared" ref="AA313:AA364" si="1120">$DE313*$CM313*(1+DF313)*AH313</f>
        <v>0</v>
      </c>
      <c r="AB313" s="24">
        <f t="shared" si="967"/>
        <v>0</v>
      </c>
      <c r="AC313" s="24">
        <f t="shared" ca="1" si="1077"/>
        <v>0</v>
      </c>
      <c r="AD313" s="24">
        <f t="shared" si="1049"/>
        <v>0</v>
      </c>
      <c r="AE313" s="2078">
        <f t="shared" si="1033"/>
        <v>3</v>
      </c>
      <c r="AF313" s="2078">
        <f t="shared" si="1034"/>
        <v>0</v>
      </c>
      <c r="AG313" s="2078">
        <f t="shared" si="1035"/>
        <v>0</v>
      </c>
      <c r="AH313" s="2521">
        <f t="shared" si="1050"/>
        <v>1</v>
      </c>
      <c r="AI313" s="25" t="str">
        <f t="shared" si="1078"/>
        <v/>
      </c>
      <c r="AJ313" s="2521">
        <f t="shared" ca="1" si="1045"/>
        <v>0</v>
      </c>
      <c r="AK313" s="2076">
        <f t="shared" ca="1" si="1041"/>
        <v>0</v>
      </c>
      <c r="AL313" s="2078">
        <f>IF(ISBLANK(J313),0,ISERROR(MATCH(J313,'5  Control Accounts'!$FA$29:$FA$96,0))*1)</f>
        <v>0</v>
      </c>
      <c r="AM313" s="2076">
        <f t="shared" si="1079"/>
        <v>0</v>
      </c>
      <c r="AN313" s="2078">
        <f t="shared" si="1080"/>
        <v>1</v>
      </c>
      <c r="AO313" s="2079">
        <f t="shared" si="1051"/>
        <v>1</v>
      </c>
      <c r="AP313" s="2079">
        <f t="shared" si="1052"/>
        <v>0</v>
      </c>
      <c r="AQ313" s="2079">
        <f t="shared" si="1053"/>
        <v>0</v>
      </c>
      <c r="AR313" s="2079">
        <f t="shared" si="1054"/>
        <v>0</v>
      </c>
      <c r="AS313" s="2079">
        <f t="shared" si="1055"/>
        <v>0</v>
      </c>
      <c r="AT313" s="2079">
        <f t="shared" si="1056"/>
        <v>0</v>
      </c>
      <c r="AU313" s="2079">
        <f t="shared" si="1057"/>
        <v>0</v>
      </c>
      <c r="AV313" s="2079">
        <f t="shared" si="1058"/>
        <v>0</v>
      </c>
      <c r="AW313" s="2079">
        <f t="shared" si="1059"/>
        <v>0</v>
      </c>
      <c r="AX313" s="2079">
        <f t="shared" si="1060"/>
        <v>0</v>
      </c>
      <c r="AY313" s="2078">
        <f t="shared" si="1081"/>
        <v>0</v>
      </c>
      <c r="AZ313" s="2078">
        <f t="shared" si="1082"/>
        <v>0</v>
      </c>
      <c r="BA313" s="2078">
        <f t="shared" si="1083"/>
        <v>0</v>
      </c>
      <c r="BB313" s="2078">
        <f t="shared" si="1084"/>
        <v>0</v>
      </c>
      <c r="BC313" s="2078">
        <f t="shared" si="1085"/>
        <v>0</v>
      </c>
      <c r="BD313" s="2078">
        <f t="shared" si="1086"/>
        <v>0</v>
      </c>
      <c r="BE313" s="2078">
        <f t="shared" si="1087"/>
        <v>0</v>
      </c>
      <c r="BF313" s="2078">
        <f t="shared" si="1088"/>
        <v>0</v>
      </c>
      <c r="BG313" s="2078">
        <f t="shared" si="1089"/>
        <v>0</v>
      </c>
      <c r="BH313" s="2078">
        <f t="shared" si="1090"/>
        <v>0</v>
      </c>
      <c r="BI313" s="2078">
        <f t="shared" si="1091"/>
        <v>0</v>
      </c>
      <c r="BJ313" s="2078">
        <f t="shared" si="1092"/>
        <v>0</v>
      </c>
      <c r="BK313" s="2078">
        <f t="shared" si="1093"/>
        <v>0</v>
      </c>
      <c r="BL313" s="2078">
        <f t="shared" si="1094"/>
        <v>0</v>
      </c>
      <c r="BM313" s="2078">
        <f t="shared" si="1095"/>
        <v>0</v>
      </c>
      <c r="BN313" s="2078">
        <f t="shared" si="1096"/>
        <v>0</v>
      </c>
      <c r="BO313" s="2078">
        <f t="shared" si="1097"/>
        <v>0</v>
      </c>
      <c r="BP313" s="2078">
        <f t="shared" si="1098"/>
        <v>0</v>
      </c>
      <c r="BQ313" s="2078">
        <f t="shared" si="1099"/>
        <v>0</v>
      </c>
      <c r="BR313" s="2078">
        <f t="shared" si="1100"/>
        <v>0</v>
      </c>
      <c r="BS313" s="2079">
        <f t="shared" si="1061"/>
        <v>1</v>
      </c>
      <c r="BT313" s="2079">
        <f t="shared" si="1062"/>
        <v>0</v>
      </c>
      <c r="BU313" s="2079">
        <f t="shared" si="1063"/>
        <v>0</v>
      </c>
      <c r="BV313" s="2079">
        <f t="shared" si="1064"/>
        <v>0</v>
      </c>
      <c r="BW313" s="2079">
        <f t="shared" si="1065"/>
        <v>0</v>
      </c>
      <c r="BX313" s="2079">
        <f t="shared" si="1066"/>
        <v>0</v>
      </c>
      <c r="BY313" s="2079">
        <f t="shared" si="1067"/>
        <v>0</v>
      </c>
      <c r="BZ313" s="2079">
        <f t="shared" si="1068"/>
        <v>0</v>
      </c>
      <c r="CA313" s="2079">
        <f t="shared" si="1069"/>
        <v>0</v>
      </c>
      <c r="CB313" s="2079">
        <f t="shared" si="1070"/>
        <v>0</v>
      </c>
      <c r="CC313" s="2078">
        <f t="shared" ca="1" si="1101"/>
        <v>0</v>
      </c>
      <c r="CD313" s="2078">
        <f t="shared" ca="1" si="1102"/>
        <v>0</v>
      </c>
      <c r="CE313" s="2078">
        <f t="shared" ca="1" si="1103"/>
        <v>0</v>
      </c>
      <c r="CF313" s="2078">
        <f t="shared" ca="1" si="1104"/>
        <v>0</v>
      </c>
      <c r="CG313" s="2078">
        <f t="shared" ca="1" si="1105"/>
        <v>0</v>
      </c>
      <c r="CH313" s="2078">
        <f t="shared" ca="1" si="1106"/>
        <v>0</v>
      </c>
      <c r="CI313" s="2078">
        <f t="shared" ca="1" si="1107"/>
        <v>0</v>
      </c>
      <c r="CJ313" s="2078">
        <f t="shared" ca="1" si="1108"/>
        <v>0</v>
      </c>
      <c r="CK313" s="2078">
        <f t="shared" ca="1" si="1109"/>
        <v>0</v>
      </c>
      <c r="CL313" s="2078">
        <f t="shared" ca="1" si="1110"/>
        <v>0</v>
      </c>
      <c r="CM313" s="2078">
        <f t="shared" si="968"/>
        <v>1</v>
      </c>
      <c r="CN313" s="2078">
        <f t="shared" si="969"/>
        <v>1</v>
      </c>
      <c r="CO313" s="2078">
        <f t="shared" ref="CO313:CO364" si="1121">IF(AND(AE313=3,OR(F313="",F313="Approved")),1,0)</f>
        <v>1</v>
      </c>
      <c r="CP313" s="2078">
        <f t="shared" si="1111"/>
        <v>1</v>
      </c>
      <c r="CQ313" s="2078">
        <f t="shared" ref="CQ313:CQ364" si="1122">IF(AND(Z313=0,OR(AI313="V",AI313="W",G313="RO")),1,0)</f>
        <v>0</v>
      </c>
      <c r="CR313" s="2078">
        <f t="shared" si="1042"/>
        <v>0</v>
      </c>
      <c r="CS313" s="2078">
        <f t="shared" si="1112"/>
        <v>0</v>
      </c>
      <c r="CT313" s="2078">
        <f t="shared" ref="CT313:CT364" si="1123">IF(OR($F313="Exclude",$AE313&lt;&gt;3),0,1)</f>
        <v>1</v>
      </c>
      <c r="CU313" s="2078">
        <f t="shared" si="1113"/>
        <v>1</v>
      </c>
      <c r="CV313" s="2078">
        <f t="shared" si="970"/>
        <v>0</v>
      </c>
      <c r="CW313" s="2078">
        <f>IF(OR(AE313&lt;&gt;3,F313="Exclude"),0,IF(ISERROR(MATCH($E313,'4 Sign-off'!$S$123:$X$123,0)),0,1))</f>
        <v>0</v>
      </c>
      <c r="CX313" s="2078">
        <f t="shared" si="1046"/>
        <v>0</v>
      </c>
      <c r="CY313" s="2078">
        <f t="shared" si="971"/>
        <v>0</v>
      </c>
      <c r="CZ313" s="2993">
        <f t="shared" ca="1" si="1043"/>
        <v>0</v>
      </c>
      <c r="DA313" s="3037">
        <f t="shared" ca="1" si="1044"/>
        <v>0</v>
      </c>
      <c r="DB313" s="1664"/>
      <c r="DC313" s="1320"/>
      <c r="DD313" s="589"/>
      <c r="DE313" s="1321"/>
      <c r="DF313" s="107"/>
      <c r="DG313" s="112"/>
      <c r="DH313" s="140"/>
      <c r="DI313" s="22"/>
      <c r="DJ313" s="145"/>
      <c r="DK313" s="137"/>
      <c r="DL313" s="137"/>
      <c r="DM313" s="137"/>
      <c r="DN313" s="137"/>
      <c r="DO313" s="137"/>
      <c r="DP313" s="137"/>
      <c r="DQ313" s="137"/>
      <c r="DR313" s="137"/>
      <c r="DS313" s="137"/>
      <c r="DT313" s="137"/>
      <c r="DU313" s="137"/>
      <c r="DV313" s="137"/>
      <c r="DW313" s="137"/>
      <c r="DX313" s="137"/>
      <c r="DY313" s="137"/>
      <c r="DZ313" s="137"/>
      <c r="EA313" s="137"/>
      <c r="EB313" s="137"/>
      <c r="EC313" s="137"/>
      <c r="ED313" s="137"/>
      <c r="EE313" s="137"/>
      <c r="EF313" s="137"/>
      <c r="EG313" s="137"/>
      <c r="EH313" s="137"/>
      <c r="EI313" s="137"/>
      <c r="EJ313" s="137"/>
      <c r="EK313" s="137"/>
      <c r="EL313" s="137"/>
      <c r="EM313" s="137"/>
      <c r="EN313" s="137"/>
      <c r="EO313" s="137"/>
      <c r="EP313" s="137"/>
      <c r="EQ313" s="137"/>
      <c r="ER313" s="137"/>
      <c r="ES313" s="137"/>
      <c r="ET313" s="137"/>
      <c r="EU313" s="137"/>
      <c r="EV313" s="137"/>
      <c r="EW313" s="137"/>
      <c r="EX313" s="137"/>
      <c r="EY313" s="137"/>
      <c r="EZ313" s="137"/>
      <c r="FA313" s="137"/>
      <c r="FB313" s="137"/>
      <c r="FC313" s="137"/>
      <c r="FD313" s="137"/>
      <c r="FE313" s="137"/>
      <c r="FF313" s="137"/>
      <c r="FG313" s="860"/>
      <c r="FH313" s="863"/>
      <c r="FI313" s="1318"/>
      <c r="FJ313" s="126"/>
      <c r="FK313" s="127"/>
      <c r="FL313" s="128" t="str">
        <f t="shared" si="1114"/>
        <v xml:space="preserve">    </v>
      </c>
      <c r="FM313" s="128"/>
      <c r="FN313" s="1686">
        <f t="shared" si="1115"/>
        <v>0</v>
      </c>
      <c r="FO313" s="46">
        <f t="shared" si="972"/>
        <v>0</v>
      </c>
      <c r="FP313" s="46">
        <f t="shared" si="977"/>
        <v>1</v>
      </c>
      <c r="FQ313" s="75">
        <f t="shared" si="1116"/>
        <v>0</v>
      </c>
      <c r="FR313" s="46">
        <f t="shared" si="1036"/>
        <v>0</v>
      </c>
      <c r="FS313" s="46">
        <f t="shared" si="1037"/>
        <v>1</v>
      </c>
      <c r="FT313" s="75">
        <f t="shared" si="1117"/>
        <v>0</v>
      </c>
      <c r="FU313" s="2603">
        <f t="shared" si="973"/>
        <v>0</v>
      </c>
      <c r="FV313" s="2607">
        <f t="shared" si="974"/>
        <v>0</v>
      </c>
      <c r="FW313" s="2603">
        <f t="shared" si="975"/>
        <v>0</v>
      </c>
      <c r="FX313" s="2631">
        <f t="shared" si="976"/>
        <v>0</v>
      </c>
      <c r="FY313" s="81" t="e">
        <f t="shared" si="1038"/>
        <v>#N/A</v>
      </c>
      <c r="FZ313" s="64" t="e">
        <f t="array" ref="FZ313">MATCH(1,($GT313:$LQ313&gt;0)*$GT$25:$LQ$25,0)</f>
        <v>#N/A</v>
      </c>
      <c r="GA313" s="64" t="e">
        <f t="array" ref="GA313">MATCH(2,1/(GT313:LQ313&gt;0))</f>
        <v>#N/A</v>
      </c>
      <c r="GB313" s="64">
        <f t="shared" si="1118"/>
        <v>-1</v>
      </c>
      <c r="GC313" s="46"/>
      <c r="GD313" s="613"/>
      <c r="GE313" s="613"/>
      <c r="GF313" s="613"/>
      <c r="GG313" s="613"/>
      <c r="GH313" s="613"/>
      <c r="GI313" s="613"/>
      <c r="GJ313" s="613"/>
      <c r="GK313" s="613"/>
      <c r="GL313" s="613"/>
      <c r="GM313" s="613"/>
      <c r="GN313" s="385">
        <f t="shared" si="1047"/>
        <v>0</v>
      </c>
      <c r="GO313" s="386">
        <f t="shared" si="1048"/>
        <v>0</v>
      </c>
      <c r="GP313" s="2635"/>
      <c r="GQ313" s="175"/>
      <c r="GR313" s="172"/>
      <c r="GS313" s="65"/>
      <c r="GT313" s="167"/>
      <c r="GU313" s="168"/>
      <c r="GV313" s="168"/>
      <c r="GW313" s="168"/>
      <c r="GX313" s="168"/>
      <c r="GY313" s="168"/>
      <c r="GZ313" s="168"/>
      <c r="HA313" s="168"/>
      <c r="HB313" s="168"/>
      <c r="HC313" s="168"/>
      <c r="HD313" s="168"/>
      <c r="HE313" s="168"/>
      <c r="HF313" s="168"/>
      <c r="HG313" s="168"/>
      <c r="HH313" s="168"/>
      <c r="HI313" s="168"/>
      <c r="HJ313" s="168"/>
      <c r="HK313" s="168"/>
      <c r="HL313" s="168"/>
      <c r="HM313" s="168"/>
      <c r="HN313" s="168"/>
      <c r="HO313" s="168"/>
      <c r="HP313" s="168"/>
      <c r="HQ313" s="168"/>
      <c r="HR313" s="168"/>
      <c r="HS313" s="168"/>
      <c r="HT313" s="168"/>
      <c r="HU313" s="168"/>
      <c r="HV313" s="168"/>
      <c r="HW313" s="168"/>
      <c r="HX313" s="168"/>
      <c r="HY313" s="168"/>
      <c r="HZ313" s="168"/>
      <c r="IA313" s="168"/>
      <c r="IB313" s="168"/>
      <c r="IC313" s="168"/>
      <c r="ID313" s="168"/>
      <c r="IE313" s="168"/>
      <c r="IF313" s="168"/>
      <c r="IG313" s="168"/>
      <c r="IH313" s="168"/>
      <c r="II313" s="168"/>
      <c r="IJ313" s="168"/>
      <c r="IK313" s="168"/>
      <c r="IL313" s="168"/>
      <c r="IM313" s="168"/>
      <c r="IN313" s="168"/>
      <c r="IO313" s="168"/>
      <c r="IP313" s="168"/>
      <c r="IQ313" s="168"/>
      <c r="IR313" s="168"/>
      <c r="IS313" s="168"/>
      <c r="IT313" s="168"/>
      <c r="IU313" s="168"/>
      <c r="IV313" s="168"/>
      <c r="IW313" s="168"/>
      <c r="IX313" s="168"/>
      <c r="IY313" s="168"/>
      <c r="IZ313" s="168"/>
      <c r="JA313" s="168"/>
      <c r="JB313" s="168"/>
      <c r="JC313" s="168"/>
      <c r="JD313" s="168"/>
      <c r="JE313" s="168"/>
      <c r="JF313" s="168"/>
      <c r="JG313" s="168"/>
      <c r="JH313" s="168"/>
      <c r="JI313" s="168"/>
      <c r="JJ313" s="168"/>
      <c r="JK313" s="168"/>
      <c r="JL313" s="168"/>
      <c r="JM313" s="168"/>
      <c r="JN313" s="168"/>
      <c r="JO313" s="168"/>
      <c r="JP313" s="168"/>
      <c r="JQ313" s="168"/>
      <c r="JR313" s="168"/>
      <c r="JS313" s="168"/>
      <c r="JT313" s="168"/>
      <c r="JU313" s="168"/>
      <c r="JV313" s="168"/>
      <c r="JW313" s="168"/>
      <c r="JX313" s="168"/>
      <c r="JY313" s="168"/>
      <c r="JZ313" s="168"/>
      <c r="KA313" s="168"/>
      <c r="KB313" s="168"/>
      <c r="KC313" s="168"/>
      <c r="KD313" s="168"/>
      <c r="KE313" s="168"/>
      <c r="KF313" s="168"/>
      <c r="KG313" s="168"/>
      <c r="KH313" s="168"/>
      <c r="KI313" s="168"/>
      <c r="KJ313" s="168"/>
      <c r="KK313" s="168"/>
      <c r="KL313" s="168"/>
      <c r="KM313" s="168"/>
      <c r="KN313" s="168"/>
      <c r="KO313" s="168"/>
      <c r="KP313" s="168"/>
      <c r="KQ313" s="168"/>
      <c r="KR313" s="168"/>
      <c r="KS313" s="168"/>
      <c r="KT313" s="168"/>
      <c r="KU313" s="168"/>
      <c r="KV313" s="168"/>
      <c r="KW313" s="168"/>
      <c r="KX313" s="168"/>
      <c r="KY313" s="168"/>
      <c r="KZ313" s="168"/>
      <c r="LA313" s="168"/>
      <c r="LB313" s="168"/>
      <c r="LC313" s="168"/>
      <c r="LD313" s="168"/>
      <c r="LE313" s="168"/>
      <c r="LF313" s="168"/>
      <c r="LG313" s="168"/>
      <c r="LH313" s="168"/>
      <c r="LI313" s="168"/>
      <c r="LJ313" s="168"/>
      <c r="LK313" s="168"/>
      <c r="LL313" s="168"/>
      <c r="LM313" s="168"/>
      <c r="LN313" s="168"/>
      <c r="LO313" s="168"/>
      <c r="LP313" s="606"/>
      <c r="LQ313" s="609"/>
      <c r="LR313" s="1319"/>
      <c r="LS313" s="1319"/>
    </row>
    <row r="314" spans="1:331" s="2" customFormat="1" ht="15" customHeight="1" x14ac:dyDescent="0.25">
      <c r="A314" s="283"/>
      <c r="B314" s="303"/>
      <c r="C314" s="301"/>
      <c r="D314" s="1287"/>
      <c r="E314" s="2298"/>
      <c r="F314" s="1812"/>
      <c r="G314" s="3342"/>
      <c r="H314" s="66"/>
      <c r="I314" s="1746"/>
      <c r="J314" s="1214"/>
      <c r="K314" s="105"/>
      <c r="L314" s="91"/>
      <c r="M314" s="92"/>
      <c r="N314" s="93"/>
      <c r="O314" s="94"/>
      <c r="P314" s="96"/>
      <c r="Q314" s="95"/>
      <c r="R314" s="993">
        <f t="shared" si="1039"/>
        <v>0</v>
      </c>
      <c r="S314" s="23">
        <f t="shared" si="1040"/>
        <v>0</v>
      </c>
      <c r="T314" s="24">
        <f t="shared" si="1071"/>
        <v>0</v>
      </c>
      <c r="U314" s="24">
        <f t="shared" si="1072"/>
        <v>0</v>
      </c>
      <c r="V314" s="24">
        <f t="shared" si="1073"/>
        <v>0</v>
      </c>
      <c r="W314" s="24">
        <f t="shared" ca="1" si="1074"/>
        <v>0</v>
      </c>
      <c r="X314" s="72">
        <f t="shared" ca="1" si="1119"/>
        <v>0</v>
      </c>
      <c r="Y314" s="72">
        <f t="shared" si="1075"/>
        <v>0</v>
      </c>
      <c r="Z314" s="24">
        <f t="shared" si="1076"/>
        <v>0</v>
      </c>
      <c r="AA314" s="72">
        <f t="shared" si="1120"/>
        <v>0</v>
      </c>
      <c r="AB314" s="24">
        <f t="shared" si="967"/>
        <v>0</v>
      </c>
      <c r="AC314" s="24">
        <f t="shared" ca="1" si="1077"/>
        <v>0</v>
      </c>
      <c r="AD314" s="24">
        <f t="shared" si="1049"/>
        <v>0</v>
      </c>
      <c r="AE314" s="2078">
        <f t="shared" si="1033"/>
        <v>3</v>
      </c>
      <c r="AF314" s="2078">
        <f t="shared" si="1034"/>
        <v>0</v>
      </c>
      <c r="AG314" s="2078">
        <f t="shared" si="1035"/>
        <v>0</v>
      </c>
      <c r="AH314" s="2521">
        <f t="shared" si="1050"/>
        <v>1</v>
      </c>
      <c r="AI314" s="25" t="str">
        <f t="shared" si="1078"/>
        <v/>
      </c>
      <c r="AJ314" s="2521">
        <f t="shared" ca="1" si="1045"/>
        <v>0</v>
      </c>
      <c r="AK314" s="2076">
        <f t="shared" ca="1" si="1041"/>
        <v>0</v>
      </c>
      <c r="AL314" s="2078">
        <f>IF(ISBLANK(J314),0,ISERROR(MATCH(J314,'5  Control Accounts'!$FA$29:$FA$96,0))*1)</f>
        <v>0</v>
      </c>
      <c r="AM314" s="2076">
        <f t="shared" si="1079"/>
        <v>0</v>
      </c>
      <c r="AN314" s="2078">
        <f t="shared" si="1080"/>
        <v>1</v>
      </c>
      <c r="AO314" s="2079">
        <f t="shared" si="1051"/>
        <v>1</v>
      </c>
      <c r="AP314" s="2079">
        <f t="shared" si="1052"/>
        <v>0</v>
      </c>
      <c r="AQ314" s="2079">
        <f t="shared" si="1053"/>
        <v>0</v>
      </c>
      <c r="AR314" s="2079">
        <f t="shared" si="1054"/>
        <v>0</v>
      </c>
      <c r="AS314" s="2079">
        <f t="shared" si="1055"/>
        <v>0</v>
      </c>
      <c r="AT314" s="2079">
        <f t="shared" si="1056"/>
        <v>0</v>
      </c>
      <c r="AU314" s="2079">
        <f t="shared" si="1057"/>
        <v>0</v>
      </c>
      <c r="AV314" s="2079">
        <f t="shared" si="1058"/>
        <v>0</v>
      </c>
      <c r="AW314" s="2079">
        <f t="shared" si="1059"/>
        <v>0</v>
      </c>
      <c r="AX314" s="2079">
        <f t="shared" si="1060"/>
        <v>0</v>
      </c>
      <c r="AY314" s="2078">
        <f t="shared" si="1081"/>
        <v>0</v>
      </c>
      <c r="AZ314" s="2078">
        <f t="shared" si="1082"/>
        <v>0</v>
      </c>
      <c r="BA314" s="2078">
        <f t="shared" si="1083"/>
        <v>0</v>
      </c>
      <c r="BB314" s="2078">
        <f t="shared" si="1084"/>
        <v>0</v>
      </c>
      <c r="BC314" s="2078">
        <f t="shared" si="1085"/>
        <v>0</v>
      </c>
      <c r="BD314" s="2078">
        <f t="shared" si="1086"/>
        <v>0</v>
      </c>
      <c r="BE314" s="2078">
        <f t="shared" si="1087"/>
        <v>0</v>
      </c>
      <c r="BF314" s="2078">
        <f t="shared" si="1088"/>
        <v>0</v>
      </c>
      <c r="BG314" s="2078">
        <f t="shared" si="1089"/>
        <v>0</v>
      </c>
      <c r="BH314" s="2078">
        <f t="shared" si="1090"/>
        <v>0</v>
      </c>
      <c r="BI314" s="2078">
        <f t="shared" si="1091"/>
        <v>0</v>
      </c>
      <c r="BJ314" s="2078">
        <f t="shared" si="1092"/>
        <v>0</v>
      </c>
      <c r="BK314" s="2078">
        <f t="shared" si="1093"/>
        <v>0</v>
      </c>
      <c r="BL314" s="2078">
        <f t="shared" si="1094"/>
        <v>0</v>
      </c>
      <c r="BM314" s="2078">
        <f t="shared" si="1095"/>
        <v>0</v>
      </c>
      <c r="BN314" s="2078">
        <f t="shared" si="1096"/>
        <v>0</v>
      </c>
      <c r="BO314" s="2078">
        <f t="shared" si="1097"/>
        <v>0</v>
      </c>
      <c r="BP314" s="2078">
        <f t="shared" si="1098"/>
        <v>0</v>
      </c>
      <c r="BQ314" s="2078">
        <f t="shared" si="1099"/>
        <v>0</v>
      </c>
      <c r="BR314" s="2078">
        <f t="shared" si="1100"/>
        <v>0</v>
      </c>
      <c r="BS314" s="2079">
        <f t="shared" si="1061"/>
        <v>1</v>
      </c>
      <c r="BT314" s="2079">
        <f t="shared" si="1062"/>
        <v>0</v>
      </c>
      <c r="BU314" s="2079">
        <f t="shared" si="1063"/>
        <v>0</v>
      </c>
      <c r="BV314" s="2079">
        <f t="shared" si="1064"/>
        <v>0</v>
      </c>
      <c r="BW314" s="2079">
        <f t="shared" si="1065"/>
        <v>0</v>
      </c>
      <c r="BX314" s="2079">
        <f t="shared" si="1066"/>
        <v>0</v>
      </c>
      <c r="BY314" s="2079">
        <f t="shared" si="1067"/>
        <v>0</v>
      </c>
      <c r="BZ314" s="2079">
        <f t="shared" si="1068"/>
        <v>0</v>
      </c>
      <c r="CA314" s="2079">
        <f t="shared" si="1069"/>
        <v>0</v>
      </c>
      <c r="CB314" s="2079">
        <f t="shared" si="1070"/>
        <v>0</v>
      </c>
      <c r="CC314" s="2078">
        <f t="shared" ca="1" si="1101"/>
        <v>0</v>
      </c>
      <c r="CD314" s="2078">
        <f t="shared" ca="1" si="1102"/>
        <v>0</v>
      </c>
      <c r="CE314" s="2078">
        <f t="shared" ca="1" si="1103"/>
        <v>0</v>
      </c>
      <c r="CF314" s="2078">
        <f t="shared" ca="1" si="1104"/>
        <v>0</v>
      </c>
      <c r="CG314" s="2078">
        <f t="shared" ca="1" si="1105"/>
        <v>0</v>
      </c>
      <c r="CH314" s="2078">
        <f t="shared" ca="1" si="1106"/>
        <v>0</v>
      </c>
      <c r="CI314" s="2078">
        <f t="shared" ca="1" si="1107"/>
        <v>0</v>
      </c>
      <c r="CJ314" s="2078">
        <f t="shared" ca="1" si="1108"/>
        <v>0</v>
      </c>
      <c r="CK314" s="2078">
        <f t="shared" ca="1" si="1109"/>
        <v>0</v>
      </c>
      <c r="CL314" s="2078">
        <f t="shared" ca="1" si="1110"/>
        <v>0</v>
      </c>
      <c r="CM314" s="2078">
        <f t="shared" si="968"/>
        <v>1</v>
      </c>
      <c r="CN314" s="2078">
        <f t="shared" si="969"/>
        <v>1</v>
      </c>
      <c r="CO314" s="2078">
        <f t="shared" si="1121"/>
        <v>1</v>
      </c>
      <c r="CP314" s="2078">
        <f t="shared" si="1111"/>
        <v>1</v>
      </c>
      <c r="CQ314" s="2078">
        <f t="shared" si="1122"/>
        <v>0</v>
      </c>
      <c r="CR314" s="2078">
        <f t="shared" si="1042"/>
        <v>0</v>
      </c>
      <c r="CS314" s="2078">
        <f t="shared" si="1112"/>
        <v>0</v>
      </c>
      <c r="CT314" s="2078">
        <f t="shared" si="1123"/>
        <v>1</v>
      </c>
      <c r="CU314" s="2078">
        <f t="shared" si="1113"/>
        <v>1</v>
      </c>
      <c r="CV314" s="2078">
        <f t="shared" si="970"/>
        <v>0</v>
      </c>
      <c r="CW314" s="2078">
        <f>IF(OR(AE314&lt;&gt;3,F314="Exclude"),0,IF(ISERROR(MATCH($E314,'4 Sign-off'!$S$123:$X$123,0)),0,1))</f>
        <v>0</v>
      </c>
      <c r="CX314" s="2078">
        <f t="shared" si="1046"/>
        <v>0</v>
      </c>
      <c r="CY314" s="2078">
        <f t="shared" si="971"/>
        <v>0</v>
      </c>
      <c r="CZ314" s="2993">
        <f t="shared" ca="1" si="1043"/>
        <v>0</v>
      </c>
      <c r="DA314" s="3037">
        <f t="shared" ca="1" si="1044"/>
        <v>0</v>
      </c>
      <c r="DB314" s="1664"/>
      <c r="DC314" s="1320"/>
      <c r="DD314" s="589"/>
      <c r="DE314" s="1321"/>
      <c r="DF314" s="107"/>
      <c r="DG314" s="112"/>
      <c r="DH314" s="140"/>
      <c r="DI314" s="22"/>
      <c r="DJ314" s="145"/>
      <c r="DK314" s="137"/>
      <c r="DL314" s="137"/>
      <c r="DM314" s="137"/>
      <c r="DN314" s="137"/>
      <c r="DO314" s="137"/>
      <c r="DP314" s="137"/>
      <c r="DQ314" s="137"/>
      <c r="DR314" s="137"/>
      <c r="DS314" s="137"/>
      <c r="DT314" s="137"/>
      <c r="DU314" s="137"/>
      <c r="DV314" s="137"/>
      <c r="DW314" s="137"/>
      <c r="DX314" s="137"/>
      <c r="DY314" s="137"/>
      <c r="DZ314" s="137"/>
      <c r="EA314" s="137"/>
      <c r="EB314" s="137"/>
      <c r="EC314" s="137"/>
      <c r="ED314" s="137"/>
      <c r="EE314" s="137"/>
      <c r="EF314" s="137"/>
      <c r="EG314" s="137"/>
      <c r="EH314" s="137"/>
      <c r="EI314" s="137"/>
      <c r="EJ314" s="137"/>
      <c r="EK314" s="137"/>
      <c r="EL314" s="137"/>
      <c r="EM314" s="137"/>
      <c r="EN314" s="137"/>
      <c r="EO314" s="137"/>
      <c r="EP314" s="137"/>
      <c r="EQ314" s="137"/>
      <c r="ER314" s="137"/>
      <c r="ES314" s="137"/>
      <c r="ET314" s="137"/>
      <c r="EU314" s="137"/>
      <c r="EV314" s="137"/>
      <c r="EW314" s="137"/>
      <c r="EX314" s="137"/>
      <c r="EY314" s="137"/>
      <c r="EZ314" s="137"/>
      <c r="FA314" s="137"/>
      <c r="FB314" s="137"/>
      <c r="FC314" s="137"/>
      <c r="FD314" s="137"/>
      <c r="FE314" s="137"/>
      <c r="FF314" s="137"/>
      <c r="FG314" s="860"/>
      <c r="FH314" s="863"/>
      <c r="FI314" s="1318"/>
      <c r="FJ314" s="126"/>
      <c r="FK314" s="127"/>
      <c r="FL314" s="128" t="str">
        <f t="shared" si="1114"/>
        <v xml:space="preserve">    </v>
      </c>
      <c r="FM314" s="128"/>
      <c r="FN314" s="1686">
        <f t="shared" si="1115"/>
        <v>0</v>
      </c>
      <c r="FO314" s="46">
        <f t="shared" si="972"/>
        <v>0</v>
      </c>
      <c r="FP314" s="46">
        <f t="shared" ref="FP314:FP364" si="1124">IFERROR(1/FQ314,1)</f>
        <v>1</v>
      </c>
      <c r="FQ314" s="75">
        <f t="shared" si="1116"/>
        <v>0</v>
      </c>
      <c r="FR314" s="46">
        <f t="shared" si="1036"/>
        <v>0</v>
      </c>
      <c r="FS314" s="46">
        <f t="shared" si="1037"/>
        <v>1</v>
      </c>
      <c r="FT314" s="75">
        <f t="shared" si="1117"/>
        <v>0</v>
      </c>
      <c r="FU314" s="2603">
        <f t="shared" si="973"/>
        <v>0</v>
      </c>
      <c r="FV314" s="2607">
        <f t="shared" si="974"/>
        <v>0</v>
      </c>
      <c r="FW314" s="2603">
        <f t="shared" si="975"/>
        <v>0</v>
      </c>
      <c r="FX314" s="2631">
        <f t="shared" si="976"/>
        <v>0</v>
      </c>
      <c r="FY314" s="81" t="e">
        <f t="shared" si="1038"/>
        <v>#N/A</v>
      </c>
      <c r="FZ314" s="64" t="e">
        <f t="array" ref="FZ314">MATCH(1,($GT314:$LQ314&gt;0)*$GT$25:$LQ$25,0)</f>
        <v>#N/A</v>
      </c>
      <c r="GA314" s="64" t="e">
        <f t="array" ref="GA314">MATCH(2,1/(GT314:LQ314&gt;0))</f>
        <v>#N/A</v>
      </c>
      <c r="GB314" s="64">
        <f t="shared" si="1118"/>
        <v>-1</v>
      </c>
      <c r="GC314" s="46"/>
      <c r="GD314" s="613"/>
      <c r="GE314" s="613"/>
      <c r="GF314" s="613"/>
      <c r="GG314" s="613"/>
      <c r="GH314" s="613"/>
      <c r="GI314" s="613"/>
      <c r="GJ314" s="613"/>
      <c r="GK314" s="613"/>
      <c r="GL314" s="613"/>
      <c r="GM314" s="613"/>
      <c r="GN314" s="385">
        <f t="shared" si="1047"/>
        <v>0</v>
      </c>
      <c r="GO314" s="386">
        <f t="shared" si="1048"/>
        <v>0</v>
      </c>
      <c r="GP314" s="2635"/>
      <c r="GQ314" s="175"/>
      <c r="GR314" s="172"/>
      <c r="GS314" s="65"/>
      <c r="GT314" s="167"/>
      <c r="GU314" s="168"/>
      <c r="GV314" s="168"/>
      <c r="GW314" s="168"/>
      <c r="GX314" s="168"/>
      <c r="GY314" s="168"/>
      <c r="GZ314" s="168"/>
      <c r="HA314" s="168"/>
      <c r="HB314" s="168"/>
      <c r="HC314" s="168"/>
      <c r="HD314" s="168"/>
      <c r="HE314" s="168"/>
      <c r="HF314" s="168"/>
      <c r="HG314" s="168"/>
      <c r="HH314" s="168"/>
      <c r="HI314" s="168"/>
      <c r="HJ314" s="168"/>
      <c r="HK314" s="168"/>
      <c r="HL314" s="168"/>
      <c r="HM314" s="168"/>
      <c r="HN314" s="168"/>
      <c r="HO314" s="168"/>
      <c r="HP314" s="168"/>
      <c r="HQ314" s="168"/>
      <c r="HR314" s="168"/>
      <c r="HS314" s="168"/>
      <c r="HT314" s="168"/>
      <c r="HU314" s="168"/>
      <c r="HV314" s="168"/>
      <c r="HW314" s="168"/>
      <c r="HX314" s="168"/>
      <c r="HY314" s="168"/>
      <c r="HZ314" s="168"/>
      <c r="IA314" s="168"/>
      <c r="IB314" s="168"/>
      <c r="IC314" s="168"/>
      <c r="ID314" s="168"/>
      <c r="IE314" s="168"/>
      <c r="IF314" s="168"/>
      <c r="IG314" s="168"/>
      <c r="IH314" s="168"/>
      <c r="II314" s="168"/>
      <c r="IJ314" s="168"/>
      <c r="IK314" s="168"/>
      <c r="IL314" s="168"/>
      <c r="IM314" s="168"/>
      <c r="IN314" s="168"/>
      <c r="IO314" s="168"/>
      <c r="IP314" s="168"/>
      <c r="IQ314" s="168"/>
      <c r="IR314" s="168"/>
      <c r="IS314" s="168"/>
      <c r="IT314" s="168"/>
      <c r="IU314" s="168"/>
      <c r="IV314" s="168"/>
      <c r="IW314" s="168"/>
      <c r="IX314" s="168"/>
      <c r="IY314" s="168"/>
      <c r="IZ314" s="168"/>
      <c r="JA314" s="168"/>
      <c r="JB314" s="168"/>
      <c r="JC314" s="168"/>
      <c r="JD314" s="168"/>
      <c r="JE314" s="168"/>
      <c r="JF314" s="168"/>
      <c r="JG314" s="168"/>
      <c r="JH314" s="168"/>
      <c r="JI314" s="168"/>
      <c r="JJ314" s="168"/>
      <c r="JK314" s="168"/>
      <c r="JL314" s="168"/>
      <c r="JM314" s="168"/>
      <c r="JN314" s="168"/>
      <c r="JO314" s="168"/>
      <c r="JP314" s="168"/>
      <c r="JQ314" s="168"/>
      <c r="JR314" s="168"/>
      <c r="JS314" s="168"/>
      <c r="JT314" s="168"/>
      <c r="JU314" s="168"/>
      <c r="JV314" s="168"/>
      <c r="JW314" s="168"/>
      <c r="JX314" s="168"/>
      <c r="JY314" s="168"/>
      <c r="JZ314" s="168"/>
      <c r="KA314" s="168"/>
      <c r="KB314" s="168"/>
      <c r="KC314" s="168"/>
      <c r="KD314" s="168"/>
      <c r="KE314" s="168"/>
      <c r="KF314" s="168"/>
      <c r="KG314" s="168"/>
      <c r="KH314" s="168"/>
      <c r="KI314" s="168"/>
      <c r="KJ314" s="168"/>
      <c r="KK314" s="168"/>
      <c r="KL314" s="168"/>
      <c r="KM314" s="168"/>
      <c r="KN314" s="168"/>
      <c r="KO314" s="168"/>
      <c r="KP314" s="168"/>
      <c r="KQ314" s="168"/>
      <c r="KR314" s="168"/>
      <c r="KS314" s="168"/>
      <c r="KT314" s="168"/>
      <c r="KU314" s="168"/>
      <c r="KV314" s="168"/>
      <c r="KW314" s="168"/>
      <c r="KX314" s="168"/>
      <c r="KY314" s="168"/>
      <c r="KZ314" s="168"/>
      <c r="LA314" s="168"/>
      <c r="LB314" s="168"/>
      <c r="LC314" s="168"/>
      <c r="LD314" s="168"/>
      <c r="LE314" s="168"/>
      <c r="LF314" s="168"/>
      <c r="LG314" s="168"/>
      <c r="LH314" s="168"/>
      <c r="LI314" s="168"/>
      <c r="LJ314" s="168"/>
      <c r="LK314" s="168"/>
      <c r="LL314" s="168"/>
      <c r="LM314" s="168"/>
      <c r="LN314" s="168"/>
      <c r="LO314" s="168"/>
      <c r="LP314" s="606"/>
      <c r="LQ314" s="609"/>
      <c r="LR314" s="1319"/>
      <c r="LS314" s="1319"/>
    </row>
    <row r="315" spans="1:331" s="2" customFormat="1" ht="15" customHeight="1" x14ac:dyDescent="0.25">
      <c r="A315" s="283"/>
      <c r="B315" s="303"/>
      <c r="C315" s="301"/>
      <c r="D315" s="1287"/>
      <c r="E315" s="2298"/>
      <c r="F315" s="1812"/>
      <c r="G315" s="3342"/>
      <c r="H315" s="66"/>
      <c r="I315" s="1746"/>
      <c r="J315" s="1214"/>
      <c r="K315" s="105"/>
      <c r="L315" s="91"/>
      <c r="M315" s="92"/>
      <c r="N315" s="93"/>
      <c r="O315" s="94"/>
      <c r="P315" s="96"/>
      <c r="Q315" s="95"/>
      <c r="R315" s="993">
        <f t="shared" si="1039"/>
        <v>0</v>
      </c>
      <c r="S315" s="23">
        <f t="shared" si="1040"/>
        <v>0</v>
      </c>
      <c r="T315" s="24">
        <f t="shared" si="1071"/>
        <v>0</v>
      </c>
      <c r="U315" s="24">
        <f t="shared" si="1072"/>
        <v>0</v>
      </c>
      <c r="V315" s="24">
        <f t="shared" si="1073"/>
        <v>0</v>
      </c>
      <c r="W315" s="24">
        <f t="shared" ca="1" si="1074"/>
        <v>0</v>
      </c>
      <c r="X315" s="72">
        <f t="shared" ca="1" si="1119"/>
        <v>0</v>
      </c>
      <c r="Y315" s="72">
        <f t="shared" si="1075"/>
        <v>0</v>
      </c>
      <c r="Z315" s="24">
        <f t="shared" si="1076"/>
        <v>0</v>
      </c>
      <c r="AA315" s="72">
        <f t="shared" si="1120"/>
        <v>0</v>
      </c>
      <c r="AB315" s="24">
        <f t="shared" si="967"/>
        <v>0</v>
      </c>
      <c r="AC315" s="24">
        <f t="shared" ca="1" si="1077"/>
        <v>0</v>
      </c>
      <c r="AD315" s="24">
        <f t="shared" si="1049"/>
        <v>0</v>
      </c>
      <c r="AE315" s="2078">
        <f t="shared" si="1033"/>
        <v>3</v>
      </c>
      <c r="AF315" s="2078">
        <f t="shared" si="1034"/>
        <v>0</v>
      </c>
      <c r="AG315" s="2078">
        <f t="shared" si="1035"/>
        <v>0</v>
      </c>
      <c r="AH315" s="2521">
        <f t="shared" si="1050"/>
        <v>1</v>
      </c>
      <c r="AI315" s="25" t="str">
        <f t="shared" si="1078"/>
        <v/>
      </c>
      <c r="AJ315" s="2521">
        <f t="shared" ca="1" si="1045"/>
        <v>0</v>
      </c>
      <c r="AK315" s="2076">
        <f t="shared" ca="1" si="1041"/>
        <v>0</v>
      </c>
      <c r="AL315" s="2078">
        <f>IF(ISBLANK(J315),0,ISERROR(MATCH(J315,'5  Control Accounts'!$FA$29:$FA$96,0))*1)</f>
        <v>0</v>
      </c>
      <c r="AM315" s="2076">
        <f t="shared" si="1079"/>
        <v>0</v>
      </c>
      <c r="AN315" s="2078">
        <f t="shared" si="1080"/>
        <v>1</v>
      </c>
      <c r="AO315" s="2079">
        <f t="shared" si="1051"/>
        <v>1</v>
      </c>
      <c r="AP315" s="2079">
        <f t="shared" si="1052"/>
        <v>0</v>
      </c>
      <c r="AQ315" s="2079">
        <f t="shared" si="1053"/>
        <v>0</v>
      </c>
      <c r="AR315" s="2079">
        <f t="shared" si="1054"/>
        <v>0</v>
      </c>
      <c r="AS315" s="2079">
        <f t="shared" si="1055"/>
        <v>0</v>
      </c>
      <c r="AT315" s="2079">
        <f t="shared" si="1056"/>
        <v>0</v>
      </c>
      <c r="AU315" s="2079">
        <f t="shared" si="1057"/>
        <v>0</v>
      </c>
      <c r="AV315" s="2079">
        <f t="shared" si="1058"/>
        <v>0</v>
      </c>
      <c r="AW315" s="2079">
        <f t="shared" si="1059"/>
        <v>0</v>
      </c>
      <c r="AX315" s="2079">
        <f t="shared" si="1060"/>
        <v>0</v>
      </c>
      <c r="AY315" s="2078">
        <f t="shared" si="1081"/>
        <v>0</v>
      </c>
      <c r="AZ315" s="2078">
        <f t="shared" si="1082"/>
        <v>0</v>
      </c>
      <c r="BA315" s="2078">
        <f t="shared" si="1083"/>
        <v>0</v>
      </c>
      <c r="BB315" s="2078">
        <f t="shared" si="1084"/>
        <v>0</v>
      </c>
      <c r="BC315" s="2078">
        <f t="shared" si="1085"/>
        <v>0</v>
      </c>
      <c r="BD315" s="2078">
        <f t="shared" si="1086"/>
        <v>0</v>
      </c>
      <c r="BE315" s="2078">
        <f t="shared" si="1087"/>
        <v>0</v>
      </c>
      <c r="BF315" s="2078">
        <f t="shared" si="1088"/>
        <v>0</v>
      </c>
      <c r="BG315" s="2078">
        <f t="shared" si="1089"/>
        <v>0</v>
      </c>
      <c r="BH315" s="2078">
        <f t="shared" si="1090"/>
        <v>0</v>
      </c>
      <c r="BI315" s="2078">
        <f t="shared" si="1091"/>
        <v>0</v>
      </c>
      <c r="BJ315" s="2078">
        <f t="shared" si="1092"/>
        <v>0</v>
      </c>
      <c r="BK315" s="2078">
        <f t="shared" si="1093"/>
        <v>0</v>
      </c>
      <c r="BL315" s="2078">
        <f t="shared" si="1094"/>
        <v>0</v>
      </c>
      <c r="BM315" s="2078">
        <f t="shared" si="1095"/>
        <v>0</v>
      </c>
      <c r="BN315" s="2078">
        <f t="shared" si="1096"/>
        <v>0</v>
      </c>
      <c r="BO315" s="2078">
        <f t="shared" si="1097"/>
        <v>0</v>
      </c>
      <c r="BP315" s="2078">
        <f t="shared" si="1098"/>
        <v>0</v>
      </c>
      <c r="BQ315" s="2078">
        <f t="shared" si="1099"/>
        <v>0</v>
      </c>
      <c r="BR315" s="2078">
        <f t="shared" si="1100"/>
        <v>0</v>
      </c>
      <c r="BS315" s="2079">
        <f t="shared" si="1061"/>
        <v>1</v>
      </c>
      <c r="BT315" s="2079">
        <f t="shared" si="1062"/>
        <v>0</v>
      </c>
      <c r="BU315" s="2079">
        <f t="shared" si="1063"/>
        <v>0</v>
      </c>
      <c r="BV315" s="2079">
        <f t="shared" si="1064"/>
        <v>0</v>
      </c>
      <c r="BW315" s="2079">
        <f t="shared" si="1065"/>
        <v>0</v>
      </c>
      <c r="BX315" s="2079">
        <f t="shared" si="1066"/>
        <v>0</v>
      </c>
      <c r="BY315" s="2079">
        <f t="shared" si="1067"/>
        <v>0</v>
      </c>
      <c r="BZ315" s="2079">
        <f t="shared" si="1068"/>
        <v>0</v>
      </c>
      <c r="CA315" s="2079">
        <f t="shared" si="1069"/>
        <v>0</v>
      </c>
      <c r="CB315" s="2079">
        <f t="shared" si="1070"/>
        <v>0</v>
      </c>
      <c r="CC315" s="2078">
        <f t="shared" ca="1" si="1101"/>
        <v>0</v>
      </c>
      <c r="CD315" s="2078">
        <f t="shared" ca="1" si="1102"/>
        <v>0</v>
      </c>
      <c r="CE315" s="2078">
        <f t="shared" ca="1" si="1103"/>
        <v>0</v>
      </c>
      <c r="CF315" s="2078">
        <f t="shared" ca="1" si="1104"/>
        <v>0</v>
      </c>
      <c r="CG315" s="2078">
        <f t="shared" ca="1" si="1105"/>
        <v>0</v>
      </c>
      <c r="CH315" s="2078">
        <f t="shared" ca="1" si="1106"/>
        <v>0</v>
      </c>
      <c r="CI315" s="2078">
        <f t="shared" ca="1" si="1107"/>
        <v>0</v>
      </c>
      <c r="CJ315" s="2078">
        <f t="shared" ca="1" si="1108"/>
        <v>0</v>
      </c>
      <c r="CK315" s="2078">
        <f t="shared" ca="1" si="1109"/>
        <v>0</v>
      </c>
      <c r="CL315" s="2078">
        <f t="shared" ca="1" si="1110"/>
        <v>0</v>
      </c>
      <c r="CM315" s="2078">
        <f t="shared" si="968"/>
        <v>1</v>
      </c>
      <c r="CN315" s="2078">
        <f t="shared" si="969"/>
        <v>1</v>
      </c>
      <c r="CO315" s="2078">
        <f t="shared" si="1121"/>
        <v>1</v>
      </c>
      <c r="CP315" s="2078">
        <f t="shared" si="1111"/>
        <v>1</v>
      </c>
      <c r="CQ315" s="2078">
        <f t="shared" si="1122"/>
        <v>0</v>
      </c>
      <c r="CR315" s="2078">
        <f t="shared" si="1042"/>
        <v>0</v>
      </c>
      <c r="CS315" s="2078">
        <f t="shared" si="1112"/>
        <v>0</v>
      </c>
      <c r="CT315" s="2078">
        <f t="shared" si="1123"/>
        <v>1</v>
      </c>
      <c r="CU315" s="2078">
        <f t="shared" si="1113"/>
        <v>1</v>
      </c>
      <c r="CV315" s="2078">
        <f t="shared" si="970"/>
        <v>0</v>
      </c>
      <c r="CW315" s="2078">
        <f>IF(OR(AE315&lt;&gt;3,F315="Exclude"),0,IF(ISERROR(MATCH($E315,'4 Sign-off'!$S$123:$X$123,0)),0,1))</f>
        <v>0</v>
      </c>
      <c r="CX315" s="2078">
        <f t="shared" si="1046"/>
        <v>0</v>
      </c>
      <c r="CY315" s="2078">
        <f t="shared" si="971"/>
        <v>0</v>
      </c>
      <c r="CZ315" s="2993">
        <f t="shared" ca="1" si="1043"/>
        <v>0</v>
      </c>
      <c r="DA315" s="3037">
        <f t="shared" ca="1" si="1044"/>
        <v>0</v>
      </c>
      <c r="DB315" s="1664"/>
      <c r="DC315" s="1320"/>
      <c r="DD315" s="589"/>
      <c r="DE315" s="1321"/>
      <c r="DF315" s="107"/>
      <c r="DG315" s="112"/>
      <c r="DH315" s="140"/>
      <c r="DI315" s="22"/>
      <c r="DJ315" s="145"/>
      <c r="DK315" s="137"/>
      <c r="DL315" s="137"/>
      <c r="DM315" s="137"/>
      <c r="DN315" s="137"/>
      <c r="DO315" s="137"/>
      <c r="DP315" s="137"/>
      <c r="DQ315" s="137"/>
      <c r="DR315" s="137"/>
      <c r="DS315" s="137"/>
      <c r="DT315" s="137"/>
      <c r="DU315" s="137"/>
      <c r="DV315" s="137"/>
      <c r="DW315" s="137"/>
      <c r="DX315" s="137"/>
      <c r="DY315" s="137"/>
      <c r="DZ315" s="137"/>
      <c r="EA315" s="137"/>
      <c r="EB315" s="137"/>
      <c r="EC315" s="137"/>
      <c r="ED315" s="137"/>
      <c r="EE315" s="137"/>
      <c r="EF315" s="137"/>
      <c r="EG315" s="137"/>
      <c r="EH315" s="137"/>
      <c r="EI315" s="137"/>
      <c r="EJ315" s="137"/>
      <c r="EK315" s="137"/>
      <c r="EL315" s="137"/>
      <c r="EM315" s="137"/>
      <c r="EN315" s="137"/>
      <c r="EO315" s="137"/>
      <c r="EP315" s="137"/>
      <c r="EQ315" s="137"/>
      <c r="ER315" s="137"/>
      <c r="ES315" s="137"/>
      <c r="ET315" s="137"/>
      <c r="EU315" s="137"/>
      <c r="EV315" s="137"/>
      <c r="EW315" s="137"/>
      <c r="EX315" s="137"/>
      <c r="EY315" s="137"/>
      <c r="EZ315" s="137"/>
      <c r="FA315" s="137"/>
      <c r="FB315" s="137"/>
      <c r="FC315" s="137"/>
      <c r="FD315" s="137"/>
      <c r="FE315" s="137"/>
      <c r="FF315" s="137"/>
      <c r="FG315" s="860"/>
      <c r="FH315" s="863"/>
      <c r="FI315" s="1318"/>
      <c r="FJ315" s="126"/>
      <c r="FK315" s="127"/>
      <c r="FL315" s="128" t="str">
        <f t="shared" si="1114"/>
        <v xml:space="preserve">    </v>
      </c>
      <c r="FM315" s="128"/>
      <c r="FN315" s="1686">
        <f t="shared" si="1115"/>
        <v>0</v>
      </c>
      <c r="FO315" s="46">
        <f t="shared" si="972"/>
        <v>0</v>
      </c>
      <c r="FP315" s="46">
        <f t="shared" si="1124"/>
        <v>1</v>
      </c>
      <c r="FQ315" s="75">
        <f t="shared" si="1116"/>
        <v>0</v>
      </c>
      <c r="FR315" s="46">
        <f t="shared" si="1036"/>
        <v>0</v>
      </c>
      <c r="FS315" s="46">
        <f t="shared" si="1037"/>
        <v>1</v>
      </c>
      <c r="FT315" s="75">
        <f t="shared" si="1117"/>
        <v>0</v>
      </c>
      <c r="FU315" s="2603">
        <f t="shared" si="973"/>
        <v>0</v>
      </c>
      <c r="FV315" s="2607">
        <f t="shared" si="974"/>
        <v>0</v>
      </c>
      <c r="FW315" s="2603">
        <f t="shared" si="975"/>
        <v>0</v>
      </c>
      <c r="FX315" s="2631">
        <f t="shared" si="976"/>
        <v>0</v>
      </c>
      <c r="FY315" s="81" t="e">
        <f t="shared" si="1038"/>
        <v>#N/A</v>
      </c>
      <c r="FZ315" s="64" t="e">
        <f t="array" ref="FZ315">MATCH(1,($GT315:$LQ315&gt;0)*$GT$25:$LQ$25,0)</f>
        <v>#N/A</v>
      </c>
      <c r="GA315" s="64" t="e">
        <f t="array" ref="GA315">MATCH(2,1/(GT315:LQ315&gt;0))</f>
        <v>#N/A</v>
      </c>
      <c r="GB315" s="64">
        <f t="shared" si="1118"/>
        <v>-1</v>
      </c>
      <c r="GC315" s="46"/>
      <c r="GD315" s="613"/>
      <c r="GE315" s="613"/>
      <c r="GF315" s="613"/>
      <c r="GG315" s="613"/>
      <c r="GH315" s="613"/>
      <c r="GI315" s="613"/>
      <c r="GJ315" s="613"/>
      <c r="GK315" s="613"/>
      <c r="GL315" s="613"/>
      <c r="GM315" s="613"/>
      <c r="GN315" s="385">
        <f t="shared" si="1047"/>
        <v>0</v>
      </c>
      <c r="GO315" s="386">
        <f t="shared" si="1048"/>
        <v>0</v>
      </c>
      <c r="GP315" s="2635"/>
      <c r="GQ315" s="175"/>
      <c r="GR315" s="172"/>
      <c r="GS315" s="65"/>
      <c r="GT315" s="167"/>
      <c r="GU315" s="168"/>
      <c r="GV315" s="168"/>
      <c r="GW315" s="168"/>
      <c r="GX315" s="168"/>
      <c r="GY315" s="168"/>
      <c r="GZ315" s="168"/>
      <c r="HA315" s="168"/>
      <c r="HB315" s="168"/>
      <c r="HC315" s="168"/>
      <c r="HD315" s="168"/>
      <c r="HE315" s="168"/>
      <c r="HF315" s="168"/>
      <c r="HG315" s="168"/>
      <c r="HH315" s="168"/>
      <c r="HI315" s="168"/>
      <c r="HJ315" s="168"/>
      <c r="HK315" s="168"/>
      <c r="HL315" s="168"/>
      <c r="HM315" s="168"/>
      <c r="HN315" s="168"/>
      <c r="HO315" s="168"/>
      <c r="HP315" s="168"/>
      <c r="HQ315" s="168"/>
      <c r="HR315" s="168"/>
      <c r="HS315" s="168"/>
      <c r="HT315" s="168"/>
      <c r="HU315" s="168"/>
      <c r="HV315" s="168"/>
      <c r="HW315" s="168"/>
      <c r="HX315" s="168"/>
      <c r="HY315" s="168"/>
      <c r="HZ315" s="168"/>
      <c r="IA315" s="168"/>
      <c r="IB315" s="168"/>
      <c r="IC315" s="168"/>
      <c r="ID315" s="168"/>
      <c r="IE315" s="168"/>
      <c r="IF315" s="168"/>
      <c r="IG315" s="168"/>
      <c r="IH315" s="168"/>
      <c r="II315" s="168"/>
      <c r="IJ315" s="168"/>
      <c r="IK315" s="168"/>
      <c r="IL315" s="168"/>
      <c r="IM315" s="168"/>
      <c r="IN315" s="168"/>
      <c r="IO315" s="168"/>
      <c r="IP315" s="168"/>
      <c r="IQ315" s="168"/>
      <c r="IR315" s="168"/>
      <c r="IS315" s="168"/>
      <c r="IT315" s="168"/>
      <c r="IU315" s="168"/>
      <c r="IV315" s="168"/>
      <c r="IW315" s="168"/>
      <c r="IX315" s="168"/>
      <c r="IY315" s="168"/>
      <c r="IZ315" s="168"/>
      <c r="JA315" s="168"/>
      <c r="JB315" s="168"/>
      <c r="JC315" s="168"/>
      <c r="JD315" s="168"/>
      <c r="JE315" s="168"/>
      <c r="JF315" s="168"/>
      <c r="JG315" s="168"/>
      <c r="JH315" s="168"/>
      <c r="JI315" s="168"/>
      <c r="JJ315" s="168"/>
      <c r="JK315" s="168"/>
      <c r="JL315" s="168"/>
      <c r="JM315" s="168"/>
      <c r="JN315" s="168"/>
      <c r="JO315" s="168"/>
      <c r="JP315" s="168"/>
      <c r="JQ315" s="168"/>
      <c r="JR315" s="168"/>
      <c r="JS315" s="168"/>
      <c r="JT315" s="168"/>
      <c r="JU315" s="168"/>
      <c r="JV315" s="168"/>
      <c r="JW315" s="168"/>
      <c r="JX315" s="168"/>
      <c r="JY315" s="168"/>
      <c r="JZ315" s="168"/>
      <c r="KA315" s="168"/>
      <c r="KB315" s="168"/>
      <c r="KC315" s="168"/>
      <c r="KD315" s="168"/>
      <c r="KE315" s="168"/>
      <c r="KF315" s="168"/>
      <c r="KG315" s="168"/>
      <c r="KH315" s="168"/>
      <c r="KI315" s="168"/>
      <c r="KJ315" s="168"/>
      <c r="KK315" s="168"/>
      <c r="KL315" s="168"/>
      <c r="KM315" s="168"/>
      <c r="KN315" s="168"/>
      <c r="KO315" s="168"/>
      <c r="KP315" s="168"/>
      <c r="KQ315" s="168"/>
      <c r="KR315" s="168"/>
      <c r="KS315" s="168"/>
      <c r="KT315" s="168"/>
      <c r="KU315" s="168"/>
      <c r="KV315" s="168"/>
      <c r="KW315" s="168"/>
      <c r="KX315" s="168"/>
      <c r="KY315" s="168"/>
      <c r="KZ315" s="168"/>
      <c r="LA315" s="168"/>
      <c r="LB315" s="168"/>
      <c r="LC315" s="168"/>
      <c r="LD315" s="168"/>
      <c r="LE315" s="168"/>
      <c r="LF315" s="168"/>
      <c r="LG315" s="168"/>
      <c r="LH315" s="168"/>
      <c r="LI315" s="168"/>
      <c r="LJ315" s="168"/>
      <c r="LK315" s="168"/>
      <c r="LL315" s="168"/>
      <c r="LM315" s="168"/>
      <c r="LN315" s="168"/>
      <c r="LO315" s="168"/>
      <c r="LP315" s="606"/>
      <c r="LQ315" s="609"/>
      <c r="LR315" s="1319"/>
      <c r="LS315" s="1319"/>
    </row>
    <row r="316" spans="1:331" s="2" customFormat="1" ht="15" customHeight="1" x14ac:dyDescent="0.25">
      <c r="A316" s="283"/>
      <c r="B316" s="303"/>
      <c r="C316" s="301"/>
      <c r="D316" s="1287"/>
      <c r="E316" s="2298"/>
      <c r="F316" s="1812"/>
      <c r="G316" s="3342"/>
      <c r="H316" s="66"/>
      <c r="I316" s="1746"/>
      <c r="J316" s="1214"/>
      <c r="K316" s="105"/>
      <c r="L316" s="91"/>
      <c r="M316" s="92"/>
      <c r="N316" s="93"/>
      <c r="O316" s="94"/>
      <c r="P316" s="96"/>
      <c r="Q316" s="95"/>
      <c r="R316" s="993">
        <f t="shared" si="1039"/>
        <v>0</v>
      </c>
      <c r="S316" s="23">
        <f t="shared" si="1040"/>
        <v>0</v>
      </c>
      <c r="T316" s="24">
        <f t="shared" si="1071"/>
        <v>0</v>
      </c>
      <c r="U316" s="24">
        <f t="shared" si="1072"/>
        <v>0</v>
      </c>
      <c r="V316" s="24">
        <f t="shared" si="1073"/>
        <v>0</v>
      </c>
      <c r="W316" s="24">
        <f t="shared" ca="1" si="1074"/>
        <v>0</v>
      </c>
      <c r="X316" s="72">
        <f t="shared" ca="1" si="1119"/>
        <v>0</v>
      </c>
      <c r="Y316" s="72">
        <f t="shared" si="1075"/>
        <v>0</v>
      </c>
      <c r="Z316" s="24">
        <f t="shared" si="1076"/>
        <v>0</v>
      </c>
      <c r="AA316" s="72">
        <f t="shared" si="1120"/>
        <v>0</v>
      </c>
      <c r="AB316" s="24">
        <f t="shared" si="967"/>
        <v>0</v>
      </c>
      <c r="AC316" s="24">
        <f t="shared" ca="1" si="1077"/>
        <v>0</v>
      </c>
      <c r="AD316" s="24">
        <f t="shared" si="1049"/>
        <v>0</v>
      </c>
      <c r="AE316" s="2078">
        <f t="shared" ref="AE316:AE345" si="1125">IF(N316="",3,IF(AND(L316&gt;0,M316&gt;0),2,1))</f>
        <v>3</v>
      </c>
      <c r="AF316" s="2078">
        <f t="shared" ref="AF316:AF345" si="1126">IF(AND(ISNUMBER(VALUE(L316)),RIGHT(L316,1)="0"),(L316+0.00001),L316)</f>
        <v>0</v>
      </c>
      <c r="AG316" s="2078">
        <f t="shared" ref="AG316:AG345" si="1127">IF(AND(ISNUMBER(VALUE(M316)),RIGHT(M316,1)="0"),(M316+0.00001),M316)</f>
        <v>0</v>
      </c>
      <c r="AH316" s="2521">
        <f t="shared" si="1050"/>
        <v>1</v>
      </c>
      <c r="AI316" s="25" t="str">
        <f t="shared" si="1078"/>
        <v/>
      </c>
      <c r="AJ316" s="2521">
        <f t="shared" ca="1" si="1045"/>
        <v>0</v>
      </c>
      <c r="AK316" s="2076">
        <f t="shared" ca="1" si="1041"/>
        <v>0</v>
      </c>
      <c r="AL316" s="2078">
        <f>IF(ISBLANK(J316),0,ISERROR(MATCH(J316,'5  Control Accounts'!$FA$29:$FA$96,0))*1)</f>
        <v>0</v>
      </c>
      <c r="AM316" s="2076">
        <f t="shared" si="1079"/>
        <v>0</v>
      </c>
      <c r="AN316" s="2078">
        <f t="shared" si="1080"/>
        <v>1</v>
      </c>
      <c r="AO316" s="2079">
        <f t="shared" si="1051"/>
        <v>1</v>
      </c>
      <c r="AP316" s="2079">
        <f t="shared" si="1052"/>
        <v>0</v>
      </c>
      <c r="AQ316" s="2079">
        <f t="shared" si="1053"/>
        <v>0</v>
      </c>
      <c r="AR316" s="2079">
        <f t="shared" si="1054"/>
        <v>0</v>
      </c>
      <c r="AS316" s="2079">
        <f t="shared" si="1055"/>
        <v>0</v>
      </c>
      <c r="AT316" s="2079">
        <f t="shared" si="1056"/>
        <v>0</v>
      </c>
      <c r="AU316" s="2079">
        <f t="shared" si="1057"/>
        <v>0</v>
      </c>
      <c r="AV316" s="2079">
        <f t="shared" si="1058"/>
        <v>0</v>
      </c>
      <c r="AW316" s="2079">
        <f t="shared" si="1059"/>
        <v>0</v>
      </c>
      <c r="AX316" s="2079">
        <f t="shared" si="1060"/>
        <v>0</v>
      </c>
      <c r="AY316" s="2078">
        <f t="shared" si="1081"/>
        <v>0</v>
      </c>
      <c r="AZ316" s="2078">
        <f t="shared" si="1082"/>
        <v>0</v>
      </c>
      <c r="BA316" s="2078">
        <f t="shared" si="1083"/>
        <v>0</v>
      </c>
      <c r="BB316" s="2078">
        <f t="shared" si="1084"/>
        <v>0</v>
      </c>
      <c r="BC316" s="2078">
        <f t="shared" si="1085"/>
        <v>0</v>
      </c>
      <c r="BD316" s="2078">
        <f t="shared" si="1086"/>
        <v>0</v>
      </c>
      <c r="BE316" s="2078">
        <f t="shared" si="1087"/>
        <v>0</v>
      </c>
      <c r="BF316" s="2078">
        <f t="shared" si="1088"/>
        <v>0</v>
      </c>
      <c r="BG316" s="2078">
        <f t="shared" si="1089"/>
        <v>0</v>
      </c>
      <c r="BH316" s="2078">
        <f t="shared" si="1090"/>
        <v>0</v>
      </c>
      <c r="BI316" s="2078">
        <f t="shared" si="1091"/>
        <v>0</v>
      </c>
      <c r="BJ316" s="2078">
        <f t="shared" si="1092"/>
        <v>0</v>
      </c>
      <c r="BK316" s="2078">
        <f t="shared" si="1093"/>
        <v>0</v>
      </c>
      <c r="BL316" s="2078">
        <f t="shared" si="1094"/>
        <v>0</v>
      </c>
      <c r="BM316" s="2078">
        <f t="shared" si="1095"/>
        <v>0</v>
      </c>
      <c r="BN316" s="2078">
        <f t="shared" si="1096"/>
        <v>0</v>
      </c>
      <c r="BO316" s="2078">
        <f t="shared" si="1097"/>
        <v>0</v>
      </c>
      <c r="BP316" s="2078">
        <f t="shared" si="1098"/>
        <v>0</v>
      </c>
      <c r="BQ316" s="2078">
        <f t="shared" si="1099"/>
        <v>0</v>
      </c>
      <c r="BR316" s="2078">
        <f t="shared" si="1100"/>
        <v>0</v>
      </c>
      <c r="BS316" s="2079">
        <f t="shared" si="1061"/>
        <v>1</v>
      </c>
      <c r="BT316" s="2079">
        <f t="shared" si="1062"/>
        <v>0</v>
      </c>
      <c r="BU316" s="2079">
        <f t="shared" si="1063"/>
        <v>0</v>
      </c>
      <c r="BV316" s="2079">
        <f t="shared" si="1064"/>
        <v>0</v>
      </c>
      <c r="BW316" s="2079">
        <f t="shared" si="1065"/>
        <v>0</v>
      </c>
      <c r="BX316" s="2079">
        <f t="shared" si="1066"/>
        <v>0</v>
      </c>
      <c r="BY316" s="2079">
        <f t="shared" si="1067"/>
        <v>0</v>
      </c>
      <c r="BZ316" s="2079">
        <f t="shared" si="1068"/>
        <v>0</v>
      </c>
      <c r="CA316" s="2079">
        <f t="shared" si="1069"/>
        <v>0</v>
      </c>
      <c r="CB316" s="2079">
        <f t="shared" si="1070"/>
        <v>0</v>
      </c>
      <c r="CC316" s="2078">
        <f t="shared" ca="1" si="1101"/>
        <v>0</v>
      </c>
      <c r="CD316" s="2078">
        <f t="shared" ca="1" si="1102"/>
        <v>0</v>
      </c>
      <c r="CE316" s="2078">
        <f t="shared" ca="1" si="1103"/>
        <v>0</v>
      </c>
      <c r="CF316" s="2078">
        <f t="shared" ca="1" si="1104"/>
        <v>0</v>
      </c>
      <c r="CG316" s="2078">
        <f t="shared" ca="1" si="1105"/>
        <v>0</v>
      </c>
      <c r="CH316" s="2078">
        <f t="shared" ca="1" si="1106"/>
        <v>0</v>
      </c>
      <c r="CI316" s="2078">
        <f t="shared" ca="1" si="1107"/>
        <v>0</v>
      </c>
      <c r="CJ316" s="2078">
        <f t="shared" ca="1" si="1108"/>
        <v>0</v>
      </c>
      <c r="CK316" s="2078">
        <f t="shared" ca="1" si="1109"/>
        <v>0</v>
      </c>
      <c r="CL316" s="2078">
        <f t="shared" ca="1" si="1110"/>
        <v>0</v>
      </c>
      <c r="CM316" s="2078">
        <f t="shared" si="968"/>
        <v>1</v>
      </c>
      <c r="CN316" s="2078">
        <f t="shared" si="969"/>
        <v>1</v>
      </c>
      <c r="CO316" s="2078">
        <f t="shared" si="1121"/>
        <v>1</v>
      </c>
      <c r="CP316" s="2078">
        <f t="shared" si="1111"/>
        <v>1</v>
      </c>
      <c r="CQ316" s="2078">
        <f t="shared" si="1122"/>
        <v>0</v>
      </c>
      <c r="CR316" s="2078">
        <f t="shared" si="1042"/>
        <v>0</v>
      </c>
      <c r="CS316" s="2078">
        <f t="shared" si="1112"/>
        <v>0</v>
      </c>
      <c r="CT316" s="2078">
        <f t="shared" si="1123"/>
        <v>1</v>
      </c>
      <c r="CU316" s="2078">
        <f t="shared" si="1113"/>
        <v>1</v>
      </c>
      <c r="CV316" s="2078">
        <f t="shared" si="970"/>
        <v>0</v>
      </c>
      <c r="CW316" s="2078">
        <f>IF(OR(AE316&lt;&gt;3,F316="Exclude"),0,IF(ISERROR(MATCH($E316,'4 Sign-off'!$S$123:$X$123,0)),0,1))</f>
        <v>0</v>
      </c>
      <c r="CX316" s="2078">
        <f t="shared" si="1046"/>
        <v>0</v>
      </c>
      <c r="CY316" s="2078">
        <f t="shared" si="971"/>
        <v>0</v>
      </c>
      <c r="CZ316" s="2993">
        <f t="shared" ca="1" si="1043"/>
        <v>0</v>
      </c>
      <c r="DA316" s="3037">
        <f t="shared" ca="1" si="1044"/>
        <v>0</v>
      </c>
      <c r="DB316" s="1664"/>
      <c r="DC316" s="1320"/>
      <c r="DD316" s="589"/>
      <c r="DE316" s="1321"/>
      <c r="DF316" s="107"/>
      <c r="DG316" s="112"/>
      <c r="DH316" s="140"/>
      <c r="DI316" s="22"/>
      <c r="DJ316" s="145"/>
      <c r="DK316" s="137"/>
      <c r="DL316" s="137"/>
      <c r="DM316" s="137"/>
      <c r="DN316" s="137"/>
      <c r="DO316" s="137"/>
      <c r="DP316" s="137"/>
      <c r="DQ316" s="137"/>
      <c r="DR316" s="137"/>
      <c r="DS316" s="137"/>
      <c r="DT316" s="137"/>
      <c r="DU316" s="137"/>
      <c r="DV316" s="137"/>
      <c r="DW316" s="137"/>
      <c r="DX316" s="137"/>
      <c r="DY316" s="137"/>
      <c r="DZ316" s="137"/>
      <c r="EA316" s="137"/>
      <c r="EB316" s="137"/>
      <c r="EC316" s="137"/>
      <c r="ED316" s="137"/>
      <c r="EE316" s="137"/>
      <c r="EF316" s="137"/>
      <c r="EG316" s="137"/>
      <c r="EH316" s="137"/>
      <c r="EI316" s="137"/>
      <c r="EJ316" s="137"/>
      <c r="EK316" s="137"/>
      <c r="EL316" s="137"/>
      <c r="EM316" s="137"/>
      <c r="EN316" s="137"/>
      <c r="EO316" s="137"/>
      <c r="EP316" s="137"/>
      <c r="EQ316" s="137"/>
      <c r="ER316" s="137"/>
      <c r="ES316" s="137"/>
      <c r="ET316" s="137"/>
      <c r="EU316" s="137"/>
      <c r="EV316" s="137"/>
      <c r="EW316" s="137"/>
      <c r="EX316" s="137"/>
      <c r="EY316" s="137"/>
      <c r="EZ316" s="137"/>
      <c r="FA316" s="137"/>
      <c r="FB316" s="137"/>
      <c r="FC316" s="137"/>
      <c r="FD316" s="137"/>
      <c r="FE316" s="137"/>
      <c r="FF316" s="137"/>
      <c r="FG316" s="860"/>
      <c r="FH316" s="863"/>
      <c r="FI316" s="1318"/>
      <c r="FJ316" s="126"/>
      <c r="FK316" s="127"/>
      <c r="FL316" s="128" t="str">
        <f t="shared" si="1114"/>
        <v xml:space="preserve">    </v>
      </c>
      <c r="FM316" s="128"/>
      <c r="FN316" s="1686">
        <f t="shared" si="1115"/>
        <v>0</v>
      </c>
      <c r="FO316" s="46">
        <f t="shared" si="972"/>
        <v>0</v>
      </c>
      <c r="FP316" s="46">
        <f t="shared" si="1124"/>
        <v>1</v>
      </c>
      <c r="FQ316" s="75">
        <f t="shared" si="1116"/>
        <v>0</v>
      </c>
      <c r="FR316" s="46">
        <f t="shared" ref="FR316:FR351" si="1128">SUM(GT316:LQ316)</f>
        <v>0</v>
      </c>
      <c r="FS316" s="46">
        <f t="shared" ref="FS316:FS346" si="1129">IFERROR(AN316/FQ316,1)</f>
        <v>1</v>
      </c>
      <c r="FT316" s="75">
        <f t="shared" si="1117"/>
        <v>0</v>
      </c>
      <c r="FU316" s="2603">
        <f t="shared" si="973"/>
        <v>0</v>
      </c>
      <c r="FV316" s="2607">
        <f t="shared" si="974"/>
        <v>0</v>
      </c>
      <c r="FW316" s="2603">
        <f t="shared" si="975"/>
        <v>0</v>
      </c>
      <c r="FX316" s="2631">
        <f t="shared" si="976"/>
        <v>0</v>
      </c>
      <c r="FY316" s="81" t="e">
        <f t="shared" ref="FY316:FY345" si="1130">IF($C$7&lt;&gt;"F",GA316,IF(GA316&lt;$GO$25,NA(),GA316))</f>
        <v>#N/A</v>
      </c>
      <c r="FZ316" s="64" t="e">
        <f t="array" ref="FZ316">MATCH(1,($GT316:$LQ316&gt;0)*$GT$25:$LQ$25,0)</f>
        <v>#N/A</v>
      </c>
      <c r="GA316" s="64" t="e">
        <f t="array" ref="GA316">MATCH(2,1/(GT316:LQ316&gt;0))</f>
        <v>#N/A</v>
      </c>
      <c r="GB316" s="64">
        <f t="shared" si="1118"/>
        <v>-1</v>
      </c>
      <c r="GC316" s="46"/>
      <c r="GD316" s="613"/>
      <c r="GE316" s="613"/>
      <c r="GF316" s="613"/>
      <c r="GG316" s="613"/>
      <c r="GH316" s="613"/>
      <c r="GI316" s="613"/>
      <c r="GJ316" s="613"/>
      <c r="GK316" s="613"/>
      <c r="GL316" s="613"/>
      <c r="GM316" s="613"/>
      <c r="GN316" s="385">
        <f t="shared" si="1047"/>
        <v>0</v>
      </c>
      <c r="GO316" s="386">
        <f t="shared" si="1048"/>
        <v>0</v>
      </c>
      <c r="GP316" s="2635"/>
      <c r="GQ316" s="175"/>
      <c r="GR316" s="172"/>
      <c r="GS316" s="65"/>
      <c r="GT316" s="167"/>
      <c r="GU316" s="168"/>
      <c r="GV316" s="168"/>
      <c r="GW316" s="168"/>
      <c r="GX316" s="168"/>
      <c r="GY316" s="168"/>
      <c r="GZ316" s="168"/>
      <c r="HA316" s="168"/>
      <c r="HB316" s="168"/>
      <c r="HC316" s="168"/>
      <c r="HD316" s="168"/>
      <c r="HE316" s="168"/>
      <c r="HF316" s="168"/>
      <c r="HG316" s="168"/>
      <c r="HH316" s="168"/>
      <c r="HI316" s="168"/>
      <c r="HJ316" s="168"/>
      <c r="HK316" s="168"/>
      <c r="HL316" s="168"/>
      <c r="HM316" s="168"/>
      <c r="HN316" s="168"/>
      <c r="HO316" s="168"/>
      <c r="HP316" s="168"/>
      <c r="HQ316" s="168"/>
      <c r="HR316" s="168"/>
      <c r="HS316" s="168"/>
      <c r="HT316" s="168"/>
      <c r="HU316" s="168"/>
      <c r="HV316" s="168"/>
      <c r="HW316" s="168"/>
      <c r="HX316" s="168"/>
      <c r="HY316" s="168"/>
      <c r="HZ316" s="168"/>
      <c r="IA316" s="168"/>
      <c r="IB316" s="168"/>
      <c r="IC316" s="168"/>
      <c r="ID316" s="168"/>
      <c r="IE316" s="168"/>
      <c r="IF316" s="168"/>
      <c r="IG316" s="168"/>
      <c r="IH316" s="168"/>
      <c r="II316" s="168"/>
      <c r="IJ316" s="168"/>
      <c r="IK316" s="168"/>
      <c r="IL316" s="168"/>
      <c r="IM316" s="168"/>
      <c r="IN316" s="168"/>
      <c r="IO316" s="168"/>
      <c r="IP316" s="168"/>
      <c r="IQ316" s="168"/>
      <c r="IR316" s="168"/>
      <c r="IS316" s="168"/>
      <c r="IT316" s="168"/>
      <c r="IU316" s="168"/>
      <c r="IV316" s="168"/>
      <c r="IW316" s="168"/>
      <c r="IX316" s="168"/>
      <c r="IY316" s="168"/>
      <c r="IZ316" s="168"/>
      <c r="JA316" s="168"/>
      <c r="JB316" s="168"/>
      <c r="JC316" s="168"/>
      <c r="JD316" s="168"/>
      <c r="JE316" s="168"/>
      <c r="JF316" s="168"/>
      <c r="JG316" s="168"/>
      <c r="JH316" s="168"/>
      <c r="JI316" s="168"/>
      <c r="JJ316" s="168"/>
      <c r="JK316" s="168"/>
      <c r="JL316" s="168"/>
      <c r="JM316" s="168"/>
      <c r="JN316" s="168"/>
      <c r="JO316" s="168"/>
      <c r="JP316" s="168"/>
      <c r="JQ316" s="168"/>
      <c r="JR316" s="168"/>
      <c r="JS316" s="168"/>
      <c r="JT316" s="168"/>
      <c r="JU316" s="168"/>
      <c r="JV316" s="168"/>
      <c r="JW316" s="168"/>
      <c r="JX316" s="168"/>
      <c r="JY316" s="168"/>
      <c r="JZ316" s="168"/>
      <c r="KA316" s="168"/>
      <c r="KB316" s="168"/>
      <c r="KC316" s="168"/>
      <c r="KD316" s="168"/>
      <c r="KE316" s="168"/>
      <c r="KF316" s="168"/>
      <c r="KG316" s="168"/>
      <c r="KH316" s="168"/>
      <c r="KI316" s="168"/>
      <c r="KJ316" s="168"/>
      <c r="KK316" s="168"/>
      <c r="KL316" s="168"/>
      <c r="KM316" s="168"/>
      <c r="KN316" s="168"/>
      <c r="KO316" s="168"/>
      <c r="KP316" s="168"/>
      <c r="KQ316" s="168"/>
      <c r="KR316" s="168"/>
      <c r="KS316" s="168"/>
      <c r="KT316" s="168"/>
      <c r="KU316" s="168"/>
      <c r="KV316" s="168"/>
      <c r="KW316" s="168"/>
      <c r="KX316" s="168"/>
      <c r="KY316" s="168"/>
      <c r="KZ316" s="168"/>
      <c r="LA316" s="168"/>
      <c r="LB316" s="168"/>
      <c r="LC316" s="168"/>
      <c r="LD316" s="168"/>
      <c r="LE316" s="168"/>
      <c r="LF316" s="168"/>
      <c r="LG316" s="168"/>
      <c r="LH316" s="168"/>
      <c r="LI316" s="168"/>
      <c r="LJ316" s="168"/>
      <c r="LK316" s="168"/>
      <c r="LL316" s="168"/>
      <c r="LM316" s="168"/>
      <c r="LN316" s="168"/>
      <c r="LO316" s="168"/>
      <c r="LP316" s="606"/>
      <c r="LQ316" s="609"/>
      <c r="LR316" s="1319"/>
      <c r="LS316" s="1319"/>
    </row>
    <row r="317" spans="1:331" s="2" customFormat="1" ht="15" customHeight="1" x14ac:dyDescent="0.25">
      <c r="A317" s="283"/>
      <c r="B317" s="303"/>
      <c r="C317" s="301"/>
      <c r="D317" s="1287"/>
      <c r="E317" s="2298"/>
      <c r="F317" s="1812"/>
      <c r="G317" s="3342"/>
      <c r="H317" s="66"/>
      <c r="I317" s="1746"/>
      <c r="J317" s="1214"/>
      <c r="K317" s="105"/>
      <c r="L317" s="91"/>
      <c r="M317" s="92"/>
      <c r="N317" s="93"/>
      <c r="O317" s="94"/>
      <c r="P317" s="96"/>
      <c r="Q317" s="95"/>
      <c r="R317" s="993">
        <f t="shared" si="1039"/>
        <v>0</v>
      </c>
      <c r="S317" s="23">
        <f t="shared" si="1040"/>
        <v>0</v>
      </c>
      <c r="T317" s="24">
        <f t="shared" si="1071"/>
        <v>0</v>
      </c>
      <c r="U317" s="24">
        <f t="shared" si="1072"/>
        <v>0</v>
      </c>
      <c r="V317" s="24">
        <f t="shared" si="1073"/>
        <v>0</v>
      </c>
      <c r="W317" s="24">
        <f t="shared" ca="1" si="1074"/>
        <v>0</v>
      </c>
      <c r="X317" s="72">
        <f t="shared" ca="1" si="1119"/>
        <v>0</v>
      </c>
      <c r="Y317" s="72">
        <f t="shared" si="1075"/>
        <v>0</v>
      </c>
      <c r="Z317" s="24">
        <f t="shared" si="1076"/>
        <v>0</v>
      </c>
      <c r="AA317" s="72">
        <f t="shared" si="1120"/>
        <v>0</v>
      </c>
      <c r="AB317" s="24">
        <f t="shared" ref="AB317:AB364" si="1131">$DE317*$CM317*(1-$CQ317)</f>
        <v>0</v>
      </c>
      <c r="AC317" s="24">
        <f t="shared" ca="1" si="1077"/>
        <v>0</v>
      </c>
      <c r="AD317" s="24">
        <f t="shared" si="1049"/>
        <v>0</v>
      </c>
      <c r="AE317" s="2078">
        <f t="shared" si="1125"/>
        <v>3</v>
      </c>
      <c r="AF317" s="2078">
        <f t="shared" si="1126"/>
        <v>0</v>
      </c>
      <c r="AG317" s="2078">
        <f t="shared" si="1127"/>
        <v>0</v>
      </c>
      <c r="AH317" s="2521">
        <f t="shared" si="1050"/>
        <v>1</v>
      </c>
      <c r="AI317" s="25" t="str">
        <f t="shared" si="1078"/>
        <v/>
      </c>
      <c r="AJ317" s="2521">
        <f t="shared" ca="1" si="1045"/>
        <v>0</v>
      </c>
      <c r="AK317" s="2076">
        <f t="shared" ca="1" si="1041"/>
        <v>0</v>
      </c>
      <c r="AL317" s="2078">
        <f>IF(ISBLANK(J317),0,ISERROR(MATCH(J317,'5  Control Accounts'!$FA$29:$FA$96,0))*1)</f>
        <v>0</v>
      </c>
      <c r="AM317" s="2076">
        <f t="shared" si="1079"/>
        <v>0</v>
      </c>
      <c r="AN317" s="2078">
        <f t="shared" si="1080"/>
        <v>1</v>
      </c>
      <c r="AO317" s="2079">
        <f t="shared" si="1051"/>
        <v>1</v>
      </c>
      <c r="AP317" s="2079">
        <f t="shared" si="1052"/>
        <v>0</v>
      </c>
      <c r="AQ317" s="2079">
        <f t="shared" si="1053"/>
        <v>0</v>
      </c>
      <c r="AR317" s="2079">
        <f t="shared" si="1054"/>
        <v>0</v>
      </c>
      <c r="AS317" s="2079">
        <f t="shared" si="1055"/>
        <v>0</v>
      </c>
      <c r="AT317" s="2079">
        <f t="shared" si="1056"/>
        <v>0</v>
      </c>
      <c r="AU317" s="2079">
        <f t="shared" si="1057"/>
        <v>0</v>
      </c>
      <c r="AV317" s="2079">
        <f t="shared" si="1058"/>
        <v>0</v>
      </c>
      <c r="AW317" s="2079">
        <f t="shared" si="1059"/>
        <v>0</v>
      </c>
      <c r="AX317" s="2079">
        <f t="shared" si="1060"/>
        <v>0</v>
      </c>
      <c r="AY317" s="2078">
        <f t="shared" si="1081"/>
        <v>0</v>
      </c>
      <c r="AZ317" s="2078">
        <f t="shared" si="1082"/>
        <v>0</v>
      </c>
      <c r="BA317" s="2078">
        <f t="shared" si="1083"/>
        <v>0</v>
      </c>
      <c r="BB317" s="2078">
        <f t="shared" si="1084"/>
        <v>0</v>
      </c>
      <c r="BC317" s="2078">
        <f t="shared" si="1085"/>
        <v>0</v>
      </c>
      <c r="BD317" s="2078">
        <f t="shared" si="1086"/>
        <v>0</v>
      </c>
      <c r="BE317" s="2078">
        <f t="shared" si="1087"/>
        <v>0</v>
      </c>
      <c r="BF317" s="2078">
        <f t="shared" si="1088"/>
        <v>0</v>
      </c>
      <c r="BG317" s="2078">
        <f t="shared" si="1089"/>
        <v>0</v>
      </c>
      <c r="BH317" s="2078">
        <f t="shared" si="1090"/>
        <v>0</v>
      </c>
      <c r="BI317" s="2078">
        <f t="shared" si="1091"/>
        <v>0</v>
      </c>
      <c r="BJ317" s="2078">
        <f t="shared" si="1092"/>
        <v>0</v>
      </c>
      <c r="BK317" s="2078">
        <f t="shared" si="1093"/>
        <v>0</v>
      </c>
      <c r="BL317" s="2078">
        <f t="shared" si="1094"/>
        <v>0</v>
      </c>
      <c r="BM317" s="2078">
        <f t="shared" si="1095"/>
        <v>0</v>
      </c>
      <c r="BN317" s="2078">
        <f t="shared" si="1096"/>
        <v>0</v>
      </c>
      <c r="BO317" s="2078">
        <f t="shared" si="1097"/>
        <v>0</v>
      </c>
      <c r="BP317" s="2078">
        <f t="shared" si="1098"/>
        <v>0</v>
      </c>
      <c r="BQ317" s="2078">
        <f t="shared" si="1099"/>
        <v>0</v>
      </c>
      <c r="BR317" s="2078">
        <f t="shared" si="1100"/>
        <v>0</v>
      </c>
      <c r="BS317" s="2079">
        <f t="shared" si="1061"/>
        <v>1</v>
      </c>
      <c r="BT317" s="2079">
        <f t="shared" si="1062"/>
        <v>0</v>
      </c>
      <c r="BU317" s="2079">
        <f t="shared" si="1063"/>
        <v>0</v>
      </c>
      <c r="BV317" s="2079">
        <f t="shared" si="1064"/>
        <v>0</v>
      </c>
      <c r="BW317" s="2079">
        <f t="shared" si="1065"/>
        <v>0</v>
      </c>
      <c r="BX317" s="2079">
        <f t="shared" si="1066"/>
        <v>0</v>
      </c>
      <c r="BY317" s="2079">
        <f t="shared" si="1067"/>
        <v>0</v>
      </c>
      <c r="BZ317" s="2079">
        <f t="shared" si="1068"/>
        <v>0</v>
      </c>
      <c r="CA317" s="2079">
        <f t="shared" si="1069"/>
        <v>0</v>
      </c>
      <c r="CB317" s="2079">
        <f t="shared" si="1070"/>
        <v>0</v>
      </c>
      <c r="CC317" s="2078">
        <f t="shared" ca="1" si="1101"/>
        <v>0</v>
      </c>
      <c r="CD317" s="2078">
        <f t="shared" ca="1" si="1102"/>
        <v>0</v>
      </c>
      <c r="CE317" s="2078">
        <f t="shared" ca="1" si="1103"/>
        <v>0</v>
      </c>
      <c r="CF317" s="2078">
        <f t="shared" ca="1" si="1104"/>
        <v>0</v>
      </c>
      <c r="CG317" s="2078">
        <f t="shared" ca="1" si="1105"/>
        <v>0</v>
      </c>
      <c r="CH317" s="2078">
        <f t="shared" ca="1" si="1106"/>
        <v>0</v>
      </c>
      <c r="CI317" s="2078">
        <f t="shared" ca="1" si="1107"/>
        <v>0</v>
      </c>
      <c r="CJ317" s="2078">
        <f t="shared" ca="1" si="1108"/>
        <v>0</v>
      </c>
      <c r="CK317" s="2078">
        <f t="shared" ca="1" si="1109"/>
        <v>0</v>
      </c>
      <c r="CL317" s="2078">
        <f t="shared" ca="1" si="1110"/>
        <v>0</v>
      </c>
      <c r="CM317" s="2078">
        <f t="shared" ref="CM317:CM364" si="1132">IF(ISBLANK(DD317),1,DD317)*IF(FO317="P",1-GP317,1)</f>
        <v>1</v>
      </c>
      <c r="CN317" s="2078">
        <f t="shared" ref="CN317:CN364" si="1133">IF(DC317=$CN$171,0,1)</f>
        <v>1</v>
      </c>
      <c r="CO317" s="2078">
        <f t="shared" si="1121"/>
        <v>1</v>
      </c>
      <c r="CP317" s="2078">
        <f t="shared" si="1111"/>
        <v>1</v>
      </c>
      <c r="CQ317" s="2078">
        <f t="shared" si="1122"/>
        <v>0</v>
      </c>
      <c r="CR317" s="2078">
        <f t="shared" si="1042"/>
        <v>0</v>
      </c>
      <c r="CS317" s="2078">
        <f t="shared" si="1112"/>
        <v>0</v>
      </c>
      <c r="CT317" s="2078">
        <f t="shared" si="1123"/>
        <v>1</v>
      </c>
      <c r="CU317" s="2078">
        <f t="shared" si="1113"/>
        <v>1</v>
      </c>
      <c r="CV317" s="2078">
        <f t="shared" ref="CV317:CV364" si="1134">IF($F317="Approved",1,0)</f>
        <v>0</v>
      </c>
      <c r="CW317" s="2078">
        <f>IF(OR(AE317&lt;&gt;3,F317="Exclude"),0,IF(ISERROR(MATCH($E317,'4 Sign-off'!$S$123:$X$123,0)),0,1))</f>
        <v>0</v>
      </c>
      <c r="CX317" s="2078">
        <f t="shared" si="1046"/>
        <v>0</v>
      </c>
      <c r="CY317" s="2078">
        <f t="shared" ref="CY317:CY364" si="1135">CHOOSE($CY$163,CO317,CP317,CX317)</f>
        <v>0</v>
      </c>
      <c r="CZ317" s="2993">
        <f t="shared" ca="1" si="1043"/>
        <v>0</v>
      </c>
      <c r="DA317" s="3037">
        <f t="shared" ca="1" si="1044"/>
        <v>0</v>
      </c>
      <c r="DB317" s="1664"/>
      <c r="DC317" s="1320"/>
      <c r="DD317" s="589"/>
      <c r="DE317" s="1321"/>
      <c r="DF317" s="107"/>
      <c r="DG317" s="112"/>
      <c r="DH317" s="140"/>
      <c r="DI317" s="22"/>
      <c r="DJ317" s="145"/>
      <c r="DK317" s="137"/>
      <c r="DL317" s="137"/>
      <c r="DM317" s="137"/>
      <c r="DN317" s="137"/>
      <c r="DO317" s="137"/>
      <c r="DP317" s="137"/>
      <c r="DQ317" s="137"/>
      <c r="DR317" s="137"/>
      <c r="DS317" s="137"/>
      <c r="DT317" s="137"/>
      <c r="DU317" s="137"/>
      <c r="DV317" s="137"/>
      <c r="DW317" s="137"/>
      <c r="DX317" s="137"/>
      <c r="DY317" s="137"/>
      <c r="DZ317" s="137"/>
      <c r="EA317" s="137"/>
      <c r="EB317" s="137"/>
      <c r="EC317" s="137"/>
      <c r="ED317" s="137"/>
      <c r="EE317" s="137"/>
      <c r="EF317" s="137"/>
      <c r="EG317" s="137"/>
      <c r="EH317" s="137"/>
      <c r="EI317" s="137"/>
      <c r="EJ317" s="137"/>
      <c r="EK317" s="137"/>
      <c r="EL317" s="137"/>
      <c r="EM317" s="137"/>
      <c r="EN317" s="137"/>
      <c r="EO317" s="137"/>
      <c r="EP317" s="137"/>
      <c r="EQ317" s="137"/>
      <c r="ER317" s="137"/>
      <c r="ES317" s="137"/>
      <c r="ET317" s="137"/>
      <c r="EU317" s="137"/>
      <c r="EV317" s="137"/>
      <c r="EW317" s="137"/>
      <c r="EX317" s="137"/>
      <c r="EY317" s="137"/>
      <c r="EZ317" s="137"/>
      <c r="FA317" s="137"/>
      <c r="FB317" s="137"/>
      <c r="FC317" s="137"/>
      <c r="FD317" s="137"/>
      <c r="FE317" s="137"/>
      <c r="FF317" s="137"/>
      <c r="FG317" s="860"/>
      <c r="FH317" s="863"/>
      <c r="FI317" s="1318"/>
      <c r="FJ317" s="126"/>
      <c r="FK317" s="127"/>
      <c r="FL317" s="128" t="str">
        <f t="shared" si="1114"/>
        <v xml:space="preserve">    </v>
      </c>
      <c r="FM317" s="128"/>
      <c r="FN317" s="1686">
        <f t="shared" si="1115"/>
        <v>0</v>
      </c>
      <c r="FO317" s="46">
        <f t="shared" ref="FO317:FO364" si="1136">IF(AND($C$7="F",GR317="P"),"P",0)</f>
        <v>0</v>
      </c>
      <c r="FP317" s="46">
        <f t="shared" si="1124"/>
        <v>1</v>
      </c>
      <c r="FQ317" s="75">
        <f t="shared" si="1116"/>
        <v>0</v>
      </c>
      <c r="FR317" s="46">
        <f t="shared" si="1128"/>
        <v>0</v>
      </c>
      <c r="FS317" s="46">
        <f t="shared" si="1129"/>
        <v>1</v>
      </c>
      <c r="FT317" s="75">
        <f t="shared" si="1117"/>
        <v>0</v>
      </c>
      <c r="FU317" s="2603">
        <f t="shared" ref="FU317:FU364" si="1137">(DE317*IF(ISBLANK($DD317),1,$DD317))+(SUMPRODUCT(DJ317:FH317,$DJ$65:$FH$65)*IF(GR317="T",SUM(GT317:LQ317),IF(ISBLANK(DH317),1,DH317)))</f>
        <v>0</v>
      </c>
      <c r="FV317" s="2607">
        <f t="shared" ref="FV317:FV364" si="1138">IF(GR317="T",SUMPRODUCT(GT317:LQ317,$GT$20:$LQ$20)/SUM(GT317:LQ317),GP317)</f>
        <v>0</v>
      </c>
      <c r="FW317" s="2603">
        <f t="shared" ref="FW317:FW364" si="1139">IF(GR317&gt;0,FU317*FV317,0)</f>
        <v>0</v>
      </c>
      <c r="FX317" s="2631">
        <f t="shared" ref="FX317:FX364" si="1140">IF(SUM(DE317:FH317)&gt;0,1,0)</f>
        <v>0</v>
      </c>
      <c r="FY317" s="81" t="e">
        <f t="shared" si="1130"/>
        <v>#N/A</v>
      </c>
      <c r="FZ317" s="64" t="e">
        <f t="array" ref="FZ317">MATCH(1,($GT317:$LQ317&gt;0)*$GT$25:$LQ$25,0)</f>
        <v>#N/A</v>
      </c>
      <c r="GA317" s="64" t="e">
        <f t="array" ref="GA317">MATCH(2,1/(GT317:LQ317&gt;0))</f>
        <v>#N/A</v>
      </c>
      <c r="GB317" s="64">
        <f t="shared" si="1118"/>
        <v>-1</v>
      </c>
      <c r="GC317" s="46"/>
      <c r="GD317" s="613"/>
      <c r="GE317" s="613"/>
      <c r="GF317" s="613"/>
      <c r="GG317" s="613"/>
      <c r="GH317" s="613"/>
      <c r="GI317" s="613"/>
      <c r="GJ317" s="613"/>
      <c r="GK317" s="613"/>
      <c r="GL317" s="613"/>
      <c r="GM317" s="613"/>
      <c r="GN317" s="385">
        <f t="shared" si="1047"/>
        <v>0</v>
      </c>
      <c r="GO317" s="386">
        <f t="shared" si="1048"/>
        <v>0</v>
      </c>
      <c r="GP317" s="2635"/>
      <c r="GQ317" s="175"/>
      <c r="GR317" s="172"/>
      <c r="GS317" s="65"/>
      <c r="GT317" s="167"/>
      <c r="GU317" s="168"/>
      <c r="GV317" s="168"/>
      <c r="GW317" s="168"/>
      <c r="GX317" s="168"/>
      <c r="GY317" s="168"/>
      <c r="GZ317" s="168"/>
      <c r="HA317" s="168"/>
      <c r="HB317" s="168"/>
      <c r="HC317" s="168"/>
      <c r="HD317" s="168"/>
      <c r="HE317" s="168"/>
      <c r="HF317" s="168"/>
      <c r="HG317" s="168"/>
      <c r="HH317" s="168"/>
      <c r="HI317" s="168"/>
      <c r="HJ317" s="168"/>
      <c r="HK317" s="168"/>
      <c r="HL317" s="168"/>
      <c r="HM317" s="168"/>
      <c r="HN317" s="168"/>
      <c r="HO317" s="168"/>
      <c r="HP317" s="168"/>
      <c r="HQ317" s="168"/>
      <c r="HR317" s="168"/>
      <c r="HS317" s="168"/>
      <c r="HT317" s="168"/>
      <c r="HU317" s="168"/>
      <c r="HV317" s="168"/>
      <c r="HW317" s="168"/>
      <c r="HX317" s="168"/>
      <c r="HY317" s="168"/>
      <c r="HZ317" s="168"/>
      <c r="IA317" s="168"/>
      <c r="IB317" s="168"/>
      <c r="IC317" s="168"/>
      <c r="ID317" s="168"/>
      <c r="IE317" s="168"/>
      <c r="IF317" s="168"/>
      <c r="IG317" s="168"/>
      <c r="IH317" s="168"/>
      <c r="II317" s="168"/>
      <c r="IJ317" s="168"/>
      <c r="IK317" s="168"/>
      <c r="IL317" s="168"/>
      <c r="IM317" s="168"/>
      <c r="IN317" s="168"/>
      <c r="IO317" s="168"/>
      <c r="IP317" s="168"/>
      <c r="IQ317" s="168"/>
      <c r="IR317" s="168"/>
      <c r="IS317" s="168"/>
      <c r="IT317" s="168"/>
      <c r="IU317" s="168"/>
      <c r="IV317" s="168"/>
      <c r="IW317" s="168"/>
      <c r="IX317" s="168"/>
      <c r="IY317" s="168"/>
      <c r="IZ317" s="168"/>
      <c r="JA317" s="168"/>
      <c r="JB317" s="168"/>
      <c r="JC317" s="168"/>
      <c r="JD317" s="168"/>
      <c r="JE317" s="168"/>
      <c r="JF317" s="168"/>
      <c r="JG317" s="168"/>
      <c r="JH317" s="168"/>
      <c r="JI317" s="168"/>
      <c r="JJ317" s="168"/>
      <c r="JK317" s="168"/>
      <c r="JL317" s="168"/>
      <c r="JM317" s="168"/>
      <c r="JN317" s="168"/>
      <c r="JO317" s="168"/>
      <c r="JP317" s="168"/>
      <c r="JQ317" s="168"/>
      <c r="JR317" s="168"/>
      <c r="JS317" s="168"/>
      <c r="JT317" s="168"/>
      <c r="JU317" s="168"/>
      <c r="JV317" s="168"/>
      <c r="JW317" s="168"/>
      <c r="JX317" s="168"/>
      <c r="JY317" s="168"/>
      <c r="JZ317" s="168"/>
      <c r="KA317" s="168"/>
      <c r="KB317" s="168"/>
      <c r="KC317" s="168"/>
      <c r="KD317" s="168"/>
      <c r="KE317" s="168"/>
      <c r="KF317" s="168"/>
      <c r="KG317" s="168"/>
      <c r="KH317" s="168"/>
      <c r="KI317" s="168"/>
      <c r="KJ317" s="168"/>
      <c r="KK317" s="168"/>
      <c r="KL317" s="168"/>
      <c r="KM317" s="168"/>
      <c r="KN317" s="168"/>
      <c r="KO317" s="168"/>
      <c r="KP317" s="168"/>
      <c r="KQ317" s="168"/>
      <c r="KR317" s="168"/>
      <c r="KS317" s="168"/>
      <c r="KT317" s="168"/>
      <c r="KU317" s="168"/>
      <c r="KV317" s="168"/>
      <c r="KW317" s="168"/>
      <c r="KX317" s="168"/>
      <c r="KY317" s="168"/>
      <c r="KZ317" s="168"/>
      <c r="LA317" s="168"/>
      <c r="LB317" s="168"/>
      <c r="LC317" s="168"/>
      <c r="LD317" s="168"/>
      <c r="LE317" s="168"/>
      <c r="LF317" s="168"/>
      <c r="LG317" s="168"/>
      <c r="LH317" s="168"/>
      <c r="LI317" s="168"/>
      <c r="LJ317" s="168"/>
      <c r="LK317" s="168"/>
      <c r="LL317" s="168"/>
      <c r="LM317" s="168"/>
      <c r="LN317" s="168"/>
      <c r="LO317" s="168"/>
      <c r="LP317" s="606"/>
      <c r="LQ317" s="609"/>
      <c r="LR317" s="1319"/>
      <c r="LS317" s="1319"/>
    </row>
    <row r="318" spans="1:331" s="2" customFormat="1" ht="15" customHeight="1" x14ac:dyDescent="0.25">
      <c r="A318" s="283"/>
      <c r="B318" s="303"/>
      <c r="C318" s="301"/>
      <c r="D318" s="1287"/>
      <c r="E318" s="2298"/>
      <c r="F318" s="1812"/>
      <c r="G318" s="3342"/>
      <c r="H318" s="66"/>
      <c r="I318" s="1746"/>
      <c r="J318" s="1214"/>
      <c r="K318" s="105"/>
      <c r="L318" s="91"/>
      <c r="M318" s="92"/>
      <c r="N318" s="93"/>
      <c r="O318" s="94"/>
      <c r="P318" s="96"/>
      <c r="Q318" s="95"/>
      <c r="R318" s="993">
        <f t="shared" si="1039"/>
        <v>0</v>
      </c>
      <c r="S318" s="23">
        <f t="shared" si="1040"/>
        <v>0</v>
      </c>
      <c r="T318" s="24">
        <f t="shared" si="1071"/>
        <v>0</v>
      </c>
      <c r="U318" s="24">
        <f t="shared" si="1072"/>
        <v>0</v>
      </c>
      <c r="V318" s="24">
        <f t="shared" si="1073"/>
        <v>0</v>
      </c>
      <c r="W318" s="24">
        <f t="shared" ca="1" si="1074"/>
        <v>0</v>
      </c>
      <c r="X318" s="72">
        <f t="shared" ca="1" si="1119"/>
        <v>0</v>
      </c>
      <c r="Y318" s="72">
        <f t="shared" si="1075"/>
        <v>0</v>
      </c>
      <c r="Z318" s="24">
        <f t="shared" si="1076"/>
        <v>0</v>
      </c>
      <c r="AA318" s="72">
        <f t="shared" si="1120"/>
        <v>0</v>
      </c>
      <c r="AB318" s="24">
        <f t="shared" si="1131"/>
        <v>0</v>
      </c>
      <c r="AC318" s="24">
        <f t="shared" ca="1" si="1077"/>
        <v>0</v>
      </c>
      <c r="AD318" s="24">
        <f t="shared" si="1049"/>
        <v>0</v>
      </c>
      <c r="AE318" s="2078">
        <f t="shared" si="1125"/>
        <v>3</v>
      </c>
      <c r="AF318" s="2078">
        <f t="shared" si="1126"/>
        <v>0</v>
      </c>
      <c r="AG318" s="2078">
        <f t="shared" si="1127"/>
        <v>0</v>
      </c>
      <c r="AH318" s="2521">
        <f t="shared" si="1050"/>
        <v>1</v>
      </c>
      <c r="AI318" s="25" t="str">
        <f t="shared" si="1078"/>
        <v/>
      </c>
      <c r="AJ318" s="2521">
        <f t="shared" ca="1" si="1045"/>
        <v>0</v>
      </c>
      <c r="AK318" s="2076">
        <f t="shared" ca="1" si="1041"/>
        <v>0</v>
      </c>
      <c r="AL318" s="2078">
        <f>IF(ISBLANK(J318),0,ISERROR(MATCH(J318,'5  Control Accounts'!$FA$29:$FA$96,0))*1)</f>
        <v>0</v>
      </c>
      <c r="AM318" s="2076">
        <f t="shared" si="1079"/>
        <v>0</v>
      </c>
      <c r="AN318" s="2078">
        <f t="shared" si="1080"/>
        <v>1</v>
      </c>
      <c r="AO318" s="2079">
        <f t="shared" si="1051"/>
        <v>1</v>
      </c>
      <c r="AP318" s="2079">
        <f t="shared" si="1052"/>
        <v>0</v>
      </c>
      <c r="AQ318" s="2079">
        <f t="shared" si="1053"/>
        <v>0</v>
      </c>
      <c r="AR318" s="2079">
        <f t="shared" si="1054"/>
        <v>0</v>
      </c>
      <c r="AS318" s="2079">
        <f t="shared" si="1055"/>
        <v>0</v>
      </c>
      <c r="AT318" s="2079">
        <f t="shared" si="1056"/>
        <v>0</v>
      </c>
      <c r="AU318" s="2079">
        <f t="shared" si="1057"/>
        <v>0</v>
      </c>
      <c r="AV318" s="2079">
        <f t="shared" si="1058"/>
        <v>0</v>
      </c>
      <c r="AW318" s="2079">
        <f t="shared" si="1059"/>
        <v>0</v>
      </c>
      <c r="AX318" s="2079">
        <f t="shared" si="1060"/>
        <v>0</v>
      </c>
      <c r="AY318" s="2078">
        <f t="shared" si="1081"/>
        <v>0</v>
      </c>
      <c r="AZ318" s="2078">
        <f t="shared" si="1082"/>
        <v>0</v>
      </c>
      <c r="BA318" s="2078">
        <f t="shared" si="1083"/>
        <v>0</v>
      </c>
      <c r="BB318" s="2078">
        <f t="shared" si="1084"/>
        <v>0</v>
      </c>
      <c r="BC318" s="2078">
        <f t="shared" si="1085"/>
        <v>0</v>
      </c>
      <c r="BD318" s="2078">
        <f t="shared" si="1086"/>
        <v>0</v>
      </c>
      <c r="BE318" s="2078">
        <f t="shared" si="1087"/>
        <v>0</v>
      </c>
      <c r="BF318" s="2078">
        <f t="shared" si="1088"/>
        <v>0</v>
      </c>
      <c r="BG318" s="2078">
        <f t="shared" si="1089"/>
        <v>0</v>
      </c>
      <c r="BH318" s="2078">
        <f t="shared" si="1090"/>
        <v>0</v>
      </c>
      <c r="BI318" s="2078">
        <f t="shared" si="1091"/>
        <v>0</v>
      </c>
      <c r="BJ318" s="2078">
        <f t="shared" si="1092"/>
        <v>0</v>
      </c>
      <c r="BK318" s="2078">
        <f t="shared" si="1093"/>
        <v>0</v>
      </c>
      <c r="BL318" s="2078">
        <f t="shared" si="1094"/>
        <v>0</v>
      </c>
      <c r="BM318" s="2078">
        <f t="shared" si="1095"/>
        <v>0</v>
      </c>
      <c r="BN318" s="2078">
        <f t="shared" si="1096"/>
        <v>0</v>
      </c>
      <c r="BO318" s="2078">
        <f t="shared" si="1097"/>
        <v>0</v>
      </c>
      <c r="BP318" s="2078">
        <f t="shared" si="1098"/>
        <v>0</v>
      </c>
      <c r="BQ318" s="2078">
        <f t="shared" si="1099"/>
        <v>0</v>
      </c>
      <c r="BR318" s="2078">
        <f t="shared" si="1100"/>
        <v>0</v>
      </c>
      <c r="BS318" s="2079">
        <f t="shared" si="1061"/>
        <v>1</v>
      </c>
      <c r="BT318" s="2079">
        <f t="shared" si="1062"/>
        <v>0</v>
      </c>
      <c r="BU318" s="2079">
        <f t="shared" si="1063"/>
        <v>0</v>
      </c>
      <c r="BV318" s="2079">
        <f t="shared" si="1064"/>
        <v>0</v>
      </c>
      <c r="BW318" s="2079">
        <f t="shared" si="1065"/>
        <v>0</v>
      </c>
      <c r="BX318" s="2079">
        <f t="shared" si="1066"/>
        <v>0</v>
      </c>
      <c r="BY318" s="2079">
        <f t="shared" si="1067"/>
        <v>0</v>
      </c>
      <c r="BZ318" s="2079">
        <f t="shared" si="1068"/>
        <v>0</v>
      </c>
      <c r="CA318" s="2079">
        <f t="shared" si="1069"/>
        <v>0</v>
      </c>
      <c r="CB318" s="2079">
        <f t="shared" si="1070"/>
        <v>0</v>
      </c>
      <c r="CC318" s="2078">
        <f t="shared" ca="1" si="1101"/>
        <v>0</v>
      </c>
      <c r="CD318" s="2078">
        <f t="shared" ca="1" si="1102"/>
        <v>0</v>
      </c>
      <c r="CE318" s="2078">
        <f t="shared" ca="1" si="1103"/>
        <v>0</v>
      </c>
      <c r="CF318" s="2078">
        <f t="shared" ca="1" si="1104"/>
        <v>0</v>
      </c>
      <c r="CG318" s="2078">
        <f t="shared" ca="1" si="1105"/>
        <v>0</v>
      </c>
      <c r="CH318" s="2078">
        <f t="shared" ca="1" si="1106"/>
        <v>0</v>
      </c>
      <c r="CI318" s="2078">
        <f t="shared" ca="1" si="1107"/>
        <v>0</v>
      </c>
      <c r="CJ318" s="2078">
        <f t="shared" ca="1" si="1108"/>
        <v>0</v>
      </c>
      <c r="CK318" s="2078">
        <f t="shared" ca="1" si="1109"/>
        <v>0</v>
      </c>
      <c r="CL318" s="2078">
        <f t="shared" ca="1" si="1110"/>
        <v>0</v>
      </c>
      <c r="CM318" s="2078">
        <f t="shared" si="1132"/>
        <v>1</v>
      </c>
      <c r="CN318" s="2078">
        <f t="shared" si="1133"/>
        <v>1</v>
      </c>
      <c r="CO318" s="2078">
        <f t="shared" si="1121"/>
        <v>1</v>
      </c>
      <c r="CP318" s="2078">
        <f t="shared" si="1111"/>
        <v>1</v>
      </c>
      <c r="CQ318" s="2078">
        <f t="shared" si="1122"/>
        <v>0</v>
      </c>
      <c r="CR318" s="2078">
        <f t="shared" si="1042"/>
        <v>0</v>
      </c>
      <c r="CS318" s="2078">
        <f t="shared" si="1112"/>
        <v>0</v>
      </c>
      <c r="CT318" s="2078">
        <f t="shared" si="1123"/>
        <v>1</v>
      </c>
      <c r="CU318" s="2078">
        <f t="shared" si="1113"/>
        <v>1</v>
      </c>
      <c r="CV318" s="2078">
        <f t="shared" si="1134"/>
        <v>0</v>
      </c>
      <c r="CW318" s="2078">
        <f>IF(OR(AE318&lt;&gt;3,F318="Exclude"),0,IF(ISERROR(MATCH($E318,'4 Sign-off'!$S$123:$X$123,0)),0,1))</f>
        <v>0</v>
      </c>
      <c r="CX318" s="2078">
        <f t="shared" si="1046"/>
        <v>0</v>
      </c>
      <c r="CY318" s="2078">
        <f t="shared" si="1135"/>
        <v>0</v>
      </c>
      <c r="CZ318" s="2993">
        <f t="shared" ca="1" si="1043"/>
        <v>0</v>
      </c>
      <c r="DA318" s="3037">
        <f t="shared" ca="1" si="1044"/>
        <v>0</v>
      </c>
      <c r="DB318" s="1664"/>
      <c r="DC318" s="1320"/>
      <c r="DD318" s="589"/>
      <c r="DE318" s="1321"/>
      <c r="DF318" s="107"/>
      <c r="DG318" s="112"/>
      <c r="DH318" s="140"/>
      <c r="DI318" s="22"/>
      <c r="DJ318" s="145"/>
      <c r="DK318" s="137"/>
      <c r="DL318" s="137"/>
      <c r="DM318" s="137"/>
      <c r="DN318" s="137"/>
      <c r="DO318" s="137"/>
      <c r="DP318" s="137"/>
      <c r="DQ318" s="137"/>
      <c r="DR318" s="137"/>
      <c r="DS318" s="137"/>
      <c r="DT318" s="137"/>
      <c r="DU318" s="137"/>
      <c r="DV318" s="137"/>
      <c r="DW318" s="137"/>
      <c r="DX318" s="137"/>
      <c r="DY318" s="137"/>
      <c r="DZ318" s="137"/>
      <c r="EA318" s="137"/>
      <c r="EB318" s="137"/>
      <c r="EC318" s="137"/>
      <c r="ED318" s="137"/>
      <c r="EE318" s="137"/>
      <c r="EF318" s="137"/>
      <c r="EG318" s="137"/>
      <c r="EH318" s="137"/>
      <c r="EI318" s="137"/>
      <c r="EJ318" s="137"/>
      <c r="EK318" s="137"/>
      <c r="EL318" s="137"/>
      <c r="EM318" s="137"/>
      <c r="EN318" s="137"/>
      <c r="EO318" s="137"/>
      <c r="EP318" s="137"/>
      <c r="EQ318" s="137"/>
      <c r="ER318" s="137"/>
      <c r="ES318" s="137"/>
      <c r="ET318" s="137"/>
      <c r="EU318" s="137"/>
      <c r="EV318" s="137"/>
      <c r="EW318" s="137"/>
      <c r="EX318" s="137"/>
      <c r="EY318" s="137"/>
      <c r="EZ318" s="137"/>
      <c r="FA318" s="137"/>
      <c r="FB318" s="137"/>
      <c r="FC318" s="137"/>
      <c r="FD318" s="137"/>
      <c r="FE318" s="137"/>
      <c r="FF318" s="137"/>
      <c r="FG318" s="860"/>
      <c r="FH318" s="863"/>
      <c r="FI318" s="1318"/>
      <c r="FJ318" s="126"/>
      <c r="FK318" s="127"/>
      <c r="FL318" s="128" t="str">
        <f t="shared" si="1114"/>
        <v xml:space="preserve">    </v>
      </c>
      <c r="FM318" s="128"/>
      <c r="FN318" s="1686">
        <f t="shared" si="1115"/>
        <v>0</v>
      </c>
      <c r="FO318" s="46">
        <f t="shared" si="1136"/>
        <v>0</v>
      </c>
      <c r="FP318" s="46">
        <f t="shared" si="1124"/>
        <v>1</v>
      </c>
      <c r="FQ318" s="75">
        <f t="shared" si="1116"/>
        <v>0</v>
      </c>
      <c r="FR318" s="46">
        <f t="shared" si="1128"/>
        <v>0</v>
      </c>
      <c r="FS318" s="46">
        <f t="shared" si="1129"/>
        <v>1</v>
      </c>
      <c r="FT318" s="75">
        <f t="shared" si="1117"/>
        <v>0</v>
      </c>
      <c r="FU318" s="2603">
        <f t="shared" si="1137"/>
        <v>0</v>
      </c>
      <c r="FV318" s="2607">
        <f t="shared" si="1138"/>
        <v>0</v>
      </c>
      <c r="FW318" s="2603">
        <f t="shared" si="1139"/>
        <v>0</v>
      </c>
      <c r="FX318" s="2631">
        <f t="shared" si="1140"/>
        <v>0</v>
      </c>
      <c r="FY318" s="81" t="e">
        <f t="shared" si="1130"/>
        <v>#N/A</v>
      </c>
      <c r="FZ318" s="64" t="e">
        <f t="array" ref="FZ318">MATCH(1,($GT318:$LQ318&gt;0)*$GT$25:$LQ$25,0)</f>
        <v>#N/A</v>
      </c>
      <c r="GA318" s="64" t="e">
        <f t="array" ref="GA318">MATCH(2,1/(GT318:LQ318&gt;0))</f>
        <v>#N/A</v>
      </c>
      <c r="GB318" s="64">
        <f t="shared" si="1118"/>
        <v>-1</v>
      </c>
      <c r="GC318" s="46"/>
      <c r="GD318" s="613"/>
      <c r="GE318" s="613"/>
      <c r="GF318" s="613"/>
      <c r="GG318" s="613"/>
      <c r="GH318" s="613"/>
      <c r="GI318" s="613"/>
      <c r="GJ318" s="613"/>
      <c r="GK318" s="613"/>
      <c r="GL318" s="613"/>
      <c r="GM318" s="613"/>
      <c r="GN318" s="385">
        <f t="shared" si="1047"/>
        <v>0</v>
      </c>
      <c r="GO318" s="386">
        <f t="shared" si="1048"/>
        <v>0</v>
      </c>
      <c r="GP318" s="2635"/>
      <c r="GQ318" s="175"/>
      <c r="GR318" s="172"/>
      <c r="GS318" s="65"/>
      <c r="GT318" s="167"/>
      <c r="GU318" s="168"/>
      <c r="GV318" s="168"/>
      <c r="GW318" s="168"/>
      <c r="GX318" s="168"/>
      <c r="GY318" s="168"/>
      <c r="GZ318" s="168"/>
      <c r="HA318" s="168"/>
      <c r="HB318" s="168"/>
      <c r="HC318" s="168"/>
      <c r="HD318" s="168"/>
      <c r="HE318" s="168"/>
      <c r="HF318" s="168"/>
      <c r="HG318" s="168"/>
      <c r="HH318" s="168"/>
      <c r="HI318" s="168"/>
      <c r="HJ318" s="168"/>
      <c r="HK318" s="168"/>
      <c r="HL318" s="168"/>
      <c r="HM318" s="168"/>
      <c r="HN318" s="168"/>
      <c r="HO318" s="168"/>
      <c r="HP318" s="168"/>
      <c r="HQ318" s="168"/>
      <c r="HR318" s="168"/>
      <c r="HS318" s="168"/>
      <c r="HT318" s="168"/>
      <c r="HU318" s="168"/>
      <c r="HV318" s="168"/>
      <c r="HW318" s="168"/>
      <c r="HX318" s="168"/>
      <c r="HY318" s="168"/>
      <c r="HZ318" s="168"/>
      <c r="IA318" s="168"/>
      <c r="IB318" s="168"/>
      <c r="IC318" s="168"/>
      <c r="ID318" s="168"/>
      <c r="IE318" s="168"/>
      <c r="IF318" s="168"/>
      <c r="IG318" s="168"/>
      <c r="IH318" s="168"/>
      <c r="II318" s="168"/>
      <c r="IJ318" s="168"/>
      <c r="IK318" s="168"/>
      <c r="IL318" s="168"/>
      <c r="IM318" s="168"/>
      <c r="IN318" s="168"/>
      <c r="IO318" s="168"/>
      <c r="IP318" s="168"/>
      <c r="IQ318" s="168"/>
      <c r="IR318" s="168"/>
      <c r="IS318" s="168"/>
      <c r="IT318" s="168"/>
      <c r="IU318" s="168"/>
      <c r="IV318" s="168"/>
      <c r="IW318" s="168"/>
      <c r="IX318" s="168"/>
      <c r="IY318" s="168"/>
      <c r="IZ318" s="168"/>
      <c r="JA318" s="168"/>
      <c r="JB318" s="168"/>
      <c r="JC318" s="168"/>
      <c r="JD318" s="168"/>
      <c r="JE318" s="168"/>
      <c r="JF318" s="168"/>
      <c r="JG318" s="168"/>
      <c r="JH318" s="168"/>
      <c r="JI318" s="168"/>
      <c r="JJ318" s="168"/>
      <c r="JK318" s="168"/>
      <c r="JL318" s="168"/>
      <c r="JM318" s="168"/>
      <c r="JN318" s="168"/>
      <c r="JO318" s="168"/>
      <c r="JP318" s="168"/>
      <c r="JQ318" s="168"/>
      <c r="JR318" s="168"/>
      <c r="JS318" s="168"/>
      <c r="JT318" s="168"/>
      <c r="JU318" s="168"/>
      <c r="JV318" s="168"/>
      <c r="JW318" s="168"/>
      <c r="JX318" s="168"/>
      <c r="JY318" s="168"/>
      <c r="JZ318" s="168"/>
      <c r="KA318" s="168"/>
      <c r="KB318" s="168"/>
      <c r="KC318" s="168"/>
      <c r="KD318" s="168"/>
      <c r="KE318" s="168"/>
      <c r="KF318" s="168"/>
      <c r="KG318" s="168"/>
      <c r="KH318" s="168"/>
      <c r="KI318" s="168"/>
      <c r="KJ318" s="168"/>
      <c r="KK318" s="168"/>
      <c r="KL318" s="168"/>
      <c r="KM318" s="168"/>
      <c r="KN318" s="168"/>
      <c r="KO318" s="168"/>
      <c r="KP318" s="168"/>
      <c r="KQ318" s="168"/>
      <c r="KR318" s="168"/>
      <c r="KS318" s="168"/>
      <c r="KT318" s="168"/>
      <c r="KU318" s="168"/>
      <c r="KV318" s="168"/>
      <c r="KW318" s="168"/>
      <c r="KX318" s="168"/>
      <c r="KY318" s="168"/>
      <c r="KZ318" s="168"/>
      <c r="LA318" s="168"/>
      <c r="LB318" s="168"/>
      <c r="LC318" s="168"/>
      <c r="LD318" s="168"/>
      <c r="LE318" s="168"/>
      <c r="LF318" s="168"/>
      <c r="LG318" s="168"/>
      <c r="LH318" s="168"/>
      <c r="LI318" s="168"/>
      <c r="LJ318" s="168"/>
      <c r="LK318" s="168"/>
      <c r="LL318" s="168"/>
      <c r="LM318" s="168"/>
      <c r="LN318" s="168"/>
      <c r="LO318" s="168"/>
      <c r="LP318" s="606"/>
      <c r="LQ318" s="609"/>
      <c r="LR318" s="1319"/>
      <c r="LS318" s="1319"/>
    </row>
    <row r="319" spans="1:331" s="2" customFormat="1" ht="15" customHeight="1" x14ac:dyDescent="0.25">
      <c r="A319" s="283"/>
      <c r="B319" s="303"/>
      <c r="C319" s="301"/>
      <c r="D319" s="1287"/>
      <c r="E319" s="2298"/>
      <c r="F319" s="1812"/>
      <c r="G319" s="3342"/>
      <c r="H319" s="66"/>
      <c r="I319" s="1746"/>
      <c r="J319" s="1214"/>
      <c r="K319" s="105"/>
      <c r="L319" s="91"/>
      <c r="M319" s="92"/>
      <c r="N319" s="93"/>
      <c r="O319" s="94"/>
      <c r="P319" s="96"/>
      <c r="Q319" s="95"/>
      <c r="R319" s="993">
        <f t="shared" si="1039"/>
        <v>0</v>
      </c>
      <c r="S319" s="23">
        <f t="shared" si="1040"/>
        <v>0</v>
      </c>
      <c r="T319" s="24">
        <f t="shared" si="1071"/>
        <v>0</v>
      </c>
      <c r="U319" s="24">
        <f t="shared" si="1072"/>
        <v>0</v>
      </c>
      <c r="V319" s="24">
        <f t="shared" si="1073"/>
        <v>0</v>
      </c>
      <c r="W319" s="24">
        <f t="shared" ca="1" si="1074"/>
        <v>0</v>
      </c>
      <c r="X319" s="72">
        <f t="shared" ca="1" si="1119"/>
        <v>0</v>
      </c>
      <c r="Y319" s="72">
        <f t="shared" si="1075"/>
        <v>0</v>
      </c>
      <c r="Z319" s="24">
        <f t="shared" si="1076"/>
        <v>0</v>
      </c>
      <c r="AA319" s="72">
        <f t="shared" si="1120"/>
        <v>0</v>
      </c>
      <c r="AB319" s="24">
        <f t="shared" si="1131"/>
        <v>0</v>
      </c>
      <c r="AC319" s="24">
        <f t="shared" ca="1" si="1077"/>
        <v>0</v>
      </c>
      <c r="AD319" s="24">
        <f t="shared" si="1049"/>
        <v>0</v>
      </c>
      <c r="AE319" s="2078">
        <f t="shared" si="1125"/>
        <v>3</v>
      </c>
      <c r="AF319" s="2078">
        <f t="shared" si="1126"/>
        <v>0</v>
      </c>
      <c r="AG319" s="2078">
        <f t="shared" si="1127"/>
        <v>0</v>
      </c>
      <c r="AH319" s="2521">
        <f t="shared" si="1050"/>
        <v>1</v>
      </c>
      <c r="AI319" s="25" t="str">
        <f t="shared" si="1078"/>
        <v/>
      </c>
      <c r="AJ319" s="2521">
        <f t="shared" ca="1" si="1045"/>
        <v>0</v>
      </c>
      <c r="AK319" s="2076">
        <f t="shared" ca="1" si="1041"/>
        <v>0</v>
      </c>
      <c r="AL319" s="2078">
        <f>IF(ISBLANK(J319),0,ISERROR(MATCH(J319,'5  Control Accounts'!$FA$29:$FA$96,0))*1)</f>
        <v>0</v>
      </c>
      <c r="AM319" s="2076">
        <f t="shared" si="1079"/>
        <v>0</v>
      </c>
      <c r="AN319" s="2078">
        <f t="shared" si="1080"/>
        <v>1</v>
      </c>
      <c r="AO319" s="2079">
        <f t="shared" si="1051"/>
        <v>1</v>
      </c>
      <c r="AP319" s="2079">
        <f t="shared" si="1052"/>
        <v>0</v>
      </c>
      <c r="AQ319" s="2079">
        <f t="shared" si="1053"/>
        <v>0</v>
      </c>
      <c r="AR319" s="2079">
        <f t="shared" si="1054"/>
        <v>0</v>
      </c>
      <c r="AS319" s="2079">
        <f t="shared" si="1055"/>
        <v>0</v>
      </c>
      <c r="AT319" s="2079">
        <f t="shared" si="1056"/>
        <v>0</v>
      </c>
      <c r="AU319" s="2079">
        <f t="shared" si="1057"/>
        <v>0</v>
      </c>
      <c r="AV319" s="2079">
        <f t="shared" si="1058"/>
        <v>0</v>
      </c>
      <c r="AW319" s="2079">
        <f t="shared" si="1059"/>
        <v>0</v>
      </c>
      <c r="AX319" s="2079">
        <f t="shared" si="1060"/>
        <v>0</v>
      </c>
      <c r="AY319" s="2078">
        <f t="shared" si="1081"/>
        <v>0</v>
      </c>
      <c r="AZ319" s="2078">
        <f t="shared" si="1082"/>
        <v>0</v>
      </c>
      <c r="BA319" s="2078">
        <f t="shared" si="1083"/>
        <v>0</v>
      </c>
      <c r="BB319" s="2078">
        <f t="shared" si="1084"/>
        <v>0</v>
      </c>
      <c r="BC319" s="2078">
        <f t="shared" si="1085"/>
        <v>0</v>
      </c>
      <c r="BD319" s="2078">
        <f t="shared" si="1086"/>
        <v>0</v>
      </c>
      <c r="BE319" s="2078">
        <f t="shared" si="1087"/>
        <v>0</v>
      </c>
      <c r="BF319" s="2078">
        <f t="shared" si="1088"/>
        <v>0</v>
      </c>
      <c r="BG319" s="2078">
        <f t="shared" si="1089"/>
        <v>0</v>
      </c>
      <c r="BH319" s="2078">
        <f t="shared" si="1090"/>
        <v>0</v>
      </c>
      <c r="BI319" s="2078">
        <f t="shared" si="1091"/>
        <v>0</v>
      </c>
      <c r="BJ319" s="2078">
        <f t="shared" si="1092"/>
        <v>0</v>
      </c>
      <c r="BK319" s="2078">
        <f t="shared" si="1093"/>
        <v>0</v>
      </c>
      <c r="BL319" s="2078">
        <f t="shared" si="1094"/>
        <v>0</v>
      </c>
      <c r="BM319" s="2078">
        <f t="shared" si="1095"/>
        <v>0</v>
      </c>
      <c r="BN319" s="2078">
        <f t="shared" si="1096"/>
        <v>0</v>
      </c>
      <c r="BO319" s="2078">
        <f t="shared" si="1097"/>
        <v>0</v>
      </c>
      <c r="BP319" s="2078">
        <f t="shared" si="1098"/>
        <v>0</v>
      </c>
      <c r="BQ319" s="2078">
        <f t="shared" si="1099"/>
        <v>0</v>
      </c>
      <c r="BR319" s="2078">
        <f t="shared" si="1100"/>
        <v>0</v>
      </c>
      <c r="BS319" s="2079">
        <f t="shared" si="1061"/>
        <v>1</v>
      </c>
      <c r="BT319" s="2079">
        <f t="shared" si="1062"/>
        <v>0</v>
      </c>
      <c r="BU319" s="2079">
        <f t="shared" si="1063"/>
        <v>0</v>
      </c>
      <c r="BV319" s="2079">
        <f t="shared" si="1064"/>
        <v>0</v>
      </c>
      <c r="BW319" s="2079">
        <f t="shared" si="1065"/>
        <v>0</v>
      </c>
      <c r="BX319" s="2079">
        <f t="shared" si="1066"/>
        <v>0</v>
      </c>
      <c r="BY319" s="2079">
        <f t="shared" si="1067"/>
        <v>0</v>
      </c>
      <c r="BZ319" s="2079">
        <f t="shared" si="1068"/>
        <v>0</v>
      </c>
      <c r="CA319" s="2079">
        <f t="shared" si="1069"/>
        <v>0</v>
      </c>
      <c r="CB319" s="2079">
        <f t="shared" si="1070"/>
        <v>0</v>
      </c>
      <c r="CC319" s="2078">
        <f t="shared" ca="1" si="1101"/>
        <v>0</v>
      </c>
      <c r="CD319" s="2078">
        <f t="shared" ca="1" si="1102"/>
        <v>0</v>
      </c>
      <c r="CE319" s="2078">
        <f t="shared" ca="1" si="1103"/>
        <v>0</v>
      </c>
      <c r="CF319" s="2078">
        <f t="shared" ca="1" si="1104"/>
        <v>0</v>
      </c>
      <c r="CG319" s="2078">
        <f t="shared" ca="1" si="1105"/>
        <v>0</v>
      </c>
      <c r="CH319" s="2078">
        <f t="shared" ca="1" si="1106"/>
        <v>0</v>
      </c>
      <c r="CI319" s="2078">
        <f t="shared" ca="1" si="1107"/>
        <v>0</v>
      </c>
      <c r="CJ319" s="2078">
        <f t="shared" ca="1" si="1108"/>
        <v>0</v>
      </c>
      <c r="CK319" s="2078">
        <f t="shared" ca="1" si="1109"/>
        <v>0</v>
      </c>
      <c r="CL319" s="2078">
        <f t="shared" ca="1" si="1110"/>
        <v>0</v>
      </c>
      <c r="CM319" s="2078">
        <f t="shared" si="1132"/>
        <v>1</v>
      </c>
      <c r="CN319" s="2078">
        <f t="shared" si="1133"/>
        <v>1</v>
      </c>
      <c r="CO319" s="2078">
        <f t="shared" si="1121"/>
        <v>1</v>
      </c>
      <c r="CP319" s="2078">
        <f t="shared" si="1111"/>
        <v>1</v>
      </c>
      <c r="CQ319" s="2078">
        <f t="shared" si="1122"/>
        <v>0</v>
      </c>
      <c r="CR319" s="2078">
        <f t="shared" si="1042"/>
        <v>0</v>
      </c>
      <c r="CS319" s="2078">
        <f t="shared" si="1112"/>
        <v>0</v>
      </c>
      <c r="CT319" s="2078">
        <f t="shared" si="1123"/>
        <v>1</v>
      </c>
      <c r="CU319" s="2078">
        <f t="shared" si="1113"/>
        <v>1</v>
      </c>
      <c r="CV319" s="2078">
        <f t="shared" si="1134"/>
        <v>0</v>
      </c>
      <c r="CW319" s="2078">
        <f>IF(OR(AE319&lt;&gt;3,F319="Exclude"),0,IF(ISERROR(MATCH($E319,'4 Sign-off'!$S$123:$X$123,0)),0,1))</f>
        <v>0</v>
      </c>
      <c r="CX319" s="2078">
        <f t="shared" si="1046"/>
        <v>0</v>
      </c>
      <c r="CY319" s="2078">
        <f t="shared" si="1135"/>
        <v>0</v>
      </c>
      <c r="CZ319" s="2993">
        <f t="shared" ca="1" si="1043"/>
        <v>0</v>
      </c>
      <c r="DA319" s="3037">
        <f t="shared" ca="1" si="1044"/>
        <v>0</v>
      </c>
      <c r="DB319" s="1664"/>
      <c r="DC319" s="1320"/>
      <c r="DD319" s="589"/>
      <c r="DE319" s="1321"/>
      <c r="DF319" s="107"/>
      <c r="DG319" s="112"/>
      <c r="DH319" s="140"/>
      <c r="DI319" s="22"/>
      <c r="DJ319" s="145"/>
      <c r="DK319" s="137"/>
      <c r="DL319" s="137"/>
      <c r="DM319" s="137"/>
      <c r="DN319" s="137"/>
      <c r="DO319" s="137"/>
      <c r="DP319" s="137"/>
      <c r="DQ319" s="137"/>
      <c r="DR319" s="137"/>
      <c r="DS319" s="137"/>
      <c r="DT319" s="137"/>
      <c r="DU319" s="137"/>
      <c r="DV319" s="137"/>
      <c r="DW319" s="137"/>
      <c r="DX319" s="137"/>
      <c r="DY319" s="137"/>
      <c r="DZ319" s="137"/>
      <c r="EA319" s="137"/>
      <c r="EB319" s="137"/>
      <c r="EC319" s="137"/>
      <c r="ED319" s="137"/>
      <c r="EE319" s="137"/>
      <c r="EF319" s="137"/>
      <c r="EG319" s="137"/>
      <c r="EH319" s="137"/>
      <c r="EI319" s="137"/>
      <c r="EJ319" s="137"/>
      <c r="EK319" s="137"/>
      <c r="EL319" s="137"/>
      <c r="EM319" s="137"/>
      <c r="EN319" s="137"/>
      <c r="EO319" s="137"/>
      <c r="EP319" s="137"/>
      <c r="EQ319" s="137"/>
      <c r="ER319" s="137"/>
      <c r="ES319" s="137"/>
      <c r="ET319" s="137"/>
      <c r="EU319" s="137"/>
      <c r="EV319" s="137"/>
      <c r="EW319" s="137"/>
      <c r="EX319" s="137"/>
      <c r="EY319" s="137"/>
      <c r="EZ319" s="137"/>
      <c r="FA319" s="137"/>
      <c r="FB319" s="137"/>
      <c r="FC319" s="137"/>
      <c r="FD319" s="137"/>
      <c r="FE319" s="137"/>
      <c r="FF319" s="137"/>
      <c r="FG319" s="860"/>
      <c r="FH319" s="863"/>
      <c r="FI319" s="1318"/>
      <c r="FJ319" s="126"/>
      <c r="FK319" s="127"/>
      <c r="FL319" s="128" t="str">
        <f t="shared" si="1114"/>
        <v xml:space="preserve">    </v>
      </c>
      <c r="FM319" s="128"/>
      <c r="FN319" s="1686">
        <f t="shared" si="1115"/>
        <v>0</v>
      </c>
      <c r="FO319" s="46">
        <f t="shared" si="1136"/>
        <v>0</v>
      </c>
      <c r="FP319" s="46">
        <f t="shared" si="1124"/>
        <v>1</v>
      </c>
      <c r="FQ319" s="75">
        <f t="shared" si="1116"/>
        <v>0</v>
      </c>
      <c r="FR319" s="46">
        <f t="shared" si="1128"/>
        <v>0</v>
      </c>
      <c r="FS319" s="46">
        <f t="shared" si="1129"/>
        <v>1</v>
      </c>
      <c r="FT319" s="75">
        <f t="shared" si="1117"/>
        <v>0</v>
      </c>
      <c r="FU319" s="2603">
        <f t="shared" si="1137"/>
        <v>0</v>
      </c>
      <c r="FV319" s="2607">
        <f t="shared" si="1138"/>
        <v>0</v>
      </c>
      <c r="FW319" s="2603">
        <f t="shared" si="1139"/>
        <v>0</v>
      </c>
      <c r="FX319" s="2631">
        <f t="shared" si="1140"/>
        <v>0</v>
      </c>
      <c r="FY319" s="81" t="e">
        <f t="shared" si="1130"/>
        <v>#N/A</v>
      </c>
      <c r="FZ319" s="64" t="e">
        <f t="array" ref="FZ319">MATCH(1,($GT319:$LQ319&gt;0)*$GT$25:$LQ$25,0)</f>
        <v>#N/A</v>
      </c>
      <c r="GA319" s="64" t="e">
        <f t="array" ref="GA319">MATCH(2,1/(GT319:LQ319&gt;0))</f>
        <v>#N/A</v>
      </c>
      <c r="GB319" s="64">
        <f t="shared" si="1118"/>
        <v>-1</v>
      </c>
      <c r="GC319" s="46"/>
      <c r="GD319" s="613"/>
      <c r="GE319" s="613"/>
      <c r="GF319" s="613"/>
      <c r="GG319" s="613"/>
      <c r="GH319" s="613"/>
      <c r="GI319" s="613"/>
      <c r="GJ319" s="613"/>
      <c r="GK319" s="613"/>
      <c r="GL319" s="613"/>
      <c r="GM319" s="613"/>
      <c r="GN319" s="385">
        <f t="shared" si="1047"/>
        <v>0</v>
      </c>
      <c r="GO319" s="386">
        <f t="shared" si="1048"/>
        <v>0</v>
      </c>
      <c r="GP319" s="2635"/>
      <c r="GQ319" s="175"/>
      <c r="GR319" s="172"/>
      <c r="GS319" s="65"/>
      <c r="GT319" s="167"/>
      <c r="GU319" s="168"/>
      <c r="GV319" s="168"/>
      <c r="GW319" s="168"/>
      <c r="GX319" s="168"/>
      <c r="GY319" s="168"/>
      <c r="GZ319" s="168"/>
      <c r="HA319" s="168"/>
      <c r="HB319" s="168"/>
      <c r="HC319" s="168"/>
      <c r="HD319" s="168"/>
      <c r="HE319" s="168"/>
      <c r="HF319" s="168"/>
      <c r="HG319" s="168"/>
      <c r="HH319" s="168"/>
      <c r="HI319" s="168"/>
      <c r="HJ319" s="168"/>
      <c r="HK319" s="168"/>
      <c r="HL319" s="168"/>
      <c r="HM319" s="168"/>
      <c r="HN319" s="168"/>
      <c r="HO319" s="168"/>
      <c r="HP319" s="168"/>
      <c r="HQ319" s="168"/>
      <c r="HR319" s="168"/>
      <c r="HS319" s="168"/>
      <c r="HT319" s="168"/>
      <c r="HU319" s="168"/>
      <c r="HV319" s="168"/>
      <c r="HW319" s="168"/>
      <c r="HX319" s="168"/>
      <c r="HY319" s="168"/>
      <c r="HZ319" s="168"/>
      <c r="IA319" s="168"/>
      <c r="IB319" s="168"/>
      <c r="IC319" s="168"/>
      <c r="ID319" s="168"/>
      <c r="IE319" s="168"/>
      <c r="IF319" s="168"/>
      <c r="IG319" s="168"/>
      <c r="IH319" s="168"/>
      <c r="II319" s="168"/>
      <c r="IJ319" s="168"/>
      <c r="IK319" s="168"/>
      <c r="IL319" s="168"/>
      <c r="IM319" s="168"/>
      <c r="IN319" s="168"/>
      <c r="IO319" s="168"/>
      <c r="IP319" s="168"/>
      <c r="IQ319" s="168"/>
      <c r="IR319" s="168"/>
      <c r="IS319" s="168"/>
      <c r="IT319" s="168"/>
      <c r="IU319" s="168"/>
      <c r="IV319" s="168"/>
      <c r="IW319" s="168"/>
      <c r="IX319" s="168"/>
      <c r="IY319" s="168"/>
      <c r="IZ319" s="168"/>
      <c r="JA319" s="168"/>
      <c r="JB319" s="168"/>
      <c r="JC319" s="168"/>
      <c r="JD319" s="168"/>
      <c r="JE319" s="168"/>
      <c r="JF319" s="168"/>
      <c r="JG319" s="168"/>
      <c r="JH319" s="168"/>
      <c r="JI319" s="168"/>
      <c r="JJ319" s="168"/>
      <c r="JK319" s="168"/>
      <c r="JL319" s="168"/>
      <c r="JM319" s="168"/>
      <c r="JN319" s="168"/>
      <c r="JO319" s="168"/>
      <c r="JP319" s="168"/>
      <c r="JQ319" s="168"/>
      <c r="JR319" s="168"/>
      <c r="JS319" s="168"/>
      <c r="JT319" s="168"/>
      <c r="JU319" s="168"/>
      <c r="JV319" s="168"/>
      <c r="JW319" s="168"/>
      <c r="JX319" s="168"/>
      <c r="JY319" s="168"/>
      <c r="JZ319" s="168"/>
      <c r="KA319" s="168"/>
      <c r="KB319" s="168"/>
      <c r="KC319" s="168"/>
      <c r="KD319" s="168"/>
      <c r="KE319" s="168"/>
      <c r="KF319" s="168"/>
      <c r="KG319" s="168"/>
      <c r="KH319" s="168"/>
      <c r="KI319" s="168"/>
      <c r="KJ319" s="168"/>
      <c r="KK319" s="168"/>
      <c r="KL319" s="168"/>
      <c r="KM319" s="168"/>
      <c r="KN319" s="168"/>
      <c r="KO319" s="168"/>
      <c r="KP319" s="168"/>
      <c r="KQ319" s="168"/>
      <c r="KR319" s="168"/>
      <c r="KS319" s="168"/>
      <c r="KT319" s="168"/>
      <c r="KU319" s="168"/>
      <c r="KV319" s="168"/>
      <c r="KW319" s="168"/>
      <c r="KX319" s="168"/>
      <c r="KY319" s="168"/>
      <c r="KZ319" s="168"/>
      <c r="LA319" s="168"/>
      <c r="LB319" s="168"/>
      <c r="LC319" s="168"/>
      <c r="LD319" s="168"/>
      <c r="LE319" s="168"/>
      <c r="LF319" s="168"/>
      <c r="LG319" s="168"/>
      <c r="LH319" s="168"/>
      <c r="LI319" s="168"/>
      <c r="LJ319" s="168"/>
      <c r="LK319" s="168"/>
      <c r="LL319" s="168"/>
      <c r="LM319" s="168"/>
      <c r="LN319" s="168"/>
      <c r="LO319" s="168"/>
      <c r="LP319" s="606"/>
      <c r="LQ319" s="609"/>
      <c r="LR319" s="1319"/>
      <c r="LS319" s="1319"/>
    </row>
    <row r="320" spans="1:331" s="2" customFormat="1" ht="15" customHeight="1" x14ac:dyDescent="0.25">
      <c r="A320" s="283"/>
      <c r="B320" s="303"/>
      <c r="C320" s="301"/>
      <c r="D320" s="1287"/>
      <c r="E320" s="2298"/>
      <c r="F320" s="1812"/>
      <c r="G320" s="3342"/>
      <c r="H320" s="66"/>
      <c r="I320" s="1746"/>
      <c r="J320" s="1214"/>
      <c r="K320" s="105"/>
      <c r="L320" s="91"/>
      <c r="M320" s="92"/>
      <c r="N320" s="93"/>
      <c r="O320" s="94"/>
      <c r="P320" s="96"/>
      <c r="Q320" s="95"/>
      <c r="R320" s="993">
        <f t="shared" si="1039"/>
        <v>0</v>
      </c>
      <c r="S320" s="23">
        <f t="shared" si="1040"/>
        <v>0</v>
      </c>
      <c r="T320" s="24">
        <f t="shared" si="1071"/>
        <v>0</v>
      </c>
      <c r="U320" s="24">
        <f t="shared" si="1072"/>
        <v>0</v>
      </c>
      <c r="V320" s="24">
        <f t="shared" si="1073"/>
        <v>0</v>
      </c>
      <c r="W320" s="24">
        <f t="shared" ca="1" si="1074"/>
        <v>0</v>
      </c>
      <c r="X320" s="72">
        <f t="shared" ca="1" si="1119"/>
        <v>0</v>
      </c>
      <c r="Y320" s="72">
        <f t="shared" si="1075"/>
        <v>0</v>
      </c>
      <c r="Z320" s="24">
        <f t="shared" si="1076"/>
        <v>0</v>
      </c>
      <c r="AA320" s="72">
        <f t="shared" si="1120"/>
        <v>0</v>
      </c>
      <c r="AB320" s="24">
        <f t="shared" si="1131"/>
        <v>0</v>
      </c>
      <c r="AC320" s="24">
        <f t="shared" ca="1" si="1077"/>
        <v>0</v>
      </c>
      <c r="AD320" s="24">
        <f t="shared" si="1049"/>
        <v>0</v>
      </c>
      <c r="AE320" s="2078">
        <f t="shared" si="1125"/>
        <v>3</v>
      </c>
      <c r="AF320" s="2078">
        <f t="shared" si="1126"/>
        <v>0</v>
      </c>
      <c r="AG320" s="2078">
        <f t="shared" si="1127"/>
        <v>0</v>
      </c>
      <c r="AH320" s="2521">
        <f t="shared" si="1050"/>
        <v>1</v>
      </c>
      <c r="AI320" s="25" t="str">
        <f t="shared" si="1078"/>
        <v/>
      </c>
      <c r="AJ320" s="2521">
        <f t="shared" ca="1" si="1045"/>
        <v>0</v>
      </c>
      <c r="AK320" s="2076">
        <f t="shared" ca="1" si="1041"/>
        <v>0</v>
      </c>
      <c r="AL320" s="2078">
        <f>IF(ISBLANK(J320),0,ISERROR(MATCH(J320,'5  Control Accounts'!$FA$29:$FA$96,0))*1)</f>
        <v>0</v>
      </c>
      <c r="AM320" s="2076">
        <f t="shared" si="1079"/>
        <v>0</v>
      </c>
      <c r="AN320" s="2078">
        <f t="shared" si="1080"/>
        <v>1</v>
      </c>
      <c r="AO320" s="2079">
        <f t="shared" si="1051"/>
        <v>1</v>
      </c>
      <c r="AP320" s="2079">
        <f t="shared" si="1052"/>
        <v>0</v>
      </c>
      <c r="AQ320" s="2079">
        <f t="shared" si="1053"/>
        <v>0</v>
      </c>
      <c r="AR320" s="2079">
        <f t="shared" si="1054"/>
        <v>0</v>
      </c>
      <c r="AS320" s="2079">
        <f t="shared" si="1055"/>
        <v>0</v>
      </c>
      <c r="AT320" s="2079">
        <f t="shared" si="1056"/>
        <v>0</v>
      </c>
      <c r="AU320" s="2079">
        <f t="shared" si="1057"/>
        <v>0</v>
      </c>
      <c r="AV320" s="2079">
        <f t="shared" si="1058"/>
        <v>0</v>
      </c>
      <c r="AW320" s="2079">
        <f t="shared" si="1059"/>
        <v>0</v>
      </c>
      <c r="AX320" s="2079">
        <f t="shared" si="1060"/>
        <v>0</v>
      </c>
      <c r="AY320" s="2078">
        <f t="shared" si="1081"/>
        <v>0</v>
      </c>
      <c r="AZ320" s="2078">
        <f t="shared" si="1082"/>
        <v>0</v>
      </c>
      <c r="BA320" s="2078">
        <f t="shared" si="1083"/>
        <v>0</v>
      </c>
      <c r="BB320" s="2078">
        <f t="shared" si="1084"/>
        <v>0</v>
      </c>
      <c r="BC320" s="2078">
        <f t="shared" si="1085"/>
        <v>0</v>
      </c>
      <c r="BD320" s="2078">
        <f t="shared" si="1086"/>
        <v>0</v>
      </c>
      <c r="BE320" s="2078">
        <f t="shared" si="1087"/>
        <v>0</v>
      </c>
      <c r="BF320" s="2078">
        <f t="shared" si="1088"/>
        <v>0</v>
      </c>
      <c r="BG320" s="2078">
        <f t="shared" si="1089"/>
        <v>0</v>
      </c>
      <c r="BH320" s="2078">
        <f t="shared" si="1090"/>
        <v>0</v>
      </c>
      <c r="BI320" s="2078">
        <f t="shared" si="1091"/>
        <v>0</v>
      </c>
      <c r="BJ320" s="2078">
        <f t="shared" si="1092"/>
        <v>0</v>
      </c>
      <c r="BK320" s="2078">
        <f t="shared" si="1093"/>
        <v>0</v>
      </c>
      <c r="BL320" s="2078">
        <f t="shared" si="1094"/>
        <v>0</v>
      </c>
      <c r="BM320" s="2078">
        <f t="shared" si="1095"/>
        <v>0</v>
      </c>
      <c r="BN320" s="2078">
        <f t="shared" si="1096"/>
        <v>0</v>
      </c>
      <c r="BO320" s="2078">
        <f t="shared" si="1097"/>
        <v>0</v>
      </c>
      <c r="BP320" s="2078">
        <f t="shared" si="1098"/>
        <v>0</v>
      </c>
      <c r="BQ320" s="2078">
        <f t="shared" si="1099"/>
        <v>0</v>
      </c>
      <c r="BR320" s="2078">
        <f t="shared" si="1100"/>
        <v>0</v>
      </c>
      <c r="BS320" s="2079">
        <f t="shared" si="1061"/>
        <v>1</v>
      </c>
      <c r="BT320" s="2079">
        <f t="shared" si="1062"/>
        <v>0</v>
      </c>
      <c r="BU320" s="2079">
        <f t="shared" si="1063"/>
        <v>0</v>
      </c>
      <c r="BV320" s="2079">
        <f t="shared" si="1064"/>
        <v>0</v>
      </c>
      <c r="BW320" s="2079">
        <f t="shared" si="1065"/>
        <v>0</v>
      </c>
      <c r="BX320" s="2079">
        <f t="shared" si="1066"/>
        <v>0</v>
      </c>
      <c r="BY320" s="2079">
        <f t="shared" si="1067"/>
        <v>0</v>
      </c>
      <c r="BZ320" s="2079">
        <f t="shared" si="1068"/>
        <v>0</v>
      </c>
      <c r="CA320" s="2079">
        <f t="shared" si="1069"/>
        <v>0</v>
      </c>
      <c r="CB320" s="2079">
        <f t="shared" si="1070"/>
        <v>0</v>
      </c>
      <c r="CC320" s="2078">
        <f t="shared" ca="1" si="1101"/>
        <v>0</v>
      </c>
      <c r="CD320" s="2078">
        <f t="shared" ca="1" si="1102"/>
        <v>0</v>
      </c>
      <c r="CE320" s="2078">
        <f t="shared" ca="1" si="1103"/>
        <v>0</v>
      </c>
      <c r="CF320" s="2078">
        <f t="shared" ca="1" si="1104"/>
        <v>0</v>
      </c>
      <c r="CG320" s="2078">
        <f t="shared" ca="1" si="1105"/>
        <v>0</v>
      </c>
      <c r="CH320" s="2078">
        <f t="shared" ca="1" si="1106"/>
        <v>0</v>
      </c>
      <c r="CI320" s="2078">
        <f t="shared" ca="1" si="1107"/>
        <v>0</v>
      </c>
      <c r="CJ320" s="2078">
        <f t="shared" ca="1" si="1108"/>
        <v>0</v>
      </c>
      <c r="CK320" s="2078">
        <f t="shared" ca="1" si="1109"/>
        <v>0</v>
      </c>
      <c r="CL320" s="2078">
        <f t="shared" ca="1" si="1110"/>
        <v>0</v>
      </c>
      <c r="CM320" s="2078">
        <f t="shared" si="1132"/>
        <v>1</v>
      </c>
      <c r="CN320" s="2078">
        <f t="shared" si="1133"/>
        <v>1</v>
      </c>
      <c r="CO320" s="2078">
        <f t="shared" si="1121"/>
        <v>1</v>
      </c>
      <c r="CP320" s="2078">
        <f t="shared" si="1111"/>
        <v>1</v>
      </c>
      <c r="CQ320" s="2078">
        <f t="shared" si="1122"/>
        <v>0</v>
      </c>
      <c r="CR320" s="2078">
        <f t="shared" si="1042"/>
        <v>0</v>
      </c>
      <c r="CS320" s="2078">
        <f t="shared" si="1112"/>
        <v>0</v>
      </c>
      <c r="CT320" s="2078">
        <f t="shared" si="1123"/>
        <v>1</v>
      </c>
      <c r="CU320" s="2078">
        <f t="shared" si="1113"/>
        <v>1</v>
      </c>
      <c r="CV320" s="2078">
        <f t="shared" si="1134"/>
        <v>0</v>
      </c>
      <c r="CW320" s="2078">
        <f>IF(OR(AE320&lt;&gt;3,F320="Exclude"),0,IF(ISERROR(MATCH($E320,'4 Sign-off'!$S$123:$X$123,0)),0,1))</f>
        <v>0</v>
      </c>
      <c r="CX320" s="2078">
        <f t="shared" si="1046"/>
        <v>0</v>
      </c>
      <c r="CY320" s="2078">
        <f t="shared" si="1135"/>
        <v>0</v>
      </c>
      <c r="CZ320" s="2993">
        <f t="shared" ca="1" si="1043"/>
        <v>0</v>
      </c>
      <c r="DA320" s="3037">
        <f t="shared" ca="1" si="1044"/>
        <v>0</v>
      </c>
      <c r="DB320" s="1664"/>
      <c r="DC320" s="1320"/>
      <c r="DD320" s="589"/>
      <c r="DE320" s="1321"/>
      <c r="DF320" s="107"/>
      <c r="DG320" s="112"/>
      <c r="DH320" s="140"/>
      <c r="DI320" s="22"/>
      <c r="DJ320" s="145"/>
      <c r="DK320" s="137"/>
      <c r="DL320" s="137"/>
      <c r="DM320" s="137"/>
      <c r="DN320" s="137"/>
      <c r="DO320" s="137"/>
      <c r="DP320" s="137"/>
      <c r="DQ320" s="137"/>
      <c r="DR320" s="137"/>
      <c r="DS320" s="137"/>
      <c r="DT320" s="137"/>
      <c r="DU320" s="137"/>
      <c r="DV320" s="137"/>
      <c r="DW320" s="137"/>
      <c r="DX320" s="137"/>
      <c r="DY320" s="137"/>
      <c r="DZ320" s="137"/>
      <c r="EA320" s="137"/>
      <c r="EB320" s="137"/>
      <c r="EC320" s="137"/>
      <c r="ED320" s="137"/>
      <c r="EE320" s="137"/>
      <c r="EF320" s="137"/>
      <c r="EG320" s="137"/>
      <c r="EH320" s="137"/>
      <c r="EI320" s="137"/>
      <c r="EJ320" s="137"/>
      <c r="EK320" s="137"/>
      <c r="EL320" s="137"/>
      <c r="EM320" s="137"/>
      <c r="EN320" s="137"/>
      <c r="EO320" s="137"/>
      <c r="EP320" s="137"/>
      <c r="EQ320" s="137"/>
      <c r="ER320" s="137"/>
      <c r="ES320" s="137"/>
      <c r="ET320" s="137"/>
      <c r="EU320" s="137"/>
      <c r="EV320" s="137"/>
      <c r="EW320" s="137"/>
      <c r="EX320" s="137"/>
      <c r="EY320" s="137"/>
      <c r="EZ320" s="137"/>
      <c r="FA320" s="137"/>
      <c r="FB320" s="137"/>
      <c r="FC320" s="137"/>
      <c r="FD320" s="137"/>
      <c r="FE320" s="137"/>
      <c r="FF320" s="137"/>
      <c r="FG320" s="860"/>
      <c r="FH320" s="863"/>
      <c r="FI320" s="1318"/>
      <c r="FJ320" s="126"/>
      <c r="FK320" s="127"/>
      <c r="FL320" s="128" t="str">
        <f t="shared" si="1114"/>
        <v xml:space="preserve">    </v>
      </c>
      <c r="FM320" s="128"/>
      <c r="FN320" s="1686">
        <f t="shared" si="1115"/>
        <v>0</v>
      </c>
      <c r="FO320" s="46">
        <f t="shared" si="1136"/>
        <v>0</v>
      </c>
      <c r="FP320" s="46">
        <f t="shared" si="1124"/>
        <v>1</v>
      </c>
      <c r="FQ320" s="75">
        <f t="shared" si="1116"/>
        <v>0</v>
      </c>
      <c r="FR320" s="46">
        <f t="shared" si="1128"/>
        <v>0</v>
      </c>
      <c r="FS320" s="46">
        <f t="shared" si="1129"/>
        <v>1</v>
      </c>
      <c r="FT320" s="75">
        <f t="shared" si="1117"/>
        <v>0</v>
      </c>
      <c r="FU320" s="2603">
        <f t="shared" si="1137"/>
        <v>0</v>
      </c>
      <c r="FV320" s="2607">
        <f t="shared" si="1138"/>
        <v>0</v>
      </c>
      <c r="FW320" s="2603">
        <f t="shared" si="1139"/>
        <v>0</v>
      </c>
      <c r="FX320" s="2631">
        <f t="shared" si="1140"/>
        <v>0</v>
      </c>
      <c r="FY320" s="81" t="e">
        <f t="shared" si="1130"/>
        <v>#N/A</v>
      </c>
      <c r="FZ320" s="64" t="e">
        <f t="array" ref="FZ320">MATCH(1,($GT320:$LQ320&gt;0)*$GT$25:$LQ$25,0)</f>
        <v>#N/A</v>
      </c>
      <c r="GA320" s="64" t="e">
        <f t="array" ref="GA320">MATCH(2,1/(GT320:LQ320&gt;0))</f>
        <v>#N/A</v>
      </c>
      <c r="GB320" s="64">
        <f t="shared" si="1118"/>
        <v>-1</v>
      </c>
      <c r="GC320" s="46"/>
      <c r="GD320" s="613"/>
      <c r="GE320" s="613"/>
      <c r="GF320" s="613"/>
      <c r="GG320" s="613"/>
      <c r="GH320" s="613"/>
      <c r="GI320" s="613"/>
      <c r="GJ320" s="613"/>
      <c r="GK320" s="613"/>
      <c r="GL320" s="613"/>
      <c r="GM320" s="613"/>
      <c r="GN320" s="385">
        <f t="shared" si="1047"/>
        <v>0</v>
      </c>
      <c r="GO320" s="386">
        <f t="shared" si="1048"/>
        <v>0</v>
      </c>
      <c r="GP320" s="2635"/>
      <c r="GQ320" s="175"/>
      <c r="GR320" s="172"/>
      <c r="GS320" s="65"/>
      <c r="GT320" s="167"/>
      <c r="GU320" s="168"/>
      <c r="GV320" s="168"/>
      <c r="GW320" s="168"/>
      <c r="GX320" s="168"/>
      <c r="GY320" s="168"/>
      <c r="GZ320" s="168"/>
      <c r="HA320" s="168"/>
      <c r="HB320" s="168"/>
      <c r="HC320" s="168"/>
      <c r="HD320" s="168"/>
      <c r="HE320" s="168"/>
      <c r="HF320" s="168"/>
      <c r="HG320" s="168"/>
      <c r="HH320" s="168"/>
      <c r="HI320" s="168"/>
      <c r="HJ320" s="168"/>
      <c r="HK320" s="168"/>
      <c r="HL320" s="168"/>
      <c r="HM320" s="168"/>
      <c r="HN320" s="168"/>
      <c r="HO320" s="168"/>
      <c r="HP320" s="168"/>
      <c r="HQ320" s="168"/>
      <c r="HR320" s="168"/>
      <c r="HS320" s="168"/>
      <c r="HT320" s="168"/>
      <c r="HU320" s="168"/>
      <c r="HV320" s="168"/>
      <c r="HW320" s="168"/>
      <c r="HX320" s="168"/>
      <c r="HY320" s="168"/>
      <c r="HZ320" s="168"/>
      <c r="IA320" s="168"/>
      <c r="IB320" s="168"/>
      <c r="IC320" s="168"/>
      <c r="ID320" s="168"/>
      <c r="IE320" s="168"/>
      <c r="IF320" s="168"/>
      <c r="IG320" s="168"/>
      <c r="IH320" s="168"/>
      <c r="II320" s="168"/>
      <c r="IJ320" s="168"/>
      <c r="IK320" s="168"/>
      <c r="IL320" s="168"/>
      <c r="IM320" s="168"/>
      <c r="IN320" s="168"/>
      <c r="IO320" s="168"/>
      <c r="IP320" s="168"/>
      <c r="IQ320" s="168"/>
      <c r="IR320" s="168"/>
      <c r="IS320" s="168"/>
      <c r="IT320" s="168"/>
      <c r="IU320" s="168"/>
      <c r="IV320" s="168"/>
      <c r="IW320" s="168"/>
      <c r="IX320" s="168"/>
      <c r="IY320" s="168"/>
      <c r="IZ320" s="168"/>
      <c r="JA320" s="168"/>
      <c r="JB320" s="168"/>
      <c r="JC320" s="168"/>
      <c r="JD320" s="168"/>
      <c r="JE320" s="168"/>
      <c r="JF320" s="168"/>
      <c r="JG320" s="168"/>
      <c r="JH320" s="168"/>
      <c r="JI320" s="168"/>
      <c r="JJ320" s="168"/>
      <c r="JK320" s="168"/>
      <c r="JL320" s="168"/>
      <c r="JM320" s="168"/>
      <c r="JN320" s="168"/>
      <c r="JO320" s="168"/>
      <c r="JP320" s="168"/>
      <c r="JQ320" s="168"/>
      <c r="JR320" s="168"/>
      <c r="JS320" s="168"/>
      <c r="JT320" s="168"/>
      <c r="JU320" s="168"/>
      <c r="JV320" s="168"/>
      <c r="JW320" s="168"/>
      <c r="JX320" s="168"/>
      <c r="JY320" s="168"/>
      <c r="JZ320" s="168"/>
      <c r="KA320" s="168"/>
      <c r="KB320" s="168"/>
      <c r="KC320" s="168"/>
      <c r="KD320" s="168"/>
      <c r="KE320" s="168"/>
      <c r="KF320" s="168"/>
      <c r="KG320" s="168"/>
      <c r="KH320" s="168"/>
      <c r="KI320" s="168"/>
      <c r="KJ320" s="168"/>
      <c r="KK320" s="168"/>
      <c r="KL320" s="168"/>
      <c r="KM320" s="168"/>
      <c r="KN320" s="168"/>
      <c r="KO320" s="168"/>
      <c r="KP320" s="168"/>
      <c r="KQ320" s="168"/>
      <c r="KR320" s="168"/>
      <c r="KS320" s="168"/>
      <c r="KT320" s="168"/>
      <c r="KU320" s="168"/>
      <c r="KV320" s="168"/>
      <c r="KW320" s="168"/>
      <c r="KX320" s="168"/>
      <c r="KY320" s="168"/>
      <c r="KZ320" s="168"/>
      <c r="LA320" s="168"/>
      <c r="LB320" s="168"/>
      <c r="LC320" s="168"/>
      <c r="LD320" s="168"/>
      <c r="LE320" s="168"/>
      <c r="LF320" s="168"/>
      <c r="LG320" s="168"/>
      <c r="LH320" s="168"/>
      <c r="LI320" s="168"/>
      <c r="LJ320" s="168"/>
      <c r="LK320" s="168"/>
      <c r="LL320" s="168"/>
      <c r="LM320" s="168"/>
      <c r="LN320" s="168"/>
      <c r="LO320" s="168"/>
      <c r="LP320" s="606"/>
      <c r="LQ320" s="609"/>
      <c r="LR320" s="1319"/>
      <c r="LS320" s="1319"/>
    </row>
    <row r="321" spans="1:331" s="2" customFormat="1" ht="15" customHeight="1" x14ac:dyDescent="0.25">
      <c r="A321" s="283"/>
      <c r="B321" s="303"/>
      <c r="C321" s="301"/>
      <c r="D321" s="1287"/>
      <c r="E321" s="2298"/>
      <c r="F321" s="1812"/>
      <c r="G321" s="3342"/>
      <c r="H321" s="66"/>
      <c r="I321" s="1746"/>
      <c r="J321" s="1214"/>
      <c r="K321" s="105"/>
      <c r="L321" s="91"/>
      <c r="M321" s="92"/>
      <c r="N321" s="93"/>
      <c r="O321" s="94"/>
      <c r="P321" s="96"/>
      <c r="Q321" s="95"/>
      <c r="R321" s="993">
        <f t="shared" si="1039"/>
        <v>0</v>
      </c>
      <c r="S321" s="23">
        <f t="shared" si="1040"/>
        <v>0</v>
      </c>
      <c r="T321" s="24">
        <f t="shared" si="1071"/>
        <v>0</v>
      </c>
      <c r="U321" s="24">
        <f t="shared" si="1072"/>
        <v>0</v>
      </c>
      <c r="V321" s="24">
        <f t="shared" si="1073"/>
        <v>0</v>
      </c>
      <c r="W321" s="24">
        <f t="shared" ca="1" si="1074"/>
        <v>0</v>
      </c>
      <c r="X321" s="72">
        <f t="shared" ca="1" si="1119"/>
        <v>0</v>
      </c>
      <c r="Y321" s="72">
        <f t="shared" si="1075"/>
        <v>0</v>
      </c>
      <c r="Z321" s="24">
        <f t="shared" si="1076"/>
        <v>0</v>
      </c>
      <c r="AA321" s="72">
        <f t="shared" si="1120"/>
        <v>0</v>
      </c>
      <c r="AB321" s="24">
        <f t="shared" si="1131"/>
        <v>0</v>
      </c>
      <c r="AC321" s="24">
        <f t="shared" ca="1" si="1077"/>
        <v>0</v>
      </c>
      <c r="AD321" s="24">
        <f t="shared" si="1049"/>
        <v>0</v>
      </c>
      <c r="AE321" s="2078">
        <f t="shared" si="1125"/>
        <v>3</v>
      </c>
      <c r="AF321" s="2078">
        <f t="shared" si="1126"/>
        <v>0</v>
      </c>
      <c r="AG321" s="2078">
        <f t="shared" si="1127"/>
        <v>0</v>
      </c>
      <c r="AH321" s="2521">
        <f t="shared" si="1050"/>
        <v>1</v>
      </c>
      <c r="AI321" s="25" t="str">
        <f t="shared" si="1078"/>
        <v/>
      </c>
      <c r="AJ321" s="2521">
        <f t="shared" ca="1" si="1045"/>
        <v>0</v>
      </c>
      <c r="AK321" s="2076">
        <f t="shared" ca="1" si="1041"/>
        <v>0</v>
      </c>
      <c r="AL321" s="2078">
        <f>IF(ISBLANK(J321),0,ISERROR(MATCH(J321,'5  Control Accounts'!$FA$29:$FA$96,0))*1)</f>
        <v>0</v>
      </c>
      <c r="AM321" s="2076">
        <f t="shared" si="1079"/>
        <v>0</v>
      </c>
      <c r="AN321" s="2078">
        <f t="shared" si="1080"/>
        <v>1</v>
      </c>
      <c r="AO321" s="2079">
        <f t="shared" si="1051"/>
        <v>1</v>
      </c>
      <c r="AP321" s="2079">
        <f t="shared" si="1052"/>
        <v>0</v>
      </c>
      <c r="AQ321" s="2079">
        <f t="shared" si="1053"/>
        <v>0</v>
      </c>
      <c r="AR321" s="2079">
        <f t="shared" si="1054"/>
        <v>0</v>
      </c>
      <c r="AS321" s="2079">
        <f t="shared" si="1055"/>
        <v>0</v>
      </c>
      <c r="AT321" s="2079">
        <f t="shared" si="1056"/>
        <v>0</v>
      </c>
      <c r="AU321" s="2079">
        <f t="shared" si="1057"/>
        <v>0</v>
      </c>
      <c r="AV321" s="2079">
        <f t="shared" si="1058"/>
        <v>0</v>
      </c>
      <c r="AW321" s="2079">
        <f t="shared" si="1059"/>
        <v>0</v>
      </c>
      <c r="AX321" s="2079">
        <f t="shared" si="1060"/>
        <v>0</v>
      </c>
      <c r="AY321" s="2078">
        <f t="shared" si="1081"/>
        <v>0</v>
      </c>
      <c r="AZ321" s="2078">
        <f t="shared" si="1082"/>
        <v>0</v>
      </c>
      <c r="BA321" s="2078">
        <f t="shared" si="1083"/>
        <v>0</v>
      </c>
      <c r="BB321" s="2078">
        <f t="shared" si="1084"/>
        <v>0</v>
      </c>
      <c r="BC321" s="2078">
        <f t="shared" si="1085"/>
        <v>0</v>
      </c>
      <c r="BD321" s="2078">
        <f t="shared" si="1086"/>
        <v>0</v>
      </c>
      <c r="BE321" s="2078">
        <f t="shared" si="1087"/>
        <v>0</v>
      </c>
      <c r="BF321" s="2078">
        <f t="shared" si="1088"/>
        <v>0</v>
      </c>
      <c r="BG321" s="2078">
        <f t="shared" si="1089"/>
        <v>0</v>
      </c>
      <c r="BH321" s="2078">
        <f t="shared" si="1090"/>
        <v>0</v>
      </c>
      <c r="BI321" s="2078">
        <f t="shared" si="1091"/>
        <v>0</v>
      </c>
      <c r="BJ321" s="2078">
        <f t="shared" si="1092"/>
        <v>0</v>
      </c>
      <c r="BK321" s="2078">
        <f t="shared" si="1093"/>
        <v>0</v>
      </c>
      <c r="BL321" s="2078">
        <f t="shared" si="1094"/>
        <v>0</v>
      </c>
      <c r="BM321" s="2078">
        <f t="shared" si="1095"/>
        <v>0</v>
      </c>
      <c r="BN321" s="2078">
        <f t="shared" si="1096"/>
        <v>0</v>
      </c>
      <c r="BO321" s="2078">
        <f t="shared" si="1097"/>
        <v>0</v>
      </c>
      <c r="BP321" s="2078">
        <f t="shared" si="1098"/>
        <v>0</v>
      </c>
      <c r="BQ321" s="2078">
        <f t="shared" si="1099"/>
        <v>0</v>
      </c>
      <c r="BR321" s="2078">
        <f t="shared" si="1100"/>
        <v>0</v>
      </c>
      <c r="BS321" s="2079">
        <f t="shared" si="1061"/>
        <v>1</v>
      </c>
      <c r="BT321" s="2079">
        <f t="shared" si="1062"/>
        <v>0</v>
      </c>
      <c r="BU321" s="2079">
        <f t="shared" si="1063"/>
        <v>0</v>
      </c>
      <c r="BV321" s="2079">
        <f t="shared" si="1064"/>
        <v>0</v>
      </c>
      <c r="BW321" s="2079">
        <f t="shared" si="1065"/>
        <v>0</v>
      </c>
      <c r="BX321" s="2079">
        <f t="shared" si="1066"/>
        <v>0</v>
      </c>
      <c r="BY321" s="2079">
        <f t="shared" si="1067"/>
        <v>0</v>
      </c>
      <c r="BZ321" s="2079">
        <f t="shared" si="1068"/>
        <v>0</v>
      </c>
      <c r="CA321" s="2079">
        <f t="shared" si="1069"/>
        <v>0</v>
      </c>
      <c r="CB321" s="2079">
        <f t="shared" si="1070"/>
        <v>0</v>
      </c>
      <c r="CC321" s="2078">
        <f t="shared" ca="1" si="1101"/>
        <v>0</v>
      </c>
      <c r="CD321" s="2078">
        <f t="shared" ca="1" si="1102"/>
        <v>0</v>
      </c>
      <c r="CE321" s="2078">
        <f t="shared" ca="1" si="1103"/>
        <v>0</v>
      </c>
      <c r="CF321" s="2078">
        <f t="shared" ca="1" si="1104"/>
        <v>0</v>
      </c>
      <c r="CG321" s="2078">
        <f t="shared" ca="1" si="1105"/>
        <v>0</v>
      </c>
      <c r="CH321" s="2078">
        <f t="shared" ca="1" si="1106"/>
        <v>0</v>
      </c>
      <c r="CI321" s="2078">
        <f t="shared" ca="1" si="1107"/>
        <v>0</v>
      </c>
      <c r="CJ321" s="2078">
        <f t="shared" ca="1" si="1108"/>
        <v>0</v>
      </c>
      <c r="CK321" s="2078">
        <f t="shared" ca="1" si="1109"/>
        <v>0</v>
      </c>
      <c r="CL321" s="2078">
        <f t="shared" ca="1" si="1110"/>
        <v>0</v>
      </c>
      <c r="CM321" s="2078">
        <f t="shared" si="1132"/>
        <v>1</v>
      </c>
      <c r="CN321" s="2078">
        <f t="shared" si="1133"/>
        <v>1</v>
      </c>
      <c r="CO321" s="2078">
        <f t="shared" si="1121"/>
        <v>1</v>
      </c>
      <c r="CP321" s="2078">
        <f t="shared" si="1111"/>
        <v>1</v>
      </c>
      <c r="CQ321" s="2078">
        <f t="shared" si="1122"/>
        <v>0</v>
      </c>
      <c r="CR321" s="2078">
        <f t="shared" si="1042"/>
        <v>0</v>
      </c>
      <c r="CS321" s="2078">
        <f t="shared" si="1112"/>
        <v>0</v>
      </c>
      <c r="CT321" s="2078">
        <f t="shared" si="1123"/>
        <v>1</v>
      </c>
      <c r="CU321" s="2078">
        <f t="shared" si="1113"/>
        <v>1</v>
      </c>
      <c r="CV321" s="2078">
        <f t="shared" si="1134"/>
        <v>0</v>
      </c>
      <c r="CW321" s="2078">
        <f>IF(OR(AE321&lt;&gt;3,F321="Exclude"),0,IF(ISERROR(MATCH($E321,'4 Sign-off'!$S$123:$X$123,0)),0,1))</f>
        <v>0</v>
      </c>
      <c r="CX321" s="2078">
        <f t="shared" si="1046"/>
        <v>0</v>
      </c>
      <c r="CY321" s="2078">
        <f t="shared" si="1135"/>
        <v>0</v>
      </c>
      <c r="CZ321" s="2993">
        <f t="shared" ca="1" si="1043"/>
        <v>0</v>
      </c>
      <c r="DA321" s="3037">
        <f t="shared" ca="1" si="1044"/>
        <v>0</v>
      </c>
      <c r="DB321" s="1664"/>
      <c r="DC321" s="1320"/>
      <c r="DD321" s="589"/>
      <c r="DE321" s="1321"/>
      <c r="DF321" s="107"/>
      <c r="DG321" s="112"/>
      <c r="DH321" s="140"/>
      <c r="DI321" s="22"/>
      <c r="DJ321" s="145"/>
      <c r="DK321" s="137"/>
      <c r="DL321" s="137"/>
      <c r="DM321" s="137"/>
      <c r="DN321" s="137"/>
      <c r="DO321" s="137"/>
      <c r="DP321" s="137"/>
      <c r="DQ321" s="137"/>
      <c r="DR321" s="137"/>
      <c r="DS321" s="137"/>
      <c r="DT321" s="137"/>
      <c r="DU321" s="137"/>
      <c r="DV321" s="137"/>
      <c r="DW321" s="137"/>
      <c r="DX321" s="137"/>
      <c r="DY321" s="137"/>
      <c r="DZ321" s="137"/>
      <c r="EA321" s="137"/>
      <c r="EB321" s="137"/>
      <c r="EC321" s="137"/>
      <c r="ED321" s="137"/>
      <c r="EE321" s="137"/>
      <c r="EF321" s="137"/>
      <c r="EG321" s="137"/>
      <c r="EH321" s="137"/>
      <c r="EI321" s="137"/>
      <c r="EJ321" s="137"/>
      <c r="EK321" s="137"/>
      <c r="EL321" s="137"/>
      <c r="EM321" s="137"/>
      <c r="EN321" s="137"/>
      <c r="EO321" s="137"/>
      <c r="EP321" s="137"/>
      <c r="EQ321" s="137"/>
      <c r="ER321" s="137"/>
      <c r="ES321" s="137"/>
      <c r="ET321" s="137"/>
      <c r="EU321" s="137"/>
      <c r="EV321" s="137"/>
      <c r="EW321" s="137"/>
      <c r="EX321" s="137"/>
      <c r="EY321" s="137"/>
      <c r="EZ321" s="137"/>
      <c r="FA321" s="137"/>
      <c r="FB321" s="137"/>
      <c r="FC321" s="137"/>
      <c r="FD321" s="137"/>
      <c r="FE321" s="137"/>
      <c r="FF321" s="137"/>
      <c r="FG321" s="860"/>
      <c r="FH321" s="863"/>
      <c r="FI321" s="1318"/>
      <c r="FJ321" s="126"/>
      <c r="FK321" s="127"/>
      <c r="FL321" s="128" t="str">
        <f t="shared" si="1114"/>
        <v xml:space="preserve">    </v>
      </c>
      <c r="FM321" s="128"/>
      <c r="FN321" s="1686">
        <f t="shared" si="1115"/>
        <v>0</v>
      </c>
      <c r="FO321" s="46">
        <f t="shared" si="1136"/>
        <v>0</v>
      </c>
      <c r="FP321" s="46">
        <f t="shared" si="1124"/>
        <v>1</v>
      </c>
      <c r="FQ321" s="75">
        <f t="shared" si="1116"/>
        <v>0</v>
      </c>
      <c r="FR321" s="46">
        <f t="shared" si="1128"/>
        <v>0</v>
      </c>
      <c r="FS321" s="46">
        <f t="shared" si="1129"/>
        <v>1</v>
      </c>
      <c r="FT321" s="75">
        <f t="shared" si="1117"/>
        <v>0</v>
      </c>
      <c r="FU321" s="2603">
        <f t="shared" si="1137"/>
        <v>0</v>
      </c>
      <c r="FV321" s="2607">
        <f t="shared" si="1138"/>
        <v>0</v>
      </c>
      <c r="FW321" s="2603">
        <f t="shared" si="1139"/>
        <v>0</v>
      </c>
      <c r="FX321" s="2631">
        <f t="shared" si="1140"/>
        <v>0</v>
      </c>
      <c r="FY321" s="81" t="e">
        <f t="shared" si="1130"/>
        <v>#N/A</v>
      </c>
      <c r="FZ321" s="64" t="e">
        <f t="array" ref="FZ321">MATCH(1,($GT321:$LQ321&gt;0)*$GT$25:$LQ$25,0)</f>
        <v>#N/A</v>
      </c>
      <c r="GA321" s="64" t="e">
        <f t="array" ref="GA321">MATCH(2,1/(GT321:LQ321&gt;0))</f>
        <v>#N/A</v>
      </c>
      <c r="GB321" s="64">
        <f t="shared" si="1118"/>
        <v>-1</v>
      </c>
      <c r="GC321" s="46"/>
      <c r="GD321" s="613"/>
      <c r="GE321" s="613"/>
      <c r="GF321" s="613"/>
      <c r="GG321" s="613"/>
      <c r="GH321" s="613"/>
      <c r="GI321" s="613"/>
      <c r="GJ321" s="613"/>
      <c r="GK321" s="613"/>
      <c r="GL321" s="613"/>
      <c r="GM321" s="613"/>
      <c r="GN321" s="385">
        <f t="shared" si="1047"/>
        <v>0</v>
      </c>
      <c r="GO321" s="386">
        <f t="shared" si="1048"/>
        <v>0</v>
      </c>
      <c r="GP321" s="2635"/>
      <c r="GQ321" s="175"/>
      <c r="GR321" s="172"/>
      <c r="GS321" s="65"/>
      <c r="GT321" s="167"/>
      <c r="GU321" s="168"/>
      <c r="GV321" s="168"/>
      <c r="GW321" s="168"/>
      <c r="GX321" s="168"/>
      <c r="GY321" s="168"/>
      <c r="GZ321" s="168"/>
      <c r="HA321" s="168"/>
      <c r="HB321" s="168"/>
      <c r="HC321" s="168"/>
      <c r="HD321" s="168"/>
      <c r="HE321" s="168"/>
      <c r="HF321" s="168"/>
      <c r="HG321" s="168"/>
      <c r="HH321" s="168"/>
      <c r="HI321" s="168"/>
      <c r="HJ321" s="168"/>
      <c r="HK321" s="168"/>
      <c r="HL321" s="168"/>
      <c r="HM321" s="168"/>
      <c r="HN321" s="168"/>
      <c r="HO321" s="168"/>
      <c r="HP321" s="168"/>
      <c r="HQ321" s="168"/>
      <c r="HR321" s="168"/>
      <c r="HS321" s="168"/>
      <c r="HT321" s="168"/>
      <c r="HU321" s="168"/>
      <c r="HV321" s="168"/>
      <c r="HW321" s="168"/>
      <c r="HX321" s="168"/>
      <c r="HY321" s="168"/>
      <c r="HZ321" s="168"/>
      <c r="IA321" s="168"/>
      <c r="IB321" s="168"/>
      <c r="IC321" s="168"/>
      <c r="ID321" s="168"/>
      <c r="IE321" s="168"/>
      <c r="IF321" s="168"/>
      <c r="IG321" s="168"/>
      <c r="IH321" s="168"/>
      <c r="II321" s="168"/>
      <c r="IJ321" s="168"/>
      <c r="IK321" s="168"/>
      <c r="IL321" s="168"/>
      <c r="IM321" s="168"/>
      <c r="IN321" s="168"/>
      <c r="IO321" s="168"/>
      <c r="IP321" s="168"/>
      <c r="IQ321" s="168"/>
      <c r="IR321" s="168"/>
      <c r="IS321" s="168"/>
      <c r="IT321" s="168"/>
      <c r="IU321" s="168"/>
      <c r="IV321" s="168"/>
      <c r="IW321" s="168"/>
      <c r="IX321" s="168"/>
      <c r="IY321" s="168"/>
      <c r="IZ321" s="168"/>
      <c r="JA321" s="168"/>
      <c r="JB321" s="168"/>
      <c r="JC321" s="168"/>
      <c r="JD321" s="168"/>
      <c r="JE321" s="168"/>
      <c r="JF321" s="168"/>
      <c r="JG321" s="168"/>
      <c r="JH321" s="168"/>
      <c r="JI321" s="168"/>
      <c r="JJ321" s="168"/>
      <c r="JK321" s="168"/>
      <c r="JL321" s="168"/>
      <c r="JM321" s="168"/>
      <c r="JN321" s="168"/>
      <c r="JO321" s="168"/>
      <c r="JP321" s="168"/>
      <c r="JQ321" s="168"/>
      <c r="JR321" s="168"/>
      <c r="JS321" s="168"/>
      <c r="JT321" s="168"/>
      <c r="JU321" s="168"/>
      <c r="JV321" s="168"/>
      <c r="JW321" s="168"/>
      <c r="JX321" s="168"/>
      <c r="JY321" s="168"/>
      <c r="JZ321" s="168"/>
      <c r="KA321" s="168"/>
      <c r="KB321" s="168"/>
      <c r="KC321" s="168"/>
      <c r="KD321" s="168"/>
      <c r="KE321" s="168"/>
      <c r="KF321" s="168"/>
      <c r="KG321" s="168"/>
      <c r="KH321" s="168"/>
      <c r="KI321" s="168"/>
      <c r="KJ321" s="168"/>
      <c r="KK321" s="168"/>
      <c r="KL321" s="168"/>
      <c r="KM321" s="168"/>
      <c r="KN321" s="168"/>
      <c r="KO321" s="168"/>
      <c r="KP321" s="168"/>
      <c r="KQ321" s="168"/>
      <c r="KR321" s="168"/>
      <c r="KS321" s="168"/>
      <c r="KT321" s="168"/>
      <c r="KU321" s="168"/>
      <c r="KV321" s="168"/>
      <c r="KW321" s="168"/>
      <c r="KX321" s="168"/>
      <c r="KY321" s="168"/>
      <c r="KZ321" s="168"/>
      <c r="LA321" s="168"/>
      <c r="LB321" s="168"/>
      <c r="LC321" s="168"/>
      <c r="LD321" s="168"/>
      <c r="LE321" s="168"/>
      <c r="LF321" s="168"/>
      <c r="LG321" s="168"/>
      <c r="LH321" s="168"/>
      <c r="LI321" s="168"/>
      <c r="LJ321" s="168"/>
      <c r="LK321" s="168"/>
      <c r="LL321" s="168"/>
      <c r="LM321" s="168"/>
      <c r="LN321" s="168"/>
      <c r="LO321" s="168"/>
      <c r="LP321" s="606"/>
      <c r="LQ321" s="609"/>
      <c r="LR321" s="1319"/>
      <c r="LS321" s="1319"/>
    </row>
    <row r="322" spans="1:331" s="2" customFormat="1" ht="15" customHeight="1" x14ac:dyDescent="0.25">
      <c r="A322" s="283"/>
      <c r="B322" s="303"/>
      <c r="C322" s="301"/>
      <c r="D322" s="1287"/>
      <c r="E322" s="2298"/>
      <c r="F322" s="1812"/>
      <c r="G322" s="3342"/>
      <c r="H322" s="66"/>
      <c r="I322" s="1746"/>
      <c r="J322" s="1214"/>
      <c r="K322" s="105"/>
      <c r="L322" s="91"/>
      <c r="M322" s="92"/>
      <c r="N322" s="93"/>
      <c r="O322" s="94"/>
      <c r="P322" s="96"/>
      <c r="Q322" s="95"/>
      <c r="R322" s="993">
        <f t="shared" si="1039"/>
        <v>0</v>
      </c>
      <c r="S322" s="23">
        <f t="shared" si="1040"/>
        <v>0</v>
      </c>
      <c r="T322" s="24">
        <f t="shared" si="1071"/>
        <v>0</v>
      </c>
      <c r="U322" s="24">
        <f t="shared" si="1072"/>
        <v>0</v>
      </c>
      <c r="V322" s="24">
        <f t="shared" si="1073"/>
        <v>0</v>
      </c>
      <c r="W322" s="24">
        <f t="shared" ca="1" si="1074"/>
        <v>0</v>
      </c>
      <c r="X322" s="72">
        <f t="shared" ca="1" si="1119"/>
        <v>0</v>
      </c>
      <c r="Y322" s="72">
        <f t="shared" si="1075"/>
        <v>0</v>
      </c>
      <c r="Z322" s="24">
        <f t="shared" si="1076"/>
        <v>0</v>
      </c>
      <c r="AA322" s="72">
        <f t="shared" si="1120"/>
        <v>0</v>
      </c>
      <c r="AB322" s="24">
        <f t="shared" si="1131"/>
        <v>0</v>
      </c>
      <c r="AC322" s="24">
        <f t="shared" ca="1" si="1077"/>
        <v>0</v>
      </c>
      <c r="AD322" s="24">
        <f t="shared" si="1049"/>
        <v>0</v>
      </c>
      <c r="AE322" s="2078">
        <f t="shared" si="1125"/>
        <v>3</v>
      </c>
      <c r="AF322" s="2078">
        <f t="shared" si="1126"/>
        <v>0</v>
      </c>
      <c r="AG322" s="2078">
        <f t="shared" si="1127"/>
        <v>0</v>
      </c>
      <c r="AH322" s="2521">
        <f t="shared" si="1050"/>
        <v>1</v>
      </c>
      <c r="AI322" s="25" t="str">
        <f t="shared" si="1078"/>
        <v/>
      </c>
      <c r="AJ322" s="2521">
        <f t="shared" ca="1" si="1045"/>
        <v>0</v>
      </c>
      <c r="AK322" s="2076">
        <f t="shared" ca="1" si="1041"/>
        <v>0</v>
      </c>
      <c r="AL322" s="2078">
        <f>IF(ISBLANK(J322),0,ISERROR(MATCH(J322,'5  Control Accounts'!$FA$29:$FA$96,0))*1)</f>
        <v>0</v>
      </c>
      <c r="AM322" s="2076">
        <f t="shared" si="1079"/>
        <v>0</v>
      </c>
      <c r="AN322" s="2078">
        <f t="shared" si="1080"/>
        <v>1</v>
      </c>
      <c r="AO322" s="2079">
        <f t="shared" si="1051"/>
        <v>1</v>
      </c>
      <c r="AP322" s="2079">
        <f t="shared" si="1052"/>
        <v>0</v>
      </c>
      <c r="AQ322" s="2079">
        <f t="shared" si="1053"/>
        <v>0</v>
      </c>
      <c r="AR322" s="2079">
        <f t="shared" si="1054"/>
        <v>0</v>
      </c>
      <c r="AS322" s="2079">
        <f t="shared" si="1055"/>
        <v>0</v>
      </c>
      <c r="AT322" s="2079">
        <f t="shared" si="1056"/>
        <v>0</v>
      </c>
      <c r="AU322" s="2079">
        <f t="shared" si="1057"/>
        <v>0</v>
      </c>
      <c r="AV322" s="2079">
        <f t="shared" si="1058"/>
        <v>0</v>
      </c>
      <c r="AW322" s="2079">
        <f t="shared" si="1059"/>
        <v>0</v>
      </c>
      <c r="AX322" s="2079">
        <f t="shared" si="1060"/>
        <v>0</v>
      </c>
      <c r="AY322" s="2078">
        <f t="shared" si="1081"/>
        <v>0</v>
      </c>
      <c r="AZ322" s="2078">
        <f t="shared" si="1082"/>
        <v>0</v>
      </c>
      <c r="BA322" s="2078">
        <f t="shared" si="1083"/>
        <v>0</v>
      </c>
      <c r="BB322" s="2078">
        <f t="shared" si="1084"/>
        <v>0</v>
      </c>
      <c r="BC322" s="2078">
        <f t="shared" si="1085"/>
        <v>0</v>
      </c>
      <c r="BD322" s="2078">
        <f t="shared" si="1086"/>
        <v>0</v>
      </c>
      <c r="BE322" s="2078">
        <f t="shared" si="1087"/>
        <v>0</v>
      </c>
      <c r="BF322" s="2078">
        <f t="shared" si="1088"/>
        <v>0</v>
      </c>
      <c r="BG322" s="2078">
        <f t="shared" si="1089"/>
        <v>0</v>
      </c>
      <c r="BH322" s="2078">
        <f t="shared" si="1090"/>
        <v>0</v>
      </c>
      <c r="BI322" s="2078">
        <f t="shared" si="1091"/>
        <v>0</v>
      </c>
      <c r="BJ322" s="2078">
        <f t="shared" si="1092"/>
        <v>0</v>
      </c>
      <c r="BK322" s="2078">
        <f t="shared" si="1093"/>
        <v>0</v>
      </c>
      <c r="BL322" s="2078">
        <f t="shared" si="1094"/>
        <v>0</v>
      </c>
      <c r="BM322" s="2078">
        <f t="shared" si="1095"/>
        <v>0</v>
      </c>
      <c r="BN322" s="2078">
        <f t="shared" si="1096"/>
        <v>0</v>
      </c>
      <c r="BO322" s="2078">
        <f t="shared" si="1097"/>
        <v>0</v>
      </c>
      <c r="BP322" s="2078">
        <f t="shared" si="1098"/>
        <v>0</v>
      </c>
      <c r="BQ322" s="2078">
        <f t="shared" si="1099"/>
        <v>0</v>
      </c>
      <c r="BR322" s="2078">
        <f t="shared" si="1100"/>
        <v>0</v>
      </c>
      <c r="BS322" s="2079">
        <f t="shared" si="1061"/>
        <v>1</v>
      </c>
      <c r="BT322" s="2079">
        <f t="shared" si="1062"/>
        <v>0</v>
      </c>
      <c r="BU322" s="2079">
        <f t="shared" si="1063"/>
        <v>0</v>
      </c>
      <c r="BV322" s="2079">
        <f t="shared" si="1064"/>
        <v>0</v>
      </c>
      <c r="BW322" s="2079">
        <f t="shared" si="1065"/>
        <v>0</v>
      </c>
      <c r="BX322" s="2079">
        <f t="shared" si="1066"/>
        <v>0</v>
      </c>
      <c r="BY322" s="2079">
        <f t="shared" si="1067"/>
        <v>0</v>
      </c>
      <c r="BZ322" s="2079">
        <f t="shared" si="1068"/>
        <v>0</v>
      </c>
      <c r="CA322" s="2079">
        <f t="shared" si="1069"/>
        <v>0</v>
      </c>
      <c r="CB322" s="2079">
        <f t="shared" si="1070"/>
        <v>0</v>
      </c>
      <c r="CC322" s="2078">
        <f t="shared" ca="1" si="1101"/>
        <v>0</v>
      </c>
      <c r="CD322" s="2078">
        <f t="shared" ca="1" si="1102"/>
        <v>0</v>
      </c>
      <c r="CE322" s="2078">
        <f t="shared" ca="1" si="1103"/>
        <v>0</v>
      </c>
      <c r="CF322" s="2078">
        <f t="shared" ca="1" si="1104"/>
        <v>0</v>
      </c>
      <c r="CG322" s="2078">
        <f t="shared" ca="1" si="1105"/>
        <v>0</v>
      </c>
      <c r="CH322" s="2078">
        <f t="shared" ca="1" si="1106"/>
        <v>0</v>
      </c>
      <c r="CI322" s="2078">
        <f t="shared" ca="1" si="1107"/>
        <v>0</v>
      </c>
      <c r="CJ322" s="2078">
        <f t="shared" ca="1" si="1108"/>
        <v>0</v>
      </c>
      <c r="CK322" s="2078">
        <f t="shared" ca="1" si="1109"/>
        <v>0</v>
      </c>
      <c r="CL322" s="2078">
        <f t="shared" ca="1" si="1110"/>
        <v>0</v>
      </c>
      <c r="CM322" s="2078">
        <f t="shared" si="1132"/>
        <v>1</v>
      </c>
      <c r="CN322" s="2078">
        <f t="shared" si="1133"/>
        <v>1</v>
      </c>
      <c r="CO322" s="2078">
        <f t="shared" si="1121"/>
        <v>1</v>
      </c>
      <c r="CP322" s="2078">
        <f t="shared" si="1111"/>
        <v>1</v>
      </c>
      <c r="CQ322" s="2078">
        <f t="shared" si="1122"/>
        <v>0</v>
      </c>
      <c r="CR322" s="2078">
        <f t="shared" si="1042"/>
        <v>0</v>
      </c>
      <c r="CS322" s="2078">
        <f t="shared" si="1112"/>
        <v>0</v>
      </c>
      <c r="CT322" s="2078">
        <f t="shared" si="1123"/>
        <v>1</v>
      </c>
      <c r="CU322" s="2078">
        <f t="shared" si="1113"/>
        <v>1</v>
      </c>
      <c r="CV322" s="2078">
        <f t="shared" si="1134"/>
        <v>0</v>
      </c>
      <c r="CW322" s="2078">
        <f>IF(OR(AE322&lt;&gt;3,F322="Exclude"),0,IF(ISERROR(MATCH($E322,'4 Sign-off'!$S$123:$X$123,0)),0,1))</f>
        <v>0</v>
      </c>
      <c r="CX322" s="2078">
        <f t="shared" si="1046"/>
        <v>0</v>
      </c>
      <c r="CY322" s="2078">
        <f t="shared" si="1135"/>
        <v>0</v>
      </c>
      <c r="CZ322" s="2993">
        <f t="shared" ca="1" si="1043"/>
        <v>0</v>
      </c>
      <c r="DA322" s="3037">
        <f t="shared" ca="1" si="1044"/>
        <v>0</v>
      </c>
      <c r="DB322" s="1664"/>
      <c r="DC322" s="1320"/>
      <c r="DD322" s="589"/>
      <c r="DE322" s="1321"/>
      <c r="DF322" s="107"/>
      <c r="DG322" s="112"/>
      <c r="DH322" s="140"/>
      <c r="DI322" s="22"/>
      <c r="DJ322" s="145"/>
      <c r="DK322" s="137"/>
      <c r="DL322" s="137"/>
      <c r="DM322" s="137"/>
      <c r="DN322" s="137"/>
      <c r="DO322" s="137"/>
      <c r="DP322" s="137"/>
      <c r="DQ322" s="137"/>
      <c r="DR322" s="137"/>
      <c r="DS322" s="137"/>
      <c r="DT322" s="137"/>
      <c r="DU322" s="137"/>
      <c r="DV322" s="137"/>
      <c r="DW322" s="137"/>
      <c r="DX322" s="137"/>
      <c r="DY322" s="137"/>
      <c r="DZ322" s="137"/>
      <c r="EA322" s="137"/>
      <c r="EB322" s="137"/>
      <c r="EC322" s="137"/>
      <c r="ED322" s="137"/>
      <c r="EE322" s="137"/>
      <c r="EF322" s="137"/>
      <c r="EG322" s="137"/>
      <c r="EH322" s="137"/>
      <c r="EI322" s="137"/>
      <c r="EJ322" s="137"/>
      <c r="EK322" s="137"/>
      <c r="EL322" s="137"/>
      <c r="EM322" s="137"/>
      <c r="EN322" s="137"/>
      <c r="EO322" s="137"/>
      <c r="EP322" s="137"/>
      <c r="EQ322" s="137"/>
      <c r="ER322" s="137"/>
      <c r="ES322" s="137"/>
      <c r="ET322" s="137"/>
      <c r="EU322" s="137"/>
      <c r="EV322" s="137"/>
      <c r="EW322" s="137"/>
      <c r="EX322" s="137"/>
      <c r="EY322" s="137"/>
      <c r="EZ322" s="137"/>
      <c r="FA322" s="137"/>
      <c r="FB322" s="137"/>
      <c r="FC322" s="137"/>
      <c r="FD322" s="137"/>
      <c r="FE322" s="137"/>
      <c r="FF322" s="137"/>
      <c r="FG322" s="860"/>
      <c r="FH322" s="863"/>
      <c r="FI322" s="1318"/>
      <c r="FJ322" s="126"/>
      <c r="FK322" s="127"/>
      <c r="FL322" s="128" t="str">
        <f t="shared" si="1114"/>
        <v xml:space="preserve">    </v>
      </c>
      <c r="FM322" s="128"/>
      <c r="FN322" s="1686">
        <f t="shared" si="1115"/>
        <v>0</v>
      </c>
      <c r="FO322" s="46">
        <f t="shared" si="1136"/>
        <v>0</v>
      </c>
      <c r="FP322" s="46">
        <f t="shared" ref="FP322" si="1141">IFERROR(1/FQ322,1)</f>
        <v>1</v>
      </c>
      <c r="FQ322" s="75">
        <f t="shared" si="1116"/>
        <v>0</v>
      </c>
      <c r="FR322" s="46">
        <f t="shared" si="1128"/>
        <v>0</v>
      </c>
      <c r="FS322" s="46">
        <f t="shared" si="1129"/>
        <v>1</v>
      </c>
      <c r="FT322" s="75">
        <f t="shared" si="1117"/>
        <v>0</v>
      </c>
      <c r="FU322" s="2603">
        <f t="shared" si="1137"/>
        <v>0</v>
      </c>
      <c r="FV322" s="2607">
        <f t="shared" si="1138"/>
        <v>0</v>
      </c>
      <c r="FW322" s="2603">
        <f t="shared" si="1139"/>
        <v>0</v>
      </c>
      <c r="FX322" s="2631">
        <f t="shared" si="1140"/>
        <v>0</v>
      </c>
      <c r="FY322" s="81" t="e">
        <f t="shared" si="1130"/>
        <v>#N/A</v>
      </c>
      <c r="FZ322" s="64" t="e">
        <f t="array" ref="FZ322">MATCH(1,($GT322:$LQ322&gt;0)*$GT$25:$LQ$25,0)</f>
        <v>#N/A</v>
      </c>
      <c r="GA322" s="64" t="e">
        <f t="array" ref="GA322">MATCH(2,1/(GT322:LQ322&gt;0))</f>
        <v>#N/A</v>
      </c>
      <c r="GB322" s="64">
        <f t="shared" si="1118"/>
        <v>-1</v>
      </c>
      <c r="GC322" s="46"/>
      <c r="GD322" s="613"/>
      <c r="GE322" s="613"/>
      <c r="GF322" s="613"/>
      <c r="GG322" s="613"/>
      <c r="GH322" s="613"/>
      <c r="GI322" s="613"/>
      <c r="GJ322" s="613"/>
      <c r="GK322" s="613"/>
      <c r="GL322" s="613"/>
      <c r="GM322" s="613"/>
      <c r="GN322" s="385">
        <f t="shared" si="1047"/>
        <v>0</v>
      </c>
      <c r="GO322" s="386">
        <f t="shared" si="1048"/>
        <v>0</v>
      </c>
      <c r="GP322" s="2635"/>
      <c r="GQ322" s="175"/>
      <c r="GR322" s="172"/>
      <c r="GS322" s="65"/>
      <c r="GT322" s="167"/>
      <c r="GU322" s="168"/>
      <c r="GV322" s="168"/>
      <c r="GW322" s="168"/>
      <c r="GX322" s="168"/>
      <c r="GY322" s="168"/>
      <c r="GZ322" s="168"/>
      <c r="HA322" s="168"/>
      <c r="HB322" s="168"/>
      <c r="HC322" s="168"/>
      <c r="HD322" s="168"/>
      <c r="HE322" s="168"/>
      <c r="HF322" s="168"/>
      <c r="HG322" s="168"/>
      <c r="HH322" s="168"/>
      <c r="HI322" s="168"/>
      <c r="HJ322" s="168"/>
      <c r="HK322" s="168"/>
      <c r="HL322" s="168"/>
      <c r="HM322" s="168"/>
      <c r="HN322" s="168"/>
      <c r="HO322" s="168"/>
      <c r="HP322" s="168"/>
      <c r="HQ322" s="168"/>
      <c r="HR322" s="168"/>
      <c r="HS322" s="168"/>
      <c r="HT322" s="168"/>
      <c r="HU322" s="168"/>
      <c r="HV322" s="168"/>
      <c r="HW322" s="168"/>
      <c r="HX322" s="168"/>
      <c r="HY322" s="168"/>
      <c r="HZ322" s="168"/>
      <c r="IA322" s="168"/>
      <c r="IB322" s="168"/>
      <c r="IC322" s="168"/>
      <c r="ID322" s="168"/>
      <c r="IE322" s="168"/>
      <c r="IF322" s="168"/>
      <c r="IG322" s="168"/>
      <c r="IH322" s="168"/>
      <c r="II322" s="168"/>
      <c r="IJ322" s="168"/>
      <c r="IK322" s="168"/>
      <c r="IL322" s="168"/>
      <c r="IM322" s="168"/>
      <c r="IN322" s="168"/>
      <c r="IO322" s="168"/>
      <c r="IP322" s="168"/>
      <c r="IQ322" s="168"/>
      <c r="IR322" s="168"/>
      <c r="IS322" s="168"/>
      <c r="IT322" s="168"/>
      <c r="IU322" s="168"/>
      <c r="IV322" s="168"/>
      <c r="IW322" s="168"/>
      <c r="IX322" s="168"/>
      <c r="IY322" s="168"/>
      <c r="IZ322" s="168"/>
      <c r="JA322" s="168"/>
      <c r="JB322" s="168"/>
      <c r="JC322" s="168"/>
      <c r="JD322" s="168"/>
      <c r="JE322" s="168"/>
      <c r="JF322" s="168"/>
      <c r="JG322" s="168"/>
      <c r="JH322" s="168"/>
      <c r="JI322" s="168"/>
      <c r="JJ322" s="168"/>
      <c r="JK322" s="168"/>
      <c r="JL322" s="168"/>
      <c r="JM322" s="168"/>
      <c r="JN322" s="168"/>
      <c r="JO322" s="168"/>
      <c r="JP322" s="168"/>
      <c r="JQ322" s="168"/>
      <c r="JR322" s="168"/>
      <c r="JS322" s="168"/>
      <c r="JT322" s="168"/>
      <c r="JU322" s="168"/>
      <c r="JV322" s="168"/>
      <c r="JW322" s="168"/>
      <c r="JX322" s="168"/>
      <c r="JY322" s="168"/>
      <c r="JZ322" s="168"/>
      <c r="KA322" s="168"/>
      <c r="KB322" s="168"/>
      <c r="KC322" s="168"/>
      <c r="KD322" s="168"/>
      <c r="KE322" s="168"/>
      <c r="KF322" s="168"/>
      <c r="KG322" s="168"/>
      <c r="KH322" s="168"/>
      <c r="KI322" s="168"/>
      <c r="KJ322" s="168"/>
      <c r="KK322" s="168"/>
      <c r="KL322" s="168"/>
      <c r="KM322" s="168"/>
      <c r="KN322" s="168"/>
      <c r="KO322" s="168"/>
      <c r="KP322" s="168"/>
      <c r="KQ322" s="168"/>
      <c r="KR322" s="168"/>
      <c r="KS322" s="168"/>
      <c r="KT322" s="168"/>
      <c r="KU322" s="168"/>
      <c r="KV322" s="168"/>
      <c r="KW322" s="168"/>
      <c r="KX322" s="168"/>
      <c r="KY322" s="168"/>
      <c r="KZ322" s="168"/>
      <c r="LA322" s="168"/>
      <c r="LB322" s="168"/>
      <c r="LC322" s="168"/>
      <c r="LD322" s="168"/>
      <c r="LE322" s="168"/>
      <c r="LF322" s="168"/>
      <c r="LG322" s="168"/>
      <c r="LH322" s="168"/>
      <c r="LI322" s="168"/>
      <c r="LJ322" s="168"/>
      <c r="LK322" s="168"/>
      <c r="LL322" s="168"/>
      <c r="LM322" s="168"/>
      <c r="LN322" s="168"/>
      <c r="LO322" s="168"/>
      <c r="LP322" s="606"/>
      <c r="LQ322" s="609"/>
      <c r="LR322" s="1319"/>
      <c r="LS322" s="1319"/>
    </row>
    <row r="323" spans="1:331" s="2" customFormat="1" ht="15" customHeight="1" x14ac:dyDescent="0.25">
      <c r="A323" s="283"/>
      <c r="B323" s="303"/>
      <c r="C323" s="301"/>
      <c r="D323" s="1287"/>
      <c r="E323" s="2298"/>
      <c r="F323" s="1812"/>
      <c r="G323" s="3342"/>
      <c r="H323" s="66"/>
      <c r="I323" s="1746"/>
      <c r="J323" s="1214"/>
      <c r="K323" s="105"/>
      <c r="L323" s="91"/>
      <c r="M323" s="92"/>
      <c r="N323" s="93"/>
      <c r="O323" s="94"/>
      <c r="P323" s="96"/>
      <c r="Q323" s="95"/>
      <c r="R323" s="993">
        <f t="shared" si="1039"/>
        <v>0</v>
      </c>
      <c r="S323" s="23">
        <f t="shared" si="1040"/>
        <v>0</v>
      </c>
      <c r="T323" s="24">
        <f t="shared" si="1071"/>
        <v>0</v>
      </c>
      <c r="U323" s="24">
        <f t="shared" si="1072"/>
        <v>0</v>
      </c>
      <c r="V323" s="24">
        <f t="shared" si="1073"/>
        <v>0</v>
      </c>
      <c r="W323" s="24">
        <f t="shared" ca="1" si="1074"/>
        <v>0</v>
      </c>
      <c r="X323" s="72">
        <f t="shared" ca="1" si="1119"/>
        <v>0</v>
      </c>
      <c r="Y323" s="72">
        <f t="shared" si="1075"/>
        <v>0</v>
      </c>
      <c r="Z323" s="24">
        <f t="shared" si="1076"/>
        <v>0</v>
      </c>
      <c r="AA323" s="72">
        <f t="shared" si="1120"/>
        <v>0</v>
      </c>
      <c r="AB323" s="24">
        <f t="shared" si="1131"/>
        <v>0</v>
      </c>
      <c r="AC323" s="24">
        <f t="shared" ca="1" si="1077"/>
        <v>0</v>
      </c>
      <c r="AD323" s="24">
        <f t="shared" si="1049"/>
        <v>0</v>
      </c>
      <c r="AE323" s="2078">
        <f t="shared" si="1125"/>
        <v>3</v>
      </c>
      <c r="AF323" s="2078">
        <f t="shared" si="1126"/>
        <v>0</v>
      </c>
      <c r="AG323" s="2078">
        <f t="shared" si="1127"/>
        <v>0</v>
      </c>
      <c r="AH323" s="2521">
        <f t="shared" si="1050"/>
        <v>1</v>
      </c>
      <c r="AI323" s="25" t="str">
        <f t="shared" si="1078"/>
        <v/>
      </c>
      <c r="AJ323" s="2521">
        <f t="shared" ca="1" si="1045"/>
        <v>0</v>
      </c>
      <c r="AK323" s="2076">
        <f t="shared" ca="1" si="1041"/>
        <v>0</v>
      </c>
      <c r="AL323" s="2078">
        <f>IF(ISBLANK(J323),0,ISERROR(MATCH(J323,'5  Control Accounts'!$FA$29:$FA$96,0))*1)</f>
        <v>0</v>
      </c>
      <c r="AM323" s="2076">
        <f t="shared" si="1079"/>
        <v>0</v>
      </c>
      <c r="AN323" s="2078">
        <f t="shared" si="1080"/>
        <v>1</v>
      </c>
      <c r="AO323" s="2079">
        <f t="shared" si="1051"/>
        <v>1</v>
      </c>
      <c r="AP323" s="2079">
        <f t="shared" si="1052"/>
        <v>0</v>
      </c>
      <c r="AQ323" s="2079">
        <f t="shared" si="1053"/>
        <v>0</v>
      </c>
      <c r="AR323" s="2079">
        <f t="shared" si="1054"/>
        <v>0</v>
      </c>
      <c r="AS323" s="2079">
        <f t="shared" si="1055"/>
        <v>0</v>
      </c>
      <c r="AT323" s="2079">
        <f t="shared" si="1056"/>
        <v>0</v>
      </c>
      <c r="AU323" s="2079">
        <f t="shared" si="1057"/>
        <v>0</v>
      </c>
      <c r="AV323" s="2079">
        <f t="shared" si="1058"/>
        <v>0</v>
      </c>
      <c r="AW323" s="2079">
        <f t="shared" si="1059"/>
        <v>0</v>
      </c>
      <c r="AX323" s="2079">
        <f t="shared" si="1060"/>
        <v>0</v>
      </c>
      <c r="AY323" s="2078">
        <f t="shared" si="1081"/>
        <v>0</v>
      </c>
      <c r="AZ323" s="2078">
        <f t="shared" si="1082"/>
        <v>0</v>
      </c>
      <c r="BA323" s="2078">
        <f t="shared" si="1083"/>
        <v>0</v>
      </c>
      <c r="BB323" s="2078">
        <f t="shared" si="1084"/>
        <v>0</v>
      </c>
      <c r="BC323" s="2078">
        <f t="shared" si="1085"/>
        <v>0</v>
      </c>
      <c r="BD323" s="2078">
        <f t="shared" si="1086"/>
        <v>0</v>
      </c>
      <c r="BE323" s="2078">
        <f t="shared" si="1087"/>
        <v>0</v>
      </c>
      <c r="BF323" s="2078">
        <f t="shared" si="1088"/>
        <v>0</v>
      </c>
      <c r="BG323" s="2078">
        <f t="shared" si="1089"/>
        <v>0</v>
      </c>
      <c r="BH323" s="2078">
        <f t="shared" si="1090"/>
        <v>0</v>
      </c>
      <c r="BI323" s="2078">
        <f t="shared" si="1091"/>
        <v>0</v>
      </c>
      <c r="BJ323" s="2078">
        <f t="shared" si="1092"/>
        <v>0</v>
      </c>
      <c r="BK323" s="2078">
        <f t="shared" si="1093"/>
        <v>0</v>
      </c>
      <c r="BL323" s="2078">
        <f t="shared" si="1094"/>
        <v>0</v>
      </c>
      <c r="BM323" s="2078">
        <f t="shared" si="1095"/>
        <v>0</v>
      </c>
      <c r="BN323" s="2078">
        <f t="shared" si="1096"/>
        <v>0</v>
      </c>
      <c r="BO323" s="2078">
        <f t="shared" si="1097"/>
        <v>0</v>
      </c>
      <c r="BP323" s="2078">
        <f t="shared" si="1098"/>
        <v>0</v>
      </c>
      <c r="BQ323" s="2078">
        <f t="shared" si="1099"/>
        <v>0</v>
      </c>
      <c r="BR323" s="2078">
        <f t="shared" si="1100"/>
        <v>0</v>
      </c>
      <c r="BS323" s="2079">
        <f t="shared" si="1061"/>
        <v>1</v>
      </c>
      <c r="BT323" s="2079">
        <f t="shared" si="1062"/>
        <v>0</v>
      </c>
      <c r="BU323" s="2079">
        <f t="shared" si="1063"/>
        <v>0</v>
      </c>
      <c r="BV323" s="2079">
        <f t="shared" si="1064"/>
        <v>0</v>
      </c>
      <c r="BW323" s="2079">
        <f t="shared" si="1065"/>
        <v>0</v>
      </c>
      <c r="BX323" s="2079">
        <f t="shared" si="1066"/>
        <v>0</v>
      </c>
      <c r="BY323" s="2079">
        <f t="shared" si="1067"/>
        <v>0</v>
      </c>
      <c r="BZ323" s="2079">
        <f t="shared" si="1068"/>
        <v>0</v>
      </c>
      <c r="CA323" s="2079">
        <f t="shared" si="1069"/>
        <v>0</v>
      </c>
      <c r="CB323" s="2079">
        <f t="shared" si="1070"/>
        <v>0</v>
      </c>
      <c r="CC323" s="2078">
        <f t="shared" ca="1" si="1101"/>
        <v>0</v>
      </c>
      <c r="CD323" s="2078">
        <f t="shared" ca="1" si="1102"/>
        <v>0</v>
      </c>
      <c r="CE323" s="2078">
        <f t="shared" ca="1" si="1103"/>
        <v>0</v>
      </c>
      <c r="CF323" s="2078">
        <f t="shared" ca="1" si="1104"/>
        <v>0</v>
      </c>
      <c r="CG323" s="2078">
        <f t="shared" ca="1" si="1105"/>
        <v>0</v>
      </c>
      <c r="CH323" s="2078">
        <f t="shared" ca="1" si="1106"/>
        <v>0</v>
      </c>
      <c r="CI323" s="2078">
        <f t="shared" ca="1" si="1107"/>
        <v>0</v>
      </c>
      <c r="CJ323" s="2078">
        <f t="shared" ca="1" si="1108"/>
        <v>0</v>
      </c>
      <c r="CK323" s="2078">
        <f t="shared" ca="1" si="1109"/>
        <v>0</v>
      </c>
      <c r="CL323" s="2078">
        <f t="shared" ca="1" si="1110"/>
        <v>0</v>
      </c>
      <c r="CM323" s="2078">
        <f t="shared" si="1132"/>
        <v>1</v>
      </c>
      <c r="CN323" s="2078">
        <f t="shared" si="1133"/>
        <v>1</v>
      </c>
      <c r="CO323" s="2078">
        <f t="shared" si="1121"/>
        <v>1</v>
      </c>
      <c r="CP323" s="2078">
        <f t="shared" si="1111"/>
        <v>1</v>
      </c>
      <c r="CQ323" s="2078">
        <f t="shared" si="1122"/>
        <v>0</v>
      </c>
      <c r="CR323" s="2078">
        <f t="shared" si="1042"/>
        <v>0</v>
      </c>
      <c r="CS323" s="2078">
        <f t="shared" si="1112"/>
        <v>0</v>
      </c>
      <c r="CT323" s="2078">
        <f t="shared" si="1123"/>
        <v>1</v>
      </c>
      <c r="CU323" s="2078">
        <f t="shared" si="1113"/>
        <v>1</v>
      </c>
      <c r="CV323" s="2078">
        <f t="shared" si="1134"/>
        <v>0</v>
      </c>
      <c r="CW323" s="2078">
        <f>IF(OR(AE323&lt;&gt;3,F323="Exclude"),0,IF(ISERROR(MATCH($E323,'4 Sign-off'!$S$123:$X$123,0)),0,1))</f>
        <v>0</v>
      </c>
      <c r="CX323" s="2078">
        <f t="shared" si="1046"/>
        <v>0</v>
      </c>
      <c r="CY323" s="2078">
        <f t="shared" si="1135"/>
        <v>0</v>
      </c>
      <c r="CZ323" s="2993">
        <f t="shared" ca="1" si="1043"/>
        <v>0</v>
      </c>
      <c r="DA323" s="3037">
        <f t="shared" ca="1" si="1044"/>
        <v>0</v>
      </c>
      <c r="DB323" s="1664"/>
      <c r="DC323" s="1320"/>
      <c r="DD323" s="589"/>
      <c r="DE323" s="1321"/>
      <c r="DF323" s="107"/>
      <c r="DG323" s="112"/>
      <c r="DH323" s="140"/>
      <c r="DI323" s="22"/>
      <c r="DJ323" s="145"/>
      <c r="DK323" s="137"/>
      <c r="DL323" s="137"/>
      <c r="DM323" s="137"/>
      <c r="DN323" s="137"/>
      <c r="DO323" s="137"/>
      <c r="DP323" s="137"/>
      <c r="DQ323" s="137"/>
      <c r="DR323" s="137"/>
      <c r="DS323" s="137"/>
      <c r="DT323" s="137"/>
      <c r="DU323" s="137"/>
      <c r="DV323" s="137"/>
      <c r="DW323" s="137"/>
      <c r="DX323" s="137"/>
      <c r="DY323" s="137"/>
      <c r="DZ323" s="137"/>
      <c r="EA323" s="137"/>
      <c r="EB323" s="137"/>
      <c r="EC323" s="137"/>
      <c r="ED323" s="137"/>
      <c r="EE323" s="137"/>
      <c r="EF323" s="137"/>
      <c r="EG323" s="137"/>
      <c r="EH323" s="137"/>
      <c r="EI323" s="137"/>
      <c r="EJ323" s="137"/>
      <c r="EK323" s="137"/>
      <c r="EL323" s="137"/>
      <c r="EM323" s="137"/>
      <c r="EN323" s="137"/>
      <c r="EO323" s="137"/>
      <c r="EP323" s="137"/>
      <c r="EQ323" s="137"/>
      <c r="ER323" s="137"/>
      <c r="ES323" s="137"/>
      <c r="ET323" s="137"/>
      <c r="EU323" s="137"/>
      <c r="EV323" s="137"/>
      <c r="EW323" s="137"/>
      <c r="EX323" s="137"/>
      <c r="EY323" s="137"/>
      <c r="EZ323" s="137"/>
      <c r="FA323" s="137"/>
      <c r="FB323" s="137"/>
      <c r="FC323" s="137"/>
      <c r="FD323" s="137"/>
      <c r="FE323" s="137"/>
      <c r="FF323" s="137"/>
      <c r="FG323" s="860"/>
      <c r="FH323" s="863"/>
      <c r="FI323" s="1318"/>
      <c r="FJ323" s="126"/>
      <c r="FK323" s="127"/>
      <c r="FL323" s="128" t="str">
        <f t="shared" si="1114"/>
        <v xml:space="preserve">    </v>
      </c>
      <c r="FM323" s="128"/>
      <c r="FN323" s="1686">
        <f t="shared" si="1115"/>
        <v>0</v>
      </c>
      <c r="FO323" s="46">
        <f t="shared" si="1136"/>
        <v>0</v>
      </c>
      <c r="FP323" s="46">
        <f t="shared" si="1124"/>
        <v>1</v>
      </c>
      <c r="FQ323" s="75">
        <f t="shared" si="1116"/>
        <v>0</v>
      </c>
      <c r="FR323" s="46">
        <f t="shared" si="1128"/>
        <v>0</v>
      </c>
      <c r="FS323" s="46">
        <f t="shared" si="1129"/>
        <v>1</v>
      </c>
      <c r="FT323" s="75">
        <f t="shared" si="1117"/>
        <v>0</v>
      </c>
      <c r="FU323" s="2603">
        <f t="shared" si="1137"/>
        <v>0</v>
      </c>
      <c r="FV323" s="2607">
        <f t="shared" si="1138"/>
        <v>0</v>
      </c>
      <c r="FW323" s="2603">
        <f t="shared" si="1139"/>
        <v>0</v>
      </c>
      <c r="FX323" s="2631">
        <f t="shared" si="1140"/>
        <v>0</v>
      </c>
      <c r="FY323" s="81" t="e">
        <f t="shared" si="1130"/>
        <v>#N/A</v>
      </c>
      <c r="FZ323" s="64" t="e">
        <f t="array" ref="FZ323">MATCH(1,($GT323:$LQ323&gt;0)*$GT$25:$LQ$25,0)</f>
        <v>#N/A</v>
      </c>
      <c r="GA323" s="64" t="e">
        <f t="array" ref="GA323">MATCH(2,1/(GT323:LQ323&gt;0))</f>
        <v>#N/A</v>
      </c>
      <c r="GB323" s="64">
        <f t="shared" si="1118"/>
        <v>-1</v>
      </c>
      <c r="GC323" s="46"/>
      <c r="GD323" s="613"/>
      <c r="GE323" s="613"/>
      <c r="GF323" s="613"/>
      <c r="GG323" s="613"/>
      <c r="GH323" s="613"/>
      <c r="GI323" s="613"/>
      <c r="GJ323" s="613"/>
      <c r="GK323" s="613"/>
      <c r="GL323" s="613"/>
      <c r="GM323" s="613"/>
      <c r="GN323" s="385">
        <f t="shared" si="1047"/>
        <v>0</v>
      </c>
      <c r="GO323" s="386">
        <f t="shared" si="1048"/>
        <v>0</v>
      </c>
      <c r="GP323" s="2635"/>
      <c r="GQ323" s="175"/>
      <c r="GR323" s="172"/>
      <c r="GS323" s="65"/>
      <c r="GT323" s="167"/>
      <c r="GU323" s="168"/>
      <c r="GV323" s="168"/>
      <c r="GW323" s="168"/>
      <c r="GX323" s="168"/>
      <c r="GY323" s="168"/>
      <c r="GZ323" s="168"/>
      <c r="HA323" s="168"/>
      <c r="HB323" s="168"/>
      <c r="HC323" s="168"/>
      <c r="HD323" s="168"/>
      <c r="HE323" s="168"/>
      <c r="HF323" s="168"/>
      <c r="HG323" s="168"/>
      <c r="HH323" s="168"/>
      <c r="HI323" s="168"/>
      <c r="HJ323" s="168"/>
      <c r="HK323" s="168"/>
      <c r="HL323" s="168"/>
      <c r="HM323" s="168"/>
      <c r="HN323" s="168"/>
      <c r="HO323" s="168"/>
      <c r="HP323" s="168"/>
      <c r="HQ323" s="168"/>
      <c r="HR323" s="168"/>
      <c r="HS323" s="168"/>
      <c r="HT323" s="168"/>
      <c r="HU323" s="168"/>
      <c r="HV323" s="168"/>
      <c r="HW323" s="168"/>
      <c r="HX323" s="168"/>
      <c r="HY323" s="168"/>
      <c r="HZ323" s="168"/>
      <c r="IA323" s="168"/>
      <c r="IB323" s="168"/>
      <c r="IC323" s="168"/>
      <c r="ID323" s="168"/>
      <c r="IE323" s="168"/>
      <c r="IF323" s="168"/>
      <c r="IG323" s="168"/>
      <c r="IH323" s="168"/>
      <c r="II323" s="168"/>
      <c r="IJ323" s="168"/>
      <c r="IK323" s="168"/>
      <c r="IL323" s="168"/>
      <c r="IM323" s="168"/>
      <c r="IN323" s="168"/>
      <c r="IO323" s="168"/>
      <c r="IP323" s="168"/>
      <c r="IQ323" s="168"/>
      <c r="IR323" s="168"/>
      <c r="IS323" s="168"/>
      <c r="IT323" s="168"/>
      <c r="IU323" s="168"/>
      <c r="IV323" s="168"/>
      <c r="IW323" s="168"/>
      <c r="IX323" s="168"/>
      <c r="IY323" s="168"/>
      <c r="IZ323" s="168"/>
      <c r="JA323" s="168"/>
      <c r="JB323" s="168"/>
      <c r="JC323" s="168"/>
      <c r="JD323" s="168"/>
      <c r="JE323" s="168"/>
      <c r="JF323" s="168"/>
      <c r="JG323" s="168"/>
      <c r="JH323" s="168"/>
      <c r="JI323" s="168"/>
      <c r="JJ323" s="168"/>
      <c r="JK323" s="168"/>
      <c r="JL323" s="168"/>
      <c r="JM323" s="168"/>
      <c r="JN323" s="168"/>
      <c r="JO323" s="168"/>
      <c r="JP323" s="168"/>
      <c r="JQ323" s="168"/>
      <c r="JR323" s="168"/>
      <c r="JS323" s="168"/>
      <c r="JT323" s="168"/>
      <c r="JU323" s="168"/>
      <c r="JV323" s="168"/>
      <c r="JW323" s="168"/>
      <c r="JX323" s="168"/>
      <c r="JY323" s="168"/>
      <c r="JZ323" s="168"/>
      <c r="KA323" s="168"/>
      <c r="KB323" s="168"/>
      <c r="KC323" s="168"/>
      <c r="KD323" s="168"/>
      <c r="KE323" s="168"/>
      <c r="KF323" s="168"/>
      <c r="KG323" s="168"/>
      <c r="KH323" s="168"/>
      <c r="KI323" s="168"/>
      <c r="KJ323" s="168"/>
      <c r="KK323" s="168"/>
      <c r="KL323" s="168"/>
      <c r="KM323" s="168"/>
      <c r="KN323" s="168"/>
      <c r="KO323" s="168"/>
      <c r="KP323" s="168"/>
      <c r="KQ323" s="168"/>
      <c r="KR323" s="168"/>
      <c r="KS323" s="168"/>
      <c r="KT323" s="168"/>
      <c r="KU323" s="168"/>
      <c r="KV323" s="168"/>
      <c r="KW323" s="168"/>
      <c r="KX323" s="168"/>
      <c r="KY323" s="168"/>
      <c r="KZ323" s="168"/>
      <c r="LA323" s="168"/>
      <c r="LB323" s="168"/>
      <c r="LC323" s="168"/>
      <c r="LD323" s="168"/>
      <c r="LE323" s="168"/>
      <c r="LF323" s="168"/>
      <c r="LG323" s="168"/>
      <c r="LH323" s="168"/>
      <c r="LI323" s="168"/>
      <c r="LJ323" s="168"/>
      <c r="LK323" s="168"/>
      <c r="LL323" s="168"/>
      <c r="LM323" s="168"/>
      <c r="LN323" s="168"/>
      <c r="LO323" s="168"/>
      <c r="LP323" s="606"/>
      <c r="LQ323" s="609"/>
      <c r="LR323" s="1319"/>
      <c r="LS323" s="1319"/>
    </row>
    <row r="324" spans="1:331" s="2" customFormat="1" ht="15" customHeight="1" x14ac:dyDescent="0.25">
      <c r="A324" s="283"/>
      <c r="B324" s="303"/>
      <c r="C324" s="301"/>
      <c r="D324" s="1287"/>
      <c r="E324" s="2298"/>
      <c r="F324" s="1812"/>
      <c r="G324" s="3342"/>
      <c r="H324" s="66"/>
      <c r="I324" s="1746"/>
      <c r="J324" s="1214"/>
      <c r="K324" s="105"/>
      <c r="L324" s="91"/>
      <c r="M324" s="92"/>
      <c r="N324" s="93"/>
      <c r="O324" s="94"/>
      <c r="P324" s="96"/>
      <c r="Q324" s="95"/>
      <c r="R324" s="993">
        <f t="shared" si="1039"/>
        <v>0</v>
      </c>
      <c r="S324" s="23">
        <f t="shared" si="1040"/>
        <v>0</v>
      </c>
      <c r="T324" s="24">
        <f t="shared" si="1071"/>
        <v>0</v>
      </c>
      <c r="U324" s="24">
        <f t="shared" si="1072"/>
        <v>0</v>
      </c>
      <c r="V324" s="24">
        <f t="shared" si="1073"/>
        <v>0</v>
      </c>
      <c r="W324" s="24">
        <f t="shared" ca="1" si="1074"/>
        <v>0</v>
      </c>
      <c r="X324" s="72">
        <f t="shared" ca="1" si="1119"/>
        <v>0</v>
      </c>
      <c r="Y324" s="72">
        <f t="shared" si="1075"/>
        <v>0</v>
      </c>
      <c r="Z324" s="24">
        <f t="shared" si="1076"/>
        <v>0</v>
      </c>
      <c r="AA324" s="72">
        <f t="shared" si="1120"/>
        <v>0</v>
      </c>
      <c r="AB324" s="24">
        <f t="shared" si="1131"/>
        <v>0</v>
      </c>
      <c r="AC324" s="24">
        <f t="shared" ca="1" si="1077"/>
        <v>0</v>
      </c>
      <c r="AD324" s="24">
        <f t="shared" si="1049"/>
        <v>0</v>
      </c>
      <c r="AE324" s="2078">
        <f t="shared" si="1125"/>
        <v>3</v>
      </c>
      <c r="AF324" s="2078">
        <f t="shared" si="1126"/>
        <v>0</v>
      </c>
      <c r="AG324" s="2078">
        <f t="shared" si="1127"/>
        <v>0</v>
      </c>
      <c r="AH324" s="2521">
        <f t="shared" si="1050"/>
        <v>1</v>
      </c>
      <c r="AI324" s="25" t="str">
        <f t="shared" si="1078"/>
        <v/>
      </c>
      <c r="AJ324" s="2521">
        <f t="shared" ca="1" si="1045"/>
        <v>0</v>
      </c>
      <c r="AK324" s="2076">
        <f t="shared" ca="1" si="1041"/>
        <v>0</v>
      </c>
      <c r="AL324" s="2078">
        <f>IF(ISBLANK(J324),0,ISERROR(MATCH(J324,'5  Control Accounts'!$FA$29:$FA$96,0))*1)</f>
        <v>0</v>
      </c>
      <c r="AM324" s="2076">
        <f t="shared" si="1079"/>
        <v>0</v>
      </c>
      <c r="AN324" s="2078">
        <f t="shared" si="1080"/>
        <v>1</v>
      </c>
      <c r="AO324" s="2079">
        <f t="shared" si="1051"/>
        <v>1</v>
      </c>
      <c r="AP324" s="2079">
        <f t="shared" si="1052"/>
        <v>0</v>
      </c>
      <c r="AQ324" s="2079">
        <f t="shared" si="1053"/>
        <v>0</v>
      </c>
      <c r="AR324" s="2079">
        <f t="shared" si="1054"/>
        <v>0</v>
      </c>
      <c r="AS324" s="2079">
        <f t="shared" si="1055"/>
        <v>0</v>
      </c>
      <c r="AT324" s="2079">
        <f t="shared" si="1056"/>
        <v>0</v>
      </c>
      <c r="AU324" s="2079">
        <f t="shared" si="1057"/>
        <v>0</v>
      </c>
      <c r="AV324" s="2079">
        <f t="shared" si="1058"/>
        <v>0</v>
      </c>
      <c r="AW324" s="2079">
        <f t="shared" si="1059"/>
        <v>0</v>
      </c>
      <c r="AX324" s="2079">
        <f t="shared" si="1060"/>
        <v>0</v>
      </c>
      <c r="AY324" s="2078">
        <f t="shared" si="1081"/>
        <v>0</v>
      </c>
      <c r="AZ324" s="2078">
        <f t="shared" si="1082"/>
        <v>0</v>
      </c>
      <c r="BA324" s="2078">
        <f t="shared" si="1083"/>
        <v>0</v>
      </c>
      <c r="BB324" s="2078">
        <f t="shared" si="1084"/>
        <v>0</v>
      </c>
      <c r="BC324" s="2078">
        <f t="shared" si="1085"/>
        <v>0</v>
      </c>
      <c r="BD324" s="2078">
        <f t="shared" si="1086"/>
        <v>0</v>
      </c>
      <c r="BE324" s="2078">
        <f t="shared" si="1087"/>
        <v>0</v>
      </c>
      <c r="BF324" s="2078">
        <f t="shared" si="1088"/>
        <v>0</v>
      </c>
      <c r="BG324" s="2078">
        <f t="shared" si="1089"/>
        <v>0</v>
      </c>
      <c r="BH324" s="2078">
        <f t="shared" si="1090"/>
        <v>0</v>
      </c>
      <c r="BI324" s="2078">
        <f t="shared" si="1091"/>
        <v>0</v>
      </c>
      <c r="BJ324" s="2078">
        <f t="shared" si="1092"/>
        <v>0</v>
      </c>
      <c r="BK324" s="2078">
        <f t="shared" si="1093"/>
        <v>0</v>
      </c>
      <c r="BL324" s="2078">
        <f t="shared" si="1094"/>
        <v>0</v>
      </c>
      <c r="BM324" s="2078">
        <f t="shared" si="1095"/>
        <v>0</v>
      </c>
      <c r="BN324" s="2078">
        <f t="shared" si="1096"/>
        <v>0</v>
      </c>
      <c r="BO324" s="2078">
        <f t="shared" si="1097"/>
        <v>0</v>
      </c>
      <c r="BP324" s="2078">
        <f t="shared" si="1098"/>
        <v>0</v>
      </c>
      <c r="BQ324" s="2078">
        <f t="shared" si="1099"/>
        <v>0</v>
      </c>
      <c r="BR324" s="2078">
        <f t="shared" si="1100"/>
        <v>0</v>
      </c>
      <c r="BS324" s="2079">
        <f t="shared" si="1061"/>
        <v>1</v>
      </c>
      <c r="BT324" s="2079">
        <f t="shared" si="1062"/>
        <v>0</v>
      </c>
      <c r="BU324" s="2079">
        <f t="shared" si="1063"/>
        <v>0</v>
      </c>
      <c r="BV324" s="2079">
        <f t="shared" si="1064"/>
        <v>0</v>
      </c>
      <c r="BW324" s="2079">
        <f t="shared" si="1065"/>
        <v>0</v>
      </c>
      <c r="BX324" s="2079">
        <f t="shared" si="1066"/>
        <v>0</v>
      </c>
      <c r="BY324" s="2079">
        <f t="shared" si="1067"/>
        <v>0</v>
      </c>
      <c r="BZ324" s="2079">
        <f t="shared" si="1068"/>
        <v>0</v>
      </c>
      <c r="CA324" s="2079">
        <f t="shared" si="1069"/>
        <v>0</v>
      </c>
      <c r="CB324" s="2079">
        <f t="shared" si="1070"/>
        <v>0</v>
      </c>
      <c r="CC324" s="2078">
        <f t="shared" ca="1" si="1101"/>
        <v>0</v>
      </c>
      <c r="CD324" s="2078">
        <f t="shared" ca="1" si="1102"/>
        <v>0</v>
      </c>
      <c r="CE324" s="2078">
        <f t="shared" ca="1" si="1103"/>
        <v>0</v>
      </c>
      <c r="CF324" s="2078">
        <f t="shared" ca="1" si="1104"/>
        <v>0</v>
      </c>
      <c r="CG324" s="2078">
        <f t="shared" ca="1" si="1105"/>
        <v>0</v>
      </c>
      <c r="CH324" s="2078">
        <f t="shared" ca="1" si="1106"/>
        <v>0</v>
      </c>
      <c r="CI324" s="2078">
        <f t="shared" ca="1" si="1107"/>
        <v>0</v>
      </c>
      <c r="CJ324" s="2078">
        <f t="shared" ca="1" si="1108"/>
        <v>0</v>
      </c>
      <c r="CK324" s="2078">
        <f t="shared" ca="1" si="1109"/>
        <v>0</v>
      </c>
      <c r="CL324" s="2078">
        <f t="shared" ca="1" si="1110"/>
        <v>0</v>
      </c>
      <c r="CM324" s="2078">
        <f t="shared" si="1132"/>
        <v>1</v>
      </c>
      <c r="CN324" s="2078">
        <f t="shared" si="1133"/>
        <v>1</v>
      </c>
      <c r="CO324" s="2078">
        <f t="shared" si="1121"/>
        <v>1</v>
      </c>
      <c r="CP324" s="2078">
        <f t="shared" si="1111"/>
        <v>1</v>
      </c>
      <c r="CQ324" s="2078">
        <f t="shared" si="1122"/>
        <v>0</v>
      </c>
      <c r="CR324" s="2078">
        <f t="shared" si="1042"/>
        <v>0</v>
      </c>
      <c r="CS324" s="2078">
        <f t="shared" si="1112"/>
        <v>0</v>
      </c>
      <c r="CT324" s="2078">
        <f t="shared" si="1123"/>
        <v>1</v>
      </c>
      <c r="CU324" s="2078">
        <f t="shared" si="1113"/>
        <v>1</v>
      </c>
      <c r="CV324" s="2078">
        <f t="shared" si="1134"/>
        <v>0</v>
      </c>
      <c r="CW324" s="2078">
        <f>IF(OR(AE324&lt;&gt;3,F324="Exclude"),0,IF(ISERROR(MATCH($E324,'4 Sign-off'!$S$123:$X$123,0)),0,1))</f>
        <v>0</v>
      </c>
      <c r="CX324" s="2078">
        <f t="shared" si="1046"/>
        <v>0</v>
      </c>
      <c r="CY324" s="2078">
        <f t="shared" si="1135"/>
        <v>0</v>
      </c>
      <c r="CZ324" s="2993">
        <f t="shared" ca="1" si="1043"/>
        <v>0</v>
      </c>
      <c r="DA324" s="3037">
        <f t="shared" ca="1" si="1044"/>
        <v>0</v>
      </c>
      <c r="DB324" s="1664"/>
      <c r="DC324" s="1320"/>
      <c r="DD324" s="589"/>
      <c r="DE324" s="1321"/>
      <c r="DF324" s="107"/>
      <c r="DG324" s="112"/>
      <c r="DH324" s="140"/>
      <c r="DI324" s="22"/>
      <c r="DJ324" s="145"/>
      <c r="DK324" s="137"/>
      <c r="DL324" s="137"/>
      <c r="DM324" s="137"/>
      <c r="DN324" s="137"/>
      <c r="DO324" s="137"/>
      <c r="DP324" s="137"/>
      <c r="DQ324" s="137"/>
      <c r="DR324" s="137"/>
      <c r="DS324" s="137"/>
      <c r="DT324" s="137"/>
      <c r="DU324" s="137"/>
      <c r="DV324" s="137"/>
      <c r="DW324" s="137"/>
      <c r="DX324" s="137"/>
      <c r="DY324" s="137"/>
      <c r="DZ324" s="137"/>
      <c r="EA324" s="137"/>
      <c r="EB324" s="137"/>
      <c r="EC324" s="137"/>
      <c r="ED324" s="137"/>
      <c r="EE324" s="137"/>
      <c r="EF324" s="137"/>
      <c r="EG324" s="137"/>
      <c r="EH324" s="137"/>
      <c r="EI324" s="137"/>
      <c r="EJ324" s="137"/>
      <c r="EK324" s="137"/>
      <c r="EL324" s="137"/>
      <c r="EM324" s="137"/>
      <c r="EN324" s="137"/>
      <c r="EO324" s="137"/>
      <c r="EP324" s="137"/>
      <c r="EQ324" s="137"/>
      <c r="ER324" s="137"/>
      <c r="ES324" s="137"/>
      <c r="ET324" s="137"/>
      <c r="EU324" s="137"/>
      <c r="EV324" s="137"/>
      <c r="EW324" s="137"/>
      <c r="EX324" s="137"/>
      <c r="EY324" s="137"/>
      <c r="EZ324" s="137"/>
      <c r="FA324" s="137"/>
      <c r="FB324" s="137"/>
      <c r="FC324" s="137"/>
      <c r="FD324" s="137"/>
      <c r="FE324" s="137"/>
      <c r="FF324" s="137"/>
      <c r="FG324" s="860"/>
      <c r="FH324" s="863"/>
      <c r="FI324" s="1318"/>
      <c r="FJ324" s="126"/>
      <c r="FK324" s="127"/>
      <c r="FL324" s="128" t="str">
        <f t="shared" si="1114"/>
        <v xml:space="preserve">    </v>
      </c>
      <c r="FM324" s="128"/>
      <c r="FN324" s="1686">
        <f t="shared" si="1115"/>
        <v>0</v>
      </c>
      <c r="FO324" s="46">
        <f t="shared" si="1136"/>
        <v>0</v>
      </c>
      <c r="FP324" s="46">
        <f t="shared" si="1124"/>
        <v>1</v>
      </c>
      <c r="FQ324" s="75">
        <f t="shared" si="1116"/>
        <v>0</v>
      </c>
      <c r="FR324" s="46">
        <f t="shared" si="1128"/>
        <v>0</v>
      </c>
      <c r="FS324" s="46">
        <f t="shared" si="1129"/>
        <v>1</v>
      </c>
      <c r="FT324" s="75">
        <f t="shared" si="1117"/>
        <v>0</v>
      </c>
      <c r="FU324" s="2603">
        <f t="shared" si="1137"/>
        <v>0</v>
      </c>
      <c r="FV324" s="2607">
        <f t="shared" si="1138"/>
        <v>0</v>
      </c>
      <c r="FW324" s="2603">
        <f t="shared" si="1139"/>
        <v>0</v>
      </c>
      <c r="FX324" s="2631">
        <f t="shared" si="1140"/>
        <v>0</v>
      </c>
      <c r="FY324" s="81" t="e">
        <f t="shared" si="1130"/>
        <v>#N/A</v>
      </c>
      <c r="FZ324" s="64" t="e">
        <f t="array" ref="FZ324">MATCH(1,($GT324:$LQ324&gt;0)*$GT$25:$LQ$25,0)</f>
        <v>#N/A</v>
      </c>
      <c r="GA324" s="64" t="e">
        <f t="array" ref="GA324">MATCH(2,1/(GT324:LQ324&gt;0))</f>
        <v>#N/A</v>
      </c>
      <c r="GB324" s="64">
        <f t="shared" si="1118"/>
        <v>-1</v>
      </c>
      <c r="GC324" s="46"/>
      <c r="GD324" s="613"/>
      <c r="GE324" s="613"/>
      <c r="GF324" s="613"/>
      <c r="GG324" s="613"/>
      <c r="GH324" s="613"/>
      <c r="GI324" s="613"/>
      <c r="GJ324" s="613"/>
      <c r="GK324" s="613"/>
      <c r="GL324" s="613"/>
      <c r="GM324" s="613"/>
      <c r="GN324" s="385">
        <f t="shared" si="1047"/>
        <v>0</v>
      </c>
      <c r="GO324" s="386">
        <f t="shared" si="1048"/>
        <v>0</v>
      </c>
      <c r="GP324" s="2635"/>
      <c r="GQ324" s="175"/>
      <c r="GR324" s="172"/>
      <c r="GS324" s="65"/>
      <c r="GT324" s="167"/>
      <c r="GU324" s="168"/>
      <c r="GV324" s="168"/>
      <c r="GW324" s="168"/>
      <c r="GX324" s="168"/>
      <c r="GY324" s="168"/>
      <c r="GZ324" s="168"/>
      <c r="HA324" s="168"/>
      <c r="HB324" s="168"/>
      <c r="HC324" s="168"/>
      <c r="HD324" s="168"/>
      <c r="HE324" s="168"/>
      <c r="HF324" s="168"/>
      <c r="HG324" s="168"/>
      <c r="HH324" s="168"/>
      <c r="HI324" s="168"/>
      <c r="HJ324" s="168"/>
      <c r="HK324" s="168"/>
      <c r="HL324" s="168"/>
      <c r="HM324" s="168"/>
      <c r="HN324" s="168"/>
      <c r="HO324" s="168"/>
      <c r="HP324" s="168"/>
      <c r="HQ324" s="168"/>
      <c r="HR324" s="168"/>
      <c r="HS324" s="168"/>
      <c r="HT324" s="168"/>
      <c r="HU324" s="168"/>
      <c r="HV324" s="168"/>
      <c r="HW324" s="168"/>
      <c r="HX324" s="168"/>
      <c r="HY324" s="168"/>
      <c r="HZ324" s="168"/>
      <c r="IA324" s="168"/>
      <c r="IB324" s="168"/>
      <c r="IC324" s="168"/>
      <c r="ID324" s="168"/>
      <c r="IE324" s="168"/>
      <c r="IF324" s="168"/>
      <c r="IG324" s="168"/>
      <c r="IH324" s="168"/>
      <c r="II324" s="168"/>
      <c r="IJ324" s="168"/>
      <c r="IK324" s="168"/>
      <c r="IL324" s="168"/>
      <c r="IM324" s="168"/>
      <c r="IN324" s="168"/>
      <c r="IO324" s="168"/>
      <c r="IP324" s="168"/>
      <c r="IQ324" s="168"/>
      <c r="IR324" s="168"/>
      <c r="IS324" s="168"/>
      <c r="IT324" s="168"/>
      <c r="IU324" s="168"/>
      <c r="IV324" s="168"/>
      <c r="IW324" s="168"/>
      <c r="IX324" s="168"/>
      <c r="IY324" s="168"/>
      <c r="IZ324" s="168"/>
      <c r="JA324" s="168"/>
      <c r="JB324" s="168"/>
      <c r="JC324" s="168"/>
      <c r="JD324" s="168"/>
      <c r="JE324" s="168"/>
      <c r="JF324" s="168"/>
      <c r="JG324" s="168"/>
      <c r="JH324" s="168"/>
      <c r="JI324" s="168"/>
      <c r="JJ324" s="168"/>
      <c r="JK324" s="168"/>
      <c r="JL324" s="168"/>
      <c r="JM324" s="168"/>
      <c r="JN324" s="168"/>
      <c r="JO324" s="168"/>
      <c r="JP324" s="168"/>
      <c r="JQ324" s="168"/>
      <c r="JR324" s="168"/>
      <c r="JS324" s="168"/>
      <c r="JT324" s="168"/>
      <c r="JU324" s="168"/>
      <c r="JV324" s="168"/>
      <c r="JW324" s="168"/>
      <c r="JX324" s="168"/>
      <c r="JY324" s="168"/>
      <c r="JZ324" s="168"/>
      <c r="KA324" s="168"/>
      <c r="KB324" s="168"/>
      <c r="KC324" s="168"/>
      <c r="KD324" s="168"/>
      <c r="KE324" s="168"/>
      <c r="KF324" s="168"/>
      <c r="KG324" s="168"/>
      <c r="KH324" s="168"/>
      <c r="KI324" s="168"/>
      <c r="KJ324" s="168"/>
      <c r="KK324" s="168"/>
      <c r="KL324" s="168"/>
      <c r="KM324" s="168"/>
      <c r="KN324" s="168"/>
      <c r="KO324" s="168"/>
      <c r="KP324" s="168"/>
      <c r="KQ324" s="168"/>
      <c r="KR324" s="168"/>
      <c r="KS324" s="168"/>
      <c r="KT324" s="168"/>
      <c r="KU324" s="168"/>
      <c r="KV324" s="168"/>
      <c r="KW324" s="168"/>
      <c r="KX324" s="168"/>
      <c r="KY324" s="168"/>
      <c r="KZ324" s="168"/>
      <c r="LA324" s="168"/>
      <c r="LB324" s="168"/>
      <c r="LC324" s="168"/>
      <c r="LD324" s="168"/>
      <c r="LE324" s="168"/>
      <c r="LF324" s="168"/>
      <c r="LG324" s="168"/>
      <c r="LH324" s="168"/>
      <c r="LI324" s="168"/>
      <c r="LJ324" s="168"/>
      <c r="LK324" s="168"/>
      <c r="LL324" s="168"/>
      <c r="LM324" s="168"/>
      <c r="LN324" s="168"/>
      <c r="LO324" s="168"/>
      <c r="LP324" s="606"/>
      <c r="LQ324" s="609"/>
      <c r="LR324" s="1319"/>
      <c r="LS324" s="1319"/>
    </row>
    <row r="325" spans="1:331" s="2" customFormat="1" ht="15" customHeight="1" x14ac:dyDescent="0.25">
      <c r="A325" s="283"/>
      <c r="B325" s="303"/>
      <c r="C325" s="301"/>
      <c r="D325" s="1287"/>
      <c r="E325" s="2298"/>
      <c r="F325" s="1812"/>
      <c r="G325" s="3342"/>
      <c r="H325" s="66"/>
      <c r="I325" s="1746"/>
      <c r="J325" s="1214"/>
      <c r="K325" s="105"/>
      <c r="L325" s="91"/>
      <c r="M325" s="92"/>
      <c r="N325" s="93"/>
      <c r="O325" s="94"/>
      <c r="P325" s="96"/>
      <c r="Q325" s="95"/>
      <c r="R325" s="993">
        <f t="shared" si="1039"/>
        <v>0</v>
      </c>
      <c r="S325" s="23">
        <f t="shared" si="1040"/>
        <v>0</v>
      </c>
      <c r="T325" s="24">
        <f t="shared" si="1071"/>
        <v>0</v>
      </c>
      <c r="U325" s="24">
        <f t="shared" si="1072"/>
        <v>0</v>
      </c>
      <c r="V325" s="24">
        <f t="shared" si="1073"/>
        <v>0</v>
      </c>
      <c r="W325" s="24">
        <f t="shared" ca="1" si="1074"/>
        <v>0</v>
      </c>
      <c r="X325" s="72">
        <f t="shared" ca="1" si="1119"/>
        <v>0</v>
      </c>
      <c r="Y325" s="72">
        <f t="shared" si="1075"/>
        <v>0</v>
      </c>
      <c r="Z325" s="24">
        <f t="shared" si="1076"/>
        <v>0</v>
      </c>
      <c r="AA325" s="72">
        <f t="shared" si="1120"/>
        <v>0</v>
      </c>
      <c r="AB325" s="24">
        <f t="shared" si="1131"/>
        <v>0</v>
      </c>
      <c r="AC325" s="24">
        <f t="shared" ca="1" si="1077"/>
        <v>0</v>
      </c>
      <c r="AD325" s="24">
        <f t="shared" si="1049"/>
        <v>0</v>
      </c>
      <c r="AE325" s="2078">
        <f t="shared" si="1125"/>
        <v>3</v>
      </c>
      <c r="AF325" s="2078">
        <f t="shared" si="1126"/>
        <v>0</v>
      </c>
      <c r="AG325" s="2078">
        <f t="shared" si="1127"/>
        <v>0</v>
      </c>
      <c r="AH325" s="2521">
        <f t="shared" si="1050"/>
        <v>1</v>
      </c>
      <c r="AI325" s="25" t="str">
        <f t="shared" si="1078"/>
        <v/>
      </c>
      <c r="AJ325" s="2521">
        <f t="shared" ca="1" si="1045"/>
        <v>0</v>
      </c>
      <c r="AK325" s="2076">
        <f t="shared" ca="1" si="1041"/>
        <v>0</v>
      </c>
      <c r="AL325" s="2078">
        <f>IF(ISBLANK(J325),0,ISERROR(MATCH(J325,'5  Control Accounts'!$FA$29:$FA$96,0))*1)</f>
        <v>0</v>
      </c>
      <c r="AM325" s="2076">
        <f t="shared" si="1079"/>
        <v>0</v>
      </c>
      <c r="AN325" s="2078">
        <f t="shared" si="1080"/>
        <v>1</v>
      </c>
      <c r="AO325" s="2079">
        <f t="shared" si="1051"/>
        <v>1</v>
      </c>
      <c r="AP325" s="2079">
        <f t="shared" si="1052"/>
        <v>0</v>
      </c>
      <c r="AQ325" s="2079">
        <f t="shared" si="1053"/>
        <v>0</v>
      </c>
      <c r="AR325" s="2079">
        <f t="shared" si="1054"/>
        <v>0</v>
      </c>
      <c r="AS325" s="2079">
        <f t="shared" si="1055"/>
        <v>0</v>
      </c>
      <c r="AT325" s="2079">
        <f t="shared" si="1056"/>
        <v>0</v>
      </c>
      <c r="AU325" s="2079">
        <f t="shared" si="1057"/>
        <v>0</v>
      </c>
      <c r="AV325" s="2079">
        <f t="shared" si="1058"/>
        <v>0</v>
      </c>
      <c r="AW325" s="2079">
        <f t="shared" si="1059"/>
        <v>0</v>
      </c>
      <c r="AX325" s="2079">
        <f t="shared" si="1060"/>
        <v>0</v>
      </c>
      <c r="AY325" s="2078">
        <f t="shared" si="1081"/>
        <v>0</v>
      </c>
      <c r="AZ325" s="2078">
        <f t="shared" si="1082"/>
        <v>0</v>
      </c>
      <c r="BA325" s="2078">
        <f t="shared" si="1083"/>
        <v>0</v>
      </c>
      <c r="BB325" s="2078">
        <f t="shared" si="1084"/>
        <v>0</v>
      </c>
      <c r="BC325" s="2078">
        <f t="shared" si="1085"/>
        <v>0</v>
      </c>
      <c r="BD325" s="2078">
        <f t="shared" si="1086"/>
        <v>0</v>
      </c>
      <c r="BE325" s="2078">
        <f t="shared" si="1087"/>
        <v>0</v>
      </c>
      <c r="BF325" s="2078">
        <f t="shared" si="1088"/>
        <v>0</v>
      </c>
      <c r="BG325" s="2078">
        <f t="shared" si="1089"/>
        <v>0</v>
      </c>
      <c r="BH325" s="2078">
        <f t="shared" si="1090"/>
        <v>0</v>
      </c>
      <c r="BI325" s="2078">
        <f t="shared" si="1091"/>
        <v>0</v>
      </c>
      <c r="BJ325" s="2078">
        <f t="shared" si="1092"/>
        <v>0</v>
      </c>
      <c r="BK325" s="2078">
        <f t="shared" si="1093"/>
        <v>0</v>
      </c>
      <c r="BL325" s="2078">
        <f t="shared" si="1094"/>
        <v>0</v>
      </c>
      <c r="BM325" s="2078">
        <f t="shared" si="1095"/>
        <v>0</v>
      </c>
      <c r="BN325" s="2078">
        <f t="shared" si="1096"/>
        <v>0</v>
      </c>
      <c r="BO325" s="2078">
        <f t="shared" si="1097"/>
        <v>0</v>
      </c>
      <c r="BP325" s="2078">
        <f t="shared" si="1098"/>
        <v>0</v>
      </c>
      <c r="BQ325" s="2078">
        <f t="shared" si="1099"/>
        <v>0</v>
      </c>
      <c r="BR325" s="2078">
        <f t="shared" si="1100"/>
        <v>0</v>
      </c>
      <c r="BS325" s="2079">
        <f t="shared" si="1061"/>
        <v>1</v>
      </c>
      <c r="BT325" s="2079">
        <f t="shared" si="1062"/>
        <v>0</v>
      </c>
      <c r="BU325" s="2079">
        <f t="shared" si="1063"/>
        <v>0</v>
      </c>
      <c r="BV325" s="2079">
        <f t="shared" si="1064"/>
        <v>0</v>
      </c>
      <c r="BW325" s="2079">
        <f t="shared" si="1065"/>
        <v>0</v>
      </c>
      <c r="BX325" s="2079">
        <f t="shared" si="1066"/>
        <v>0</v>
      </c>
      <c r="BY325" s="2079">
        <f t="shared" si="1067"/>
        <v>0</v>
      </c>
      <c r="BZ325" s="2079">
        <f t="shared" si="1068"/>
        <v>0</v>
      </c>
      <c r="CA325" s="2079">
        <f t="shared" si="1069"/>
        <v>0</v>
      </c>
      <c r="CB325" s="2079">
        <f t="shared" si="1070"/>
        <v>0</v>
      </c>
      <c r="CC325" s="2078">
        <f t="shared" ca="1" si="1101"/>
        <v>0</v>
      </c>
      <c r="CD325" s="2078">
        <f t="shared" ca="1" si="1102"/>
        <v>0</v>
      </c>
      <c r="CE325" s="2078">
        <f t="shared" ca="1" si="1103"/>
        <v>0</v>
      </c>
      <c r="CF325" s="2078">
        <f t="shared" ca="1" si="1104"/>
        <v>0</v>
      </c>
      <c r="CG325" s="2078">
        <f t="shared" ca="1" si="1105"/>
        <v>0</v>
      </c>
      <c r="CH325" s="2078">
        <f t="shared" ca="1" si="1106"/>
        <v>0</v>
      </c>
      <c r="CI325" s="2078">
        <f t="shared" ca="1" si="1107"/>
        <v>0</v>
      </c>
      <c r="CJ325" s="2078">
        <f t="shared" ca="1" si="1108"/>
        <v>0</v>
      </c>
      <c r="CK325" s="2078">
        <f t="shared" ca="1" si="1109"/>
        <v>0</v>
      </c>
      <c r="CL325" s="2078">
        <f t="shared" ca="1" si="1110"/>
        <v>0</v>
      </c>
      <c r="CM325" s="2078">
        <f t="shared" si="1132"/>
        <v>1</v>
      </c>
      <c r="CN325" s="2078">
        <f t="shared" si="1133"/>
        <v>1</v>
      </c>
      <c r="CO325" s="2078">
        <f t="shared" si="1121"/>
        <v>1</v>
      </c>
      <c r="CP325" s="2078">
        <f t="shared" si="1111"/>
        <v>1</v>
      </c>
      <c r="CQ325" s="2078">
        <f t="shared" si="1122"/>
        <v>0</v>
      </c>
      <c r="CR325" s="2078">
        <f t="shared" si="1042"/>
        <v>0</v>
      </c>
      <c r="CS325" s="2078">
        <f t="shared" si="1112"/>
        <v>0</v>
      </c>
      <c r="CT325" s="2078">
        <f t="shared" si="1123"/>
        <v>1</v>
      </c>
      <c r="CU325" s="2078">
        <f t="shared" si="1113"/>
        <v>1</v>
      </c>
      <c r="CV325" s="2078">
        <f t="shared" si="1134"/>
        <v>0</v>
      </c>
      <c r="CW325" s="2078">
        <f>IF(OR(AE325&lt;&gt;3,F325="Exclude"),0,IF(ISERROR(MATCH($E325,'4 Sign-off'!$S$123:$X$123,0)),0,1))</f>
        <v>0</v>
      </c>
      <c r="CX325" s="2078">
        <f t="shared" si="1046"/>
        <v>0</v>
      </c>
      <c r="CY325" s="2078">
        <f t="shared" si="1135"/>
        <v>0</v>
      </c>
      <c r="CZ325" s="2993">
        <f t="shared" ca="1" si="1043"/>
        <v>0</v>
      </c>
      <c r="DA325" s="3037">
        <f t="shared" ca="1" si="1044"/>
        <v>0</v>
      </c>
      <c r="DB325" s="1664"/>
      <c r="DC325" s="1320"/>
      <c r="DD325" s="589"/>
      <c r="DE325" s="1321"/>
      <c r="DF325" s="107"/>
      <c r="DG325" s="112"/>
      <c r="DH325" s="140"/>
      <c r="DI325" s="22"/>
      <c r="DJ325" s="145"/>
      <c r="DK325" s="137"/>
      <c r="DL325" s="137"/>
      <c r="DM325" s="137"/>
      <c r="DN325" s="137"/>
      <c r="DO325" s="137"/>
      <c r="DP325" s="137"/>
      <c r="DQ325" s="137"/>
      <c r="DR325" s="137"/>
      <c r="DS325" s="137"/>
      <c r="DT325" s="137"/>
      <c r="DU325" s="137"/>
      <c r="DV325" s="137"/>
      <c r="DW325" s="137"/>
      <c r="DX325" s="137"/>
      <c r="DY325" s="137"/>
      <c r="DZ325" s="137"/>
      <c r="EA325" s="137"/>
      <c r="EB325" s="137"/>
      <c r="EC325" s="137"/>
      <c r="ED325" s="137"/>
      <c r="EE325" s="137"/>
      <c r="EF325" s="137"/>
      <c r="EG325" s="137"/>
      <c r="EH325" s="137"/>
      <c r="EI325" s="137"/>
      <c r="EJ325" s="137"/>
      <c r="EK325" s="137"/>
      <c r="EL325" s="137"/>
      <c r="EM325" s="137"/>
      <c r="EN325" s="137"/>
      <c r="EO325" s="137"/>
      <c r="EP325" s="137"/>
      <c r="EQ325" s="137"/>
      <c r="ER325" s="137"/>
      <c r="ES325" s="137"/>
      <c r="ET325" s="137"/>
      <c r="EU325" s="137"/>
      <c r="EV325" s="137"/>
      <c r="EW325" s="137"/>
      <c r="EX325" s="137"/>
      <c r="EY325" s="137"/>
      <c r="EZ325" s="137"/>
      <c r="FA325" s="137"/>
      <c r="FB325" s="137"/>
      <c r="FC325" s="137"/>
      <c r="FD325" s="137"/>
      <c r="FE325" s="137"/>
      <c r="FF325" s="137"/>
      <c r="FG325" s="860"/>
      <c r="FH325" s="863"/>
      <c r="FI325" s="1318"/>
      <c r="FJ325" s="126"/>
      <c r="FK325" s="127"/>
      <c r="FL325" s="128" t="str">
        <f t="shared" si="1114"/>
        <v xml:space="preserve">    </v>
      </c>
      <c r="FM325" s="128"/>
      <c r="FN325" s="1686">
        <f t="shared" si="1115"/>
        <v>0</v>
      </c>
      <c r="FO325" s="46">
        <f t="shared" si="1136"/>
        <v>0</v>
      </c>
      <c r="FP325" s="46">
        <f t="shared" si="1124"/>
        <v>1</v>
      </c>
      <c r="FQ325" s="75">
        <f t="shared" si="1116"/>
        <v>0</v>
      </c>
      <c r="FR325" s="46">
        <f t="shared" si="1128"/>
        <v>0</v>
      </c>
      <c r="FS325" s="46">
        <f t="shared" si="1129"/>
        <v>1</v>
      </c>
      <c r="FT325" s="75">
        <f t="shared" si="1117"/>
        <v>0</v>
      </c>
      <c r="FU325" s="2603">
        <f t="shared" si="1137"/>
        <v>0</v>
      </c>
      <c r="FV325" s="2607">
        <f t="shared" si="1138"/>
        <v>0</v>
      </c>
      <c r="FW325" s="2603">
        <f t="shared" si="1139"/>
        <v>0</v>
      </c>
      <c r="FX325" s="2631">
        <f t="shared" si="1140"/>
        <v>0</v>
      </c>
      <c r="FY325" s="81" t="e">
        <f t="shared" si="1130"/>
        <v>#N/A</v>
      </c>
      <c r="FZ325" s="64" t="e">
        <f t="array" ref="FZ325">MATCH(1,($GT325:$LQ325&gt;0)*$GT$25:$LQ$25,0)</f>
        <v>#N/A</v>
      </c>
      <c r="GA325" s="64" t="e">
        <f t="array" ref="GA325">MATCH(2,1/(GT325:LQ325&gt;0))</f>
        <v>#N/A</v>
      </c>
      <c r="GB325" s="64">
        <f t="shared" si="1118"/>
        <v>-1</v>
      </c>
      <c r="GC325" s="46"/>
      <c r="GD325" s="613"/>
      <c r="GE325" s="613"/>
      <c r="GF325" s="613"/>
      <c r="GG325" s="613"/>
      <c r="GH325" s="613"/>
      <c r="GI325" s="613"/>
      <c r="GJ325" s="613"/>
      <c r="GK325" s="613"/>
      <c r="GL325" s="613"/>
      <c r="GM325" s="613"/>
      <c r="GN325" s="385">
        <f t="shared" si="1047"/>
        <v>0</v>
      </c>
      <c r="GO325" s="386">
        <f t="shared" si="1048"/>
        <v>0</v>
      </c>
      <c r="GP325" s="2635"/>
      <c r="GQ325" s="175"/>
      <c r="GR325" s="172"/>
      <c r="GS325" s="65"/>
      <c r="GT325" s="167"/>
      <c r="GU325" s="168"/>
      <c r="GV325" s="168"/>
      <c r="GW325" s="168"/>
      <c r="GX325" s="168"/>
      <c r="GY325" s="168"/>
      <c r="GZ325" s="168"/>
      <c r="HA325" s="168"/>
      <c r="HB325" s="168"/>
      <c r="HC325" s="168"/>
      <c r="HD325" s="168"/>
      <c r="HE325" s="168"/>
      <c r="HF325" s="168"/>
      <c r="HG325" s="168"/>
      <c r="HH325" s="168"/>
      <c r="HI325" s="168"/>
      <c r="HJ325" s="168"/>
      <c r="HK325" s="168"/>
      <c r="HL325" s="168"/>
      <c r="HM325" s="168"/>
      <c r="HN325" s="168"/>
      <c r="HO325" s="168"/>
      <c r="HP325" s="168"/>
      <c r="HQ325" s="168"/>
      <c r="HR325" s="168"/>
      <c r="HS325" s="168"/>
      <c r="HT325" s="168"/>
      <c r="HU325" s="168"/>
      <c r="HV325" s="168"/>
      <c r="HW325" s="168"/>
      <c r="HX325" s="168"/>
      <c r="HY325" s="168"/>
      <c r="HZ325" s="168"/>
      <c r="IA325" s="168"/>
      <c r="IB325" s="168"/>
      <c r="IC325" s="168"/>
      <c r="ID325" s="168"/>
      <c r="IE325" s="168"/>
      <c r="IF325" s="168"/>
      <c r="IG325" s="168"/>
      <c r="IH325" s="168"/>
      <c r="II325" s="168"/>
      <c r="IJ325" s="168"/>
      <c r="IK325" s="168"/>
      <c r="IL325" s="168"/>
      <c r="IM325" s="168"/>
      <c r="IN325" s="168"/>
      <c r="IO325" s="168"/>
      <c r="IP325" s="168"/>
      <c r="IQ325" s="168"/>
      <c r="IR325" s="168"/>
      <c r="IS325" s="168"/>
      <c r="IT325" s="168"/>
      <c r="IU325" s="168"/>
      <c r="IV325" s="168"/>
      <c r="IW325" s="168"/>
      <c r="IX325" s="168"/>
      <c r="IY325" s="168"/>
      <c r="IZ325" s="168"/>
      <c r="JA325" s="168"/>
      <c r="JB325" s="168"/>
      <c r="JC325" s="168"/>
      <c r="JD325" s="168"/>
      <c r="JE325" s="168"/>
      <c r="JF325" s="168"/>
      <c r="JG325" s="168"/>
      <c r="JH325" s="168"/>
      <c r="JI325" s="168"/>
      <c r="JJ325" s="168"/>
      <c r="JK325" s="168"/>
      <c r="JL325" s="168"/>
      <c r="JM325" s="168"/>
      <c r="JN325" s="168"/>
      <c r="JO325" s="168"/>
      <c r="JP325" s="168"/>
      <c r="JQ325" s="168"/>
      <c r="JR325" s="168"/>
      <c r="JS325" s="168"/>
      <c r="JT325" s="168"/>
      <c r="JU325" s="168"/>
      <c r="JV325" s="168"/>
      <c r="JW325" s="168"/>
      <c r="JX325" s="168"/>
      <c r="JY325" s="168"/>
      <c r="JZ325" s="168"/>
      <c r="KA325" s="168"/>
      <c r="KB325" s="168"/>
      <c r="KC325" s="168"/>
      <c r="KD325" s="168"/>
      <c r="KE325" s="168"/>
      <c r="KF325" s="168"/>
      <c r="KG325" s="168"/>
      <c r="KH325" s="168"/>
      <c r="KI325" s="168"/>
      <c r="KJ325" s="168"/>
      <c r="KK325" s="168"/>
      <c r="KL325" s="168"/>
      <c r="KM325" s="168"/>
      <c r="KN325" s="168"/>
      <c r="KO325" s="168"/>
      <c r="KP325" s="168"/>
      <c r="KQ325" s="168"/>
      <c r="KR325" s="168"/>
      <c r="KS325" s="168"/>
      <c r="KT325" s="168"/>
      <c r="KU325" s="168"/>
      <c r="KV325" s="168"/>
      <c r="KW325" s="168"/>
      <c r="KX325" s="168"/>
      <c r="KY325" s="168"/>
      <c r="KZ325" s="168"/>
      <c r="LA325" s="168"/>
      <c r="LB325" s="168"/>
      <c r="LC325" s="168"/>
      <c r="LD325" s="168"/>
      <c r="LE325" s="168"/>
      <c r="LF325" s="168"/>
      <c r="LG325" s="168"/>
      <c r="LH325" s="168"/>
      <c r="LI325" s="168"/>
      <c r="LJ325" s="168"/>
      <c r="LK325" s="168"/>
      <c r="LL325" s="168"/>
      <c r="LM325" s="168"/>
      <c r="LN325" s="168"/>
      <c r="LO325" s="168"/>
      <c r="LP325" s="606"/>
      <c r="LQ325" s="609"/>
      <c r="LR325" s="1319"/>
      <c r="LS325" s="1319"/>
    </row>
    <row r="326" spans="1:331" s="2" customFormat="1" ht="15" customHeight="1" x14ac:dyDescent="0.25">
      <c r="A326" s="283"/>
      <c r="B326" s="303"/>
      <c r="C326" s="301"/>
      <c r="D326" s="1287"/>
      <c r="E326" s="2298"/>
      <c r="F326" s="1812"/>
      <c r="G326" s="3342"/>
      <c r="H326" s="66"/>
      <c r="I326" s="1746"/>
      <c r="J326" s="1214"/>
      <c r="K326" s="105"/>
      <c r="L326" s="91"/>
      <c r="M326" s="92"/>
      <c r="N326" s="93"/>
      <c r="O326" s="94"/>
      <c r="P326" s="96"/>
      <c r="Q326" s="95"/>
      <c r="R326" s="993">
        <f t="shared" si="1039"/>
        <v>0</v>
      </c>
      <c r="S326" s="23">
        <f t="shared" si="1040"/>
        <v>0</v>
      </c>
      <c r="T326" s="24">
        <f t="shared" si="1071"/>
        <v>0</v>
      </c>
      <c r="U326" s="24">
        <f t="shared" si="1072"/>
        <v>0</v>
      </c>
      <c r="V326" s="24">
        <f t="shared" si="1073"/>
        <v>0</v>
      </c>
      <c r="W326" s="24">
        <f t="shared" ca="1" si="1074"/>
        <v>0</v>
      </c>
      <c r="X326" s="72">
        <f t="shared" ca="1" si="1119"/>
        <v>0</v>
      </c>
      <c r="Y326" s="72">
        <f t="shared" si="1075"/>
        <v>0</v>
      </c>
      <c r="Z326" s="24">
        <f t="shared" si="1076"/>
        <v>0</v>
      </c>
      <c r="AA326" s="72">
        <f t="shared" si="1120"/>
        <v>0</v>
      </c>
      <c r="AB326" s="24">
        <f t="shared" si="1131"/>
        <v>0</v>
      </c>
      <c r="AC326" s="24">
        <f t="shared" ca="1" si="1077"/>
        <v>0</v>
      </c>
      <c r="AD326" s="24">
        <f t="shared" si="1049"/>
        <v>0</v>
      </c>
      <c r="AE326" s="2078">
        <f t="shared" si="1125"/>
        <v>3</v>
      </c>
      <c r="AF326" s="2078">
        <f t="shared" si="1126"/>
        <v>0</v>
      </c>
      <c r="AG326" s="2078">
        <f t="shared" si="1127"/>
        <v>0</v>
      </c>
      <c r="AH326" s="2521">
        <f t="shared" si="1050"/>
        <v>1</v>
      </c>
      <c r="AI326" s="25" t="str">
        <f t="shared" si="1078"/>
        <v/>
      </c>
      <c r="AJ326" s="2521">
        <f t="shared" ca="1" si="1045"/>
        <v>0</v>
      </c>
      <c r="AK326" s="2076">
        <f t="shared" ca="1" si="1041"/>
        <v>0</v>
      </c>
      <c r="AL326" s="2078">
        <f>IF(ISBLANK(J326),0,ISERROR(MATCH(J326,'5  Control Accounts'!$FA$29:$FA$96,0))*1)</f>
        <v>0</v>
      </c>
      <c r="AM326" s="2076">
        <f t="shared" si="1079"/>
        <v>0</v>
      </c>
      <c r="AN326" s="2078">
        <f t="shared" si="1080"/>
        <v>1</v>
      </c>
      <c r="AO326" s="2079">
        <f t="shared" si="1051"/>
        <v>1</v>
      </c>
      <c r="AP326" s="2079">
        <f t="shared" si="1052"/>
        <v>0</v>
      </c>
      <c r="AQ326" s="2079">
        <f t="shared" si="1053"/>
        <v>0</v>
      </c>
      <c r="AR326" s="2079">
        <f t="shared" si="1054"/>
        <v>0</v>
      </c>
      <c r="AS326" s="2079">
        <f t="shared" si="1055"/>
        <v>0</v>
      </c>
      <c r="AT326" s="2079">
        <f t="shared" si="1056"/>
        <v>0</v>
      </c>
      <c r="AU326" s="2079">
        <f t="shared" si="1057"/>
        <v>0</v>
      </c>
      <c r="AV326" s="2079">
        <f t="shared" si="1058"/>
        <v>0</v>
      </c>
      <c r="AW326" s="2079">
        <f t="shared" si="1059"/>
        <v>0</v>
      </c>
      <c r="AX326" s="2079">
        <f t="shared" si="1060"/>
        <v>0</v>
      </c>
      <c r="AY326" s="2078">
        <f t="shared" si="1081"/>
        <v>0</v>
      </c>
      <c r="AZ326" s="2078">
        <f t="shared" si="1082"/>
        <v>0</v>
      </c>
      <c r="BA326" s="2078">
        <f t="shared" si="1083"/>
        <v>0</v>
      </c>
      <c r="BB326" s="2078">
        <f t="shared" si="1084"/>
        <v>0</v>
      </c>
      <c r="BC326" s="2078">
        <f t="shared" si="1085"/>
        <v>0</v>
      </c>
      <c r="BD326" s="2078">
        <f t="shared" si="1086"/>
        <v>0</v>
      </c>
      <c r="BE326" s="2078">
        <f t="shared" si="1087"/>
        <v>0</v>
      </c>
      <c r="BF326" s="2078">
        <f t="shared" si="1088"/>
        <v>0</v>
      </c>
      <c r="BG326" s="2078">
        <f t="shared" si="1089"/>
        <v>0</v>
      </c>
      <c r="BH326" s="2078">
        <f t="shared" si="1090"/>
        <v>0</v>
      </c>
      <c r="BI326" s="2078">
        <f t="shared" si="1091"/>
        <v>0</v>
      </c>
      <c r="BJ326" s="2078">
        <f t="shared" si="1092"/>
        <v>0</v>
      </c>
      <c r="BK326" s="2078">
        <f t="shared" si="1093"/>
        <v>0</v>
      </c>
      <c r="BL326" s="2078">
        <f t="shared" si="1094"/>
        <v>0</v>
      </c>
      <c r="BM326" s="2078">
        <f t="shared" si="1095"/>
        <v>0</v>
      </c>
      <c r="BN326" s="2078">
        <f t="shared" si="1096"/>
        <v>0</v>
      </c>
      <c r="BO326" s="2078">
        <f t="shared" si="1097"/>
        <v>0</v>
      </c>
      <c r="BP326" s="2078">
        <f t="shared" si="1098"/>
        <v>0</v>
      </c>
      <c r="BQ326" s="2078">
        <f t="shared" si="1099"/>
        <v>0</v>
      </c>
      <c r="BR326" s="2078">
        <f t="shared" si="1100"/>
        <v>0</v>
      </c>
      <c r="BS326" s="2079">
        <f t="shared" si="1061"/>
        <v>1</v>
      </c>
      <c r="BT326" s="2079">
        <f t="shared" si="1062"/>
        <v>0</v>
      </c>
      <c r="BU326" s="2079">
        <f t="shared" si="1063"/>
        <v>0</v>
      </c>
      <c r="BV326" s="2079">
        <f t="shared" si="1064"/>
        <v>0</v>
      </c>
      <c r="BW326" s="2079">
        <f t="shared" si="1065"/>
        <v>0</v>
      </c>
      <c r="BX326" s="2079">
        <f t="shared" si="1066"/>
        <v>0</v>
      </c>
      <c r="BY326" s="2079">
        <f t="shared" si="1067"/>
        <v>0</v>
      </c>
      <c r="BZ326" s="2079">
        <f t="shared" si="1068"/>
        <v>0</v>
      </c>
      <c r="CA326" s="2079">
        <f t="shared" si="1069"/>
        <v>0</v>
      </c>
      <c r="CB326" s="2079">
        <f t="shared" si="1070"/>
        <v>0</v>
      </c>
      <c r="CC326" s="2078">
        <f t="shared" ca="1" si="1101"/>
        <v>0</v>
      </c>
      <c r="CD326" s="2078">
        <f t="shared" ca="1" si="1102"/>
        <v>0</v>
      </c>
      <c r="CE326" s="2078">
        <f t="shared" ca="1" si="1103"/>
        <v>0</v>
      </c>
      <c r="CF326" s="2078">
        <f t="shared" ca="1" si="1104"/>
        <v>0</v>
      </c>
      <c r="CG326" s="2078">
        <f t="shared" ca="1" si="1105"/>
        <v>0</v>
      </c>
      <c r="CH326" s="2078">
        <f t="shared" ca="1" si="1106"/>
        <v>0</v>
      </c>
      <c r="CI326" s="2078">
        <f t="shared" ca="1" si="1107"/>
        <v>0</v>
      </c>
      <c r="CJ326" s="2078">
        <f t="shared" ca="1" si="1108"/>
        <v>0</v>
      </c>
      <c r="CK326" s="2078">
        <f t="shared" ca="1" si="1109"/>
        <v>0</v>
      </c>
      <c r="CL326" s="2078">
        <f t="shared" ca="1" si="1110"/>
        <v>0</v>
      </c>
      <c r="CM326" s="2078">
        <f t="shared" si="1132"/>
        <v>1</v>
      </c>
      <c r="CN326" s="2078">
        <f t="shared" si="1133"/>
        <v>1</v>
      </c>
      <c r="CO326" s="2078">
        <f t="shared" si="1121"/>
        <v>1</v>
      </c>
      <c r="CP326" s="2078">
        <f t="shared" si="1111"/>
        <v>1</v>
      </c>
      <c r="CQ326" s="2078">
        <f t="shared" si="1122"/>
        <v>0</v>
      </c>
      <c r="CR326" s="2078">
        <f t="shared" si="1042"/>
        <v>0</v>
      </c>
      <c r="CS326" s="2078">
        <f t="shared" si="1112"/>
        <v>0</v>
      </c>
      <c r="CT326" s="2078">
        <f t="shared" si="1123"/>
        <v>1</v>
      </c>
      <c r="CU326" s="2078">
        <f t="shared" si="1113"/>
        <v>1</v>
      </c>
      <c r="CV326" s="2078">
        <f t="shared" si="1134"/>
        <v>0</v>
      </c>
      <c r="CW326" s="2078">
        <f>IF(OR(AE326&lt;&gt;3,F326="Exclude"),0,IF(ISERROR(MATCH($E326,'4 Sign-off'!$S$123:$X$123,0)),0,1))</f>
        <v>0</v>
      </c>
      <c r="CX326" s="2078">
        <f t="shared" si="1046"/>
        <v>0</v>
      </c>
      <c r="CY326" s="2078">
        <f t="shared" si="1135"/>
        <v>0</v>
      </c>
      <c r="CZ326" s="2993">
        <f t="shared" ca="1" si="1043"/>
        <v>0</v>
      </c>
      <c r="DA326" s="3037">
        <f t="shared" ca="1" si="1044"/>
        <v>0</v>
      </c>
      <c r="DB326" s="1664"/>
      <c r="DC326" s="1320"/>
      <c r="DD326" s="589"/>
      <c r="DE326" s="1321"/>
      <c r="DF326" s="107"/>
      <c r="DG326" s="112"/>
      <c r="DH326" s="140"/>
      <c r="DI326" s="22"/>
      <c r="DJ326" s="145"/>
      <c r="DK326" s="137"/>
      <c r="DL326" s="137"/>
      <c r="DM326" s="137"/>
      <c r="DN326" s="137"/>
      <c r="DO326" s="137"/>
      <c r="DP326" s="137"/>
      <c r="DQ326" s="137"/>
      <c r="DR326" s="137"/>
      <c r="DS326" s="137"/>
      <c r="DT326" s="137"/>
      <c r="DU326" s="137"/>
      <c r="DV326" s="137"/>
      <c r="DW326" s="137"/>
      <c r="DX326" s="137"/>
      <c r="DY326" s="137"/>
      <c r="DZ326" s="137"/>
      <c r="EA326" s="137"/>
      <c r="EB326" s="137"/>
      <c r="EC326" s="137"/>
      <c r="ED326" s="137"/>
      <c r="EE326" s="137"/>
      <c r="EF326" s="137"/>
      <c r="EG326" s="137"/>
      <c r="EH326" s="137"/>
      <c r="EI326" s="137"/>
      <c r="EJ326" s="137"/>
      <c r="EK326" s="137"/>
      <c r="EL326" s="137"/>
      <c r="EM326" s="137"/>
      <c r="EN326" s="137"/>
      <c r="EO326" s="137"/>
      <c r="EP326" s="137"/>
      <c r="EQ326" s="137"/>
      <c r="ER326" s="137"/>
      <c r="ES326" s="137"/>
      <c r="ET326" s="137"/>
      <c r="EU326" s="137"/>
      <c r="EV326" s="137"/>
      <c r="EW326" s="137"/>
      <c r="EX326" s="137"/>
      <c r="EY326" s="137"/>
      <c r="EZ326" s="137"/>
      <c r="FA326" s="137"/>
      <c r="FB326" s="137"/>
      <c r="FC326" s="137"/>
      <c r="FD326" s="137"/>
      <c r="FE326" s="137"/>
      <c r="FF326" s="137"/>
      <c r="FG326" s="860"/>
      <c r="FH326" s="863"/>
      <c r="FI326" s="1318"/>
      <c r="FJ326" s="126"/>
      <c r="FK326" s="127"/>
      <c r="FL326" s="128" t="str">
        <f t="shared" si="1114"/>
        <v xml:space="preserve">    </v>
      </c>
      <c r="FM326" s="128"/>
      <c r="FN326" s="1686">
        <f t="shared" si="1115"/>
        <v>0</v>
      </c>
      <c r="FO326" s="46">
        <f t="shared" si="1136"/>
        <v>0</v>
      </c>
      <c r="FP326" s="46">
        <f t="shared" si="1124"/>
        <v>1</v>
      </c>
      <c r="FQ326" s="75">
        <f t="shared" si="1116"/>
        <v>0</v>
      </c>
      <c r="FR326" s="46">
        <f t="shared" si="1128"/>
        <v>0</v>
      </c>
      <c r="FS326" s="46">
        <f t="shared" si="1129"/>
        <v>1</v>
      </c>
      <c r="FT326" s="75">
        <f t="shared" si="1117"/>
        <v>0</v>
      </c>
      <c r="FU326" s="2603">
        <f t="shared" si="1137"/>
        <v>0</v>
      </c>
      <c r="FV326" s="2607">
        <f t="shared" si="1138"/>
        <v>0</v>
      </c>
      <c r="FW326" s="2603">
        <f t="shared" si="1139"/>
        <v>0</v>
      </c>
      <c r="FX326" s="2631">
        <f t="shared" si="1140"/>
        <v>0</v>
      </c>
      <c r="FY326" s="81" t="e">
        <f t="shared" si="1130"/>
        <v>#N/A</v>
      </c>
      <c r="FZ326" s="64" t="e">
        <f t="array" ref="FZ326">MATCH(1,($GT326:$LQ326&gt;0)*$GT$25:$LQ$25,0)</f>
        <v>#N/A</v>
      </c>
      <c r="GA326" s="64" t="e">
        <f t="array" ref="GA326">MATCH(2,1/(GT326:LQ326&gt;0))</f>
        <v>#N/A</v>
      </c>
      <c r="GB326" s="64">
        <f t="shared" si="1118"/>
        <v>-1</v>
      </c>
      <c r="GC326" s="46"/>
      <c r="GD326" s="613"/>
      <c r="GE326" s="613"/>
      <c r="GF326" s="613"/>
      <c r="GG326" s="613"/>
      <c r="GH326" s="613"/>
      <c r="GI326" s="613"/>
      <c r="GJ326" s="613"/>
      <c r="GK326" s="613"/>
      <c r="GL326" s="613"/>
      <c r="GM326" s="613"/>
      <c r="GN326" s="385">
        <f t="shared" si="1047"/>
        <v>0</v>
      </c>
      <c r="GO326" s="386">
        <f t="shared" si="1048"/>
        <v>0</v>
      </c>
      <c r="GP326" s="2635"/>
      <c r="GQ326" s="175"/>
      <c r="GR326" s="172"/>
      <c r="GS326" s="65"/>
      <c r="GT326" s="167"/>
      <c r="GU326" s="168"/>
      <c r="GV326" s="168"/>
      <c r="GW326" s="168"/>
      <c r="GX326" s="168"/>
      <c r="GY326" s="168"/>
      <c r="GZ326" s="168"/>
      <c r="HA326" s="168"/>
      <c r="HB326" s="168"/>
      <c r="HC326" s="168"/>
      <c r="HD326" s="168"/>
      <c r="HE326" s="168"/>
      <c r="HF326" s="168"/>
      <c r="HG326" s="168"/>
      <c r="HH326" s="168"/>
      <c r="HI326" s="168"/>
      <c r="HJ326" s="168"/>
      <c r="HK326" s="168"/>
      <c r="HL326" s="168"/>
      <c r="HM326" s="168"/>
      <c r="HN326" s="168"/>
      <c r="HO326" s="168"/>
      <c r="HP326" s="168"/>
      <c r="HQ326" s="168"/>
      <c r="HR326" s="168"/>
      <c r="HS326" s="168"/>
      <c r="HT326" s="168"/>
      <c r="HU326" s="168"/>
      <c r="HV326" s="168"/>
      <c r="HW326" s="168"/>
      <c r="HX326" s="168"/>
      <c r="HY326" s="168"/>
      <c r="HZ326" s="168"/>
      <c r="IA326" s="168"/>
      <c r="IB326" s="168"/>
      <c r="IC326" s="168"/>
      <c r="ID326" s="168"/>
      <c r="IE326" s="168"/>
      <c r="IF326" s="168"/>
      <c r="IG326" s="168"/>
      <c r="IH326" s="168"/>
      <c r="II326" s="168"/>
      <c r="IJ326" s="168"/>
      <c r="IK326" s="168"/>
      <c r="IL326" s="168"/>
      <c r="IM326" s="168"/>
      <c r="IN326" s="168"/>
      <c r="IO326" s="168"/>
      <c r="IP326" s="168"/>
      <c r="IQ326" s="168"/>
      <c r="IR326" s="168"/>
      <c r="IS326" s="168"/>
      <c r="IT326" s="168"/>
      <c r="IU326" s="168"/>
      <c r="IV326" s="168"/>
      <c r="IW326" s="168"/>
      <c r="IX326" s="168"/>
      <c r="IY326" s="168"/>
      <c r="IZ326" s="168"/>
      <c r="JA326" s="168"/>
      <c r="JB326" s="168"/>
      <c r="JC326" s="168"/>
      <c r="JD326" s="168"/>
      <c r="JE326" s="168"/>
      <c r="JF326" s="168"/>
      <c r="JG326" s="168"/>
      <c r="JH326" s="168"/>
      <c r="JI326" s="168"/>
      <c r="JJ326" s="168"/>
      <c r="JK326" s="168"/>
      <c r="JL326" s="168"/>
      <c r="JM326" s="168"/>
      <c r="JN326" s="168"/>
      <c r="JO326" s="168"/>
      <c r="JP326" s="168"/>
      <c r="JQ326" s="168"/>
      <c r="JR326" s="168"/>
      <c r="JS326" s="168"/>
      <c r="JT326" s="168"/>
      <c r="JU326" s="168"/>
      <c r="JV326" s="168"/>
      <c r="JW326" s="168"/>
      <c r="JX326" s="168"/>
      <c r="JY326" s="168"/>
      <c r="JZ326" s="168"/>
      <c r="KA326" s="168"/>
      <c r="KB326" s="168"/>
      <c r="KC326" s="168"/>
      <c r="KD326" s="168"/>
      <c r="KE326" s="168"/>
      <c r="KF326" s="168"/>
      <c r="KG326" s="168"/>
      <c r="KH326" s="168"/>
      <c r="KI326" s="168"/>
      <c r="KJ326" s="168"/>
      <c r="KK326" s="168"/>
      <c r="KL326" s="168"/>
      <c r="KM326" s="168"/>
      <c r="KN326" s="168"/>
      <c r="KO326" s="168"/>
      <c r="KP326" s="168"/>
      <c r="KQ326" s="168"/>
      <c r="KR326" s="168"/>
      <c r="KS326" s="168"/>
      <c r="KT326" s="168"/>
      <c r="KU326" s="168"/>
      <c r="KV326" s="168"/>
      <c r="KW326" s="168"/>
      <c r="KX326" s="168"/>
      <c r="KY326" s="168"/>
      <c r="KZ326" s="168"/>
      <c r="LA326" s="168"/>
      <c r="LB326" s="168"/>
      <c r="LC326" s="168"/>
      <c r="LD326" s="168"/>
      <c r="LE326" s="168"/>
      <c r="LF326" s="168"/>
      <c r="LG326" s="168"/>
      <c r="LH326" s="168"/>
      <c r="LI326" s="168"/>
      <c r="LJ326" s="168"/>
      <c r="LK326" s="168"/>
      <c r="LL326" s="168"/>
      <c r="LM326" s="168"/>
      <c r="LN326" s="168"/>
      <c r="LO326" s="168"/>
      <c r="LP326" s="606"/>
      <c r="LQ326" s="609"/>
      <c r="LR326" s="1319"/>
      <c r="LS326" s="1319"/>
    </row>
    <row r="327" spans="1:331" s="2" customFormat="1" ht="15" customHeight="1" x14ac:dyDescent="0.25">
      <c r="A327" s="283"/>
      <c r="B327" s="303"/>
      <c r="C327" s="301"/>
      <c r="D327" s="1287"/>
      <c r="E327" s="2298"/>
      <c r="F327" s="1812"/>
      <c r="G327" s="3342"/>
      <c r="H327" s="66"/>
      <c r="I327" s="1746"/>
      <c r="J327" s="1214"/>
      <c r="K327" s="105"/>
      <c r="L327" s="91"/>
      <c r="M327" s="92"/>
      <c r="N327" s="93"/>
      <c r="O327" s="94"/>
      <c r="P327" s="96"/>
      <c r="Q327" s="95"/>
      <c r="R327" s="993">
        <f t="shared" si="1039"/>
        <v>0</v>
      </c>
      <c r="S327" s="23">
        <f t="shared" si="1040"/>
        <v>0</v>
      </c>
      <c r="T327" s="24">
        <f t="shared" si="1071"/>
        <v>0</v>
      </c>
      <c r="U327" s="24">
        <f t="shared" si="1072"/>
        <v>0</v>
      </c>
      <c r="V327" s="24">
        <f t="shared" si="1073"/>
        <v>0</v>
      </c>
      <c r="W327" s="24">
        <f t="shared" ca="1" si="1074"/>
        <v>0</v>
      </c>
      <c r="X327" s="72">
        <f t="shared" ca="1" si="1119"/>
        <v>0</v>
      </c>
      <c r="Y327" s="72">
        <f t="shared" si="1075"/>
        <v>0</v>
      </c>
      <c r="Z327" s="24">
        <f t="shared" si="1076"/>
        <v>0</v>
      </c>
      <c r="AA327" s="72">
        <f t="shared" si="1120"/>
        <v>0</v>
      </c>
      <c r="AB327" s="24">
        <f t="shared" si="1131"/>
        <v>0</v>
      </c>
      <c r="AC327" s="24">
        <f t="shared" ca="1" si="1077"/>
        <v>0</v>
      </c>
      <c r="AD327" s="24">
        <f t="shared" si="1049"/>
        <v>0</v>
      </c>
      <c r="AE327" s="2078">
        <f t="shared" si="1125"/>
        <v>3</v>
      </c>
      <c r="AF327" s="2078">
        <f t="shared" si="1126"/>
        <v>0</v>
      </c>
      <c r="AG327" s="2078">
        <f t="shared" si="1127"/>
        <v>0</v>
      </c>
      <c r="AH327" s="2521">
        <f t="shared" si="1050"/>
        <v>1</v>
      </c>
      <c r="AI327" s="25" t="str">
        <f t="shared" si="1078"/>
        <v/>
      </c>
      <c r="AJ327" s="2521">
        <f t="shared" ca="1" si="1045"/>
        <v>0</v>
      </c>
      <c r="AK327" s="2076">
        <f t="shared" ca="1" si="1041"/>
        <v>0</v>
      </c>
      <c r="AL327" s="2078">
        <f>IF(ISBLANK(J327),0,ISERROR(MATCH(J327,'5  Control Accounts'!$FA$29:$FA$96,0))*1)</f>
        <v>0</v>
      </c>
      <c r="AM327" s="2076">
        <f t="shared" si="1079"/>
        <v>0</v>
      </c>
      <c r="AN327" s="2078">
        <f t="shared" si="1080"/>
        <v>1</v>
      </c>
      <c r="AO327" s="2079">
        <f t="shared" si="1051"/>
        <v>1</v>
      </c>
      <c r="AP327" s="2079">
        <f t="shared" si="1052"/>
        <v>0</v>
      </c>
      <c r="AQ327" s="2079">
        <f t="shared" si="1053"/>
        <v>0</v>
      </c>
      <c r="AR327" s="2079">
        <f t="shared" si="1054"/>
        <v>0</v>
      </c>
      <c r="AS327" s="2079">
        <f t="shared" si="1055"/>
        <v>0</v>
      </c>
      <c r="AT327" s="2079">
        <f t="shared" si="1056"/>
        <v>0</v>
      </c>
      <c r="AU327" s="2079">
        <f t="shared" si="1057"/>
        <v>0</v>
      </c>
      <c r="AV327" s="2079">
        <f t="shared" si="1058"/>
        <v>0</v>
      </c>
      <c r="AW327" s="2079">
        <f t="shared" si="1059"/>
        <v>0</v>
      </c>
      <c r="AX327" s="2079">
        <f t="shared" si="1060"/>
        <v>0</v>
      </c>
      <c r="AY327" s="2078">
        <f t="shared" si="1081"/>
        <v>0</v>
      </c>
      <c r="AZ327" s="2078">
        <f t="shared" si="1082"/>
        <v>0</v>
      </c>
      <c r="BA327" s="2078">
        <f t="shared" si="1083"/>
        <v>0</v>
      </c>
      <c r="BB327" s="2078">
        <f t="shared" si="1084"/>
        <v>0</v>
      </c>
      <c r="BC327" s="2078">
        <f t="shared" si="1085"/>
        <v>0</v>
      </c>
      <c r="BD327" s="2078">
        <f t="shared" si="1086"/>
        <v>0</v>
      </c>
      <c r="BE327" s="2078">
        <f t="shared" si="1087"/>
        <v>0</v>
      </c>
      <c r="BF327" s="2078">
        <f t="shared" si="1088"/>
        <v>0</v>
      </c>
      <c r="BG327" s="2078">
        <f t="shared" si="1089"/>
        <v>0</v>
      </c>
      <c r="BH327" s="2078">
        <f t="shared" si="1090"/>
        <v>0</v>
      </c>
      <c r="BI327" s="2078">
        <f t="shared" si="1091"/>
        <v>0</v>
      </c>
      <c r="BJ327" s="2078">
        <f t="shared" si="1092"/>
        <v>0</v>
      </c>
      <c r="BK327" s="2078">
        <f t="shared" si="1093"/>
        <v>0</v>
      </c>
      <c r="BL327" s="2078">
        <f t="shared" si="1094"/>
        <v>0</v>
      </c>
      <c r="BM327" s="2078">
        <f t="shared" si="1095"/>
        <v>0</v>
      </c>
      <c r="BN327" s="2078">
        <f t="shared" si="1096"/>
        <v>0</v>
      </c>
      <c r="BO327" s="2078">
        <f t="shared" si="1097"/>
        <v>0</v>
      </c>
      <c r="BP327" s="2078">
        <f t="shared" si="1098"/>
        <v>0</v>
      </c>
      <c r="BQ327" s="2078">
        <f t="shared" si="1099"/>
        <v>0</v>
      </c>
      <c r="BR327" s="2078">
        <f t="shared" si="1100"/>
        <v>0</v>
      </c>
      <c r="BS327" s="2079">
        <f t="shared" si="1061"/>
        <v>1</v>
      </c>
      <c r="BT327" s="2079">
        <f t="shared" si="1062"/>
        <v>0</v>
      </c>
      <c r="BU327" s="2079">
        <f t="shared" si="1063"/>
        <v>0</v>
      </c>
      <c r="BV327" s="2079">
        <f t="shared" si="1064"/>
        <v>0</v>
      </c>
      <c r="BW327" s="2079">
        <f t="shared" si="1065"/>
        <v>0</v>
      </c>
      <c r="BX327" s="2079">
        <f t="shared" si="1066"/>
        <v>0</v>
      </c>
      <c r="BY327" s="2079">
        <f t="shared" si="1067"/>
        <v>0</v>
      </c>
      <c r="BZ327" s="2079">
        <f t="shared" si="1068"/>
        <v>0</v>
      </c>
      <c r="CA327" s="2079">
        <f t="shared" si="1069"/>
        <v>0</v>
      </c>
      <c r="CB327" s="2079">
        <f t="shared" si="1070"/>
        <v>0</v>
      </c>
      <c r="CC327" s="2078">
        <f t="shared" ca="1" si="1101"/>
        <v>0</v>
      </c>
      <c r="CD327" s="2078">
        <f t="shared" ca="1" si="1102"/>
        <v>0</v>
      </c>
      <c r="CE327" s="2078">
        <f t="shared" ca="1" si="1103"/>
        <v>0</v>
      </c>
      <c r="CF327" s="2078">
        <f t="shared" ca="1" si="1104"/>
        <v>0</v>
      </c>
      <c r="CG327" s="2078">
        <f t="shared" ca="1" si="1105"/>
        <v>0</v>
      </c>
      <c r="CH327" s="2078">
        <f t="shared" ca="1" si="1106"/>
        <v>0</v>
      </c>
      <c r="CI327" s="2078">
        <f t="shared" ca="1" si="1107"/>
        <v>0</v>
      </c>
      <c r="CJ327" s="2078">
        <f t="shared" ca="1" si="1108"/>
        <v>0</v>
      </c>
      <c r="CK327" s="2078">
        <f t="shared" ca="1" si="1109"/>
        <v>0</v>
      </c>
      <c r="CL327" s="2078">
        <f t="shared" ca="1" si="1110"/>
        <v>0</v>
      </c>
      <c r="CM327" s="2078">
        <f t="shared" si="1132"/>
        <v>1</v>
      </c>
      <c r="CN327" s="2078">
        <f t="shared" si="1133"/>
        <v>1</v>
      </c>
      <c r="CO327" s="2078">
        <f t="shared" si="1121"/>
        <v>1</v>
      </c>
      <c r="CP327" s="2078">
        <f t="shared" si="1111"/>
        <v>1</v>
      </c>
      <c r="CQ327" s="2078">
        <f t="shared" si="1122"/>
        <v>0</v>
      </c>
      <c r="CR327" s="2078">
        <f t="shared" si="1042"/>
        <v>0</v>
      </c>
      <c r="CS327" s="2078">
        <f t="shared" si="1112"/>
        <v>0</v>
      </c>
      <c r="CT327" s="2078">
        <f t="shared" si="1123"/>
        <v>1</v>
      </c>
      <c r="CU327" s="2078">
        <f t="shared" si="1113"/>
        <v>1</v>
      </c>
      <c r="CV327" s="2078">
        <f t="shared" si="1134"/>
        <v>0</v>
      </c>
      <c r="CW327" s="2078">
        <f>IF(OR(AE327&lt;&gt;3,F327="Exclude"),0,IF(ISERROR(MATCH($E327,'4 Sign-off'!$S$123:$X$123,0)),0,1))</f>
        <v>0</v>
      </c>
      <c r="CX327" s="2078">
        <f t="shared" si="1046"/>
        <v>0</v>
      </c>
      <c r="CY327" s="2078">
        <f t="shared" si="1135"/>
        <v>0</v>
      </c>
      <c r="CZ327" s="2993">
        <f t="shared" ca="1" si="1043"/>
        <v>0</v>
      </c>
      <c r="DA327" s="3037">
        <f t="shared" ca="1" si="1044"/>
        <v>0</v>
      </c>
      <c r="DB327" s="1664"/>
      <c r="DC327" s="1320"/>
      <c r="DD327" s="589"/>
      <c r="DE327" s="1321"/>
      <c r="DF327" s="107"/>
      <c r="DG327" s="112"/>
      <c r="DH327" s="140"/>
      <c r="DI327" s="22"/>
      <c r="DJ327" s="145"/>
      <c r="DK327" s="137"/>
      <c r="DL327" s="137"/>
      <c r="DM327" s="137"/>
      <c r="DN327" s="137"/>
      <c r="DO327" s="137"/>
      <c r="DP327" s="137"/>
      <c r="DQ327" s="137"/>
      <c r="DR327" s="137"/>
      <c r="DS327" s="137"/>
      <c r="DT327" s="137"/>
      <c r="DU327" s="137"/>
      <c r="DV327" s="137"/>
      <c r="DW327" s="137"/>
      <c r="DX327" s="137"/>
      <c r="DY327" s="137"/>
      <c r="DZ327" s="137"/>
      <c r="EA327" s="137"/>
      <c r="EB327" s="137"/>
      <c r="EC327" s="137"/>
      <c r="ED327" s="137"/>
      <c r="EE327" s="137"/>
      <c r="EF327" s="137"/>
      <c r="EG327" s="137"/>
      <c r="EH327" s="137"/>
      <c r="EI327" s="137"/>
      <c r="EJ327" s="137"/>
      <c r="EK327" s="137"/>
      <c r="EL327" s="137"/>
      <c r="EM327" s="137"/>
      <c r="EN327" s="137"/>
      <c r="EO327" s="137"/>
      <c r="EP327" s="137"/>
      <c r="EQ327" s="137"/>
      <c r="ER327" s="137"/>
      <c r="ES327" s="137"/>
      <c r="ET327" s="137"/>
      <c r="EU327" s="137"/>
      <c r="EV327" s="137"/>
      <c r="EW327" s="137"/>
      <c r="EX327" s="137"/>
      <c r="EY327" s="137"/>
      <c r="EZ327" s="137"/>
      <c r="FA327" s="137"/>
      <c r="FB327" s="137"/>
      <c r="FC327" s="137"/>
      <c r="FD327" s="137"/>
      <c r="FE327" s="137"/>
      <c r="FF327" s="137"/>
      <c r="FG327" s="860"/>
      <c r="FH327" s="863"/>
      <c r="FI327" s="1318"/>
      <c r="FJ327" s="126"/>
      <c r="FK327" s="127"/>
      <c r="FL327" s="128" t="str">
        <f t="shared" si="1114"/>
        <v xml:space="preserve">    </v>
      </c>
      <c r="FM327" s="128"/>
      <c r="FN327" s="1686">
        <f t="shared" si="1115"/>
        <v>0</v>
      </c>
      <c r="FO327" s="46">
        <f t="shared" si="1136"/>
        <v>0</v>
      </c>
      <c r="FP327" s="46">
        <f t="shared" si="1124"/>
        <v>1</v>
      </c>
      <c r="FQ327" s="75">
        <f t="shared" si="1116"/>
        <v>0</v>
      </c>
      <c r="FR327" s="46">
        <f t="shared" si="1128"/>
        <v>0</v>
      </c>
      <c r="FS327" s="46">
        <f t="shared" si="1129"/>
        <v>1</v>
      </c>
      <c r="FT327" s="75">
        <f t="shared" si="1117"/>
        <v>0</v>
      </c>
      <c r="FU327" s="2603">
        <f t="shared" si="1137"/>
        <v>0</v>
      </c>
      <c r="FV327" s="2607">
        <f t="shared" si="1138"/>
        <v>0</v>
      </c>
      <c r="FW327" s="2603">
        <f t="shared" si="1139"/>
        <v>0</v>
      </c>
      <c r="FX327" s="2631">
        <f t="shared" si="1140"/>
        <v>0</v>
      </c>
      <c r="FY327" s="81" t="e">
        <f t="shared" si="1130"/>
        <v>#N/A</v>
      </c>
      <c r="FZ327" s="64" t="e">
        <f t="array" ref="FZ327">MATCH(1,($GT327:$LQ327&gt;0)*$GT$25:$LQ$25,0)</f>
        <v>#N/A</v>
      </c>
      <c r="GA327" s="64" t="e">
        <f t="array" ref="GA327">MATCH(2,1/(GT327:LQ327&gt;0))</f>
        <v>#N/A</v>
      </c>
      <c r="GB327" s="64">
        <f t="shared" si="1118"/>
        <v>-1</v>
      </c>
      <c r="GC327" s="46"/>
      <c r="GD327" s="613"/>
      <c r="GE327" s="613"/>
      <c r="GF327" s="613"/>
      <c r="GG327" s="613"/>
      <c r="GH327" s="613"/>
      <c r="GI327" s="613"/>
      <c r="GJ327" s="613"/>
      <c r="GK327" s="613"/>
      <c r="GL327" s="613"/>
      <c r="GM327" s="613"/>
      <c r="GN327" s="385">
        <f t="shared" si="1047"/>
        <v>0</v>
      </c>
      <c r="GO327" s="386">
        <f t="shared" si="1048"/>
        <v>0</v>
      </c>
      <c r="GP327" s="2635"/>
      <c r="GQ327" s="175"/>
      <c r="GR327" s="172"/>
      <c r="GS327" s="65"/>
      <c r="GT327" s="167"/>
      <c r="GU327" s="168"/>
      <c r="GV327" s="168"/>
      <c r="GW327" s="168"/>
      <c r="GX327" s="168"/>
      <c r="GY327" s="168"/>
      <c r="GZ327" s="168"/>
      <c r="HA327" s="168"/>
      <c r="HB327" s="168"/>
      <c r="HC327" s="168"/>
      <c r="HD327" s="168"/>
      <c r="HE327" s="168"/>
      <c r="HF327" s="168"/>
      <c r="HG327" s="168"/>
      <c r="HH327" s="168"/>
      <c r="HI327" s="168"/>
      <c r="HJ327" s="168"/>
      <c r="HK327" s="168"/>
      <c r="HL327" s="168"/>
      <c r="HM327" s="168"/>
      <c r="HN327" s="168"/>
      <c r="HO327" s="168"/>
      <c r="HP327" s="168"/>
      <c r="HQ327" s="168"/>
      <c r="HR327" s="168"/>
      <c r="HS327" s="168"/>
      <c r="HT327" s="168"/>
      <c r="HU327" s="168"/>
      <c r="HV327" s="168"/>
      <c r="HW327" s="168"/>
      <c r="HX327" s="168"/>
      <c r="HY327" s="168"/>
      <c r="HZ327" s="168"/>
      <c r="IA327" s="168"/>
      <c r="IB327" s="168"/>
      <c r="IC327" s="168"/>
      <c r="ID327" s="168"/>
      <c r="IE327" s="168"/>
      <c r="IF327" s="168"/>
      <c r="IG327" s="168"/>
      <c r="IH327" s="168"/>
      <c r="II327" s="168"/>
      <c r="IJ327" s="168"/>
      <c r="IK327" s="168"/>
      <c r="IL327" s="168"/>
      <c r="IM327" s="168"/>
      <c r="IN327" s="168"/>
      <c r="IO327" s="168"/>
      <c r="IP327" s="168"/>
      <c r="IQ327" s="168"/>
      <c r="IR327" s="168"/>
      <c r="IS327" s="168"/>
      <c r="IT327" s="168"/>
      <c r="IU327" s="168"/>
      <c r="IV327" s="168"/>
      <c r="IW327" s="168"/>
      <c r="IX327" s="168"/>
      <c r="IY327" s="168"/>
      <c r="IZ327" s="168"/>
      <c r="JA327" s="168"/>
      <c r="JB327" s="168"/>
      <c r="JC327" s="168"/>
      <c r="JD327" s="168"/>
      <c r="JE327" s="168"/>
      <c r="JF327" s="168"/>
      <c r="JG327" s="168"/>
      <c r="JH327" s="168"/>
      <c r="JI327" s="168"/>
      <c r="JJ327" s="168"/>
      <c r="JK327" s="168"/>
      <c r="JL327" s="168"/>
      <c r="JM327" s="168"/>
      <c r="JN327" s="168"/>
      <c r="JO327" s="168"/>
      <c r="JP327" s="168"/>
      <c r="JQ327" s="168"/>
      <c r="JR327" s="168"/>
      <c r="JS327" s="168"/>
      <c r="JT327" s="168"/>
      <c r="JU327" s="168"/>
      <c r="JV327" s="168"/>
      <c r="JW327" s="168"/>
      <c r="JX327" s="168"/>
      <c r="JY327" s="168"/>
      <c r="JZ327" s="168"/>
      <c r="KA327" s="168"/>
      <c r="KB327" s="168"/>
      <c r="KC327" s="168"/>
      <c r="KD327" s="168"/>
      <c r="KE327" s="168"/>
      <c r="KF327" s="168"/>
      <c r="KG327" s="168"/>
      <c r="KH327" s="168"/>
      <c r="KI327" s="168"/>
      <c r="KJ327" s="168"/>
      <c r="KK327" s="168"/>
      <c r="KL327" s="168"/>
      <c r="KM327" s="168"/>
      <c r="KN327" s="168"/>
      <c r="KO327" s="168"/>
      <c r="KP327" s="168"/>
      <c r="KQ327" s="168"/>
      <c r="KR327" s="168"/>
      <c r="KS327" s="168"/>
      <c r="KT327" s="168"/>
      <c r="KU327" s="168"/>
      <c r="KV327" s="168"/>
      <c r="KW327" s="168"/>
      <c r="KX327" s="168"/>
      <c r="KY327" s="168"/>
      <c r="KZ327" s="168"/>
      <c r="LA327" s="168"/>
      <c r="LB327" s="168"/>
      <c r="LC327" s="168"/>
      <c r="LD327" s="168"/>
      <c r="LE327" s="168"/>
      <c r="LF327" s="168"/>
      <c r="LG327" s="168"/>
      <c r="LH327" s="168"/>
      <c r="LI327" s="168"/>
      <c r="LJ327" s="168"/>
      <c r="LK327" s="168"/>
      <c r="LL327" s="168"/>
      <c r="LM327" s="168"/>
      <c r="LN327" s="168"/>
      <c r="LO327" s="168"/>
      <c r="LP327" s="606"/>
      <c r="LQ327" s="609"/>
      <c r="LR327" s="1319"/>
      <c r="LS327" s="1319"/>
    </row>
    <row r="328" spans="1:331" s="2" customFormat="1" ht="15" customHeight="1" x14ac:dyDescent="0.25">
      <c r="A328" s="283"/>
      <c r="B328" s="303"/>
      <c r="C328" s="301"/>
      <c r="D328" s="1287"/>
      <c r="E328" s="2298"/>
      <c r="F328" s="1812"/>
      <c r="G328" s="3342"/>
      <c r="H328" s="66"/>
      <c r="I328" s="1746"/>
      <c r="J328" s="1214"/>
      <c r="K328" s="105"/>
      <c r="L328" s="91"/>
      <c r="M328" s="92"/>
      <c r="N328" s="93"/>
      <c r="O328" s="94"/>
      <c r="P328" s="96"/>
      <c r="Q328" s="95"/>
      <c r="R328" s="993">
        <f t="shared" si="1039"/>
        <v>0</v>
      </c>
      <c r="S328" s="23">
        <f t="shared" si="1040"/>
        <v>0</v>
      </c>
      <c r="T328" s="24">
        <f t="shared" si="1071"/>
        <v>0</v>
      </c>
      <c r="U328" s="24">
        <f t="shared" si="1072"/>
        <v>0</v>
      </c>
      <c r="V328" s="24">
        <f t="shared" si="1073"/>
        <v>0</v>
      </c>
      <c r="W328" s="24">
        <f t="shared" ca="1" si="1074"/>
        <v>0</v>
      </c>
      <c r="X328" s="72">
        <f t="shared" ca="1" si="1119"/>
        <v>0</v>
      </c>
      <c r="Y328" s="72">
        <f t="shared" si="1075"/>
        <v>0</v>
      </c>
      <c r="Z328" s="24">
        <f t="shared" si="1076"/>
        <v>0</v>
      </c>
      <c r="AA328" s="72">
        <f t="shared" si="1120"/>
        <v>0</v>
      </c>
      <c r="AB328" s="24">
        <f t="shared" si="1131"/>
        <v>0</v>
      </c>
      <c r="AC328" s="24">
        <f t="shared" ca="1" si="1077"/>
        <v>0</v>
      </c>
      <c r="AD328" s="24">
        <f t="shared" si="1049"/>
        <v>0</v>
      </c>
      <c r="AE328" s="2078">
        <f t="shared" si="1125"/>
        <v>3</v>
      </c>
      <c r="AF328" s="2078">
        <f t="shared" si="1126"/>
        <v>0</v>
      </c>
      <c r="AG328" s="2078">
        <f t="shared" si="1127"/>
        <v>0</v>
      </c>
      <c r="AH328" s="2521">
        <f t="shared" si="1050"/>
        <v>1</v>
      </c>
      <c r="AI328" s="25" t="str">
        <f t="shared" si="1078"/>
        <v/>
      </c>
      <c r="AJ328" s="2521">
        <f t="shared" ca="1" si="1045"/>
        <v>0</v>
      </c>
      <c r="AK328" s="2076">
        <f t="shared" ca="1" si="1041"/>
        <v>0</v>
      </c>
      <c r="AL328" s="2078">
        <f>IF(ISBLANK(J328),0,ISERROR(MATCH(J328,'5  Control Accounts'!$FA$29:$FA$96,0))*1)</f>
        <v>0</v>
      </c>
      <c r="AM328" s="2076">
        <f t="shared" si="1079"/>
        <v>0</v>
      </c>
      <c r="AN328" s="2078">
        <f t="shared" si="1080"/>
        <v>1</v>
      </c>
      <c r="AO328" s="2079">
        <f t="shared" si="1051"/>
        <v>1</v>
      </c>
      <c r="AP328" s="2079">
        <f t="shared" si="1052"/>
        <v>0</v>
      </c>
      <c r="AQ328" s="2079">
        <f t="shared" si="1053"/>
        <v>0</v>
      </c>
      <c r="AR328" s="2079">
        <f t="shared" si="1054"/>
        <v>0</v>
      </c>
      <c r="AS328" s="2079">
        <f t="shared" si="1055"/>
        <v>0</v>
      </c>
      <c r="AT328" s="2079">
        <f t="shared" si="1056"/>
        <v>0</v>
      </c>
      <c r="AU328" s="2079">
        <f t="shared" si="1057"/>
        <v>0</v>
      </c>
      <c r="AV328" s="2079">
        <f t="shared" si="1058"/>
        <v>0</v>
      </c>
      <c r="AW328" s="2079">
        <f t="shared" si="1059"/>
        <v>0</v>
      </c>
      <c r="AX328" s="2079">
        <f t="shared" si="1060"/>
        <v>0</v>
      </c>
      <c r="AY328" s="2078">
        <f t="shared" si="1081"/>
        <v>0</v>
      </c>
      <c r="AZ328" s="2078">
        <f t="shared" si="1082"/>
        <v>0</v>
      </c>
      <c r="BA328" s="2078">
        <f t="shared" si="1083"/>
        <v>0</v>
      </c>
      <c r="BB328" s="2078">
        <f t="shared" si="1084"/>
        <v>0</v>
      </c>
      <c r="BC328" s="2078">
        <f t="shared" si="1085"/>
        <v>0</v>
      </c>
      <c r="BD328" s="2078">
        <f t="shared" si="1086"/>
        <v>0</v>
      </c>
      <c r="BE328" s="2078">
        <f t="shared" si="1087"/>
        <v>0</v>
      </c>
      <c r="BF328" s="2078">
        <f t="shared" si="1088"/>
        <v>0</v>
      </c>
      <c r="BG328" s="2078">
        <f t="shared" si="1089"/>
        <v>0</v>
      </c>
      <c r="BH328" s="2078">
        <f t="shared" si="1090"/>
        <v>0</v>
      </c>
      <c r="BI328" s="2078">
        <f t="shared" si="1091"/>
        <v>0</v>
      </c>
      <c r="BJ328" s="2078">
        <f t="shared" si="1092"/>
        <v>0</v>
      </c>
      <c r="BK328" s="2078">
        <f t="shared" si="1093"/>
        <v>0</v>
      </c>
      <c r="BL328" s="2078">
        <f t="shared" si="1094"/>
        <v>0</v>
      </c>
      <c r="BM328" s="2078">
        <f t="shared" si="1095"/>
        <v>0</v>
      </c>
      <c r="BN328" s="2078">
        <f t="shared" si="1096"/>
        <v>0</v>
      </c>
      <c r="BO328" s="2078">
        <f t="shared" si="1097"/>
        <v>0</v>
      </c>
      <c r="BP328" s="2078">
        <f t="shared" si="1098"/>
        <v>0</v>
      </c>
      <c r="BQ328" s="2078">
        <f t="shared" si="1099"/>
        <v>0</v>
      </c>
      <c r="BR328" s="2078">
        <f t="shared" si="1100"/>
        <v>0</v>
      </c>
      <c r="BS328" s="2079">
        <f t="shared" si="1061"/>
        <v>1</v>
      </c>
      <c r="BT328" s="2079">
        <f t="shared" si="1062"/>
        <v>0</v>
      </c>
      <c r="BU328" s="2079">
        <f t="shared" si="1063"/>
        <v>0</v>
      </c>
      <c r="BV328" s="2079">
        <f t="shared" si="1064"/>
        <v>0</v>
      </c>
      <c r="BW328" s="2079">
        <f t="shared" si="1065"/>
        <v>0</v>
      </c>
      <c r="BX328" s="2079">
        <f t="shared" si="1066"/>
        <v>0</v>
      </c>
      <c r="BY328" s="2079">
        <f t="shared" si="1067"/>
        <v>0</v>
      </c>
      <c r="BZ328" s="2079">
        <f t="shared" si="1068"/>
        <v>0</v>
      </c>
      <c r="CA328" s="2079">
        <f t="shared" si="1069"/>
        <v>0</v>
      </c>
      <c r="CB328" s="2079">
        <f t="shared" si="1070"/>
        <v>0</v>
      </c>
      <c r="CC328" s="2078">
        <f t="shared" ca="1" si="1101"/>
        <v>0</v>
      </c>
      <c r="CD328" s="2078">
        <f t="shared" ca="1" si="1102"/>
        <v>0</v>
      </c>
      <c r="CE328" s="2078">
        <f t="shared" ca="1" si="1103"/>
        <v>0</v>
      </c>
      <c r="CF328" s="2078">
        <f t="shared" ca="1" si="1104"/>
        <v>0</v>
      </c>
      <c r="CG328" s="2078">
        <f t="shared" ca="1" si="1105"/>
        <v>0</v>
      </c>
      <c r="CH328" s="2078">
        <f t="shared" ca="1" si="1106"/>
        <v>0</v>
      </c>
      <c r="CI328" s="2078">
        <f t="shared" ca="1" si="1107"/>
        <v>0</v>
      </c>
      <c r="CJ328" s="2078">
        <f t="shared" ca="1" si="1108"/>
        <v>0</v>
      </c>
      <c r="CK328" s="2078">
        <f t="shared" ca="1" si="1109"/>
        <v>0</v>
      </c>
      <c r="CL328" s="2078">
        <f t="shared" ca="1" si="1110"/>
        <v>0</v>
      </c>
      <c r="CM328" s="2078">
        <f t="shared" si="1132"/>
        <v>1</v>
      </c>
      <c r="CN328" s="2078">
        <f t="shared" si="1133"/>
        <v>1</v>
      </c>
      <c r="CO328" s="2078">
        <f t="shared" si="1121"/>
        <v>1</v>
      </c>
      <c r="CP328" s="2078">
        <f t="shared" si="1111"/>
        <v>1</v>
      </c>
      <c r="CQ328" s="2078">
        <f t="shared" si="1122"/>
        <v>0</v>
      </c>
      <c r="CR328" s="2078">
        <f t="shared" si="1042"/>
        <v>0</v>
      </c>
      <c r="CS328" s="2078">
        <f t="shared" si="1112"/>
        <v>0</v>
      </c>
      <c r="CT328" s="2078">
        <f t="shared" si="1123"/>
        <v>1</v>
      </c>
      <c r="CU328" s="2078">
        <f t="shared" si="1113"/>
        <v>1</v>
      </c>
      <c r="CV328" s="2078">
        <f t="shared" si="1134"/>
        <v>0</v>
      </c>
      <c r="CW328" s="2078">
        <f>IF(OR(AE328&lt;&gt;3,F328="Exclude"),0,IF(ISERROR(MATCH($E328,'4 Sign-off'!$S$123:$X$123,0)),0,1))</f>
        <v>0</v>
      </c>
      <c r="CX328" s="2078">
        <f t="shared" si="1046"/>
        <v>0</v>
      </c>
      <c r="CY328" s="2078">
        <f t="shared" si="1135"/>
        <v>0</v>
      </c>
      <c r="CZ328" s="2993">
        <f t="shared" ca="1" si="1043"/>
        <v>0</v>
      </c>
      <c r="DA328" s="3037">
        <f t="shared" ca="1" si="1044"/>
        <v>0</v>
      </c>
      <c r="DB328" s="1664"/>
      <c r="DC328" s="1320"/>
      <c r="DD328" s="589"/>
      <c r="DE328" s="1321"/>
      <c r="DF328" s="107"/>
      <c r="DG328" s="112"/>
      <c r="DH328" s="140"/>
      <c r="DI328" s="22"/>
      <c r="DJ328" s="145"/>
      <c r="DK328" s="137"/>
      <c r="DL328" s="137"/>
      <c r="DM328" s="137"/>
      <c r="DN328" s="137"/>
      <c r="DO328" s="137"/>
      <c r="DP328" s="137"/>
      <c r="DQ328" s="137"/>
      <c r="DR328" s="137"/>
      <c r="DS328" s="137"/>
      <c r="DT328" s="137"/>
      <c r="DU328" s="137"/>
      <c r="DV328" s="137"/>
      <c r="DW328" s="137"/>
      <c r="DX328" s="137"/>
      <c r="DY328" s="137"/>
      <c r="DZ328" s="137"/>
      <c r="EA328" s="137"/>
      <c r="EB328" s="137"/>
      <c r="EC328" s="137"/>
      <c r="ED328" s="137"/>
      <c r="EE328" s="137"/>
      <c r="EF328" s="137"/>
      <c r="EG328" s="137"/>
      <c r="EH328" s="137"/>
      <c r="EI328" s="137"/>
      <c r="EJ328" s="137"/>
      <c r="EK328" s="137"/>
      <c r="EL328" s="137"/>
      <c r="EM328" s="137"/>
      <c r="EN328" s="137"/>
      <c r="EO328" s="137"/>
      <c r="EP328" s="137"/>
      <c r="EQ328" s="137"/>
      <c r="ER328" s="137"/>
      <c r="ES328" s="137"/>
      <c r="ET328" s="137"/>
      <c r="EU328" s="137"/>
      <c r="EV328" s="137"/>
      <c r="EW328" s="137"/>
      <c r="EX328" s="137"/>
      <c r="EY328" s="137"/>
      <c r="EZ328" s="137"/>
      <c r="FA328" s="137"/>
      <c r="FB328" s="137"/>
      <c r="FC328" s="137"/>
      <c r="FD328" s="137"/>
      <c r="FE328" s="137"/>
      <c r="FF328" s="137"/>
      <c r="FG328" s="860"/>
      <c r="FH328" s="863"/>
      <c r="FI328" s="1318"/>
      <c r="FJ328" s="126"/>
      <c r="FK328" s="127"/>
      <c r="FL328" s="128" t="str">
        <f t="shared" si="1114"/>
        <v xml:space="preserve">    </v>
      </c>
      <c r="FM328" s="128"/>
      <c r="FN328" s="1686">
        <f t="shared" si="1115"/>
        <v>0</v>
      </c>
      <c r="FO328" s="46">
        <f t="shared" si="1136"/>
        <v>0</v>
      </c>
      <c r="FP328" s="46">
        <f t="shared" ref="FP328" si="1142">IFERROR(1/FQ328,1)</f>
        <v>1</v>
      </c>
      <c r="FQ328" s="75">
        <f t="shared" si="1116"/>
        <v>0</v>
      </c>
      <c r="FR328" s="46">
        <f t="shared" ref="FR328" si="1143">SUM(GT328:LQ328)</f>
        <v>0</v>
      </c>
      <c r="FS328" s="46">
        <f t="shared" si="1129"/>
        <v>1</v>
      </c>
      <c r="FT328" s="75">
        <f t="shared" si="1117"/>
        <v>0</v>
      </c>
      <c r="FU328" s="2603">
        <f t="shared" si="1137"/>
        <v>0</v>
      </c>
      <c r="FV328" s="2607">
        <f t="shared" si="1138"/>
        <v>0</v>
      </c>
      <c r="FW328" s="2603">
        <f t="shared" si="1139"/>
        <v>0</v>
      </c>
      <c r="FX328" s="2631">
        <f t="shared" si="1140"/>
        <v>0</v>
      </c>
      <c r="FY328" s="81" t="e">
        <f t="shared" si="1130"/>
        <v>#N/A</v>
      </c>
      <c r="FZ328" s="64" t="e">
        <f t="array" ref="FZ328">MATCH(1,($GT328:$LQ328&gt;0)*$GT$25:$LQ$25,0)</f>
        <v>#N/A</v>
      </c>
      <c r="GA328" s="64" t="e">
        <f t="array" ref="GA328">MATCH(2,1/(GT328:LQ328&gt;0))</f>
        <v>#N/A</v>
      </c>
      <c r="GB328" s="64">
        <f t="shared" si="1118"/>
        <v>-1</v>
      </c>
      <c r="GC328" s="46"/>
      <c r="GD328" s="613"/>
      <c r="GE328" s="613"/>
      <c r="GF328" s="613"/>
      <c r="GG328" s="613"/>
      <c r="GH328" s="613"/>
      <c r="GI328" s="613"/>
      <c r="GJ328" s="613"/>
      <c r="GK328" s="613"/>
      <c r="GL328" s="613"/>
      <c r="GM328" s="613"/>
      <c r="GN328" s="385">
        <f t="shared" si="1047"/>
        <v>0</v>
      </c>
      <c r="GO328" s="386">
        <f t="shared" si="1048"/>
        <v>0</v>
      </c>
      <c r="GP328" s="2635"/>
      <c r="GQ328" s="175"/>
      <c r="GR328" s="172"/>
      <c r="GS328" s="65"/>
      <c r="GT328" s="167"/>
      <c r="GU328" s="168"/>
      <c r="GV328" s="168"/>
      <c r="GW328" s="168"/>
      <c r="GX328" s="168"/>
      <c r="GY328" s="168"/>
      <c r="GZ328" s="168"/>
      <c r="HA328" s="168"/>
      <c r="HB328" s="168"/>
      <c r="HC328" s="168"/>
      <c r="HD328" s="168"/>
      <c r="HE328" s="168"/>
      <c r="HF328" s="168"/>
      <c r="HG328" s="168"/>
      <c r="HH328" s="168"/>
      <c r="HI328" s="168"/>
      <c r="HJ328" s="168"/>
      <c r="HK328" s="168"/>
      <c r="HL328" s="168"/>
      <c r="HM328" s="168"/>
      <c r="HN328" s="168"/>
      <c r="HO328" s="168"/>
      <c r="HP328" s="168"/>
      <c r="HQ328" s="168"/>
      <c r="HR328" s="168"/>
      <c r="HS328" s="168"/>
      <c r="HT328" s="168"/>
      <c r="HU328" s="168"/>
      <c r="HV328" s="168"/>
      <c r="HW328" s="168"/>
      <c r="HX328" s="168"/>
      <c r="HY328" s="168"/>
      <c r="HZ328" s="168"/>
      <c r="IA328" s="168"/>
      <c r="IB328" s="168"/>
      <c r="IC328" s="168"/>
      <c r="ID328" s="168"/>
      <c r="IE328" s="168"/>
      <c r="IF328" s="168"/>
      <c r="IG328" s="168"/>
      <c r="IH328" s="168"/>
      <c r="II328" s="168"/>
      <c r="IJ328" s="168"/>
      <c r="IK328" s="168"/>
      <c r="IL328" s="168"/>
      <c r="IM328" s="168"/>
      <c r="IN328" s="168"/>
      <c r="IO328" s="168"/>
      <c r="IP328" s="168"/>
      <c r="IQ328" s="168"/>
      <c r="IR328" s="168"/>
      <c r="IS328" s="168"/>
      <c r="IT328" s="168"/>
      <c r="IU328" s="168"/>
      <c r="IV328" s="168"/>
      <c r="IW328" s="168"/>
      <c r="IX328" s="168"/>
      <c r="IY328" s="168"/>
      <c r="IZ328" s="168"/>
      <c r="JA328" s="168"/>
      <c r="JB328" s="168"/>
      <c r="JC328" s="168"/>
      <c r="JD328" s="168"/>
      <c r="JE328" s="168"/>
      <c r="JF328" s="168"/>
      <c r="JG328" s="168"/>
      <c r="JH328" s="168"/>
      <c r="JI328" s="168"/>
      <c r="JJ328" s="168"/>
      <c r="JK328" s="168"/>
      <c r="JL328" s="168"/>
      <c r="JM328" s="168"/>
      <c r="JN328" s="168"/>
      <c r="JO328" s="168"/>
      <c r="JP328" s="168"/>
      <c r="JQ328" s="168"/>
      <c r="JR328" s="168"/>
      <c r="JS328" s="168"/>
      <c r="JT328" s="168"/>
      <c r="JU328" s="168"/>
      <c r="JV328" s="168"/>
      <c r="JW328" s="168"/>
      <c r="JX328" s="168"/>
      <c r="JY328" s="168"/>
      <c r="JZ328" s="168"/>
      <c r="KA328" s="168"/>
      <c r="KB328" s="168"/>
      <c r="KC328" s="168"/>
      <c r="KD328" s="168"/>
      <c r="KE328" s="168"/>
      <c r="KF328" s="168"/>
      <c r="KG328" s="168"/>
      <c r="KH328" s="168"/>
      <c r="KI328" s="168"/>
      <c r="KJ328" s="168"/>
      <c r="KK328" s="168"/>
      <c r="KL328" s="168"/>
      <c r="KM328" s="168"/>
      <c r="KN328" s="168"/>
      <c r="KO328" s="168"/>
      <c r="KP328" s="168"/>
      <c r="KQ328" s="168"/>
      <c r="KR328" s="168"/>
      <c r="KS328" s="168"/>
      <c r="KT328" s="168"/>
      <c r="KU328" s="168"/>
      <c r="KV328" s="168"/>
      <c r="KW328" s="168"/>
      <c r="KX328" s="168"/>
      <c r="KY328" s="168"/>
      <c r="KZ328" s="168"/>
      <c r="LA328" s="168"/>
      <c r="LB328" s="168"/>
      <c r="LC328" s="168"/>
      <c r="LD328" s="168"/>
      <c r="LE328" s="168"/>
      <c r="LF328" s="168"/>
      <c r="LG328" s="168"/>
      <c r="LH328" s="168"/>
      <c r="LI328" s="168"/>
      <c r="LJ328" s="168"/>
      <c r="LK328" s="168"/>
      <c r="LL328" s="168"/>
      <c r="LM328" s="168"/>
      <c r="LN328" s="168"/>
      <c r="LO328" s="168"/>
      <c r="LP328" s="606"/>
      <c r="LQ328" s="609"/>
      <c r="LR328" s="1319"/>
      <c r="LS328" s="1319"/>
    </row>
    <row r="329" spans="1:331" s="2" customFormat="1" ht="15" customHeight="1" x14ac:dyDescent="0.25">
      <c r="A329" s="283"/>
      <c r="B329" s="303"/>
      <c r="C329" s="301"/>
      <c r="D329" s="1287"/>
      <c r="E329" s="2298"/>
      <c r="F329" s="1812"/>
      <c r="G329" s="3342"/>
      <c r="H329" s="66"/>
      <c r="I329" s="1746"/>
      <c r="J329" s="1214"/>
      <c r="K329" s="105"/>
      <c r="L329" s="91"/>
      <c r="M329" s="92"/>
      <c r="N329" s="93"/>
      <c r="O329" s="94"/>
      <c r="P329" s="96"/>
      <c r="Q329" s="95"/>
      <c r="R329" s="993">
        <f t="shared" si="1039"/>
        <v>0</v>
      </c>
      <c r="S329" s="23">
        <f t="shared" si="1040"/>
        <v>0</v>
      </c>
      <c r="T329" s="24">
        <f t="shared" si="1071"/>
        <v>0</v>
      </c>
      <c r="U329" s="24">
        <f t="shared" si="1072"/>
        <v>0</v>
      </c>
      <c r="V329" s="24">
        <f t="shared" si="1073"/>
        <v>0</v>
      </c>
      <c r="W329" s="24">
        <f t="shared" ca="1" si="1074"/>
        <v>0</v>
      </c>
      <c r="X329" s="72">
        <f t="shared" ca="1" si="1119"/>
        <v>0</v>
      </c>
      <c r="Y329" s="72">
        <f t="shared" si="1075"/>
        <v>0</v>
      </c>
      <c r="Z329" s="24">
        <f t="shared" si="1076"/>
        <v>0</v>
      </c>
      <c r="AA329" s="72">
        <f t="shared" si="1120"/>
        <v>0</v>
      </c>
      <c r="AB329" s="24">
        <f t="shared" si="1131"/>
        <v>0</v>
      </c>
      <c r="AC329" s="24">
        <f t="shared" ca="1" si="1077"/>
        <v>0</v>
      </c>
      <c r="AD329" s="24">
        <f t="shared" si="1049"/>
        <v>0</v>
      </c>
      <c r="AE329" s="2078">
        <f t="shared" si="1125"/>
        <v>3</v>
      </c>
      <c r="AF329" s="2078">
        <f t="shared" si="1126"/>
        <v>0</v>
      </c>
      <c r="AG329" s="2078">
        <f t="shared" si="1127"/>
        <v>0</v>
      </c>
      <c r="AH329" s="2521">
        <f t="shared" si="1050"/>
        <v>1</v>
      </c>
      <c r="AI329" s="25" t="str">
        <f t="shared" si="1078"/>
        <v/>
      </c>
      <c r="AJ329" s="2521">
        <f t="shared" ca="1" si="1045"/>
        <v>0</v>
      </c>
      <c r="AK329" s="2076">
        <f t="shared" ca="1" si="1041"/>
        <v>0</v>
      </c>
      <c r="AL329" s="2078">
        <f>IF(ISBLANK(J329),0,ISERROR(MATCH(J329,'5  Control Accounts'!$FA$29:$FA$96,0))*1)</f>
        <v>0</v>
      </c>
      <c r="AM329" s="2076">
        <f t="shared" si="1079"/>
        <v>0</v>
      </c>
      <c r="AN329" s="2078">
        <f t="shared" si="1080"/>
        <v>1</v>
      </c>
      <c r="AO329" s="2079">
        <f t="shared" si="1051"/>
        <v>1</v>
      </c>
      <c r="AP329" s="2079">
        <f t="shared" si="1052"/>
        <v>0</v>
      </c>
      <c r="AQ329" s="2079">
        <f t="shared" si="1053"/>
        <v>0</v>
      </c>
      <c r="AR329" s="2079">
        <f t="shared" si="1054"/>
        <v>0</v>
      </c>
      <c r="AS329" s="2079">
        <f t="shared" si="1055"/>
        <v>0</v>
      </c>
      <c r="AT329" s="2079">
        <f t="shared" si="1056"/>
        <v>0</v>
      </c>
      <c r="AU329" s="2079">
        <f t="shared" si="1057"/>
        <v>0</v>
      </c>
      <c r="AV329" s="2079">
        <f t="shared" si="1058"/>
        <v>0</v>
      </c>
      <c r="AW329" s="2079">
        <f t="shared" si="1059"/>
        <v>0</v>
      </c>
      <c r="AX329" s="2079">
        <f t="shared" si="1060"/>
        <v>0</v>
      </c>
      <c r="AY329" s="2078">
        <f t="shared" si="1081"/>
        <v>0</v>
      </c>
      <c r="AZ329" s="2078">
        <f t="shared" si="1082"/>
        <v>0</v>
      </c>
      <c r="BA329" s="2078">
        <f t="shared" si="1083"/>
        <v>0</v>
      </c>
      <c r="BB329" s="2078">
        <f t="shared" si="1084"/>
        <v>0</v>
      </c>
      <c r="BC329" s="2078">
        <f t="shared" si="1085"/>
        <v>0</v>
      </c>
      <c r="BD329" s="2078">
        <f t="shared" si="1086"/>
        <v>0</v>
      </c>
      <c r="BE329" s="2078">
        <f t="shared" si="1087"/>
        <v>0</v>
      </c>
      <c r="BF329" s="2078">
        <f t="shared" si="1088"/>
        <v>0</v>
      </c>
      <c r="BG329" s="2078">
        <f t="shared" si="1089"/>
        <v>0</v>
      </c>
      <c r="BH329" s="2078">
        <f t="shared" si="1090"/>
        <v>0</v>
      </c>
      <c r="BI329" s="2078">
        <f t="shared" si="1091"/>
        <v>0</v>
      </c>
      <c r="BJ329" s="2078">
        <f t="shared" si="1092"/>
        <v>0</v>
      </c>
      <c r="BK329" s="2078">
        <f t="shared" si="1093"/>
        <v>0</v>
      </c>
      <c r="BL329" s="2078">
        <f t="shared" si="1094"/>
        <v>0</v>
      </c>
      <c r="BM329" s="2078">
        <f t="shared" si="1095"/>
        <v>0</v>
      </c>
      <c r="BN329" s="2078">
        <f t="shared" si="1096"/>
        <v>0</v>
      </c>
      <c r="BO329" s="2078">
        <f t="shared" si="1097"/>
        <v>0</v>
      </c>
      <c r="BP329" s="2078">
        <f t="shared" si="1098"/>
        <v>0</v>
      </c>
      <c r="BQ329" s="2078">
        <f t="shared" si="1099"/>
        <v>0</v>
      </c>
      <c r="BR329" s="2078">
        <f t="shared" si="1100"/>
        <v>0</v>
      </c>
      <c r="BS329" s="2079">
        <f t="shared" si="1061"/>
        <v>1</v>
      </c>
      <c r="BT329" s="2079">
        <f t="shared" si="1062"/>
        <v>0</v>
      </c>
      <c r="BU329" s="2079">
        <f t="shared" si="1063"/>
        <v>0</v>
      </c>
      <c r="BV329" s="2079">
        <f t="shared" si="1064"/>
        <v>0</v>
      </c>
      <c r="BW329" s="2079">
        <f t="shared" si="1065"/>
        <v>0</v>
      </c>
      <c r="BX329" s="2079">
        <f t="shared" si="1066"/>
        <v>0</v>
      </c>
      <c r="BY329" s="2079">
        <f t="shared" si="1067"/>
        <v>0</v>
      </c>
      <c r="BZ329" s="2079">
        <f t="shared" si="1068"/>
        <v>0</v>
      </c>
      <c r="CA329" s="2079">
        <f t="shared" si="1069"/>
        <v>0</v>
      </c>
      <c r="CB329" s="2079">
        <f t="shared" si="1070"/>
        <v>0</v>
      </c>
      <c r="CC329" s="2078">
        <f t="shared" ca="1" si="1101"/>
        <v>0</v>
      </c>
      <c r="CD329" s="2078">
        <f t="shared" ca="1" si="1102"/>
        <v>0</v>
      </c>
      <c r="CE329" s="2078">
        <f t="shared" ca="1" si="1103"/>
        <v>0</v>
      </c>
      <c r="CF329" s="2078">
        <f t="shared" ca="1" si="1104"/>
        <v>0</v>
      </c>
      <c r="CG329" s="2078">
        <f t="shared" ca="1" si="1105"/>
        <v>0</v>
      </c>
      <c r="CH329" s="2078">
        <f t="shared" ca="1" si="1106"/>
        <v>0</v>
      </c>
      <c r="CI329" s="2078">
        <f t="shared" ca="1" si="1107"/>
        <v>0</v>
      </c>
      <c r="CJ329" s="2078">
        <f t="shared" ca="1" si="1108"/>
        <v>0</v>
      </c>
      <c r="CK329" s="2078">
        <f t="shared" ca="1" si="1109"/>
        <v>0</v>
      </c>
      <c r="CL329" s="2078">
        <f t="shared" ca="1" si="1110"/>
        <v>0</v>
      </c>
      <c r="CM329" s="2078">
        <f t="shared" si="1132"/>
        <v>1</v>
      </c>
      <c r="CN329" s="2078">
        <f t="shared" si="1133"/>
        <v>1</v>
      </c>
      <c r="CO329" s="2078">
        <f t="shared" si="1121"/>
        <v>1</v>
      </c>
      <c r="CP329" s="2078">
        <f t="shared" si="1111"/>
        <v>1</v>
      </c>
      <c r="CQ329" s="2078">
        <f t="shared" si="1122"/>
        <v>0</v>
      </c>
      <c r="CR329" s="2078">
        <f t="shared" si="1042"/>
        <v>0</v>
      </c>
      <c r="CS329" s="2078">
        <f t="shared" si="1112"/>
        <v>0</v>
      </c>
      <c r="CT329" s="2078">
        <f t="shared" si="1123"/>
        <v>1</v>
      </c>
      <c r="CU329" s="2078">
        <f t="shared" si="1113"/>
        <v>1</v>
      </c>
      <c r="CV329" s="2078">
        <f t="shared" si="1134"/>
        <v>0</v>
      </c>
      <c r="CW329" s="2078">
        <f>IF(OR(AE329&lt;&gt;3,F329="Exclude"),0,IF(ISERROR(MATCH($E329,'4 Sign-off'!$S$123:$X$123,0)),0,1))</f>
        <v>0</v>
      </c>
      <c r="CX329" s="2078">
        <f t="shared" si="1046"/>
        <v>0</v>
      </c>
      <c r="CY329" s="2078">
        <f t="shared" si="1135"/>
        <v>0</v>
      </c>
      <c r="CZ329" s="2993">
        <f t="shared" ca="1" si="1043"/>
        <v>0</v>
      </c>
      <c r="DA329" s="3037">
        <f t="shared" ca="1" si="1044"/>
        <v>0</v>
      </c>
      <c r="DB329" s="1664"/>
      <c r="DC329" s="1320"/>
      <c r="DD329" s="589"/>
      <c r="DE329" s="1321"/>
      <c r="DF329" s="107"/>
      <c r="DG329" s="112"/>
      <c r="DH329" s="140"/>
      <c r="DI329" s="22"/>
      <c r="DJ329" s="145"/>
      <c r="DK329" s="137"/>
      <c r="DL329" s="137"/>
      <c r="DM329" s="137"/>
      <c r="DN329" s="137"/>
      <c r="DO329" s="137"/>
      <c r="DP329" s="137"/>
      <c r="DQ329" s="137"/>
      <c r="DR329" s="137"/>
      <c r="DS329" s="137"/>
      <c r="DT329" s="137"/>
      <c r="DU329" s="137"/>
      <c r="DV329" s="137"/>
      <c r="DW329" s="137"/>
      <c r="DX329" s="137"/>
      <c r="DY329" s="137"/>
      <c r="DZ329" s="137"/>
      <c r="EA329" s="137"/>
      <c r="EB329" s="137"/>
      <c r="EC329" s="137"/>
      <c r="ED329" s="137"/>
      <c r="EE329" s="137"/>
      <c r="EF329" s="137"/>
      <c r="EG329" s="137"/>
      <c r="EH329" s="137"/>
      <c r="EI329" s="137"/>
      <c r="EJ329" s="137"/>
      <c r="EK329" s="137"/>
      <c r="EL329" s="137"/>
      <c r="EM329" s="137"/>
      <c r="EN329" s="137"/>
      <c r="EO329" s="137"/>
      <c r="EP329" s="137"/>
      <c r="EQ329" s="137"/>
      <c r="ER329" s="137"/>
      <c r="ES329" s="137"/>
      <c r="ET329" s="137"/>
      <c r="EU329" s="137"/>
      <c r="EV329" s="137"/>
      <c r="EW329" s="137"/>
      <c r="EX329" s="137"/>
      <c r="EY329" s="137"/>
      <c r="EZ329" s="137"/>
      <c r="FA329" s="137"/>
      <c r="FB329" s="137"/>
      <c r="FC329" s="137"/>
      <c r="FD329" s="137"/>
      <c r="FE329" s="137"/>
      <c r="FF329" s="137"/>
      <c r="FG329" s="860"/>
      <c r="FH329" s="863"/>
      <c r="FI329" s="1318"/>
      <c r="FJ329" s="126"/>
      <c r="FK329" s="127"/>
      <c r="FL329" s="128" t="str">
        <f t="shared" si="1114"/>
        <v xml:space="preserve">    </v>
      </c>
      <c r="FM329" s="128"/>
      <c r="FN329" s="1686">
        <f t="shared" si="1115"/>
        <v>0</v>
      </c>
      <c r="FO329" s="46">
        <f t="shared" si="1136"/>
        <v>0</v>
      </c>
      <c r="FP329" s="46">
        <f t="shared" si="1124"/>
        <v>1</v>
      </c>
      <c r="FQ329" s="75">
        <f t="shared" si="1116"/>
        <v>0</v>
      </c>
      <c r="FR329" s="46">
        <f t="shared" si="1128"/>
        <v>0</v>
      </c>
      <c r="FS329" s="46">
        <f t="shared" si="1129"/>
        <v>1</v>
      </c>
      <c r="FT329" s="75">
        <f t="shared" si="1117"/>
        <v>0</v>
      </c>
      <c r="FU329" s="2603">
        <f t="shared" si="1137"/>
        <v>0</v>
      </c>
      <c r="FV329" s="2607">
        <f t="shared" si="1138"/>
        <v>0</v>
      </c>
      <c r="FW329" s="2603">
        <f t="shared" si="1139"/>
        <v>0</v>
      </c>
      <c r="FX329" s="2631">
        <f t="shared" si="1140"/>
        <v>0</v>
      </c>
      <c r="FY329" s="81" t="e">
        <f t="shared" si="1130"/>
        <v>#N/A</v>
      </c>
      <c r="FZ329" s="64" t="e">
        <f t="array" ref="FZ329">MATCH(1,($GT329:$LQ329&gt;0)*$GT$25:$LQ$25,0)</f>
        <v>#N/A</v>
      </c>
      <c r="GA329" s="64" t="e">
        <f t="array" ref="GA329">MATCH(2,1/(GT329:LQ329&gt;0))</f>
        <v>#N/A</v>
      </c>
      <c r="GB329" s="64">
        <f t="shared" si="1118"/>
        <v>-1</v>
      </c>
      <c r="GC329" s="46"/>
      <c r="GD329" s="613"/>
      <c r="GE329" s="613"/>
      <c r="GF329" s="613"/>
      <c r="GG329" s="613"/>
      <c r="GH329" s="613"/>
      <c r="GI329" s="613"/>
      <c r="GJ329" s="613"/>
      <c r="GK329" s="613"/>
      <c r="GL329" s="613"/>
      <c r="GM329" s="613"/>
      <c r="GN329" s="385">
        <f t="shared" si="1047"/>
        <v>0</v>
      </c>
      <c r="GO329" s="386">
        <f t="shared" si="1048"/>
        <v>0</v>
      </c>
      <c r="GP329" s="2635"/>
      <c r="GQ329" s="175"/>
      <c r="GR329" s="172"/>
      <c r="GS329" s="65"/>
      <c r="GT329" s="167"/>
      <c r="GU329" s="168"/>
      <c r="GV329" s="168"/>
      <c r="GW329" s="168"/>
      <c r="GX329" s="168"/>
      <c r="GY329" s="168"/>
      <c r="GZ329" s="168"/>
      <c r="HA329" s="168"/>
      <c r="HB329" s="168"/>
      <c r="HC329" s="168"/>
      <c r="HD329" s="168"/>
      <c r="HE329" s="168"/>
      <c r="HF329" s="168"/>
      <c r="HG329" s="168"/>
      <c r="HH329" s="168"/>
      <c r="HI329" s="168"/>
      <c r="HJ329" s="168"/>
      <c r="HK329" s="168"/>
      <c r="HL329" s="168"/>
      <c r="HM329" s="168"/>
      <c r="HN329" s="168"/>
      <c r="HO329" s="168"/>
      <c r="HP329" s="168"/>
      <c r="HQ329" s="168"/>
      <c r="HR329" s="168"/>
      <c r="HS329" s="168"/>
      <c r="HT329" s="168"/>
      <c r="HU329" s="168"/>
      <c r="HV329" s="168"/>
      <c r="HW329" s="168"/>
      <c r="HX329" s="168"/>
      <c r="HY329" s="168"/>
      <c r="HZ329" s="168"/>
      <c r="IA329" s="168"/>
      <c r="IB329" s="168"/>
      <c r="IC329" s="168"/>
      <c r="ID329" s="168"/>
      <c r="IE329" s="168"/>
      <c r="IF329" s="168"/>
      <c r="IG329" s="168"/>
      <c r="IH329" s="168"/>
      <c r="II329" s="168"/>
      <c r="IJ329" s="168"/>
      <c r="IK329" s="168"/>
      <c r="IL329" s="168"/>
      <c r="IM329" s="168"/>
      <c r="IN329" s="168"/>
      <c r="IO329" s="168"/>
      <c r="IP329" s="168"/>
      <c r="IQ329" s="168"/>
      <c r="IR329" s="168"/>
      <c r="IS329" s="168"/>
      <c r="IT329" s="168"/>
      <c r="IU329" s="168"/>
      <c r="IV329" s="168"/>
      <c r="IW329" s="168"/>
      <c r="IX329" s="168"/>
      <c r="IY329" s="168"/>
      <c r="IZ329" s="168"/>
      <c r="JA329" s="168"/>
      <c r="JB329" s="168"/>
      <c r="JC329" s="168"/>
      <c r="JD329" s="168"/>
      <c r="JE329" s="168"/>
      <c r="JF329" s="168"/>
      <c r="JG329" s="168"/>
      <c r="JH329" s="168"/>
      <c r="JI329" s="168"/>
      <c r="JJ329" s="168"/>
      <c r="JK329" s="168"/>
      <c r="JL329" s="168"/>
      <c r="JM329" s="168"/>
      <c r="JN329" s="168"/>
      <c r="JO329" s="168"/>
      <c r="JP329" s="168"/>
      <c r="JQ329" s="168"/>
      <c r="JR329" s="168"/>
      <c r="JS329" s="168"/>
      <c r="JT329" s="168"/>
      <c r="JU329" s="168"/>
      <c r="JV329" s="168"/>
      <c r="JW329" s="168"/>
      <c r="JX329" s="168"/>
      <c r="JY329" s="168"/>
      <c r="JZ329" s="168"/>
      <c r="KA329" s="168"/>
      <c r="KB329" s="168"/>
      <c r="KC329" s="168"/>
      <c r="KD329" s="168"/>
      <c r="KE329" s="168"/>
      <c r="KF329" s="168"/>
      <c r="KG329" s="168"/>
      <c r="KH329" s="168"/>
      <c r="KI329" s="168"/>
      <c r="KJ329" s="168"/>
      <c r="KK329" s="168"/>
      <c r="KL329" s="168"/>
      <c r="KM329" s="168"/>
      <c r="KN329" s="168"/>
      <c r="KO329" s="168"/>
      <c r="KP329" s="168"/>
      <c r="KQ329" s="168"/>
      <c r="KR329" s="168"/>
      <c r="KS329" s="168"/>
      <c r="KT329" s="168"/>
      <c r="KU329" s="168"/>
      <c r="KV329" s="168"/>
      <c r="KW329" s="168"/>
      <c r="KX329" s="168"/>
      <c r="KY329" s="168"/>
      <c r="KZ329" s="168"/>
      <c r="LA329" s="168"/>
      <c r="LB329" s="168"/>
      <c r="LC329" s="168"/>
      <c r="LD329" s="168"/>
      <c r="LE329" s="168"/>
      <c r="LF329" s="168"/>
      <c r="LG329" s="168"/>
      <c r="LH329" s="168"/>
      <c r="LI329" s="168"/>
      <c r="LJ329" s="168"/>
      <c r="LK329" s="168"/>
      <c r="LL329" s="168"/>
      <c r="LM329" s="168"/>
      <c r="LN329" s="168"/>
      <c r="LO329" s="168"/>
      <c r="LP329" s="606"/>
      <c r="LQ329" s="609"/>
      <c r="LR329" s="1319"/>
      <c r="LS329" s="1319"/>
    </row>
    <row r="330" spans="1:331" s="2" customFormat="1" ht="15" customHeight="1" x14ac:dyDescent="0.25">
      <c r="A330" s="283"/>
      <c r="B330" s="303"/>
      <c r="C330" s="301"/>
      <c r="D330" s="1287"/>
      <c r="E330" s="2298"/>
      <c r="F330" s="1812"/>
      <c r="G330" s="3342"/>
      <c r="H330" s="66"/>
      <c r="I330" s="1746"/>
      <c r="J330" s="1214"/>
      <c r="K330" s="105"/>
      <c r="L330" s="91"/>
      <c r="M330" s="92"/>
      <c r="N330" s="93"/>
      <c r="O330" s="94"/>
      <c r="P330" s="96"/>
      <c r="Q330" s="95"/>
      <c r="R330" s="993">
        <f t="shared" si="1039"/>
        <v>0</v>
      </c>
      <c r="S330" s="23">
        <f t="shared" si="1040"/>
        <v>0</v>
      </c>
      <c r="T330" s="24">
        <f t="shared" si="1071"/>
        <v>0</v>
      </c>
      <c r="U330" s="24">
        <f t="shared" si="1072"/>
        <v>0</v>
      </c>
      <c r="V330" s="24">
        <f t="shared" si="1073"/>
        <v>0</v>
      </c>
      <c r="W330" s="24">
        <f t="shared" ca="1" si="1074"/>
        <v>0</v>
      </c>
      <c r="X330" s="72">
        <f t="shared" ca="1" si="1119"/>
        <v>0</v>
      </c>
      <c r="Y330" s="72">
        <f t="shared" si="1075"/>
        <v>0</v>
      </c>
      <c r="Z330" s="24">
        <f t="shared" si="1076"/>
        <v>0</v>
      </c>
      <c r="AA330" s="72">
        <f t="shared" si="1120"/>
        <v>0</v>
      </c>
      <c r="AB330" s="24">
        <f t="shared" si="1131"/>
        <v>0</v>
      </c>
      <c r="AC330" s="24">
        <f t="shared" ca="1" si="1077"/>
        <v>0</v>
      </c>
      <c r="AD330" s="24">
        <f t="shared" si="1049"/>
        <v>0</v>
      </c>
      <c r="AE330" s="2078">
        <f t="shared" si="1125"/>
        <v>3</v>
      </c>
      <c r="AF330" s="2078">
        <f t="shared" si="1126"/>
        <v>0</v>
      </c>
      <c r="AG330" s="2078">
        <f t="shared" si="1127"/>
        <v>0</v>
      </c>
      <c r="AH330" s="2521">
        <f t="shared" si="1050"/>
        <v>1</v>
      </c>
      <c r="AI330" s="25" t="str">
        <f t="shared" si="1078"/>
        <v/>
      </c>
      <c r="AJ330" s="2521">
        <f t="shared" ca="1" si="1045"/>
        <v>0</v>
      </c>
      <c r="AK330" s="2076">
        <f t="shared" ca="1" si="1041"/>
        <v>0</v>
      </c>
      <c r="AL330" s="2078">
        <f>IF(ISBLANK(J330),0,ISERROR(MATCH(J330,'5  Control Accounts'!$FA$29:$FA$96,0))*1)</f>
        <v>0</v>
      </c>
      <c r="AM330" s="2076">
        <f t="shared" si="1079"/>
        <v>0</v>
      </c>
      <c r="AN330" s="2078">
        <f t="shared" si="1080"/>
        <v>1</v>
      </c>
      <c r="AO330" s="2079">
        <f t="shared" si="1051"/>
        <v>1</v>
      </c>
      <c r="AP330" s="2079">
        <f t="shared" si="1052"/>
        <v>0</v>
      </c>
      <c r="AQ330" s="2079">
        <f t="shared" si="1053"/>
        <v>0</v>
      </c>
      <c r="AR330" s="2079">
        <f t="shared" si="1054"/>
        <v>0</v>
      </c>
      <c r="AS330" s="2079">
        <f t="shared" si="1055"/>
        <v>0</v>
      </c>
      <c r="AT330" s="2079">
        <f t="shared" si="1056"/>
        <v>0</v>
      </c>
      <c r="AU330" s="2079">
        <f t="shared" si="1057"/>
        <v>0</v>
      </c>
      <c r="AV330" s="2079">
        <f t="shared" si="1058"/>
        <v>0</v>
      </c>
      <c r="AW330" s="2079">
        <f t="shared" si="1059"/>
        <v>0</v>
      </c>
      <c r="AX330" s="2079">
        <f t="shared" si="1060"/>
        <v>0</v>
      </c>
      <c r="AY330" s="2078">
        <f t="shared" si="1081"/>
        <v>0</v>
      </c>
      <c r="AZ330" s="2078">
        <f t="shared" si="1082"/>
        <v>0</v>
      </c>
      <c r="BA330" s="2078">
        <f t="shared" si="1083"/>
        <v>0</v>
      </c>
      <c r="BB330" s="2078">
        <f t="shared" si="1084"/>
        <v>0</v>
      </c>
      <c r="BC330" s="2078">
        <f t="shared" si="1085"/>
        <v>0</v>
      </c>
      <c r="BD330" s="2078">
        <f t="shared" si="1086"/>
        <v>0</v>
      </c>
      <c r="BE330" s="2078">
        <f t="shared" si="1087"/>
        <v>0</v>
      </c>
      <c r="BF330" s="2078">
        <f t="shared" si="1088"/>
        <v>0</v>
      </c>
      <c r="BG330" s="2078">
        <f t="shared" si="1089"/>
        <v>0</v>
      </c>
      <c r="BH330" s="2078">
        <f t="shared" si="1090"/>
        <v>0</v>
      </c>
      <c r="BI330" s="2078">
        <f t="shared" si="1091"/>
        <v>0</v>
      </c>
      <c r="BJ330" s="2078">
        <f t="shared" si="1092"/>
        <v>0</v>
      </c>
      <c r="BK330" s="2078">
        <f t="shared" si="1093"/>
        <v>0</v>
      </c>
      <c r="BL330" s="2078">
        <f t="shared" si="1094"/>
        <v>0</v>
      </c>
      <c r="BM330" s="2078">
        <f t="shared" si="1095"/>
        <v>0</v>
      </c>
      <c r="BN330" s="2078">
        <f t="shared" si="1096"/>
        <v>0</v>
      </c>
      <c r="BO330" s="2078">
        <f t="shared" si="1097"/>
        <v>0</v>
      </c>
      <c r="BP330" s="2078">
        <f t="shared" si="1098"/>
        <v>0</v>
      </c>
      <c r="BQ330" s="2078">
        <f t="shared" si="1099"/>
        <v>0</v>
      </c>
      <c r="BR330" s="2078">
        <f t="shared" si="1100"/>
        <v>0</v>
      </c>
      <c r="BS330" s="2079">
        <f t="shared" si="1061"/>
        <v>1</v>
      </c>
      <c r="BT330" s="2079">
        <f t="shared" si="1062"/>
        <v>0</v>
      </c>
      <c r="BU330" s="2079">
        <f t="shared" si="1063"/>
        <v>0</v>
      </c>
      <c r="BV330" s="2079">
        <f t="shared" si="1064"/>
        <v>0</v>
      </c>
      <c r="BW330" s="2079">
        <f t="shared" si="1065"/>
        <v>0</v>
      </c>
      <c r="BX330" s="2079">
        <f t="shared" si="1066"/>
        <v>0</v>
      </c>
      <c r="BY330" s="2079">
        <f t="shared" si="1067"/>
        <v>0</v>
      </c>
      <c r="BZ330" s="2079">
        <f t="shared" si="1068"/>
        <v>0</v>
      </c>
      <c r="CA330" s="2079">
        <f t="shared" si="1069"/>
        <v>0</v>
      </c>
      <c r="CB330" s="2079">
        <f t="shared" si="1070"/>
        <v>0</v>
      </c>
      <c r="CC330" s="2078">
        <f t="shared" ca="1" si="1101"/>
        <v>0</v>
      </c>
      <c r="CD330" s="2078">
        <f t="shared" ca="1" si="1102"/>
        <v>0</v>
      </c>
      <c r="CE330" s="2078">
        <f t="shared" ca="1" si="1103"/>
        <v>0</v>
      </c>
      <c r="CF330" s="2078">
        <f t="shared" ca="1" si="1104"/>
        <v>0</v>
      </c>
      <c r="CG330" s="2078">
        <f t="shared" ca="1" si="1105"/>
        <v>0</v>
      </c>
      <c r="CH330" s="2078">
        <f t="shared" ca="1" si="1106"/>
        <v>0</v>
      </c>
      <c r="CI330" s="2078">
        <f t="shared" ca="1" si="1107"/>
        <v>0</v>
      </c>
      <c r="CJ330" s="2078">
        <f t="shared" ca="1" si="1108"/>
        <v>0</v>
      </c>
      <c r="CK330" s="2078">
        <f t="shared" ca="1" si="1109"/>
        <v>0</v>
      </c>
      <c r="CL330" s="2078">
        <f t="shared" ca="1" si="1110"/>
        <v>0</v>
      </c>
      <c r="CM330" s="2078">
        <f t="shared" si="1132"/>
        <v>1</v>
      </c>
      <c r="CN330" s="2078">
        <f t="shared" si="1133"/>
        <v>1</v>
      </c>
      <c r="CO330" s="2078">
        <f t="shared" si="1121"/>
        <v>1</v>
      </c>
      <c r="CP330" s="2078">
        <f t="shared" si="1111"/>
        <v>1</v>
      </c>
      <c r="CQ330" s="2078">
        <f t="shared" si="1122"/>
        <v>0</v>
      </c>
      <c r="CR330" s="2078">
        <f t="shared" si="1042"/>
        <v>0</v>
      </c>
      <c r="CS330" s="2078">
        <f t="shared" si="1112"/>
        <v>0</v>
      </c>
      <c r="CT330" s="2078">
        <f t="shared" si="1123"/>
        <v>1</v>
      </c>
      <c r="CU330" s="2078">
        <f t="shared" si="1113"/>
        <v>1</v>
      </c>
      <c r="CV330" s="2078">
        <f t="shared" si="1134"/>
        <v>0</v>
      </c>
      <c r="CW330" s="2078">
        <f>IF(OR(AE330&lt;&gt;3,F330="Exclude"),0,IF(ISERROR(MATCH($E330,'4 Sign-off'!$S$123:$X$123,0)),0,1))</f>
        <v>0</v>
      </c>
      <c r="CX330" s="2078">
        <f t="shared" si="1046"/>
        <v>0</v>
      </c>
      <c r="CY330" s="2078">
        <f t="shared" si="1135"/>
        <v>0</v>
      </c>
      <c r="CZ330" s="2993">
        <f t="shared" ca="1" si="1043"/>
        <v>0</v>
      </c>
      <c r="DA330" s="3037">
        <f t="shared" ca="1" si="1044"/>
        <v>0</v>
      </c>
      <c r="DB330" s="1664"/>
      <c r="DC330" s="1320"/>
      <c r="DD330" s="589"/>
      <c r="DE330" s="1321"/>
      <c r="DF330" s="107"/>
      <c r="DG330" s="112"/>
      <c r="DH330" s="140"/>
      <c r="DI330" s="22"/>
      <c r="DJ330" s="145"/>
      <c r="DK330" s="137"/>
      <c r="DL330" s="137"/>
      <c r="DM330" s="137"/>
      <c r="DN330" s="137"/>
      <c r="DO330" s="137"/>
      <c r="DP330" s="137"/>
      <c r="DQ330" s="137"/>
      <c r="DR330" s="137"/>
      <c r="DS330" s="137"/>
      <c r="DT330" s="137"/>
      <c r="DU330" s="137"/>
      <c r="DV330" s="137"/>
      <c r="DW330" s="137"/>
      <c r="DX330" s="137"/>
      <c r="DY330" s="137"/>
      <c r="DZ330" s="137"/>
      <c r="EA330" s="137"/>
      <c r="EB330" s="137"/>
      <c r="EC330" s="137"/>
      <c r="ED330" s="137"/>
      <c r="EE330" s="137"/>
      <c r="EF330" s="137"/>
      <c r="EG330" s="137"/>
      <c r="EH330" s="137"/>
      <c r="EI330" s="137"/>
      <c r="EJ330" s="137"/>
      <c r="EK330" s="137"/>
      <c r="EL330" s="137"/>
      <c r="EM330" s="137"/>
      <c r="EN330" s="137"/>
      <c r="EO330" s="137"/>
      <c r="EP330" s="137"/>
      <c r="EQ330" s="137"/>
      <c r="ER330" s="137"/>
      <c r="ES330" s="137"/>
      <c r="ET330" s="137"/>
      <c r="EU330" s="137"/>
      <c r="EV330" s="137"/>
      <c r="EW330" s="137"/>
      <c r="EX330" s="137"/>
      <c r="EY330" s="137"/>
      <c r="EZ330" s="137"/>
      <c r="FA330" s="137"/>
      <c r="FB330" s="137"/>
      <c r="FC330" s="137"/>
      <c r="FD330" s="137"/>
      <c r="FE330" s="137"/>
      <c r="FF330" s="137"/>
      <c r="FG330" s="860"/>
      <c r="FH330" s="863"/>
      <c r="FI330" s="1318"/>
      <c r="FJ330" s="126"/>
      <c r="FK330" s="127"/>
      <c r="FL330" s="128" t="str">
        <f t="shared" si="1114"/>
        <v xml:space="preserve">    </v>
      </c>
      <c r="FM330" s="128"/>
      <c r="FN330" s="1686">
        <f t="shared" si="1115"/>
        <v>0</v>
      </c>
      <c r="FO330" s="46">
        <f t="shared" si="1136"/>
        <v>0</v>
      </c>
      <c r="FP330" s="46">
        <f t="shared" si="1124"/>
        <v>1</v>
      </c>
      <c r="FQ330" s="75">
        <f t="shared" si="1116"/>
        <v>0</v>
      </c>
      <c r="FR330" s="46">
        <f t="shared" si="1128"/>
        <v>0</v>
      </c>
      <c r="FS330" s="46">
        <f t="shared" si="1129"/>
        <v>1</v>
      </c>
      <c r="FT330" s="75">
        <f t="shared" si="1117"/>
        <v>0</v>
      </c>
      <c r="FU330" s="2603">
        <f t="shared" si="1137"/>
        <v>0</v>
      </c>
      <c r="FV330" s="2607">
        <f t="shared" si="1138"/>
        <v>0</v>
      </c>
      <c r="FW330" s="2603">
        <f t="shared" si="1139"/>
        <v>0</v>
      </c>
      <c r="FX330" s="2631">
        <f t="shared" si="1140"/>
        <v>0</v>
      </c>
      <c r="FY330" s="81" t="e">
        <f t="shared" si="1130"/>
        <v>#N/A</v>
      </c>
      <c r="FZ330" s="64" t="e">
        <f t="array" ref="FZ330">MATCH(1,($GT330:$LQ330&gt;0)*$GT$25:$LQ$25,0)</f>
        <v>#N/A</v>
      </c>
      <c r="GA330" s="64" t="e">
        <f t="array" ref="GA330">MATCH(2,1/(GT330:LQ330&gt;0))</f>
        <v>#N/A</v>
      </c>
      <c r="GB330" s="64">
        <f t="shared" si="1118"/>
        <v>-1</v>
      </c>
      <c r="GC330" s="46"/>
      <c r="GD330" s="613"/>
      <c r="GE330" s="613"/>
      <c r="GF330" s="613"/>
      <c r="GG330" s="613"/>
      <c r="GH330" s="613"/>
      <c r="GI330" s="613"/>
      <c r="GJ330" s="613"/>
      <c r="GK330" s="613"/>
      <c r="GL330" s="613"/>
      <c r="GM330" s="613"/>
      <c r="GN330" s="385">
        <f t="shared" si="1047"/>
        <v>0</v>
      </c>
      <c r="GO330" s="386">
        <f t="shared" si="1048"/>
        <v>0</v>
      </c>
      <c r="GP330" s="2635"/>
      <c r="GQ330" s="175"/>
      <c r="GR330" s="172"/>
      <c r="GS330" s="65"/>
      <c r="GT330" s="167"/>
      <c r="GU330" s="168"/>
      <c r="GV330" s="168"/>
      <c r="GW330" s="168"/>
      <c r="GX330" s="168"/>
      <c r="GY330" s="168"/>
      <c r="GZ330" s="168"/>
      <c r="HA330" s="168"/>
      <c r="HB330" s="168"/>
      <c r="HC330" s="168"/>
      <c r="HD330" s="168"/>
      <c r="HE330" s="168"/>
      <c r="HF330" s="168"/>
      <c r="HG330" s="168"/>
      <c r="HH330" s="168"/>
      <c r="HI330" s="168"/>
      <c r="HJ330" s="168"/>
      <c r="HK330" s="168"/>
      <c r="HL330" s="168"/>
      <c r="HM330" s="168"/>
      <c r="HN330" s="168"/>
      <c r="HO330" s="168"/>
      <c r="HP330" s="168"/>
      <c r="HQ330" s="168"/>
      <c r="HR330" s="168"/>
      <c r="HS330" s="168"/>
      <c r="HT330" s="168"/>
      <c r="HU330" s="168"/>
      <c r="HV330" s="168"/>
      <c r="HW330" s="168"/>
      <c r="HX330" s="168"/>
      <c r="HY330" s="168"/>
      <c r="HZ330" s="168"/>
      <c r="IA330" s="168"/>
      <c r="IB330" s="168"/>
      <c r="IC330" s="168"/>
      <c r="ID330" s="168"/>
      <c r="IE330" s="168"/>
      <c r="IF330" s="168"/>
      <c r="IG330" s="168"/>
      <c r="IH330" s="168"/>
      <c r="II330" s="168"/>
      <c r="IJ330" s="168"/>
      <c r="IK330" s="168"/>
      <c r="IL330" s="168"/>
      <c r="IM330" s="168"/>
      <c r="IN330" s="168"/>
      <c r="IO330" s="168"/>
      <c r="IP330" s="168"/>
      <c r="IQ330" s="168"/>
      <c r="IR330" s="168"/>
      <c r="IS330" s="168"/>
      <c r="IT330" s="168"/>
      <c r="IU330" s="168"/>
      <c r="IV330" s="168"/>
      <c r="IW330" s="168"/>
      <c r="IX330" s="168"/>
      <c r="IY330" s="168"/>
      <c r="IZ330" s="168"/>
      <c r="JA330" s="168"/>
      <c r="JB330" s="168"/>
      <c r="JC330" s="168"/>
      <c r="JD330" s="168"/>
      <c r="JE330" s="168"/>
      <c r="JF330" s="168"/>
      <c r="JG330" s="168"/>
      <c r="JH330" s="168"/>
      <c r="JI330" s="168"/>
      <c r="JJ330" s="168"/>
      <c r="JK330" s="168"/>
      <c r="JL330" s="168"/>
      <c r="JM330" s="168"/>
      <c r="JN330" s="168"/>
      <c r="JO330" s="168"/>
      <c r="JP330" s="168"/>
      <c r="JQ330" s="168"/>
      <c r="JR330" s="168"/>
      <c r="JS330" s="168"/>
      <c r="JT330" s="168"/>
      <c r="JU330" s="168"/>
      <c r="JV330" s="168"/>
      <c r="JW330" s="168"/>
      <c r="JX330" s="168"/>
      <c r="JY330" s="168"/>
      <c r="JZ330" s="168"/>
      <c r="KA330" s="168"/>
      <c r="KB330" s="168"/>
      <c r="KC330" s="168"/>
      <c r="KD330" s="168"/>
      <c r="KE330" s="168"/>
      <c r="KF330" s="168"/>
      <c r="KG330" s="168"/>
      <c r="KH330" s="168"/>
      <c r="KI330" s="168"/>
      <c r="KJ330" s="168"/>
      <c r="KK330" s="168"/>
      <c r="KL330" s="168"/>
      <c r="KM330" s="168"/>
      <c r="KN330" s="168"/>
      <c r="KO330" s="168"/>
      <c r="KP330" s="168"/>
      <c r="KQ330" s="168"/>
      <c r="KR330" s="168"/>
      <c r="KS330" s="168"/>
      <c r="KT330" s="168"/>
      <c r="KU330" s="168"/>
      <c r="KV330" s="168"/>
      <c r="KW330" s="168"/>
      <c r="KX330" s="168"/>
      <c r="KY330" s="168"/>
      <c r="KZ330" s="168"/>
      <c r="LA330" s="168"/>
      <c r="LB330" s="168"/>
      <c r="LC330" s="168"/>
      <c r="LD330" s="168"/>
      <c r="LE330" s="168"/>
      <c r="LF330" s="168"/>
      <c r="LG330" s="168"/>
      <c r="LH330" s="168"/>
      <c r="LI330" s="168"/>
      <c r="LJ330" s="168"/>
      <c r="LK330" s="168"/>
      <c r="LL330" s="168"/>
      <c r="LM330" s="168"/>
      <c r="LN330" s="168"/>
      <c r="LO330" s="168"/>
      <c r="LP330" s="606"/>
      <c r="LQ330" s="609"/>
      <c r="LR330" s="1319"/>
      <c r="LS330" s="1319"/>
    </row>
    <row r="331" spans="1:331" s="2" customFormat="1" ht="15" customHeight="1" x14ac:dyDescent="0.25">
      <c r="A331" s="283"/>
      <c r="B331" s="303"/>
      <c r="C331" s="301"/>
      <c r="D331" s="1287"/>
      <c r="E331" s="2298"/>
      <c r="F331" s="1812"/>
      <c r="G331" s="3342"/>
      <c r="H331" s="66"/>
      <c r="I331" s="1746"/>
      <c r="J331" s="1214"/>
      <c r="K331" s="105"/>
      <c r="L331" s="91"/>
      <c r="M331" s="92"/>
      <c r="N331" s="93"/>
      <c r="O331" s="94"/>
      <c r="P331" s="96"/>
      <c r="Q331" s="95"/>
      <c r="R331" s="993">
        <f t="shared" si="1039"/>
        <v>0</v>
      </c>
      <c r="S331" s="23">
        <f t="shared" si="1040"/>
        <v>0</v>
      </c>
      <c r="T331" s="24">
        <f t="shared" si="1071"/>
        <v>0</v>
      </c>
      <c r="U331" s="24">
        <f t="shared" si="1072"/>
        <v>0</v>
      </c>
      <c r="V331" s="24">
        <f t="shared" si="1073"/>
        <v>0</v>
      </c>
      <c r="W331" s="24">
        <f t="shared" ca="1" si="1074"/>
        <v>0</v>
      </c>
      <c r="X331" s="72">
        <f t="shared" ca="1" si="1119"/>
        <v>0</v>
      </c>
      <c r="Y331" s="72">
        <f t="shared" si="1075"/>
        <v>0</v>
      </c>
      <c r="Z331" s="24">
        <f t="shared" si="1076"/>
        <v>0</v>
      </c>
      <c r="AA331" s="72">
        <f t="shared" si="1120"/>
        <v>0</v>
      </c>
      <c r="AB331" s="24">
        <f t="shared" si="1131"/>
        <v>0</v>
      </c>
      <c r="AC331" s="24">
        <f t="shared" ca="1" si="1077"/>
        <v>0</v>
      </c>
      <c r="AD331" s="24">
        <f t="shared" si="1049"/>
        <v>0</v>
      </c>
      <c r="AE331" s="2078">
        <f t="shared" si="1125"/>
        <v>3</v>
      </c>
      <c r="AF331" s="2078">
        <f t="shared" si="1126"/>
        <v>0</v>
      </c>
      <c r="AG331" s="2078">
        <f t="shared" si="1127"/>
        <v>0</v>
      </c>
      <c r="AH331" s="2521">
        <f t="shared" si="1050"/>
        <v>1</v>
      </c>
      <c r="AI331" s="25" t="str">
        <f t="shared" si="1078"/>
        <v/>
      </c>
      <c r="AJ331" s="2521">
        <f t="shared" ca="1" si="1045"/>
        <v>0</v>
      </c>
      <c r="AK331" s="2076">
        <f t="shared" ca="1" si="1041"/>
        <v>0</v>
      </c>
      <c r="AL331" s="2078">
        <f>IF(ISBLANK(J331),0,ISERROR(MATCH(J331,'5  Control Accounts'!$FA$29:$FA$96,0))*1)</f>
        <v>0</v>
      </c>
      <c r="AM331" s="2076">
        <f t="shared" si="1079"/>
        <v>0</v>
      </c>
      <c r="AN331" s="2078">
        <f t="shared" si="1080"/>
        <v>1</v>
      </c>
      <c r="AO331" s="2079">
        <f t="shared" si="1051"/>
        <v>1</v>
      </c>
      <c r="AP331" s="2079">
        <f t="shared" si="1052"/>
        <v>0</v>
      </c>
      <c r="AQ331" s="2079">
        <f t="shared" si="1053"/>
        <v>0</v>
      </c>
      <c r="AR331" s="2079">
        <f t="shared" si="1054"/>
        <v>0</v>
      </c>
      <c r="AS331" s="2079">
        <f t="shared" si="1055"/>
        <v>0</v>
      </c>
      <c r="AT331" s="2079">
        <f t="shared" si="1056"/>
        <v>0</v>
      </c>
      <c r="AU331" s="2079">
        <f t="shared" si="1057"/>
        <v>0</v>
      </c>
      <c r="AV331" s="2079">
        <f t="shared" si="1058"/>
        <v>0</v>
      </c>
      <c r="AW331" s="2079">
        <f t="shared" si="1059"/>
        <v>0</v>
      </c>
      <c r="AX331" s="2079">
        <f t="shared" si="1060"/>
        <v>0</v>
      </c>
      <c r="AY331" s="2078">
        <f t="shared" si="1081"/>
        <v>0</v>
      </c>
      <c r="AZ331" s="2078">
        <f t="shared" si="1082"/>
        <v>0</v>
      </c>
      <c r="BA331" s="2078">
        <f t="shared" si="1083"/>
        <v>0</v>
      </c>
      <c r="BB331" s="2078">
        <f t="shared" si="1084"/>
        <v>0</v>
      </c>
      <c r="BC331" s="2078">
        <f t="shared" si="1085"/>
        <v>0</v>
      </c>
      <c r="BD331" s="2078">
        <f t="shared" si="1086"/>
        <v>0</v>
      </c>
      <c r="BE331" s="2078">
        <f t="shared" si="1087"/>
        <v>0</v>
      </c>
      <c r="BF331" s="2078">
        <f t="shared" si="1088"/>
        <v>0</v>
      </c>
      <c r="BG331" s="2078">
        <f t="shared" si="1089"/>
        <v>0</v>
      </c>
      <c r="BH331" s="2078">
        <f t="shared" si="1090"/>
        <v>0</v>
      </c>
      <c r="BI331" s="2078">
        <f t="shared" si="1091"/>
        <v>0</v>
      </c>
      <c r="BJ331" s="2078">
        <f t="shared" si="1092"/>
        <v>0</v>
      </c>
      <c r="BK331" s="2078">
        <f t="shared" si="1093"/>
        <v>0</v>
      </c>
      <c r="BL331" s="2078">
        <f t="shared" si="1094"/>
        <v>0</v>
      </c>
      <c r="BM331" s="2078">
        <f t="shared" si="1095"/>
        <v>0</v>
      </c>
      <c r="BN331" s="2078">
        <f t="shared" si="1096"/>
        <v>0</v>
      </c>
      <c r="BO331" s="2078">
        <f t="shared" si="1097"/>
        <v>0</v>
      </c>
      <c r="BP331" s="2078">
        <f t="shared" si="1098"/>
        <v>0</v>
      </c>
      <c r="BQ331" s="2078">
        <f t="shared" si="1099"/>
        <v>0</v>
      </c>
      <c r="BR331" s="2078">
        <f t="shared" si="1100"/>
        <v>0</v>
      </c>
      <c r="BS331" s="2079">
        <f t="shared" si="1061"/>
        <v>1</v>
      </c>
      <c r="BT331" s="2079">
        <f t="shared" si="1062"/>
        <v>0</v>
      </c>
      <c r="BU331" s="2079">
        <f t="shared" si="1063"/>
        <v>0</v>
      </c>
      <c r="BV331" s="2079">
        <f t="shared" si="1064"/>
        <v>0</v>
      </c>
      <c r="BW331" s="2079">
        <f t="shared" si="1065"/>
        <v>0</v>
      </c>
      <c r="BX331" s="2079">
        <f t="shared" si="1066"/>
        <v>0</v>
      </c>
      <c r="BY331" s="2079">
        <f t="shared" si="1067"/>
        <v>0</v>
      </c>
      <c r="BZ331" s="2079">
        <f t="shared" si="1068"/>
        <v>0</v>
      </c>
      <c r="CA331" s="2079">
        <f t="shared" si="1069"/>
        <v>0</v>
      </c>
      <c r="CB331" s="2079">
        <f t="shared" si="1070"/>
        <v>0</v>
      </c>
      <c r="CC331" s="2078">
        <f t="shared" ca="1" si="1101"/>
        <v>0</v>
      </c>
      <c r="CD331" s="2078">
        <f t="shared" ca="1" si="1102"/>
        <v>0</v>
      </c>
      <c r="CE331" s="2078">
        <f t="shared" ca="1" si="1103"/>
        <v>0</v>
      </c>
      <c r="CF331" s="2078">
        <f t="shared" ca="1" si="1104"/>
        <v>0</v>
      </c>
      <c r="CG331" s="2078">
        <f t="shared" ca="1" si="1105"/>
        <v>0</v>
      </c>
      <c r="CH331" s="2078">
        <f t="shared" ca="1" si="1106"/>
        <v>0</v>
      </c>
      <c r="CI331" s="2078">
        <f t="shared" ca="1" si="1107"/>
        <v>0</v>
      </c>
      <c r="CJ331" s="2078">
        <f t="shared" ca="1" si="1108"/>
        <v>0</v>
      </c>
      <c r="CK331" s="2078">
        <f t="shared" ca="1" si="1109"/>
        <v>0</v>
      </c>
      <c r="CL331" s="2078">
        <f t="shared" ca="1" si="1110"/>
        <v>0</v>
      </c>
      <c r="CM331" s="2078">
        <f t="shared" si="1132"/>
        <v>1</v>
      </c>
      <c r="CN331" s="2078">
        <f t="shared" si="1133"/>
        <v>1</v>
      </c>
      <c r="CO331" s="2078">
        <f t="shared" si="1121"/>
        <v>1</v>
      </c>
      <c r="CP331" s="2078">
        <f t="shared" si="1111"/>
        <v>1</v>
      </c>
      <c r="CQ331" s="2078">
        <f t="shared" si="1122"/>
        <v>0</v>
      </c>
      <c r="CR331" s="2078">
        <f t="shared" si="1042"/>
        <v>0</v>
      </c>
      <c r="CS331" s="2078">
        <f t="shared" si="1112"/>
        <v>0</v>
      </c>
      <c r="CT331" s="2078">
        <f t="shared" si="1123"/>
        <v>1</v>
      </c>
      <c r="CU331" s="2078">
        <f t="shared" si="1113"/>
        <v>1</v>
      </c>
      <c r="CV331" s="2078">
        <f t="shared" si="1134"/>
        <v>0</v>
      </c>
      <c r="CW331" s="2078">
        <f>IF(OR(AE331&lt;&gt;3,F331="Exclude"),0,IF(ISERROR(MATCH($E331,'4 Sign-off'!$S$123:$X$123,0)),0,1))</f>
        <v>0</v>
      </c>
      <c r="CX331" s="2078">
        <f t="shared" si="1046"/>
        <v>0</v>
      </c>
      <c r="CY331" s="2078">
        <f t="shared" si="1135"/>
        <v>0</v>
      </c>
      <c r="CZ331" s="2993">
        <f t="shared" ca="1" si="1043"/>
        <v>0</v>
      </c>
      <c r="DA331" s="3037">
        <f t="shared" ca="1" si="1044"/>
        <v>0</v>
      </c>
      <c r="DB331" s="1664"/>
      <c r="DC331" s="1320"/>
      <c r="DD331" s="589"/>
      <c r="DE331" s="1321"/>
      <c r="DF331" s="107"/>
      <c r="DG331" s="112"/>
      <c r="DH331" s="140"/>
      <c r="DI331" s="22"/>
      <c r="DJ331" s="145"/>
      <c r="DK331" s="137"/>
      <c r="DL331" s="137"/>
      <c r="DM331" s="137"/>
      <c r="DN331" s="137"/>
      <c r="DO331" s="137"/>
      <c r="DP331" s="137"/>
      <c r="DQ331" s="137"/>
      <c r="DR331" s="137"/>
      <c r="DS331" s="137"/>
      <c r="DT331" s="137"/>
      <c r="DU331" s="137"/>
      <c r="DV331" s="137"/>
      <c r="DW331" s="137"/>
      <c r="DX331" s="137"/>
      <c r="DY331" s="137"/>
      <c r="DZ331" s="137"/>
      <c r="EA331" s="137"/>
      <c r="EB331" s="137"/>
      <c r="EC331" s="137"/>
      <c r="ED331" s="137"/>
      <c r="EE331" s="137"/>
      <c r="EF331" s="137"/>
      <c r="EG331" s="137"/>
      <c r="EH331" s="137"/>
      <c r="EI331" s="137"/>
      <c r="EJ331" s="137"/>
      <c r="EK331" s="137"/>
      <c r="EL331" s="137"/>
      <c r="EM331" s="137"/>
      <c r="EN331" s="137"/>
      <c r="EO331" s="137"/>
      <c r="EP331" s="137"/>
      <c r="EQ331" s="137"/>
      <c r="ER331" s="137"/>
      <c r="ES331" s="137"/>
      <c r="ET331" s="137"/>
      <c r="EU331" s="137"/>
      <c r="EV331" s="137"/>
      <c r="EW331" s="137"/>
      <c r="EX331" s="137"/>
      <c r="EY331" s="137"/>
      <c r="EZ331" s="137"/>
      <c r="FA331" s="137"/>
      <c r="FB331" s="137"/>
      <c r="FC331" s="137"/>
      <c r="FD331" s="137"/>
      <c r="FE331" s="137"/>
      <c r="FF331" s="137"/>
      <c r="FG331" s="860"/>
      <c r="FH331" s="863"/>
      <c r="FI331" s="1318"/>
      <c r="FJ331" s="126"/>
      <c r="FK331" s="127"/>
      <c r="FL331" s="128" t="str">
        <f t="shared" si="1114"/>
        <v xml:space="preserve">    </v>
      </c>
      <c r="FM331" s="128"/>
      <c r="FN331" s="1686">
        <f t="shared" si="1115"/>
        <v>0</v>
      </c>
      <c r="FO331" s="46">
        <f t="shared" si="1136"/>
        <v>0</v>
      </c>
      <c r="FP331" s="46">
        <f t="shared" ref="FP331" si="1144">IFERROR(1/FQ331,1)</f>
        <v>1</v>
      </c>
      <c r="FQ331" s="75">
        <f t="shared" si="1116"/>
        <v>0</v>
      </c>
      <c r="FR331" s="46">
        <f t="shared" si="1128"/>
        <v>0</v>
      </c>
      <c r="FS331" s="46">
        <f t="shared" si="1129"/>
        <v>1</v>
      </c>
      <c r="FT331" s="75">
        <f t="shared" si="1117"/>
        <v>0</v>
      </c>
      <c r="FU331" s="2603">
        <f t="shared" si="1137"/>
        <v>0</v>
      </c>
      <c r="FV331" s="2607">
        <f t="shared" si="1138"/>
        <v>0</v>
      </c>
      <c r="FW331" s="2603">
        <f t="shared" si="1139"/>
        <v>0</v>
      </c>
      <c r="FX331" s="2631">
        <f t="shared" si="1140"/>
        <v>0</v>
      </c>
      <c r="FY331" s="81" t="e">
        <f t="shared" si="1130"/>
        <v>#N/A</v>
      </c>
      <c r="FZ331" s="64" t="e">
        <f t="array" ref="FZ331">MATCH(1,($GT331:$LQ331&gt;0)*$GT$25:$LQ$25,0)</f>
        <v>#N/A</v>
      </c>
      <c r="GA331" s="64" t="e">
        <f t="array" ref="GA331">MATCH(2,1/(GT331:LQ331&gt;0))</f>
        <v>#N/A</v>
      </c>
      <c r="GB331" s="64">
        <f t="shared" si="1118"/>
        <v>-1</v>
      </c>
      <c r="GC331" s="46"/>
      <c r="GD331" s="613"/>
      <c r="GE331" s="613"/>
      <c r="GF331" s="613"/>
      <c r="GG331" s="613"/>
      <c r="GH331" s="613"/>
      <c r="GI331" s="613"/>
      <c r="GJ331" s="613"/>
      <c r="GK331" s="613"/>
      <c r="GL331" s="613"/>
      <c r="GM331" s="613"/>
      <c r="GN331" s="385">
        <f t="shared" si="1047"/>
        <v>0</v>
      </c>
      <c r="GO331" s="386">
        <f t="shared" si="1048"/>
        <v>0</v>
      </c>
      <c r="GP331" s="2635"/>
      <c r="GQ331" s="175"/>
      <c r="GR331" s="172"/>
      <c r="GS331" s="65"/>
      <c r="GT331" s="167"/>
      <c r="GU331" s="168"/>
      <c r="GV331" s="168"/>
      <c r="GW331" s="168"/>
      <c r="GX331" s="168"/>
      <c r="GY331" s="168"/>
      <c r="GZ331" s="168"/>
      <c r="HA331" s="168"/>
      <c r="HB331" s="168"/>
      <c r="HC331" s="168"/>
      <c r="HD331" s="168"/>
      <c r="HE331" s="168"/>
      <c r="HF331" s="168"/>
      <c r="HG331" s="168"/>
      <c r="HH331" s="168"/>
      <c r="HI331" s="168"/>
      <c r="HJ331" s="168"/>
      <c r="HK331" s="168"/>
      <c r="HL331" s="168"/>
      <c r="HM331" s="168"/>
      <c r="HN331" s="168"/>
      <c r="HO331" s="168"/>
      <c r="HP331" s="168"/>
      <c r="HQ331" s="168"/>
      <c r="HR331" s="168"/>
      <c r="HS331" s="168"/>
      <c r="HT331" s="168"/>
      <c r="HU331" s="168"/>
      <c r="HV331" s="168"/>
      <c r="HW331" s="168"/>
      <c r="HX331" s="168"/>
      <c r="HY331" s="168"/>
      <c r="HZ331" s="168"/>
      <c r="IA331" s="168"/>
      <c r="IB331" s="168"/>
      <c r="IC331" s="168"/>
      <c r="ID331" s="168"/>
      <c r="IE331" s="168"/>
      <c r="IF331" s="168"/>
      <c r="IG331" s="168"/>
      <c r="IH331" s="168"/>
      <c r="II331" s="168"/>
      <c r="IJ331" s="168"/>
      <c r="IK331" s="168"/>
      <c r="IL331" s="168"/>
      <c r="IM331" s="168"/>
      <c r="IN331" s="168"/>
      <c r="IO331" s="168"/>
      <c r="IP331" s="168"/>
      <c r="IQ331" s="168"/>
      <c r="IR331" s="168"/>
      <c r="IS331" s="168"/>
      <c r="IT331" s="168"/>
      <c r="IU331" s="168"/>
      <c r="IV331" s="168"/>
      <c r="IW331" s="168"/>
      <c r="IX331" s="168"/>
      <c r="IY331" s="168"/>
      <c r="IZ331" s="168"/>
      <c r="JA331" s="168"/>
      <c r="JB331" s="168"/>
      <c r="JC331" s="168"/>
      <c r="JD331" s="168"/>
      <c r="JE331" s="168"/>
      <c r="JF331" s="168"/>
      <c r="JG331" s="168"/>
      <c r="JH331" s="168"/>
      <c r="JI331" s="168"/>
      <c r="JJ331" s="168"/>
      <c r="JK331" s="168"/>
      <c r="JL331" s="168"/>
      <c r="JM331" s="168"/>
      <c r="JN331" s="168"/>
      <c r="JO331" s="168"/>
      <c r="JP331" s="168"/>
      <c r="JQ331" s="168"/>
      <c r="JR331" s="168"/>
      <c r="JS331" s="168"/>
      <c r="JT331" s="168"/>
      <c r="JU331" s="168"/>
      <c r="JV331" s="168"/>
      <c r="JW331" s="168"/>
      <c r="JX331" s="168"/>
      <c r="JY331" s="168"/>
      <c r="JZ331" s="168"/>
      <c r="KA331" s="168"/>
      <c r="KB331" s="168"/>
      <c r="KC331" s="168"/>
      <c r="KD331" s="168"/>
      <c r="KE331" s="168"/>
      <c r="KF331" s="168"/>
      <c r="KG331" s="168"/>
      <c r="KH331" s="168"/>
      <c r="KI331" s="168"/>
      <c r="KJ331" s="168"/>
      <c r="KK331" s="168"/>
      <c r="KL331" s="168"/>
      <c r="KM331" s="168"/>
      <c r="KN331" s="168"/>
      <c r="KO331" s="168"/>
      <c r="KP331" s="168"/>
      <c r="KQ331" s="168"/>
      <c r="KR331" s="168"/>
      <c r="KS331" s="168"/>
      <c r="KT331" s="168"/>
      <c r="KU331" s="168"/>
      <c r="KV331" s="168"/>
      <c r="KW331" s="168"/>
      <c r="KX331" s="168"/>
      <c r="KY331" s="168"/>
      <c r="KZ331" s="168"/>
      <c r="LA331" s="168"/>
      <c r="LB331" s="168"/>
      <c r="LC331" s="168"/>
      <c r="LD331" s="168"/>
      <c r="LE331" s="168"/>
      <c r="LF331" s="168"/>
      <c r="LG331" s="168"/>
      <c r="LH331" s="168"/>
      <c r="LI331" s="168"/>
      <c r="LJ331" s="168"/>
      <c r="LK331" s="168"/>
      <c r="LL331" s="168"/>
      <c r="LM331" s="168"/>
      <c r="LN331" s="168"/>
      <c r="LO331" s="168"/>
      <c r="LP331" s="606"/>
      <c r="LQ331" s="609"/>
      <c r="LR331" s="1319"/>
      <c r="LS331" s="1319"/>
    </row>
    <row r="332" spans="1:331" s="2" customFormat="1" ht="15" customHeight="1" x14ac:dyDescent="0.25">
      <c r="A332" s="283"/>
      <c r="B332" s="303"/>
      <c r="C332" s="301"/>
      <c r="D332" s="1287"/>
      <c r="E332" s="2298"/>
      <c r="F332" s="1812"/>
      <c r="G332" s="3342"/>
      <c r="H332" s="66"/>
      <c r="I332" s="1746"/>
      <c r="J332" s="1214"/>
      <c r="K332" s="105"/>
      <c r="L332" s="91"/>
      <c r="M332" s="92"/>
      <c r="N332" s="93"/>
      <c r="O332" s="94"/>
      <c r="P332" s="96"/>
      <c r="Q332" s="95"/>
      <c r="R332" s="993">
        <f t="shared" si="1039"/>
        <v>0</v>
      </c>
      <c r="S332" s="23">
        <f t="shared" si="1040"/>
        <v>0</v>
      </c>
      <c r="T332" s="24">
        <f t="shared" si="1071"/>
        <v>0</v>
      </c>
      <c r="U332" s="24">
        <f t="shared" si="1072"/>
        <v>0</v>
      </c>
      <c r="V332" s="24">
        <f t="shared" si="1073"/>
        <v>0</v>
      </c>
      <c r="W332" s="24">
        <f t="shared" ca="1" si="1074"/>
        <v>0</v>
      </c>
      <c r="X332" s="72">
        <f t="shared" ca="1" si="1119"/>
        <v>0</v>
      </c>
      <c r="Y332" s="72">
        <f t="shared" si="1075"/>
        <v>0</v>
      </c>
      <c r="Z332" s="24">
        <f t="shared" si="1076"/>
        <v>0</v>
      </c>
      <c r="AA332" s="72">
        <f t="shared" si="1120"/>
        <v>0</v>
      </c>
      <c r="AB332" s="24">
        <f t="shared" si="1131"/>
        <v>0</v>
      </c>
      <c r="AC332" s="24">
        <f t="shared" ca="1" si="1077"/>
        <v>0</v>
      </c>
      <c r="AD332" s="24">
        <f t="shared" si="1049"/>
        <v>0</v>
      </c>
      <c r="AE332" s="2078">
        <f t="shared" si="1125"/>
        <v>3</v>
      </c>
      <c r="AF332" s="2078">
        <f t="shared" si="1126"/>
        <v>0</v>
      </c>
      <c r="AG332" s="2078">
        <f t="shared" si="1127"/>
        <v>0</v>
      </c>
      <c r="AH332" s="2521">
        <f t="shared" si="1050"/>
        <v>1</v>
      </c>
      <c r="AI332" s="25" t="str">
        <f t="shared" si="1078"/>
        <v/>
      </c>
      <c r="AJ332" s="2521">
        <f t="shared" ca="1" si="1045"/>
        <v>0</v>
      </c>
      <c r="AK332" s="2076">
        <f t="shared" ca="1" si="1041"/>
        <v>0</v>
      </c>
      <c r="AL332" s="2078">
        <f>IF(ISBLANK(J332),0,ISERROR(MATCH(J332,'5  Control Accounts'!$FA$29:$FA$96,0))*1)</f>
        <v>0</v>
      </c>
      <c r="AM332" s="2076">
        <f t="shared" si="1079"/>
        <v>0</v>
      </c>
      <c r="AN332" s="2078">
        <f t="shared" si="1080"/>
        <v>1</v>
      </c>
      <c r="AO332" s="2079">
        <f t="shared" si="1051"/>
        <v>1</v>
      </c>
      <c r="AP332" s="2079">
        <f t="shared" si="1052"/>
        <v>0</v>
      </c>
      <c r="AQ332" s="2079">
        <f t="shared" si="1053"/>
        <v>0</v>
      </c>
      <c r="AR332" s="2079">
        <f t="shared" si="1054"/>
        <v>0</v>
      </c>
      <c r="AS332" s="2079">
        <f t="shared" si="1055"/>
        <v>0</v>
      </c>
      <c r="AT332" s="2079">
        <f t="shared" si="1056"/>
        <v>0</v>
      </c>
      <c r="AU332" s="2079">
        <f t="shared" si="1057"/>
        <v>0</v>
      </c>
      <c r="AV332" s="2079">
        <f t="shared" si="1058"/>
        <v>0</v>
      </c>
      <c r="AW332" s="2079">
        <f t="shared" si="1059"/>
        <v>0</v>
      </c>
      <c r="AX332" s="2079">
        <f t="shared" si="1060"/>
        <v>0</v>
      </c>
      <c r="AY332" s="2078">
        <f t="shared" si="1081"/>
        <v>0</v>
      </c>
      <c r="AZ332" s="2078">
        <f t="shared" si="1082"/>
        <v>0</v>
      </c>
      <c r="BA332" s="2078">
        <f t="shared" si="1083"/>
        <v>0</v>
      </c>
      <c r="BB332" s="2078">
        <f t="shared" si="1084"/>
        <v>0</v>
      </c>
      <c r="BC332" s="2078">
        <f t="shared" si="1085"/>
        <v>0</v>
      </c>
      <c r="BD332" s="2078">
        <f t="shared" si="1086"/>
        <v>0</v>
      </c>
      <c r="BE332" s="2078">
        <f t="shared" si="1087"/>
        <v>0</v>
      </c>
      <c r="BF332" s="2078">
        <f t="shared" si="1088"/>
        <v>0</v>
      </c>
      <c r="BG332" s="2078">
        <f t="shared" si="1089"/>
        <v>0</v>
      </c>
      <c r="BH332" s="2078">
        <f t="shared" si="1090"/>
        <v>0</v>
      </c>
      <c r="BI332" s="2078">
        <f t="shared" si="1091"/>
        <v>0</v>
      </c>
      <c r="BJ332" s="2078">
        <f t="shared" si="1092"/>
        <v>0</v>
      </c>
      <c r="BK332" s="2078">
        <f t="shared" si="1093"/>
        <v>0</v>
      </c>
      <c r="BL332" s="2078">
        <f t="shared" si="1094"/>
        <v>0</v>
      </c>
      <c r="BM332" s="2078">
        <f t="shared" si="1095"/>
        <v>0</v>
      </c>
      <c r="BN332" s="2078">
        <f t="shared" si="1096"/>
        <v>0</v>
      </c>
      <c r="BO332" s="2078">
        <f t="shared" si="1097"/>
        <v>0</v>
      </c>
      <c r="BP332" s="2078">
        <f t="shared" si="1098"/>
        <v>0</v>
      </c>
      <c r="BQ332" s="2078">
        <f t="shared" si="1099"/>
        <v>0</v>
      </c>
      <c r="BR332" s="2078">
        <f t="shared" si="1100"/>
        <v>0</v>
      </c>
      <c r="BS332" s="2079">
        <f t="shared" si="1061"/>
        <v>1</v>
      </c>
      <c r="BT332" s="2079">
        <f t="shared" si="1062"/>
        <v>0</v>
      </c>
      <c r="BU332" s="2079">
        <f t="shared" si="1063"/>
        <v>0</v>
      </c>
      <c r="BV332" s="2079">
        <f t="shared" si="1064"/>
        <v>0</v>
      </c>
      <c r="BW332" s="2079">
        <f t="shared" si="1065"/>
        <v>0</v>
      </c>
      <c r="BX332" s="2079">
        <f t="shared" si="1066"/>
        <v>0</v>
      </c>
      <c r="BY332" s="2079">
        <f t="shared" si="1067"/>
        <v>0</v>
      </c>
      <c r="BZ332" s="2079">
        <f t="shared" si="1068"/>
        <v>0</v>
      </c>
      <c r="CA332" s="2079">
        <f t="shared" si="1069"/>
        <v>0</v>
      </c>
      <c r="CB332" s="2079">
        <f t="shared" si="1070"/>
        <v>0</v>
      </c>
      <c r="CC332" s="2078">
        <f t="shared" ca="1" si="1101"/>
        <v>0</v>
      </c>
      <c r="CD332" s="2078">
        <f t="shared" ca="1" si="1102"/>
        <v>0</v>
      </c>
      <c r="CE332" s="2078">
        <f t="shared" ca="1" si="1103"/>
        <v>0</v>
      </c>
      <c r="CF332" s="2078">
        <f t="shared" ca="1" si="1104"/>
        <v>0</v>
      </c>
      <c r="CG332" s="2078">
        <f t="shared" ca="1" si="1105"/>
        <v>0</v>
      </c>
      <c r="CH332" s="2078">
        <f t="shared" ca="1" si="1106"/>
        <v>0</v>
      </c>
      <c r="CI332" s="2078">
        <f t="shared" ca="1" si="1107"/>
        <v>0</v>
      </c>
      <c r="CJ332" s="2078">
        <f t="shared" ca="1" si="1108"/>
        <v>0</v>
      </c>
      <c r="CK332" s="2078">
        <f t="shared" ca="1" si="1109"/>
        <v>0</v>
      </c>
      <c r="CL332" s="2078">
        <f t="shared" ca="1" si="1110"/>
        <v>0</v>
      </c>
      <c r="CM332" s="2078">
        <f t="shared" si="1132"/>
        <v>1</v>
      </c>
      <c r="CN332" s="2078">
        <f t="shared" si="1133"/>
        <v>1</v>
      </c>
      <c r="CO332" s="2078">
        <f t="shared" si="1121"/>
        <v>1</v>
      </c>
      <c r="CP332" s="2078">
        <f t="shared" si="1111"/>
        <v>1</v>
      </c>
      <c r="CQ332" s="2078">
        <f t="shared" si="1122"/>
        <v>0</v>
      </c>
      <c r="CR332" s="2078">
        <f t="shared" si="1042"/>
        <v>0</v>
      </c>
      <c r="CS332" s="2078">
        <f t="shared" si="1112"/>
        <v>0</v>
      </c>
      <c r="CT332" s="2078">
        <f t="shared" si="1123"/>
        <v>1</v>
      </c>
      <c r="CU332" s="2078">
        <f t="shared" si="1113"/>
        <v>1</v>
      </c>
      <c r="CV332" s="2078">
        <f t="shared" si="1134"/>
        <v>0</v>
      </c>
      <c r="CW332" s="2078">
        <f>IF(OR(AE332&lt;&gt;3,F332="Exclude"),0,IF(ISERROR(MATCH($E332,'4 Sign-off'!$S$123:$X$123,0)),0,1))</f>
        <v>0</v>
      </c>
      <c r="CX332" s="2078">
        <f t="shared" si="1046"/>
        <v>0</v>
      </c>
      <c r="CY332" s="2078">
        <f t="shared" si="1135"/>
        <v>0</v>
      </c>
      <c r="CZ332" s="2993">
        <f t="shared" ca="1" si="1043"/>
        <v>0</v>
      </c>
      <c r="DA332" s="3037">
        <f t="shared" ca="1" si="1044"/>
        <v>0</v>
      </c>
      <c r="DB332" s="1664"/>
      <c r="DC332" s="1320"/>
      <c r="DD332" s="589"/>
      <c r="DE332" s="1321"/>
      <c r="DF332" s="107"/>
      <c r="DG332" s="112"/>
      <c r="DH332" s="140"/>
      <c r="DI332" s="22"/>
      <c r="DJ332" s="145"/>
      <c r="DK332" s="137"/>
      <c r="DL332" s="137"/>
      <c r="DM332" s="137"/>
      <c r="DN332" s="137"/>
      <c r="DO332" s="137"/>
      <c r="DP332" s="137"/>
      <c r="DQ332" s="137"/>
      <c r="DR332" s="137"/>
      <c r="DS332" s="137"/>
      <c r="DT332" s="137"/>
      <c r="DU332" s="137"/>
      <c r="DV332" s="137"/>
      <c r="DW332" s="137"/>
      <c r="DX332" s="137"/>
      <c r="DY332" s="137"/>
      <c r="DZ332" s="137"/>
      <c r="EA332" s="137"/>
      <c r="EB332" s="137"/>
      <c r="EC332" s="137"/>
      <c r="ED332" s="137"/>
      <c r="EE332" s="137"/>
      <c r="EF332" s="137"/>
      <c r="EG332" s="137"/>
      <c r="EH332" s="137"/>
      <c r="EI332" s="137"/>
      <c r="EJ332" s="137"/>
      <c r="EK332" s="137"/>
      <c r="EL332" s="137"/>
      <c r="EM332" s="137"/>
      <c r="EN332" s="137"/>
      <c r="EO332" s="137"/>
      <c r="EP332" s="137"/>
      <c r="EQ332" s="137"/>
      <c r="ER332" s="137"/>
      <c r="ES332" s="137"/>
      <c r="ET332" s="137"/>
      <c r="EU332" s="137"/>
      <c r="EV332" s="137"/>
      <c r="EW332" s="137"/>
      <c r="EX332" s="137"/>
      <c r="EY332" s="137"/>
      <c r="EZ332" s="137"/>
      <c r="FA332" s="137"/>
      <c r="FB332" s="137"/>
      <c r="FC332" s="137"/>
      <c r="FD332" s="137"/>
      <c r="FE332" s="137"/>
      <c r="FF332" s="137"/>
      <c r="FG332" s="860"/>
      <c r="FH332" s="863"/>
      <c r="FI332" s="1318"/>
      <c r="FJ332" s="126"/>
      <c r="FK332" s="127"/>
      <c r="FL332" s="128" t="str">
        <f t="shared" si="1114"/>
        <v xml:space="preserve">    </v>
      </c>
      <c r="FM332" s="128"/>
      <c r="FN332" s="1686">
        <f t="shared" si="1115"/>
        <v>0</v>
      </c>
      <c r="FO332" s="46">
        <f t="shared" si="1136"/>
        <v>0</v>
      </c>
      <c r="FP332" s="46">
        <f t="shared" si="1124"/>
        <v>1</v>
      </c>
      <c r="FQ332" s="75">
        <f t="shared" si="1116"/>
        <v>0</v>
      </c>
      <c r="FR332" s="46">
        <f t="shared" si="1128"/>
        <v>0</v>
      </c>
      <c r="FS332" s="46">
        <f t="shared" si="1129"/>
        <v>1</v>
      </c>
      <c r="FT332" s="75">
        <f t="shared" si="1117"/>
        <v>0</v>
      </c>
      <c r="FU332" s="2603">
        <f t="shared" si="1137"/>
        <v>0</v>
      </c>
      <c r="FV332" s="2607">
        <f t="shared" si="1138"/>
        <v>0</v>
      </c>
      <c r="FW332" s="2603">
        <f t="shared" si="1139"/>
        <v>0</v>
      </c>
      <c r="FX332" s="2631">
        <f t="shared" si="1140"/>
        <v>0</v>
      </c>
      <c r="FY332" s="81" t="e">
        <f t="shared" si="1130"/>
        <v>#N/A</v>
      </c>
      <c r="FZ332" s="64" t="e">
        <f t="array" ref="FZ332">MATCH(1,($GT332:$LQ332&gt;0)*$GT$25:$LQ$25,0)</f>
        <v>#N/A</v>
      </c>
      <c r="GA332" s="64" t="e">
        <f t="array" ref="GA332">MATCH(2,1/(GT332:LQ332&gt;0))</f>
        <v>#N/A</v>
      </c>
      <c r="GB332" s="64">
        <f t="shared" si="1118"/>
        <v>-1</v>
      </c>
      <c r="GC332" s="46"/>
      <c r="GD332" s="613"/>
      <c r="GE332" s="613"/>
      <c r="GF332" s="613"/>
      <c r="GG332" s="613"/>
      <c r="GH332" s="613"/>
      <c r="GI332" s="613"/>
      <c r="GJ332" s="613"/>
      <c r="GK332" s="613"/>
      <c r="GL332" s="613"/>
      <c r="GM332" s="613"/>
      <c r="GN332" s="385">
        <f t="shared" si="1047"/>
        <v>0</v>
      </c>
      <c r="GO332" s="386">
        <f t="shared" si="1048"/>
        <v>0</v>
      </c>
      <c r="GP332" s="2635"/>
      <c r="GQ332" s="175"/>
      <c r="GR332" s="172"/>
      <c r="GS332" s="65"/>
      <c r="GT332" s="167"/>
      <c r="GU332" s="168"/>
      <c r="GV332" s="168"/>
      <c r="GW332" s="168"/>
      <c r="GX332" s="168"/>
      <c r="GY332" s="168"/>
      <c r="GZ332" s="168"/>
      <c r="HA332" s="168"/>
      <c r="HB332" s="168"/>
      <c r="HC332" s="168"/>
      <c r="HD332" s="168"/>
      <c r="HE332" s="168"/>
      <c r="HF332" s="168"/>
      <c r="HG332" s="168"/>
      <c r="HH332" s="168"/>
      <c r="HI332" s="168"/>
      <c r="HJ332" s="168"/>
      <c r="HK332" s="168"/>
      <c r="HL332" s="168"/>
      <c r="HM332" s="168"/>
      <c r="HN332" s="168"/>
      <c r="HO332" s="168"/>
      <c r="HP332" s="168"/>
      <c r="HQ332" s="168"/>
      <c r="HR332" s="168"/>
      <c r="HS332" s="168"/>
      <c r="HT332" s="168"/>
      <c r="HU332" s="168"/>
      <c r="HV332" s="168"/>
      <c r="HW332" s="168"/>
      <c r="HX332" s="168"/>
      <c r="HY332" s="168"/>
      <c r="HZ332" s="168"/>
      <c r="IA332" s="168"/>
      <c r="IB332" s="168"/>
      <c r="IC332" s="168"/>
      <c r="ID332" s="168"/>
      <c r="IE332" s="168"/>
      <c r="IF332" s="168"/>
      <c r="IG332" s="168"/>
      <c r="IH332" s="168"/>
      <c r="II332" s="168"/>
      <c r="IJ332" s="168"/>
      <c r="IK332" s="168"/>
      <c r="IL332" s="168"/>
      <c r="IM332" s="168"/>
      <c r="IN332" s="168"/>
      <c r="IO332" s="168"/>
      <c r="IP332" s="168"/>
      <c r="IQ332" s="168"/>
      <c r="IR332" s="168"/>
      <c r="IS332" s="168"/>
      <c r="IT332" s="168"/>
      <c r="IU332" s="168"/>
      <c r="IV332" s="168"/>
      <c r="IW332" s="168"/>
      <c r="IX332" s="168"/>
      <c r="IY332" s="168"/>
      <c r="IZ332" s="168"/>
      <c r="JA332" s="168"/>
      <c r="JB332" s="168"/>
      <c r="JC332" s="168"/>
      <c r="JD332" s="168"/>
      <c r="JE332" s="168"/>
      <c r="JF332" s="168"/>
      <c r="JG332" s="168"/>
      <c r="JH332" s="168"/>
      <c r="JI332" s="168"/>
      <c r="JJ332" s="168"/>
      <c r="JK332" s="168"/>
      <c r="JL332" s="168"/>
      <c r="JM332" s="168"/>
      <c r="JN332" s="168"/>
      <c r="JO332" s="168"/>
      <c r="JP332" s="168"/>
      <c r="JQ332" s="168"/>
      <c r="JR332" s="168"/>
      <c r="JS332" s="168"/>
      <c r="JT332" s="168"/>
      <c r="JU332" s="168"/>
      <c r="JV332" s="168"/>
      <c r="JW332" s="168"/>
      <c r="JX332" s="168"/>
      <c r="JY332" s="168"/>
      <c r="JZ332" s="168"/>
      <c r="KA332" s="168"/>
      <c r="KB332" s="168"/>
      <c r="KC332" s="168"/>
      <c r="KD332" s="168"/>
      <c r="KE332" s="168"/>
      <c r="KF332" s="168"/>
      <c r="KG332" s="168"/>
      <c r="KH332" s="168"/>
      <c r="KI332" s="168"/>
      <c r="KJ332" s="168"/>
      <c r="KK332" s="168"/>
      <c r="KL332" s="168"/>
      <c r="KM332" s="168"/>
      <c r="KN332" s="168"/>
      <c r="KO332" s="168"/>
      <c r="KP332" s="168"/>
      <c r="KQ332" s="168"/>
      <c r="KR332" s="168"/>
      <c r="KS332" s="168"/>
      <c r="KT332" s="168"/>
      <c r="KU332" s="168"/>
      <c r="KV332" s="168"/>
      <c r="KW332" s="168"/>
      <c r="KX332" s="168"/>
      <c r="KY332" s="168"/>
      <c r="KZ332" s="168"/>
      <c r="LA332" s="168"/>
      <c r="LB332" s="168"/>
      <c r="LC332" s="168"/>
      <c r="LD332" s="168"/>
      <c r="LE332" s="168"/>
      <c r="LF332" s="168"/>
      <c r="LG332" s="168"/>
      <c r="LH332" s="168"/>
      <c r="LI332" s="168"/>
      <c r="LJ332" s="168"/>
      <c r="LK332" s="168"/>
      <c r="LL332" s="168"/>
      <c r="LM332" s="168"/>
      <c r="LN332" s="168"/>
      <c r="LO332" s="168"/>
      <c r="LP332" s="606"/>
      <c r="LQ332" s="609"/>
      <c r="LR332" s="1319"/>
      <c r="LS332" s="1319"/>
    </row>
    <row r="333" spans="1:331" s="2" customFormat="1" ht="15" customHeight="1" x14ac:dyDescent="0.25">
      <c r="A333" s="283"/>
      <c r="B333" s="303"/>
      <c r="C333" s="301"/>
      <c r="D333" s="1542"/>
      <c r="E333" s="2298"/>
      <c r="F333" s="1812"/>
      <c r="G333" s="3342"/>
      <c r="H333" s="66"/>
      <c r="I333" s="1746"/>
      <c r="J333" s="1214"/>
      <c r="K333" s="105"/>
      <c r="L333" s="91"/>
      <c r="M333" s="92"/>
      <c r="N333" s="93"/>
      <c r="O333" s="94"/>
      <c r="P333" s="94"/>
      <c r="Q333" s="97"/>
      <c r="R333" s="993">
        <f t="shared" si="1039"/>
        <v>0</v>
      </c>
      <c r="S333" s="23">
        <f t="shared" si="1040"/>
        <v>0</v>
      </c>
      <c r="T333" s="24">
        <f t="shared" si="1071"/>
        <v>0</v>
      </c>
      <c r="U333" s="24">
        <f t="shared" si="1072"/>
        <v>0</v>
      </c>
      <c r="V333" s="24">
        <f t="shared" si="1073"/>
        <v>0</v>
      </c>
      <c r="W333" s="24">
        <f t="shared" ca="1" si="1074"/>
        <v>0</v>
      </c>
      <c r="X333" s="72">
        <f t="shared" ca="1" si="1119"/>
        <v>0</v>
      </c>
      <c r="Y333" s="72">
        <f t="shared" si="1075"/>
        <v>0</v>
      </c>
      <c r="Z333" s="24">
        <f t="shared" si="1076"/>
        <v>0</v>
      </c>
      <c r="AA333" s="72">
        <f t="shared" si="1120"/>
        <v>0</v>
      </c>
      <c r="AB333" s="24">
        <f t="shared" si="1131"/>
        <v>0</v>
      </c>
      <c r="AC333" s="24">
        <f t="shared" ca="1" si="1077"/>
        <v>0</v>
      </c>
      <c r="AD333" s="24">
        <f t="shared" si="1049"/>
        <v>0</v>
      </c>
      <c r="AE333" s="2078">
        <f t="shared" si="1125"/>
        <v>3</v>
      </c>
      <c r="AF333" s="2078">
        <f t="shared" si="1126"/>
        <v>0</v>
      </c>
      <c r="AG333" s="2078">
        <f t="shared" si="1127"/>
        <v>0</v>
      </c>
      <c r="AH333" s="2521">
        <f t="shared" si="1050"/>
        <v>1</v>
      </c>
      <c r="AI333" s="25" t="str">
        <f t="shared" si="1078"/>
        <v/>
      </c>
      <c r="AJ333" s="2521">
        <f t="shared" ca="1" si="1045"/>
        <v>0</v>
      </c>
      <c r="AK333" s="2076">
        <f t="shared" ca="1" si="1041"/>
        <v>0</v>
      </c>
      <c r="AL333" s="2078">
        <f>IF(ISBLANK(J333),0,ISERROR(MATCH(J333,'5  Control Accounts'!$FA$29:$FA$96,0))*1)</f>
        <v>0</v>
      </c>
      <c r="AM333" s="2076">
        <f t="shared" si="1079"/>
        <v>0</v>
      </c>
      <c r="AN333" s="2078">
        <f t="shared" si="1080"/>
        <v>1</v>
      </c>
      <c r="AO333" s="2079">
        <f t="shared" si="1051"/>
        <v>1</v>
      </c>
      <c r="AP333" s="2079">
        <f t="shared" si="1052"/>
        <v>0</v>
      </c>
      <c r="AQ333" s="2079">
        <f t="shared" si="1053"/>
        <v>0</v>
      </c>
      <c r="AR333" s="2079">
        <f t="shared" si="1054"/>
        <v>0</v>
      </c>
      <c r="AS333" s="2079">
        <f t="shared" si="1055"/>
        <v>0</v>
      </c>
      <c r="AT333" s="2079">
        <f t="shared" si="1056"/>
        <v>0</v>
      </c>
      <c r="AU333" s="2079">
        <f t="shared" si="1057"/>
        <v>0</v>
      </c>
      <c r="AV333" s="2079">
        <f t="shared" si="1058"/>
        <v>0</v>
      </c>
      <c r="AW333" s="2079">
        <f t="shared" si="1059"/>
        <v>0</v>
      </c>
      <c r="AX333" s="2079">
        <f t="shared" si="1060"/>
        <v>0</v>
      </c>
      <c r="AY333" s="2078">
        <f t="shared" si="1081"/>
        <v>0</v>
      </c>
      <c r="AZ333" s="2078">
        <f t="shared" si="1082"/>
        <v>0</v>
      </c>
      <c r="BA333" s="2078">
        <f t="shared" si="1083"/>
        <v>0</v>
      </c>
      <c r="BB333" s="2078">
        <f t="shared" si="1084"/>
        <v>0</v>
      </c>
      <c r="BC333" s="2078">
        <f t="shared" si="1085"/>
        <v>0</v>
      </c>
      <c r="BD333" s="2078">
        <f t="shared" si="1086"/>
        <v>0</v>
      </c>
      <c r="BE333" s="2078">
        <f t="shared" si="1087"/>
        <v>0</v>
      </c>
      <c r="BF333" s="2078">
        <f t="shared" si="1088"/>
        <v>0</v>
      </c>
      <c r="BG333" s="2078">
        <f t="shared" si="1089"/>
        <v>0</v>
      </c>
      <c r="BH333" s="2078">
        <f t="shared" si="1090"/>
        <v>0</v>
      </c>
      <c r="BI333" s="2078">
        <f t="shared" si="1091"/>
        <v>0</v>
      </c>
      <c r="BJ333" s="2078">
        <f t="shared" si="1092"/>
        <v>0</v>
      </c>
      <c r="BK333" s="2078">
        <f t="shared" si="1093"/>
        <v>0</v>
      </c>
      <c r="BL333" s="2078">
        <f t="shared" si="1094"/>
        <v>0</v>
      </c>
      <c r="BM333" s="2078">
        <f t="shared" si="1095"/>
        <v>0</v>
      </c>
      <c r="BN333" s="2078">
        <f t="shared" si="1096"/>
        <v>0</v>
      </c>
      <c r="BO333" s="2078">
        <f t="shared" si="1097"/>
        <v>0</v>
      </c>
      <c r="BP333" s="2078">
        <f t="shared" si="1098"/>
        <v>0</v>
      </c>
      <c r="BQ333" s="2078">
        <f t="shared" si="1099"/>
        <v>0</v>
      </c>
      <c r="BR333" s="2078">
        <f t="shared" si="1100"/>
        <v>0</v>
      </c>
      <c r="BS333" s="2079">
        <f t="shared" si="1061"/>
        <v>1</v>
      </c>
      <c r="BT333" s="2079">
        <f t="shared" si="1062"/>
        <v>0</v>
      </c>
      <c r="BU333" s="2079">
        <f t="shared" si="1063"/>
        <v>0</v>
      </c>
      <c r="BV333" s="2079">
        <f t="shared" si="1064"/>
        <v>0</v>
      </c>
      <c r="BW333" s="2079">
        <f t="shared" si="1065"/>
        <v>0</v>
      </c>
      <c r="BX333" s="2079">
        <f t="shared" si="1066"/>
        <v>0</v>
      </c>
      <c r="BY333" s="2079">
        <f t="shared" si="1067"/>
        <v>0</v>
      </c>
      <c r="BZ333" s="2079">
        <f t="shared" si="1068"/>
        <v>0</v>
      </c>
      <c r="CA333" s="2079">
        <f t="shared" si="1069"/>
        <v>0</v>
      </c>
      <c r="CB333" s="2079">
        <f t="shared" si="1070"/>
        <v>0</v>
      </c>
      <c r="CC333" s="2078">
        <f t="shared" ca="1" si="1101"/>
        <v>0</v>
      </c>
      <c r="CD333" s="2078">
        <f t="shared" ca="1" si="1102"/>
        <v>0</v>
      </c>
      <c r="CE333" s="2078">
        <f t="shared" ca="1" si="1103"/>
        <v>0</v>
      </c>
      <c r="CF333" s="2078">
        <f t="shared" ca="1" si="1104"/>
        <v>0</v>
      </c>
      <c r="CG333" s="2078">
        <f t="shared" ca="1" si="1105"/>
        <v>0</v>
      </c>
      <c r="CH333" s="2078">
        <f t="shared" ca="1" si="1106"/>
        <v>0</v>
      </c>
      <c r="CI333" s="2078">
        <f t="shared" ca="1" si="1107"/>
        <v>0</v>
      </c>
      <c r="CJ333" s="2078">
        <f t="shared" ca="1" si="1108"/>
        <v>0</v>
      </c>
      <c r="CK333" s="2078">
        <f t="shared" ca="1" si="1109"/>
        <v>0</v>
      </c>
      <c r="CL333" s="2078">
        <f t="shared" ca="1" si="1110"/>
        <v>0</v>
      </c>
      <c r="CM333" s="2078">
        <f t="shared" si="1132"/>
        <v>1</v>
      </c>
      <c r="CN333" s="2078">
        <f t="shared" si="1133"/>
        <v>1</v>
      </c>
      <c r="CO333" s="2078">
        <f t="shared" si="1121"/>
        <v>1</v>
      </c>
      <c r="CP333" s="2078">
        <f t="shared" si="1111"/>
        <v>1</v>
      </c>
      <c r="CQ333" s="2078">
        <f t="shared" si="1122"/>
        <v>0</v>
      </c>
      <c r="CR333" s="2078">
        <f t="shared" si="1042"/>
        <v>0</v>
      </c>
      <c r="CS333" s="2078">
        <f t="shared" si="1112"/>
        <v>0</v>
      </c>
      <c r="CT333" s="2078">
        <f t="shared" si="1123"/>
        <v>1</v>
      </c>
      <c r="CU333" s="2078">
        <f t="shared" si="1113"/>
        <v>1</v>
      </c>
      <c r="CV333" s="2078">
        <f t="shared" si="1134"/>
        <v>0</v>
      </c>
      <c r="CW333" s="2078">
        <f>IF(OR(AE333&lt;&gt;3,F333="Exclude"),0,IF(ISERROR(MATCH($E333,'4 Sign-off'!$S$123:$X$123,0)),0,1))</f>
        <v>0</v>
      </c>
      <c r="CX333" s="2078">
        <f t="shared" si="1046"/>
        <v>0</v>
      </c>
      <c r="CY333" s="2078">
        <f t="shared" si="1135"/>
        <v>0</v>
      </c>
      <c r="CZ333" s="2993">
        <f t="shared" ca="1" si="1043"/>
        <v>0</v>
      </c>
      <c r="DA333" s="3037">
        <f t="shared" ca="1" si="1044"/>
        <v>0</v>
      </c>
      <c r="DB333" s="1664"/>
      <c r="DC333" s="1320"/>
      <c r="DD333" s="589"/>
      <c r="DE333" s="1321"/>
      <c r="DF333" s="107"/>
      <c r="DG333" s="112"/>
      <c r="DH333" s="140"/>
      <c r="DI333" s="22"/>
      <c r="DJ333" s="145"/>
      <c r="DK333" s="137"/>
      <c r="DL333" s="137"/>
      <c r="DM333" s="137"/>
      <c r="DN333" s="137"/>
      <c r="DO333" s="137"/>
      <c r="DP333" s="137"/>
      <c r="DQ333" s="137"/>
      <c r="DR333" s="137"/>
      <c r="DS333" s="137"/>
      <c r="DT333" s="137"/>
      <c r="DU333" s="137"/>
      <c r="DV333" s="137"/>
      <c r="DW333" s="137"/>
      <c r="DX333" s="137"/>
      <c r="DY333" s="137"/>
      <c r="DZ333" s="137"/>
      <c r="EA333" s="137"/>
      <c r="EB333" s="137"/>
      <c r="EC333" s="137"/>
      <c r="ED333" s="137"/>
      <c r="EE333" s="137"/>
      <c r="EF333" s="137"/>
      <c r="EG333" s="137"/>
      <c r="EH333" s="137"/>
      <c r="EI333" s="137"/>
      <c r="EJ333" s="137"/>
      <c r="EK333" s="137"/>
      <c r="EL333" s="137"/>
      <c r="EM333" s="137"/>
      <c r="EN333" s="137"/>
      <c r="EO333" s="137"/>
      <c r="EP333" s="137"/>
      <c r="EQ333" s="137"/>
      <c r="ER333" s="137"/>
      <c r="ES333" s="137"/>
      <c r="ET333" s="137"/>
      <c r="EU333" s="137"/>
      <c r="EV333" s="137"/>
      <c r="EW333" s="137"/>
      <c r="EX333" s="137"/>
      <c r="EY333" s="137"/>
      <c r="EZ333" s="137"/>
      <c r="FA333" s="137"/>
      <c r="FB333" s="137"/>
      <c r="FC333" s="137"/>
      <c r="FD333" s="137"/>
      <c r="FE333" s="137"/>
      <c r="FF333" s="137"/>
      <c r="FG333" s="860"/>
      <c r="FH333" s="863"/>
      <c r="FI333" s="1318"/>
      <c r="FJ333" s="126"/>
      <c r="FK333" s="127"/>
      <c r="FL333" s="128" t="str">
        <f t="shared" si="1114"/>
        <v xml:space="preserve">    </v>
      </c>
      <c r="FM333" s="128"/>
      <c r="FN333" s="1686">
        <f t="shared" si="1115"/>
        <v>0</v>
      </c>
      <c r="FO333" s="46">
        <f t="shared" si="1136"/>
        <v>0</v>
      </c>
      <c r="FP333" s="46">
        <f t="shared" ref="FP333" si="1145">IFERROR(1/FQ333,1)</f>
        <v>1</v>
      </c>
      <c r="FQ333" s="75">
        <f t="shared" si="1116"/>
        <v>0</v>
      </c>
      <c r="FR333" s="46">
        <f t="shared" ref="FR333" si="1146">SUM(GT333:LQ333)</f>
        <v>0</v>
      </c>
      <c r="FS333" s="46">
        <f t="shared" si="1129"/>
        <v>1</v>
      </c>
      <c r="FT333" s="75">
        <f t="shared" si="1117"/>
        <v>0</v>
      </c>
      <c r="FU333" s="2603">
        <f t="shared" si="1137"/>
        <v>0</v>
      </c>
      <c r="FV333" s="2607">
        <f t="shared" si="1138"/>
        <v>0</v>
      </c>
      <c r="FW333" s="2603">
        <f t="shared" si="1139"/>
        <v>0</v>
      </c>
      <c r="FX333" s="2631">
        <f t="shared" si="1140"/>
        <v>0</v>
      </c>
      <c r="FY333" s="81" t="e">
        <f t="shared" si="1130"/>
        <v>#N/A</v>
      </c>
      <c r="FZ333" s="64" t="e">
        <f t="array" ref="FZ333">MATCH(1,($GT333:$LQ333&gt;0)*$GT$25:$LQ$25,0)</f>
        <v>#N/A</v>
      </c>
      <c r="GA333" s="64" t="e">
        <f t="array" ref="GA333">MATCH(2,1/(GT333:LQ333&gt;0))</f>
        <v>#N/A</v>
      </c>
      <c r="GB333" s="64">
        <f t="shared" si="1118"/>
        <v>-1</v>
      </c>
      <c r="GC333" s="46"/>
      <c r="GD333" s="613"/>
      <c r="GE333" s="613"/>
      <c r="GF333" s="613"/>
      <c r="GG333" s="613"/>
      <c r="GH333" s="613"/>
      <c r="GI333" s="613"/>
      <c r="GJ333" s="613"/>
      <c r="GK333" s="613"/>
      <c r="GL333" s="613"/>
      <c r="GM333" s="613"/>
      <c r="GN333" s="385">
        <f t="shared" si="1047"/>
        <v>0</v>
      </c>
      <c r="GO333" s="386">
        <f t="shared" si="1048"/>
        <v>0</v>
      </c>
      <c r="GP333" s="2635"/>
      <c r="GQ333" s="175"/>
      <c r="GR333" s="172"/>
      <c r="GS333" s="65"/>
      <c r="GT333" s="167"/>
      <c r="GU333" s="168"/>
      <c r="GV333" s="168"/>
      <c r="GW333" s="168"/>
      <c r="GX333" s="168"/>
      <c r="GY333" s="168"/>
      <c r="GZ333" s="168"/>
      <c r="HA333" s="168"/>
      <c r="HB333" s="168"/>
      <c r="HC333" s="168"/>
      <c r="HD333" s="168"/>
      <c r="HE333" s="168"/>
      <c r="HF333" s="168"/>
      <c r="HG333" s="168"/>
      <c r="HH333" s="168"/>
      <c r="HI333" s="168"/>
      <c r="HJ333" s="168"/>
      <c r="HK333" s="168"/>
      <c r="HL333" s="168"/>
      <c r="HM333" s="168"/>
      <c r="HN333" s="168"/>
      <c r="HO333" s="168"/>
      <c r="HP333" s="168"/>
      <c r="HQ333" s="168"/>
      <c r="HR333" s="168"/>
      <c r="HS333" s="168"/>
      <c r="HT333" s="168"/>
      <c r="HU333" s="168"/>
      <c r="HV333" s="168"/>
      <c r="HW333" s="168"/>
      <c r="HX333" s="168"/>
      <c r="HY333" s="168"/>
      <c r="HZ333" s="168"/>
      <c r="IA333" s="168"/>
      <c r="IB333" s="168"/>
      <c r="IC333" s="168"/>
      <c r="ID333" s="168"/>
      <c r="IE333" s="168"/>
      <c r="IF333" s="168"/>
      <c r="IG333" s="168"/>
      <c r="IH333" s="168"/>
      <c r="II333" s="168"/>
      <c r="IJ333" s="168"/>
      <c r="IK333" s="168"/>
      <c r="IL333" s="168"/>
      <c r="IM333" s="168"/>
      <c r="IN333" s="168"/>
      <c r="IO333" s="168"/>
      <c r="IP333" s="168"/>
      <c r="IQ333" s="168"/>
      <c r="IR333" s="168"/>
      <c r="IS333" s="168"/>
      <c r="IT333" s="168"/>
      <c r="IU333" s="168"/>
      <c r="IV333" s="168"/>
      <c r="IW333" s="168"/>
      <c r="IX333" s="168"/>
      <c r="IY333" s="168"/>
      <c r="IZ333" s="168"/>
      <c r="JA333" s="168"/>
      <c r="JB333" s="168"/>
      <c r="JC333" s="168"/>
      <c r="JD333" s="168"/>
      <c r="JE333" s="168"/>
      <c r="JF333" s="168"/>
      <c r="JG333" s="168"/>
      <c r="JH333" s="168"/>
      <c r="JI333" s="168"/>
      <c r="JJ333" s="168"/>
      <c r="JK333" s="168"/>
      <c r="JL333" s="168"/>
      <c r="JM333" s="168"/>
      <c r="JN333" s="168"/>
      <c r="JO333" s="168"/>
      <c r="JP333" s="168"/>
      <c r="JQ333" s="168"/>
      <c r="JR333" s="168"/>
      <c r="JS333" s="168"/>
      <c r="JT333" s="168"/>
      <c r="JU333" s="168"/>
      <c r="JV333" s="168"/>
      <c r="JW333" s="168"/>
      <c r="JX333" s="168"/>
      <c r="JY333" s="168"/>
      <c r="JZ333" s="168"/>
      <c r="KA333" s="168"/>
      <c r="KB333" s="168"/>
      <c r="KC333" s="168"/>
      <c r="KD333" s="168"/>
      <c r="KE333" s="168"/>
      <c r="KF333" s="168"/>
      <c r="KG333" s="168"/>
      <c r="KH333" s="168"/>
      <c r="KI333" s="168"/>
      <c r="KJ333" s="168"/>
      <c r="KK333" s="168"/>
      <c r="KL333" s="168"/>
      <c r="KM333" s="168"/>
      <c r="KN333" s="168"/>
      <c r="KO333" s="168"/>
      <c r="KP333" s="168"/>
      <c r="KQ333" s="168"/>
      <c r="KR333" s="168"/>
      <c r="KS333" s="168"/>
      <c r="KT333" s="168"/>
      <c r="KU333" s="168"/>
      <c r="KV333" s="168"/>
      <c r="KW333" s="168"/>
      <c r="KX333" s="168"/>
      <c r="KY333" s="168"/>
      <c r="KZ333" s="168"/>
      <c r="LA333" s="168"/>
      <c r="LB333" s="168"/>
      <c r="LC333" s="168"/>
      <c r="LD333" s="168"/>
      <c r="LE333" s="168"/>
      <c r="LF333" s="168"/>
      <c r="LG333" s="168"/>
      <c r="LH333" s="168"/>
      <c r="LI333" s="168"/>
      <c r="LJ333" s="168"/>
      <c r="LK333" s="168"/>
      <c r="LL333" s="168"/>
      <c r="LM333" s="168"/>
      <c r="LN333" s="168"/>
      <c r="LO333" s="168"/>
      <c r="LP333" s="606"/>
      <c r="LQ333" s="609"/>
      <c r="LR333" s="1319"/>
      <c r="LS333" s="1319"/>
    </row>
    <row r="334" spans="1:331" s="2" customFormat="1" ht="15" customHeight="1" x14ac:dyDescent="0.25">
      <c r="A334" s="283"/>
      <c r="B334" s="303"/>
      <c r="C334" s="301"/>
      <c r="D334" s="1287"/>
      <c r="E334" s="2298"/>
      <c r="F334" s="1812"/>
      <c r="G334" s="3342"/>
      <c r="H334" s="66"/>
      <c r="I334" s="1746"/>
      <c r="J334" s="1214"/>
      <c r="K334" s="105"/>
      <c r="L334" s="91"/>
      <c r="M334" s="92"/>
      <c r="N334" s="93"/>
      <c r="O334" s="94"/>
      <c r="P334" s="96"/>
      <c r="Q334" s="95"/>
      <c r="R334" s="993">
        <f t="shared" ref="R334:R364" si="1147">CHOOSE(AE334,SUMIFS($T$173:$T$364,$AF$173:$AF$364,AF334,$AE$173:$AE$364,3,$CY$173:$CY$364,1,$AH$173:$AH$364,1),SUMIFS($T$173:$T$364,$AG$173:$AG$364,AG334,$AE$173:$AE$364,3,$CY$173:$CY$364,1,$AH$173:$AH$364,1),T334+U334)</f>
        <v>0</v>
      </c>
      <c r="S334" s="23">
        <f t="shared" ref="S334:S364" si="1148">CHOOSE($AE334,SUMIFS($S$173:$S$364,$AF$173:$AF$364,AF334,$CY$173:$CY$364,1),SUMIFS($S$173:$S$364,$AG$173:$AG$364,AG334,$CY$173:$CY$364,1),V334+Y334+AB334)</f>
        <v>0</v>
      </c>
      <c r="T334" s="24">
        <f t="shared" si="1071"/>
        <v>0</v>
      </c>
      <c r="U334" s="24">
        <f t="shared" si="1072"/>
        <v>0</v>
      </c>
      <c r="V334" s="24">
        <f t="shared" si="1073"/>
        <v>0</v>
      </c>
      <c r="W334" s="24">
        <f t="shared" ca="1" si="1074"/>
        <v>0</v>
      </c>
      <c r="X334" s="72">
        <f t="shared" ca="1" si="1119"/>
        <v>0</v>
      </c>
      <c r="Y334" s="72">
        <f t="shared" si="1075"/>
        <v>0</v>
      </c>
      <c r="Z334" s="24">
        <f t="shared" si="1076"/>
        <v>0</v>
      </c>
      <c r="AA334" s="72">
        <f t="shared" si="1120"/>
        <v>0</v>
      </c>
      <c r="AB334" s="24">
        <f t="shared" si="1131"/>
        <v>0</v>
      </c>
      <c r="AC334" s="24">
        <f t="shared" ca="1" si="1077"/>
        <v>0</v>
      </c>
      <c r="AD334" s="24">
        <f t="shared" si="1049"/>
        <v>0</v>
      </c>
      <c r="AE334" s="2078">
        <f t="shared" si="1125"/>
        <v>3</v>
      </c>
      <c r="AF334" s="2078">
        <f t="shared" si="1126"/>
        <v>0</v>
      </c>
      <c r="AG334" s="2078">
        <f t="shared" si="1127"/>
        <v>0</v>
      </c>
      <c r="AH334" s="2521">
        <f t="shared" si="1050"/>
        <v>1</v>
      </c>
      <c r="AI334" s="25" t="str">
        <f t="shared" si="1078"/>
        <v/>
      </c>
      <c r="AJ334" s="2521">
        <f t="shared" ca="1" si="1045"/>
        <v>0</v>
      </c>
      <c r="AK334" s="2076">
        <f t="shared" ca="1" si="1041"/>
        <v>0</v>
      </c>
      <c r="AL334" s="2078">
        <f>IF(ISBLANK(J334),0,ISERROR(MATCH(J334,'5  Control Accounts'!$FA$29:$FA$96,0))*1)</f>
        <v>0</v>
      </c>
      <c r="AM334" s="2076">
        <f t="shared" si="1079"/>
        <v>0</v>
      </c>
      <c r="AN334" s="2078">
        <f t="shared" si="1080"/>
        <v>1</v>
      </c>
      <c r="AO334" s="2079">
        <f t="shared" si="1051"/>
        <v>1</v>
      </c>
      <c r="AP334" s="2079">
        <f t="shared" si="1052"/>
        <v>0</v>
      </c>
      <c r="AQ334" s="2079">
        <f t="shared" si="1053"/>
        <v>0</v>
      </c>
      <c r="AR334" s="2079">
        <f t="shared" si="1054"/>
        <v>0</v>
      </c>
      <c r="AS334" s="2079">
        <f t="shared" si="1055"/>
        <v>0</v>
      </c>
      <c r="AT334" s="2079">
        <f t="shared" si="1056"/>
        <v>0</v>
      </c>
      <c r="AU334" s="2079">
        <f t="shared" si="1057"/>
        <v>0</v>
      </c>
      <c r="AV334" s="2079">
        <f t="shared" si="1058"/>
        <v>0</v>
      </c>
      <c r="AW334" s="2079">
        <f t="shared" si="1059"/>
        <v>0</v>
      </c>
      <c r="AX334" s="2079">
        <f t="shared" si="1060"/>
        <v>0</v>
      </c>
      <c r="AY334" s="2078">
        <f t="shared" si="1081"/>
        <v>0</v>
      </c>
      <c r="AZ334" s="2078">
        <f t="shared" si="1082"/>
        <v>0</v>
      </c>
      <c r="BA334" s="2078">
        <f t="shared" si="1083"/>
        <v>0</v>
      </c>
      <c r="BB334" s="2078">
        <f t="shared" si="1084"/>
        <v>0</v>
      </c>
      <c r="BC334" s="2078">
        <f t="shared" si="1085"/>
        <v>0</v>
      </c>
      <c r="BD334" s="2078">
        <f t="shared" si="1086"/>
        <v>0</v>
      </c>
      <c r="BE334" s="2078">
        <f t="shared" si="1087"/>
        <v>0</v>
      </c>
      <c r="BF334" s="2078">
        <f t="shared" si="1088"/>
        <v>0</v>
      </c>
      <c r="BG334" s="2078">
        <f t="shared" si="1089"/>
        <v>0</v>
      </c>
      <c r="BH334" s="2078">
        <f t="shared" si="1090"/>
        <v>0</v>
      </c>
      <c r="BI334" s="2078">
        <f t="shared" si="1091"/>
        <v>0</v>
      </c>
      <c r="BJ334" s="2078">
        <f t="shared" si="1092"/>
        <v>0</v>
      </c>
      <c r="BK334" s="2078">
        <f t="shared" si="1093"/>
        <v>0</v>
      </c>
      <c r="BL334" s="2078">
        <f t="shared" si="1094"/>
        <v>0</v>
      </c>
      <c r="BM334" s="2078">
        <f t="shared" si="1095"/>
        <v>0</v>
      </c>
      <c r="BN334" s="2078">
        <f t="shared" si="1096"/>
        <v>0</v>
      </c>
      <c r="BO334" s="2078">
        <f t="shared" si="1097"/>
        <v>0</v>
      </c>
      <c r="BP334" s="2078">
        <f t="shared" si="1098"/>
        <v>0</v>
      </c>
      <c r="BQ334" s="2078">
        <f t="shared" si="1099"/>
        <v>0</v>
      </c>
      <c r="BR334" s="2078">
        <f t="shared" si="1100"/>
        <v>0</v>
      </c>
      <c r="BS334" s="2079">
        <f t="shared" si="1061"/>
        <v>1</v>
      </c>
      <c r="BT334" s="2079">
        <f t="shared" si="1062"/>
        <v>0</v>
      </c>
      <c r="BU334" s="2079">
        <f t="shared" si="1063"/>
        <v>0</v>
      </c>
      <c r="BV334" s="2079">
        <f t="shared" si="1064"/>
        <v>0</v>
      </c>
      <c r="BW334" s="2079">
        <f t="shared" si="1065"/>
        <v>0</v>
      </c>
      <c r="BX334" s="2079">
        <f t="shared" si="1066"/>
        <v>0</v>
      </c>
      <c r="BY334" s="2079">
        <f t="shared" si="1067"/>
        <v>0</v>
      </c>
      <c r="BZ334" s="2079">
        <f t="shared" si="1068"/>
        <v>0</v>
      </c>
      <c r="CA334" s="2079">
        <f t="shared" si="1069"/>
        <v>0</v>
      </c>
      <c r="CB334" s="2079">
        <f t="shared" si="1070"/>
        <v>0</v>
      </c>
      <c r="CC334" s="2078">
        <f t="shared" ca="1" si="1101"/>
        <v>0</v>
      </c>
      <c r="CD334" s="2078">
        <f t="shared" ca="1" si="1102"/>
        <v>0</v>
      </c>
      <c r="CE334" s="2078">
        <f t="shared" ca="1" si="1103"/>
        <v>0</v>
      </c>
      <c r="CF334" s="2078">
        <f t="shared" ca="1" si="1104"/>
        <v>0</v>
      </c>
      <c r="CG334" s="2078">
        <f t="shared" ca="1" si="1105"/>
        <v>0</v>
      </c>
      <c r="CH334" s="2078">
        <f t="shared" ca="1" si="1106"/>
        <v>0</v>
      </c>
      <c r="CI334" s="2078">
        <f t="shared" ca="1" si="1107"/>
        <v>0</v>
      </c>
      <c r="CJ334" s="2078">
        <f t="shared" ca="1" si="1108"/>
        <v>0</v>
      </c>
      <c r="CK334" s="2078">
        <f t="shared" ca="1" si="1109"/>
        <v>0</v>
      </c>
      <c r="CL334" s="2078">
        <f t="shared" ca="1" si="1110"/>
        <v>0</v>
      </c>
      <c r="CM334" s="2078">
        <f t="shared" si="1132"/>
        <v>1</v>
      </c>
      <c r="CN334" s="2078">
        <f t="shared" si="1133"/>
        <v>1</v>
      </c>
      <c r="CO334" s="2078">
        <f t="shared" si="1121"/>
        <v>1</v>
      </c>
      <c r="CP334" s="2078">
        <f t="shared" si="1111"/>
        <v>1</v>
      </c>
      <c r="CQ334" s="2078">
        <f t="shared" si="1122"/>
        <v>0</v>
      </c>
      <c r="CR334" s="2078">
        <f t="shared" si="1042"/>
        <v>0</v>
      </c>
      <c r="CS334" s="2078">
        <f t="shared" si="1112"/>
        <v>0</v>
      </c>
      <c r="CT334" s="2078">
        <f t="shared" si="1123"/>
        <v>1</v>
      </c>
      <c r="CU334" s="2078">
        <f t="shared" si="1113"/>
        <v>1</v>
      </c>
      <c r="CV334" s="2078">
        <f t="shared" si="1134"/>
        <v>0</v>
      </c>
      <c r="CW334" s="2078">
        <f>IF(OR(AE334&lt;&gt;3,F334="Exclude"),0,IF(ISERROR(MATCH($E334,'4 Sign-off'!$S$123:$X$123,0)),0,1))</f>
        <v>0</v>
      </c>
      <c r="CX334" s="2078">
        <f t="shared" si="1046"/>
        <v>0</v>
      </c>
      <c r="CY334" s="2078">
        <f t="shared" si="1135"/>
        <v>0</v>
      </c>
      <c r="CZ334" s="2993">
        <f t="shared" ref="CZ334:CZ364" ca="1" si="1149">CHOOSE($AE334,SUMIFS($CZ$173:$CZ$364,$AF$173:$AF$364,$AF334,$CY$173:$CY$364,1,$AH$173:$AH$364,1),SUMIFS($CZ$173:$CZ$364,$AG$173:$AG$364,$AG334,$CY$173:$CY$364,1,$AH$173:$AH$364,1),X334+AA334)</f>
        <v>0</v>
      </c>
      <c r="DA334" s="3037">
        <f t="shared" ref="DA334:DA364" ca="1" si="1150">CHOOSE($AE334,SUMIFS($DA$173:$DA$364,$AF$173:$AF$364,$AF334,$CY$173:$CY$364,1,$AH$173:$AH$364,1),SUMIFS($DA$173:$DA$364,$AG$173:$AG$364,$AG334,$CY$173:$CY$364,1,$AH$173:$AH$364,1),CZ334-S334)</f>
        <v>0</v>
      </c>
      <c r="DB334" s="1664"/>
      <c r="DC334" s="1320"/>
      <c r="DD334" s="589"/>
      <c r="DE334" s="1321"/>
      <c r="DF334" s="107"/>
      <c r="DG334" s="112"/>
      <c r="DH334" s="140"/>
      <c r="DI334" s="22"/>
      <c r="DJ334" s="145"/>
      <c r="DK334" s="137"/>
      <c r="DL334" s="137"/>
      <c r="DM334" s="137"/>
      <c r="DN334" s="137"/>
      <c r="DO334" s="137"/>
      <c r="DP334" s="137"/>
      <c r="DQ334" s="137"/>
      <c r="DR334" s="137"/>
      <c r="DS334" s="137"/>
      <c r="DT334" s="137"/>
      <c r="DU334" s="137"/>
      <c r="DV334" s="137"/>
      <c r="DW334" s="137"/>
      <c r="DX334" s="137"/>
      <c r="DY334" s="137"/>
      <c r="DZ334" s="137"/>
      <c r="EA334" s="137"/>
      <c r="EB334" s="137"/>
      <c r="EC334" s="137"/>
      <c r="ED334" s="137"/>
      <c r="EE334" s="137"/>
      <c r="EF334" s="137"/>
      <c r="EG334" s="137"/>
      <c r="EH334" s="137"/>
      <c r="EI334" s="137"/>
      <c r="EJ334" s="137"/>
      <c r="EK334" s="137"/>
      <c r="EL334" s="137"/>
      <c r="EM334" s="137"/>
      <c r="EN334" s="137"/>
      <c r="EO334" s="137"/>
      <c r="EP334" s="137"/>
      <c r="EQ334" s="137"/>
      <c r="ER334" s="137"/>
      <c r="ES334" s="137"/>
      <c r="ET334" s="137"/>
      <c r="EU334" s="137"/>
      <c r="EV334" s="137"/>
      <c r="EW334" s="137"/>
      <c r="EX334" s="137"/>
      <c r="EY334" s="137"/>
      <c r="EZ334" s="137"/>
      <c r="FA334" s="137"/>
      <c r="FB334" s="137"/>
      <c r="FC334" s="137"/>
      <c r="FD334" s="137"/>
      <c r="FE334" s="137"/>
      <c r="FF334" s="137"/>
      <c r="FG334" s="860"/>
      <c r="FH334" s="863"/>
      <c r="FI334" s="1318"/>
      <c r="FJ334" s="126"/>
      <c r="FK334" s="127"/>
      <c r="FL334" s="128" t="str">
        <f t="shared" si="1114"/>
        <v xml:space="preserve">    </v>
      </c>
      <c r="FM334" s="128"/>
      <c r="FN334" s="1686">
        <f t="shared" si="1115"/>
        <v>0</v>
      </c>
      <c r="FO334" s="46">
        <f t="shared" si="1136"/>
        <v>0</v>
      </c>
      <c r="FP334" s="46">
        <f t="shared" si="1124"/>
        <v>1</v>
      </c>
      <c r="FQ334" s="75">
        <f t="shared" si="1116"/>
        <v>0</v>
      </c>
      <c r="FR334" s="46">
        <f t="shared" si="1128"/>
        <v>0</v>
      </c>
      <c r="FS334" s="46">
        <f t="shared" si="1129"/>
        <v>1</v>
      </c>
      <c r="FT334" s="75">
        <f t="shared" si="1117"/>
        <v>0</v>
      </c>
      <c r="FU334" s="2603">
        <f t="shared" si="1137"/>
        <v>0</v>
      </c>
      <c r="FV334" s="2607">
        <f t="shared" si="1138"/>
        <v>0</v>
      </c>
      <c r="FW334" s="2603">
        <f t="shared" si="1139"/>
        <v>0</v>
      </c>
      <c r="FX334" s="2631">
        <f t="shared" si="1140"/>
        <v>0</v>
      </c>
      <c r="FY334" s="81" t="e">
        <f t="shared" si="1130"/>
        <v>#N/A</v>
      </c>
      <c r="FZ334" s="64" t="e">
        <f t="array" ref="FZ334">MATCH(1,($GT334:$LQ334&gt;0)*$GT$25:$LQ$25,0)</f>
        <v>#N/A</v>
      </c>
      <c r="GA334" s="64" t="e">
        <f t="array" ref="GA334">MATCH(2,1/(GT334:LQ334&gt;0))</f>
        <v>#N/A</v>
      </c>
      <c r="GB334" s="64">
        <f t="shared" si="1118"/>
        <v>-1</v>
      </c>
      <c r="GC334" s="46"/>
      <c r="GD334" s="613"/>
      <c r="GE334" s="613"/>
      <c r="GF334" s="613"/>
      <c r="GG334" s="613"/>
      <c r="GH334" s="613"/>
      <c r="GI334" s="613"/>
      <c r="GJ334" s="613"/>
      <c r="GK334" s="613"/>
      <c r="GL334" s="613"/>
      <c r="GM334" s="613"/>
      <c r="GN334" s="385">
        <f t="shared" si="1047"/>
        <v>0</v>
      </c>
      <c r="GO334" s="386">
        <f t="shared" si="1048"/>
        <v>0</v>
      </c>
      <c r="GP334" s="2635"/>
      <c r="GQ334" s="175"/>
      <c r="GR334" s="172"/>
      <c r="GS334" s="65"/>
      <c r="GT334" s="167"/>
      <c r="GU334" s="168"/>
      <c r="GV334" s="168"/>
      <c r="GW334" s="168"/>
      <c r="GX334" s="168"/>
      <c r="GY334" s="168"/>
      <c r="GZ334" s="168"/>
      <c r="HA334" s="168"/>
      <c r="HB334" s="168"/>
      <c r="HC334" s="168"/>
      <c r="HD334" s="168"/>
      <c r="HE334" s="168"/>
      <c r="HF334" s="168"/>
      <c r="HG334" s="168"/>
      <c r="HH334" s="168"/>
      <c r="HI334" s="168"/>
      <c r="HJ334" s="168"/>
      <c r="HK334" s="168"/>
      <c r="HL334" s="168"/>
      <c r="HM334" s="168"/>
      <c r="HN334" s="168"/>
      <c r="HO334" s="168"/>
      <c r="HP334" s="168"/>
      <c r="HQ334" s="168"/>
      <c r="HR334" s="168"/>
      <c r="HS334" s="168"/>
      <c r="HT334" s="168"/>
      <c r="HU334" s="168"/>
      <c r="HV334" s="168"/>
      <c r="HW334" s="168"/>
      <c r="HX334" s="168"/>
      <c r="HY334" s="168"/>
      <c r="HZ334" s="168"/>
      <c r="IA334" s="168"/>
      <c r="IB334" s="168"/>
      <c r="IC334" s="168"/>
      <c r="ID334" s="168"/>
      <c r="IE334" s="168"/>
      <c r="IF334" s="168"/>
      <c r="IG334" s="168"/>
      <c r="IH334" s="168"/>
      <c r="II334" s="168"/>
      <c r="IJ334" s="168"/>
      <c r="IK334" s="168"/>
      <c r="IL334" s="168"/>
      <c r="IM334" s="168"/>
      <c r="IN334" s="168"/>
      <c r="IO334" s="168"/>
      <c r="IP334" s="168"/>
      <c r="IQ334" s="168"/>
      <c r="IR334" s="168"/>
      <c r="IS334" s="168"/>
      <c r="IT334" s="168"/>
      <c r="IU334" s="168"/>
      <c r="IV334" s="168"/>
      <c r="IW334" s="168"/>
      <c r="IX334" s="168"/>
      <c r="IY334" s="168"/>
      <c r="IZ334" s="168"/>
      <c r="JA334" s="168"/>
      <c r="JB334" s="168"/>
      <c r="JC334" s="168"/>
      <c r="JD334" s="168"/>
      <c r="JE334" s="168"/>
      <c r="JF334" s="168"/>
      <c r="JG334" s="168"/>
      <c r="JH334" s="168"/>
      <c r="JI334" s="168"/>
      <c r="JJ334" s="168"/>
      <c r="JK334" s="168"/>
      <c r="JL334" s="168"/>
      <c r="JM334" s="168"/>
      <c r="JN334" s="168"/>
      <c r="JO334" s="168"/>
      <c r="JP334" s="168"/>
      <c r="JQ334" s="168"/>
      <c r="JR334" s="168"/>
      <c r="JS334" s="168"/>
      <c r="JT334" s="168"/>
      <c r="JU334" s="168"/>
      <c r="JV334" s="168"/>
      <c r="JW334" s="168"/>
      <c r="JX334" s="168"/>
      <c r="JY334" s="168"/>
      <c r="JZ334" s="168"/>
      <c r="KA334" s="168"/>
      <c r="KB334" s="168"/>
      <c r="KC334" s="168"/>
      <c r="KD334" s="168"/>
      <c r="KE334" s="168"/>
      <c r="KF334" s="168"/>
      <c r="KG334" s="168"/>
      <c r="KH334" s="168"/>
      <c r="KI334" s="168"/>
      <c r="KJ334" s="168"/>
      <c r="KK334" s="168"/>
      <c r="KL334" s="168"/>
      <c r="KM334" s="168"/>
      <c r="KN334" s="168"/>
      <c r="KO334" s="168"/>
      <c r="KP334" s="168"/>
      <c r="KQ334" s="168"/>
      <c r="KR334" s="168"/>
      <c r="KS334" s="168"/>
      <c r="KT334" s="168"/>
      <c r="KU334" s="168"/>
      <c r="KV334" s="168"/>
      <c r="KW334" s="168"/>
      <c r="KX334" s="168"/>
      <c r="KY334" s="168"/>
      <c r="KZ334" s="168"/>
      <c r="LA334" s="168"/>
      <c r="LB334" s="168"/>
      <c r="LC334" s="168"/>
      <c r="LD334" s="168"/>
      <c r="LE334" s="168"/>
      <c r="LF334" s="168"/>
      <c r="LG334" s="168"/>
      <c r="LH334" s="168"/>
      <c r="LI334" s="168"/>
      <c r="LJ334" s="168"/>
      <c r="LK334" s="168"/>
      <c r="LL334" s="168"/>
      <c r="LM334" s="168"/>
      <c r="LN334" s="168"/>
      <c r="LO334" s="168"/>
      <c r="LP334" s="606"/>
      <c r="LQ334" s="609"/>
      <c r="LR334" s="1319"/>
      <c r="LS334" s="1319"/>
    </row>
    <row r="335" spans="1:331" s="2" customFormat="1" ht="15" customHeight="1" x14ac:dyDescent="0.25">
      <c r="A335" s="283"/>
      <c r="B335" s="303"/>
      <c r="C335" s="301"/>
      <c r="D335" s="1287"/>
      <c r="E335" s="2298"/>
      <c r="F335" s="1812"/>
      <c r="G335" s="3342"/>
      <c r="H335" s="66"/>
      <c r="I335" s="1746"/>
      <c r="J335" s="1214"/>
      <c r="K335" s="105"/>
      <c r="L335" s="91"/>
      <c r="M335" s="92"/>
      <c r="N335" s="93"/>
      <c r="O335" s="94"/>
      <c r="P335" s="96"/>
      <c r="Q335" s="95"/>
      <c r="R335" s="993">
        <f t="shared" si="1147"/>
        <v>0</v>
      </c>
      <c r="S335" s="23">
        <f t="shared" si="1148"/>
        <v>0</v>
      </c>
      <c r="T335" s="24">
        <f t="shared" si="1071"/>
        <v>0</v>
      </c>
      <c r="U335" s="24">
        <f t="shared" si="1072"/>
        <v>0</v>
      </c>
      <c r="V335" s="24">
        <f t="shared" si="1073"/>
        <v>0</v>
      </c>
      <c r="W335" s="24">
        <f t="shared" ca="1" si="1074"/>
        <v>0</v>
      </c>
      <c r="X335" s="72">
        <f t="shared" ca="1" si="1119"/>
        <v>0</v>
      </c>
      <c r="Y335" s="72">
        <f t="shared" si="1075"/>
        <v>0</v>
      </c>
      <c r="Z335" s="24">
        <f t="shared" si="1076"/>
        <v>0</v>
      </c>
      <c r="AA335" s="72">
        <f t="shared" si="1120"/>
        <v>0</v>
      </c>
      <c r="AB335" s="24">
        <f t="shared" si="1131"/>
        <v>0</v>
      </c>
      <c r="AC335" s="24">
        <f t="shared" ca="1" si="1077"/>
        <v>0</v>
      </c>
      <c r="AD335" s="24">
        <f t="shared" si="1049"/>
        <v>0</v>
      </c>
      <c r="AE335" s="2078">
        <f t="shared" si="1125"/>
        <v>3</v>
      </c>
      <c r="AF335" s="2078">
        <f t="shared" si="1126"/>
        <v>0</v>
      </c>
      <c r="AG335" s="2078">
        <f t="shared" si="1127"/>
        <v>0</v>
      </c>
      <c r="AH335" s="2521">
        <f t="shared" si="1050"/>
        <v>1</v>
      </c>
      <c r="AI335" s="25" t="str">
        <f t="shared" si="1078"/>
        <v/>
      </c>
      <c r="AJ335" s="2521">
        <f t="shared" ca="1" si="1045"/>
        <v>0</v>
      </c>
      <c r="AK335" s="2076">
        <f t="shared" ca="1" si="1041"/>
        <v>0</v>
      </c>
      <c r="AL335" s="2078">
        <f>IF(ISBLANK(J335),0,ISERROR(MATCH(J335,'5  Control Accounts'!$FA$29:$FA$96,0))*1)</f>
        <v>0</v>
      </c>
      <c r="AM335" s="2076">
        <f t="shared" si="1079"/>
        <v>0</v>
      </c>
      <c r="AN335" s="2078">
        <f t="shared" si="1080"/>
        <v>1</v>
      </c>
      <c r="AO335" s="2079">
        <f t="shared" si="1051"/>
        <v>1</v>
      </c>
      <c r="AP335" s="2079">
        <f t="shared" si="1052"/>
        <v>0</v>
      </c>
      <c r="AQ335" s="2079">
        <f t="shared" si="1053"/>
        <v>0</v>
      </c>
      <c r="AR335" s="2079">
        <f t="shared" si="1054"/>
        <v>0</v>
      </c>
      <c r="AS335" s="2079">
        <f t="shared" si="1055"/>
        <v>0</v>
      </c>
      <c r="AT335" s="2079">
        <f t="shared" si="1056"/>
        <v>0</v>
      </c>
      <c r="AU335" s="2079">
        <f t="shared" si="1057"/>
        <v>0</v>
      </c>
      <c r="AV335" s="2079">
        <f t="shared" si="1058"/>
        <v>0</v>
      </c>
      <c r="AW335" s="2079">
        <f t="shared" si="1059"/>
        <v>0</v>
      </c>
      <c r="AX335" s="2079">
        <f t="shared" si="1060"/>
        <v>0</v>
      </c>
      <c r="AY335" s="2078">
        <f t="shared" si="1081"/>
        <v>0</v>
      </c>
      <c r="AZ335" s="2078">
        <f t="shared" si="1082"/>
        <v>0</v>
      </c>
      <c r="BA335" s="2078">
        <f t="shared" si="1083"/>
        <v>0</v>
      </c>
      <c r="BB335" s="2078">
        <f t="shared" si="1084"/>
        <v>0</v>
      </c>
      <c r="BC335" s="2078">
        <f t="shared" si="1085"/>
        <v>0</v>
      </c>
      <c r="BD335" s="2078">
        <f t="shared" si="1086"/>
        <v>0</v>
      </c>
      <c r="BE335" s="2078">
        <f t="shared" si="1087"/>
        <v>0</v>
      </c>
      <c r="BF335" s="2078">
        <f t="shared" si="1088"/>
        <v>0</v>
      </c>
      <c r="BG335" s="2078">
        <f t="shared" si="1089"/>
        <v>0</v>
      </c>
      <c r="BH335" s="2078">
        <f t="shared" si="1090"/>
        <v>0</v>
      </c>
      <c r="BI335" s="2078">
        <f t="shared" si="1091"/>
        <v>0</v>
      </c>
      <c r="BJ335" s="2078">
        <f t="shared" si="1092"/>
        <v>0</v>
      </c>
      <c r="BK335" s="2078">
        <f t="shared" si="1093"/>
        <v>0</v>
      </c>
      <c r="BL335" s="2078">
        <f t="shared" si="1094"/>
        <v>0</v>
      </c>
      <c r="BM335" s="2078">
        <f t="shared" si="1095"/>
        <v>0</v>
      </c>
      <c r="BN335" s="2078">
        <f t="shared" si="1096"/>
        <v>0</v>
      </c>
      <c r="BO335" s="2078">
        <f t="shared" si="1097"/>
        <v>0</v>
      </c>
      <c r="BP335" s="2078">
        <f t="shared" si="1098"/>
        <v>0</v>
      </c>
      <c r="BQ335" s="2078">
        <f t="shared" si="1099"/>
        <v>0</v>
      </c>
      <c r="BR335" s="2078">
        <f t="shared" si="1100"/>
        <v>0</v>
      </c>
      <c r="BS335" s="2079">
        <f t="shared" si="1061"/>
        <v>1</v>
      </c>
      <c r="BT335" s="2079">
        <f t="shared" si="1062"/>
        <v>0</v>
      </c>
      <c r="BU335" s="2079">
        <f t="shared" si="1063"/>
        <v>0</v>
      </c>
      <c r="BV335" s="2079">
        <f t="shared" si="1064"/>
        <v>0</v>
      </c>
      <c r="BW335" s="2079">
        <f t="shared" si="1065"/>
        <v>0</v>
      </c>
      <c r="BX335" s="2079">
        <f t="shared" si="1066"/>
        <v>0</v>
      </c>
      <c r="BY335" s="2079">
        <f t="shared" si="1067"/>
        <v>0</v>
      </c>
      <c r="BZ335" s="2079">
        <f t="shared" si="1068"/>
        <v>0</v>
      </c>
      <c r="CA335" s="2079">
        <f t="shared" si="1069"/>
        <v>0</v>
      </c>
      <c r="CB335" s="2079">
        <f t="shared" si="1070"/>
        <v>0</v>
      </c>
      <c r="CC335" s="2078">
        <f t="shared" ca="1" si="1101"/>
        <v>0</v>
      </c>
      <c r="CD335" s="2078">
        <f t="shared" ca="1" si="1102"/>
        <v>0</v>
      </c>
      <c r="CE335" s="2078">
        <f t="shared" ca="1" si="1103"/>
        <v>0</v>
      </c>
      <c r="CF335" s="2078">
        <f t="shared" ca="1" si="1104"/>
        <v>0</v>
      </c>
      <c r="CG335" s="2078">
        <f t="shared" ca="1" si="1105"/>
        <v>0</v>
      </c>
      <c r="CH335" s="2078">
        <f t="shared" ca="1" si="1106"/>
        <v>0</v>
      </c>
      <c r="CI335" s="2078">
        <f t="shared" ca="1" si="1107"/>
        <v>0</v>
      </c>
      <c r="CJ335" s="2078">
        <f t="shared" ca="1" si="1108"/>
        <v>0</v>
      </c>
      <c r="CK335" s="2078">
        <f t="shared" ca="1" si="1109"/>
        <v>0</v>
      </c>
      <c r="CL335" s="2078">
        <f t="shared" ca="1" si="1110"/>
        <v>0</v>
      </c>
      <c r="CM335" s="2078">
        <f t="shared" si="1132"/>
        <v>1</v>
      </c>
      <c r="CN335" s="2078">
        <f t="shared" si="1133"/>
        <v>1</v>
      </c>
      <c r="CO335" s="2078">
        <f t="shared" si="1121"/>
        <v>1</v>
      </c>
      <c r="CP335" s="2078">
        <f t="shared" si="1111"/>
        <v>1</v>
      </c>
      <c r="CQ335" s="2078">
        <f t="shared" si="1122"/>
        <v>0</v>
      </c>
      <c r="CR335" s="2078">
        <f t="shared" si="1042"/>
        <v>0</v>
      </c>
      <c r="CS335" s="2078">
        <f t="shared" si="1112"/>
        <v>0</v>
      </c>
      <c r="CT335" s="2078">
        <f t="shared" si="1123"/>
        <v>1</v>
      </c>
      <c r="CU335" s="2078">
        <f t="shared" si="1113"/>
        <v>1</v>
      </c>
      <c r="CV335" s="2078">
        <f t="shared" si="1134"/>
        <v>0</v>
      </c>
      <c r="CW335" s="2078">
        <f>IF(OR(AE335&lt;&gt;3,F335="Exclude"),0,IF(ISERROR(MATCH($E335,'4 Sign-off'!$S$123:$X$123,0)),0,1))</f>
        <v>0</v>
      </c>
      <c r="CX335" s="2078">
        <f t="shared" si="1046"/>
        <v>0</v>
      </c>
      <c r="CY335" s="2078">
        <f t="shared" si="1135"/>
        <v>0</v>
      </c>
      <c r="CZ335" s="2993">
        <f t="shared" ca="1" si="1149"/>
        <v>0</v>
      </c>
      <c r="DA335" s="3037">
        <f t="shared" ca="1" si="1150"/>
        <v>0</v>
      </c>
      <c r="DB335" s="1664"/>
      <c r="DC335" s="1320"/>
      <c r="DD335" s="589"/>
      <c r="DE335" s="1321"/>
      <c r="DF335" s="107"/>
      <c r="DG335" s="112"/>
      <c r="DH335" s="140"/>
      <c r="DI335" s="22"/>
      <c r="DJ335" s="145"/>
      <c r="DK335" s="137"/>
      <c r="DL335" s="137"/>
      <c r="DM335" s="137"/>
      <c r="DN335" s="137"/>
      <c r="DO335" s="137"/>
      <c r="DP335" s="137"/>
      <c r="DQ335" s="137"/>
      <c r="DR335" s="137"/>
      <c r="DS335" s="137"/>
      <c r="DT335" s="137"/>
      <c r="DU335" s="137"/>
      <c r="DV335" s="137"/>
      <c r="DW335" s="137"/>
      <c r="DX335" s="137"/>
      <c r="DY335" s="137"/>
      <c r="DZ335" s="137"/>
      <c r="EA335" s="137"/>
      <c r="EB335" s="137"/>
      <c r="EC335" s="137"/>
      <c r="ED335" s="137"/>
      <c r="EE335" s="137"/>
      <c r="EF335" s="137"/>
      <c r="EG335" s="137"/>
      <c r="EH335" s="137"/>
      <c r="EI335" s="137"/>
      <c r="EJ335" s="137"/>
      <c r="EK335" s="137"/>
      <c r="EL335" s="137"/>
      <c r="EM335" s="137"/>
      <c r="EN335" s="137"/>
      <c r="EO335" s="137"/>
      <c r="EP335" s="137"/>
      <c r="EQ335" s="137"/>
      <c r="ER335" s="137"/>
      <c r="ES335" s="137"/>
      <c r="ET335" s="137"/>
      <c r="EU335" s="137"/>
      <c r="EV335" s="137"/>
      <c r="EW335" s="137"/>
      <c r="EX335" s="137"/>
      <c r="EY335" s="137"/>
      <c r="EZ335" s="137"/>
      <c r="FA335" s="137"/>
      <c r="FB335" s="137"/>
      <c r="FC335" s="137"/>
      <c r="FD335" s="137"/>
      <c r="FE335" s="137"/>
      <c r="FF335" s="137"/>
      <c r="FG335" s="860"/>
      <c r="FH335" s="863"/>
      <c r="FI335" s="1318"/>
      <c r="FJ335" s="126"/>
      <c r="FK335" s="127"/>
      <c r="FL335" s="128" t="str">
        <f t="shared" si="1114"/>
        <v xml:space="preserve">    </v>
      </c>
      <c r="FM335" s="128"/>
      <c r="FN335" s="1686">
        <f t="shared" si="1115"/>
        <v>0</v>
      </c>
      <c r="FO335" s="46">
        <f t="shared" si="1136"/>
        <v>0</v>
      </c>
      <c r="FP335" s="46">
        <f t="shared" si="1124"/>
        <v>1</v>
      </c>
      <c r="FQ335" s="75">
        <f t="shared" si="1116"/>
        <v>0</v>
      </c>
      <c r="FR335" s="46">
        <f t="shared" si="1128"/>
        <v>0</v>
      </c>
      <c r="FS335" s="46">
        <f t="shared" si="1129"/>
        <v>1</v>
      </c>
      <c r="FT335" s="75">
        <f t="shared" si="1117"/>
        <v>0</v>
      </c>
      <c r="FU335" s="2603">
        <f t="shared" si="1137"/>
        <v>0</v>
      </c>
      <c r="FV335" s="2607">
        <f t="shared" si="1138"/>
        <v>0</v>
      </c>
      <c r="FW335" s="2603">
        <f t="shared" si="1139"/>
        <v>0</v>
      </c>
      <c r="FX335" s="2631">
        <f t="shared" si="1140"/>
        <v>0</v>
      </c>
      <c r="FY335" s="81" t="e">
        <f t="shared" si="1130"/>
        <v>#N/A</v>
      </c>
      <c r="FZ335" s="64" t="e">
        <f t="array" ref="FZ335">MATCH(1,($GT335:$LQ335&gt;0)*$GT$25:$LQ$25,0)</f>
        <v>#N/A</v>
      </c>
      <c r="GA335" s="64" t="e">
        <f t="array" ref="GA335">MATCH(2,1/(GT335:LQ335&gt;0))</f>
        <v>#N/A</v>
      </c>
      <c r="GB335" s="64">
        <f t="shared" si="1118"/>
        <v>-1</v>
      </c>
      <c r="GC335" s="46"/>
      <c r="GD335" s="613"/>
      <c r="GE335" s="613"/>
      <c r="GF335" s="613"/>
      <c r="GG335" s="613"/>
      <c r="GH335" s="613"/>
      <c r="GI335" s="613"/>
      <c r="GJ335" s="613"/>
      <c r="GK335" s="613"/>
      <c r="GL335" s="613"/>
      <c r="GM335" s="613"/>
      <c r="GN335" s="385">
        <f t="shared" si="1047"/>
        <v>0</v>
      </c>
      <c r="GO335" s="386">
        <f t="shared" si="1048"/>
        <v>0</v>
      </c>
      <c r="GP335" s="2635"/>
      <c r="GQ335" s="175"/>
      <c r="GR335" s="172"/>
      <c r="GS335" s="65"/>
      <c r="GT335" s="167"/>
      <c r="GU335" s="168"/>
      <c r="GV335" s="168"/>
      <c r="GW335" s="168"/>
      <c r="GX335" s="168"/>
      <c r="GY335" s="168"/>
      <c r="GZ335" s="168"/>
      <c r="HA335" s="168"/>
      <c r="HB335" s="168"/>
      <c r="HC335" s="168"/>
      <c r="HD335" s="168"/>
      <c r="HE335" s="168"/>
      <c r="HF335" s="168"/>
      <c r="HG335" s="168"/>
      <c r="HH335" s="168"/>
      <c r="HI335" s="168"/>
      <c r="HJ335" s="168"/>
      <c r="HK335" s="168"/>
      <c r="HL335" s="168"/>
      <c r="HM335" s="168"/>
      <c r="HN335" s="168"/>
      <c r="HO335" s="168"/>
      <c r="HP335" s="168"/>
      <c r="HQ335" s="168"/>
      <c r="HR335" s="168"/>
      <c r="HS335" s="168"/>
      <c r="HT335" s="168"/>
      <c r="HU335" s="168"/>
      <c r="HV335" s="168"/>
      <c r="HW335" s="168"/>
      <c r="HX335" s="168"/>
      <c r="HY335" s="168"/>
      <c r="HZ335" s="168"/>
      <c r="IA335" s="168"/>
      <c r="IB335" s="168"/>
      <c r="IC335" s="168"/>
      <c r="ID335" s="168"/>
      <c r="IE335" s="168"/>
      <c r="IF335" s="168"/>
      <c r="IG335" s="168"/>
      <c r="IH335" s="168"/>
      <c r="II335" s="168"/>
      <c r="IJ335" s="168"/>
      <c r="IK335" s="168"/>
      <c r="IL335" s="168"/>
      <c r="IM335" s="168"/>
      <c r="IN335" s="168"/>
      <c r="IO335" s="168"/>
      <c r="IP335" s="168"/>
      <c r="IQ335" s="168"/>
      <c r="IR335" s="168"/>
      <c r="IS335" s="168"/>
      <c r="IT335" s="168"/>
      <c r="IU335" s="168"/>
      <c r="IV335" s="168"/>
      <c r="IW335" s="168"/>
      <c r="IX335" s="168"/>
      <c r="IY335" s="168"/>
      <c r="IZ335" s="168"/>
      <c r="JA335" s="168"/>
      <c r="JB335" s="168"/>
      <c r="JC335" s="168"/>
      <c r="JD335" s="168"/>
      <c r="JE335" s="168"/>
      <c r="JF335" s="168"/>
      <c r="JG335" s="168"/>
      <c r="JH335" s="168"/>
      <c r="JI335" s="168"/>
      <c r="JJ335" s="168"/>
      <c r="JK335" s="168"/>
      <c r="JL335" s="168"/>
      <c r="JM335" s="168"/>
      <c r="JN335" s="168"/>
      <c r="JO335" s="168"/>
      <c r="JP335" s="168"/>
      <c r="JQ335" s="168"/>
      <c r="JR335" s="168"/>
      <c r="JS335" s="168"/>
      <c r="JT335" s="168"/>
      <c r="JU335" s="168"/>
      <c r="JV335" s="168"/>
      <c r="JW335" s="168"/>
      <c r="JX335" s="168"/>
      <c r="JY335" s="168"/>
      <c r="JZ335" s="168"/>
      <c r="KA335" s="168"/>
      <c r="KB335" s="168"/>
      <c r="KC335" s="168"/>
      <c r="KD335" s="168"/>
      <c r="KE335" s="168"/>
      <c r="KF335" s="168"/>
      <c r="KG335" s="168"/>
      <c r="KH335" s="168"/>
      <c r="KI335" s="168"/>
      <c r="KJ335" s="168"/>
      <c r="KK335" s="168"/>
      <c r="KL335" s="168"/>
      <c r="KM335" s="168"/>
      <c r="KN335" s="168"/>
      <c r="KO335" s="168"/>
      <c r="KP335" s="168"/>
      <c r="KQ335" s="168"/>
      <c r="KR335" s="168"/>
      <c r="KS335" s="168"/>
      <c r="KT335" s="168"/>
      <c r="KU335" s="168"/>
      <c r="KV335" s="168"/>
      <c r="KW335" s="168"/>
      <c r="KX335" s="168"/>
      <c r="KY335" s="168"/>
      <c r="KZ335" s="168"/>
      <c r="LA335" s="168"/>
      <c r="LB335" s="168"/>
      <c r="LC335" s="168"/>
      <c r="LD335" s="168"/>
      <c r="LE335" s="168"/>
      <c r="LF335" s="168"/>
      <c r="LG335" s="168"/>
      <c r="LH335" s="168"/>
      <c r="LI335" s="168"/>
      <c r="LJ335" s="168"/>
      <c r="LK335" s="168"/>
      <c r="LL335" s="168"/>
      <c r="LM335" s="168"/>
      <c r="LN335" s="168"/>
      <c r="LO335" s="168"/>
      <c r="LP335" s="606"/>
      <c r="LQ335" s="609"/>
      <c r="LR335" s="1319"/>
      <c r="LS335" s="1319"/>
    </row>
    <row r="336" spans="1:331" s="2" customFormat="1" ht="15" customHeight="1" x14ac:dyDescent="0.25">
      <c r="A336" s="283"/>
      <c r="B336" s="303"/>
      <c r="C336" s="301"/>
      <c r="D336" s="1287"/>
      <c r="E336" s="2298"/>
      <c r="F336" s="1812"/>
      <c r="G336" s="3342"/>
      <c r="H336" s="66"/>
      <c r="I336" s="1746"/>
      <c r="J336" s="1214"/>
      <c r="K336" s="105"/>
      <c r="L336" s="91"/>
      <c r="M336" s="92"/>
      <c r="N336" s="93"/>
      <c r="O336" s="94"/>
      <c r="P336" s="96"/>
      <c r="Q336" s="95"/>
      <c r="R336" s="993">
        <f t="shared" si="1147"/>
        <v>0</v>
      </c>
      <c r="S336" s="23">
        <f t="shared" si="1148"/>
        <v>0</v>
      </c>
      <c r="T336" s="24">
        <f t="shared" si="1071"/>
        <v>0</v>
      </c>
      <c r="U336" s="24">
        <f t="shared" si="1072"/>
        <v>0</v>
      </c>
      <c r="V336" s="24">
        <f t="shared" si="1073"/>
        <v>0</v>
      </c>
      <c r="W336" s="24">
        <f t="shared" ca="1" si="1074"/>
        <v>0</v>
      </c>
      <c r="X336" s="72">
        <f t="shared" ca="1" si="1119"/>
        <v>0</v>
      </c>
      <c r="Y336" s="72">
        <f t="shared" si="1075"/>
        <v>0</v>
      </c>
      <c r="Z336" s="24">
        <f t="shared" si="1076"/>
        <v>0</v>
      </c>
      <c r="AA336" s="72">
        <f t="shared" si="1120"/>
        <v>0</v>
      </c>
      <c r="AB336" s="24">
        <f t="shared" si="1131"/>
        <v>0</v>
      </c>
      <c r="AC336" s="24">
        <f t="shared" ca="1" si="1077"/>
        <v>0</v>
      </c>
      <c r="AD336" s="24">
        <f t="shared" si="1049"/>
        <v>0</v>
      </c>
      <c r="AE336" s="2078">
        <f t="shared" si="1125"/>
        <v>3</v>
      </c>
      <c r="AF336" s="2078">
        <f t="shared" si="1126"/>
        <v>0</v>
      </c>
      <c r="AG336" s="2078">
        <f t="shared" si="1127"/>
        <v>0</v>
      </c>
      <c r="AH336" s="2521">
        <f t="shared" si="1050"/>
        <v>1</v>
      </c>
      <c r="AI336" s="25" t="str">
        <f t="shared" si="1078"/>
        <v/>
      </c>
      <c r="AJ336" s="2521">
        <f t="shared" ca="1" si="1045"/>
        <v>0</v>
      </c>
      <c r="AK336" s="2076">
        <f t="shared" ca="1" si="1041"/>
        <v>0</v>
      </c>
      <c r="AL336" s="2078">
        <f>IF(ISBLANK(J336),0,ISERROR(MATCH(J336,'5  Control Accounts'!$FA$29:$FA$96,0))*1)</f>
        <v>0</v>
      </c>
      <c r="AM336" s="2076">
        <f t="shared" si="1079"/>
        <v>0</v>
      </c>
      <c r="AN336" s="2078">
        <f t="shared" si="1080"/>
        <v>1</v>
      </c>
      <c r="AO336" s="2079">
        <f t="shared" si="1051"/>
        <v>1</v>
      </c>
      <c r="AP336" s="2079">
        <f t="shared" si="1052"/>
        <v>0</v>
      </c>
      <c r="AQ336" s="2079">
        <f t="shared" si="1053"/>
        <v>0</v>
      </c>
      <c r="AR336" s="2079">
        <f t="shared" si="1054"/>
        <v>0</v>
      </c>
      <c r="AS336" s="2079">
        <f t="shared" si="1055"/>
        <v>0</v>
      </c>
      <c r="AT336" s="2079">
        <f t="shared" si="1056"/>
        <v>0</v>
      </c>
      <c r="AU336" s="2079">
        <f t="shared" si="1057"/>
        <v>0</v>
      </c>
      <c r="AV336" s="2079">
        <f t="shared" si="1058"/>
        <v>0</v>
      </c>
      <c r="AW336" s="2079">
        <f t="shared" si="1059"/>
        <v>0</v>
      </c>
      <c r="AX336" s="2079">
        <f t="shared" si="1060"/>
        <v>0</v>
      </c>
      <c r="AY336" s="2078">
        <f t="shared" si="1081"/>
        <v>0</v>
      </c>
      <c r="AZ336" s="2078">
        <f t="shared" si="1082"/>
        <v>0</v>
      </c>
      <c r="BA336" s="2078">
        <f t="shared" si="1083"/>
        <v>0</v>
      </c>
      <c r="BB336" s="2078">
        <f t="shared" si="1084"/>
        <v>0</v>
      </c>
      <c r="BC336" s="2078">
        <f t="shared" si="1085"/>
        <v>0</v>
      </c>
      <c r="BD336" s="2078">
        <f t="shared" si="1086"/>
        <v>0</v>
      </c>
      <c r="BE336" s="2078">
        <f t="shared" si="1087"/>
        <v>0</v>
      </c>
      <c r="BF336" s="2078">
        <f t="shared" si="1088"/>
        <v>0</v>
      </c>
      <c r="BG336" s="2078">
        <f t="shared" si="1089"/>
        <v>0</v>
      </c>
      <c r="BH336" s="2078">
        <f t="shared" si="1090"/>
        <v>0</v>
      </c>
      <c r="BI336" s="2078">
        <f t="shared" si="1091"/>
        <v>0</v>
      </c>
      <c r="BJ336" s="2078">
        <f t="shared" si="1092"/>
        <v>0</v>
      </c>
      <c r="BK336" s="2078">
        <f t="shared" si="1093"/>
        <v>0</v>
      </c>
      <c r="BL336" s="2078">
        <f t="shared" si="1094"/>
        <v>0</v>
      </c>
      <c r="BM336" s="2078">
        <f t="shared" si="1095"/>
        <v>0</v>
      </c>
      <c r="BN336" s="2078">
        <f t="shared" si="1096"/>
        <v>0</v>
      </c>
      <c r="BO336" s="2078">
        <f t="shared" si="1097"/>
        <v>0</v>
      </c>
      <c r="BP336" s="2078">
        <f t="shared" si="1098"/>
        <v>0</v>
      </c>
      <c r="BQ336" s="2078">
        <f t="shared" si="1099"/>
        <v>0</v>
      </c>
      <c r="BR336" s="2078">
        <f t="shared" si="1100"/>
        <v>0</v>
      </c>
      <c r="BS336" s="2079">
        <f t="shared" si="1061"/>
        <v>1</v>
      </c>
      <c r="BT336" s="2079">
        <f t="shared" si="1062"/>
        <v>0</v>
      </c>
      <c r="BU336" s="2079">
        <f t="shared" si="1063"/>
        <v>0</v>
      </c>
      <c r="BV336" s="2079">
        <f t="shared" si="1064"/>
        <v>0</v>
      </c>
      <c r="BW336" s="2079">
        <f t="shared" si="1065"/>
        <v>0</v>
      </c>
      <c r="BX336" s="2079">
        <f t="shared" si="1066"/>
        <v>0</v>
      </c>
      <c r="BY336" s="2079">
        <f t="shared" si="1067"/>
        <v>0</v>
      </c>
      <c r="BZ336" s="2079">
        <f t="shared" si="1068"/>
        <v>0</v>
      </c>
      <c r="CA336" s="2079">
        <f t="shared" si="1069"/>
        <v>0</v>
      </c>
      <c r="CB336" s="2079">
        <f t="shared" si="1070"/>
        <v>0</v>
      </c>
      <c r="CC336" s="2078">
        <f t="shared" ca="1" si="1101"/>
        <v>0</v>
      </c>
      <c r="CD336" s="2078">
        <f t="shared" ca="1" si="1102"/>
        <v>0</v>
      </c>
      <c r="CE336" s="2078">
        <f t="shared" ca="1" si="1103"/>
        <v>0</v>
      </c>
      <c r="CF336" s="2078">
        <f t="shared" ca="1" si="1104"/>
        <v>0</v>
      </c>
      <c r="CG336" s="2078">
        <f t="shared" ca="1" si="1105"/>
        <v>0</v>
      </c>
      <c r="CH336" s="2078">
        <f t="shared" ca="1" si="1106"/>
        <v>0</v>
      </c>
      <c r="CI336" s="2078">
        <f t="shared" ca="1" si="1107"/>
        <v>0</v>
      </c>
      <c r="CJ336" s="2078">
        <f t="shared" ca="1" si="1108"/>
        <v>0</v>
      </c>
      <c r="CK336" s="2078">
        <f t="shared" ca="1" si="1109"/>
        <v>0</v>
      </c>
      <c r="CL336" s="2078">
        <f t="shared" ca="1" si="1110"/>
        <v>0</v>
      </c>
      <c r="CM336" s="2078">
        <f t="shared" si="1132"/>
        <v>1</v>
      </c>
      <c r="CN336" s="2078">
        <f t="shared" si="1133"/>
        <v>1</v>
      </c>
      <c r="CO336" s="2078">
        <f t="shared" si="1121"/>
        <v>1</v>
      </c>
      <c r="CP336" s="2078">
        <f t="shared" si="1111"/>
        <v>1</v>
      </c>
      <c r="CQ336" s="2078">
        <f t="shared" si="1122"/>
        <v>0</v>
      </c>
      <c r="CR336" s="2078">
        <f t="shared" si="1042"/>
        <v>0</v>
      </c>
      <c r="CS336" s="2078">
        <f t="shared" si="1112"/>
        <v>0</v>
      </c>
      <c r="CT336" s="2078">
        <f t="shared" si="1123"/>
        <v>1</v>
      </c>
      <c r="CU336" s="2078">
        <f t="shared" si="1113"/>
        <v>1</v>
      </c>
      <c r="CV336" s="2078">
        <f t="shared" si="1134"/>
        <v>0</v>
      </c>
      <c r="CW336" s="2078">
        <f>IF(OR(AE336&lt;&gt;3,F336="Exclude"),0,IF(ISERROR(MATCH($E336,'4 Sign-off'!$S$123:$X$123,0)),0,1))</f>
        <v>0</v>
      </c>
      <c r="CX336" s="2078">
        <f t="shared" si="1046"/>
        <v>0</v>
      </c>
      <c r="CY336" s="2078">
        <f t="shared" si="1135"/>
        <v>0</v>
      </c>
      <c r="CZ336" s="2993">
        <f t="shared" ca="1" si="1149"/>
        <v>0</v>
      </c>
      <c r="DA336" s="3037">
        <f t="shared" ca="1" si="1150"/>
        <v>0</v>
      </c>
      <c r="DB336" s="1664"/>
      <c r="DC336" s="1320"/>
      <c r="DD336" s="589"/>
      <c r="DE336" s="1321"/>
      <c r="DF336" s="107"/>
      <c r="DG336" s="112"/>
      <c r="DH336" s="140"/>
      <c r="DI336" s="22"/>
      <c r="DJ336" s="145"/>
      <c r="DK336" s="137"/>
      <c r="DL336" s="137"/>
      <c r="DM336" s="137"/>
      <c r="DN336" s="137"/>
      <c r="DO336" s="137"/>
      <c r="DP336" s="137"/>
      <c r="DQ336" s="137"/>
      <c r="DR336" s="137"/>
      <c r="DS336" s="137"/>
      <c r="DT336" s="137"/>
      <c r="DU336" s="137"/>
      <c r="DV336" s="137"/>
      <c r="DW336" s="137"/>
      <c r="DX336" s="137"/>
      <c r="DY336" s="137"/>
      <c r="DZ336" s="137"/>
      <c r="EA336" s="137"/>
      <c r="EB336" s="137"/>
      <c r="EC336" s="137"/>
      <c r="ED336" s="137"/>
      <c r="EE336" s="137"/>
      <c r="EF336" s="137"/>
      <c r="EG336" s="137"/>
      <c r="EH336" s="137"/>
      <c r="EI336" s="137"/>
      <c r="EJ336" s="137"/>
      <c r="EK336" s="137"/>
      <c r="EL336" s="137"/>
      <c r="EM336" s="137"/>
      <c r="EN336" s="137"/>
      <c r="EO336" s="137"/>
      <c r="EP336" s="137"/>
      <c r="EQ336" s="137"/>
      <c r="ER336" s="137"/>
      <c r="ES336" s="137"/>
      <c r="ET336" s="137"/>
      <c r="EU336" s="137"/>
      <c r="EV336" s="137"/>
      <c r="EW336" s="137"/>
      <c r="EX336" s="137"/>
      <c r="EY336" s="137"/>
      <c r="EZ336" s="137"/>
      <c r="FA336" s="137"/>
      <c r="FB336" s="137"/>
      <c r="FC336" s="137"/>
      <c r="FD336" s="137"/>
      <c r="FE336" s="137"/>
      <c r="FF336" s="137"/>
      <c r="FG336" s="860"/>
      <c r="FH336" s="863"/>
      <c r="FI336" s="1318"/>
      <c r="FJ336" s="126"/>
      <c r="FK336" s="127"/>
      <c r="FL336" s="128" t="str">
        <f t="shared" si="1114"/>
        <v xml:space="preserve">    </v>
      </c>
      <c r="FM336" s="128"/>
      <c r="FN336" s="1686">
        <f t="shared" si="1115"/>
        <v>0</v>
      </c>
      <c r="FO336" s="46">
        <f t="shared" si="1136"/>
        <v>0</v>
      </c>
      <c r="FP336" s="46">
        <f t="shared" ref="FP336" si="1151">IFERROR(1/FQ336,1)</f>
        <v>1</v>
      </c>
      <c r="FQ336" s="75">
        <f t="shared" si="1116"/>
        <v>0</v>
      </c>
      <c r="FR336" s="46">
        <f t="shared" ref="FR336" si="1152">SUM(GT336:LQ336)</f>
        <v>0</v>
      </c>
      <c r="FS336" s="46">
        <f t="shared" si="1129"/>
        <v>1</v>
      </c>
      <c r="FT336" s="75">
        <f t="shared" si="1117"/>
        <v>0</v>
      </c>
      <c r="FU336" s="2603">
        <f t="shared" si="1137"/>
        <v>0</v>
      </c>
      <c r="FV336" s="2607">
        <f t="shared" si="1138"/>
        <v>0</v>
      </c>
      <c r="FW336" s="2603">
        <f t="shared" si="1139"/>
        <v>0</v>
      </c>
      <c r="FX336" s="2631">
        <f t="shared" si="1140"/>
        <v>0</v>
      </c>
      <c r="FY336" s="81" t="e">
        <f t="shared" si="1130"/>
        <v>#N/A</v>
      </c>
      <c r="FZ336" s="64" t="e">
        <f t="array" ref="FZ336">MATCH(1,($GT336:$LQ336&gt;0)*$GT$25:$LQ$25,0)</f>
        <v>#N/A</v>
      </c>
      <c r="GA336" s="64" t="e">
        <f t="array" ref="GA336">MATCH(2,1/(GT336:LQ336&gt;0))</f>
        <v>#N/A</v>
      </c>
      <c r="GB336" s="64">
        <f t="shared" si="1118"/>
        <v>-1</v>
      </c>
      <c r="GC336" s="46"/>
      <c r="GD336" s="613"/>
      <c r="GE336" s="613"/>
      <c r="GF336" s="613"/>
      <c r="GG336" s="613"/>
      <c r="GH336" s="613"/>
      <c r="GI336" s="613"/>
      <c r="GJ336" s="613"/>
      <c r="GK336" s="613"/>
      <c r="GL336" s="613"/>
      <c r="GM336" s="613"/>
      <c r="GN336" s="385">
        <f t="shared" si="1047"/>
        <v>0</v>
      </c>
      <c r="GO336" s="386">
        <f t="shared" si="1048"/>
        <v>0</v>
      </c>
      <c r="GP336" s="2635"/>
      <c r="GQ336" s="175"/>
      <c r="GR336" s="172"/>
      <c r="GS336" s="65"/>
      <c r="GT336" s="167"/>
      <c r="GU336" s="168"/>
      <c r="GV336" s="168"/>
      <c r="GW336" s="168"/>
      <c r="GX336" s="168"/>
      <c r="GY336" s="168"/>
      <c r="GZ336" s="168"/>
      <c r="HA336" s="168"/>
      <c r="HB336" s="168"/>
      <c r="HC336" s="168"/>
      <c r="HD336" s="168"/>
      <c r="HE336" s="168"/>
      <c r="HF336" s="168"/>
      <c r="HG336" s="168"/>
      <c r="HH336" s="168"/>
      <c r="HI336" s="168"/>
      <c r="HJ336" s="168"/>
      <c r="HK336" s="168"/>
      <c r="HL336" s="168"/>
      <c r="HM336" s="168"/>
      <c r="HN336" s="168"/>
      <c r="HO336" s="168"/>
      <c r="HP336" s="168"/>
      <c r="HQ336" s="168"/>
      <c r="HR336" s="168"/>
      <c r="HS336" s="168"/>
      <c r="HT336" s="168"/>
      <c r="HU336" s="168"/>
      <c r="HV336" s="168"/>
      <c r="HW336" s="168"/>
      <c r="HX336" s="168"/>
      <c r="HY336" s="168"/>
      <c r="HZ336" s="168"/>
      <c r="IA336" s="168"/>
      <c r="IB336" s="168"/>
      <c r="IC336" s="168"/>
      <c r="ID336" s="168"/>
      <c r="IE336" s="168"/>
      <c r="IF336" s="168"/>
      <c r="IG336" s="168"/>
      <c r="IH336" s="168"/>
      <c r="II336" s="168"/>
      <c r="IJ336" s="168"/>
      <c r="IK336" s="168"/>
      <c r="IL336" s="168"/>
      <c r="IM336" s="168"/>
      <c r="IN336" s="168"/>
      <c r="IO336" s="168"/>
      <c r="IP336" s="168"/>
      <c r="IQ336" s="168"/>
      <c r="IR336" s="168"/>
      <c r="IS336" s="168"/>
      <c r="IT336" s="168"/>
      <c r="IU336" s="168"/>
      <c r="IV336" s="168"/>
      <c r="IW336" s="168"/>
      <c r="IX336" s="168"/>
      <c r="IY336" s="168"/>
      <c r="IZ336" s="168"/>
      <c r="JA336" s="168"/>
      <c r="JB336" s="168"/>
      <c r="JC336" s="168"/>
      <c r="JD336" s="168"/>
      <c r="JE336" s="168"/>
      <c r="JF336" s="168"/>
      <c r="JG336" s="168"/>
      <c r="JH336" s="168"/>
      <c r="JI336" s="168"/>
      <c r="JJ336" s="168"/>
      <c r="JK336" s="168"/>
      <c r="JL336" s="168"/>
      <c r="JM336" s="168"/>
      <c r="JN336" s="168"/>
      <c r="JO336" s="168"/>
      <c r="JP336" s="168"/>
      <c r="JQ336" s="168"/>
      <c r="JR336" s="168"/>
      <c r="JS336" s="168"/>
      <c r="JT336" s="168"/>
      <c r="JU336" s="168"/>
      <c r="JV336" s="168"/>
      <c r="JW336" s="168"/>
      <c r="JX336" s="168"/>
      <c r="JY336" s="168"/>
      <c r="JZ336" s="168"/>
      <c r="KA336" s="168"/>
      <c r="KB336" s="168"/>
      <c r="KC336" s="168"/>
      <c r="KD336" s="168"/>
      <c r="KE336" s="168"/>
      <c r="KF336" s="168"/>
      <c r="KG336" s="168"/>
      <c r="KH336" s="168"/>
      <c r="KI336" s="168"/>
      <c r="KJ336" s="168"/>
      <c r="KK336" s="168"/>
      <c r="KL336" s="168"/>
      <c r="KM336" s="168"/>
      <c r="KN336" s="168"/>
      <c r="KO336" s="168"/>
      <c r="KP336" s="168"/>
      <c r="KQ336" s="168"/>
      <c r="KR336" s="168"/>
      <c r="KS336" s="168"/>
      <c r="KT336" s="168"/>
      <c r="KU336" s="168"/>
      <c r="KV336" s="168"/>
      <c r="KW336" s="168"/>
      <c r="KX336" s="168"/>
      <c r="KY336" s="168"/>
      <c r="KZ336" s="168"/>
      <c r="LA336" s="168"/>
      <c r="LB336" s="168"/>
      <c r="LC336" s="168"/>
      <c r="LD336" s="168"/>
      <c r="LE336" s="168"/>
      <c r="LF336" s="168"/>
      <c r="LG336" s="168"/>
      <c r="LH336" s="168"/>
      <c r="LI336" s="168"/>
      <c r="LJ336" s="168"/>
      <c r="LK336" s="168"/>
      <c r="LL336" s="168"/>
      <c r="LM336" s="168"/>
      <c r="LN336" s="168"/>
      <c r="LO336" s="168"/>
      <c r="LP336" s="606"/>
      <c r="LQ336" s="609"/>
      <c r="LR336" s="1319"/>
      <c r="LS336" s="1319"/>
    </row>
    <row r="337" spans="1:331" s="2" customFormat="1" ht="15" customHeight="1" x14ac:dyDescent="0.25">
      <c r="A337" s="283"/>
      <c r="B337" s="303"/>
      <c r="C337" s="301"/>
      <c r="D337" s="1287"/>
      <c r="E337" s="2298"/>
      <c r="F337" s="1812"/>
      <c r="G337" s="3342"/>
      <c r="H337" s="66"/>
      <c r="I337" s="1746"/>
      <c r="J337" s="1214"/>
      <c r="K337" s="105"/>
      <c r="L337" s="91"/>
      <c r="M337" s="92"/>
      <c r="N337" s="93"/>
      <c r="O337" s="94"/>
      <c r="P337" s="94"/>
      <c r="Q337" s="97"/>
      <c r="R337" s="993">
        <f t="shared" si="1147"/>
        <v>0</v>
      </c>
      <c r="S337" s="23">
        <f t="shared" si="1148"/>
        <v>0</v>
      </c>
      <c r="T337" s="24">
        <f t="shared" si="1071"/>
        <v>0</v>
      </c>
      <c r="U337" s="24">
        <f t="shared" si="1072"/>
        <v>0</v>
      </c>
      <c r="V337" s="24">
        <f t="shared" si="1073"/>
        <v>0</v>
      </c>
      <c r="W337" s="24">
        <f t="shared" ca="1" si="1074"/>
        <v>0</v>
      </c>
      <c r="X337" s="72">
        <f t="shared" ca="1" si="1119"/>
        <v>0</v>
      </c>
      <c r="Y337" s="72">
        <f t="shared" si="1075"/>
        <v>0</v>
      </c>
      <c r="Z337" s="24">
        <f t="shared" si="1076"/>
        <v>0</v>
      </c>
      <c r="AA337" s="72">
        <f t="shared" si="1120"/>
        <v>0</v>
      </c>
      <c r="AB337" s="24">
        <f t="shared" si="1131"/>
        <v>0</v>
      </c>
      <c r="AC337" s="24">
        <f t="shared" ca="1" si="1077"/>
        <v>0</v>
      </c>
      <c r="AD337" s="24">
        <f t="shared" si="1049"/>
        <v>0</v>
      </c>
      <c r="AE337" s="2078">
        <f t="shared" si="1125"/>
        <v>3</v>
      </c>
      <c r="AF337" s="2078">
        <f t="shared" si="1126"/>
        <v>0</v>
      </c>
      <c r="AG337" s="2078">
        <f t="shared" si="1127"/>
        <v>0</v>
      </c>
      <c r="AH337" s="2521">
        <f t="shared" si="1050"/>
        <v>1</v>
      </c>
      <c r="AI337" s="25" t="str">
        <f t="shared" si="1078"/>
        <v/>
      </c>
      <c r="AJ337" s="2521">
        <f t="shared" ca="1" si="1045"/>
        <v>0</v>
      </c>
      <c r="AK337" s="2076">
        <f t="shared" ca="1" si="1041"/>
        <v>0</v>
      </c>
      <c r="AL337" s="2078">
        <f>IF(ISBLANK(J337),0,ISERROR(MATCH(J337,'5  Control Accounts'!$FA$29:$FA$96,0))*1)</f>
        <v>0</v>
      </c>
      <c r="AM337" s="2076">
        <f t="shared" si="1079"/>
        <v>0</v>
      </c>
      <c r="AN337" s="2078">
        <f t="shared" si="1080"/>
        <v>1</v>
      </c>
      <c r="AO337" s="2079">
        <f t="shared" si="1051"/>
        <v>1</v>
      </c>
      <c r="AP337" s="2079">
        <f t="shared" si="1052"/>
        <v>0</v>
      </c>
      <c r="AQ337" s="2079">
        <f t="shared" si="1053"/>
        <v>0</v>
      </c>
      <c r="AR337" s="2079">
        <f t="shared" si="1054"/>
        <v>0</v>
      </c>
      <c r="AS337" s="2079">
        <f t="shared" si="1055"/>
        <v>0</v>
      </c>
      <c r="AT337" s="2079">
        <f t="shared" si="1056"/>
        <v>0</v>
      </c>
      <c r="AU337" s="2079">
        <f t="shared" si="1057"/>
        <v>0</v>
      </c>
      <c r="AV337" s="2079">
        <f t="shared" si="1058"/>
        <v>0</v>
      </c>
      <c r="AW337" s="2079">
        <f t="shared" si="1059"/>
        <v>0</v>
      </c>
      <c r="AX337" s="2079">
        <f t="shared" si="1060"/>
        <v>0</v>
      </c>
      <c r="AY337" s="2078">
        <f t="shared" si="1081"/>
        <v>0</v>
      </c>
      <c r="AZ337" s="2078">
        <f t="shared" si="1082"/>
        <v>0</v>
      </c>
      <c r="BA337" s="2078">
        <f t="shared" si="1083"/>
        <v>0</v>
      </c>
      <c r="BB337" s="2078">
        <f t="shared" si="1084"/>
        <v>0</v>
      </c>
      <c r="BC337" s="2078">
        <f t="shared" si="1085"/>
        <v>0</v>
      </c>
      <c r="BD337" s="2078">
        <f t="shared" si="1086"/>
        <v>0</v>
      </c>
      <c r="BE337" s="2078">
        <f t="shared" si="1087"/>
        <v>0</v>
      </c>
      <c r="BF337" s="2078">
        <f t="shared" si="1088"/>
        <v>0</v>
      </c>
      <c r="BG337" s="2078">
        <f t="shared" si="1089"/>
        <v>0</v>
      </c>
      <c r="BH337" s="2078">
        <f t="shared" si="1090"/>
        <v>0</v>
      </c>
      <c r="BI337" s="2078">
        <f t="shared" si="1091"/>
        <v>0</v>
      </c>
      <c r="BJ337" s="2078">
        <f t="shared" si="1092"/>
        <v>0</v>
      </c>
      <c r="BK337" s="2078">
        <f t="shared" si="1093"/>
        <v>0</v>
      </c>
      <c r="BL337" s="2078">
        <f t="shared" si="1094"/>
        <v>0</v>
      </c>
      <c r="BM337" s="2078">
        <f t="shared" si="1095"/>
        <v>0</v>
      </c>
      <c r="BN337" s="2078">
        <f t="shared" si="1096"/>
        <v>0</v>
      </c>
      <c r="BO337" s="2078">
        <f t="shared" si="1097"/>
        <v>0</v>
      </c>
      <c r="BP337" s="2078">
        <f t="shared" si="1098"/>
        <v>0</v>
      </c>
      <c r="BQ337" s="2078">
        <f t="shared" si="1099"/>
        <v>0</v>
      </c>
      <c r="BR337" s="2078">
        <f t="shared" si="1100"/>
        <v>0</v>
      </c>
      <c r="BS337" s="2079">
        <f t="shared" si="1061"/>
        <v>1</v>
      </c>
      <c r="BT337" s="2079">
        <f t="shared" si="1062"/>
        <v>0</v>
      </c>
      <c r="BU337" s="2079">
        <f t="shared" si="1063"/>
        <v>0</v>
      </c>
      <c r="BV337" s="2079">
        <f t="shared" si="1064"/>
        <v>0</v>
      </c>
      <c r="BW337" s="2079">
        <f t="shared" si="1065"/>
        <v>0</v>
      </c>
      <c r="BX337" s="2079">
        <f t="shared" si="1066"/>
        <v>0</v>
      </c>
      <c r="BY337" s="2079">
        <f t="shared" si="1067"/>
        <v>0</v>
      </c>
      <c r="BZ337" s="2079">
        <f t="shared" si="1068"/>
        <v>0</v>
      </c>
      <c r="CA337" s="2079">
        <f t="shared" si="1069"/>
        <v>0</v>
      </c>
      <c r="CB337" s="2079">
        <f t="shared" si="1070"/>
        <v>0</v>
      </c>
      <c r="CC337" s="2078">
        <f t="shared" ca="1" si="1101"/>
        <v>0</v>
      </c>
      <c r="CD337" s="2078">
        <f t="shared" ca="1" si="1102"/>
        <v>0</v>
      </c>
      <c r="CE337" s="2078">
        <f t="shared" ca="1" si="1103"/>
        <v>0</v>
      </c>
      <c r="CF337" s="2078">
        <f t="shared" ca="1" si="1104"/>
        <v>0</v>
      </c>
      <c r="CG337" s="2078">
        <f t="shared" ca="1" si="1105"/>
        <v>0</v>
      </c>
      <c r="CH337" s="2078">
        <f t="shared" ca="1" si="1106"/>
        <v>0</v>
      </c>
      <c r="CI337" s="2078">
        <f t="shared" ca="1" si="1107"/>
        <v>0</v>
      </c>
      <c r="CJ337" s="2078">
        <f t="shared" ca="1" si="1108"/>
        <v>0</v>
      </c>
      <c r="CK337" s="2078">
        <f t="shared" ca="1" si="1109"/>
        <v>0</v>
      </c>
      <c r="CL337" s="2078">
        <f t="shared" ca="1" si="1110"/>
        <v>0</v>
      </c>
      <c r="CM337" s="2078">
        <f t="shared" si="1132"/>
        <v>1</v>
      </c>
      <c r="CN337" s="2078">
        <f t="shared" si="1133"/>
        <v>1</v>
      </c>
      <c r="CO337" s="2078">
        <f t="shared" si="1121"/>
        <v>1</v>
      </c>
      <c r="CP337" s="2078">
        <f t="shared" si="1111"/>
        <v>1</v>
      </c>
      <c r="CQ337" s="2078">
        <f t="shared" si="1122"/>
        <v>0</v>
      </c>
      <c r="CR337" s="2078">
        <f t="shared" si="1042"/>
        <v>0</v>
      </c>
      <c r="CS337" s="2078">
        <f t="shared" si="1112"/>
        <v>0</v>
      </c>
      <c r="CT337" s="2078">
        <f t="shared" si="1123"/>
        <v>1</v>
      </c>
      <c r="CU337" s="2078">
        <f t="shared" si="1113"/>
        <v>1</v>
      </c>
      <c r="CV337" s="2078">
        <f t="shared" si="1134"/>
        <v>0</v>
      </c>
      <c r="CW337" s="2078">
        <f>IF(OR(AE337&lt;&gt;3,F337="Exclude"),0,IF(ISERROR(MATCH($E337,'4 Sign-off'!$S$123:$X$123,0)),0,1))</f>
        <v>0</v>
      </c>
      <c r="CX337" s="2078">
        <f t="shared" si="1046"/>
        <v>0</v>
      </c>
      <c r="CY337" s="2078">
        <f t="shared" si="1135"/>
        <v>0</v>
      </c>
      <c r="CZ337" s="2993">
        <f t="shared" ca="1" si="1149"/>
        <v>0</v>
      </c>
      <c r="DA337" s="3037">
        <f t="shared" ca="1" si="1150"/>
        <v>0</v>
      </c>
      <c r="DB337" s="1664"/>
      <c r="DC337" s="1320"/>
      <c r="DD337" s="589"/>
      <c r="DE337" s="1321"/>
      <c r="DF337" s="107"/>
      <c r="DG337" s="112"/>
      <c r="DH337" s="140"/>
      <c r="DI337" s="22"/>
      <c r="DJ337" s="145"/>
      <c r="DK337" s="137"/>
      <c r="DL337" s="137"/>
      <c r="DM337" s="137"/>
      <c r="DN337" s="137"/>
      <c r="DO337" s="137"/>
      <c r="DP337" s="137"/>
      <c r="DQ337" s="137"/>
      <c r="DR337" s="137"/>
      <c r="DS337" s="137"/>
      <c r="DT337" s="137"/>
      <c r="DU337" s="137"/>
      <c r="DV337" s="137"/>
      <c r="DW337" s="137"/>
      <c r="DX337" s="137"/>
      <c r="DY337" s="137"/>
      <c r="DZ337" s="137"/>
      <c r="EA337" s="137"/>
      <c r="EB337" s="137"/>
      <c r="EC337" s="137"/>
      <c r="ED337" s="137"/>
      <c r="EE337" s="137"/>
      <c r="EF337" s="137"/>
      <c r="EG337" s="137"/>
      <c r="EH337" s="137"/>
      <c r="EI337" s="137"/>
      <c r="EJ337" s="137"/>
      <c r="EK337" s="137"/>
      <c r="EL337" s="137"/>
      <c r="EM337" s="137"/>
      <c r="EN337" s="137"/>
      <c r="EO337" s="137"/>
      <c r="EP337" s="137"/>
      <c r="EQ337" s="137"/>
      <c r="ER337" s="137"/>
      <c r="ES337" s="137"/>
      <c r="ET337" s="137"/>
      <c r="EU337" s="137"/>
      <c r="EV337" s="137"/>
      <c r="EW337" s="137"/>
      <c r="EX337" s="137"/>
      <c r="EY337" s="137"/>
      <c r="EZ337" s="137"/>
      <c r="FA337" s="137"/>
      <c r="FB337" s="137"/>
      <c r="FC337" s="137"/>
      <c r="FD337" s="137"/>
      <c r="FE337" s="137"/>
      <c r="FF337" s="137"/>
      <c r="FG337" s="860"/>
      <c r="FH337" s="863"/>
      <c r="FI337" s="1318"/>
      <c r="FJ337" s="126"/>
      <c r="FK337" s="127"/>
      <c r="FL337" s="128" t="str">
        <f t="shared" si="1114"/>
        <v xml:space="preserve">    </v>
      </c>
      <c r="FM337" s="128"/>
      <c r="FN337" s="1686">
        <f t="shared" si="1115"/>
        <v>0</v>
      </c>
      <c r="FO337" s="46">
        <f t="shared" si="1136"/>
        <v>0</v>
      </c>
      <c r="FP337" s="46">
        <f t="shared" si="1124"/>
        <v>1</v>
      </c>
      <c r="FQ337" s="75">
        <f t="shared" si="1116"/>
        <v>0</v>
      </c>
      <c r="FR337" s="46">
        <f t="shared" si="1128"/>
        <v>0</v>
      </c>
      <c r="FS337" s="46">
        <f t="shared" si="1129"/>
        <v>1</v>
      </c>
      <c r="FT337" s="75">
        <f t="shared" si="1117"/>
        <v>0</v>
      </c>
      <c r="FU337" s="2603">
        <f t="shared" si="1137"/>
        <v>0</v>
      </c>
      <c r="FV337" s="2607">
        <f t="shared" si="1138"/>
        <v>0</v>
      </c>
      <c r="FW337" s="2603">
        <f t="shared" si="1139"/>
        <v>0</v>
      </c>
      <c r="FX337" s="2631">
        <f t="shared" si="1140"/>
        <v>0</v>
      </c>
      <c r="FY337" s="81" t="e">
        <f t="shared" si="1130"/>
        <v>#N/A</v>
      </c>
      <c r="FZ337" s="64" t="e">
        <f t="array" ref="FZ337">MATCH(1,($GT337:$LQ337&gt;0)*$GT$25:$LQ$25,0)</f>
        <v>#N/A</v>
      </c>
      <c r="GA337" s="64" t="e">
        <f t="array" ref="GA337">MATCH(2,1/(GT337:LQ337&gt;0))</f>
        <v>#N/A</v>
      </c>
      <c r="GB337" s="64">
        <f t="shared" si="1118"/>
        <v>-1</v>
      </c>
      <c r="GC337" s="46"/>
      <c r="GD337" s="613"/>
      <c r="GE337" s="613"/>
      <c r="GF337" s="613"/>
      <c r="GG337" s="613"/>
      <c r="GH337" s="613"/>
      <c r="GI337" s="613"/>
      <c r="GJ337" s="613"/>
      <c r="GK337" s="613"/>
      <c r="GL337" s="613"/>
      <c r="GM337" s="613"/>
      <c r="GN337" s="385">
        <f t="shared" si="1047"/>
        <v>0</v>
      </c>
      <c r="GO337" s="386">
        <f t="shared" si="1048"/>
        <v>0</v>
      </c>
      <c r="GP337" s="2635"/>
      <c r="GQ337" s="175"/>
      <c r="GR337" s="172"/>
      <c r="GS337" s="65"/>
      <c r="GT337" s="167"/>
      <c r="GU337" s="168"/>
      <c r="GV337" s="168"/>
      <c r="GW337" s="168"/>
      <c r="GX337" s="168"/>
      <c r="GY337" s="168"/>
      <c r="GZ337" s="168"/>
      <c r="HA337" s="168"/>
      <c r="HB337" s="168"/>
      <c r="HC337" s="168"/>
      <c r="HD337" s="168"/>
      <c r="HE337" s="168"/>
      <c r="HF337" s="168"/>
      <c r="HG337" s="168"/>
      <c r="HH337" s="168"/>
      <c r="HI337" s="168"/>
      <c r="HJ337" s="168"/>
      <c r="HK337" s="168"/>
      <c r="HL337" s="168"/>
      <c r="HM337" s="168"/>
      <c r="HN337" s="168"/>
      <c r="HO337" s="168"/>
      <c r="HP337" s="168"/>
      <c r="HQ337" s="168"/>
      <c r="HR337" s="168"/>
      <c r="HS337" s="168"/>
      <c r="HT337" s="168"/>
      <c r="HU337" s="168"/>
      <c r="HV337" s="168"/>
      <c r="HW337" s="168"/>
      <c r="HX337" s="168"/>
      <c r="HY337" s="168"/>
      <c r="HZ337" s="168"/>
      <c r="IA337" s="168"/>
      <c r="IB337" s="168"/>
      <c r="IC337" s="168"/>
      <c r="ID337" s="168"/>
      <c r="IE337" s="168"/>
      <c r="IF337" s="168"/>
      <c r="IG337" s="168"/>
      <c r="IH337" s="168"/>
      <c r="II337" s="168"/>
      <c r="IJ337" s="168"/>
      <c r="IK337" s="168"/>
      <c r="IL337" s="168"/>
      <c r="IM337" s="168"/>
      <c r="IN337" s="168"/>
      <c r="IO337" s="168"/>
      <c r="IP337" s="168"/>
      <c r="IQ337" s="168"/>
      <c r="IR337" s="168"/>
      <c r="IS337" s="168"/>
      <c r="IT337" s="168"/>
      <c r="IU337" s="168"/>
      <c r="IV337" s="168"/>
      <c r="IW337" s="168"/>
      <c r="IX337" s="168"/>
      <c r="IY337" s="168"/>
      <c r="IZ337" s="168"/>
      <c r="JA337" s="168"/>
      <c r="JB337" s="168"/>
      <c r="JC337" s="168"/>
      <c r="JD337" s="168"/>
      <c r="JE337" s="168"/>
      <c r="JF337" s="168"/>
      <c r="JG337" s="168"/>
      <c r="JH337" s="168"/>
      <c r="JI337" s="168"/>
      <c r="JJ337" s="168"/>
      <c r="JK337" s="168"/>
      <c r="JL337" s="168"/>
      <c r="JM337" s="168"/>
      <c r="JN337" s="168"/>
      <c r="JO337" s="168"/>
      <c r="JP337" s="168"/>
      <c r="JQ337" s="168"/>
      <c r="JR337" s="168"/>
      <c r="JS337" s="168"/>
      <c r="JT337" s="168"/>
      <c r="JU337" s="168"/>
      <c r="JV337" s="168"/>
      <c r="JW337" s="168"/>
      <c r="JX337" s="168"/>
      <c r="JY337" s="168"/>
      <c r="JZ337" s="168"/>
      <c r="KA337" s="168"/>
      <c r="KB337" s="168"/>
      <c r="KC337" s="168"/>
      <c r="KD337" s="168"/>
      <c r="KE337" s="168"/>
      <c r="KF337" s="168"/>
      <c r="KG337" s="168"/>
      <c r="KH337" s="168"/>
      <c r="KI337" s="168"/>
      <c r="KJ337" s="168"/>
      <c r="KK337" s="168"/>
      <c r="KL337" s="168"/>
      <c r="KM337" s="168"/>
      <c r="KN337" s="168"/>
      <c r="KO337" s="168"/>
      <c r="KP337" s="168"/>
      <c r="KQ337" s="168"/>
      <c r="KR337" s="168"/>
      <c r="KS337" s="168"/>
      <c r="KT337" s="168"/>
      <c r="KU337" s="168"/>
      <c r="KV337" s="168"/>
      <c r="KW337" s="168"/>
      <c r="KX337" s="168"/>
      <c r="KY337" s="168"/>
      <c r="KZ337" s="168"/>
      <c r="LA337" s="168"/>
      <c r="LB337" s="168"/>
      <c r="LC337" s="168"/>
      <c r="LD337" s="168"/>
      <c r="LE337" s="168"/>
      <c r="LF337" s="168"/>
      <c r="LG337" s="168"/>
      <c r="LH337" s="168"/>
      <c r="LI337" s="168"/>
      <c r="LJ337" s="168"/>
      <c r="LK337" s="168"/>
      <c r="LL337" s="168"/>
      <c r="LM337" s="168"/>
      <c r="LN337" s="168"/>
      <c r="LO337" s="168"/>
      <c r="LP337" s="606"/>
      <c r="LQ337" s="609"/>
      <c r="LR337" s="1319"/>
      <c r="LS337" s="1319"/>
    </row>
    <row r="338" spans="1:331" s="2" customFormat="1" ht="15" customHeight="1" x14ac:dyDescent="0.25">
      <c r="A338" s="283"/>
      <c r="B338" s="303"/>
      <c r="C338" s="301"/>
      <c r="D338" s="1287"/>
      <c r="E338" s="2298"/>
      <c r="F338" s="1812"/>
      <c r="G338" s="3342"/>
      <c r="H338" s="66"/>
      <c r="I338" s="1746"/>
      <c r="J338" s="1214"/>
      <c r="K338" s="105"/>
      <c r="L338" s="91"/>
      <c r="M338" s="92"/>
      <c r="N338" s="93"/>
      <c r="O338" s="94"/>
      <c r="P338" s="94"/>
      <c r="Q338" s="97"/>
      <c r="R338" s="993">
        <f t="shared" si="1147"/>
        <v>0</v>
      </c>
      <c r="S338" s="23">
        <f t="shared" si="1148"/>
        <v>0</v>
      </c>
      <c r="T338" s="24">
        <f t="shared" si="1071"/>
        <v>0</v>
      </c>
      <c r="U338" s="24">
        <f t="shared" si="1072"/>
        <v>0</v>
      </c>
      <c r="V338" s="24">
        <f t="shared" si="1073"/>
        <v>0</v>
      </c>
      <c r="W338" s="24">
        <f t="shared" ca="1" si="1074"/>
        <v>0</v>
      </c>
      <c r="X338" s="72">
        <f t="shared" ca="1" si="1119"/>
        <v>0</v>
      </c>
      <c r="Y338" s="72">
        <f t="shared" si="1075"/>
        <v>0</v>
      </c>
      <c r="Z338" s="24">
        <f t="shared" si="1076"/>
        <v>0</v>
      </c>
      <c r="AA338" s="72">
        <f t="shared" si="1120"/>
        <v>0</v>
      </c>
      <c r="AB338" s="24">
        <f t="shared" si="1131"/>
        <v>0</v>
      </c>
      <c r="AC338" s="24">
        <f t="shared" ca="1" si="1077"/>
        <v>0</v>
      </c>
      <c r="AD338" s="24">
        <f t="shared" si="1049"/>
        <v>0</v>
      </c>
      <c r="AE338" s="2078">
        <f t="shared" si="1125"/>
        <v>3</v>
      </c>
      <c r="AF338" s="2078">
        <f t="shared" si="1126"/>
        <v>0</v>
      </c>
      <c r="AG338" s="2078">
        <f t="shared" si="1127"/>
        <v>0</v>
      </c>
      <c r="AH338" s="2521">
        <f t="shared" si="1050"/>
        <v>1</v>
      </c>
      <c r="AI338" s="25" t="str">
        <f t="shared" si="1078"/>
        <v/>
      </c>
      <c r="AJ338" s="2521">
        <f t="shared" ca="1" si="1045"/>
        <v>0</v>
      </c>
      <c r="AK338" s="2076">
        <f t="shared" ca="1" si="1041"/>
        <v>0</v>
      </c>
      <c r="AL338" s="2078">
        <f>IF(ISBLANK(J338),0,ISERROR(MATCH(J338,'5  Control Accounts'!$FA$29:$FA$96,0))*1)</f>
        <v>0</v>
      </c>
      <c r="AM338" s="2076">
        <f t="shared" si="1079"/>
        <v>0</v>
      </c>
      <c r="AN338" s="2078">
        <f t="shared" si="1080"/>
        <v>1</v>
      </c>
      <c r="AO338" s="2079">
        <f t="shared" si="1051"/>
        <v>1</v>
      </c>
      <c r="AP338" s="2079">
        <f t="shared" si="1052"/>
        <v>0</v>
      </c>
      <c r="AQ338" s="2079">
        <f t="shared" si="1053"/>
        <v>0</v>
      </c>
      <c r="AR338" s="2079">
        <f t="shared" si="1054"/>
        <v>0</v>
      </c>
      <c r="AS338" s="2079">
        <f t="shared" si="1055"/>
        <v>0</v>
      </c>
      <c r="AT338" s="2079">
        <f t="shared" si="1056"/>
        <v>0</v>
      </c>
      <c r="AU338" s="2079">
        <f t="shared" si="1057"/>
        <v>0</v>
      </c>
      <c r="AV338" s="2079">
        <f t="shared" si="1058"/>
        <v>0</v>
      </c>
      <c r="AW338" s="2079">
        <f t="shared" si="1059"/>
        <v>0</v>
      </c>
      <c r="AX338" s="2079">
        <f t="shared" si="1060"/>
        <v>0</v>
      </c>
      <c r="AY338" s="2078">
        <f t="shared" si="1081"/>
        <v>0</v>
      </c>
      <c r="AZ338" s="2078">
        <f t="shared" si="1082"/>
        <v>0</v>
      </c>
      <c r="BA338" s="2078">
        <f t="shared" si="1083"/>
        <v>0</v>
      </c>
      <c r="BB338" s="2078">
        <f t="shared" si="1084"/>
        <v>0</v>
      </c>
      <c r="BC338" s="2078">
        <f t="shared" si="1085"/>
        <v>0</v>
      </c>
      <c r="BD338" s="2078">
        <f t="shared" si="1086"/>
        <v>0</v>
      </c>
      <c r="BE338" s="2078">
        <f t="shared" si="1087"/>
        <v>0</v>
      </c>
      <c r="BF338" s="2078">
        <f t="shared" si="1088"/>
        <v>0</v>
      </c>
      <c r="BG338" s="2078">
        <f t="shared" si="1089"/>
        <v>0</v>
      </c>
      <c r="BH338" s="2078">
        <f t="shared" si="1090"/>
        <v>0</v>
      </c>
      <c r="BI338" s="2078">
        <f t="shared" si="1091"/>
        <v>0</v>
      </c>
      <c r="BJ338" s="2078">
        <f t="shared" si="1092"/>
        <v>0</v>
      </c>
      <c r="BK338" s="2078">
        <f t="shared" si="1093"/>
        <v>0</v>
      </c>
      <c r="BL338" s="2078">
        <f t="shared" si="1094"/>
        <v>0</v>
      </c>
      <c r="BM338" s="2078">
        <f t="shared" si="1095"/>
        <v>0</v>
      </c>
      <c r="BN338" s="2078">
        <f t="shared" si="1096"/>
        <v>0</v>
      </c>
      <c r="BO338" s="2078">
        <f t="shared" si="1097"/>
        <v>0</v>
      </c>
      <c r="BP338" s="2078">
        <f t="shared" si="1098"/>
        <v>0</v>
      </c>
      <c r="BQ338" s="2078">
        <f t="shared" si="1099"/>
        <v>0</v>
      </c>
      <c r="BR338" s="2078">
        <f t="shared" si="1100"/>
        <v>0</v>
      </c>
      <c r="BS338" s="2079">
        <f t="shared" si="1061"/>
        <v>1</v>
      </c>
      <c r="BT338" s="2079">
        <f t="shared" si="1062"/>
        <v>0</v>
      </c>
      <c r="BU338" s="2079">
        <f t="shared" si="1063"/>
        <v>0</v>
      </c>
      <c r="BV338" s="2079">
        <f t="shared" si="1064"/>
        <v>0</v>
      </c>
      <c r="BW338" s="2079">
        <f t="shared" si="1065"/>
        <v>0</v>
      </c>
      <c r="BX338" s="2079">
        <f t="shared" si="1066"/>
        <v>0</v>
      </c>
      <c r="BY338" s="2079">
        <f t="shared" si="1067"/>
        <v>0</v>
      </c>
      <c r="BZ338" s="2079">
        <f t="shared" si="1068"/>
        <v>0</v>
      </c>
      <c r="CA338" s="2079">
        <f t="shared" si="1069"/>
        <v>0</v>
      </c>
      <c r="CB338" s="2079">
        <f t="shared" si="1070"/>
        <v>0</v>
      </c>
      <c r="CC338" s="2078">
        <f t="shared" ca="1" si="1101"/>
        <v>0</v>
      </c>
      <c r="CD338" s="2078">
        <f t="shared" ca="1" si="1102"/>
        <v>0</v>
      </c>
      <c r="CE338" s="2078">
        <f t="shared" ca="1" si="1103"/>
        <v>0</v>
      </c>
      <c r="CF338" s="2078">
        <f t="shared" ca="1" si="1104"/>
        <v>0</v>
      </c>
      <c r="CG338" s="2078">
        <f t="shared" ca="1" si="1105"/>
        <v>0</v>
      </c>
      <c r="CH338" s="2078">
        <f t="shared" ca="1" si="1106"/>
        <v>0</v>
      </c>
      <c r="CI338" s="2078">
        <f t="shared" ca="1" si="1107"/>
        <v>0</v>
      </c>
      <c r="CJ338" s="2078">
        <f t="shared" ca="1" si="1108"/>
        <v>0</v>
      </c>
      <c r="CK338" s="2078">
        <f t="shared" ca="1" si="1109"/>
        <v>0</v>
      </c>
      <c r="CL338" s="2078">
        <f t="shared" ca="1" si="1110"/>
        <v>0</v>
      </c>
      <c r="CM338" s="2078">
        <f t="shared" si="1132"/>
        <v>1</v>
      </c>
      <c r="CN338" s="2078">
        <f t="shared" si="1133"/>
        <v>1</v>
      </c>
      <c r="CO338" s="2078">
        <f t="shared" si="1121"/>
        <v>1</v>
      </c>
      <c r="CP338" s="2078">
        <f t="shared" si="1111"/>
        <v>1</v>
      </c>
      <c r="CQ338" s="2078">
        <f t="shared" si="1122"/>
        <v>0</v>
      </c>
      <c r="CR338" s="2078">
        <f t="shared" si="1042"/>
        <v>0</v>
      </c>
      <c r="CS338" s="2078">
        <f t="shared" si="1112"/>
        <v>0</v>
      </c>
      <c r="CT338" s="2078">
        <f t="shared" si="1123"/>
        <v>1</v>
      </c>
      <c r="CU338" s="2078">
        <f t="shared" si="1113"/>
        <v>1</v>
      </c>
      <c r="CV338" s="2078">
        <f t="shared" si="1134"/>
        <v>0</v>
      </c>
      <c r="CW338" s="2078">
        <f>IF(OR(AE338&lt;&gt;3,F338="Exclude"),0,IF(ISERROR(MATCH($E338,'4 Sign-off'!$S$123:$X$123,0)),0,1))</f>
        <v>0</v>
      </c>
      <c r="CX338" s="2078">
        <f t="shared" si="1046"/>
        <v>0</v>
      </c>
      <c r="CY338" s="2078">
        <f t="shared" si="1135"/>
        <v>0</v>
      </c>
      <c r="CZ338" s="2993">
        <f t="shared" ca="1" si="1149"/>
        <v>0</v>
      </c>
      <c r="DA338" s="3037">
        <f t="shared" ca="1" si="1150"/>
        <v>0</v>
      </c>
      <c r="DB338" s="1664"/>
      <c r="DC338" s="1320"/>
      <c r="DD338" s="589"/>
      <c r="DE338" s="1321"/>
      <c r="DF338" s="107"/>
      <c r="DG338" s="112"/>
      <c r="DH338" s="140"/>
      <c r="DI338" s="22"/>
      <c r="DJ338" s="145"/>
      <c r="DK338" s="137"/>
      <c r="DL338" s="137"/>
      <c r="DM338" s="137"/>
      <c r="DN338" s="137"/>
      <c r="DO338" s="137"/>
      <c r="DP338" s="137"/>
      <c r="DQ338" s="137"/>
      <c r="DR338" s="137"/>
      <c r="DS338" s="137"/>
      <c r="DT338" s="137"/>
      <c r="DU338" s="137"/>
      <c r="DV338" s="137"/>
      <c r="DW338" s="137"/>
      <c r="DX338" s="137"/>
      <c r="DY338" s="137"/>
      <c r="DZ338" s="137"/>
      <c r="EA338" s="137"/>
      <c r="EB338" s="137"/>
      <c r="EC338" s="137"/>
      <c r="ED338" s="137"/>
      <c r="EE338" s="137"/>
      <c r="EF338" s="137"/>
      <c r="EG338" s="137"/>
      <c r="EH338" s="137"/>
      <c r="EI338" s="137"/>
      <c r="EJ338" s="137"/>
      <c r="EK338" s="137"/>
      <c r="EL338" s="137"/>
      <c r="EM338" s="137"/>
      <c r="EN338" s="137"/>
      <c r="EO338" s="137"/>
      <c r="EP338" s="137"/>
      <c r="EQ338" s="137"/>
      <c r="ER338" s="137"/>
      <c r="ES338" s="137"/>
      <c r="ET338" s="137"/>
      <c r="EU338" s="137"/>
      <c r="EV338" s="137"/>
      <c r="EW338" s="137"/>
      <c r="EX338" s="137"/>
      <c r="EY338" s="137"/>
      <c r="EZ338" s="137"/>
      <c r="FA338" s="137"/>
      <c r="FB338" s="137"/>
      <c r="FC338" s="137"/>
      <c r="FD338" s="137"/>
      <c r="FE338" s="137"/>
      <c r="FF338" s="137"/>
      <c r="FG338" s="860"/>
      <c r="FH338" s="863"/>
      <c r="FI338" s="1318"/>
      <c r="FJ338" s="126"/>
      <c r="FK338" s="127"/>
      <c r="FL338" s="128" t="str">
        <f t="shared" si="1114"/>
        <v xml:space="preserve">    </v>
      </c>
      <c r="FM338" s="128"/>
      <c r="FN338" s="1686">
        <f t="shared" si="1115"/>
        <v>0</v>
      </c>
      <c r="FO338" s="46">
        <f t="shared" si="1136"/>
        <v>0</v>
      </c>
      <c r="FP338" s="46">
        <f t="shared" ref="FP338:FP345" si="1153">IFERROR(1/FQ338,1)</f>
        <v>1</v>
      </c>
      <c r="FQ338" s="75">
        <f t="shared" si="1116"/>
        <v>0</v>
      </c>
      <c r="FR338" s="46">
        <f t="shared" si="1128"/>
        <v>0</v>
      </c>
      <c r="FS338" s="46">
        <f t="shared" si="1129"/>
        <v>1</v>
      </c>
      <c r="FT338" s="75">
        <f t="shared" si="1117"/>
        <v>0</v>
      </c>
      <c r="FU338" s="2603">
        <f t="shared" si="1137"/>
        <v>0</v>
      </c>
      <c r="FV338" s="2607">
        <f t="shared" si="1138"/>
        <v>0</v>
      </c>
      <c r="FW338" s="2603">
        <f t="shared" si="1139"/>
        <v>0</v>
      </c>
      <c r="FX338" s="2631">
        <f t="shared" si="1140"/>
        <v>0</v>
      </c>
      <c r="FY338" s="81" t="e">
        <f t="shared" si="1130"/>
        <v>#N/A</v>
      </c>
      <c r="FZ338" s="64" t="e">
        <f t="array" ref="FZ338">MATCH(1,($GT338:$LQ338&gt;0)*$GT$25:$LQ$25,0)</f>
        <v>#N/A</v>
      </c>
      <c r="GA338" s="64" t="e">
        <f t="array" ref="GA338">MATCH(2,1/(GT338:LQ338&gt;0))</f>
        <v>#N/A</v>
      </c>
      <c r="GB338" s="64">
        <f t="shared" si="1118"/>
        <v>-1</v>
      </c>
      <c r="GC338" s="46"/>
      <c r="GD338" s="613"/>
      <c r="GE338" s="613"/>
      <c r="GF338" s="613"/>
      <c r="GG338" s="613"/>
      <c r="GH338" s="613"/>
      <c r="GI338" s="613"/>
      <c r="GJ338" s="613"/>
      <c r="GK338" s="613"/>
      <c r="GL338" s="613"/>
      <c r="GM338" s="613"/>
      <c r="GN338" s="385">
        <f t="shared" si="1047"/>
        <v>0</v>
      </c>
      <c r="GO338" s="386">
        <f t="shared" si="1048"/>
        <v>0</v>
      </c>
      <c r="GP338" s="2635"/>
      <c r="GQ338" s="175"/>
      <c r="GR338" s="172"/>
      <c r="GS338" s="65"/>
      <c r="GT338" s="167"/>
      <c r="GU338" s="168"/>
      <c r="GV338" s="168"/>
      <c r="GW338" s="168"/>
      <c r="GX338" s="168"/>
      <c r="GY338" s="168"/>
      <c r="GZ338" s="168"/>
      <c r="HA338" s="168"/>
      <c r="HB338" s="168"/>
      <c r="HC338" s="168"/>
      <c r="HD338" s="168"/>
      <c r="HE338" s="168"/>
      <c r="HF338" s="168"/>
      <c r="HG338" s="168"/>
      <c r="HH338" s="168"/>
      <c r="HI338" s="168"/>
      <c r="HJ338" s="168"/>
      <c r="HK338" s="168"/>
      <c r="HL338" s="168"/>
      <c r="HM338" s="168"/>
      <c r="HN338" s="168"/>
      <c r="HO338" s="168"/>
      <c r="HP338" s="168"/>
      <c r="HQ338" s="168"/>
      <c r="HR338" s="168"/>
      <c r="HS338" s="168"/>
      <c r="HT338" s="168"/>
      <c r="HU338" s="168"/>
      <c r="HV338" s="168"/>
      <c r="HW338" s="168"/>
      <c r="HX338" s="168"/>
      <c r="HY338" s="168"/>
      <c r="HZ338" s="168"/>
      <c r="IA338" s="168"/>
      <c r="IB338" s="168"/>
      <c r="IC338" s="168"/>
      <c r="ID338" s="168"/>
      <c r="IE338" s="168"/>
      <c r="IF338" s="168"/>
      <c r="IG338" s="168"/>
      <c r="IH338" s="168"/>
      <c r="II338" s="168"/>
      <c r="IJ338" s="168"/>
      <c r="IK338" s="168"/>
      <c r="IL338" s="168"/>
      <c r="IM338" s="168"/>
      <c r="IN338" s="168"/>
      <c r="IO338" s="168"/>
      <c r="IP338" s="168"/>
      <c r="IQ338" s="168"/>
      <c r="IR338" s="168"/>
      <c r="IS338" s="168"/>
      <c r="IT338" s="168"/>
      <c r="IU338" s="168"/>
      <c r="IV338" s="168"/>
      <c r="IW338" s="168"/>
      <c r="IX338" s="168"/>
      <c r="IY338" s="168"/>
      <c r="IZ338" s="168"/>
      <c r="JA338" s="168"/>
      <c r="JB338" s="168"/>
      <c r="JC338" s="168"/>
      <c r="JD338" s="168"/>
      <c r="JE338" s="168"/>
      <c r="JF338" s="168"/>
      <c r="JG338" s="168"/>
      <c r="JH338" s="168"/>
      <c r="JI338" s="168"/>
      <c r="JJ338" s="168"/>
      <c r="JK338" s="168"/>
      <c r="JL338" s="168"/>
      <c r="JM338" s="168"/>
      <c r="JN338" s="168"/>
      <c r="JO338" s="168"/>
      <c r="JP338" s="168"/>
      <c r="JQ338" s="168"/>
      <c r="JR338" s="168"/>
      <c r="JS338" s="168"/>
      <c r="JT338" s="168"/>
      <c r="JU338" s="168"/>
      <c r="JV338" s="168"/>
      <c r="JW338" s="168"/>
      <c r="JX338" s="168"/>
      <c r="JY338" s="168"/>
      <c r="JZ338" s="168"/>
      <c r="KA338" s="168"/>
      <c r="KB338" s="168"/>
      <c r="KC338" s="168"/>
      <c r="KD338" s="168"/>
      <c r="KE338" s="168"/>
      <c r="KF338" s="168"/>
      <c r="KG338" s="168"/>
      <c r="KH338" s="168"/>
      <c r="KI338" s="168"/>
      <c r="KJ338" s="168"/>
      <c r="KK338" s="168"/>
      <c r="KL338" s="168"/>
      <c r="KM338" s="168"/>
      <c r="KN338" s="168"/>
      <c r="KO338" s="168"/>
      <c r="KP338" s="168"/>
      <c r="KQ338" s="168"/>
      <c r="KR338" s="168"/>
      <c r="KS338" s="168"/>
      <c r="KT338" s="168"/>
      <c r="KU338" s="168"/>
      <c r="KV338" s="168"/>
      <c r="KW338" s="168"/>
      <c r="KX338" s="168"/>
      <c r="KY338" s="168"/>
      <c r="KZ338" s="168"/>
      <c r="LA338" s="168"/>
      <c r="LB338" s="168"/>
      <c r="LC338" s="168"/>
      <c r="LD338" s="168"/>
      <c r="LE338" s="168"/>
      <c r="LF338" s="168"/>
      <c r="LG338" s="168"/>
      <c r="LH338" s="168"/>
      <c r="LI338" s="168"/>
      <c r="LJ338" s="168"/>
      <c r="LK338" s="168"/>
      <c r="LL338" s="168"/>
      <c r="LM338" s="168"/>
      <c r="LN338" s="168"/>
      <c r="LO338" s="168"/>
      <c r="LP338" s="606"/>
      <c r="LQ338" s="609"/>
      <c r="LR338" s="1319"/>
      <c r="LS338" s="1319"/>
    </row>
    <row r="339" spans="1:331" s="2" customFormat="1" ht="15" customHeight="1" x14ac:dyDescent="0.25">
      <c r="A339" s="283"/>
      <c r="B339" s="303"/>
      <c r="C339" s="301"/>
      <c r="D339" s="1412"/>
      <c r="E339" s="2298"/>
      <c r="F339" s="1812"/>
      <c r="G339" s="3342"/>
      <c r="H339" s="66"/>
      <c r="I339" s="1746"/>
      <c r="J339" s="1214"/>
      <c r="K339" s="105"/>
      <c r="L339" s="91"/>
      <c r="M339" s="92"/>
      <c r="N339" s="93"/>
      <c r="O339" s="94"/>
      <c r="P339" s="94"/>
      <c r="Q339" s="97"/>
      <c r="R339" s="993">
        <f t="shared" si="1147"/>
        <v>0</v>
      </c>
      <c r="S339" s="23">
        <f t="shared" si="1148"/>
        <v>0</v>
      </c>
      <c r="T339" s="24">
        <f t="shared" si="1071"/>
        <v>0</v>
      </c>
      <c r="U339" s="24">
        <f t="shared" si="1072"/>
        <v>0</v>
      </c>
      <c r="V339" s="24">
        <f t="shared" si="1073"/>
        <v>0</v>
      </c>
      <c r="W339" s="24">
        <f t="shared" ca="1" si="1074"/>
        <v>0</v>
      </c>
      <c r="X339" s="72">
        <f t="shared" ca="1" si="1119"/>
        <v>0</v>
      </c>
      <c r="Y339" s="72">
        <f t="shared" si="1075"/>
        <v>0</v>
      </c>
      <c r="Z339" s="24">
        <f t="shared" si="1076"/>
        <v>0</v>
      </c>
      <c r="AA339" s="72">
        <f t="shared" si="1120"/>
        <v>0</v>
      </c>
      <c r="AB339" s="24">
        <f t="shared" si="1131"/>
        <v>0</v>
      </c>
      <c r="AC339" s="24">
        <f t="shared" ca="1" si="1077"/>
        <v>0</v>
      </c>
      <c r="AD339" s="24">
        <f t="shared" si="1049"/>
        <v>0</v>
      </c>
      <c r="AE339" s="2078">
        <f t="shared" si="1125"/>
        <v>3</v>
      </c>
      <c r="AF339" s="2078">
        <f t="shared" si="1126"/>
        <v>0</v>
      </c>
      <c r="AG339" s="2078">
        <f t="shared" si="1127"/>
        <v>0</v>
      </c>
      <c r="AH339" s="2521">
        <f t="shared" si="1050"/>
        <v>1</v>
      </c>
      <c r="AI339" s="25" t="str">
        <f t="shared" si="1078"/>
        <v/>
      </c>
      <c r="AJ339" s="2521">
        <f t="shared" ca="1" si="1045"/>
        <v>0</v>
      </c>
      <c r="AK339" s="2076">
        <f t="shared" ca="1" si="1041"/>
        <v>0</v>
      </c>
      <c r="AL339" s="2078">
        <f>IF(ISBLANK(J339),0,ISERROR(MATCH(J339,'5  Control Accounts'!$FA$29:$FA$96,0))*1)</f>
        <v>0</v>
      </c>
      <c r="AM339" s="2076">
        <f t="shared" si="1079"/>
        <v>0</v>
      </c>
      <c r="AN339" s="2078">
        <f t="shared" si="1080"/>
        <v>1</v>
      </c>
      <c r="AO339" s="2079">
        <f t="shared" si="1051"/>
        <v>1</v>
      </c>
      <c r="AP339" s="2079">
        <f t="shared" si="1052"/>
        <v>0</v>
      </c>
      <c r="AQ339" s="2079">
        <f t="shared" si="1053"/>
        <v>0</v>
      </c>
      <c r="AR339" s="2079">
        <f t="shared" si="1054"/>
        <v>0</v>
      </c>
      <c r="AS339" s="2079">
        <f t="shared" si="1055"/>
        <v>0</v>
      </c>
      <c r="AT339" s="2079">
        <f t="shared" si="1056"/>
        <v>0</v>
      </c>
      <c r="AU339" s="2079">
        <f t="shared" si="1057"/>
        <v>0</v>
      </c>
      <c r="AV339" s="2079">
        <f t="shared" si="1058"/>
        <v>0</v>
      </c>
      <c r="AW339" s="2079">
        <f t="shared" si="1059"/>
        <v>0</v>
      </c>
      <c r="AX339" s="2079">
        <f t="shared" si="1060"/>
        <v>0</v>
      </c>
      <c r="AY339" s="2078">
        <f t="shared" si="1081"/>
        <v>0</v>
      </c>
      <c r="AZ339" s="2078">
        <f t="shared" si="1082"/>
        <v>0</v>
      </c>
      <c r="BA339" s="2078">
        <f t="shared" si="1083"/>
        <v>0</v>
      </c>
      <c r="BB339" s="2078">
        <f t="shared" si="1084"/>
        <v>0</v>
      </c>
      <c r="BC339" s="2078">
        <f t="shared" si="1085"/>
        <v>0</v>
      </c>
      <c r="BD339" s="2078">
        <f t="shared" si="1086"/>
        <v>0</v>
      </c>
      <c r="BE339" s="2078">
        <f t="shared" si="1087"/>
        <v>0</v>
      </c>
      <c r="BF339" s="2078">
        <f t="shared" si="1088"/>
        <v>0</v>
      </c>
      <c r="BG339" s="2078">
        <f t="shared" si="1089"/>
        <v>0</v>
      </c>
      <c r="BH339" s="2078">
        <f t="shared" si="1090"/>
        <v>0</v>
      </c>
      <c r="BI339" s="2078">
        <f t="shared" si="1091"/>
        <v>0</v>
      </c>
      <c r="BJ339" s="2078">
        <f t="shared" si="1092"/>
        <v>0</v>
      </c>
      <c r="BK339" s="2078">
        <f t="shared" si="1093"/>
        <v>0</v>
      </c>
      <c r="BL339" s="2078">
        <f t="shared" si="1094"/>
        <v>0</v>
      </c>
      <c r="BM339" s="2078">
        <f t="shared" si="1095"/>
        <v>0</v>
      </c>
      <c r="BN339" s="2078">
        <f t="shared" si="1096"/>
        <v>0</v>
      </c>
      <c r="BO339" s="2078">
        <f t="shared" si="1097"/>
        <v>0</v>
      </c>
      <c r="BP339" s="2078">
        <f t="shared" si="1098"/>
        <v>0</v>
      </c>
      <c r="BQ339" s="2078">
        <f t="shared" si="1099"/>
        <v>0</v>
      </c>
      <c r="BR339" s="2078">
        <f t="shared" si="1100"/>
        <v>0</v>
      </c>
      <c r="BS339" s="2079">
        <f t="shared" si="1061"/>
        <v>1</v>
      </c>
      <c r="BT339" s="2079">
        <f t="shared" si="1062"/>
        <v>0</v>
      </c>
      <c r="BU339" s="2079">
        <f t="shared" si="1063"/>
        <v>0</v>
      </c>
      <c r="BV339" s="2079">
        <f t="shared" si="1064"/>
        <v>0</v>
      </c>
      <c r="BW339" s="2079">
        <f t="shared" si="1065"/>
        <v>0</v>
      </c>
      <c r="BX339" s="2079">
        <f t="shared" si="1066"/>
        <v>0</v>
      </c>
      <c r="BY339" s="2079">
        <f t="shared" si="1067"/>
        <v>0</v>
      </c>
      <c r="BZ339" s="2079">
        <f t="shared" si="1068"/>
        <v>0</v>
      </c>
      <c r="CA339" s="2079">
        <f t="shared" si="1069"/>
        <v>0</v>
      </c>
      <c r="CB339" s="2079">
        <f t="shared" si="1070"/>
        <v>0</v>
      </c>
      <c r="CC339" s="2078">
        <f t="shared" ca="1" si="1101"/>
        <v>0</v>
      </c>
      <c r="CD339" s="2078">
        <f t="shared" ca="1" si="1102"/>
        <v>0</v>
      </c>
      <c r="CE339" s="2078">
        <f t="shared" ca="1" si="1103"/>
        <v>0</v>
      </c>
      <c r="CF339" s="2078">
        <f t="shared" ca="1" si="1104"/>
        <v>0</v>
      </c>
      <c r="CG339" s="2078">
        <f t="shared" ca="1" si="1105"/>
        <v>0</v>
      </c>
      <c r="CH339" s="2078">
        <f t="shared" ca="1" si="1106"/>
        <v>0</v>
      </c>
      <c r="CI339" s="2078">
        <f t="shared" ca="1" si="1107"/>
        <v>0</v>
      </c>
      <c r="CJ339" s="2078">
        <f t="shared" ca="1" si="1108"/>
        <v>0</v>
      </c>
      <c r="CK339" s="2078">
        <f t="shared" ca="1" si="1109"/>
        <v>0</v>
      </c>
      <c r="CL339" s="2078">
        <f t="shared" ca="1" si="1110"/>
        <v>0</v>
      </c>
      <c r="CM339" s="2078">
        <f t="shared" si="1132"/>
        <v>1</v>
      </c>
      <c r="CN339" s="2078">
        <f t="shared" si="1133"/>
        <v>1</v>
      </c>
      <c r="CO339" s="2078">
        <f t="shared" si="1121"/>
        <v>1</v>
      </c>
      <c r="CP339" s="2078">
        <f t="shared" si="1111"/>
        <v>1</v>
      </c>
      <c r="CQ339" s="2078">
        <f t="shared" si="1122"/>
        <v>0</v>
      </c>
      <c r="CR339" s="2078">
        <f t="shared" si="1042"/>
        <v>0</v>
      </c>
      <c r="CS339" s="2078">
        <f t="shared" si="1112"/>
        <v>0</v>
      </c>
      <c r="CT339" s="2078">
        <f t="shared" si="1123"/>
        <v>1</v>
      </c>
      <c r="CU339" s="2078">
        <f t="shared" si="1113"/>
        <v>1</v>
      </c>
      <c r="CV339" s="2078">
        <f t="shared" si="1134"/>
        <v>0</v>
      </c>
      <c r="CW339" s="2078">
        <f>IF(OR(AE339&lt;&gt;3,F339="Exclude"),0,IF(ISERROR(MATCH($E339,'4 Sign-off'!$S$123:$X$123,0)),0,1))</f>
        <v>0</v>
      </c>
      <c r="CX339" s="2078">
        <f t="shared" ref="CX339:CX364" si="1154">IF($C$7&lt;&gt;"B",1,CHOOSE($CX$163,CW339,CS339+CV339,CS339,CV339))</f>
        <v>0</v>
      </c>
      <c r="CY339" s="2078">
        <f t="shared" si="1135"/>
        <v>0</v>
      </c>
      <c r="CZ339" s="2993">
        <f t="shared" ca="1" si="1149"/>
        <v>0</v>
      </c>
      <c r="DA339" s="3037">
        <f t="shared" ca="1" si="1150"/>
        <v>0</v>
      </c>
      <c r="DB339" s="1664"/>
      <c r="DC339" s="1320"/>
      <c r="DD339" s="589"/>
      <c r="DE339" s="1321"/>
      <c r="DF339" s="107"/>
      <c r="DG339" s="112"/>
      <c r="DH339" s="140"/>
      <c r="DI339" s="22"/>
      <c r="DJ339" s="145"/>
      <c r="DK339" s="137"/>
      <c r="DL339" s="137"/>
      <c r="DM339" s="137"/>
      <c r="DN339" s="137"/>
      <c r="DO339" s="137"/>
      <c r="DP339" s="137"/>
      <c r="DQ339" s="137"/>
      <c r="DR339" s="137"/>
      <c r="DS339" s="137"/>
      <c r="DT339" s="137"/>
      <c r="DU339" s="137"/>
      <c r="DV339" s="137"/>
      <c r="DW339" s="137"/>
      <c r="DX339" s="137"/>
      <c r="DY339" s="137"/>
      <c r="DZ339" s="137"/>
      <c r="EA339" s="137"/>
      <c r="EB339" s="137"/>
      <c r="EC339" s="137"/>
      <c r="ED339" s="137"/>
      <c r="EE339" s="137"/>
      <c r="EF339" s="137"/>
      <c r="EG339" s="137"/>
      <c r="EH339" s="137"/>
      <c r="EI339" s="137"/>
      <c r="EJ339" s="137"/>
      <c r="EK339" s="137"/>
      <c r="EL339" s="137"/>
      <c r="EM339" s="137"/>
      <c r="EN339" s="137"/>
      <c r="EO339" s="137"/>
      <c r="EP339" s="137"/>
      <c r="EQ339" s="137"/>
      <c r="ER339" s="137"/>
      <c r="ES339" s="137"/>
      <c r="ET339" s="137"/>
      <c r="EU339" s="137"/>
      <c r="EV339" s="137"/>
      <c r="EW339" s="137"/>
      <c r="EX339" s="137"/>
      <c r="EY339" s="137"/>
      <c r="EZ339" s="137"/>
      <c r="FA339" s="137"/>
      <c r="FB339" s="137"/>
      <c r="FC339" s="137"/>
      <c r="FD339" s="137"/>
      <c r="FE339" s="137"/>
      <c r="FF339" s="137"/>
      <c r="FG339" s="860"/>
      <c r="FH339" s="863"/>
      <c r="FI339" s="1318"/>
      <c r="FJ339" s="126"/>
      <c r="FK339" s="127"/>
      <c r="FL339" s="128" t="str">
        <f t="shared" si="1114"/>
        <v xml:space="preserve">    </v>
      </c>
      <c r="FM339" s="128"/>
      <c r="FN339" s="1686">
        <f t="shared" si="1115"/>
        <v>0</v>
      </c>
      <c r="FO339" s="46">
        <f t="shared" si="1136"/>
        <v>0</v>
      </c>
      <c r="FP339" s="46">
        <f t="shared" ref="FP339:FP341" si="1155">IFERROR(1/FQ339,1)</f>
        <v>1</v>
      </c>
      <c r="FQ339" s="75">
        <f t="shared" si="1116"/>
        <v>0</v>
      </c>
      <c r="FR339" s="46">
        <f t="shared" ref="FR339:FR341" si="1156">SUM(GT339:LQ339)</f>
        <v>0</v>
      </c>
      <c r="FS339" s="46">
        <f t="shared" si="1129"/>
        <v>1</v>
      </c>
      <c r="FT339" s="75">
        <f t="shared" si="1117"/>
        <v>0</v>
      </c>
      <c r="FU339" s="2603">
        <f t="shared" si="1137"/>
        <v>0</v>
      </c>
      <c r="FV339" s="2607">
        <f t="shared" si="1138"/>
        <v>0</v>
      </c>
      <c r="FW339" s="2603">
        <f t="shared" si="1139"/>
        <v>0</v>
      </c>
      <c r="FX339" s="2631">
        <f t="shared" si="1140"/>
        <v>0</v>
      </c>
      <c r="FY339" s="81" t="e">
        <f t="shared" si="1130"/>
        <v>#N/A</v>
      </c>
      <c r="FZ339" s="64" t="e">
        <f t="array" ref="FZ339">MATCH(1,($GT339:$LQ339&gt;0)*$GT$25:$LQ$25,0)</f>
        <v>#N/A</v>
      </c>
      <c r="GA339" s="64" t="e">
        <f t="array" ref="GA339">MATCH(2,1/(GT339:LQ339&gt;0))</f>
        <v>#N/A</v>
      </c>
      <c r="GB339" s="64">
        <f t="shared" si="1118"/>
        <v>-1</v>
      </c>
      <c r="GC339" s="46"/>
      <c r="GD339" s="613"/>
      <c r="GE339" s="613"/>
      <c r="GF339" s="613"/>
      <c r="GG339" s="613"/>
      <c r="GH339" s="613"/>
      <c r="GI339" s="613"/>
      <c r="GJ339" s="613"/>
      <c r="GK339" s="613"/>
      <c r="GL339" s="613"/>
      <c r="GM339" s="613"/>
      <c r="GN339" s="385">
        <f t="shared" ref="GN339:GN364" si="1157">IF(ISERROR(FZ339),0,CHOOSE($FM$5,(FZ339*7)+$GT$170-11,EOMONTH($GT$170,FZ339-2)+1))</f>
        <v>0</v>
      </c>
      <c r="GO339" s="386">
        <f t="shared" ref="GO339:GO364" si="1158">IF(ISERROR(FY339),0,CHOOSE($FM$5,(FY339*7)+$GT$170-7,EOMONTH($GT$170,FY339-1)))</f>
        <v>0</v>
      </c>
      <c r="GP339" s="2635"/>
      <c r="GQ339" s="175"/>
      <c r="GR339" s="172"/>
      <c r="GS339" s="65"/>
      <c r="GT339" s="167"/>
      <c r="GU339" s="168"/>
      <c r="GV339" s="168"/>
      <c r="GW339" s="168"/>
      <c r="GX339" s="168"/>
      <c r="GY339" s="168"/>
      <c r="GZ339" s="168"/>
      <c r="HA339" s="168"/>
      <c r="HB339" s="168"/>
      <c r="HC339" s="168"/>
      <c r="HD339" s="168"/>
      <c r="HE339" s="168"/>
      <c r="HF339" s="168"/>
      <c r="HG339" s="168"/>
      <c r="HH339" s="168"/>
      <c r="HI339" s="168"/>
      <c r="HJ339" s="168"/>
      <c r="HK339" s="168"/>
      <c r="HL339" s="168"/>
      <c r="HM339" s="168"/>
      <c r="HN339" s="168"/>
      <c r="HO339" s="168"/>
      <c r="HP339" s="168"/>
      <c r="HQ339" s="168"/>
      <c r="HR339" s="168"/>
      <c r="HS339" s="168"/>
      <c r="HT339" s="168"/>
      <c r="HU339" s="168"/>
      <c r="HV339" s="168"/>
      <c r="HW339" s="168"/>
      <c r="HX339" s="168"/>
      <c r="HY339" s="168"/>
      <c r="HZ339" s="168"/>
      <c r="IA339" s="168"/>
      <c r="IB339" s="168"/>
      <c r="IC339" s="168"/>
      <c r="ID339" s="168"/>
      <c r="IE339" s="168"/>
      <c r="IF339" s="168"/>
      <c r="IG339" s="168"/>
      <c r="IH339" s="168"/>
      <c r="II339" s="168"/>
      <c r="IJ339" s="168"/>
      <c r="IK339" s="168"/>
      <c r="IL339" s="168"/>
      <c r="IM339" s="168"/>
      <c r="IN339" s="168"/>
      <c r="IO339" s="168"/>
      <c r="IP339" s="168"/>
      <c r="IQ339" s="168"/>
      <c r="IR339" s="168"/>
      <c r="IS339" s="168"/>
      <c r="IT339" s="168"/>
      <c r="IU339" s="168"/>
      <c r="IV339" s="168"/>
      <c r="IW339" s="168"/>
      <c r="IX339" s="168"/>
      <c r="IY339" s="168"/>
      <c r="IZ339" s="168"/>
      <c r="JA339" s="168"/>
      <c r="JB339" s="168"/>
      <c r="JC339" s="168"/>
      <c r="JD339" s="168"/>
      <c r="JE339" s="168"/>
      <c r="JF339" s="168"/>
      <c r="JG339" s="168"/>
      <c r="JH339" s="168"/>
      <c r="JI339" s="168"/>
      <c r="JJ339" s="168"/>
      <c r="JK339" s="168"/>
      <c r="JL339" s="168"/>
      <c r="JM339" s="168"/>
      <c r="JN339" s="168"/>
      <c r="JO339" s="168"/>
      <c r="JP339" s="168"/>
      <c r="JQ339" s="168"/>
      <c r="JR339" s="168"/>
      <c r="JS339" s="168"/>
      <c r="JT339" s="168"/>
      <c r="JU339" s="168"/>
      <c r="JV339" s="168"/>
      <c r="JW339" s="168"/>
      <c r="JX339" s="168"/>
      <c r="JY339" s="168"/>
      <c r="JZ339" s="168"/>
      <c r="KA339" s="168"/>
      <c r="KB339" s="168"/>
      <c r="KC339" s="168"/>
      <c r="KD339" s="168"/>
      <c r="KE339" s="168"/>
      <c r="KF339" s="168"/>
      <c r="KG339" s="168"/>
      <c r="KH339" s="168"/>
      <c r="KI339" s="168"/>
      <c r="KJ339" s="168"/>
      <c r="KK339" s="168"/>
      <c r="KL339" s="168"/>
      <c r="KM339" s="168"/>
      <c r="KN339" s="168"/>
      <c r="KO339" s="168"/>
      <c r="KP339" s="168"/>
      <c r="KQ339" s="168"/>
      <c r="KR339" s="168"/>
      <c r="KS339" s="168"/>
      <c r="KT339" s="168"/>
      <c r="KU339" s="168"/>
      <c r="KV339" s="168"/>
      <c r="KW339" s="168"/>
      <c r="KX339" s="168"/>
      <c r="KY339" s="168"/>
      <c r="KZ339" s="168"/>
      <c r="LA339" s="168"/>
      <c r="LB339" s="168"/>
      <c r="LC339" s="168"/>
      <c r="LD339" s="168"/>
      <c r="LE339" s="168"/>
      <c r="LF339" s="168"/>
      <c r="LG339" s="168"/>
      <c r="LH339" s="168"/>
      <c r="LI339" s="168"/>
      <c r="LJ339" s="168"/>
      <c r="LK339" s="168"/>
      <c r="LL339" s="168"/>
      <c r="LM339" s="168"/>
      <c r="LN339" s="168"/>
      <c r="LO339" s="168"/>
      <c r="LP339" s="606"/>
      <c r="LQ339" s="609"/>
      <c r="LR339" s="1319"/>
      <c r="LS339" s="1319"/>
    </row>
    <row r="340" spans="1:331" s="2" customFormat="1" ht="15" customHeight="1" x14ac:dyDescent="0.25">
      <c r="A340" s="283"/>
      <c r="B340" s="303"/>
      <c r="C340" s="301"/>
      <c r="D340" s="1412"/>
      <c r="E340" s="2298"/>
      <c r="F340" s="1812"/>
      <c r="G340" s="3342"/>
      <c r="H340" s="66"/>
      <c r="I340" s="1746"/>
      <c r="J340" s="1214"/>
      <c r="K340" s="105"/>
      <c r="L340" s="91"/>
      <c r="M340" s="92"/>
      <c r="N340" s="93"/>
      <c r="O340" s="94"/>
      <c r="P340" s="94"/>
      <c r="Q340" s="97"/>
      <c r="R340" s="993">
        <f t="shared" si="1147"/>
        <v>0</v>
      </c>
      <c r="S340" s="23">
        <f t="shared" si="1148"/>
        <v>0</v>
      </c>
      <c r="T340" s="24">
        <f t="shared" si="1071"/>
        <v>0</v>
      </c>
      <c r="U340" s="24">
        <f t="shared" si="1072"/>
        <v>0</v>
      </c>
      <c r="V340" s="24">
        <f t="shared" si="1073"/>
        <v>0</v>
      </c>
      <c r="W340" s="24">
        <f t="shared" ca="1" si="1074"/>
        <v>0</v>
      </c>
      <c r="X340" s="72">
        <f t="shared" ca="1" si="1119"/>
        <v>0</v>
      </c>
      <c r="Y340" s="72">
        <f t="shared" si="1075"/>
        <v>0</v>
      </c>
      <c r="Z340" s="24">
        <f t="shared" si="1076"/>
        <v>0</v>
      </c>
      <c r="AA340" s="72">
        <f t="shared" si="1120"/>
        <v>0</v>
      </c>
      <c r="AB340" s="24">
        <f t="shared" si="1131"/>
        <v>0</v>
      </c>
      <c r="AC340" s="24">
        <f t="shared" ca="1" si="1077"/>
        <v>0</v>
      </c>
      <c r="AD340" s="24">
        <f t="shared" si="1049"/>
        <v>0</v>
      </c>
      <c r="AE340" s="2078">
        <f t="shared" si="1125"/>
        <v>3</v>
      </c>
      <c r="AF340" s="2078">
        <f t="shared" si="1126"/>
        <v>0</v>
      </c>
      <c r="AG340" s="2078">
        <f t="shared" si="1127"/>
        <v>0</v>
      </c>
      <c r="AH340" s="2521">
        <f t="shared" si="1050"/>
        <v>1</v>
      </c>
      <c r="AI340" s="25" t="str">
        <f t="shared" si="1078"/>
        <v/>
      </c>
      <c r="AJ340" s="2521">
        <f t="shared" ca="1" si="1045"/>
        <v>0</v>
      </c>
      <c r="AK340" s="2076">
        <f t="shared" ca="1" si="1041"/>
        <v>0</v>
      </c>
      <c r="AL340" s="2078">
        <f>IF(ISBLANK(J340),0,ISERROR(MATCH(J340,'5  Control Accounts'!$FA$29:$FA$96,0))*1)</f>
        <v>0</v>
      </c>
      <c r="AM340" s="2076">
        <f t="shared" si="1079"/>
        <v>0</v>
      </c>
      <c r="AN340" s="2078">
        <f t="shared" si="1080"/>
        <v>1</v>
      </c>
      <c r="AO340" s="2079">
        <f t="shared" si="1051"/>
        <v>1</v>
      </c>
      <c r="AP340" s="2079">
        <f t="shared" si="1052"/>
        <v>0</v>
      </c>
      <c r="AQ340" s="2079">
        <f t="shared" si="1053"/>
        <v>0</v>
      </c>
      <c r="AR340" s="2079">
        <f t="shared" si="1054"/>
        <v>0</v>
      </c>
      <c r="AS340" s="2079">
        <f t="shared" si="1055"/>
        <v>0</v>
      </c>
      <c r="AT340" s="2079">
        <f t="shared" si="1056"/>
        <v>0</v>
      </c>
      <c r="AU340" s="2079">
        <f t="shared" si="1057"/>
        <v>0</v>
      </c>
      <c r="AV340" s="2079">
        <f t="shared" si="1058"/>
        <v>0</v>
      </c>
      <c r="AW340" s="2079">
        <f t="shared" si="1059"/>
        <v>0</v>
      </c>
      <c r="AX340" s="2079">
        <f t="shared" si="1060"/>
        <v>0</v>
      </c>
      <c r="AY340" s="2078">
        <f t="shared" si="1081"/>
        <v>0</v>
      </c>
      <c r="AZ340" s="2078">
        <f t="shared" si="1082"/>
        <v>0</v>
      </c>
      <c r="BA340" s="2078">
        <f t="shared" si="1083"/>
        <v>0</v>
      </c>
      <c r="BB340" s="2078">
        <f t="shared" si="1084"/>
        <v>0</v>
      </c>
      <c r="BC340" s="2078">
        <f t="shared" si="1085"/>
        <v>0</v>
      </c>
      <c r="BD340" s="2078">
        <f t="shared" si="1086"/>
        <v>0</v>
      </c>
      <c r="BE340" s="2078">
        <f t="shared" si="1087"/>
        <v>0</v>
      </c>
      <c r="BF340" s="2078">
        <f t="shared" si="1088"/>
        <v>0</v>
      </c>
      <c r="BG340" s="2078">
        <f t="shared" si="1089"/>
        <v>0</v>
      </c>
      <c r="BH340" s="2078">
        <f t="shared" si="1090"/>
        <v>0</v>
      </c>
      <c r="BI340" s="2078">
        <f t="shared" si="1091"/>
        <v>0</v>
      </c>
      <c r="BJ340" s="2078">
        <f t="shared" si="1092"/>
        <v>0</v>
      </c>
      <c r="BK340" s="2078">
        <f t="shared" si="1093"/>
        <v>0</v>
      </c>
      <c r="BL340" s="2078">
        <f t="shared" si="1094"/>
        <v>0</v>
      </c>
      <c r="BM340" s="2078">
        <f t="shared" si="1095"/>
        <v>0</v>
      </c>
      <c r="BN340" s="2078">
        <f t="shared" si="1096"/>
        <v>0</v>
      </c>
      <c r="BO340" s="2078">
        <f t="shared" si="1097"/>
        <v>0</v>
      </c>
      <c r="BP340" s="2078">
        <f t="shared" si="1098"/>
        <v>0</v>
      </c>
      <c r="BQ340" s="2078">
        <f t="shared" si="1099"/>
        <v>0</v>
      </c>
      <c r="BR340" s="2078">
        <f t="shared" si="1100"/>
        <v>0</v>
      </c>
      <c r="BS340" s="2079">
        <f t="shared" si="1061"/>
        <v>1</v>
      </c>
      <c r="BT340" s="2079">
        <f t="shared" si="1062"/>
        <v>0</v>
      </c>
      <c r="BU340" s="2079">
        <f t="shared" si="1063"/>
        <v>0</v>
      </c>
      <c r="BV340" s="2079">
        <f t="shared" si="1064"/>
        <v>0</v>
      </c>
      <c r="BW340" s="2079">
        <f t="shared" si="1065"/>
        <v>0</v>
      </c>
      <c r="BX340" s="2079">
        <f t="shared" si="1066"/>
        <v>0</v>
      </c>
      <c r="BY340" s="2079">
        <f t="shared" si="1067"/>
        <v>0</v>
      </c>
      <c r="BZ340" s="2079">
        <f t="shared" si="1068"/>
        <v>0</v>
      </c>
      <c r="CA340" s="2079">
        <f t="shared" si="1069"/>
        <v>0</v>
      </c>
      <c r="CB340" s="2079">
        <f t="shared" si="1070"/>
        <v>0</v>
      </c>
      <c r="CC340" s="2078">
        <f t="shared" ca="1" si="1101"/>
        <v>0</v>
      </c>
      <c r="CD340" s="2078">
        <f t="shared" ca="1" si="1102"/>
        <v>0</v>
      </c>
      <c r="CE340" s="2078">
        <f t="shared" ca="1" si="1103"/>
        <v>0</v>
      </c>
      <c r="CF340" s="2078">
        <f t="shared" ca="1" si="1104"/>
        <v>0</v>
      </c>
      <c r="CG340" s="2078">
        <f t="shared" ca="1" si="1105"/>
        <v>0</v>
      </c>
      <c r="CH340" s="2078">
        <f t="shared" ca="1" si="1106"/>
        <v>0</v>
      </c>
      <c r="CI340" s="2078">
        <f t="shared" ca="1" si="1107"/>
        <v>0</v>
      </c>
      <c r="CJ340" s="2078">
        <f t="shared" ca="1" si="1108"/>
        <v>0</v>
      </c>
      <c r="CK340" s="2078">
        <f t="shared" ca="1" si="1109"/>
        <v>0</v>
      </c>
      <c r="CL340" s="2078">
        <f t="shared" ca="1" si="1110"/>
        <v>0</v>
      </c>
      <c r="CM340" s="2078">
        <f t="shared" si="1132"/>
        <v>1</v>
      </c>
      <c r="CN340" s="2078">
        <f t="shared" si="1133"/>
        <v>1</v>
      </c>
      <c r="CO340" s="2078">
        <f t="shared" si="1121"/>
        <v>1</v>
      </c>
      <c r="CP340" s="2078">
        <f t="shared" si="1111"/>
        <v>1</v>
      </c>
      <c r="CQ340" s="2078">
        <f t="shared" si="1122"/>
        <v>0</v>
      </c>
      <c r="CR340" s="2078">
        <f t="shared" si="1042"/>
        <v>0</v>
      </c>
      <c r="CS340" s="2078">
        <f t="shared" si="1112"/>
        <v>0</v>
      </c>
      <c r="CT340" s="2078">
        <f t="shared" si="1123"/>
        <v>1</v>
      </c>
      <c r="CU340" s="2078">
        <f t="shared" si="1113"/>
        <v>1</v>
      </c>
      <c r="CV340" s="2078">
        <f t="shared" si="1134"/>
        <v>0</v>
      </c>
      <c r="CW340" s="2078">
        <f>IF(OR(AE340&lt;&gt;3,F340="Exclude"),0,IF(ISERROR(MATCH($E340,'4 Sign-off'!$S$123:$X$123,0)),0,1))</f>
        <v>0</v>
      </c>
      <c r="CX340" s="2078">
        <f t="shared" si="1154"/>
        <v>0</v>
      </c>
      <c r="CY340" s="2078">
        <f t="shared" si="1135"/>
        <v>0</v>
      </c>
      <c r="CZ340" s="2993">
        <f t="shared" ca="1" si="1149"/>
        <v>0</v>
      </c>
      <c r="DA340" s="3037">
        <f t="shared" ca="1" si="1150"/>
        <v>0</v>
      </c>
      <c r="DB340" s="1664"/>
      <c r="DC340" s="1320"/>
      <c r="DD340" s="589"/>
      <c r="DE340" s="1321"/>
      <c r="DF340" s="107"/>
      <c r="DG340" s="112"/>
      <c r="DH340" s="140"/>
      <c r="DI340" s="22"/>
      <c r="DJ340" s="145"/>
      <c r="DK340" s="137"/>
      <c r="DL340" s="137"/>
      <c r="DM340" s="137"/>
      <c r="DN340" s="137"/>
      <c r="DO340" s="137"/>
      <c r="DP340" s="137"/>
      <c r="DQ340" s="137"/>
      <c r="DR340" s="137"/>
      <c r="DS340" s="137"/>
      <c r="DT340" s="137"/>
      <c r="DU340" s="137"/>
      <c r="DV340" s="137"/>
      <c r="DW340" s="137"/>
      <c r="DX340" s="137"/>
      <c r="DY340" s="137"/>
      <c r="DZ340" s="137"/>
      <c r="EA340" s="137"/>
      <c r="EB340" s="137"/>
      <c r="EC340" s="137"/>
      <c r="ED340" s="137"/>
      <c r="EE340" s="137"/>
      <c r="EF340" s="137"/>
      <c r="EG340" s="137"/>
      <c r="EH340" s="137"/>
      <c r="EI340" s="137"/>
      <c r="EJ340" s="137"/>
      <c r="EK340" s="137"/>
      <c r="EL340" s="137"/>
      <c r="EM340" s="137"/>
      <c r="EN340" s="137"/>
      <c r="EO340" s="137"/>
      <c r="EP340" s="137"/>
      <c r="EQ340" s="137"/>
      <c r="ER340" s="137"/>
      <c r="ES340" s="137"/>
      <c r="ET340" s="137"/>
      <c r="EU340" s="137"/>
      <c r="EV340" s="137"/>
      <c r="EW340" s="137"/>
      <c r="EX340" s="137"/>
      <c r="EY340" s="137"/>
      <c r="EZ340" s="137"/>
      <c r="FA340" s="137"/>
      <c r="FB340" s="137"/>
      <c r="FC340" s="137"/>
      <c r="FD340" s="137"/>
      <c r="FE340" s="137"/>
      <c r="FF340" s="137"/>
      <c r="FG340" s="860"/>
      <c r="FH340" s="863"/>
      <c r="FI340" s="1318"/>
      <c r="FJ340" s="126"/>
      <c r="FK340" s="127"/>
      <c r="FL340" s="128" t="str">
        <f t="shared" si="1114"/>
        <v xml:space="preserve">    </v>
      </c>
      <c r="FM340" s="128"/>
      <c r="FN340" s="1686">
        <f t="shared" si="1115"/>
        <v>0</v>
      </c>
      <c r="FO340" s="46">
        <f t="shared" si="1136"/>
        <v>0</v>
      </c>
      <c r="FP340" s="46">
        <f t="shared" si="1155"/>
        <v>1</v>
      </c>
      <c r="FQ340" s="75">
        <f t="shared" si="1116"/>
        <v>0</v>
      </c>
      <c r="FR340" s="46">
        <f t="shared" si="1156"/>
        <v>0</v>
      </c>
      <c r="FS340" s="46">
        <f t="shared" si="1129"/>
        <v>1</v>
      </c>
      <c r="FT340" s="75">
        <f t="shared" si="1117"/>
        <v>0</v>
      </c>
      <c r="FU340" s="2603">
        <f t="shared" si="1137"/>
        <v>0</v>
      </c>
      <c r="FV340" s="2607">
        <f t="shared" si="1138"/>
        <v>0</v>
      </c>
      <c r="FW340" s="2603">
        <f t="shared" si="1139"/>
        <v>0</v>
      </c>
      <c r="FX340" s="2631">
        <f t="shared" si="1140"/>
        <v>0</v>
      </c>
      <c r="FY340" s="81" t="e">
        <f t="shared" si="1130"/>
        <v>#N/A</v>
      </c>
      <c r="FZ340" s="64" t="e">
        <f t="array" ref="FZ340">MATCH(1,($GT340:$LQ340&gt;0)*$GT$25:$LQ$25,0)</f>
        <v>#N/A</v>
      </c>
      <c r="GA340" s="64" t="e">
        <f t="array" ref="GA340">MATCH(2,1/(GT340:LQ340&gt;0))</f>
        <v>#N/A</v>
      </c>
      <c r="GB340" s="64">
        <f t="shared" si="1118"/>
        <v>-1</v>
      </c>
      <c r="GC340" s="46"/>
      <c r="GD340" s="613"/>
      <c r="GE340" s="613"/>
      <c r="GF340" s="613"/>
      <c r="GG340" s="613"/>
      <c r="GH340" s="613"/>
      <c r="GI340" s="613"/>
      <c r="GJ340" s="613"/>
      <c r="GK340" s="613"/>
      <c r="GL340" s="613"/>
      <c r="GM340" s="613"/>
      <c r="GN340" s="385">
        <f t="shared" si="1157"/>
        <v>0</v>
      </c>
      <c r="GO340" s="386">
        <f t="shared" si="1158"/>
        <v>0</v>
      </c>
      <c r="GP340" s="2635"/>
      <c r="GQ340" s="175"/>
      <c r="GR340" s="172"/>
      <c r="GS340" s="65"/>
      <c r="GT340" s="167"/>
      <c r="GU340" s="168"/>
      <c r="GV340" s="168"/>
      <c r="GW340" s="168"/>
      <c r="GX340" s="168"/>
      <c r="GY340" s="168"/>
      <c r="GZ340" s="168"/>
      <c r="HA340" s="168"/>
      <c r="HB340" s="168"/>
      <c r="HC340" s="168"/>
      <c r="HD340" s="168"/>
      <c r="HE340" s="168"/>
      <c r="HF340" s="168"/>
      <c r="HG340" s="168"/>
      <c r="HH340" s="168"/>
      <c r="HI340" s="168"/>
      <c r="HJ340" s="168"/>
      <c r="HK340" s="168"/>
      <c r="HL340" s="168"/>
      <c r="HM340" s="168"/>
      <c r="HN340" s="168"/>
      <c r="HO340" s="168"/>
      <c r="HP340" s="168"/>
      <c r="HQ340" s="168"/>
      <c r="HR340" s="168"/>
      <c r="HS340" s="168"/>
      <c r="HT340" s="168"/>
      <c r="HU340" s="168"/>
      <c r="HV340" s="168"/>
      <c r="HW340" s="168"/>
      <c r="HX340" s="168"/>
      <c r="HY340" s="168"/>
      <c r="HZ340" s="168"/>
      <c r="IA340" s="168"/>
      <c r="IB340" s="168"/>
      <c r="IC340" s="168"/>
      <c r="ID340" s="168"/>
      <c r="IE340" s="168"/>
      <c r="IF340" s="168"/>
      <c r="IG340" s="168"/>
      <c r="IH340" s="168"/>
      <c r="II340" s="168"/>
      <c r="IJ340" s="168"/>
      <c r="IK340" s="168"/>
      <c r="IL340" s="168"/>
      <c r="IM340" s="168"/>
      <c r="IN340" s="168"/>
      <c r="IO340" s="168"/>
      <c r="IP340" s="168"/>
      <c r="IQ340" s="168"/>
      <c r="IR340" s="168"/>
      <c r="IS340" s="168"/>
      <c r="IT340" s="168"/>
      <c r="IU340" s="168"/>
      <c r="IV340" s="168"/>
      <c r="IW340" s="168"/>
      <c r="IX340" s="168"/>
      <c r="IY340" s="168"/>
      <c r="IZ340" s="168"/>
      <c r="JA340" s="168"/>
      <c r="JB340" s="168"/>
      <c r="JC340" s="168"/>
      <c r="JD340" s="168"/>
      <c r="JE340" s="168"/>
      <c r="JF340" s="168"/>
      <c r="JG340" s="168"/>
      <c r="JH340" s="168"/>
      <c r="JI340" s="168"/>
      <c r="JJ340" s="168"/>
      <c r="JK340" s="168"/>
      <c r="JL340" s="168"/>
      <c r="JM340" s="168"/>
      <c r="JN340" s="168"/>
      <c r="JO340" s="168"/>
      <c r="JP340" s="168"/>
      <c r="JQ340" s="168"/>
      <c r="JR340" s="168"/>
      <c r="JS340" s="168"/>
      <c r="JT340" s="168"/>
      <c r="JU340" s="168"/>
      <c r="JV340" s="168"/>
      <c r="JW340" s="168"/>
      <c r="JX340" s="168"/>
      <c r="JY340" s="168"/>
      <c r="JZ340" s="168"/>
      <c r="KA340" s="168"/>
      <c r="KB340" s="168"/>
      <c r="KC340" s="168"/>
      <c r="KD340" s="168"/>
      <c r="KE340" s="168"/>
      <c r="KF340" s="168"/>
      <c r="KG340" s="168"/>
      <c r="KH340" s="168"/>
      <c r="KI340" s="168"/>
      <c r="KJ340" s="168"/>
      <c r="KK340" s="168"/>
      <c r="KL340" s="168"/>
      <c r="KM340" s="168"/>
      <c r="KN340" s="168"/>
      <c r="KO340" s="168"/>
      <c r="KP340" s="168"/>
      <c r="KQ340" s="168"/>
      <c r="KR340" s="168"/>
      <c r="KS340" s="168"/>
      <c r="KT340" s="168"/>
      <c r="KU340" s="168"/>
      <c r="KV340" s="168"/>
      <c r="KW340" s="168"/>
      <c r="KX340" s="168"/>
      <c r="KY340" s="168"/>
      <c r="KZ340" s="168"/>
      <c r="LA340" s="168"/>
      <c r="LB340" s="168"/>
      <c r="LC340" s="168"/>
      <c r="LD340" s="168"/>
      <c r="LE340" s="168"/>
      <c r="LF340" s="168"/>
      <c r="LG340" s="168"/>
      <c r="LH340" s="168"/>
      <c r="LI340" s="168"/>
      <c r="LJ340" s="168"/>
      <c r="LK340" s="168"/>
      <c r="LL340" s="168"/>
      <c r="LM340" s="168"/>
      <c r="LN340" s="168"/>
      <c r="LO340" s="168"/>
      <c r="LP340" s="606"/>
      <c r="LQ340" s="609"/>
      <c r="LR340" s="1319"/>
      <c r="LS340" s="1319"/>
    </row>
    <row r="341" spans="1:331" s="2" customFormat="1" ht="15" customHeight="1" x14ac:dyDescent="0.25">
      <c r="A341" s="283"/>
      <c r="B341" s="303"/>
      <c r="C341" s="301"/>
      <c r="D341" s="1412"/>
      <c r="E341" s="2298"/>
      <c r="F341" s="1812"/>
      <c r="G341" s="3342"/>
      <c r="H341" s="66"/>
      <c r="I341" s="1746"/>
      <c r="J341" s="1214"/>
      <c r="K341" s="105"/>
      <c r="L341" s="91"/>
      <c r="M341" s="92"/>
      <c r="N341" s="93"/>
      <c r="O341" s="94"/>
      <c r="P341" s="94"/>
      <c r="Q341" s="97"/>
      <c r="R341" s="993">
        <f t="shared" si="1147"/>
        <v>0</v>
      </c>
      <c r="S341" s="23">
        <f t="shared" si="1148"/>
        <v>0</v>
      </c>
      <c r="T341" s="24">
        <f t="shared" si="1071"/>
        <v>0</v>
      </c>
      <c r="U341" s="24">
        <f t="shared" si="1072"/>
        <v>0</v>
      </c>
      <c r="V341" s="24">
        <f t="shared" si="1073"/>
        <v>0</v>
      </c>
      <c r="W341" s="24">
        <f t="shared" ca="1" si="1074"/>
        <v>0</v>
      </c>
      <c r="X341" s="72">
        <f t="shared" ca="1" si="1119"/>
        <v>0</v>
      </c>
      <c r="Y341" s="72">
        <f t="shared" si="1075"/>
        <v>0</v>
      </c>
      <c r="Z341" s="24">
        <f t="shared" si="1076"/>
        <v>0</v>
      </c>
      <c r="AA341" s="72">
        <f t="shared" si="1120"/>
        <v>0</v>
      </c>
      <c r="AB341" s="24">
        <f t="shared" si="1131"/>
        <v>0</v>
      </c>
      <c r="AC341" s="24">
        <f t="shared" ca="1" si="1077"/>
        <v>0</v>
      </c>
      <c r="AD341" s="24">
        <f t="shared" si="1049"/>
        <v>0</v>
      </c>
      <c r="AE341" s="2078">
        <f t="shared" si="1125"/>
        <v>3</v>
      </c>
      <c r="AF341" s="2078">
        <f t="shared" si="1126"/>
        <v>0</v>
      </c>
      <c r="AG341" s="2078">
        <f t="shared" si="1127"/>
        <v>0</v>
      </c>
      <c r="AH341" s="2521">
        <f t="shared" si="1050"/>
        <v>1</v>
      </c>
      <c r="AI341" s="25" t="str">
        <f t="shared" si="1078"/>
        <v/>
      </c>
      <c r="AJ341" s="2521">
        <f t="shared" ca="1" si="1045"/>
        <v>0</v>
      </c>
      <c r="AK341" s="2076">
        <f t="shared" ca="1" si="1041"/>
        <v>0</v>
      </c>
      <c r="AL341" s="2078">
        <f>IF(ISBLANK(J341),0,ISERROR(MATCH(J341,'5  Control Accounts'!$FA$29:$FA$96,0))*1)</f>
        <v>0</v>
      </c>
      <c r="AM341" s="2076">
        <f t="shared" si="1079"/>
        <v>0</v>
      </c>
      <c r="AN341" s="2078">
        <f t="shared" si="1080"/>
        <v>1</v>
      </c>
      <c r="AO341" s="2079">
        <f t="shared" si="1051"/>
        <v>1</v>
      </c>
      <c r="AP341" s="2079">
        <f t="shared" si="1052"/>
        <v>0</v>
      </c>
      <c r="AQ341" s="2079">
        <f t="shared" si="1053"/>
        <v>0</v>
      </c>
      <c r="AR341" s="2079">
        <f t="shared" si="1054"/>
        <v>0</v>
      </c>
      <c r="AS341" s="2079">
        <f t="shared" si="1055"/>
        <v>0</v>
      </c>
      <c r="AT341" s="2079">
        <f t="shared" si="1056"/>
        <v>0</v>
      </c>
      <c r="AU341" s="2079">
        <f t="shared" si="1057"/>
        <v>0</v>
      </c>
      <c r="AV341" s="2079">
        <f t="shared" si="1058"/>
        <v>0</v>
      </c>
      <c r="AW341" s="2079">
        <f t="shared" si="1059"/>
        <v>0</v>
      </c>
      <c r="AX341" s="2079">
        <f t="shared" si="1060"/>
        <v>0</v>
      </c>
      <c r="AY341" s="2078">
        <f t="shared" si="1081"/>
        <v>0</v>
      </c>
      <c r="AZ341" s="2078">
        <f t="shared" si="1082"/>
        <v>0</v>
      </c>
      <c r="BA341" s="2078">
        <f t="shared" si="1083"/>
        <v>0</v>
      </c>
      <c r="BB341" s="2078">
        <f t="shared" si="1084"/>
        <v>0</v>
      </c>
      <c r="BC341" s="2078">
        <f t="shared" si="1085"/>
        <v>0</v>
      </c>
      <c r="BD341" s="2078">
        <f t="shared" si="1086"/>
        <v>0</v>
      </c>
      <c r="BE341" s="2078">
        <f t="shared" si="1087"/>
        <v>0</v>
      </c>
      <c r="BF341" s="2078">
        <f t="shared" si="1088"/>
        <v>0</v>
      </c>
      <c r="BG341" s="2078">
        <f t="shared" si="1089"/>
        <v>0</v>
      </c>
      <c r="BH341" s="2078">
        <f t="shared" si="1090"/>
        <v>0</v>
      </c>
      <c r="BI341" s="2078">
        <f t="shared" si="1091"/>
        <v>0</v>
      </c>
      <c r="BJ341" s="2078">
        <f t="shared" si="1092"/>
        <v>0</v>
      </c>
      <c r="BK341" s="2078">
        <f t="shared" si="1093"/>
        <v>0</v>
      </c>
      <c r="BL341" s="2078">
        <f t="shared" si="1094"/>
        <v>0</v>
      </c>
      <c r="BM341" s="2078">
        <f t="shared" si="1095"/>
        <v>0</v>
      </c>
      <c r="BN341" s="2078">
        <f t="shared" si="1096"/>
        <v>0</v>
      </c>
      <c r="BO341" s="2078">
        <f t="shared" si="1097"/>
        <v>0</v>
      </c>
      <c r="BP341" s="2078">
        <f t="shared" si="1098"/>
        <v>0</v>
      </c>
      <c r="BQ341" s="2078">
        <f t="shared" si="1099"/>
        <v>0</v>
      </c>
      <c r="BR341" s="2078">
        <f t="shared" si="1100"/>
        <v>0</v>
      </c>
      <c r="BS341" s="2079">
        <f t="shared" si="1061"/>
        <v>1</v>
      </c>
      <c r="BT341" s="2079">
        <f t="shared" si="1062"/>
        <v>0</v>
      </c>
      <c r="BU341" s="2079">
        <f t="shared" si="1063"/>
        <v>0</v>
      </c>
      <c r="BV341" s="2079">
        <f t="shared" si="1064"/>
        <v>0</v>
      </c>
      <c r="BW341" s="2079">
        <f t="shared" si="1065"/>
        <v>0</v>
      </c>
      <c r="BX341" s="2079">
        <f t="shared" si="1066"/>
        <v>0</v>
      </c>
      <c r="BY341" s="2079">
        <f t="shared" si="1067"/>
        <v>0</v>
      </c>
      <c r="BZ341" s="2079">
        <f t="shared" si="1068"/>
        <v>0</v>
      </c>
      <c r="CA341" s="2079">
        <f t="shared" si="1069"/>
        <v>0</v>
      </c>
      <c r="CB341" s="2079">
        <f t="shared" si="1070"/>
        <v>0</v>
      </c>
      <c r="CC341" s="2078">
        <f t="shared" ca="1" si="1101"/>
        <v>0</v>
      </c>
      <c r="CD341" s="2078">
        <f t="shared" ca="1" si="1102"/>
        <v>0</v>
      </c>
      <c r="CE341" s="2078">
        <f t="shared" ca="1" si="1103"/>
        <v>0</v>
      </c>
      <c r="CF341" s="2078">
        <f t="shared" ca="1" si="1104"/>
        <v>0</v>
      </c>
      <c r="CG341" s="2078">
        <f t="shared" ca="1" si="1105"/>
        <v>0</v>
      </c>
      <c r="CH341" s="2078">
        <f t="shared" ca="1" si="1106"/>
        <v>0</v>
      </c>
      <c r="CI341" s="2078">
        <f t="shared" ca="1" si="1107"/>
        <v>0</v>
      </c>
      <c r="CJ341" s="2078">
        <f t="shared" ca="1" si="1108"/>
        <v>0</v>
      </c>
      <c r="CK341" s="2078">
        <f t="shared" ca="1" si="1109"/>
        <v>0</v>
      </c>
      <c r="CL341" s="2078">
        <f t="shared" ca="1" si="1110"/>
        <v>0</v>
      </c>
      <c r="CM341" s="2078">
        <f t="shared" si="1132"/>
        <v>1</v>
      </c>
      <c r="CN341" s="2078">
        <f t="shared" si="1133"/>
        <v>1</v>
      </c>
      <c r="CO341" s="2078">
        <f t="shared" si="1121"/>
        <v>1</v>
      </c>
      <c r="CP341" s="2078">
        <f t="shared" si="1111"/>
        <v>1</v>
      </c>
      <c r="CQ341" s="2078">
        <f t="shared" si="1122"/>
        <v>0</v>
      </c>
      <c r="CR341" s="2078">
        <f t="shared" si="1042"/>
        <v>0</v>
      </c>
      <c r="CS341" s="2078">
        <f t="shared" si="1112"/>
        <v>0</v>
      </c>
      <c r="CT341" s="2078">
        <f t="shared" si="1123"/>
        <v>1</v>
      </c>
      <c r="CU341" s="2078">
        <f t="shared" si="1113"/>
        <v>1</v>
      </c>
      <c r="CV341" s="2078">
        <f t="shared" si="1134"/>
        <v>0</v>
      </c>
      <c r="CW341" s="2078">
        <f>IF(OR(AE341&lt;&gt;3,F341="Exclude"),0,IF(ISERROR(MATCH($E341,'4 Sign-off'!$S$123:$X$123,0)),0,1))</f>
        <v>0</v>
      </c>
      <c r="CX341" s="2078">
        <f t="shared" si="1154"/>
        <v>0</v>
      </c>
      <c r="CY341" s="2078">
        <f t="shared" si="1135"/>
        <v>0</v>
      </c>
      <c r="CZ341" s="2993">
        <f t="shared" ca="1" si="1149"/>
        <v>0</v>
      </c>
      <c r="DA341" s="3037">
        <f t="shared" ca="1" si="1150"/>
        <v>0</v>
      </c>
      <c r="DB341" s="1664"/>
      <c r="DC341" s="1320"/>
      <c r="DD341" s="589"/>
      <c r="DE341" s="1321"/>
      <c r="DF341" s="107"/>
      <c r="DG341" s="112"/>
      <c r="DH341" s="140"/>
      <c r="DI341" s="22"/>
      <c r="DJ341" s="145"/>
      <c r="DK341" s="137"/>
      <c r="DL341" s="137"/>
      <c r="DM341" s="137"/>
      <c r="DN341" s="137"/>
      <c r="DO341" s="137"/>
      <c r="DP341" s="137"/>
      <c r="DQ341" s="137"/>
      <c r="DR341" s="137"/>
      <c r="DS341" s="137"/>
      <c r="DT341" s="137"/>
      <c r="DU341" s="137"/>
      <c r="DV341" s="137"/>
      <c r="DW341" s="137"/>
      <c r="DX341" s="137"/>
      <c r="DY341" s="137"/>
      <c r="DZ341" s="137"/>
      <c r="EA341" s="137"/>
      <c r="EB341" s="137"/>
      <c r="EC341" s="137"/>
      <c r="ED341" s="137"/>
      <c r="EE341" s="137"/>
      <c r="EF341" s="137"/>
      <c r="EG341" s="137"/>
      <c r="EH341" s="137"/>
      <c r="EI341" s="137"/>
      <c r="EJ341" s="137"/>
      <c r="EK341" s="137"/>
      <c r="EL341" s="137"/>
      <c r="EM341" s="137"/>
      <c r="EN341" s="137"/>
      <c r="EO341" s="137"/>
      <c r="EP341" s="137"/>
      <c r="EQ341" s="137"/>
      <c r="ER341" s="137"/>
      <c r="ES341" s="137"/>
      <c r="ET341" s="137"/>
      <c r="EU341" s="137"/>
      <c r="EV341" s="137"/>
      <c r="EW341" s="137"/>
      <c r="EX341" s="137"/>
      <c r="EY341" s="137"/>
      <c r="EZ341" s="137"/>
      <c r="FA341" s="137"/>
      <c r="FB341" s="137"/>
      <c r="FC341" s="137"/>
      <c r="FD341" s="137"/>
      <c r="FE341" s="137"/>
      <c r="FF341" s="137"/>
      <c r="FG341" s="860"/>
      <c r="FH341" s="863"/>
      <c r="FI341" s="1318"/>
      <c r="FJ341" s="126"/>
      <c r="FK341" s="127"/>
      <c r="FL341" s="128" t="str">
        <f t="shared" si="1114"/>
        <v xml:space="preserve">    </v>
      </c>
      <c r="FM341" s="128"/>
      <c r="FN341" s="1686">
        <f t="shared" si="1115"/>
        <v>0</v>
      </c>
      <c r="FO341" s="46">
        <f t="shared" si="1136"/>
        <v>0</v>
      </c>
      <c r="FP341" s="46">
        <f t="shared" si="1155"/>
        <v>1</v>
      </c>
      <c r="FQ341" s="75">
        <f t="shared" si="1116"/>
        <v>0</v>
      </c>
      <c r="FR341" s="46">
        <f t="shared" si="1156"/>
        <v>0</v>
      </c>
      <c r="FS341" s="46">
        <f t="shared" si="1129"/>
        <v>1</v>
      </c>
      <c r="FT341" s="75">
        <f t="shared" si="1117"/>
        <v>0</v>
      </c>
      <c r="FU341" s="2603">
        <f t="shared" si="1137"/>
        <v>0</v>
      </c>
      <c r="FV341" s="2607">
        <f t="shared" si="1138"/>
        <v>0</v>
      </c>
      <c r="FW341" s="2603">
        <f t="shared" si="1139"/>
        <v>0</v>
      </c>
      <c r="FX341" s="2631">
        <f t="shared" si="1140"/>
        <v>0</v>
      </c>
      <c r="FY341" s="81" t="e">
        <f t="shared" si="1130"/>
        <v>#N/A</v>
      </c>
      <c r="FZ341" s="64" t="e">
        <f t="array" ref="FZ341">MATCH(1,($GT341:$LQ341&gt;0)*$GT$25:$LQ$25,0)</f>
        <v>#N/A</v>
      </c>
      <c r="GA341" s="64" t="e">
        <f t="array" ref="GA341">MATCH(2,1/(GT341:LQ341&gt;0))</f>
        <v>#N/A</v>
      </c>
      <c r="GB341" s="64">
        <f t="shared" si="1118"/>
        <v>-1</v>
      </c>
      <c r="GC341" s="46"/>
      <c r="GD341" s="613"/>
      <c r="GE341" s="613"/>
      <c r="GF341" s="613"/>
      <c r="GG341" s="613"/>
      <c r="GH341" s="613"/>
      <c r="GI341" s="613"/>
      <c r="GJ341" s="613"/>
      <c r="GK341" s="613"/>
      <c r="GL341" s="613"/>
      <c r="GM341" s="613"/>
      <c r="GN341" s="385">
        <f t="shared" si="1157"/>
        <v>0</v>
      </c>
      <c r="GO341" s="386">
        <f t="shared" si="1158"/>
        <v>0</v>
      </c>
      <c r="GP341" s="2635"/>
      <c r="GQ341" s="175"/>
      <c r="GR341" s="172"/>
      <c r="GS341" s="65"/>
      <c r="GT341" s="167"/>
      <c r="GU341" s="168"/>
      <c r="GV341" s="168"/>
      <c r="GW341" s="168"/>
      <c r="GX341" s="168"/>
      <c r="GY341" s="168"/>
      <c r="GZ341" s="168"/>
      <c r="HA341" s="168"/>
      <c r="HB341" s="168"/>
      <c r="HC341" s="168"/>
      <c r="HD341" s="168"/>
      <c r="HE341" s="168"/>
      <c r="HF341" s="168"/>
      <c r="HG341" s="168"/>
      <c r="HH341" s="168"/>
      <c r="HI341" s="168"/>
      <c r="HJ341" s="168"/>
      <c r="HK341" s="168"/>
      <c r="HL341" s="168"/>
      <c r="HM341" s="168"/>
      <c r="HN341" s="168"/>
      <c r="HO341" s="168"/>
      <c r="HP341" s="168"/>
      <c r="HQ341" s="168"/>
      <c r="HR341" s="168"/>
      <c r="HS341" s="168"/>
      <c r="HT341" s="168"/>
      <c r="HU341" s="168"/>
      <c r="HV341" s="168"/>
      <c r="HW341" s="168"/>
      <c r="HX341" s="168"/>
      <c r="HY341" s="168"/>
      <c r="HZ341" s="168"/>
      <c r="IA341" s="168"/>
      <c r="IB341" s="168"/>
      <c r="IC341" s="168"/>
      <c r="ID341" s="168"/>
      <c r="IE341" s="168"/>
      <c r="IF341" s="168"/>
      <c r="IG341" s="168"/>
      <c r="IH341" s="168"/>
      <c r="II341" s="168"/>
      <c r="IJ341" s="168"/>
      <c r="IK341" s="168"/>
      <c r="IL341" s="168"/>
      <c r="IM341" s="168"/>
      <c r="IN341" s="168"/>
      <c r="IO341" s="168"/>
      <c r="IP341" s="168"/>
      <c r="IQ341" s="168"/>
      <c r="IR341" s="168"/>
      <c r="IS341" s="168"/>
      <c r="IT341" s="168"/>
      <c r="IU341" s="168"/>
      <c r="IV341" s="168"/>
      <c r="IW341" s="168"/>
      <c r="IX341" s="168"/>
      <c r="IY341" s="168"/>
      <c r="IZ341" s="168"/>
      <c r="JA341" s="168"/>
      <c r="JB341" s="168"/>
      <c r="JC341" s="168"/>
      <c r="JD341" s="168"/>
      <c r="JE341" s="168"/>
      <c r="JF341" s="168"/>
      <c r="JG341" s="168"/>
      <c r="JH341" s="168"/>
      <c r="JI341" s="168"/>
      <c r="JJ341" s="168"/>
      <c r="JK341" s="168"/>
      <c r="JL341" s="168"/>
      <c r="JM341" s="168"/>
      <c r="JN341" s="168"/>
      <c r="JO341" s="168"/>
      <c r="JP341" s="168"/>
      <c r="JQ341" s="168"/>
      <c r="JR341" s="168"/>
      <c r="JS341" s="168"/>
      <c r="JT341" s="168"/>
      <c r="JU341" s="168"/>
      <c r="JV341" s="168"/>
      <c r="JW341" s="168"/>
      <c r="JX341" s="168"/>
      <c r="JY341" s="168"/>
      <c r="JZ341" s="168"/>
      <c r="KA341" s="168"/>
      <c r="KB341" s="168"/>
      <c r="KC341" s="168"/>
      <c r="KD341" s="168"/>
      <c r="KE341" s="168"/>
      <c r="KF341" s="168"/>
      <c r="KG341" s="168"/>
      <c r="KH341" s="168"/>
      <c r="KI341" s="168"/>
      <c r="KJ341" s="168"/>
      <c r="KK341" s="168"/>
      <c r="KL341" s="168"/>
      <c r="KM341" s="168"/>
      <c r="KN341" s="168"/>
      <c r="KO341" s="168"/>
      <c r="KP341" s="168"/>
      <c r="KQ341" s="168"/>
      <c r="KR341" s="168"/>
      <c r="KS341" s="168"/>
      <c r="KT341" s="168"/>
      <c r="KU341" s="168"/>
      <c r="KV341" s="168"/>
      <c r="KW341" s="168"/>
      <c r="KX341" s="168"/>
      <c r="KY341" s="168"/>
      <c r="KZ341" s="168"/>
      <c r="LA341" s="168"/>
      <c r="LB341" s="168"/>
      <c r="LC341" s="168"/>
      <c r="LD341" s="168"/>
      <c r="LE341" s="168"/>
      <c r="LF341" s="168"/>
      <c r="LG341" s="168"/>
      <c r="LH341" s="168"/>
      <c r="LI341" s="168"/>
      <c r="LJ341" s="168"/>
      <c r="LK341" s="168"/>
      <c r="LL341" s="168"/>
      <c r="LM341" s="168"/>
      <c r="LN341" s="168"/>
      <c r="LO341" s="168"/>
      <c r="LP341" s="606"/>
      <c r="LQ341" s="609"/>
      <c r="LR341" s="1319"/>
      <c r="LS341" s="1319"/>
    </row>
    <row r="342" spans="1:331" s="2" customFormat="1" ht="15" customHeight="1" x14ac:dyDescent="0.25">
      <c r="A342" s="283"/>
      <c r="B342" s="303"/>
      <c r="C342" s="301"/>
      <c r="D342" s="1287"/>
      <c r="E342" s="2298"/>
      <c r="F342" s="1812"/>
      <c r="G342" s="3342"/>
      <c r="H342" s="66"/>
      <c r="I342" s="1746"/>
      <c r="J342" s="1214"/>
      <c r="K342" s="105"/>
      <c r="L342" s="91"/>
      <c r="M342" s="92"/>
      <c r="N342" s="93"/>
      <c r="O342" s="94"/>
      <c r="P342" s="94"/>
      <c r="Q342" s="97"/>
      <c r="R342" s="993">
        <f t="shared" si="1147"/>
        <v>0</v>
      </c>
      <c r="S342" s="23">
        <f t="shared" si="1148"/>
        <v>0</v>
      </c>
      <c r="T342" s="24">
        <f t="shared" ref="T342:T364" si="1159">IF($AE342&lt;&gt;3,0,SUM($DJ342:$FH342)*$AN342*$AH342)</f>
        <v>0</v>
      </c>
      <c r="U342" s="24">
        <f t="shared" ref="U342:U364" si="1160">IF($AE342&lt;&gt;3,0,SUM($DJ342:$FH342)*$AN342*(1-$AH342))</f>
        <v>0</v>
      </c>
      <c r="V342" s="24">
        <f t="shared" ref="V342:V364" si="1161">IF($AE342&lt;&gt;3,0,SUMPRODUCT($DJ342:$FH342,$DJ$30:$FH$30)*$AN342*AH342)</f>
        <v>0</v>
      </c>
      <c r="W342" s="24">
        <f t="shared" ref="W342:W364" ca="1" si="1162">IFERROR(X342*SUMPRODUCT($DJ342:$FH342,$DJ$29:$FH$29)/SUM($DJ342:$FH342),0)</f>
        <v>0</v>
      </c>
      <c r="X342" s="72">
        <f t="shared" ca="1" si="1119"/>
        <v>0</v>
      </c>
      <c r="Y342" s="72">
        <f t="shared" ref="Y342:Y364" si="1163">IF($AE342=3,SUMPRODUCT($AO342:$AX342,BI342:BR342),0)</f>
        <v>0</v>
      </c>
      <c r="Z342" s="24">
        <f t="shared" ref="Z342:Z364" si="1164">IF($AE342=3,SUMPRODUCT($AO342:$AX342,AY342:BH342),0)</f>
        <v>0</v>
      </c>
      <c r="AA342" s="72">
        <f t="shared" si="1120"/>
        <v>0</v>
      </c>
      <c r="AB342" s="24">
        <f t="shared" si="1131"/>
        <v>0</v>
      </c>
      <c r="AC342" s="24">
        <f t="shared" ref="AC342:AC364" ca="1" si="1165">IF($AE342=3,SUMPRODUCT($DJ342:$FH342,$DJ$24:$FH$24)*AN342,0)</f>
        <v>0</v>
      </c>
      <c r="AD342" s="24">
        <f t="shared" si="1049"/>
        <v>0</v>
      </c>
      <c r="AE342" s="2078">
        <f t="shared" si="1125"/>
        <v>3</v>
      </c>
      <c r="AF342" s="2078">
        <f t="shared" si="1126"/>
        <v>0</v>
      </c>
      <c r="AG342" s="2078">
        <f t="shared" si="1127"/>
        <v>0</v>
      </c>
      <c r="AH342" s="2521">
        <f t="shared" si="1050"/>
        <v>1</v>
      </c>
      <c r="AI342" s="25" t="str">
        <f t="shared" ref="AI342:AI364" si="1166">LEFT(J342,1)</f>
        <v/>
      </c>
      <c r="AJ342" s="2521">
        <f t="shared" ca="1" si="1045"/>
        <v>0</v>
      </c>
      <c r="AK342" s="2076">
        <f t="shared" ca="1" si="1041"/>
        <v>0</v>
      </c>
      <c r="AL342" s="2078">
        <f>IF(ISBLANK(J342),0,ISERROR(MATCH(J342,'5  Control Accounts'!$FA$29:$FA$96,0))*1)</f>
        <v>0</v>
      </c>
      <c r="AM342" s="2076">
        <f t="shared" ref="AM342:AM364" si="1167">AND($C$6,(T342+U342+AB342)&lt;&gt;0,$F342&lt;&gt;"Exclude",ISBLANK(J342))*1</f>
        <v>0</v>
      </c>
      <c r="AN342" s="2078">
        <f t="shared" ref="AN342:AN364" si="1168">IF(DE342&gt;0,0,IF(GR342="T",FQ342*(1+B342),IF(ISBLANK(DH342),1+B342,DH342*(1+B342))*IF(FO342="P",1-GP342,1)))</f>
        <v>1</v>
      </c>
      <c r="AO342" s="2079">
        <f t="shared" si="1051"/>
        <v>1</v>
      </c>
      <c r="AP342" s="2079">
        <f t="shared" si="1052"/>
        <v>0</v>
      </c>
      <c r="AQ342" s="2079">
        <f t="shared" si="1053"/>
        <v>0</v>
      </c>
      <c r="AR342" s="2079">
        <f t="shared" si="1054"/>
        <v>0</v>
      </c>
      <c r="AS342" s="2079">
        <f t="shared" si="1055"/>
        <v>0</v>
      </c>
      <c r="AT342" s="2079">
        <f t="shared" si="1056"/>
        <v>0</v>
      </c>
      <c r="AU342" s="2079">
        <f t="shared" si="1057"/>
        <v>0</v>
      </c>
      <c r="AV342" s="2079">
        <f t="shared" si="1058"/>
        <v>0</v>
      </c>
      <c r="AW342" s="2079">
        <f t="shared" si="1059"/>
        <v>0</v>
      </c>
      <c r="AX342" s="2079">
        <f t="shared" si="1060"/>
        <v>0</v>
      </c>
      <c r="AY342" s="2078">
        <f t="shared" ref="AY342:AY364" si="1169">IF($AE342=3,SUMPRODUCT($DJ$45:$FH$45,$DJ342:$FH342)*$AN342,0)</f>
        <v>0</v>
      </c>
      <c r="AZ342" s="2078">
        <f t="shared" ref="AZ342:AZ364" si="1170">IF($AE342=3,SUMPRODUCT($DJ$46:$FH$46,$DJ342:$FH342)*$AN342,0)</f>
        <v>0</v>
      </c>
      <c r="BA342" s="2078">
        <f t="shared" ref="BA342:BA364" si="1171">IF($AE342=3,SUMPRODUCT($DJ$47:$FH$47,$DJ342:$FH342)*$AN342,0)</f>
        <v>0</v>
      </c>
      <c r="BB342" s="2078">
        <f t="shared" ref="BB342:BB364" si="1172">IF($AE342=3,SUMPRODUCT($DJ$48:$FH$48,$DJ342:$FH342)*$AN342,0)</f>
        <v>0</v>
      </c>
      <c r="BC342" s="2078">
        <f t="shared" ref="BC342:BC364" si="1173">IF($AE342=3,SUMPRODUCT($DJ$49:$FH$49,$DJ342:$FH342)*$AN342,0)</f>
        <v>0</v>
      </c>
      <c r="BD342" s="2078">
        <f t="shared" ref="BD342:BD364" si="1174">IF($AE342=3,SUMPRODUCT($DJ$50:$FH$50,$DJ342:$FH342)*$AN342,0)</f>
        <v>0</v>
      </c>
      <c r="BE342" s="2078">
        <f t="shared" ref="BE342:BE364" si="1175">IF($AE342=3,SUMPRODUCT($DJ$51:$FH$51,$DJ342:$FH342)*$AN342,0)</f>
        <v>0</v>
      </c>
      <c r="BF342" s="2078">
        <f t="shared" ref="BF342:BF364" si="1176">IF($AE342=3,SUMPRODUCT($DJ$52:$FH$52,$DJ342:$FH342)*$AN342,0)</f>
        <v>0</v>
      </c>
      <c r="BG342" s="2078">
        <f t="shared" ref="BG342:BG364" si="1177">IF($AE342=3,SUMPRODUCT($DJ$53:$FH$53,$DJ342:$FH342)*$AN342,0)</f>
        <v>0</v>
      </c>
      <c r="BH342" s="2078">
        <f t="shared" ref="BH342:BH364" si="1178">IF($AE342=3,SUMPRODUCT($DJ$54:$FH$54,$DJ342:$FH342)*$AN342,0)</f>
        <v>0</v>
      </c>
      <c r="BI342" s="2078">
        <f t="shared" ref="BI342:BI364" si="1179">IF($AE342=3,SUMPRODUCT($DJ$56:$FH$56,$DJ342:$FH342)*$AN342,0)</f>
        <v>0</v>
      </c>
      <c r="BJ342" s="2078">
        <f t="shared" ref="BJ342:BJ364" si="1180">IF($AE342=3,SUMPRODUCT($DJ$57:$FH$57,$DJ342:$FH342)*$AN342,0)</f>
        <v>0</v>
      </c>
      <c r="BK342" s="2078">
        <f t="shared" ref="BK342:BK364" si="1181">IF($AE342=3,SUMPRODUCT($DJ$58:$FH$58,$DJ342:$FH342)*$AN342,0)</f>
        <v>0</v>
      </c>
      <c r="BL342" s="2078">
        <f t="shared" ref="BL342:BL364" si="1182">IF($AE342=3,SUMPRODUCT($DJ$59:$FH$59,$DJ342:$FH342)*$AN342,0)</f>
        <v>0</v>
      </c>
      <c r="BM342" s="2078">
        <f t="shared" ref="BM342:BM364" si="1183">IF($AE342=3,SUMPRODUCT($DJ$60:$FH$60,$DJ342:$FH342)*$AN342,0)</f>
        <v>0</v>
      </c>
      <c r="BN342" s="2078">
        <f t="shared" ref="BN342:BN364" si="1184">IF($AE342=3,SUMPRODUCT($DJ$61:$FH$61,$DJ342:$FH342)*$AN342,0)</f>
        <v>0</v>
      </c>
      <c r="BO342" s="2078">
        <f t="shared" ref="BO342:BO364" si="1185">IF($AE342=3,SUMPRODUCT($DJ$62:$FH$62,$DJ342:$FH342)*$AN342,0)</f>
        <v>0</v>
      </c>
      <c r="BP342" s="2078">
        <f t="shared" ref="BP342:BP364" si="1186">IF($AE342=3,SUMPRODUCT($DJ$63:$FH$63,$DJ342:$FH342)*$AN342,0)</f>
        <v>0</v>
      </c>
      <c r="BQ342" s="2078">
        <f t="shared" ref="BQ342:BQ364" si="1187">IF($AE342=3,SUMPRODUCT($DJ$64:$FH$64,$DJ342:$FH342)*$AN342,0)</f>
        <v>0</v>
      </c>
      <c r="BR342" s="2078">
        <f t="shared" ref="BR342:BR364" si="1188">IF($AE342=3,SUMPRODUCT($DJ$65:$FH$65,$DJ342:$FH342)*$AN342,0)</f>
        <v>0</v>
      </c>
      <c r="BS342" s="2079">
        <f t="shared" si="1061"/>
        <v>1</v>
      </c>
      <c r="BT342" s="2079">
        <f t="shared" si="1062"/>
        <v>0</v>
      </c>
      <c r="BU342" s="2079">
        <f t="shared" si="1063"/>
        <v>0</v>
      </c>
      <c r="BV342" s="2079">
        <f t="shared" si="1064"/>
        <v>0</v>
      </c>
      <c r="BW342" s="2079">
        <f t="shared" si="1065"/>
        <v>0</v>
      </c>
      <c r="BX342" s="2079">
        <f t="shared" si="1066"/>
        <v>0</v>
      </c>
      <c r="BY342" s="2079">
        <f t="shared" si="1067"/>
        <v>0</v>
      </c>
      <c r="BZ342" s="2079">
        <f t="shared" si="1068"/>
        <v>0</v>
      </c>
      <c r="CA342" s="2079">
        <f t="shared" si="1069"/>
        <v>0</v>
      </c>
      <c r="CB342" s="2079">
        <f t="shared" si="1070"/>
        <v>0</v>
      </c>
      <c r="CC342" s="2078">
        <f t="shared" ref="CC342:CC364" ca="1" si="1189">IF($AE342=3,SUMPRODUCT($DJ$78:$FH$78,$DJ342:$FH342)*$AN342,0)</f>
        <v>0</v>
      </c>
      <c r="CD342" s="2078">
        <f t="shared" ref="CD342:CD364" ca="1" si="1190">IF($AE342=3,SUMPRODUCT($DJ$79:$FH$79,$DJ342:$FH342)*$AN342,0)</f>
        <v>0</v>
      </c>
      <c r="CE342" s="2078">
        <f t="shared" ref="CE342:CE364" ca="1" si="1191">IF($AE342=3,SUMPRODUCT($DJ$80:$FH$80,$DJ342:$FH342)*$AN342,0)</f>
        <v>0</v>
      </c>
      <c r="CF342" s="2078">
        <f t="shared" ref="CF342:CF364" ca="1" si="1192">IF($AE342=3,SUMPRODUCT($DJ$81:$FH$81,$DJ342:$FH342)*$AN342,0)</f>
        <v>0</v>
      </c>
      <c r="CG342" s="2078">
        <f t="shared" ref="CG342:CG364" ca="1" si="1193">IF($AE342=3,SUMPRODUCT($DJ$82:$FH$82,$DJ342:$FH342)*$AN342,0)</f>
        <v>0</v>
      </c>
      <c r="CH342" s="2078">
        <f t="shared" ref="CH342:CH364" ca="1" si="1194">IF($AE342=3,SUMPRODUCT($DJ$83:$FH$83,$DJ342:$FH342)*$AN342,0)</f>
        <v>0</v>
      </c>
      <c r="CI342" s="2078">
        <f t="shared" ref="CI342:CI364" ca="1" si="1195">IF($AE342=3,SUMPRODUCT($DJ$84:$FH$84,$DJ342:$FH342)*$AN342,0)</f>
        <v>0</v>
      </c>
      <c r="CJ342" s="2078">
        <f t="shared" ref="CJ342:CJ364" ca="1" si="1196">IF($AE342=3,SUMPRODUCT($DJ$85:$FH$85,$DJ342:$FH342)*$AN342,0)</f>
        <v>0</v>
      </c>
      <c r="CK342" s="2078">
        <f t="shared" ref="CK342:CK364" ca="1" si="1197">IF($AE342=3,SUMPRODUCT($DJ$86:$FH$86,$DJ342:$FH342)*$AN342,0)</f>
        <v>0</v>
      </c>
      <c r="CL342" s="2078">
        <f t="shared" ref="CL342:CL364" ca="1" si="1198">IF($AE342=3,SUMPRODUCT($DJ$87:$FH$87,$DJ342:$FH342)*$AN342,0)</f>
        <v>0</v>
      </c>
      <c r="CM342" s="2078">
        <f t="shared" si="1132"/>
        <v>1</v>
      </c>
      <c r="CN342" s="2078">
        <f t="shared" si="1133"/>
        <v>1</v>
      </c>
      <c r="CO342" s="2078">
        <f t="shared" si="1121"/>
        <v>1</v>
      </c>
      <c r="CP342" s="2078">
        <f t="shared" ref="CP342:CP364" si="1199">IF(AE342&lt;&gt;3,0,IF(OR(F342="",F342="Approved",F342="Pend w FC"),1,0))</f>
        <v>1</v>
      </c>
      <c r="CQ342" s="2078">
        <f t="shared" si="1122"/>
        <v>0</v>
      </c>
      <c r="CR342" s="2078">
        <f t="shared" si="1042"/>
        <v>0</v>
      </c>
      <c r="CS342" s="2078">
        <f t="shared" ref="CS342:CS364" si="1200">IF(OR(F342="Pending",F342="Pend w FC"),1,0)</f>
        <v>0</v>
      </c>
      <c r="CT342" s="2078">
        <f t="shared" si="1123"/>
        <v>1</v>
      </c>
      <c r="CU342" s="2078">
        <f t="shared" ref="CU342:CU364" si="1201">IF($AE342&lt;&gt;3,0,IF(F342="",1,0))</f>
        <v>1</v>
      </c>
      <c r="CV342" s="2078">
        <f t="shared" si="1134"/>
        <v>0</v>
      </c>
      <c r="CW342" s="2078">
        <f>IF(OR(AE342&lt;&gt;3,F342="Exclude"),0,IF(ISERROR(MATCH($E342,'4 Sign-off'!$S$123:$X$123,0)),0,1))</f>
        <v>0</v>
      </c>
      <c r="CX342" s="2078">
        <f t="shared" si="1154"/>
        <v>0</v>
      </c>
      <c r="CY342" s="2078">
        <f t="shared" si="1135"/>
        <v>0</v>
      </c>
      <c r="CZ342" s="2993">
        <f t="shared" ca="1" si="1149"/>
        <v>0</v>
      </c>
      <c r="DA342" s="3037">
        <f t="shared" ca="1" si="1150"/>
        <v>0</v>
      </c>
      <c r="DB342" s="1664"/>
      <c r="DC342" s="1320"/>
      <c r="DD342" s="589"/>
      <c r="DE342" s="1321"/>
      <c r="DF342" s="107"/>
      <c r="DG342" s="112"/>
      <c r="DH342" s="140"/>
      <c r="DI342" s="22"/>
      <c r="DJ342" s="145"/>
      <c r="DK342" s="137"/>
      <c r="DL342" s="137"/>
      <c r="DM342" s="137"/>
      <c r="DN342" s="137"/>
      <c r="DO342" s="137"/>
      <c r="DP342" s="137"/>
      <c r="DQ342" s="137"/>
      <c r="DR342" s="137"/>
      <c r="DS342" s="137"/>
      <c r="DT342" s="137"/>
      <c r="DU342" s="137"/>
      <c r="DV342" s="137"/>
      <c r="DW342" s="137"/>
      <c r="DX342" s="137"/>
      <c r="DY342" s="137"/>
      <c r="DZ342" s="137"/>
      <c r="EA342" s="137"/>
      <c r="EB342" s="137"/>
      <c r="EC342" s="137"/>
      <c r="ED342" s="137"/>
      <c r="EE342" s="137"/>
      <c r="EF342" s="137"/>
      <c r="EG342" s="137"/>
      <c r="EH342" s="137"/>
      <c r="EI342" s="137"/>
      <c r="EJ342" s="137"/>
      <c r="EK342" s="137"/>
      <c r="EL342" s="137"/>
      <c r="EM342" s="137"/>
      <c r="EN342" s="137"/>
      <c r="EO342" s="137"/>
      <c r="EP342" s="137"/>
      <c r="EQ342" s="137"/>
      <c r="ER342" s="137"/>
      <c r="ES342" s="137"/>
      <c r="ET342" s="137"/>
      <c r="EU342" s="137"/>
      <c r="EV342" s="137"/>
      <c r="EW342" s="137"/>
      <c r="EX342" s="137"/>
      <c r="EY342" s="137"/>
      <c r="EZ342" s="137"/>
      <c r="FA342" s="137"/>
      <c r="FB342" s="137"/>
      <c r="FC342" s="137"/>
      <c r="FD342" s="137"/>
      <c r="FE342" s="137"/>
      <c r="FF342" s="137"/>
      <c r="FG342" s="860"/>
      <c r="FH342" s="863"/>
      <c r="FI342" s="1318"/>
      <c r="FJ342" s="126"/>
      <c r="FK342" s="127"/>
      <c r="FL342" s="128" t="str">
        <f t="shared" ref="FL342:FL364" si="1202">N342&amp;O342&amp;"    "&amp;P342</f>
        <v xml:space="preserve">    </v>
      </c>
      <c r="FM342" s="128"/>
      <c r="FN342" s="1686">
        <f t="shared" ref="FN342:FN364" si="1203">IF($AE342=3,T342,0)</f>
        <v>0</v>
      </c>
      <c r="FO342" s="46">
        <f t="shared" si="1136"/>
        <v>0</v>
      </c>
      <c r="FP342" s="46">
        <f t="shared" si="1153"/>
        <v>1</v>
      </c>
      <c r="FQ342" s="75">
        <f t="shared" ref="FQ342:FQ364" si="1204">IF($AE342=3,SUMPRODUCT(GT342:LQ342,$GT$25:$LQ$25),0)</f>
        <v>0</v>
      </c>
      <c r="FR342" s="46">
        <f t="shared" si="1128"/>
        <v>0</v>
      </c>
      <c r="FS342" s="46">
        <f t="shared" si="1129"/>
        <v>1</v>
      </c>
      <c r="FT342" s="75">
        <f t="shared" ref="FT342:FT364" si="1205">AND($AE342=3,(T342+Z342+AB342)&gt;0,FQ342=0)*1</f>
        <v>0</v>
      </c>
      <c r="FU342" s="2603">
        <f t="shared" si="1137"/>
        <v>0</v>
      </c>
      <c r="FV342" s="2607">
        <f t="shared" si="1138"/>
        <v>0</v>
      </c>
      <c r="FW342" s="2603">
        <f t="shared" si="1139"/>
        <v>0</v>
      </c>
      <c r="FX342" s="2631">
        <f t="shared" si="1140"/>
        <v>0</v>
      </c>
      <c r="FY342" s="81" t="e">
        <f t="shared" si="1130"/>
        <v>#N/A</v>
      </c>
      <c r="FZ342" s="64" t="e">
        <f t="array" ref="FZ342">MATCH(1,($GT342:$LQ342&gt;0)*$GT$25:$LQ$25,0)</f>
        <v>#N/A</v>
      </c>
      <c r="GA342" s="64" t="e">
        <f t="array" ref="GA342">MATCH(2,1/(GT342:LQ342&gt;0))</f>
        <v>#N/A</v>
      </c>
      <c r="GB342" s="64">
        <f t="shared" ref="GB342:GB364" si="1206">IF(OR((T342+U342+AA342+AB342)=0,FR342=0,CQ342=1,LEFT(J342,1)="S"),-1,J342)</f>
        <v>-1</v>
      </c>
      <c r="GC342" s="46"/>
      <c r="GD342" s="613"/>
      <c r="GE342" s="613"/>
      <c r="GF342" s="613"/>
      <c r="GG342" s="613"/>
      <c r="GH342" s="613"/>
      <c r="GI342" s="613"/>
      <c r="GJ342" s="613"/>
      <c r="GK342" s="613"/>
      <c r="GL342" s="613"/>
      <c r="GM342" s="613"/>
      <c r="GN342" s="385">
        <f t="shared" si="1157"/>
        <v>0</v>
      </c>
      <c r="GO342" s="386">
        <f t="shared" si="1158"/>
        <v>0</v>
      </c>
      <c r="GP342" s="2635"/>
      <c r="GQ342" s="175"/>
      <c r="GR342" s="172"/>
      <c r="GS342" s="65"/>
      <c r="GT342" s="167"/>
      <c r="GU342" s="168"/>
      <c r="GV342" s="168"/>
      <c r="GW342" s="168"/>
      <c r="GX342" s="168"/>
      <c r="GY342" s="168"/>
      <c r="GZ342" s="168"/>
      <c r="HA342" s="168"/>
      <c r="HB342" s="168"/>
      <c r="HC342" s="168"/>
      <c r="HD342" s="168"/>
      <c r="HE342" s="168"/>
      <c r="HF342" s="168"/>
      <c r="HG342" s="168"/>
      <c r="HH342" s="168"/>
      <c r="HI342" s="168"/>
      <c r="HJ342" s="168"/>
      <c r="HK342" s="168"/>
      <c r="HL342" s="168"/>
      <c r="HM342" s="168"/>
      <c r="HN342" s="168"/>
      <c r="HO342" s="168"/>
      <c r="HP342" s="168"/>
      <c r="HQ342" s="168"/>
      <c r="HR342" s="168"/>
      <c r="HS342" s="168"/>
      <c r="HT342" s="168"/>
      <c r="HU342" s="168"/>
      <c r="HV342" s="168"/>
      <c r="HW342" s="168"/>
      <c r="HX342" s="168"/>
      <c r="HY342" s="168"/>
      <c r="HZ342" s="168"/>
      <c r="IA342" s="168"/>
      <c r="IB342" s="168"/>
      <c r="IC342" s="168"/>
      <c r="ID342" s="168"/>
      <c r="IE342" s="168"/>
      <c r="IF342" s="168"/>
      <c r="IG342" s="168"/>
      <c r="IH342" s="168"/>
      <c r="II342" s="168"/>
      <c r="IJ342" s="168"/>
      <c r="IK342" s="168"/>
      <c r="IL342" s="168"/>
      <c r="IM342" s="168"/>
      <c r="IN342" s="168"/>
      <c r="IO342" s="168"/>
      <c r="IP342" s="168"/>
      <c r="IQ342" s="168"/>
      <c r="IR342" s="168"/>
      <c r="IS342" s="168"/>
      <c r="IT342" s="168"/>
      <c r="IU342" s="168"/>
      <c r="IV342" s="168"/>
      <c r="IW342" s="168"/>
      <c r="IX342" s="168"/>
      <c r="IY342" s="168"/>
      <c r="IZ342" s="168"/>
      <c r="JA342" s="168"/>
      <c r="JB342" s="168"/>
      <c r="JC342" s="168"/>
      <c r="JD342" s="168"/>
      <c r="JE342" s="168"/>
      <c r="JF342" s="168"/>
      <c r="JG342" s="168"/>
      <c r="JH342" s="168"/>
      <c r="JI342" s="168"/>
      <c r="JJ342" s="168"/>
      <c r="JK342" s="168"/>
      <c r="JL342" s="168"/>
      <c r="JM342" s="168"/>
      <c r="JN342" s="168"/>
      <c r="JO342" s="168"/>
      <c r="JP342" s="168"/>
      <c r="JQ342" s="168"/>
      <c r="JR342" s="168"/>
      <c r="JS342" s="168"/>
      <c r="JT342" s="168"/>
      <c r="JU342" s="168"/>
      <c r="JV342" s="168"/>
      <c r="JW342" s="168"/>
      <c r="JX342" s="168"/>
      <c r="JY342" s="168"/>
      <c r="JZ342" s="168"/>
      <c r="KA342" s="168"/>
      <c r="KB342" s="168"/>
      <c r="KC342" s="168"/>
      <c r="KD342" s="168"/>
      <c r="KE342" s="168"/>
      <c r="KF342" s="168"/>
      <c r="KG342" s="168"/>
      <c r="KH342" s="168"/>
      <c r="KI342" s="168"/>
      <c r="KJ342" s="168"/>
      <c r="KK342" s="168"/>
      <c r="KL342" s="168"/>
      <c r="KM342" s="168"/>
      <c r="KN342" s="168"/>
      <c r="KO342" s="168"/>
      <c r="KP342" s="168"/>
      <c r="KQ342" s="168"/>
      <c r="KR342" s="168"/>
      <c r="KS342" s="168"/>
      <c r="KT342" s="168"/>
      <c r="KU342" s="168"/>
      <c r="KV342" s="168"/>
      <c r="KW342" s="168"/>
      <c r="KX342" s="168"/>
      <c r="KY342" s="168"/>
      <c r="KZ342" s="168"/>
      <c r="LA342" s="168"/>
      <c r="LB342" s="168"/>
      <c r="LC342" s="168"/>
      <c r="LD342" s="168"/>
      <c r="LE342" s="168"/>
      <c r="LF342" s="168"/>
      <c r="LG342" s="168"/>
      <c r="LH342" s="168"/>
      <c r="LI342" s="168"/>
      <c r="LJ342" s="168"/>
      <c r="LK342" s="168"/>
      <c r="LL342" s="168"/>
      <c r="LM342" s="168"/>
      <c r="LN342" s="168"/>
      <c r="LO342" s="168"/>
      <c r="LP342" s="606"/>
      <c r="LQ342" s="609"/>
      <c r="LR342" s="1319"/>
      <c r="LS342" s="1319"/>
    </row>
    <row r="343" spans="1:331" s="2" customFormat="1" ht="15" customHeight="1" x14ac:dyDescent="0.25">
      <c r="A343" s="283"/>
      <c r="B343" s="303"/>
      <c r="C343" s="301"/>
      <c r="D343" s="1287"/>
      <c r="E343" s="2298"/>
      <c r="F343" s="1812"/>
      <c r="G343" s="3342"/>
      <c r="H343" s="66"/>
      <c r="I343" s="1746"/>
      <c r="J343" s="1214"/>
      <c r="K343" s="105"/>
      <c r="L343" s="91"/>
      <c r="M343" s="92"/>
      <c r="N343" s="93"/>
      <c r="O343" s="94"/>
      <c r="P343" s="94"/>
      <c r="Q343" s="97"/>
      <c r="R343" s="993">
        <f t="shared" si="1147"/>
        <v>0</v>
      </c>
      <c r="S343" s="23">
        <f t="shared" si="1148"/>
        <v>0</v>
      </c>
      <c r="T343" s="24">
        <f t="shared" si="1159"/>
        <v>0</v>
      </c>
      <c r="U343" s="24">
        <f t="shared" si="1160"/>
        <v>0</v>
      </c>
      <c r="V343" s="24">
        <f t="shared" si="1161"/>
        <v>0</v>
      </c>
      <c r="W343" s="24">
        <f t="shared" ca="1" si="1162"/>
        <v>0</v>
      </c>
      <c r="X343" s="72">
        <f t="shared" ca="1" si="1119"/>
        <v>0</v>
      </c>
      <c r="Y343" s="72">
        <f t="shared" si="1163"/>
        <v>0</v>
      </c>
      <c r="Z343" s="24">
        <f t="shared" si="1164"/>
        <v>0</v>
      </c>
      <c r="AA343" s="72">
        <f t="shared" si="1120"/>
        <v>0</v>
      </c>
      <c r="AB343" s="24">
        <f t="shared" si="1131"/>
        <v>0</v>
      </c>
      <c r="AC343" s="24">
        <f t="shared" ca="1" si="1165"/>
        <v>0</v>
      </c>
      <c r="AD343" s="24">
        <f t="shared" si="1049"/>
        <v>0</v>
      </c>
      <c r="AE343" s="2078">
        <f t="shared" si="1125"/>
        <v>3</v>
      </c>
      <c r="AF343" s="2078">
        <f t="shared" si="1126"/>
        <v>0</v>
      </c>
      <c r="AG343" s="2078">
        <f t="shared" si="1127"/>
        <v>0</v>
      </c>
      <c r="AH343" s="2521">
        <f t="shared" si="1050"/>
        <v>1</v>
      </c>
      <c r="AI343" s="25" t="str">
        <f t="shared" si="1166"/>
        <v/>
      </c>
      <c r="AJ343" s="2521">
        <f t="shared" ca="1" si="1045"/>
        <v>0</v>
      </c>
      <c r="AK343" s="2076">
        <f t="shared" ca="1" si="1041"/>
        <v>0</v>
      </c>
      <c r="AL343" s="2078">
        <f>IF(ISBLANK(J343),0,ISERROR(MATCH(J343,'5  Control Accounts'!$FA$29:$FA$96,0))*1)</f>
        <v>0</v>
      </c>
      <c r="AM343" s="2076">
        <f t="shared" si="1167"/>
        <v>0</v>
      </c>
      <c r="AN343" s="2078">
        <f t="shared" si="1168"/>
        <v>1</v>
      </c>
      <c r="AO343" s="2079">
        <f t="shared" si="1051"/>
        <v>1</v>
      </c>
      <c r="AP343" s="2079">
        <f t="shared" si="1052"/>
        <v>0</v>
      </c>
      <c r="AQ343" s="2079">
        <f t="shared" si="1053"/>
        <v>0</v>
      </c>
      <c r="AR343" s="2079">
        <f t="shared" si="1054"/>
        <v>0</v>
      </c>
      <c r="AS343" s="2079">
        <f t="shared" si="1055"/>
        <v>0</v>
      </c>
      <c r="AT343" s="2079">
        <f t="shared" si="1056"/>
        <v>0</v>
      </c>
      <c r="AU343" s="2079">
        <f t="shared" si="1057"/>
        <v>0</v>
      </c>
      <c r="AV343" s="2079">
        <f t="shared" si="1058"/>
        <v>0</v>
      </c>
      <c r="AW343" s="2079">
        <f t="shared" si="1059"/>
        <v>0</v>
      </c>
      <c r="AX343" s="2079">
        <f t="shared" si="1060"/>
        <v>0</v>
      </c>
      <c r="AY343" s="2078">
        <f t="shared" si="1169"/>
        <v>0</v>
      </c>
      <c r="AZ343" s="2078">
        <f t="shared" si="1170"/>
        <v>0</v>
      </c>
      <c r="BA343" s="2078">
        <f t="shared" si="1171"/>
        <v>0</v>
      </c>
      <c r="BB343" s="2078">
        <f t="shared" si="1172"/>
        <v>0</v>
      </c>
      <c r="BC343" s="2078">
        <f t="shared" si="1173"/>
        <v>0</v>
      </c>
      <c r="BD343" s="2078">
        <f t="shared" si="1174"/>
        <v>0</v>
      </c>
      <c r="BE343" s="2078">
        <f t="shared" si="1175"/>
        <v>0</v>
      </c>
      <c r="BF343" s="2078">
        <f t="shared" si="1176"/>
        <v>0</v>
      </c>
      <c r="BG343" s="2078">
        <f t="shared" si="1177"/>
        <v>0</v>
      </c>
      <c r="BH343" s="2078">
        <f t="shared" si="1178"/>
        <v>0</v>
      </c>
      <c r="BI343" s="2078">
        <f t="shared" si="1179"/>
        <v>0</v>
      </c>
      <c r="BJ343" s="2078">
        <f t="shared" si="1180"/>
        <v>0</v>
      </c>
      <c r="BK343" s="2078">
        <f t="shared" si="1181"/>
        <v>0</v>
      </c>
      <c r="BL343" s="2078">
        <f t="shared" si="1182"/>
        <v>0</v>
      </c>
      <c r="BM343" s="2078">
        <f t="shared" si="1183"/>
        <v>0</v>
      </c>
      <c r="BN343" s="2078">
        <f t="shared" si="1184"/>
        <v>0</v>
      </c>
      <c r="BO343" s="2078">
        <f t="shared" si="1185"/>
        <v>0</v>
      </c>
      <c r="BP343" s="2078">
        <f t="shared" si="1186"/>
        <v>0</v>
      </c>
      <c r="BQ343" s="2078">
        <f t="shared" si="1187"/>
        <v>0</v>
      </c>
      <c r="BR343" s="2078">
        <f t="shared" si="1188"/>
        <v>0</v>
      </c>
      <c r="BS343" s="2079">
        <f t="shared" si="1061"/>
        <v>1</v>
      </c>
      <c r="BT343" s="2079">
        <f t="shared" si="1062"/>
        <v>0</v>
      </c>
      <c r="BU343" s="2079">
        <f t="shared" si="1063"/>
        <v>0</v>
      </c>
      <c r="BV343" s="2079">
        <f t="shared" si="1064"/>
        <v>0</v>
      </c>
      <c r="BW343" s="2079">
        <f t="shared" si="1065"/>
        <v>0</v>
      </c>
      <c r="BX343" s="2079">
        <f t="shared" si="1066"/>
        <v>0</v>
      </c>
      <c r="BY343" s="2079">
        <f t="shared" si="1067"/>
        <v>0</v>
      </c>
      <c r="BZ343" s="2079">
        <f t="shared" si="1068"/>
        <v>0</v>
      </c>
      <c r="CA343" s="2079">
        <f t="shared" si="1069"/>
        <v>0</v>
      </c>
      <c r="CB343" s="2079">
        <f t="shared" si="1070"/>
        <v>0</v>
      </c>
      <c r="CC343" s="2078">
        <f t="shared" ca="1" si="1189"/>
        <v>0</v>
      </c>
      <c r="CD343" s="2078">
        <f t="shared" ca="1" si="1190"/>
        <v>0</v>
      </c>
      <c r="CE343" s="2078">
        <f t="shared" ca="1" si="1191"/>
        <v>0</v>
      </c>
      <c r="CF343" s="2078">
        <f t="shared" ca="1" si="1192"/>
        <v>0</v>
      </c>
      <c r="CG343" s="2078">
        <f t="shared" ca="1" si="1193"/>
        <v>0</v>
      </c>
      <c r="CH343" s="2078">
        <f t="shared" ca="1" si="1194"/>
        <v>0</v>
      </c>
      <c r="CI343" s="2078">
        <f t="shared" ca="1" si="1195"/>
        <v>0</v>
      </c>
      <c r="CJ343" s="2078">
        <f t="shared" ca="1" si="1196"/>
        <v>0</v>
      </c>
      <c r="CK343" s="2078">
        <f t="shared" ca="1" si="1197"/>
        <v>0</v>
      </c>
      <c r="CL343" s="2078">
        <f t="shared" ca="1" si="1198"/>
        <v>0</v>
      </c>
      <c r="CM343" s="2078">
        <f t="shared" si="1132"/>
        <v>1</v>
      </c>
      <c r="CN343" s="2078">
        <f t="shared" si="1133"/>
        <v>1</v>
      </c>
      <c r="CO343" s="2078">
        <f t="shared" si="1121"/>
        <v>1</v>
      </c>
      <c r="CP343" s="2078">
        <f t="shared" si="1199"/>
        <v>1</v>
      </c>
      <c r="CQ343" s="2078">
        <f t="shared" si="1122"/>
        <v>0</v>
      </c>
      <c r="CR343" s="2078">
        <f t="shared" si="1042"/>
        <v>0</v>
      </c>
      <c r="CS343" s="2078">
        <f t="shared" si="1200"/>
        <v>0</v>
      </c>
      <c r="CT343" s="2078">
        <f t="shared" si="1123"/>
        <v>1</v>
      </c>
      <c r="CU343" s="2078">
        <f t="shared" si="1201"/>
        <v>1</v>
      </c>
      <c r="CV343" s="2078">
        <f t="shared" si="1134"/>
        <v>0</v>
      </c>
      <c r="CW343" s="2078">
        <f>IF(OR(AE343&lt;&gt;3,F343="Exclude"),0,IF(ISERROR(MATCH($E343,'4 Sign-off'!$S$123:$X$123,0)),0,1))</f>
        <v>0</v>
      </c>
      <c r="CX343" s="2078">
        <f t="shared" si="1154"/>
        <v>0</v>
      </c>
      <c r="CY343" s="2078">
        <f t="shared" si="1135"/>
        <v>0</v>
      </c>
      <c r="CZ343" s="2993">
        <f t="shared" ca="1" si="1149"/>
        <v>0</v>
      </c>
      <c r="DA343" s="3037">
        <f t="shared" ca="1" si="1150"/>
        <v>0</v>
      </c>
      <c r="DB343" s="1664"/>
      <c r="DC343" s="1320"/>
      <c r="DD343" s="589"/>
      <c r="DE343" s="1321"/>
      <c r="DF343" s="107"/>
      <c r="DG343" s="112"/>
      <c r="DH343" s="140"/>
      <c r="DI343" s="22"/>
      <c r="DJ343" s="145"/>
      <c r="DK343" s="137"/>
      <c r="DL343" s="137"/>
      <c r="DM343" s="137"/>
      <c r="DN343" s="137"/>
      <c r="DO343" s="137"/>
      <c r="DP343" s="137"/>
      <c r="DQ343" s="137"/>
      <c r="DR343" s="137"/>
      <c r="DS343" s="137"/>
      <c r="DT343" s="137"/>
      <c r="DU343" s="137"/>
      <c r="DV343" s="137"/>
      <c r="DW343" s="137"/>
      <c r="DX343" s="137"/>
      <c r="DY343" s="137"/>
      <c r="DZ343" s="137"/>
      <c r="EA343" s="137"/>
      <c r="EB343" s="137"/>
      <c r="EC343" s="137"/>
      <c r="ED343" s="137"/>
      <c r="EE343" s="137"/>
      <c r="EF343" s="137"/>
      <c r="EG343" s="137"/>
      <c r="EH343" s="137"/>
      <c r="EI343" s="137"/>
      <c r="EJ343" s="137"/>
      <c r="EK343" s="137"/>
      <c r="EL343" s="137"/>
      <c r="EM343" s="137"/>
      <c r="EN343" s="137"/>
      <c r="EO343" s="137"/>
      <c r="EP343" s="137"/>
      <c r="EQ343" s="137"/>
      <c r="ER343" s="137"/>
      <c r="ES343" s="137"/>
      <c r="ET343" s="137"/>
      <c r="EU343" s="137"/>
      <c r="EV343" s="137"/>
      <c r="EW343" s="137"/>
      <c r="EX343" s="137"/>
      <c r="EY343" s="137"/>
      <c r="EZ343" s="137"/>
      <c r="FA343" s="137"/>
      <c r="FB343" s="137"/>
      <c r="FC343" s="137"/>
      <c r="FD343" s="137"/>
      <c r="FE343" s="137"/>
      <c r="FF343" s="137"/>
      <c r="FG343" s="860"/>
      <c r="FH343" s="863"/>
      <c r="FI343" s="1318"/>
      <c r="FJ343" s="126"/>
      <c r="FK343" s="127"/>
      <c r="FL343" s="128" t="str">
        <f t="shared" si="1202"/>
        <v xml:space="preserve">    </v>
      </c>
      <c r="FM343" s="128"/>
      <c r="FN343" s="1686">
        <f t="shared" si="1203"/>
        <v>0</v>
      </c>
      <c r="FO343" s="46">
        <f t="shared" si="1136"/>
        <v>0</v>
      </c>
      <c r="FP343" s="46">
        <f t="shared" si="1153"/>
        <v>1</v>
      </c>
      <c r="FQ343" s="75">
        <f t="shared" si="1204"/>
        <v>0</v>
      </c>
      <c r="FR343" s="46">
        <f t="shared" si="1128"/>
        <v>0</v>
      </c>
      <c r="FS343" s="46">
        <f t="shared" si="1129"/>
        <v>1</v>
      </c>
      <c r="FT343" s="75">
        <f t="shared" si="1205"/>
        <v>0</v>
      </c>
      <c r="FU343" s="2603">
        <f t="shared" si="1137"/>
        <v>0</v>
      </c>
      <c r="FV343" s="2607">
        <f t="shared" si="1138"/>
        <v>0</v>
      </c>
      <c r="FW343" s="2603">
        <f t="shared" si="1139"/>
        <v>0</v>
      </c>
      <c r="FX343" s="2631">
        <f t="shared" si="1140"/>
        <v>0</v>
      </c>
      <c r="FY343" s="81" t="e">
        <f t="shared" si="1130"/>
        <v>#N/A</v>
      </c>
      <c r="FZ343" s="64" t="e">
        <f t="array" ref="FZ343">MATCH(1,($GT343:$LQ343&gt;0)*$GT$25:$LQ$25,0)</f>
        <v>#N/A</v>
      </c>
      <c r="GA343" s="64" t="e">
        <f t="array" ref="GA343">MATCH(2,1/(GT343:LQ343&gt;0))</f>
        <v>#N/A</v>
      </c>
      <c r="GB343" s="64">
        <f t="shared" si="1206"/>
        <v>-1</v>
      </c>
      <c r="GC343" s="46"/>
      <c r="GD343" s="613"/>
      <c r="GE343" s="613"/>
      <c r="GF343" s="613"/>
      <c r="GG343" s="613"/>
      <c r="GH343" s="613"/>
      <c r="GI343" s="613"/>
      <c r="GJ343" s="613"/>
      <c r="GK343" s="613"/>
      <c r="GL343" s="613"/>
      <c r="GM343" s="613"/>
      <c r="GN343" s="385">
        <f t="shared" si="1157"/>
        <v>0</v>
      </c>
      <c r="GO343" s="386">
        <f t="shared" si="1158"/>
        <v>0</v>
      </c>
      <c r="GP343" s="2635"/>
      <c r="GQ343" s="175"/>
      <c r="GR343" s="172"/>
      <c r="GS343" s="65"/>
      <c r="GT343" s="167"/>
      <c r="GU343" s="168"/>
      <c r="GV343" s="168"/>
      <c r="GW343" s="168"/>
      <c r="GX343" s="168"/>
      <c r="GY343" s="168"/>
      <c r="GZ343" s="168"/>
      <c r="HA343" s="168"/>
      <c r="HB343" s="168"/>
      <c r="HC343" s="168"/>
      <c r="HD343" s="168"/>
      <c r="HE343" s="168"/>
      <c r="HF343" s="168"/>
      <c r="HG343" s="168"/>
      <c r="HH343" s="168"/>
      <c r="HI343" s="168"/>
      <c r="HJ343" s="168"/>
      <c r="HK343" s="168"/>
      <c r="HL343" s="168"/>
      <c r="HM343" s="168"/>
      <c r="HN343" s="168"/>
      <c r="HO343" s="168"/>
      <c r="HP343" s="168"/>
      <c r="HQ343" s="168"/>
      <c r="HR343" s="168"/>
      <c r="HS343" s="168"/>
      <c r="HT343" s="168"/>
      <c r="HU343" s="168"/>
      <c r="HV343" s="168"/>
      <c r="HW343" s="168"/>
      <c r="HX343" s="168"/>
      <c r="HY343" s="168"/>
      <c r="HZ343" s="168"/>
      <c r="IA343" s="168"/>
      <c r="IB343" s="168"/>
      <c r="IC343" s="168"/>
      <c r="ID343" s="168"/>
      <c r="IE343" s="168"/>
      <c r="IF343" s="168"/>
      <c r="IG343" s="168"/>
      <c r="IH343" s="168"/>
      <c r="II343" s="168"/>
      <c r="IJ343" s="168"/>
      <c r="IK343" s="168"/>
      <c r="IL343" s="168"/>
      <c r="IM343" s="168"/>
      <c r="IN343" s="168"/>
      <c r="IO343" s="168"/>
      <c r="IP343" s="168"/>
      <c r="IQ343" s="168"/>
      <c r="IR343" s="168"/>
      <c r="IS343" s="168"/>
      <c r="IT343" s="168"/>
      <c r="IU343" s="168"/>
      <c r="IV343" s="168"/>
      <c r="IW343" s="168"/>
      <c r="IX343" s="168"/>
      <c r="IY343" s="168"/>
      <c r="IZ343" s="168"/>
      <c r="JA343" s="168"/>
      <c r="JB343" s="168"/>
      <c r="JC343" s="168"/>
      <c r="JD343" s="168"/>
      <c r="JE343" s="168"/>
      <c r="JF343" s="168"/>
      <c r="JG343" s="168"/>
      <c r="JH343" s="168"/>
      <c r="JI343" s="168"/>
      <c r="JJ343" s="168"/>
      <c r="JK343" s="168"/>
      <c r="JL343" s="168"/>
      <c r="JM343" s="168"/>
      <c r="JN343" s="168"/>
      <c r="JO343" s="168"/>
      <c r="JP343" s="168"/>
      <c r="JQ343" s="168"/>
      <c r="JR343" s="168"/>
      <c r="JS343" s="168"/>
      <c r="JT343" s="168"/>
      <c r="JU343" s="168"/>
      <c r="JV343" s="168"/>
      <c r="JW343" s="168"/>
      <c r="JX343" s="168"/>
      <c r="JY343" s="168"/>
      <c r="JZ343" s="168"/>
      <c r="KA343" s="168"/>
      <c r="KB343" s="168"/>
      <c r="KC343" s="168"/>
      <c r="KD343" s="168"/>
      <c r="KE343" s="168"/>
      <c r="KF343" s="168"/>
      <c r="KG343" s="168"/>
      <c r="KH343" s="168"/>
      <c r="KI343" s="168"/>
      <c r="KJ343" s="168"/>
      <c r="KK343" s="168"/>
      <c r="KL343" s="168"/>
      <c r="KM343" s="168"/>
      <c r="KN343" s="168"/>
      <c r="KO343" s="168"/>
      <c r="KP343" s="168"/>
      <c r="KQ343" s="168"/>
      <c r="KR343" s="168"/>
      <c r="KS343" s="168"/>
      <c r="KT343" s="168"/>
      <c r="KU343" s="168"/>
      <c r="KV343" s="168"/>
      <c r="KW343" s="168"/>
      <c r="KX343" s="168"/>
      <c r="KY343" s="168"/>
      <c r="KZ343" s="168"/>
      <c r="LA343" s="168"/>
      <c r="LB343" s="168"/>
      <c r="LC343" s="168"/>
      <c r="LD343" s="168"/>
      <c r="LE343" s="168"/>
      <c r="LF343" s="168"/>
      <c r="LG343" s="168"/>
      <c r="LH343" s="168"/>
      <c r="LI343" s="168"/>
      <c r="LJ343" s="168"/>
      <c r="LK343" s="168"/>
      <c r="LL343" s="168"/>
      <c r="LM343" s="168"/>
      <c r="LN343" s="168"/>
      <c r="LO343" s="168"/>
      <c r="LP343" s="606"/>
      <c r="LQ343" s="609"/>
      <c r="LR343" s="1319"/>
      <c r="LS343" s="1319"/>
    </row>
    <row r="344" spans="1:331" s="2" customFormat="1" ht="15" customHeight="1" x14ac:dyDescent="0.25">
      <c r="A344" s="283"/>
      <c r="B344" s="303"/>
      <c r="C344" s="301"/>
      <c r="D344" s="1287"/>
      <c r="E344" s="2298"/>
      <c r="F344" s="1812"/>
      <c r="G344" s="3342"/>
      <c r="H344" s="66"/>
      <c r="I344" s="1746"/>
      <c r="J344" s="1214"/>
      <c r="K344" s="105"/>
      <c r="L344" s="91"/>
      <c r="M344" s="92"/>
      <c r="N344" s="93"/>
      <c r="O344" s="94"/>
      <c r="P344" s="94"/>
      <c r="Q344" s="97"/>
      <c r="R344" s="993">
        <f t="shared" si="1147"/>
        <v>0</v>
      </c>
      <c r="S344" s="23">
        <f t="shared" si="1148"/>
        <v>0</v>
      </c>
      <c r="T344" s="24">
        <f t="shared" si="1159"/>
        <v>0</v>
      </c>
      <c r="U344" s="24">
        <f t="shared" si="1160"/>
        <v>0</v>
      </c>
      <c r="V344" s="24">
        <f t="shared" si="1161"/>
        <v>0</v>
      </c>
      <c r="W344" s="24">
        <f t="shared" ca="1" si="1162"/>
        <v>0</v>
      </c>
      <c r="X344" s="72">
        <f t="shared" ca="1" si="1119"/>
        <v>0</v>
      </c>
      <c r="Y344" s="72">
        <f t="shared" si="1163"/>
        <v>0</v>
      </c>
      <c r="Z344" s="24">
        <f t="shared" si="1164"/>
        <v>0</v>
      </c>
      <c r="AA344" s="72">
        <f t="shared" si="1120"/>
        <v>0</v>
      </c>
      <c r="AB344" s="24">
        <f t="shared" si="1131"/>
        <v>0</v>
      </c>
      <c r="AC344" s="24">
        <f t="shared" ca="1" si="1165"/>
        <v>0</v>
      </c>
      <c r="AD344" s="24">
        <f t="shared" si="1049"/>
        <v>0</v>
      </c>
      <c r="AE344" s="2078">
        <f t="shared" si="1125"/>
        <v>3</v>
      </c>
      <c r="AF344" s="2078">
        <f t="shared" si="1126"/>
        <v>0</v>
      </c>
      <c r="AG344" s="2078">
        <f t="shared" si="1127"/>
        <v>0</v>
      </c>
      <c r="AH344" s="2521">
        <f t="shared" si="1050"/>
        <v>1</v>
      </c>
      <c r="AI344" s="25" t="str">
        <f t="shared" si="1166"/>
        <v/>
      </c>
      <c r="AJ344" s="2521">
        <f t="shared" ca="1" si="1045"/>
        <v>0</v>
      </c>
      <c r="AK344" s="2076">
        <f t="shared" ca="1" si="1041"/>
        <v>0</v>
      </c>
      <c r="AL344" s="2078">
        <f>IF(ISBLANK(J344),0,ISERROR(MATCH(J344,'5  Control Accounts'!$FA$29:$FA$96,0))*1)</f>
        <v>0</v>
      </c>
      <c r="AM344" s="2076">
        <f t="shared" si="1167"/>
        <v>0</v>
      </c>
      <c r="AN344" s="2078">
        <f t="shared" si="1168"/>
        <v>1</v>
      </c>
      <c r="AO344" s="2079">
        <f t="shared" si="1051"/>
        <v>1</v>
      </c>
      <c r="AP344" s="2079">
        <f t="shared" si="1052"/>
        <v>0</v>
      </c>
      <c r="AQ344" s="2079">
        <f t="shared" si="1053"/>
        <v>0</v>
      </c>
      <c r="AR344" s="2079">
        <f t="shared" si="1054"/>
        <v>0</v>
      </c>
      <c r="AS344" s="2079">
        <f t="shared" si="1055"/>
        <v>0</v>
      </c>
      <c r="AT344" s="2079">
        <f t="shared" si="1056"/>
        <v>0</v>
      </c>
      <c r="AU344" s="2079">
        <f t="shared" si="1057"/>
        <v>0</v>
      </c>
      <c r="AV344" s="2079">
        <f t="shared" si="1058"/>
        <v>0</v>
      </c>
      <c r="AW344" s="2079">
        <f t="shared" si="1059"/>
        <v>0</v>
      </c>
      <c r="AX344" s="2079">
        <f t="shared" si="1060"/>
        <v>0</v>
      </c>
      <c r="AY344" s="2078">
        <f t="shared" si="1169"/>
        <v>0</v>
      </c>
      <c r="AZ344" s="2078">
        <f t="shared" si="1170"/>
        <v>0</v>
      </c>
      <c r="BA344" s="2078">
        <f t="shared" si="1171"/>
        <v>0</v>
      </c>
      <c r="BB344" s="2078">
        <f t="shared" si="1172"/>
        <v>0</v>
      </c>
      <c r="BC344" s="2078">
        <f t="shared" si="1173"/>
        <v>0</v>
      </c>
      <c r="BD344" s="2078">
        <f t="shared" si="1174"/>
        <v>0</v>
      </c>
      <c r="BE344" s="2078">
        <f t="shared" si="1175"/>
        <v>0</v>
      </c>
      <c r="BF344" s="2078">
        <f t="shared" si="1176"/>
        <v>0</v>
      </c>
      <c r="BG344" s="2078">
        <f t="shared" si="1177"/>
        <v>0</v>
      </c>
      <c r="BH344" s="2078">
        <f t="shared" si="1178"/>
        <v>0</v>
      </c>
      <c r="BI344" s="2078">
        <f t="shared" si="1179"/>
        <v>0</v>
      </c>
      <c r="BJ344" s="2078">
        <f t="shared" si="1180"/>
        <v>0</v>
      </c>
      <c r="BK344" s="2078">
        <f t="shared" si="1181"/>
        <v>0</v>
      </c>
      <c r="BL344" s="2078">
        <f t="shared" si="1182"/>
        <v>0</v>
      </c>
      <c r="BM344" s="2078">
        <f t="shared" si="1183"/>
        <v>0</v>
      </c>
      <c r="BN344" s="2078">
        <f t="shared" si="1184"/>
        <v>0</v>
      </c>
      <c r="BO344" s="2078">
        <f t="shared" si="1185"/>
        <v>0</v>
      </c>
      <c r="BP344" s="2078">
        <f t="shared" si="1186"/>
        <v>0</v>
      </c>
      <c r="BQ344" s="2078">
        <f t="shared" si="1187"/>
        <v>0</v>
      </c>
      <c r="BR344" s="2078">
        <f t="shared" si="1188"/>
        <v>0</v>
      </c>
      <c r="BS344" s="2079">
        <f t="shared" si="1061"/>
        <v>1</v>
      </c>
      <c r="BT344" s="2079">
        <f t="shared" si="1062"/>
        <v>0</v>
      </c>
      <c r="BU344" s="2079">
        <f t="shared" si="1063"/>
        <v>0</v>
      </c>
      <c r="BV344" s="2079">
        <f t="shared" si="1064"/>
        <v>0</v>
      </c>
      <c r="BW344" s="2079">
        <f t="shared" si="1065"/>
        <v>0</v>
      </c>
      <c r="BX344" s="2079">
        <f t="shared" si="1066"/>
        <v>0</v>
      </c>
      <c r="BY344" s="2079">
        <f t="shared" si="1067"/>
        <v>0</v>
      </c>
      <c r="BZ344" s="2079">
        <f t="shared" si="1068"/>
        <v>0</v>
      </c>
      <c r="CA344" s="2079">
        <f t="shared" si="1069"/>
        <v>0</v>
      </c>
      <c r="CB344" s="2079">
        <f t="shared" si="1070"/>
        <v>0</v>
      </c>
      <c r="CC344" s="2078">
        <f t="shared" ca="1" si="1189"/>
        <v>0</v>
      </c>
      <c r="CD344" s="2078">
        <f t="shared" ca="1" si="1190"/>
        <v>0</v>
      </c>
      <c r="CE344" s="2078">
        <f t="shared" ca="1" si="1191"/>
        <v>0</v>
      </c>
      <c r="CF344" s="2078">
        <f t="shared" ca="1" si="1192"/>
        <v>0</v>
      </c>
      <c r="CG344" s="2078">
        <f t="shared" ca="1" si="1193"/>
        <v>0</v>
      </c>
      <c r="CH344" s="2078">
        <f t="shared" ca="1" si="1194"/>
        <v>0</v>
      </c>
      <c r="CI344" s="2078">
        <f t="shared" ca="1" si="1195"/>
        <v>0</v>
      </c>
      <c r="CJ344" s="2078">
        <f t="shared" ca="1" si="1196"/>
        <v>0</v>
      </c>
      <c r="CK344" s="2078">
        <f t="shared" ca="1" si="1197"/>
        <v>0</v>
      </c>
      <c r="CL344" s="2078">
        <f t="shared" ca="1" si="1198"/>
        <v>0</v>
      </c>
      <c r="CM344" s="2078">
        <f t="shared" si="1132"/>
        <v>1</v>
      </c>
      <c r="CN344" s="2078">
        <f t="shared" si="1133"/>
        <v>1</v>
      </c>
      <c r="CO344" s="2078">
        <f t="shared" si="1121"/>
        <v>1</v>
      </c>
      <c r="CP344" s="2078">
        <f t="shared" si="1199"/>
        <v>1</v>
      </c>
      <c r="CQ344" s="2078">
        <f t="shared" si="1122"/>
        <v>0</v>
      </c>
      <c r="CR344" s="2078">
        <f t="shared" si="1042"/>
        <v>0</v>
      </c>
      <c r="CS344" s="2078">
        <f t="shared" si="1200"/>
        <v>0</v>
      </c>
      <c r="CT344" s="2078">
        <f t="shared" si="1123"/>
        <v>1</v>
      </c>
      <c r="CU344" s="2078">
        <f t="shared" si="1201"/>
        <v>1</v>
      </c>
      <c r="CV344" s="2078">
        <f t="shared" si="1134"/>
        <v>0</v>
      </c>
      <c r="CW344" s="2078">
        <f>IF(OR(AE344&lt;&gt;3,F344="Exclude"),0,IF(ISERROR(MATCH($E344,'4 Sign-off'!$S$123:$X$123,0)),0,1))</f>
        <v>0</v>
      </c>
      <c r="CX344" s="2078">
        <f t="shared" si="1154"/>
        <v>0</v>
      </c>
      <c r="CY344" s="2078">
        <f t="shared" si="1135"/>
        <v>0</v>
      </c>
      <c r="CZ344" s="2993">
        <f t="shared" ca="1" si="1149"/>
        <v>0</v>
      </c>
      <c r="DA344" s="3037">
        <f t="shared" ca="1" si="1150"/>
        <v>0</v>
      </c>
      <c r="DB344" s="1664"/>
      <c r="DC344" s="1320"/>
      <c r="DD344" s="589"/>
      <c r="DE344" s="1321"/>
      <c r="DF344" s="107"/>
      <c r="DG344" s="112"/>
      <c r="DH344" s="140"/>
      <c r="DI344" s="22"/>
      <c r="DJ344" s="145"/>
      <c r="DK344" s="137"/>
      <c r="DL344" s="137"/>
      <c r="DM344" s="137"/>
      <c r="DN344" s="137"/>
      <c r="DO344" s="137"/>
      <c r="DP344" s="137"/>
      <c r="DQ344" s="137"/>
      <c r="DR344" s="137"/>
      <c r="DS344" s="137"/>
      <c r="DT344" s="137"/>
      <c r="DU344" s="137"/>
      <c r="DV344" s="137"/>
      <c r="DW344" s="137"/>
      <c r="DX344" s="137"/>
      <c r="DY344" s="137"/>
      <c r="DZ344" s="137"/>
      <c r="EA344" s="137"/>
      <c r="EB344" s="137"/>
      <c r="EC344" s="137"/>
      <c r="ED344" s="137"/>
      <c r="EE344" s="137"/>
      <c r="EF344" s="137"/>
      <c r="EG344" s="137"/>
      <c r="EH344" s="137"/>
      <c r="EI344" s="137"/>
      <c r="EJ344" s="137"/>
      <c r="EK344" s="137"/>
      <c r="EL344" s="137"/>
      <c r="EM344" s="137"/>
      <c r="EN344" s="137"/>
      <c r="EO344" s="137"/>
      <c r="EP344" s="137"/>
      <c r="EQ344" s="137"/>
      <c r="ER344" s="137"/>
      <c r="ES344" s="137"/>
      <c r="ET344" s="137"/>
      <c r="EU344" s="137"/>
      <c r="EV344" s="137"/>
      <c r="EW344" s="137"/>
      <c r="EX344" s="137"/>
      <c r="EY344" s="137"/>
      <c r="EZ344" s="137"/>
      <c r="FA344" s="137"/>
      <c r="FB344" s="137"/>
      <c r="FC344" s="137"/>
      <c r="FD344" s="137"/>
      <c r="FE344" s="137"/>
      <c r="FF344" s="137"/>
      <c r="FG344" s="860"/>
      <c r="FH344" s="863"/>
      <c r="FI344" s="1318"/>
      <c r="FJ344" s="126"/>
      <c r="FK344" s="127"/>
      <c r="FL344" s="128" t="str">
        <f t="shared" si="1202"/>
        <v xml:space="preserve">    </v>
      </c>
      <c r="FM344" s="128"/>
      <c r="FN344" s="1686">
        <f t="shared" si="1203"/>
        <v>0</v>
      </c>
      <c r="FO344" s="46">
        <f t="shared" si="1136"/>
        <v>0</v>
      </c>
      <c r="FP344" s="46">
        <f t="shared" si="1153"/>
        <v>1</v>
      </c>
      <c r="FQ344" s="75">
        <f t="shared" si="1204"/>
        <v>0</v>
      </c>
      <c r="FR344" s="46">
        <f t="shared" si="1128"/>
        <v>0</v>
      </c>
      <c r="FS344" s="46">
        <f t="shared" si="1129"/>
        <v>1</v>
      </c>
      <c r="FT344" s="75">
        <f t="shared" si="1205"/>
        <v>0</v>
      </c>
      <c r="FU344" s="2603">
        <f t="shared" si="1137"/>
        <v>0</v>
      </c>
      <c r="FV344" s="2607">
        <f t="shared" si="1138"/>
        <v>0</v>
      </c>
      <c r="FW344" s="2603">
        <f t="shared" si="1139"/>
        <v>0</v>
      </c>
      <c r="FX344" s="2631">
        <f t="shared" si="1140"/>
        <v>0</v>
      </c>
      <c r="FY344" s="81" t="e">
        <f t="shared" si="1130"/>
        <v>#N/A</v>
      </c>
      <c r="FZ344" s="64" t="e">
        <f t="array" ref="FZ344">MATCH(1,($GT344:$LQ344&gt;0)*$GT$25:$LQ$25,0)</f>
        <v>#N/A</v>
      </c>
      <c r="GA344" s="64" t="e">
        <f t="array" ref="GA344">MATCH(2,1/(GT344:LQ344&gt;0))</f>
        <v>#N/A</v>
      </c>
      <c r="GB344" s="64">
        <f t="shared" si="1206"/>
        <v>-1</v>
      </c>
      <c r="GC344" s="46"/>
      <c r="GD344" s="613"/>
      <c r="GE344" s="613"/>
      <c r="GF344" s="613"/>
      <c r="GG344" s="613"/>
      <c r="GH344" s="613"/>
      <c r="GI344" s="613"/>
      <c r="GJ344" s="613"/>
      <c r="GK344" s="613"/>
      <c r="GL344" s="613"/>
      <c r="GM344" s="613"/>
      <c r="GN344" s="385">
        <f t="shared" si="1157"/>
        <v>0</v>
      </c>
      <c r="GO344" s="386">
        <f t="shared" si="1158"/>
        <v>0</v>
      </c>
      <c r="GP344" s="2635"/>
      <c r="GQ344" s="175"/>
      <c r="GR344" s="172"/>
      <c r="GS344" s="65"/>
      <c r="GT344" s="167"/>
      <c r="GU344" s="168"/>
      <c r="GV344" s="168"/>
      <c r="GW344" s="168"/>
      <c r="GX344" s="168"/>
      <c r="GY344" s="168"/>
      <c r="GZ344" s="168"/>
      <c r="HA344" s="168"/>
      <c r="HB344" s="168"/>
      <c r="HC344" s="168"/>
      <c r="HD344" s="168"/>
      <c r="HE344" s="168"/>
      <c r="HF344" s="168"/>
      <c r="HG344" s="168"/>
      <c r="HH344" s="168"/>
      <c r="HI344" s="168"/>
      <c r="HJ344" s="168"/>
      <c r="HK344" s="168"/>
      <c r="HL344" s="168"/>
      <c r="HM344" s="168"/>
      <c r="HN344" s="168"/>
      <c r="HO344" s="168"/>
      <c r="HP344" s="168"/>
      <c r="HQ344" s="168"/>
      <c r="HR344" s="168"/>
      <c r="HS344" s="168"/>
      <c r="HT344" s="168"/>
      <c r="HU344" s="168"/>
      <c r="HV344" s="168"/>
      <c r="HW344" s="168"/>
      <c r="HX344" s="168"/>
      <c r="HY344" s="168"/>
      <c r="HZ344" s="168"/>
      <c r="IA344" s="168"/>
      <c r="IB344" s="168"/>
      <c r="IC344" s="168"/>
      <c r="ID344" s="168"/>
      <c r="IE344" s="168"/>
      <c r="IF344" s="168"/>
      <c r="IG344" s="168"/>
      <c r="IH344" s="168"/>
      <c r="II344" s="168"/>
      <c r="IJ344" s="168"/>
      <c r="IK344" s="168"/>
      <c r="IL344" s="168"/>
      <c r="IM344" s="168"/>
      <c r="IN344" s="168"/>
      <c r="IO344" s="168"/>
      <c r="IP344" s="168"/>
      <c r="IQ344" s="168"/>
      <c r="IR344" s="168"/>
      <c r="IS344" s="168"/>
      <c r="IT344" s="168"/>
      <c r="IU344" s="168"/>
      <c r="IV344" s="168"/>
      <c r="IW344" s="168"/>
      <c r="IX344" s="168"/>
      <c r="IY344" s="168"/>
      <c r="IZ344" s="168"/>
      <c r="JA344" s="168"/>
      <c r="JB344" s="168"/>
      <c r="JC344" s="168"/>
      <c r="JD344" s="168"/>
      <c r="JE344" s="168"/>
      <c r="JF344" s="168"/>
      <c r="JG344" s="168"/>
      <c r="JH344" s="168"/>
      <c r="JI344" s="168"/>
      <c r="JJ344" s="168"/>
      <c r="JK344" s="168"/>
      <c r="JL344" s="168"/>
      <c r="JM344" s="168"/>
      <c r="JN344" s="168"/>
      <c r="JO344" s="168"/>
      <c r="JP344" s="168"/>
      <c r="JQ344" s="168"/>
      <c r="JR344" s="168"/>
      <c r="JS344" s="168"/>
      <c r="JT344" s="168"/>
      <c r="JU344" s="168"/>
      <c r="JV344" s="168"/>
      <c r="JW344" s="168"/>
      <c r="JX344" s="168"/>
      <c r="JY344" s="168"/>
      <c r="JZ344" s="168"/>
      <c r="KA344" s="168"/>
      <c r="KB344" s="168"/>
      <c r="KC344" s="168"/>
      <c r="KD344" s="168"/>
      <c r="KE344" s="168"/>
      <c r="KF344" s="168"/>
      <c r="KG344" s="168"/>
      <c r="KH344" s="168"/>
      <c r="KI344" s="168"/>
      <c r="KJ344" s="168"/>
      <c r="KK344" s="168"/>
      <c r="KL344" s="168"/>
      <c r="KM344" s="168"/>
      <c r="KN344" s="168"/>
      <c r="KO344" s="168"/>
      <c r="KP344" s="168"/>
      <c r="KQ344" s="168"/>
      <c r="KR344" s="168"/>
      <c r="KS344" s="168"/>
      <c r="KT344" s="168"/>
      <c r="KU344" s="168"/>
      <c r="KV344" s="168"/>
      <c r="KW344" s="168"/>
      <c r="KX344" s="168"/>
      <c r="KY344" s="168"/>
      <c r="KZ344" s="168"/>
      <c r="LA344" s="168"/>
      <c r="LB344" s="168"/>
      <c r="LC344" s="168"/>
      <c r="LD344" s="168"/>
      <c r="LE344" s="168"/>
      <c r="LF344" s="168"/>
      <c r="LG344" s="168"/>
      <c r="LH344" s="168"/>
      <c r="LI344" s="168"/>
      <c r="LJ344" s="168"/>
      <c r="LK344" s="168"/>
      <c r="LL344" s="168"/>
      <c r="LM344" s="168"/>
      <c r="LN344" s="168"/>
      <c r="LO344" s="168"/>
      <c r="LP344" s="606"/>
      <c r="LQ344" s="609"/>
      <c r="LR344" s="1319"/>
      <c r="LS344" s="1319"/>
    </row>
    <row r="345" spans="1:331" s="2" customFormat="1" ht="15" customHeight="1" x14ac:dyDescent="0.25">
      <c r="A345" s="283"/>
      <c r="B345" s="303"/>
      <c r="C345" s="301"/>
      <c r="D345" s="1287"/>
      <c r="E345" s="2298"/>
      <c r="F345" s="1812"/>
      <c r="G345" s="3342"/>
      <c r="H345" s="66"/>
      <c r="I345" s="1746"/>
      <c r="J345" s="1214"/>
      <c r="K345" s="105"/>
      <c r="L345" s="91"/>
      <c r="M345" s="92"/>
      <c r="N345" s="93"/>
      <c r="O345" s="94"/>
      <c r="P345" s="94"/>
      <c r="Q345" s="97"/>
      <c r="R345" s="993">
        <f t="shared" si="1147"/>
        <v>0</v>
      </c>
      <c r="S345" s="23">
        <f t="shared" si="1148"/>
        <v>0</v>
      </c>
      <c r="T345" s="24">
        <f t="shared" si="1159"/>
        <v>0</v>
      </c>
      <c r="U345" s="24">
        <f t="shared" si="1160"/>
        <v>0</v>
      </c>
      <c r="V345" s="24">
        <f t="shared" si="1161"/>
        <v>0</v>
      </c>
      <c r="W345" s="24">
        <f t="shared" ca="1" si="1162"/>
        <v>0</v>
      </c>
      <c r="X345" s="72">
        <f t="shared" ca="1" si="1119"/>
        <v>0</v>
      </c>
      <c r="Y345" s="72">
        <f t="shared" si="1163"/>
        <v>0</v>
      </c>
      <c r="Z345" s="24">
        <f t="shared" si="1164"/>
        <v>0</v>
      </c>
      <c r="AA345" s="72">
        <f t="shared" si="1120"/>
        <v>0</v>
      </c>
      <c r="AB345" s="24">
        <f t="shared" si="1131"/>
        <v>0</v>
      </c>
      <c r="AC345" s="24">
        <f t="shared" ca="1" si="1165"/>
        <v>0</v>
      </c>
      <c r="AD345" s="24">
        <f t="shared" si="1049"/>
        <v>0</v>
      </c>
      <c r="AE345" s="2078">
        <f t="shared" si="1125"/>
        <v>3</v>
      </c>
      <c r="AF345" s="2078">
        <f t="shared" si="1126"/>
        <v>0</v>
      </c>
      <c r="AG345" s="2078">
        <f t="shared" si="1127"/>
        <v>0</v>
      </c>
      <c r="AH345" s="2521">
        <f t="shared" si="1050"/>
        <v>1</v>
      </c>
      <c r="AI345" s="25" t="str">
        <f t="shared" si="1166"/>
        <v/>
      </c>
      <c r="AJ345" s="2521">
        <f t="shared" ca="1" si="1045"/>
        <v>0</v>
      </c>
      <c r="AK345" s="2076">
        <f t="shared" ca="1" si="1041"/>
        <v>0</v>
      </c>
      <c r="AL345" s="2078">
        <f>IF(ISBLANK(J345),0,ISERROR(MATCH(J345,'5  Control Accounts'!$FA$29:$FA$96,0))*1)</f>
        <v>0</v>
      </c>
      <c r="AM345" s="2076">
        <f t="shared" si="1167"/>
        <v>0</v>
      </c>
      <c r="AN345" s="2078">
        <f t="shared" si="1168"/>
        <v>1</v>
      </c>
      <c r="AO345" s="2079">
        <f t="shared" si="1051"/>
        <v>1</v>
      </c>
      <c r="AP345" s="2079">
        <f t="shared" si="1052"/>
        <v>0</v>
      </c>
      <c r="AQ345" s="2079">
        <f t="shared" si="1053"/>
        <v>0</v>
      </c>
      <c r="AR345" s="2079">
        <f t="shared" si="1054"/>
        <v>0</v>
      </c>
      <c r="AS345" s="2079">
        <f t="shared" si="1055"/>
        <v>0</v>
      </c>
      <c r="AT345" s="2079">
        <f t="shared" si="1056"/>
        <v>0</v>
      </c>
      <c r="AU345" s="2079">
        <f t="shared" si="1057"/>
        <v>0</v>
      </c>
      <c r="AV345" s="2079">
        <f t="shared" si="1058"/>
        <v>0</v>
      </c>
      <c r="AW345" s="2079">
        <f t="shared" si="1059"/>
        <v>0</v>
      </c>
      <c r="AX345" s="2079">
        <f t="shared" si="1060"/>
        <v>0</v>
      </c>
      <c r="AY345" s="2078">
        <f t="shared" si="1169"/>
        <v>0</v>
      </c>
      <c r="AZ345" s="2078">
        <f t="shared" si="1170"/>
        <v>0</v>
      </c>
      <c r="BA345" s="2078">
        <f t="shared" si="1171"/>
        <v>0</v>
      </c>
      <c r="BB345" s="2078">
        <f t="shared" si="1172"/>
        <v>0</v>
      </c>
      <c r="BC345" s="2078">
        <f t="shared" si="1173"/>
        <v>0</v>
      </c>
      <c r="BD345" s="2078">
        <f t="shared" si="1174"/>
        <v>0</v>
      </c>
      <c r="BE345" s="2078">
        <f t="shared" si="1175"/>
        <v>0</v>
      </c>
      <c r="BF345" s="2078">
        <f t="shared" si="1176"/>
        <v>0</v>
      </c>
      <c r="BG345" s="2078">
        <f t="shared" si="1177"/>
        <v>0</v>
      </c>
      <c r="BH345" s="2078">
        <f t="shared" si="1178"/>
        <v>0</v>
      </c>
      <c r="BI345" s="2078">
        <f t="shared" si="1179"/>
        <v>0</v>
      </c>
      <c r="BJ345" s="2078">
        <f t="shared" si="1180"/>
        <v>0</v>
      </c>
      <c r="BK345" s="2078">
        <f t="shared" si="1181"/>
        <v>0</v>
      </c>
      <c r="BL345" s="2078">
        <f t="shared" si="1182"/>
        <v>0</v>
      </c>
      <c r="BM345" s="2078">
        <f t="shared" si="1183"/>
        <v>0</v>
      </c>
      <c r="BN345" s="2078">
        <f t="shared" si="1184"/>
        <v>0</v>
      </c>
      <c r="BO345" s="2078">
        <f t="shared" si="1185"/>
        <v>0</v>
      </c>
      <c r="BP345" s="2078">
        <f t="shared" si="1186"/>
        <v>0</v>
      </c>
      <c r="BQ345" s="2078">
        <f t="shared" si="1187"/>
        <v>0</v>
      </c>
      <c r="BR345" s="2078">
        <f t="shared" si="1188"/>
        <v>0</v>
      </c>
      <c r="BS345" s="2079">
        <f t="shared" si="1061"/>
        <v>1</v>
      </c>
      <c r="BT345" s="2079">
        <f t="shared" si="1062"/>
        <v>0</v>
      </c>
      <c r="BU345" s="2079">
        <f t="shared" si="1063"/>
        <v>0</v>
      </c>
      <c r="BV345" s="2079">
        <f t="shared" si="1064"/>
        <v>0</v>
      </c>
      <c r="BW345" s="2079">
        <f t="shared" si="1065"/>
        <v>0</v>
      </c>
      <c r="BX345" s="2079">
        <f t="shared" si="1066"/>
        <v>0</v>
      </c>
      <c r="BY345" s="2079">
        <f t="shared" si="1067"/>
        <v>0</v>
      </c>
      <c r="BZ345" s="2079">
        <f t="shared" si="1068"/>
        <v>0</v>
      </c>
      <c r="CA345" s="2079">
        <f t="shared" si="1069"/>
        <v>0</v>
      </c>
      <c r="CB345" s="2079">
        <f t="shared" si="1070"/>
        <v>0</v>
      </c>
      <c r="CC345" s="2078">
        <f t="shared" ca="1" si="1189"/>
        <v>0</v>
      </c>
      <c r="CD345" s="2078">
        <f t="shared" ca="1" si="1190"/>
        <v>0</v>
      </c>
      <c r="CE345" s="2078">
        <f t="shared" ca="1" si="1191"/>
        <v>0</v>
      </c>
      <c r="CF345" s="2078">
        <f t="shared" ca="1" si="1192"/>
        <v>0</v>
      </c>
      <c r="CG345" s="2078">
        <f t="shared" ca="1" si="1193"/>
        <v>0</v>
      </c>
      <c r="CH345" s="2078">
        <f t="shared" ca="1" si="1194"/>
        <v>0</v>
      </c>
      <c r="CI345" s="2078">
        <f t="shared" ca="1" si="1195"/>
        <v>0</v>
      </c>
      <c r="CJ345" s="2078">
        <f t="shared" ca="1" si="1196"/>
        <v>0</v>
      </c>
      <c r="CK345" s="2078">
        <f t="shared" ca="1" si="1197"/>
        <v>0</v>
      </c>
      <c r="CL345" s="2078">
        <f t="shared" ca="1" si="1198"/>
        <v>0</v>
      </c>
      <c r="CM345" s="2078">
        <f t="shared" si="1132"/>
        <v>1</v>
      </c>
      <c r="CN345" s="2078">
        <f t="shared" si="1133"/>
        <v>1</v>
      </c>
      <c r="CO345" s="2078">
        <f t="shared" si="1121"/>
        <v>1</v>
      </c>
      <c r="CP345" s="2078">
        <f t="shared" si="1199"/>
        <v>1</v>
      </c>
      <c r="CQ345" s="2078">
        <f t="shared" si="1122"/>
        <v>0</v>
      </c>
      <c r="CR345" s="2078">
        <f t="shared" si="1042"/>
        <v>0</v>
      </c>
      <c r="CS345" s="2078">
        <f t="shared" si="1200"/>
        <v>0</v>
      </c>
      <c r="CT345" s="2078">
        <f t="shared" si="1123"/>
        <v>1</v>
      </c>
      <c r="CU345" s="2078">
        <f t="shared" si="1201"/>
        <v>1</v>
      </c>
      <c r="CV345" s="2078">
        <f t="shared" si="1134"/>
        <v>0</v>
      </c>
      <c r="CW345" s="2078">
        <f>IF(OR(AE345&lt;&gt;3,F345="Exclude"),0,IF(ISERROR(MATCH($E345,'4 Sign-off'!$S$123:$X$123,0)),0,1))</f>
        <v>0</v>
      </c>
      <c r="CX345" s="2078">
        <f t="shared" si="1154"/>
        <v>0</v>
      </c>
      <c r="CY345" s="2078">
        <f t="shared" si="1135"/>
        <v>0</v>
      </c>
      <c r="CZ345" s="2993">
        <f t="shared" ca="1" si="1149"/>
        <v>0</v>
      </c>
      <c r="DA345" s="3037">
        <f t="shared" ca="1" si="1150"/>
        <v>0</v>
      </c>
      <c r="DB345" s="1664"/>
      <c r="DC345" s="1320"/>
      <c r="DD345" s="589"/>
      <c r="DE345" s="1321"/>
      <c r="DF345" s="107"/>
      <c r="DG345" s="112"/>
      <c r="DH345" s="140"/>
      <c r="DI345" s="22"/>
      <c r="DJ345" s="145"/>
      <c r="DK345" s="137"/>
      <c r="DL345" s="137"/>
      <c r="DM345" s="137"/>
      <c r="DN345" s="137"/>
      <c r="DO345" s="137"/>
      <c r="DP345" s="137"/>
      <c r="DQ345" s="137"/>
      <c r="DR345" s="137"/>
      <c r="DS345" s="137"/>
      <c r="DT345" s="137"/>
      <c r="DU345" s="137"/>
      <c r="DV345" s="137"/>
      <c r="DW345" s="137"/>
      <c r="DX345" s="137"/>
      <c r="DY345" s="137"/>
      <c r="DZ345" s="137"/>
      <c r="EA345" s="137"/>
      <c r="EB345" s="137"/>
      <c r="EC345" s="137"/>
      <c r="ED345" s="137"/>
      <c r="EE345" s="137"/>
      <c r="EF345" s="137"/>
      <c r="EG345" s="137"/>
      <c r="EH345" s="137"/>
      <c r="EI345" s="137"/>
      <c r="EJ345" s="137"/>
      <c r="EK345" s="137"/>
      <c r="EL345" s="137"/>
      <c r="EM345" s="137"/>
      <c r="EN345" s="137"/>
      <c r="EO345" s="137"/>
      <c r="EP345" s="137"/>
      <c r="EQ345" s="137"/>
      <c r="ER345" s="137"/>
      <c r="ES345" s="137"/>
      <c r="ET345" s="137"/>
      <c r="EU345" s="137"/>
      <c r="EV345" s="137"/>
      <c r="EW345" s="137"/>
      <c r="EX345" s="137"/>
      <c r="EY345" s="137"/>
      <c r="EZ345" s="137"/>
      <c r="FA345" s="137"/>
      <c r="FB345" s="137"/>
      <c r="FC345" s="137"/>
      <c r="FD345" s="137"/>
      <c r="FE345" s="137"/>
      <c r="FF345" s="137"/>
      <c r="FG345" s="860"/>
      <c r="FH345" s="863"/>
      <c r="FI345" s="1318"/>
      <c r="FJ345" s="126"/>
      <c r="FK345" s="127"/>
      <c r="FL345" s="128" t="str">
        <f t="shared" si="1202"/>
        <v xml:space="preserve">    </v>
      </c>
      <c r="FM345" s="128"/>
      <c r="FN345" s="1686">
        <f t="shared" si="1203"/>
        <v>0</v>
      </c>
      <c r="FO345" s="46">
        <f t="shared" si="1136"/>
        <v>0</v>
      </c>
      <c r="FP345" s="46">
        <f t="shared" si="1153"/>
        <v>1</v>
      </c>
      <c r="FQ345" s="75">
        <f t="shared" si="1204"/>
        <v>0</v>
      </c>
      <c r="FR345" s="46">
        <f t="shared" si="1128"/>
        <v>0</v>
      </c>
      <c r="FS345" s="46">
        <f t="shared" si="1129"/>
        <v>1</v>
      </c>
      <c r="FT345" s="75">
        <f t="shared" si="1205"/>
        <v>0</v>
      </c>
      <c r="FU345" s="2603">
        <f t="shared" si="1137"/>
        <v>0</v>
      </c>
      <c r="FV345" s="2607">
        <f t="shared" si="1138"/>
        <v>0</v>
      </c>
      <c r="FW345" s="2603">
        <f t="shared" si="1139"/>
        <v>0</v>
      </c>
      <c r="FX345" s="2631">
        <f t="shared" si="1140"/>
        <v>0</v>
      </c>
      <c r="FY345" s="81" t="e">
        <f t="shared" si="1130"/>
        <v>#N/A</v>
      </c>
      <c r="FZ345" s="64" t="e">
        <f t="array" ref="FZ345">MATCH(1,($GT345:$LQ345&gt;0)*$GT$25:$LQ$25,0)</f>
        <v>#N/A</v>
      </c>
      <c r="GA345" s="64" t="e">
        <f t="array" ref="GA345">MATCH(2,1/(GT345:LQ345&gt;0))</f>
        <v>#N/A</v>
      </c>
      <c r="GB345" s="64">
        <f t="shared" si="1206"/>
        <v>-1</v>
      </c>
      <c r="GC345" s="46"/>
      <c r="GD345" s="613"/>
      <c r="GE345" s="613"/>
      <c r="GF345" s="613"/>
      <c r="GG345" s="613"/>
      <c r="GH345" s="613"/>
      <c r="GI345" s="613"/>
      <c r="GJ345" s="613"/>
      <c r="GK345" s="613"/>
      <c r="GL345" s="613"/>
      <c r="GM345" s="613"/>
      <c r="GN345" s="385">
        <f t="shared" si="1157"/>
        <v>0</v>
      </c>
      <c r="GO345" s="386">
        <f t="shared" si="1158"/>
        <v>0</v>
      </c>
      <c r="GP345" s="2635"/>
      <c r="GQ345" s="175"/>
      <c r="GR345" s="172"/>
      <c r="GS345" s="65"/>
      <c r="GT345" s="167"/>
      <c r="GU345" s="168"/>
      <c r="GV345" s="168"/>
      <c r="GW345" s="168"/>
      <c r="GX345" s="168"/>
      <c r="GY345" s="168"/>
      <c r="GZ345" s="168"/>
      <c r="HA345" s="168"/>
      <c r="HB345" s="168"/>
      <c r="HC345" s="168"/>
      <c r="HD345" s="168"/>
      <c r="HE345" s="168"/>
      <c r="HF345" s="168"/>
      <c r="HG345" s="168"/>
      <c r="HH345" s="168"/>
      <c r="HI345" s="168"/>
      <c r="HJ345" s="168"/>
      <c r="HK345" s="168"/>
      <c r="HL345" s="168"/>
      <c r="HM345" s="168"/>
      <c r="HN345" s="168"/>
      <c r="HO345" s="168"/>
      <c r="HP345" s="168"/>
      <c r="HQ345" s="168"/>
      <c r="HR345" s="168"/>
      <c r="HS345" s="168"/>
      <c r="HT345" s="168"/>
      <c r="HU345" s="168"/>
      <c r="HV345" s="168"/>
      <c r="HW345" s="168"/>
      <c r="HX345" s="168"/>
      <c r="HY345" s="168"/>
      <c r="HZ345" s="168"/>
      <c r="IA345" s="168"/>
      <c r="IB345" s="168"/>
      <c r="IC345" s="168"/>
      <c r="ID345" s="168"/>
      <c r="IE345" s="168"/>
      <c r="IF345" s="168"/>
      <c r="IG345" s="168"/>
      <c r="IH345" s="168"/>
      <c r="II345" s="168"/>
      <c r="IJ345" s="168"/>
      <c r="IK345" s="168"/>
      <c r="IL345" s="168"/>
      <c r="IM345" s="168"/>
      <c r="IN345" s="168"/>
      <c r="IO345" s="168"/>
      <c r="IP345" s="168"/>
      <c r="IQ345" s="168"/>
      <c r="IR345" s="168"/>
      <c r="IS345" s="168"/>
      <c r="IT345" s="168"/>
      <c r="IU345" s="168"/>
      <c r="IV345" s="168"/>
      <c r="IW345" s="168"/>
      <c r="IX345" s="168"/>
      <c r="IY345" s="168"/>
      <c r="IZ345" s="168"/>
      <c r="JA345" s="168"/>
      <c r="JB345" s="168"/>
      <c r="JC345" s="168"/>
      <c r="JD345" s="168"/>
      <c r="JE345" s="168"/>
      <c r="JF345" s="168"/>
      <c r="JG345" s="168"/>
      <c r="JH345" s="168"/>
      <c r="JI345" s="168"/>
      <c r="JJ345" s="168"/>
      <c r="JK345" s="168"/>
      <c r="JL345" s="168"/>
      <c r="JM345" s="168"/>
      <c r="JN345" s="168"/>
      <c r="JO345" s="168"/>
      <c r="JP345" s="168"/>
      <c r="JQ345" s="168"/>
      <c r="JR345" s="168"/>
      <c r="JS345" s="168"/>
      <c r="JT345" s="168"/>
      <c r="JU345" s="168"/>
      <c r="JV345" s="168"/>
      <c r="JW345" s="168"/>
      <c r="JX345" s="168"/>
      <c r="JY345" s="168"/>
      <c r="JZ345" s="168"/>
      <c r="KA345" s="168"/>
      <c r="KB345" s="168"/>
      <c r="KC345" s="168"/>
      <c r="KD345" s="168"/>
      <c r="KE345" s="168"/>
      <c r="KF345" s="168"/>
      <c r="KG345" s="168"/>
      <c r="KH345" s="168"/>
      <c r="KI345" s="168"/>
      <c r="KJ345" s="168"/>
      <c r="KK345" s="168"/>
      <c r="KL345" s="168"/>
      <c r="KM345" s="168"/>
      <c r="KN345" s="168"/>
      <c r="KO345" s="168"/>
      <c r="KP345" s="168"/>
      <c r="KQ345" s="168"/>
      <c r="KR345" s="168"/>
      <c r="KS345" s="168"/>
      <c r="KT345" s="168"/>
      <c r="KU345" s="168"/>
      <c r="KV345" s="168"/>
      <c r="KW345" s="168"/>
      <c r="KX345" s="168"/>
      <c r="KY345" s="168"/>
      <c r="KZ345" s="168"/>
      <c r="LA345" s="168"/>
      <c r="LB345" s="168"/>
      <c r="LC345" s="168"/>
      <c r="LD345" s="168"/>
      <c r="LE345" s="168"/>
      <c r="LF345" s="168"/>
      <c r="LG345" s="168"/>
      <c r="LH345" s="168"/>
      <c r="LI345" s="168"/>
      <c r="LJ345" s="168"/>
      <c r="LK345" s="168"/>
      <c r="LL345" s="168"/>
      <c r="LM345" s="168"/>
      <c r="LN345" s="168"/>
      <c r="LO345" s="168"/>
      <c r="LP345" s="606"/>
      <c r="LQ345" s="609"/>
      <c r="LR345" s="1319"/>
      <c r="LS345" s="1319"/>
    </row>
    <row r="346" spans="1:331" s="2" customFormat="1" ht="15" customHeight="1" x14ac:dyDescent="0.25">
      <c r="A346" s="283"/>
      <c r="B346" s="303"/>
      <c r="C346" s="301"/>
      <c r="D346" s="1287"/>
      <c r="E346" s="2298"/>
      <c r="F346" s="1812"/>
      <c r="G346" s="3342"/>
      <c r="H346" s="66"/>
      <c r="I346" s="1746"/>
      <c r="J346" s="1214"/>
      <c r="K346" s="105"/>
      <c r="L346" s="91"/>
      <c r="M346" s="92"/>
      <c r="N346" s="93"/>
      <c r="O346" s="94"/>
      <c r="P346" s="94"/>
      <c r="Q346" s="97"/>
      <c r="R346" s="993">
        <f t="shared" si="1147"/>
        <v>0</v>
      </c>
      <c r="S346" s="23">
        <f t="shared" si="1148"/>
        <v>0</v>
      </c>
      <c r="T346" s="24">
        <f t="shared" si="1159"/>
        <v>0</v>
      </c>
      <c r="U346" s="24">
        <f t="shared" si="1160"/>
        <v>0</v>
      </c>
      <c r="V346" s="24">
        <f t="shared" si="1161"/>
        <v>0</v>
      </c>
      <c r="W346" s="24">
        <f t="shared" ca="1" si="1162"/>
        <v>0</v>
      </c>
      <c r="X346" s="72">
        <f t="shared" ca="1" si="1119"/>
        <v>0</v>
      </c>
      <c r="Y346" s="72">
        <f t="shared" si="1163"/>
        <v>0</v>
      </c>
      <c r="Z346" s="24">
        <f t="shared" si="1164"/>
        <v>0</v>
      </c>
      <c r="AA346" s="72">
        <f t="shared" si="1120"/>
        <v>0</v>
      </c>
      <c r="AB346" s="24">
        <f t="shared" si="1131"/>
        <v>0</v>
      </c>
      <c r="AC346" s="24">
        <f t="shared" ca="1" si="1165"/>
        <v>0</v>
      </c>
      <c r="AD346" s="24">
        <f t="shared" si="1049"/>
        <v>0</v>
      </c>
      <c r="AE346" s="2078">
        <f t="shared" ref="AE346:AE364" si="1207">IF(N346="",3,IF(AND(L346&gt;0,M346&gt;0),2,1))</f>
        <v>3</v>
      </c>
      <c r="AF346" s="2078">
        <f t="shared" ref="AF346:AF364" si="1208">IF(AND(ISNUMBER(VALUE(L346)),RIGHT(L346,1)="0"),(L346+0.00001),L346)</f>
        <v>0</v>
      </c>
      <c r="AG346" s="2078">
        <f t="shared" ref="AG346:AG364" si="1209">IF(AND(ISNUMBER(VALUE(M346)),RIGHT(M346,1)="0"),(M346+0.00001),M346)</f>
        <v>0</v>
      </c>
      <c r="AH346" s="2521">
        <f t="shared" si="1050"/>
        <v>1</v>
      </c>
      <c r="AI346" s="25" t="str">
        <f t="shared" si="1166"/>
        <v/>
      </c>
      <c r="AJ346" s="2521">
        <f t="shared" ca="1" si="1045"/>
        <v>0</v>
      </c>
      <c r="AK346" s="2076">
        <f t="shared" ca="1" si="1041"/>
        <v>0</v>
      </c>
      <c r="AL346" s="2078">
        <f>IF(ISBLANK(J346),0,ISERROR(MATCH(J346,'5  Control Accounts'!$FA$29:$FA$96,0))*1)</f>
        <v>0</v>
      </c>
      <c r="AM346" s="2076">
        <f t="shared" si="1167"/>
        <v>0</v>
      </c>
      <c r="AN346" s="2078">
        <f t="shared" si="1168"/>
        <v>1</v>
      </c>
      <c r="AO346" s="2079">
        <f t="shared" si="1051"/>
        <v>1</v>
      </c>
      <c r="AP346" s="2079">
        <f t="shared" si="1052"/>
        <v>0</v>
      </c>
      <c r="AQ346" s="2079">
        <f t="shared" si="1053"/>
        <v>0</v>
      </c>
      <c r="AR346" s="2079">
        <f t="shared" si="1054"/>
        <v>0</v>
      </c>
      <c r="AS346" s="2079">
        <f t="shared" si="1055"/>
        <v>0</v>
      </c>
      <c r="AT346" s="2079">
        <f t="shared" si="1056"/>
        <v>0</v>
      </c>
      <c r="AU346" s="2079">
        <f t="shared" si="1057"/>
        <v>0</v>
      </c>
      <c r="AV346" s="2079">
        <f t="shared" si="1058"/>
        <v>0</v>
      </c>
      <c r="AW346" s="2079">
        <f t="shared" si="1059"/>
        <v>0</v>
      </c>
      <c r="AX346" s="2079">
        <f t="shared" si="1060"/>
        <v>0</v>
      </c>
      <c r="AY346" s="2078">
        <f t="shared" si="1169"/>
        <v>0</v>
      </c>
      <c r="AZ346" s="2078">
        <f t="shared" si="1170"/>
        <v>0</v>
      </c>
      <c r="BA346" s="2078">
        <f t="shared" si="1171"/>
        <v>0</v>
      </c>
      <c r="BB346" s="2078">
        <f t="shared" si="1172"/>
        <v>0</v>
      </c>
      <c r="BC346" s="2078">
        <f t="shared" si="1173"/>
        <v>0</v>
      </c>
      <c r="BD346" s="2078">
        <f t="shared" si="1174"/>
        <v>0</v>
      </c>
      <c r="BE346" s="2078">
        <f t="shared" si="1175"/>
        <v>0</v>
      </c>
      <c r="BF346" s="2078">
        <f t="shared" si="1176"/>
        <v>0</v>
      </c>
      <c r="BG346" s="2078">
        <f t="shared" si="1177"/>
        <v>0</v>
      </c>
      <c r="BH346" s="2078">
        <f t="shared" si="1178"/>
        <v>0</v>
      </c>
      <c r="BI346" s="2078">
        <f t="shared" si="1179"/>
        <v>0</v>
      </c>
      <c r="BJ346" s="2078">
        <f t="shared" si="1180"/>
        <v>0</v>
      </c>
      <c r="BK346" s="2078">
        <f t="shared" si="1181"/>
        <v>0</v>
      </c>
      <c r="BL346" s="2078">
        <f t="shared" si="1182"/>
        <v>0</v>
      </c>
      <c r="BM346" s="2078">
        <f t="shared" si="1183"/>
        <v>0</v>
      </c>
      <c r="BN346" s="2078">
        <f t="shared" si="1184"/>
        <v>0</v>
      </c>
      <c r="BO346" s="2078">
        <f t="shared" si="1185"/>
        <v>0</v>
      </c>
      <c r="BP346" s="2078">
        <f t="shared" si="1186"/>
        <v>0</v>
      </c>
      <c r="BQ346" s="2078">
        <f t="shared" si="1187"/>
        <v>0</v>
      </c>
      <c r="BR346" s="2078">
        <f t="shared" si="1188"/>
        <v>0</v>
      </c>
      <c r="BS346" s="2079">
        <f t="shared" si="1061"/>
        <v>1</v>
      </c>
      <c r="BT346" s="2079">
        <f t="shared" si="1062"/>
        <v>0</v>
      </c>
      <c r="BU346" s="2079">
        <f t="shared" si="1063"/>
        <v>0</v>
      </c>
      <c r="BV346" s="2079">
        <f t="shared" si="1064"/>
        <v>0</v>
      </c>
      <c r="BW346" s="2079">
        <f t="shared" si="1065"/>
        <v>0</v>
      </c>
      <c r="BX346" s="2079">
        <f t="shared" si="1066"/>
        <v>0</v>
      </c>
      <c r="BY346" s="2079">
        <f t="shared" si="1067"/>
        <v>0</v>
      </c>
      <c r="BZ346" s="2079">
        <f t="shared" si="1068"/>
        <v>0</v>
      </c>
      <c r="CA346" s="2079">
        <f t="shared" si="1069"/>
        <v>0</v>
      </c>
      <c r="CB346" s="2079">
        <f t="shared" si="1070"/>
        <v>0</v>
      </c>
      <c r="CC346" s="2078">
        <f t="shared" ca="1" si="1189"/>
        <v>0</v>
      </c>
      <c r="CD346" s="2078">
        <f t="shared" ca="1" si="1190"/>
        <v>0</v>
      </c>
      <c r="CE346" s="2078">
        <f t="shared" ca="1" si="1191"/>
        <v>0</v>
      </c>
      <c r="CF346" s="2078">
        <f t="shared" ca="1" si="1192"/>
        <v>0</v>
      </c>
      <c r="CG346" s="2078">
        <f t="shared" ca="1" si="1193"/>
        <v>0</v>
      </c>
      <c r="CH346" s="2078">
        <f t="shared" ca="1" si="1194"/>
        <v>0</v>
      </c>
      <c r="CI346" s="2078">
        <f t="shared" ca="1" si="1195"/>
        <v>0</v>
      </c>
      <c r="CJ346" s="2078">
        <f t="shared" ca="1" si="1196"/>
        <v>0</v>
      </c>
      <c r="CK346" s="2078">
        <f t="shared" ca="1" si="1197"/>
        <v>0</v>
      </c>
      <c r="CL346" s="2078">
        <f t="shared" ca="1" si="1198"/>
        <v>0</v>
      </c>
      <c r="CM346" s="2078">
        <f t="shared" si="1132"/>
        <v>1</v>
      </c>
      <c r="CN346" s="2078">
        <f t="shared" si="1133"/>
        <v>1</v>
      </c>
      <c r="CO346" s="2078">
        <f t="shared" si="1121"/>
        <v>1</v>
      </c>
      <c r="CP346" s="2078">
        <f t="shared" si="1199"/>
        <v>1</v>
      </c>
      <c r="CQ346" s="2078">
        <f t="shared" si="1122"/>
        <v>0</v>
      </c>
      <c r="CR346" s="2078">
        <f t="shared" si="1042"/>
        <v>0</v>
      </c>
      <c r="CS346" s="2078">
        <f t="shared" si="1200"/>
        <v>0</v>
      </c>
      <c r="CT346" s="2078">
        <f t="shared" si="1123"/>
        <v>1</v>
      </c>
      <c r="CU346" s="2078">
        <f t="shared" si="1201"/>
        <v>1</v>
      </c>
      <c r="CV346" s="2078">
        <f t="shared" si="1134"/>
        <v>0</v>
      </c>
      <c r="CW346" s="2078">
        <f>IF(OR(AE346&lt;&gt;3,F346="Exclude"),0,IF(ISERROR(MATCH($E346,'4 Sign-off'!$S$123:$X$123,0)),0,1))</f>
        <v>0</v>
      </c>
      <c r="CX346" s="2078">
        <f t="shared" si="1154"/>
        <v>0</v>
      </c>
      <c r="CY346" s="2078">
        <f t="shared" si="1135"/>
        <v>0</v>
      </c>
      <c r="CZ346" s="2993">
        <f t="shared" ca="1" si="1149"/>
        <v>0</v>
      </c>
      <c r="DA346" s="3037">
        <f t="shared" ca="1" si="1150"/>
        <v>0</v>
      </c>
      <c r="DB346" s="1664"/>
      <c r="DC346" s="1320"/>
      <c r="DD346" s="589"/>
      <c r="DE346" s="1321"/>
      <c r="DF346" s="107"/>
      <c r="DG346" s="112"/>
      <c r="DH346" s="140"/>
      <c r="DI346" s="22"/>
      <c r="DJ346" s="145"/>
      <c r="DK346" s="137"/>
      <c r="DL346" s="137"/>
      <c r="DM346" s="137"/>
      <c r="DN346" s="137"/>
      <c r="DO346" s="137"/>
      <c r="DP346" s="137"/>
      <c r="DQ346" s="137"/>
      <c r="DR346" s="137"/>
      <c r="DS346" s="137"/>
      <c r="DT346" s="137"/>
      <c r="DU346" s="137"/>
      <c r="DV346" s="137"/>
      <c r="DW346" s="137"/>
      <c r="DX346" s="137"/>
      <c r="DY346" s="137"/>
      <c r="DZ346" s="137"/>
      <c r="EA346" s="137"/>
      <c r="EB346" s="137"/>
      <c r="EC346" s="137"/>
      <c r="ED346" s="137"/>
      <c r="EE346" s="137"/>
      <c r="EF346" s="137"/>
      <c r="EG346" s="137"/>
      <c r="EH346" s="137"/>
      <c r="EI346" s="137"/>
      <c r="EJ346" s="137"/>
      <c r="EK346" s="137"/>
      <c r="EL346" s="137"/>
      <c r="EM346" s="137"/>
      <c r="EN346" s="137"/>
      <c r="EO346" s="137"/>
      <c r="EP346" s="137"/>
      <c r="EQ346" s="137"/>
      <c r="ER346" s="137"/>
      <c r="ES346" s="137"/>
      <c r="ET346" s="137"/>
      <c r="EU346" s="137"/>
      <c r="EV346" s="137"/>
      <c r="EW346" s="137"/>
      <c r="EX346" s="137"/>
      <c r="EY346" s="137"/>
      <c r="EZ346" s="137"/>
      <c r="FA346" s="137"/>
      <c r="FB346" s="137"/>
      <c r="FC346" s="137"/>
      <c r="FD346" s="137"/>
      <c r="FE346" s="137"/>
      <c r="FF346" s="137"/>
      <c r="FG346" s="860"/>
      <c r="FH346" s="863"/>
      <c r="FI346" s="1318"/>
      <c r="FJ346" s="126"/>
      <c r="FK346" s="127"/>
      <c r="FL346" s="128" t="str">
        <f t="shared" si="1202"/>
        <v xml:space="preserve">    </v>
      </c>
      <c r="FM346" s="128"/>
      <c r="FN346" s="1686">
        <f t="shared" si="1203"/>
        <v>0</v>
      </c>
      <c r="FO346" s="46">
        <f t="shared" si="1136"/>
        <v>0</v>
      </c>
      <c r="FP346" s="46">
        <f t="shared" ref="FP346" si="1210">IFERROR(1/FQ346,1)</f>
        <v>1</v>
      </c>
      <c r="FQ346" s="75">
        <f t="shared" si="1204"/>
        <v>0</v>
      </c>
      <c r="FR346" s="46">
        <f t="shared" si="1128"/>
        <v>0</v>
      </c>
      <c r="FS346" s="46">
        <f t="shared" si="1129"/>
        <v>1</v>
      </c>
      <c r="FT346" s="75">
        <f t="shared" si="1205"/>
        <v>0</v>
      </c>
      <c r="FU346" s="2603">
        <f t="shared" si="1137"/>
        <v>0</v>
      </c>
      <c r="FV346" s="2607">
        <f t="shared" si="1138"/>
        <v>0</v>
      </c>
      <c r="FW346" s="2603">
        <f t="shared" si="1139"/>
        <v>0</v>
      </c>
      <c r="FX346" s="2631">
        <f t="shared" si="1140"/>
        <v>0</v>
      </c>
      <c r="FY346" s="81" t="e">
        <f t="shared" ref="FY346:FY364" si="1211">IF($C$7&lt;&gt;"F",GA346,IF(GA346&lt;$GO$25,NA(),GA346))</f>
        <v>#N/A</v>
      </c>
      <c r="FZ346" s="64" t="e">
        <f t="array" ref="FZ346">MATCH(1,($GT346:$LQ346&gt;0)*$GT$25:$LQ$25,0)</f>
        <v>#N/A</v>
      </c>
      <c r="GA346" s="64" t="e">
        <f t="array" ref="GA346">MATCH(2,1/(GT346:LQ346&gt;0))</f>
        <v>#N/A</v>
      </c>
      <c r="GB346" s="64">
        <f t="shared" si="1206"/>
        <v>-1</v>
      </c>
      <c r="GC346" s="46"/>
      <c r="GD346" s="613"/>
      <c r="GE346" s="613"/>
      <c r="GF346" s="613"/>
      <c r="GG346" s="613"/>
      <c r="GH346" s="613"/>
      <c r="GI346" s="613"/>
      <c r="GJ346" s="613"/>
      <c r="GK346" s="613"/>
      <c r="GL346" s="613"/>
      <c r="GM346" s="613"/>
      <c r="GN346" s="385">
        <f t="shared" si="1157"/>
        <v>0</v>
      </c>
      <c r="GO346" s="386">
        <f t="shared" si="1158"/>
        <v>0</v>
      </c>
      <c r="GP346" s="2635"/>
      <c r="GQ346" s="175"/>
      <c r="GR346" s="172"/>
      <c r="GS346" s="65"/>
      <c r="GT346" s="167"/>
      <c r="GU346" s="168"/>
      <c r="GV346" s="168"/>
      <c r="GW346" s="168"/>
      <c r="GX346" s="168"/>
      <c r="GY346" s="168"/>
      <c r="GZ346" s="168"/>
      <c r="HA346" s="168"/>
      <c r="HB346" s="168"/>
      <c r="HC346" s="168"/>
      <c r="HD346" s="168"/>
      <c r="HE346" s="168"/>
      <c r="HF346" s="168"/>
      <c r="HG346" s="168"/>
      <c r="HH346" s="168"/>
      <c r="HI346" s="168"/>
      <c r="HJ346" s="168"/>
      <c r="HK346" s="168"/>
      <c r="HL346" s="168"/>
      <c r="HM346" s="168"/>
      <c r="HN346" s="168"/>
      <c r="HO346" s="168"/>
      <c r="HP346" s="168"/>
      <c r="HQ346" s="168"/>
      <c r="HR346" s="168"/>
      <c r="HS346" s="168"/>
      <c r="HT346" s="168"/>
      <c r="HU346" s="168"/>
      <c r="HV346" s="168"/>
      <c r="HW346" s="168"/>
      <c r="HX346" s="168"/>
      <c r="HY346" s="168"/>
      <c r="HZ346" s="168"/>
      <c r="IA346" s="168"/>
      <c r="IB346" s="168"/>
      <c r="IC346" s="168"/>
      <c r="ID346" s="168"/>
      <c r="IE346" s="168"/>
      <c r="IF346" s="168"/>
      <c r="IG346" s="168"/>
      <c r="IH346" s="168"/>
      <c r="II346" s="168"/>
      <c r="IJ346" s="168"/>
      <c r="IK346" s="168"/>
      <c r="IL346" s="168"/>
      <c r="IM346" s="168"/>
      <c r="IN346" s="168"/>
      <c r="IO346" s="168"/>
      <c r="IP346" s="168"/>
      <c r="IQ346" s="168"/>
      <c r="IR346" s="168"/>
      <c r="IS346" s="168"/>
      <c r="IT346" s="168"/>
      <c r="IU346" s="168"/>
      <c r="IV346" s="168"/>
      <c r="IW346" s="168"/>
      <c r="IX346" s="168"/>
      <c r="IY346" s="168"/>
      <c r="IZ346" s="168"/>
      <c r="JA346" s="168"/>
      <c r="JB346" s="168"/>
      <c r="JC346" s="168"/>
      <c r="JD346" s="168"/>
      <c r="JE346" s="168"/>
      <c r="JF346" s="168"/>
      <c r="JG346" s="168"/>
      <c r="JH346" s="168"/>
      <c r="JI346" s="168"/>
      <c r="JJ346" s="168"/>
      <c r="JK346" s="168"/>
      <c r="JL346" s="168"/>
      <c r="JM346" s="168"/>
      <c r="JN346" s="168"/>
      <c r="JO346" s="168"/>
      <c r="JP346" s="168"/>
      <c r="JQ346" s="168"/>
      <c r="JR346" s="168"/>
      <c r="JS346" s="168"/>
      <c r="JT346" s="168"/>
      <c r="JU346" s="168"/>
      <c r="JV346" s="168"/>
      <c r="JW346" s="168"/>
      <c r="JX346" s="168"/>
      <c r="JY346" s="168"/>
      <c r="JZ346" s="168"/>
      <c r="KA346" s="168"/>
      <c r="KB346" s="168"/>
      <c r="KC346" s="168"/>
      <c r="KD346" s="168"/>
      <c r="KE346" s="168"/>
      <c r="KF346" s="168"/>
      <c r="KG346" s="168"/>
      <c r="KH346" s="168"/>
      <c r="KI346" s="168"/>
      <c r="KJ346" s="168"/>
      <c r="KK346" s="168"/>
      <c r="KL346" s="168"/>
      <c r="KM346" s="168"/>
      <c r="KN346" s="168"/>
      <c r="KO346" s="168"/>
      <c r="KP346" s="168"/>
      <c r="KQ346" s="168"/>
      <c r="KR346" s="168"/>
      <c r="KS346" s="168"/>
      <c r="KT346" s="168"/>
      <c r="KU346" s="168"/>
      <c r="KV346" s="168"/>
      <c r="KW346" s="168"/>
      <c r="KX346" s="168"/>
      <c r="KY346" s="168"/>
      <c r="KZ346" s="168"/>
      <c r="LA346" s="168"/>
      <c r="LB346" s="168"/>
      <c r="LC346" s="168"/>
      <c r="LD346" s="168"/>
      <c r="LE346" s="168"/>
      <c r="LF346" s="168"/>
      <c r="LG346" s="168"/>
      <c r="LH346" s="168"/>
      <c r="LI346" s="168"/>
      <c r="LJ346" s="168"/>
      <c r="LK346" s="168"/>
      <c r="LL346" s="168"/>
      <c r="LM346" s="168"/>
      <c r="LN346" s="168"/>
      <c r="LO346" s="168"/>
      <c r="LP346" s="606"/>
      <c r="LQ346" s="609"/>
      <c r="LR346" s="1319"/>
      <c r="LS346" s="1319"/>
    </row>
    <row r="347" spans="1:331" s="2" customFormat="1" ht="15" customHeight="1" x14ac:dyDescent="0.25">
      <c r="A347" s="283"/>
      <c r="B347" s="303"/>
      <c r="C347" s="301"/>
      <c r="D347" s="1287"/>
      <c r="E347" s="2298"/>
      <c r="F347" s="1812"/>
      <c r="G347" s="3342"/>
      <c r="H347" s="66"/>
      <c r="I347" s="1746"/>
      <c r="J347" s="1214"/>
      <c r="K347" s="105"/>
      <c r="L347" s="91"/>
      <c r="M347" s="92"/>
      <c r="N347" s="93"/>
      <c r="O347" s="94"/>
      <c r="P347" s="94"/>
      <c r="Q347" s="97"/>
      <c r="R347" s="993">
        <f t="shared" si="1147"/>
        <v>0</v>
      </c>
      <c r="S347" s="23">
        <f t="shared" si="1148"/>
        <v>0</v>
      </c>
      <c r="T347" s="24">
        <f t="shared" si="1159"/>
        <v>0</v>
      </c>
      <c r="U347" s="24">
        <f t="shared" si="1160"/>
        <v>0</v>
      </c>
      <c r="V347" s="24">
        <f t="shared" si="1161"/>
        <v>0</v>
      </c>
      <c r="W347" s="24">
        <f t="shared" ca="1" si="1162"/>
        <v>0</v>
      </c>
      <c r="X347" s="72">
        <f t="shared" ca="1" si="1119"/>
        <v>0</v>
      </c>
      <c r="Y347" s="72">
        <f t="shared" si="1163"/>
        <v>0</v>
      </c>
      <c r="Z347" s="24">
        <f t="shared" si="1164"/>
        <v>0</v>
      </c>
      <c r="AA347" s="72">
        <f t="shared" si="1120"/>
        <v>0</v>
      </c>
      <c r="AB347" s="24">
        <f t="shared" si="1131"/>
        <v>0</v>
      </c>
      <c r="AC347" s="24">
        <f t="shared" ca="1" si="1165"/>
        <v>0</v>
      </c>
      <c r="AD347" s="24">
        <f t="shared" si="1049"/>
        <v>0</v>
      </c>
      <c r="AE347" s="2078">
        <f t="shared" si="1207"/>
        <v>3</v>
      </c>
      <c r="AF347" s="2078">
        <f t="shared" si="1208"/>
        <v>0</v>
      </c>
      <c r="AG347" s="2078">
        <f t="shared" si="1209"/>
        <v>0</v>
      </c>
      <c r="AH347" s="2521">
        <f t="shared" si="1050"/>
        <v>1</v>
      </c>
      <c r="AI347" s="25" t="str">
        <f t="shared" si="1166"/>
        <v/>
      </c>
      <c r="AJ347" s="2521">
        <f t="shared" ca="1" si="1045"/>
        <v>0</v>
      </c>
      <c r="AK347" s="2076">
        <f t="shared" ca="1" si="1041"/>
        <v>0</v>
      </c>
      <c r="AL347" s="2078">
        <f>IF(ISBLANK(J347),0,ISERROR(MATCH(J347,'5  Control Accounts'!$FA$29:$FA$96,0))*1)</f>
        <v>0</v>
      </c>
      <c r="AM347" s="2076">
        <f t="shared" si="1167"/>
        <v>0</v>
      </c>
      <c r="AN347" s="2078">
        <f t="shared" si="1168"/>
        <v>1</v>
      </c>
      <c r="AO347" s="2079">
        <f t="shared" si="1051"/>
        <v>1</v>
      </c>
      <c r="AP347" s="2079">
        <f t="shared" si="1052"/>
        <v>0</v>
      </c>
      <c r="AQ347" s="2079">
        <f t="shared" si="1053"/>
        <v>0</v>
      </c>
      <c r="AR347" s="2079">
        <f t="shared" si="1054"/>
        <v>0</v>
      </c>
      <c r="AS347" s="2079">
        <f t="shared" si="1055"/>
        <v>0</v>
      </c>
      <c r="AT347" s="2079">
        <f t="shared" si="1056"/>
        <v>0</v>
      </c>
      <c r="AU347" s="2079">
        <f t="shared" si="1057"/>
        <v>0</v>
      </c>
      <c r="AV347" s="2079">
        <f t="shared" si="1058"/>
        <v>0</v>
      </c>
      <c r="AW347" s="2079">
        <f t="shared" si="1059"/>
        <v>0</v>
      </c>
      <c r="AX347" s="2079">
        <f t="shared" si="1060"/>
        <v>0</v>
      </c>
      <c r="AY347" s="2078">
        <f t="shared" si="1169"/>
        <v>0</v>
      </c>
      <c r="AZ347" s="2078">
        <f t="shared" si="1170"/>
        <v>0</v>
      </c>
      <c r="BA347" s="2078">
        <f t="shared" si="1171"/>
        <v>0</v>
      </c>
      <c r="BB347" s="2078">
        <f t="shared" si="1172"/>
        <v>0</v>
      </c>
      <c r="BC347" s="2078">
        <f t="shared" si="1173"/>
        <v>0</v>
      </c>
      <c r="BD347" s="2078">
        <f t="shared" si="1174"/>
        <v>0</v>
      </c>
      <c r="BE347" s="2078">
        <f t="shared" si="1175"/>
        <v>0</v>
      </c>
      <c r="BF347" s="2078">
        <f t="shared" si="1176"/>
        <v>0</v>
      </c>
      <c r="BG347" s="2078">
        <f t="shared" si="1177"/>
        <v>0</v>
      </c>
      <c r="BH347" s="2078">
        <f t="shared" si="1178"/>
        <v>0</v>
      </c>
      <c r="BI347" s="2078">
        <f t="shared" si="1179"/>
        <v>0</v>
      </c>
      <c r="BJ347" s="2078">
        <f t="shared" si="1180"/>
        <v>0</v>
      </c>
      <c r="BK347" s="2078">
        <f t="shared" si="1181"/>
        <v>0</v>
      </c>
      <c r="BL347" s="2078">
        <f t="shared" si="1182"/>
        <v>0</v>
      </c>
      <c r="BM347" s="2078">
        <f t="shared" si="1183"/>
        <v>0</v>
      </c>
      <c r="BN347" s="2078">
        <f t="shared" si="1184"/>
        <v>0</v>
      </c>
      <c r="BO347" s="2078">
        <f t="shared" si="1185"/>
        <v>0</v>
      </c>
      <c r="BP347" s="2078">
        <f t="shared" si="1186"/>
        <v>0</v>
      </c>
      <c r="BQ347" s="2078">
        <f t="shared" si="1187"/>
        <v>0</v>
      </c>
      <c r="BR347" s="2078">
        <f t="shared" si="1188"/>
        <v>0</v>
      </c>
      <c r="BS347" s="2079">
        <f t="shared" si="1061"/>
        <v>1</v>
      </c>
      <c r="BT347" s="2079">
        <f t="shared" si="1062"/>
        <v>0</v>
      </c>
      <c r="BU347" s="2079">
        <f t="shared" si="1063"/>
        <v>0</v>
      </c>
      <c r="BV347" s="2079">
        <f t="shared" si="1064"/>
        <v>0</v>
      </c>
      <c r="BW347" s="2079">
        <f t="shared" si="1065"/>
        <v>0</v>
      </c>
      <c r="BX347" s="2079">
        <f t="shared" si="1066"/>
        <v>0</v>
      </c>
      <c r="BY347" s="2079">
        <f t="shared" si="1067"/>
        <v>0</v>
      </c>
      <c r="BZ347" s="2079">
        <f t="shared" si="1068"/>
        <v>0</v>
      </c>
      <c r="CA347" s="2079">
        <f t="shared" si="1069"/>
        <v>0</v>
      </c>
      <c r="CB347" s="2079">
        <f t="shared" si="1070"/>
        <v>0</v>
      </c>
      <c r="CC347" s="2078">
        <f t="shared" ca="1" si="1189"/>
        <v>0</v>
      </c>
      <c r="CD347" s="2078">
        <f t="shared" ca="1" si="1190"/>
        <v>0</v>
      </c>
      <c r="CE347" s="2078">
        <f t="shared" ca="1" si="1191"/>
        <v>0</v>
      </c>
      <c r="CF347" s="2078">
        <f t="shared" ca="1" si="1192"/>
        <v>0</v>
      </c>
      <c r="CG347" s="2078">
        <f t="shared" ca="1" si="1193"/>
        <v>0</v>
      </c>
      <c r="CH347" s="2078">
        <f t="shared" ca="1" si="1194"/>
        <v>0</v>
      </c>
      <c r="CI347" s="2078">
        <f t="shared" ca="1" si="1195"/>
        <v>0</v>
      </c>
      <c r="CJ347" s="2078">
        <f t="shared" ca="1" si="1196"/>
        <v>0</v>
      </c>
      <c r="CK347" s="2078">
        <f t="shared" ca="1" si="1197"/>
        <v>0</v>
      </c>
      <c r="CL347" s="2078">
        <f t="shared" ca="1" si="1198"/>
        <v>0</v>
      </c>
      <c r="CM347" s="2078">
        <f t="shared" si="1132"/>
        <v>1</v>
      </c>
      <c r="CN347" s="2078">
        <f t="shared" si="1133"/>
        <v>1</v>
      </c>
      <c r="CO347" s="2078">
        <f t="shared" si="1121"/>
        <v>1</v>
      </c>
      <c r="CP347" s="2078">
        <f t="shared" si="1199"/>
        <v>1</v>
      </c>
      <c r="CQ347" s="2078">
        <f t="shared" si="1122"/>
        <v>0</v>
      </c>
      <c r="CR347" s="2078">
        <f t="shared" si="1042"/>
        <v>0</v>
      </c>
      <c r="CS347" s="2078">
        <f t="shared" si="1200"/>
        <v>0</v>
      </c>
      <c r="CT347" s="2078">
        <f t="shared" si="1123"/>
        <v>1</v>
      </c>
      <c r="CU347" s="2078">
        <f t="shared" si="1201"/>
        <v>1</v>
      </c>
      <c r="CV347" s="2078">
        <f t="shared" si="1134"/>
        <v>0</v>
      </c>
      <c r="CW347" s="2078">
        <f>IF(OR(AE347&lt;&gt;3,F347="Exclude"),0,IF(ISERROR(MATCH($E347,'4 Sign-off'!$S$123:$X$123,0)),0,1))</f>
        <v>0</v>
      </c>
      <c r="CX347" s="2078">
        <f t="shared" si="1154"/>
        <v>0</v>
      </c>
      <c r="CY347" s="2078">
        <f t="shared" si="1135"/>
        <v>0</v>
      </c>
      <c r="CZ347" s="2993">
        <f t="shared" ca="1" si="1149"/>
        <v>0</v>
      </c>
      <c r="DA347" s="3037">
        <f t="shared" ca="1" si="1150"/>
        <v>0</v>
      </c>
      <c r="DB347" s="1664"/>
      <c r="DC347" s="1320"/>
      <c r="DD347" s="589"/>
      <c r="DE347" s="1321"/>
      <c r="DF347" s="107"/>
      <c r="DG347" s="112"/>
      <c r="DH347" s="140"/>
      <c r="DI347" s="22"/>
      <c r="DJ347" s="145"/>
      <c r="DK347" s="137"/>
      <c r="DL347" s="137"/>
      <c r="DM347" s="137"/>
      <c r="DN347" s="137"/>
      <c r="DO347" s="137"/>
      <c r="DP347" s="137"/>
      <c r="DQ347" s="137"/>
      <c r="DR347" s="137"/>
      <c r="DS347" s="137"/>
      <c r="DT347" s="137"/>
      <c r="DU347" s="137"/>
      <c r="DV347" s="137"/>
      <c r="DW347" s="137"/>
      <c r="DX347" s="137"/>
      <c r="DY347" s="137"/>
      <c r="DZ347" s="137"/>
      <c r="EA347" s="137"/>
      <c r="EB347" s="137"/>
      <c r="EC347" s="137"/>
      <c r="ED347" s="137"/>
      <c r="EE347" s="137"/>
      <c r="EF347" s="137"/>
      <c r="EG347" s="137"/>
      <c r="EH347" s="137"/>
      <c r="EI347" s="137"/>
      <c r="EJ347" s="137"/>
      <c r="EK347" s="137"/>
      <c r="EL347" s="137"/>
      <c r="EM347" s="137"/>
      <c r="EN347" s="137"/>
      <c r="EO347" s="137"/>
      <c r="EP347" s="137"/>
      <c r="EQ347" s="137"/>
      <c r="ER347" s="137"/>
      <c r="ES347" s="137"/>
      <c r="ET347" s="137"/>
      <c r="EU347" s="137"/>
      <c r="EV347" s="137"/>
      <c r="EW347" s="137"/>
      <c r="EX347" s="137"/>
      <c r="EY347" s="137"/>
      <c r="EZ347" s="137"/>
      <c r="FA347" s="137"/>
      <c r="FB347" s="137"/>
      <c r="FC347" s="137"/>
      <c r="FD347" s="137"/>
      <c r="FE347" s="137"/>
      <c r="FF347" s="137"/>
      <c r="FG347" s="860"/>
      <c r="FH347" s="863"/>
      <c r="FI347" s="1318"/>
      <c r="FJ347" s="126"/>
      <c r="FK347" s="127"/>
      <c r="FL347" s="128" t="str">
        <f t="shared" si="1202"/>
        <v xml:space="preserve">    </v>
      </c>
      <c r="FM347" s="128"/>
      <c r="FN347" s="1686">
        <f t="shared" si="1203"/>
        <v>0</v>
      </c>
      <c r="FO347" s="46">
        <f t="shared" si="1136"/>
        <v>0</v>
      </c>
      <c r="FP347" s="46">
        <f t="shared" ref="FP347:FP352" si="1212">IFERROR(1/FQ347,1)</f>
        <v>1</v>
      </c>
      <c r="FQ347" s="75">
        <f t="shared" si="1204"/>
        <v>0</v>
      </c>
      <c r="FR347" s="46">
        <f t="shared" si="1128"/>
        <v>0</v>
      </c>
      <c r="FS347" s="46">
        <f t="shared" ref="FS347:FS364" si="1213">IFERROR(AN347/FQ347,1)</f>
        <v>1</v>
      </c>
      <c r="FT347" s="75">
        <f t="shared" si="1205"/>
        <v>0</v>
      </c>
      <c r="FU347" s="2603">
        <f t="shared" si="1137"/>
        <v>0</v>
      </c>
      <c r="FV347" s="2607">
        <f t="shared" si="1138"/>
        <v>0</v>
      </c>
      <c r="FW347" s="2603">
        <f t="shared" si="1139"/>
        <v>0</v>
      </c>
      <c r="FX347" s="2631">
        <f t="shared" si="1140"/>
        <v>0</v>
      </c>
      <c r="FY347" s="81" t="e">
        <f t="shared" si="1211"/>
        <v>#N/A</v>
      </c>
      <c r="FZ347" s="64" t="e">
        <f t="array" ref="FZ347">MATCH(1,($GT347:$LQ347&gt;0)*$GT$25:$LQ$25,0)</f>
        <v>#N/A</v>
      </c>
      <c r="GA347" s="64" t="e">
        <f t="array" ref="GA347">MATCH(2,1/(GT347:LQ347&gt;0))</f>
        <v>#N/A</v>
      </c>
      <c r="GB347" s="64">
        <f t="shared" si="1206"/>
        <v>-1</v>
      </c>
      <c r="GC347" s="46"/>
      <c r="GD347" s="613"/>
      <c r="GE347" s="613"/>
      <c r="GF347" s="613"/>
      <c r="GG347" s="613"/>
      <c r="GH347" s="613"/>
      <c r="GI347" s="613"/>
      <c r="GJ347" s="613"/>
      <c r="GK347" s="613"/>
      <c r="GL347" s="613"/>
      <c r="GM347" s="613"/>
      <c r="GN347" s="385">
        <f t="shared" si="1157"/>
        <v>0</v>
      </c>
      <c r="GO347" s="386">
        <f t="shared" si="1158"/>
        <v>0</v>
      </c>
      <c r="GP347" s="2635"/>
      <c r="GQ347" s="175"/>
      <c r="GR347" s="172"/>
      <c r="GS347" s="65"/>
      <c r="GT347" s="167"/>
      <c r="GU347" s="168"/>
      <c r="GV347" s="168"/>
      <c r="GW347" s="168"/>
      <c r="GX347" s="168"/>
      <c r="GY347" s="168"/>
      <c r="GZ347" s="168"/>
      <c r="HA347" s="168"/>
      <c r="HB347" s="168"/>
      <c r="HC347" s="168"/>
      <c r="HD347" s="168"/>
      <c r="HE347" s="168"/>
      <c r="HF347" s="168"/>
      <c r="HG347" s="168"/>
      <c r="HH347" s="168"/>
      <c r="HI347" s="168"/>
      <c r="HJ347" s="168"/>
      <c r="HK347" s="168"/>
      <c r="HL347" s="168"/>
      <c r="HM347" s="168"/>
      <c r="HN347" s="168"/>
      <c r="HO347" s="168"/>
      <c r="HP347" s="168"/>
      <c r="HQ347" s="168"/>
      <c r="HR347" s="168"/>
      <c r="HS347" s="168"/>
      <c r="HT347" s="168"/>
      <c r="HU347" s="168"/>
      <c r="HV347" s="168"/>
      <c r="HW347" s="168"/>
      <c r="HX347" s="168"/>
      <c r="HY347" s="168"/>
      <c r="HZ347" s="168"/>
      <c r="IA347" s="168"/>
      <c r="IB347" s="168"/>
      <c r="IC347" s="168"/>
      <c r="ID347" s="168"/>
      <c r="IE347" s="168"/>
      <c r="IF347" s="168"/>
      <c r="IG347" s="168"/>
      <c r="IH347" s="168"/>
      <c r="II347" s="168"/>
      <c r="IJ347" s="168"/>
      <c r="IK347" s="168"/>
      <c r="IL347" s="168"/>
      <c r="IM347" s="168"/>
      <c r="IN347" s="168"/>
      <c r="IO347" s="168"/>
      <c r="IP347" s="168"/>
      <c r="IQ347" s="168"/>
      <c r="IR347" s="168"/>
      <c r="IS347" s="168"/>
      <c r="IT347" s="168"/>
      <c r="IU347" s="168"/>
      <c r="IV347" s="168"/>
      <c r="IW347" s="168"/>
      <c r="IX347" s="168"/>
      <c r="IY347" s="168"/>
      <c r="IZ347" s="168"/>
      <c r="JA347" s="168"/>
      <c r="JB347" s="168"/>
      <c r="JC347" s="168"/>
      <c r="JD347" s="168"/>
      <c r="JE347" s="168"/>
      <c r="JF347" s="168"/>
      <c r="JG347" s="168"/>
      <c r="JH347" s="168"/>
      <c r="JI347" s="168"/>
      <c r="JJ347" s="168"/>
      <c r="JK347" s="168"/>
      <c r="JL347" s="168"/>
      <c r="JM347" s="168"/>
      <c r="JN347" s="168"/>
      <c r="JO347" s="168"/>
      <c r="JP347" s="168"/>
      <c r="JQ347" s="168"/>
      <c r="JR347" s="168"/>
      <c r="JS347" s="168"/>
      <c r="JT347" s="168"/>
      <c r="JU347" s="168"/>
      <c r="JV347" s="168"/>
      <c r="JW347" s="168"/>
      <c r="JX347" s="168"/>
      <c r="JY347" s="168"/>
      <c r="JZ347" s="168"/>
      <c r="KA347" s="168"/>
      <c r="KB347" s="168"/>
      <c r="KC347" s="168"/>
      <c r="KD347" s="168"/>
      <c r="KE347" s="168"/>
      <c r="KF347" s="168"/>
      <c r="KG347" s="168"/>
      <c r="KH347" s="168"/>
      <c r="KI347" s="168"/>
      <c r="KJ347" s="168"/>
      <c r="KK347" s="168"/>
      <c r="KL347" s="168"/>
      <c r="KM347" s="168"/>
      <c r="KN347" s="168"/>
      <c r="KO347" s="168"/>
      <c r="KP347" s="168"/>
      <c r="KQ347" s="168"/>
      <c r="KR347" s="168"/>
      <c r="KS347" s="168"/>
      <c r="KT347" s="168"/>
      <c r="KU347" s="168"/>
      <c r="KV347" s="168"/>
      <c r="KW347" s="168"/>
      <c r="KX347" s="168"/>
      <c r="KY347" s="168"/>
      <c r="KZ347" s="168"/>
      <c r="LA347" s="168"/>
      <c r="LB347" s="168"/>
      <c r="LC347" s="168"/>
      <c r="LD347" s="168"/>
      <c r="LE347" s="168"/>
      <c r="LF347" s="168"/>
      <c r="LG347" s="168"/>
      <c r="LH347" s="168"/>
      <c r="LI347" s="168"/>
      <c r="LJ347" s="168"/>
      <c r="LK347" s="168"/>
      <c r="LL347" s="168"/>
      <c r="LM347" s="168"/>
      <c r="LN347" s="168"/>
      <c r="LO347" s="168"/>
      <c r="LP347" s="606"/>
      <c r="LQ347" s="609"/>
      <c r="LR347" s="1319"/>
      <c r="LS347" s="1319"/>
    </row>
    <row r="348" spans="1:331" s="2" customFormat="1" ht="15" customHeight="1" x14ac:dyDescent="0.25">
      <c r="A348" s="283"/>
      <c r="B348" s="303"/>
      <c r="C348" s="301"/>
      <c r="D348" s="1287"/>
      <c r="E348" s="2298"/>
      <c r="F348" s="1812"/>
      <c r="G348" s="3342"/>
      <c r="H348" s="66"/>
      <c r="I348" s="1746"/>
      <c r="J348" s="1214"/>
      <c r="K348" s="105"/>
      <c r="L348" s="91"/>
      <c r="M348" s="92"/>
      <c r="N348" s="93"/>
      <c r="O348" s="94"/>
      <c r="P348" s="94"/>
      <c r="Q348" s="97"/>
      <c r="R348" s="993">
        <f t="shared" si="1147"/>
        <v>0</v>
      </c>
      <c r="S348" s="23">
        <f t="shared" si="1148"/>
        <v>0</v>
      </c>
      <c r="T348" s="24">
        <f t="shared" si="1159"/>
        <v>0</v>
      </c>
      <c r="U348" s="24">
        <f t="shared" si="1160"/>
        <v>0</v>
      </c>
      <c r="V348" s="24">
        <f t="shared" si="1161"/>
        <v>0</v>
      </c>
      <c r="W348" s="24">
        <f t="shared" ca="1" si="1162"/>
        <v>0</v>
      </c>
      <c r="X348" s="72">
        <f t="shared" ca="1" si="1119"/>
        <v>0</v>
      </c>
      <c r="Y348" s="72">
        <f t="shared" si="1163"/>
        <v>0</v>
      </c>
      <c r="Z348" s="24">
        <f t="shared" si="1164"/>
        <v>0</v>
      </c>
      <c r="AA348" s="72">
        <f t="shared" si="1120"/>
        <v>0</v>
      </c>
      <c r="AB348" s="24">
        <f t="shared" si="1131"/>
        <v>0</v>
      </c>
      <c r="AC348" s="24">
        <f t="shared" ca="1" si="1165"/>
        <v>0</v>
      </c>
      <c r="AD348" s="24">
        <f t="shared" si="1049"/>
        <v>0</v>
      </c>
      <c r="AE348" s="2078">
        <f t="shared" si="1207"/>
        <v>3</v>
      </c>
      <c r="AF348" s="2078">
        <f t="shared" si="1208"/>
        <v>0</v>
      </c>
      <c r="AG348" s="2078">
        <f t="shared" si="1209"/>
        <v>0</v>
      </c>
      <c r="AH348" s="2521">
        <f t="shared" si="1050"/>
        <v>1</v>
      </c>
      <c r="AI348" s="25" t="str">
        <f t="shared" si="1166"/>
        <v/>
      </c>
      <c r="AJ348" s="2521">
        <f t="shared" ca="1" si="1045"/>
        <v>0</v>
      </c>
      <c r="AK348" s="2076">
        <f t="shared" ca="1" si="1041"/>
        <v>0</v>
      </c>
      <c r="AL348" s="2078">
        <f>IF(ISBLANK(J348),0,ISERROR(MATCH(J348,'5  Control Accounts'!$FA$29:$FA$96,0))*1)</f>
        <v>0</v>
      </c>
      <c r="AM348" s="2076">
        <f t="shared" si="1167"/>
        <v>0</v>
      </c>
      <c r="AN348" s="2078">
        <f t="shared" si="1168"/>
        <v>1</v>
      </c>
      <c r="AO348" s="2079">
        <f t="shared" si="1051"/>
        <v>1</v>
      </c>
      <c r="AP348" s="2079">
        <f t="shared" si="1052"/>
        <v>0</v>
      </c>
      <c r="AQ348" s="2079">
        <f t="shared" si="1053"/>
        <v>0</v>
      </c>
      <c r="AR348" s="2079">
        <f t="shared" si="1054"/>
        <v>0</v>
      </c>
      <c r="AS348" s="2079">
        <f t="shared" si="1055"/>
        <v>0</v>
      </c>
      <c r="AT348" s="2079">
        <f t="shared" si="1056"/>
        <v>0</v>
      </c>
      <c r="AU348" s="2079">
        <f t="shared" si="1057"/>
        <v>0</v>
      </c>
      <c r="AV348" s="2079">
        <f t="shared" si="1058"/>
        <v>0</v>
      </c>
      <c r="AW348" s="2079">
        <f t="shared" si="1059"/>
        <v>0</v>
      </c>
      <c r="AX348" s="2079">
        <f t="shared" si="1060"/>
        <v>0</v>
      </c>
      <c r="AY348" s="2078">
        <f t="shared" si="1169"/>
        <v>0</v>
      </c>
      <c r="AZ348" s="2078">
        <f t="shared" si="1170"/>
        <v>0</v>
      </c>
      <c r="BA348" s="2078">
        <f t="shared" si="1171"/>
        <v>0</v>
      </c>
      <c r="BB348" s="2078">
        <f t="shared" si="1172"/>
        <v>0</v>
      </c>
      <c r="BC348" s="2078">
        <f t="shared" si="1173"/>
        <v>0</v>
      </c>
      <c r="BD348" s="2078">
        <f t="shared" si="1174"/>
        <v>0</v>
      </c>
      <c r="BE348" s="2078">
        <f t="shared" si="1175"/>
        <v>0</v>
      </c>
      <c r="BF348" s="2078">
        <f t="shared" si="1176"/>
        <v>0</v>
      </c>
      <c r="BG348" s="2078">
        <f t="shared" si="1177"/>
        <v>0</v>
      </c>
      <c r="BH348" s="2078">
        <f t="shared" si="1178"/>
        <v>0</v>
      </c>
      <c r="BI348" s="2078">
        <f t="shared" si="1179"/>
        <v>0</v>
      </c>
      <c r="BJ348" s="2078">
        <f t="shared" si="1180"/>
        <v>0</v>
      </c>
      <c r="BK348" s="2078">
        <f t="shared" si="1181"/>
        <v>0</v>
      </c>
      <c r="BL348" s="2078">
        <f t="shared" si="1182"/>
        <v>0</v>
      </c>
      <c r="BM348" s="2078">
        <f t="shared" si="1183"/>
        <v>0</v>
      </c>
      <c r="BN348" s="2078">
        <f t="shared" si="1184"/>
        <v>0</v>
      </c>
      <c r="BO348" s="2078">
        <f t="shared" si="1185"/>
        <v>0</v>
      </c>
      <c r="BP348" s="2078">
        <f t="shared" si="1186"/>
        <v>0</v>
      </c>
      <c r="BQ348" s="2078">
        <f t="shared" si="1187"/>
        <v>0</v>
      </c>
      <c r="BR348" s="2078">
        <f t="shared" si="1188"/>
        <v>0</v>
      </c>
      <c r="BS348" s="2079">
        <f t="shared" si="1061"/>
        <v>1</v>
      </c>
      <c r="BT348" s="2079">
        <f t="shared" si="1062"/>
        <v>0</v>
      </c>
      <c r="BU348" s="2079">
        <f t="shared" si="1063"/>
        <v>0</v>
      </c>
      <c r="BV348" s="2079">
        <f t="shared" si="1064"/>
        <v>0</v>
      </c>
      <c r="BW348" s="2079">
        <f t="shared" si="1065"/>
        <v>0</v>
      </c>
      <c r="BX348" s="2079">
        <f t="shared" si="1066"/>
        <v>0</v>
      </c>
      <c r="BY348" s="2079">
        <f t="shared" si="1067"/>
        <v>0</v>
      </c>
      <c r="BZ348" s="2079">
        <f t="shared" si="1068"/>
        <v>0</v>
      </c>
      <c r="CA348" s="2079">
        <f t="shared" si="1069"/>
        <v>0</v>
      </c>
      <c r="CB348" s="2079">
        <f t="shared" si="1070"/>
        <v>0</v>
      </c>
      <c r="CC348" s="2078">
        <f t="shared" ca="1" si="1189"/>
        <v>0</v>
      </c>
      <c r="CD348" s="2078">
        <f t="shared" ca="1" si="1190"/>
        <v>0</v>
      </c>
      <c r="CE348" s="2078">
        <f t="shared" ca="1" si="1191"/>
        <v>0</v>
      </c>
      <c r="CF348" s="2078">
        <f t="shared" ca="1" si="1192"/>
        <v>0</v>
      </c>
      <c r="CG348" s="2078">
        <f t="shared" ca="1" si="1193"/>
        <v>0</v>
      </c>
      <c r="CH348" s="2078">
        <f t="shared" ca="1" si="1194"/>
        <v>0</v>
      </c>
      <c r="CI348" s="2078">
        <f t="shared" ca="1" si="1195"/>
        <v>0</v>
      </c>
      <c r="CJ348" s="2078">
        <f t="shared" ca="1" si="1196"/>
        <v>0</v>
      </c>
      <c r="CK348" s="2078">
        <f t="shared" ca="1" si="1197"/>
        <v>0</v>
      </c>
      <c r="CL348" s="2078">
        <f t="shared" ca="1" si="1198"/>
        <v>0</v>
      </c>
      <c r="CM348" s="2078">
        <f t="shared" si="1132"/>
        <v>1</v>
      </c>
      <c r="CN348" s="2078">
        <f t="shared" si="1133"/>
        <v>1</v>
      </c>
      <c r="CO348" s="2078">
        <f t="shared" si="1121"/>
        <v>1</v>
      </c>
      <c r="CP348" s="2078">
        <f t="shared" si="1199"/>
        <v>1</v>
      </c>
      <c r="CQ348" s="2078">
        <f t="shared" si="1122"/>
        <v>0</v>
      </c>
      <c r="CR348" s="2078">
        <f t="shared" si="1042"/>
        <v>0</v>
      </c>
      <c r="CS348" s="2078">
        <f t="shared" si="1200"/>
        <v>0</v>
      </c>
      <c r="CT348" s="2078">
        <f t="shared" si="1123"/>
        <v>1</v>
      </c>
      <c r="CU348" s="2078">
        <f t="shared" si="1201"/>
        <v>1</v>
      </c>
      <c r="CV348" s="2078">
        <f t="shared" si="1134"/>
        <v>0</v>
      </c>
      <c r="CW348" s="2078">
        <f>IF(OR(AE348&lt;&gt;3,F348="Exclude"),0,IF(ISERROR(MATCH($E348,'4 Sign-off'!$S$123:$X$123,0)),0,1))</f>
        <v>0</v>
      </c>
      <c r="CX348" s="2078">
        <f t="shared" si="1154"/>
        <v>0</v>
      </c>
      <c r="CY348" s="2078">
        <f t="shared" si="1135"/>
        <v>0</v>
      </c>
      <c r="CZ348" s="2993">
        <f t="shared" ca="1" si="1149"/>
        <v>0</v>
      </c>
      <c r="DA348" s="3037">
        <f t="shared" ca="1" si="1150"/>
        <v>0</v>
      </c>
      <c r="DB348" s="1664"/>
      <c r="DC348" s="1320"/>
      <c r="DD348" s="589"/>
      <c r="DE348" s="1321"/>
      <c r="DF348" s="107"/>
      <c r="DG348" s="112"/>
      <c r="DH348" s="140"/>
      <c r="DI348" s="22"/>
      <c r="DJ348" s="145"/>
      <c r="DK348" s="137"/>
      <c r="DL348" s="137"/>
      <c r="DM348" s="137"/>
      <c r="DN348" s="137"/>
      <c r="DO348" s="137"/>
      <c r="DP348" s="137"/>
      <c r="DQ348" s="137"/>
      <c r="DR348" s="137"/>
      <c r="DS348" s="137"/>
      <c r="DT348" s="137"/>
      <c r="DU348" s="137"/>
      <c r="DV348" s="137"/>
      <c r="DW348" s="137"/>
      <c r="DX348" s="137"/>
      <c r="DY348" s="137"/>
      <c r="DZ348" s="137"/>
      <c r="EA348" s="137"/>
      <c r="EB348" s="137"/>
      <c r="EC348" s="137"/>
      <c r="ED348" s="137"/>
      <c r="EE348" s="137"/>
      <c r="EF348" s="137"/>
      <c r="EG348" s="137"/>
      <c r="EH348" s="137"/>
      <c r="EI348" s="137"/>
      <c r="EJ348" s="137"/>
      <c r="EK348" s="137"/>
      <c r="EL348" s="137"/>
      <c r="EM348" s="137"/>
      <c r="EN348" s="137"/>
      <c r="EO348" s="137"/>
      <c r="EP348" s="137"/>
      <c r="EQ348" s="137"/>
      <c r="ER348" s="137"/>
      <c r="ES348" s="137"/>
      <c r="ET348" s="137"/>
      <c r="EU348" s="137"/>
      <c r="EV348" s="137"/>
      <c r="EW348" s="137"/>
      <c r="EX348" s="137"/>
      <c r="EY348" s="137"/>
      <c r="EZ348" s="137"/>
      <c r="FA348" s="137"/>
      <c r="FB348" s="137"/>
      <c r="FC348" s="137"/>
      <c r="FD348" s="137"/>
      <c r="FE348" s="137"/>
      <c r="FF348" s="137"/>
      <c r="FG348" s="860"/>
      <c r="FH348" s="863"/>
      <c r="FI348" s="1318"/>
      <c r="FJ348" s="126"/>
      <c r="FK348" s="127"/>
      <c r="FL348" s="128" t="str">
        <f t="shared" si="1202"/>
        <v xml:space="preserve">    </v>
      </c>
      <c r="FM348" s="128"/>
      <c r="FN348" s="1686">
        <f t="shared" si="1203"/>
        <v>0</v>
      </c>
      <c r="FO348" s="46">
        <f t="shared" si="1136"/>
        <v>0</v>
      </c>
      <c r="FP348" s="46">
        <f t="shared" si="1212"/>
        <v>1</v>
      </c>
      <c r="FQ348" s="75">
        <f t="shared" si="1204"/>
        <v>0</v>
      </c>
      <c r="FR348" s="46">
        <f t="shared" si="1128"/>
        <v>0</v>
      </c>
      <c r="FS348" s="46">
        <f t="shared" si="1213"/>
        <v>1</v>
      </c>
      <c r="FT348" s="75">
        <f t="shared" si="1205"/>
        <v>0</v>
      </c>
      <c r="FU348" s="2603">
        <f t="shared" si="1137"/>
        <v>0</v>
      </c>
      <c r="FV348" s="2607">
        <f t="shared" si="1138"/>
        <v>0</v>
      </c>
      <c r="FW348" s="2603">
        <f t="shared" si="1139"/>
        <v>0</v>
      </c>
      <c r="FX348" s="2631">
        <f t="shared" si="1140"/>
        <v>0</v>
      </c>
      <c r="FY348" s="81" t="e">
        <f t="shared" si="1211"/>
        <v>#N/A</v>
      </c>
      <c r="FZ348" s="64" t="e">
        <f t="array" ref="FZ348">MATCH(1,($GT348:$LQ348&gt;0)*$GT$25:$LQ$25,0)</f>
        <v>#N/A</v>
      </c>
      <c r="GA348" s="64" t="e">
        <f t="array" ref="GA348">MATCH(2,1/(GT348:LQ348&gt;0))</f>
        <v>#N/A</v>
      </c>
      <c r="GB348" s="64">
        <f t="shared" si="1206"/>
        <v>-1</v>
      </c>
      <c r="GC348" s="46"/>
      <c r="GD348" s="613"/>
      <c r="GE348" s="613"/>
      <c r="GF348" s="613"/>
      <c r="GG348" s="613"/>
      <c r="GH348" s="613"/>
      <c r="GI348" s="613"/>
      <c r="GJ348" s="613"/>
      <c r="GK348" s="613"/>
      <c r="GL348" s="613"/>
      <c r="GM348" s="613"/>
      <c r="GN348" s="385">
        <f t="shared" si="1157"/>
        <v>0</v>
      </c>
      <c r="GO348" s="386">
        <f t="shared" si="1158"/>
        <v>0</v>
      </c>
      <c r="GP348" s="2635"/>
      <c r="GQ348" s="175"/>
      <c r="GR348" s="172"/>
      <c r="GS348" s="65"/>
      <c r="GT348" s="167"/>
      <c r="GU348" s="168"/>
      <c r="GV348" s="168"/>
      <c r="GW348" s="168"/>
      <c r="GX348" s="168"/>
      <c r="GY348" s="168"/>
      <c r="GZ348" s="168"/>
      <c r="HA348" s="168"/>
      <c r="HB348" s="168"/>
      <c r="HC348" s="168"/>
      <c r="HD348" s="168"/>
      <c r="HE348" s="168"/>
      <c r="HF348" s="168"/>
      <c r="HG348" s="168"/>
      <c r="HH348" s="168"/>
      <c r="HI348" s="168"/>
      <c r="HJ348" s="168"/>
      <c r="HK348" s="168"/>
      <c r="HL348" s="168"/>
      <c r="HM348" s="168"/>
      <c r="HN348" s="168"/>
      <c r="HO348" s="168"/>
      <c r="HP348" s="168"/>
      <c r="HQ348" s="168"/>
      <c r="HR348" s="168"/>
      <c r="HS348" s="168"/>
      <c r="HT348" s="168"/>
      <c r="HU348" s="168"/>
      <c r="HV348" s="168"/>
      <c r="HW348" s="168"/>
      <c r="HX348" s="168"/>
      <c r="HY348" s="168"/>
      <c r="HZ348" s="168"/>
      <c r="IA348" s="168"/>
      <c r="IB348" s="168"/>
      <c r="IC348" s="168"/>
      <c r="ID348" s="168"/>
      <c r="IE348" s="168"/>
      <c r="IF348" s="168"/>
      <c r="IG348" s="168"/>
      <c r="IH348" s="168"/>
      <c r="II348" s="168"/>
      <c r="IJ348" s="168"/>
      <c r="IK348" s="168"/>
      <c r="IL348" s="168"/>
      <c r="IM348" s="168"/>
      <c r="IN348" s="168"/>
      <c r="IO348" s="168"/>
      <c r="IP348" s="168"/>
      <c r="IQ348" s="168"/>
      <c r="IR348" s="168"/>
      <c r="IS348" s="168"/>
      <c r="IT348" s="168"/>
      <c r="IU348" s="168"/>
      <c r="IV348" s="168"/>
      <c r="IW348" s="168"/>
      <c r="IX348" s="168"/>
      <c r="IY348" s="168"/>
      <c r="IZ348" s="168"/>
      <c r="JA348" s="168"/>
      <c r="JB348" s="168"/>
      <c r="JC348" s="168"/>
      <c r="JD348" s="168"/>
      <c r="JE348" s="168"/>
      <c r="JF348" s="168"/>
      <c r="JG348" s="168"/>
      <c r="JH348" s="168"/>
      <c r="JI348" s="168"/>
      <c r="JJ348" s="168"/>
      <c r="JK348" s="168"/>
      <c r="JL348" s="168"/>
      <c r="JM348" s="168"/>
      <c r="JN348" s="168"/>
      <c r="JO348" s="168"/>
      <c r="JP348" s="168"/>
      <c r="JQ348" s="168"/>
      <c r="JR348" s="168"/>
      <c r="JS348" s="168"/>
      <c r="JT348" s="168"/>
      <c r="JU348" s="168"/>
      <c r="JV348" s="168"/>
      <c r="JW348" s="168"/>
      <c r="JX348" s="168"/>
      <c r="JY348" s="168"/>
      <c r="JZ348" s="168"/>
      <c r="KA348" s="168"/>
      <c r="KB348" s="168"/>
      <c r="KC348" s="168"/>
      <c r="KD348" s="168"/>
      <c r="KE348" s="168"/>
      <c r="KF348" s="168"/>
      <c r="KG348" s="168"/>
      <c r="KH348" s="168"/>
      <c r="KI348" s="168"/>
      <c r="KJ348" s="168"/>
      <c r="KK348" s="168"/>
      <c r="KL348" s="168"/>
      <c r="KM348" s="168"/>
      <c r="KN348" s="168"/>
      <c r="KO348" s="168"/>
      <c r="KP348" s="168"/>
      <c r="KQ348" s="168"/>
      <c r="KR348" s="168"/>
      <c r="KS348" s="168"/>
      <c r="KT348" s="168"/>
      <c r="KU348" s="168"/>
      <c r="KV348" s="168"/>
      <c r="KW348" s="168"/>
      <c r="KX348" s="168"/>
      <c r="KY348" s="168"/>
      <c r="KZ348" s="168"/>
      <c r="LA348" s="168"/>
      <c r="LB348" s="168"/>
      <c r="LC348" s="168"/>
      <c r="LD348" s="168"/>
      <c r="LE348" s="168"/>
      <c r="LF348" s="168"/>
      <c r="LG348" s="168"/>
      <c r="LH348" s="168"/>
      <c r="LI348" s="168"/>
      <c r="LJ348" s="168"/>
      <c r="LK348" s="168"/>
      <c r="LL348" s="168"/>
      <c r="LM348" s="168"/>
      <c r="LN348" s="168"/>
      <c r="LO348" s="168"/>
      <c r="LP348" s="606"/>
      <c r="LQ348" s="609"/>
      <c r="LR348" s="1319"/>
      <c r="LS348" s="1319"/>
    </row>
    <row r="349" spans="1:331" s="2" customFormat="1" ht="15" customHeight="1" x14ac:dyDescent="0.25">
      <c r="A349" s="283"/>
      <c r="B349" s="303"/>
      <c r="C349" s="301"/>
      <c r="D349" s="1287"/>
      <c r="E349" s="2298"/>
      <c r="F349" s="1812"/>
      <c r="G349" s="3342"/>
      <c r="H349" s="66"/>
      <c r="I349" s="1746"/>
      <c r="J349" s="1214"/>
      <c r="K349" s="105"/>
      <c r="L349" s="91"/>
      <c r="M349" s="92"/>
      <c r="N349" s="93"/>
      <c r="O349" s="94"/>
      <c r="P349" s="94"/>
      <c r="Q349" s="97"/>
      <c r="R349" s="993">
        <f t="shared" si="1147"/>
        <v>0</v>
      </c>
      <c r="S349" s="23">
        <f t="shared" si="1148"/>
        <v>0</v>
      </c>
      <c r="T349" s="24">
        <f t="shared" si="1159"/>
        <v>0</v>
      </c>
      <c r="U349" s="24">
        <f t="shared" si="1160"/>
        <v>0</v>
      </c>
      <c r="V349" s="24">
        <f t="shared" si="1161"/>
        <v>0</v>
      </c>
      <c r="W349" s="24">
        <f t="shared" ca="1" si="1162"/>
        <v>0</v>
      </c>
      <c r="X349" s="72">
        <f t="shared" ca="1" si="1119"/>
        <v>0</v>
      </c>
      <c r="Y349" s="72">
        <f t="shared" si="1163"/>
        <v>0</v>
      </c>
      <c r="Z349" s="24">
        <f t="shared" si="1164"/>
        <v>0</v>
      </c>
      <c r="AA349" s="72">
        <f t="shared" si="1120"/>
        <v>0</v>
      </c>
      <c r="AB349" s="24">
        <f t="shared" si="1131"/>
        <v>0</v>
      </c>
      <c r="AC349" s="24">
        <f t="shared" ca="1" si="1165"/>
        <v>0</v>
      </c>
      <c r="AD349" s="24">
        <f t="shared" si="1049"/>
        <v>0</v>
      </c>
      <c r="AE349" s="2078">
        <f t="shared" si="1207"/>
        <v>3</v>
      </c>
      <c r="AF349" s="2078">
        <f t="shared" si="1208"/>
        <v>0</v>
      </c>
      <c r="AG349" s="2078">
        <f t="shared" si="1209"/>
        <v>0</v>
      </c>
      <c r="AH349" s="2521">
        <f t="shared" si="1050"/>
        <v>1</v>
      </c>
      <c r="AI349" s="25" t="str">
        <f t="shared" si="1166"/>
        <v/>
      </c>
      <c r="AJ349" s="2521">
        <f t="shared" ca="1" si="1045"/>
        <v>0</v>
      </c>
      <c r="AK349" s="2076">
        <f t="shared" ca="1" si="1041"/>
        <v>0</v>
      </c>
      <c r="AL349" s="2078">
        <f>IF(ISBLANK(J349),0,ISERROR(MATCH(J349,'5  Control Accounts'!$FA$29:$FA$96,0))*1)</f>
        <v>0</v>
      </c>
      <c r="AM349" s="2076">
        <f t="shared" si="1167"/>
        <v>0</v>
      </c>
      <c r="AN349" s="2078">
        <f t="shared" si="1168"/>
        <v>1</v>
      </c>
      <c r="AO349" s="2079">
        <f t="shared" si="1051"/>
        <v>1</v>
      </c>
      <c r="AP349" s="2079">
        <f t="shared" si="1052"/>
        <v>0</v>
      </c>
      <c r="AQ349" s="2079">
        <f t="shared" si="1053"/>
        <v>0</v>
      </c>
      <c r="AR349" s="2079">
        <f t="shared" si="1054"/>
        <v>0</v>
      </c>
      <c r="AS349" s="2079">
        <f t="shared" si="1055"/>
        <v>0</v>
      </c>
      <c r="AT349" s="2079">
        <f t="shared" si="1056"/>
        <v>0</v>
      </c>
      <c r="AU349" s="2079">
        <f t="shared" si="1057"/>
        <v>0</v>
      </c>
      <c r="AV349" s="2079">
        <f t="shared" si="1058"/>
        <v>0</v>
      </c>
      <c r="AW349" s="2079">
        <f t="shared" si="1059"/>
        <v>0</v>
      </c>
      <c r="AX349" s="2079">
        <f t="shared" si="1060"/>
        <v>0</v>
      </c>
      <c r="AY349" s="2078">
        <f t="shared" si="1169"/>
        <v>0</v>
      </c>
      <c r="AZ349" s="2078">
        <f t="shared" si="1170"/>
        <v>0</v>
      </c>
      <c r="BA349" s="2078">
        <f t="shared" si="1171"/>
        <v>0</v>
      </c>
      <c r="BB349" s="2078">
        <f t="shared" si="1172"/>
        <v>0</v>
      </c>
      <c r="BC349" s="2078">
        <f t="shared" si="1173"/>
        <v>0</v>
      </c>
      <c r="BD349" s="2078">
        <f t="shared" si="1174"/>
        <v>0</v>
      </c>
      <c r="BE349" s="2078">
        <f t="shared" si="1175"/>
        <v>0</v>
      </c>
      <c r="BF349" s="2078">
        <f t="shared" si="1176"/>
        <v>0</v>
      </c>
      <c r="BG349" s="2078">
        <f t="shared" si="1177"/>
        <v>0</v>
      </c>
      <c r="BH349" s="2078">
        <f t="shared" si="1178"/>
        <v>0</v>
      </c>
      <c r="BI349" s="2078">
        <f t="shared" si="1179"/>
        <v>0</v>
      </c>
      <c r="BJ349" s="2078">
        <f t="shared" si="1180"/>
        <v>0</v>
      </c>
      <c r="BK349" s="2078">
        <f t="shared" si="1181"/>
        <v>0</v>
      </c>
      <c r="BL349" s="2078">
        <f t="shared" si="1182"/>
        <v>0</v>
      </c>
      <c r="BM349" s="2078">
        <f t="shared" si="1183"/>
        <v>0</v>
      </c>
      <c r="BN349" s="2078">
        <f t="shared" si="1184"/>
        <v>0</v>
      </c>
      <c r="BO349" s="2078">
        <f t="shared" si="1185"/>
        <v>0</v>
      </c>
      <c r="BP349" s="2078">
        <f t="shared" si="1186"/>
        <v>0</v>
      </c>
      <c r="BQ349" s="2078">
        <f t="shared" si="1187"/>
        <v>0</v>
      </c>
      <c r="BR349" s="2078">
        <f t="shared" si="1188"/>
        <v>0</v>
      </c>
      <c r="BS349" s="2079">
        <f t="shared" si="1061"/>
        <v>1</v>
      </c>
      <c r="BT349" s="2079">
        <f t="shared" si="1062"/>
        <v>0</v>
      </c>
      <c r="BU349" s="2079">
        <f t="shared" si="1063"/>
        <v>0</v>
      </c>
      <c r="BV349" s="2079">
        <f t="shared" si="1064"/>
        <v>0</v>
      </c>
      <c r="BW349" s="2079">
        <f t="shared" si="1065"/>
        <v>0</v>
      </c>
      <c r="BX349" s="2079">
        <f t="shared" si="1066"/>
        <v>0</v>
      </c>
      <c r="BY349" s="2079">
        <f t="shared" si="1067"/>
        <v>0</v>
      </c>
      <c r="BZ349" s="2079">
        <f t="shared" si="1068"/>
        <v>0</v>
      </c>
      <c r="CA349" s="2079">
        <f t="shared" si="1069"/>
        <v>0</v>
      </c>
      <c r="CB349" s="2079">
        <f t="shared" si="1070"/>
        <v>0</v>
      </c>
      <c r="CC349" s="2078">
        <f t="shared" ca="1" si="1189"/>
        <v>0</v>
      </c>
      <c r="CD349" s="2078">
        <f t="shared" ca="1" si="1190"/>
        <v>0</v>
      </c>
      <c r="CE349" s="2078">
        <f t="shared" ca="1" si="1191"/>
        <v>0</v>
      </c>
      <c r="CF349" s="2078">
        <f t="shared" ca="1" si="1192"/>
        <v>0</v>
      </c>
      <c r="CG349" s="2078">
        <f t="shared" ca="1" si="1193"/>
        <v>0</v>
      </c>
      <c r="CH349" s="2078">
        <f t="shared" ca="1" si="1194"/>
        <v>0</v>
      </c>
      <c r="CI349" s="2078">
        <f t="shared" ca="1" si="1195"/>
        <v>0</v>
      </c>
      <c r="CJ349" s="2078">
        <f t="shared" ca="1" si="1196"/>
        <v>0</v>
      </c>
      <c r="CK349" s="2078">
        <f t="shared" ca="1" si="1197"/>
        <v>0</v>
      </c>
      <c r="CL349" s="2078">
        <f t="shared" ca="1" si="1198"/>
        <v>0</v>
      </c>
      <c r="CM349" s="2078">
        <f t="shared" si="1132"/>
        <v>1</v>
      </c>
      <c r="CN349" s="2078">
        <f t="shared" si="1133"/>
        <v>1</v>
      </c>
      <c r="CO349" s="2078">
        <f t="shared" si="1121"/>
        <v>1</v>
      </c>
      <c r="CP349" s="2078">
        <f t="shared" si="1199"/>
        <v>1</v>
      </c>
      <c r="CQ349" s="2078">
        <f t="shared" si="1122"/>
        <v>0</v>
      </c>
      <c r="CR349" s="2078">
        <f t="shared" si="1042"/>
        <v>0</v>
      </c>
      <c r="CS349" s="2078">
        <f t="shared" si="1200"/>
        <v>0</v>
      </c>
      <c r="CT349" s="2078">
        <f t="shared" si="1123"/>
        <v>1</v>
      </c>
      <c r="CU349" s="2078">
        <f t="shared" si="1201"/>
        <v>1</v>
      </c>
      <c r="CV349" s="2078">
        <f t="shared" si="1134"/>
        <v>0</v>
      </c>
      <c r="CW349" s="2078">
        <f>IF(OR(AE349&lt;&gt;3,F349="Exclude"),0,IF(ISERROR(MATCH($E349,'4 Sign-off'!$S$123:$X$123,0)),0,1))</f>
        <v>0</v>
      </c>
      <c r="CX349" s="2078">
        <f t="shared" si="1154"/>
        <v>0</v>
      </c>
      <c r="CY349" s="2078">
        <f t="shared" si="1135"/>
        <v>0</v>
      </c>
      <c r="CZ349" s="2993">
        <f t="shared" ca="1" si="1149"/>
        <v>0</v>
      </c>
      <c r="DA349" s="3037">
        <f t="shared" ca="1" si="1150"/>
        <v>0</v>
      </c>
      <c r="DB349" s="1664"/>
      <c r="DC349" s="1320"/>
      <c r="DD349" s="589"/>
      <c r="DE349" s="1321"/>
      <c r="DF349" s="107"/>
      <c r="DG349" s="112"/>
      <c r="DH349" s="140"/>
      <c r="DI349" s="22"/>
      <c r="DJ349" s="145"/>
      <c r="DK349" s="137"/>
      <c r="DL349" s="137"/>
      <c r="DM349" s="137"/>
      <c r="DN349" s="137"/>
      <c r="DO349" s="137"/>
      <c r="DP349" s="137"/>
      <c r="DQ349" s="137"/>
      <c r="DR349" s="137"/>
      <c r="DS349" s="137"/>
      <c r="DT349" s="137"/>
      <c r="DU349" s="137"/>
      <c r="DV349" s="137"/>
      <c r="DW349" s="137"/>
      <c r="DX349" s="137"/>
      <c r="DY349" s="137"/>
      <c r="DZ349" s="137"/>
      <c r="EA349" s="137"/>
      <c r="EB349" s="137"/>
      <c r="EC349" s="137"/>
      <c r="ED349" s="137"/>
      <c r="EE349" s="137"/>
      <c r="EF349" s="137"/>
      <c r="EG349" s="137"/>
      <c r="EH349" s="137"/>
      <c r="EI349" s="137"/>
      <c r="EJ349" s="137"/>
      <c r="EK349" s="137"/>
      <c r="EL349" s="137"/>
      <c r="EM349" s="137"/>
      <c r="EN349" s="137"/>
      <c r="EO349" s="137"/>
      <c r="EP349" s="137"/>
      <c r="EQ349" s="137"/>
      <c r="ER349" s="137"/>
      <c r="ES349" s="137"/>
      <c r="ET349" s="137"/>
      <c r="EU349" s="137"/>
      <c r="EV349" s="137"/>
      <c r="EW349" s="137"/>
      <c r="EX349" s="137"/>
      <c r="EY349" s="137"/>
      <c r="EZ349" s="137"/>
      <c r="FA349" s="137"/>
      <c r="FB349" s="137"/>
      <c r="FC349" s="137"/>
      <c r="FD349" s="137"/>
      <c r="FE349" s="137"/>
      <c r="FF349" s="137"/>
      <c r="FG349" s="860"/>
      <c r="FH349" s="863"/>
      <c r="FI349" s="1318"/>
      <c r="FJ349" s="126"/>
      <c r="FK349" s="127"/>
      <c r="FL349" s="128" t="str">
        <f t="shared" si="1202"/>
        <v xml:space="preserve">    </v>
      </c>
      <c r="FM349" s="128"/>
      <c r="FN349" s="1686">
        <f t="shared" si="1203"/>
        <v>0</v>
      </c>
      <c r="FO349" s="46">
        <f t="shared" si="1136"/>
        <v>0</v>
      </c>
      <c r="FP349" s="46">
        <f t="shared" si="1212"/>
        <v>1</v>
      </c>
      <c r="FQ349" s="75">
        <f t="shared" si="1204"/>
        <v>0</v>
      </c>
      <c r="FR349" s="46">
        <f t="shared" si="1128"/>
        <v>0</v>
      </c>
      <c r="FS349" s="46">
        <f t="shared" si="1213"/>
        <v>1</v>
      </c>
      <c r="FT349" s="75">
        <f t="shared" si="1205"/>
        <v>0</v>
      </c>
      <c r="FU349" s="2603">
        <f t="shared" si="1137"/>
        <v>0</v>
      </c>
      <c r="FV349" s="2607">
        <f t="shared" si="1138"/>
        <v>0</v>
      </c>
      <c r="FW349" s="2603">
        <f t="shared" si="1139"/>
        <v>0</v>
      </c>
      <c r="FX349" s="2631">
        <f t="shared" si="1140"/>
        <v>0</v>
      </c>
      <c r="FY349" s="81" t="e">
        <f t="shared" si="1211"/>
        <v>#N/A</v>
      </c>
      <c r="FZ349" s="64" t="e">
        <f t="array" ref="FZ349">MATCH(1,($GT349:$LQ349&gt;0)*$GT$25:$LQ$25,0)</f>
        <v>#N/A</v>
      </c>
      <c r="GA349" s="64" t="e">
        <f t="array" ref="GA349">MATCH(2,1/(GT349:LQ349&gt;0))</f>
        <v>#N/A</v>
      </c>
      <c r="GB349" s="64">
        <f t="shared" si="1206"/>
        <v>-1</v>
      </c>
      <c r="GC349" s="46"/>
      <c r="GD349" s="613"/>
      <c r="GE349" s="613"/>
      <c r="GF349" s="613"/>
      <c r="GG349" s="613"/>
      <c r="GH349" s="613"/>
      <c r="GI349" s="613"/>
      <c r="GJ349" s="613"/>
      <c r="GK349" s="613"/>
      <c r="GL349" s="613"/>
      <c r="GM349" s="613"/>
      <c r="GN349" s="385">
        <f t="shared" si="1157"/>
        <v>0</v>
      </c>
      <c r="GO349" s="386">
        <f t="shared" si="1158"/>
        <v>0</v>
      </c>
      <c r="GP349" s="2635"/>
      <c r="GQ349" s="175"/>
      <c r="GR349" s="172"/>
      <c r="GS349" s="65"/>
      <c r="GT349" s="167"/>
      <c r="GU349" s="168"/>
      <c r="GV349" s="168"/>
      <c r="GW349" s="168"/>
      <c r="GX349" s="168"/>
      <c r="GY349" s="168"/>
      <c r="GZ349" s="168"/>
      <c r="HA349" s="168"/>
      <c r="HB349" s="168"/>
      <c r="HC349" s="168"/>
      <c r="HD349" s="168"/>
      <c r="HE349" s="168"/>
      <c r="HF349" s="168"/>
      <c r="HG349" s="168"/>
      <c r="HH349" s="168"/>
      <c r="HI349" s="168"/>
      <c r="HJ349" s="168"/>
      <c r="HK349" s="168"/>
      <c r="HL349" s="168"/>
      <c r="HM349" s="168"/>
      <c r="HN349" s="168"/>
      <c r="HO349" s="168"/>
      <c r="HP349" s="168"/>
      <c r="HQ349" s="168"/>
      <c r="HR349" s="168"/>
      <c r="HS349" s="168"/>
      <c r="HT349" s="168"/>
      <c r="HU349" s="168"/>
      <c r="HV349" s="168"/>
      <c r="HW349" s="168"/>
      <c r="HX349" s="168"/>
      <c r="HY349" s="168"/>
      <c r="HZ349" s="168"/>
      <c r="IA349" s="168"/>
      <c r="IB349" s="168"/>
      <c r="IC349" s="168"/>
      <c r="ID349" s="168"/>
      <c r="IE349" s="168"/>
      <c r="IF349" s="168"/>
      <c r="IG349" s="168"/>
      <c r="IH349" s="168"/>
      <c r="II349" s="168"/>
      <c r="IJ349" s="168"/>
      <c r="IK349" s="168"/>
      <c r="IL349" s="168"/>
      <c r="IM349" s="168"/>
      <c r="IN349" s="168"/>
      <c r="IO349" s="168"/>
      <c r="IP349" s="168"/>
      <c r="IQ349" s="168"/>
      <c r="IR349" s="168"/>
      <c r="IS349" s="168"/>
      <c r="IT349" s="168"/>
      <c r="IU349" s="168"/>
      <c r="IV349" s="168"/>
      <c r="IW349" s="168"/>
      <c r="IX349" s="168"/>
      <c r="IY349" s="168"/>
      <c r="IZ349" s="168"/>
      <c r="JA349" s="168"/>
      <c r="JB349" s="168"/>
      <c r="JC349" s="168"/>
      <c r="JD349" s="168"/>
      <c r="JE349" s="168"/>
      <c r="JF349" s="168"/>
      <c r="JG349" s="168"/>
      <c r="JH349" s="168"/>
      <c r="JI349" s="168"/>
      <c r="JJ349" s="168"/>
      <c r="JK349" s="168"/>
      <c r="JL349" s="168"/>
      <c r="JM349" s="168"/>
      <c r="JN349" s="168"/>
      <c r="JO349" s="168"/>
      <c r="JP349" s="168"/>
      <c r="JQ349" s="168"/>
      <c r="JR349" s="168"/>
      <c r="JS349" s="168"/>
      <c r="JT349" s="168"/>
      <c r="JU349" s="168"/>
      <c r="JV349" s="168"/>
      <c r="JW349" s="168"/>
      <c r="JX349" s="168"/>
      <c r="JY349" s="168"/>
      <c r="JZ349" s="168"/>
      <c r="KA349" s="168"/>
      <c r="KB349" s="168"/>
      <c r="KC349" s="168"/>
      <c r="KD349" s="168"/>
      <c r="KE349" s="168"/>
      <c r="KF349" s="168"/>
      <c r="KG349" s="168"/>
      <c r="KH349" s="168"/>
      <c r="KI349" s="168"/>
      <c r="KJ349" s="168"/>
      <c r="KK349" s="168"/>
      <c r="KL349" s="168"/>
      <c r="KM349" s="168"/>
      <c r="KN349" s="168"/>
      <c r="KO349" s="168"/>
      <c r="KP349" s="168"/>
      <c r="KQ349" s="168"/>
      <c r="KR349" s="168"/>
      <c r="KS349" s="168"/>
      <c r="KT349" s="168"/>
      <c r="KU349" s="168"/>
      <c r="KV349" s="168"/>
      <c r="KW349" s="168"/>
      <c r="KX349" s="168"/>
      <c r="KY349" s="168"/>
      <c r="KZ349" s="168"/>
      <c r="LA349" s="168"/>
      <c r="LB349" s="168"/>
      <c r="LC349" s="168"/>
      <c r="LD349" s="168"/>
      <c r="LE349" s="168"/>
      <c r="LF349" s="168"/>
      <c r="LG349" s="168"/>
      <c r="LH349" s="168"/>
      <c r="LI349" s="168"/>
      <c r="LJ349" s="168"/>
      <c r="LK349" s="168"/>
      <c r="LL349" s="168"/>
      <c r="LM349" s="168"/>
      <c r="LN349" s="168"/>
      <c r="LO349" s="168"/>
      <c r="LP349" s="606"/>
      <c r="LQ349" s="609"/>
      <c r="LR349" s="1319"/>
      <c r="LS349" s="1319"/>
    </row>
    <row r="350" spans="1:331" s="2" customFormat="1" ht="15" customHeight="1" x14ac:dyDescent="0.25">
      <c r="A350" s="283"/>
      <c r="B350" s="303"/>
      <c r="C350" s="301"/>
      <c r="D350" s="1287"/>
      <c r="E350" s="2298"/>
      <c r="F350" s="1812"/>
      <c r="G350" s="3342"/>
      <c r="H350" s="66"/>
      <c r="I350" s="1746"/>
      <c r="J350" s="1214"/>
      <c r="K350" s="105"/>
      <c r="L350" s="91"/>
      <c r="M350" s="92"/>
      <c r="N350" s="93"/>
      <c r="O350" s="94"/>
      <c r="P350" s="94"/>
      <c r="Q350" s="97"/>
      <c r="R350" s="993">
        <f t="shared" si="1147"/>
        <v>0</v>
      </c>
      <c r="S350" s="23">
        <f t="shared" si="1148"/>
        <v>0</v>
      </c>
      <c r="T350" s="24">
        <f t="shared" si="1159"/>
        <v>0</v>
      </c>
      <c r="U350" s="24">
        <f t="shared" si="1160"/>
        <v>0</v>
      </c>
      <c r="V350" s="24">
        <f t="shared" si="1161"/>
        <v>0</v>
      </c>
      <c r="W350" s="24">
        <f t="shared" ca="1" si="1162"/>
        <v>0</v>
      </c>
      <c r="X350" s="72">
        <f t="shared" ca="1" si="1119"/>
        <v>0</v>
      </c>
      <c r="Y350" s="72">
        <f t="shared" si="1163"/>
        <v>0</v>
      </c>
      <c r="Z350" s="24">
        <f t="shared" si="1164"/>
        <v>0</v>
      </c>
      <c r="AA350" s="72">
        <f t="shared" si="1120"/>
        <v>0</v>
      </c>
      <c r="AB350" s="24">
        <f t="shared" si="1131"/>
        <v>0</v>
      </c>
      <c r="AC350" s="24">
        <f t="shared" ca="1" si="1165"/>
        <v>0</v>
      </c>
      <c r="AD350" s="24">
        <f t="shared" si="1049"/>
        <v>0</v>
      </c>
      <c r="AE350" s="2078">
        <f t="shared" si="1207"/>
        <v>3</v>
      </c>
      <c r="AF350" s="2078">
        <f t="shared" si="1208"/>
        <v>0</v>
      </c>
      <c r="AG350" s="2078">
        <f t="shared" si="1209"/>
        <v>0</v>
      </c>
      <c r="AH350" s="2521">
        <f t="shared" si="1050"/>
        <v>1</v>
      </c>
      <c r="AI350" s="25" t="str">
        <f t="shared" si="1166"/>
        <v/>
      </c>
      <c r="AJ350" s="2521">
        <f t="shared" ca="1" si="1045"/>
        <v>0</v>
      </c>
      <c r="AK350" s="2076">
        <f t="shared" ca="1" si="1041"/>
        <v>0</v>
      </c>
      <c r="AL350" s="2078">
        <f>IF(ISBLANK(J350),0,ISERROR(MATCH(J350,'5  Control Accounts'!$FA$29:$FA$96,0))*1)</f>
        <v>0</v>
      </c>
      <c r="AM350" s="2076">
        <f t="shared" si="1167"/>
        <v>0</v>
      </c>
      <c r="AN350" s="2078">
        <f t="shared" si="1168"/>
        <v>1</v>
      </c>
      <c r="AO350" s="2079">
        <f t="shared" si="1051"/>
        <v>1</v>
      </c>
      <c r="AP350" s="2079">
        <f t="shared" si="1052"/>
        <v>0</v>
      </c>
      <c r="AQ350" s="2079">
        <f t="shared" si="1053"/>
        <v>0</v>
      </c>
      <c r="AR350" s="2079">
        <f t="shared" si="1054"/>
        <v>0</v>
      </c>
      <c r="AS350" s="2079">
        <f t="shared" si="1055"/>
        <v>0</v>
      </c>
      <c r="AT350" s="2079">
        <f t="shared" si="1056"/>
        <v>0</v>
      </c>
      <c r="AU350" s="2079">
        <f t="shared" si="1057"/>
        <v>0</v>
      </c>
      <c r="AV350" s="2079">
        <f t="shared" si="1058"/>
        <v>0</v>
      </c>
      <c r="AW350" s="2079">
        <f t="shared" si="1059"/>
        <v>0</v>
      </c>
      <c r="AX350" s="2079">
        <f t="shared" si="1060"/>
        <v>0</v>
      </c>
      <c r="AY350" s="2078">
        <f t="shared" si="1169"/>
        <v>0</v>
      </c>
      <c r="AZ350" s="2078">
        <f t="shared" si="1170"/>
        <v>0</v>
      </c>
      <c r="BA350" s="2078">
        <f t="shared" si="1171"/>
        <v>0</v>
      </c>
      <c r="BB350" s="2078">
        <f t="shared" si="1172"/>
        <v>0</v>
      </c>
      <c r="BC350" s="2078">
        <f t="shared" si="1173"/>
        <v>0</v>
      </c>
      <c r="BD350" s="2078">
        <f t="shared" si="1174"/>
        <v>0</v>
      </c>
      <c r="BE350" s="2078">
        <f t="shared" si="1175"/>
        <v>0</v>
      </c>
      <c r="BF350" s="2078">
        <f t="shared" si="1176"/>
        <v>0</v>
      </c>
      <c r="BG350" s="2078">
        <f t="shared" si="1177"/>
        <v>0</v>
      </c>
      <c r="BH350" s="2078">
        <f t="shared" si="1178"/>
        <v>0</v>
      </c>
      <c r="BI350" s="2078">
        <f t="shared" si="1179"/>
        <v>0</v>
      </c>
      <c r="BJ350" s="2078">
        <f t="shared" si="1180"/>
        <v>0</v>
      </c>
      <c r="BK350" s="2078">
        <f t="shared" si="1181"/>
        <v>0</v>
      </c>
      <c r="BL350" s="2078">
        <f t="shared" si="1182"/>
        <v>0</v>
      </c>
      <c r="BM350" s="2078">
        <f t="shared" si="1183"/>
        <v>0</v>
      </c>
      <c r="BN350" s="2078">
        <f t="shared" si="1184"/>
        <v>0</v>
      </c>
      <c r="BO350" s="2078">
        <f t="shared" si="1185"/>
        <v>0</v>
      </c>
      <c r="BP350" s="2078">
        <f t="shared" si="1186"/>
        <v>0</v>
      </c>
      <c r="BQ350" s="2078">
        <f t="shared" si="1187"/>
        <v>0</v>
      </c>
      <c r="BR350" s="2078">
        <f t="shared" si="1188"/>
        <v>0</v>
      </c>
      <c r="BS350" s="2079">
        <f t="shared" si="1061"/>
        <v>1</v>
      </c>
      <c r="BT350" s="2079">
        <f t="shared" si="1062"/>
        <v>0</v>
      </c>
      <c r="BU350" s="2079">
        <f t="shared" si="1063"/>
        <v>0</v>
      </c>
      <c r="BV350" s="2079">
        <f t="shared" si="1064"/>
        <v>0</v>
      </c>
      <c r="BW350" s="2079">
        <f t="shared" si="1065"/>
        <v>0</v>
      </c>
      <c r="BX350" s="2079">
        <f t="shared" si="1066"/>
        <v>0</v>
      </c>
      <c r="BY350" s="2079">
        <f t="shared" si="1067"/>
        <v>0</v>
      </c>
      <c r="BZ350" s="2079">
        <f t="shared" si="1068"/>
        <v>0</v>
      </c>
      <c r="CA350" s="2079">
        <f t="shared" si="1069"/>
        <v>0</v>
      </c>
      <c r="CB350" s="2079">
        <f t="shared" si="1070"/>
        <v>0</v>
      </c>
      <c r="CC350" s="2078">
        <f t="shared" ca="1" si="1189"/>
        <v>0</v>
      </c>
      <c r="CD350" s="2078">
        <f t="shared" ca="1" si="1190"/>
        <v>0</v>
      </c>
      <c r="CE350" s="2078">
        <f t="shared" ca="1" si="1191"/>
        <v>0</v>
      </c>
      <c r="CF350" s="2078">
        <f t="shared" ca="1" si="1192"/>
        <v>0</v>
      </c>
      <c r="CG350" s="2078">
        <f t="shared" ca="1" si="1193"/>
        <v>0</v>
      </c>
      <c r="CH350" s="2078">
        <f t="shared" ca="1" si="1194"/>
        <v>0</v>
      </c>
      <c r="CI350" s="2078">
        <f t="shared" ca="1" si="1195"/>
        <v>0</v>
      </c>
      <c r="CJ350" s="2078">
        <f t="shared" ca="1" si="1196"/>
        <v>0</v>
      </c>
      <c r="CK350" s="2078">
        <f t="shared" ca="1" si="1197"/>
        <v>0</v>
      </c>
      <c r="CL350" s="2078">
        <f t="shared" ca="1" si="1198"/>
        <v>0</v>
      </c>
      <c r="CM350" s="2078">
        <f t="shared" si="1132"/>
        <v>1</v>
      </c>
      <c r="CN350" s="2078">
        <f t="shared" si="1133"/>
        <v>1</v>
      </c>
      <c r="CO350" s="2078">
        <f t="shared" si="1121"/>
        <v>1</v>
      </c>
      <c r="CP350" s="2078">
        <f t="shared" si="1199"/>
        <v>1</v>
      </c>
      <c r="CQ350" s="2078">
        <f t="shared" si="1122"/>
        <v>0</v>
      </c>
      <c r="CR350" s="2078">
        <f t="shared" si="1042"/>
        <v>0</v>
      </c>
      <c r="CS350" s="2078">
        <f t="shared" si="1200"/>
        <v>0</v>
      </c>
      <c r="CT350" s="2078">
        <f t="shared" si="1123"/>
        <v>1</v>
      </c>
      <c r="CU350" s="2078">
        <f t="shared" si="1201"/>
        <v>1</v>
      </c>
      <c r="CV350" s="2078">
        <f t="shared" si="1134"/>
        <v>0</v>
      </c>
      <c r="CW350" s="2078">
        <f>IF(OR(AE350&lt;&gt;3,F350="Exclude"),0,IF(ISERROR(MATCH($E350,'4 Sign-off'!$S$123:$X$123,0)),0,1))</f>
        <v>0</v>
      </c>
      <c r="CX350" s="2078">
        <f t="shared" si="1154"/>
        <v>0</v>
      </c>
      <c r="CY350" s="2078">
        <f t="shared" si="1135"/>
        <v>0</v>
      </c>
      <c r="CZ350" s="2993">
        <f t="shared" ca="1" si="1149"/>
        <v>0</v>
      </c>
      <c r="DA350" s="3037">
        <f t="shared" ca="1" si="1150"/>
        <v>0</v>
      </c>
      <c r="DB350" s="1664"/>
      <c r="DC350" s="1320"/>
      <c r="DD350" s="589"/>
      <c r="DE350" s="1321"/>
      <c r="DF350" s="107"/>
      <c r="DG350" s="112"/>
      <c r="DH350" s="140"/>
      <c r="DI350" s="22"/>
      <c r="DJ350" s="145"/>
      <c r="DK350" s="137"/>
      <c r="DL350" s="137"/>
      <c r="DM350" s="137"/>
      <c r="DN350" s="137"/>
      <c r="DO350" s="137"/>
      <c r="DP350" s="137"/>
      <c r="DQ350" s="137"/>
      <c r="DR350" s="137"/>
      <c r="DS350" s="137"/>
      <c r="DT350" s="137"/>
      <c r="DU350" s="137"/>
      <c r="DV350" s="137"/>
      <c r="DW350" s="137"/>
      <c r="DX350" s="137"/>
      <c r="DY350" s="137"/>
      <c r="DZ350" s="137"/>
      <c r="EA350" s="137"/>
      <c r="EB350" s="137"/>
      <c r="EC350" s="137"/>
      <c r="ED350" s="137"/>
      <c r="EE350" s="137"/>
      <c r="EF350" s="137"/>
      <c r="EG350" s="137"/>
      <c r="EH350" s="137"/>
      <c r="EI350" s="137"/>
      <c r="EJ350" s="137"/>
      <c r="EK350" s="137"/>
      <c r="EL350" s="137"/>
      <c r="EM350" s="137"/>
      <c r="EN350" s="137"/>
      <c r="EO350" s="137"/>
      <c r="EP350" s="137"/>
      <c r="EQ350" s="137"/>
      <c r="ER350" s="137"/>
      <c r="ES350" s="137"/>
      <c r="ET350" s="137"/>
      <c r="EU350" s="137"/>
      <c r="EV350" s="137"/>
      <c r="EW350" s="137"/>
      <c r="EX350" s="137"/>
      <c r="EY350" s="137"/>
      <c r="EZ350" s="137"/>
      <c r="FA350" s="137"/>
      <c r="FB350" s="137"/>
      <c r="FC350" s="137"/>
      <c r="FD350" s="137"/>
      <c r="FE350" s="137"/>
      <c r="FF350" s="137"/>
      <c r="FG350" s="860"/>
      <c r="FH350" s="863"/>
      <c r="FI350" s="1318"/>
      <c r="FJ350" s="126"/>
      <c r="FK350" s="127"/>
      <c r="FL350" s="128" t="str">
        <f t="shared" si="1202"/>
        <v xml:space="preserve">    </v>
      </c>
      <c r="FM350" s="128"/>
      <c r="FN350" s="1686">
        <f t="shared" si="1203"/>
        <v>0</v>
      </c>
      <c r="FO350" s="46">
        <f t="shared" si="1136"/>
        <v>0</v>
      </c>
      <c r="FP350" s="46">
        <f t="shared" si="1212"/>
        <v>1</v>
      </c>
      <c r="FQ350" s="75">
        <f t="shared" si="1204"/>
        <v>0</v>
      </c>
      <c r="FR350" s="46">
        <f t="shared" si="1128"/>
        <v>0</v>
      </c>
      <c r="FS350" s="46">
        <f t="shared" si="1213"/>
        <v>1</v>
      </c>
      <c r="FT350" s="75">
        <f t="shared" si="1205"/>
        <v>0</v>
      </c>
      <c r="FU350" s="2603">
        <f t="shared" si="1137"/>
        <v>0</v>
      </c>
      <c r="FV350" s="2607">
        <f t="shared" si="1138"/>
        <v>0</v>
      </c>
      <c r="FW350" s="2603">
        <f t="shared" si="1139"/>
        <v>0</v>
      </c>
      <c r="FX350" s="2631">
        <f t="shared" si="1140"/>
        <v>0</v>
      </c>
      <c r="FY350" s="81" t="e">
        <f t="shared" si="1211"/>
        <v>#N/A</v>
      </c>
      <c r="FZ350" s="64" t="e">
        <f t="array" ref="FZ350">MATCH(1,($GT350:$LQ350&gt;0)*$GT$25:$LQ$25,0)</f>
        <v>#N/A</v>
      </c>
      <c r="GA350" s="64" t="e">
        <f t="array" ref="GA350">MATCH(2,1/(GT350:LQ350&gt;0))</f>
        <v>#N/A</v>
      </c>
      <c r="GB350" s="64">
        <f t="shared" si="1206"/>
        <v>-1</v>
      </c>
      <c r="GC350" s="46"/>
      <c r="GD350" s="613"/>
      <c r="GE350" s="613"/>
      <c r="GF350" s="613"/>
      <c r="GG350" s="613"/>
      <c r="GH350" s="613"/>
      <c r="GI350" s="613"/>
      <c r="GJ350" s="613"/>
      <c r="GK350" s="613"/>
      <c r="GL350" s="613"/>
      <c r="GM350" s="613"/>
      <c r="GN350" s="385">
        <f t="shared" si="1157"/>
        <v>0</v>
      </c>
      <c r="GO350" s="386">
        <f t="shared" si="1158"/>
        <v>0</v>
      </c>
      <c r="GP350" s="2635"/>
      <c r="GQ350" s="175"/>
      <c r="GR350" s="172"/>
      <c r="GS350" s="65"/>
      <c r="GT350" s="167"/>
      <c r="GU350" s="168"/>
      <c r="GV350" s="168"/>
      <c r="GW350" s="168"/>
      <c r="GX350" s="168"/>
      <c r="GY350" s="168"/>
      <c r="GZ350" s="168"/>
      <c r="HA350" s="168"/>
      <c r="HB350" s="168"/>
      <c r="HC350" s="168"/>
      <c r="HD350" s="168"/>
      <c r="HE350" s="168"/>
      <c r="HF350" s="168"/>
      <c r="HG350" s="168"/>
      <c r="HH350" s="168"/>
      <c r="HI350" s="168"/>
      <c r="HJ350" s="168"/>
      <c r="HK350" s="168"/>
      <c r="HL350" s="168"/>
      <c r="HM350" s="168"/>
      <c r="HN350" s="168"/>
      <c r="HO350" s="168"/>
      <c r="HP350" s="168"/>
      <c r="HQ350" s="168"/>
      <c r="HR350" s="168"/>
      <c r="HS350" s="168"/>
      <c r="HT350" s="168"/>
      <c r="HU350" s="168"/>
      <c r="HV350" s="168"/>
      <c r="HW350" s="168"/>
      <c r="HX350" s="168"/>
      <c r="HY350" s="168"/>
      <c r="HZ350" s="168"/>
      <c r="IA350" s="168"/>
      <c r="IB350" s="168"/>
      <c r="IC350" s="168"/>
      <c r="ID350" s="168"/>
      <c r="IE350" s="168"/>
      <c r="IF350" s="168"/>
      <c r="IG350" s="168"/>
      <c r="IH350" s="168"/>
      <c r="II350" s="168"/>
      <c r="IJ350" s="168"/>
      <c r="IK350" s="168"/>
      <c r="IL350" s="168"/>
      <c r="IM350" s="168"/>
      <c r="IN350" s="168"/>
      <c r="IO350" s="168"/>
      <c r="IP350" s="168"/>
      <c r="IQ350" s="168"/>
      <c r="IR350" s="168"/>
      <c r="IS350" s="168"/>
      <c r="IT350" s="168"/>
      <c r="IU350" s="168"/>
      <c r="IV350" s="168"/>
      <c r="IW350" s="168"/>
      <c r="IX350" s="168"/>
      <c r="IY350" s="168"/>
      <c r="IZ350" s="168"/>
      <c r="JA350" s="168"/>
      <c r="JB350" s="168"/>
      <c r="JC350" s="168"/>
      <c r="JD350" s="168"/>
      <c r="JE350" s="168"/>
      <c r="JF350" s="168"/>
      <c r="JG350" s="168"/>
      <c r="JH350" s="168"/>
      <c r="JI350" s="168"/>
      <c r="JJ350" s="168"/>
      <c r="JK350" s="168"/>
      <c r="JL350" s="168"/>
      <c r="JM350" s="168"/>
      <c r="JN350" s="168"/>
      <c r="JO350" s="168"/>
      <c r="JP350" s="168"/>
      <c r="JQ350" s="168"/>
      <c r="JR350" s="168"/>
      <c r="JS350" s="168"/>
      <c r="JT350" s="168"/>
      <c r="JU350" s="168"/>
      <c r="JV350" s="168"/>
      <c r="JW350" s="168"/>
      <c r="JX350" s="168"/>
      <c r="JY350" s="168"/>
      <c r="JZ350" s="168"/>
      <c r="KA350" s="168"/>
      <c r="KB350" s="168"/>
      <c r="KC350" s="168"/>
      <c r="KD350" s="168"/>
      <c r="KE350" s="168"/>
      <c r="KF350" s="168"/>
      <c r="KG350" s="168"/>
      <c r="KH350" s="168"/>
      <c r="KI350" s="168"/>
      <c r="KJ350" s="168"/>
      <c r="KK350" s="168"/>
      <c r="KL350" s="168"/>
      <c r="KM350" s="168"/>
      <c r="KN350" s="168"/>
      <c r="KO350" s="168"/>
      <c r="KP350" s="168"/>
      <c r="KQ350" s="168"/>
      <c r="KR350" s="168"/>
      <c r="KS350" s="168"/>
      <c r="KT350" s="168"/>
      <c r="KU350" s="168"/>
      <c r="KV350" s="168"/>
      <c r="KW350" s="168"/>
      <c r="KX350" s="168"/>
      <c r="KY350" s="168"/>
      <c r="KZ350" s="168"/>
      <c r="LA350" s="168"/>
      <c r="LB350" s="168"/>
      <c r="LC350" s="168"/>
      <c r="LD350" s="168"/>
      <c r="LE350" s="168"/>
      <c r="LF350" s="168"/>
      <c r="LG350" s="168"/>
      <c r="LH350" s="168"/>
      <c r="LI350" s="168"/>
      <c r="LJ350" s="168"/>
      <c r="LK350" s="168"/>
      <c r="LL350" s="168"/>
      <c r="LM350" s="168"/>
      <c r="LN350" s="168"/>
      <c r="LO350" s="168"/>
      <c r="LP350" s="606"/>
      <c r="LQ350" s="609"/>
      <c r="LR350" s="1319"/>
      <c r="LS350" s="1319"/>
    </row>
    <row r="351" spans="1:331" s="2" customFormat="1" ht="15" customHeight="1" x14ac:dyDescent="0.25">
      <c r="A351" s="283"/>
      <c r="B351" s="303"/>
      <c r="C351" s="301"/>
      <c r="D351" s="1287"/>
      <c r="E351" s="2298"/>
      <c r="F351" s="1812"/>
      <c r="G351" s="3342"/>
      <c r="H351" s="66"/>
      <c r="I351" s="1746"/>
      <c r="J351" s="1214"/>
      <c r="K351" s="105"/>
      <c r="L351" s="91"/>
      <c r="M351" s="92"/>
      <c r="N351" s="93"/>
      <c r="O351" s="94"/>
      <c r="P351" s="94"/>
      <c r="Q351" s="97"/>
      <c r="R351" s="993">
        <f t="shared" si="1147"/>
        <v>0</v>
      </c>
      <c r="S351" s="23">
        <f t="shared" si="1148"/>
        <v>0</v>
      </c>
      <c r="T351" s="24">
        <f t="shared" si="1159"/>
        <v>0</v>
      </c>
      <c r="U351" s="24">
        <f t="shared" si="1160"/>
        <v>0</v>
      </c>
      <c r="V351" s="24">
        <f t="shared" si="1161"/>
        <v>0</v>
      </c>
      <c r="W351" s="24">
        <f t="shared" ca="1" si="1162"/>
        <v>0</v>
      </c>
      <c r="X351" s="72">
        <f t="shared" ca="1" si="1119"/>
        <v>0</v>
      </c>
      <c r="Y351" s="72">
        <f t="shared" si="1163"/>
        <v>0</v>
      </c>
      <c r="Z351" s="24">
        <f t="shared" si="1164"/>
        <v>0</v>
      </c>
      <c r="AA351" s="72">
        <f t="shared" si="1120"/>
        <v>0</v>
      </c>
      <c r="AB351" s="24">
        <f t="shared" si="1131"/>
        <v>0</v>
      </c>
      <c r="AC351" s="24">
        <f t="shared" ca="1" si="1165"/>
        <v>0</v>
      </c>
      <c r="AD351" s="24">
        <f t="shared" si="1049"/>
        <v>0</v>
      </c>
      <c r="AE351" s="2078">
        <f t="shared" si="1207"/>
        <v>3</v>
      </c>
      <c r="AF351" s="2078">
        <f t="shared" si="1208"/>
        <v>0</v>
      </c>
      <c r="AG351" s="2078">
        <f t="shared" si="1209"/>
        <v>0</v>
      </c>
      <c r="AH351" s="2521">
        <f t="shared" si="1050"/>
        <v>1</v>
      </c>
      <c r="AI351" s="25" t="str">
        <f t="shared" si="1166"/>
        <v/>
      </c>
      <c r="AJ351" s="2521">
        <f t="shared" ca="1" si="1045"/>
        <v>0</v>
      </c>
      <c r="AK351" s="2076">
        <f t="shared" ca="1" si="1041"/>
        <v>0</v>
      </c>
      <c r="AL351" s="2078">
        <f>IF(ISBLANK(J351),0,ISERROR(MATCH(J351,'5  Control Accounts'!$FA$29:$FA$96,0))*1)</f>
        <v>0</v>
      </c>
      <c r="AM351" s="2076">
        <f t="shared" si="1167"/>
        <v>0</v>
      </c>
      <c r="AN351" s="2078">
        <f t="shared" si="1168"/>
        <v>1</v>
      </c>
      <c r="AO351" s="2079">
        <f t="shared" si="1051"/>
        <v>1</v>
      </c>
      <c r="AP351" s="2079">
        <f t="shared" si="1052"/>
        <v>0</v>
      </c>
      <c r="AQ351" s="2079">
        <f t="shared" si="1053"/>
        <v>0</v>
      </c>
      <c r="AR351" s="2079">
        <f t="shared" si="1054"/>
        <v>0</v>
      </c>
      <c r="AS351" s="2079">
        <f t="shared" si="1055"/>
        <v>0</v>
      </c>
      <c r="AT351" s="2079">
        <f t="shared" si="1056"/>
        <v>0</v>
      </c>
      <c r="AU351" s="2079">
        <f t="shared" si="1057"/>
        <v>0</v>
      </c>
      <c r="AV351" s="2079">
        <f t="shared" si="1058"/>
        <v>0</v>
      </c>
      <c r="AW351" s="2079">
        <f t="shared" si="1059"/>
        <v>0</v>
      </c>
      <c r="AX351" s="2079">
        <f t="shared" si="1060"/>
        <v>0</v>
      </c>
      <c r="AY351" s="2078">
        <f t="shared" si="1169"/>
        <v>0</v>
      </c>
      <c r="AZ351" s="2078">
        <f t="shared" si="1170"/>
        <v>0</v>
      </c>
      <c r="BA351" s="2078">
        <f t="shared" si="1171"/>
        <v>0</v>
      </c>
      <c r="BB351" s="2078">
        <f t="shared" si="1172"/>
        <v>0</v>
      </c>
      <c r="BC351" s="2078">
        <f t="shared" si="1173"/>
        <v>0</v>
      </c>
      <c r="BD351" s="2078">
        <f t="shared" si="1174"/>
        <v>0</v>
      </c>
      <c r="BE351" s="2078">
        <f t="shared" si="1175"/>
        <v>0</v>
      </c>
      <c r="BF351" s="2078">
        <f t="shared" si="1176"/>
        <v>0</v>
      </c>
      <c r="BG351" s="2078">
        <f t="shared" si="1177"/>
        <v>0</v>
      </c>
      <c r="BH351" s="2078">
        <f t="shared" si="1178"/>
        <v>0</v>
      </c>
      <c r="BI351" s="2078">
        <f t="shared" si="1179"/>
        <v>0</v>
      </c>
      <c r="BJ351" s="2078">
        <f t="shared" si="1180"/>
        <v>0</v>
      </c>
      <c r="BK351" s="2078">
        <f t="shared" si="1181"/>
        <v>0</v>
      </c>
      <c r="BL351" s="2078">
        <f t="shared" si="1182"/>
        <v>0</v>
      </c>
      <c r="BM351" s="2078">
        <f t="shared" si="1183"/>
        <v>0</v>
      </c>
      <c r="BN351" s="2078">
        <f t="shared" si="1184"/>
        <v>0</v>
      </c>
      <c r="BO351" s="2078">
        <f t="shared" si="1185"/>
        <v>0</v>
      </c>
      <c r="BP351" s="2078">
        <f t="shared" si="1186"/>
        <v>0</v>
      </c>
      <c r="BQ351" s="2078">
        <f t="shared" si="1187"/>
        <v>0</v>
      </c>
      <c r="BR351" s="2078">
        <f t="shared" si="1188"/>
        <v>0</v>
      </c>
      <c r="BS351" s="2079">
        <f t="shared" si="1061"/>
        <v>1</v>
      </c>
      <c r="BT351" s="2079">
        <f t="shared" si="1062"/>
        <v>0</v>
      </c>
      <c r="BU351" s="2079">
        <f t="shared" si="1063"/>
        <v>0</v>
      </c>
      <c r="BV351" s="2079">
        <f t="shared" si="1064"/>
        <v>0</v>
      </c>
      <c r="BW351" s="2079">
        <f t="shared" si="1065"/>
        <v>0</v>
      </c>
      <c r="BX351" s="2079">
        <f t="shared" si="1066"/>
        <v>0</v>
      </c>
      <c r="BY351" s="2079">
        <f t="shared" si="1067"/>
        <v>0</v>
      </c>
      <c r="BZ351" s="2079">
        <f t="shared" si="1068"/>
        <v>0</v>
      </c>
      <c r="CA351" s="2079">
        <f t="shared" si="1069"/>
        <v>0</v>
      </c>
      <c r="CB351" s="2079">
        <f t="shared" si="1070"/>
        <v>0</v>
      </c>
      <c r="CC351" s="2078">
        <f t="shared" ca="1" si="1189"/>
        <v>0</v>
      </c>
      <c r="CD351" s="2078">
        <f t="shared" ca="1" si="1190"/>
        <v>0</v>
      </c>
      <c r="CE351" s="2078">
        <f t="shared" ca="1" si="1191"/>
        <v>0</v>
      </c>
      <c r="CF351" s="2078">
        <f t="shared" ca="1" si="1192"/>
        <v>0</v>
      </c>
      <c r="CG351" s="2078">
        <f t="shared" ca="1" si="1193"/>
        <v>0</v>
      </c>
      <c r="CH351" s="2078">
        <f t="shared" ca="1" si="1194"/>
        <v>0</v>
      </c>
      <c r="CI351" s="2078">
        <f t="shared" ca="1" si="1195"/>
        <v>0</v>
      </c>
      <c r="CJ351" s="2078">
        <f t="shared" ca="1" si="1196"/>
        <v>0</v>
      </c>
      <c r="CK351" s="2078">
        <f t="shared" ca="1" si="1197"/>
        <v>0</v>
      </c>
      <c r="CL351" s="2078">
        <f t="shared" ca="1" si="1198"/>
        <v>0</v>
      </c>
      <c r="CM351" s="2078">
        <f t="shared" si="1132"/>
        <v>1</v>
      </c>
      <c r="CN351" s="2078">
        <f t="shared" si="1133"/>
        <v>1</v>
      </c>
      <c r="CO351" s="2078">
        <f t="shared" si="1121"/>
        <v>1</v>
      </c>
      <c r="CP351" s="2078">
        <f t="shared" si="1199"/>
        <v>1</v>
      </c>
      <c r="CQ351" s="2078">
        <f t="shared" si="1122"/>
        <v>0</v>
      </c>
      <c r="CR351" s="2078">
        <f t="shared" si="1042"/>
        <v>0</v>
      </c>
      <c r="CS351" s="2078">
        <f t="shared" si="1200"/>
        <v>0</v>
      </c>
      <c r="CT351" s="2078">
        <f t="shared" si="1123"/>
        <v>1</v>
      </c>
      <c r="CU351" s="2078">
        <f t="shared" si="1201"/>
        <v>1</v>
      </c>
      <c r="CV351" s="2078">
        <f t="shared" si="1134"/>
        <v>0</v>
      </c>
      <c r="CW351" s="2078">
        <f>IF(OR(AE351&lt;&gt;3,F351="Exclude"),0,IF(ISERROR(MATCH($E351,'4 Sign-off'!$S$123:$X$123,0)),0,1))</f>
        <v>0</v>
      </c>
      <c r="CX351" s="2078">
        <f t="shared" si="1154"/>
        <v>0</v>
      </c>
      <c r="CY351" s="2078">
        <f t="shared" si="1135"/>
        <v>0</v>
      </c>
      <c r="CZ351" s="2993">
        <f t="shared" ca="1" si="1149"/>
        <v>0</v>
      </c>
      <c r="DA351" s="3037">
        <f t="shared" ca="1" si="1150"/>
        <v>0</v>
      </c>
      <c r="DB351" s="1664"/>
      <c r="DC351" s="1320"/>
      <c r="DD351" s="589"/>
      <c r="DE351" s="1321"/>
      <c r="DF351" s="107"/>
      <c r="DG351" s="112"/>
      <c r="DH351" s="140"/>
      <c r="DI351" s="22"/>
      <c r="DJ351" s="145"/>
      <c r="DK351" s="137"/>
      <c r="DL351" s="137"/>
      <c r="DM351" s="137"/>
      <c r="DN351" s="137"/>
      <c r="DO351" s="137"/>
      <c r="DP351" s="137"/>
      <c r="DQ351" s="137"/>
      <c r="DR351" s="137"/>
      <c r="DS351" s="137"/>
      <c r="DT351" s="137"/>
      <c r="DU351" s="137"/>
      <c r="DV351" s="137"/>
      <c r="DW351" s="137"/>
      <c r="DX351" s="137"/>
      <c r="DY351" s="137"/>
      <c r="DZ351" s="137"/>
      <c r="EA351" s="137"/>
      <c r="EB351" s="137"/>
      <c r="EC351" s="137"/>
      <c r="ED351" s="137"/>
      <c r="EE351" s="137"/>
      <c r="EF351" s="137"/>
      <c r="EG351" s="137"/>
      <c r="EH351" s="137"/>
      <c r="EI351" s="137"/>
      <c r="EJ351" s="137"/>
      <c r="EK351" s="137"/>
      <c r="EL351" s="137"/>
      <c r="EM351" s="137"/>
      <c r="EN351" s="137"/>
      <c r="EO351" s="137"/>
      <c r="EP351" s="137"/>
      <c r="EQ351" s="137"/>
      <c r="ER351" s="137"/>
      <c r="ES351" s="137"/>
      <c r="ET351" s="137"/>
      <c r="EU351" s="137"/>
      <c r="EV351" s="137"/>
      <c r="EW351" s="137"/>
      <c r="EX351" s="137"/>
      <c r="EY351" s="137"/>
      <c r="EZ351" s="137"/>
      <c r="FA351" s="137"/>
      <c r="FB351" s="137"/>
      <c r="FC351" s="137"/>
      <c r="FD351" s="137"/>
      <c r="FE351" s="137"/>
      <c r="FF351" s="137"/>
      <c r="FG351" s="860"/>
      <c r="FH351" s="863"/>
      <c r="FI351" s="1318"/>
      <c r="FJ351" s="126"/>
      <c r="FK351" s="127"/>
      <c r="FL351" s="128" t="str">
        <f t="shared" si="1202"/>
        <v xml:space="preserve">    </v>
      </c>
      <c r="FM351" s="128"/>
      <c r="FN351" s="1686">
        <f t="shared" si="1203"/>
        <v>0</v>
      </c>
      <c r="FO351" s="46">
        <f t="shared" si="1136"/>
        <v>0</v>
      </c>
      <c r="FP351" s="46">
        <f t="shared" si="1212"/>
        <v>1</v>
      </c>
      <c r="FQ351" s="75">
        <f t="shared" si="1204"/>
        <v>0</v>
      </c>
      <c r="FR351" s="46">
        <f t="shared" si="1128"/>
        <v>0</v>
      </c>
      <c r="FS351" s="46">
        <f t="shared" si="1213"/>
        <v>1</v>
      </c>
      <c r="FT351" s="75">
        <f t="shared" si="1205"/>
        <v>0</v>
      </c>
      <c r="FU351" s="2603">
        <f t="shared" si="1137"/>
        <v>0</v>
      </c>
      <c r="FV351" s="2607">
        <f t="shared" si="1138"/>
        <v>0</v>
      </c>
      <c r="FW351" s="2603">
        <f t="shared" si="1139"/>
        <v>0</v>
      </c>
      <c r="FX351" s="2631">
        <f t="shared" si="1140"/>
        <v>0</v>
      </c>
      <c r="FY351" s="81" t="e">
        <f t="shared" si="1211"/>
        <v>#N/A</v>
      </c>
      <c r="FZ351" s="64" t="e">
        <f t="array" ref="FZ351">MATCH(1,($GT351:$LQ351&gt;0)*$GT$25:$LQ$25,0)</f>
        <v>#N/A</v>
      </c>
      <c r="GA351" s="64" t="e">
        <f t="array" ref="GA351">MATCH(2,1/(GT351:LQ351&gt;0))</f>
        <v>#N/A</v>
      </c>
      <c r="GB351" s="64">
        <f t="shared" si="1206"/>
        <v>-1</v>
      </c>
      <c r="GC351" s="46"/>
      <c r="GD351" s="613"/>
      <c r="GE351" s="613"/>
      <c r="GF351" s="613"/>
      <c r="GG351" s="613"/>
      <c r="GH351" s="613"/>
      <c r="GI351" s="613"/>
      <c r="GJ351" s="613"/>
      <c r="GK351" s="613"/>
      <c r="GL351" s="613"/>
      <c r="GM351" s="613"/>
      <c r="GN351" s="385">
        <f t="shared" si="1157"/>
        <v>0</v>
      </c>
      <c r="GO351" s="386">
        <f t="shared" si="1158"/>
        <v>0</v>
      </c>
      <c r="GP351" s="2635"/>
      <c r="GQ351" s="175"/>
      <c r="GR351" s="172"/>
      <c r="GS351" s="65"/>
      <c r="GT351" s="167"/>
      <c r="GU351" s="168"/>
      <c r="GV351" s="168"/>
      <c r="GW351" s="168"/>
      <c r="GX351" s="168"/>
      <c r="GY351" s="168"/>
      <c r="GZ351" s="168"/>
      <c r="HA351" s="168"/>
      <c r="HB351" s="168"/>
      <c r="HC351" s="168"/>
      <c r="HD351" s="168"/>
      <c r="HE351" s="168"/>
      <c r="HF351" s="168"/>
      <c r="HG351" s="168"/>
      <c r="HH351" s="168"/>
      <c r="HI351" s="168"/>
      <c r="HJ351" s="168"/>
      <c r="HK351" s="168"/>
      <c r="HL351" s="168"/>
      <c r="HM351" s="168"/>
      <c r="HN351" s="168"/>
      <c r="HO351" s="168"/>
      <c r="HP351" s="168"/>
      <c r="HQ351" s="168"/>
      <c r="HR351" s="168"/>
      <c r="HS351" s="168"/>
      <c r="HT351" s="168"/>
      <c r="HU351" s="168"/>
      <c r="HV351" s="168"/>
      <c r="HW351" s="168"/>
      <c r="HX351" s="168"/>
      <c r="HY351" s="168"/>
      <c r="HZ351" s="168"/>
      <c r="IA351" s="168"/>
      <c r="IB351" s="168"/>
      <c r="IC351" s="168"/>
      <c r="ID351" s="168"/>
      <c r="IE351" s="168"/>
      <c r="IF351" s="168"/>
      <c r="IG351" s="168"/>
      <c r="IH351" s="168"/>
      <c r="II351" s="168"/>
      <c r="IJ351" s="168"/>
      <c r="IK351" s="168"/>
      <c r="IL351" s="168"/>
      <c r="IM351" s="168"/>
      <c r="IN351" s="168"/>
      <c r="IO351" s="168"/>
      <c r="IP351" s="168"/>
      <c r="IQ351" s="168"/>
      <c r="IR351" s="168"/>
      <c r="IS351" s="168"/>
      <c r="IT351" s="168"/>
      <c r="IU351" s="168"/>
      <c r="IV351" s="168"/>
      <c r="IW351" s="168"/>
      <c r="IX351" s="168"/>
      <c r="IY351" s="168"/>
      <c r="IZ351" s="168"/>
      <c r="JA351" s="168"/>
      <c r="JB351" s="168"/>
      <c r="JC351" s="168"/>
      <c r="JD351" s="168"/>
      <c r="JE351" s="168"/>
      <c r="JF351" s="168"/>
      <c r="JG351" s="168"/>
      <c r="JH351" s="168"/>
      <c r="JI351" s="168"/>
      <c r="JJ351" s="168"/>
      <c r="JK351" s="168"/>
      <c r="JL351" s="168"/>
      <c r="JM351" s="168"/>
      <c r="JN351" s="168"/>
      <c r="JO351" s="168"/>
      <c r="JP351" s="168"/>
      <c r="JQ351" s="168"/>
      <c r="JR351" s="168"/>
      <c r="JS351" s="168"/>
      <c r="JT351" s="168"/>
      <c r="JU351" s="168"/>
      <c r="JV351" s="168"/>
      <c r="JW351" s="168"/>
      <c r="JX351" s="168"/>
      <c r="JY351" s="168"/>
      <c r="JZ351" s="168"/>
      <c r="KA351" s="168"/>
      <c r="KB351" s="168"/>
      <c r="KC351" s="168"/>
      <c r="KD351" s="168"/>
      <c r="KE351" s="168"/>
      <c r="KF351" s="168"/>
      <c r="KG351" s="168"/>
      <c r="KH351" s="168"/>
      <c r="KI351" s="168"/>
      <c r="KJ351" s="168"/>
      <c r="KK351" s="168"/>
      <c r="KL351" s="168"/>
      <c r="KM351" s="168"/>
      <c r="KN351" s="168"/>
      <c r="KO351" s="168"/>
      <c r="KP351" s="168"/>
      <c r="KQ351" s="168"/>
      <c r="KR351" s="168"/>
      <c r="KS351" s="168"/>
      <c r="KT351" s="168"/>
      <c r="KU351" s="168"/>
      <c r="KV351" s="168"/>
      <c r="KW351" s="168"/>
      <c r="KX351" s="168"/>
      <c r="KY351" s="168"/>
      <c r="KZ351" s="168"/>
      <c r="LA351" s="168"/>
      <c r="LB351" s="168"/>
      <c r="LC351" s="168"/>
      <c r="LD351" s="168"/>
      <c r="LE351" s="168"/>
      <c r="LF351" s="168"/>
      <c r="LG351" s="168"/>
      <c r="LH351" s="168"/>
      <c r="LI351" s="168"/>
      <c r="LJ351" s="168"/>
      <c r="LK351" s="168"/>
      <c r="LL351" s="168"/>
      <c r="LM351" s="168"/>
      <c r="LN351" s="168"/>
      <c r="LO351" s="168"/>
      <c r="LP351" s="606"/>
      <c r="LQ351" s="609"/>
      <c r="LR351" s="1319"/>
      <c r="LS351" s="1319"/>
    </row>
    <row r="352" spans="1:331" s="2" customFormat="1" ht="15" customHeight="1" x14ac:dyDescent="0.25">
      <c r="A352" s="283"/>
      <c r="B352" s="303"/>
      <c r="C352" s="301"/>
      <c r="D352" s="1287"/>
      <c r="E352" s="2298"/>
      <c r="F352" s="1812"/>
      <c r="G352" s="3342"/>
      <c r="H352" s="66"/>
      <c r="I352" s="1746"/>
      <c r="J352" s="1214"/>
      <c r="K352" s="105"/>
      <c r="L352" s="91"/>
      <c r="M352" s="92"/>
      <c r="N352" s="93"/>
      <c r="O352" s="94"/>
      <c r="P352" s="94"/>
      <c r="Q352" s="97"/>
      <c r="R352" s="993">
        <f t="shared" si="1147"/>
        <v>0</v>
      </c>
      <c r="S352" s="23">
        <f t="shared" si="1148"/>
        <v>0</v>
      </c>
      <c r="T352" s="24">
        <f t="shared" si="1159"/>
        <v>0</v>
      </c>
      <c r="U352" s="24">
        <f t="shared" si="1160"/>
        <v>0</v>
      </c>
      <c r="V352" s="24">
        <f t="shared" si="1161"/>
        <v>0</v>
      </c>
      <c r="W352" s="24">
        <f t="shared" ca="1" si="1162"/>
        <v>0</v>
      </c>
      <c r="X352" s="72">
        <f t="shared" ca="1" si="1119"/>
        <v>0</v>
      </c>
      <c r="Y352" s="72">
        <f t="shared" si="1163"/>
        <v>0</v>
      </c>
      <c r="Z352" s="24">
        <f t="shared" si="1164"/>
        <v>0</v>
      </c>
      <c r="AA352" s="72">
        <f t="shared" si="1120"/>
        <v>0</v>
      </c>
      <c r="AB352" s="24">
        <f t="shared" si="1131"/>
        <v>0</v>
      </c>
      <c r="AC352" s="24">
        <f t="shared" ca="1" si="1165"/>
        <v>0</v>
      </c>
      <c r="AD352" s="24">
        <f t="shared" si="1049"/>
        <v>0</v>
      </c>
      <c r="AE352" s="2078">
        <f t="shared" si="1207"/>
        <v>3</v>
      </c>
      <c r="AF352" s="2078">
        <f t="shared" si="1208"/>
        <v>0</v>
      </c>
      <c r="AG352" s="2078">
        <f t="shared" si="1209"/>
        <v>0</v>
      </c>
      <c r="AH352" s="2521">
        <f t="shared" si="1050"/>
        <v>1</v>
      </c>
      <c r="AI352" s="25" t="str">
        <f t="shared" si="1166"/>
        <v/>
      </c>
      <c r="AJ352" s="2521">
        <f t="shared" ca="1" si="1045"/>
        <v>0</v>
      </c>
      <c r="AK352" s="2076">
        <f t="shared" ca="1" si="1041"/>
        <v>0</v>
      </c>
      <c r="AL352" s="2078">
        <f>IF(ISBLANK(J352),0,ISERROR(MATCH(J352,'5  Control Accounts'!$FA$29:$FA$96,0))*1)</f>
        <v>0</v>
      </c>
      <c r="AM352" s="2076">
        <f t="shared" si="1167"/>
        <v>0</v>
      </c>
      <c r="AN352" s="2078">
        <f t="shared" si="1168"/>
        <v>1</v>
      </c>
      <c r="AO352" s="2079">
        <f t="shared" si="1051"/>
        <v>1</v>
      </c>
      <c r="AP352" s="2079">
        <f t="shared" si="1052"/>
        <v>0</v>
      </c>
      <c r="AQ352" s="2079">
        <f t="shared" si="1053"/>
        <v>0</v>
      </c>
      <c r="AR352" s="2079">
        <f t="shared" si="1054"/>
        <v>0</v>
      </c>
      <c r="AS352" s="2079">
        <f t="shared" si="1055"/>
        <v>0</v>
      </c>
      <c r="AT352" s="2079">
        <f t="shared" si="1056"/>
        <v>0</v>
      </c>
      <c r="AU352" s="2079">
        <f t="shared" si="1057"/>
        <v>0</v>
      </c>
      <c r="AV352" s="2079">
        <f t="shared" si="1058"/>
        <v>0</v>
      </c>
      <c r="AW352" s="2079">
        <f t="shared" si="1059"/>
        <v>0</v>
      </c>
      <c r="AX352" s="2079">
        <f t="shared" si="1060"/>
        <v>0</v>
      </c>
      <c r="AY352" s="2078">
        <f t="shared" si="1169"/>
        <v>0</v>
      </c>
      <c r="AZ352" s="2078">
        <f t="shared" si="1170"/>
        <v>0</v>
      </c>
      <c r="BA352" s="2078">
        <f t="shared" si="1171"/>
        <v>0</v>
      </c>
      <c r="BB352" s="2078">
        <f t="shared" si="1172"/>
        <v>0</v>
      </c>
      <c r="BC352" s="2078">
        <f t="shared" si="1173"/>
        <v>0</v>
      </c>
      <c r="BD352" s="2078">
        <f t="shared" si="1174"/>
        <v>0</v>
      </c>
      <c r="BE352" s="2078">
        <f t="shared" si="1175"/>
        <v>0</v>
      </c>
      <c r="BF352" s="2078">
        <f t="shared" si="1176"/>
        <v>0</v>
      </c>
      <c r="BG352" s="2078">
        <f t="shared" si="1177"/>
        <v>0</v>
      </c>
      <c r="BH352" s="2078">
        <f t="shared" si="1178"/>
        <v>0</v>
      </c>
      <c r="BI352" s="2078">
        <f t="shared" si="1179"/>
        <v>0</v>
      </c>
      <c r="BJ352" s="2078">
        <f t="shared" si="1180"/>
        <v>0</v>
      </c>
      <c r="BK352" s="2078">
        <f t="shared" si="1181"/>
        <v>0</v>
      </c>
      <c r="BL352" s="2078">
        <f t="shared" si="1182"/>
        <v>0</v>
      </c>
      <c r="BM352" s="2078">
        <f t="shared" si="1183"/>
        <v>0</v>
      </c>
      <c r="BN352" s="2078">
        <f t="shared" si="1184"/>
        <v>0</v>
      </c>
      <c r="BO352" s="2078">
        <f t="shared" si="1185"/>
        <v>0</v>
      </c>
      <c r="BP352" s="2078">
        <f t="shared" si="1186"/>
        <v>0</v>
      </c>
      <c r="BQ352" s="2078">
        <f t="shared" si="1187"/>
        <v>0</v>
      </c>
      <c r="BR352" s="2078">
        <f t="shared" si="1188"/>
        <v>0</v>
      </c>
      <c r="BS352" s="2079">
        <f t="shared" si="1061"/>
        <v>1</v>
      </c>
      <c r="BT352" s="2079">
        <f t="shared" si="1062"/>
        <v>0</v>
      </c>
      <c r="BU352" s="2079">
        <f t="shared" si="1063"/>
        <v>0</v>
      </c>
      <c r="BV352" s="2079">
        <f t="shared" si="1064"/>
        <v>0</v>
      </c>
      <c r="BW352" s="2079">
        <f t="shared" si="1065"/>
        <v>0</v>
      </c>
      <c r="BX352" s="2079">
        <f t="shared" si="1066"/>
        <v>0</v>
      </c>
      <c r="BY352" s="2079">
        <f t="shared" si="1067"/>
        <v>0</v>
      </c>
      <c r="BZ352" s="2079">
        <f t="shared" si="1068"/>
        <v>0</v>
      </c>
      <c r="CA352" s="2079">
        <f t="shared" si="1069"/>
        <v>0</v>
      </c>
      <c r="CB352" s="2079">
        <f t="shared" si="1070"/>
        <v>0</v>
      </c>
      <c r="CC352" s="2078">
        <f t="shared" ca="1" si="1189"/>
        <v>0</v>
      </c>
      <c r="CD352" s="2078">
        <f t="shared" ca="1" si="1190"/>
        <v>0</v>
      </c>
      <c r="CE352" s="2078">
        <f t="shared" ca="1" si="1191"/>
        <v>0</v>
      </c>
      <c r="CF352" s="2078">
        <f t="shared" ca="1" si="1192"/>
        <v>0</v>
      </c>
      <c r="CG352" s="2078">
        <f t="shared" ca="1" si="1193"/>
        <v>0</v>
      </c>
      <c r="CH352" s="2078">
        <f t="shared" ca="1" si="1194"/>
        <v>0</v>
      </c>
      <c r="CI352" s="2078">
        <f t="shared" ca="1" si="1195"/>
        <v>0</v>
      </c>
      <c r="CJ352" s="2078">
        <f t="shared" ca="1" si="1196"/>
        <v>0</v>
      </c>
      <c r="CK352" s="2078">
        <f t="shared" ca="1" si="1197"/>
        <v>0</v>
      </c>
      <c r="CL352" s="2078">
        <f t="shared" ca="1" si="1198"/>
        <v>0</v>
      </c>
      <c r="CM352" s="2078">
        <f t="shared" si="1132"/>
        <v>1</v>
      </c>
      <c r="CN352" s="2078">
        <f t="shared" si="1133"/>
        <v>1</v>
      </c>
      <c r="CO352" s="2078">
        <f t="shared" si="1121"/>
        <v>1</v>
      </c>
      <c r="CP352" s="2078">
        <f t="shared" si="1199"/>
        <v>1</v>
      </c>
      <c r="CQ352" s="2078">
        <f t="shared" si="1122"/>
        <v>0</v>
      </c>
      <c r="CR352" s="2078">
        <f t="shared" si="1042"/>
        <v>0</v>
      </c>
      <c r="CS352" s="2078">
        <f t="shared" si="1200"/>
        <v>0</v>
      </c>
      <c r="CT352" s="2078">
        <f t="shared" si="1123"/>
        <v>1</v>
      </c>
      <c r="CU352" s="2078">
        <f t="shared" si="1201"/>
        <v>1</v>
      </c>
      <c r="CV352" s="2078">
        <f t="shared" si="1134"/>
        <v>0</v>
      </c>
      <c r="CW352" s="2078">
        <f>IF(OR(AE352&lt;&gt;3,F352="Exclude"),0,IF(ISERROR(MATCH($E352,'4 Sign-off'!$S$123:$X$123,0)),0,1))</f>
        <v>0</v>
      </c>
      <c r="CX352" s="2078">
        <f t="shared" si="1154"/>
        <v>0</v>
      </c>
      <c r="CY352" s="2078">
        <f t="shared" si="1135"/>
        <v>0</v>
      </c>
      <c r="CZ352" s="2993">
        <f t="shared" ca="1" si="1149"/>
        <v>0</v>
      </c>
      <c r="DA352" s="3037">
        <f t="shared" ca="1" si="1150"/>
        <v>0</v>
      </c>
      <c r="DB352" s="1664"/>
      <c r="DC352" s="1320"/>
      <c r="DD352" s="589"/>
      <c r="DE352" s="1321"/>
      <c r="DF352" s="107"/>
      <c r="DG352" s="112"/>
      <c r="DH352" s="140"/>
      <c r="DI352" s="22"/>
      <c r="DJ352" s="145"/>
      <c r="DK352" s="137"/>
      <c r="DL352" s="137"/>
      <c r="DM352" s="137"/>
      <c r="DN352" s="137"/>
      <c r="DO352" s="137"/>
      <c r="DP352" s="137"/>
      <c r="DQ352" s="137"/>
      <c r="DR352" s="137"/>
      <c r="DS352" s="137"/>
      <c r="DT352" s="137"/>
      <c r="DU352" s="137"/>
      <c r="DV352" s="137"/>
      <c r="DW352" s="137"/>
      <c r="DX352" s="137"/>
      <c r="DY352" s="137"/>
      <c r="DZ352" s="137"/>
      <c r="EA352" s="137"/>
      <c r="EB352" s="137"/>
      <c r="EC352" s="137"/>
      <c r="ED352" s="137"/>
      <c r="EE352" s="137"/>
      <c r="EF352" s="137"/>
      <c r="EG352" s="137"/>
      <c r="EH352" s="137"/>
      <c r="EI352" s="137"/>
      <c r="EJ352" s="137"/>
      <c r="EK352" s="137"/>
      <c r="EL352" s="137"/>
      <c r="EM352" s="137"/>
      <c r="EN352" s="137"/>
      <c r="EO352" s="137"/>
      <c r="EP352" s="137"/>
      <c r="EQ352" s="137"/>
      <c r="ER352" s="137"/>
      <c r="ES352" s="137"/>
      <c r="ET352" s="137"/>
      <c r="EU352" s="137"/>
      <c r="EV352" s="137"/>
      <c r="EW352" s="137"/>
      <c r="EX352" s="137"/>
      <c r="EY352" s="137"/>
      <c r="EZ352" s="137"/>
      <c r="FA352" s="137"/>
      <c r="FB352" s="137"/>
      <c r="FC352" s="137"/>
      <c r="FD352" s="137"/>
      <c r="FE352" s="137"/>
      <c r="FF352" s="137"/>
      <c r="FG352" s="860"/>
      <c r="FH352" s="863"/>
      <c r="FI352" s="1318"/>
      <c r="FJ352" s="126"/>
      <c r="FK352" s="127"/>
      <c r="FL352" s="128" t="str">
        <f t="shared" si="1202"/>
        <v xml:space="preserve">    </v>
      </c>
      <c r="FM352" s="128"/>
      <c r="FN352" s="1686">
        <f t="shared" si="1203"/>
        <v>0</v>
      </c>
      <c r="FO352" s="46">
        <f t="shared" si="1136"/>
        <v>0</v>
      </c>
      <c r="FP352" s="46">
        <f t="shared" si="1212"/>
        <v>1</v>
      </c>
      <c r="FQ352" s="75">
        <f t="shared" si="1204"/>
        <v>0</v>
      </c>
      <c r="FR352" s="46">
        <f t="shared" ref="FR352:FR364" si="1214">SUM(GT352:LQ352)</f>
        <v>0</v>
      </c>
      <c r="FS352" s="46">
        <f t="shared" si="1213"/>
        <v>1</v>
      </c>
      <c r="FT352" s="75">
        <f t="shared" si="1205"/>
        <v>0</v>
      </c>
      <c r="FU352" s="2603">
        <f t="shared" si="1137"/>
        <v>0</v>
      </c>
      <c r="FV352" s="2607">
        <f t="shared" si="1138"/>
        <v>0</v>
      </c>
      <c r="FW352" s="2603">
        <f t="shared" si="1139"/>
        <v>0</v>
      </c>
      <c r="FX352" s="2631">
        <f t="shared" si="1140"/>
        <v>0</v>
      </c>
      <c r="FY352" s="81" t="e">
        <f t="shared" si="1211"/>
        <v>#N/A</v>
      </c>
      <c r="FZ352" s="64" t="e">
        <f t="array" ref="FZ352">MATCH(1,($GT352:$LQ352&gt;0)*$GT$25:$LQ$25,0)</f>
        <v>#N/A</v>
      </c>
      <c r="GA352" s="64" t="e">
        <f t="array" ref="GA352">MATCH(2,1/(GT352:LQ352&gt;0))</f>
        <v>#N/A</v>
      </c>
      <c r="GB352" s="64">
        <f t="shared" si="1206"/>
        <v>-1</v>
      </c>
      <c r="GC352" s="46"/>
      <c r="GD352" s="613"/>
      <c r="GE352" s="613"/>
      <c r="GF352" s="613"/>
      <c r="GG352" s="613"/>
      <c r="GH352" s="613"/>
      <c r="GI352" s="613"/>
      <c r="GJ352" s="613"/>
      <c r="GK352" s="613"/>
      <c r="GL352" s="613"/>
      <c r="GM352" s="613"/>
      <c r="GN352" s="385">
        <f t="shared" si="1157"/>
        <v>0</v>
      </c>
      <c r="GO352" s="386">
        <f t="shared" si="1158"/>
        <v>0</v>
      </c>
      <c r="GP352" s="2635"/>
      <c r="GQ352" s="175"/>
      <c r="GR352" s="172"/>
      <c r="GS352" s="65"/>
      <c r="GT352" s="167"/>
      <c r="GU352" s="168"/>
      <c r="GV352" s="168"/>
      <c r="GW352" s="168"/>
      <c r="GX352" s="168"/>
      <c r="GY352" s="168"/>
      <c r="GZ352" s="168"/>
      <c r="HA352" s="168"/>
      <c r="HB352" s="168"/>
      <c r="HC352" s="168"/>
      <c r="HD352" s="168"/>
      <c r="HE352" s="168"/>
      <c r="HF352" s="168"/>
      <c r="HG352" s="168"/>
      <c r="HH352" s="168"/>
      <c r="HI352" s="168"/>
      <c r="HJ352" s="168"/>
      <c r="HK352" s="168"/>
      <c r="HL352" s="168"/>
      <c r="HM352" s="168"/>
      <c r="HN352" s="168"/>
      <c r="HO352" s="168"/>
      <c r="HP352" s="168"/>
      <c r="HQ352" s="168"/>
      <c r="HR352" s="168"/>
      <c r="HS352" s="168"/>
      <c r="HT352" s="168"/>
      <c r="HU352" s="168"/>
      <c r="HV352" s="168"/>
      <c r="HW352" s="168"/>
      <c r="HX352" s="168"/>
      <c r="HY352" s="168"/>
      <c r="HZ352" s="168"/>
      <c r="IA352" s="168"/>
      <c r="IB352" s="168"/>
      <c r="IC352" s="168"/>
      <c r="ID352" s="168"/>
      <c r="IE352" s="168"/>
      <c r="IF352" s="168"/>
      <c r="IG352" s="168"/>
      <c r="IH352" s="168"/>
      <c r="II352" s="168"/>
      <c r="IJ352" s="168"/>
      <c r="IK352" s="168"/>
      <c r="IL352" s="168"/>
      <c r="IM352" s="168"/>
      <c r="IN352" s="168"/>
      <c r="IO352" s="168"/>
      <c r="IP352" s="168"/>
      <c r="IQ352" s="168"/>
      <c r="IR352" s="168"/>
      <c r="IS352" s="168"/>
      <c r="IT352" s="168"/>
      <c r="IU352" s="168"/>
      <c r="IV352" s="168"/>
      <c r="IW352" s="168"/>
      <c r="IX352" s="168"/>
      <c r="IY352" s="168"/>
      <c r="IZ352" s="168"/>
      <c r="JA352" s="168"/>
      <c r="JB352" s="168"/>
      <c r="JC352" s="168"/>
      <c r="JD352" s="168"/>
      <c r="JE352" s="168"/>
      <c r="JF352" s="168"/>
      <c r="JG352" s="168"/>
      <c r="JH352" s="168"/>
      <c r="JI352" s="168"/>
      <c r="JJ352" s="168"/>
      <c r="JK352" s="168"/>
      <c r="JL352" s="168"/>
      <c r="JM352" s="168"/>
      <c r="JN352" s="168"/>
      <c r="JO352" s="168"/>
      <c r="JP352" s="168"/>
      <c r="JQ352" s="168"/>
      <c r="JR352" s="168"/>
      <c r="JS352" s="168"/>
      <c r="JT352" s="168"/>
      <c r="JU352" s="168"/>
      <c r="JV352" s="168"/>
      <c r="JW352" s="168"/>
      <c r="JX352" s="168"/>
      <c r="JY352" s="168"/>
      <c r="JZ352" s="168"/>
      <c r="KA352" s="168"/>
      <c r="KB352" s="168"/>
      <c r="KC352" s="168"/>
      <c r="KD352" s="168"/>
      <c r="KE352" s="168"/>
      <c r="KF352" s="168"/>
      <c r="KG352" s="168"/>
      <c r="KH352" s="168"/>
      <c r="KI352" s="168"/>
      <c r="KJ352" s="168"/>
      <c r="KK352" s="168"/>
      <c r="KL352" s="168"/>
      <c r="KM352" s="168"/>
      <c r="KN352" s="168"/>
      <c r="KO352" s="168"/>
      <c r="KP352" s="168"/>
      <c r="KQ352" s="168"/>
      <c r="KR352" s="168"/>
      <c r="KS352" s="168"/>
      <c r="KT352" s="168"/>
      <c r="KU352" s="168"/>
      <c r="KV352" s="168"/>
      <c r="KW352" s="168"/>
      <c r="KX352" s="168"/>
      <c r="KY352" s="168"/>
      <c r="KZ352" s="168"/>
      <c r="LA352" s="168"/>
      <c r="LB352" s="168"/>
      <c r="LC352" s="168"/>
      <c r="LD352" s="168"/>
      <c r="LE352" s="168"/>
      <c r="LF352" s="168"/>
      <c r="LG352" s="168"/>
      <c r="LH352" s="168"/>
      <c r="LI352" s="168"/>
      <c r="LJ352" s="168"/>
      <c r="LK352" s="168"/>
      <c r="LL352" s="168"/>
      <c r="LM352" s="168"/>
      <c r="LN352" s="168"/>
      <c r="LO352" s="168"/>
      <c r="LP352" s="606"/>
      <c r="LQ352" s="609"/>
      <c r="LR352" s="1319"/>
      <c r="LS352" s="1319"/>
    </row>
    <row r="353" spans="1:331" s="2" customFormat="1" ht="15" customHeight="1" x14ac:dyDescent="0.25">
      <c r="A353" s="283"/>
      <c r="B353" s="303"/>
      <c r="C353" s="301"/>
      <c r="D353" s="1287"/>
      <c r="E353" s="2298"/>
      <c r="F353" s="1812"/>
      <c r="G353" s="3342"/>
      <c r="H353" s="66"/>
      <c r="I353" s="1746"/>
      <c r="J353" s="1214"/>
      <c r="K353" s="105"/>
      <c r="L353" s="91"/>
      <c r="M353" s="92"/>
      <c r="N353" s="93"/>
      <c r="O353" s="94"/>
      <c r="P353" s="94"/>
      <c r="Q353" s="97"/>
      <c r="R353" s="993">
        <f t="shared" si="1147"/>
        <v>0</v>
      </c>
      <c r="S353" s="23">
        <f t="shared" si="1148"/>
        <v>0</v>
      </c>
      <c r="T353" s="24">
        <f t="shared" si="1159"/>
        <v>0</v>
      </c>
      <c r="U353" s="24">
        <f t="shared" si="1160"/>
        <v>0</v>
      </c>
      <c r="V353" s="24">
        <f t="shared" si="1161"/>
        <v>0</v>
      </c>
      <c r="W353" s="24">
        <f t="shared" ca="1" si="1162"/>
        <v>0</v>
      </c>
      <c r="X353" s="72">
        <f t="shared" ca="1" si="1119"/>
        <v>0</v>
      </c>
      <c r="Y353" s="72">
        <f t="shared" si="1163"/>
        <v>0</v>
      </c>
      <c r="Z353" s="24">
        <f t="shared" si="1164"/>
        <v>0</v>
      </c>
      <c r="AA353" s="72">
        <f t="shared" si="1120"/>
        <v>0</v>
      </c>
      <c r="AB353" s="24">
        <f t="shared" si="1131"/>
        <v>0</v>
      </c>
      <c r="AC353" s="24">
        <f t="shared" ca="1" si="1165"/>
        <v>0</v>
      </c>
      <c r="AD353" s="24">
        <f t="shared" si="1049"/>
        <v>0</v>
      </c>
      <c r="AE353" s="2078">
        <f t="shared" si="1207"/>
        <v>3</v>
      </c>
      <c r="AF353" s="2078">
        <f t="shared" si="1208"/>
        <v>0</v>
      </c>
      <c r="AG353" s="2078">
        <f t="shared" si="1209"/>
        <v>0</v>
      </c>
      <c r="AH353" s="2521">
        <f t="shared" si="1050"/>
        <v>1</v>
      </c>
      <c r="AI353" s="25" t="str">
        <f t="shared" si="1166"/>
        <v/>
      </c>
      <c r="AJ353" s="2521">
        <f t="shared" ca="1" si="1045"/>
        <v>0</v>
      </c>
      <c r="AK353" s="2076">
        <f t="shared" ca="1" si="1041"/>
        <v>0</v>
      </c>
      <c r="AL353" s="2078">
        <f>IF(ISBLANK(J353),0,ISERROR(MATCH(J353,'5  Control Accounts'!$FA$29:$FA$96,0))*1)</f>
        <v>0</v>
      </c>
      <c r="AM353" s="2076">
        <f t="shared" si="1167"/>
        <v>0</v>
      </c>
      <c r="AN353" s="2078">
        <f t="shared" si="1168"/>
        <v>1</v>
      </c>
      <c r="AO353" s="2079">
        <f t="shared" si="1051"/>
        <v>1</v>
      </c>
      <c r="AP353" s="2079">
        <f t="shared" si="1052"/>
        <v>0</v>
      </c>
      <c r="AQ353" s="2079">
        <f t="shared" si="1053"/>
        <v>0</v>
      </c>
      <c r="AR353" s="2079">
        <f t="shared" si="1054"/>
        <v>0</v>
      </c>
      <c r="AS353" s="2079">
        <f t="shared" si="1055"/>
        <v>0</v>
      </c>
      <c r="AT353" s="2079">
        <f t="shared" si="1056"/>
        <v>0</v>
      </c>
      <c r="AU353" s="2079">
        <f t="shared" si="1057"/>
        <v>0</v>
      </c>
      <c r="AV353" s="2079">
        <f t="shared" si="1058"/>
        <v>0</v>
      </c>
      <c r="AW353" s="2079">
        <f t="shared" si="1059"/>
        <v>0</v>
      </c>
      <c r="AX353" s="2079">
        <f t="shared" si="1060"/>
        <v>0</v>
      </c>
      <c r="AY353" s="2078">
        <f t="shared" si="1169"/>
        <v>0</v>
      </c>
      <c r="AZ353" s="2078">
        <f t="shared" si="1170"/>
        <v>0</v>
      </c>
      <c r="BA353" s="2078">
        <f t="shared" si="1171"/>
        <v>0</v>
      </c>
      <c r="BB353" s="2078">
        <f t="shared" si="1172"/>
        <v>0</v>
      </c>
      <c r="BC353" s="2078">
        <f t="shared" si="1173"/>
        <v>0</v>
      </c>
      <c r="BD353" s="2078">
        <f t="shared" si="1174"/>
        <v>0</v>
      </c>
      <c r="BE353" s="2078">
        <f t="shared" si="1175"/>
        <v>0</v>
      </c>
      <c r="BF353" s="2078">
        <f t="shared" si="1176"/>
        <v>0</v>
      </c>
      <c r="BG353" s="2078">
        <f t="shared" si="1177"/>
        <v>0</v>
      </c>
      <c r="BH353" s="2078">
        <f t="shared" si="1178"/>
        <v>0</v>
      </c>
      <c r="BI353" s="2078">
        <f t="shared" si="1179"/>
        <v>0</v>
      </c>
      <c r="BJ353" s="2078">
        <f t="shared" si="1180"/>
        <v>0</v>
      </c>
      <c r="BK353" s="2078">
        <f t="shared" si="1181"/>
        <v>0</v>
      </c>
      <c r="BL353" s="2078">
        <f t="shared" si="1182"/>
        <v>0</v>
      </c>
      <c r="BM353" s="2078">
        <f t="shared" si="1183"/>
        <v>0</v>
      </c>
      <c r="BN353" s="2078">
        <f t="shared" si="1184"/>
        <v>0</v>
      </c>
      <c r="BO353" s="2078">
        <f t="shared" si="1185"/>
        <v>0</v>
      </c>
      <c r="BP353" s="2078">
        <f t="shared" si="1186"/>
        <v>0</v>
      </c>
      <c r="BQ353" s="2078">
        <f t="shared" si="1187"/>
        <v>0</v>
      </c>
      <c r="BR353" s="2078">
        <f t="shared" si="1188"/>
        <v>0</v>
      </c>
      <c r="BS353" s="2079">
        <f t="shared" si="1061"/>
        <v>1</v>
      </c>
      <c r="BT353" s="2079">
        <f t="shared" si="1062"/>
        <v>0</v>
      </c>
      <c r="BU353" s="2079">
        <f t="shared" si="1063"/>
        <v>0</v>
      </c>
      <c r="BV353" s="2079">
        <f t="shared" si="1064"/>
        <v>0</v>
      </c>
      <c r="BW353" s="2079">
        <f t="shared" si="1065"/>
        <v>0</v>
      </c>
      <c r="BX353" s="2079">
        <f t="shared" si="1066"/>
        <v>0</v>
      </c>
      <c r="BY353" s="2079">
        <f t="shared" si="1067"/>
        <v>0</v>
      </c>
      <c r="BZ353" s="2079">
        <f t="shared" si="1068"/>
        <v>0</v>
      </c>
      <c r="CA353" s="2079">
        <f t="shared" si="1069"/>
        <v>0</v>
      </c>
      <c r="CB353" s="2079">
        <f t="shared" si="1070"/>
        <v>0</v>
      </c>
      <c r="CC353" s="2078">
        <f t="shared" ca="1" si="1189"/>
        <v>0</v>
      </c>
      <c r="CD353" s="2078">
        <f t="shared" ca="1" si="1190"/>
        <v>0</v>
      </c>
      <c r="CE353" s="2078">
        <f t="shared" ca="1" si="1191"/>
        <v>0</v>
      </c>
      <c r="CF353" s="2078">
        <f t="shared" ca="1" si="1192"/>
        <v>0</v>
      </c>
      <c r="CG353" s="2078">
        <f t="shared" ca="1" si="1193"/>
        <v>0</v>
      </c>
      <c r="CH353" s="2078">
        <f t="shared" ca="1" si="1194"/>
        <v>0</v>
      </c>
      <c r="CI353" s="2078">
        <f t="shared" ca="1" si="1195"/>
        <v>0</v>
      </c>
      <c r="CJ353" s="2078">
        <f t="shared" ca="1" si="1196"/>
        <v>0</v>
      </c>
      <c r="CK353" s="2078">
        <f t="shared" ca="1" si="1197"/>
        <v>0</v>
      </c>
      <c r="CL353" s="2078">
        <f t="shared" ca="1" si="1198"/>
        <v>0</v>
      </c>
      <c r="CM353" s="2078">
        <f t="shared" si="1132"/>
        <v>1</v>
      </c>
      <c r="CN353" s="2078">
        <f t="shared" si="1133"/>
        <v>1</v>
      </c>
      <c r="CO353" s="2078">
        <f t="shared" si="1121"/>
        <v>1</v>
      </c>
      <c r="CP353" s="2078">
        <f t="shared" si="1199"/>
        <v>1</v>
      </c>
      <c r="CQ353" s="2078">
        <f t="shared" si="1122"/>
        <v>0</v>
      </c>
      <c r="CR353" s="2078">
        <f t="shared" si="1042"/>
        <v>0</v>
      </c>
      <c r="CS353" s="2078">
        <f t="shared" si="1200"/>
        <v>0</v>
      </c>
      <c r="CT353" s="2078">
        <f t="shared" si="1123"/>
        <v>1</v>
      </c>
      <c r="CU353" s="2078">
        <f t="shared" si="1201"/>
        <v>1</v>
      </c>
      <c r="CV353" s="2078">
        <f t="shared" si="1134"/>
        <v>0</v>
      </c>
      <c r="CW353" s="2078">
        <f>IF(OR(AE353&lt;&gt;3,F353="Exclude"),0,IF(ISERROR(MATCH($E353,'4 Sign-off'!$S$123:$X$123,0)),0,1))</f>
        <v>0</v>
      </c>
      <c r="CX353" s="2078">
        <f t="shared" si="1154"/>
        <v>0</v>
      </c>
      <c r="CY353" s="2078">
        <f t="shared" si="1135"/>
        <v>0</v>
      </c>
      <c r="CZ353" s="2993">
        <f t="shared" ca="1" si="1149"/>
        <v>0</v>
      </c>
      <c r="DA353" s="3037">
        <f t="shared" ca="1" si="1150"/>
        <v>0</v>
      </c>
      <c r="DB353" s="1664"/>
      <c r="DC353" s="1320"/>
      <c r="DD353" s="589"/>
      <c r="DE353" s="1321"/>
      <c r="DF353" s="107"/>
      <c r="DG353" s="112"/>
      <c r="DH353" s="140"/>
      <c r="DI353" s="22"/>
      <c r="DJ353" s="145"/>
      <c r="DK353" s="137"/>
      <c r="DL353" s="137"/>
      <c r="DM353" s="137"/>
      <c r="DN353" s="137"/>
      <c r="DO353" s="137"/>
      <c r="DP353" s="137"/>
      <c r="DQ353" s="137"/>
      <c r="DR353" s="137"/>
      <c r="DS353" s="137"/>
      <c r="DT353" s="137"/>
      <c r="DU353" s="137"/>
      <c r="DV353" s="137"/>
      <c r="DW353" s="137"/>
      <c r="DX353" s="137"/>
      <c r="DY353" s="137"/>
      <c r="DZ353" s="137"/>
      <c r="EA353" s="137"/>
      <c r="EB353" s="137"/>
      <c r="EC353" s="137"/>
      <c r="ED353" s="137"/>
      <c r="EE353" s="137"/>
      <c r="EF353" s="137"/>
      <c r="EG353" s="137"/>
      <c r="EH353" s="137"/>
      <c r="EI353" s="137"/>
      <c r="EJ353" s="137"/>
      <c r="EK353" s="137"/>
      <c r="EL353" s="137"/>
      <c r="EM353" s="137"/>
      <c r="EN353" s="137"/>
      <c r="EO353" s="137"/>
      <c r="EP353" s="137"/>
      <c r="EQ353" s="137"/>
      <c r="ER353" s="137"/>
      <c r="ES353" s="137"/>
      <c r="ET353" s="137"/>
      <c r="EU353" s="137"/>
      <c r="EV353" s="137"/>
      <c r="EW353" s="137"/>
      <c r="EX353" s="137"/>
      <c r="EY353" s="137"/>
      <c r="EZ353" s="137"/>
      <c r="FA353" s="137"/>
      <c r="FB353" s="137"/>
      <c r="FC353" s="137"/>
      <c r="FD353" s="137"/>
      <c r="FE353" s="137"/>
      <c r="FF353" s="137"/>
      <c r="FG353" s="860"/>
      <c r="FH353" s="863"/>
      <c r="FI353" s="1318"/>
      <c r="FJ353" s="126"/>
      <c r="FK353" s="127"/>
      <c r="FL353" s="128" t="str">
        <f t="shared" si="1202"/>
        <v xml:space="preserve">    </v>
      </c>
      <c r="FM353" s="128"/>
      <c r="FN353" s="1686">
        <f t="shared" si="1203"/>
        <v>0</v>
      </c>
      <c r="FO353" s="46">
        <f t="shared" si="1136"/>
        <v>0</v>
      </c>
      <c r="FP353" s="46">
        <f t="shared" ref="FP353:FP363" si="1215">IFERROR(1/FQ353,1)</f>
        <v>1</v>
      </c>
      <c r="FQ353" s="75">
        <f t="shared" si="1204"/>
        <v>0</v>
      </c>
      <c r="FR353" s="46">
        <f t="shared" si="1214"/>
        <v>0</v>
      </c>
      <c r="FS353" s="46">
        <f t="shared" si="1213"/>
        <v>1</v>
      </c>
      <c r="FT353" s="75">
        <f t="shared" si="1205"/>
        <v>0</v>
      </c>
      <c r="FU353" s="2603">
        <f t="shared" si="1137"/>
        <v>0</v>
      </c>
      <c r="FV353" s="2607">
        <f t="shared" si="1138"/>
        <v>0</v>
      </c>
      <c r="FW353" s="2603">
        <f t="shared" si="1139"/>
        <v>0</v>
      </c>
      <c r="FX353" s="2631">
        <f t="shared" si="1140"/>
        <v>0</v>
      </c>
      <c r="FY353" s="81" t="e">
        <f t="shared" si="1211"/>
        <v>#N/A</v>
      </c>
      <c r="FZ353" s="64" t="e">
        <f t="array" ref="FZ353">MATCH(1,($GT353:$LQ353&gt;0)*$GT$25:$LQ$25,0)</f>
        <v>#N/A</v>
      </c>
      <c r="GA353" s="64" t="e">
        <f t="array" ref="GA353">MATCH(2,1/(GT353:LQ353&gt;0))</f>
        <v>#N/A</v>
      </c>
      <c r="GB353" s="64">
        <f t="shared" si="1206"/>
        <v>-1</v>
      </c>
      <c r="GC353" s="46"/>
      <c r="GD353" s="613"/>
      <c r="GE353" s="613"/>
      <c r="GF353" s="613"/>
      <c r="GG353" s="613"/>
      <c r="GH353" s="613"/>
      <c r="GI353" s="613"/>
      <c r="GJ353" s="613"/>
      <c r="GK353" s="613"/>
      <c r="GL353" s="613"/>
      <c r="GM353" s="613"/>
      <c r="GN353" s="385">
        <f t="shared" si="1157"/>
        <v>0</v>
      </c>
      <c r="GO353" s="386">
        <f t="shared" si="1158"/>
        <v>0</v>
      </c>
      <c r="GP353" s="2635"/>
      <c r="GQ353" s="175"/>
      <c r="GR353" s="172"/>
      <c r="GS353" s="65"/>
      <c r="GT353" s="167"/>
      <c r="GU353" s="168"/>
      <c r="GV353" s="168"/>
      <c r="GW353" s="168"/>
      <c r="GX353" s="168"/>
      <c r="GY353" s="168"/>
      <c r="GZ353" s="168"/>
      <c r="HA353" s="168"/>
      <c r="HB353" s="168"/>
      <c r="HC353" s="168"/>
      <c r="HD353" s="168"/>
      <c r="HE353" s="168"/>
      <c r="HF353" s="168"/>
      <c r="HG353" s="168"/>
      <c r="HH353" s="168"/>
      <c r="HI353" s="168"/>
      <c r="HJ353" s="168"/>
      <c r="HK353" s="168"/>
      <c r="HL353" s="168"/>
      <c r="HM353" s="168"/>
      <c r="HN353" s="168"/>
      <c r="HO353" s="168"/>
      <c r="HP353" s="168"/>
      <c r="HQ353" s="168"/>
      <c r="HR353" s="168"/>
      <c r="HS353" s="168"/>
      <c r="HT353" s="168"/>
      <c r="HU353" s="168"/>
      <c r="HV353" s="168"/>
      <c r="HW353" s="168"/>
      <c r="HX353" s="168"/>
      <c r="HY353" s="168"/>
      <c r="HZ353" s="168"/>
      <c r="IA353" s="168"/>
      <c r="IB353" s="168"/>
      <c r="IC353" s="168"/>
      <c r="ID353" s="168"/>
      <c r="IE353" s="168"/>
      <c r="IF353" s="168"/>
      <c r="IG353" s="168"/>
      <c r="IH353" s="168"/>
      <c r="II353" s="168"/>
      <c r="IJ353" s="168"/>
      <c r="IK353" s="168"/>
      <c r="IL353" s="168"/>
      <c r="IM353" s="168"/>
      <c r="IN353" s="168"/>
      <c r="IO353" s="168"/>
      <c r="IP353" s="168"/>
      <c r="IQ353" s="168"/>
      <c r="IR353" s="168"/>
      <c r="IS353" s="168"/>
      <c r="IT353" s="168"/>
      <c r="IU353" s="168"/>
      <c r="IV353" s="168"/>
      <c r="IW353" s="168"/>
      <c r="IX353" s="168"/>
      <c r="IY353" s="168"/>
      <c r="IZ353" s="168"/>
      <c r="JA353" s="168"/>
      <c r="JB353" s="168"/>
      <c r="JC353" s="168"/>
      <c r="JD353" s="168"/>
      <c r="JE353" s="168"/>
      <c r="JF353" s="168"/>
      <c r="JG353" s="168"/>
      <c r="JH353" s="168"/>
      <c r="JI353" s="168"/>
      <c r="JJ353" s="168"/>
      <c r="JK353" s="168"/>
      <c r="JL353" s="168"/>
      <c r="JM353" s="168"/>
      <c r="JN353" s="168"/>
      <c r="JO353" s="168"/>
      <c r="JP353" s="168"/>
      <c r="JQ353" s="168"/>
      <c r="JR353" s="168"/>
      <c r="JS353" s="168"/>
      <c r="JT353" s="168"/>
      <c r="JU353" s="168"/>
      <c r="JV353" s="168"/>
      <c r="JW353" s="168"/>
      <c r="JX353" s="168"/>
      <c r="JY353" s="168"/>
      <c r="JZ353" s="168"/>
      <c r="KA353" s="168"/>
      <c r="KB353" s="168"/>
      <c r="KC353" s="168"/>
      <c r="KD353" s="168"/>
      <c r="KE353" s="168"/>
      <c r="KF353" s="168"/>
      <c r="KG353" s="168"/>
      <c r="KH353" s="168"/>
      <c r="KI353" s="168"/>
      <c r="KJ353" s="168"/>
      <c r="KK353" s="168"/>
      <c r="KL353" s="168"/>
      <c r="KM353" s="168"/>
      <c r="KN353" s="168"/>
      <c r="KO353" s="168"/>
      <c r="KP353" s="168"/>
      <c r="KQ353" s="168"/>
      <c r="KR353" s="168"/>
      <c r="KS353" s="168"/>
      <c r="KT353" s="168"/>
      <c r="KU353" s="168"/>
      <c r="KV353" s="168"/>
      <c r="KW353" s="168"/>
      <c r="KX353" s="168"/>
      <c r="KY353" s="168"/>
      <c r="KZ353" s="168"/>
      <c r="LA353" s="168"/>
      <c r="LB353" s="168"/>
      <c r="LC353" s="168"/>
      <c r="LD353" s="168"/>
      <c r="LE353" s="168"/>
      <c r="LF353" s="168"/>
      <c r="LG353" s="168"/>
      <c r="LH353" s="168"/>
      <c r="LI353" s="168"/>
      <c r="LJ353" s="168"/>
      <c r="LK353" s="168"/>
      <c r="LL353" s="168"/>
      <c r="LM353" s="168"/>
      <c r="LN353" s="168"/>
      <c r="LO353" s="168"/>
      <c r="LP353" s="606"/>
      <c r="LQ353" s="609"/>
      <c r="LR353" s="1319"/>
      <c r="LS353" s="1319"/>
    </row>
    <row r="354" spans="1:331" s="2" customFormat="1" ht="15" customHeight="1" x14ac:dyDescent="0.25">
      <c r="A354" s="283"/>
      <c r="B354" s="303"/>
      <c r="C354" s="301"/>
      <c r="D354" s="1287"/>
      <c r="E354" s="2298"/>
      <c r="F354" s="1812"/>
      <c r="G354" s="3342"/>
      <c r="H354" s="66"/>
      <c r="I354" s="1746"/>
      <c r="J354" s="1214"/>
      <c r="K354" s="105"/>
      <c r="L354" s="91"/>
      <c r="M354" s="92"/>
      <c r="N354" s="93"/>
      <c r="O354" s="94"/>
      <c r="P354" s="94"/>
      <c r="Q354" s="97"/>
      <c r="R354" s="993">
        <f t="shared" si="1147"/>
        <v>0</v>
      </c>
      <c r="S354" s="23">
        <f t="shared" si="1148"/>
        <v>0</v>
      </c>
      <c r="T354" s="24">
        <f t="shared" si="1159"/>
        <v>0</v>
      </c>
      <c r="U354" s="24">
        <f t="shared" si="1160"/>
        <v>0</v>
      </c>
      <c r="V354" s="24">
        <f t="shared" si="1161"/>
        <v>0</v>
      </c>
      <c r="W354" s="24">
        <f t="shared" ca="1" si="1162"/>
        <v>0</v>
      </c>
      <c r="X354" s="72">
        <f t="shared" ca="1" si="1119"/>
        <v>0</v>
      </c>
      <c r="Y354" s="72">
        <f t="shared" si="1163"/>
        <v>0</v>
      </c>
      <c r="Z354" s="24">
        <f t="shared" si="1164"/>
        <v>0</v>
      </c>
      <c r="AA354" s="72">
        <f t="shared" si="1120"/>
        <v>0</v>
      </c>
      <c r="AB354" s="24">
        <f t="shared" si="1131"/>
        <v>0</v>
      </c>
      <c r="AC354" s="24">
        <f t="shared" ca="1" si="1165"/>
        <v>0</v>
      </c>
      <c r="AD354" s="24">
        <f t="shared" si="1049"/>
        <v>0</v>
      </c>
      <c r="AE354" s="2078">
        <f t="shared" si="1207"/>
        <v>3</v>
      </c>
      <c r="AF354" s="2078">
        <f t="shared" si="1208"/>
        <v>0</v>
      </c>
      <c r="AG354" s="2078">
        <f t="shared" si="1209"/>
        <v>0</v>
      </c>
      <c r="AH354" s="2521">
        <f t="shared" si="1050"/>
        <v>1</v>
      </c>
      <c r="AI354" s="25" t="str">
        <f t="shared" si="1166"/>
        <v/>
      </c>
      <c r="AJ354" s="2521">
        <f t="shared" ca="1" si="1045"/>
        <v>0</v>
      </c>
      <c r="AK354" s="2076">
        <f t="shared" ca="1" si="1041"/>
        <v>0</v>
      </c>
      <c r="AL354" s="2078">
        <f>IF(ISBLANK(J354),0,ISERROR(MATCH(J354,'5  Control Accounts'!$FA$29:$FA$96,0))*1)</f>
        <v>0</v>
      </c>
      <c r="AM354" s="2076">
        <f t="shared" si="1167"/>
        <v>0</v>
      </c>
      <c r="AN354" s="2078">
        <f t="shared" si="1168"/>
        <v>1</v>
      </c>
      <c r="AO354" s="2079">
        <f t="shared" si="1051"/>
        <v>1</v>
      </c>
      <c r="AP354" s="2079">
        <f t="shared" si="1052"/>
        <v>0</v>
      </c>
      <c r="AQ354" s="2079">
        <f t="shared" si="1053"/>
        <v>0</v>
      </c>
      <c r="AR354" s="2079">
        <f t="shared" si="1054"/>
        <v>0</v>
      </c>
      <c r="AS354" s="2079">
        <f t="shared" si="1055"/>
        <v>0</v>
      </c>
      <c r="AT354" s="2079">
        <f t="shared" si="1056"/>
        <v>0</v>
      </c>
      <c r="AU354" s="2079">
        <f t="shared" si="1057"/>
        <v>0</v>
      </c>
      <c r="AV354" s="2079">
        <f t="shared" si="1058"/>
        <v>0</v>
      </c>
      <c r="AW354" s="2079">
        <f t="shared" si="1059"/>
        <v>0</v>
      </c>
      <c r="AX354" s="2079">
        <f t="shared" si="1060"/>
        <v>0</v>
      </c>
      <c r="AY354" s="2078">
        <f t="shared" si="1169"/>
        <v>0</v>
      </c>
      <c r="AZ354" s="2078">
        <f t="shared" si="1170"/>
        <v>0</v>
      </c>
      <c r="BA354" s="2078">
        <f t="shared" si="1171"/>
        <v>0</v>
      </c>
      <c r="BB354" s="2078">
        <f t="shared" si="1172"/>
        <v>0</v>
      </c>
      <c r="BC354" s="2078">
        <f t="shared" si="1173"/>
        <v>0</v>
      </c>
      <c r="BD354" s="2078">
        <f t="shared" si="1174"/>
        <v>0</v>
      </c>
      <c r="BE354" s="2078">
        <f t="shared" si="1175"/>
        <v>0</v>
      </c>
      <c r="BF354" s="2078">
        <f t="shared" si="1176"/>
        <v>0</v>
      </c>
      <c r="BG354" s="2078">
        <f t="shared" si="1177"/>
        <v>0</v>
      </c>
      <c r="BH354" s="2078">
        <f t="shared" si="1178"/>
        <v>0</v>
      </c>
      <c r="BI354" s="2078">
        <f t="shared" si="1179"/>
        <v>0</v>
      </c>
      <c r="BJ354" s="2078">
        <f t="shared" si="1180"/>
        <v>0</v>
      </c>
      <c r="BK354" s="2078">
        <f t="shared" si="1181"/>
        <v>0</v>
      </c>
      <c r="BL354" s="2078">
        <f t="shared" si="1182"/>
        <v>0</v>
      </c>
      <c r="BM354" s="2078">
        <f t="shared" si="1183"/>
        <v>0</v>
      </c>
      <c r="BN354" s="2078">
        <f t="shared" si="1184"/>
        <v>0</v>
      </c>
      <c r="BO354" s="2078">
        <f t="shared" si="1185"/>
        <v>0</v>
      </c>
      <c r="BP354" s="2078">
        <f t="shared" si="1186"/>
        <v>0</v>
      </c>
      <c r="BQ354" s="2078">
        <f t="shared" si="1187"/>
        <v>0</v>
      </c>
      <c r="BR354" s="2078">
        <f t="shared" si="1188"/>
        <v>0</v>
      </c>
      <c r="BS354" s="2079">
        <f t="shared" si="1061"/>
        <v>1</v>
      </c>
      <c r="BT354" s="2079">
        <f t="shared" si="1062"/>
        <v>0</v>
      </c>
      <c r="BU354" s="2079">
        <f t="shared" si="1063"/>
        <v>0</v>
      </c>
      <c r="BV354" s="2079">
        <f t="shared" si="1064"/>
        <v>0</v>
      </c>
      <c r="BW354" s="2079">
        <f t="shared" si="1065"/>
        <v>0</v>
      </c>
      <c r="BX354" s="2079">
        <f t="shared" si="1066"/>
        <v>0</v>
      </c>
      <c r="BY354" s="2079">
        <f t="shared" si="1067"/>
        <v>0</v>
      </c>
      <c r="BZ354" s="2079">
        <f t="shared" si="1068"/>
        <v>0</v>
      </c>
      <c r="CA354" s="2079">
        <f t="shared" si="1069"/>
        <v>0</v>
      </c>
      <c r="CB354" s="2079">
        <f t="shared" si="1070"/>
        <v>0</v>
      </c>
      <c r="CC354" s="2078">
        <f t="shared" ca="1" si="1189"/>
        <v>0</v>
      </c>
      <c r="CD354" s="2078">
        <f t="shared" ca="1" si="1190"/>
        <v>0</v>
      </c>
      <c r="CE354" s="2078">
        <f t="shared" ca="1" si="1191"/>
        <v>0</v>
      </c>
      <c r="CF354" s="2078">
        <f t="shared" ca="1" si="1192"/>
        <v>0</v>
      </c>
      <c r="CG354" s="2078">
        <f t="shared" ca="1" si="1193"/>
        <v>0</v>
      </c>
      <c r="CH354" s="2078">
        <f t="shared" ca="1" si="1194"/>
        <v>0</v>
      </c>
      <c r="CI354" s="2078">
        <f t="shared" ca="1" si="1195"/>
        <v>0</v>
      </c>
      <c r="CJ354" s="2078">
        <f t="shared" ca="1" si="1196"/>
        <v>0</v>
      </c>
      <c r="CK354" s="2078">
        <f t="shared" ca="1" si="1197"/>
        <v>0</v>
      </c>
      <c r="CL354" s="2078">
        <f t="shared" ca="1" si="1198"/>
        <v>0</v>
      </c>
      <c r="CM354" s="2078">
        <f t="shared" si="1132"/>
        <v>1</v>
      </c>
      <c r="CN354" s="2078">
        <f t="shared" si="1133"/>
        <v>1</v>
      </c>
      <c r="CO354" s="2078">
        <f t="shared" si="1121"/>
        <v>1</v>
      </c>
      <c r="CP354" s="2078">
        <f t="shared" si="1199"/>
        <v>1</v>
      </c>
      <c r="CQ354" s="2078">
        <f t="shared" si="1122"/>
        <v>0</v>
      </c>
      <c r="CR354" s="2078">
        <f t="shared" si="1042"/>
        <v>0</v>
      </c>
      <c r="CS354" s="2078">
        <f t="shared" si="1200"/>
        <v>0</v>
      </c>
      <c r="CT354" s="2078">
        <f t="shared" si="1123"/>
        <v>1</v>
      </c>
      <c r="CU354" s="2078">
        <f t="shared" si="1201"/>
        <v>1</v>
      </c>
      <c r="CV354" s="2078">
        <f t="shared" si="1134"/>
        <v>0</v>
      </c>
      <c r="CW354" s="2078">
        <f>IF(OR(AE354&lt;&gt;3,F354="Exclude"),0,IF(ISERROR(MATCH($E354,'4 Sign-off'!$S$123:$X$123,0)),0,1))</f>
        <v>0</v>
      </c>
      <c r="CX354" s="2078">
        <f t="shared" si="1154"/>
        <v>0</v>
      </c>
      <c r="CY354" s="2078">
        <f t="shared" si="1135"/>
        <v>0</v>
      </c>
      <c r="CZ354" s="2993">
        <f t="shared" ca="1" si="1149"/>
        <v>0</v>
      </c>
      <c r="DA354" s="3037">
        <f t="shared" ca="1" si="1150"/>
        <v>0</v>
      </c>
      <c r="DB354" s="1664"/>
      <c r="DC354" s="1320"/>
      <c r="DD354" s="589"/>
      <c r="DE354" s="1321"/>
      <c r="DF354" s="107"/>
      <c r="DG354" s="112"/>
      <c r="DH354" s="140"/>
      <c r="DI354" s="22"/>
      <c r="DJ354" s="145"/>
      <c r="DK354" s="137"/>
      <c r="DL354" s="137"/>
      <c r="DM354" s="137"/>
      <c r="DN354" s="137"/>
      <c r="DO354" s="137"/>
      <c r="DP354" s="137"/>
      <c r="DQ354" s="137"/>
      <c r="DR354" s="137"/>
      <c r="DS354" s="137"/>
      <c r="DT354" s="137"/>
      <c r="DU354" s="137"/>
      <c r="DV354" s="137"/>
      <c r="DW354" s="137"/>
      <c r="DX354" s="137"/>
      <c r="DY354" s="137"/>
      <c r="DZ354" s="137"/>
      <c r="EA354" s="137"/>
      <c r="EB354" s="137"/>
      <c r="EC354" s="137"/>
      <c r="ED354" s="137"/>
      <c r="EE354" s="137"/>
      <c r="EF354" s="137"/>
      <c r="EG354" s="137"/>
      <c r="EH354" s="137"/>
      <c r="EI354" s="137"/>
      <c r="EJ354" s="137"/>
      <c r="EK354" s="137"/>
      <c r="EL354" s="137"/>
      <c r="EM354" s="137"/>
      <c r="EN354" s="137"/>
      <c r="EO354" s="137"/>
      <c r="EP354" s="137"/>
      <c r="EQ354" s="137"/>
      <c r="ER354" s="137"/>
      <c r="ES354" s="137"/>
      <c r="ET354" s="137"/>
      <c r="EU354" s="137"/>
      <c r="EV354" s="137"/>
      <c r="EW354" s="137"/>
      <c r="EX354" s="137"/>
      <c r="EY354" s="137"/>
      <c r="EZ354" s="137"/>
      <c r="FA354" s="137"/>
      <c r="FB354" s="137"/>
      <c r="FC354" s="137"/>
      <c r="FD354" s="137"/>
      <c r="FE354" s="137"/>
      <c r="FF354" s="137"/>
      <c r="FG354" s="860"/>
      <c r="FH354" s="863"/>
      <c r="FI354" s="1318"/>
      <c r="FJ354" s="126"/>
      <c r="FK354" s="127"/>
      <c r="FL354" s="128" t="str">
        <f t="shared" si="1202"/>
        <v xml:space="preserve">    </v>
      </c>
      <c r="FM354" s="128"/>
      <c r="FN354" s="1686">
        <f t="shared" si="1203"/>
        <v>0</v>
      </c>
      <c r="FO354" s="46">
        <f t="shared" si="1136"/>
        <v>0</v>
      </c>
      <c r="FP354" s="46">
        <f t="shared" ref="FP354:FP362" si="1216">IFERROR(1/FQ354,1)</f>
        <v>1</v>
      </c>
      <c r="FQ354" s="75">
        <f t="shared" si="1204"/>
        <v>0</v>
      </c>
      <c r="FR354" s="46">
        <f t="shared" si="1214"/>
        <v>0</v>
      </c>
      <c r="FS354" s="46">
        <f t="shared" si="1213"/>
        <v>1</v>
      </c>
      <c r="FT354" s="75">
        <f t="shared" si="1205"/>
        <v>0</v>
      </c>
      <c r="FU354" s="2603">
        <f t="shared" si="1137"/>
        <v>0</v>
      </c>
      <c r="FV354" s="2607">
        <f t="shared" si="1138"/>
        <v>0</v>
      </c>
      <c r="FW354" s="2603">
        <f t="shared" si="1139"/>
        <v>0</v>
      </c>
      <c r="FX354" s="2631">
        <f t="shared" si="1140"/>
        <v>0</v>
      </c>
      <c r="FY354" s="81" t="e">
        <f t="shared" si="1211"/>
        <v>#N/A</v>
      </c>
      <c r="FZ354" s="64" t="e">
        <f t="array" ref="FZ354">MATCH(1,($GT354:$LQ354&gt;0)*$GT$25:$LQ$25,0)</f>
        <v>#N/A</v>
      </c>
      <c r="GA354" s="64" t="e">
        <f t="array" ref="GA354">MATCH(2,1/(GT354:LQ354&gt;0))</f>
        <v>#N/A</v>
      </c>
      <c r="GB354" s="64">
        <f t="shared" si="1206"/>
        <v>-1</v>
      </c>
      <c r="GC354" s="46"/>
      <c r="GD354" s="613"/>
      <c r="GE354" s="613"/>
      <c r="GF354" s="613"/>
      <c r="GG354" s="613"/>
      <c r="GH354" s="613"/>
      <c r="GI354" s="613"/>
      <c r="GJ354" s="613"/>
      <c r="GK354" s="613"/>
      <c r="GL354" s="613"/>
      <c r="GM354" s="613"/>
      <c r="GN354" s="385">
        <f t="shared" si="1157"/>
        <v>0</v>
      </c>
      <c r="GO354" s="386">
        <f t="shared" si="1158"/>
        <v>0</v>
      </c>
      <c r="GP354" s="2635"/>
      <c r="GQ354" s="175"/>
      <c r="GR354" s="172"/>
      <c r="GS354" s="65"/>
      <c r="GT354" s="167"/>
      <c r="GU354" s="168"/>
      <c r="GV354" s="168"/>
      <c r="GW354" s="168"/>
      <c r="GX354" s="168"/>
      <c r="GY354" s="168"/>
      <c r="GZ354" s="168"/>
      <c r="HA354" s="168"/>
      <c r="HB354" s="168"/>
      <c r="HC354" s="168"/>
      <c r="HD354" s="168"/>
      <c r="HE354" s="168"/>
      <c r="HF354" s="168"/>
      <c r="HG354" s="168"/>
      <c r="HH354" s="168"/>
      <c r="HI354" s="168"/>
      <c r="HJ354" s="168"/>
      <c r="HK354" s="168"/>
      <c r="HL354" s="168"/>
      <c r="HM354" s="168"/>
      <c r="HN354" s="168"/>
      <c r="HO354" s="168"/>
      <c r="HP354" s="168"/>
      <c r="HQ354" s="168"/>
      <c r="HR354" s="168"/>
      <c r="HS354" s="168"/>
      <c r="HT354" s="168"/>
      <c r="HU354" s="168"/>
      <c r="HV354" s="168"/>
      <c r="HW354" s="168"/>
      <c r="HX354" s="168"/>
      <c r="HY354" s="168"/>
      <c r="HZ354" s="168"/>
      <c r="IA354" s="168"/>
      <c r="IB354" s="168"/>
      <c r="IC354" s="168"/>
      <c r="ID354" s="168"/>
      <c r="IE354" s="168"/>
      <c r="IF354" s="168"/>
      <c r="IG354" s="168"/>
      <c r="IH354" s="168"/>
      <c r="II354" s="168"/>
      <c r="IJ354" s="168"/>
      <c r="IK354" s="168"/>
      <c r="IL354" s="168"/>
      <c r="IM354" s="168"/>
      <c r="IN354" s="168"/>
      <c r="IO354" s="168"/>
      <c r="IP354" s="168"/>
      <c r="IQ354" s="168"/>
      <c r="IR354" s="168"/>
      <c r="IS354" s="168"/>
      <c r="IT354" s="168"/>
      <c r="IU354" s="168"/>
      <c r="IV354" s="168"/>
      <c r="IW354" s="168"/>
      <c r="IX354" s="168"/>
      <c r="IY354" s="168"/>
      <c r="IZ354" s="168"/>
      <c r="JA354" s="168"/>
      <c r="JB354" s="168"/>
      <c r="JC354" s="168"/>
      <c r="JD354" s="168"/>
      <c r="JE354" s="168"/>
      <c r="JF354" s="168"/>
      <c r="JG354" s="168"/>
      <c r="JH354" s="168"/>
      <c r="JI354" s="168"/>
      <c r="JJ354" s="168"/>
      <c r="JK354" s="168"/>
      <c r="JL354" s="168"/>
      <c r="JM354" s="168"/>
      <c r="JN354" s="168"/>
      <c r="JO354" s="168"/>
      <c r="JP354" s="168"/>
      <c r="JQ354" s="168"/>
      <c r="JR354" s="168"/>
      <c r="JS354" s="168"/>
      <c r="JT354" s="168"/>
      <c r="JU354" s="168"/>
      <c r="JV354" s="168"/>
      <c r="JW354" s="168"/>
      <c r="JX354" s="168"/>
      <c r="JY354" s="168"/>
      <c r="JZ354" s="168"/>
      <c r="KA354" s="168"/>
      <c r="KB354" s="168"/>
      <c r="KC354" s="168"/>
      <c r="KD354" s="168"/>
      <c r="KE354" s="168"/>
      <c r="KF354" s="168"/>
      <c r="KG354" s="168"/>
      <c r="KH354" s="168"/>
      <c r="KI354" s="168"/>
      <c r="KJ354" s="168"/>
      <c r="KK354" s="168"/>
      <c r="KL354" s="168"/>
      <c r="KM354" s="168"/>
      <c r="KN354" s="168"/>
      <c r="KO354" s="168"/>
      <c r="KP354" s="168"/>
      <c r="KQ354" s="168"/>
      <c r="KR354" s="168"/>
      <c r="KS354" s="168"/>
      <c r="KT354" s="168"/>
      <c r="KU354" s="168"/>
      <c r="KV354" s="168"/>
      <c r="KW354" s="168"/>
      <c r="KX354" s="168"/>
      <c r="KY354" s="168"/>
      <c r="KZ354" s="168"/>
      <c r="LA354" s="168"/>
      <c r="LB354" s="168"/>
      <c r="LC354" s="168"/>
      <c r="LD354" s="168"/>
      <c r="LE354" s="168"/>
      <c r="LF354" s="168"/>
      <c r="LG354" s="168"/>
      <c r="LH354" s="168"/>
      <c r="LI354" s="168"/>
      <c r="LJ354" s="168"/>
      <c r="LK354" s="168"/>
      <c r="LL354" s="168"/>
      <c r="LM354" s="168"/>
      <c r="LN354" s="168"/>
      <c r="LO354" s="168"/>
      <c r="LP354" s="606"/>
      <c r="LQ354" s="609"/>
      <c r="LR354" s="1319"/>
      <c r="LS354" s="1319"/>
    </row>
    <row r="355" spans="1:331" s="2" customFormat="1" ht="15" customHeight="1" x14ac:dyDescent="0.25">
      <c r="A355" s="283"/>
      <c r="B355" s="303"/>
      <c r="C355" s="301"/>
      <c r="D355" s="1287"/>
      <c r="E355" s="2298"/>
      <c r="F355" s="1812"/>
      <c r="G355" s="3342"/>
      <c r="H355" s="66"/>
      <c r="I355" s="1746"/>
      <c r="J355" s="1214"/>
      <c r="K355" s="105"/>
      <c r="L355" s="91"/>
      <c r="M355" s="92"/>
      <c r="N355" s="93"/>
      <c r="O355" s="94"/>
      <c r="P355" s="94"/>
      <c r="Q355" s="97"/>
      <c r="R355" s="993">
        <f t="shared" si="1147"/>
        <v>0</v>
      </c>
      <c r="S355" s="23">
        <f t="shared" si="1148"/>
        <v>0</v>
      </c>
      <c r="T355" s="24">
        <f t="shared" si="1159"/>
        <v>0</v>
      </c>
      <c r="U355" s="24">
        <f t="shared" si="1160"/>
        <v>0</v>
      </c>
      <c r="V355" s="24">
        <f t="shared" si="1161"/>
        <v>0</v>
      </c>
      <c r="W355" s="24">
        <f t="shared" ca="1" si="1162"/>
        <v>0</v>
      </c>
      <c r="X355" s="72">
        <f t="shared" ca="1" si="1119"/>
        <v>0</v>
      </c>
      <c r="Y355" s="72">
        <f t="shared" si="1163"/>
        <v>0</v>
      </c>
      <c r="Z355" s="24">
        <f t="shared" si="1164"/>
        <v>0</v>
      </c>
      <c r="AA355" s="72">
        <f t="shared" si="1120"/>
        <v>0</v>
      </c>
      <c r="AB355" s="24">
        <f t="shared" si="1131"/>
        <v>0</v>
      </c>
      <c r="AC355" s="24">
        <f t="shared" ca="1" si="1165"/>
        <v>0</v>
      </c>
      <c r="AD355" s="24">
        <f t="shared" si="1049"/>
        <v>0</v>
      </c>
      <c r="AE355" s="2078">
        <f t="shared" si="1207"/>
        <v>3</v>
      </c>
      <c r="AF355" s="2078">
        <f t="shared" si="1208"/>
        <v>0</v>
      </c>
      <c r="AG355" s="2078">
        <f t="shared" si="1209"/>
        <v>0</v>
      </c>
      <c r="AH355" s="2521">
        <f t="shared" si="1050"/>
        <v>1</v>
      </c>
      <c r="AI355" s="25" t="str">
        <f t="shared" si="1166"/>
        <v/>
      </c>
      <c r="AJ355" s="2521">
        <f t="shared" ca="1" si="1045"/>
        <v>0</v>
      </c>
      <c r="AK355" s="2076">
        <f t="shared" ca="1" si="1041"/>
        <v>0</v>
      </c>
      <c r="AL355" s="2078">
        <f>IF(ISBLANK(J355),0,ISERROR(MATCH(J355,'5  Control Accounts'!$FA$29:$FA$96,0))*1)</f>
        <v>0</v>
      </c>
      <c r="AM355" s="2076">
        <f t="shared" si="1167"/>
        <v>0</v>
      </c>
      <c r="AN355" s="2078">
        <f t="shared" si="1168"/>
        <v>1</v>
      </c>
      <c r="AO355" s="2079">
        <f t="shared" si="1051"/>
        <v>1</v>
      </c>
      <c r="AP355" s="2079">
        <f t="shared" si="1052"/>
        <v>0</v>
      </c>
      <c r="AQ355" s="2079">
        <f t="shared" si="1053"/>
        <v>0</v>
      </c>
      <c r="AR355" s="2079">
        <f t="shared" si="1054"/>
        <v>0</v>
      </c>
      <c r="AS355" s="2079">
        <f t="shared" si="1055"/>
        <v>0</v>
      </c>
      <c r="AT355" s="2079">
        <f t="shared" si="1056"/>
        <v>0</v>
      </c>
      <c r="AU355" s="2079">
        <f t="shared" si="1057"/>
        <v>0</v>
      </c>
      <c r="AV355" s="2079">
        <f t="shared" si="1058"/>
        <v>0</v>
      </c>
      <c r="AW355" s="2079">
        <f t="shared" si="1059"/>
        <v>0</v>
      </c>
      <c r="AX355" s="2079">
        <f t="shared" si="1060"/>
        <v>0</v>
      </c>
      <c r="AY355" s="2078">
        <f t="shared" si="1169"/>
        <v>0</v>
      </c>
      <c r="AZ355" s="2078">
        <f t="shared" si="1170"/>
        <v>0</v>
      </c>
      <c r="BA355" s="2078">
        <f t="shared" si="1171"/>
        <v>0</v>
      </c>
      <c r="BB355" s="2078">
        <f t="shared" si="1172"/>
        <v>0</v>
      </c>
      <c r="BC355" s="2078">
        <f t="shared" si="1173"/>
        <v>0</v>
      </c>
      <c r="BD355" s="2078">
        <f t="shared" si="1174"/>
        <v>0</v>
      </c>
      <c r="BE355" s="2078">
        <f t="shared" si="1175"/>
        <v>0</v>
      </c>
      <c r="BF355" s="2078">
        <f t="shared" si="1176"/>
        <v>0</v>
      </c>
      <c r="BG355" s="2078">
        <f t="shared" si="1177"/>
        <v>0</v>
      </c>
      <c r="BH355" s="2078">
        <f t="shared" si="1178"/>
        <v>0</v>
      </c>
      <c r="BI355" s="2078">
        <f t="shared" si="1179"/>
        <v>0</v>
      </c>
      <c r="BJ355" s="2078">
        <f t="shared" si="1180"/>
        <v>0</v>
      </c>
      <c r="BK355" s="2078">
        <f t="shared" si="1181"/>
        <v>0</v>
      </c>
      <c r="BL355" s="2078">
        <f t="shared" si="1182"/>
        <v>0</v>
      </c>
      <c r="BM355" s="2078">
        <f t="shared" si="1183"/>
        <v>0</v>
      </c>
      <c r="BN355" s="2078">
        <f t="shared" si="1184"/>
        <v>0</v>
      </c>
      <c r="BO355" s="2078">
        <f t="shared" si="1185"/>
        <v>0</v>
      </c>
      <c r="BP355" s="2078">
        <f t="shared" si="1186"/>
        <v>0</v>
      </c>
      <c r="BQ355" s="2078">
        <f t="shared" si="1187"/>
        <v>0</v>
      </c>
      <c r="BR355" s="2078">
        <f t="shared" si="1188"/>
        <v>0</v>
      </c>
      <c r="BS355" s="2079">
        <f t="shared" si="1061"/>
        <v>1</v>
      </c>
      <c r="BT355" s="2079">
        <f t="shared" si="1062"/>
        <v>0</v>
      </c>
      <c r="BU355" s="2079">
        <f t="shared" si="1063"/>
        <v>0</v>
      </c>
      <c r="BV355" s="2079">
        <f t="shared" si="1064"/>
        <v>0</v>
      </c>
      <c r="BW355" s="2079">
        <f t="shared" si="1065"/>
        <v>0</v>
      </c>
      <c r="BX355" s="2079">
        <f t="shared" si="1066"/>
        <v>0</v>
      </c>
      <c r="BY355" s="2079">
        <f t="shared" si="1067"/>
        <v>0</v>
      </c>
      <c r="BZ355" s="2079">
        <f t="shared" si="1068"/>
        <v>0</v>
      </c>
      <c r="CA355" s="2079">
        <f t="shared" si="1069"/>
        <v>0</v>
      </c>
      <c r="CB355" s="2079">
        <f t="shared" si="1070"/>
        <v>0</v>
      </c>
      <c r="CC355" s="2078">
        <f t="shared" ca="1" si="1189"/>
        <v>0</v>
      </c>
      <c r="CD355" s="2078">
        <f t="shared" ca="1" si="1190"/>
        <v>0</v>
      </c>
      <c r="CE355" s="2078">
        <f t="shared" ca="1" si="1191"/>
        <v>0</v>
      </c>
      <c r="CF355" s="2078">
        <f t="shared" ca="1" si="1192"/>
        <v>0</v>
      </c>
      <c r="CG355" s="2078">
        <f t="shared" ca="1" si="1193"/>
        <v>0</v>
      </c>
      <c r="CH355" s="2078">
        <f t="shared" ca="1" si="1194"/>
        <v>0</v>
      </c>
      <c r="CI355" s="2078">
        <f t="shared" ca="1" si="1195"/>
        <v>0</v>
      </c>
      <c r="CJ355" s="2078">
        <f t="shared" ca="1" si="1196"/>
        <v>0</v>
      </c>
      <c r="CK355" s="2078">
        <f t="shared" ca="1" si="1197"/>
        <v>0</v>
      </c>
      <c r="CL355" s="2078">
        <f t="shared" ca="1" si="1198"/>
        <v>0</v>
      </c>
      <c r="CM355" s="2078">
        <f t="shared" si="1132"/>
        <v>1</v>
      </c>
      <c r="CN355" s="2078">
        <f t="shared" si="1133"/>
        <v>1</v>
      </c>
      <c r="CO355" s="2078">
        <f t="shared" si="1121"/>
        <v>1</v>
      </c>
      <c r="CP355" s="2078">
        <f t="shared" si="1199"/>
        <v>1</v>
      </c>
      <c r="CQ355" s="2078">
        <f t="shared" si="1122"/>
        <v>0</v>
      </c>
      <c r="CR355" s="2078">
        <f t="shared" si="1042"/>
        <v>0</v>
      </c>
      <c r="CS355" s="2078">
        <f t="shared" si="1200"/>
        <v>0</v>
      </c>
      <c r="CT355" s="2078">
        <f t="shared" si="1123"/>
        <v>1</v>
      </c>
      <c r="CU355" s="2078">
        <f t="shared" si="1201"/>
        <v>1</v>
      </c>
      <c r="CV355" s="2078">
        <f t="shared" si="1134"/>
        <v>0</v>
      </c>
      <c r="CW355" s="2078">
        <f>IF(OR(AE355&lt;&gt;3,F355="Exclude"),0,IF(ISERROR(MATCH($E355,'4 Sign-off'!$S$123:$X$123,0)),0,1))</f>
        <v>0</v>
      </c>
      <c r="CX355" s="2078">
        <f t="shared" si="1154"/>
        <v>0</v>
      </c>
      <c r="CY355" s="2078">
        <f t="shared" si="1135"/>
        <v>0</v>
      </c>
      <c r="CZ355" s="2993">
        <f t="shared" ca="1" si="1149"/>
        <v>0</v>
      </c>
      <c r="DA355" s="3037">
        <f t="shared" ca="1" si="1150"/>
        <v>0</v>
      </c>
      <c r="DB355" s="1664"/>
      <c r="DC355" s="1320"/>
      <c r="DD355" s="589"/>
      <c r="DE355" s="1321"/>
      <c r="DF355" s="107"/>
      <c r="DG355" s="112"/>
      <c r="DH355" s="140"/>
      <c r="DI355" s="22"/>
      <c r="DJ355" s="145"/>
      <c r="DK355" s="137"/>
      <c r="DL355" s="137"/>
      <c r="DM355" s="137"/>
      <c r="DN355" s="137"/>
      <c r="DO355" s="137"/>
      <c r="DP355" s="137"/>
      <c r="DQ355" s="137"/>
      <c r="DR355" s="137"/>
      <c r="DS355" s="137"/>
      <c r="DT355" s="137"/>
      <c r="DU355" s="137"/>
      <c r="DV355" s="137"/>
      <c r="DW355" s="137"/>
      <c r="DX355" s="137"/>
      <c r="DY355" s="137"/>
      <c r="DZ355" s="137"/>
      <c r="EA355" s="137"/>
      <c r="EB355" s="137"/>
      <c r="EC355" s="137"/>
      <c r="ED355" s="137"/>
      <c r="EE355" s="137"/>
      <c r="EF355" s="137"/>
      <c r="EG355" s="137"/>
      <c r="EH355" s="137"/>
      <c r="EI355" s="137"/>
      <c r="EJ355" s="137"/>
      <c r="EK355" s="137"/>
      <c r="EL355" s="137"/>
      <c r="EM355" s="137"/>
      <c r="EN355" s="137"/>
      <c r="EO355" s="137"/>
      <c r="EP355" s="137"/>
      <c r="EQ355" s="137"/>
      <c r="ER355" s="137"/>
      <c r="ES355" s="137"/>
      <c r="ET355" s="137"/>
      <c r="EU355" s="137"/>
      <c r="EV355" s="137"/>
      <c r="EW355" s="137"/>
      <c r="EX355" s="137"/>
      <c r="EY355" s="137"/>
      <c r="EZ355" s="137"/>
      <c r="FA355" s="137"/>
      <c r="FB355" s="137"/>
      <c r="FC355" s="137"/>
      <c r="FD355" s="137"/>
      <c r="FE355" s="137"/>
      <c r="FF355" s="137"/>
      <c r="FG355" s="860"/>
      <c r="FH355" s="863"/>
      <c r="FI355" s="1318"/>
      <c r="FJ355" s="126"/>
      <c r="FK355" s="127"/>
      <c r="FL355" s="128" t="str">
        <f t="shared" si="1202"/>
        <v xml:space="preserve">    </v>
      </c>
      <c r="FM355" s="128"/>
      <c r="FN355" s="1686">
        <f t="shared" si="1203"/>
        <v>0</v>
      </c>
      <c r="FO355" s="46">
        <f t="shared" si="1136"/>
        <v>0</v>
      </c>
      <c r="FP355" s="46">
        <f t="shared" si="1216"/>
        <v>1</v>
      </c>
      <c r="FQ355" s="75">
        <f t="shared" si="1204"/>
        <v>0</v>
      </c>
      <c r="FR355" s="46">
        <f t="shared" si="1214"/>
        <v>0</v>
      </c>
      <c r="FS355" s="46">
        <f t="shared" si="1213"/>
        <v>1</v>
      </c>
      <c r="FT355" s="75">
        <f t="shared" si="1205"/>
        <v>0</v>
      </c>
      <c r="FU355" s="2603">
        <f t="shared" si="1137"/>
        <v>0</v>
      </c>
      <c r="FV355" s="2607">
        <f t="shared" si="1138"/>
        <v>0</v>
      </c>
      <c r="FW355" s="2603">
        <f t="shared" si="1139"/>
        <v>0</v>
      </c>
      <c r="FX355" s="2631">
        <f t="shared" si="1140"/>
        <v>0</v>
      </c>
      <c r="FY355" s="81" t="e">
        <f t="shared" si="1211"/>
        <v>#N/A</v>
      </c>
      <c r="FZ355" s="64" t="e">
        <f t="array" ref="FZ355">MATCH(1,($GT355:$LQ355&gt;0)*$GT$25:$LQ$25,0)</f>
        <v>#N/A</v>
      </c>
      <c r="GA355" s="64" t="e">
        <f t="array" ref="GA355">MATCH(2,1/(GT355:LQ355&gt;0))</f>
        <v>#N/A</v>
      </c>
      <c r="GB355" s="64">
        <f t="shared" si="1206"/>
        <v>-1</v>
      </c>
      <c r="GC355" s="46"/>
      <c r="GD355" s="613"/>
      <c r="GE355" s="613"/>
      <c r="GF355" s="613"/>
      <c r="GG355" s="613"/>
      <c r="GH355" s="613"/>
      <c r="GI355" s="613"/>
      <c r="GJ355" s="613"/>
      <c r="GK355" s="613"/>
      <c r="GL355" s="613"/>
      <c r="GM355" s="613"/>
      <c r="GN355" s="385">
        <f t="shared" si="1157"/>
        <v>0</v>
      </c>
      <c r="GO355" s="386">
        <f t="shared" si="1158"/>
        <v>0</v>
      </c>
      <c r="GP355" s="2635"/>
      <c r="GQ355" s="175"/>
      <c r="GR355" s="172"/>
      <c r="GS355" s="65"/>
      <c r="GT355" s="167"/>
      <c r="GU355" s="168"/>
      <c r="GV355" s="168"/>
      <c r="GW355" s="168"/>
      <c r="GX355" s="168"/>
      <c r="GY355" s="168"/>
      <c r="GZ355" s="168"/>
      <c r="HA355" s="168"/>
      <c r="HB355" s="168"/>
      <c r="HC355" s="168"/>
      <c r="HD355" s="168"/>
      <c r="HE355" s="168"/>
      <c r="HF355" s="168"/>
      <c r="HG355" s="168"/>
      <c r="HH355" s="168"/>
      <c r="HI355" s="168"/>
      <c r="HJ355" s="168"/>
      <c r="HK355" s="168"/>
      <c r="HL355" s="168"/>
      <c r="HM355" s="168"/>
      <c r="HN355" s="168"/>
      <c r="HO355" s="168"/>
      <c r="HP355" s="168"/>
      <c r="HQ355" s="168"/>
      <c r="HR355" s="168"/>
      <c r="HS355" s="168"/>
      <c r="HT355" s="168"/>
      <c r="HU355" s="168"/>
      <c r="HV355" s="168"/>
      <c r="HW355" s="168"/>
      <c r="HX355" s="168"/>
      <c r="HY355" s="168"/>
      <c r="HZ355" s="168"/>
      <c r="IA355" s="168"/>
      <c r="IB355" s="168"/>
      <c r="IC355" s="168"/>
      <c r="ID355" s="168"/>
      <c r="IE355" s="168"/>
      <c r="IF355" s="168"/>
      <c r="IG355" s="168"/>
      <c r="IH355" s="168"/>
      <c r="II355" s="168"/>
      <c r="IJ355" s="168"/>
      <c r="IK355" s="168"/>
      <c r="IL355" s="168"/>
      <c r="IM355" s="168"/>
      <c r="IN355" s="168"/>
      <c r="IO355" s="168"/>
      <c r="IP355" s="168"/>
      <c r="IQ355" s="168"/>
      <c r="IR355" s="168"/>
      <c r="IS355" s="168"/>
      <c r="IT355" s="168"/>
      <c r="IU355" s="168"/>
      <c r="IV355" s="168"/>
      <c r="IW355" s="168"/>
      <c r="IX355" s="168"/>
      <c r="IY355" s="168"/>
      <c r="IZ355" s="168"/>
      <c r="JA355" s="168"/>
      <c r="JB355" s="168"/>
      <c r="JC355" s="168"/>
      <c r="JD355" s="168"/>
      <c r="JE355" s="168"/>
      <c r="JF355" s="168"/>
      <c r="JG355" s="168"/>
      <c r="JH355" s="168"/>
      <c r="JI355" s="168"/>
      <c r="JJ355" s="168"/>
      <c r="JK355" s="168"/>
      <c r="JL355" s="168"/>
      <c r="JM355" s="168"/>
      <c r="JN355" s="168"/>
      <c r="JO355" s="168"/>
      <c r="JP355" s="168"/>
      <c r="JQ355" s="168"/>
      <c r="JR355" s="168"/>
      <c r="JS355" s="168"/>
      <c r="JT355" s="168"/>
      <c r="JU355" s="168"/>
      <c r="JV355" s="168"/>
      <c r="JW355" s="168"/>
      <c r="JX355" s="168"/>
      <c r="JY355" s="168"/>
      <c r="JZ355" s="168"/>
      <c r="KA355" s="168"/>
      <c r="KB355" s="168"/>
      <c r="KC355" s="168"/>
      <c r="KD355" s="168"/>
      <c r="KE355" s="168"/>
      <c r="KF355" s="168"/>
      <c r="KG355" s="168"/>
      <c r="KH355" s="168"/>
      <c r="KI355" s="168"/>
      <c r="KJ355" s="168"/>
      <c r="KK355" s="168"/>
      <c r="KL355" s="168"/>
      <c r="KM355" s="168"/>
      <c r="KN355" s="168"/>
      <c r="KO355" s="168"/>
      <c r="KP355" s="168"/>
      <c r="KQ355" s="168"/>
      <c r="KR355" s="168"/>
      <c r="KS355" s="168"/>
      <c r="KT355" s="168"/>
      <c r="KU355" s="168"/>
      <c r="KV355" s="168"/>
      <c r="KW355" s="168"/>
      <c r="KX355" s="168"/>
      <c r="KY355" s="168"/>
      <c r="KZ355" s="168"/>
      <c r="LA355" s="168"/>
      <c r="LB355" s="168"/>
      <c r="LC355" s="168"/>
      <c r="LD355" s="168"/>
      <c r="LE355" s="168"/>
      <c r="LF355" s="168"/>
      <c r="LG355" s="168"/>
      <c r="LH355" s="168"/>
      <c r="LI355" s="168"/>
      <c r="LJ355" s="168"/>
      <c r="LK355" s="168"/>
      <c r="LL355" s="168"/>
      <c r="LM355" s="168"/>
      <c r="LN355" s="168"/>
      <c r="LO355" s="168"/>
      <c r="LP355" s="606"/>
      <c r="LQ355" s="609"/>
      <c r="LR355" s="1319"/>
      <c r="LS355" s="1319"/>
    </row>
    <row r="356" spans="1:331" s="2" customFormat="1" ht="15" customHeight="1" x14ac:dyDescent="0.25">
      <c r="A356" s="283"/>
      <c r="B356" s="303"/>
      <c r="C356" s="301"/>
      <c r="D356" s="1287"/>
      <c r="E356" s="2298"/>
      <c r="F356" s="1812"/>
      <c r="G356" s="3342"/>
      <c r="H356" s="66"/>
      <c r="I356" s="1746"/>
      <c r="J356" s="1214"/>
      <c r="K356" s="105"/>
      <c r="L356" s="91"/>
      <c r="M356" s="92"/>
      <c r="N356" s="93"/>
      <c r="O356" s="94"/>
      <c r="P356" s="94"/>
      <c r="Q356" s="97"/>
      <c r="R356" s="993">
        <f t="shared" si="1147"/>
        <v>0</v>
      </c>
      <c r="S356" s="23">
        <f t="shared" si="1148"/>
        <v>0</v>
      </c>
      <c r="T356" s="24">
        <f t="shared" si="1159"/>
        <v>0</v>
      </c>
      <c r="U356" s="24">
        <f t="shared" si="1160"/>
        <v>0</v>
      </c>
      <c r="V356" s="24">
        <f t="shared" si="1161"/>
        <v>0</v>
      </c>
      <c r="W356" s="24">
        <f t="shared" ca="1" si="1162"/>
        <v>0</v>
      </c>
      <c r="X356" s="72">
        <f t="shared" ca="1" si="1119"/>
        <v>0</v>
      </c>
      <c r="Y356" s="72">
        <f t="shared" si="1163"/>
        <v>0</v>
      </c>
      <c r="Z356" s="24">
        <f t="shared" si="1164"/>
        <v>0</v>
      </c>
      <c r="AA356" s="72">
        <f t="shared" si="1120"/>
        <v>0</v>
      </c>
      <c r="AB356" s="24">
        <f t="shared" si="1131"/>
        <v>0</v>
      </c>
      <c r="AC356" s="24">
        <f t="shared" ca="1" si="1165"/>
        <v>0</v>
      </c>
      <c r="AD356" s="24">
        <f t="shared" si="1049"/>
        <v>0</v>
      </c>
      <c r="AE356" s="2078">
        <f t="shared" si="1207"/>
        <v>3</v>
      </c>
      <c r="AF356" s="2078">
        <f t="shared" si="1208"/>
        <v>0</v>
      </c>
      <c r="AG356" s="2078">
        <f t="shared" si="1209"/>
        <v>0</v>
      </c>
      <c r="AH356" s="2521">
        <f t="shared" si="1050"/>
        <v>1</v>
      </c>
      <c r="AI356" s="25" t="str">
        <f t="shared" si="1166"/>
        <v/>
      </c>
      <c r="AJ356" s="2521">
        <f t="shared" ca="1" si="1045"/>
        <v>0</v>
      </c>
      <c r="AK356" s="2076">
        <f t="shared" ca="1" si="1041"/>
        <v>0</v>
      </c>
      <c r="AL356" s="2078">
        <f>IF(ISBLANK(J356),0,ISERROR(MATCH(J356,'5  Control Accounts'!$FA$29:$FA$96,0))*1)</f>
        <v>0</v>
      </c>
      <c r="AM356" s="2076">
        <f t="shared" si="1167"/>
        <v>0</v>
      </c>
      <c r="AN356" s="2078">
        <f t="shared" si="1168"/>
        <v>1</v>
      </c>
      <c r="AO356" s="2079">
        <f t="shared" si="1051"/>
        <v>1</v>
      </c>
      <c r="AP356" s="2079">
        <f t="shared" si="1052"/>
        <v>0</v>
      </c>
      <c r="AQ356" s="2079">
        <f t="shared" si="1053"/>
        <v>0</v>
      </c>
      <c r="AR356" s="2079">
        <f t="shared" si="1054"/>
        <v>0</v>
      </c>
      <c r="AS356" s="2079">
        <f t="shared" si="1055"/>
        <v>0</v>
      </c>
      <c r="AT356" s="2079">
        <f t="shared" si="1056"/>
        <v>0</v>
      </c>
      <c r="AU356" s="2079">
        <f t="shared" si="1057"/>
        <v>0</v>
      </c>
      <c r="AV356" s="2079">
        <f t="shared" si="1058"/>
        <v>0</v>
      </c>
      <c r="AW356" s="2079">
        <f t="shared" si="1059"/>
        <v>0</v>
      </c>
      <c r="AX356" s="2079">
        <f t="shared" si="1060"/>
        <v>0</v>
      </c>
      <c r="AY356" s="2078">
        <f t="shared" si="1169"/>
        <v>0</v>
      </c>
      <c r="AZ356" s="2078">
        <f t="shared" si="1170"/>
        <v>0</v>
      </c>
      <c r="BA356" s="2078">
        <f t="shared" si="1171"/>
        <v>0</v>
      </c>
      <c r="BB356" s="2078">
        <f t="shared" si="1172"/>
        <v>0</v>
      </c>
      <c r="BC356" s="2078">
        <f t="shared" si="1173"/>
        <v>0</v>
      </c>
      <c r="BD356" s="2078">
        <f t="shared" si="1174"/>
        <v>0</v>
      </c>
      <c r="BE356" s="2078">
        <f t="shared" si="1175"/>
        <v>0</v>
      </c>
      <c r="BF356" s="2078">
        <f t="shared" si="1176"/>
        <v>0</v>
      </c>
      <c r="BG356" s="2078">
        <f t="shared" si="1177"/>
        <v>0</v>
      </c>
      <c r="BH356" s="2078">
        <f t="shared" si="1178"/>
        <v>0</v>
      </c>
      <c r="BI356" s="2078">
        <f t="shared" si="1179"/>
        <v>0</v>
      </c>
      <c r="BJ356" s="2078">
        <f t="shared" si="1180"/>
        <v>0</v>
      </c>
      <c r="BK356" s="2078">
        <f t="shared" si="1181"/>
        <v>0</v>
      </c>
      <c r="BL356" s="2078">
        <f t="shared" si="1182"/>
        <v>0</v>
      </c>
      <c r="BM356" s="2078">
        <f t="shared" si="1183"/>
        <v>0</v>
      </c>
      <c r="BN356" s="2078">
        <f t="shared" si="1184"/>
        <v>0</v>
      </c>
      <c r="BO356" s="2078">
        <f t="shared" si="1185"/>
        <v>0</v>
      </c>
      <c r="BP356" s="2078">
        <f t="shared" si="1186"/>
        <v>0</v>
      </c>
      <c r="BQ356" s="2078">
        <f t="shared" si="1187"/>
        <v>0</v>
      </c>
      <c r="BR356" s="2078">
        <f t="shared" si="1188"/>
        <v>0</v>
      </c>
      <c r="BS356" s="2079">
        <f t="shared" si="1061"/>
        <v>1</v>
      </c>
      <c r="BT356" s="2079">
        <f t="shared" si="1062"/>
        <v>0</v>
      </c>
      <c r="BU356" s="2079">
        <f t="shared" si="1063"/>
        <v>0</v>
      </c>
      <c r="BV356" s="2079">
        <f t="shared" si="1064"/>
        <v>0</v>
      </c>
      <c r="BW356" s="2079">
        <f t="shared" si="1065"/>
        <v>0</v>
      </c>
      <c r="BX356" s="2079">
        <f t="shared" si="1066"/>
        <v>0</v>
      </c>
      <c r="BY356" s="2079">
        <f t="shared" si="1067"/>
        <v>0</v>
      </c>
      <c r="BZ356" s="2079">
        <f t="shared" si="1068"/>
        <v>0</v>
      </c>
      <c r="CA356" s="2079">
        <f t="shared" si="1069"/>
        <v>0</v>
      </c>
      <c r="CB356" s="2079">
        <f t="shared" si="1070"/>
        <v>0</v>
      </c>
      <c r="CC356" s="2078">
        <f t="shared" ca="1" si="1189"/>
        <v>0</v>
      </c>
      <c r="CD356" s="2078">
        <f t="shared" ca="1" si="1190"/>
        <v>0</v>
      </c>
      <c r="CE356" s="2078">
        <f t="shared" ca="1" si="1191"/>
        <v>0</v>
      </c>
      <c r="CF356" s="2078">
        <f t="shared" ca="1" si="1192"/>
        <v>0</v>
      </c>
      <c r="CG356" s="2078">
        <f t="shared" ca="1" si="1193"/>
        <v>0</v>
      </c>
      <c r="CH356" s="2078">
        <f t="shared" ca="1" si="1194"/>
        <v>0</v>
      </c>
      <c r="CI356" s="2078">
        <f t="shared" ca="1" si="1195"/>
        <v>0</v>
      </c>
      <c r="CJ356" s="2078">
        <f t="shared" ca="1" si="1196"/>
        <v>0</v>
      </c>
      <c r="CK356" s="2078">
        <f t="shared" ca="1" si="1197"/>
        <v>0</v>
      </c>
      <c r="CL356" s="2078">
        <f t="shared" ca="1" si="1198"/>
        <v>0</v>
      </c>
      <c r="CM356" s="2078">
        <f t="shared" si="1132"/>
        <v>1</v>
      </c>
      <c r="CN356" s="2078">
        <f t="shared" si="1133"/>
        <v>1</v>
      </c>
      <c r="CO356" s="2078">
        <f t="shared" si="1121"/>
        <v>1</v>
      </c>
      <c r="CP356" s="2078">
        <f t="shared" si="1199"/>
        <v>1</v>
      </c>
      <c r="CQ356" s="2078">
        <f t="shared" si="1122"/>
        <v>0</v>
      </c>
      <c r="CR356" s="2078">
        <f t="shared" si="1042"/>
        <v>0</v>
      </c>
      <c r="CS356" s="2078">
        <f t="shared" si="1200"/>
        <v>0</v>
      </c>
      <c r="CT356" s="2078">
        <f t="shared" si="1123"/>
        <v>1</v>
      </c>
      <c r="CU356" s="2078">
        <f t="shared" si="1201"/>
        <v>1</v>
      </c>
      <c r="CV356" s="2078">
        <f t="shared" si="1134"/>
        <v>0</v>
      </c>
      <c r="CW356" s="2078">
        <f>IF(OR(AE356&lt;&gt;3,F356="Exclude"),0,IF(ISERROR(MATCH($E356,'4 Sign-off'!$S$123:$X$123,0)),0,1))</f>
        <v>0</v>
      </c>
      <c r="CX356" s="2078">
        <f t="shared" si="1154"/>
        <v>0</v>
      </c>
      <c r="CY356" s="2078">
        <f t="shared" si="1135"/>
        <v>0</v>
      </c>
      <c r="CZ356" s="2993">
        <f t="shared" ca="1" si="1149"/>
        <v>0</v>
      </c>
      <c r="DA356" s="3037">
        <f t="shared" ca="1" si="1150"/>
        <v>0</v>
      </c>
      <c r="DB356" s="1664"/>
      <c r="DC356" s="1320"/>
      <c r="DD356" s="589"/>
      <c r="DE356" s="1321"/>
      <c r="DF356" s="107"/>
      <c r="DG356" s="112"/>
      <c r="DH356" s="140"/>
      <c r="DI356" s="22"/>
      <c r="DJ356" s="145"/>
      <c r="DK356" s="137"/>
      <c r="DL356" s="137"/>
      <c r="DM356" s="137"/>
      <c r="DN356" s="137"/>
      <c r="DO356" s="137"/>
      <c r="DP356" s="137"/>
      <c r="DQ356" s="137"/>
      <c r="DR356" s="137"/>
      <c r="DS356" s="137"/>
      <c r="DT356" s="137"/>
      <c r="DU356" s="137"/>
      <c r="DV356" s="137"/>
      <c r="DW356" s="137"/>
      <c r="DX356" s="137"/>
      <c r="DY356" s="137"/>
      <c r="DZ356" s="137"/>
      <c r="EA356" s="137"/>
      <c r="EB356" s="137"/>
      <c r="EC356" s="137"/>
      <c r="ED356" s="137"/>
      <c r="EE356" s="137"/>
      <c r="EF356" s="137"/>
      <c r="EG356" s="137"/>
      <c r="EH356" s="137"/>
      <c r="EI356" s="137"/>
      <c r="EJ356" s="137"/>
      <c r="EK356" s="137"/>
      <c r="EL356" s="137"/>
      <c r="EM356" s="137"/>
      <c r="EN356" s="137"/>
      <c r="EO356" s="137"/>
      <c r="EP356" s="137"/>
      <c r="EQ356" s="137"/>
      <c r="ER356" s="137"/>
      <c r="ES356" s="137"/>
      <c r="ET356" s="137"/>
      <c r="EU356" s="137"/>
      <c r="EV356" s="137"/>
      <c r="EW356" s="137"/>
      <c r="EX356" s="137"/>
      <c r="EY356" s="137"/>
      <c r="EZ356" s="137"/>
      <c r="FA356" s="137"/>
      <c r="FB356" s="137"/>
      <c r="FC356" s="137"/>
      <c r="FD356" s="137"/>
      <c r="FE356" s="137"/>
      <c r="FF356" s="137"/>
      <c r="FG356" s="860"/>
      <c r="FH356" s="863"/>
      <c r="FI356" s="1318"/>
      <c r="FJ356" s="126"/>
      <c r="FK356" s="127"/>
      <c r="FL356" s="128" t="str">
        <f t="shared" si="1202"/>
        <v xml:space="preserve">    </v>
      </c>
      <c r="FM356" s="128"/>
      <c r="FN356" s="1686">
        <f t="shared" si="1203"/>
        <v>0</v>
      </c>
      <c r="FO356" s="46">
        <f t="shared" si="1136"/>
        <v>0</v>
      </c>
      <c r="FP356" s="46">
        <f t="shared" si="1216"/>
        <v>1</v>
      </c>
      <c r="FQ356" s="75">
        <f t="shared" si="1204"/>
        <v>0</v>
      </c>
      <c r="FR356" s="46">
        <f t="shared" si="1214"/>
        <v>0</v>
      </c>
      <c r="FS356" s="46">
        <f t="shared" si="1213"/>
        <v>1</v>
      </c>
      <c r="FT356" s="75">
        <f t="shared" si="1205"/>
        <v>0</v>
      </c>
      <c r="FU356" s="2603">
        <f t="shared" si="1137"/>
        <v>0</v>
      </c>
      <c r="FV356" s="2607">
        <f t="shared" si="1138"/>
        <v>0</v>
      </c>
      <c r="FW356" s="2603">
        <f t="shared" si="1139"/>
        <v>0</v>
      </c>
      <c r="FX356" s="2631">
        <f t="shared" si="1140"/>
        <v>0</v>
      </c>
      <c r="FY356" s="81" t="e">
        <f t="shared" si="1211"/>
        <v>#N/A</v>
      </c>
      <c r="FZ356" s="64" t="e">
        <f t="array" ref="FZ356">MATCH(1,($GT356:$LQ356&gt;0)*$GT$25:$LQ$25,0)</f>
        <v>#N/A</v>
      </c>
      <c r="GA356" s="64" t="e">
        <f t="array" ref="GA356">MATCH(2,1/(GT356:LQ356&gt;0))</f>
        <v>#N/A</v>
      </c>
      <c r="GB356" s="64">
        <f t="shared" si="1206"/>
        <v>-1</v>
      </c>
      <c r="GC356" s="46"/>
      <c r="GD356" s="613"/>
      <c r="GE356" s="613"/>
      <c r="GF356" s="613"/>
      <c r="GG356" s="613"/>
      <c r="GH356" s="613"/>
      <c r="GI356" s="613"/>
      <c r="GJ356" s="613"/>
      <c r="GK356" s="613"/>
      <c r="GL356" s="613"/>
      <c r="GM356" s="613"/>
      <c r="GN356" s="385">
        <f t="shared" si="1157"/>
        <v>0</v>
      </c>
      <c r="GO356" s="386">
        <f t="shared" si="1158"/>
        <v>0</v>
      </c>
      <c r="GP356" s="2635"/>
      <c r="GQ356" s="175"/>
      <c r="GR356" s="172"/>
      <c r="GS356" s="65"/>
      <c r="GT356" s="167"/>
      <c r="GU356" s="168"/>
      <c r="GV356" s="168"/>
      <c r="GW356" s="168"/>
      <c r="GX356" s="168"/>
      <c r="GY356" s="168"/>
      <c r="GZ356" s="168"/>
      <c r="HA356" s="168"/>
      <c r="HB356" s="168"/>
      <c r="HC356" s="168"/>
      <c r="HD356" s="168"/>
      <c r="HE356" s="168"/>
      <c r="HF356" s="168"/>
      <c r="HG356" s="168"/>
      <c r="HH356" s="168"/>
      <c r="HI356" s="168"/>
      <c r="HJ356" s="168"/>
      <c r="HK356" s="168"/>
      <c r="HL356" s="168"/>
      <c r="HM356" s="168"/>
      <c r="HN356" s="168"/>
      <c r="HO356" s="168"/>
      <c r="HP356" s="168"/>
      <c r="HQ356" s="168"/>
      <c r="HR356" s="168"/>
      <c r="HS356" s="168"/>
      <c r="HT356" s="168"/>
      <c r="HU356" s="168"/>
      <c r="HV356" s="168"/>
      <c r="HW356" s="168"/>
      <c r="HX356" s="168"/>
      <c r="HY356" s="168"/>
      <c r="HZ356" s="168"/>
      <c r="IA356" s="168"/>
      <c r="IB356" s="168"/>
      <c r="IC356" s="168"/>
      <c r="ID356" s="168"/>
      <c r="IE356" s="168"/>
      <c r="IF356" s="168"/>
      <c r="IG356" s="168"/>
      <c r="IH356" s="168"/>
      <c r="II356" s="168"/>
      <c r="IJ356" s="168"/>
      <c r="IK356" s="168"/>
      <c r="IL356" s="168"/>
      <c r="IM356" s="168"/>
      <c r="IN356" s="168"/>
      <c r="IO356" s="168"/>
      <c r="IP356" s="168"/>
      <c r="IQ356" s="168"/>
      <c r="IR356" s="168"/>
      <c r="IS356" s="168"/>
      <c r="IT356" s="168"/>
      <c r="IU356" s="168"/>
      <c r="IV356" s="168"/>
      <c r="IW356" s="168"/>
      <c r="IX356" s="168"/>
      <c r="IY356" s="168"/>
      <c r="IZ356" s="168"/>
      <c r="JA356" s="168"/>
      <c r="JB356" s="168"/>
      <c r="JC356" s="168"/>
      <c r="JD356" s="168"/>
      <c r="JE356" s="168"/>
      <c r="JF356" s="168"/>
      <c r="JG356" s="168"/>
      <c r="JH356" s="168"/>
      <c r="JI356" s="168"/>
      <c r="JJ356" s="168"/>
      <c r="JK356" s="168"/>
      <c r="JL356" s="168"/>
      <c r="JM356" s="168"/>
      <c r="JN356" s="168"/>
      <c r="JO356" s="168"/>
      <c r="JP356" s="168"/>
      <c r="JQ356" s="168"/>
      <c r="JR356" s="168"/>
      <c r="JS356" s="168"/>
      <c r="JT356" s="168"/>
      <c r="JU356" s="168"/>
      <c r="JV356" s="168"/>
      <c r="JW356" s="168"/>
      <c r="JX356" s="168"/>
      <c r="JY356" s="168"/>
      <c r="JZ356" s="168"/>
      <c r="KA356" s="168"/>
      <c r="KB356" s="168"/>
      <c r="KC356" s="168"/>
      <c r="KD356" s="168"/>
      <c r="KE356" s="168"/>
      <c r="KF356" s="168"/>
      <c r="KG356" s="168"/>
      <c r="KH356" s="168"/>
      <c r="KI356" s="168"/>
      <c r="KJ356" s="168"/>
      <c r="KK356" s="168"/>
      <c r="KL356" s="168"/>
      <c r="KM356" s="168"/>
      <c r="KN356" s="168"/>
      <c r="KO356" s="168"/>
      <c r="KP356" s="168"/>
      <c r="KQ356" s="168"/>
      <c r="KR356" s="168"/>
      <c r="KS356" s="168"/>
      <c r="KT356" s="168"/>
      <c r="KU356" s="168"/>
      <c r="KV356" s="168"/>
      <c r="KW356" s="168"/>
      <c r="KX356" s="168"/>
      <c r="KY356" s="168"/>
      <c r="KZ356" s="168"/>
      <c r="LA356" s="168"/>
      <c r="LB356" s="168"/>
      <c r="LC356" s="168"/>
      <c r="LD356" s="168"/>
      <c r="LE356" s="168"/>
      <c r="LF356" s="168"/>
      <c r="LG356" s="168"/>
      <c r="LH356" s="168"/>
      <c r="LI356" s="168"/>
      <c r="LJ356" s="168"/>
      <c r="LK356" s="168"/>
      <c r="LL356" s="168"/>
      <c r="LM356" s="168"/>
      <c r="LN356" s="168"/>
      <c r="LO356" s="168"/>
      <c r="LP356" s="606"/>
      <c r="LQ356" s="609"/>
      <c r="LR356" s="1319"/>
      <c r="LS356" s="1319"/>
    </row>
    <row r="357" spans="1:331" s="2" customFormat="1" ht="15" customHeight="1" x14ac:dyDescent="0.25">
      <c r="A357" s="283"/>
      <c r="B357" s="303"/>
      <c r="C357" s="301"/>
      <c r="D357" s="1287"/>
      <c r="E357" s="2298"/>
      <c r="F357" s="1812"/>
      <c r="G357" s="3342"/>
      <c r="H357" s="66"/>
      <c r="I357" s="1746"/>
      <c r="J357" s="1214"/>
      <c r="K357" s="105"/>
      <c r="L357" s="91"/>
      <c r="M357" s="92"/>
      <c r="N357" s="93"/>
      <c r="O357" s="94"/>
      <c r="P357" s="94"/>
      <c r="Q357" s="97"/>
      <c r="R357" s="993">
        <f t="shared" si="1147"/>
        <v>0</v>
      </c>
      <c r="S357" s="23">
        <f t="shared" si="1148"/>
        <v>0</v>
      </c>
      <c r="T357" s="24">
        <f t="shared" si="1159"/>
        <v>0</v>
      </c>
      <c r="U357" s="24">
        <f t="shared" si="1160"/>
        <v>0</v>
      </c>
      <c r="V357" s="24">
        <f t="shared" si="1161"/>
        <v>0</v>
      </c>
      <c r="W357" s="24">
        <f t="shared" ca="1" si="1162"/>
        <v>0</v>
      </c>
      <c r="X357" s="72">
        <f t="shared" ca="1" si="1119"/>
        <v>0</v>
      </c>
      <c r="Y357" s="72">
        <f t="shared" si="1163"/>
        <v>0</v>
      </c>
      <c r="Z357" s="24">
        <f t="shared" si="1164"/>
        <v>0</v>
      </c>
      <c r="AA357" s="72">
        <f t="shared" si="1120"/>
        <v>0</v>
      </c>
      <c r="AB357" s="24">
        <f t="shared" si="1131"/>
        <v>0</v>
      </c>
      <c r="AC357" s="24">
        <f t="shared" ca="1" si="1165"/>
        <v>0</v>
      </c>
      <c r="AD357" s="24">
        <f t="shared" si="1049"/>
        <v>0</v>
      </c>
      <c r="AE357" s="2078">
        <f t="shared" si="1207"/>
        <v>3</v>
      </c>
      <c r="AF357" s="2078">
        <f t="shared" si="1208"/>
        <v>0</v>
      </c>
      <c r="AG357" s="2078">
        <f t="shared" si="1209"/>
        <v>0</v>
      </c>
      <c r="AH357" s="2521">
        <f t="shared" si="1050"/>
        <v>1</v>
      </c>
      <c r="AI357" s="25" t="str">
        <f t="shared" si="1166"/>
        <v/>
      </c>
      <c r="AJ357" s="2521">
        <f t="shared" ca="1" si="1045"/>
        <v>0</v>
      </c>
      <c r="AK357" s="2076">
        <f t="shared" ca="1" si="1041"/>
        <v>0</v>
      </c>
      <c r="AL357" s="2078">
        <f>IF(ISBLANK(J357),0,ISERROR(MATCH(J357,'5  Control Accounts'!$FA$29:$FA$96,0))*1)</f>
        <v>0</v>
      </c>
      <c r="AM357" s="2076">
        <f t="shared" si="1167"/>
        <v>0</v>
      </c>
      <c r="AN357" s="2078">
        <f t="shared" si="1168"/>
        <v>1</v>
      </c>
      <c r="AO357" s="2079">
        <f t="shared" si="1051"/>
        <v>1</v>
      </c>
      <c r="AP357" s="2079">
        <f t="shared" si="1052"/>
        <v>0</v>
      </c>
      <c r="AQ357" s="2079">
        <f t="shared" si="1053"/>
        <v>0</v>
      </c>
      <c r="AR357" s="2079">
        <f t="shared" si="1054"/>
        <v>0</v>
      </c>
      <c r="AS357" s="2079">
        <f t="shared" si="1055"/>
        <v>0</v>
      </c>
      <c r="AT357" s="2079">
        <f t="shared" si="1056"/>
        <v>0</v>
      </c>
      <c r="AU357" s="2079">
        <f t="shared" si="1057"/>
        <v>0</v>
      </c>
      <c r="AV357" s="2079">
        <f t="shared" si="1058"/>
        <v>0</v>
      </c>
      <c r="AW357" s="2079">
        <f t="shared" si="1059"/>
        <v>0</v>
      </c>
      <c r="AX357" s="2079">
        <f t="shared" si="1060"/>
        <v>0</v>
      </c>
      <c r="AY357" s="2078">
        <f t="shared" si="1169"/>
        <v>0</v>
      </c>
      <c r="AZ357" s="2078">
        <f t="shared" si="1170"/>
        <v>0</v>
      </c>
      <c r="BA357" s="2078">
        <f t="shared" si="1171"/>
        <v>0</v>
      </c>
      <c r="BB357" s="2078">
        <f t="shared" si="1172"/>
        <v>0</v>
      </c>
      <c r="BC357" s="2078">
        <f t="shared" si="1173"/>
        <v>0</v>
      </c>
      <c r="BD357" s="2078">
        <f t="shared" si="1174"/>
        <v>0</v>
      </c>
      <c r="BE357" s="2078">
        <f t="shared" si="1175"/>
        <v>0</v>
      </c>
      <c r="BF357" s="2078">
        <f t="shared" si="1176"/>
        <v>0</v>
      </c>
      <c r="BG357" s="2078">
        <f t="shared" si="1177"/>
        <v>0</v>
      </c>
      <c r="BH357" s="2078">
        <f t="shared" si="1178"/>
        <v>0</v>
      </c>
      <c r="BI357" s="2078">
        <f t="shared" si="1179"/>
        <v>0</v>
      </c>
      <c r="BJ357" s="2078">
        <f t="shared" si="1180"/>
        <v>0</v>
      </c>
      <c r="BK357" s="2078">
        <f t="shared" si="1181"/>
        <v>0</v>
      </c>
      <c r="BL357" s="2078">
        <f t="shared" si="1182"/>
        <v>0</v>
      </c>
      <c r="BM357" s="2078">
        <f t="shared" si="1183"/>
        <v>0</v>
      </c>
      <c r="BN357" s="2078">
        <f t="shared" si="1184"/>
        <v>0</v>
      </c>
      <c r="BO357" s="2078">
        <f t="shared" si="1185"/>
        <v>0</v>
      </c>
      <c r="BP357" s="2078">
        <f t="shared" si="1186"/>
        <v>0</v>
      </c>
      <c r="BQ357" s="2078">
        <f t="shared" si="1187"/>
        <v>0</v>
      </c>
      <c r="BR357" s="2078">
        <f t="shared" si="1188"/>
        <v>0</v>
      </c>
      <c r="BS357" s="2079">
        <f t="shared" si="1061"/>
        <v>1</v>
      </c>
      <c r="BT357" s="2079">
        <f t="shared" si="1062"/>
        <v>0</v>
      </c>
      <c r="BU357" s="2079">
        <f t="shared" si="1063"/>
        <v>0</v>
      </c>
      <c r="BV357" s="2079">
        <f t="shared" si="1064"/>
        <v>0</v>
      </c>
      <c r="BW357" s="2079">
        <f t="shared" si="1065"/>
        <v>0</v>
      </c>
      <c r="BX357" s="2079">
        <f t="shared" si="1066"/>
        <v>0</v>
      </c>
      <c r="BY357" s="2079">
        <f t="shared" si="1067"/>
        <v>0</v>
      </c>
      <c r="BZ357" s="2079">
        <f t="shared" si="1068"/>
        <v>0</v>
      </c>
      <c r="CA357" s="2079">
        <f t="shared" si="1069"/>
        <v>0</v>
      </c>
      <c r="CB357" s="2079">
        <f t="shared" si="1070"/>
        <v>0</v>
      </c>
      <c r="CC357" s="2078">
        <f t="shared" ca="1" si="1189"/>
        <v>0</v>
      </c>
      <c r="CD357" s="2078">
        <f t="shared" ca="1" si="1190"/>
        <v>0</v>
      </c>
      <c r="CE357" s="2078">
        <f t="shared" ca="1" si="1191"/>
        <v>0</v>
      </c>
      <c r="CF357" s="2078">
        <f t="shared" ca="1" si="1192"/>
        <v>0</v>
      </c>
      <c r="CG357" s="2078">
        <f t="shared" ca="1" si="1193"/>
        <v>0</v>
      </c>
      <c r="CH357" s="2078">
        <f t="shared" ca="1" si="1194"/>
        <v>0</v>
      </c>
      <c r="CI357" s="2078">
        <f t="shared" ca="1" si="1195"/>
        <v>0</v>
      </c>
      <c r="CJ357" s="2078">
        <f t="shared" ca="1" si="1196"/>
        <v>0</v>
      </c>
      <c r="CK357" s="2078">
        <f t="shared" ca="1" si="1197"/>
        <v>0</v>
      </c>
      <c r="CL357" s="2078">
        <f t="shared" ca="1" si="1198"/>
        <v>0</v>
      </c>
      <c r="CM357" s="2078">
        <f t="shared" si="1132"/>
        <v>1</v>
      </c>
      <c r="CN357" s="2078">
        <f t="shared" si="1133"/>
        <v>1</v>
      </c>
      <c r="CO357" s="2078">
        <f t="shared" si="1121"/>
        <v>1</v>
      </c>
      <c r="CP357" s="2078">
        <f t="shared" si="1199"/>
        <v>1</v>
      </c>
      <c r="CQ357" s="2078">
        <f t="shared" si="1122"/>
        <v>0</v>
      </c>
      <c r="CR357" s="2078">
        <f t="shared" si="1042"/>
        <v>0</v>
      </c>
      <c r="CS357" s="2078">
        <f t="shared" si="1200"/>
        <v>0</v>
      </c>
      <c r="CT357" s="2078">
        <f t="shared" si="1123"/>
        <v>1</v>
      </c>
      <c r="CU357" s="2078">
        <f t="shared" si="1201"/>
        <v>1</v>
      </c>
      <c r="CV357" s="2078">
        <f t="shared" si="1134"/>
        <v>0</v>
      </c>
      <c r="CW357" s="2078">
        <f>IF(OR(AE357&lt;&gt;3,F357="Exclude"),0,IF(ISERROR(MATCH($E357,'4 Sign-off'!$S$123:$X$123,0)),0,1))</f>
        <v>0</v>
      </c>
      <c r="CX357" s="2078">
        <f t="shared" si="1154"/>
        <v>0</v>
      </c>
      <c r="CY357" s="2078">
        <f t="shared" si="1135"/>
        <v>0</v>
      </c>
      <c r="CZ357" s="2993">
        <f t="shared" ca="1" si="1149"/>
        <v>0</v>
      </c>
      <c r="DA357" s="3037">
        <f t="shared" ca="1" si="1150"/>
        <v>0</v>
      </c>
      <c r="DB357" s="1664"/>
      <c r="DC357" s="1320"/>
      <c r="DD357" s="589"/>
      <c r="DE357" s="1321"/>
      <c r="DF357" s="107"/>
      <c r="DG357" s="112"/>
      <c r="DH357" s="140"/>
      <c r="DI357" s="22"/>
      <c r="DJ357" s="145"/>
      <c r="DK357" s="137"/>
      <c r="DL357" s="137"/>
      <c r="DM357" s="137"/>
      <c r="DN357" s="137"/>
      <c r="DO357" s="137"/>
      <c r="DP357" s="137"/>
      <c r="DQ357" s="137"/>
      <c r="DR357" s="137"/>
      <c r="DS357" s="137"/>
      <c r="DT357" s="137"/>
      <c r="DU357" s="137"/>
      <c r="DV357" s="137"/>
      <c r="DW357" s="137"/>
      <c r="DX357" s="137"/>
      <c r="DY357" s="137"/>
      <c r="DZ357" s="137"/>
      <c r="EA357" s="137"/>
      <c r="EB357" s="137"/>
      <c r="EC357" s="137"/>
      <c r="ED357" s="137"/>
      <c r="EE357" s="137"/>
      <c r="EF357" s="137"/>
      <c r="EG357" s="137"/>
      <c r="EH357" s="137"/>
      <c r="EI357" s="137"/>
      <c r="EJ357" s="137"/>
      <c r="EK357" s="137"/>
      <c r="EL357" s="137"/>
      <c r="EM357" s="137"/>
      <c r="EN357" s="137"/>
      <c r="EO357" s="137"/>
      <c r="EP357" s="137"/>
      <c r="EQ357" s="137"/>
      <c r="ER357" s="137"/>
      <c r="ES357" s="137"/>
      <c r="ET357" s="137"/>
      <c r="EU357" s="137"/>
      <c r="EV357" s="137"/>
      <c r="EW357" s="137"/>
      <c r="EX357" s="137"/>
      <c r="EY357" s="137"/>
      <c r="EZ357" s="137"/>
      <c r="FA357" s="137"/>
      <c r="FB357" s="137"/>
      <c r="FC357" s="137"/>
      <c r="FD357" s="137"/>
      <c r="FE357" s="137"/>
      <c r="FF357" s="137"/>
      <c r="FG357" s="860"/>
      <c r="FH357" s="863"/>
      <c r="FI357" s="1318"/>
      <c r="FJ357" s="126"/>
      <c r="FK357" s="127"/>
      <c r="FL357" s="128" t="str">
        <f t="shared" si="1202"/>
        <v xml:space="preserve">    </v>
      </c>
      <c r="FM357" s="128"/>
      <c r="FN357" s="1686">
        <f t="shared" si="1203"/>
        <v>0</v>
      </c>
      <c r="FO357" s="46">
        <f t="shared" si="1136"/>
        <v>0</v>
      </c>
      <c r="FP357" s="46">
        <f t="shared" si="1216"/>
        <v>1</v>
      </c>
      <c r="FQ357" s="75">
        <f t="shared" si="1204"/>
        <v>0</v>
      </c>
      <c r="FR357" s="46">
        <f t="shared" si="1214"/>
        <v>0</v>
      </c>
      <c r="FS357" s="46">
        <f t="shared" si="1213"/>
        <v>1</v>
      </c>
      <c r="FT357" s="75">
        <f t="shared" si="1205"/>
        <v>0</v>
      </c>
      <c r="FU357" s="2603">
        <f t="shared" si="1137"/>
        <v>0</v>
      </c>
      <c r="FV357" s="2607">
        <f t="shared" si="1138"/>
        <v>0</v>
      </c>
      <c r="FW357" s="2603">
        <f t="shared" si="1139"/>
        <v>0</v>
      </c>
      <c r="FX357" s="2631">
        <f t="shared" si="1140"/>
        <v>0</v>
      </c>
      <c r="FY357" s="81" t="e">
        <f t="shared" si="1211"/>
        <v>#N/A</v>
      </c>
      <c r="FZ357" s="64" t="e">
        <f t="array" ref="FZ357">MATCH(1,($GT357:$LQ357&gt;0)*$GT$25:$LQ$25,0)</f>
        <v>#N/A</v>
      </c>
      <c r="GA357" s="64" t="e">
        <f t="array" ref="GA357">MATCH(2,1/(GT357:LQ357&gt;0))</f>
        <v>#N/A</v>
      </c>
      <c r="GB357" s="64">
        <f t="shared" si="1206"/>
        <v>-1</v>
      </c>
      <c r="GC357" s="46"/>
      <c r="GD357" s="613"/>
      <c r="GE357" s="613"/>
      <c r="GF357" s="613"/>
      <c r="GG357" s="613"/>
      <c r="GH357" s="613"/>
      <c r="GI357" s="613"/>
      <c r="GJ357" s="613"/>
      <c r="GK357" s="613"/>
      <c r="GL357" s="613"/>
      <c r="GM357" s="613"/>
      <c r="GN357" s="385">
        <f t="shared" si="1157"/>
        <v>0</v>
      </c>
      <c r="GO357" s="386">
        <f t="shared" si="1158"/>
        <v>0</v>
      </c>
      <c r="GP357" s="2635"/>
      <c r="GQ357" s="175"/>
      <c r="GR357" s="172"/>
      <c r="GS357" s="65"/>
      <c r="GT357" s="167"/>
      <c r="GU357" s="168"/>
      <c r="GV357" s="168"/>
      <c r="GW357" s="168"/>
      <c r="GX357" s="168"/>
      <c r="GY357" s="168"/>
      <c r="GZ357" s="168"/>
      <c r="HA357" s="168"/>
      <c r="HB357" s="168"/>
      <c r="HC357" s="168"/>
      <c r="HD357" s="168"/>
      <c r="HE357" s="168"/>
      <c r="HF357" s="168"/>
      <c r="HG357" s="168"/>
      <c r="HH357" s="168"/>
      <c r="HI357" s="168"/>
      <c r="HJ357" s="168"/>
      <c r="HK357" s="168"/>
      <c r="HL357" s="168"/>
      <c r="HM357" s="168"/>
      <c r="HN357" s="168"/>
      <c r="HO357" s="168"/>
      <c r="HP357" s="168"/>
      <c r="HQ357" s="168"/>
      <c r="HR357" s="168"/>
      <c r="HS357" s="168"/>
      <c r="HT357" s="168"/>
      <c r="HU357" s="168"/>
      <c r="HV357" s="168"/>
      <c r="HW357" s="168"/>
      <c r="HX357" s="168"/>
      <c r="HY357" s="168"/>
      <c r="HZ357" s="168"/>
      <c r="IA357" s="168"/>
      <c r="IB357" s="168"/>
      <c r="IC357" s="168"/>
      <c r="ID357" s="168"/>
      <c r="IE357" s="168"/>
      <c r="IF357" s="168"/>
      <c r="IG357" s="168"/>
      <c r="IH357" s="168"/>
      <c r="II357" s="168"/>
      <c r="IJ357" s="168"/>
      <c r="IK357" s="168"/>
      <c r="IL357" s="168"/>
      <c r="IM357" s="168"/>
      <c r="IN357" s="168"/>
      <c r="IO357" s="168"/>
      <c r="IP357" s="168"/>
      <c r="IQ357" s="168"/>
      <c r="IR357" s="168"/>
      <c r="IS357" s="168"/>
      <c r="IT357" s="168"/>
      <c r="IU357" s="168"/>
      <c r="IV357" s="168"/>
      <c r="IW357" s="168"/>
      <c r="IX357" s="168"/>
      <c r="IY357" s="168"/>
      <c r="IZ357" s="168"/>
      <c r="JA357" s="168"/>
      <c r="JB357" s="168"/>
      <c r="JC357" s="168"/>
      <c r="JD357" s="168"/>
      <c r="JE357" s="168"/>
      <c r="JF357" s="168"/>
      <c r="JG357" s="168"/>
      <c r="JH357" s="168"/>
      <c r="JI357" s="168"/>
      <c r="JJ357" s="168"/>
      <c r="JK357" s="168"/>
      <c r="JL357" s="168"/>
      <c r="JM357" s="168"/>
      <c r="JN357" s="168"/>
      <c r="JO357" s="168"/>
      <c r="JP357" s="168"/>
      <c r="JQ357" s="168"/>
      <c r="JR357" s="168"/>
      <c r="JS357" s="168"/>
      <c r="JT357" s="168"/>
      <c r="JU357" s="168"/>
      <c r="JV357" s="168"/>
      <c r="JW357" s="168"/>
      <c r="JX357" s="168"/>
      <c r="JY357" s="168"/>
      <c r="JZ357" s="168"/>
      <c r="KA357" s="168"/>
      <c r="KB357" s="168"/>
      <c r="KC357" s="168"/>
      <c r="KD357" s="168"/>
      <c r="KE357" s="168"/>
      <c r="KF357" s="168"/>
      <c r="KG357" s="168"/>
      <c r="KH357" s="168"/>
      <c r="KI357" s="168"/>
      <c r="KJ357" s="168"/>
      <c r="KK357" s="168"/>
      <c r="KL357" s="168"/>
      <c r="KM357" s="168"/>
      <c r="KN357" s="168"/>
      <c r="KO357" s="168"/>
      <c r="KP357" s="168"/>
      <c r="KQ357" s="168"/>
      <c r="KR357" s="168"/>
      <c r="KS357" s="168"/>
      <c r="KT357" s="168"/>
      <c r="KU357" s="168"/>
      <c r="KV357" s="168"/>
      <c r="KW357" s="168"/>
      <c r="KX357" s="168"/>
      <c r="KY357" s="168"/>
      <c r="KZ357" s="168"/>
      <c r="LA357" s="168"/>
      <c r="LB357" s="168"/>
      <c r="LC357" s="168"/>
      <c r="LD357" s="168"/>
      <c r="LE357" s="168"/>
      <c r="LF357" s="168"/>
      <c r="LG357" s="168"/>
      <c r="LH357" s="168"/>
      <c r="LI357" s="168"/>
      <c r="LJ357" s="168"/>
      <c r="LK357" s="168"/>
      <c r="LL357" s="168"/>
      <c r="LM357" s="168"/>
      <c r="LN357" s="168"/>
      <c r="LO357" s="168"/>
      <c r="LP357" s="606"/>
      <c r="LQ357" s="609"/>
      <c r="LR357" s="1319"/>
      <c r="LS357" s="1319"/>
    </row>
    <row r="358" spans="1:331" s="2" customFormat="1" ht="15" customHeight="1" x14ac:dyDescent="0.25">
      <c r="A358" s="283"/>
      <c r="B358" s="303"/>
      <c r="C358" s="301"/>
      <c r="D358" s="1287"/>
      <c r="E358" s="2298"/>
      <c r="F358" s="1812"/>
      <c r="G358" s="3342"/>
      <c r="H358" s="66"/>
      <c r="I358" s="1746"/>
      <c r="J358" s="1214"/>
      <c r="K358" s="105"/>
      <c r="L358" s="91"/>
      <c r="M358" s="92"/>
      <c r="N358" s="93"/>
      <c r="O358" s="94"/>
      <c r="P358" s="94"/>
      <c r="Q358" s="97"/>
      <c r="R358" s="993">
        <f t="shared" si="1147"/>
        <v>0</v>
      </c>
      <c r="S358" s="23">
        <f t="shared" si="1148"/>
        <v>0</v>
      </c>
      <c r="T358" s="24">
        <f t="shared" si="1159"/>
        <v>0</v>
      </c>
      <c r="U358" s="24">
        <f t="shared" si="1160"/>
        <v>0</v>
      </c>
      <c r="V358" s="24">
        <f t="shared" si="1161"/>
        <v>0</v>
      </c>
      <c r="W358" s="24">
        <f t="shared" ca="1" si="1162"/>
        <v>0</v>
      </c>
      <c r="X358" s="72">
        <f t="shared" ca="1" si="1119"/>
        <v>0</v>
      </c>
      <c r="Y358" s="72">
        <f t="shared" si="1163"/>
        <v>0</v>
      </c>
      <c r="Z358" s="24">
        <f t="shared" si="1164"/>
        <v>0</v>
      </c>
      <c r="AA358" s="72">
        <f t="shared" si="1120"/>
        <v>0</v>
      </c>
      <c r="AB358" s="24">
        <f t="shared" si="1131"/>
        <v>0</v>
      </c>
      <c r="AC358" s="24">
        <f t="shared" ca="1" si="1165"/>
        <v>0</v>
      </c>
      <c r="AD358" s="24">
        <f t="shared" si="1049"/>
        <v>0</v>
      </c>
      <c r="AE358" s="2078">
        <f t="shared" si="1207"/>
        <v>3</v>
      </c>
      <c r="AF358" s="2078">
        <f t="shared" si="1208"/>
        <v>0</v>
      </c>
      <c r="AG358" s="2078">
        <f t="shared" si="1209"/>
        <v>0</v>
      </c>
      <c r="AH358" s="2521">
        <f t="shared" si="1050"/>
        <v>1</v>
      </c>
      <c r="AI358" s="25" t="str">
        <f t="shared" si="1166"/>
        <v/>
      </c>
      <c r="AJ358" s="2521">
        <f t="shared" ca="1" si="1045"/>
        <v>0</v>
      </c>
      <c r="AK358" s="2076">
        <f t="shared" ca="1" si="1041"/>
        <v>0</v>
      </c>
      <c r="AL358" s="2078">
        <f>IF(ISBLANK(J358),0,ISERROR(MATCH(J358,'5  Control Accounts'!$FA$29:$FA$96,0))*1)</f>
        <v>0</v>
      </c>
      <c r="AM358" s="2076">
        <f t="shared" si="1167"/>
        <v>0</v>
      </c>
      <c r="AN358" s="2078">
        <f t="shared" si="1168"/>
        <v>1</v>
      </c>
      <c r="AO358" s="2079">
        <f t="shared" si="1051"/>
        <v>1</v>
      </c>
      <c r="AP358" s="2079">
        <f t="shared" si="1052"/>
        <v>0</v>
      </c>
      <c r="AQ358" s="2079">
        <f t="shared" si="1053"/>
        <v>0</v>
      </c>
      <c r="AR358" s="2079">
        <f t="shared" si="1054"/>
        <v>0</v>
      </c>
      <c r="AS358" s="2079">
        <f t="shared" si="1055"/>
        <v>0</v>
      </c>
      <c r="AT358" s="2079">
        <f t="shared" si="1056"/>
        <v>0</v>
      </c>
      <c r="AU358" s="2079">
        <f t="shared" si="1057"/>
        <v>0</v>
      </c>
      <c r="AV358" s="2079">
        <f t="shared" si="1058"/>
        <v>0</v>
      </c>
      <c r="AW358" s="2079">
        <f t="shared" si="1059"/>
        <v>0</v>
      </c>
      <c r="AX358" s="2079">
        <f t="shared" si="1060"/>
        <v>0</v>
      </c>
      <c r="AY358" s="2078">
        <f t="shared" si="1169"/>
        <v>0</v>
      </c>
      <c r="AZ358" s="2078">
        <f t="shared" si="1170"/>
        <v>0</v>
      </c>
      <c r="BA358" s="2078">
        <f t="shared" si="1171"/>
        <v>0</v>
      </c>
      <c r="BB358" s="2078">
        <f t="shared" si="1172"/>
        <v>0</v>
      </c>
      <c r="BC358" s="2078">
        <f t="shared" si="1173"/>
        <v>0</v>
      </c>
      <c r="BD358" s="2078">
        <f t="shared" si="1174"/>
        <v>0</v>
      </c>
      <c r="BE358" s="2078">
        <f t="shared" si="1175"/>
        <v>0</v>
      </c>
      <c r="BF358" s="2078">
        <f t="shared" si="1176"/>
        <v>0</v>
      </c>
      <c r="BG358" s="2078">
        <f t="shared" si="1177"/>
        <v>0</v>
      </c>
      <c r="BH358" s="2078">
        <f t="shared" si="1178"/>
        <v>0</v>
      </c>
      <c r="BI358" s="2078">
        <f t="shared" si="1179"/>
        <v>0</v>
      </c>
      <c r="BJ358" s="2078">
        <f t="shared" si="1180"/>
        <v>0</v>
      </c>
      <c r="BK358" s="2078">
        <f t="shared" si="1181"/>
        <v>0</v>
      </c>
      <c r="BL358" s="2078">
        <f t="shared" si="1182"/>
        <v>0</v>
      </c>
      <c r="BM358" s="2078">
        <f t="shared" si="1183"/>
        <v>0</v>
      </c>
      <c r="BN358" s="2078">
        <f t="shared" si="1184"/>
        <v>0</v>
      </c>
      <c r="BO358" s="2078">
        <f t="shared" si="1185"/>
        <v>0</v>
      </c>
      <c r="BP358" s="2078">
        <f t="shared" si="1186"/>
        <v>0</v>
      </c>
      <c r="BQ358" s="2078">
        <f t="shared" si="1187"/>
        <v>0</v>
      </c>
      <c r="BR358" s="2078">
        <f t="shared" si="1188"/>
        <v>0</v>
      </c>
      <c r="BS358" s="2079">
        <f t="shared" si="1061"/>
        <v>1</v>
      </c>
      <c r="BT358" s="2079">
        <f t="shared" si="1062"/>
        <v>0</v>
      </c>
      <c r="BU358" s="2079">
        <f t="shared" si="1063"/>
        <v>0</v>
      </c>
      <c r="BV358" s="2079">
        <f t="shared" si="1064"/>
        <v>0</v>
      </c>
      <c r="BW358" s="2079">
        <f t="shared" si="1065"/>
        <v>0</v>
      </c>
      <c r="BX358" s="2079">
        <f t="shared" si="1066"/>
        <v>0</v>
      </c>
      <c r="BY358" s="2079">
        <f t="shared" si="1067"/>
        <v>0</v>
      </c>
      <c r="BZ358" s="2079">
        <f t="shared" si="1068"/>
        <v>0</v>
      </c>
      <c r="CA358" s="2079">
        <f t="shared" si="1069"/>
        <v>0</v>
      </c>
      <c r="CB358" s="2079">
        <f t="shared" si="1070"/>
        <v>0</v>
      </c>
      <c r="CC358" s="2078">
        <f t="shared" ca="1" si="1189"/>
        <v>0</v>
      </c>
      <c r="CD358" s="2078">
        <f t="shared" ca="1" si="1190"/>
        <v>0</v>
      </c>
      <c r="CE358" s="2078">
        <f t="shared" ca="1" si="1191"/>
        <v>0</v>
      </c>
      <c r="CF358" s="2078">
        <f t="shared" ca="1" si="1192"/>
        <v>0</v>
      </c>
      <c r="CG358" s="2078">
        <f t="shared" ca="1" si="1193"/>
        <v>0</v>
      </c>
      <c r="CH358" s="2078">
        <f t="shared" ca="1" si="1194"/>
        <v>0</v>
      </c>
      <c r="CI358" s="2078">
        <f t="shared" ca="1" si="1195"/>
        <v>0</v>
      </c>
      <c r="CJ358" s="2078">
        <f t="shared" ca="1" si="1196"/>
        <v>0</v>
      </c>
      <c r="CK358" s="2078">
        <f t="shared" ca="1" si="1197"/>
        <v>0</v>
      </c>
      <c r="CL358" s="2078">
        <f t="shared" ca="1" si="1198"/>
        <v>0</v>
      </c>
      <c r="CM358" s="2078">
        <f t="shared" si="1132"/>
        <v>1</v>
      </c>
      <c r="CN358" s="2078">
        <f t="shared" si="1133"/>
        <v>1</v>
      </c>
      <c r="CO358" s="2078">
        <f t="shared" si="1121"/>
        <v>1</v>
      </c>
      <c r="CP358" s="2078">
        <f t="shared" si="1199"/>
        <v>1</v>
      </c>
      <c r="CQ358" s="2078">
        <f t="shared" si="1122"/>
        <v>0</v>
      </c>
      <c r="CR358" s="2078">
        <f t="shared" si="1042"/>
        <v>0</v>
      </c>
      <c r="CS358" s="2078">
        <f t="shared" si="1200"/>
        <v>0</v>
      </c>
      <c r="CT358" s="2078">
        <f t="shared" si="1123"/>
        <v>1</v>
      </c>
      <c r="CU358" s="2078">
        <f t="shared" si="1201"/>
        <v>1</v>
      </c>
      <c r="CV358" s="2078">
        <f t="shared" si="1134"/>
        <v>0</v>
      </c>
      <c r="CW358" s="2078">
        <f>IF(OR(AE358&lt;&gt;3,F358="Exclude"),0,IF(ISERROR(MATCH($E358,'4 Sign-off'!$S$123:$X$123,0)),0,1))</f>
        <v>0</v>
      </c>
      <c r="CX358" s="2078">
        <f t="shared" si="1154"/>
        <v>0</v>
      </c>
      <c r="CY358" s="2078">
        <f t="shared" si="1135"/>
        <v>0</v>
      </c>
      <c r="CZ358" s="2993">
        <f t="shared" ca="1" si="1149"/>
        <v>0</v>
      </c>
      <c r="DA358" s="3037">
        <f t="shared" ca="1" si="1150"/>
        <v>0</v>
      </c>
      <c r="DB358" s="1664"/>
      <c r="DC358" s="1320"/>
      <c r="DD358" s="589"/>
      <c r="DE358" s="1321"/>
      <c r="DF358" s="107"/>
      <c r="DG358" s="112"/>
      <c r="DH358" s="140"/>
      <c r="DI358" s="22"/>
      <c r="DJ358" s="145"/>
      <c r="DK358" s="137"/>
      <c r="DL358" s="137"/>
      <c r="DM358" s="137"/>
      <c r="DN358" s="137"/>
      <c r="DO358" s="137"/>
      <c r="DP358" s="137"/>
      <c r="DQ358" s="137"/>
      <c r="DR358" s="137"/>
      <c r="DS358" s="137"/>
      <c r="DT358" s="137"/>
      <c r="DU358" s="137"/>
      <c r="DV358" s="137"/>
      <c r="DW358" s="137"/>
      <c r="DX358" s="137"/>
      <c r="DY358" s="137"/>
      <c r="DZ358" s="137"/>
      <c r="EA358" s="137"/>
      <c r="EB358" s="137"/>
      <c r="EC358" s="137"/>
      <c r="ED358" s="137"/>
      <c r="EE358" s="137"/>
      <c r="EF358" s="137"/>
      <c r="EG358" s="137"/>
      <c r="EH358" s="137"/>
      <c r="EI358" s="137"/>
      <c r="EJ358" s="137"/>
      <c r="EK358" s="137"/>
      <c r="EL358" s="137"/>
      <c r="EM358" s="137"/>
      <c r="EN358" s="137"/>
      <c r="EO358" s="137"/>
      <c r="EP358" s="137"/>
      <c r="EQ358" s="137"/>
      <c r="ER358" s="137"/>
      <c r="ES358" s="137"/>
      <c r="ET358" s="137"/>
      <c r="EU358" s="137"/>
      <c r="EV358" s="137"/>
      <c r="EW358" s="137"/>
      <c r="EX358" s="137"/>
      <c r="EY358" s="137"/>
      <c r="EZ358" s="137"/>
      <c r="FA358" s="137"/>
      <c r="FB358" s="137"/>
      <c r="FC358" s="137"/>
      <c r="FD358" s="137"/>
      <c r="FE358" s="137"/>
      <c r="FF358" s="137"/>
      <c r="FG358" s="860"/>
      <c r="FH358" s="863"/>
      <c r="FI358" s="1318"/>
      <c r="FJ358" s="126"/>
      <c r="FK358" s="127"/>
      <c r="FL358" s="128" t="str">
        <f t="shared" si="1202"/>
        <v xml:space="preserve">    </v>
      </c>
      <c r="FM358" s="128"/>
      <c r="FN358" s="1686">
        <f t="shared" si="1203"/>
        <v>0</v>
      </c>
      <c r="FO358" s="46">
        <f t="shared" si="1136"/>
        <v>0</v>
      </c>
      <c r="FP358" s="46">
        <f t="shared" si="1216"/>
        <v>1</v>
      </c>
      <c r="FQ358" s="75">
        <f t="shared" si="1204"/>
        <v>0</v>
      </c>
      <c r="FR358" s="46">
        <f t="shared" si="1214"/>
        <v>0</v>
      </c>
      <c r="FS358" s="46">
        <f t="shared" si="1213"/>
        <v>1</v>
      </c>
      <c r="FT358" s="75">
        <f t="shared" si="1205"/>
        <v>0</v>
      </c>
      <c r="FU358" s="2603">
        <f t="shared" si="1137"/>
        <v>0</v>
      </c>
      <c r="FV358" s="2607">
        <f t="shared" si="1138"/>
        <v>0</v>
      </c>
      <c r="FW358" s="2603">
        <f t="shared" si="1139"/>
        <v>0</v>
      </c>
      <c r="FX358" s="2631">
        <f t="shared" si="1140"/>
        <v>0</v>
      </c>
      <c r="FY358" s="81" t="e">
        <f t="shared" si="1211"/>
        <v>#N/A</v>
      </c>
      <c r="FZ358" s="64" t="e">
        <f t="array" ref="FZ358">MATCH(1,($GT358:$LQ358&gt;0)*$GT$25:$LQ$25,0)</f>
        <v>#N/A</v>
      </c>
      <c r="GA358" s="64" t="e">
        <f t="array" ref="GA358">MATCH(2,1/(GT358:LQ358&gt;0))</f>
        <v>#N/A</v>
      </c>
      <c r="GB358" s="64">
        <f t="shared" si="1206"/>
        <v>-1</v>
      </c>
      <c r="GC358" s="46"/>
      <c r="GD358" s="613"/>
      <c r="GE358" s="613"/>
      <c r="GF358" s="613"/>
      <c r="GG358" s="613"/>
      <c r="GH358" s="613"/>
      <c r="GI358" s="613"/>
      <c r="GJ358" s="613"/>
      <c r="GK358" s="613"/>
      <c r="GL358" s="613"/>
      <c r="GM358" s="613"/>
      <c r="GN358" s="385">
        <f t="shared" si="1157"/>
        <v>0</v>
      </c>
      <c r="GO358" s="386">
        <f t="shared" si="1158"/>
        <v>0</v>
      </c>
      <c r="GP358" s="2635"/>
      <c r="GQ358" s="175"/>
      <c r="GR358" s="172"/>
      <c r="GS358" s="65"/>
      <c r="GT358" s="167"/>
      <c r="GU358" s="168"/>
      <c r="GV358" s="168"/>
      <c r="GW358" s="168"/>
      <c r="GX358" s="168"/>
      <c r="GY358" s="168"/>
      <c r="GZ358" s="168"/>
      <c r="HA358" s="168"/>
      <c r="HB358" s="168"/>
      <c r="HC358" s="168"/>
      <c r="HD358" s="168"/>
      <c r="HE358" s="168"/>
      <c r="HF358" s="168"/>
      <c r="HG358" s="168"/>
      <c r="HH358" s="168"/>
      <c r="HI358" s="168"/>
      <c r="HJ358" s="168"/>
      <c r="HK358" s="168"/>
      <c r="HL358" s="168"/>
      <c r="HM358" s="168"/>
      <c r="HN358" s="168"/>
      <c r="HO358" s="168"/>
      <c r="HP358" s="168"/>
      <c r="HQ358" s="168"/>
      <c r="HR358" s="168"/>
      <c r="HS358" s="168"/>
      <c r="HT358" s="168"/>
      <c r="HU358" s="168"/>
      <c r="HV358" s="168"/>
      <c r="HW358" s="168"/>
      <c r="HX358" s="168"/>
      <c r="HY358" s="168"/>
      <c r="HZ358" s="168"/>
      <c r="IA358" s="168"/>
      <c r="IB358" s="168"/>
      <c r="IC358" s="168"/>
      <c r="ID358" s="168"/>
      <c r="IE358" s="168"/>
      <c r="IF358" s="168"/>
      <c r="IG358" s="168"/>
      <c r="IH358" s="168"/>
      <c r="II358" s="168"/>
      <c r="IJ358" s="168"/>
      <c r="IK358" s="168"/>
      <c r="IL358" s="168"/>
      <c r="IM358" s="168"/>
      <c r="IN358" s="168"/>
      <c r="IO358" s="168"/>
      <c r="IP358" s="168"/>
      <c r="IQ358" s="168"/>
      <c r="IR358" s="168"/>
      <c r="IS358" s="168"/>
      <c r="IT358" s="168"/>
      <c r="IU358" s="168"/>
      <c r="IV358" s="168"/>
      <c r="IW358" s="168"/>
      <c r="IX358" s="168"/>
      <c r="IY358" s="168"/>
      <c r="IZ358" s="168"/>
      <c r="JA358" s="168"/>
      <c r="JB358" s="168"/>
      <c r="JC358" s="168"/>
      <c r="JD358" s="168"/>
      <c r="JE358" s="168"/>
      <c r="JF358" s="168"/>
      <c r="JG358" s="168"/>
      <c r="JH358" s="168"/>
      <c r="JI358" s="168"/>
      <c r="JJ358" s="168"/>
      <c r="JK358" s="168"/>
      <c r="JL358" s="168"/>
      <c r="JM358" s="168"/>
      <c r="JN358" s="168"/>
      <c r="JO358" s="168"/>
      <c r="JP358" s="168"/>
      <c r="JQ358" s="168"/>
      <c r="JR358" s="168"/>
      <c r="JS358" s="168"/>
      <c r="JT358" s="168"/>
      <c r="JU358" s="168"/>
      <c r="JV358" s="168"/>
      <c r="JW358" s="168"/>
      <c r="JX358" s="168"/>
      <c r="JY358" s="168"/>
      <c r="JZ358" s="168"/>
      <c r="KA358" s="168"/>
      <c r="KB358" s="168"/>
      <c r="KC358" s="168"/>
      <c r="KD358" s="168"/>
      <c r="KE358" s="168"/>
      <c r="KF358" s="168"/>
      <c r="KG358" s="168"/>
      <c r="KH358" s="168"/>
      <c r="KI358" s="168"/>
      <c r="KJ358" s="168"/>
      <c r="KK358" s="168"/>
      <c r="KL358" s="168"/>
      <c r="KM358" s="168"/>
      <c r="KN358" s="168"/>
      <c r="KO358" s="168"/>
      <c r="KP358" s="168"/>
      <c r="KQ358" s="168"/>
      <c r="KR358" s="168"/>
      <c r="KS358" s="168"/>
      <c r="KT358" s="168"/>
      <c r="KU358" s="168"/>
      <c r="KV358" s="168"/>
      <c r="KW358" s="168"/>
      <c r="KX358" s="168"/>
      <c r="KY358" s="168"/>
      <c r="KZ358" s="168"/>
      <c r="LA358" s="168"/>
      <c r="LB358" s="168"/>
      <c r="LC358" s="168"/>
      <c r="LD358" s="168"/>
      <c r="LE358" s="168"/>
      <c r="LF358" s="168"/>
      <c r="LG358" s="168"/>
      <c r="LH358" s="168"/>
      <c r="LI358" s="168"/>
      <c r="LJ358" s="168"/>
      <c r="LK358" s="168"/>
      <c r="LL358" s="168"/>
      <c r="LM358" s="168"/>
      <c r="LN358" s="168"/>
      <c r="LO358" s="168"/>
      <c r="LP358" s="606"/>
      <c r="LQ358" s="609"/>
      <c r="LR358" s="1319"/>
      <c r="LS358" s="1319"/>
    </row>
    <row r="359" spans="1:331" s="2" customFormat="1" ht="15" customHeight="1" x14ac:dyDescent="0.25">
      <c r="A359" s="283"/>
      <c r="B359" s="303"/>
      <c r="C359" s="301"/>
      <c r="D359" s="1287"/>
      <c r="E359" s="2298"/>
      <c r="F359" s="1812"/>
      <c r="G359" s="3342"/>
      <c r="H359" s="66"/>
      <c r="I359" s="1746"/>
      <c r="J359" s="1214"/>
      <c r="K359" s="105"/>
      <c r="L359" s="91"/>
      <c r="M359" s="92"/>
      <c r="N359" s="93"/>
      <c r="O359" s="94"/>
      <c r="P359" s="94"/>
      <c r="Q359" s="97"/>
      <c r="R359" s="993">
        <f t="shared" si="1147"/>
        <v>0</v>
      </c>
      <c r="S359" s="23">
        <f t="shared" si="1148"/>
        <v>0</v>
      </c>
      <c r="T359" s="24">
        <f t="shared" si="1159"/>
        <v>0</v>
      </c>
      <c r="U359" s="24">
        <f t="shared" si="1160"/>
        <v>0</v>
      </c>
      <c r="V359" s="24">
        <f t="shared" si="1161"/>
        <v>0</v>
      </c>
      <c r="W359" s="24">
        <f t="shared" ca="1" si="1162"/>
        <v>0</v>
      </c>
      <c r="X359" s="72">
        <f t="shared" ca="1" si="1119"/>
        <v>0</v>
      </c>
      <c r="Y359" s="72">
        <f t="shared" si="1163"/>
        <v>0</v>
      </c>
      <c r="Z359" s="24">
        <f t="shared" si="1164"/>
        <v>0</v>
      </c>
      <c r="AA359" s="72">
        <f t="shared" si="1120"/>
        <v>0</v>
      </c>
      <c r="AB359" s="24">
        <f t="shared" si="1131"/>
        <v>0</v>
      </c>
      <c r="AC359" s="24">
        <f t="shared" ca="1" si="1165"/>
        <v>0</v>
      </c>
      <c r="AD359" s="24">
        <f t="shared" si="1049"/>
        <v>0</v>
      </c>
      <c r="AE359" s="2078">
        <f t="shared" si="1207"/>
        <v>3</v>
      </c>
      <c r="AF359" s="2078">
        <f t="shared" si="1208"/>
        <v>0</v>
      </c>
      <c r="AG359" s="2078">
        <f t="shared" si="1209"/>
        <v>0</v>
      </c>
      <c r="AH359" s="2521">
        <f t="shared" si="1050"/>
        <v>1</v>
      </c>
      <c r="AI359" s="25" t="str">
        <f t="shared" si="1166"/>
        <v/>
      </c>
      <c r="AJ359" s="2521">
        <f t="shared" ca="1" si="1045"/>
        <v>0</v>
      </c>
      <c r="AK359" s="2076">
        <f t="shared" ca="1" si="1041"/>
        <v>0</v>
      </c>
      <c r="AL359" s="2078">
        <f>IF(ISBLANK(J359),0,ISERROR(MATCH(J359,'5  Control Accounts'!$FA$29:$FA$96,0))*1)</f>
        <v>0</v>
      </c>
      <c r="AM359" s="2076">
        <f t="shared" si="1167"/>
        <v>0</v>
      </c>
      <c r="AN359" s="2078">
        <f t="shared" si="1168"/>
        <v>1</v>
      </c>
      <c r="AO359" s="2079">
        <f t="shared" si="1051"/>
        <v>1</v>
      </c>
      <c r="AP359" s="2079">
        <f t="shared" si="1052"/>
        <v>0</v>
      </c>
      <c r="AQ359" s="2079">
        <f t="shared" si="1053"/>
        <v>0</v>
      </c>
      <c r="AR359" s="2079">
        <f t="shared" si="1054"/>
        <v>0</v>
      </c>
      <c r="AS359" s="2079">
        <f t="shared" si="1055"/>
        <v>0</v>
      </c>
      <c r="AT359" s="2079">
        <f t="shared" si="1056"/>
        <v>0</v>
      </c>
      <c r="AU359" s="2079">
        <f t="shared" si="1057"/>
        <v>0</v>
      </c>
      <c r="AV359" s="2079">
        <f t="shared" si="1058"/>
        <v>0</v>
      </c>
      <c r="AW359" s="2079">
        <f t="shared" si="1059"/>
        <v>0</v>
      </c>
      <c r="AX359" s="2079">
        <f t="shared" si="1060"/>
        <v>0</v>
      </c>
      <c r="AY359" s="2078">
        <f t="shared" si="1169"/>
        <v>0</v>
      </c>
      <c r="AZ359" s="2078">
        <f t="shared" si="1170"/>
        <v>0</v>
      </c>
      <c r="BA359" s="2078">
        <f t="shared" si="1171"/>
        <v>0</v>
      </c>
      <c r="BB359" s="2078">
        <f t="shared" si="1172"/>
        <v>0</v>
      </c>
      <c r="BC359" s="2078">
        <f t="shared" si="1173"/>
        <v>0</v>
      </c>
      <c r="BD359" s="2078">
        <f t="shared" si="1174"/>
        <v>0</v>
      </c>
      <c r="BE359" s="2078">
        <f t="shared" si="1175"/>
        <v>0</v>
      </c>
      <c r="BF359" s="2078">
        <f t="shared" si="1176"/>
        <v>0</v>
      </c>
      <c r="BG359" s="2078">
        <f t="shared" si="1177"/>
        <v>0</v>
      </c>
      <c r="BH359" s="2078">
        <f t="shared" si="1178"/>
        <v>0</v>
      </c>
      <c r="BI359" s="2078">
        <f t="shared" si="1179"/>
        <v>0</v>
      </c>
      <c r="BJ359" s="2078">
        <f t="shared" si="1180"/>
        <v>0</v>
      </c>
      <c r="BK359" s="2078">
        <f t="shared" si="1181"/>
        <v>0</v>
      </c>
      <c r="BL359" s="2078">
        <f t="shared" si="1182"/>
        <v>0</v>
      </c>
      <c r="BM359" s="2078">
        <f t="shared" si="1183"/>
        <v>0</v>
      </c>
      <c r="BN359" s="2078">
        <f t="shared" si="1184"/>
        <v>0</v>
      </c>
      <c r="BO359" s="2078">
        <f t="shared" si="1185"/>
        <v>0</v>
      </c>
      <c r="BP359" s="2078">
        <f t="shared" si="1186"/>
        <v>0</v>
      </c>
      <c r="BQ359" s="2078">
        <f t="shared" si="1187"/>
        <v>0</v>
      </c>
      <c r="BR359" s="2078">
        <f t="shared" si="1188"/>
        <v>0</v>
      </c>
      <c r="BS359" s="2079">
        <f t="shared" si="1061"/>
        <v>1</v>
      </c>
      <c r="BT359" s="2079">
        <f t="shared" si="1062"/>
        <v>0</v>
      </c>
      <c r="BU359" s="2079">
        <f t="shared" si="1063"/>
        <v>0</v>
      </c>
      <c r="BV359" s="2079">
        <f t="shared" si="1064"/>
        <v>0</v>
      </c>
      <c r="BW359" s="2079">
        <f t="shared" si="1065"/>
        <v>0</v>
      </c>
      <c r="BX359" s="2079">
        <f t="shared" si="1066"/>
        <v>0</v>
      </c>
      <c r="BY359" s="2079">
        <f t="shared" si="1067"/>
        <v>0</v>
      </c>
      <c r="BZ359" s="2079">
        <f t="shared" si="1068"/>
        <v>0</v>
      </c>
      <c r="CA359" s="2079">
        <f t="shared" si="1069"/>
        <v>0</v>
      </c>
      <c r="CB359" s="2079">
        <f t="shared" si="1070"/>
        <v>0</v>
      </c>
      <c r="CC359" s="2078">
        <f t="shared" ca="1" si="1189"/>
        <v>0</v>
      </c>
      <c r="CD359" s="2078">
        <f t="shared" ca="1" si="1190"/>
        <v>0</v>
      </c>
      <c r="CE359" s="2078">
        <f t="shared" ca="1" si="1191"/>
        <v>0</v>
      </c>
      <c r="CF359" s="2078">
        <f t="shared" ca="1" si="1192"/>
        <v>0</v>
      </c>
      <c r="CG359" s="2078">
        <f t="shared" ca="1" si="1193"/>
        <v>0</v>
      </c>
      <c r="CH359" s="2078">
        <f t="shared" ca="1" si="1194"/>
        <v>0</v>
      </c>
      <c r="CI359" s="2078">
        <f t="shared" ca="1" si="1195"/>
        <v>0</v>
      </c>
      <c r="CJ359" s="2078">
        <f t="shared" ca="1" si="1196"/>
        <v>0</v>
      </c>
      <c r="CK359" s="2078">
        <f t="shared" ca="1" si="1197"/>
        <v>0</v>
      </c>
      <c r="CL359" s="2078">
        <f t="shared" ca="1" si="1198"/>
        <v>0</v>
      </c>
      <c r="CM359" s="2078">
        <f t="shared" si="1132"/>
        <v>1</v>
      </c>
      <c r="CN359" s="2078">
        <f t="shared" si="1133"/>
        <v>1</v>
      </c>
      <c r="CO359" s="2078">
        <f t="shared" si="1121"/>
        <v>1</v>
      </c>
      <c r="CP359" s="2078">
        <f t="shared" si="1199"/>
        <v>1</v>
      </c>
      <c r="CQ359" s="2078">
        <f t="shared" si="1122"/>
        <v>0</v>
      </c>
      <c r="CR359" s="2078">
        <f t="shared" si="1042"/>
        <v>0</v>
      </c>
      <c r="CS359" s="2078">
        <f t="shared" si="1200"/>
        <v>0</v>
      </c>
      <c r="CT359" s="2078">
        <f t="shared" si="1123"/>
        <v>1</v>
      </c>
      <c r="CU359" s="2078">
        <f t="shared" si="1201"/>
        <v>1</v>
      </c>
      <c r="CV359" s="2078">
        <f t="shared" si="1134"/>
        <v>0</v>
      </c>
      <c r="CW359" s="2078">
        <f>IF(OR(AE359&lt;&gt;3,F359="Exclude"),0,IF(ISERROR(MATCH($E359,'4 Sign-off'!$S$123:$X$123,0)),0,1))</f>
        <v>0</v>
      </c>
      <c r="CX359" s="2078">
        <f t="shared" si="1154"/>
        <v>0</v>
      </c>
      <c r="CY359" s="2078">
        <f t="shared" si="1135"/>
        <v>0</v>
      </c>
      <c r="CZ359" s="2993">
        <f t="shared" ca="1" si="1149"/>
        <v>0</v>
      </c>
      <c r="DA359" s="3037">
        <f t="shared" ca="1" si="1150"/>
        <v>0</v>
      </c>
      <c r="DB359" s="1664"/>
      <c r="DC359" s="1320"/>
      <c r="DD359" s="589"/>
      <c r="DE359" s="1321"/>
      <c r="DF359" s="107"/>
      <c r="DG359" s="112"/>
      <c r="DH359" s="140"/>
      <c r="DI359" s="22"/>
      <c r="DJ359" s="145"/>
      <c r="DK359" s="137"/>
      <c r="DL359" s="137"/>
      <c r="DM359" s="137"/>
      <c r="DN359" s="137"/>
      <c r="DO359" s="137"/>
      <c r="DP359" s="137"/>
      <c r="DQ359" s="137"/>
      <c r="DR359" s="137"/>
      <c r="DS359" s="137"/>
      <c r="DT359" s="137"/>
      <c r="DU359" s="137"/>
      <c r="DV359" s="137"/>
      <c r="DW359" s="137"/>
      <c r="DX359" s="137"/>
      <c r="DY359" s="137"/>
      <c r="DZ359" s="137"/>
      <c r="EA359" s="137"/>
      <c r="EB359" s="137"/>
      <c r="EC359" s="137"/>
      <c r="ED359" s="137"/>
      <c r="EE359" s="137"/>
      <c r="EF359" s="137"/>
      <c r="EG359" s="137"/>
      <c r="EH359" s="137"/>
      <c r="EI359" s="137"/>
      <c r="EJ359" s="137"/>
      <c r="EK359" s="137"/>
      <c r="EL359" s="137"/>
      <c r="EM359" s="137"/>
      <c r="EN359" s="137"/>
      <c r="EO359" s="137"/>
      <c r="EP359" s="137"/>
      <c r="EQ359" s="137"/>
      <c r="ER359" s="137"/>
      <c r="ES359" s="137"/>
      <c r="ET359" s="137"/>
      <c r="EU359" s="137"/>
      <c r="EV359" s="137"/>
      <c r="EW359" s="137"/>
      <c r="EX359" s="137"/>
      <c r="EY359" s="137"/>
      <c r="EZ359" s="137"/>
      <c r="FA359" s="137"/>
      <c r="FB359" s="137"/>
      <c r="FC359" s="137"/>
      <c r="FD359" s="137"/>
      <c r="FE359" s="137"/>
      <c r="FF359" s="137"/>
      <c r="FG359" s="860"/>
      <c r="FH359" s="863"/>
      <c r="FI359" s="1318"/>
      <c r="FJ359" s="126"/>
      <c r="FK359" s="127"/>
      <c r="FL359" s="128" t="str">
        <f t="shared" si="1202"/>
        <v xml:space="preserve">    </v>
      </c>
      <c r="FM359" s="128"/>
      <c r="FN359" s="1686">
        <f t="shared" si="1203"/>
        <v>0</v>
      </c>
      <c r="FO359" s="46">
        <f t="shared" si="1136"/>
        <v>0</v>
      </c>
      <c r="FP359" s="46">
        <f t="shared" si="1216"/>
        <v>1</v>
      </c>
      <c r="FQ359" s="75">
        <f t="shared" si="1204"/>
        <v>0</v>
      </c>
      <c r="FR359" s="46">
        <f t="shared" si="1214"/>
        <v>0</v>
      </c>
      <c r="FS359" s="46">
        <f t="shared" si="1213"/>
        <v>1</v>
      </c>
      <c r="FT359" s="75">
        <f t="shared" si="1205"/>
        <v>0</v>
      </c>
      <c r="FU359" s="2603">
        <f t="shared" si="1137"/>
        <v>0</v>
      </c>
      <c r="FV359" s="2607">
        <f t="shared" si="1138"/>
        <v>0</v>
      </c>
      <c r="FW359" s="2603">
        <f t="shared" si="1139"/>
        <v>0</v>
      </c>
      <c r="FX359" s="2631">
        <f t="shared" si="1140"/>
        <v>0</v>
      </c>
      <c r="FY359" s="81" t="e">
        <f t="shared" si="1211"/>
        <v>#N/A</v>
      </c>
      <c r="FZ359" s="64" t="e">
        <f t="array" ref="FZ359">MATCH(1,($GT359:$LQ359&gt;0)*$GT$25:$LQ$25,0)</f>
        <v>#N/A</v>
      </c>
      <c r="GA359" s="64" t="e">
        <f t="array" ref="GA359">MATCH(2,1/(GT359:LQ359&gt;0))</f>
        <v>#N/A</v>
      </c>
      <c r="GB359" s="64">
        <f t="shared" si="1206"/>
        <v>-1</v>
      </c>
      <c r="GC359" s="46"/>
      <c r="GD359" s="613"/>
      <c r="GE359" s="613"/>
      <c r="GF359" s="613"/>
      <c r="GG359" s="613"/>
      <c r="GH359" s="613"/>
      <c r="GI359" s="613"/>
      <c r="GJ359" s="613"/>
      <c r="GK359" s="613"/>
      <c r="GL359" s="613"/>
      <c r="GM359" s="613"/>
      <c r="GN359" s="385">
        <f t="shared" si="1157"/>
        <v>0</v>
      </c>
      <c r="GO359" s="386">
        <f t="shared" si="1158"/>
        <v>0</v>
      </c>
      <c r="GP359" s="2635"/>
      <c r="GQ359" s="175"/>
      <c r="GR359" s="172"/>
      <c r="GS359" s="65"/>
      <c r="GT359" s="167"/>
      <c r="GU359" s="168"/>
      <c r="GV359" s="168"/>
      <c r="GW359" s="168"/>
      <c r="GX359" s="168"/>
      <c r="GY359" s="168"/>
      <c r="GZ359" s="168"/>
      <c r="HA359" s="168"/>
      <c r="HB359" s="168"/>
      <c r="HC359" s="168"/>
      <c r="HD359" s="168"/>
      <c r="HE359" s="168"/>
      <c r="HF359" s="168"/>
      <c r="HG359" s="168"/>
      <c r="HH359" s="168"/>
      <c r="HI359" s="168"/>
      <c r="HJ359" s="168"/>
      <c r="HK359" s="168"/>
      <c r="HL359" s="168"/>
      <c r="HM359" s="168"/>
      <c r="HN359" s="168"/>
      <c r="HO359" s="168"/>
      <c r="HP359" s="168"/>
      <c r="HQ359" s="168"/>
      <c r="HR359" s="168"/>
      <c r="HS359" s="168"/>
      <c r="HT359" s="168"/>
      <c r="HU359" s="168"/>
      <c r="HV359" s="168"/>
      <c r="HW359" s="168"/>
      <c r="HX359" s="168"/>
      <c r="HY359" s="168"/>
      <c r="HZ359" s="168"/>
      <c r="IA359" s="168"/>
      <c r="IB359" s="168"/>
      <c r="IC359" s="168"/>
      <c r="ID359" s="168"/>
      <c r="IE359" s="168"/>
      <c r="IF359" s="168"/>
      <c r="IG359" s="168"/>
      <c r="IH359" s="168"/>
      <c r="II359" s="168"/>
      <c r="IJ359" s="168"/>
      <c r="IK359" s="168"/>
      <c r="IL359" s="168"/>
      <c r="IM359" s="168"/>
      <c r="IN359" s="168"/>
      <c r="IO359" s="168"/>
      <c r="IP359" s="168"/>
      <c r="IQ359" s="168"/>
      <c r="IR359" s="168"/>
      <c r="IS359" s="168"/>
      <c r="IT359" s="168"/>
      <c r="IU359" s="168"/>
      <c r="IV359" s="168"/>
      <c r="IW359" s="168"/>
      <c r="IX359" s="168"/>
      <c r="IY359" s="168"/>
      <c r="IZ359" s="168"/>
      <c r="JA359" s="168"/>
      <c r="JB359" s="168"/>
      <c r="JC359" s="168"/>
      <c r="JD359" s="168"/>
      <c r="JE359" s="168"/>
      <c r="JF359" s="168"/>
      <c r="JG359" s="168"/>
      <c r="JH359" s="168"/>
      <c r="JI359" s="168"/>
      <c r="JJ359" s="168"/>
      <c r="JK359" s="168"/>
      <c r="JL359" s="168"/>
      <c r="JM359" s="168"/>
      <c r="JN359" s="168"/>
      <c r="JO359" s="168"/>
      <c r="JP359" s="168"/>
      <c r="JQ359" s="168"/>
      <c r="JR359" s="168"/>
      <c r="JS359" s="168"/>
      <c r="JT359" s="168"/>
      <c r="JU359" s="168"/>
      <c r="JV359" s="168"/>
      <c r="JW359" s="168"/>
      <c r="JX359" s="168"/>
      <c r="JY359" s="168"/>
      <c r="JZ359" s="168"/>
      <c r="KA359" s="168"/>
      <c r="KB359" s="168"/>
      <c r="KC359" s="168"/>
      <c r="KD359" s="168"/>
      <c r="KE359" s="168"/>
      <c r="KF359" s="168"/>
      <c r="KG359" s="168"/>
      <c r="KH359" s="168"/>
      <c r="KI359" s="168"/>
      <c r="KJ359" s="168"/>
      <c r="KK359" s="168"/>
      <c r="KL359" s="168"/>
      <c r="KM359" s="168"/>
      <c r="KN359" s="168"/>
      <c r="KO359" s="168"/>
      <c r="KP359" s="168"/>
      <c r="KQ359" s="168"/>
      <c r="KR359" s="168"/>
      <c r="KS359" s="168"/>
      <c r="KT359" s="168"/>
      <c r="KU359" s="168"/>
      <c r="KV359" s="168"/>
      <c r="KW359" s="168"/>
      <c r="KX359" s="168"/>
      <c r="KY359" s="168"/>
      <c r="KZ359" s="168"/>
      <c r="LA359" s="168"/>
      <c r="LB359" s="168"/>
      <c r="LC359" s="168"/>
      <c r="LD359" s="168"/>
      <c r="LE359" s="168"/>
      <c r="LF359" s="168"/>
      <c r="LG359" s="168"/>
      <c r="LH359" s="168"/>
      <c r="LI359" s="168"/>
      <c r="LJ359" s="168"/>
      <c r="LK359" s="168"/>
      <c r="LL359" s="168"/>
      <c r="LM359" s="168"/>
      <c r="LN359" s="168"/>
      <c r="LO359" s="168"/>
      <c r="LP359" s="606"/>
      <c r="LQ359" s="609"/>
      <c r="LR359" s="1319"/>
      <c r="LS359" s="1319"/>
    </row>
    <row r="360" spans="1:331" s="2" customFormat="1" ht="15" customHeight="1" x14ac:dyDescent="0.25">
      <c r="A360" s="283"/>
      <c r="B360" s="303"/>
      <c r="C360" s="301"/>
      <c r="D360" s="1287"/>
      <c r="E360" s="2298"/>
      <c r="F360" s="1812"/>
      <c r="G360" s="3342"/>
      <c r="H360" s="66"/>
      <c r="I360" s="1746"/>
      <c r="J360" s="1214"/>
      <c r="K360" s="105"/>
      <c r="L360" s="91"/>
      <c r="M360" s="92"/>
      <c r="N360" s="93"/>
      <c r="O360" s="94"/>
      <c r="P360" s="94"/>
      <c r="Q360" s="97"/>
      <c r="R360" s="993">
        <f t="shared" si="1147"/>
        <v>0</v>
      </c>
      <c r="S360" s="23">
        <f t="shared" si="1148"/>
        <v>0</v>
      </c>
      <c r="T360" s="24">
        <f t="shared" si="1159"/>
        <v>0</v>
      </c>
      <c r="U360" s="24">
        <f t="shared" si="1160"/>
        <v>0</v>
      </c>
      <c r="V360" s="24">
        <f t="shared" si="1161"/>
        <v>0</v>
      </c>
      <c r="W360" s="24">
        <f t="shared" ca="1" si="1162"/>
        <v>0</v>
      </c>
      <c r="X360" s="72">
        <f t="shared" ca="1" si="1119"/>
        <v>0</v>
      </c>
      <c r="Y360" s="72">
        <f t="shared" si="1163"/>
        <v>0</v>
      </c>
      <c r="Z360" s="24">
        <f t="shared" si="1164"/>
        <v>0</v>
      </c>
      <c r="AA360" s="72">
        <f t="shared" si="1120"/>
        <v>0</v>
      </c>
      <c r="AB360" s="24">
        <f t="shared" si="1131"/>
        <v>0</v>
      </c>
      <c r="AC360" s="24">
        <f t="shared" ca="1" si="1165"/>
        <v>0</v>
      </c>
      <c r="AD360" s="24">
        <f t="shared" si="1049"/>
        <v>0</v>
      </c>
      <c r="AE360" s="2078">
        <f t="shared" si="1207"/>
        <v>3</v>
      </c>
      <c r="AF360" s="2078">
        <f t="shared" si="1208"/>
        <v>0</v>
      </c>
      <c r="AG360" s="2078">
        <f t="shared" si="1209"/>
        <v>0</v>
      </c>
      <c r="AH360" s="2521">
        <f t="shared" si="1050"/>
        <v>1</v>
      </c>
      <c r="AI360" s="25" t="str">
        <f t="shared" si="1166"/>
        <v/>
      </c>
      <c r="AJ360" s="2521">
        <f t="shared" ca="1" si="1045"/>
        <v>0</v>
      </c>
      <c r="AK360" s="2076">
        <f t="shared" ca="1" si="1041"/>
        <v>0</v>
      </c>
      <c r="AL360" s="2078">
        <f>IF(ISBLANK(J360),0,ISERROR(MATCH(J360,'5  Control Accounts'!$FA$29:$FA$96,0))*1)</f>
        <v>0</v>
      </c>
      <c r="AM360" s="2076">
        <f t="shared" si="1167"/>
        <v>0</v>
      </c>
      <c r="AN360" s="2078">
        <f t="shared" si="1168"/>
        <v>1</v>
      </c>
      <c r="AO360" s="2079">
        <f t="shared" si="1051"/>
        <v>1</v>
      </c>
      <c r="AP360" s="2079">
        <f t="shared" si="1052"/>
        <v>0</v>
      </c>
      <c r="AQ360" s="2079">
        <f t="shared" si="1053"/>
        <v>0</v>
      </c>
      <c r="AR360" s="2079">
        <f t="shared" si="1054"/>
        <v>0</v>
      </c>
      <c r="AS360" s="2079">
        <f t="shared" si="1055"/>
        <v>0</v>
      </c>
      <c r="AT360" s="2079">
        <f t="shared" si="1056"/>
        <v>0</v>
      </c>
      <c r="AU360" s="2079">
        <f t="shared" si="1057"/>
        <v>0</v>
      </c>
      <c r="AV360" s="2079">
        <f t="shared" si="1058"/>
        <v>0</v>
      </c>
      <c r="AW360" s="2079">
        <f t="shared" si="1059"/>
        <v>0</v>
      </c>
      <c r="AX360" s="2079">
        <f t="shared" si="1060"/>
        <v>0</v>
      </c>
      <c r="AY360" s="2078">
        <f t="shared" si="1169"/>
        <v>0</v>
      </c>
      <c r="AZ360" s="2078">
        <f t="shared" si="1170"/>
        <v>0</v>
      </c>
      <c r="BA360" s="2078">
        <f t="shared" si="1171"/>
        <v>0</v>
      </c>
      <c r="BB360" s="2078">
        <f t="shared" si="1172"/>
        <v>0</v>
      </c>
      <c r="BC360" s="2078">
        <f t="shared" si="1173"/>
        <v>0</v>
      </c>
      <c r="BD360" s="2078">
        <f t="shared" si="1174"/>
        <v>0</v>
      </c>
      <c r="BE360" s="2078">
        <f t="shared" si="1175"/>
        <v>0</v>
      </c>
      <c r="BF360" s="2078">
        <f t="shared" si="1176"/>
        <v>0</v>
      </c>
      <c r="BG360" s="2078">
        <f t="shared" si="1177"/>
        <v>0</v>
      </c>
      <c r="BH360" s="2078">
        <f t="shared" si="1178"/>
        <v>0</v>
      </c>
      <c r="BI360" s="2078">
        <f t="shared" si="1179"/>
        <v>0</v>
      </c>
      <c r="BJ360" s="2078">
        <f t="shared" si="1180"/>
        <v>0</v>
      </c>
      <c r="BK360" s="2078">
        <f t="shared" si="1181"/>
        <v>0</v>
      </c>
      <c r="BL360" s="2078">
        <f t="shared" si="1182"/>
        <v>0</v>
      </c>
      <c r="BM360" s="2078">
        <f t="shared" si="1183"/>
        <v>0</v>
      </c>
      <c r="BN360" s="2078">
        <f t="shared" si="1184"/>
        <v>0</v>
      </c>
      <c r="BO360" s="2078">
        <f t="shared" si="1185"/>
        <v>0</v>
      </c>
      <c r="BP360" s="2078">
        <f t="shared" si="1186"/>
        <v>0</v>
      </c>
      <c r="BQ360" s="2078">
        <f t="shared" si="1187"/>
        <v>0</v>
      </c>
      <c r="BR360" s="2078">
        <f t="shared" si="1188"/>
        <v>0</v>
      </c>
      <c r="BS360" s="2079">
        <f t="shared" si="1061"/>
        <v>1</v>
      </c>
      <c r="BT360" s="2079">
        <f t="shared" si="1062"/>
        <v>0</v>
      </c>
      <c r="BU360" s="2079">
        <f t="shared" si="1063"/>
        <v>0</v>
      </c>
      <c r="BV360" s="2079">
        <f t="shared" si="1064"/>
        <v>0</v>
      </c>
      <c r="BW360" s="2079">
        <f t="shared" si="1065"/>
        <v>0</v>
      </c>
      <c r="BX360" s="2079">
        <f t="shared" si="1066"/>
        <v>0</v>
      </c>
      <c r="BY360" s="2079">
        <f t="shared" si="1067"/>
        <v>0</v>
      </c>
      <c r="BZ360" s="2079">
        <f t="shared" si="1068"/>
        <v>0</v>
      </c>
      <c r="CA360" s="2079">
        <f t="shared" si="1069"/>
        <v>0</v>
      </c>
      <c r="CB360" s="2079">
        <f t="shared" si="1070"/>
        <v>0</v>
      </c>
      <c r="CC360" s="2078">
        <f t="shared" ca="1" si="1189"/>
        <v>0</v>
      </c>
      <c r="CD360" s="2078">
        <f t="shared" ca="1" si="1190"/>
        <v>0</v>
      </c>
      <c r="CE360" s="2078">
        <f t="shared" ca="1" si="1191"/>
        <v>0</v>
      </c>
      <c r="CF360" s="2078">
        <f t="shared" ca="1" si="1192"/>
        <v>0</v>
      </c>
      <c r="CG360" s="2078">
        <f t="shared" ca="1" si="1193"/>
        <v>0</v>
      </c>
      <c r="CH360" s="2078">
        <f t="shared" ca="1" si="1194"/>
        <v>0</v>
      </c>
      <c r="CI360" s="2078">
        <f t="shared" ca="1" si="1195"/>
        <v>0</v>
      </c>
      <c r="CJ360" s="2078">
        <f t="shared" ca="1" si="1196"/>
        <v>0</v>
      </c>
      <c r="CK360" s="2078">
        <f t="shared" ca="1" si="1197"/>
        <v>0</v>
      </c>
      <c r="CL360" s="2078">
        <f t="shared" ca="1" si="1198"/>
        <v>0</v>
      </c>
      <c r="CM360" s="2078">
        <f t="shared" si="1132"/>
        <v>1</v>
      </c>
      <c r="CN360" s="2078">
        <f t="shared" si="1133"/>
        <v>1</v>
      </c>
      <c r="CO360" s="2078">
        <f t="shared" si="1121"/>
        <v>1</v>
      </c>
      <c r="CP360" s="2078">
        <f t="shared" si="1199"/>
        <v>1</v>
      </c>
      <c r="CQ360" s="2078">
        <f t="shared" si="1122"/>
        <v>0</v>
      </c>
      <c r="CR360" s="2078">
        <f t="shared" si="1042"/>
        <v>0</v>
      </c>
      <c r="CS360" s="2078">
        <f t="shared" si="1200"/>
        <v>0</v>
      </c>
      <c r="CT360" s="2078">
        <f t="shared" si="1123"/>
        <v>1</v>
      </c>
      <c r="CU360" s="2078">
        <f t="shared" si="1201"/>
        <v>1</v>
      </c>
      <c r="CV360" s="2078">
        <f t="shared" si="1134"/>
        <v>0</v>
      </c>
      <c r="CW360" s="2078">
        <f>IF(OR(AE360&lt;&gt;3,F360="Exclude"),0,IF(ISERROR(MATCH($E360,'4 Sign-off'!$S$123:$X$123,0)),0,1))</f>
        <v>0</v>
      </c>
      <c r="CX360" s="2078">
        <f t="shared" si="1154"/>
        <v>0</v>
      </c>
      <c r="CY360" s="2078">
        <f t="shared" si="1135"/>
        <v>0</v>
      </c>
      <c r="CZ360" s="2993">
        <f t="shared" ca="1" si="1149"/>
        <v>0</v>
      </c>
      <c r="DA360" s="3037">
        <f t="shared" ca="1" si="1150"/>
        <v>0</v>
      </c>
      <c r="DB360" s="1664"/>
      <c r="DC360" s="1320"/>
      <c r="DD360" s="589"/>
      <c r="DE360" s="1321"/>
      <c r="DF360" s="107"/>
      <c r="DG360" s="112"/>
      <c r="DH360" s="140"/>
      <c r="DI360" s="22"/>
      <c r="DJ360" s="145"/>
      <c r="DK360" s="137"/>
      <c r="DL360" s="137"/>
      <c r="DM360" s="137"/>
      <c r="DN360" s="137"/>
      <c r="DO360" s="137"/>
      <c r="DP360" s="137"/>
      <c r="DQ360" s="137"/>
      <c r="DR360" s="137"/>
      <c r="DS360" s="137"/>
      <c r="DT360" s="137"/>
      <c r="DU360" s="137"/>
      <c r="DV360" s="137"/>
      <c r="DW360" s="137"/>
      <c r="DX360" s="137"/>
      <c r="DY360" s="137"/>
      <c r="DZ360" s="137"/>
      <c r="EA360" s="137"/>
      <c r="EB360" s="137"/>
      <c r="EC360" s="137"/>
      <c r="ED360" s="137"/>
      <c r="EE360" s="137"/>
      <c r="EF360" s="137"/>
      <c r="EG360" s="137"/>
      <c r="EH360" s="137"/>
      <c r="EI360" s="137"/>
      <c r="EJ360" s="137"/>
      <c r="EK360" s="137"/>
      <c r="EL360" s="137"/>
      <c r="EM360" s="137"/>
      <c r="EN360" s="137"/>
      <c r="EO360" s="137"/>
      <c r="EP360" s="137"/>
      <c r="EQ360" s="137"/>
      <c r="ER360" s="137"/>
      <c r="ES360" s="137"/>
      <c r="ET360" s="137"/>
      <c r="EU360" s="137"/>
      <c r="EV360" s="137"/>
      <c r="EW360" s="137"/>
      <c r="EX360" s="137"/>
      <c r="EY360" s="137"/>
      <c r="EZ360" s="137"/>
      <c r="FA360" s="137"/>
      <c r="FB360" s="137"/>
      <c r="FC360" s="137"/>
      <c r="FD360" s="137"/>
      <c r="FE360" s="137"/>
      <c r="FF360" s="137"/>
      <c r="FG360" s="860"/>
      <c r="FH360" s="863"/>
      <c r="FI360" s="1318"/>
      <c r="FJ360" s="126"/>
      <c r="FK360" s="127"/>
      <c r="FL360" s="128" t="str">
        <f t="shared" si="1202"/>
        <v xml:space="preserve">    </v>
      </c>
      <c r="FM360" s="128"/>
      <c r="FN360" s="1686">
        <f t="shared" si="1203"/>
        <v>0</v>
      </c>
      <c r="FO360" s="46">
        <f t="shared" si="1136"/>
        <v>0</v>
      </c>
      <c r="FP360" s="46">
        <f t="shared" si="1216"/>
        <v>1</v>
      </c>
      <c r="FQ360" s="75">
        <f t="shared" si="1204"/>
        <v>0</v>
      </c>
      <c r="FR360" s="46">
        <f t="shared" si="1214"/>
        <v>0</v>
      </c>
      <c r="FS360" s="46">
        <f t="shared" si="1213"/>
        <v>1</v>
      </c>
      <c r="FT360" s="75">
        <f t="shared" si="1205"/>
        <v>0</v>
      </c>
      <c r="FU360" s="2603">
        <f t="shared" si="1137"/>
        <v>0</v>
      </c>
      <c r="FV360" s="2607">
        <f t="shared" si="1138"/>
        <v>0</v>
      </c>
      <c r="FW360" s="2603">
        <f t="shared" si="1139"/>
        <v>0</v>
      </c>
      <c r="FX360" s="2631">
        <f t="shared" si="1140"/>
        <v>0</v>
      </c>
      <c r="FY360" s="81" t="e">
        <f t="shared" si="1211"/>
        <v>#N/A</v>
      </c>
      <c r="FZ360" s="64" t="e">
        <f t="array" ref="FZ360">MATCH(1,($GT360:$LQ360&gt;0)*$GT$25:$LQ$25,0)</f>
        <v>#N/A</v>
      </c>
      <c r="GA360" s="64" t="e">
        <f t="array" ref="GA360">MATCH(2,1/(GT360:LQ360&gt;0))</f>
        <v>#N/A</v>
      </c>
      <c r="GB360" s="64">
        <f t="shared" si="1206"/>
        <v>-1</v>
      </c>
      <c r="GC360" s="46"/>
      <c r="GD360" s="613"/>
      <c r="GE360" s="613"/>
      <c r="GF360" s="613"/>
      <c r="GG360" s="613"/>
      <c r="GH360" s="613"/>
      <c r="GI360" s="613"/>
      <c r="GJ360" s="613"/>
      <c r="GK360" s="613"/>
      <c r="GL360" s="613"/>
      <c r="GM360" s="613"/>
      <c r="GN360" s="385">
        <f t="shared" si="1157"/>
        <v>0</v>
      </c>
      <c r="GO360" s="386">
        <f t="shared" si="1158"/>
        <v>0</v>
      </c>
      <c r="GP360" s="2635"/>
      <c r="GQ360" s="175"/>
      <c r="GR360" s="172"/>
      <c r="GS360" s="65"/>
      <c r="GT360" s="167"/>
      <c r="GU360" s="168"/>
      <c r="GV360" s="168"/>
      <c r="GW360" s="168"/>
      <c r="GX360" s="168"/>
      <c r="GY360" s="168"/>
      <c r="GZ360" s="168"/>
      <c r="HA360" s="168"/>
      <c r="HB360" s="168"/>
      <c r="HC360" s="168"/>
      <c r="HD360" s="168"/>
      <c r="HE360" s="168"/>
      <c r="HF360" s="168"/>
      <c r="HG360" s="168"/>
      <c r="HH360" s="168"/>
      <c r="HI360" s="168"/>
      <c r="HJ360" s="168"/>
      <c r="HK360" s="168"/>
      <c r="HL360" s="168"/>
      <c r="HM360" s="168"/>
      <c r="HN360" s="168"/>
      <c r="HO360" s="168"/>
      <c r="HP360" s="168"/>
      <c r="HQ360" s="168"/>
      <c r="HR360" s="168"/>
      <c r="HS360" s="168"/>
      <c r="HT360" s="168"/>
      <c r="HU360" s="168"/>
      <c r="HV360" s="168"/>
      <c r="HW360" s="168"/>
      <c r="HX360" s="168"/>
      <c r="HY360" s="168"/>
      <c r="HZ360" s="168"/>
      <c r="IA360" s="168"/>
      <c r="IB360" s="168"/>
      <c r="IC360" s="168"/>
      <c r="ID360" s="168"/>
      <c r="IE360" s="168"/>
      <c r="IF360" s="168"/>
      <c r="IG360" s="168"/>
      <c r="IH360" s="168"/>
      <c r="II360" s="168"/>
      <c r="IJ360" s="168"/>
      <c r="IK360" s="168"/>
      <c r="IL360" s="168"/>
      <c r="IM360" s="168"/>
      <c r="IN360" s="168"/>
      <c r="IO360" s="168"/>
      <c r="IP360" s="168"/>
      <c r="IQ360" s="168"/>
      <c r="IR360" s="168"/>
      <c r="IS360" s="168"/>
      <c r="IT360" s="168"/>
      <c r="IU360" s="168"/>
      <c r="IV360" s="168"/>
      <c r="IW360" s="168"/>
      <c r="IX360" s="168"/>
      <c r="IY360" s="168"/>
      <c r="IZ360" s="168"/>
      <c r="JA360" s="168"/>
      <c r="JB360" s="168"/>
      <c r="JC360" s="168"/>
      <c r="JD360" s="168"/>
      <c r="JE360" s="168"/>
      <c r="JF360" s="168"/>
      <c r="JG360" s="168"/>
      <c r="JH360" s="168"/>
      <c r="JI360" s="168"/>
      <c r="JJ360" s="168"/>
      <c r="JK360" s="168"/>
      <c r="JL360" s="168"/>
      <c r="JM360" s="168"/>
      <c r="JN360" s="168"/>
      <c r="JO360" s="168"/>
      <c r="JP360" s="168"/>
      <c r="JQ360" s="168"/>
      <c r="JR360" s="168"/>
      <c r="JS360" s="168"/>
      <c r="JT360" s="168"/>
      <c r="JU360" s="168"/>
      <c r="JV360" s="168"/>
      <c r="JW360" s="168"/>
      <c r="JX360" s="168"/>
      <c r="JY360" s="168"/>
      <c r="JZ360" s="168"/>
      <c r="KA360" s="168"/>
      <c r="KB360" s="168"/>
      <c r="KC360" s="168"/>
      <c r="KD360" s="168"/>
      <c r="KE360" s="168"/>
      <c r="KF360" s="168"/>
      <c r="KG360" s="168"/>
      <c r="KH360" s="168"/>
      <c r="KI360" s="168"/>
      <c r="KJ360" s="168"/>
      <c r="KK360" s="168"/>
      <c r="KL360" s="168"/>
      <c r="KM360" s="168"/>
      <c r="KN360" s="168"/>
      <c r="KO360" s="168"/>
      <c r="KP360" s="168"/>
      <c r="KQ360" s="168"/>
      <c r="KR360" s="168"/>
      <c r="KS360" s="168"/>
      <c r="KT360" s="168"/>
      <c r="KU360" s="168"/>
      <c r="KV360" s="168"/>
      <c r="KW360" s="168"/>
      <c r="KX360" s="168"/>
      <c r="KY360" s="168"/>
      <c r="KZ360" s="168"/>
      <c r="LA360" s="168"/>
      <c r="LB360" s="168"/>
      <c r="LC360" s="168"/>
      <c r="LD360" s="168"/>
      <c r="LE360" s="168"/>
      <c r="LF360" s="168"/>
      <c r="LG360" s="168"/>
      <c r="LH360" s="168"/>
      <c r="LI360" s="168"/>
      <c r="LJ360" s="168"/>
      <c r="LK360" s="168"/>
      <c r="LL360" s="168"/>
      <c r="LM360" s="168"/>
      <c r="LN360" s="168"/>
      <c r="LO360" s="168"/>
      <c r="LP360" s="606"/>
      <c r="LQ360" s="609"/>
      <c r="LR360" s="1319"/>
      <c r="LS360" s="1319"/>
    </row>
    <row r="361" spans="1:331" s="2" customFormat="1" ht="15" customHeight="1" x14ac:dyDescent="0.25">
      <c r="A361" s="283"/>
      <c r="B361" s="303"/>
      <c r="C361" s="301"/>
      <c r="D361" s="1287"/>
      <c r="E361" s="2298"/>
      <c r="F361" s="1812"/>
      <c r="G361" s="3342"/>
      <c r="H361" s="66"/>
      <c r="I361" s="1746"/>
      <c r="J361" s="1214"/>
      <c r="K361" s="105"/>
      <c r="L361" s="91"/>
      <c r="M361" s="92"/>
      <c r="N361" s="93"/>
      <c r="O361" s="94"/>
      <c r="P361" s="94"/>
      <c r="Q361" s="97"/>
      <c r="R361" s="993">
        <f t="shared" si="1147"/>
        <v>0</v>
      </c>
      <c r="S361" s="23">
        <f t="shared" si="1148"/>
        <v>0</v>
      </c>
      <c r="T361" s="24">
        <f t="shared" si="1159"/>
        <v>0</v>
      </c>
      <c r="U361" s="24">
        <f t="shared" si="1160"/>
        <v>0</v>
      </c>
      <c r="V361" s="24">
        <f t="shared" si="1161"/>
        <v>0</v>
      </c>
      <c r="W361" s="24">
        <f t="shared" ca="1" si="1162"/>
        <v>0</v>
      </c>
      <c r="X361" s="72">
        <f t="shared" ca="1" si="1119"/>
        <v>0</v>
      </c>
      <c r="Y361" s="72">
        <f t="shared" si="1163"/>
        <v>0</v>
      </c>
      <c r="Z361" s="24">
        <f t="shared" si="1164"/>
        <v>0</v>
      </c>
      <c r="AA361" s="72">
        <f t="shared" si="1120"/>
        <v>0</v>
      </c>
      <c r="AB361" s="24">
        <f t="shared" si="1131"/>
        <v>0</v>
      </c>
      <c r="AC361" s="24">
        <f t="shared" ca="1" si="1165"/>
        <v>0</v>
      </c>
      <c r="AD361" s="24">
        <f t="shared" si="1049"/>
        <v>0</v>
      </c>
      <c r="AE361" s="2078">
        <f t="shared" si="1207"/>
        <v>3</v>
      </c>
      <c r="AF361" s="2078">
        <f t="shared" si="1208"/>
        <v>0</v>
      </c>
      <c r="AG361" s="2078">
        <f t="shared" si="1209"/>
        <v>0</v>
      </c>
      <c r="AH361" s="2521">
        <f t="shared" si="1050"/>
        <v>1</v>
      </c>
      <c r="AI361" s="25" t="str">
        <f t="shared" si="1166"/>
        <v/>
      </c>
      <c r="AJ361" s="2521">
        <f t="shared" ca="1" si="1045"/>
        <v>0</v>
      </c>
      <c r="AK361" s="2076">
        <f t="shared" ca="1" si="1041"/>
        <v>0</v>
      </c>
      <c r="AL361" s="2078">
        <f>IF(ISBLANK(J361),0,ISERROR(MATCH(J361,'5  Control Accounts'!$FA$29:$FA$96,0))*1)</f>
        <v>0</v>
      </c>
      <c r="AM361" s="2076">
        <f t="shared" si="1167"/>
        <v>0</v>
      </c>
      <c r="AN361" s="2078">
        <f t="shared" si="1168"/>
        <v>1</v>
      </c>
      <c r="AO361" s="2079">
        <f t="shared" si="1051"/>
        <v>1</v>
      </c>
      <c r="AP361" s="2079">
        <f t="shared" si="1052"/>
        <v>0</v>
      </c>
      <c r="AQ361" s="2079">
        <f t="shared" si="1053"/>
        <v>0</v>
      </c>
      <c r="AR361" s="2079">
        <f t="shared" si="1054"/>
        <v>0</v>
      </c>
      <c r="AS361" s="2079">
        <f t="shared" si="1055"/>
        <v>0</v>
      </c>
      <c r="AT361" s="2079">
        <f t="shared" si="1056"/>
        <v>0</v>
      </c>
      <c r="AU361" s="2079">
        <f t="shared" si="1057"/>
        <v>0</v>
      </c>
      <c r="AV361" s="2079">
        <f t="shared" si="1058"/>
        <v>0</v>
      </c>
      <c r="AW361" s="2079">
        <f t="shared" si="1059"/>
        <v>0</v>
      </c>
      <c r="AX361" s="2079">
        <f t="shared" si="1060"/>
        <v>0</v>
      </c>
      <c r="AY361" s="2078">
        <f t="shared" si="1169"/>
        <v>0</v>
      </c>
      <c r="AZ361" s="2078">
        <f t="shared" si="1170"/>
        <v>0</v>
      </c>
      <c r="BA361" s="2078">
        <f t="shared" si="1171"/>
        <v>0</v>
      </c>
      <c r="BB361" s="2078">
        <f t="shared" si="1172"/>
        <v>0</v>
      </c>
      <c r="BC361" s="2078">
        <f t="shared" si="1173"/>
        <v>0</v>
      </c>
      <c r="BD361" s="2078">
        <f t="shared" si="1174"/>
        <v>0</v>
      </c>
      <c r="BE361" s="2078">
        <f t="shared" si="1175"/>
        <v>0</v>
      </c>
      <c r="BF361" s="2078">
        <f t="shared" si="1176"/>
        <v>0</v>
      </c>
      <c r="BG361" s="2078">
        <f t="shared" si="1177"/>
        <v>0</v>
      </c>
      <c r="BH361" s="2078">
        <f t="shared" si="1178"/>
        <v>0</v>
      </c>
      <c r="BI361" s="2078">
        <f t="shared" si="1179"/>
        <v>0</v>
      </c>
      <c r="BJ361" s="2078">
        <f t="shared" si="1180"/>
        <v>0</v>
      </c>
      <c r="BK361" s="2078">
        <f t="shared" si="1181"/>
        <v>0</v>
      </c>
      <c r="BL361" s="2078">
        <f t="shared" si="1182"/>
        <v>0</v>
      </c>
      <c r="BM361" s="2078">
        <f t="shared" si="1183"/>
        <v>0</v>
      </c>
      <c r="BN361" s="2078">
        <f t="shared" si="1184"/>
        <v>0</v>
      </c>
      <c r="BO361" s="2078">
        <f t="shared" si="1185"/>
        <v>0</v>
      </c>
      <c r="BP361" s="2078">
        <f t="shared" si="1186"/>
        <v>0</v>
      </c>
      <c r="BQ361" s="2078">
        <f t="shared" si="1187"/>
        <v>0</v>
      </c>
      <c r="BR361" s="2078">
        <f t="shared" si="1188"/>
        <v>0</v>
      </c>
      <c r="BS361" s="2079">
        <f t="shared" si="1061"/>
        <v>1</v>
      </c>
      <c r="BT361" s="2079">
        <f t="shared" si="1062"/>
        <v>0</v>
      </c>
      <c r="BU361" s="2079">
        <f t="shared" si="1063"/>
        <v>0</v>
      </c>
      <c r="BV361" s="2079">
        <f t="shared" si="1064"/>
        <v>0</v>
      </c>
      <c r="BW361" s="2079">
        <f t="shared" si="1065"/>
        <v>0</v>
      </c>
      <c r="BX361" s="2079">
        <f t="shared" si="1066"/>
        <v>0</v>
      </c>
      <c r="BY361" s="2079">
        <f t="shared" si="1067"/>
        <v>0</v>
      </c>
      <c r="BZ361" s="2079">
        <f t="shared" si="1068"/>
        <v>0</v>
      </c>
      <c r="CA361" s="2079">
        <f t="shared" si="1069"/>
        <v>0</v>
      </c>
      <c r="CB361" s="2079">
        <f t="shared" si="1070"/>
        <v>0</v>
      </c>
      <c r="CC361" s="2078">
        <f t="shared" ca="1" si="1189"/>
        <v>0</v>
      </c>
      <c r="CD361" s="2078">
        <f t="shared" ca="1" si="1190"/>
        <v>0</v>
      </c>
      <c r="CE361" s="2078">
        <f t="shared" ca="1" si="1191"/>
        <v>0</v>
      </c>
      <c r="CF361" s="2078">
        <f t="shared" ca="1" si="1192"/>
        <v>0</v>
      </c>
      <c r="CG361" s="2078">
        <f t="shared" ca="1" si="1193"/>
        <v>0</v>
      </c>
      <c r="CH361" s="2078">
        <f t="shared" ca="1" si="1194"/>
        <v>0</v>
      </c>
      <c r="CI361" s="2078">
        <f t="shared" ca="1" si="1195"/>
        <v>0</v>
      </c>
      <c r="CJ361" s="2078">
        <f t="shared" ca="1" si="1196"/>
        <v>0</v>
      </c>
      <c r="CK361" s="2078">
        <f t="shared" ca="1" si="1197"/>
        <v>0</v>
      </c>
      <c r="CL361" s="2078">
        <f t="shared" ca="1" si="1198"/>
        <v>0</v>
      </c>
      <c r="CM361" s="2078">
        <f t="shared" si="1132"/>
        <v>1</v>
      </c>
      <c r="CN361" s="2078">
        <f t="shared" si="1133"/>
        <v>1</v>
      </c>
      <c r="CO361" s="2078">
        <f t="shared" si="1121"/>
        <v>1</v>
      </c>
      <c r="CP361" s="2078">
        <f t="shared" si="1199"/>
        <v>1</v>
      </c>
      <c r="CQ361" s="2078">
        <f t="shared" si="1122"/>
        <v>0</v>
      </c>
      <c r="CR361" s="2078">
        <f t="shared" si="1042"/>
        <v>0</v>
      </c>
      <c r="CS361" s="2078">
        <f t="shared" si="1200"/>
        <v>0</v>
      </c>
      <c r="CT361" s="2078">
        <f t="shared" si="1123"/>
        <v>1</v>
      </c>
      <c r="CU361" s="2078">
        <f t="shared" si="1201"/>
        <v>1</v>
      </c>
      <c r="CV361" s="2078">
        <f t="shared" si="1134"/>
        <v>0</v>
      </c>
      <c r="CW361" s="2078">
        <f>IF(OR(AE361&lt;&gt;3,F361="Exclude"),0,IF(ISERROR(MATCH($E361,'4 Sign-off'!$S$123:$X$123,0)),0,1))</f>
        <v>0</v>
      </c>
      <c r="CX361" s="2078">
        <f t="shared" si="1154"/>
        <v>0</v>
      </c>
      <c r="CY361" s="2078">
        <f t="shared" si="1135"/>
        <v>0</v>
      </c>
      <c r="CZ361" s="2993">
        <f t="shared" ca="1" si="1149"/>
        <v>0</v>
      </c>
      <c r="DA361" s="3037">
        <f t="shared" ca="1" si="1150"/>
        <v>0</v>
      </c>
      <c r="DB361" s="1664"/>
      <c r="DC361" s="1320"/>
      <c r="DD361" s="589"/>
      <c r="DE361" s="1321"/>
      <c r="DF361" s="107"/>
      <c r="DG361" s="112"/>
      <c r="DH361" s="140"/>
      <c r="DI361" s="22"/>
      <c r="DJ361" s="145"/>
      <c r="DK361" s="137"/>
      <c r="DL361" s="137"/>
      <c r="DM361" s="137"/>
      <c r="DN361" s="137"/>
      <c r="DO361" s="137"/>
      <c r="DP361" s="137"/>
      <c r="DQ361" s="137"/>
      <c r="DR361" s="137"/>
      <c r="DS361" s="137"/>
      <c r="DT361" s="137"/>
      <c r="DU361" s="137"/>
      <c r="DV361" s="137"/>
      <c r="DW361" s="137"/>
      <c r="DX361" s="137"/>
      <c r="DY361" s="137"/>
      <c r="DZ361" s="137"/>
      <c r="EA361" s="137"/>
      <c r="EB361" s="137"/>
      <c r="EC361" s="137"/>
      <c r="ED361" s="137"/>
      <c r="EE361" s="137"/>
      <c r="EF361" s="137"/>
      <c r="EG361" s="137"/>
      <c r="EH361" s="137"/>
      <c r="EI361" s="137"/>
      <c r="EJ361" s="137"/>
      <c r="EK361" s="137"/>
      <c r="EL361" s="137"/>
      <c r="EM361" s="137"/>
      <c r="EN361" s="137"/>
      <c r="EO361" s="137"/>
      <c r="EP361" s="137"/>
      <c r="EQ361" s="137"/>
      <c r="ER361" s="137"/>
      <c r="ES361" s="137"/>
      <c r="ET361" s="137"/>
      <c r="EU361" s="137"/>
      <c r="EV361" s="137"/>
      <c r="EW361" s="137"/>
      <c r="EX361" s="137"/>
      <c r="EY361" s="137"/>
      <c r="EZ361" s="137"/>
      <c r="FA361" s="137"/>
      <c r="FB361" s="137"/>
      <c r="FC361" s="137"/>
      <c r="FD361" s="137"/>
      <c r="FE361" s="137"/>
      <c r="FF361" s="137"/>
      <c r="FG361" s="860"/>
      <c r="FH361" s="863"/>
      <c r="FI361" s="1318"/>
      <c r="FJ361" s="126"/>
      <c r="FK361" s="127"/>
      <c r="FL361" s="128" t="str">
        <f t="shared" si="1202"/>
        <v xml:space="preserve">    </v>
      </c>
      <c r="FM361" s="128"/>
      <c r="FN361" s="1686">
        <f t="shared" si="1203"/>
        <v>0</v>
      </c>
      <c r="FO361" s="46">
        <f t="shared" si="1136"/>
        <v>0</v>
      </c>
      <c r="FP361" s="46">
        <f t="shared" si="1216"/>
        <v>1</v>
      </c>
      <c r="FQ361" s="75">
        <f t="shared" si="1204"/>
        <v>0</v>
      </c>
      <c r="FR361" s="46">
        <f t="shared" si="1214"/>
        <v>0</v>
      </c>
      <c r="FS361" s="46">
        <f t="shared" si="1213"/>
        <v>1</v>
      </c>
      <c r="FT361" s="75">
        <f t="shared" si="1205"/>
        <v>0</v>
      </c>
      <c r="FU361" s="2603">
        <f t="shared" si="1137"/>
        <v>0</v>
      </c>
      <c r="FV361" s="2607">
        <f t="shared" si="1138"/>
        <v>0</v>
      </c>
      <c r="FW361" s="2603">
        <f t="shared" si="1139"/>
        <v>0</v>
      </c>
      <c r="FX361" s="2631">
        <f t="shared" si="1140"/>
        <v>0</v>
      </c>
      <c r="FY361" s="81" t="e">
        <f t="shared" si="1211"/>
        <v>#N/A</v>
      </c>
      <c r="FZ361" s="64" t="e">
        <f t="array" ref="FZ361">MATCH(1,($GT361:$LQ361&gt;0)*$GT$25:$LQ$25,0)</f>
        <v>#N/A</v>
      </c>
      <c r="GA361" s="64" t="e">
        <f t="array" ref="GA361">MATCH(2,1/(GT361:LQ361&gt;0))</f>
        <v>#N/A</v>
      </c>
      <c r="GB361" s="64">
        <f t="shared" si="1206"/>
        <v>-1</v>
      </c>
      <c r="GC361" s="46"/>
      <c r="GD361" s="613"/>
      <c r="GE361" s="613"/>
      <c r="GF361" s="613"/>
      <c r="GG361" s="613"/>
      <c r="GH361" s="613"/>
      <c r="GI361" s="613"/>
      <c r="GJ361" s="613"/>
      <c r="GK361" s="613"/>
      <c r="GL361" s="613"/>
      <c r="GM361" s="613"/>
      <c r="GN361" s="385">
        <f t="shared" si="1157"/>
        <v>0</v>
      </c>
      <c r="GO361" s="386">
        <f t="shared" si="1158"/>
        <v>0</v>
      </c>
      <c r="GP361" s="2635"/>
      <c r="GQ361" s="175"/>
      <c r="GR361" s="172"/>
      <c r="GS361" s="65"/>
      <c r="GT361" s="167"/>
      <c r="GU361" s="168"/>
      <c r="GV361" s="168"/>
      <c r="GW361" s="168"/>
      <c r="GX361" s="168"/>
      <c r="GY361" s="168"/>
      <c r="GZ361" s="168"/>
      <c r="HA361" s="168"/>
      <c r="HB361" s="168"/>
      <c r="HC361" s="168"/>
      <c r="HD361" s="168"/>
      <c r="HE361" s="168"/>
      <c r="HF361" s="168"/>
      <c r="HG361" s="168"/>
      <c r="HH361" s="168"/>
      <c r="HI361" s="168"/>
      <c r="HJ361" s="168"/>
      <c r="HK361" s="168"/>
      <c r="HL361" s="168"/>
      <c r="HM361" s="168"/>
      <c r="HN361" s="168"/>
      <c r="HO361" s="168"/>
      <c r="HP361" s="168"/>
      <c r="HQ361" s="168"/>
      <c r="HR361" s="168"/>
      <c r="HS361" s="168"/>
      <c r="HT361" s="168"/>
      <c r="HU361" s="168"/>
      <c r="HV361" s="168"/>
      <c r="HW361" s="168"/>
      <c r="HX361" s="168"/>
      <c r="HY361" s="168"/>
      <c r="HZ361" s="168"/>
      <c r="IA361" s="168"/>
      <c r="IB361" s="168"/>
      <c r="IC361" s="168"/>
      <c r="ID361" s="168"/>
      <c r="IE361" s="168"/>
      <c r="IF361" s="168"/>
      <c r="IG361" s="168"/>
      <c r="IH361" s="168"/>
      <c r="II361" s="168"/>
      <c r="IJ361" s="168"/>
      <c r="IK361" s="168"/>
      <c r="IL361" s="168"/>
      <c r="IM361" s="168"/>
      <c r="IN361" s="168"/>
      <c r="IO361" s="168"/>
      <c r="IP361" s="168"/>
      <c r="IQ361" s="168"/>
      <c r="IR361" s="168"/>
      <c r="IS361" s="168"/>
      <c r="IT361" s="168"/>
      <c r="IU361" s="168"/>
      <c r="IV361" s="168"/>
      <c r="IW361" s="168"/>
      <c r="IX361" s="168"/>
      <c r="IY361" s="168"/>
      <c r="IZ361" s="168"/>
      <c r="JA361" s="168"/>
      <c r="JB361" s="168"/>
      <c r="JC361" s="168"/>
      <c r="JD361" s="168"/>
      <c r="JE361" s="168"/>
      <c r="JF361" s="168"/>
      <c r="JG361" s="168"/>
      <c r="JH361" s="168"/>
      <c r="JI361" s="168"/>
      <c r="JJ361" s="168"/>
      <c r="JK361" s="168"/>
      <c r="JL361" s="168"/>
      <c r="JM361" s="168"/>
      <c r="JN361" s="168"/>
      <c r="JO361" s="168"/>
      <c r="JP361" s="168"/>
      <c r="JQ361" s="168"/>
      <c r="JR361" s="168"/>
      <c r="JS361" s="168"/>
      <c r="JT361" s="168"/>
      <c r="JU361" s="168"/>
      <c r="JV361" s="168"/>
      <c r="JW361" s="168"/>
      <c r="JX361" s="168"/>
      <c r="JY361" s="168"/>
      <c r="JZ361" s="168"/>
      <c r="KA361" s="168"/>
      <c r="KB361" s="168"/>
      <c r="KC361" s="168"/>
      <c r="KD361" s="168"/>
      <c r="KE361" s="168"/>
      <c r="KF361" s="168"/>
      <c r="KG361" s="168"/>
      <c r="KH361" s="168"/>
      <c r="KI361" s="168"/>
      <c r="KJ361" s="168"/>
      <c r="KK361" s="168"/>
      <c r="KL361" s="168"/>
      <c r="KM361" s="168"/>
      <c r="KN361" s="168"/>
      <c r="KO361" s="168"/>
      <c r="KP361" s="168"/>
      <c r="KQ361" s="168"/>
      <c r="KR361" s="168"/>
      <c r="KS361" s="168"/>
      <c r="KT361" s="168"/>
      <c r="KU361" s="168"/>
      <c r="KV361" s="168"/>
      <c r="KW361" s="168"/>
      <c r="KX361" s="168"/>
      <c r="KY361" s="168"/>
      <c r="KZ361" s="168"/>
      <c r="LA361" s="168"/>
      <c r="LB361" s="168"/>
      <c r="LC361" s="168"/>
      <c r="LD361" s="168"/>
      <c r="LE361" s="168"/>
      <c r="LF361" s="168"/>
      <c r="LG361" s="168"/>
      <c r="LH361" s="168"/>
      <c r="LI361" s="168"/>
      <c r="LJ361" s="168"/>
      <c r="LK361" s="168"/>
      <c r="LL361" s="168"/>
      <c r="LM361" s="168"/>
      <c r="LN361" s="168"/>
      <c r="LO361" s="168"/>
      <c r="LP361" s="606"/>
      <c r="LQ361" s="609"/>
      <c r="LR361" s="1319"/>
      <c r="LS361" s="1319"/>
    </row>
    <row r="362" spans="1:331" s="2" customFormat="1" ht="15" customHeight="1" x14ac:dyDescent="0.25">
      <c r="A362" s="283"/>
      <c r="B362" s="303"/>
      <c r="C362" s="301"/>
      <c r="D362" s="1287"/>
      <c r="E362" s="2298"/>
      <c r="F362" s="1812"/>
      <c r="G362" s="3342"/>
      <c r="H362" s="66"/>
      <c r="I362" s="1746"/>
      <c r="J362" s="1214"/>
      <c r="K362" s="105"/>
      <c r="L362" s="91"/>
      <c r="M362" s="92"/>
      <c r="N362" s="93"/>
      <c r="O362" s="94"/>
      <c r="P362" s="94"/>
      <c r="Q362" s="97"/>
      <c r="R362" s="993">
        <f t="shared" si="1147"/>
        <v>0</v>
      </c>
      <c r="S362" s="23">
        <f t="shared" si="1148"/>
        <v>0</v>
      </c>
      <c r="T362" s="24">
        <f t="shared" si="1159"/>
        <v>0</v>
      </c>
      <c r="U362" s="24">
        <f t="shared" si="1160"/>
        <v>0</v>
      </c>
      <c r="V362" s="24">
        <f t="shared" si="1161"/>
        <v>0</v>
      </c>
      <c r="W362" s="24">
        <f t="shared" ca="1" si="1162"/>
        <v>0</v>
      </c>
      <c r="X362" s="72">
        <f t="shared" ca="1" si="1119"/>
        <v>0</v>
      </c>
      <c r="Y362" s="72">
        <f t="shared" si="1163"/>
        <v>0</v>
      </c>
      <c r="Z362" s="24">
        <f t="shared" si="1164"/>
        <v>0</v>
      </c>
      <c r="AA362" s="72">
        <f t="shared" si="1120"/>
        <v>0</v>
      </c>
      <c r="AB362" s="24">
        <f t="shared" si="1131"/>
        <v>0</v>
      </c>
      <c r="AC362" s="24">
        <f t="shared" ca="1" si="1165"/>
        <v>0</v>
      </c>
      <c r="AD362" s="24">
        <f t="shared" si="1049"/>
        <v>0</v>
      </c>
      <c r="AE362" s="2078">
        <f t="shared" si="1207"/>
        <v>3</v>
      </c>
      <c r="AF362" s="2078">
        <f t="shared" si="1208"/>
        <v>0</v>
      </c>
      <c r="AG362" s="2078">
        <f t="shared" si="1209"/>
        <v>0</v>
      </c>
      <c r="AH362" s="2521">
        <f t="shared" si="1050"/>
        <v>1</v>
      </c>
      <c r="AI362" s="25" t="str">
        <f t="shared" si="1166"/>
        <v/>
      </c>
      <c r="AJ362" s="2521">
        <f t="shared" ca="1" si="1045"/>
        <v>0</v>
      </c>
      <c r="AK362" s="2076">
        <f t="shared" ca="1" si="1041"/>
        <v>0</v>
      </c>
      <c r="AL362" s="2078">
        <f>IF(ISBLANK(J362),0,ISERROR(MATCH(J362,'5  Control Accounts'!$FA$29:$FA$96,0))*1)</f>
        <v>0</v>
      </c>
      <c r="AM362" s="2076">
        <f t="shared" si="1167"/>
        <v>0</v>
      </c>
      <c r="AN362" s="2078">
        <f t="shared" si="1168"/>
        <v>1</v>
      </c>
      <c r="AO362" s="2079">
        <f t="shared" si="1051"/>
        <v>1</v>
      </c>
      <c r="AP362" s="2079">
        <f t="shared" si="1052"/>
        <v>0</v>
      </c>
      <c r="AQ362" s="2079">
        <f t="shared" si="1053"/>
        <v>0</v>
      </c>
      <c r="AR362" s="2079">
        <f t="shared" si="1054"/>
        <v>0</v>
      </c>
      <c r="AS362" s="2079">
        <f t="shared" si="1055"/>
        <v>0</v>
      </c>
      <c r="AT362" s="2079">
        <f t="shared" si="1056"/>
        <v>0</v>
      </c>
      <c r="AU362" s="2079">
        <f t="shared" si="1057"/>
        <v>0</v>
      </c>
      <c r="AV362" s="2079">
        <f t="shared" si="1058"/>
        <v>0</v>
      </c>
      <c r="AW362" s="2079">
        <f t="shared" si="1059"/>
        <v>0</v>
      </c>
      <c r="AX362" s="2079">
        <f t="shared" si="1060"/>
        <v>0</v>
      </c>
      <c r="AY362" s="2078">
        <f t="shared" si="1169"/>
        <v>0</v>
      </c>
      <c r="AZ362" s="2078">
        <f t="shared" si="1170"/>
        <v>0</v>
      </c>
      <c r="BA362" s="2078">
        <f t="shared" si="1171"/>
        <v>0</v>
      </c>
      <c r="BB362" s="2078">
        <f t="shared" si="1172"/>
        <v>0</v>
      </c>
      <c r="BC362" s="2078">
        <f t="shared" si="1173"/>
        <v>0</v>
      </c>
      <c r="BD362" s="2078">
        <f t="shared" si="1174"/>
        <v>0</v>
      </c>
      <c r="BE362" s="2078">
        <f t="shared" si="1175"/>
        <v>0</v>
      </c>
      <c r="BF362" s="2078">
        <f t="shared" si="1176"/>
        <v>0</v>
      </c>
      <c r="BG362" s="2078">
        <f t="shared" si="1177"/>
        <v>0</v>
      </c>
      <c r="BH362" s="2078">
        <f t="shared" si="1178"/>
        <v>0</v>
      </c>
      <c r="BI362" s="2078">
        <f t="shared" si="1179"/>
        <v>0</v>
      </c>
      <c r="BJ362" s="2078">
        <f t="shared" si="1180"/>
        <v>0</v>
      </c>
      <c r="BK362" s="2078">
        <f t="shared" si="1181"/>
        <v>0</v>
      </c>
      <c r="BL362" s="2078">
        <f t="shared" si="1182"/>
        <v>0</v>
      </c>
      <c r="BM362" s="2078">
        <f t="shared" si="1183"/>
        <v>0</v>
      </c>
      <c r="BN362" s="2078">
        <f t="shared" si="1184"/>
        <v>0</v>
      </c>
      <c r="BO362" s="2078">
        <f t="shared" si="1185"/>
        <v>0</v>
      </c>
      <c r="BP362" s="2078">
        <f t="shared" si="1186"/>
        <v>0</v>
      </c>
      <c r="BQ362" s="2078">
        <f t="shared" si="1187"/>
        <v>0</v>
      </c>
      <c r="BR362" s="2078">
        <f t="shared" si="1188"/>
        <v>0</v>
      </c>
      <c r="BS362" s="2079">
        <f t="shared" si="1061"/>
        <v>1</v>
      </c>
      <c r="BT362" s="2079">
        <f t="shared" si="1062"/>
        <v>0</v>
      </c>
      <c r="BU362" s="2079">
        <f t="shared" si="1063"/>
        <v>0</v>
      </c>
      <c r="BV362" s="2079">
        <f t="shared" si="1064"/>
        <v>0</v>
      </c>
      <c r="BW362" s="2079">
        <f t="shared" si="1065"/>
        <v>0</v>
      </c>
      <c r="BX362" s="2079">
        <f t="shared" si="1066"/>
        <v>0</v>
      </c>
      <c r="BY362" s="2079">
        <f t="shared" si="1067"/>
        <v>0</v>
      </c>
      <c r="BZ362" s="2079">
        <f t="shared" si="1068"/>
        <v>0</v>
      </c>
      <c r="CA362" s="2079">
        <f t="shared" si="1069"/>
        <v>0</v>
      </c>
      <c r="CB362" s="2079">
        <f t="shared" si="1070"/>
        <v>0</v>
      </c>
      <c r="CC362" s="2078">
        <f t="shared" ca="1" si="1189"/>
        <v>0</v>
      </c>
      <c r="CD362" s="2078">
        <f t="shared" ca="1" si="1190"/>
        <v>0</v>
      </c>
      <c r="CE362" s="2078">
        <f t="shared" ca="1" si="1191"/>
        <v>0</v>
      </c>
      <c r="CF362" s="2078">
        <f t="shared" ca="1" si="1192"/>
        <v>0</v>
      </c>
      <c r="CG362" s="2078">
        <f t="shared" ca="1" si="1193"/>
        <v>0</v>
      </c>
      <c r="CH362" s="2078">
        <f t="shared" ca="1" si="1194"/>
        <v>0</v>
      </c>
      <c r="CI362" s="2078">
        <f t="shared" ca="1" si="1195"/>
        <v>0</v>
      </c>
      <c r="CJ362" s="2078">
        <f t="shared" ca="1" si="1196"/>
        <v>0</v>
      </c>
      <c r="CK362" s="2078">
        <f t="shared" ca="1" si="1197"/>
        <v>0</v>
      </c>
      <c r="CL362" s="2078">
        <f t="shared" ca="1" si="1198"/>
        <v>0</v>
      </c>
      <c r="CM362" s="2078">
        <f t="shared" si="1132"/>
        <v>1</v>
      </c>
      <c r="CN362" s="2078">
        <f t="shared" si="1133"/>
        <v>1</v>
      </c>
      <c r="CO362" s="2078">
        <f t="shared" si="1121"/>
        <v>1</v>
      </c>
      <c r="CP362" s="2078">
        <f t="shared" si="1199"/>
        <v>1</v>
      </c>
      <c r="CQ362" s="2078">
        <f t="shared" si="1122"/>
        <v>0</v>
      </c>
      <c r="CR362" s="2078">
        <f t="shared" si="1042"/>
        <v>0</v>
      </c>
      <c r="CS362" s="2078">
        <f t="shared" si="1200"/>
        <v>0</v>
      </c>
      <c r="CT362" s="2078">
        <f t="shared" si="1123"/>
        <v>1</v>
      </c>
      <c r="CU362" s="2078">
        <f t="shared" si="1201"/>
        <v>1</v>
      </c>
      <c r="CV362" s="2078">
        <f t="shared" si="1134"/>
        <v>0</v>
      </c>
      <c r="CW362" s="2078">
        <f>IF(OR(AE362&lt;&gt;3,F362="Exclude"),0,IF(ISERROR(MATCH($E362,'4 Sign-off'!$S$123:$X$123,0)),0,1))</f>
        <v>0</v>
      </c>
      <c r="CX362" s="2078">
        <f t="shared" si="1154"/>
        <v>0</v>
      </c>
      <c r="CY362" s="2078">
        <f t="shared" si="1135"/>
        <v>0</v>
      </c>
      <c r="CZ362" s="2993">
        <f t="shared" ca="1" si="1149"/>
        <v>0</v>
      </c>
      <c r="DA362" s="3037">
        <f t="shared" ca="1" si="1150"/>
        <v>0</v>
      </c>
      <c r="DB362" s="1664"/>
      <c r="DC362" s="1320"/>
      <c r="DD362" s="589"/>
      <c r="DE362" s="1321"/>
      <c r="DF362" s="107"/>
      <c r="DG362" s="112"/>
      <c r="DH362" s="140"/>
      <c r="DI362" s="22"/>
      <c r="DJ362" s="145"/>
      <c r="DK362" s="137"/>
      <c r="DL362" s="137"/>
      <c r="DM362" s="137"/>
      <c r="DN362" s="137"/>
      <c r="DO362" s="137"/>
      <c r="DP362" s="137"/>
      <c r="DQ362" s="137"/>
      <c r="DR362" s="137"/>
      <c r="DS362" s="137"/>
      <c r="DT362" s="137"/>
      <c r="DU362" s="137"/>
      <c r="DV362" s="137"/>
      <c r="DW362" s="137"/>
      <c r="DX362" s="137"/>
      <c r="DY362" s="137"/>
      <c r="DZ362" s="137"/>
      <c r="EA362" s="137"/>
      <c r="EB362" s="137"/>
      <c r="EC362" s="137"/>
      <c r="ED362" s="137"/>
      <c r="EE362" s="137"/>
      <c r="EF362" s="137"/>
      <c r="EG362" s="137"/>
      <c r="EH362" s="137"/>
      <c r="EI362" s="137"/>
      <c r="EJ362" s="137"/>
      <c r="EK362" s="137"/>
      <c r="EL362" s="137"/>
      <c r="EM362" s="137"/>
      <c r="EN362" s="137"/>
      <c r="EO362" s="137"/>
      <c r="EP362" s="137"/>
      <c r="EQ362" s="137"/>
      <c r="ER362" s="137"/>
      <c r="ES362" s="137"/>
      <c r="ET362" s="137"/>
      <c r="EU362" s="137"/>
      <c r="EV362" s="137"/>
      <c r="EW362" s="137"/>
      <c r="EX362" s="137"/>
      <c r="EY362" s="137"/>
      <c r="EZ362" s="137"/>
      <c r="FA362" s="137"/>
      <c r="FB362" s="137"/>
      <c r="FC362" s="137"/>
      <c r="FD362" s="137"/>
      <c r="FE362" s="137"/>
      <c r="FF362" s="137"/>
      <c r="FG362" s="860"/>
      <c r="FH362" s="863"/>
      <c r="FI362" s="1318"/>
      <c r="FJ362" s="126"/>
      <c r="FK362" s="127"/>
      <c r="FL362" s="128" t="str">
        <f t="shared" si="1202"/>
        <v xml:space="preserve">    </v>
      </c>
      <c r="FM362" s="128"/>
      <c r="FN362" s="1686">
        <f t="shared" si="1203"/>
        <v>0</v>
      </c>
      <c r="FO362" s="46">
        <f t="shared" si="1136"/>
        <v>0</v>
      </c>
      <c r="FP362" s="46">
        <f t="shared" si="1216"/>
        <v>1</v>
      </c>
      <c r="FQ362" s="75">
        <f t="shared" si="1204"/>
        <v>0</v>
      </c>
      <c r="FR362" s="46">
        <f t="shared" si="1214"/>
        <v>0</v>
      </c>
      <c r="FS362" s="46">
        <f t="shared" si="1213"/>
        <v>1</v>
      </c>
      <c r="FT362" s="75">
        <f t="shared" si="1205"/>
        <v>0</v>
      </c>
      <c r="FU362" s="2603">
        <f t="shared" si="1137"/>
        <v>0</v>
      </c>
      <c r="FV362" s="2607">
        <f t="shared" si="1138"/>
        <v>0</v>
      </c>
      <c r="FW362" s="2603">
        <f t="shared" si="1139"/>
        <v>0</v>
      </c>
      <c r="FX362" s="2631">
        <f t="shared" si="1140"/>
        <v>0</v>
      </c>
      <c r="FY362" s="81" t="e">
        <f t="shared" si="1211"/>
        <v>#N/A</v>
      </c>
      <c r="FZ362" s="64" t="e">
        <f t="array" ref="FZ362">MATCH(1,($GT362:$LQ362&gt;0)*$GT$25:$LQ$25,0)</f>
        <v>#N/A</v>
      </c>
      <c r="GA362" s="64" t="e">
        <f t="array" ref="GA362">MATCH(2,1/(GT362:LQ362&gt;0))</f>
        <v>#N/A</v>
      </c>
      <c r="GB362" s="64">
        <f t="shared" si="1206"/>
        <v>-1</v>
      </c>
      <c r="GC362" s="46"/>
      <c r="GD362" s="613"/>
      <c r="GE362" s="613"/>
      <c r="GF362" s="613"/>
      <c r="GG362" s="613"/>
      <c r="GH362" s="613"/>
      <c r="GI362" s="613"/>
      <c r="GJ362" s="613"/>
      <c r="GK362" s="613"/>
      <c r="GL362" s="613"/>
      <c r="GM362" s="613"/>
      <c r="GN362" s="385">
        <f t="shared" si="1157"/>
        <v>0</v>
      </c>
      <c r="GO362" s="386">
        <f t="shared" si="1158"/>
        <v>0</v>
      </c>
      <c r="GP362" s="2635"/>
      <c r="GQ362" s="175"/>
      <c r="GR362" s="172"/>
      <c r="GS362" s="65"/>
      <c r="GT362" s="167"/>
      <c r="GU362" s="168"/>
      <c r="GV362" s="168"/>
      <c r="GW362" s="168"/>
      <c r="GX362" s="168"/>
      <c r="GY362" s="168"/>
      <c r="GZ362" s="168"/>
      <c r="HA362" s="168"/>
      <c r="HB362" s="168"/>
      <c r="HC362" s="168"/>
      <c r="HD362" s="168"/>
      <c r="HE362" s="168"/>
      <c r="HF362" s="168"/>
      <c r="HG362" s="168"/>
      <c r="HH362" s="168"/>
      <c r="HI362" s="168"/>
      <c r="HJ362" s="168"/>
      <c r="HK362" s="168"/>
      <c r="HL362" s="168"/>
      <c r="HM362" s="168"/>
      <c r="HN362" s="168"/>
      <c r="HO362" s="168"/>
      <c r="HP362" s="168"/>
      <c r="HQ362" s="168"/>
      <c r="HR362" s="168"/>
      <c r="HS362" s="168"/>
      <c r="HT362" s="168"/>
      <c r="HU362" s="168"/>
      <c r="HV362" s="168"/>
      <c r="HW362" s="168"/>
      <c r="HX362" s="168"/>
      <c r="HY362" s="168"/>
      <c r="HZ362" s="168"/>
      <c r="IA362" s="168"/>
      <c r="IB362" s="168"/>
      <c r="IC362" s="168"/>
      <c r="ID362" s="168"/>
      <c r="IE362" s="168"/>
      <c r="IF362" s="168"/>
      <c r="IG362" s="168"/>
      <c r="IH362" s="168"/>
      <c r="II362" s="168"/>
      <c r="IJ362" s="168"/>
      <c r="IK362" s="168"/>
      <c r="IL362" s="168"/>
      <c r="IM362" s="168"/>
      <c r="IN362" s="168"/>
      <c r="IO362" s="168"/>
      <c r="IP362" s="168"/>
      <c r="IQ362" s="168"/>
      <c r="IR362" s="168"/>
      <c r="IS362" s="168"/>
      <c r="IT362" s="168"/>
      <c r="IU362" s="168"/>
      <c r="IV362" s="168"/>
      <c r="IW362" s="168"/>
      <c r="IX362" s="168"/>
      <c r="IY362" s="168"/>
      <c r="IZ362" s="168"/>
      <c r="JA362" s="168"/>
      <c r="JB362" s="168"/>
      <c r="JC362" s="168"/>
      <c r="JD362" s="168"/>
      <c r="JE362" s="168"/>
      <c r="JF362" s="168"/>
      <c r="JG362" s="168"/>
      <c r="JH362" s="168"/>
      <c r="JI362" s="168"/>
      <c r="JJ362" s="168"/>
      <c r="JK362" s="168"/>
      <c r="JL362" s="168"/>
      <c r="JM362" s="168"/>
      <c r="JN362" s="168"/>
      <c r="JO362" s="168"/>
      <c r="JP362" s="168"/>
      <c r="JQ362" s="168"/>
      <c r="JR362" s="168"/>
      <c r="JS362" s="168"/>
      <c r="JT362" s="168"/>
      <c r="JU362" s="168"/>
      <c r="JV362" s="168"/>
      <c r="JW362" s="168"/>
      <c r="JX362" s="168"/>
      <c r="JY362" s="168"/>
      <c r="JZ362" s="168"/>
      <c r="KA362" s="168"/>
      <c r="KB362" s="168"/>
      <c r="KC362" s="168"/>
      <c r="KD362" s="168"/>
      <c r="KE362" s="168"/>
      <c r="KF362" s="168"/>
      <c r="KG362" s="168"/>
      <c r="KH362" s="168"/>
      <c r="KI362" s="168"/>
      <c r="KJ362" s="168"/>
      <c r="KK362" s="168"/>
      <c r="KL362" s="168"/>
      <c r="KM362" s="168"/>
      <c r="KN362" s="168"/>
      <c r="KO362" s="168"/>
      <c r="KP362" s="168"/>
      <c r="KQ362" s="168"/>
      <c r="KR362" s="168"/>
      <c r="KS362" s="168"/>
      <c r="KT362" s="168"/>
      <c r="KU362" s="168"/>
      <c r="KV362" s="168"/>
      <c r="KW362" s="168"/>
      <c r="KX362" s="168"/>
      <c r="KY362" s="168"/>
      <c r="KZ362" s="168"/>
      <c r="LA362" s="168"/>
      <c r="LB362" s="168"/>
      <c r="LC362" s="168"/>
      <c r="LD362" s="168"/>
      <c r="LE362" s="168"/>
      <c r="LF362" s="168"/>
      <c r="LG362" s="168"/>
      <c r="LH362" s="168"/>
      <c r="LI362" s="168"/>
      <c r="LJ362" s="168"/>
      <c r="LK362" s="168"/>
      <c r="LL362" s="168"/>
      <c r="LM362" s="168"/>
      <c r="LN362" s="168"/>
      <c r="LO362" s="168"/>
      <c r="LP362" s="606"/>
      <c r="LQ362" s="609"/>
      <c r="LR362" s="1319"/>
      <c r="LS362" s="1319"/>
    </row>
    <row r="363" spans="1:331" s="2" customFormat="1" ht="15" customHeight="1" x14ac:dyDescent="0.25">
      <c r="A363" s="283"/>
      <c r="B363" s="303"/>
      <c r="C363" s="301"/>
      <c r="D363" s="1287"/>
      <c r="E363" s="2298"/>
      <c r="F363" s="1812"/>
      <c r="G363" s="3342"/>
      <c r="H363" s="66"/>
      <c r="I363" s="1746"/>
      <c r="J363" s="1214"/>
      <c r="K363" s="105"/>
      <c r="L363" s="91"/>
      <c r="M363" s="92"/>
      <c r="N363" s="93"/>
      <c r="O363" s="94"/>
      <c r="P363" s="94"/>
      <c r="Q363" s="97"/>
      <c r="R363" s="993">
        <f t="shared" si="1147"/>
        <v>0</v>
      </c>
      <c r="S363" s="23">
        <f t="shared" si="1148"/>
        <v>0</v>
      </c>
      <c r="T363" s="24">
        <f t="shared" si="1159"/>
        <v>0</v>
      </c>
      <c r="U363" s="24">
        <f t="shared" si="1160"/>
        <v>0</v>
      </c>
      <c r="V363" s="24">
        <f t="shared" si="1161"/>
        <v>0</v>
      </c>
      <c r="W363" s="24">
        <f t="shared" ca="1" si="1162"/>
        <v>0</v>
      </c>
      <c r="X363" s="72">
        <f t="shared" ca="1" si="1119"/>
        <v>0</v>
      </c>
      <c r="Y363" s="72">
        <f t="shared" si="1163"/>
        <v>0</v>
      </c>
      <c r="Z363" s="24">
        <f t="shared" si="1164"/>
        <v>0</v>
      </c>
      <c r="AA363" s="72">
        <f t="shared" si="1120"/>
        <v>0</v>
      </c>
      <c r="AB363" s="24">
        <f t="shared" si="1131"/>
        <v>0</v>
      </c>
      <c r="AC363" s="24">
        <f t="shared" ca="1" si="1165"/>
        <v>0</v>
      </c>
      <c r="AD363" s="24">
        <f t="shared" si="1049"/>
        <v>0</v>
      </c>
      <c r="AE363" s="2078">
        <f t="shared" si="1207"/>
        <v>3</v>
      </c>
      <c r="AF363" s="2078">
        <f t="shared" si="1208"/>
        <v>0</v>
      </c>
      <c r="AG363" s="2078">
        <f t="shared" si="1209"/>
        <v>0</v>
      </c>
      <c r="AH363" s="2521">
        <f t="shared" si="1050"/>
        <v>1</v>
      </c>
      <c r="AI363" s="25" t="str">
        <f t="shared" si="1166"/>
        <v/>
      </c>
      <c r="AJ363" s="2521">
        <f t="shared" ca="1" si="1045"/>
        <v>0</v>
      </c>
      <c r="AK363" s="2076">
        <f t="shared" ca="1" si="1041"/>
        <v>0</v>
      </c>
      <c r="AL363" s="2078">
        <f>IF(ISBLANK(J363),0,ISERROR(MATCH(J363,'5  Control Accounts'!$FA$29:$FA$96,0))*1)</f>
        <v>0</v>
      </c>
      <c r="AM363" s="2076">
        <f t="shared" si="1167"/>
        <v>0</v>
      </c>
      <c r="AN363" s="2078">
        <f t="shared" si="1168"/>
        <v>1</v>
      </c>
      <c r="AO363" s="2079">
        <f t="shared" si="1051"/>
        <v>1</v>
      </c>
      <c r="AP363" s="2079">
        <f t="shared" si="1052"/>
        <v>0</v>
      </c>
      <c r="AQ363" s="2079">
        <f t="shared" si="1053"/>
        <v>0</v>
      </c>
      <c r="AR363" s="2079">
        <f t="shared" si="1054"/>
        <v>0</v>
      </c>
      <c r="AS363" s="2079">
        <f t="shared" si="1055"/>
        <v>0</v>
      </c>
      <c r="AT363" s="2079">
        <f t="shared" si="1056"/>
        <v>0</v>
      </c>
      <c r="AU363" s="2079">
        <f t="shared" si="1057"/>
        <v>0</v>
      </c>
      <c r="AV363" s="2079">
        <f t="shared" si="1058"/>
        <v>0</v>
      </c>
      <c r="AW363" s="2079">
        <f t="shared" si="1059"/>
        <v>0</v>
      </c>
      <c r="AX363" s="2079">
        <f t="shared" si="1060"/>
        <v>0</v>
      </c>
      <c r="AY363" s="2078">
        <f t="shared" si="1169"/>
        <v>0</v>
      </c>
      <c r="AZ363" s="2078">
        <f t="shared" si="1170"/>
        <v>0</v>
      </c>
      <c r="BA363" s="2078">
        <f t="shared" si="1171"/>
        <v>0</v>
      </c>
      <c r="BB363" s="2078">
        <f t="shared" si="1172"/>
        <v>0</v>
      </c>
      <c r="BC363" s="2078">
        <f t="shared" si="1173"/>
        <v>0</v>
      </c>
      <c r="BD363" s="2078">
        <f t="shared" si="1174"/>
        <v>0</v>
      </c>
      <c r="BE363" s="2078">
        <f t="shared" si="1175"/>
        <v>0</v>
      </c>
      <c r="BF363" s="2078">
        <f t="shared" si="1176"/>
        <v>0</v>
      </c>
      <c r="BG363" s="2078">
        <f t="shared" si="1177"/>
        <v>0</v>
      </c>
      <c r="BH363" s="2078">
        <f t="shared" si="1178"/>
        <v>0</v>
      </c>
      <c r="BI363" s="2078">
        <f t="shared" si="1179"/>
        <v>0</v>
      </c>
      <c r="BJ363" s="2078">
        <f t="shared" si="1180"/>
        <v>0</v>
      </c>
      <c r="BK363" s="2078">
        <f t="shared" si="1181"/>
        <v>0</v>
      </c>
      <c r="BL363" s="2078">
        <f t="shared" si="1182"/>
        <v>0</v>
      </c>
      <c r="BM363" s="2078">
        <f t="shared" si="1183"/>
        <v>0</v>
      </c>
      <c r="BN363" s="2078">
        <f t="shared" si="1184"/>
        <v>0</v>
      </c>
      <c r="BO363" s="2078">
        <f t="shared" si="1185"/>
        <v>0</v>
      </c>
      <c r="BP363" s="2078">
        <f t="shared" si="1186"/>
        <v>0</v>
      </c>
      <c r="BQ363" s="2078">
        <f t="shared" si="1187"/>
        <v>0</v>
      </c>
      <c r="BR363" s="2078">
        <f t="shared" si="1188"/>
        <v>0</v>
      </c>
      <c r="BS363" s="2079">
        <f t="shared" si="1061"/>
        <v>1</v>
      </c>
      <c r="BT363" s="2079">
        <f t="shared" si="1062"/>
        <v>0</v>
      </c>
      <c r="BU363" s="2079">
        <f t="shared" si="1063"/>
        <v>0</v>
      </c>
      <c r="BV363" s="2079">
        <f t="shared" si="1064"/>
        <v>0</v>
      </c>
      <c r="BW363" s="2079">
        <f t="shared" si="1065"/>
        <v>0</v>
      </c>
      <c r="BX363" s="2079">
        <f t="shared" si="1066"/>
        <v>0</v>
      </c>
      <c r="BY363" s="2079">
        <f t="shared" si="1067"/>
        <v>0</v>
      </c>
      <c r="BZ363" s="2079">
        <f t="shared" si="1068"/>
        <v>0</v>
      </c>
      <c r="CA363" s="2079">
        <f t="shared" si="1069"/>
        <v>0</v>
      </c>
      <c r="CB363" s="2079">
        <f t="shared" si="1070"/>
        <v>0</v>
      </c>
      <c r="CC363" s="2078">
        <f t="shared" ca="1" si="1189"/>
        <v>0</v>
      </c>
      <c r="CD363" s="2078">
        <f t="shared" ca="1" si="1190"/>
        <v>0</v>
      </c>
      <c r="CE363" s="2078">
        <f t="shared" ca="1" si="1191"/>
        <v>0</v>
      </c>
      <c r="CF363" s="2078">
        <f t="shared" ca="1" si="1192"/>
        <v>0</v>
      </c>
      <c r="CG363" s="2078">
        <f t="shared" ca="1" si="1193"/>
        <v>0</v>
      </c>
      <c r="CH363" s="2078">
        <f t="shared" ca="1" si="1194"/>
        <v>0</v>
      </c>
      <c r="CI363" s="2078">
        <f t="shared" ca="1" si="1195"/>
        <v>0</v>
      </c>
      <c r="CJ363" s="2078">
        <f t="shared" ca="1" si="1196"/>
        <v>0</v>
      </c>
      <c r="CK363" s="2078">
        <f t="shared" ca="1" si="1197"/>
        <v>0</v>
      </c>
      <c r="CL363" s="2078">
        <f t="shared" ca="1" si="1198"/>
        <v>0</v>
      </c>
      <c r="CM363" s="2078">
        <f t="shared" si="1132"/>
        <v>1</v>
      </c>
      <c r="CN363" s="2078">
        <f t="shared" si="1133"/>
        <v>1</v>
      </c>
      <c r="CO363" s="2078">
        <f t="shared" si="1121"/>
        <v>1</v>
      </c>
      <c r="CP363" s="2078">
        <f t="shared" si="1199"/>
        <v>1</v>
      </c>
      <c r="CQ363" s="2078">
        <f t="shared" si="1122"/>
        <v>0</v>
      </c>
      <c r="CR363" s="2078">
        <f t="shared" si="1042"/>
        <v>0</v>
      </c>
      <c r="CS363" s="2078">
        <f t="shared" si="1200"/>
        <v>0</v>
      </c>
      <c r="CT363" s="2078">
        <f t="shared" si="1123"/>
        <v>1</v>
      </c>
      <c r="CU363" s="2078">
        <f t="shared" si="1201"/>
        <v>1</v>
      </c>
      <c r="CV363" s="2078">
        <f t="shared" si="1134"/>
        <v>0</v>
      </c>
      <c r="CW363" s="2078">
        <f>IF(OR(AE363&lt;&gt;3,F363="Exclude"),0,IF(ISERROR(MATCH($E363,'4 Sign-off'!$S$123:$X$123,0)),0,1))</f>
        <v>0</v>
      </c>
      <c r="CX363" s="2078">
        <f t="shared" si="1154"/>
        <v>0</v>
      </c>
      <c r="CY363" s="2078">
        <f t="shared" si="1135"/>
        <v>0</v>
      </c>
      <c r="CZ363" s="2993">
        <f t="shared" ca="1" si="1149"/>
        <v>0</v>
      </c>
      <c r="DA363" s="3037">
        <f t="shared" ca="1" si="1150"/>
        <v>0</v>
      </c>
      <c r="DB363" s="1664"/>
      <c r="DC363" s="1320"/>
      <c r="DD363" s="589"/>
      <c r="DE363" s="1321"/>
      <c r="DF363" s="107"/>
      <c r="DG363" s="112"/>
      <c r="DH363" s="140"/>
      <c r="DI363" s="22"/>
      <c r="DJ363" s="145"/>
      <c r="DK363" s="137"/>
      <c r="DL363" s="137"/>
      <c r="DM363" s="137"/>
      <c r="DN363" s="137"/>
      <c r="DO363" s="137"/>
      <c r="DP363" s="137"/>
      <c r="DQ363" s="137"/>
      <c r="DR363" s="137"/>
      <c r="DS363" s="137"/>
      <c r="DT363" s="137"/>
      <c r="DU363" s="137"/>
      <c r="DV363" s="137"/>
      <c r="DW363" s="137"/>
      <c r="DX363" s="137"/>
      <c r="DY363" s="137"/>
      <c r="DZ363" s="137"/>
      <c r="EA363" s="137"/>
      <c r="EB363" s="137"/>
      <c r="EC363" s="137"/>
      <c r="ED363" s="137"/>
      <c r="EE363" s="137"/>
      <c r="EF363" s="137"/>
      <c r="EG363" s="137"/>
      <c r="EH363" s="137"/>
      <c r="EI363" s="137"/>
      <c r="EJ363" s="137"/>
      <c r="EK363" s="137"/>
      <c r="EL363" s="137"/>
      <c r="EM363" s="137"/>
      <c r="EN363" s="137"/>
      <c r="EO363" s="137"/>
      <c r="EP363" s="137"/>
      <c r="EQ363" s="137"/>
      <c r="ER363" s="137"/>
      <c r="ES363" s="137"/>
      <c r="ET363" s="137"/>
      <c r="EU363" s="137"/>
      <c r="EV363" s="137"/>
      <c r="EW363" s="137"/>
      <c r="EX363" s="137"/>
      <c r="EY363" s="137"/>
      <c r="EZ363" s="137"/>
      <c r="FA363" s="137"/>
      <c r="FB363" s="137"/>
      <c r="FC363" s="137"/>
      <c r="FD363" s="137"/>
      <c r="FE363" s="137"/>
      <c r="FF363" s="137"/>
      <c r="FG363" s="860"/>
      <c r="FH363" s="863"/>
      <c r="FI363" s="1318"/>
      <c r="FJ363" s="126"/>
      <c r="FK363" s="127"/>
      <c r="FL363" s="128" t="str">
        <f t="shared" si="1202"/>
        <v xml:space="preserve">    </v>
      </c>
      <c r="FM363" s="128"/>
      <c r="FN363" s="1686">
        <f t="shared" si="1203"/>
        <v>0</v>
      </c>
      <c r="FO363" s="46">
        <f t="shared" si="1136"/>
        <v>0</v>
      </c>
      <c r="FP363" s="46">
        <f t="shared" si="1215"/>
        <v>1</v>
      </c>
      <c r="FQ363" s="75">
        <f t="shared" si="1204"/>
        <v>0</v>
      </c>
      <c r="FR363" s="46">
        <f t="shared" si="1214"/>
        <v>0</v>
      </c>
      <c r="FS363" s="46">
        <f t="shared" si="1213"/>
        <v>1</v>
      </c>
      <c r="FT363" s="75">
        <f t="shared" si="1205"/>
        <v>0</v>
      </c>
      <c r="FU363" s="2603">
        <f t="shared" si="1137"/>
        <v>0</v>
      </c>
      <c r="FV363" s="2607">
        <f t="shared" si="1138"/>
        <v>0</v>
      </c>
      <c r="FW363" s="2603">
        <f t="shared" si="1139"/>
        <v>0</v>
      </c>
      <c r="FX363" s="2631">
        <f t="shared" si="1140"/>
        <v>0</v>
      </c>
      <c r="FY363" s="81" t="e">
        <f t="shared" si="1211"/>
        <v>#N/A</v>
      </c>
      <c r="FZ363" s="64" t="e">
        <f t="array" ref="FZ363">MATCH(1,($GT363:$LQ363&gt;0)*$GT$25:$LQ$25,0)</f>
        <v>#N/A</v>
      </c>
      <c r="GA363" s="64" t="e">
        <f t="array" ref="GA363">MATCH(2,1/(GT363:LQ363&gt;0))</f>
        <v>#N/A</v>
      </c>
      <c r="GB363" s="64">
        <f t="shared" si="1206"/>
        <v>-1</v>
      </c>
      <c r="GC363" s="46"/>
      <c r="GD363" s="613"/>
      <c r="GE363" s="613"/>
      <c r="GF363" s="613"/>
      <c r="GG363" s="613"/>
      <c r="GH363" s="613"/>
      <c r="GI363" s="613"/>
      <c r="GJ363" s="613"/>
      <c r="GK363" s="613"/>
      <c r="GL363" s="613"/>
      <c r="GM363" s="613"/>
      <c r="GN363" s="385">
        <f t="shared" si="1157"/>
        <v>0</v>
      </c>
      <c r="GO363" s="386">
        <f t="shared" si="1158"/>
        <v>0</v>
      </c>
      <c r="GP363" s="2635"/>
      <c r="GQ363" s="175"/>
      <c r="GR363" s="172"/>
      <c r="GS363" s="65"/>
      <c r="GT363" s="167"/>
      <c r="GU363" s="168"/>
      <c r="GV363" s="168"/>
      <c r="GW363" s="168"/>
      <c r="GX363" s="168"/>
      <c r="GY363" s="168"/>
      <c r="GZ363" s="168"/>
      <c r="HA363" s="168"/>
      <c r="HB363" s="168"/>
      <c r="HC363" s="168"/>
      <c r="HD363" s="168"/>
      <c r="HE363" s="168"/>
      <c r="HF363" s="168"/>
      <c r="HG363" s="168"/>
      <c r="HH363" s="168"/>
      <c r="HI363" s="168"/>
      <c r="HJ363" s="168"/>
      <c r="HK363" s="168"/>
      <c r="HL363" s="168"/>
      <c r="HM363" s="168"/>
      <c r="HN363" s="168"/>
      <c r="HO363" s="168"/>
      <c r="HP363" s="168"/>
      <c r="HQ363" s="168"/>
      <c r="HR363" s="168"/>
      <c r="HS363" s="168"/>
      <c r="HT363" s="168"/>
      <c r="HU363" s="168"/>
      <c r="HV363" s="168"/>
      <c r="HW363" s="168"/>
      <c r="HX363" s="168"/>
      <c r="HY363" s="168"/>
      <c r="HZ363" s="168"/>
      <c r="IA363" s="168"/>
      <c r="IB363" s="168"/>
      <c r="IC363" s="168"/>
      <c r="ID363" s="168"/>
      <c r="IE363" s="168"/>
      <c r="IF363" s="168"/>
      <c r="IG363" s="168"/>
      <c r="IH363" s="168"/>
      <c r="II363" s="168"/>
      <c r="IJ363" s="168"/>
      <c r="IK363" s="168"/>
      <c r="IL363" s="168"/>
      <c r="IM363" s="168"/>
      <c r="IN363" s="168"/>
      <c r="IO363" s="168"/>
      <c r="IP363" s="168"/>
      <c r="IQ363" s="168"/>
      <c r="IR363" s="168"/>
      <c r="IS363" s="168"/>
      <c r="IT363" s="168"/>
      <c r="IU363" s="168"/>
      <c r="IV363" s="168"/>
      <c r="IW363" s="168"/>
      <c r="IX363" s="168"/>
      <c r="IY363" s="168"/>
      <c r="IZ363" s="168"/>
      <c r="JA363" s="168"/>
      <c r="JB363" s="168"/>
      <c r="JC363" s="168"/>
      <c r="JD363" s="168"/>
      <c r="JE363" s="168"/>
      <c r="JF363" s="168"/>
      <c r="JG363" s="168"/>
      <c r="JH363" s="168"/>
      <c r="JI363" s="168"/>
      <c r="JJ363" s="168"/>
      <c r="JK363" s="168"/>
      <c r="JL363" s="168"/>
      <c r="JM363" s="168"/>
      <c r="JN363" s="168"/>
      <c r="JO363" s="168"/>
      <c r="JP363" s="168"/>
      <c r="JQ363" s="168"/>
      <c r="JR363" s="168"/>
      <c r="JS363" s="168"/>
      <c r="JT363" s="168"/>
      <c r="JU363" s="168"/>
      <c r="JV363" s="168"/>
      <c r="JW363" s="168"/>
      <c r="JX363" s="168"/>
      <c r="JY363" s="168"/>
      <c r="JZ363" s="168"/>
      <c r="KA363" s="168"/>
      <c r="KB363" s="168"/>
      <c r="KC363" s="168"/>
      <c r="KD363" s="168"/>
      <c r="KE363" s="168"/>
      <c r="KF363" s="168"/>
      <c r="KG363" s="168"/>
      <c r="KH363" s="168"/>
      <c r="KI363" s="168"/>
      <c r="KJ363" s="168"/>
      <c r="KK363" s="168"/>
      <c r="KL363" s="168"/>
      <c r="KM363" s="168"/>
      <c r="KN363" s="168"/>
      <c r="KO363" s="168"/>
      <c r="KP363" s="168"/>
      <c r="KQ363" s="168"/>
      <c r="KR363" s="168"/>
      <c r="KS363" s="168"/>
      <c r="KT363" s="168"/>
      <c r="KU363" s="168"/>
      <c r="KV363" s="168"/>
      <c r="KW363" s="168"/>
      <c r="KX363" s="168"/>
      <c r="KY363" s="168"/>
      <c r="KZ363" s="168"/>
      <c r="LA363" s="168"/>
      <c r="LB363" s="168"/>
      <c r="LC363" s="168"/>
      <c r="LD363" s="168"/>
      <c r="LE363" s="168"/>
      <c r="LF363" s="168"/>
      <c r="LG363" s="168"/>
      <c r="LH363" s="168"/>
      <c r="LI363" s="168"/>
      <c r="LJ363" s="168"/>
      <c r="LK363" s="168"/>
      <c r="LL363" s="168"/>
      <c r="LM363" s="168"/>
      <c r="LN363" s="168"/>
      <c r="LO363" s="168"/>
      <c r="LP363" s="606"/>
      <c r="LQ363" s="609"/>
      <c r="LR363" s="1319"/>
      <c r="LS363" s="1319"/>
    </row>
    <row r="364" spans="1:331" s="2" customFormat="1" ht="15" customHeight="1" x14ac:dyDescent="0.25">
      <c r="A364" s="283"/>
      <c r="B364" s="886"/>
      <c r="C364" s="887"/>
      <c r="D364" s="1287"/>
      <c r="E364" s="2299"/>
      <c r="F364" s="1813"/>
      <c r="G364" s="3343"/>
      <c r="H364" s="66"/>
      <c r="I364" s="1747"/>
      <c r="J364" s="1215"/>
      <c r="K364" s="105"/>
      <c r="L364" s="888"/>
      <c r="M364" s="889"/>
      <c r="N364" s="890"/>
      <c r="O364" s="891"/>
      <c r="P364" s="1850"/>
      <c r="Q364" s="1852"/>
      <c r="R364" s="994">
        <f t="shared" si="1147"/>
        <v>0</v>
      </c>
      <c r="S364" s="892">
        <f t="shared" si="1148"/>
        <v>0</v>
      </c>
      <c r="T364" s="24">
        <f t="shared" si="1159"/>
        <v>0</v>
      </c>
      <c r="U364" s="24">
        <f t="shared" si="1160"/>
        <v>0</v>
      </c>
      <c r="V364" s="24">
        <f t="shared" si="1161"/>
        <v>0</v>
      </c>
      <c r="W364" s="24">
        <f t="shared" ca="1" si="1162"/>
        <v>0</v>
      </c>
      <c r="X364" s="72">
        <f t="shared" ca="1" si="1119"/>
        <v>0</v>
      </c>
      <c r="Y364" s="72">
        <f t="shared" si="1163"/>
        <v>0</v>
      </c>
      <c r="Z364" s="24">
        <f t="shared" si="1164"/>
        <v>0</v>
      </c>
      <c r="AA364" s="72">
        <f t="shared" si="1120"/>
        <v>0</v>
      </c>
      <c r="AB364" s="24">
        <f t="shared" si="1131"/>
        <v>0</v>
      </c>
      <c r="AC364" s="24">
        <f t="shared" ca="1" si="1165"/>
        <v>0</v>
      </c>
      <c r="AD364" s="24">
        <f t="shared" si="1049"/>
        <v>0</v>
      </c>
      <c r="AE364" s="2078">
        <f t="shared" si="1207"/>
        <v>3</v>
      </c>
      <c r="AF364" s="2078">
        <f t="shared" si="1208"/>
        <v>0</v>
      </c>
      <c r="AG364" s="2078">
        <f t="shared" si="1209"/>
        <v>0</v>
      </c>
      <c r="AH364" s="2521">
        <f t="shared" si="1050"/>
        <v>1</v>
      </c>
      <c r="AI364" s="25" t="str">
        <f t="shared" si="1166"/>
        <v/>
      </c>
      <c r="AJ364" s="2521">
        <f t="shared" ca="1" si="1045"/>
        <v>0</v>
      </c>
      <c r="AK364" s="2076">
        <f t="shared" ca="1" si="1041"/>
        <v>0</v>
      </c>
      <c r="AL364" s="2078">
        <f>IF(ISBLANK(J364),0,ISERROR(MATCH(J364,'5  Control Accounts'!$FA$29:$FA$96,0))*1)</f>
        <v>0</v>
      </c>
      <c r="AM364" s="2076">
        <f t="shared" si="1167"/>
        <v>0</v>
      </c>
      <c r="AN364" s="2078">
        <f t="shared" si="1168"/>
        <v>1</v>
      </c>
      <c r="AO364" s="2079">
        <f t="shared" si="1051"/>
        <v>1</v>
      </c>
      <c r="AP364" s="2079">
        <f t="shared" si="1052"/>
        <v>0</v>
      </c>
      <c r="AQ364" s="2079">
        <f t="shared" si="1053"/>
        <v>0</v>
      </c>
      <c r="AR364" s="2079">
        <f t="shared" si="1054"/>
        <v>0</v>
      </c>
      <c r="AS364" s="2079">
        <f t="shared" si="1055"/>
        <v>0</v>
      </c>
      <c r="AT364" s="2079">
        <f t="shared" si="1056"/>
        <v>0</v>
      </c>
      <c r="AU364" s="2079">
        <f t="shared" si="1057"/>
        <v>0</v>
      </c>
      <c r="AV364" s="2079">
        <f t="shared" si="1058"/>
        <v>0</v>
      </c>
      <c r="AW364" s="2079">
        <f t="shared" si="1059"/>
        <v>0</v>
      </c>
      <c r="AX364" s="2079">
        <f t="shared" si="1060"/>
        <v>0</v>
      </c>
      <c r="AY364" s="2078">
        <f t="shared" si="1169"/>
        <v>0</v>
      </c>
      <c r="AZ364" s="2078">
        <f t="shared" si="1170"/>
        <v>0</v>
      </c>
      <c r="BA364" s="2078">
        <f t="shared" si="1171"/>
        <v>0</v>
      </c>
      <c r="BB364" s="2078">
        <f t="shared" si="1172"/>
        <v>0</v>
      </c>
      <c r="BC364" s="2078">
        <f t="shared" si="1173"/>
        <v>0</v>
      </c>
      <c r="BD364" s="2078">
        <f t="shared" si="1174"/>
        <v>0</v>
      </c>
      <c r="BE364" s="2078">
        <f t="shared" si="1175"/>
        <v>0</v>
      </c>
      <c r="BF364" s="2078">
        <f t="shared" si="1176"/>
        <v>0</v>
      </c>
      <c r="BG364" s="2078">
        <f t="shared" si="1177"/>
        <v>0</v>
      </c>
      <c r="BH364" s="2078">
        <f t="shared" si="1178"/>
        <v>0</v>
      </c>
      <c r="BI364" s="2078">
        <f t="shared" si="1179"/>
        <v>0</v>
      </c>
      <c r="BJ364" s="2078">
        <f t="shared" si="1180"/>
        <v>0</v>
      </c>
      <c r="BK364" s="2078">
        <f t="shared" si="1181"/>
        <v>0</v>
      </c>
      <c r="BL364" s="2078">
        <f t="shared" si="1182"/>
        <v>0</v>
      </c>
      <c r="BM364" s="2078">
        <f t="shared" si="1183"/>
        <v>0</v>
      </c>
      <c r="BN364" s="2078">
        <f t="shared" si="1184"/>
        <v>0</v>
      </c>
      <c r="BO364" s="2078">
        <f t="shared" si="1185"/>
        <v>0</v>
      </c>
      <c r="BP364" s="2078">
        <f t="shared" si="1186"/>
        <v>0</v>
      </c>
      <c r="BQ364" s="2078">
        <f t="shared" si="1187"/>
        <v>0</v>
      </c>
      <c r="BR364" s="2078">
        <f t="shared" si="1188"/>
        <v>0</v>
      </c>
      <c r="BS364" s="2079">
        <f t="shared" si="1061"/>
        <v>1</v>
      </c>
      <c r="BT364" s="2079">
        <f t="shared" si="1062"/>
        <v>0</v>
      </c>
      <c r="BU364" s="2079">
        <f t="shared" si="1063"/>
        <v>0</v>
      </c>
      <c r="BV364" s="2079">
        <f t="shared" si="1064"/>
        <v>0</v>
      </c>
      <c r="BW364" s="2079">
        <f t="shared" si="1065"/>
        <v>0</v>
      </c>
      <c r="BX364" s="2079">
        <f t="shared" si="1066"/>
        <v>0</v>
      </c>
      <c r="BY364" s="2079">
        <f t="shared" si="1067"/>
        <v>0</v>
      </c>
      <c r="BZ364" s="2079">
        <f t="shared" si="1068"/>
        <v>0</v>
      </c>
      <c r="CA364" s="2079">
        <f t="shared" si="1069"/>
        <v>0</v>
      </c>
      <c r="CB364" s="2079">
        <f t="shared" si="1070"/>
        <v>0</v>
      </c>
      <c r="CC364" s="2078">
        <f t="shared" ca="1" si="1189"/>
        <v>0</v>
      </c>
      <c r="CD364" s="2078">
        <f t="shared" ca="1" si="1190"/>
        <v>0</v>
      </c>
      <c r="CE364" s="2078">
        <f t="shared" ca="1" si="1191"/>
        <v>0</v>
      </c>
      <c r="CF364" s="2078">
        <f t="shared" ca="1" si="1192"/>
        <v>0</v>
      </c>
      <c r="CG364" s="2078">
        <f t="shared" ca="1" si="1193"/>
        <v>0</v>
      </c>
      <c r="CH364" s="2078">
        <f t="shared" ca="1" si="1194"/>
        <v>0</v>
      </c>
      <c r="CI364" s="2078">
        <f t="shared" ca="1" si="1195"/>
        <v>0</v>
      </c>
      <c r="CJ364" s="2078">
        <f t="shared" ca="1" si="1196"/>
        <v>0</v>
      </c>
      <c r="CK364" s="2078">
        <f t="shared" ca="1" si="1197"/>
        <v>0</v>
      </c>
      <c r="CL364" s="2078">
        <f t="shared" ca="1" si="1198"/>
        <v>0</v>
      </c>
      <c r="CM364" s="2078">
        <f t="shared" si="1132"/>
        <v>1</v>
      </c>
      <c r="CN364" s="2078">
        <f t="shared" si="1133"/>
        <v>1</v>
      </c>
      <c r="CO364" s="2078">
        <f t="shared" si="1121"/>
        <v>1</v>
      </c>
      <c r="CP364" s="2078">
        <f t="shared" si="1199"/>
        <v>1</v>
      </c>
      <c r="CQ364" s="2078">
        <f t="shared" si="1122"/>
        <v>0</v>
      </c>
      <c r="CR364" s="2078">
        <f t="shared" si="1042"/>
        <v>0</v>
      </c>
      <c r="CS364" s="2078">
        <f t="shared" si="1200"/>
        <v>0</v>
      </c>
      <c r="CT364" s="2078">
        <f t="shared" si="1123"/>
        <v>1</v>
      </c>
      <c r="CU364" s="2078">
        <f t="shared" si="1201"/>
        <v>1</v>
      </c>
      <c r="CV364" s="2078">
        <f t="shared" si="1134"/>
        <v>0</v>
      </c>
      <c r="CW364" s="2078">
        <f>IF(OR(AE364&lt;&gt;3,F364="Exclude"),0,IF(ISERROR(MATCH($E364,'4 Sign-off'!$S$123:$X$123,0)),0,1))</f>
        <v>0</v>
      </c>
      <c r="CX364" s="2078">
        <f t="shared" si="1154"/>
        <v>0</v>
      </c>
      <c r="CY364" s="2078">
        <f t="shared" si="1135"/>
        <v>0</v>
      </c>
      <c r="CZ364" s="2994">
        <f t="shared" ca="1" si="1149"/>
        <v>0</v>
      </c>
      <c r="DA364" s="3038">
        <f t="shared" ca="1" si="1150"/>
        <v>0</v>
      </c>
      <c r="DB364" s="1664"/>
      <c r="DC364" s="1322"/>
      <c r="DD364" s="590"/>
      <c r="DE364" s="1323"/>
      <c r="DF364" s="108"/>
      <c r="DG364" s="112"/>
      <c r="DH364" s="141"/>
      <c r="DI364" s="143"/>
      <c r="DJ364" s="146"/>
      <c r="DK364" s="138"/>
      <c r="DL364" s="138"/>
      <c r="DM364" s="138"/>
      <c r="DN364" s="138"/>
      <c r="DO364" s="138"/>
      <c r="DP364" s="138"/>
      <c r="DQ364" s="138"/>
      <c r="DR364" s="138"/>
      <c r="DS364" s="138"/>
      <c r="DT364" s="138"/>
      <c r="DU364" s="138"/>
      <c r="DV364" s="138"/>
      <c r="DW364" s="138"/>
      <c r="DX364" s="138"/>
      <c r="DY364" s="138"/>
      <c r="DZ364" s="138"/>
      <c r="EA364" s="138"/>
      <c r="EB364" s="138"/>
      <c r="EC364" s="138"/>
      <c r="ED364" s="138"/>
      <c r="EE364" s="138"/>
      <c r="EF364" s="138"/>
      <c r="EG364" s="138"/>
      <c r="EH364" s="138"/>
      <c r="EI364" s="138"/>
      <c r="EJ364" s="138"/>
      <c r="EK364" s="138"/>
      <c r="EL364" s="138"/>
      <c r="EM364" s="138"/>
      <c r="EN364" s="138"/>
      <c r="EO364" s="138"/>
      <c r="EP364" s="138"/>
      <c r="EQ364" s="138"/>
      <c r="ER364" s="138"/>
      <c r="ES364" s="138"/>
      <c r="ET364" s="138"/>
      <c r="EU364" s="138"/>
      <c r="EV364" s="138"/>
      <c r="EW364" s="138"/>
      <c r="EX364" s="138"/>
      <c r="EY364" s="138"/>
      <c r="EZ364" s="138"/>
      <c r="FA364" s="138"/>
      <c r="FB364" s="138"/>
      <c r="FC364" s="138"/>
      <c r="FD364" s="138"/>
      <c r="FE364" s="138"/>
      <c r="FF364" s="138"/>
      <c r="FG364" s="861"/>
      <c r="FH364" s="864"/>
      <c r="FI364" s="1318"/>
      <c r="FJ364" s="129"/>
      <c r="FK364" s="130"/>
      <c r="FL364" s="131" t="str">
        <f t="shared" si="1202"/>
        <v xml:space="preserve">    </v>
      </c>
      <c r="FM364" s="131"/>
      <c r="FN364" s="1688">
        <f t="shared" si="1203"/>
        <v>0</v>
      </c>
      <c r="FO364" s="47">
        <f t="shared" si="1136"/>
        <v>0</v>
      </c>
      <c r="FP364" s="47">
        <f t="shared" si="1124"/>
        <v>1</v>
      </c>
      <c r="FQ364" s="74">
        <f t="shared" si="1204"/>
        <v>0</v>
      </c>
      <c r="FR364" s="47">
        <f t="shared" si="1214"/>
        <v>0</v>
      </c>
      <c r="FS364" s="47">
        <f t="shared" si="1213"/>
        <v>1</v>
      </c>
      <c r="FT364" s="75">
        <f t="shared" si="1205"/>
        <v>0</v>
      </c>
      <c r="FU364" s="2604">
        <f t="shared" si="1137"/>
        <v>0</v>
      </c>
      <c r="FV364" s="2608">
        <f t="shared" si="1138"/>
        <v>0</v>
      </c>
      <c r="FW364" s="2604">
        <f t="shared" si="1139"/>
        <v>0</v>
      </c>
      <c r="FX364" s="2632">
        <f t="shared" si="1140"/>
        <v>0</v>
      </c>
      <c r="FY364" s="81" t="e">
        <f t="shared" si="1211"/>
        <v>#N/A</v>
      </c>
      <c r="FZ364" s="64" t="e">
        <f t="array" ref="FZ364">MATCH(1,($GT364:$LQ364&gt;0)*$GT$25:$LQ$25,0)</f>
        <v>#N/A</v>
      </c>
      <c r="GA364" s="64" t="e">
        <f t="array" ref="GA364">MATCH(2,1/(GT364:LQ364&gt;0))</f>
        <v>#N/A</v>
      </c>
      <c r="GB364" s="64">
        <f t="shared" si="1206"/>
        <v>-1</v>
      </c>
      <c r="GC364" s="1049"/>
      <c r="GD364" s="614"/>
      <c r="GE364" s="614"/>
      <c r="GF364" s="614"/>
      <c r="GG364" s="614"/>
      <c r="GH364" s="614"/>
      <c r="GI364" s="614"/>
      <c r="GJ364" s="614"/>
      <c r="GK364" s="614"/>
      <c r="GL364" s="614"/>
      <c r="GM364" s="614"/>
      <c r="GN364" s="387">
        <f t="shared" si="1157"/>
        <v>0</v>
      </c>
      <c r="GO364" s="388">
        <f t="shared" si="1158"/>
        <v>0</v>
      </c>
      <c r="GP364" s="2634"/>
      <c r="GQ364" s="176"/>
      <c r="GR364" s="173"/>
      <c r="GS364" s="65"/>
      <c r="GT364" s="169"/>
      <c r="GU364" s="170"/>
      <c r="GV364" s="170"/>
      <c r="GW364" s="170"/>
      <c r="GX364" s="170"/>
      <c r="GY364" s="170"/>
      <c r="GZ364" s="170"/>
      <c r="HA364" s="170"/>
      <c r="HB364" s="170"/>
      <c r="HC364" s="170"/>
      <c r="HD364" s="170"/>
      <c r="HE364" s="170"/>
      <c r="HF364" s="170"/>
      <c r="HG364" s="170"/>
      <c r="HH364" s="170"/>
      <c r="HI364" s="170"/>
      <c r="HJ364" s="170"/>
      <c r="HK364" s="170"/>
      <c r="HL364" s="170"/>
      <c r="HM364" s="170"/>
      <c r="HN364" s="170"/>
      <c r="HO364" s="170"/>
      <c r="HP364" s="170"/>
      <c r="HQ364" s="170"/>
      <c r="HR364" s="170"/>
      <c r="HS364" s="170"/>
      <c r="HT364" s="170"/>
      <c r="HU364" s="170"/>
      <c r="HV364" s="170"/>
      <c r="HW364" s="170"/>
      <c r="HX364" s="170"/>
      <c r="HY364" s="170"/>
      <c r="HZ364" s="170"/>
      <c r="IA364" s="170"/>
      <c r="IB364" s="170"/>
      <c r="IC364" s="170"/>
      <c r="ID364" s="170"/>
      <c r="IE364" s="170"/>
      <c r="IF364" s="170"/>
      <c r="IG364" s="170"/>
      <c r="IH364" s="170"/>
      <c r="II364" s="170"/>
      <c r="IJ364" s="170"/>
      <c r="IK364" s="170"/>
      <c r="IL364" s="170"/>
      <c r="IM364" s="170"/>
      <c r="IN364" s="170"/>
      <c r="IO364" s="170"/>
      <c r="IP364" s="170"/>
      <c r="IQ364" s="170"/>
      <c r="IR364" s="170"/>
      <c r="IS364" s="170"/>
      <c r="IT364" s="170"/>
      <c r="IU364" s="170"/>
      <c r="IV364" s="170"/>
      <c r="IW364" s="170"/>
      <c r="IX364" s="170"/>
      <c r="IY364" s="170"/>
      <c r="IZ364" s="170"/>
      <c r="JA364" s="170"/>
      <c r="JB364" s="170"/>
      <c r="JC364" s="170"/>
      <c r="JD364" s="170"/>
      <c r="JE364" s="170"/>
      <c r="JF364" s="170"/>
      <c r="JG364" s="170"/>
      <c r="JH364" s="170"/>
      <c r="JI364" s="170"/>
      <c r="JJ364" s="170"/>
      <c r="JK364" s="170"/>
      <c r="JL364" s="170"/>
      <c r="JM364" s="170"/>
      <c r="JN364" s="170"/>
      <c r="JO364" s="170"/>
      <c r="JP364" s="170"/>
      <c r="JQ364" s="170"/>
      <c r="JR364" s="170"/>
      <c r="JS364" s="170"/>
      <c r="JT364" s="170"/>
      <c r="JU364" s="170"/>
      <c r="JV364" s="170"/>
      <c r="JW364" s="170"/>
      <c r="JX364" s="170"/>
      <c r="JY364" s="170"/>
      <c r="JZ364" s="170"/>
      <c r="KA364" s="170"/>
      <c r="KB364" s="170"/>
      <c r="KC364" s="170"/>
      <c r="KD364" s="170"/>
      <c r="KE364" s="170"/>
      <c r="KF364" s="170"/>
      <c r="KG364" s="170"/>
      <c r="KH364" s="170"/>
      <c r="KI364" s="170"/>
      <c r="KJ364" s="170"/>
      <c r="KK364" s="170"/>
      <c r="KL364" s="170"/>
      <c r="KM364" s="170"/>
      <c r="KN364" s="170"/>
      <c r="KO364" s="170"/>
      <c r="KP364" s="170"/>
      <c r="KQ364" s="170"/>
      <c r="KR364" s="170"/>
      <c r="KS364" s="170"/>
      <c r="KT364" s="170"/>
      <c r="KU364" s="170"/>
      <c r="KV364" s="170"/>
      <c r="KW364" s="170"/>
      <c r="KX364" s="170"/>
      <c r="KY364" s="170"/>
      <c r="KZ364" s="170"/>
      <c r="LA364" s="170"/>
      <c r="LB364" s="170"/>
      <c r="LC364" s="170"/>
      <c r="LD364" s="170"/>
      <c r="LE364" s="170"/>
      <c r="LF364" s="170"/>
      <c r="LG364" s="170"/>
      <c r="LH364" s="170"/>
      <c r="LI364" s="170"/>
      <c r="LJ364" s="170"/>
      <c r="LK364" s="170"/>
      <c r="LL364" s="170"/>
      <c r="LM364" s="170"/>
      <c r="LN364" s="170"/>
      <c r="LO364" s="170"/>
      <c r="LP364" s="607"/>
      <c r="LQ364" s="610"/>
      <c r="LR364" s="1319"/>
      <c r="LS364" s="1319"/>
    </row>
    <row r="365" spans="1:331" s="2" customFormat="1" ht="21" customHeight="1" x14ac:dyDescent="0.25">
      <c r="A365" s="882"/>
      <c r="B365" s="895" t="s">
        <v>1414</v>
      </c>
      <c r="C365" s="893"/>
      <c r="D365" s="884"/>
      <c r="E365" s="884"/>
      <c r="F365" s="884"/>
      <c r="G365" s="884"/>
      <c r="H365" s="884"/>
      <c r="I365" s="884"/>
      <c r="J365" s="884"/>
      <c r="K365" s="884"/>
      <c r="L365" s="884"/>
      <c r="M365" s="894"/>
      <c r="N365" s="884"/>
      <c r="O365" s="884"/>
      <c r="P365" s="884"/>
      <c r="Q365" s="884"/>
      <c r="R365" s="884"/>
      <c r="S365" s="884"/>
      <c r="T365" s="884"/>
      <c r="U365" s="884"/>
      <c r="V365" s="884"/>
      <c r="W365" s="884"/>
      <c r="X365" s="884"/>
      <c r="Y365" s="884"/>
      <c r="Z365" s="884"/>
      <c r="AA365" s="884"/>
      <c r="AB365" s="884"/>
      <c r="AC365" s="884"/>
      <c r="AD365" s="884"/>
      <c r="AE365" s="884"/>
      <c r="AF365" s="884"/>
      <c r="AG365" s="884"/>
      <c r="AH365" s="894"/>
      <c r="AI365" s="884"/>
      <c r="AJ365" s="884"/>
      <c r="AK365" s="884"/>
      <c r="AL365" s="884"/>
      <c r="AM365" s="884"/>
      <c r="AN365" s="884"/>
      <c r="AO365" s="884"/>
      <c r="AP365" s="884"/>
      <c r="AQ365" s="884"/>
      <c r="AR365" s="884"/>
      <c r="AS365" s="884"/>
      <c r="AT365" s="884"/>
      <c r="AU365" s="884"/>
      <c r="AV365" s="884"/>
      <c r="AW365" s="884"/>
      <c r="AX365" s="884"/>
      <c r="AY365" s="884"/>
      <c r="AZ365" s="884"/>
      <c r="BA365" s="884"/>
      <c r="BB365" s="884"/>
      <c r="BC365" s="884"/>
      <c r="BD365" s="884"/>
      <c r="BE365" s="884"/>
      <c r="BF365" s="884"/>
      <c r="BG365" s="884"/>
      <c r="BH365" s="884"/>
      <c r="BI365" s="884"/>
      <c r="BJ365" s="884"/>
      <c r="BK365" s="884"/>
      <c r="BL365" s="884"/>
      <c r="BM365" s="884"/>
      <c r="BN365" s="884"/>
      <c r="BO365" s="884"/>
      <c r="BP365" s="884"/>
      <c r="BQ365" s="884"/>
      <c r="BR365" s="884"/>
      <c r="BS365" s="884"/>
      <c r="BT365" s="884"/>
      <c r="BU365" s="884"/>
      <c r="BV365" s="884"/>
      <c r="BW365" s="884"/>
      <c r="BX365" s="884"/>
      <c r="BY365" s="884"/>
      <c r="BZ365" s="884"/>
      <c r="CA365" s="884"/>
      <c r="CB365" s="884"/>
      <c r="CC365" s="884"/>
      <c r="CD365" s="884"/>
      <c r="CE365" s="884"/>
      <c r="CF365" s="884"/>
      <c r="CG365" s="884"/>
      <c r="CH365" s="884"/>
      <c r="CI365" s="884"/>
      <c r="CJ365" s="884"/>
      <c r="CK365" s="884"/>
      <c r="CL365" s="884"/>
      <c r="CM365" s="884"/>
      <c r="CN365" s="884"/>
      <c r="CO365" s="884"/>
      <c r="CP365" s="884"/>
      <c r="CQ365" s="884"/>
      <c r="CR365" s="884"/>
      <c r="CS365" s="884"/>
      <c r="CT365" s="884"/>
      <c r="CU365" s="884"/>
      <c r="CV365" s="884"/>
      <c r="CW365" s="884"/>
      <c r="CX365" s="884"/>
      <c r="CY365" s="884"/>
      <c r="CZ365" s="884"/>
      <c r="DA365" s="884"/>
      <c r="DB365" s="884"/>
      <c r="DC365" s="884"/>
      <c r="DD365" s="893"/>
      <c r="DE365" s="893"/>
      <c r="DF365" s="897" t="s">
        <v>1414</v>
      </c>
      <c r="DG365" s="893"/>
      <c r="DH365" s="893"/>
      <c r="DI365" s="893"/>
      <c r="DJ365" s="893"/>
      <c r="DK365" s="893"/>
      <c r="DL365" s="893"/>
      <c r="DM365" s="893"/>
      <c r="DN365" s="893"/>
      <c r="DO365" s="893"/>
      <c r="DP365" s="893"/>
      <c r="DQ365" s="893"/>
      <c r="DR365" s="893"/>
      <c r="DS365" s="893"/>
      <c r="DT365" s="893"/>
      <c r="DU365" s="893"/>
      <c r="DV365" s="893"/>
      <c r="DW365" s="893"/>
      <c r="DX365" s="893"/>
      <c r="DY365" s="893"/>
      <c r="DZ365" s="893"/>
      <c r="EA365" s="893"/>
      <c r="EB365" s="893"/>
      <c r="EC365" s="893"/>
      <c r="ED365" s="893"/>
      <c r="EE365" s="893"/>
      <c r="EF365" s="893"/>
      <c r="EG365" s="893"/>
      <c r="EH365" s="893"/>
      <c r="EI365" s="893"/>
      <c r="EJ365" s="893"/>
      <c r="EK365" s="893"/>
      <c r="EL365" s="893"/>
      <c r="EM365" s="893"/>
      <c r="EN365" s="893"/>
      <c r="EO365" s="893"/>
      <c r="EP365" s="893"/>
      <c r="EQ365" s="893"/>
      <c r="ER365" s="893"/>
      <c r="ES365" s="893"/>
      <c r="ET365" s="893"/>
      <c r="EU365" s="893"/>
      <c r="EV365" s="893"/>
      <c r="EW365" s="893"/>
      <c r="EX365" s="893"/>
      <c r="EY365" s="893"/>
      <c r="EZ365" s="893"/>
      <c r="FA365" s="893"/>
      <c r="FB365" s="893"/>
      <c r="FC365" s="893"/>
      <c r="FD365" s="893"/>
      <c r="FE365" s="893"/>
      <c r="FF365" s="893"/>
      <c r="FG365" s="893"/>
      <c r="FH365" s="893"/>
      <c r="FI365" s="893"/>
      <c r="FJ365" s="897" t="s">
        <v>1414</v>
      </c>
      <c r="FK365" s="893"/>
      <c r="FL365" s="893"/>
      <c r="FM365" s="893"/>
      <c r="FN365" s="893"/>
      <c r="FO365" s="893"/>
      <c r="FP365" s="893"/>
      <c r="FQ365" s="893"/>
      <c r="FR365" s="893"/>
      <c r="FS365" s="893"/>
      <c r="FT365" s="893"/>
      <c r="FU365" s="893"/>
      <c r="FV365" s="893"/>
      <c r="FW365" s="893"/>
      <c r="FX365" s="893"/>
      <c r="FY365" s="893"/>
      <c r="FZ365" s="893"/>
      <c r="GA365" s="893"/>
      <c r="GB365" s="893"/>
      <c r="GC365" s="893"/>
      <c r="GD365" s="893"/>
      <c r="GE365" s="893"/>
      <c r="GF365" s="893"/>
      <c r="GG365" s="893"/>
      <c r="GH365" s="893"/>
      <c r="GI365" s="893"/>
      <c r="GJ365" s="893"/>
      <c r="GK365" s="893"/>
      <c r="GL365" s="893"/>
      <c r="GM365" s="893"/>
      <c r="GN365" s="893"/>
      <c r="GO365" s="893"/>
      <c r="GP365" s="893"/>
      <c r="GQ365" s="893"/>
      <c r="GR365" s="893"/>
      <c r="GS365" s="893"/>
      <c r="GT365" s="893"/>
      <c r="GU365" s="893"/>
      <c r="GV365" s="893"/>
      <c r="GW365" s="893"/>
      <c r="GX365" s="893"/>
      <c r="GY365" s="893"/>
      <c r="GZ365" s="893"/>
      <c r="HA365" s="893"/>
      <c r="HB365" s="893"/>
      <c r="HC365" s="893"/>
      <c r="HD365" s="893"/>
      <c r="HE365" s="893"/>
      <c r="HF365" s="893"/>
      <c r="HG365" s="893"/>
      <c r="HH365" s="893"/>
      <c r="HI365" s="893"/>
      <c r="HJ365" s="893"/>
      <c r="HK365" s="893"/>
      <c r="HL365" s="893"/>
      <c r="HM365" s="893"/>
      <c r="HN365" s="893"/>
      <c r="HO365" s="893"/>
      <c r="HP365" s="893"/>
      <c r="HQ365" s="893"/>
      <c r="HR365" s="893"/>
      <c r="HS365" s="893"/>
      <c r="HT365" s="893"/>
      <c r="HU365" s="893"/>
      <c r="HV365" s="893"/>
      <c r="HW365" s="893"/>
      <c r="HX365" s="893"/>
      <c r="HY365" s="893"/>
      <c r="HZ365" s="893"/>
      <c r="IA365" s="893"/>
      <c r="IB365" s="893"/>
      <c r="IC365" s="893"/>
      <c r="ID365" s="893"/>
      <c r="IE365" s="893"/>
      <c r="IF365" s="893"/>
      <c r="IG365" s="893"/>
      <c r="IH365" s="893"/>
      <c r="II365" s="893"/>
      <c r="IJ365" s="893"/>
      <c r="IK365" s="897" t="s">
        <v>1414</v>
      </c>
      <c r="IL365" s="893"/>
      <c r="IM365" s="893"/>
      <c r="IN365" s="893"/>
      <c r="IO365" s="893"/>
      <c r="IP365" s="893"/>
      <c r="IQ365" s="893"/>
      <c r="IR365" s="893"/>
      <c r="IS365" s="893"/>
      <c r="IT365" s="893"/>
      <c r="IU365" s="893"/>
      <c r="IV365" s="893"/>
      <c r="IW365" s="893"/>
      <c r="IX365" s="893"/>
      <c r="IY365" s="893"/>
      <c r="IZ365" s="893"/>
      <c r="JA365" s="893"/>
      <c r="JB365" s="893"/>
      <c r="JC365" s="893"/>
      <c r="JD365" s="893"/>
      <c r="JE365" s="893"/>
      <c r="JF365" s="893"/>
      <c r="JG365" s="893"/>
      <c r="JH365" s="893"/>
      <c r="JI365" s="893"/>
      <c r="JJ365" s="893"/>
      <c r="JK365" s="893"/>
      <c r="JL365" s="893"/>
      <c r="JM365" s="893"/>
      <c r="JN365" s="893"/>
      <c r="JO365" s="893"/>
      <c r="JP365" s="893"/>
      <c r="JQ365" s="893"/>
      <c r="JR365" s="893"/>
      <c r="JS365" s="893"/>
      <c r="JT365" s="893"/>
      <c r="JU365" s="893"/>
      <c r="JV365" s="893"/>
      <c r="JW365" s="893"/>
      <c r="JX365" s="893"/>
      <c r="JY365" s="893"/>
      <c r="JZ365" s="893"/>
      <c r="KA365" s="893"/>
      <c r="KB365" s="893"/>
      <c r="KC365" s="893"/>
      <c r="KD365" s="893"/>
      <c r="KE365" s="893"/>
      <c r="KF365" s="893"/>
      <c r="KG365" s="893"/>
      <c r="KH365" s="893"/>
      <c r="KI365" s="893"/>
      <c r="KJ365" s="893"/>
      <c r="KK365" s="893"/>
      <c r="KL365" s="893"/>
      <c r="KM365" s="893"/>
      <c r="KN365" s="893"/>
      <c r="KO365" s="893"/>
      <c r="KP365" s="893"/>
      <c r="KQ365" s="893"/>
      <c r="KR365" s="893"/>
      <c r="KS365" s="893"/>
      <c r="KT365" s="893"/>
      <c r="KU365" s="893"/>
      <c r="KV365" s="893"/>
      <c r="KW365" s="893"/>
      <c r="KX365" s="893"/>
      <c r="KY365" s="893"/>
      <c r="KZ365" s="893"/>
      <c r="LA365" s="893"/>
      <c r="LB365" s="893"/>
      <c r="LC365" s="893"/>
      <c r="LD365" s="893"/>
      <c r="LE365" s="893"/>
      <c r="LF365" s="893"/>
      <c r="LG365" s="893"/>
      <c r="LH365" s="893"/>
      <c r="LI365" s="893"/>
      <c r="LJ365" s="893"/>
      <c r="LK365" s="893"/>
      <c r="LL365" s="893"/>
      <c r="LM365" s="893"/>
      <c r="LN365" s="893"/>
      <c r="LO365" s="893"/>
      <c r="LP365" s="893"/>
      <c r="LQ365" s="896"/>
      <c r="LR365" s="1"/>
      <c r="LS365" s="1"/>
    </row>
    <row r="366" spans="1:331" s="2" customFormat="1" ht="15" customHeight="1" x14ac:dyDescent="0.25">
      <c r="A366" s="883"/>
      <c r="B366" s="883"/>
      <c r="C366" s="284"/>
      <c r="D366" s="284"/>
      <c r="E366" s="284"/>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0"/>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c r="EH366" s="11"/>
      <c r="EI366" s="11"/>
      <c r="EJ366" s="11"/>
      <c r="EK366" s="11"/>
      <c r="EL366" s="11"/>
      <c r="EM366" s="11"/>
      <c r="EN366" s="11"/>
      <c r="EO366" s="11"/>
      <c r="EP366" s="11"/>
      <c r="EQ366" s="11"/>
      <c r="ER366" s="11"/>
      <c r="ES366" s="11"/>
      <c r="ET366" s="11"/>
      <c r="EU366" s="11"/>
      <c r="EV366" s="11"/>
      <c r="EW366" s="11"/>
      <c r="EX366" s="11"/>
      <c r="EY366" s="11"/>
      <c r="EZ366" s="11"/>
      <c r="FA366" s="11"/>
      <c r="FB366" s="11"/>
      <c r="FC366" s="11"/>
      <c r="FD366" s="11"/>
      <c r="FE366" s="11"/>
      <c r="FF366" s="11"/>
      <c r="FG366" s="11"/>
      <c r="FH366" s="11"/>
      <c r="FI366" s="11"/>
      <c r="FJ366" s="883"/>
      <c r="FK366" s="883"/>
      <c r="FL366" s="883"/>
      <c r="FM366" s="883"/>
      <c r="FN366" s="883"/>
      <c r="FO366" s="883"/>
      <c r="FP366" s="883"/>
      <c r="FQ366" s="883"/>
      <c r="FR366" s="883"/>
      <c r="FS366" s="883"/>
      <c r="FT366" s="883"/>
      <c r="FU366" s="883"/>
      <c r="FV366" s="883"/>
      <c r="FW366" s="883"/>
      <c r="FX366" s="883"/>
      <c r="FY366" s="883"/>
      <c r="FZ366" s="883"/>
      <c r="GA366" s="883"/>
      <c r="GB366" s="883"/>
      <c r="GC366" s="883"/>
      <c r="GD366" s="883"/>
      <c r="GE366" s="883"/>
      <c r="GF366" s="883"/>
      <c r="GG366" s="883"/>
      <c r="GH366" s="883"/>
      <c r="GI366" s="883"/>
      <c r="GJ366" s="883"/>
      <c r="GK366" s="883"/>
      <c r="GL366" s="883"/>
      <c r="GM366" s="883"/>
      <c r="GN366" s="883"/>
      <c r="GO366" s="883"/>
      <c r="GP366" s="883"/>
      <c r="GQ366" s="883"/>
      <c r="GR366" s="883"/>
      <c r="GS366" s="883"/>
      <c r="GT366" s="883"/>
      <c r="GU366" s="883"/>
      <c r="GV366" s="883"/>
      <c r="GW366" s="883"/>
      <c r="GX366" s="883"/>
      <c r="GY366" s="883"/>
      <c r="GZ366" s="883"/>
      <c r="HA366" s="883"/>
      <c r="HB366" s="883"/>
      <c r="HC366" s="883"/>
      <c r="HD366" s="883"/>
      <c r="HE366" s="883"/>
      <c r="HF366" s="883"/>
      <c r="HG366" s="883"/>
      <c r="HH366" s="883"/>
      <c r="HI366" s="883"/>
      <c r="HJ366" s="883"/>
      <c r="HK366" s="883"/>
      <c r="HL366" s="883"/>
      <c r="HM366" s="883"/>
      <c r="HN366" s="883"/>
      <c r="HO366" s="883"/>
      <c r="HP366" s="883"/>
      <c r="HQ366" s="883"/>
      <c r="HR366" s="883"/>
      <c r="HS366" s="883"/>
      <c r="HT366" s="883"/>
      <c r="HU366" s="883"/>
      <c r="HV366" s="883"/>
      <c r="HW366" s="883"/>
      <c r="HX366" s="883"/>
      <c r="HY366" s="883"/>
      <c r="HZ366" s="883"/>
      <c r="IA366" s="883"/>
      <c r="IB366" s="883"/>
      <c r="IC366" s="883"/>
      <c r="ID366" s="883"/>
      <c r="IE366" s="883"/>
      <c r="IF366" s="883"/>
      <c r="IG366" s="883"/>
      <c r="IH366" s="883"/>
      <c r="II366" s="883"/>
      <c r="IJ366" s="883"/>
      <c r="IK366" s="883"/>
      <c r="IL366" s="883"/>
      <c r="IM366" s="883"/>
      <c r="IN366" s="883"/>
      <c r="IO366" s="883"/>
      <c r="IP366" s="883"/>
      <c r="IQ366" s="883"/>
      <c r="IR366" s="883"/>
      <c r="IS366" s="883"/>
      <c r="IT366" s="883"/>
      <c r="IU366" s="883"/>
      <c r="IV366" s="883"/>
      <c r="IW366" s="883"/>
      <c r="IX366" s="883"/>
      <c r="IY366" s="883"/>
      <c r="IZ366" s="883"/>
      <c r="JA366" s="883"/>
      <c r="JB366" s="883"/>
      <c r="JC366" s="883"/>
      <c r="JD366" s="883"/>
      <c r="JE366" s="883"/>
      <c r="JF366" s="883"/>
      <c r="JG366" s="883"/>
      <c r="JH366" s="883"/>
      <c r="JI366" s="883"/>
      <c r="JJ366" s="883"/>
      <c r="JK366" s="883"/>
      <c r="JL366" s="883"/>
      <c r="JM366" s="883"/>
      <c r="JN366" s="883"/>
      <c r="JO366" s="883"/>
      <c r="JP366" s="883"/>
      <c r="JQ366" s="883"/>
      <c r="JR366" s="883"/>
      <c r="JS366" s="883"/>
      <c r="JT366" s="883"/>
      <c r="JU366" s="883"/>
      <c r="JV366" s="883"/>
      <c r="JW366" s="883"/>
      <c r="JX366" s="883"/>
      <c r="JY366" s="883"/>
      <c r="JZ366" s="883"/>
      <c r="KA366" s="883"/>
      <c r="KB366" s="883"/>
      <c r="KC366" s="883"/>
      <c r="KD366" s="883"/>
      <c r="KE366" s="883"/>
      <c r="KF366" s="883"/>
      <c r="KG366" s="883"/>
      <c r="KH366" s="883"/>
      <c r="KI366" s="883"/>
      <c r="KJ366" s="883"/>
      <c r="KK366" s="883"/>
      <c r="KL366" s="883"/>
      <c r="KM366" s="883"/>
      <c r="KN366" s="883"/>
      <c r="KO366" s="883"/>
      <c r="KP366" s="883"/>
      <c r="KQ366" s="883"/>
      <c r="KR366" s="883"/>
      <c r="KS366" s="883"/>
      <c r="KT366" s="883"/>
      <c r="KU366" s="883"/>
      <c r="KV366" s="883"/>
      <c r="KW366" s="883"/>
      <c r="KX366" s="883"/>
      <c r="KY366" s="883"/>
      <c r="KZ366" s="883"/>
      <c r="LA366" s="883"/>
      <c r="LB366" s="883"/>
      <c r="LC366" s="883"/>
      <c r="LD366" s="883"/>
      <c r="LE366" s="883"/>
      <c r="LF366" s="883"/>
      <c r="LG366" s="883"/>
      <c r="LH366" s="883"/>
      <c r="LI366" s="883"/>
      <c r="LJ366" s="883"/>
      <c r="LK366" s="883"/>
      <c r="LL366" s="883"/>
      <c r="LM366" s="883"/>
      <c r="LN366" s="883"/>
      <c r="LO366" s="883"/>
      <c r="LP366" s="883"/>
      <c r="LQ366" s="883"/>
      <c r="LR366" s="1"/>
      <c r="LS366" s="1"/>
    </row>
    <row r="367" spans="1:331" s="2" customFormat="1" ht="15" customHeight="1" x14ac:dyDescent="0.25">
      <c r="A367" s="7"/>
      <c r="B367" s="7"/>
      <c r="C367" s="84"/>
      <c r="D367" s="7"/>
      <c r="E367" s="7"/>
      <c r="F367" s="7"/>
      <c r="G367" s="7"/>
      <c r="H367" s="7"/>
      <c r="I367" s="7"/>
      <c r="J367" s="7"/>
      <c r="K367" s="7"/>
      <c r="L367" s="7"/>
      <c r="M367" s="8"/>
      <c r="N367" s="7"/>
      <c r="O367" s="7"/>
      <c r="P367" s="7"/>
      <c r="Q367" s="7"/>
      <c r="R367" s="7"/>
      <c r="S367" s="7"/>
      <c r="T367" s="7"/>
      <c r="U367" s="7"/>
      <c r="V367" s="7"/>
      <c r="W367" s="7"/>
      <c r="X367" s="7"/>
      <c r="Y367" s="7"/>
      <c r="Z367" s="7"/>
      <c r="AA367" s="7"/>
      <c r="AB367" s="7"/>
      <c r="AC367" s="7"/>
      <c r="AD367" s="7"/>
      <c r="AE367" s="7"/>
      <c r="AF367" s="7"/>
      <c r="AG367" s="7"/>
      <c r="AH367" s="8"/>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LR367" s="1"/>
      <c r="LS367" s="1"/>
    </row>
    <row r="368" spans="1:331" s="2" customFormat="1" ht="15" customHeight="1" x14ac:dyDescent="0.25">
      <c r="A368" s="7"/>
      <c r="B368" s="7"/>
      <c r="C368" s="84"/>
      <c r="D368" s="7"/>
      <c r="E368" s="7"/>
      <c r="F368" s="7"/>
      <c r="G368" s="7"/>
      <c r="H368" s="7"/>
      <c r="I368" s="7"/>
      <c r="J368" s="7"/>
      <c r="K368" s="7"/>
      <c r="L368" s="7"/>
      <c r="M368" s="8"/>
      <c r="N368" s="7"/>
      <c r="O368" s="7"/>
      <c r="P368" s="7"/>
      <c r="Q368" s="7"/>
      <c r="R368" s="7"/>
      <c r="S368" s="7"/>
      <c r="T368" s="7"/>
      <c r="U368" s="7"/>
      <c r="V368" s="7"/>
      <c r="W368" s="7"/>
      <c r="X368" s="7"/>
      <c r="Y368" s="7"/>
      <c r="Z368" s="7"/>
      <c r="AA368" s="7"/>
      <c r="AB368" s="7"/>
      <c r="AC368" s="7"/>
      <c r="AD368" s="7"/>
      <c r="AE368" s="7"/>
      <c r="AF368" s="7"/>
      <c r="AG368" s="7"/>
      <c r="AH368" s="8"/>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LR368" s="1"/>
      <c r="LS368" s="1"/>
    </row>
    <row r="369" spans="1:331" s="2" customFormat="1" ht="15" customHeight="1" x14ac:dyDescent="0.25">
      <c r="A369" s="7"/>
      <c r="B369" s="7"/>
      <c r="C369" s="84"/>
      <c r="D369" s="7"/>
      <c r="E369" s="7"/>
      <c r="F369" s="7"/>
      <c r="G369" s="7"/>
      <c r="H369" s="7"/>
      <c r="I369" s="7"/>
      <c r="J369" s="7"/>
      <c r="K369" s="7"/>
      <c r="L369" s="7"/>
      <c r="M369" s="8"/>
      <c r="N369" s="7"/>
      <c r="O369" s="7"/>
      <c r="P369" s="7"/>
      <c r="Q369" s="7"/>
      <c r="R369" s="7"/>
      <c r="S369" s="7"/>
      <c r="T369" s="7"/>
      <c r="U369" s="7"/>
      <c r="V369" s="7"/>
      <c r="W369" s="7"/>
      <c r="X369" s="7"/>
      <c r="Y369" s="7"/>
      <c r="Z369" s="7"/>
      <c r="AA369" s="7"/>
      <c r="AB369" s="7"/>
      <c r="AC369" s="7"/>
      <c r="AD369" s="7"/>
      <c r="AE369" s="7"/>
      <c r="AF369" s="7"/>
      <c r="AG369" s="7"/>
      <c r="AH369" s="8"/>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LR369" s="1"/>
      <c r="LS369" s="1"/>
    </row>
    <row r="370" spans="1:331" s="2" customFormat="1" ht="15" customHeight="1" x14ac:dyDescent="0.25">
      <c r="A370" s="7"/>
      <c r="B370" s="7"/>
      <c r="C370" s="84"/>
      <c r="D370" s="7"/>
      <c r="E370" s="7"/>
      <c r="F370" s="7"/>
      <c r="G370" s="7"/>
      <c r="H370" s="7"/>
      <c r="I370" s="7"/>
      <c r="J370" s="7"/>
      <c r="K370" s="7"/>
      <c r="L370" s="7"/>
      <c r="M370" s="8"/>
      <c r="N370" s="7"/>
      <c r="O370" s="7"/>
      <c r="P370" s="7"/>
      <c r="Q370" s="7"/>
      <c r="R370" s="7"/>
      <c r="S370" s="7"/>
      <c r="T370" s="7"/>
      <c r="U370" s="7"/>
      <c r="V370" s="7"/>
      <c r="W370" s="7"/>
      <c r="X370" s="7"/>
      <c r="Y370" s="7"/>
      <c r="Z370" s="7"/>
      <c r="AA370" s="7"/>
      <c r="AB370" s="7"/>
      <c r="AC370" s="7"/>
      <c r="AD370" s="7"/>
      <c r="AE370" s="7"/>
      <c r="AF370" s="7"/>
      <c r="AG370" s="7"/>
      <c r="AH370" s="8"/>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LR370" s="1"/>
      <c r="LS370" s="1"/>
    </row>
    <row r="371" spans="1:331" s="2" customFormat="1" ht="15" customHeight="1" x14ac:dyDescent="0.25">
      <c r="A371" s="7"/>
      <c r="B371" s="7"/>
      <c r="C371" s="84"/>
      <c r="D371" s="7"/>
      <c r="E371" s="7"/>
      <c r="F371" s="7"/>
      <c r="G371" s="7"/>
      <c r="H371" s="7"/>
      <c r="I371" s="7"/>
      <c r="J371" s="7"/>
      <c r="K371" s="7"/>
      <c r="L371" s="7"/>
      <c r="M371" s="8"/>
      <c r="N371" s="7"/>
      <c r="O371" s="7"/>
      <c r="P371" s="7"/>
      <c r="Q371" s="7"/>
      <c r="R371" s="7"/>
      <c r="S371" s="7"/>
      <c r="T371" s="7"/>
      <c r="U371" s="7"/>
      <c r="V371" s="7"/>
      <c r="W371" s="7"/>
      <c r="X371" s="7"/>
      <c r="Y371" s="7"/>
      <c r="Z371" s="7"/>
      <c r="AA371" s="7"/>
      <c r="AB371" s="7"/>
      <c r="AC371" s="7"/>
      <c r="AD371" s="7"/>
      <c r="AE371" s="7"/>
      <c r="AF371" s="7"/>
      <c r="AG371" s="7"/>
      <c r="AH371" s="8"/>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LR371" s="1"/>
      <c r="LS371" s="1"/>
    </row>
    <row r="372" spans="1:331" s="2" customFormat="1" ht="15" customHeight="1" x14ac:dyDescent="0.25">
      <c r="A372" s="7"/>
      <c r="B372" s="7"/>
      <c r="C372" s="84"/>
      <c r="D372" s="7"/>
      <c r="E372" s="7"/>
      <c r="F372" s="7"/>
      <c r="G372" s="7"/>
      <c r="H372" s="7"/>
      <c r="I372" s="7"/>
      <c r="J372" s="7"/>
      <c r="K372" s="7"/>
      <c r="L372" s="7"/>
      <c r="M372" s="8"/>
      <c r="N372" s="7"/>
      <c r="O372" s="7"/>
      <c r="P372" s="7"/>
      <c r="Q372" s="7"/>
      <c r="R372" s="7"/>
      <c r="S372" s="7"/>
      <c r="T372" s="7"/>
      <c r="U372" s="7"/>
      <c r="V372" s="7"/>
      <c r="W372" s="7"/>
      <c r="X372" s="7"/>
      <c r="Y372" s="7"/>
      <c r="Z372" s="7"/>
      <c r="AA372" s="7"/>
      <c r="AB372" s="7"/>
      <c r="AC372" s="7"/>
      <c r="AD372" s="7"/>
      <c r="AE372" s="7"/>
      <c r="AF372" s="7"/>
      <c r="AG372" s="7"/>
      <c r="AH372" s="8"/>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LR372" s="1"/>
      <c r="LS372" s="1"/>
    </row>
    <row r="373" spans="1:331" s="2" customFormat="1" ht="15" customHeight="1" x14ac:dyDescent="0.3">
      <c r="A373" s="7"/>
      <c r="B373" s="7"/>
      <c r="C373" s="84"/>
      <c r="D373" s="7"/>
      <c r="E373" s="7"/>
      <c r="F373" s="7"/>
      <c r="G373" s="7"/>
      <c r="H373" s="7"/>
      <c r="I373" s="7"/>
      <c r="J373" s="7"/>
      <c r="K373" s="7"/>
      <c r="L373" s="7"/>
      <c r="M373" s="8"/>
      <c r="N373" s="7"/>
      <c r="O373" s="7"/>
      <c r="P373" s="7"/>
      <c r="Q373" s="7"/>
      <c r="R373" s="7"/>
      <c r="S373" s="7"/>
      <c r="T373" s="7"/>
      <c r="U373" s="7"/>
      <c r="V373" s="7"/>
      <c r="W373" s="7"/>
      <c r="X373" s="7"/>
      <c r="Y373" s="7"/>
      <c r="Z373" s="7"/>
      <c r="AA373" s="7"/>
      <c r="AB373" s="7"/>
      <c r="AC373" s="7"/>
      <c r="AD373" s="7"/>
      <c r="AE373" s="7"/>
      <c r="AF373" s="7"/>
      <c r="AG373" s="7"/>
      <c r="AH373" s="8"/>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row>
    <row r="374" spans="1:331" s="2" customFormat="1" ht="15" customHeight="1" x14ac:dyDescent="0.3">
      <c r="A374" s="7"/>
      <c r="B374" s="7"/>
      <c r="C374" s="84"/>
      <c r="D374" s="7"/>
      <c r="E374" s="7"/>
      <c r="F374" s="7"/>
      <c r="G374" s="7"/>
      <c r="H374" s="7"/>
      <c r="I374" s="7"/>
      <c r="J374" s="7"/>
      <c r="K374" s="7"/>
      <c r="L374" s="7"/>
      <c r="M374" s="8"/>
      <c r="N374" s="7"/>
      <c r="O374" s="7"/>
      <c r="P374" s="7"/>
      <c r="Q374" s="7"/>
      <c r="R374" s="7"/>
      <c r="S374" s="7"/>
      <c r="T374" s="7"/>
      <c r="U374" s="7"/>
      <c r="V374" s="7"/>
      <c r="W374" s="7"/>
      <c r="X374" s="7"/>
      <c r="Y374" s="7"/>
      <c r="Z374" s="7"/>
      <c r="AA374" s="7"/>
      <c r="AB374" s="7"/>
      <c r="AC374" s="7"/>
      <c r="AD374" s="7"/>
      <c r="AE374" s="7"/>
      <c r="AF374" s="7"/>
      <c r="AG374" s="7"/>
      <c r="AH374" s="8"/>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row>
    <row r="375" spans="1:331" s="2" customFormat="1" ht="15" customHeight="1" x14ac:dyDescent="0.3">
      <c r="A375" s="7"/>
      <c r="B375" s="7"/>
      <c r="C375" s="84"/>
      <c r="D375" s="7"/>
      <c r="E375" s="7"/>
      <c r="F375" s="7"/>
      <c r="G375" s="7"/>
      <c r="H375" s="7"/>
      <c r="I375" s="7"/>
      <c r="J375" s="7"/>
      <c r="K375" s="7"/>
      <c r="L375" s="7"/>
      <c r="M375" s="8"/>
      <c r="N375" s="7"/>
      <c r="O375" s="7"/>
      <c r="P375" s="7"/>
      <c r="Q375" s="7"/>
      <c r="R375" s="7"/>
      <c r="S375" s="7"/>
      <c r="T375" s="7"/>
      <c r="U375" s="7"/>
      <c r="V375" s="7"/>
      <c r="W375" s="7"/>
      <c r="X375" s="7"/>
      <c r="Y375" s="7"/>
      <c r="Z375" s="7"/>
      <c r="AA375" s="7"/>
      <c r="AB375" s="7"/>
      <c r="AC375" s="7"/>
      <c r="AD375" s="7"/>
      <c r="AE375" s="7"/>
      <c r="AF375" s="7"/>
      <c r="AG375" s="7"/>
      <c r="AH375" s="8"/>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row>
    <row r="376" spans="1:331" s="2" customFormat="1" ht="15" customHeight="1" x14ac:dyDescent="0.3">
      <c r="A376" s="7"/>
      <c r="B376" s="7"/>
      <c r="C376" s="84"/>
      <c r="D376" s="7"/>
      <c r="E376" s="7"/>
      <c r="F376" s="7"/>
      <c r="G376" s="7"/>
      <c r="H376" s="7"/>
      <c r="I376" s="7"/>
      <c r="J376" s="7"/>
      <c r="K376" s="7"/>
      <c r="L376" s="7"/>
      <c r="M376" s="8"/>
      <c r="N376" s="7"/>
      <c r="O376" s="7"/>
      <c r="P376" s="7"/>
      <c r="Q376" s="7"/>
      <c r="R376" s="7"/>
      <c r="S376" s="7"/>
      <c r="T376" s="7"/>
      <c r="U376" s="7"/>
      <c r="V376" s="7"/>
      <c r="W376" s="7"/>
      <c r="X376" s="7"/>
      <c r="Y376" s="7"/>
      <c r="Z376" s="7"/>
      <c r="AA376" s="7"/>
      <c r="AB376" s="7"/>
      <c r="AC376" s="7"/>
      <c r="AD376" s="7"/>
      <c r="AE376" s="7"/>
      <c r="AF376" s="7"/>
      <c r="AG376" s="7"/>
      <c r="AH376" s="8"/>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row>
    <row r="377" spans="1:331" s="2" customFormat="1" ht="15" customHeight="1" x14ac:dyDescent="0.3">
      <c r="A377" s="7"/>
      <c r="B377" s="7"/>
      <c r="C377" s="84"/>
      <c r="D377" s="7"/>
      <c r="E377" s="7"/>
      <c r="F377" s="7"/>
      <c r="G377" s="7"/>
      <c r="H377" s="7"/>
      <c r="I377" s="7"/>
      <c r="J377" s="7"/>
      <c r="K377" s="7"/>
      <c r="L377" s="7"/>
      <c r="M377" s="8"/>
      <c r="N377" s="7"/>
      <c r="O377" s="7"/>
      <c r="P377" s="7"/>
      <c r="Q377" s="7"/>
      <c r="R377" s="7"/>
      <c r="S377" s="7"/>
      <c r="T377" s="7"/>
      <c r="U377" s="7"/>
      <c r="V377" s="7"/>
      <c r="W377" s="7"/>
      <c r="X377" s="7"/>
      <c r="Y377" s="7"/>
      <c r="Z377" s="7"/>
      <c r="AA377" s="7"/>
      <c r="AB377" s="7"/>
      <c r="AC377" s="7"/>
      <c r="AD377" s="7"/>
      <c r="AE377" s="7"/>
      <c r="AF377" s="7"/>
      <c r="AG377" s="7"/>
      <c r="AH377" s="8"/>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row>
    <row r="378" spans="1:331" s="2" customFormat="1" ht="15" customHeight="1" x14ac:dyDescent="0.3">
      <c r="A378" s="7"/>
      <c r="B378" s="7"/>
      <c r="C378" s="84"/>
      <c r="D378" s="7"/>
      <c r="E378" s="7"/>
      <c r="F378" s="7"/>
      <c r="G378" s="7"/>
      <c r="H378" s="7"/>
      <c r="I378" s="7"/>
      <c r="J378" s="7"/>
      <c r="K378" s="7"/>
      <c r="L378" s="7"/>
      <c r="M378" s="8"/>
      <c r="N378" s="7"/>
      <c r="O378" s="7"/>
      <c r="P378" s="7"/>
      <c r="Q378" s="7"/>
      <c r="R378" s="7"/>
      <c r="S378" s="7"/>
      <c r="T378" s="7"/>
      <c r="U378" s="7"/>
      <c r="V378" s="7"/>
      <c r="W378" s="7"/>
      <c r="X378" s="7"/>
      <c r="Y378" s="7"/>
      <c r="Z378" s="7"/>
      <c r="AA378" s="7"/>
      <c r="AB378" s="7"/>
      <c r="AC378" s="7"/>
      <c r="AD378" s="7"/>
      <c r="AE378" s="7"/>
      <c r="AF378" s="7"/>
      <c r="AG378" s="7"/>
      <c r="AH378" s="8"/>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row>
    <row r="379" spans="1:331" s="2" customFormat="1" ht="15" customHeight="1" x14ac:dyDescent="0.3">
      <c r="A379" s="7"/>
      <c r="B379" s="7"/>
      <c r="C379" s="84"/>
      <c r="D379" s="7"/>
      <c r="E379" s="7"/>
      <c r="F379" s="7"/>
      <c r="G379" s="7"/>
      <c r="H379" s="7"/>
      <c r="I379" s="7"/>
      <c r="J379" s="7"/>
      <c r="K379" s="7"/>
      <c r="L379" s="7"/>
      <c r="M379" s="8"/>
      <c r="N379" s="7"/>
      <c r="O379" s="7"/>
      <c r="P379" s="7"/>
      <c r="Q379" s="7"/>
      <c r="R379" s="7"/>
      <c r="S379" s="7"/>
      <c r="T379" s="7"/>
      <c r="U379" s="7"/>
      <c r="V379" s="7"/>
      <c r="W379" s="7"/>
      <c r="X379" s="7"/>
      <c r="Y379" s="7"/>
      <c r="Z379" s="7"/>
      <c r="AA379" s="7"/>
      <c r="AB379" s="7"/>
      <c r="AC379" s="7"/>
      <c r="AD379" s="7"/>
      <c r="AE379" s="7"/>
      <c r="AF379" s="7"/>
      <c r="AG379" s="7"/>
      <c r="AH379" s="8"/>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row>
    <row r="380" spans="1:331" x14ac:dyDescent="0.3">
      <c r="A380" s="7"/>
      <c r="B380" s="7"/>
      <c r="C380" s="84"/>
      <c r="D380" s="7"/>
      <c r="E380" s="7"/>
      <c r="F380" s="7"/>
      <c r="G380" s="7"/>
      <c r="H380" s="7"/>
      <c r="I380" s="7"/>
      <c r="J380" s="7"/>
      <c r="K380" s="7"/>
      <c r="L380" s="7"/>
      <c r="M380" s="8"/>
      <c r="N380" s="7"/>
      <c r="O380" s="7"/>
      <c r="P380" s="7"/>
      <c r="Q380" s="7"/>
      <c r="R380" s="7"/>
      <c r="S380" s="7"/>
      <c r="T380" s="7"/>
      <c r="U380" s="7"/>
      <c r="V380" s="7"/>
      <c r="W380" s="7"/>
      <c r="X380" s="7"/>
      <c r="Y380" s="7"/>
      <c r="Z380" s="7"/>
      <c r="AA380" s="7"/>
      <c r="AB380" s="7"/>
      <c r="AC380" s="7"/>
      <c r="AD380" s="7"/>
      <c r="AE380" s="7"/>
      <c r="AF380" s="7"/>
      <c r="AG380" s="7"/>
      <c r="AH380" s="8"/>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row>
    <row r="381" spans="1:331" x14ac:dyDescent="0.3">
      <c r="A381" s="7"/>
      <c r="B381" s="7"/>
      <c r="C381" s="84"/>
      <c r="D381" s="7"/>
      <c r="E381" s="7"/>
      <c r="F381" s="7"/>
      <c r="G381" s="7"/>
      <c r="H381" s="7"/>
      <c r="I381" s="7"/>
      <c r="J381" s="7"/>
      <c r="K381" s="7"/>
      <c r="L381" s="7"/>
      <c r="M381" s="8"/>
      <c r="N381" s="7"/>
      <c r="O381" s="7"/>
      <c r="P381" s="7"/>
      <c r="Q381" s="7"/>
      <c r="R381" s="7"/>
      <c r="S381" s="7"/>
      <c r="T381" s="7"/>
      <c r="U381" s="7"/>
      <c r="V381" s="7"/>
      <c r="W381" s="7"/>
      <c r="X381" s="7"/>
      <c r="Y381" s="7"/>
      <c r="Z381" s="7"/>
      <c r="AA381" s="7"/>
      <c r="AB381" s="7"/>
      <c r="AC381" s="7"/>
      <c r="AD381" s="7"/>
      <c r="AE381" s="7"/>
      <c r="AF381" s="7"/>
      <c r="AG381" s="7"/>
      <c r="AH381" s="8"/>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row>
    <row r="382" spans="1:331" x14ac:dyDescent="0.3">
      <c r="A382" s="7"/>
      <c r="B382" s="7"/>
      <c r="C382" s="84"/>
      <c r="D382" s="7"/>
      <c r="E382" s="7"/>
      <c r="F382" s="7"/>
      <c r="G382" s="7"/>
      <c r="H382" s="7"/>
      <c r="I382" s="7"/>
      <c r="J382" s="7"/>
      <c r="K382" s="7"/>
      <c r="L382" s="7"/>
      <c r="M382" s="8"/>
      <c r="N382" s="7"/>
      <c r="O382" s="7"/>
      <c r="P382" s="7"/>
      <c r="Q382" s="7"/>
      <c r="R382" s="7"/>
      <c r="S382" s="7"/>
      <c r="T382" s="7"/>
      <c r="U382" s="7"/>
      <c r="V382" s="7"/>
      <c r="W382" s="7"/>
      <c r="X382" s="7"/>
      <c r="Y382" s="7"/>
      <c r="Z382" s="7"/>
      <c r="AA382" s="7"/>
      <c r="AB382" s="7"/>
      <c r="AC382" s="7"/>
      <c r="AD382" s="7"/>
      <c r="AE382" s="7"/>
      <c r="AF382" s="7"/>
      <c r="AG382" s="7"/>
      <c r="AH382" s="8"/>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row>
    <row r="383" spans="1:331" x14ac:dyDescent="0.3">
      <c r="A383" s="7"/>
      <c r="B383" s="7"/>
      <c r="C383" s="84"/>
      <c r="D383" s="7"/>
      <c r="E383" s="7"/>
      <c r="F383" s="7"/>
      <c r="G383" s="7"/>
      <c r="H383" s="7"/>
      <c r="I383" s="7"/>
      <c r="J383" s="7"/>
      <c r="K383" s="7"/>
      <c r="L383" s="7"/>
      <c r="M383" s="8"/>
      <c r="N383" s="7"/>
      <c r="O383" s="7"/>
      <c r="P383" s="7"/>
      <c r="Q383" s="7"/>
      <c r="R383" s="7"/>
      <c r="S383" s="7"/>
      <c r="T383" s="7"/>
      <c r="U383" s="7"/>
      <c r="V383" s="7"/>
      <c r="W383" s="7"/>
      <c r="X383" s="7"/>
      <c r="Y383" s="7"/>
      <c r="Z383" s="7"/>
      <c r="AA383" s="7"/>
      <c r="AB383" s="7"/>
      <c r="AC383" s="7"/>
      <c r="AD383" s="7"/>
      <c r="AE383" s="7"/>
      <c r="AF383" s="7"/>
      <c r="AG383" s="7"/>
      <c r="AH383" s="8"/>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row>
    <row r="384" spans="1:331" x14ac:dyDescent="0.3">
      <c r="A384" s="7"/>
      <c r="B384" s="7"/>
      <c r="C384" s="84"/>
      <c r="D384" s="7"/>
      <c r="E384" s="7"/>
      <c r="F384" s="7"/>
      <c r="G384" s="7"/>
      <c r="H384" s="7"/>
      <c r="I384" s="7"/>
      <c r="J384" s="7"/>
      <c r="K384" s="7"/>
      <c r="L384" s="7"/>
      <c r="M384" s="8"/>
      <c r="N384" s="7"/>
      <c r="O384" s="7"/>
      <c r="P384" s="7"/>
      <c r="Q384" s="7"/>
      <c r="R384" s="7"/>
      <c r="S384" s="7"/>
      <c r="T384" s="7"/>
      <c r="U384" s="7"/>
      <c r="V384" s="7"/>
      <c r="W384" s="7"/>
      <c r="X384" s="7"/>
      <c r="Y384" s="7"/>
      <c r="Z384" s="7"/>
      <c r="AA384" s="7"/>
      <c r="AB384" s="7"/>
      <c r="AC384" s="7"/>
      <c r="AD384" s="7"/>
      <c r="AE384" s="7"/>
      <c r="AF384" s="7"/>
      <c r="AG384" s="7"/>
      <c r="AH384" s="8"/>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row>
    <row r="385" spans="1:165" x14ac:dyDescent="0.3">
      <c r="A385" s="7"/>
      <c r="B385" s="7"/>
      <c r="C385" s="84"/>
      <c r="D385" s="7"/>
      <c r="E385" s="7"/>
      <c r="F385" s="7"/>
      <c r="G385" s="7"/>
      <c r="H385" s="7"/>
      <c r="I385" s="7"/>
      <c r="J385" s="7"/>
      <c r="K385" s="7"/>
      <c r="L385" s="7"/>
      <c r="M385" s="8"/>
      <c r="N385" s="7"/>
      <c r="O385" s="7"/>
      <c r="P385" s="7"/>
      <c r="Q385" s="7"/>
      <c r="R385" s="7"/>
      <c r="S385" s="7"/>
      <c r="T385" s="7"/>
      <c r="U385" s="7"/>
      <c r="V385" s="7"/>
      <c r="W385" s="7"/>
      <c r="X385" s="7"/>
      <c r="Y385" s="7"/>
      <c r="Z385" s="7"/>
      <c r="AA385" s="7"/>
      <c r="AB385" s="7"/>
      <c r="AC385" s="7"/>
      <c r="AD385" s="7"/>
      <c r="AE385" s="7"/>
      <c r="AF385" s="7"/>
      <c r="AG385" s="7"/>
      <c r="AH385" s="8"/>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row>
    <row r="386" spans="1:165" x14ac:dyDescent="0.3">
      <c r="A386" s="7"/>
      <c r="B386" s="7"/>
      <c r="C386" s="84"/>
      <c r="D386" s="7"/>
      <c r="E386" s="7"/>
      <c r="F386" s="7"/>
      <c r="G386" s="7"/>
      <c r="H386" s="7"/>
      <c r="I386" s="7"/>
      <c r="J386" s="7"/>
      <c r="K386" s="7"/>
      <c r="L386" s="7"/>
      <c r="M386" s="8"/>
      <c r="N386" s="7"/>
      <c r="O386" s="7"/>
      <c r="P386" s="7"/>
      <c r="Q386" s="7"/>
      <c r="R386" s="7"/>
      <c r="S386" s="7"/>
      <c r="T386" s="7"/>
      <c r="U386" s="7"/>
      <c r="V386" s="7"/>
      <c r="W386" s="7"/>
      <c r="X386" s="7"/>
      <c r="Y386" s="7"/>
      <c r="Z386" s="7"/>
      <c r="AA386" s="7"/>
      <c r="AB386" s="7"/>
      <c r="AC386" s="7"/>
      <c r="AD386" s="7"/>
      <c r="AE386" s="7"/>
      <c r="AF386" s="7"/>
      <c r="AG386" s="7"/>
      <c r="AH386" s="8"/>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row>
    <row r="387" spans="1:165" x14ac:dyDescent="0.3">
      <c r="A387" s="7"/>
      <c r="B387" s="7"/>
      <c r="C387" s="84"/>
      <c r="D387" s="7"/>
      <c r="E387" s="7"/>
      <c r="F387" s="7"/>
      <c r="G387" s="7"/>
      <c r="H387" s="7"/>
      <c r="I387" s="7"/>
      <c r="J387" s="7"/>
      <c r="K387" s="7"/>
      <c r="L387" s="7"/>
      <c r="M387" s="8"/>
      <c r="N387" s="7"/>
      <c r="O387" s="7"/>
      <c r="P387" s="7"/>
      <c r="Q387" s="7"/>
      <c r="R387" s="7"/>
      <c r="S387" s="7"/>
      <c r="T387" s="7"/>
      <c r="U387" s="7"/>
      <c r="V387" s="7"/>
      <c r="W387" s="7"/>
      <c r="X387" s="7"/>
      <c r="Y387" s="7"/>
      <c r="Z387" s="7"/>
      <c r="AA387" s="7"/>
      <c r="AB387" s="7"/>
      <c r="AC387" s="7"/>
      <c r="AD387" s="7"/>
      <c r="AE387" s="7"/>
      <c r="AF387" s="7"/>
      <c r="AG387" s="7"/>
      <c r="AH387" s="8"/>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row>
    <row r="388" spans="1:165" x14ac:dyDescent="0.3">
      <c r="A388" s="7"/>
      <c r="B388" s="7"/>
      <c r="C388" s="84"/>
      <c r="D388" s="7"/>
      <c r="E388" s="7"/>
      <c r="F388" s="7"/>
      <c r="G388" s="7"/>
      <c r="H388" s="7"/>
      <c r="I388" s="7"/>
      <c r="J388" s="7"/>
      <c r="K388" s="7"/>
      <c r="L388" s="7"/>
      <c r="M388" s="8"/>
      <c r="N388" s="7"/>
      <c r="O388" s="7"/>
      <c r="P388" s="7"/>
      <c r="Q388" s="7"/>
      <c r="R388" s="7"/>
      <c r="S388" s="7"/>
      <c r="T388" s="7"/>
      <c r="U388" s="7"/>
      <c r="V388" s="7"/>
      <c r="W388" s="7"/>
      <c r="X388" s="7"/>
      <c r="Y388" s="7"/>
      <c r="Z388" s="7"/>
      <c r="AA388" s="7"/>
      <c r="AB388" s="7"/>
      <c r="AC388" s="7"/>
      <c r="AD388" s="7"/>
      <c r="AE388" s="7"/>
      <c r="AF388" s="7"/>
      <c r="AG388" s="7"/>
      <c r="AH388" s="8"/>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row>
    <row r="389" spans="1:165" x14ac:dyDescent="0.3">
      <c r="A389" s="7"/>
      <c r="B389" s="7"/>
      <c r="C389" s="84"/>
      <c r="D389" s="7"/>
      <c r="E389" s="7"/>
      <c r="F389" s="7"/>
      <c r="G389" s="7"/>
      <c r="H389" s="7"/>
      <c r="I389" s="7"/>
      <c r="J389" s="7"/>
      <c r="K389" s="7"/>
      <c r="L389" s="7"/>
      <c r="M389" s="8"/>
      <c r="N389" s="7"/>
      <c r="O389" s="7"/>
      <c r="P389" s="7"/>
      <c r="Q389" s="7"/>
      <c r="R389" s="7"/>
      <c r="S389" s="7"/>
      <c r="T389" s="7"/>
      <c r="U389" s="7"/>
      <c r="V389" s="7"/>
      <c r="W389" s="7"/>
      <c r="X389" s="7"/>
      <c r="Y389" s="7"/>
      <c r="Z389" s="7"/>
      <c r="AA389" s="7"/>
      <c r="AB389" s="7"/>
      <c r="AC389" s="7"/>
      <c r="AD389" s="7"/>
      <c r="AE389" s="7"/>
      <c r="AF389" s="7"/>
      <c r="AG389" s="7"/>
      <c r="AH389" s="8"/>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row>
  </sheetData>
  <mergeCells count="706">
    <mergeCell ref="GN159:GO159"/>
    <mergeCell ref="HY161:HY162"/>
    <mergeCell ref="HZ161:HZ162"/>
    <mergeCell ref="GP159:GR159"/>
    <mergeCell ref="DH168:DH172"/>
    <mergeCell ref="HS161:HS162"/>
    <mergeCell ref="GR171:GR172"/>
    <mergeCell ref="HP161:HP162"/>
    <mergeCell ref="HQ161:HQ162"/>
    <mergeCell ref="GN171:GN172"/>
    <mergeCell ref="GO171:GO172"/>
    <mergeCell ref="DT169:DT170"/>
    <mergeCell ref="DU169:DU170"/>
    <mergeCell ref="DV169:DV170"/>
    <mergeCell ref="DW169:DW170"/>
    <mergeCell ref="DX169:DX170"/>
    <mergeCell ref="DJ163:DJ168"/>
    <mergeCell ref="DK163:DK168"/>
    <mergeCell ref="DL163:DL168"/>
    <mergeCell ref="DM163:DM168"/>
    <mergeCell ref="DN163:DN168"/>
    <mergeCell ref="DJ169:DJ170"/>
    <mergeCell ref="DK169:DK170"/>
    <mergeCell ref="DL169:DL170"/>
    <mergeCell ref="EE169:EE170"/>
    <mergeCell ref="B169:C169"/>
    <mergeCell ref="BS168:BS170"/>
    <mergeCell ref="CB168:CB170"/>
    <mergeCell ref="CA168:CA170"/>
    <mergeCell ref="BZ168:BZ170"/>
    <mergeCell ref="BY168:BY170"/>
    <mergeCell ref="BX168:BX170"/>
    <mergeCell ref="BW168:BW170"/>
    <mergeCell ref="BV168:BV170"/>
    <mergeCell ref="BU168:BU170"/>
    <mergeCell ref="BT168:BT170"/>
    <mergeCell ref="B170:B172"/>
    <mergeCell ref="C170:C172"/>
    <mergeCell ref="AV168:AV170"/>
    <mergeCell ref="E169:G169"/>
    <mergeCell ref="G170:G172"/>
    <mergeCell ref="AU168:AU170"/>
    <mergeCell ref="AW168:AW170"/>
    <mergeCell ref="AH164:AH170"/>
    <mergeCell ref="S171:S172"/>
    <mergeCell ref="I171:I172"/>
    <mergeCell ref="E170:E172"/>
    <mergeCell ref="J170:J172"/>
    <mergeCell ref="JP142:JP149"/>
    <mergeCell ref="JQ142:JQ149"/>
    <mergeCell ref="JR142:JR149"/>
    <mergeCell ref="JU142:JU149"/>
    <mergeCell ref="JM142:JM149"/>
    <mergeCell ref="HU142:HU149"/>
    <mergeCell ref="GT142:GT149"/>
    <mergeCell ref="GU142:GU149"/>
    <mergeCell ref="HH142:HH149"/>
    <mergeCell ref="HR142:HR149"/>
    <mergeCell ref="GV142:GV149"/>
    <mergeCell ref="IW142:IW149"/>
    <mergeCell ref="IY142:IY149"/>
    <mergeCell ref="JD142:JD149"/>
    <mergeCell ref="IP142:IP149"/>
    <mergeCell ref="IQ142:IQ149"/>
    <mergeCell ref="HY142:HY149"/>
    <mergeCell ref="IC142:IC149"/>
    <mergeCell ref="IK142:IK149"/>
    <mergeCell ref="HC142:HC149"/>
    <mergeCell ref="GX142:GX149"/>
    <mergeCell ref="JI142:JI149"/>
    <mergeCell ref="JC142:JC149"/>
    <mergeCell ref="HX142:HX149"/>
    <mergeCell ref="IH161:IH162"/>
    <mergeCell ref="II161:II162"/>
    <mergeCell ref="JV142:JV149"/>
    <mergeCell ref="JW142:JW149"/>
    <mergeCell ref="JX142:JX149"/>
    <mergeCell ref="JY142:JY149"/>
    <mergeCell ref="HF142:HF149"/>
    <mergeCell ref="GZ142:GZ149"/>
    <mergeCell ref="HA142:HA149"/>
    <mergeCell ref="HB142:HB149"/>
    <mergeCell ref="HR161:HR162"/>
    <mergeCell ref="HZ142:HZ149"/>
    <mergeCell ref="HF161:HF162"/>
    <mergeCell ref="HK161:HK162"/>
    <mergeCell ref="JE142:JE149"/>
    <mergeCell ref="JS142:JS149"/>
    <mergeCell ref="JN142:JN149"/>
    <mergeCell ref="HX161:HX162"/>
    <mergeCell ref="HU161:HU162"/>
    <mergeCell ref="HV161:HV162"/>
    <mergeCell ref="HW161:HW162"/>
    <mergeCell ref="IE142:IE149"/>
    <mergeCell ref="IO142:IO149"/>
    <mergeCell ref="JO142:JO149"/>
    <mergeCell ref="HV142:HV149"/>
    <mergeCell ref="HW142:HW149"/>
    <mergeCell ref="HL142:HL149"/>
    <mergeCell ref="HN142:HN149"/>
    <mergeCell ref="HO142:HO149"/>
    <mergeCell ref="GR134:GS134"/>
    <mergeCell ref="GR135:GS135"/>
    <mergeCell ref="GW142:GW149"/>
    <mergeCell ref="GN138:GQ138"/>
    <mergeCell ref="GR136:GS136"/>
    <mergeCell ref="GR137:GS137"/>
    <mergeCell ref="GR139:GS139"/>
    <mergeCell ref="GN141:GQ141"/>
    <mergeCell ref="GN140:GQ140"/>
    <mergeCell ref="GN139:GQ139"/>
    <mergeCell ref="GR130:GS130"/>
    <mergeCell ref="GR131:GS131"/>
    <mergeCell ref="GR128:GS128"/>
    <mergeCell ref="GR129:GS129"/>
    <mergeCell ref="GR132:GS132"/>
    <mergeCell ref="HP142:HP149"/>
    <mergeCell ref="HT142:HT149"/>
    <mergeCell ref="HM142:HM149"/>
    <mergeCell ref="HQ142:HQ149"/>
    <mergeCell ref="GN128:GQ128"/>
    <mergeCell ref="GN127:GQ127"/>
    <mergeCell ref="GN126:GQ126"/>
    <mergeCell ref="GN125:GQ125"/>
    <mergeCell ref="GN124:GQ124"/>
    <mergeCell ref="GN123:GQ123"/>
    <mergeCell ref="GN137:GQ137"/>
    <mergeCell ref="GN136:GQ136"/>
    <mergeCell ref="GN135:GQ135"/>
    <mergeCell ref="GN134:GQ134"/>
    <mergeCell ref="GN133:GQ133"/>
    <mergeCell ref="GN132:GQ132"/>
    <mergeCell ref="GN130:GQ130"/>
    <mergeCell ref="GN129:GQ129"/>
    <mergeCell ref="GN131:GQ131"/>
    <mergeCell ref="GN99:GQ99"/>
    <mergeCell ref="GN100:GQ100"/>
    <mergeCell ref="GN101:GQ101"/>
    <mergeCell ref="GN102:GQ102"/>
    <mergeCell ref="GN103:GQ103"/>
    <mergeCell ref="GN122:GQ122"/>
    <mergeCell ref="GN121:GQ121"/>
    <mergeCell ref="GN120:GQ120"/>
    <mergeCell ref="GN119:GQ119"/>
    <mergeCell ref="GN118:GQ118"/>
    <mergeCell ref="GN117:GQ117"/>
    <mergeCell ref="GN116:GQ116"/>
    <mergeCell ref="GN115:GQ115"/>
    <mergeCell ref="GN114:GQ114"/>
    <mergeCell ref="GN113:GQ113"/>
    <mergeCell ref="GN112:GQ112"/>
    <mergeCell ref="GN111:GQ111"/>
    <mergeCell ref="GN108:GQ108"/>
    <mergeCell ref="GN107:GQ107"/>
    <mergeCell ref="GN106:GQ106"/>
    <mergeCell ref="GN105:GQ105"/>
    <mergeCell ref="GN110:GQ110"/>
    <mergeCell ref="F170:F172"/>
    <mergeCell ref="P171:P172"/>
    <mergeCell ref="AX168:AX170"/>
    <mergeCell ref="AO168:AO170"/>
    <mergeCell ref="AP168:AP170"/>
    <mergeCell ref="AQ168:AQ170"/>
    <mergeCell ref="AR168:AR170"/>
    <mergeCell ref="AS168:AS170"/>
    <mergeCell ref="M170:M172"/>
    <mergeCell ref="N170:N172"/>
    <mergeCell ref="O170:O172"/>
    <mergeCell ref="AT168:AT170"/>
    <mergeCell ref="R171:R172"/>
    <mergeCell ref="L170:L172"/>
    <mergeCell ref="JB142:JB149"/>
    <mergeCell ref="IT142:IT149"/>
    <mergeCell ref="IR142:IR149"/>
    <mergeCell ref="IU142:IU149"/>
    <mergeCell ref="IV142:IV149"/>
    <mergeCell ref="IF142:IF149"/>
    <mergeCell ref="II142:II149"/>
    <mergeCell ref="IN142:IN149"/>
    <mergeCell ref="IM142:IM149"/>
    <mergeCell ref="IL142:IL149"/>
    <mergeCell ref="IX142:IX149"/>
    <mergeCell ref="JA142:JA149"/>
    <mergeCell ref="LO142:LO149"/>
    <mergeCell ref="LP142:LP149"/>
    <mergeCell ref="LD142:LD149"/>
    <mergeCell ref="LE142:LE149"/>
    <mergeCell ref="LF142:LF149"/>
    <mergeCell ref="LG142:LG149"/>
    <mergeCell ref="LH142:LH149"/>
    <mergeCell ref="LK142:LK149"/>
    <mergeCell ref="LL142:LL149"/>
    <mergeCell ref="LN142:LN149"/>
    <mergeCell ref="LM142:LM149"/>
    <mergeCell ref="LJ142:LJ149"/>
    <mergeCell ref="GR112:GS112"/>
    <mergeCell ref="GR113:GS113"/>
    <mergeCell ref="GR114:GS114"/>
    <mergeCell ref="GR110:GS110"/>
    <mergeCell ref="GR133:GS133"/>
    <mergeCell ref="JL142:JL149"/>
    <mergeCell ref="JF142:JF149"/>
    <mergeCell ref="JG142:JG149"/>
    <mergeCell ref="HI142:HI149"/>
    <mergeCell ref="HJ142:HJ149"/>
    <mergeCell ref="HG142:HG149"/>
    <mergeCell ref="HS142:HS149"/>
    <mergeCell ref="IA142:IA149"/>
    <mergeCell ref="IB142:IB149"/>
    <mergeCell ref="HK142:HK149"/>
    <mergeCell ref="JH142:JH149"/>
    <mergeCell ref="JJ142:JJ149"/>
    <mergeCell ref="JK142:JK149"/>
    <mergeCell ref="ID142:ID149"/>
    <mergeCell ref="IZ142:IZ149"/>
    <mergeCell ref="IS142:IS149"/>
    <mergeCell ref="IG142:IG149"/>
    <mergeCell ref="IH142:IH149"/>
    <mergeCell ref="IJ142:IJ149"/>
    <mergeCell ref="GR98:GS98"/>
    <mergeCell ref="GR106:GS106"/>
    <mergeCell ref="GR94:GS94"/>
    <mergeCell ref="GR95:GS95"/>
    <mergeCell ref="GR96:GS96"/>
    <mergeCell ref="GR99:GS99"/>
    <mergeCell ref="GR100:GS100"/>
    <mergeCell ref="GR97:GS97"/>
    <mergeCell ref="GR111:GS111"/>
    <mergeCell ref="KA142:KA149"/>
    <mergeCell ref="KB142:KB149"/>
    <mergeCell ref="JT142:JT149"/>
    <mergeCell ref="KL142:KL149"/>
    <mergeCell ref="KM142:KM149"/>
    <mergeCell ref="KN142:KN149"/>
    <mergeCell ref="KO142:KO149"/>
    <mergeCell ref="KP142:KP149"/>
    <mergeCell ref="KC142:KC149"/>
    <mergeCell ref="KD142:KD149"/>
    <mergeCell ref="KE142:KE149"/>
    <mergeCell ref="KF142:KF149"/>
    <mergeCell ref="KG142:KG149"/>
    <mergeCell ref="KH142:KH149"/>
    <mergeCell ref="KJ142:KJ149"/>
    <mergeCell ref="KK142:KK149"/>
    <mergeCell ref="KI142:KI149"/>
    <mergeCell ref="JZ142:JZ149"/>
    <mergeCell ref="GN89:GQ89"/>
    <mergeCell ref="GN91:GQ91"/>
    <mergeCell ref="GN92:GQ92"/>
    <mergeCell ref="GN93:GQ93"/>
    <mergeCell ref="GN94:GQ94"/>
    <mergeCell ref="GN95:GQ95"/>
    <mergeCell ref="GN96:GQ96"/>
    <mergeCell ref="GN109:GQ109"/>
    <mergeCell ref="GR101:GS101"/>
    <mergeCell ref="GR102:GS102"/>
    <mergeCell ref="GR108:GS108"/>
    <mergeCell ref="GR109:GS109"/>
    <mergeCell ref="GR107:GS107"/>
    <mergeCell ref="GR103:GS103"/>
    <mergeCell ref="GR104:GS104"/>
    <mergeCell ref="GR105:GS105"/>
    <mergeCell ref="GR89:GS89"/>
    <mergeCell ref="GR91:GS91"/>
    <mergeCell ref="GR92:GS92"/>
    <mergeCell ref="FM90:IE90"/>
    <mergeCell ref="GN97:GQ97"/>
    <mergeCell ref="GN104:GQ104"/>
    <mergeCell ref="GN98:GQ98"/>
    <mergeCell ref="GR93:GS93"/>
    <mergeCell ref="GR126:GS126"/>
    <mergeCell ref="GR127:GS127"/>
    <mergeCell ref="GR115:GS115"/>
    <mergeCell ref="GR116:GS116"/>
    <mergeCell ref="GR117:GS117"/>
    <mergeCell ref="GR118:GS118"/>
    <mergeCell ref="GR119:GS119"/>
    <mergeCell ref="GR120:GS120"/>
    <mergeCell ref="GR121:GS121"/>
    <mergeCell ref="GR122:GS122"/>
    <mergeCell ref="GR123:GS123"/>
    <mergeCell ref="GR124:GS124"/>
    <mergeCell ref="GR125:GS125"/>
    <mergeCell ref="FM143:FN145"/>
    <mergeCell ref="FM146:FN149"/>
    <mergeCell ref="FO143:GM148"/>
    <mergeCell ref="GR141:GS142"/>
    <mergeCell ref="GR138:GS138"/>
    <mergeCell ref="HN161:HN162"/>
    <mergeCell ref="HI161:HI162"/>
    <mergeCell ref="HJ161:HJ162"/>
    <mergeCell ref="GV161:GV162"/>
    <mergeCell ref="GW161:GW162"/>
    <mergeCell ref="GX161:GX162"/>
    <mergeCell ref="HG161:HG162"/>
    <mergeCell ref="HH161:HH162"/>
    <mergeCell ref="GT161:GT162"/>
    <mergeCell ref="GU161:GU162"/>
    <mergeCell ref="GY142:GY149"/>
    <mergeCell ref="HD142:HD149"/>
    <mergeCell ref="HE142:HE149"/>
    <mergeCell ref="HL161:HL162"/>
    <mergeCell ref="HM161:HM162"/>
    <mergeCell ref="GR140:GS140"/>
    <mergeCell ref="HE161:HE162"/>
    <mergeCell ref="GN161:GO162"/>
    <mergeCell ref="GP156:GR157"/>
    <mergeCell ref="LP161:LP162"/>
    <mergeCell ref="GP161:GR162"/>
    <mergeCell ref="LE161:LE162"/>
    <mergeCell ref="LF161:LF162"/>
    <mergeCell ref="LG161:LG162"/>
    <mergeCell ref="LH161:LH162"/>
    <mergeCell ref="LI161:LI162"/>
    <mergeCell ref="LJ161:LJ162"/>
    <mergeCell ref="LK161:LK162"/>
    <mergeCell ref="LL161:LL162"/>
    <mergeCell ref="LM161:LM162"/>
    <mergeCell ref="KV161:KV162"/>
    <mergeCell ref="KW161:KW162"/>
    <mergeCell ref="KX161:KX162"/>
    <mergeCell ref="KY161:KY162"/>
    <mergeCell ref="KZ161:KZ162"/>
    <mergeCell ref="LA161:LA162"/>
    <mergeCell ref="GY161:GY162"/>
    <mergeCell ref="GZ161:GZ162"/>
    <mergeCell ref="HA161:HA162"/>
    <mergeCell ref="HB161:HB162"/>
    <mergeCell ref="HC161:HC162"/>
    <mergeCell ref="HD161:HD162"/>
    <mergeCell ref="JS161:JS162"/>
    <mergeCell ref="IQ161:IQ162"/>
    <mergeCell ref="IR161:IR162"/>
    <mergeCell ref="IS161:IS162"/>
    <mergeCell ref="IU161:IU162"/>
    <mergeCell ref="JJ161:JJ162"/>
    <mergeCell ref="JN161:JN162"/>
    <mergeCell ref="JO161:JO162"/>
    <mergeCell ref="JP161:JP162"/>
    <mergeCell ref="JQ161:JQ162"/>
    <mergeCell ref="JK161:JK162"/>
    <mergeCell ref="LC142:LC149"/>
    <mergeCell ref="KU142:KU149"/>
    <mergeCell ref="KQ142:KQ149"/>
    <mergeCell ref="KR142:KR149"/>
    <mergeCell ref="KS142:KS149"/>
    <mergeCell ref="KT142:KT149"/>
    <mergeCell ref="KV142:KV149"/>
    <mergeCell ref="KW142:KW149"/>
    <mergeCell ref="KX142:KX149"/>
    <mergeCell ref="KY142:KY149"/>
    <mergeCell ref="LB142:LB149"/>
    <mergeCell ref="KZ142:KZ149"/>
    <mergeCell ref="LA142:LA149"/>
    <mergeCell ref="LO161:LO162"/>
    <mergeCell ref="HT161:HT162"/>
    <mergeCell ref="IT161:IT162"/>
    <mergeCell ref="LQ141:LQ150"/>
    <mergeCell ref="KF161:KF162"/>
    <mergeCell ref="KG161:KG162"/>
    <mergeCell ref="KH161:KH162"/>
    <mergeCell ref="KI161:KI162"/>
    <mergeCell ref="KJ161:KJ162"/>
    <mergeCell ref="KK161:KK162"/>
    <mergeCell ref="LC161:LC162"/>
    <mergeCell ref="KL161:KL162"/>
    <mergeCell ref="LD161:LD162"/>
    <mergeCell ref="KM161:KM162"/>
    <mergeCell ref="KN161:KN162"/>
    <mergeCell ref="KP161:KP162"/>
    <mergeCell ref="KQ161:KQ162"/>
    <mergeCell ref="KR161:KR162"/>
    <mergeCell ref="KS161:KS162"/>
    <mergeCell ref="KT161:KT162"/>
    <mergeCell ref="KU161:KU162"/>
    <mergeCell ref="KO161:KO162"/>
    <mergeCell ref="LI142:LI149"/>
    <mergeCell ref="LB161:LB162"/>
    <mergeCell ref="IJ161:IJ162"/>
    <mergeCell ref="IG161:IG162"/>
    <mergeCell ref="JU161:JU162"/>
    <mergeCell ref="LN161:LN162"/>
    <mergeCell ref="JZ161:JZ162"/>
    <mergeCell ref="KA161:KA162"/>
    <mergeCell ref="KB161:KB162"/>
    <mergeCell ref="KC161:KC162"/>
    <mergeCell ref="KD161:KD162"/>
    <mergeCell ref="KE161:KE162"/>
    <mergeCell ref="JW161:JW162"/>
    <mergeCell ref="JX161:JX162"/>
    <mergeCell ref="JY161:JY162"/>
    <mergeCell ref="JR161:JR162"/>
    <mergeCell ref="JL161:JL162"/>
    <mergeCell ref="JM161:JM162"/>
    <mergeCell ref="IW161:IW162"/>
    <mergeCell ref="IX161:IX162"/>
    <mergeCell ref="IY161:IY162"/>
    <mergeCell ref="IL161:IL162"/>
    <mergeCell ref="IM161:IM162"/>
    <mergeCell ref="IN161:IN162"/>
    <mergeCell ref="IO161:IO162"/>
    <mergeCell ref="IP161:IP162"/>
    <mergeCell ref="EF169:EF170"/>
    <mergeCell ref="EG169:EG170"/>
    <mergeCell ref="JV161:JV162"/>
    <mergeCell ref="IV161:IV162"/>
    <mergeCell ref="IE161:IE162"/>
    <mergeCell ref="IF161:IF162"/>
    <mergeCell ref="IB161:IB162"/>
    <mergeCell ref="IC161:IC162"/>
    <mergeCell ref="IK161:IK162"/>
    <mergeCell ref="ID161:ID162"/>
    <mergeCell ref="HO161:HO162"/>
    <mergeCell ref="IA161:IA162"/>
    <mergeCell ref="JE161:JE162"/>
    <mergeCell ref="JF161:JF162"/>
    <mergeCell ref="JG161:JG162"/>
    <mergeCell ref="JH161:JH162"/>
    <mergeCell ref="JI161:JI162"/>
    <mergeCell ref="IZ161:IZ162"/>
    <mergeCell ref="JA161:JA162"/>
    <mergeCell ref="JB161:JB162"/>
    <mergeCell ref="JC161:JC162"/>
    <mergeCell ref="JD161:JD162"/>
    <mergeCell ref="JT161:JT162"/>
    <mergeCell ref="FE169:FE170"/>
    <mergeCell ref="GP171:GP172"/>
    <mergeCell ref="GN169:GS169"/>
    <mergeCell ref="FJ170:FM171"/>
    <mergeCell ref="GN170:GQ170"/>
    <mergeCell ref="GN166:GS166"/>
    <mergeCell ref="FN170:FN172"/>
    <mergeCell ref="FJ162:FN166"/>
    <mergeCell ref="FM167:GS167"/>
    <mergeCell ref="FM168:GS168"/>
    <mergeCell ref="DW163:DW168"/>
    <mergeCell ref="DF170:DF171"/>
    <mergeCell ref="CZ171:CZ172"/>
    <mergeCell ref="DA171:DA172"/>
    <mergeCell ref="DS169:DS170"/>
    <mergeCell ref="DJ155:DM156"/>
    <mergeCell ref="DD170:DD172"/>
    <mergeCell ref="DC156:DD157"/>
    <mergeCell ref="DC159:DC160"/>
    <mergeCell ref="S159:DA159"/>
    <mergeCell ref="DS161:DS162"/>
    <mergeCell ref="DT161:DT162"/>
    <mergeCell ref="DU161:DU162"/>
    <mergeCell ref="DV161:DV162"/>
    <mergeCell ref="DW161:DW162"/>
    <mergeCell ref="EC169:EC170"/>
    <mergeCell ref="ED169:ED170"/>
    <mergeCell ref="EK163:EK168"/>
    <mergeCell ref="EL163:EL168"/>
    <mergeCell ref="EM163:EM168"/>
    <mergeCell ref="DM169:DM170"/>
    <mergeCell ref="DN169:DN170"/>
    <mergeCell ref="DO169:DO170"/>
    <mergeCell ref="DP169:DP170"/>
    <mergeCell ref="DQ169:DQ170"/>
    <mergeCell ref="DR169:DR170"/>
    <mergeCell ref="DX163:DX168"/>
    <mergeCell ref="DY163:DY168"/>
    <mergeCell ref="DZ163:DZ168"/>
    <mergeCell ref="DY169:DY170"/>
    <mergeCell ref="DZ169:DZ170"/>
    <mergeCell ref="DO163:DO168"/>
    <mergeCell ref="DP163:DP168"/>
    <mergeCell ref="DQ163:DQ168"/>
    <mergeCell ref="DR163:DR168"/>
    <mergeCell ref="DS163:DS168"/>
    <mergeCell ref="DT163:DT168"/>
    <mergeCell ref="DU163:DU168"/>
    <mergeCell ref="DV163:DV168"/>
    <mergeCell ref="ES169:ES170"/>
    <mergeCell ref="ET169:ET170"/>
    <mergeCell ref="EU169:EU170"/>
    <mergeCell ref="EV169:EV170"/>
    <mergeCell ref="EW169:EW170"/>
    <mergeCell ref="EX169:EX170"/>
    <mergeCell ref="EY169:EY170"/>
    <mergeCell ref="EA163:EA168"/>
    <mergeCell ref="EB163:EB168"/>
    <mergeCell ref="EC163:EC168"/>
    <mergeCell ref="ED163:ED168"/>
    <mergeCell ref="EQ169:EQ170"/>
    <mergeCell ref="ER169:ER170"/>
    <mergeCell ref="EH169:EH170"/>
    <mergeCell ref="EI169:EI170"/>
    <mergeCell ref="EJ169:EJ170"/>
    <mergeCell ref="EK169:EK170"/>
    <mergeCell ref="EL169:EL170"/>
    <mergeCell ref="EM169:EM170"/>
    <mergeCell ref="EN169:EN170"/>
    <mergeCell ref="EO169:EO170"/>
    <mergeCell ref="EP169:EP170"/>
    <mergeCell ref="EA169:EA170"/>
    <mergeCell ref="EB169:EB170"/>
    <mergeCell ref="EB161:EB162"/>
    <mergeCell ref="EC161:EC162"/>
    <mergeCell ref="ED161:ED162"/>
    <mergeCell ref="EE161:EE162"/>
    <mergeCell ref="EW163:EW168"/>
    <mergeCell ref="EX163:EX168"/>
    <mergeCell ref="EY163:EY168"/>
    <mergeCell ref="EZ163:EZ168"/>
    <mergeCell ref="FA163:FA168"/>
    <mergeCell ref="EN163:EN168"/>
    <mergeCell ref="EO163:EO168"/>
    <mergeCell ref="EP163:EP168"/>
    <mergeCell ref="EQ163:EQ168"/>
    <mergeCell ref="ER163:ER168"/>
    <mergeCell ref="ES163:ES168"/>
    <mergeCell ref="ET163:ET168"/>
    <mergeCell ref="EU163:EU168"/>
    <mergeCell ref="EV163:EV168"/>
    <mergeCell ref="EE163:EE168"/>
    <mergeCell ref="EF163:EF168"/>
    <mergeCell ref="EG163:EG168"/>
    <mergeCell ref="EH163:EH168"/>
    <mergeCell ref="EI163:EI168"/>
    <mergeCell ref="EJ163:EJ168"/>
    <mergeCell ref="DX161:DX162"/>
    <mergeCell ref="DY161:DY162"/>
    <mergeCell ref="DZ161:DZ162"/>
    <mergeCell ref="EA161:EA162"/>
    <mergeCell ref="DJ161:DJ162"/>
    <mergeCell ref="DK161:DK162"/>
    <mergeCell ref="DL161:DL162"/>
    <mergeCell ref="DM161:DM162"/>
    <mergeCell ref="DN161:DN162"/>
    <mergeCell ref="DO161:DO162"/>
    <mergeCell ref="DP161:DP162"/>
    <mergeCell ref="DQ161:DQ162"/>
    <mergeCell ref="DR161:DR162"/>
    <mergeCell ref="EF161:EF162"/>
    <mergeCell ref="EG161:EG162"/>
    <mergeCell ref="EH161:EH162"/>
    <mergeCell ref="EI161:EI162"/>
    <mergeCell ref="EJ161:EJ162"/>
    <mergeCell ref="EK161:EK162"/>
    <mergeCell ref="EL161:EL162"/>
    <mergeCell ref="EM161:EM162"/>
    <mergeCell ref="EN161:EN162"/>
    <mergeCell ref="EO161:EO162"/>
    <mergeCell ref="EP161:EP162"/>
    <mergeCell ref="EQ161:EQ162"/>
    <mergeCell ref="ER161:ER162"/>
    <mergeCell ref="ES161:ES162"/>
    <mergeCell ref="ET161:ET162"/>
    <mergeCell ref="EU161:EU162"/>
    <mergeCell ref="EV161:EV162"/>
    <mergeCell ref="EW161:EW162"/>
    <mergeCell ref="FG161:FG162"/>
    <mergeCell ref="FH157:FH171"/>
    <mergeCell ref="EX161:EX162"/>
    <mergeCell ref="EY161:EY162"/>
    <mergeCell ref="EZ161:EZ162"/>
    <mergeCell ref="FA161:FA162"/>
    <mergeCell ref="FB161:FB162"/>
    <mergeCell ref="FC161:FC162"/>
    <mergeCell ref="FD161:FD162"/>
    <mergeCell ref="FE161:FE162"/>
    <mergeCell ref="FF161:FF162"/>
    <mergeCell ref="FF163:FF168"/>
    <mergeCell ref="FG163:FG168"/>
    <mergeCell ref="FB163:FB168"/>
    <mergeCell ref="FC163:FC168"/>
    <mergeCell ref="FD163:FD168"/>
    <mergeCell ref="FE163:FE168"/>
    <mergeCell ref="FF169:FF170"/>
    <mergeCell ref="FG169:FG170"/>
    <mergeCell ref="EZ169:EZ170"/>
    <mergeCell ref="FA169:FA170"/>
    <mergeCell ref="FB169:FB170"/>
    <mergeCell ref="FC169:FC170"/>
    <mergeCell ref="FD169:FD170"/>
    <mergeCell ref="GP154:GR154"/>
    <mergeCell ref="GT156:GT157"/>
    <mergeCell ref="GU156:GU157"/>
    <mergeCell ref="GV156:GV157"/>
    <mergeCell ref="GW156:GW157"/>
    <mergeCell ref="GX156:GX157"/>
    <mergeCell ref="GY156:GY157"/>
    <mergeCell ref="GZ156:GZ157"/>
    <mergeCell ref="HA156:HA157"/>
    <mergeCell ref="HB156:HB157"/>
    <mergeCell ref="HC156:HC157"/>
    <mergeCell ref="HD156:HD157"/>
    <mergeCell ref="HE156:HE157"/>
    <mergeCell ref="HF156:HF157"/>
    <mergeCell ref="HG156:HG157"/>
    <mergeCell ref="HH156:HH157"/>
    <mergeCell ref="HI156:HI157"/>
    <mergeCell ref="HJ156:HJ157"/>
    <mergeCell ref="HK156:HK157"/>
    <mergeCell ref="HL156:HL157"/>
    <mergeCell ref="HM156:HM157"/>
    <mergeCell ref="HN156:HN157"/>
    <mergeCell ref="HO156:HO157"/>
    <mergeCell ref="HP156:HP157"/>
    <mergeCell ref="HQ156:HQ157"/>
    <mergeCell ref="HR156:HR157"/>
    <mergeCell ref="HS156:HS157"/>
    <mergeCell ref="HT156:HT157"/>
    <mergeCell ref="HU156:HU157"/>
    <mergeCell ref="HV156:HV157"/>
    <mergeCell ref="HW156:HW157"/>
    <mergeCell ref="HX156:HX157"/>
    <mergeCell ref="HY156:HY157"/>
    <mergeCell ref="HZ156:HZ157"/>
    <mergeCell ref="IA156:IA157"/>
    <mergeCell ref="IB156:IB157"/>
    <mergeCell ref="IC156:IC157"/>
    <mergeCell ref="ID156:ID157"/>
    <mergeCell ref="IE156:IE157"/>
    <mergeCell ref="IF156:IF157"/>
    <mergeCell ref="IG156:IG157"/>
    <mergeCell ref="IH156:IH157"/>
    <mergeCell ref="II156:II157"/>
    <mergeCell ref="IJ156:IJ157"/>
    <mergeCell ref="IK156:IK157"/>
    <mergeCell ref="IL156:IL157"/>
    <mergeCell ref="IM156:IM157"/>
    <mergeCell ref="IN156:IN157"/>
    <mergeCell ref="IO156:IO157"/>
    <mergeCell ref="IP156:IP157"/>
    <mergeCell ref="IQ156:IQ157"/>
    <mergeCell ref="IR156:IR157"/>
    <mergeCell ref="IS156:IS157"/>
    <mergeCell ref="IT156:IT157"/>
    <mergeCell ref="IU156:IU157"/>
    <mergeCell ref="IV156:IV157"/>
    <mergeCell ref="IW156:IW157"/>
    <mergeCell ref="IX156:IX157"/>
    <mergeCell ref="IY156:IY157"/>
    <mergeCell ref="IZ156:IZ157"/>
    <mergeCell ref="JA156:JA157"/>
    <mergeCell ref="JB156:JB157"/>
    <mergeCell ref="JC156:JC157"/>
    <mergeCell ref="JD156:JD157"/>
    <mergeCell ref="JE156:JE157"/>
    <mergeCell ref="JF156:JF157"/>
    <mergeCell ref="JG156:JG157"/>
    <mergeCell ref="JH156:JH157"/>
    <mergeCell ref="JI156:JI157"/>
    <mergeCell ref="JJ156:JJ157"/>
    <mergeCell ref="JK156:JK157"/>
    <mergeCell ref="JL156:JL157"/>
    <mergeCell ref="JM156:JM157"/>
    <mergeCell ref="JN156:JN157"/>
    <mergeCell ref="JO156:JO157"/>
    <mergeCell ref="JP156:JP157"/>
    <mergeCell ref="JQ156:JQ157"/>
    <mergeCell ref="JR156:JR157"/>
    <mergeCell ref="JS156:JS157"/>
    <mergeCell ref="JT156:JT157"/>
    <mergeCell ref="JU156:JU157"/>
    <mergeCell ref="JV156:JV157"/>
    <mergeCell ref="JW156:JW157"/>
    <mergeCell ref="JX156:JX157"/>
    <mergeCell ref="JY156:JY157"/>
    <mergeCell ref="JZ156:JZ157"/>
    <mergeCell ref="KA156:KA157"/>
    <mergeCell ref="KB156:KB157"/>
    <mergeCell ref="KC156:KC157"/>
    <mergeCell ref="KD156:KD157"/>
    <mergeCell ref="KQ156:KQ157"/>
    <mergeCell ref="KR156:KR157"/>
    <mergeCell ref="KS156:KS157"/>
    <mergeCell ref="KT156:KT157"/>
    <mergeCell ref="KU156:KU157"/>
    <mergeCell ref="KV156:KV157"/>
    <mergeCell ref="KE156:KE157"/>
    <mergeCell ref="KF156:KF157"/>
    <mergeCell ref="KG156:KG157"/>
    <mergeCell ref="KH156:KH157"/>
    <mergeCell ref="KI156:KI157"/>
    <mergeCell ref="KJ156:KJ157"/>
    <mergeCell ref="KK156:KK157"/>
    <mergeCell ref="KL156:KL157"/>
    <mergeCell ref="KM156:KM157"/>
    <mergeCell ref="LO156:LO157"/>
    <mergeCell ref="LP156:LP157"/>
    <mergeCell ref="GO156:GO157"/>
    <mergeCell ref="LF156:LF157"/>
    <mergeCell ref="LG156:LG157"/>
    <mergeCell ref="LH156:LH157"/>
    <mergeCell ref="LI156:LI157"/>
    <mergeCell ref="LJ156:LJ157"/>
    <mergeCell ref="LK156:LK157"/>
    <mergeCell ref="LL156:LL157"/>
    <mergeCell ref="LM156:LM157"/>
    <mergeCell ref="LN156:LN157"/>
    <mergeCell ref="KW156:KW157"/>
    <mergeCell ref="KX156:KX157"/>
    <mergeCell ref="KY156:KY157"/>
    <mergeCell ref="KZ156:KZ157"/>
    <mergeCell ref="LA156:LA157"/>
    <mergeCell ref="LB156:LB157"/>
    <mergeCell ref="LC156:LC157"/>
    <mergeCell ref="LD156:LD157"/>
    <mergeCell ref="LE156:LE157"/>
    <mergeCell ref="KN156:KN157"/>
    <mergeCell ref="KO156:KO157"/>
    <mergeCell ref="KP156:KP157"/>
  </mergeCells>
  <conditionalFormatting sqref="FH173:FH174">
    <cfRule type="expression" dxfId="563" priority="2291" stopIfTrue="1">
      <formula>($N173&gt;0)</formula>
    </cfRule>
  </conditionalFormatting>
  <conditionalFormatting sqref="FJ173:FJ364">
    <cfRule type="expression" dxfId="562" priority="1851" stopIfTrue="1">
      <formula>($L173&gt;0)</formula>
    </cfRule>
  </conditionalFormatting>
  <conditionalFormatting sqref="GT150:LP150">
    <cfRule type="expression" dxfId="561" priority="1825">
      <formula>(GT171&gt;0)</formula>
    </cfRule>
  </conditionalFormatting>
  <conditionalFormatting sqref="GT141:LP141">
    <cfRule type="expression" dxfId="560" priority="537">
      <formula>($FM$5=2)</formula>
    </cfRule>
    <cfRule type="expression" dxfId="559" priority="1810">
      <formula>TRUE</formula>
    </cfRule>
  </conditionalFormatting>
  <conditionalFormatting sqref="DG334:DG335 GS334:GS335 GS337:GS364 DG337:DG364 DG173:DG332 GS173:GS332">
    <cfRule type="expression" dxfId="558" priority="1778">
      <formula>TRUE</formula>
    </cfRule>
  </conditionalFormatting>
  <conditionalFormatting sqref="A180:A182 A173:A176 A185:A190 A193:A198 A334:A335 A337:A364 A200:A332">
    <cfRule type="expression" dxfId="557" priority="1751">
      <formula>TRUE</formula>
    </cfRule>
  </conditionalFormatting>
  <conditionalFormatting sqref="GN91:GN140">
    <cfRule type="expression" dxfId="556" priority="1793">
      <formula>($FP91="P")</formula>
    </cfRule>
    <cfRule type="expression" dxfId="555" priority="1794">
      <formula>($FP91="B")</formula>
    </cfRule>
    <cfRule type="expression" dxfId="554" priority="1795">
      <formula>($FP91="G")</formula>
    </cfRule>
    <cfRule type="expression" dxfId="553" priority="1796">
      <formula>($FP91="O")</formula>
    </cfRule>
  </conditionalFormatting>
  <conditionalFormatting sqref="FM91:FN140">
    <cfRule type="expression" dxfId="552" priority="1505">
      <formula>ISBLANK(FM91)</formula>
    </cfRule>
    <cfRule type="expression" dxfId="551" priority="1820">
      <formula>($FP91="P")</formula>
    </cfRule>
    <cfRule type="expression" dxfId="550" priority="1821">
      <formula>($FP91="B")</formula>
    </cfRule>
    <cfRule type="expression" dxfId="549" priority="1822">
      <formula>($FP91="G")</formula>
    </cfRule>
    <cfRule type="expression" dxfId="548" priority="1823">
      <formula>($FP91="O")</formula>
    </cfRule>
  </conditionalFormatting>
  <conditionalFormatting sqref="GT91:LP140">
    <cfRule type="expression" priority="1482" stopIfTrue="1">
      <formula>(GT91=0.0000000001)</formula>
    </cfRule>
    <cfRule type="expression" dxfId="547" priority="6824" stopIfTrue="1">
      <formula>ISBLANK(GT91)</formula>
    </cfRule>
    <cfRule type="expression" dxfId="546" priority="6827" stopIfTrue="1">
      <formula>(GT91&gt;=$FR91)</formula>
    </cfRule>
    <cfRule type="expression" dxfId="545" priority="6828" stopIfTrue="1">
      <formula>(GT91&gt;=$FQ91)</formula>
    </cfRule>
    <cfRule type="expression" dxfId="544" priority="6829">
      <formula>(GT91&gt;0)</formula>
    </cfRule>
  </conditionalFormatting>
  <conditionalFormatting sqref="FU141:FW141">
    <cfRule type="expression" dxfId="543" priority="6866">
      <formula>#REF!</formula>
    </cfRule>
  </conditionalFormatting>
  <conditionalFormatting sqref="A178:A179">
    <cfRule type="expression" dxfId="542" priority="1405">
      <formula>TRUE</formula>
    </cfRule>
  </conditionalFormatting>
  <conditionalFormatting sqref="A183">
    <cfRule type="expression" dxfId="541" priority="1304">
      <formula>TRUE</formula>
    </cfRule>
  </conditionalFormatting>
  <conditionalFormatting sqref="A184">
    <cfRule type="expression" dxfId="540" priority="1203">
      <formula>TRUE</formula>
    </cfRule>
  </conditionalFormatting>
  <conditionalFormatting sqref="FL173:GR364">
    <cfRule type="expression" dxfId="539" priority="1171" stopIfTrue="1">
      <formula>($AE173=1)</formula>
    </cfRule>
    <cfRule type="expression" dxfId="538" priority="1172" stopIfTrue="1">
      <formula>($AE173=2)</formula>
    </cfRule>
  </conditionalFormatting>
  <conditionalFormatting sqref="GT171:LP171">
    <cfRule type="expression" dxfId="537" priority="135">
      <formula>(GT26=1)</formula>
    </cfRule>
    <cfRule type="expression" dxfId="536" priority="138">
      <formula>AND(GT171&gt;0,GT$25=0)</formula>
    </cfRule>
    <cfRule type="expression" dxfId="535" priority="1155">
      <formula>AND(GT171&gt;0,GT$25=1)</formula>
    </cfRule>
  </conditionalFormatting>
  <conditionalFormatting sqref="GP159">
    <cfRule type="expression" dxfId="534" priority="1153">
      <formula>(#REF!&gt;0)</formula>
    </cfRule>
  </conditionalFormatting>
  <conditionalFormatting sqref="GP161">
    <cfRule type="expression" dxfId="533" priority="1151">
      <formula>(#REF!&gt;0)</formula>
    </cfRule>
  </conditionalFormatting>
  <conditionalFormatting sqref="GP161">
    <cfRule type="expression" dxfId="532" priority="1150">
      <formula>(#REF!&gt;0)</formula>
    </cfRule>
  </conditionalFormatting>
  <conditionalFormatting sqref="DB173:DB364">
    <cfRule type="expression" dxfId="531" priority="1143">
      <formula>($AE173&lt;&gt;3)</formula>
    </cfRule>
  </conditionalFormatting>
  <conditionalFormatting sqref="K337:K364 K173:K335">
    <cfRule type="expression" dxfId="530" priority="1132">
      <formula>($AE173&lt;&gt;3)</formula>
    </cfRule>
  </conditionalFormatting>
  <conditionalFormatting sqref="D338:D364 D173:D335">
    <cfRule type="expression" dxfId="529" priority="1130">
      <formula>($AE173&lt;&gt;3)</formula>
    </cfRule>
  </conditionalFormatting>
  <conditionalFormatting sqref="L220:L364 L208 L210 L212 L214 L216 L218 L187:L206">
    <cfRule type="expression" dxfId="528" priority="1129">
      <formula>(L187&gt;0)</formula>
    </cfRule>
  </conditionalFormatting>
  <conditionalFormatting sqref="GP159 GP161">
    <cfRule type="expression" dxfId="527" priority="8291">
      <formula>(GO$27&gt;$GO$27)</formula>
    </cfRule>
  </conditionalFormatting>
  <conditionalFormatting sqref="R161:S161 CZ161:DA161 CZ168:CZ169 CZ165:DA165 CZ167:DA167 GT156:LP156">
    <cfRule type="expression" dxfId="526" priority="1096">
      <formula>ISBLANK(R156)</formula>
    </cfRule>
  </conditionalFormatting>
  <conditionalFormatting sqref="A177">
    <cfRule type="expression" dxfId="525" priority="1030">
      <formula>TRUE</formula>
    </cfRule>
  </conditionalFormatting>
  <conditionalFormatting sqref="A192">
    <cfRule type="expression" dxfId="524" priority="848">
      <formula>TRUE</formula>
    </cfRule>
  </conditionalFormatting>
  <conditionalFormatting sqref="A191">
    <cfRule type="expression" dxfId="523" priority="759">
      <formula>TRUE</formula>
    </cfRule>
  </conditionalFormatting>
  <conditionalFormatting sqref="A199">
    <cfRule type="expression" dxfId="522" priority="673">
      <formula>TRUE</formula>
    </cfRule>
  </conditionalFormatting>
  <conditionalFormatting sqref="DJ157:FG157">
    <cfRule type="expression" dxfId="521" priority="536">
      <formula>ISBLANK(DJ157)</formula>
    </cfRule>
    <cfRule type="expression" dxfId="520" priority="9117">
      <formula>AND($C$7&lt;&gt;"F",DJ157=0)</formula>
    </cfRule>
  </conditionalFormatting>
  <conditionalFormatting sqref="GQ173:GQ174">
    <cfRule type="expression" dxfId="519" priority="9120">
      <formula>($C$7="F")</formula>
    </cfRule>
  </conditionalFormatting>
  <conditionalFormatting sqref="R159:S159">
    <cfRule type="expression" dxfId="518" priority="36">
      <formula>ISBLANK($S$159)</formula>
    </cfRule>
    <cfRule type="expression" dxfId="517" priority="170">
      <formula>NOT($C$4)</formula>
    </cfRule>
    <cfRule type="expression" dxfId="516" priority="9204">
      <formula>($C$7="B")</formula>
    </cfRule>
    <cfRule type="expression" dxfId="515" priority="9205">
      <formula>($C$7="F")</formula>
    </cfRule>
  </conditionalFormatting>
  <conditionalFormatting sqref="DI337:DI364 DI173:DI335">
    <cfRule type="expression" dxfId="514" priority="1674">
      <formula>($AE173=1)</formula>
    </cfRule>
    <cfRule type="expression" dxfId="513" priority="1675">
      <formula>($AE173=2)</formula>
    </cfRule>
  </conditionalFormatting>
  <conditionalFormatting sqref="S168:S169">
    <cfRule type="expression" dxfId="512" priority="545">
      <formula>ISBLANK(S168)</formula>
    </cfRule>
  </conditionalFormatting>
  <conditionalFormatting sqref="GT161:LP162">
    <cfRule type="expression" dxfId="511" priority="539">
      <formula>ISBLANK(GT161)</formula>
    </cfRule>
  </conditionalFormatting>
  <conditionalFormatting sqref="GU170:LP171">
    <cfRule type="expression" dxfId="510" priority="538">
      <formula>ISBLANK(GU170)</formula>
    </cfRule>
  </conditionalFormatting>
  <conditionalFormatting sqref="GT141:LP150">
    <cfRule type="expression" dxfId="509" priority="35">
      <formula>ISBLANK(GT141)</formula>
    </cfRule>
  </conditionalFormatting>
  <conditionalFormatting sqref="GT166:LP168">
    <cfRule type="expression" dxfId="508" priority="505">
      <formula>ISEVEN(GT166)</formula>
    </cfRule>
  </conditionalFormatting>
  <conditionalFormatting sqref="DJ171:FG171 DJ169:FG169 DJ163:FG163 DJ161:FG161">
    <cfRule type="expression" dxfId="507" priority="8100">
      <formula>(DJ$25="G")</formula>
    </cfRule>
    <cfRule type="expression" dxfId="506" priority="8101">
      <formula>(DJ$25="P")</formula>
    </cfRule>
    <cfRule type="expression" dxfId="505" priority="8102">
      <formula>(DJ$25="O")</formula>
    </cfRule>
    <cfRule type="expression" dxfId="504" priority="11403">
      <formula>(DJ$25="B")</formula>
    </cfRule>
  </conditionalFormatting>
  <conditionalFormatting sqref="GU170:LP170">
    <cfRule type="expression" dxfId="503" priority="134">
      <formula>(GU26=1)</formula>
    </cfRule>
    <cfRule type="expression" dxfId="502" priority="178">
      <formula>(GU$25=0)</formula>
    </cfRule>
    <cfRule type="expression" dxfId="501" priority="503">
      <formula>($FM$5=2)</formula>
    </cfRule>
  </conditionalFormatting>
  <conditionalFormatting sqref="S173:S364">
    <cfRule type="expression" dxfId="500" priority="11466">
      <formula>AND($AE173=3,$B173&lt;&gt;0)</formula>
    </cfRule>
  </conditionalFormatting>
  <conditionalFormatting sqref="GS336">
    <cfRule type="expression" dxfId="499" priority="438">
      <formula>TRUE</formula>
    </cfRule>
  </conditionalFormatting>
  <conditionalFormatting sqref="A336">
    <cfRule type="expression" dxfId="498" priority="437">
      <formula>TRUE</formula>
    </cfRule>
  </conditionalFormatting>
  <conditionalFormatting sqref="K336">
    <cfRule type="expression" dxfId="497" priority="426">
      <formula>($AE336&lt;&gt;3)</formula>
    </cfRule>
  </conditionalFormatting>
  <conditionalFormatting sqref="DI336">
    <cfRule type="expression" dxfId="496" priority="435">
      <formula>($AE336=1)</formula>
    </cfRule>
    <cfRule type="expression" dxfId="495" priority="436">
      <formula>($AE336=2)</formula>
    </cfRule>
  </conditionalFormatting>
  <conditionalFormatting sqref="DG336">
    <cfRule type="expression" dxfId="494" priority="412">
      <formula>TRUE</formula>
    </cfRule>
  </conditionalFormatting>
  <conditionalFormatting sqref="D336">
    <cfRule type="expression" dxfId="493" priority="398">
      <formula>($AE336&lt;&gt;3)</formula>
    </cfRule>
  </conditionalFormatting>
  <conditionalFormatting sqref="D337">
    <cfRule type="expression" dxfId="492" priority="381">
      <formula>($AE337&lt;&gt;3)</formula>
    </cfRule>
  </conditionalFormatting>
  <conditionalFormatting sqref="DJ171:FG171">
    <cfRule type="expression" dxfId="491" priority="8099">
      <formula>(DJ4=1)</formula>
    </cfRule>
    <cfRule type="duplicateValues" dxfId="490" priority="11404"/>
  </conditionalFormatting>
  <conditionalFormatting sqref="DD173:DD364">
    <cfRule type="expression" dxfId="489" priority="233">
      <formula>($GR173="W")</formula>
    </cfRule>
    <cfRule type="expression" dxfId="488" priority="1101">
      <formula>AND(NOT(ISBLANK(DD173)),$CX173=0)</formula>
    </cfRule>
    <cfRule type="expression" dxfId="487" priority="1105">
      <formula>AND(NOT(ISBLANK(DD173)),$FO173="P")</formula>
    </cfRule>
    <cfRule type="expression" dxfId="486" priority="1123">
      <formula>(DD173&lt;0)</formula>
    </cfRule>
    <cfRule type="expression" dxfId="485" priority="1147">
      <formula>NOT(ISBLANK(DD173))</formula>
    </cfRule>
  </conditionalFormatting>
  <conditionalFormatting sqref="DG333 GS333">
    <cfRule type="expression" dxfId="484" priority="281">
      <formula>TRUE</formula>
    </cfRule>
  </conditionalFormatting>
  <conditionalFormatting sqref="A333">
    <cfRule type="expression" dxfId="483" priority="280">
      <formula>TRUE</formula>
    </cfRule>
  </conditionalFormatting>
  <conditionalFormatting sqref="GT31:LP31">
    <cfRule type="cellIs" dxfId="482" priority="215" operator="equal">
      <formula>1</formula>
    </cfRule>
  </conditionalFormatting>
  <conditionalFormatting sqref="GT33:LP33">
    <cfRule type="cellIs" dxfId="481" priority="214" operator="equal">
      <formula>1</formula>
    </cfRule>
  </conditionalFormatting>
  <conditionalFormatting sqref="GT166:LP170">
    <cfRule type="expression" dxfId="480" priority="197">
      <formula>(GT$32="P")</formula>
    </cfRule>
    <cfRule type="expression" dxfId="479" priority="198">
      <formula>(GT$32="Q")</formula>
    </cfRule>
    <cfRule type="expression" dxfId="478" priority="199">
      <formula>(GT$32="Y")</formula>
    </cfRule>
  </conditionalFormatting>
  <conditionalFormatting sqref="GT35:LP35">
    <cfRule type="cellIs" dxfId="477" priority="195" operator="equal">
      <formula>1</formula>
    </cfRule>
  </conditionalFormatting>
  <conditionalFormatting sqref="DC161">
    <cfRule type="expression" dxfId="476" priority="181">
      <formula>OR($C$7="F",$DC$161&gt;0)</formula>
    </cfRule>
  </conditionalFormatting>
  <conditionalFormatting sqref="Q163">
    <cfRule type="expression" dxfId="475" priority="144">
      <formula>OR(NOT(_xlfn.ISFORMULA(R163)),NOT(_xlfn.ISFORMULA(S163)))</formula>
    </cfRule>
    <cfRule type="expression" dxfId="474" priority="166">
      <formula>($C$7="B")</formula>
    </cfRule>
  </conditionalFormatting>
  <conditionalFormatting sqref="R163:S163 CZ163">
    <cfRule type="expression" dxfId="473" priority="165">
      <formula>($C$7="B")</formula>
    </cfRule>
  </conditionalFormatting>
  <conditionalFormatting sqref="DC163:DC164">
    <cfRule type="expression" dxfId="472" priority="142">
      <formula>($C$7="B")</formula>
    </cfRule>
  </conditionalFormatting>
  <conditionalFormatting sqref="P165 P167">
    <cfRule type="expression" dxfId="471" priority="554">
      <formula>($DH$29=0)</formula>
    </cfRule>
  </conditionalFormatting>
  <conditionalFormatting sqref="DC165:DC166">
    <cfRule type="expression" dxfId="470" priority="137">
      <formula>($C$7="F")</formula>
    </cfRule>
  </conditionalFormatting>
  <conditionalFormatting sqref="GT170">
    <cfRule type="expression" dxfId="469" priority="133">
      <formula>($FM$5=2)</formula>
    </cfRule>
  </conditionalFormatting>
  <conditionalFormatting sqref="R173:DA364">
    <cfRule type="expression" dxfId="468" priority="46" stopIfTrue="1">
      <formula>ISBLANK(R173)</formula>
    </cfRule>
  </conditionalFormatting>
  <conditionalFormatting sqref="S157:DA157">
    <cfRule type="expression" dxfId="467" priority="34">
      <formula>NOT($C$4)</formula>
    </cfRule>
  </conditionalFormatting>
  <conditionalFormatting sqref="GT166:LP168">
    <cfRule type="expression" dxfId="466" priority="33">
      <formula>NOT(_xlfn.ISFORMULA(GT166))</formula>
    </cfRule>
  </conditionalFormatting>
  <conditionalFormatting sqref="E173:E364">
    <cfRule type="expression" dxfId="465" priority="32" stopIfTrue="1">
      <formula>($AE173=1)</formula>
    </cfRule>
    <cfRule type="expression" dxfId="464" priority="499" stopIfTrue="1">
      <formula>($AE173=2)</formula>
    </cfRule>
    <cfRule type="expression" dxfId="463" priority="10942" stopIfTrue="1">
      <formula>AND(E173&gt;0,OR($F173="Pending",$F173="Pend w FC"))</formula>
    </cfRule>
    <cfRule type="expression" dxfId="462" priority="10943" stopIfTrue="1">
      <formula>AND(E173&gt;0,F173="Approved")</formula>
    </cfRule>
    <cfRule type="expression" dxfId="461" priority="10945" stopIfTrue="1">
      <formula>AND(E173&gt;0,F173="Exclude")</formula>
    </cfRule>
  </conditionalFormatting>
  <conditionalFormatting sqref="B173:C364">
    <cfRule type="expression" dxfId="460" priority="1109" stopIfTrue="1">
      <formula>($AE173=1)</formula>
    </cfRule>
    <cfRule type="expression" dxfId="459" priority="1110" stopIfTrue="1">
      <formula>($AE173=2)</formula>
    </cfRule>
  </conditionalFormatting>
  <conditionalFormatting sqref="B173:B364">
    <cfRule type="expression" dxfId="458" priority="1137" stopIfTrue="1">
      <formula>AND(AE173=3,B173&gt;0)</formula>
    </cfRule>
    <cfRule type="expression" dxfId="457" priority="1138" stopIfTrue="1">
      <formula>AND($AE173=3,B173&lt;0)</formula>
    </cfRule>
  </conditionalFormatting>
  <conditionalFormatting sqref="F173:F364">
    <cfRule type="expression" dxfId="456" priority="10938" stopIfTrue="1">
      <formula>($F173="Approved")</formula>
    </cfRule>
    <cfRule type="expression" dxfId="455" priority="10939" stopIfTrue="1">
      <formula>($F173="Exclude")</formula>
    </cfRule>
    <cfRule type="expression" dxfId="454" priority="10940" stopIfTrue="1">
      <formula>OR($F173="Pending",$F173="Pend w FC")</formula>
    </cfRule>
  </conditionalFormatting>
  <conditionalFormatting sqref="F173:G364">
    <cfRule type="expression" dxfId="453" priority="21" stopIfTrue="1">
      <formula>($AE173=1)</formula>
    </cfRule>
    <cfRule type="expression" dxfId="452" priority="151" stopIfTrue="1">
      <formula>($AE173=2)</formula>
    </cfRule>
  </conditionalFormatting>
  <conditionalFormatting sqref="I173:J364">
    <cfRule type="expression" dxfId="451" priority="150" stopIfTrue="1">
      <formula>($AE173=1)</formula>
    </cfRule>
    <cfRule type="expression" dxfId="450" priority="200" stopIfTrue="1">
      <formula>($AE173=2)</formula>
    </cfRule>
  </conditionalFormatting>
  <conditionalFormatting sqref="M220:M364 M208 M210 M212 M214 M216 M218 M173 M181:M206">
    <cfRule type="expression" dxfId="449" priority="10924" stopIfTrue="1">
      <formula>($AE173=1)</formula>
    </cfRule>
    <cfRule type="expression" dxfId="448" priority="10925" stopIfTrue="1">
      <formula>AND(NOT(ISBLANK($M173)),$AE173=2)</formula>
    </cfRule>
    <cfRule type="expression" dxfId="447" priority="10926">
      <formula>AND(NOT(ISBLANK($M173)),$AE173=3)</formula>
    </cfRule>
  </conditionalFormatting>
  <conditionalFormatting sqref="N173:DA181 N187:DA364 N182:N186 P182:DA186">
    <cfRule type="expression" dxfId="446" priority="80" stopIfTrue="1">
      <formula>($AE173=1)</formula>
    </cfRule>
    <cfRule type="expression" dxfId="445" priority="81" stopIfTrue="1">
      <formula>($AE173=2)</formula>
    </cfRule>
  </conditionalFormatting>
  <conditionalFormatting sqref="DC173:DF364">
    <cfRule type="expression" dxfId="444" priority="28" stopIfTrue="1">
      <formula>($AE173=1)</formula>
    </cfRule>
    <cfRule type="expression" dxfId="443" priority="29" stopIfTrue="1">
      <formula>($AE173=2)</formula>
    </cfRule>
  </conditionalFormatting>
  <conditionalFormatting sqref="DE173:DF364">
    <cfRule type="expression" dxfId="442" priority="155" stopIfTrue="1">
      <formula>AND(NOT(ISBLANK(DE173)),OR(DE173=0,$CX173=0))</formula>
    </cfRule>
    <cfRule type="expression" dxfId="441" priority="12495">
      <formula>AND(DE173&gt;0,$FO173="P")</formula>
    </cfRule>
    <cfRule type="expression" dxfId="440" priority="12497" stopIfTrue="1">
      <formula>(DE173&gt;0)</formula>
    </cfRule>
  </conditionalFormatting>
  <conditionalFormatting sqref="DE173:DE364">
    <cfRule type="expression" dxfId="439" priority="12494" stopIfTrue="1">
      <formula>(DE173&lt;0)</formula>
    </cfRule>
  </conditionalFormatting>
  <conditionalFormatting sqref="FK173:FK364">
    <cfRule type="expression" dxfId="438" priority="10933" stopIfTrue="1">
      <formula>AND($L173&gt;0,$M173=0,$AE173&lt;&gt;3)</formula>
    </cfRule>
    <cfRule type="expression" dxfId="437" priority="10934" stopIfTrue="1">
      <formula>AND($M173&gt;0,$AE173&lt;&gt;3)</formula>
    </cfRule>
    <cfRule type="expression" dxfId="436" priority="10935" stopIfTrue="1">
      <formula>AND(M173&gt;0,$AE173=3)</formula>
    </cfRule>
  </conditionalFormatting>
  <conditionalFormatting sqref="GR173:GR364">
    <cfRule type="expression" dxfId="435" priority="1845">
      <formula>(GR173="P")</formula>
    </cfRule>
    <cfRule type="expression" dxfId="434" priority="1849">
      <formula>AND(GR173="T",DE173=0)</formula>
    </cfRule>
  </conditionalFormatting>
  <conditionalFormatting sqref="GP171:GP172">
    <cfRule type="expression" dxfId="433" priority="30">
      <formula>($C$7="F")</formula>
    </cfRule>
  </conditionalFormatting>
  <conditionalFormatting sqref="L207 L209 L211 L213 L215 L217 L219">
    <cfRule type="expression" dxfId="432" priority="22">
      <formula>(L207&gt;0)</formula>
    </cfRule>
  </conditionalFormatting>
  <conditionalFormatting sqref="M207 M209 M211 M213 M215 M217 M219">
    <cfRule type="expression" dxfId="431" priority="23" stopIfTrue="1">
      <formula>($AE207=1)</formula>
    </cfRule>
    <cfRule type="expression" dxfId="430" priority="24" stopIfTrue="1">
      <formula>AND(NOT(ISBLANK($M207)),$AE207=2)</formula>
    </cfRule>
    <cfRule type="expression" dxfId="429" priority="25">
      <formula>AND(NOT(ISBLANK($M207)),$AE207=3)</formula>
    </cfRule>
  </conditionalFormatting>
  <conditionalFormatting sqref="J173:J364">
    <cfRule type="expression" dxfId="428" priority="14069">
      <formula>AND($C$12,$AM173=1)</formula>
    </cfRule>
    <cfRule type="expression" dxfId="427" priority="14070">
      <formula>(AK173=1)</formula>
    </cfRule>
    <cfRule type="expression" dxfId="426" priority="14071">
      <formula>AND($C$12,AL173=1)</formula>
    </cfRule>
    <cfRule type="expression" dxfId="425" priority="14072">
      <formula>(J173&gt;0)</formula>
    </cfRule>
  </conditionalFormatting>
  <conditionalFormatting sqref="DH173:DH364">
    <cfRule type="expression" dxfId="424" priority="14073" stopIfTrue="1">
      <formula>($AE173=1)</formula>
    </cfRule>
    <cfRule type="expression" dxfId="423" priority="14074" stopIfTrue="1">
      <formula>($AE173=2)</formula>
    </cfRule>
    <cfRule type="expression" dxfId="422" priority="14075" stopIfTrue="1">
      <formula>($GR173="T")</formula>
    </cfRule>
    <cfRule type="expression" dxfId="421" priority="14076" stopIfTrue="1">
      <formula>AND(NOT(ISBLANK(DH173)),OR(DH173=0,CX173=0))</formula>
    </cfRule>
    <cfRule type="expression" dxfId="420" priority="14077" stopIfTrue="1">
      <formula>(DH173&lt;0)</formula>
    </cfRule>
    <cfRule type="expression" dxfId="419" priority="14078" stopIfTrue="1">
      <formula>AND($C$7="F",$DH173&gt;0,$FO173="P")</formula>
    </cfRule>
    <cfRule type="expression" dxfId="418" priority="14079" stopIfTrue="1">
      <formula>(DH173&gt;0)</formula>
    </cfRule>
  </conditionalFormatting>
  <conditionalFormatting sqref="DJ173:FG364">
    <cfRule type="expression" priority="14080" stopIfTrue="1">
      <formula>AND(DJ173=0,$N173=0,DJ$25=0)</formula>
    </cfRule>
    <cfRule type="expression" dxfId="417" priority="14081" stopIfTrue="1">
      <formula>($AE173=1)</formula>
    </cfRule>
    <cfRule type="expression" dxfId="416" priority="14082" stopIfTrue="1">
      <formula>($AE173=2)</formula>
    </cfRule>
    <cfRule type="expression" dxfId="415" priority="14083" stopIfTrue="1">
      <formula>AND(NOT(ISBLANK(DJ173)),OR($GP173=1,$DE173&gt;0,$CX173=0))</formula>
    </cfRule>
    <cfRule type="expression" dxfId="414" priority="14084" stopIfTrue="1">
      <formula>OR(DJ173&lt;0,AND($DH173&lt;0,NOT(ISBLANK(DJ173))))</formula>
    </cfRule>
    <cfRule type="expression" dxfId="413" priority="14085" stopIfTrue="1">
      <formula>AND(DJ173&gt;0,$GR173="T")</formula>
    </cfRule>
    <cfRule type="expression" dxfId="412" priority="14086" stopIfTrue="1">
      <formula>AND($C$7="F",DJ173&gt;0,$FO173="P")</formula>
    </cfRule>
    <cfRule type="expression" dxfId="411" priority="14087" stopIfTrue="1">
      <formula>(DJ173&gt;0)</formula>
    </cfRule>
    <cfRule type="expression" dxfId="410" priority="14088" stopIfTrue="1">
      <formula>(DJ$25="B")</formula>
    </cfRule>
    <cfRule type="expression" dxfId="409" priority="14089" stopIfTrue="1">
      <formula>(DJ$25="O")</formula>
    </cfRule>
    <cfRule type="expression" dxfId="408" priority="14090" stopIfTrue="1">
      <formula>(DJ$25="P")</formula>
    </cfRule>
    <cfRule type="expression" dxfId="407" priority="14091" stopIfTrue="1">
      <formula>(DJ$25="G")</formula>
    </cfRule>
  </conditionalFormatting>
  <conditionalFormatting sqref="GT173:LP364">
    <cfRule type="expression" dxfId="406" priority="14096" stopIfTrue="1">
      <formula>($AE173=1)</formula>
    </cfRule>
    <cfRule type="expression" dxfId="405" priority="14097" stopIfTrue="1">
      <formula>($AE173=2)</formula>
    </cfRule>
    <cfRule type="expression" dxfId="404" priority="14098">
      <formula>(GT$32="P")</formula>
    </cfRule>
    <cfRule type="expression" dxfId="403" priority="14099">
      <formula>(GT$32="Q")</formula>
    </cfRule>
    <cfRule type="expression" dxfId="402" priority="14100">
      <formula>(GT$32="Y")</formula>
    </cfRule>
    <cfRule type="expression" dxfId="401" priority="14101">
      <formula>AND(NOT(ISBLANK(GT173)),OR(GT$25=0,$CY173=0))</formula>
    </cfRule>
    <cfRule type="expression" dxfId="400" priority="14102" stopIfTrue="1">
      <formula>(GT$25=0)</formula>
    </cfRule>
    <cfRule type="expression" dxfId="399" priority="14103" stopIfTrue="1">
      <formula>AND($FO173="P",GT173&gt;0)</formula>
    </cfRule>
    <cfRule type="expression" dxfId="398" priority="14104" stopIfTrue="1">
      <formula>AND(GT173&gt;0,$GR173="T",$DE173=0)</formula>
    </cfRule>
    <cfRule type="expression" dxfId="397" priority="14105">
      <formula>($FT173=1)</formula>
    </cfRule>
    <cfRule type="expression" dxfId="396" priority="14106" stopIfTrue="1">
      <formula>AND(GT173&gt;0,$CY173=1)</formula>
    </cfRule>
  </conditionalFormatting>
  <conditionalFormatting sqref="G173:G364">
    <cfRule type="expression" dxfId="395" priority="14108" stopIfTrue="1">
      <formula>(AH173=0)</formula>
    </cfRule>
    <cfRule type="expression" dxfId="394" priority="14109" stopIfTrue="1">
      <formula>AND(CQ173=1,Z173=0)</formula>
    </cfRule>
  </conditionalFormatting>
  <conditionalFormatting sqref="R173:R364">
    <cfRule type="expression" dxfId="393" priority="14114">
      <formula>AND($AE173=3,OR($AH173=0,$CY173=0))</formula>
    </cfRule>
    <cfRule type="expression" dxfId="392" priority="14115">
      <formula>AND($AE173=3,$B173&lt;&gt;0)</formula>
    </cfRule>
  </conditionalFormatting>
  <conditionalFormatting sqref="S173:DA364">
    <cfRule type="expression" dxfId="391" priority="14116">
      <formula>AND($AE173=3,$CY173=0)</formula>
    </cfRule>
  </conditionalFormatting>
  <conditionalFormatting sqref="GP173:GP364">
    <cfRule type="expression" dxfId="390" priority="14118">
      <formula>($GR173="T")</formula>
    </cfRule>
    <cfRule type="expression" dxfId="389" priority="14119">
      <formula>AND($C$7="F",GP173=1,FX173=1)</formula>
    </cfRule>
    <cfRule type="expression" dxfId="388" priority="14120" stopIfTrue="1">
      <formula>AND($C$7="F",GP173&gt;=0.9,FX173=1)</formula>
    </cfRule>
    <cfRule type="expression" dxfId="387" priority="14121">
      <formula>AND($C$7="F",GP173&gt;0,FX173=1)</formula>
    </cfRule>
    <cfRule type="expression" dxfId="386" priority="14122">
      <formula>($C$7="F")</formula>
    </cfRule>
  </conditionalFormatting>
  <conditionalFormatting sqref="Q164">
    <cfRule type="expression" dxfId="385" priority="19">
      <formula>($C$7="B")</formula>
    </cfRule>
  </conditionalFormatting>
  <conditionalFormatting sqref="P163">
    <cfRule type="expression" dxfId="384" priority="17">
      <formula>($C$7="B")</formula>
    </cfRule>
  </conditionalFormatting>
  <conditionalFormatting sqref="S167">
    <cfRule type="expression" dxfId="383" priority="16">
      <formula>ISBLANK(S167)</formula>
    </cfRule>
  </conditionalFormatting>
  <conditionalFormatting sqref="DJ159:FG159">
    <cfRule type="expression" dxfId="382" priority="14126">
      <formula>ISBLANK(DJ159)</formula>
    </cfRule>
    <cfRule type="expression" dxfId="381" priority="14127">
      <formula>(DJ$159=0)</formula>
    </cfRule>
  </conditionalFormatting>
  <conditionalFormatting sqref="CZ166:DA166">
    <cfRule type="expression" dxfId="380" priority="14156">
      <formula>OR($C$7="B",$W$166=0)</formula>
    </cfRule>
  </conditionalFormatting>
  <conditionalFormatting sqref="Q165">
    <cfRule type="expression" dxfId="379" priority="14">
      <formula>($C$7="B")</formula>
    </cfRule>
  </conditionalFormatting>
  <conditionalFormatting sqref="S164:S165 CZ164">
    <cfRule type="expression" dxfId="378" priority="13">
      <formula>($C$7="B")</formula>
    </cfRule>
  </conditionalFormatting>
  <conditionalFormatting sqref="DC156:DD157">
    <cfRule type="expression" dxfId="377" priority="14184">
      <formula>($FT$171&gt;0)</formula>
    </cfRule>
  </conditionalFormatting>
  <conditionalFormatting sqref="GT154:LP162">
    <cfRule type="expression" dxfId="376" priority="14123">
      <formula>(GT$166="Y")</formula>
    </cfRule>
    <cfRule type="expression" dxfId="375" priority="14124">
      <formula>(GT$166="Q")</formula>
    </cfRule>
    <cfRule type="expression" dxfId="374" priority="14125">
      <formula>(GT$166="P")</formula>
    </cfRule>
  </conditionalFormatting>
  <conditionalFormatting sqref="Q163 S164:S165 CZ164">
    <cfRule type="expression" dxfId="373" priority="14218">
      <formula>($G$28=0)</formula>
    </cfRule>
  </conditionalFormatting>
  <conditionalFormatting sqref="S163 CZ163">
    <cfRule type="expression" dxfId="372" priority="145">
      <formula>AND($C$7="F",NOT(_xlfn.ISFORMULA(S163)))</formula>
    </cfRule>
    <cfRule type="expression" dxfId="371" priority="146">
      <formula>($C$7="F")</formula>
    </cfRule>
  </conditionalFormatting>
  <conditionalFormatting sqref="L173:L180 L182:L186">
    <cfRule type="expression" dxfId="66" priority="12">
      <formula>(L173&gt;0)</formula>
    </cfRule>
  </conditionalFormatting>
  <conditionalFormatting sqref="L181">
    <cfRule type="expression" dxfId="65" priority="11">
      <formula>(L181&gt;0)</formula>
    </cfRule>
  </conditionalFormatting>
  <conditionalFormatting sqref="O182:O183">
    <cfRule type="expression" dxfId="61" priority="6" stopIfTrue="1">
      <formula>($AD182=1)</formula>
    </cfRule>
    <cfRule type="expression" dxfId="60" priority="7" stopIfTrue="1">
      <formula>($AD182=2)</formula>
    </cfRule>
  </conditionalFormatting>
  <conditionalFormatting sqref="O184:O186">
    <cfRule type="expression" dxfId="59" priority="4" stopIfTrue="1">
      <formula>($AD184=1)</formula>
    </cfRule>
    <cfRule type="expression" dxfId="58" priority="5" stopIfTrue="1">
      <formula>($AD184=2)</formula>
    </cfRule>
  </conditionalFormatting>
  <conditionalFormatting sqref="M174:M180">
    <cfRule type="expression" dxfId="57" priority="1" stopIfTrue="1">
      <formula>($AE174=1)</formula>
    </cfRule>
    <cfRule type="expression" dxfId="56" priority="2" stopIfTrue="1">
      <formula>AND(NOT(ISBLANK($M174)),$AE174=2)</formula>
    </cfRule>
    <cfRule type="expression" dxfId="55" priority="3">
      <formula>AND(NOT(ISBLANK($M174)),$AE174=3)</formula>
    </cfRule>
  </conditionalFormatting>
  <dataValidations count="9">
    <dataValidation type="custom" allowBlank="1" showInputMessage="1" showErrorMessage="1" sqref="DJ157:FG158 FM91:FT140 FX91:GQ140 T172:U172 X172:AB172 D4:D6 DJ169:FG169 DJ163:FG163 DJ161:FG161 T6:T7 GT141:LP141 AL172:CL172 FL173:FN364 AE172:AG172 R166:S170 GA173:GA364 GC173:GD364 FP173:FT364 DA166:DA170 CZ166 CZ168:CZ170" xr:uid="{00000000-0002-0000-0900-000000000000}">
      <formula1>""""""</formula1>
    </dataValidation>
    <dataValidation type="custom" allowBlank="1" showInputMessage="1" showErrorMessage="1" error="In weekly mode, this date must be a FRIDAY" promptTitle="Must be a FRIDAY" sqref="GT170" xr:uid="{00000000-0002-0000-0900-000001000000}">
      <formula1>OR(WEEKDAY(GT170)=6,$FM$5=2)</formula1>
    </dataValidation>
    <dataValidation type="list" allowBlank="1" showInputMessage="1" showErrorMessage="1" sqref="GR170" xr:uid="{00000000-0002-0000-0900-000002000000}">
      <formula1>$FM$6:$FM$7</formula1>
    </dataValidation>
    <dataValidation type="list" allowBlank="1" showInputMessage="1" showErrorMessage="1" sqref="GR173:GR364" xr:uid="{00000000-0002-0000-0900-000003000000}">
      <formula1>$GR$41:$GR$43</formula1>
    </dataValidation>
    <dataValidation type="list" allowBlank="1" showInputMessage="1" showErrorMessage="1" sqref="B173:B364" xr:uid="{00000000-0002-0000-0900-000004000000}">
      <formula1>$C$28:$C$42</formula1>
    </dataValidation>
    <dataValidation type="list" allowBlank="1" showInputMessage="1" showErrorMessage="1" sqref="G173:G364" xr:uid="{00000000-0002-0000-0900-000005000000}">
      <formula1>$G$20:$G$22</formula1>
    </dataValidation>
    <dataValidation type="list" allowBlank="1" showInputMessage="1" showErrorMessage="1" sqref="F173:F364" xr:uid="{00000000-0002-0000-0900-000008000000}">
      <formula1>$C$20:$C$24</formula1>
    </dataValidation>
    <dataValidation type="custom" allowBlank="1" showInputMessage="1" showErrorMessage="1" error="Please do not overtype formulae" sqref="R173:AI364 CS173:DA364 AL173:CQ364" xr:uid="{587AB5C0-9505-4725-981C-78FE0169EDA6}">
      <formula1>""""""</formula1>
    </dataValidation>
    <dataValidation allowBlank="1" showInputMessage="1" showErrorMessage="1" error="Please do not overtype formulae" sqref="CR173:CR364 AJ173:AK364" xr:uid="{044B66AC-9A7D-4BB2-9E1D-50DC847D356E}"/>
  </dataValidations>
  <pageMargins left="0.31496062992125984" right="0.31496062992125984" top="0.74803149606299213" bottom="0.35433070866141736" header="0.31496062992125984" footer="0.31496062992125984"/>
  <pageSetup paperSize="8" scale="70" orientation="portrait" r:id="rId1"/>
  <cellWatches>
    <cellWatch r="DX175"/>
  </cellWatche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43" id="{14A723BB-9B51-40E1-A401-3DBFB45D934C}">
            <xm:f>OR('1 Setup'!$G$8=4,'1 Setup'!$G$8=5)</xm:f>
            <x14:dxf>
              <font>
                <color theme="1"/>
              </font>
              <fill>
                <patternFill>
                  <bgColor theme="0"/>
                </patternFill>
              </fill>
            </x14:dxf>
          </x14:cfRule>
          <xm:sqref>Q166:Q167</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900-000009000000}">
          <x14:formula1>
            <xm:f>OFFSET('3c Plan Analysis'!$DC$18:$DJ$18,0,0,1,COUNTA('3c Plan Analysis'!$DC$18:$DJ$18))</xm:f>
          </x14:formula1>
          <xm:sqref>C173:C364</xm:sqref>
        </x14:dataValidation>
        <x14:dataValidation type="list" allowBlank="1" showInputMessage="1" showErrorMessage="1" xr:uid="{00000000-0002-0000-0900-00000A000000}">
          <x14:formula1>
            <xm:f>'2 Staff List'!$HB$45:$HB$52</xm:f>
          </x14:formula1>
          <xm:sqref>DC173:DC364</xm:sqref>
        </x14:dataValidation>
        <x14:dataValidation type="list" allowBlank="1" showInputMessage="1" showErrorMessage="1" xr:uid="{00000000-0002-0000-0900-00000B000000}">
          <x14:formula1>
            <xm:f>OFFSET('5  Control Accounts'!$BJ$29,0,0,$J$14,1)</xm:f>
          </x14:formula1>
          <xm:sqref>J173:J364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dimension ref="A1:DK171"/>
  <sheetViews>
    <sheetView showGridLines="0" topLeftCell="CX8" workbookViewId="0">
      <selection activeCell="DC18" sqref="DC18"/>
    </sheetView>
  </sheetViews>
  <sheetFormatPr defaultColWidth="9.109375" defaultRowHeight="13.8" x14ac:dyDescent="0.25"/>
  <cols>
    <col min="1" max="2" width="6.6640625" style="749" hidden="1" customWidth="1"/>
    <col min="3" max="75" width="3.33203125" style="749" hidden="1" customWidth="1"/>
    <col min="76" max="86" width="6.6640625" style="749" hidden="1" customWidth="1"/>
    <col min="87" max="87" width="4.44140625" style="749" hidden="1" customWidth="1"/>
    <col min="88" max="94" width="6.6640625" style="749" hidden="1" customWidth="1"/>
    <col min="95" max="95" width="13.33203125" style="749" hidden="1" customWidth="1"/>
    <col min="96" max="101" width="4.88671875" style="749" hidden="1" customWidth="1"/>
    <col min="102" max="102" width="6.44140625" style="749" customWidth="1"/>
    <col min="103" max="103" width="20.88671875" style="749" customWidth="1"/>
    <col min="104" max="104" width="19" style="749" customWidth="1"/>
    <col min="105" max="105" width="11.88671875" style="749" customWidth="1"/>
    <col min="106" max="106" width="3.5546875" style="749" customWidth="1"/>
    <col min="107" max="113" width="12.6640625" style="749" customWidth="1"/>
    <col min="114" max="114" width="3.5546875" style="749" customWidth="1"/>
    <col min="115" max="16384" width="9.109375" style="749"/>
  </cols>
  <sheetData>
    <row r="1" spans="1:115" hidden="1" x14ac:dyDescent="0.25">
      <c r="A1" s="755"/>
      <c r="B1" s="755"/>
      <c r="C1" s="755"/>
      <c r="D1" s="755"/>
      <c r="E1" s="755"/>
      <c r="F1" s="755"/>
      <c r="G1" s="755"/>
      <c r="H1" s="755"/>
      <c r="I1" s="755"/>
      <c r="J1" s="755"/>
      <c r="K1" s="755"/>
      <c r="L1" s="755"/>
      <c r="M1" s="755"/>
      <c r="N1" s="755"/>
      <c r="O1" s="755"/>
      <c r="P1" s="755"/>
      <c r="Q1" s="755"/>
      <c r="R1" s="755"/>
      <c r="S1" s="755"/>
      <c r="T1" s="755"/>
      <c r="U1" s="755"/>
      <c r="V1" s="755"/>
      <c r="W1" s="755"/>
      <c r="X1" s="755"/>
      <c r="Y1" s="755"/>
      <c r="Z1" s="755"/>
      <c r="AA1" s="755"/>
      <c r="AB1" s="755"/>
      <c r="AC1" s="755"/>
      <c r="AD1" s="755"/>
      <c r="AE1" s="755"/>
      <c r="AF1" s="755"/>
      <c r="AG1" s="755"/>
      <c r="AH1" s="755"/>
      <c r="AI1" s="755"/>
      <c r="AJ1" s="755"/>
      <c r="AK1" s="755"/>
      <c r="AL1" s="755"/>
      <c r="AM1" s="755"/>
      <c r="AN1" s="755"/>
      <c r="AO1" s="755"/>
      <c r="AP1" s="755"/>
      <c r="AQ1" s="755"/>
      <c r="AR1" s="755"/>
      <c r="AS1" s="755"/>
      <c r="AT1" s="755"/>
      <c r="AU1" s="755"/>
      <c r="AV1" s="755"/>
      <c r="AW1" s="755"/>
      <c r="AX1" s="755"/>
      <c r="AY1" s="755"/>
      <c r="AZ1" s="755"/>
      <c r="BA1" s="755"/>
      <c r="BB1" s="755"/>
      <c r="BC1" s="755"/>
      <c r="BD1" s="755"/>
      <c r="BE1" s="755"/>
      <c r="BF1" s="755"/>
      <c r="BG1" s="755"/>
      <c r="BH1" s="755"/>
      <c r="BI1" s="755"/>
      <c r="BJ1" s="755"/>
      <c r="BK1" s="755"/>
      <c r="BL1" s="755"/>
      <c r="BM1" s="755"/>
      <c r="BN1" s="755"/>
      <c r="BO1" s="755"/>
      <c r="BP1" s="755"/>
      <c r="BQ1" s="755"/>
      <c r="BR1" s="755"/>
      <c r="BS1" s="755"/>
      <c r="BT1" s="755"/>
      <c r="BU1" s="755"/>
      <c r="BV1" s="755"/>
      <c r="BW1" s="755"/>
      <c r="BX1" s="755"/>
      <c r="BY1" s="755"/>
      <c r="BZ1" s="755"/>
      <c r="CA1" s="755"/>
      <c r="CB1" s="755"/>
      <c r="CC1" s="755"/>
      <c r="CD1" s="755"/>
      <c r="CE1" s="755"/>
      <c r="CF1" s="755"/>
      <c r="CG1" s="755"/>
      <c r="CH1" s="755"/>
      <c r="CI1" s="755"/>
      <c r="CJ1" s="755"/>
      <c r="CK1" s="755"/>
      <c r="CL1" s="755"/>
      <c r="CM1" s="755"/>
      <c r="CN1" s="755"/>
      <c r="CO1" s="755"/>
      <c r="CP1" s="755"/>
      <c r="CQ1" s="755"/>
      <c r="CR1" s="755"/>
      <c r="CS1" s="755"/>
      <c r="CT1" s="755"/>
      <c r="CU1" s="755"/>
      <c r="CV1" s="755"/>
      <c r="CW1" s="755"/>
      <c r="CX1" s="755"/>
      <c r="CY1" s="755"/>
      <c r="CZ1" s="755"/>
      <c r="DA1" s="755"/>
      <c r="DB1" s="755"/>
      <c r="DC1" s="755"/>
      <c r="DD1" s="755"/>
      <c r="DE1" s="755"/>
      <c r="DF1" s="755"/>
      <c r="DG1" s="755"/>
      <c r="DH1" s="755"/>
      <c r="DI1" s="755"/>
      <c r="DJ1" s="755"/>
      <c r="DK1" s="755"/>
    </row>
    <row r="2" spans="1:115" hidden="1" x14ac:dyDescent="0.25">
      <c r="A2" s="755"/>
      <c r="B2" s="755"/>
      <c r="C2" s="755"/>
      <c r="D2" s="755"/>
      <c r="E2" s="755"/>
      <c r="F2" s="755"/>
      <c r="G2" s="755"/>
      <c r="H2" s="755"/>
      <c r="I2" s="755"/>
      <c r="J2" s="755"/>
      <c r="K2" s="755"/>
      <c r="L2" s="755"/>
      <c r="M2" s="755"/>
      <c r="N2" s="755"/>
      <c r="O2" s="755"/>
      <c r="P2" s="755"/>
      <c r="Q2" s="755"/>
      <c r="R2" s="755"/>
      <c r="S2" s="755"/>
      <c r="T2" s="755"/>
      <c r="U2" s="755"/>
      <c r="V2" s="755"/>
      <c r="W2" s="755"/>
      <c r="X2" s="755"/>
      <c r="Y2" s="755"/>
      <c r="Z2" s="755"/>
      <c r="AA2" s="755"/>
      <c r="AB2" s="755"/>
      <c r="AC2" s="755"/>
      <c r="AD2" s="755"/>
      <c r="AE2" s="755"/>
      <c r="AF2" s="755"/>
      <c r="AG2" s="755"/>
      <c r="AH2" s="755"/>
      <c r="AI2" s="755"/>
      <c r="AJ2" s="755"/>
      <c r="AK2" s="755"/>
      <c r="AL2" s="755"/>
      <c r="AM2" s="755"/>
      <c r="AN2" s="755"/>
      <c r="AO2" s="755"/>
      <c r="AP2" s="755"/>
      <c r="AQ2" s="755"/>
      <c r="AR2" s="755"/>
      <c r="AS2" s="755"/>
      <c r="AT2" s="755"/>
      <c r="AU2" s="755"/>
      <c r="AV2" s="755"/>
      <c r="AW2" s="755"/>
      <c r="AX2" s="755"/>
      <c r="AY2" s="755"/>
      <c r="AZ2" s="755"/>
      <c r="BA2" s="755"/>
      <c r="BB2" s="755"/>
      <c r="BC2" s="755"/>
      <c r="BD2" s="755"/>
      <c r="BE2" s="755"/>
      <c r="BF2" s="755"/>
      <c r="BG2" s="755"/>
      <c r="BH2" s="755"/>
      <c r="BI2" s="755"/>
      <c r="BJ2" s="755"/>
      <c r="BK2" s="755"/>
      <c r="BL2" s="755"/>
      <c r="BM2" s="755"/>
      <c r="BN2" s="755"/>
      <c r="BO2" s="755"/>
      <c r="BP2" s="755"/>
      <c r="BQ2" s="755"/>
      <c r="BR2" s="755"/>
      <c r="BS2" s="755"/>
      <c r="BT2" s="755"/>
      <c r="BU2" s="755"/>
      <c r="BV2" s="755"/>
      <c r="BW2" s="755"/>
      <c r="BX2" s="755"/>
      <c r="BY2" s="755"/>
      <c r="BZ2" s="755"/>
      <c r="CA2" s="755"/>
      <c r="CB2" s="755"/>
      <c r="CC2" s="755"/>
      <c r="CD2" s="755"/>
      <c r="CE2" s="755"/>
      <c r="CF2" s="755"/>
      <c r="CG2" s="755"/>
      <c r="CH2" s="755"/>
      <c r="CI2" s="755"/>
      <c r="CJ2" s="755"/>
      <c r="CK2" s="755"/>
      <c r="CL2" s="755"/>
      <c r="CM2" s="755"/>
      <c r="CN2" s="755"/>
      <c r="CO2" s="755"/>
      <c r="CP2" s="755"/>
      <c r="CQ2" s="755"/>
      <c r="CR2" s="755"/>
      <c r="CS2" s="755"/>
      <c r="CT2" s="755"/>
      <c r="CU2" s="755"/>
      <c r="CV2" s="755"/>
      <c r="CW2" s="755"/>
      <c r="CX2" s="748">
        <f>IF(CZ20=CY2,1,0)</f>
        <v>0</v>
      </c>
      <c r="CY2" s="256" t="s">
        <v>2732</v>
      </c>
      <c r="CZ2" s="2409">
        <v>1.1000000000000001</v>
      </c>
      <c r="DA2" s="755"/>
      <c r="DB2" s="755"/>
      <c r="DC2" s="755"/>
      <c r="DD2" s="755"/>
      <c r="DE2" s="310" t="s">
        <v>476</v>
      </c>
      <c r="DF2" s="755"/>
      <c r="DG2" s="755"/>
      <c r="DH2" s="755"/>
      <c r="DI2" s="755"/>
      <c r="DJ2" s="755"/>
      <c r="DK2" s="755"/>
    </row>
    <row r="3" spans="1:115" hidden="1" x14ac:dyDescent="0.25">
      <c r="A3" s="755"/>
      <c r="B3" s="755"/>
      <c r="C3" s="755"/>
      <c r="D3" s="755"/>
      <c r="E3" s="755"/>
      <c r="F3" s="755"/>
      <c r="G3" s="755"/>
      <c r="H3" s="755"/>
      <c r="I3" s="755"/>
      <c r="J3" s="755"/>
      <c r="K3" s="755"/>
      <c r="L3" s="755"/>
      <c r="M3" s="755"/>
      <c r="N3" s="755"/>
      <c r="O3" s="755"/>
      <c r="P3" s="755"/>
      <c r="Q3" s="755"/>
      <c r="R3" s="755"/>
      <c r="S3" s="755"/>
      <c r="T3" s="755"/>
      <c r="U3" s="755"/>
      <c r="V3" s="755"/>
      <c r="W3" s="755"/>
      <c r="X3" s="755"/>
      <c r="Y3" s="755"/>
      <c r="Z3" s="755"/>
      <c r="AA3" s="755"/>
      <c r="AB3" s="755"/>
      <c r="AC3" s="755"/>
      <c r="AD3" s="755"/>
      <c r="AE3" s="755"/>
      <c r="AF3" s="755"/>
      <c r="AG3" s="755"/>
      <c r="AH3" s="755"/>
      <c r="AI3" s="755"/>
      <c r="AJ3" s="755"/>
      <c r="AK3" s="755"/>
      <c r="AL3" s="755"/>
      <c r="AM3" s="755"/>
      <c r="AN3" s="755"/>
      <c r="AO3" s="755"/>
      <c r="AP3" s="755"/>
      <c r="AQ3" s="755"/>
      <c r="AR3" s="755"/>
      <c r="AS3" s="755"/>
      <c r="AT3" s="755"/>
      <c r="AU3" s="755"/>
      <c r="AV3" s="755"/>
      <c r="AW3" s="755"/>
      <c r="AX3" s="755"/>
      <c r="AY3" s="755"/>
      <c r="AZ3" s="755"/>
      <c r="BA3" s="755"/>
      <c r="BB3" s="755"/>
      <c r="BC3" s="755"/>
      <c r="BD3" s="755"/>
      <c r="BE3" s="755"/>
      <c r="BF3" s="755"/>
      <c r="BG3" s="755"/>
      <c r="BH3" s="755"/>
      <c r="BI3" s="755"/>
      <c r="BJ3" s="755"/>
      <c r="BK3" s="755"/>
      <c r="BL3" s="755"/>
      <c r="BM3" s="755"/>
      <c r="BN3" s="755"/>
      <c r="BO3" s="755"/>
      <c r="BP3" s="755"/>
      <c r="BQ3" s="755"/>
      <c r="BR3" s="755"/>
      <c r="BS3" s="755"/>
      <c r="BT3" s="755"/>
      <c r="BU3" s="755"/>
      <c r="BV3" s="755"/>
      <c r="BW3" s="755"/>
      <c r="BX3" s="755"/>
      <c r="BY3" s="755"/>
      <c r="BZ3" s="755"/>
      <c r="CA3" s="755"/>
      <c r="CB3" s="755"/>
      <c r="CC3" s="755"/>
      <c r="CD3" s="755"/>
      <c r="CE3" s="755"/>
      <c r="CF3" s="755"/>
      <c r="CG3" s="755"/>
      <c r="CH3" s="755"/>
      <c r="CI3" s="755"/>
      <c r="CJ3" s="755"/>
      <c r="CK3" s="755"/>
      <c r="CL3" s="755"/>
      <c r="CM3" s="755"/>
      <c r="CN3" s="755"/>
      <c r="CO3" s="755"/>
      <c r="CP3" s="755"/>
      <c r="CQ3" s="755"/>
      <c r="CR3" s="755"/>
      <c r="CS3" s="755"/>
      <c r="CT3" s="755"/>
      <c r="CU3" s="755"/>
      <c r="CV3" s="755"/>
      <c r="CW3" s="755"/>
      <c r="CX3" s="748">
        <f>1-CX2</f>
        <v>1</v>
      </c>
      <c r="CY3" s="256" t="s">
        <v>2731</v>
      </c>
      <c r="CZ3" s="755"/>
      <c r="DA3" s="755"/>
      <c r="DB3" s="755"/>
      <c r="DC3" s="678" t="s">
        <v>495</v>
      </c>
      <c r="DD3" s="680"/>
      <c r="DE3" s="903">
        <f>'1 Setup'!N3</f>
        <v>0</v>
      </c>
      <c r="DF3" s="755"/>
      <c r="DG3" s="748" t="b">
        <f>(COUNTA(CZ31:CZ42)&gt;0)</f>
        <v>0</v>
      </c>
      <c r="DH3" s="446" t="s">
        <v>765</v>
      </c>
      <c r="DI3" s="755"/>
      <c r="DJ3" s="755"/>
      <c r="DK3" s="755"/>
    </row>
    <row r="4" spans="1:115" hidden="1" x14ac:dyDescent="0.25">
      <c r="A4" s="755"/>
      <c r="B4" s="755"/>
      <c r="C4" s="755"/>
      <c r="D4" s="755"/>
      <c r="E4" s="755"/>
      <c r="F4" s="755"/>
      <c r="G4" s="755"/>
      <c r="H4" s="755"/>
      <c r="I4" s="755"/>
      <c r="J4" s="755"/>
      <c r="K4" s="755"/>
      <c r="L4" s="755"/>
      <c r="M4" s="755"/>
      <c r="N4" s="755"/>
      <c r="O4" s="755"/>
      <c r="P4" s="755"/>
      <c r="Q4" s="755"/>
      <c r="R4" s="755"/>
      <c r="S4" s="755"/>
      <c r="T4" s="755"/>
      <c r="U4" s="755"/>
      <c r="V4" s="755"/>
      <c r="W4" s="755"/>
      <c r="X4" s="755"/>
      <c r="Y4" s="755"/>
      <c r="Z4" s="755"/>
      <c r="AA4" s="755"/>
      <c r="AB4" s="755"/>
      <c r="AC4" s="755"/>
      <c r="AD4" s="755"/>
      <c r="AE4" s="755"/>
      <c r="AF4" s="755"/>
      <c r="AG4" s="755"/>
      <c r="AH4" s="755"/>
      <c r="AI4" s="755"/>
      <c r="AJ4" s="755"/>
      <c r="AK4" s="755"/>
      <c r="AL4" s="755"/>
      <c r="AM4" s="755"/>
      <c r="AN4" s="755"/>
      <c r="AO4" s="755"/>
      <c r="AP4" s="755"/>
      <c r="AQ4" s="755"/>
      <c r="AR4" s="755"/>
      <c r="AS4" s="755"/>
      <c r="AT4" s="755"/>
      <c r="AU4" s="755"/>
      <c r="AV4" s="755"/>
      <c r="AW4" s="755"/>
      <c r="AX4" s="755"/>
      <c r="AY4" s="755"/>
      <c r="AZ4" s="755"/>
      <c r="BA4" s="755"/>
      <c r="BB4" s="755"/>
      <c r="BC4" s="755"/>
      <c r="BD4" s="755"/>
      <c r="BE4" s="755"/>
      <c r="BF4" s="755"/>
      <c r="BG4" s="755"/>
      <c r="BH4" s="755"/>
      <c r="BI4" s="755"/>
      <c r="BJ4" s="755"/>
      <c r="BK4" s="755"/>
      <c r="BL4" s="755"/>
      <c r="BM4" s="755"/>
      <c r="BN4" s="755"/>
      <c r="BO4" s="755"/>
      <c r="BP4" s="755"/>
      <c r="BQ4" s="755"/>
      <c r="BR4" s="755"/>
      <c r="BS4" s="755"/>
      <c r="BT4" s="755"/>
      <c r="BU4" s="755"/>
      <c r="BV4" s="755"/>
      <c r="BW4" s="755"/>
      <c r="BX4" s="755"/>
      <c r="BY4" s="755"/>
      <c r="BZ4" s="755"/>
      <c r="CA4" s="755"/>
      <c r="CB4" s="755"/>
      <c r="CC4" s="755"/>
      <c r="CD4" s="755"/>
      <c r="CE4" s="755"/>
      <c r="CF4" s="755"/>
      <c r="CG4" s="755"/>
      <c r="CH4" s="755"/>
      <c r="CI4" s="755"/>
      <c r="CJ4" s="755"/>
      <c r="CK4" s="755"/>
      <c r="CL4" s="755"/>
      <c r="CM4" s="417" t="s">
        <v>387</v>
      </c>
      <c r="CN4" s="417" t="s">
        <v>2733</v>
      </c>
      <c r="CO4" s="417" t="s">
        <v>667</v>
      </c>
      <c r="CP4" s="755"/>
      <c r="CQ4" s="755"/>
      <c r="CR4" s="755"/>
      <c r="CS4" s="755"/>
      <c r="CT4" s="755"/>
      <c r="CU4" s="755"/>
      <c r="CV4" s="755"/>
      <c r="CW4" s="755"/>
      <c r="CX4" s="755"/>
      <c r="CY4" s="755"/>
      <c r="CZ4" s="755"/>
      <c r="DA4" s="755"/>
      <c r="DB4" s="755"/>
      <c r="DC4" s="681" t="s">
        <v>496</v>
      </c>
      <c r="DD4" s="683"/>
      <c r="DE4" s="2455">
        <f>'1 Setup'!N4</f>
        <v>1</v>
      </c>
      <c r="DF4" s="755"/>
      <c r="DG4" s="748" t="b">
        <f>(COUNTA(DC18:DJ18)&gt;0)</f>
        <v>0</v>
      </c>
      <c r="DH4" s="446" t="s">
        <v>766</v>
      </c>
      <c r="DI4" s="755"/>
      <c r="DJ4" s="755"/>
      <c r="DK4" s="755"/>
    </row>
    <row r="5" spans="1:115" hidden="1" x14ac:dyDescent="0.25">
      <c r="A5" s="755"/>
      <c r="B5" s="755"/>
      <c r="C5" s="755"/>
      <c r="D5" s="755"/>
      <c r="E5" s="755"/>
      <c r="F5" s="755"/>
      <c r="G5" s="755"/>
      <c r="H5" s="755"/>
      <c r="I5" s="755"/>
      <c r="J5" s="755"/>
      <c r="K5" s="755"/>
      <c r="L5" s="755"/>
      <c r="M5" s="755"/>
      <c r="N5" s="755"/>
      <c r="O5" s="755"/>
      <c r="P5" s="755"/>
      <c r="Q5" s="755"/>
      <c r="R5" s="755"/>
      <c r="S5" s="755"/>
      <c r="T5" s="755"/>
      <c r="U5" s="755"/>
      <c r="V5" s="755"/>
      <c r="W5" s="755"/>
      <c r="X5" s="755"/>
      <c r="Y5" s="755"/>
      <c r="Z5" s="755"/>
      <c r="AA5" s="755"/>
      <c r="AB5" s="755"/>
      <c r="AC5" s="755"/>
      <c r="AD5" s="755"/>
      <c r="AE5" s="755"/>
      <c r="AF5" s="755"/>
      <c r="AG5" s="755"/>
      <c r="AH5" s="755"/>
      <c r="AI5" s="755"/>
      <c r="AJ5" s="755"/>
      <c r="AK5" s="755"/>
      <c r="AL5" s="755"/>
      <c r="AM5" s="755"/>
      <c r="AN5" s="755"/>
      <c r="AO5" s="755"/>
      <c r="AP5" s="755"/>
      <c r="AQ5" s="755"/>
      <c r="AR5" s="755"/>
      <c r="AS5" s="755"/>
      <c r="AT5" s="755"/>
      <c r="AU5" s="755"/>
      <c r="AV5" s="755"/>
      <c r="AW5" s="755"/>
      <c r="AX5" s="755"/>
      <c r="AY5" s="755"/>
      <c r="AZ5" s="755"/>
      <c r="BA5" s="755"/>
      <c r="BB5" s="755"/>
      <c r="BC5" s="755"/>
      <c r="BD5" s="755"/>
      <c r="BE5" s="755"/>
      <c r="BF5" s="755"/>
      <c r="BG5" s="755"/>
      <c r="BH5" s="755"/>
      <c r="BI5" s="755"/>
      <c r="BJ5" s="755"/>
      <c r="BK5" s="755"/>
      <c r="BL5" s="755"/>
      <c r="BM5" s="755"/>
      <c r="BN5" s="755"/>
      <c r="BO5" s="755"/>
      <c r="BP5" s="755"/>
      <c r="BQ5" s="755"/>
      <c r="BR5" s="755"/>
      <c r="BS5" s="755"/>
      <c r="BT5" s="755"/>
      <c r="BU5" s="755"/>
      <c r="BV5" s="755"/>
      <c r="BW5" s="755"/>
      <c r="BX5" s="755"/>
      <c r="BY5" s="755"/>
      <c r="BZ5" s="755"/>
      <c r="CA5" s="755"/>
      <c r="CB5" s="755"/>
      <c r="CC5" s="755"/>
      <c r="CD5" s="755"/>
      <c r="CE5" s="755"/>
      <c r="CF5" s="755"/>
      <c r="CG5" s="755"/>
      <c r="CH5" s="755"/>
      <c r="CI5" s="755"/>
      <c r="CJ5" s="755"/>
      <c r="CK5" s="755"/>
      <c r="CL5" s="755"/>
      <c r="CM5" s="314">
        <f>'3a Staff Plan'!R119</f>
        <v>0</v>
      </c>
      <c r="CN5" s="314">
        <f>'3b Activity Plan'!R163</f>
        <v>0</v>
      </c>
      <c r="CO5" s="748">
        <f>(CM5*$DE$3)+(CN5*$DE$4)</f>
        <v>0</v>
      </c>
      <c r="CP5" s="446" t="s">
        <v>770</v>
      </c>
      <c r="CQ5" s="755"/>
      <c r="CR5" s="755"/>
      <c r="CS5" s="755"/>
      <c r="CT5" s="755"/>
      <c r="CU5" s="755"/>
      <c r="CV5" s="755"/>
      <c r="CW5" s="755"/>
      <c r="CX5" s="748">
        <f>IF(CZ22=CY5,1,0)</f>
        <v>1</v>
      </c>
      <c r="CY5" s="256" t="s">
        <v>1714</v>
      </c>
      <c r="CZ5" s="691">
        <f ca="1">IF(CX5=1,DA47,DD22)</f>
        <v>690297.81825000001</v>
      </c>
      <c r="DA5" s="755"/>
      <c r="DB5" s="755"/>
      <c r="DC5" s="755"/>
      <c r="DD5" s="755"/>
      <c r="DE5" s="755"/>
      <c r="DF5" s="755"/>
      <c r="DG5" s="755"/>
      <c r="DH5" s="755"/>
      <c r="DI5" s="755"/>
      <c r="DJ5" s="755"/>
      <c r="DK5" s="755"/>
    </row>
    <row r="6" spans="1:115" hidden="1" x14ac:dyDescent="0.25">
      <c r="A6" s="755"/>
      <c r="B6" s="755"/>
      <c r="C6" s="755"/>
      <c r="D6" s="755"/>
      <c r="E6" s="755"/>
      <c r="F6" s="755"/>
      <c r="G6" s="755"/>
      <c r="H6" s="755"/>
      <c r="I6" s="755"/>
      <c r="J6" s="755"/>
      <c r="K6" s="755"/>
      <c r="L6" s="755"/>
      <c r="M6" s="755"/>
      <c r="N6" s="755"/>
      <c r="O6" s="755"/>
      <c r="P6" s="755"/>
      <c r="Q6" s="755"/>
      <c r="R6" s="755"/>
      <c r="S6" s="755"/>
      <c r="T6" s="755"/>
      <c r="U6" s="755"/>
      <c r="V6" s="755"/>
      <c r="W6" s="755"/>
      <c r="X6" s="755"/>
      <c r="Y6" s="755"/>
      <c r="Z6" s="755"/>
      <c r="AA6" s="755"/>
      <c r="AB6" s="755"/>
      <c r="AC6" s="755"/>
      <c r="AD6" s="755"/>
      <c r="AE6" s="755"/>
      <c r="AF6" s="755"/>
      <c r="AG6" s="755"/>
      <c r="AH6" s="755"/>
      <c r="AI6" s="755"/>
      <c r="AJ6" s="755"/>
      <c r="AK6" s="755"/>
      <c r="AL6" s="755"/>
      <c r="AM6" s="755"/>
      <c r="AN6" s="755"/>
      <c r="AO6" s="755"/>
      <c r="AP6" s="755"/>
      <c r="AQ6" s="755"/>
      <c r="AR6" s="755"/>
      <c r="AS6" s="755"/>
      <c r="AT6" s="755"/>
      <c r="AU6" s="755"/>
      <c r="AV6" s="755"/>
      <c r="AW6" s="755"/>
      <c r="AX6" s="755"/>
      <c r="AY6" s="755"/>
      <c r="AZ6" s="755"/>
      <c r="BA6" s="755"/>
      <c r="BB6" s="755"/>
      <c r="BC6" s="755"/>
      <c r="BD6" s="755"/>
      <c r="BE6" s="755"/>
      <c r="BF6" s="755"/>
      <c r="BG6" s="755"/>
      <c r="BH6" s="755"/>
      <c r="BI6" s="755"/>
      <c r="BJ6" s="755"/>
      <c r="BK6" s="755"/>
      <c r="BL6" s="755"/>
      <c r="BM6" s="755"/>
      <c r="BN6" s="755"/>
      <c r="BO6" s="755"/>
      <c r="BP6" s="755"/>
      <c r="BQ6" s="755"/>
      <c r="BR6" s="755"/>
      <c r="BS6" s="755"/>
      <c r="BT6" s="755"/>
      <c r="BU6" s="755"/>
      <c r="BV6" s="755"/>
      <c r="BW6" s="755"/>
      <c r="BX6" s="755"/>
      <c r="BY6" s="755"/>
      <c r="BZ6" s="755"/>
      <c r="CA6" s="755"/>
      <c r="CB6" s="755"/>
      <c r="CC6" s="755"/>
      <c r="CD6" s="755"/>
      <c r="CE6" s="755"/>
      <c r="CF6" s="755"/>
      <c r="CG6" s="755"/>
      <c r="CH6" s="755"/>
      <c r="CI6" s="755"/>
      <c r="CJ6" s="755"/>
      <c r="CK6" s="755"/>
      <c r="CL6" s="755"/>
      <c r="CM6" s="314">
        <f>'3a Staff Plan'!R126</f>
        <v>0</v>
      </c>
      <c r="CN6" s="314">
        <f>'3b Activity Plan'!R170</f>
        <v>1363</v>
      </c>
      <c r="CO6" s="748">
        <f>(CM6*$DE$3)+(CN6*$DE$4)</f>
        <v>1363</v>
      </c>
      <c r="CP6" s="446" t="s">
        <v>2736</v>
      </c>
      <c r="CQ6" s="755"/>
      <c r="CR6" s="755"/>
      <c r="CS6" s="755"/>
      <c r="CT6" s="755"/>
      <c r="CU6" s="755"/>
      <c r="CV6" s="755"/>
      <c r="CW6" s="755"/>
      <c r="CX6" s="748">
        <f>1-CX5</f>
        <v>0</v>
      </c>
      <c r="CY6" s="256" t="s">
        <v>1153</v>
      </c>
      <c r="CZ6" s="755"/>
      <c r="DA6" s="755"/>
      <c r="DB6" s="755"/>
      <c r="DC6" s="678" t="s">
        <v>4269</v>
      </c>
      <c r="DD6" s="680"/>
      <c r="DE6" s="748">
        <f>IF('1 Setup'!G3="B",0,1)</f>
        <v>0</v>
      </c>
      <c r="DF6" s="755"/>
      <c r="DG6" s="755"/>
      <c r="DH6" s="755"/>
      <c r="DI6" s="755"/>
      <c r="DJ6" s="755"/>
      <c r="DK6" s="755"/>
    </row>
    <row r="7" spans="1:115" hidden="1" x14ac:dyDescent="0.25">
      <c r="A7" s="755"/>
      <c r="B7" s="755"/>
      <c r="C7" s="755"/>
      <c r="D7" s="755"/>
      <c r="E7" s="755"/>
      <c r="F7" s="755"/>
      <c r="G7" s="755"/>
      <c r="H7" s="755"/>
      <c r="I7" s="755"/>
      <c r="J7" s="755"/>
      <c r="K7" s="755"/>
      <c r="L7" s="755"/>
      <c r="M7" s="755"/>
      <c r="N7" s="755"/>
      <c r="O7" s="755"/>
      <c r="P7" s="755"/>
      <c r="Q7" s="755"/>
      <c r="R7" s="755"/>
      <c r="S7" s="755"/>
      <c r="T7" s="755"/>
      <c r="U7" s="755"/>
      <c r="V7" s="755"/>
      <c r="W7" s="755"/>
      <c r="X7" s="755"/>
      <c r="Y7" s="755"/>
      <c r="Z7" s="755"/>
      <c r="AA7" s="755"/>
      <c r="AB7" s="755"/>
      <c r="AC7" s="755"/>
      <c r="AD7" s="755"/>
      <c r="AE7" s="755"/>
      <c r="AF7" s="755"/>
      <c r="AG7" s="755"/>
      <c r="AH7" s="755"/>
      <c r="AI7" s="755"/>
      <c r="AJ7" s="755"/>
      <c r="AK7" s="755"/>
      <c r="AL7" s="755"/>
      <c r="AM7" s="755"/>
      <c r="AN7" s="755"/>
      <c r="AO7" s="755"/>
      <c r="AP7" s="755"/>
      <c r="AQ7" s="755"/>
      <c r="AR7" s="755"/>
      <c r="AS7" s="755"/>
      <c r="AT7" s="755"/>
      <c r="AU7" s="755"/>
      <c r="AV7" s="755"/>
      <c r="AW7" s="755"/>
      <c r="AX7" s="755"/>
      <c r="AY7" s="755"/>
      <c r="AZ7" s="755"/>
      <c r="BA7" s="755"/>
      <c r="BB7" s="755"/>
      <c r="BC7" s="755"/>
      <c r="BD7" s="755"/>
      <c r="BE7" s="755"/>
      <c r="BF7" s="755"/>
      <c r="BG7" s="755"/>
      <c r="BH7" s="755"/>
      <c r="BI7" s="755"/>
      <c r="BJ7" s="755"/>
      <c r="BK7" s="755"/>
      <c r="BL7" s="755"/>
      <c r="BM7" s="755"/>
      <c r="BN7" s="755"/>
      <c r="BO7" s="755"/>
      <c r="BP7" s="755"/>
      <c r="BQ7" s="755"/>
      <c r="BR7" s="755"/>
      <c r="BS7" s="755"/>
      <c r="BT7" s="755"/>
      <c r="BU7" s="755"/>
      <c r="BV7" s="755"/>
      <c r="BW7" s="755"/>
      <c r="BX7" s="755"/>
      <c r="BY7" s="755"/>
      <c r="BZ7" s="755"/>
      <c r="CA7" s="755"/>
      <c r="CB7" s="755"/>
      <c r="CC7" s="755"/>
      <c r="CD7" s="755"/>
      <c r="CE7" s="755"/>
      <c r="CF7" s="755"/>
      <c r="CG7" s="755"/>
      <c r="CH7" s="755"/>
      <c r="CI7" s="755"/>
      <c r="CJ7" s="755"/>
      <c r="CK7" s="755"/>
      <c r="CL7" s="755"/>
      <c r="CM7" s="755"/>
      <c r="CN7" s="755"/>
      <c r="CO7" s="748">
        <f>IF(CX2=1,1+(CO5/CO6),1)</f>
        <v>1</v>
      </c>
      <c r="CP7" s="446" t="s">
        <v>2734</v>
      </c>
      <c r="CQ7" s="755"/>
      <c r="CR7" s="755"/>
      <c r="CS7" s="755"/>
      <c r="CT7" s="755"/>
      <c r="CU7" s="755"/>
      <c r="CV7" s="755"/>
      <c r="CW7" s="755"/>
      <c r="CX7" s="755"/>
      <c r="CY7" s="755"/>
      <c r="CZ7" s="755"/>
      <c r="DA7" s="755"/>
      <c r="DB7" s="755"/>
      <c r="DC7" s="755"/>
      <c r="DD7" s="755"/>
      <c r="DE7" s="755"/>
      <c r="DF7" s="755"/>
      <c r="DG7" s="755"/>
      <c r="DH7" s="755"/>
      <c r="DI7" s="755"/>
      <c r="DJ7" s="755"/>
      <c r="DK7" s="755"/>
    </row>
    <row r="8" spans="1:115" ht="53.25" customHeight="1" x14ac:dyDescent="0.25">
      <c r="A8" s="755"/>
      <c r="B8" s="755"/>
      <c r="C8" s="755"/>
      <c r="D8" s="755"/>
      <c r="E8" s="755"/>
      <c r="F8" s="755"/>
      <c r="G8" s="755"/>
      <c r="H8" s="755"/>
      <c r="I8" s="755"/>
      <c r="J8" s="755"/>
      <c r="K8" s="755"/>
      <c r="L8" s="755"/>
      <c r="M8" s="755"/>
      <c r="N8" s="755"/>
      <c r="O8" s="755"/>
      <c r="P8" s="755"/>
      <c r="Q8" s="755"/>
      <c r="R8" s="755"/>
      <c r="S8" s="755"/>
      <c r="T8" s="755"/>
      <c r="U8" s="755"/>
      <c r="V8" s="755"/>
      <c r="W8" s="755"/>
      <c r="X8" s="755"/>
      <c r="Y8" s="755"/>
      <c r="Z8" s="755"/>
      <c r="AA8" s="755"/>
      <c r="AB8" s="755"/>
      <c r="AC8" s="755"/>
      <c r="AD8" s="755"/>
      <c r="AE8" s="755"/>
      <c r="AF8" s="755"/>
      <c r="AG8" s="755"/>
      <c r="AH8" s="755"/>
      <c r="AI8" s="755"/>
      <c r="AJ8" s="755"/>
      <c r="AK8" s="755"/>
      <c r="AL8" s="755"/>
      <c r="AM8" s="755"/>
      <c r="AN8" s="755"/>
      <c r="AO8" s="755"/>
      <c r="AP8" s="755"/>
      <c r="AQ8" s="755"/>
      <c r="AR8" s="755"/>
      <c r="AS8" s="755"/>
      <c r="AT8" s="755"/>
      <c r="AU8" s="755"/>
      <c r="AV8" s="755"/>
      <c r="AW8" s="755"/>
      <c r="AX8" s="755"/>
      <c r="AY8" s="755"/>
      <c r="AZ8" s="755"/>
      <c r="BA8" s="755"/>
      <c r="BB8" s="755"/>
      <c r="BC8" s="755"/>
      <c r="BD8" s="755"/>
      <c r="BE8" s="755"/>
      <c r="BF8" s="755"/>
      <c r="BG8" s="755"/>
      <c r="BH8" s="755"/>
      <c r="BI8" s="755"/>
      <c r="BJ8" s="755"/>
      <c r="BK8" s="755"/>
      <c r="BL8" s="755"/>
      <c r="BM8" s="755"/>
      <c r="BN8" s="755"/>
      <c r="BO8" s="755"/>
      <c r="BP8" s="755"/>
      <c r="BQ8" s="755"/>
      <c r="BR8" s="755"/>
      <c r="BS8" s="755"/>
      <c r="BT8" s="755"/>
      <c r="BU8" s="755"/>
      <c r="BV8" s="755"/>
      <c r="BW8" s="755"/>
      <c r="BX8" s="755"/>
      <c r="BY8" s="755"/>
      <c r="BZ8" s="755"/>
      <c r="CA8" s="755"/>
      <c r="CB8" s="755"/>
      <c r="CC8" s="755"/>
      <c r="CD8" s="755"/>
      <c r="CE8" s="755"/>
      <c r="CF8" s="755"/>
      <c r="CG8" s="755"/>
      <c r="CH8" s="755"/>
      <c r="CI8" s="755"/>
      <c r="CJ8" s="755"/>
      <c r="CK8" s="755"/>
      <c r="CL8" s="755"/>
      <c r="CM8" s="755"/>
      <c r="CN8" s="755"/>
      <c r="CO8" s="755"/>
      <c r="CP8" s="755"/>
      <c r="CQ8" s="755"/>
      <c r="CR8" s="755"/>
      <c r="CS8" s="755"/>
      <c r="CT8" s="755"/>
      <c r="CU8" s="755"/>
      <c r="CV8" s="755"/>
      <c r="CW8" s="755"/>
      <c r="CY8" s="970" t="s">
        <v>853</v>
      </c>
    </row>
    <row r="9" spans="1:115" x14ac:dyDescent="0.25">
      <c r="A9" s="755"/>
      <c r="B9" s="755"/>
      <c r="C9" s="755"/>
      <c r="D9" s="755"/>
      <c r="E9" s="755"/>
      <c r="F9" s="755"/>
      <c r="G9" s="755"/>
      <c r="H9" s="755"/>
      <c r="I9" s="755"/>
      <c r="J9" s="755"/>
      <c r="K9" s="755"/>
      <c r="L9" s="755"/>
      <c r="M9" s="755"/>
      <c r="N9" s="755"/>
      <c r="O9" s="755"/>
      <c r="P9" s="755"/>
      <c r="Q9" s="755"/>
      <c r="R9" s="755"/>
      <c r="S9" s="755"/>
      <c r="T9" s="755"/>
      <c r="U9" s="755"/>
      <c r="V9" s="755"/>
      <c r="W9" s="755"/>
      <c r="X9" s="755"/>
      <c r="Y9" s="755"/>
      <c r="Z9" s="755"/>
      <c r="AA9" s="755"/>
      <c r="AB9" s="755"/>
      <c r="AC9" s="755"/>
      <c r="AD9" s="755"/>
      <c r="AE9" s="755"/>
      <c r="AF9" s="755"/>
      <c r="AG9" s="755"/>
      <c r="AH9" s="755"/>
      <c r="AI9" s="755"/>
      <c r="AJ9" s="755"/>
      <c r="AK9" s="755"/>
      <c r="AL9" s="755"/>
      <c r="AM9" s="755"/>
      <c r="AN9" s="755"/>
      <c r="AO9" s="755"/>
      <c r="AP9" s="755"/>
      <c r="AQ9" s="755"/>
      <c r="AR9" s="755"/>
      <c r="AS9" s="755"/>
      <c r="AT9" s="755"/>
      <c r="AU9" s="755"/>
      <c r="AV9" s="755"/>
      <c r="AW9" s="755"/>
      <c r="AX9" s="755"/>
      <c r="AY9" s="755"/>
      <c r="AZ9" s="755"/>
      <c r="BA9" s="755"/>
      <c r="BB9" s="755"/>
      <c r="BC9" s="755"/>
      <c r="BD9" s="755"/>
      <c r="BE9" s="755"/>
      <c r="BF9" s="755"/>
      <c r="BG9" s="755"/>
      <c r="BH9" s="755"/>
      <c r="BI9" s="755"/>
      <c r="BJ9" s="755"/>
      <c r="BK9" s="755"/>
      <c r="BL9" s="755"/>
      <c r="BM9" s="755"/>
      <c r="BN9" s="755"/>
      <c r="BO9" s="755"/>
      <c r="BP9" s="755"/>
      <c r="BQ9" s="755"/>
      <c r="BR9" s="755"/>
      <c r="BS9" s="755"/>
      <c r="BT9" s="755"/>
      <c r="BU9" s="755"/>
      <c r="BV9" s="755"/>
      <c r="BW9" s="755"/>
      <c r="BX9" s="755"/>
      <c r="BY9" s="755"/>
      <c r="BZ9" s="755"/>
      <c r="CA9" s="755"/>
      <c r="CB9" s="755"/>
      <c r="CC9" s="755"/>
      <c r="CD9" s="755"/>
      <c r="CE9" s="755"/>
      <c r="CF9" s="755"/>
      <c r="CG9" s="755"/>
      <c r="CH9" s="755"/>
      <c r="CI9" s="755"/>
      <c r="CJ9" s="755"/>
      <c r="CK9" s="755"/>
      <c r="CL9" s="755"/>
      <c r="CM9" s="755"/>
      <c r="CN9" s="755"/>
      <c r="CO9" s="755"/>
      <c r="CP9" s="755"/>
      <c r="CQ9" s="755"/>
      <c r="CR9" s="755"/>
      <c r="CS9" s="755"/>
      <c r="CT9" s="755"/>
      <c r="CU9" s="755"/>
      <c r="CV9" s="755"/>
      <c r="CW9" s="755"/>
      <c r="CY9" s="640">
        <v>1</v>
      </c>
      <c r="CZ9" s="756" t="s">
        <v>1640</v>
      </c>
      <c r="DA9" s="756"/>
    </row>
    <row r="10" spans="1:115" x14ac:dyDescent="0.25">
      <c r="A10" s="755"/>
      <c r="B10" s="755"/>
      <c r="C10" s="755"/>
      <c r="D10" s="755"/>
      <c r="E10" s="755"/>
      <c r="F10" s="755"/>
      <c r="G10" s="755"/>
      <c r="H10" s="755"/>
      <c r="I10" s="755"/>
      <c r="J10" s="755"/>
      <c r="K10" s="755"/>
      <c r="L10" s="755"/>
      <c r="M10" s="755"/>
      <c r="N10" s="755"/>
      <c r="O10" s="755"/>
      <c r="P10" s="755"/>
      <c r="Q10" s="755"/>
      <c r="R10" s="755"/>
      <c r="S10" s="755"/>
      <c r="T10" s="755"/>
      <c r="U10" s="755"/>
      <c r="V10" s="755"/>
      <c r="W10" s="755"/>
      <c r="X10" s="755"/>
      <c r="Y10" s="755"/>
      <c r="Z10" s="755"/>
      <c r="AA10" s="755"/>
      <c r="AB10" s="755"/>
      <c r="AC10" s="755"/>
      <c r="AD10" s="755"/>
      <c r="AE10" s="755"/>
      <c r="AF10" s="755"/>
      <c r="AG10" s="755"/>
      <c r="AH10" s="755"/>
      <c r="AI10" s="755"/>
      <c r="AJ10" s="755"/>
      <c r="AK10" s="755"/>
      <c r="AL10" s="755"/>
      <c r="AM10" s="755"/>
      <c r="AN10" s="755"/>
      <c r="AO10" s="755"/>
      <c r="AP10" s="755"/>
      <c r="AQ10" s="755"/>
      <c r="AR10" s="755"/>
      <c r="AS10" s="755"/>
      <c r="AT10" s="755"/>
      <c r="AU10" s="755"/>
      <c r="AV10" s="755"/>
      <c r="AW10" s="755"/>
      <c r="AX10" s="755"/>
      <c r="AY10" s="755"/>
      <c r="AZ10" s="755"/>
      <c r="BA10" s="755"/>
      <c r="BB10" s="755"/>
      <c r="BC10" s="755"/>
      <c r="BD10" s="755"/>
      <c r="BE10" s="755"/>
      <c r="BF10" s="755"/>
      <c r="BG10" s="755"/>
      <c r="BH10" s="755"/>
      <c r="BI10" s="755"/>
      <c r="BJ10" s="755"/>
      <c r="BK10" s="755"/>
      <c r="BL10" s="755"/>
      <c r="BM10" s="755"/>
      <c r="BN10" s="755"/>
      <c r="BO10" s="755"/>
      <c r="BP10" s="755"/>
      <c r="BQ10" s="755"/>
      <c r="BR10" s="755"/>
      <c r="BS10" s="755"/>
      <c r="BT10" s="755"/>
      <c r="BU10" s="755"/>
      <c r="BV10" s="755"/>
      <c r="BW10" s="755"/>
      <c r="BX10" s="755"/>
      <c r="BY10" s="755"/>
      <c r="BZ10" s="755"/>
      <c r="CA10" s="755"/>
      <c r="CB10" s="755"/>
      <c r="CC10" s="755"/>
      <c r="CD10" s="755"/>
      <c r="CE10" s="755"/>
      <c r="CF10" s="755"/>
      <c r="CG10" s="755"/>
      <c r="CH10" s="755"/>
      <c r="CI10" s="755"/>
      <c r="CJ10" s="755"/>
      <c r="CK10" s="755"/>
      <c r="CL10" s="755"/>
      <c r="CM10" s="417" t="s">
        <v>387</v>
      </c>
      <c r="CN10" s="417" t="s">
        <v>2733</v>
      </c>
      <c r="CO10" s="417" t="s">
        <v>667</v>
      </c>
      <c r="CP10" s="755"/>
      <c r="CQ10" s="755"/>
      <c r="CR10" s="755"/>
      <c r="CS10" s="755"/>
      <c r="CT10" s="755"/>
      <c r="CU10" s="755"/>
      <c r="CV10" s="755"/>
      <c r="CW10" s="755"/>
      <c r="CY10" s="640">
        <v>2</v>
      </c>
      <c r="CZ10" s="756" t="s">
        <v>1151</v>
      </c>
      <c r="DA10" s="756"/>
    </row>
    <row r="11" spans="1:115" s="750" customFormat="1" x14ac:dyDescent="0.25">
      <c r="A11" s="949"/>
      <c r="B11" s="949"/>
      <c r="C11" s="949"/>
      <c r="D11" s="949"/>
      <c r="E11" s="949"/>
      <c r="F11" s="949"/>
      <c r="G11" s="949"/>
      <c r="H11" s="949"/>
      <c r="I11" s="949"/>
      <c r="J11" s="949"/>
      <c r="K11" s="949"/>
      <c r="L11" s="949"/>
      <c r="M11" s="949"/>
      <c r="N11" s="949"/>
      <c r="O11" s="949"/>
      <c r="P11" s="949"/>
      <c r="Q11" s="949"/>
      <c r="R11" s="949"/>
      <c r="S11" s="949"/>
      <c r="T11" s="949"/>
      <c r="U11" s="949"/>
      <c r="V11" s="949"/>
      <c r="W11" s="949"/>
      <c r="X11" s="949"/>
      <c r="Y11" s="949"/>
      <c r="Z11" s="949"/>
      <c r="AA11" s="949"/>
      <c r="AB11" s="949"/>
      <c r="AC11" s="949"/>
      <c r="AD11" s="949"/>
      <c r="AE11" s="949"/>
      <c r="AF11" s="949"/>
      <c r="AG11" s="949"/>
      <c r="AH11" s="949"/>
      <c r="AI11" s="949"/>
      <c r="AJ11" s="949"/>
      <c r="AK11" s="949"/>
      <c r="AL11" s="949"/>
      <c r="AM11" s="949"/>
      <c r="AN11" s="949"/>
      <c r="AO11" s="949"/>
      <c r="AP11" s="949"/>
      <c r="AQ11" s="949"/>
      <c r="AR11" s="949"/>
      <c r="AS11" s="949"/>
      <c r="AT11" s="949"/>
      <c r="AU11" s="949"/>
      <c r="AV11" s="949"/>
      <c r="AW11" s="949"/>
      <c r="AX11" s="949"/>
      <c r="AY11" s="949"/>
      <c r="AZ11" s="949"/>
      <c r="BA11" s="949"/>
      <c r="BB11" s="949"/>
      <c r="BC11" s="949"/>
      <c r="BD11" s="949"/>
      <c r="BE11" s="949"/>
      <c r="BF11" s="949"/>
      <c r="BG11" s="949"/>
      <c r="BH11" s="949"/>
      <c r="BI11" s="949"/>
      <c r="BJ11" s="949"/>
      <c r="BK11" s="949"/>
      <c r="BL11" s="949"/>
      <c r="BM11" s="949"/>
      <c r="BN11" s="949"/>
      <c r="BO11" s="949"/>
      <c r="BP11" s="949"/>
      <c r="BQ11" s="949"/>
      <c r="BR11" s="949"/>
      <c r="BS11" s="949"/>
      <c r="BT11" s="949"/>
      <c r="BU11" s="949"/>
      <c r="BV11" s="949"/>
      <c r="BW11" s="949"/>
      <c r="BX11" s="949"/>
      <c r="BY11" s="949"/>
      <c r="BZ11" s="949"/>
      <c r="CA11" s="949"/>
      <c r="CB11" s="949"/>
      <c r="CC11" s="949"/>
      <c r="CD11" s="949"/>
      <c r="CE11" s="949"/>
      <c r="CF11" s="949"/>
      <c r="CG11" s="949"/>
      <c r="CH11" s="949"/>
      <c r="CI11" s="755"/>
      <c r="CJ11" s="949"/>
      <c r="CK11" s="949"/>
      <c r="CL11" s="949"/>
      <c r="CM11" s="314">
        <f>'3a Staff Plan'!S119+'3a Staff Plan'!DP120</f>
        <v>0</v>
      </c>
      <c r="CN11" s="314">
        <f>'3b Activity Plan'!S163+'3b Activity Plan'!CZ164</f>
        <v>0</v>
      </c>
      <c r="CO11" s="748">
        <f>(CM11*$DE$3)+(CN11*$DE$4)</f>
        <v>0</v>
      </c>
      <c r="CP11" s="446" t="s">
        <v>2735</v>
      </c>
      <c r="CQ11" s="949"/>
      <c r="CR11" s="949"/>
      <c r="CS11" s="949"/>
      <c r="CT11" s="949"/>
      <c r="CU11" s="949"/>
      <c r="CV11" s="949"/>
      <c r="CW11" s="949"/>
      <c r="CY11" s="931"/>
      <c r="CZ11" s="756" t="s">
        <v>1062</v>
      </c>
      <c r="DA11" s="756"/>
    </row>
    <row r="12" spans="1:115" s="750" customFormat="1" x14ac:dyDescent="0.25">
      <c r="A12" s="949"/>
      <c r="B12" s="949"/>
      <c r="C12" s="949"/>
      <c r="D12" s="949"/>
      <c r="E12" s="949"/>
      <c r="F12" s="949"/>
      <c r="G12" s="949"/>
      <c r="H12" s="949"/>
      <c r="I12" s="949"/>
      <c r="J12" s="949"/>
      <c r="K12" s="949"/>
      <c r="L12" s="949"/>
      <c r="M12" s="949"/>
      <c r="N12" s="949"/>
      <c r="O12" s="949"/>
      <c r="P12" s="949"/>
      <c r="Q12" s="949"/>
      <c r="R12" s="949"/>
      <c r="S12" s="949"/>
      <c r="T12" s="949"/>
      <c r="U12" s="949"/>
      <c r="V12" s="949"/>
      <c r="W12" s="949"/>
      <c r="X12" s="949"/>
      <c r="Y12" s="949"/>
      <c r="Z12" s="949"/>
      <c r="AA12" s="949"/>
      <c r="AB12" s="949"/>
      <c r="AC12" s="949"/>
      <c r="AD12" s="949"/>
      <c r="AE12" s="949"/>
      <c r="AF12" s="949"/>
      <c r="AG12" s="949"/>
      <c r="AH12" s="949"/>
      <c r="AI12" s="949"/>
      <c r="AJ12" s="949"/>
      <c r="AK12" s="949"/>
      <c r="AL12" s="949"/>
      <c r="AM12" s="949"/>
      <c r="AN12" s="949"/>
      <c r="AO12" s="949"/>
      <c r="AP12" s="949"/>
      <c r="AQ12" s="949"/>
      <c r="AR12" s="949"/>
      <c r="AS12" s="949"/>
      <c r="AT12" s="949"/>
      <c r="AU12" s="949"/>
      <c r="AV12" s="949"/>
      <c r="AW12" s="949"/>
      <c r="AX12" s="949"/>
      <c r="AY12" s="949"/>
      <c r="AZ12" s="949"/>
      <c r="BA12" s="949"/>
      <c r="BB12" s="949"/>
      <c r="BC12" s="949"/>
      <c r="BD12" s="949"/>
      <c r="BE12" s="949"/>
      <c r="BF12" s="949"/>
      <c r="BG12" s="949"/>
      <c r="BH12" s="949"/>
      <c r="BI12" s="949"/>
      <c r="BJ12" s="949"/>
      <c r="BK12" s="949"/>
      <c r="BL12" s="949"/>
      <c r="BM12" s="949"/>
      <c r="BN12" s="949"/>
      <c r="BO12" s="949"/>
      <c r="BP12" s="949"/>
      <c r="BQ12" s="949"/>
      <c r="BR12" s="949"/>
      <c r="BS12" s="949"/>
      <c r="BT12" s="949"/>
      <c r="BU12" s="949"/>
      <c r="BV12" s="949"/>
      <c r="BW12" s="949"/>
      <c r="BX12" s="949"/>
      <c r="BY12" s="949"/>
      <c r="BZ12" s="949"/>
      <c r="CA12" s="949"/>
      <c r="CB12" s="949"/>
      <c r="CC12" s="949"/>
      <c r="CD12" s="949"/>
      <c r="CE12" s="949"/>
      <c r="CF12" s="949"/>
      <c r="CG12" s="949"/>
      <c r="CH12" s="949"/>
      <c r="CI12" s="755"/>
      <c r="CJ12" s="949"/>
      <c r="CK12" s="949"/>
      <c r="CL12" s="949"/>
      <c r="CM12" s="2411">
        <f>'3a Staff Plan'!S126</f>
        <v>0</v>
      </c>
      <c r="CN12" s="2411">
        <f>'3b Activity Plan'!S170</f>
        <v>37383.684232</v>
      </c>
      <c r="CO12" s="2411">
        <f>(CM12*$DE$3)+(CN12*$DE$4)</f>
        <v>37383.684232</v>
      </c>
      <c r="CP12" s="446" t="s">
        <v>2737</v>
      </c>
      <c r="CQ12" s="949"/>
      <c r="CR12" s="949"/>
      <c r="CS12" s="949"/>
      <c r="CT12" s="949"/>
      <c r="CU12" s="949"/>
      <c r="CV12" s="949"/>
      <c r="CW12" s="949"/>
      <c r="CY12" s="931"/>
      <c r="CZ12" s="756" t="s">
        <v>1152</v>
      </c>
      <c r="DA12" s="756"/>
    </row>
    <row r="13" spans="1:115" s="947" customFormat="1" ht="15.9" customHeight="1" x14ac:dyDescent="0.25">
      <c r="A13" s="946"/>
      <c r="B13" s="946"/>
      <c r="C13" s="946"/>
      <c r="D13" s="946"/>
      <c r="E13" s="946"/>
      <c r="F13" s="946"/>
      <c r="G13" s="946"/>
      <c r="H13" s="946"/>
      <c r="I13" s="946"/>
      <c r="J13" s="946"/>
      <c r="K13" s="946"/>
      <c r="L13" s="946"/>
      <c r="M13" s="946"/>
      <c r="N13" s="946"/>
      <c r="O13" s="946"/>
      <c r="P13" s="946"/>
      <c r="Q13" s="946"/>
      <c r="R13" s="946"/>
      <c r="S13" s="946"/>
      <c r="T13" s="946"/>
      <c r="U13" s="946"/>
      <c r="V13" s="946"/>
      <c r="W13" s="946"/>
      <c r="X13" s="946"/>
      <c r="Y13" s="946"/>
      <c r="Z13" s="946"/>
      <c r="AA13" s="946"/>
      <c r="AB13" s="946"/>
      <c r="AC13" s="946"/>
      <c r="AD13" s="946"/>
      <c r="AE13" s="946"/>
      <c r="AF13" s="946"/>
      <c r="AG13" s="946"/>
      <c r="AH13" s="946"/>
      <c r="AI13" s="946"/>
      <c r="AJ13" s="946"/>
      <c r="AK13" s="946"/>
      <c r="AL13" s="946"/>
      <c r="AM13" s="946"/>
      <c r="AN13" s="946"/>
      <c r="AO13" s="946"/>
      <c r="AP13" s="946"/>
      <c r="AQ13" s="946"/>
      <c r="AR13" s="946"/>
      <c r="AS13" s="946"/>
      <c r="AT13" s="946"/>
      <c r="AU13" s="946"/>
      <c r="AV13" s="946"/>
      <c r="AW13" s="946"/>
      <c r="AX13" s="946"/>
      <c r="AY13" s="946"/>
      <c r="AZ13" s="946"/>
      <c r="BA13" s="946"/>
      <c r="BB13" s="946"/>
      <c r="BC13" s="946"/>
      <c r="BD13" s="946"/>
      <c r="BE13" s="946"/>
      <c r="BF13" s="946"/>
      <c r="BG13" s="946"/>
      <c r="BH13" s="946"/>
      <c r="BI13" s="946"/>
      <c r="BJ13" s="946"/>
      <c r="BK13" s="946"/>
      <c r="BL13" s="946"/>
      <c r="BM13" s="946"/>
      <c r="BN13" s="946"/>
      <c r="BO13" s="946"/>
      <c r="BP13" s="946"/>
      <c r="BQ13" s="946"/>
      <c r="BR13" s="946"/>
      <c r="BS13" s="946"/>
      <c r="BT13" s="946"/>
      <c r="BU13" s="946"/>
      <c r="BV13" s="946"/>
      <c r="BW13" s="946"/>
      <c r="BX13" s="946"/>
      <c r="BY13" s="946"/>
      <c r="BZ13" s="946"/>
      <c r="CA13" s="946"/>
      <c r="CB13" s="946"/>
      <c r="CC13" s="946"/>
      <c r="CD13" s="946"/>
      <c r="CE13" s="946"/>
      <c r="CF13" s="946"/>
      <c r="CG13" s="946"/>
      <c r="CH13" s="946"/>
      <c r="CI13" s="755"/>
      <c r="CJ13" s="946"/>
      <c r="CK13" s="946"/>
      <c r="CL13" s="946"/>
      <c r="CM13" s="946"/>
      <c r="CN13" s="946"/>
      <c r="CO13" s="2807">
        <f>IF(CX2=1,1+(CO11/CO12),1)</f>
        <v>1</v>
      </c>
      <c r="CP13" s="446" t="s">
        <v>2734</v>
      </c>
      <c r="CQ13" s="946"/>
      <c r="CR13" s="946"/>
      <c r="CS13" s="946"/>
      <c r="CT13" s="946"/>
      <c r="CU13" s="946"/>
      <c r="CV13" s="946"/>
      <c r="CW13" s="946"/>
      <c r="CY13" s="919">
        <v>3</v>
      </c>
      <c r="CZ13" s="948" t="s">
        <v>1641</v>
      </c>
      <c r="DA13" s="948"/>
    </row>
    <row r="14" spans="1:115" s="947" customFormat="1" ht="15.9" customHeight="1" x14ac:dyDescent="0.25">
      <c r="A14" s="946"/>
      <c r="B14" s="946"/>
      <c r="C14" s="946"/>
      <c r="D14" s="946"/>
      <c r="E14" s="946"/>
      <c r="F14" s="946"/>
      <c r="G14" s="946"/>
      <c r="H14" s="946"/>
      <c r="I14" s="946"/>
      <c r="J14" s="946"/>
      <c r="K14" s="946"/>
      <c r="L14" s="946"/>
      <c r="M14" s="946"/>
      <c r="N14" s="946"/>
      <c r="O14" s="946"/>
      <c r="P14" s="946"/>
      <c r="Q14" s="946"/>
      <c r="R14" s="946"/>
      <c r="S14" s="946"/>
      <c r="T14" s="946"/>
      <c r="U14" s="946"/>
      <c r="V14" s="946"/>
      <c r="W14" s="946"/>
      <c r="X14" s="946"/>
      <c r="Y14" s="946"/>
      <c r="Z14" s="946"/>
      <c r="AA14" s="946"/>
      <c r="AB14" s="946"/>
      <c r="AC14" s="946"/>
      <c r="AD14" s="946"/>
      <c r="AE14" s="946"/>
      <c r="AF14" s="946"/>
      <c r="AG14" s="946"/>
      <c r="AH14" s="946"/>
      <c r="AI14" s="946"/>
      <c r="AJ14" s="946"/>
      <c r="AK14" s="946"/>
      <c r="AL14" s="946"/>
      <c r="AM14" s="946"/>
      <c r="AN14" s="946"/>
      <c r="AO14" s="946"/>
      <c r="AP14" s="946"/>
      <c r="AQ14" s="946"/>
      <c r="AR14" s="946"/>
      <c r="AS14" s="946"/>
      <c r="AT14" s="946"/>
      <c r="AU14" s="946"/>
      <c r="AV14" s="946"/>
      <c r="AW14" s="946"/>
      <c r="AX14" s="946"/>
      <c r="AY14" s="946"/>
      <c r="AZ14" s="946"/>
      <c r="BA14" s="946"/>
      <c r="BB14" s="946"/>
      <c r="BC14" s="946"/>
      <c r="BD14" s="946"/>
      <c r="BE14" s="946"/>
      <c r="BF14" s="946"/>
      <c r="BG14" s="946"/>
      <c r="BH14" s="946"/>
      <c r="BI14" s="946"/>
      <c r="BJ14" s="946"/>
      <c r="BK14" s="946"/>
      <c r="BL14" s="946"/>
      <c r="BM14" s="946"/>
      <c r="BN14" s="946"/>
      <c r="BO14" s="946"/>
      <c r="BP14" s="946"/>
      <c r="BQ14" s="946"/>
      <c r="BR14" s="946"/>
      <c r="BS14" s="946"/>
      <c r="BT14" s="946"/>
      <c r="BU14" s="946"/>
      <c r="BV14" s="946"/>
      <c r="BW14" s="946"/>
      <c r="BX14" s="946"/>
      <c r="BY14" s="946"/>
      <c r="BZ14" s="946"/>
      <c r="CA14" s="946"/>
      <c r="CB14" s="946"/>
      <c r="CC14" s="946"/>
      <c r="CD14" s="946"/>
      <c r="CE14" s="946"/>
      <c r="CF14" s="946"/>
      <c r="CG14" s="946"/>
      <c r="CH14" s="946"/>
      <c r="CI14" s="755"/>
      <c r="CJ14" s="946"/>
      <c r="CK14" s="946"/>
      <c r="CL14" s="946"/>
      <c r="CM14" s="946"/>
      <c r="CN14" s="946"/>
      <c r="CO14" s="946"/>
      <c r="CP14" s="946"/>
      <c r="CQ14" s="946"/>
      <c r="CR14" s="946"/>
      <c r="CS14" s="946"/>
      <c r="CT14" s="946"/>
      <c r="CU14" s="946"/>
      <c r="CV14" s="946"/>
      <c r="CW14" s="946"/>
      <c r="CY14" s="919">
        <v>4</v>
      </c>
      <c r="CZ14" s="948" t="s">
        <v>1639</v>
      </c>
      <c r="DA14" s="948"/>
    </row>
    <row r="15" spans="1:115" s="947" customFormat="1" ht="15.9" customHeight="1" x14ac:dyDescent="0.25">
      <c r="A15" s="946"/>
      <c r="B15" s="946"/>
      <c r="C15" s="946"/>
      <c r="D15" s="946"/>
      <c r="E15" s="946"/>
      <c r="F15" s="946"/>
      <c r="G15" s="946"/>
      <c r="H15" s="946"/>
      <c r="I15" s="946"/>
      <c r="J15" s="946"/>
      <c r="K15" s="946"/>
      <c r="L15" s="946"/>
      <c r="M15" s="946"/>
      <c r="N15" s="946"/>
      <c r="O15" s="946"/>
      <c r="P15" s="946"/>
      <c r="Q15" s="946"/>
      <c r="R15" s="946"/>
      <c r="S15" s="946"/>
      <c r="T15" s="946"/>
      <c r="U15" s="946"/>
      <c r="V15" s="946"/>
      <c r="W15" s="946"/>
      <c r="X15" s="946"/>
      <c r="Y15" s="946"/>
      <c r="Z15" s="946"/>
      <c r="AA15" s="946"/>
      <c r="AB15" s="946"/>
      <c r="AC15" s="946"/>
      <c r="AD15" s="946"/>
      <c r="AE15" s="946"/>
      <c r="AF15" s="946"/>
      <c r="AG15" s="946"/>
      <c r="AH15" s="946"/>
      <c r="AI15" s="946"/>
      <c r="AJ15" s="946"/>
      <c r="AK15" s="946"/>
      <c r="AL15" s="946"/>
      <c r="AM15" s="946"/>
      <c r="AN15" s="946"/>
      <c r="AO15" s="946"/>
      <c r="AP15" s="946"/>
      <c r="AQ15" s="946"/>
      <c r="AR15" s="946"/>
      <c r="AS15" s="946"/>
      <c r="AT15" s="946"/>
      <c r="AU15" s="946"/>
      <c r="AV15" s="946"/>
      <c r="AW15" s="946"/>
      <c r="AX15" s="946"/>
      <c r="AY15" s="946"/>
      <c r="AZ15" s="946"/>
      <c r="BA15" s="946"/>
      <c r="BB15" s="946"/>
      <c r="BC15" s="946"/>
      <c r="BD15" s="946"/>
      <c r="BE15" s="946"/>
      <c r="BF15" s="946"/>
      <c r="BG15" s="946"/>
      <c r="BH15" s="946"/>
      <c r="BI15" s="946"/>
      <c r="BJ15" s="946"/>
      <c r="BK15" s="946"/>
      <c r="BL15" s="946"/>
      <c r="BM15" s="946"/>
      <c r="BN15" s="946"/>
      <c r="BO15" s="946"/>
      <c r="BP15" s="946"/>
      <c r="BQ15" s="946"/>
      <c r="BR15" s="946"/>
      <c r="BS15" s="946"/>
      <c r="BT15" s="946"/>
      <c r="BU15" s="946"/>
      <c r="BV15" s="946"/>
      <c r="BW15" s="946"/>
      <c r="BX15" s="946"/>
      <c r="BY15" s="946"/>
      <c r="BZ15" s="946"/>
      <c r="CA15" s="946"/>
      <c r="CB15" s="946"/>
      <c r="CC15" s="946"/>
      <c r="CD15" s="946"/>
      <c r="CE15" s="946"/>
      <c r="CF15" s="946"/>
      <c r="CG15" s="946"/>
      <c r="CH15" s="946"/>
      <c r="CI15" s="755"/>
      <c r="CJ15" s="946"/>
      <c r="CK15" s="946"/>
      <c r="CL15" s="946"/>
      <c r="CM15" s="946"/>
      <c r="CN15" s="946"/>
      <c r="CO15" s="946"/>
      <c r="CP15" s="946"/>
      <c r="CQ15" s="946"/>
      <c r="CR15" s="946"/>
      <c r="CS15" s="946"/>
      <c r="CT15" s="946"/>
      <c r="CU15" s="946"/>
      <c r="CV15" s="946"/>
      <c r="CW15" s="946"/>
      <c r="CY15" s="919">
        <v>5</v>
      </c>
      <c r="CZ15" s="948" t="s">
        <v>1642</v>
      </c>
      <c r="DA15" s="948"/>
    </row>
    <row r="16" spans="1:115" ht="7.5" customHeight="1" x14ac:dyDescent="0.25">
      <c r="A16" s="755"/>
      <c r="B16" s="755"/>
      <c r="C16" s="755"/>
      <c r="D16" s="755"/>
      <c r="E16" s="755"/>
      <c r="F16" s="755"/>
      <c r="G16" s="755"/>
      <c r="H16" s="755"/>
      <c r="I16" s="755"/>
      <c r="J16" s="755"/>
      <c r="K16" s="755"/>
      <c r="L16" s="755"/>
      <c r="M16" s="755"/>
      <c r="N16" s="755"/>
      <c r="O16" s="755"/>
      <c r="P16" s="755"/>
      <c r="Q16" s="755"/>
      <c r="R16" s="755"/>
      <c r="S16" s="755"/>
      <c r="T16" s="755"/>
      <c r="U16" s="755"/>
      <c r="V16" s="755"/>
      <c r="W16" s="755"/>
      <c r="X16" s="755"/>
      <c r="Y16" s="755"/>
      <c r="Z16" s="755"/>
      <c r="AA16" s="755"/>
      <c r="AB16" s="755"/>
      <c r="AC16" s="755"/>
      <c r="AD16" s="755"/>
      <c r="AE16" s="755"/>
      <c r="AF16" s="755"/>
      <c r="AG16" s="755"/>
      <c r="AH16" s="755"/>
      <c r="AI16" s="755"/>
      <c r="AJ16" s="755"/>
      <c r="AK16" s="755"/>
      <c r="AL16" s="755"/>
      <c r="AM16" s="755"/>
      <c r="AN16" s="755"/>
      <c r="AO16" s="755"/>
      <c r="AP16" s="755"/>
      <c r="AQ16" s="755"/>
      <c r="AR16" s="755"/>
      <c r="AS16" s="755"/>
      <c r="AT16" s="755"/>
      <c r="AU16" s="755"/>
      <c r="AV16" s="755"/>
      <c r="AW16" s="755"/>
      <c r="AX16" s="755"/>
      <c r="AY16" s="755"/>
      <c r="AZ16" s="755"/>
      <c r="BA16" s="755"/>
      <c r="BB16" s="755"/>
      <c r="BC16" s="755"/>
      <c r="BD16" s="755"/>
      <c r="BE16" s="755"/>
      <c r="BF16" s="755"/>
      <c r="BG16" s="755"/>
      <c r="BH16" s="755"/>
      <c r="BI16" s="755"/>
      <c r="BJ16" s="755"/>
      <c r="BK16" s="755"/>
      <c r="BL16" s="755"/>
      <c r="BM16" s="755"/>
      <c r="BN16" s="755"/>
      <c r="BO16" s="755"/>
      <c r="BP16" s="755"/>
      <c r="BQ16" s="755"/>
      <c r="BR16" s="755"/>
      <c r="BS16" s="755"/>
      <c r="BT16" s="755"/>
      <c r="BU16" s="755"/>
      <c r="BV16" s="755"/>
      <c r="BW16" s="755"/>
      <c r="BX16" s="755"/>
      <c r="BY16" s="755"/>
      <c r="BZ16" s="755"/>
      <c r="CA16" s="755"/>
      <c r="CB16" s="755"/>
      <c r="CC16" s="755"/>
      <c r="CD16" s="755"/>
      <c r="CE16" s="755"/>
      <c r="CF16" s="755"/>
      <c r="CG16" s="755"/>
      <c r="CH16" s="755"/>
      <c r="CI16" s="755"/>
      <c r="CJ16" s="755"/>
      <c r="CK16" s="755"/>
      <c r="CL16" s="946"/>
      <c r="CM16" s="946"/>
      <c r="CN16" s="946"/>
      <c r="CO16" s="946"/>
      <c r="CP16" s="946"/>
      <c r="CQ16" s="755"/>
      <c r="CR16" s="755"/>
      <c r="CS16" s="755"/>
      <c r="CT16" s="755"/>
      <c r="CU16" s="755"/>
      <c r="CV16" s="755"/>
      <c r="CW16" s="755"/>
      <c r="CY16" s="640"/>
      <c r="CZ16" s="756"/>
      <c r="DA16" s="756"/>
    </row>
    <row r="17" spans="1:113" ht="21" customHeight="1" x14ac:dyDescent="0.25">
      <c r="A17" s="755"/>
      <c r="B17" s="755"/>
      <c r="C17" s="755"/>
      <c r="D17" s="755"/>
      <c r="E17" s="755"/>
      <c r="F17" s="755"/>
      <c r="G17" s="755"/>
      <c r="H17" s="755"/>
      <c r="I17" s="755"/>
      <c r="J17" s="755"/>
      <c r="K17" s="755"/>
      <c r="L17" s="755"/>
      <c r="M17" s="755"/>
      <c r="N17" s="755"/>
      <c r="O17" s="755"/>
      <c r="P17" s="755"/>
      <c r="Q17" s="755"/>
      <c r="R17" s="755"/>
      <c r="S17" s="755"/>
      <c r="T17" s="755"/>
      <c r="U17" s="755"/>
      <c r="V17" s="755"/>
      <c r="W17" s="755"/>
      <c r="X17" s="755"/>
      <c r="Y17" s="755"/>
      <c r="Z17" s="755"/>
      <c r="AA17" s="755"/>
      <c r="AB17" s="755"/>
      <c r="AC17" s="755"/>
      <c r="AD17" s="755"/>
      <c r="AE17" s="755"/>
      <c r="AF17" s="755"/>
      <c r="AG17" s="755"/>
      <c r="AH17" s="755"/>
      <c r="AI17" s="755"/>
      <c r="AJ17" s="755"/>
      <c r="AK17" s="755"/>
      <c r="AL17" s="755"/>
      <c r="AM17" s="755"/>
      <c r="AN17" s="755"/>
      <c r="AO17" s="755"/>
      <c r="AP17" s="755"/>
      <c r="AQ17" s="755"/>
      <c r="AR17" s="755"/>
      <c r="AS17" s="755"/>
      <c r="AT17" s="755"/>
      <c r="AU17" s="755"/>
      <c r="AV17" s="755"/>
      <c r="AW17" s="755"/>
      <c r="AX17" s="755"/>
      <c r="AY17" s="755"/>
      <c r="AZ17" s="755"/>
      <c r="BA17" s="755"/>
      <c r="BB17" s="755"/>
      <c r="BC17" s="755"/>
      <c r="BD17" s="755"/>
      <c r="BE17" s="755"/>
      <c r="BF17" s="755"/>
      <c r="BG17" s="755"/>
      <c r="BH17" s="755"/>
      <c r="BI17" s="755"/>
      <c r="BJ17" s="755"/>
      <c r="BK17" s="755"/>
      <c r="BL17" s="755"/>
      <c r="BM17" s="755"/>
      <c r="BN17" s="755"/>
      <c r="BO17" s="755"/>
      <c r="BP17" s="755"/>
      <c r="BQ17" s="755"/>
      <c r="BR17" s="755"/>
      <c r="BS17" s="755"/>
      <c r="BT17" s="755"/>
      <c r="BU17" s="755"/>
      <c r="BV17" s="755"/>
      <c r="BW17" s="755"/>
      <c r="BX17" s="755"/>
      <c r="BY17" s="755"/>
      <c r="BZ17" s="755"/>
      <c r="CA17" s="755"/>
      <c r="CB17" s="755"/>
      <c r="CC17" s="755"/>
      <c r="CD17" s="755"/>
      <c r="CE17" s="755"/>
      <c r="CF17" s="755"/>
      <c r="CG17" s="755"/>
      <c r="CH17" s="755"/>
      <c r="CI17" s="755"/>
      <c r="CJ17" s="755"/>
      <c r="CK17" s="755"/>
      <c r="CL17" s="946"/>
      <c r="CM17" s="946"/>
      <c r="CN17" s="946"/>
      <c r="CO17" s="946"/>
      <c r="CP17" s="946"/>
      <c r="CQ17" s="755"/>
      <c r="CR17" s="755"/>
      <c r="CS17" s="755"/>
      <c r="CT17" s="755"/>
      <c r="CU17" s="755"/>
      <c r="CV17" s="755"/>
      <c r="CW17" s="755"/>
      <c r="DC17" s="924" t="s">
        <v>1644</v>
      </c>
    </row>
    <row r="18" spans="1:113" ht="26.25" customHeight="1" x14ac:dyDescent="0.25">
      <c r="A18" s="755"/>
      <c r="B18" s="755"/>
      <c r="C18" s="755"/>
      <c r="D18" s="755"/>
      <c r="E18" s="755"/>
      <c r="F18" s="755"/>
      <c r="G18" s="755"/>
      <c r="H18" s="755"/>
      <c r="I18" s="755"/>
      <c r="J18" s="755"/>
      <c r="K18" s="755"/>
      <c r="L18" s="755"/>
      <c r="M18" s="755"/>
      <c r="N18" s="755"/>
      <c r="O18" s="755"/>
      <c r="P18" s="755"/>
      <c r="Q18" s="755"/>
      <c r="R18" s="755"/>
      <c r="S18" s="755"/>
      <c r="T18" s="755"/>
      <c r="U18" s="755"/>
      <c r="V18" s="755"/>
      <c r="W18" s="755"/>
      <c r="X18" s="755"/>
      <c r="Y18" s="755"/>
      <c r="Z18" s="755"/>
      <c r="AA18" s="755"/>
      <c r="AB18" s="755"/>
      <c r="AC18" s="755"/>
      <c r="AD18" s="755"/>
      <c r="AE18" s="755"/>
      <c r="AF18" s="755"/>
      <c r="AG18" s="755"/>
      <c r="AH18" s="755"/>
      <c r="AI18" s="755"/>
      <c r="AJ18" s="755"/>
      <c r="AK18" s="755"/>
      <c r="AL18" s="755"/>
      <c r="AM18" s="755"/>
      <c r="AN18" s="755"/>
      <c r="AO18" s="755"/>
      <c r="AP18" s="755"/>
      <c r="AQ18" s="755"/>
      <c r="AR18" s="755"/>
      <c r="AS18" s="755"/>
      <c r="AT18" s="755"/>
      <c r="AU18" s="755"/>
      <c r="AV18" s="755"/>
      <c r="AW18" s="755"/>
      <c r="AX18" s="755"/>
      <c r="AY18" s="755"/>
      <c r="AZ18" s="755"/>
      <c r="BA18" s="755"/>
      <c r="BB18" s="755"/>
      <c r="BC18" s="755"/>
      <c r="BD18" s="755"/>
      <c r="BE18" s="755"/>
      <c r="BF18" s="755"/>
      <c r="BG18" s="755"/>
      <c r="BH18" s="755"/>
      <c r="BI18" s="755"/>
      <c r="BJ18" s="755"/>
      <c r="BK18" s="755"/>
      <c r="BL18" s="755"/>
      <c r="BM18" s="755"/>
      <c r="BN18" s="755"/>
      <c r="BO18" s="755"/>
      <c r="BP18" s="755"/>
      <c r="BQ18" s="755"/>
      <c r="BR18" s="755"/>
      <c r="BS18" s="755"/>
      <c r="BT18" s="755"/>
      <c r="BU18" s="755"/>
      <c r="BV18" s="755"/>
      <c r="BW18" s="755"/>
      <c r="BX18" s="755"/>
      <c r="BY18" s="755"/>
      <c r="BZ18" s="755"/>
      <c r="CA18" s="755"/>
      <c r="CB18" s="755"/>
      <c r="CC18" s="755"/>
      <c r="CD18" s="755"/>
      <c r="CE18" s="755"/>
      <c r="CF18" s="755"/>
      <c r="CG18" s="755"/>
      <c r="CH18" s="755"/>
      <c r="CI18" s="755"/>
      <c r="CJ18" s="755"/>
      <c r="CK18" s="755"/>
      <c r="CL18" s="755"/>
      <c r="CM18" s="755"/>
      <c r="CN18" s="755"/>
      <c r="CO18" s="755"/>
      <c r="CP18" s="755"/>
      <c r="CQ18" s="755"/>
      <c r="CR18" s="755"/>
      <c r="CS18" s="755"/>
      <c r="CT18" s="755"/>
      <c r="CU18" s="755"/>
      <c r="CV18" s="755"/>
      <c r="CW18" s="755"/>
      <c r="DA18" s="931" t="s">
        <v>1645</v>
      </c>
      <c r="DB18" s="931"/>
      <c r="DC18" s="932"/>
      <c r="DD18" s="932"/>
      <c r="DE18" s="932"/>
      <c r="DF18" s="932"/>
      <c r="DG18" s="932"/>
      <c r="DH18" s="933"/>
      <c r="DI18" s="932"/>
    </row>
    <row r="19" spans="1:113" ht="11.25" customHeight="1" x14ac:dyDescent="0.25">
      <c r="A19" s="755"/>
      <c r="B19" s="755"/>
      <c r="C19" s="755"/>
      <c r="D19" s="755"/>
      <c r="E19" s="755"/>
      <c r="F19" s="755"/>
      <c r="G19" s="755"/>
      <c r="H19" s="755"/>
      <c r="I19" s="755"/>
      <c r="J19" s="755"/>
      <c r="K19" s="755"/>
      <c r="L19" s="755"/>
      <c r="M19" s="755"/>
      <c r="N19" s="755"/>
      <c r="O19" s="755"/>
      <c r="P19" s="755"/>
      <c r="Q19" s="755"/>
      <c r="R19" s="755"/>
      <c r="S19" s="755"/>
      <c r="T19" s="755"/>
      <c r="U19" s="755"/>
      <c r="V19" s="755"/>
      <c r="W19" s="755"/>
      <c r="X19" s="755"/>
      <c r="Y19" s="755"/>
      <c r="Z19" s="755"/>
      <c r="AA19" s="755"/>
      <c r="AB19" s="755"/>
      <c r="AC19" s="755"/>
      <c r="AD19" s="755"/>
      <c r="AE19" s="755"/>
      <c r="AF19" s="755"/>
      <c r="AG19" s="755"/>
      <c r="AH19" s="755"/>
      <c r="AI19" s="755"/>
      <c r="AJ19" s="755"/>
      <c r="AK19" s="755"/>
      <c r="AL19" s="755"/>
      <c r="AM19" s="755"/>
      <c r="AN19" s="755"/>
      <c r="AO19" s="755"/>
      <c r="AP19" s="755"/>
      <c r="AQ19" s="755"/>
      <c r="AR19" s="755"/>
      <c r="AS19" s="755"/>
      <c r="AT19" s="755"/>
      <c r="AU19" s="755"/>
      <c r="AV19" s="755"/>
      <c r="AW19" s="755"/>
      <c r="AX19" s="755"/>
      <c r="AY19" s="755"/>
      <c r="AZ19" s="755"/>
      <c r="BA19" s="755"/>
      <c r="BB19" s="755"/>
      <c r="BC19" s="755"/>
      <c r="BD19" s="755"/>
      <c r="BE19" s="755"/>
      <c r="BF19" s="755"/>
      <c r="BG19" s="755"/>
      <c r="BH19" s="755"/>
      <c r="BI19" s="755"/>
      <c r="BJ19" s="755"/>
      <c r="BK19" s="755"/>
      <c r="BL19" s="755"/>
      <c r="BM19" s="755"/>
      <c r="BN19" s="755"/>
      <c r="BO19" s="755"/>
      <c r="BP19" s="755"/>
      <c r="BQ19" s="755"/>
      <c r="BR19" s="755"/>
      <c r="BS19" s="755"/>
      <c r="BT19" s="755"/>
      <c r="BU19" s="755"/>
      <c r="BV19" s="755"/>
      <c r="BW19" s="755"/>
      <c r="BX19" s="755"/>
      <c r="BY19" s="755"/>
      <c r="BZ19" s="755"/>
      <c r="CA19" s="755"/>
      <c r="CB19" s="755"/>
      <c r="CC19" s="755"/>
      <c r="CD19" s="755"/>
      <c r="CE19" s="755"/>
      <c r="CF19" s="755"/>
      <c r="CG19" s="755"/>
      <c r="CH19" s="755"/>
      <c r="CI19" s="755"/>
      <c r="CJ19" s="755"/>
      <c r="CK19" s="755"/>
      <c r="CL19" s="755"/>
      <c r="CM19" s="755"/>
      <c r="CN19" s="755"/>
      <c r="CO19" s="755"/>
      <c r="CP19" s="755"/>
      <c r="CQ19" s="755"/>
      <c r="CR19" s="755"/>
      <c r="CS19" s="755"/>
      <c r="CT19" s="755"/>
      <c r="CU19" s="755"/>
      <c r="CV19" s="755"/>
      <c r="CW19" s="755"/>
    </row>
    <row r="20" spans="1:113" ht="17.25" customHeight="1" x14ac:dyDescent="0.25">
      <c r="A20" s="755"/>
      <c r="B20" s="755"/>
      <c r="C20" s="755"/>
      <c r="D20" s="755"/>
      <c r="E20" s="755"/>
      <c r="F20" s="755"/>
      <c r="G20" s="755"/>
      <c r="H20" s="755"/>
      <c r="I20" s="755"/>
      <c r="J20" s="755"/>
      <c r="K20" s="755"/>
      <c r="L20" s="755"/>
      <c r="M20" s="755"/>
      <c r="N20" s="755"/>
      <c r="O20" s="755"/>
      <c r="P20" s="755"/>
      <c r="Q20" s="755"/>
      <c r="R20" s="755"/>
      <c r="S20" s="755"/>
      <c r="T20" s="755"/>
      <c r="U20" s="755"/>
      <c r="V20" s="755"/>
      <c r="W20" s="755"/>
      <c r="X20" s="755"/>
      <c r="Y20" s="755"/>
      <c r="Z20" s="755"/>
      <c r="AA20" s="755"/>
      <c r="AB20" s="755"/>
      <c r="AC20" s="755"/>
      <c r="AD20" s="755"/>
      <c r="AE20" s="755"/>
      <c r="AF20" s="755"/>
      <c r="AG20" s="755"/>
      <c r="AH20" s="755"/>
      <c r="AI20" s="755"/>
      <c r="AJ20" s="755"/>
      <c r="AK20" s="755"/>
      <c r="AL20" s="755"/>
      <c r="AM20" s="755"/>
      <c r="AN20" s="755"/>
      <c r="AO20" s="755"/>
      <c r="AP20" s="755"/>
      <c r="AQ20" s="755"/>
      <c r="AR20" s="755"/>
      <c r="AS20" s="755"/>
      <c r="AT20" s="755"/>
      <c r="AU20" s="755"/>
      <c r="AV20" s="755"/>
      <c r="AW20" s="755"/>
      <c r="AX20" s="755"/>
      <c r="AY20" s="755"/>
      <c r="AZ20" s="755"/>
      <c r="BA20" s="755"/>
      <c r="BB20" s="755"/>
      <c r="BC20" s="755"/>
      <c r="BD20" s="755"/>
      <c r="BE20" s="755"/>
      <c r="BF20" s="755"/>
      <c r="BG20" s="755"/>
      <c r="BH20" s="755"/>
      <c r="BI20" s="755"/>
      <c r="BJ20" s="755"/>
      <c r="BK20" s="755"/>
      <c r="BL20" s="755"/>
      <c r="BM20" s="755"/>
      <c r="BN20" s="755"/>
      <c r="BO20" s="755"/>
      <c r="BP20" s="755"/>
      <c r="BQ20" s="755"/>
      <c r="BR20" s="755"/>
      <c r="BS20" s="755"/>
      <c r="BT20" s="755"/>
      <c r="BU20" s="755"/>
      <c r="BV20" s="755"/>
      <c r="BW20" s="755"/>
      <c r="BX20" s="755"/>
      <c r="BY20" s="755"/>
      <c r="BZ20" s="755"/>
      <c r="CA20" s="755"/>
      <c r="CB20" s="755"/>
      <c r="CC20" s="755"/>
      <c r="CD20" s="755"/>
      <c r="CE20" s="755"/>
      <c r="CF20" s="755"/>
      <c r="CG20" s="755"/>
      <c r="CH20" s="755"/>
      <c r="CI20" s="755"/>
      <c r="CJ20" s="755"/>
      <c r="CK20" s="755"/>
      <c r="CL20" s="755"/>
      <c r="CM20" s="755"/>
      <c r="CN20" s="755"/>
      <c r="CO20" s="755"/>
      <c r="CP20" s="755"/>
      <c r="CQ20" s="755"/>
      <c r="CR20" s="755"/>
      <c r="CS20" s="755"/>
      <c r="CT20" s="755"/>
      <c r="CU20" s="755"/>
      <c r="CV20" s="755"/>
      <c r="CW20" s="755"/>
      <c r="CY20" s="196" t="s">
        <v>2730</v>
      </c>
      <c r="CZ20" s="3869" t="s">
        <v>2731</v>
      </c>
      <c r="DA20" s="3870"/>
      <c r="DB20" s="453" t="str">
        <f>HYPERLINK("#"&amp;ADDRESS(ROW(),COLUMN()-1),CHAR(128))</f>
        <v>€</v>
      </c>
      <c r="DC20" s="971" t="str">
        <f>TEXT('4 Sign-off'!F161,"0.0%")&amp;" Labor Contingency has been specified"</f>
        <v>0.0% Labor Contingency has been specified</v>
      </c>
      <c r="DE20" s="756"/>
    </row>
    <row r="21" spans="1:113" ht="4.5" customHeight="1" x14ac:dyDescent="0.25">
      <c r="A21" s="755"/>
      <c r="B21" s="755"/>
      <c r="C21" s="755"/>
      <c r="D21" s="755"/>
      <c r="E21" s="755"/>
      <c r="F21" s="755"/>
      <c r="G21" s="755"/>
      <c r="H21" s="755"/>
      <c r="I21" s="755"/>
      <c r="J21" s="755"/>
      <c r="K21" s="755"/>
      <c r="L21" s="755"/>
      <c r="M21" s="755"/>
      <c r="N21" s="755"/>
      <c r="O21" s="755"/>
      <c r="P21" s="755"/>
      <c r="Q21" s="755"/>
      <c r="R21" s="755"/>
      <c r="S21" s="755"/>
      <c r="T21" s="755"/>
      <c r="U21" s="755"/>
      <c r="V21" s="755"/>
      <c r="W21" s="755"/>
      <c r="X21" s="755"/>
      <c r="Y21" s="755"/>
      <c r="Z21" s="755"/>
      <c r="AA21" s="755"/>
      <c r="AB21" s="755"/>
      <c r="AC21" s="755"/>
      <c r="AD21" s="755"/>
      <c r="AE21" s="755"/>
      <c r="AF21" s="755"/>
      <c r="AG21" s="755"/>
      <c r="AH21" s="755"/>
      <c r="AI21" s="755"/>
      <c r="AJ21" s="755"/>
      <c r="AK21" s="755"/>
      <c r="AL21" s="755"/>
      <c r="AM21" s="755"/>
      <c r="AN21" s="755"/>
      <c r="AO21" s="755"/>
      <c r="AP21" s="755"/>
      <c r="AQ21" s="755"/>
      <c r="AR21" s="755"/>
      <c r="AS21" s="755"/>
      <c r="AT21" s="755"/>
      <c r="AU21" s="755"/>
      <c r="AV21" s="755"/>
      <c r="AW21" s="755"/>
      <c r="AX21" s="755"/>
      <c r="AY21" s="755"/>
      <c r="AZ21" s="755"/>
      <c r="BA21" s="755"/>
      <c r="BB21" s="755"/>
      <c r="BC21" s="755"/>
      <c r="BD21" s="755"/>
      <c r="BE21" s="755"/>
      <c r="BF21" s="755"/>
      <c r="BG21" s="755"/>
      <c r="BH21" s="755"/>
      <c r="BI21" s="755"/>
      <c r="BJ21" s="755"/>
      <c r="BK21" s="755"/>
      <c r="BL21" s="755"/>
      <c r="BM21" s="755"/>
      <c r="BN21" s="755"/>
      <c r="BO21" s="755"/>
      <c r="BP21" s="755"/>
      <c r="BQ21" s="755"/>
      <c r="BR21" s="755"/>
      <c r="BS21" s="755"/>
      <c r="BT21" s="755"/>
      <c r="BU21" s="755"/>
      <c r="BV21" s="755"/>
      <c r="BW21" s="755"/>
      <c r="BX21" s="755"/>
      <c r="BY21" s="755"/>
      <c r="BZ21" s="755"/>
      <c r="CA21" s="755"/>
      <c r="CB21" s="755"/>
      <c r="CC21" s="755"/>
      <c r="CD21" s="755"/>
      <c r="CE21" s="755"/>
      <c r="CF21" s="755"/>
      <c r="CG21" s="755"/>
      <c r="CH21" s="755"/>
      <c r="CI21" s="755"/>
      <c r="CJ21" s="755"/>
      <c r="CK21" s="755"/>
      <c r="CL21" s="755"/>
      <c r="CM21" s="755"/>
      <c r="CN21" s="755"/>
      <c r="CO21" s="755"/>
      <c r="CP21" s="755"/>
      <c r="CQ21" s="755"/>
      <c r="CR21" s="755"/>
      <c r="CS21" s="755"/>
      <c r="CT21" s="755"/>
      <c r="CU21" s="755"/>
      <c r="CV21" s="755"/>
      <c r="CW21" s="755"/>
      <c r="CY21" s="196"/>
      <c r="CZ21" s="196"/>
      <c r="DA21" s="196"/>
    </row>
    <row r="22" spans="1:113" ht="17.25" customHeight="1" x14ac:dyDescent="0.25">
      <c r="A22" s="755"/>
      <c r="B22" s="755"/>
      <c r="C22" s="755"/>
      <c r="D22" s="755"/>
      <c r="E22" s="755"/>
      <c r="F22" s="755"/>
      <c r="G22" s="755"/>
      <c r="H22" s="755"/>
      <c r="I22" s="755"/>
      <c r="J22" s="755"/>
      <c r="K22" s="755"/>
      <c r="L22" s="755"/>
      <c r="M22" s="755"/>
      <c r="N22" s="755"/>
      <c r="O22" s="755"/>
      <c r="P22" s="755"/>
      <c r="Q22" s="755"/>
      <c r="R22" s="755"/>
      <c r="S22" s="755"/>
      <c r="T22" s="755"/>
      <c r="U22" s="755"/>
      <c r="V22" s="755"/>
      <c r="W22" s="755"/>
      <c r="X22" s="755"/>
      <c r="Y22" s="755"/>
      <c r="Z22" s="755"/>
      <c r="AA22" s="755"/>
      <c r="AB22" s="755"/>
      <c r="AC22" s="755"/>
      <c r="AD22" s="755"/>
      <c r="AE22" s="755"/>
      <c r="AF22" s="755"/>
      <c r="AG22" s="755"/>
      <c r="AH22" s="755"/>
      <c r="AI22" s="755"/>
      <c r="AJ22" s="755"/>
      <c r="AK22" s="755"/>
      <c r="AL22" s="755"/>
      <c r="AM22" s="755"/>
      <c r="AN22" s="755"/>
      <c r="AO22" s="755"/>
      <c r="AP22" s="755"/>
      <c r="AQ22" s="755"/>
      <c r="AR22" s="755"/>
      <c r="AS22" s="755"/>
      <c r="AT22" s="755"/>
      <c r="AU22" s="755"/>
      <c r="AV22" s="755"/>
      <c r="AW22" s="755"/>
      <c r="AX22" s="755"/>
      <c r="AY22" s="755"/>
      <c r="AZ22" s="755"/>
      <c r="BA22" s="755"/>
      <c r="BB22" s="755"/>
      <c r="BC22" s="755"/>
      <c r="BD22" s="755"/>
      <c r="BE22" s="755"/>
      <c r="BF22" s="755"/>
      <c r="BG22" s="755"/>
      <c r="BH22" s="755"/>
      <c r="BI22" s="755"/>
      <c r="BJ22" s="755"/>
      <c r="BK22" s="755"/>
      <c r="BL22" s="755"/>
      <c r="BM22" s="755"/>
      <c r="BN22" s="755"/>
      <c r="BO22" s="755"/>
      <c r="BP22" s="755"/>
      <c r="BQ22" s="755"/>
      <c r="BR22" s="755"/>
      <c r="BS22" s="755"/>
      <c r="BT22" s="755"/>
      <c r="BU22" s="755"/>
      <c r="BV22" s="755"/>
      <c r="BW22" s="755"/>
      <c r="BX22" s="755"/>
      <c r="BY22" s="755"/>
      <c r="BZ22" s="755"/>
      <c r="CA22" s="755"/>
      <c r="CB22" s="755"/>
      <c r="CC22" s="755"/>
      <c r="CD22" s="755"/>
      <c r="CE22" s="755"/>
      <c r="CF22" s="755"/>
      <c r="CG22" s="755"/>
      <c r="CH22" s="755"/>
      <c r="CI22" s="755"/>
      <c r="CJ22" s="755"/>
      <c r="CK22" s="755"/>
      <c r="CL22" s="755"/>
      <c r="CM22" s="755"/>
      <c r="CN22" s="755"/>
      <c r="CO22" s="755"/>
      <c r="CP22" s="755"/>
      <c r="CQ22" s="755"/>
      <c r="CR22" s="755"/>
      <c r="CS22" s="755"/>
      <c r="CT22" s="755"/>
      <c r="CU22" s="755"/>
      <c r="CV22" s="755"/>
      <c r="CW22" s="755"/>
      <c r="CY22" s="196" t="s">
        <v>771</v>
      </c>
      <c r="CZ22" s="3869" t="s">
        <v>1714</v>
      </c>
      <c r="DA22" s="3870"/>
      <c r="DB22" s="453" t="str">
        <f>HYPERLINK("#"&amp;ADDRESS(ROW(),COLUMN()-1),CHAR(128))</f>
        <v>€</v>
      </c>
      <c r="DC22" s="196" t="str">
        <f>IF(CX6=1,"Capital (TIC):","")</f>
        <v/>
      </c>
      <c r="DD22" s="963">
        <v>10000000</v>
      </c>
      <c r="DE22" s="747" t="str">
        <f>IF(CX6=1,'1 Setup'!$I$60,"")</f>
        <v/>
      </c>
      <c r="DF22" s="756"/>
    </row>
    <row r="23" spans="1:113" ht="19.5" customHeight="1" x14ac:dyDescent="0.25">
      <c r="A23" s="755"/>
      <c r="B23" s="755"/>
      <c r="C23" s="755"/>
      <c r="D23" s="755"/>
      <c r="E23" s="755"/>
      <c r="F23" s="755"/>
      <c r="G23" s="755"/>
      <c r="H23" s="755"/>
      <c r="I23" s="755"/>
      <c r="J23" s="755"/>
      <c r="K23" s="755"/>
      <c r="L23" s="755"/>
      <c r="M23" s="755"/>
      <c r="N23" s="755"/>
      <c r="O23" s="755"/>
      <c r="P23" s="755"/>
      <c r="Q23" s="755"/>
      <c r="R23" s="755"/>
      <c r="S23" s="755"/>
      <c r="T23" s="755"/>
      <c r="U23" s="755"/>
      <c r="V23" s="755"/>
      <c r="W23" s="755"/>
      <c r="X23" s="755"/>
      <c r="Y23" s="755"/>
      <c r="Z23" s="755"/>
      <c r="AA23" s="755"/>
      <c r="AB23" s="755"/>
      <c r="AC23" s="755"/>
      <c r="AD23" s="755"/>
      <c r="AE23" s="755"/>
      <c r="AF23" s="755"/>
      <c r="AG23" s="755"/>
      <c r="AH23" s="755"/>
      <c r="AI23" s="755"/>
      <c r="AJ23" s="755"/>
      <c r="AK23" s="755"/>
      <c r="AL23" s="755"/>
      <c r="AM23" s="755"/>
      <c r="AN23" s="755"/>
      <c r="AO23" s="755"/>
      <c r="AP23" s="755"/>
      <c r="AQ23" s="755"/>
      <c r="AR23" s="755"/>
      <c r="AS23" s="755"/>
      <c r="AT23" s="755"/>
      <c r="AU23" s="755"/>
      <c r="AV23" s="755"/>
      <c r="AW23" s="755"/>
      <c r="AX23" s="755"/>
      <c r="AY23" s="755"/>
      <c r="AZ23" s="755"/>
      <c r="BA23" s="755"/>
      <c r="BB23" s="755"/>
      <c r="BC23" s="755"/>
      <c r="BD23" s="755"/>
      <c r="BE23" s="755"/>
      <c r="BF23" s="755"/>
      <c r="BG23" s="755"/>
      <c r="BH23" s="755"/>
      <c r="BI23" s="755"/>
      <c r="BJ23" s="755"/>
      <c r="BK23" s="755"/>
      <c r="BL23" s="755"/>
      <c r="BM23" s="755"/>
      <c r="BN23" s="755"/>
      <c r="BO23" s="755"/>
      <c r="BP23" s="755"/>
      <c r="BQ23" s="755"/>
      <c r="BR23" s="755"/>
      <c r="BS23" s="755"/>
      <c r="BT23" s="755"/>
      <c r="BU23" s="755"/>
      <c r="BV23" s="755"/>
      <c r="BW23" s="755"/>
      <c r="BX23" s="755"/>
      <c r="BY23" s="755"/>
      <c r="BZ23" s="755"/>
      <c r="CA23" s="755"/>
      <c r="CB23" s="755"/>
      <c r="CC23" s="755"/>
      <c r="CD23" s="755"/>
      <c r="CE23" s="755"/>
      <c r="CF23" s="755"/>
      <c r="CG23" s="755"/>
      <c r="CH23" s="755"/>
      <c r="CI23" s="755"/>
      <c r="CJ23" s="755"/>
      <c r="CK23" s="755"/>
      <c r="CL23" s="755"/>
      <c r="CM23" s="755"/>
      <c r="CN23" s="755"/>
      <c r="CO23" s="755"/>
      <c r="CP23" s="755"/>
      <c r="CQ23" s="755"/>
      <c r="CR23" s="755"/>
      <c r="CS23" s="755"/>
      <c r="CT23" s="755"/>
      <c r="CU23" s="755"/>
      <c r="CV23" s="755"/>
      <c r="CW23" s="755"/>
    </row>
    <row r="24" spans="1:113" ht="21.75" customHeight="1" x14ac:dyDescent="0.25">
      <c r="A24" s="755"/>
      <c r="B24" s="755"/>
      <c r="C24" s="755"/>
      <c r="D24" s="755"/>
      <c r="E24" s="755"/>
      <c r="F24" s="755"/>
      <c r="G24" s="755"/>
      <c r="H24" s="755"/>
      <c r="I24" s="755"/>
      <c r="J24" s="755"/>
      <c r="K24" s="755"/>
      <c r="L24" s="755"/>
      <c r="M24" s="755"/>
      <c r="N24" s="755"/>
      <c r="O24" s="755"/>
      <c r="P24" s="755"/>
      <c r="Q24" s="755"/>
      <c r="R24" s="755"/>
      <c r="S24" s="755"/>
      <c r="T24" s="755"/>
      <c r="U24" s="755"/>
      <c r="V24" s="755"/>
      <c r="W24" s="755"/>
      <c r="X24" s="755"/>
      <c r="Y24" s="755"/>
      <c r="Z24" s="755"/>
      <c r="AA24" s="755"/>
      <c r="AB24" s="755"/>
      <c r="AC24" s="755"/>
      <c r="AD24" s="755"/>
      <c r="AE24" s="755"/>
      <c r="AF24" s="755"/>
      <c r="AG24" s="755"/>
      <c r="AH24" s="755"/>
      <c r="AI24" s="755"/>
      <c r="AJ24" s="755"/>
      <c r="AK24" s="755"/>
      <c r="AL24" s="755"/>
      <c r="AM24" s="755"/>
      <c r="AN24" s="755"/>
      <c r="AO24" s="755"/>
      <c r="AP24" s="755"/>
      <c r="AQ24" s="755"/>
      <c r="AR24" s="755"/>
      <c r="AS24" s="755"/>
      <c r="AT24" s="755"/>
      <c r="AU24" s="755"/>
      <c r="AV24" s="755"/>
      <c r="AW24" s="755"/>
      <c r="AX24" s="755"/>
      <c r="AY24" s="755"/>
      <c r="AZ24" s="755"/>
      <c r="BA24" s="755"/>
      <c r="BB24" s="755"/>
      <c r="BC24" s="755"/>
      <c r="BD24" s="755"/>
      <c r="BE24" s="755"/>
      <c r="BF24" s="755"/>
      <c r="BG24" s="755"/>
      <c r="BH24" s="755"/>
      <c r="BI24" s="755"/>
      <c r="BJ24" s="755"/>
      <c r="BK24" s="755"/>
      <c r="BL24" s="755"/>
      <c r="BM24" s="755"/>
      <c r="BN24" s="755"/>
      <c r="BO24" s="755"/>
      <c r="BP24" s="755"/>
      <c r="BQ24" s="755"/>
      <c r="BR24" s="755"/>
      <c r="BS24" s="755"/>
      <c r="BT24" s="755"/>
      <c r="BU24" s="755"/>
      <c r="BV24" s="755"/>
      <c r="BW24" s="755"/>
      <c r="BX24" s="755"/>
      <c r="BY24" s="755"/>
      <c r="BZ24" s="755"/>
      <c r="CA24" s="755"/>
      <c r="CB24" s="755"/>
      <c r="CC24" s="755"/>
      <c r="CD24" s="755"/>
      <c r="CE24" s="755"/>
      <c r="CF24" s="755"/>
      <c r="CG24" s="755"/>
      <c r="CH24" s="755"/>
      <c r="CI24" s="755"/>
      <c r="CJ24" s="755"/>
      <c r="CK24" s="755"/>
      <c r="CL24" s="755"/>
      <c r="CM24" s="755"/>
      <c r="CN24" s="755"/>
      <c r="CO24" s="755"/>
      <c r="CP24" s="755"/>
      <c r="CQ24" s="755"/>
      <c r="CR24" s="755"/>
      <c r="CS24" s="755"/>
      <c r="CT24" s="755"/>
      <c r="CU24" s="755"/>
      <c r="CV24" s="755"/>
      <c r="CW24" s="755"/>
      <c r="CZ24" s="924" t="s">
        <v>1646</v>
      </c>
      <c r="DA24" s="924"/>
      <c r="DB24" s="924"/>
      <c r="DI24" s="1188" t="str">
        <f>IF(CX5=1,CY5,CY6)</f>
        <v>Percentage of Total Bid</v>
      </c>
    </row>
    <row r="25" spans="1:113" ht="21.9" customHeight="1" thickBot="1" x14ac:dyDescent="0.3">
      <c r="A25" s="755"/>
      <c r="B25" s="755"/>
      <c r="C25" s="755"/>
      <c r="D25" s="755"/>
      <c r="E25" s="755"/>
      <c r="F25" s="755"/>
      <c r="G25" s="755"/>
      <c r="H25" s="755"/>
      <c r="I25" s="755"/>
      <c r="J25" s="755"/>
      <c r="K25" s="755"/>
      <c r="L25" s="755"/>
      <c r="M25" s="755"/>
      <c r="N25" s="755"/>
      <c r="O25" s="755"/>
      <c r="P25" s="755"/>
      <c r="Q25" s="755"/>
      <c r="R25" s="755"/>
      <c r="S25" s="755"/>
      <c r="T25" s="755"/>
      <c r="U25" s="755"/>
      <c r="V25" s="755"/>
      <c r="W25" s="755"/>
      <c r="X25" s="755"/>
      <c r="Y25" s="755"/>
      <c r="Z25" s="755"/>
      <c r="AA25" s="755"/>
      <c r="AB25" s="755"/>
      <c r="AC25" s="755"/>
      <c r="AD25" s="755"/>
      <c r="AE25" s="755"/>
      <c r="AF25" s="755"/>
      <c r="AG25" s="755"/>
      <c r="AH25" s="755"/>
      <c r="AI25" s="755"/>
      <c r="AJ25" s="755"/>
      <c r="AK25" s="755"/>
      <c r="AL25" s="755"/>
      <c r="AM25" s="755"/>
      <c r="AN25" s="755"/>
      <c r="AO25" s="755"/>
      <c r="AP25" s="755"/>
      <c r="AQ25" s="755"/>
      <c r="AR25" s="755"/>
      <c r="AS25" s="755"/>
      <c r="AT25" s="755"/>
      <c r="AU25" s="755"/>
      <c r="AV25" s="755"/>
      <c r="AW25" s="755"/>
      <c r="AX25" s="755"/>
      <c r="AY25" s="755"/>
      <c r="AZ25" s="755"/>
      <c r="BA25" s="755"/>
      <c r="BB25" s="755"/>
      <c r="BC25" s="755"/>
      <c r="BD25" s="755"/>
      <c r="BE25" s="755"/>
      <c r="BF25" s="755"/>
      <c r="BG25" s="755"/>
      <c r="BH25" s="755"/>
      <c r="BI25" s="755"/>
      <c r="BJ25" s="755"/>
      <c r="BK25" s="755"/>
      <c r="BL25" s="755"/>
      <c r="BM25" s="755"/>
      <c r="BN25" s="755"/>
      <c r="BO25" s="755"/>
      <c r="BP25" s="755"/>
      <c r="BQ25" s="755"/>
      <c r="BR25" s="755"/>
      <c r="BS25" s="755"/>
      <c r="BT25" s="755"/>
      <c r="BU25" s="755"/>
      <c r="BV25" s="755"/>
      <c r="BW25" s="755"/>
      <c r="BX25" s="755"/>
      <c r="BY25" s="755"/>
      <c r="BZ25" s="755"/>
      <c r="CA25" s="755"/>
      <c r="CB25" s="755"/>
      <c r="CC25" s="755"/>
      <c r="CD25" s="755"/>
      <c r="CE25" s="755"/>
      <c r="CF25" s="755"/>
      <c r="CG25" s="755"/>
      <c r="CH25" s="755"/>
      <c r="CI25" s="755"/>
      <c r="CJ25" s="755"/>
      <c r="CK25" s="755"/>
      <c r="CL25" s="755"/>
      <c r="CM25" s="755"/>
      <c r="CN25" s="755"/>
      <c r="CO25" s="755"/>
      <c r="CP25" s="755"/>
      <c r="CQ25" s="755"/>
      <c r="CR25" s="755"/>
      <c r="CS25" s="755"/>
      <c r="CT25" s="755"/>
      <c r="CU25" s="755"/>
      <c r="CV25" s="755"/>
      <c r="CW25" s="755"/>
      <c r="CZ25" s="981"/>
      <c r="DA25" s="3873" t="s">
        <v>130</v>
      </c>
      <c r="DB25" s="3874"/>
      <c r="DC25" s="978">
        <f>DC$18</f>
        <v>0</v>
      </c>
      <c r="DD25" s="979">
        <f t="shared" ref="DD25:DI25" si="0">DD$18</f>
        <v>0</v>
      </c>
      <c r="DE25" s="979">
        <f t="shared" si="0"/>
        <v>0</v>
      </c>
      <c r="DF25" s="979">
        <f t="shared" si="0"/>
        <v>0</v>
      </c>
      <c r="DG25" s="979">
        <f t="shared" si="0"/>
        <v>0</v>
      </c>
      <c r="DH25" s="979">
        <f t="shared" si="0"/>
        <v>0</v>
      </c>
      <c r="DI25" s="979">
        <f t="shared" si="0"/>
        <v>0</v>
      </c>
    </row>
    <row r="26" spans="1:113" ht="20.100000000000001" customHeight="1" thickBot="1" x14ac:dyDescent="0.3">
      <c r="A26" s="755"/>
      <c r="B26" s="755"/>
      <c r="C26" s="755"/>
      <c r="D26" s="755"/>
      <c r="E26" s="755"/>
      <c r="F26" s="755"/>
      <c r="G26" s="755"/>
      <c r="H26" s="755"/>
      <c r="I26" s="755"/>
      <c r="J26" s="755"/>
      <c r="K26" s="755"/>
      <c r="L26" s="755"/>
      <c r="M26" s="755"/>
      <c r="N26" s="755"/>
      <c r="O26" s="755"/>
      <c r="P26" s="755"/>
      <c r="Q26" s="755"/>
      <c r="R26" s="755"/>
      <c r="S26" s="755"/>
      <c r="T26" s="755"/>
      <c r="U26" s="755"/>
      <c r="V26" s="755"/>
      <c r="W26" s="755"/>
      <c r="X26" s="755"/>
      <c r="Y26" s="755"/>
      <c r="Z26" s="755"/>
      <c r="AA26" s="755"/>
      <c r="AB26" s="755"/>
      <c r="AC26" s="755"/>
      <c r="AD26" s="755"/>
      <c r="AE26" s="755"/>
      <c r="AF26" s="755"/>
      <c r="AG26" s="755"/>
      <c r="AH26" s="755"/>
      <c r="AI26" s="755"/>
      <c r="AJ26" s="755"/>
      <c r="AK26" s="755"/>
      <c r="AL26" s="755"/>
      <c r="AM26" s="755"/>
      <c r="AN26" s="755"/>
      <c r="AO26" s="755"/>
      <c r="AP26" s="755"/>
      <c r="AQ26" s="755"/>
      <c r="AR26" s="755"/>
      <c r="AS26" s="755"/>
      <c r="AT26" s="755"/>
      <c r="AU26" s="755"/>
      <c r="AV26" s="755"/>
      <c r="AW26" s="755"/>
      <c r="AX26" s="755"/>
      <c r="AY26" s="755"/>
      <c r="AZ26" s="755"/>
      <c r="BA26" s="755"/>
      <c r="BB26" s="755"/>
      <c r="BC26" s="755"/>
      <c r="BD26" s="755"/>
      <c r="BE26" s="755"/>
      <c r="BF26" s="755"/>
      <c r="BG26" s="755"/>
      <c r="BH26" s="755"/>
      <c r="BI26" s="755"/>
      <c r="BJ26" s="755"/>
      <c r="BK26" s="755"/>
      <c r="BL26" s="755"/>
      <c r="BM26" s="755"/>
      <c r="BN26" s="755"/>
      <c r="BO26" s="755"/>
      <c r="BP26" s="755"/>
      <c r="BQ26" s="755"/>
      <c r="BR26" s="755"/>
      <c r="BS26" s="755"/>
      <c r="BT26" s="755"/>
      <c r="BU26" s="755"/>
      <c r="BV26" s="755"/>
      <c r="BW26" s="755"/>
      <c r="BX26" s="755"/>
      <c r="BY26" s="755"/>
      <c r="BZ26" s="755"/>
      <c r="CA26" s="755"/>
      <c r="CB26" s="755"/>
      <c r="CC26" s="755"/>
      <c r="CD26" s="755"/>
      <c r="CE26" s="755"/>
      <c r="CF26" s="755"/>
      <c r="CG26" s="755"/>
      <c r="CH26" s="755"/>
      <c r="CI26" s="755"/>
      <c r="CJ26" s="755"/>
      <c r="CK26" s="755"/>
      <c r="CL26" s="755"/>
      <c r="CM26" s="755"/>
      <c r="CN26" s="755"/>
      <c r="CO26" s="755"/>
      <c r="CP26" s="755"/>
      <c r="CQ26" s="755"/>
      <c r="CR26" s="755"/>
      <c r="CS26" s="755"/>
      <c r="CT26" s="755"/>
      <c r="CU26" s="755"/>
      <c r="CV26" s="755"/>
      <c r="CW26" s="755"/>
      <c r="CZ26" s="980" t="s">
        <v>130</v>
      </c>
      <c r="DA26" s="3875">
        <f ca="1">IFERROR(DA47/$CZ$5,0)</f>
        <v>1</v>
      </c>
      <c r="DB26" s="3876"/>
      <c r="DC26" s="1053">
        <f t="shared" ref="DC26:DI27" ca="1" si="1">IFERROR(DC47/$CZ$5,0)</f>
        <v>0</v>
      </c>
      <c r="DD26" s="1054">
        <f t="shared" ca="1" si="1"/>
        <v>0</v>
      </c>
      <c r="DE26" s="1054">
        <f t="shared" ca="1" si="1"/>
        <v>0</v>
      </c>
      <c r="DF26" s="1054">
        <f t="shared" ca="1" si="1"/>
        <v>0</v>
      </c>
      <c r="DG26" s="1054">
        <f t="shared" ca="1" si="1"/>
        <v>0</v>
      </c>
      <c r="DH26" s="1055">
        <f t="shared" ca="1" si="1"/>
        <v>0</v>
      </c>
      <c r="DI26" s="1056">
        <f t="shared" ca="1" si="1"/>
        <v>0</v>
      </c>
    </row>
    <row r="27" spans="1:113" ht="15.9" customHeight="1" thickTop="1" x14ac:dyDescent="0.25">
      <c r="A27" s="755"/>
      <c r="B27" s="755"/>
      <c r="C27" s="755"/>
      <c r="D27" s="755"/>
      <c r="E27" s="755"/>
      <c r="F27" s="755"/>
      <c r="G27" s="755"/>
      <c r="H27" s="755"/>
      <c r="I27" s="755"/>
      <c r="J27" s="755"/>
      <c r="K27" s="755"/>
      <c r="L27" s="755"/>
      <c r="M27" s="755"/>
      <c r="N27" s="755"/>
      <c r="O27" s="755"/>
      <c r="P27" s="755"/>
      <c r="Q27" s="755"/>
      <c r="R27" s="755"/>
      <c r="S27" s="755"/>
      <c r="T27" s="755"/>
      <c r="U27" s="755"/>
      <c r="V27" s="755"/>
      <c r="W27" s="755"/>
      <c r="X27" s="755"/>
      <c r="Y27" s="755"/>
      <c r="Z27" s="755"/>
      <c r="AA27" s="755"/>
      <c r="AB27" s="755"/>
      <c r="AC27" s="755"/>
      <c r="AD27" s="755"/>
      <c r="AE27" s="755"/>
      <c r="AF27" s="755"/>
      <c r="AG27" s="755"/>
      <c r="AH27" s="755"/>
      <c r="AI27" s="755"/>
      <c r="AJ27" s="755"/>
      <c r="AK27" s="755"/>
      <c r="AL27" s="755"/>
      <c r="AM27" s="755"/>
      <c r="AN27" s="755"/>
      <c r="AO27" s="755"/>
      <c r="AP27" s="755"/>
      <c r="AQ27" s="755"/>
      <c r="AR27" s="755"/>
      <c r="AS27" s="755"/>
      <c r="AT27" s="755"/>
      <c r="AU27" s="755"/>
      <c r="AV27" s="755"/>
      <c r="AW27" s="755"/>
      <c r="AX27" s="755"/>
      <c r="AY27" s="755"/>
      <c r="AZ27" s="755"/>
      <c r="BA27" s="755"/>
      <c r="BB27" s="755"/>
      <c r="BC27" s="755"/>
      <c r="BD27" s="755"/>
      <c r="BE27" s="755"/>
      <c r="BF27" s="755"/>
      <c r="BG27" s="755"/>
      <c r="BH27" s="755"/>
      <c r="BI27" s="755"/>
      <c r="BJ27" s="755"/>
      <c r="BK27" s="755"/>
      <c r="BL27" s="755"/>
      <c r="BM27" s="755"/>
      <c r="BN27" s="755"/>
      <c r="BO27" s="755"/>
      <c r="BP27" s="755"/>
      <c r="BQ27" s="755"/>
      <c r="BR27" s="755"/>
      <c r="BS27" s="755"/>
      <c r="BT27" s="755"/>
      <c r="BU27" s="755"/>
      <c r="BV27" s="755"/>
      <c r="BW27" s="755"/>
      <c r="BX27" s="755"/>
      <c r="BY27" s="755"/>
      <c r="BZ27" s="755"/>
      <c r="CA27" s="755"/>
      <c r="CB27" s="755"/>
      <c r="CC27" s="755"/>
      <c r="CD27" s="755"/>
      <c r="CE27" s="755"/>
      <c r="CF27" s="755"/>
      <c r="CG27" s="755"/>
      <c r="CH27" s="755"/>
      <c r="CI27" s="755"/>
      <c r="CJ27" s="755"/>
      <c r="CK27" s="755"/>
      <c r="CL27" s="755"/>
      <c r="CM27" s="755"/>
      <c r="CN27" s="755"/>
      <c r="CO27" s="755"/>
      <c r="CP27" s="755"/>
      <c r="CQ27" s="755"/>
      <c r="CR27" s="755"/>
      <c r="CS27" s="755"/>
      <c r="CT27" s="755"/>
      <c r="CU27" s="755"/>
      <c r="CV27" s="755"/>
      <c r="CW27" s="755"/>
      <c r="CZ27" s="2808" t="s">
        <v>3408</v>
      </c>
      <c r="DA27" s="3877">
        <f ca="1">IFERROR(DA48/$CZ$5,0)</f>
        <v>0</v>
      </c>
      <c r="DB27" s="3878"/>
      <c r="DC27" s="2809">
        <f t="shared" ca="1" si="1"/>
        <v>0</v>
      </c>
      <c r="DD27" s="2810">
        <f t="shared" ca="1" si="1"/>
        <v>0</v>
      </c>
      <c r="DE27" s="2810">
        <f t="shared" ca="1" si="1"/>
        <v>0</v>
      </c>
      <c r="DF27" s="2810">
        <f t="shared" ca="1" si="1"/>
        <v>0</v>
      </c>
      <c r="DG27" s="2810">
        <f t="shared" ca="1" si="1"/>
        <v>0</v>
      </c>
      <c r="DH27" s="2811">
        <f t="shared" ca="1" si="1"/>
        <v>0</v>
      </c>
      <c r="DI27" s="2812">
        <f t="shared" ca="1" si="1"/>
        <v>0</v>
      </c>
    </row>
    <row r="28" spans="1:113" ht="15.9" customHeight="1" x14ac:dyDescent="0.25">
      <c r="A28" s="755"/>
      <c r="B28" s="755"/>
      <c r="C28" s="755"/>
      <c r="D28" s="755"/>
      <c r="E28" s="755"/>
      <c r="F28" s="755"/>
      <c r="G28" s="755"/>
      <c r="H28" s="755"/>
      <c r="I28" s="755"/>
      <c r="J28" s="755"/>
      <c r="K28" s="755"/>
      <c r="L28" s="755"/>
      <c r="M28" s="755"/>
      <c r="N28" s="755"/>
      <c r="O28" s="755"/>
      <c r="P28" s="755"/>
      <c r="Q28" s="755"/>
      <c r="R28" s="755"/>
      <c r="S28" s="755"/>
      <c r="T28" s="755"/>
      <c r="U28" s="755"/>
      <c r="V28" s="755"/>
      <c r="W28" s="755"/>
      <c r="X28" s="755"/>
      <c r="Y28" s="755"/>
      <c r="Z28" s="755"/>
      <c r="AA28" s="755"/>
      <c r="AB28" s="755"/>
      <c r="AC28" s="755"/>
      <c r="AD28" s="755"/>
      <c r="AE28" s="755"/>
      <c r="AF28" s="755"/>
      <c r="AG28" s="755"/>
      <c r="AH28" s="755"/>
      <c r="AI28" s="755"/>
      <c r="AJ28" s="755"/>
      <c r="AK28" s="755"/>
      <c r="AL28" s="755"/>
      <c r="AM28" s="755"/>
      <c r="AN28" s="755"/>
      <c r="AO28" s="755"/>
      <c r="AP28" s="755"/>
      <c r="AQ28" s="755"/>
      <c r="AR28" s="755"/>
      <c r="AS28" s="755"/>
      <c r="AT28" s="755"/>
      <c r="AU28" s="755"/>
      <c r="AV28" s="755"/>
      <c r="AW28" s="755"/>
      <c r="AX28" s="755"/>
      <c r="AY28" s="755"/>
      <c r="AZ28" s="755"/>
      <c r="BA28" s="755"/>
      <c r="BB28" s="755"/>
      <c r="BC28" s="755"/>
      <c r="BD28" s="755"/>
      <c r="BE28" s="755"/>
      <c r="BF28" s="755"/>
      <c r="BG28" s="755"/>
      <c r="BH28" s="755"/>
      <c r="BI28" s="755"/>
      <c r="BJ28" s="755"/>
      <c r="BK28" s="755"/>
      <c r="BL28" s="755"/>
      <c r="BM28" s="755"/>
      <c r="BN28" s="755"/>
      <c r="BO28" s="755"/>
      <c r="BP28" s="755"/>
      <c r="BQ28" s="755"/>
      <c r="BR28" s="755"/>
      <c r="BS28" s="755"/>
      <c r="BT28" s="755"/>
      <c r="BU28" s="755"/>
      <c r="BV28" s="755"/>
      <c r="BW28" s="755"/>
      <c r="BX28" s="755"/>
      <c r="BY28" s="755"/>
      <c r="BZ28" s="755"/>
      <c r="CA28" s="755"/>
      <c r="CB28" s="755"/>
      <c r="CC28" s="755"/>
      <c r="CD28" s="755"/>
      <c r="CE28" s="755"/>
      <c r="CF28" s="755"/>
      <c r="CG28" s="755"/>
      <c r="CH28" s="755"/>
      <c r="CI28" s="755"/>
      <c r="CJ28" s="755"/>
      <c r="CK28" s="755"/>
      <c r="CL28" s="755"/>
      <c r="CM28" s="755"/>
      <c r="CN28" s="755"/>
      <c r="CO28" s="755"/>
      <c r="CP28" s="755"/>
      <c r="CQ28" s="755"/>
      <c r="CR28" s="755"/>
      <c r="CS28" s="755"/>
      <c r="CT28" s="755"/>
      <c r="CU28" s="755"/>
      <c r="CV28" s="755"/>
      <c r="CW28" s="755"/>
      <c r="CZ28" s="2795" t="s">
        <v>468</v>
      </c>
      <c r="DA28" s="3883">
        <f t="shared" ref="DA28:DA29" ca="1" si="2">IFERROR(DA49/$CZ$5,0)</f>
        <v>0</v>
      </c>
      <c r="DB28" s="3884"/>
      <c r="DC28" s="2813">
        <f t="shared" ref="DC28:DI28" ca="1" si="3">IFERROR(DC49/$CZ$5,0)</f>
        <v>0</v>
      </c>
      <c r="DD28" s="2814">
        <f t="shared" ca="1" si="3"/>
        <v>0</v>
      </c>
      <c r="DE28" s="2814">
        <f t="shared" ca="1" si="3"/>
        <v>0</v>
      </c>
      <c r="DF28" s="2814">
        <f t="shared" ca="1" si="3"/>
        <v>0</v>
      </c>
      <c r="DG28" s="2814">
        <f t="shared" ca="1" si="3"/>
        <v>0</v>
      </c>
      <c r="DH28" s="2815">
        <f t="shared" ca="1" si="3"/>
        <v>0</v>
      </c>
      <c r="DI28" s="2816">
        <f t="shared" ca="1" si="3"/>
        <v>0</v>
      </c>
    </row>
    <row r="29" spans="1:113" ht="15.9" customHeight="1" x14ac:dyDescent="0.25">
      <c r="A29" s="755"/>
      <c r="B29" s="755"/>
      <c r="C29" s="755"/>
      <c r="D29" s="755"/>
      <c r="E29" s="755"/>
      <c r="F29" s="755"/>
      <c r="G29" s="755"/>
      <c r="H29" s="755"/>
      <c r="I29" s="755"/>
      <c r="J29" s="755"/>
      <c r="K29" s="755"/>
      <c r="L29" s="755"/>
      <c r="M29" s="755"/>
      <c r="N29" s="755"/>
      <c r="O29" s="755"/>
      <c r="P29" s="755"/>
      <c r="Q29" s="755"/>
      <c r="R29" s="755"/>
      <c r="S29" s="755"/>
      <c r="T29" s="755"/>
      <c r="U29" s="755"/>
      <c r="V29" s="755"/>
      <c r="W29" s="755"/>
      <c r="X29" s="755"/>
      <c r="Y29" s="755"/>
      <c r="Z29" s="755"/>
      <c r="AA29" s="755"/>
      <c r="AB29" s="755"/>
      <c r="AC29" s="755"/>
      <c r="AD29" s="755"/>
      <c r="AE29" s="755"/>
      <c r="AF29" s="755"/>
      <c r="AG29" s="755"/>
      <c r="AH29" s="755"/>
      <c r="AI29" s="755"/>
      <c r="AJ29" s="755"/>
      <c r="AK29" s="755"/>
      <c r="AL29" s="755"/>
      <c r="AM29" s="755"/>
      <c r="AN29" s="755"/>
      <c r="AO29" s="755"/>
      <c r="AP29" s="755"/>
      <c r="AQ29" s="755"/>
      <c r="AR29" s="755"/>
      <c r="AS29" s="755"/>
      <c r="AT29" s="755"/>
      <c r="AU29" s="755"/>
      <c r="AV29" s="755"/>
      <c r="AW29" s="755"/>
      <c r="AX29" s="755"/>
      <c r="AY29" s="755"/>
      <c r="AZ29" s="755"/>
      <c r="BA29" s="755"/>
      <c r="BB29" s="755"/>
      <c r="BC29" s="755"/>
      <c r="BD29" s="755"/>
      <c r="BE29" s="755"/>
      <c r="BF29" s="755"/>
      <c r="BG29" s="755"/>
      <c r="BH29" s="755"/>
      <c r="BI29" s="755"/>
      <c r="BJ29" s="755"/>
      <c r="BK29" s="755"/>
      <c r="BL29" s="755"/>
      <c r="BM29" s="755"/>
      <c r="BN29" s="755"/>
      <c r="BO29" s="755"/>
      <c r="BP29" s="755"/>
      <c r="BQ29" s="755"/>
      <c r="BR29" s="755"/>
      <c r="BS29" s="755"/>
      <c r="BT29" s="755"/>
      <c r="BU29" s="755"/>
      <c r="BV29" s="755"/>
      <c r="BW29" s="755"/>
      <c r="BX29" s="755"/>
      <c r="BY29" s="755"/>
      <c r="BZ29" s="755"/>
      <c r="CA29" s="755"/>
      <c r="CB29" s="755"/>
      <c r="CC29" s="755"/>
      <c r="CD29" s="755"/>
      <c r="CE29" s="755"/>
      <c r="CF29" s="755"/>
      <c r="CG29" s="755"/>
      <c r="CH29" s="755"/>
      <c r="CI29" s="755"/>
      <c r="CJ29" s="755"/>
      <c r="CK29" s="755"/>
      <c r="CL29" s="755"/>
      <c r="CM29" s="755"/>
      <c r="CN29" s="755"/>
      <c r="CO29" s="755"/>
      <c r="CP29" s="755"/>
      <c r="CQ29" s="755"/>
      <c r="CR29" s="755"/>
      <c r="CS29" s="755"/>
      <c r="CT29" s="755"/>
      <c r="CU29" s="755"/>
      <c r="CV29" s="755"/>
      <c r="CW29" s="755"/>
      <c r="CZ29" s="1067" t="s">
        <v>3402</v>
      </c>
      <c r="DA29" s="3883">
        <f t="shared" ca="1" si="2"/>
        <v>0</v>
      </c>
      <c r="DB29" s="3884"/>
      <c r="DC29" s="1068"/>
      <c r="DD29" s="1069"/>
      <c r="DE29" s="1069"/>
      <c r="DF29" s="1069"/>
      <c r="DG29" s="1069"/>
      <c r="DH29" s="1070"/>
      <c r="DI29" s="1071"/>
    </row>
    <row r="30" spans="1:113" ht="15.9" customHeight="1" thickBot="1" x14ac:dyDescent="0.3">
      <c r="A30" s="755"/>
      <c r="B30" s="755"/>
      <c r="C30" s="755"/>
      <c r="D30" s="755"/>
      <c r="E30" s="755"/>
      <c r="F30" s="755"/>
      <c r="G30" s="755"/>
      <c r="H30" s="755"/>
      <c r="I30" s="755"/>
      <c r="J30" s="755"/>
      <c r="K30" s="755"/>
      <c r="L30" s="755"/>
      <c r="M30" s="755"/>
      <c r="N30" s="755"/>
      <c r="O30" s="755"/>
      <c r="P30" s="755"/>
      <c r="Q30" s="755"/>
      <c r="R30" s="755"/>
      <c r="S30" s="755"/>
      <c r="T30" s="755"/>
      <c r="U30" s="755"/>
      <c r="V30" s="755"/>
      <c r="W30" s="755"/>
      <c r="X30" s="755"/>
      <c r="Y30" s="755"/>
      <c r="Z30" s="755"/>
      <c r="AA30" s="755"/>
      <c r="AB30" s="755"/>
      <c r="AC30" s="755"/>
      <c r="AD30" s="755"/>
      <c r="AE30" s="755"/>
      <c r="AF30" s="755"/>
      <c r="AG30" s="755"/>
      <c r="AH30" s="755"/>
      <c r="AI30" s="755"/>
      <c r="AJ30" s="755"/>
      <c r="AK30" s="755"/>
      <c r="AL30" s="755"/>
      <c r="AM30" s="755"/>
      <c r="AN30" s="755"/>
      <c r="AO30" s="755"/>
      <c r="AP30" s="755"/>
      <c r="AQ30" s="755"/>
      <c r="AR30" s="755"/>
      <c r="AS30" s="755"/>
      <c r="AT30" s="755"/>
      <c r="AU30" s="755"/>
      <c r="AV30" s="755"/>
      <c r="AW30" s="755"/>
      <c r="AX30" s="755"/>
      <c r="AY30" s="755"/>
      <c r="AZ30" s="755"/>
      <c r="BA30" s="755"/>
      <c r="BB30" s="755"/>
      <c r="BC30" s="755"/>
      <c r="BD30" s="755"/>
      <c r="BE30" s="755"/>
      <c r="BF30" s="755"/>
      <c r="BG30" s="755"/>
      <c r="BH30" s="755"/>
      <c r="BI30" s="755"/>
      <c r="BJ30" s="755"/>
      <c r="BK30" s="755"/>
      <c r="BL30" s="755"/>
      <c r="BM30" s="755"/>
      <c r="BN30" s="755"/>
      <c r="BO30" s="755"/>
      <c r="BP30" s="755"/>
      <c r="BQ30" s="755"/>
      <c r="BR30" s="755"/>
      <c r="BS30" s="755"/>
      <c r="BT30" s="755"/>
      <c r="BU30" s="755"/>
      <c r="BV30" s="755"/>
      <c r="BW30" s="755"/>
      <c r="BX30" s="755"/>
      <c r="BY30" s="755"/>
      <c r="BZ30" s="755"/>
      <c r="CA30" s="755"/>
      <c r="CB30" s="755"/>
      <c r="CC30" s="755"/>
      <c r="CD30" s="755"/>
      <c r="CE30" s="755"/>
      <c r="CF30" s="755"/>
      <c r="CG30" s="755"/>
      <c r="CH30" s="755"/>
      <c r="CI30" s="755"/>
      <c r="CJ30" s="755"/>
      <c r="CK30" s="755"/>
      <c r="CL30" s="755"/>
      <c r="CM30" s="755"/>
      <c r="CN30" s="755"/>
      <c r="CO30" s="755"/>
      <c r="CP30" s="755"/>
      <c r="CQ30" s="755"/>
      <c r="CR30" s="755"/>
      <c r="CS30" s="755"/>
      <c r="CT30" s="755"/>
      <c r="CU30" s="755"/>
      <c r="CV30" s="755"/>
      <c r="CW30" s="755"/>
      <c r="CZ30" s="1072" t="s">
        <v>854</v>
      </c>
      <c r="DA30" s="3885">
        <f t="shared" ref="DA30:DA41" ca="1" si="4">IFERROR(DA51/$CZ$5,0)</f>
        <v>7.7792510102577019E-3</v>
      </c>
      <c r="DB30" s="3886"/>
      <c r="DC30" s="1073">
        <f t="shared" ref="DC30:DI41" ca="1" si="5">IFERROR(DC51/$CZ$5,0)</f>
        <v>0</v>
      </c>
      <c r="DD30" s="1074">
        <f t="shared" ca="1" si="5"/>
        <v>0</v>
      </c>
      <c r="DE30" s="1074">
        <f t="shared" ca="1" si="5"/>
        <v>0</v>
      </c>
      <c r="DF30" s="1074">
        <f t="shared" ca="1" si="5"/>
        <v>0</v>
      </c>
      <c r="DG30" s="1074">
        <f t="shared" ca="1" si="5"/>
        <v>0</v>
      </c>
      <c r="DH30" s="1075">
        <f t="shared" ca="1" si="5"/>
        <v>0</v>
      </c>
      <c r="DI30" s="1076">
        <f t="shared" ca="1" si="5"/>
        <v>0</v>
      </c>
    </row>
    <row r="31" spans="1:113" ht="15.9" customHeight="1" x14ac:dyDescent="0.25">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c r="AA31" s="755"/>
      <c r="AB31" s="755"/>
      <c r="AC31" s="755"/>
      <c r="AD31" s="755"/>
      <c r="AE31" s="755"/>
      <c r="AF31" s="755"/>
      <c r="AG31" s="755"/>
      <c r="AH31" s="755"/>
      <c r="AI31" s="755"/>
      <c r="AJ31" s="755"/>
      <c r="AK31" s="755"/>
      <c r="AL31" s="755"/>
      <c r="AM31" s="755"/>
      <c r="AN31" s="755"/>
      <c r="AO31" s="755"/>
      <c r="AP31" s="755"/>
      <c r="AQ31" s="755"/>
      <c r="AR31" s="755"/>
      <c r="AS31" s="755"/>
      <c r="AT31" s="755"/>
      <c r="AU31" s="755"/>
      <c r="AV31" s="755"/>
      <c r="AW31" s="755"/>
      <c r="AX31" s="755"/>
      <c r="AY31" s="755"/>
      <c r="AZ31" s="755"/>
      <c r="BA31" s="755"/>
      <c r="BB31" s="755"/>
      <c r="BC31" s="755"/>
      <c r="BD31" s="755"/>
      <c r="BE31" s="755"/>
      <c r="BF31" s="755"/>
      <c r="BG31" s="755"/>
      <c r="BH31" s="755"/>
      <c r="BI31" s="755"/>
      <c r="BJ31" s="755"/>
      <c r="BK31" s="755"/>
      <c r="BL31" s="755"/>
      <c r="BM31" s="755"/>
      <c r="BN31" s="755"/>
      <c r="BO31" s="755"/>
      <c r="BP31" s="755"/>
      <c r="BQ31" s="755"/>
      <c r="BR31" s="755"/>
      <c r="BS31" s="755"/>
      <c r="BT31" s="755"/>
      <c r="BU31" s="755"/>
      <c r="BV31" s="755"/>
      <c r="BW31" s="755"/>
      <c r="BX31" s="755"/>
      <c r="BY31" s="755"/>
      <c r="BZ31" s="755"/>
      <c r="CA31" s="755"/>
      <c r="CB31" s="755"/>
      <c r="CC31" s="755"/>
      <c r="CD31" s="755"/>
      <c r="CE31" s="755"/>
      <c r="CF31" s="755"/>
      <c r="CG31" s="755"/>
      <c r="CH31" s="755"/>
      <c r="CI31" s="755"/>
      <c r="CJ31" s="755"/>
      <c r="CK31" s="755"/>
      <c r="CL31" s="755"/>
      <c r="CM31" s="755"/>
      <c r="CN31" s="755"/>
      <c r="CO31" s="755"/>
      <c r="CP31" s="755"/>
      <c r="CQ31" s="755"/>
      <c r="CR31" s="755"/>
      <c r="CS31" s="755"/>
      <c r="CT31" s="755"/>
      <c r="CU31" s="755"/>
      <c r="CV31" s="755"/>
      <c r="CW31" s="755"/>
      <c r="CZ31" s="972"/>
      <c r="DA31" s="3879">
        <f t="shared" ca="1" si="4"/>
        <v>9.922207489897425E-2</v>
      </c>
      <c r="DB31" s="3880"/>
      <c r="DC31" s="1057">
        <f t="shared" ca="1" si="5"/>
        <v>0</v>
      </c>
      <c r="DD31" s="1058">
        <f t="shared" ca="1" si="5"/>
        <v>0</v>
      </c>
      <c r="DE31" s="1058">
        <f t="shared" ca="1" si="5"/>
        <v>0</v>
      </c>
      <c r="DF31" s="1058">
        <f t="shared" ca="1" si="5"/>
        <v>0</v>
      </c>
      <c r="DG31" s="1058">
        <f t="shared" ca="1" si="5"/>
        <v>0</v>
      </c>
      <c r="DH31" s="1058">
        <f t="shared" ca="1" si="5"/>
        <v>0</v>
      </c>
      <c r="DI31" s="1058">
        <f t="shared" ca="1" si="5"/>
        <v>0</v>
      </c>
    </row>
    <row r="32" spans="1:113" ht="15.9" customHeight="1" x14ac:dyDescent="0.25">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c r="AA32" s="755"/>
      <c r="AB32" s="755"/>
      <c r="AC32" s="755"/>
      <c r="AD32" s="755"/>
      <c r="AE32" s="755"/>
      <c r="AF32" s="755"/>
      <c r="AG32" s="755"/>
      <c r="AH32" s="755"/>
      <c r="AI32" s="755"/>
      <c r="AJ32" s="755"/>
      <c r="AK32" s="755"/>
      <c r="AL32" s="755"/>
      <c r="AM32" s="755"/>
      <c r="AN32" s="755"/>
      <c r="AO32" s="755"/>
      <c r="AP32" s="755"/>
      <c r="AQ32" s="755"/>
      <c r="AR32" s="755"/>
      <c r="AS32" s="755"/>
      <c r="AT32" s="755"/>
      <c r="AU32" s="755"/>
      <c r="AV32" s="755"/>
      <c r="AW32" s="755"/>
      <c r="AX32" s="755"/>
      <c r="AY32" s="755"/>
      <c r="AZ32" s="755"/>
      <c r="BA32" s="755"/>
      <c r="BB32" s="755"/>
      <c r="BC32" s="755"/>
      <c r="BD32" s="755"/>
      <c r="BE32" s="755"/>
      <c r="BF32" s="755"/>
      <c r="BG32" s="755"/>
      <c r="BH32" s="755"/>
      <c r="BI32" s="755"/>
      <c r="BJ32" s="755"/>
      <c r="BK32" s="755"/>
      <c r="BL32" s="755"/>
      <c r="BM32" s="755"/>
      <c r="BN32" s="755"/>
      <c r="BO32" s="755"/>
      <c r="BP32" s="755"/>
      <c r="BQ32" s="755"/>
      <c r="BR32" s="755"/>
      <c r="BS32" s="755"/>
      <c r="BT32" s="755"/>
      <c r="BU32" s="755"/>
      <c r="BV32" s="755"/>
      <c r="BW32" s="755"/>
      <c r="BX32" s="755"/>
      <c r="BY32" s="755"/>
      <c r="BZ32" s="755"/>
      <c r="CA32" s="755"/>
      <c r="CB32" s="755"/>
      <c r="CC32" s="755"/>
      <c r="CD32" s="755"/>
      <c r="CE32" s="755"/>
      <c r="CF32" s="755"/>
      <c r="CG32" s="755"/>
      <c r="CH32" s="755"/>
      <c r="CI32" s="755"/>
      <c r="CJ32" s="755"/>
      <c r="CK32" s="755"/>
      <c r="CL32" s="755"/>
      <c r="CM32" s="755"/>
      <c r="CN32" s="755"/>
      <c r="CO32" s="755"/>
      <c r="CP32" s="755"/>
      <c r="CQ32" s="755"/>
      <c r="CR32" s="755"/>
      <c r="CS32" s="755"/>
      <c r="CT32" s="755"/>
      <c r="CU32" s="755"/>
      <c r="CV32" s="755"/>
      <c r="CW32" s="755"/>
      <c r="CY32" s="752" t="s">
        <v>1375</v>
      </c>
      <c r="CZ32" s="973"/>
      <c r="DA32" s="3871">
        <f t="shared" ca="1" si="4"/>
        <v>9.922207489897425E-2</v>
      </c>
      <c r="DB32" s="3872"/>
      <c r="DC32" s="1059">
        <f t="shared" ca="1" si="5"/>
        <v>0</v>
      </c>
      <c r="DD32" s="1060">
        <f t="shared" ca="1" si="5"/>
        <v>0</v>
      </c>
      <c r="DE32" s="1060">
        <f t="shared" ca="1" si="5"/>
        <v>0</v>
      </c>
      <c r="DF32" s="1060">
        <f t="shared" ca="1" si="5"/>
        <v>0</v>
      </c>
      <c r="DG32" s="1060">
        <f t="shared" ca="1" si="5"/>
        <v>0</v>
      </c>
      <c r="DH32" s="1061">
        <f t="shared" ca="1" si="5"/>
        <v>0</v>
      </c>
      <c r="DI32" s="1062">
        <f t="shared" ca="1" si="5"/>
        <v>0</v>
      </c>
    </row>
    <row r="33" spans="1:113" ht="15.9" customHeight="1" x14ac:dyDescent="0.25">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c r="AA33" s="755"/>
      <c r="AB33" s="755"/>
      <c r="AC33" s="755"/>
      <c r="AD33" s="755"/>
      <c r="AE33" s="755"/>
      <c r="AF33" s="755"/>
      <c r="AG33" s="755"/>
      <c r="AH33" s="755"/>
      <c r="AI33" s="755"/>
      <c r="AJ33" s="755"/>
      <c r="AK33" s="755"/>
      <c r="AL33" s="755"/>
      <c r="AM33" s="755"/>
      <c r="AN33" s="755"/>
      <c r="AO33" s="755"/>
      <c r="AP33" s="755"/>
      <c r="AQ33" s="755"/>
      <c r="AR33" s="755"/>
      <c r="AS33" s="755"/>
      <c r="AT33" s="755"/>
      <c r="AU33" s="755"/>
      <c r="AV33" s="755"/>
      <c r="AW33" s="755"/>
      <c r="AX33" s="755"/>
      <c r="AY33" s="755"/>
      <c r="AZ33" s="755"/>
      <c r="BA33" s="755"/>
      <c r="BB33" s="755"/>
      <c r="BC33" s="755"/>
      <c r="BD33" s="755"/>
      <c r="BE33" s="755"/>
      <c r="BF33" s="755"/>
      <c r="BG33" s="755"/>
      <c r="BH33" s="755"/>
      <c r="BI33" s="755"/>
      <c r="BJ33" s="755"/>
      <c r="BK33" s="755"/>
      <c r="BL33" s="755"/>
      <c r="BM33" s="755"/>
      <c r="BN33" s="755"/>
      <c r="BO33" s="755"/>
      <c r="BP33" s="755"/>
      <c r="BQ33" s="755"/>
      <c r="BR33" s="755"/>
      <c r="BS33" s="755"/>
      <c r="BT33" s="755"/>
      <c r="BU33" s="755"/>
      <c r="BV33" s="755"/>
      <c r="BW33" s="755"/>
      <c r="BX33" s="755"/>
      <c r="BY33" s="755"/>
      <c r="BZ33" s="755"/>
      <c r="CA33" s="755"/>
      <c r="CB33" s="755"/>
      <c r="CC33" s="755"/>
      <c r="CD33" s="755"/>
      <c r="CE33" s="755"/>
      <c r="CF33" s="755"/>
      <c r="CG33" s="755"/>
      <c r="CH33" s="755"/>
      <c r="CI33" s="755"/>
      <c r="CJ33" s="755"/>
      <c r="CK33" s="755"/>
      <c r="CL33" s="755"/>
      <c r="CM33" s="755"/>
      <c r="CN33" s="755"/>
      <c r="CO33" s="755"/>
      <c r="CP33" s="755"/>
      <c r="CQ33" s="755"/>
      <c r="CR33" s="755"/>
      <c r="CS33" s="755"/>
      <c r="CT33" s="755"/>
      <c r="CU33" s="755"/>
      <c r="CV33" s="755"/>
      <c r="CW33" s="755"/>
      <c r="CY33" s="934" t="s">
        <v>1031</v>
      </c>
      <c r="CZ33" s="973"/>
      <c r="DA33" s="3871">
        <f t="shared" ca="1" si="4"/>
        <v>9.922207489897425E-2</v>
      </c>
      <c r="DB33" s="3872"/>
      <c r="DC33" s="1059">
        <f t="shared" ca="1" si="5"/>
        <v>0</v>
      </c>
      <c r="DD33" s="1060">
        <f t="shared" ca="1" si="5"/>
        <v>0</v>
      </c>
      <c r="DE33" s="1060">
        <f t="shared" ca="1" si="5"/>
        <v>0</v>
      </c>
      <c r="DF33" s="1060">
        <f t="shared" ca="1" si="5"/>
        <v>0</v>
      </c>
      <c r="DG33" s="1060">
        <f t="shared" ca="1" si="5"/>
        <v>0</v>
      </c>
      <c r="DH33" s="1061">
        <f t="shared" ca="1" si="5"/>
        <v>0</v>
      </c>
      <c r="DI33" s="1062">
        <f t="shared" ca="1" si="5"/>
        <v>0</v>
      </c>
    </row>
    <row r="34" spans="1:113" ht="15.9" customHeight="1" x14ac:dyDescent="0.25">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c r="AA34" s="755"/>
      <c r="AB34" s="755"/>
      <c r="AC34" s="755"/>
      <c r="AD34" s="755"/>
      <c r="AE34" s="755"/>
      <c r="AF34" s="755"/>
      <c r="AG34" s="755"/>
      <c r="AH34" s="755"/>
      <c r="AI34" s="755"/>
      <c r="AJ34" s="755"/>
      <c r="AK34" s="755"/>
      <c r="AL34" s="755"/>
      <c r="AM34" s="755"/>
      <c r="AN34" s="755"/>
      <c r="AO34" s="755"/>
      <c r="AP34" s="755"/>
      <c r="AQ34" s="755"/>
      <c r="AR34" s="755"/>
      <c r="AS34" s="755"/>
      <c r="AT34" s="755"/>
      <c r="AU34" s="755"/>
      <c r="AV34" s="755"/>
      <c r="AW34" s="755"/>
      <c r="AX34" s="755"/>
      <c r="AY34" s="755"/>
      <c r="AZ34" s="755"/>
      <c r="BA34" s="755"/>
      <c r="BB34" s="755"/>
      <c r="BC34" s="755"/>
      <c r="BD34" s="755"/>
      <c r="BE34" s="755"/>
      <c r="BF34" s="755"/>
      <c r="BG34" s="755"/>
      <c r="BH34" s="755"/>
      <c r="BI34" s="755"/>
      <c r="BJ34" s="755"/>
      <c r="BK34" s="755"/>
      <c r="BL34" s="755"/>
      <c r="BM34" s="755"/>
      <c r="BN34" s="755"/>
      <c r="BO34" s="755"/>
      <c r="BP34" s="755"/>
      <c r="BQ34" s="755"/>
      <c r="BR34" s="755"/>
      <c r="BS34" s="755"/>
      <c r="BT34" s="755"/>
      <c r="BU34" s="755"/>
      <c r="BV34" s="755"/>
      <c r="BW34" s="755"/>
      <c r="BX34" s="755"/>
      <c r="BY34" s="755"/>
      <c r="BZ34" s="755"/>
      <c r="CA34" s="755"/>
      <c r="CB34" s="755"/>
      <c r="CC34" s="755"/>
      <c r="CD34" s="755"/>
      <c r="CE34" s="755"/>
      <c r="CF34" s="755"/>
      <c r="CG34" s="755"/>
      <c r="CH34" s="755"/>
      <c r="CI34" s="755"/>
      <c r="CJ34" s="755"/>
      <c r="CK34" s="755"/>
      <c r="CL34" s="755"/>
      <c r="CM34" s="755"/>
      <c r="CN34" s="755"/>
      <c r="CO34" s="755"/>
      <c r="CP34" s="755"/>
      <c r="CQ34" s="755"/>
      <c r="CR34" s="755"/>
      <c r="CS34" s="755"/>
      <c r="CT34" s="755"/>
      <c r="CU34" s="755"/>
      <c r="CV34" s="755"/>
      <c r="CW34" s="755"/>
      <c r="CY34" s="934" t="s">
        <v>769</v>
      </c>
      <c r="CZ34" s="973"/>
      <c r="DA34" s="3871">
        <f t="shared" ca="1" si="4"/>
        <v>9.922207489897425E-2</v>
      </c>
      <c r="DB34" s="3872"/>
      <c r="DC34" s="1059">
        <f t="shared" ca="1" si="5"/>
        <v>0</v>
      </c>
      <c r="DD34" s="1060">
        <f t="shared" ca="1" si="5"/>
        <v>0</v>
      </c>
      <c r="DE34" s="1060">
        <f t="shared" ca="1" si="5"/>
        <v>0</v>
      </c>
      <c r="DF34" s="1060">
        <f t="shared" ca="1" si="5"/>
        <v>0</v>
      </c>
      <c r="DG34" s="1060">
        <f t="shared" ca="1" si="5"/>
        <v>0</v>
      </c>
      <c r="DH34" s="1061">
        <f t="shared" ca="1" si="5"/>
        <v>0</v>
      </c>
      <c r="DI34" s="1062">
        <f t="shared" ca="1" si="5"/>
        <v>0</v>
      </c>
    </row>
    <row r="35" spans="1:113" ht="15.9" customHeight="1" x14ac:dyDescent="0.25">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c r="AA35" s="755"/>
      <c r="AB35" s="755"/>
      <c r="AC35" s="755"/>
      <c r="AD35" s="755"/>
      <c r="AE35" s="755"/>
      <c r="AF35" s="755"/>
      <c r="AG35" s="755"/>
      <c r="AH35" s="755"/>
      <c r="AI35" s="755"/>
      <c r="AJ35" s="755"/>
      <c r="AK35" s="755"/>
      <c r="AL35" s="755"/>
      <c r="AM35" s="755"/>
      <c r="AN35" s="755"/>
      <c r="AO35" s="755"/>
      <c r="AP35" s="755"/>
      <c r="AQ35" s="755"/>
      <c r="AR35" s="755"/>
      <c r="AS35" s="755"/>
      <c r="AT35" s="755"/>
      <c r="AU35" s="755"/>
      <c r="AV35" s="755"/>
      <c r="AW35" s="755"/>
      <c r="AX35" s="755"/>
      <c r="AY35" s="755"/>
      <c r="AZ35" s="755"/>
      <c r="BA35" s="755"/>
      <c r="BB35" s="755"/>
      <c r="BC35" s="755"/>
      <c r="BD35" s="755"/>
      <c r="BE35" s="755"/>
      <c r="BF35" s="755"/>
      <c r="BG35" s="755"/>
      <c r="BH35" s="755"/>
      <c r="BI35" s="755"/>
      <c r="BJ35" s="755"/>
      <c r="BK35" s="755"/>
      <c r="BL35" s="755"/>
      <c r="BM35" s="755"/>
      <c r="BN35" s="755"/>
      <c r="BO35" s="755"/>
      <c r="BP35" s="755"/>
      <c r="BQ35" s="755"/>
      <c r="BR35" s="755"/>
      <c r="BS35" s="755"/>
      <c r="BT35" s="755"/>
      <c r="BU35" s="755"/>
      <c r="BV35" s="755"/>
      <c r="BW35" s="755"/>
      <c r="BX35" s="755"/>
      <c r="BY35" s="755"/>
      <c r="BZ35" s="755"/>
      <c r="CA35" s="755"/>
      <c r="CB35" s="755"/>
      <c r="CC35" s="755"/>
      <c r="CD35" s="755"/>
      <c r="CE35" s="755"/>
      <c r="CF35" s="755"/>
      <c r="CG35" s="755"/>
      <c r="CH35" s="755"/>
      <c r="CI35" s="755"/>
      <c r="CJ35" s="755"/>
      <c r="CK35" s="755"/>
      <c r="CL35" s="755"/>
      <c r="CM35" s="755"/>
      <c r="CN35" s="755"/>
      <c r="CO35" s="755"/>
      <c r="CP35" s="755"/>
      <c r="CQ35" s="755"/>
      <c r="CR35" s="755"/>
      <c r="CS35" s="755"/>
      <c r="CT35" s="755"/>
      <c r="CU35" s="755"/>
      <c r="CV35" s="755"/>
      <c r="CW35" s="755"/>
      <c r="CY35" s="934" t="s">
        <v>776</v>
      </c>
      <c r="CZ35" s="973"/>
      <c r="DA35" s="3871">
        <f t="shared" ca="1" si="4"/>
        <v>9.922207489897425E-2</v>
      </c>
      <c r="DB35" s="3872"/>
      <c r="DC35" s="1059">
        <f t="shared" ca="1" si="5"/>
        <v>0</v>
      </c>
      <c r="DD35" s="1060">
        <f t="shared" ca="1" si="5"/>
        <v>0</v>
      </c>
      <c r="DE35" s="1060">
        <f t="shared" ca="1" si="5"/>
        <v>0</v>
      </c>
      <c r="DF35" s="1060">
        <f t="shared" ca="1" si="5"/>
        <v>0</v>
      </c>
      <c r="DG35" s="1060">
        <f t="shared" ca="1" si="5"/>
        <v>0</v>
      </c>
      <c r="DH35" s="1061">
        <f t="shared" ca="1" si="5"/>
        <v>0</v>
      </c>
      <c r="DI35" s="1062">
        <f t="shared" ca="1" si="5"/>
        <v>0</v>
      </c>
    </row>
    <row r="36" spans="1:113" ht="15.9" customHeight="1" x14ac:dyDescent="0.25">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c r="AA36" s="755"/>
      <c r="AB36" s="755"/>
      <c r="AC36" s="755"/>
      <c r="AD36" s="755"/>
      <c r="AE36" s="755"/>
      <c r="AF36" s="755"/>
      <c r="AG36" s="755"/>
      <c r="AH36" s="755"/>
      <c r="AI36" s="755"/>
      <c r="AJ36" s="755"/>
      <c r="AK36" s="755"/>
      <c r="AL36" s="755"/>
      <c r="AM36" s="755"/>
      <c r="AN36" s="755"/>
      <c r="AO36" s="755"/>
      <c r="AP36" s="755"/>
      <c r="AQ36" s="755"/>
      <c r="AR36" s="755"/>
      <c r="AS36" s="755"/>
      <c r="AT36" s="755"/>
      <c r="AU36" s="755"/>
      <c r="AV36" s="755"/>
      <c r="AW36" s="755"/>
      <c r="AX36" s="755"/>
      <c r="AY36" s="755"/>
      <c r="AZ36" s="755"/>
      <c r="BA36" s="755"/>
      <c r="BB36" s="755"/>
      <c r="BC36" s="755"/>
      <c r="BD36" s="755"/>
      <c r="BE36" s="755"/>
      <c r="BF36" s="755"/>
      <c r="BG36" s="755"/>
      <c r="BH36" s="755"/>
      <c r="BI36" s="755"/>
      <c r="BJ36" s="755"/>
      <c r="BK36" s="755"/>
      <c r="BL36" s="755"/>
      <c r="BM36" s="755"/>
      <c r="BN36" s="755"/>
      <c r="BO36" s="755"/>
      <c r="BP36" s="755"/>
      <c r="BQ36" s="755"/>
      <c r="BR36" s="755"/>
      <c r="BS36" s="755"/>
      <c r="BT36" s="755"/>
      <c r="BU36" s="755"/>
      <c r="BV36" s="755"/>
      <c r="BW36" s="755"/>
      <c r="BX36" s="755"/>
      <c r="BY36" s="755"/>
      <c r="BZ36" s="755"/>
      <c r="CA36" s="755"/>
      <c r="CB36" s="755"/>
      <c r="CC36" s="755"/>
      <c r="CD36" s="755"/>
      <c r="CE36" s="755"/>
      <c r="CF36" s="755"/>
      <c r="CG36" s="755"/>
      <c r="CH36" s="755"/>
      <c r="CI36" s="755"/>
      <c r="CJ36" s="755"/>
      <c r="CK36" s="755"/>
      <c r="CL36" s="755"/>
      <c r="CM36" s="755"/>
      <c r="CN36" s="755"/>
      <c r="CO36" s="755"/>
      <c r="CP36" s="755"/>
      <c r="CQ36" s="755"/>
      <c r="CR36" s="755"/>
      <c r="CS36" s="755"/>
      <c r="CT36" s="755"/>
      <c r="CU36" s="755"/>
      <c r="CV36" s="755"/>
      <c r="CW36" s="755"/>
      <c r="CY36" s="934" t="s">
        <v>777</v>
      </c>
      <c r="CZ36" s="973"/>
      <c r="DA36" s="3871">
        <f t="shared" ca="1" si="4"/>
        <v>9.922207489897425E-2</v>
      </c>
      <c r="DB36" s="3872"/>
      <c r="DC36" s="1059">
        <f t="shared" ca="1" si="5"/>
        <v>0</v>
      </c>
      <c r="DD36" s="1060">
        <f t="shared" ca="1" si="5"/>
        <v>0</v>
      </c>
      <c r="DE36" s="1060">
        <f t="shared" ca="1" si="5"/>
        <v>0</v>
      </c>
      <c r="DF36" s="1060">
        <f t="shared" ca="1" si="5"/>
        <v>0</v>
      </c>
      <c r="DG36" s="1060">
        <f t="shared" ca="1" si="5"/>
        <v>0</v>
      </c>
      <c r="DH36" s="1061">
        <f t="shared" ca="1" si="5"/>
        <v>0</v>
      </c>
      <c r="DI36" s="1062">
        <f t="shared" ca="1" si="5"/>
        <v>0</v>
      </c>
    </row>
    <row r="37" spans="1:113" ht="15.9" customHeight="1" x14ac:dyDescent="0.25">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c r="AA37" s="755"/>
      <c r="AB37" s="755"/>
      <c r="AC37" s="755"/>
      <c r="AD37" s="755"/>
      <c r="AE37" s="755"/>
      <c r="AF37" s="755"/>
      <c r="AG37" s="755"/>
      <c r="AH37" s="755"/>
      <c r="AI37" s="755"/>
      <c r="AJ37" s="755"/>
      <c r="AK37" s="755"/>
      <c r="AL37" s="755"/>
      <c r="AM37" s="755"/>
      <c r="AN37" s="755"/>
      <c r="AO37" s="755"/>
      <c r="AP37" s="755"/>
      <c r="AQ37" s="755"/>
      <c r="AR37" s="755"/>
      <c r="AS37" s="755"/>
      <c r="AT37" s="755"/>
      <c r="AU37" s="755"/>
      <c r="AV37" s="755"/>
      <c r="AW37" s="755"/>
      <c r="AX37" s="755"/>
      <c r="AY37" s="755"/>
      <c r="AZ37" s="755"/>
      <c r="BA37" s="755"/>
      <c r="BB37" s="755"/>
      <c r="BC37" s="755"/>
      <c r="BD37" s="755"/>
      <c r="BE37" s="755"/>
      <c r="BF37" s="755"/>
      <c r="BG37" s="755"/>
      <c r="BH37" s="755"/>
      <c r="BI37" s="755"/>
      <c r="BJ37" s="755"/>
      <c r="BK37" s="755"/>
      <c r="BL37" s="755"/>
      <c r="BM37" s="755"/>
      <c r="BN37" s="755"/>
      <c r="BO37" s="755"/>
      <c r="BP37" s="755"/>
      <c r="BQ37" s="755"/>
      <c r="BR37" s="755"/>
      <c r="BS37" s="755"/>
      <c r="BT37" s="755"/>
      <c r="BU37" s="755"/>
      <c r="BV37" s="755"/>
      <c r="BW37" s="755"/>
      <c r="BX37" s="755"/>
      <c r="BY37" s="755"/>
      <c r="BZ37" s="755"/>
      <c r="CA37" s="755"/>
      <c r="CB37" s="755"/>
      <c r="CC37" s="755"/>
      <c r="CD37" s="755"/>
      <c r="CE37" s="755"/>
      <c r="CF37" s="755"/>
      <c r="CG37" s="755"/>
      <c r="CH37" s="755"/>
      <c r="CI37" s="755"/>
      <c r="CJ37" s="755"/>
      <c r="CK37" s="755"/>
      <c r="CL37" s="755"/>
      <c r="CM37" s="755"/>
      <c r="CN37" s="755"/>
      <c r="CO37" s="755"/>
      <c r="CP37" s="755"/>
      <c r="CQ37" s="755"/>
      <c r="CR37" s="755"/>
      <c r="CS37" s="755"/>
      <c r="CT37" s="755"/>
      <c r="CU37" s="755"/>
      <c r="CV37" s="755"/>
      <c r="CW37" s="755"/>
      <c r="CY37" s="934" t="s">
        <v>1032</v>
      </c>
      <c r="CZ37" s="973"/>
      <c r="DA37" s="3871">
        <f t="shared" ca="1" si="4"/>
        <v>9.922207489897425E-2</v>
      </c>
      <c r="DB37" s="3872"/>
      <c r="DC37" s="1059">
        <f t="shared" ca="1" si="5"/>
        <v>0</v>
      </c>
      <c r="DD37" s="1060">
        <f t="shared" ca="1" si="5"/>
        <v>0</v>
      </c>
      <c r="DE37" s="1060">
        <f t="shared" ca="1" si="5"/>
        <v>0</v>
      </c>
      <c r="DF37" s="1060">
        <f t="shared" ca="1" si="5"/>
        <v>0</v>
      </c>
      <c r="DG37" s="1060">
        <f t="shared" ca="1" si="5"/>
        <v>0</v>
      </c>
      <c r="DH37" s="1061">
        <f t="shared" ca="1" si="5"/>
        <v>0</v>
      </c>
      <c r="DI37" s="1062">
        <f t="shared" ca="1" si="5"/>
        <v>0</v>
      </c>
    </row>
    <row r="38" spans="1:113" ht="15.9" customHeight="1" x14ac:dyDescent="0.25">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c r="AA38" s="755"/>
      <c r="AB38" s="755"/>
      <c r="AC38" s="755"/>
      <c r="AD38" s="755"/>
      <c r="AE38" s="755"/>
      <c r="AF38" s="755"/>
      <c r="AG38" s="755"/>
      <c r="AH38" s="755"/>
      <c r="AI38" s="755"/>
      <c r="AJ38" s="755"/>
      <c r="AK38" s="755"/>
      <c r="AL38" s="755"/>
      <c r="AM38" s="755"/>
      <c r="AN38" s="755"/>
      <c r="AO38" s="755"/>
      <c r="AP38" s="755"/>
      <c r="AQ38" s="755"/>
      <c r="AR38" s="755"/>
      <c r="AS38" s="755"/>
      <c r="AT38" s="755"/>
      <c r="AU38" s="755"/>
      <c r="AV38" s="755"/>
      <c r="AW38" s="755"/>
      <c r="AX38" s="755"/>
      <c r="AY38" s="755"/>
      <c r="AZ38" s="755"/>
      <c r="BA38" s="755"/>
      <c r="BB38" s="755"/>
      <c r="BC38" s="755"/>
      <c r="BD38" s="755"/>
      <c r="BE38" s="755"/>
      <c r="BF38" s="755"/>
      <c r="BG38" s="755"/>
      <c r="BH38" s="755"/>
      <c r="BI38" s="755"/>
      <c r="BJ38" s="755"/>
      <c r="BK38" s="755"/>
      <c r="BL38" s="755"/>
      <c r="BM38" s="755"/>
      <c r="BN38" s="755"/>
      <c r="BO38" s="755"/>
      <c r="BP38" s="755"/>
      <c r="BQ38" s="755"/>
      <c r="BR38" s="755"/>
      <c r="BS38" s="755"/>
      <c r="BT38" s="755"/>
      <c r="BU38" s="755"/>
      <c r="BV38" s="755"/>
      <c r="BW38" s="755"/>
      <c r="BX38" s="755"/>
      <c r="BY38" s="755"/>
      <c r="BZ38" s="755"/>
      <c r="CA38" s="755"/>
      <c r="CB38" s="755"/>
      <c r="CC38" s="755"/>
      <c r="CD38" s="755"/>
      <c r="CE38" s="755"/>
      <c r="CF38" s="755"/>
      <c r="CG38" s="755"/>
      <c r="CH38" s="755"/>
      <c r="CI38" s="755"/>
      <c r="CJ38" s="755"/>
      <c r="CK38" s="755"/>
      <c r="CL38" s="755"/>
      <c r="CM38" s="755"/>
      <c r="CN38" s="755"/>
      <c r="CO38" s="755"/>
      <c r="CP38" s="755"/>
      <c r="CQ38" s="755"/>
      <c r="CR38" s="755"/>
      <c r="CS38" s="755"/>
      <c r="CT38" s="755"/>
      <c r="CU38" s="755"/>
      <c r="CV38" s="755"/>
      <c r="CW38" s="755"/>
      <c r="CZ38" s="973"/>
      <c r="DA38" s="3871">
        <f t="shared" ca="1" si="4"/>
        <v>9.922207489897425E-2</v>
      </c>
      <c r="DB38" s="3872"/>
      <c r="DC38" s="1059">
        <f t="shared" ca="1" si="5"/>
        <v>0</v>
      </c>
      <c r="DD38" s="1060">
        <f t="shared" ca="1" si="5"/>
        <v>0</v>
      </c>
      <c r="DE38" s="1060">
        <f t="shared" ca="1" si="5"/>
        <v>0</v>
      </c>
      <c r="DF38" s="1060">
        <f t="shared" ca="1" si="5"/>
        <v>0</v>
      </c>
      <c r="DG38" s="1060">
        <f t="shared" ca="1" si="5"/>
        <v>0</v>
      </c>
      <c r="DH38" s="1061">
        <f t="shared" ca="1" si="5"/>
        <v>0</v>
      </c>
      <c r="DI38" s="1062">
        <f t="shared" ca="1" si="5"/>
        <v>0</v>
      </c>
    </row>
    <row r="39" spans="1:113" ht="15.9" customHeight="1" x14ac:dyDescent="0.25">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c r="AA39" s="755"/>
      <c r="AB39" s="755"/>
      <c r="AC39" s="755"/>
      <c r="AD39" s="755"/>
      <c r="AE39" s="755"/>
      <c r="AF39" s="755"/>
      <c r="AG39" s="755"/>
      <c r="AH39" s="755"/>
      <c r="AI39" s="755"/>
      <c r="AJ39" s="755"/>
      <c r="AK39" s="755"/>
      <c r="AL39" s="755"/>
      <c r="AM39" s="755"/>
      <c r="AN39" s="755"/>
      <c r="AO39" s="755"/>
      <c r="AP39" s="755"/>
      <c r="AQ39" s="755"/>
      <c r="AR39" s="755"/>
      <c r="AS39" s="755"/>
      <c r="AT39" s="755"/>
      <c r="AU39" s="755"/>
      <c r="AV39" s="755"/>
      <c r="AW39" s="755"/>
      <c r="AX39" s="755"/>
      <c r="AY39" s="755"/>
      <c r="AZ39" s="755"/>
      <c r="BA39" s="755"/>
      <c r="BB39" s="755"/>
      <c r="BC39" s="755"/>
      <c r="BD39" s="755"/>
      <c r="BE39" s="755"/>
      <c r="BF39" s="755"/>
      <c r="BG39" s="755"/>
      <c r="BH39" s="755"/>
      <c r="BI39" s="755"/>
      <c r="BJ39" s="755"/>
      <c r="BK39" s="755"/>
      <c r="BL39" s="755"/>
      <c r="BM39" s="755"/>
      <c r="BN39" s="755"/>
      <c r="BO39" s="755"/>
      <c r="BP39" s="755"/>
      <c r="BQ39" s="755"/>
      <c r="BR39" s="755"/>
      <c r="BS39" s="755"/>
      <c r="BT39" s="755"/>
      <c r="BU39" s="755"/>
      <c r="BV39" s="755"/>
      <c r="BW39" s="755"/>
      <c r="BX39" s="755"/>
      <c r="BY39" s="755"/>
      <c r="BZ39" s="755"/>
      <c r="CA39" s="755"/>
      <c r="CB39" s="755"/>
      <c r="CC39" s="755"/>
      <c r="CD39" s="755"/>
      <c r="CE39" s="755"/>
      <c r="CF39" s="755"/>
      <c r="CG39" s="755"/>
      <c r="CH39" s="755"/>
      <c r="CI39" s="755"/>
      <c r="CJ39" s="755"/>
      <c r="CK39" s="755"/>
      <c r="CL39" s="755"/>
      <c r="CM39" s="755"/>
      <c r="CN39" s="755"/>
      <c r="CO39" s="755"/>
      <c r="CP39" s="755"/>
      <c r="CQ39" s="755"/>
      <c r="CR39" s="755"/>
      <c r="CS39" s="755"/>
      <c r="CT39" s="755"/>
      <c r="CU39" s="755"/>
      <c r="CV39" s="755"/>
      <c r="CW39" s="755"/>
      <c r="CZ39" s="973"/>
      <c r="DA39" s="3871">
        <f t="shared" ca="1" si="4"/>
        <v>9.922207489897425E-2</v>
      </c>
      <c r="DB39" s="3872"/>
      <c r="DC39" s="1059">
        <f t="shared" ca="1" si="5"/>
        <v>0</v>
      </c>
      <c r="DD39" s="1060">
        <f t="shared" ca="1" si="5"/>
        <v>0</v>
      </c>
      <c r="DE39" s="1060">
        <f t="shared" ca="1" si="5"/>
        <v>0</v>
      </c>
      <c r="DF39" s="1060">
        <f t="shared" ca="1" si="5"/>
        <v>0</v>
      </c>
      <c r="DG39" s="1060">
        <f t="shared" ca="1" si="5"/>
        <v>0</v>
      </c>
      <c r="DH39" s="1061">
        <f t="shared" ca="1" si="5"/>
        <v>0</v>
      </c>
      <c r="DI39" s="1062">
        <f t="shared" ca="1" si="5"/>
        <v>0</v>
      </c>
    </row>
    <row r="40" spans="1:113" ht="15.9" customHeight="1" x14ac:dyDescent="0.25">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c r="AA40" s="755"/>
      <c r="AB40" s="755"/>
      <c r="AC40" s="755"/>
      <c r="AD40" s="755"/>
      <c r="AE40" s="755"/>
      <c r="AF40" s="755"/>
      <c r="AG40" s="755"/>
      <c r="AH40" s="755"/>
      <c r="AI40" s="755"/>
      <c r="AJ40" s="755"/>
      <c r="AK40" s="755"/>
      <c r="AL40" s="755"/>
      <c r="AM40" s="755"/>
      <c r="AN40" s="755"/>
      <c r="AO40" s="755"/>
      <c r="AP40" s="755"/>
      <c r="AQ40" s="755"/>
      <c r="AR40" s="755"/>
      <c r="AS40" s="755"/>
      <c r="AT40" s="755"/>
      <c r="AU40" s="755"/>
      <c r="AV40" s="755"/>
      <c r="AW40" s="755"/>
      <c r="AX40" s="755"/>
      <c r="AY40" s="755"/>
      <c r="AZ40" s="755"/>
      <c r="BA40" s="755"/>
      <c r="BB40" s="755"/>
      <c r="BC40" s="755"/>
      <c r="BD40" s="755"/>
      <c r="BE40" s="755"/>
      <c r="BF40" s="755"/>
      <c r="BG40" s="755"/>
      <c r="BH40" s="755"/>
      <c r="BI40" s="755"/>
      <c r="BJ40" s="755"/>
      <c r="BK40" s="755"/>
      <c r="BL40" s="755"/>
      <c r="BM40" s="755"/>
      <c r="BN40" s="755"/>
      <c r="BO40" s="755"/>
      <c r="BP40" s="755"/>
      <c r="BQ40" s="755"/>
      <c r="BR40" s="755"/>
      <c r="BS40" s="755"/>
      <c r="BT40" s="755"/>
      <c r="BU40" s="755"/>
      <c r="BV40" s="755"/>
      <c r="BW40" s="755"/>
      <c r="BX40" s="755"/>
      <c r="BY40" s="755"/>
      <c r="BZ40" s="755"/>
      <c r="CA40" s="755"/>
      <c r="CB40" s="755"/>
      <c r="CC40" s="755"/>
      <c r="CD40" s="755"/>
      <c r="CE40" s="755"/>
      <c r="CF40" s="755"/>
      <c r="CG40" s="755"/>
      <c r="CH40" s="755"/>
      <c r="CI40" s="755"/>
      <c r="CJ40" s="755"/>
      <c r="CK40" s="755"/>
      <c r="CL40" s="755"/>
      <c r="CM40" s="755"/>
      <c r="CN40" s="755"/>
      <c r="CO40" s="755"/>
      <c r="CP40" s="755"/>
      <c r="CQ40" s="755"/>
      <c r="CR40" s="755"/>
      <c r="CS40" s="755"/>
      <c r="CT40" s="755"/>
      <c r="CU40" s="755"/>
      <c r="CV40" s="755"/>
      <c r="CW40" s="755"/>
      <c r="CZ40" s="973"/>
      <c r="DA40" s="3871">
        <f t="shared" ca="1" si="4"/>
        <v>9.922207489897425E-2</v>
      </c>
      <c r="DB40" s="3872"/>
      <c r="DC40" s="1059">
        <f t="shared" ca="1" si="5"/>
        <v>0</v>
      </c>
      <c r="DD40" s="1060">
        <f t="shared" ca="1" si="5"/>
        <v>0</v>
      </c>
      <c r="DE40" s="1060">
        <f t="shared" ca="1" si="5"/>
        <v>0</v>
      </c>
      <c r="DF40" s="1060">
        <f t="shared" ca="1" si="5"/>
        <v>0</v>
      </c>
      <c r="DG40" s="1060">
        <f t="shared" ca="1" si="5"/>
        <v>0</v>
      </c>
      <c r="DH40" s="1061">
        <f t="shared" ca="1" si="5"/>
        <v>0</v>
      </c>
      <c r="DI40" s="1062">
        <f t="shared" ca="1" si="5"/>
        <v>0</v>
      </c>
    </row>
    <row r="41" spans="1:113" ht="15.9" customHeight="1" x14ac:dyDescent="0.25">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c r="AA41" s="755"/>
      <c r="AB41" s="755"/>
      <c r="AC41" s="755"/>
      <c r="AD41" s="755"/>
      <c r="AE41" s="755"/>
      <c r="AF41" s="755"/>
      <c r="AG41" s="755"/>
      <c r="AH41" s="755"/>
      <c r="AI41" s="755"/>
      <c r="AJ41" s="755"/>
      <c r="AK41" s="755"/>
      <c r="AL41" s="755"/>
      <c r="AM41" s="755"/>
      <c r="AN41" s="755"/>
      <c r="AO41" s="755"/>
      <c r="AP41" s="755"/>
      <c r="AQ41" s="755"/>
      <c r="AR41" s="755"/>
      <c r="AS41" s="755"/>
      <c r="AT41" s="755"/>
      <c r="AU41" s="755"/>
      <c r="AV41" s="755"/>
      <c r="AW41" s="755"/>
      <c r="AX41" s="755"/>
      <c r="AY41" s="755"/>
      <c r="AZ41" s="755"/>
      <c r="BA41" s="755"/>
      <c r="BB41" s="755"/>
      <c r="BC41" s="755"/>
      <c r="BD41" s="755"/>
      <c r="BE41" s="755"/>
      <c r="BF41" s="755"/>
      <c r="BG41" s="755"/>
      <c r="BH41" s="755"/>
      <c r="BI41" s="755"/>
      <c r="BJ41" s="755"/>
      <c r="BK41" s="755"/>
      <c r="BL41" s="755"/>
      <c r="BM41" s="755"/>
      <c r="BN41" s="755"/>
      <c r="BO41" s="755"/>
      <c r="BP41" s="755"/>
      <c r="BQ41" s="755"/>
      <c r="BR41" s="755"/>
      <c r="BS41" s="755"/>
      <c r="BT41" s="755"/>
      <c r="BU41" s="755"/>
      <c r="BV41" s="755"/>
      <c r="BW41" s="755"/>
      <c r="BX41" s="755"/>
      <c r="BY41" s="755"/>
      <c r="BZ41" s="755"/>
      <c r="CA41" s="755"/>
      <c r="CB41" s="755"/>
      <c r="CC41" s="755"/>
      <c r="CD41" s="755"/>
      <c r="CE41" s="755"/>
      <c r="CF41" s="755"/>
      <c r="CG41" s="755"/>
      <c r="CH41" s="755"/>
      <c r="CI41" s="755"/>
      <c r="CJ41" s="755"/>
      <c r="CK41" s="755"/>
      <c r="CL41" s="755"/>
      <c r="CM41" s="755"/>
      <c r="CN41" s="755"/>
      <c r="CO41" s="755"/>
      <c r="CP41" s="755"/>
      <c r="CQ41" s="755"/>
      <c r="CR41" s="755"/>
      <c r="CS41" s="755"/>
      <c r="CT41" s="755"/>
      <c r="CU41" s="755"/>
      <c r="CV41" s="755"/>
      <c r="CW41" s="755"/>
      <c r="CZ41" s="974"/>
      <c r="DA41" s="3867">
        <f t="shared" ca="1" si="4"/>
        <v>0</v>
      </c>
      <c r="DB41" s="3868"/>
      <c r="DC41" s="1063">
        <f t="shared" ca="1" si="5"/>
        <v>0</v>
      </c>
      <c r="DD41" s="1064">
        <f t="shared" ca="1" si="5"/>
        <v>0</v>
      </c>
      <c r="DE41" s="1064">
        <f t="shared" ca="1" si="5"/>
        <v>0</v>
      </c>
      <c r="DF41" s="1064">
        <f t="shared" ca="1" si="5"/>
        <v>0</v>
      </c>
      <c r="DG41" s="1064">
        <f t="shared" ca="1" si="5"/>
        <v>0</v>
      </c>
      <c r="DH41" s="1065">
        <f t="shared" ca="1" si="5"/>
        <v>0</v>
      </c>
      <c r="DI41" s="1066">
        <f t="shared" ca="1" si="5"/>
        <v>0</v>
      </c>
    </row>
    <row r="42" spans="1:113" ht="17.25" customHeight="1" x14ac:dyDescent="0.25">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c r="AA42" s="755"/>
      <c r="AB42" s="755"/>
      <c r="AC42" s="755"/>
      <c r="AD42" s="755"/>
      <c r="AE42" s="755"/>
      <c r="AF42" s="755"/>
      <c r="AG42" s="755"/>
      <c r="AH42" s="755"/>
      <c r="AI42" s="755"/>
      <c r="AJ42" s="755"/>
      <c r="AK42" s="755"/>
      <c r="AL42" s="755"/>
      <c r="AM42" s="755"/>
      <c r="AN42" s="755"/>
      <c r="AO42" s="755"/>
      <c r="AP42" s="755"/>
      <c r="AQ42" s="755"/>
      <c r="AR42" s="755"/>
      <c r="AS42" s="755"/>
      <c r="AT42" s="755"/>
      <c r="AU42" s="755"/>
      <c r="AV42" s="755"/>
      <c r="AW42" s="755"/>
      <c r="AX42" s="755"/>
      <c r="AY42" s="755"/>
      <c r="AZ42" s="755"/>
      <c r="BA42" s="755"/>
      <c r="BB42" s="755"/>
      <c r="BC42" s="755"/>
      <c r="BD42" s="755"/>
      <c r="BE42" s="755"/>
      <c r="BF42" s="755"/>
      <c r="BG42" s="755"/>
      <c r="BH42" s="755"/>
      <c r="BI42" s="755"/>
      <c r="BJ42" s="755"/>
      <c r="BK42" s="755"/>
      <c r="BL42" s="755"/>
      <c r="BM42" s="755"/>
      <c r="BN42" s="755"/>
      <c r="BO42" s="755"/>
      <c r="BP42" s="755"/>
      <c r="BQ42" s="755"/>
      <c r="BR42" s="755"/>
      <c r="BS42" s="755"/>
      <c r="BT42" s="755"/>
      <c r="BU42" s="755"/>
      <c r="BV42" s="755"/>
      <c r="BW42" s="755"/>
      <c r="BX42" s="755"/>
      <c r="BY42" s="755"/>
      <c r="BZ42" s="755"/>
      <c r="CA42" s="755"/>
      <c r="CB42" s="755"/>
      <c r="CC42" s="755"/>
      <c r="CD42" s="755"/>
      <c r="CE42" s="755"/>
      <c r="CF42" s="755"/>
      <c r="CG42" s="755"/>
      <c r="CH42" s="755"/>
      <c r="CI42" s="755"/>
      <c r="CJ42" s="755"/>
      <c r="CK42" s="755"/>
      <c r="CL42" s="755"/>
      <c r="CM42" s="755"/>
      <c r="CN42" s="755"/>
      <c r="CO42" s="755"/>
      <c r="CP42" s="755"/>
      <c r="CQ42" s="755"/>
      <c r="CR42" s="755"/>
      <c r="CS42" s="755"/>
      <c r="CT42" s="755"/>
      <c r="CU42" s="755"/>
      <c r="CV42" s="755"/>
      <c r="CW42" s="755"/>
      <c r="CZ42" s="929"/>
      <c r="DA42" s="930"/>
      <c r="DB42" s="930" t="s">
        <v>751</v>
      </c>
      <c r="DC42" s="925"/>
      <c r="DD42" s="925"/>
      <c r="DE42" s="925"/>
      <c r="DF42" s="925"/>
      <c r="DG42" s="925"/>
      <c r="DH42" s="925"/>
      <c r="DI42" s="926"/>
    </row>
    <row r="43" spans="1:113" x14ac:dyDescent="0.25">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c r="AA43" s="755"/>
      <c r="AB43" s="755"/>
      <c r="AC43" s="755"/>
      <c r="AD43" s="755"/>
      <c r="AE43" s="755"/>
      <c r="AF43" s="755"/>
      <c r="AG43" s="755"/>
      <c r="AH43" s="755"/>
      <c r="AI43" s="755"/>
      <c r="AJ43" s="755"/>
      <c r="AK43" s="755"/>
      <c r="AL43" s="755"/>
      <c r="AM43" s="755"/>
      <c r="AN43" s="755"/>
      <c r="AO43" s="755"/>
      <c r="AP43" s="755"/>
      <c r="AQ43" s="755"/>
      <c r="AR43" s="755"/>
      <c r="AS43" s="755"/>
      <c r="AT43" s="755"/>
      <c r="AU43" s="755"/>
      <c r="AV43" s="755"/>
      <c r="AW43" s="755"/>
      <c r="AX43" s="755"/>
      <c r="AY43" s="755"/>
      <c r="AZ43" s="755"/>
      <c r="BA43" s="755"/>
      <c r="BB43" s="755"/>
      <c r="BC43" s="755"/>
      <c r="BD43" s="755"/>
      <c r="BE43" s="755"/>
      <c r="BF43" s="755"/>
      <c r="BG43" s="755"/>
      <c r="BH43" s="755"/>
      <c r="BI43" s="755"/>
      <c r="BJ43" s="755"/>
      <c r="BK43" s="755"/>
      <c r="BL43" s="755"/>
      <c r="BM43" s="755"/>
      <c r="BN43" s="755"/>
      <c r="BO43" s="755"/>
      <c r="BP43" s="755"/>
      <c r="BQ43" s="755"/>
      <c r="BR43" s="755"/>
      <c r="BS43" s="755"/>
      <c r="BT43" s="755"/>
      <c r="BU43" s="755"/>
      <c r="BV43" s="755"/>
      <c r="BW43" s="755"/>
      <c r="BX43" s="755"/>
      <c r="BY43" s="755"/>
      <c r="BZ43" s="755"/>
      <c r="CA43" s="755"/>
      <c r="CB43" s="755"/>
      <c r="CC43" s="755"/>
      <c r="CD43" s="755"/>
      <c r="CE43" s="755"/>
      <c r="CF43" s="755"/>
      <c r="CG43" s="755"/>
      <c r="CH43" s="755"/>
      <c r="CI43" s="755"/>
      <c r="CJ43" s="755"/>
      <c r="CK43" s="755"/>
      <c r="CL43" s="755"/>
      <c r="CM43" s="755"/>
      <c r="CN43" s="755"/>
      <c r="CO43" s="755"/>
      <c r="CP43" s="755"/>
      <c r="CQ43" s="755"/>
      <c r="CR43" s="755"/>
      <c r="CS43" s="755"/>
      <c r="CT43" s="755"/>
      <c r="CU43" s="755"/>
      <c r="CV43" s="755"/>
      <c r="CW43" s="755"/>
    </row>
    <row r="44" spans="1:113" x14ac:dyDescent="0.25">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c r="AA44" s="755"/>
      <c r="AB44" s="755"/>
      <c r="AC44" s="755"/>
      <c r="AD44" s="755"/>
      <c r="AE44" s="755"/>
      <c r="AF44" s="755"/>
      <c r="AG44" s="755"/>
      <c r="AH44" s="755"/>
      <c r="AI44" s="755"/>
      <c r="AJ44" s="755"/>
      <c r="AK44" s="755"/>
      <c r="AL44" s="755"/>
      <c r="AM44" s="755"/>
      <c r="AN44" s="755"/>
      <c r="AO44" s="755"/>
      <c r="AP44" s="755"/>
      <c r="AQ44" s="755"/>
      <c r="AR44" s="755"/>
      <c r="AS44" s="755"/>
      <c r="AT44" s="755"/>
      <c r="AU44" s="755"/>
      <c r="AV44" s="755"/>
      <c r="AW44" s="755"/>
      <c r="AX44" s="755"/>
      <c r="AY44" s="755"/>
      <c r="AZ44" s="755"/>
      <c r="BA44" s="755"/>
      <c r="BB44" s="755"/>
      <c r="BC44" s="755"/>
      <c r="BD44" s="755"/>
      <c r="BE44" s="755"/>
      <c r="BF44" s="755"/>
      <c r="BG44" s="755"/>
      <c r="BH44" s="755"/>
      <c r="BI44" s="755"/>
      <c r="BJ44" s="755"/>
      <c r="BK44" s="755"/>
      <c r="BL44" s="755"/>
      <c r="BM44" s="755"/>
      <c r="BN44" s="755"/>
      <c r="BO44" s="755"/>
      <c r="BP44" s="755"/>
      <c r="BQ44" s="755"/>
      <c r="BR44" s="755"/>
      <c r="BS44" s="755"/>
      <c r="BT44" s="755"/>
      <c r="BU44" s="755"/>
      <c r="BV44" s="755"/>
      <c r="BW44" s="755"/>
      <c r="BX44" s="755"/>
      <c r="BY44" s="755"/>
      <c r="BZ44" s="755"/>
      <c r="CA44" s="755"/>
      <c r="CB44" s="755"/>
      <c r="CC44" s="755"/>
      <c r="CD44" s="755"/>
      <c r="CE44" s="755"/>
      <c r="CF44" s="755"/>
      <c r="CG44" s="755"/>
      <c r="CH44" s="755"/>
      <c r="CI44" s="755"/>
      <c r="CJ44" s="755"/>
      <c r="CK44" s="755"/>
      <c r="CL44" s="755"/>
      <c r="CM44" s="755"/>
      <c r="CN44" s="755"/>
      <c r="CO44" s="755"/>
      <c r="CP44" s="755"/>
      <c r="CQ44" s="755"/>
      <c r="CR44" s="755"/>
      <c r="CS44" s="755"/>
      <c r="CT44" s="755"/>
      <c r="CU44" s="755"/>
      <c r="CV44" s="755"/>
      <c r="CW44" s="755"/>
    </row>
    <row r="45" spans="1:113" ht="21.75" customHeight="1" x14ac:dyDescent="0.3">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c r="AA45" s="755"/>
      <c r="AB45" s="755"/>
      <c r="AC45" s="755"/>
      <c r="AD45" s="755"/>
      <c r="AE45" s="755"/>
      <c r="AF45" s="755"/>
      <c r="AG45" s="755"/>
      <c r="AH45" s="755"/>
      <c r="AI45" s="755"/>
      <c r="AJ45" s="755"/>
      <c r="AK45" s="755"/>
      <c r="AL45" s="755"/>
      <c r="AM45" s="755"/>
      <c r="AN45" s="755"/>
      <c r="AO45" s="755"/>
      <c r="AP45" s="755"/>
      <c r="AQ45" s="755"/>
      <c r="AR45" s="755"/>
      <c r="AS45" s="755"/>
      <c r="AT45" s="755"/>
      <c r="AU45" s="755"/>
      <c r="AV45" s="755"/>
      <c r="AW45" s="755"/>
      <c r="AX45" s="755"/>
      <c r="AY45" s="755"/>
      <c r="AZ45" s="755"/>
      <c r="BA45" s="755"/>
      <c r="BB45" s="755"/>
      <c r="BC45" s="755"/>
      <c r="BD45" s="755"/>
      <c r="BE45" s="755"/>
      <c r="BF45" s="755"/>
      <c r="BG45" s="755"/>
      <c r="BH45" s="755"/>
      <c r="BI45" s="755"/>
      <c r="BJ45" s="755"/>
      <c r="BK45" s="755"/>
      <c r="BL45" s="755"/>
      <c r="BM45" s="755"/>
      <c r="BN45" s="755"/>
      <c r="BO45" s="755"/>
      <c r="BP45" s="755"/>
      <c r="BQ45" s="755"/>
      <c r="BR45" s="755"/>
      <c r="BS45" s="755"/>
      <c r="BT45" s="755"/>
      <c r="BU45" s="755"/>
      <c r="BV45" s="755"/>
      <c r="BW45" s="755"/>
      <c r="BX45" s="755"/>
      <c r="BY45" s="755"/>
      <c r="BZ45" s="755"/>
      <c r="CA45" s="1012" t="s">
        <v>851</v>
      </c>
      <c r="CB45" s="755"/>
      <c r="CC45" s="755"/>
      <c r="CD45" s="755"/>
      <c r="CE45" s="755"/>
      <c r="CF45" s="755"/>
      <c r="CG45" s="755"/>
      <c r="CH45" s="755"/>
      <c r="CI45" s="755"/>
      <c r="CJ45" s="1012" t="s">
        <v>852</v>
      </c>
      <c r="CK45" s="755"/>
      <c r="CL45" s="755"/>
      <c r="CM45" s="755"/>
      <c r="CN45" s="755"/>
      <c r="CO45" s="755"/>
      <c r="CP45" s="755"/>
      <c r="CQ45" s="755"/>
      <c r="CR45" s="755"/>
      <c r="CS45" s="755"/>
      <c r="CT45" s="755"/>
      <c r="CU45" s="755"/>
      <c r="CV45" s="755"/>
      <c r="CW45" s="755"/>
      <c r="CZ45" s="924" t="s">
        <v>2739</v>
      </c>
      <c r="DA45" s="924"/>
      <c r="DB45" s="924"/>
    </row>
    <row r="46" spans="1:113" ht="21.9" customHeight="1" thickBot="1" x14ac:dyDescent="0.3">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c r="AA46" s="755"/>
      <c r="AB46" s="755"/>
      <c r="AC46" s="755"/>
      <c r="AD46" s="755"/>
      <c r="AE46" s="755"/>
      <c r="AF46" s="755"/>
      <c r="AG46" s="755"/>
      <c r="AH46" s="755"/>
      <c r="AI46" s="755"/>
      <c r="AJ46" s="755"/>
      <c r="AK46" s="755"/>
      <c r="AL46" s="755"/>
      <c r="AM46" s="755"/>
      <c r="AN46" s="755"/>
      <c r="AO46" s="755"/>
      <c r="AP46" s="755"/>
      <c r="AQ46" s="755"/>
      <c r="AR46" s="755"/>
      <c r="AS46" s="755"/>
      <c r="AT46" s="755"/>
      <c r="AU46" s="755"/>
      <c r="AV46" s="755"/>
      <c r="AW46" s="755"/>
      <c r="AX46" s="755"/>
      <c r="AY46" s="755"/>
      <c r="AZ46" s="755"/>
      <c r="BA46" s="755"/>
      <c r="BB46" s="755"/>
      <c r="BC46" s="755"/>
      <c r="BD46" s="755"/>
      <c r="BE46" s="755"/>
      <c r="BF46" s="755"/>
      <c r="BG46" s="755"/>
      <c r="BH46" s="755"/>
      <c r="BI46" s="755"/>
      <c r="BJ46" s="755"/>
      <c r="BK46" s="755"/>
      <c r="BL46" s="755"/>
      <c r="BM46" s="755"/>
      <c r="BN46" s="755"/>
      <c r="BO46" s="755"/>
      <c r="BP46" s="755"/>
      <c r="BQ46" s="755"/>
      <c r="BR46" s="755"/>
      <c r="BS46" s="755"/>
      <c r="BT46" s="755"/>
      <c r="BU46" s="755"/>
      <c r="BV46" s="755"/>
      <c r="BW46" s="755"/>
      <c r="BX46" s="755"/>
      <c r="BY46" s="755"/>
      <c r="BZ46" s="755"/>
      <c r="CA46" s="1034" t="s">
        <v>130</v>
      </c>
      <c r="CB46" s="1035">
        <f>$CK$46</f>
        <v>99.99</v>
      </c>
      <c r="CC46" s="1033">
        <f>$CL$46</f>
        <v>99.99</v>
      </c>
      <c r="CD46" s="1033">
        <f>$CM$46</f>
        <v>99.99</v>
      </c>
      <c r="CE46" s="1033">
        <f>$CN$46</f>
        <v>99.99</v>
      </c>
      <c r="CF46" s="1033">
        <f>$CO$46</f>
        <v>99.99</v>
      </c>
      <c r="CG46" s="1033">
        <f>$CP$46</f>
        <v>99.99</v>
      </c>
      <c r="CH46" s="1033">
        <f>$CQ$46</f>
        <v>99.99</v>
      </c>
      <c r="CI46" s="755"/>
      <c r="CJ46" s="1034" t="s">
        <v>130</v>
      </c>
      <c r="CK46" s="1604">
        <f t="shared" ref="CK46:CQ46" si="6">IF(ISBLANK(DC18),99.99,DC18)</f>
        <v>99.99</v>
      </c>
      <c r="CL46" s="1605">
        <f t="shared" si="6"/>
        <v>99.99</v>
      </c>
      <c r="CM46" s="1605">
        <f t="shared" si="6"/>
        <v>99.99</v>
      </c>
      <c r="CN46" s="1605">
        <f t="shared" si="6"/>
        <v>99.99</v>
      </c>
      <c r="CO46" s="1605">
        <f t="shared" si="6"/>
        <v>99.99</v>
      </c>
      <c r="CP46" s="1605">
        <f t="shared" si="6"/>
        <v>99.99</v>
      </c>
      <c r="CQ46" s="1605">
        <f t="shared" si="6"/>
        <v>99.99</v>
      </c>
      <c r="CR46" s="755"/>
      <c r="CS46" s="755"/>
      <c r="CT46" s="755"/>
      <c r="CU46" s="755"/>
      <c r="CV46" s="755"/>
      <c r="CW46" s="755"/>
      <c r="CZ46" s="1095"/>
      <c r="DA46" s="3844" t="s">
        <v>130</v>
      </c>
      <c r="DB46" s="3844"/>
      <c r="DC46" s="2412">
        <f>DC$18</f>
        <v>0</v>
      </c>
      <c r="DD46" s="2412">
        <f t="shared" ref="DD46:DI46" si="7">DD$18</f>
        <v>0</v>
      </c>
      <c r="DE46" s="2412">
        <f t="shared" si="7"/>
        <v>0</v>
      </c>
      <c r="DF46" s="2412">
        <f t="shared" si="7"/>
        <v>0</v>
      </c>
      <c r="DG46" s="2412">
        <f t="shared" si="7"/>
        <v>0</v>
      </c>
      <c r="DH46" s="2412">
        <f t="shared" si="7"/>
        <v>0</v>
      </c>
      <c r="DI46" s="2412">
        <f t="shared" si="7"/>
        <v>0</v>
      </c>
    </row>
    <row r="47" spans="1:113" ht="24" customHeight="1" thickBot="1" x14ac:dyDescent="0.3">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c r="AA47" s="755"/>
      <c r="AB47" s="755"/>
      <c r="AC47" s="755"/>
      <c r="AD47" s="755"/>
      <c r="AE47" s="755"/>
      <c r="AF47" s="755"/>
      <c r="AG47" s="755"/>
      <c r="AH47" s="755"/>
      <c r="AI47" s="755"/>
      <c r="AJ47" s="755"/>
      <c r="AK47" s="755"/>
      <c r="AL47" s="755"/>
      <c r="AM47" s="755"/>
      <c r="AN47" s="755"/>
      <c r="AO47" s="755"/>
      <c r="AP47" s="755"/>
      <c r="AQ47" s="755"/>
      <c r="AR47" s="755"/>
      <c r="AS47" s="755"/>
      <c r="AT47" s="755"/>
      <c r="AU47" s="755"/>
      <c r="AV47" s="755"/>
      <c r="AW47" s="755"/>
      <c r="AX47" s="755"/>
      <c r="AY47" s="755"/>
      <c r="AZ47" s="755"/>
      <c r="BA47" s="755"/>
      <c r="BB47" s="755"/>
      <c r="BC47" s="755"/>
      <c r="BD47" s="755"/>
      <c r="BE47" s="755"/>
      <c r="BF47" s="755"/>
      <c r="BG47" s="755"/>
      <c r="BH47" s="755"/>
      <c r="BI47" s="755"/>
      <c r="BJ47" s="755"/>
      <c r="BK47" s="755"/>
      <c r="BL47" s="755"/>
      <c r="BM47" s="755"/>
      <c r="BN47" s="755"/>
      <c r="BO47" s="755"/>
      <c r="BP47" s="755"/>
      <c r="BQ47" s="755"/>
      <c r="BR47" s="755"/>
      <c r="BS47" s="755"/>
      <c r="BT47" s="755"/>
      <c r="BU47" s="755"/>
      <c r="BV47" s="755"/>
      <c r="BW47" s="755"/>
      <c r="BX47" s="755"/>
      <c r="BY47" s="755"/>
      <c r="BZ47" s="755"/>
      <c r="CA47" s="1030">
        <f t="shared" ref="CA47:CH47" si="8">SUM(CA48:CA62)</f>
        <v>0</v>
      </c>
      <c r="CB47" s="1031">
        <f t="shared" ca="1" si="8"/>
        <v>0</v>
      </c>
      <c r="CC47" s="1032">
        <f t="shared" ca="1" si="8"/>
        <v>0</v>
      </c>
      <c r="CD47" s="1032">
        <f t="shared" ca="1" si="8"/>
        <v>0</v>
      </c>
      <c r="CE47" s="1032">
        <f t="shared" ca="1" si="8"/>
        <v>0</v>
      </c>
      <c r="CF47" s="1032">
        <f t="shared" ca="1" si="8"/>
        <v>0</v>
      </c>
      <c r="CG47" s="1032">
        <f t="shared" ca="1" si="8"/>
        <v>0</v>
      </c>
      <c r="CH47" s="1032">
        <f t="shared" ca="1" si="8"/>
        <v>0</v>
      </c>
      <c r="CI47" s="755"/>
      <c r="CJ47" s="1030">
        <f t="shared" ref="CJ47:CQ47" ca="1" si="9">SUM(CJ48:CJ62)</f>
        <v>684927.81825000001</v>
      </c>
      <c r="CK47" s="1031">
        <f t="shared" ca="1" si="9"/>
        <v>0</v>
      </c>
      <c r="CL47" s="1032">
        <f t="shared" ca="1" si="9"/>
        <v>0</v>
      </c>
      <c r="CM47" s="1032">
        <f t="shared" ca="1" si="9"/>
        <v>0</v>
      </c>
      <c r="CN47" s="1032">
        <f t="shared" ca="1" si="9"/>
        <v>0</v>
      </c>
      <c r="CO47" s="1032">
        <f t="shared" ca="1" si="9"/>
        <v>0</v>
      </c>
      <c r="CP47" s="1032">
        <f t="shared" ca="1" si="9"/>
        <v>0</v>
      </c>
      <c r="CQ47" s="1032">
        <f t="shared" ca="1" si="9"/>
        <v>0</v>
      </c>
      <c r="CR47" s="755"/>
      <c r="CS47" s="755"/>
      <c r="CT47" s="755"/>
      <c r="CU47" s="755"/>
      <c r="CV47" s="755"/>
      <c r="CW47" s="755"/>
      <c r="CY47" s="1096"/>
      <c r="CZ47" s="2419"/>
      <c r="DA47" s="3892">
        <f ca="1">SUM(DA48:DB62)</f>
        <v>690297.81825000001</v>
      </c>
      <c r="DB47" s="3893"/>
      <c r="DC47" s="2413">
        <f t="shared" ref="DC47:DI47" ca="1" si="10">SUM(DC48:DC62)</f>
        <v>0</v>
      </c>
      <c r="DD47" s="2414">
        <f t="shared" ca="1" si="10"/>
        <v>0</v>
      </c>
      <c r="DE47" s="2414">
        <f t="shared" ca="1" si="10"/>
        <v>0</v>
      </c>
      <c r="DF47" s="2414">
        <f t="shared" ca="1" si="10"/>
        <v>0</v>
      </c>
      <c r="DG47" s="2414">
        <f t="shared" ca="1" si="10"/>
        <v>0</v>
      </c>
      <c r="DH47" s="2415">
        <f t="shared" ca="1" si="10"/>
        <v>0</v>
      </c>
      <c r="DI47" s="2416">
        <f t="shared" ca="1" si="10"/>
        <v>0</v>
      </c>
    </row>
    <row r="48" spans="1:113" ht="15.9" customHeight="1" thickTop="1" thickBot="1" x14ac:dyDescent="0.3">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c r="AA48" s="755"/>
      <c r="AB48" s="755"/>
      <c r="AC48" s="755"/>
      <c r="AD48" s="755"/>
      <c r="AE48" s="755"/>
      <c r="AF48" s="755"/>
      <c r="AG48" s="755"/>
      <c r="AH48" s="755"/>
      <c r="AI48" s="755"/>
      <c r="AJ48" s="755"/>
      <c r="AK48" s="755"/>
      <c r="AL48" s="755"/>
      <c r="AM48" s="755"/>
      <c r="AN48" s="755"/>
      <c r="AO48" s="755"/>
      <c r="AP48" s="755"/>
      <c r="AQ48" s="755"/>
      <c r="AR48" s="755"/>
      <c r="AS48" s="755"/>
      <c r="AT48" s="755"/>
      <c r="AU48" s="755"/>
      <c r="AV48" s="755"/>
      <c r="AW48" s="755"/>
      <c r="AX48" s="755"/>
      <c r="AY48" s="755"/>
      <c r="AZ48" s="755"/>
      <c r="BA48" s="755"/>
      <c r="BB48" s="755"/>
      <c r="BC48" s="755"/>
      <c r="BD48" s="755"/>
      <c r="BE48" s="755"/>
      <c r="BF48" s="755"/>
      <c r="BG48" s="755"/>
      <c r="BH48" s="755"/>
      <c r="BI48" s="755"/>
      <c r="BJ48" s="755"/>
      <c r="BK48" s="755"/>
      <c r="BL48" s="755"/>
      <c r="BM48" s="755"/>
      <c r="BN48" s="755"/>
      <c r="BO48" s="755"/>
      <c r="BP48" s="755"/>
      <c r="BQ48" s="755"/>
      <c r="BR48" s="755"/>
      <c r="BS48" s="755"/>
      <c r="BT48" s="755"/>
      <c r="BU48" s="755"/>
      <c r="BV48" s="755"/>
      <c r="BW48" s="755"/>
      <c r="BX48" s="755"/>
      <c r="BY48" s="755"/>
      <c r="BZ48" s="755"/>
      <c r="CA48" s="1083">
        <f>SUM(CA52:CA62)*'4 Sign-off'!$F$161*$CX$3</f>
        <v>0</v>
      </c>
      <c r="CB48" s="1084">
        <f ca="1">SUM(CB52:CB62)*'4 Sign-off'!$F$161*$CX$3</f>
        <v>0</v>
      </c>
      <c r="CC48" s="1085">
        <f ca="1">SUM(CC52:CC62)*'4 Sign-off'!$F$161*$CX$3</f>
        <v>0</v>
      </c>
      <c r="CD48" s="1085">
        <f ca="1">SUM(CD52:CD62)*'4 Sign-off'!$F$161*$CX$3</f>
        <v>0</v>
      </c>
      <c r="CE48" s="1085">
        <f ca="1">SUM(CE52:CE62)*'4 Sign-off'!$F$161*$CX$3</f>
        <v>0</v>
      </c>
      <c r="CF48" s="1085">
        <f ca="1">SUM(CF52:CF62)*'4 Sign-off'!$F$161*$CX$3</f>
        <v>0</v>
      </c>
      <c r="CG48" s="1085">
        <f ca="1">SUM(CG52:CG62)*'4 Sign-off'!$F$161*$CX$3</f>
        <v>0</v>
      </c>
      <c r="CH48" s="1085">
        <f ca="1">SUM(CH52:CH62)*'4 Sign-off'!$F$161*$CX$3</f>
        <v>0</v>
      </c>
      <c r="CI48" s="755"/>
      <c r="CJ48" s="1083">
        <f ca="1">SUM(CJ52:CJ62)*'4 Sign-off'!$F$161*$CX$3</f>
        <v>0</v>
      </c>
      <c r="CK48" s="1084">
        <f ca="1">SUM(CK52:CK62)*'4 Sign-off'!$F$161*$CX$3</f>
        <v>0</v>
      </c>
      <c r="CL48" s="1085">
        <f ca="1">SUM(CL52:CL62)*'4 Sign-off'!$F$161*$CX$3</f>
        <v>0</v>
      </c>
      <c r="CM48" s="1085">
        <f ca="1">SUM(CM52:CM62)*'4 Sign-off'!$F$161*$CX$3</f>
        <v>0</v>
      </c>
      <c r="CN48" s="1085">
        <f ca="1">SUM(CN52:CN62)*'4 Sign-off'!$F$161*$CX$3</f>
        <v>0</v>
      </c>
      <c r="CO48" s="1085">
        <f ca="1">SUM(CO52:CO62)*'4 Sign-off'!$F$161*$CX$3</f>
        <v>0</v>
      </c>
      <c r="CP48" s="1085">
        <f ca="1">SUM(CP52:CP62)*'4 Sign-off'!$F$161*$CX$3</f>
        <v>0</v>
      </c>
      <c r="CQ48" s="1085">
        <f ca="1">SUM(CQ52:CQ62)*'4 Sign-off'!$F$161*$CX$3</f>
        <v>0</v>
      </c>
      <c r="CR48" s="755"/>
      <c r="CS48" s="755"/>
      <c r="CT48" s="755"/>
      <c r="CU48" s="755"/>
      <c r="CV48" s="755"/>
      <c r="CW48" s="755"/>
      <c r="CZ48" s="2418" t="s">
        <v>267</v>
      </c>
      <c r="DA48" s="3865">
        <f>DA68</f>
        <v>0</v>
      </c>
      <c r="DB48" s="3866"/>
      <c r="DC48" s="2389">
        <f ca="1">DC68</f>
        <v>0</v>
      </c>
      <c r="DD48" s="2390">
        <f t="shared" ref="DD48:DI48" ca="1" si="11">DD68</f>
        <v>0</v>
      </c>
      <c r="DE48" s="2390">
        <f t="shared" ca="1" si="11"/>
        <v>0</v>
      </c>
      <c r="DF48" s="2390">
        <f t="shared" ca="1" si="11"/>
        <v>0</v>
      </c>
      <c r="DG48" s="2390">
        <f t="shared" ca="1" si="11"/>
        <v>0</v>
      </c>
      <c r="DH48" s="2391">
        <f t="shared" ca="1" si="11"/>
        <v>0</v>
      </c>
      <c r="DI48" s="2392">
        <f t="shared" ca="1" si="11"/>
        <v>0</v>
      </c>
    </row>
    <row r="49" spans="1:113" ht="15.9" customHeight="1" thickTop="1" x14ac:dyDescent="0.25">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c r="AA49" s="755"/>
      <c r="AB49" s="755"/>
      <c r="AC49" s="755"/>
      <c r="AD49" s="755"/>
      <c r="AE49" s="755"/>
      <c r="AF49" s="755"/>
      <c r="AG49" s="755"/>
      <c r="AH49" s="755"/>
      <c r="AI49" s="755"/>
      <c r="AJ49" s="755"/>
      <c r="AK49" s="755"/>
      <c r="AL49" s="755"/>
      <c r="AM49" s="755"/>
      <c r="AN49" s="755"/>
      <c r="AO49" s="755"/>
      <c r="AP49" s="755"/>
      <c r="AQ49" s="755"/>
      <c r="AR49" s="755"/>
      <c r="AS49" s="755"/>
      <c r="AT49" s="755"/>
      <c r="AU49" s="755"/>
      <c r="AV49" s="755"/>
      <c r="AW49" s="755"/>
      <c r="AX49" s="755"/>
      <c r="AY49" s="755"/>
      <c r="AZ49" s="755"/>
      <c r="BA49" s="755"/>
      <c r="BB49" s="755"/>
      <c r="BC49" s="755"/>
      <c r="BD49" s="755"/>
      <c r="BE49" s="755"/>
      <c r="BF49" s="755"/>
      <c r="BG49" s="755"/>
      <c r="BH49" s="755"/>
      <c r="BI49" s="755"/>
      <c r="BJ49" s="755"/>
      <c r="BK49" s="755"/>
      <c r="BL49" s="755"/>
      <c r="BM49" s="755"/>
      <c r="BN49" s="755"/>
      <c r="BO49" s="755"/>
      <c r="BP49" s="755"/>
      <c r="BQ49" s="755"/>
      <c r="BR49" s="755"/>
      <c r="BS49" s="755"/>
      <c r="BT49" s="755"/>
      <c r="BU49" s="755"/>
      <c r="BV49" s="755"/>
      <c r="BW49" s="755"/>
      <c r="BX49" s="755"/>
      <c r="BY49" s="755"/>
      <c r="BZ49" s="755"/>
      <c r="CA49" s="1089"/>
      <c r="CB49" s="1090"/>
      <c r="CC49" s="1091"/>
      <c r="CD49" s="1091"/>
      <c r="CE49" s="1091"/>
      <c r="CF49" s="1091"/>
      <c r="CG49" s="1091"/>
      <c r="CH49" s="1091"/>
      <c r="CI49" s="755"/>
      <c r="CJ49" s="1089"/>
      <c r="CK49" s="1090"/>
      <c r="CL49" s="1091"/>
      <c r="CM49" s="1091"/>
      <c r="CN49" s="1091"/>
      <c r="CO49" s="1091"/>
      <c r="CP49" s="1091"/>
      <c r="CQ49" s="1091"/>
      <c r="CR49" s="755"/>
      <c r="CS49" s="755"/>
      <c r="CT49" s="755"/>
      <c r="CU49" s="755"/>
      <c r="CV49" s="755"/>
      <c r="CW49" s="755"/>
      <c r="CZ49" s="2806" t="s">
        <v>468</v>
      </c>
      <c r="DA49" s="3863">
        <f t="shared" ref="DA49:DA50" si="12">DA69</f>
        <v>0</v>
      </c>
      <c r="DB49" s="3864"/>
      <c r="DC49" s="2420">
        <f t="shared" ref="DC49:DI49" si="13">DC69</f>
        <v>0</v>
      </c>
      <c r="DD49" s="2421">
        <f t="shared" si="13"/>
        <v>0</v>
      </c>
      <c r="DE49" s="1080">
        <f t="shared" si="13"/>
        <v>0</v>
      </c>
      <c r="DF49" s="1080">
        <f t="shared" si="13"/>
        <v>0</v>
      </c>
      <c r="DG49" s="1080">
        <f t="shared" si="13"/>
        <v>0</v>
      </c>
      <c r="DH49" s="1081">
        <f t="shared" si="13"/>
        <v>0</v>
      </c>
      <c r="DI49" s="1082">
        <f t="shared" si="13"/>
        <v>0</v>
      </c>
    </row>
    <row r="50" spans="1:113" ht="15.9" customHeight="1" x14ac:dyDescent="0.25">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c r="AA50" s="755"/>
      <c r="AB50" s="755"/>
      <c r="AC50" s="755"/>
      <c r="AD50" s="755"/>
      <c r="AE50" s="755"/>
      <c r="AF50" s="755"/>
      <c r="AG50" s="755"/>
      <c r="AH50" s="755"/>
      <c r="AI50" s="755"/>
      <c r="AJ50" s="755"/>
      <c r="AK50" s="755"/>
      <c r="AL50" s="755"/>
      <c r="AM50" s="755"/>
      <c r="AN50" s="755"/>
      <c r="AO50" s="755"/>
      <c r="AP50" s="755"/>
      <c r="AQ50" s="755"/>
      <c r="AR50" s="755"/>
      <c r="AS50" s="755"/>
      <c r="AT50" s="755"/>
      <c r="AU50" s="755"/>
      <c r="AV50" s="755"/>
      <c r="AW50" s="755"/>
      <c r="AX50" s="755"/>
      <c r="AY50" s="755"/>
      <c r="AZ50" s="755"/>
      <c r="BA50" s="755"/>
      <c r="BB50" s="755"/>
      <c r="BC50" s="755"/>
      <c r="BD50" s="755"/>
      <c r="BE50" s="755"/>
      <c r="BF50" s="755"/>
      <c r="BG50" s="755"/>
      <c r="BH50" s="755"/>
      <c r="BI50" s="755"/>
      <c r="BJ50" s="755"/>
      <c r="BK50" s="755"/>
      <c r="BL50" s="755"/>
      <c r="BM50" s="755"/>
      <c r="BN50" s="755"/>
      <c r="BO50" s="755"/>
      <c r="BP50" s="755"/>
      <c r="BQ50" s="755"/>
      <c r="BR50" s="755"/>
      <c r="BS50" s="755"/>
      <c r="BT50" s="755"/>
      <c r="BU50" s="755"/>
      <c r="BV50" s="755"/>
      <c r="BW50" s="755"/>
      <c r="BX50" s="755"/>
      <c r="BY50" s="755"/>
      <c r="BZ50" s="755"/>
      <c r="CA50" s="1089"/>
      <c r="CB50" s="1090"/>
      <c r="CC50" s="1091"/>
      <c r="CD50" s="1091"/>
      <c r="CE50" s="1091"/>
      <c r="CF50" s="1091"/>
      <c r="CG50" s="1091"/>
      <c r="CH50" s="1091"/>
      <c r="CI50" s="755"/>
      <c r="CJ50" s="1089"/>
      <c r="CK50" s="1090"/>
      <c r="CL50" s="1091"/>
      <c r="CM50" s="1091"/>
      <c r="CN50" s="1091"/>
      <c r="CO50" s="1091"/>
      <c r="CP50" s="1091"/>
      <c r="CQ50" s="1091"/>
      <c r="CR50" s="755"/>
      <c r="CS50" s="755"/>
      <c r="CT50" s="755"/>
      <c r="CU50" s="755"/>
      <c r="CV50" s="755"/>
      <c r="CW50" s="755"/>
      <c r="CZ50" s="1067" t="s">
        <v>3402</v>
      </c>
      <c r="DA50" s="3859">
        <f t="shared" si="12"/>
        <v>0</v>
      </c>
      <c r="DB50" s="3860"/>
      <c r="DC50" s="2802"/>
      <c r="DD50" s="2803"/>
      <c r="DE50" s="2803"/>
      <c r="DF50" s="2803"/>
      <c r="DG50" s="2803"/>
      <c r="DH50" s="2804"/>
      <c r="DI50" s="2805"/>
    </row>
    <row r="51" spans="1:113" ht="15.9" customHeight="1" thickBot="1" x14ac:dyDescent="0.3">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c r="AA51" s="755"/>
      <c r="AB51" s="755"/>
      <c r="AC51" s="755"/>
      <c r="AD51" s="755"/>
      <c r="AE51" s="755"/>
      <c r="AF51" s="755"/>
      <c r="AG51" s="755"/>
      <c r="AH51" s="755"/>
      <c r="AI51" s="755"/>
      <c r="AJ51" s="755"/>
      <c r="AK51" s="755"/>
      <c r="AL51" s="755"/>
      <c r="AM51" s="755"/>
      <c r="AN51" s="755"/>
      <c r="AO51" s="755"/>
      <c r="AP51" s="755"/>
      <c r="AQ51" s="755"/>
      <c r="AR51" s="755"/>
      <c r="AS51" s="755"/>
      <c r="AT51" s="755"/>
      <c r="AU51" s="755"/>
      <c r="AV51" s="755"/>
      <c r="AW51" s="755"/>
      <c r="AX51" s="755"/>
      <c r="AY51" s="755"/>
      <c r="AZ51" s="755"/>
      <c r="BA51" s="755"/>
      <c r="BB51" s="755"/>
      <c r="BC51" s="755"/>
      <c r="BD51" s="755"/>
      <c r="BE51" s="755"/>
      <c r="BF51" s="755"/>
      <c r="BG51" s="755"/>
      <c r="BH51" s="755"/>
      <c r="BI51" s="755"/>
      <c r="BJ51" s="755"/>
      <c r="BK51" s="755"/>
      <c r="BL51" s="755"/>
      <c r="BM51" s="755"/>
      <c r="BN51" s="755"/>
      <c r="BO51" s="755"/>
      <c r="BP51" s="755"/>
      <c r="BQ51" s="755"/>
      <c r="BR51" s="755"/>
      <c r="BS51" s="755"/>
      <c r="BT51" s="755"/>
      <c r="BU51" s="755"/>
      <c r="BV51" s="755"/>
      <c r="BW51" s="755"/>
      <c r="BX51" s="755"/>
      <c r="BY51" s="755"/>
      <c r="BZ51" s="755"/>
      <c r="CA51" s="1092"/>
      <c r="CB51" s="1093"/>
      <c r="CC51" s="1094"/>
      <c r="CD51" s="1094"/>
      <c r="CE51" s="1094"/>
      <c r="CF51" s="1094"/>
      <c r="CG51" s="1094"/>
      <c r="CH51" s="1094"/>
      <c r="CI51" s="755"/>
      <c r="CJ51" s="1092"/>
      <c r="CK51" s="1093"/>
      <c r="CL51" s="1094"/>
      <c r="CM51" s="1094"/>
      <c r="CN51" s="1094"/>
      <c r="CO51" s="1094"/>
      <c r="CP51" s="1094"/>
      <c r="CQ51" s="1094"/>
      <c r="CR51" s="755"/>
      <c r="CS51" s="755"/>
      <c r="CT51" s="755"/>
      <c r="CU51" s="755"/>
      <c r="CV51" s="755"/>
      <c r="CW51" s="755"/>
      <c r="CY51" s="1096"/>
      <c r="CZ51" s="2387" t="s">
        <v>854</v>
      </c>
      <c r="DA51" s="3865">
        <f>DA71</f>
        <v>5370</v>
      </c>
      <c r="DB51" s="3866"/>
      <c r="DC51" s="2422">
        <f t="shared" ref="DC51:DI51" si="14">DC71</f>
        <v>0</v>
      </c>
      <c r="DD51" s="2423">
        <f t="shared" si="14"/>
        <v>0</v>
      </c>
      <c r="DE51" s="2423">
        <f t="shared" si="14"/>
        <v>0</v>
      </c>
      <c r="DF51" s="2423">
        <f t="shared" si="14"/>
        <v>0</v>
      </c>
      <c r="DG51" s="2423">
        <f t="shared" si="14"/>
        <v>0</v>
      </c>
      <c r="DH51" s="2424">
        <f t="shared" si="14"/>
        <v>0</v>
      </c>
      <c r="DI51" s="2425">
        <f t="shared" si="14"/>
        <v>0</v>
      </c>
    </row>
    <row r="52" spans="1:113" ht="15.9" customHeight="1" thickTop="1" x14ac:dyDescent="0.25">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c r="AA52" s="755"/>
      <c r="AB52" s="755"/>
      <c r="AC52" s="755"/>
      <c r="AD52" s="755"/>
      <c r="AE52" s="755"/>
      <c r="AF52" s="755"/>
      <c r="AG52" s="755"/>
      <c r="AH52" s="755"/>
      <c r="AI52" s="755"/>
      <c r="AJ52" s="755"/>
      <c r="AK52" s="755"/>
      <c r="AL52" s="755"/>
      <c r="AM52" s="755"/>
      <c r="AN52" s="755"/>
      <c r="AO52" s="755"/>
      <c r="AP52" s="755"/>
      <c r="AQ52" s="755"/>
      <c r="AR52" s="755"/>
      <c r="AS52" s="755"/>
      <c r="AT52" s="755"/>
      <c r="AU52" s="755"/>
      <c r="AV52" s="755"/>
      <c r="AW52" s="755"/>
      <c r="AX52" s="755"/>
      <c r="AY52" s="755"/>
      <c r="AZ52" s="755"/>
      <c r="BA52" s="755"/>
      <c r="BB52" s="755"/>
      <c r="BC52" s="755"/>
      <c r="BD52" s="755"/>
      <c r="BE52" s="755"/>
      <c r="BF52" s="755"/>
      <c r="BG52" s="755"/>
      <c r="BH52" s="755"/>
      <c r="BI52" s="755"/>
      <c r="BJ52" s="755"/>
      <c r="BK52" s="755"/>
      <c r="BL52" s="755"/>
      <c r="BM52" s="755"/>
      <c r="BN52" s="755"/>
      <c r="BO52" s="755"/>
      <c r="BP52" s="755"/>
      <c r="BQ52" s="755"/>
      <c r="BR52" s="755"/>
      <c r="BS52" s="755"/>
      <c r="BT52" s="755"/>
      <c r="BU52" s="755"/>
      <c r="BV52" s="755"/>
      <c r="BW52" s="755"/>
      <c r="BX52" s="755"/>
      <c r="BY52" s="755"/>
      <c r="BZ52" s="755"/>
      <c r="CA52" s="1024">
        <f t="shared" ref="CA52:CA61" si="15">IF(CZ52=0,0,SUMIFS(CA$72:CA$107,$CV$72:$CV$107,$CZ52))</f>
        <v>0</v>
      </c>
      <c r="CB52" s="1025">
        <f t="shared" ref="CB52:CH61" ca="1" si="16">SUMIFS(CB$72:CB$107,$CV$72:$CV$107,$CZ52)</f>
        <v>0</v>
      </c>
      <c r="CC52" s="1026">
        <f t="shared" ca="1" si="16"/>
        <v>0</v>
      </c>
      <c r="CD52" s="1026">
        <f t="shared" ca="1" si="16"/>
        <v>0</v>
      </c>
      <c r="CE52" s="1026">
        <f t="shared" ca="1" si="16"/>
        <v>0</v>
      </c>
      <c r="CF52" s="1026">
        <f t="shared" ca="1" si="16"/>
        <v>0</v>
      </c>
      <c r="CG52" s="1026">
        <f t="shared" ca="1" si="16"/>
        <v>0</v>
      </c>
      <c r="CH52" s="1026">
        <f t="shared" ca="1" si="16"/>
        <v>0</v>
      </c>
      <c r="CI52" s="755"/>
      <c r="CJ52" s="1024">
        <f t="shared" ref="CJ52:CQ61" ca="1" si="17">SUMIFS(CJ$72:CJ$107,$CV$72:$CV$107,$CZ52)</f>
        <v>68492.781825000013</v>
      </c>
      <c r="CK52" s="1025">
        <f t="shared" ca="1" si="17"/>
        <v>0</v>
      </c>
      <c r="CL52" s="1026">
        <f t="shared" ca="1" si="17"/>
        <v>0</v>
      </c>
      <c r="CM52" s="1026">
        <f t="shared" ca="1" si="17"/>
        <v>0</v>
      </c>
      <c r="CN52" s="1026">
        <f t="shared" ca="1" si="17"/>
        <v>0</v>
      </c>
      <c r="CO52" s="1026">
        <f t="shared" ca="1" si="17"/>
        <v>0</v>
      </c>
      <c r="CP52" s="1026">
        <f t="shared" ca="1" si="17"/>
        <v>0</v>
      </c>
      <c r="CQ52" s="1026">
        <f t="shared" ca="1" si="17"/>
        <v>0</v>
      </c>
      <c r="CR52" s="755"/>
      <c r="CS52" s="755"/>
      <c r="CT52" s="755"/>
      <c r="CU52" s="755"/>
      <c r="CV52" s="755"/>
      <c r="CW52" s="755"/>
      <c r="CZ52" s="976">
        <f t="shared" ref="CZ52:CZ61" si="18">CZ31</f>
        <v>0</v>
      </c>
      <c r="DA52" s="3863">
        <f ca="1">((CJ52*$DE$4)+(CA52*$DE$3))*$CO$13</f>
        <v>68492.781825000013</v>
      </c>
      <c r="DB52" s="3864"/>
      <c r="DC52" s="1022">
        <f ca="1">((CK52*$DE$4)+(CB52*$DE$3))*$CO$13</f>
        <v>0</v>
      </c>
      <c r="DD52" s="935">
        <f t="shared" ref="DD52:DI52" ca="1" si="19">((CL52*$DE$4)+(CC52*$DE$3))*$CO$13</f>
        <v>0</v>
      </c>
      <c r="DE52" s="935">
        <f t="shared" ca="1" si="19"/>
        <v>0</v>
      </c>
      <c r="DF52" s="935">
        <f t="shared" ca="1" si="19"/>
        <v>0</v>
      </c>
      <c r="DG52" s="935">
        <f t="shared" ca="1" si="19"/>
        <v>0</v>
      </c>
      <c r="DH52" s="935">
        <f t="shared" ca="1" si="19"/>
        <v>0</v>
      </c>
      <c r="DI52" s="936">
        <f t="shared" ca="1" si="19"/>
        <v>0</v>
      </c>
    </row>
    <row r="53" spans="1:113" ht="15.9" customHeight="1" x14ac:dyDescent="0.25">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c r="AA53" s="755"/>
      <c r="AB53" s="755"/>
      <c r="AC53" s="755"/>
      <c r="AD53" s="755"/>
      <c r="AE53" s="755"/>
      <c r="AF53" s="755"/>
      <c r="AG53" s="755"/>
      <c r="AH53" s="755"/>
      <c r="AI53" s="755"/>
      <c r="AJ53" s="755"/>
      <c r="AK53" s="755"/>
      <c r="AL53" s="755"/>
      <c r="AM53" s="755"/>
      <c r="AN53" s="755"/>
      <c r="AO53" s="755"/>
      <c r="AP53" s="755"/>
      <c r="AQ53" s="755"/>
      <c r="AR53" s="755"/>
      <c r="AS53" s="755"/>
      <c r="AT53" s="755"/>
      <c r="AU53" s="755"/>
      <c r="AV53" s="755"/>
      <c r="AW53" s="755"/>
      <c r="AX53" s="755"/>
      <c r="AY53" s="755"/>
      <c r="AZ53" s="755"/>
      <c r="BA53" s="755"/>
      <c r="BB53" s="755"/>
      <c r="BC53" s="755"/>
      <c r="BD53" s="755"/>
      <c r="BE53" s="755"/>
      <c r="BF53" s="755"/>
      <c r="BG53" s="755"/>
      <c r="BH53" s="755"/>
      <c r="BI53" s="755"/>
      <c r="BJ53" s="755"/>
      <c r="BK53" s="755"/>
      <c r="BL53" s="755"/>
      <c r="BM53" s="755"/>
      <c r="BN53" s="755"/>
      <c r="BO53" s="755"/>
      <c r="BP53" s="755"/>
      <c r="BQ53" s="755"/>
      <c r="BR53" s="755"/>
      <c r="BS53" s="755"/>
      <c r="BT53" s="755"/>
      <c r="BU53" s="755"/>
      <c r="BV53" s="755"/>
      <c r="BW53" s="755"/>
      <c r="BX53" s="755"/>
      <c r="BY53" s="755"/>
      <c r="BZ53" s="755"/>
      <c r="CA53" s="1020">
        <f t="shared" si="15"/>
        <v>0</v>
      </c>
      <c r="CB53" s="1023">
        <f t="shared" ca="1" si="16"/>
        <v>0</v>
      </c>
      <c r="CC53" s="1021">
        <f t="shared" ca="1" si="16"/>
        <v>0</v>
      </c>
      <c r="CD53" s="1021">
        <f t="shared" ca="1" si="16"/>
        <v>0</v>
      </c>
      <c r="CE53" s="1021">
        <f t="shared" ca="1" si="16"/>
        <v>0</v>
      </c>
      <c r="CF53" s="1021">
        <f t="shared" ca="1" si="16"/>
        <v>0</v>
      </c>
      <c r="CG53" s="1021">
        <f t="shared" ca="1" si="16"/>
        <v>0</v>
      </c>
      <c r="CH53" s="1021">
        <f t="shared" ca="1" si="16"/>
        <v>0</v>
      </c>
      <c r="CI53" s="755"/>
      <c r="CJ53" s="1020">
        <f t="shared" ca="1" si="17"/>
        <v>68492.781825000013</v>
      </c>
      <c r="CK53" s="1023">
        <f t="shared" ca="1" si="17"/>
        <v>0</v>
      </c>
      <c r="CL53" s="1021">
        <f t="shared" ca="1" si="17"/>
        <v>0</v>
      </c>
      <c r="CM53" s="1021">
        <f t="shared" ca="1" si="17"/>
        <v>0</v>
      </c>
      <c r="CN53" s="1021">
        <f t="shared" ca="1" si="17"/>
        <v>0</v>
      </c>
      <c r="CO53" s="1021">
        <f t="shared" ca="1" si="17"/>
        <v>0</v>
      </c>
      <c r="CP53" s="1021">
        <f t="shared" ca="1" si="17"/>
        <v>0</v>
      </c>
      <c r="CQ53" s="1021">
        <f t="shared" ca="1" si="17"/>
        <v>0</v>
      </c>
      <c r="CR53" s="755"/>
      <c r="CS53" s="755"/>
      <c r="CT53" s="755"/>
      <c r="CU53" s="755"/>
      <c r="CV53" s="755"/>
      <c r="CW53" s="755"/>
      <c r="CZ53" s="977">
        <f t="shared" si="18"/>
        <v>0</v>
      </c>
      <c r="DA53" s="3881">
        <f t="shared" ref="DA53:DA61" ca="1" si="20">((CJ53*$DE$4)+(CA53*$DE$3))*$CO$13</f>
        <v>68492.781825000013</v>
      </c>
      <c r="DB53" s="3882"/>
      <c r="DC53" s="937">
        <f t="shared" ref="DC53:DC61" ca="1" si="21">((CK53*$DE$4)+(CB53*$DE$3))*$CO$13</f>
        <v>0</v>
      </c>
      <c r="DD53" s="938">
        <f t="shared" ref="DD53:DD61" ca="1" si="22">((CL53*$DE$4)+(CC53*$DE$3))*$CO$13</f>
        <v>0</v>
      </c>
      <c r="DE53" s="938">
        <f t="shared" ref="DE53:DE61" ca="1" si="23">((CM53*$DE$4)+(CD53*$DE$3))*$CO$13</f>
        <v>0</v>
      </c>
      <c r="DF53" s="938">
        <f t="shared" ref="DF53:DF61" ca="1" si="24">((CN53*$DE$4)+(CE53*$DE$3))*$CO$13</f>
        <v>0</v>
      </c>
      <c r="DG53" s="938">
        <f t="shared" ref="DG53:DG61" ca="1" si="25">((CO53*$DE$4)+(CF53*$DE$3))*$CO$13</f>
        <v>0</v>
      </c>
      <c r="DH53" s="943">
        <f t="shared" ref="DH53:DH61" ca="1" si="26">((CP53*$DE$4)+(CG53*$DE$3))*$CO$13</f>
        <v>0</v>
      </c>
      <c r="DI53" s="939">
        <f t="shared" ref="DI53:DI61" ca="1" si="27">((CQ53*$DE$4)+(CH53*$DE$3))*$CO$13</f>
        <v>0</v>
      </c>
    </row>
    <row r="54" spans="1:113" ht="15.9" customHeight="1" x14ac:dyDescent="0.25">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c r="AA54" s="755"/>
      <c r="AB54" s="755"/>
      <c r="AC54" s="755"/>
      <c r="AD54" s="755"/>
      <c r="AE54" s="755"/>
      <c r="AF54" s="755"/>
      <c r="AG54" s="755"/>
      <c r="AH54" s="755"/>
      <c r="AI54" s="755"/>
      <c r="AJ54" s="755"/>
      <c r="AK54" s="755"/>
      <c r="AL54" s="755"/>
      <c r="AM54" s="755"/>
      <c r="AN54" s="755"/>
      <c r="AO54" s="755"/>
      <c r="AP54" s="755"/>
      <c r="AQ54" s="755"/>
      <c r="AR54" s="755"/>
      <c r="AS54" s="755"/>
      <c r="AT54" s="755"/>
      <c r="AU54" s="755"/>
      <c r="AV54" s="755"/>
      <c r="AW54" s="755"/>
      <c r="AX54" s="755"/>
      <c r="AY54" s="755"/>
      <c r="AZ54" s="755"/>
      <c r="BA54" s="755"/>
      <c r="BB54" s="755"/>
      <c r="BC54" s="755"/>
      <c r="BD54" s="755"/>
      <c r="BE54" s="755"/>
      <c r="BF54" s="755"/>
      <c r="BG54" s="755"/>
      <c r="BH54" s="755"/>
      <c r="BI54" s="755"/>
      <c r="BJ54" s="755"/>
      <c r="BK54" s="755"/>
      <c r="BL54" s="755"/>
      <c r="BM54" s="755"/>
      <c r="BN54" s="755"/>
      <c r="BO54" s="755"/>
      <c r="BP54" s="755"/>
      <c r="BQ54" s="755"/>
      <c r="BR54" s="755"/>
      <c r="BS54" s="755"/>
      <c r="BT54" s="755"/>
      <c r="BU54" s="755"/>
      <c r="BV54" s="755"/>
      <c r="BW54" s="755"/>
      <c r="BX54" s="755"/>
      <c r="BY54" s="755"/>
      <c r="BZ54" s="755"/>
      <c r="CA54" s="1020">
        <f t="shared" si="15"/>
        <v>0</v>
      </c>
      <c r="CB54" s="1023">
        <f t="shared" ca="1" si="16"/>
        <v>0</v>
      </c>
      <c r="CC54" s="1021">
        <f t="shared" ca="1" si="16"/>
        <v>0</v>
      </c>
      <c r="CD54" s="1021">
        <f t="shared" ca="1" si="16"/>
        <v>0</v>
      </c>
      <c r="CE54" s="1021">
        <f t="shared" ca="1" si="16"/>
        <v>0</v>
      </c>
      <c r="CF54" s="1021">
        <f t="shared" ca="1" si="16"/>
        <v>0</v>
      </c>
      <c r="CG54" s="1021">
        <f t="shared" ca="1" si="16"/>
        <v>0</v>
      </c>
      <c r="CH54" s="1021">
        <f t="shared" ca="1" si="16"/>
        <v>0</v>
      </c>
      <c r="CI54" s="755"/>
      <c r="CJ54" s="1020">
        <f t="shared" ca="1" si="17"/>
        <v>68492.781825000013</v>
      </c>
      <c r="CK54" s="1023">
        <f t="shared" ca="1" si="17"/>
        <v>0</v>
      </c>
      <c r="CL54" s="1021">
        <f t="shared" ca="1" si="17"/>
        <v>0</v>
      </c>
      <c r="CM54" s="1021">
        <f t="shared" ca="1" si="17"/>
        <v>0</v>
      </c>
      <c r="CN54" s="1021">
        <f t="shared" ca="1" si="17"/>
        <v>0</v>
      </c>
      <c r="CO54" s="1021">
        <f t="shared" ca="1" si="17"/>
        <v>0</v>
      </c>
      <c r="CP54" s="1021">
        <f t="shared" ca="1" si="17"/>
        <v>0</v>
      </c>
      <c r="CQ54" s="1021">
        <f t="shared" ca="1" si="17"/>
        <v>0</v>
      </c>
      <c r="CR54" s="755"/>
      <c r="CS54" s="755"/>
      <c r="CT54" s="755"/>
      <c r="CU54" s="755"/>
      <c r="CV54" s="755"/>
      <c r="CW54" s="755"/>
      <c r="CZ54" s="977">
        <f t="shared" si="18"/>
        <v>0</v>
      </c>
      <c r="DA54" s="3881">
        <f t="shared" ca="1" si="20"/>
        <v>68492.781825000013</v>
      </c>
      <c r="DB54" s="3882"/>
      <c r="DC54" s="937">
        <f t="shared" ca="1" si="21"/>
        <v>0</v>
      </c>
      <c r="DD54" s="938">
        <f t="shared" ca="1" si="22"/>
        <v>0</v>
      </c>
      <c r="DE54" s="938">
        <f t="shared" ca="1" si="23"/>
        <v>0</v>
      </c>
      <c r="DF54" s="938">
        <f t="shared" ca="1" si="24"/>
        <v>0</v>
      </c>
      <c r="DG54" s="938">
        <f t="shared" ca="1" si="25"/>
        <v>0</v>
      </c>
      <c r="DH54" s="943">
        <f t="shared" ca="1" si="26"/>
        <v>0</v>
      </c>
      <c r="DI54" s="939">
        <f t="shared" ca="1" si="27"/>
        <v>0</v>
      </c>
    </row>
    <row r="55" spans="1:113" ht="15.9" customHeight="1" x14ac:dyDescent="0.25">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c r="AA55" s="755"/>
      <c r="AB55" s="755"/>
      <c r="AC55" s="755"/>
      <c r="AD55" s="755"/>
      <c r="AE55" s="755"/>
      <c r="AF55" s="755"/>
      <c r="AG55" s="755"/>
      <c r="AH55" s="755"/>
      <c r="AI55" s="755"/>
      <c r="AJ55" s="755"/>
      <c r="AK55" s="755"/>
      <c r="AL55" s="755"/>
      <c r="AM55" s="755"/>
      <c r="AN55" s="755"/>
      <c r="AO55" s="755"/>
      <c r="AP55" s="755"/>
      <c r="AQ55" s="755"/>
      <c r="AR55" s="755"/>
      <c r="AS55" s="755"/>
      <c r="AT55" s="755"/>
      <c r="AU55" s="755"/>
      <c r="AV55" s="755"/>
      <c r="AW55" s="755"/>
      <c r="AX55" s="755"/>
      <c r="AY55" s="755"/>
      <c r="AZ55" s="755"/>
      <c r="BA55" s="755"/>
      <c r="BB55" s="755"/>
      <c r="BC55" s="755"/>
      <c r="BD55" s="755"/>
      <c r="BE55" s="755"/>
      <c r="BF55" s="755"/>
      <c r="BG55" s="755"/>
      <c r="BH55" s="755"/>
      <c r="BI55" s="755"/>
      <c r="BJ55" s="755"/>
      <c r="BK55" s="755"/>
      <c r="BL55" s="755"/>
      <c r="BM55" s="755"/>
      <c r="BN55" s="755"/>
      <c r="BO55" s="755"/>
      <c r="BP55" s="755"/>
      <c r="BQ55" s="755"/>
      <c r="BR55" s="755"/>
      <c r="BS55" s="755"/>
      <c r="BT55" s="755"/>
      <c r="BU55" s="755"/>
      <c r="BV55" s="755"/>
      <c r="BW55" s="755"/>
      <c r="BX55" s="755"/>
      <c r="BY55" s="755"/>
      <c r="BZ55" s="755"/>
      <c r="CA55" s="1020">
        <f t="shared" si="15"/>
        <v>0</v>
      </c>
      <c r="CB55" s="1023">
        <f t="shared" ca="1" si="16"/>
        <v>0</v>
      </c>
      <c r="CC55" s="1021">
        <f t="shared" ca="1" si="16"/>
        <v>0</v>
      </c>
      <c r="CD55" s="1021">
        <f t="shared" ca="1" si="16"/>
        <v>0</v>
      </c>
      <c r="CE55" s="1021">
        <f t="shared" ca="1" si="16"/>
        <v>0</v>
      </c>
      <c r="CF55" s="1021">
        <f t="shared" ca="1" si="16"/>
        <v>0</v>
      </c>
      <c r="CG55" s="1021">
        <f t="shared" ca="1" si="16"/>
        <v>0</v>
      </c>
      <c r="CH55" s="1021">
        <f t="shared" ca="1" si="16"/>
        <v>0</v>
      </c>
      <c r="CI55" s="755"/>
      <c r="CJ55" s="1020">
        <f t="shared" ca="1" si="17"/>
        <v>68492.781825000013</v>
      </c>
      <c r="CK55" s="1023">
        <f t="shared" ca="1" si="17"/>
        <v>0</v>
      </c>
      <c r="CL55" s="1021">
        <f t="shared" ca="1" si="17"/>
        <v>0</v>
      </c>
      <c r="CM55" s="1021">
        <f t="shared" ca="1" si="17"/>
        <v>0</v>
      </c>
      <c r="CN55" s="1021">
        <f t="shared" ca="1" si="17"/>
        <v>0</v>
      </c>
      <c r="CO55" s="1021">
        <f t="shared" ca="1" si="17"/>
        <v>0</v>
      </c>
      <c r="CP55" s="1021">
        <f t="shared" ca="1" si="17"/>
        <v>0</v>
      </c>
      <c r="CQ55" s="1021">
        <f t="shared" ca="1" si="17"/>
        <v>0</v>
      </c>
      <c r="CR55" s="755"/>
      <c r="CS55" s="755"/>
      <c r="CT55" s="755"/>
      <c r="CU55" s="755"/>
      <c r="CV55" s="755"/>
      <c r="CW55" s="755"/>
      <c r="CY55" s="934"/>
      <c r="CZ55" s="977">
        <f t="shared" si="18"/>
        <v>0</v>
      </c>
      <c r="DA55" s="3881">
        <f t="shared" ca="1" si="20"/>
        <v>68492.781825000013</v>
      </c>
      <c r="DB55" s="3882"/>
      <c r="DC55" s="937">
        <f t="shared" ca="1" si="21"/>
        <v>0</v>
      </c>
      <c r="DD55" s="938">
        <f t="shared" ca="1" si="22"/>
        <v>0</v>
      </c>
      <c r="DE55" s="938">
        <f t="shared" ca="1" si="23"/>
        <v>0</v>
      </c>
      <c r="DF55" s="938">
        <f t="shared" ca="1" si="24"/>
        <v>0</v>
      </c>
      <c r="DG55" s="938">
        <f t="shared" ca="1" si="25"/>
        <v>0</v>
      </c>
      <c r="DH55" s="943">
        <f t="shared" ca="1" si="26"/>
        <v>0</v>
      </c>
      <c r="DI55" s="939">
        <f t="shared" ca="1" si="27"/>
        <v>0</v>
      </c>
    </row>
    <row r="56" spans="1:113" ht="15.9" customHeight="1" x14ac:dyDescent="0.25">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c r="AA56" s="755"/>
      <c r="AB56" s="755"/>
      <c r="AC56" s="755"/>
      <c r="AD56" s="755"/>
      <c r="AE56" s="755"/>
      <c r="AF56" s="755"/>
      <c r="AG56" s="755"/>
      <c r="AH56" s="755"/>
      <c r="AI56" s="755"/>
      <c r="AJ56" s="755"/>
      <c r="AK56" s="755"/>
      <c r="AL56" s="755"/>
      <c r="AM56" s="755"/>
      <c r="AN56" s="755"/>
      <c r="AO56" s="755"/>
      <c r="AP56" s="755"/>
      <c r="AQ56" s="755"/>
      <c r="AR56" s="755"/>
      <c r="AS56" s="755"/>
      <c r="AT56" s="755"/>
      <c r="AU56" s="755"/>
      <c r="AV56" s="755"/>
      <c r="AW56" s="755"/>
      <c r="AX56" s="755"/>
      <c r="AY56" s="755"/>
      <c r="AZ56" s="755"/>
      <c r="BA56" s="755"/>
      <c r="BB56" s="755"/>
      <c r="BC56" s="755"/>
      <c r="BD56" s="755"/>
      <c r="BE56" s="755"/>
      <c r="BF56" s="755"/>
      <c r="BG56" s="755"/>
      <c r="BH56" s="755"/>
      <c r="BI56" s="755"/>
      <c r="BJ56" s="755"/>
      <c r="BK56" s="755"/>
      <c r="BL56" s="755"/>
      <c r="BM56" s="755"/>
      <c r="BN56" s="755"/>
      <c r="BO56" s="755"/>
      <c r="BP56" s="755"/>
      <c r="BQ56" s="755"/>
      <c r="BR56" s="755"/>
      <c r="BS56" s="755"/>
      <c r="BT56" s="755"/>
      <c r="BU56" s="755"/>
      <c r="BV56" s="755"/>
      <c r="BW56" s="755"/>
      <c r="BX56" s="755"/>
      <c r="BY56" s="755"/>
      <c r="BZ56" s="755"/>
      <c r="CA56" s="1020">
        <f t="shared" si="15"/>
        <v>0</v>
      </c>
      <c r="CB56" s="1023">
        <f t="shared" ca="1" si="16"/>
        <v>0</v>
      </c>
      <c r="CC56" s="1021">
        <f t="shared" ca="1" si="16"/>
        <v>0</v>
      </c>
      <c r="CD56" s="1021">
        <f t="shared" ca="1" si="16"/>
        <v>0</v>
      </c>
      <c r="CE56" s="1021">
        <f t="shared" ca="1" si="16"/>
        <v>0</v>
      </c>
      <c r="CF56" s="1021">
        <f t="shared" ca="1" si="16"/>
        <v>0</v>
      </c>
      <c r="CG56" s="1021">
        <f t="shared" ca="1" si="16"/>
        <v>0</v>
      </c>
      <c r="CH56" s="1021">
        <f t="shared" ca="1" si="16"/>
        <v>0</v>
      </c>
      <c r="CI56" s="755"/>
      <c r="CJ56" s="1020">
        <f t="shared" ca="1" si="17"/>
        <v>68492.781825000013</v>
      </c>
      <c r="CK56" s="1023">
        <f t="shared" ca="1" si="17"/>
        <v>0</v>
      </c>
      <c r="CL56" s="1021">
        <f t="shared" ca="1" si="17"/>
        <v>0</v>
      </c>
      <c r="CM56" s="1021">
        <f t="shared" ca="1" si="17"/>
        <v>0</v>
      </c>
      <c r="CN56" s="1021">
        <f t="shared" ca="1" si="17"/>
        <v>0</v>
      </c>
      <c r="CO56" s="1021">
        <f t="shared" ca="1" si="17"/>
        <v>0</v>
      </c>
      <c r="CP56" s="1021">
        <f t="shared" ca="1" si="17"/>
        <v>0</v>
      </c>
      <c r="CQ56" s="1021">
        <f t="shared" ca="1" si="17"/>
        <v>0</v>
      </c>
      <c r="CR56" s="755"/>
      <c r="CS56" s="755"/>
      <c r="CT56" s="755"/>
      <c r="CU56" s="755"/>
      <c r="CV56" s="755"/>
      <c r="CW56" s="755"/>
      <c r="CY56" s="934"/>
      <c r="CZ56" s="977">
        <f t="shared" si="18"/>
        <v>0</v>
      </c>
      <c r="DA56" s="3881">
        <f t="shared" ca="1" si="20"/>
        <v>68492.781825000013</v>
      </c>
      <c r="DB56" s="3882"/>
      <c r="DC56" s="937">
        <f t="shared" ca="1" si="21"/>
        <v>0</v>
      </c>
      <c r="DD56" s="938">
        <f t="shared" ca="1" si="22"/>
        <v>0</v>
      </c>
      <c r="DE56" s="938">
        <f t="shared" ca="1" si="23"/>
        <v>0</v>
      </c>
      <c r="DF56" s="938">
        <f t="shared" ca="1" si="24"/>
        <v>0</v>
      </c>
      <c r="DG56" s="938">
        <f t="shared" ca="1" si="25"/>
        <v>0</v>
      </c>
      <c r="DH56" s="943">
        <f t="shared" ca="1" si="26"/>
        <v>0</v>
      </c>
      <c r="DI56" s="939">
        <f t="shared" ca="1" si="27"/>
        <v>0</v>
      </c>
    </row>
    <row r="57" spans="1:113" ht="15.9" customHeight="1" x14ac:dyDescent="0.25">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c r="AA57" s="755"/>
      <c r="AB57" s="755"/>
      <c r="AC57" s="755"/>
      <c r="AD57" s="755"/>
      <c r="AE57" s="755"/>
      <c r="AF57" s="755"/>
      <c r="AG57" s="755"/>
      <c r="AH57" s="755"/>
      <c r="AI57" s="755"/>
      <c r="AJ57" s="755"/>
      <c r="AK57" s="755"/>
      <c r="AL57" s="755"/>
      <c r="AM57" s="755"/>
      <c r="AN57" s="755"/>
      <c r="AO57" s="755"/>
      <c r="AP57" s="755"/>
      <c r="AQ57" s="755"/>
      <c r="AR57" s="755"/>
      <c r="AS57" s="755"/>
      <c r="AT57" s="755"/>
      <c r="AU57" s="755"/>
      <c r="AV57" s="755"/>
      <c r="AW57" s="755"/>
      <c r="AX57" s="755"/>
      <c r="AY57" s="755"/>
      <c r="AZ57" s="755"/>
      <c r="BA57" s="755"/>
      <c r="BB57" s="755"/>
      <c r="BC57" s="755"/>
      <c r="BD57" s="755"/>
      <c r="BE57" s="755"/>
      <c r="BF57" s="755"/>
      <c r="BG57" s="755"/>
      <c r="BH57" s="755"/>
      <c r="BI57" s="755"/>
      <c r="BJ57" s="755"/>
      <c r="BK57" s="755"/>
      <c r="BL57" s="755"/>
      <c r="BM57" s="755"/>
      <c r="BN57" s="755"/>
      <c r="BO57" s="755"/>
      <c r="BP57" s="755"/>
      <c r="BQ57" s="755"/>
      <c r="BR57" s="755"/>
      <c r="BS57" s="755"/>
      <c r="BT57" s="755"/>
      <c r="BU57" s="755"/>
      <c r="BV57" s="755"/>
      <c r="BW57" s="755"/>
      <c r="BX57" s="755"/>
      <c r="BY57" s="755"/>
      <c r="BZ57" s="755"/>
      <c r="CA57" s="1020">
        <f t="shared" si="15"/>
        <v>0</v>
      </c>
      <c r="CB57" s="1023">
        <f t="shared" ca="1" si="16"/>
        <v>0</v>
      </c>
      <c r="CC57" s="1021">
        <f t="shared" ca="1" si="16"/>
        <v>0</v>
      </c>
      <c r="CD57" s="1021">
        <f t="shared" ca="1" si="16"/>
        <v>0</v>
      </c>
      <c r="CE57" s="1021">
        <f t="shared" ca="1" si="16"/>
        <v>0</v>
      </c>
      <c r="CF57" s="1021">
        <f t="shared" ca="1" si="16"/>
        <v>0</v>
      </c>
      <c r="CG57" s="1021">
        <f t="shared" ca="1" si="16"/>
        <v>0</v>
      </c>
      <c r="CH57" s="1021">
        <f t="shared" ca="1" si="16"/>
        <v>0</v>
      </c>
      <c r="CI57" s="755"/>
      <c r="CJ57" s="1020">
        <f t="shared" ca="1" si="17"/>
        <v>68492.781825000013</v>
      </c>
      <c r="CK57" s="1023">
        <f t="shared" ca="1" si="17"/>
        <v>0</v>
      </c>
      <c r="CL57" s="1021">
        <f t="shared" ca="1" si="17"/>
        <v>0</v>
      </c>
      <c r="CM57" s="1021">
        <f t="shared" ca="1" si="17"/>
        <v>0</v>
      </c>
      <c r="CN57" s="1021">
        <f t="shared" ca="1" si="17"/>
        <v>0</v>
      </c>
      <c r="CO57" s="1021">
        <f t="shared" ca="1" si="17"/>
        <v>0</v>
      </c>
      <c r="CP57" s="1021">
        <f t="shared" ca="1" si="17"/>
        <v>0</v>
      </c>
      <c r="CQ57" s="1021">
        <f t="shared" ca="1" si="17"/>
        <v>0</v>
      </c>
      <c r="CR57" s="755"/>
      <c r="CS57" s="755"/>
      <c r="CT57" s="755"/>
      <c r="CU57" s="755"/>
      <c r="CV57" s="755"/>
      <c r="CW57" s="755"/>
      <c r="CY57" s="934"/>
      <c r="CZ57" s="977">
        <f t="shared" si="18"/>
        <v>0</v>
      </c>
      <c r="DA57" s="3881">
        <f t="shared" ca="1" si="20"/>
        <v>68492.781825000013</v>
      </c>
      <c r="DB57" s="3882"/>
      <c r="DC57" s="937">
        <f t="shared" ca="1" si="21"/>
        <v>0</v>
      </c>
      <c r="DD57" s="938">
        <f t="shared" ca="1" si="22"/>
        <v>0</v>
      </c>
      <c r="DE57" s="938">
        <f t="shared" ca="1" si="23"/>
        <v>0</v>
      </c>
      <c r="DF57" s="938">
        <f t="shared" ca="1" si="24"/>
        <v>0</v>
      </c>
      <c r="DG57" s="938">
        <f t="shared" ca="1" si="25"/>
        <v>0</v>
      </c>
      <c r="DH57" s="943">
        <f t="shared" ca="1" si="26"/>
        <v>0</v>
      </c>
      <c r="DI57" s="939">
        <f t="shared" ca="1" si="27"/>
        <v>0</v>
      </c>
    </row>
    <row r="58" spans="1:113" ht="15.9" customHeight="1" x14ac:dyDescent="0.25">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c r="AA58" s="755"/>
      <c r="AB58" s="755"/>
      <c r="AC58" s="755"/>
      <c r="AD58" s="755"/>
      <c r="AE58" s="755"/>
      <c r="AF58" s="755"/>
      <c r="AG58" s="755"/>
      <c r="AH58" s="755"/>
      <c r="AI58" s="755"/>
      <c r="AJ58" s="755"/>
      <c r="AK58" s="755"/>
      <c r="AL58" s="755"/>
      <c r="AM58" s="755"/>
      <c r="AN58" s="755"/>
      <c r="AO58" s="755"/>
      <c r="AP58" s="755"/>
      <c r="AQ58" s="755"/>
      <c r="AR58" s="755"/>
      <c r="AS58" s="755"/>
      <c r="AT58" s="755"/>
      <c r="AU58" s="755"/>
      <c r="AV58" s="755"/>
      <c r="AW58" s="755"/>
      <c r="AX58" s="755"/>
      <c r="AY58" s="755"/>
      <c r="AZ58" s="755"/>
      <c r="BA58" s="755"/>
      <c r="BB58" s="755"/>
      <c r="BC58" s="755"/>
      <c r="BD58" s="755"/>
      <c r="BE58" s="755"/>
      <c r="BF58" s="755"/>
      <c r="BG58" s="755"/>
      <c r="BH58" s="755"/>
      <c r="BI58" s="755"/>
      <c r="BJ58" s="755"/>
      <c r="BK58" s="755"/>
      <c r="BL58" s="755"/>
      <c r="BM58" s="755"/>
      <c r="BN58" s="755"/>
      <c r="BO58" s="755"/>
      <c r="BP58" s="755"/>
      <c r="BQ58" s="755"/>
      <c r="BR58" s="755"/>
      <c r="BS58" s="755"/>
      <c r="BT58" s="755"/>
      <c r="BU58" s="755"/>
      <c r="BV58" s="755"/>
      <c r="BW58" s="755"/>
      <c r="BX58" s="755"/>
      <c r="BY58" s="755"/>
      <c r="BZ58" s="755"/>
      <c r="CA58" s="1020">
        <f t="shared" si="15"/>
        <v>0</v>
      </c>
      <c r="CB58" s="1023">
        <f t="shared" ca="1" si="16"/>
        <v>0</v>
      </c>
      <c r="CC58" s="1021">
        <f t="shared" ca="1" si="16"/>
        <v>0</v>
      </c>
      <c r="CD58" s="1021">
        <f t="shared" ca="1" si="16"/>
        <v>0</v>
      </c>
      <c r="CE58" s="1021">
        <f t="shared" ca="1" si="16"/>
        <v>0</v>
      </c>
      <c r="CF58" s="1021">
        <f t="shared" ca="1" si="16"/>
        <v>0</v>
      </c>
      <c r="CG58" s="1021">
        <f t="shared" ca="1" si="16"/>
        <v>0</v>
      </c>
      <c r="CH58" s="1021">
        <f t="shared" ca="1" si="16"/>
        <v>0</v>
      </c>
      <c r="CI58" s="755"/>
      <c r="CJ58" s="1020">
        <f t="shared" ca="1" si="17"/>
        <v>68492.781825000013</v>
      </c>
      <c r="CK58" s="1023">
        <f t="shared" ca="1" si="17"/>
        <v>0</v>
      </c>
      <c r="CL58" s="1021">
        <f t="shared" ca="1" si="17"/>
        <v>0</v>
      </c>
      <c r="CM58" s="1021">
        <f t="shared" ca="1" si="17"/>
        <v>0</v>
      </c>
      <c r="CN58" s="1021">
        <f t="shared" ca="1" si="17"/>
        <v>0</v>
      </c>
      <c r="CO58" s="1021">
        <f t="shared" ca="1" si="17"/>
        <v>0</v>
      </c>
      <c r="CP58" s="1021">
        <f t="shared" ca="1" si="17"/>
        <v>0</v>
      </c>
      <c r="CQ58" s="1021">
        <f t="shared" ca="1" si="17"/>
        <v>0</v>
      </c>
      <c r="CR58" s="755"/>
      <c r="CS58" s="755"/>
      <c r="CT58" s="755"/>
      <c r="CU58" s="755"/>
      <c r="CV58" s="755"/>
      <c r="CW58" s="755"/>
      <c r="CY58" s="934"/>
      <c r="CZ58" s="977">
        <f t="shared" si="18"/>
        <v>0</v>
      </c>
      <c r="DA58" s="3881">
        <f t="shared" ca="1" si="20"/>
        <v>68492.781825000013</v>
      </c>
      <c r="DB58" s="3882"/>
      <c r="DC58" s="937">
        <f t="shared" ca="1" si="21"/>
        <v>0</v>
      </c>
      <c r="DD58" s="938">
        <f t="shared" ca="1" si="22"/>
        <v>0</v>
      </c>
      <c r="DE58" s="938">
        <f t="shared" ca="1" si="23"/>
        <v>0</v>
      </c>
      <c r="DF58" s="938">
        <f t="shared" ca="1" si="24"/>
        <v>0</v>
      </c>
      <c r="DG58" s="938">
        <f t="shared" ca="1" si="25"/>
        <v>0</v>
      </c>
      <c r="DH58" s="943">
        <f t="shared" ca="1" si="26"/>
        <v>0</v>
      </c>
      <c r="DI58" s="939">
        <f t="shared" ca="1" si="27"/>
        <v>0</v>
      </c>
    </row>
    <row r="59" spans="1:113" ht="15.9" customHeight="1" x14ac:dyDescent="0.25">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c r="AA59" s="755"/>
      <c r="AB59" s="755"/>
      <c r="AC59" s="755"/>
      <c r="AD59" s="755"/>
      <c r="AE59" s="755"/>
      <c r="AF59" s="755"/>
      <c r="AG59" s="755"/>
      <c r="AH59" s="755"/>
      <c r="AI59" s="755"/>
      <c r="AJ59" s="755"/>
      <c r="AK59" s="755"/>
      <c r="AL59" s="755"/>
      <c r="AM59" s="755"/>
      <c r="AN59" s="755"/>
      <c r="AO59" s="755"/>
      <c r="AP59" s="755"/>
      <c r="AQ59" s="755"/>
      <c r="AR59" s="755"/>
      <c r="AS59" s="755"/>
      <c r="AT59" s="755"/>
      <c r="AU59" s="755"/>
      <c r="AV59" s="755"/>
      <c r="AW59" s="755"/>
      <c r="AX59" s="755"/>
      <c r="AY59" s="755"/>
      <c r="AZ59" s="755"/>
      <c r="BA59" s="755"/>
      <c r="BB59" s="755"/>
      <c r="BC59" s="755"/>
      <c r="BD59" s="755"/>
      <c r="BE59" s="755"/>
      <c r="BF59" s="755"/>
      <c r="BG59" s="755"/>
      <c r="BH59" s="755"/>
      <c r="BI59" s="755"/>
      <c r="BJ59" s="755"/>
      <c r="BK59" s="755"/>
      <c r="BL59" s="755"/>
      <c r="BM59" s="755"/>
      <c r="BN59" s="755"/>
      <c r="BO59" s="755"/>
      <c r="BP59" s="755"/>
      <c r="BQ59" s="755"/>
      <c r="BR59" s="755"/>
      <c r="BS59" s="755"/>
      <c r="BT59" s="755"/>
      <c r="BU59" s="755"/>
      <c r="BV59" s="755"/>
      <c r="BW59" s="755"/>
      <c r="BX59" s="755"/>
      <c r="BY59" s="755"/>
      <c r="BZ59" s="755"/>
      <c r="CA59" s="1020">
        <f t="shared" si="15"/>
        <v>0</v>
      </c>
      <c r="CB59" s="1023">
        <f t="shared" ca="1" si="16"/>
        <v>0</v>
      </c>
      <c r="CC59" s="1021">
        <f t="shared" ca="1" si="16"/>
        <v>0</v>
      </c>
      <c r="CD59" s="1021">
        <f t="shared" ca="1" si="16"/>
        <v>0</v>
      </c>
      <c r="CE59" s="1021">
        <f t="shared" ca="1" si="16"/>
        <v>0</v>
      </c>
      <c r="CF59" s="1021">
        <f t="shared" ca="1" si="16"/>
        <v>0</v>
      </c>
      <c r="CG59" s="1021">
        <f t="shared" ca="1" si="16"/>
        <v>0</v>
      </c>
      <c r="CH59" s="1021">
        <f t="shared" ca="1" si="16"/>
        <v>0</v>
      </c>
      <c r="CI59" s="755"/>
      <c r="CJ59" s="1020">
        <f t="shared" ca="1" si="17"/>
        <v>68492.781825000013</v>
      </c>
      <c r="CK59" s="1023">
        <f t="shared" ca="1" si="17"/>
        <v>0</v>
      </c>
      <c r="CL59" s="1021">
        <f t="shared" ca="1" si="17"/>
        <v>0</v>
      </c>
      <c r="CM59" s="1021">
        <f t="shared" ca="1" si="17"/>
        <v>0</v>
      </c>
      <c r="CN59" s="1021">
        <f t="shared" ca="1" si="17"/>
        <v>0</v>
      </c>
      <c r="CO59" s="1021">
        <f t="shared" ca="1" si="17"/>
        <v>0</v>
      </c>
      <c r="CP59" s="1021">
        <f t="shared" ca="1" si="17"/>
        <v>0</v>
      </c>
      <c r="CQ59" s="1021">
        <f t="shared" ca="1" si="17"/>
        <v>0</v>
      </c>
      <c r="CR59" s="755"/>
      <c r="CS59" s="755"/>
      <c r="CT59" s="755"/>
      <c r="CU59" s="755"/>
      <c r="CV59" s="755"/>
      <c r="CW59" s="755"/>
      <c r="CZ59" s="977">
        <f t="shared" si="18"/>
        <v>0</v>
      </c>
      <c r="DA59" s="3881">
        <f t="shared" ca="1" si="20"/>
        <v>68492.781825000013</v>
      </c>
      <c r="DB59" s="3882"/>
      <c r="DC59" s="937">
        <f t="shared" ca="1" si="21"/>
        <v>0</v>
      </c>
      <c r="DD59" s="938">
        <f t="shared" ca="1" si="22"/>
        <v>0</v>
      </c>
      <c r="DE59" s="938">
        <f t="shared" ca="1" si="23"/>
        <v>0</v>
      </c>
      <c r="DF59" s="938">
        <f t="shared" ca="1" si="24"/>
        <v>0</v>
      </c>
      <c r="DG59" s="938">
        <f t="shared" ca="1" si="25"/>
        <v>0</v>
      </c>
      <c r="DH59" s="943">
        <f t="shared" ca="1" si="26"/>
        <v>0</v>
      </c>
      <c r="DI59" s="939">
        <f t="shared" ca="1" si="27"/>
        <v>0</v>
      </c>
    </row>
    <row r="60" spans="1:113" ht="15.9" customHeight="1" x14ac:dyDescent="0.25">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c r="AA60" s="755"/>
      <c r="AB60" s="755"/>
      <c r="AC60" s="755"/>
      <c r="AD60" s="755"/>
      <c r="AE60" s="755"/>
      <c r="AF60" s="755"/>
      <c r="AG60" s="755"/>
      <c r="AH60" s="755"/>
      <c r="AI60" s="755"/>
      <c r="AJ60" s="755"/>
      <c r="AK60" s="755"/>
      <c r="AL60" s="755"/>
      <c r="AM60" s="755"/>
      <c r="AN60" s="755"/>
      <c r="AO60" s="755"/>
      <c r="AP60" s="755"/>
      <c r="AQ60" s="755"/>
      <c r="AR60" s="755"/>
      <c r="AS60" s="755"/>
      <c r="AT60" s="755"/>
      <c r="AU60" s="755"/>
      <c r="AV60" s="755"/>
      <c r="AW60" s="755"/>
      <c r="AX60" s="755"/>
      <c r="AY60" s="755"/>
      <c r="AZ60" s="755"/>
      <c r="BA60" s="755"/>
      <c r="BB60" s="755"/>
      <c r="BC60" s="755"/>
      <c r="BD60" s="755"/>
      <c r="BE60" s="755"/>
      <c r="BF60" s="755"/>
      <c r="BG60" s="755"/>
      <c r="BH60" s="755"/>
      <c r="BI60" s="755"/>
      <c r="BJ60" s="755"/>
      <c r="BK60" s="755"/>
      <c r="BL60" s="755"/>
      <c r="BM60" s="755"/>
      <c r="BN60" s="755"/>
      <c r="BO60" s="755"/>
      <c r="BP60" s="755"/>
      <c r="BQ60" s="755"/>
      <c r="BR60" s="755"/>
      <c r="BS60" s="755"/>
      <c r="BT60" s="755"/>
      <c r="BU60" s="755"/>
      <c r="BV60" s="755"/>
      <c r="BW60" s="755"/>
      <c r="BX60" s="755"/>
      <c r="BY60" s="755"/>
      <c r="BZ60" s="755"/>
      <c r="CA60" s="1020">
        <f t="shared" si="15"/>
        <v>0</v>
      </c>
      <c r="CB60" s="1023">
        <f t="shared" ca="1" si="16"/>
        <v>0</v>
      </c>
      <c r="CC60" s="1021">
        <f t="shared" ca="1" si="16"/>
        <v>0</v>
      </c>
      <c r="CD60" s="1021">
        <f t="shared" ca="1" si="16"/>
        <v>0</v>
      </c>
      <c r="CE60" s="1021">
        <f t="shared" ca="1" si="16"/>
        <v>0</v>
      </c>
      <c r="CF60" s="1021">
        <f t="shared" ca="1" si="16"/>
        <v>0</v>
      </c>
      <c r="CG60" s="1021">
        <f t="shared" ca="1" si="16"/>
        <v>0</v>
      </c>
      <c r="CH60" s="1021">
        <f t="shared" ca="1" si="16"/>
        <v>0</v>
      </c>
      <c r="CI60" s="755"/>
      <c r="CJ60" s="1020">
        <f t="shared" ca="1" si="17"/>
        <v>68492.781825000013</v>
      </c>
      <c r="CK60" s="1023">
        <f t="shared" ca="1" si="17"/>
        <v>0</v>
      </c>
      <c r="CL60" s="1021">
        <f t="shared" ca="1" si="17"/>
        <v>0</v>
      </c>
      <c r="CM60" s="1021">
        <f t="shared" ca="1" si="17"/>
        <v>0</v>
      </c>
      <c r="CN60" s="1021">
        <f t="shared" ca="1" si="17"/>
        <v>0</v>
      </c>
      <c r="CO60" s="1021">
        <f t="shared" ca="1" si="17"/>
        <v>0</v>
      </c>
      <c r="CP60" s="1021">
        <f t="shared" ca="1" si="17"/>
        <v>0</v>
      </c>
      <c r="CQ60" s="1021">
        <f t="shared" ca="1" si="17"/>
        <v>0</v>
      </c>
      <c r="CR60" s="755"/>
      <c r="CS60" s="755"/>
      <c r="CT60" s="755"/>
      <c r="CU60" s="755"/>
      <c r="CV60" s="755"/>
      <c r="CW60" s="755"/>
      <c r="CZ60" s="977">
        <f t="shared" si="18"/>
        <v>0</v>
      </c>
      <c r="DA60" s="3881">
        <f t="shared" ca="1" si="20"/>
        <v>68492.781825000013</v>
      </c>
      <c r="DB60" s="3882"/>
      <c r="DC60" s="937">
        <f t="shared" ca="1" si="21"/>
        <v>0</v>
      </c>
      <c r="DD60" s="938">
        <f t="shared" ca="1" si="22"/>
        <v>0</v>
      </c>
      <c r="DE60" s="938">
        <f t="shared" ca="1" si="23"/>
        <v>0</v>
      </c>
      <c r="DF60" s="938">
        <f t="shared" ca="1" si="24"/>
        <v>0</v>
      </c>
      <c r="DG60" s="938">
        <f t="shared" ca="1" si="25"/>
        <v>0</v>
      </c>
      <c r="DH60" s="943">
        <f t="shared" ca="1" si="26"/>
        <v>0</v>
      </c>
      <c r="DI60" s="939">
        <f t="shared" ca="1" si="27"/>
        <v>0</v>
      </c>
    </row>
    <row r="61" spans="1:113" ht="15.9" customHeight="1" x14ac:dyDescent="0.25">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c r="AA61" s="755"/>
      <c r="AB61" s="755"/>
      <c r="AC61" s="755"/>
      <c r="AD61" s="755"/>
      <c r="AE61" s="755"/>
      <c r="AF61" s="755"/>
      <c r="AG61" s="755"/>
      <c r="AH61" s="755"/>
      <c r="AI61" s="755"/>
      <c r="AJ61" s="755"/>
      <c r="AK61" s="755"/>
      <c r="AL61" s="755"/>
      <c r="AM61" s="755"/>
      <c r="AN61" s="755"/>
      <c r="AO61" s="755"/>
      <c r="AP61" s="755"/>
      <c r="AQ61" s="755"/>
      <c r="AR61" s="755"/>
      <c r="AS61" s="755"/>
      <c r="AT61" s="755"/>
      <c r="AU61" s="755"/>
      <c r="AV61" s="755"/>
      <c r="AW61" s="755"/>
      <c r="AX61" s="755"/>
      <c r="AY61" s="755"/>
      <c r="AZ61" s="755"/>
      <c r="BA61" s="755"/>
      <c r="BB61" s="755"/>
      <c r="BC61" s="755"/>
      <c r="BD61" s="755"/>
      <c r="BE61" s="755"/>
      <c r="BF61" s="755"/>
      <c r="BG61" s="755"/>
      <c r="BH61" s="755"/>
      <c r="BI61" s="755"/>
      <c r="BJ61" s="755"/>
      <c r="BK61" s="755"/>
      <c r="BL61" s="755"/>
      <c r="BM61" s="755"/>
      <c r="BN61" s="755"/>
      <c r="BO61" s="755"/>
      <c r="BP61" s="755"/>
      <c r="BQ61" s="755"/>
      <c r="BR61" s="755"/>
      <c r="BS61" s="755"/>
      <c r="BT61" s="755"/>
      <c r="BU61" s="755"/>
      <c r="BV61" s="755"/>
      <c r="BW61" s="755"/>
      <c r="BX61" s="755"/>
      <c r="BY61" s="755"/>
      <c r="BZ61" s="755"/>
      <c r="CA61" s="1020">
        <f t="shared" si="15"/>
        <v>0</v>
      </c>
      <c r="CB61" s="1023">
        <f t="shared" ca="1" si="16"/>
        <v>0</v>
      </c>
      <c r="CC61" s="1021">
        <f t="shared" ca="1" si="16"/>
        <v>0</v>
      </c>
      <c r="CD61" s="1021">
        <f t="shared" ca="1" si="16"/>
        <v>0</v>
      </c>
      <c r="CE61" s="1021">
        <f t="shared" ca="1" si="16"/>
        <v>0</v>
      </c>
      <c r="CF61" s="1021">
        <f t="shared" ca="1" si="16"/>
        <v>0</v>
      </c>
      <c r="CG61" s="1021">
        <f t="shared" ca="1" si="16"/>
        <v>0</v>
      </c>
      <c r="CH61" s="1021">
        <f t="shared" ca="1" si="16"/>
        <v>0</v>
      </c>
      <c r="CI61" s="755"/>
      <c r="CJ61" s="1020">
        <f t="shared" ca="1" si="17"/>
        <v>68492.781825000013</v>
      </c>
      <c r="CK61" s="1023">
        <f t="shared" ca="1" si="17"/>
        <v>0</v>
      </c>
      <c r="CL61" s="1021">
        <f t="shared" ca="1" si="17"/>
        <v>0</v>
      </c>
      <c r="CM61" s="1021">
        <f t="shared" ca="1" si="17"/>
        <v>0</v>
      </c>
      <c r="CN61" s="1021">
        <f t="shared" ca="1" si="17"/>
        <v>0</v>
      </c>
      <c r="CO61" s="1021">
        <f t="shared" ca="1" si="17"/>
        <v>0</v>
      </c>
      <c r="CP61" s="1021">
        <f t="shared" ca="1" si="17"/>
        <v>0</v>
      </c>
      <c r="CQ61" s="1021">
        <f t="shared" ca="1" si="17"/>
        <v>0</v>
      </c>
      <c r="CR61" s="755"/>
      <c r="CS61" s="755"/>
      <c r="CT61" s="755"/>
      <c r="CU61" s="755"/>
      <c r="CV61" s="755"/>
      <c r="CW61" s="755"/>
      <c r="CZ61" s="976">
        <f t="shared" si="18"/>
        <v>0</v>
      </c>
      <c r="DA61" s="3881">
        <f t="shared" ca="1" si="20"/>
        <v>68492.781825000013</v>
      </c>
      <c r="DB61" s="3882"/>
      <c r="DC61" s="940">
        <f t="shared" ca="1" si="21"/>
        <v>0</v>
      </c>
      <c r="DD61" s="941">
        <f t="shared" ca="1" si="22"/>
        <v>0</v>
      </c>
      <c r="DE61" s="941">
        <f t="shared" ca="1" si="23"/>
        <v>0</v>
      </c>
      <c r="DF61" s="941">
        <f t="shared" ca="1" si="24"/>
        <v>0</v>
      </c>
      <c r="DG61" s="941">
        <f t="shared" ca="1" si="25"/>
        <v>0</v>
      </c>
      <c r="DH61" s="944">
        <f t="shared" ca="1" si="26"/>
        <v>0</v>
      </c>
      <c r="DI61" s="942">
        <f t="shared" ca="1" si="27"/>
        <v>0</v>
      </c>
    </row>
    <row r="62" spans="1:113" ht="17.25" customHeight="1" x14ac:dyDescent="0.25">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c r="AA62" s="755"/>
      <c r="AB62" s="755"/>
      <c r="AC62" s="755"/>
      <c r="AD62" s="755"/>
      <c r="AE62" s="755"/>
      <c r="AF62" s="755"/>
      <c r="AG62" s="755"/>
      <c r="AH62" s="755"/>
      <c r="AI62" s="755"/>
      <c r="AJ62" s="755"/>
      <c r="AK62" s="755"/>
      <c r="AL62" s="755"/>
      <c r="AM62" s="755"/>
      <c r="AN62" s="755"/>
      <c r="AO62" s="755"/>
      <c r="AP62" s="755"/>
      <c r="AQ62" s="755"/>
      <c r="AR62" s="755"/>
      <c r="AS62" s="755"/>
      <c r="AT62" s="755"/>
      <c r="AU62" s="755"/>
      <c r="AV62" s="755"/>
      <c r="AW62" s="755"/>
      <c r="AX62" s="755"/>
      <c r="AY62" s="755"/>
      <c r="AZ62" s="755"/>
      <c r="BA62" s="755"/>
      <c r="BB62" s="755"/>
      <c r="BC62" s="755"/>
      <c r="BD62" s="755"/>
      <c r="BE62" s="755"/>
      <c r="BF62" s="755"/>
      <c r="BG62" s="755"/>
      <c r="BH62" s="755"/>
      <c r="BI62" s="755"/>
      <c r="BJ62" s="755"/>
      <c r="BK62" s="755"/>
      <c r="BL62" s="755"/>
      <c r="BM62" s="755"/>
      <c r="BN62" s="755"/>
      <c r="BO62" s="755"/>
      <c r="BP62" s="755"/>
      <c r="BQ62" s="755"/>
      <c r="BR62" s="755"/>
      <c r="BS62" s="755"/>
      <c r="BT62" s="755"/>
      <c r="BU62" s="755"/>
      <c r="BV62" s="755"/>
      <c r="BW62" s="755"/>
      <c r="BX62" s="755"/>
      <c r="BY62" s="755"/>
      <c r="BZ62" s="755"/>
      <c r="CA62" s="1036"/>
      <c r="CB62" s="925"/>
      <c r="CC62" s="925"/>
      <c r="CD62" s="925"/>
      <c r="CE62" s="925"/>
      <c r="CF62" s="925"/>
      <c r="CG62" s="925"/>
      <c r="CH62" s="926"/>
      <c r="CI62" s="755"/>
      <c r="CJ62" s="1036"/>
      <c r="CK62" s="925"/>
      <c r="CL62" s="925"/>
      <c r="CM62" s="925"/>
      <c r="CN62" s="925"/>
      <c r="CO62" s="925"/>
      <c r="CP62" s="925"/>
      <c r="CQ62" s="926"/>
      <c r="CR62" s="755"/>
      <c r="CS62" s="755"/>
      <c r="CT62" s="755"/>
      <c r="CU62" s="755"/>
      <c r="CV62" s="755"/>
      <c r="CW62" s="755"/>
      <c r="CZ62" s="929"/>
      <c r="DA62" s="2426"/>
      <c r="DB62" s="2426" t="s">
        <v>751</v>
      </c>
      <c r="DC62" s="925"/>
      <c r="DD62" s="925"/>
      <c r="DE62" s="925"/>
      <c r="DF62" s="925"/>
      <c r="DG62" s="925"/>
      <c r="DH62" s="925"/>
      <c r="DI62" s="926"/>
    </row>
    <row r="63" spans="1:113" x14ac:dyDescent="0.25">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c r="AA63" s="755"/>
      <c r="AB63" s="755"/>
      <c r="AC63" s="755"/>
      <c r="AD63" s="755"/>
      <c r="AE63" s="755"/>
      <c r="AF63" s="755"/>
      <c r="AG63" s="755"/>
      <c r="AH63" s="755"/>
      <c r="AI63" s="755"/>
      <c r="AJ63" s="755"/>
      <c r="AK63" s="755"/>
      <c r="AL63" s="755"/>
      <c r="AM63" s="755"/>
      <c r="AN63" s="755"/>
      <c r="AO63" s="755"/>
      <c r="AP63" s="755"/>
      <c r="AQ63" s="755"/>
      <c r="AR63" s="755"/>
      <c r="AS63" s="755"/>
      <c r="AT63" s="755"/>
      <c r="AU63" s="755"/>
      <c r="AV63" s="755"/>
      <c r="AW63" s="755"/>
      <c r="AX63" s="755"/>
      <c r="AY63" s="755"/>
      <c r="AZ63" s="755"/>
      <c r="BA63" s="755"/>
      <c r="BB63" s="755"/>
      <c r="BC63" s="755"/>
      <c r="BD63" s="755"/>
      <c r="BE63" s="755"/>
      <c r="BF63" s="755"/>
      <c r="BG63" s="755"/>
      <c r="BH63" s="755"/>
      <c r="BI63" s="755"/>
      <c r="BJ63" s="755"/>
      <c r="BK63" s="755"/>
      <c r="BL63" s="755"/>
      <c r="BM63" s="755"/>
      <c r="BN63" s="755"/>
      <c r="BO63" s="755"/>
      <c r="BP63" s="755"/>
      <c r="BQ63" s="755"/>
      <c r="BR63" s="755"/>
      <c r="BS63" s="755"/>
      <c r="BT63" s="755"/>
      <c r="BU63" s="755"/>
      <c r="BV63" s="755"/>
      <c r="BW63" s="755"/>
      <c r="BX63" s="755"/>
      <c r="BY63" s="755"/>
      <c r="BZ63" s="755"/>
      <c r="CA63" s="755"/>
      <c r="CB63" s="755"/>
      <c r="CC63" s="755"/>
      <c r="CD63" s="755"/>
      <c r="CE63" s="755"/>
      <c r="CF63" s="755"/>
      <c r="CG63" s="755"/>
      <c r="CH63" s="755"/>
      <c r="CI63" s="755"/>
      <c r="CJ63" s="755"/>
      <c r="CK63" s="755"/>
      <c r="CL63" s="755"/>
      <c r="CM63" s="755"/>
      <c r="CN63" s="755"/>
      <c r="CO63" s="755"/>
      <c r="CP63" s="755"/>
      <c r="CQ63" s="755"/>
      <c r="CR63" s="755"/>
      <c r="CS63" s="755"/>
      <c r="CT63" s="755"/>
      <c r="CU63" s="755"/>
      <c r="CV63" s="755"/>
      <c r="CW63" s="755"/>
    </row>
    <row r="64" spans="1:113" x14ac:dyDescent="0.25">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c r="AA64" s="755"/>
      <c r="AB64" s="755"/>
      <c r="AC64" s="755"/>
      <c r="AD64" s="755"/>
      <c r="AE64" s="755"/>
      <c r="AF64" s="755"/>
      <c r="AG64" s="755"/>
      <c r="AH64" s="755"/>
      <c r="AI64" s="755"/>
      <c r="AJ64" s="755"/>
      <c r="AK64" s="755"/>
      <c r="AL64" s="755"/>
      <c r="AM64" s="755"/>
      <c r="AN64" s="755"/>
      <c r="AO64" s="755"/>
      <c r="AP64" s="755"/>
      <c r="AQ64" s="755"/>
      <c r="AR64" s="755"/>
      <c r="AS64" s="755"/>
      <c r="AT64" s="755"/>
      <c r="AU64" s="755"/>
      <c r="AV64" s="755"/>
      <c r="AW64" s="755"/>
      <c r="AX64" s="755"/>
      <c r="AY64" s="755"/>
      <c r="AZ64" s="755"/>
      <c r="BA64" s="755"/>
      <c r="BB64" s="755"/>
      <c r="BC64" s="755"/>
      <c r="BD64" s="755"/>
      <c r="BE64" s="755"/>
      <c r="BF64" s="755"/>
      <c r="BG64" s="755"/>
      <c r="BH64" s="755"/>
      <c r="BI64" s="755"/>
      <c r="BJ64" s="755"/>
      <c r="BK64" s="755"/>
      <c r="BL64" s="755"/>
      <c r="BM64" s="755"/>
      <c r="BN64" s="755"/>
      <c r="BO64" s="755"/>
      <c r="BP64" s="755"/>
      <c r="BQ64" s="755"/>
      <c r="BR64" s="755"/>
      <c r="BS64" s="755"/>
      <c r="BT64" s="755"/>
      <c r="BU64" s="755"/>
      <c r="BV64" s="755"/>
      <c r="BW64" s="755"/>
      <c r="BX64" s="755"/>
      <c r="BY64" s="755"/>
      <c r="BZ64" s="755"/>
      <c r="CA64" s="755"/>
      <c r="CB64" s="755"/>
      <c r="CC64" s="755"/>
      <c r="CD64" s="755"/>
      <c r="CE64" s="755"/>
      <c r="CF64" s="755"/>
      <c r="CG64" s="755"/>
      <c r="CH64" s="755"/>
      <c r="CI64" s="755"/>
      <c r="CJ64" s="755"/>
      <c r="CK64" s="755"/>
      <c r="CL64" s="755"/>
      <c r="CM64" s="755"/>
      <c r="CN64" s="755"/>
      <c r="CO64" s="755"/>
      <c r="CP64" s="755"/>
      <c r="CQ64" s="755"/>
      <c r="CR64" s="755"/>
      <c r="CS64" s="755"/>
      <c r="CT64" s="755"/>
      <c r="CU64" s="755"/>
      <c r="CV64" s="755"/>
      <c r="CW64" s="755"/>
      <c r="DA64" s="1096"/>
    </row>
    <row r="65" spans="1:113" ht="21.75" customHeight="1" x14ac:dyDescent="0.3">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c r="AA65" s="755"/>
      <c r="AB65" s="755"/>
      <c r="AC65" s="755"/>
      <c r="AD65" s="755"/>
      <c r="AE65" s="755"/>
      <c r="AF65" s="755"/>
      <c r="AG65" s="755"/>
      <c r="AH65" s="755"/>
      <c r="AI65" s="755"/>
      <c r="AJ65" s="755"/>
      <c r="AK65" s="755"/>
      <c r="AL65" s="755"/>
      <c r="AM65" s="755"/>
      <c r="AN65" s="755"/>
      <c r="AO65" s="755"/>
      <c r="AP65" s="755"/>
      <c r="AQ65" s="755"/>
      <c r="AR65" s="755"/>
      <c r="AS65" s="755"/>
      <c r="AT65" s="755"/>
      <c r="AU65" s="755"/>
      <c r="AV65" s="755"/>
      <c r="AW65" s="755"/>
      <c r="AX65" s="755"/>
      <c r="AY65" s="755"/>
      <c r="AZ65" s="755"/>
      <c r="BA65" s="755"/>
      <c r="BB65" s="755"/>
      <c r="BC65" s="755"/>
      <c r="BD65" s="755"/>
      <c r="BE65" s="755"/>
      <c r="BF65" s="755"/>
      <c r="BG65" s="755"/>
      <c r="BH65" s="755"/>
      <c r="BI65" s="755"/>
      <c r="BJ65" s="755"/>
      <c r="BK65" s="755"/>
      <c r="BL65" s="755"/>
      <c r="BM65" s="755"/>
      <c r="BN65" s="755"/>
      <c r="BO65" s="755"/>
      <c r="BP65" s="755"/>
      <c r="BQ65" s="755"/>
      <c r="BR65" s="755"/>
      <c r="BS65" s="755"/>
      <c r="BT65" s="755"/>
      <c r="BU65" s="755"/>
      <c r="BV65" s="755"/>
      <c r="BW65" s="755"/>
      <c r="BX65" s="755"/>
      <c r="BY65" s="755"/>
      <c r="BZ65" s="755"/>
      <c r="CA65" s="1012" t="s">
        <v>835</v>
      </c>
      <c r="CB65" s="755"/>
      <c r="CC65" s="755"/>
      <c r="CD65" s="755"/>
      <c r="CE65" s="755"/>
      <c r="CF65" s="755"/>
      <c r="CG65" s="755"/>
      <c r="CH65" s="755"/>
      <c r="CI65" s="755"/>
      <c r="CJ65" s="1012" t="s">
        <v>836</v>
      </c>
      <c r="CK65" s="755"/>
      <c r="CL65" s="755"/>
      <c r="CM65" s="755"/>
      <c r="CN65" s="755"/>
      <c r="CO65" s="755"/>
      <c r="CP65" s="755"/>
      <c r="CQ65" s="755"/>
      <c r="CR65" s="1010"/>
      <c r="CS65" s="755"/>
      <c r="CT65" s="755"/>
      <c r="CU65" s="755"/>
      <c r="CV65" s="755"/>
      <c r="CW65" s="1018"/>
      <c r="CY65" s="924" t="s">
        <v>2738</v>
      </c>
    </row>
    <row r="66" spans="1:113" ht="21.9" customHeight="1" thickBot="1" x14ac:dyDescent="0.3">
      <c r="A66" s="295"/>
      <c r="B66" s="295"/>
      <c r="C66" s="755"/>
      <c r="D66" s="755"/>
      <c r="E66" s="755"/>
      <c r="F66" s="755"/>
      <c r="G66" s="755"/>
      <c r="H66" s="755"/>
      <c r="I66" s="755"/>
      <c r="J66" s="755"/>
      <c r="K66" s="755"/>
      <c r="L66" s="755"/>
      <c r="M66" s="755"/>
      <c r="N66" s="755"/>
      <c r="O66" s="755"/>
      <c r="P66" s="755"/>
      <c r="Q66" s="755"/>
      <c r="R66" s="755"/>
      <c r="S66" s="755"/>
      <c r="T66" s="755"/>
      <c r="U66" s="755"/>
      <c r="V66" s="755"/>
      <c r="W66" s="295"/>
      <c r="X66" s="295"/>
      <c r="Y66" s="295"/>
      <c r="Z66" s="295"/>
      <c r="AA66" s="295"/>
      <c r="AB66" s="295"/>
      <c r="AC66" s="295"/>
      <c r="AD66" s="295"/>
      <c r="AE66" s="295"/>
      <c r="AF66" s="295"/>
      <c r="AG66" s="295"/>
      <c r="AH66" s="295"/>
      <c r="AI66" s="295"/>
      <c r="AJ66" s="295"/>
      <c r="AK66" s="295"/>
      <c r="AL66" s="295"/>
      <c r="AM66" s="295"/>
      <c r="AN66" s="295"/>
      <c r="AO66" s="295"/>
      <c r="AP66" s="295"/>
      <c r="AQ66" s="295"/>
      <c r="AR66" s="295"/>
      <c r="AS66" s="295"/>
      <c r="AT66" s="295"/>
      <c r="AU66" s="295"/>
      <c r="AV66" s="295"/>
      <c r="AW66" s="295"/>
      <c r="AX66" s="295"/>
      <c r="AY66" s="295"/>
      <c r="AZ66" s="295"/>
      <c r="BA66" s="295"/>
      <c r="BB66" s="295"/>
      <c r="BC66" s="295"/>
      <c r="BD66" s="295"/>
      <c r="BE66" s="295"/>
      <c r="BF66" s="295"/>
      <c r="BG66" s="295"/>
      <c r="BH66" s="295"/>
      <c r="BI66" s="295"/>
      <c r="BJ66" s="295"/>
      <c r="BK66" s="295"/>
      <c r="BL66" s="295"/>
      <c r="BM66" s="295"/>
      <c r="BN66" s="295"/>
      <c r="BO66" s="295"/>
      <c r="BP66" s="295"/>
      <c r="BQ66" s="295"/>
      <c r="BR66" s="295"/>
      <c r="BS66" s="295"/>
      <c r="BT66" s="295"/>
      <c r="BU66" s="295"/>
      <c r="BV66" s="295"/>
      <c r="BW66" s="295"/>
      <c r="BX66" s="295"/>
      <c r="BY66" s="295"/>
      <c r="BZ66" s="295"/>
      <c r="CA66" s="1047" t="s">
        <v>847</v>
      </c>
      <c r="CB66" s="1035">
        <f>$CK$46</f>
        <v>99.99</v>
      </c>
      <c r="CC66" s="1033">
        <f>$CL$46</f>
        <v>99.99</v>
      </c>
      <c r="CD66" s="1033">
        <f>$CM$46</f>
        <v>99.99</v>
      </c>
      <c r="CE66" s="1033">
        <f>$CN$46</f>
        <v>99.99</v>
      </c>
      <c r="CF66" s="1033">
        <f>$CO$46</f>
        <v>99.99</v>
      </c>
      <c r="CG66" s="1033">
        <f>$CP$46</f>
        <v>99.99</v>
      </c>
      <c r="CH66" s="1033">
        <f>$CQ$46</f>
        <v>99.99</v>
      </c>
      <c r="CI66" s="755"/>
      <c r="CJ66" s="1047" t="s">
        <v>848</v>
      </c>
      <c r="CK66" s="1035">
        <f>$CK$46</f>
        <v>99.99</v>
      </c>
      <c r="CL66" s="1033">
        <f>$CL$46</f>
        <v>99.99</v>
      </c>
      <c r="CM66" s="1033">
        <f>$CM$46</f>
        <v>99.99</v>
      </c>
      <c r="CN66" s="1033">
        <f>$CN$46</f>
        <v>99.99</v>
      </c>
      <c r="CO66" s="1033">
        <f>$CO$46</f>
        <v>99.99</v>
      </c>
      <c r="CP66" s="1033">
        <f>$CP$46</f>
        <v>99.99</v>
      </c>
      <c r="CQ66" s="1033">
        <f>$CQ$46</f>
        <v>99.99</v>
      </c>
      <c r="CR66" s="1010"/>
      <c r="CS66" s="3839" t="s">
        <v>780</v>
      </c>
      <c r="CT66" s="3839" t="s">
        <v>1565</v>
      </c>
      <c r="CU66" s="3839" t="s">
        <v>779</v>
      </c>
      <c r="CV66" s="3839" t="s">
        <v>763</v>
      </c>
      <c r="CW66" s="1018"/>
      <c r="CY66" s="1095"/>
      <c r="CZ66" s="1095"/>
      <c r="DA66" s="3844" t="s">
        <v>130</v>
      </c>
      <c r="DB66" s="3844"/>
      <c r="DC66" s="2412">
        <f>DC$18</f>
        <v>0</v>
      </c>
      <c r="DD66" s="2412">
        <f t="shared" ref="DD66:DI66" si="28">DD$18</f>
        <v>0</v>
      </c>
      <c r="DE66" s="2412">
        <f t="shared" si="28"/>
        <v>0</v>
      </c>
      <c r="DF66" s="2412">
        <f t="shared" si="28"/>
        <v>0</v>
      </c>
      <c r="DG66" s="2412">
        <f t="shared" si="28"/>
        <v>0</v>
      </c>
      <c r="DH66" s="2412">
        <f t="shared" si="28"/>
        <v>0</v>
      </c>
      <c r="DI66" s="2412">
        <f t="shared" si="28"/>
        <v>0</v>
      </c>
    </row>
    <row r="67" spans="1:113" ht="24" customHeight="1" thickBot="1" x14ac:dyDescent="0.3">
      <c r="A67" s="295"/>
      <c r="B67" s="295"/>
      <c r="C67" s="2794">
        <f>C130</f>
        <v>99.99</v>
      </c>
      <c r="D67" s="1903"/>
      <c r="E67" s="1903"/>
      <c r="F67" s="1903"/>
      <c r="G67" s="1903"/>
      <c r="H67" s="1903"/>
      <c r="I67" s="1903"/>
      <c r="J67" s="1903"/>
      <c r="K67" s="1903"/>
      <c r="L67" s="1904"/>
      <c r="M67" s="2794">
        <f>M130</f>
        <v>99.99</v>
      </c>
      <c r="N67" s="1903"/>
      <c r="O67" s="1903"/>
      <c r="P67" s="1903"/>
      <c r="Q67" s="1903"/>
      <c r="R67" s="1903"/>
      <c r="S67" s="1903"/>
      <c r="T67" s="1903"/>
      <c r="U67" s="1903"/>
      <c r="V67" s="1904"/>
      <c r="W67" s="2794">
        <f>W130</f>
        <v>99.99</v>
      </c>
      <c r="X67" s="1903"/>
      <c r="Y67" s="1903"/>
      <c r="Z67" s="1903"/>
      <c r="AA67" s="1903"/>
      <c r="AB67" s="1903"/>
      <c r="AC67" s="1903"/>
      <c r="AD67" s="1903"/>
      <c r="AE67" s="1903"/>
      <c r="AF67" s="1904"/>
      <c r="AG67" s="2794">
        <f>AG130</f>
        <v>99.99</v>
      </c>
      <c r="AH67" s="1903"/>
      <c r="AI67" s="1903"/>
      <c r="AJ67" s="1903"/>
      <c r="AK67" s="1903"/>
      <c r="AL67" s="1903"/>
      <c r="AM67" s="1903"/>
      <c r="AN67" s="1903"/>
      <c r="AO67" s="1903"/>
      <c r="AP67" s="1904"/>
      <c r="AQ67" s="2794">
        <f>AQ130</f>
        <v>99.99</v>
      </c>
      <c r="AR67" s="1903"/>
      <c r="AS67" s="1903"/>
      <c r="AT67" s="1903"/>
      <c r="AU67" s="1903"/>
      <c r="AV67" s="1903"/>
      <c r="AW67" s="1903"/>
      <c r="AX67" s="1903"/>
      <c r="AY67" s="1903"/>
      <c r="AZ67" s="1904"/>
      <c r="BA67" s="2794">
        <f>BA130</f>
        <v>99.99</v>
      </c>
      <c r="BB67" s="1903"/>
      <c r="BC67" s="1903"/>
      <c r="BD67" s="1903"/>
      <c r="BE67" s="1903"/>
      <c r="BF67" s="1903"/>
      <c r="BG67" s="1903"/>
      <c r="BH67" s="1903"/>
      <c r="BI67" s="1903"/>
      <c r="BJ67" s="1904"/>
      <c r="BK67" s="2794">
        <f>BK130</f>
        <v>99.99</v>
      </c>
      <c r="BL67" s="1903"/>
      <c r="BM67" s="1903"/>
      <c r="BN67" s="1903"/>
      <c r="BO67" s="1903"/>
      <c r="BP67" s="1903"/>
      <c r="BQ67" s="1903"/>
      <c r="BR67" s="1903"/>
      <c r="BS67" s="1903"/>
      <c r="BT67" s="1904"/>
      <c r="BU67" s="295"/>
      <c r="BV67" s="295"/>
      <c r="BW67" s="295"/>
      <c r="BX67" s="295"/>
      <c r="BY67" s="295"/>
      <c r="BZ67" s="295"/>
      <c r="CA67" s="1030">
        <f t="shared" ref="CA67:CH67" ca="1" si="29">SUM(CA68:CA107)</f>
        <v>0</v>
      </c>
      <c r="CB67" s="1031">
        <f t="shared" ca="1" si="29"/>
        <v>0</v>
      </c>
      <c r="CC67" s="1032">
        <f t="shared" ca="1" si="29"/>
        <v>0</v>
      </c>
      <c r="CD67" s="1032">
        <f t="shared" ca="1" si="29"/>
        <v>0</v>
      </c>
      <c r="CE67" s="1032">
        <f t="shared" ca="1" si="29"/>
        <v>0</v>
      </c>
      <c r="CF67" s="1032">
        <f t="shared" ca="1" si="29"/>
        <v>0</v>
      </c>
      <c r="CG67" s="1032">
        <f t="shared" ca="1" si="29"/>
        <v>0</v>
      </c>
      <c r="CH67" s="1032">
        <f t="shared" ca="1" si="29"/>
        <v>0</v>
      </c>
      <c r="CI67" s="755"/>
      <c r="CJ67" s="1030">
        <f t="shared" ref="CJ67:CQ67" ca="1" si="30">SUM(CJ68:CJ107)</f>
        <v>73862.781825000013</v>
      </c>
      <c r="CK67" s="1031">
        <f t="shared" ca="1" si="30"/>
        <v>0</v>
      </c>
      <c r="CL67" s="1032">
        <f t="shared" ca="1" si="30"/>
        <v>0</v>
      </c>
      <c r="CM67" s="1032">
        <f t="shared" ca="1" si="30"/>
        <v>0</v>
      </c>
      <c r="CN67" s="1032">
        <f t="shared" ca="1" si="30"/>
        <v>0</v>
      </c>
      <c r="CO67" s="1032">
        <f t="shared" ca="1" si="30"/>
        <v>0</v>
      </c>
      <c r="CP67" s="1032">
        <f t="shared" ca="1" si="30"/>
        <v>0</v>
      </c>
      <c r="CQ67" s="1032">
        <f t="shared" ca="1" si="30"/>
        <v>0</v>
      </c>
      <c r="CR67" s="1010"/>
      <c r="CS67" s="3839"/>
      <c r="CT67" s="3839"/>
      <c r="CU67" s="3839"/>
      <c r="CV67" s="3839"/>
      <c r="CW67" s="1018"/>
      <c r="CY67" s="1095"/>
      <c r="CZ67" s="2388"/>
      <c r="DA67" s="3892">
        <f ca="1">SUM(DA68:DB107)</f>
        <v>73862.781825000013</v>
      </c>
      <c r="DB67" s="3893"/>
      <c r="DC67" s="2413">
        <f t="shared" ref="DC67:DI67" ca="1" si="31">SUM(DC68:DC107)</f>
        <v>0</v>
      </c>
      <c r="DD67" s="2414">
        <f t="shared" ca="1" si="31"/>
        <v>0</v>
      </c>
      <c r="DE67" s="2414">
        <f t="shared" ca="1" si="31"/>
        <v>0</v>
      </c>
      <c r="DF67" s="2414">
        <f t="shared" ca="1" si="31"/>
        <v>0</v>
      </c>
      <c r="DG67" s="2414">
        <f t="shared" ca="1" si="31"/>
        <v>0</v>
      </c>
      <c r="DH67" s="2415">
        <f t="shared" ca="1" si="31"/>
        <v>0</v>
      </c>
      <c r="DI67" s="2416">
        <f t="shared" ca="1" si="31"/>
        <v>0</v>
      </c>
    </row>
    <row r="68" spans="1:113" ht="15.9" customHeight="1" thickTop="1" thickBot="1" x14ac:dyDescent="0.3">
      <c r="A68" s="295"/>
      <c r="B68" s="295"/>
      <c r="C68" s="412" t="s">
        <v>1636</v>
      </c>
      <c r="D68" s="755"/>
      <c r="E68" s="755"/>
      <c r="F68" s="755"/>
      <c r="G68" s="755"/>
      <c r="H68" s="755"/>
      <c r="I68" s="755"/>
      <c r="J68" s="755"/>
      <c r="K68" s="755"/>
      <c r="L68" s="755"/>
      <c r="M68" s="412" t="s">
        <v>1636</v>
      </c>
      <c r="N68" s="755"/>
      <c r="O68" s="755"/>
      <c r="P68" s="755"/>
      <c r="Q68" s="755"/>
      <c r="R68" s="755"/>
      <c r="S68" s="755"/>
      <c r="T68" s="755"/>
      <c r="U68" s="755"/>
      <c r="V68" s="755"/>
      <c r="W68" s="412" t="s">
        <v>1636</v>
      </c>
      <c r="X68" s="755"/>
      <c r="Y68" s="755"/>
      <c r="Z68" s="755"/>
      <c r="AA68" s="755"/>
      <c r="AB68" s="755"/>
      <c r="AC68" s="755"/>
      <c r="AD68" s="755"/>
      <c r="AE68" s="755"/>
      <c r="AF68" s="755"/>
      <c r="AG68" s="412" t="s">
        <v>1636</v>
      </c>
      <c r="AH68" s="755"/>
      <c r="AI68" s="755"/>
      <c r="AJ68" s="755"/>
      <c r="AK68" s="755"/>
      <c r="AL68" s="755"/>
      <c r="AM68" s="755"/>
      <c r="AN68" s="755"/>
      <c r="AO68" s="755"/>
      <c r="AP68" s="755"/>
      <c r="AQ68" s="412" t="s">
        <v>1636</v>
      </c>
      <c r="AR68" s="755"/>
      <c r="AS68" s="755"/>
      <c r="AT68" s="755"/>
      <c r="AU68" s="755"/>
      <c r="AV68" s="755"/>
      <c r="AW68" s="755"/>
      <c r="AX68" s="755"/>
      <c r="AY68" s="755"/>
      <c r="AZ68" s="755"/>
      <c r="BA68" s="412" t="s">
        <v>1636</v>
      </c>
      <c r="BB68" s="755"/>
      <c r="BC68" s="755"/>
      <c r="BD68" s="755"/>
      <c r="BE68" s="755"/>
      <c r="BF68" s="755"/>
      <c r="BG68" s="755"/>
      <c r="BH68" s="755"/>
      <c r="BI68" s="755"/>
      <c r="BJ68" s="755"/>
      <c r="BK68" s="412" t="s">
        <v>1636</v>
      </c>
      <c r="BL68" s="755"/>
      <c r="BM68" s="755"/>
      <c r="BN68" s="755"/>
      <c r="BO68" s="755"/>
      <c r="BP68" s="755"/>
      <c r="BQ68" s="755"/>
      <c r="BR68" s="755"/>
      <c r="BS68" s="755"/>
      <c r="BT68" s="755"/>
      <c r="BU68" s="295"/>
      <c r="BV68" s="295"/>
      <c r="BW68" s="295"/>
      <c r="BX68" s="295"/>
      <c r="BY68" s="295"/>
      <c r="BZ68" s="295"/>
      <c r="CA68" s="1083">
        <f>'3a Staff Plan'!DP119+('3a Staff Plan'!DP120*DE6)</f>
        <v>0</v>
      </c>
      <c r="CB68" s="1084">
        <f ca="1">IFERROR(SUM(CB72:CB107)/SUM($CA$72:$CA$107)*$CA$68,0)</f>
        <v>0</v>
      </c>
      <c r="CC68" s="1085">
        <f t="shared" ref="CC68:CH68" ca="1" si="32">IFERROR(SUM(CC72:CC107)/SUM($CA$72:$CA$107)*$CA$68,0)</f>
        <v>0</v>
      </c>
      <c r="CD68" s="1085">
        <f t="shared" ca="1" si="32"/>
        <v>0</v>
      </c>
      <c r="CE68" s="1085">
        <f t="shared" ca="1" si="32"/>
        <v>0</v>
      </c>
      <c r="CF68" s="1085">
        <f t="shared" ca="1" si="32"/>
        <v>0</v>
      </c>
      <c r="CG68" s="1085">
        <f t="shared" ca="1" si="32"/>
        <v>0</v>
      </c>
      <c r="CH68" s="1085">
        <f t="shared" ca="1" si="32"/>
        <v>0</v>
      </c>
      <c r="CI68" s="755"/>
      <c r="CJ68" s="1077">
        <f>'3b Activity Plan'!CZ163+('3b Activity Plan'!CZ164*DE6)</f>
        <v>0</v>
      </c>
      <c r="CK68" s="1078">
        <f ca="1">IFERROR(SUM(CK72:CK107)/SUM($CJ$72:$CJ$107)*$CJ$68,0)</f>
        <v>0</v>
      </c>
      <c r="CL68" s="1079">
        <f t="shared" ref="CL68:CQ68" ca="1" si="33">IFERROR(SUM(CL72:CL107)/SUM($CJ$72:$CJ$107)*$CJ$68,0)</f>
        <v>0</v>
      </c>
      <c r="CM68" s="1079">
        <f t="shared" ca="1" si="33"/>
        <v>0</v>
      </c>
      <c r="CN68" s="1079">
        <f t="shared" ca="1" si="33"/>
        <v>0</v>
      </c>
      <c r="CO68" s="1079">
        <f t="shared" ca="1" si="33"/>
        <v>0</v>
      </c>
      <c r="CP68" s="1079">
        <f t="shared" ca="1" si="33"/>
        <v>0</v>
      </c>
      <c r="CQ68" s="1079">
        <f t="shared" ca="1" si="33"/>
        <v>0</v>
      </c>
      <c r="CR68" s="1010"/>
      <c r="CS68" s="3839"/>
      <c r="CT68" s="3839"/>
      <c r="CU68" s="3839"/>
      <c r="CV68" s="3839"/>
      <c r="CW68" s="1018"/>
      <c r="CY68" s="2417" t="s">
        <v>267</v>
      </c>
      <c r="CZ68" s="2418" t="str">
        <f>IF($CX$2=1,"(Distributed)","(Separated Out)")</f>
        <v>(Separated Out)</v>
      </c>
      <c r="DA68" s="3865">
        <f>((CJ68*$DE$4)+(CA68*$DE$3))*$CX$3</f>
        <v>0</v>
      </c>
      <c r="DB68" s="3866"/>
      <c r="DC68" s="2389">
        <f ca="1">((CK68*$DE$4)+(CB68*$DE$3))*$CX$3</f>
        <v>0</v>
      </c>
      <c r="DD68" s="2390">
        <f t="shared" ref="DD68:DI68" ca="1" si="34">((CL68*$DE$4)+(CC68*$DE$3))*$CX$3</f>
        <v>0</v>
      </c>
      <c r="DE68" s="2390">
        <f t="shared" ca="1" si="34"/>
        <v>0</v>
      </c>
      <c r="DF68" s="2390">
        <f t="shared" ca="1" si="34"/>
        <v>0</v>
      </c>
      <c r="DG68" s="2390">
        <f t="shared" ca="1" si="34"/>
        <v>0</v>
      </c>
      <c r="DH68" s="2391">
        <f t="shared" ca="1" si="34"/>
        <v>0</v>
      </c>
      <c r="DI68" s="2392">
        <f t="shared" ca="1" si="34"/>
        <v>0</v>
      </c>
    </row>
    <row r="69" spans="1:113" ht="15.9" customHeight="1" thickTop="1" x14ac:dyDescent="0.25">
      <c r="A69" s="295"/>
      <c r="B69" s="295"/>
      <c r="C69" s="1558">
        <v>1</v>
      </c>
      <c r="D69" s="1558">
        <v>2</v>
      </c>
      <c r="E69" s="1558">
        <v>3</v>
      </c>
      <c r="F69" s="1558">
        <v>4</v>
      </c>
      <c r="G69" s="1558">
        <v>5</v>
      </c>
      <c r="H69" s="1558">
        <v>6</v>
      </c>
      <c r="I69" s="1558">
        <v>7</v>
      </c>
      <c r="J69" s="1558">
        <v>8</v>
      </c>
      <c r="K69" s="1558">
        <v>9</v>
      </c>
      <c r="L69" s="1601">
        <v>10</v>
      </c>
      <c r="M69" s="1602">
        <v>1</v>
      </c>
      <c r="N69" s="1558">
        <v>2</v>
      </c>
      <c r="O69" s="1558">
        <v>3</v>
      </c>
      <c r="P69" s="1558">
        <v>4</v>
      </c>
      <c r="Q69" s="1558">
        <v>5</v>
      </c>
      <c r="R69" s="1558">
        <v>6</v>
      </c>
      <c r="S69" s="1558">
        <v>7</v>
      </c>
      <c r="T69" s="1558">
        <v>8</v>
      </c>
      <c r="U69" s="1558">
        <v>9</v>
      </c>
      <c r="V69" s="1558">
        <v>10</v>
      </c>
      <c r="W69" s="1602">
        <v>1</v>
      </c>
      <c r="X69" s="1558">
        <v>2</v>
      </c>
      <c r="Y69" s="1558">
        <v>3</v>
      </c>
      <c r="Z69" s="1558">
        <v>4</v>
      </c>
      <c r="AA69" s="1558">
        <v>5</v>
      </c>
      <c r="AB69" s="1558">
        <v>6</v>
      </c>
      <c r="AC69" s="1558">
        <v>7</v>
      </c>
      <c r="AD69" s="1558">
        <v>8</v>
      </c>
      <c r="AE69" s="1558">
        <v>9</v>
      </c>
      <c r="AF69" s="1558">
        <v>10</v>
      </c>
      <c r="AG69" s="1602">
        <v>1</v>
      </c>
      <c r="AH69" s="1558">
        <v>2</v>
      </c>
      <c r="AI69" s="1558">
        <v>3</v>
      </c>
      <c r="AJ69" s="1558">
        <v>4</v>
      </c>
      <c r="AK69" s="1558">
        <v>5</v>
      </c>
      <c r="AL69" s="1558">
        <v>6</v>
      </c>
      <c r="AM69" s="1558">
        <v>7</v>
      </c>
      <c r="AN69" s="1558">
        <v>8</v>
      </c>
      <c r="AO69" s="1558">
        <v>9</v>
      </c>
      <c r="AP69" s="1558">
        <v>10</v>
      </c>
      <c r="AQ69" s="1602">
        <v>1</v>
      </c>
      <c r="AR69" s="1558">
        <v>2</v>
      </c>
      <c r="AS69" s="1558">
        <v>3</v>
      </c>
      <c r="AT69" s="1558">
        <v>4</v>
      </c>
      <c r="AU69" s="1558">
        <v>5</v>
      </c>
      <c r="AV69" s="1558">
        <v>6</v>
      </c>
      <c r="AW69" s="1558">
        <v>7</v>
      </c>
      <c r="AX69" s="1558">
        <v>8</v>
      </c>
      <c r="AY69" s="1558">
        <v>9</v>
      </c>
      <c r="AZ69" s="1558">
        <v>10</v>
      </c>
      <c r="BA69" s="1602">
        <v>1</v>
      </c>
      <c r="BB69" s="1558">
        <v>2</v>
      </c>
      <c r="BC69" s="1558">
        <v>3</v>
      </c>
      <c r="BD69" s="1558">
        <v>4</v>
      </c>
      <c r="BE69" s="1558">
        <v>5</v>
      </c>
      <c r="BF69" s="1558">
        <v>6</v>
      </c>
      <c r="BG69" s="1558">
        <v>7</v>
      </c>
      <c r="BH69" s="1558">
        <v>8</v>
      </c>
      <c r="BI69" s="1558">
        <v>9</v>
      </c>
      <c r="BJ69" s="1558">
        <v>10</v>
      </c>
      <c r="BK69" s="1602">
        <v>1</v>
      </c>
      <c r="BL69" s="1558">
        <v>2</v>
      </c>
      <c r="BM69" s="1558">
        <v>3</v>
      </c>
      <c r="BN69" s="1558">
        <v>4</v>
      </c>
      <c r="BO69" s="1558">
        <v>5</v>
      </c>
      <c r="BP69" s="1558">
        <v>6</v>
      </c>
      <c r="BQ69" s="1558">
        <v>7</v>
      </c>
      <c r="BR69" s="1558">
        <v>8</v>
      </c>
      <c r="BS69" s="1558">
        <v>9</v>
      </c>
      <c r="BT69" s="1558">
        <v>10</v>
      </c>
      <c r="BU69" s="295"/>
      <c r="BV69" s="295"/>
      <c r="BW69" s="295"/>
      <c r="BX69" s="295"/>
      <c r="BY69" s="295"/>
      <c r="BZ69" s="295"/>
      <c r="CA69" s="1086">
        <f>'3a Staff Plan'!AA124</f>
        <v>0</v>
      </c>
      <c r="CB69" s="1087">
        <f>SUMIFS('3a Staff Plan'!$AA$129:$AA$305,'3a Staff Plan'!$C$129:$C$305,CB$66,'3a Staff Plan'!$DT$129:$DT$305,'2 Staff List'!$HB$46)</f>
        <v>0</v>
      </c>
      <c r="CC69" s="1088">
        <f>SUMIFS('3a Staff Plan'!$AA$129:$AA$305,'3a Staff Plan'!$C$129:$C$305,CC$66,'3a Staff Plan'!$DT$129:$DT$305,'2 Staff List'!$HB$46)</f>
        <v>0</v>
      </c>
      <c r="CD69" s="1088">
        <f>SUMIFS('3a Staff Plan'!$AA$129:$AA$305,'3a Staff Plan'!$C$129:$C$305,CD$66,'3a Staff Plan'!$DT$129:$DT$305,'2 Staff List'!$HB$46)</f>
        <v>0</v>
      </c>
      <c r="CE69" s="1088">
        <f>SUMIFS('3a Staff Plan'!$AA$129:$AA$305,'3a Staff Plan'!$C$129:$C$305,CE$66,'3a Staff Plan'!$DT$129:$DT$305,'2 Staff List'!$HB$46)</f>
        <v>0</v>
      </c>
      <c r="CF69" s="1088">
        <f>SUMIFS('3a Staff Plan'!$AA$129:$AA$305,'3a Staff Plan'!$C$129:$C$305,CF$66,'3a Staff Plan'!$DT$129:$DT$305,'2 Staff List'!$HB$46)</f>
        <v>0</v>
      </c>
      <c r="CG69" s="1088">
        <f>SUMIFS('3a Staff Plan'!$AA$129:$AA$305,'3a Staff Plan'!$C$129:$C$305,CG$66,'3a Staff Plan'!$DT$129:$DT$305,'2 Staff List'!$HB$46)</f>
        <v>0</v>
      </c>
      <c r="CH69" s="1088">
        <f>SUMIFS('3a Staff Plan'!$AA$129:$AA$305,'3a Staff Plan'!$C$129:$C$305,CH$66,'3a Staff Plan'!$DT$129:$DT$305,'2 Staff List'!$HB$46)</f>
        <v>0</v>
      </c>
      <c r="CI69" s="755"/>
      <c r="CJ69" s="1086">
        <f>SUMIFS('3b Activity Plan'!$AA$173:$AA$365,'3b Activity Plan'!$CY$173:$CY$365,1,'3b Activity Plan'!$DC$173:$DC$365,'2 Staff List'!$HB$46)</f>
        <v>0</v>
      </c>
      <c r="CK69" s="1087">
        <f>SUMIFS('3b Activity Plan'!$AA$173:$AA$365,'3b Activity Plan'!$C$173:$C$365,CK$66,'3b Activity Plan'!$CO$173:$CO$365,1,'3b Activity Plan'!$DC$173:$DC$365,'2 Staff List'!$HB$46)</f>
        <v>0</v>
      </c>
      <c r="CL69" s="1088">
        <f>SUMIFS('3b Activity Plan'!$AA$173:$AA$365,'3b Activity Plan'!$C$173:$C$365,CL$66,'3b Activity Plan'!$CO$173:$CO$365,1,'3b Activity Plan'!$DC$173:$DC$365,'2 Staff List'!$HB$46)</f>
        <v>0</v>
      </c>
      <c r="CM69" s="1088">
        <f>SUMIFS('3b Activity Plan'!$AA$173:$AA$365,'3b Activity Plan'!$C$173:$C$365,CM$66,'3b Activity Plan'!$CO$173:$CO$365,1,'3b Activity Plan'!$DC$173:$DC$365,'2 Staff List'!$HB$46)</f>
        <v>0</v>
      </c>
      <c r="CN69" s="1088">
        <f>SUMIFS('3b Activity Plan'!$AA$173:$AA$365,'3b Activity Plan'!$C$173:$C$365,CN$66,'3b Activity Plan'!$CO$173:$CO$365,1,'3b Activity Plan'!$DC$173:$DC$365,'2 Staff List'!$HB$46)</f>
        <v>0</v>
      </c>
      <c r="CO69" s="1088">
        <f>SUMIFS('3b Activity Plan'!$AA$173:$AA$365,'3b Activity Plan'!$C$173:$C$365,CO$66,'3b Activity Plan'!$CO$173:$CO$365,1,'3b Activity Plan'!$DC$173:$DC$365,'2 Staff List'!$HB$46)</f>
        <v>0</v>
      </c>
      <c r="CP69" s="1088">
        <f>SUMIFS('3b Activity Plan'!$AA$173:$AA$365,'3b Activity Plan'!$C$173:$C$365,CP$66,'3b Activity Plan'!$CO$173:$CO$365,1,'3b Activity Plan'!$DC$173:$DC$365,'2 Staff List'!$HB$46)</f>
        <v>0</v>
      </c>
      <c r="CQ69" s="1088">
        <f>SUMIFS('3b Activity Plan'!$AA$173:$AA$365,'3b Activity Plan'!$C$173:$C$365,CQ$66,'3b Activity Plan'!$CO$173:$CO$365,1,'3b Activity Plan'!$DC$173:$DC$365,'2 Staff List'!$HB$46)</f>
        <v>0</v>
      </c>
      <c r="CR69" s="1052"/>
      <c r="CS69" s="3839"/>
      <c r="CT69" s="3839"/>
      <c r="CU69" s="3839"/>
      <c r="CV69" s="3839"/>
      <c r="CW69" s="1052"/>
      <c r="CY69" s="3887" t="s">
        <v>117</v>
      </c>
      <c r="CZ69" s="968" t="s">
        <v>468</v>
      </c>
      <c r="DA69" s="3859">
        <f>(CJ69*$DE$4)+(CA69*$DE$3)</f>
        <v>0</v>
      </c>
      <c r="DB69" s="3860"/>
      <c r="DC69" s="2393">
        <f t="shared" ref="DC69:DC71" si="35">(CK69*$DE$4)+(CB69*$DE$3)</f>
        <v>0</v>
      </c>
      <c r="DD69" s="2393">
        <f t="shared" ref="DD69:DD71" si="36">(CL69*$DE$4)+(CC69*$DE$3)</f>
        <v>0</v>
      </c>
      <c r="DE69" s="2393">
        <f t="shared" ref="DE69:DE71" si="37">(CM69*$DE$4)+(CD69*$DE$3)</f>
        <v>0</v>
      </c>
      <c r="DF69" s="2393">
        <f t="shared" ref="DF69:DF71" si="38">(CN69*$DE$4)+(CE69*$DE$3)</f>
        <v>0</v>
      </c>
      <c r="DG69" s="2394">
        <f t="shared" ref="DG69:DG71" si="39">(CO69*$DE$4)+(CF69*$DE$3)</f>
        <v>0</v>
      </c>
      <c r="DH69" s="2395">
        <f t="shared" ref="DH69:DH71" si="40">(CP69*$DE$4)+(CG69*$DE$3)</f>
        <v>0</v>
      </c>
      <c r="DI69" s="2396">
        <f t="shared" ref="DI69:DI71" si="41">(CQ69*$DE$4)+(CH69*$DE$3)</f>
        <v>0</v>
      </c>
    </row>
    <row r="70" spans="1:113" ht="15.9" customHeight="1" x14ac:dyDescent="0.25">
      <c r="A70" s="295"/>
      <c r="B70" s="295"/>
      <c r="C70" s="2797"/>
      <c r="D70" s="2797"/>
      <c r="E70" s="2797"/>
      <c r="F70" s="2797"/>
      <c r="G70" s="2797"/>
      <c r="H70" s="2797"/>
      <c r="I70" s="2797"/>
      <c r="J70" s="2797"/>
      <c r="K70" s="2797"/>
      <c r="L70" s="2797"/>
      <c r="M70" s="2797"/>
      <c r="N70" s="2797"/>
      <c r="O70" s="2797"/>
      <c r="P70" s="2797"/>
      <c r="Q70" s="2797"/>
      <c r="R70" s="2797"/>
      <c r="S70" s="2797"/>
      <c r="T70" s="2797"/>
      <c r="U70" s="2797"/>
      <c r="V70" s="2797"/>
      <c r="W70" s="2797"/>
      <c r="X70" s="2797"/>
      <c r="Y70" s="2797"/>
      <c r="Z70" s="2797"/>
      <c r="AA70" s="2797"/>
      <c r="AB70" s="2797"/>
      <c r="AC70" s="2797"/>
      <c r="AD70" s="2797"/>
      <c r="AE70" s="2797"/>
      <c r="AF70" s="2797"/>
      <c r="AG70" s="2797"/>
      <c r="AH70" s="2797"/>
      <c r="AI70" s="2797"/>
      <c r="AJ70" s="2797"/>
      <c r="AK70" s="2797"/>
      <c r="AL70" s="2797"/>
      <c r="AM70" s="2797"/>
      <c r="AN70" s="2797"/>
      <c r="AO70" s="2797"/>
      <c r="AP70" s="2797"/>
      <c r="AQ70" s="2797"/>
      <c r="AR70" s="2797"/>
      <c r="AS70" s="2797"/>
      <c r="AT70" s="2797"/>
      <c r="AU70" s="2797"/>
      <c r="AV70" s="2797"/>
      <c r="AW70" s="2797"/>
      <c r="AX70" s="2797"/>
      <c r="AY70" s="2797"/>
      <c r="AZ70" s="2797"/>
      <c r="BA70" s="2797"/>
      <c r="BB70" s="2797"/>
      <c r="BC70" s="2797"/>
      <c r="BD70" s="2797"/>
      <c r="BE70" s="2797"/>
      <c r="BF70" s="2797"/>
      <c r="BG70" s="2797"/>
      <c r="BH70" s="2797"/>
      <c r="BI70" s="2797"/>
      <c r="BJ70" s="2797"/>
      <c r="BK70" s="2797"/>
      <c r="BL70" s="2797"/>
      <c r="BM70" s="2797"/>
      <c r="BN70" s="2797"/>
      <c r="BO70" s="2797"/>
      <c r="BP70" s="2797"/>
      <c r="BQ70" s="2797"/>
      <c r="BR70" s="2797"/>
      <c r="BS70" s="2797"/>
      <c r="BT70" s="2797"/>
      <c r="BU70" s="295"/>
      <c r="BV70" s="295"/>
      <c r="BW70" s="295"/>
      <c r="BX70" s="295"/>
      <c r="BY70" s="295"/>
      <c r="BZ70" s="295"/>
      <c r="CA70" s="1020">
        <f>'3a Staff Plan'!DP122+'3a Staff Plan'!AA123+'3a Staff Plan'!W126+'3a Staff Plan'!W123-'5  Control Accounts'!G14</f>
        <v>0</v>
      </c>
      <c r="CB70" s="1023"/>
      <c r="CC70" s="1021"/>
      <c r="CD70" s="1021"/>
      <c r="CE70" s="1021"/>
      <c r="CF70" s="1021"/>
      <c r="CG70" s="1021"/>
      <c r="CH70" s="1021"/>
      <c r="CI70" s="755"/>
      <c r="CJ70" s="1020">
        <f>'3b Activity Plan'!CZ166+'3b Activity Plan'!AA167+'3b Activity Plan'!W170+'3b Activity Plan'!W167-'5  Control Accounts'!R14</f>
        <v>0</v>
      </c>
      <c r="CK70" s="1023"/>
      <c r="CL70" s="1021"/>
      <c r="CM70" s="1021"/>
      <c r="CN70" s="1021"/>
      <c r="CO70" s="1021"/>
      <c r="CP70" s="1021"/>
      <c r="CQ70" s="1021"/>
      <c r="CR70" s="2793"/>
      <c r="CS70" s="3839"/>
      <c r="CT70" s="3839"/>
      <c r="CU70" s="3839"/>
      <c r="CV70" s="3839"/>
      <c r="CW70" s="2793"/>
      <c r="CY70" s="3888"/>
      <c r="CZ70" s="1067" t="s">
        <v>3402</v>
      </c>
      <c r="DA70" s="3859">
        <f>(CJ70*$DE$4)+(CA70*$DE$3)</f>
        <v>0</v>
      </c>
      <c r="DB70" s="3860"/>
      <c r="DC70" s="2798"/>
      <c r="DD70" s="2798"/>
      <c r="DE70" s="2798"/>
      <c r="DF70" s="2798"/>
      <c r="DG70" s="2799"/>
      <c r="DH70" s="2800"/>
      <c r="DI70" s="2801"/>
    </row>
    <row r="71" spans="1:113" ht="15.9" customHeight="1" thickBot="1" x14ac:dyDescent="0.35">
      <c r="A71" s="295"/>
      <c r="B71" s="295"/>
      <c r="C71" s="1012" t="s">
        <v>836</v>
      </c>
      <c r="D71" s="1587"/>
      <c r="E71" s="1587"/>
      <c r="F71" s="1587"/>
      <c r="G71" s="1587"/>
      <c r="H71" s="755"/>
      <c r="I71" s="755"/>
      <c r="J71" s="755"/>
      <c r="K71" s="755"/>
      <c r="L71" s="755"/>
      <c r="M71" s="755"/>
      <c r="N71" s="755"/>
      <c r="O71" s="755"/>
      <c r="P71" s="755"/>
      <c r="Q71" s="755"/>
      <c r="R71" s="755"/>
      <c r="S71" s="755"/>
      <c r="T71" s="755"/>
      <c r="U71" s="755"/>
      <c r="V71" s="755"/>
      <c r="W71" s="295"/>
      <c r="X71" s="295"/>
      <c r="Y71" s="295"/>
      <c r="Z71" s="295"/>
      <c r="AA71" s="295"/>
      <c r="AB71" s="295"/>
      <c r="AC71" s="295"/>
      <c r="AD71" s="295"/>
      <c r="AE71" s="295"/>
      <c r="AF71" s="295"/>
      <c r="AG71" s="295"/>
      <c r="AH71" s="295"/>
      <c r="AI71" s="295"/>
      <c r="AJ71" s="295"/>
      <c r="AK71" s="295"/>
      <c r="AL71" s="295"/>
      <c r="AM71" s="295"/>
      <c r="AN71" s="295"/>
      <c r="AO71" s="295"/>
      <c r="AP71" s="295"/>
      <c r="AQ71" s="295"/>
      <c r="AR71" s="295"/>
      <c r="AS71" s="295"/>
      <c r="AT71" s="295"/>
      <c r="AU71" s="295"/>
      <c r="AV71" s="295"/>
      <c r="AW71" s="295"/>
      <c r="AX71" s="295"/>
      <c r="AY71" s="295"/>
      <c r="AZ71" s="295"/>
      <c r="BA71" s="295"/>
      <c r="BB71" s="295"/>
      <c r="BC71" s="295"/>
      <c r="BD71" s="295"/>
      <c r="BE71" s="295"/>
      <c r="BF71" s="295"/>
      <c r="BG71" s="295"/>
      <c r="BH71" s="295"/>
      <c r="BI71" s="295"/>
      <c r="BJ71" s="295"/>
      <c r="BK71" s="295"/>
      <c r="BL71" s="295"/>
      <c r="BM71" s="295"/>
      <c r="BN71" s="295"/>
      <c r="BO71" s="295"/>
      <c r="BP71" s="295"/>
      <c r="BQ71" s="295"/>
      <c r="BR71" s="295"/>
      <c r="BS71" s="295"/>
      <c r="BT71" s="295"/>
      <c r="BU71" s="295"/>
      <c r="BV71" s="295"/>
      <c r="BW71" s="295"/>
      <c r="BX71" s="295"/>
      <c r="BY71" s="295"/>
      <c r="BZ71" s="295"/>
      <c r="CA71" s="1027">
        <f>'3a Staff Plan'!AA125</f>
        <v>0</v>
      </c>
      <c r="CB71" s="1028">
        <f>(SUMIFS('3a Staff Plan'!$AA$129:$AA$305,'3a Staff Plan'!$C$129:$C$305,CB$66))-CB69</f>
        <v>0</v>
      </c>
      <c r="CC71" s="1029">
        <f>(SUMIFS('3a Staff Plan'!$AA$129:$AA$305,'3a Staff Plan'!$C$129:$C$305,CC$66))-CC69</f>
        <v>0</v>
      </c>
      <c r="CD71" s="1029">
        <f>(SUMIFS('3a Staff Plan'!$AA$129:$AA$305,'3a Staff Plan'!$C$129:$C$305,CD$66))-CD69</f>
        <v>0</v>
      </c>
      <c r="CE71" s="1029">
        <f>(SUMIFS('3a Staff Plan'!$AA$129:$AA$305,'3a Staff Plan'!$C$129:$C$305,CE$66))-CE69</f>
        <v>0</v>
      </c>
      <c r="CF71" s="1029">
        <f>(SUMIFS('3a Staff Plan'!$AA$129:$AA$305,'3a Staff Plan'!$C$129:$C$305,CF$66))-CF69</f>
        <v>0</v>
      </c>
      <c r="CG71" s="1029">
        <f>(SUMIFS('3a Staff Plan'!$AA$129:$AA$305,'3a Staff Plan'!$C$129:$C$305,CG$66))-CG69</f>
        <v>0</v>
      </c>
      <c r="CH71" s="1029">
        <f>(SUMIFS('3a Staff Plan'!$AA$129:$AA$305,'3a Staff Plan'!$C$129:$C$305,CH$66))-CH69</f>
        <v>0</v>
      </c>
      <c r="CI71" s="755"/>
      <c r="CJ71" s="1027">
        <f>'3b Activity Plan'!AA169</f>
        <v>5370</v>
      </c>
      <c r="CK71" s="1028">
        <f>(SUMIFS('3b Activity Plan'!$AA$173:$AA$365,'3b Activity Plan'!$CO$173:$CO$365,1,'3b Activity Plan'!$C$173:$C$365,CK$66))-CK69</f>
        <v>0</v>
      </c>
      <c r="CL71" s="1029">
        <f>(SUMIFS('3b Activity Plan'!$AA$173:$AA$365,'3b Activity Plan'!$CO$173:$CO$365,1,'3b Activity Plan'!$C$173:$C$365,CL$66))-CL69</f>
        <v>0</v>
      </c>
      <c r="CM71" s="1029">
        <f>(SUMIFS('3b Activity Plan'!$AA$173:$AA$365,'3b Activity Plan'!$CO$173:$CO$365,1,'3b Activity Plan'!$C$173:$C$365,CM$66))-CM69</f>
        <v>0</v>
      </c>
      <c r="CN71" s="1029">
        <f>(SUMIFS('3b Activity Plan'!$AA$173:$AA$365,'3b Activity Plan'!$CO$173:$CO$365,1,'3b Activity Plan'!$C$173:$C$365,CN$66))-CN69</f>
        <v>0</v>
      </c>
      <c r="CO71" s="1029">
        <f>(SUMIFS('3b Activity Plan'!$AA$173:$AA$365,'3b Activity Plan'!$CO$173:$CO$365,1,'3b Activity Plan'!$C$173:$C$365,CO$66))-CO69</f>
        <v>0</v>
      </c>
      <c r="CP71" s="1029">
        <f>(SUMIFS('3b Activity Plan'!$AA$173:$AA$365,'3b Activity Plan'!$CO$173:$CO$365,1,'3b Activity Plan'!$C$173:$C$365,CP$66))-CP69</f>
        <v>0</v>
      </c>
      <c r="CQ71" s="1029">
        <f>(SUMIFS('3b Activity Plan'!$AA$173:$AA$365,'3b Activity Plan'!$CO$173:$CO$365,1,'3b Activity Plan'!$C$173:$C$365,CQ$66))-CQ69</f>
        <v>0</v>
      </c>
      <c r="CR71" s="1052"/>
      <c r="CS71" s="3839"/>
      <c r="CT71" s="3839"/>
      <c r="CU71" s="3839"/>
      <c r="CV71" s="3839"/>
      <c r="CW71" s="1052"/>
      <c r="CY71" s="3889"/>
      <c r="CZ71" s="2387" t="s">
        <v>854</v>
      </c>
      <c r="DA71" s="3890">
        <f>(CJ71*$DE$4)+(CA71*$DE$3)</f>
        <v>5370</v>
      </c>
      <c r="DB71" s="3891"/>
      <c r="DC71" s="2397">
        <f t="shared" si="35"/>
        <v>0</v>
      </c>
      <c r="DD71" s="2397">
        <f t="shared" si="36"/>
        <v>0</v>
      </c>
      <c r="DE71" s="2397">
        <f t="shared" si="37"/>
        <v>0</v>
      </c>
      <c r="DF71" s="2397">
        <f t="shared" si="38"/>
        <v>0</v>
      </c>
      <c r="DG71" s="2398">
        <f t="shared" si="39"/>
        <v>0</v>
      </c>
      <c r="DH71" s="2399">
        <f t="shared" si="40"/>
        <v>0</v>
      </c>
      <c r="DI71" s="2400">
        <f t="shared" si="41"/>
        <v>0</v>
      </c>
    </row>
    <row r="72" spans="1:113" ht="15.9" customHeight="1" x14ac:dyDescent="0.25">
      <c r="A72" s="295"/>
      <c r="B72" s="295"/>
      <c r="C72" s="1558">
        <f ca="1">OFFSET('2 Staff List'!$LO$64,$CT72-1,C$69-1)*C133</f>
        <v>0</v>
      </c>
      <c r="D72" s="1558">
        <f ca="1">OFFSET('2 Staff List'!$LO$64,$CT72-1,D$69-1)*D133</f>
        <v>0</v>
      </c>
      <c r="E72" s="1558">
        <f ca="1">OFFSET('2 Staff List'!$LO$64,$CT72-1,E$69-1)*E133</f>
        <v>0</v>
      </c>
      <c r="F72" s="1558">
        <f ca="1">OFFSET('2 Staff List'!$LO$64,$CT72-1,F$69-1)*F133</f>
        <v>0</v>
      </c>
      <c r="G72" s="1558">
        <f ca="1">OFFSET('2 Staff List'!$LO$64,$CT72-1,G$69-1)*G133</f>
        <v>0</v>
      </c>
      <c r="H72" s="1558">
        <f ca="1">OFFSET('2 Staff List'!$LO$64,$CT72-1,H$69-1)*H133</f>
        <v>0</v>
      </c>
      <c r="I72" s="1558">
        <f ca="1">OFFSET('2 Staff List'!$LO$64,$CT72-1,I$69-1)*I133</f>
        <v>0</v>
      </c>
      <c r="J72" s="1558">
        <f ca="1">OFFSET('2 Staff List'!$LO$64,$CT72-1,J$69-1)*J133</f>
        <v>0</v>
      </c>
      <c r="K72" s="1558">
        <f ca="1">OFFSET('2 Staff List'!$LO$64,$CT72-1,K$69-1)*K133</f>
        <v>0</v>
      </c>
      <c r="L72" s="1601">
        <f ca="1">OFFSET('2 Staff List'!$LO$64,$CT72-1,L$69-1)*L133</f>
        <v>0</v>
      </c>
      <c r="M72" s="1602">
        <f ca="1">OFFSET('2 Staff List'!$LO$64,$CT72-1,M$69-1)*M133</f>
        <v>0</v>
      </c>
      <c r="N72" s="1558">
        <f ca="1">OFFSET('2 Staff List'!$LO$64,$CT72-1,N$69-1)*N133</f>
        <v>0</v>
      </c>
      <c r="O72" s="1558">
        <f ca="1">OFFSET('2 Staff List'!$LO$64,$CT72-1,O$69-1)*O133</f>
        <v>0</v>
      </c>
      <c r="P72" s="1558">
        <f ca="1">OFFSET('2 Staff List'!$LO$64,$CT72-1,P$69-1)*P133</f>
        <v>0</v>
      </c>
      <c r="Q72" s="1558">
        <f ca="1">OFFSET('2 Staff List'!$LO$64,$CT72-1,Q$69-1)*Q133</f>
        <v>0</v>
      </c>
      <c r="R72" s="1558">
        <f ca="1">OFFSET('2 Staff List'!$LO$64,$CT72-1,R$69-1)*R133</f>
        <v>0</v>
      </c>
      <c r="S72" s="1558">
        <f ca="1">OFFSET('2 Staff List'!$LO$64,$CT72-1,S$69-1)*S133</f>
        <v>0</v>
      </c>
      <c r="T72" s="1558">
        <f ca="1">OFFSET('2 Staff List'!$LO$64,$CT72-1,T$69-1)*T133</f>
        <v>0</v>
      </c>
      <c r="U72" s="1558">
        <f ca="1">OFFSET('2 Staff List'!$LO$64,$CT72-1,U$69-1)*U133</f>
        <v>0</v>
      </c>
      <c r="V72" s="1601">
        <f ca="1">OFFSET('2 Staff List'!$LO$64,$CT72-1,V$69-1)*V133</f>
        <v>0</v>
      </c>
      <c r="W72" s="1602">
        <f ca="1">OFFSET('2 Staff List'!$LO$64,$CT72-1,W$69-1)*W133</f>
        <v>0</v>
      </c>
      <c r="X72" s="1558">
        <f ca="1">OFFSET('2 Staff List'!$LO$64,$CT72-1,X$69-1)*X133</f>
        <v>0</v>
      </c>
      <c r="Y72" s="1558">
        <f ca="1">OFFSET('2 Staff List'!$LO$64,$CT72-1,Y$69-1)*Y133</f>
        <v>0</v>
      </c>
      <c r="Z72" s="1558">
        <f ca="1">OFFSET('2 Staff List'!$LO$64,$CT72-1,Z$69-1)*Z133</f>
        <v>0</v>
      </c>
      <c r="AA72" s="1558">
        <f ca="1">OFFSET('2 Staff List'!$LO$64,$CT72-1,AA$69-1)*AA133</f>
        <v>0</v>
      </c>
      <c r="AB72" s="1558">
        <f ca="1">OFFSET('2 Staff List'!$LO$64,$CT72-1,AB$69-1)*AB133</f>
        <v>0</v>
      </c>
      <c r="AC72" s="1558">
        <f ca="1">OFFSET('2 Staff List'!$LO$64,$CT72-1,AC$69-1)*AC133</f>
        <v>0</v>
      </c>
      <c r="AD72" s="1558">
        <f ca="1">OFFSET('2 Staff List'!$LO$64,$CT72-1,AD$69-1)*AD133</f>
        <v>0</v>
      </c>
      <c r="AE72" s="1558">
        <f ca="1">OFFSET('2 Staff List'!$LO$64,$CT72-1,AE$69-1)*AE133</f>
        <v>0</v>
      </c>
      <c r="AF72" s="1601">
        <f ca="1">OFFSET('2 Staff List'!$LO$64,$CT72-1,AF$69-1)*AF133</f>
        <v>0</v>
      </c>
      <c r="AG72" s="1602">
        <f ca="1">OFFSET('2 Staff List'!$LO$64,$CT72-1,AG$69-1)*AG133</f>
        <v>0</v>
      </c>
      <c r="AH72" s="1558">
        <f ca="1">OFFSET('2 Staff List'!$LO$64,$CT72-1,AH$69-1)*AH133</f>
        <v>0</v>
      </c>
      <c r="AI72" s="1558">
        <f ca="1">OFFSET('2 Staff List'!$LO$64,$CT72-1,AI$69-1)*AI133</f>
        <v>0</v>
      </c>
      <c r="AJ72" s="1558">
        <f ca="1">OFFSET('2 Staff List'!$LO$64,$CT72-1,AJ$69-1)*AJ133</f>
        <v>0</v>
      </c>
      <c r="AK72" s="1558">
        <f ca="1">OFFSET('2 Staff List'!$LO$64,$CT72-1,AK$69-1)*AK133</f>
        <v>0</v>
      </c>
      <c r="AL72" s="1558">
        <f ca="1">OFFSET('2 Staff List'!$LO$64,$CT72-1,AL$69-1)*AL133</f>
        <v>0</v>
      </c>
      <c r="AM72" s="1558">
        <f ca="1">OFFSET('2 Staff List'!$LO$64,$CT72-1,AM$69-1)*AM133</f>
        <v>0</v>
      </c>
      <c r="AN72" s="1558">
        <f ca="1">OFFSET('2 Staff List'!$LO$64,$CT72-1,AN$69-1)*AN133</f>
        <v>0</v>
      </c>
      <c r="AO72" s="1558">
        <f ca="1">OFFSET('2 Staff List'!$LO$64,$CT72-1,AO$69-1)*AO133</f>
        <v>0</v>
      </c>
      <c r="AP72" s="1601">
        <f ca="1">OFFSET('2 Staff List'!$LO$64,$CT72-1,AP$69-1)*AP133</f>
        <v>0</v>
      </c>
      <c r="AQ72" s="1602">
        <f ca="1">OFFSET('2 Staff List'!$LO$64,$CT72-1,AQ$69-1)*AQ133</f>
        <v>0</v>
      </c>
      <c r="AR72" s="1558">
        <f ca="1">OFFSET('2 Staff List'!$LO$64,$CT72-1,AR$69-1)*AR133</f>
        <v>0</v>
      </c>
      <c r="AS72" s="1558">
        <f ca="1">OFFSET('2 Staff List'!$LO$64,$CT72-1,AS$69-1)*AS133</f>
        <v>0</v>
      </c>
      <c r="AT72" s="1558">
        <f ca="1">OFFSET('2 Staff List'!$LO$64,$CT72-1,AT$69-1)*AT133</f>
        <v>0</v>
      </c>
      <c r="AU72" s="1558">
        <f ca="1">OFFSET('2 Staff List'!$LO$64,$CT72-1,AU$69-1)*AU133</f>
        <v>0</v>
      </c>
      <c r="AV72" s="1558">
        <f ca="1">OFFSET('2 Staff List'!$LO$64,$CT72-1,AV$69-1)*AV133</f>
        <v>0</v>
      </c>
      <c r="AW72" s="1558">
        <f ca="1">OFFSET('2 Staff List'!$LO$64,$CT72-1,AW$69-1)*AW133</f>
        <v>0</v>
      </c>
      <c r="AX72" s="1558">
        <f ca="1">OFFSET('2 Staff List'!$LO$64,$CT72-1,AX$69-1)*AX133</f>
        <v>0</v>
      </c>
      <c r="AY72" s="1558">
        <f ca="1">OFFSET('2 Staff List'!$LO$64,$CT72-1,AY$69-1)*AY133</f>
        <v>0</v>
      </c>
      <c r="AZ72" s="1601">
        <f ca="1">OFFSET('2 Staff List'!$LO$64,$CT72-1,AZ$69-1)*AZ133</f>
        <v>0</v>
      </c>
      <c r="BA72" s="1602">
        <f ca="1">OFFSET('2 Staff List'!$LO$64,$CT72-1,BA$69-1)*BA133</f>
        <v>0</v>
      </c>
      <c r="BB72" s="1558">
        <f ca="1">OFFSET('2 Staff List'!$LO$64,$CT72-1,BB$69-1)*BB133</f>
        <v>0</v>
      </c>
      <c r="BC72" s="1558">
        <f ca="1">OFFSET('2 Staff List'!$LO$64,$CT72-1,BC$69-1)*BC133</f>
        <v>0</v>
      </c>
      <c r="BD72" s="1558">
        <f ca="1">OFFSET('2 Staff List'!$LO$64,$CT72-1,BD$69-1)*BD133</f>
        <v>0</v>
      </c>
      <c r="BE72" s="1558">
        <f ca="1">OFFSET('2 Staff List'!$LO$64,$CT72-1,BE$69-1)*BE133</f>
        <v>0</v>
      </c>
      <c r="BF72" s="1558">
        <f ca="1">OFFSET('2 Staff List'!$LO$64,$CT72-1,BF$69-1)*BF133</f>
        <v>0</v>
      </c>
      <c r="BG72" s="1558">
        <f ca="1">OFFSET('2 Staff List'!$LO$64,$CT72-1,BG$69-1)*BG133</f>
        <v>0</v>
      </c>
      <c r="BH72" s="1558">
        <f ca="1">OFFSET('2 Staff List'!$LO$64,$CT72-1,BH$69-1)*BH133</f>
        <v>0</v>
      </c>
      <c r="BI72" s="1558">
        <f ca="1">OFFSET('2 Staff List'!$LO$64,$CT72-1,BI$69-1)*BI133</f>
        <v>0</v>
      </c>
      <c r="BJ72" s="1601">
        <f ca="1">OFFSET('2 Staff List'!$LO$64,$CT72-1,BJ$69-1)*BJ133</f>
        <v>0</v>
      </c>
      <c r="BK72" s="1602">
        <f ca="1">OFFSET('2 Staff List'!$LO$64,$CT72-1,BK$69-1)*BK133</f>
        <v>0</v>
      </c>
      <c r="BL72" s="1558">
        <f ca="1">OFFSET('2 Staff List'!$LO$64,$CT72-1,BL$69-1)*BL133</f>
        <v>0</v>
      </c>
      <c r="BM72" s="1558">
        <f ca="1">OFFSET('2 Staff List'!$LO$64,$CT72-1,BM$69-1)*BM133</f>
        <v>0</v>
      </c>
      <c r="BN72" s="1558">
        <f ca="1">OFFSET('2 Staff List'!$LO$64,$CT72-1,BN$69-1)*BN133</f>
        <v>0</v>
      </c>
      <c r="BO72" s="1558">
        <f ca="1">OFFSET('2 Staff List'!$LO$64,$CT72-1,BO$69-1)*BO133</f>
        <v>0</v>
      </c>
      <c r="BP72" s="1558">
        <f ca="1">OFFSET('2 Staff List'!$LO$64,$CT72-1,BP$69-1)*BP133</f>
        <v>0</v>
      </c>
      <c r="BQ72" s="1558">
        <f ca="1">OFFSET('2 Staff List'!$LO$64,$CT72-1,BQ$69-1)*BQ133</f>
        <v>0</v>
      </c>
      <c r="BR72" s="1558">
        <f ca="1">OFFSET('2 Staff List'!$LO$64,$CT72-1,BR$69-1)*BR133</f>
        <v>0</v>
      </c>
      <c r="BS72" s="1558">
        <f ca="1">OFFSET('2 Staff List'!$LO$64,$CT72-1,BS$69-1)*BS133</f>
        <v>0</v>
      </c>
      <c r="BT72" s="1558">
        <f ca="1">OFFSET('2 Staff List'!$LO$64,$CT72-1,BT$69-1)*BT133</f>
        <v>0</v>
      </c>
      <c r="BU72" s="295"/>
      <c r="BV72" s="295"/>
      <c r="BW72" s="295"/>
      <c r="BX72" s="295"/>
      <c r="BY72" s="295"/>
      <c r="BZ72" s="295"/>
      <c r="CA72" s="1024">
        <f ca="1">SUMIFS('3a Staff Plan'!$X$129:$X$305,'3a Staff Plan'!$DY$129:$DY$305,CZ72,'3a Staff Plan'!$DF$129:$DF$305,1,'3a Staff Plan'!$AG$129:$AG$305,1)</f>
        <v>0</v>
      </c>
      <c r="CB72" s="1025">
        <f ca="1">SUMIFS('3a Staff Plan'!$X$129:$X$305,'3a Staff Plan'!$DY$129:$DY$305,$CZ72,'3a Staff Plan'!$DF$129:$DF$305,1,'3a Staff Plan'!$AG$129:$AG$305,1,'3a Staff Plan'!$C$129:$C$305,DC$18)</f>
        <v>0</v>
      </c>
      <c r="CC72" s="1026">
        <f ca="1">SUMIFS('3a Staff Plan'!$X$129:$X$305,'3a Staff Plan'!$DY$129:$DY$305,$CZ72,'3a Staff Plan'!$DF$129:$DF$305,1,'3a Staff Plan'!$AG$129:$AG$305,1,'3a Staff Plan'!$C$129:$C$305,DD$18)</f>
        <v>0</v>
      </c>
      <c r="CD72" s="1026">
        <f ca="1">SUMIFS('3a Staff Plan'!$X$129:$X$305,'3a Staff Plan'!$DY$129:$DY$305,$CZ72,'3a Staff Plan'!$DF$129:$DF$305,1,'3a Staff Plan'!$AG$129:$AG$305,1,'3a Staff Plan'!$C$129:$C$305,DE$18)</f>
        <v>0</v>
      </c>
      <c r="CE72" s="1026">
        <f ca="1">SUMIFS('3a Staff Plan'!$X$129:$X$305,'3a Staff Plan'!$DY$129:$DY$305,$CZ72,'3a Staff Plan'!$DF$129:$DF$305,1,'3a Staff Plan'!$AG$129:$AG$305,1,'3a Staff Plan'!$C$129:$C$305,DF$18)</f>
        <v>0</v>
      </c>
      <c r="CF72" s="1026">
        <f ca="1">SUMIFS('3a Staff Plan'!$X$129:$X$305,'3a Staff Plan'!$DY$129:$DY$305,$CZ72,'3a Staff Plan'!$DF$129:$DF$305,1,'3a Staff Plan'!$AG$129:$AG$305,1,'3a Staff Plan'!$C$129:$C$305,DG$18)</f>
        <v>0</v>
      </c>
      <c r="CG72" s="1026">
        <f ca="1">SUMIFS('3a Staff Plan'!$X$129:$X$305,'3a Staff Plan'!$DY$129:$DY$305,$CZ72,'3a Staff Plan'!$DF$129:$DF$305,1,'3a Staff Plan'!$AG$129:$AG$305,1,'3a Staff Plan'!$C$129:$C$305,DH$18)</f>
        <v>0</v>
      </c>
      <c r="CH72" s="1026">
        <f ca="1">SUMIFS('3a Staff Plan'!$X$129:$X$305,'3a Staff Plan'!$DY$129:$DY$305,$CZ72,'3a Staff Plan'!$DF$129:$DF$305,1,'3a Staff Plan'!$AG$129:$AG$305,1,'3a Staff Plan'!$C$129:$C$305,DI$18)</f>
        <v>0</v>
      </c>
      <c r="CI72" s="755"/>
      <c r="CJ72" s="1024">
        <f ca="1">SUMPRODUCT(OFFSET('3b Activity Plan'!$DJ$67:$DJ$76,0,$CU72-1),OFFSET('3b Activity Plan'!$DJ$78:$DJ$87,0,CU72-1))</f>
        <v>0</v>
      </c>
      <c r="CK72" s="1025">
        <f ca="1">SUM(C72:L72)</f>
        <v>0</v>
      </c>
      <c r="CL72" s="1026">
        <f ca="1">SUM(M72:V72)</f>
        <v>0</v>
      </c>
      <c r="CM72" s="1026">
        <f ca="1">SUM(W72:AF72)</f>
        <v>0</v>
      </c>
      <c r="CN72" s="1026">
        <f ca="1">SUM(AG72:AP72)</f>
        <v>0</v>
      </c>
      <c r="CO72" s="1026">
        <f ca="1">SUM(AQ72:AZ72)</f>
        <v>0</v>
      </c>
      <c r="CP72" s="1026">
        <f ca="1">SUM(BA72:BJ72)</f>
        <v>0</v>
      </c>
      <c r="CQ72" s="1026">
        <f ca="1">SUM(BK72:BT72)</f>
        <v>0</v>
      </c>
      <c r="CR72" s="417"/>
      <c r="CS72" s="417">
        <v>1</v>
      </c>
      <c r="CT72" s="417">
        <f ca="1">OFFSET('2 Staff List'!$GU$64,CS72-1,0)</f>
        <v>1</v>
      </c>
      <c r="CU72" s="417">
        <f ca="1">IF(CZ72=0,0,IFERROR(INDEX('3b Activity Plan'!$DJ$20:$FH$20,MATCH(CT72,'3b Activity Plan'!$DJ$171:$FH$171,0)),0))</f>
        <v>1</v>
      </c>
      <c r="CV72" s="417">
        <f ca="1">INDEX('2 Staff List'!$HW$64:$HW$114,CT72)</f>
        <v>0</v>
      </c>
      <c r="CW72" s="417"/>
      <c r="CY72" s="928" t="str">
        <f ca="1">OFFSET('2 Staff List'!$HZ$64,CS72-1,0)</f>
        <v>L1A Designated Project Executive</v>
      </c>
      <c r="CZ72" s="968" t="str">
        <f ca="1">OFFSET('2 Staff List'!$IA$64,CT72-1,0)</f>
        <v>Waite Andy</v>
      </c>
      <c r="DA72" s="3861">
        <f ca="1">((CJ72*$DE$4)+(CA72*$DE$3))*$CO$13</f>
        <v>0</v>
      </c>
      <c r="DB72" s="3862"/>
      <c r="DC72" s="2401">
        <f ca="1">((CK72*$DE$4)+(CB72*$DE$3))*$CO$13</f>
        <v>0</v>
      </c>
      <c r="DD72" s="2401">
        <f t="shared" ref="DD72:DI72" ca="1" si="42">((CL72*$DE$4)+(CC72*$DE$3))*$CO$13</f>
        <v>0</v>
      </c>
      <c r="DE72" s="2401">
        <f t="shared" ca="1" si="42"/>
        <v>0</v>
      </c>
      <c r="DF72" s="2401">
        <f t="shared" ca="1" si="42"/>
        <v>0</v>
      </c>
      <c r="DG72" s="2402">
        <f t="shared" ca="1" si="42"/>
        <v>0</v>
      </c>
      <c r="DH72" s="2403">
        <f t="shared" ca="1" si="42"/>
        <v>0</v>
      </c>
      <c r="DI72" s="2404">
        <f t="shared" ca="1" si="42"/>
        <v>0</v>
      </c>
    </row>
    <row r="73" spans="1:113" ht="15.9" customHeight="1" x14ac:dyDescent="0.25">
      <c r="A73" s="295"/>
      <c r="B73" s="295"/>
      <c r="C73" s="1558">
        <f ca="1">OFFSET('2 Staff List'!$LO$64,$CT73-1,C$69-1)*C134</f>
        <v>0</v>
      </c>
      <c r="D73" s="1558">
        <f ca="1">OFFSET('2 Staff List'!$LO$64,$CT73-1,D$69-1)*D134</f>
        <v>0</v>
      </c>
      <c r="E73" s="1558">
        <f ca="1">OFFSET('2 Staff List'!$LO$64,$CT73-1,E$69-1)*E134</f>
        <v>0</v>
      </c>
      <c r="F73" s="1558">
        <f ca="1">OFFSET('2 Staff List'!$LO$64,$CT73-1,F$69-1)*F134</f>
        <v>0</v>
      </c>
      <c r="G73" s="1558">
        <f ca="1">OFFSET('2 Staff List'!$LO$64,$CT73-1,G$69-1)*G134</f>
        <v>0</v>
      </c>
      <c r="H73" s="1558">
        <f ca="1">OFFSET('2 Staff List'!$LO$64,$CT73-1,H$69-1)*H134</f>
        <v>0</v>
      </c>
      <c r="I73" s="1558">
        <f ca="1">OFFSET('2 Staff List'!$LO$64,$CT73-1,I$69-1)*I134</f>
        <v>0</v>
      </c>
      <c r="J73" s="1558">
        <f ca="1">OFFSET('2 Staff List'!$LO$64,$CT73-1,J$69-1)*J134</f>
        <v>0</v>
      </c>
      <c r="K73" s="1558">
        <f ca="1">OFFSET('2 Staff List'!$LO$64,$CT73-1,K$69-1)*K134</f>
        <v>0</v>
      </c>
      <c r="L73" s="1601">
        <f ca="1">OFFSET('2 Staff List'!$LO$64,$CT73-1,L$69-1)*L134</f>
        <v>0</v>
      </c>
      <c r="M73" s="1602">
        <f ca="1">OFFSET('2 Staff List'!$LO$64,$CT73-1,M$69-1)*M134</f>
        <v>0</v>
      </c>
      <c r="N73" s="1558">
        <f ca="1">OFFSET('2 Staff List'!$LO$64,$CT73-1,N$69-1)*N134</f>
        <v>0</v>
      </c>
      <c r="O73" s="1558">
        <f ca="1">OFFSET('2 Staff List'!$LO$64,$CT73-1,O$69-1)*O134</f>
        <v>0</v>
      </c>
      <c r="P73" s="1558">
        <f ca="1">OFFSET('2 Staff List'!$LO$64,$CT73-1,P$69-1)*P134</f>
        <v>0</v>
      </c>
      <c r="Q73" s="1558">
        <f ca="1">OFFSET('2 Staff List'!$LO$64,$CT73-1,Q$69-1)*Q134</f>
        <v>0</v>
      </c>
      <c r="R73" s="1558">
        <f ca="1">OFFSET('2 Staff List'!$LO$64,$CT73-1,R$69-1)*R134</f>
        <v>0</v>
      </c>
      <c r="S73" s="1558">
        <f ca="1">OFFSET('2 Staff List'!$LO$64,$CT73-1,S$69-1)*S134</f>
        <v>0</v>
      </c>
      <c r="T73" s="1558">
        <f ca="1">OFFSET('2 Staff List'!$LO$64,$CT73-1,T$69-1)*T134</f>
        <v>0</v>
      </c>
      <c r="U73" s="1558">
        <f ca="1">OFFSET('2 Staff List'!$LO$64,$CT73-1,U$69-1)*U134</f>
        <v>0</v>
      </c>
      <c r="V73" s="1601">
        <f ca="1">OFFSET('2 Staff List'!$LO$64,$CT73-1,V$69-1)*V134</f>
        <v>0</v>
      </c>
      <c r="W73" s="1602">
        <f ca="1">OFFSET('2 Staff List'!$LO$64,$CT73-1,W$69-1)*W134</f>
        <v>0</v>
      </c>
      <c r="X73" s="1558">
        <f ca="1">OFFSET('2 Staff List'!$LO$64,$CT73-1,X$69-1)*X134</f>
        <v>0</v>
      </c>
      <c r="Y73" s="1558">
        <f ca="1">OFFSET('2 Staff List'!$LO$64,$CT73-1,Y$69-1)*Y134</f>
        <v>0</v>
      </c>
      <c r="Z73" s="1558">
        <f ca="1">OFFSET('2 Staff List'!$LO$64,$CT73-1,Z$69-1)*Z134</f>
        <v>0</v>
      </c>
      <c r="AA73" s="1558">
        <f ca="1">OFFSET('2 Staff List'!$LO$64,$CT73-1,AA$69-1)*AA134</f>
        <v>0</v>
      </c>
      <c r="AB73" s="1558">
        <f ca="1">OFFSET('2 Staff List'!$LO$64,$CT73-1,AB$69-1)*AB134</f>
        <v>0</v>
      </c>
      <c r="AC73" s="1558">
        <f ca="1">OFFSET('2 Staff List'!$LO$64,$CT73-1,AC$69-1)*AC134</f>
        <v>0</v>
      </c>
      <c r="AD73" s="1558">
        <f ca="1">OFFSET('2 Staff List'!$LO$64,$CT73-1,AD$69-1)*AD134</f>
        <v>0</v>
      </c>
      <c r="AE73" s="1558">
        <f ca="1">OFFSET('2 Staff List'!$LO$64,$CT73-1,AE$69-1)*AE134</f>
        <v>0</v>
      </c>
      <c r="AF73" s="1601">
        <f ca="1">OFFSET('2 Staff List'!$LO$64,$CT73-1,AF$69-1)*AF134</f>
        <v>0</v>
      </c>
      <c r="AG73" s="1602">
        <f ca="1">OFFSET('2 Staff List'!$LO$64,$CT73-1,AG$69-1)*AG134</f>
        <v>0</v>
      </c>
      <c r="AH73" s="1558">
        <f ca="1">OFFSET('2 Staff List'!$LO$64,$CT73-1,AH$69-1)*AH134</f>
        <v>0</v>
      </c>
      <c r="AI73" s="1558">
        <f ca="1">OFFSET('2 Staff List'!$LO$64,$CT73-1,AI$69-1)*AI134</f>
        <v>0</v>
      </c>
      <c r="AJ73" s="1558">
        <f ca="1">OFFSET('2 Staff List'!$LO$64,$CT73-1,AJ$69-1)*AJ134</f>
        <v>0</v>
      </c>
      <c r="AK73" s="1558">
        <f ca="1">OFFSET('2 Staff List'!$LO$64,$CT73-1,AK$69-1)*AK134</f>
        <v>0</v>
      </c>
      <c r="AL73" s="1558">
        <f ca="1">OFFSET('2 Staff List'!$LO$64,$CT73-1,AL$69-1)*AL134</f>
        <v>0</v>
      </c>
      <c r="AM73" s="1558">
        <f ca="1">OFFSET('2 Staff List'!$LO$64,$CT73-1,AM$69-1)*AM134</f>
        <v>0</v>
      </c>
      <c r="AN73" s="1558">
        <f ca="1">OFFSET('2 Staff List'!$LO$64,$CT73-1,AN$69-1)*AN134</f>
        <v>0</v>
      </c>
      <c r="AO73" s="1558">
        <f ca="1">OFFSET('2 Staff List'!$LO$64,$CT73-1,AO$69-1)*AO134</f>
        <v>0</v>
      </c>
      <c r="AP73" s="1601">
        <f ca="1">OFFSET('2 Staff List'!$LO$64,$CT73-1,AP$69-1)*AP134</f>
        <v>0</v>
      </c>
      <c r="AQ73" s="1602">
        <f ca="1">OFFSET('2 Staff List'!$LO$64,$CT73-1,AQ$69-1)*AQ134</f>
        <v>0</v>
      </c>
      <c r="AR73" s="1558">
        <f ca="1">OFFSET('2 Staff List'!$LO$64,$CT73-1,AR$69-1)*AR134</f>
        <v>0</v>
      </c>
      <c r="AS73" s="1558">
        <f ca="1">OFFSET('2 Staff List'!$LO$64,$CT73-1,AS$69-1)*AS134</f>
        <v>0</v>
      </c>
      <c r="AT73" s="1558">
        <f ca="1">OFFSET('2 Staff List'!$LO$64,$CT73-1,AT$69-1)*AT134</f>
        <v>0</v>
      </c>
      <c r="AU73" s="1558">
        <f ca="1">OFFSET('2 Staff List'!$LO$64,$CT73-1,AU$69-1)*AU134</f>
        <v>0</v>
      </c>
      <c r="AV73" s="1558">
        <f ca="1">OFFSET('2 Staff List'!$LO$64,$CT73-1,AV$69-1)*AV134</f>
        <v>0</v>
      </c>
      <c r="AW73" s="1558">
        <f ca="1">OFFSET('2 Staff List'!$LO$64,$CT73-1,AW$69-1)*AW134</f>
        <v>0</v>
      </c>
      <c r="AX73" s="1558">
        <f ca="1">OFFSET('2 Staff List'!$LO$64,$CT73-1,AX$69-1)*AX134</f>
        <v>0</v>
      </c>
      <c r="AY73" s="1558">
        <f ca="1">OFFSET('2 Staff List'!$LO$64,$CT73-1,AY$69-1)*AY134</f>
        <v>0</v>
      </c>
      <c r="AZ73" s="1601">
        <f ca="1">OFFSET('2 Staff List'!$LO$64,$CT73-1,AZ$69-1)*AZ134</f>
        <v>0</v>
      </c>
      <c r="BA73" s="1602">
        <f ca="1">OFFSET('2 Staff List'!$LO$64,$CT73-1,BA$69-1)*BA134</f>
        <v>0</v>
      </c>
      <c r="BB73" s="1558">
        <f ca="1">OFFSET('2 Staff List'!$LO$64,$CT73-1,BB$69-1)*BB134</f>
        <v>0</v>
      </c>
      <c r="BC73" s="1558">
        <f ca="1">OFFSET('2 Staff List'!$LO$64,$CT73-1,BC$69-1)*BC134</f>
        <v>0</v>
      </c>
      <c r="BD73" s="1558">
        <f ca="1">OFFSET('2 Staff List'!$LO$64,$CT73-1,BD$69-1)*BD134</f>
        <v>0</v>
      </c>
      <c r="BE73" s="1558">
        <f ca="1">OFFSET('2 Staff List'!$LO$64,$CT73-1,BE$69-1)*BE134</f>
        <v>0</v>
      </c>
      <c r="BF73" s="1558">
        <f ca="1">OFFSET('2 Staff List'!$LO$64,$CT73-1,BF$69-1)*BF134</f>
        <v>0</v>
      </c>
      <c r="BG73" s="1558">
        <f ca="1">OFFSET('2 Staff List'!$LO$64,$CT73-1,BG$69-1)*BG134</f>
        <v>0</v>
      </c>
      <c r="BH73" s="1558">
        <f ca="1">OFFSET('2 Staff List'!$LO$64,$CT73-1,BH$69-1)*BH134</f>
        <v>0</v>
      </c>
      <c r="BI73" s="1558">
        <f ca="1">OFFSET('2 Staff List'!$LO$64,$CT73-1,BI$69-1)*BI134</f>
        <v>0</v>
      </c>
      <c r="BJ73" s="1601">
        <f ca="1">OFFSET('2 Staff List'!$LO$64,$CT73-1,BJ$69-1)*BJ134</f>
        <v>0</v>
      </c>
      <c r="BK73" s="1602">
        <f ca="1">OFFSET('2 Staff List'!$LO$64,$CT73-1,BK$69-1)*BK134</f>
        <v>0</v>
      </c>
      <c r="BL73" s="1558">
        <f ca="1">OFFSET('2 Staff List'!$LO$64,$CT73-1,BL$69-1)*BL134</f>
        <v>0</v>
      </c>
      <c r="BM73" s="1558">
        <f ca="1">OFFSET('2 Staff List'!$LO$64,$CT73-1,BM$69-1)*BM134</f>
        <v>0</v>
      </c>
      <c r="BN73" s="1558">
        <f ca="1">OFFSET('2 Staff List'!$LO$64,$CT73-1,BN$69-1)*BN134</f>
        <v>0</v>
      </c>
      <c r="BO73" s="1558">
        <f ca="1">OFFSET('2 Staff List'!$LO$64,$CT73-1,BO$69-1)*BO134</f>
        <v>0</v>
      </c>
      <c r="BP73" s="1558">
        <f ca="1">OFFSET('2 Staff List'!$LO$64,$CT73-1,BP$69-1)*BP134</f>
        <v>0</v>
      </c>
      <c r="BQ73" s="1558">
        <f ca="1">OFFSET('2 Staff List'!$LO$64,$CT73-1,BQ$69-1)*BQ134</f>
        <v>0</v>
      </c>
      <c r="BR73" s="1558">
        <f ca="1">OFFSET('2 Staff List'!$LO$64,$CT73-1,BR$69-1)*BR134</f>
        <v>0</v>
      </c>
      <c r="BS73" s="1558">
        <f ca="1">OFFSET('2 Staff List'!$LO$64,$CT73-1,BS$69-1)*BS134</f>
        <v>0</v>
      </c>
      <c r="BT73" s="1558">
        <f ca="1">OFFSET('2 Staff List'!$LO$64,$CT73-1,BT$69-1)*BT134</f>
        <v>0</v>
      </c>
      <c r="BU73" s="295"/>
      <c r="BV73" s="295"/>
      <c r="BW73" s="295"/>
      <c r="BX73" s="295"/>
      <c r="BY73" s="295"/>
      <c r="BZ73" s="295"/>
      <c r="CA73" s="1024">
        <f ca="1">SUMIFS('3a Staff Plan'!$X$129:$X$305,'3a Staff Plan'!$DY$129:$DY$305,CZ73,'3a Staff Plan'!$DF$129:$DF$305,1,'3a Staff Plan'!$AG$129:$AG$305,1)</f>
        <v>0</v>
      </c>
      <c r="CB73" s="1025">
        <f ca="1">SUMIFS('3a Staff Plan'!$X$129:$X$305,'3a Staff Plan'!$DY$129:$DY$305,$CZ73,'3a Staff Plan'!$DF$129:$DF$305,1,'3a Staff Plan'!$AG$129:$AG$305,1,'3a Staff Plan'!$C$129:$C$305,DC$18)</f>
        <v>0</v>
      </c>
      <c r="CC73" s="1026">
        <f ca="1">SUMIFS('3a Staff Plan'!$X$129:$X$305,'3a Staff Plan'!$DY$129:$DY$305,$CZ73,'3a Staff Plan'!$DF$129:$DF$305,1,'3a Staff Plan'!$AG$129:$AG$305,1,'3a Staff Plan'!$C$129:$C$305,DD$18)</f>
        <v>0</v>
      </c>
      <c r="CD73" s="1026">
        <f ca="1">SUMIFS('3a Staff Plan'!$X$129:$X$305,'3a Staff Plan'!$DY$129:$DY$305,$CZ73,'3a Staff Plan'!$DF$129:$DF$305,1,'3a Staff Plan'!$AG$129:$AG$305,1,'3a Staff Plan'!$C$129:$C$305,DE$18)</f>
        <v>0</v>
      </c>
      <c r="CE73" s="1026">
        <f ca="1">SUMIFS('3a Staff Plan'!$X$129:$X$305,'3a Staff Plan'!$DY$129:$DY$305,$CZ73,'3a Staff Plan'!$DF$129:$DF$305,1,'3a Staff Plan'!$AG$129:$AG$305,1,'3a Staff Plan'!$C$129:$C$305,DF$18)</f>
        <v>0</v>
      </c>
      <c r="CF73" s="1026">
        <f ca="1">SUMIFS('3a Staff Plan'!$X$129:$X$305,'3a Staff Plan'!$DY$129:$DY$305,$CZ73,'3a Staff Plan'!$DF$129:$DF$305,1,'3a Staff Plan'!$AG$129:$AG$305,1,'3a Staff Plan'!$C$129:$C$305,DG$18)</f>
        <v>0</v>
      </c>
      <c r="CG73" s="1026">
        <f ca="1">SUMIFS('3a Staff Plan'!$X$129:$X$305,'3a Staff Plan'!$DY$129:$DY$305,$CZ73,'3a Staff Plan'!$DF$129:$DF$305,1,'3a Staff Plan'!$AG$129:$AG$305,1,'3a Staff Plan'!$C$129:$C$305,DH$18)</f>
        <v>0</v>
      </c>
      <c r="CH73" s="1026">
        <f ca="1">SUMIFS('3a Staff Plan'!$X$129:$X$305,'3a Staff Plan'!$DY$129:$DY$305,$CZ73,'3a Staff Plan'!$DF$129:$DF$305,1,'3a Staff Plan'!$AG$129:$AG$305,1,'3a Staff Plan'!$C$129:$C$305,DI$18)</f>
        <v>0</v>
      </c>
      <c r="CI73" s="755"/>
      <c r="CJ73" s="1024">
        <f ca="1">SUMPRODUCT(OFFSET('3b Activity Plan'!$DJ$67:$DJ$76,0,$CU73-1),OFFSET('3b Activity Plan'!$DJ$78:$DJ$87,0,CU73-1))</f>
        <v>2917.0752000000002</v>
      </c>
      <c r="CK73" s="1025">
        <f t="shared" ref="CK73:CK106" ca="1" si="43">SUM(C73:L73)</f>
        <v>0</v>
      </c>
      <c r="CL73" s="1026">
        <f t="shared" ref="CL73:CL106" ca="1" si="44">SUM(M73:V73)</f>
        <v>0</v>
      </c>
      <c r="CM73" s="1026">
        <f t="shared" ref="CM73:CM106" ca="1" si="45">SUM(W73:AF73)</f>
        <v>0</v>
      </c>
      <c r="CN73" s="1026">
        <f t="shared" ref="CN73:CN106" ca="1" si="46">SUM(AG73:AP73)</f>
        <v>0</v>
      </c>
      <c r="CO73" s="1026">
        <f t="shared" ref="CO73:CO106" ca="1" si="47">SUM(AQ73:AZ73)</f>
        <v>0</v>
      </c>
      <c r="CP73" s="1026">
        <f t="shared" ref="CP73:CP106" ca="1" si="48">SUM(BA73:BJ73)</f>
        <v>0</v>
      </c>
      <c r="CQ73" s="1026">
        <f t="shared" ref="CQ73:CQ106" ca="1" si="49">SUM(BK73:BT73)</f>
        <v>0</v>
      </c>
      <c r="CR73" s="417"/>
      <c r="CS73" s="417">
        <f t="shared" ref="CS73:CS106" si="50">ROW()-ROW($CS$72)+1</f>
        <v>2</v>
      </c>
      <c r="CT73" s="417">
        <f ca="1">OFFSET('2 Staff List'!$GU$64,CS73-1,0)</f>
        <v>2</v>
      </c>
      <c r="CU73" s="417">
        <f ca="1">IF(CZ73=0,0,IFERROR(INDEX('3b Activity Plan'!$DJ$20:$FH$20,MATCH(CT73,'3b Activity Plan'!$DJ$171:$FH$171,0)),0))</f>
        <v>2</v>
      </c>
      <c r="CV73" s="417">
        <f ca="1">INDEX('2 Staff List'!$HW$64:$HW$114,CT73)</f>
        <v>0</v>
      </c>
      <c r="CW73" s="417"/>
      <c r="CY73" s="927" t="str">
        <f ca="1">OFFSET('2 Staff List'!$HZ$64,CS73-1,0)</f>
        <v>L4A Senior Administrator</v>
      </c>
      <c r="CZ73" s="975" t="str">
        <f ca="1">OFFSET('2 Staff List'!$IA$64,CT73-1,0)</f>
        <v>Hutchinson Amanda</v>
      </c>
      <c r="DA73" s="3845">
        <f t="shared" ref="DA73:DA106" ca="1" si="51">((CJ73*$DE$4)+(CA73*$DE$3))*$CO$13</f>
        <v>2917.0752000000002</v>
      </c>
      <c r="DB73" s="3846"/>
      <c r="DC73" s="2401">
        <f t="shared" ref="DC73:DC106" ca="1" si="52">((CK73*$DE$4)+(CB73*$DE$3))*$CO$13</f>
        <v>0</v>
      </c>
      <c r="DD73" s="2401">
        <f t="shared" ref="DD73:DD106" ca="1" si="53">((CL73*$DE$4)+(CC73*$DE$3))*$CO$13</f>
        <v>0</v>
      </c>
      <c r="DE73" s="2401">
        <f t="shared" ref="DE73:DE106" ca="1" si="54">((CM73*$DE$4)+(CD73*$DE$3))*$CO$13</f>
        <v>0</v>
      </c>
      <c r="DF73" s="2405">
        <f t="shared" ref="DF73:DF106" ca="1" si="55">((CN73*$DE$4)+(CE73*$DE$3))*$CO$13</f>
        <v>0</v>
      </c>
      <c r="DG73" s="2405">
        <f t="shared" ref="DG73:DG106" ca="1" si="56">((CO73*$DE$4)+(CF73*$DE$3))*$CO$13</f>
        <v>0</v>
      </c>
      <c r="DH73" s="2406">
        <f t="shared" ref="DH73:DH106" ca="1" si="57">((CP73*$DE$4)+(CG73*$DE$3))*$CO$13</f>
        <v>0</v>
      </c>
      <c r="DI73" s="2407">
        <f t="shared" ref="DI73:DI106" ca="1" si="58">((CQ73*$DE$4)+(CH73*$DE$3))*$CO$13</f>
        <v>0</v>
      </c>
    </row>
    <row r="74" spans="1:113" ht="15.9" customHeight="1" x14ac:dyDescent="0.25">
      <c r="A74" s="295"/>
      <c r="B74" s="295"/>
      <c r="C74" s="1558">
        <f ca="1">OFFSET('2 Staff List'!$LO$64,$CT74-1,C$69-1)*C135</f>
        <v>0</v>
      </c>
      <c r="D74" s="1558">
        <f ca="1">OFFSET('2 Staff List'!$LO$64,$CT74-1,D$69-1)*D135</f>
        <v>0</v>
      </c>
      <c r="E74" s="1558">
        <f ca="1">OFFSET('2 Staff List'!$LO$64,$CT74-1,E$69-1)*E135</f>
        <v>0</v>
      </c>
      <c r="F74" s="1558">
        <f ca="1">OFFSET('2 Staff List'!$LO$64,$CT74-1,F$69-1)*F135</f>
        <v>0</v>
      </c>
      <c r="G74" s="1558">
        <f ca="1">OFFSET('2 Staff List'!$LO$64,$CT74-1,G$69-1)*G135</f>
        <v>0</v>
      </c>
      <c r="H74" s="1558">
        <f ca="1">OFFSET('2 Staff List'!$LO$64,$CT74-1,H$69-1)*H135</f>
        <v>0</v>
      </c>
      <c r="I74" s="1558">
        <f ca="1">OFFSET('2 Staff List'!$LO$64,$CT74-1,I$69-1)*I135</f>
        <v>0</v>
      </c>
      <c r="J74" s="1558">
        <f ca="1">OFFSET('2 Staff List'!$LO$64,$CT74-1,J$69-1)*J135</f>
        <v>0</v>
      </c>
      <c r="K74" s="1558">
        <f ca="1">OFFSET('2 Staff List'!$LO$64,$CT74-1,K$69-1)*K135</f>
        <v>0</v>
      </c>
      <c r="L74" s="1601">
        <f ca="1">OFFSET('2 Staff List'!$LO$64,$CT74-1,L$69-1)*L135</f>
        <v>0</v>
      </c>
      <c r="M74" s="1602">
        <f ca="1">OFFSET('2 Staff List'!$LO$64,$CT74-1,M$69-1)*M135</f>
        <v>0</v>
      </c>
      <c r="N74" s="1558">
        <f ca="1">OFFSET('2 Staff List'!$LO$64,$CT74-1,N$69-1)*N135</f>
        <v>0</v>
      </c>
      <c r="O74" s="1558">
        <f ca="1">OFFSET('2 Staff List'!$LO$64,$CT74-1,O$69-1)*O135</f>
        <v>0</v>
      </c>
      <c r="P74" s="1558">
        <f ca="1">OFFSET('2 Staff List'!$LO$64,$CT74-1,P$69-1)*P135</f>
        <v>0</v>
      </c>
      <c r="Q74" s="1558">
        <f ca="1">OFFSET('2 Staff List'!$LO$64,$CT74-1,Q$69-1)*Q135</f>
        <v>0</v>
      </c>
      <c r="R74" s="1558">
        <f ca="1">OFFSET('2 Staff List'!$LO$64,$CT74-1,R$69-1)*R135</f>
        <v>0</v>
      </c>
      <c r="S74" s="1558">
        <f ca="1">OFFSET('2 Staff List'!$LO$64,$CT74-1,S$69-1)*S135</f>
        <v>0</v>
      </c>
      <c r="T74" s="1558">
        <f ca="1">OFFSET('2 Staff List'!$LO$64,$CT74-1,T$69-1)*T135</f>
        <v>0</v>
      </c>
      <c r="U74" s="1558">
        <f ca="1">OFFSET('2 Staff List'!$LO$64,$CT74-1,U$69-1)*U135</f>
        <v>0</v>
      </c>
      <c r="V74" s="1601">
        <f ca="1">OFFSET('2 Staff List'!$LO$64,$CT74-1,V$69-1)*V135</f>
        <v>0</v>
      </c>
      <c r="W74" s="1602">
        <f ca="1">OFFSET('2 Staff List'!$LO$64,$CT74-1,W$69-1)*W135</f>
        <v>0</v>
      </c>
      <c r="X74" s="1558">
        <f ca="1">OFFSET('2 Staff List'!$LO$64,$CT74-1,X$69-1)*X135</f>
        <v>0</v>
      </c>
      <c r="Y74" s="1558">
        <f ca="1">OFFSET('2 Staff List'!$LO$64,$CT74-1,Y$69-1)*Y135</f>
        <v>0</v>
      </c>
      <c r="Z74" s="1558">
        <f ca="1">OFFSET('2 Staff List'!$LO$64,$CT74-1,Z$69-1)*Z135</f>
        <v>0</v>
      </c>
      <c r="AA74" s="1558">
        <f ca="1">OFFSET('2 Staff List'!$LO$64,$CT74-1,AA$69-1)*AA135</f>
        <v>0</v>
      </c>
      <c r="AB74" s="1558">
        <f ca="1">OFFSET('2 Staff List'!$LO$64,$CT74-1,AB$69-1)*AB135</f>
        <v>0</v>
      </c>
      <c r="AC74" s="1558">
        <f ca="1">OFFSET('2 Staff List'!$LO$64,$CT74-1,AC$69-1)*AC135</f>
        <v>0</v>
      </c>
      <c r="AD74" s="1558">
        <f ca="1">OFFSET('2 Staff List'!$LO$64,$CT74-1,AD$69-1)*AD135</f>
        <v>0</v>
      </c>
      <c r="AE74" s="1558">
        <f ca="1">OFFSET('2 Staff List'!$LO$64,$CT74-1,AE$69-1)*AE135</f>
        <v>0</v>
      </c>
      <c r="AF74" s="1601">
        <f ca="1">OFFSET('2 Staff List'!$LO$64,$CT74-1,AF$69-1)*AF135</f>
        <v>0</v>
      </c>
      <c r="AG74" s="1602">
        <f ca="1">OFFSET('2 Staff List'!$LO$64,$CT74-1,AG$69-1)*AG135</f>
        <v>0</v>
      </c>
      <c r="AH74" s="1558">
        <f ca="1">OFFSET('2 Staff List'!$LO$64,$CT74-1,AH$69-1)*AH135</f>
        <v>0</v>
      </c>
      <c r="AI74" s="1558">
        <f ca="1">OFFSET('2 Staff List'!$LO$64,$CT74-1,AI$69-1)*AI135</f>
        <v>0</v>
      </c>
      <c r="AJ74" s="1558">
        <f ca="1">OFFSET('2 Staff List'!$LO$64,$CT74-1,AJ$69-1)*AJ135</f>
        <v>0</v>
      </c>
      <c r="AK74" s="1558">
        <f ca="1">OFFSET('2 Staff List'!$LO$64,$CT74-1,AK$69-1)*AK135</f>
        <v>0</v>
      </c>
      <c r="AL74" s="1558">
        <f ca="1">OFFSET('2 Staff List'!$LO$64,$CT74-1,AL$69-1)*AL135</f>
        <v>0</v>
      </c>
      <c r="AM74" s="1558">
        <f ca="1">OFFSET('2 Staff List'!$LO$64,$CT74-1,AM$69-1)*AM135</f>
        <v>0</v>
      </c>
      <c r="AN74" s="1558">
        <f ca="1">OFFSET('2 Staff List'!$LO$64,$CT74-1,AN$69-1)*AN135</f>
        <v>0</v>
      </c>
      <c r="AO74" s="1558">
        <f ca="1">OFFSET('2 Staff List'!$LO$64,$CT74-1,AO$69-1)*AO135</f>
        <v>0</v>
      </c>
      <c r="AP74" s="1601">
        <f ca="1">OFFSET('2 Staff List'!$LO$64,$CT74-1,AP$69-1)*AP135</f>
        <v>0</v>
      </c>
      <c r="AQ74" s="1602">
        <f ca="1">OFFSET('2 Staff List'!$LO$64,$CT74-1,AQ$69-1)*AQ135</f>
        <v>0</v>
      </c>
      <c r="AR74" s="1558">
        <f ca="1">OFFSET('2 Staff List'!$LO$64,$CT74-1,AR$69-1)*AR135</f>
        <v>0</v>
      </c>
      <c r="AS74" s="1558">
        <f ca="1">OFFSET('2 Staff List'!$LO$64,$CT74-1,AS$69-1)*AS135</f>
        <v>0</v>
      </c>
      <c r="AT74" s="1558">
        <f ca="1">OFFSET('2 Staff List'!$LO$64,$CT74-1,AT$69-1)*AT135</f>
        <v>0</v>
      </c>
      <c r="AU74" s="1558">
        <f ca="1">OFFSET('2 Staff List'!$LO$64,$CT74-1,AU$69-1)*AU135</f>
        <v>0</v>
      </c>
      <c r="AV74" s="1558">
        <f ca="1">OFFSET('2 Staff List'!$LO$64,$CT74-1,AV$69-1)*AV135</f>
        <v>0</v>
      </c>
      <c r="AW74" s="1558">
        <f ca="1">OFFSET('2 Staff List'!$LO$64,$CT74-1,AW$69-1)*AW135</f>
        <v>0</v>
      </c>
      <c r="AX74" s="1558">
        <f ca="1">OFFSET('2 Staff List'!$LO$64,$CT74-1,AX$69-1)*AX135</f>
        <v>0</v>
      </c>
      <c r="AY74" s="1558">
        <f ca="1">OFFSET('2 Staff List'!$LO$64,$CT74-1,AY$69-1)*AY135</f>
        <v>0</v>
      </c>
      <c r="AZ74" s="1601">
        <f ca="1">OFFSET('2 Staff List'!$LO$64,$CT74-1,AZ$69-1)*AZ135</f>
        <v>0</v>
      </c>
      <c r="BA74" s="1602">
        <f ca="1">OFFSET('2 Staff List'!$LO$64,$CT74-1,BA$69-1)*BA135</f>
        <v>0</v>
      </c>
      <c r="BB74" s="1558">
        <f ca="1">OFFSET('2 Staff List'!$LO$64,$CT74-1,BB$69-1)*BB135</f>
        <v>0</v>
      </c>
      <c r="BC74" s="1558">
        <f ca="1">OFFSET('2 Staff List'!$LO$64,$CT74-1,BC$69-1)*BC135</f>
        <v>0</v>
      </c>
      <c r="BD74" s="1558">
        <f ca="1">OFFSET('2 Staff List'!$LO$64,$CT74-1,BD$69-1)*BD135</f>
        <v>0</v>
      </c>
      <c r="BE74" s="1558">
        <f ca="1">OFFSET('2 Staff List'!$LO$64,$CT74-1,BE$69-1)*BE135</f>
        <v>0</v>
      </c>
      <c r="BF74" s="1558">
        <f ca="1">OFFSET('2 Staff List'!$LO$64,$CT74-1,BF$69-1)*BF135</f>
        <v>0</v>
      </c>
      <c r="BG74" s="1558">
        <f ca="1">OFFSET('2 Staff List'!$LO$64,$CT74-1,BG$69-1)*BG135</f>
        <v>0</v>
      </c>
      <c r="BH74" s="1558">
        <f ca="1">OFFSET('2 Staff List'!$LO$64,$CT74-1,BH$69-1)*BH135</f>
        <v>0</v>
      </c>
      <c r="BI74" s="1558">
        <f ca="1">OFFSET('2 Staff List'!$LO$64,$CT74-1,BI$69-1)*BI135</f>
        <v>0</v>
      </c>
      <c r="BJ74" s="1601">
        <f ca="1">OFFSET('2 Staff List'!$LO$64,$CT74-1,BJ$69-1)*BJ135</f>
        <v>0</v>
      </c>
      <c r="BK74" s="1602">
        <f ca="1">OFFSET('2 Staff List'!$LO$64,$CT74-1,BK$69-1)*BK135</f>
        <v>0</v>
      </c>
      <c r="BL74" s="1558">
        <f ca="1">OFFSET('2 Staff List'!$LO$64,$CT74-1,BL$69-1)*BL135</f>
        <v>0</v>
      </c>
      <c r="BM74" s="1558">
        <f ca="1">OFFSET('2 Staff List'!$LO$64,$CT74-1,BM$69-1)*BM135</f>
        <v>0</v>
      </c>
      <c r="BN74" s="1558">
        <f ca="1">OFFSET('2 Staff List'!$LO$64,$CT74-1,BN$69-1)*BN135</f>
        <v>0</v>
      </c>
      <c r="BO74" s="1558">
        <f ca="1">OFFSET('2 Staff List'!$LO$64,$CT74-1,BO$69-1)*BO135</f>
        <v>0</v>
      </c>
      <c r="BP74" s="1558">
        <f ca="1">OFFSET('2 Staff List'!$LO$64,$CT74-1,BP$69-1)*BP135</f>
        <v>0</v>
      </c>
      <c r="BQ74" s="1558">
        <f ca="1">OFFSET('2 Staff List'!$LO$64,$CT74-1,BQ$69-1)*BQ135</f>
        <v>0</v>
      </c>
      <c r="BR74" s="1558">
        <f ca="1">OFFSET('2 Staff List'!$LO$64,$CT74-1,BR$69-1)*BR135</f>
        <v>0</v>
      </c>
      <c r="BS74" s="1558">
        <f ca="1">OFFSET('2 Staff List'!$LO$64,$CT74-1,BS$69-1)*BS135</f>
        <v>0</v>
      </c>
      <c r="BT74" s="1558">
        <f ca="1">OFFSET('2 Staff List'!$LO$64,$CT74-1,BT$69-1)*BT135</f>
        <v>0</v>
      </c>
      <c r="BU74" s="295"/>
      <c r="BV74" s="295"/>
      <c r="BW74" s="295"/>
      <c r="BX74" s="295"/>
      <c r="BY74" s="295"/>
      <c r="BZ74" s="295"/>
      <c r="CA74" s="1024">
        <f ca="1">SUMIFS('3a Staff Plan'!$X$129:$X$305,'3a Staff Plan'!$DY$129:$DY$305,CZ74,'3a Staff Plan'!$DF$129:$DF$305,1,'3a Staff Plan'!$AG$129:$AG$305,1)</f>
        <v>0</v>
      </c>
      <c r="CB74" s="1025">
        <f ca="1">SUMIFS('3a Staff Plan'!$X$129:$X$305,'3a Staff Plan'!$DY$129:$DY$305,$CZ74,'3a Staff Plan'!$DF$129:$DF$305,1,'3a Staff Plan'!$AG$129:$AG$305,1,'3a Staff Plan'!$C$129:$C$305,DC$18)</f>
        <v>0</v>
      </c>
      <c r="CC74" s="1026">
        <f ca="1">SUMIFS('3a Staff Plan'!$X$129:$X$305,'3a Staff Plan'!$DY$129:$DY$305,$CZ74,'3a Staff Plan'!$DF$129:$DF$305,1,'3a Staff Plan'!$AG$129:$AG$305,1,'3a Staff Plan'!$C$129:$C$305,DD$18)</f>
        <v>0</v>
      </c>
      <c r="CD74" s="1026">
        <f ca="1">SUMIFS('3a Staff Plan'!$X$129:$X$305,'3a Staff Plan'!$DY$129:$DY$305,$CZ74,'3a Staff Plan'!$DF$129:$DF$305,1,'3a Staff Plan'!$AG$129:$AG$305,1,'3a Staff Plan'!$C$129:$C$305,DE$18)</f>
        <v>0</v>
      </c>
      <c r="CE74" s="1026">
        <f ca="1">SUMIFS('3a Staff Plan'!$X$129:$X$305,'3a Staff Plan'!$DY$129:$DY$305,$CZ74,'3a Staff Plan'!$DF$129:$DF$305,1,'3a Staff Plan'!$AG$129:$AG$305,1,'3a Staff Plan'!$C$129:$C$305,DF$18)</f>
        <v>0</v>
      </c>
      <c r="CF74" s="1026">
        <f ca="1">SUMIFS('3a Staff Plan'!$X$129:$X$305,'3a Staff Plan'!$DY$129:$DY$305,$CZ74,'3a Staff Plan'!$DF$129:$DF$305,1,'3a Staff Plan'!$AG$129:$AG$305,1,'3a Staff Plan'!$C$129:$C$305,DG$18)</f>
        <v>0</v>
      </c>
      <c r="CG74" s="1026">
        <f ca="1">SUMIFS('3a Staff Plan'!$X$129:$X$305,'3a Staff Plan'!$DY$129:$DY$305,$CZ74,'3a Staff Plan'!$DF$129:$DF$305,1,'3a Staff Plan'!$AG$129:$AG$305,1,'3a Staff Plan'!$C$129:$C$305,DH$18)</f>
        <v>0</v>
      </c>
      <c r="CH74" s="1026">
        <f ca="1">SUMIFS('3a Staff Plan'!$X$129:$X$305,'3a Staff Plan'!$DY$129:$DY$305,$CZ74,'3a Staff Plan'!$DF$129:$DF$305,1,'3a Staff Plan'!$AG$129:$AG$305,1,'3a Staff Plan'!$C$129:$C$305,DI$18)</f>
        <v>0</v>
      </c>
      <c r="CI74" s="755"/>
      <c r="CJ74" s="1024">
        <f ca="1">SUMPRODUCT(OFFSET('3b Activity Plan'!$DJ$67:$DJ$76,0,$CU74-1),OFFSET('3b Activity Plan'!$DJ$78:$DJ$87,0,CU74-1))</f>
        <v>3560.2934249999998</v>
      </c>
      <c r="CK74" s="1025">
        <f t="shared" ca="1" si="43"/>
        <v>0</v>
      </c>
      <c r="CL74" s="1026">
        <f t="shared" ca="1" si="44"/>
        <v>0</v>
      </c>
      <c r="CM74" s="1026">
        <f t="shared" ca="1" si="45"/>
        <v>0</v>
      </c>
      <c r="CN74" s="1026">
        <f t="shared" ca="1" si="46"/>
        <v>0</v>
      </c>
      <c r="CO74" s="1026">
        <f t="shared" ca="1" si="47"/>
        <v>0</v>
      </c>
      <c r="CP74" s="1026">
        <f t="shared" ca="1" si="48"/>
        <v>0</v>
      </c>
      <c r="CQ74" s="1026">
        <f t="shared" ca="1" si="49"/>
        <v>0</v>
      </c>
      <c r="CR74" s="417"/>
      <c r="CS74" s="417">
        <f t="shared" si="50"/>
        <v>3</v>
      </c>
      <c r="CT74" s="417">
        <f ca="1">OFFSET('2 Staff List'!$GU$64,CS74-1,0)</f>
        <v>3</v>
      </c>
      <c r="CU74" s="417">
        <f ca="1">IF(CZ74=0,0,IFERROR(INDEX('3b Activity Plan'!$DJ$20:$FH$20,MATCH(CT74,'3b Activity Plan'!$DJ$171:$FH$171,0)),0))</f>
        <v>3</v>
      </c>
      <c r="CV74" s="417">
        <f ca="1">INDEX('2 Staff List'!$HW$64:$HW$114,CT74)</f>
        <v>0</v>
      </c>
      <c r="CW74" s="417"/>
      <c r="CY74" s="927" t="str">
        <f ca="1">OFFSET('2 Staff List'!$HZ$64,CS74-1,0)</f>
        <v>L1A Operational Manager</v>
      </c>
      <c r="CZ74" s="975" t="str">
        <f ca="1">OFFSET('2 Staff List'!$IA$64,CT74-1,0)</f>
        <v>Spencer Peter</v>
      </c>
      <c r="DA74" s="3845">
        <f t="shared" ca="1" si="51"/>
        <v>3560.2934249999998</v>
      </c>
      <c r="DB74" s="3846"/>
      <c r="DC74" s="2401">
        <f t="shared" ca="1" si="52"/>
        <v>0</v>
      </c>
      <c r="DD74" s="2401">
        <f t="shared" ca="1" si="53"/>
        <v>0</v>
      </c>
      <c r="DE74" s="2401">
        <f t="shared" ca="1" si="54"/>
        <v>0</v>
      </c>
      <c r="DF74" s="2405">
        <f t="shared" ca="1" si="55"/>
        <v>0</v>
      </c>
      <c r="DG74" s="2405">
        <f t="shared" ca="1" si="56"/>
        <v>0</v>
      </c>
      <c r="DH74" s="2406">
        <f t="shared" ca="1" si="57"/>
        <v>0</v>
      </c>
      <c r="DI74" s="2407">
        <f t="shared" ca="1" si="58"/>
        <v>0</v>
      </c>
    </row>
    <row r="75" spans="1:113" ht="15.9" customHeight="1" x14ac:dyDescent="0.25">
      <c r="A75" s="295"/>
      <c r="B75" s="295"/>
      <c r="C75" s="1558">
        <f ca="1">OFFSET('2 Staff List'!$LO$64,$CT75-1,C$69-1)*C136</f>
        <v>0</v>
      </c>
      <c r="D75" s="1558">
        <f ca="1">OFFSET('2 Staff List'!$LO$64,$CT75-1,D$69-1)*D136</f>
        <v>0</v>
      </c>
      <c r="E75" s="1558">
        <f ca="1">OFFSET('2 Staff List'!$LO$64,$CT75-1,E$69-1)*E136</f>
        <v>0</v>
      </c>
      <c r="F75" s="1558">
        <f ca="1">OFFSET('2 Staff List'!$LO$64,$CT75-1,F$69-1)*F136</f>
        <v>0</v>
      </c>
      <c r="G75" s="1558">
        <f ca="1">OFFSET('2 Staff List'!$LO$64,$CT75-1,G$69-1)*G136</f>
        <v>0</v>
      </c>
      <c r="H75" s="1558">
        <f ca="1">OFFSET('2 Staff List'!$LO$64,$CT75-1,H$69-1)*H136</f>
        <v>0</v>
      </c>
      <c r="I75" s="1558">
        <f ca="1">OFFSET('2 Staff List'!$LO$64,$CT75-1,I$69-1)*I136</f>
        <v>0</v>
      </c>
      <c r="J75" s="1558">
        <f ca="1">OFFSET('2 Staff List'!$LO$64,$CT75-1,J$69-1)*J136</f>
        <v>0</v>
      </c>
      <c r="K75" s="1558">
        <f ca="1">OFFSET('2 Staff List'!$LO$64,$CT75-1,K$69-1)*K136</f>
        <v>0</v>
      </c>
      <c r="L75" s="1601">
        <f ca="1">OFFSET('2 Staff List'!$LO$64,$CT75-1,L$69-1)*L136</f>
        <v>0</v>
      </c>
      <c r="M75" s="1602">
        <f ca="1">OFFSET('2 Staff List'!$LO$64,$CT75-1,M$69-1)*M136</f>
        <v>0</v>
      </c>
      <c r="N75" s="1558">
        <f ca="1">OFFSET('2 Staff List'!$LO$64,$CT75-1,N$69-1)*N136</f>
        <v>0</v>
      </c>
      <c r="O75" s="1558">
        <f ca="1">OFFSET('2 Staff List'!$LO$64,$CT75-1,O$69-1)*O136</f>
        <v>0</v>
      </c>
      <c r="P75" s="1558">
        <f ca="1">OFFSET('2 Staff List'!$LO$64,$CT75-1,P$69-1)*P136</f>
        <v>0</v>
      </c>
      <c r="Q75" s="1558">
        <f ca="1">OFFSET('2 Staff List'!$LO$64,$CT75-1,Q$69-1)*Q136</f>
        <v>0</v>
      </c>
      <c r="R75" s="1558">
        <f ca="1">OFFSET('2 Staff List'!$LO$64,$CT75-1,R$69-1)*R136</f>
        <v>0</v>
      </c>
      <c r="S75" s="1558">
        <f ca="1">OFFSET('2 Staff List'!$LO$64,$CT75-1,S$69-1)*S136</f>
        <v>0</v>
      </c>
      <c r="T75" s="1558">
        <f ca="1">OFFSET('2 Staff List'!$LO$64,$CT75-1,T$69-1)*T136</f>
        <v>0</v>
      </c>
      <c r="U75" s="1558">
        <f ca="1">OFFSET('2 Staff List'!$LO$64,$CT75-1,U$69-1)*U136</f>
        <v>0</v>
      </c>
      <c r="V75" s="1601">
        <f ca="1">OFFSET('2 Staff List'!$LO$64,$CT75-1,V$69-1)*V136</f>
        <v>0</v>
      </c>
      <c r="W75" s="1602">
        <f ca="1">OFFSET('2 Staff List'!$LO$64,$CT75-1,W$69-1)*W136</f>
        <v>0</v>
      </c>
      <c r="X75" s="1558">
        <f ca="1">OFFSET('2 Staff List'!$LO$64,$CT75-1,X$69-1)*X136</f>
        <v>0</v>
      </c>
      <c r="Y75" s="1558">
        <f ca="1">OFFSET('2 Staff List'!$LO$64,$CT75-1,Y$69-1)*Y136</f>
        <v>0</v>
      </c>
      <c r="Z75" s="1558">
        <f ca="1">OFFSET('2 Staff List'!$LO$64,$CT75-1,Z$69-1)*Z136</f>
        <v>0</v>
      </c>
      <c r="AA75" s="1558">
        <f ca="1">OFFSET('2 Staff List'!$LO$64,$CT75-1,AA$69-1)*AA136</f>
        <v>0</v>
      </c>
      <c r="AB75" s="1558">
        <f ca="1">OFFSET('2 Staff List'!$LO$64,$CT75-1,AB$69-1)*AB136</f>
        <v>0</v>
      </c>
      <c r="AC75" s="1558">
        <f ca="1">OFFSET('2 Staff List'!$LO$64,$CT75-1,AC$69-1)*AC136</f>
        <v>0</v>
      </c>
      <c r="AD75" s="1558">
        <f ca="1">OFFSET('2 Staff List'!$LO$64,$CT75-1,AD$69-1)*AD136</f>
        <v>0</v>
      </c>
      <c r="AE75" s="1558">
        <f ca="1">OFFSET('2 Staff List'!$LO$64,$CT75-1,AE$69-1)*AE136</f>
        <v>0</v>
      </c>
      <c r="AF75" s="1601">
        <f ca="1">OFFSET('2 Staff List'!$LO$64,$CT75-1,AF$69-1)*AF136</f>
        <v>0</v>
      </c>
      <c r="AG75" s="1602">
        <f ca="1">OFFSET('2 Staff List'!$LO$64,$CT75-1,AG$69-1)*AG136</f>
        <v>0</v>
      </c>
      <c r="AH75" s="1558">
        <f ca="1">OFFSET('2 Staff List'!$LO$64,$CT75-1,AH$69-1)*AH136</f>
        <v>0</v>
      </c>
      <c r="AI75" s="1558">
        <f ca="1">OFFSET('2 Staff List'!$LO$64,$CT75-1,AI$69-1)*AI136</f>
        <v>0</v>
      </c>
      <c r="AJ75" s="1558">
        <f ca="1">OFFSET('2 Staff List'!$LO$64,$CT75-1,AJ$69-1)*AJ136</f>
        <v>0</v>
      </c>
      <c r="AK75" s="1558">
        <f ca="1">OFFSET('2 Staff List'!$LO$64,$CT75-1,AK$69-1)*AK136</f>
        <v>0</v>
      </c>
      <c r="AL75" s="1558">
        <f ca="1">OFFSET('2 Staff List'!$LO$64,$CT75-1,AL$69-1)*AL136</f>
        <v>0</v>
      </c>
      <c r="AM75" s="1558">
        <f ca="1">OFFSET('2 Staff List'!$LO$64,$CT75-1,AM$69-1)*AM136</f>
        <v>0</v>
      </c>
      <c r="AN75" s="1558">
        <f ca="1">OFFSET('2 Staff List'!$LO$64,$CT75-1,AN$69-1)*AN136</f>
        <v>0</v>
      </c>
      <c r="AO75" s="1558">
        <f ca="1">OFFSET('2 Staff List'!$LO$64,$CT75-1,AO$69-1)*AO136</f>
        <v>0</v>
      </c>
      <c r="AP75" s="1601">
        <f ca="1">OFFSET('2 Staff List'!$LO$64,$CT75-1,AP$69-1)*AP136</f>
        <v>0</v>
      </c>
      <c r="AQ75" s="1602">
        <f ca="1">OFFSET('2 Staff List'!$LO$64,$CT75-1,AQ$69-1)*AQ136</f>
        <v>0</v>
      </c>
      <c r="AR75" s="1558">
        <f ca="1">OFFSET('2 Staff List'!$LO$64,$CT75-1,AR$69-1)*AR136</f>
        <v>0</v>
      </c>
      <c r="AS75" s="1558">
        <f ca="1">OFFSET('2 Staff List'!$LO$64,$CT75-1,AS$69-1)*AS136</f>
        <v>0</v>
      </c>
      <c r="AT75" s="1558">
        <f ca="1">OFFSET('2 Staff List'!$LO$64,$CT75-1,AT$69-1)*AT136</f>
        <v>0</v>
      </c>
      <c r="AU75" s="1558">
        <f ca="1">OFFSET('2 Staff List'!$LO$64,$CT75-1,AU$69-1)*AU136</f>
        <v>0</v>
      </c>
      <c r="AV75" s="1558">
        <f ca="1">OFFSET('2 Staff List'!$LO$64,$CT75-1,AV$69-1)*AV136</f>
        <v>0</v>
      </c>
      <c r="AW75" s="1558">
        <f ca="1">OFFSET('2 Staff List'!$LO$64,$CT75-1,AW$69-1)*AW136</f>
        <v>0</v>
      </c>
      <c r="AX75" s="1558">
        <f ca="1">OFFSET('2 Staff List'!$LO$64,$CT75-1,AX$69-1)*AX136</f>
        <v>0</v>
      </c>
      <c r="AY75" s="1558">
        <f ca="1">OFFSET('2 Staff List'!$LO$64,$CT75-1,AY$69-1)*AY136</f>
        <v>0</v>
      </c>
      <c r="AZ75" s="1601">
        <f ca="1">OFFSET('2 Staff List'!$LO$64,$CT75-1,AZ$69-1)*AZ136</f>
        <v>0</v>
      </c>
      <c r="BA75" s="1602">
        <f ca="1">OFFSET('2 Staff List'!$LO$64,$CT75-1,BA$69-1)*BA136</f>
        <v>0</v>
      </c>
      <c r="BB75" s="1558">
        <f ca="1">OFFSET('2 Staff List'!$LO$64,$CT75-1,BB$69-1)*BB136</f>
        <v>0</v>
      </c>
      <c r="BC75" s="1558">
        <f ca="1">OFFSET('2 Staff List'!$LO$64,$CT75-1,BC$69-1)*BC136</f>
        <v>0</v>
      </c>
      <c r="BD75" s="1558">
        <f ca="1">OFFSET('2 Staff List'!$LO$64,$CT75-1,BD$69-1)*BD136</f>
        <v>0</v>
      </c>
      <c r="BE75" s="1558">
        <f ca="1">OFFSET('2 Staff List'!$LO$64,$CT75-1,BE$69-1)*BE136</f>
        <v>0</v>
      </c>
      <c r="BF75" s="1558">
        <f ca="1">OFFSET('2 Staff List'!$LO$64,$CT75-1,BF$69-1)*BF136</f>
        <v>0</v>
      </c>
      <c r="BG75" s="1558">
        <f ca="1">OFFSET('2 Staff List'!$LO$64,$CT75-1,BG$69-1)*BG136</f>
        <v>0</v>
      </c>
      <c r="BH75" s="1558">
        <f ca="1">OFFSET('2 Staff List'!$LO$64,$CT75-1,BH$69-1)*BH136</f>
        <v>0</v>
      </c>
      <c r="BI75" s="1558">
        <f ca="1">OFFSET('2 Staff List'!$LO$64,$CT75-1,BI$69-1)*BI136</f>
        <v>0</v>
      </c>
      <c r="BJ75" s="1601">
        <f ca="1">OFFSET('2 Staff List'!$LO$64,$CT75-1,BJ$69-1)*BJ136</f>
        <v>0</v>
      </c>
      <c r="BK75" s="1602">
        <f ca="1">OFFSET('2 Staff List'!$LO$64,$CT75-1,BK$69-1)*BK136</f>
        <v>0</v>
      </c>
      <c r="BL75" s="1558">
        <f ca="1">OFFSET('2 Staff List'!$LO$64,$CT75-1,BL$69-1)*BL136</f>
        <v>0</v>
      </c>
      <c r="BM75" s="1558">
        <f ca="1">OFFSET('2 Staff List'!$LO$64,$CT75-1,BM$69-1)*BM136</f>
        <v>0</v>
      </c>
      <c r="BN75" s="1558">
        <f ca="1">OFFSET('2 Staff List'!$LO$64,$CT75-1,BN$69-1)*BN136</f>
        <v>0</v>
      </c>
      <c r="BO75" s="1558">
        <f ca="1">OFFSET('2 Staff List'!$LO$64,$CT75-1,BO$69-1)*BO136</f>
        <v>0</v>
      </c>
      <c r="BP75" s="1558">
        <f ca="1">OFFSET('2 Staff List'!$LO$64,$CT75-1,BP$69-1)*BP136</f>
        <v>0</v>
      </c>
      <c r="BQ75" s="1558">
        <f ca="1">OFFSET('2 Staff List'!$LO$64,$CT75-1,BQ$69-1)*BQ136</f>
        <v>0</v>
      </c>
      <c r="BR75" s="1558">
        <f ca="1">OFFSET('2 Staff List'!$LO$64,$CT75-1,BR$69-1)*BR136</f>
        <v>0</v>
      </c>
      <c r="BS75" s="1558">
        <f ca="1">OFFSET('2 Staff List'!$LO$64,$CT75-1,BS$69-1)*BS136</f>
        <v>0</v>
      </c>
      <c r="BT75" s="1558">
        <f ca="1">OFFSET('2 Staff List'!$LO$64,$CT75-1,BT$69-1)*BT136</f>
        <v>0</v>
      </c>
      <c r="BU75" s="295"/>
      <c r="BV75" s="295"/>
      <c r="BW75" s="295"/>
      <c r="BX75" s="295"/>
      <c r="BY75" s="295"/>
      <c r="BZ75" s="295"/>
      <c r="CA75" s="1024">
        <f ca="1">SUMIFS('3a Staff Plan'!$X$129:$X$305,'3a Staff Plan'!$DY$129:$DY$305,CZ75,'3a Staff Plan'!$DF$129:$DF$305,1,'3a Staff Plan'!$AG$129:$AG$305,1)</f>
        <v>0</v>
      </c>
      <c r="CB75" s="1025">
        <f ca="1">SUMIFS('3a Staff Plan'!$X$129:$X$305,'3a Staff Plan'!$DY$129:$DY$305,$CZ75,'3a Staff Plan'!$DF$129:$DF$305,1,'3a Staff Plan'!$AG$129:$AG$305,1,'3a Staff Plan'!$C$129:$C$305,DC$18)</f>
        <v>0</v>
      </c>
      <c r="CC75" s="1026">
        <f ca="1">SUMIFS('3a Staff Plan'!$X$129:$X$305,'3a Staff Plan'!$DY$129:$DY$305,$CZ75,'3a Staff Plan'!$DF$129:$DF$305,1,'3a Staff Plan'!$AG$129:$AG$305,1,'3a Staff Plan'!$C$129:$C$305,DD$18)</f>
        <v>0</v>
      </c>
      <c r="CD75" s="1026">
        <f ca="1">SUMIFS('3a Staff Plan'!$X$129:$X$305,'3a Staff Plan'!$DY$129:$DY$305,$CZ75,'3a Staff Plan'!$DF$129:$DF$305,1,'3a Staff Plan'!$AG$129:$AG$305,1,'3a Staff Plan'!$C$129:$C$305,DE$18)</f>
        <v>0</v>
      </c>
      <c r="CE75" s="1026">
        <f ca="1">SUMIFS('3a Staff Plan'!$X$129:$X$305,'3a Staff Plan'!$DY$129:$DY$305,$CZ75,'3a Staff Plan'!$DF$129:$DF$305,1,'3a Staff Plan'!$AG$129:$AG$305,1,'3a Staff Plan'!$C$129:$C$305,DF$18)</f>
        <v>0</v>
      </c>
      <c r="CF75" s="1026">
        <f ca="1">SUMIFS('3a Staff Plan'!$X$129:$X$305,'3a Staff Plan'!$DY$129:$DY$305,$CZ75,'3a Staff Plan'!$DF$129:$DF$305,1,'3a Staff Plan'!$AG$129:$AG$305,1,'3a Staff Plan'!$C$129:$C$305,DG$18)</f>
        <v>0</v>
      </c>
      <c r="CG75" s="1026">
        <f ca="1">SUMIFS('3a Staff Plan'!$X$129:$X$305,'3a Staff Plan'!$DY$129:$DY$305,$CZ75,'3a Staff Plan'!$DF$129:$DF$305,1,'3a Staff Plan'!$AG$129:$AG$305,1,'3a Staff Plan'!$C$129:$C$305,DH$18)</f>
        <v>0</v>
      </c>
      <c r="CH75" s="1026">
        <f ca="1">SUMIFS('3a Staff Plan'!$X$129:$X$305,'3a Staff Plan'!$DY$129:$DY$305,$CZ75,'3a Staff Plan'!$DF$129:$DF$305,1,'3a Staff Plan'!$AG$129:$AG$305,1,'3a Staff Plan'!$C$129:$C$305,DI$18)</f>
        <v>0</v>
      </c>
      <c r="CI75" s="755"/>
      <c r="CJ75" s="1024">
        <f ca="1">SUMPRODUCT(OFFSET('3b Activity Plan'!$DJ$67:$DJ$76,0,$CU75-1),OFFSET('3b Activity Plan'!$DJ$78:$DJ$87,0,CU75-1))</f>
        <v>0</v>
      </c>
      <c r="CK75" s="1025">
        <f t="shared" ca="1" si="43"/>
        <v>0</v>
      </c>
      <c r="CL75" s="1026">
        <f t="shared" ca="1" si="44"/>
        <v>0</v>
      </c>
      <c r="CM75" s="1026">
        <f t="shared" ca="1" si="45"/>
        <v>0</v>
      </c>
      <c r="CN75" s="1026">
        <f t="shared" ca="1" si="46"/>
        <v>0</v>
      </c>
      <c r="CO75" s="1026">
        <f t="shared" ca="1" si="47"/>
        <v>0</v>
      </c>
      <c r="CP75" s="1026">
        <f t="shared" ca="1" si="48"/>
        <v>0</v>
      </c>
      <c r="CQ75" s="1026">
        <f t="shared" ca="1" si="49"/>
        <v>0</v>
      </c>
      <c r="CR75" s="417"/>
      <c r="CS75" s="417">
        <f t="shared" si="50"/>
        <v>4</v>
      </c>
      <c r="CT75" s="417">
        <f ca="1">OFFSET('2 Staff List'!$GU$64,CS75-1,0)</f>
        <v>4</v>
      </c>
      <c r="CU75" s="417">
        <f ca="1">IF(CZ75=0,0,IFERROR(INDEX('3b Activity Plan'!$DJ$20:$FH$20,MATCH(CT75,'3b Activity Plan'!$DJ$171:$FH$171,0)),0))</f>
        <v>4</v>
      </c>
      <c r="CV75" s="417">
        <f ca="1">INDEX('2 Staff List'!$HW$64:$HW$114,CT75)</f>
        <v>0</v>
      </c>
      <c r="CW75" s="417"/>
      <c r="CY75" s="927" t="str">
        <f ca="1">OFFSET('2 Staff List'!$HZ$64,CS75-1,0)</f>
        <v>GDC PC Support</v>
      </c>
      <c r="CZ75" s="975" t="str">
        <f ca="1">OFFSET('2 Staff List'!$IA$64,CT75-1,0)</f>
        <v>Mhatre, Rajesh Ramchandra</v>
      </c>
      <c r="DA75" s="3845">
        <f t="shared" ca="1" si="51"/>
        <v>0</v>
      </c>
      <c r="DB75" s="3846"/>
      <c r="DC75" s="2401">
        <f t="shared" ca="1" si="52"/>
        <v>0</v>
      </c>
      <c r="DD75" s="2401">
        <f t="shared" ca="1" si="53"/>
        <v>0</v>
      </c>
      <c r="DE75" s="2401">
        <f t="shared" ca="1" si="54"/>
        <v>0</v>
      </c>
      <c r="DF75" s="2405">
        <f t="shared" ca="1" si="55"/>
        <v>0</v>
      </c>
      <c r="DG75" s="2405">
        <f t="shared" ca="1" si="56"/>
        <v>0</v>
      </c>
      <c r="DH75" s="2406">
        <f t="shared" ca="1" si="57"/>
        <v>0</v>
      </c>
      <c r="DI75" s="2407">
        <f t="shared" ca="1" si="58"/>
        <v>0</v>
      </c>
    </row>
    <row r="76" spans="1:113" ht="15.9" customHeight="1" x14ac:dyDescent="0.25">
      <c r="A76" s="295"/>
      <c r="B76" s="295"/>
      <c r="C76" s="1558">
        <f ca="1">OFFSET('2 Staff List'!$LO$64,$CT76-1,C$69-1)*C137</f>
        <v>0</v>
      </c>
      <c r="D76" s="1558">
        <f ca="1">OFFSET('2 Staff List'!$LO$64,$CT76-1,D$69-1)*D137</f>
        <v>0</v>
      </c>
      <c r="E76" s="1558">
        <f ca="1">OFFSET('2 Staff List'!$LO$64,$CT76-1,E$69-1)*E137</f>
        <v>0</v>
      </c>
      <c r="F76" s="1558">
        <f ca="1">OFFSET('2 Staff List'!$LO$64,$CT76-1,F$69-1)*F137</f>
        <v>0</v>
      </c>
      <c r="G76" s="1558">
        <f ca="1">OFFSET('2 Staff List'!$LO$64,$CT76-1,G$69-1)*G137</f>
        <v>0</v>
      </c>
      <c r="H76" s="1558">
        <f ca="1">OFFSET('2 Staff List'!$LO$64,$CT76-1,H$69-1)*H137</f>
        <v>0</v>
      </c>
      <c r="I76" s="1558">
        <f ca="1">OFFSET('2 Staff List'!$LO$64,$CT76-1,I$69-1)*I137</f>
        <v>0</v>
      </c>
      <c r="J76" s="1558">
        <f ca="1">OFFSET('2 Staff List'!$LO$64,$CT76-1,J$69-1)*J137</f>
        <v>0</v>
      </c>
      <c r="K76" s="1558">
        <f ca="1">OFFSET('2 Staff List'!$LO$64,$CT76-1,K$69-1)*K137</f>
        <v>0</v>
      </c>
      <c r="L76" s="1601">
        <f ca="1">OFFSET('2 Staff List'!$LO$64,$CT76-1,L$69-1)*L137</f>
        <v>0</v>
      </c>
      <c r="M76" s="1602">
        <f ca="1">OFFSET('2 Staff List'!$LO$64,$CT76-1,M$69-1)*M137</f>
        <v>0</v>
      </c>
      <c r="N76" s="1558">
        <f ca="1">OFFSET('2 Staff List'!$LO$64,$CT76-1,N$69-1)*N137</f>
        <v>0</v>
      </c>
      <c r="O76" s="1558">
        <f ca="1">OFFSET('2 Staff List'!$LO$64,$CT76-1,O$69-1)*O137</f>
        <v>0</v>
      </c>
      <c r="P76" s="1558">
        <f ca="1">OFFSET('2 Staff List'!$LO$64,$CT76-1,P$69-1)*P137</f>
        <v>0</v>
      </c>
      <c r="Q76" s="1558">
        <f ca="1">OFFSET('2 Staff List'!$LO$64,$CT76-1,Q$69-1)*Q137</f>
        <v>0</v>
      </c>
      <c r="R76" s="1558">
        <f ca="1">OFFSET('2 Staff List'!$LO$64,$CT76-1,R$69-1)*R137</f>
        <v>0</v>
      </c>
      <c r="S76" s="1558">
        <f ca="1">OFFSET('2 Staff List'!$LO$64,$CT76-1,S$69-1)*S137</f>
        <v>0</v>
      </c>
      <c r="T76" s="1558">
        <f ca="1">OFFSET('2 Staff List'!$LO$64,$CT76-1,T$69-1)*T137</f>
        <v>0</v>
      </c>
      <c r="U76" s="1558">
        <f ca="1">OFFSET('2 Staff List'!$LO$64,$CT76-1,U$69-1)*U137</f>
        <v>0</v>
      </c>
      <c r="V76" s="1601">
        <f ca="1">OFFSET('2 Staff List'!$LO$64,$CT76-1,V$69-1)*V137</f>
        <v>0</v>
      </c>
      <c r="W76" s="1602">
        <f ca="1">OFFSET('2 Staff List'!$LO$64,$CT76-1,W$69-1)*W137</f>
        <v>0</v>
      </c>
      <c r="X76" s="1558">
        <f ca="1">OFFSET('2 Staff List'!$LO$64,$CT76-1,X$69-1)*X137</f>
        <v>0</v>
      </c>
      <c r="Y76" s="1558">
        <f ca="1">OFFSET('2 Staff List'!$LO$64,$CT76-1,Y$69-1)*Y137</f>
        <v>0</v>
      </c>
      <c r="Z76" s="1558">
        <f ca="1">OFFSET('2 Staff List'!$LO$64,$CT76-1,Z$69-1)*Z137</f>
        <v>0</v>
      </c>
      <c r="AA76" s="1558">
        <f ca="1">OFFSET('2 Staff List'!$LO$64,$CT76-1,AA$69-1)*AA137</f>
        <v>0</v>
      </c>
      <c r="AB76" s="1558">
        <f ca="1">OFFSET('2 Staff List'!$LO$64,$CT76-1,AB$69-1)*AB137</f>
        <v>0</v>
      </c>
      <c r="AC76" s="1558">
        <f ca="1">OFFSET('2 Staff List'!$LO$64,$CT76-1,AC$69-1)*AC137</f>
        <v>0</v>
      </c>
      <c r="AD76" s="1558">
        <f ca="1">OFFSET('2 Staff List'!$LO$64,$CT76-1,AD$69-1)*AD137</f>
        <v>0</v>
      </c>
      <c r="AE76" s="1558">
        <f ca="1">OFFSET('2 Staff List'!$LO$64,$CT76-1,AE$69-1)*AE137</f>
        <v>0</v>
      </c>
      <c r="AF76" s="1601">
        <f ca="1">OFFSET('2 Staff List'!$LO$64,$CT76-1,AF$69-1)*AF137</f>
        <v>0</v>
      </c>
      <c r="AG76" s="1602">
        <f ca="1">OFFSET('2 Staff List'!$LO$64,$CT76-1,AG$69-1)*AG137</f>
        <v>0</v>
      </c>
      <c r="AH76" s="1558">
        <f ca="1">OFFSET('2 Staff List'!$LO$64,$CT76-1,AH$69-1)*AH137</f>
        <v>0</v>
      </c>
      <c r="AI76" s="1558">
        <f ca="1">OFFSET('2 Staff List'!$LO$64,$CT76-1,AI$69-1)*AI137</f>
        <v>0</v>
      </c>
      <c r="AJ76" s="1558">
        <f ca="1">OFFSET('2 Staff List'!$LO$64,$CT76-1,AJ$69-1)*AJ137</f>
        <v>0</v>
      </c>
      <c r="AK76" s="1558">
        <f ca="1">OFFSET('2 Staff List'!$LO$64,$CT76-1,AK$69-1)*AK137</f>
        <v>0</v>
      </c>
      <c r="AL76" s="1558">
        <f ca="1">OFFSET('2 Staff List'!$LO$64,$CT76-1,AL$69-1)*AL137</f>
        <v>0</v>
      </c>
      <c r="AM76" s="1558">
        <f ca="1">OFFSET('2 Staff List'!$LO$64,$CT76-1,AM$69-1)*AM137</f>
        <v>0</v>
      </c>
      <c r="AN76" s="1558">
        <f ca="1">OFFSET('2 Staff List'!$LO$64,$CT76-1,AN$69-1)*AN137</f>
        <v>0</v>
      </c>
      <c r="AO76" s="1558">
        <f ca="1">OFFSET('2 Staff List'!$LO$64,$CT76-1,AO$69-1)*AO137</f>
        <v>0</v>
      </c>
      <c r="AP76" s="1601">
        <f ca="1">OFFSET('2 Staff List'!$LO$64,$CT76-1,AP$69-1)*AP137</f>
        <v>0</v>
      </c>
      <c r="AQ76" s="1602">
        <f ca="1">OFFSET('2 Staff List'!$LO$64,$CT76-1,AQ$69-1)*AQ137</f>
        <v>0</v>
      </c>
      <c r="AR76" s="1558">
        <f ca="1">OFFSET('2 Staff List'!$LO$64,$CT76-1,AR$69-1)*AR137</f>
        <v>0</v>
      </c>
      <c r="AS76" s="1558">
        <f ca="1">OFFSET('2 Staff List'!$LO$64,$CT76-1,AS$69-1)*AS137</f>
        <v>0</v>
      </c>
      <c r="AT76" s="1558">
        <f ca="1">OFFSET('2 Staff List'!$LO$64,$CT76-1,AT$69-1)*AT137</f>
        <v>0</v>
      </c>
      <c r="AU76" s="1558">
        <f ca="1">OFFSET('2 Staff List'!$LO$64,$CT76-1,AU$69-1)*AU137</f>
        <v>0</v>
      </c>
      <c r="AV76" s="1558">
        <f ca="1">OFFSET('2 Staff List'!$LO$64,$CT76-1,AV$69-1)*AV137</f>
        <v>0</v>
      </c>
      <c r="AW76" s="1558">
        <f ca="1">OFFSET('2 Staff List'!$LO$64,$CT76-1,AW$69-1)*AW137</f>
        <v>0</v>
      </c>
      <c r="AX76" s="1558">
        <f ca="1">OFFSET('2 Staff List'!$LO$64,$CT76-1,AX$69-1)*AX137</f>
        <v>0</v>
      </c>
      <c r="AY76" s="1558">
        <f ca="1">OFFSET('2 Staff List'!$LO$64,$CT76-1,AY$69-1)*AY137</f>
        <v>0</v>
      </c>
      <c r="AZ76" s="1601">
        <f ca="1">OFFSET('2 Staff List'!$LO$64,$CT76-1,AZ$69-1)*AZ137</f>
        <v>0</v>
      </c>
      <c r="BA76" s="1602">
        <f ca="1">OFFSET('2 Staff List'!$LO$64,$CT76-1,BA$69-1)*BA137</f>
        <v>0</v>
      </c>
      <c r="BB76" s="1558">
        <f ca="1">OFFSET('2 Staff List'!$LO$64,$CT76-1,BB$69-1)*BB137</f>
        <v>0</v>
      </c>
      <c r="BC76" s="1558">
        <f ca="1">OFFSET('2 Staff List'!$LO$64,$CT76-1,BC$69-1)*BC137</f>
        <v>0</v>
      </c>
      <c r="BD76" s="1558">
        <f ca="1">OFFSET('2 Staff List'!$LO$64,$CT76-1,BD$69-1)*BD137</f>
        <v>0</v>
      </c>
      <c r="BE76" s="1558">
        <f ca="1">OFFSET('2 Staff List'!$LO$64,$CT76-1,BE$69-1)*BE137</f>
        <v>0</v>
      </c>
      <c r="BF76" s="1558">
        <f ca="1">OFFSET('2 Staff List'!$LO$64,$CT76-1,BF$69-1)*BF137</f>
        <v>0</v>
      </c>
      <c r="BG76" s="1558">
        <f ca="1">OFFSET('2 Staff List'!$LO$64,$CT76-1,BG$69-1)*BG137</f>
        <v>0</v>
      </c>
      <c r="BH76" s="1558">
        <f ca="1">OFFSET('2 Staff List'!$LO$64,$CT76-1,BH$69-1)*BH137</f>
        <v>0</v>
      </c>
      <c r="BI76" s="1558">
        <f ca="1">OFFSET('2 Staff List'!$LO$64,$CT76-1,BI$69-1)*BI137</f>
        <v>0</v>
      </c>
      <c r="BJ76" s="1601">
        <f ca="1">OFFSET('2 Staff List'!$LO$64,$CT76-1,BJ$69-1)*BJ137</f>
        <v>0</v>
      </c>
      <c r="BK76" s="1602">
        <f ca="1">OFFSET('2 Staff List'!$LO$64,$CT76-1,BK$69-1)*BK137</f>
        <v>0</v>
      </c>
      <c r="BL76" s="1558">
        <f ca="1">OFFSET('2 Staff List'!$LO$64,$CT76-1,BL$69-1)*BL137</f>
        <v>0</v>
      </c>
      <c r="BM76" s="1558">
        <f ca="1">OFFSET('2 Staff List'!$LO$64,$CT76-1,BM$69-1)*BM137</f>
        <v>0</v>
      </c>
      <c r="BN76" s="1558">
        <f ca="1">OFFSET('2 Staff List'!$LO$64,$CT76-1,BN$69-1)*BN137</f>
        <v>0</v>
      </c>
      <c r="BO76" s="1558">
        <f ca="1">OFFSET('2 Staff List'!$LO$64,$CT76-1,BO$69-1)*BO137</f>
        <v>0</v>
      </c>
      <c r="BP76" s="1558">
        <f ca="1">OFFSET('2 Staff List'!$LO$64,$CT76-1,BP$69-1)*BP137</f>
        <v>0</v>
      </c>
      <c r="BQ76" s="1558">
        <f ca="1">OFFSET('2 Staff List'!$LO$64,$CT76-1,BQ$69-1)*BQ137</f>
        <v>0</v>
      </c>
      <c r="BR76" s="1558">
        <f ca="1">OFFSET('2 Staff List'!$LO$64,$CT76-1,BR$69-1)*BR137</f>
        <v>0</v>
      </c>
      <c r="BS76" s="1558">
        <f ca="1">OFFSET('2 Staff List'!$LO$64,$CT76-1,BS$69-1)*BS137</f>
        <v>0</v>
      </c>
      <c r="BT76" s="1558">
        <f ca="1">OFFSET('2 Staff List'!$LO$64,$CT76-1,BT$69-1)*BT137</f>
        <v>0</v>
      </c>
      <c r="BU76" s="295"/>
      <c r="BV76" s="295"/>
      <c r="BW76" s="295"/>
      <c r="BX76" s="295"/>
      <c r="BY76" s="295"/>
      <c r="BZ76" s="295"/>
      <c r="CA76" s="1024">
        <f ca="1">SUMIFS('3a Staff Plan'!$X$129:$X$305,'3a Staff Plan'!$DY$129:$DY$305,CZ76,'3a Staff Plan'!$DF$129:$DF$305,1,'3a Staff Plan'!$AG$129:$AG$305,1)</f>
        <v>0</v>
      </c>
      <c r="CB76" s="1025">
        <f ca="1">SUMIFS('3a Staff Plan'!$X$129:$X$305,'3a Staff Plan'!$DY$129:$DY$305,$CZ76,'3a Staff Plan'!$DF$129:$DF$305,1,'3a Staff Plan'!$AG$129:$AG$305,1,'3a Staff Plan'!$C$129:$C$305,DC$18)</f>
        <v>0</v>
      </c>
      <c r="CC76" s="1026">
        <f ca="1">SUMIFS('3a Staff Plan'!$X$129:$X$305,'3a Staff Plan'!$DY$129:$DY$305,$CZ76,'3a Staff Plan'!$DF$129:$DF$305,1,'3a Staff Plan'!$AG$129:$AG$305,1,'3a Staff Plan'!$C$129:$C$305,DD$18)</f>
        <v>0</v>
      </c>
      <c r="CD76" s="1026">
        <f ca="1">SUMIFS('3a Staff Plan'!$X$129:$X$305,'3a Staff Plan'!$DY$129:$DY$305,$CZ76,'3a Staff Plan'!$DF$129:$DF$305,1,'3a Staff Plan'!$AG$129:$AG$305,1,'3a Staff Plan'!$C$129:$C$305,DE$18)</f>
        <v>0</v>
      </c>
      <c r="CE76" s="1026">
        <f ca="1">SUMIFS('3a Staff Plan'!$X$129:$X$305,'3a Staff Plan'!$DY$129:$DY$305,$CZ76,'3a Staff Plan'!$DF$129:$DF$305,1,'3a Staff Plan'!$AG$129:$AG$305,1,'3a Staff Plan'!$C$129:$C$305,DF$18)</f>
        <v>0</v>
      </c>
      <c r="CF76" s="1026">
        <f ca="1">SUMIFS('3a Staff Plan'!$X$129:$X$305,'3a Staff Plan'!$DY$129:$DY$305,$CZ76,'3a Staff Plan'!$DF$129:$DF$305,1,'3a Staff Plan'!$AG$129:$AG$305,1,'3a Staff Plan'!$C$129:$C$305,DG$18)</f>
        <v>0</v>
      </c>
      <c r="CG76" s="1026">
        <f ca="1">SUMIFS('3a Staff Plan'!$X$129:$X$305,'3a Staff Plan'!$DY$129:$DY$305,$CZ76,'3a Staff Plan'!$DF$129:$DF$305,1,'3a Staff Plan'!$AG$129:$AG$305,1,'3a Staff Plan'!$C$129:$C$305,DH$18)</f>
        <v>0</v>
      </c>
      <c r="CH76" s="1026">
        <f ca="1">SUMIFS('3a Staff Plan'!$X$129:$X$305,'3a Staff Plan'!$DY$129:$DY$305,$CZ76,'3a Staff Plan'!$DF$129:$DF$305,1,'3a Staff Plan'!$AG$129:$AG$305,1,'3a Staff Plan'!$C$129:$C$305,DI$18)</f>
        <v>0</v>
      </c>
      <c r="CI76" s="755"/>
      <c r="CJ76" s="1024">
        <f ca="1">SUMPRODUCT(OFFSET('3b Activity Plan'!$DJ$67:$DJ$76,0,$CU76-1),OFFSET('3b Activity Plan'!$DJ$78:$DJ$87,0,CU76-1))</f>
        <v>376.05945000000003</v>
      </c>
      <c r="CK76" s="1025">
        <f t="shared" ca="1" si="43"/>
        <v>0</v>
      </c>
      <c r="CL76" s="1026">
        <f t="shared" ca="1" si="44"/>
        <v>0</v>
      </c>
      <c r="CM76" s="1026">
        <f t="shared" ca="1" si="45"/>
        <v>0</v>
      </c>
      <c r="CN76" s="1026">
        <f t="shared" ca="1" si="46"/>
        <v>0</v>
      </c>
      <c r="CO76" s="1026">
        <f t="shared" ca="1" si="47"/>
        <v>0</v>
      </c>
      <c r="CP76" s="1026">
        <f t="shared" ca="1" si="48"/>
        <v>0</v>
      </c>
      <c r="CQ76" s="1026">
        <f t="shared" ca="1" si="49"/>
        <v>0</v>
      </c>
      <c r="CR76" s="417"/>
      <c r="CS76" s="417">
        <f t="shared" si="50"/>
        <v>5</v>
      </c>
      <c r="CT76" s="417">
        <f ca="1">OFFSET('2 Staff List'!$GU$64,CS76-1,0)</f>
        <v>5</v>
      </c>
      <c r="CU76" s="417">
        <f ca="1">IF(CZ76=0,0,IFERROR(INDEX('3b Activity Plan'!$DJ$20:$FH$20,MATCH(CT76,'3b Activity Plan'!$DJ$171:$FH$171,0)),0))</f>
        <v>5</v>
      </c>
      <c r="CV76" s="417">
        <f ca="1">INDEX('2 Staff List'!$HW$64:$HW$114,CT76)</f>
        <v>0</v>
      </c>
      <c r="CW76" s="417"/>
      <c r="CY76" s="927" t="str">
        <f ca="1">OFFSET('2 Staff List'!$HZ$64,CS76-1,0)</f>
        <v>L2B Project Manager</v>
      </c>
      <c r="CZ76" s="975" t="str">
        <f ca="1">OFFSET('2 Staff List'!$IA$64,CT76-1,0)</f>
        <v>Thompson Vicky</v>
      </c>
      <c r="DA76" s="3845">
        <f t="shared" ca="1" si="51"/>
        <v>376.05945000000003</v>
      </c>
      <c r="DB76" s="3846"/>
      <c r="DC76" s="2401">
        <f t="shared" ca="1" si="52"/>
        <v>0</v>
      </c>
      <c r="DD76" s="2401">
        <f t="shared" ca="1" si="53"/>
        <v>0</v>
      </c>
      <c r="DE76" s="2401">
        <f t="shared" ca="1" si="54"/>
        <v>0</v>
      </c>
      <c r="DF76" s="2405">
        <f t="shared" ca="1" si="55"/>
        <v>0</v>
      </c>
      <c r="DG76" s="2405">
        <f t="shared" ca="1" si="56"/>
        <v>0</v>
      </c>
      <c r="DH76" s="2406">
        <f t="shared" ca="1" si="57"/>
        <v>0</v>
      </c>
      <c r="DI76" s="2407">
        <f t="shared" ca="1" si="58"/>
        <v>0</v>
      </c>
    </row>
    <row r="77" spans="1:113" ht="15.9" customHeight="1" x14ac:dyDescent="0.25">
      <c r="A77" s="295"/>
      <c r="B77" s="295"/>
      <c r="C77" s="1558">
        <f ca="1">OFFSET('2 Staff List'!$LO$64,$CT77-1,C$69-1)*C138</f>
        <v>0</v>
      </c>
      <c r="D77" s="1558">
        <f ca="1">OFFSET('2 Staff List'!$LO$64,$CT77-1,D$69-1)*D138</f>
        <v>0</v>
      </c>
      <c r="E77" s="1558">
        <f ca="1">OFFSET('2 Staff List'!$LO$64,$CT77-1,E$69-1)*E138</f>
        <v>0</v>
      </c>
      <c r="F77" s="1558">
        <f ca="1">OFFSET('2 Staff List'!$LO$64,$CT77-1,F$69-1)*F138</f>
        <v>0</v>
      </c>
      <c r="G77" s="1558">
        <f ca="1">OFFSET('2 Staff List'!$LO$64,$CT77-1,G$69-1)*G138</f>
        <v>0</v>
      </c>
      <c r="H77" s="1558">
        <f ca="1">OFFSET('2 Staff List'!$LO$64,$CT77-1,H$69-1)*H138</f>
        <v>0</v>
      </c>
      <c r="I77" s="1558">
        <f ca="1">OFFSET('2 Staff List'!$LO$64,$CT77-1,I$69-1)*I138</f>
        <v>0</v>
      </c>
      <c r="J77" s="1558">
        <f ca="1">OFFSET('2 Staff List'!$LO$64,$CT77-1,J$69-1)*J138</f>
        <v>0</v>
      </c>
      <c r="K77" s="1558">
        <f ca="1">OFFSET('2 Staff List'!$LO$64,$CT77-1,K$69-1)*K138</f>
        <v>0</v>
      </c>
      <c r="L77" s="1601">
        <f ca="1">OFFSET('2 Staff List'!$LO$64,$CT77-1,L$69-1)*L138</f>
        <v>0</v>
      </c>
      <c r="M77" s="1602">
        <f ca="1">OFFSET('2 Staff List'!$LO$64,$CT77-1,M$69-1)*M138</f>
        <v>0</v>
      </c>
      <c r="N77" s="1558">
        <f ca="1">OFFSET('2 Staff List'!$LO$64,$CT77-1,N$69-1)*N138</f>
        <v>0</v>
      </c>
      <c r="O77" s="1558">
        <f ca="1">OFFSET('2 Staff List'!$LO$64,$CT77-1,O$69-1)*O138</f>
        <v>0</v>
      </c>
      <c r="P77" s="1558">
        <f ca="1">OFFSET('2 Staff List'!$LO$64,$CT77-1,P$69-1)*P138</f>
        <v>0</v>
      </c>
      <c r="Q77" s="1558">
        <f ca="1">OFFSET('2 Staff List'!$LO$64,$CT77-1,Q$69-1)*Q138</f>
        <v>0</v>
      </c>
      <c r="R77" s="1558">
        <f ca="1">OFFSET('2 Staff List'!$LO$64,$CT77-1,R$69-1)*R138</f>
        <v>0</v>
      </c>
      <c r="S77" s="1558">
        <f ca="1">OFFSET('2 Staff List'!$LO$64,$CT77-1,S$69-1)*S138</f>
        <v>0</v>
      </c>
      <c r="T77" s="1558">
        <f ca="1">OFFSET('2 Staff List'!$LO$64,$CT77-1,T$69-1)*T138</f>
        <v>0</v>
      </c>
      <c r="U77" s="1558">
        <f ca="1">OFFSET('2 Staff List'!$LO$64,$CT77-1,U$69-1)*U138</f>
        <v>0</v>
      </c>
      <c r="V77" s="1601">
        <f ca="1">OFFSET('2 Staff List'!$LO$64,$CT77-1,V$69-1)*V138</f>
        <v>0</v>
      </c>
      <c r="W77" s="1602">
        <f ca="1">OFFSET('2 Staff List'!$LO$64,$CT77-1,W$69-1)*W138</f>
        <v>0</v>
      </c>
      <c r="X77" s="1558">
        <f ca="1">OFFSET('2 Staff List'!$LO$64,$CT77-1,X$69-1)*X138</f>
        <v>0</v>
      </c>
      <c r="Y77" s="1558">
        <f ca="1">OFFSET('2 Staff List'!$LO$64,$CT77-1,Y$69-1)*Y138</f>
        <v>0</v>
      </c>
      <c r="Z77" s="1558">
        <f ca="1">OFFSET('2 Staff List'!$LO$64,$CT77-1,Z$69-1)*Z138</f>
        <v>0</v>
      </c>
      <c r="AA77" s="1558">
        <f ca="1">OFFSET('2 Staff List'!$LO$64,$CT77-1,AA$69-1)*AA138</f>
        <v>0</v>
      </c>
      <c r="AB77" s="1558">
        <f ca="1">OFFSET('2 Staff List'!$LO$64,$CT77-1,AB$69-1)*AB138</f>
        <v>0</v>
      </c>
      <c r="AC77" s="1558">
        <f ca="1">OFFSET('2 Staff List'!$LO$64,$CT77-1,AC$69-1)*AC138</f>
        <v>0</v>
      </c>
      <c r="AD77" s="1558">
        <f ca="1">OFFSET('2 Staff List'!$LO$64,$CT77-1,AD$69-1)*AD138</f>
        <v>0</v>
      </c>
      <c r="AE77" s="1558">
        <f ca="1">OFFSET('2 Staff List'!$LO$64,$CT77-1,AE$69-1)*AE138</f>
        <v>0</v>
      </c>
      <c r="AF77" s="1601">
        <f ca="1">OFFSET('2 Staff List'!$LO$64,$CT77-1,AF$69-1)*AF138</f>
        <v>0</v>
      </c>
      <c r="AG77" s="1602">
        <f ca="1">OFFSET('2 Staff List'!$LO$64,$CT77-1,AG$69-1)*AG138</f>
        <v>0</v>
      </c>
      <c r="AH77" s="1558">
        <f ca="1">OFFSET('2 Staff List'!$LO$64,$CT77-1,AH$69-1)*AH138</f>
        <v>0</v>
      </c>
      <c r="AI77" s="1558">
        <f ca="1">OFFSET('2 Staff List'!$LO$64,$CT77-1,AI$69-1)*AI138</f>
        <v>0</v>
      </c>
      <c r="AJ77" s="1558">
        <f ca="1">OFFSET('2 Staff List'!$LO$64,$CT77-1,AJ$69-1)*AJ138</f>
        <v>0</v>
      </c>
      <c r="AK77" s="1558">
        <f ca="1">OFFSET('2 Staff List'!$LO$64,$CT77-1,AK$69-1)*AK138</f>
        <v>0</v>
      </c>
      <c r="AL77" s="1558">
        <f ca="1">OFFSET('2 Staff List'!$LO$64,$CT77-1,AL$69-1)*AL138</f>
        <v>0</v>
      </c>
      <c r="AM77" s="1558">
        <f ca="1">OFFSET('2 Staff List'!$LO$64,$CT77-1,AM$69-1)*AM138</f>
        <v>0</v>
      </c>
      <c r="AN77" s="1558">
        <f ca="1">OFFSET('2 Staff List'!$LO$64,$CT77-1,AN$69-1)*AN138</f>
        <v>0</v>
      </c>
      <c r="AO77" s="1558">
        <f ca="1">OFFSET('2 Staff List'!$LO$64,$CT77-1,AO$69-1)*AO138</f>
        <v>0</v>
      </c>
      <c r="AP77" s="1601">
        <f ca="1">OFFSET('2 Staff List'!$LO$64,$CT77-1,AP$69-1)*AP138</f>
        <v>0</v>
      </c>
      <c r="AQ77" s="1602">
        <f ca="1">OFFSET('2 Staff List'!$LO$64,$CT77-1,AQ$69-1)*AQ138</f>
        <v>0</v>
      </c>
      <c r="AR77" s="1558">
        <f ca="1">OFFSET('2 Staff List'!$LO$64,$CT77-1,AR$69-1)*AR138</f>
        <v>0</v>
      </c>
      <c r="AS77" s="1558">
        <f ca="1">OFFSET('2 Staff List'!$LO$64,$CT77-1,AS$69-1)*AS138</f>
        <v>0</v>
      </c>
      <c r="AT77" s="1558">
        <f ca="1">OFFSET('2 Staff List'!$LO$64,$CT77-1,AT$69-1)*AT138</f>
        <v>0</v>
      </c>
      <c r="AU77" s="1558">
        <f ca="1">OFFSET('2 Staff List'!$LO$64,$CT77-1,AU$69-1)*AU138</f>
        <v>0</v>
      </c>
      <c r="AV77" s="1558">
        <f ca="1">OFFSET('2 Staff List'!$LO$64,$CT77-1,AV$69-1)*AV138</f>
        <v>0</v>
      </c>
      <c r="AW77" s="1558">
        <f ca="1">OFFSET('2 Staff List'!$LO$64,$CT77-1,AW$69-1)*AW138</f>
        <v>0</v>
      </c>
      <c r="AX77" s="1558">
        <f ca="1">OFFSET('2 Staff List'!$LO$64,$CT77-1,AX$69-1)*AX138</f>
        <v>0</v>
      </c>
      <c r="AY77" s="1558">
        <f ca="1">OFFSET('2 Staff List'!$LO$64,$CT77-1,AY$69-1)*AY138</f>
        <v>0</v>
      </c>
      <c r="AZ77" s="1601">
        <f ca="1">OFFSET('2 Staff List'!$LO$64,$CT77-1,AZ$69-1)*AZ138</f>
        <v>0</v>
      </c>
      <c r="BA77" s="1602">
        <f ca="1">OFFSET('2 Staff List'!$LO$64,$CT77-1,BA$69-1)*BA138</f>
        <v>0</v>
      </c>
      <c r="BB77" s="1558">
        <f ca="1">OFFSET('2 Staff List'!$LO$64,$CT77-1,BB$69-1)*BB138</f>
        <v>0</v>
      </c>
      <c r="BC77" s="1558">
        <f ca="1">OFFSET('2 Staff List'!$LO$64,$CT77-1,BC$69-1)*BC138</f>
        <v>0</v>
      </c>
      <c r="BD77" s="1558">
        <f ca="1">OFFSET('2 Staff List'!$LO$64,$CT77-1,BD$69-1)*BD138</f>
        <v>0</v>
      </c>
      <c r="BE77" s="1558">
        <f ca="1">OFFSET('2 Staff List'!$LO$64,$CT77-1,BE$69-1)*BE138</f>
        <v>0</v>
      </c>
      <c r="BF77" s="1558">
        <f ca="1">OFFSET('2 Staff List'!$LO$64,$CT77-1,BF$69-1)*BF138</f>
        <v>0</v>
      </c>
      <c r="BG77" s="1558">
        <f ca="1">OFFSET('2 Staff List'!$LO$64,$CT77-1,BG$69-1)*BG138</f>
        <v>0</v>
      </c>
      <c r="BH77" s="1558">
        <f ca="1">OFFSET('2 Staff List'!$LO$64,$CT77-1,BH$69-1)*BH138</f>
        <v>0</v>
      </c>
      <c r="BI77" s="1558">
        <f ca="1">OFFSET('2 Staff List'!$LO$64,$CT77-1,BI$69-1)*BI138</f>
        <v>0</v>
      </c>
      <c r="BJ77" s="1601">
        <f ca="1">OFFSET('2 Staff List'!$LO$64,$CT77-1,BJ$69-1)*BJ138</f>
        <v>0</v>
      </c>
      <c r="BK77" s="1602">
        <f ca="1">OFFSET('2 Staff List'!$LO$64,$CT77-1,BK$69-1)*BK138</f>
        <v>0</v>
      </c>
      <c r="BL77" s="1558">
        <f ca="1">OFFSET('2 Staff List'!$LO$64,$CT77-1,BL$69-1)*BL138</f>
        <v>0</v>
      </c>
      <c r="BM77" s="1558">
        <f ca="1">OFFSET('2 Staff List'!$LO$64,$CT77-1,BM$69-1)*BM138</f>
        <v>0</v>
      </c>
      <c r="BN77" s="1558">
        <f ca="1">OFFSET('2 Staff List'!$LO$64,$CT77-1,BN$69-1)*BN138</f>
        <v>0</v>
      </c>
      <c r="BO77" s="1558">
        <f ca="1">OFFSET('2 Staff List'!$LO$64,$CT77-1,BO$69-1)*BO138</f>
        <v>0</v>
      </c>
      <c r="BP77" s="1558">
        <f ca="1">OFFSET('2 Staff List'!$LO$64,$CT77-1,BP$69-1)*BP138</f>
        <v>0</v>
      </c>
      <c r="BQ77" s="1558">
        <f ca="1">OFFSET('2 Staff List'!$LO$64,$CT77-1,BQ$69-1)*BQ138</f>
        <v>0</v>
      </c>
      <c r="BR77" s="1558">
        <f ca="1">OFFSET('2 Staff List'!$LO$64,$CT77-1,BR$69-1)*BR138</f>
        <v>0</v>
      </c>
      <c r="BS77" s="1558">
        <f ca="1">OFFSET('2 Staff List'!$LO$64,$CT77-1,BS$69-1)*BS138</f>
        <v>0</v>
      </c>
      <c r="BT77" s="1558">
        <f ca="1">OFFSET('2 Staff List'!$LO$64,$CT77-1,BT$69-1)*BT138</f>
        <v>0</v>
      </c>
      <c r="BU77" s="295"/>
      <c r="BV77" s="295"/>
      <c r="BW77" s="295"/>
      <c r="BX77" s="295"/>
      <c r="BY77" s="295"/>
      <c r="BZ77" s="295"/>
      <c r="CA77" s="1024">
        <f ca="1">SUMIFS('3a Staff Plan'!$X$129:$X$305,'3a Staff Plan'!$DY$129:$DY$305,CZ77,'3a Staff Plan'!$DF$129:$DF$305,1,'3a Staff Plan'!$AG$129:$AG$305,1)</f>
        <v>0</v>
      </c>
      <c r="CB77" s="1025">
        <f ca="1">SUMIFS('3a Staff Plan'!$X$129:$X$305,'3a Staff Plan'!$DY$129:$DY$305,$CZ77,'3a Staff Plan'!$DF$129:$DF$305,1,'3a Staff Plan'!$AG$129:$AG$305,1,'3a Staff Plan'!$C$129:$C$305,DC$18)</f>
        <v>0</v>
      </c>
      <c r="CC77" s="1026">
        <f ca="1">SUMIFS('3a Staff Plan'!$X$129:$X$305,'3a Staff Plan'!$DY$129:$DY$305,$CZ77,'3a Staff Plan'!$DF$129:$DF$305,1,'3a Staff Plan'!$AG$129:$AG$305,1,'3a Staff Plan'!$C$129:$C$305,DD$18)</f>
        <v>0</v>
      </c>
      <c r="CD77" s="1026">
        <f ca="1">SUMIFS('3a Staff Plan'!$X$129:$X$305,'3a Staff Plan'!$DY$129:$DY$305,$CZ77,'3a Staff Plan'!$DF$129:$DF$305,1,'3a Staff Plan'!$AG$129:$AG$305,1,'3a Staff Plan'!$C$129:$C$305,DE$18)</f>
        <v>0</v>
      </c>
      <c r="CE77" s="1026">
        <f ca="1">SUMIFS('3a Staff Plan'!$X$129:$X$305,'3a Staff Plan'!$DY$129:$DY$305,$CZ77,'3a Staff Plan'!$DF$129:$DF$305,1,'3a Staff Plan'!$AG$129:$AG$305,1,'3a Staff Plan'!$C$129:$C$305,DF$18)</f>
        <v>0</v>
      </c>
      <c r="CF77" s="1026">
        <f ca="1">SUMIFS('3a Staff Plan'!$X$129:$X$305,'3a Staff Plan'!$DY$129:$DY$305,$CZ77,'3a Staff Plan'!$DF$129:$DF$305,1,'3a Staff Plan'!$AG$129:$AG$305,1,'3a Staff Plan'!$C$129:$C$305,DG$18)</f>
        <v>0</v>
      </c>
      <c r="CG77" s="1026">
        <f ca="1">SUMIFS('3a Staff Plan'!$X$129:$X$305,'3a Staff Plan'!$DY$129:$DY$305,$CZ77,'3a Staff Plan'!$DF$129:$DF$305,1,'3a Staff Plan'!$AG$129:$AG$305,1,'3a Staff Plan'!$C$129:$C$305,DH$18)</f>
        <v>0</v>
      </c>
      <c r="CH77" s="1026">
        <f ca="1">SUMIFS('3a Staff Plan'!$X$129:$X$305,'3a Staff Plan'!$DY$129:$DY$305,$CZ77,'3a Staff Plan'!$DF$129:$DF$305,1,'3a Staff Plan'!$AG$129:$AG$305,1,'3a Staff Plan'!$C$129:$C$305,DI$18)</f>
        <v>0</v>
      </c>
      <c r="CI77" s="755"/>
      <c r="CJ77" s="1024">
        <f ca="1">SUMPRODUCT(OFFSET('3b Activity Plan'!$DJ$67:$DJ$76,0,$CU77-1),OFFSET('3b Activity Plan'!$DJ$78:$DJ$87,0,CU77-1))</f>
        <v>0</v>
      </c>
      <c r="CK77" s="1025">
        <f t="shared" ca="1" si="43"/>
        <v>0</v>
      </c>
      <c r="CL77" s="1026">
        <f t="shared" ca="1" si="44"/>
        <v>0</v>
      </c>
      <c r="CM77" s="1026">
        <f t="shared" ca="1" si="45"/>
        <v>0</v>
      </c>
      <c r="CN77" s="1026">
        <f t="shared" ca="1" si="46"/>
        <v>0</v>
      </c>
      <c r="CO77" s="1026">
        <f t="shared" ca="1" si="47"/>
        <v>0</v>
      </c>
      <c r="CP77" s="1026">
        <f t="shared" ca="1" si="48"/>
        <v>0</v>
      </c>
      <c r="CQ77" s="1026">
        <f t="shared" ca="1" si="49"/>
        <v>0</v>
      </c>
      <c r="CR77" s="417"/>
      <c r="CS77" s="417">
        <f t="shared" si="50"/>
        <v>6</v>
      </c>
      <c r="CT77" s="417">
        <f ca="1">OFFSET('2 Staff List'!$GU$64,CS77-1,0)</f>
        <v>6</v>
      </c>
      <c r="CU77" s="417">
        <f ca="1">IF(CZ77=0,0,IFERROR(INDEX('3b Activity Plan'!$DJ$20:$FH$20,MATCH(CT77,'3b Activity Plan'!$DJ$171:$FH$171,0)),0))</f>
        <v>6</v>
      </c>
      <c r="CV77" s="417">
        <f ca="1">INDEX('2 Staff List'!$HW$64:$HW$114,CT77)</f>
        <v>0</v>
      </c>
      <c r="CW77" s="417"/>
      <c r="CY77" s="927" t="str">
        <f ca="1">OFFSET('2 Staff List'!$HZ$64,CS77-1,0)</f>
        <v>L1A Operational Manager</v>
      </c>
      <c r="CZ77" s="975" t="str">
        <f ca="1">OFFSET('2 Staff List'!$IA$64,CT77-1,0)</f>
        <v>Tipton Catherine</v>
      </c>
      <c r="DA77" s="3845">
        <f t="shared" ca="1" si="51"/>
        <v>0</v>
      </c>
      <c r="DB77" s="3846"/>
      <c r="DC77" s="2401">
        <f t="shared" ca="1" si="52"/>
        <v>0</v>
      </c>
      <c r="DD77" s="2401">
        <f t="shared" ca="1" si="53"/>
        <v>0</v>
      </c>
      <c r="DE77" s="2401">
        <f t="shared" ca="1" si="54"/>
        <v>0</v>
      </c>
      <c r="DF77" s="2405">
        <f t="shared" ca="1" si="55"/>
        <v>0</v>
      </c>
      <c r="DG77" s="2405">
        <f t="shared" ca="1" si="56"/>
        <v>0</v>
      </c>
      <c r="DH77" s="2406">
        <f t="shared" ca="1" si="57"/>
        <v>0</v>
      </c>
      <c r="DI77" s="2407">
        <f t="shared" ca="1" si="58"/>
        <v>0</v>
      </c>
    </row>
    <row r="78" spans="1:113" ht="15.9" customHeight="1" x14ac:dyDescent="0.25">
      <c r="A78" s="295"/>
      <c r="B78" s="295"/>
      <c r="C78" s="1558">
        <f ca="1">OFFSET('2 Staff List'!$LO$64,$CT78-1,C$69-1)*C139</f>
        <v>0</v>
      </c>
      <c r="D78" s="1558">
        <f ca="1">OFFSET('2 Staff List'!$LO$64,$CT78-1,D$69-1)*D139</f>
        <v>0</v>
      </c>
      <c r="E78" s="1558">
        <f ca="1">OFFSET('2 Staff List'!$LO$64,$CT78-1,E$69-1)*E139</f>
        <v>0</v>
      </c>
      <c r="F78" s="1558">
        <f ca="1">OFFSET('2 Staff List'!$LO$64,$CT78-1,F$69-1)*F139</f>
        <v>0</v>
      </c>
      <c r="G78" s="1558">
        <f ca="1">OFFSET('2 Staff List'!$LO$64,$CT78-1,G$69-1)*G139</f>
        <v>0</v>
      </c>
      <c r="H78" s="1558">
        <f ca="1">OFFSET('2 Staff List'!$LO$64,$CT78-1,H$69-1)*H139</f>
        <v>0</v>
      </c>
      <c r="I78" s="1558">
        <f ca="1">OFFSET('2 Staff List'!$LO$64,$CT78-1,I$69-1)*I139</f>
        <v>0</v>
      </c>
      <c r="J78" s="1558">
        <f ca="1">OFFSET('2 Staff List'!$LO$64,$CT78-1,J$69-1)*J139</f>
        <v>0</v>
      </c>
      <c r="K78" s="1558">
        <f ca="1">OFFSET('2 Staff List'!$LO$64,$CT78-1,K$69-1)*K139</f>
        <v>0</v>
      </c>
      <c r="L78" s="1601">
        <f ca="1">OFFSET('2 Staff List'!$LO$64,$CT78-1,L$69-1)*L139</f>
        <v>0</v>
      </c>
      <c r="M78" s="1602">
        <f ca="1">OFFSET('2 Staff List'!$LO$64,$CT78-1,M$69-1)*M139</f>
        <v>0</v>
      </c>
      <c r="N78" s="1558">
        <f ca="1">OFFSET('2 Staff List'!$LO$64,$CT78-1,N$69-1)*N139</f>
        <v>0</v>
      </c>
      <c r="O78" s="1558">
        <f ca="1">OFFSET('2 Staff List'!$LO$64,$CT78-1,O$69-1)*O139</f>
        <v>0</v>
      </c>
      <c r="P78" s="1558">
        <f ca="1">OFFSET('2 Staff List'!$LO$64,$CT78-1,P$69-1)*P139</f>
        <v>0</v>
      </c>
      <c r="Q78" s="1558">
        <f ca="1">OFFSET('2 Staff List'!$LO$64,$CT78-1,Q$69-1)*Q139</f>
        <v>0</v>
      </c>
      <c r="R78" s="1558">
        <f ca="1">OFFSET('2 Staff List'!$LO$64,$CT78-1,R$69-1)*R139</f>
        <v>0</v>
      </c>
      <c r="S78" s="1558">
        <f ca="1">OFFSET('2 Staff List'!$LO$64,$CT78-1,S$69-1)*S139</f>
        <v>0</v>
      </c>
      <c r="T78" s="1558">
        <f ca="1">OFFSET('2 Staff List'!$LO$64,$CT78-1,T$69-1)*T139</f>
        <v>0</v>
      </c>
      <c r="U78" s="1558">
        <f ca="1">OFFSET('2 Staff List'!$LO$64,$CT78-1,U$69-1)*U139</f>
        <v>0</v>
      </c>
      <c r="V78" s="1601">
        <f ca="1">OFFSET('2 Staff List'!$LO$64,$CT78-1,V$69-1)*V139</f>
        <v>0</v>
      </c>
      <c r="W78" s="1602">
        <f ca="1">OFFSET('2 Staff List'!$LO$64,$CT78-1,W$69-1)*W139</f>
        <v>0</v>
      </c>
      <c r="X78" s="1558">
        <f ca="1">OFFSET('2 Staff List'!$LO$64,$CT78-1,X$69-1)*X139</f>
        <v>0</v>
      </c>
      <c r="Y78" s="1558">
        <f ca="1">OFFSET('2 Staff List'!$LO$64,$CT78-1,Y$69-1)*Y139</f>
        <v>0</v>
      </c>
      <c r="Z78" s="1558">
        <f ca="1">OFFSET('2 Staff List'!$LO$64,$CT78-1,Z$69-1)*Z139</f>
        <v>0</v>
      </c>
      <c r="AA78" s="1558">
        <f ca="1">OFFSET('2 Staff List'!$LO$64,$CT78-1,AA$69-1)*AA139</f>
        <v>0</v>
      </c>
      <c r="AB78" s="1558">
        <f ca="1">OFFSET('2 Staff List'!$LO$64,$CT78-1,AB$69-1)*AB139</f>
        <v>0</v>
      </c>
      <c r="AC78" s="1558">
        <f ca="1">OFFSET('2 Staff List'!$LO$64,$CT78-1,AC$69-1)*AC139</f>
        <v>0</v>
      </c>
      <c r="AD78" s="1558">
        <f ca="1">OFFSET('2 Staff List'!$LO$64,$CT78-1,AD$69-1)*AD139</f>
        <v>0</v>
      </c>
      <c r="AE78" s="1558">
        <f ca="1">OFFSET('2 Staff List'!$LO$64,$CT78-1,AE$69-1)*AE139</f>
        <v>0</v>
      </c>
      <c r="AF78" s="1601">
        <f ca="1">OFFSET('2 Staff List'!$LO$64,$CT78-1,AF$69-1)*AF139</f>
        <v>0</v>
      </c>
      <c r="AG78" s="1602">
        <f ca="1">OFFSET('2 Staff List'!$LO$64,$CT78-1,AG$69-1)*AG139</f>
        <v>0</v>
      </c>
      <c r="AH78" s="1558">
        <f ca="1">OFFSET('2 Staff List'!$LO$64,$CT78-1,AH$69-1)*AH139</f>
        <v>0</v>
      </c>
      <c r="AI78" s="1558">
        <f ca="1">OFFSET('2 Staff List'!$LO$64,$CT78-1,AI$69-1)*AI139</f>
        <v>0</v>
      </c>
      <c r="AJ78" s="1558">
        <f ca="1">OFFSET('2 Staff List'!$LO$64,$CT78-1,AJ$69-1)*AJ139</f>
        <v>0</v>
      </c>
      <c r="AK78" s="1558">
        <f ca="1">OFFSET('2 Staff List'!$LO$64,$CT78-1,AK$69-1)*AK139</f>
        <v>0</v>
      </c>
      <c r="AL78" s="1558">
        <f ca="1">OFFSET('2 Staff List'!$LO$64,$CT78-1,AL$69-1)*AL139</f>
        <v>0</v>
      </c>
      <c r="AM78" s="1558">
        <f ca="1">OFFSET('2 Staff List'!$LO$64,$CT78-1,AM$69-1)*AM139</f>
        <v>0</v>
      </c>
      <c r="AN78" s="1558">
        <f ca="1">OFFSET('2 Staff List'!$LO$64,$CT78-1,AN$69-1)*AN139</f>
        <v>0</v>
      </c>
      <c r="AO78" s="1558">
        <f ca="1">OFFSET('2 Staff List'!$LO$64,$CT78-1,AO$69-1)*AO139</f>
        <v>0</v>
      </c>
      <c r="AP78" s="1601">
        <f ca="1">OFFSET('2 Staff List'!$LO$64,$CT78-1,AP$69-1)*AP139</f>
        <v>0</v>
      </c>
      <c r="AQ78" s="1602">
        <f ca="1">OFFSET('2 Staff List'!$LO$64,$CT78-1,AQ$69-1)*AQ139</f>
        <v>0</v>
      </c>
      <c r="AR78" s="1558">
        <f ca="1">OFFSET('2 Staff List'!$LO$64,$CT78-1,AR$69-1)*AR139</f>
        <v>0</v>
      </c>
      <c r="AS78" s="1558">
        <f ca="1">OFFSET('2 Staff List'!$LO$64,$CT78-1,AS$69-1)*AS139</f>
        <v>0</v>
      </c>
      <c r="AT78" s="1558">
        <f ca="1">OFFSET('2 Staff List'!$LO$64,$CT78-1,AT$69-1)*AT139</f>
        <v>0</v>
      </c>
      <c r="AU78" s="1558">
        <f ca="1">OFFSET('2 Staff List'!$LO$64,$CT78-1,AU$69-1)*AU139</f>
        <v>0</v>
      </c>
      <c r="AV78" s="1558">
        <f ca="1">OFFSET('2 Staff List'!$LO$64,$CT78-1,AV$69-1)*AV139</f>
        <v>0</v>
      </c>
      <c r="AW78" s="1558">
        <f ca="1">OFFSET('2 Staff List'!$LO$64,$CT78-1,AW$69-1)*AW139</f>
        <v>0</v>
      </c>
      <c r="AX78" s="1558">
        <f ca="1">OFFSET('2 Staff List'!$LO$64,$CT78-1,AX$69-1)*AX139</f>
        <v>0</v>
      </c>
      <c r="AY78" s="1558">
        <f ca="1">OFFSET('2 Staff List'!$LO$64,$CT78-1,AY$69-1)*AY139</f>
        <v>0</v>
      </c>
      <c r="AZ78" s="1601">
        <f ca="1">OFFSET('2 Staff List'!$LO$64,$CT78-1,AZ$69-1)*AZ139</f>
        <v>0</v>
      </c>
      <c r="BA78" s="1602">
        <f ca="1">OFFSET('2 Staff List'!$LO$64,$CT78-1,BA$69-1)*BA139</f>
        <v>0</v>
      </c>
      <c r="BB78" s="1558">
        <f ca="1">OFFSET('2 Staff List'!$LO$64,$CT78-1,BB$69-1)*BB139</f>
        <v>0</v>
      </c>
      <c r="BC78" s="1558">
        <f ca="1">OFFSET('2 Staff List'!$LO$64,$CT78-1,BC$69-1)*BC139</f>
        <v>0</v>
      </c>
      <c r="BD78" s="1558">
        <f ca="1">OFFSET('2 Staff List'!$LO$64,$CT78-1,BD$69-1)*BD139</f>
        <v>0</v>
      </c>
      <c r="BE78" s="1558">
        <f ca="1">OFFSET('2 Staff List'!$LO$64,$CT78-1,BE$69-1)*BE139</f>
        <v>0</v>
      </c>
      <c r="BF78" s="1558">
        <f ca="1">OFFSET('2 Staff List'!$LO$64,$CT78-1,BF$69-1)*BF139</f>
        <v>0</v>
      </c>
      <c r="BG78" s="1558">
        <f ca="1">OFFSET('2 Staff List'!$LO$64,$CT78-1,BG$69-1)*BG139</f>
        <v>0</v>
      </c>
      <c r="BH78" s="1558">
        <f ca="1">OFFSET('2 Staff List'!$LO$64,$CT78-1,BH$69-1)*BH139</f>
        <v>0</v>
      </c>
      <c r="BI78" s="1558">
        <f ca="1">OFFSET('2 Staff List'!$LO$64,$CT78-1,BI$69-1)*BI139</f>
        <v>0</v>
      </c>
      <c r="BJ78" s="1601">
        <f ca="1">OFFSET('2 Staff List'!$LO$64,$CT78-1,BJ$69-1)*BJ139</f>
        <v>0</v>
      </c>
      <c r="BK78" s="1602">
        <f ca="1">OFFSET('2 Staff List'!$LO$64,$CT78-1,BK$69-1)*BK139</f>
        <v>0</v>
      </c>
      <c r="BL78" s="1558">
        <f ca="1">OFFSET('2 Staff List'!$LO$64,$CT78-1,BL$69-1)*BL139</f>
        <v>0</v>
      </c>
      <c r="BM78" s="1558">
        <f ca="1">OFFSET('2 Staff List'!$LO$64,$CT78-1,BM$69-1)*BM139</f>
        <v>0</v>
      </c>
      <c r="BN78" s="1558">
        <f ca="1">OFFSET('2 Staff List'!$LO$64,$CT78-1,BN$69-1)*BN139</f>
        <v>0</v>
      </c>
      <c r="BO78" s="1558">
        <f ca="1">OFFSET('2 Staff List'!$LO$64,$CT78-1,BO$69-1)*BO139</f>
        <v>0</v>
      </c>
      <c r="BP78" s="1558">
        <f ca="1">OFFSET('2 Staff List'!$LO$64,$CT78-1,BP$69-1)*BP139</f>
        <v>0</v>
      </c>
      <c r="BQ78" s="1558">
        <f ca="1">OFFSET('2 Staff List'!$LO$64,$CT78-1,BQ$69-1)*BQ139</f>
        <v>0</v>
      </c>
      <c r="BR78" s="1558">
        <f ca="1">OFFSET('2 Staff List'!$LO$64,$CT78-1,BR$69-1)*BR139</f>
        <v>0</v>
      </c>
      <c r="BS78" s="1558">
        <f ca="1">OFFSET('2 Staff List'!$LO$64,$CT78-1,BS$69-1)*BS139</f>
        <v>0</v>
      </c>
      <c r="BT78" s="1558">
        <f ca="1">OFFSET('2 Staff List'!$LO$64,$CT78-1,BT$69-1)*BT139</f>
        <v>0</v>
      </c>
      <c r="BU78" s="295"/>
      <c r="BV78" s="295"/>
      <c r="BW78" s="295"/>
      <c r="BX78" s="295"/>
      <c r="BY78" s="295"/>
      <c r="BZ78" s="295"/>
      <c r="CA78" s="1024">
        <f ca="1">SUMIFS('3a Staff Plan'!$X$129:$X$305,'3a Staff Plan'!$DY$129:$DY$305,CZ78,'3a Staff Plan'!$DF$129:$DF$305,1,'3a Staff Plan'!$AG$129:$AG$305,1)</f>
        <v>0</v>
      </c>
      <c r="CB78" s="1025">
        <f ca="1">SUMIFS('3a Staff Plan'!$X$129:$X$305,'3a Staff Plan'!$DY$129:$DY$305,$CZ78,'3a Staff Plan'!$DF$129:$DF$305,1,'3a Staff Plan'!$AG$129:$AG$305,1,'3a Staff Plan'!$C$129:$C$305,DC$18)</f>
        <v>0</v>
      </c>
      <c r="CC78" s="1026">
        <f ca="1">SUMIFS('3a Staff Plan'!$X$129:$X$305,'3a Staff Plan'!$DY$129:$DY$305,$CZ78,'3a Staff Plan'!$DF$129:$DF$305,1,'3a Staff Plan'!$AG$129:$AG$305,1,'3a Staff Plan'!$C$129:$C$305,DD$18)</f>
        <v>0</v>
      </c>
      <c r="CD78" s="1026">
        <f ca="1">SUMIFS('3a Staff Plan'!$X$129:$X$305,'3a Staff Plan'!$DY$129:$DY$305,$CZ78,'3a Staff Plan'!$DF$129:$DF$305,1,'3a Staff Plan'!$AG$129:$AG$305,1,'3a Staff Plan'!$C$129:$C$305,DE$18)</f>
        <v>0</v>
      </c>
      <c r="CE78" s="1026">
        <f ca="1">SUMIFS('3a Staff Plan'!$X$129:$X$305,'3a Staff Plan'!$DY$129:$DY$305,$CZ78,'3a Staff Plan'!$DF$129:$DF$305,1,'3a Staff Plan'!$AG$129:$AG$305,1,'3a Staff Plan'!$C$129:$C$305,DF$18)</f>
        <v>0</v>
      </c>
      <c r="CF78" s="1026">
        <f ca="1">SUMIFS('3a Staff Plan'!$X$129:$X$305,'3a Staff Plan'!$DY$129:$DY$305,$CZ78,'3a Staff Plan'!$DF$129:$DF$305,1,'3a Staff Plan'!$AG$129:$AG$305,1,'3a Staff Plan'!$C$129:$C$305,DG$18)</f>
        <v>0</v>
      </c>
      <c r="CG78" s="1026">
        <f ca="1">SUMIFS('3a Staff Plan'!$X$129:$X$305,'3a Staff Plan'!$DY$129:$DY$305,$CZ78,'3a Staff Plan'!$DF$129:$DF$305,1,'3a Staff Plan'!$AG$129:$AG$305,1,'3a Staff Plan'!$C$129:$C$305,DH$18)</f>
        <v>0</v>
      </c>
      <c r="CH78" s="1026">
        <f ca="1">SUMIFS('3a Staff Plan'!$X$129:$X$305,'3a Staff Plan'!$DY$129:$DY$305,$CZ78,'3a Staff Plan'!$DF$129:$DF$305,1,'3a Staff Plan'!$AG$129:$AG$305,1,'3a Staff Plan'!$C$129:$C$305,DI$18)</f>
        <v>0</v>
      </c>
      <c r="CI78" s="755"/>
      <c r="CJ78" s="1024">
        <f ca="1">SUMPRODUCT(OFFSET('3b Activity Plan'!$DJ$67:$DJ$76,0,$CU78-1),OFFSET('3b Activity Plan'!$DJ$78:$DJ$87,0,CU78-1))</f>
        <v>484.26495</v>
      </c>
      <c r="CK78" s="1025">
        <f t="shared" ca="1" si="43"/>
        <v>0</v>
      </c>
      <c r="CL78" s="1026">
        <f t="shared" ca="1" si="44"/>
        <v>0</v>
      </c>
      <c r="CM78" s="1026">
        <f t="shared" ca="1" si="45"/>
        <v>0</v>
      </c>
      <c r="CN78" s="1026">
        <f t="shared" ca="1" si="46"/>
        <v>0</v>
      </c>
      <c r="CO78" s="1026">
        <f t="shared" ca="1" si="47"/>
        <v>0</v>
      </c>
      <c r="CP78" s="1026">
        <f t="shared" ca="1" si="48"/>
        <v>0</v>
      </c>
      <c r="CQ78" s="1026">
        <f t="shared" ca="1" si="49"/>
        <v>0</v>
      </c>
      <c r="CR78" s="417"/>
      <c r="CS78" s="417">
        <f t="shared" si="50"/>
        <v>7</v>
      </c>
      <c r="CT78" s="417">
        <f ca="1">OFFSET('2 Staff List'!$GU$64,CS78-1,0)</f>
        <v>7</v>
      </c>
      <c r="CU78" s="417">
        <f ca="1">IF(CZ78=0,0,IFERROR(INDEX('3b Activity Plan'!$DJ$20:$FH$20,MATCH(CT78,'3b Activity Plan'!$DJ$171:$FH$171,0)),0))</f>
        <v>7</v>
      </c>
      <c r="CV78" s="417">
        <f ca="1">INDEX('2 Staff List'!$HW$64:$HW$114,CT78)</f>
        <v>0</v>
      </c>
      <c r="CW78" s="417"/>
      <c r="CY78" s="927" t="str">
        <f ca="1">OFFSET('2 Staff List'!$HZ$64,CS78-1,0)</f>
        <v>L1B Service Lead</v>
      </c>
      <c r="CZ78" s="975" t="str">
        <f ca="1">OFFSET('2 Staff List'!$IA$64,CT78-1,0)</f>
        <v>Robinson Emma</v>
      </c>
      <c r="DA78" s="3845">
        <f t="shared" ca="1" si="51"/>
        <v>484.26495</v>
      </c>
      <c r="DB78" s="3846"/>
      <c r="DC78" s="2401">
        <f t="shared" ca="1" si="52"/>
        <v>0</v>
      </c>
      <c r="DD78" s="2401">
        <f t="shared" ca="1" si="53"/>
        <v>0</v>
      </c>
      <c r="DE78" s="2401">
        <f t="shared" ca="1" si="54"/>
        <v>0</v>
      </c>
      <c r="DF78" s="2405">
        <f t="shared" ca="1" si="55"/>
        <v>0</v>
      </c>
      <c r="DG78" s="2405">
        <f t="shared" ca="1" si="56"/>
        <v>0</v>
      </c>
      <c r="DH78" s="2406">
        <f t="shared" ca="1" si="57"/>
        <v>0</v>
      </c>
      <c r="DI78" s="2407">
        <f t="shared" ca="1" si="58"/>
        <v>0</v>
      </c>
    </row>
    <row r="79" spans="1:113" ht="15.9" customHeight="1" x14ac:dyDescent="0.25">
      <c r="A79" s="295"/>
      <c r="B79" s="295"/>
      <c r="C79" s="1558">
        <f ca="1">OFFSET('2 Staff List'!$LO$64,$CT79-1,C$69-1)*C140</f>
        <v>0</v>
      </c>
      <c r="D79" s="1558">
        <f ca="1">OFFSET('2 Staff List'!$LO$64,$CT79-1,D$69-1)*D140</f>
        <v>0</v>
      </c>
      <c r="E79" s="1558">
        <f ca="1">OFFSET('2 Staff List'!$LO$64,$CT79-1,E$69-1)*E140</f>
        <v>0</v>
      </c>
      <c r="F79" s="1558">
        <f ca="1">OFFSET('2 Staff List'!$LO$64,$CT79-1,F$69-1)*F140</f>
        <v>0</v>
      </c>
      <c r="G79" s="1558">
        <f ca="1">OFFSET('2 Staff List'!$LO$64,$CT79-1,G$69-1)*G140</f>
        <v>0</v>
      </c>
      <c r="H79" s="1558">
        <f ca="1">OFFSET('2 Staff List'!$LO$64,$CT79-1,H$69-1)*H140</f>
        <v>0</v>
      </c>
      <c r="I79" s="1558">
        <f ca="1">OFFSET('2 Staff List'!$LO$64,$CT79-1,I$69-1)*I140</f>
        <v>0</v>
      </c>
      <c r="J79" s="1558">
        <f ca="1">OFFSET('2 Staff List'!$LO$64,$CT79-1,J$69-1)*J140</f>
        <v>0</v>
      </c>
      <c r="K79" s="1558">
        <f ca="1">OFFSET('2 Staff List'!$LO$64,$CT79-1,K$69-1)*K140</f>
        <v>0</v>
      </c>
      <c r="L79" s="1601">
        <f ca="1">OFFSET('2 Staff List'!$LO$64,$CT79-1,L$69-1)*L140</f>
        <v>0</v>
      </c>
      <c r="M79" s="1602">
        <f ca="1">OFFSET('2 Staff List'!$LO$64,$CT79-1,M$69-1)*M140</f>
        <v>0</v>
      </c>
      <c r="N79" s="1558">
        <f ca="1">OFFSET('2 Staff List'!$LO$64,$CT79-1,N$69-1)*N140</f>
        <v>0</v>
      </c>
      <c r="O79" s="1558">
        <f ca="1">OFFSET('2 Staff List'!$LO$64,$CT79-1,O$69-1)*O140</f>
        <v>0</v>
      </c>
      <c r="P79" s="1558">
        <f ca="1">OFFSET('2 Staff List'!$LO$64,$CT79-1,P$69-1)*P140</f>
        <v>0</v>
      </c>
      <c r="Q79" s="1558">
        <f ca="1">OFFSET('2 Staff List'!$LO$64,$CT79-1,Q$69-1)*Q140</f>
        <v>0</v>
      </c>
      <c r="R79" s="1558">
        <f ca="1">OFFSET('2 Staff List'!$LO$64,$CT79-1,R$69-1)*R140</f>
        <v>0</v>
      </c>
      <c r="S79" s="1558">
        <f ca="1">OFFSET('2 Staff List'!$LO$64,$CT79-1,S$69-1)*S140</f>
        <v>0</v>
      </c>
      <c r="T79" s="1558">
        <f ca="1">OFFSET('2 Staff List'!$LO$64,$CT79-1,T$69-1)*T140</f>
        <v>0</v>
      </c>
      <c r="U79" s="1558">
        <f ca="1">OFFSET('2 Staff List'!$LO$64,$CT79-1,U$69-1)*U140</f>
        <v>0</v>
      </c>
      <c r="V79" s="1601">
        <f ca="1">OFFSET('2 Staff List'!$LO$64,$CT79-1,V$69-1)*V140</f>
        <v>0</v>
      </c>
      <c r="W79" s="1602">
        <f ca="1">OFFSET('2 Staff List'!$LO$64,$CT79-1,W$69-1)*W140</f>
        <v>0</v>
      </c>
      <c r="X79" s="1558">
        <f ca="1">OFFSET('2 Staff List'!$LO$64,$CT79-1,X$69-1)*X140</f>
        <v>0</v>
      </c>
      <c r="Y79" s="1558">
        <f ca="1">OFFSET('2 Staff List'!$LO$64,$CT79-1,Y$69-1)*Y140</f>
        <v>0</v>
      </c>
      <c r="Z79" s="1558">
        <f ca="1">OFFSET('2 Staff List'!$LO$64,$CT79-1,Z$69-1)*Z140</f>
        <v>0</v>
      </c>
      <c r="AA79" s="1558">
        <f ca="1">OFFSET('2 Staff List'!$LO$64,$CT79-1,AA$69-1)*AA140</f>
        <v>0</v>
      </c>
      <c r="AB79" s="1558">
        <f ca="1">OFFSET('2 Staff List'!$LO$64,$CT79-1,AB$69-1)*AB140</f>
        <v>0</v>
      </c>
      <c r="AC79" s="1558">
        <f ca="1">OFFSET('2 Staff List'!$LO$64,$CT79-1,AC$69-1)*AC140</f>
        <v>0</v>
      </c>
      <c r="AD79" s="1558">
        <f ca="1">OFFSET('2 Staff List'!$LO$64,$CT79-1,AD$69-1)*AD140</f>
        <v>0</v>
      </c>
      <c r="AE79" s="1558">
        <f ca="1">OFFSET('2 Staff List'!$LO$64,$CT79-1,AE$69-1)*AE140</f>
        <v>0</v>
      </c>
      <c r="AF79" s="1601">
        <f ca="1">OFFSET('2 Staff List'!$LO$64,$CT79-1,AF$69-1)*AF140</f>
        <v>0</v>
      </c>
      <c r="AG79" s="1602">
        <f ca="1">OFFSET('2 Staff List'!$LO$64,$CT79-1,AG$69-1)*AG140</f>
        <v>0</v>
      </c>
      <c r="AH79" s="1558">
        <f ca="1">OFFSET('2 Staff List'!$LO$64,$CT79-1,AH$69-1)*AH140</f>
        <v>0</v>
      </c>
      <c r="AI79" s="1558">
        <f ca="1">OFFSET('2 Staff List'!$LO$64,$CT79-1,AI$69-1)*AI140</f>
        <v>0</v>
      </c>
      <c r="AJ79" s="1558">
        <f ca="1">OFFSET('2 Staff List'!$LO$64,$CT79-1,AJ$69-1)*AJ140</f>
        <v>0</v>
      </c>
      <c r="AK79" s="1558">
        <f ca="1">OFFSET('2 Staff List'!$LO$64,$CT79-1,AK$69-1)*AK140</f>
        <v>0</v>
      </c>
      <c r="AL79" s="1558">
        <f ca="1">OFFSET('2 Staff List'!$LO$64,$CT79-1,AL$69-1)*AL140</f>
        <v>0</v>
      </c>
      <c r="AM79" s="1558">
        <f ca="1">OFFSET('2 Staff List'!$LO$64,$CT79-1,AM$69-1)*AM140</f>
        <v>0</v>
      </c>
      <c r="AN79" s="1558">
        <f ca="1">OFFSET('2 Staff List'!$LO$64,$CT79-1,AN$69-1)*AN140</f>
        <v>0</v>
      </c>
      <c r="AO79" s="1558">
        <f ca="1">OFFSET('2 Staff List'!$LO$64,$CT79-1,AO$69-1)*AO140</f>
        <v>0</v>
      </c>
      <c r="AP79" s="1601">
        <f ca="1">OFFSET('2 Staff List'!$LO$64,$CT79-1,AP$69-1)*AP140</f>
        <v>0</v>
      </c>
      <c r="AQ79" s="1602">
        <f ca="1">OFFSET('2 Staff List'!$LO$64,$CT79-1,AQ$69-1)*AQ140</f>
        <v>0</v>
      </c>
      <c r="AR79" s="1558">
        <f ca="1">OFFSET('2 Staff List'!$LO$64,$CT79-1,AR$69-1)*AR140</f>
        <v>0</v>
      </c>
      <c r="AS79" s="1558">
        <f ca="1">OFFSET('2 Staff List'!$LO$64,$CT79-1,AS$69-1)*AS140</f>
        <v>0</v>
      </c>
      <c r="AT79" s="1558">
        <f ca="1">OFFSET('2 Staff List'!$LO$64,$CT79-1,AT$69-1)*AT140</f>
        <v>0</v>
      </c>
      <c r="AU79" s="1558">
        <f ca="1">OFFSET('2 Staff List'!$LO$64,$CT79-1,AU$69-1)*AU140</f>
        <v>0</v>
      </c>
      <c r="AV79" s="1558">
        <f ca="1">OFFSET('2 Staff List'!$LO$64,$CT79-1,AV$69-1)*AV140</f>
        <v>0</v>
      </c>
      <c r="AW79" s="1558">
        <f ca="1">OFFSET('2 Staff List'!$LO$64,$CT79-1,AW$69-1)*AW140</f>
        <v>0</v>
      </c>
      <c r="AX79" s="1558">
        <f ca="1">OFFSET('2 Staff List'!$LO$64,$CT79-1,AX$69-1)*AX140</f>
        <v>0</v>
      </c>
      <c r="AY79" s="1558">
        <f ca="1">OFFSET('2 Staff List'!$LO$64,$CT79-1,AY$69-1)*AY140</f>
        <v>0</v>
      </c>
      <c r="AZ79" s="1601">
        <f ca="1">OFFSET('2 Staff List'!$LO$64,$CT79-1,AZ$69-1)*AZ140</f>
        <v>0</v>
      </c>
      <c r="BA79" s="1602">
        <f ca="1">OFFSET('2 Staff List'!$LO$64,$CT79-1,BA$69-1)*BA140</f>
        <v>0</v>
      </c>
      <c r="BB79" s="1558">
        <f ca="1">OFFSET('2 Staff List'!$LO$64,$CT79-1,BB$69-1)*BB140</f>
        <v>0</v>
      </c>
      <c r="BC79" s="1558">
        <f ca="1">OFFSET('2 Staff List'!$LO$64,$CT79-1,BC$69-1)*BC140</f>
        <v>0</v>
      </c>
      <c r="BD79" s="1558">
        <f ca="1">OFFSET('2 Staff List'!$LO$64,$CT79-1,BD$69-1)*BD140</f>
        <v>0</v>
      </c>
      <c r="BE79" s="1558">
        <f ca="1">OFFSET('2 Staff List'!$LO$64,$CT79-1,BE$69-1)*BE140</f>
        <v>0</v>
      </c>
      <c r="BF79" s="1558">
        <f ca="1">OFFSET('2 Staff List'!$LO$64,$CT79-1,BF$69-1)*BF140</f>
        <v>0</v>
      </c>
      <c r="BG79" s="1558">
        <f ca="1">OFFSET('2 Staff List'!$LO$64,$CT79-1,BG$69-1)*BG140</f>
        <v>0</v>
      </c>
      <c r="BH79" s="1558">
        <f ca="1">OFFSET('2 Staff List'!$LO$64,$CT79-1,BH$69-1)*BH140</f>
        <v>0</v>
      </c>
      <c r="BI79" s="1558">
        <f ca="1">OFFSET('2 Staff List'!$LO$64,$CT79-1,BI$69-1)*BI140</f>
        <v>0</v>
      </c>
      <c r="BJ79" s="1601">
        <f ca="1">OFFSET('2 Staff List'!$LO$64,$CT79-1,BJ$69-1)*BJ140</f>
        <v>0</v>
      </c>
      <c r="BK79" s="1602">
        <f ca="1">OFFSET('2 Staff List'!$LO$64,$CT79-1,BK$69-1)*BK140</f>
        <v>0</v>
      </c>
      <c r="BL79" s="1558">
        <f ca="1">OFFSET('2 Staff List'!$LO$64,$CT79-1,BL$69-1)*BL140</f>
        <v>0</v>
      </c>
      <c r="BM79" s="1558">
        <f ca="1">OFFSET('2 Staff List'!$LO$64,$CT79-1,BM$69-1)*BM140</f>
        <v>0</v>
      </c>
      <c r="BN79" s="1558">
        <f ca="1">OFFSET('2 Staff List'!$LO$64,$CT79-1,BN$69-1)*BN140</f>
        <v>0</v>
      </c>
      <c r="BO79" s="1558">
        <f ca="1">OFFSET('2 Staff List'!$LO$64,$CT79-1,BO$69-1)*BO140</f>
        <v>0</v>
      </c>
      <c r="BP79" s="1558">
        <f ca="1">OFFSET('2 Staff List'!$LO$64,$CT79-1,BP$69-1)*BP140</f>
        <v>0</v>
      </c>
      <c r="BQ79" s="1558">
        <f ca="1">OFFSET('2 Staff List'!$LO$64,$CT79-1,BQ$69-1)*BQ140</f>
        <v>0</v>
      </c>
      <c r="BR79" s="1558">
        <f ca="1">OFFSET('2 Staff List'!$LO$64,$CT79-1,BR$69-1)*BR140</f>
        <v>0</v>
      </c>
      <c r="BS79" s="1558">
        <f ca="1">OFFSET('2 Staff List'!$LO$64,$CT79-1,BS$69-1)*BS140</f>
        <v>0</v>
      </c>
      <c r="BT79" s="1558">
        <f ca="1">OFFSET('2 Staff List'!$LO$64,$CT79-1,BT$69-1)*BT140</f>
        <v>0</v>
      </c>
      <c r="BU79" s="295"/>
      <c r="BV79" s="295"/>
      <c r="BW79" s="295"/>
      <c r="BX79" s="295"/>
      <c r="BY79" s="295"/>
      <c r="BZ79" s="295"/>
      <c r="CA79" s="1024">
        <f ca="1">SUMIFS('3a Staff Plan'!$X$129:$X$305,'3a Staff Plan'!$DY$129:$DY$305,CZ79,'3a Staff Plan'!$DF$129:$DF$305,1,'3a Staff Plan'!$AG$129:$AG$305,1)</f>
        <v>0</v>
      </c>
      <c r="CB79" s="1025">
        <f ca="1">SUMIFS('3a Staff Plan'!$X$129:$X$305,'3a Staff Plan'!$DY$129:$DY$305,$CZ79,'3a Staff Plan'!$DF$129:$DF$305,1,'3a Staff Plan'!$AG$129:$AG$305,1,'3a Staff Plan'!$C$129:$C$305,DC$18)</f>
        <v>0</v>
      </c>
      <c r="CC79" s="1026">
        <f ca="1">SUMIFS('3a Staff Plan'!$X$129:$X$305,'3a Staff Plan'!$DY$129:$DY$305,$CZ79,'3a Staff Plan'!$DF$129:$DF$305,1,'3a Staff Plan'!$AG$129:$AG$305,1,'3a Staff Plan'!$C$129:$C$305,DD$18)</f>
        <v>0</v>
      </c>
      <c r="CD79" s="1026">
        <f ca="1">SUMIFS('3a Staff Plan'!$X$129:$X$305,'3a Staff Plan'!$DY$129:$DY$305,$CZ79,'3a Staff Plan'!$DF$129:$DF$305,1,'3a Staff Plan'!$AG$129:$AG$305,1,'3a Staff Plan'!$C$129:$C$305,DE$18)</f>
        <v>0</v>
      </c>
      <c r="CE79" s="1026">
        <f ca="1">SUMIFS('3a Staff Plan'!$X$129:$X$305,'3a Staff Plan'!$DY$129:$DY$305,$CZ79,'3a Staff Plan'!$DF$129:$DF$305,1,'3a Staff Plan'!$AG$129:$AG$305,1,'3a Staff Plan'!$C$129:$C$305,DF$18)</f>
        <v>0</v>
      </c>
      <c r="CF79" s="1026">
        <f ca="1">SUMIFS('3a Staff Plan'!$X$129:$X$305,'3a Staff Plan'!$DY$129:$DY$305,$CZ79,'3a Staff Plan'!$DF$129:$DF$305,1,'3a Staff Plan'!$AG$129:$AG$305,1,'3a Staff Plan'!$C$129:$C$305,DG$18)</f>
        <v>0</v>
      </c>
      <c r="CG79" s="1026">
        <f ca="1">SUMIFS('3a Staff Plan'!$X$129:$X$305,'3a Staff Plan'!$DY$129:$DY$305,$CZ79,'3a Staff Plan'!$DF$129:$DF$305,1,'3a Staff Plan'!$AG$129:$AG$305,1,'3a Staff Plan'!$C$129:$C$305,DH$18)</f>
        <v>0</v>
      </c>
      <c r="CH79" s="1026">
        <f ca="1">SUMIFS('3a Staff Plan'!$X$129:$X$305,'3a Staff Plan'!$DY$129:$DY$305,$CZ79,'3a Staff Plan'!$DF$129:$DF$305,1,'3a Staff Plan'!$AG$129:$AG$305,1,'3a Staff Plan'!$C$129:$C$305,DI$18)</f>
        <v>0</v>
      </c>
      <c r="CI79" s="755"/>
      <c r="CJ79" s="1024">
        <f ca="1">SUMPRODUCT(OFFSET('3b Activity Plan'!$DJ$67:$DJ$76,0,$CU79-1),OFFSET('3b Activity Plan'!$DJ$78:$DJ$87,0,CU79-1))</f>
        <v>20338.281600000002</v>
      </c>
      <c r="CK79" s="1025">
        <f t="shared" ca="1" si="43"/>
        <v>0</v>
      </c>
      <c r="CL79" s="1026">
        <f t="shared" ca="1" si="44"/>
        <v>0</v>
      </c>
      <c r="CM79" s="1026">
        <f t="shared" ca="1" si="45"/>
        <v>0</v>
      </c>
      <c r="CN79" s="1026">
        <f t="shared" ca="1" si="46"/>
        <v>0</v>
      </c>
      <c r="CO79" s="1026">
        <f t="shared" ca="1" si="47"/>
        <v>0</v>
      </c>
      <c r="CP79" s="1026">
        <f t="shared" ca="1" si="48"/>
        <v>0</v>
      </c>
      <c r="CQ79" s="1026">
        <f t="shared" ca="1" si="49"/>
        <v>0</v>
      </c>
      <c r="CR79" s="417"/>
      <c r="CS79" s="417">
        <f t="shared" si="50"/>
        <v>8</v>
      </c>
      <c r="CT79" s="417">
        <f ca="1">OFFSET('2 Staff List'!$GU$64,CS79-1,0)</f>
        <v>8</v>
      </c>
      <c r="CU79" s="417">
        <f ca="1">IF(CZ79=0,0,IFERROR(INDEX('3b Activity Plan'!$DJ$20:$FH$20,MATCH(CT79,'3b Activity Plan'!$DJ$171:$FH$171,0)),0))</f>
        <v>8</v>
      </c>
      <c r="CV79" s="417">
        <f ca="1">INDEX('2 Staff List'!$HW$64:$HW$114,CT79)</f>
        <v>0</v>
      </c>
      <c r="CW79" s="417"/>
      <c r="CY79" s="927" t="str">
        <f ca="1">OFFSET('2 Staff List'!$HZ$64,CS79-1,0)</f>
        <v>L3A Project Manager</v>
      </c>
      <c r="CZ79" s="975" t="str">
        <f ca="1">OFFSET('2 Staff List'!$IA$64,CT79-1,0)</f>
        <v>Phillips, Stephen</v>
      </c>
      <c r="DA79" s="3845">
        <f t="shared" ca="1" si="51"/>
        <v>20338.281600000002</v>
      </c>
      <c r="DB79" s="3846"/>
      <c r="DC79" s="2408">
        <f t="shared" ca="1" si="52"/>
        <v>0</v>
      </c>
      <c r="DD79" s="2401">
        <f t="shared" ca="1" si="53"/>
        <v>0</v>
      </c>
      <c r="DE79" s="2401">
        <f t="shared" ca="1" si="54"/>
        <v>0</v>
      </c>
      <c r="DF79" s="2405">
        <f t="shared" ca="1" si="55"/>
        <v>0</v>
      </c>
      <c r="DG79" s="2405">
        <f t="shared" ca="1" si="56"/>
        <v>0</v>
      </c>
      <c r="DH79" s="2406">
        <f t="shared" ca="1" si="57"/>
        <v>0</v>
      </c>
      <c r="DI79" s="2407">
        <f t="shared" ca="1" si="58"/>
        <v>0</v>
      </c>
    </row>
    <row r="80" spans="1:113" ht="15.9" customHeight="1" x14ac:dyDescent="0.25">
      <c r="A80" s="295"/>
      <c r="B80" s="295"/>
      <c r="C80" s="1558">
        <f ca="1">OFFSET('2 Staff List'!$LO$64,$CT80-1,C$69-1)*C141</f>
        <v>0</v>
      </c>
      <c r="D80" s="1558">
        <f ca="1">OFFSET('2 Staff List'!$LO$64,$CT80-1,D$69-1)*D141</f>
        <v>0</v>
      </c>
      <c r="E80" s="1558">
        <f ca="1">OFFSET('2 Staff List'!$LO$64,$CT80-1,E$69-1)*E141</f>
        <v>0</v>
      </c>
      <c r="F80" s="1558">
        <f ca="1">OFFSET('2 Staff List'!$LO$64,$CT80-1,F$69-1)*F141</f>
        <v>0</v>
      </c>
      <c r="G80" s="1558">
        <f ca="1">OFFSET('2 Staff List'!$LO$64,$CT80-1,G$69-1)*G141</f>
        <v>0</v>
      </c>
      <c r="H80" s="1558">
        <f ca="1">OFFSET('2 Staff List'!$LO$64,$CT80-1,H$69-1)*H141</f>
        <v>0</v>
      </c>
      <c r="I80" s="1558">
        <f ca="1">OFFSET('2 Staff List'!$LO$64,$CT80-1,I$69-1)*I141</f>
        <v>0</v>
      </c>
      <c r="J80" s="1558">
        <f ca="1">OFFSET('2 Staff List'!$LO$64,$CT80-1,J$69-1)*J141</f>
        <v>0</v>
      </c>
      <c r="K80" s="1558">
        <f ca="1">OFFSET('2 Staff List'!$LO$64,$CT80-1,K$69-1)*K141</f>
        <v>0</v>
      </c>
      <c r="L80" s="1601">
        <f ca="1">OFFSET('2 Staff List'!$LO$64,$CT80-1,L$69-1)*L141</f>
        <v>0</v>
      </c>
      <c r="M80" s="1602">
        <f ca="1">OFFSET('2 Staff List'!$LO$64,$CT80-1,M$69-1)*M141</f>
        <v>0</v>
      </c>
      <c r="N80" s="1558">
        <f ca="1">OFFSET('2 Staff List'!$LO$64,$CT80-1,N$69-1)*N141</f>
        <v>0</v>
      </c>
      <c r="O80" s="1558">
        <f ca="1">OFFSET('2 Staff List'!$LO$64,$CT80-1,O$69-1)*O141</f>
        <v>0</v>
      </c>
      <c r="P80" s="1558">
        <f ca="1">OFFSET('2 Staff List'!$LO$64,$CT80-1,P$69-1)*P141</f>
        <v>0</v>
      </c>
      <c r="Q80" s="1558">
        <f ca="1">OFFSET('2 Staff List'!$LO$64,$CT80-1,Q$69-1)*Q141</f>
        <v>0</v>
      </c>
      <c r="R80" s="1558">
        <f ca="1">OFFSET('2 Staff List'!$LO$64,$CT80-1,R$69-1)*R141</f>
        <v>0</v>
      </c>
      <c r="S80" s="1558">
        <f ca="1">OFFSET('2 Staff List'!$LO$64,$CT80-1,S$69-1)*S141</f>
        <v>0</v>
      </c>
      <c r="T80" s="1558">
        <f ca="1">OFFSET('2 Staff List'!$LO$64,$CT80-1,T$69-1)*T141</f>
        <v>0</v>
      </c>
      <c r="U80" s="1558">
        <f ca="1">OFFSET('2 Staff List'!$LO$64,$CT80-1,U$69-1)*U141</f>
        <v>0</v>
      </c>
      <c r="V80" s="1601">
        <f ca="1">OFFSET('2 Staff List'!$LO$64,$CT80-1,V$69-1)*V141</f>
        <v>0</v>
      </c>
      <c r="W80" s="1602">
        <f ca="1">OFFSET('2 Staff List'!$LO$64,$CT80-1,W$69-1)*W141</f>
        <v>0</v>
      </c>
      <c r="X80" s="1558">
        <f ca="1">OFFSET('2 Staff List'!$LO$64,$CT80-1,X$69-1)*X141</f>
        <v>0</v>
      </c>
      <c r="Y80" s="1558">
        <f ca="1">OFFSET('2 Staff List'!$LO$64,$CT80-1,Y$69-1)*Y141</f>
        <v>0</v>
      </c>
      <c r="Z80" s="1558">
        <f ca="1">OFFSET('2 Staff List'!$LO$64,$CT80-1,Z$69-1)*Z141</f>
        <v>0</v>
      </c>
      <c r="AA80" s="1558">
        <f ca="1">OFFSET('2 Staff List'!$LO$64,$CT80-1,AA$69-1)*AA141</f>
        <v>0</v>
      </c>
      <c r="AB80" s="1558">
        <f ca="1">OFFSET('2 Staff List'!$LO$64,$CT80-1,AB$69-1)*AB141</f>
        <v>0</v>
      </c>
      <c r="AC80" s="1558">
        <f ca="1">OFFSET('2 Staff List'!$LO$64,$CT80-1,AC$69-1)*AC141</f>
        <v>0</v>
      </c>
      <c r="AD80" s="1558">
        <f ca="1">OFFSET('2 Staff List'!$LO$64,$CT80-1,AD$69-1)*AD141</f>
        <v>0</v>
      </c>
      <c r="AE80" s="1558">
        <f ca="1">OFFSET('2 Staff List'!$LO$64,$CT80-1,AE$69-1)*AE141</f>
        <v>0</v>
      </c>
      <c r="AF80" s="1601">
        <f ca="1">OFFSET('2 Staff List'!$LO$64,$CT80-1,AF$69-1)*AF141</f>
        <v>0</v>
      </c>
      <c r="AG80" s="1602">
        <f ca="1">OFFSET('2 Staff List'!$LO$64,$CT80-1,AG$69-1)*AG141</f>
        <v>0</v>
      </c>
      <c r="AH80" s="1558">
        <f ca="1">OFFSET('2 Staff List'!$LO$64,$CT80-1,AH$69-1)*AH141</f>
        <v>0</v>
      </c>
      <c r="AI80" s="1558">
        <f ca="1">OFFSET('2 Staff List'!$LO$64,$CT80-1,AI$69-1)*AI141</f>
        <v>0</v>
      </c>
      <c r="AJ80" s="1558">
        <f ca="1">OFFSET('2 Staff List'!$LO$64,$CT80-1,AJ$69-1)*AJ141</f>
        <v>0</v>
      </c>
      <c r="AK80" s="1558">
        <f ca="1">OFFSET('2 Staff List'!$LO$64,$CT80-1,AK$69-1)*AK141</f>
        <v>0</v>
      </c>
      <c r="AL80" s="1558">
        <f ca="1">OFFSET('2 Staff List'!$LO$64,$CT80-1,AL$69-1)*AL141</f>
        <v>0</v>
      </c>
      <c r="AM80" s="1558">
        <f ca="1">OFFSET('2 Staff List'!$LO$64,$CT80-1,AM$69-1)*AM141</f>
        <v>0</v>
      </c>
      <c r="AN80" s="1558">
        <f ca="1">OFFSET('2 Staff List'!$LO$64,$CT80-1,AN$69-1)*AN141</f>
        <v>0</v>
      </c>
      <c r="AO80" s="1558">
        <f ca="1">OFFSET('2 Staff List'!$LO$64,$CT80-1,AO$69-1)*AO141</f>
        <v>0</v>
      </c>
      <c r="AP80" s="1601">
        <f ca="1">OFFSET('2 Staff List'!$LO$64,$CT80-1,AP$69-1)*AP141</f>
        <v>0</v>
      </c>
      <c r="AQ80" s="1602">
        <f ca="1">OFFSET('2 Staff List'!$LO$64,$CT80-1,AQ$69-1)*AQ141</f>
        <v>0</v>
      </c>
      <c r="AR80" s="1558">
        <f ca="1">OFFSET('2 Staff List'!$LO$64,$CT80-1,AR$69-1)*AR141</f>
        <v>0</v>
      </c>
      <c r="AS80" s="1558">
        <f ca="1">OFFSET('2 Staff List'!$LO$64,$CT80-1,AS$69-1)*AS141</f>
        <v>0</v>
      </c>
      <c r="AT80" s="1558">
        <f ca="1">OFFSET('2 Staff List'!$LO$64,$CT80-1,AT$69-1)*AT141</f>
        <v>0</v>
      </c>
      <c r="AU80" s="1558">
        <f ca="1">OFFSET('2 Staff List'!$LO$64,$CT80-1,AU$69-1)*AU141</f>
        <v>0</v>
      </c>
      <c r="AV80" s="1558">
        <f ca="1">OFFSET('2 Staff List'!$LO$64,$CT80-1,AV$69-1)*AV141</f>
        <v>0</v>
      </c>
      <c r="AW80" s="1558">
        <f ca="1">OFFSET('2 Staff List'!$LO$64,$CT80-1,AW$69-1)*AW141</f>
        <v>0</v>
      </c>
      <c r="AX80" s="1558">
        <f ca="1">OFFSET('2 Staff List'!$LO$64,$CT80-1,AX$69-1)*AX141</f>
        <v>0</v>
      </c>
      <c r="AY80" s="1558">
        <f ca="1">OFFSET('2 Staff List'!$LO$64,$CT80-1,AY$69-1)*AY141</f>
        <v>0</v>
      </c>
      <c r="AZ80" s="1601">
        <f ca="1">OFFSET('2 Staff List'!$LO$64,$CT80-1,AZ$69-1)*AZ141</f>
        <v>0</v>
      </c>
      <c r="BA80" s="1602">
        <f ca="1">OFFSET('2 Staff List'!$LO$64,$CT80-1,BA$69-1)*BA141</f>
        <v>0</v>
      </c>
      <c r="BB80" s="1558">
        <f ca="1">OFFSET('2 Staff List'!$LO$64,$CT80-1,BB$69-1)*BB141</f>
        <v>0</v>
      </c>
      <c r="BC80" s="1558">
        <f ca="1">OFFSET('2 Staff List'!$LO$64,$CT80-1,BC$69-1)*BC141</f>
        <v>0</v>
      </c>
      <c r="BD80" s="1558">
        <f ca="1">OFFSET('2 Staff List'!$LO$64,$CT80-1,BD$69-1)*BD141</f>
        <v>0</v>
      </c>
      <c r="BE80" s="1558">
        <f ca="1">OFFSET('2 Staff List'!$LO$64,$CT80-1,BE$69-1)*BE141</f>
        <v>0</v>
      </c>
      <c r="BF80" s="1558">
        <f ca="1">OFFSET('2 Staff List'!$LO$64,$CT80-1,BF$69-1)*BF141</f>
        <v>0</v>
      </c>
      <c r="BG80" s="1558">
        <f ca="1">OFFSET('2 Staff List'!$LO$64,$CT80-1,BG$69-1)*BG141</f>
        <v>0</v>
      </c>
      <c r="BH80" s="1558">
        <f ca="1">OFFSET('2 Staff List'!$LO$64,$CT80-1,BH$69-1)*BH141</f>
        <v>0</v>
      </c>
      <c r="BI80" s="1558">
        <f ca="1">OFFSET('2 Staff List'!$LO$64,$CT80-1,BI$69-1)*BI141</f>
        <v>0</v>
      </c>
      <c r="BJ80" s="1601">
        <f ca="1">OFFSET('2 Staff List'!$LO$64,$CT80-1,BJ$69-1)*BJ141</f>
        <v>0</v>
      </c>
      <c r="BK80" s="1602">
        <f ca="1">OFFSET('2 Staff List'!$LO$64,$CT80-1,BK$69-1)*BK141</f>
        <v>0</v>
      </c>
      <c r="BL80" s="1558">
        <f ca="1">OFFSET('2 Staff List'!$LO$64,$CT80-1,BL$69-1)*BL141</f>
        <v>0</v>
      </c>
      <c r="BM80" s="1558">
        <f ca="1">OFFSET('2 Staff List'!$LO$64,$CT80-1,BM$69-1)*BM141</f>
        <v>0</v>
      </c>
      <c r="BN80" s="1558">
        <f ca="1">OFFSET('2 Staff List'!$LO$64,$CT80-1,BN$69-1)*BN141</f>
        <v>0</v>
      </c>
      <c r="BO80" s="1558">
        <f ca="1">OFFSET('2 Staff List'!$LO$64,$CT80-1,BO$69-1)*BO141</f>
        <v>0</v>
      </c>
      <c r="BP80" s="1558">
        <f ca="1">OFFSET('2 Staff List'!$LO$64,$CT80-1,BP$69-1)*BP141</f>
        <v>0</v>
      </c>
      <c r="BQ80" s="1558">
        <f ca="1">OFFSET('2 Staff List'!$LO$64,$CT80-1,BQ$69-1)*BQ141</f>
        <v>0</v>
      </c>
      <c r="BR80" s="1558">
        <f ca="1">OFFSET('2 Staff List'!$LO$64,$CT80-1,BR$69-1)*BR141</f>
        <v>0</v>
      </c>
      <c r="BS80" s="1558">
        <f ca="1">OFFSET('2 Staff List'!$LO$64,$CT80-1,BS$69-1)*BS141</f>
        <v>0</v>
      </c>
      <c r="BT80" s="1558">
        <f ca="1">OFFSET('2 Staff List'!$LO$64,$CT80-1,BT$69-1)*BT141</f>
        <v>0</v>
      </c>
      <c r="BU80" s="295"/>
      <c r="BV80" s="295"/>
      <c r="BW80" s="295"/>
      <c r="BX80" s="295"/>
      <c r="BY80" s="295"/>
      <c r="BZ80" s="295"/>
      <c r="CA80" s="1024">
        <f ca="1">SUMIFS('3a Staff Plan'!$X$129:$X$305,'3a Staff Plan'!$DY$129:$DY$305,CZ80,'3a Staff Plan'!$DF$129:$DF$305,1,'3a Staff Plan'!$AG$129:$AG$305,1)</f>
        <v>0</v>
      </c>
      <c r="CB80" s="1025">
        <f ca="1">SUMIFS('3a Staff Plan'!$X$129:$X$305,'3a Staff Plan'!$DY$129:$DY$305,$CZ80,'3a Staff Plan'!$DF$129:$DF$305,1,'3a Staff Plan'!$AG$129:$AG$305,1,'3a Staff Plan'!$C$129:$C$305,DC$18)</f>
        <v>0</v>
      </c>
      <c r="CC80" s="1026">
        <f ca="1">SUMIFS('3a Staff Plan'!$X$129:$X$305,'3a Staff Plan'!$DY$129:$DY$305,$CZ80,'3a Staff Plan'!$DF$129:$DF$305,1,'3a Staff Plan'!$AG$129:$AG$305,1,'3a Staff Plan'!$C$129:$C$305,DD$18)</f>
        <v>0</v>
      </c>
      <c r="CD80" s="1026">
        <f ca="1">SUMIFS('3a Staff Plan'!$X$129:$X$305,'3a Staff Plan'!$DY$129:$DY$305,$CZ80,'3a Staff Plan'!$DF$129:$DF$305,1,'3a Staff Plan'!$AG$129:$AG$305,1,'3a Staff Plan'!$C$129:$C$305,DE$18)</f>
        <v>0</v>
      </c>
      <c r="CE80" s="1026">
        <f ca="1">SUMIFS('3a Staff Plan'!$X$129:$X$305,'3a Staff Plan'!$DY$129:$DY$305,$CZ80,'3a Staff Plan'!$DF$129:$DF$305,1,'3a Staff Plan'!$AG$129:$AG$305,1,'3a Staff Plan'!$C$129:$C$305,DF$18)</f>
        <v>0</v>
      </c>
      <c r="CF80" s="1026">
        <f ca="1">SUMIFS('3a Staff Plan'!$X$129:$X$305,'3a Staff Plan'!$DY$129:$DY$305,$CZ80,'3a Staff Plan'!$DF$129:$DF$305,1,'3a Staff Plan'!$AG$129:$AG$305,1,'3a Staff Plan'!$C$129:$C$305,DG$18)</f>
        <v>0</v>
      </c>
      <c r="CG80" s="1026">
        <f ca="1">SUMIFS('3a Staff Plan'!$X$129:$X$305,'3a Staff Plan'!$DY$129:$DY$305,$CZ80,'3a Staff Plan'!$DF$129:$DF$305,1,'3a Staff Plan'!$AG$129:$AG$305,1,'3a Staff Plan'!$C$129:$C$305,DH$18)</f>
        <v>0</v>
      </c>
      <c r="CH80" s="1026">
        <f ca="1">SUMIFS('3a Staff Plan'!$X$129:$X$305,'3a Staff Plan'!$DY$129:$DY$305,$CZ80,'3a Staff Plan'!$DF$129:$DF$305,1,'3a Staff Plan'!$AG$129:$AG$305,1,'3a Staff Plan'!$C$129:$C$305,DI$18)</f>
        <v>0</v>
      </c>
      <c r="CI80" s="755"/>
      <c r="CJ80" s="1024">
        <f ca="1">SUMPRODUCT(OFFSET('3b Activity Plan'!$DJ$67:$DJ$76,0,$CU80-1),OFFSET('3b Activity Plan'!$DJ$78:$DJ$87,0,CU80-1))</f>
        <v>18140.803200000002</v>
      </c>
      <c r="CK80" s="1025">
        <f t="shared" ca="1" si="43"/>
        <v>0</v>
      </c>
      <c r="CL80" s="1026">
        <f t="shared" ca="1" si="44"/>
        <v>0</v>
      </c>
      <c r="CM80" s="1026">
        <f t="shared" ca="1" si="45"/>
        <v>0</v>
      </c>
      <c r="CN80" s="1026">
        <f t="shared" ca="1" si="46"/>
        <v>0</v>
      </c>
      <c r="CO80" s="1026">
        <f t="shared" ca="1" si="47"/>
        <v>0</v>
      </c>
      <c r="CP80" s="1026">
        <f t="shared" ca="1" si="48"/>
        <v>0</v>
      </c>
      <c r="CQ80" s="1026">
        <f t="shared" ca="1" si="49"/>
        <v>0</v>
      </c>
      <c r="CR80" s="417"/>
      <c r="CS80" s="417">
        <f t="shared" si="50"/>
        <v>9</v>
      </c>
      <c r="CT80" s="417">
        <f ca="1">OFFSET('2 Staff List'!$GU$64,CS80-1,0)</f>
        <v>9</v>
      </c>
      <c r="CU80" s="417">
        <f ca="1">IF(CZ80=0,0,IFERROR(INDEX('3b Activity Plan'!$DJ$20:$FH$20,MATCH(CT80,'3b Activity Plan'!$DJ$171:$FH$171,0)),0))</f>
        <v>9</v>
      </c>
      <c r="CV80" s="417">
        <f ca="1">INDEX('2 Staff List'!$HW$64:$HW$114,CT80)</f>
        <v>0</v>
      </c>
      <c r="CW80" s="417"/>
      <c r="CY80" s="927" t="str">
        <f ca="1">OFFSET('2 Staff List'!$HZ$64,CS80-1,0)</f>
        <v>L3B Senior Engineer</v>
      </c>
      <c r="CZ80" s="975" t="str">
        <f ca="1">OFFSET('2 Staff List'!$IA$64,CT80-1,0)</f>
        <v>Parsons, Jenny</v>
      </c>
      <c r="DA80" s="3845">
        <f t="shared" ca="1" si="51"/>
        <v>18140.803200000002</v>
      </c>
      <c r="DB80" s="3846"/>
      <c r="DC80" s="2408">
        <f t="shared" ca="1" si="52"/>
        <v>0</v>
      </c>
      <c r="DD80" s="2401">
        <f t="shared" ca="1" si="53"/>
        <v>0</v>
      </c>
      <c r="DE80" s="2401">
        <f t="shared" ca="1" si="54"/>
        <v>0</v>
      </c>
      <c r="DF80" s="2405">
        <f t="shared" ca="1" si="55"/>
        <v>0</v>
      </c>
      <c r="DG80" s="2405">
        <f t="shared" ca="1" si="56"/>
        <v>0</v>
      </c>
      <c r="DH80" s="2406">
        <f t="shared" ca="1" si="57"/>
        <v>0</v>
      </c>
      <c r="DI80" s="2407">
        <f t="shared" ca="1" si="58"/>
        <v>0</v>
      </c>
    </row>
    <row r="81" spans="1:113" ht="15.9" customHeight="1" x14ac:dyDescent="0.25">
      <c r="A81" s="295"/>
      <c r="B81" s="295"/>
      <c r="C81" s="1558">
        <f ca="1">OFFSET('2 Staff List'!$LO$64,$CT81-1,C$69-1)*C142</f>
        <v>0</v>
      </c>
      <c r="D81" s="1558">
        <f ca="1">OFFSET('2 Staff List'!$LO$64,$CT81-1,D$69-1)*D142</f>
        <v>0</v>
      </c>
      <c r="E81" s="1558">
        <f ca="1">OFFSET('2 Staff List'!$LO$64,$CT81-1,E$69-1)*E142</f>
        <v>0</v>
      </c>
      <c r="F81" s="1558">
        <f ca="1">OFFSET('2 Staff List'!$LO$64,$CT81-1,F$69-1)*F142</f>
        <v>0</v>
      </c>
      <c r="G81" s="1558">
        <f ca="1">OFFSET('2 Staff List'!$LO$64,$CT81-1,G$69-1)*G142</f>
        <v>0</v>
      </c>
      <c r="H81" s="1558">
        <f ca="1">OFFSET('2 Staff List'!$LO$64,$CT81-1,H$69-1)*H142</f>
        <v>0</v>
      </c>
      <c r="I81" s="1558">
        <f ca="1">OFFSET('2 Staff List'!$LO$64,$CT81-1,I$69-1)*I142</f>
        <v>0</v>
      </c>
      <c r="J81" s="1558">
        <f ca="1">OFFSET('2 Staff List'!$LO$64,$CT81-1,J$69-1)*J142</f>
        <v>0</v>
      </c>
      <c r="K81" s="1558">
        <f ca="1">OFFSET('2 Staff List'!$LO$64,$CT81-1,K$69-1)*K142</f>
        <v>0</v>
      </c>
      <c r="L81" s="1601">
        <f ca="1">OFFSET('2 Staff List'!$LO$64,$CT81-1,L$69-1)*L142</f>
        <v>0</v>
      </c>
      <c r="M81" s="1602">
        <f ca="1">OFFSET('2 Staff List'!$LO$64,$CT81-1,M$69-1)*M142</f>
        <v>0</v>
      </c>
      <c r="N81" s="1558">
        <f ca="1">OFFSET('2 Staff List'!$LO$64,$CT81-1,N$69-1)*N142</f>
        <v>0</v>
      </c>
      <c r="O81" s="1558">
        <f ca="1">OFFSET('2 Staff List'!$LO$64,$CT81-1,O$69-1)*O142</f>
        <v>0</v>
      </c>
      <c r="P81" s="1558">
        <f ca="1">OFFSET('2 Staff List'!$LO$64,$CT81-1,P$69-1)*P142</f>
        <v>0</v>
      </c>
      <c r="Q81" s="1558">
        <f ca="1">OFFSET('2 Staff List'!$LO$64,$CT81-1,Q$69-1)*Q142</f>
        <v>0</v>
      </c>
      <c r="R81" s="1558">
        <f ca="1">OFFSET('2 Staff List'!$LO$64,$CT81-1,R$69-1)*R142</f>
        <v>0</v>
      </c>
      <c r="S81" s="1558">
        <f ca="1">OFFSET('2 Staff List'!$LO$64,$CT81-1,S$69-1)*S142</f>
        <v>0</v>
      </c>
      <c r="T81" s="1558">
        <f ca="1">OFFSET('2 Staff List'!$LO$64,$CT81-1,T$69-1)*T142</f>
        <v>0</v>
      </c>
      <c r="U81" s="1558">
        <f ca="1">OFFSET('2 Staff List'!$LO$64,$CT81-1,U$69-1)*U142</f>
        <v>0</v>
      </c>
      <c r="V81" s="1601">
        <f ca="1">OFFSET('2 Staff List'!$LO$64,$CT81-1,V$69-1)*V142</f>
        <v>0</v>
      </c>
      <c r="W81" s="1602">
        <f ca="1">OFFSET('2 Staff List'!$LO$64,$CT81-1,W$69-1)*W142</f>
        <v>0</v>
      </c>
      <c r="X81" s="1558">
        <f ca="1">OFFSET('2 Staff List'!$LO$64,$CT81-1,X$69-1)*X142</f>
        <v>0</v>
      </c>
      <c r="Y81" s="1558">
        <f ca="1">OFFSET('2 Staff List'!$LO$64,$CT81-1,Y$69-1)*Y142</f>
        <v>0</v>
      </c>
      <c r="Z81" s="1558">
        <f ca="1">OFFSET('2 Staff List'!$LO$64,$CT81-1,Z$69-1)*Z142</f>
        <v>0</v>
      </c>
      <c r="AA81" s="1558">
        <f ca="1">OFFSET('2 Staff List'!$LO$64,$CT81-1,AA$69-1)*AA142</f>
        <v>0</v>
      </c>
      <c r="AB81" s="1558">
        <f ca="1">OFFSET('2 Staff List'!$LO$64,$CT81-1,AB$69-1)*AB142</f>
        <v>0</v>
      </c>
      <c r="AC81" s="1558">
        <f ca="1">OFFSET('2 Staff List'!$LO$64,$CT81-1,AC$69-1)*AC142</f>
        <v>0</v>
      </c>
      <c r="AD81" s="1558">
        <f ca="1">OFFSET('2 Staff List'!$LO$64,$CT81-1,AD$69-1)*AD142</f>
        <v>0</v>
      </c>
      <c r="AE81" s="1558">
        <f ca="1">OFFSET('2 Staff List'!$LO$64,$CT81-1,AE$69-1)*AE142</f>
        <v>0</v>
      </c>
      <c r="AF81" s="1601">
        <f ca="1">OFFSET('2 Staff List'!$LO$64,$CT81-1,AF$69-1)*AF142</f>
        <v>0</v>
      </c>
      <c r="AG81" s="1602">
        <f ca="1">OFFSET('2 Staff List'!$LO$64,$CT81-1,AG$69-1)*AG142</f>
        <v>0</v>
      </c>
      <c r="AH81" s="1558">
        <f ca="1">OFFSET('2 Staff List'!$LO$64,$CT81-1,AH$69-1)*AH142</f>
        <v>0</v>
      </c>
      <c r="AI81" s="1558">
        <f ca="1">OFFSET('2 Staff List'!$LO$64,$CT81-1,AI$69-1)*AI142</f>
        <v>0</v>
      </c>
      <c r="AJ81" s="1558">
        <f ca="1">OFFSET('2 Staff List'!$LO$64,$CT81-1,AJ$69-1)*AJ142</f>
        <v>0</v>
      </c>
      <c r="AK81" s="1558">
        <f ca="1">OFFSET('2 Staff List'!$LO$64,$CT81-1,AK$69-1)*AK142</f>
        <v>0</v>
      </c>
      <c r="AL81" s="1558">
        <f ca="1">OFFSET('2 Staff List'!$LO$64,$CT81-1,AL$69-1)*AL142</f>
        <v>0</v>
      </c>
      <c r="AM81" s="1558">
        <f ca="1">OFFSET('2 Staff List'!$LO$64,$CT81-1,AM$69-1)*AM142</f>
        <v>0</v>
      </c>
      <c r="AN81" s="1558">
        <f ca="1">OFFSET('2 Staff List'!$LO$64,$CT81-1,AN$69-1)*AN142</f>
        <v>0</v>
      </c>
      <c r="AO81" s="1558">
        <f ca="1">OFFSET('2 Staff List'!$LO$64,$CT81-1,AO$69-1)*AO142</f>
        <v>0</v>
      </c>
      <c r="AP81" s="1601">
        <f ca="1">OFFSET('2 Staff List'!$LO$64,$CT81-1,AP$69-1)*AP142</f>
        <v>0</v>
      </c>
      <c r="AQ81" s="1602">
        <f ca="1">OFFSET('2 Staff List'!$LO$64,$CT81-1,AQ$69-1)*AQ142</f>
        <v>0</v>
      </c>
      <c r="AR81" s="1558">
        <f ca="1">OFFSET('2 Staff List'!$LO$64,$CT81-1,AR$69-1)*AR142</f>
        <v>0</v>
      </c>
      <c r="AS81" s="1558">
        <f ca="1">OFFSET('2 Staff List'!$LO$64,$CT81-1,AS$69-1)*AS142</f>
        <v>0</v>
      </c>
      <c r="AT81" s="1558">
        <f ca="1">OFFSET('2 Staff List'!$LO$64,$CT81-1,AT$69-1)*AT142</f>
        <v>0</v>
      </c>
      <c r="AU81" s="1558">
        <f ca="1">OFFSET('2 Staff List'!$LO$64,$CT81-1,AU$69-1)*AU142</f>
        <v>0</v>
      </c>
      <c r="AV81" s="1558">
        <f ca="1">OFFSET('2 Staff List'!$LO$64,$CT81-1,AV$69-1)*AV142</f>
        <v>0</v>
      </c>
      <c r="AW81" s="1558">
        <f ca="1">OFFSET('2 Staff List'!$LO$64,$CT81-1,AW$69-1)*AW142</f>
        <v>0</v>
      </c>
      <c r="AX81" s="1558">
        <f ca="1">OFFSET('2 Staff List'!$LO$64,$CT81-1,AX$69-1)*AX142</f>
        <v>0</v>
      </c>
      <c r="AY81" s="1558">
        <f ca="1">OFFSET('2 Staff List'!$LO$64,$CT81-1,AY$69-1)*AY142</f>
        <v>0</v>
      </c>
      <c r="AZ81" s="1601">
        <f ca="1">OFFSET('2 Staff List'!$LO$64,$CT81-1,AZ$69-1)*AZ142</f>
        <v>0</v>
      </c>
      <c r="BA81" s="1602">
        <f ca="1">OFFSET('2 Staff List'!$LO$64,$CT81-1,BA$69-1)*BA142</f>
        <v>0</v>
      </c>
      <c r="BB81" s="1558">
        <f ca="1">OFFSET('2 Staff List'!$LO$64,$CT81-1,BB$69-1)*BB142</f>
        <v>0</v>
      </c>
      <c r="BC81" s="1558">
        <f ca="1">OFFSET('2 Staff List'!$LO$64,$CT81-1,BC$69-1)*BC142</f>
        <v>0</v>
      </c>
      <c r="BD81" s="1558">
        <f ca="1">OFFSET('2 Staff List'!$LO$64,$CT81-1,BD$69-1)*BD142</f>
        <v>0</v>
      </c>
      <c r="BE81" s="1558">
        <f ca="1">OFFSET('2 Staff List'!$LO$64,$CT81-1,BE$69-1)*BE142</f>
        <v>0</v>
      </c>
      <c r="BF81" s="1558">
        <f ca="1">OFFSET('2 Staff List'!$LO$64,$CT81-1,BF$69-1)*BF142</f>
        <v>0</v>
      </c>
      <c r="BG81" s="1558">
        <f ca="1">OFFSET('2 Staff List'!$LO$64,$CT81-1,BG$69-1)*BG142</f>
        <v>0</v>
      </c>
      <c r="BH81" s="1558">
        <f ca="1">OFFSET('2 Staff List'!$LO$64,$CT81-1,BH$69-1)*BH142</f>
        <v>0</v>
      </c>
      <c r="BI81" s="1558">
        <f ca="1">OFFSET('2 Staff List'!$LO$64,$CT81-1,BI$69-1)*BI142</f>
        <v>0</v>
      </c>
      <c r="BJ81" s="1601">
        <f ca="1">OFFSET('2 Staff List'!$LO$64,$CT81-1,BJ$69-1)*BJ142</f>
        <v>0</v>
      </c>
      <c r="BK81" s="1602">
        <f ca="1">OFFSET('2 Staff List'!$LO$64,$CT81-1,BK$69-1)*BK142</f>
        <v>0</v>
      </c>
      <c r="BL81" s="1558">
        <f ca="1">OFFSET('2 Staff List'!$LO$64,$CT81-1,BL$69-1)*BL142</f>
        <v>0</v>
      </c>
      <c r="BM81" s="1558">
        <f ca="1">OFFSET('2 Staff List'!$LO$64,$CT81-1,BM$69-1)*BM142</f>
        <v>0</v>
      </c>
      <c r="BN81" s="1558">
        <f ca="1">OFFSET('2 Staff List'!$LO$64,$CT81-1,BN$69-1)*BN142</f>
        <v>0</v>
      </c>
      <c r="BO81" s="1558">
        <f ca="1">OFFSET('2 Staff List'!$LO$64,$CT81-1,BO$69-1)*BO142</f>
        <v>0</v>
      </c>
      <c r="BP81" s="1558">
        <f ca="1">OFFSET('2 Staff List'!$LO$64,$CT81-1,BP$69-1)*BP142</f>
        <v>0</v>
      </c>
      <c r="BQ81" s="1558">
        <f ca="1">OFFSET('2 Staff List'!$LO$64,$CT81-1,BQ$69-1)*BQ142</f>
        <v>0</v>
      </c>
      <c r="BR81" s="1558">
        <f ca="1">OFFSET('2 Staff List'!$LO$64,$CT81-1,BR$69-1)*BR142</f>
        <v>0</v>
      </c>
      <c r="BS81" s="1558">
        <f ca="1">OFFSET('2 Staff List'!$LO$64,$CT81-1,BS$69-1)*BS142</f>
        <v>0</v>
      </c>
      <c r="BT81" s="1558">
        <f ca="1">OFFSET('2 Staff List'!$LO$64,$CT81-1,BT$69-1)*BT142</f>
        <v>0</v>
      </c>
      <c r="BU81" s="295"/>
      <c r="BV81" s="295"/>
      <c r="BW81" s="295"/>
      <c r="BX81" s="295"/>
      <c r="BY81" s="295"/>
      <c r="BZ81" s="295"/>
      <c r="CA81" s="1024">
        <f ca="1">SUMIFS('3a Staff Plan'!$X$129:$X$305,'3a Staff Plan'!$DY$129:$DY$305,CZ81,'3a Staff Plan'!$DF$129:$DF$305,1,'3a Staff Plan'!$AG$129:$AG$305,1)</f>
        <v>0</v>
      </c>
      <c r="CB81" s="1025">
        <f ca="1">SUMIFS('3a Staff Plan'!$X$129:$X$305,'3a Staff Plan'!$DY$129:$DY$305,$CZ81,'3a Staff Plan'!$DF$129:$DF$305,1,'3a Staff Plan'!$AG$129:$AG$305,1,'3a Staff Plan'!$C$129:$C$305,DC$18)</f>
        <v>0</v>
      </c>
      <c r="CC81" s="1026">
        <f ca="1">SUMIFS('3a Staff Plan'!$X$129:$X$305,'3a Staff Plan'!$DY$129:$DY$305,$CZ81,'3a Staff Plan'!$DF$129:$DF$305,1,'3a Staff Plan'!$AG$129:$AG$305,1,'3a Staff Plan'!$C$129:$C$305,DD$18)</f>
        <v>0</v>
      </c>
      <c r="CD81" s="1026">
        <f ca="1">SUMIFS('3a Staff Plan'!$X$129:$X$305,'3a Staff Plan'!$DY$129:$DY$305,$CZ81,'3a Staff Plan'!$DF$129:$DF$305,1,'3a Staff Plan'!$AG$129:$AG$305,1,'3a Staff Plan'!$C$129:$C$305,DE$18)</f>
        <v>0</v>
      </c>
      <c r="CE81" s="1026">
        <f ca="1">SUMIFS('3a Staff Plan'!$X$129:$X$305,'3a Staff Plan'!$DY$129:$DY$305,$CZ81,'3a Staff Plan'!$DF$129:$DF$305,1,'3a Staff Plan'!$AG$129:$AG$305,1,'3a Staff Plan'!$C$129:$C$305,DF$18)</f>
        <v>0</v>
      </c>
      <c r="CF81" s="1026">
        <f ca="1">SUMIFS('3a Staff Plan'!$X$129:$X$305,'3a Staff Plan'!$DY$129:$DY$305,$CZ81,'3a Staff Plan'!$DF$129:$DF$305,1,'3a Staff Plan'!$AG$129:$AG$305,1,'3a Staff Plan'!$C$129:$C$305,DG$18)</f>
        <v>0</v>
      </c>
      <c r="CG81" s="1026">
        <f ca="1">SUMIFS('3a Staff Plan'!$X$129:$X$305,'3a Staff Plan'!$DY$129:$DY$305,$CZ81,'3a Staff Plan'!$DF$129:$DF$305,1,'3a Staff Plan'!$AG$129:$AG$305,1,'3a Staff Plan'!$C$129:$C$305,DH$18)</f>
        <v>0</v>
      </c>
      <c r="CH81" s="1026">
        <f ca="1">SUMIFS('3a Staff Plan'!$X$129:$X$305,'3a Staff Plan'!$DY$129:$DY$305,$CZ81,'3a Staff Plan'!$DF$129:$DF$305,1,'3a Staff Plan'!$AG$129:$AG$305,1,'3a Staff Plan'!$C$129:$C$305,DI$18)</f>
        <v>0</v>
      </c>
      <c r="CI81" s="755"/>
      <c r="CJ81" s="1024">
        <f ca="1">SUMPRODUCT(OFFSET('3b Activity Plan'!$DJ$67:$DJ$76,0,$CU81-1),OFFSET('3b Activity Plan'!$DJ$78:$DJ$87,0,CU81-1))</f>
        <v>22676.004000000001</v>
      </c>
      <c r="CK81" s="1025">
        <f t="shared" ca="1" si="43"/>
        <v>0</v>
      </c>
      <c r="CL81" s="1026">
        <f t="shared" ca="1" si="44"/>
        <v>0</v>
      </c>
      <c r="CM81" s="1026">
        <f t="shared" ca="1" si="45"/>
        <v>0</v>
      </c>
      <c r="CN81" s="1026">
        <f t="shared" ca="1" si="46"/>
        <v>0</v>
      </c>
      <c r="CO81" s="1026">
        <f t="shared" ca="1" si="47"/>
        <v>0</v>
      </c>
      <c r="CP81" s="1026">
        <f t="shared" ca="1" si="48"/>
        <v>0</v>
      </c>
      <c r="CQ81" s="1026">
        <f t="shared" ca="1" si="49"/>
        <v>0</v>
      </c>
      <c r="CR81" s="417"/>
      <c r="CS81" s="417">
        <f t="shared" si="50"/>
        <v>10</v>
      </c>
      <c r="CT81" s="417">
        <f ca="1">OFFSET('2 Staff List'!$GU$64,CS81-1,0)</f>
        <v>10</v>
      </c>
      <c r="CU81" s="417">
        <f ca="1">IF(CZ81=0,0,IFERROR(INDEX('3b Activity Plan'!$DJ$20:$FH$20,MATCH(CT81,'3b Activity Plan'!$DJ$171:$FH$171,0)),0))</f>
        <v>10</v>
      </c>
      <c r="CV81" s="417">
        <f ca="1">INDEX('2 Staff List'!$HW$64:$HW$114,CT81)</f>
        <v>0</v>
      </c>
      <c r="CW81" s="417"/>
      <c r="CY81" s="927" t="str">
        <f ca="1">OFFSET('2 Staff List'!$HZ$64,CS81-1,0)</f>
        <v>L3B Engineer</v>
      </c>
      <c r="CZ81" s="975" t="str">
        <f ca="1">OFFSET('2 Staff List'!$IA$64,CT81-1,0)</f>
        <v>Cooper, Lucy</v>
      </c>
      <c r="DA81" s="3845">
        <f t="shared" ca="1" si="51"/>
        <v>22676.004000000001</v>
      </c>
      <c r="DB81" s="3846"/>
      <c r="DC81" s="2408">
        <f t="shared" ca="1" si="52"/>
        <v>0</v>
      </c>
      <c r="DD81" s="2401">
        <f t="shared" ca="1" si="53"/>
        <v>0</v>
      </c>
      <c r="DE81" s="2401">
        <f t="shared" ca="1" si="54"/>
        <v>0</v>
      </c>
      <c r="DF81" s="2405">
        <f t="shared" ca="1" si="55"/>
        <v>0</v>
      </c>
      <c r="DG81" s="2405">
        <f t="shared" ca="1" si="56"/>
        <v>0</v>
      </c>
      <c r="DH81" s="2406">
        <f t="shared" ca="1" si="57"/>
        <v>0</v>
      </c>
      <c r="DI81" s="2407">
        <f t="shared" ca="1" si="58"/>
        <v>0</v>
      </c>
    </row>
    <row r="82" spans="1:113" ht="15.9" customHeight="1" x14ac:dyDescent="0.25">
      <c r="A82" s="295"/>
      <c r="B82" s="295"/>
      <c r="C82" s="1558">
        <f ca="1">OFFSET('2 Staff List'!$LO$64,$CT82-1,C$69-1)*C143</f>
        <v>0</v>
      </c>
      <c r="D82" s="1558">
        <f ca="1">OFFSET('2 Staff List'!$LO$64,$CT82-1,D$69-1)*D143</f>
        <v>0</v>
      </c>
      <c r="E82" s="1558">
        <f ca="1">OFFSET('2 Staff List'!$LO$64,$CT82-1,E$69-1)*E143</f>
        <v>0</v>
      </c>
      <c r="F82" s="1558">
        <f ca="1">OFFSET('2 Staff List'!$LO$64,$CT82-1,F$69-1)*F143</f>
        <v>0</v>
      </c>
      <c r="G82" s="1558">
        <f ca="1">OFFSET('2 Staff List'!$LO$64,$CT82-1,G$69-1)*G143</f>
        <v>0</v>
      </c>
      <c r="H82" s="1558">
        <f ca="1">OFFSET('2 Staff List'!$LO$64,$CT82-1,H$69-1)*H143</f>
        <v>0</v>
      </c>
      <c r="I82" s="1558">
        <f ca="1">OFFSET('2 Staff List'!$LO$64,$CT82-1,I$69-1)*I143</f>
        <v>0</v>
      </c>
      <c r="J82" s="1558">
        <f ca="1">OFFSET('2 Staff List'!$LO$64,$CT82-1,J$69-1)*J143</f>
        <v>0</v>
      </c>
      <c r="K82" s="1558">
        <f ca="1">OFFSET('2 Staff List'!$LO$64,$CT82-1,K$69-1)*K143</f>
        <v>0</v>
      </c>
      <c r="L82" s="1601">
        <f ca="1">OFFSET('2 Staff List'!$LO$64,$CT82-1,L$69-1)*L143</f>
        <v>0</v>
      </c>
      <c r="M82" s="1602">
        <f ca="1">OFFSET('2 Staff List'!$LO$64,$CT82-1,M$69-1)*M143</f>
        <v>0</v>
      </c>
      <c r="N82" s="1558">
        <f ca="1">OFFSET('2 Staff List'!$LO$64,$CT82-1,N$69-1)*N143</f>
        <v>0</v>
      </c>
      <c r="O82" s="1558">
        <f ca="1">OFFSET('2 Staff List'!$LO$64,$CT82-1,O$69-1)*O143</f>
        <v>0</v>
      </c>
      <c r="P82" s="1558">
        <f ca="1">OFFSET('2 Staff List'!$LO$64,$CT82-1,P$69-1)*P143</f>
        <v>0</v>
      </c>
      <c r="Q82" s="1558">
        <f ca="1">OFFSET('2 Staff List'!$LO$64,$CT82-1,Q$69-1)*Q143</f>
        <v>0</v>
      </c>
      <c r="R82" s="1558">
        <f ca="1">OFFSET('2 Staff List'!$LO$64,$CT82-1,R$69-1)*R143</f>
        <v>0</v>
      </c>
      <c r="S82" s="1558">
        <f ca="1">OFFSET('2 Staff List'!$LO$64,$CT82-1,S$69-1)*S143</f>
        <v>0</v>
      </c>
      <c r="T82" s="1558">
        <f ca="1">OFFSET('2 Staff List'!$LO$64,$CT82-1,T$69-1)*T143</f>
        <v>0</v>
      </c>
      <c r="U82" s="1558">
        <f ca="1">OFFSET('2 Staff List'!$LO$64,$CT82-1,U$69-1)*U143</f>
        <v>0</v>
      </c>
      <c r="V82" s="1601">
        <f ca="1">OFFSET('2 Staff List'!$LO$64,$CT82-1,V$69-1)*V143</f>
        <v>0</v>
      </c>
      <c r="W82" s="1602">
        <f ca="1">OFFSET('2 Staff List'!$LO$64,$CT82-1,W$69-1)*W143</f>
        <v>0</v>
      </c>
      <c r="X82" s="1558">
        <f ca="1">OFFSET('2 Staff List'!$LO$64,$CT82-1,X$69-1)*X143</f>
        <v>0</v>
      </c>
      <c r="Y82" s="1558">
        <f ca="1">OFFSET('2 Staff List'!$LO$64,$CT82-1,Y$69-1)*Y143</f>
        <v>0</v>
      </c>
      <c r="Z82" s="1558">
        <f ca="1">OFFSET('2 Staff List'!$LO$64,$CT82-1,Z$69-1)*Z143</f>
        <v>0</v>
      </c>
      <c r="AA82" s="1558">
        <f ca="1">OFFSET('2 Staff List'!$LO$64,$CT82-1,AA$69-1)*AA143</f>
        <v>0</v>
      </c>
      <c r="AB82" s="1558">
        <f ca="1">OFFSET('2 Staff List'!$LO$64,$CT82-1,AB$69-1)*AB143</f>
        <v>0</v>
      </c>
      <c r="AC82" s="1558">
        <f ca="1">OFFSET('2 Staff List'!$LO$64,$CT82-1,AC$69-1)*AC143</f>
        <v>0</v>
      </c>
      <c r="AD82" s="1558">
        <f ca="1">OFFSET('2 Staff List'!$LO$64,$CT82-1,AD$69-1)*AD143</f>
        <v>0</v>
      </c>
      <c r="AE82" s="1558">
        <f ca="1">OFFSET('2 Staff List'!$LO$64,$CT82-1,AE$69-1)*AE143</f>
        <v>0</v>
      </c>
      <c r="AF82" s="1601">
        <f ca="1">OFFSET('2 Staff List'!$LO$64,$CT82-1,AF$69-1)*AF143</f>
        <v>0</v>
      </c>
      <c r="AG82" s="1602">
        <f ca="1">OFFSET('2 Staff List'!$LO$64,$CT82-1,AG$69-1)*AG143</f>
        <v>0</v>
      </c>
      <c r="AH82" s="1558">
        <f ca="1">OFFSET('2 Staff List'!$LO$64,$CT82-1,AH$69-1)*AH143</f>
        <v>0</v>
      </c>
      <c r="AI82" s="1558">
        <f ca="1">OFFSET('2 Staff List'!$LO$64,$CT82-1,AI$69-1)*AI143</f>
        <v>0</v>
      </c>
      <c r="AJ82" s="1558">
        <f ca="1">OFFSET('2 Staff List'!$LO$64,$CT82-1,AJ$69-1)*AJ143</f>
        <v>0</v>
      </c>
      <c r="AK82" s="1558">
        <f ca="1">OFFSET('2 Staff List'!$LO$64,$CT82-1,AK$69-1)*AK143</f>
        <v>0</v>
      </c>
      <c r="AL82" s="1558">
        <f ca="1">OFFSET('2 Staff List'!$LO$64,$CT82-1,AL$69-1)*AL143</f>
        <v>0</v>
      </c>
      <c r="AM82" s="1558">
        <f ca="1">OFFSET('2 Staff List'!$LO$64,$CT82-1,AM$69-1)*AM143</f>
        <v>0</v>
      </c>
      <c r="AN82" s="1558">
        <f ca="1">OFFSET('2 Staff List'!$LO$64,$CT82-1,AN$69-1)*AN143</f>
        <v>0</v>
      </c>
      <c r="AO82" s="1558">
        <f ca="1">OFFSET('2 Staff List'!$LO$64,$CT82-1,AO$69-1)*AO143</f>
        <v>0</v>
      </c>
      <c r="AP82" s="1601">
        <f ca="1">OFFSET('2 Staff List'!$LO$64,$CT82-1,AP$69-1)*AP143</f>
        <v>0</v>
      </c>
      <c r="AQ82" s="1602">
        <f ca="1">OFFSET('2 Staff List'!$LO$64,$CT82-1,AQ$69-1)*AQ143</f>
        <v>0</v>
      </c>
      <c r="AR82" s="1558">
        <f ca="1">OFFSET('2 Staff List'!$LO$64,$CT82-1,AR$69-1)*AR143</f>
        <v>0</v>
      </c>
      <c r="AS82" s="1558">
        <f ca="1">OFFSET('2 Staff List'!$LO$64,$CT82-1,AS$69-1)*AS143</f>
        <v>0</v>
      </c>
      <c r="AT82" s="1558">
        <f ca="1">OFFSET('2 Staff List'!$LO$64,$CT82-1,AT$69-1)*AT143</f>
        <v>0</v>
      </c>
      <c r="AU82" s="1558">
        <f ca="1">OFFSET('2 Staff List'!$LO$64,$CT82-1,AU$69-1)*AU143</f>
        <v>0</v>
      </c>
      <c r="AV82" s="1558">
        <f ca="1">OFFSET('2 Staff List'!$LO$64,$CT82-1,AV$69-1)*AV143</f>
        <v>0</v>
      </c>
      <c r="AW82" s="1558">
        <f ca="1">OFFSET('2 Staff List'!$LO$64,$CT82-1,AW$69-1)*AW143</f>
        <v>0</v>
      </c>
      <c r="AX82" s="1558">
        <f ca="1">OFFSET('2 Staff List'!$LO$64,$CT82-1,AX$69-1)*AX143</f>
        <v>0</v>
      </c>
      <c r="AY82" s="1558">
        <f ca="1">OFFSET('2 Staff List'!$LO$64,$CT82-1,AY$69-1)*AY143</f>
        <v>0</v>
      </c>
      <c r="AZ82" s="1601">
        <f ca="1">OFFSET('2 Staff List'!$LO$64,$CT82-1,AZ$69-1)*AZ143</f>
        <v>0</v>
      </c>
      <c r="BA82" s="1602">
        <f ca="1">OFFSET('2 Staff List'!$LO$64,$CT82-1,BA$69-1)*BA143</f>
        <v>0</v>
      </c>
      <c r="BB82" s="1558">
        <f ca="1">OFFSET('2 Staff List'!$LO$64,$CT82-1,BB$69-1)*BB143</f>
        <v>0</v>
      </c>
      <c r="BC82" s="1558">
        <f ca="1">OFFSET('2 Staff List'!$LO$64,$CT82-1,BC$69-1)*BC143</f>
        <v>0</v>
      </c>
      <c r="BD82" s="1558">
        <f ca="1">OFFSET('2 Staff List'!$LO$64,$CT82-1,BD$69-1)*BD143</f>
        <v>0</v>
      </c>
      <c r="BE82" s="1558">
        <f ca="1">OFFSET('2 Staff List'!$LO$64,$CT82-1,BE$69-1)*BE143</f>
        <v>0</v>
      </c>
      <c r="BF82" s="1558">
        <f ca="1">OFFSET('2 Staff List'!$LO$64,$CT82-1,BF$69-1)*BF143</f>
        <v>0</v>
      </c>
      <c r="BG82" s="1558">
        <f ca="1">OFFSET('2 Staff List'!$LO$64,$CT82-1,BG$69-1)*BG143</f>
        <v>0</v>
      </c>
      <c r="BH82" s="1558">
        <f ca="1">OFFSET('2 Staff List'!$LO$64,$CT82-1,BH$69-1)*BH143</f>
        <v>0</v>
      </c>
      <c r="BI82" s="1558">
        <f ca="1">OFFSET('2 Staff List'!$LO$64,$CT82-1,BI$69-1)*BI143</f>
        <v>0</v>
      </c>
      <c r="BJ82" s="1601">
        <f ca="1">OFFSET('2 Staff List'!$LO$64,$CT82-1,BJ$69-1)*BJ143</f>
        <v>0</v>
      </c>
      <c r="BK82" s="1602">
        <f ca="1">OFFSET('2 Staff List'!$LO$64,$CT82-1,BK$69-1)*BK143</f>
        <v>0</v>
      </c>
      <c r="BL82" s="1558">
        <f ca="1">OFFSET('2 Staff List'!$LO$64,$CT82-1,BL$69-1)*BL143</f>
        <v>0</v>
      </c>
      <c r="BM82" s="1558">
        <f ca="1">OFFSET('2 Staff List'!$LO$64,$CT82-1,BM$69-1)*BM143</f>
        <v>0</v>
      </c>
      <c r="BN82" s="1558">
        <f ca="1">OFFSET('2 Staff List'!$LO$64,$CT82-1,BN$69-1)*BN143</f>
        <v>0</v>
      </c>
      <c r="BO82" s="1558">
        <f ca="1">OFFSET('2 Staff List'!$LO$64,$CT82-1,BO$69-1)*BO143</f>
        <v>0</v>
      </c>
      <c r="BP82" s="1558">
        <f ca="1">OFFSET('2 Staff List'!$LO$64,$CT82-1,BP$69-1)*BP143</f>
        <v>0</v>
      </c>
      <c r="BQ82" s="1558">
        <f ca="1">OFFSET('2 Staff List'!$LO$64,$CT82-1,BQ$69-1)*BQ143</f>
        <v>0</v>
      </c>
      <c r="BR82" s="1558">
        <f ca="1">OFFSET('2 Staff List'!$LO$64,$CT82-1,BR$69-1)*BR143</f>
        <v>0</v>
      </c>
      <c r="BS82" s="1558">
        <f ca="1">OFFSET('2 Staff List'!$LO$64,$CT82-1,BS$69-1)*BS143</f>
        <v>0</v>
      </c>
      <c r="BT82" s="1558">
        <f ca="1">OFFSET('2 Staff List'!$LO$64,$CT82-1,BT$69-1)*BT143</f>
        <v>0</v>
      </c>
      <c r="BU82" s="295"/>
      <c r="BV82" s="295"/>
      <c r="BW82" s="295"/>
      <c r="BX82" s="295"/>
      <c r="BY82" s="295"/>
      <c r="BZ82" s="295"/>
      <c r="CA82" s="1024">
        <f ca="1">SUMIFS('3a Staff Plan'!$X$129:$X$305,'3a Staff Plan'!$DY$129:$DY$305,CZ82,'3a Staff Plan'!$DF$129:$DF$305,1,'3a Staff Plan'!$AG$129:$AG$305,1)</f>
        <v>0</v>
      </c>
      <c r="CB82" s="1025">
        <f ca="1">SUMIFS('3a Staff Plan'!$X$129:$X$305,'3a Staff Plan'!$DY$129:$DY$305,$CZ82,'3a Staff Plan'!$DF$129:$DF$305,1,'3a Staff Plan'!$AG$129:$AG$305,1,'3a Staff Plan'!$C$129:$C$305,DC$18)</f>
        <v>0</v>
      </c>
      <c r="CC82" s="1026">
        <f ca="1">SUMIFS('3a Staff Plan'!$X$129:$X$305,'3a Staff Plan'!$DY$129:$DY$305,$CZ82,'3a Staff Plan'!$DF$129:$DF$305,1,'3a Staff Plan'!$AG$129:$AG$305,1,'3a Staff Plan'!$C$129:$C$305,DD$18)</f>
        <v>0</v>
      </c>
      <c r="CD82" s="1026">
        <f ca="1">SUMIFS('3a Staff Plan'!$X$129:$X$305,'3a Staff Plan'!$DY$129:$DY$305,$CZ82,'3a Staff Plan'!$DF$129:$DF$305,1,'3a Staff Plan'!$AG$129:$AG$305,1,'3a Staff Plan'!$C$129:$C$305,DE$18)</f>
        <v>0</v>
      </c>
      <c r="CE82" s="1026">
        <f ca="1">SUMIFS('3a Staff Plan'!$X$129:$X$305,'3a Staff Plan'!$DY$129:$DY$305,$CZ82,'3a Staff Plan'!$DF$129:$DF$305,1,'3a Staff Plan'!$AG$129:$AG$305,1,'3a Staff Plan'!$C$129:$C$305,DF$18)</f>
        <v>0</v>
      </c>
      <c r="CF82" s="1026">
        <f ca="1">SUMIFS('3a Staff Plan'!$X$129:$X$305,'3a Staff Plan'!$DY$129:$DY$305,$CZ82,'3a Staff Plan'!$DF$129:$DF$305,1,'3a Staff Plan'!$AG$129:$AG$305,1,'3a Staff Plan'!$C$129:$C$305,DG$18)</f>
        <v>0</v>
      </c>
      <c r="CG82" s="1026">
        <f ca="1">SUMIFS('3a Staff Plan'!$X$129:$X$305,'3a Staff Plan'!$DY$129:$DY$305,$CZ82,'3a Staff Plan'!$DF$129:$DF$305,1,'3a Staff Plan'!$AG$129:$AG$305,1,'3a Staff Plan'!$C$129:$C$305,DH$18)</f>
        <v>0</v>
      </c>
      <c r="CH82" s="1026">
        <f ca="1">SUMIFS('3a Staff Plan'!$X$129:$X$305,'3a Staff Plan'!$DY$129:$DY$305,$CZ82,'3a Staff Plan'!$DF$129:$DF$305,1,'3a Staff Plan'!$AG$129:$AG$305,1,'3a Staff Plan'!$C$129:$C$305,DI$18)</f>
        <v>0</v>
      </c>
      <c r="CI82" s="755"/>
      <c r="CJ82" s="1024">
        <f ca="1">SUMPRODUCT(OFFSET('3b Activity Plan'!$DJ$67:$DJ$76,0,$CU82-1),OFFSET('3b Activity Plan'!$DJ$78:$DJ$87,0,CU82-1))</f>
        <v>0</v>
      </c>
      <c r="CK82" s="1025">
        <f t="shared" ca="1" si="43"/>
        <v>0</v>
      </c>
      <c r="CL82" s="1026">
        <f t="shared" ca="1" si="44"/>
        <v>0</v>
      </c>
      <c r="CM82" s="1026">
        <f t="shared" ca="1" si="45"/>
        <v>0</v>
      </c>
      <c r="CN82" s="1026">
        <f t="shared" ca="1" si="46"/>
        <v>0</v>
      </c>
      <c r="CO82" s="1026">
        <f t="shared" ca="1" si="47"/>
        <v>0</v>
      </c>
      <c r="CP82" s="1026">
        <f t="shared" ca="1" si="48"/>
        <v>0</v>
      </c>
      <c r="CQ82" s="1026">
        <f t="shared" ca="1" si="49"/>
        <v>0</v>
      </c>
      <c r="CR82" s="417"/>
      <c r="CS82" s="417">
        <f t="shared" si="50"/>
        <v>11</v>
      </c>
      <c r="CT82" s="417">
        <f ca="1">OFFSET('2 Staff List'!$GU$64,CS82-1,0)</f>
        <v>11</v>
      </c>
      <c r="CU82" s="417">
        <f ca="1">IF(CZ82=0,0,IFERROR(INDEX('3b Activity Plan'!$DJ$20:$FH$20,MATCH(CT82,'3b Activity Plan'!$DJ$171:$FH$171,0)),0))</f>
        <v>0</v>
      </c>
      <c r="CV82" s="417">
        <f ca="1">INDEX('2 Staff List'!$HW$64:$HW$114,CT82)</f>
        <v>0</v>
      </c>
      <c r="CW82" s="417"/>
      <c r="CY82" s="927">
        <f ca="1">OFFSET('2 Staff List'!$HZ$64,CS82-1,0)</f>
        <v>0</v>
      </c>
      <c r="CZ82" s="975">
        <f ca="1">OFFSET('2 Staff List'!$IA$64,CT82-1,0)</f>
        <v>0</v>
      </c>
      <c r="DA82" s="3845">
        <f t="shared" ca="1" si="51"/>
        <v>0</v>
      </c>
      <c r="DB82" s="3846"/>
      <c r="DC82" s="2408">
        <f t="shared" ca="1" si="52"/>
        <v>0</v>
      </c>
      <c r="DD82" s="2401">
        <f t="shared" ca="1" si="53"/>
        <v>0</v>
      </c>
      <c r="DE82" s="2401">
        <f t="shared" ca="1" si="54"/>
        <v>0</v>
      </c>
      <c r="DF82" s="2405">
        <f t="shared" ca="1" si="55"/>
        <v>0</v>
      </c>
      <c r="DG82" s="2405">
        <f t="shared" ca="1" si="56"/>
        <v>0</v>
      </c>
      <c r="DH82" s="2406">
        <f t="shared" ca="1" si="57"/>
        <v>0</v>
      </c>
      <c r="DI82" s="2407">
        <f t="shared" ca="1" si="58"/>
        <v>0</v>
      </c>
    </row>
    <row r="83" spans="1:113" ht="15.9" customHeight="1" x14ac:dyDescent="0.25">
      <c r="A83" s="295"/>
      <c r="B83" s="295"/>
      <c r="C83" s="1558">
        <f ca="1">OFFSET('2 Staff List'!$LO$64,$CT83-1,C$69-1)*C144</f>
        <v>0</v>
      </c>
      <c r="D83" s="1558">
        <f ca="1">OFFSET('2 Staff List'!$LO$64,$CT83-1,D$69-1)*D144</f>
        <v>0</v>
      </c>
      <c r="E83" s="1558">
        <f ca="1">OFFSET('2 Staff List'!$LO$64,$CT83-1,E$69-1)*E144</f>
        <v>0</v>
      </c>
      <c r="F83" s="1558">
        <f ca="1">OFFSET('2 Staff List'!$LO$64,$CT83-1,F$69-1)*F144</f>
        <v>0</v>
      </c>
      <c r="G83" s="1558">
        <f ca="1">OFFSET('2 Staff List'!$LO$64,$CT83-1,G$69-1)*G144</f>
        <v>0</v>
      </c>
      <c r="H83" s="1558">
        <f ca="1">OFFSET('2 Staff List'!$LO$64,$CT83-1,H$69-1)*H144</f>
        <v>0</v>
      </c>
      <c r="I83" s="1558">
        <f ca="1">OFFSET('2 Staff List'!$LO$64,$CT83-1,I$69-1)*I144</f>
        <v>0</v>
      </c>
      <c r="J83" s="1558">
        <f ca="1">OFFSET('2 Staff List'!$LO$64,$CT83-1,J$69-1)*J144</f>
        <v>0</v>
      </c>
      <c r="K83" s="1558">
        <f ca="1">OFFSET('2 Staff List'!$LO$64,$CT83-1,K$69-1)*K144</f>
        <v>0</v>
      </c>
      <c r="L83" s="1601">
        <f ca="1">OFFSET('2 Staff List'!$LO$64,$CT83-1,L$69-1)*L144</f>
        <v>0</v>
      </c>
      <c r="M83" s="1602">
        <f ca="1">OFFSET('2 Staff List'!$LO$64,$CT83-1,M$69-1)*M144</f>
        <v>0</v>
      </c>
      <c r="N83" s="1558">
        <f ca="1">OFFSET('2 Staff List'!$LO$64,$CT83-1,N$69-1)*N144</f>
        <v>0</v>
      </c>
      <c r="O83" s="1558">
        <f ca="1">OFFSET('2 Staff List'!$LO$64,$CT83-1,O$69-1)*O144</f>
        <v>0</v>
      </c>
      <c r="P83" s="1558">
        <f ca="1">OFFSET('2 Staff List'!$LO$64,$CT83-1,P$69-1)*P144</f>
        <v>0</v>
      </c>
      <c r="Q83" s="1558">
        <f ca="1">OFFSET('2 Staff List'!$LO$64,$CT83-1,Q$69-1)*Q144</f>
        <v>0</v>
      </c>
      <c r="R83" s="1558">
        <f ca="1">OFFSET('2 Staff List'!$LO$64,$CT83-1,R$69-1)*R144</f>
        <v>0</v>
      </c>
      <c r="S83" s="1558">
        <f ca="1">OFFSET('2 Staff List'!$LO$64,$CT83-1,S$69-1)*S144</f>
        <v>0</v>
      </c>
      <c r="T83" s="1558">
        <f ca="1">OFFSET('2 Staff List'!$LO$64,$CT83-1,T$69-1)*T144</f>
        <v>0</v>
      </c>
      <c r="U83" s="1558">
        <f ca="1">OFFSET('2 Staff List'!$LO$64,$CT83-1,U$69-1)*U144</f>
        <v>0</v>
      </c>
      <c r="V83" s="1601">
        <f ca="1">OFFSET('2 Staff List'!$LO$64,$CT83-1,V$69-1)*V144</f>
        <v>0</v>
      </c>
      <c r="W83" s="1602">
        <f ca="1">OFFSET('2 Staff List'!$LO$64,$CT83-1,W$69-1)*W144</f>
        <v>0</v>
      </c>
      <c r="X83" s="1558">
        <f ca="1">OFFSET('2 Staff List'!$LO$64,$CT83-1,X$69-1)*X144</f>
        <v>0</v>
      </c>
      <c r="Y83" s="1558">
        <f ca="1">OFFSET('2 Staff List'!$LO$64,$CT83-1,Y$69-1)*Y144</f>
        <v>0</v>
      </c>
      <c r="Z83" s="1558">
        <f ca="1">OFFSET('2 Staff List'!$LO$64,$CT83-1,Z$69-1)*Z144</f>
        <v>0</v>
      </c>
      <c r="AA83" s="1558">
        <f ca="1">OFFSET('2 Staff List'!$LO$64,$CT83-1,AA$69-1)*AA144</f>
        <v>0</v>
      </c>
      <c r="AB83" s="1558">
        <f ca="1">OFFSET('2 Staff List'!$LO$64,$CT83-1,AB$69-1)*AB144</f>
        <v>0</v>
      </c>
      <c r="AC83" s="1558">
        <f ca="1">OFFSET('2 Staff List'!$LO$64,$CT83-1,AC$69-1)*AC144</f>
        <v>0</v>
      </c>
      <c r="AD83" s="1558">
        <f ca="1">OFFSET('2 Staff List'!$LO$64,$CT83-1,AD$69-1)*AD144</f>
        <v>0</v>
      </c>
      <c r="AE83" s="1558">
        <f ca="1">OFFSET('2 Staff List'!$LO$64,$CT83-1,AE$69-1)*AE144</f>
        <v>0</v>
      </c>
      <c r="AF83" s="1601">
        <f ca="1">OFFSET('2 Staff List'!$LO$64,$CT83-1,AF$69-1)*AF144</f>
        <v>0</v>
      </c>
      <c r="AG83" s="1602">
        <f ca="1">OFFSET('2 Staff List'!$LO$64,$CT83-1,AG$69-1)*AG144</f>
        <v>0</v>
      </c>
      <c r="AH83" s="1558">
        <f ca="1">OFFSET('2 Staff List'!$LO$64,$CT83-1,AH$69-1)*AH144</f>
        <v>0</v>
      </c>
      <c r="AI83" s="1558">
        <f ca="1">OFFSET('2 Staff List'!$LO$64,$CT83-1,AI$69-1)*AI144</f>
        <v>0</v>
      </c>
      <c r="AJ83" s="1558">
        <f ca="1">OFFSET('2 Staff List'!$LO$64,$CT83-1,AJ$69-1)*AJ144</f>
        <v>0</v>
      </c>
      <c r="AK83" s="1558">
        <f ca="1">OFFSET('2 Staff List'!$LO$64,$CT83-1,AK$69-1)*AK144</f>
        <v>0</v>
      </c>
      <c r="AL83" s="1558">
        <f ca="1">OFFSET('2 Staff List'!$LO$64,$CT83-1,AL$69-1)*AL144</f>
        <v>0</v>
      </c>
      <c r="AM83" s="1558">
        <f ca="1">OFFSET('2 Staff List'!$LO$64,$CT83-1,AM$69-1)*AM144</f>
        <v>0</v>
      </c>
      <c r="AN83" s="1558">
        <f ca="1">OFFSET('2 Staff List'!$LO$64,$CT83-1,AN$69-1)*AN144</f>
        <v>0</v>
      </c>
      <c r="AO83" s="1558">
        <f ca="1">OFFSET('2 Staff List'!$LO$64,$CT83-1,AO$69-1)*AO144</f>
        <v>0</v>
      </c>
      <c r="AP83" s="1601">
        <f ca="1">OFFSET('2 Staff List'!$LO$64,$CT83-1,AP$69-1)*AP144</f>
        <v>0</v>
      </c>
      <c r="AQ83" s="1602">
        <f ca="1">OFFSET('2 Staff List'!$LO$64,$CT83-1,AQ$69-1)*AQ144</f>
        <v>0</v>
      </c>
      <c r="AR83" s="1558">
        <f ca="1">OFFSET('2 Staff List'!$LO$64,$CT83-1,AR$69-1)*AR144</f>
        <v>0</v>
      </c>
      <c r="AS83" s="1558">
        <f ca="1">OFFSET('2 Staff List'!$LO$64,$CT83-1,AS$69-1)*AS144</f>
        <v>0</v>
      </c>
      <c r="AT83" s="1558">
        <f ca="1">OFFSET('2 Staff List'!$LO$64,$CT83-1,AT$69-1)*AT144</f>
        <v>0</v>
      </c>
      <c r="AU83" s="1558">
        <f ca="1">OFFSET('2 Staff List'!$LO$64,$CT83-1,AU$69-1)*AU144</f>
        <v>0</v>
      </c>
      <c r="AV83" s="1558">
        <f ca="1">OFFSET('2 Staff List'!$LO$64,$CT83-1,AV$69-1)*AV144</f>
        <v>0</v>
      </c>
      <c r="AW83" s="1558">
        <f ca="1">OFFSET('2 Staff List'!$LO$64,$CT83-1,AW$69-1)*AW144</f>
        <v>0</v>
      </c>
      <c r="AX83" s="1558">
        <f ca="1">OFFSET('2 Staff List'!$LO$64,$CT83-1,AX$69-1)*AX144</f>
        <v>0</v>
      </c>
      <c r="AY83" s="1558">
        <f ca="1">OFFSET('2 Staff List'!$LO$64,$CT83-1,AY$69-1)*AY144</f>
        <v>0</v>
      </c>
      <c r="AZ83" s="1601">
        <f ca="1">OFFSET('2 Staff List'!$LO$64,$CT83-1,AZ$69-1)*AZ144</f>
        <v>0</v>
      </c>
      <c r="BA83" s="1602">
        <f ca="1">OFFSET('2 Staff List'!$LO$64,$CT83-1,BA$69-1)*BA144</f>
        <v>0</v>
      </c>
      <c r="BB83" s="1558">
        <f ca="1">OFFSET('2 Staff List'!$LO$64,$CT83-1,BB$69-1)*BB144</f>
        <v>0</v>
      </c>
      <c r="BC83" s="1558">
        <f ca="1">OFFSET('2 Staff List'!$LO$64,$CT83-1,BC$69-1)*BC144</f>
        <v>0</v>
      </c>
      <c r="BD83" s="1558">
        <f ca="1">OFFSET('2 Staff List'!$LO$64,$CT83-1,BD$69-1)*BD144</f>
        <v>0</v>
      </c>
      <c r="BE83" s="1558">
        <f ca="1">OFFSET('2 Staff List'!$LO$64,$CT83-1,BE$69-1)*BE144</f>
        <v>0</v>
      </c>
      <c r="BF83" s="1558">
        <f ca="1">OFFSET('2 Staff List'!$LO$64,$CT83-1,BF$69-1)*BF144</f>
        <v>0</v>
      </c>
      <c r="BG83" s="1558">
        <f ca="1">OFFSET('2 Staff List'!$LO$64,$CT83-1,BG$69-1)*BG144</f>
        <v>0</v>
      </c>
      <c r="BH83" s="1558">
        <f ca="1">OFFSET('2 Staff List'!$LO$64,$CT83-1,BH$69-1)*BH144</f>
        <v>0</v>
      </c>
      <c r="BI83" s="1558">
        <f ca="1">OFFSET('2 Staff List'!$LO$64,$CT83-1,BI$69-1)*BI144</f>
        <v>0</v>
      </c>
      <c r="BJ83" s="1601">
        <f ca="1">OFFSET('2 Staff List'!$LO$64,$CT83-1,BJ$69-1)*BJ144</f>
        <v>0</v>
      </c>
      <c r="BK83" s="1602">
        <f ca="1">OFFSET('2 Staff List'!$LO$64,$CT83-1,BK$69-1)*BK144</f>
        <v>0</v>
      </c>
      <c r="BL83" s="1558">
        <f ca="1">OFFSET('2 Staff List'!$LO$64,$CT83-1,BL$69-1)*BL144</f>
        <v>0</v>
      </c>
      <c r="BM83" s="1558">
        <f ca="1">OFFSET('2 Staff List'!$LO$64,$CT83-1,BM$69-1)*BM144</f>
        <v>0</v>
      </c>
      <c r="BN83" s="1558">
        <f ca="1">OFFSET('2 Staff List'!$LO$64,$CT83-1,BN$69-1)*BN144</f>
        <v>0</v>
      </c>
      <c r="BO83" s="1558">
        <f ca="1">OFFSET('2 Staff List'!$LO$64,$CT83-1,BO$69-1)*BO144</f>
        <v>0</v>
      </c>
      <c r="BP83" s="1558">
        <f ca="1">OFFSET('2 Staff List'!$LO$64,$CT83-1,BP$69-1)*BP144</f>
        <v>0</v>
      </c>
      <c r="BQ83" s="1558">
        <f ca="1">OFFSET('2 Staff List'!$LO$64,$CT83-1,BQ$69-1)*BQ144</f>
        <v>0</v>
      </c>
      <c r="BR83" s="1558">
        <f ca="1">OFFSET('2 Staff List'!$LO$64,$CT83-1,BR$69-1)*BR144</f>
        <v>0</v>
      </c>
      <c r="BS83" s="1558">
        <f ca="1">OFFSET('2 Staff List'!$LO$64,$CT83-1,BS$69-1)*BS144</f>
        <v>0</v>
      </c>
      <c r="BT83" s="1558">
        <f ca="1">OFFSET('2 Staff List'!$LO$64,$CT83-1,BT$69-1)*BT144</f>
        <v>0</v>
      </c>
      <c r="BU83" s="295"/>
      <c r="BV83" s="295"/>
      <c r="BW83" s="295"/>
      <c r="BX83" s="295"/>
      <c r="BY83" s="295"/>
      <c r="BZ83" s="295"/>
      <c r="CA83" s="1024">
        <f ca="1">SUMIFS('3a Staff Plan'!$X$129:$X$305,'3a Staff Plan'!$DY$129:$DY$305,CZ83,'3a Staff Plan'!$DF$129:$DF$305,1,'3a Staff Plan'!$AG$129:$AG$305,1)</f>
        <v>0</v>
      </c>
      <c r="CB83" s="1025">
        <f ca="1">SUMIFS('3a Staff Plan'!$X$129:$X$305,'3a Staff Plan'!$DY$129:$DY$305,$CZ83,'3a Staff Plan'!$DF$129:$DF$305,1,'3a Staff Plan'!$AG$129:$AG$305,1,'3a Staff Plan'!$C$129:$C$305,DC$18)</f>
        <v>0</v>
      </c>
      <c r="CC83" s="1026">
        <f ca="1">SUMIFS('3a Staff Plan'!$X$129:$X$305,'3a Staff Plan'!$DY$129:$DY$305,$CZ83,'3a Staff Plan'!$DF$129:$DF$305,1,'3a Staff Plan'!$AG$129:$AG$305,1,'3a Staff Plan'!$C$129:$C$305,DD$18)</f>
        <v>0</v>
      </c>
      <c r="CD83" s="1026">
        <f ca="1">SUMIFS('3a Staff Plan'!$X$129:$X$305,'3a Staff Plan'!$DY$129:$DY$305,$CZ83,'3a Staff Plan'!$DF$129:$DF$305,1,'3a Staff Plan'!$AG$129:$AG$305,1,'3a Staff Plan'!$C$129:$C$305,DE$18)</f>
        <v>0</v>
      </c>
      <c r="CE83" s="1026">
        <f ca="1">SUMIFS('3a Staff Plan'!$X$129:$X$305,'3a Staff Plan'!$DY$129:$DY$305,$CZ83,'3a Staff Plan'!$DF$129:$DF$305,1,'3a Staff Plan'!$AG$129:$AG$305,1,'3a Staff Plan'!$C$129:$C$305,DF$18)</f>
        <v>0</v>
      </c>
      <c r="CF83" s="1026">
        <f ca="1">SUMIFS('3a Staff Plan'!$X$129:$X$305,'3a Staff Plan'!$DY$129:$DY$305,$CZ83,'3a Staff Plan'!$DF$129:$DF$305,1,'3a Staff Plan'!$AG$129:$AG$305,1,'3a Staff Plan'!$C$129:$C$305,DG$18)</f>
        <v>0</v>
      </c>
      <c r="CG83" s="1026">
        <f ca="1">SUMIFS('3a Staff Plan'!$X$129:$X$305,'3a Staff Plan'!$DY$129:$DY$305,$CZ83,'3a Staff Plan'!$DF$129:$DF$305,1,'3a Staff Plan'!$AG$129:$AG$305,1,'3a Staff Plan'!$C$129:$C$305,DH$18)</f>
        <v>0</v>
      </c>
      <c r="CH83" s="1026">
        <f ca="1">SUMIFS('3a Staff Plan'!$X$129:$X$305,'3a Staff Plan'!$DY$129:$DY$305,$CZ83,'3a Staff Plan'!$DF$129:$DF$305,1,'3a Staff Plan'!$AG$129:$AG$305,1,'3a Staff Plan'!$C$129:$C$305,DI$18)</f>
        <v>0</v>
      </c>
      <c r="CI83" s="755"/>
      <c r="CJ83" s="1024">
        <f ca="1">SUMPRODUCT(OFFSET('3b Activity Plan'!$DJ$67:$DJ$76,0,$CU83-1),OFFSET('3b Activity Plan'!$DJ$78:$DJ$87,0,CU83-1))</f>
        <v>0</v>
      </c>
      <c r="CK83" s="1025">
        <f t="shared" ca="1" si="43"/>
        <v>0</v>
      </c>
      <c r="CL83" s="1026">
        <f t="shared" ca="1" si="44"/>
        <v>0</v>
      </c>
      <c r="CM83" s="1026">
        <f t="shared" ca="1" si="45"/>
        <v>0</v>
      </c>
      <c r="CN83" s="1026">
        <f t="shared" ca="1" si="46"/>
        <v>0</v>
      </c>
      <c r="CO83" s="1026">
        <f t="shared" ca="1" si="47"/>
        <v>0</v>
      </c>
      <c r="CP83" s="1026">
        <f t="shared" ca="1" si="48"/>
        <v>0</v>
      </c>
      <c r="CQ83" s="1026">
        <f t="shared" ca="1" si="49"/>
        <v>0</v>
      </c>
      <c r="CR83" s="417"/>
      <c r="CS83" s="417">
        <f t="shared" si="50"/>
        <v>12</v>
      </c>
      <c r="CT83" s="417">
        <f ca="1">OFFSET('2 Staff List'!$GU$64,CS83-1,0)</f>
        <v>12</v>
      </c>
      <c r="CU83" s="417">
        <f ca="1">IF(CZ83=0,0,IFERROR(INDEX('3b Activity Plan'!$DJ$20:$FH$20,MATCH(CT83,'3b Activity Plan'!$DJ$171:$FH$171,0)),0))</f>
        <v>0</v>
      </c>
      <c r="CV83" s="417">
        <f ca="1">INDEX('2 Staff List'!$HW$64:$HW$114,CT83)</f>
        <v>0</v>
      </c>
      <c r="CW83" s="417"/>
      <c r="CY83" s="927">
        <f ca="1">OFFSET('2 Staff List'!$HZ$64,CS83-1,0)</f>
        <v>0</v>
      </c>
      <c r="CZ83" s="975">
        <f ca="1">OFFSET('2 Staff List'!$IA$64,CT83-1,0)</f>
        <v>0</v>
      </c>
      <c r="DA83" s="3845">
        <f t="shared" ca="1" si="51"/>
        <v>0</v>
      </c>
      <c r="DB83" s="3846"/>
      <c r="DC83" s="2408">
        <f t="shared" ca="1" si="52"/>
        <v>0</v>
      </c>
      <c r="DD83" s="2401">
        <f t="shared" ca="1" si="53"/>
        <v>0</v>
      </c>
      <c r="DE83" s="2401">
        <f t="shared" ca="1" si="54"/>
        <v>0</v>
      </c>
      <c r="DF83" s="2405">
        <f t="shared" ca="1" si="55"/>
        <v>0</v>
      </c>
      <c r="DG83" s="2405">
        <f t="shared" ca="1" si="56"/>
        <v>0</v>
      </c>
      <c r="DH83" s="2406">
        <f t="shared" ca="1" si="57"/>
        <v>0</v>
      </c>
      <c r="DI83" s="2407">
        <f t="shared" ca="1" si="58"/>
        <v>0</v>
      </c>
    </row>
    <row r="84" spans="1:113" ht="15.9" customHeight="1" x14ac:dyDescent="0.25">
      <c r="A84" s="295"/>
      <c r="B84" s="295"/>
      <c r="C84" s="1558">
        <f ca="1">OFFSET('2 Staff List'!$LO$64,$CT84-1,C$69-1)*C145</f>
        <v>0</v>
      </c>
      <c r="D84" s="1558">
        <f ca="1">OFFSET('2 Staff List'!$LO$64,$CT84-1,D$69-1)*D145</f>
        <v>0</v>
      </c>
      <c r="E84" s="1558">
        <f ca="1">OFFSET('2 Staff List'!$LO$64,$CT84-1,E$69-1)*E145</f>
        <v>0</v>
      </c>
      <c r="F84" s="1558">
        <f ca="1">OFFSET('2 Staff List'!$LO$64,$CT84-1,F$69-1)*F145</f>
        <v>0</v>
      </c>
      <c r="G84" s="1558">
        <f ca="1">OFFSET('2 Staff List'!$LO$64,$CT84-1,G$69-1)*G145</f>
        <v>0</v>
      </c>
      <c r="H84" s="1558">
        <f ca="1">OFFSET('2 Staff List'!$LO$64,$CT84-1,H$69-1)*H145</f>
        <v>0</v>
      </c>
      <c r="I84" s="1558">
        <f ca="1">OFFSET('2 Staff List'!$LO$64,$CT84-1,I$69-1)*I145</f>
        <v>0</v>
      </c>
      <c r="J84" s="1558">
        <f ca="1">OFFSET('2 Staff List'!$LO$64,$CT84-1,J$69-1)*J145</f>
        <v>0</v>
      </c>
      <c r="K84" s="1558">
        <f ca="1">OFFSET('2 Staff List'!$LO$64,$CT84-1,K$69-1)*K145</f>
        <v>0</v>
      </c>
      <c r="L84" s="1601">
        <f ca="1">OFFSET('2 Staff List'!$LO$64,$CT84-1,L$69-1)*L145</f>
        <v>0</v>
      </c>
      <c r="M84" s="1602">
        <f ca="1">OFFSET('2 Staff List'!$LO$64,$CT84-1,M$69-1)*M145</f>
        <v>0</v>
      </c>
      <c r="N84" s="1558">
        <f ca="1">OFFSET('2 Staff List'!$LO$64,$CT84-1,N$69-1)*N145</f>
        <v>0</v>
      </c>
      <c r="O84" s="1558">
        <f ca="1">OFFSET('2 Staff List'!$LO$64,$CT84-1,O$69-1)*O145</f>
        <v>0</v>
      </c>
      <c r="P84" s="1558">
        <f ca="1">OFFSET('2 Staff List'!$LO$64,$CT84-1,P$69-1)*P145</f>
        <v>0</v>
      </c>
      <c r="Q84" s="1558">
        <f ca="1">OFFSET('2 Staff List'!$LO$64,$CT84-1,Q$69-1)*Q145</f>
        <v>0</v>
      </c>
      <c r="R84" s="1558">
        <f ca="1">OFFSET('2 Staff List'!$LO$64,$CT84-1,R$69-1)*R145</f>
        <v>0</v>
      </c>
      <c r="S84" s="1558">
        <f ca="1">OFFSET('2 Staff List'!$LO$64,$CT84-1,S$69-1)*S145</f>
        <v>0</v>
      </c>
      <c r="T84" s="1558">
        <f ca="1">OFFSET('2 Staff List'!$LO$64,$CT84-1,T$69-1)*T145</f>
        <v>0</v>
      </c>
      <c r="U84" s="1558">
        <f ca="1">OFFSET('2 Staff List'!$LO$64,$CT84-1,U$69-1)*U145</f>
        <v>0</v>
      </c>
      <c r="V84" s="1601">
        <f ca="1">OFFSET('2 Staff List'!$LO$64,$CT84-1,V$69-1)*V145</f>
        <v>0</v>
      </c>
      <c r="W84" s="1602">
        <f ca="1">OFFSET('2 Staff List'!$LO$64,$CT84-1,W$69-1)*W145</f>
        <v>0</v>
      </c>
      <c r="X84" s="1558">
        <f ca="1">OFFSET('2 Staff List'!$LO$64,$CT84-1,X$69-1)*X145</f>
        <v>0</v>
      </c>
      <c r="Y84" s="1558">
        <f ca="1">OFFSET('2 Staff List'!$LO$64,$CT84-1,Y$69-1)*Y145</f>
        <v>0</v>
      </c>
      <c r="Z84" s="1558">
        <f ca="1">OFFSET('2 Staff List'!$LO$64,$CT84-1,Z$69-1)*Z145</f>
        <v>0</v>
      </c>
      <c r="AA84" s="1558">
        <f ca="1">OFFSET('2 Staff List'!$LO$64,$CT84-1,AA$69-1)*AA145</f>
        <v>0</v>
      </c>
      <c r="AB84" s="1558">
        <f ca="1">OFFSET('2 Staff List'!$LO$64,$CT84-1,AB$69-1)*AB145</f>
        <v>0</v>
      </c>
      <c r="AC84" s="1558">
        <f ca="1">OFFSET('2 Staff List'!$LO$64,$CT84-1,AC$69-1)*AC145</f>
        <v>0</v>
      </c>
      <c r="AD84" s="1558">
        <f ca="1">OFFSET('2 Staff List'!$LO$64,$CT84-1,AD$69-1)*AD145</f>
        <v>0</v>
      </c>
      <c r="AE84" s="1558">
        <f ca="1">OFFSET('2 Staff List'!$LO$64,$CT84-1,AE$69-1)*AE145</f>
        <v>0</v>
      </c>
      <c r="AF84" s="1601">
        <f ca="1">OFFSET('2 Staff List'!$LO$64,$CT84-1,AF$69-1)*AF145</f>
        <v>0</v>
      </c>
      <c r="AG84" s="1602">
        <f ca="1">OFFSET('2 Staff List'!$LO$64,$CT84-1,AG$69-1)*AG145</f>
        <v>0</v>
      </c>
      <c r="AH84" s="1558">
        <f ca="1">OFFSET('2 Staff List'!$LO$64,$CT84-1,AH$69-1)*AH145</f>
        <v>0</v>
      </c>
      <c r="AI84" s="1558">
        <f ca="1">OFFSET('2 Staff List'!$LO$64,$CT84-1,AI$69-1)*AI145</f>
        <v>0</v>
      </c>
      <c r="AJ84" s="1558">
        <f ca="1">OFFSET('2 Staff List'!$LO$64,$CT84-1,AJ$69-1)*AJ145</f>
        <v>0</v>
      </c>
      <c r="AK84" s="1558">
        <f ca="1">OFFSET('2 Staff List'!$LO$64,$CT84-1,AK$69-1)*AK145</f>
        <v>0</v>
      </c>
      <c r="AL84" s="1558">
        <f ca="1">OFFSET('2 Staff List'!$LO$64,$CT84-1,AL$69-1)*AL145</f>
        <v>0</v>
      </c>
      <c r="AM84" s="1558">
        <f ca="1">OFFSET('2 Staff List'!$LO$64,$CT84-1,AM$69-1)*AM145</f>
        <v>0</v>
      </c>
      <c r="AN84" s="1558">
        <f ca="1">OFFSET('2 Staff List'!$LO$64,$CT84-1,AN$69-1)*AN145</f>
        <v>0</v>
      </c>
      <c r="AO84" s="1558">
        <f ca="1">OFFSET('2 Staff List'!$LO$64,$CT84-1,AO$69-1)*AO145</f>
        <v>0</v>
      </c>
      <c r="AP84" s="1601">
        <f ca="1">OFFSET('2 Staff List'!$LO$64,$CT84-1,AP$69-1)*AP145</f>
        <v>0</v>
      </c>
      <c r="AQ84" s="1602">
        <f ca="1">OFFSET('2 Staff List'!$LO$64,$CT84-1,AQ$69-1)*AQ145</f>
        <v>0</v>
      </c>
      <c r="AR84" s="1558">
        <f ca="1">OFFSET('2 Staff List'!$LO$64,$CT84-1,AR$69-1)*AR145</f>
        <v>0</v>
      </c>
      <c r="AS84" s="1558">
        <f ca="1">OFFSET('2 Staff List'!$LO$64,$CT84-1,AS$69-1)*AS145</f>
        <v>0</v>
      </c>
      <c r="AT84" s="1558">
        <f ca="1">OFFSET('2 Staff List'!$LO$64,$CT84-1,AT$69-1)*AT145</f>
        <v>0</v>
      </c>
      <c r="AU84" s="1558">
        <f ca="1">OFFSET('2 Staff List'!$LO$64,$CT84-1,AU$69-1)*AU145</f>
        <v>0</v>
      </c>
      <c r="AV84" s="1558">
        <f ca="1">OFFSET('2 Staff List'!$LO$64,$CT84-1,AV$69-1)*AV145</f>
        <v>0</v>
      </c>
      <c r="AW84" s="1558">
        <f ca="1">OFFSET('2 Staff List'!$LO$64,$CT84-1,AW$69-1)*AW145</f>
        <v>0</v>
      </c>
      <c r="AX84" s="1558">
        <f ca="1">OFFSET('2 Staff List'!$LO$64,$CT84-1,AX$69-1)*AX145</f>
        <v>0</v>
      </c>
      <c r="AY84" s="1558">
        <f ca="1">OFFSET('2 Staff List'!$LO$64,$CT84-1,AY$69-1)*AY145</f>
        <v>0</v>
      </c>
      <c r="AZ84" s="1601">
        <f ca="1">OFFSET('2 Staff List'!$LO$64,$CT84-1,AZ$69-1)*AZ145</f>
        <v>0</v>
      </c>
      <c r="BA84" s="1602">
        <f ca="1">OFFSET('2 Staff List'!$LO$64,$CT84-1,BA$69-1)*BA145</f>
        <v>0</v>
      </c>
      <c r="BB84" s="1558">
        <f ca="1">OFFSET('2 Staff List'!$LO$64,$CT84-1,BB$69-1)*BB145</f>
        <v>0</v>
      </c>
      <c r="BC84" s="1558">
        <f ca="1">OFFSET('2 Staff List'!$LO$64,$CT84-1,BC$69-1)*BC145</f>
        <v>0</v>
      </c>
      <c r="BD84" s="1558">
        <f ca="1">OFFSET('2 Staff List'!$LO$64,$CT84-1,BD$69-1)*BD145</f>
        <v>0</v>
      </c>
      <c r="BE84" s="1558">
        <f ca="1">OFFSET('2 Staff List'!$LO$64,$CT84-1,BE$69-1)*BE145</f>
        <v>0</v>
      </c>
      <c r="BF84" s="1558">
        <f ca="1">OFFSET('2 Staff List'!$LO$64,$CT84-1,BF$69-1)*BF145</f>
        <v>0</v>
      </c>
      <c r="BG84" s="1558">
        <f ca="1">OFFSET('2 Staff List'!$LO$64,$CT84-1,BG$69-1)*BG145</f>
        <v>0</v>
      </c>
      <c r="BH84" s="1558">
        <f ca="1">OFFSET('2 Staff List'!$LO$64,$CT84-1,BH$69-1)*BH145</f>
        <v>0</v>
      </c>
      <c r="BI84" s="1558">
        <f ca="1">OFFSET('2 Staff List'!$LO$64,$CT84-1,BI$69-1)*BI145</f>
        <v>0</v>
      </c>
      <c r="BJ84" s="1601">
        <f ca="1">OFFSET('2 Staff List'!$LO$64,$CT84-1,BJ$69-1)*BJ145</f>
        <v>0</v>
      </c>
      <c r="BK84" s="1602">
        <f ca="1">OFFSET('2 Staff List'!$LO$64,$CT84-1,BK$69-1)*BK145</f>
        <v>0</v>
      </c>
      <c r="BL84" s="1558">
        <f ca="1">OFFSET('2 Staff List'!$LO$64,$CT84-1,BL$69-1)*BL145</f>
        <v>0</v>
      </c>
      <c r="BM84" s="1558">
        <f ca="1">OFFSET('2 Staff List'!$LO$64,$CT84-1,BM$69-1)*BM145</f>
        <v>0</v>
      </c>
      <c r="BN84" s="1558">
        <f ca="1">OFFSET('2 Staff List'!$LO$64,$CT84-1,BN$69-1)*BN145</f>
        <v>0</v>
      </c>
      <c r="BO84" s="1558">
        <f ca="1">OFFSET('2 Staff List'!$LO$64,$CT84-1,BO$69-1)*BO145</f>
        <v>0</v>
      </c>
      <c r="BP84" s="1558">
        <f ca="1">OFFSET('2 Staff List'!$LO$64,$CT84-1,BP$69-1)*BP145</f>
        <v>0</v>
      </c>
      <c r="BQ84" s="1558">
        <f ca="1">OFFSET('2 Staff List'!$LO$64,$CT84-1,BQ$69-1)*BQ145</f>
        <v>0</v>
      </c>
      <c r="BR84" s="1558">
        <f ca="1">OFFSET('2 Staff List'!$LO$64,$CT84-1,BR$69-1)*BR145</f>
        <v>0</v>
      </c>
      <c r="BS84" s="1558">
        <f ca="1">OFFSET('2 Staff List'!$LO$64,$CT84-1,BS$69-1)*BS145</f>
        <v>0</v>
      </c>
      <c r="BT84" s="1558">
        <f ca="1">OFFSET('2 Staff List'!$LO$64,$CT84-1,BT$69-1)*BT145</f>
        <v>0</v>
      </c>
      <c r="BU84" s="295"/>
      <c r="BV84" s="295"/>
      <c r="BW84" s="295"/>
      <c r="BX84" s="295"/>
      <c r="BY84" s="295"/>
      <c r="BZ84" s="295"/>
      <c r="CA84" s="1024">
        <f ca="1">SUMIFS('3a Staff Plan'!$X$129:$X$305,'3a Staff Plan'!$DY$129:$DY$305,CZ84,'3a Staff Plan'!$DF$129:$DF$305,1,'3a Staff Plan'!$AG$129:$AG$305,1)</f>
        <v>0</v>
      </c>
      <c r="CB84" s="1025">
        <f ca="1">SUMIFS('3a Staff Plan'!$X$129:$X$305,'3a Staff Plan'!$DY$129:$DY$305,$CZ84,'3a Staff Plan'!$DF$129:$DF$305,1,'3a Staff Plan'!$AG$129:$AG$305,1,'3a Staff Plan'!$C$129:$C$305,DC$18)</f>
        <v>0</v>
      </c>
      <c r="CC84" s="1026">
        <f ca="1">SUMIFS('3a Staff Plan'!$X$129:$X$305,'3a Staff Plan'!$DY$129:$DY$305,$CZ84,'3a Staff Plan'!$DF$129:$DF$305,1,'3a Staff Plan'!$AG$129:$AG$305,1,'3a Staff Plan'!$C$129:$C$305,DD$18)</f>
        <v>0</v>
      </c>
      <c r="CD84" s="1026">
        <f ca="1">SUMIFS('3a Staff Plan'!$X$129:$X$305,'3a Staff Plan'!$DY$129:$DY$305,$CZ84,'3a Staff Plan'!$DF$129:$DF$305,1,'3a Staff Plan'!$AG$129:$AG$305,1,'3a Staff Plan'!$C$129:$C$305,DE$18)</f>
        <v>0</v>
      </c>
      <c r="CE84" s="1026">
        <f ca="1">SUMIFS('3a Staff Plan'!$X$129:$X$305,'3a Staff Plan'!$DY$129:$DY$305,$CZ84,'3a Staff Plan'!$DF$129:$DF$305,1,'3a Staff Plan'!$AG$129:$AG$305,1,'3a Staff Plan'!$C$129:$C$305,DF$18)</f>
        <v>0</v>
      </c>
      <c r="CF84" s="1026">
        <f ca="1">SUMIFS('3a Staff Plan'!$X$129:$X$305,'3a Staff Plan'!$DY$129:$DY$305,$CZ84,'3a Staff Plan'!$DF$129:$DF$305,1,'3a Staff Plan'!$AG$129:$AG$305,1,'3a Staff Plan'!$C$129:$C$305,DG$18)</f>
        <v>0</v>
      </c>
      <c r="CG84" s="1026">
        <f ca="1">SUMIFS('3a Staff Plan'!$X$129:$X$305,'3a Staff Plan'!$DY$129:$DY$305,$CZ84,'3a Staff Plan'!$DF$129:$DF$305,1,'3a Staff Plan'!$AG$129:$AG$305,1,'3a Staff Plan'!$C$129:$C$305,DH$18)</f>
        <v>0</v>
      </c>
      <c r="CH84" s="1026">
        <f ca="1">SUMIFS('3a Staff Plan'!$X$129:$X$305,'3a Staff Plan'!$DY$129:$DY$305,$CZ84,'3a Staff Plan'!$DF$129:$DF$305,1,'3a Staff Plan'!$AG$129:$AG$305,1,'3a Staff Plan'!$C$129:$C$305,DI$18)</f>
        <v>0</v>
      </c>
      <c r="CI84" s="755"/>
      <c r="CJ84" s="1024">
        <f ca="1">SUMPRODUCT(OFFSET('3b Activity Plan'!$DJ$67:$DJ$76,0,$CU84-1),OFFSET('3b Activity Plan'!$DJ$78:$DJ$87,0,CU84-1))</f>
        <v>0</v>
      </c>
      <c r="CK84" s="1025">
        <f t="shared" ca="1" si="43"/>
        <v>0</v>
      </c>
      <c r="CL84" s="1026">
        <f t="shared" ca="1" si="44"/>
        <v>0</v>
      </c>
      <c r="CM84" s="1026">
        <f t="shared" ca="1" si="45"/>
        <v>0</v>
      </c>
      <c r="CN84" s="1026">
        <f t="shared" ca="1" si="46"/>
        <v>0</v>
      </c>
      <c r="CO84" s="1026">
        <f t="shared" ca="1" si="47"/>
        <v>0</v>
      </c>
      <c r="CP84" s="1026">
        <f t="shared" ca="1" si="48"/>
        <v>0</v>
      </c>
      <c r="CQ84" s="1026">
        <f t="shared" ca="1" si="49"/>
        <v>0</v>
      </c>
      <c r="CR84" s="417"/>
      <c r="CS84" s="417">
        <f t="shared" si="50"/>
        <v>13</v>
      </c>
      <c r="CT84" s="417">
        <f ca="1">OFFSET('2 Staff List'!$GU$64,CS84-1,0)</f>
        <v>13</v>
      </c>
      <c r="CU84" s="417">
        <f ca="1">IF(CZ84=0,0,IFERROR(INDEX('3b Activity Plan'!$DJ$20:$FH$20,MATCH(CT84,'3b Activity Plan'!$DJ$171:$FH$171,0)),0))</f>
        <v>0</v>
      </c>
      <c r="CV84" s="417">
        <f ca="1">INDEX('2 Staff List'!$HW$64:$HW$114,CT84)</f>
        <v>0</v>
      </c>
      <c r="CW84" s="417"/>
      <c r="CY84" s="927">
        <f ca="1">OFFSET('2 Staff List'!$HZ$64,CS84-1,0)</f>
        <v>0</v>
      </c>
      <c r="CZ84" s="975">
        <f ca="1">OFFSET('2 Staff List'!$IA$64,CT84-1,0)</f>
        <v>0</v>
      </c>
      <c r="DA84" s="3845">
        <f t="shared" ca="1" si="51"/>
        <v>0</v>
      </c>
      <c r="DB84" s="3846"/>
      <c r="DC84" s="2408">
        <f t="shared" ca="1" si="52"/>
        <v>0</v>
      </c>
      <c r="DD84" s="2401">
        <f t="shared" ca="1" si="53"/>
        <v>0</v>
      </c>
      <c r="DE84" s="2401">
        <f t="shared" ca="1" si="54"/>
        <v>0</v>
      </c>
      <c r="DF84" s="2405">
        <f t="shared" ca="1" si="55"/>
        <v>0</v>
      </c>
      <c r="DG84" s="2405">
        <f t="shared" ca="1" si="56"/>
        <v>0</v>
      </c>
      <c r="DH84" s="2406">
        <f t="shared" ca="1" si="57"/>
        <v>0</v>
      </c>
      <c r="DI84" s="2407">
        <f t="shared" ca="1" si="58"/>
        <v>0</v>
      </c>
    </row>
    <row r="85" spans="1:113" ht="15.9" customHeight="1" x14ac:dyDescent="0.25">
      <c r="A85" s="295"/>
      <c r="B85" s="295"/>
      <c r="C85" s="1558">
        <f ca="1">OFFSET('2 Staff List'!$LO$64,$CT85-1,C$69-1)*C146</f>
        <v>0</v>
      </c>
      <c r="D85" s="1558">
        <f ca="1">OFFSET('2 Staff List'!$LO$64,$CT85-1,D$69-1)*D146</f>
        <v>0</v>
      </c>
      <c r="E85" s="1558">
        <f ca="1">OFFSET('2 Staff List'!$LO$64,$CT85-1,E$69-1)*E146</f>
        <v>0</v>
      </c>
      <c r="F85" s="1558">
        <f ca="1">OFFSET('2 Staff List'!$LO$64,$CT85-1,F$69-1)*F146</f>
        <v>0</v>
      </c>
      <c r="G85" s="1558">
        <f ca="1">OFFSET('2 Staff List'!$LO$64,$CT85-1,G$69-1)*G146</f>
        <v>0</v>
      </c>
      <c r="H85" s="1558">
        <f ca="1">OFFSET('2 Staff List'!$LO$64,$CT85-1,H$69-1)*H146</f>
        <v>0</v>
      </c>
      <c r="I85" s="1558">
        <f ca="1">OFFSET('2 Staff List'!$LO$64,$CT85-1,I$69-1)*I146</f>
        <v>0</v>
      </c>
      <c r="J85" s="1558">
        <f ca="1">OFFSET('2 Staff List'!$LO$64,$CT85-1,J$69-1)*J146</f>
        <v>0</v>
      </c>
      <c r="K85" s="1558">
        <f ca="1">OFFSET('2 Staff List'!$LO$64,$CT85-1,K$69-1)*K146</f>
        <v>0</v>
      </c>
      <c r="L85" s="1601">
        <f ca="1">OFFSET('2 Staff List'!$LO$64,$CT85-1,L$69-1)*L146</f>
        <v>0</v>
      </c>
      <c r="M85" s="1602">
        <f ca="1">OFFSET('2 Staff List'!$LO$64,$CT85-1,M$69-1)*M146</f>
        <v>0</v>
      </c>
      <c r="N85" s="1558">
        <f ca="1">OFFSET('2 Staff List'!$LO$64,$CT85-1,N$69-1)*N146</f>
        <v>0</v>
      </c>
      <c r="O85" s="1558">
        <f ca="1">OFFSET('2 Staff List'!$LO$64,$CT85-1,O$69-1)*O146</f>
        <v>0</v>
      </c>
      <c r="P85" s="1558">
        <f ca="1">OFFSET('2 Staff List'!$LO$64,$CT85-1,P$69-1)*P146</f>
        <v>0</v>
      </c>
      <c r="Q85" s="1558">
        <f ca="1">OFFSET('2 Staff List'!$LO$64,$CT85-1,Q$69-1)*Q146</f>
        <v>0</v>
      </c>
      <c r="R85" s="1558">
        <f ca="1">OFFSET('2 Staff List'!$LO$64,$CT85-1,R$69-1)*R146</f>
        <v>0</v>
      </c>
      <c r="S85" s="1558">
        <f ca="1">OFFSET('2 Staff List'!$LO$64,$CT85-1,S$69-1)*S146</f>
        <v>0</v>
      </c>
      <c r="T85" s="1558">
        <f ca="1">OFFSET('2 Staff List'!$LO$64,$CT85-1,T$69-1)*T146</f>
        <v>0</v>
      </c>
      <c r="U85" s="1558">
        <f ca="1">OFFSET('2 Staff List'!$LO$64,$CT85-1,U$69-1)*U146</f>
        <v>0</v>
      </c>
      <c r="V85" s="1601">
        <f ca="1">OFFSET('2 Staff List'!$LO$64,$CT85-1,V$69-1)*V146</f>
        <v>0</v>
      </c>
      <c r="W85" s="1602">
        <f ca="1">OFFSET('2 Staff List'!$LO$64,$CT85-1,W$69-1)*W146</f>
        <v>0</v>
      </c>
      <c r="X85" s="1558">
        <f ca="1">OFFSET('2 Staff List'!$LO$64,$CT85-1,X$69-1)*X146</f>
        <v>0</v>
      </c>
      <c r="Y85" s="1558">
        <f ca="1">OFFSET('2 Staff List'!$LO$64,$CT85-1,Y$69-1)*Y146</f>
        <v>0</v>
      </c>
      <c r="Z85" s="1558">
        <f ca="1">OFFSET('2 Staff List'!$LO$64,$CT85-1,Z$69-1)*Z146</f>
        <v>0</v>
      </c>
      <c r="AA85" s="1558">
        <f ca="1">OFFSET('2 Staff List'!$LO$64,$CT85-1,AA$69-1)*AA146</f>
        <v>0</v>
      </c>
      <c r="AB85" s="1558">
        <f ca="1">OFFSET('2 Staff List'!$LO$64,$CT85-1,AB$69-1)*AB146</f>
        <v>0</v>
      </c>
      <c r="AC85" s="1558">
        <f ca="1">OFFSET('2 Staff List'!$LO$64,$CT85-1,AC$69-1)*AC146</f>
        <v>0</v>
      </c>
      <c r="AD85" s="1558">
        <f ca="1">OFFSET('2 Staff List'!$LO$64,$CT85-1,AD$69-1)*AD146</f>
        <v>0</v>
      </c>
      <c r="AE85" s="1558">
        <f ca="1">OFFSET('2 Staff List'!$LO$64,$CT85-1,AE$69-1)*AE146</f>
        <v>0</v>
      </c>
      <c r="AF85" s="1601">
        <f ca="1">OFFSET('2 Staff List'!$LO$64,$CT85-1,AF$69-1)*AF146</f>
        <v>0</v>
      </c>
      <c r="AG85" s="1602">
        <f ca="1">OFFSET('2 Staff List'!$LO$64,$CT85-1,AG$69-1)*AG146</f>
        <v>0</v>
      </c>
      <c r="AH85" s="1558">
        <f ca="1">OFFSET('2 Staff List'!$LO$64,$CT85-1,AH$69-1)*AH146</f>
        <v>0</v>
      </c>
      <c r="AI85" s="1558">
        <f ca="1">OFFSET('2 Staff List'!$LO$64,$CT85-1,AI$69-1)*AI146</f>
        <v>0</v>
      </c>
      <c r="AJ85" s="1558">
        <f ca="1">OFFSET('2 Staff List'!$LO$64,$CT85-1,AJ$69-1)*AJ146</f>
        <v>0</v>
      </c>
      <c r="AK85" s="1558">
        <f ca="1">OFFSET('2 Staff List'!$LO$64,$CT85-1,AK$69-1)*AK146</f>
        <v>0</v>
      </c>
      <c r="AL85" s="1558">
        <f ca="1">OFFSET('2 Staff List'!$LO$64,$CT85-1,AL$69-1)*AL146</f>
        <v>0</v>
      </c>
      <c r="AM85" s="1558">
        <f ca="1">OFFSET('2 Staff List'!$LO$64,$CT85-1,AM$69-1)*AM146</f>
        <v>0</v>
      </c>
      <c r="AN85" s="1558">
        <f ca="1">OFFSET('2 Staff List'!$LO$64,$CT85-1,AN$69-1)*AN146</f>
        <v>0</v>
      </c>
      <c r="AO85" s="1558">
        <f ca="1">OFFSET('2 Staff List'!$LO$64,$CT85-1,AO$69-1)*AO146</f>
        <v>0</v>
      </c>
      <c r="AP85" s="1601">
        <f ca="1">OFFSET('2 Staff List'!$LO$64,$CT85-1,AP$69-1)*AP146</f>
        <v>0</v>
      </c>
      <c r="AQ85" s="1602">
        <f ca="1">OFFSET('2 Staff List'!$LO$64,$CT85-1,AQ$69-1)*AQ146</f>
        <v>0</v>
      </c>
      <c r="AR85" s="1558">
        <f ca="1">OFFSET('2 Staff List'!$LO$64,$CT85-1,AR$69-1)*AR146</f>
        <v>0</v>
      </c>
      <c r="AS85" s="1558">
        <f ca="1">OFFSET('2 Staff List'!$LO$64,$CT85-1,AS$69-1)*AS146</f>
        <v>0</v>
      </c>
      <c r="AT85" s="1558">
        <f ca="1">OFFSET('2 Staff List'!$LO$64,$CT85-1,AT$69-1)*AT146</f>
        <v>0</v>
      </c>
      <c r="AU85" s="1558">
        <f ca="1">OFFSET('2 Staff List'!$LO$64,$CT85-1,AU$69-1)*AU146</f>
        <v>0</v>
      </c>
      <c r="AV85" s="1558">
        <f ca="1">OFFSET('2 Staff List'!$LO$64,$CT85-1,AV$69-1)*AV146</f>
        <v>0</v>
      </c>
      <c r="AW85" s="1558">
        <f ca="1">OFFSET('2 Staff List'!$LO$64,$CT85-1,AW$69-1)*AW146</f>
        <v>0</v>
      </c>
      <c r="AX85" s="1558">
        <f ca="1">OFFSET('2 Staff List'!$LO$64,$CT85-1,AX$69-1)*AX146</f>
        <v>0</v>
      </c>
      <c r="AY85" s="1558">
        <f ca="1">OFFSET('2 Staff List'!$LO$64,$CT85-1,AY$69-1)*AY146</f>
        <v>0</v>
      </c>
      <c r="AZ85" s="1601">
        <f ca="1">OFFSET('2 Staff List'!$LO$64,$CT85-1,AZ$69-1)*AZ146</f>
        <v>0</v>
      </c>
      <c r="BA85" s="1602">
        <f ca="1">OFFSET('2 Staff List'!$LO$64,$CT85-1,BA$69-1)*BA146</f>
        <v>0</v>
      </c>
      <c r="BB85" s="1558">
        <f ca="1">OFFSET('2 Staff List'!$LO$64,$CT85-1,BB$69-1)*BB146</f>
        <v>0</v>
      </c>
      <c r="BC85" s="1558">
        <f ca="1">OFFSET('2 Staff List'!$LO$64,$CT85-1,BC$69-1)*BC146</f>
        <v>0</v>
      </c>
      <c r="BD85" s="1558">
        <f ca="1">OFFSET('2 Staff List'!$LO$64,$CT85-1,BD$69-1)*BD146</f>
        <v>0</v>
      </c>
      <c r="BE85" s="1558">
        <f ca="1">OFFSET('2 Staff List'!$LO$64,$CT85-1,BE$69-1)*BE146</f>
        <v>0</v>
      </c>
      <c r="BF85" s="1558">
        <f ca="1">OFFSET('2 Staff List'!$LO$64,$CT85-1,BF$69-1)*BF146</f>
        <v>0</v>
      </c>
      <c r="BG85" s="1558">
        <f ca="1">OFFSET('2 Staff List'!$LO$64,$CT85-1,BG$69-1)*BG146</f>
        <v>0</v>
      </c>
      <c r="BH85" s="1558">
        <f ca="1">OFFSET('2 Staff List'!$LO$64,$CT85-1,BH$69-1)*BH146</f>
        <v>0</v>
      </c>
      <c r="BI85" s="1558">
        <f ca="1">OFFSET('2 Staff List'!$LO$64,$CT85-1,BI$69-1)*BI146</f>
        <v>0</v>
      </c>
      <c r="BJ85" s="1601">
        <f ca="1">OFFSET('2 Staff List'!$LO$64,$CT85-1,BJ$69-1)*BJ146</f>
        <v>0</v>
      </c>
      <c r="BK85" s="1602">
        <f ca="1">OFFSET('2 Staff List'!$LO$64,$CT85-1,BK$69-1)*BK146</f>
        <v>0</v>
      </c>
      <c r="BL85" s="1558">
        <f ca="1">OFFSET('2 Staff List'!$LO$64,$CT85-1,BL$69-1)*BL146</f>
        <v>0</v>
      </c>
      <c r="BM85" s="1558">
        <f ca="1">OFFSET('2 Staff List'!$LO$64,$CT85-1,BM$69-1)*BM146</f>
        <v>0</v>
      </c>
      <c r="BN85" s="1558">
        <f ca="1">OFFSET('2 Staff List'!$LO$64,$CT85-1,BN$69-1)*BN146</f>
        <v>0</v>
      </c>
      <c r="BO85" s="1558">
        <f ca="1">OFFSET('2 Staff List'!$LO$64,$CT85-1,BO$69-1)*BO146</f>
        <v>0</v>
      </c>
      <c r="BP85" s="1558">
        <f ca="1">OFFSET('2 Staff List'!$LO$64,$CT85-1,BP$69-1)*BP146</f>
        <v>0</v>
      </c>
      <c r="BQ85" s="1558">
        <f ca="1">OFFSET('2 Staff List'!$LO$64,$CT85-1,BQ$69-1)*BQ146</f>
        <v>0</v>
      </c>
      <c r="BR85" s="1558">
        <f ca="1">OFFSET('2 Staff List'!$LO$64,$CT85-1,BR$69-1)*BR146</f>
        <v>0</v>
      </c>
      <c r="BS85" s="1558">
        <f ca="1">OFFSET('2 Staff List'!$LO$64,$CT85-1,BS$69-1)*BS146</f>
        <v>0</v>
      </c>
      <c r="BT85" s="1558">
        <f ca="1">OFFSET('2 Staff List'!$LO$64,$CT85-1,BT$69-1)*BT146</f>
        <v>0</v>
      </c>
      <c r="BU85" s="295"/>
      <c r="BV85" s="295"/>
      <c r="BW85" s="295"/>
      <c r="BX85" s="295"/>
      <c r="BY85" s="295"/>
      <c r="BZ85" s="295"/>
      <c r="CA85" s="1024">
        <f ca="1">SUMIFS('3a Staff Plan'!$X$129:$X$305,'3a Staff Plan'!$DY$129:$DY$305,CZ85,'3a Staff Plan'!$DF$129:$DF$305,1,'3a Staff Plan'!$AG$129:$AG$305,1)</f>
        <v>0</v>
      </c>
      <c r="CB85" s="1025">
        <f ca="1">SUMIFS('3a Staff Plan'!$X$129:$X$305,'3a Staff Plan'!$DY$129:$DY$305,$CZ85,'3a Staff Plan'!$DF$129:$DF$305,1,'3a Staff Plan'!$AG$129:$AG$305,1,'3a Staff Plan'!$C$129:$C$305,DC$18)</f>
        <v>0</v>
      </c>
      <c r="CC85" s="1026">
        <f ca="1">SUMIFS('3a Staff Plan'!$X$129:$X$305,'3a Staff Plan'!$DY$129:$DY$305,$CZ85,'3a Staff Plan'!$DF$129:$DF$305,1,'3a Staff Plan'!$AG$129:$AG$305,1,'3a Staff Plan'!$C$129:$C$305,DD$18)</f>
        <v>0</v>
      </c>
      <c r="CD85" s="1026">
        <f ca="1">SUMIFS('3a Staff Plan'!$X$129:$X$305,'3a Staff Plan'!$DY$129:$DY$305,$CZ85,'3a Staff Plan'!$DF$129:$DF$305,1,'3a Staff Plan'!$AG$129:$AG$305,1,'3a Staff Plan'!$C$129:$C$305,DE$18)</f>
        <v>0</v>
      </c>
      <c r="CE85" s="1026">
        <f ca="1">SUMIFS('3a Staff Plan'!$X$129:$X$305,'3a Staff Plan'!$DY$129:$DY$305,$CZ85,'3a Staff Plan'!$DF$129:$DF$305,1,'3a Staff Plan'!$AG$129:$AG$305,1,'3a Staff Plan'!$C$129:$C$305,DF$18)</f>
        <v>0</v>
      </c>
      <c r="CF85" s="1026">
        <f ca="1">SUMIFS('3a Staff Plan'!$X$129:$X$305,'3a Staff Plan'!$DY$129:$DY$305,$CZ85,'3a Staff Plan'!$DF$129:$DF$305,1,'3a Staff Plan'!$AG$129:$AG$305,1,'3a Staff Plan'!$C$129:$C$305,DG$18)</f>
        <v>0</v>
      </c>
      <c r="CG85" s="1026">
        <f ca="1">SUMIFS('3a Staff Plan'!$X$129:$X$305,'3a Staff Plan'!$DY$129:$DY$305,$CZ85,'3a Staff Plan'!$DF$129:$DF$305,1,'3a Staff Plan'!$AG$129:$AG$305,1,'3a Staff Plan'!$C$129:$C$305,DH$18)</f>
        <v>0</v>
      </c>
      <c r="CH85" s="1026">
        <f ca="1">SUMIFS('3a Staff Plan'!$X$129:$X$305,'3a Staff Plan'!$DY$129:$DY$305,$CZ85,'3a Staff Plan'!$DF$129:$DF$305,1,'3a Staff Plan'!$AG$129:$AG$305,1,'3a Staff Plan'!$C$129:$C$305,DI$18)</f>
        <v>0</v>
      </c>
      <c r="CI85" s="755"/>
      <c r="CJ85" s="1024">
        <f ca="1">SUMPRODUCT(OFFSET('3b Activity Plan'!$DJ$67:$DJ$76,0,$CU85-1),OFFSET('3b Activity Plan'!$DJ$78:$DJ$87,0,CU85-1))</f>
        <v>0</v>
      </c>
      <c r="CK85" s="1025">
        <f t="shared" ca="1" si="43"/>
        <v>0</v>
      </c>
      <c r="CL85" s="1026">
        <f t="shared" ca="1" si="44"/>
        <v>0</v>
      </c>
      <c r="CM85" s="1026">
        <f t="shared" ca="1" si="45"/>
        <v>0</v>
      </c>
      <c r="CN85" s="1026">
        <f t="shared" ca="1" si="46"/>
        <v>0</v>
      </c>
      <c r="CO85" s="1026">
        <f t="shared" ca="1" si="47"/>
        <v>0</v>
      </c>
      <c r="CP85" s="1026">
        <f t="shared" ca="1" si="48"/>
        <v>0</v>
      </c>
      <c r="CQ85" s="1026">
        <f t="shared" ca="1" si="49"/>
        <v>0</v>
      </c>
      <c r="CR85" s="417"/>
      <c r="CS85" s="417">
        <f t="shared" si="50"/>
        <v>14</v>
      </c>
      <c r="CT85" s="417">
        <f ca="1">OFFSET('2 Staff List'!$GU$64,CS85-1,0)</f>
        <v>14</v>
      </c>
      <c r="CU85" s="417">
        <f ca="1">IF(CZ85=0,0,IFERROR(INDEX('3b Activity Plan'!$DJ$20:$FH$20,MATCH(CT85,'3b Activity Plan'!$DJ$171:$FH$171,0)),0))</f>
        <v>0</v>
      </c>
      <c r="CV85" s="417">
        <f ca="1">INDEX('2 Staff List'!$HW$64:$HW$114,CT85)</f>
        <v>0</v>
      </c>
      <c r="CW85" s="417"/>
      <c r="CY85" s="927">
        <f ca="1">OFFSET('2 Staff List'!$HZ$64,CS85-1,0)</f>
        <v>0</v>
      </c>
      <c r="CZ85" s="975">
        <f ca="1">OFFSET('2 Staff List'!$IA$64,CT85-1,0)</f>
        <v>0</v>
      </c>
      <c r="DA85" s="3845">
        <f t="shared" ca="1" si="51"/>
        <v>0</v>
      </c>
      <c r="DB85" s="3846"/>
      <c r="DC85" s="2408">
        <f t="shared" ca="1" si="52"/>
        <v>0</v>
      </c>
      <c r="DD85" s="2401">
        <f t="shared" ca="1" si="53"/>
        <v>0</v>
      </c>
      <c r="DE85" s="2401">
        <f t="shared" ca="1" si="54"/>
        <v>0</v>
      </c>
      <c r="DF85" s="2405">
        <f t="shared" ca="1" si="55"/>
        <v>0</v>
      </c>
      <c r="DG85" s="2405">
        <f t="shared" ca="1" si="56"/>
        <v>0</v>
      </c>
      <c r="DH85" s="2406">
        <f t="shared" ca="1" si="57"/>
        <v>0</v>
      </c>
      <c r="DI85" s="2407">
        <f t="shared" ca="1" si="58"/>
        <v>0</v>
      </c>
    </row>
    <row r="86" spans="1:113" ht="15.9" customHeight="1" x14ac:dyDescent="0.25">
      <c r="A86" s="295"/>
      <c r="B86" s="295"/>
      <c r="C86" s="1558">
        <f ca="1">OFFSET('2 Staff List'!$LO$64,$CT86-1,C$69-1)*C147</f>
        <v>0</v>
      </c>
      <c r="D86" s="1558">
        <f ca="1">OFFSET('2 Staff List'!$LO$64,$CT86-1,D$69-1)*D147</f>
        <v>0</v>
      </c>
      <c r="E86" s="1558">
        <f ca="1">OFFSET('2 Staff List'!$LO$64,$CT86-1,E$69-1)*E147</f>
        <v>0</v>
      </c>
      <c r="F86" s="1558">
        <f ca="1">OFFSET('2 Staff List'!$LO$64,$CT86-1,F$69-1)*F147</f>
        <v>0</v>
      </c>
      <c r="G86" s="1558">
        <f ca="1">OFFSET('2 Staff List'!$LO$64,$CT86-1,G$69-1)*G147</f>
        <v>0</v>
      </c>
      <c r="H86" s="1558">
        <f ca="1">OFFSET('2 Staff List'!$LO$64,$CT86-1,H$69-1)*H147</f>
        <v>0</v>
      </c>
      <c r="I86" s="1558">
        <f ca="1">OFFSET('2 Staff List'!$LO$64,$CT86-1,I$69-1)*I147</f>
        <v>0</v>
      </c>
      <c r="J86" s="1558">
        <f ca="1">OFFSET('2 Staff List'!$LO$64,$CT86-1,J$69-1)*J147</f>
        <v>0</v>
      </c>
      <c r="K86" s="1558">
        <f ca="1">OFFSET('2 Staff List'!$LO$64,$CT86-1,K$69-1)*K147</f>
        <v>0</v>
      </c>
      <c r="L86" s="1601">
        <f ca="1">OFFSET('2 Staff List'!$LO$64,$CT86-1,L$69-1)*L147</f>
        <v>0</v>
      </c>
      <c r="M86" s="1602">
        <f ca="1">OFFSET('2 Staff List'!$LO$64,$CT86-1,M$69-1)*M147</f>
        <v>0</v>
      </c>
      <c r="N86" s="1558">
        <f ca="1">OFFSET('2 Staff List'!$LO$64,$CT86-1,N$69-1)*N147</f>
        <v>0</v>
      </c>
      <c r="O86" s="1558">
        <f ca="1">OFFSET('2 Staff List'!$LO$64,$CT86-1,O$69-1)*O147</f>
        <v>0</v>
      </c>
      <c r="P86" s="1558">
        <f ca="1">OFFSET('2 Staff List'!$LO$64,$CT86-1,P$69-1)*P147</f>
        <v>0</v>
      </c>
      <c r="Q86" s="1558">
        <f ca="1">OFFSET('2 Staff List'!$LO$64,$CT86-1,Q$69-1)*Q147</f>
        <v>0</v>
      </c>
      <c r="R86" s="1558">
        <f ca="1">OFFSET('2 Staff List'!$LO$64,$CT86-1,R$69-1)*R147</f>
        <v>0</v>
      </c>
      <c r="S86" s="1558">
        <f ca="1">OFFSET('2 Staff List'!$LO$64,$CT86-1,S$69-1)*S147</f>
        <v>0</v>
      </c>
      <c r="T86" s="1558">
        <f ca="1">OFFSET('2 Staff List'!$LO$64,$CT86-1,T$69-1)*T147</f>
        <v>0</v>
      </c>
      <c r="U86" s="1558">
        <f ca="1">OFFSET('2 Staff List'!$LO$64,$CT86-1,U$69-1)*U147</f>
        <v>0</v>
      </c>
      <c r="V86" s="1601">
        <f ca="1">OFFSET('2 Staff List'!$LO$64,$CT86-1,V$69-1)*V147</f>
        <v>0</v>
      </c>
      <c r="W86" s="1602">
        <f ca="1">OFFSET('2 Staff List'!$LO$64,$CT86-1,W$69-1)*W147</f>
        <v>0</v>
      </c>
      <c r="X86" s="1558">
        <f ca="1">OFFSET('2 Staff List'!$LO$64,$CT86-1,X$69-1)*X147</f>
        <v>0</v>
      </c>
      <c r="Y86" s="1558">
        <f ca="1">OFFSET('2 Staff List'!$LO$64,$CT86-1,Y$69-1)*Y147</f>
        <v>0</v>
      </c>
      <c r="Z86" s="1558">
        <f ca="1">OFFSET('2 Staff List'!$LO$64,$CT86-1,Z$69-1)*Z147</f>
        <v>0</v>
      </c>
      <c r="AA86" s="1558">
        <f ca="1">OFFSET('2 Staff List'!$LO$64,$CT86-1,AA$69-1)*AA147</f>
        <v>0</v>
      </c>
      <c r="AB86" s="1558">
        <f ca="1">OFFSET('2 Staff List'!$LO$64,$CT86-1,AB$69-1)*AB147</f>
        <v>0</v>
      </c>
      <c r="AC86" s="1558">
        <f ca="1">OFFSET('2 Staff List'!$LO$64,$CT86-1,AC$69-1)*AC147</f>
        <v>0</v>
      </c>
      <c r="AD86" s="1558">
        <f ca="1">OFFSET('2 Staff List'!$LO$64,$CT86-1,AD$69-1)*AD147</f>
        <v>0</v>
      </c>
      <c r="AE86" s="1558">
        <f ca="1">OFFSET('2 Staff List'!$LO$64,$CT86-1,AE$69-1)*AE147</f>
        <v>0</v>
      </c>
      <c r="AF86" s="1601">
        <f ca="1">OFFSET('2 Staff List'!$LO$64,$CT86-1,AF$69-1)*AF147</f>
        <v>0</v>
      </c>
      <c r="AG86" s="1602">
        <f ca="1">OFFSET('2 Staff List'!$LO$64,$CT86-1,AG$69-1)*AG147</f>
        <v>0</v>
      </c>
      <c r="AH86" s="1558">
        <f ca="1">OFFSET('2 Staff List'!$LO$64,$CT86-1,AH$69-1)*AH147</f>
        <v>0</v>
      </c>
      <c r="AI86" s="1558">
        <f ca="1">OFFSET('2 Staff List'!$LO$64,$CT86-1,AI$69-1)*AI147</f>
        <v>0</v>
      </c>
      <c r="AJ86" s="1558">
        <f ca="1">OFFSET('2 Staff List'!$LO$64,$CT86-1,AJ$69-1)*AJ147</f>
        <v>0</v>
      </c>
      <c r="AK86" s="1558">
        <f ca="1">OFFSET('2 Staff List'!$LO$64,$CT86-1,AK$69-1)*AK147</f>
        <v>0</v>
      </c>
      <c r="AL86" s="1558">
        <f ca="1">OFFSET('2 Staff List'!$LO$64,$CT86-1,AL$69-1)*AL147</f>
        <v>0</v>
      </c>
      <c r="AM86" s="1558">
        <f ca="1">OFFSET('2 Staff List'!$LO$64,$CT86-1,AM$69-1)*AM147</f>
        <v>0</v>
      </c>
      <c r="AN86" s="1558">
        <f ca="1">OFFSET('2 Staff List'!$LO$64,$CT86-1,AN$69-1)*AN147</f>
        <v>0</v>
      </c>
      <c r="AO86" s="1558">
        <f ca="1">OFFSET('2 Staff List'!$LO$64,$CT86-1,AO$69-1)*AO147</f>
        <v>0</v>
      </c>
      <c r="AP86" s="1601">
        <f ca="1">OFFSET('2 Staff List'!$LO$64,$CT86-1,AP$69-1)*AP147</f>
        <v>0</v>
      </c>
      <c r="AQ86" s="1602">
        <f ca="1">OFFSET('2 Staff List'!$LO$64,$CT86-1,AQ$69-1)*AQ147</f>
        <v>0</v>
      </c>
      <c r="AR86" s="1558">
        <f ca="1">OFFSET('2 Staff List'!$LO$64,$CT86-1,AR$69-1)*AR147</f>
        <v>0</v>
      </c>
      <c r="AS86" s="1558">
        <f ca="1">OFFSET('2 Staff List'!$LO$64,$CT86-1,AS$69-1)*AS147</f>
        <v>0</v>
      </c>
      <c r="AT86" s="1558">
        <f ca="1">OFFSET('2 Staff List'!$LO$64,$CT86-1,AT$69-1)*AT147</f>
        <v>0</v>
      </c>
      <c r="AU86" s="1558">
        <f ca="1">OFFSET('2 Staff List'!$LO$64,$CT86-1,AU$69-1)*AU147</f>
        <v>0</v>
      </c>
      <c r="AV86" s="1558">
        <f ca="1">OFFSET('2 Staff List'!$LO$64,$CT86-1,AV$69-1)*AV147</f>
        <v>0</v>
      </c>
      <c r="AW86" s="1558">
        <f ca="1">OFFSET('2 Staff List'!$LO$64,$CT86-1,AW$69-1)*AW147</f>
        <v>0</v>
      </c>
      <c r="AX86" s="1558">
        <f ca="1">OFFSET('2 Staff List'!$LO$64,$CT86-1,AX$69-1)*AX147</f>
        <v>0</v>
      </c>
      <c r="AY86" s="1558">
        <f ca="1">OFFSET('2 Staff List'!$LO$64,$CT86-1,AY$69-1)*AY147</f>
        <v>0</v>
      </c>
      <c r="AZ86" s="1601">
        <f ca="1">OFFSET('2 Staff List'!$LO$64,$CT86-1,AZ$69-1)*AZ147</f>
        <v>0</v>
      </c>
      <c r="BA86" s="1602">
        <f ca="1">OFFSET('2 Staff List'!$LO$64,$CT86-1,BA$69-1)*BA147</f>
        <v>0</v>
      </c>
      <c r="BB86" s="1558">
        <f ca="1">OFFSET('2 Staff List'!$LO$64,$CT86-1,BB$69-1)*BB147</f>
        <v>0</v>
      </c>
      <c r="BC86" s="1558">
        <f ca="1">OFFSET('2 Staff List'!$LO$64,$CT86-1,BC$69-1)*BC147</f>
        <v>0</v>
      </c>
      <c r="BD86" s="1558">
        <f ca="1">OFFSET('2 Staff List'!$LO$64,$CT86-1,BD$69-1)*BD147</f>
        <v>0</v>
      </c>
      <c r="BE86" s="1558">
        <f ca="1">OFFSET('2 Staff List'!$LO$64,$CT86-1,BE$69-1)*BE147</f>
        <v>0</v>
      </c>
      <c r="BF86" s="1558">
        <f ca="1">OFFSET('2 Staff List'!$LO$64,$CT86-1,BF$69-1)*BF147</f>
        <v>0</v>
      </c>
      <c r="BG86" s="1558">
        <f ca="1">OFFSET('2 Staff List'!$LO$64,$CT86-1,BG$69-1)*BG147</f>
        <v>0</v>
      </c>
      <c r="BH86" s="1558">
        <f ca="1">OFFSET('2 Staff List'!$LO$64,$CT86-1,BH$69-1)*BH147</f>
        <v>0</v>
      </c>
      <c r="BI86" s="1558">
        <f ca="1">OFFSET('2 Staff List'!$LO$64,$CT86-1,BI$69-1)*BI147</f>
        <v>0</v>
      </c>
      <c r="BJ86" s="1601">
        <f ca="1">OFFSET('2 Staff List'!$LO$64,$CT86-1,BJ$69-1)*BJ147</f>
        <v>0</v>
      </c>
      <c r="BK86" s="1602">
        <f ca="1">OFFSET('2 Staff List'!$LO$64,$CT86-1,BK$69-1)*BK147</f>
        <v>0</v>
      </c>
      <c r="BL86" s="1558">
        <f ca="1">OFFSET('2 Staff List'!$LO$64,$CT86-1,BL$69-1)*BL147</f>
        <v>0</v>
      </c>
      <c r="BM86" s="1558">
        <f ca="1">OFFSET('2 Staff List'!$LO$64,$CT86-1,BM$69-1)*BM147</f>
        <v>0</v>
      </c>
      <c r="BN86" s="1558">
        <f ca="1">OFFSET('2 Staff List'!$LO$64,$CT86-1,BN$69-1)*BN147</f>
        <v>0</v>
      </c>
      <c r="BO86" s="1558">
        <f ca="1">OFFSET('2 Staff List'!$LO$64,$CT86-1,BO$69-1)*BO147</f>
        <v>0</v>
      </c>
      <c r="BP86" s="1558">
        <f ca="1">OFFSET('2 Staff List'!$LO$64,$CT86-1,BP$69-1)*BP147</f>
        <v>0</v>
      </c>
      <c r="BQ86" s="1558">
        <f ca="1">OFFSET('2 Staff List'!$LO$64,$CT86-1,BQ$69-1)*BQ147</f>
        <v>0</v>
      </c>
      <c r="BR86" s="1558">
        <f ca="1">OFFSET('2 Staff List'!$LO$64,$CT86-1,BR$69-1)*BR147</f>
        <v>0</v>
      </c>
      <c r="BS86" s="1558">
        <f ca="1">OFFSET('2 Staff List'!$LO$64,$CT86-1,BS$69-1)*BS147</f>
        <v>0</v>
      </c>
      <c r="BT86" s="1558">
        <f ca="1">OFFSET('2 Staff List'!$LO$64,$CT86-1,BT$69-1)*BT147</f>
        <v>0</v>
      </c>
      <c r="BU86" s="295"/>
      <c r="BV86" s="295"/>
      <c r="BW86" s="295"/>
      <c r="BX86" s="295"/>
      <c r="BY86" s="295"/>
      <c r="BZ86" s="295"/>
      <c r="CA86" s="1024">
        <f ca="1">SUMIFS('3a Staff Plan'!$X$129:$X$305,'3a Staff Plan'!$DY$129:$DY$305,CZ86,'3a Staff Plan'!$DF$129:$DF$305,1,'3a Staff Plan'!$AG$129:$AG$305,1)</f>
        <v>0</v>
      </c>
      <c r="CB86" s="1025">
        <f ca="1">SUMIFS('3a Staff Plan'!$X$129:$X$305,'3a Staff Plan'!$DY$129:$DY$305,$CZ86,'3a Staff Plan'!$DF$129:$DF$305,1,'3a Staff Plan'!$AG$129:$AG$305,1,'3a Staff Plan'!$C$129:$C$305,DC$18)</f>
        <v>0</v>
      </c>
      <c r="CC86" s="1026">
        <f ca="1">SUMIFS('3a Staff Plan'!$X$129:$X$305,'3a Staff Plan'!$DY$129:$DY$305,$CZ86,'3a Staff Plan'!$DF$129:$DF$305,1,'3a Staff Plan'!$AG$129:$AG$305,1,'3a Staff Plan'!$C$129:$C$305,DD$18)</f>
        <v>0</v>
      </c>
      <c r="CD86" s="1026">
        <f ca="1">SUMIFS('3a Staff Plan'!$X$129:$X$305,'3a Staff Plan'!$DY$129:$DY$305,$CZ86,'3a Staff Plan'!$DF$129:$DF$305,1,'3a Staff Plan'!$AG$129:$AG$305,1,'3a Staff Plan'!$C$129:$C$305,DE$18)</f>
        <v>0</v>
      </c>
      <c r="CE86" s="1026">
        <f ca="1">SUMIFS('3a Staff Plan'!$X$129:$X$305,'3a Staff Plan'!$DY$129:$DY$305,$CZ86,'3a Staff Plan'!$DF$129:$DF$305,1,'3a Staff Plan'!$AG$129:$AG$305,1,'3a Staff Plan'!$C$129:$C$305,DF$18)</f>
        <v>0</v>
      </c>
      <c r="CF86" s="1026">
        <f ca="1">SUMIFS('3a Staff Plan'!$X$129:$X$305,'3a Staff Plan'!$DY$129:$DY$305,$CZ86,'3a Staff Plan'!$DF$129:$DF$305,1,'3a Staff Plan'!$AG$129:$AG$305,1,'3a Staff Plan'!$C$129:$C$305,DG$18)</f>
        <v>0</v>
      </c>
      <c r="CG86" s="1026">
        <f ca="1">SUMIFS('3a Staff Plan'!$X$129:$X$305,'3a Staff Plan'!$DY$129:$DY$305,$CZ86,'3a Staff Plan'!$DF$129:$DF$305,1,'3a Staff Plan'!$AG$129:$AG$305,1,'3a Staff Plan'!$C$129:$C$305,DH$18)</f>
        <v>0</v>
      </c>
      <c r="CH86" s="1026">
        <f ca="1">SUMIFS('3a Staff Plan'!$X$129:$X$305,'3a Staff Plan'!$DY$129:$DY$305,$CZ86,'3a Staff Plan'!$DF$129:$DF$305,1,'3a Staff Plan'!$AG$129:$AG$305,1,'3a Staff Plan'!$C$129:$C$305,DI$18)</f>
        <v>0</v>
      </c>
      <c r="CI86" s="755"/>
      <c r="CJ86" s="1024">
        <f ca="1">SUMPRODUCT(OFFSET('3b Activity Plan'!$DJ$67:$DJ$76,0,$CU86-1),OFFSET('3b Activity Plan'!$DJ$78:$DJ$87,0,CU86-1))</f>
        <v>0</v>
      </c>
      <c r="CK86" s="1025">
        <f t="shared" ca="1" si="43"/>
        <v>0</v>
      </c>
      <c r="CL86" s="1026">
        <f t="shared" ca="1" si="44"/>
        <v>0</v>
      </c>
      <c r="CM86" s="1026">
        <f t="shared" ca="1" si="45"/>
        <v>0</v>
      </c>
      <c r="CN86" s="1026">
        <f t="shared" ca="1" si="46"/>
        <v>0</v>
      </c>
      <c r="CO86" s="1026">
        <f t="shared" ca="1" si="47"/>
        <v>0</v>
      </c>
      <c r="CP86" s="1026">
        <f t="shared" ca="1" si="48"/>
        <v>0</v>
      </c>
      <c r="CQ86" s="1026">
        <f t="shared" ca="1" si="49"/>
        <v>0</v>
      </c>
      <c r="CR86" s="417"/>
      <c r="CS86" s="417">
        <f t="shared" si="50"/>
        <v>15</v>
      </c>
      <c r="CT86" s="417">
        <f ca="1">OFFSET('2 Staff List'!$GU$64,CS86-1,0)</f>
        <v>15</v>
      </c>
      <c r="CU86" s="417">
        <f ca="1">IF(CZ86=0,0,IFERROR(INDEX('3b Activity Plan'!$DJ$20:$FH$20,MATCH(CT86,'3b Activity Plan'!$DJ$171:$FH$171,0)),0))</f>
        <v>0</v>
      </c>
      <c r="CV86" s="417">
        <f ca="1">INDEX('2 Staff List'!$HW$64:$HW$114,CT86)</f>
        <v>0</v>
      </c>
      <c r="CW86" s="417"/>
      <c r="CY86" s="927">
        <f ca="1">OFFSET('2 Staff List'!$HZ$64,CS86-1,0)</f>
        <v>0</v>
      </c>
      <c r="CZ86" s="975">
        <f ca="1">OFFSET('2 Staff List'!$IA$64,CT86-1,0)</f>
        <v>0</v>
      </c>
      <c r="DA86" s="3845">
        <f t="shared" ca="1" si="51"/>
        <v>0</v>
      </c>
      <c r="DB86" s="3846"/>
      <c r="DC86" s="2408">
        <f t="shared" ca="1" si="52"/>
        <v>0</v>
      </c>
      <c r="DD86" s="2401">
        <f t="shared" ca="1" si="53"/>
        <v>0</v>
      </c>
      <c r="DE86" s="2401">
        <f t="shared" ca="1" si="54"/>
        <v>0</v>
      </c>
      <c r="DF86" s="2405">
        <f t="shared" ca="1" si="55"/>
        <v>0</v>
      </c>
      <c r="DG86" s="2405">
        <f t="shared" ca="1" si="56"/>
        <v>0</v>
      </c>
      <c r="DH86" s="2406">
        <f t="shared" ca="1" si="57"/>
        <v>0</v>
      </c>
      <c r="DI86" s="2407">
        <f t="shared" ca="1" si="58"/>
        <v>0</v>
      </c>
    </row>
    <row r="87" spans="1:113" ht="15.9" customHeight="1" x14ac:dyDescent="0.25">
      <c r="A87" s="295"/>
      <c r="B87" s="295"/>
      <c r="C87" s="1558">
        <f ca="1">OFFSET('2 Staff List'!$LO$64,$CT87-1,C$69-1)*C148</f>
        <v>0</v>
      </c>
      <c r="D87" s="1558">
        <f ca="1">OFFSET('2 Staff List'!$LO$64,$CT87-1,D$69-1)*D148</f>
        <v>0</v>
      </c>
      <c r="E87" s="1558">
        <f ca="1">OFFSET('2 Staff List'!$LO$64,$CT87-1,E$69-1)*E148</f>
        <v>0</v>
      </c>
      <c r="F87" s="1558">
        <f ca="1">OFFSET('2 Staff List'!$LO$64,$CT87-1,F$69-1)*F148</f>
        <v>0</v>
      </c>
      <c r="G87" s="1558">
        <f ca="1">OFFSET('2 Staff List'!$LO$64,$CT87-1,G$69-1)*G148</f>
        <v>0</v>
      </c>
      <c r="H87" s="1558">
        <f ca="1">OFFSET('2 Staff List'!$LO$64,$CT87-1,H$69-1)*H148</f>
        <v>0</v>
      </c>
      <c r="I87" s="1558">
        <f ca="1">OFFSET('2 Staff List'!$LO$64,$CT87-1,I$69-1)*I148</f>
        <v>0</v>
      </c>
      <c r="J87" s="1558">
        <f ca="1">OFFSET('2 Staff List'!$LO$64,$CT87-1,J$69-1)*J148</f>
        <v>0</v>
      </c>
      <c r="K87" s="1558">
        <f ca="1">OFFSET('2 Staff List'!$LO$64,$CT87-1,K$69-1)*K148</f>
        <v>0</v>
      </c>
      <c r="L87" s="1601">
        <f ca="1">OFFSET('2 Staff List'!$LO$64,$CT87-1,L$69-1)*L148</f>
        <v>0</v>
      </c>
      <c r="M87" s="1602">
        <f ca="1">OFFSET('2 Staff List'!$LO$64,$CT87-1,M$69-1)*M148</f>
        <v>0</v>
      </c>
      <c r="N87" s="1558">
        <f ca="1">OFFSET('2 Staff List'!$LO$64,$CT87-1,N$69-1)*N148</f>
        <v>0</v>
      </c>
      <c r="O87" s="1558">
        <f ca="1">OFFSET('2 Staff List'!$LO$64,$CT87-1,O$69-1)*O148</f>
        <v>0</v>
      </c>
      <c r="P87" s="1558">
        <f ca="1">OFFSET('2 Staff List'!$LO$64,$CT87-1,P$69-1)*P148</f>
        <v>0</v>
      </c>
      <c r="Q87" s="1558">
        <f ca="1">OFFSET('2 Staff List'!$LO$64,$CT87-1,Q$69-1)*Q148</f>
        <v>0</v>
      </c>
      <c r="R87" s="1558">
        <f ca="1">OFFSET('2 Staff List'!$LO$64,$CT87-1,R$69-1)*R148</f>
        <v>0</v>
      </c>
      <c r="S87" s="1558">
        <f ca="1">OFFSET('2 Staff List'!$LO$64,$CT87-1,S$69-1)*S148</f>
        <v>0</v>
      </c>
      <c r="T87" s="1558">
        <f ca="1">OFFSET('2 Staff List'!$LO$64,$CT87-1,T$69-1)*T148</f>
        <v>0</v>
      </c>
      <c r="U87" s="1558">
        <f ca="1">OFFSET('2 Staff List'!$LO$64,$CT87-1,U$69-1)*U148</f>
        <v>0</v>
      </c>
      <c r="V87" s="1601">
        <f ca="1">OFFSET('2 Staff List'!$LO$64,$CT87-1,V$69-1)*V148</f>
        <v>0</v>
      </c>
      <c r="W87" s="1602">
        <f ca="1">OFFSET('2 Staff List'!$LO$64,$CT87-1,W$69-1)*W148</f>
        <v>0</v>
      </c>
      <c r="X87" s="1558">
        <f ca="1">OFFSET('2 Staff List'!$LO$64,$CT87-1,X$69-1)*X148</f>
        <v>0</v>
      </c>
      <c r="Y87" s="1558">
        <f ca="1">OFFSET('2 Staff List'!$LO$64,$CT87-1,Y$69-1)*Y148</f>
        <v>0</v>
      </c>
      <c r="Z87" s="1558">
        <f ca="1">OFFSET('2 Staff List'!$LO$64,$CT87-1,Z$69-1)*Z148</f>
        <v>0</v>
      </c>
      <c r="AA87" s="1558">
        <f ca="1">OFFSET('2 Staff List'!$LO$64,$CT87-1,AA$69-1)*AA148</f>
        <v>0</v>
      </c>
      <c r="AB87" s="1558">
        <f ca="1">OFFSET('2 Staff List'!$LO$64,$CT87-1,AB$69-1)*AB148</f>
        <v>0</v>
      </c>
      <c r="AC87" s="1558">
        <f ca="1">OFFSET('2 Staff List'!$LO$64,$CT87-1,AC$69-1)*AC148</f>
        <v>0</v>
      </c>
      <c r="AD87" s="1558">
        <f ca="1">OFFSET('2 Staff List'!$LO$64,$CT87-1,AD$69-1)*AD148</f>
        <v>0</v>
      </c>
      <c r="AE87" s="1558">
        <f ca="1">OFFSET('2 Staff List'!$LO$64,$CT87-1,AE$69-1)*AE148</f>
        <v>0</v>
      </c>
      <c r="AF87" s="1601">
        <f ca="1">OFFSET('2 Staff List'!$LO$64,$CT87-1,AF$69-1)*AF148</f>
        <v>0</v>
      </c>
      <c r="AG87" s="1602">
        <f ca="1">OFFSET('2 Staff List'!$LO$64,$CT87-1,AG$69-1)*AG148</f>
        <v>0</v>
      </c>
      <c r="AH87" s="1558">
        <f ca="1">OFFSET('2 Staff List'!$LO$64,$CT87-1,AH$69-1)*AH148</f>
        <v>0</v>
      </c>
      <c r="AI87" s="1558">
        <f ca="1">OFFSET('2 Staff List'!$LO$64,$CT87-1,AI$69-1)*AI148</f>
        <v>0</v>
      </c>
      <c r="AJ87" s="1558">
        <f ca="1">OFFSET('2 Staff List'!$LO$64,$CT87-1,AJ$69-1)*AJ148</f>
        <v>0</v>
      </c>
      <c r="AK87" s="1558">
        <f ca="1">OFFSET('2 Staff List'!$LO$64,$CT87-1,AK$69-1)*AK148</f>
        <v>0</v>
      </c>
      <c r="AL87" s="1558">
        <f ca="1">OFFSET('2 Staff List'!$LO$64,$CT87-1,AL$69-1)*AL148</f>
        <v>0</v>
      </c>
      <c r="AM87" s="1558">
        <f ca="1">OFFSET('2 Staff List'!$LO$64,$CT87-1,AM$69-1)*AM148</f>
        <v>0</v>
      </c>
      <c r="AN87" s="1558">
        <f ca="1">OFFSET('2 Staff List'!$LO$64,$CT87-1,AN$69-1)*AN148</f>
        <v>0</v>
      </c>
      <c r="AO87" s="1558">
        <f ca="1">OFFSET('2 Staff List'!$LO$64,$CT87-1,AO$69-1)*AO148</f>
        <v>0</v>
      </c>
      <c r="AP87" s="1601">
        <f ca="1">OFFSET('2 Staff List'!$LO$64,$CT87-1,AP$69-1)*AP148</f>
        <v>0</v>
      </c>
      <c r="AQ87" s="1602">
        <f ca="1">OFFSET('2 Staff List'!$LO$64,$CT87-1,AQ$69-1)*AQ148</f>
        <v>0</v>
      </c>
      <c r="AR87" s="1558">
        <f ca="1">OFFSET('2 Staff List'!$LO$64,$CT87-1,AR$69-1)*AR148</f>
        <v>0</v>
      </c>
      <c r="AS87" s="1558">
        <f ca="1">OFFSET('2 Staff List'!$LO$64,$CT87-1,AS$69-1)*AS148</f>
        <v>0</v>
      </c>
      <c r="AT87" s="1558">
        <f ca="1">OFFSET('2 Staff List'!$LO$64,$CT87-1,AT$69-1)*AT148</f>
        <v>0</v>
      </c>
      <c r="AU87" s="1558">
        <f ca="1">OFFSET('2 Staff List'!$LO$64,$CT87-1,AU$69-1)*AU148</f>
        <v>0</v>
      </c>
      <c r="AV87" s="1558">
        <f ca="1">OFFSET('2 Staff List'!$LO$64,$CT87-1,AV$69-1)*AV148</f>
        <v>0</v>
      </c>
      <c r="AW87" s="1558">
        <f ca="1">OFFSET('2 Staff List'!$LO$64,$CT87-1,AW$69-1)*AW148</f>
        <v>0</v>
      </c>
      <c r="AX87" s="1558">
        <f ca="1">OFFSET('2 Staff List'!$LO$64,$CT87-1,AX$69-1)*AX148</f>
        <v>0</v>
      </c>
      <c r="AY87" s="1558">
        <f ca="1">OFFSET('2 Staff List'!$LO$64,$CT87-1,AY$69-1)*AY148</f>
        <v>0</v>
      </c>
      <c r="AZ87" s="1601">
        <f ca="1">OFFSET('2 Staff List'!$LO$64,$CT87-1,AZ$69-1)*AZ148</f>
        <v>0</v>
      </c>
      <c r="BA87" s="1602">
        <f ca="1">OFFSET('2 Staff List'!$LO$64,$CT87-1,BA$69-1)*BA148</f>
        <v>0</v>
      </c>
      <c r="BB87" s="1558">
        <f ca="1">OFFSET('2 Staff List'!$LO$64,$CT87-1,BB$69-1)*BB148</f>
        <v>0</v>
      </c>
      <c r="BC87" s="1558">
        <f ca="1">OFFSET('2 Staff List'!$LO$64,$CT87-1,BC$69-1)*BC148</f>
        <v>0</v>
      </c>
      <c r="BD87" s="1558">
        <f ca="1">OFFSET('2 Staff List'!$LO$64,$CT87-1,BD$69-1)*BD148</f>
        <v>0</v>
      </c>
      <c r="BE87" s="1558">
        <f ca="1">OFFSET('2 Staff List'!$LO$64,$CT87-1,BE$69-1)*BE148</f>
        <v>0</v>
      </c>
      <c r="BF87" s="1558">
        <f ca="1">OFFSET('2 Staff List'!$LO$64,$CT87-1,BF$69-1)*BF148</f>
        <v>0</v>
      </c>
      <c r="BG87" s="1558">
        <f ca="1">OFFSET('2 Staff List'!$LO$64,$CT87-1,BG$69-1)*BG148</f>
        <v>0</v>
      </c>
      <c r="BH87" s="1558">
        <f ca="1">OFFSET('2 Staff List'!$LO$64,$CT87-1,BH$69-1)*BH148</f>
        <v>0</v>
      </c>
      <c r="BI87" s="1558">
        <f ca="1">OFFSET('2 Staff List'!$LO$64,$CT87-1,BI$69-1)*BI148</f>
        <v>0</v>
      </c>
      <c r="BJ87" s="1601">
        <f ca="1">OFFSET('2 Staff List'!$LO$64,$CT87-1,BJ$69-1)*BJ148</f>
        <v>0</v>
      </c>
      <c r="BK87" s="1602">
        <f ca="1">OFFSET('2 Staff List'!$LO$64,$CT87-1,BK$69-1)*BK148</f>
        <v>0</v>
      </c>
      <c r="BL87" s="1558">
        <f ca="1">OFFSET('2 Staff List'!$LO$64,$CT87-1,BL$69-1)*BL148</f>
        <v>0</v>
      </c>
      <c r="BM87" s="1558">
        <f ca="1">OFFSET('2 Staff List'!$LO$64,$CT87-1,BM$69-1)*BM148</f>
        <v>0</v>
      </c>
      <c r="BN87" s="1558">
        <f ca="1">OFFSET('2 Staff List'!$LO$64,$CT87-1,BN$69-1)*BN148</f>
        <v>0</v>
      </c>
      <c r="BO87" s="1558">
        <f ca="1">OFFSET('2 Staff List'!$LO$64,$CT87-1,BO$69-1)*BO148</f>
        <v>0</v>
      </c>
      <c r="BP87" s="1558">
        <f ca="1">OFFSET('2 Staff List'!$LO$64,$CT87-1,BP$69-1)*BP148</f>
        <v>0</v>
      </c>
      <c r="BQ87" s="1558">
        <f ca="1">OFFSET('2 Staff List'!$LO$64,$CT87-1,BQ$69-1)*BQ148</f>
        <v>0</v>
      </c>
      <c r="BR87" s="1558">
        <f ca="1">OFFSET('2 Staff List'!$LO$64,$CT87-1,BR$69-1)*BR148</f>
        <v>0</v>
      </c>
      <c r="BS87" s="1558">
        <f ca="1">OFFSET('2 Staff List'!$LO$64,$CT87-1,BS$69-1)*BS148</f>
        <v>0</v>
      </c>
      <c r="BT87" s="1558">
        <f ca="1">OFFSET('2 Staff List'!$LO$64,$CT87-1,BT$69-1)*BT148</f>
        <v>0</v>
      </c>
      <c r="BU87" s="295"/>
      <c r="BV87" s="295"/>
      <c r="BW87" s="295"/>
      <c r="BX87" s="295"/>
      <c r="BY87" s="295"/>
      <c r="BZ87" s="295"/>
      <c r="CA87" s="1024">
        <f ca="1">SUMIFS('3a Staff Plan'!$X$129:$X$305,'3a Staff Plan'!$DY$129:$DY$305,CZ87,'3a Staff Plan'!$DF$129:$DF$305,1,'3a Staff Plan'!$AG$129:$AG$305,1)</f>
        <v>0</v>
      </c>
      <c r="CB87" s="1025">
        <f ca="1">SUMIFS('3a Staff Plan'!$X$129:$X$305,'3a Staff Plan'!$DY$129:$DY$305,$CZ87,'3a Staff Plan'!$DF$129:$DF$305,1,'3a Staff Plan'!$AG$129:$AG$305,1,'3a Staff Plan'!$C$129:$C$305,DC$18)</f>
        <v>0</v>
      </c>
      <c r="CC87" s="1026">
        <f ca="1">SUMIFS('3a Staff Plan'!$X$129:$X$305,'3a Staff Plan'!$DY$129:$DY$305,$CZ87,'3a Staff Plan'!$DF$129:$DF$305,1,'3a Staff Plan'!$AG$129:$AG$305,1,'3a Staff Plan'!$C$129:$C$305,DD$18)</f>
        <v>0</v>
      </c>
      <c r="CD87" s="1026">
        <f ca="1">SUMIFS('3a Staff Plan'!$X$129:$X$305,'3a Staff Plan'!$DY$129:$DY$305,$CZ87,'3a Staff Plan'!$DF$129:$DF$305,1,'3a Staff Plan'!$AG$129:$AG$305,1,'3a Staff Plan'!$C$129:$C$305,DE$18)</f>
        <v>0</v>
      </c>
      <c r="CE87" s="1026">
        <f ca="1">SUMIFS('3a Staff Plan'!$X$129:$X$305,'3a Staff Plan'!$DY$129:$DY$305,$CZ87,'3a Staff Plan'!$DF$129:$DF$305,1,'3a Staff Plan'!$AG$129:$AG$305,1,'3a Staff Plan'!$C$129:$C$305,DF$18)</f>
        <v>0</v>
      </c>
      <c r="CF87" s="1026">
        <f ca="1">SUMIFS('3a Staff Plan'!$X$129:$X$305,'3a Staff Plan'!$DY$129:$DY$305,$CZ87,'3a Staff Plan'!$DF$129:$DF$305,1,'3a Staff Plan'!$AG$129:$AG$305,1,'3a Staff Plan'!$C$129:$C$305,DG$18)</f>
        <v>0</v>
      </c>
      <c r="CG87" s="1026">
        <f ca="1">SUMIFS('3a Staff Plan'!$X$129:$X$305,'3a Staff Plan'!$DY$129:$DY$305,$CZ87,'3a Staff Plan'!$DF$129:$DF$305,1,'3a Staff Plan'!$AG$129:$AG$305,1,'3a Staff Plan'!$C$129:$C$305,DH$18)</f>
        <v>0</v>
      </c>
      <c r="CH87" s="1026">
        <f ca="1">SUMIFS('3a Staff Plan'!$X$129:$X$305,'3a Staff Plan'!$DY$129:$DY$305,$CZ87,'3a Staff Plan'!$DF$129:$DF$305,1,'3a Staff Plan'!$AG$129:$AG$305,1,'3a Staff Plan'!$C$129:$C$305,DI$18)</f>
        <v>0</v>
      </c>
      <c r="CI87" s="755"/>
      <c r="CJ87" s="1024">
        <f ca="1">SUMPRODUCT(OFFSET('3b Activity Plan'!$DJ$67:$DJ$76,0,$CU87-1),OFFSET('3b Activity Plan'!$DJ$78:$DJ$87,0,CU87-1))</f>
        <v>0</v>
      </c>
      <c r="CK87" s="1025">
        <f t="shared" ca="1" si="43"/>
        <v>0</v>
      </c>
      <c r="CL87" s="1026">
        <f t="shared" ca="1" si="44"/>
        <v>0</v>
      </c>
      <c r="CM87" s="1026">
        <f t="shared" ca="1" si="45"/>
        <v>0</v>
      </c>
      <c r="CN87" s="1026">
        <f t="shared" ca="1" si="46"/>
        <v>0</v>
      </c>
      <c r="CO87" s="1026">
        <f t="shared" ca="1" si="47"/>
        <v>0</v>
      </c>
      <c r="CP87" s="1026">
        <f t="shared" ca="1" si="48"/>
        <v>0</v>
      </c>
      <c r="CQ87" s="1026">
        <f t="shared" ca="1" si="49"/>
        <v>0</v>
      </c>
      <c r="CR87" s="417"/>
      <c r="CS87" s="417">
        <f t="shared" si="50"/>
        <v>16</v>
      </c>
      <c r="CT87" s="417">
        <f ca="1">OFFSET('2 Staff List'!$GU$64,CS87-1,0)</f>
        <v>16</v>
      </c>
      <c r="CU87" s="417">
        <f ca="1">IF(CZ87=0,0,IFERROR(INDEX('3b Activity Plan'!$DJ$20:$FH$20,MATCH(CT87,'3b Activity Plan'!$DJ$171:$FH$171,0)),0))</f>
        <v>0</v>
      </c>
      <c r="CV87" s="417">
        <f ca="1">INDEX('2 Staff List'!$HW$64:$HW$114,CT87)</f>
        <v>0</v>
      </c>
      <c r="CW87" s="417"/>
      <c r="CY87" s="927">
        <f ca="1">OFFSET('2 Staff List'!$HZ$64,CS87-1,0)</f>
        <v>0</v>
      </c>
      <c r="CZ87" s="975">
        <f ca="1">OFFSET('2 Staff List'!$IA$64,CT87-1,0)</f>
        <v>0</v>
      </c>
      <c r="DA87" s="3845">
        <f t="shared" ca="1" si="51"/>
        <v>0</v>
      </c>
      <c r="DB87" s="3846"/>
      <c r="DC87" s="2408">
        <f t="shared" ca="1" si="52"/>
        <v>0</v>
      </c>
      <c r="DD87" s="2401">
        <f t="shared" ca="1" si="53"/>
        <v>0</v>
      </c>
      <c r="DE87" s="2401">
        <f t="shared" ca="1" si="54"/>
        <v>0</v>
      </c>
      <c r="DF87" s="2405">
        <f t="shared" ca="1" si="55"/>
        <v>0</v>
      </c>
      <c r="DG87" s="2405">
        <f t="shared" ca="1" si="56"/>
        <v>0</v>
      </c>
      <c r="DH87" s="2406">
        <f t="shared" ca="1" si="57"/>
        <v>0</v>
      </c>
      <c r="DI87" s="2407">
        <f t="shared" ca="1" si="58"/>
        <v>0</v>
      </c>
    </row>
    <row r="88" spans="1:113" ht="15.9" customHeight="1" x14ac:dyDescent="0.25">
      <c r="A88" s="295"/>
      <c r="B88" s="295"/>
      <c r="C88" s="1558">
        <f ca="1">OFFSET('2 Staff List'!$LO$64,$CT88-1,C$69-1)*C149</f>
        <v>0</v>
      </c>
      <c r="D88" s="1558">
        <f ca="1">OFFSET('2 Staff List'!$LO$64,$CT88-1,D$69-1)*D149</f>
        <v>0</v>
      </c>
      <c r="E88" s="1558">
        <f ca="1">OFFSET('2 Staff List'!$LO$64,$CT88-1,E$69-1)*E149</f>
        <v>0</v>
      </c>
      <c r="F88" s="1558">
        <f ca="1">OFFSET('2 Staff List'!$LO$64,$CT88-1,F$69-1)*F149</f>
        <v>0</v>
      </c>
      <c r="G88" s="1558">
        <f ca="1">OFFSET('2 Staff List'!$LO$64,$CT88-1,G$69-1)*G149</f>
        <v>0</v>
      </c>
      <c r="H88" s="1558">
        <f ca="1">OFFSET('2 Staff List'!$LO$64,$CT88-1,H$69-1)*H149</f>
        <v>0</v>
      </c>
      <c r="I88" s="1558">
        <f ca="1">OFFSET('2 Staff List'!$LO$64,$CT88-1,I$69-1)*I149</f>
        <v>0</v>
      </c>
      <c r="J88" s="1558">
        <f ca="1">OFFSET('2 Staff List'!$LO$64,$CT88-1,J$69-1)*J149</f>
        <v>0</v>
      </c>
      <c r="K88" s="1558">
        <f ca="1">OFFSET('2 Staff List'!$LO$64,$CT88-1,K$69-1)*K149</f>
        <v>0</v>
      </c>
      <c r="L88" s="1601">
        <f ca="1">OFFSET('2 Staff List'!$LO$64,$CT88-1,L$69-1)*L149</f>
        <v>0</v>
      </c>
      <c r="M88" s="1602">
        <f ca="1">OFFSET('2 Staff List'!$LO$64,$CT88-1,M$69-1)*M149</f>
        <v>0</v>
      </c>
      <c r="N88" s="1558">
        <f ca="1">OFFSET('2 Staff List'!$LO$64,$CT88-1,N$69-1)*N149</f>
        <v>0</v>
      </c>
      <c r="O88" s="1558">
        <f ca="1">OFFSET('2 Staff List'!$LO$64,$CT88-1,O$69-1)*O149</f>
        <v>0</v>
      </c>
      <c r="P88" s="1558">
        <f ca="1">OFFSET('2 Staff List'!$LO$64,$CT88-1,P$69-1)*P149</f>
        <v>0</v>
      </c>
      <c r="Q88" s="1558">
        <f ca="1">OFFSET('2 Staff List'!$LO$64,$CT88-1,Q$69-1)*Q149</f>
        <v>0</v>
      </c>
      <c r="R88" s="1558">
        <f ca="1">OFFSET('2 Staff List'!$LO$64,$CT88-1,R$69-1)*R149</f>
        <v>0</v>
      </c>
      <c r="S88" s="1558">
        <f ca="1">OFFSET('2 Staff List'!$LO$64,$CT88-1,S$69-1)*S149</f>
        <v>0</v>
      </c>
      <c r="T88" s="1558">
        <f ca="1">OFFSET('2 Staff List'!$LO$64,$CT88-1,T$69-1)*T149</f>
        <v>0</v>
      </c>
      <c r="U88" s="1558">
        <f ca="1">OFFSET('2 Staff List'!$LO$64,$CT88-1,U$69-1)*U149</f>
        <v>0</v>
      </c>
      <c r="V88" s="1601">
        <f ca="1">OFFSET('2 Staff List'!$LO$64,$CT88-1,V$69-1)*V149</f>
        <v>0</v>
      </c>
      <c r="W88" s="1602">
        <f ca="1">OFFSET('2 Staff List'!$LO$64,$CT88-1,W$69-1)*W149</f>
        <v>0</v>
      </c>
      <c r="X88" s="1558">
        <f ca="1">OFFSET('2 Staff List'!$LO$64,$CT88-1,X$69-1)*X149</f>
        <v>0</v>
      </c>
      <c r="Y88" s="1558">
        <f ca="1">OFFSET('2 Staff List'!$LO$64,$CT88-1,Y$69-1)*Y149</f>
        <v>0</v>
      </c>
      <c r="Z88" s="1558">
        <f ca="1">OFFSET('2 Staff List'!$LO$64,$CT88-1,Z$69-1)*Z149</f>
        <v>0</v>
      </c>
      <c r="AA88" s="1558">
        <f ca="1">OFFSET('2 Staff List'!$LO$64,$CT88-1,AA$69-1)*AA149</f>
        <v>0</v>
      </c>
      <c r="AB88" s="1558">
        <f ca="1">OFFSET('2 Staff List'!$LO$64,$CT88-1,AB$69-1)*AB149</f>
        <v>0</v>
      </c>
      <c r="AC88" s="1558">
        <f ca="1">OFFSET('2 Staff List'!$LO$64,$CT88-1,AC$69-1)*AC149</f>
        <v>0</v>
      </c>
      <c r="AD88" s="1558">
        <f ca="1">OFFSET('2 Staff List'!$LO$64,$CT88-1,AD$69-1)*AD149</f>
        <v>0</v>
      </c>
      <c r="AE88" s="1558">
        <f ca="1">OFFSET('2 Staff List'!$LO$64,$CT88-1,AE$69-1)*AE149</f>
        <v>0</v>
      </c>
      <c r="AF88" s="1601">
        <f ca="1">OFFSET('2 Staff List'!$LO$64,$CT88-1,AF$69-1)*AF149</f>
        <v>0</v>
      </c>
      <c r="AG88" s="1602">
        <f ca="1">OFFSET('2 Staff List'!$LO$64,$CT88-1,AG$69-1)*AG149</f>
        <v>0</v>
      </c>
      <c r="AH88" s="1558">
        <f ca="1">OFFSET('2 Staff List'!$LO$64,$CT88-1,AH$69-1)*AH149</f>
        <v>0</v>
      </c>
      <c r="AI88" s="1558">
        <f ca="1">OFFSET('2 Staff List'!$LO$64,$CT88-1,AI$69-1)*AI149</f>
        <v>0</v>
      </c>
      <c r="AJ88" s="1558">
        <f ca="1">OFFSET('2 Staff List'!$LO$64,$CT88-1,AJ$69-1)*AJ149</f>
        <v>0</v>
      </c>
      <c r="AK88" s="1558">
        <f ca="1">OFFSET('2 Staff List'!$LO$64,$CT88-1,AK$69-1)*AK149</f>
        <v>0</v>
      </c>
      <c r="AL88" s="1558">
        <f ca="1">OFFSET('2 Staff List'!$LO$64,$CT88-1,AL$69-1)*AL149</f>
        <v>0</v>
      </c>
      <c r="AM88" s="1558">
        <f ca="1">OFFSET('2 Staff List'!$LO$64,$CT88-1,AM$69-1)*AM149</f>
        <v>0</v>
      </c>
      <c r="AN88" s="1558">
        <f ca="1">OFFSET('2 Staff List'!$LO$64,$CT88-1,AN$69-1)*AN149</f>
        <v>0</v>
      </c>
      <c r="AO88" s="1558">
        <f ca="1">OFFSET('2 Staff List'!$LO$64,$CT88-1,AO$69-1)*AO149</f>
        <v>0</v>
      </c>
      <c r="AP88" s="1601">
        <f ca="1">OFFSET('2 Staff List'!$LO$64,$CT88-1,AP$69-1)*AP149</f>
        <v>0</v>
      </c>
      <c r="AQ88" s="1602">
        <f ca="1">OFFSET('2 Staff List'!$LO$64,$CT88-1,AQ$69-1)*AQ149</f>
        <v>0</v>
      </c>
      <c r="AR88" s="1558">
        <f ca="1">OFFSET('2 Staff List'!$LO$64,$CT88-1,AR$69-1)*AR149</f>
        <v>0</v>
      </c>
      <c r="AS88" s="1558">
        <f ca="1">OFFSET('2 Staff List'!$LO$64,$CT88-1,AS$69-1)*AS149</f>
        <v>0</v>
      </c>
      <c r="AT88" s="1558">
        <f ca="1">OFFSET('2 Staff List'!$LO$64,$CT88-1,AT$69-1)*AT149</f>
        <v>0</v>
      </c>
      <c r="AU88" s="1558">
        <f ca="1">OFFSET('2 Staff List'!$LO$64,$CT88-1,AU$69-1)*AU149</f>
        <v>0</v>
      </c>
      <c r="AV88" s="1558">
        <f ca="1">OFFSET('2 Staff List'!$LO$64,$CT88-1,AV$69-1)*AV149</f>
        <v>0</v>
      </c>
      <c r="AW88" s="1558">
        <f ca="1">OFFSET('2 Staff List'!$LO$64,$CT88-1,AW$69-1)*AW149</f>
        <v>0</v>
      </c>
      <c r="AX88" s="1558">
        <f ca="1">OFFSET('2 Staff List'!$LO$64,$CT88-1,AX$69-1)*AX149</f>
        <v>0</v>
      </c>
      <c r="AY88" s="1558">
        <f ca="1">OFFSET('2 Staff List'!$LO$64,$CT88-1,AY$69-1)*AY149</f>
        <v>0</v>
      </c>
      <c r="AZ88" s="1601">
        <f ca="1">OFFSET('2 Staff List'!$LO$64,$CT88-1,AZ$69-1)*AZ149</f>
        <v>0</v>
      </c>
      <c r="BA88" s="1602">
        <f ca="1">OFFSET('2 Staff List'!$LO$64,$CT88-1,BA$69-1)*BA149</f>
        <v>0</v>
      </c>
      <c r="BB88" s="1558">
        <f ca="1">OFFSET('2 Staff List'!$LO$64,$CT88-1,BB$69-1)*BB149</f>
        <v>0</v>
      </c>
      <c r="BC88" s="1558">
        <f ca="1">OFFSET('2 Staff List'!$LO$64,$CT88-1,BC$69-1)*BC149</f>
        <v>0</v>
      </c>
      <c r="BD88" s="1558">
        <f ca="1">OFFSET('2 Staff List'!$LO$64,$CT88-1,BD$69-1)*BD149</f>
        <v>0</v>
      </c>
      <c r="BE88" s="1558">
        <f ca="1">OFFSET('2 Staff List'!$LO$64,$CT88-1,BE$69-1)*BE149</f>
        <v>0</v>
      </c>
      <c r="BF88" s="1558">
        <f ca="1">OFFSET('2 Staff List'!$LO$64,$CT88-1,BF$69-1)*BF149</f>
        <v>0</v>
      </c>
      <c r="BG88" s="1558">
        <f ca="1">OFFSET('2 Staff List'!$LO$64,$CT88-1,BG$69-1)*BG149</f>
        <v>0</v>
      </c>
      <c r="BH88" s="1558">
        <f ca="1">OFFSET('2 Staff List'!$LO$64,$CT88-1,BH$69-1)*BH149</f>
        <v>0</v>
      </c>
      <c r="BI88" s="1558">
        <f ca="1">OFFSET('2 Staff List'!$LO$64,$CT88-1,BI$69-1)*BI149</f>
        <v>0</v>
      </c>
      <c r="BJ88" s="1601">
        <f ca="1">OFFSET('2 Staff List'!$LO$64,$CT88-1,BJ$69-1)*BJ149</f>
        <v>0</v>
      </c>
      <c r="BK88" s="1602">
        <f ca="1">OFFSET('2 Staff List'!$LO$64,$CT88-1,BK$69-1)*BK149</f>
        <v>0</v>
      </c>
      <c r="BL88" s="1558">
        <f ca="1">OFFSET('2 Staff List'!$LO$64,$CT88-1,BL$69-1)*BL149</f>
        <v>0</v>
      </c>
      <c r="BM88" s="1558">
        <f ca="1">OFFSET('2 Staff List'!$LO$64,$CT88-1,BM$69-1)*BM149</f>
        <v>0</v>
      </c>
      <c r="BN88" s="1558">
        <f ca="1">OFFSET('2 Staff List'!$LO$64,$CT88-1,BN$69-1)*BN149</f>
        <v>0</v>
      </c>
      <c r="BO88" s="1558">
        <f ca="1">OFFSET('2 Staff List'!$LO$64,$CT88-1,BO$69-1)*BO149</f>
        <v>0</v>
      </c>
      <c r="BP88" s="1558">
        <f ca="1">OFFSET('2 Staff List'!$LO$64,$CT88-1,BP$69-1)*BP149</f>
        <v>0</v>
      </c>
      <c r="BQ88" s="1558">
        <f ca="1">OFFSET('2 Staff List'!$LO$64,$CT88-1,BQ$69-1)*BQ149</f>
        <v>0</v>
      </c>
      <c r="BR88" s="1558">
        <f ca="1">OFFSET('2 Staff List'!$LO$64,$CT88-1,BR$69-1)*BR149</f>
        <v>0</v>
      </c>
      <c r="BS88" s="1558">
        <f ca="1">OFFSET('2 Staff List'!$LO$64,$CT88-1,BS$69-1)*BS149</f>
        <v>0</v>
      </c>
      <c r="BT88" s="1558">
        <f ca="1">OFFSET('2 Staff List'!$LO$64,$CT88-1,BT$69-1)*BT149</f>
        <v>0</v>
      </c>
      <c r="BU88" s="295"/>
      <c r="BV88" s="295"/>
      <c r="BW88" s="295"/>
      <c r="BX88" s="295"/>
      <c r="BY88" s="295"/>
      <c r="BZ88" s="295"/>
      <c r="CA88" s="1024">
        <f ca="1">SUMIFS('3a Staff Plan'!$X$129:$X$305,'3a Staff Plan'!$DY$129:$DY$305,CZ88,'3a Staff Plan'!$DF$129:$DF$305,1,'3a Staff Plan'!$AG$129:$AG$305,1)</f>
        <v>0</v>
      </c>
      <c r="CB88" s="1025">
        <f ca="1">SUMIFS('3a Staff Plan'!$X$129:$X$305,'3a Staff Plan'!$DY$129:$DY$305,$CZ88,'3a Staff Plan'!$DF$129:$DF$305,1,'3a Staff Plan'!$AG$129:$AG$305,1,'3a Staff Plan'!$C$129:$C$305,DC$18)</f>
        <v>0</v>
      </c>
      <c r="CC88" s="1026">
        <f ca="1">SUMIFS('3a Staff Plan'!$X$129:$X$305,'3a Staff Plan'!$DY$129:$DY$305,$CZ88,'3a Staff Plan'!$DF$129:$DF$305,1,'3a Staff Plan'!$AG$129:$AG$305,1,'3a Staff Plan'!$C$129:$C$305,DD$18)</f>
        <v>0</v>
      </c>
      <c r="CD88" s="1026">
        <f ca="1">SUMIFS('3a Staff Plan'!$X$129:$X$305,'3a Staff Plan'!$DY$129:$DY$305,$CZ88,'3a Staff Plan'!$DF$129:$DF$305,1,'3a Staff Plan'!$AG$129:$AG$305,1,'3a Staff Plan'!$C$129:$C$305,DE$18)</f>
        <v>0</v>
      </c>
      <c r="CE88" s="1026">
        <f ca="1">SUMIFS('3a Staff Plan'!$X$129:$X$305,'3a Staff Plan'!$DY$129:$DY$305,$CZ88,'3a Staff Plan'!$DF$129:$DF$305,1,'3a Staff Plan'!$AG$129:$AG$305,1,'3a Staff Plan'!$C$129:$C$305,DF$18)</f>
        <v>0</v>
      </c>
      <c r="CF88" s="1026">
        <f ca="1">SUMIFS('3a Staff Plan'!$X$129:$X$305,'3a Staff Plan'!$DY$129:$DY$305,$CZ88,'3a Staff Plan'!$DF$129:$DF$305,1,'3a Staff Plan'!$AG$129:$AG$305,1,'3a Staff Plan'!$C$129:$C$305,DG$18)</f>
        <v>0</v>
      </c>
      <c r="CG88" s="1026">
        <f ca="1">SUMIFS('3a Staff Plan'!$X$129:$X$305,'3a Staff Plan'!$DY$129:$DY$305,$CZ88,'3a Staff Plan'!$DF$129:$DF$305,1,'3a Staff Plan'!$AG$129:$AG$305,1,'3a Staff Plan'!$C$129:$C$305,DH$18)</f>
        <v>0</v>
      </c>
      <c r="CH88" s="1026">
        <f ca="1">SUMIFS('3a Staff Plan'!$X$129:$X$305,'3a Staff Plan'!$DY$129:$DY$305,$CZ88,'3a Staff Plan'!$DF$129:$DF$305,1,'3a Staff Plan'!$AG$129:$AG$305,1,'3a Staff Plan'!$C$129:$C$305,DI$18)</f>
        <v>0</v>
      </c>
      <c r="CI88" s="755"/>
      <c r="CJ88" s="1024">
        <f ca="1">SUMPRODUCT(OFFSET('3b Activity Plan'!$DJ$67:$DJ$76,0,$CU88-1),OFFSET('3b Activity Plan'!$DJ$78:$DJ$87,0,CU88-1))</f>
        <v>0</v>
      </c>
      <c r="CK88" s="1025">
        <f t="shared" ca="1" si="43"/>
        <v>0</v>
      </c>
      <c r="CL88" s="1026">
        <f t="shared" ca="1" si="44"/>
        <v>0</v>
      </c>
      <c r="CM88" s="1026">
        <f t="shared" ca="1" si="45"/>
        <v>0</v>
      </c>
      <c r="CN88" s="1026">
        <f t="shared" ca="1" si="46"/>
        <v>0</v>
      </c>
      <c r="CO88" s="1026">
        <f t="shared" ca="1" si="47"/>
        <v>0</v>
      </c>
      <c r="CP88" s="1026">
        <f t="shared" ca="1" si="48"/>
        <v>0</v>
      </c>
      <c r="CQ88" s="1026">
        <f t="shared" ca="1" si="49"/>
        <v>0</v>
      </c>
      <c r="CR88" s="417"/>
      <c r="CS88" s="417">
        <f t="shared" si="50"/>
        <v>17</v>
      </c>
      <c r="CT88" s="417">
        <f ca="1">OFFSET('2 Staff List'!$GU$64,CS88-1,0)</f>
        <v>17</v>
      </c>
      <c r="CU88" s="417">
        <f ca="1">IF(CZ88=0,0,IFERROR(INDEX('3b Activity Plan'!$DJ$20:$FH$20,MATCH(CT88,'3b Activity Plan'!$DJ$171:$FH$171,0)),0))</f>
        <v>0</v>
      </c>
      <c r="CV88" s="417">
        <f ca="1">INDEX('2 Staff List'!$HW$64:$HW$114,CT88)</f>
        <v>0</v>
      </c>
      <c r="CW88" s="417"/>
      <c r="CY88" s="927">
        <f ca="1">OFFSET('2 Staff List'!$HZ$64,CS88-1,0)</f>
        <v>0</v>
      </c>
      <c r="CZ88" s="975">
        <f ca="1">OFFSET('2 Staff List'!$IA$64,CT88-1,0)</f>
        <v>0</v>
      </c>
      <c r="DA88" s="3845">
        <f t="shared" ca="1" si="51"/>
        <v>0</v>
      </c>
      <c r="DB88" s="3846"/>
      <c r="DC88" s="2408">
        <f t="shared" ca="1" si="52"/>
        <v>0</v>
      </c>
      <c r="DD88" s="2401">
        <f t="shared" ca="1" si="53"/>
        <v>0</v>
      </c>
      <c r="DE88" s="2401">
        <f t="shared" ca="1" si="54"/>
        <v>0</v>
      </c>
      <c r="DF88" s="2405">
        <f t="shared" ca="1" si="55"/>
        <v>0</v>
      </c>
      <c r="DG88" s="2405">
        <f t="shared" ca="1" si="56"/>
        <v>0</v>
      </c>
      <c r="DH88" s="2406">
        <f t="shared" ca="1" si="57"/>
        <v>0</v>
      </c>
      <c r="DI88" s="2407">
        <f t="shared" ca="1" si="58"/>
        <v>0</v>
      </c>
    </row>
    <row r="89" spans="1:113" ht="15.9" customHeight="1" x14ac:dyDescent="0.25">
      <c r="A89" s="295"/>
      <c r="B89" s="295"/>
      <c r="C89" s="1558">
        <f ca="1">OFFSET('2 Staff List'!$LO$64,$CT89-1,C$69-1)*C150</f>
        <v>0</v>
      </c>
      <c r="D89" s="1558">
        <f ca="1">OFFSET('2 Staff List'!$LO$64,$CT89-1,D$69-1)*D150</f>
        <v>0</v>
      </c>
      <c r="E89" s="1558">
        <f ca="1">OFFSET('2 Staff List'!$LO$64,$CT89-1,E$69-1)*E150</f>
        <v>0</v>
      </c>
      <c r="F89" s="1558">
        <f ca="1">OFFSET('2 Staff List'!$LO$64,$CT89-1,F$69-1)*F150</f>
        <v>0</v>
      </c>
      <c r="G89" s="1558">
        <f ca="1">OFFSET('2 Staff List'!$LO$64,$CT89-1,G$69-1)*G150</f>
        <v>0</v>
      </c>
      <c r="H89" s="1558">
        <f ca="1">OFFSET('2 Staff List'!$LO$64,$CT89-1,H$69-1)*H150</f>
        <v>0</v>
      </c>
      <c r="I89" s="1558">
        <f ca="1">OFFSET('2 Staff List'!$LO$64,$CT89-1,I$69-1)*I150</f>
        <v>0</v>
      </c>
      <c r="J89" s="1558">
        <f ca="1">OFFSET('2 Staff List'!$LO$64,$CT89-1,J$69-1)*J150</f>
        <v>0</v>
      </c>
      <c r="K89" s="1558">
        <f ca="1">OFFSET('2 Staff List'!$LO$64,$CT89-1,K$69-1)*K150</f>
        <v>0</v>
      </c>
      <c r="L89" s="1601">
        <f ca="1">OFFSET('2 Staff List'!$LO$64,$CT89-1,L$69-1)*L150</f>
        <v>0</v>
      </c>
      <c r="M89" s="1602">
        <f ca="1">OFFSET('2 Staff List'!$LO$64,$CT89-1,M$69-1)*M150</f>
        <v>0</v>
      </c>
      <c r="N89" s="1558">
        <f ca="1">OFFSET('2 Staff List'!$LO$64,$CT89-1,N$69-1)*N150</f>
        <v>0</v>
      </c>
      <c r="O89" s="1558">
        <f ca="1">OFFSET('2 Staff List'!$LO$64,$CT89-1,O$69-1)*O150</f>
        <v>0</v>
      </c>
      <c r="P89" s="1558">
        <f ca="1">OFFSET('2 Staff List'!$LO$64,$CT89-1,P$69-1)*P150</f>
        <v>0</v>
      </c>
      <c r="Q89" s="1558">
        <f ca="1">OFFSET('2 Staff List'!$LO$64,$CT89-1,Q$69-1)*Q150</f>
        <v>0</v>
      </c>
      <c r="R89" s="1558">
        <f ca="1">OFFSET('2 Staff List'!$LO$64,$CT89-1,R$69-1)*R150</f>
        <v>0</v>
      </c>
      <c r="S89" s="1558">
        <f ca="1">OFFSET('2 Staff List'!$LO$64,$CT89-1,S$69-1)*S150</f>
        <v>0</v>
      </c>
      <c r="T89" s="1558">
        <f ca="1">OFFSET('2 Staff List'!$LO$64,$CT89-1,T$69-1)*T150</f>
        <v>0</v>
      </c>
      <c r="U89" s="1558">
        <f ca="1">OFFSET('2 Staff List'!$LO$64,$CT89-1,U$69-1)*U150</f>
        <v>0</v>
      </c>
      <c r="V89" s="1601">
        <f ca="1">OFFSET('2 Staff List'!$LO$64,$CT89-1,V$69-1)*V150</f>
        <v>0</v>
      </c>
      <c r="W89" s="1602">
        <f ca="1">OFFSET('2 Staff List'!$LO$64,$CT89-1,W$69-1)*W150</f>
        <v>0</v>
      </c>
      <c r="X89" s="1558">
        <f ca="1">OFFSET('2 Staff List'!$LO$64,$CT89-1,X$69-1)*X150</f>
        <v>0</v>
      </c>
      <c r="Y89" s="1558">
        <f ca="1">OFFSET('2 Staff List'!$LO$64,$CT89-1,Y$69-1)*Y150</f>
        <v>0</v>
      </c>
      <c r="Z89" s="1558">
        <f ca="1">OFFSET('2 Staff List'!$LO$64,$CT89-1,Z$69-1)*Z150</f>
        <v>0</v>
      </c>
      <c r="AA89" s="1558">
        <f ca="1">OFFSET('2 Staff List'!$LO$64,$CT89-1,AA$69-1)*AA150</f>
        <v>0</v>
      </c>
      <c r="AB89" s="1558">
        <f ca="1">OFFSET('2 Staff List'!$LO$64,$CT89-1,AB$69-1)*AB150</f>
        <v>0</v>
      </c>
      <c r="AC89" s="1558">
        <f ca="1">OFFSET('2 Staff List'!$LO$64,$CT89-1,AC$69-1)*AC150</f>
        <v>0</v>
      </c>
      <c r="AD89" s="1558">
        <f ca="1">OFFSET('2 Staff List'!$LO$64,$CT89-1,AD$69-1)*AD150</f>
        <v>0</v>
      </c>
      <c r="AE89" s="1558">
        <f ca="1">OFFSET('2 Staff List'!$LO$64,$CT89-1,AE$69-1)*AE150</f>
        <v>0</v>
      </c>
      <c r="AF89" s="1601">
        <f ca="1">OFFSET('2 Staff List'!$LO$64,$CT89-1,AF$69-1)*AF150</f>
        <v>0</v>
      </c>
      <c r="AG89" s="1602">
        <f ca="1">OFFSET('2 Staff List'!$LO$64,$CT89-1,AG$69-1)*AG150</f>
        <v>0</v>
      </c>
      <c r="AH89" s="1558">
        <f ca="1">OFFSET('2 Staff List'!$LO$64,$CT89-1,AH$69-1)*AH150</f>
        <v>0</v>
      </c>
      <c r="AI89" s="1558">
        <f ca="1">OFFSET('2 Staff List'!$LO$64,$CT89-1,AI$69-1)*AI150</f>
        <v>0</v>
      </c>
      <c r="AJ89" s="1558">
        <f ca="1">OFFSET('2 Staff List'!$LO$64,$CT89-1,AJ$69-1)*AJ150</f>
        <v>0</v>
      </c>
      <c r="AK89" s="1558">
        <f ca="1">OFFSET('2 Staff List'!$LO$64,$CT89-1,AK$69-1)*AK150</f>
        <v>0</v>
      </c>
      <c r="AL89" s="1558">
        <f ca="1">OFFSET('2 Staff List'!$LO$64,$CT89-1,AL$69-1)*AL150</f>
        <v>0</v>
      </c>
      <c r="AM89" s="1558">
        <f ca="1">OFFSET('2 Staff List'!$LO$64,$CT89-1,AM$69-1)*AM150</f>
        <v>0</v>
      </c>
      <c r="AN89" s="1558">
        <f ca="1">OFFSET('2 Staff List'!$LO$64,$CT89-1,AN$69-1)*AN150</f>
        <v>0</v>
      </c>
      <c r="AO89" s="1558">
        <f ca="1">OFFSET('2 Staff List'!$LO$64,$CT89-1,AO$69-1)*AO150</f>
        <v>0</v>
      </c>
      <c r="AP89" s="1601">
        <f ca="1">OFFSET('2 Staff List'!$LO$64,$CT89-1,AP$69-1)*AP150</f>
        <v>0</v>
      </c>
      <c r="AQ89" s="1602">
        <f ca="1">OFFSET('2 Staff List'!$LO$64,$CT89-1,AQ$69-1)*AQ150</f>
        <v>0</v>
      </c>
      <c r="AR89" s="1558">
        <f ca="1">OFFSET('2 Staff List'!$LO$64,$CT89-1,AR$69-1)*AR150</f>
        <v>0</v>
      </c>
      <c r="AS89" s="1558">
        <f ca="1">OFFSET('2 Staff List'!$LO$64,$CT89-1,AS$69-1)*AS150</f>
        <v>0</v>
      </c>
      <c r="AT89" s="1558">
        <f ca="1">OFFSET('2 Staff List'!$LO$64,$CT89-1,AT$69-1)*AT150</f>
        <v>0</v>
      </c>
      <c r="AU89" s="1558">
        <f ca="1">OFFSET('2 Staff List'!$LO$64,$CT89-1,AU$69-1)*AU150</f>
        <v>0</v>
      </c>
      <c r="AV89" s="1558">
        <f ca="1">OFFSET('2 Staff List'!$LO$64,$CT89-1,AV$69-1)*AV150</f>
        <v>0</v>
      </c>
      <c r="AW89" s="1558">
        <f ca="1">OFFSET('2 Staff List'!$LO$64,$CT89-1,AW$69-1)*AW150</f>
        <v>0</v>
      </c>
      <c r="AX89" s="1558">
        <f ca="1">OFFSET('2 Staff List'!$LO$64,$CT89-1,AX$69-1)*AX150</f>
        <v>0</v>
      </c>
      <c r="AY89" s="1558">
        <f ca="1">OFFSET('2 Staff List'!$LO$64,$CT89-1,AY$69-1)*AY150</f>
        <v>0</v>
      </c>
      <c r="AZ89" s="1601">
        <f ca="1">OFFSET('2 Staff List'!$LO$64,$CT89-1,AZ$69-1)*AZ150</f>
        <v>0</v>
      </c>
      <c r="BA89" s="1602">
        <f ca="1">OFFSET('2 Staff List'!$LO$64,$CT89-1,BA$69-1)*BA150</f>
        <v>0</v>
      </c>
      <c r="BB89" s="1558">
        <f ca="1">OFFSET('2 Staff List'!$LO$64,$CT89-1,BB$69-1)*BB150</f>
        <v>0</v>
      </c>
      <c r="BC89" s="1558">
        <f ca="1">OFFSET('2 Staff List'!$LO$64,$CT89-1,BC$69-1)*BC150</f>
        <v>0</v>
      </c>
      <c r="BD89" s="1558">
        <f ca="1">OFFSET('2 Staff List'!$LO$64,$CT89-1,BD$69-1)*BD150</f>
        <v>0</v>
      </c>
      <c r="BE89" s="1558">
        <f ca="1">OFFSET('2 Staff List'!$LO$64,$CT89-1,BE$69-1)*BE150</f>
        <v>0</v>
      </c>
      <c r="BF89" s="1558">
        <f ca="1">OFFSET('2 Staff List'!$LO$64,$CT89-1,BF$69-1)*BF150</f>
        <v>0</v>
      </c>
      <c r="BG89" s="1558">
        <f ca="1">OFFSET('2 Staff List'!$LO$64,$CT89-1,BG$69-1)*BG150</f>
        <v>0</v>
      </c>
      <c r="BH89" s="1558">
        <f ca="1">OFFSET('2 Staff List'!$LO$64,$CT89-1,BH$69-1)*BH150</f>
        <v>0</v>
      </c>
      <c r="BI89" s="1558">
        <f ca="1">OFFSET('2 Staff List'!$LO$64,$CT89-1,BI$69-1)*BI150</f>
        <v>0</v>
      </c>
      <c r="BJ89" s="1601">
        <f ca="1">OFFSET('2 Staff List'!$LO$64,$CT89-1,BJ$69-1)*BJ150</f>
        <v>0</v>
      </c>
      <c r="BK89" s="1602">
        <f ca="1">OFFSET('2 Staff List'!$LO$64,$CT89-1,BK$69-1)*BK150</f>
        <v>0</v>
      </c>
      <c r="BL89" s="1558">
        <f ca="1">OFFSET('2 Staff List'!$LO$64,$CT89-1,BL$69-1)*BL150</f>
        <v>0</v>
      </c>
      <c r="BM89" s="1558">
        <f ca="1">OFFSET('2 Staff List'!$LO$64,$CT89-1,BM$69-1)*BM150</f>
        <v>0</v>
      </c>
      <c r="BN89" s="1558">
        <f ca="1">OFFSET('2 Staff List'!$LO$64,$CT89-1,BN$69-1)*BN150</f>
        <v>0</v>
      </c>
      <c r="BO89" s="1558">
        <f ca="1">OFFSET('2 Staff List'!$LO$64,$CT89-1,BO$69-1)*BO150</f>
        <v>0</v>
      </c>
      <c r="BP89" s="1558">
        <f ca="1">OFFSET('2 Staff List'!$LO$64,$CT89-1,BP$69-1)*BP150</f>
        <v>0</v>
      </c>
      <c r="BQ89" s="1558">
        <f ca="1">OFFSET('2 Staff List'!$LO$64,$CT89-1,BQ$69-1)*BQ150</f>
        <v>0</v>
      </c>
      <c r="BR89" s="1558">
        <f ca="1">OFFSET('2 Staff List'!$LO$64,$CT89-1,BR$69-1)*BR150</f>
        <v>0</v>
      </c>
      <c r="BS89" s="1558">
        <f ca="1">OFFSET('2 Staff List'!$LO$64,$CT89-1,BS$69-1)*BS150</f>
        <v>0</v>
      </c>
      <c r="BT89" s="1558">
        <f ca="1">OFFSET('2 Staff List'!$LO$64,$CT89-1,BT$69-1)*BT150</f>
        <v>0</v>
      </c>
      <c r="BU89" s="295"/>
      <c r="BV89" s="295"/>
      <c r="BW89" s="295"/>
      <c r="BX89" s="295"/>
      <c r="BY89" s="295"/>
      <c r="BZ89" s="295"/>
      <c r="CA89" s="1024">
        <f ca="1">SUMIFS('3a Staff Plan'!$X$129:$X$305,'3a Staff Plan'!$DY$129:$DY$305,CZ89,'3a Staff Plan'!$DF$129:$DF$305,1,'3a Staff Plan'!$AG$129:$AG$305,1)</f>
        <v>0</v>
      </c>
      <c r="CB89" s="1025">
        <f ca="1">SUMIFS('3a Staff Plan'!$X$129:$X$305,'3a Staff Plan'!$DY$129:$DY$305,$CZ89,'3a Staff Plan'!$DF$129:$DF$305,1,'3a Staff Plan'!$AG$129:$AG$305,1,'3a Staff Plan'!$C$129:$C$305,DC$18)</f>
        <v>0</v>
      </c>
      <c r="CC89" s="1026">
        <f ca="1">SUMIFS('3a Staff Plan'!$X$129:$X$305,'3a Staff Plan'!$DY$129:$DY$305,$CZ89,'3a Staff Plan'!$DF$129:$DF$305,1,'3a Staff Plan'!$AG$129:$AG$305,1,'3a Staff Plan'!$C$129:$C$305,DD$18)</f>
        <v>0</v>
      </c>
      <c r="CD89" s="1026">
        <f ca="1">SUMIFS('3a Staff Plan'!$X$129:$X$305,'3a Staff Plan'!$DY$129:$DY$305,$CZ89,'3a Staff Plan'!$DF$129:$DF$305,1,'3a Staff Plan'!$AG$129:$AG$305,1,'3a Staff Plan'!$C$129:$C$305,DE$18)</f>
        <v>0</v>
      </c>
      <c r="CE89" s="1026">
        <f ca="1">SUMIFS('3a Staff Plan'!$X$129:$X$305,'3a Staff Plan'!$DY$129:$DY$305,$CZ89,'3a Staff Plan'!$DF$129:$DF$305,1,'3a Staff Plan'!$AG$129:$AG$305,1,'3a Staff Plan'!$C$129:$C$305,DF$18)</f>
        <v>0</v>
      </c>
      <c r="CF89" s="1026">
        <f ca="1">SUMIFS('3a Staff Plan'!$X$129:$X$305,'3a Staff Plan'!$DY$129:$DY$305,$CZ89,'3a Staff Plan'!$DF$129:$DF$305,1,'3a Staff Plan'!$AG$129:$AG$305,1,'3a Staff Plan'!$C$129:$C$305,DG$18)</f>
        <v>0</v>
      </c>
      <c r="CG89" s="1026">
        <f ca="1">SUMIFS('3a Staff Plan'!$X$129:$X$305,'3a Staff Plan'!$DY$129:$DY$305,$CZ89,'3a Staff Plan'!$DF$129:$DF$305,1,'3a Staff Plan'!$AG$129:$AG$305,1,'3a Staff Plan'!$C$129:$C$305,DH$18)</f>
        <v>0</v>
      </c>
      <c r="CH89" s="1026">
        <f ca="1">SUMIFS('3a Staff Plan'!$X$129:$X$305,'3a Staff Plan'!$DY$129:$DY$305,$CZ89,'3a Staff Plan'!$DF$129:$DF$305,1,'3a Staff Plan'!$AG$129:$AG$305,1,'3a Staff Plan'!$C$129:$C$305,DI$18)</f>
        <v>0</v>
      </c>
      <c r="CI89" s="755"/>
      <c r="CJ89" s="1024">
        <f ca="1">SUMPRODUCT(OFFSET('3b Activity Plan'!$DJ$67:$DJ$76,0,$CU89-1),OFFSET('3b Activity Plan'!$DJ$78:$DJ$87,0,CU89-1))</f>
        <v>0</v>
      </c>
      <c r="CK89" s="1025">
        <f t="shared" ca="1" si="43"/>
        <v>0</v>
      </c>
      <c r="CL89" s="1026">
        <f t="shared" ca="1" si="44"/>
        <v>0</v>
      </c>
      <c r="CM89" s="1026">
        <f t="shared" ca="1" si="45"/>
        <v>0</v>
      </c>
      <c r="CN89" s="1026">
        <f t="shared" ca="1" si="46"/>
        <v>0</v>
      </c>
      <c r="CO89" s="1026">
        <f t="shared" ca="1" si="47"/>
        <v>0</v>
      </c>
      <c r="CP89" s="1026">
        <f t="shared" ca="1" si="48"/>
        <v>0</v>
      </c>
      <c r="CQ89" s="1026">
        <f t="shared" ca="1" si="49"/>
        <v>0</v>
      </c>
      <c r="CR89" s="417"/>
      <c r="CS89" s="417">
        <f t="shared" si="50"/>
        <v>18</v>
      </c>
      <c r="CT89" s="417">
        <f ca="1">OFFSET('2 Staff List'!$GU$64,CS89-1,0)</f>
        <v>18</v>
      </c>
      <c r="CU89" s="417">
        <f ca="1">IF(CZ89=0,0,IFERROR(INDEX('3b Activity Plan'!$DJ$20:$FH$20,MATCH(CT89,'3b Activity Plan'!$DJ$171:$FH$171,0)),0))</f>
        <v>0</v>
      </c>
      <c r="CV89" s="417">
        <f ca="1">INDEX('2 Staff List'!$HW$64:$HW$114,CT89)</f>
        <v>0</v>
      </c>
      <c r="CW89" s="417"/>
      <c r="CY89" s="927">
        <f ca="1">OFFSET('2 Staff List'!$HZ$64,CS89-1,0)</f>
        <v>0</v>
      </c>
      <c r="CZ89" s="975">
        <f ca="1">OFFSET('2 Staff List'!$IA$64,CT89-1,0)</f>
        <v>0</v>
      </c>
      <c r="DA89" s="3845">
        <f t="shared" ca="1" si="51"/>
        <v>0</v>
      </c>
      <c r="DB89" s="3846"/>
      <c r="DC89" s="2408">
        <f t="shared" ca="1" si="52"/>
        <v>0</v>
      </c>
      <c r="DD89" s="2405">
        <f t="shared" ca="1" si="53"/>
        <v>0</v>
      </c>
      <c r="DE89" s="2401">
        <f t="shared" ca="1" si="54"/>
        <v>0</v>
      </c>
      <c r="DF89" s="2405">
        <f t="shared" ca="1" si="55"/>
        <v>0</v>
      </c>
      <c r="DG89" s="2405">
        <f t="shared" ca="1" si="56"/>
        <v>0</v>
      </c>
      <c r="DH89" s="2406">
        <f t="shared" ca="1" si="57"/>
        <v>0</v>
      </c>
      <c r="DI89" s="2407">
        <f t="shared" ca="1" si="58"/>
        <v>0</v>
      </c>
    </row>
    <row r="90" spans="1:113" ht="15.9" customHeight="1" x14ac:dyDescent="0.25">
      <c r="A90" s="295"/>
      <c r="B90" s="295"/>
      <c r="C90" s="1558">
        <f ca="1">OFFSET('2 Staff List'!$LO$64,$CT90-1,C$69-1)*C151</f>
        <v>0</v>
      </c>
      <c r="D90" s="1558">
        <f ca="1">OFFSET('2 Staff List'!$LO$64,$CT90-1,D$69-1)*D151</f>
        <v>0</v>
      </c>
      <c r="E90" s="1558">
        <f ca="1">OFFSET('2 Staff List'!$LO$64,$CT90-1,E$69-1)*E151</f>
        <v>0</v>
      </c>
      <c r="F90" s="1558">
        <f ca="1">OFFSET('2 Staff List'!$LO$64,$CT90-1,F$69-1)*F151</f>
        <v>0</v>
      </c>
      <c r="G90" s="1558">
        <f ca="1">OFFSET('2 Staff List'!$LO$64,$CT90-1,G$69-1)*G151</f>
        <v>0</v>
      </c>
      <c r="H90" s="1558">
        <f ca="1">OFFSET('2 Staff List'!$LO$64,$CT90-1,H$69-1)*H151</f>
        <v>0</v>
      </c>
      <c r="I90" s="1558">
        <f ca="1">OFFSET('2 Staff List'!$LO$64,$CT90-1,I$69-1)*I151</f>
        <v>0</v>
      </c>
      <c r="J90" s="1558">
        <f ca="1">OFFSET('2 Staff List'!$LO$64,$CT90-1,J$69-1)*J151</f>
        <v>0</v>
      </c>
      <c r="K90" s="1558">
        <f ca="1">OFFSET('2 Staff List'!$LO$64,$CT90-1,K$69-1)*K151</f>
        <v>0</v>
      </c>
      <c r="L90" s="1601">
        <f ca="1">OFFSET('2 Staff List'!$LO$64,$CT90-1,L$69-1)*L151</f>
        <v>0</v>
      </c>
      <c r="M90" s="1602">
        <f ca="1">OFFSET('2 Staff List'!$LO$64,$CT90-1,M$69-1)*M151</f>
        <v>0</v>
      </c>
      <c r="N90" s="1558">
        <f ca="1">OFFSET('2 Staff List'!$LO$64,$CT90-1,N$69-1)*N151</f>
        <v>0</v>
      </c>
      <c r="O90" s="1558">
        <f ca="1">OFFSET('2 Staff List'!$LO$64,$CT90-1,O$69-1)*O151</f>
        <v>0</v>
      </c>
      <c r="P90" s="1558">
        <f ca="1">OFFSET('2 Staff List'!$LO$64,$CT90-1,P$69-1)*P151</f>
        <v>0</v>
      </c>
      <c r="Q90" s="1558">
        <f ca="1">OFFSET('2 Staff List'!$LO$64,$CT90-1,Q$69-1)*Q151</f>
        <v>0</v>
      </c>
      <c r="R90" s="1558">
        <f ca="1">OFFSET('2 Staff List'!$LO$64,$CT90-1,R$69-1)*R151</f>
        <v>0</v>
      </c>
      <c r="S90" s="1558">
        <f ca="1">OFFSET('2 Staff List'!$LO$64,$CT90-1,S$69-1)*S151</f>
        <v>0</v>
      </c>
      <c r="T90" s="1558">
        <f ca="1">OFFSET('2 Staff List'!$LO$64,$CT90-1,T$69-1)*T151</f>
        <v>0</v>
      </c>
      <c r="U90" s="1558">
        <f ca="1">OFFSET('2 Staff List'!$LO$64,$CT90-1,U$69-1)*U151</f>
        <v>0</v>
      </c>
      <c r="V90" s="1601">
        <f ca="1">OFFSET('2 Staff List'!$LO$64,$CT90-1,V$69-1)*V151</f>
        <v>0</v>
      </c>
      <c r="W90" s="1602">
        <f ca="1">OFFSET('2 Staff List'!$LO$64,$CT90-1,W$69-1)*W151</f>
        <v>0</v>
      </c>
      <c r="X90" s="1558">
        <f ca="1">OFFSET('2 Staff List'!$LO$64,$CT90-1,X$69-1)*X151</f>
        <v>0</v>
      </c>
      <c r="Y90" s="1558">
        <f ca="1">OFFSET('2 Staff List'!$LO$64,$CT90-1,Y$69-1)*Y151</f>
        <v>0</v>
      </c>
      <c r="Z90" s="1558">
        <f ca="1">OFFSET('2 Staff List'!$LO$64,$CT90-1,Z$69-1)*Z151</f>
        <v>0</v>
      </c>
      <c r="AA90" s="1558">
        <f ca="1">OFFSET('2 Staff List'!$LO$64,$CT90-1,AA$69-1)*AA151</f>
        <v>0</v>
      </c>
      <c r="AB90" s="1558">
        <f ca="1">OFFSET('2 Staff List'!$LO$64,$CT90-1,AB$69-1)*AB151</f>
        <v>0</v>
      </c>
      <c r="AC90" s="1558">
        <f ca="1">OFFSET('2 Staff List'!$LO$64,$CT90-1,AC$69-1)*AC151</f>
        <v>0</v>
      </c>
      <c r="AD90" s="1558">
        <f ca="1">OFFSET('2 Staff List'!$LO$64,$CT90-1,AD$69-1)*AD151</f>
        <v>0</v>
      </c>
      <c r="AE90" s="1558">
        <f ca="1">OFFSET('2 Staff List'!$LO$64,$CT90-1,AE$69-1)*AE151</f>
        <v>0</v>
      </c>
      <c r="AF90" s="1601">
        <f ca="1">OFFSET('2 Staff List'!$LO$64,$CT90-1,AF$69-1)*AF151</f>
        <v>0</v>
      </c>
      <c r="AG90" s="1602">
        <f ca="1">OFFSET('2 Staff List'!$LO$64,$CT90-1,AG$69-1)*AG151</f>
        <v>0</v>
      </c>
      <c r="AH90" s="1558">
        <f ca="1">OFFSET('2 Staff List'!$LO$64,$CT90-1,AH$69-1)*AH151</f>
        <v>0</v>
      </c>
      <c r="AI90" s="1558">
        <f ca="1">OFFSET('2 Staff List'!$LO$64,$CT90-1,AI$69-1)*AI151</f>
        <v>0</v>
      </c>
      <c r="AJ90" s="1558">
        <f ca="1">OFFSET('2 Staff List'!$LO$64,$CT90-1,AJ$69-1)*AJ151</f>
        <v>0</v>
      </c>
      <c r="AK90" s="1558">
        <f ca="1">OFFSET('2 Staff List'!$LO$64,$CT90-1,AK$69-1)*AK151</f>
        <v>0</v>
      </c>
      <c r="AL90" s="1558">
        <f ca="1">OFFSET('2 Staff List'!$LO$64,$CT90-1,AL$69-1)*AL151</f>
        <v>0</v>
      </c>
      <c r="AM90" s="1558">
        <f ca="1">OFFSET('2 Staff List'!$LO$64,$CT90-1,AM$69-1)*AM151</f>
        <v>0</v>
      </c>
      <c r="AN90" s="1558">
        <f ca="1">OFFSET('2 Staff List'!$LO$64,$CT90-1,AN$69-1)*AN151</f>
        <v>0</v>
      </c>
      <c r="AO90" s="1558">
        <f ca="1">OFFSET('2 Staff List'!$LO$64,$CT90-1,AO$69-1)*AO151</f>
        <v>0</v>
      </c>
      <c r="AP90" s="1601">
        <f ca="1">OFFSET('2 Staff List'!$LO$64,$CT90-1,AP$69-1)*AP151</f>
        <v>0</v>
      </c>
      <c r="AQ90" s="1602">
        <f ca="1">OFFSET('2 Staff List'!$LO$64,$CT90-1,AQ$69-1)*AQ151</f>
        <v>0</v>
      </c>
      <c r="AR90" s="1558">
        <f ca="1">OFFSET('2 Staff List'!$LO$64,$CT90-1,AR$69-1)*AR151</f>
        <v>0</v>
      </c>
      <c r="AS90" s="1558">
        <f ca="1">OFFSET('2 Staff List'!$LO$64,$CT90-1,AS$69-1)*AS151</f>
        <v>0</v>
      </c>
      <c r="AT90" s="1558">
        <f ca="1">OFFSET('2 Staff List'!$LO$64,$CT90-1,AT$69-1)*AT151</f>
        <v>0</v>
      </c>
      <c r="AU90" s="1558">
        <f ca="1">OFFSET('2 Staff List'!$LO$64,$CT90-1,AU$69-1)*AU151</f>
        <v>0</v>
      </c>
      <c r="AV90" s="1558">
        <f ca="1">OFFSET('2 Staff List'!$LO$64,$CT90-1,AV$69-1)*AV151</f>
        <v>0</v>
      </c>
      <c r="AW90" s="1558">
        <f ca="1">OFFSET('2 Staff List'!$LO$64,$CT90-1,AW$69-1)*AW151</f>
        <v>0</v>
      </c>
      <c r="AX90" s="1558">
        <f ca="1">OFFSET('2 Staff List'!$LO$64,$CT90-1,AX$69-1)*AX151</f>
        <v>0</v>
      </c>
      <c r="AY90" s="1558">
        <f ca="1">OFFSET('2 Staff List'!$LO$64,$CT90-1,AY$69-1)*AY151</f>
        <v>0</v>
      </c>
      <c r="AZ90" s="1601">
        <f ca="1">OFFSET('2 Staff List'!$LO$64,$CT90-1,AZ$69-1)*AZ151</f>
        <v>0</v>
      </c>
      <c r="BA90" s="1602">
        <f ca="1">OFFSET('2 Staff List'!$LO$64,$CT90-1,BA$69-1)*BA151</f>
        <v>0</v>
      </c>
      <c r="BB90" s="1558">
        <f ca="1">OFFSET('2 Staff List'!$LO$64,$CT90-1,BB$69-1)*BB151</f>
        <v>0</v>
      </c>
      <c r="BC90" s="1558">
        <f ca="1">OFFSET('2 Staff List'!$LO$64,$CT90-1,BC$69-1)*BC151</f>
        <v>0</v>
      </c>
      <c r="BD90" s="1558">
        <f ca="1">OFFSET('2 Staff List'!$LO$64,$CT90-1,BD$69-1)*BD151</f>
        <v>0</v>
      </c>
      <c r="BE90" s="1558">
        <f ca="1">OFFSET('2 Staff List'!$LO$64,$CT90-1,BE$69-1)*BE151</f>
        <v>0</v>
      </c>
      <c r="BF90" s="1558">
        <f ca="1">OFFSET('2 Staff List'!$LO$64,$CT90-1,BF$69-1)*BF151</f>
        <v>0</v>
      </c>
      <c r="BG90" s="1558">
        <f ca="1">OFFSET('2 Staff List'!$LO$64,$CT90-1,BG$69-1)*BG151</f>
        <v>0</v>
      </c>
      <c r="BH90" s="1558">
        <f ca="1">OFFSET('2 Staff List'!$LO$64,$CT90-1,BH$69-1)*BH151</f>
        <v>0</v>
      </c>
      <c r="BI90" s="1558">
        <f ca="1">OFFSET('2 Staff List'!$LO$64,$CT90-1,BI$69-1)*BI151</f>
        <v>0</v>
      </c>
      <c r="BJ90" s="1601">
        <f ca="1">OFFSET('2 Staff List'!$LO$64,$CT90-1,BJ$69-1)*BJ151</f>
        <v>0</v>
      </c>
      <c r="BK90" s="1602">
        <f ca="1">OFFSET('2 Staff List'!$LO$64,$CT90-1,BK$69-1)*BK151</f>
        <v>0</v>
      </c>
      <c r="BL90" s="1558">
        <f ca="1">OFFSET('2 Staff List'!$LO$64,$CT90-1,BL$69-1)*BL151</f>
        <v>0</v>
      </c>
      <c r="BM90" s="1558">
        <f ca="1">OFFSET('2 Staff List'!$LO$64,$CT90-1,BM$69-1)*BM151</f>
        <v>0</v>
      </c>
      <c r="BN90" s="1558">
        <f ca="1">OFFSET('2 Staff List'!$LO$64,$CT90-1,BN$69-1)*BN151</f>
        <v>0</v>
      </c>
      <c r="BO90" s="1558">
        <f ca="1">OFFSET('2 Staff List'!$LO$64,$CT90-1,BO$69-1)*BO151</f>
        <v>0</v>
      </c>
      <c r="BP90" s="1558">
        <f ca="1">OFFSET('2 Staff List'!$LO$64,$CT90-1,BP$69-1)*BP151</f>
        <v>0</v>
      </c>
      <c r="BQ90" s="1558">
        <f ca="1">OFFSET('2 Staff List'!$LO$64,$CT90-1,BQ$69-1)*BQ151</f>
        <v>0</v>
      </c>
      <c r="BR90" s="1558">
        <f ca="1">OFFSET('2 Staff List'!$LO$64,$CT90-1,BR$69-1)*BR151</f>
        <v>0</v>
      </c>
      <c r="BS90" s="1558">
        <f ca="1">OFFSET('2 Staff List'!$LO$64,$CT90-1,BS$69-1)*BS151</f>
        <v>0</v>
      </c>
      <c r="BT90" s="1558">
        <f ca="1">OFFSET('2 Staff List'!$LO$64,$CT90-1,BT$69-1)*BT151</f>
        <v>0</v>
      </c>
      <c r="BU90" s="295"/>
      <c r="BV90" s="295"/>
      <c r="BW90" s="295"/>
      <c r="BX90" s="295"/>
      <c r="BY90" s="295"/>
      <c r="BZ90" s="295"/>
      <c r="CA90" s="1024">
        <f ca="1">SUMIFS('3a Staff Plan'!$X$129:$X$305,'3a Staff Plan'!$DY$129:$DY$305,CZ90,'3a Staff Plan'!$DF$129:$DF$305,1,'3a Staff Plan'!$AG$129:$AG$305,1)</f>
        <v>0</v>
      </c>
      <c r="CB90" s="1025">
        <f ca="1">SUMIFS('3a Staff Plan'!$X$129:$X$305,'3a Staff Plan'!$DY$129:$DY$305,$CZ90,'3a Staff Plan'!$DF$129:$DF$305,1,'3a Staff Plan'!$AG$129:$AG$305,1,'3a Staff Plan'!$C$129:$C$305,DC$18)</f>
        <v>0</v>
      </c>
      <c r="CC90" s="1026">
        <f ca="1">SUMIFS('3a Staff Plan'!$X$129:$X$305,'3a Staff Plan'!$DY$129:$DY$305,$CZ90,'3a Staff Plan'!$DF$129:$DF$305,1,'3a Staff Plan'!$AG$129:$AG$305,1,'3a Staff Plan'!$C$129:$C$305,DD$18)</f>
        <v>0</v>
      </c>
      <c r="CD90" s="1026">
        <f ca="1">SUMIFS('3a Staff Plan'!$X$129:$X$305,'3a Staff Plan'!$DY$129:$DY$305,$CZ90,'3a Staff Plan'!$DF$129:$DF$305,1,'3a Staff Plan'!$AG$129:$AG$305,1,'3a Staff Plan'!$C$129:$C$305,DE$18)</f>
        <v>0</v>
      </c>
      <c r="CE90" s="1026">
        <f ca="1">SUMIFS('3a Staff Plan'!$X$129:$X$305,'3a Staff Plan'!$DY$129:$DY$305,$CZ90,'3a Staff Plan'!$DF$129:$DF$305,1,'3a Staff Plan'!$AG$129:$AG$305,1,'3a Staff Plan'!$C$129:$C$305,DF$18)</f>
        <v>0</v>
      </c>
      <c r="CF90" s="1026">
        <f ca="1">SUMIFS('3a Staff Plan'!$X$129:$X$305,'3a Staff Plan'!$DY$129:$DY$305,$CZ90,'3a Staff Plan'!$DF$129:$DF$305,1,'3a Staff Plan'!$AG$129:$AG$305,1,'3a Staff Plan'!$C$129:$C$305,DG$18)</f>
        <v>0</v>
      </c>
      <c r="CG90" s="1026">
        <f ca="1">SUMIFS('3a Staff Plan'!$X$129:$X$305,'3a Staff Plan'!$DY$129:$DY$305,$CZ90,'3a Staff Plan'!$DF$129:$DF$305,1,'3a Staff Plan'!$AG$129:$AG$305,1,'3a Staff Plan'!$C$129:$C$305,DH$18)</f>
        <v>0</v>
      </c>
      <c r="CH90" s="1026">
        <f ca="1">SUMIFS('3a Staff Plan'!$X$129:$X$305,'3a Staff Plan'!$DY$129:$DY$305,$CZ90,'3a Staff Plan'!$DF$129:$DF$305,1,'3a Staff Plan'!$AG$129:$AG$305,1,'3a Staff Plan'!$C$129:$C$305,DI$18)</f>
        <v>0</v>
      </c>
      <c r="CI90" s="755"/>
      <c r="CJ90" s="1024">
        <f ca="1">SUMPRODUCT(OFFSET('3b Activity Plan'!$DJ$67:$DJ$76,0,$CU90-1),OFFSET('3b Activity Plan'!$DJ$78:$DJ$87,0,CU90-1))</f>
        <v>0</v>
      </c>
      <c r="CK90" s="1025">
        <f t="shared" ca="1" si="43"/>
        <v>0</v>
      </c>
      <c r="CL90" s="1026">
        <f t="shared" ca="1" si="44"/>
        <v>0</v>
      </c>
      <c r="CM90" s="1026">
        <f t="shared" ca="1" si="45"/>
        <v>0</v>
      </c>
      <c r="CN90" s="1026">
        <f t="shared" ca="1" si="46"/>
        <v>0</v>
      </c>
      <c r="CO90" s="1026">
        <f t="shared" ca="1" si="47"/>
        <v>0</v>
      </c>
      <c r="CP90" s="1026">
        <f t="shared" ca="1" si="48"/>
        <v>0</v>
      </c>
      <c r="CQ90" s="1026">
        <f t="shared" ca="1" si="49"/>
        <v>0</v>
      </c>
      <c r="CR90" s="417"/>
      <c r="CS90" s="417">
        <f t="shared" si="50"/>
        <v>19</v>
      </c>
      <c r="CT90" s="417">
        <f ca="1">OFFSET('2 Staff List'!$GU$64,CS90-1,0)</f>
        <v>19</v>
      </c>
      <c r="CU90" s="417">
        <f ca="1">IF(CZ90=0,0,IFERROR(INDEX('3b Activity Plan'!$DJ$20:$FH$20,MATCH(CT90,'3b Activity Plan'!$DJ$171:$FH$171,0)),0))</f>
        <v>0</v>
      </c>
      <c r="CV90" s="417">
        <f ca="1">INDEX('2 Staff List'!$HW$64:$HW$114,CT90)</f>
        <v>0</v>
      </c>
      <c r="CW90" s="417"/>
      <c r="CY90" s="927">
        <f ca="1">OFFSET('2 Staff List'!$HZ$64,CS90-1,0)</f>
        <v>0</v>
      </c>
      <c r="CZ90" s="975">
        <f ca="1">OFFSET('2 Staff List'!$IA$64,CT90-1,0)</f>
        <v>0</v>
      </c>
      <c r="DA90" s="3845">
        <f t="shared" ca="1" si="51"/>
        <v>0</v>
      </c>
      <c r="DB90" s="3846"/>
      <c r="DC90" s="2408">
        <f t="shared" ca="1" si="52"/>
        <v>0</v>
      </c>
      <c r="DD90" s="2405">
        <f t="shared" ca="1" si="53"/>
        <v>0</v>
      </c>
      <c r="DE90" s="2401">
        <f t="shared" ca="1" si="54"/>
        <v>0</v>
      </c>
      <c r="DF90" s="2405">
        <f t="shared" ca="1" si="55"/>
        <v>0</v>
      </c>
      <c r="DG90" s="2405">
        <f t="shared" ca="1" si="56"/>
        <v>0</v>
      </c>
      <c r="DH90" s="2406">
        <f t="shared" ca="1" si="57"/>
        <v>0</v>
      </c>
      <c r="DI90" s="2407">
        <f t="shared" ca="1" si="58"/>
        <v>0</v>
      </c>
    </row>
    <row r="91" spans="1:113" ht="15.9" customHeight="1" x14ac:dyDescent="0.25">
      <c r="A91" s="295"/>
      <c r="B91" s="295"/>
      <c r="C91" s="1558">
        <f ca="1">OFFSET('2 Staff List'!$LO$64,$CT91-1,C$69-1)*C152</f>
        <v>0</v>
      </c>
      <c r="D91" s="1558">
        <f ca="1">OFFSET('2 Staff List'!$LO$64,$CT91-1,D$69-1)*D152</f>
        <v>0</v>
      </c>
      <c r="E91" s="1558">
        <f ca="1">OFFSET('2 Staff List'!$LO$64,$CT91-1,E$69-1)*E152</f>
        <v>0</v>
      </c>
      <c r="F91" s="1558">
        <f ca="1">OFFSET('2 Staff List'!$LO$64,$CT91-1,F$69-1)*F152</f>
        <v>0</v>
      </c>
      <c r="G91" s="1558">
        <f ca="1">OFFSET('2 Staff List'!$LO$64,$CT91-1,G$69-1)*G152</f>
        <v>0</v>
      </c>
      <c r="H91" s="1558">
        <f ca="1">OFFSET('2 Staff List'!$LO$64,$CT91-1,H$69-1)*H152</f>
        <v>0</v>
      </c>
      <c r="I91" s="1558">
        <f ca="1">OFFSET('2 Staff List'!$LO$64,$CT91-1,I$69-1)*I152</f>
        <v>0</v>
      </c>
      <c r="J91" s="1558">
        <f ca="1">OFFSET('2 Staff List'!$LO$64,$CT91-1,J$69-1)*J152</f>
        <v>0</v>
      </c>
      <c r="K91" s="1558">
        <f ca="1">OFFSET('2 Staff List'!$LO$64,$CT91-1,K$69-1)*K152</f>
        <v>0</v>
      </c>
      <c r="L91" s="1601">
        <f ca="1">OFFSET('2 Staff List'!$LO$64,$CT91-1,L$69-1)*L152</f>
        <v>0</v>
      </c>
      <c r="M91" s="1602">
        <f ca="1">OFFSET('2 Staff List'!$LO$64,$CT91-1,M$69-1)*M152</f>
        <v>0</v>
      </c>
      <c r="N91" s="1558">
        <f ca="1">OFFSET('2 Staff List'!$LO$64,$CT91-1,N$69-1)*N152</f>
        <v>0</v>
      </c>
      <c r="O91" s="1558">
        <f ca="1">OFFSET('2 Staff List'!$LO$64,$CT91-1,O$69-1)*O152</f>
        <v>0</v>
      </c>
      <c r="P91" s="1558">
        <f ca="1">OFFSET('2 Staff List'!$LO$64,$CT91-1,P$69-1)*P152</f>
        <v>0</v>
      </c>
      <c r="Q91" s="1558">
        <f ca="1">OFFSET('2 Staff List'!$LO$64,$CT91-1,Q$69-1)*Q152</f>
        <v>0</v>
      </c>
      <c r="R91" s="1558">
        <f ca="1">OFFSET('2 Staff List'!$LO$64,$CT91-1,R$69-1)*R152</f>
        <v>0</v>
      </c>
      <c r="S91" s="1558">
        <f ca="1">OFFSET('2 Staff List'!$LO$64,$CT91-1,S$69-1)*S152</f>
        <v>0</v>
      </c>
      <c r="T91" s="1558">
        <f ca="1">OFFSET('2 Staff List'!$LO$64,$CT91-1,T$69-1)*T152</f>
        <v>0</v>
      </c>
      <c r="U91" s="1558">
        <f ca="1">OFFSET('2 Staff List'!$LO$64,$CT91-1,U$69-1)*U152</f>
        <v>0</v>
      </c>
      <c r="V91" s="1601">
        <f ca="1">OFFSET('2 Staff List'!$LO$64,$CT91-1,V$69-1)*V152</f>
        <v>0</v>
      </c>
      <c r="W91" s="1602">
        <f ca="1">OFFSET('2 Staff List'!$LO$64,$CT91-1,W$69-1)*W152</f>
        <v>0</v>
      </c>
      <c r="X91" s="1558">
        <f ca="1">OFFSET('2 Staff List'!$LO$64,$CT91-1,X$69-1)*X152</f>
        <v>0</v>
      </c>
      <c r="Y91" s="1558">
        <f ca="1">OFFSET('2 Staff List'!$LO$64,$CT91-1,Y$69-1)*Y152</f>
        <v>0</v>
      </c>
      <c r="Z91" s="1558">
        <f ca="1">OFFSET('2 Staff List'!$LO$64,$CT91-1,Z$69-1)*Z152</f>
        <v>0</v>
      </c>
      <c r="AA91" s="1558">
        <f ca="1">OFFSET('2 Staff List'!$LO$64,$CT91-1,AA$69-1)*AA152</f>
        <v>0</v>
      </c>
      <c r="AB91" s="1558">
        <f ca="1">OFFSET('2 Staff List'!$LO$64,$CT91-1,AB$69-1)*AB152</f>
        <v>0</v>
      </c>
      <c r="AC91" s="1558">
        <f ca="1">OFFSET('2 Staff List'!$LO$64,$CT91-1,AC$69-1)*AC152</f>
        <v>0</v>
      </c>
      <c r="AD91" s="1558">
        <f ca="1">OFFSET('2 Staff List'!$LO$64,$CT91-1,AD$69-1)*AD152</f>
        <v>0</v>
      </c>
      <c r="AE91" s="1558">
        <f ca="1">OFFSET('2 Staff List'!$LO$64,$CT91-1,AE$69-1)*AE152</f>
        <v>0</v>
      </c>
      <c r="AF91" s="1601">
        <f ca="1">OFFSET('2 Staff List'!$LO$64,$CT91-1,AF$69-1)*AF152</f>
        <v>0</v>
      </c>
      <c r="AG91" s="1602">
        <f ca="1">OFFSET('2 Staff List'!$LO$64,$CT91-1,AG$69-1)*AG152</f>
        <v>0</v>
      </c>
      <c r="AH91" s="1558">
        <f ca="1">OFFSET('2 Staff List'!$LO$64,$CT91-1,AH$69-1)*AH152</f>
        <v>0</v>
      </c>
      <c r="AI91" s="1558">
        <f ca="1">OFFSET('2 Staff List'!$LO$64,$CT91-1,AI$69-1)*AI152</f>
        <v>0</v>
      </c>
      <c r="AJ91" s="1558">
        <f ca="1">OFFSET('2 Staff List'!$LO$64,$CT91-1,AJ$69-1)*AJ152</f>
        <v>0</v>
      </c>
      <c r="AK91" s="1558">
        <f ca="1">OFFSET('2 Staff List'!$LO$64,$CT91-1,AK$69-1)*AK152</f>
        <v>0</v>
      </c>
      <c r="AL91" s="1558">
        <f ca="1">OFFSET('2 Staff List'!$LO$64,$CT91-1,AL$69-1)*AL152</f>
        <v>0</v>
      </c>
      <c r="AM91" s="1558">
        <f ca="1">OFFSET('2 Staff List'!$LO$64,$CT91-1,AM$69-1)*AM152</f>
        <v>0</v>
      </c>
      <c r="AN91" s="1558">
        <f ca="1">OFFSET('2 Staff List'!$LO$64,$CT91-1,AN$69-1)*AN152</f>
        <v>0</v>
      </c>
      <c r="AO91" s="1558">
        <f ca="1">OFFSET('2 Staff List'!$LO$64,$CT91-1,AO$69-1)*AO152</f>
        <v>0</v>
      </c>
      <c r="AP91" s="1601">
        <f ca="1">OFFSET('2 Staff List'!$LO$64,$CT91-1,AP$69-1)*AP152</f>
        <v>0</v>
      </c>
      <c r="AQ91" s="1602">
        <f ca="1">OFFSET('2 Staff List'!$LO$64,$CT91-1,AQ$69-1)*AQ152</f>
        <v>0</v>
      </c>
      <c r="AR91" s="1558">
        <f ca="1">OFFSET('2 Staff List'!$LO$64,$CT91-1,AR$69-1)*AR152</f>
        <v>0</v>
      </c>
      <c r="AS91" s="1558">
        <f ca="1">OFFSET('2 Staff List'!$LO$64,$CT91-1,AS$69-1)*AS152</f>
        <v>0</v>
      </c>
      <c r="AT91" s="1558">
        <f ca="1">OFFSET('2 Staff List'!$LO$64,$CT91-1,AT$69-1)*AT152</f>
        <v>0</v>
      </c>
      <c r="AU91" s="1558">
        <f ca="1">OFFSET('2 Staff List'!$LO$64,$CT91-1,AU$69-1)*AU152</f>
        <v>0</v>
      </c>
      <c r="AV91" s="1558">
        <f ca="1">OFFSET('2 Staff List'!$LO$64,$CT91-1,AV$69-1)*AV152</f>
        <v>0</v>
      </c>
      <c r="AW91" s="1558">
        <f ca="1">OFFSET('2 Staff List'!$LO$64,$CT91-1,AW$69-1)*AW152</f>
        <v>0</v>
      </c>
      <c r="AX91" s="1558">
        <f ca="1">OFFSET('2 Staff List'!$LO$64,$CT91-1,AX$69-1)*AX152</f>
        <v>0</v>
      </c>
      <c r="AY91" s="1558">
        <f ca="1">OFFSET('2 Staff List'!$LO$64,$CT91-1,AY$69-1)*AY152</f>
        <v>0</v>
      </c>
      <c r="AZ91" s="1601">
        <f ca="1">OFFSET('2 Staff List'!$LO$64,$CT91-1,AZ$69-1)*AZ152</f>
        <v>0</v>
      </c>
      <c r="BA91" s="1602">
        <f ca="1">OFFSET('2 Staff List'!$LO$64,$CT91-1,BA$69-1)*BA152</f>
        <v>0</v>
      </c>
      <c r="BB91" s="1558">
        <f ca="1">OFFSET('2 Staff List'!$LO$64,$CT91-1,BB$69-1)*BB152</f>
        <v>0</v>
      </c>
      <c r="BC91" s="1558">
        <f ca="1">OFFSET('2 Staff List'!$LO$64,$CT91-1,BC$69-1)*BC152</f>
        <v>0</v>
      </c>
      <c r="BD91" s="1558">
        <f ca="1">OFFSET('2 Staff List'!$LO$64,$CT91-1,BD$69-1)*BD152</f>
        <v>0</v>
      </c>
      <c r="BE91" s="1558">
        <f ca="1">OFFSET('2 Staff List'!$LO$64,$CT91-1,BE$69-1)*BE152</f>
        <v>0</v>
      </c>
      <c r="BF91" s="1558">
        <f ca="1">OFFSET('2 Staff List'!$LO$64,$CT91-1,BF$69-1)*BF152</f>
        <v>0</v>
      </c>
      <c r="BG91" s="1558">
        <f ca="1">OFFSET('2 Staff List'!$LO$64,$CT91-1,BG$69-1)*BG152</f>
        <v>0</v>
      </c>
      <c r="BH91" s="1558">
        <f ca="1">OFFSET('2 Staff List'!$LO$64,$CT91-1,BH$69-1)*BH152</f>
        <v>0</v>
      </c>
      <c r="BI91" s="1558">
        <f ca="1">OFFSET('2 Staff List'!$LO$64,$CT91-1,BI$69-1)*BI152</f>
        <v>0</v>
      </c>
      <c r="BJ91" s="1601">
        <f ca="1">OFFSET('2 Staff List'!$LO$64,$CT91-1,BJ$69-1)*BJ152</f>
        <v>0</v>
      </c>
      <c r="BK91" s="1602">
        <f ca="1">OFFSET('2 Staff List'!$LO$64,$CT91-1,BK$69-1)*BK152</f>
        <v>0</v>
      </c>
      <c r="BL91" s="1558">
        <f ca="1">OFFSET('2 Staff List'!$LO$64,$CT91-1,BL$69-1)*BL152</f>
        <v>0</v>
      </c>
      <c r="BM91" s="1558">
        <f ca="1">OFFSET('2 Staff List'!$LO$64,$CT91-1,BM$69-1)*BM152</f>
        <v>0</v>
      </c>
      <c r="BN91" s="1558">
        <f ca="1">OFFSET('2 Staff List'!$LO$64,$CT91-1,BN$69-1)*BN152</f>
        <v>0</v>
      </c>
      <c r="BO91" s="1558">
        <f ca="1">OFFSET('2 Staff List'!$LO$64,$CT91-1,BO$69-1)*BO152</f>
        <v>0</v>
      </c>
      <c r="BP91" s="1558">
        <f ca="1">OFFSET('2 Staff List'!$LO$64,$CT91-1,BP$69-1)*BP152</f>
        <v>0</v>
      </c>
      <c r="BQ91" s="1558">
        <f ca="1">OFFSET('2 Staff List'!$LO$64,$CT91-1,BQ$69-1)*BQ152</f>
        <v>0</v>
      </c>
      <c r="BR91" s="1558">
        <f ca="1">OFFSET('2 Staff List'!$LO$64,$CT91-1,BR$69-1)*BR152</f>
        <v>0</v>
      </c>
      <c r="BS91" s="1558">
        <f ca="1">OFFSET('2 Staff List'!$LO$64,$CT91-1,BS$69-1)*BS152</f>
        <v>0</v>
      </c>
      <c r="BT91" s="1558">
        <f ca="1">OFFSET('2 Staff List'!$LO$64,$CT91-1,BT$69-1)*BT152</f>
        <v>0</v>
      </c>
      <c r="BU91" s="295"/>
      <c r="BV91" s="295"/>
      <c r="BW91" s="295"/>
      <c r="BX91" s="295"/>
      <c r="BY91" s="295"/>
      <c r="BZ91" s="295"/>
      <c r="CA91" s="1024">
        <f ca="1">SUMIFS('3a Staff Plan'!$X$129:$X$305,'3a Staff Plan'!$DY$129:$DY$305,CZ91,'3a Staff Plan'!$DF$129:$DF$305,1,'3a Staff Plan'!$AG$129:$AG$305,1)</f>
        <v>0</v>
      </c>
      <c r="CB91" s="1025">
        <f ca="1">SUMIFS('3a Staff Plan'!$X$129:$X$305,'3a Staff Plan'!$DY$129:$DY$305,$CZ91,'3a Staff Plan'!$DF$129:$DF$305,1,'3a Staff Plan'!$AG$129:$AG$305,1,'3a Staff Plan'!$C$129:$C$305,DC$18)</f>
        <v>0</v>
      </c>
      <c r="CC91" s="1026">
        <f ca="1">SUMIFS('3a Staff Plan'!$X$129:$X$305,'3a Staff Plan'!$DY$129:$DY$305,$CZ91,'3a Staff Plan'!$DF$129:$DF$305,1,'3a Staff Plan'!$AG$129:$AG$305,1,'3a Staff Plan'!$C$129:$C$305,DD$18)</f>
        <v>0</v>
      </c>
      <c r="CD91" s="1026">
        <f ca="1">SUMIFS('3a Staff Plan'!$X$129:$X$305,'3a Staff Plan'!$DY$129:$DY$305,$CZ91,'3a Staff Plan'!$DF$129:$DF$305,1,'3a Staff Plan'!$AG$129:$AG$305,1,'3a Staff Plan'!$C$129:$C$305,DE$18)</f>
        <v>0</v>
      </c>
      <c r="CE91" s="1026">
        <f ca="1">SUMIFS('3a Staff Plan'!$X$129:$X$305,'3a Staff Plan'!$DY$129:$DY$305,$CZ91,'3a Staff Plan'!$DF$129:$DF$305,1,'3a Staff Plan'!$AG$129:$AG$305,1,'3a Staff Plan'!$C$129:$C$305,DF$18)</f>
        <v>0</v>
      </c>
      <c r="CF91" s="1026">
        <f ca="1">SUMIFS('3a Staff Plan'!$X$129:$X$305,'3a Staff Plan'!$DY$129:$DY$305,$CZ91,'3a Staff Plan'!$DF$129:$DF$305,1,'3a Staff Plan'!$AG$129:$AG$305,1,'3a Staff Plan'!$C$129:$C$305,DG$18)</f>
        <v>0</v>
      </c>
      <c r="CG91" s="1026">
        <f ca="1">SUMIFS('3a Staff Plan'!$X$129:$X$305,'3a Staff Plan'!$DY$129:$DY$305,$CZ91,'3a Staff Plan'!$DF$129:$DF$305,1,'3a Staff Plan'!$AG$129:$AG$305,1,'3a Staff Plan'!$C$129:$C$305,DH$18)</f>
        <v>0</v>
      </c>
      <c r="CH91" s="1026">
        <f ca="1">SUMIFS('3a Staff Plan'!$X$129:$X$305,'3a Staff Plan'!$DY$129:$DY$305,$CZ91,'3a Staff Plan'!$DF$129:$DF$305,1,'3a Staff Plan'!$AG$129:$AG$305,1,'3a Staff Plan'!$C$129:$C$305,DI$18)</f>
        <v>0</v>
      </c>
      <c r="CI91" s="755"/>
      <c r="CJ91" s="1024">
        <f ca="1">SUMPRODUCT(OFFSET('3b Activity Plan'!$DJ$67:$DJ$76,0,$CU91-1),OFFSET('3b Activity Plan'!$DJ$78:$DJ$87,0,CU91-1))</f>
        <v>0</v>
      </c>
      <c r="CK91" s="1025">
        <f t="shared" ca="1" si="43"/>
        <v>0</v>
      </c>
      <c r="CL91" s="1026">
        <f t="shared" ca="1" si="44"/>
        <v>0</v>
      </c>
      <c r="CM91" s="1026">
        <f t="shared" ca="1" si="45"/>
        <v>0</v>
      </c>
      <c r="CN91" s="1026">
        <f t="shared" ca="1" si="46"/>
        <v>0</v>
      </c>
      <c r="CO91" s="1026">
        <f t="shared" ca="1" si="47"/>
        <v>0</v>
      </c>
      <c r="CP91" s="1026">
        <f t="shared" ca="1" si="48"/>
        <v>0</v>
      </c>
      <c r="CQ91" s="1026">
        <f t="shared" ca="1" si="49"/>
        <v>0</v>
      </c>
      <c r="CR91" s="417"/>
      <c r="CS91" s="417">
        <f t="shared" si="50"/>
        <v>20</v>
      </c>
      <c r="CT91" s="417">
        <f ca="1">OFFSET('2 Staff List'!$GU$64,CS91-1,0)</f>
        <v>20</v>
      </c>
      <c r="CU91" s="417">
        <f ca="1">IF(CZ91=0,0,IFERROR(INDEX('3b Activity Plan'!$DJ$20:$FH$20,MATCH(CT91,'3b Activity Plan'!$DJ$171:$FH$171,0)),0))</f>
        <v>0</v>
      </c>
      <c r="CV91" s="417">
        <f ca="1">INDEX('2 Staff List'!$HW$64:$HW$114,CT91)</f>
        <v>0</v>
      </c>
      <c r="CW91" s="417"/>
      <c r="CY91" s="927">
        <f ca="1">OFFSET('2 Staff List'!$HZ$64,CS91-1,0)</f>
        <v>0</v>
      </c>
      <c r="CZ91" s="975">
        <f ca="1">OFFSET('2 Staff List'!$IA$64,CT91-1,0)</f>
        <v>0</v>
      </c>
      <c r="DA91" s="3845">
        <f t="shared" ca="1" si="51"/>
        <v>0</v>
      </c>
      <c r="DB91" s="3846"/>
      <c r="DC91" s="2408">
        <f t="shared" ca="1" si="52"/>
        <v>0</v>
      </c>
      <c r="DD91" s="2405">
        <f t="shared" ca="1" si="53"/>
        <v>0</v>
      </c>
      <c r="DE91" s="2401">
        <f t="shared" ca="1" si="54"/>
        <v>0</v>
      </c>
      <c r="DF91" s="2405">
        <f t="shared" ca="1" si="55"/>
        <v>0</v>
      </c>
      <c r="DG91" s="2405">
        <f t="shared" ca="1" si="56"/>
        <v>0</v>
      </c>
      <c r="DH91" s="2406">
        <f t="shared" ca="1" si="57"/>
        <v>0</v>
      </c>
      <c r="DI91" s="2407">
        <f t="shared" ca="1" si="58"/>
        <v>0</v>
      </c>
    </row>
    <row r="92" spans="1:113" ht="15.9" customHeight="1" x14ac:dyDescent="0.25">
      <c r="A92" s="295"/>
      <c r="B92" s="295"/>
      <c r="C92" s="1558">
        <f ca="1">OFFSET('2 Staff List'!$LO$64,$CT92-1,C$69-1)*C153</f>
        <v>0</v>
      </c>
      <c r="D92" s="1558">
        <f ca="1">OFFSET('2 Staff List'!$LO$64,$CT92-1,D$69-1)*D153</f>
        <v>0</v>
      </c>
      <c r="E92" s="1558">
        <f ca="1">OFFSET('2 Staff List'!$LO$64,$CT92-1,E$69-1)*E153</f>
        <v>0</v>
      </c>
      <c r="F92" s="1558">
        <f ca="1">OFFSET('2 Staff List'!$LO$64,$CT92-1,F$69-1)*F153</f>
        <v>0</v>
      </c>
      <c r="G92" s="1558">
        <f ca="1">OFFSET('2 Staff List'!$LO$64,$CT92-1,G$69-1)*G153</f>
        <v>0</v>
      </c>
      <c r="H92" s="1558">
        <f ca="1">OFFSET('2 Staff List'!$LO$64,$CT92-1,H$69-1)*H153</f>
        <v>0</v>
      </c>
      <c r="I92" s="1558">
        <f ca="1">OFFSET('2 Staff List'!$LO$64,$CT92-1,I$69-1)*I153</f>
        <v>0</v>
      </c>
      <c r="J92" s="1558">
        <f ca="1">OFFSET('2 Staff List'!$LO$64,$CT92-1,J$69-1)*J153</f>
        <v>0</v>
      </c>
      <c r="K92" s="1558">
        <f ca="1">OFFSET('2 Staff List'!$LO$64,$CT92-1,K$69-1)*K153</f>
        <v>0</v>
      </c>
      <c r="L92" s="1601">
        <f ca="1">OFFSET('2 Staff List'!$LO$64,$CT92-1,L$69-1)*L153</f>
        <v>0</v>
      </c>
      <c r="M92" s="1602">
        <f ca="1">OFFSET('2 Staff List'!$LO$64,$CT92-1,M$69-1)*M153</f>
        <v>0</v>
      </c>
      <c r="N92" s="1558">
        <f ca="1">OFFSET('2 Staff List'!$LO$64,$CT92-1,N$69-1)*N153</f>
        <v>0</v>
      </c>
      <c r="O92" s="1558">
        <f ca="1">OFFSET('2 Staff List'!$LO$64,$CT92-1,O$69-1)*O153</f>
        <v>0</v>
      </c>
      <c r="P92" s="1558">
        <f ca="1">OFFSET('2 Staff List'!$LO$64,$CT92-1,P$69-1)*P153</f>
        <v>0</v>
      </c>
      <c r="Q92" s="1558">
        <f ca="1">OFFSET('2 Staff List'!$LO$64,$CT92-1,Q$69-1)*Q153</f>
        <v>0</v>
      </c>
      <c r="R92" s="1558">
        <f ca="1">OFFSET('2 Staff List'!$LO$64,$CT92-1,R$69-1)*R153</f>
        <v>0</v>
      </c>
      <c r="S92" s="1558">
        <f ca="1">OFFSET('2 Staff List'!$LO$64,$CT92-1,S$69-1)*S153</f>
        <v>0</v>
      </c>
      <c r="T92" s="1558">
        <f ca="1">OFFSET('2 Staff List'!$LO$64,$CT92-1,T$69-1)*T153</f>
        <v>0</v>
      </c>
      <c r="U92" s="1558">
        <f ca="1">OFFSET('2 Staff List'!$LO$64,$CT92-1,U$69-1)*U153</f>
        <v>0</v>
      </c>
      <c r="V92" s="1601">
        <f ca="1">OFFSET('2 Staff List'!$LO$64,$CT92-1,V$69-1)*V153</f>
        <v>0</v>
      </c>
      <c r="W92" s="1602">
        <f ca="1">OFFSET('2 Staff List'!$LO$64,$CT92-1,W$69-1)*W153</f>
        <v>0</v>
      </c>
      <c r="X92" s="1558">
        <f ca="1">OFFSET('2 Staff List'!$LO$64,$CT92-1,X$69-1)*X153</f>
        <v>0</v>
      </c>
      <c r="Y92" s="1558">
        <f ca="1">OFFSET('2 Staff List'!$LO$64,$CT92-1,Y$69-1)*Y153</f>
        <v>0</v>
      </c>
      <c r="Z92" s="1558">
        <f ca="1">OFFSET('2 Staff List'!$LO$64,$CT92-1,Z$69-1)*Z153</f>
        <v>0</v>
      </c>
      <c r="AA92" s="1558">
        <f ca="1">OFFSET('2 Staff List'!$LO$64,$CT92-1,AA$69-1)*AA153</f>
        <v>0</v>
      </c>
      <c r="AB92" s="1558">
        <f ca="1">OFFSET('2 Staff List'!$LO$64,$CT92-1,AB$69-1)*AB153</f>
        <v>0</v>
      </c>
      <c r="AC92" s="1558">
        <f ca="1">OFFSET('2 Staff List'!$LO$64,$CT92-1,AC$69-1)*AC153</f>
        <v>0</v>
      </c>
      <c r="AD92" s="1558">
        <f ca="1">OFFSET('2 Staff List'!$LO$64,$CT92-1,AD$69-1)*AD153</f>
        <v>0</v>
      </c>
      <c r="AE92" s="1558">
        <f ca="1">OFFSET('2 Staff List'!$LO$64,$CT92-1,AE$69-1)*AE153</f>
        <v>0</v>
      </c>
      <c r="AF92" s="1601">
        <f ca="1">OFFSET('2 Staff List'!$LO$64,$CT92-1,AF$69-1)*AF153</f>
        <v>0</v>
      </c>
      <c r="AG92" s="1602">
        <f ca="1">OFFSET('2 Staff List'!$LO$64,$CT92-1,AG$69-1)*AG153</f>
        <v>0</v>
      </c>
      <c r="AH92" s="1558">
        <f ca="1">OFFSET('2 Staff List'!$LO$64,$CT92-1,AH$69-1)*AH153</f>
        <v>0</v>
      </c>
      <c r="AI92" s="1558">
        <f ca="1">OFFSET('2 Staff List'!$LO$64,$CT92-1,AI$69-1)*AI153</f>
        <v>0</v>
      </c>
      <c r="AJ92" s="1558">
        <f ca="1">OFFSET('2 Staff List'!$LO$64,$CT92-1,AJ$69-1)*AJ153</f>
        <v>0</v>
      </c>
      <c r="AK92" s="1558">
        <f ca="1">OFFSET('2 Staff List'!$LO$64,$CT92-1,AK$69-1)*AK153</f>
        <v>0</v>
      </c>
      <c r="AL92" s="1558">
        <f ca="1">OFFSET('2 Staff List'!$LO$64,$CT92-1,AL$69-1)*AL153</f>
        <v>0</v>
      </c>
      <c r="AM92" s="1558">
        <f ca="1">OFFSET('2 Staff List'!$LO$64,$CT92-1,AM$69-1)*AM153</f>
        <v>0</v>
      </c>
      <c r="AN92" s="1558">
        <f ca="1">OFFSET('2 Staff List'!$LO$64,$CT92-1,AN$69-1)*AN153</f>
        <v>0</v>
      </c>
      <c r="AO92" s="1558">
        <f ca="1">OFFSET('2 Staff List'!$LO$64,$CT92-1,AO$69-1)*AO153</f>
        <v>0</v>
      </c>
      <c r="AP92" s="1601">
        <f ca="1">OFFSET('2 Staff List'!$LO$64,$CT92-1,AP$69-1)*AP153</f>
        <v>0</v>
      </c>
      <c r="AQ92" s="1602">
        <f ca="1">OFFSET('2 Staff List'!$LO$64,$CT92-1,AQ$69-1)*AQ153</f>
        <v>0</v>
      </c>
      <c r="AR92" s="1558">
        <f ca="1">OFFSET('2 Staff List'!$LO$64,$CT92-1,AR$69-1)*AR153</f>
        <v>0</v>
      </c>
      <c r="AS92" s="1558">
        <f ca="1">OFFSET('2 Staff List'!$LO$64,$CT92-1,AS$69-1)*AS153</f>
        <v>0</v>
      </c>
      <c r="AT92" s="1558">
        <f ca="1">OFFSET('2 Staff List'!$LO$64,$CT92-1,AT$69-1)*AT153</f>
        <v>0</v>
      </c>
      <c r="AU92" s="1558">
        <f ca="1">OFFSET('2 Staff List'!$LO$64,$CT92-1,AU$69-1)*AU153</f>
        <v>0</v>
      </c>
      <c r="AV92" s="1558">
        <f ca="1">OFFSET('2 Staff List'!$LO$64,$CT92-1,AV$69-1)*AV153</f>
        <v>0</v>
      </c>
      <c r="AW92" s="1558">
        <f ca="1">OFFSET('2 Staff List'!$LO$64,$CT92-1,AW$69-1)*AW153</f>
        <v>0</v>
      </c>
      <c r="AX92" s="1558">
        <f ca="1">OFFSET('2 Staff List'!$LO$64,$CT92-1,AX$69-1)*AX153</f>
        <v>0</v>
      </c>
      <c r="AY92" s="1558">
        <f ca="1">OFFSET('2 Staff List'!$LO$64,$CT92-1,AY$69-1)*AY153</f>
        <v>0</v>
      </c>
      <c r="AZ92" s="1601">
        <f ca="1">OFFSET('2 Staff List'!$LO$64,$CT92-1,AZ$69-1)*AZ153</f>
        <v>0</v>
      </c>
      <c r="BA92" s="1602">
        <f ca="1">OFFSET('2 Staff List'!$LO$64,$CT92-1,BA$69-1)*BA153</f>
        <v>0</v>
      </c>
      <c r="BB92" s="1558">
        <f ca="1">OFFSET('2 Staff List'!$LO$64,$CT92-1,BB$69-1)*BB153</f>
        <v>0</v>
      </c>
      <c r="BC92" s="1558">
        <f ca="1">OFFSET('2 Staff List'!$LO$64,$CT92-1,BC$69-1)*BC153</f>
        <v>0</v>
      </c>
      <c r="BD92" s="1558">
        <f ca="1">OFFSET('2 Staff List'!$LO$64,$CT92-1,BD$69-1)*BD153</f>
        <v>0</v>
      </c>
      <c r="BE92" s="1558">
        <f ca="1">OFFSET('2 Staff List'!$LO$64,$CT92-1,BE$69-1)*BE153</f>
        <v>0</v>
      </c>
      <c r="BF92" s="1558">
        <f ca="1">OFFSET('2 Staff List'!$LO$64,$CT92-1,BF$69-1)*BF153</f>
        <v>0</v>
      </c>
      <c r="BG92" s="1558">
        <f ca="1">OFFSET('2 Staff List'!$LO$64,$CT92-1,BG$69-1)*BG153</f>
        <v>0</v>
      </c>
      <c r="BH92" s="1558">
        <f ca="1">OFFSET('2 Staff List'!$LO$64,$CT92-1,BH$69-1)*BH153</f>
        <v>0</v>
      </c>
      <c r="BI92" s="1558">
        <f ca="1">OFFSET('2 Staff List'!$LO$64,$CT92-1,BI$69-1)*BI153</f>
        <v>0</v>
      </c>
      <c r="BJ92" s="1601">
        <f ca="1">OFFSET('2 Staff List'!$LO$64,$CT92-1,BJ$69-1)*BJ153</f>
        <v>0</v>
      </c>
      <c r="BK92" s="1602">
        <f ca="1">OFFSET('2 Staff List'!$LO$64,$CT92-1,BK$69-1)*BK153</f>
        <v>0</v>
      </c>
      <c r="BL92" s="1558">
        <f ca="1">OFFSET('2 Staff List'!$LO$64,$CT92-1,BL$69-1)*BL153</f>
        <v>0</v>
      </c>
      <c r="BM92" s="1558">
        <f ca="1">OFFSET('2 Staff List'!$LO$64,$CT92-1,BM$69-1)*BM153</f>
        <v>0</v>
      </c>
      <c r="BN92" s="1558">
        <f ca="1">OFFSET('2 Staff List'!$LO$64,$CT92-1,BN$69-1)*BN153</f>
        <v>0</v>
      </c>
      <c r="BO92" s="1558">
        <f ca="1">OFFSET('2 Staff List'!$LO$64,$CT92-1,BO$69-1)*BO153</f>
        <v>0</v>
      </c>
      <c r="BP92" s="1558">
        <f ca="1">OFFSET('2 Staff List'!$LO$64,$CT92-1,BP$69-1)*BP153</f>
        <v>0</v>
      </c>
      <c r="BQ92" s="1558">
        <f ca="1">OFFSET('2 Staff List'!$LO$64,$CT92-1,BQ$69-1)*BQ153</f>
        <v>0</v>
      </c>
      <c r="BR92" s="1558">
        <f ca="1">OFFSET('2 Staff List'!$LO$64,$CT92-1,BR$69-1)*BR153</f>
        <v>0</v>
      </c>
      <c r="BS92" s="1558">
        <f ca="1">OFFSET('2 Staff List'!$LO$64,$CT92-1,BS$69-1)*BS153</f>
        <v>0</v>
      </c>
      <c r="BT92" s="1558">
        <f ca="1">OFFSET('2 Staff List'!$LO$64,$CT92-1,BT$69-1)*BT153</f>
        <v>0</v>
      </c>
      <c r="BU92" s="295"/>
      <c r="BV92" s="295"/>
      <c r="BW92" s="295"/>
      <c r="BX92" s="295"/>
      <c r="BY92" s="295"/>
      <c r="BZ92" s="295"/>
      <c r="CA92" s="1024">
        <f ca="1">SUMIFS('3a Staff Plan'!$X$129:$X$305,'3a Staff Plan'!$DY$129:$DY$305,CZ92,'3a Staff Plan'!$DF$129:$DF$305,1,'3a Staff Plan'!$AG$129:$AG$305,1)</f>
        <v>0</v>
      </c>
      <c r="CB92" s="1025">
        <f ca="1">SUMIFS('3a Staff Plan'!$X$129:$X$305,'3a Staff Plan'!$DY$129:$DY$305,$CZ92,'3a Staff Plan'!$DF$129:$DF$305,1,'3a Staff Plan'!$AG$129:$AG$305,1,'3a Staff Plan'!$C$129:$C$305,DC$18)</f>
        <v>0</v>
      </c>
      <c r="CC92" s="1026">
        <f ca="1">SUMIFS('3a Staff Plan'!$X$129:$X$305,'3a Staff Plan'!$DY$129:$DY$305,$CZ92,'3a Staff Plan'!$DF$129:$DF$305,1,'3a Staff Plan'!$AG$129:$AG$305,1,'3a Staff Plan'!$C$129:$C$305,DD$18)</f>
        <v>0</v>
      </c>
      <c r="CD92" s="1026">
        <f ca="1">SUMIFS('3a Staff Plan'!$X$129:$X$305,'3a Staff Plan'!$DY$129:$DY$305,$CZ92,'3a Staff Plan'!$DF$129:$DF$305,1,'3a Staff Plan'!$AG$129:$AG$305,1,'3a Staff Plan'!$C$129:$C$305,DE$18)</f>
        <v>0</v>
      </c>
      <c r="CE92" s="1026">
        <f ca="1">SUMIFS('3a Staff Plan'!$X$129:$X$305,'3a Staff Plan'!$DY$129:$DY$305,$CZ92,'3a Staff Plan'!$DF$129:$DF$305,1,'3a Staff Plan'!$AG$129:$AG$305,1,'3a Staff Plan'!$C$129:$C$305,DF$18)</f>
        <v>0</v>
      </c>
      <c r="CF92" s="1026">
        <f ca="1">SUMIFS('3a Staff Plan'!$X$129:$X$305,'3a Staff Plan'!$DY$129:$DY$305,$CZ92,'3a Staff Plan'!$DF$129:$DF$305,1,'3a Staff Plan'!$AG$129:$AG$305,1,'3a Staff Plan'!$C$129:$C$305,DG$18)</f>
        <v>0</v>
      </c>
      <c r="CG92" s="1026">
        <f ca="1">SUMIFS('3a Staff Plan'!$X$129:$X$305,'3a Staff Plan'!$DY$129:$DY$305,$CZ92,'3a Staff Plan'!$DF$129:$DF$305,1,'3a Staff Plan'!$AG$129:$AG$305,1,'3a Staff Plan'!$C$129:$C$305,DH$18)</f>
        <v>0</v>
      </c>
      <c r="CH92" s="1026">
        <f ca="1">SUMIFS('3a Staff Plan'!$X$129:$X$305,'3a Staff Plan'!$DY$129:$DY$305,$CZ92,'3a Staff Plan'!$DF$129:$DF$305,1,'3a Staff Plan'!$AG$129:$AG$305,1,'3a Staff Plan'!$C$129:$C$305,DI$18)</f>
        <v>0</v>
      </c>
      <c r="CI92" s="755"/>
      <c r="CJ92" s="1024">
        <f ca="1">SUMPRODUCT(OFFSET('3b Activity Plan'!$DJ$67:$DJ$76,0,$CU92-1),OFFSET('3b Activity Plan'!$DJ$78:$DJ$87,0,CU92-1))</f>
        <v>0</v>
      </c>
      <c r="CK92" s="1025">
        <f t="shared" ca="1" si="43"/>
        <v>0</v>
      </c>
      <c r="CL92" s="1026">
        <f t="shared" ca="1" si="44"/>
        <v>0</v>
      </c>
      <c r="CM92" s="1026">
        <f t="shared" ca="1" si="45"/>
        <v>0</v>
      </c>
      <c r="CN92" s="1026">
        <f t="shared" ca="1" si="46"/>
        <v>0</v>
      </c>
      <c r="CO92" s="1026">
        <f t="shared" ca="1" si="47"/>
        <v>0</v>
      </c>
      <c r="CP92" s="1026">
        <f t="shared" ca="1" si="48"/>
        <v>0</v>
      </c>
      <c r="CQ92" s="1026">
        <f t="shared" ca="1" si="49"/>
        <v>0</v>
      </c>
      <c r="CR92" s="417"/>
      <c r="CS92" s="417">
        <f t="shared" si="50"/>
        <v>21</v>
      </c>
      <c r="CT92" s="417">
        <f ca="1">OFFSET('2 Staff List'!$GU$64,CS92-1,0)</f>
        <v>21</v>
      </c>
      <c r="CU92" s="417">
        <f ca="1">IF(CZ92=0,0,IFERROR(INDEX('3b Activity Plan'!$DJ$20:$FH$20,MATCH(CT92,'3b Activity Plan'!$DJ$171:$FH$171,0)),0))</f>
        <v>0</v>
      </c>
      <c r="CV92" s="417">
        <f ca="1">INDEX('2 Staff List'!$HW$64:$HW$114,CT92)</f>
        <v>0</v>
      </c>
      <c r="CW92" s="417"/>
      <c r="CY92" s="927">
        <f ca="1">OFFSET('2 Staff List'!$HZ$64,CS92-1,0)</f>
        <v>0</v>
      </c>
      <c r="CZ92" s="975">
        <f ca="1">OFFSET('2 Staff List'!$IA$64,CT92-1,0)</f>
        <v>0</v>
      </c>
      <c r="DA92" s="3845">
        <f t="shared" ca="1" si="51"/>
        <v>0</v>
      </c>
      <c r="DB92" s="3846"/>
      <c r="DC92" s="2408">
        <f t="shared" ca="1" si="52"/>
        <v>0</v>
      </c>
      <c r="DD92" s="2405">
        <f t="shared" ca="1" si="53"/>
        <v>0</v>
      </c>
      <c r="DE92" s="2401">
        <f t="shared" ca="1" si="54"/>
        <v>0</v>
      </c>
      <c r="DF92" s="2405">
        <f t="shared" ca="1" si="55"/>
        <v>0</v>
      </c>
      <c r="DG92" s="2405">
        <f t="shared" ca="1" si="56"/>
        <v>0</v>
      </c>
      <c r="DH92" s="2406">
        <f t="shared" ca="1" si="57"/>
        <v>0</v>
      </c>
      <c r="DI92" s="2407">
        <f t="shared" ca="1" si="58"/>
        <v>0</v>
      </c>
    </row>
    <row r="93" spans="1:113" ht="15.9" customHeight="1" x14ac:dyDescent="0.25">
      <c r="A93" s="295"/>
      <c r="B93" s="295"/>
      <c r="C93" s="1558">
        <f ca="1">OFFSET('2 Staff List'!$LO$64,$CT93-1,C$69-1)*C154</f>
        <v>0</v>
      </c>
      <c r="D93" s="1558">
        <f ca="1">OFFSET('2 Staff List'!$LO$64,$CT93-1,D$69-1)*D154</f>
        <v>0</v>
      </c>
      <c r="E93" s="1558">
        <f ca="1">OFFSET('2 Staff List'!$LO$64,$CT93-1,E$69-1)*E154</f>
        <v>0</v>
      </c>
      <c r="F93" s="1558">
        <f ca="1">OFFSET('2 Staff List'!$LO$64,$CT93-1,F$69-1)*F154</f>
        <v>0</v>
      </c>
      <c r="G93" s="1558">
        <f ca="1">OFFSET('2 Staff List'!$LO$64,$CT93-1,G$69-1)*G154</f>
        <v>0</v>
      </c>
      <c r="H93" s="1558">
        <f ca="1">OFFSET('2 Staff List'!$LO$64,$CT93-1,H$69-1)*H154</f>
        <v>0</v>
      </c>
      <c r="I93" s="1558">
        <f ca="1">OFFSET('2 Staff List'!$LO$64,$CT93-1,I$69-1)*I154</f>
        <v>0</v>
      </c>
      <c r="J93" s="1558">
        <f ca="1">OFFSET('2 Staff List'!$LO$64,$CT93-1,J$69-1)*J154</f>
        <v>0</v>
      </c>
      <c r="K93" s="1558">
        <f ca="1">OFFSET('2 Staff List'!$LO$64,$CT93-1,K$69-1)*K154</f>
        <v>0</v>
      </c>
      <c r="L93" s="1601">
        <f ca="1">OFFSET('2 Staff List'!$LO$64,$CT93-1,L$69-1)*L154</f>
        <v>0</v>
      </c>
      <c r="M93" s="1602">
        <f ca="1">OFFSET('2 Staff List'!$LO$64,$CT93-1,M$69-1)*M154</f>
        <v>0</v>
      </c>
      <c r="N93" s="1558">
        <f ca="1">OFFSET('2 Staff List'!$LO$64,$CT93-1,N$69-1)*N154</f>
        <v>0</v>
      </c>
      <c r="O93" s="1558">
        <f ca="1">OFFSET('2 Staff List'!$LO$64,$CT93-1,O$69-1)*O154</f>
        <v>0</v>
      </c>
      <c r="P93" s="1558">
        <f ca="1">OFFSET('2 Staff List'!$LO$64,$CT93-1,P$69-1)*P154</f>
        <v>0</v>
      </c>
      <c r="Q93" s="1558">
        <f ca="1">OFFSET('2 Staff List'!$LO$64,$CT93-1,Q$69-1)*Q154</f>
        <v>0</v>
      </c>
      <c r="R93" s="1558">
        <f ca="1">OFFSET('2 Staff List'!$LO$64,$CT93-1,R$69-1)*R154</f>
        <v>0</v>
      </c>
      <c r="S93" s="1558">
        <f ca="1">OFFSET('2 Staff List'!$LO$64,$CT93-1,S$69-1)*S154</f>
        <v>0</v>
      </c>
      <c r="T93" s="1558">
        <f ca="1">OFFSET('2 Staff List'!$LO$64,$CT93-1,T$69-1)*T154</f>
        <v>0</v>
      </c>
      <c r="U93" s="1558">
        <f ca="1">OFFSET('2 Staff List'!$LO$64,$CT93-1,U$69-1)*U154</f>
        <v>0</v>
      </c>
      <c r="V93" s="1601">
        <f ca="1">OFFSET('2 Staff List'!$LO$64,$CT93-1,V$69-1)*V154</f>
        <v>0</v>
      </c>
      <c r="W93" s="1602">
        <f ca="1">OFFSET('2 Staff List'!$LO$64,$CT93-1,W$69-1)*W154</f>
        <v>0</v>
      </c>
      <c r="X93" s="1558">
        <f ca="1">OFFSET('2 Staff List'!$LO$64,$CT93-1,X$69-1)*X154</f>
        <v>0</v>
      </c>
      <c r="Y93" s="1558">
        <f ca="1">OFFSET('2 Staff List'!$LO$64,$CT93-1,Y$69-1)*Y154</f>
        <v>0</v>
      </c>
      <c r="Z93" s="1558">
        <f ca="1">OFFSET('2 Staff List'!$LO$64,$CT93-1,Z$69-1)*Z154</f>
        <v>0</v>
      </c>
      <c r="AA93" s="1558">
        <f ca="1">OFFSET('2 Staff List'!$LO$64,$CT93-1,AA$69-1)*AA154</f>
        <v>0</v>
      </c>
      <c r="AB93" s="1558">
        <f ca="1">OFFSET('2 Staff List'!$LO$64,$CT93-1,AB$69-1)*AB154</f>
        <v>0</v>
      </c>
      <c r="AC93" s="1558">
        <f ca="1">OFFSET('2 Staff List'!$LO$64,$CT93-1,AC$69-1)*AC154</f>
        <v>0</v>
      </c>
      <c r="AD93" s="1558">
        <f ca="1">OFFSET('2 Staff List'!$LO$64,$CT93-1,AD$69-1)*AD154</f>
        <v>0</v>
      </c>
      <c r="AE93" s="1558">
        <f ca="1">OFFSET('2 Staff List'!$LO$64,$CT93-1,AE$69-1)*AE154</f>
        <v>0</v>
      </c>
      <c r="AF93" s="1601">
        <f ca="1">OFFSET('2 Staff List'!$LO$64,$CT93-1,AF$69-1)*AF154</f>
        <v>0</v>
      </c>
      <c r="AG93" s="1602">
        <f ca="1">OFFSET('2 Staff List'!$LO$64,$CT93-1,AG$69-1)*AG154</f>
        <v>0</v>
      </c>
      <c r="AH93" s="1558">
        <f ca="1">OFFSET('2 Staff List'!$LO$64,$CT93-1,AH$69-1)*AH154</f>
        <v>0</v>
      </c>
      <c r="AI93" s="1558">
        <f ca="1">OFFSET('2 Staff List'!$LO$64,$CT93-1,AI$69-1)*AI154</f>
        <v>0</v>
      </c>
      <c r="AJ93" s="1558">
        <f ca="1">OFFSET('2 Staff List'!$LO$64,$CT93-1,AJ$69-1)*AJ154</f>
        <v>0</v>
      </c>
      <c r="AK93" s="1558">
        <f ca="1">OFFSET('2 Staff List'!$LO$64,$CT93-1,AK$69-1)*AK154</f>
        <v>0</v>
      </c>
      <c r="AL93" s="1558">
        <f ca="1">OFFSET('2 Staff List'!$LO$64,$CT93-1,AL$69-1)*AL154</f>
        <v>0</v>
      </c>
      <c r="AM93" s="1558">
        <f ca="1">OFFSET('2 Staff List'!$LO$64,$CT93-1,AM$69-1)*AM154</f>
        <v>0</v>
      </c>
      <c r="AN93" s="1558">
        <f ca="1">OFFSET('2 Staff List'!$LO$64,$CT93-1,AN$69-1)*AN154</f>
        <v>0</v>
      </c>
      <c r="AO93" s="1558">
        <f ca="1">OFFSET('2 Staff List'!$LO$64,$CT93-1,AO$69-1)*AO154</f>
        <v>0</v>
      </c>
      <c r="AP93" s="1601">
        <f ca="1">OFFSET('2 Staff List'!$LO$64,$CT93-1,AP$69-1)*AP154</f>
        <v>0</v>
      </c>
      <c r="AQ93" s="1602">
        <f ca="1">OFFSET('2 Staff List'!$LO$64,$CT93-1,AQ$69-1)*AQ154</f>
        <v>0</v>
      </c>
      <c r="AR93" s="1558">
        <f ca="1">OFFSET('2 Staff List'!$LO$64,$CT93-1,AR$69-1)*AR154</f>
        <v>0</v>
      </c>
      <c r="AS93" s="1558">
        <f ca="1">OFFSET('2 Staff List'!$LO$64,$CT93-1,AS$69-1)*AS154</f>
        <v>0</v>
      </c>
      <c r="AT93" s="1558">
        <f ca="1">OFFSET('2 Staff List'!$LO$64,$CT93-1,AT$69-1)*AT154</f>
        <v>0</v>
      </c>
      <c r="AU93" s="1558">
        <f ca="1">OFFSET('2 Staff List'!$LO$64,$CT93-1,AU$69-1)*AU154</f>
        <v>0</v>
      </c>
      <c r="AV93" s="1558">
        <f ca="1">OFFSET('2 Staff List'!$LO$64,$CT93-1,AV$69-1)*AV154</f>
        <v>0</v>
      </c>
      <c r="AW93" s="1558">
        <f ca="1">OFFSET('2 Staff List'!$LO$64,$CT93-1,AW$69-1)*AW154</f>
        <v>0</v>
      </c>
      <c r="AX93" s="1558">
        <f ca="1">OFFSET('2 Staff List'!$LO$64,$CT93-1,AX$69-1)*AX154</f>
        <v>0</v>
      </c>
      <c r="AY93" s="1558">
        <f ca="1">OFFSET('2 Staff List'!$LO$64,$CT93-1,AY$69-1)*AY154</f>
        <v>0</v>
      </c>
      <c r="AZ93" s="1601">
        <f ca="1">OFFSET('2 Staff List'!$LO$64,$CT93-1,AZ$69-1)*AZ154</f>
        <v>0</v>
      </c>
      <c r="BA93" s="1602">
        <f ca="1">OFFSET('2 Staff List'!$LO$64,$CT93-1,BA$69-1)*BA154</f>
        <v>0</v>
      </c>
      <c r="BB93" s="1558">
        <f ca="1">OFFSET('2 Staff List'!$LO$64,$CT93-1,BB$69-1)*BB154</f>
        <v>0</v>
      </c>
      <c r="BC93" s="1558">
        <f ca="1">OFFSET('2 Staff List'!$LO$64,$CT93-1,BC$69-1)*BC154</f>
        <v>0</v>
      </c>
      <c r="BD93" s="1558">
        <f ca="1">OFFSET('2 Staff List'!$LO$64,$CT93-1,BD$69-1)*BD154</f>
        <v>0</v>
      </c>
      <c r="BE93" s="1558">
        <f ca="1">OFFSET('2 Staff List'!$LO$64,$CT93-1,BE$69-1)*BE154</f>
        <v>0</v>
      </c>
      <c r="BF93" s="1558">
        <f ca="1">OFFSET('2 Staff List'!$LO$64,$CT93-1,BF$69-1)*BF154</f>
        <v>0</v>
      </c>
      <c r="BG93" s="1558">
        <f ca="1">OFFSET('2 Staff List'!$LO$64,$CT93-1,BG$69-1)*BG154</f>
        <v>0</v>
      </c>
      <c r="BH93" s="1558">
        <f ca="1">OFFSET('2 Staff List'!$LO$64,$CT93-1,BH$69-1)*BH154</f>
        <v>0</v>
      </c>
      <c r="BI93" s="1558">
        <f ca="1">OFFSET('2 Staff List'!$LO$64,$CT93-1,BI$69-1)*BI154</f>
        <v>0</v>
      </c>
      <c r="BJ93" s="1601">
        <f ca="1">OFFSET('2 Staff List'!$LO$64,$CT93-1,BJ$69-1)*BJ154</f>
        <v>0</v>
      </c>
      <c r="BK93" s="1602">
        <f ca="1">OFFSET('2 Staff List'!$LO$64,$CT93-1,BK$69-1)*BK154</f>
        <v>0</v>
      </c>
      <c r="BL93" s="1558">
        <f ca="1">OFFSET('2 Staff List'!$LO$64,$CT93-1,BL$69-1)*BL154</f>
        <v>0</v>
      </c>
      <c r="BM93" s="1558">
        <f ca="1">OFFSET('2 Staff List'!$LO$64,$CT93-1,BM$69-1)*BM154</f>
        <v>0</v>
      </c>
      <c r="BN93" s="1558">
        <f ca="1">OFFSET('2 Staff List'!$LO$64,$CT93-1,BN$69-1)*BN154</f>
        <v>0</v>
      </c>
      <c r="BO93" s="1558">
        <f ca="1">OFFSET('2 Staff List'!$LO$64,$CT93-1,BO$69-1)*BO154</f>
        <v>0</v>
      </c>
      <c r="BP93" s="1558">
        <f ca="1">OFFSET('2 Staff List'!$LO$64,$CT93-1,BP$69-1)*BP154</f>
        <v>0</v>
      </c>
      <c r="BQ93" s="1558">
        <f ca="1">OFFSET('2 Staff List'!$LO$64,$CT93-1,BQ$69-1)*BQ154</f>
        <v>0</v>
      </c>
      <c r="BR93" s="1558">
        <f ca="1">OFFSET('2 Staff List'!$LO$64,$CT93-1,BR$69-1)*BR154</f>
        <v>0</v>
      </c>
      <c r="BS93" s="1558">
        <f ca="1">OFFSET('2 Staff List'!$LO$64,$CT93-1,BS$69-1)*BS154</f>
        <v>0</v>
      </c>
      <c r="BT93" s="1558">
        <f ca="1">OFFSET('2 Staff List'!$LO$64,$CT93-1,BT$69-1)*BT154</f>
        <v>0</v>
      </c>
      <c r="BU93" s="295"/>
      <c r="BV93" s="295"/>
      <c r="BW93" s="295"/>
      <c r="BX93" s="295"/>
      <c r="BY93" s="295"/>
      <c r="BZ93" s="295"/>
      <c r="CA93" s="1024">
        <f ca="1">SUMIFS('3a Staff Plan'!$X$129:$X$305,'3a Staff Plan'!$DY$129:$DY$305,CZ93,'3a Staff Plan'!$DF$129:$DF$305,1,'3a Staff Plan'!$AG$129:$AG$305,1)</f>
        <v>0</v>
      </c>
      <c r="CB93" s="1025">
        <f ca="1">SUMIFS('3a Staff Plan'!$X$129:$X$305,'3a Staff Plan'!$DY$129:$DY$305,$CZ93,'3a Staff Plan'!$DF$129:$DF$305,1,'3a Staff Plan'!$AG$129:$AG$305,1,'3a Staff Plan'!$C$129:$C$305,DC$18)</f>
        <v>0</v>
      </c>
      <c r="CC93" s="1026">
        <f ca="1">SUMIFS('3a Staff Plan'!$X$129:$X$305,'3a Staff Plan'!$DY$129:$DY$305,$CZ93,'3a Staff Plan'!$DF$129:$DF$305,1,'3a Staff Plan'!$AG$129:$AG$305,1,'3a Staff Plan'!$C$129:$C$305,DD$18)</f>
        <v>0</v>
      </c>
      <c r="CD93" s="1026">
        <f ca="1">SUMIFS('3a Staff Plan'!$X$129:$X$305,'3a Staff Plan'!$DY$129:$DY$305,$CZ93,'3a Staff Plan'!$DF$129:$DF$305,1,'3a Staff Plan'!$AG$129:$AG$305,1,'3a Staff Plan'!$C$129:$C$305,DE$18)</f>
        <v>0</v>
      </c>
      <c r="CE93" s="1026">
        <f ca="1">SUMIFS('3a Staff Plan'!$X$129:$X$305,'3a Staff Plan'!$DY$129:$DY$305,$CZ93,'3a Staff Plan'!$DF$129:$DF$305,1,'3a Staff Plan'!$AG$129:$AG$305,1,'3a Staff Plan'!$C$129:$C$305,DF$18)</f>
        <v>0</v>
      </c>
      <c r="CF93" s="1026">
        <f ca="1">SUMIFS('3a Staff Plan'!$X$129:$X$305,'3a Staff Plan'!$DY$129:$DY$305,$CZ93,'3a Staff Plan'!$DF$129:$DF$305,1,'3a Staff Plan'!$AG$129:$AG$305,1,'3a Staff Plan'!$C$129:$C$305,DG$18)</f>
        <v>0</v>
      </c>
      <c r="CG93" s="1026">
        <f ca="1">SUMIFS('3a Staff Plan'!$X$129:$X$305,'3a Staff Plan'!$DY$129:$DY$305,$CZ93,'3a Staff Plan'!$DF$129:$DF$305,1,'3a Staff Plan'!$AG$129:$AG$305,1,'3a Staff Plan'!$C$129:$C$305,DH$18)</f>
        <v>0</v>
      </c>
      <c r="CH93" s="1026">
        <f ca="1">SUMIFS('3a Staff Plan'!$X$129:$X$305,'3a Staff Plan'!$DY$129:$DY$305,$CZ93,'3a Staff Plan'!$DF$129:$DF$305,1,'3a Staff Plan'!$AG$129:$AG$305,1,'3a Staff Plan'!$C$129:$C$305,DI$18)</f>
        <v>0</v>
      </c>
      <c r="CI93" s="755"/>
      <c r="CJ93" s="1024">
        <f ca="1">SUMPRODUCT(OFFSET('3b Activity Plan'!$DJ$67:$DJ$76,0,$CU93-1),OFFSET('3b Activity Plan'!$DJ$78:$DJ$87,0,CU93-1))</f>
        <v>0</v>
      </c>
      <c r="CK93" s="1025">
        <f t="shared" ca="1" si="43"/>
        <v>0</v>
      </c>
      <c r="CL93" s="1026">
        <f t="shared" ca="1" si="44"/>
        <v>0</v>
      </c>
      <c r="CM93" s="1026">
        <f t="shared" ca="1" si="45"/>
        <v>0</v>
      </c>
      <c r="CN93" s="1026">
        <f t="shared" ca="1" si="46"/>
        <v>0</v>
      </c>
      <c r="CO93" s="1026">
        <f t="shared" ca="1" si="47"/>
        <v>0</v>
      </c>
      <c r="CP93" s="1026">
        <f t="shared" ca="1" si="48"/>
        <v>0</v>
      </c>
      <c r="CQ93" s="1026">
        <f t="shared" ca="1" si="49"/>
        <v>0</v>
      </c>
      <c r="CR93" s="417"/>
      <c r="CS93" s="417">
        <f t="shared" si="50"/>
        <v>22</v>
      </c>
      <c r="CT93" s="417">
        <f ca="1">OFFSET('2 Staff List'!$GU$64,CS93-1,0)</f>
        <v>22</v>
      </c>
      <c r="CU93" s="417">
        <f ca="1">IF(CZ93=0,0,IFERROR(INDEX('3b Activity Plan'!$DJ$20:$FH$20,MATCH(CT93,'3b Activity Plan'!$DJ$171:$FH$171,0)),0))</f>
        <v>0</v>
      </c>
      <c r="CV93" s="417">
        <f ca="1">INDEX('2 Staff List'!$HW$64:$HW$114,CT93)</f>
        <v>0</v>
      </c>
      <c r="CW93" s="417"/>
      <c r="CY93" s="927">
        <f ca="1">OFFSET('2 Staff List'!$HZ$64,CS93-1,0)</f>
        <v>0</v>
      </c>
      <c r="CZ93" s="975">
        <f ca="1">OFFSET('2 Staff List'!$IA$64,CT93-1,0)</f>
        <v>0</v>
      </c>
      <c r="DA93" s="3845">
        <f t="shared" ca="1" si="51"/>
        <v>0</v>
      </c>
      <c r="DB93" s="3846"/>
      <c r="DC93" s="2408">
        <f t="shared" ca="1" si="52"/>
        <v>0</v>
      </c>
      <c r="DD93" s="2405">
        <f t="shared" ca="1" si="53"/>
        <v>0</v>
      </c>
      <c r="DE93" s="2401">
        <f t="shared" ca="1" si="54"/>
        <v>0</v>
      </c>
      <c r="DF93" s="2405">
        <f t="shared" ca="1" si="55"/>
        <v>0</v>
      </c>
      <c r="DG93" s="2405">
        <f t="shared" ca="1" si="56"/>
        <v>0</v>
      </c>
      <c r="DH93" s="2406">
        <f t="shared" ca="1" si="57"/>
        <v>0</v>
      </c>
      <c r="DI93" s="2407">
        <f t="shared" ca="1" si="58"/>
        <v>0</v>
      </c>
    </row>
    <row r="94" spans="1:113" ht="15.9" customHeight="1" x14ac:dyDescent="0.25">
      <c r="A94" s="295"/>
      <c r="B94" s="295"/>
      <c r="C94" s="1558">
        <f ca="1">OFFSET('2 Staff List'!$LO$64,$CT94-1,C$69-1)*C155</f>
        <v>0</v>
      </c>
      <c r="D94" s="1558">
        <f ca="1">OFFSET('2 Staff List'!$LO$64,$CT94-1,D$69-1)*D155</f>
        <v>0</v>
      </c>
      <c r="E94" s="1558">
        <f ca="1">OFFSET('2 Staff List'!$LO$64,$CT94-1,E$69-1)*E155</f>
        <v>0</v>
      </c>
      <c r="F94" s="1558">
        <f ca="1">OFFSET('2 Staff List'!$LO$64,$CT94-1,F$69-1)*F155</f>
        <v>0</v>
      </c>
      <c r="G94" s="1558">
        <f ca="1">OFFSET('2 Staff List'!$LO$64,$CT94-1,G$69-1)*G155</f>
        <v>0</v>
      </c>
      <c r="H94" s="1558">
        <f ca="1">OFFSET('2 Staff List'!$LO$64,$CT94-1,H$69-1)*H155</f>
        <v>0</v>
      </c>
      <c r="I94" s="1558">
        <f ca="1">OFFSET('2 Staff List'!$LO$64,$CT94-1,I$69-1)*I155</f>
        <v>0</v>
      </c>
      <c r="J94" s="1558">
        <f ca="1">OFFSET('2 Staff List'!$LO$64,$CT94-1,J$69-1)*J155</f>
        <v>0</v>
      </c>
      <c r="K94" s="1558">
        <f ca="1">OFFSET('2 Staff List'!$LO$64,$CT94-1,K$69-1)*K155</f>
        <v>0</v>
      </c>
      <c r="L94" s="1601">
        <f ca="1">OFFSET('2 Staff List'!$LO$64,$CT94-1,L$69-1)*L155</f>
        <v>0</v>
      </c>
      <c r="M94" s="1602">
        <f ca="1">OFFSET('2 Staff List'!$LO$64,$CT94-1,M$69-1)*M155</f>
        <v>0</v>
      </c>
      <c r="N94" s="1558">
        <f ca="1">OFFSET('2 Staff List'!$LO$64,$CT94-1,N$69-1)*N155</f>
        <v>0</v>
      </c>
      <c r="O94" s="1558">
        <f ca="1">OFFSET('2 Staff List'!$LO$64,$CT94-1,O$69-1)*O155</f>
        <v>0</v>
      </c>
      <c r="P94" s="1558">
        <f ca="1">OFFSET('2 Staff List'!$LO$64,$CT94-1,P$69-1)*P155</f>
        <v>0</v>
      </c>
      <c r="Q94" s="1558">
        <f ca="1">OFFSET('2 Staff List'!$LO$64,$CT94-1,Q$69-1)*Q155</f>
        <v>0</v>
      </c>
      <c r="R94" s="1558">
        <f ca="1">OFFSET('2 Staff List'!$LO$64,$CT94-1,R$69-1)*R155</f>
        <v>0</v>
      </c>
      <c r="S94" s="1558">
        <f ca="1">OFFSET('2 Staff List'!$LO$64,$CT94-1,S$69-1)*S155</f>
        <v>0</v>
      </c>
      <c r="T94" s="1558">
        <f ca="1">OFFSET('2 Staff List'!$LO$64,$CT94-1,T$69-1)*T155</f>
        <v>0</v>
      </c>
      <c r="U94" s="1558">
        <f ca="1">OFFSET('2 Staff List'!$LO$64,$CT94-1,U$69-1)*U155</f>
        <v>0</v>
      </c>
      <c r="V94" s="1601">
        <f ca="1">OFFSET('2 Staff List'!$LO$64,$CT94-1,V$69-1)*V155</f>
        <v>0</v>
      </c>
      <c r="W94" s="1602">
        <f ca="1">OFFSET('2 Staff List'!$LO$64,$CT94-1,W$69-1)*W155</f>
        <v>0</v>
      </c>
      <c r="X94" s="1558">
        <f ca="1">OFFSET('2 Staff List'!$LO$64,$CT94-1,X$69-1)*X155</f>
        <v>0</v>
      </c>
      <c r="Y94" s="1558">
        <f ca="1">OFFSET('2 Staff List'!$LO$64,$CT94-1,Y$69-1)*Y155</f>
        <v>0</v>
      </c>
      <c r="Z94" s="1558">
        <f ca="1">OFFSET('2 Staff List'!$LO$64,$CT94-1,Z$69-1)*Z155</f>
        <v>0</v>
      </c>
      <c r="AA94" s="1558">
        <f ca="1">OFFSET('2 Staff List'!$LO$64,$CT94-1,AA$69-1)*AA155</f>
        <v>0</v>
      </c>
      <c r="AB94" s="1558">
        <f ca="1">OFFSET('2 Staff List'!$LO$64,$CT94-1,AB$69-1)*AB155</f>
        <v>0</v>
      </c>
      <c r="AC94" s="1558">
        <f ca="1">OFFSET('2 Staff List'!$LO$64,$CT94-1,AC$69-1)*AC155</f>
        <v>0</v>
      </c>
      <c r="AD94" s="1558">
        <f ca="1">OFFSET('2 Staff List'!$LO$64,$CT94-1,AD$69-1)*AD155</f>
        <v>0</v>
      </c>
      <c r="AE94" s="1558">
        <f ca="1">OFFSET('2 Staff List'!$LO$64,$CT94-1,AE$69-1)*AE155</f>
        <v>0</v>
      </c>
      <c r="AF94" s="1601">
        <f ca="1">OFFSET('2 Staff List'!$LO$64,$CT94-1,AF$69-1)*AF155</f>
        <v>0</v>
      </c>
      <c r="AG94" s="1602">
        <f ca="1">OFFSET('2 Staff List'!$LO$64,$CT94-1,AG$69-1)*AG155</f>
        <v>0</v>
      </c>
      <c r="AH94" s="1558">
        <f ca="1">OFFSET('2 Staff List'!$LO$64,$CT94-1,AH$69-1)*AH155</f>
        <v>0</v>
      </c>
      <c r="AI94" s="1558">
        <f ca="1">OFFSET('2 Staff List'!$LO$64,$CT94-1,AI$69-1)*AI155</f>
        <v>0</v>
      </c>
      <c r="AJ94" s="1558">
        <f ca="1">OFFSET('2 Staff List'!$LO$64,$CT94-1,AJ$69-1)*AJ155</f>
        <v>0</v>
      </c>
      <c r="AK94" s="1558">
        <f ca="1">OFFSET('2 Staff List'!$LO$64,$CT94-1,AK$69-1)*AK155</f>
        <v>0</v>
      </c>
      <c r="AL94" s="1558">
        <f ca="1">OFFSET('2 Staff List'!$LO$64,$CT94-1,AL$69-1)*AL155</f>
        <v>0</v>
      </c>
      <c r="AM94" s="1558">
        <f ca="1">OFFSET('2 Staff List'!$LO$64,$CT94-1,AM$69-1)*AM155</f>
        <v>0</v>
      </c>
      <c r="AN94" s="1558">
        <f ca="1">OFFSET('2 Staff List'!$LO$64,$CT94-1,AN$69-1)*AN155</f>
        <v>0</v>
      </c>
      <c r="AO94" s="1558">
        <f ca="1">OFFSET('2 Staff List'!$LO$64,$CT94-1,AO$69-1)*AO155</f>
        <v>0</v>
      </c>
      <c r="AP94" s="1601">
        <f ca="1">OFFSET('2 Staff List'!$LO$64,$CT94-1,AP$69-1)*AP155</f>
        <v>0</v>
      </c>
      <c r="AQ94" s="1602">
        <f ca="1">OFFSET('2 Staff List'!$LO$64,$CT94-1,AQ$69-1)*AQ155</f>
        <v>0</v>
      </c>
      <c r="AR94" s="1558">
        <f ca="1">OFFSET('2 Staff List'!$LO$64,$CT94-1,AR$69-1)*AR155</f>
        <v>0</v>
      </c>
      <c r="AS94" s="1558">
        <f ca="1">OFFSET('2 Staff List'!$LO$64,$CT94-1,AS$69-1)*AS155</f>
        <v>0</v>
      </c>
      <c r="AT94" s="1558">
        <f ca="1">OFFSET('2 Staff List'!$LO$64,$CT94-1,AT$69-1)*AT155</f>
        <v>0</v>
      </c>
      <c r="AU94" s="1558">
        <f ca="1">OFFSET('2 Staff List'!$LO$64,$CT94-1,AU$69-1)*AU155</f>
        <v>0</v>
      </c>
      <c r="AV94" s="1558">
        <f ca="1">OFFSET('2 Staff List'!$LO$64,$CT94-1,AV$69-1)*AV155</f>
        <v>0</v>
      </c>
      <c r="AW94" s="1558">
        <f ca="1">OFFSET('2 Staff List'!$LO$64,$CT94-1,AW$69-1)*AW155</f>
        <v>0</v>
      </c>
      <c r="AX94" s="1558">
        <f ca="1">OFFSET('2 Staff List'!$LO$64,$CT94-1,AX$69-1)*AX155</f>
        <v>0</v>
      </c>
      <c r="AY94" s="1558">
        <f ca="1">OFFSET('2 Staff List'!$LO$64,$CT94-1,AY$69-1)*AY155</f>
        <v>0</v>
      </c>
      <c r="AZ94" s="1601">
        <f ca="1">OFFSET('2 Staff List'!$LO$64,$CT94-1,AZ$69-1)*AZ155</f>
        <v>0</v>
      </c>
      <c r="BA94" s="1602">
        <f ca="1">OFFSET('2 Staff List'!$LO$64,$CT94-1,BA$69-1)*BA155</f>
        <v>0</v>
      </c>
      <c r="BB94" s="1558">
        <f ca="1">OFFSET('2 Staff List'!$LO$64,$CT94-1,BB$69-1)*BB155</f>
        <v>0</v>
      </c>
      <c r="BC94" s="1558">
        <f ca="1">OFFSET('2 Staff List'!$LO$64,$CT94-1,BC$69-1)*BC155</f>
        <v>0</v>
      </c>
      <c r="BD94" s="1558">
        <f ca="1">OFFSET('2 Staff List'!$LO$64,$CT94-1,BD$69-1)*BD155</f>
        <v>0</v>
      </c>
      <c r="BE94" s="1558">
        <f ca="1">OFFSET('2 Staff List'!$LO$64,$CT94-1,BE$69-1)*BE155</f>
        <v>0</v>
      </c>
      <c r="BF94" s="1558">
        <f ca="1">OFFSET('2 Staff List'!$LO$64,$CT94-1,BF$69-1)*BF155</f>
        <v>0</v>
      </c>
      <c r="BG94" s="1558">
        <f ca="1">OFFSET('2 Staff List'!$LO$64,$CT94-1,BG$69-1)*BG155</f>
        <v>0</v>
      </c>
      <c r="BH94" s="1558">
        <f ca="1">OFFSET('2 Staff List'!$LO$64,$CT94-1,BH$69-1)*BH155</f>
        <v>0</v>
      </c>
      <c r="BI94" s="1558">
        <f ca="1">OFFSET('2 Staff List'!$LO$64,$CT94-1,BI$69-1)*BI155</f>
        <v>0</v>
      </c>
      <c r="BJ94" s="1601">
        <f ca="1">OFFSET('2 Staff List'!$LO$64,$CT94-1,BJ$69-1)*BJ155</f>
        <v>0</v>
      </c>
      <c r="BK94" s="1602">
        <f ca="1">OFFSET('2 Staff List'!$LO$64,$CT94-1,BK$69-1)*BK155</f>
        <v>0</v>
      </c>
      <c r="BL94" s="1558">
        <f ca="1">OFFSET('2 Staff List'!$LO$64,$CT94-1,BL$69-1)*BL155</f>
        <v>0</v>
      </c>
      <c r="BM94" s="1558">
        <f ca="1">OFFSET('2 Staff List'!$LO$64,$CT94-1,BM$69-1)*BM155</f>
        <v>0</v>
      </c>
      <c r="BN94" s="1558">
        <f ca="1">OFFSET('2 Staff List'!$LO$64,$CT94-1,BN$69-1)*BN155</f>
        <v>0</v>
      </c>
      <c r="BO94" s="1558">
        <f ca="1">OFFSET('2 Staff List'!$LO$64,$CT94-1,BO$69-1)*BO155</f>
        <v>0</v>
      </c>
      <c r="BP94" s="1558">
        <f ca="1">OFFSET('2 Staff List'!$LO$64,$CT94-1,BP$69-1)*BP155</f>
        <v>0</v>
      </c>
      <c r="BQ94" s="1558">
        <f ca="1">OFFSET('2 Staff List'!$LO$64,$CT94-1,BQ$69-1)*BQ155</f>
        <v>0</v>
      </c>
      <c r="BR94" s="1558">
        <f ca="1">OFFSET('2 Staff List'!$LO$64,$CT94-1,BR$69-1)*BR155</f>
        <v>0</v>
      </c>
      <c r="BS94" s="1558">
        <f ca="1">OFFSET('2 Staff List'!$LO$64,$CT94-1,BS$69-1)*BS155</f>
        <v>0</v>
      </c>
      <c r="BT94" s="1558">
        <f ca="1">OFFSET('2 Staff List'!$LO$64,$CT94-1,BT$69-1)*BT155</f>
        <v>0</v>
      </c>
      <c r="BU94" s="295"/>
      <c r="BV94" s="295"/>
      <c r="BW94" s="295"/>
      <c r="BX94" s="295"/>
      <c r="BY94" s="295"/>
      <c r="BZ94" s="295"/>
      <c r="CA94" s="1024">
        <f ca="1">SUMIFS('3a Staff Plan'!$X$129:$X$305,'3a Staff Plan'!$DY$129:$DY$305,CZ94,'3a Staff Plan'!$DF$129:$DF$305,1,'3a Staff Plan'!$AG$129:$AG$305,1)</f>
        <v>0</v>
      </c>
      <c r="CB94" s="1025">
        <f ca="1">SUMIFS('3a Staff Plan'!$X$129:$X$305,'3a Staff Plan'!$DY$129:$DY$305,$CZ94,'3a Staff Plan'!$DF$129:$DF$305,1,'3a Staff Plan'!$AG$129:$AG$305,1,'3a Staff Plan'!$C$129:$C$305,DC$18)</f>
        <v>0</v>
      </c>
      <c r="CC94" s="1026">
        <f ca="1">SUMIFS('3a Staff Plan'!$X$129:$X$305,'3a Staff Plan'!$DY$129:$DY$305,$CZ94,'3a Staff Plan'!$DF$129:$DF$305,1,'3a Staff Plan'!$AG$129:$AG$305,1,'3a Staff Plan'!$C$129:$C$305,DD$18)</f>
        <v>0</v>
      </c>
      <c r="CD94" s="1026">
        <f ca="1">SUMIFS('3a Staff Plan'!$X$129:$X$305,'3a Staff Plan'!$DY$129:$DY$305,$CZ94,'3a Staff Plan'!$DF$129:$DF$305,1,'3a Staff Plan'!$AG$129:$AG$305,1,'3a Staff Plan'!$C$129:$C$305,DE$18)</f>
        <v>0</v>
      </c>
      <c r="CE94" s="1026">
        <f ca="1">SUMIFS('3a Staff Plan'!$X$129:$X$305,'3a Staff Plan'!$DY$129:$DY$305,$CZ94,'3a Staff Plan'!$DF$129:$DF$305,1,'3a Staff Plan'!$AG$129:$AG$305,1,'3a Staff Plan'!$C$129:$C$305,DF$18)</f>
        <v>0</v>
      </c>
      <c r="CF94" s="1026">
        <f ca="1">SUMIFS('3a Staff Plan'!$X$129:$X$305,'3a Staff Plan'!$DY$129:$DY$305,$CZ94,'3a Staff Plan'!$DF$129:$DF$305,1,'3a Staff Plan'!$AG$129:$AG$305,1,'3a Staff Plan'!$C$129:$C$305,DG$18)</f>
        <v>0</v>
      </c>
      <c r="CG94" s="1026">
        <f ca="1">SUMIFS('3a Staff Plan'!$X$129:$X$305,'3a Staff Plan'!$DY$129:$DY$305,$CZ94,'3a Staff Plan'!$DF$129:$DF$305,1,'3a Staff Plan'!$AG$129:$AG$305,1,'3a Staff Plan'!$C$129:$C$305,DH$18)</f>
        <v>0</v>
      </c>
      <c r="CH94" s="1026">
        <f ca="1">SUMIFS('3a Staff Plan'!$X$129:$X$305,'3a Staff Plan'!$DY$129:$DY$305,$CZ94,'3a Staff Plan'!$DF$129:$DF$305,1,'3a Staff Plan'!$AG$129:$AG$305,1,'3a Staff Plan'!$C$129:$C$305,DI$18)</f>
        <v>0</v>
      </c>
      <c r="CI94" s="755"/>
      <c r="CJ94" s="1024">
        <f ca="1">SUMPRODUCT(OFFSET('3b Activity Plan'!$DJ$67:$DJ$76,0,$CU94-1),OFFSET('3b Activity Plan'!$DJ$78:$DJ$87,0,CU94-1))</f>
        <v>0</v>
      </c>
      <c r="CK94" s="1025">
        <f t="shared" ca="1" si="43"/>
        <v>0</v>
      </c>
      <c r="CL94" s="1026">
        <f t="shared" ca="1" si="44"/>
        <v>0</v>
      </c>
      <c r="CM94" s="1026">
        <f t="shared" ca="1" si="45"/>
        <v>0</v>
      </c>
      <c r="CN94" s="1026">
        <f t="shared" ca="1" si="46"/>
        <v>0</v>
      </c>
      <c r="CO94" s="1026">
        <f t="shared" ca="1" si="47"/>
        <v>0</v>
      </c>
      <c r="CP94" s="1026">
        <f t="shared" ca="1" si="48"/>
        <v>0</v>
      </c>
      <c r="CQ94" s="1026">
        <f t="shared" ca="1" si="49"/>
        <v>0</v>
      </c>
      <c r="CR94" s="417"/>
      <c r="CS94" s="417">
        <f t="shared" si="50"/>
        <v>23</v>
      </c>
      <c r="CT94" s="417">
        <f ca="1">OFFSET('2 Staff List'!$GU$64,CS94-1,0)</f>
        <v>23</v>
      </c>
      <c r="CU94" s="417">
        <f ca="1">IF(CZ94=0,0,IFERROR(INDEX('3b Activity Plan'!$DJ$20:$FH$20,MATCH(CT94,'3b Activity Plan'!$DJ$171:$FH$171,0)),0))</f>
        <v>0</v>
      </c>
      <c r="CV94" s="417">
        <f ca="1">INDEX('2 Staff List'!$HW$64:$HW$114,CT94)</f>
        <v>0</v>
      </c>
      <c r="CW94" s="417"/>
      <c r="CY94" s="927">
        <f ca="1">OFFSET('2 Staff List'!$HZ$64,CS94-1,0)</f>
        <v>0</v>
      </c>
      <c r="CZ94" s="975">
        <f ca="1">OFFSET('2 Staff List'!$IA$64,CT94-1,0)</f>
        <v>0</v>
      </c>
      <c r="DA94" s="3845">
        <f t="shared" ca="1" si="51"/>
        <v>0</v>
      </c>
      <c r="DB94" s="3846"/>
      <c r="DC94" s="2408">
        <f t="shared" ca="1" si="52"/>
        <v>0</v>
      </c>
      <c r="DD94" s="2405">
        <f t="shared" ca="1" si="53"/>
        <v>0</v>
      </c>
      <c r="DE94" s="2401">
        <f t="shared" ca="1" si="54"/>
        <v>0</v>
      </c>
      <c r="DF94" s="2405">
        <f t="shared" ca="1" si="55"/>
        <v>0</v>
      </c>
      <c r="DG94" s="2405">
        <f t="shared" ca="1" si="56"/>
        <v>0</v>
      </c>
      <c r="DH94" s="2406">
        <f t="shared" ca="1" si="57"/>
        <v>0</v>
      </c>
      <c r="DI94" s="2407">
        <f t="shared" ca="1" si="58"/>
        <v>0</v>
      </c>
    </row>
    <row r="95" spans="1:113" ht="15.9" customHeight="1" x14ac:dyDescent="0.25">
      <c r="A95" s="295"/>
      <c r="B95" s="295"/>
      <c r="C95" s="1558">
        <f ca="1">OFFSET('2 Staff List'!$LO$64,$CT95-1,C$69-1)*C156</f>
        <v>0</v>
      </c>
      <c r="D95" s="1558">
        <f ca="1">OFFSET('2 Staff List'!$LO$64,$CT95-1,D$69-1)*D156</f>
        <v>0</v>
      </c>
      <c r="E95" s="1558">
        <f ca="1">OFFSET('2 Staff List'!$LO$64,$CT95-1,E$69-1)*E156</f>
        <v>0</v>
      </c>
      <c r="F95" s="1558">
        <f ca="1">OFFSET('2 Staff List'!$LO$64,$CT95-1,F$69-1)*F156</f>
        <v>0</v>
      </c>
      <c r="G95" s="1558">
        <f ca="1">OFFSET('2 Staff List'!$LO$64,$CT95-1,G$69-1)*G156</f>
        <v>0</v>
      </c>
      <c r="H95" s="1558">
        <f ca="1">OFFSET('2 Staff List'!$LO$64,$CT95-1,H$69-1)*H156</f>
        <v>0</v>
      </c>
      <c r="I95" s="1558">
        <f ca="1">OFFSET('2 Staff List'!$LO$64,$CT95-1,I$69-1)*I156</f>
        <v>0</v>
      </c>
      <c r="J95" s="1558">
        <f ca="1">OFFSET('2 Staff List'!$LO$64,$CT95-1,J$69-1)*J156</f>
        <v>0</v>
      </c>
      <c r="K95" s="1558">
        <f ca="1">OFFSET('2 Staff List'!$LO$64,$CT95-1,K$69-1)*K156</f>
        <v>0</v>
      </c>
      <c r="L95" s="1601">
        <f ca="1">OFFSET('2 Staff List'!$LO$64,$CT95-1,L$69-1)*L156</f>
        <v>0</v>
      </c>
      <c r="M95" s="1602">
        <f ca="1">OFFSET('2 Staff List'!$LO$64,$CT95-1,M$69-1)*M156</f>
        <v>0</v>
      </c>
      <c r="N95" s="1558">
        <f ca="1">OFFSET('2 Staff List'!$LO$64,$CT95-1,N$69-1)*N156</f>
        <v>0</v>
      </c>
      <c r="O95" s="1558">
        <f ca="1">OFFSET('2 Staff List'!$LO$64,$CT95-1,O$69-1)*O156</f>
        <v>0</v>
      </c>
      <c r="P95" s="1558">
        <f ca="1">OFFSET('2 Staff List'!$LO$64,$CT95-1,P$69-1)*P156</f>
        <v>0</v>
      </c>
      <c r="Q95" s="1558">
        <f ca="1">OFFSET('2 Staff List'!$LO$64,$CT95-1,Q$69-1)*Q156</f>
        <v>0</v>
      </c>
      <c r="R95" s="1558">
        <f ca="1">OFFSET('2 Staff List'!$LO$64,$CT95-1,R$69-1)*R156</f>
        <v>0</v>
      </c>
      <c r="S95" s="1558">
        <f ca="1">OFFSET('2 Staff List'!$LO$64,$CT95-1,S$69-1)*S156</f>
        <v>0</v>
      </c>
      <c r="T95" s="1558">
        <f ca="1">OFFSET('2 Staff List'!$LO$64,$CT95-1,T$69-1)*T156</f>
        <v>0</v>
      </c>
      <c r="U95" s="1558">
        <f ca="1">OFFSET('2 Staff List'!$LO$64,$CT95-1,U$69-1)*U156</f>
        <v>0</v>
      </c>
      <c r="V95" s="1601">
        <f ca="1">OFFSET('2 Staff List'!$LO$64,$CT95-1,V$69-1)*V156</f>
        <v>0</v>
      </c>
      <c r="W95" s="1602">
        <f ca="1">OFFSET('2 Staff List'!$LO$64,$CT95-1,W$69-1)*W156</f>
        <v>0</v>
      </c>
      <c r="X95" s="1558">
        <f ca="1">OFFSET('2 Staff List'!$LO$64,$CT95-1,X$69-1)*X156</f>
        <v>0</v>
      </c>
      <c r="Y95" s="1558">
        <f ca="1">OFFSET('2 Staff List'!$LO$64,$CT95-1,Y$69-1)*Y156</f>
        <v>0</v>
      </c>
      <c r="Z95" s="1558">
        <f ca="1">OFFSET('2 Staff List'!$LO$64,$CT95-1,Z$69-1)*Z156</f>
        <v>0</v>
      </c>
      <c r="AA95" s="1558">
        <f ca="1">OFFSET('2 Staff List'!$LO$64,$CT95-1,AA$69-1)*AA156</f>
        <v>0</v>
      </c>
      <c r="AB95" s="1558">
        <f ca="1">OFFSET('2 Staff List'!$LO$64,$CT95-1,AB$69-1)*AB156</f>
        <v>0</v>
      </c>
      <c r="AC95" s="1558">
        <f ca="1">OFFSET('2 Staff List'!$LO$64,$CT95-1,AC$69-1)*AC156</f>
        <v>0</v>
      </c>
      <c r="AD95" s="1558">
        <f ca="1">OFFSET('2 Staff List'!$LO$64,$CT95-1,AD$69-1)*AD156</f>
        <v>0</v>
      </c>
      <c r="AE95" s="1558">
        <f ca="1">OFFSET('2 Staff List'!$LO$64,$CT95-1,AE$69-1)*AE156</f>
        <v>0</v>
      </c>
      <c r="AF95" s="1601">
        <f ca="1">OFFSET('2 Staff List'!$LO$64,$CT95-1,AF$69-1)*AF156</f>
        <v>0</v>
      </c>
      <c r="AG95" s="1602">
        <f ca="1">OFFSET('2 Staff List'!$LO$64,$CT95-1,AG$69-1)*AG156</f>
        <v>0</v>
      </c>
      <c r="AH95" s="1558">
        <f ca="1">OFFSET('2 Staff List'!$LO$64,$CT95-1,AH$69-1)*AH156</f>
        <v>0</v>
      </c>
      <c r="AI95" s="1558">
        <f ca="1">OFFSET('2 Staff List'!$LO$64,$CT95-1,AI$69-1)*AI156</f>
        <v>0</v>
      </c>
      <c r="AJ95" s="1558">
        <f ca="1">OFFSET('2 Staff List'!$LO$64,$CT95-1,AJ$69-1)*AJ156</f>
        <v>0</v>
      </c>
      <c r="AK95" s="1558">
        <f ca="1">OFFSET('2 Staff List'!$LO$64,$CT95-1,AK$69-1)*AK156</f>
        <v>0</v>
      </c>
      <c r="AL95" s="1558">
        <f ca="1">OFFSET('2 Staff List'!$LO$64,$CT95-1,AL$69-1)*AL156</f>
        <v>0</v>
      </c>
      <c r="AM95" s="1558">
        <f ca="1">OFFSET('2 Staff List'!$LO$64,$CT95-1,AM$69-1)*AM156</f>
        <v>0</v>
      </c>
      <c r="AN95" s="1558">
        <f ca="1">OFFSET('2 Staff List'!$LO$64,$CT95-1,AN$69-1)*AN156</f>
        <v>0</v>
      </c>
      <c r="AO95" s="1558">
        <f ca="1">OFFSET('2 Staff List'!$LO$64,$CT95-1,AO$69-1)*AO156</f>
        <v>0</v>
      </c>
      <c r="AP95" s="1601">
        <f ca="1">OFFSET('2 Staff List'!$LO$64,$CT95-1,AP$69-1)*AP156</f>
        <v>0</v>
      </c>
      <c r="AQ95" s="1602">
        <f ca="1">OFFSET('2 Staff List'!$LO$64,$CT95-1,AQ$69-1)*AQ156</f>
        <v>0</v>
      </c>
      <c r="AR95" s="1558">
        <f ca="1">OFFSET('2 Staff List'!$LO$64,$CT95-1,AR$69-1)*AR156</f>
        <v>0</v>
      </c>
      <c r="AS95" s="1558">
        <f ca="1">OFFSET('2 Staff List'!$LO$64,$CT95-1,AS$69-1)*AS156</f>
        <v>0</v>
      </c>
      <c r="AT95" s="1558">
        <f ca="1">OFFSET('2 Staff List'!$LO$64,$CT95-1,AT$69-1)*AT156</f>
        <v>0</v>
      </c>
      <c r="AU95" s="1558">
        <f ca="1">OFFSET('2 Staff List'!$LO$64,$CT95-1,AU$69-1)*AU156</f>
        <v>0</v>
      </c>
      <c r="AV95" s="1558">
        <f ca="1">OFFSET('2 Staff List'!$LO$64,$CT95-1,AV$69-1)*AV156</f>
        <v>0</v>
      </c>
      <c r="AW95" s="1558">
        <f ca="1">OFFSET('2 Staff List'!$LO$64,$CT95-1,AW$69-1)*AW156</f>
        <v>0</v>
      </c>
      <c r="AX95" s="1558">
        <f ca="1">OFFSET('2 Staff List'!$LO$64,$CT95-1,AX$69-1)*AX156</f>
        <v>0</v>
      </c>
      <c r="AY95" s="1558">
        <f ca="1">OFFSET('2 Staff List'!$LO$64,$CT95-1,AY$69-1)*AY156</f>
        <v>0</v>
      </c>
      <c r="AZ95" s="1601">
        <f ca="1">OFFSET('2 Staff List'!$LO$64,$CT95-1,AZ$69-1)*AZ156</f>
        <v>0</v>
      </c>
      <c r="BA95" s="1602">
        <f ca="1">OFFSET('2 Staff List'!$LO$64,$CT95-1,BA$69-1)*BA156</f>
        <v>0</v>
      </c>
      <c r="BB95" s="1558">
        <f ca="1">OFFSET('2 Staff List'!$LO$64,$CT95-1,BB$69-1)*BB156</f>
        <v>0</v>
      </c>
      <c r="BC95" s="1558">
        <f ca="1">OFFSET('2 Staff List'!$LO$64,$CT95-1,BC$69-1)*BC156</f>
        <v>0</v>
      </c>
      <c r="BD95" s="1558">
        <f ca="1">OFFSET('2 Staff List'!$LO$64,$CT95-1,BD$69-1)*BD156</f>
        <v>0</v>
      </c>
      <c r="BE95" s="1558">
        <f ca="1">OFFSET('2 Staff List'!$LO$64,$CT95-1,BE$69-1)*BE156</f>
        <v>0</v>
      </c>
      <c r="BF95" s="1558">
        <f ca="1">OFFSET('2 Staff List'!$LO$64,$CT95-1,BF$69-1)*BF156</f>
        <v>0</v>
      </c>
      <c r="BG95" s="1558">
        <f ca="1">OFFSET('2 Staff List'!$LO$64,$CT95-1,BG$69-1)*BG156</f>
        <v>0</v>
      </c>
      <c r="BH95" s="1558">
        <f ca="1">OFFSET('2 Staff List'!$LO$64,$CT95-1,BH$69-1)*BH156</f>
        <v>0</v>
      </c>
      <c r="BI95" s="1558">
        <f ca="1">OFFSET('2 Staff List'!$LO$64,$CT95-1,BI$69-1)*BI156</f>
        <v>0</v>
      </c>
      <c r="BJ95" s="1601">
        <f ca="1">OFFSET('2 Staff List'!$LO$64,$CT95-1,BJ$69-1)*BJ156</f>
        <v>0</v>
      </c>
      <c r="BK95" s="1602">
        <f ca="1">OFFSET('2 Staff List'!$LO$64,$CT95-1,BK$69-1)*BK156</f>
        <v>0</v>
      </c>
      <c r="BL95" s="1558">
        <f ca="1">OFFSET('2 Staff List'!$LO$64,$CT95-1,BL$69-1)*BL156</f>
        <v>0</v>
      </c>
      <c r="BM95" s="1558">
        <f ca="1">OFFSET('2 Staff List'!$LO$64,$CT95-1,BM$69-1)*BM156</f>
        <v>0</v>
      </c>
      <c r="BN95" s="1558">
        <f ca="1">OFFSET('2 Staff List'!$LO$64,$CT95-1,BN$69-1)*BN156</f>
        <v>0</v>
      </c>
      <c r="BO95" s="1558">
        <f ca="1">OFFSET('2 Staff List'!$LO$64,$CT95-1,BO$69-1)*BO156</f>
        <v>0</v>
      </c>
      <c r="BP95" s="1558">
        <f ca="1">OFFSET('2 Staff List'!$LO$64,$CT95-1,BP$69-1)*BP156</f>
        <v>0</v>
      </c>
      <c r="BQ95" s="1558">
        <f ca="1">OFFSET('2 Staff List'!$LO$64,$CT95-1,BQ$69-1)*BQ156</f>
        <v>0</v>
      </c>
      <c r="BR95" s="1558">
        <f ca="1">OFFSET('2 Staff List'!$LO$64,$CT95-1,BR$69-1)*BR156</f>
        <v>0</v>
      </c>
      <c r="BS95" s="1558">
        <f ca="1">OFFSET('2 Staff List'!$LO$64,$CT95-1,BS$69-1)*BS156</f>
        <v>0</v>
      </c>
      <c r="BT95" s="1558">
        <f ca="1">OFFSET('2 Staff List'!$LO$64,$CT95-1,BT$69-1)*BT156</f>
        <v>0</v>
      </c>
      <c r="BU95" s="295"/>
      <c r="BV95" s="295"/>
      <c r="BW95" s="295"/>
      <c r="BX95" s="295"/>
      <c r="BY95" s="295"/>
      <c r="BZ95" s="295"/>
      <c r="CA95" s="1024">
        <f ca="1">SUMIFS('3a Staff Plan'!$X$129:$X$305,'3a Staff Plan'!$DY$129:$DY$305,CZ95,'3a Staff Plan'!$DF$129:$DF$305,1,'3a Staff Plan'!$AG$129:$AG$305,1)</f>
        <v>0</v>
      </c>
      <c r="CB95" s="1025">
        <f ca="1">SUMIFS('3a Staff Plan'!$X$129:$X$305,'3a Staff Plan'!$DY$129:$DY$305,$CZ95,'3a Staff Plan'!$DF$129:$DF$305,1,'3a Staff Plan'!$AG$129:$AG$305,1,'3a Staff Plan'!$C$129:$C$305,DC$18)</f>
        <v>0</v>
      </c>
      <c r="CC95" s="1026">
        <f ca="1">SUMIFS('3a Staff Plan'!$X$129:$X$305,'3a Staff Plan'!$DY$129:$DY$305,$CZ95,'3a Staff Plan'!$DF$129:$DF$305,1,'3a Staff Plan'!$AG$129:$AG$305,1,'3a Staff Plan'!$C$129:$C$305,DD$18)</f>
        <v>0</v>
      </c>
      <c r="CD95" s="1026">
        <f ca="1">SUMIFS('3a Staff Plan'!$X$129:$X$305,'3a Staff Plan'!$DY$129:$DY$305,$CZ95,'3a Staff Plan'!$DF$129:$DF$305,1,'3a Staff Plan'!$AG$129:$AG$305,1,'3a Staff Plan'!$C$129:$C$305,DE$18)</f>
        <v>0</v>
      </c>
      <c r="CE95" s="1026">
        <f ca="1">SUMIFS('3a Staff Plan'!$X$129:$X$305,'3a Staff Plan'!$DY$129:$DY$305,$CZ95,'3a Staff Plan'!$DF$129:$DF$305,1,'3a Staff Plan'!$AG$129:$AG$305,1,'3a Staff Plan'!$C$129:$C$305,DF$18)</f>
        <v>0</v>
      </c>
      <c r="CF95" s="1026">
        <f ca="1">SUMIFS('3a Staff Plan'!$X$129:$X$305,'3a Staff Plan'!$DY$129:$DY$305,$CZ95,'3a Staff Plan'!$DF$129:$DF$305,1,'3a Staff Plan'!$AG$129:$AG$305,1,'3a Staff Plan'!$C$129:$C$305,DG$18)</f>
        <v>0</v>
      </c>
      <c r="CG95" s="1026">
        <f ca="1">SUMIFS('3a Staff Plan'!$X$129:$X$305,'3a Staff Plan'!$DY$129:$DY$305,$CZ95,'3a Staff Plan'!$DF$129:$DF$305,1,'3a Staff Plan'!$AG$129:$AG$305,1,'3a Staff Plan'!$C$129:$C$305,DH$18)</f>
        <v>0</v>
      </c>
      <c r="CH95" s="1026">
        <f ca="1">SUMIFS('3a Staff Plan'!$X$129:$X$305,'3a Staff Plan'!$DY$129:$DY$305,$CZ95,'3a Staff Plan'!$DF$129:$DF$305,1,'3a Staff Plan'!$AG$129:$AG$305,1,'3a Staff Plan'!$C$129:$C$305,DI$18)</f>
        <v>0</v>
      </c>
      <c r="CI95" s="755"/>
      <c r="CJ95" s="1024">
        <f ca="1">SUMPRODUCT(OFFSET('3b Activity Plan'!$DJ$67:$DJ$76,0,$CU95-1),OFFSET('3b Activity Plan'!$DJ$78:$DJ$87,0,CU95-1))</f>
        <v>0</v>
      </c>
      <c r="CK95" s="1025">
        <f t="shared" ca="1" si="43"/>
        <v>0</v>
      </c>
      <c r="CL95" s="1026">
        <f t="shared" ca="1" si="44"/>
        <v>0</v>
      </c>
      <c r="CM95" s="1026">
        <f t="shared" ca="1" si="45"/>
        <v>0</v>
      </c>
      <c r="CN95" s="1026">
        <f t="shared" ca="1" si="46"/>
        <v>0</v>
      </c>
      <c r="CO95" s="1026">
        <f t="shared" ca="1" si="47"/>
        <v>0</v>
      </c>
      <c r="CP95" s="1026">
        <f t="shared" ca="1" si="48"/>
        <v>0</v>
      </c>
      <c r="CQ95" s="1026">
        <f t="shared" ca="1" si="49"/>
        <v>0</v>
      </c>
      <c r="CR95" s="417"/>
      <c r="CS95" s="417">
        <f t="shared" si="50"/>
        <v>24</v>
      </c>
      <c r="CT95" s="417">
        <f ca="1">OFFSET('2 Staff List'!$GU$64,CS95-1,0)</f>
        <v>24</v>
      </c>
      <c r="CU95" s="417">
        <f ca="1">IF(CZ95=0,0,IFERROR(INDEX('3b Activity Plan'!$DJ$20:$FH$20,MATCH(CT95,'3b Activity Plan'!$DJ$171:$FH$171,0)),0))</f>
        <v>0</v>
      </c>
      <c r="CV95" s="417">
        <f ca="1">INDEX('2 Staff List'!$HW$64:$HW$114,CT95)</f>
        <v>0</v>
      </c>
      <c r="CW95" s="417"/>
      <c r="CY95" s="927">
        <f ca="1">OFFSET('2 Staff List'!$HZ$64,CS95-1,0)</f>
        <v>0</v>
      </c>
      <c r="CZ95" s="975">
        <f ca="1">OFFSET('2 Staff List'!$IA$64,CT95-1,0)</f>
        <v>0</v>
      </c>
      <c r="DA95" s="3845">
        <f t="shared" ca="1" si="51"/>
        <v>0</v>
      </c>
      <c r="DB95" s="3846"/>
      <c r="DC95" s="2408">
        <f t="shared" ca="1" si="52"/>
        <v>0</v>
      </c>
      <c r="DD95" s="2405">
        <f t="shared" ca="1" si="53"/>
        <v>0</v>
      </c>
      <c r="DE95" s="2401">
        <f t="shared" ca="1" si="54"/>
        <v>0</v>
      </c>
      <c r="DF95" s="2405">
        <f t="shared" ca="1" si="55"/>
        <v>0</v>
      </c>
      <c r="DG95" s="2405">
        <f t="shared" ca="1" si="56"/>
        <v>0</v>
      </c>
      <c r="DH95" s="2406">
        <f t="shared" ca="1" si="57"/>
        <v>0</v>
      </c>
      <c r="DI95" s="2407">
        <f t="shared" ca="1" si="58"/>
        <v>0</v>
      </c>
    </row>
    <row r="96" spans="1:113" ht="15.9" customHeight="1" x14ac:dyDescent="0.25">
      <c r="A96" s="295"/>
      <c r="B96" s="295"/>
      <c r="C96" s="1558">
        <f ca="1">OFFSET('2 Staff List'!$LO$64,$CT96-1,C$69-1)*C157</f>
        <v>0</v>
      </c>
      <c r="D96" s="1558">
        <f ca="1">OFFSET('2 Staff List'!$LO$64,$CT96-1,D$69-1)*D157</f>
        <v>0</v>
      </c>
      <c r="E96" s="1558">
        <f ca="1">OFFSET('2 Staff List'!$LO$64,$CT96-1,E$69-1)*E157</f>
        <v>0</v>
      </c>
      <c r="F96" s="1558">
        <f ca="1">OFFSET('2 Staff List'!$LO$64,$CT96-1,F$69-1)*F157</f>
        <v>0</v>
      </c>
      <c r="G96" s="1558">
        <f ca="1">OFFSET('2 Staff List'!$LO$64,$CT96-1,G$69-1)*G157</f>
        <v>0</v>
      </c>
      <c r="H96" s="1558">
        <f ca="1">OFFSET('2 Staff List'!$LO$64,$CT96-1,H$69-1)*H157</f>
        <v>0</v>
      </c>
      <c r="I96" s="1558">
        <f ca="1">OFFSET('2 Staff List'!$LO$64,$CT96-1,I$69-1)*I157</f>
        <v>0</v>
      </c>
      <c r="J96" s="1558">
        <f ca="1">OFFSET('2 Staff List'!$LO$64,$CT96-1,J$69-1)*J157</f>
        <v>0</v>
      </c>
      <c r="K96" s="1558">
        <f ca="1">OFFSET('2 Staff List'!$LO$64,$CT96-1,K$69-1)*K157</f>
        <v>0</v>
      </c>
      <c r="L96" s="1601">
        <f ca="1">OFFSET('2 Staff List'!$LO$64,$CT96-1,L$69-1)*L157</f>
        <v>0</v>
      </c>
      <c r="M96" s="1602">
        <f ca="1">OFFSET('2 Staff List'!$LO$64,$CT96-1,M$69-1)*M157</f>
        <v>0</v>
      </c>
      <c r="N96" s="1558">
        <f ca="1">OFFSET('2 Staff List'!$LO$64,$CT96-1,N$69-1)*N157</f>
        <v>0</v>
      </c>
      <c r="O96" s="1558">
        <f ca="1">OFFSET('2 Staff List'!$LO$64,$CT96-1,O$69-1)*O157</f>
        <v>0</v>
      </c>
      <c r="P96" s="1558">
        <f ca="1">OFFSET('2 Staff List'!$LO$64,$CT96-1,P$69-1)*P157</f>
        <v>0</v>
      </c>
      <c r="Q96" s="1558">
        <f ca="1">OFFSET('2 Staff List'!$LO$64,$CT96-1,Q$69-1)*Q157</f>
        <v>0</v>
      </c>
      <c r="R96" s="1558">
        <f ca="1">OFFSET('2 Staff List'!$LO$64,$CT96-1,R$69-1)*R157</f>
        <v>0</v>
      </c>
      <c r="S96" s="1558">
        <f ca="1">OFFSET('2 Staff List'!$LO$64,$CT96-1,S$69-1)*S157</f>
        <v>0</v>
      </c>
      <c r="T96" s="1558">
        <f ca="1">OFFSET('2 Staff List'!$LO$64,$CT96-1,T$69-1)*T157</f>
        <v>0</v>
      </c>
      <c r="U96" s="1558">
        <f ca="1">OFFSET('2 Staff List'!$LO$64,$CT96-1,U$69-1)*U157</f>
        <v>0</v>
      </c>
      <c r="V96" s="1601">
        <f ca="1">OFFSET('2 Staff List'!$LO$64,$CT96-1,V$69-1)*V157</f>
        <v>0</v>
      </c>
      <c r="W96" s="1602">
        <f ca="1">OFFSET('2 Staff List'!$LO$64,$CT96-1,W$69-1)*W157</f>
        <v>0</v>
      </c>
      <c r="X96" s="1558">
        <f ca="1">OFFSET('2 Staff List'!$LO$64,$CT96-1,X$69-1)*X157</f>
        <v>0</v>
      </c>
      <c r="Y96" s="1558">
        <f ca="1">OFFSET('2 Staff List'!$LO$64,$CT96-1,Y$69-1)*Y157</f>
        <v>0</v>
      </c>
      <c r="Z96" s="1558">
        <f ca="1">OFFSET('2 Staff List'!$LO$64,$CT96-1,Z$69-1)*Z157</f>
        <v>0</v>
      </c>
      <c r="AA96" s="1558">
        <f ca="1">OFFSET('2 Staff List'!$LO$64,$CT96-1,AA$69-1)*AA157</f>
        <v>0</v>
      </c>
      <c r="AB96" s="1558">
        <f ca="1">OFFSET('2 Staff List'!$LO$64,$CT96-1,AB$69-1)*AB157</f>
        <v>0</v>
      </c>
      <c r="AC96" s="1558">
        <f ca="1">OFFSET('2 Staff List'!$LO$64,$CT96-1,AC$69-1)*AC157</f>
        <v>0</v>
      </c>
      <c r="AD96" s="1558">
        <f ca="1">OFFSET('2 Staff List'!$LO$64,$CT96-1,AD$69-1)*AD157</f>
        <v>0</v>
      </c>
      <c r="AE96" s="1558">
        <f ca="1">OFFSET('2 Staff List'!$LO$64,$CT96-1,AE$69-1)*AE157</f>
        <v>0</v>
      </c>
      <c r="AF96" s="1601">
        <f ca="1">OFFSET('2 Staff List'!$LO$64,$CT96-1,AF$69-1)*AF157</f>
        <v>0</v>
      </c>
      <c r="AG96" s="1602">
        <f ca="1">OFFSET('2 Staff List'!$LO$64,$CT96-1,AG$69-1)*AG157</f>
        <v>0</v>
      </c>
      <c r="AH96" s="1558">
        <f ca="1">OFFSET('2 Staff List'!$LO$64,$CT96-1,AH$69-1)*AH157</f>
        <v>0</v>
      </c>
      <c r="AI96" s="1558">
        <f ca="1">OFFSET('2 Staff List'!$LO$64,$CT96-1,AI$69-1)*AI157</f>
        <v>0</v>
      </c>
      <c r="AJ96" s="1558">
        <f ca="1">OFFSET('2 Staff List'!$LO$64,$CT96-1,AJ$69-1)*AJ157</f>
        <v>0</v>
      </c>
      <c r="AK96" s="1558">
        <f ca="1">OFFSET('2 Staff List'!$LO$64,$CT96-1,AK$69-1)*AK157</f>
        <v>0</v>
      </c>
      <c r="AL96" s="1558">
        <f ca="1">OFFSET('2 Staff List'!$LO$64,$CT96-1,AL$69-1)*AL157</f>
        <v>0</v>
      </c>
      <c r="AM96" s="1558">
        <f ca="1">OFFSET('2 Staff List'!$LO$64,$CT96-1,AM$69-1)*AM157</f>
        <v>0</v>
      </c>
      <c r="AN96" s="1558">
        <f ca="1">OFFSET('2 Staff List'!$LO$64,$CT96-1,AN$69-1)*AN157</f>
        <v>0</v>
      </c>
      <c r="AO96" s="1558">
        <f ca="1">OFFSET('2 Staff List'!$LO$64,$CT96-1,AO$69-1)*AO157</f>
        <v>0</v>
      </c>
      <c r="AP96" s="1601">
        <f ca="1">OFFSET('2 Staff List'!$LO$64,$CT96-1,AP$69-1)*AP157</f>
        <v>0</v>
      </c>
      <c r="AQ96" s="1602">
        <f ca="1">OFFSET('2 Staff List'!$LO$64,$CT96-1,AQ$69-1)*AQ157</f>
        <v>0</v>
      </c>
      <c r="AR96" s="1558">
        <f ca="1">OFFSET('2 Staff List'!$LO$64,$CT96-1,AR$69-1)*AR157</f>
        <v>0</v>
      </c>
      <c r="AS96" s="1558">
        <f ca="1">OFFSET('2 Staff List'!$LO$64,$CT96-1,AS$69-1)*AS157</f>
        <v>0</v>
      </c>
      <c r="AT96" s="1558">
        <f ca="1">OFFSET('2 Staff List'!$LO$64,$CT96-1,AT$69-1)*AT157</f>
        <v>0</v>
      </c>
      <c r="AU96" s="1558">
        <f ca="1">OFFSET('2 Staff List'!$LO$64,$CT96-1,AU$69-1)*AU157</f>
        <v>0</v>
      </c>
      <c r="AV96" s="1558">
        <f ca="1">OFFSET('2 Staff List'!$LO$64,$CT96-1,AV$69-1)*AV157</f>
        <v>0</v>
      </c>
      <c r="AW96" s="1558">
        <f ca="1">OFFSET('2 Staff List'!$LO$64,$CT96-1,AW$69-1)*AW157</f>
        <v>0</v>
      </c>
      <c r="AX96" s="1558">
        <f ca="1">OFFSET('2 Staff List'!$LO$64,$CT96-1,AX$69-1)*AX157</f>
        <v>0</v>
      </c>
      <c r="AY96" s="1558">
        <f ca="1">OFFSET('2 Staff List'!$LO$64,$CT96-1,AY$69-1)*AY157</f>
        <v>0</v>
      </c>
      <c r="AZ96" s="1601">
        <f ca="1">OFFSET('2 Staff List'!$LO$64,$CT96-1,AZ$69-1)*AZ157</f>
        <v>0</v>
      </c>
      <c r="BA96" s="1602">
        <f ca="1">OFFSET('2 Staff List'!$LO$64,$CT96-1,BA$69-1)*BA157</f>
        <v>0</v>
      </c>
      <c r="BB96" s="1558">
        <f ca="1">OFFSET('2 Staff List'!$LO$64,$CT96-1,BB$69-1)*BB157</f>
        <v>0</v>
      </c>
      <c r="BC96" s="1558">
        <f ca="1">OFFSET('2 Staff List'!$LO$64,$CT96-1,BC$69-1)*BC157</f>
        <v>0</v>
      </c>
      <c r="BD96" s="1558">
        <f ca="1">OFFSET('2 Staff List'!$LO$64,$CT96-1,BD$69-1)*BD157</f>
        <v>0</v>
      </c>
      <c r="BE96" s="1558">
        <f ca="1">OFFSET('2 Staff List'!$LO$64,$CT96-1,BE$69-1)*BE157</f>
        <v>0</v>
      </c>
      <c r="BF96" s="1558">
        <f ca="1">OFFSET('2 Staff List'!$LO$64,$CT96-1,BF$69-1)*BF157</f>
        <v>0</v>
      </c>
      <c r="BG96" s="1558">
        <f ca="1">OFFSET('2 Staff List'!$LO$64,$CT96-1,BG$69-1)*BG157</f>
        <v>0</v>
      </c>
      <c r="BH96" s="1558">
        <f ca="1">OFFSET('2 Staff List'!$LO$64,$CT96-1,BH$69-1)*BH157</f>
        <v>0</v>
      </c>
      <c r="BI96" s="1558">
        <f ca="1">OFFSET('2 Staff List'!$LO$64,$CT96-1,BI$69-1)*BI157</f>
        <v>0</v>
      </c>
      <c r="BJ96" s="1601">
        <f ca="1">OFFSET('2 Staff List'!$LO$64,$CT96-1,BJ$69-1)*BJ157</f>
        <v>0</v>
      </c>
      <c r="BK96" s="1602">
        <f ca="1">OFFSET('2 Staff List'!$LO$64,$CT96-1,BK$69-1)*BK157</f>
        <v>0</v>
      </c>
      <c r="BL96" s="1558">
        <f ca="1">OFFSET('2 Staff List'!$LO$64,$CT96-1,BL$69-1)*BL157</f>
        <v>0</v>
      </c>
      <c r="BM96" s="1558">
        <f ca="1">OFFSET('2 Staff List'!$LO$64,$CT96-1,BM$69-1)*BM157</f>
        <v>0</v>
      </c>
      <c r="BN96" s="1558">
        <f ca="1">OFFSET('2 Staff List'!$LO$64,$CT96-1,BN$69-1)*BN157</f>
        <v>0</v>
      </c>
      <c r="BO96" s="1558">
        <f ca="1">OFFSET('2 Staff List'!$LO$64,$CT96-1,BO$69-1)*BO157</f>
        <v>0</v>
      </c>
      <c r="BP96" s="1558">
        <f ca="1">OFFSET('2 Staff List'!$LO$64,$CT96-1,BP$69-1)*BP157</f>
        <v>0</v>
      </c>
      <c r="BQ96" s="1558">
        <f ca="1">OFFSET('2 Staff List'!$LO$64,$CT96-1,BQ$69-1)*BQ157</f>
        <v>0</v>
      </c>
      <c r="BR96" s="1558">
        <f ca="1">OFFSET('2 Staff List'!$LO$64,$CT96-1,BR$69-1)*BR157</f>
        <v>0</v>
      </c>
      <c r="BS96" s="1558">
        <f ca="1">OFFSET('2 Staff List'!$LO$64,$CT96-1,BS$69-1)*BS157</f>
        <v>0</v>
      </c>
      <c r="BT96" s="1558">
        <f ca="1">OFFSET('2 Staff List'!$LO$64,$CT96-1,BT$69-1)*BT157</f>
        <v>0</v>
      </c>
      <c r="BU96" s="295"/>
      <c r="BV96" s="295"/>
      <c r="BW96" s="295"/>
      <c r="BX96" s="295"/>
      <c r="BY96" s="295"/>
      <c r="BZ96" s="295"/>
      <c r="CA96" s="1024">
        <f ca="1">SUMIFS('3a Staff Plan'!$X$129:$X$305,'3a Staff Plan'!$DY$129:$DY$305,CZ96,'3a Staff Plan'!$DF$129:$DF$305,1,'3a Staff Plan'!$AG$129:$AG$305,1)</f>
        <v>0</v>
      </c>
      <c r="CB96" s="1025">
        <f ca="1">SUMIFS('3a Staff Plan'!$X$129:$X$305,'3a Staff Plan'!$DY$129:$DY$305,$CZ96,'3a Staff Plan'!$DF$129:$DF$305,1,'3a Staff Plan'!$AG$129:$AG$305,1,'3a Staff Plan'!$C$129:$C$305,DC$18)</f>
        <v>0</v>
      </c>
      <c r="CC96" s="1026">
        <f ca="1">SUMIFS('3a Staff Plan'!$X$129:$X$305,'3a Staff Plan'!$DY$129:$DY$305,$CZ96,'3a Staff Plan'!$DF$129:$DF$305,1,'3a Staff Plan'!$AG$129:$AG$305,1,'3a Staff Plan'!$C$129:$C$305,DD$18)</f>
        <v>0</v>
      </c>
      <c r="CD96" s="1026">
        <f ca="1">SUMIFS('3a Staff Plan'!$X$129:$X$305,'3a Staff Plan'!$DY$129:$DY$305,$CZ96,'3a Staff Plan'!$DF$129:$DF$305,1,'3a Staff Plan'!$AG$129:$AG$305,1,'3a Staff Plan'!$C$129:$C$305,DE$18)</f>
        <v>0</v>
      </c>
      <c r="CE96" s="1026">
        <f ca="1">SUMIFS('3a Staff Plan'!$X$129:$X$305,'3a Staff Plan'!$DY$129:$DY$305,$CZ96,'3a Staff Plan'!$DF$129:$DF$305,1,'3a Staff Plan'!$AG$129:$AG$305,1,'3a Staff Plan'!$C$129:$C$305,DF$18)</f>
        <v>0</v>
      </c>
      <c r="CF96" s="1026">
        <f ca="1">SUMIFS('3a Staff Plan'!$X$129:$X$305,'3a Staff Plan'!$DY$129:$DY$305,$CZ96,'3a Staff Plan'!$DF$129:$DF$305,1,'3a Staff Plan'!$AG$129:$AG$305,1,'3a Staff Plan'!$C$129:$C$305,DG$18)</f>
        <v>0</v>
      </c>
      <c r="CG96" s="1026">
        <f ca="1">SUMIFS('3a Staff Plan'!$X$129:$X$305,'3a Staff Plan'!$DY$129:$DY$305,$CZ96,'3a Staff Plan'!$DF$129:$DF$305,1,'3a Staff Plan'!$AG$129:$AG$305,1,'3a Staff Plan'!$C$129:$C$305,DH$18)</f>
        <v>0</v>
      </c>
      <c r="CH96" s="1026">
        <f ca="1">SUMIFS('3a Staff Plan'!$X$129:$X$305,'3a Staff Plan'!$DY$129:$DY$305,$CZ96,'3a Staff Plan'!$DF$129:$DF$305,1,'3a Staff Plan'!$AG$129:$AG$305,1,'3a Staff Plan'!$C$129:$C$305,DI$18)</f>
        <v>0</v>
      </c>
      <c r="CI96" s="755"/>
      <c r="CJ96" s="1024">
        <f ca="1">SUMPRODUCT(OFFSET('3b Activity Plan'!$DJ$67:$DJ$76,0,$CU96-1),OFFSET('3b Activity Plan'!$DJ$78:$DJ$87,0,CU96-1))</f>
        <v>0</v>
      </c>
      <c r="CK96" s="1025">
        <f t="shared" ca="1" si="43"/>
        <v>0</v>
      </c>
      <c r="CL96" s="1026">
        <f t="shared" ca="1" si="44"/>
        <v>0</v>
      </c>
      <c r="CM96" s="1026">
        <f t="shared" ca="1" si="45"/>
        <v>0</v>
      </c>
      <c r="CN96" s="1026">
        <f t="shared" ca="1" si="46"/>
        <v>0</v>
      </c>
      <c r="CO96" s="1026">
        <f t="shared" ca="1" si="47"/>
        <v>0</v>
      </c>
      <c r="CP96" s="1026">
        <f t="shared" ca="1" si="48"/>
        <v>0</v>
      </c>
      <c r="CQ96" s="1026">
        <f t="shared" ca="1" si="49"/>
        <v>0</v>
      </c>
      <c r="CR96" s="417"/>
      <c r="CS96" s="417">
        <f t="shared" si="50"/>
        <v>25</v>
      </c>
      <c r="CT96" s="417">
        <f ca="1">OFFSET('2 Staff List'!$GU$64,CS96-1,0)</f>
        <v>25</v>
      </c>
      <c r="CU96" s="417">
        <f ca="1">IF(CZ96=0,0,IFERROR(INDEX('3b Activity Plan'!$DJ$20:$FH$20,MATCH(CT96,'3b Activity Plan'!$DJ$171:$FH$171,0)),0))</f>
        <v>0</v>
      </c>
      <c r="CV96" s="417">
        <f ca="1">INDEX('2 Staff List'!$HW$64:$HW$114,CT96)</f>
        <v>0</v>
      </c>
      <c r="CW96" s="417"/>
      <c r="CY96" s="927">
        <f ca="1">OFFSET('2 Staff List'!$HZ$64,CS96-1,0)</f>
        <v>0</v>
      </c>
      <c r="CZ96" s="975">
        <f ca="1">OFFSET('2 Staff List'!$IA$64,CT96-1,0)</f>
        <v>0</v>
      </c>
      <c r="DA96" s="3845">
        <f t="shared" ca="1" si="51"/>
        <v>0</v>
      </c>
      <c r="DB96" s="3846"/>
      <c r="DC96" s="2408">
        <f t="shared" ca="1" si="52"/>
        <v>0</v>
      </c>
      <c r="DD96" s="2405">
        <f t="shared" ca="1" si="53"/>
        <v>0</v>
      </c>
      <c r="DE96" s="2401">
        <f t="shared" ca="1" si="54"/>
        <v>0</v>
      </c>
      <c r="DF96" s="2405">
        <f t="shared" ca="1" si="55"/>
        <v>0</v>
      </c>
      <c r="DG96" s="2405">
        <f t="shared" ca="1" si="56"/>
        <v>0</v>
      </c>
      <c r="DH96" s="2406">
        <f t="shared" ca="1" si="57"/>
        <v>0</v>
      </c>
      <c r="DI96" s="2407">
        <f t="shared" ca="1" si="58"/>
        <v>0</v>
      </c>
    </row>
    <row r="97" spans="1:113" ht="15.9" customHeight="1" x14ac:dyDescent="0.25">
      <c r="A97" s="295"/>
      <c r="B97" s="295"/>
      <c r="C97" s="1558">
        <f ca="1">OFFSET('2 Staff List'!$LO$64,$CT97-1,C$69-1)*C158</f>
        <v>0</v>
      </c>
      <c r="D97" s="1558">
        <f ca="1">OFFSET('2 Staff List'!$LO$64,$CT97-1,D$69-1)*D158</f>
        <v>0</v>
      </c>
      <c r="E97" s="1558">
        <f ca="1">OFFSET('2 Staff List'!$LO$64,$CT97-1,E$69-1)*E158</f>
        <v>0</v>
      </c>
      <c r="F97" s="1558">
        <f ca="1">OFFSET('2 Staff List'!$LO$64,$CT97-1,F$69-1)*F158</f>
        <v>0</v>
      </c>
      <c r="G97" s="1558">
        <f ca="1">OFFSET('2 Staff List'!$LO$64,$CT97-1,G$69-1)*G158</f>
        <v>0</v>
      </c>
      <c r="H97" s="1558">
        <f ca="1">OFFSET('2 Staff List'!$LO$64,$CT97-1,H$69-1)*H158</f>
        <v>0</v>
      </c>
      <c r="I97" s="1558">
        <f ca="1">OFFSET('2 Staff List'!$LO$64,$CT97-1,I$69-1)*I158</f>
        <v>0</v>
      </c>
      <c r="J97" s="1558">
        <f ca="1">OFFSET('2 Staff List'!$LO$64,$CT97-1,J$69-1)*J158</f>
        <v>0</v>
      </c>
      <c r="K97" s="1558">
        <f ca="1">OFFSET('2 Staff List'!$LO$64,$CT97-1,K$69-1)*K158</f>
        <v>0</v>
      </c>
      <c r="L97" s="1601">
        <f ca="1">OFFSET('2 Staff List'!$LO$64,$CT97-1,L$69-1)*L158</f>
        <v>0</v>
      </c>
      <c r="M97" s="1602">
        <f ca="1">OFFSET('2 Staff List'!$LO$64,$CT97-1,M$69-1)*M158</f>
        <v>0</v>
      </c>
      <c r="N97" s="1558">
        <f ca="1">OFFSET('2 Staff List'!$LO$64,$CT97-1,N$69-1)*N158</f>
        <v>0</v>
      </c>
      <c r="O97" s="1558">
        <f ca="1">OFFSET('2 Staff List'!$LO$64,$CT97-1,O$69-1)*O158</f>
        <v>0</v>
      </c>
      <c r="P97" s="1558">
        <f ca="1">OFFSET('2 Staff List'!$LO$64,$CT97-1,P$69-1)*P158</f>
        <v>0</v>
      </c>
      <c r="Q97" s="1558">
        <f ca="1">OFFSET('2 Staff List'!$LO$64,$CT97-1,Q$69-1)*Q158</f>
        <v>0</v>
      </c>
      <c r="R97" s="1558">
        <f ca="1">OFFSET('2 Staff List'!$LO$64,$CT97-1,R$69-1)*R158</f>
        <v>0</v>
      </c>
      <c r="S97" s="1558">
        <f ca="1">OFFSET('2 Staff List'!$LO$64,$CT97-1,S$69-1)*S158</f>
        <v>0</v>
      </c>
      <c r="T97" s="1558">
        <f ca="1">OFFSET('2 Staff List'!$LO$64,$CT97-1,T$69-1)*T158</f>
        <v>0</v>
      </c>
      <c r="U97" s="1558">
        <f ca="1">OFFSET('2 Staff List'!$LO$64,$CT97-1,U$69-1)*U158</f>
        <v>0</v>
      </c>
      <c r="V97" s="1601">
        <f ca="1">OFFSET('2 Staff List'!$LO$64,$CT97-1,V$69-1)*V158</f>
        <v>0</v>
      </c>
      <c r="W97" s="1602">
        <f ca="1">OFFSET('2 Staff List'!$LO$64,$CT97-1,W$69-1)*W158</f>
        <v>0</v>
      </c>
      <c r="X97" s="1558">
        <f ca="1">OFFSET('2 Staff List'!$LO$64,$CT97-1,X$69-1)*X158</f>
        <v>0</v>
      </c>
      <c r="Y97" s="1558">
        <f ca="1">OFFSET('2 Staff List'!$LO$64,$CT97-1,Y$69-1)*Y158</f>
        <v>0</v>
      </c>
      <c r="Z97" s="1558">
        <f ca="1">OFFSET('2 Staff List'!$LO$64,$CT97-1,Z$69-1)*Z158</f>
        <v>0</v>
      </c>
      <c r="AA97" s="1558">
        <f ca="1">OFFSET('2 Staff List'!$LO$64,$CT97-1,AA$69-1)*AA158</f>
        <v>0</v>
      </c>
      <c r="AB97" s="1558">
        <f ca="1">OFFSET('2 Staff List'!$LO$64,$CT97-1,AB$69-1)*AB158</f>
        <v>0</v>
      </c>
      <c r="AC97" s="1558">
        <f ca="1">OFFSET('2 Staff List'!$LO$64,$CT97-1,AC$69-1)*AC158</f>
        <v>0</v>
      </c>
      <c r="AD97" s="1558">
        <f ca="1">OFFSET('2 Staff List'!$LO$64,$CT97-1,AD$69-1)*AD158</f>
        <v>0</v>
      </c>
      <c r="AE97" s="1558">
        <f ca="1">OFFSET('2 Staff List'!$LO$64,$CT97-1,AE$69-1)*AE158</f>
        <v>0</v>
      </c>
      <c r="AF97" s="1601">
        <f ca="1">OFFSET('2 Staff List'!$LO$64,$CT97-1,AF$69-1)*AF158</f>
        <v>0</v>
      </c>
      <c r="AG97" s="1602">
        <f ca="1">OFFSET('2 Staff List'!$LO$64,$CT97-1,AG$69-1)*AG158</f>
        <v>0</v>
      </c>
      <c r="AH97" s="1558">
        <f ca="1">OFFSET('2 Staff List'!$LO$64,$CT97-1,AH$69-1)*AH158</f>
        <v>0</v>
      </c>
      <c r="AI97" s="1558">
        <f ca="1">OFFSET('2 Staff List'!$LO$64,$CT97-1,AI$69-1)*AI158</f>
        <v>0</v>
      </c>
      <c r="AJ97" s="1558">
        <f ca="1">OFFSET('2 Staff List'!$LO$64,$CT97-1,AJ$69-1)*AJ158</f>
        <v>0</v>
      </c>
      <c r="AK97" s="1558">
        <f ca="1">OFFSET('2 Staff List'!$LO$64,$CT97-1,AK$69-1)*AK158</f>
        <v>0</v>
      </c>
      <c r="AL97" s="1558">
        <f ca="1">OFFSET('2 Staff List'!$LO$64,$CT97-1,AL$69-1)*AL158</f>
        <v>0</v>
      </c>
      <c r="AM97" s="1558">
        <f ca="1">OFFSET('2 Staff List'!$LO$64,$CT97-1,AM$69-1)*AM158</f>
        <v>0</v>
      </c>
      <c r="AN97" s="1558">
        <f ca="1">OFFSET('2 Staff List'!$LO$64,$CT97-1,AN$69-1)*AN158</f>
        <v>0</v>
      </c>
      <c r="AO97" s="1558">
        <f ca="1">OFFSET('2 Staff List'!$LO$64,$CT97-1,AO$69-1)*AO158</f>
        <v>0</v>
      </c>
      <c r="AP97" s="1601">
        <f ca="1">OFFSET('2 Staff List'!$LO$64,$CT97-1,AP$69-1)*AP158</f>
        <v>0</v>
      </c>
      <c r="AQ97" s="1602">
        <f ca="1">OFFSET('2 Staff List'!$LO$64,$CT97-1,AQ$69-1)*AQ158</f>
        <v>0</v>
      </c>
      <c r="AR97" s="1558">
        <f ca="1">OFFSET('2 Staff List'!$LO$64,$CT97-1,AR$69-1)*AR158</f>
        <v>0</v>
      </c>
      <c r="AS97" s="1558">
        <f ca="1">OFFSET('2 Staff List'!$LO$64,$CT97-1,AS$69-1)*AS158</f>
        <v>0</v>
      </c>
      <c r="AT97" s="1558">
        <f ca="1">OFFSET('2 Staff List'!$LO$64,$CT97-1,AT$69-1)*AT158</f>
        <v>0</v>
      </c>
      <c r="AU97" s="1558">
        <f ca="1">OFFSET('2 Staff List'!$LO$64,$CT97-1,AU$69-1)*AU158</f>
        <v>0</v>
      </c>
      <c r="AV97" s="1558">
        <f ca="1">OFFSET('2 Staff List'!$LO$64,$CT97-1,AV$69-1)*AV158</f>
        <v>0</v>
      </c>
      <c r="AW97" s="1558">
        <f ca="1">OFFSET('2 Staff List'!$LO$64,$CT97-1,AW$69-1)*AW158</f>
        <v>0</v>
      </c>
      <c r="AX97" s="1558">
        <f ca="1">OFFSET('2 Staff List'!$LO$64,$CT97-1,AX$69-1)*AX158</f>
        <v>0</v>
      </c>
      <c r="AY97" s="1558">
        <f ca="1">OFFSET('2 Staff List'!$LO$64,$CT97-1,AY$69-1)*AY158</f>
        <v>0</v>
      </c>
      <c r="AZ97" s="1601">
        <f ca="1">OFFSET('2 Staff List'!$LO$64,$CT97-1,AZ$69-1)*AZ158</f>
        <v>0</v>
      </c>
      <c r="BA97" s="1602">
        <f ca="1">OFFSET('2 Staff List'!$LO$64,$CT97-1,BA$69-1)*BA158</f>
        <v>0</v>
      </c>
      <c r="BB97" s="1558">
        <f ca="1">OFFSET('2 Staff List'!$LO$64,$CT97-1,BB$69-1)*BB158</f>
        <v>0</v>
      </c>
      <c r="BC97" s="1558">
        <f ca="1">OFFSET('2 Staff List'!$LO$64,$CT97-1,BC$69-1)*BC158</f>
        <v>0</v>
      </c>
      <c r="BD97" s="1558">
        <f ca="1">OFFSET('2 Staff List'!$LO$64,$CT97-1,BD$69-1)*BD158</f>
        <v>0</v>
      </c>
      <c r="BE97" s="1558">
        <f ca="1">OFFSET('2 Staff List'!$LO$64,$CT97-1,BE$69-1)*BE158</f>
        <v>0</v>
      </c>
      <c r="BF97" s="1558">
        <f ca="1">OFFSET('2 Staff List'!$LO$64,$CT97-1,BF$69-1)*BF158</f>
        <v>0</v>
      </c>
      <c r="BG97" s="1558">
        <f ca="1">OFFSET('2 Staff List'!$LO$64,$CT97-1,BG$69-1)*BG158</f>
        <v>0</v>
      </c>
      <c r="BH97" s="1558">
        <f ca="1">OFFSET('2 Staff List'!$LO$64,$CT97-1,BH$69-1)*BH158</f>
        <v>0</v>
      </c>
      <c r="BI97" s="1558">
        <f ca="1">OFFSET('2 Staff List'!$LO$64,$CT97-1,BI$69-1)*BI158</f>
        <v>0</v>
      </c>
      <c r="BJ97" s="1601">
        <f ca="1">OFFSET('2 Staff List'!$LO$64,$CT97-1,BJ$69-1)*BJ158</f>
        <v>0</v>
      </c>
      <c r="BK97" s="1602">
        <f ca="1">OFFSET('2 Staff List'!$LO$64,$CT97-1,BK$69-1)*BK158</f>
        <v>0</v>
      </c>
      <c r="BL97" s="1558">
        <f ca="1">OFFSET('2 Staff List'!$LO$64,$CT97-1,BL$69-1)*BL158</f>
        <v>0</v>
      </c>
      <c r="BM97" s="1558">
        <f ca="1">OFFSET('2 Staff List'!$LO$64,$CT97-1,BM$69-1)*BM158</f>
        <v>0</v>
      </c>
      <c r="BN97" s="1558">
        <f ca="1">OFFSET('2 Staff List'!$LO$64,$CT97-1,BN$69-1)*BN158</f>
        <v>0</v>
      </c>
      <c r="BO97" s="1558">
        <f ca="1">OFFSET('2 Staff List'!$LO$64,$CT97-1,BO$69-1)*BO158</f>
        <v>0</v>
      </c>
      <c r="BP97" s="1558">
        <f ca="1">OFFSET('2 Staff List'!$LO$64,$CT97-1,BP$69-1)*BP158</f>
        <v>0</v>
      </c>
      <c r="BQ97" s="1558">
        <f ca="1">OFFSET('2 Staff List'!$LO$64,$CT97-1,BQ$69-1)*BQ158</f>
        <v>0</v>
      </c>
      <c r="BR97" s="1558">
        <f ca="1">OFFSET('2 Staff List'!$LO$64,$CT97-1,BR$69-1)*BR158</f>
        <v>0</v>
      </c>
      <c r="BS97" s="1558">
        <f ca="1">OFFSET('2 Staff List'!$LO$64,$CT97-1,BS$69-1)*BS158</f>
        <v>0</v>
      </c>
      <c r="BT97" s="1558">
        <f ca="1">OFFSET('2 Staff List'!$LO$64,$CT97-1,BT$69-1)*BT158</f>
        <v>0</v>
      </c>
      <c r="BU97" s="295"/>
      <c r="BV97" s="295"/>
      <c r="BW97" s="295"/>
      <c r="BX97" s="295"/>
      <c r="BY97" s="295"/>
      <c r="BZ97" s="295"/>
      <c r="CA97" s="1024">
        <f ca="1">SUMIFS('3a Staff Plan'!$X$129:$X$305,'3a Staff Plan'!$DY$129:$DY$305,CZ97,'3a Staff Plan'!$DF$129:$DF$305,1,'3a Staff Plan'!$AG$129:$AG$305,1)</f>
        <v>0</v>
      </c>
      <c r="CB97" s="1025">
        <f ca="1">SUMIFS('3a Staff Plan'!$X$129:$X$305,'3a Staff Plan'!$DY$129:$DY$305,$CZ97,'3a Staff Plan'!$DF$129:$DF$305,1,'3a Staff Plan'!$AG$129:$AG$305,1,'3a Staff Plan'!$C$129:$C$305,DC$18)</f>
        <v>0</v>
      </c>
      <c r="CC97" s="1026">
        <f ca="1">SUMIFS('3a Staff Plan'!$X$129:$X$305,'3a Staff Plan'!$DY$129:$DY$305,$CZ97,'3a Staff Plan'!$DF$129:$DF$305,1,'3a Staff Plan'!$AG$129:$AG$305,1,'3a Staff Plan'!$C$129:$C$305,DD$18)</f>
        <v>0</v>
      </c>
      <c r="CD97" s="1026">
        <f ca="1">SUMIFS('3a Staff Plan'!$X$129:$X$305,'3a Staff Plan'!$DY$129:$DY$305,$CZ97,'3a Staff Plan'!$DF$129:$DF$305,1,'3a Staff Plan'!$AG$129:$AG$305,1,'3a Staff Plan'!$C$129:$C$305,DE$18)</f>
        <v>0</v>
      </c>
      <c r="CE97" s="1026">
        <f ca="1">SUMIFS('3a Staff Plan'!$X$129:$X$305,'3a Staff Plan'!$DY$129:$DY$305,$CZ97,'3a Staff Plan'!$DF$129:$DF$305,1,'3a Staff Plan'!$AG$129:$AG$305,1,'3a Staff Plan'!$C$129:$C$305,DF$18)</f>
        <v>0</v>
      </c>
      <c r="CF97" s="1026">
        <f ca="1">SUMIFS('3a Staff Plan'!$X$129:$X$305,'3a Staff Plan'!$DY$129:$DY$305,$CZ97,'3a Staff Plan'!$DF$129:$DF$305,1,'3a Staff Plan'!$AG$129:$AG$305,1,'3a Staff Plan'!$C$129:$C$305,DG$18)</f>
        <v>0</v>
      </c>
      <c r="CG97" s="1026">
        <f ca="1">SUMIFS('3a Staff Plan'!$X$129:$X$305,'3a Staff Plan'!$DY$129:$DY$305,$CZ97,'3a Staff Plan'!$DF$129:$DF$305,1,'3a Staff Plan'!$AG$129:$AG$305,1,'3a Staff Plan'!$C$129:$C$305,DH$18)</f>
        <v>0</v>
      </c>
      <c r="CH97" s="1026">
        <f ca="1">SUMIFS('3a Staff Plan'!$X$129:$X$305,'3a Staff Plan'!$DY$129:$DY$305,$CZ97,'3a Staff Plan'!$DF$129:$DF$305,1,'3a Staff Plan'!$AG$129:$AG$305,1,'3a Staff Plan'!$C$129:$C$305,DI$18)</f>
        <v>0</v>
      </c>
      <c r="CI97" s="755"/>
      <c r="CJ97" s="1024">
        <f ca="1">SUMPRODUCT(OFFSET('3b Activity Plan'!$DJ$67:$DJ$76,0,$CU97-1),OFFSET('3b Activity Plan'!$DJ$78:$DJ$87,0,CU97-1))</f>
        <v>0</v>
      </c>
      <c r="CK97" s="1025">
        <f t="shared" ca="1" si="43"/>
        <v>0</v>
      </c>
      <c r="CL97" s="1026">
        <f t="shared" ca="1" si="44"/>
        <v>0</v>
      </c>
      <c r="CM97" s="1026">
        <f t="shared" ca="1" si="45"/>
        <v>0</v>
      </c>
      <c r="CN97" s="1026">
        <f t="shared" ca="1" si="46"/>
        <v>0</v>
      </c>
      <c r="CO97" s="1026">
        <f t="shared" ca="1" si="47"/>
        <v>0</v>
      </c>
      <c r="CP97" s="1026">
        <f t="shared" ca="1" si="48"/>
        <v>0</v>
      </c>
      <c r="CQ97" s="1026">
        <f t="shared" ca="1" si="49"/>
        <v>0</v>
      </c>
      <c r="CR97" s="417"/>
      <c r="CS97" s="417">
        <f t="shared" si="50"/>
        <v>26</v>
      </c>
      <c r="CT97" s="417">
        <f ca="1">OFFSET('2 Staff List'!$GU$64,CS97-1,0)</f>
        <v>26</v>
      </c>
      <c r="CU97" s="417">
        <f ca="1">IF(CZ97=0,0,IFERROR(INDEX('3b Activity Plan'!$DJ$20:$FH$20,MATCH(CT97,'3b Activity Plan'!$DJ$171:$FH$171,0)),0))</f>
        <v>0</v>
      </c>
      <c r="CV97" s="417">
        <f ca="1">INDEX('2 Staff List'!$HW$64:$HW$114,CT97)</f>
        <v>0</v>
      </c>
      <c r="CW97" s="417"/>
      <c r="CY97" s="927">
        <f ca="1">OFFSET('2 Staff List'!$HZ$64,CS97-1,0)</f>
        <v>0</v>
      </c>
      <c r="CZ97" s="975">
        <f ca="1">OFFSET('2 Staff List'!$IA$64,CT97-1,0)</f>
        <v>0</v>
      </c>
      <c r="DA97" s="3845">
        <f t="shared" ca="1" si="51"/>
        <v>0</v>
      </c>
      <c r="DB97" s="3846"/>
      <c r="DC97" s="2408">
        <f t="shared" ca="1" si="52"/>
        <v>0</v>
      </c>
      <c r="DD97" s="2405">
        <f t="shared" ca="1" si="53"/>
        <v>0</v>
      </c>
      <c r="DE97" s="2401">
        <f t="shared" ca="1" si="54"/>
        <v>0</v>
      </c>
      <c r="DF97" s="2405">
        <f t="shared" ca="1" si="55"/>
        <v>0</v>
      </c>
      <c r="DG97" s="2405">
        <f t="shared" ca="1" si="56"/>
        <v>0</v>
      </c>
      <c r="DH97" s="2406">
        <f t="shared" ca="1" si="57"/>
        <v>0</v>
      </c>
      <c r="DI97" s="2407">
        <f t="shared" ca="1" si="58"/>
        <v>0</v>
      </c>
    </row>
    <row r="98" spans="1:113" ht="15.9" customHeight="1" x14ac:dyDescent="0.25">
      <c r="A98" s="295"/>
      <c r="B98" s="295"/>
      <c r="C98" s="1558">
        <f ca="1">OFFSET('2 Staff List'!$LO$64,$CT98-1,C$69-1)*C159</f>
        <v>0</v>
      </c>
      <c r="D98" s="1558">
        <f ca="1">OFFSET('2 Staff List'!$LO$64,$CT98-1,D$69-1)*D159</f>
        <v>0</v>
      </c>
      <c r="E98" s="1558">
        <f ca="1">OFFSET('2 Staff List'!$LO$64,$CT98-1,E$69-1)*E159</f>
        <v>0</v>
      </c>
      <c r="F98" s="1558">
        <f ca="1">OFFSET('2 Staff List'!$LO$64,$CT98-1,F$69-1)*F159</f>
        <v>0</v>
      </c>
      <c r="G98" s="1558">
        <f ca="1">OFFSET('2 Staff List'!$LO$64,$CT98-1,G$69-1)*G159</f>
        <v>0</v>
      </c>
      <c r="H98" s="1558">
        <f ca="1">OFFSET('2 Staff List'!$LO$64,$CT98-1,H$69-1)*H159</f>
        <v>0</v>
      </c>
      <c r="I98" s="1558">
        <f ca="1">OFFSET('2 Staff List'!$LO$64,$CT98-1,I$69-1)*I159</f>
        <v>0</v>
      </c>
      <c r="J98" s="1558">
        <f ca="1">OFFSET('2 Staff List'!$LO$64,$CT98-1,J$69-1)*J159</f>
        <v>0</v>
      </c>
      <c r="K98" s="1558">
        <f ca="1">OFFSET('2 Staff List'!$LO$64,$CT98-1,K$69-1)*K159</f>
        <v>0</v>
      </c>
      <c r="L98" s="1601">
        <f ca="1">OFFSET('2 Staff List'!$LO$64,$CT98-1,L$69-1)*L159</f>
        <v>0</v>
      </c>
      <c r="M98" s="1602">
        <f ca="1">OFFSET('2 Staff List'!$LO$64,$CT98-1,M$69-1)*M159</f>
        <v>0</v>
      </c>
      <c r="N98" s="1558">
        <f ca="1">OFFSET('2 Staff List'!$LO$64,$CT98-1,N$69-1)*N159</f>
        <v>0</v>
      </c>
      <c r="O98" s="1558">
        <f ca="1">OFFSET('2 Staff List'!$LO$64,$CT98-1,O$69-1)*O159</f>
        <v>0</v>
      </c>
      <c r="P98" s="1558">
        <f ca="1">OFFSET('2 Staff List'!$LO$64,$CT98-1,P$69-1)*P159</f>
        <v>0</v>
      </c>
      <c r="Q98" s="1558">
        <f ca="1">OFFSET('2 Staff List'!$LO$64,$CT98-1,Q$69-1)*Q159</f>
        <v>0</v>
      </c>
      <c r="R98" s="1558">
        <f ca="1">OFFSET('2 Staff List'!$LO$64,$CT98-1,R$69-1)*R159</f>
        <v>0</v>
      </c>
      <c r="S98" s="1558">
        <f ca="1">OFFSET('2 Staff List'!$LO$64,$CT98-1,S$69-1)*S159</f>
        <v>0</v>
      </c>
      <c r="T98" s="1558">
        <f ca="1">OFFSET('2 Staff List'!$LO$64,$CT98-1,T$69-1)*T159</f>
        <v>0</v>
      </c>
      <c r="U98" s="1558">
        <f ca="1">OFFSET('2 Staff List'!$LO$64,$CT98-1,U$69-1)*U159</f>
        <v>0</v>
      </c>
      <c r="V98" s="1601">
        <f ca="1">OFFSET('2 Staff List'!$LO$64,$CT98-1,V$69-1)*V159</f>
        <v>0</v>
      </c>
      <c r="W98" s="1602">
        <f ca="1">OFFSET('2 Staff List'!$LO$64,$CT98-1,W$69-1)*W159</f>
        <v>0</v>
      </c>
      <c r="X98" s="1558">
        <f ca="1">OFFSET('2 Staff List'!$LO$64,$CT98-1,X$69-1)*X159</f>
        <v>0</v>
      </c>
      <c r="Y98" s="1558">
        <f ca="1">OFFSET('2 Staff List'!$LO$64,$CT98-1,Y$69-1)*Y159</f>
        <v>0</v>
      </c>
      <c r="Z98" s="1558">
        <f ca="1">OFFSET('2 Staff List'!$LO$64,$CT98-1,Z$69-1)*Z159</f>
        <v>0</v>
      </c>
      <c r="AA98" s="1558">
        <f ca="1">OFFSET('2 Staff List'!$LO$64,$CT98-1,AA$69-1)*AA159</f>
        <v>0</v>
      </c>
      <c r="AB98" s="1558">
        <f ca="1">OFFSET('2 Staff List'!$LO$64,$CT98-1,AB$69-1)*AB159</f>
        <v>0</v>
      </c>
      <c r="AC98" s="1558">
        <f ca="1">OFFSET('2 Staff List'!$LO$64,$CT98-1,AC$69-1)*AC159</f>
        <v>0</v>
      </c>
      <c r="AD98" s="1558">
        <f ca="1">OFFSET('2 Staff List'!$LO$64,$CT98-1,AD$69-1)*AD159</f>
        <v>0</v>
      </c>
      <c r="AE98" s="1558">
        <f ca="1">OFFSET('2 Staff List'!$LO$64,$CT98-1,AE$69-1)*AE159</f>
        <v>0</v>
      </c>
      <c r="AF98" s="1601">
        <f ca="1">OFFSET('2 Staff List'!$LO$64,$CT98-1,AF$69-1)*AF159</f>
        <v>0</v>
      </c>
      <c r="AG98" s="1602">
        <f ca="1">OFFSET('2 Staff List'!$LO$64,$CT98-1,AG$69-1)*AG159</f>
        <v>0</v>
      </c>
      <c r="AH98" s="1558">
        <f ca="1">OFFSET('2 Staff List'!$LO$64,$CT98-1,AH$69-1)*AH159</f>
        <v>0</v>
      </c>
      <c r="AI98" s="1558">
        <f ca="1">OFFSET('2 Staff List'!$LO$64,$CT98-1,AI$69-1)*AI159</f>
        <v>0</v>
      </c>
      <c r="AJ98" s="1558">
        <f ca="1">OFFSET('2 Staff List'!$LO$64,$CT98-1,AJ$69-1)*AJ159</f>
        <v>0</v>
      </c>
      <c r="AK98" s="1558">
        <f ca="1">OFFSET('2 Staff List'!$LO$64,$CT98-1,AK$69-1)*AK159</f>
        <v>0</v>
      </c>
      <c r="AL98" s="1558">
        <f ca="1">OFFSET('2 Staff List'!$LO$64,$CT98-1,AL$69-1)*AL159</f>
        <v>0</v>
      </c>
      <c r="AM98" s="1558">
        <f ca="1">OFFSET('2 Staff List'!$LO$64,$CT98-1,AM$69-1)*AM159</f>
        <v>0</v>
      </c>
      <c r="AN98" s="1558">
        <f ca="1">OFFSET('2 Staff List'!$LO$64,$CT98-1,AN$69-1)*AN159</f>
        <v>0</v>
      </c>
      <c r="AO98" s="1558">
        <f ca="1">OFFSET('2 Staff List'!$LO$64,$CT98-1,AO$69-1)*AO159</f>
        <v>0</v>
      </c>
      <c r="AP98" s="1601">
        <f ca="1">OFFSET('2 Staff List'!$LO$64,$CT98-1,AP$69-1)*AP159</f>
        <v>0</v>
      </c>
      <c r="AQ98" s="1602">
        <f ca="1">OFFSET('2 Staff List'!$LO$64,$CT98-1,AQ$69-1)*AQ159</f>
        <v>0</v>
      </c>
      <c r="AR98" s="1558">
        <f ca="1">OFFSET('2 Staff List'!$LO$64,$CT98-1,AR$69-1)*AR159</f>
        <v>0</v>
      </c>
      <c r="AS98" s="1558">
        <f ca="1">OFFSET('2 Staff List'!$LO$64,$CT98-1,AS$69-1)*AS159</f>
        <v>0</v>
      </c>
      <c r="AT98" s="1558">
        <f ca="1">OFFSET('2 Staff List'!$LO$64,$CT98-1,AT$69-1)*AT159</f>
        <v>0</v>
      </c>
      <c r="AU98" s="1558">
        <f ca="1">OFFSET('2 Staff List'!$LO$64,$CT98-1,AU$69-1)*AU159</f>
        <v>0</v>
      </c>
      <c r="AV98" s="1558">
        <f ca="1">OFFSET('2 Staff List'!$LO$64,$CT98-1,AV$69-1)*AV159</f>
        <v>0</v>
      </c>
      <c r="AW98" s="1558">
        <f ca="1">OFFSET('2 Staff List'!$LO$64,$CT98-1,AW$69-1)*AW159</f>
        <v>0</v>
      </c>
      <c r="AX98" s="1558">
        <f ca="1">OFFSET('2 Staff List'!$LO$64,$CT98-1,AX$69-1)*AX159</f>
        <v>0</v>
      </c>
      <c r="AY98" s="1558">
        <f ca="1">OFFSET('2 Staff List'!$LO$64,$CT98-1,AY$69-1)*AY159</f>
        <v>0</v>
      </c>
      <c r="AZ98" s="1601">
        <f ca="1">OFFSET('2 Staff List'!$LO$64,$CT98-1,AZ$69-1)*AZ159</f>
        <v>0</v>
      </c>
      <c r="BA98" s="1602">
        <f ca="1">OFFSET('2 Staff List'!$LO$64,$CT98-1,BA$69-1)*BA159</f>
        <v>0</v>
      </c>
      <c r="BB98" s="1558">
        <f ca="1">OFFSET('2 Staff List'!$LO$64,$CT98-1,BB$69-1)*BB159</f>
        <v>0</v>
      </c>
      <c r="BC98" s="1558">
        <f ca="1">OFFSET('2 Staff List'!$LO$64,$CT98-1,BC$69-1)*BC159</f>
        <v>0</v>
      </c>
      <c r="BD98" s="1558">
        <f ca="1">OFFSET('2 Staff List'!$LO$64,$CT98-1,BD$69-1)*BD159</f>
        <v>0</v>
      </c>
      <c r="BE98" s="1558">
        <f ca="1">OFFSET('2 Staff List'!$LO$64,$CT98-1,BE$69-1)*BE159</f>
        <v>0</v>
      </c>
      <c r="BF98" s="1558">
        <f ca="1">OFFSET('2 Staff List'!$LO$64,$CT98-1,BF$69-1)*BF159</f>
        <v>0</v>
      </c>
      <c r="BG98" s="1558">
        <f ca="1">OFFSET('2 Staff List'!$LO$64,$CT98-1,BG$69-1)*BG159</f>
        <v>0</v>
      </c>
      <c r="BH98" s="1558">
        <f ca="1">OFFSET('2 Staff List'!$LO$64,$CT98-1,BH$69-1)*BH159</f>
        <v>0</v>
      </c>
      <c r="BI98" s="1558">
        <f ca="1">OFFSET('2 Staff List'!$LO$64,$CT98-1,BI$69-1)*BI159</f>
        <v>0</v>
      </c>
      <c r="BJ98" s="1601">
        <f ca="1">OFFSET('2 Staff List'!$LO$64,$CT98-1,BJ$69-1)*BJ159</f>
        <v>0</v>
      </c>
      <c r="BK98" s="1602">
        <f ca="1">OFFSET('2 Staff List'!$LO$64,$CT98-1,BK$69-1)*BK159</f>
        <v>0</v>
      </c>
      <c r="BL98" s="1558">
        <f ca="1">OFFSET('2 Staff List'!$LO$64,$CT98-1,BL$69-1)*BL159</f>
        <v>0</v>
      </c>
      <c r="BM98" s="1558">
        <f ca="1">OFFSET('2 Staff List'!$LO$64,$CT98-1,BM$69-1)*BM159</f>
        <v>0</v>
      </c>
      <c r="BN98" s="1558">
        <f ca="1">OFFSET('2 Staff List'!$LO$64,$CT98-1,BN$69-1)*BN159</f>
        <v>0</v>
      </c>
      <c r="BO98" s="1558">
        <f ca="1">OFFSET('2 Staff List'!$LO$64,$CT98-1,BO$69-1)*BO159</f>
        <v>0</v>
      </c>
      <c r="BP98" s="1558">
        <f ca="1">OFFSET('2 Staff List'!$LO$64,$CT98-1,BP$69-1)*BP159</f>
        <v>0</v>
      </c>
      <c r="BQ98" s="1558">
        <f ca="1">OFFSET('2 Staff List'!$LO$64,$CT98-1,BQ$69-1)*BQ159</f>
        <v>0</v>
      </c>
      <c r="BR98" s="1558">
        <f ca="1">OFFSET('2 Staff List'!$LO$64,$CT98-1,BR$69-1)*BR159</f>
        <v>0</v>
      </c>
      <c r="BS98" s="1558">
        <f ca="1">OFFSET('2 Staff List'!$LO$64,$CT98-1,BS$69-1)*BS159</f>
        <v>0</v>
      </c>
      <c r="BT98" s="1558">
        <f ca="1">OFFSET('2 Staff List'!$LO$64,$CT98-1,BT$69-1)*BT159</f>
        <v>0</v>
      </c>
      <c r="BU98" s="295"/>
      <c r="BV98" s="295"/>
      <c r="BW98" s="295"/>
      <c r="BX98" s="295"/>
      <c r="BY98" s="295"/>
      <c r="BZ98" s="295"/>
      <c r="CA98" s="1024">
        <f ca="1">SUMIFS('3a Staff Plan'!$X$129:$X$305,'3a Staff Plan'!$DY$129:$DY$305,CZ98,'3a Staff Plan'!$DF$129:$DF$305,1,'3a Staff Plan'!$AG$129:$AG$305,1)</f>
        <v>0</v>
      </c>
      <c r="CB98" s="1025">
        <f ca="1">SUMIFS('3a Staff Plan'!$X$129:$X$305,'3a Staff Plan'!$DY$129:$DY$305,$CZ98,'3a Staff Plan'!$DF$129:$DF$305,1,'3a Staff Plan'!$AG$129:$AG$305,1,'3a Staff Plan'!$C$129:$C$305,DC$18)</f>
        <v>0</v>
      </c>
      <c r="CC98" s="1026">
        <f ca="1">SUMIFS('3a Staff Plan'!$X$129:$X$305,'3a Staff Plan'!$DY$129:$DY$305,$CZ98,'3a Staff Plan'!$DF$129:$DF$305,1,'3a Staff Plan'!$AG$129:$AG$305,1,'3a Staff Plan'!$C$129:$C$305,DD$18)</f>
        <v>0</v>
      </c>
      <c r="CD98" s="1026">
        <f ca="1">SUMIFS('3a Staff Plan'!$X$129:$X$305,'3a Staff Plan'!$DY$129:$DY$305,$CZ98,'3a Staff Plan'!$DF$129:$DF$305,1,'3a Staff Plan'!$AG$129:$AG$305,1,'3a Staff Plan'!$C$129:$C$305,DE$18)</f>
        <v>0</v>
      </c>
      <c r="CE98" s="1026">
        <f ca="1">SUMIFS('3a Staff Plan'!$X$129:$X$305,'3a Staff Plan'!$DY$129:$DY$305,$CZ98,'3a Staff Plan'!$DF$129:$DF$305,1,'3a Staff Plan'!$AG$129:$AG$305,1,'3a Staff Plan'!$C$129:$C$305,DF$18)</f>
        <v>0</v>
      </c>
      <c r="CF98" s="1026">
        <f ca="1">SUMIFS('3a Staff Plan'!$X$129:$X$305,'3a Staff Plan'!$DY$129:$DY$305,$CZ98,'3a Staff Plan'!$DF$129:$DF$305,1,'3a Staff Plan'!$AG$129:$AG$305,1,'3a Staff Plan'!$C$129:$C$305,DG$18)</f>
        <v>0</v>
      </c>
      <c r="CG98" s="1026">
        <f ca="1">SUMIFS('3a Staff Plan'!$X$129:$X$305,'3a Staff Plan'!$DY$129:$DY$305,$CZ98,'3a Staff Plan'!$DF$129:$DF$305,1,'3a Staff Plan'!$AG$129:$AG$305,1,'3a Staff Plan'!$C$129:$C$305,DH$18)</f>
        <v>0</v>
      </c>
      <c r="CH98" s="1026">
        <f ca="1">SUMIFS('3a Staff Plan'!$X$129:$X$305,'3a Staff Plan'!$DY$129:$DY$305,$CZ98,'3a Staff Plan'!$DF$129:$DF$305,1,'3a Staff Plan'!$AG$129:$AG$305,1,'3a Staff Plan'!$C$129:$C$305,DI$18)</f>
        <v>0</v>
      </c>
      <c r="CI98" s="755"/>
      <c r="CJ98" s="1024">
        <f ca="1">SUMPRODUCT(OFFSET('3b Activity Plan'!$DJ$67:$DJ$76,0,$CU98-1),OFFSET('3b Activity Plan'!$DJ$78:$DJ$87,0,CU98-1))</f>
        <v>0</v>
      </c>
      <c r="CK98" s="1025">
        <f t="shared" ca="1" si="43"/>
        <v>0</v>
      </c>
      <c r="CL98" s="1026">
        <f t="shared" ca="1" si="44"/>
        <v>0</v>
      </c>
      <c r="CM98" s="1026">
        <f t="shared" ca="1" si="45"/>
        <v>0</v>
      </c>
      <c r="CN98" s="1026">
        <f t="shared" ca="1" si="46"/>
        <v>0</v>
      </c>
      <c r="CO98" s="1026">
        <f t="shared" ca="1" si="47"/>
        <v>0</v>
      </c>
      <c r="CP98" s="1026">
        <f t="shared" ca="1" si="48"/>
        <v>0</v>
      </c>
      <c r="CQ98" s="1026">
        <f t="shared" ca="1" si="49"/>
        <v>0</v>
      </c>
      <c r="CR98" s="417"/>
      <c r="CS98" s="417">
        <f t="shared" si="50"/>
        <v>27</v>
      </c>
      <c r="CT98" s="417">
        <f ca="1">OFFSET('2 Staff List'!$GU$64,CS98-1,0)</f>
        <v>27</v>
      </c>
      <c r="CU98" s="417">
        <f ca="1">IF(CZ98=0,0,IFERROR(INDEX('3b Activity Plan'!$DJ$20:$FH$20,MATCH(CT98,'3b Activity Plan'!$DJ$171:$FH$171,0)),0))</f>
        <v>0</v>
      </c>
      <c r="CV98" s="417">
        <f ca="1">INDEX('2 Staff List'!$HW$64:$HW$114,CT98)</f>
        <v>0</v>
      </c>
      <c r="CW98" s="417"/>
      <c r="CY98" s="927">
        <f ca="1">OFFSET('2 Staff List'!$HZ$64,CS98-1,0)</f>
        <v>0</v>
      </c>
      <c r="CZ98" s="975">
        <f ca="1">OFFSET('2 Staff List'!$IA$64,CT98-1,0)</f>
        <v>0</v>
      </c>
      <c r="DA98" s="3845">
        <f t="shared" ca="1" si="51"/>
        <v>0</v>
      </c>
      <c r="DB98" s="3846"/>
      <c r="DC98" s="2408">
        <f t="shared" ca="1" si="52"/>
        <v>0</v>
      </c>
      <c r="DD98" s="2405">
        <f t="shared" ca="1" si="53"/>
        <v>0</v>
      </c>
      <c r="DE98" s="2401">
        <f t="shared" ca="1" si="54"/>
        <v>0</v>
      </c>
      <c r="DF98" s="2405">
        <f t="shared" ca="1" si="55"/>
        <v>0</v>
      </c>
      <c r="DG98" s="2405">
        <f t="shared" ca="1" si="56"/>
        <v>0</v>
      </c>
      <c r="DH98" s="2406">
        <f t="shared" ca="1" si="57"/>
        <v>0</v>
      </c>
      <c r="DI98" s="2407">
        <f t="shared" ca="1" si="58"/>
        <v>0</v>
      </c>
    </row>
    <row r="99" spans="1:113" ht="15.9" customHeight="1" x14ac:dyDescent="0.25">
      <c r="A99" s="295"/>
      <c r="B99" s="295"/>
      <c r="C99" s="1558">
        <f ca="1">OFFSET('2 Staff List'!$LO$64,$CT99-1,C$69-1)*C160</f>
        <v>0</v>
      </c>
      <c r="D99" s="1558">
        <f ca="1">OFFSET('2 Staff List'!$LO$64,$CT99-1,D$69-1)*D160</f>
        <v>0</v>
      </c>
      <c r="E99" s="1558">
        <f ca="1">OFFSET('2 Staff List'!$LO$64,$CT99-1,E$69-1)*E160</f>
        <v>0</v>
      </c>
      <c r="F99" s="1558">
        <f ca="1">OFFSET('2 Staff List'!$LO$64,$CT99-1,F$69-1)*F160</f>
        <v>0</v>
      </c>
      <c r="G99" s="1558">
        <f ca="1">OFFSET('2 Staff List'!$LO$64,$CT99-1,G$69-1)*G160</f>
        <v>0</v>
      </c>
      <c r="H99" s="1558">
        <f ca="1">OFFSET('2 Staff List'!$LO$64,$CT99-1,H$69-1)*H160</f>
        <v>0</v>
      </c>
      <c r="I99" s="1558">
        <f ca="1">OFFSET('2 Staff List'!$LO$64,$CT99-1,I$69-1)*I160</f>
        <v>0</v>
      </c>
      <c r="J99" s="1558">
        <f ca="1">OFFSET('2 Staff List'!$LO$64,$CT99-1,J$69-1)*J160</f>
        <v>0</v>
      </c>
      <c r="K99" s="1558">
        <f ca="1">OFFSET('2 Staff List'!$LO$64,$CT99-1,K$69-1)*K160</f>
        <v>0</v>
      </c>
      <c r="L99" s="1601">
        <f ca="1">OFFSET('2 Staff List'!$LO$64,$CT99-1,L$69-1)*L160</f>
        <v>0</v>
      </c>
      <c r="M99" s="1602">
        <f ca="1">OFFSET('2 Staff List'!$LO$64,$CT99-1,M$69-1)*M160</f>
        <v>0</v>
      </c>
      <c r="N99" s="1558">
        <f ca="1">OFFSET('2 Staff List'!$LO$64,$CT99-1,N$69-1)*N160</f>
        <v>0</v>
      </c>
      <c r="O99" s="1558">
        <f ca="1">OFFSET('2 Staff List'!$LO$64,$CT99-1,O$69-1)*O160</f>
        <v>0</v>
      </c>
      <c r="P99" s="1558">
        <f ca="1">OFFSET('2 Staff List'!$LO$64,$CT99-1,P$69-1)*P160</f>
        <v>0</v>
      </c>
      <c r="Q99" s="1558">
        <f ca="1">OFFSET('2 Staff List'!$LO$64,$CT99-1,Q$69-1)*Q160</f>
        <v>0</v>
      </c>
      <c r="R99" s="1558">
        <f ca="1">OFFSET('2 Staff List'!$LO$64,$CT99-1,R$69-1)*R160</f>
        <v>0</v>
      </c>
      <c r="S99" s="1558">
        <f ca="1">OFFSET('2 Staff List'!$LO$64,$CT99-1,S$69-1)*S160</f>
        <v>0</v>
      </c>
      <c r="T99" s="1558">
        <f ca="1">OFFSET('2 Staff List'!$LO$64,$CT99-1,T$69-1)*T160</f>
        <v>0</v>
      </c>
      <c r="U99" s="1558">
        <f ca="1">OFFSET('2 Staff List'!$LO$64,$CT99-1,U$69-1)*U160</f>
        <v>0</v>
      </c>
      <c r="V99" s="1601">
        <f ca="1">OFFSET('2 Staff List'!$LO$64,$CT99-1,V$69-1)*V160</f>
        <v>0</v>
      </c>
      <c r="W99" s="1602">
        <f ca="1">OFFSET('2 Staff List'!$LO$64,$CT99-1,W$69-1)*W160</f>
        <v>0</v>
      </c>
      <c r="X99" s="1558">
        <f ca="1">OFFSET('2 Staff List'!$LO$64,$CT99-1,X$69-1)*X160</f>
        <v>0</v>
      </c>
      <c r="Y99" s="1558">
        <f ca="1">OFFSET('2 Staff List'!$LO$64,$CT99-1,Y$69-1)*Y160</f>
        <v>0</v>
      </c>
      <c r="Z99" s="1558">
        <f ca="1">OFFSET('2 Staff List'!$LO$64,$CT99-1,Z$69-1)*Z160</f>
        <v>0</v>
      </c>
      <c r="AA99" s="1558">
        <f ca="1">OFFSET('2 Staff List'!$LO$64,$CT99-1,AA$69-1)*AA160</f>
        <v>0</v>
      </c>
      <c r="AB99" s="1558">
        <f ca="1">OFFSET('2 Staff List'!$LO$64,$CT99-1,AB$69-1)*AB160</f>
        <v>0</v>
      </c>
      <c r="AC99" s="1558">
        <f ca="1">OFFSET('2 Staff List'!$LO$64,$CT99-1,AC$69-1)*AC160</f>
        <v>0</v>
      </c>
      <c r="AD99" s="1558">
        <f ca="1">OFFSET('2 Staff List'!$LO$64,$CT99-1,AD$69-1)*AD160</f>
        <v>0</v>
      </c>
      <c r="AE99" s="1558">
        <f ca="1">OFFSET('2 Staff List'!$LO$64,$CT99-1,AE$69-1)*AE160</f>
        <v>0</v>
      </c>
      <c r="AF99" s="1601">
        <f ca="1">OFFSET('2 Staff List'!$LO$64,$CT99-1,AF$69-1)*AF160</f>
        <v>0</v>
      </c>
      <c r="AG99" s="1602">
        <f ca="1">OFFSET('2 Staff List'!$LO$64,$CT99-1,AG$69-1)*AG160</f>
        <v>0</v>
      </c>
      <c r="AH99" s="1558">
        <f ca="1">OFFSET('2 Staff List'!$LO$64,$CT99-1,AH$69-1)*AH160</f>
        <v>0</v>
      </c>
      <c r="AI99" s="1558">
        <f ca="1">OFFSET('2 Staff List'!$LO$64,$CT99-1,AI$69-1)*AI160</f>
        <v>0</v>
      </c>
      <c r="AJ99" s="1558">
        <f ca="1">OFFSET('2 Staff List'!$LO$64,$CT99-1,AJ$69-1)*AJ160</f>
        <v>0</v>
      </c>
      <c r="AK99" s="1558">
        <f ca="1">OFFSET('2 Staff List'!$LO$64,$CT99-1,AK$69-1)*AK160</f>
        <v>0</v>
      </c>
      <c r="AL99" s="1558">
        <f ca="1">OFFSET('2 Staff List'!$LO$64,$CT99-1,AL$69-1)*AL160</f>
        <v>0</v>
      </c>
      <c r="AM99" s="1558">
        <f ca="1">OFFSET('2 Staff List'!$LO$64,$CT99-1,AM$69-1)*AM160</f>
        <v>0</v>
      </c>
      <c r="AN99" s="1558">
        <f ca="1">OFFSET('2 Staff List'!$LO$64,$CT99-1,AN$69-1)*AN160</f>
        <v>0</v>
      </c>
      <c r="AO99" s="1558">
        <f ca="1">OFFSET('2 Staff List'!$LO$64,$CT99-1,AO$69-1)*AO160</f>
        <v>0</v>
      </c>
      <c r="AP99" s="1601">
        <f ca="1">OFFSET('2 Staff List'!$LO$64,$CT99-1,AP$69-1)*AP160</f>
        <v>0</v>
      </c>
      <c r="AQ99" s="1602">
        <f ca="1">OFFSET('2 Staff List'!$LO$64,$CT99-1,AQ$69-1)*AQ160</f>
        <v>0</v>
      </c>
      <c r="AR99" s="1558">
        <f ca="1">OFFSET('2 Staff List'!$LO$64,$CT99-1,AR$69-1)*AR160</f>
        <v>0</v>
      </c>
      <c r="AS99" s="1558">
        <f ca="1">OFFSET('2 Staff List'!$LO$64,$CT99-1,AS$69-1)*AS160</f>
        <v>0</v>
      </c>
      <c r="AT99" s="1558">
        <f ca="1">OFFSET('2 Staff List'!$LO$64,$CT99-1,AT$69-1)*AT160</f>
        <v>0</v>
      </c>
      <c r="AU99" s="1558">
        <f ca="1">OFFSET('2 Staff List'!$LO$64,$CT99-1,AU$69-1)*AU160</f>
        <v>0</v>
      </c>
      <c r="AV99" s="1558">
        <f ca="1">OFFSET('2 Staff List'!$LO$64,$CT99-1,AV$69-1)*AV160</f>
        <v>0</v>
      </c>
      <c r="AW99" s="1558">
        <f ca="1">OFFSET('2 Staff List'!$LO$64,$CT99-1,AW$69-1)*AW160</f>
        <v>0</v>
      </c>
      <c r="AX99" s="1558">
        <f ca="1">OFFSET('2 Staff List'!$LO$64,$CT99-1,AX$69-1)*AX160</f>
        <v>0</v>
      </c>
      <c r="AY99" s="1558">
        <f ca="1">OFFSET('2 Staff List'!$LO$64,$CT99-1,AY$69-1)*AY160</f>
        <v>0</v>
      </c>
      <c r="AZ99" s="1601">
        <f ca="1">OFFSET('2 Staff List'!$LO$64,$CT99-1,AZ$69-1)*AZ160</f>
        <v>0</v>
      </c>
      <c r="BA99" s="1602">
        <f ca="1">OFFSET('2 Staff List'!$LO$64,$CT99-1,BA$69-1)*BA160</f>
        <v>0</v>
      </c>
      <c r="BB99" s="1558">
        <f ca="1">OFFSET('2 Staff List'!$LO$64,$CT99-1,BB$69-1)*BB160</f>
        <v>0</v>
      </c>
      <c r="BC99" s="1558">
        <f ca="1">OFFSET('2 Staff List'!$LO$64,$CT99-1,BC$69-1)*BC160</f>
        <v>0</v>
      </c>
      <c r="BD99" s="1558">
        <f ca="1">OFFSET('2 Staff List'!$LO$64,$CT99-1,BD$69-1)*BD160</f>
        <v>0</v>
      </c>
      <c r="BE99" s="1558">
        <f ca="1">OFFSET('2 Staff List'!$LO$64,$CT99-1,BE$69-1)*BE160</f>
        <v>0</v>
      </c>
      <c r="BF99" s="1558">
        <f ca="1">OFFSET('2 Staff List'!$LO$64,$CT99-1,BF$69-1)*BF160</f>
        <v>0</v>
      </c>
      <c r="BG99" s="1558">
        <f ca="1">OFFSET('2 Staff List'!$LO$64,$CT99-1,BG$69-1)*BG160</f>
        <v>0</v>
      </c>
      <c r="BH99" s="1558">
        <f ca="1">OFFSET('2 Staff List'!$LO$64,$CT99-1,BH$69-1)*BH160</f>
        <v>0</v>
      </c>
      <c r="BI99" s="1558">
        <f ca="1">OFFSET('2 Staff List'!$LO$64,$CT99-1,BI$69-1)*BI160</f>
        <v>0</v>
      </c>
      <c r="BJ99" s="1601">
        <f ca="1">OFFSET('2 Staff List'!$LO$64,$CT99-1,BJ$69-1)*BJ160</f>
        <v>0</v>
      </c>
      <c r="BK99" s="1602">
        <f ca="1">OFFSET('2 Staff List'!$LO$64,$CT99-1,BK$69-1)*BK160</f>
        <v>0</v>
      </c>
      <c r="BL99" s="1558">
        <f ca="1">OFFSET('2 Staff List'!$LO$64,$CT99-1,BL$69-1)*BL160</f>
        <v>0</v>
      </c>
      <c r="BM99" s="1558">
        <f ca="1">OFFSET('2 Staff List'!$LO$64,$CT99-1,BM$69-1)*BM160</f>
        <v>0</v>
      </c>
      <c r="BN99" s="1558">
        <f ca="1">OFFSET('2 Staff List'!$LO$64,$CT99-1,BN$69-1)*BN160</f>
        <v>0</v>
      </c>
      <c r="BO99" s="1558">
        <f ca="1">OFFSET('2 Staff List'!$LO$64,$CT99-1,BO$69-1)*BO160</f>
        <v>0</v>
      </c>
      <c r="BP99" s="1558">
        <f ca="1">OFFSET('2 Staff List'!$LO$64,$CT99-1,BP$69-1)*BP160</f>
        <v>0</v>
      </c>
      <c r="BQ99" s="1558">
        <f ca="1">OFFSET('2 Staff List'!$LO$64,$CT99-1,BQ$69-1)*BQ160</f>
        <v>0</v>
      </c>
      <c r="BR99" s="1558">
        <f ca="1">OFFSET('2 Staff List'!$LO$64,$CT99-1,BR$69-1)*BR160</f>
        <v>0</v>
      </c>
      <c r="BS99" s="1558">
        <f ca="1">OFFSET('2 Staff List'!$LO$64,$CT99-1,BS$69-1)*BS160</f>
        <v>0</v>
      </c>
      <c r="BT99" s="1558">
        <f ca="1">OFFSET('2 Staff List'!$LO$64,$CT99-1,BT$69-1)*BT160</f>
        <v>0</v>
      </c>
      <c r="BU99" s="295"/>
      <c r="BV99" s="295"/>
      <c r="BW99" s="295"/>
      <c r="BX99" s="295"/>
      <c r="BY99" s="295"/>
      <c r="BZ99" s="295"/>
      <c r="CA99" s="1024">
        <f ca="1">SUMIFS('3a Staff Plan'!$X$129:$X$305,'3a Staff Plan'!$DY$129:$DY$305,CZ99,'3a Staff Plan'!$DF$129:$DF$305,1,'3a Staff Plan'!$AG$129:$AG$305,1)</f>
        <v>0</v>
      </c>
      <c r="CB99" s="1025">
        <f ca="1">SUMIFS('3a Staff Plan'!$X$129:$X$305,'3a Staff Plan'!$DY$129:$DY$305,$CZ99,'3a Staff Plan'!$DF$129:$DF$305,1,'3a Staff Plan'!$AG$129:$AG$305,1,'3a Staff Plan'!$C$129:$C$305,DC$18)</f>
        <v>0</v>
      </c>
      <c r="CC99" s="1026">
        <f ca="1">SUMIFS('3a Staff Plan'!$X$129:$X$305,'3a Staff Plan'!$DY$129:$DY$305,$CZ99,'3a Staff Plan'!$DF$129:$DF$305,1,'3a Staff Plan'!$AG$129:$AG$305,1,'3a Staff Plan'!$C$129:$C$305,DD$18)</f>
        <v>0</v>
      </c>
      <c r="CD99" s="1026">
        <f ca="1">SUMIFS('3a Staff Plan'!$X$129:$X$305,'3a Staff Plan'!$DY$129:$DY$305,$CZ99,'3a Staff Plan'!$DF$129:$DF$305,1,'3a Staff Plan'!$AG$129:$AG$305,1,'3a Staff Plan'!$C$129:$C$305,DE$18)</f>
        <v>0</v>
      </c>
      <c r="CE99" s="1026">
        <f ca="1">SUMIFS('3a Staff Plan'!$X$129:$X$305,'3a Staff Plan'!$DY$129:$DY$305,$CZ99,'3a Staff Plan'!$DF$129:$DF$305,1,'3a Staff Plan'!$AG$129:$AG$305,1,'3a Staff Plan'!$C$129:$C$305,DF$18)</f>
        <v>0</v>
      </c>
      <c r="CF99" s="1026">
        <f ca="1">SUMIFS('3a Staff Plan'!$X$129:$X$305,'3a Staff Plan'!$DY$129:$DY$305,$CZ99,'3a Staff Plan'!$DF$129:$DF$305,1,'3a Staff Plan'!$AG$129:$AG$305,1,'3a Staff Plan'!$C$129:$C$305,DG$18)</f>
        <v>0</v>
      </c>
      <c r="CG99" s="1026">
        <f ca="1">SUMIFS('3a Staff Plan'!$X$129:$X$305,'3a Staff Plan'!$DY$129:$DY$305,$CZ99,'3a Staff Plan'!$DF$129:$DF$305,1,'3a Staff Plan'!$AG$129:$AG$305,1,'3a Staff Plan'!$C$129:$C$305,DH$18)</f>
        <v>0</v>
      </c>
      <c r="CH99" s="1026">
        <f ca="1">SUMIFS('3a Staff Plan'!$X$129:$X$305,'3a Staff Plan'!$DY$129:$DY$305,$CZ99,'3a Staff Plan'!$DF$129:$DF$305,1,'3a Staff Plan'!$AG$129:$AG$305,1,'3a Staff Plan'!$C$129:$C$305,DI$18)</f>
        <v>0</v>
      </c>
      <c r="CI99" s="755"/>
      <c r="CJ99" s="1024">
        <f ca="1">SUMPRODUCT(OFFSET('3b Activity Plan'!$DJ$67:$DJ$76,0,$CU99-1),OFFSET('3b Activity Plan'!$DJ$78:$DJ$87,0,CU99-1))</f>
        <v>0</v>
      </c>
      <c r="CK99" s="1025">
        <f t="shared" ca="1" si="43"/>
        <v>0</v>
      </c>
      <c r="CL99" s="1026">
        <f t="shared" ca="1" si="44"/>
        <v>0</v>
      </c>
      <c r="CM99" s="1026">
        <f t="shared" ca="1" si="45"/>
        <v>0</v>
      </c>
      <c r="CN99" s="1026">
        <f t="shared" ca="1" si="46"/>
        <v>0</v>
      </c>
      <c r="CO99" s="1026">
        <f t="shared" ca="1" si="47"/>
        <v>0</v>
      </c>
      <c r="CP99" s="1026">
        <f t="shared" ca="1" si="48"/>
        <v>0</v>
      </c>
      <c r="CQ99" s="1026">
        <f t="shared" ca="1" si="49"/>
        <v>0</v>
      </c>
      <c r="CR99" s="417"/>
      <c r="CS99" s="417">
        <f t="shared" si="50"/>
        <v>28</v>
      </c>
      <c r="CT99" s="417">
        <f ca="1">OFFSET('2 Staff List'!$GU$64,CS99-1,0)</f>
        <v>28</v>
      </c>
      <c r="CU99" s="417">
        <f ca="1">IF(CZ99=0,0,IFERROR(INDEX('3b Activity Plan'!$DJ$20:$FH$20,MATCH(CT99,'3b Activity Plan'!$DJ$171:$FH$171,0)),0))</f>
        <v>0</v>
      </c>
      <c r="CV99" s="417">
        <f ca="1">INDEX('2 Staff List'!$HW$64:$HW$114,CT99)</f>
        <v>0</v>
      </c>
      <c r="CW99" s="417"/>
      <c r="CY99" s="927">
        <f ca="1">OFFSET('2 Staff List'!$HZ$64,CS99-1,0)</f>
        <v>0</v>
      </c>
      <c r="CZ99" s="975">
        <f ca="1">OFFSET('2 Staff List'!$IA$64,CT99-1,0)</f>
        <v>0</v>
      </c>
      <c r="DA99" s="3845">
        <f t="shared" ca="1" si="51"/>
        <v>0</v>
      </c>
      <c r="DB99" s="3846"/>
      <c r="DC99" s="2408">
        <f t="shared" ca="1" si="52"/>
        <v>0</v>
      </c>
      <c r="DD99" s="2405">
        <f t="shared" ca="1" si="53"/>
        <v>0</v>
      </c>
      <c r="DE99" s="2401">
        <f t="shared" ca="1" si="54"/>
        <v>0</v>
      </c>
      <c r="DF99" s="2405">
        <f t="shared" ca="1" si="55"/>
        <v>0</v>
      </c>
      <c r="DG99" s="2405">
        <f t="shared" ca="1" si="56"/>
        <v>0</v>
      </c>
      <c r="DH99" s="2406">
        <f t="shared" ca="1" si="57"/>
        <v>0</v>
      </c>
      <c r="DI99" s="2407">
        <f t="shared" ca="1" si="58"/>
        <v>0</v>
      </c>
    </row>
    <row r="100" spans="1:113" ht="15.9" customHeight="1" x14ac:dyDescent="0.25">
      <c r="A100" s="295"/>
      <c r="B100" s="295"/>
      <c r="C100" s="1558">
        <f ca="1">OFFSET('2 Staff List'!$LO$64,$CT100-1,C$69-1)*C161</f>
        <v>0</v>
      </c>
      <c r="D100" s="1558">
        <f ca="1">OFFSET('2 Staff List'!$LO$64,$CT100-1,D$69-1)*D161</f>
        <v>0</v>
      </c>
      <c r="E100" s="1558">
        <f ca="1">OFFSET('2 Staff List'!$LO$64,$CT100-1,E$69-1)*E161</f>
        <v>0</v>
      </c>
      <c r="F100" s="1558">
        <f ca="1">OFFSET('2 Staff List'!$LO$64,$CT100-1,F$69-1)*F161</f>
        <v>0</v>
      </c>
      <c r="G100" s="1558">
        <f ca="1">OFFSET('2 Staff List'!$LO$64,$CT100-1,G$69-1)*G161</f>
        <v>0</v>
      </c>
      <c r="H100" s="1558">
        <f ca="1">OFFSET('2 Staff List'!$LO$64,$CT100-1,H$69-1)*H161</f>
        <v>0</v>
      </c>
      <c r="I100" s="1558">
        <f ca="1">OFFSET('2 Staff List'!$LO$64,$CT100-1,I$69-1)*I161</f>
        <v>0</v>
      </c>
      <c r="J100" s="1558">
        <f ca="1">OFFSET('2 Staff List'!$LO$64,$CT100-1,J$69-1)*J161</f>
        <v>0</v>
      </c>
      <c r="K100" s="1558">
        <f ca="1">OFFSET('2 Staff List'!$LO$64,$CT100-1,K$69-1)*K161</f>
        <v>0</v>
      </c>
      <c r="L100" s="1601">
        <f ca="1">OFFSET('2 Staff List'!$LO$64,$CT100-1,L$69-1)*L161</f>
        <v>0</v>
      </c>
      <c r="M100" s="1602">
        <f ca="1">OFFSET('2 Staff List'!$LO$64,$CT100-1,M$69-1)*M161</f>
        <v>0</v>
      </c>
      <c r="N100" s="1558">
        <f ca="1">OFFSET('2 Staff List'!$LO$64,$CT100-1,N$69-1)*N161</f>
        <v>0</v>
      </c>
      <c r="O100" s="1558">
        <f ca="1">OFFSET('2 Staff List'!$LO$64,$CT100-1,O$69-1)*O161</f>
        <v>0</v>
      </c>
      <c r="P100" s="1558">
        <f ca="1">OFFSET('2 Staff List'!$LO$64,$CT100-1,P$69-1)*P161</f>
        <v>0</v>
      </c>
      <c r="Q100" s="1558">
        <f ca="1">OFFSET('2 Staff List'!$LO$64,$CT100-1,Q$69-1)*Q161</f>
        <v>0</v>
      </c>
      <c r="R100" s="1558">
        <f ca="1">OFFSET('2 Staff List'!$LO$64,$CT100-1,R$69-1)*R161</f>
        <v>0</v>
      </c>
      <c r="S100" s="1558">
        <f ca="1">OFFSET('2 Staff List'!$LO$64,$CT100-1,S$69-1)*S161</f>
        <v>0</v>
      </c>
      <c r="T100" s="1558">
        <f ca="1">OFFSET('2 Staff List'!$LO$64,$CT100-1,T$69-1)*T161</f>
        <v>0</v>
      </c>
      <c r="U100" s="1558">
        <f ca="1">OFFSET('2 Staff List'!$LO$64,$CT100-1,U$69-1)*U161</f>
        <v>0</v>
      </c>
      <c r="V100" s="1601">
        <f ca="1">OFFSET('2 Staff List'!$LO$64,$CT100-1,V$69-1)*V161</f>
        <v>0</v>
      </c>
      <c r="W100" s="1602">
        <f ca="1">OFFSET('2 Staff List'!$LO$64,$CT100-1,W$69-1)*W161</f>
        <v>0</v>
      </c>
      <c r="X100" s="1558">
        <f ca="1">OFFSET('2 Staff List'!$LO$64,$CT100-1,X$69-1)*X161</f>
        <v>0</v>
      </c>
      <c r="Y100" s="1558">
        <f ca="1">OFFSET('2 Staff List'!$LO$64,$CT100-1,Y$69-1)*Y161</f>
        <v>0</v>
      </c>
      <c r="Z100" s="1558">
        <f ca="1">OFFSET('2 Staff List'!$LO$64,$CT100-1,Z$69-1)*Z161</f>
        <v>0</v>
      </c>
      <c r="AA100" s="1558">
        <f ca="1">OFFSET('2 Staff List'!$LO$64,$CT100-1,AA$69-1)*AA161</f>
        <v>0</v>
      </c>
      <c r="AB100" s="1558">
        <f ca="1">OFFSET('2 Staff List'!$LO$64,$CT100-1,AB$69-1)*AB161</f>
        <v>0</v>
      </c>
      <c r="AC100" s="1558">
        <f ca="1">OFFSET('2 Staff List'!$LO$64,$CT100-1,AC$69-1)*AC161</f>
        <v>0</v>
      </c>
      <c r="AD100" s="1558">
        <f ca="1">OFFSET('2 Staff List'!$LO$64,$CT100-1,AD$69-1)*AD161</f>
        <v>0</v>
      </c>
      <c r="AE100" s="1558">
        <f ca="1">OFFSET('2 Staff List'!$LO$64,$CT100-1,AE$69-1)*AE161</f>
        <v>0</v>
      </c>
      <c r="AF100" s="1601">
        <f ca="1">OFFSET('2 Staff List'!$LO$64,$CT100-1,AF$69-1)*AF161</f>
        <v>0</v>
      </c>
      <c r="AG100" s="1602">
        <f ca="1">OFFSET('2 Staff List'!$LO$64,$CT100-1,AG$69-1)*AG161</f>
        <v>0</v>
      </c>
      <c r="AH100" s="1558">
        <f ca="1">OFFSET('2 Staff List'!$LO$64,$CT100-1,AH$69-1)*AH161</f>
        <v>0</v>
      </c>
      <c r="AI100" s="1558">
        <f ca="1">OFFSET('2 Staff List'!$LO$64,$CT100-1,AI$69-1)*AI161</f>
        <v>0</v>
      </c>
      <c r="AJ100" s="1558">
        <f ca="1">OFFSET('2 Staff List'!$LO$64,$CT100-1,AJ$69-1)*AJ161</f>
        <v>0</v>
      </c>
      <c r="AK100" s="1558">
        <f ca="1">OFFSET('2 Staff List'!$LO$64,$CT100-1,AK$69-1)*AK161</f>
        <v>0</v>
      </c>
      <c r="AL100" s="1558">
        <f ca="1">OFFSET('2 Staff List'!$LO$64,$CT100-1,AL$69-1)*AL161</f>
        <v>0</v>
      </c>
      <c r="AM100" s="1558">
        <f ca="1">OFFSET('2 Staff List'!$LO$64,$CT100-1,AM$69-1)*AM161</f>
        <v>0</v>
      </c>
      <c r="AN100" s="1558">
        <f ca="1">OFFSET('2 Staff List'!$LO$64,$CT100-1,AN$69-1)*AN161</f>
        <v>0</v>
      </c>
      <c r="AO100" s="1558">
        <f ca="1">OFFSET('2 Staff List'!$LO$64,$CT100-1,AO$69-1)*AO161</f>
        <v>0</v>
      </c>
      <c r="AP100" s="1601">
        <f ca="1">OFFSET('2 Staff List'!$LO$64,$CT100-1,AP$69-1)*AP161</f>
        <v>0</v>
      </c>
      <c r="AQ100" s="1602">
        <f ca="1">OFFSET('2 Staff List'!$LO$64,$CT100-1,AQ$69-1)*AQ161</f>
        <v>0</v>
      </c>
      <c r="AR100" s="1558">
        <f ca="1">OFFSET('2 Staff List'!$LO$64,$CT100-1,AR$69-1)*AR161</f>
        <v>0</v>
      </c>
      <c r="AS100" s="1558">
        <f ca="1">OFFSET('2 Staff List'!$LO$64,$CT100-1,AS$69-1)*AS161</f>
        <v>0</v>
      </c>
      <c r="AT100" s="1558">
        <f ca="1">OFFSET('2 Staff List'!$LO$64,$CT100-1,AT$69-1)*AT161</f>
        <v>0</v>
      </c>
      <c r="AU100" s="1558">
        <f ca="1">OFFSET('2 Staff List'!$LO$64,$CT100-1,AU$69-1)*AU161</f>
        <v>0</v>
      </c>
      <c r="AV100" s="1558">
        <f ca="1">OFFSET('2 Staff List'!$LO$64,$CT100-1,AV$69-1)*AV161</f>
        <v>0</v>
      </c>
      <c r="AW100" s="1558">
        <f ca="1">OFFSET('2 Staff List'!$LO$64,$CT100-1,AW$69-1)*AW161</f>
        <v>0</v>
      </c>
      <c r="AX100" s="1558">
        <f ca="1">OFFSET('2 Staff List'!$LO$64,$CT100-1,AX$69-1)*AX161</f>
        <v>0</v>
      </c>
      <c r="AY100" s="1558">
        <f ca="1">OFFSET('2 Staff List'!$LO$64,$CT100-1,AY$69-1)*AY161</f>
        <v>0</v>
      </c>
      <c r="AZ100" s="1601">
        <f ca="1">OFFSET('2 Staff List'!$LO$64,$CT100-1,AZ$69-1)*AZ161</f>
        <v>0</v>
      </c>
      <c r="BA100" s="1602">
        <f ca="1">OFFSET('2 Staff List'!$LO$64,$CT100-1,BA$69-1)*BA161</f>
        <v>0</v>
      </c>
      <c r="BB100" s="1558">
        <f ca="1">OFFSET('2 Staff List'!$LO$64,$CT100-1,BB$69-1)*BB161</f>
        <v>0</v>
      </c>
      <c r="BC100" s="1558">
        <f ca="1">OFFSET('2 Staff List'!$LO$64,$CT100-1,BC$69-1)*BC161</f>
        <v>0</v>
      </c>
      <c r="BD100" s="1558">
        <f ca="1">OFFSET('2 Staff List'!$LO$64,$CT100-1,BD$69-1)*BD161</f>
        <v>0</v>
      </c>
      <c r="BE100" s="1558">
        <f ca="1">OFFSET('2 Staff List'!$LO$64,$CT100-1,BE$69-1)*BE161</f>
        <v>0</v>
      </c>
      <c r="BF100" s="1558">
        <f ca="1">OFFSET('2 Staff List'!$LO$64,$CT100-1,BF$69-1)*BF161</f>
        <v>0</v>
      </c>
      <c r="BG100" s="1558">
        <f ca="1">OFFSET('2 Staff List'!$LO$64,$CT100-1,BG$69-1)*BG161</f>
        <v>0</v>
      </c>
      <c r="BH100" s="1558">
        <f ca="1">OFFSET('2 Staff List'!$LO$64,$CT100-1,BH$69-1)*BH161</f>
        <v>0</v>
      </c>
      <c r="BI100" s="1558">
        <f ca="1">OFFSET('2 Staff List'!$LO$64,$CT100-1,BI$69-1)*BI161</f>
        <v>0</v>
      </c>
      <c r="BJ100" s="1601">
        <f ca="1">OFFSET('2 Staff List'!$LO$64,$CT100-1,BJ$69-1)*BJ161</f>
        <v>0</v>
      </c>
      <c r="BK100" s="1602">
        <f ca="1">OFFSET('2 Staff List'!$LO$64,$CT100-1,BK$69-1)*BK161</f>
        <v>0</v>
      </c>
      <c r="BL100" s="1558">
        <f ca="1">OFFSET('2 Staff List'!$LO$64,$CT100-1,BL$69-1)*BL161</f>
        <v>0</v>
      </c>
      <c r="BM100" s="1558">
        <f ca="1">OFFSET('2 Staff List'!$LO$64,$CT100-1,BM$69-1)*BM161</f>
        <v>0</v>
      </c>
      <c r="BN100" s="1558">
        <f ca="1">OFFSET('2 Staff List'!$LO$64,$CT100-1,BN$69-1)*BN161</f>
        <v>0</v>
      </c>
      <c r="BO100" s="1558">
        <f ca="1">OFFSET('2 Staff List'!$LO$64,$CT100-1,BO$69-1)*BO161</f>
        <v>0</v>
      </c>
      <c r="BP100" s="1558">
        <f ca="1">OFFSET('2 Staff List'!$LO$64,$CT100-1,BP$69-1)*BP161</f>
        <v>0</v>
      </c>
      <c r="BQ100" s="1558">
        <f ca="1">OFFSET('2 Staff List'!$LO$64,$CT100-1,BQ$69-1)*BQ161</f>
        <v>0</v>
      </c>
      <c r="BR100" s="1558">
        <f ca="1">OFFSET('2 Staff List'!$LO$64,$CT100-1,BR$69-1)*BR161</f>
        <v>0</v>
      </c>
      <c r="BS100" s="1558">
        <f ca="1">OFFSET('2 Staff List'!$LO$64,$CT100-1,BS$69-1)*BS161</f>
        <v>0</v>
      </c>
      <c r="BT100" s="1558">
        <f ca="1">OFFSET('2 Staff List'!$LO$64,$CT100-1,BT$69-1)*BT161</f>
        <v>0</v>
      </c>
      <c r="BU100" s="295"/>
      <c r="BV100" s="295"/>
      <c r="BW100" s="295"/>
      <c r="BX100" s="295"/>
      <c r="BY100" s="295"/>
      <c r="BZ100" s="295"/>
      <c r="CA100" s="1024">
        <f ca="1">SUMIFS('3a Staff Plan'!$X$129:$X$305,'3a Staff Plan'!$DY$129:$DY$305,CZ100,'3a Staff Plan'!$DF$129:$DF$305,1,'3a Staff Plan'!$AG$129:$AG$305,1)</f>
        <v>0</v>
      </c>
      <c r="CB100" s="1025">
        <f ca="1">SUMIFS('3a Staff Plan'!$X$129:$X$305,'3a Staff Plan'!$DY$129:$DY$305,$CZ100,'3a Staff Plan'!$DF$129:$DF$305,1,'3a Staff Plan'!$AG$129:$AG$305,1,'3a Staff Plan'!$C$129:$C$305,DC$18)</f>
        <v>0</v>
      </c>
      <c r="CC100" s="1026">
        <f ca="1">SUMIFS('3a Staff Plan'!$X$129:$X$305,'3a Staff Plan'!$DY$129:$DY$305,$CZ100,'3a Staff Plan'!$DF$129:$DF$305,1,'3a Staff Plan'!$AG$129:$AG$305,1,'3a Staff Plan'!$C$129:$C$305,DD$18)</f>
        <v>0</v>
      </c>
      <c r="CD100" s="1026">
        <f ca="1">SUMIFS('3a Staff Plan'!$X$129:$X$305,'3a Staff Plan'!$DY$129:$DY$305,$CZ100,'3a Staff Plan'!$DF$129:$DF$305,1,'3a Staff Plan'!$AG$129:$AG$305,1,'3a Staff Plan'!$C$129:$C$305,DE$18)</f>
        <v>0</v>
      </c>
      <c r="CE100" s="1026">
        <f ca="1">SUMIFS('3a Staff Plan'!$X$129:$X$305,'3a Staff Plan'!$DY$129:$DY$305,$CZ100,'3a Staff Plan'!$DF$129:$DF$305,1,'3a Staff Plan'!$AG$129:$AG$305,1,'3a Staff Plan'!$C$129:$C$305,DF$18)</f>
        <v>0</v>
      </c>
      <c r="CF100" s="1026">
        <f ca="1">SUMIFS('3a Staff Plan'!$X$129:$X$305,'3a Staff Plan'!$DY$129:$DY$305,$CZ100,'3a Staff Plan'!$DF$129:$DF$305,1,'3a Staff Plan'!$AG$129:$AG$305,1,'3a Staff Plan'!$C$129:$C$305,DG$18)</f>
        <v>0</v>
      </c>
      <c r="CG100" s="1026">
        <f ca="1">SUMIFS('3a Staff Plan'!$X$129:$X$305,'3a Staff Plan'!$DY$129:$DY$305,$CZ100,'3a Staff Plan'!$DF$129:$DF$305,1,'3a Staff Plan'!$AG$129:$AG$305,1,'3a Staff Plan'!$C$129:$C$305,DH$18)</f>
        <v>0</v>
      </c>
      <c r="CH100" s="1026">
        <f ca="1">SUMIFS('3a Staff Plan'!$X$129:$X$305,'3a Staff Plan'!$DY$129:$DY$305,$CZ100,'3a Staff Plan'!$DF$129:$DF$305,1,'3a Staff Plan'!$AG$129:$AG$305,1,'3a Staff Plan'!$C$129:$C$305,DI$18)</f>
        <v>0</v>
      </c>
      <c r="CI100" s="755"/>
      <c r="CJ100" s="1024">
        <f ca="1">SUMPRODUCT(OFFSET('3b Activity Plan'!$DJ$67:$DJ$76,0,$CU100-1),OFFSET('3b Activity Plan'!$DJ$78:$DJ$87,0,CU100-1))</f>
        <v>0</v>
      </c>
      <c r="CK100" s="1025">
        <f t="shared" ca="1" si="43"/>
        <v>0</v>
      </c>
      <c r="CL100" s="1026">
        <f t="shared" ca="1" si="44"/>
        <v>0</v>
      </c>
      <c r="CM100" s="1026">
        <f t="shared" ca="1" si="45"/>
        <v>0</v>
      </c>
      <c r="CN100" s="1026">
        <f t="shared" ca="1" si="46"/>
        <v>0</v>
      </c>
      <c r="CO100" s="1026">
        <f t="shared" ca="1" si="47"/>
        <v>0</v>
      </c>
      <c r="CP100" s="1026">
        <f t="shared" ca="1" si="48"/>
        <v>0</v>
      </c>
      <c r="CQ100" s="1026">
        <f t="shared" ca="1" si="49"/>
        <v>0</v>
      </c>
      <c r="CR100" s="417"/>
      <c r="CS100" s="417">
        <f t="shared" si="50"/>
        <v>29</v>
      </c>
      <c r="CT100" s="417">
        <f ca="1">OFFSET('2 Staff List'!$GU$64,CS100-1,0)</f>
        <v>29</v>
      </c>
      <c r="CU100" s="417">
        <f ca="1">IF(CZ100=0,0,IFERROR(INDEX('3b Activity Plan'!$DJ$20:$FH$20,MATCH(CT100,'3b Activity Plan'!$DJ$171:$FH$171,0)),0))</f>
        <v>0</v>
      </c>
      <c r="CV100" s="417">
        <f ca="1">INDEX('2 Staff List'!$HW$64:$HW$114,CT100)</f>
        <v>0</v>
      </c>
      <c r="CW100" s="417"/>
      <c r="CY100" s="927">
        <f ca="1">OFFSET('2 Staff List'!$HZ$64,CS100-1,0)</f>
        <v>0</v>
      </c>
      <c r="CZ100" s="975">
        <f ca="1">OFFSET('2 Staff List'!$IA$64,CT100-1,0)</f>
        <v>0</v>
      </c>
      <c r="DA100" s="3845">
        <f t="shared" ca="1" si="51"/>
        <v>0</v>
      </c>
      <c r="DB100" s="3846"/>
      <c r="DC100" s="2408">
        <f t="shared" ca="1" si="52"/>
        <v>0</v>
      </c>
      <c r="DD100" s="2405">
        <f t="shared" ca="1" si="53"/>
        <v>0</v>
      </c>
      <c r="DE100" s="2401">
        <f t="shared" ca="1" si="54"/>
        <v>0</v>
      </c>
      <c r="DF100" s="2405">
        <f t="shared" ca="1" si="55"/>
        <v>0</v>
      </c>
      <c r="DG100" s="2405">
        <f t="shared" ca="1" si="56"/>
        <v>0</v>
      </c>
      <c r="DH100" s="2406">
        <f t="shared" ca="1" si="57"/>
        <v>0</v>
      </c>
      <c r="DI100" s="2407">
        <f t="shared" ca="1" si="58"/>
        <v>0</v>
      </c>
    </row>
    <row r="101" spans="1:113" ht="15.9" customHeight="1" x14ac:dyDescent="0.25">
      <c r="A101" s="295"/>
      <c r="B101" s="295"/>
      <c r="C101" s="1558">
        <f ca="1">OFFSET('2 Staff List'!$LO$64,$CT101-1,C$69-1)*C162</f>
        <v>0</v>
      </c>
      <c r="D101" s="1558">
        <f ca="1">OFFSET('2 Staff List'!$LO$64,$CT101-1,D$69-1)*D162</f>
        <v>0</v>
      </c>
      <c r="E101" s="1558">
        <f ca="1">OFFSET('2 Staff List'!$LO$64,$CT101-1,E$69-1)*E162</f>
        <v>0</v>
      </c>
      <c r="F101" s="1558">
        <f ca="1">OFFSET('2 Staff List'!$LO$64,$CT101-1,F$69-1)*F162</f>
        <v>0</v>
      </c>
      <c r="G101" s="1558">
        <f ca="1">OFFSET('2 Staff List'!$LO$64,$CT101-1,G$69-1)*G162</f>
        <v>0</v>
      </c>
      <c r="H101" s="1558">
        <f ca="1">OFFSET('2 Staff List'!$LO$64,$CT101-1,H$69-1)*H162</f>
        <v>0</v>
      </c>
      <c r="I101" s="1558">
        <f ca="1">OFFSET('2 Staff List'!$LO$64,$CT101-1,I$69-1)*I162</f>
        <v>0</v>
      </c>
      <c r="J101" s="1558">
        <f ca="1">OFFSET('2 Staff List'!$LO$64,$CT101-1,J$69-1)*J162</f>
        <v>0</v>
      </c>
      <c r="K101" s="1558">
        <f ca="1">OFFSET('2 Staff List'!$LO$64,$CT101-1,K$69-1)*K162</f>
        <v>0</v>
      </c>
      <c r="L101" s="1601">
        <f ca="1">OFFSET('2 Staff List'!$LO$64,$CT101-1,L$69-1)*L162</f>
        <v>0</v>
      </c>
      <c r="M101" s="1602">
        <f ca="1">OFFSET('2 Staff List'!$LO$64,$CT101-1,M$69-1)*M162</f>
        <v>0</v>
      </c>
      <c r="N101" s="1558">
        <f ca="1">OFFSET('2 Staff List'!$LO$64,$CT101-1,N$69-1)*N162</f>
        <v>0</v>
      </c>
      <c r="O101" s="1558">
        <f ca="1">OFFSET('2 Staff List'!$LO$64,$CT101-1,O$69-1)*O162</f>
        <v>0</v>
      </c>
      <c r="P101" s="1558">
        <f ca="1">OFFSET('2 Staff List'!$LO$64,$CT101-1,P$69-1)*P162</f>
        <v>0</v>
      </c>
      <c r="Q101" s="1558">
        <f ca="1">OFFSET('2 Staff List'!$LO$64,$CT101-1,Q$69-1)*Q162</f>
        <v>0</v>
      </c>
      <c r="R101" s="1558">
        <f ca="1">OFFSET('2 Staff List'!$LO$64,$CT101-1,R$69-1)*R162</f>
        <v>0</v>
      </c>
      <c r="S101" s="1558">
        <f ca="1">OFFSET('2 Staff List'!$LO$64,$CT101-1,S$69-1)*S162</f>
        <v>0</v>
      </c>
      <c r="T101" s="1558">
        <f ca="1">OFFSET('2 Staff List'!$LO$64,$CT101-1,T$69-1)*T162</f>
        <v>0</v>
      </c>
      <c r="U101" s="1558">
        <f ca="1">OFFSET('2 Staff List'!$LO$64,$CT101-1,U$69-1)*U162</f>
        <v>0</v>
      </c>
      <c r="V101" s="1601">
        <f ca="1">OFFSET('2 Staff List'!$LO$64,$CT101-1,V$69-1)*V162</f>
        <v>0</v>
      </c>
      <c r="W101" s="1602">
        <f ca="1">OFFSET('2 Staff List'!$LO$64,$CT101-1,W$69-1)*W162</f>
        <v>0</v>
      </c>
      <c r="X101" s="1558">
        <f ca="1">OFFSET('2 Staff List'!$LO$64,$CT101-1,X$69-1)*X162</f>
        <v>0</v>
      </c>
      <c r="Y101" s="1558">
        <f ca="1">OFFSET('2 Staff List'!$LO$64,$CT101-1,Y$69-1)*Y162</f>
        <v>0</v>
      </c>
      <c r="Z101" s="1558">
        <f ca="1">OFFSET('2 Staff List'!$LO$64,$CT101-1,Z$69-1)*Z162</f>
        <v>0</v>
      </c>
      <c r="AA101" s="1558">
        <f ca="1">OFFSET('2 Staff List'!$LO$64,$CT101-1,AA$69-1)*AA162</f>
        <v>0</v>
      </c>
      <c r="AB101" s="1558">
        <f ca="1">OFFSET('2 Staff List'!$LO$64,$CT101-1,AB$69-1)*AB162</f>
        <v>0</v>
      </c>
      <c r="AC101" s="1558">
        <f ca="1">OFFSET('2 Staff List'!$LO$64,$CT101-1,AC$69-1)*AC162</f>
        <v>0</v>
      </c>
      <c r="AD101" s="1558">
        <f ca="1">OFFSET('2 Staff List'!$LO$64,$CT101-1,AD$69-1)*AD162</f>
        <v>0</v>
      </c>
      <c r="AE101" s="1558">
        <f ca="1">OFFSET('2 Staff List'!$LO$64,$CT101-1,AE$69-1)*AE162</f>
        <v>0</v>
      </c>
      <c r="AF101" s="1601">
        <f ca="1">OFFSET('2 Staff List'!$LO$64,$CT101-1,AF$69-1)*AF162</f>
        <v>0</v>
      </c>
      <c r="AG101" s="1602">
        <f ca="1">OFFSET('2 Staff List'!$LO$64,$CT101-1,AG$69-1)*AG162</f>
        <v>0</v>
      </c>
      <c r="AH101" s="1558">
        <f ca="1">OFFSET('2 Staff List'!$LO$64,$CT101-1,AH$69-1)*AH162</f>
        <v>0</v>
      </c>
      <c r="AI101" s="1558">
        <f ca="1">OFFSET('2 Staff List'!$LO$64,$CT101-1,AI$69-1)*AI162</f>
        <v>0</v>
      </c>
      <c r="AJ101" s="1558">
        <f ca="1">OFFSET('2 Staff List'!$LO$64,$CT101-1,AJ$69-1)*AJ162</f>
        <v>0</v>
      </c>
      <c r="AK101" s="1558">
        <f ca="1">OFFSET('2 Staff List'!$LO$64,$CT101-1,AK$69-1)*AK162</f>
        <v>0</v>
      </c>
      <c r="AL101" s="1558">
        <f ca="1">OFFSET('2 Staff List'!$LO$64,$CT101-1,AL$69-1)*AL162</f>
        <v>0</v>
      </c>
      <c r="AM101" s="1558">
        <f ca="1">OFFSET('2 Staff List'!$LO$64,$CT101-1,AM$69-1)*AM162</f>
        <v>0</v>
      </c>
      <c r="AN101" s="1558">
        <f ca="1">OFFSET('2 Staff List'!$LO$64,$CT101-1,AN$69-1)*AN162</f>
        <v>0</v>
      </c>
      <c r="AO101" s="1558">
        <f ca="1">OFFSET('2 Staff List'!$LO$64,$CT101-1,AO$69-1)*AO162</f>
        <v>0</v>
      </c>
      <c r="AP101" s="1601">
        <f ca="1">OFFSET('2 Staff List'!$LO$64,$CT101-1,AP$69-1)*AP162</f>
        <v>0</v>
      </c>
      <c r="AQ101" s="1602">
        <f ca="1">OFFSET('2 Staff List'!$LO$64,$CT101-1,AQ$69-1)*AQ162</f>
        <v>0</v>
      </c>
      <c r="AR101" s="1558">
        <f ca="1">OFFSET('2 Staff List'!$LO$64,$CT101-1,AR$69-1)*AR162</f>
        <v>0</v>
      </c>
      <c r="AS101" s="1558">
        <f ca="1">OFFSET('2 Staff List'!$LO$64,$CT101-1,AS$69-1)*AS162</f>
        <v>0</v>
      </c>
      <c r="AT101" s="1558">
        <f ca="1">OFFSET('2 Staff List'!$LO$64,$CT101-1,AT$69-1)*AT162</f>
        <v>0</v>
      </c>
      <c r="AU101" s="1558">
        <f ca="1">OFFSET('2 Staff List'!$LO$64,$CT101-1,AU$69-1)*AU162</f>
        <v>0</v>
      </c>
      <c r="AV101" s="1558">
        <f ca="1">OFFSET('2 Staff List'!$LO$64,$CT101-1,AV$69-1)*AV162</f>
        <v>0</v>
      </c>
      <c r="AW101" s="1558">
        <f ca="1">OFFSET('2 Staff List'!$LO$64,$CT101-1,AW$69-1)*AW162</f>
        <v>0</v>
      </c>
      <c r="AX101" s="1558">
        <f ca="1">OFFSET('2 Staff List'!$LO$64,$CT101-1,AX$69-1)*AX162</f>
        <v>0</v>
      </c>
      <c r="AY101" s="1558">
        <f ca="1">OFFSET('2 Staff List'!$LO$64,$CT101-1,AY$69-1)*AY162</f>
        <v>0</v>
      </c>
      <c r="AZ101" s="1601">
        <f ca="1">OFFSET('2 Staff List'!$LO$64,$CT101-1,AZ$69-1)*AZ162</f>
        <v>0</v>
      </c>
      <c r="BA101" s="1602">
        <f ca="1">OFFSET('2 Staff List'!$LO$64,$CT101-1,BA$69-1)*BA162</f>
        <v>0</v>
      </c>
      <c r="BB101" s="1558">
        <f ca="1">OFFSET('2 Staff List'!$LO$64,$CT101-1,BB$69-1)*BB162</f>
        <v>0</v>
      </c>
      <c r="BC101" s="1558">
        <f ca="1">OFFSET('2 Staff List'!$LO$64,$CT101-1,BC$69-1)*BC162</f>
        <v>0</v>
      </c>
      <c r="BD101" s="1558">
        <f ca="1">OFFSET('2 Staff List'!$LO$64,$CT101-1,BD$69-1)*BD162</f>
        <v>0</v>
      </c>
      <c r="BE101" s="1558">
        <f ca="1">OFFSET('2 Staff List'!$LO$64,$CT101-1,BE$69-1)*BE162</f>
        <v>0</v>
      </c>
      <c r="BF101" s="1558">
        <f ca="1">OFFSET('2 Staff List'!$LO$64,$CT101-1,BF$69-1)*BF162</f>
        <v>0</v>
      </c>
      <c r="BG101" s="1558">
        <f ca="1">OFFSET('2 Staff List'!$LO$64,$CT101-1,BG$69-1)*BG162</f>
        <v>0</v>
      </c>
      <c r="BH101" s="1558">
        <f ca="1">OFFSET('2 Staff List'!$LO$64,$CT101-1,BH$69-1)*BH162</f>
        <v>0</v>
      </c>
      <c r="BI101" s="1558">
        <f ca="1">OFFSET('2 Staff List'!$LO$64,$CT101-1,BI$69-1)*BI162</f>
        <v>0</v>
      </c>
      <c r="BJ101" s="1601">
        <f ca="1">OFFSET('2 Staff List'!$LO$64,$CT101-1,BJ$69-1)*BJ162</f>
        <v>0</v>
      </c>
      <c r="BK101" s="1602">
        <f ca="1">OFFSET('2 Staff List'!$LO$64,$CT101-1,BK$69-1)*BK162</f>
        <v>0</v>
      </c>
      <c r="BL101" s="1558">
        <f ca="1">OFFSET('2 Staff List'!$LO$64,$CT101-1,BL$69-1)*BL162</f>
        <v>0</v>
      </c>
      <c r="BM101" s="1558">
        <f ca="1">OFFSET('2 Staff List'!$LO$64,$CT101-1,BM$69-1)*BM162</f>
        <v>0</v>
      </c>
      <c r="BN101" s="1558">
        <f ca="1">OFFSET('2 Staff List'!$LO$64,$CT101-1,BN$69-1)*BN162</f>
        <v>0</v>
      </c>
      <c r="BO101" s="1558">
        <f ca="1">OFFSET('2 Staff List'!$LO$64,$CT101-1,BO$69-1)*BO162</f>
        <v>0</v>
      </c>
      <c r="BP101" s="1558">
        <f ca="1">OFFSET('2 Staff List'!$LO$64,$CT101-1,BP$69-1)*BP162</f>
        <v>0</v>
      </c>
      <c r="BQ101" s="1558">
        <f ca="1">OFFSET('2 Staff List'!$LO$64,$CT101-1,BQ$69-1)*BQ162</f>
        <v>0</v>
      </c>
      <c r="BR101" s="1558">
        <f ca="1">OFFSET('2 Staff List'!$LO$64,$CT101-1,BR$69-1)*BR162</f>
        <v>0</v>
      </c>
      <c r="BS101" s="1558">
        <f ca="1">OFFSET('2 Staff List'!$LO$64,$CT101-1,BS$69-1)*BS162</f>
        <v>0</v>
      </c>
      <c r="BT101" s="1558">
        <f ca="1">OFFSET('2 Staff List'!$LO$64,$CT101-1,BT$69-1)*BT162</f>
        <v>0</v>
      </c>
      <c r="BU101" s="295"/>
      <c r="BV101" s="295"/>
      <c r="BW101" s="295"/>
      <c r="BX101" s="295"/>
      <c r="BY101" s="295"/>
      <c r="BZ101" s="295"/>
      <c r="CA101" s="1024">
        <f ca="1">SUMIFS('3a Staff Plan'!$X$129:$X$305,'3a Staff Plan'!$DY$129:$DY$305,CZ101,'3a Staff Plan'!$DF$129:$DF$305,1,'3a Staff Plan'!$AG$129:$AG$305,1)</f>
        <v>0</v>
      </c>
      <c r="CB101" s="1025">
        <f ca="1">SUMIFS('3a Staff Plan'!$X$129:$X$305,'3a Staff Plan'!$DY$129:$DY$305,$CZ101,'3a Staff Plan'!$DF$129:$DF$305,1,'3a Staff Plan'!$AG$129:$AG$305,1,'3a Staff Plan'!$C$129:$C$305,DC$18)</f>
        <v>0</v>
      </c>
      <c r="CC101" s="1026">
        <f ca="1">SUMIFS('3a Staff Plan'!$X$129:$X$305,'3a Staff Plan'!$DY$129:$DY$305,$CZ101,'3a Staff Plan'!$DF$129:$DF$305,1,'3a Staff Plan'!$AG$129:$AG$305,1,'3a Staff Plan'!$C$129:$C$305,DD$18)</f>
        <v>0</v>
      </c>
      <c r="CD101" s="1026">
        <f ca="1">SUMIFS('3a Staff Plan'!$X$129:$X$305,'3a Staff Plan'!$DY$129:$DY$305,$CZ101,'3a Staff Plan'!$DF$129:$DF$305,1,'3a Staff Plan'!$AG$129:$AG$305,1,'3a Staff Plan'!$C$129:$C$305,DE$18)</f>
        <v>0</v>
      </c>
      <c r="CE101" s="1026">
        <f ca="1">SUMIFS('3a Staff Plan'!$X$129:$X$305,'3a Staff Plan'!$DY$129:$DY$305,$CZ101,'3a Staff Plan'!$DF$129:$DF$305,1,'3a Staff Plan'!$AG$129:$AG$305,1,'3a Staff Plan'!$C$129:$C$305,DF$18)</f>
        <v>0</v>
      </c>
      <c r="CF101" s="1026">
        <f ca="1">SUMIFS('3a Staff Plan'!$X$129:$X$305,'3a Staff Plan'!$DY$129:$DY$305,$CZ101,'3a Staff Plan'!$DF$129:$DF$305,1,'3a Staff Plan'!$AG$129:$AG$305,1,'3a Staff Plan'!$C$129:$C$305,DG$18)</f>
        <v>0</v>
      </c>
      <c r="CG101" s="1026">
        <f ca="1">SUMIFS('3a Staff Plan'!$X$129:$X$305,'3a Staff Plan'!$DY$129:$DY$305,$CZ101,'3a Staff Plan'!$DF$129:$DF$305,1,'3a Staff Plan'!$AG$129:$AG$305,1,'3a Staff Plan'!$C$129:$C$305,DH$18)</f>
        <v>0</v>
      </c>
      <c r="CH101" s="1026">
        <f ca="1">SUMIFS('3a Staff Plan'!$X$129:$X$305,'3a Staff Plan'!$DY$129:$DY$305,$CZ101,'3a Staff Plan'!$DF$129:$DF$305,1,'3a Staff Plan'!$AG$129:$AG$305,1,'3a Staff Plan'!$C$129:$C$305,DI$18)</f>
        <v>0</v>
      </c>
      <c r="CI101" s="755"/>
      <c r="CJ101" s="1024">
        <f ca="1">SUMPRODUCT(OFFSET('3b Activity Plan'!$DJ$67:$DJ$76,0,$CU101-1),OFFSET('3b Activity Plan'!$DJ$78:$DJ$87,0,CU101-1))</f>
        <v>0</v>
      </c>
      <c r="CK101" s="1025">
        <f t="shared" ca="1" si="43"/>
        <v>0</v>
      </c>
      <c r="CL101" s="1026">
        <f t="shared" ca="1" si="44"/>
        <v>0</v>
      </c>
      <c r="CM101" s="1026">
        <f t="shared" ca="1" si="45"/>
        <v>0</v>
      </c>
      <c r="CN101" s="1026">
        <f t="shared" ca="1" si="46"/>
        <v>0</v>
      </c>
      <c r="CO101" s="1026">
        <f t="shared" ca="1" si="47"/>
        <v>0</v>
      </c>
      <c r="CP101" s="1026">
        <f t="shared" ca="1" si="48"/>
        <v>0</v>
      </c>
      <c r="CQ101" s="1026">
        <f t="shared" ca="1" si="49"/>
        <v>0</v>
      </c>
      <c r="CR101" s="417"/>
      <c r="CS101" s="417">
        <f t="shared" si="50"/>
        <v>30</v>
      </c>
      <c r="CT101" s="417">
        <f ca="1">OFFSET('2 Staff List'!$GU$64,CS101-1,0)</f>
        <v>30</v>
      </c>
      <c r="CU101" s="417">
        <f ca="1">IF(CZ101=0,0,IFERROR(INDEX('3b Activity Plan'!$DJ$20:$FH$20,MATCH(CT101,'3b Activity Plan'!$DJ$171:$FH$171,0)),0))</f>
        <v>0</v>
      </c>
      <c r="CV101" s="417">
        <f ca="1">INDEX('2 Staff List'!$HW$64:$HW$114,CT101)</f>
        <v>0</v>
      </c>
      <c r="CW101" s="417"/>
      <c r="CY101" s="927">
        <f ca="1">OFFSET('2 Staff List'!$HZ$64,CS101-1,0)</f>
        <v>0</v>
      </c>
      <c r="CZ101" s="975">
        <f ca="1">OFFSET('2 Staff List'!$IA$64,CT101-1,0)</f>
        <v>0</v>
      </c>
      <c r="DA101" s="3845">
        <f t="shared" ca="1" si="51"/>
        <v>0</v>
      </c>
      <c r="DB101" s="3846"/>
      <c r="DC101" s="2408">
        <f t="shared" ca="1" si="52"/>
        <v>0</v>
      </c>
      <c r="DD101" s="2405">
        <f t="shared" ca="1" si="53"/>
        <v>0</v>
      </c>
      <c r="DE101" s="2401">
        <f t="shared" ca="1" si="54"/>
        <v>0</v>
      </c>
      <c r="DF101" s="2405">
        <f t="shared" ca="1" si="55"/>
        <v>0</v>
      </c>
      <c r="DG101" s="2405">
        <f t="shared" ca="1" si="56"/>
        <v>0</v>
      </c>
      <c r="DH101" s="2406">
        <f t="shared" ca="1" si="57"/>
        <v>0</v>
      </c>
      <c r="DI101" s="2407">
        <f t="shared" ca="1" si="58"/>
        <v>0</v>
      </c>
    </row>
    <row r="102" spans="1:113" ht="15.9" customHeight="1" x14ac:dyDescent="0.25">
      <c r="A102" s="295"/>
      <c r="B102" s="295"/>
      <c r="C102" s="1558">
        <f ca="1">OFFSET('2 Staff List'!$LO$64,$CT102-1,C$69-1)*C163</f>
        <v>0</v>
      </c>
      <c r="D102" s="1558">
        <f ca="1">OFFSET('2 Staff List'!$LO$64,$CT102-1,D$69-1)*D163</f>
        <v>0</v>
      </c>
      <c r="E102" s="1558">
        <f ca="1">OFFSET('2 Staff List'!$LO$64,$CT102-1,E$69-1)*E163</f>
        <v>0</v>
      </c>
      <c r="F102" s="1558">
        <f ca="1">OFFSET('2 Staff List'!$LO$64,$CT102-1,F$69-1)*F163</f>
        <v>0</v>
      </c>
      <c r="G102" s="1558">
        <f ca="1">OFFSET('2 Staff List'!$LO$64,$CT102-1,G$69-1)*G163</f>
        <v>0</v>
      </c>
      <c r="H102" s="1558">
        <f ca="1">OFFSET('2 Staff List'!$LO$64,$CT102-1,H$69-1)*H163</f>
        <v>0</v>
      </c>
      <c r="I102" s="1558">
        <f ca="1">OFFSET('2 Staff List'!$LO$64,$CT102-1,I$69-1)*I163</f>
        <v>0</v>
      </c>
      <c r="J102" s="1558">
        <f ca="1">OFFSET('2 Staff List'!$LO$64,$CT102-1,J$69-1)*J163</f>
        <v>0</v>
      </c>
      <c r="K102" s="1558">
        <f ca="1">OFFSET('2 Staff List'!$LO$64,$CT102-1,K$69-1)*K163</f>
        <v>0</v>
      </c>
      <c r="L102" s="1601">
        <f ca="1">OFFSET('2 Staff List'!$LO$64,$CT102-1,L$69-1)*L163</f>
        <v>0</v>
      </c>
      <c r="M102" s="1602">
        <f ca="1">OFFSET('2 Staff List'!$LO$64,$CT102-1,M$69-1)*M163</f>
        <v>0</v>
      </c>
      <c r="N102" s="1558">
        <f ca="1">OFFSET('2 Staff List'!$LO$64,$CT102-1,N$69-1)*N163</f>
        <v>0</v>
      </c>
      <c r="O102" s="1558">
        <f ca="1">OFFSET('2 Staff List'!$LO$64,$CT102-1,O$69-1)*O163</f>
        <v>0</v>
      </c>
      <c r="P102" s="1558">
        <f ca="1">OFFSET('2 Staff List'!$LO$64,$CT102-1,P$69-1)*P163</f>
        <v>0</v>
      </c>
      <c r="Q102" s="1558">
        <f ca="1">OFFSET('2 Staff List'!$LO$64,$CT102-1,Q$69-1)*Q163</f>
        <v>0</v>
      </c>
      <c r="R102" s="1558">
        <f ca="1">OFFSET('2 Staff List'!$LO$64,$CT102-1,R$69-1)*R163</f>
        <v>0</v>
      </c>
      <c r="S102" s="1558">
        <f ca="1">OFFSET('2 Staff List'!$LO$64,$CT102-1,S$69-1)*S163</f>
        <v>0</v>
      </c>
      <c r="T102" s="1558">
        <f ca="1">OFFSET('2 Staff List'!$LO$64,$CT102-1,T$69-1)*T163</f>
        <v>0</v>
      </c>
      <c r="U102" s="1558">
        <f ca="1">OFFSET('2 Staff List'!$LO$64,$CT102-1,U$69-1)*U163</f>
        <v>0</v>
      </c>
      <c r="V102" s="1601">
        <f ca="1">OFFSET('2 Staff List'!$LO$64,$CT102-1,V$69-1)*V163</f>
        <v>0</v>
      </c>
      <c r="W102" s="1602">
        <f ca="1">OFFSET('2 Staff List'!$LO$64,$CT102-1,W$69-1)*W163</f>
        <v>0</v>
      </c>
      <c r="X102" s="1558">
        <f ca="1">OFFSET('2 Staff List'!$LO$64,$CT102-1,X$69-1)*X163</f>
        <v>0</v>
      </c>
      <c r="Y102" s="1558">
        <f ca="1">OFFSET('2 Staff List'!$LO$64,$CT102-1,Y$69-1)*Y163</f>
        <v>0</v>
      </c>
      <c r="Z102" s="1558">
        <f ca="1">OFFSET('2 Staff List'!$LO$64,$CT102-1,Z$69-1)*Z163</f>
        <v>0</v>
      </c>
      <c r="AA102" s="1558">
        <f ca="1">OFFSET('2 Staff List'!$LO$64,$CT102-1,AA$69-1)*AA163</f>
        <v>0</v>
      </c>
      <c r="AB102" s="1558">
        <f ca="1">OFFSET('2 Staff List'!$LO$64,$CT102-1,AB$69-1)*AB163</f>
        <v>0</v>
      </c>
      <c r="AC102" s="1558">
        <f ca="1">OFFSET('2 Staff List'!$LO$64,$CT102-1,AC$69-1)*AC163</f>
        <v>0</v>
      </c>
      <c r="AD102" s="1558">
        <f ca="1">OFFSET('2 Staff List'!$LO$64,$CT102-1,AD$69-1)*AD163</f>
        <v>0</v>
      </c>
      <c r="AE102" s="1558">
        <f ca="1">OFFSET('2 Staff List'!$LO$64,$CT102-1,AE$69-1)*AE163</f>
        <v>0</v>
      </c>
      <c r="AF102" s="1601">
        <f ca="1">OFFSET('2 Staff List'!$LO$64,$CT102-1,AF$69-1)*AF163</f>
        <v>0</v>
      </c>
      <c r="AG102" s="1602">
        <f ca="1">OFFSET('2 Staff List'!$LO$64,$CT102-1,AG$69-1)*AG163</f>
        <v>0</v>
      </c>
      <c r="AH102" s="1558">
        <f ca="1">OFFSET('2 Staff List'!$LO$64,$CT102-1,AH$69-1)*AH163</f>
        <v>0</v>
      </c>
      <c r="AI102" s="1558">
        <f ca="1">OFFSET('2 Staff List'!$LO$64,$CT102-1,AI$69-1)*AI163</f>
        <v>0</v>
      </c>
      <c r="AJ102" s="1558">
        <f ca="1">OFFSET('2 Staff List'!$LO$64,$CT102-1,AJ$69-1)*AJ163</f>
        <v>0</v>
      </c>
      <c r="AK102" s="1558">
        <f ca="1">OFFSET('2 Staff List'!$LO$64,$CT102-1,AK$69-1)*AK163</f>
        <v>0</v>
      </c>
      <c r="AL102" s="1558">
        <f ca="1">OFFSET('2 Staff List'!$LO$64,$CT102-1,AL$69-1)*AL163</f>
        <v>0</v>
      </c>
      <c r="AM102" s="1558">
        <f ca="1">OFFSET('2 Staff List'!$LO$64,$CT102-1,AM$69-1)*AM163</f>
        <v>0</v>
      </c>
      <c r="AN102" s="1558">
        <f ca="1">OFFSET('2 Staff List'!$LO$64,$CT102-1,AN$69-1)*AN163</f>
        <v>0</v>
      </c>
      <c r="AO102" s="1558">
        <f ca="1">OFFSET('2 Staff List'!$LO$64,$CT102-1,AO$69-1)*AO163</f>
        <v>0</v>
      </c>
      <c r="AP102" s="1601">
        <f ca="1">OFFSET('2 Staff List'!$LO$64,$CT102-1,AP$69-1)*AP163</f>
        <v>0</v>
      </c>
      <c r="AQ102" s="1602">
        <f ca="1">OFFSET('2 Staff List'!$LO$64,$CT102-1,AQ$69-1)*AQ163</f>
        <v>0</v>
      </c>
      <c r="AR102" s="1558">
        <f ca="1">OFFSET('2 Staff List'!$LO$64,$CT102-1,AR$69-1)*AR163</f>
        <v>0</v>
      </c>
      <c r="AS102" s="1558">
        <f ca="1">OFFSET('2 Staff List'!$LO$64,$CT102-1,AS$69-1)*AS163</f>
        <v>0</v>
      </c>
      <c r="AT102" s="1558">
        <f ca="1">OFFSET('2 Staff List'!$LO$64,$CT102-1,AT$69-1)*AT163</f>
        <v>0</v>
      </c>
      <c r="AU102" s="1558">
        <f ca="1">OFFSET('2 Staff List'!$LO$64,$CT102-1,AU$69-1)*AU163</f>
        <v>0</v>
      </c>
      <c r="AV102" s="1558">
        <f ca="1">OFFSET('2 Staff List'!$LO$64,$CT102-1,AV$69-1)*AV163</f>
        <v>0</v>
      </c>
      <c r="AW102" s="1558">
        <f ca="1">OFFSET('2 Staff List'!$LO$64,$CT102-1,AW$69-1)*AW163</f>
        <v>0</v>
      </c>
      <c r="AX102" s="1558">
        <f ca="1">OFFSET('2 Staff List'!$LO$64,$CT102-1,AX$69-1)*AX163</f>
        <v>0</v>
      </c>
      <c r="AY102" s="1558">
        <f ca="1">OFFSET('2 Staff List'!$LO$64,$CT102-1,AY$69-1)*AY163</f>
        <v>0</v>
      </c>
      <c r="AZ102" s="1601">
        <f ca="1">OFFSET('2 Staff List'!$LO$64,$CT102-1,AZ$69-1)*AZ163</f>
        <v>0</v>
      </c>
      <c r="BA102" s="1602">
        <f ca="1">OFFSET('2 Staff List'!$LO$64,$CT102-1,BA$69-1)*BA163</f>
        <v>0</v>
      </c>
      <c r="BB102" s="1558">
        <f ca="1">OFFSET('2 Staff List'!$LO$64,$CT102-1,BB$69-1)*BB163</f>
        <v>0</v>
      </c>
      <c r="BC102" s="1558">
        <f ca="1">OFFSET('2 Staff List'!$LO$64,$CT102-1,BC$69-1)*BC163</f>
        <v>0</v>
      </c>
      <c r="BD102" s="1558">
        <f ca="1">OFFSET('2 Staff List'!$LO$64,$CT102-1,BD$69-1)*BD163</f>
        <v>0</v>
      </c>
      <c r="BE102" s="1558">
        <f ca="1">OFFSET('2 Staff List'!$LO$64,$CT102-1,BE$69-1)*BE163</f>
        <v>0</v>
      </c>
      <c r="BF102" s="1558">
        <f ca="1">OFFSET('2 Staff List'!$LO$64,$CT102-1,BF$69-1)*BF163</f>
        <v>0</v>
      </c>
      <c r="BG102" s="1558">
        <f ca="1">OFFSET('2 Staff List'!$LO$64,$CT102-1,BG$69-1)*BG163</f>
        <v>0</v>
      </c>
      <c r="BH102" s="1558">
        <f ca="1">OFFSET('2 Staff List'!$LO$64,$CT102-1,BH$69-1)*BH163</f>
        <v>0</v>
      </c>
      <c r="BI102" s="1558">
        <f ca="1">OFFSET('2 Staff List'!$LO$64,$CT102-1,BI$69-1)*BI163</f>
        <v>0</v>
      </c>
      <c r="BJ102" s="1601">
        <f ca="1">OFFSET('2 Staff List'!$LO$64,$CT102-1,BJ$69-1)*BJ163</f>
        <v>0</v>
      </c>
      <c r="BK102" s="1602">
        <f ca="1">OFFSET('2 Staff List'!$LO$64,$CT102-1,BK$69-1)*BK163</f>
        <v>0</v>
      </c>
      <c r="BL102" s="1558">
        <f ca="1">OFFSET('2 Staff List'!$LO$64,$CT102-1,BL$69-1)*BL163</f>
        <v>0</v>
      </c>
      <c r="BM102" s="1558">
        <f ca="1">OFFSET('2 Staff List'!$LO$64,$CT102-1,BM$69-1)*BM163</f>
        <v>0</v>
      </c>
      <c r="BN102" s="1558">
        <f ca="1">OFFSET('2 Staff List'!$LO$64,$CT102-1,BN$69-1)*BN163</f>
        <v>0</v>
      </c>
      <c r="BO102" s="1558">
        <f ca="1">OFFSET('2 Staff List'!$LO$64,$CT102-1,BO$69-1)*BO163</f>
        <v>0</v>
      </c>
      <c r="BP102" s="1558">
        <f ca="1">OFFSET('2 Staff List'!$LO$64,$CT102-1,BP$69-1)*BP163</f>
        <v>0</v>
      </c>
      <c r="BQ102" s="1558">
        <f ca="1">OFFSET('2 Staff List'!$LO$64,$CT102-1,BQ$69-1)*BQ163</f>
        <v>0</v>
      </c>
      <c r="BR102" s="1558">
        <f ca="1">OFFSET('2 Staff List'!$LO$64,$CT102-1,BR$69-1)*BR163</f>
        <v>0</v>
      </c>
      <c r="BS102" s="1558">
        <f ca="1">OFFSET('2 Staff List'!$LO$64,$CT102-1,BS$69-1)*BS163</f>
        <v>0</v>
      </c>
      <c r="BT102" s="1558">
        <f ca="1">OFFSET('2 Staff List'!$LO$64,$CT102-1,BT$69-1)*BT163</f>
        <v>0</v>
      </c>
      <c r="BU102" s="295"/>
      <c r="BV102" s="295"/>
      <c r="BW102" s="295"/>
      <c r="BX102" s="295"/>
      <c r="BY102" s="295"/>
      <c r="BZ102" s="295"/>
      <c r="CA102" s="1024">
        <f ca="1">SUMIFS('3a Staff Plan'!$X$129:$X$305,'3a Staff Plan'!$DY$129:$DY$305,CZ102,'3a Staff Plan'!$DF$129:$DF$305,1,'3a Staff Plan'!$AG$129:$AG$305,1)</f>
        <v>0</v>
      </c>
      <c r="CB102" s="1025">
        <f ca="1">SUMIFS('3a Staff Plan'!$X$129:$X$305,'3a Staff Plan'!$DY$129:$DY$305,$CZ102,'3a Staff Plan'!$DF$129:$DF$305,1,'3a Staff Plan'!$AG$129:$AG$305,1,'3a Staff Plan'!$C$129:$C$305,DC$18)</f>
        <v>0</v>
      </c>
      <c r="CC102" s="1026">
        <f ca="1">SUMIFS('3a Staff Plan'!$X$129:$X$305,'3a Staff Plan'!$DY$129:$DY$305,$CZ102,'3a Staff Plan'!$DF$129:$DF$305,1,'3a Staff Plan'!$AG$129:$AG$305,1,'3a Staff Plan'!$C$129:$C$305,DD$18)</f>
        <v>0</v>
      </c>
      <c r="CD102" s="1026">
        <f ca="1">SUMIFS('3a Staff Plan'!$X$129:$X$305,'3a Staff Plan'!$DY$129:$DY$305,$CZ102,'3a Staff Plan'!$DF$129:$DF$305,1,'3a Staff Plan'!$AG$129:$AG$305,1,'3a Staff Plan'!$C$129:$C$305,DE$18)</f>
        <v>0</v>
      </c>
      <c r="CE102" s="1026">
        <f ca="1">SUMIFS('3a Staff Plan'!$X$129:$X$305,'3a Staff Plan'!$DY$129:$DY$305,$CZ102,'3a Staff Plan'!$DF$129:$DF$305,1,'3a Staff Plan'!$AG$129:$AG$305,1,'3a Staff Plan'!$C$129:$C$305,DF$18)</f>
        <v>0</v>
      </c>
      <c r="CF102" s="1026">
        <f ca="1">SUMIFS('3a Staff Plan'!$X$129:$X$305,'3a Staff Plan'!$DY$129:$DY$305,$CZ102,'3a Staff Plan'!$DF$129:$DF$305,1,'3a Staff Plan'!$AG$129:$AG$305,1,'3a Staff Plan'!$C$129:$C$305,DG$18)</f>
        <v>0</v>
      </c>
      <c r="CG102" s="1026">
        <f ca="1">SUMIFS('3a Staff Plan'!$X$129:$X$305,'3a Staff Plan'!$DY$129:$DY$305,$CZ102,'3a Staff Plan'!$DF$129:$DF$305,1,'3a Staff Plan'!$AG$129:$AG$305,1,'3a Staff Plan'!$C$129:$C$305,DH$18)</f>
        <v>0</v>
      </c>
      <c r="CH102" s="1026">
        <f ca="1">SUMIFS('3a Staff Plan'!$X$129:$X$305,'3a Staff Plan'!$DY$129:$DY$305,$CZ102,'3a Staff Plan'!$DF$129:$DF$305,1,'3a Staff Plan'!$AG$129:$AG$305,1,'3a Staff Plan'!$C$129:$C$305,DI$18)</f>
        <v>0</v>
      </c>
      <c r="CI102" s="755"/>
      <c r="CJ102" s="1024">
        <f ca="1">SUMPRODUCT(OFFSET('3b Activity Plan'!$DJ$67:$DJ$76,0,$CU102-1),OFFSET('3b Activity Plan'!$DJ$78:$DJ$87,0,CU102-1))</f>
        <v>0</v>
      </c>
      <c r="CK102" s="1025">
        <f t="shared" ca="1" si="43"/>
        <v>0</v>
      </c>
      <c r="CL102" s="1026">
        <f t="shared" ca="1" si="44"/>
        <v>0</v>
      </c>
      <c r="CM102" s="1026">
        <f t="shared" ca="1" si="45"/>
        <v>0</v>
      </c>
      <c r="CN102" s="1026">
        <f t="shared" ca="1" si="46"/>
        <v>0</v>
      </c>
      <c r="CO102" s="1026">
        <f t="shared" ca="1" si="47"/>
        <v>0</v>
      </c>
      <c r="CP102" s="1026">
        <f t="shared" ca="1" si="48"/>
        <v>0</v>
      </c>
      <c r="CQ102" s="1026">
        <f t="shared" ca="1" si="49"/>
        <v>0</v>
      </c>
      <c r="CR102" s="417"/>
      <c r="CS102" s="417">
        <f t="shared" si="50"/>
        <v>31</v>
      </c>
      <c r="CT102" s="417">
        <f ca="1">OFFSET('2 Staff List'!$GU$64,CS102-1,0)</f>
        <v>31</v>
      </c>
      <c r="CU102" s="417">
        <f ca="1">IF(CZ102=0,0,IFERROR(INDEX('3b Activity Plan'!$DJ$20:$FH$20,MATCH(CT102,'3b Activity Plan'!$DJ$171:$FH$171,0)),0))</f>
        <v>0</v>
      </c>
      <c r="CV102" s="417">
        <f ca="1">INDEX('2 Staff List'!$HW$64:$HW$114,CT102)</f>
        <v>0</v>
      </c>
      <c r="CW102" s="417"/>
      <c r="CY102" s="927">
        <f ca="1">OFFSET('2 Staff List'!$HZ$64,CS102-1,0)</f>
        <v>0</v>
      </c>
      <c r="CZ102" s="975">
        <f ca="1">OFFSET('2 Staff List'!$IA$64,CT102-1,0)</f>
        <v>0</v>
      </c>
      <c r="DA102" s="3845">
        <f t="shared" ca="1" si="51"/>
        <v>0</v>
      </c>
      <c r="DB102" s="3846"/>
      <c r="DC102" s="2408">
        <f t="shared" ca="1" si="52"/>
        <v>0</v>
      </c>
      <c r="DD102" s="2405">
        <f t="shared" ca="1" si="53"/>
        <v>0</v>
      </c>
      <c r="DE102" s="2401">
        <f t="shared" ca="1" si="54"/>
        <v>0</v>
      </c>
      <c r="DF102" s="2405">
        <f t="shared" ca="1" si="55"/>
        <v>0</v>
      </c>
      <c r="DG102" s="2405">
        <f t="shared" ca="1" si="56"/>
        <v>0</v>
      </c>
      <c r="DH102" s="2406">
        <f t="shared" ca="1" si="57"/>
        <v>0</v>
      </c>
      <c r="DI102" s="2407">
        <f t="shared" ca="1" si="58"/>
        <v>0</v>
      </c>
    </row>
    <row r="103" spans="1:113" ht="15.9" customHeight="1" x14ac:dyDescent="0.25">
      <c r="A103" s="295"/>
      <c r="B103" s="295"/>
      <c r="C103" s="1558">
        <f ca="1">OFFSET('2 Staff List'!$LO$64,$CT103-1,C$69-1)*C164</f>
        <v>0</v>
      </c>
      <c r="D103" s="1558">
        <f ca="1">OFFSET('2 Staff List'!$LO$64,$CT103-1,D$69-1)*D164</f>
        <v>0</v>
      </c>
      <c r="E103" s="1558">
        <f ca="1">OFFSET('2 Staff List'!$LO$64,$CT103-1,E$69-1)*E164</f>
        <v>0</v>
      </c>
      <c r="F103" s="1558">
        <f ca="1">OFFSET('2 Staff List'!$LO$64,$CT103-1,F$69-1)*F164</f>
        <v>0</v>
      </c>
      <c r="G103" s="1558">
        <f ca="1">OFFSET('2 Staff List'!$LO$64,$CT103-1,G$69-1)*G164</f>
        <v>0</v>
      </c>
      <c r="H103" s="1558">
        <f ca="1">OFFSET('2 Staff List'!$LO$64,$CT103-1,H$69-1)*H164</f>
        <v>0</v>
      </c>
      <c r="I103" s="1558">
        <f ca="1">OFFSET('2 Staff List'!$LO$64,$CT103-1,I$69-1)*I164</f>
        <v>0</v>
      </c>
      <c r="J103" s="1558">
        <f ca="1">OFFSET('2 Staff List'!$LO$64,$CT103-1,J$69-1)*J164</f>
        <v>0</v>
      </c>
      <c r="K103" s="1558">
        <f ca="1">OFFSET('2 Staff List'!$LO$64,$CT103-1,K$69-1)*K164</f>
        <v>0</v>
      </c>
      <c r="L103" s="1601">
        <f ca="1">OFFSET('2 Staff List'!$LO$64,$CT103-1,L$69-1)*L164</f>
        <v>0</v>
      </c>
      <c r="M103" s="1602">
        <f ca="1">OFFSET('2 Staff List'!$LO$64,$CT103-1,M$69-1)*M164</f>
        <v>0</v>
      </c>
      <c r="N103" s="1558">
        <f ca="1">OFFSET('2 Staff List'!$LO$64,$CT103-1,N$69-1)*N164</f>
        <v>0</v>
      </c>
      <c r="O103" s="1558">
        <f ca="1">OFFSET('2 Staff List'!$LO$64,$CT103-1,O$69-1)*O164</f>
        <v>0</v>
      </c>
      <c r="P103" s="1558">
        <f ca="1">OFFSET('2 Staff List'!$LO$64,$CT103-1,P$69-1)*P164</f>
        <v>0</v>
      </c>
      <c r="Q103" s="1558">
        <f ca="1">OFFSET('2 Staff List'!$LO$64,$CT103-1,Q$69-1)*Q164</f>
        <v>0</v>
      </c>
      <c r="R103" s="1558">
        <f ca="1">OFFSET('2 Staff List'!$LO$64,$CT103-1,R$69-1)*R164</f>
        <v>0</v>
      </c>
      <c r="S103" s="1558">
        <f ca="1">OFFSET('2 Staff List'!$LO$64,$CT103-1,S$69-1)*S164</f>
        <v>0</v>
      </c>
      <c r="T103" s="1558">
        <f ca="1">OFFSET('2 Staff List'!$LO$64,$CT103-1,T$69-1)*T164</f>
        <v>0</v>
      </c>
      <c r="U103" s="1558">
        <f ca="1">OFFSET('2 Staff List'!$LO$64,$CT103-1,U$69-1)*U164</f>
        <v>0</v>
      </c>
      <c r="V103" s="1601">
        <f ca="1">OFFSET('2 Staff List'!$LO$64,$CT103-1,V$69-1)*V164</f>
        <v>0</v>
      </c>
      <c r="W103" s="1602">
        <f ca="1">OFFSET('2 Staff List'!$LO$64,$CT103-1,W$69-1)*W164</f>
        <v>0</v>
      </c>
      <c r="X103" s="1558">
        <f ca="1">OFFSET('2 Staff List'!$LO$64,$CT103-1,X$69-1)*X164</f>
        <v>0</v>
      </c>
      <c r="Y103" s="1558">
        <f ca="1">OFFSET('2 Staff List'!$LO$64,$CT103-1,Y$69-1)*Y164</f>
        <v>0</v>
      </c>
      <c r="Z103" s="1558">
        <f ca="1">OFFSET('2 Staff List'!$LO$64,$CT103-1,Z$69-1)*Z164</f>
        <v>0</v>
      </c>
      <c r="AA103" s="1558">
        <f ca="1">OFFSET('2 Staff List'!$LO$64,$CT103-1,AA$69-1)*AA164</f>
        <v>0</v>
      </c>
      <c r="AB103" s="1558">
        <f ca="1">OFFSET('2 Staff List'!$LO$64,$CT103-1,AB$69-1)*AB164</f>
        <v>0</v>
      </c>
      <c r="AC103" s="1558">
        <f ca="1">OFFSET('2 Staff List'!$LO$64,$CT103-1,AC$69-1)*AC164</f>
        <v>0</v>
      </c>
      <c r="AD103" s="1558">
        <f ca="1">OFFSET('2 Staff List'!$LO$64,$CT103-1,AD$69-1)*AD164</f>
        <v>0</v>
      </c>
      <c r="AE103" s="1558">
        <f ca="1">OFFSET('2 Staff List'!$LO$64,$CT103-1,AE$69-1)*AE164</f>
        <v>0</v>
      </c>
      <c r="AF103" s="1601">
        <f ca="1">OFFSET('2 Staff List'!$LO$64,$CT103-1,AF$69-1)*AF164</f>
        <v>0</v>
      </c>
      <c r="AG103" s="1602">
        <f ca="1">OFFSET('2 Staff List'!$LO$64,$CT103-1,AG$69-1)*AG164</f>
        <v>0</v>
      </c>
      <c r="AH103" s="1558">
        <f ca="1">OFFSET('2 Staff List'!$LO$64,$CT103-1,AH$69-1)*AH164</f>
        <v>0</v>
      </c>
      <c r="AI103" s="1558">
        <f ca="1">OFFSET('2 Staff List'!$LO$64,$CT103-1,AI$69-1)*AI164</f>
        <v>0</v>
      </c>
      <c r="AJ103" s="1558">
        <f ca="1">OFFSET('2 Staff List'!$LO$64,$CT103-1,AJ$69-1)*AJ164</f>
        <v>0</v>
      </c>
      <c r="AK103" s="1558">
        <f ca="1">OFFSET('2 Staff List'!$LO$64,$CT103-1,AK$69-1)*AK164</f>
        <v>0</v>
      </c>
      <c r="AL103" s="1558">
        <f ca="1">OFFSET('2 Staff List'!$LO$64,$CT103-1,AL$69-1)*AL164</f>
        <v>0</v>
      </c>
      <c r="AM103" s="1558">
        <f ca="1">OFFSET('2 Staff List'!$LO$64,$CT103-1,AM$69-1)*AM164</f>
        <v>0</v>
      </c>
      <c r="AN103" s="1558">
        <f ca="1">OFFSET('2 Staff List'!$LO$64,$CT103-1,AN$69-1)*AN164</f>
        <v>0</v>
      </c>
      <c r="AO103" s="1558">
        <f ca="1">OFFSET('2 Staff List'!$LO$64,$CT103-1,AO$69-1)*AO164</f>
        <v>0</v>
      </c>
      <c r="AP103" s="1601">
        <f ca="1">OFFSET('2 Staff List'!$LO$64,$CT103-1,AP$69-1)*AP164</f>
        <v>0</v>
      </c>
      <c r="AQ103" s="1602">
        <f ca="1">OFFSET('2 Staff List'!$LO$64,$CT103-1,AQ$69-1)*AQ164</f>
        <v>0</v>
      </c>
      <c r="AR103" s="1558">
        <f ca="1">OFFSET('2 Staff List'!$LO$64,$CT103-1,AR$69-1)*AR164</f>
        <v>0</v>
      </c>
      <c r="AS103" s="1558">
        <f ca="1">OFFSET('2 Staff List'!$LO$64,$CT103-1,AS$69-1)*AS164</f>
        <v>0</v>
      </c>
      <c r="AT103" s="1558">
        <f ca="1">OFFSET('2 Staff List'!$LO$64,$CT103-1,AT$69-1)*AT164</f>
        <v>0</v>
      </c>
      <c r="AU103" s="1558">
        <f ca="1">OFFSET('2 Staff List'!$LO$64,$CT103-1,AU$69-1)*AU164</f>
        <v>0</v>
      </c>
      <c r="AV103" s="1558">
        <f ca="1">OFFSET('2 Staff List'!$LO$64,$CT103-1,AV$69-1)*AV164</f>
        <v>0</v>
      </c>
      <c r="AW103" s="1558">
        <f ca="1">OFFSET('2 Staff List'!$LO$64,$CT103-1,AW$69-1)*AW164</f>
        <v>0</v>
      </c>
      <c r="AX103" s="1558">
        <f ca="1">OFFSET('2 Staff List'!$LO$64,$CT103-1,AX$69-1)*AX164</f>
        <v>0</v>
      </c>
      <c r="AY103" s="1558">
        <f ca="1">OFFSET('2 Staff List'!$LO$64,$CT103-1,AY$69-1)*AY164</f>
        <v>0</v>
      </c>
      <c r="AZ103" s="1601">
        <f ca="1">OFFSET('2 Staff List'!$LO$64,$CT103-1,AZ$69-1)*AZ164</f>
        <v>0</v>
      </c>
      <c r="BA103" s="1602">
        <f ca="1">OFFSET('2 Staff List'!$LO$64,$CT103-1,BA$69-1)*BA164</f>
        <v>0</v>
      </c>
      <c r="BB103" s="1558">
        <f ca="1">OFFSET('2 Staff List'!$LO$64,$CT103-1,BB$69-1)*BB164</f>
        <v>0</v>
      </c>
      <c r="BC103" s="1558">
        <f ca="1">OFFSET('2 Staff List'!$LO$64,$CT103-1,BC$69-1)*BC164</f>
        <v>0</v>
      </c>
      <c r="BD103" s="1558">
        <f ca="1">OFFSET('2 Staff List'!$LO$64,$CT103-1,BD$69-1)*BD164</f>
        <v>0</v>
      </c>
      <c r="BE103" s="1558">
        <f ca="1">OFFSET('2 Staff List'!$LO$64,$CT103-1,BE$69-1)*BE164</f>
        <v>0</v>
      </c>
      <c r="BF103" s="1558">
        <f ca="1">OFFSET('2 Staff List'!$LO$64,$CT103-1,BF$69-1)*BF164</f>
        <v>0</v>
      </c>
      <c r="BG103" s="1558">
        <f ca="1">OFFSET('2 Staff List'!$LO$64,$CT103-1,BG$69-1)*BG164</f>
        <v>0</v>
      </c>
      <c r="BH103" s="1558">
        <f ca="1">OFFSET('2 Staff List'!$LO$64,$CT103-1,BH$69-1)*BH164</f>
        <v>0</v>
      </c>
      <c r="BI103" s="1558">
        <f ca="1">OFFSET('2 Staff List'!$LO$64,$CT103-1,BI$69-1)*BI164</f>
        <v>0</v>
      </c>
      <c r="BJ103" s="1601">
        <f ca="1">OFFSET('2 Staff List'!$LO$64,$CT103-1,BJ$69-1)*BJ164</f>
        <v>0</v>
      </c>
      <c r="BK103" s="1602">
        <f ca="1">OFFSET('2 Staff List'!$LO$64,$CT103-1,BK$69-1)*BK164</f>
        <v>0</v>
      </c>
      <c r="BL103" s="1558">
        <f ca="1">OFFSET('2 Staff List'!$LO$64,$CT103-1,BL$69-1)*BL164</f>
        <v>0</v>
      </c>
      <c r="BM103" s="1558">
        <f ca="1">OFFSET('2 Staff List'!$LO$64,$CT103-1,BM$69-1)*BM164</f>
        <v>0</v>
      </c>
      <c r="BN103" s="1558">
        <f ca="1">OFFSET('2 Staff List'!$LO$64,$CT103-1,BN$69-1)*BN164</f>
        <v>0</v>
      </c>
      <c r="BO103" s="1558">
        <f ca="1">OFFSET('2 Staff List'!$LO$64,$CT103-1,BO$69-1)*BO164</f>
        <v>0</v>
      </c>
      <c r="BP103" s="1558">
        <f ca="1">OFFSET('2 Staff List'!$LO$64,$CT103-1,BP$69-1)*BP164</f>
        <v>0</v>
      </c>
      <c r="BQ103" s="1558">
        <f ca="1">OFFSET('2 Staff List'!$LO$64,$CT103-1,BQ$69-1)*BQ164</f>
        <v>0</v>
      </c>
      <c r="BR103" s="1558">
        <f ca="1">OFFSET('2 Staff List'!$LO$64,$CT103-1,BR$69-1)*BR164</f>
        <v>0</v>
      </c>
      <c r="BS103" s="1558">
        <f ca="1">OFFSET('2 Staff List'!$LO$64,$CT103-1,BS$69-1)*BS164</f>
        <v>0</v>
      </c>
      <c r="BT103" s="1558">
        <f ca="1">OFFSET('2 Staff List'!$LO$64,$CT103-1,BT$69-1)*BT164</f>
        <v>0</v>
      </c>
      <c r="BU103" s="295"/>
      <c r="BV103" s="295"/>
      <c r="BW103" s="295"/>
      <c r="BX103" s="295"/>
      <c r="BY103" s="295"/>
      <c r="BZ103" s="295"/>
      <c r="CA103" s="1024">
        <f ca="1">SUMIFS('3a Staff Plan'!$X$129:$X$305,'3a Staff Plan'!$DY$129:$DY$305,CZ103,'3a Staff Plan'!$DF$129:$DF$305,1,'3a Staff Plan'!$AG$129:$AG$305,1)</f>
        <v>0</v>
      </c>
      <c r="CB103" s="1025">
        <f ca="1">SUMIFS('3a Staff Plan'!$X$129:$X$305,'3a Staff Plan'!$DY$129:$DY$305,$CZ103,'3a Staff Plan'!$DF$129:$DF$305,1,'3a Staff Plan'!$AG$129:$AG$305,1,'3a Staff Plan'!$C$129:$C$305,DC$18)</f>
        <v>0</v>
      </c>
      <c r="CC103" s="1026">
        <f ca="1">SUMIFS('3a Staff Plan'!$X$129:$X$305,'3a Staff Plan'!$DY$129:$DY$305,$CZ103,'3a Staff Plan'!$DF$129:$DF$305,1,'3a Staff Plan'!$AG$129:$AG$305,1,'3a Staff Plan'!$C$129:$C$305,DD$18)</f>
        <v>0</v>
      </c>
      <c r="CD103" s="1026">
        <f ca="1">SUMIFS('3a Staff Plan'!$X$129:$X$305,'3a Staff Plan'!$DY$129:$DY$305,$CZ103,'3a Staff Plan'!$DF$129:$DF$305,1,'3a Staff Plan'!$AG$129:$AG$305,1,'3a Staff Plan'!$C$129:$C$305,DE$18)</f>
        <v>0</v>
      </c>
      <c r="CE103" s="1026">
        <f ca="1">SUMIFS('3a Staff Plan'!$X$129:$X$305,'3a Staff Plan'!$DY$129:$DY$305,$CZ103,'3a Staff Plan'!$DF$129:$DF$305,1,'3a Staff Plan'!$AG$129:$AG$305,1,'3a Staff Plan'!$C$129:$C$305,DF$18)</f>
        <v>0</v>
      </c>
      <c r="CF103" s="1026">
        <f ca="1">SUMIFS('3a Staff Plan'!$X$129:$X$305,'3a Staff Plan'!$DY$129:$DY$305,$CZ103,'3a Staff Plan'!$DF$129:$DF$305,1,'3a Staff Plan'!$AG$129:$AG$305,1,'3a Staff Plan'!$C$129:$C$305,DG$18)</f>
        <v>0</v>
      </c>
      <c r="CG103" s="1026">
        <f ca="1">SUMIFS('3a Staff Plan'!$X$129:$X$305,'3a Staff Plan'!$DY$129:$DY$305,$CZ103,'3a Staff Plan'!$DF$129:$DF$305,1,'3a Staff Plan'!$AG$129:$AG$305,1,'3a Staff Plan'!$C$129:$C$305,DH$18)</f>
        <v>0</v>
      </c>
      <c r="CH103" s="1026">
        <f ca="1">SUMIFS('3a Staff Plan'!$X$129:$X$305,'3a Staff Plan'!$DY$129:$DY$305,$CZ103,'3a Staff Plan'!$DF$129:$DF$305,1,'3a Staff Plan'!$AG$129:$AG$305,1,'3a Staff Plan'!$C$129:$C$305,DI$18)</f>
        <v>0</v>
      </c>
      <c r="CI103" s="755"/>
      <c r="CJ103" s="1024">
        <f ca="1">SUMPRODUCT(OFFSET('3b Activity Plan'!$DJ$67:$DJ$76,0,$CU103-1),OFFSET('3b Activity Plan'!$DJ$78:$DJ$87,0,CU103-1))</f>
        <v>0</v>
      </c>
      <c r="CK103" s="1025">
        <f t="shared" ca="1" si="43"/>
        <v>0</v>
      </c>
      <c r="CL103" s="1026">
        <f t="shared" ca="1" si="44"/>
        <v>0</v>
      </c>
      <c r="CM103" s="1026">
        <f t="shared" ca="1" si="45"/>
        <v>0</v>
      </c>
      <c r="CN103" s="1026">
        <f t="shared" ca="1" si="46"/>
        <v>0</v>
      </c>
      <c r="CO103" s="1026">
        <f t="shared" ca="1" si="47"/>
        <v>0</v>
      </c>
      <c r="CP103" s="1026">
        <f t="shared" ca="1" si="48"/>
        <v>0</v>
      </c>
      <c r="CQ103" s="1026">
        <f t="shared" ca="1" si="49"/>
        <v>0</v>
      </c>
      <c r="CR103" s="417"/>
      <c r="CS103" s="417">
        <f t="shared" si="50"/>
        <v>32</v>
      </c>
      <c r="CT103" s="417">
        <f ca="1">OFFSET('2 Staff List'!$GU$64,CS103-1,0)</f>
        <v>32</v>
      </c>
      <c r="CU103" s="417">
        <f ca="1">IF(CZ103=0,0,IFERROR(INDEX('3b Activity Plan'!$DJ$20:$FH$20,MATCH(CT103,'3b Activity Plan'!$DJ$171:$FH$171,0)),0))</f>
        <v>0</v>
      </c>
      <c r="CV103" s="417">
        <f ca="1">INDEX('2 Staff List'!$HW$64:$HW$114,CT103)</f>
        <v>0</v>
      </c>
      <c r="CW103" s="417"/>
      <c r="CY103" s="927">
        <f ca="1">OFFSET('2 Staff List'!$HZ$64,CS103-1,0)</f>
        <v>0</v>
      </c>
      <c r="CZ103" s="975">
        <f ca="1">OFFSET('2 Staff List'!$IA$64,CT103-1,0)</f>
        <v>0</v>
      </c>
      <c r="DA103" s="3845">
        <f t="shared" ca="1" si="51"/>
        <v>0</v>
      </c>
      <c r="DB103" s="3846"/>
      <c r="DC103" s="2408">
        <f t="shared" ca="1" si="52"/>
        <v>0</v>
      </c>
      <c r="DD103" s="2405">
        <f t="shared" ca="1" si="53"/>
        <v>0</v>
      </c>
      <c r="DE103" s="2401">
        <f t="shared" ca="1" si="54"/>
        <v>0</v>
      </c>
      <c r="DF103" s="2405">
        <f t="shared" ca="1" si="55"/>
        <v>0</v>
      </c>
      <c r="DG103" s="2405">
        <f t="shared" ca="1" si="56"/>
        <v>0</v>
      </c>
      <c r="DH103" s="2406">
        <f t="shared" ca="1" si="57"/>
        <v>0</v>
      </c>
      <c r="DI103" s="2407">
        <f t="shared" ca="1" si="58"/>
        <v>0</v>
      </c>
    </row>
    <row r="104" spans="1:113" ht="15.9" customHeight="1" x14ac:dyDescent="0.25">
      <c r="A104" s="295"/>
      <c r="B104" s="295"/>
      <c r="C104" s="1558">
        <f ca="1">OFFSET('2 Staff List'!$LO$64,$CT104-1,C$69-1)*C165</f>
        <v>0</v>
      </c>
      <c r="D104" s="1558">
        <f ca="1">OFFSET('2 Staff List'!$LO$64,$CT104-1,D$69-1)*D165</f>
        <v>0</v>
      </c>
      <c r="E104" s="1558">
        <f ca="1">OFFSET('2 Staff List'!$LO$64,$CT104-1,E$69-1)*E165</f>
        <v>0</v>
      </c>
      <c r="F104" s="1558">
        <f ca="1">OFFSET('2 Staff List'!$LO$64,$CT104-1,F$69-1)*F165</f>
        <v>0</v>
      </c>
      <c r="G104" s="1558">
        <f ca="1">OFFSET('2 Staff List'!$LO$64,$CT104-1,G$69-1)*G165</f>
        <v>0</v>
      </c>
      <c r="H104" s="1558">
        <f ca="1">OFFSET('2 Staff List'!$LO$64,$CT104-1,H$69-1)*H165</f>
        <v>0</v>
      </c>
      <c r="I104" s="1558">
        <f ca="1">OFFSET('2 Staff List'!$LO$64,$CT104-1,I$69-1)*I165</f>
        <v>0</v>
      </c>
      <c r="J104" s="1558">
        <f ca="1">OFFSET('2 Staff List'!$LO$64,$CT104-1,J$69-1)*J165</f>
        <v>0</v>
      </c>
      <c r="K104" s="1558">
        <f ca="1">OFFSET('2 Staff List'!$LO$64,$CT104-1,K$69-1)*K165</f>
        <v>0</v>
      </c>
      <c r="L104" s="1601">
        <f ca="1">OFFSET('2 Staff List'!$LO$64,$CT104-1,L$69-1)*L165</f>
        <v>0</v>
      </c>
      <c r="M104" s="1602">
        <f ca="1">OFFSET('2 Staff List'!$LO$64,$CT104-1,M$69-1)*M165</f>
        <v>0</v>
      </c>
      <c r="N104" s="1558">
        <f ca="1">OFFSET('2 Staff List'!$LO$64,$CT104-1,N$69-1)*N165</f>
        <v>0</v>
      </c>
      <c r="O104" s="1558">
        <f ca="1">OFFSET('2 Staff List'!$LO$64,$CT104-1,O$69-1)*O165</f>
        <v>0</v>
      </c>
      <c r="P104" s="1558">
        <f ca="1">OFFSET('2 Staff List'!$LO$64,$CT104-1,P$69-1)*P165</f>
        <v>0</v>
      </c>
      <c r="Q104" s="1558">
        <f ca="1">OFFSET('2 Staff List'!$LO$64,$CT104-1,Q$69-1)*Q165</f>
        <v>0</v>
      </c>
      <c r="R104" s="1558">
        <f ca="1">OFFSET('2 Staff List'!$LO$64,$CT104-1,R$69-1)*R165</f>
        <v>0</v>
      </c>
      <c r="S104" s="1558">
        <f ca="1">OFFSET('2 Staff List'!$LO$64,$CT104-1,S$69-1)*S165</f>
        <v>0</v>
      </c>
      <c r="T104" s="1558">
        <f ca="1">OFFSET('2 Staff List'!$LO$64,$CT104-1,T$69-1)*T165</f>
        <v>0</v>
      </c>
      <c r="U104" s="1558">
        <f ca="1">OFFSET('2 Staff List'!$LO$64,$CT104-1,U$69-1)*U165</f>
        <v>0</v>
      </c>
      <c r="V104" s="1601">
        <f ca="1">OFFSET('2 Staff List'!$LO$64,$CT104-1,V$69-1)*V165</f>
        <v>0</v>
      </c>
      <c r="W104" s="1602">
        <f ca="1">OFFSET('2 Staff List'!$LO$64,$CT104-1,W$69-1)*W165</f>
        <v>0</v>
      </c>
      <c r="X104" s="1558">
        <f ca="1">OFFSET('2 Staff List'!$LO$64,$CT104-1,X$69-1)*X165</f>
        <v>0</v>
      </c>
      <c r="Y104" s="1558">
        <f ca="1">OFFSET('2 Staff List'!$LO$64,$CT104-1,Y$69-1)*Y165</f>
        <v>0</v>
      </c>
      <c r="Z104" s="1558">
        <f ca="1">OFFSET('2 Staff List'!$LO$64,$CT104-1,Z$69-1)*Z165</f>
        <v>0</v>
      </c>
      <c r="AA104" s="1558">
        <f ca="1">OFFSET('2 Staff List'!$LO$64,$CT104-1,AA$69-1)*AA165</f>
        <v>0</v>
      </c>
      <c r="AB104" s="1558">
        <f ca="1">OFFSET('2 Staff List'!$LO$64,$CT104-1,AB$69-1)*AB165</f>
        <v>0</v>
      </c>
      <c r="AC104" s="1558">
        <f ca="1">OFFSET('2 Staff List'!$LO$64,$CT104-1,AC$69-1)*AC165</f>
        <v>0</v>
      </c>
      <c r="AD104" s="1558">
        <f ca="1">OFFSET('2 Staff List'!$LO$64,$CT104-1,AD$69-1)*AD165</f>
        <v>0</v>
      </c>
      <c r="AE104" s="1558">
        <f ca="1">OFFSET('2 Staff List'!$LO$64,$CT104-1,AE$69-1)*AE165</f>
        <v>0</v>
      </c>
      <c r="AF104" s="1601">
        <f ca="1">OFFSET('2 Staff List'!$LO$64,$CT104-1,AF$69-1)*AF165</f>
        <v>0</v>
      </c>
      <c r="AG104" s="1602">
        <f ca="1">OFFSET('2 Staff List'!$LO$64,$CT104-1,AG$69-1)*AG165</f>
        <v>0</v>
      </c>
      <c r="AH104" s="1558">
        <f ca="1">OFFSET('2 Staff List'!$LO$64,$CT104-1,AH$69-1)*AH165</f>
        <v>0</v>
      </c>
      <c r="AI104" s="1558">
        <f ca="1">OFFSET('2 Staff List'!$LO$64,$CT104-1,AI$69-1)*AI165</f>
        <v>0</v>
      </c>
      <c r="AJ104" s="1558">
        <f ca="1">OFFSET('2 Staff List'!$LO$64,$CT104-1,AJ$69-1)*AJ165</f>
        <v>0</v>
      </c>
      <c r="AK104" s="1558">
        <f ca="1">OFFSET('2 Staff List'!$LO$64,$CT104-1,AK$69-1)*AK165</f>
        <v>0</v>
      </c>
      <c r="AL104" s="1558">
        <f ca="1">OFFSET('2 Staff List'!$LO$64,$CT104-1,AL$69-1)*AL165</f>
        <v>0</v>
      </c>
      <c r="AM104" s="1558">
        <f ca="1">OFFSET('2 Staff List'!$LO$64,$CT104-1,AM$69-1)*AM165</f>
        <v>0</v>
      </c>
      <c r="AN104" s="1558">
        <f ca="1">OFFSET('2 Staff List'!$LO$64,$CT104-1,AN$69-1)*AN165</f>
        <v>0</v>
      </c>
      <c r="AO104" s="1558">
        <f ca="1">OFFSET('2 Staff List'!$LO$64,$CT104-1,AO$69-1)*AO165</f>
        <v>0</v>
      </c>
      <c r="AP104" s="1601">
        <f ca="1">OFFSET('2 Staff List'!$LO$64,$CT104-1,AP$69-1)*AP165</f>
        <v>0</v>
      </c>
      <c r="AQ104" s="1602">
        <f ca="1">OFFSET('2 Staff List'!$LO$64,$CT104-1,AQ$69-1)*AQ165</f>
        <v>0</v>
      </c>
      <c r="AR104" s="1558">
        <f ca="1">OFFSET('2 Staff List'!$LO$64,$CT104-1,AR$69-1)*AR165</f>
        <v>0</v>
      </c>
      <c r="AS104" s="1558">
        <f ca="1">OFFSET('2 Staff List'!$LO$64,$CT104-1,AS$69-1)*AS165</f>
        <v>0</v>
      </c>
      <c r="AT104" s="1558">
        <f ca="1">OFFSET('2 Staff List'!$LO$64,$CT104-1,AT$69-1)*AT165</f>
        <v>0</v>
      </c>
      <c r="AU104" s="1558">
        <f ca="1">OFFSET('2 Staff List'!$LO$64,$CT104-1,AU$69-1)*AU165</f>
        <v>0</v>
      </c>
      <c r="AV104" s="1558">
        <f ca="1">OFFSET('2 Staff List'!$LO$64,$CT104-1,AV$69-1)*AV165</f>
        <v>0</v>
      </c>
      <c r="AW104" s="1558">
        <f ca="1">OFFSET('2 Staff List'!$LO$64,$CT104-1,AW$69-1)*AW165</f>
        <v>0</v>
      </c>
      <c r="AX104" s="1558">
        <f ca="1">OFFSET('2 Staff List'!$LO$64,$CT104-1,AX$69-1)*AX165</f>
        <v>0</v>
      </c>
      <c r="AY104" s="1558">
        <f ca="1">OFFSET('2 Staff List'!$LO$64,$CT104-1,AY$69-1)*AY165</f>
        <v>0</v>
      </c>
      <c r="AZ104" s="1601">
        <f ca="1">OFFSET('2 Staff List'!$LO$64,$CT104-1,AZ$69-1)*AZ165</f>
        <v>0</v>
      </c>
      <c r="BA104" s="1602">
        <f ca="1">OFFSET('2 Staff List'!$LO$64,$CT104-1,BA$69-1)*BA165</f>
        <v>0</v>
      </c>
      <c r="BB104" s="1558">
        <f ca="1">OFFSET('2 Staff List'!$LO$64,$CT104-1,BB$69-1)*BB165</f>
        <v>0</v>
      </c>
      <c r="BC104" s="1558">
        <f ca="1">OFFSET('2 Staff List'!$LO$64,$CT104-1,BC$69-1)*BC165</f>
        <v>0</v>
      </c>
      <c r="BD104" s="1558">
        <f ca="1">OFFSET('2 Staff List'!$LO$64,$CT104-1,BD$69-1)*BD165</f>
        <v>0</v>
      </c>
      <c r="BE104" s="1558">
        <f ca="1">OFFSET('2 Staff List'!$LO$64,$CT104-1,BE$69-1)*BE165</f>
        <v>0</v>
      </c>
      <c r="BF104" s="1558">
        <f ca="1">OFFSET('2 Staff List'!$LO$64,$CT104-1,BF$69-1)*BF165</f>
        <v>0</v>
      </c>
      <c r="BG104" s="1558">
        <f ca="1">OFFSET('2 Staff List'!$LO$64,$CT104-1,BG$69-1)*BG165</f>
        <v>0</v>
      </c>
      <c r="BH104" s="1558">
        <f ca="1">OFFSET('2 Staff List'!$LO$64,$CT104-1,BH$69-1)*BH165</f>
        <v>0</v>
      </c>
      <c r="BI104" s="1558">
        <f ca="1">OFFSET('2 Staff List'!$LO$64,$CT104-1,BI$69-1)*BI165</f>
        <v>0</v>
      </c>
      <c r="BJ104" s="1601">
        <f ca="1">OFFSET('2 Staff List'!$LO$64,$CT104-1,BJ$69-1)*BJ165</f>
        <v>0</v>
      </c>
      <c r="BK104" s="1602">
        <f ca="1">OFFSET('2 Staff List'!$LO$64,$CT104-1,BK$69-1)*BK165</f>
        <v>0</v>
      </c>
      <c r="BL104" s="1558">
        <f ca="1">OFFSET('2 Staff List'!$LO$64,$CT104-1,BL$69-1)*BL165</f>
        <v>0</v>
      </c>
      <c r="BM104" s="1558">
        <f ca="1">OFFSET('2 Staff List'!$LO$64,$CT104-1,BM$69-1)*BM165</f>
        <v>0</v>
      </c>
      <c r="BN104" s="1558">
        <f ca="1">OFFSET('2 Staff List'!$LO$64,$CT104-1,BN$69-1)*BN165</f>
        <v>0</v>
      </c>
      <c r="BO104" s="1558">
        <f ca="1">OFFSET('2 Staff List'!$LO$64,$CT104-1,BO$69-1)*BO165</f>
        <v>0</v>
      </c>
      <c r="BP104" s="1558">
        <f ca="1">OFFSET('2 Staff List'!$LO$64,$CT104-1,BP$69-1)*BP165</f>
        <v>0</v>
      </c>
      <c r="BQ104" s="1558">
        <f ca="1">OFFSET('2 Staff List'!$LO$64,$CT104-1,BQ$69-1)*BQ165</f>
        <v>0</v>
      </c>
      <c r="BR104" s="1558">
        <f ca="1">OFFSET('2 Staff List'!$LO$64,$CT104-1,BR$69-1)*BR165</f>
        <v>0</v>
      </c>
      <c r="BS104" s="1558">
        <f ca="1">OFFSET('2 Staff List'!$LO$64,$CT104-1,BS$69-1)*BS165</f>
        <v>0</v>
      </c>
      <c r="BT104" s="1558">
        <f ca="1">OFFSET('2 Staff List'!$LO$64,$CT104-1,BT$69-1)*BT165</f>
        <v>0</v>
      </c>
      <c r="BU104" s="295"/>
      <c r="BV104" s="295"/>
      <c r="BW104" s="295"/>
      <c r="BX104" s="295"/>
      <c r="BY104" s="295"/>
      <c r="BZ104" s="295"/>
      <c r="CA104" s="1024">
        <f ca="1">SUMIFS('3a Staff Plan'!$X$129:$X$305,'3a Staff Plan'!$DY$129:$DY$305,CZ104,'3a Staff Plan'!$DF$129:$DF$305,1,'3a Staff Plan'!$AG$129:$AG$305,1)</f>
        <v>0</v>
      </c>
      <c r="CB104" s="1025">
        <f ca="1">SUMIFS('3a Staff Plan'!$X$129:$X$305,'3a Staff Plan'!$DY$129:$DY$305,$CZ104,'3a Staff Plan'!$DF$129:$DF$305,1,'3a Staff Plan'!$AG$129:$AG$305,1,'3a Staff Plan'!$C$129:$C$305,DC$18)</f>
        <v>0</v>
      </c>
      <c r="CC104" s="1026">
        <f ca="1">SUMIFS('3a Staff Plan'!$X$129:$X$305,'3a Staff Plan'!$DY$129:$DY$305,$CZ104,'3a Staff Plan'!$DF$129:$DF$305,1,'3a Staff Plan'!$AG$129:$AG$305,1,'3a Staff Plan'!$C$129:$C$305,DD$18)</f>
        <v>0</v>
      </c>
      <c r="CD104" s="1026">
        <f ca="1">SUMIFS('3a Staff Plan'!$X$129:$X$305,'3a Staff Plan'!$DY$129:$DY$305,$CZ104,'3a Staff Plan'!$DF$129:$DF$305,1,'3a Staff Plan'!$AG$129:$AG$305,1,'3a Staff Plan'!$C$129:$C$305,DE$18)</f>
        <v>0</v>
      </c>
      <c r="CE104" s="1026">
        <f ca="1">SUMIFS('3a Staff Plan'!$X$129:$X$305,'3a Staff Plan'!$DY$129:$DY$305,$CZ104,'3a Staff Plan'!$DF$129:$DF$305,1,'3a Staff Plan'!$AG$129:$AG$305,1,'3a Staff Plan'!$C$129:$C$305,DF$18)</f>
        <v>0</v>
      </c>
      <c r="CF104" s="1026">
        <f ca="1">SUMIFS('3a Staff Plan'!$X$129:$X$305,'3a Staff Plan'!$DY$129:$DY$305,$CZ104,'3a Staff Plan'!$DF$129:$DF$305,1,'3a Staff Plan'!$AG$129:$AG$305,1,'3a Staff Plan'!$C$129:$C$305,DG$18)</f>
        <v>0</v>
      </c>
      <c r="CG104" s="1026">
        <f ca="1">SUMIFS('3a Staff Plan'!$X$129:$X$305,'3a Staff Plan'!$DY$129:$DY$305,$CZ104,'3a Staff Plan'!$DF$129:$DF$305,1,'3a Staff Plan'!$AG$129:$AG$305,1,'3a Staff Plan'!$C$129:$C$305,DH$18)</f>
        <v>0</v>
      </c>
      <c r="CH104" s="1026">
        <f ca="1">SUMIFS('3a Staff Plan'!$X$129:$X$305,'3a Staff Plan'!$DY$129:$DY$305,$CZ104,'3a Staff Plan'!$DF$129:$DF$305,1,'3a Staff Plan'!$AG$129:$AG$305,1,'3a Staff Plan'!$C$129:$C$305,DI$18)</f>
        <v>0</v>
      </c>
      <c r="CI104" s="755"/>
      <c r="CJ104" s="1024">
        <f ca="1">SUMPRODUCT(OFFSET('3b Activity Plan'!$DJ$67:$DJ$76,0,$CU104-1),OFFSET('3b Activity Plan'!$DJ$78:$DJ$87,0,CU104-1))</f>
        <v>0</v>
      </c>
      <c r="CK104" s="1025">
        <f t="shared" ca="1" si="43"/>
        <v>0</v>
      </c>
      <c r="CL104" s="1026">
        <f t="shared" ca="1" si="44"/>
        <v>0</v>
      </c>
      <c r="CM104" s="1026">
        <f t="shared" ca="1" si="45"/>
        <v>0</v>
      </c>
      <c r="CN104" s="1026">
        <f t="shared" ca="1" si="46"/>
        <v>0</v>
      </c>
      <c r="CO104" s="1026">
        <f t="shared" ca="1" si="47"/>
        <v>0</v>
      </c>
      <c r="CP104" s="1026">
        <f t="shared" ca="1" si="48"/>
        <v>0</v>
      </c>
      <c r="CQ104" s="1026">
        <f t="shared" ca="1" si="49"/>
        <v>0</v>
      </c>
      <c r="CR104" s="417"/>
      <c r="CS104" s="417">
        <f t="shared" si="50"/>
        <v>33</v>
      </c>
      <c r="CT104" s="417">
        <f ca="1">OFFSET('2 Staff List'!$GU$64,CS104-1,0)</f>
        <v>33</v>
      </c>
      <c r="CU104" s="417">
        <f ca="1">IF(CZ104=0,0,IFERROR(INDEX('3b Activity Plan'!$DJ$20:$FH$20,MATCH(CT104,'3b Activity Plan'!$DJ$171:$FH$171,0)),0))</f>
        <v>0</v>
      </c>
      <c r="CV104" s="417">
        <f ca="1">INDEX('2 Staff List'!$HW$64:$HW$114,CT104)</f>
        <v>0</v>
      </c>
      <c r="CW104" s="417"/>
      <c r="CY104" s="927">
        <f ca="1">OFFSET('2 Staff List'!$HZ$64,CS104-1,0)</f>
        <v>0</v>
      </c>
      <c r="CZ104" s="975">
        <f ca="1">OFFSET('2 Staff List'!$IA$64,CT104-1,0)</f>
        <v>0</v>
      </c>
      <c r="DA104" s="3845">
        <f t="shared" ca="1" si="51"/>
        <v>0</v>
      </c>
      <c r="DB104" s="3846"/>
      <c r="DC104" s="2408">
        <f t="shared" ca="1" si="52"/>
        <v>0</v>
      </c>
      <c r="DD104" s="2405">
        <f t="shared" ca="1" si="53"/>
        <v>0</v>
      </c>
      <c r="DE104" s="2401">
        <f t="shared" ca="1" si="54"/>
        <v>0</v>
      </c>
      <c r="DF104" s="2405">
        <f t="shared" ca="1" si="55"/>
        <v>0</v>
      </c>
      <c r="DG104" s="2405">
        <f t="shared" ca="1" si="56"/>
        <v>0</v>
      </c>
      <c r="DH104" s="2406">
        <f t="shared" ca="1" si="57"/>
        <v>0</v>
      </c>
      <c r="DI104" s="2407">
        <f t="shared" ca="1" si="58"/>
        <v>0</v>
      </c>
    </row>
    <row r="105" spans="1:113" ht="15.9" customHeight="1" x14ac:dyDescent="0.25">
      <c r="A105" s="295"/>
      <c r="B105" s="295"/>
      <c r="C105" s="1558">
        <f ca="1">OFFSET('2 Staff List'!$LO$64,$CT105-1,C$69-1)*C166</f>
        <v>0</v>
      </c>
      <c r="D105" s="1558">
        <f ca="1">OFFSET('2 Staff List'!$LO$64,$CT105-1,D$69-1)*D166</f>
        <v>0</v>
      </c>
      <c r="E105" s="1558">
        <f ca="1">OFFSET('2 Staff List'!$LO$64,$CT105-1,E$69-1)*E166</f>
        <v>0</v>
      </c>
      <c r="F105" s="1558">
        <f ca="1">OFFSET('2 Staff List'!$LO$64,$CT105-1,F$69-1)*F166</f>
        <v>0</v>
      </c>
      <c r="G105" s="1558">
        <f ca="1">OFFSET('2 Staff List'!$LO$64,$CT105-1,G$69-1)*G166</f>
        <v>0</v>
      </c>
      <c r="H105" s="1558">
        <f ca="1">OFFSET('2 Staff List'!$LO$64,$CT105-1,H$69-1)*H166</f>
        <v>0</v>
      </c>
      <c r="I105" s="1558">
        <f ca="1">OFFSET('2 Staff List'!$LO$64,$CT105-1,I$69-1)*I166</f>
        <v>0</v>
      </c>
      <c r="J105" s="1558">
        <f ca="1">OFFSET('2 Staff List'!$LO$64,$CT105-1,J$69-1)*J166</f>
        <v>0</v>
      </c>
      <c r="K105" s="1558">
        <f ca="1">OFFSET('2 Staff List'!$LO$64,$CT105-1,K$69-1)*K166</f>
        <v>0</v>
      </c>
      <c r="L105" s="1601">
        <f ca="1">OFFSET('2 Staff List'!$LO$64,$CT105-1,L$69-1)*L166</f>
        <v>0</v>
      </c>
      <c r="M105" s="1602">
        <f ca="1">OFFSET('2 Staff List'!$LO$64,$CT105-1,M$69-1)*M166</f>
        <v>0</v>
      </c>
      <c r="N105" s="1558">
        <f ca="1">OFFSET('2 Staff List'!$LO$64,$CT105-1,N$69-1)*N166</f>
        <v>0</v>
      </c>
      <c r="O105" s="1558">
        <f ca="1">OFFSET('2 Staff List'!$LO$64,$CT105-1,O$69-1)*O166</f>
        <v>0</v>
      </c>
      <c r="P105" s="1558">
        <f ca="1">OFFSET('2 Staff List'!$LO$64,$CT105-1,P$69-1)*P166</f>
        <v>0</v>
      </c>
      <c r="Q105" s="1558">
        <f ca="1">OFFSET('2 Staff List'!$LO$64,$CT105-1,Q$69-1)*Q166</f>
        <v>0</v>
      </c>
      <c r="R105" s="1558">
        <f ca="1">OFFSET('2 Staff List'!$LO$64,$CT105-1,R$69-1)*R166</f>
        <v>0</v>
      </c>
      <c r="S105" s="1558">
        <f ca="1">OFFSET('2 Staff List'!$LO$64,$CT105-1,S$69-1)*S166</f>
        <v>0</v>
      </c>
      <c r="T105" s="1558">
        <f ca="1">OFFSET('2 Staff List'!$LO$64,$CT105-1,T$69-1)*T166</f>
        <v>0</v>
      </c>
      <c r="U105" s="1558">
        <f ca="1">OFFSET('2 Staff List'!$LO$64,$CT105-1,U$69-1)*U166</f>
        <v>0</v>
      </c>
      <c r="V105" s="1601">
        <f ca="1">OFFSET('2 Staff List'!$LO$64,$CT105-1,V$69-1)*V166</f>
        <v>0</v>
      </c>
      <c r="W105" s="1602">
        <f ca="1">OFFSET('2 Staff List'!$LO$64,$CT105-1,W$69-1)*W166</f>
        <v>0</v>
      </c>
      <c r="X105" s="1558">
        <f ca="1">OFFSET('2 Staff List'!$LO$64,$CT105-1,X$69-1)*X166</f>
        <v>0</v>
      </c>
      <c r="Y105" s="1558">
        <f ca="1">OFFSET('2 Staff List'!$LO$64,$CT105-1,Y$69-1)*Y166</f>
        <v>0</v>
      </c>
      <c r="Z105" s="1558">
        <f ca="1">OFFSET('2 Staff List'!$LO$64,$CT105-1,Z$69-1)*Z166</f>
        <v>0</v>
      </c>
      <c r="AA105" s="1558">
        <f ca="1">OFFSET('2 Staff List'!$LO$64,$CT105-1,AA$69-1)*AA166</f>
        <v>0</v>
      </c>
      <c r="AB105" s="1558">
        <f ca="1">OFFSET('2 Staff List'!$LO$64,$CT105-1,AB$69-1)*AB166</f>
        <v>0</v>
      </c>
      <c r="AC105" s="1558">
        <f ca="1">OFFSET('2 Staff List'!$LO$64,$CT105-1,AC$69-1)*AC166</f>
        <v>0</v>
      </c>
      <c r="AD105" s="1558">
        <f ca="1">OFFSET('2 Staff List'!$LO$64,$CT105-1,AD$69-1)*AD166</f>
        <v>0</v>
      </c>
      <c r="AE105" s="1558">
        <f ca="1">OFFSET('2 Staff List'!$LO$64,$CT105-1,AE$69-1)*AE166</f>
        <v>0</v>
      </c>
      <c r="AF105" s="1601">
        <f ca="1">OFFSET('2 Staff List'!$LO$64,$CT105-1,AF$69-1)*AF166</f>
        <v>0</v>
      </c>
      <c r="AG105" s="1602">
        <f ca="1">OFFSET('2 Staff List'!$LO$64,$CT105-1,AG$69-1)*AG166</f>
        <v>0</v>
      </c>
      <c r="AH105" s="1558">
        <f ca="1">OFFSET('2 Staff List'!$LO$64,$CT105-1,AH$69-1)*AH166</f>
        <v>0</v>
      </c>
      <c r="AI105" s="1558">
        <f ca="1">OFFSET('2 Staff List'!$LO$64,$CT105-1,AI$69-1)*AI166</f>
        <v>0</v>
      </c>
      <c r="AJ105" s="1558">
        <f ca="1">OFFSET('2 Staff List'!$LO$64,$CT105-1,AJ$69-1)*AJ166</f>
        <v>0</v>
      </c>
      <c r="AK105" s="1558">
        <f ca="1">OFFSET('2 Staff List'!$LO$64,$CT105-1,AK$69-1)*AK166</f>
        <v>0</v>
      </c>
      <c r="AL105" s="1558">
        <f ca="1">OFFSET('2 Staff List'!$LO$64,$CT105-1,AL$69-1)*AL166</f>
        <v>0</v>
      </c>
      <c r="AM105" s="1558">
        <f ca="1">OFFSET('2 Staff List'!$LO$64,$CT105-1,AM$69-1)*AM166</f>
        <v>0</v>
      </c>
      <c r="AN105" s="1558">
        <f ca="1">OFFSET('2 Staff List'!$LO$64,$CT105-1,AN$69-1)*AN166</f>
        <v>0</v>
      </c>
      <c r="AO105" s="1558">
        <f ca="1">OFFSET('2 Staff List'!$LO$64,$CT105-1,AO$69-1)*AO166</f>
        <v>0</v>
      </c>
      <c r="AP105" s="1601">
        <f ca="1">OFFSET('2 Staff List'!$LO$64,$CT105-1,AP$69-1)*AP166</f>
        <v>0</v>
      </c>
      <c r="AQ105" s="1602">
        <f ca="1">OFFSET('2 Staff List'!$LO$64,$CT105-1,AQ$69-1)*AQ166</f>
        <v>0</v>
      </c>
      <c r="AR105" s="1558">
        <f ca="1">OFFSET('2 Staff List'!$LO$64,$CT105-1,AR$69-1)*AR166</f>
        <v>0</v>
      </c>
      <c r="AS105" s="1558">
        <f ca="1">OFFSET('2 Staff List'!$LO$64,$CT105-1,AS$69-1)*AS166</f>
        <v>0</v>
      </c>
      <c r="AT105" s="1558">
        <f ca="1">OFFSET('2 Staff List'!$LO$64,$CT105-1,AT$69-1)*AT166</f>
        <v>0</v>
      </c>
      <c r="AU105" s="1558">
        <f ca="1">OFFSET('2 Staff List'!$LO$64,$CT105-1,AU$69-1)*AU166</f>
        <v>0</v>
      </c>
      <c r="AV105" s="1558">
        <f ca="1">OFFSET('2 Staff List'!$LO$64,$CT105-1,AV$69-1)*AV166</f>
        <v>0</v>
      </c>
      <c r="AW105" s="1558">
        <f ca="1">OFFSET('2 Staff List'!$LO$64,$CT105-1,AW$69-1)*AW166</f>
        <v>0</v>
      </c>
      <c r="AX105" s="1558">
        <f ca="1">OFFSET('2 Staff List'!$LO$64,$CT105-1,AX$69-1)*AX166</f>
        <v>0</v>
      </c>
      <c r="AY105" s="1558">
        <f ca="1">OFFSET('2 Staff List'!$LO$64,$CT105-1,AY$69-1)*AY166</f>
        <v>0</v>
      </c>
      <c r="AZ105" s="1601">
        <f ca="1">OFFSET('2 Staff List'!$LO$64,$CT105-1,AZ$69-1)*AZ166</f>
        <v>0</v>
      </c>
      <c r="BA105" s="1602">
        <f ca="1">OFFSET('2 Staff List'!$LO$64,$CT105-1,BA$69-1)*BA166</f>
        <v>0</v>
      </c>
      <c r="BB105" s="1558">
        <f ca="1">OFFSET('2 Staff List'!$LO$64,$CT105-1,BB$69-1)*BB166</f>
        <v>0</v>
      </c>
      <c r="BC105" s="1558">
        <f ca="1">OFFSET('2 Staff List'!$LO$64,$CT105-1,BC$69-1)*BC166</f>
        <v>0</v>
      </c>
      <c r="BD105" s="1558">
        <f ca="1">OFFSET('2 Staff List'!$LO$64,$CT105-1,BD$69-1)*BD166</f>
        <v>0</v>
      </c>
      <c r="BE105" s="1558">
        <f ca="1">OFFSET('2 Staff List'!$LO$64,$CT105-1,BE$69-1)*BE166</f>
        <v>0</v>
      </c>
      <c r="BF105" s="1558">
        <f ca="1">OFFSET('2 Staff List'!$LO$64,$CT105-1,BF$69-1)*BF166</f>
        <v>0</v>
      </c>
      <c r="BG105" s="1558">
        <f ca="1">OFFSET('2 Staff List'!$LO$64,$CT105-1,BG$69-1)*BG166</f>
        <v>0</v>
      </c>
      <c r="BH105" s="1558">
        <f ca="1">OFFSET('2 Staff List'!$LO$64,$CT105-1,BH$69-1)*BH166</f>
        <v>0</v>
      </c>
      <c r="BI105" s="1558">
        <f ca="1">OFFSET('2 Staff List'!$LO$64,$CT105-1,BI$69-1)*BI166</f>
        <v>0</v>
      </c>
      <c r="BJ105" s="1601">
        <f ca="1">OFFSET('2 Staff List'!$LO$64,$CT105-1,BJ$69-1)*BJ166</f>
        <v>0</v>
      </c>
      <c r="BK105" s="1602">
        <f ca="1">OFFSET('2 Staff List'!$LO$64,$CT105-1,BK$69-1)*BK166</f>
        <v>0</v>
      </c>
      <c r="BL105" s="1558">
        <f ca="1">OFFSET('2 Staff List'!$LO$64,$CT105-1,BL$69-1)*BL166</f>
        <v>0</v>
      </c>
      <c r="BM105" s="1558">
        <f ca="1">OFFSET('2 Staff List'!$LO$64,$CT105-1,BM$69-1)*BM166</f>
        <v>0</v>
      </c>
      <c r="BN105" s="1558">
        <f ca="1">OFFSET('2 Staff List'!$LO$64,$CT105-1,BN$69-1)*BN166</f>
        <v>0</v>
      </c>
      <c r="BO105" s="1558">
        <f ca="1">OFFSET('2 Staff List'!$LO$64,$CT105-1,BO$69-1)*BO166</f>
        <v>0</v>
      </c>
      <c r="BP105" s="1558">
        <f ca="1">OFFSET('2 Staff List'!$LO$64,$CT105-1,BP$69-1)*BP166</f>
        <v>0</v>
      </c>
      <c r="BQ105" s="1558">
        <f ca="1">OFFSET('2 Staff List'!$LO$64,$CT105-1,BQ$69-1)*BQ166</f>
        <v>0</v>
      </c>
      <c r="BR105" s="1558">
        <f ca="1">OFFSET('2 Staff List'!$LO$64,$CT105-1,BR$69-1)*BR166</f>
        <v>0</v>
      </c>
      <c r="BS105" s="1558">
        <f ca="1">OFFSET('2 Staff List'!$LO$64,$CT105-1,BS$69-1)*BS166</f>
        <v>0</v>
      </c>
      <c r="BT105" s="1558">
        <f ca="1">OFFSET('2 Staff List'!$LO$64,$CT105-1,BT$69-1)*BT166</f>
        <v>0</v>
      </c>
      <c r="BU105" s="295"/>
      <c r="BV105" s="295"/>
      <c r="BW105" s="295"/>
      <c r="BX105" s="295"/>
      <c r="BY105" s="295"/>
      <c r="BZ105" s="295"/>
      <c r="CA105" s="1024">
        <f ca="1">SUMIFS('3a Staff Plan'!$X$129:$X$305,'3a Staff Plan'!$DY$129:$DY$305,CZ105,'3a Staff Plan'!$DF$129:$DF$305,1,'3a Staff Plan'!$AG$129:$AG$305,1)</f>
        <v>0</v>
      </c>
      <c r="CB105" s="1025">
        <f ca="1">SUMIFS('3a Staff Plan'!$X$129:$X$305,'3a Staff Plan'!$DY$129:$DY$305,$CZ105,'3a Staff Plan'!$DF$129:$DF$305,1,'3a Staff Plan'!$AG$129:$AG$305,1,'3a Staff Plan'!$C$129:$C$305,DC$18)</f>
        <v>0</v>
      </c>
      <c r="CC105" s="1026">
        <f ca="1">SUMIFS('3a Staff Plan'!$X$129:$X$305,'3a Staff Plan'!$DY$129:$DY$305,$CZ105,'3a Staff Plan'!$DF$129:$DF$305,1,'3a Staff Plan'!$AG$129:$AG$305,1,'3a Staff Plan'!$C$129:$C$305,DD$18)</f>
        <v>0</v>
      </c>
      <c r="CD105" s="1026">
        <f ca="1">SUMIFS('3a Staff Plan'!$X$129:$X$305,'3a Staff Plan'!$DY$129:$DY$305,$CZ105,'3a Staff Plan'!$DF$129:$DF$305,1,'3a Staff Plan'!$AG$129:$AG$305,1,'3a Staff Plan'!$C$129:$C$305,DE$18)</f>
        <v>0</v>
      </c>
      <c r="CE105" s="1026">
        <f ca="1">SUMIFS('3a Staff Plan'!$X$129:$X$305,'3a Staff Plan'!$DY$129:$DY$305,$CZ105,'3a Staff Plan'!$DF$129:$DF$305,1,'3a Staff Plan'!$AG$129:$AG$305,1,'3a Staff Plan'!$C$129:$C$305,DF$18)</f>
        <v>0</v>
      </c>
      <c r="CF105" s="1026">
        <f ca="1">SUMIFS('3a Staff Plan'!$X$129:$X$305,'3a Staff Plan'!$DY$129:$DY$305,$CZ105,'3a Staff Plan'!$DF$129:$DF$305,1,'3a Staff Plan'!$AG$129:$AG$305,1,'3a Staff Plan'!$C$129:$C$305,DG$18)</f>
        <v>0</v>
      </c>
      <c r="CG105" s="1026">
        <f ca="1">SUMIFS('3a Staff Plan'!$X$129:$X$305,'3a Staff Plan'!$DY$129:$DY$305,$CZ105,'3a Staff Plan'!$DF$129:$DF$305,1,'3a Staff Plan'!$AG$129:$AG$305,1,'3a Staff Plan'!$C$129:$C$305,DH$18)</f>
        <v>0</v>
      </c>
      <c r="CH105" s="1026">
        <f ca="1">SUMIFS('3a Staff Plan'!$X$129:$X$305,'3a Staff Plan'!$DY$129:$DY$305,$CZ105,'3a Staff Plan'!$DF$129:$DF$305,1,'3a Staff Plan'!$AG$129:$AG$305,1,'3a Staff Plan'!$C$129:$C$305,DI$18)</f>
        <v>0</v>
      </c>
      <c r="CI105" s="755"/>
      <c r="CJ105" s="1024">
        <f ca="1">SUMPRODUCT(OFFSET('3b Activity Plan'!$DJ$67:$DJ$76,0,$CU105-1),OFFSET('3b Activity Plan'!$DJ$78:$DJ$87,0,CU105-1))</f>
        <v>0</v>
      </c>
      <c r="CK105" s="1025">
        <f t="shared" ca="1" si="43"/>
        <v>0</v>
      </c>
      <c r="CL105" s="1026">
        <f t="shared" ca="1" si="44"/>
        <v>0</v>
      </c>
      <c r="CM105" s="1026">
        <f t="shared" ca="1" si="45"/>
        <v>0</v>
      </c>
      <c r="CN105" s="1026">
        <f t="shared" ca="1" si="46"/>
        <v>0</v>
      </c>
      <c r="CO105" s="1026">
        <f t="shared" ca="1" si="47"/>
        <v>0</v>
      </c>
      <c r="CP105" s="1026">
        <f t="shared" ca="1" si="48"/>
        <v>0</v>
      </c>
      <c r="CQ105" s="1026">
        <f t="shared" ca="1" si="49"/>
        <v>0</v>
      </c>
      <c r="CR105" s="417"/>
      <c r="CS105" s="417">
        <f t="shared" si="50"/>
        <v>34</v>
      </c>
      <c r="CT105" s="417">
        <f ca="1">OFFSET('2 Staff List'!$GU$64,CS105-1,0)</f>
        <v>34</v>
      </c>
      <c r="CU105" s="417">
        <f ca="1">IF(CZ105=0,0,IFERROR(INDEX('3b Activity Plan'!$DJ$20:$FH$20,MATCH(CT105,'3b Activity Plan'!$DJ$171:$FH$171,0)),0))</f>
        <v>0</v>
      </c>
      <c r="CV105" s="417">
        <f ca="1">INDEX('2 Staff List'!$HW$64:$HW$114,CT105)</f>
        <v>0</v>
      </c>
      <c r="CW105" s="417"/>
      <c r="CY105" s="927">
        <f ca="1">OFFSET('2 Staff List'!$HZ$64,CS105-1,0)</f>
        <v>0</v>
      </c>
      <c r="CZ105" s="975">
        <f ca="1">OFFSET('2 Staff List'!$IA$64,CT105-1,0)</f>
        <v>0</v>
      </c>
      <c r="DA105" s="3845">
        <f t="shared" ca="1" si="51"/>
        <v>0</v>
      </c>
      <c r="DB105" s="3846"/>
      <c r="DC105" s="2408">
        <f t="shared" ca="1" si="52"/>
        <v>0</v>
      </c>
      <c r="DD105" s="2405">
        <f t="shared" ca="1" si="53"/>
        <v>0</v>
      </c>
      <c r="DE105" s="2401">
        <f t="shared" ca="1" si="54"/>
        <v>0</v>
      </c>
      <c r="DF105" s="2405">
        <f t="shared" ca="1" si="55"/>
        <v>0</v>
      </c>
      <c r="DG105" s="2405">
        <f t="shared" ca="1" si="56"/>
        <v>0</v>
      </c>
      <c r="DH105" s="2406">
        <f t="shared" ca="1" si="57"/>
        <v>0</v>
      </c>
      <c r="DI105" s="2407">
        <f t="shared" ca="1" si="58"/>
        <v>0</v>
      </c>
    </row>
    <row r="106" spans="1:113" ht="15.9" customHeight="1" x14ac:dyDescent="0.25">
      <c r="A106" s="295"/>
      <c r="B106" s="295"/>
      <c r="C106" s="1558">
        <f ca="1">OFFSET('2 Staff List'!$LO$64,$CT106-1,C$69-1)*C167</f>
        <v>0</v>
      </c>
      <c r="D106" s="1558">
        <f ca="1">OFFSET('2 Staff List'!$LO$64,$CT106-1,D$69-1)*D167</f>
        <v>0</v>
      </c>
      <c r="E106" s="1558">
        <f ca="1">OFFSET('2 Staff List'!$LO$64,$CT106-1,E$69-1)*E167</f>
        <v>0</v>
      </c>
      <c r="F106" s="1558">
        <f ca="1">OFFSET('2 Staff List'!$LO$64,$CT106-1,F$69-1)*F167</f>
        <v>0</v>
      </c>
      <c r="G106" s="1558">
        <f ca="1">OFFSET('2 Staff List'!$LO$64,$CT106-1,G$69-1)*G167</f>
        <v>0</v>
      </c>
      <c r="H106" s="1558">
        <f ca="1">OFFSET('2 Staff List'!$LO$64,$CT106-1,H$69-1)*H167</f>
        <v>0</v>
      </c>
      <c r="I106" s="1558">
        <f ca="1">OFFSET('2 Staff List'!$LO$64,$CT106-1,I$69-1)*I167</f>
        <v>0</v>
      </c>
      <c r="J106" s="1558">
        <f ca="1">OFFSET('2 Staff List'!$LO$64,$CT106-1,J$69-1)*J167</f>
        <v>0</v>
      </c>
      <c r="K106" s="1558">
        <f ca="1">OFFSET('2 Staff List'!$LO$64,$CT106-1,K$69-1)*K167</f>
        <v>0</v>
      </c>
      <c r="L106" s="1601">
        <f ca="1">OFFSET('2 Staff List'!$LO$64,$CT106-1,L$69-1)*L167</f>
        <v>0</v>
      </c>
      <c r="M106" s="1602">
        <f ca="1">OFFSET('2 Staff List'!$LO$64,$CT106-1,M$69-1)*M167</f>
        <v>0</v>
      </c>
      <c r="N106" s="1558">
        <f ca="1">OFFSET('2 Staff List'!$LO$64,$CT106-1,N$69-1)*N167</f>
        <v>0</v>
      </c>
      <c r="O106" s="1558">
        <f ca="1">OFFSET('2 Staff List'!$LO$64,$CT106-1,O$69-1)*O167</f>
        <v>0</v>
      </c>
      <c r="P106" s="1558">
        <f ca="1">OFFSET('2 Staff List'!$LO$64,$CT106-1,P$69-1)*P167</f>
        <v>0</v>
      </c>
      <c r="Q106" s="1558">
        <f ca="1">OFFSET('2 Staff List'!$LO$64,$CT106-1,Q$69-1)*Q167</f>
        <v>0</v>
      </c>
      <c r="R106" s="1558">
        <f ca="1">OFFSET('2 Staff List'!$LO$64,$CT106-1,R$69-1)*R167</f>
        <v>0</v>
      </c>
      <c r="S106" s="1558">
        <f ca="1">OFFSET('2 Staff List'!$LO$64,$CT106-1,S$69-1)*S167</f>
        <v>0</v>
      </c>
      <c r="T106" s="1558">
        <f ca="1">OFFSET('2 Staff List'!$LO$64,$CT106-1,T$69-1)*T167</f>
        <v>0</v>
      </c>
      <c r="U106" s="1558">
        <f ca="1">OFFSET('2 Staff List'!$LO$64,$CT106-1,U$69-1)*U167</f>
        <v>0</v>
      </c>
      <c r="V106" s="1601">
        <f ca="1">OFFSET('2 Staff List'!$LO$64,$CT106-1,V$69-1)*V167</f>
        <v>0</v>
      </c>
      <c r="W106" s="1602">
        <f ca="1">OFFSET('2 Staff List'!$LO$64,$CT106-1,W$69-1)*W167</f>
        <v>0</v>
      </c>
      <c r="X106" s="1558">
        <f ca="1">OFFSET('2 Staff List'!$LO$64,$CT106-1,X$69-1)*X167</f>
        <v>0</v>
      </c>
      <c r="Y106" s="1558">
        <f ca="1">OFFSET('2 Staff List'!$LO$64,$CT106-1,Y$69-1)*Y167</f>
        <v>0</v>
      </c>
      <c r="Z106" s="1558">
        <f ca="1">OFFSET('2 Staff List'!$LO$64,$CT106-1,Z$69-1)*Z167</f>
        <v>0</v>
      </c>
      <c r="AA106" s="1558">
        <f ca="1">OFFSET('2 Staff List'!$LO$64,$CT106-1,AA$69-1)*AA167</f>
        <v>0</v>
      </c>
      <c r="AB106" s="1558">
        <f ca="1">OFFSET('2 Staff List'!$LO$64,$CT106-1,AB$69-1)*AB167</f>
        <v>0</v>
      </c>
      <c r="AC106" s="1558">
        <f ca="1">OFFSET('2 Staff List'!$LO$64,$CT106-1,AC$69-1)*AC167</f>
        <v>0</v>
      </c>
      <c r="AD106" s="1558">
        <f ca="1">OFFSET('2 Staff List'!$LO$64,$CT106-1,AD$69-1)*AD167</f>
        <v>0</v>
      </c>
      <c r="AE106" s="1558">
        <f ca="1">OFFSET('2 Staff List'!$LO$64,$CT106-1,AE$69-1)*AE167</f>
        <v>0</v>
      </c>
      <c r="AF106" s="1601">
        <f ca="1">OFFSET('2 Staff List'!$LO$64,$CT106-1,AF$69-1)*AF167</f>
        <v>0</v>
      </c>
      <c r="AG106" s="1602">
        <f ca="1">OFFSET('2 Staff List'!$LO$64,$CT106-1,AG$69-1)*AG167</f>
        <v>0</v>
      </c>
      <c r="AH106" s="1558">
        <f ca="1">OFFSET('2 Staff List'!$LO$64,$CT106-1,AH$69-1)*AH167</f>
        <v>0</v>
      </c>
      <c r="AI106" s="1558">
        <f ca="1">OFFSET('2 Staff List'!$LO$64,$CT106-1,AI$69-1)*AI167</f>
        <v>0</v>
      </c>
      <c r="AJ106" s="1558">
        <f ca="1">OFFSET('2 Staff List'!$LO$64,$CT106-1,AJ$69-1)*AJ167</f>
        <v>0</v>
      </c>
      <c r="AK106" s="1558">
        <f ca="1">OFFSET('2 Staff List'!$LO$64,$CT106-1,AK$69-1)*AK167</f>
        <v>0</v>
      </c>
      <c r="AL106" s="1558">
        <f ca="1">OFFSET('2 Staff List'!$LO$64,$CT106-1,AL$69-1)*AL167</f>
        <v>0</v>
      </c>
      <c r="AM106" s="1558">
        <f ca="1">OFFSET('2 Staff List'!$LO$64,$CT106-1,AM$69-1)*AM167</f>
        <v>0</v>
      </c>
      <c r="AN106" s="1558">
        <f ca="1">OFFSET('2 Staff List'!$LO$64,$CT106-1,AN$69-1)*AN167</f>
        <v>0</v>
      </c>
      <c r="AO106" s="1558">
        <f ca="1">OFFSET('2 Staff List'!$LO$64,$CT106-1,AO$69-1)*AO167</f>
        <v>0</v>
      </c>
      <c r="AP106" s="1601">
        <f ca="1">OFFSET('2 Staff List'!$LO$64,$CT106-1,AP$69-1)*AP167</f>
        <v>0</v>
      </c>
      <c r="AQ106" s="1602">
        <f ca="1">OFFSET('2 Staff List'!$LO$64,$CT106-1,AQ$69-1)*AQ167</f>
        <v>0</v>
      </c>
      <c r="AR106" s="1558">
        <f ca="1">OFFSET('2 Staff List'!$LO$64,$CT106-1,AR$69-1)*AR167</f>
        <v>0</v>
      </c>
      <c r="AS106" s="1558">
        <f ca="1">OFFSET('2 Staff List'!$LO$64,$CT106-1,AS$69-1)*AS167</f>
        <v>0</v>
      </c>
      <c r="AT106" s="1558">
        <f ca="1">OFFSET('2 Staff List'!$LO$64,$CT106-1,AT$69-1)*AT167</f>
        <v>0</v>
      </c>
      <c r="AU106" s="1558">
        <f ca="1">OFFSET('2 Staff List'!$LO$64,$CT106-1,AU$69-1)*AU167</f>
        <v>0</v>
      </c>
      <c r="AV106" s="1558">
        <f ca="1">OFFSET('2 Staff List'!$LO$64,$CT106-1,AV$69-1)*AV167</f>
        <v>0</v>
      </c>
      <c r="AW106" s="1558">
        <f ca="1">OFFSET('2 Staff List'!$LO$64,$CT106-1,AW$69-1)*AW167</f>
        <v>0</v>
      </c>
      <c r="AX106" s="1558">
        <f ca="1">OFFSET('2 Staff List'!$LO$64,$CT106-1,AX$69-1)*AX167</f>
        <v>0</v>
      </c>
      <c r="AY106" s="1558">
        <f ca="1">OFFSET('2 Staff List'!$LO$64,$CT106-1,AY$69-1)*AY167</f>
        <v>0</v>
      </c>
      <c r="AZ106" s="1601">
        <f ca="1">OFFSET('2 Staff List'!$LO$64,$CT106-1,AZ$69-1)*AZ167</f>
        <v>0</v>
      </c>
      <c r="BA106" s="1602">
        <f ca="1">OFFSET('2 Staff List'!$LO$64,$CT106-1,BA$69-1)*BA167</f>
        <v>0</v>
      </c>
      <c r="BB106" s="1558">
        <f ca="1">OFFSET('2 Staff List'!$LO$64,$CT106-1,BB$69-1)*BB167</f>
        <v>0</v>
      </c>
      <c r="BC106" s="1558">
        <f ca="1">OFFSET('2 Staff List'!$LO$64,$CT106-1,BC$69-1)*BC167</f>
        <v>0</v>
      </c>
      <c r="BD106" s="1558">
        <f ca="1">OFFSET('2 Staff List'!$LO$64,$CT106-1,BD$69-1)*BD167</f>
        <v>0</v>
      </c>
      <c r="BE106" s="1558">
        <f ca="1">OFFSET('2 Staff List'!$LO$64,$CT106-1,BE$69-1)*BE167</f>
        <v>0</v>
      </c>
      <c r="BF106" s="1558">
        <f ca="1">OFFSET('2 Staff List'!$LO$64,$CT106-1,BF$69-1)*BF167</f>
        <v>0</v>
      </c>
      <c r="BG106" s="1558">
        <f ca="1">OFFSET('2 Staff List'!$LO$64,$CT106-1,BG$69-1)*BG167</f>
        <v>0</v>
      </c>
      <c r="BH106" s="1558">
        <f ca="1">OFFSET('2 Staff List'!$LO$64,$CT106-1,BH$69-1)*BH167</f>
        <v>0</v>
      </c>
      <c r="BI106" s="1558">
        <f ca="1">OFFSET('2 Staff List'!$LO$64,$CT106-1,BI$69-1)*BI167</f>
        <v>0</v>
      </c>
      <c r="BJ106" s="1601">
        <f ca="1">OFFSET('2 Staff List'!$LO$64,$CT106-1,BJ$69-1)*BJ167</f>
        <v>0</v>
      </c>
      <c r="BK106" s="1602">
        <f ca="1">OFFSET('2 Staff List'!$LO$64,$CT106-1,BK$69-1)*BK167</f>
        <v>0</v>
      </c>
      <c r="BL106" s="1558">
        <f ca="1">OFFSET('2 Staff List'!$LO$64,$CT106-1,BL$69-1)*BL167</f>
        <v>0</v>
      </c>
      <c r="BM106" s="1558">
        <f ca="1">OFFSET('2 Staff List'!$LO$64,$CT106-1,BM$69-1)*BM167</f>
        <v>0</v>
      </c>
      <c r="BN106" s="1558">
        <f ca="1">OFFSET('2 Staff List'!$LO$64,$CT106-1,BN$69-1)*BN167</f>
        <v>0</v>
      </c>
      <c r="BO106" s="1558">
        <f ca="1">OFFSET('2 Staff List'!$LO$64,$CT106-1,BO$69-1)*BO167</f>
        <v>0</v>
      </c>
      <c r="BP106" s="1558">
        <f ca="1">OFFSET('2 Staff List'!$LO$64,$CT106-1,BP$69-1)*BP167</f>
        <v>0</v>
      </c>
      <c r="BQ106" s="1558">
        <f ca="1">OFFSET('2 Staff List'!$LO$64,$CT106-1,BQ$69-1)*BQ167</f>
        <v>0</v>
      </c>
      <c r="BR106" s="1558">
        <f ca="1">OFFSET('2 Staff List'!$LO$64,$CT106-1,BR$69-1)*BR167</f>
        <v>0</v>
      </c>
      <c r="BS106" s="1558">
        <f ca="1">OFFSET('2 Staff List'!$LO$64,$CT106-1,BS$69-1)*BS167</f>
        <v>0</v>
      </c>
      <c r="BT106" s="1558">
        <f ca="1">OFFSET('2 Staff List'!$LO$64,$CT106-1,BT$69-1)*BT167</f>
        <v>0</v>
      </c>
      <c r="BU106" s="295"/>
      <c r="BV106" s="295"/>
      <c r="BW106" s="295"/>
      <c r="BX106" s="295"/>
      <c r="BY106" s="295"/>
      <c r="BZ106" s="295"/>
      <c r="CA106" s="1024">
        <f ca="1">SUMIFS('3a Staff Plan'!$X$129:$X$305,'3a Staff Plan'!$DY$129:$DY$305,CZ106,'3a Staff Plan'!$DF$129:$DF$305,1,'3a Staff Plan'!$AG$129:$AG$305,1)</f>
        <v>0</v>
      </c>
      <c r="CB106" s="1025">
        <f ca="1">SUMIFS('3a Staff Plan'!$X$129:$X$305,'3a Staff Plan'!$DY$129:$DY$305,$CZ106,'3a Staff Plan'!$DF$129:$DF$305,1,'3a Staff Plan'!$AG$129:$AG$305,1,'3a Staff Plan'!$C$129:$C$305,DC$18)</f>
        <v>0</v>
      </c>
      <c r="CC106" s="1026">
        <f ca="1">SUMIFS('3a Staff Plan'!$X$129:$X$305,'3a Staff Plan'!$DY$129:$DY$305,$CZ106,'3a Staff Plan'!$DF$129:$DF$305,1,'3a Staff Plan'!$AG$129:$AG$305,1,'3a Staff Plan'!$C$129:$C$305,DD$18)</f>
        <v>0</v>
      </c>
      <c r="CD106" s="1026">
        <f ca="1">SUMIFS('3a Staff Plan'!$X$129:$X$305,'3a Staff Plan'!$DY$129:$DY$305,$CZ106,'3a Staff Plan'!$DF$129:$DF$305,1,'3a Staff Plan'!$AG$129:$AG$305,1,'3a Staff Plan'!$C$129:$C$305,DE$18)</f>
        <v>0</v>
      </c>
      <c r="CE106" s="1026">
        <f ca="1">SUMIFS('3a Staff Plan'!$X$129:$X$305,'3a Staff Plan'!$DY$129:$DY$305,$CZ106,'3a Staff Plan'!$DF$129:$DF$305,1,'3a Staff Plan'!$AG$129:$AG$305,1,'3a Staff Plan'!$C$129:$C$305,DF$18)</f>
        <v>0</v>
      </c>
      <c r="CF106" s="1026">
        <f ca="1">SUMIFS('3a Staff Plan'!$X$129:$X$305,'3a Staff Plan'!$DY$129:$DY$305,$CZ106,'3a Staff Plan'!$DF$129:$DF$305,1,'3a Staff Plan'!$AG$129:$AG$305,1,'3a Staff Plan'!$C$129:$C$305,DG$18)</f>
        <v>0</v>
      </c>
      <c r="CG106" s="1026">
        <f ca="1">SUMIFS('3a Staff Plan'!$X$129:$X$305,'3a Staff Plan'!$DY$129:$DY$305,$CZ106,'3a Staff Plan'!$DF$129:$DF$305,1,'3a Staff Plan'!$AG$129:$AG$305,1,'3a Staff Plan'!$C$129:$C$305,DH$18)</f>
        <v>0</v>
      </c>
      <c r="CH106" s="1026">
        <f ca="1">SUMIFS('3a Staff Plan'!$X$129:$X$305,'3a Staff Plan'!$DY$129:$DY$305,$CZ106,'3a Staff Plan'!$DF$129:$DF$305,1,'3a Staff Plan'!$AG$129:$AG$305,1,'3a Staff Plan'!$C$129:$C$305,DI$18)</f>
        <v>0</v>
      </c>
      <c r="CI106" s="755"/>
      <c r="CJ106" s="1024">
        <f ca="1">SUMPRODUCT(OFFSET('3b Activity Plan'!$DJ$67:$DJ$76,0,$CU106-1),OFFSET('3b Activity Plan'!$DJ$78:$DJ$87,0,CU106-1))</f>
        <v>0</v>
      </c>
      <c r="CK106" s="1025">
        <f t="shared" ca="1" si="43"/>
        <v>0</v>
      </c>
      <c r="CL106" s="1026">
        <f t="shared" ca="1" si="44"/>
        <v>0</v>
      </c>
      <c r="CM106" s="1026">
        <f t="shared" ca="1" si="45"/>
        <v>0</v>
      </c>
      <c r="CN106" s="1026">
        <f t="shared" ca="1" si="46"/>
        <v>0</v>
      </c>
      <c r="CO106" s="1026">
        <f t="shared" ca="1" si="47"/>
        <v>0</v>
      </c>
      <c r="CP106" s="1026">
        <f t="shared" ca="1" si="48"/>
        <v>0</v>
      </c>
      <c r="CQ106" s="1026">
        <f t="shared" ca="1" si="49"/>
        <v>0</v>
      </c>
      <c r="CR106" s="417"/>
      <c r="CS106" s="417">
        <f t="shared" si="50"/>
        <v>35</v>
      </c>
      <c r="CT106" s="417">
        <f ca="1">OFFSET('2 Staff List'!$GU$64,CS106-1,0)</f>
        <v>35</v>
      </c>
      <c r="CU106" s="417">
        <f ca="1">IF(CZ106=0,0,IFERROR(INDEX('3b Activity Plan'!$DJ$20:$FH$20,MATCH(CT106,'3b Activity Plan'!$DJ$171:$FH$171,0)),0))</f>
        <v>0</v>
      </c>
      <c r="CV106" s="417">
        <f ca="1">INDEX('2 Staff List'!$HW$64:$HW$114,CT106)</f>
        <v>0</v>
      </c>
      <c r="CW106" s="417"/>
      <c r="CY106" s="927">
        <f ca="1">OFFSET('2 Staff List'!$HZ$64,CS106-1,0)</f>
        <v>0</v>
      </c>
      <c r="CZ106" s="975">
        <f ca="1">OFFSET('2 Staff List'!$IA$64,CT106-1,0)</f>
        <v>0</v>
      </c>
      <c r="DA106" s="3859">
        <f t="shared" ca="1" si="51"/>
        <v>0</v>
      </c>
      <c r="DB106" s="3860"/>
      <c r="DC106" s="2408">
        <f t="shared" ca="1" si="52"/>
        <v>0</v>
      </c>
      <c r="DD106" s="2405">
        <f t="shared" ca="1" si="53"/>
        <v>0</v>
      </c>
      <c r="DE106" s="2401">
        <f t="shared" ca="1" si="54"/>
        <v>0</v>
      </c>
      <c r="DF106" s="2405">
        <f t="shared" ca="1" si="55"/>
        <v>0</v>
      </c>
      <c r="DG106" s="2405">
        <f t="shared" ca="1" si="56"/>
        <v>0</v>
      </c>
      <c r="DH106" s="2406">
        <f t="shared" ca="1" si="57"/>
        <v>0</v>
      </c>
      <c r="DI106" s="2407">
        <f t="shared" ca="1" si="58"/>
        <v>0</v>
      </c>
    </row>
    <row r="107" spans="1:113" x14ac:dyDescent="0.25">
      <c r="A107" s="295"/>
      <c r="B107" s="295"/>
      <c r="C107" s="1036"/>
      <c r="D107" s="925"/>
      <c r="E107" s="925"/>
      <c r="F107" s="925"/>
      <c r="G107" s="925"/>
      <c r="H107" s="925"/>
      <c r="I107" s="925"/>
      <c r="J107" s="925"/>
      <c r="K107" s="925"/>
      <c r="L107" s="925"/>
      <c r="M107" s="925"/>
      <c r="N107" s="925"/>
      <c r="O107" s="925"/>
      <c r="P107" s="925"/>
      <c r="Q107" s="925"/>
      <c r="R107" s="925"/>
      <c r="S107" s="925"/>
      <c r="T107" s="925"/>
      <c r="U107" s="925"/>
      <c r="V107" s="925"/>
      <c r="W107" s="925"/>
      <c r="X107" s="925"/>
      <c r="Y107" s="925"/>
      <c r="Z107" s="925"/>
      <c r="AA107" s="925"/>
      <c r="AB107" s="925"/>
      <c r="AC107" s="925"/>
      <c r="AD107" s="925"/>
      <c r="AE107" s="925"/>
      <c r="AF107" s="925"/>
      <c r="AG107" s="925"/>
      <c r="AH107" s="925"/>
      <c r="AI107" s="925"/>
      <c r="AJ107" s="925"/>
      <c r="AK107" s="925"/>
      <c r="AL107" s="925"/>
      <c r="AM107" s="925"/>
      <c r="AN107" s="925"/>
      <c r="AO107" s="925"/>
      <c r="AP107" s="925"/>
      <c r="AQ107" s="925"/>
      <c r="AR107" s="925"/>
      <c r="AS107" s="925"/>
      <c r="AT107" s="925"/>
      <c r="AU107" s="925"/>
      <c r="AV107" s="925"/>
      <c r="AW107" s="925"/>
      <c r="AX107" s="925"/>
      <c r="AY107" s="925"/>
      <c r="AZ107" s="925"/>
      <c r="BA107" s="925"/>
      <c r="BB107" s="925"/>
      <c r="BC107" s="925"/>
      <c r="BD107" s="925"/>
      <c r="BE107" s="925"/>
      <c r="BF107" s="925"/>
      <c r="BG107" s="925"/>
      <c r="BH107" s="925"/>
      <c r="BI107" s="925"/>
      <c r="BJ107" s="925"/>
      <c r="BK107" s="925"/>
      <c r="BL107" s="925"/>
      <c r="BM107" s="925"/>
      <c r="BN107" s="925"/>
      <c r="BO107" s="925"/>
      <c r="BP107" s="925"/>
      <c r="BQ107" s="925"/>
      <c r="BR107" s="925"/>
      <c r="BS107" s="925"/>
      <c r="BT107" s="926"/>
      <c r="BU107" s="295"/>
      <c r="BV107" s="295"/>
      <c r="BW107" s="295"/>
      <c r="BX107" s="295"/>
      <c r="BY107" s="295"/>
      <c r="BZ107" s="295"/>
      <c r="CA107" s="1036"/>
      <c r="CB107" s="925"/>
      <c r="CC107" s="925"/>
      <c r="CD107" s="925"/>
      <c r="CE107" s="925"/>
      <c r="CF107" s="925"/>
      <c r="CG107" s="925"/>
      <c r="CH107" s="926"/>
      <c r="CI107" s="755"/>
      <c r="CJ107" s="1036"/>
      <c r="CK107" s="925"/>
      <c r="CL107" s="925"/>
      <c r="CM107" s="925"/>
      <c r="CN107" s="925"/>
      <c r="CO107" s="925"/>
      <c r="CP107" s="925"/>
      <c r="CQ107" s="926"/>
      <c r="CR107" s="755"/>
      <c r="CS107" s="755"/>
      <c r="CT107" s="755"/>
      <c r="CU107" s="755"/>
      <c r="CV107" s="755"/>
      <c r="CW107" s="755"/>
      <c r="CY107" s="929" t="s">
        <v>764</v>
      </c>
      <c r="CZ107" s="925"/>
      <c r="DA107" s="925"/>
      <c r="DB107" s="925"/>
      <c r="DC107" s="925"/>
      <c r="DD107" s="925"/>
      <c r="DE107" s="925"/>
      <c r="DF107" s="925"/>
      <c r="DG107" s="925"/>
      <c r="DH107" s="925"/>
      <c r="DI107" s="926"/>
    </row>
    <row r="108" spans="1:113" x14ac:dyDescent="0.25">
      <c r="A108" s="295"/>
      <c r="B108" s="295"/>
      <c r="C108" s="295"/>
      <c r="D108" s="295"/>
      <c r="E108" s="295"/>
      <c r="F108" s="295"/>
      <c r="G108" s="295"/>
      <c r="H108" s="295"/>
      <c r="I108" s="295"/>
      <c r="J108" s="295"/>
      <c r="K108" s="295"/>
      <c r="L108" s="295"/>
      <c r="M108" s="295"/>
      <c r="N108" s="295"/>
      <c r="O108" s="295"/>
      <c r="P108" s="295"/>
      <c r="Q108" s="295"/>
      <c r="R108" s="295"/>
      <c r="S108" s="295"/>
      <c r="T108" s="295"/>
      <c r="U108" s="295"/>
      <c r="V108" s="295"/>
      <c r="W108" s="295"/>
      <c r="X108" s="295"/>
      <c r="Y108" s="295"/>
      <c r="Z108" s="295"/>
      <c r="AA108" s="295"/>
      <c r="AB108" s="295"/>
      <c r="AC108" s="295"/>
      <c r="AD108" s="295"/>
      <c r="AE108" s="295"/>
      <c r="AF108" s="295"/>
      <c r="AG108" s="295"/>
      <c r="AH108" s="295"/>
      <c r="AI108" s="295"/>
      <c r="AJ108" s="295"/>
      <c r="AK108" s="295"/>
      <c r="AL108" s="295"/>
      <c r="AM108" s="295"/>
      <c r="AN108" s="295"/>
      <c r="AO108" s="295"/>
      <c r="AP108" s="295"/>
      <c r="AQ108" s="295"/>
      <c r="AR108" s="295"/>
      <c r="AS108" s="295"/>
      <c r="AT108" s="295"/>
      <c r="AU108" s="295"/>
      <c r="AV108" s="295"/>
      <c r="AW108" s="295"/>
      <c r="AX108" s="295"/>
      <c r="AY108" s="295"/>
      <c r="AZ108" s="295"/>
      <c r="BA108" s="295"/>
      <c r="BB108" s="295"/>
      <c r="BC108" s="295"/>
      <c r="BD108" s="295"/>
      <c r="BE108" s="295"/>
      <c r="BF108" s="295"/>
      <c r="BG108" s="295"/>
      <c r="BH108" s="295"/>
      <c r="BI108" s="295"/>
      <c r="BJ108" s="295"/>
      <c r="BK108" s="295"/>
      <c r="BL108" s="295"/>
      <c r="BM108" s="295"/>
      <c r="BN108" s="295"/>
      <c r="BO108" s="295"/>
      <c r="BP108" s="295"/>
      <c r="BQ108" s="295"/>
      <c r="BR108" s="295"/>
      <c r="BS108" s="295"/>
      <c r="BT108" s="295"/>
      <c r="BU108" s="295"/>
      <c r="BV108" s="295"/>
      <c r="BW108" s="295"/>
      <c r="BX108" s="295"/>
      <c r="BY108" s="295"/>
      <c r="BZ108" s="295"/>
      <c r="CA108" s="755"/>
      <c r="CB108" s="755"/>
      <c r="CC108" s="755"/>
      <c r="CD108" s="755"/>
      <c r="CE108" s="755"/>
      <c r="CF108" s="755"/>
      <c r="CG108" s="755"/>
      <c r="CH108" s="755"/>
      <c r="CI108" s="755"/>
      <c r="CJ108" s="755"/>
      <c r="CK108" s="755"/>
      <c r="CL108" s="755"/>
      <c r="CM108" s="755"/>
      <c r="CN108" s="755"/>
      <c r="CO108" s="755"/>
      <c r="CP108" s="755"/>
      <c r="CQ108" s="755"/>
      <c r="CR108" s="755"/>
      <c r="CS108" s="755"/>
      <c r="CT108" s="755"/>
      <c r="CU108" s="755"/>
      <c r="CV108" s="755"/>
      <c r="CW108" s="755"/>
    </row>
    <row r="109" spans="1:113" x14ac:dyDescent="0.25">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c r="AA109" s="755"/>
      <c r="AB109" s="755"/>
      <c r="AC109" s="755"/>
      <c r="AD109" s="755"/>
      <c r="AE109" s="755"/>
      <c r="AF109" s="755"/>
      <c r="AG109" s="755"/>
      <c r="AH109" s="755"/>
      <c r="AI109" s="755"/>
      <c r="AJ109" s="755"/>
      <c r="AK109" s="755"/>
      <c r="AL109" s="755"/>
      <c r="AM109" s="755"/>
      <c r="AN109" s="755"/>
      <c r="AO109" s="755"/>
      <c r="AP109" s="755"/>
      <c r="AQ109" s="755"/>
      <c r="AR109" s="755"/>
      <c r="AS109" s="755"/>
      <c r="AT109" s="755"/>
      <c r="AU109" s="755"/>
      <c r="AV109" s="755"/>
      <c r="AW109" s="755"/>
      <c r="AX109" s="755"/>
      <c r="AY109" s="755"/>
      <c r="AZ109" s="755"/>
      <c r="BA109" s="755"/>
      <c r="BB109" s="755"/>
      <c r="BC109" s="755"/>
      <c r="BD109" s="755"/>
      <c r="BE109" s="755"/>
      <c r="BF109" s="755"/>
      <c r="BG109" s="755"/>
      <c r="BH109" s="755"/>
      <c r="BI109" s="755"/>
      <c r="BJ109" s="755"/>
      <c r="BK109" s="755"/>
      <c r="BL109" s="755"/>
      <c r="BM109" s="755"/>
      <c r="BN109" s="755"/>
      <c r="BO109" s="755"/>
      <c r="BP109" s="755"/>
      <c r="BQ109" s="755"/>
      <c r="BR109" s="755"/>
      <c r="BS109" s="755"/>
      <c r="BT109" s="755"/>
      <c r="BU109" s="755"/>
      <c r="BV109" s="755"/>
      <c r="BW109" s="755"/>
      <c r="BX109" s="755"/>
      <c r="BY109" s="755"/>
      <c r="BZ109" s="755"/>
      <c r="CA109" s="755"/>
      <c r="CB109" s="755"/>
      <c r="CC109" s="755"/>
      <c r="CD109" s="755"/>
      <c r="CE109" s="755"/>
      <c r="CF109" s="755"/>
      <c r="CG109" s="755"/>
      <c r="CH109" s="755"/>
      <c r="CI109" s="755"/>
      <c r="CJ109" s="755"/>
      <c r="CK109" s="755"/>
      <c r="CL109" s="755"/>
      <c r="CM109" s="755"/>
      <c r="CN109" s="755"/>
      <c r="CO109" s="755"/>
      <c r="CP109" s="755"/>
      <c r="CQ109" s="755"/>
      <c r="CR109" s="755"/>
      <c r="CS109" s="755"/>
      <c r="CT109" s="755"/>
      <c r="CU109" s="755"/>
      <c r="CV109" s="755"/>
      <c r="CW109" s="755"/>
    </row>
    <row r="110" spans="1:113" x14ac:dyDescent="0.25">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c r="AA110" s="755"/>
      <c r="AB110" s="755"/>
      <c r="AC110" s="755"/>
      <c r="AD110" s="755"/>
      <c r="AE110" s="755"/>
      <c r="AF110" s="755"/>
      <c r="AG110" s="755"/>
      <c r="AH110" s="755"/>
      <c r="AI110" s="755"/>
      <c r="AJ110" s="755"/>
      <c r="AK110" s="755"/>
      <c r="AL110" s="755"/>
      <c r="AM110" s="755"/>
      <c r="AN110" s="755"/>
      <c r="AO110" s="755"/>
      <c r="AP110" s="755"/>
      <c r="AQ110" s="755"/>
      <c r="AR110" s="755"/>
      <c r="AS110" s="755"/>
      <c r="AT110" s="755"/>
      <c r="AU110" s="755"/>
      <c r="AV110" s="755"/>
      <c r="AW110" s="755"/>
      <c r="AX110" s="755"/>
      <c r="AY110" s="755"/>
      <c r="AZ110" s="755"/>
      <c r="BA110" s="755"/>
      <c r="BB110" s="755"/>
      <c r="BC110" s="755"/>
      <c r="BD110" s="755"/>
      <c r="BE110" s="755"/>
      <c r="BF110" s="755"/>
      <c r="BG110" s="755"/>
      <c r="BH110" s="755"/>
      <c r="BI110" s="755"/>
      <c r="BJ110" s="755"/>
      <c r="BK110" s="755"/>
      <c r="BL110" s="755"/>
      <c r="BM110" s="755"/>
      <c r="BN110" s="755"/>
      <c r="BO110" s="755"/>
      <c r="BP110" s="755"/>
      <c r="BQ110" s="755"/>
      <c r="BR110" s="755"/>
      <c r="BS110" s="755"/>
      <c r="BT110" s="755"/>
      <c r="BU110" s="755"/>
      <c r="BV110" s="755"/>
      <c r="BW110" s="755"/>
      <c r="BX110" s="755"/>
      <c r="BY110" s="755"/>
      <c r="BZ110" s="755"/>
      <c r="CA110" s="755"/>
      <c r="CB110" s="755"/>
      <c r="CC110" s="755"/>
      <c r="CD110" s="755"/>
      <c r="CE110" s="755"/>
      <c r="CF110" s="755"/>
      <c r="CG110" s="755"/>
      <c r="CH110" s="755"/>
      <c r="CI110" s="755"/>
      <c r="CJ110" s="755"/>
      <c r="CK110" s="755"/>
      <c r="CL110" s="755"/>
      <c r="CM110" s="755"/>
      <c r="CN110" s="755"/>
      <c r="CO110" s="755"/>
      <c r="CP110" s="755"/>
      <c r="CQ110" s="755"/>
      <c r="CR110" s="755"/>
      <c r="CS110" s="755"/>
      <c r="CT110" s="755"/>
      <c r="CU110" s="755"/>
      <c r="CV110" s="755"/>
      <c r="CW110" s="755"/>
    </row>
    <row r="111" spans="1:113" ht="21.75" customHeight="1" x14ac:dyDescent="0.3">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c r="AA111" s="755"/>
      <c r="AB111" s="755"/>
      <c r="AC111" s="755"/>
      <c r="AD111" s="755"/>
      <c r="AE111" s="755"/>
      <c r="AF111" s="755"/>
      <c r="AG111" s="755"/>
      <c r="AH111" s="755"/>
      <c r="AI111" s="755"/>
      <c r="AJ111" s="755"/>
      <c r="AK111" s="755"/>
      <c r="AL111" s="755"/>
      <c r="AM111" s="755"/>
      <c r="AN111" s="755"/>
      <c r="AO111" s="755"/>
      <c r="AP111" s="755"/>
      <c r="AQ111" s="755"/>
      <c r="AR111" s="755"/>
      <c r="AS111" s="755"/>
      <c r="AT111" s="755"/>
      <c r="AU111" s="755"/>
      <c r="AV111" s="755"/>
      <c r="AW111" s="755"/>
      <c r="AX111" s="755"/>
      <c r="AY111" s="755"/>
      <c r="AZ111" s="755"/>
      <c r="BA111" s="755"/>
      <c r="BB111" s="755"/>
      <c r="BC111" s="755"/>
      <c r="BD111" s="755"/>
      <c r="BE111" s="755"/>
      <c r="BF111" s="755"/>
      <c r="BG111" s="755"/>
      <c r="BH111" s="755"/>
      <c r="BI111" s="755"/>
      <c r="BJ111" s="755"/>
      <c r="BK111" s="755"/>
      <c r="BL111" s="755"/>
      <c r="BM111" s="755"/>
      <c r="BN111" s="755"/>
      <c r="BO111" s="755"/>
      <c r="BP111" s="755"/>
      <c r="BQ111" s="755"/>
      <c r="BR111" s="755"/>
      <c r="BS111" s="755"/>
      <c r="BT111" s="755"/>
      <c r="BU111" s="755"/>
      <c r="BV111" s="755"/>
      <c r="BW111" s="755"/>
      <c r="BX111" s="755"/>
      <c r="BY111" s="755"/>
      <c r="BZ111" s="755"/>
      <c r="CA111" s="1012" t="s">
        <v>849</v>
      </c>
      <c r="CB111" s="755"/>
      <c r="CC111" s="755"/>
      <c r="CD111" s="755"/>
      <c r="CE111" s="755"/>
      <c r="CF111" s="755"/>
      <c r="CG111" s="755"/>
      <c r="CH111" s="755"/>
      <c r="CI111" s="755"/>
      <c r="CJ111" s="1012" t="s">
        <v>850</v>
      </c>
      <c r="CK111" s="755"/>
      <c r="CL111" s="755"/>
      <c r="CM111" s="755"/>
      <c r="CN111" s="755"/>
      <c r="CO111" s="755"/>
      <c r="CP111" s="755"/>
      <c r="CQ111" s="755"/>
      <c r="CR111" s="755"/>
      <c r="CS111" s="755"/>
      <c r="CT111" s="755"/>
      <c r="CU111" s="755"/>
      <c r="CV111" s="755"/>
      <c r="CW111" s="755"/>
      <c r="CZ111" s="924" t="s">
        <v>2740</v>
      </c>
      <c r="DA111" s="924"/>
      <c r="DB111" s="924"/>
    </row>
    <row r="112" spans="1:113" ht="21.9" customHeight="1" thickBot="1" x14ac:dyDescent="0.3">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c r="AA112" s="755"/>
      <c r="AB112" s="755"/>
      <c r="AC112" s="755"/>
      <c r="AD112" s="755"/>
      <c r="AE112" s="755"/>
      <c r="AF112" s="755"/>
      <c r="AG112" s="755"/>
      <c r="AH112" s="755"/>
      <c r="AI112" s="755"/>
      <c r="AJ112" s="755"/>
      <c r="AK112" s="755"/>
      <c r="AL112" s="755"/>
      <c r="AM112" s="755"/>
      <c r="AN112" s="755"/>
      <c r="AO112" s="755"/>
      <c r="AP112" s="755"/>
      <c r="AQ112" s="755"/>
      <c r="AR112" s="755"/>
      <c r="AS112" s="755"/>
      <c r="AT112" s="755"/>
      <c r="AU112" s="755"/>
      <c r="AV112" s="755"/>
      <c r="AW112" s="755"/>
      <c r="AX112" s="755"/>
      <c r="AY112" s="755"/>
      <c r="AZ112" s="755"/>
      <c r="BA112" s="755"/>
      <c r="BB112" s="755"/>
      <c r="BC112" s="755"/>
      <c r="BD112" s="755"/>
      <c r="BE112" s="755"/>
      <c r="BF112" s="755"/>
      <c r="BG112" s="755"/>
      <c r="BH112" s="755"/>
      <c r="BI112" s="755"/>
      <c r="BJ112" s="755"/>
      <c r="BK112" s="755"/>
      <c r="BL112" s="755"/>
      <c r="BM112" s="755"/>
      <c r="BN112" s="755"/>
      <c r="BO112" s="755"/>
      <c r="BP112" s="755"/>
      <c r="BQ112" s="755"/>
      <c r="BR112" s="755"/>
      <c r="BS112" s="755"/>
      <c r="BT112" s="755"/>
      <c r="BU112" s="755"/>
      <c r="BV112" s="755"/>
      <c r="BW112" s="755"/>
      <c r="BX112" s="755"/>
      <c r="BY112" s="755"/>
      <c r="BZ112" s="755"/>
      <c r="CA112" s="1047" t="s">
        <v>847</v>
      </c>
      <c r="CB112" s="1035">
        <f>$CK$46</f>
        <v>99.99</v>
      </c>
      <c r="CC112" s="1033">
        <f>$CL$46</f>
        <v>99.99</v>
      </c>
      <c r="CD112" s="1033">
        <f>$CM$46</f>
        <v>99.99</v>
      </c>
      <c r="CE112" s="1033">
        <f>$CN$46</f>
        <v>99.99</v>
      </c>
      <c r="CF112" s="1033">
        <f>$CO$46</f>
        <v>99.99</v>
      </c>
      <c r="CG112" s="1033">
        <f>$CP$46</f>
        <v>99.99</v>
      </c>
      <c r="CH112" s="1033">
        <f>$CQ$46</f>
        <v>99.99</v>
      </c>
      <c r="CI112" s="755"/>
      <c r="CJ112" s="1047" t="s">
        <v>848</v>
      </c>
      <c r="CK112" s="1035">
        <f>$CK$46</f>
        <v>99.99</v>
      </c>
      <c r="CL112" s="1033">
        <f>$CL$46</f>
        <v>99.99</v>
      </c>
      <c r="CM112" s="1033">
        <f>$CM$46</f>
        <v>99.99</v>
      </c>
      <c r="CN112" s="1033">
        <f>$CN$46</f>
        <v>99.99</v>
      </c>
      <c r="CO112" s="1033">
        <f>$CO$46</f>
        <v>99.99</v>
      </c>
      <c r="CP112" s="1033">
        <f>$CP$46</f>
        <v>99.99</v>
      </c>
      <c r="CQ112" s="1033">
        <f>$CQ$46</f>
        <v>99.99</v>
      </c>
      <c r="CR112" s="755"/>
      <c r="CS112" s="755"/>
      <c r="CT112" s="755"/>
      <c r="CU112" s="755"/>
      <c r="CV112" s="755"/>
      <c r="CW112" s="755"/>
      <c r="CZ112" s="1095"/>
      <c r="DA112" s="3844" t="s">
        <v>130</v>
      </c>
      <c r="DB112" s="3844"/>
      <c r="DC112" s="2412">
        <f>DC$18</f>
        <v>0</v>
      </c>
      <c r="DD112" s="2412">
        <f t="shared" ref="DD112:DI112" si="59">DD$18</f>
        <v>0</v>
      </c>
      <c r="DE112" s="2412">
        <f t="shared" si="59"/>
        <v>0</v>
      </c>
      <c r="DF112" s="2412">
        <f t="shared" si="59"/>
        <v>0</v>
      </c>
      <c r="DG112" s="2412">
        <f t="shared" si="59"/>
        <v>0</v>
      </c>
      <c r="DH112" s="2412">
        <f t="shared" si="59"/>
        <v>0</v>
      </c>
      <c r="DI112" s="2412">
        <f t="shared" si="59"/>
        <v>0</v>
      </c>
    </row>
    <row r="113" spans="1:113" ht="24" customHeight="1" thickBot="1" x14ac:dyDescent="0.3">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c r="AA113" s="755"/>
      <c r="AB113" s="755"/>
      <c r="AC113" s="755"/>
      <c r="AD113" s="755"/>
      <c r="AE113" s="755"/>
      <c r="AF113" s="755"/>
      <c r="AG113" s="755"/>
      <c r="AH113" s="755"/>
      <c r="AI113" s="755"/>
      <c r="AJ113" s="755"/>
      <c r="AK113" s="755"/>
      <c r="AL113" s="755"/>
      <c r="AM113" s="755"/>
      <c r="AN113" s="755"/>
      <c r="AO113" s="755"/>
      <c r="AP113" s="755"/>
      <c r="AQ113" s="755"/>
      <c r="AR113" s="755"/>
      <c r="AS113" s="755"/>
      <c r="AT113" s="755"/>
      <c r="AU113" s="755"/>
      <c r="AV113" s="755"/>
      <c r="AW113" s="755"/>
      <c r="AX113" s="755"/>
      <c r="AY113" s="755"/>
      <c r="AZ113" s="755"/>
      <c r="BA113" s="755"/>
      <c r="BB113" s="755"/>
      <c r="BC113" s="755"/>
      <c r="BD113" s="755"/>
      <c r="BE113" s="755"/>
      <c r="BF113" s="755"/>
      <c r="BG113" s="755"/>
      <c r="BH113" s="755"/>
      <c r="BI113" s="755"/>
      <c r="BJ113" s="755"/>
      <c r="BK113" s="755"/>
      <c r="BL113" s="755"/>
      <c r="BM113" s="755"/>
      <c r="BN113" s="755"/>
      <c r="BO113" s="755"/>
      <c r="BP113" s="755"/>
      <c r="BQ113" s="755"/>
      <c r="BR113" s="755"/>
      <c r="BS113" s="755"/>
      <c r="BT113" s="755"/>
      <c r="BU113" s="755"/>
      <c r="BV113" s="755"/>
      <c r="BW113" s="755"/>
      <c r="BX113" s="755"/>
      <c r="BY113" s="755"/>
      <c r="BZ113" s="755"/>
      <c r="CA113" s="1030">
        <f>SUM(CA114:CA125)</f>
        <v>0</v>
      </c>
      <c r="CB113" s="1031">
        <f t="shared" ref="CB113:CH113" ca="1" si="60">SUM(CB114:CB125)</f>
        <v>0</v>
      </c>
      <c r="CC113" s="1032">
        <f t="shared" ca="1" si="60"/>
        <v>0</v>
      </c>
      <c r="CD113" s="1032">
        <f t="shared" ca="1" si="60"/>
        <v>0</v>
      </c>
      <c r="CE113" s="1032">
        <f t="shared" ca="1" si="60"/>
        <v>0</v>
      </c>
      <c r="CF113" s="1032">
        <f t="shared" ca="1" si="60"/>
        <v>0</v>
      </c>
      <c r="CG113" s="1032">
        <f t="shared" ca="1" si="60"/>
        <v>0</v>
      </c>
      <c r="CH113" s="1032">
        <f t="shared" ca="1" si="60"/>
        <v>0</v>
      </c>
      <c r="CI113" s="755"/>
      <c r="CJ113" s="1030">
        <f ca="1">SUM(CJ114:CJ125)</f>
        <v>13630</v>
      </c>
      <c r="CK113" s="1031">
        <f ca="1">SUM(CK114:CK125)</f>
        <v>0</v>
      </c>
      <c r="CL113" s="1032">
        <f t="shared" ref="CL113:CQ113" ca="1" si="61">SUM(CL114:CL125)</f>
        <v>0</v>
      </c>
      <c r="CM113" s="1032">
        <f t="shared" ca="1" si="61"/>
        <v>0</v>
      </c>
      <c r="CN113" s="1032">
        <f t="shared" ca="1" si="61"/>
        <v>0</v>
      </c>
      <c r="CO113" s="1032">
        <f t="shared" ca="1" si="61"/>
        <v>0</v>
      </c>
      <c r="CP113" s="1032">
        <f t="shared" ca="1" si="61"/>
        <v>0</v>
      </c>
      <c r="CQ113" s="1032">
        <f t="shared" ca="1" si="61"/>
        <v>0</v>
      </c>
      <c r="CR113" s="755"/>
      <c r="CS113" s="755"/>
      <c r="CT113" s="755"/>
      <c r="CU113" s="755"/>
      <c r="CV113" s="755"/>
      <c r="CW113" s="755"/>
      <c r="CZ113" s="2419"/>
      <c r="DA113" s="3855">
        <f t="shared" ref="DA113:DA124" ca="1" si="62">(CJ113*$DE$4)+(CA113*$DE$3)</f>
        <v>13630</v>
      </c>
      <c r="DB113" s="3856"/>
      <c r="DC113" s="2427">
        <f ca="1">(CK113*$DE$4)+(CB113*$DE$3)</f>
        <v>0</v>
      </c>
      <c r="DD113" s="2428">
        <f t="shared" ref="DD113:DI124" ca="1" si="63">(CL113*$DE$4)+(CC113*$DE$3)</f>
        <v>0</v>
      </c>
      <c r="DE113" s="2428">
        <f t="shared" ca="1" si="63"/>
        <v>0</v>
      </c>
      <c r="DF113" s="2428">
        <f t="shared" ca="1" si="63"/>
        <v>0</v>
      </c>
      <c r="DG113" s="2428">
        <f t="shared" ca="1" si="63"/>
        <v>0</v>
      </c>
      <c r="DH113" s="2429">
        <f t="shared" ca="1" si="63"/>
        <v>0</v>
      </c>
      <c r="DI113" s="2430">
        <f t="shared" ca="1" si="63"/>
        <v>0</v>
      </c>
    </row>
    <row r="114" spans="1:113" ht="15.9" customHeight="1" thickTop="1" thickBot="1" x14ac:dyDescent="0.3">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c r="AA114" s="755"/>
      <c r="AB114" s="755"/>
      <c r="AC114" s="755"/>
      <c r="AD114" s="755"/>
      <c r="AE114" s="755"/>
      <c r="AF114" s="755"/>
      <c r="AG114" s="755"/>
      <c r="AH114" s="755"/>
      <c r="AI114" s="755"/>
      <c r="AJ114" s="755"/>
      <c r="AK114" s="755"/>
      <c r="AL114" s="755"/>
      <c r="AM114" s="755"/>
      <c r="AN114" s="755"/>
      <c r="AO114" s="755"/>
      <c r="AP114" s="755"/>
      <c r="AQ114" s="755"/>
      <c r="AR114" s="755"/>
      <c r="AS114" s="755"/>
      <c r="AT114" s="755"/>
      <c r="AU114" s="755"/>
      <c r="AV114" s="755"/>
      <c r="AW114" s="755"/>
      <c r="AX114" s="755"/>
      <c r="AY114" s="755"/>
      <c r="AZ114" s="755"/>
      <c r="BA114" s="755"/>
      <c r="BB114" s="755"/>
      <c r="BC114" s="755"/>
      <c r="BD114" s="755"/>
      <c r="BE114" s="755"/>
      <c r="BF114" s="755"/>
      <c r="BG114" s="755"/>
      <c r="BH114" s="755"/>
      <c r="BI114" s="755"/>
      <c r="BJ114" s="755"/>
      <c r="BK114" s="755"/>
      <c r="BL114" s="755"/>
      <c r="BM114" s="755"/>
      <c r="BN114" s="755"/>
      <c r="BO114" s="755"/>
      <c r="BP114" s="755"/>
      <c r="BQ114" s="755"/>
      <c r="BR114" s="755"/>
      <c r="BS114" s="755"/>
      <c r="BT114" s="755"/>
      <c r="BU114" s="755"/>
      <c r="BV114" s="755"/>
      <c r="BW114" s="755"/>
      <c r="BX114" s="755"/>
      <c r="BY114" s="755"/>
      <c r="BZ114" s="308" t="s">
        <v>2770</v>
      </c>
      <c r="CA114" s="1027">
        <f>CA132</f>
        <v>0</v>
      </c>
      <c r="CB114" s="1028">
        <f t="shared" ref="CB114:CH114" ca="1" si="64">CB132</f>
        <v>0</v>
      </c>
      <c r="CC114" s="1029">
        <f t="shared" ca="1" si="64"/>
        <v>0</v>
      </c>
      <c r="CD114" s="1029">
        <f t="shared" ca="1" si="64"/>
        <v>0</v>
      </c>
      <c r="CE114" s="1029">
        <f t="shared" ca="1" si="64"/>
        <v>0</v>
      </c>
      <c r="CF114" s="1029">
        <f t="shared" ca="1" si="64"/>
        <v>0</v>
      </c>
      <c r="CG114" s="1029">
        <f t="shared" ca="1" si="64"/>
        <v>0</v>
      </c>
      <c r="CH114" s="1029">
        <f t="shared" ca="1" si="64"/>
        <v>0</v>
      </c>
      <c r="CI114" s="755"/>
      <c r="CJ114" s="1027">
        <f>CJ132</f>
        <v>0</v>
      </c>
      <c r="CK114" s="1028">
        <f t="shared" ref="CK114:CQ114" ca="1" si="65">CK132</f>
        <v>0</v>
      </c>
      <c r="CL114" s="1029">
        <f t="shared" ca="1" si="65"/>
        <v>0</v>
      </c>
      <c r="CM114" s="1029">
        <f t="shared" ca="1" si="65"/>
        <v>0</v>
      </c>
      <c r="CN114" s="1029">
        <f t="shared" ca="1" si="65"/>
        <v>0</v>
      </c>
      <c r="CO114" s="1029">
        <f t="shared" ca="1" si="65"/>
        <v>0</v>
      </c>
      <c r="CP114" s="1029">
        <f t="shared" ca="1" si="65"/>
        <v>0</v>
      </c>
      <c r="CQ114" s="1029">
        <f t="shared" ca="1" si="65"/>
        <v>0</v>
      </c>
      <c r="CR114" s="306" t="s">
        <v>2770</v>
      </c>
      <c r="CS114" s="755"/>
      <c r="CT114" s="755"/>
      <c r="CU114" s="755"/>
      <c r="CV114" s="755"/>
      <c r="CW114" s="755"/>
      <c r="CZ114" s="2418" t="s">
        <v>770</v>
      </c>
      <c r="DA114" s="3851">
        <f t="shared" si="62"/>
        <v>0</v>
      </c>
      <c r="DB114" s="3852"/>
      <c r="DC114" s="2389">
        <f t="shared" ref="DC114:DC124" ca="1" si="66">(CK114*$DE$4)+(CB114*$DE$3)</f>
        <v>0</v>
      </c>
      <c r="DD114" s="2390">
        <f t="shared" ca="1" si="63"/>
        <v>0</v>
      </c>
      <c r="DE114" s="2390">
        <f t="shared" ca="1" si="63"/>
        <v>0</v>
      </c>
      <c r="DF114" s="2390">
        <f t="shared" ca="1" si="63"/>
        <v>0</v>
      </c>
      <c r="DG114" s="2390">
        <f t="shared" ca="1" si="63"/>
        <v>0</v>
      </c>
      <c r="DH114" s="2391">
        <f t="shared" ca="1" si="63"/>
        <v>0</v>
      </c>
      <c r="DI114" s="2392">
        <f t="shared" ca="1" si="63"/>
        <v>0</v>
      </c>
    </row>
    <row r="115" spans="1:113" ht="15.9" customHeight="1" thickTop="1" x14ac:dyDescent="0.25">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c r="AA115" s="755"/>
      <c r="AB115" s="755"/>
      <c r="AC115" s="755"/>
      <c r="AD115" s="755"/>
      <c r="AE115" s="755"/>
      <c r="AF115" s="755"/>
      <c r="AG115" s="755"/>
      <c r="AH115" s="755"/>
      <c r="AI115" s="755"/>
      <c r="AJ115" s="755"/>
      <c r="AK115" s="755"/>
      <c r="AL115" s="755"/>
      <c r="AM115" s="755"/>
      <c r="AN115" s="755"/>
      <c r="AO115" s="755"/>
      <c r="AP115" s="755"/>
      <c r="AQ115" s="755"/>
      <c r="AR115" s="755"/>
      <c r="AS115" s="755"/>
      <c r="AT115" s="755"/>
      <c r="AU115" s="755"/>
      <c r="AV115" s="755"/>
      <c r="AW115" s="755"/>
      <c r="AX115" s="755"/>
      <c r="AY115" s="755"/>
      <c r="AZ115" s="755"/>
      <c r="BA115" s="755"/>
      <c r="BB115" s="755"/>
      <c r="BC115" s="755"/>
      <c r="BD115" s="755"/>
      <c r="BE115" s="755"/>
      <c r="BF115" s="755"/>
      <c r="BG115" s="755"/>
      <c r="BH115" s="755"/>
      <c r="BI115" s="755"/>
      <c r="BJ115" s="755"/>
      <c r="BK115" s="755"/>
      <c r="BL115" s="755"/>
      <c r="BM115" s="755"/>
      <c r="BN115" s="755"/>
      <c r="BO115" s="755"/>
      <c r="BP115" s="755"/>
      <c r="BQ115" s="755"/>
      <c r="BR115" s="755"/>
      <c r="BS115" s="755"/>
      <c r="BT115" s="755"/>
      <c r="BU115" s="755"/>
      <c r="BV115" s="755"/>
      <c r="BW115" s="755"/>
      <c r="BX115" s="755"/>
      <c r="BY115" s="755"/>
      <c r="BZ115" s="755"/>
      <c r="CA115" s="1024">
        <f>IF(CZ115=0,0,SUMIFS(CA$133:CA$168,$CV$133:$CV$168,$CZ115))</f>
        <v>0</v>
      </c>
      <c r="CB115" s="1025">
        <f t="shared" ref="CB115:CH124" ca="1" si="67">SUMIFS(CB$133:CB$168,$CV$133:$CV$168,$CZ115)</f>
        <v>0</v>
      </c>
      <c r="CC115" s="1026">
        <f t="shared" ca="1" si="67"/>
        <v>0</v>
      </c>
      <c r="CD115" s="1026">
        <f t="shared" ca="1" si="67"/>
        <v>0</v>
      </c>
      <c r="CE115" s="1026">
        <f t="shared" ca="1" si="67"/>
        <v>0</v>
      </c>
      <c r="CF115" s="1026">
        <f t="shared" ca="1" si="67"/>
        <v>0</v>
      </c>
      <c r="CG115" s="1026">
        <f t="shared" ca="1" si="67"/>
        <v>0</v>
      </c>
      <c r="CH115" s="1026">
        <f t="shared" ca="1" si="67"/>
        <v>0</v>
      </c>
      <c r="CI115" s="755"/>
      <c r="CJ115" s="1024">
        <f ca="1">SUMIFS(CJ$133:CJ$168,$CV$133:$CV$168,$CZ115)</f>
        <v>1363</v>
      </c>
      <c r="CK115" s="1025">
        <f t="shared" ref="CK115:CQ115" ca="1" si="68">SUMIFS(CK$133:CK$168,$CV$133:$CV$168,$CZ115)</f>
        <v>0</v>
      </c>
      <c r="CL115" s="1026">
        <f t="shared" ca="1" si="68"/>
        <v>0</v>
      </c>
      <c r="CM115" s="1026">
        <f t="shared" ca="1" si="68"/>
        <v>0</v>
      </c>
      <c r="CN115" s="1026">
        <f t="shared" ca="1" si="68"/>
        <v>0</v>
      </c>
      <c r="CO115" s="1026">
        <f t="shared" ca="1" si="68"/>
        <v>0</v>
      </c>
      <c r="CP115" s="1026">
        <f t="shared" ca="1" si="68"/>
        <v>0</v>
      </c>
      <c r="CQ115" s="1026">
        <f t="shared" ca="1" si="68"/>
        <v>0</v>
      </c>
      <c r="CR115" s="755"/>
      <c r="CS115" s="755"/>
      <c r="CT115" s="755"/>
      <c r="CU115" s="755"/>
      <c r="CV115" s="755"/>
      <c r="CW115" s="755"/>
      <c r="CZ115" s="3282">
        <f t="shared" ref="CZ115:CZ124" si="69">CZ31</f>
        <v>0</v>
      </c>
      <c r="DA115" s="3857">
        <f t="shared" ca="1" si="62"/>
        <v>1363</v>
      </c>
      <c r="DB115" s="3858"/>
      <c r="DC115" s="2393">
        <f t="shared" ca="1" si="66"/>
        <v>0</v>
      </c>
      <c r="DD115" s="2394">
        <f t="shared" ca="1" si="63"/>
        <v>0</v>
      </c>
      <c r="DE115" s="2431">
        <f t="shared" ca="1" si="63"/>
        <v>0</v>
      </c>
      <c r="DF115" s="2431">
        <f t="shared" ca="1" si="63"/>
        <v>0</v>
      </c>
      <c r="DG115" s="2431">
        <f t="shared" ca="1" si="63"/>
        <v>0</v>
      </c>
      <c r="DH115" s="2432">
        <f t="shared" ca="1" si="63"/>
        <v>0</v>
      </c>
      <c r="DI115" s="2433">
        <f t="shared" ca="1" si="63"/>
        <v>0</v>
      </c>
    </row>
    <row r="116" spans="1:113" ht="15.9" customHeight="1" x14ac:dyDescent="0.25">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c r="AA116" s="755"/>
      <c r="AB116" s="755"/>
      <c r="AC116" s="755"/>
      <c r="AD116" s="755"/>
      <c r="AE116" s="755"/>
      <c r="AF116" s="755"/>
      <c r="AG116" s="755"/>
      <c r="AH116" s="755"/>
      <c r="AI116" s="755"/>
      <c r="AJ116" s="755"/>
      <c r="AK116" s="755"/>
      <c r="AL116" s="755"/>
      <c r="AM116" s="755"/>
      <c r="AN116" s="755"/>
      <c r="AO116" s="755"/>
      <c r="AP116" s="755"/>
      <c r="AQ116" s="755"/>
      <c r="AR116" s="755"/>
      <c r="AS116" s="755"/>
      <c r="AT116" s="755"/>
      <c r="AU116" s="755"/>
      <c r="AV116" s="755"/>
      <c r="AW116" s="755"/>
      <c r="AX116" s="755"/>
      <c r="AY116" s="755"/>
      <c r="AZ116" s="755"/>
      <c r="BA116" s="755"/>
      <c r="BB116" s="755"/>
      <c r="BC116" s="755"/>
      <c r="BD116" s="755"/>
      <c r="BE116" s="755"/>
      <c r="BF116" s="755"/>
      <c r="BG116" s="755"/>
      <c r="BH116" s="755"/>
      <c r="BI116" s="755"/>
      <c r="BJ116" s="755"/>
      <c r="BK116" s="755"/>
      <c r="BL116" s="755"/>
      <c r="BM116" s="755"/>
      <c r="BN116" s="755"/>
      <c r="BO116" s="755"/>
      <c r="BP116" s="755"/>
      <c r="BQ116" s="755"/>
      <c r="BR116" s="755"/>
      <c r="BS116" s="755"/>
      <c r="BT116" s="755"/>
      <c r="BU116" s="755"/>
      <c r="BV116" s="755"/>
      <c r="BW116" s="755"/>
      <c r="BX116" s="755"/>
      <c r="BY116" s="755"/>
      <c r="BZ116" s="755"/>
      <c r="CA116" s="1020">
        <f t="shared" ref="CA116:CA124" si="70">IF(CZ116=0,0,SUMIFS(CA$133:CA$168,$CV$133:$CV$168,$CZ116))</f>
        <v>0</v>
      </c>
      <c r="CB116" s="1023">
        <f t="shared" ca="1" si="67"/>
        <v>0</v>
      </c>
      <c r="CC116" s="1021">
        <f t="shared" ca="1" si="67"/>
        <v>0</v>
      </c>
      <c r="CD116" s="1021">
        <f t="shared" ca="1" si="67"/>
        <v>0</v>
      </c>
      <c r="CE116" s="1021">
        <f t="shared" ca="1" si="67"/>
        <v>0</v>
      </c>
      <c r="CF116" s="1021">
        <f t="shared" ca="1" si="67"/>
        <v>0</v>
      </c>
      <c r="CG116" s="1021">
        <f t="shared" ca="1" si="67"/>
        <v>0</v>
      </c>
      <c r="CH116" s="1021">
        <f t="shared" ca="1" si="67"/>
        <v>0</v>
      </c>
      <c r="CI116" s="755"/>
      <c r="CJ116" s="1020">
        <f t="shared" ref="CJ116:CQ124" ca="1" si="71">SUMIFS(CJ$133:CJ$168,$CV$133:$CV$168,$CZ116)</f>
        <v>1363</v>
      </c>
      <c r="CK116" s="1023">
        <f t="shared" ca="1" si="71"/>
        <v>0</v>
      </c>
      <c r="CL116" s="1021">
        <f t="shared" ca="1" si="71"/>
        <v>0</v>
      </c>
      <c r="CM116" s="1021">
        <f t="shared" ca="1" si="71"/>
        <v>0</v>
      </c>
      <c r="CN116" s="1021">
        <f t="shared" ca="1" si="71"/>
        <v>0</v>
      </c>
      <c r="CO116" s="1021">
        <f t="shared" ca="1" si="71"/>
        <v>0</v>
      </c>
      <c r="CP116" s="1021">
        <f t="shared" ca="1" si="71"/>
        <v>0</v>
      </c>
      <c r="CQ116" s="1021">
        <f t="shared" ca="1" si="71"/>
        <v>0</v>
      </c>
      <c r="CR116" s="755"/>
      <c r="CS116" s="755"/>
      <c r="CT116" s="755"/>
      <c r="CU116" s="755"/>
      <c r="CV116" s="755"/>
      <c r="CW116" s="755"/>
      <c r="CZ116" s="977">
        <f t="shared" si="69"/>
        <v>0</v>
      </c>
      <c r="DA116" s="3849">
        <f t="shared" ca="1" si="62"/>
        <v>1363</v>
      </c>
      <c r="DB116" s="3850"/>
      <c r="DC116" s="2408">
        <f t="shared" ca="1" si="66"/>
        <v>0</v>
      </c>
      <c r="DD116" s="2405">
        <f t="shared" ca="1" si="63"/>
        <v>0</v>
      </c>
      <c r="DE116" s="2405">
        <f t="shared" ca="1" si="63"/>
        <v>0</v>
      </c>
      <c r="DF116" s="2405">
        <f t="shared" ca="1" si="63"/>
        <v>0</v>
      </c>
      <c r="DG116" s="2405">
        <f t="shared" ca="1" si="63"/>
        <v>0</v>
      </c>
      <c r="DH116" s="2406">
        <f t="shared" ca="1" si="63"/>
        <v>0</v>
      </c>
      <c r="DI116" s="2407">
        <f t="shared" ca="1" si="63"/>
        <v>0</v>
      </c>
    </row>
    <row r="117" spans="1:113" ht="15.9" customHeight="1" x14ac:dyDescent="0.25">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c r="AA117" s="755"/>
      <c r="AB117" s="755"/>
      <c r="AC117" s="755"/>
      <c r="AD117" s="755"/>
      <c r="AE117" s="755"/>
      <c r="AF117" s="755"/>
      <c r="AG117" s="755"/>
      <c r="AH117" s="755"/>
      <c r="AI117" s="755"/>
      <c r="AJ117" s="755"/>
      <c r="AK117" s="755"/>
      <c r="AL117" s="755"/>
      <c r="AM117" s="755"/>
      <c r="AN117" s="755"/>
      <c r="AO117" s="755"/>
      <c r="AP117" s="755"/>
      <c r="AQ117" s="755"/>
      <c r="AR117" s="755"/>
      <c r="AS117" s="755"/>
      <c r="AT117" s="755"/>
      <c r="AU117" s="755"/>
      <c r="AV117" s="755"/>
      <c r="AW117" s="755"/>
      <c r="AX117" s="755"/>
      <c r="AY117" s="755"/>
      <c r="AZ117" s="755"/>
      <c r="BA117" s="755"/>
      <c r="BB117" s="755"/>
      <c r="BC117" s="755"/>
      <c r="BD117" s="755"/>
      <c r="BE117" s="755"/>
      <c r="BF117" s="755"/>
      <c r="BG117" s="755"/>
      <c r="BH117" s="755"/>
      <c r="BI117" s="755"/>
      <c r="BJ117" s="755"/>
      <c r="BK117" s="755"/>
      <c r="BL117" s="755"/>
      <c r="BM117" s="755"/>
      <c r="BN117" s="755"/>
      <c r="BO117" s="755"/>
      <c r="BP117" s="755"/>
      <c r="BQ117" s="755"/>
      <c r="BR117" s="755"/>
      <c r="BS117" s="755"/>
      <c r="BT117" s="755"/>
      <c r="BU117" s="755"/>
      <c r="BV117" s="755"/>
      <c r="BW117" s="755"/>
      <c r="BX117" s="755"/>
      <c r="BY117" s="755"/>
      <c r="BZ117" s="755"/>
      <c r="CA117" s="1020">
        <f t="shared" si="70"/>
        <v>0</v>
      </c>
      <c r="CB117" s="1023">
        <f t="shared" ca="1" si="67"/>
        <v>0</v>
      </c>
      <c r="CC117" s="1021">
        <f t="shared" ca="1" si="67"/>
        <v>0</v>
      </c>
      <c r="CD117" s="1021">
        <f t="shared" ca="1" si="67"/>
        <v>0</v>
      </c>
      <c r="CE117" s="1021">
        <f t="shared" ca="1" si="67"/>
        <v>0</v>
      </c>
      <c r="CF117" s="1021">
        <f t="shared" ca="1" si="67"/>
        <v>0</v>
      </c>
      <c r="CG117" s="1021">
        <f t="shared" ca="1" si="67"/>
        <v>0</v>
      </c>
      <c r="CH117" s="1021">
        <f t="shared" ca="1" si="67"/>
        <v>0</v>
      </c>
      <c r="CI117" s="755"/>
      <c r="CJ117" s="1020">
        <f t="shared" ca="1" si="71"/>
        <v>1363</v>
      </c>
      <c r="CK117" s="1023">
        <f t="shared" ca="1" si="71"/>
        <v>0</v>
      </c>
      <c r="CL117" s="1021">
        <f t="shared" ca="1" si="71"/>
        <v>0</v>
      </c>
      <c r="CM117" s="1021">
        <f t="shared" ca="1" si="71"/>
        <v>0</v>
      </c>
      <c r="CN117" s="1021">
        <f t="shared" ca="1" si="71"/>
        <v>0</v>
      </c>
      <c r="CO117" s="1021">
        <f t="shared" ca="1" si="71"/>
        <v>0</v>
      </c>
      <c r="CP117" s="1021">
        <f t="shared" ca="1" si="71"/>
        <v>0</v>
      </c>
      <c r="CQ117" s="1021">
        <f t="shared" ca="1" si="71"/>
        <v>0</v>
      </c>
      <c r="CR117" s="755"/>
      <c r="CS117" s="755"/>
      <c r="CT117" s="755"/>
      <c r="CU117" s="755"/>
      <c r="CV117" s="755"/>
      <c r="CW117" s="755"/>
      <c r="CZ117" s="977">
        <f t="shared" si="69"/>
        <v>0</v>
      </c>
      <c r="DA117" s="3840">
        <f t="shared" ca="1" si="62"/>
        <v>1363</v>
      </c>
      <c r="DB117" s="3841"/>
      <c r="DC117" s="2408">
        <f t="shared" ca="1" si="66"/>
        <v>0</v>
      </c>
      <c r="DD117" s="2405">
        <f t="shared" ca="1" si="63"/>
        <v>0</v>
      </c>
      <c r="DE117" s="2405">
        <f t="shared" ca="1" si="63"/>
        <v>0</v>
      </c>
      <c r="DF117" s="2405">
        <f t="shared" ca="1" si="63"/>
        <v>0</v>
      </c>
      <c r="DG117" s="2405">
        <f t="shared" ca="1" si="63"/>
        <v>0</v>
      </c>
      <c r="DH117" s="2406">
        <f t="shared" ca="1" si="63"/>
        <v>0</v>
      </c>
      <c r="DI117" s="2407">
        <f t="shared" ca="1" si="63"/>
        <v>0</v>
      </c>
    </row>
    <row r="118" spans="1:113" ht="15.9" customHeight="1" x14ac:dyDescent="0.25">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c r="AA118" s="755"/>
      <c r="AB118" s="755"/>
      <c r="AC118" s="755"/>
      <c r="AD118" s="755"/>
      <c r="AE118" s="755"/>
      <c r="AF118" s="755"/>
      <c r="AG118" s="755"/>
      <c r="AH118" s="755"/>
      <c r="AI118" s="755"/>
      <c r="AJ118" s="755"/>
      <c r="AK118" s="755"/>
      <c r="AL118" s="755"/>
      <c r="AM118" s="755"/>
      <c r="AN118" s="755"/>
      <c r="AO118" s="755"/>
      <c r="AP118" s="755"/>
      <c r="AQ118" s="755"/>
      <c r="AR118" s="755"/>
      <c r="AS118" s="755"/>
      <c r="AT118" s="755"/>
      <c r="AU118" s="755"/>
      <c r="AV118" s="755"/>
      <c r="AW118" s="755"/>
      <c r="AX118" s="755"/>
      <c r="AY118" s="755"/>
      <c r="AZ118" s="755"/>
      <c r="BA118" s="755"/>
      <c r="BB118" s="755"/>
      <c r="BC118" s="755"/>
      <c r="BD118" s="755"/>
      <c r="BE118" s="755"/>
      <c r="BF118" s="755"/>
      <c r="BG118" s="755"/>
      <c r="BH118" s="755"/>
      <c r="BI118" s="755"/>
      <c r="BJ118" s="755"/>
      <c r="BK118" s="755"/>
      <c r="BL118" s="755"/>
      <c r="BM118" s="755"/>
      <c r="BN118" s="755"/>
      <c r="BO118" s="755"/>
      <c r="BP118" s="755"/>
      <c r="BQ118" s="755"/>
      <c r="BR118" s="755"/>
      <c r="BS118" s="755"/>
      <c r="BT118" s="755"/>
      <c r="BU118" s="755"/>
      <c r="BV118" s="755"/>
      <c r="BW118" s="755"/>
      <c r="BX118" s="755"/>
      <c r="BY118" s="755"/>
      <c r="BZ118" s="755"/>
      <c r="CA118" s="1020">
        <f t="shared" si="70"/>
        <v>0</v>
      </c>
      <c r="CB118" s="1023">
        <f t="shared" ca="1" si="67"/>
        <v>0</v>
      </c>
      <c r="CC118" s="1021">
        <f t="shared" ca="1" si="67"/>
        <v>0</v>
      </c>
      <c r="CD118" s="1021">
        <f t="shared" ca="1" si="67"/>
        <v>0</v>
      </c>
      <c r="CE118" s="1021">
        <f t="shared" ca="1" si="67"/>
        <v>0</v>
      </c>
      <c r="CF118" s="1021">
        <f t="shared" ca="1" si="67"/>
        <v>0</v>
      </c>
      <c r="CG118" s="1021">
        <f t="shared" ca="1" si="67"/>
        <v>0</v>
      </c>
      <c r="CH118" s="1021">
        <f t="shared" ca="1" si="67"/>
        <v>0</v>
      </c>
      <c r="CI118" s="755"/>
      <c r="CJ118" s="1020">
        <f t="shared" ca="1" si="71"/>
        <v>1363</v>
      </c>
      <c r="CK118" s="1023">
        <f t="shared" ca="1" si="71"/>
        <v>0</v>
      </c>
      <c r="CL118" s="1021">
        <f t="shared" ca="1" si="71"/>
        <v>0</v>
      </c>
      <c r="CM118" s="1021">
        <f t="shared" ca="1" si="71"/>
        <v>0</v>
      </c>
      <c r="CN118" s="1021">
        <f t="shared" ca="1" si="71"/>
        <v>0</v>
      </c>
      <c r="CO118" s="1021">
        <f t="shared" ca="1" si="71"/>
        <v>0</v>
      </c>
      <c r="CP118" s="1021">
        <f t="shared" ca="1" si="71"/>
        <v>0</v>
      </c>
      <c r="CQ118" s="1021">
        <f t="shared" ca="1" si="71"/>
        <v>0</v>
      </c>
      <c r="CR118" s="755"/>
      <c r="CS118" s="755"/>
      <c r="CT118" s="755"/>
      <c r="CU118" s="755"/>
      <c r="CV118" s="755"/>
      <c r="CW118" s="755"/>
      <c r="CY118" s="934"/>
      <c r="CZ118" s="977">
        <f t="shared" si="69"/>
        <v>0</v>
      </c>
      <c r="DA118" s="3840">
        <f t="shared" ca="1" si="62"/>
        <v>1363</v>
      </c>
      <c r="DB118" s="3841"/>
      <c r="DC118" s="2408">
        <f t="shared" ca="1" si="66"/>
        <v>0</v>
      </c>
      <c r="DD118" s="2405">
        <f t="shared" ca="1" si="63"/>
        <v>0</v>
      </c>
      <c r="DE118" s="2405">
        <f t="shared" ca="1" si="63"/>
        <v>0</v>
      </c>
      <c r="DF118" s="2405">
        <f t="shared" ca="1" si="63"/>
        <v>0</v>
      </c>
      <c r="DG118" s="2405">
        <f t="shared" ca="1" si="63"/>
        <v>0</v>
      </c>
      <c r="DH118" s="2406">
        <f t="shared" ca="1" si="63"/>
        <v>0</v>
      </c>
      <c r="DI118" s="2407">
        <f t="shared" ca="1" si="63"/>
        <v>0</v>
      </c>
    </row>
    <row r="119" spans="1:113" ht="15.9" customHeight="1" x14ac:dyDescent="0.25">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c r="AA119" s="755"/>
      <c r="AB119" s="755"/>
      <c r="AC119" s="755"/>
      <c r="AD119" s="755"/>
      <c r="AE119" s="755"/>
      <c r="AF119" s="755"/>
      <c r="AG119" s="755"/>
      <c r="AH119" s="755"/>
      <c r="AI119" s="755"/>
      <c r="AJ119" s="755"/>
      <c r="AK119" s="755"/>
      <c r="AL119" s="755"/>
      <c r="AM119" s="755"/>
      <c r="AN119" s="755"/>
      <c r="AO119" s="755"/>
      <c r="AP119" s="755"/>
      <c r="AQ119" s="755"/>
      <c r="AR119" s="755"/>
      <c r="AS119" s="755"/>
      <c r="AT119" s="755"/>
      <c r="AU119" s="755"/>
      <c r="AV119" s="755"/>
      <c r="AW119" s="755"/>
      <c r="AX119" s="755"/>
      <c r="AY119" s="755"/>
      <c r="AZ119" s="755"/>
      <c r="BA119" s="755"/>
      <c r="BB119" s="755"/>
      <c r="BC119" s="755"/>
      <c r="BD119" s="755"/>
      <c r="BE119" s="755"/>
      <c r="BF119" s="755"/>
      <c r="BG119" s="755"/>
      <c r="BH119" s="755"/>
      <c r="BI119" s="755"/>
      <c r="BJ119" s="755"/>
      <c r="BK119" s="755"/>
      <c r="BL119" s="755"/>
      <c r="BM119" s="755"/>
      <c r="BN119" s="755"/>
      <c r="BO119" s="755"/>
      <c r="BP119" s="755"/>
      <c r="BQ119" s="755"/>
      <c r="BR119" s="755"/>
      <c r="BS119" s="755"/>
      <c r="BT119" s="755"/>
      <c r="BU119" s="755"/>
      <c r="BV119" s="755"/>
      <c r="BW119" s="755"/>
      <c r="BX119" s="755"/>
      <c r="BY119" s="755"/>
      <c r="BZ119" s="755"/>
      <c r="CA119" s="1020">
        <f t="shared" si="70"/>
        <v>0</v>
      </c>
      <c r="CB119" s="1023">
        <f t="shared" ca="1" si="67"/>
        <v>0</v>
      </c>
      <c r="CC119" s="1021">
        <f t="shared" ca="1" si="67"/>
        <v>0</v>
      </c>
      <c r="CD119" s="1021">
        <f t="shared" ca="1" si="67"/>
        <v>0</v>
      </c>
      <c r="CE119" s="1021">
        <f t="shared" ca="1" si="67"/>
        <v>0</v>
      </c>
      <c r="CF119" s="1021">
        <f t="shared" ca="1" si="67"/>
        <v>0</v>
      </c>
      <c r="CG119" s="1021">
        <f t="shared" ca="1" si="67"/>
        <v>0</v>
      </c>
      <c r="CH119" s="1021">
        <f t="shared" ca="1" si="67"/>
        <v>0</v>
      </c>
      <c r="CI119" s="755"/>
      <c r="CJ119" s="1020">
        <f t="shared" ca="1" si="71"/>
        <v>1363</v>
      </c>
      <c r="CK119" s="1023">
        <f t="shared" ca="1" si="71"/>
        <v>0</v>
      </c>
      <c r="CL119" s="1021">
        <f t="shared" ca="1" si="71"/>
        <v>0</v>
      </c>
      <c r="CM119" s="1021">
        <f t="shared" ca="1" si="71"/>
        <v>0</v>
      </c>
      <c r="CN119" s="1021">
        <f t="shared" ca="1" si="71"/>
        <v>0</v>
      </c>
      <c r="CO119" s="1021">
        <f t="shared" ca="1" si="71"/>
        <v>0</v>
      </c>
      <c r="CP119" s="1021">
        <f t="shared" ca="1" si="71"/>
        <v>0</v>
      </c>
      <c r="CQ119" s="1021">
        <f t="shared" ca="1" si="71"/>
        <v>0</v>
      </c>
      <c r="CR119" s="755"/>
      <c r="CS119" s="755"/>
      <c r="CT119" s="755"/>
      <c r="CU119" s="755"/>
      <c r="CV119" s="755"/>
      <c r="CW119" s="755"/>
      <c r="CY119" s="934"/>
      <c r="CZ119" s="977">
        <f t="shared" si="69"/>
        <v>0</v>
      </c>
      <c r="DA119" s="3840">
        <f t="shared" ca="1" si="62"/>
        <v>1363</v>
      </c>
      <c r="DB119" s="3841"/>
      <c r="DC119" s="2408">
        <f t="shared" ca="1" si="66"/>
        <v>0</v>
      </c>
      <c r="DD119" s="2405">
        <f t="shared" ca="1" si="63"/>
        <v>0</v>
      </c>
      <c r="DE119" s="2405">
        <f t="shared" ca="1" si="63"/>
        <v>0</v>
      </c>
      <c r="DF119" s="2405">
        <f t="shared" ca="1" si="63"/>
        <v>0</v>
      </c>
      <c r="DG119" s="2405">
        <f t="shared" ca="1" si="63"/>
        <v>0</v>
      </c>
      <c r="DH119" s="2406">
        <f t="shared" ca="1" si="63"/>
        <v>0</v>
      </c>
      <c r="DI119" s="2407">
        <f t="shared" ca="1" si="63"/>
        <v>0</v>
      </c>
    </row>
    <row r="120" spans="1:113" ht="15.9" customHeight="1" x14ac:dyDescent="0.25">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c r="AA120" s="755"/>
      <c r="AB120" s="755"/>
      <c r="AC120" s="755"/>
      <c r="AD120" s="755"/>
      <c r="AE120" s="755"/>
      <c r="AF120" s="755"/>
      <c r="AG120" s="755"/>
      <c r="AH120" s="755"/>
      <c r="AI120" s="755"/>
      <c r="AJ120" s="755"/>
      <c r="AK120" s="755"/>
      <c r="AL120" s="755"/>
      <c r="AM120" s="755"/>
      <c r="AN120" s="755"/>
      <c r="AO120" s="755"/>
      <c r="AP120" s="755"/>
      <c r="AQ120" s="755"/>
      <c r="AR120" s="755"/>
      <c r="AS120" s="755"/>
      <c r="AT120" s="755"/>
      <c r="AU120" s="755"/>
      <c r="AV120" s="755"/>
      <c r="AW120" s="755"/>
      <c r="AX120" s="755"/>
      <c r="AY120" s="755"/>
      <c r="AZ120" s="755"/>
      <c r="BA120" s="755"/>
      <c r="BB120" s="755"/>
      <c r="BC120" s="755"/>
      <c r="BD120" s="755"/>
      <c r="BE120" s="755"/>
      <c r="BF120" s="755"/>
      <c r="BG120" s="755"/>
      <c r="BH120" s="755"/>
      <c r="BI120" s="755"/>
      <c r="BJ120" s="755"/>
      <c r="BK120" s="755"/>
      <c r="BL120" s="755"/>
      <c r="BM120" s="755"/>
      <c r="BN120" s="755"/>
      <c r="BO120" s="755"/>
      <c r="BP120" s="755"/>
      <c r="BQ120" s="755"/>
      <c r="BR120" s="755"/>
      <c r="BS120" s="755"/>
      <c r="BT120" s="755"/>
      <c r="BU120" s="755"/>
      <c r="BV120" s="755"/>
      <c r="BW120" s="755"/>
      <c r="BX120" s="755"/>
      <c r="BY120" s="755"/>
      <c r="BZ120" s="755"/>
      <c r="CA120" s="1020">
        <f t="shared" si="70"/>
        <v>0</v>
      </c>
      <c r="CB120" s="1023">
        <f t="shared" ca="1" si="67"/>
        <v>0</v>
      </c>
      <c r="CC120" s="1021">
        <f t="shared" ca="1" si="67"/>
        <v>0</v>
      </c>
      <c r="CD120" s="1021">
        <f t="shared" ca="1" si="67"/>
        <v>0</v>
      </c>
      <c r="CE120" s="1021">
        <f t="shared" ca="1" si="67"/>
        <v>0</v>
      </c>
      <c r="CF120" s="1021">
        <f t="shared" ca="1" si="67"/>
        <v>0</v>
      </c>
      <c r="CG120" s="1021">
        <f t="shared" ca="1" si="67"/>
        <v>0</v>
      </c>
      <c r="CH120" s="1021">
        <f t="shared" ca="1" si="67"/>
        <v>0</v>
      </c>
      <c r="CI120" s="755"/>
      <c r="CJ120" s="1020">
        <f t="shared" ca="1" si="71"/>
        <v>1363</v>
      </c>
      <c r="CK120" s="1023">
        <f t="shared" ca="1" si="71"/>
        <v>0</v>
      </c>
      <c r="CL120" s="1021">
        <f t="shared" ca="1" si="71"/>
        <v>0</v>
      </c>
      <c r="CM120" s="1021">
        <f t="shared" ca="1" si="71"/>
        <v>0</v>
      </c>
      <c r="CN120" s="1021">
        <f t="shared" ca="1" si="71"/>
        <v>0</v>
      </c>
      <c r="CO120" s="1021">
        <f t="shared" ca="1" si="71"/>
        <v>0</v>
      </c>
      <c r="CP120" s="1021">
        <f t="shared" ca="1" si="71"/>
        <v>0</v>
      </c>
      <c r="CQ120" s="1021">
        <f t="shared" ca="1" si="71"/>
        <v>0</v>
      </c>
      <c r="CR120" s="755"/>
      <c r="CS120" s="755"/>
      <c r="CT120" s="755"/>
      <c r="CU120" s="755"/>
      <c r="CV120" s="755"/>
      <c r="CW120" s="755"/>
      <c r="CY120" s="934"/>
      <c r="CZ120" s="977">
        <f t="shared" si="69"/>
        <v>0</v>
      </c>
      <c r="DA120" s="3840">
        <f t="shared" ca="1" si="62"/>
        <v>1363</v>
      </c>
      <c r="DB120" s="3841"/>
      <c r="DC120" s="2408">
        <f t="shared" ca="1" si="66"/>
        <v>0</v>
      </c>
      <c r="DD120" s="2405">
        <f t="shared" ca="1" si="63"/>
        <v>0</v>
      </c>
      <c r="DE120" s="2405">
        <f t="shared" ca="1" si="63"/>
        <v>0</v>
      </c>
      <c r="DF120" s="2405">
        <f t="shared" ca="1" si="63"/>
        <v>0</v>
      </c>
      <c r="DG120" s="2405">
        <f t="shared" ca="1" si="63"/>
        <v>0</v>
      </c>
      <c r="DH120" s="2406">
        <f t="shared" ca="1" si="63"/>
        <v>0</v>
      </c>
      <c r="DI120" s="2407">
        <f t="shared" ca="1" si="63"/>
        <v>0</v>
      </c>
    </row>
    <row r="121" spans="1:113" ht="15.9" customHeight="1" x14ac:dyDescent="0.25">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c r="AA121" s="755"/>
      <c r="AB121" s="755"/>
      <c r="AC121" s="755"/>
      <c r="AD121" s="755"/>
      <c r="AE121" s="755"/>
      <c r="AF121" s="755"/>
      <c r="AG121" s="755"/>
      <c r="AH121" s="755"/>
      <c r="AI121" s="755"/>
      <c r="AJ121" s="755"/>
      <c r="AK121" s="755"/>
      <c r="AL121" s="755"/>
      <c r="AM121" s="755"/>
      <c r="AN121" s="755"/>
      <c r="AO121" s="755"/>
      <c r="AP121" s="755"/>
      <c r="AQ121" s="755"/>
      <c r="AR121" s="755"/>
      <c r="AS121" s="755"/>
      <c r="AT121" s="755"/>
      <c r="AU121" s="755"/>
      <c r="AV121" s="755"/>
      <c r="AW121" s="755"/>
      <c r="AX121" s="755"/>
      <c r="AY121" s="755"/>
      <c r="AZ121" s="755"/>
      <c r="BA121" s="755"/>
      <c r="BB121" s="755"/>
      <c r="BC121" s="755"/>
      <c r="BD121" s="755"/>
      <c r="BE121" s="755"/>
      <c r="BF121" s="755"/>
      <c r="BG121" s="755"/>
      <c r="BH121" s="755"/>
      <c r="BI121" s="755"/>
      <c r="BJ121" s="755"/>
      <c r="BK121" s="755"/>
      <c r="BL121" s="755"/>
      <c r="BM121" s="755"/>
      <c r="BN121" s="755"/>
      <c r="BO121" s="755"/>
      <c r="BP121" s="755"/>
      <c r="BQ121" s="755"/>
      <c r="BR121" s="755"/>
      <c r="BS121" s="755"/>
      <c r="BT121" s="755"/>
      <c r="BU121" s="755"/>
      <c r="BV121" s="755"/>
      <c r="BW121" s="755"/>
      <c r="BX121" s="755"/>
      <c r="BY121" s="755"/>
      <c r="BZ121" s="755"/>
      <c r="CA121" s="1020">
        <f t="shared" si="70"/>
        <v>0</v>
      </c>
      <c r="CB121" s="1023">
        <f t="shared" ca="1" si="67"/>
        <v>0</v>
      </c>
      <c r="CC121" s="1021">
        <f t="shared" ca="1" si="67"/>
        <v>0</v>
      </c>
      <c r="CD121" s="1021">
        <f t="shared" ca="1" si="67"/>
        <v>0</v>
      </c>
      <c r="CE121" s="1021">
        <f t="shared" ca="1" si="67"/>
        <v>0</v>
      </c>
      <c r="CF121" s="1021">
        <f t="shared" ca="1" si="67"/>
        <v>0</v>
      </c>
      <c r="CG121" s="1021">
        <f t="shared" ca="1" si="67"/>
        <v>0</v>
      </c>
      <c r="CH121" s="1021">
        <f t="shared" ca="1" si="67"/>
        <v>0</v>
      </c>
      <c r="CI121" s="755"/>
      <c r="CJ121" s="1020">
        <f t="shared" ca="1" si="71"/>
        <v>1363</v>
      </c>
      <c r="CK121" s="1023">
        <f t="shared" ca="1" si="71"/>
        <v>0</v>
      </c>
      <c r="CL121" s="1021">
        <f t="shared" ca="1" si="71"/>
        <v>0</v>
      </c>
      <c r="CM121" s="1021">
        <f t="shared" ca="1" si="71"/>
        <v>0</v>
      </c>
      <c r="CN121" s="1021">
        <f t="shared" ca="1" si="71"/>
        <v>0</v>
      </c>
      <c r="CO121" s="1021">
        <f t="shared" ca="1" si="71"/>
        <v>0</v>
      </c>
      <c r="CP121" s="1021">
        <f t="shared" ca="1" si="71"/>
        <v>0</v>
      </c>
      <c r="CQ121" s="1021">
        <f t="shared" ca="1" si="71"/>
        <v>0</v>
      </c>
      <c r="CR121" s="755"/>
      <c r="CS121" s="755"/>
      <c r="CT121" s="755"/>
      <c r="CU121" s="755"/>
      <c r="CV121" s="755"/>
      <c r="CW121" s="755"/>
      <c r="CY121" s="934"/>
      <c r="CZ121" s="977">
        <f t="shared" si="69"/>
        <v>0</v>
      </c>
      <c r="DA121" s="3840">
        <f t="shared" ca="1" si="62"/>
        <v>1363</v>
      </c>
      <c r="DB121" s="3841"/>
      <c r="DC121" s="2408">
        <f t="shared" ca="1" si="66"/>
        <v>0</v>
      </c>
      <c r="DD121" s="2405">
        <f t="shared" ca="1" si="63"/>
        <v>0</v>
      </c>
      <c r="DE121" s="2405">
        <f t="shared" ca="1" si="63"/>
        <v>0</v>
      </c>
      <c r="DF121" s="2405">
        <f t="shared" ca="1" si="63"/>
        <v>0</v>
      </c>
      <c r="DG121" s="2405">
        <f t="shared" ca="1" si="63"/>
        <v>0</v>
      </c>
      <c r="DH121" s="2406">
        <f t="shared" ca="1" si="63"/>
        <v>0</v>
      </c>
      <c r="DI121" s="2407">
        <f t="shared" ca="1" si="63"/>
        <v>0</v>
      </c>
    </row>
    <row r="122" spans="1:113" ht="15.9" customHeight="1" x14ac:dyDescent="0.25">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c r="AA122" s="755"/>
      <c r="AB122" s="755"/>
      <c r="AC122" s="755"/>
      <c r="AD122" s="755"/>
      <c r="AE122" s="755"/>
      <c r="AF122" s="755"/>
      <c r="AG122" s="755"/>
      <c r="AH122" s="755"/>
      <c r="AI122" s="755"/>
      <c r="AJ122" s="755"/>
      <c r="AK122" s="755"/>
      <c r="AL122" s="755"/>
      <c r="AM122" s="755"/>
      <c r="AN122" s="755"/>
      <c r="AO122" s="755"/>
      <c r="AP122" s="755"/>
      <c r="AQ122" s="755"/>
      <c r="AR122" s="755"/>
      <c r="AS122" s="755"/>
      <c r="AT122" s="755"/>
      <c r="AU122" s="755"/>
      <c r="AV122" s="755"/>
      <c r="AW122" s="755"/>
      <c r="AX122" s="755"/>
      <c r="AY122" s="755"/>
      <c r="AZ122" s="755"/>
      <c r="BA122" s="755"/>
      <c r="BB122" s="755"/>
      <c r="BC122" s="755"/>
      <c r="BD122" s="755"/>
      <c r="BE122" s="755"/>
      <c r="BF122" s="755"/>
      <c r="BG122" s="755"/>
      <c r="BH122" s="755"/>
      <c r="BI122" s="755"/>
      <c r="BJ122" s="755"/>
      <c r="BK122" s="755"/>
      <c r="BL122" s="755"/>
      <c r="BM122" s="755"/>
      <c r="BN122" s="755"/>
      <c r="BO122" s="755"/>
      <c r="BP122" s="755"/>
      <c r="BQ122" s="755"/>
      <c r="BR122" s="755"/>
      <c r="BS122" s="755"/>
      <c r="BT122" s="755"/>
      <c r="BU122" s="755"/>
      <c r="BV122" s="755"/>
      <c r="BW122" s="755"/>
      <c r="BX122" s="755"/>
      <c r="BY122" s="755"/>
      <c r="BZ122" s="755"/>
      <c r="CA122" s="1020">
        <f t="shared" si="70"/>
        <v>0</v>
      </c>
      <c r="CB122" s="1023">
        <f t="shared" ca="1" si="67"/>
        <v>0</v>
      </c>
      <c r="CC122" s="1021">
        <f t="shared" ca="1" si="67"/>
        <v>0</v>
      </c>
      <c r="CD122" s="1021">
        <f t="shared" ca="1" si="67"/>
        <v>0</v>
      </c>
      <c r="CE122" s="1021">
        <f t="shared" ca="1" si="67"/>
        <v>0</v>
      </c>
      <c r="CF122" s="1021">
        <f t="shared" ca="1" si="67"/>
        <v>0</v>
      </c>
      <c r="CG122" s="1021">
        <f t="shared" ca="1" si="67"/>
        <v>0</v>
      </c>
      <c r="CH122" s="1021">
        <f t="shared" ca="1" si="67"/>
        <v>0</v>
      </c>
      <c r="CI122" s="755"/>
      <c r="CJ122" s="1020">
        <f t="shared" ca="1" si="71"/>
        <v>1363</v>
      </c>
      <c r="CK122" s="1023">
        <f t="shared" ca="1" si="71"/>
        <v>0</v>
      </c>
      <c r="CL122" s="1021">
        <f t="shared" ca="1" si="71"/>
        <v>0</v>
      </c>
      <c r="CM122" s="1021">
        <f t="shared" ca="1" si="71"/>
        <v>0</v>
      </c>
      <c r="CN122" s="1021">
        <f t="shared" ca="1" si="71"/>
        <v>0</v>
      </c>
      <c r="CO122" s="1021">
        <f t="shared" ca="1" si="71"/>
        <v>0</v>
      </c>
      <c r="CP122" s="1021">
        <f t="shared" ca="1" si="71"/>
        <v>0</v>
      </c>
      <c r="CQ122" s="1021">
        <f t="shared" ca="1" si="71"/>
        <v>0</v>
      </c>
      <c r="CR122" s="755"/>
      <c r="CS122" s="755"/>
      <c r="CT122" s="755"/>
      <c r="CU122" s="755"/>
      <c r="CV122" s="755"/>
      <c r="CW122" s="755"/>
      <c r="CZ122" s="977">
        <f t="shared" si="69"/>
        <v>0</v>
      </c>
      <c r="DA122" s="3840">
        <f t="shared" ca="1" si="62"/>
        <v>1363</v>
      </c>
      <c r="DB122" s="3841"/>
      <c r="DC122" s="2408">
        <f t="shared" ca="1" si="66"/>
        <v>0</v>
      </c>
      <c r="DD122" s="2405">
        <f t="shared" ca="1" si="63"/>
        <v>0</v>
      </c>
      <c r="DE122" s="2405">
        <f t="shared" ca="1" si="63"/>
        <v>0</v>
      </c>
      <c r="DF122" s="2405">
        <f t="shared" ca="1" si="63"/>
        <v>0</v>
      </c>
      <c r="DG122" s="2405">
        <f t="shared" ca="1" si="63"/>
        <v>0</v>
      </c>
      <c r="DH122" s="2406">
        <f t="shared" ca="1" si="63"/>
        <v>0</v>
      </c>
      <c r="DI122" s="2407">
        <f t="shared" ca="1" si="63"/>
        <v>0</v>
      </c>
    </row>
    <row r="123" spans="1:113" ht="15.9" customHeight="1" x14ac:dyDescent="0.25">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c r="AA123" s="755"/>
      <c r="AB123" s="755"/>
      <c r="AC123" s="755"/>
      <c r="AD123" s="755"/>
      <c r="AE123" s="755"/>
      <c r="AF123" s="755"/>
      <c r="AG123" s="755"/>
      <c r="AH123" s="755"/>
      <c r="AI123" s="755"/>
      <c r="AJ123" s="755"/>
      <c r="AK123" s="755"/>
      <c r="AL123" s="755"/>
      <c r="AM123" s="755"/>
      <c r="AN123" s="755"/>
      <c r="AO123" s="755"/>
      <c r="AP123" s="755"/>
      <c r="AQ123" s="755"/>
      <c r="AR123" s="755"/>
      <c r="AS123" s="755"/>
      <c r="AT123" s="755"/>
      <c r="AU123" s="755"/>
      <c r="AV123" s="755"/>
      <c r="AW123" s="755"/>
      <c r="AX123" s="755"/>
      <c r="AY123" s="755"/>
      <c r="AZ123" s="755"/>
      <c r="BA123" s="755"/>
      <c r="BB123" s="755"/>
      <c r="BC123" s="755"/>
      <c r="BD123" s="755"/>
      <c r="BE123" s="755"/>
      <c r="BF123" s="755"/>
      <c r="BG123" s="755"/>
      <c r="BH123" s="755"/>
      <c r="BI123" s="755"/>
      <c r="BJ123" s="755"/>
      <c r="BK123" s="755"/>
      <c r="BL123" s="755"/>
      <c r="BM123" s="755"/>
      <c r="BN123" s="755"/>
      <c r="BO123" s="755"/>
      <c r="BP123" s="755"/>
      <c r="BQ123" s="755"/>
      <c r="BR123" s="755"/>
      <c r="BS123" s="755"/>
      <c r="BT123" s="755"/>
      <c r="BU123" s="755"/>
      <c r="BV123" s="755"/>
      <c r="BW123" s="755"/>
      <c r="BX123" s="755"/>
      <c r="BY123" s="755"/>
      <c r="BZ123" s="755"/>
      <c r="CA123" s="1020">
        <f t="shared" si="70"/>
        <v>0</v>
      </c>
      <c r="CB123" s="1023">
        <f t="shared" ca="1" si="67"/>
        <v>0</v>
      </c>
      <c r="CC123" s="1021">
        <f t="shared" ca="1" si="67"/>
        <v>0</v>
      </c>
      <c r="CD123" s="1021">
        <f t="shared" ca="1" si="67"/>
        <v>0</v>
      </c>
      <c r="CE123" s="1021">
        <f t="shared" ca="1" si="67"/>
        <v>0</v>
      </c>
      <c r="CF123" s="1021">
        <f t="shared" ca="1" si="67"/>
        <v>0</v>
      </c>
      <c r="CG123" s="1021">
        <f t="shared" ca="1" si="67"/>
        <v>0</v>
      </c>
      <c r="CH123" s="1021">
        <f t="shared" ca="1" si="67"/>
        <v>0</v>
      </c>
      <c r="CI123" s="755"/>
      <c r="CJ123" s="1020">
        <f t="shared" ca="1" si="71"/>
        <v>1363</v>
      </c>
      <c r="CK123" s="1023">
        <f t="shared" ca="1" si="71"/>
        <v>0</v>
      </c>
      <c r="CL123" s="1021">
        <f t="shared" ca="1" si="71"/>
        <v>0</v>
      </c>
      <c r="CM123" s="1021">
        <f t="shared" ca="1" si="71"/>
        <v>0</v>
      </c>
      <c r="CN123" s="1021">
        <f t="shared" ca="1" si="71"/>
        <v>0</v>
      </c>
      <c r="CO123" s="1021">
        <f t="shared" ca="1" si="71"/>
        <v>0</v>
      </c>
      <c r="CP123" s="1021">
        <f t="shared" ca="1" si="71"/>
        <v>0</v>
      </c>
      <c r="CQ123" s="1021">
        <f t="shared" ca="1" si="71"/>
        <v>0</v>
      </c>
      <c r="CR123" s="755"/>
      <c r="CS123" s="755"/>
      <c r="CT123" s="755"/>
      <c r="CU123" s="755"/>
      <c r="CV123" s="755"/>
      <c r="CW123" s="755"/>
      <c r="CZ123" s="977">
        <f t="shared" si="69"/>
        <v>0</v>
      </c>
      <c r="DA123" s="3840">
        <f t="shared" ca="1" si="62"/>
        <v>1363</v>
      </c>
      <c r="DB123" s="3841"/>
      <c r="DC123" s="2408">
        <f t="shared" ca="1" si="66"/>
        <v>0</v>
      </c>
      <c r="DD123" s="2405">
        <f t="shared" ca="1" si="63"/>
        <v>0</v>
      </c>
      <c r="DE123" s="2405">
        <f t="shared" ca="1" si="63"/>
        <v>0</v>
      </c>
      <c r="DF123" s="2405">
        <f t="shared" ca="1" si="63"/>
        <v>0</v>
      </c>
      <c r="DG123" s="2405">
        <f t="shared" ca="1" si="63"/>
        <v>0</v>
      </c>
      <c r="DH123" s="2406">
        <f t="shared" ca="1" si="63"/>
        <v>0</v>
      </c>
      <c r="DI123" s="2407">
        <f t="shared" ca="1" si="63"/>
        <v>0</v>
      </c>
    </row>
    <row r="124" spans="1:113" ht="15.9" customHeight="1" x14ac:dyDescent="0.25">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c r="AA124" s="755"/>
      <c r="AB124" s="755"/>
      <c r="AC124" s="755"/>
      <c r="AD124" s="755"/>
      <c r="AE124" s="755"/>
      <c r="AF124" s="755"/>
      <c r="AG124" s="755"/>
      <c r="AH124" s="755"/>
      <c r="AI124" s="755"/>
      <c r="AJ124" s="755"/>
      <c r="AK124" s="755"/>
      <c r="AL124" s="755"/>
      <c r="AM124" s="755"/>
      <c r="AN124" s="755"/>
      <c r="AO124" s="755"/>
      <c r="AP124" s="755"/>
      <c r="AQ124" s="755"/>
      <c r="AR124" s="755"/>
      <c r="AS124" s="755"/>
      <c r="AT124" s="755"/>
      <c r="AU124" s="755"/>
      <c r="AV124" s="755"/>
      <c r="AW124" s="755"/>
      <c r="AX124" s="755"/>
      <c r="AY124" s="755"/>
      <c r="AZ124" s="755"/>
      <c r="BA124" s="755"/>
      <c r="BB124" s="755"/>
      <c r="BC124" s="755"/>
      <c r="BD124" s="755"/>
      <c r="BE124" s="755"/>
      <c r="BF124" s="755"/>
      <c r="BG124" s="755"/>
      <c r="BH124" s="755"/>
      <c r="BI124" s="755"/>
      <c r="BJ124" s="755"/>
      <c r="BK124" s="755"/>
      <c r="BL124" s="755"/>
      <c r="BM124" s="755"/>
      <c r="BN124" s="755"/>
      <c r="BO124" s="755"/>
      <c r="BP124" s="755"/>
      <c r="BQ124" s="755"/>
      <c r="BR124" s="755"/>
      <c r="BS124" s="755"/>
      <c r="BT124" s="755"/>
      <c r="BU124" s="755"/>
      <c r="BV124" s="755"/>
      <c r="BW124" s="755"/>
      <c r="BX124" s="755"/>
      <c r="BY124" s="755"/>
      <c r="BZ124" s="755"/>
      <c r="CA124" s="1020">
        <f t="shared" si="70"/>
        <v>0</v>
      </c>
      <c r="CB124" s="1023">
        <f t="shared" ca="1" si="67"/>
        <v>0</v>
      </c>
      <c r="CC124" s="1021">
        <f t="shared" ca="1" si="67"/>
        <v>0</v>
      </c>
      <c r="CD124" s="1021">
        <f t="shared" ca="1" si="67"/>
        <v>0</v>
      </c>
      <c r="CE124" s="1021">
        <f t="shared" ca="1" si="67"/>
        <v>0</v>
      </c>
      <c r="CF124" s="1021">
        <f t="shared" ca="1" si="67"/>
        <v>0</v>
      </c>
      <c r="CG124" s="1021">
        <f t="shared" ca="1" si="67"/>
        <v>0</v>
      </c>
      <c r="CH124" s="1021">
        <f t="shared" ca="1" si="67"/>
        <v>0</v>
      </c>
      <c r="CI124" s="755"/>
      <c r="CJ124" s="1020">
        <f t="shared" ca="1" si="71"/>
        <v>1363</v>
      </c>
      <c r="CK124" s="1023">
        <f t="shared" ca="1" si="71"/>
        <v>0</v>
      </c>
      <c r="CL124" s="1021">
        <f t="shared" ca="1" si="71"/>
        <v>0</v>
      </c>
      <c r="CM124" s="1021">
        <f t="shared" ca="1" si="71"/>
        <v>0</v>
      </c>
      <c r="CN124" s="1021">
        <f t="shared" ca="1" si="71"/>
        <v>0</v>
      </c>
      <c r="CO124" s="1021">
        <f t="shared" ca="1" si="71"/>
        <v>0</v>
      </c>
      <c r="CP124" s="1021">
        <f t="shared" ca="1" si="71"/>
        <v>0</v>
      </c>
      <c r="CQ124" s="1021">
        <f t="shared" ca="1" si="71"/>
        <v>0</v>
      </c>
      <c r="CR124" s="755"/>
      <c r="CS124" s="755"/>
      <c r="CT124" s="755"/>
      <c r="CU124" s="755"/>
      <c r="CV124" s="755"/>
      <c r="CW124" s="755"/>
      <c r="CZ124" s="976">
        <f t="shared" si="69"/>
        <v>0</v>
      </c>
      <c r="DA124" s="3842">
        <f t="shared" ca="1" si="62"/>
        <v>1363</v>
      </c>
      <c r="DB124" s="3843"/>
      <c r="DC124" s="2434">
        <f t="shared" ca="1" si="66"/>
        <v>0</v>
      </c>
      <c r="DD124" s="2435">
        <f t="shared" ca="1" si="63"/>
        <v>0</v>
      </c>
      <c r="DE124" s="2435">
        <f t="shared" ca="1" si="63"/>
        <v>0</v>
      </c>
      <c r="DF124" s="2435">
        <f t="shared" ca="1" si="63"/>
        <v>0</v>
      </c>
      <c r="DG124" s="2435">
        <f t="shared" ca="1" si="63"/>
        <v>0</v>
      </c>
      <c r="DH124" s="2436">
        <f t="shared" ca="1" si="63"/>
        <v>0</v>
      </c>
      <c r="DI124" s="2437">
        <f t="shared" ca="1" si="63"/>
        <v>0</v>
      </c>
    </row>
    <row r="125" spans="1:113" ht="15" customHeight="1" x14ac:dyDescent="0.25">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c r="AA125" s="755"/>
      <c r="AB125" s="755"/>
      <c r="AC125" s="755"/>
      <c r="AD125" s="755"/>
      <c r="AE125" s="755"/>
      <c r="AF125" s="755"/>
      <c r="AG125" s="755"/>
      <c r="AH125" s="755"/>
      <c r="AI125" s="755"/>
      <c r="AJ125" s="755"/>
      <c r="AK125" s="755"/>
      <c r="AL125" s="755"/>
      <c r="AM125" s="755"/>
      <c r="AN125" s="755"/>
      <c r="AO125" s="755"/>
      <c r="AP125" s="755"/>
      <c r="AQ125" s="755"/>
      <c r="AR125" s="755"/>
      <c r="AS125" s="755"/>
      <c r="AT125" s="755"/>
      <c r="AU125" s="755"/>
      <c r="AV125" s="755"/>
      <c r="AW125" s="755"/>
      <c r="AX125" s="755"/>
      <c r="AY125" s="755"/>
      <c r="AZ125" s="755"/>
      <c r="BA125" s="755"/>
      <c r="BB125" s="755"/>
      <c r="BC125" s="755"/>
      <c r="BD125" s="755"/>
      <c r="BE125" s="755"/>
      <c r="BF125" s="755"/>
      <c r="BG125" s="755"/>
      <c r="BH125" s="755"/>
      <c r="BI125" s="755"/>
      <c r="BJ125" s="755"/>
      <c r="BK125" s="755"/>
      <c r="BL125" s="755"/>
      <c r="BM125" s="755"/>
      <c r="BN125" s="755"/>
      <c r="BO125" s="755"/>
      <c r="BP125" s="755"/>
      <c r="BQ125" s="755"/>
      <c r="BR125" s="755"/>
      <c r="BS125" s="755"/>
      <c r="BT125" s="755"/>
      <c r="BU125" s="755"/>
      <c r="BV125" s="755"/>
      <c r="BW125" s="755"/>
      <c r="BX125" s="755"/>
      <c r="BY125" s="755"/>
      <c r="BZ125" s="755"/>
      <c r="CA125" s="1036"/>
      <c r="CB125" s="925"/>
      <c r="CC125" s="925"/>
      <c r="CD125" s="925"/>
      <c r="CE125" s="925"/>
      <c r="CF125" s="925"/>
      <c r="CG125" s="925"/>
      <c r="CH125" s="926"/>
      <c r="CI125" s="755"/>
      <c r="CJ125" s="1036"/>
      <c r="CK125" s="925"/>
      <c r="CL125" s="925"/>
      <c r="CM125" s="925"/>
      <c r="CN125" s="925"/>
      <c r="CO125" s="925"/>
      <c r="CP125" s="925"/>
      <c r="CQ125" s="926"/>
      <c r="CR125" s="755"/>
      <c r="CS125" s="755"/>
      <c r="CT125" s="755"/>
      <c r="CU125" s="755"/>
      <c r="CV125" s="755"/>
      <c r="CW125" s="755"/>
      <c r="CZ125" s="929"/>
      <c r="DA125" s="930"/>
      <c r="DB125" s="930" t="s">
        <v>751</v>
      </c>
      <c r="DC125" s="925"/>
      <c r="DD125" s="925"/>
      <c r="DE125" s="925"/>
      <c r="DF125" s="925"/>
      <c r="DG125" s="925"/>
      <c r="DH125" s="925"/>
      <c r="DI125" s="926"/>
    </row>
    <row r="126" spans="1:113" x14ac:dyDescent="0.25">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c r="AA126" s="755"/>
      <c r="AB126" s="755"/>
      <c r="AC126" s="755"/>
      <c r="AD126" s="755"/>
      <c r="AE126" s="755"/>
      <c r="AF126" s="755"/>
      <c r="AG126" s="755"/>
      <c r="AH126" s="755"/>
      <c r="AI126" s="755"/>
      <c r="AJ126" s="755"/>
      <c r="AK126" s="755"/>
      <c r="AL126" s="755"/>
      <c r="AM126" s="755"/>
      <c r="AN126" s="755"/>
      <c r="AO126" s="755"/>
      <c r="AP126" s="755"/>
      <c r="AQ126" s="755"/>
      <c r="AR126" s="755"/>
      <c r="AS126" s="755"/>
      <c r="AT126" s="755"/>
      <c r="AU126" s="755"/>
      <c r="AV126" s="755"/>
      <c r="AW126" s="755"/>
      <c r="AX126" s="755"/>
      <c r="AY126" s="755"/>
      <c r="AZ126" s="755"/>
      <c r="BA126" s="755"/>
      <c r="BB126" s="755"/>
      <c r="BC126" s="755"/>
      <c r="BD126" s="755"/>
      <c r="BE126" s="755"/>
      <c r="BF126" s="755"/>
      <c r="BG126" s="755"/>
      <c r="BH126" s="755"/>
      <c r="BI126" s="755"/>
      <c r="BJ126" s="755"/>
      <c r="BK126" s="755"/>
      <c r="BL126" s="755"/>
      <c r="BM126" s="755"/>
      <c r="BN126" s="755"/>
      <c r="BO126" s="755"/>
      <c r="BP126" s="755"/>
      <c r="BQ126" s="755"/>
      <c r="BR126" s="755"/>
      <c r="BS126" s="755"/>
      <c r="BT126" s="755"/>
      <c r="BU126" s="755"/>
      <c r="BV126" s="755"/>
      <c r="BW126" s="755"/>
      <c r="BX126" s="755"/>
      <c r="BY126" s="755"/>
      <c r="BZ126" s="755"/>
      <c r="CA126" s="755"/>
      <c r="CB126" s="755"/>
      <c r="CC126" s="755"/>
      <c r="CD126" s="755"/>
      <c r="CE126" s="755"/>
      <c r="CF126" s="755"/>
      <c r="CG126" s="755"/>
      <c r="CH126" s="755"/>
      <c r="CI126" s="755"/>
      <c r="CJ126" s="755"/>
      <c r="CK126" s="755"/>
      <c r="CL126" s="755"/>
      <c r="CM126" s="755"/>
      <c r="CN126" s="755"/>
      <c r="CO126" s="755"/>
      <c r="CP126" s="755"/>
      <c r="CQ126" s="755"/>
      <c r="CR126" s="755"/>
      <c r="CS126" s="755"/>
      <c r="CT126" s="755"/>
      <c r="CU126" s="755"/>
      <c r="CV126" s="755"/>
      <c r="CW126" s="755"/>
    </row>
    <row r="127" spans="1:113" x14ac:dyDescent="0.25">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c r="AA127" s="755"/>
      <c r="AB127" s="755"/>
      <c r="AC127" s="755"/>
      <c r="AD127" s="755"/>
      <c r="AE127" s="755"/>
      <c r="AF127" s="755"/>
      <c r="AG127" s="755"/>
      <c r="AH127" s="755"/>
      <c r="AI127" s="755"/>
      <c r="AJ127" s="755"/>
      <c r="AK127" s="755"/>
      <c r="AL127" s="755"/>
      <c r="AM127" s="755"/>
      <c r="AN127" s="755"/>
      <c r="AO127" s="755"/>
      <c r="AP127" s="755"/>
      <c r="AQ127" s="755"/>
      <c r="AR127" s="755"/>
      <c r="AS127" s="755"/>
      <c r="AT127" s="755"/>
      <c r="AU127" s="755"/>
      <c r="AV127" s="755"/>
      <c r="AW127" s="755"/>
      <c r="AX127" s="755"/>
      <c r="AY127" s="755"/>
      <c r="AZ127" s="755"/>
      <c r="BA127" s="755"/>
      <c r="BB127" s="755"/>
      <c r="BC127" s="755"/>
      <c r="BD127" s="755"/>
      <c r="BE127" s="755"/>
      <c r="BF127" s="755"/>
      <c r="BG127" s="755"/>
      <c r="BH127" s="755"/>
      <c r="BI127" s="755"/>
      <c r="BJ127" s="755"/>
      <c r="BK127" s="755"/>
      <c r="BL127" s="755"/>
      <c r="BM127" s="755"/>
      <c r="BN127" s="755"/>
      <c r="BO127" s="755"/>
      <c r="BP127" s="755"/>
      <c r="BQ127" s="755"/>
      <c r="BR127" s="755"/>
      <c r="BS127" s="755"/>
      <c r="BT127" s="755"/>
      <c r="BU127" s="755"/>
      <c r="BV127" s="755"/>
      <c r="BW127" s="755"/>
      <c r="BX127" s="755"/>
      <c r="BY127" s="755"/>
      <c r="BZ127" s="755"/>
      <c r="CA127" s="755"/>
      <c r="CB127" s="755"/>
      <c r="CC127" s="755"/>
      <c r="CD127" s="755"/>
      <c r="CE127" s="755"/>
      <c r="CF127" s="755"/>
      <c r="CG127" s="755"/>
      <c r="CH127" s="755"/>
      <c r="CI127" s="755"/>
      <c r="CJ127" s="755"/>
      <c r="CK127" s="755"/>
      <c r="CL127" s="755"/>
      <c r="CM127" s="755"/>
      <c r="CN127" s="755"/>
      <c r="CO127" s="755"/>
      <c r="CP127" s="755"/>
      <c r="CQ127" s="755"/>
      <c r="CR127" s="755"/>
      <c r="CS127" s="755"/>
      <c r="CT127" s="755"/>
      <c r="CU127" s="755"/>
      <c r="CV127" s="755"/>
      <c r="CW127" s="755"/>
    </row>
    <row r="128" spans="1:113" x14ac:dyDescent="0.25">
      <c r="A128" s="755"/>
      <c r="B128" s="755"/>
      <c r="C128" s="412" t="s">
        <v>1636</v>
      </c>
      <c r="D128" s="755"/>
      <c r="E128" s="755"/>
      <c r="F128" s="755"/>
      <c r="G128" s="755"/>
      <c r="H128" s="755"/>
      <c r="I128" s="755"/>
      <c r="J128" s="755"/>
      <c r="K128" s="755"/>
      <c r="L128" s="755"/>
      <c r="M128" s="412" t="s">
        <v>1636</v>
      </c>
      <c r="N128" s="755"/>
      <c r="O128" s="755"/>
      <c r="P128" s="755"/>
      <c r="Q128" s="755"/>
      <c r="R128" s="755"/>
      <c r="S128" s="755"/>
      <c r="T128" s="755"/>
      <c r="U128" s="755"/>
      <c r="V128" s="755"/>
      <c r="W128" s="412" t="s">
        <v>1636</v>
      </c>
      <c r="X128" s="755"/>
      <c r="Y128" s="755"/>
      <c r="Z128" s="755"/>
      <c r="AA128" s="755"/>
      <c r="AB128" s="755"/>
      <c r="AC128" s="755"/>
      <c r="AD128" s="755"/>
      <c r="AE128" s="755"/>
      <c r="AF128" s="755"/>
      <c r="AG128" s="412" t="s">
        <v>1636</v>
      </c>
      <c r="AH128" s="755"/>
      <c r="AI128" s="755"/>
      <c r="AJ128" s="755"/>
      <c r="AK128" s="755"/>
      <c r="AL128" s="755"/>
      <c r="AM128" s="755"/>
      <c r="AN128" s="755"/>
      <c r="AO128" s="755"/>
      <c r="AP128" s="755"/>
      <c r="AQ128" s="412" t="s">
        <v>1636</v>
      </c>
      <c r="AR128" s="755"/>
      <c r="AS128" s="755"/>
      <c r="AT128" s="755"/>
      <c r="AU128" s="755"/>
      <c r="AV128" s="755"/>
      <c r="AW128" s="755"/>
      <c r="AX128" s="755"/>
      <c r="AY128" s="755"/>
      <c r="AZ128" s="755"/>
      <c r="BA128" s="412" t="s">
        <v>1636</v>
      </c>
      <c r="BB128" s="755"/>
      <c r="BC128" s="755"/>
      <c r="BD128" s="755"/>
      <c r="BE128" s="755"/>
      <c r="BF128" s="755"/>
      <c r="BG128" s="755"/>
      <c r="BH128" s="755"/>
      <c r="BI128" s="755"/>
      <c r="BJ128" s="755"/>
      <c r="BK128" s="412" t="s">
        <v>1636</v>
      </c>
      <c r="BL128" s="755"/>
      <c r="BM128" s="755"/>
      <c r="BN128" s="755"/>
      <c r="BO128" s="755"/>
      <c r="BP128" s="755"/>
      <c r="BQ128" s="755"/>
      <c r="BR128" s="755"/>
      <c r="BS128" s="755"/>
      <c r="BT128" s="755"/>
      <c r="BU128" s="755"/>
      <c r="BV128" s="755"/>
      <c r="BW128" s="755"/>
      <c r="BX128" s="755"/>
      <c r="BY128" s="755"/>
      <c r="BZ128" s="755"/>
      <c r="CA128" s="755"/>
      <c r="CB128" s="755"/>
      <c r="CC128" s="755"/>
      <c r="CD128" s="755"/>
      <c r="CE128" s="755"/>
      <c r="CF128" s="755"/>
      <c r="CG128" s="755"/>
      <c r="CH128" s="755"/>
      <c r="CI128" s="755"/>
      <c r="CJ128" s="755"/>
      <c r="CK128" s="755"/>
      <c r="CL128" s="755"/>
      <c r="CM128" s="755"/>
      <c r="CN128" s="755"/>
      <c r="CO128" s="755"/>
      <c r="CP128" s="755"/>
      <c r="CQ128" s="755"/>
      <c r="CR128" s="755"/>
      <c r="CS128" s="755"/>
      <c r="CT128" s="755"/>
      <c r="CU128" s="755"/>
      <c r="CV128" s="755"/>
      <c r="CW128" s="755"/>
    </row>
    <row r="129" spans="1:113" ht="21.75" customHeight="1" x14ac:dyDescent="0.3">
      <c r="A129" s="1051"/>
      <c r="B129" s="1556"/>
      <c r="C129" s="1558">
        <v>1</v>
      </c>
      <c r="D129" s="1558">
        <v>2</v>
      </c>
      <c r="E129" s="1558">
        <v>3</v>
      </c>
      <c r="F129" s="1558">
        <v>4</v>
      </c>
      <c r="G129" s="1558">
        <v>5</v>
      </c>
      <c r="H129" s="1558">
        <v>6</v>
      </c>
      <c r="I129" s="1558">
        <v>7</v>
      </c>
      <c r="J129" s="1558">
        <v>8</v>
      </c>
      <c r="K129" s="1558">
        <v>9</v>
      </c>
      <c r="L129" s="1601">
        <v>10</v>
      </c>
      <c r="M129" s="1602">
        <v>1</v>
      </c>
      <c r="N129" s="1558">
        <v>2</v>
      </c>
      <c r="O129" s="1558">
        <v>3</v>
      </c>
      <c r="P129" s="1558">
        <v>4</v>
      </c>
      <c r="Q129" s="1558">
        <v>5</v>
      </c>
      <c r="R129" s="1558">
        <v>6</v>
      </c>
      <c r="S129" s="1558">
        <v>7</v>
      </c>
      <c r="T129" s="1558">
        <v>8</v>
      </c>
      <c r="U129" s="1558">
        <v>9</v>
      </c>
      <c r="V129" s="1558">
        <v>10</v>
      </c>
      <c r="W129" s="1602">
        <v>1</v>
      </c>
      <c r="X129" s="1558">
        <v>2</v>
      </c>
      <c r="Y129" s="1558">
        <v>3</v>
      </c>
      <c r="Z129" s="1558">
        <v>4</v>
      </c>
      <c r="AA129" s="1558">
        <v>5</v>
      </c>
      <c r="AB129" s="1558">
        <v>6</v>
      </c>
      <c r="AC129" s="1558">
        <v>7</v>
      </c>
      <c r="AD129" s="1558">
        <v>8</v>
      </c>
      <c r="AE129" s="1558">
        <v>9</v>
      </c>
      <c r="AF129" s="1558">
        <v>10</v>
      </c>
      <c r="AG129" s="1602">
        <v>1</v>
      </c>
      <c r="AH129" s="1558">
        <v>2</v>
      </c>
      <c r="AI129" s="1558">
        <v>3</v>
      </c>
      <c r="AJ129" s="1558">
        <v>4</v>
      </c>
      <c r="AK129" s="1558">
        <v>5</v>
      </c>
      <c r="AL129" s="1558">
        <v>6</v>
      </c>
      <c r="AM129" s="1558">
        <v>7</v>
      </c>
      <c r="AN129" s="1558">
        <v>8</v>
      </c>
      <c r="AO129" s="1558">
        <v>9</v>
      </c>
      <c r="AP129" s="1558">
        <v>10</v>
      </c>
      <c r="AQ129" s="1602">
        <v>1</v>
      </c>
      <c r="AR129" s="1558">
        <v>2</v>
      </c>
      <c r="AS129" s="1558">
        <v>3</v>
      </c>
      <c r="AT129" s="1558">
        <v>4</v>
      </c>
      <c r="AU129" s="1558">
        <v>5</v>
      </c>
      <c r="AV129" s="1558">
        <v>6</v>
      </c>
      <c r="AW129" s="1558">
        <v>7</v>
      </c>
      <c r="AX129" s="1558">
        <v>8</v>
      </c>
      <c r="AY129" s="1558">
        <v>9</v>
      </c>
      <c r="AZ129" s="1558">
        <v>10</v>
      </c>
      <c r="BA129" s="1602">
        <v>1</v>
      </c>
      <c r="BB129" s="1558">
        <v>2</v>
      </c>
      <c r="BC129" s="1558">
        <v>3</v>
      </c>
      <c r="BD129" s="1558">
        <v>4</v>
      </c>
      <c r="BE129" s="1558">
        <v>5</v>
      </c>
      <c r="BF129" s="1558">
        <v>6</v>
      </c>
      <c r="BG129" s="1558">
        <v>7</v>
      </c>
      <c r="BH129" s="1558">
        <v>8</v>
      </c>
      <c r="BI129" s="1558">
        <v>9</v>
      </c>
      <c r="BJ129" s="1558">
        <v>10</v>
      </c>
      <c r="BK129" s="1602">
        <v>1</v>
      </c>
      <c r="BL129" s="1558">
        <v>2</v>
      </c>
      <c r="BM129" s="1558">
        <v>3</v>
      </c>
      <c r="BN129" s="1558">
        <v>4</v>
      </c>
      <c r="BO129" s="1558">
        <v>5</v>
      </c>
      <c r="BP129" s="1558">
        <v>6</v>
      </c>
      <c r="BQ129" s="1558">
        <v>7</v>
      </c>
      <c r="BR129" s="1558">
        <v>8</v>
      </c>
      <c r="BS129" s="1558">
        <v>9</v>
      </c>
      <c r="BT129" s="1558">
        <v>10</v>
      </c>
      <c r="BU129" s="1587"/>
      <c r="BV129" s="1587"/>
      <c r="BW129" s="1587"/>
      <c r="BX129" s="1556"/>
      <c r="BY129" s="1556"/>
      <c r="BZ129" s="1556"/>
      <c r="CA129" s="1012" t="s">
        <v>1635</v>
      </c>
      <c r="CB129" s="755"/>
      <c r="CC129" s="755"/>
      <c r="CD129" s="1010"/>
      <c r="CE129" s="1010"/>
      <c r="CF129" s="1010"/>
      <c r="CG129" s="1010"/>
      <c r="CH129" s="1010"/>
      <c r="CI129" s="755"/>
      <c r="CJ129" s="1012" t="s">
        <v>1634</v>
      </c>
      <c r="CK129" s="755"/>
      <c r="CL129" s="755"/>
      <c r="CM129" s="1010"/>
      <c r="CN129" s="1010"/>
      <c r="CO129" s="1010"/>
      <c r="CP129" s="1010"/>
      <c r="CQ129" s="1010"/>
      <c r="CR129" s="1010"/>
      <c r="CS129" s="3839" t="s">
        <v>780</v>
      </c>
      <c r="CT129" s="3839" t="s">
        <v>761</v>
      </c>
      <c r="CU129" s="3839" t="s">
        <v>779</v>
      </c>
      <c r="CV129" s="3839" t="s">
        <v>763</v>
      </c>
      <c r="CW129" s="1018"/>
      <c r="CZ129" s="924" t="s">
        <v>2741</v>
      </c>
    </row>
    <row r="130" spans="1:113" ht="21.9" customHeight="1" thickBot="1" x14ac:dyDescent="0.3">
      <c r="A130" s="1051"/>
      <c r="B130" s="1556"/>
      <c r="C130" s="1603">
        <f>$CK$130</f>
        <v>99.99</v>
      </c>
      <c r="D130" s="1607"/>
      <c r="E130" s="1607"/>
      <c r="F130" s="1607"/>
      <c r="G130" s="1558">
        <v>1</v>
      </c>
      <c r="H130" s="1607"/>
      <c r="I130" s="1607"/>
      <c r="J130" s="1607"/>
      <c r="K130" s="1607"/>
      <c r="L130" s="1607"/>
      <c r="M130" s="1606">
        <f>$CL$130</f>
        <v>99.99</v>
      </c>
      <c r="N130" s="1607"/>
      <c r="O130" s="1607"/>
      <c r="P130" s="1607"/>
      <c r="Q130" s="1558">
        <v>2</v>
      </c>
      <c r="R130" s="1607"/>
      <c r="S130" s="1607"/>
      <c r="T130" s="1607"/>
      <c r="U130" s="1607"/>
      <c r="V130" s="1608"/>
      <c r="W130" s="1606">
        <f>CM130</f>
        <v>99.99</v>
      </c>
      <c r="X130" s="1607"/>
      <c r="Y130" s="1607"/>
      <c r="Z130" s="1607"/>
      <c r="AA130" s="1558">
        <v>3</v>
      </c>
      <c r="AB130" s="1607"/>
      <c r="AC130" s="1607"/>
      <c r="AD130" s="1607"/>
      <c r="AE130" s="1607"/>
      <c r="AF130" s="1608"/>
      <c r="AG130" s="1606">
        <f>CN130</f>
        <v>99.99</v>
      </c>
      <c r="AH130" s="1607"/>
      <c r="AI130" s="1607"/>
      <c r="AJ130" s="1607"/>
      <c r="AK130" s="1558">
        <v>4</v>
      </c>
      <c r="AL130" s="1607"/>
      <c r="AM130" s="1607"/>
      <c r="AN130" s="1607"/>
      <c r="AO130" s="1607"/>
      <c r="AP130" s="1608"/>
      <c r="AQ130" s="1606">
        <f>CO130</f>
        <v>99.99</v>
      </c>
      <c r="AR130" s="1607"/>
      <c r="AS130" s="1607"/>
      <c r="AT130" s="1607"/>
      <c r="AU130" s="1558">
        <v>5</v>
      </c>
      <c r="AV130" s="1607"/>
      <c r="AW130" s="1607"/>
      <c r="AX130" s="1607"/>
      <c r="AY130" s="1607"/>
      <c r="AZ130" s="1608"/>
      <c r="BA130" s="1606">
        <f>CP130</f>
        <v>99.99</v>
      </c>
      <c r="BB130" s="1607"/>
      <c r="BC130" s="1607"/>
      <c r="BD130" s="1607"/>
      <c r="BE130" s="1558">
        <v>6</v>
      </c>
      <c r="BF130" s="1607"/>
      <c r="BG130" s="1607"/>
      <c r="BH130" s="1607"/>
      <c r="BI130" s="1607"/>
      <c r="BJ130" s="1608"/>
      <c r="BK130" s="1606">
        <f>CQ130</f>
        <v>99.99</v>
      </c>
      <c r="BL130" s="1607"/>
      <c r="BM130" s="1607"/>
      <c r="BN130" s="1607"/>
      <c r="BO130" s="1558">
        <v>7</v>
      </c>
      <c r="BP130" s="1607"/>
      <c r="BQ130" s="1607"/>
      <c r="BR130" s="1607"/>
      <c r="BS130" s="1607"/>
      <c r="BT130" s="1608"/>
      <c r="BU130" s="1587"/>
      <c r="BV130" s="1587"/>
      <c r="BW130" s="1587"/>
      <c r="BX130" s="1556"/>
      <c r="BY130" s="1556"/>
      <c r="BZ130" s="1556"/>
      <c r="CA130" s="1047" t="s">
        <v>847</v>
      </c>
      <c r="CB130" s="1035">
        <f>$CK$46</f>
        <v>99.99</v>
      </c>
      <c r="CC130" s="1033">
        <f>$CL$46</f>
        <v>99.99</v>
      </c>
      <c r="CD130" s="1033">
        <f>$CM$46</f>
        <v>99.99</v>
      </c>
      <c r="CE130" s="1033">
        <f>$CN$46</f>
        <v>99.99</v>
      </c>
      <c r="CF130" s="1033">
        <f>$CO$46</f>
        <v>99.99</v>
      </c>
      <c r="CG130" s="1033">
        <f>$CP$46</f>
        <v>99.99</v>
      </c>
      <c r="CH130" s="1033">
        <f>$CQ$46</f>
        <v>99.99</v>
      </c>
      <c r="CI130" s="755"/>
      <c r="CJ130" s="1047" t="s">
        <v>848</v>
      </c>
      <c r="CK130" s="1035">
        <f>$CK$46</f>
        <v>99.99</v>
      </c>
      <c r="CL130" s="1033">
        <f>$CL$46</f>
        <v>99.99</v>
      </c>
      <c r="CM130" s="1033">
        <f>$CM$46</f>
        <v>99.99</v>
      </c>
      <c r="CN130" s="1033">
        <f>$CN$46</f>
        <v>99.99</v>
      </c>
      <c r="CO130" s="1033">
        <f>$CO$46</f>
        <v>99.99</v>
      </c>
      <c r="CP130" s="1033">
        <f>$CP$46</f>
        <v>99.99</v>
      </c>
      <c r="CQ130" s="1033">
        <f>$CQ$46</f>
        <v>99.99</v>
      </c>
      <c r="CR130" s="1010"/>
      <c r="CS130" s="3839"/>
      <c r="CT130" s="3839"/>
      <c r="CU130" s="3839"/>
      <c r="CV130" s="3839"/>
      <c r="CW130" s="1018"/>
      <c r="DA130" s="3844" t="s">
        <v>130</v>
      </c>
      <c r="DB130" s="3844"/>
      <c r="DC130" s="2412">
        <f t="shared" ref="DC130:DI130" si="72">DC$18</f>
        <v>0</v>
      </c>
      <c r="DD130" s="2412">
        <f t="shared" si="72"/>
        <v>0</v>
      </c>
      <c r="DE130" s="2412">
        <f t="shared" si="72"/>
        <v>0</v>
      </c>
      <c r="DF130" s="2412">
        <f t="shared" si="72"/>
        <v>0</v>
      </c>
      <c r="DG130" s="2412">
        <f t="shared" si="72"/>
        <v>0</v>
      </c>
      <c r="DH130" s="2412">
        <f t="shared" si="72"/>
        <v>0</v>
      </c>
      <c r="DI130" s="2412">
        <f t="shared" si="72"/>
        <v>0</v>
      </c>
    </row>
    <row r="131" spans="1:113" ht="24" customHeight="1" thickBot="1" x14ac:dyDescent="0.3">
      <c r="A131" s="1051"/>
      <c r="B131" s="1556"/>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c r="AA131" s="755"/>
      <c r="AB131" s="755"/>
      <c r="AC131" s="755"/>
      <c r="AD131" s="755"/>
      <c r="AE131" s="755"/>
      <c r="AF131" s="755"/>
      <c r="AG131" s="755"/>
      <c r="AH131" s="755"/>
      <c r="AI131" s="755"/>
      <c r="AJ131" s="755"/>
      <c r="AK131" s="755"/>
      <c r="AL131" s="755"/>
      <c r="AM131" s="755"/>
      <c r="AN131" s="755"/>
      <c r="AO131" s="755"/>
      <c r="AP131" s="755"/>
      <c r="AQ131" s="755"/>
      <c r="AR131" s="755"/>
      <c r="AS131" s="755"/>
      <c r="AT131" s="755"/>
      <c r="AU131" s="755"/>
      <c r="AV131" s="755"/>
      <c r="AW131" s="755"/>
      <c r="AX131" s="755"/>
      <c r="AY131" s="755"/>
      <c r="AZ131" s="755"/>
      <c r="BA131" s="755"/>
      <c r="BB131" s="755"/>
      <c r="BC131" s="755"/>
      <c r="BD131" s="755"/>
      <c r="BE131" s="755"/>
      <c r="BF131" s="755"/>
      <c r="BG131" s="755"/>
      <c r="BH131" s="755"/>
      <c r="BI131" s="755"/>
      <c r="BJ131" s="755"/>
      <c r="BK131" s="755"/>
      <c r="BL131" s="755"/>
      <c r="BM131" s="755"/>
      <c r="BN131" s="755"/>
      <c r="BO131" s="755"/>
      <c r="BP131" s="755"/>
      <c r="BQ131" s="755"/>
      <c r="BR131" s="755"/>
      <c r="BS131" s="755"/>
      <c r="BT131" s="755"/>
      <c r="BU131" s="1587"/>
      <c r="BV131" s="1587"/>
      <c r="BW131" s="1587"/>
      <c r="BX131" s="1556"/>
      <c r="BY131" s="1556"/>
      <c r="BZ131" s="1556"/>
      <c r="CA131" s="1030">
        <f ca="1">SUM(CA132:CA168)</f>
        <v>0</v>
      </c>
      <c r="CB131" s="1031">
        <f t="shared" ref="CB131:CH131" ca="1" si="73">SUM(CB132:CB168)</f>
        <v>0</v>
      </c>
      <c r="CC131" s="1032">
        <f t="shared" ca="1" si="73"/>
        <v>0</v>
      </c>
      <c r="CD131" s="1032">
        <f t="shared" ca="1" si="73"/>
        <v>0</v>
      </c>
      <c r="CE131" s="1032">
        <f t="shared" ca="1" si="73"/>
        <v>0</v>
      </c>
      <c r="CF131" s="1032">
        <f t="shared" ca="1" si="73"/>
        <v>0</v>
      </c>
      <c r="CG131" s="1032">
        <f t="shared" ca="1" si="73"/>
        <v>0</v>
      </c>
      <c r="CH131" s="1032">
        <f t="shared" ca="1" si="73"/>
        <v>0</v>
      </c>
      <c r="CI131" s="755"/>
      <c r="CJ131" s="1030">
        <f ca="1">SUM(CJ132:CJ168)</f>
        <v>1363</v>
      </c>
      <c r="CK131" s="1031">
        <f t="shared" ref="CK131" ca="1" si="74">SUM(CK132:CK168)</f>
        <v>0</v>
      </c>
      <c r="CL131" s="1032">
        <f t="shared" ref="CL131" ca="1" si="75">SUM(CL132:CL168)</f>
        <v>0</v>
      </c>
      <c r="CM131" s="1032">
        <f t="shared" ref="CM131" ca="1" si="76">SUM(CM132:CM168)</f>
        <v>0</v>
      </c>
      <c r="CN131" s="1032">
        <f t="shared" ref="CN131" ca="1" si="77">SUM(CN132:CN168)</f>
        <v>0</v>
      </c>
      <c r="CO131" s="1032">
        <f t="shared" ref="CO131" ca="1" si="78">SUM(CO132:CO168)</f>
        <v>0</v>
      </c>
      <c r="CP131" s="1032">
        <f t="shared" ref="CP131" ca="1" si="79">SUM(CP132:CP168)</f>
        <v>0</v>
      </c>
      <c r="CQ131" s="1032">
        <f t="shared" ref="CQ131" ca="1" si="80">SUM(CQ132:CQ168)</f>
        <v>0</v>
      </c>
      <c r="CR131" s="1010"/>
      <c r="CS131" s="3839"/>
      <c r="CT131" s="3839"/>
      <c r="CU131" s="3839"/>
      <c r="CV131" s="3839"/>
      <c r="CW131" s="1018"/>
      <c r="CZ131" s="2438"/>
      <c r="DA131" s="3847">
        <f ca="1">SUM(DA132:DB168)</f>
        <v>1363</v>
      </c>
      <c r="DB131" s="3848"/>
      <c r="DC131" s="2427">
        <f ca="1">SUM(DC132:DC168)</f>
        <v>0</v>
      </c>
      <c r="DD131" s="2428">
        <f t="shared" ref="DD131:DI131" ca="1" si="81">SUM(DD132:DD168)</f>
        <v>0</v>
      </c>
      <c r="DE131" s="2428">
        <f t="shared" ca="1" si="81"/>
        <v>0</v>
      </c>
      <c r="DF131" s="2428">
        <f t="shared" ca="1" si="81"/>
        <v>0</v>
      </c>
      <c r="DG131" s="2428">
        <f t="shared" ca="1" si="81"/>
        <v>0</v>
      </c>
      <c r="DH131" s="2429">
        <f t="shared" ca="1" si="81"/>
        <v>0</v>
      </c>
      <c r="DI131" s="2430">
        <f t="shared" ca="1" si="81"/>
        <v>0</v>
      </c>
    </row>
    <row r="132" spans="1:113" ht="15.9" customHeight="1" thickTop="1" thickBot="1" x14ac:dyDescent="0.35">
      <c r="A132" s="1051"/>
      <c r="B132" s="1556"/>
      <c r="C132" s="1012" t="s">
        <v>1717</v>
      </c>
      <c r="D132" s="1587"/>
      <c r="E132" s="1587"/>
      <c r="F132" s="1587"/>
      <c r="G132" s="1587"/>
      <c r="H132" s="1587"/>
      <c r="I132" s="1587"/>
      <c r="J132" s="1587"/>
      <c r="K132" s="1587"/>
      <c r="L132" s="1587"/>
      <c r="M132" s="1587"/>
      <c r="N132" s="1587"/>
      <c r="O132" s="1587"/>
      <c r="P132" s="1587"/>
      <c r="Q132" s="1587"/>
      <c r="R132" s="1587"/>
      <c r="S132" s="1587"/>
      <c r="T132" s="1587"/>
      <c r="U132" s="1587"/>
      <c r="V132" s="1587"/>
      <c r="W132" s="1587"/>
      <c r="X132" s="1587"/>
      <c r="Y132" s="1587"/>
      <c r="Z132" s="1587"/>
      <c r="AA132" s="1587"/>
      <c r="AB132" s="1587"/>
      <c r="AC132" s="1587"/>
      <c r="AD132" s="1587"/>
      <c r="AE132" s="1587"/>
      <c r="AF132" s="1587"/>
      <c r="AG132" s="1587"/>
      <c r="AH132" s="1587"/>
      <c r="AI132" s="1587"/>
      <c r="AJ132" s="1587"/>
      <c r="AK132" s="1587"/>
      <c r="AL132" s="1587"/>
      <c r="AM132" s="1587"/>
      <c r="AN132" s="1587"/>
      <c r="AO132" s="1587"/>
      <c r="AP132" s="1587"/>
      <c r="AQ132" s="1587"/>
      <c r="AR132" s="1587"/>
      <c r="AS132" s="1587"/>
      <c r="AT132" s="1587"/>
      <c r="AU132" s="1587"/>
      <c r="AV132" s="1587"/>
      <c r="AW132" s="1587"/>
      <c r="AX132" s="1587"/>
      <c r="AY132" s="1587"/>
      <c r="AZ132" s="1587"/>
      <c r="BA132" s="1587"/>
      <c r="BB132" s="1587"/>
      <c r="BC132" s="1587"/>
      <c r="BD132" s="1587"/>
      <c r="BE132" s="1587"/>
      <c r="BF132" s="1587"/>
      <c r="BG132" s="1587"/>
      <c r="BH132" s="1587"/>
      <c r="BI132" s="1587"/>
      <c r="BJ132" s="1587"/>
      <c r="BK132" s="1587"/>
      <c r="BL132" s="1587"/>
      <c r="BM132" s="1587"/>
      <c r="BN132" s="1587"/>
      <c r="BO132" s="1587"/>
      <c r="BP132" s="1587"/>
      <c r="BQ132" s="1587"/>
      <c r="BR132" s="1587"/>
      <c r="BS132" s="1587"/>
      <c r="BT132" s="1587"/>
      <c r="BU132" s="1587"/>
      <c r="BV132" s="1587"/>
      <c r="BW132" s="1587"/>
      <c r="BX132" s="1556"/>
      <c r="BY132" s="1556"/>
      <c r="BZ132" s="1556"/>
      <c r="CA132" s="1027">
        <f>'3a Staff Plan'!R119</f>
        <v>0</v>
      </c>
      <c r="CB132" s="1028">
        <f ca="1">IFERROR(SUM(CB133:CB168)/SUM($CA$133:$CA$168)*$CA$132,0)</f>
        <v>0</v>
      </c>
      <c r="CC132" s="1029">
        <f t="shared" ref="CC132:CH132" ca="1" si="82">IFERROR(SUM(CC133:CC168)/SUM($CA$133:$CA$168)*$CA$132,0)</f>
        <v>0</v>
      </c>
      <c r="CD132" s="1029">
        <f t="shared" ca="1" si="82"/>
        <v>0</v>
      </c>
      <c r="CE132" s="1029">
        <f t="shared" ca="1" si="82"/>
        <v>0</v>
      </c>
      <c r="CF132" s="1029">
        <f t="shared" ca="1" si="82"/>
        <v>0</v>
      </c>
      <c r="CG132" s="1029">
        <f t="shared" ca="1" si="82"/>
        <v>0</v>
      </c>
      <c r="CH132" s="1029">
        <f t="shared" ca="1" si="82"/>
        <v>0</v>
      </c>
      <c r="CI132" s="755"/>
      <c r="CJ132" s="1027">
        <f>'3b Activity Plan'!R163</f>
        <v>0</v>
      </c>
      <c r="CK132" s="1028">
        <f ca="1">IFERROR(SUM(CK133:CK168)/SUM($CJ$133:$CJ$168)*$CJ$132,0)</f>
        <v>0</v>
      </c>
      <c r="CL132" s="1029">
        <f t="shared" ref="CL132:CQ132" ca="1" si="83">IFERROR(SUM(CL133:CL168)/SUM($CJ$133:$CJ$168)*$CJ$132,0)</f>
        <v>0</v>
      </c>
      <c r="CM132" s="1029">
        <f t="shared" ca="1" si="83"/>
        <v>0</v>
      </c>
      <c r="CN132" s="1029">
        <f t="shared" ca="1" si="83"/>
        <v>0</v>
      </c>
      <c r="CO132" s="1029">
        <f t="shared" ca="1" si="83"/>
        <v>0</v>
      </c>
      <c r="CP132" s="1029">
        <f t="shared" ca="1" si="83"/>
        <v>0</v>
      </c>
      <c r="CQ132" s="1029">
        <f t="shared" ca="1" si="83"/>
        <v>0</v>
      </c>
      <c r="CR132" s="1010"/>
      <c r="CS132" s="3839"/>
      <c r="CT132" s="3839"/>
      <c r="CU132" s="3839"/>
      <c r="CV132" s="3839"/>
      <c r="CW132" s="1018"/>
      <c r="CY132" s="2417" t="s">
        <v>267</v>
      </c>
      <c r="CZ132" s="2418" t="str">
        <f>IF($CX$2=1,"(Distributed)","(Separated Out)")</f>
        <v>(Separated Out)</v>
      </c>
      <c r="DA132" s="3851">
        <f t="shared" ref="DA132" si="84">(CJ132*$DE$4)+(CA132*$DE$3)</f>
        <v>0</v>
      </c>
      <c r="DB132" s="3852"/>
      <c r="DC132" s="2389">
        <f t="shared" ref="DC132:DC167" ca="1" si="85">(CK132*$DE$4)+(CB132*$DE$3)</f>
        <v>0</v>
      </c>
      <c r="DD132" s="2390">
        <f t="shared" ref="DD132:DD167" ca="1" si="86">(CL132*$DE$4)+(CC132*$DE$3)</f>
        <v>0</v>
      </c>
      <c r="DE132" s="2390">
        <f t="shared" ref="DE132:DE167" ca="1" si="87">(CM132*$DE$4)+(CD132*$DE$3)</f>
        <v>0</v>
      </c>
      <c r="DF132" s="2390">
        <f t="shared" ref="DF132:DF167" ca="1" si="88">(CN132*$DE$4)+(CE132*$DE$3)</f>
        <v>0</v>
      </c>
      <c r="DG132" s="2390">
        <f t="shared" ref="DG132:DG167" ca="1" si="89">(CO132*$DE$4)+(CF132*$DE$3)</f>
        <v>0</v>
      </c>
      <c r="DH132" s="2391">
        <f t="shared" ref="DH132:DH167" ca="1" si="90">(CP132*$DE$4)+(CG132*$DE$3)</f>
        <v>0</v>
      </c>
      <c r="DI132" s="2392">
        <f t="shared" ref="DI132:DI167" ca="1" si="91">(CQ132*$DE$4)+(CH132*$DE$3)</f>
        <v>0</v>
      </c>
    </row>
    <row r="133" spans="1:113" ht="15.9" customHeight="1" x14ac:dyDescent="0.25">
      <c r="A133" s="1051"/>
      <c r="B133" s="1556"/>
      <c r="C133" s="1558">
        <f ca="1">SUMPRODUCT('3b Activity Plan'!$AN$173:$AN$365,OFFSET('3b Activity Plan'!$DJ$173:$DJ$365,0,$CU133-1),'3b Activity Plan'!AO$173:AO$365,'3b Activity Plan'!$AH$173:$AH$365,'3b Activity Plan'!$CY$173:$CY$365,('3b Activity Plan'!$C$173:$C$365=$C$130)*1)</f>
        <v>0</v>
      </c>
      <c r="D133" s="1558">
        <f ca="1">SUMPRODUCT('3b Activity Plan'!$AN$173:$AN$365,OFFSET('3b Activity Plan'!$DJ$173:$DJ$365,0,$CU133-1),'3b Activity Plan'!AP$173:AP$365,'3b Activity Plan'!$AH$173:$AH$365,'3b Activity Plan'!$CY$173:$CY$365,('3b Activity Plan'!$C$173:$C$365=$C$130)*1)</f>
        <v>0</v>
      </c>
      <c r="E133" s="1558">
        <f ca="1">SUMPRODUCT('3b Activity Plan'!$AN$173:$AN$365,OFFSET('3b Activity Plan'!$DJ$173:$DJ$365,0,$CU133-1),'3b Activity Plan'!AQ$173:AQ$365,'3b Activity Plan'!$AH$173:$AH$365,'3b Activity Plan'!$CY$173:$CY$365,('3b Activity Plan'!$C$173:$C$365=$C$130)*1)</f>
        <v>0</v>
      </c>
      <c r="F133" s="1558">
        <f ca="1">SUMPRODUCT('3b Activity Plan'!$AN$173:$AN$365,OFFSET('3b Activity Plan'!$DJ$173:$DJ$365,0,$CU133-1),'3b Activity Plan'!AR$173:AR$365,'3b Activity Plan'!$AH$173:$AH$365,'3b Activity Plan'!$CY$173:$CY$365,('3b Activity Plan'!$C$173:$C$365=$C$130)*1)</f>
        <v>0</v>
      </c>
      <c r="G133" s="1558">
        <f ca="1">SUMPRODUCT('3b Activity Plan'!$AN$173:$AN$365,OFFSET('3b Activity Plan'!$DJ$173:$DJ$365,0,$CU133-1),'3b Activity Plan'!AS$173:AS$365,'3b Activity Plan'!$AH$173:$AH$365,'3b Activity Plan'!$CY$173:$CY$365,('3b Activity Plan'!$C$173:$C$365=$C$130)*1)</f>
        <v>0</v>
      </c>
      <c r="H133" s="1558">
        <f ca="1">SUMPRODUCT('3b Activity Plan'!$AN$173:$AN$365,OFFSET('3b Activity Plan'!$DJ$173:$DJ$365,0,$CU133-1),'3b Activity Plan'!AT$173:AT$365,'3b Activity Plan'!$AH$173:$AH$365,'3b Activity Plan'!$CY$173:$CY$365,('3b Activity Plan'!$C$173:$C$365=$C$130)*1)</f>
        <v>0</v>
      </c>
      <c r="I133" s="1558">
        <f ca="1">SUMPRODUCT('3b Activity Plan'!$AN$173:$AN$365,OFFSET('3b Activity Plan'!$DJ$173:$DJ$365,0,$CU133-1),'3b Activity Plan'!AU$173:AU$365,'3b Activity Plan'!$AH$173:$AH$365,'3b Activity Plan'!$CY$173:$CY$365,('3b Activity Plan'!$C$173:$C$365=$C$130)*1)</f>
        <v>0</v>
      </c>
      <c r="J133" s="1558">
        <f ca="1">SUMPRODUCT('3b Activity Plan'!$AN$173:$AN$365,OFFSET('3b Activity Plan'!$DJ$173:$DJ$365,0,$CU133-1),'3b Activity Plan'!AV$173:AV$365,'3b Activity Plan'!$AH$173:$AH$365,'3b Activity Plan'!$CY$173:$CY$365,('3b Activity Plan'!$C$173:$C$365=$C$130)*1)</f>
        <v>0</v>
      </c>
      <c r="K133" s="1558">
        <f ca="1">SUMPRODUCT('3b Activity Plan'!$AN$173:$AN$365,OFFSET('3b Activity Plan'!$DJ$173:$DJ$365,0,$CU133-1),'3b Activity Plan'!AW$173:AW$365,'3b Activity Plan'!$AH$173:$AH$365,'3b Activity Plan'!$CY$173:$CY$365,('3b Activity Plan'!$C$173:$C$365=$C$130)*1)</f>
        <v>0</v>
      </c>
      <c r="L133" s="1601">
        <f ca="1">SUMPRODUCT('3b Activity Plan'!$AN$173:$AN$365,OFFSET('3b Activity Plan'!$DJ$173:$DJ$365,0,$CU133-1),'3b Activity Plan'!AX$173:AX$365,'3b Activity Plan'!$AH$173:$AH$365,'3b Activity Plan'!$CY$173:$CY$365,('3b Activity Plan'!$C$173:$C$365=$C$130)*1)</f>
        <v>0</v>
      </c>
      <c r="M133" s="1602">
        <f ca="1">SUMPRODUCT('3b Activity Plan'!$AN$173:$AN$365,OFFSET('3b Activity Plan'!$DJ$173:$DJ$365,0,$CU133-1),'3b Activity Plan'!AO$173:AO$365,'3b Activity Plan'!$AH$173:$AH$365,'3b Activity Plan'!$CY$173:$CY$365,('3b Activity Plan'!$C$173:$C$365=$M$130)*1)</f>
        <v>0</v>
      </c>
      <c r="N133" s="1558">
        <f ca="1">SUMPRODUCT('3b Activity Plan'!$AN$173:$AN$365,OFFSET('3b Activity Plan'!$DJ$173:$DJ$365,0,$CU133-1),'3b Activity Plan'!AP$173:AP$365,'3b Activity Plan'!$AH$173:$AH$365,'3b Activity Plan'!$CY$173:$CY$365,('3b Activity Plan'!$C$173:$C$365=$M$130)*1)</f>
        <v>0</v>
      </c>
      <c r="O133" s="1558">
        <f ca="1">SUMPRODUCT('3b Activity Plan'!$AN$173:$AN$365,OFFSET('3b Activity Plan'!$DJ$173:$DJ$365,0,$CU133-1),'3b Activity Plan'!AQ$173:AQ$365,'3b Activity Plan'!$AH$173:$AH$365,'3b Activity Plan'!$CY$173:$CY$365,('3b Activity Plan'!$C$173:$C$365=$M$130)*1)</f>
        <v>0</v>
      </c>
      <c r="P133" s="1558">
        <f ca="1">SUMPRODUCT('3b Activity Plan'!$AN$173:$AN$365,OFFSET('3b Activity Plan'!$DJ$173:$DJ$365,0,$CU133-1),'3b Activity Plan'!AR$173:AR$365,'3b Activity Plan'!$AH$173:$AH$365,'3b Activity Plan'!$CY$173:$CY$365,('3b Activity Plan'!$C$173:$C$365=$M$130)*1)</f>
        <v>0</v>
      </c>
      <c r="Q133" s="1558">
        <f ca="1">SUMPRODUCT('3b Activity Plan'!$AN$173:$AN$365,OFFSET('3b Activity Plan'!$DJ$173:$DJ$365,0,$CU133-1),'3b Activity Plan'!AS$173:AS$365,'3b Activity Plan'!$AH$173:$AH$365,'3b Activity Plan'!$CY$173:$CY$365,('3b Activity Plan'!$C$173:$C$365=$M$130)*1)</f>
        <v>0</v>
      </c>
      <c r="R133" s="1558">
        <f ca="1">SUMPRODUCT('3b Activity Plan'!$AN$173:$AN$365,OFFSET('3b Activity Plan'!$DJ$173:$DJ$365,0,$CU133-1),'3b Activity Plan'!AT$173:AT$365,'3b Activity Plan'!$AH$173:$AH$365,'3b Activity Plan'!$CY$173:$CY$365,('3b Activity Plan'!$C$173:$C$365=$M$130)*1)</f>
        <v>0</v>
      </c>
      <c r="S133" s="1558">
        <f ca="1">SUMPRODUCT('3b Activity Plan'!$AN$173:$AN$365,OFFSET('3b Activity Plan'!$DJ$173:$DJ$365,0,$CU133-1),'3b Activity Plan'!AU$173:AU$365,'3b Activity Plan'!$AH$173:$AH$365,'3b Activity Plan'!$CY$173:$CY$365,('3b Activity Plan'!$C$173:$C$365=$M$130)*1)</f>
        <v>0</v>
      </c>
      <c r="T133" s="1558">
        <f ca="1">SUMPRODUCT('3b Activity Plan'!$AN$173:$AN$365,OFFSET('3b Activity Plan'!$DJ$173:$DJ$365,0,$CU133-1),'3b Activity Plan'!AV$173:AV$365,'3b Activity Plan'!$AH$173:$AH$365,'3b Activity Plan'!$CY$173:$CY$365,('3b Activity Plan'!$C$173:$C$365=$M$130)*1)</f>
        <v>0</v>
      </c>
      <c r="U133" s="1558">
        <f ca="1">SUMPRODUCT('3b Activity Plan'!$AN$173:$AN$365,OFFSET('3b Activity Plan'!$DJ$173:$DJ$365,0,$CU133-1),'3b Activity Plan'!AW$173:AW$365,'3b Activity Plan'!$AH$173:$AH$365,'3b Activity Plan'!$CY$173:$CY$365,('3b Activity Plan'!$C$173:$C$365=$M$130)*1)</f>
        <v>0</v>
      </c>
      <c r="V133" s="1601">
        <f ca="1">SUMPRODUCT('3b Activity Plan'!$AN$173:$AN$365,OFFSET('3b Activity Plan'!$DJ$173:$DJ$365,0,$CU133-1),'3b Activity Plan'!AX$173:AX$365,'3b Activity Plan'!$AH$173:$AH$365,'3b Activity Plan'!$CY$173:$CY$365,('3b Activity Plan'!$C$173:$C$365=$M$130)*1)</f>
        <v>0</v>
      </c>
      <c r="W133" s="1602">
        <f ca="1">SUMPRODUCT('3b Activity Plan'!$AN$173:$AN$365,OFFSET('3b Activity Plan'!$DJ$173:$DJ$365,0,$CU133-1),'3b Activity Plan'!AO$173:AO$365,'3b Activity Plan'!$AH$173:$AH$365,'3b Activity Plan'!$CY$173:$CY$365,('3b Activity Plan'!$C$173:$C$365=$W$130)*1)</f>
        <v>0</v>
      </c>
      <c r="X133" s="1558">
        <f ca="1">SUMPRODUCT('3b Activity Plan'!$AN$173:$AN$365,OFFSET('3b Activity Plan'!$DJ$173:$DJ$365,0,$CU133-1),'3b Activity Plan'!AP$173:AP$365,'3b Activity Plan'!$AH$173:$AH$365,'3b Activity Plan'!$CY$173:$CY$365,('3b Activity Plan'!$C$173:$C$365=$W$130)*1)</f>
        <v>0</v>
      </c>
      <c r="Y133" s="1558">
        <f ca="1">SUMPRODUCT('3b Activity Plan'!$AN$173:$AN$365,OFFSET('3b Activity Plan'!$DJ$173:$DJ$365,0,$CU133-1),'3b Activity Plan'!AQ$173:AQ$365,'3b Activity Plan'!$AH$173:$AH$365,'3b Activity Plan'!$CY$173:$CY$365,('3b Activity Plan'!$C$173:$C$365=$W$130)*1)</f>
        <v>0</v>
      </c>
      <c r="Z133" s="1558">
        <f ca="1">SUMPRODUCT('3b Activity Plan'!$AN$173:$AN$365,OFFSET('3b Activity Plan'!$DJ$173:$DJ$365,0,$CU133-1),'3b Activity Plan'!AR$173:AR$365,'3b Activity Plan'!$AH$173:$AH$365,'3b Activity Plan'!$CY$173:$CY$365,('3b Activity Plan'!$C$173:$C$365=$W$130)*1)</f>
        <v>0</v>
      </c>
      <c r="AA133" s="1558">
        <f ca="1">SUMPRODUCT('3b Activity Plan'!$AN$173:$AN$365,OFFSET('3b Activity Plan'!$DJ$173:$DJ$365,0,$CU133-1),'3b Activity Plan'!AS$173:AS$365,'3b Activity Plan'!$AH$173:$AH$365,'3b Activity Plan'!$CY$173:$CY$365,('3b Activity Plan'!$C$173:$C$365=$W$130)*1)</f>
        <v>0</v>
      </c>
      <c r="AB133" s="1558">
        <f ca="1">SUMPRODUCT('3b Activity Plan'!$AN$173:$AN$365,OFFSET('3b Activity Plan'!$DJ$173:$DJ$365,0,$CU133-1),'3b Activity Plan'!AT$173:AT$365,'3b Activity Plan'!$AH$173:$AH$365,'3b Activity Plan'!$CY$173:$CY$365,('3b Activity Plan'!$C$173:$C$365=$W$130)*1)</f>
        <v>0</v>
      </c>
      <c r="AC133" s="1558">
        <f ca="1">SUMPRODUCT('3b Activity Plan'!$AN$173:$AN$365,OFFSET('3b Activity Plan'!$DJ$173:$DJ$365,0,$CU133-1),'3b Activity Plan'!AU$173:AU$365,'3b Activity Plan'!$AH$173:$AH$365,'3b Activity Plan'!$CY$173:$CY$365,('3b Activity Plan'!$C$173:$C$365=$W$130)*1)</f>
        <v>0</v>
      </c>
      <c r="AD133" s="1558">
        <f ca="1">SUMPRODUCT('3b Activity Plan'!$AN$173:$AN$365,OFFSET('3b Activity Plan'!$DJ$173:$DJ$365,0,$CU133-1),'3b Activity Plan'!AV$173:AV$365,'3b Activity Plan'!$AH$173:$AH$365,'3b Activity Plan'!$CY$173:$CY$365,('3b Activity Plan'!$C$173:$C$365=$W$130)*1)</f>
        <v>0</v>
      </c>
      <c r="AE133" s="1558">
        <f ca="1">SUMPRODUCT('3b Activity Plan'!$AN$173:$AN$365,OFFSET('3b Activity Plan'!$DJ$173:$DJ$365,0,$CU133-1),'3b Activity Plan'!AW$173:AW$365,'3b Activity Plan'!$AH$173:$AH$365,'3b Activity Plan'!$CY$173:$CY$365,('3b Activity Plan'!$C$173:$C$365=$W$130)*1)</f>
        <v>0</v>
      </c>
      <c r="AF133" s="1558">
        <f ca="1">SUMPRODUCT('3b Activity Plan'!$AN$173:$AN$365,OFFSET('3b Activity Plan'!$DJ$173:$DJ$365,0,$CU133-1),'3b Activity Plan'!AX$173:AX$365,'3b Activity Plan'!$AH$173:$AH$365,'3b Activity Plan'!$CY$173:$CY$365,('3b Activity Plan'!$C$173:$C$365=$W$130)*1)</f>
        <v>0</v>
      </c>
      <c r="AG133" s="1602">
        <f ca="1">SUMPRODUCT('3b Activity Plan'!$AN$173:$AN$365,OFFSET('3b Activity Plan'!$DJ$173:$DJ$365,0,$CU133-1),'3b Activity Plan'!AO$173:AO$365,'3b Activity Plan'!$AH$173:$AH$365,'3b Activity Plan'!$CY$173:$CY$365,('3b Activity Plan'!$C$173:$C$365=$AG$130)*1)</f>
        <v>0</v>
      </c>
      <c r="AH133" s="1558">
        <f ca="1">SUMPRODUCT('3b Activity Plan'!$AN$173:$AN$365,OFFSET('3b Activity Plan'!$DJ$173:$DJ$365,0,$CU133-1),'3b Activity Plan'!AP$173:AP$365,'3b Activity Plan'!$AH$173:$AH$365,'3b Activity Plan'!$CY$173:$CY$365,('3b Activity Plan'!$C$173:$C$365=$AG$130)*1)</f>
        <v>0</v>
      </c>
      <c r="AI133" s="1558">
        <f ca="1">SUMPRODUCT('3b Activity Plan'!$AN$173:$AN$365,OFFSET('3b Activity Plan'!$DJ$173:$DJ$365,0,$CU133-1),'3b Activity Plan'!AQ$173:AQ$365,'3b Activity Plan'!$AH$173:$AH$365,'3b Activity Plan'!$CY$173:$CY$365,('3b Activity Plan'!$C$173:$C$365=$AG$130)*1)</f>
        <v>0</v>
      </c>
      <c r="AJ133" s="1558">
        <f ca="1">SUMPRODUCT('3b Activity Plan'!$AN$173:$AN$365,OFFSET('3b Activity Plan'!$DJ$173:$DJ$365,0,$CU133-1),'3b Activity Plan'!AR$173:AR$365,'3b Activity Plan'!$AH$173:$AH$365,'3b Activity Plan'!$CY$173:$CY$365,('3b Activity Plan'!$C$173:$C$365=$AG$130)*1)</f>
        <v>0</v>
      </c>
      <c r="AK133" s="1558">
        <f ca="1">SUMPRODUCT('3b Activity Plan'!$AN$173:$AN$365,OFFSET('3b Activity Plan'!$DJ$173:$DJ$365,0,$CU133-1),'3b Activity Plan'!AS$173:AS$365,'3b Activity Plan'!$AH$173:$AH$365,'3b Activity Plan'!$CY$173:$CY$365,('3b Activity Plan'!$C$173:$C$365=$AG$130)*1)</f>
        <v>0</v>
      </c>
      <c r="AL133" s="1558">
        <f ca="1">SUMPRODUCT('3b Activity Plan'!$AN$173:$AN$365,OFFSET('3b Activity Plan'!$DJ$173:$DJ$365,0,$CU133-1),'3b Activity Plan'!AT$173:AT$365,'3b Activity Plan'!$AH$173:$AH$365,'3b Activity Plan'!$CY$173:$CY$365,('3b Activity Plan'!$C$173:$C$365=$AG$130)*1)</f>
        <v>0</v>
      </c>
      <c r="AM133" s="1558">
        <f ca="1">SUMPRODUCT('3b Activity Plan'!$AN$173:$AN$365,OFFSET('3b Activity Plan'!$DJ$173:$DJ$365,0,$CU133-1),'3b Activity Plan'!AU$173:AU$365,'3b Activity Plan'!$AH$173:$AH$365,'3b Activity Plan'!$CY$173:$CY$365,('3b Activity Plan'!$C$173:$C$365=$AG$130)*1)</f>
        <v>0</v>
      </c>
      <c r="AN133" s="1558">
        <f ca="1">SUMPRODUCT('3b Activity Plan'!$AN$173:$AN$365,OFFSET('3b Activity Plan'!$DJ$173:$DJ$365,0,$CU133-1),'3b Activity Plan'!AV$173:AV$365,'3b Activity Plan'!$AH$173:$AH$365,'3b Activity Plan'!$CY$173:$CY$365,('3b Activity Plan'!$C$173:$C$365=$AG$130)*1)</f>
        <v>0</v>
      </c>
      <c r="AO133" s="1558">
        <f ca="1">SUMPRODUCT('3b Activity Plan'!$AN$173:$AN$365,OFFSET('3b Activity Plan'!$DJ$173:$DJ$365,0,$CU133-1),'3b Activity Plan'!AW$173:AW$365,'3b Activity Plan'!$AH$173:$AH$365,'3b Activity Plan'!$CY$173:$CY$365,('3b Activity Plan'!$C$173:$C$365=$AG$130)*1)</f>
        <v>0</v>
      </c>
      <c r="AP133" s="1558">
        <f ca="1">SUMPRODUCT('3b Activity Plan'!$AN$173:$AN$365,OFFSET('3b Activity Plan'!$DJ$173:$DJ$365,0,$CU133-1),'3b Activity Plan'!AX$173:AX$365,'3b Activity Plan'!$AH$173:$AH$365,'3b Activity Plan'!$CY$173:$CY$365,('3b Activity Plan'!$C$173:$C$365=$AG$130)*1)</f>
        <v>0</v>
      </c>
      <c r="AQ133" s="1602">
        <f ca="1">SUMPRODUCT('3b Activity Plan'!$AN$173:$AN$365,OFFSET('3b Activity Plan'!$DJ$173:$DJ$365,0,$CU133-1),'3b Activity Plan'!AO$173:AO$365,'3b Activity Plan'!$AH$173:$AH$365,'3b Activity Plan'!$CY$173:$CY$365,('3b Activity Plan'!$C$173:$C$365=$AQ$130)*1)</f>
        <v>0</v>
      </c>
      <c r="AR133" s="1558">
        <f ca="1">SUMPRODUCT('3b Activity Plan'!$AN$173:$AN$365,OFFSET('3b Activity Plan'!$DJ$173:$DJ$365,0,$CU133-1),'3b Activity Plan'!AP$173:AP$365,'3b Activity Plan'!$AH$173:$AH$365,'3b Activity Plan'!$CY$173:$CY$365,('3b Activity Plan'!$C$173:$C$365=$AQ$130)*1)</f>
        <v>0</v>
      </c>
      <c r="AS133" s="1558">
        <f ca="1">SUMPRODUCT('3b Activity Plan'!$AN$173:$AN$365,OFFSET('3b Activity Plan'!$DJ$173:$DJ$365,0,$CU133-1),'3b Activity Plan'!AQ$173:AQ$365,'3b Activity Plan'!$AH$173:$AH$365,'3b Activity Plan'!$CY$173:$CY$365,('3b Activity Plan'!$C$173:$C$365=$AQ$130)*1)</f>
        <v>0</v>
      </c>
      <c r="AT133" s="1558">
        <f ca="1">SUMPRODUCT('3b Activity Plan'!$AN$173:$AN$365,OFFSET('3b Activity Plan'!$DJ$173:$DJ$365,0,$CU133-1),'3b Activity Plan'!AR$173:AR$365,'3b Activity Plan'!$AH$173:$AH$365,'3b Activity Plan'!$CY$173:$CY$365,('3b Activity Plan'!$C$173:$C$365=$AQ$130)*1)</f>
        <v>0</v>
      </c>
      <c r="AU133" s="1558">
        <f ca="1">SUMPRODUCT('3b Activity Plan'!$AN$173:$AN$365,OFFSET('3b Activity Plan'!$DJ$173:$DJ$365,0,$CU133-1),'3b Activity Plan'!AS$173:AS$365,'3b Activity Plan'!$AH$173:$AH$365,'3b Activity Plan'!$CY$173:$CY$365,('3b Activity Plan'!$C$173:$C$365=$AQ$130)*1)</f>
        <v>0</v>
      </c>
      <c r="AV133" s="1558">
        <f ca="1">SUMPRODUCT('3b Activity Plan'!$AN$173:$AN$365,OFFSET('3b Activity Plan'!$DJ$173:$DJ$365,0,$CU133-1),'3b Activity Plan'!AT$173:AT$365,'3b Activity Plan'!$AH$173:$AH$365,'3b Activity Plan'!$CY$173:$CY$365,('3b Activity Plan'!$C$173:$C$365=$AQ$130)*1)</f>
        <v>0</v>
      </c>
      <c r="AW133" s="1558">
        <f ca="1">SUMPRODUCT('3b Activity Plan'!$AN$173:$AN$365,OFFSET('3b Activity Plan'!$DJ$173:$DJ$365,0,$CU133-1),'3b Activity Plan'!AU$173:AU$365,'3b Activity Plan'!$AH$173:$AH$365,'3b Activity Plan'!$CY$173:$CY$365,('3b Activity Plan'!$C$173:$C$365=$AQ$130)*1)</f>
        <v>0</v>
      </c>
      <c r="AX133" s="1558">
        <f ca="1">SUMPRODUCT('3b Activity Plan'!$AN$173:$AN$365,OFFSET('3b Activity Plan'!$DJ$173:$DJ$365,0,$CU133-1),'3b Activity Plan'!AV$173:AV$365,'3b Activity Plan'!$AH$173:$AH$365,'3b Activity Plan'!$CY$173:$CY$365,('3b Activity Plan'!$C$173:$C$365=$AQ$130)*1)</f>
        <v>0</v>
      </c>
      <c r="AY133" s="1558">
        <f ca="1">SUMPRODUCT('3b Activity Plan'!$AN$173:$AN$365,OFFSET('3b Activity Plan'!$DJ$173:$DJ$365,0,$CU133-1),'3b Activity Plan'!AW$173:AW$365,'3b Activity Plan'!$AH$173:$AH$365,'3b Activity Plan'!$CY$173:$CY$365,('3b Activity Plan'!$C$173:$C$365=$AQ$130)*1)</f>
        <v>0</v>
      </c>
      <c r="AZ133" s="1558">
        <f ca="1">SUMPRODUCT('3b Activity Plan'!$AN$173:$AN$365,OFFSET('3b Activity Plan'!$DJ$173:$DJ$365,0,$CU133-1),'3b Activity Plan'!AX$173:AX$365,'3b Activity Plan'!$AH$173:$AH$365,'3b Activity Plan'!$CY$173:$CY$365,('3b Activity Plan'!$C$173:$C$365=$AQ$130)*1)</f>
        <v>0</v>
      </c>
      <c r="BA133" s="1602">
        <f ca="1">SUMPRODUCT('3b Activity Plan'!$AN$173:$AN$365,OFFSET('3b Activity Plan'!$DJ$173:$DJ$365,0,$CU133-1),'3b Activity Plan'!AO$173:AO$365,'3b Activity Plan'!$AH$173:$AH$365,'3b Activity Plan'!$CY$173:$CY$365,('3b Activity Plan'!$C$173:$C$365=$BA$130)*1)</f>
        <v>0</v>
      </c>
      <c r="BB133" s="1558">
        <f ca="1">SUMPRODUCT('3b Activity Plan'!$AN$173:$AN$365,OFFSET('3b Activity Plan'!$DJ$173:$DJ$365,0,$CU133-1),'3b Activity Plan'!AP$173:AP$365,'3b Activity Plan'!$AH$173:$AH$365,'3b Activity Plan'!$CY$173:$CY$365,('3b Activity Plan'!$C$173:$C$365=$BA$130)*1)</f>
        <v>0</v>
      </c>
      <c r="BC133" s="1558">
        <f ca="1">SUMPRODUCT('3b Activity Plan'!$AN$173:$AN$365,OFFSET('3b Activity Plan'!$DJ$173:$DJ$365,0,$CU133-1),'3b Activity Plan'!AQ$173:AQ$365,'3b Activity Plan'!$AH$173:$AH$365,'3b Activity Plan'!$CY$173:$CY$365,('3b Activity Plan'!$C$173:$C$365=$BA$130)*1)</f>
        <v>0</v>
      </c>
      <c r="BD133" s="1558">
        <f ca="1">SUMPRODUCT('3b Activity Plan'!$AN$173:$AN$365,OFFSET('3b Activity Plan'!$DJ$173:$DJ$365,0,$CU133-1),'3b Activity Plan'!AR$173:AR$365,'3b Activity Plan'!$AH$173:$AH$365,'3b Activity Plan'!$CY$173:$CY$365,('3b Activity Plan'!$C$173:$C$365=$BA$130)*1)</f>
        <v>0</v>
      </c>
      <c r="BE133" s="1558">
        <f ca="1">SUMPRODUCT('3b Activity Plan'!$AN$173:$AN$365,OFFSET('3b Activity Plan'!$DJ$173:$DJ$365,0,$CU133-1),'3b Activity Plan'!AS$173:AS$365,'3b Activity Plan'!$AH$173:$AH$365,'3b Activity Plan'!$CY$173:$CY$365,('3b Activity Plan'!$C$173:$C$365=$BA$130)*1)</f>
        <v>0</v>
      </c>
      <c r="BF133" s="1558">
        <f ca="1">SUMPRODUCT('3b Activity Plan'!$AN$173:$AN$365,OFFSET('3b Activity Plan'!$DJ$173:$DJ$365,0,$CU133-1),'3b Activity Plan'!AT$173:AT$365,'3b Activity Plan'!$AH$173:$AH$365,'3b Activity Plan'!$CY$173:$CY$365,('3b Activity Plan'!$C$173:$C$365=$BA$130)*1)</f>
        <v>0</v>
      </c>
      <c r="BG133" s="1558">
        <f ca="1">SUMPRODUCT('3b Activity Plan'!$AN$173:$AN$365,OFFSET('3b Activity Plan'!$DJ$173:$DJ$365,0,$CU133-1),'3b Activity Plan'!AU$173:AU$365,'3b Activity Plan'!$AH$173:$AH$365,'3b Activity Plan'!$CY$173:$CY$365,('3b Activity Plan'!$C$173:$C$365=$BA$130)*1)</f>
        <v>0</v>
      </c>
      <c r="BH133" s="1558">
        <f ca="1">SUMPRODUCT('3b Activity Plan'!$AN$173:$AN$365,OFFSET('3b Activity Plan'!$DJ$173:$DJ$365,0,$CU133-1),'3b Activity Plan'!AV$173:AV$365,'3b Activity Plan'!$AH$173:$AH$365,'3b Activity Plan'!$CY$173:$CY$365,('3b Activity Plan'!$C$173:$C$365=$BA$130)*1)</f>
        <v>0</v>
      </c>
      <c r="BI133" s="1558">
        <f ca="1">SUMPRODUCT('3b Activity Plan'!$AN$173:$AN$365,OFFSET('3b Activity Plan'!$DJ$173:$DJ$365,0,$CU133-1),'3b Activity Plan'!AW$173:AW$365,'3b Activity Plan'!$AH$173:$AH$365,'3b Activity Plan'!$CY$173:$CY$365,('3b Activity Plan'!$C$173:$C$365=$BA$130)*1)</f>
        <v>0</v>
      </c>
      <c r="BJ133" s="1558">
        <f ca="1">SUMPRODUCT('3b Activity Plan'!$AN$173:$AN$365,OFFSET('3b Activity Plan'!$DJ$173:$DJ$365,0,$CU133-1),'3b Activity Plan'!AX$173:AX$365,'3b Activity Plan'!$AH$173:$AH$365,'3b Activity Plan'!$CY$173:$CY$365,('3b Activity Plan'!$C$173:$C$365=$BA$130)*1)</f>
        <v>0</v>
      </c>
      <c r="BK133" s="1602">
        <f ca="1">SUMPRODUCT('3b Activity Plan'!$AN$173:$AN$365,OFFSET('3b Activity Plan'!$DJ$173:$DJ$365,0,$CU133-1),'3b Activity Plan'!AO$173:AO$365,'3b Activity Plan'!$AH$173:$AH$365,'3b Activity Plan'!$CY$173:$CY$365,('3b Activity Plan'!$C$173:$C$365=$BK$130)*1)</f>
        <v>0</v>
      </c>
      <c r="BL133" s="1558">
        <f ca="1">SUMPRODUCT('3b Activity Plan'!$AN$173:$AN$365,OFFSET('3b Activity Plan'!$DJ$173:$DJ$365,0,$CU133-1),'3b Activity Plan'!AP$173:AP$365,'3b Activity Plan'!$AH$173:$AH$365,'3b Activity Plan'!$CY$173:$CY$365,('3b Activity Plan'!$C$173:$C$365=$BK$130)*1)</f>
        <v>0</v>
      </c>
      <c r="BM133" s="1558">
        <f ca="1">SUMPRODUCT('3b Activity Plan'!$AN$173:$AN$365,OFFSET('3b Activity Plan'!$DJ$173:$DJ$365,0,$CU133-1),'3b Activity Plan'!AQ$173:AQ$365,'3b Activity Plan'!$AH$173:$AH$365,'3b Activity Plan'!$CY$173:$CY$365,('3b Activity Plan'!$C$173:$C$365=$BK$130)*1)</f>
        <v>0</v>
      </c>
      <c r="BN133" s="1558">
        <f ca="1">SUMPRODUCT('3b Activity Plan'!$AN$173:$AN$365,OFFSET('3b Activity Plan'!$DJ$173:$DJ$365,0,$CU133-1),'3b Activity Plan'!AR$173:AR$365,'3b Activity Plan'!$AH$173:$AH$365,'3b Activity Plan'!$CY$173:$CY$365,('3b Activity Plan'!$C$173:$C$365=$BK$130)*1)</f>
        <v>0</v>
      </c>
      <c r="BO133" s="1558">
        <f ca="1">SUMPRODUCT('3b Activity Plan'!$AN$173:$AN$365,OFFSET('3b Activity Plan'!$DJ$173:$DJ$365,0,$CU133-1),'3b Activity Plan'!AS$173:AS$365,'3b Activity Plan'!$AH$173:$AH$365,'3b Activity Plan'!$CY$173:$CY$365,('3b Activity Plan'!$C$173:$C$365=$BK$130)*1)</f>
        <v>0</v>
      </c>
      <c r="BP133" s="1558">
        <f ca="1">SUMPRODUCT('3b Activity Plan'!$AN$173:$AN$365,OFFSET('3b Activity Plan'!$DJ$173:$DJ$365,0,$CU133-1),'3b Activity Plan'!AT$173:AT$365,'3b Activity Plan'!$AH$173:$AH$365,'3b Activity Plan'!$CY$173:$CY$365,('3b Activity Plan'!$C$173:$C$365=$BK$130)*1)</f>
        <v>0</v>
      </c>
      <c r="BQ133" s="1558">
        <f ca="1">SUMPRODUCT('3b Activity Plan'!$AN$173:$AN$365,OFFSET('3b Activity Plan'!$DJ$173:$DJ$365,0,$CU133-1),'3b Activity Plan'!AU$173:AU$365,'3b Activity Plan'!$AH$173:$AH$365,'3b Activity Plan'!$CY$173:$CY$365,('3b Activity Plan'!$C$173:$C$365=$BK$130)*1)</f>
        <v>0</v>
      </c>
      <c r="BR133" s="1558">
        <f ca="1">SUMPRODUCT('3b Activity Plan'!$AN$173:$AN$365,OFFSET('3b Activity Plan'!$DJ$173:$DJ$365,0,$CU133-1),'3b Activity Plan'!AV$173:AV$365,'3b Activity Plan'!$AH$173:$AH$365,'3b Activity Plan'!$CY$173:$CY$365,('3b Activity Plan'!$C$173:$C$365=$BK$130)*1)</f>
        <v>0</v>
      </c>
      <c r="BS133" s="1558">
        <f ca="1">SUMPRODUCT('3b Activity Plan'!$AN$173:$AN$365,OFFSET('3b Activity Plan'!$DJ$173:$DJ$365,0,$CU133-1),'3b Activity Plan'!AW$173:AW$365,'3b Activity Plan'!$AH$173:$AH$365,'3b Activity Plan'!$CY$173:$CY$365,('3b Activity Plan'!$C$173:$C$365=$BK$130)*1)</f>
        <v>0</v>
      </c>
      <c r="BT133" s="1558">
        <f ca="1">SUMPRODUCT('3b Activity Plan'!$AN$173:$AN$365,OFFSET('3b Activity Plan'!$DJ$173:$DJ$365,0,$CU133-1),'3b Activity Plan'!AX$173:AX$365,'3b Activity Plan'!$AH$173:$AH$365,'3b Activity Plan'!$CY$173:$CY$365,('3b Activity Plan'!$C$173:$C$365=$BK$130)*1)</f>
        <v>0</v>
      </c>
      <c r="BU133" s="1587"/>
      <c r="BV133" s="1587"/>
      <c r="BW133" s="1587"/>
      <c r="BX133" s="1556"/>
      <c r="BY133" s="1556"/>
      <c r="BZ133" s="1556"/>
      <c r="CA133" s="1024">
        <f ca="1">SUMIFS('3a Staff Plan'!$T$129:$T$305,'3a Staff Plan'!$DY$129:$DY$305,CZ133,'3a Staff Plan'!$DF$129:$DF$305,1)</f>
        <v>0</v>
      </c>
      <c r="CB133" s="1025">
        <f ca="1">SUMIFS('3a Staff Plan'!$T$129:$T$305,'3a Staff Plan'!$DY$129:$DY$305,$CZ133,'3a Staff Plan'!$DF$129:$DF$305,1,'3a Staff Plan'!$C$129:$C$305,DC$18)</f>
        <v>0</v>
      </c>
      <c r="CC133" s="1026">
        <f ca="1">SUMIFS('3a Staff Plan'!$T$129:$T$305,'3a Staff Plan'!$DY$129:$DY$305,$CZ133,'3a Staff Plan'!$DF$129:$DF$305,1,'3a Staff Plan'!$C$129:$C$305,DD$18)</f>
        <v>0</v>
      </c>
      <c r="CD133" s="1026">
        <f ca="1">SUMIFS('3a Staff Plan'!$T$129:$T$305,'3a Staff Plan'!$DY$129:$DY$305,$CZ133,'3a Staff Plan'!$DF$129:$DF$305,1,'3a Staff Plan'!$C$129:$C$305,DE$18)</f>
        <v>0</v>
      </c>
      <c r="CE133" s="1026">
        <f ca="1">SUMIFS('3a Staff Plan'!$T$129:$T$305,'3a Staff Plan'!$DY$129:$DY$305,$CZ133,'3a Staff Plan'!$DF$129:$DF$305,1,'3a Staff Plan'!$C$129:$C$305,DF$18)</f>
        <v>0</v>
      </c>
      <c r="CF133" s="1026">
        <f ca="1">SUMIFS('3a Staff Plan'!$T$129:$T$305,'3a Staff Plan'!$DY$129:$DY$305,$CZ133,'3a Staff Plan'!$DF$129:$DF$305,1,'3a Staff Plan'!$C$129:$C$305,DG$18)</f>
        <v>0</v>
      </c>
      <c r="CG133" s="1026">
        <f ca="1">SUMIFS('3a Staff Plan'!$T$129:$T$305,'3a Staff Plan'!$DY$129:$DY$305,$CZ133,'3a Staff Plan'!$DF$129:$DF$305,1,'3a Staff Plan'!$C$129:$C$305,DH$18)</f>
        <v>0</v>
      </c>
      <c r="CH133" s="1026">
        <f ca="1">SUMIFS('3a Staff Plan'!$T$129:$T$305,'3a Staff Plan'!$DY$129:$DY$305,$CZ133,'3a Staff Plan'!$DF$129:$DF$305,1,'3a Staff Plan'!$C$129:$C$305,DI$18)</f>
        <v>0</v>
      </c>
      <c r="CI133" s="755"/>
      <c r="CJ133" s="1024">
        <f ca="1">SUMPRODUCT('3b Activity Plan'!$AN$173:$AN$365,'3b Activity Plan'!$CY$173:$CY$365,'3b Activity Plan'!$AH$173:$AH$365,OFFSET('3b Activity Plan'!$DJ$173:$DJ$365,0,$CU133-1))</f>
        <v>0</v>
      </c>
      <c r="CK133" s="1025">
        <f ca="1">SUM($C133:$L133)</f>
        <v>0</v>
      </c>
      <c r="CL133" s="1026">
        <f ca="1">SUM($M133:$V133)</f>
        <v>0</v>
      </c>
      <c r="CM133" s="1026">
        <f ca="1">SUM($W133:$AF133)</f>
        <v>0</v>
      </c>
      <c r="CN133" s="1026">
        <f ca="1">SUM($AG133:$AP133)</f>
        <v>0</v>
      </c>
      <c r="CO133" s="1026">
        <f ca="1">SUM($AQ133:$AZ133)</f>
        <v>0</v>
      </c>
      <c r="CP133" s="1026">
        <f ca="1">SUM($BA133:$BJ133)</f>
        <v>0</v>
      </c>
      <c r="CQ133" s="1026">
        <f ca="1">SUM($BA133:$BT133)</f>
        <v>0</v>
      </c>
      <c r="CR133" s="417"/>
      <c r="CS133" s="417">
        <v>1</v>
      </c>
      <c r="CT133" s="417">
        <f ca="1">OFFSET('2 Staff List'!$GU$64,CS133-1,0)</f>
        <v>1</v>
      </c>
      <c r="CU133" s="417">
        <f ca="1">IF(CZ133=0,0,IFERROR(INDEX('3b Activity Plan'!$DJ$20:$FH$20,MATCH(CT133,'3b Activity Plan'!$DJ$171:$FH$171,0)),0))</f>
        <v>1</v>
      </c>
      <c r="CV133" s="417">
        <f ca="1">INDEX('2 Staff List'!$HW$64:$HW$114,CT133)</f>
        <v>0</v>
      </c>
      <c r="CW133" s="417"/>
      <c r="CY133" s="928" t="str">
        <f ca="1">OFFSET('2 Staff List'!$HZ$64,CS133-1,0)</f>
        <v>L1A Designated Project Executive</v>
      </c>
      <c r="CZ133" s="968" t="str">
        <f ca="1">OFFSET('2 Staff List'!$IA$64,CT133-1,0)</f>
        <v>Waite Andy</v>
      </c>
      <c r="DA133" s="3853">
        <f t="shared" ref="DA133:DA167" ca="1" si="92">(CJ133*$DE$4)+(CA133*$DE$3)</f>
        <v>0</v>
      </c>
      <c r="DB133" s="3854"/>
      <c r="DC133" s="2401">
        <f t="shared" ca="1" si="85"/>
        <v>0</v>
      </c>
      <c r="DD133" s="2401">
        <f t="shared" ca="1" si="86"/>
        <v>0</v>
      </c>
      <c r="DE133" s="2402">
        <f t="shared" ca="1" si="87"/>
        <v>0</v>
      </c>
      <c r="DF133" s="2402">
        <f t="shared" ca="1" si="88"/>
        <v>0</v>
      </c>
      <c r="DG133" s="2402">
        <f t="shared" ca="1" si="89"/>
        <v>0</v>
      </c>
      <c r="DH133" s="2403">
        <f t="shared" ca="1" si="90"/>
        <v>0</v>
      </c>
      <c r="DI133" s="2404">
        <f t="shared" ca="1" si="91"/>
        <v>0</v>
      </c>
    </row>
    <row r="134" spans="1:113" ht="15.9" customHeight="1" x14ac:dyDescent="0.25">
      <c r="A134" s="1051"/>
      <c r="B134" s="1556"/>
      <c r="C134" s="1558">
        <f ca="1">SUMPRODUCT('3b Activity Plan'!$AN$173:$AN$365,OFFSET('3b Activity Plan'!$DJ$173:$DJ$365,0,$CU134-1),'3b Activity Plan'!AO$173:AO$365,'3b Activity Plan'!$AH$173:$AH$365,'3b Activity Plan'!$CY$173:$CY$365,('3b Activity Plan'!$C$173:$C$365=$C$130)*1)</f>
        <v>0</v>
      </c>
      <c r="D134" s="1558">
        <f ca="1">SUMPRODUCT('3b Activity Plan'!$AN$173:$AN$365,OFFSET('3b Activity Plan'!$DJ$173:$DJ$365,0,$CU134-1),'3b Activity Plan'!AP$173:AP$365,'3b Activity Plan'!$AH$173:$AH$365,'3b Activity Plan'!$CY$173:$CY$365,('3b Activity Plan'!$C$173:$C$365=$C$130)*1)</f>
        <v>0</v>
      </c>
      <c r="E134" s="1558">
        <f ca="1">SUMPRODUCT('3b Activity Plan'!$AN$173:$AN$365,OFFSET('3b Activity Plan'!$DJ$173:$DJ$365,0,$CU134-1),'3b Activity Plan'!AQ$173:AQ$365,'3b Activity Plan'!$AH$173:$AH$365,'3b Activity Plan'!$CY$173:$CY$365,('3b Activity Plan'!$C$173:$C$365=$C$130)*1)</f>
        <v>0</v>
      </c>
      <c r="F134" s="1558">
        <f ca="1">SUMPRODUCT('3b Activity Plan'!$AN$173:$AN$365,OFFSET('3b Activity Plan'!$DJ$173:$DJ$365,0,$CU134-1),'3b Activity Plan'!AR$173:AR$365,'3b Activity Plan'!$AH$173:$AH$365,'3b Activity Plan'!$CY$173:$CY$365,('3b Activity Plan'!$C$173:$C$365=$C$130)*1)</f>
        <v>0</v>
      </c>
      <c r="G134" s="1558">
        <f ca="1">SUMPRODUCT('3b Activity Plan'!$AN$173:$AN$365,OFFSET('3b Activity Plan'!$DJ$173:$DJ$365,0,$CU134-1),'3b Activity Plan'!AS$173:AS$365,'3b Activity Plan'!$AH$173:$AH$365,'3b Activity Plan'!$CY$173:$CY$365,('3b Activity Plan'!$C$173:$C$365=$C$130)*1)</f>
        <v>0</v>
      </c>
      <c r="H134" s="1558">
        <f ca="1">SUMPRODUCT('3b Activity Plan'!$AN$173:$AN$365,OFFSET('3b Activity Plan'!$DJ$173:$DJ$365,0,$CU134-1),'3b Activity Plan'!AT$173:AT$365,'3b Activity Plan'!$AH$173:$AH$365,'3b Activity Plan'!$CY$173:$CY$365,('3b Activity Plan'!$C$173:$C$365=$C$130)*1)</f>
        <v>0</v>
      </c>
      <c r="I134" s="1558">
        <f ca="1">SUMPRODUCT('3b Activity Plan'!$AN$173:$AN$365,OFFSET('3b Activity Plan'!$DJ$173:$DJ$365,0,$CU134-1),'3b Activity Plan'!AU$173:AU$365,'3b Activity Plan'!$AH$173:$AH$365,'3b Activity Plan'!$CY$173:$CY$365,('3b Activity Plan'!$C$173:$C$365=$C$130)*1)</f>
        <v>0</v>
      </c>
      <c r="J134" s="1558">
        <f ca="1">SUMPRODUCT('3b Activity Plan'!$AN$173:$AN$365,OFFSET('3b Activity Plan'!$DJ$173:$DJ$365,0,$CU134-1),'3b Activity Plan'!AV$173:AV$365,'3b Activity Plan'!$AH$173:$AH$365,'3b Activity Plan'!$CY$173:$CY$365,('3b Activity Plan'!$C$173:$C$365=$C$130)*1)</f>
        <v>0</v>
      </c>
      <c r="K134" s="1558">
        <f ca="1">SUMPRODUCT('3b Activity Plan'!$AN$173:$AN$365,OFFSET('3b Activity Plan'!$DJ$173:$DJ$365,0,$CU134-1),'3b Activity Plan'!AW$173:AW$365,'3b Activity Plan'!$AH$173:$AH$365,'3b Activity Plan'!$CY$173:$CY$365,('3b Activity Plan'!$C$173:$C$365=$C$130)*1)</f>
        <v>0</v>
      </c>
      <c r="L134" s="1601">
        <f ca="1">SUMPRODUCT('3b Activity Plan'!$AN$173:$AN$365,OFFSET('3b Activity Plan'!$DJ$173:$DJ$365,0,$CU134-1),'3b Activity Plan'!AX$173:AX$365,'3b Activity Plan'!$AH$173:$AH$365,'3b Activity Plan'!$CY$173:$CY$365,('3b Activity Plan'!$C$173:$C$365=$C$130)*1)</f>
        <v>0</v>
      </c>
      <c r="M134" s="1602">
        <f ca="1">SUMPRODUCT('3b Activity Plan'!$AN$173:$AN$365,OFFSET('3b Activity Plan'!$DJ$173:$DJ$365,0,$CU134-1),'3b Activity Plan'!AO$173:AO$365,'3b Activity Plan'!$AH$173:$AH$365,'3b Activity Plan'!$CY$173:$CY$365,('3b Activity Plan'!$C$173:$C$365=$M$130)*1)</f>
        <v>0</v>
      </c>
      <c r="N134" s="1558">
        <f ca="1">SUMPRODUCT('3b Activity Plan'!$AN$173:$AN$365,OFFSET('3b Activity Plan'!$DJ$173:$DJ$365,0,$CU134-1),'3b Activity Plan'!AP$173:AP$365,'3b Activity Plan'!$AH$173:$AH$365,'3b Activity Plan'!$CY$173:$CY$365,('3b Activity Plan'!$C$173:$C$365=$M$130)*1)</f>
        <v>0</v>
      </c>
      <c r="O134" s="1558">
        <f ca="1">SUMPRODUCT('3b Activity Plan'!$AN$173:$AN$365,OFFSET('3b Activity Plan'!$DJ$173:$DJ$365,0,$CU134-1),'3b Activity Plan'!AQ$173:AQ$365,'3b Activity Plan'!$AH$173:$AH$365,'3b Activity Plan'!$CY$173:$CY$365,('3b Activity Plan'!$C$173:$C$365=$M$130)*1)</f>
        <v>0</v>
      </c>
      <c r="P134" s="1558">
        <f ca="1">SUMPRODUCT('3b Activity Plan'!$AN$173:$AN$365,OFFSET('3b Activity Plan'!$DJ$173:$DJ$365,0,$CU134-1),'3b Activity Plan'!AR$173:AR$365,'3b Activity Plan'!$AH$173:$AH$365,'3b Activity Plan'!$CY$173:$CY$365,('3b Activity Plan'!$C$173:$C$365=$M$130)*1)</f>
        <v>0</v>
      </c>
      <c r="Q134" s="1558">
        <f ca="1">SUMPRODUCT('3b Activity Plan'!$AN$173:$AN$365,OFFSET('3b Activity Plan'!$DJ$173:$DJ$365,0,$CU134-1),'3b Activity Plan'!AS$173:AS$365,'3b Activity Plan'!$AH$173:$AH$365,'3b Activity Plan'!$CY$173:$CY$365,('3b Activity Plan'!$C$173:$C$365=$M$130)*1)</f>
        <v>0</v>
      </c>
      <c r="R134" s="1558">
        <f ca="1">SUMPRODUCT('3b Activity Plan'!$AN$173:$AN$365,OFFSET('3b Activity Plan'!$DJ$173:$DJ$365,0,$CU134-1),'3b Activity Plan'!AT$173:AT$365,'3b Activity Plan'!$AH$173:$AH$365,'3b Activity Plan'!$CY$173:$CY$365,('3b Activity Plan'!$C$173:$C$365=$M$130)*1)</f>
        <v>0</v>
      </c>
      <c r="S134" s="1558">
        <f ca="1">SUMPRODUCT('3b Activity Plan'!$AN$173:$AN$365,OFFSET('3b Activity Plan'!$DJ$173:$DJ$365,0,$CU134-1),'3b Activity Plan'!AU$173:AU$365,'3b Activity Plan'!$AH$173:$AH$365,'3b Activity Plan'!$CY$173:$CY$365,('3b Activity Plan'!$C$173:$C$365=$M$130)*1)</f>
        <v>0</v>
      </c>
      <c r="T134" s="1558">
        <f ca="1">SUMPRODUCT('3b Activity Plan'!$AN$173:$AN$365,OFFSET('3b Activity Plan'!$DJ$173:$DJ$365,0,$CU134-1),'3b Activity Plan'!AV$173:AV$365,'3b Activity Plan'!$AH$173:$AH$365,'3b Activity Plan'!$CY$173:$CY$365,('3b Activity Plan'!$C$173:$C$365=$M$130)*1)</f>
        <v>0</v>
      </c>
      <c r="U134" s="1558">
        <f ca="1">SUMPRODUCT('3b Activity Plan'!$AN$173:$AN$365,OFFSET('3b Activity Plan'!$DJ$173:$DJ$365,0,$CU134-1),'3b Activity Plan'!AW$173:AW$365,'3b Activity Plan'!$AH$173:$AH$365,'3b Activity Plan'!$CY$173:$CY$365,('3b Activity Plan'!$C$173:$C$365=$M$130)*1)</f>
        <v>0</v>
      </c>
      <c r="V134" s="1601">
        <f ca="1">SUMPRODUCT('3b Activity Plan'!$AN$173:$AN$365,OFFSET('3b Activity Plan'!$DJ$173:$DJ$365,0,$CU134-1),'3b Activity Plan'!AX$173:AX$365,'3b Activity Plan'!$AH$173:$AH$365,'3b Activity Plan'!$CY$173:$CY$365,('3b Activity Plan'!$C$173:$C$365=$M$130)*1)</f>
        <v>0</v>
      </c>
      <c r="W134" s="1602">
        <f ca="1">SUMPRODUCT('3b Activity Plan'!$AN$173:$AN$365,OFFSET('3b Activity Plan'!$DJ$173:$DJ$365,0,$CU134-1),'3b Activity Plan'!AO$173:AO$365,'3b Activity Plan'!$AH$173:$AH$365,'3b Activity Plan'!$CY$173:$CY$365,('3b Activity Plan'!$C$173:$C$365=$W$130)*1)</f>
        <v>0</v>
      </c>
      <c r="X134" s="1558">
        <f ca="1">SUMPRODUCT('3b Activity Plan'!$AN$173:$AN$365,OFFSET('3b Activity Plan'!$DJ$173:$DJ$365,0,$CU134-1),'3b Activity Plan'!AP$173:AP$365,'3b Activity Plan'!$AH$173:$AH$365,'3b Activity Plan'!$CY$173:$CY$365,('3b Activity Plan'!$C$173:$C$365=$W$130)*1)</f>
        <v>0</v>
      </c>
      <c r="Y134" s="1558">
        <f ca="1">SUMPRODUCT('3b Activity Plan'!$AN$173:$AN$365,OFFSET('3b Activity Plan'!$DJ$173:$DJ$365,0,$CU134-1),'3b Activity Plan'!AQ$173:AQ$365,'3b Activity Plan'!$AH$173:$AH$365,'3b Activity Plan'!$CY$173:$CY$365,('3b Activity Plan'!$C$173:$C$365=$W$130)*1)</f>
        <v>0</v>
      </c>
      <c r="Z134" s="1558">
        <f ca="1">SUMPRODUCT('3b Activity Plan'!$AN$173:$AN$365,OFFSET('3b Activity Plan'!$DJ$173:$DJ$365,0,$CU134-1),'3b Activity Plan'!AR$173:AR$365,'3b Activity Plan'!$AH$173:$AH$365,'3b Activity Plan'!$CY$173:$CY$365,('3b Activity Plan'!$C$173:$C$365=$W$130)*1)</f>
        <v>0</v>
      </c>
      <c r="AA134" s="1558">
        <f ca="1">SUMPRODUCT('3b Activity Plan'!$AN$173:$AN$365,OFFSET('3b Activity Plan'!$DJ$173:$DJ$365,0,$CU134-1),'3b Activity Plan'!AS$173:AS$365,'3b Activity Plan'!$AH$173:$AH$365,'3b Activity Plan'!$CY$173:$CY$365,('3b Activity Plan'!$C$173:$C$365=$W$130)*1)</f>
        <v>0</v>
      </c>
      <c r="AB134" s="1558">
        <f ca="1">SUMPRODUCT('3b Activity Plan'!$AN$173:$AN$365,OFFSET('3b Activity Plan'!$DJ$173:$DJ$365,0,$CU134-1),'3b Activity Plan'!AT$173:AT$365,'3b Activity Plan'!$AH$173:$AH$365,'3b Activity Plan'!$CY$173:$CY$365,('3b Activity Plan'!$C$173:$C$365=$W$130)*1)</f>
        <v>0</v>
      </c>
      <c r="AC134" s="1558">
        <f ca="1">SUMPRODUCT('3b Activity Plan'!$AN$173:$AN$365,OFFSET('3b Activity Plan'!$DJ$173:$DJ$365,0,$CU134-1),'3b Activity Plan'!AU$173:AU$365,'3b Activity Plan'!$AH$173:$AH$365,'3b Activity Plan'!$CY$173:$CY$365,('3b Activity Plan'!$C$173:$C$365=$W$130)*1)</f>
        <v>0</v>
      </c>
      <c r="AD134" s="1558">
        <f ca="1">SUMPRODUCT('3b Activity Plan'!$AN$173:$AN$365,OFFSET('3b Activity Plan'!$DJ$173:$DJ$365,0,$CU134-1),'3b Activity Plan'!AV$173:AV$365,'3b Activity Plan'!$AH$173:$AH$365,'3b Activity Plan'!$CY$173:$CY$365,('3b Activity Plan'!$C$173:$C$365=$W$130)*1)</f>
        <v>0</v>
      </c>
      <c r="AE134" s="1558">
        <f ca="1">SUMPRODUCT('3b Activity Plan'!$AN$173:$AN$365,OFFSET('3b Activity Plan'!$DJ$173:$DJ$365,0,$CU134-1),'3b Activity Plan'!AW$173:AW$365,'3b Activity Plan'!$AH$173:$AH$365,'3b Activity Plan'!$CY$173:$CY$365,('3b Activity Plan'!$C$173:$C$365=$W$130)*1)</f>
        <v>0</v>
      </c>
      <c r="AF134" s="1558">
        <f ca="1">SUMPRODUCT('3b Activity Plan'!$AN$173:$AN$365,OFFSET('3b Activity Plan'!$DJ$173:$DJ$365,0,$CU134-1),'3b Activity Plan'!AX$173:AX$365,'3b Activity Plan'!$AH$173:$AH$365,'3b Activity Plan'!$CY$173:$CY$365,('3b Activity Plan'!$C$173:$C$365=$W$130)*1)</f>
        <v>0</v>
      </c>
      <c r="AG134" s="1602">
        <f ca="1">SUMPRODUCT('3b Activity Plan'!$AN$173:$AN$365,OFFSET('3b Activity Plan'!$DJ$173:$DJ$365,0,$CU134-1),'3b Activity Plan'!AO$173:AO$365,'3b Activity Plan'!$AH$173:$AH$365,'3b Activity Plan'!$CY$173:$CY$365,('3b Activity Plan'!$C$173:$C$365=$AG$130)*1)</f>
        <v>0</v>
      </c>
      <c r="AH134" s="1558">
        <f ca="1">SUMPRODUCT('3b Activity Plan'!$AN$173:$AN$365,OFFSET('3b Activity Plan'!$DJ$173:$DJ$365,0,$CU134-1),'3b Activity Plan'!AP$173:AP$365,'3b Activity Plan'!$AH$173:$AH$365,'3b Activity Plan'!$CY$173:$CY$365,('3b Activity Plan'!$C$173:$C$365=$AG$130)*1)</f>
        <v>0</v>
      </c>
      <c r="AI134" s="1558">
        <f ca="1">SUMPRODUCT('3b Activity Plan'!$AN$173:$AN$365,OFFSET('3b Activity Plan'!$DJ$173:$DJ$365,0,$CU134-1),'3b Activity Plan'!AQ$173:AQ$365,'3b Activity Plan'!$AH$173:$AH$365,'3b Activity Plan'!$CY$173:$CY$365,('3b Activity Plan'!$C$173:$C$365=$AG$130)*1)</f>
        <v>0</v>
      </c>
      <c r="AJ134" s="1558">
        <f ca="1">SUMPRODUCT('3b Activity Plan'!$AN$173:$AN$365,OFFSET('3b Activity Plan'!$DJ$173:$DJ$365,0,$CU134-1),'3b Activity Plan'!AR$173:AR$365,'3b Activity Plan'!$AH$173:$AH$365,'3b Activity Plan'!$CY$173:$CY$365,('3b Activity Plan'!$C$173:$C$365=$AG$130)*1)</f>
        <v>0</v>
      </c>
      <c r="AK134" s="1558">
        <f ca="1">SUMPRODUCT('3b Activity Plan'!$AN$173:$AN$365,OFFSET('3b Activity Plan'!$DJ$173:$DJ$365,0,$CU134-1),'3b Activity Plan'!AS$173:AS$365,'3b Activity Plan'!$AH$173:$AH$365,'3b Activity Plan'!$CY$173:$CY$365,('3b Activity Plan'!$C$173:$C$365=$AG$130)*1)</f>
        <v>0</v>
      </c>
      <c r="AL134" s="1558">
        <f ca="1">SUMPRODUCT('3b Activity Plan'!$AN$173:$AN$365,OFFSET('3b Activity Plan'!$DJ$173:$DJ$365,0,$CU134-1),'3b Activity Plan'!AT$173:AT$365,'3b Activity Plan'!$AH$173:$AH$365,'3b Activity Plan'!$CY$173:$CY$365,('3b Activity Plan'!$C$173:$C$365=$AG$130)*1)</f>
        <v>0</v>
      </c>
      <c r="AM134" s="1558">
        <f ca="1">SUMPRODUCT('3b Activity Plan'!$AN$173:$AN$365,OFFSET('3b Activity Plan'!$DJ$173:$DJ$365,0,$CU134-1),'3b Activity Plan'!AU$173:AU$365,'3b Activity Plan'!$AH$173:$AH$365,'3b Activity Plan'!$CY$173:$CY$365,('3b Activity Plan'!$C$173:$C$365=$AG$130)*1)</f>
        <v>0</v>
      </c>
      <c r="AN134" s="1558">
        <f ca="1">SUMPRODUCT('3b Activity Plan'!$AN$173:$AN$365,OFFSET('3b Activity Plan'!$DJ$173:$DJ$365,0,$CU134-1),'3b Activity Plan'!AV$173:AV$365,'3b Activity Plan'!$AH$173:$AH$365,'3b Activity Plan'!$CY$173:$CY$365,('3b Activity Plan'!$C$173:$C$365=$AG$130)*1)</f>
        <v>0</v>
      </c>
      <c r="AO134" s="1558">
        <f ca="1">SUMPRODUCT('3b Activity Plan'!$AN$173:$AN$365,OFFSET('3b Activity Plan'!$DJ$173:$DJ$365,0,$CU134-1),'3b Activity Plan'!AW$173:AW$365,'3b Activity Plan'!$AH$173:$AH$365,'3b Activity Plan'!$CY$173:$CY$365,('3b Activity Plan'!$C$173:$C$365=$AG$130)*1)</f>
        <v>0</v>
      </c>
      <c r="AP134" s="1558">
        <f ca="1">SUMPRODUCT('3b Activity Plan'!$AN$173:$AN$365,OFFSET('3b Activity Plan'!$DJ$173:$DJ$365,0,$CU134-1),'3b Activity Plan'!AX$173:AX$365,'3b Activity Plan'!$AH$173:$AH$365,'3b Activity Plan'!$CY$173:$CY$365,('3b Activity Plan'!$C$173:$C$365=$AG$130)*1)</f>
        <v>0</v>
      </c>
      <c r="AQ134" s="1602">
        <f ca="1">SUMPRODUCT('3b Activity Plan'!$AN$173:$AN$365,OFFSET('3b Activity Plan'!$DJ$173:$DJ$365,0,$CU134-1),'3b Activity Plan'!AO$173:AO$365,'3b Activity Plan'!$AH$173:$AH$365,'3b Activity Plan'!$CY$173:$CY$365,('3b Activity Plan'!$C$173:$C$365=$AQ$130)*1)</f>
        <v>0</v>
      </c>
      <c r="AR134" s="1558">
        <f ca="1">SUMPRODUCT('3b Activity Plan'!$AN$173:$AN$365,OFFSET('3b Activity Plan'!$DJ$173:$DJ$365,0,$CU134-1),'3b Activity Plan'!AP$173:AP$365,'3b Activity Plan'!$AH$173:$AH$365,'3b Activity Plan'!$CY$173:$CY$365,('3b Activity Plan'!$C$173:$C$365=$AQ$130)*1)</f>
        <v>0</v>
      </c>
      <c r="AS134" s="1558">
        <f ca="1">SUMPRODUCT('3b Activity Plan'!$AN$173:$AN$365,OFFSET('3b Activity Plan'!$DJ$173:$DJ$365,0,$CU134-1),'3b Activity Plan'!AQ$173:AQ$365,'3b Activity Plan'!$AH$173:$AH$365,'3b Activity Plan'!$CY$173:$CY$365,('3b Activity Plan'!$C$173:$C$365=$AQ$130)*1)</f>
        <v>0</v>
      </c>
      <c r="AT134" s="1558">
        <f ca="1">SUMPRODUCT('3b Activity Plan'!$AN$173:$AN$365,OFFSET('3b Activity Plan'!$DJ$173:$DJ$365,0,$CU134-1),'3b Activity Plan'!AR$173:AR$365,'3b Activity Plan'!$AH$173:$AH$365,'3b Activity Plan'!$CY$173:$CY$365,('3b Activity Plan'!$C$173:$C$365=$AQ$130)*1)</f>
        <v>0</v>
      </c>
      <c r="AU134" s="1558">
        <f ca="1">SUMPRODUCT('3b Activity Plan'!$AN$173:$AN$365,OFFSET('3b Activity Plan'!$DJ$173:$DJ$365,0,$CU134-1),'3b Activity Plan'!AS$173:AS$365,'3b Activity Plan'!$AH$173:$AH$365,'3b Activity Plan'!$CY$173:$CY$365,('3b Activity Plan'!$C$173:$C$365=$AQ$130)*1)</f>
        <v>0</v>
      </c>
      <c r="AV134" s="1558">
        <f ca="1">SUMPRODUCT('3b Activity Plan'!$AN$173:$AN$365,OFFSET('3b Activity Plan'!$DJ$173:$DJ$365,0,$CU134-1),'3b Activity Plan'!AT$173:AT$365,'3b Activity Plan'!$AH$173:$AH$365,'3b Activity Plan'!$CY$173:$CY$365,('3b Activity Plan'!$C$173:$C$365=$AQ$130)*1)</f>
        <v>0</v>
      </c>
      <c r="AW134" s="1558">
        <f ca="1">SUMPRODUCT('3b Activity Plan'!$AN$173:$AN$365,OFFSET('3b Activity Plan'!$DJ$173:$DJ$365,0,$CU134-1),'3b Activity Plan'!AU$173:AU$365,'3b Activity Plan'!$AH$173:$AH$365,'3b Activity Plan'!$CY$173:$CY$365,('3b Activity Plan'!$C$173:$C$365=$AQ$130)*1)</f>
        <v>0</v>
      </c>
      <c r="AX134" s="1558">
        <f ca="1">SUMPRODUCT('3b Activity Plan'!$AN$173:$AN$365,OFFSET('3b Activity Plan'!$DJ$173:$DJ$365,0,$CU134-1),'3b Activity Plan'!AV$173:AV$365,'3b Activity Plan'!$AH$173:$AH$365,'3b Activity Plan'!$CY$173:$CY$365,('3b Activity Plan'!$C$173:$C$365=$AQ$130)*1)</f>
        <v>0</v>
      </c>
      <c r="AY134" s="1558">
        <f ca="1">SUMPRODUCT('3b Activity Plan'!$AN$173:$AN$365,OFFSET('3b Activity Plan'!$DJ$173:$DJ$365,0,$CU134-1),'3b Activity Plan'!AW$173:AW$365,'3b Activity Plan'!$AH$173:$AH$365,'3b Activity Plan'!$CY$173:$CY$365,('3b Activity Plan'!$C$173:$C$365=$AQ$130)*1)</f>
        <v>0</v>
      </c>
      <c r="AZ134" s="1558">
        <f ca="1">SUMPRODUCT('3b Activity Plan'!$AN$173:$AN$365,OFFSET('3b Activity Plan'!$DJ$173:$DJ$365,0,$CU134-1),'3b Activity Plan'!AX$173:AX$365,'3b Activity Plan'!$AH$173:$AH$365,'3b Activity Plan'!$CY$173:$CY$365,('3b Activity Plan'!$C$173:$C$365=$AQ$130)*1)</f>
        <v>0</v>
      </c>
      <c r="BA134" s="1602">
        <f ca="1">SUMPRODUCT('3b Activity Plan'!$AN$173:$AN$365,OFFSET('3b Activity Plan'!$DJ$173:$DJ$365,0,$CU134-1),'3b Activity Plan'!AO$173:AO$365,'3b Activity Plan'!$AH$173:$AH$365,'3b Activity Plan'!$CY$173:$CY$365,('3b Activity Plan'!$C$173:$C$365=$BA$130)*1)</f>
        <v>0</v>
      </c>
      <c r="BB134" s="1558">
        <f ca="1">SUMPRODUCT('3b Activity Plan'!$AN$173:$AN$365,OFFSET('3b Activity Plan'!$DJ$173:$DJ$365,0,$CU134-1),'3b Activity Plan'!AP$173:AP$365,'3b Activity Plan'!$AH$173:$AH$365,'3b Activity Plan'!$CY$173:$CY$365,('3b Activity Plan'!$C$173:$C$365=$BA$130)*1)</f>
        <v>0</v>
      </c>
      <c r="BC134" s="1558">
        <f ca="1">SUMPRODUCT('3b Activity Plan'!$AN$173:$AN$365,OFFSET('3b Activity Plan'!$DJ$173:$DJ$365,0,$CU134-1),'3b Activity Plan'!AQ$173:AQ$365,'3b Activity Plan'!$AH$173:$AH$365,'3b Activity Plan'!$CY$173:$CY$365,('3b Activity Plan'!$C$173:$C$365=$BA$130)*1)</f>
        <v>0</v>
      </c>
      <c r="BD134" s="1558">
        <f ca="1">SUMPRODUCT('3b Activity Plan'!$AN$173:$AN$365,OFFSET('3b Activity Plan'!$DJ$173:$DJ$365,0,$CU134-1),'3b Activity Plan'!AR$173:AR$365,'3b Activity Plan'!$AH$173:$AH$365,'3b Activity Plan'!$CY$173:$CY$365,('3b Activity Plan'!$C$173:$C$365=$BA$130)*1)</f>
        <v>0</v>
      </c>
      <c r="BE134" s="1558">
        <f ca="1">SUMPRODUCT('3b Activity Plan'!$AN$173:$AN$365,OFFSET('3b Activity Plan'!$DJ$173:$DJ$365,0,$CU134-1),'3b Activity Plan'!AS$173:AS$365,'3b Activity Plan'!$AH$173:$AH$365,'3b Activity Plan'!$CY$173:$CY$365,('3b Activity Plan'!$C$173:$C$365=$BA$130)*1)</f>
        <v>0</v>
      </c>
      <c r="BF134" s="1558">
        <f ca="1">SUMPRODUCT('3b Activity Plan'!$AN$173:$AN$365,OFFSET('3b Activity Plan'!$DJ$173:$DJ$365,0,$CU134-1),'3b Activity Plan'!AT$173:AT$365,'3b Activity Plan'!$AH$173:$AH$365,'3b Activity Plan'!$CY$173:$CY$365,('3b Activity Plan'!$C$173:$C$365=$BA$130)*1)</f>
        <v>0</v>
      </c>
      <c r="BG134" s="1558">
        <f ca="1">SUMPRODUCT('3b Activity Plan'!$AN$173:$AN$365,OFFSET('3b Activity Plan'!$DJ$173:$DJ$365,0,$CU134-1),'3b Activity Plan'!AU$173:AU$365,'3b Activity Plan'!$AH$173:$AH$365,'3b Activity Plan'!$CY$173:$CY$365,('3b Activity Plan'!$C$173:$C$365=$BA$130)*1)</f>
        <v>0</v>
      </c>
      <c r="BH134" s="1558">
        <f ca="1">SUMPRODUCT('3b Activity Plan'!$AN$173:$AN$365,OFFSET('3b Activity Plan'!$DJ$173:$DJ$365,0,$CU134-1),'3b Activity Plan'!AV$173:AV$365,'3b Activity Plan'!$AH$173:$AH$365,'3b Activity Plan'!$CY$173:$CY$365,('3b Activity Plan'!$C$173:$C$365=$BA$130)*1)</f>
        <v>0</v>
      </c>
      <c r="BI134" s="1558">
        <f ca="1">SUMPRODUCT('3b Activity Plan'!$AN$173:$AN$365,OFFSET('3b Activity Plan'!$DJ$173:$DJ$365,0,$CU134-1),'3b Activity Plan'!AW$173:AW$365,'3b Activity Plan'!$AH$173:$AH$365,'3b Activity Plan'!$CY$173:$CY$365,('3b Activity Plan'!$C$173:$C$365=$BA$130)*1)</f>
        <v>0</v>
      </c>
      <c r="BJ134" s="1558">
        <f ca="1">SUMPRODUCT('3b Activity Plan'!$AN$173:$AN$365,OFFSET('3b Activity Plan'!$DJ$173:$DJ$365,0,$CU134-1),'3b Activity Plan'!AX$173:AX$365,'3b Activity Plan'!$AH$173:$AH$365,'3b Activity Plan'!$CY$173:$CY$365,('3b Activity Plan'!$C$173:$C$365=$BA$130)*1)</f>
        <v>0</v>
      </c>
      <c r="BK134" s="1602">
        <f ca="1">SUMPRODUCT('3b Activity Plan'!$AN$173:$AN$365,OFFSET('3b Activity Plan'!$DJ$173:$DJ$365,0,$CU134-1),'3b Activity Plan'!AO$173:AO$365,'3b Activity Plan'!$AH$173:$AH$365,'3b Activity Plan'!$CY$173:$CY$365,('3b Activity Plan'!$C$173:$C$365=$BK$130)*1)</f>
        <v>0</v>
      </c>
      <c r="BL134" s="1558">
        <f ca="1">SUMPRODUCT('3b Activity Plan'!$AN$173:$AN$365,OFFSET('3b Activity Plan'!$DJ$173:$DJ$365,0,$CU134-1),'3b Activity Plan'!AP$173:AP$365,'3b Activity Plan'!$AH$173:$AH$365,'3b Activity Plan'!$CY$173:$CY$365,('3b Activity Plan'!$C$173:$C$365=$BK$130)*1)</f>
        <v>0</v>
      </c>
      <c r="BM134" s="1558">
        <f ca="1">SUMPRODUCT('3b Activity Plan'!$AN$173:$AN$365,OFFSET('3b Activity Plan'!$DJ$173:$DJ$365,0,$CU134-1),'3b Activity Plan'!AQ$173:AQ$365,'3b Activity Plan'!$AH$173:$AH$365,'3b Activity Plan'!$CY$173:$CY$365,('3b Activity Plan'!$C$173:$C$365=$BK$130)*1)</f>
        <v>0</v>
      </c>
      <c r="BN134" s="1558">
        <f ca="1">SUMPRODUCT('3b Activity Plan'!$AN$173:$AN$365,OFFSET('3b Activity Plan'!$DJ$173:$DJ$365,0,$CU134-1),'3b Activity Plan'!AR$173:AR$365,'3b Activity Plan'!$AH$173:$AH$365,'3b Activity Plan'!$CY$173:$CY$365,('3b Activity Plan'!$C$173:$C$365=$BK$130)*1)</f>
        <v>0</v>
      </c>
      <c r="BO134" s="1558">
        <f ca="1">SUMPRODUCT('3b Activity Plan'!$AN$173:$AN$365,OFFSET('3b Activity Plan'!$DJ$173:$DJ$365,0,$CU134-1),'3b Activity Plan'!AS$173:AS$365,'3b Activity Plan'!$AH$173:$AH$365,'3b Activity Plan'!$CY$173:$CY$365,('3b Activity Plan'!$C$173:$C$365=$BK$130)*1)</f>
        <v>0</v>
      </c>
      <c r="BP134" s="1558">
        <f ca="1">SUMPRODUCT('3b Activity Plan'!$AN$173:$AN$365,OFFSET('3b Activity Plan'!$DJ$173:$DJ$365,0,$CU134-1),'3b Activity Plan'!AT$173:AT$365,'3b Activity Plan'!$AH$173:$AH$365,'3b Activity Plan'!$CY$173:$CY$365,('3b Activity Plan'!$C$173:$C$365=$BK$130)*1)</f>
        <v>0</v>
      </c>
      <c r="BQ134" s="1558">
        <f ca="1">SUMPRODUCT('3b Activity Plan'!$AN$173:$AN$365,OFFSET('3b Activity Plan'!$DJ$173:$DJ$365,0,$CU134-1),'3b Activity Plan'!AU$173:AU$365,'3b Activity Plan'!$AH$173:$AH$365,'3b Activity Plan'!$CY$173:$CY$365,('3b Activity Plan'!$C$173:$C$365=$BK$130)*1)</f>
        <v>0</v>
      </c>
      <c r="BR134" s="1558">
        <f ca="1">SUMPRODUCT('3b Activity Plan'!$AN$173:$AN$365,OFFSET('3b Activity Plan'!$DJ$173:$DJ$365,0,$CU134-1),'3b Activity Plan'!AV$173:AV$365,'3b Activity Plan'!$AH$173:$AH$365,'3b Activity Plan'!$CY$173:$CY$365,('3b Activity Plan'!$C$173:$C$365=$BK$130)*1)</f>
        <v>0</v>
      </c>
      <c r="BS134" s="1558">
        <f ca="1">SUMPRODUCT('3b Activity Plan'!$AN$173:$AN$365,OFFSET('3b Activity Plan'!$DJ$173:$DJ$365,0,$CU134-1),'3b Activity Plan'!AW$173:AW$365,'3b Activity Plan'!$AH$173:$AH$365,'3b Activity Plan'!$CY$173:$CY$365,('3b Activity Plan'!$C$173:$C$365=$BK$130)*1)</f>
        <v>0</v>
      </c>
      <c r="BT134" s="1558">
        <f ca="1">SUMPRODUCT('3b Activity Plan'!$AN$173:$AN$365,OFFSET('3b Activity Plan'!$DJ$173:$DJ$365,0,$CU134-1),'3b Activity Plan'!AX$173:AX$365,'3b Activity Plan'!$AH$173:$AH$365,'3b Activity Plan'!$CY$173:$CY$365,('3b Activity Plan'!$C$173:$C$365=$BK$130)*1)</f>
        <v>0</v>
      </c>
      <c r="BU134" s="1587"/>
      <c r="BV134" s="1587"/>
      <c r="BW134" s="1587"/>
      <c r="BX134" s="1556"/>
      <c r="BY134" s="1556"/>
      <c r="BZ134" s="1556"/>
      <c r="CA134" s="1024">
        <f ca="1">SUMIFS('3a Staff Plan'!$T$129:$T$305,'3a Staff Plan'!$DY$129:$DY$305,CZ134,'3a Staff Plan'!$DF$129:$DF$305,1)</f>
        <v>0</v>
      </c>
      <c r="CB134" s="1025">
        <f ca="1">SUMIFS('3a Staff Plan'!$T$129:$T$305,'3a Staff Plan'!$DY$129:$DY$305,$CZ134,'3a Staff Plan'!$DF$129:$DF$305,1,'3a Staff Plan'!$C$129:$C$305,DC$18)</f>
        <v>0</v>
      </c>
      <c r="CC134" s="1026">
        <f ca="1">SUMIFS('3a Staff Plan'!$T$129:$T$305,'3a Staff Plan'!$DY$129:$DY$305,$CZ134,'3a Staff Plan'!$DF$129:$DF$305,1,'3a Staff Plan'!$C$129:$C$305,DD$18)</f>
        <v>0</v>
      </c>
      <c r="CD134" s="1026">
        <f ca="1">SUMIFS('3a Staff Plan'!$T$129:$T$305,'3a Staff Plan'!$DY$129:$DY$305,$CZ134,'3a Staff Plan'!$DF$129:$DF$305,1,'3a Staff Plan'!$C$129:$C$305,DE$18)</f>
        <v>0</v>
      </c>
      <c r="CE134" s="1026">
        <f ca="1">SUMIFS('3a Staff Plan'!$T$129:$T$305,'3a Staff Plan'!$DY$129:$DY$305,$CZ134,'3a Staff Plan'!$DF$129:$DF$305,1,'3a Staff Plan'!$C$129:$C$305,DF$18)</f>
        <v>0</v>
      </c>
      <c r="CF134" s="1026">
        <f ca="1">SUMIFS('3a Staff Plan'!$T$129:$T$305,'3a Staff Plan'!$DY$129:$DY$305,$CZ134,'3a Staff Plan'!$DF$129:$DF$305,1,'3a Staff Plan'!$C$129:$C$305,DG$18)</f>
        <v>0</v>
      </c>
      <c r="CG134" s="1026">
        <f ca="1">SUMIFS('3a Staff Plan'!$T$129:$T$305,'3a Staff Plan'!$DY$129:$DY$305,$CZ134,'3a Staff Plan'!$DF$129:$DF$305,1,'3a Staff Plan'!$C$129:$C$305,DH$18)</f>
        <v>0</v>
      </c>
      <c r="CH134" s="1026">
        <f ca="1">SUMIFS('3a Staff Plan'!$T$129:$T$305,'3a Staff Plan'!$DY$129:$DY$305,$CZ134,'3a Staff Plan'!$DF$129:$DF$305,1,'3a Staff Plan'!$C$129:$C$305,DI$18)</f>
        <v>0</v>
      </c>
      <c r="CI134" s="755"/>
      <c r="CJ134" s="1024">
        <f ca="1">SUMPRODUCT('3b Activity Plan'!$AN$173:$AN$365,'3b Activity Plan'!$CY$173:$CY$365,'3b Activity Plan'!$AH$173:$AH$365,OFFSET('3b Activity Plan'!$DJ$173:$DJ$365,0,$CU134-1))</f>
        <v>64</v>
      </c>
      <c r="CK134" s="1025">
        <f t="shared" ref="CK134:CK167" ca="1" si="93">SUM($C134:$L134)</f>
        <v>0</v>
      </c>
      <c r="CL134" s="1026">
        <f t="shared" ref="CL134:CL167" ca="1" si="94">SUM($M134:$V134)</f>
        <v>0</v>
      </c>
      <c r="CM134" s="1026">
        <f t="shared" ref="CM134:CM167" ca="1" si="95">SUM($W134:$AF134)</f>
        <v>0</v>
      </c>
      <c r="CN134" s="1026">
        <f t="shared" ref="CN134:CN167" ca="1" si="96">SUM($AG134:$AP134)</f>
        <v>0</v>
      </c>
      <c r="CO134" s="1026">
        <f t="shared" ref="CO134:CO167" ca="1" si="97">SUM($AQ134:$AZ134)</f>
        <v>0</v>
      </c>
      <c r="CP134" s="1026">
        <f t="shared" ref="CP134:CP167" ca="1" si="98">SUM($BA134:$BJ134)</f>
        <v>0</v>
      </c>
      <c r="CQ134" s="1026">
        <f t="shared" ref="CQ134:CQ167" ca="1" si="99">SUM($BA134:$BT134)</f>
        <v>0</v>
      </c>
      <c r="CR134" s="417"/>
      <c r="CS134" s="417">
        <f t="shared" ref="CS134:CS167" si="100">ROW()-ROW($CS$133)+1</f>
        <v>2</v>
      </c>
      <c r="CT134" s="417">
        <f ca="1">OFFSET('2 Staff List'!$GU$64,CS134-1,0)</f>
        <v>2</v>
      </c>
      <c r="CU134" s="417">
        <f ca="1">IF(CZ134=0,0,IFERROR(INDEX('3b Activity Plan'!$DJ$20:$FH$20,MATCH(CT134,'3b Activity Plan'!$DJ$171:$FH$171,0)),0))</f>
        <v>2</v>
      </c>
      <c r="CV134" s="417">
        <f ca="1">INDEX('2 Staff List'!$HW$64:$HW$114,CT134)</f>
        <v>0</v>
      </c>
      <c r="CW134" s="417"/>
      <c r="CY134" s="927" t="str">
        <f ca="1">OFFSET('2 Staff List'!$HZ$64,CS134-1,0)</f>
        <v>L4A Senior Administrator</v>
      </c>
      <c r="CZ134" s="975" t="str">
        <f ca="1">OFFSET('2 Staff List'!$IA$64,CT134-1,0)</f>
        <v>Hutchinson Amanda</v>
      </c>
      <c r="DA134" s="3840">
        <f t="shared" ca="1" si="92"/>
        <v>64</v>
      </c>
      <c r="DB134" s="3841"/>
      <c r="DC134" s="2401">
        <f t="shared" ca="1" si="85"/>
        <v>0</v>
      </c>
      <c r="DD134" s="2401">
        <f t="shared" ca="1" si="86"/>
        <v>0</v>
      </c>
      <c r="DE134" s="2405">
        <f t="shared" ca="1" si="87"/>
        <v>0</v>
      </c>
      <c r="DF134" s="2405">
        <f t="shared" ca="1" si="88"/>
        <v>0</v>
      </c>
      <c r="DG134" s="2405">
        <f t="shared" ca="1" si="89"/>
        <v>0</v>
      </c>
      <c r="DH134" s="2406">
        <f t="shared" ca="1" si="90"/>
        <v>0</v>
      </c>
      <c r="DI134" s="2407">
        <f t="shared" ca="1" si="91"/>
        <v>0</v>
      </c>
    </row>
    <row r="135" spans="1:113" ht="15.9" customHeight="1" x14ac:dyDescent="0.25">
      <c r="A135" s="1051"/>
      <c r="B135" s="1556"/>
      <c r="C135" s="1558">
        <f ca="1">SUMPRODUCT('3b Activity Plan'!$AN$173:$AN$365,OFFSET('3b Activity Plan'!$DJ$173:$DJ$365,0,$CU135-1),'3b Activity Plan'!AO$173:AO$365,'3b Activity Plan'!$AH$173:$AH$365,'3b Activity Plan'!$CY$173:$CY$365,('3b Activity Plan'!$C$173:$C$365=$C$130)*1)</f>
        <v>0</v>
      </c>
      <c r="D135" s="1558">
        <f ca="1">SUMPRODUCT('3b Activity Plan'!$AN$173:$AN$365,OFFSET('3b Activity Plan'!$DJ$173:$DJ$365,0,$CU135-1),'3b Activity Plan'!AP$173:AP$365,'3b Activity Plan'!$AH$173:$AH$365,'3b Activity Plan'!$CY$173:$CY$365,('3b Activity Plan'!$C$173:$C$365=$C$130)*1)</f>
        <v>0</v>
      </c>
      <c r="E135" s="1558">
        <f ca="1">SUMPRODUCT('3b Activity Plan'!$AN$173:$AN$365,OFFSET('3b Activity Plan'!$DJ$173:$DJ$365,0,$CU135-1),'3b Activity Plan'!AQ$173:AQ$365,'3b Activity Plan'!$AH$173:$AH$365,'3b Activity Plan'!$CY$173:$CY$365,('3b Activity Plan'!$C$173:$C$365=$C$130)*1)</f>
        <v>0</v>
      </c>
      <c r="F135" s="1558">
        <f ca="1">SUMPRODUCT('3b Activity Plan'!$AN$173:$AN$365,OFFSET('3b Activity Plan'!$DJ$173:$DJ$365,0,$CU135-1),'3b Activity Plan'!AR$173:AR$365,'3b Activity Plan'!$AH$173:$AH$365,'3b Activity Plan'!$CY$173:$CY$365,('3b Activity Plan'!$C$173:$C$365=$C$130)*1)</f>
        <v>0</v>
      </c>
      <c r="G135" s="1558">
        <f ca="1">SUMPRODUCT('3b Activity Plan'!$AN$173:$AN$365,OFFSET('3b Activity Plan'!$DJ$173:$DJ$365,0,$CU135-1),'3b Activity Plan'!AS$173:AS$365,'3b Activity Plan'!$AH$173:$AH$365,'3b Activity Plan'!$CY$173:$CY$365,('3b Activity Plan'!$C$173:$C$365=$C$130)*1)</f>
        <v>0</v>
      </c>
      <c r="H135" s="1558">
        <f ca="1">SUMPRODUCT('3b Activity Plan'!$AN$173:$AN$365,OFFSET('3b Activity Plan'!$DJ$173:$DJ$365,0,$CU135-1),'3b Activity Plan'!AT$173:AT$365,'3b Activity Plan'!$AH$173:$AH$365,'3b Activity Plan'!$CY$173:$CY$365,('3b Activity Plan'!$C$173:$C$365=$C$130)*1)</f>
        <v>0</v>
      </c>
      <c r="I135" s="1558">
        <f ca="1">SUMPRODUCT('3b Activity Plan'!$AN$173:$AN$365,OFFSET('3b Activity Plan'!$DJ$173:$DJ$365,0,$CU135-1),'3b Activity Plan'!AU$173:AU$365,'3b Activity Plan'!$AH$173:$AH$365,'3b Activity Plan'!$CY$173:$CY$365,('3b Activity Plan'!$C$173:$C$365=$C$130)*1)</f>
        <v>0</v>
      </c>
      <c r="J135" s="1558">
        <f ca="1">SUMPRODUCT('3b Activity Plan'!$AN$173:$AN$365,OFFSET('3b Activity Plan'!$DJ$173:$DJ$365,0,$CU135-1),'3b Activity Plan'!AV$173:AV$365,'3b Activity Plan'!$AH$173:$AH$365,'3b Activity Plan'!$CY$173:$CY$365,('3b Activity Plan'!$C$173:$C$365=$C$130)*1)</f>
        <v>0</v>
      </c>
      <c r="K135" s="1558">
        <f ca="1">SUMPRODUCT('3b Activity Plan'!$AN$173:$AN$365,OFFSET('3b Activity Plan'!$DJ$173:$DJ$365,0,$CU135-1),'3b Activity Plan'!AW$173:AW$365,'3b Activity Plan'!$AH$173:$AH$365,'3b Activity Plan'!$CY$173:$CY$365,('3b Activity Plan'!$C$173:$C$365=$C$130)*1)</f>
        <v>0</v>
      </c>
      <c r="L135" s="1601">
        <f ca="1">SUMPRODUCT('3b Activity Plan'!$AN$173:$AN$365,OFFSET('3b Activity Plan'!$DJ$173:$DJ$365,0,$CU135-1),'3b Activity Plan'!AX$173:AX$365,'3b Activity Plan'!$AH$173:$AH$365,'3b Activity Plan'!$CY$173:$CY$365,('3b Activity Plan'!$C$173:$C$365=$C$130)*1)</f>
        <v>0</v>
      </c>
      <c r="M135" s="1602">
        <f ca="1">SUMPRODUCT('3b Activity Plan'!$AN$173:$AN$365,OFFSET('3b Activity Plan'!$DJ$173:$DJ$365,0,$CU135-1),'3b Activity Plan'!AO$173:AO$365,'3b Activity Plan'!$AH$173:$AH$365,'3b Activity Plan'!$CY$173:$CY$365,('3b Activity Plan'!$C$173:$C$365=$M$130)*1)</f>
        <v>0</v>
      </c>
      <c r="N135" s="1558">
        <f ca="1">SUMPRODUCT('3b Activity Plan'!$AN$173:$AN$365,OFFSET('3b Activity Plan'!$DJ$173:$DJ$365,0,$CU135-1),'3b Activity Plan'!AP$173:AP$365,'3b Activity Plan'!$AH$173:$AH$365,'3b Activity Plan'!$CY$173:$CY$365,('3b Activity Plan'!$C$173:$C$365=$M$130)*1)</f>
        <v>0</v>
      </c>
      <c r="O135" s="1558">
        <f ca="1">SUMPRODUCT('3b Activity Plan'!$AN$173:$AN$365,OFFSET('3b Activity Plan'!$DJ$173:$DJ$365,0,$CU135-1),'3b Activity Plan'!AQ$173:AQ$365,'3b Activity Plan'!$AH$173:$AH$365,'3b Activity Plan'!$CY$173:$CY$365,('3b Activity Plan'!$C$173:$C$365=$M$130)*1)</f>
        <v>0</v>
      </c>
      <c r="P135" s="1558">
        <f ca="1">SUMPRODUCT('3b Activity Plan'!$AN$173:$AN$365,OFFSET('3b Activity Plan'!$DJ$173:$DJ$365,0,$CU135-1),'3b Activity Plan'!AR$173:AR$365,'3b Activity Plan'!$AH$173:$AH$365,'3b Activity Plan'!$CY$173:$CY$365,('3b Activity Plan'!$C$173:$C$365=$M$130)*1)</f>
        <v>0</v>
      </c>
      <c r="Q135" s="1558">
        <f ca="1">SUMPRODUCT('3b Activity Plan'!$AN$173:$AN$365,OFFSET('3b Activity Plan'!$DJ$173:$DJ$365,0,$CU135-1),'3b Activity Plan'!AS$173:AS$365,'3b Activity Plan'!$AH$173:$AH$365,'3b Activity Plan'!$CY$173:$CY$365,('3b Activity Plan'!$C$173:$C$365=$M$130)*1)</f>
        <v>0</v>
      </c>
      <c r="R135" s="1558">
        <f ca="1">SUMPRODUCT('3b Activity Plan'!$AN$173:$AN$365,OFFSET('3b Activity Plan'!$DJ$173:$DJ$365,0,$CU135-1),'3b Activity Plan'!AT$173:AT$365,'3b Activity Plan'!$AH$173:$AH$365,'3b Activity Plan'!$CY$173:$CY$365,('3b Activity Plan'!$C$173:$C$365=$M$130)*1)</f>
        <v>0</v>
      </c>
      <c r="S135" s="1558">
        <f ca="1">SUMPRODUCT('3b Activity Plan'!$AN$173:$AN$365,OFFSET('3b Activity Plan'!$DJ$173:$DJ$365,0,$CU135-1),'3b Activity Plan'!AU$173:AU$365,'3b Activity Plan'!$AH$173:$AH$365,'3b Activity Plan'!$CY$173:$CY$365,('3b Activity Plan'!$C$173:$C$365=$M$130)*1)</f>
        <v>0</v>
      </c>
      <c r="T135" s="1558">
        <f ca="1">SUMPRODUCT('3b Activity Plan'!$AN$173:$AN$365,OFFSET('3b Activity Plan'!$DJ$173:$DJ$365,0,$CU135-1),'3b Activity Plan'!AV$173:AV$365,'3b Activity Plan'!$AH$173:$AH$365,'3b Activity Plan'!$CY$173:$CY$365,('3b Activity Plan'!$C$173:$C$365=$M$130)*1)</f>
        <v>0</v>
      </c>
      <c r="U135" s="1558">
        <f ca="1">SUMPRODUCT('3b Activity Plan'!$AN$173:$AN$365,OFFSET('3b Activity Plan'!$DJ$173:$DJ$365,0,$CU135-1),'3b Activity Plan'!AW$173:AW$365,'3b Activity Plan'!$AH$173:$AH$365,'3b Activity Plan'!$CY$173:$CY$365,('3b Activity Plan'!$C$173:$C$365=$M$130)*1)</f>
        <v>0</v>
      </c>
      <c r="V135" s="1601">
        <f ca="1">SUMPRODUCT('3b Activity Plan'!$AN$173:$AN$365,OFFSET('3b Activity Plan'!$DJ$173:$DJ$365,0,$CU135-1),'3b Activity Plan'!AX$173:AX$365,'3b Activity Plan'!$AH$173:$AH$365,'3b Activity Plan'!$CY$173:$CY$365,('3b Activity Plan'!$C$173:$C$365=$M$130)*1)</f>
        <v>0</v>
      </c>
      <c r="W135" s="1602">
        <f ca="1">SUMPRODUCT('3b Activity Plan'!$AN$173:$AN$365,OFFSET('3b Activity Plan'!$DJ$173:$DJ$365,0,$CU135-1),'3b Activity Plan'!AO$173:AO$365,'3b Activity Plan'!$AH$173:$AH$365,'3b Activity Plan'!$CY$173:$CY$365,('3b Activity Plan'!$C$173:$C$365=$W$130)*1)</f>
        <v>0</v>
      </c>
      <c r="X135" s="1558">
        <f ca="1">SUMPRODUCT('3b Activity Plan'!$AN$173:$AN$365,OFFSET('3b Activity Plan'!$DJ$173:$DJ$365,0,$CU135-1),'3b Activity Plan'!AP$173:AP$365,'3b Activity Plan'!$AH$173:$AH$365,'3b Activity Plan'!$CY$173:$CY$365,('3b Activity Plan'!$C$173:$C$365=$W$130)*1)</f>
        <v>0</v>
      </c>
      <c r="Y135" s="1558">
        <f ca="1">SUMPRODUCT('3b Activity Plan'!$AN$173:$AN$365,OFFSET('3b Activity Plan'!$DJ$173:$DJ$365,0,$CU135-1),'3b Activity Plan'!AQ$173:AQ$365,'3b Activity Plan'!$AH$173:$AH$365,'3b Activity Plan'!$CY$173:$CY$365,('3b Activity Plan'!$C$173:$C$365=$W$130)*1)</f>
        <v>0</v>
      </c>
      <c r="Z135" s="1558">
        <f ca="1">SUMPRODUCT('3b Activity Plan'!$AN$173:$AN$365,OFFSET('3b Activity Plan'!$DJ$173:$DJ$365,0,$CU135-1),'3b Activity Plan'!AR$173:AR$365,'3b Activity Plan'!$AH$173:$AH$365,'3b Activity Plan'!$CY$173:$CY$365,('3b Activity Plan'!$C$173:$C$365=$W$130)*1)</f>
        <v>0</v>
      </c>
      <c r="AA135" s="1558">
        <f ca="1">SUMPRODUCT('3b Activity Plan'!$AN$173:$AN$365,OFFSET('3b Activity Plan'!$DJ$173:$DJ$365,0,$CU135-1),'3b Activity Plan'!AS$173:AS$365,'3b Activity Plan'!$AH$173:$AH$365,'3b Activity Plan'!$CY$173:$CY$365,('3b Activity Plan'!$C$173:$C$365=$W$130)*1)</f>
        <v>0</v>
      </c>
      <c r="AB135" s="1558">
        <f ca="1">SUMPRODUCT('3b Activity Plan'!$AN$173:$AN$365,OFFSET('3b Activity Plan'!$DJ$173:$DJ$365,0,$CU135-1),'3b Activity Plan'!AT$173:AT$365,'3b Activity Plan'!$AH$173:$AH$365,'3b Activity Plan'!$CY$173:$CY$365,('3b Activity Plan'!$C$173:$C$365=$W$130)*1)</f>
        <v>0</v>
      </c>
      <c r="AC135" s="1558">
        <f ca="1">SUMPRODUCT('3b Activity Plan'!$AN$173:$AN$365,OFFSET('3b Activity Plan'!$DJ$173:$DJ$365,0,$CU135-1),'3b Activity Plan'!AU$173:AU$365,'3b Activity Plan'!$AH$173:$AH$365,'3b Activity Plan'!$CY$173:$CY$365,('3b Activity Plan'!$C$173:$C$365=$W$130)*1)</f>
        <v>0</v>
      </c>
      <c r="AD135" s="1558">
        <f ca="1">SUMPRODUCT('3b Activity Plan'!$AN$173:$AN$365,OFFSET('3b Activity Plan'!$DJ$173:$DJ$365,0,$CU135-1),'3b Activity Plan'!AV$173:AV$365,'3b Activity Plan'!$AH$173:$AH$365,'3b Activity Plan'!$CY$173:$CY$365,('3b Activity Plan'!$C$173:$C$365=$W$130)*1)</f>
        <v>0</v>
      </c>
      <c r="AE135" s="1558">
        <f ca="1">SUMPRODUCT('3b Activity Plan'!$AN$173:$AN$365,OFFSET('3b Activity Plan'!$DJ$173:$DJ$365,0,$CU135-1),'3b Activity Plan'!AW$173:AW$365,'3b Activity Plan'!$AH$173:$AH$365,'3b Activity Plan'!$CY$173:$CY$365,('3b Activity Plan'!$C$173:$C$365=$W$130)*1)</f>
        <v>0</v>
      </c>
      <c r="AF135" s="1558">
        <f ca="1">SUMPRODUCT('3b Activity Plan'!$AN$173:$AN$365,OFFSET('3b Activity Plan'!$DJ$173:$DJ$365,0,$CU135-1),'3b Activity Plan'!AX$173:AX$365,'3b Activity Plan'!$AH$173:$AH$365,'3b Activity Plan'!$CY$173:$CY$365,('3b Activity Plan'!$C$173:$C$365=$W$130)*1)</f>
        <v>0</v>
      </c>
      <c r="AG135" s="1602">
        <f ca="1">SUMPRODUCT('3b Activity Plan'!$AN$173:$AN$365,OFFSET('3b Activity Plan'!$DJ$173:$DJ$365,0,$CU135-1),'3b Activity Plan'!AO$173:AO$365,'3b Activity Plan'!$AH$173:$AH$365,'3b Activity Plan'!$CY$173:$CY$365,('3b Activity Plan'!$C$173:$C$365=$AG$130)*1)</f>
        <v>0</v>
      </c>
      <c r="AH135" s="1558">
        <f ca="1">SUMPRODUCT('3b Activity Plan'!$AN$173:$AN$365,OFFSET('3b Activity Plan'!$DJ$173:$DJ$365,0,$CU135-1),'3b Activity Plan'!AP$173:AP$365,'3b Activity Plan'!$AH$173:$AH$365,'3b Activity Plan'!$CY$173:$CY$365,('3b Activity Plan'!$C$173:$C$365=$AG$130)*1)</f>
        <v>0</v>
      </c>
      <c r="AI135" s="1558">
        <f ca="1">SUMPRODUCT('3b Activity Plan'!$AN$173:$AN$365,OFFSET('3b Activity Plan'!$DJ$173:$DJ$365,0,$CU135-1),'3b Activity Plan'!AQ$173:AQ$365,'3b Activity Plan'!$AH$173:$AH$365,'3b Activity Plan'!$CY$173:$CY$365,('3b Activity Plan'!$C$173:$C$365=$AG$130)*1)</f>
        <v>0</v>
      </c>
      <c r="AJ135" s="1558">
        <f ca="1">SUMPRODUCT('3b Activity Plan'!$AN$173:$AN$365,OFFSET('3b Activity Plan'!$DJ$173:$DJ$365,0,$CU135-1),'3b Activity Plan'!AR$173:AR$365,'3b Activity Plan'!$AH$173:$AH$365,'3b Activity Plan'!$CY$173:$CY$365,('3b Activity Plan'!$C$173:$C$365=$AG$130)*1)</f>
        <v>0</v>
      </c>
      <c r="AK135" s="1558">
        <f ca="1">SUMPRODUCT('3b Activity Plan'!$AN$173:$AN$365,OFFSET('3b Activity Plan'!$DJ$173:$DJ$365,0,$CU135-1),'3b Activity Plan'!AS$173:AS$365,'3b Activity Plan'!$AH$173:$AH$365,'3b Activity Plan'!$CY$173:$CY$365,('3b Activity Plan'!$C$173:$C$365=$AG$130)*1)</f>
        <v>0</v>
      </c>
      <c r="AL135" s="1558">
        <f ca="1">SUMPRODUCT('3b Activity Plan'!$AN$173:$AN$365,OFFSET('3b Activity Plan'!$DJ$173:$DJ$365,0,$CU135-1),'3b Activity Plan'!AT$173:AT$365,'3b Activity Plan'!$AH$173:$AH$365,'3b Activity Plan'!$CY$173:$CY$365,('3b Activity Plan'!$C$173:$C$365=$AG$130)*1)</f>
        <v>0</v>
      </c>
      <c r="AM135" s="1558">
        <f ca="1">SUMPRODUCT('3b Activity Plan'!$AN$173:$AN$365,OFFSET('3b Activity Plan'!$DJ$173:$DJ$365,0,$CU135-1),'3b Activity Plan'!AU$173:AU$365,'3b Activity Plan'!$AH$173:$AH$365,'3b Activity Plan'!$CY$173:$CY$365,('3b Activity Plan'!$C$173:$C$365=$AG$130)*1)</f>
        <v>0</v>
      </c>
      <c r="AN135" s="1558">
        <f ca="1">SUMPRODUCT('3b Activity Plan'!$AN$173:$AN$365,OFFSET('3b Activity Plan'!$DJ$173:$DJ$365,0,$CU135-1),'3b Activity Plan'!AV$173:AV$365,'3b Activity Plan'!$AH$173:$AH$365,'3b Activity Plan'!$CY$173:$CY$365,('3b Activity Plan'!$C$173:$C$365=$AG$130)*1)</f>
        <v>0</v>
      </c>
      <c r="AO135" s="1558">
        <f ca="1">SUMPRODUCT('3b Activity Plan'!$AN$173:$AN$365,OFFSET('3b Activity Plan'!$DJ$173:$DJ$365,0,$CU135-1),'3b Activity Plan'!AW$173:AW$365,'3b Activity Plan'!$AH$173:$AH$365,'3b Activity Plan'!$CY$173:$CY$365,('3b Activity Plan'!$C$173:$C$365=$AG$130)*1)</f>
        <v>0</v>
      </c>
      <c r="AP135" s="1558">
        <f ca="1">SUMPRODUCT('3b Activity Plan'!$AN$173:$AN$365,OFFSET('3b Activity Plan'!$DJ$173:$DJ$365,0,$CU135-1),'3b Activity Plan'!AX$173:AX$365,'3b Activity Plan'!$AH$173:$AH$365,'3b Activity Plan'!$CY$173:$CY$365,('3b Activity Plan'!$C$173:$C$365=$AG$130)*1)</f>
        <v>0</v>
      </c>
      <c r="AQ135" s="1602">
        <f ca="1">SUMPRODUCT('3b Activity Plan'!$AN$173:$AN$365,OFFSET('3b Activity Plan'!$DJ$173:$DJ$365,0,$CU135-1),'3b Activity Plan'!AO$173:AO$365,'3b Activity Plan'!$AH$173:$AH$365,'3b Activity Plan'!$CY$173:$CY$365,('3b Activity Plan'!$C$173:$C$365=$AQ$130)*1)</f>
        <v>0</v>
      </c>
      <c r="AR135" s="1558">
        <f ca="1">SUMPRODUCT('3b Activity Plan'!$AN$173:$AN$365,OFFSET('3b Activity Plan'!$DJ$173:$DJ$365,0,$CU135-1),'3b Activity Plan'!AP$173:AP$365,'3b Activity Plan'!$AH$173:$AH$365,'3b Activity Plan'!$CY$173:$CY$365,('3b Activity Plan'!$C$173:$C$365=$AQ$130)*1)</f>
        <v>0</v>
      </c>
      <c r="AS135" s="1558">
        <f ca="1">SUMPRODUCT('3b Activity Plan'!$AN$173:$AN$365,OFFSET('3b Activity Plan'!$DJ$173:$DJ$365,0,$CU135-1),'3b Activity Plan'!AQ$173:AQ$365,'3b Activity Plan'!$AH$173:$AH$365,'3b Activity Plan'!$CY$173:$CY$365,('3b Activity Plan'!$C$173:$C$365=$AQ$130)*1)</f>
        <v>0</v>
      </c>
      <c r="AT135" s="1558">
        <f ca="1">SUMPRODUCT('3b Activity Plan'!$AN$173:$AN$365,OFFSET('3b Activity Plan'!$DJ$173:$DJ$365,0,$CU135-1),'3b Activity Plan'!AR$173:AR$365,'3b Activity Plan'!$AH$173:$AH$365,'3b Activity Plan'!$CY$173:$CY$365,('3b Activity Plan'!$C$173:$C$365=$AQ$130)*1)</f>
        <v>0</v>
      </c>
      <c r="AU135" s="1558">
        <f ca="1">SUMPRODUCT('3b Activity Plan'!$AN$173:$AN$365,OFFSET('3b Activity Plan'!$DJ$173:$DJ$365,0,$CU135-1),'3b Activity Plan'!AS$173:AS$365,'3b Activity Plan'!$AH$173:$AH$365,'3b Activity Plan'!$CY$173:$CY$365,('3b Activity Plan'!$C$173:$C$365=$AQ$130)*1)</f>
        <v>0</v>
      </c>
      <c r="AV135" s="1558">
        <f ca="1">SUMPRODUCT('3b Activity Plan'!$AN$173:$AN$365,OFFSET('3b Activity Plan'!$DJ$173:$DJ$365,0,$CU135-1),'3b Activity Plan'!AT$173:AT$365,'3b Activity Plan'!$AH$173:$AH$365,'3b Activity Plan'!$CY$173:$CY$365,('3b Activity Plan'!$C$173:$C$365=$AQ$130)*1)</f>
        <v>0</v>
      </c>
      <c r="AW135" s="1558">
        <f ca="1">SUMPRODUCT('3b Activity Plan'!$AN$173:$AN$365,OFFSET('3b Activity Plan'!$DJ$173:$DJ$365,0,$CU135-1),'3b Activity Plan'!AU$173:AU$365,'3b Activity Plan'!$AH$173:$AH$365,'3b Activity Plan'!$CY$173:$CY$365,('3b Activity Plan'!$C$173:$C$365=$AQ$130)*1)</f>
        <v>0</v>
      </c>
      <c r="AX135" s="1558">
        <f ca="1">SUMPRODUCT('3b Activity Plan'!$AN$173:$AN$365,OFFSET('3b Activity Plan'!$DJ$173:$DJ$365,0,$CU135-1),'3b Activity Plan'!AV$173:AV$365,'3b Activity Plan'!$AH$173:$AH$365,'3b Activity Plan'!$CY$173:$CY$365,('3b Activity Plan'!$C$173:$C$365=$AQ$130)*1)</f>
        <v>0</v>
      </c>
      <c r="AY135" s="1558">
        <f ca="1">SUMPRODUCT('3b Activity Plan'!$AN$173:$AN$365,OFFSET('3b Activity Plan'!$DJ$173:$DJ$365,0,$CU135-1),'3b Activity Plan'!AW$173:AW$365,'3b Activity Plan'!$AH$173:$AH$365,'3b Activity Plan'!$CY$173:$CY$365,('3b Activity Plan'!$C$173:$C$365=$AQ$130)*1)</f>
        <v>0</v>
      </c>
      <c r="AZ135" s="1558">
        <f ca="1">SUMPRODUCT('3b Activity Plan'!$AN$173:$AN$365,OFFSET('3b Activity Plan'!$DJ$173:$DJ$365,0,$CU135-1),'3b Activity Plan'!AX$173:AX$365,'3b Activity Plan'!$AH$173:$AH$365,'3b Activity Plan'!$CY$173:$CY$365,('3b Activity Plan'!$C$173:$C$365=$AQ$130)*1)</f>
        <v>0</v>
      </c>
      <c r="BA135" s="1602">
        <f ca="1">SUMPRODUCT('3b Activity Plan'!$AN$173:$AN$365,OFFSET('3b Activity Plan'!$DJ$173:$DJ$365,0,$CU135-1),'3b Activity Plan'!AO$173:AO$365,'3b Activity Plan'!$AH$173:$AH$365,'3b Activity Plan'!$CY$173:$CY$365,('3b Activity Plan'!$C$173:$C$365=$BA$130)*1)</f>
        <v>0</v>
      </c>
      <c r="BB135" s="1558">
        <f ca="1">SUMPRODUCT('3b Activity Plan'!$AN$173:$AN$365,OFFSET('3b Activity Plan'!$DJ$173:$DJ$365,0,$CU135-1),'3b Activity Plan'!AP$173:AP$365,'3b Activity Plan'!$AH$173:$AH$365,'3b Activity Plan'!$CY$173:$CY$365,('3b Activity Plan'!$C$173:$C$365=$BA$130)*1)</f>
        <v>0</v>
      </c>
      <c r="BC135" s="1558">
        <f ca="1">SUMPRODUCT('3b Activity Plan'!$AN$173:$AN$365,OFFSET('3b Activity Plan'!$DJ$173:$DJ$365,0,$CU135-1),'3b Activity Plan'!AQ$173:AQ$365,'3b Activity Plan'!$AH$173:$AH$365,'3b Activity Plan'!$CY$173:$CY$365,('3b Activity Plan'!$C$173:$C$365=$BA$130)*1)</f>
        <v>0</v>
      </c>
      <c r="BD135" s="1558">
        <f ca="1">SUMPRODUCT('3b Activity Plan'!$AN$173:$AN$365,OFFSET('3b Activity Plan'!$DJ$173:$DJ$365,0,$CU135-1),'3b Activity Plan'!AR$173:AR$365,'3b Activity Plan'!$AH$173:$AH$365,'3b Activity Plan'!$CY$173:$CY$365,('3b Activity Plan'!$C$173:$C$365=$BA$130)*1)</f>
        <v>0</v>
      </c>
      <c r="BE135" s="1558">
        <f ca="1">SUMPRODUCT('3b Activity Plan'!$AN$173:$AN$365,OFFSET('3b Activity Plan'!$DJ$173:$DJ$365,0,$CU135-1),'3b Activity Plan'!AS$173:AS$365,'3b Activity Plan'!$AH$173:$AH$365,'3b Activity Plan'!$CY$173:$CY$365,('3b Activity Plan'!$C$173:$C$365=$BA$130)*1)</f>
        <v>0</v>
      </c>
      <c r="BF135" s="1558">
        <f ca="1">SUMPRODUCT('3b Activity Plan'!$AN$173:$AN$365,OFFSET('3b Activity Plan'!$DJ$173:$DJ$365,0,$CU135-1),'3b Activity Plan'!AT$173:AT$365,'3b Activity Plan'!$AH$173:$AH$365,'3b Activity Plan'!$CY$173:$CY$365,('3b Activity Plan'!$C$173:$C$365=$BA$130)*1)</f>
        <v>0</v>
      </c>
      <c r="BG135" s="1558">
        <f ca="1">SUMPRODUCT('3b Activity Plan'!$AN$173:$AN$365,OFFSET('3b Activity Plan'!$DJ$173:$DJ$365,0,$CU135-1),'3b Activity Plan'!AU$173:AU$365,'3b Activity Plan'!$AH$173:$AH$365,'3b Activity Plan'!$CY$173:$CY$365,('3b Activity Plan'!$C$173:$C$365=$BA$130)*1)</f>
        <v>0</v>
      </c>
      <c r="BH135" s="1558">
        <f ca="1">SUMPRODUCT('3b Activity Plan'!$AN$173:$AN$365,OFFSET('3b Activity Plan'!$DJ$173:$DJ$365,0,$CU135-1),'3b Activity Plan'!AV$173:AV$365,'3b Activity Plan'!$AH$173:$AH$365,'3b Activity Plan'!$CY$173:$CY$365,('3b Activity Plan'!$C$173:$C$365=$BA$130)*1)</f>
        <v>0</v>
      </c>
      <c r="BI135" s="1558">
        <f ca="1">SUMPRODUCT('3b Activity Plan'!$AN$173:$AN$365,OFFSET('3b Activity Plan'!$DJ$173:$DJ$365,0,$CU135-1),'3b Activity Plan'!AW$173:AW$365,'3b Activity Plan'!$AH$173:$AH$365,'3b Activity Plan'!$CY$173:$CY$365,('3b Activity Plan'!$C$173:$C$365=$BA$130)*1)</f>
        <v>0</v>
      </c>
      <c r="BJ135" s="1558">
        <f ca="1">SUMPRODUCT('3b Activity Plan'!$AN$173:$AN$365,OFFSET('3b Activity Plan'!$DJ$173:$DJ$365,0,$CU135-1),'3b Activity Plan'!AX$173:AX$365,'3b Activity Plan'!$AH$173:$AH$365,'3b Activity Plan'!$CY$173:$CY$365,('3b Activity Plan'!$C$173:$C$365=$BA$130)*1)</f>
        <v>0</v>
      </c>
      <c r="BK135" s="1602">
        <f ca="1">SUMPRODUCT('3b Activity Plan'!$AN$173:$AN$365,OFFSET('3b Activity Plan'!$DJ$173:$DJ$365,0,$CU135-1),'3b Activity Plan'!AO$173:AO$365,'3b Activity Plan'!$AH$173:$AH$365,'3b Activity Plan'!$CY$173:$CY$365,('3b Activity Plan'!$C$173:$C$365=$BK$130)*1)</f>
        <v>0</v>
      </c>
      <c r="BL135" s="1558">
        <f ca="1">SUMPRODUCT('3b Activity Plan'!$AN$173:$AN$365,OFFSET('3b Activity Plan'!$DJ$173:$DJ$365,0,$CU135-1),'3b Activity Plan'!AP$173:AP$365,'3b Activity Plan'!$AH$173:$AH$365,'3b Activity Plan'!$CY$173:$CY$365,('3b Activity Plan'!$C$173:$C$365=$BK$130)*1)</f>
        <v>0</v>
      </c>
      <c r="BM135" s="1558">
        <f ca="1">SUMPRODUCT('3b Activity Plan'!$AN$173:$AN$365,OFFSET('3b Activity Plan'!$DJ$173:$DJ$365,0,$CU135-1),'3b Activity Plan'!AQ$173:AQ$365,'3b Activity Plan'!$AH$173:$AH$365,'3b Activity Plan'!$CY$173:$CY$365,('3b Activity Plan'!$C$173:$C$365=$BK$130)*1)</f>
        <v>0</v>
      </c>
      <c r="BN135" s="1558">
        <f ca="1">SUMPRODUCT('3b Activity Plan'!$AN$173:$AN$365,OFFSET('3b Activity Plan'!$DJ$173:$DJ$365,0,$CU135-1),'3b Activity Plan'!AR$173:AR$365,'3b Activity Plan'!$AH$173:$AH$365,'3b Activity Plan'!$CY$173:$CY$365,('3b Activity Plan'!$C$173:$C$365=$BK$130)*1)</f>
        <v>0</v>
      </c>
      <c r="BO135" s="1558">
        <f ca="1">SUMPRODUCT('3b Activity Plan'!$AN$173:$AN$365,OFFSET('3b Activity Plan'!$DJ$173:$DJ$365,0,$CU135-1),'3b Activity Plan'!AS$173:AS$365,'3b Activity Plan'!$AH$173:$AH$365,'3b Activity Plan'!$CY$173:$CY$365,('3b Activity Plan'!$C$173:$C$365=$BK$130)*1)</f>
        <v>0</v>
      </c>
      <c r="BP135" s="1558">
        <f ca="1">SUMPRODUCT('3b Activity Plan'!$AN$173:$AN$365,OFFSET('3b Activity Plan'!$DJ$173:$DJ$365,0,$CU135-1),'3b Activity Plan'!AT$173:AT$365,'3b Activity Plan'!$AH$173:$AH$365,'3b Activity Plan'!$CY$173:$CY$365,('3b Activity Plan'!$C$173:$C$365=$BK$130)*1)</f>
        <v>0</v>
      </c>
      <c r="BQ135" s="1558">
        <f ca="1">SUMPRODUCT('3b Activity Plan'!$AN$173:$AN$365,OFFSET('3b Activity Plan'!$DJ$173:$DJ$365,0,$CU135-1),'3b Activity Plan'!AU$173:AU$365,'3b Activity Plan'!$AH$173:$AH$365,'3b Activity Plan'!$CY$173:$CY$365,('3b Activity Plan'!$C$173:$C$365=$BK$130)*1)</f>
        <v>0</v>
      </c>
      <c r="BR135" s="1558">
        <f ca="1">SUMPRODUCT('3b Activity Plan'!$AN$173:$AN$365,OFFSET('3b Activity Plan'!$DJ$173:$DJ$365,0,$CU135-1),'3b Activity Plan'!AV$173:AV$365,'3b Activity Plan'!$AH$173:$AH$365,'3b Activity Plan'!$CY$173:$CY$365,('3b Activity Plan'!$C$173:$C$365=$BK$130)*1)</f>
        <v>0</v>
      </c>
      <c r="BS135" s="1558">
        <f ca="1">SUMPRODUCT('3b Activity Plan'!$AN$173:$AN$365,OFFSET('3b Activity Plan'!$DJ$173:$DJ$365,0,$CU135-1),'3b Activity Plan'!AW$173:AW$365,'3b Activity Plan'!$AH$173:$AH$365,'3b Activity Plan'!$CY$173:$CY$365,('3b Activity Plan'!$C$173:$C$365=$BK$130)*1)</f>
        <v>0</v>
      </c>
      <c r="BT135" s="1558">
        <f ca="1">SUMPRODUCT('3b Activity Plan'!$AN$173:$AN$365,OFFSET('3b Activity Plan'!$DJ$173:$DJ$365,0,$CU135-1),'3b Activity Plan'!AX$173:AX$365,'3b Activity Plan'!$AH$173:$AH$365,'3b Activity Plan'!$CY$173:$CY$365,('3b Activity Plan'!$C$173:$C$365=$BK$130)*1)</f>
        <v>0</v>
      </c>
      <c r="BU135" s="1587"/>
      <c r="BV135" s="1587"/>
      <c r="BW135" s="1587"/>
      <c r="BX135" s="1556"/>
      <c r="BY135" s="1556"/>
      <c r="BZ135" s="1556"/>
      <c r="CA135" s="1024">
        <f ca="1">SUMIFS('3a Staff Plan'!$T$129:$T$305,'3a Staff Plan'!$DY$129:$DY$305,CZ135,'3a Staff Plan'!$DF$129:$DF$305,1)</f>
        <v>0</v>
      </c>
      <c r="CB135" s="1025">
        <f ca="1">SUMIFS('3a Staff Plan'!$T$129:$T$305,'3a Staff Plan'!$DY$129:$DY$305,$CZ135,'3a Staff Plan'!$DF$129:$DF$305,1,'3a Staff Plan'!$C$129:$C$305,DC$18)</f>
        <v>0</v>
      </c>
      <c r="CC135" s="1026">
        <f ca="1">SUMIFS('3a Staff Plan'!$T$129:$T$305,'3a Staff Plan'!$DY$129:$DY$305,$CZ135,'3a Staff Plan'!$DF$129:$DF$305,1,'3a Staff Plan'!$C$129:$C$305,DD$18)</f>
        <v>0</v>
      </c>
      <c r="CD135" s="1026">
        <f ca="1">SUMIFS('3a Staff Plan'!$T$129:$T$305,'3a Staff Plan'!$DY$129:$DY$305,$CZ135,'3a Staff Plan'!$DF$129:$DF$305,1,'3a Staff Plan'!$C$129:$C$305,DE$18)</f>
        <v>0</v>
      </c>
      <c r="CE135" s="1026">
        <f ca="1">SUMIFS('3a Staff Plan'!$T$129:$T$305,'3a Staff Plan'!$DY$129:$DY$305,$CZ135,'3a Staff Plan'!$DF$129:$DF$305,1,'3a Staff Plan'!$C$129:$C$305,DF$18)</f>
        <v>0</v>
      </c>
      <c r="CF135" s="1026">
        <f ca="1">SUMIFS('3a Staff Plan'!$T$129:$T$305,'3a Staff Plan'!$DY$129:$DY$305,$CZ135,'3a Staff Plan'!$DF$129:$DF$305,1,'3a Staff Plan'!$C$129:$C$305,DG$18)</f>
        <v>0</v>
      </c>
      <c r="CG135" s="1026">
        <f ca="1">SUMIFS('3a Staff Plan'!$T$129:$T$305,'3a Staff Plan'!$DY$129:$DY$305,$CZ135,'3a Staff Plan'!$DF$129:$DF$305,1,'3a Staff Plan'!$C$129:$C$305,DH$18)</f>
        <v>0</v>
      </c>
      <c r="CH135" s="1026">
        <f ca="1">SUMIFS('3a Staff Plan'!$T$129:$T$305,'3a Staff Plan'!$DY$129:$DY$305,$CZ135,'3a Staff Plan'!$DF$129:$DF$305,1,'3a Staff Plan'!$C$129:$C$305,DI$18)</f>
        <v>0</v>
      </c>
      <c r="CI135" s="755"/>
      <c r="CJ135" s="1024">
        <f ca="1">SUMPRODUCT('3b Activity Plan'!$AN$173:$AN$365,'3b Activity Plan'!$CY$173:$CY$365,'3b Activity Plan'!$AH$173:$AH$365,OFFSET('3b Activity Plan'!$DJ$173:$DJ$365,0,$CU135-1))</f>
        <v>39</v>
      </c>
      <c r="CK135" s="1025">
        <f t="shared" ca="1" si="93"/>
        <v>0</v>
      </c>
      <c r="CL135" s="1026">
        <f t="shared" ca="1" si="94"/>
        <v>0</v>
      </c>
      <c r="CM135" s="1026">
        <f t="shared" ca="1" si="95"/>
        <v>0</v>
      </c>
      <c r="CN135" s="1026">
        <f t="shared" ca="1" si="96"/>
        <v>0</v>
      </c>
      <c r="CO135" s="1026">
        <f t="shared" ca="1" si="97"/>
        <v>0</v>
      </c>
      <c r="CP135" s="1026">
        <f t="shared" ca="1" si="98"/>
        <v>0</v>
      </c>
      <c r="CQ135" s="1026">
        <f t="shared" ca="1" si="99"/>
        <v>0</v>
      </c>
      <c r="CR135" s="417"/>
      <c r="CS135" s="417">
        <f t="shared" si="100"/>
        <v>3</v>
      </c>
      <c r="CT135" s="417">
        <f ca="1">OFFSET('2 Staff List'!$GU$64,CS135-1,0)</f>
        <v>3</v>
      </c>
      <c r="CU135" s="417">
        <f ca="1">IF(CZ135=0,0,IFERROR(INDEX('3b Activity Plan'!$DJ$20:$FH$20,MATCH(CT135,'3b Activity Plan'!$DJ$171:$FH$171,0)),0))</f>
        <v>3</v>
      </c>
      <c r="CV135" s="417">
        <f ca="1">INDEX('2 Staff List'!$HW$64:$HW$114,CT135)</f>
        <v>0</v>
      </c>
      <c r="CW135" s="417"/>
      <c r="CY135" s="927" t="str">
        <f ca="1">OFFSET('2 Staff List'!$HZ$64,CS135-1,0)</f>
        <v>L1A Operational Manager</v>
      </c>
      <c r="CZ135" s="975" t="str">
        <f ca="1">OFFSET('2 Staff List'!$IA$64,CT135-1,0)</f>
        <v>Spencer Peter</v>
      </c>
      <c r="DA135" s="3840">
        <f t="shared" ca="1" si="92"/>
        <v>39</v>
      </c>
      <c r="DB135" s="3841"/>
      <c r="DC135" s="2408">
        <f t="shared" ca="1" si="85"/>
        <v>0</v>
      </c>
      <c r="DD135" s="2405">
        <f t="shared" ca="1" si="86"/>
        <v>0</v>
      </c>
      <c r="DE135" s="2405">
        <f t="shared" ca="1" si="87"/>
        <v>0</v>
      </c>
      <c r="DF135" s="2405">
        <f t="shared" ca="1" si="88"/>
        <v>0</v>
      </c>
      <c r="DG135" s="2405">
        <f t="shared" ca="1" si="89"/>
        <v>0</v>
      </c>
      <c r="DH135" s="2406">
        <f t="shared" ca="1" si="90"/>
        <v>0</v>
      </c>
      <c r="DI135" s="2407">
        <f t="shared" ca="1" si="91"/>
        <v>0</v>
      </c>
    </row>
    <row r="136" spans="1:113" ht="15.9" customHeight="1" x14ac:dyDescent="0.25">
      <c r="A136" s="1051"/>
      <c r="B136" s="1556"/>
      <c r="C136" s="1558">
        <f ca="1">SUMPRODUCT('3b Activity Plan'!$AN$173:$AN$365,OFFSET('3b Activity Plan'!$DJ$173:$DJ$365,0,$CU136-1),'3b Activity Plan'!AO$173:AO$365,'3b Activity Plan'!$AH$173:$AH$365,'3b Activity Plan'!$CY$173:$CY$365,('3b Activity Plan'!$C$173:$C$365=$C$130)*1)</f>
        <v>0</v>
      </c>
      <c r="D136" s="1558">
        <f ca="1">SUMPRODUCT('3b Activity Plan'!$AN$173:$AN$365,OFFSET('3b Activity Plan'!$DJ$173:$DJ$365,0,$CU136-1),'3b Activity Plan'!AP$173:AP$365,'3b Activity Plan'!$AH$173:$AH$365,'3b Activity Plan'!$CY$173:$CY$365,('3b Activity Plan'!$C$173:$C$365=$C$130)*1)</f>
        <v>0</v>
      </c>
      <c r="E136" s="1558">
        <f ca="1">SUMPRODUCT('3b Activity Plan'!$AN$173:$AN$365,OFFSET('3b Activity Plan'!$DJ$173:$DJ$365,0,$CU136-1),'3b Activity Plan'!AQ$173:AQ$365,'3b Activity Plan'!$AH$173:$AH$365,'3b Activity Plan'!$CY$173:$CY$365,('3b Activity Plan'!$C$173:$C$365=$C$130)*1)</f>
        <v>0</v>
      </c>
      <c r="F136" s="1558">
        <f ca="1">SUMPRODUCT('3b Activity Plan'!$AN$173:$AN$365,OFFSET('3b Activity Plan'!$DJ$173:$DJ$365,0,$CU136-1),'3b Activity Plan'!AR$173:AR$365,'3b Activity Plan'!$AH$173:$AH$365,'3b Activity Plan'!$CY$173:$CY$365,('3b Activity Plan'!$C$173:$C$365=$C$130)*1)</f>
        <v>0</v>
      </c>
      <c r="G136" s="1558">
        <f ca="1">SUMPRODUCT('3b Activity Plan'!$AN$173:$AN$365,OFFSET('3b Activity Plan'!$DJ$173:$DJ$365,0,$CU136-1),'3b Activity Plan'!AS$173:AS$365,'3b Activity Plan'!$AH$173:$AH$365,'3b Activity Plan'!$CY$173:$CY$365,('3b Activity Plan'!$C$173:$C$365=$C$130)*1)</f>
        <v>0</v>
      </c>
      <c r="H136" s="1558">
        <f ca="1">SUMPRODUCT('3b Activity Plan'!$AN$173:$AN$365,OFFSET('3b Activity Plan'!$DJ$173:$DJ$365,0,$CU136-1),'3b Activity Plan'!AT$173:AT$365,'3b Activity Plan'!$AH$173:$AH$365,'3b Activity Plan'!$CY$173:$CY$365,('3b Activity Plan'!$C$173:$C$365=$C$130)*1)</f>
        <v>0</v>
      </c>
      <c r="I136" s="1558">
        <f ca="1">SUMPRODUCT('3b Activity Plan'!$AN$173:$AN$365,OFFSET('3b Activity Plan'!$DJ$173:$DJ$365,0,$CU136-1),'3b Activity Plan'!AU$173:AU$365,'3b Activity Plan'!$AH$173:$AH$365,'3b Activity Plan'!$CY$173:$CY$365,('3b Activity Plan'!$C$173:$C$365=$C$130)*1)</f>
        <v>0</v>
      </c>
      <c r="J136" s="1558">
        <f ca="1">SUMPRODUCT('3b Activity Plan'!$AN$173:$AN$365,OFFSET('3b Activity Plan'!$DJ$173:$DJ$365,0,$CU136-1),'3b Activity Plan'!AV$173:AV$365,'3b Activity Plan'!$AH$173:$AH$365,'3b Activity Plan'!$CY$173:$CY$365,('3b Activity Plan'!$C$173:$C$365=$C$130)*1)</f>
        <v>0</v>
      </c>
      <c r="K136" s="1558">
        <f ca="1">SUMPRODUCT('3b Activity Plan'!$AN$173:$AN$365,OFFSET('3b Activity Plan'!$DJ$173:$DJ$365,0,$CU136-1),'3b Activity Plan'!AW$173:AW$365,'3b Activity Plan'!$AH$173:$AH$365,'3b Activity Plan'!$CY$173:$CY$365,('3b Activity Plan'!$C$173:$C$365=$C$130)*1)</f>
        <v>0</v>
      </c>
      <c r="L136" s="1601">
        <f ca="1">SUMPRODUCT('3b Activity Plan'!$AN$173:$AN$365,OFFSET('3b Activity Plan'!$DJ$173:$DJ$365,0,$CU136-1),'3b Activity Plan'!AX$173:AX$365,'3b Activity Plan'!$AH$173:$AH$365,'3b Activity Plan'!$CY$173:$CY$365,('3b Activity Plan'!$C$173:$C$365=$C$130)*1)</f>
        <v>0</v>
      </c>
      <c r="M136" s="1602">
        <f ca="1">SUMPRODUCT('3b Activity Plan'!$AN$173:$AN$365,OFFSET('3b Activity Plan'!$DJ$173:$DJ$365,0,$CU136-1),'3b Activity Plan'!AO$173:AO$365,'3b Activity Plan'!$AH$173:$AH$365,'3b Activity Plan'!$CY$173:$CY$365,('3b Activity Plan'!$C$173:$C$365=$M$130)*1)</f>
        <v>0</v>
      </c>
      <c r="N136" s="1558">
        <f ca="1">SUMPRODUCT('3b Activity Plan'!$AN$173:$AN$365,OFFSET('3b Activity Plan'!$DJ$173:$DJ$365,0,$CU136-1),'3b Activity Plan'!AP$173:AP$365,'3b Activity Plan'!$AH$173:$AH$365,'3b Activity Plan'!$CY$173:$CY$365,('3b Activity Plan'!$C$173:$C$365=$M$130)*1)</f>
        <v>0</v>
      </c>
      <c r="O136" s="1558">
        <f ca="1">SUMPRODUCT('3b Activity Plan'!$AN$173:$AN$365,OFFSET('3b Activity Plan'!$DJ$173:$DJ$365,0,$CU136-1),'3b Activity Plan'!AQ$173:AQ$365,'3b Activity Plan'!$AH$173:$AH$365,'3b Activity Plan'!$CY$173:$CY$365,('3b Activity Plan'!$C$173:$C$365=$M$130)*1)</f>
        <v>0</v>
      </c>
      <c r="P136" s="1558">
        <f ca="1">SUMPRODUCT('3b Activity Plan'!$AN$173:$AN$365,OFFSET('3b Activity Plan'!$DJ$173:$DJ$365,0,$CU136-1),'3b Activity Plan'!AR$173:AR$365,'3b Activity Plan'!$AH$173:$AH$365,'3b Activity Plan'!$CY$173:$CY$365,('3b Activity Plan'!$C$173:$C$365=$M$130)*1)</f>
        <v>0</v>
      </c>
      <c r="Q136" s="1558">
        <f ca="1">SUMPRODUCT('3b Activity Plan'!$AN$173:$AN$365,OFFSET('3b Activity Plan'!$DJ$173:$DJ$365,0,$CU136-1),'3b Activity Plan'!AS$173:AS$365,'3b Activity Plan'!$AH$173:$AH$365,'3b Activity Plan'!$CY$173:$CY$365,('3b Activity Plan'!$C$173:$C$365=$M$130)*1)</f>
        <v>0</v>
      </c>
      <c r="R136" s="1558">
        <f ca="1">SUMPRODUCT('3b Activity Plan'!$AN$173:$AN$365,OFFSET('3b Activity Plan'!$DJ$173:$DJ$365,0,$CU136-1),'3b Activity Plan'!AT$173:AT$365,'3b Activity Plan'!$AH$173:$AH$365,'3b Activity Plan'!$CY$173:$CY$365,('3b Activity Plan'!$C$173:$C$365=$M$130)*1)</f>
        <v>0</v>
      </c>
      <c r="S136" s="1558">
        <f ca="1">SUMPRODUCT('3b Activity Plan'!$AN$173:$AN$365,OFFSET('3b Activity Plan'!$DJ$173:$DJ$365,0,$CU136-1),'3b Activity Plan'!AU$173:AU$365,'3b Activity Plan'!$AH$173:$AH$365,'3b Activity Plan'!$CY$173:$CY$365,('3b Activity Plan'!$C$173:$C$365=$M$130)*1)</f>
        <v>0</v>
      </c>
      <c r="T136" s="1558">
        <f ca="1">SUMPRODUCT('3b Activity Plan'!$AN$173:$AN$365,OFFSET('3b Activity Plan'!$DJ$173:$DJ$365,0,$CU136-1),'3b Activity Plan'!AV$173:AV$365,'3b Activity Plan'!$AH$173:$AH$365,'3b Activity Plan'!$CY$173:$CY$365,('3b Activity Plan'!$C$173:$C$365=$M$130)*1)</f>
        <v>0</v>
      </c>
      <c r="U136" s="1558">
        <f ca="1">SUMPRODUCT('3b Activity Plan'!$AN$173:$AN$365,OFFSET('3b Activity Plan'!$DJ$173:$DJ$365,0,$CU136-1),'3b Activity Plan'!AW$173:AW$365,'3b Activity Plan'!$AH$173:$AH$365,'3b Activity Plan'!$CY$173:$CY$365,('3b Activity Plan'!$C$173:$C$365=$M$130)*1)</f>
        <v>0</v>
      </c>
      <c r="V136" s="1601">
        <f ca="1">SUMPRODUCT('3b Activity Plan'!$AN$173:$AN$365,OFFSET('3b Activity Plan'!$DJ$173:$DJ$365,0,$CU136-1),'3b Activity Plan'!AX$173:AX$365,'3b Activity Plan'!$AH$173:$AH$365,'3b Activity Plan'!$CY$173:$CY$365,('3b Activity Plan'!$C$173:$C$365=$M$130)*1)</f>
        <v>0</v>
      </c>
      <c r="W136" s="1602">
        <f ca="1">SUMPRODUCT('3b Activity Plan'!$AN$173:$AN$365,OFFSET('3b Activity Plan'!$DJ$173:$DJ$365,0,$CU136-1),'3b Activity Plan'!AO$173:AO$365,'3b Activity Plan'!$AH$173:$AH$365,'3b Activity Plan'!$CY$173:$CY$365,('3b Activity Plan'!$C$173:$C$365=$W$130)*1)</f>
        <v>0</v>
      </c>
      <c r="X136" s="1558">
        <f ca="1">SUMPRODUCT('3b Activity Plan'!$AN$173:$AN$365,OFFSET('3b Activity Plan'!$DJ$173:$DJ$365,0,$CU136-1),'3b Activity Plan'!AP$173:AP$365,'3b Activity Plan'!$AH$173:$AH$365,'3b Activity Plan'!$CY$173:$CY$365,('3b Activity Plan'!$C$173:$C$365=$W$130)*1)</f>
        <v>0</v>
      </c>
      <c r="Y136" s="1558">
        <f ca="1">SUMPRODUCT('3b Activity Plan'!$AN$173:$AN$365,OFFSET('3b Activity Plan'!$DJ$173:$DJ$365,0,$CU136-1),'3b Activity Plan'!AQ$173:AQ$365,'3b Activity Plan'!$AH$173:$AH$365,'3b Activity Plan'!$CY$173:$CY$365,('3b Activity Plan'!$C$173:$C$365=$W$130)*1)</f>
        <v>0</v>
      </c>
      <c r="Z136" s="1558">
        <f ca="1">SUMPRODUCT('3b Activity Plan'!$AN$173:$AN$365,OFFSET('3b Activity Plan'!$DJ$173:$DJ$365,0,$CU136-1),'3b Activity Plan'!AR$173:AR$365,'3b Activity Plan'!$AH$173:$AH$365,'3b Activity Plan'!$CY$173:$CY$365,('3b Activity Plan'!$C$173:$C$365=$W$130)*1)</f>
        <v>0</v>
      </c>
      <c r="AA136" s="1558">
        <f ca="1">SUMPRODUCT('3b Activity Plan'!$AN$173:$AN$365,OFFSET('3b Activity Plan'!$DJ$173:$DJ$365,0,$CU136-1),'3b Activity Plan'!AS$173:AS$365,'3b Activity Plan'!$AH$173:$AH$365,'3b Activity Plan'!$CY$173:$CY$365,('3b Activity Plan'!$C$173:$C$365=$W$130)*1)</f>
        <v>0</v>
      </c>
      <c r="AB136" s="1558">
        <f ca="1">SUMPRODUCT('3b Activity Plan'!$AN$173:$AN$365,OFFSET('3b Activity Plan'!$DJ$173:$DJ$365,0,$CU136-1),'3b Activity Plan'!AT$173:AT$365,'3b Activity Plan'!$AH$173:$AH$365,'3b Activity Plan'!$CY$173:$CY$365,('3b Activity Plan'!$C$173:$C$365=$W$130)*1)</f>
        <v>0</v>
      </c>
      <c r="AC136" s="1558">
        <f ca="1">SUMPRODUCT('3b Activity Plan'!$AN$173:$AN$365,OFFSET('3b Activity Plan'!$DJ$173:$DJ$365,0,$CU136-1),'3b Activity Plan'!AU$173:AU$365,'3b Activity Plan'!$AH$173:$AH$365,'3b Activity Plan'!$CY$173:$CY$365,('3b Activity Plan'!$C$173:$C$365=$W$130)*1)</f>
        <v>0</v>
      </c>
      <c r="AD136" s="1558">
        <f ca="1">SUMPRODUCT('3b Activity Plan'!$AN$173:$AN$365,OFFSET('3b Activity Plan'!$DJ$173:$DJ$365,0,$CU136-1),'3b Activity Plan'!AV$173:AV$365,'3b Activity Plan'!$AH$173:$AH$365,'3b Activity Plan'!$CY$173:$CY$365,('3b Activity Plan'!$C$173:$C$365=$W$130)*1)</f>
        <v>0</v>
      </c>
      <c r="AE136" s="1558">
        <f ca="1">SUMPRODUCT('3b Activity Plan'!$AN$173:$AN$365,OFFSET('3b Activity Plan'!$DJ$173:$DJ$365,0,$CU136-1),'3b Activity Plan'!AW$173:AW$365,'3b Activity Plan'!$AH$173:$AH$365,'3b Activity Plan'!$CY$173:$CY$365,('3b Activity Plan'!$C$173:$C$365=$W$130)*1)</f>
        <v>0</v>
      </c>
      <c r="AF136" s="1558">
        <f ca="1">SUMPRODUCT('3b Activity Plan'!$AN$173:$AN$365,OFFSET('3b Activity Plan'!$DJ$173:$DJ$365,0,$CU136-1),'3b Activity Plan'!AX$173:AX$365,'3b Activity Plan'!$AH$173:$AH$365,'3b Activity Plan'!$CY$173:$CY$365,('3b Activity Plan'!$C$173:$C$365=$W$130)*1)</f>
        <v>0</v>
      </c>
      <c r="AG136" s="1602">
        <f ca="1">SUMPRODUCT('3b Activity Plan'!$AN$173:$AN$365,OFFSET('3b Activity Plan'!$DJ$173:$DJ$365,0,$CU136-1),'3b Activity Plan'!AO$173:AO$365,'3b Activity Plan'!$AH$173:$AH$365,'3b Activity Plan'!$CY$173:$CY$365,('3b Activity Plan'!$C$173:$C$365=$AG$130)*1)</f>
        <v>0</v>
      </c>
      <c r="AH136" s="1558">
        <f ca="1">SUMPRODUCT('3b Activity Plan'!$AN$173:$AN$365,OFFSET('3b Activity Plan'!$DJ$173:$DJ$365,0,$CU136-1),'3b Activity Plan'!AP$173:AP$365,'3b Activity Plan'!$AH$173:$AH$365,'3b Activity Plan'!$CY$173:$CY$365,('3b Activity Plan'!$C$173:$C$365=$AG$130)*1)</f>
        <v>0</v>
      </c>
      <c r="AI136" s="1558">
        <f ca="1">SUMPRODUCT('3b Activity Plan'!$AN$173:$AN$365,OFFSET('3b Activity Plan'!$DJ$173:$DJ$365,0,$CU136-1),'3b Activity Plan'!AQ$173:AQ$365,'3b Activity Plan'!$AH$173:$AH$365,'3b Activity Plan'!$CY$173:$CY$365,('3b Activity Plan'!$C$173:$C$365=$AG$130)*1)</f>
        <v>0</v>
      </c>
      <c r="AJ136" s="1558">
        <f ca="1">SUMPRODUCT('3b Activity Plan'!$AN$173:$AN$365,OFFSET('3b Activity Plan'!$DJ$173:$DJ$365,0,$CU136-1),'3b Activity Plan'!AR$173:AR$365,'3b Activity Plan'!$AH$173:$AH$365,'3b Activity Plan'!$CY$173:$CY$365,('3b Activity Plan'!$C$173:$C$365=$AG$130)*1)</f>
        <v>0</v>
      </c>
      <c r="AK136" s="1558">
        <f ca="1">SUMPRODUCT('3b Activity Plan'!$AN$173:$AN$365,OFFSET('3b Activity Plan'!$DJ$173:$DJ$365,0,$CU136-1),'3b Activity Plan'!AS$173:AS$365,'3b Activity Plan'!$AH$173:$AH$365,'3b Activity Plan'!$CY$173:$CY$365,('3b Activity Plan'!$C$173:$C$365=$AG$130)*1)</f>
        <v>0</v>
      </c>
      <c r="AL136" s="1558">
        <f ca="1">SUMPRODUCT('3b Activity Plan'!$AN$173:$AN$365,OFFSET('3b Activity Plan'!$DJ$173:$DJ$365,0,$CU136-1),'3b Activity Plan'!AT$173:AT$365,'3b Activity Plan'!$AH$173:$AH$365,'3b Activity Plan'!$CY$173:$CY$365,('3b Activity Plan'!$C$173:$C$365=$AG$130)*1)</f>
        <v>0</v>
      </c>
      <c r="AM136" s="1558">
        <f ca="1">SUMPRODUCT('3b Activity Plan'!$AN$173:$AN$365,OFFSET('3b Activity Plan'!$DJ$173:$DJ$365,0,$CU136-1),'3b Activity Plan'!AU$173:AU$365,'3b Activity Plan'!$AH$173:$AH$365,'3b Activity Plan'!$CY$173:$CY$365,('3b Activity Plan'!$C$173:$C$365=$AG$130)*1)</f>
        <v>0</v>
      </c>
      <c r="AN136" s="1558">
        <f ca="1">SUMPRODUCT('3b Activity Plan'!$AN$173:$AN$365,OFFSET('3b Activity Plan'!$DJ$173:$DJ$365,0,$CU136-1),'3b Activity Plan'!AV$173:AV$365,'3b Activity Plan'!$AH$173:$AH$365,'3b Activity Plan'!$CY$173:$CY$365,('3b Activity Plan'!$C$173:$C$365=$AG$130)*1)</f>
        <v>0</v>
      </c>
      <c r="AO136" s="1558">
        <f ca="1">SUMPRODUCT('3b Activity Plan'!$AN$173:$AN$365,OFFSET('3b Activity Plan'!$DJ$173:$DJ$365,0,$CU136-1),'3b Activity Plan'!AW$173:AW$365,'3b Activity Plan'!$AH$173:$AH$365,'3b Activity Plan'!$CY$173:$CY$365,('3b Activity Plan'!$C$173:$C$365=$AG$130)*1)</f>
        <v>0</v>
      </c>
      <c r="AP136" s="1558">
        <f ca="1">SUMPRODUCT('3b Activity Plan'!$AN$173:$AN$365,OFFSET('3b Activity Plan'!$DJ$173:$DJ$365,0,$CU136-1),'3b Activity Plan'!AX$173:AX$365,'3b Activity Plan'!$AH$173:$AH$365,'3b Activity Plan'!$CY$173:$CY$365,('3b Activity Plan'!$C$173:$C$365=$AG$130)*1)</f>
        <v>0</v>
      </c>
      <c r="AQ136" s="1602">
        <f ca="1">SUMPRODUCT('3b Activity Plan'!$AN$173:$AN$365,OFFSET('3b Activity Plan'!$DJ$173:$DJ$365,0,$CU136-1),'3b Activity Plan'!AO$173:AO$365,'3b Activity Plan'!$AH$173:$AH$365,'3b Activity Plan'!$CY$173:$CY$365,('3b Activity Plan'!$C$173:$C$365=$AQ$130)*1)</f>
        <v>0</v>
      </c>
      <c r="AR136" s="1558">
        <f ca="1">SUMPRODUCT('3b Activity Plan'!$AN$173:$AN$365,OFFSET('3b Activity Plan'!$DJ$173:$DJ$365,0,$CU136-1),'3b Activity Plan'!AP$173:AP$365,'3b Activity Plan'!$AH$173:$AH$365,'3b Activity Plan'!$CY$173:$CY$365,('3b Activity Plan'!$C$173:$C$365=$AQ$130)*1)</f>
        <v>0</v>
      </c>
      <c r="AS136" s="1558">
        <f ca="1">SUMPRODUCT('3b Activity Plan'!$AN$173:$AN$365,OFFSET('3b Activity Plan'!$DJ$173:$DJ$365,0,$CU136-1),'3b Activity Plan'!AQ$173:AQ$365,'3b Activity Plan'!$AH$173:$AH$365,'3b Activity Plan'!$CY$173:$CY$365,('3b Activity Plan'!$C$173:$C$365=$AQ$130)*1)</f>
        <v>0</v>
      </c>
      <c r="AT136" s="1558">
        <f ca="1">SUMPRODUCT('3b Activity Plan'!$AN$173:$AN$365,OFFSET('3b Activity Plan'!$DJ$173:$DJ$365,0,$CU136-1),'3b Activity Plan'!AR$173:AR$365,'3b Activity Plan'!$AH$173:$AH$365,'3b Activity Plan'!$CY$173:$CY$365,('3b Activity Plan'!$C$173:$C$365=$AQ$130)*1)</f>
        <v>0</v>
      </c>
      <c r="AU136" s="1558">
        <f ca="1">SUMPRODUCT('3b Activity Plan'!$AN$173:$AN$365,OFFSET('3b Activity Plan'!$DJ$173:$DJ$365,0,$CU136-1),'3b Activity Plan'!AS$173:AS$365,'3b Activity Plan'!$AH$173:$AH$365,'3b Activity Plan'!$CY$173:$CY$365,('3b Activity Plan'!$C$173:$C$365=$AQ$130)*1)</f>
        <v>0</v>
      </c>
      <c r="AV136" s="1558">
        <f ca="1">SUMPRODUCT('3b Activity Plan'!$AN$173:$AN$365,OFFSET('3b Activity Plan'!$DJ$173:$DJ$365,0,$CU136-1),'3b Activity Plan'!AT$173:AT$365,'3b Activity Plan'!$AH$173:$AH$365,'3b Activity Plan'!$CY$173:$CY$365,('3b Activity Plan'!$C$173:$C$365=$AQ$130)*1)</f>
        <v>0</v>
      </c>
      <c r="AW136" s="1558">
        <f ca="1">SUMPRODUCT('3b Activity Plan'!$AN$173:$AN$365,OFFSET('3b Activity Plan'!$DJ$173:$DJ$365,0,$CU136-1),'3b Activity Plan'!AU$173:AU$365,'3b Activity Plan'!$AH$173:$AH$365,'3b Activity Plan'!$CY$173:$CY$365,('3b Activity Plan'!$C$173:$C$365=$AQ$130)*1)</f>
        <v>0</v>
      </c>
      <c r="AX136" s="1558">
        <f ca="1">SUMPRODUCT('3b Activity Plan'!$AN$173:$AN$365,OFFSET('3b Activity Plan'!$DJ$173:$DJ$365,0,$CU136-1),'3b Activity Plan'!AV$173:AV$365,'3b Activity Plan'!$AH$173:$AH$365,'3b Activity Plan'!$CY$173:$CY$365,('3b Activity Plan'!$C$173:$C$365=$AQ$130)*1)</f>
        <v>0</v>
      </c>
      <c r="AY136" s="1558">
        <f ca="1">SUMPRODUCT('3b Activity Plan'!$AN$173:$AN$365,OFFSET('3b Activity Plan'!$DJ$173:$DJ$365,0,$CU136-1),'3b Activity Plan'!AW$173:AW$365,'3b Activity Plan'!$AH$173:$AH$365,'3b Activity Plan'!$CY$173:$CY$365,('3b Activity Plan'!$C$173:$C$365=$AQ$130)*1)</f>
        <v>0</v>
      </c>
      <c r="AZ136" s="1558">
        <f ca="1">SUMPRODUCT('3b Activity Plan'!$AN$173:$AN$365,OFFSET('3b Activity Plan'!$DJ$173:$DJ$365,0,$CU136-1),'3b Activity Plan'!AX$173:AX$365,'3b Activity Plan'!$AH$173:$AH$365,'3b Activity Plan'!$CY$173:$CY$365,('3b Activity Plan'!$C$173:$C$365=$AQ$130)*1)</f>
        <v>0</v>
      </c>
      <c r="BA136" s="1602">
        <f ca="1">SUMPRODUCT('3b Activity Plan'!$AN$173:$AN$365,OFFSET('3b Activity Plan'!$DJ$173:$DJ$365,0,$CU136-1),'3b Activity Plan'!AO$173:AO$365,'3b Activity Plan'!$AH$173:$AH$365,'3b Activity Plan'!$CY$173:$CY$365,('3b Activity Plan'!$C$173:$C$365=$BA$130)*1)</f>
        <v>0</v>
      </c>
      <c r="BB136" s="1558">
        <f ca="1">SUMPRODUCT('3b Activity Plan'!$AN$173:$AN$365,OFFSET('3b Activity Plan'!$DJ$173:$DJ$365,0,$CU136-1),'3b Activity Plan'!AP$173:AP$365,'3b Activity Plan'!$AH$173:$AH$365,'3b Activity Plan'!$CY$173:$CY$365,('3b Activity Plan'!$C$173:$C$365=$BA$130)*1)</f>
        <v>0</v>
      </c>
      <c r="BC136" s="1558">
        <f ca="1">SUMPRODUCT('3b Activity Plan'!$AN$173:$AN$365,OFFSET('3b Activity Plan'!$DJ$173:$DJ$365,0,$CU136-1),'3b Activity Plan'!AQ$173:AQ$365,'3b Activity Plan'!$AH$173:$AH$365,'3b Activity Plan'!$CY$173:$CY$365,('3b Activity Plan'!$C$173:$C$365=$BA$130)*1)</f>
        <v>0</v>
      </c>
      <c r="BD136" s="1558">
        <f ca="1">SUMPRODUCT('3b Activity Plan'!$AN$173:$AN$365,OFFSET('3b Activity Plan'!$DJ$173:$DJ$365,0,$CU136-1),'3b Activity Plan'!AR$173:AR$365,'3b Activity Plan'!$AH$173:$AH$365,'3b Activity Plan'!$CY$173:$CY$365,('3b Activity Plan'!$C$173:$C$365=$BA$130)*1)</f>
        <v>0</v>
      </c>
      <c r="BE136" s="1558">
        <f ca="1">SUMPRODUCT('3b Activity Plan'!$AN$173:$AN$365,OFFSET('3b Activity Plan'!$DJ$173:$DJ$365,0,$CU136-1),'3b Activity Plan'!AS$173:AS$365,'3b Activity Plan'!$AH$173:$AH$365,'3b Activity Plan'!$CY$173:$CY$365,('3b Activity Plan'!$C$173:$C$365=$BA$130)*1)</f>
        <v>0</v>
      </c>
      <c r="BF136" s="1558">
        <f ca="1">SUMPRODUCT('3b Activity Plan'!$AN$173:$AN$365,OFFSET('3b Activity Plan'!$DJ$173:$DJ$365,0,$CU136-1),'3b Activity Plan'!AT$173:AT$365,'3b Activity Plan'!$AH$173:$AH$365,'3b Activity Plan'!$CY$173:$CY$365,('3b Activity Plan'!$C$173:$C$365=$BA$130)*1)</f>
        <v>0</v>
      </c>
      <c r="BG136" s="1558">
        <f ca="1">SUMPRODUCT('3b Activity Plan'!$AN$173:$AN$365,OFFSET('3b Activity Plan'!$DJ$173:$DJ$365,0,$CU136-1),'3b Activity Plan'!AU$173:AU$365,'3b Activity Plan'!$AH$173:$AH$365,'3b Activity Plan'!$CY$173:$CY$365,('3b Activity Plan'!$C$173:$C$365=$BA$130)*1)</f>
        <v>0</v>
      </c>
      <c r="BH136" s="1558">
        <f ca="1">SUMPRODUCT('3b Activity Plan'!$AN$173:$AN$365,OFFSET('3b Activity Plan'!$DJ$173:$DJ$365,0,$CU136-1),'3b Activity Plan'!AV$173:AV$365,'3b Activity Plan'!$AH$173:$AH$365,'3b Activity Plan'!$CY$173:$CY$365,('3b Activity Plan'!$C$173:$C$365=$BA$130)*1)</f>
        <v>0</v>
      </c>
      <c r="BI136" s="1558">
        <f ca="1">SUMPRODUCT('3b Activity Plan'!$AN$173:$AN$365,OFFSET('3b Activity Plan'!$DJ$173:$DJ$365,0,$CU136-1),'3b Activity Plan'!AW$173:AW$365,'3b Activity Plan'!$AH$173:$AH$365,'3b Activity Plan'!$CY$173:$CY$365,('3b Activity Plan'!$C$173:$C$365=$BA$130)*1)</f>
        <v>0</v>
      </c>
      <c r="BJ136" s="1558">
        <f ca="1">SUMPRODUCT('3b Activity Plan'!$AN$173:$AN$365,OFFSET('3b Activity Plan'!$DJ$173:$DJ$365,0,$CU136-1),'3b Activity Plan'!AX$173:AX$365,'3b Activity Plan'!$AH$173:$AH$365,'3b Activity Plan'!$CY$173:$CY$365,('3b Activity Plan'!$C$173:$C$365=$BA$130)*1)</f>
        <v>0</v>
      </c>
      <c r="BK136" s="1602">
        <f ca="1">SUMPRODUCT('3b Activity Plan'!$AN$173:$AN$365,OFFSET('3b Activity Plan'!$DJ$173:$DJ$365,0,$CU136-1),'3b Activity Plan'!AO$173:AO$365,'3b Activity Plan'!$AH$173:$AH$365,'3b Activity Plan'!$CY$173:$CY$365,('3b Activity Plan'!$C$173:$C$365=$BK$130)*1)</f>
        <v>0</v>
      </c>
      <c r="BL136" s="1558">
        <f ca="1">SUMPRODUCT('3b Activity Plan'!$AN$173:$AN$365,OFFSET('3b Activity Plan'!$DJ$173:$DJ$365,0,$CU136-1),'3b Activity Plan'!AP$173:AP$365,'3b Activity Plan'!$AH$173:$AH$365,'3b Activity Plan'!$CY$173:$CY$365,('3b Activity Plan'!$C$173:$C$365=$BK$130)*1)</f>
        <v>0</v>
      </c>
      <c r="BM136" s="1558">
        <f ca="1">SUMPRODUCT('3b Activity Plan'!$AN$173:$AN$365,OFFSET('3b Activity Plan'!$DJ$173:$DJ$365,0,$CU136-1),'3b Activity Plan'!AQ$173:AQ$365,'3b Activity Plan'!$AH$173:$AH$365,'3b Activity Plan'!$CY$173:$CY$365,('3b Activity Plan'!$C$173:$C$365=$BK$130)*1)</f>
        <v>0</v>
      </c>
      <c r="BN136" s="1558">
        <f ca="1">SUMPRODUCT('3b Activity Plan'!$AN$173:$AN$365,OFFSET('3b Activity Plan'!$DJ$173:$DJ$365,0,$CU136-1),'3b Activity Plan'!AR$173:AR$365,'3b Activity Plan'!$AH$173:$AH$365,'3b Activity Plan'!$CY$173:$CY$365,('3b Activity Plan'!$C$173:$C$365=$BK$130)*1)</f>
        <v>0</v>
      </c>
      <c r="BO136" s="1558">
        <f ca="1">SUMPRODUCT('3b Activity Plan'!$AN$173:$AN$365,OFFSET('3b Activity Plan'!$DJ$173:$DJ$365,0,$CU136-1),'3b Activity Plan'!AS$173:AS$365,'3b Activity Plan'!$AH$173:$AH$365,'3b Activity Plan'!$CY$173:$CY$365,('3b Activity Plan'!$C$173:$C$365=$BK$130)*1)</f>
        <v>0</v>
      </c>
      <c r="BP136" s="1558">
        <f ca="1">SUMPRODUCT('3b Activity Plan'!$AN$173:$AN$365,OFFSET('3b Activity Plan'!$DJ$173:$DJ$365,0,$CU136-1),'3b Activity Plan'!AT$173:AT$365,'3b Activity Plan'!$AH$173:$AH$365,'3b Activity Plan'!$CY$173:$CY$365,('3b Activity Plan'!$C$173:$C$365=$BK$130)*1)</f>
        <v>0</v>
      </c>
      <c r="BQ136" s="1558">
        <f ca="1">SUMPRODUCT('3b Activity Plan'!$AN$173:$AN$365,OFFSET('3b Activity Plan'!$DJ$173:$DJ$365,0,$CU136-1),'3b Activity Plan'!AU$173:AU$365,'3b Activity Plan'!$AH$173:$AH$365,'3b Activity Plan'!$CY$173:$CY$365,('3b Activity Plan'!$C$173:$C$365=$BK$130)*1)</f>
        <v>0</v>
      </c>
      <c r="BR136" s="1558">
        <f ca="1">SUMPRODUCT('3b Activity Plan'!$AN$173:$AN$365,OFFSET('3b Activity Plan'!$DJ$173:$DJ$365,0,$CU136-1),'3b Activity Plan'!AV$173:AV$365,'3b Activity Plan'!$AH$173:$AH$365,'3b Activity Plan'!$CY$173:$CY$365,('3b Activity Plan'!$C$173:$C$365=$BK$130)*1)</f>
        <v>0</v>
      </c>
      <c r="BS136" s="1558">
        <f ca="1">SUMPRODUCT('3b Activity Plan'!$AN$173:$AN$365,OFFSET('3b Activity Plan'!$DJ$173:$DJ$365,0,$CU136-1),'3b Activity Plan'!AW$173:AW$365,'3b Activity Plan'!$AH$173:$AH$365,'3b Activity Plan'!$CY$173:$CY$365,('3b Activity Plan'!$C$173:$C$365=$BK$130)*1)</f>
        <v>0</v>
      </c>
      <c r="BT136" s="1558">
        <f ca="1">SUMPRODUCT('3b Activity Plan'!$AN$173:$AN$365,OFFSET('3b Activity Plan'!$DJ$173:$DJ$365,0,$CU136-1),'3b Activity Plan'!AX$173:AX$365,'3b Activity Plan'!$AH$173:$AH$365,'3b Activity Plan'!$CY$173:$CY$365,('3b Activity Plan'!$C$173:$C$365=$BK$130)*1)</f>
        <v>0</v>
      </c>
      <c r="BU136" s="1587"/>
      <c r="BV136" s="1587"/>
      <c r="BW136" s="1587"/>
      <c r="BX136" s="1556"/>
      <c r="BY136" s="1556"/>
      <c r="BZ136" s="1556"/>
      <c r="CA136" s="1024">
        <f ca="1">SUMIFS('3a Staff Plan'!$T$129:$T$305,'3a Staff Plan'!$DY$129:$DY$305,CZ136,'3a Staff Plan'!$DF$129:$DF$305,1)</f>
        <v>0</v>
      </c>
      <c r="CB136" s="1025">
        <f ca="1">SUMIFS('3a Staff Plan'!$T$129:$T$305,'3a Staff Plan'!$DY$129:$DY$305,$CZ136,'3a Staff Plan'!$DF$129:$DF$305,1,'3a Staff Plan'!$C$129:$C$305,DC$18)</f>
        <v>0</v>
      </c>
      <c r="CC136" s="1026">
        <f ca="1">SUMIFS('3a Staff Plan'!$T$129:$T$305,'3a Staff Plan'!$DY$129:$DY$305,$CZ136,'3a Staff Plan'!$DF$129:$DF$305,1,'3a Staff Plan'!$C$129:$C$305,DD$18)</f>
        <v>0</v>
      </c>
      <c r="CD136" s="1026">
        <f ca="1">SUMIFS('3a Staff Plan'!$T$129:$T$305,'3a Staff Plan'!$DY$129:$DY$305,$CZ136,'3a Staff Plan'!$DF$129:$DF$305,1,'3a Staff Plan'!$C$129:$C$305,DE$18)</f>
        <v>0</v>
      </c>
      <c r="CE136" s="1026">
        <f ca="1">SUMIFS('3a Staff Plan'!$T$129:$T$305,'3a Staff Plan'!$DY$129:$DY$305,$CZ136,'3a Staff Plan'!$DF$129:$DF$305,1,'3a Staff Plan'!$C$129:$C$305,DF$18)</f>
        <v>0</v>
      </c>
      <c r="CF136" s="1026">
        <f ca="1">SUMIFS('3a Staff Plan'!$T$129:$T$305,'3a Staff Plan'!$DY$129:$DY$305,$CZ136,'3a Staff Plan'!$DF$129:$DF$305,1,'3a Staff Plan'!$C$129:$C$305,DG$18)</f>
        <v>0</v>
      </c>
      <c r="CG136" s="1026">
        <f ca="1">SUMIFS('3a Staff Plan'!$T$129:$T$305,'3a Staff Plan'!$DY$129:$DY$305,$CZ136,'3a Staff Plan'!$DF$129:$DF$305,1,'3a Staff Plan'!$C$129:$C$305,DH$18)</f>
        <v>0</v>
      </c>
      <c r="CH136" s="1026">
        <f ca="1">SUMIFS('3a Staff Plan'!$T$129:$T$305,'3a Staff Plan'!$DY$129:$DY$305,$CZ136,'3a Staff Plan'!$DF$129:$DF$305,1,'3a Staff Plan'!$C$129:$C$305,DI$18)</f>
        <v>0</v>
      </c>
      <c r="CI136" s="755"/>
      <c r="CJ136" s="1024">
        <f ca="1">SUMPRODUCT('3b Activity Plan'!$AN$173:$AN$365,'3b Activity Plan'!$CY$173:$CY$365,'3b Activity Plan'!$AH$173:$AH$365,OFFSET('3b Activity Plan'!$DJ$173:$DJ$365,0,$CU136-1))</f>
        <v>0</v>
      </c>
      <c r="CK136" s="1025">
        <f t="shared" ca="1" si="93"/>
        <v>0</v>
      </c>
      <c r="CL136" s="1026">
        <f t="shared" ca="1" si="94"/>
        <v>0</v>
      </c>
      <c r="CM136" s="1026">
        <f t="shared" ca="1" si="95"/>
        <v>0</v>
      </c>
      <c r="CN136" s="1026">
        <f t="shared" ca="1" si="96"/>
        <v>0</v>
      </c>
      <c r="CO136" s="1026">
        <f t="shared" ca="1" si="97"/>
        <v>0</v>
      </c>
      <c r="CP136" s="1026">
        <f t="shared" ca="1" si="98"/>
        <v>0</v>
      </c>
      <c r="CQ136" s="1026">
        <f t="shared" ca="1" si="99"/>
        <v>0</v>
      </c>
      <c r="CR136" s="417"/>
      <c r="CS136" s="417">
        <f t="shared" si="100"/>
        <v>4</v>
      </c>
      <c r="CT136" s="417">
        <f ca="1">OFFSET('2 Staff List'!$GU$64,CS136-1,0)</f>
        <v>4</v>
      </c>
      <c r="CU136" s="417">
        <f ca="1">IF(CZ136=0,0,IFERROR(INDEX('3b Activity Plan'!$DJ$20:$FH$20,MATCH(CT136,'3b Activity Plan'!$DJ$171:$FH$171,0)),0))</f>
        <v>4</v>
      </c>
      <c r="CV136" s="417">
        <f ca="1">INDEX('2 Staff List'!$HW$64:$HW$114,CT136)</f>
        <v>0</v>
      </c>
      <c r="CW136" s="417"/>
      <c r="CY136" s="927" t="str">
        <f ca="1">OFFSET('2 Staff List'!$HZ$64,CS136-1,0)</f>
        <v>GDC PC Support</v>
      </c>
      <c r="CZ136" s="975" t="str">
        <f ca="1">OFFSET('2 Staff List'!$IA$64,CT136-1,0)</f>
        <v>Mhatre, Rajesh Ramchandra</v>
      </c>
      <c r="DA136" s="3840">
        <f t="shared" ca="1" si="92"/>
        <v>0</v>
      </c>
      <c r="DB136" s="3841"/>
      <c r="DC136" s="2408">
        <f t="shared" ca="1" si="85"/>
        <v>0</v>
      </c>
      <c r="DD136" s="2405">
        <f t="shared" ca="1" si="86"/>
        <v>0</v>
      </c>
      <c r="DE136" s="2405">
        <f t="shared" ca="1" si="87"/>
        <v>0</v>
      </c>
      <c r="DF136" s="2405">
        <f t="shared" ca="1" si="88"/>
        <v>0</v>
      </c>
      <c r="DG136" s="2405">
        <f t="shared" ca="1" si="89"/>
        <v>0</v>
      </c>
      <c r="DH136" s="2406">
        <f t="shared" ca="1" si="90"/>
        <v>0</v>
      </c>
      <c r="DI136" s="2407">
        <f t="shared" ca="1" si="91"/>
        <v>0</v>
      </c>
    </row>
    <row r="137" spans="1:113" ht="15.9" customHeight="1" x14ac:dyDescent="0.25">
      <c r="A137" s="1051"/>
      <c r="B137" s="1556"/>
      <c r="C137" s="1558">
        <f ca="1">SUMPRODUCT('3b Activity Plan'!$AN$173:$AN$365,OFFSET('3b Activity Plan'!$DJ$173:$DJ$365,0,$CU137-1),'3b Activity Plan'!AO$173:AO$365,'3b Activity Plan'!$AH$173:$AH$365,'3b Activity Plan'!$CY$173:$CY$365,('3b Activity Plan'!$C$173:$C$365=$C$130)*1)</f>
        <v>0</v>
      </c>
      <c r="D137" s="1558">
        <f ca="1">SUMPRODUCT('3b Activity Plan'!$AN$173:$AN$365,OFFSET('3b Activity Plan'!$DJ$173:$DJ$365,0,$CU137-1),'3b Activity Plan'!AP$173:AP$365,'3b Activity Plan'!$AH$173:$AH$365,'3b Activity Plan'!$CY$173:$CY$365,('3b Activity Plan'!$C$173:$C$365=$C$130)*1)</f>
        <v>0</v>
      </c>
      <c r="E137" s="1558">
        <f ca="1">SUMPRODUCT('3b Activity Plan'!$AN$173:$AN$365,OFFSET('3b Activity Plan'!$DJ$173:$DJ$365,0,$CU137-1),'3b Activity Plan'!AQ$173:AQ$365,'3b Activity Plan'!$AH$173:$AH$365,'3b Activity Plan'!$CY$173:$CY$365,('3b Activity Plan'!$C$173:$C$365=$C$130)*1)</f>
        <v>0</v>
      </c>
      <c r="F137" s="1558">
        <f ca="1">SUMPRODUCT('3b Activity Plan'!$AN$173:$AN$365,OFFSET('3b Activity Plan'!$DJ$173:$DJ$365,0,$CU137-1),'3b Activity Plan'!AR$173:AR$365,'3b Activity Plan'!$AH$173:$AH$365,'3b Activity Plan'!$CY$173:$CY$365,('3b Activity Plan'!$C$173:$C$365=$C$130)*1)</f>
        <v>0</v>
      </c>
      <c r="G137" s="1558">
        <f ca="1">SUMPRODUCT('3b Activity Plan'!$AN$173:$AN$365,OFFSET('3b Activity Plan'!$DJ$173:$DJ$365,0,$CU137-1),'3b Activity Plan'!AS$173:AS$365,'3b Activity Plan'!$AH$173:$AH$365,'3b Activity Plan'!$CY$173:$CY$365,('3b Activity Plan'!$C$173:$C$365=$C$130)*1)</f>
        <v>0</v>
      </c>
      <c r="H137" s="1558">
        <f ca="1">SUMPRODUCT('3b Activity Plan'!$AN$173:$AN$365,OFFSET('3b Activity Plan'!$DJ$173:$DJ$365,0,$CU137-1),'3b Activity Plan'!AT$173:AT$365,'3b Activity Plan'!$AH$173:$AH$365,'3b Activity Plan'!$CY$173:$CY$365,('3b Activity Plan'!$C$173:$C$365=$C$130)*1)</f>
        <v>0</v>
      </c>
      <c r="I137" s="1558">
        <f ca="1">SUMPRODUCT('3b Activity Plan'!$AN$173:$AN$365,OFFSET('3b Activity Plan'!$DJ$173:$DJ$365,0,$CU137-1),'3b Activity Plan'!AU$173:AU$365,'3b Activity Plan'!$AH$173:$AH$365,'3b Activity Plan'!$CY$173:$CY$365,('3b Activity Plan'!$C$173:$C$365=$C$130)*1)</f>
        <v>0</v>
      </c>
      <c r="J137" s="1558">
        <f ca="1">SUMPRODUCT('3b Activity Plan'!$AN$173:$AN$365,OFFSET('3b Activity Plan'!$DJ$173:$DJ$365,0,$CU137-1),'3b Activity Plan'!AV$173:AV$365,'3b Activity Plan'!$AH$173:$AH$365,'3b Activity Plan'!$CY$173:$CY$365,('3b Activity Plan'!$C$173:$C$365=$C$130)*1)</f>
        <v>0</v>
      </c>
      <c r="K137" s="1558">
        <f ca="1">SUMPRODUCT('3b Activity Plan'!$AN$173:$AN$365,OFFSET('3b Activity Plan'!$DJ$173:$DJ$365,0,$CU137-1),'3b Activity Plan'!AW$173:AW$365,'3b Activity Plan'!$AH$173:$AH$365,'3b Activity Plan'!$CY$173:$CY$365,('3b Activity Plan'!$C$173:$C$365=$C$130)*1)</f>
        <v>0</v>
      </c>
      <c r="L137" s="1601">
        <f ca="1">SUMPRODUCT('3b Activity Plan'!$AN$173:$AN$365,OFFSET('3b Activity Plan'!$DJ$173:$DJ$365,0,$CU137-1),'3b Activity Plan'!AX$173:AX$365,'3b Activity Plan'!$AH$173:$AH$365,'3b Activity Plan'!$CY$173:$CY$365,('3b Activity Plan'!$C$173:$C$365=$C$130)*1)</f>
        <v>0</v>
      </c>
      <c r="M137" s="1602">
        <f ca="1">SUMPRODUCT('3b Activity Plan'!$AN$173:$AN$365,OFFSET('3b Activity Plan'!$DJ$173:$DJ$365,0,$CU137-1),'3b Activity Plan'!AO$173:AO$365,'3b Activity Plan'!$AH$173:$AH$365,'3b Activity Plan'!$CY$173:$CY$365,('3b Activity Plan'!$C$173:$C$365=$M$130)*1)</f>
        <v>0</v>
      </c>
      <c r="N137" s="1558">
        <f ca="1">SUMPRODUCT('3b Activity Plan'!$AN$173:$AN$365,OFFSET('3b Activity Plan'!$DJ$173:$DJ$365,0,$CU137-1),'3b Activity Plan'!AP$173:AP$365,'3b Activity Plan'!$AH$173:$AH$365,'3b Activity Plan'!$CY$173:$CY$365,('3b Activity Plan'!$C$173:$C$365=$M$130)*1)</f>
        <v>0</v>
      </c>
      <c r="O137" s="1558">
        <f ca="1">SUMPRODUCT('3b Activity Plan'!$AN$173:$AN$365,OFFSET('3b Activity Plan'!$DJ$173:$DJ$365,0,$CU137-1),'3b Activity Plan'!AQ$173:AQ$365,'3b Activity Plan'!$AH$173:$AH$365,'3b Activity Plan'!$CY$173:$CY$365,('3b Activity Plan'!$C$173:$C$365=$M$130)*1)</f>
        <v>0</v>
      </c>
      <c r="P137" s="1558">
        <f ca="1">SUMPRODUCT('3b Activity Plan'!$AN$173:$AN$365,OFFSET('3b Activity Plan'!$DJ$173:$DJ$365,0,$CU137-1),'3b Activity Plan'!AR$173:AR$365,'3b Activity Plan'!$AH$173:$AH$365,'3b Activity Plan'!$CY$173:$CY$365,('3b Activity Plan'!$C$173:$C$365=$M$130)*1)</f>
        <v>0</v>
      </c>
      <c r="Q137" s="1558">
        <f ca="1">SUMPRODUCT('3b Activity Plan'!$AN$173:$AN$365,OFFSET('3b Activity Plan'!$DJ$173:$DJ$365,0,$CU137-1),'3b Activity Plan'!AS$173:AS$365,'3b Activity Plan'!$AH$173:$AH$365,'3b Activity Plan'!$CY$173:$CY$365,('3b Activity Plan'!$C$173:$C$365=$M$130)*1)</f>
        <v>0</v>
      </c>
      <c r="R137" s="1558">
        <f ca="1">SUMPRODUCT('3b Activity Plan'!$AN$173:$AN$365,OFFSET('3b Activity Plan'!$DJ$173:$DJ$365,0,$CU137-1),'3b Activity Plan'!AT$173:AT$365,'3b Activity Plan'!$AH$173:$AH$365,'3b Activity Plan'!$CY$173:$CY$365,('3b Activity Plan'!$C$173:$C$365=$M$130)*1)</f>
        <v>0</v>
      </c>
      <c r="S137" s="1558">
        <f ca="1">SUMPRODUCT('3b Activity Plan'!$AN$173:$AN$365,OFFSET('3b Activity Plan'!$DJ$173:$DJ$365,0,$CU137-1),'3b Activity Plan'!AU$173:AU$365,'3b Activity Plan'!$AH$173:$AH$365,'3b Activity Plan'!$CY$173:$CY$365,('3b Activity Plan'!$C$173:$C$365=$M$130)*1)</f>
        <v>0</v>
      </c>
      <c r="T137" s="1558">
        <f ca="1">SUMPRODUCT('3b Activity Plan'!$AN$173:$AN$365,OFFSET('3b Activity Plan'!$DJ$173:$DJ$365,0,$CU137-1),'3b Activity Plan'!AV$173:AV$365,'3b Activity Plan'!$AH$173:$AH$365,'3b Activity Plan'!$CY$173:$CY$365,('3b Activity Plan'!$C$173:$C$365=$M$130)*1)</f>
        <v>0</v>
      </c>
      <c r="U137" s="1558">
        <f ca="1">SUMPRODUCT('3b Activity Plan'!$AN$173:$AN$365,OFFSET('3b Activity Plan'!$DJ$173:$DJ$365,0,$CU137-1),'3b Activity Plan'!AW$173:AW$365,'3b Activity Plan'!$AH$173:$AH$365,'3b Activity Plan'!$CY$173:$CY$365,('3b Activity Plan'!$C$173:$C$365=$M$130)*1)</f>
        <v>0</v>
      </c>
      <c r="V137" s="1601">
        <f ca="1">SUMPRODUCT('3b Activity Plan'!$AN$173:$AN$365,OFFSET('3b Activity Plan'!$DJ$173:$DJ$365,0,$CU137-1),'3b Activity Plan'!AX$173:AX$365,'3b Activity Plan'!$AH$173:$AH$365,'3b Activity Plan'!$CY$173:$CY$365,('3b Activity Plan'!$C$173:$C$365=$M$130)*1)</f>
        <v>0</v>
      </c>
      <c r="W137" s="1602">
        <f ca="1">SUMPRODUCT('3b Activity Plan'!$AN$173:$AN$365,OFFSET('3b Activity Plan'!$DJ$173:$DJ$365,0,$CU137-1),'3b Activity Plan'!AO$173:AO$365,'3b Activity Plan'!$AH$173:$AH$365,'3b Activity Plan'!$CY$173:$CY$365,('3b Activity Plan'!$C$173:$C$365=$W$130)*1)</f>
        <v>0</v>
      </c>
      <c r="X137" s="1558">
        <f ca="1">SUMPRODUCT('3b Activity Plan'!$AN$173:$AN$365,OFFSET('3b Activity Plan'!$DJ$173:$DJ$365,0,$CU137-1),'3b Activity Plan'!AP$173:AP$365,'3b Activity Plan'!$AH$173:$AH$365,'3b Activity Plan'!$CY$173:$CY$365,('3b Activity Plan'!$C$173:$C$365=$W$130)*1)</f>
        <v>0</v>
      </c>
      <c r="Y137" s="1558">
        <f ca="1">SUMPRODUCT('3b Activity Plan'!$AN$173:$AN$365,OFFSET('3b Activity Plan'!$DJ$173:$DJ$365,0,$CU137-1),'3b Activity Plan'!AQ$173:AQ$365,'3b Activity Plan'!$AH$173:$AH$365,'3b Activity Plan'!$CY$173:$CY$365,('3b Activity Plan'!$C$173:$C$365=$W$130)*1)</f>
        <v>0</v>
      </c>
      <c r="Z137" s="1558">
        <f ca="1">SUMPRODUCT('3b Activity Plan'!$AN$173:$AN$365,OFFSET('3b Activity Plan'!$DJ$173:$DJ$365,0,$CU137-1),'3b Activity Plan'!AR$173:AR$365,'3b Activity Plan'!$AH$173:$AH$365,'3b Activity Plan'!$CY$173:$CY$365,('3b Activity Plan'!$C$173:$C$365=$W$130)*1)</f>
        <v>0</v>
      </c>
      <c r="AA137" s="1558">
        <f ca="1">SUMPRODUCT('3b Activity Plan'!$AN$173:$AN$365,OFFSET('3b Activity Plan'!$DJ$173:$DJ$365,0,$CU137-1),'3b Activity Plan'!AS$173:AS$365,'3b Activity Plan'!$AH$173:$AH$365,'3b Activity Plan'!$CY$173:$CY$365,('3b Activity Plan'!$C$173:$C$365=$W$130)*1)</f>
        <v>0</v>
      </c>
      <c r="AB137" s="1558">
        <f ca="1">SUMPRODUCT('3b Activity Plan'!$AN$173:$AN$365,OFFSET('3b Activity Plan'!$DJ$173:$DJ$365,0,$CU137-1),'3b Activity Plan'!AT$173:AT$365,'3b Activity Plan'!$AH$173:$AH$365,'3b Activity Plan'!$CY$173:$CY$365,('3b Activity Plan'!$C$173:$C$365=$W$130)*1)</f>
        <v>0</v>
      </c>
      <c r="AC137" s="1558">
        <f ca="1">SUMPRODUCT('3b Activity Plan'!$AN$173:$AN$365,OFFSET('3b Activity Plan'!$DJ$173:$DJ$365,0,$CU137-1),'3b Activity Plan'!AU$173:AU$365,'3b Activity Plan'!$AH$173:$AH$365,'3b Activity Plan'!$CY$173:$CY$365,('3b Activity Plan'!$C$173:$C$365=$W$130)*1)</f>
        <v>0</v>
      </c>
      <c r="AD137" s="1558">
        <f ca="1">SUMPRODUCT('3b Activity Plan'!$AN$173:$AN$365,OFFSET('3b Activity Plan'!$DJ$173:$DJ$365,0,$CU137-1),'3b Activity Plan'!AV$173:AV$365,'3b Activity Plan'!$AH$173:$AH$365,'3b Activity Plan'!$CY$173:$CY$365,('3b Activity Plan'!$C$173:$C$365=$W$130)*1)</f>
        <v>0</v>
      </c>
      <c r="AE137" s="1558">
        <f ca="1">SUMPRODUCT('3b Activity Plan'!$AN$173:$AN$365,OFFSET('3b Activity Plan'!$DJ$173:$DJ$365,0,$CU137-1),'3b Activity Plan'!AW$173:AW$365,'3b Activity Plan'!$AH$173:$AH$365,'3b Activity Plan'!$CY$173:$CY$365,('3b Activity Plan'!$C$173:$C$365=$W$130)*1)</f>
        <v>0</v>
      </c>
      <c r="AF137" s="1558">
        <f ca="1">SUMPRODUCT('3b Activity Plan'!$AN$173:$AN$365,OFFSET('3b Activity Plan'!$DJ$173:$DJ$365,0,$CU137-1),'3b Activity Plan'!AX$173:AX$365,'3b Activity Plan'!$AH$173:$AH$365,'3b Activity Plan'!$CY$173:$CY$365,('3b Activity Plan'!$C$173:$C$365=$W$130)*1)</f>
        <v>0</v>
      </c>
      <c r="AG137" s="1602">
        <f ca="1">SUMPRODUCT('3b Activity Plan'!$AN$173:$AN$365,OFFSET('3b Activity Plan'!$DJ$173:$DJ$365,0,$CU137-1),'3b Activity Plan'!AO$173:AO$365,'3b Activity Plan'!$AH$173:$AH$365,'3b Activity Plan'!$CY$173:$CY$365,('3b Activity Plan'!$C$173:$C$365=$AG$130)*1)</f>
        <v>0</v>
      </c>
      <c r="AH137" s="1558">
        <f ca="1">SUMPRODUCT('3b Activity Plan'!$AN$173:$AN$365,OFFSET('3b Activity Plan'!$DJ$173:$DJ$365,0,$CU137-1),'3b Activity Plan'!AP$173:AP$365,'3b Activity Plan'!$AH$173:$AH$365,'3b Activity Plan'!$CY$173:$CY$365,('3b Activity Plan'!$C$173:$C$365=$AG$130)*1)</f>
        <v>0</v>
      </c>
      <c r="AI137" s="1558">
        <f ca="1">SUMPRODUCT('3b Activity Plan'!$AN$173:$AN$365,OFFSET('3b Activity Plan'!$DJ$173:$DJ$365,0,$CU137-1),'3b Activity Plan'!AQ$173:AQ$365,'3b Activity Plan'!$AH$173:$AH$365,'3b Activity Plan'!$CY$173:$CY$365,('3b Activity Plan'!$C$173:$C$365=$AG$130)*1)</f>
        <v>0</v>
      </c>
      <c r="AJ137" s="1558">
        <f ca="1">SUMPRODUCT('3b Activity Plan'!$AN$173:$AN$365,OFFSET('3b Activity Plan'!$DJ$173:$DJ$365,0,$CU137-1),'3b Activity Plan'!AR$173:AR$365,'3b Activity Plan'!$AH$173:$AH$365,'3b Activity Plan'!$CY$173:$CY$365,('3b Activity Plan'!$C$173:$C$365=$AG$130)*1)</f>
        <v>0</v>
      </c>
      <c r="AK137" s="1558">
        <f ca="1">SUMPRODUCT('3b Activity Plan'!$AN$173:$AN$365,OFFSET('3b Activity Plan'!$DJ$173:$DJ$365,0,$CU137-1),'3b Activity Plan'!AS$173:AS$365,'3b Activity Plan'!$AH$173:$AH$365,'3b Activity Plan'!$CY$173:$CY$365,('3b Activity Plan'!$C$173:$C$365=$AG$130)*1)</f>
        <v>0</v>
      </c>
      <c r="AL137" s="1558">
        <f ca="1">SUMPRODUCT('3b Activity Plan'!$AN$173:$AN$365,OFFSET('3b Activity Plan'!$DJ$173:$DJ$365,0,$CU137-1),'3b Activity Plan'!AT$173:AT$365,'3b Activity Plan'!$AH$173:$AH$365,'3b Activity Plan'!$CY$173:$CY$365,('3b Activity Plan'!$C$173:$C$365=$AG$130)*1)</f>
        <v>0</v>
      </c>
      <c r="AM137" s="1558">
        <f ca="1">SUMPRODUCT('3b Activity Plan'!$AN$173:$AN$365,OFFSET('3b Activity Plan'!$DJ$173:$DJ$365,0,$CU137-1),'3b Activity Plan'!AU$173:AU$365,'3b Activity Plan'!$AH$173:$AH$365,'3b Activity Plan'!$CY$173:$CY$365,('3b Activity Plan'!$C$173:$C$365=$AG$130)*1)</f>
        <v>0</v>
      </c>
      <c r="AN137" s="1558">
        <f ca="1">SUMPRODUCT('3b Activity Plan'!$AN$173:$AN$365,OFFSET('3b Activity Plan'!$DJ$173:$DJ$365,0,$CU137-1),'3b Activity Plan'!AV$173:AV$365,'3b Activity Plan'!$AH$173:$AH$365,'3b Activity Plan'!$CY$173:$CY$365,('3b Activity Plan'!$C$173:$C$365=$AG$130)*1)</f>
        <v>0</v>
      </c>
      <c r="AO137" s="1558">
        <f ca="1">SUMPRODUCT('3b Activity Plan'!$AN$173:$AN$365,OFFSET('3b Activity Plan'!$DJ$173:$DJ$365,0,$CU137-1),'3b Activity Plan'!AW$173:AW$365,'3b Activity Plan'!$AH$173:$AH$365,'3b Activity Plan'!$CY$173:$CY$365,('3b Activity Plan'!$C$173:$C$365=$AG$130)*1)</f>
        <v>0</v>
      </c>
      <c r="AP137" s="1558">
        <f ca="1">SUMPRODUCT('3b Activity Plan'!$AN$173:$AN$365,OFFSET('3b Activity Plan'!$DJ$173:$DJ$365,0,$CU137-1),'3b Activity Plan'!AX$173:AX$365,'3b Activity Plan'!$AH$173:$AH$365,'3b Activity Plan'!$CY$173:$CY$365,('3b Activity Plan'!$C$173:$C$365=$AG$130)*1)</f>
        <v>0</v>
      </c>
      <c r="AQ137" s="1602">
        <f ca="1">SUMPRODUCT('3b Activity Plan'!$AN$173:$AN$365,OFFSET('3b Activity Plan'!$DJ$173:$DJ$365,0,$CU137-1),'3b Activity Plan'!AO$173:AO$365,'3b Activity Plan'!$AH$173:$AH$365,'3b Activity Plan'!$CY$173:$CY$365,('3b Activity Plan'!$C$173:$C$365=$AQ$130)*1)</f>
        <v>0</v>
      </c>
      <c r="AR137" s="1558">
        <f ca="1">SUMPRODUCT('3b Activity Plan'!$AN$173:$AN$365,OFFSET('3b Activity Plan'!$DJ$173:$DJ$365,0,$CU137-1),'3b Activity Plan'!AP$173:AP$365,'3b Activity Plan'!$AH$173:$AH$365,'3b Activity Plan'!$CY$173:$CY$365,('3b Activity Plan'!$C$173:$C$365=$AQ$130)*1)</f>
        <v>0</v>
      </c>
      <c r="AS137" s="1558">
        <f ca="1">SUMPRODUCT('3b Activity Plan'!$AN$173:$AN$365,OFFSET('3b Activity Plan'!$DJ$173:$DJ$365,0,$CU137-1),'3b Activity Plan'!AQ$173:AQ$365,'3b Activity Plan'!$AH$173:$AH$365,'3b Activity Plan'!$CY$173:$CY$365,('3b Activity Plan'!$C$173:$C$365=$AQ$130)*1)</f>
        <v>0</v>
      </c>
      <c r="AT137" s="1558">
        <f ca="1">SUMPRODUCT('3b Activity Plan'!$AN$173:$AN$365,OFFSET('3b Activity Plan'!$DJ$173:$DJ$365,0,$CU137-1),'3b Activity Plan'!AR$173:AR$365,'3b Activity Plan'!$AH$173:$AH$365,'3b Activity Plan'!$CY$173:$CY$365,('3b Activity Plan'!$C$173:$C$365=$AQ$130)*1)</f>
        <v>0</v>
      </c>
      <c r="AU137" s="1558">
        <f ca="1">SUMPRODUCT('3b Activity Plan'!$AN$173:$AN$365,OFFSET('3b Activity Plan'!$DJ$173:$DJ$365,0,$CU137-1),'3b Activity Plan'!AS$173:AS$365,'3b Activity Plan'!$AH$173:$AH$365,'3b Activity Plan'!$CY$173:$CY$365,('3b Activity Plan'!$C$173:$C$365=$AQ$130)*1)</f>
        <v>0</v>
      </c>
      <c r="AV137" s="1558">
        <f ca="1">SUMPRODUCT('3b Activity Plan'!$AN$173:$AN$365,OFFSET('3b Activity Plan'!$DJ$173:$DJ$365,0,$CU137-1),'3b Activity Plan'!AT$173:AT$365,'3b Activity Plan'!$AH$173:$AH$365,'3b Activity Plan'!$CY$173:$CY$365,('3b Activity Plan'!$C$173:$C$365=$AQ$130)*1)</f>
        <v>0</v>
      </c>
      <c r="AW137" s="1558">
        <f ca="1">SUMPRODUCT('3b Activity Plan'!$AN$173:$AN$365,OFFSET('3b Activity Plan'!$DJ$173:$DJ$365,0,$CU137-1),'3b Activity Plan'!AU$173:AU$365,'3b Activity Plan'!$AH$173:$AH$365,'3b Activity Plan'!$CY$173:$CY$365,('3b Activity Plan'!$C$173:$C$365=$AQ$130)*1)</f>
        <v>0</v>
      </c>
      <c r="AX137" s="1558">
        <f ca="1">SUMPRODUCT('3b Activity Plan'!$AN$173:$AN$365,OFFSET('3b Activity Plan'!$DJ$173:$DJ$365,0,$CU137-1),'3b Activity Plan'!AV$173:AV$365,'3b Activity Plan'!$AH$173:$AH$365,'3b Activity Plan'!$CY$173:$CY$365,('3b Activity Plan'!$C$173:$C$365=$AQ$130)*1)</f>
        <v>0</v>
      </c>
      <c r="AY137" s="1558">
        <f ca="1">SUMPRODUCT('3b Activity Plan'!$AN$173:$AN$365,OFFSET('3b Activity Plan'!$DJ$173:$DJ$365,0,$CU137-1),'3b Activity Plan'!AW$173:AW$365,'3b Activity Plan'!$AH$173:$AH$365,'3b Activity Plan'!$CY$173:$CY$365,('3b Activity Plan'!$C$173:$C$365=$AQ$130)*1)</f>
        <v>0</v>
      </c>
      <c r="AZ137" s="1558">
        <f ca="1">SUMPRODUCT('3b Activity Plan'!$AN$173:$AN$365,OFFSET('3b Activity Plan'!$DJ$173:$DJ$365,0,$CU137-1),'3b Activity Plan'!AX$173:AX$365,'3b Activity Plan'!$AH$173:$AH$365,'3b Activity Plan'!$CY$173:$CY$365,('3b Activity Plan'!$C$173:$C$365=$AQ$130)*1)</f>
        <v>0</v>
      </c>
      <c r="BA137" s="1602">
        <f ca="1">SUMPRODUCT('3b Activity Plan'!$AN$173:$AN$365,OFFSET('3b Activity Plan'!$DJ$173:$DJ$365,0,$CU137-1),'3b Activity Plan'!AO$173:AO$365,'3b Activity Plan'!$AH$173:$AH$365,'3b Activity Plan'!$CY$173:$CY$365,('3b Activity Plan'!$C$173:$C$365=$BA$130)*1)</f>
        <v>0</v>
      </c>
      <c r="BB137" s="1558">
        <f ca="1">SUMPRODUCT('3b Activity Plan'!$AN$173:$AN$365,OFFSET('3b Activity Plan'!$DJ$173:$DJ$365,0,$CU137-1),'3b Activity Plan'!AP$173:AP$365,'3b Activity Plan'!$AH$173:$AH$365,'3b Activity Plan'!$CY$173:$CY$365,('3b Activity Plan'!$C$173:$C$365=$BA$130)*1)</f>
        <v>0</v>
      </c>
      <c r="BC137" s="1558">
        <f ca="1">SUMPRODUCT('3b Activity Plan'!$AN$173:$AN$365,OFFSET('3b Activity Plan'!$DJ$173:$DJ$365,0,$CU137-1),'3b Activity Plan'!AQ$173:AQ$365,'3b Activity Plan'!$AH$173:$AH$365,'3b Activity Plan'!$CY$173:$CY$365,('3b Activity Plan'!$C$173:$C$365=$BA$130)*1)</f>
        <v>0</v>
      </c>
      <c r="BD137" s="1558">
        <f ca="1">SUMPRODUCT('3b Activity Plan'!$AN$173:$AN$365,OFFSET('3b Activity Plan'!$DJ$173:$DJ$365,0,$CU137-1),'3b Activity Plan'!AR$173:AR$365,'3b Activity Plan'!$AH$173:$AH$365,'3b Activity Plan'!$CY$173:$CY$365,('3b Activity Plan'!$C$173:$C$365=$BA$130)*1)</f>
        <v>0</v>
      </c>
      <c r="BE137" s="1558">
        <f ca="1">SUMPRODUCT('3b Activity Plan'!$AN$173:$AN$365,OFFSET('3b Activity Plan'!$DJ$173:$DJ$365,0,$CU137-1),'3b Activity Plan'!AS$173:AS$365,'3b Activity Plan'!$AH$173:$AH$365,'3b Activity Plan'!$CY$173:$CY$365,('3b Activity Plan'!$C$173:$C$365=$BA$130)*1)</f>
        <v>0</v>
      </c>
      <c r="BF137" s="1558">
        <f ca="1">SUMPRODUCT('3b Activity Plan'!$AN$173:$AN$365,OFFSET('3b Activity Plan'!$DJ$173:$DJ$365,0,$CU137-1),'3b Activity Plan'!AT$173:AT$365,'3b Activity Plan'!$AH$173:$AH$365,'3b Activity Plan'!$CY$173:$CY$365,('3b Activity Plan'!$C$173:$C$365=$BA$130)*1)</f>
        <v>0</v>
      </c>
      <c r="BG137" s="1558">
        <f ca="1">SUMPRODUCT('3b Activity Plan'!$AN$173:$AN$365,OFFSET('3b Activity Plan'!$DJ$173:$DJ$365,0,$CU137-1),'3b Activity Plan'!AU$173:AU$365,'3b Activity Plan'!$AH$173:$AH$365,'3b Activity Plan'!$CY$173:$CY$365,('3b Activity Plan'!$C$173:$C$365=$BA$130)*1)</f>
        <v>0</v>
      </c>
      <c r="BH137" s="1558">
        <f ca="1">SUMPRODUCT('3b Activity Plan'!$AN$173:$AN$365,OFFSET('3b Activity Plan'!$DJ$173:$DJ$365,0,$CU137-1),'3b Activity Plan'!AV$173:AV$365,'3b Activity Plan'!$AH$173:$AH$365,'3b Activity Plan'!$CY$173:$CY$365,('3b Activity Plan'!$C$173:$C$365=$BA$130)*1)</f>
        <v>0</v>
      </c>
      <c r="BI137" s="1558">
        <f ca="1">SUMPRODUCT('3b Activity Plan'!$AN$173:$AN$365,OFFSET('3b Activity Plan'!$DJ$173:$DJ$365,0,$CU137-1),'3b Activity Plan'!AW$173:AW$365,'3b Activity Plan'!$AH$173:$AH$365,'3b Activity Plan'!$CY$173:$CY$365,('3b Activity Plan'!$C$173:$C$365=$BA$130)*1)</f>
        <v>0</v>
      </c>
      <c r="BJ137" s="1558">
        <f ca="1">SUMPRODUCT('3b Activity Plan'!$AN$173:$AN$365,OFFSET('3b Activity Plan'!$DJ$173:$DJ$365,0,$CU137-1),'3b Activity Plan'!AX$173:AX$365,'3b Activity Plan'!$AH$173:$AH$365,'3b Activity Plan'!$CY$173:$CY$365,('3b Activity Plan'!$C$173:$C$365=$BA$130)*1)</f>
        <v>0</v>
      </c>
      <c r="BK137" s="1602">
        <f ca="1">SUMPRODUCT('3b Activity Plan'!$AN$173:$AN$365,OFFSET('3b Activity Plan'!$DJ$173:$DJ$365,0,$CU137-1),'3b Activity Plan'!AO$173:AO$365,'3b Activity Plan'!$AH$173:$AH$365,'3b Activity Plan'!$CY$173:$CY$365,('3b Activity Plan'!$C$173:$C$365=$BK$130)*1)</f>
        <v>0</v>
      </c>
      <c r="BL137" s="1558">
        <f ca="1">SUMPRODUCT('3b Activity Plan'!$AN$173:$AN$365,OFFSET('3b Activity Plan'!$DJ$173:$DJ$365,0,$CU137-1),'3b Activity Plan'!AP$173:AP$365,'3b Activity Plan'!$AH$173:$AH$365,'3b Activity Plan'!$CY$173:$CY$365,('3b Activity Plan'!$C$173:$C$365=$BK$130)*1)</f>
        <v>0</v>
      </c>
      <c r="BM137" s="1558">
        <f ca="1">SUMPRODUCT('3b Activity Plan'!$AN$173:$AN$365,OFFSET('3b Activity Plan'!$DJ$173:$DJ$365,0,$CU137-1),'3b Activity Plan'!AQ$173:AQ$365,'3b Activity Plan'!$AH$173:$AH$365,'3b Activity Plan'!$CY$173:$CY$365,('3b Activity Plan'!$C$173:$C$365=$BK$130)*1)</f>
        <v>0</v>
      </c>
      <c r="BN137" s="1558">
        <f ca="1">SUMPRODUCT('3b Activity Plan'!$AN$173:$AN$365,OFFSET('3b Activity Plan'!$DJ$173:$DJ$365,0,$CU137-1),'3b Activity Plan'!AR$173:AR$365,'3b Activity Plan'!$AH$173:$AH$365,'3b Activity Plan'!$CY$173:$CY$365,('3b Activity Plan'!$C$173:$C$365=$BK$130)*1)</f>
        <v>0</v>
      </c>
      <c r="BO137" s="1558">
        <f ca="1">SUMPRODUCT('3b Activity Plan'!$AN$173:$AN$365,OFFSET('3b Activity Plan'!$DJ$173:$DJ$365,0,$CU137-1),'3b Activity Plan'!AS$173:AS$365,'3b Activity Plan'!$AH$173:$AH$365,'3b Activity Plan'!$CY$173:$CY$365,('3b Activity Plan'!$C$173:$C$365=$BK$130)*1)</f>
        <v>0</v>
      </c>
      <c r="BP137" s="1558">
        <f ca="1">SUMPRODUCT('3b Activity Plan'!$AN$173:$AN$365,OFFSET('3b Activity Plan'!$DJ$173:$DJ$365,0,$CU137-1),'3b Activity Plan'!AT$173:AT$365,'3b Activity Plan'!$AH$173:$AH$365,'3b Activity Plan'!$CY$173:$CY$365,('3b Activity Plan'!$C$173:$C$365=$BK$130)*1)</f>
        <v>0</v>
      </c>
      <c r="BQ137" s="1558">
        <f ca="1">SUMPRODUCT('3b Activity Plan'!$AN$173:$AN$365,OFFSET('3b Activity Plan'!$DJ$173:$DJ$365,0,$CU137-1),'3b Activity Plan'!AU$173:AU$365,'3b Activity Plan'!$AH$173:$AH$365,'3b Activity Plan'!$CY$173:$CY$365,('3b Activity Plan'!$C$173:$C$365=$BK$130)*1)</f>
        <v>0</v>
      </c>
      <c r="BR137" s="1558">
        <f ca="1">SUMPRODUCT('3b Activity Plan'!$AN$173:$AN$365,OFFSET('3b Activity Plan'!$DJ$173:$DJ$365,0,$CU137-1),'3b Activity Plan'!AV$173:AV$365,'3b Activity Plan'!$AH$173:$AH$365,'3b Activity Plan'!$CY$173:$CY$365,('3b Activity Plan'!$C$173:$C$365=$BK$130)*1)</f>
        <v>0</v>
      </c>
      <c r="BS137" s="1558">
        <f ca="1">SUMPRODUCT('3b Activity Plan'!$AN$173:$AN$365,OFFSET('3b Activity Plan'!$DJ$173:$DJ$365,0,$CU137-1),'3b Activity Plan'!AW$173:AW$365,'3b Activity Plan'!$AH$173:$AH$365,'3b Activity Plan'!$CY$173:$CY$365,('3b Activity Plan'!$C$173:$C$365=$BK$130)*1)</f>
        <v>0</v>
      </c>
      <c r="BT137" s="1558">
        <f ca="1">SUMPRODUCT('3b Activity Plan'!$AN$173:$AN$365,OFFSET('3b Activity Plan'!$DJ$173:$DJ$365,0,$CU137-1),'3b Activity Plan'!AX$173:AX$365,'3b Activity Plan'!$AH$173:$AH$365,'3b Activity Plan'!$CY$173:$CY$365,('3b Activity Plan'!$C$173:$C$365=$BK$130)*1)</f>
        <v>0</v>
      </c>
      <c r="BU137" s="1587"/>
      <c r="BV137" s="1587"/>
      <c r="BW137" s="1587"/>
      <c r="BX137" s="1556"/>
      <c r="BY137" s="1556"/>
      <c r="BZ137" s="1556"/>
      <c r="CA137" s="1024">
        <f ca="1">SUMIFS('3a Staff Plan'!$T$129:$T$305,'3a Staff Plan'!$DY$129:$DY$305,CZ137,'3a Staff Plan'!$DF$129:$DF$305,1)</f>
        <v>0</v>
      </c>
      <c r="CB137" s="1025">
        <f ca="1">SUMIFS('3a Staff Plan'!$T$129:$T$305,'3a Staff Plan'!$DY$129:$DY$305,$CZ137,'3a Staff Plan'!$DF$129:$DF$305,1,'3a Staff Plan'!$C$129:$C$305,DC$18)</f>
        <v>0</v>
      </c>
      <c r="CC137" s="1026">
        <f ca="1">SUMIFS('3a Staff Plan'!$T$129:$T$305,'3a Staff Plan'!$DY$129:$DY$305,$CZ137,'3a Staff Plan'!$DF$129:$DF$305,1,'3a Staff Plan'!$C$129:$C$305,DD$18)</f>
        <v>0</v>
      </c>
      <c r="CD137" s="1026">
        <f ca="1">SUMIFS('3a Staff Plan'!$T$129:$T$305,'3a Staff Plan'!$DY$129:$DY$305,$CZ137,'3a Staff Plan'!$DF$129:$DF$305,1,'3a Staff Plan'!$C$129:$C$305,DE$18)</f>
        <v>0</v>
      </c>
      <c r="CE137" s="1026">
        <f ca="1">SUMIFS('3a Staff Plan'!$T$129:$T$305,'3a Staff Plan'!$DY$129:$DY$305,$CZ137,'3a Staff Plan'!$DF$129:$DF$305,1,'3a Staff Plan'!$C$129:$C$305,DF$18)</f>
        <v>0</v>
      </c>
      <c r="CF137" s="1026">
        <f ca="1">SUMIFS('3a Staff Plan'!$T$129:$T$305,'3a Staff Plan'!$DY$129:$DY$305,$CZ137,'3a Staff Plan'!$DF$129:$DF$305,1,'3a Staff Plan'!$C$129:$C$305,DG$18)</f>
        <v>0</v>
      </c>
      <c r="CG137" s="1026">
        <f ca="1">SUMIFS('3a Staff Plan'!$T$129:$T$305,'3a Staff Plan'!$DY$129:$DY$305,$CZ137,'3a Staff Plan'!$DF$129:$DF$305,1,'3a Staff Plan'!$C$129:$C$305,DH$18)</f>
        <v>0</v>
      </c>
      <c r="CH137" s="1026">
        <f ca="1">SUMIFS('3a Staff Plan'!$T$129:$T$305,'3a Staff Plan'!$DY$129:$DY$305,$CZ137,'3a Staff Plan'!$DF$129:$DF$305,1,'3a Staff Plan'!$C$129:$C$305,DI$18)</f>
        <v>0</v>
      </c>
      <c r="CI137" s="755"/>
      <c r="CJ137" s="1024">
        <f ca="1">SUMPRODUCT('3b Activity Plan'!$AN$173:$AN$365,'3b Activity Plan'!$CY$173:$CY$365,'3b Activity Plan'!$AH$173:$AH$365,OFFSET('3b Activity Plan'!$DJ$173:$DJ$365,0,$CU137-1))</f>
        <v>6</v>
      </c>
      <c r="CK137" s="1025">
        <f t="shared" ca="1" si="93"/>
        <v>0</v>
      </c>
      <c r="CL137" s="1026">
        <f t="shared" ca="1" si="94"/>
        <v>0</v>
      </c>
      <c r="CM137" s="1026">
        <f t="shared" ca="1" si="95"/>
        <v>0</v>
      </c>
      <c r="CN137" s="1026">
        <f t="shared" ca="1" si="96"/>
        <v>0</v>
      </c>
      <c r="CO137" s="1026">
        <f t="shared" ca="1" si="97"/>
        <v>0</v>
      </c>
      <c r="CP137" s="1026">
        <f t="shared" ca="1" si="98"/>
        <v>0</v>
      </c>
      <c r="CQ137" s="1026">
        <f t="shared" ca="1" si="99"/>
        <v>0</v>
      </c>
      <c r="CR137" s="417"/>
      <c r="CS137" s="417">
        <f t="shared" si="100"/>
        <v>5</v>
      </c>
      <c r="CT137" s="417">
        <f ca="1">OFFSET('2 Staff List'!$GU$64,CS137-1,0)</f>
        <v>5</v>
      </c>
      <c r="CU137" s="417">
        <f ca="1">IF(CZ137=0,0,IFERROR(INDEX('3b Activity Plan'!$DJ$20:$FH$20,MATCH(CT137,'3b Activity Plan'!$DJ$171:$FH$171,0)),0))</f>
        <v>5</v>
      </c>
      <c r="CV137" s="417">
        <f ca="1">INDEX('2 Staff List'!$HW$64:$HW$114,CT137)</f>
        <v>0</v>
      </c>
      <c r="CW137" s="417"/>
      <c r="CY137" s="927" t="str">
        <f ca="1">OFFSET('2 Staff List'!$HZ$64,CS137-1,0)</f>
        <v>L2B Project Manager</v>
      </c>
      <c r="CZ137" s="975" t="str">
        <f ca="1">OFFSET('2 Staff List'!$IA$64,CT137-1,0)</f>
        <v>Thompson Vicky</v>
      </c>
      <c r="DA137" s="3840">
        <f t="shared" ca="1" si="92"/>
        <v>6</v>
      </c>
      <c r="DB137" s="3841"/>
      <c r="DC137" s="2408">
        <f t="shared" ca="1" si="85"/>
        <v>0</v>
      </c>
      <c r="DD137" s="2405">
        <f t="shared" ca="1" si="86"/>
        <v>0</v>
      </c>
      <c r="DE137" s="2405">
        <f t="shared" ca="1" si="87"/>
        <v>0</v>
      </c>
      <c r="DF137" s="2405">
        <f t="shared" ca="1" si="88"/>
        <v>0</v>
      </c>
      <c r="DG137" s="2405">
        <f t="shared" ca="1" si="89"/>
        <v>0</v>
      </c>
      <c r="DH137" s="2406">
        <f t="shared" ca="1" si="90"/>
        <v>0</v>
      </c>
      <c r="DI137" s="2407">
        <f t="shared" ca="1" si="91"/>
        <v>0</v>
      </c>
    </row>
    <row r="138" spans="1:113" ht="15.9" customHeight="1" x14ac:dyDescent="0.25">
      <c r="A138" s="1051"/>
      <c r="B138" s="1556"/>
      <c r="C138" s="1558">
        <f ca="1">SUMPRODUCT('3b Activity Plan'!$AN$173:$AN$365,OFFSET('3b Activity Plan'!$DJ$173:$DJ$365,0,$CU138-1),'3b Activity Plan'!AO$173:AO$365,'3b Activity Plan'!$AH$173:$AH$365,'3b Activity Plan'!$CY$173:$CY$365,('3b Activity Plan'!$C$173:$C$365=$C$130)*1)</f>
        <v>0</v>
      </c>
      <c r="D138" s="1558">
        <f ca="1">SUMPRODUCT('3b Activity Plan'!$AN$173:$AN$365,OFFSET('3b Activity Plan'!$DJ$173:$DJ$365,0,$CU138-1),'3b Activity Plan'!AP$173:AP$365,'3b Activity Plan'!$AH$173:$AH$365,'3b Activity Plan'!$CY$173:$CY$365,('3b Activity Plan'!$C$173:$C$365=$C$130)*1)</f>
        <v>0</v>
      </c>
      <c r="E138" s="1558">
        <f ca="1">SUMPRODUCT('3b Activity Plan'!$AN$173:$AN$365,OFFSET('3b Activity Plan'!$DJ$173:$DJ$365,0,$CU138-1),'3b Activity Plan'!AQ$173:AQ$365,'3b Activity Plan'!$AH$173:$AH$365,'3b Activity Plan'!$CY$173:$CY$365,('3b Activity Plan'!$C$173:$C$365=$C$130)*1)</f>
        <v>0</v>
      </c>
      <c r="F138" s="1558">
        <f ca="1">SUMPRODUCT('3b Activity Plan'!$AN$173:$AN$365,OFFSET('3b Activity Plan'!$DJ$173:$DJ$365,0,$CU138-1),'3b Activity Plan'!AR$173:AR$365,'3b Activity Plan'!$AH$173:$AH$365,'3b Activity Plan'!$CY$173:$CY$365,('3b Activity Plan'!$C$173:$C$365=$C$130)*1)</f>
        <v>0</v>
      </c>
      <c r="G138" s="1558">
        <f ca="1">SUMPRODUCT('3b Activity Plan'!$AN$173:$AN$365,OFFSET('3b Activity Plan'!$DJ$173:$DJ$365,0,$CU138-1),'3b Activity Plan'!AS$173:AS$365,'3b Activity Plan'!$AH$173:$AH$365,'3b Activity Plan'!$CY$173:$CY$365,('3b Activity Plan'!$C$173:$C$365=$C$130)*1)</f>
        <v>0</v>
      </c>
      <c r="H138" s="1558">
        <f ca="1">SUMPRODUCT('3b Activity Plan'!$AN$173:$AN$365,OFFSET('3b Activity Plan'!$DJ$173:$DJ$365,0,$CU138-1),'3b Activity Plan'!AT$173:AT$365,'3b Activity Plan'!$AH$173:$AH$365,'3b Activity Plan'!$CY$173:$CY$365,('3b Activity Plan'!$C$173:$C$365=$C$130)*1)</f>
        <v>0</v>
      </c>
      <c r="I138" s="1558">
        <f ca="1">SUMPRODUCT('3b Activity Plan'!$AN$173:$AN$365,OFFSET('3b Activity Plan'!$DJ$173:$DJ$365,0,$CU138-1),'3b Activity Plan'!AU$173:AU$365,'3b Activity Plan'!$AH$173:$AH$365,'3b Activity Plan'!$CY$173:$CY$365,('3b Activity Plan'!$C$173:$C$365=$C$130)*1)</f>
        <v>0</v>
      </c>
      <c r="J138" s="1558">
        <f ca="1">SUMPRODUCT('3b Activity Plan'!$AN$173:$AN$365,OFFSET('3b Activity Plan'!$DJ$173:$DJ$365,0,$CU138-1),'3b Activity Plan'!AV$173:AV$365,'3b Activity Plan'!$AH$173:$AH$365,'3b Activity Plan'!$CY$173:$CY$365,('3b Activity Plan'!$C$173:$C$365=$C$130)*1)</f>
        <v>0</v>
      </c>
      <c r="K138" s="1558">
        <f ca="1">SUMPRODUCT('3b Activity Plan'!$AN$173:$AN$365,OFFSET('3b Activity Plan'!$DJ$173:$DJ$365,0,$CU138-1),'3b Activity Plan'!AW$173:AW$365,'3b Activity Plan'!$AH$173:$AH$365,'3b Activity Plan'!$CY$173:$CY$365,('3b Activity Plan'!$C$173:$C$365=$C$130)*1)</f>
        <v>0</v>
      </c>
      <c r="L138" s="1601">
        <f ca="1">SUMPRODUCT('3b Activity Plan'!$AN$173:$AN$365,OFFSET('3b Activity Plan'!$DJ$173:$DJ$365,0,$CU138-1),'3b Activity Plan'!AX$173:AX$365,'3b Activity Plan'!$AH$173:$AH$365,'3b Activity Plan'!$CY$173:$CY$365,('3b Activity Plan'!$C$173:$C$365=$C$130)*1)</f>
        <v>0</v>
      </c>
      <c r="M138" s="1602">
        <f ca="1">SUMPRODUCT('3b Activity Plan'!$AN$173:$AN$365,OFFSET('3b Activity Plan'!$DJ$173:$DJ$365,0,$CU138-1),'3b Activity Plan'!AO$173:AO$365,'3b Activity Plan'!$AH$173:$AH$365,'3b Activity Plan'!$CY$173:$CY$365,('3b Activity Plan'!$C$173:$C$365=$M$130)*1)</f>
        <v>0</v>
      </c>
      <c r="N138" s="1558">
        <f ca="1">SUMPRODUCT('3b Activity Plan'!$AN$173:$AN$365,OFFSET('3b Activity Plan'!$DJ$173:$DJ$365,0,$CU138-1),'3b Activity Plan'!AP$173:AP$365,'3b Activity Plan'!$AH$173:$AH$365,'3b Activity Plan'!$CY$173:$CY$365,('3b Activity Plan'!$C$173:$C$365=$M$130)*1)</f>
        <v>0</v>
      </c>
      <c r="O138" s="1558">
        <f ca="1">SUMPRODUCT('3b Activity Plan'!$AN$173:$AN$365,OFFSET('3b Activity Plan'!$DJ$173:$DJ$365,0,$CU138-1),'3b Activity Plan'!AQ$173:AQ$365,'3b Activity Plan'!$AH$173:$AH$365,'3b Activity Plan'!$CY$173:$CY$365,('3b Activity Plan'!$C$173:$C$365=$M$130)*1)</f>
        <v>0</v>
      </c>
      <c r="P138" s="1558">
        <f ca="1">SUMPRODUCT('3b Activity Plan'!$AN$173:$AN$365,OFFSET('3b Activity Plan'!$DJ$173:$DJ$365,0,$CU138-1),'3b Activity Plan'!AR$173:AR$365,'3b Activity Plan'!$AH$173:$AH$365,'3b Activity Plan'!$CY$173:$CY$365,('3b Activity Plan'!$C$173:$C$365=$M$130)*1)</f>
        <v>0</v>
      </c>
      <c r="Q138" s="1558">
        <f ca="1">SUMPRODUCT('3b Activity Plan'!$AN$173:$AN$365,OFFSET('3b Activity Plan'!$DJ$173:$DJ$365,0,$CU138-1),'3b Activity Plan'!AS$173:AS$365,'3b Activity Plan'!$AH$173:$AH$365,'3b Activity Plan'!$CY$173:$CY$365,('3b Activity Plan'!$C$173:$C$365=$M$130)*1)</f>
        <v>0</v>
      </c>
      <c r="R138" s="1558">
        <f ca="1">SUMPRODUCT('3b Activity Plan'!$AN$173:$AN$365,OFFSET('3b Activity Plan'!$DJ$173:$DJ$365,0,$CU138-1),'3b Activity Plan'!AT$173:AT$365,'3b Activity Plan'!$AH$173:$AH$365,'3b Activity Plan'!$CY$173:$CY$365,('3b Activity Plan'!$C$173:$C$365=$M$130)*1)</f>
        <v>0</v>
      </c>
      <c r="S138" s="1558">
        <f ca="1">SUMPRODUCT('3b Activity Plan'!$AN$173:$AN$365,OFFSET('3b Activity Plan'!$DJ$173:$DJ$365,0,$CU138-1),'3b Activity Plan'!AU$173:AU$365,'3b Activity Plan'!$AH$173:$AH$365,'3b Activity Plan'!$CY$173:$CY$365,('3b Activity Plan'!$C$173:$C$365=$M$130)*1)</f>
        <v>0</v>
      </c>
      <c r="T138" s="1558">
        <f ca="1">SUMPRODUCT('3b Activity Plan'!$AN$173:$AN$365,OFFSET('3b Activity Plan'!$DJ$173:$DJ$365,0,$CU138-1),'3b Activity Plan'!AV$173:AV$365,'3b Activity Plan'!$AH$173:$AH$365,'3b Activity Plan'!$CY$173:$CY$365,('3b Activity Plan'!$C$173:$C$365=$M$130)*1)</f>
        <v>0</v>
      </c>
      <c r="U138" s="1558">
        <f ca="1">SUMPRODUCT('3b Activity Plan'!$AN$173:$AN$365,OFFSET('3b Activity Plan'!$DJ$173:$DJ$365,0,$CU138-1),'3b Activity Plan'!AW$173:AW$365,'3b Activity Plan'!$AH$173:$AH$365,'3b Activity Plan'!$CY$173:$CY$365,('3b Activity Plan'!$C$173:$C$365=$M$130)*1)</f>
        <v>0</v>
      </c>
      <c r="V138" s="1601">
        <f ca="1">SUMPRODUCT('3b Activity Plan'!$AN$173:$AN$365,OFFSET('3b Activity Plan'!$DJ$173:$DJ$365,0,$CU138-1),'3b Activity Plan'!AX$173:AX$365,'3b Activity Plan'!$AH$173:$AH$365,'3b Activity Plan'!$CY$173:$CY$365,('3b Activity Plan'!$C$173:$C$365=$M$130)*1)</f>
        <v>0</v>
      </c>
      <c r="W138" s="1602">
        <f ca="1">SUMPRODUCT('3b Activity Plan'!$AN$173:$AN$365,OFFSET('3b Activity Plan'!$DJ$173:$DJ$365,0,$CU138-1),'3b Activity Plan'!AO$173:AO$365,'3b Activity Plan'!$AH$173:$AH$365,'3b Activity Plan'!$CY$173:$CY$365,('3b Activity Plan'!$C$173:$C$365=$W$130)*1)</f>
        <v>0</v>
      </c>
      <c r="X138" s="1558">
        <f ca="1">SUMPRODUCT('3b Activity Plan'!$AN$173:$AN$365,OFFSET('3b Activity Plan'!$DJ$173:$DJ$365,0,$CU138-1),'3b Activity Plan'!AP$173:AP$365,'3b Activity Plan'!$AH$173:$AH$365,'3b Activity Plan'!$CY$173:$CY$365,('3b Activity Plan'!$C$173:$C$365=$W$130)*1)</f>
        <v>0</v>
      </c>
      <c r="Y138" s="1558">
        <f ca="1">SUMPRODUCT('3b Activity Plan'!$AN$173:$AN$365,OFFSET('3b Activity Plan'!$DJ$173:$DJ$365,0,$CU138-1),'3b Activity Plan'!AQ$173:AQ$365,'3b Activity Plan'!$AH$173:$AH$365,'3b Activity Plan'!$CY$173:$CY$365,('3b Activity Plan'!$C$173:$C$365=$W$130)*1)</f>
        <v>0</v>
      </c>
      <c r="Z138" s="1558">
        <f ca="1">SUMPRODUCT('3b Activity Plan'!$AN$173:$AN$365,OFFSET('3b Activity Plan'!$DJ$173:$DJ$365,0,$CU138-1),'3b Activity Plan'!AR$173:AR$365,'3b Activity Plan'!$AH$173:$AH$365,'3b Activity Plan'!$CY$173:$CY$365,('3b Activity Plan'!$C$173:$C$365=$W$130)*1)</f>
        <v>0</v>
      </c>
      <c r="AA138" s="1558">
        <f ca="1">SUMPRODUCT('3b Activity Plan'!$AN$173:$AN$365,OFFSET('3b Activity Plan'!$DJ$173:$DJ$365,0,$CU138-1),'3b Activity Plan'!AS$173:AS$365,'3b Activity Plan'!$AH$173:$AH$365,'3b Activity Plan'!$CY$173:$CY$365,('3b Activity Plan'!$C$173:$C$365=$W$130)*1)</f>
        <v>0</v>
      </c>
      <c r="AB138" s="1558">
        <f ca="1">SUMPRODUCT('3b Activity Plan'!$AN$173:$AN$365,OFFSET('3b Activity Plan'!$DJ$173:$DJ$365,0,$CU138-1),'3b Activity Plan'!AT$173:AT$365,'3b Activity Plan'!$AH$173:$AH$365,'3b Activity Plan'!$CY$173:$CY$365,('3b Activity Plan'!$C$173:$C$365=$W$130)*1)</f>
        <v>0</v>
      </c>
      <c r="AC138" s="1558">
        <f ca="1">SUMPRODUCT('3b Activity Plan'!$AN$173:$AN$365,OFFSET('3b Activity Plan'!$DJ$173:$DJ$365,0,$CU138-1),'3b Activity Plan'!AU$173:AU$365,'3b Activity Plan'!$AH$173:$AH$365,'3b Activity Plan'!$CY$173:$CY$365,('3b Activity Plan'!$C$173:$C$365=$W$130)*1)</f>
        <v>0</v>
      </c>
      <c r="AD138" s="1558">
        <f ca="1">SUMPRODUCT('3b Activity Plan'!$AN$173:$AN$365,OFFSET('3b Activity Plan'!$DJ$173:$DJ$365,0,$CU138-1),'3b Activity Plan'!AV$173:AV$365,'3b Activity Plan'!$AH$173:$AH$365,'3b Activity Plan'!$CY$173:$CY$365,('3b Activity Plan'!$C$173:$C$365=$W$130)*1)</f>
        <v>0</v>
      </c>
      <c r="AE138" s="1558">
        <f ca="1">SUMPRODUCT('3b Activity Plan'!$AN$173:$AN$365,OFFSET('3b Activity Plan'!$DJ$173:$DJ$365,0,$CU138-1),'3b Activity Plan'!AW$173:AW$365,'3b Activity Plan'!$AH$173:$AH$365,'3b Activity Plan'!$CY$173:$CY$365,('3b Activity Plan'!$C$173:$C$365=$W$130)*1)</f>
        <v>0</v>
      </c>
      <c r="AF138" s="1558">
        <f ca="1">SUMPRODUCT('3b Activity Plan'!$AN$173:$AN$365,OFFSET('3b Activity Plan'!$DJ$173:$DJ$365,0,$CU138-1),'3b Activity Plan'!AX$173:AX$365,'3b Activity Plan'!$AH$173:$AH$365,'3b Activity Plan'!$CY$173:$CY$365,('3b Activity Plan'!$C$173:$C$365=$W$130)*1)</f>
        <v>0</v>
      </c>
      <c r="AG138" s="1602">
        <f ca="1">SUMPRODUCT('3b Activity Plan'!$AN$173:$AN$365,OFFSET('3b Activity Plan'!$DJ$173:$DJ$365,0,$CU138-1),'3b Activity Plan'!AO$173:AO$365,'3b Activity Plan'!$AH$173:$AH$365,'3b Activity Plan'!$CY$173:$CY$365,('3b Activity Plan'!$C$173:$C$365=$AG$130)*1)</f>
        <v>0</v>
      </c>
      <c r="AH138" s="1558">
        <f ca="1">SUMPRODUCT('3b Activity Plan'!$AN$173:$AN$365,OFFSET('3b Activity Plan'!$DJ$173:$DJ$365,0,$CU138-1),'3b Activity Plan'!AP$173:AP$365,'3b Activity Plan'!$AH$173:$AH$365,'3b Activity Plan'!$CY$173:$CY$365,('3b Activity Plan'!$C$173:$C$365=$AG$130)*1)</f>
        <v>0</v>
      </c>
      <c r="AI138" s="1558">
        <f ca="1">SUMPRODUCT('3b Activity Plan'!$AN$173:$AN$365,OFFSET('3b Activity Plan'!$DJ$173:$DJ$365,0,$CU138-1),'3b Activity Plan'!AQ$173:AQ$365,'3b Activity Plan'!$AH$173:$AH$365,'3b Activity Plan'!$CY$173:$CY$365,('3b Activity Plan'!$C$173:$C$365=$AG$130)*1)</f>
        <v>0</v>
      </c>
      <c r="AJ138" s="1558">
        <f ca="1">SUMPRODUCT('3b Activity Plan'!$AN$173:$AN$365,OFFSET('3b Activity Plan'!$DJ$173:$DJ$365,0,$CU138-1),'3b Activity Plan'!AR$173:AR$365,'3b Activity Plan'!$AH$173:$AH$365,'3b Activity Plan'!$CY$173:$CY$365,('3b Activity Plan'!$C$173:$C$365=$AG$130)*1)</f>
        <v>0</v>
      </c>
      <c r="AK138" s="1558">
        <f ca="1">SUMPRODUCT('3b Activity Plan'!$AN$173:$AN$365,OFFSET('3b Activity Plan'!$DJ$173:$DJ$365,0,$CU138-1),'3b Activity Plan'!AS$173:AS$365,'3b Activity Plan'!$AH$173:$AH$365,'3b Activity Plan'!$CY$173:$CY$365,('3b Activity Plan'!$C$173:$C$365=$AG$130)*1)</f>
        <v>0</v>
      </c>
      <c r="AL138" s="1558">
        <f ca="1">SUMPRODUCT('3b Activity Plan'!$AN$173:$AN$365,OFFSET('3b Activity Plan'!$DJ$173:$DJ$365,0,$CU138-1),'3b Activity Plan'!AT$173:AT$365,'3b Activity Plan'!$AH$173:$AH$365,'3b Activity Plan'!$CY$173:$CY$365,('3b Activity Plan'!$C$173:$C$365=$AG$130)*1)</f>
        <v>0</v>
      </c>
      <c r="AM138" s="1558">
        <f ca="1">SUMPRODUCT('3b Activity Plan'!$AN$173:$AN$365,OFFSET('3b Activity Plan'!$DJ$173:$DJ$365,0,$CU138-1),'3b Activity Plan'!AU$173:AU$365,'3b Activity Plan'!$AH$173:$AH$365,'3b Activity Plan'!$CY$173:$CY$365,('3b Activity Plan'!$C$173:$C$365=$AG$130)*1)</f>
        <v>0</v>
      </c>
      <c r="AN138" s="1558">
        <f ca="1">SUMPRODUCT('3b Activity Plan'!$AN$173:$AN$365,OFFSET('3b Activity Plan'!$DJ$173:$DJ$365,0,$CU138-1),'3b Activity Plan'!AV$173:AV$365,'3b Activity Plan'!$AH$173:$AH$365,'3b Activity Plan'!$CY$173:$CY$365,('3b Activity Plan'!$C$173:$C$365=$AG$130)*1)</f>
        <v>0</v>
      </c>
      <c r="AO138" s="1558">
        <f ca="1">SUMPRODUCT('3b Activity Plan'!$AN$173:$AN$365,OFFSET('3b Activity Plan'!$DJ$173:$DJ$365,0,$CU138-1),'3b Activity Plan'!AW$173:AW$365,'3b Activity Plan'!$AH$173:$AH$365,'3b Activity Plan'!$CY$173:$CY$365,('3b Activity Plan'!$C$173:$C$365=$AG$130)*1)</f>
        <v>0</v>
      </c>
      <c r="AP138" s="1558">
        <f ca="1">SUMPRODUCT('3b Activity Plan'!$AN$173:$AN$365,OFFSET('3b Activity Plan'!$DJ$173:$DJ$365,0,$CU138-1),'3b Activity Plan'!AX$173:AX$365,'3b Activity Plan'!$AH$173:$AH$365,'3b Activity Plan'!$CY$173:$CY$365,('3b Activity Plan'!$C$173:$C$365=$AG$130)*1)</f>
        <v>0</v>
      </c>
      <c r="AQ138" s="1602">
        <f ca="1">SUMPRODUCT('3b Activity Plan'!$AN$173:$AN$365,OFFSET('3b Activity Plan'!$DJ$173:$DJ$365,0,$CU138-1),'3b Activity Plan'!AO$173:AO$365,'3b Activity Plan'!$AH$173:$AH$365,'3b Activity Plan'!$CY$173:$CY$365,('3b Activity Plan'!$C$173:$C$365=$AQ$130)*1)</f>
        <v>0</v>
      </c>
      <c r="AR138" s="1558">
        <f ca="1">SUMPRODUCT('3b Activity Plan'!$AN$173:$AN$365,OFFSET('3b Activity Plan'!$DJ$173:$DJ$365,0,$CU138-1),'3b Activity Plan'!AP$173:AP$365,'3b Activity Plan'!$AH$173:$AH$365,'3b Activity Plan'!$CY$173:$CY$365,('3b Activity Plan'!$C$173:$C$365=$AQ$130)*1)</f>
        <v>0</v>
      </c>
      <c r="AS138" s="1558">
        <f ca="1">SUMPRODUCT('3b Activity Plan'!$AN$173:$AN$365,OFFSET('3b Activity Plan'!$DJ$173:$DJ$365,0,$CU138-1),'3b Activity Plan'!AQ$173:AQ$365,'3b Activity Plan'!$AH$173:$AH$365,'3b Activity Plan'!$CY$173:$CY$365,('3b Activity Plan'!$C$173:$C$365=$AQ$130)*1)</f>
        <v>0</v>
      </c>
      <c r="AT138" s="1558">
        <f ca="1">SUMPRODUCT('3b Activity Plan'!$AN$173:$AN$365,OFFSET('3b Activity Plan'!$DJ$173:$DJ$365,0,$CU138-1),'3b Activity Plan'!AR$173:AR$365,'3b Activity Plan'!$AH$173:$AH$365,'3b Activity Plan'!$CY$173:$CY$365,('3b Activity Plan'!$C$173:$C$365=$AQ$130)*1)</f>
        <v>0</v>
      </c>
      <c r="AU138" s="1558">
        <f ca="1">SUMPRODUCT('3b Activity Plan'!$AN$173:$AN$365,OFFSET('3b Activity Plan'!$DJ$173:$DJ$365,0,$CU138-1),'3b Activity Plan'!AS$173:AS$365,'3b Activity Plan'!$AH$173:$AH$365,'3b Activity Plan'!$CY$173:$CY$365,('3b Activity Plan'!$C$173:$C$365=$AQ$130)*1)</f>
        <v>0</v>
      </c>
      <c r="AV138" s="1558">
        <f ca="1">SUMPRODUCT('3b Activity Plan'!$AN$173:$AN$365,OFFSET('3b Activity Plan'!$DJ$173:$DJ$365,0,$CU138-1),'3b Activity Plan'!AT$173:AT$365,'3b Activity Plan'!$AH$173:$AH$365,'3b Activity Plan'!$CY$173:$CY$365,('3b Activity Plan'!$C$173:$C$365=$AQ$130)*1)</f>
        <v>0</v>
      </c>
      <c r="AW138" s="1558">
        <f ca="1">SUMPRODUCT('3b Activity Plan'!$AN$173:$AN$365,OFFSET('3b Activity Plan'!$DJ$173:$DJ$365,0,$CU138-1),'3b Activity Plan'!AU$173:AU$365,'3b Activity Plan'!$AH$173:$AH$365,'3b Activity Plan'!$CY$173:$CY$365,('3b Activity Plan'!$C$173:$C$365=$AQ$130)*1)</f>
        <v>0</v>
      </c>
      <c r="AX138" s="1558">
        <f ca="1">SUMPRODUCT('3b Activity Plan'!$AN$173:$AN$365,OFFSET('3b Activity Plan'!$DJ$173:$DJ$365,0,$CU138-1),'3b Activity Plan'!AV$173:AV$365,'3b Activity Plan'!$AH$173:$AH$365,'3b Activity Plan'!$CY$173:$CY$365,('3b Activity Plan'!$C$173:$C$365=$AQ$130)*1)</f>
        <v>0</v>
      </c>
      <c r="AY138" s="1558">
        <f ca="1">SUMPRODUCT('3b Activity Plan'!$AN$173:$AN$365,OFFSET('3b Activity Plan'!$DJ$173:$DJ$365,0,$CU138-1),'3b Activity Plan'!AW$173:AW$365,'3b Activity Plan'!$AH$173:$AH$365,'3b Activity Plan'!$CY$173:$CY$365,('3b Activity Plan'!$C$173:$C$365=$AQ$130)*1)</f>
        <v>0</v>
      </c>
      <c r="AZ138" s="1558">
        <f ca="1">SUMPRODUCT('3b Activity Plan'!$AN$173:$AN$365,OFFSET('3b Activity Plan'!$DJ$173:$DJ$365,0,$CU138-1),'3b Activity Plan'!AX$173:AX$365,'3b Activity Plan'!$AH$173:$AH$365,'3b Activity Plan'!$CY$173:$CY$365,('3b Activity Plan'!$C$173:$C$365=$AQ$130)*1)</f>
        <v>0</v>
      </c>
      <c r="BA138" s="1602">
        <f ca="1">SUMPRODUCT('3b Activity Plan'!$AN$173:$AN$365,OFFSET('3b Activity Plan'!$DJ$173:$DJ$365,0,$CU138-1),'3b Activity Plan'!AO$173:AO$365,'3b Activity Plan'!$AH$173:$AH$365,'3b Activity Plan'!$CY$173:$CY$365,('3b Activity Plan'!$C$173:$C$365=$BA$130)*1)</f>
        <v>0</v>
      </c>
      <c r="BB138" s="1558">
        <f ca="1">SUMPRODUCT('3b Activity Plan'!$AN$173:$AN$365,OFFSET('3b Activity Plan'!$DJ$173:$DJ$365,0,$CU138-1),'3b Activity Plan'!AP$173:AP$365,'3b Activity Plan'!$AH$173:$AH$365,'3b Activity Plan'!$CY$173:$CY$365,('3b Activity Plan'!$C$173:$C$365=$BA$130)*1)</f>
        <v>0</v>
      </c>
      <c r="BC138" s="1558">
        <f ca="1">SUMPRODUCT('3b Activity Plan'!$AN$173:$AN$365,OFFSET('3b Activity Plan'!$DJ$173:$DJ$365,0,$CU138-1),'3b Activity Plan'!AQ$173:AQ$365,'3b Activity Plan'!$AH$173:$AH$365,'3b Activity Plan'!$CY$173:$CY$365,('3b Activity Plan'!$C$173:$C$365=$BA$130)*1)</f>
        <v>0</v>
      </c>
      <c r="BD138" s="1558">
        <f ca="1">SUMPRODUCT('3b Activity Plan'!$AN$173:$AN$365,OFFSET('3b Activity Plan'!$DJ$173:$DJ$365,0,$CU138-1),'3b Activity Plan'!AR$173:AR$365,'3b Activity Plan'!$AH$173:$AH$365,'3b Activity Plan'!$CY$173:$CY$365,('3b Activity Plan'!$C$173:$C$365=$BA$130)*1)</f>
        <v>0</v>
      </c>
      <c r="BE138" s="1558">
        <f ca="1">SUMPRODUCT('3b Activity Plan'!$AN$173:$AN$365,OFFSET('3b Activity Plan'!$DJ$173:$DJ$365,0,$CU138-1),'3b Activity Plan'!AS$173:AS$365,'3b Activity Plan'!$AH$173:$AH$365,'3b Activity Plan'!$CY$173:$CY$365,('3b Activity Plan'!$C$173:$C$365=$BA$130)*1)</f>
        <v>0</v>
      </c>
      <c r="BF138" s="1558">
        <f ca="1">SUMPRODUCT('3b Activity Plan'!$AN$173:$AN$365,OFFSET('3b Activity Plan'!$DJ$173:$DJ$365,0,$CU138-1),'3b Activity Plan'!AT$173:AT$365,'3b Activity Plan'!$AH$173:$AH$365,'3b Activity Plan'!$CY$173:$CY$365,('3b Activity Plan'!$C$173:$C$365=$BA$130)*1)</f>
        <v>0</v>
      </c>
      <c r="BG138" s="1558">
        <f ca="1">SUMPRODUCT('3b Activity Plan'!$AN$173:$AN$365,OFFSET('3b Activity Plan'!$DJ$173:$DJ$365,0,$CU138-1),'3b Activity Plan'!AU$173:AU$365,'3b Activity Plan'!$AH$173:$AH$365,'3b Activity Plan'!$CY$173:$CY$365,('3b Activity Plan'!$C$173:$C$365=$BA$130)*1)</f>
        <v>0</v>
      </c>
      <c r="BH138" s="1558">
        <f ca="1">SUMPRODUCT('3b Activity Plan'!$AN$173:$AN$365,OFFSET('3b Activity Plan'!$DJ$173:$DJ$365,0,$CU138-1),'3b Activity Plan'!AV$173:AV$365,'3b Activity Plan'!$AH$173:$AH$365,'3b Activity Plan'!$CY$173:$CY$365,('3b Activity Plan'!$C$173:$C$365=$BA$130)*1)</f>
        <v>0</v>
      </c>
      <c r="BI138" s="1558">
        <f ca="1">SUMPRODUCT('3b Activity Plan'!$AN$173:$AN$365,OFFSET('3b Activity Plan'!$DJ$173:$DJ$365,0,$CU138-1),'3b Activity Plan'!AW$173:AW$365,'3b Activity Plan'!$AH$173:$AH$365,'3b Activity Plan'!$CY$173:$CY$365,('3b Activity Plan'!$C$173:$C$365=$BA$130)*1)</f>
        <v>0</v>
      </c>
      <c r="BJ138" s="1558">
        <f ca="1">SUMPRODUCT('3b Activity Plan'!$AN$173:$AN$365,OFFSET('3b Activity Plan'!$DJ$173:$DJ$365,0,$CU138-1),'3b Activity Plan'!AX$173:AX$365,'3b Activity Plan'!$AH$173:$AH$365,'3b Activity Plan'!$CY$173:$CY$365,('3b Activity Plan'!$C$173:$C$365=$BA$130)*1)</f>
        <v>0</v>
      </c>
      <c r="BK138" s="1602">
        <f ca="1">SUMPRODUCT('3b Activity Plan'!$AN$173:$AN$365,OFFSET('3b Activity Plan'!$DJ$173:$DJ$365,0,$CU138-1),'3b Activity Plan'!AO$173:AO$365,'3b Activity Plan'!$AH$173:$AH$365,'3b Activity Plan'!$CY$173:$CY$365,('3b Activity Plan'!$C$173:$C$365=$BK$130)*1)</f>
        <v>0</v>
      </c>
      <c r="BL138" s="1558">
        <f ca="1">SUMPRODUCT('3b Activity Plan'!$AN$173:$AN$365,OFFSET('3b Activity Plan'!$DJ$173:$DJ$365,0,$CU138-1),'3b Activity Plan'!AP$173:AP$365,'3b Activity Plan'!$AH$173:$AH$365,'3b Activity Plan'!$CY$173:$CY$365,('3b Activity Plan'!$C$173:$C$365=$BK$130)*1)</f>
        <v>0</v>
      </c>
      <c r="BM138" s="1558">
        <f ca="1">SUMPRODUCT('3b Activity Plan'!$AN$173:$AN$365,OFFSET('3b Activity Plan'!$DJ$173:$DJ$365,0,$CU138-1),'3b Activity Plan'!AQ$173:AQ$365,'3b Activity Plan'!$AH$173:$AH$365,'3b Activity Plan'!$CY$173:$CY$365,('3b Activity Plan'!$C$173:$C$365=$BK$130)*1)</f>
        <v>0</v>
      </c>
      <c r="BN138" s="1558">
        <f ca="1">SUMPRODUCT('3b Activity Plan'!$AN$173:$AN$365,OFFSET('3b Activity Plan'!$DJ$173:$DJ$365,0,$CU138-1),'3b Activity Plan'!AR$173:AR$365,'3b Activity Plan'!$AH$173:$AH$365,'3b Activity Plan'!$CY$173:$CY$365,('3b Activity Plan'!$C$173:$C$365=$BK$130)*1)</f>
        <v>0</v>
      </c>
      <c r="BO138" s="1558">
        <f ca="1">SUMPRODUCT('3b Activity Plan'!$AN$173:$AN$365,OFFSET('3b Activity Plan'!$DJ$173:$DJ$365,0,$CU138-1),'3b Activity Plan'!AS$173:AS$365,'3b Activity Plan'!$AH$173:$AH$365,'3b Activity Plan'!$CY$173:$CY$365,('3b Activity Plan'!$C$173:$C$365=$BK$130)*1)</f>
        <v>0</v>
      </c>
      <c r="BP138" s="1558">
        <f ca="1">SUMPRODUCT('3b Activity Plan'!$AN$173:$AN$365,OFFSET('3b Activity Plan'!$DJ$173:$DJ$365,0,$CU138-1),'3b Activity Plan'!AT$173:AT$365,'3b Activity Plan'!$AH$173:$AH$365,'3b Activity Plan'!$CY$173:$CY$365,('3b Activity Plan'!$C$173:$C$365=$BK$130)*1)</f>
        <v>0</v>
      </c>
      <c r="BQ138" s="1558">
        <f ca="1">SUMPRODUCT('3b Activity Plan'!$AN$173:$AN$365,OFFSET('3b Activity Plan'!$DJ$173:$DJ$365,0,$CU138-1),'3b Activity Plan'!AU$173:AU$365,'3b Activity Plan'!$AH$173:$AH$365,'3b Activity Plan'!$CY$173:$CY$365,('3b Activity Plan'!$C$173:$C$365=$BK$130)*1)</f>
        <v>0</v>
      </c>
      <c r="BR138" s="1558">
        <f ca="1">SUMPRODUCT('3b Activity Plan'!$AN$173:$AN$365,OFFSET('3b Activity Plan'!$DJ$173:$DJ$365,0,$CU138-1),'3b Activity Plan'!AV$173:AV$365,'3b Activity Plan'!$AH$173:$AH$365,'3b Activity Plan'!$CY$173:$CY$365,('3b Activity Plan'!$C$173:$C$365=$BK$130)*1)</f>
        <v>0</v>
      </c>
      <c r="BS138" s="1558">
        <f ca="1">SUMPRODUCT('3b Activity Plan'!$AN$173:$AN$365,OFFSET('3b Activity Plan'!$DJ$173:$DJ$365,0,$CU138-1),'3b Activity Plan'!AW$173:AW$365,'3b Activity Plan'!$AH$173:$AH$365,'3b Activity Plan'!$CY$173:$CY$365,('3b Activity Plan'!$C$173:$C$365=$BK$130)*1)</f>
        <v>0</v>
      </c>
      <c r="BT138" s="1558">
        <f ca="1">SUMPRODUCT('3b Activity Plan'!$AN$173:$AN$365,OFFSET('3b Activity Plan'!$DJ$173:$DJ$365,0,$CU138-1),'3b Activity Plan'!AX$173:AX$365,'3b Activity Plan'!$AH$173:$AH$365,'3b Activity Plan'!$CY$173:$CY$365,('3b Activity Plan'!$C$173:$C$365=$BK$130)*1)</f>
        <v>0</v>
      </c>
      <c r="BU138" s="1587"/>
      <c r="BV138" s="1587"/>
      <c r="BW138" s="1587"/>
      <c r="BX138" s="1556"/>
      <c r="BY138" s="1556"/>
      <c r="BZ138" s="1556"/>
      <c r="CA138" s="1024">
        <f ca="1">SUMIFS('3a Staff Plan'!$T$129:$T$305,'3a Staff Plan'!$DY$129:$DY$305,CZ138,'3a Staff Plan'!$DF$129:$DF$305,1)</f>
        <v>0</v>
      </c>
      <c r="CB138" s="1025">
        <f ca="1">SUMIFS('3a Staff Plan'!$T$129:$T$305,'3a Staff Plan'!$DY$129:$DY$305,$CZ138,'3a Staff Plan'!$DF$129:$DF$305,1,'3a Staff Plan'!$C$129:$C$305,DC$18)</f>
        <v>0</v>
      </c>
      <c r="CC138" s="1026">
        <f ca="1">SUMIFS('3a Staff Plan'!$T$129:$T$305,'3a Staff Plan'!$DY$129:$DY$305,$CZ138,'3a Staff Plan'!$DF$129:$DF$305,1,'3a Staff Plan'!$C$129:$C$305,DD$18)</f>
        <v>0</v>
      </c>
      <c r="CD138" s="1026">
        <f ca="1">SUMIFS('3a Staff Plan'!$T$129:$T$305,'3a Staff Plan'!$DY$129:$DY$305,$CZ138,'3a Staff Plan'!$DF$129:$DF$305,1,'3a Staff Plan'!$C$129:$C$305,DE$18)</f>
        <v>0</v>
      </c>
      <c r="CE138" s="1026">
        <f ca="1">SUMIFS('3a Staff Plan'!$T$129:$T$305,'3a Staff Plan'!$DY$129:$DY$305,$CZ138,'3a Staff Plan'!$DF$129:$DF$305,1,'3a Staff Plan'!$C$129:$C$305,DF$18)</f>
        <v>0</v>
      </c>
      <c r="CF138" s="1026">
        <f ca="1">SUMIFS('3a Staff Plan'!$T$129:$T$305,'3a Staff Plan'!$DY$129:$DY$305,$CZ138,'3a Staff Plan'!$DF$129:$DF$305,1,'3a Staff Plan'!$C$129:$C$305,DG$18)</f>
        <v>0</v>
      </c>
      <c r="CG138" s="1026">
        <f ca="1">SUMIFS('3a Staff Plan'!$T$129:$T$305,'3a Staff Plan'!$DY$129:$DY$305,$CZ138,'3a Staff Plan'!$DF$129:$DF$305,1,'3a Staff Plan'!$C$129:$C$305,DH$18)</f>
        <v>0</v>
      </c>
      <c r="CH138" s="1026">
        <f ca="1">SUMIFS('3a Staff Plan'!$T$129:$T$305,'3a Staff Plan'!$DY$129:$DY$305,$CZ138,'3a Staff Plan'!$DF$129:$DF$305,1,'3a Staff Plan'!$C$129:$C$305,DI$18)</f>
        <v>0</v>
      </c>
      <c r="CI138" s="755"/>
      <c r="CJ138" s="1024">
        <f ca="1">SUMPRODUCT('3b Activity Plan'!$AN$173:$AN$365,'3b Activity Plan'!$CY$173:$CY$365,'3b Activity Plan'!$AH$173:$AH$365,OFFSET('3b Activity Plan'!$DJ$173:$DJ$365,0,$CU138-1))</f>
        <v>0</v>
      </c>
      <c r="CK138" s="1025">
        <f t="shared" ca="1" si="93"/>
        <v>0</v>
      </c>
      <c r="CL138" s="1026">
        <f t="shared" ca="1" si="94"/>
        <v>0</v>
      </c>
      <c r="CM138" s="1026">
        <f t="shared" ca="1" si="95"/>
        <v>0</v>
      </c>
      <c r="CN138" s="1026">
        <f t="shared" ca="1" si="96"/>
        <v>0</v>
      </c>
      <c r="CO138" s="1026">
        <f t="shared" ca="1" si="97"/>
        <v>0</v>
      </c>
      <c r="CP138" s="1026">
        <f t="shared" ca="1" si="98"/>
        <v>0</v>
      </c>
      <c r="CQ138" s="1026">
        <f t="shared" ca="1" si="99"/>
        <v>0</v>
      </c>
      <c r="CR138" s="417"/>
      <c r="CS138" s="417">
        <f t="shared" si="100"/>
        <v>6</v>
      </c>
      <c r="CT138" s="417">
        <f ca="1">OFFSET('2 Staff List'!$GU$64,CS138-1,0)</f>
        <v>6</v>
      </c>
      <c r="CU138" s="417">
        <f ca="1">IF(CZ138=0,0,IFERROR(INDEX('3b Activity Plan'!$DJ$20:$FH$20,MATCH(CT138,'3b Activity Plan'!$DJ$171:$FH$171,0)),0))</f>
        <v>6</v>
      </c>
      <c r="CV138" s="417">
        <f ca="1">INDEX('2 Staff List'!$HW$64:$HW$114,CT138)</f>
        <v>0</v>
      </c>
      <c r="CW138" s="417"/>
      <c r="CY138" s="927" t="str">
        <f ca="1">OFFSET('2 Staff List'!$HZ$64,CS138-1,0)</f>
        <v>L1A Operational Manager</v>
      </c>
      <c r="CZ138" s="975" t="str">
        <f ca="1">OFFSET('2 Staff List'!$IA$64,CT138-1,0)</f>
        <v>Tipton Catherine</v>
      </c>
      <c r="DA138" s="3840">
        <f t="shared" ca="1" si="92"/>
        <v>0</v>
      </c>
      <c r="DB138" s="3841"/>
      <c r="DC138" s="2408">
        <f t="shared" ca="1" si="85"/>
        <v>0</v>
      </c>
      <c r="DD138" s="2405">
        <f t="shared" ca="1" si="86"/>
        <v>0</v>
      </c>
      <c r="DE138" s="2405">
        <f t="shared" ca="1" si="87"/>
        <v>0</v>
      </c>
      <c r="DF138" s="2405">
        <f t="shared" ca="1" si="88"/>
        <v>0</v>
      </c>
      <c r="DG138" s="2405">
        <f t="shared" ca="1" si="89"/>
        <v>0</v>
      </c>
      <c r="DH138" s="2406">
        <f t="shared" ca="1" si="90"/>
        <v>0</v>
      </c>
      <c r="DI138" s="2407">
        <f t="shared" ca="1" si="91"/>
        <v>0</v>
      </c>
    </row>
    <row r="139" spans="1:113" ht="15.9" customHeight="1" x14ac:dyDescent="0.25">
      <c r="A139" s="1051"/>
      <c r="B139" s="1556"/>
      <c r="C139" s="1558">
        <f ca="1">SUMPRODUCT('3b Activity Plan'!$AN$173:$AN$365,OFFSET('3b Activity Plan'!$DJ$173:$DJ$365,0,$CU139-1),'3b Activity Plan'!AO$173:AO$365,'3b Activity Plan'!$AH$173:$AH$365,'3b Activity Plan'!$CY$173:$CY$365,('3b Activity Plan'!$C$173:$C$365=$C$130)*1)</f>
        <v>0</v>
      </c>
      <c r="D139" s="1558">
        <f ca="1">SUMPRODUCT('3b Activity Plan'!$AN$173:$AN$365,OFFSET('3b Activity Plan'!$DJ$173:$DJ$365,0,$CU139-1),'3b Activity Plan'!AP$173:AP$365,'3b Activity Plan'!$AH$173:$AH$365,'3b Activity Plan'!$CY$173:$CY$365,('3b Activity Plan'!$C$173:$C$365=$C$130)*1)</f>
        <v>0</v>
      </c>
      <c r="E139" s="1558">
        <f ca="1">SUMPRODUCT('3b Activity Plan'!$AN$173:$AN$365,OFFSET('3b Activity Plan'!$DJ$173:$DJ$365,0,$CU139-1),'3b Activity Plan'!AQ$173:AQ$365,'3b Activity Plan'!$AH$173:$AH$365,'3b Activity Plan'!$CY$173:$CY$365,('3b Activity Plan'!$C$173:$C$365=$C$130)*1)</f>
        <v>0</v>
      </c>
      <c r="F139" s="1558">
        <f ca="1">SUMPRODUCT('3b Activity Plan'!$AN$173:$AN$365,OFFSET('3b Activity Plan'!$DJ$173:$DJ$365,0,$CU139-1),'3b Activity Plan'!AR$173:AR$365,'3b Activity Plan'!$AH$173:$AH$365,'3b Activity Plan'!$CY$173:$CY$365,('3b Activity Plan'!$C$173:$C$365=$C$130)*1)</f>
        <v>0</v>
      </c>
      <c r="G139" s="1558">
        <f ca="1">SUMPRODUCT('3b Activity Plan'!$AN$173:$AN$365,OFFSET('3b Activity Plan'!$DJ$173:$DJ$365,0,$CU139-1),'3b Activity Plan'!AS$173:AS$365,'3b Activity Plan'!$AH$173:$AH$365,'3b Activity Plan'!$CY$173:$CY$365,('3b Activity Plan'!$C$173:$C$365=$C$130)*1)</f>
        <v>0</v>
      </c>
      <c r="H139" s="1558">
        <f ca="1">SUMPRODUCT('3b Activity Plan'!$AN$173:$AN$365,OFFSET('3b Activity Plan'!$DJ$173:$DJ$365,0,$CU139-1),'3b Activity Plan'!AT$173:AT$365,'3b Activity Plan'!$AH$173:$AH$365,'3b Activity Plan'!$CY$173:$CY$365,('3b Activity Plan'!$C$173:$C$365=$C$130)*1)</f>
        <v>0</v>
      </c>
      <c r="I139" s="1558">
        <f ca="1">SUMPRODUCT('3b Activity Plan'!$AN$173:$AN$365,OFFSET('3b Activity Plan'!$DJ$173:$DJ$365,0,$CU139-1),'3b Activity Plan'!AU$173:AU$365,'3b Activity Plan'!$AH$173:$AH$365,'3b Activity Plan'!$CY$173:$CY$365,('3b Activity Plan'!$C$173:$C$365=$C$130)*1)</f>
        <v>0</v>
      </c>
      <c r="J139" s="1558">
        <f ca="1">SUMPRODUCT('3b Activity Plan'!$AN$173:$AN$365,OFFSET('3b Activity Plan'!$DJ$173:$DJ$365,0,$CU139-1),'3b Activity Plan'!AV$173:AV$365,'3b Activity Plan'!$AH$173:$AH$365,'3b Activity Plan'!$CY$173:$CY$365,('3b Activity Plan'!$C$173:$C$365=$C$130)*1)</f>
        <v>0</v>
      </c>
      <c r="K139" s="1558">
        <f ca="1">SUMPRODUCT('3b Activity Plan'!$AN$173:$AN$365,OFFSET('3b Activity Plan'!$DJ$173:$DJ$365,0,$CU139-1),'3b Activity Plan'!AW$173:AW$365,'3b Activity Plan'!$AH$173:$AH$365,'3b Activity Plan'!$CY$173:$CY$365,('3b Activity Plan'!$C$173:$C$365=$C$130)*1)</f>
        <v>0</v>
      </c>
      <c r="L139" s="1601">
        <f ca="1">SUMPRODUCT('3b Activity Plan'!$AN$173:$AN$365,OFFSET('3b Activity Plan'!$DJ$173:$DJ$365,0,$CU139-1),'3b Activity Plan'!AX$173:AX$365,'3b Activity Plan'!$AH$173:$AH$365,'3b Activity Plan'!$CY$173:$CY$365,('3b Activity Plan'!$C$173:$C$365=$C$130)*1)</f>
        <v>0</v>
      </c>
      <c r="M139" s="1602">
        <f ca="1">SUMPRODUCT('3b Activity Plan'!$AN$173:$AN$365,OFFSET('3b Activity Plan'!$DJ$173:$DJ$365,0,$CU139-1),'3b Activity Plan'!AO$173:AO$365,'3b Activity Plan'!$AH$173:$AH$365,'3b Activity Plan'!$CY$173:$CY$365,('3b Activity Plan'!$C$173:$C$365=$M$130)*1)</f>
        <v>0</v>
      </c>
      <c r="N139" s="1558">
        <f ca="1">SUMPRODUCT('3b Activity Plan'!$AN$173:$AN$365,OFFSET('3b Activity Plan'!$DJ$173:$DJ$365,0,$CU139-1),'3b Activity Plan'!AP$173:AP$365,'3b Activity Plan'!$AH$173:$AH$365,'3b Activity Plan'!$CY$173:$CY$365,('3b Activity Plan'!$C$173:$C$365=$M$130)*1)</f>
        <v>0</v>
      </c>
      <c r="O139" s="1558">
        <f ca="1">SUMPRODUCT('3b Activity Plan'!$AN$173:$AN$365,OFFSET('3b Activity Plan'!$DJ$173:$DJ$365,0,$CU139-1),'3b Activity Plan'!AQ$173:AQ$365,'3b Activity Plan'!$AH$173:$AH$365,'3b Activity Plan'!$CY$173:$CY$365,('3b Activity Plan'!$C$173:$C$365=$M$130)*1)</f>
        <v>0</v>
      </c>
      <c r="P139" s="1558">
        <f ca="1">SUMPRODUCT('3b Activity Plan'!$AN$173:$AN$365,OFFSET('3b Activity Plan'!$DJ$173:$DJ$365,0,$CU139-1),'3b Activity Plan'!AR$173:AR$365,'3b Activity Plan'!$AH$173:$AH$365,'3b Activity Plan'!$CY$173:$CY$365,('3b Activity Plan'!$C$173:$C$365=$M$130)*1)</f>
        <v>0</v>
      </c>
      <c r="Q139" s="1558">
        <f ca="1">SUMPRODUCT('3b Activity Plan'!$AN$173:$AN$365,OFFSET('3b Activity Plan'!$DJ$173:$DJ$365,0,$CU139-1),'3b Activity Plan'!AS$173:AS$365,'3b Activity Plan'!$AH$173:$AH$365,'3b Activity Plan'!$CY$173:$CY$365,('3b Activity Plan'!$C$173:$C$365=$M$130)*1)</f>
        <v>0</v>
      </c>
      <c r="R139" s="1558">
        <f ca="1">SUMPRODUCT('3b Activity Plan'!$AN$173:$AN$365,OFFSET('3b Activity Plan'!$DJ$173:$DJ$365,0,$CU139-1),'3b Activity Plan'!AT$173:AT$365,'3b Activity Plan'!$AH$173:$AH$365,'3b Activity Plan'!$CY$173:$CY$365,('3b Activity Plan'!$C$173:$C$365=$M$130)*1)</f>
        <v>0</v>
      </c>
      <c r="S139" s="1558">
        <f ca="1">SUMPRODUCT('3b Activity Plan'!$AN$173:$AN$365,OFFSET('3b Activity Plan'!$DJ$173:$DJ$365,0,$CU139-1),'3b Activity Plan'!AU$173:AU$365,'3b Activity Plan'!$AH$173:$AH$365,'3b Activity Plan'!$CY$173:$CY$365,('3b Activity Plan'!$C$173:$C$365=$M$130)*1)</f>
        <v>0</v>
      </c>
      <c r="T139" s="1558">
        <f ca="1">SUMPRODUCT('3b Activity Plan'!$AN$173:$AN$365,OFFSET('3b Activity Plan'!$DJ$173:$DJ$365,0,$CU139-1),'3b Activity Plan'!AV$173:AV$365,'3b Activity Plan'!$AH$173:$AH$365,'3b Activity Plan'!$CY$173:$CY$365,('3b Activity Plan'!$C$173:$C$365=$M$130)*1)</f>
        <v>0</v>
      </c>
      <c r="U139" s="1558">
        <f ca="1">SUMPRODUCT('3b Activity Plan'!$AN$173:$AN$365,OFFSET('3b Activity Plan'!$DJ$173:$DJ$365,0,$CU139-1),'3b Activity Plan'!AW$173:AW$365,'3b Activity Plan'!$AH$173:$AH$365,'3b Activity Plan'!$CY$173:$CY$365,('3b Activity Plan'!$C$173:$C$365=$M$130)*1)</f>
        <v>0</v>
      </c>
      <c r="V139" s="1601">
        <f ca="1">SUMPRODUCT('3b Activity Plan'!$AN$173:$AN$365,OFFSET('3b Activity Plan'!$DJ$173:$DJ$365,0,$CU139-1),'3b Activity Plan'!AX$173:AX$365,'3b Activity Plan'!$AH$173:$AH$365,'3b Activity Plan'!$CY$173:$CY$365,('3b Activity Plan'!$C$173:$C$365=$M$130)*1)</f>
        <v>0</v>
      </c>
      <c r="W139" s="1602">
        <f ca="1">SUMPRODUCT('3b Activity Plan'!$AN$173:$AN$365,OFFSET('3b Activity Plan'!$DJ$173:$DJ$365,0,$CU139-1),'3b Activity Plan'!AO$173:AO$365,'3b Activity Plan'!$AH$173:$AH$365,'3b Activity Plan'!$CY$173:$CY$365,('3b Activity Plan'!$C$173:$C$365=$W$130)*1)</f>
        <v>0</v>
      </c>
      <c r="X139" s="1558">
        <f ca="1">SUMPRODUCT('3b Activity Plan'!$AN$173:$AN$365,OFFSET('3b Activity Plan'!$DJ$173:$DJ$365,0,$CU139-1),'3b Activity Plan'!AP$173:AP$365,'3b Activity Plan'!$AH$173:$AH$365,'3b Activity Plan'!$CY$173:$CY$365,('3b Activity Plan'!$C$173:$C$365=$W$130)*1)</f>
        <v>0</v>
      </c>
      <c r="Y139" s="1558">
        <f ca="1">SUMPRODUCT('3b Activity Plan'!$AN$173:$AN$365,OFFSET('3b Activity Plan'!$DJ$173:$DJ$365,0,$CU139-1),'3b Activity Plan'!AQ$173:AQ$365,'3b Activity Plan'!$AH$173:$AH$365,'3b Activity Plan'!$CY$173:$CY$365,('3b Activity Plan'!$C$173:$C$365=$W$130)*1)</f>
        <v>0</v>
      </c>
      <c r="Z139" s="1558">
        <f ca="1">SUMPRODUCT('3b Activity Plan'!$AN$173:$AN$365,OFFSET('3b Activity Plan'!$DJ$173:$DJ$365,0,$CU139-1),'3b Activity Plan'!AR$173:AR$365,'3b Activity Plan'!$AH$173:$AH$365,'3b Activity Plan'!$CY$173:$CY$365,('3b Activity Plan'!$C$173:$C$365=$W$130)*1)</f>
        <v>0</v>
      </c>
      <c r="AA139" s="1558">
        <f ca="1">SUMPRODUCT('3b Activity Plan'!$AN$173:$AN$365,OFFSET('3b Activity Plan'!$DJ$173:$DJ$365,0,$CU139-1),'3b Activity Plan'!AS$173:AS$365,'3b Activity Plan'!$AH$173:$AH$365,'3b Activity Plan'!$CY$173:$CY$365,('3b Activity Plan'!$C$173:$C$365=$W$130)*1)</f>
        <v>0</v>
      </c>
      <c r="AB139" s="1558">
        <f ca="1">SUMPRODUCT('3b Activity Plan'!$AN$173:$AN$365,OFFSET('3b Activity Plan'!$DJ$173:$DJ$365,0,$CU139-1),'3b Activity Plan'!AT$173:AT$365,'3b Activity Plan'!$AH$173:$AH$365,'3b Activity Plan'!$CY$173:$CY$365,('3b Activity Plan'!$C$173:$C$365=$W$130)*1)</f>
        <v>0</v>
      </c>
      <c r="AC139" s="1558">
        <f ca="1">SUMPRODUCT('3b Activity Plan'!$AN$173:$AN$365,OFFSET('3b Activity Plan'!$DJ$173:$DJ$365,0,$CU139-1),'3b Activity Plan'!AU$173:AU$365,'3b Activity Plan'!$AH$173:$AH$365,'3b Activity Plan'!$CY$173:$CY$365,('3b Activity Plan'!$C$173:$C$365=$W$130)*1)</f>
        <v>0</v>
      </c>
      <c r="AD139" s="1558">
        <f ca="1">SUMPRODUCT('3b Activity Plan'!$AN$173:$AN$365,OFFSET('3b Activity Plan'!$DJ$173:$DJ$365,0,$CU139-1),'3b Activity Plan'!AV$173:AV$365,'3b Activity Plan'!$AH$173:$AH$365,'3b Activity Plan'!$CY$173:$CY$365,('3b Activity Plan'!$C$173:$C$365=$W$130)*1)</f>
        <v>0</v>
      </c>
      <c r="AE139" s="1558">
        <f ca="1">SUMPRODUCT('3b Activity Plan'!$AN$173:$AN$365,OFFSET('3b Activity Plan'!$DJ$173:$DJ$365,0,$CU139-1),'3b Activity Plan'!AW$173:AW$365,'3b Activity Plan'!$AH$173:$AH$365,'3b Activity Plan'!$CY$173:$CY$365,('3b Activity Plan'!$C$173:$C$365=$W$130)*1)</f>
        <v>0</v>
      </c>
      <c r="AF139" s="1558">
        <f ca="1">SUMPRODUCT('3b Activity Plan'!$AN$173:$AN$365,OFFSET('3b Activity Plan'!$DJ$173:$DJ$365,0,$CU139-1),'3b Activity Plan'!AX$173:AX$365,'3b Activity Plan'!$AH$173:$AH$365,'3b Activity Plan'!$CY$173:$CY$365,('3b Activity Plan'!$C$173:$C$365=$W$130)*1)</f>
        <v>0</v>
      </c>
      <c r="AG139" s="1602">
        <f ca="1">SUMPRODUCT('3b Activity Plan'!$AN$173:$AN$365,OFFSET('3b Activity Plan'!$DJ$173:$DJ$365,0,$CU139-1),'3b Activity Plan'!AO$173:AO$365,'3b Activity Plan'!$AH$173:$AH$365,'3b Activity Plan'!$CY$173:$CY$365,('3b Activity Plan'!$C$173:$C$365=$AG$130)*1)</f>
        <v>0</v>
      </c>
      <c r="AH139" s="1558">
        <f ca="1">SUMPRODUCT('3b Activity Plan'!$AN$173:$AN$365,OFFSET('3b Activity Plan'!$DJ$173:$DJ$365,0,$CU139-1),'3b Activity Plan'!AP$173:AP$365,'3b Activity Plan'!$AH$173:$AH$365,'3b Activity Plan'!$CY$173:$CY$365,('3b Activity Plan'!$C$173:$C$365=$AG$130)*1)</f>
        <v>0</v>
      </c>
      <c r="AI139" s="1558">
        <f ca="1">SUMPRODUCT('3b Activity Plan'!$AN$173:$AN$365,OFFSET('3b Activity Plan'!$DJ$173:$DJ$365,0,$CU139-1),'3b Activity Plan'!AQ$173:AQ$365,'3b Activity Plan'!$AH$173:$AH$365,'3b Activity Plan'!$CY$173:$CY$365,('3b Activity Plan'!$C$173:$C$365=$AG$130)*1)</f>
        <v>0</v>
      </c>
      <c r="AJ139" s="1558">
        <f ca="1">SUMPRODUCT('3b Activity Plan'!$AN$173:$AN$365,OFFSET('3b Activity Plan'!$DJ$173:$DJ$365,0,$CU139-1),'3b Activity Plan'!AR$173:AR$365,'3b Activity Plan'!$AH$173:$AH$365,'3b Activity Plan'!$CY$173:$CY$365,('3b Activity Plan'!$C$173:$C$365=$AG$130)*1)</f>
        <v>0</v>
      </c>
      <c r="AK139" s="1558">
        <f ca="1">SUMPRODUCT('3b Activity Plan'!$AN$173:$AN$365,OFFSET('3b Activity Plan'!$DJ$173:$DJ$365,0,$CU139-1),'3b Activity Plan'!AS$173:AS$365,'3b Activity Plan'!$AH$173:$AH$365,'3b Activity Plan'!$CY$173:$CY$365,('3b Activity Plan'!$C$173:$C$365=$AG$130)*1)</f>
        <v>0</v>
      </c>
      <c r="AL139" s="1558">
        <f ca="1">SUMPRODUCT('3b Activity Plan'!$AN$173:$AN$365,OFFSET('3b Activity Plan'!$DJ$173:$DJ$365,0,$CU139-1),'3b Activity Plan'!AT$173:AT$365,'3b Activity Plan'!$AH$173:$AH$365,'3b Activity Plan'!$CY$173:$CY$365,('3b Activity Plan'!$C$173:$C$365=$AG$130)*1)</f>
        <v>0</v>
      </c>
      <c r="AM139" s="1558">
        <f ca="1">SUMPRODUCT('3b Activity Plan'!$AN$173:$AN$365,OFFSET('3b Activity Plan'!$DJ$173:$DJ$365,0,$CU139-1),'3b Activity Plan'!AU$173:AU$365,'3b Activity Plan'!$AH$173:$AH$365,'3b Activity Plan'!$CY$173:$CY$365,('3b Activity Plan'!$C$173:$C$365=$AG$130)*1)</f>
        <v>0</v>
      </c>
      <c r="AN139" s="1558">
        <f ca="1">SUMPRODUCT('3b Activity Plan'!$AN$173:$AN$365,OFFSET('3b Activity Plan'!$DJ$173:$DJ$365,0,$CU139-1),'3b Activity Plan'!AV$173:AV$365,'3b Activity Plan'!$AH$173:$AH$365,'3b Activity Plan'!$CY$173:$CY$365,('3b Activity Plan'!$C$173:$C$365=$AG$130)*1)</f>
        <v>0</v>
      </c>
      <c r="AO139" s="1558">
        <f ca="1">SUMPRODUCT('3b Activity Plan'!$AN$173:$AN$365,OFFSET('3b Activity Plan'!$DJ$173:$DJ$365,0,$CU139-1),'3b Activity Plan'!AW$173:AW$365,'3b Activity Plan'!$AH$173:$AH$365,'3b Activity Plan'!$CY$173:$CY$365,('3b Activity Plan'!$C$173:$C$365=$AG$130)*1)</f>
        <v>0</v>
      </c>
      <c r="AP139" s="1558">
        <f ca="1">SUMPRODUCT('3b Activity Plan'!$AN$173:$AN$365,OFFSET('3b Activity Plan'!$DJ$173:$DJ$365,0,$CU139-1),'3b Activity Plan'!AX$173:AX$365,'3b Activity Plan'!$AH$173:$AH$365,'3b Activity Plan'!$CY$173:$CY$365,('3b Activity Plan'!$C$173:$C$365=$AG$130)*1)</f>
        <v>0</v>
      </c>
      <c r="AQ139" s="1602">
        <f ca="1">SUMPRODUCT('3b Activity Plan'!$AN$173:$AN$365,OFFSET('3b Activity Plan'!$DJ$173:$DJ$365,0,$CU139-1),'3b Activity Plan'!AO$173:AO$365,'3b Activity Plan'!$AH$173:$AH$365,'3b Activity Plan'!$CY$173:$CY$365,('3b Activity Plan'!$C$173:$C$365=$AQ$130)*1)</f>
        <v>0</v>
      </c>
      <c r="AR139" s="1558">
        <f ca="1">SUMPRODUCT('3b Activity Plan'!$AN$173:$AN$365,OFFSET('3b Activity Plan'!$DJ$173:$DJ$365,0,$CU139-1),'3b Activity Plan'!AP$173:AP$365,'3b Activity Plan'!$AH$173:$AH$365,'3b Activity Plan'!$CY$173:$CY$365,('3b Activity Plan'!$C$173:$C$365=$AQ$130)*1)</f>
        <v>0</v>
      </c>
      <c r="AS139" s="1558">
        <f ca="1">SUMPRODUCT('3b Activity Plan'!$AN$173:$AN$365,OFFSET('3b Activity Plan'!$DJ$173:$DJ$365,0,$CU139-1),'3b Activity Plan'!AQ$173:AQ$365,'3b Activity Plan'!$AH$173:$AH$365,'3b Activity Plan'!$CY$173:$CY$365,('3b Activity Plan'!$C$173:$C$365=$AQ$130)*1)</f>
        <v>0</v>
      </c>
      <c r="AT139" s="1558">
        <f ca="1">SUMPRODUCT('3b Activity Plan'!$AN$173:$AN$365,OFFSET('3b Activity Plan'!$DJ$173:$DJ$365,0,$CU139-1),'3b Activity Plan'!AR$173:AR$365,'3b Activity Plan'!$AH$173:$AH$365,'3b Activity Plan'!$CY$173:$CY$365,('3b Activity Plan'!$C$173:$C$365=$AQ$130)*1)</f>
        <v>0</v>
      </c>
      <c r="AU139" s="1558">
        <f ca="1">SUMPRODUCT('3b Activity Plan'!$AN$173:$AN$365,OFFSET('3b Activity Plan'!$DJ$173:$DJ$365,0,$CU139-1),'3b Activity Plan'!AS$173:AS$365,'3b Activity Plan'!$AH$173:$AH$365,'3b Activity Plan'!$CY$173:$CY$365,('3b Activity Plan'!$C$173:$C$365=$AQ$130)*1)</f>
        <v>0</v>
      </c>
      <c r="AV139" s="1558">
        <f ca="1">SUMPRODUCT('3b Activity Plan'!$AN$173:$AN$365,OFFSET('3b Activity Plan'!$DJ$173:$DJ$365,0,$CU139-1),'3b Activity Plan'!AT$173:AT$365,'3b Activity Plan'!$AH$173:$AH$365,'3b Activity Plan'!$CY$173:$CY$365,('3b Activity Plan'!$C$173:$C$365=$AQ$130)*1)</f>
        <v>0</v>
      </c>
      <c r="AW139" s="1558">
        <f ca="1">SUMPRODUCT('3b Activity Plan'!$AN$173:$AN$365,OFFSET('3b Activity Plan'!$DJ$173:$DJ$365,0,$CU139-1),'3b Activity Plan'!AU$173:AU$365,'3b Activity Plan'!$AH$173:$AH$365,'3b Activity Plan'!$CY$173:$CY$365,('3b Activity Plan'!$C$173:$C$365=$AQ$130)*1)</f>
        <v>0</v>
      </c>
      <c r="AX139" s="1558">
        <f ca="1">SUMPRODUCT('3b Activity Plan'!$AN$173:$AN$365,OFFSET('3b Activity Plan'!$DJ$173:$DJ$365,0,$CU139-1),'3b Activity Plan'!AV$173:AV$365,'3b Activity Plan'!$AH$173:$AH$365,'3b Activity Plan'!$CY$173:$CY$365,('3b Activity Plan'!$C$173:$C$365=$AQ$130)*1)</f>
        <v>0</v>
      </c>
      <c r="AY139" s="1558">
        <f ca="1">SUMPRODUCT('3b Activity Plan'!$AN$173:$AN$365,OFFSET('3b Activity Plan'!$DJ$173:$DJ$365,0,$CU139-1),'3b Activity Plan'!AW$173:AW$365,'3b Activity Plan'!$AH$173:$AH$365,'3b Activity Plan'!$CY$173:$CY$365,('3b Activity Plan'!$C$173:$C$365=$AQ$130)*1)</f>
        <v>0</v>
      </c>
      <c r="AZ139" s="1558">
        <f ca="1">SUMPRODUCT('3b Activity Plan'!$AN$173:$AN$365,OFFSET('3b Activity Plan'!$DJ$173:$DJ$365,0,$CU139-1),'3b Activity Plan'!AX$173:AX$365,'3b Activity Plan'!$AH$173:$AH$365,'3b Activity Plan'!$CY$173:$CY$365,('3b Activity Plan'!$C$173:$C$365=$AQ$130)*1)</f>
        <v>0</v>
      </c>
      <c r="BA139" s="1602">
        <f ca="1">SUMPRODUCT('3b Activity Plan'!$AN$173:$AN$365,OFFSET('3b Activity Plan'!$DJ$173:$DJ$365,0,$CU139-1),'3b Activity Plan'!AO$173:AO$365,'3b Activity Plan'!$AH$173:$AH$365,'3b Activity Plan'!$CY$173:$CY$365,('3b Activity Plan'!$C$173:$C$365=$BA$130)*1)</f>
        <v>0</v>
      </c>
      <c r="BB139" s="1558">
        <f ca="1">SUMPRODUCT('3b Activity Plan'!$AN$173:$AN$365,OFFSET('3b Activity Plan'!$DJ$173:$DJ$365,0,$CU139-1),'3b Activity Plan'!AP$173:AP$365,'3b Activity Plan'!$AH$173:$AH$365,'3b Activity Plan'!$CY$173:$CY$365,('3b Activity Plan'!$C$173:$C$365=$BA$130)*1)</f>
        <v>0</v>
      </c>
      <c r="BC139" s="1558">
        <f ca="1">SUMPRODUCT('3b Activity Plan'!$AN$173:$AN$365,OFFSET('3b Activity Plan'!$DJ$173:$DJ$365,0,$CU139-1),'3b Activity Plan'!AQ$173:AQ$365,'3b Activity Plan'!$AH$173:$AH$365,'3b Activity Plan'!$CY$173:$CY$365,('3b Activity Plan'!$C$173:$C$365=$BA$130)*1)</f>
        <v>0</v>
      </c>
      <c r="BD139" s="1558">
        <f ca="1">SUMPRODUCT('3b Activity Plan'!$AN$173:$AN$365,OFFSET('3b Activity Plan'!$DJ$173:$DJ$365,0,$CU139-1),'3b Activity Plan'!AR$173:AR$365,'3b Activity Plan'!$AH$173:$AH$365,'3b Activity Plan'!$CY$173:$CY$365,('3b Activity Plan'!$C$173:$C$365=$BA$130)*1)</f>
        <v>0</v>
      </c>
      <c r="BE139" s="1558">
        <f ca="1">SUMPRODUCT('3b Activity Plan'!$AN$173:$AN$365,OFFSET('3b Activity Plan'!$DJ$173:$DJ$365,0,$CU139-1),'3b Activity Plan'!AS$173:AS$365,'3b Activity Plan'!$AH$173:$AH$365,'3b Activity Plan'!$CY$173:$CY$365,('3b Activity Plan'!$C$173:$C$365=$BA$130)*1)</f>
        <v>0</v>
      </c>
      <c r="BF139" s="1558">
        <f ca="1">SUMPRODUCT('3b Activity Plan'!$AN$173:$AN$365,OFFSET('3b Activity Plan'!$DJ$173:$DJ$365,0,$CU139-1),'3b Activity Plan'!AT$173:AT$365,'3b Activity Plan'!$AH$173:$AH$365,'3b Activity Plan'!$CY$173:$CY$365,('3b Activity Plan'!$C$173:$C$365=$BA$130)*1)</f>
        <v>0</v>
      </c>
      <c r="BG139" s="1558">
        <f ca="1">SUMPRODUCT('3b Activity Plan'!$AN$173:$AN$365,OFFSET('3b Activity Plan'!$DJ$173:$DJ$365,0,$CU139-1),'3b Activity Plan'!AU$173:AU$365,'3b Activity Plan'!$AH$173:$AH$365,'3b Activity Plan'!$CY$173:$CY$365,('3b Activity Plan'!$C$173:$C$365=$BA$130)*1)</f>
        <v>0</v>
      </c>
      <c r="BH139" s="1558">
        <f ca="1">SUMPRODUCT('3b Activity Plan'!$AN$173:$AN$365,OFFSET('3b Activity Plan'!$DJ$173:$DJ$365,0,$CU139-1),'3b Activity Plan'!AV$173:AV$365,'3b Activity Plan'!$AH$173:$AH$365,'3b Activity Plan'!$CY$173:$CY$365,('3b Activity Plan'!$C$173:$C$365=$BA$130)*1)</f>
        <v>0</v>
      </c>
      <c r="BI139" s="1558">
        <f ca="1">SUMPRODUCT('3b Activity Plan'!$AN$173:$AN$365,OFFSET('3b Activity Plan'!$DJ$173:$DJ$365,0,$CU139-1),'3b Activity Plan'!AW$173:AW$365,'3b Activity Plan'!$AH$173:$AH$365,'3b Activity Plan'!$CY$173:$CY$365,('3b Activity Plan'!$C$173:$C$365=$BA$130)*1)</f>
        <v>0</v>
      </c>
      <c r="BJ139" s="1558">
        <f ca="1">SUMPRODUCT('3b Activity Plan'!$AN$173:$AN$365,OFFSET('3b Activity Plan'!$DJ$173:$DJ$365,0,$CU139-1),'3b Activity Plan'!AX$173:AX$365,'3b Activity Plan'!$AH$173:$AH$365,'3b Activity Plan'!$CY$173:$CY$365,('3b Activity Plan'!$C$173:$C$365=$BA$130)*1)</f>
        <v>0</v>
      </c>
      <c r="BK139" s="1602">
        <f ca="1">SUMPRODUCT('3b Activity Plan'!$AN$173:$AN$365,OFFSET('3b Activity Plan'!$DJ$173:$DJ$365,0,$CU139-1),'3b Activity Plan'!AO$173:AO$365,'3b Activity Plan'!$AH$173:$AH$365,'3b Activity Plan'!$CY$173:$CY$365,('3b Activity Plan'!$C$173:$C$365=$BK$130)*1)</f>
        <v>0</v>
      </c>
      <c r="BL139" s="1558">
        <f ca="1">SUMPRODUCT('3b Activity Plan'!$AN$173:$AN$365,OFFSET('3b Activity Plan'!$DJ$173:$DJ$365,0,$CU139-1),'3b Activity Plan'!AP$173:AP$365,'3b Activity Plan'!$AH$173:$AH$365,'3b Activity Plan'!$CY$173:$CY$365,('3b Activity Plan'!$C$173:$C$365=$BK$130)*1)</f>
        <v>0</v>
      </c>
      <c r="BM139" s="1558">
        <f ca="1">SUMPRODUCT('3b Activity Plan'!$AN$173:$AN$365,OFFSET('3b Activity Plan'!$DJ$173:$DJ$365,0,$CU139-1),'3b Activity Plan'!AQ$173:AQ$365,'3b Activity Plan'!$AH$173:$AH$365,'3b Activity Plan'!$CY$173:$CY$365,('3b Activity Plan'!$C$173:$C$365=$BK$130)*1)</f>
        <v>0</v>
      </c>
      <c r="BN139" s="1558">
        <f ca="1">SUMPRODUCT('3b Activity Plan'!$AN$173:$AN$365,OFFSET('3b Activity Plan'!$DJ$173:$DJ$365,0,$CU139-1),'3b Activity Plan'!AR$173:AR$365,'3b Activity Plan'!$AH$173:$AH$365,'3b Activity Plan'!$CY$173:$CY$365,('3b Activity Plan'!$C$173:$C$365=$BK$130)*1)</f>
        <v>0</v>
      </c>
      <c r="BO139" s="1558">
        <f ca="1">SUMPRODUCT('3b Activity Plan'!$AN$173:$AN$365,OFFSET('3b Activity Plan'!$DJ$173:$DJ$365,0,$CU139-1),'3b Activity Plan'!AS$173:AS$365,'3b Activity Plan'!$AH$173:$AH$365,'3b Activity Plan'!$CY$173:$CY$365,('3b Activity Plan'!$C$173:$C$365=$BK$130)*1)</f>
        <v>0</v>
      </c>
      <c r="BP139" s="1558">
        <f ca="1">SUMPRODUCT('3b Activity Plan'!$AN$173:$AN$365,OFFSET('3b Activity Plan'!$DJ$173:$DJ$365,0,$CU139-1),'3b Activity Plan'!AT$173:AT$365,'3b Activity Plan'!$AH$173:$AH$365,'3b Activity Plan'!$CY$173:$CY$365,('3b Activity Plan'!$C$173:$C$365=$BK$130)*1)</f>
        <v>0</v>
      </c>
      <c r="BQ139" s="1558">
        <f ca="1">SUMPRODUCT('3b Activity Plan'!$AN$173:$AN$365,OFFSET('3b Activity Plan'!$DJ$173:$DJ$365,0,$CU139-1),'3b Activity Plan'!AU$173:AU$365,'3b Activity Plan'!$AH$173:$AH$365,'3b Activity Plan'!$CY$173:$CY$365,('3b Activity Plan'!$C$173:$C$365=$BK$130)*1)</f>
        <v>0</v>
      </c>
      <c r="BR139" s="1558">
        <f ca="1">SUMPRODUCT('3b Activity Plan'!$AN$173:$AN$365,OFFSET('3b Activity Plan'!$DJ$173:$DJ$365,0,$CU139-1),'3b Activity Plan'!AV$173:AV$365,'3b Activity Plan'!$AH$173:$AH$365,'3b Activity Plan'!$CY$173:$CY$365,('3b Activity Plan'!$C$173:$C$365=$BK$130)*1)</f>
        <v>0</v>
      </c>
      <c r="BS139" s="1558">
        <f ca="1">SUMPRODUCT('3b Activity Plan'!$AN$173:$AN$365,OFFSET('3b Activity Plan'!$DJ$173:$DJ$365,0,$CU139-1),'3b Activity Plan'!AW$173:AW$365,'3b Activity Plan'!$AH$173:$AH$365,'3b Activity Plan'!$CY$173:$CY$365,('3b Activity Plan'!$C$173:$C$365=$BK$130)*1)</f>
        <v>0</v>
      </c>
      <c r="BT139" s="1558">
        <f ca="1">SUMPRODUCT('3b Activity Plan'!$AN$173:$AN$365,OFFSET('3b Activity Plan'!$DJ$173:$DJ$365,0,$CU139-1),'3b Activity Plan'!AX$173:AX$365,'3b Activity Plan'!$AH$173:$AH$365,'3b Activity Plan'!$CY$173:$CY$365,('3b Activity Plan'!$C$173:$C$365=$BK$130)*1)</f>
        <v>0</v>
      </c>
      <c r="BU139" s="1587"/>
      <c r="BV139" s="1587"/>
      <c r="BW139" s="1587"/>
      <c r="BX139" s="1556"/>
      <c r="BY139" s="1556"/>
      <c r="BZ139" s="1556"/>
      <c r="CA139" s="1024">
        <f ca="1">SUMIFS('3a Staff Plan'!$T$129:$T$305,'3a Staff Plan'!$DY$129:$DY$305,CZ139,'3a Staff Plan'!$DF$129:$DF$305,1)</f>
        <v>0</v>
      </c>
      <c r="CB139" s="1025">
        <f ca="1">SUMIFS('3a Staff Plan'!$T$129:$T$305,'3a Staff Plan'!$DY$129:$DY$305,$CZ139,'3a Staff Plan'!$DF$129:$DF$305,1,'3a Staff Plan'!$C$129:$C$305,DC$18)</f>
        <v>0</v>
      </c>
      <c r="CC139" s="1026">
        <f ca="1">SUMIFS('3a Staff Plan'!$T$129:$T$305,'3a Staff Plan'!$DY$129:$DY$305,$CZ139,'3a Staff Plan'!$DF$129:$DF$305,1,'3a Staff Plan'!$C$129:$C$305,DD$18)</f>
        <v>0</v>
      </c>
      <c r="CD139" s="1026">
        <f ca="1">SUMIFS('3a Staff Plan'!$T$129:$T$305,'3a Staff Plan'!$DY$129:$DY$305,$CZ139,'3a Staff Plan'!$DF$129:$DF$305,1,'3a Staff Plan'!$C$129:$C$305,DE$18)</f>
        <v>0</v>
      </c>
      <c r="CE139" s="1026">
        <f ca="1">SUMIFS('3a Staff Plan'!$T$129:$T$305,'3a Staff Plan'!$DY$129:$DY$305,$CZ139,'3a Staff Plan'!$DF$129:$DF$305,1,'3a Staff Plan'!$C$129:$C$305,DF$18)</f>
        <v>0</v>
      </c>
      <c r="CF139" s="1026">
        <f ca="1">SUMIFS('3a Staff Plan'!$T$129:$T$305,'3a Staff Plan'!$DY$129:$DY$305,$CZ139,'3a Staff Plan'!$DF$129:$DF$305,1,'3a Staff Plan'!$C$129:$C$305,DG$18)</f>
        <v>0</v>
      </c>
      <c r="CG139" s="1026">
        <f ca="1">SUMIFS('3a Staff Plan'!$T$129:$T$305,'3a Staff Plan'!$DY$129:$DY$305,$CZ139,'3a Staff Plan'!$DF$129:$DF$305,1,'3a Staff Plan'!$C$129:$C$305,DH$18)</f>
        <v>0</v>
      </c>
      <c r="CH139" s="1026">
        <f ca="1">SUMIFS('3a Staff Plan'!$T$129:$T$305,'3a Staff Plan'!$DY$129:$DY$305,$CZ139,'3a Staff Plan'!$DF$129:$DF$305,1,'3a Staff Plan'!$C$129:$C$305,DI$18)</f>
        <v>0</v>
      </c>
      <c r="CI139" s="755"/>
      <c r="CJ139" s="1024">
        <f ca="1">SUMPRODUCT('3b Activity Plan'!$AN$173:$AN$365,'3b Activity Plan'!$CY$173:$CY$365,'3b Activity Plan'!$AH$173:$AH$365,OFFSET('3b Activity Plan'!$DJ$173:$DJ$365,0,$CU139-1))</f>
        <v>6</v>
      </c>
      <c r="CK139" s="1025">
        <f t="shared" ca="1" si="93"/>
        <v>0</v>
      </c>
      <c r="CL139" s="1026">
        <f t="shared" ca="1" si="94"/>
        <v>0</v>
      </c>
      <c r="CM139" s="1026">
        <f t="shared" ca="1" si="95"/>
        <v>0</v>
      </c>
      <c r="CN139" s="1026">
        <f t="shared" ca="1" si="96"/>
        <v>0</v>
      </c>
      <c r="CO139" s="1026">
        <f t="shared" ca="1" si="97"/>
        <v>0</v>
      </c>
      <c r="CP139" s="1026">
        <f t="shared" ca="1" si="98"/>
        <v>0</v>
      </c>
      <c r="CQ139" s="1026">
        <f t="shared" ca="1" si="99"/>
        <v>0</v>
      </c>
      <c r="CR139" s="417"/>
      <c r="CS139" s="417">
        <f t="shared" si="100"/>
        <v>7</v>
      </c>
      <c r="CT139" s="417">
        <f ca="1">OFFSET('2 Staff List'!$GU$64,CS139-1,0)</f>
        <v>7</v>
      </c>
      <c r="CU139" s="417">
        <f ca="1">IF(CZ139=0,0,IFERROR(INDEX('3b Activity Plan'!$DJ$20:$FH$20,MATCH(CT139,'3b Activity Plan'!$DJ$171:$FH$171,0)),0))</f>
        <v>7</v>
      </c>
      <c r="CV139" s="417">
        <f ca="1">INDEX('2 Staff List'!$HW$64:$HW$114,CT139)</f>
        <v>0</v>
      </c>
      <c r="CW139" s="417"/>
      <c r="CY139" s="927" t="str">
        <f ca="1">OFFSET('2 Staff List'!$HZ$64,CS139-1,0)</f>
        <v>L1B Service Lead</v>
      </c>
      <c r="CZ139" s="975" t="str">
        <f ca="1">OFFSET('2 Staff List'!$IA$64,CT139-1,0)</f>
        <v>Robinson Emma</v>
      </c>
      <c r="DA139" s="3840">
        <f t="shared" ca="1" si="92"/>
        <v>6</v>
      </c>
      <c r="DB139" s="3841"/>
      <c r="DC139" s="2408">
        <f t="shared" ca="1" si="85"/>
        <v>0</v>
      </c>
      <c r="DD139" s="2405">
        <f t="shared" ca="1" si="86"/>
        <v>0</v>
      </c>
      <c r="DE139" s="2405">
        <f t="shared" ca="1" si="87"/>
        <v>0</v>
      </c>
      <c r="DF139" s="2405">
        <f t="shared" ca="1" si="88"/>
        <v>0</v>
      </c>
      <c r="DG139" s="2405">
        <f t="shared" ca="1" si="89"/>
        <v>0</v>
      </c>
      <c r="DH139" s="2406">
        <f t="shared" ca="1" si="90"/>
        <v>0</v>
      </c>
      <c r="DI139" s="2407">
        <f t="shared" ca="1" si="91"/>
        <v>0</v>
      </c>
    </row>
    <row r="140" spans="1:113" ht="15.9" customHeight="1" x14ac:dyDescent="0.25">
      <c r="A140" s="1051"/>
      <c r="B140" s="1556"/>
      <c r="C140" s="1558">
        <f ca="1">SUMPRODUCT('3b Activity Plan'!$AN$173:$AN$365,OFFSET('3b Activity Plan'!$DJ$173:$DJ$365,0,$CU140-1),'3b Activity Plan'!AO$173:AO$365,'3b Activity Plan'!$AH$173:$AH$365,'3b Activity Plan'!$CY$173:$CY$365,('3b Activity Plan'!$C$173:$C$365=$C$130)*1)</f>
        <v>0</v>
      </c>
      <c r="D140" s="1558">
        <f ca="1">SUMPRODUCT('3b Activity Plan'!$AN$173:$AN$365,OFFSET('3b Activity Plan'!$DJ$173:$DJ$365,0,$CU140-1),'3b Activity Plan'!AP$173:AP$365,'3b Activity Plan'!$AH$173:$AH$365,'3b Activity Plan'!$CY$173:$CY$365,('3b Activity Plan'!$C$173:$C$365=$C$130)*1)</f>
        <v>0</v>
      </c>
      <c r="E140" s="1558">
        <f ca="1">SUMPRODUCT('3b Activity Plan'!$AN$173:$AN$365,OFFSET('3b Activity Plan'!$DJ$173:$DJ$365,0,$CU140-1),'3b Activity Plan'!AQ$173:AQ$365,'3b Activity Plan'!$AH$173:$AH$365,'3b Activity Plan'!$CY$173:$CY$365,('3b Activity Plan'!$C$173:$C$365=$C$130)*1)</f>
        <v>0</v>
      </c>
      <c r="F140" s="1558">
        <f ca="1">SUMPRODUCT('3b Activity Plan'!$AN$173:$AN$365,OFFSET('3b Activity Plan'!$DJ$173:$DJ$365,0,$CU140-1),'3b Activity Plan'!AR$173:AR$365,'3b Activity Plan'!$AH$173:$AH$365,'3b Activity Plan'!$CY$173:$CY$365,('3b Activity Plan'!$C$173:$C$365=$C$130)*1)</f>
        <v>0</v>
      </c>
      <c r="G140" s="1558">
        <f ca="1">SUMPRODUCT('3b Activity Plan'!$AN$173:$AN$365,OFFSET('3b Activity Plan'!$DJ$173:$DJ$365,0,$CU140-1),'3b Activity Plan'!AS$173:AS$365,'3b Activity Plan'!$AH$173:$AH$365,'3b Activity Plan'!$CY$173:$CY$365,('3b Activity Plan'!$C$173:$C$365=$C$130)*1)</f>
        <v>0</v>
      </c>
      <c r="H140" s="1558">
        <f ca="1">SUMPRODUCT('3b Activity Plan'!$AN$173:$AN$365,OFFSET('3b Activity Plan'!$DJ$173:$DJ$365,0,$CU140-1),'3b Activity Plan'!AT$173:AT$365,'3b Activity Plan'!$AH$173:$AH$365,'3b Activity Plan'!$CY$173:$CY$365,('3b Activity Plan'!$C$173:$C$365=$C$130)*1)</f>
        <v>0</v>
      </c>
      <c r="I140" s="1558">
        <f ca="1">SUMPRODUCT('3b Activity Plan'!$AN$173:$AN$365,OFFSET('3b Activity Plan'!$DJ$173:$DJ$365,0,$CU140-1),'3b Activity Plan'!AU$173:AU$365,'3b Activity Plan'!$AH$173:$AH$365,'3b Activity Plan'!$CY$173:$CY$365,('3b Activity Plan'!$C$173:$C$365=$C$130)*1)</f>
        <v>0</v>
      </c>
      <c r="J140" s="1558">
        <f ca="1">SUMPRODUCT('3b Activity Plan'!$AN$173:$AN$365,OFFSET('3b Activity Plan'!$DJ$173:$DJ$365,0,$CU140-1),'3b Activity Plan'!AV$173:AV$365,'3b Activity Plan'!$AH$173:$AH$365,'3b Activity Plan'!$CY$173:$CY$365,('3b Activity Plan'!$C$173:$C$365=$C$130)*1)</f>
        <v>0</v>
      </c>
      <c r="K140" s="1558">
        <f ca="1">SUMPRODUCT('3b Activity Plan'!$AN$173:$AN$365,OFFSET('3b Activity Plan'!$DJ$173:$DJ$365,0,$CU140-1),'3b Activity Plan'!AW$173:AW$365,'3b Activity Plan'!$AH$173:$AH$365,'3b Activity Plan'!$CY$173:$CY$365,('3b Activity Plan'!$C$173:$C$365=$C$130)*1)</f>
        <v>0</v>
      </c>
      <c r="L140" s="1601">
        <f ca="1">SUMPRODUCT('3b Activity Plan'!$AN$173:$AN$365,OFFSET('3b Activity Plan'!$DJ$173:$DJ$365,0,$CU140-1),'3b Activity Plan'!AX$173:AX$365,'3b Activity Plan'!$AH$173:$AH$365,'3b Activity Plan'!$CY$173:$CY$365,('3b Activity Plan'!$C$173:$C$365=$C$130)*1)</f>
        <v>0</v>
      </c>
      <c r="M140" s="1602">
        <f ca="1">SUMPRODUCT('3b Activity Plan'!$AN$173:$AN$365,OFFSET('3b Activity Plan'!$DJ$173:$DJ$365,0,$CU140-1),'3b Activity Plan'!AO$173:AO$365,'3b Activity Plan'!$AH$173:$AH$365,'3b Activity Plan'!$CY$173:$CY$365,('3b Activity Plan'!$C$173:$C$365=$M$130)*1)</f>
        <v>0</v>
      </c>
      <c r="N140" s="1558">
        <f ca="1">SUMPRODUCT('3b Activity Plan'!$AN$173:$AN$365,OFFSET('3b Activity Plan'!$DJ$173:$DJ$365,0,$CU140-1),'3b Activity Plan'!AP$173:AP$365,'3b Activity Plan'!$AH$173:$AH$365,'3b Activity Plan'!$CY$173:$CY$365,('3b Activity Plan'!$C$173:$C$365=$M$130)*1)</f>
        <v>0</v>
      </c>
      <c r="O140" s="1558">
        <f ca="1">SUMPRODUCT('3b Activity Plan'!$AN$173:$AN$365,OFFSET('3b Activity Plan'!$DJ$173:$DJ$365,0,$CU140-1),'3b Activity Plan'!AQ$173:AQ$365,'3b Activity Plan'!$AH$173:$AH$365,'3b Activity Plan'!$CY$173:$CY$365,('3b Activity Plan'!$C$173:$C$365=$M$130)*1)</f>
        <v>0</v>
      </c>
      <c r="P140" s="1558">
        <f ca="1">SUMPRODUCT('3b Activity Plan'!$AN$173:$AN$365,OFFSET('3b Activity Plan'!$DJ$173:$DJ$365,0,$CU140-1),'3b Activity Plan'!AR$173:AR$365,'3b Activity Plan'!$AH$173:$AH$365,'3b Activity Plan'!$CY$173:$CY$365,('3b Activity Plan'!$C$173:$C$365=$M$130)*1)</f>
        <v>0</v>
      </c>
      <c r="Q140" s="1558">
        <f ca="1">SUMPRODUCT('3b Activity Plan'!$AN$173:$AN$365,OFFSET('3b Activity Plan'!$DJ$173:$DJ$365,0,$CU140-1),'3b Activity Plan'!AS$173:AS$365,'3b Activity Plan'!$AH$173:$AH$365,'3b Activity Plan'!$CY$173:$CY$365,('3b Activity Plan'!$C$173:$C$365=$M$130)*1)</f>
        <v>0</v>
      </c>
      <c r="R140" s="1558">
        <f ca="1">SUMPRODUCT('3b Activity Plan'!$AN$173:$AN$365,OFFSET('3b Activity Plan'!$DJ$173:$DJ$365,0,$CU140-1),'3b Activity Plan'!AT$173:AT$365,'3b Activity Plan'!$AH$173:$AH$365,'3b Activity Plan'!$CY$173:$CY$365,('3b Activity Plan'!$C$173:$C$365=$M$130)*1)</f>
        <v>0</v>
      </c>
      <c r="S140" s="1558">
        <f ca="1">SUMPRODUCT('3b Activity Plan'!$AN$173:$AN$365,OFFSET('3b Activity Plan'!$DJ$173:$DJ$365,0,$CU140-1),'3b Activity Plan'!AU$173:AU$365,'3b Activity Plan'!$AH$173:$AH$365,'3b Activity Plan'!$CY$173:$CY$365,('3b Activity Plan'!$C$173:$C$365=$M$130)*1)</f>
        <v>0</v>
      </c>
      <c r="T140" s="1558">
        <f ca="1">SUMPRODUCT('3b Activity Plan'!$AN$173:$AN$365,OFFSET('3b Activity Plan'!$DJ$173:$DJ$365,0,$CU140-1),'3b Activity Plan'!AV$173:AV$365,'3b Activity Plan'!$AH$173:$AH$365,'3b Activity Plan'!$CY$173:$CY$365,('3b Activity Plan'!$C$173:$C$365=$M$130)*1)</f>
        <v>0</v>
      </c>
      <c r="U140" s="1558">
        <f ca="1">SUMPRODUCT('3b Activity Plan'!$AN$173:$AN$365,OFFSET('3b Activity Plan'!$DJ$173:$DJ$365,0,$CU140-1),'3b Activity Plan'!AW$173:AW$365,'3b Activity Plan'!$AH$173:$AH$365,'3b Activity Plan'!$CY$173:$CY$365,('3b Activity Plan'!$C$173:$C$365=$M$130)*1)</f>
        <v>0</v>
      </c>
      <c r="V140" s="1601">
        <f ca="1">SUMPRODUCT('3b Activity Plan'!$AN$173:$AN$365,OFFSET('3b Activity Plan'!$DJ$173:$DJ$365,0,$CU140-1),'3b Activity Plan'!AX$173:AX$365,'3b Activity Plan'!$AH$173:$AH$365,'3b Activity Plan'!$CY$173:$CY$365,('3b Activity Plan'!$C$173:$C$365=$M$130)*1)</f>
        <v>0</v>
      </c>
      <c r="W140" s="1602">
        <f ca="1">SUMPRODUCT('3b Activity Plan'!$AN$173:$AN$365,OFFSET('3b Activity Plan'!$DJ$173:$DJ$365,0,$CU140-1),'3b Activity Plan'!AO$173:AO$365,'3b Activity Plan'!$AH$173:$AH$365,'3b Activity Plan'!$CY$173:$CY$365,('3b Activity Plan'!$C$173:$C$365=$W$130)*1)</f>
        <v>0</v>
      </c>
      <c r="X140" s="1558">
        <f ca="1">SUMPRODUCT('3b Activity Plan'!$AN$173:$AN$365,OFFSET('3b Activity Plan'!$DJ$173:$DJ$365,0,$CU140-1),'3b Activity Plan'!AP$173:AP$365,'3b Activity Plan'!$AH$173:$AH$365,'3b Activity Plan'!$CY$173:$CY$365,('3b Activity Plan'!$C$173:$C$365=$W$130)*1)</f>
        <v>0</v>
      </c>
      <c r="Y140" s="1558">
        <f ca="1">SUMPRODUCT('3b Activity Plan'!$AN$173:$AN$365,OFFSET('3b Activity Plan'!$DJ$173:$DJ$365,0,$CU140-1),'3b Activity Plan'!AQ$173:AQ$365,'3b Activity Plan'!$AH$173:$AH$365,'3b Activity Plan'!$CY$173:$CY$365,('3b Activity Plan'!$C$173:$C$365=$W$130)*1)</f>
        <v>0</v>
      </c>
      <c r="Z140" s="1558">
        <f ca="1">SUMPRODUCT('3b Activity Plan'!$AN$173:$AN$365,OFFSET('3b Activity Plan'!$DJ$173:$DJ$365,0,$CU140-1),'3b Activity Plan'!AR$173:AR$365,'3b Activity Plan'!$AH$173:$AH$365,'3b Activity Plan'!$CY$173:$CY$365,('3b Activity Plan'!$C$173:$C$365=$W$130)*1)</f>
        <v>0</v>
      </c>
      <c r="AA140" s="1558">
        <f ca="1">SUMPRODUCT('3b Activity Plan'!$AN$173:$AN$365,OFFSET('3b Activity Plan'!$DJ$173:$DJ$365,0,$CU140-1),'3b Activity Plan'!AS$173:AS$365,'3b Activity Plan'!$AH$173:$AH$365,'3b Activity Plan'!$CY$173:$CY$365,('3b Activity Plan'!$C$173:$C$365=$W$130)*1)</f>
        <v>0</v>
      </c>
      <c r="AB140" s="1558">
        <f ca="1">SUMPRODUCT('3b Activity Plan'!$AN$173:$AN$365,OFFSET('3b Activity Plan'!$DJ$173:$DJ$365,0,$CU140-1),'3b Activity Plan'!AT$173:AT$365,'3b Activity Plan'!$AH$173:$AH$365,'3b Activity Plan'!$CY$173:$CY$365,('3b Activity Plan'!$C$173:$C$365=$W$130)*1)</f>
        <v>0</v>
      </c>
      <c r="AC140" s="1558">
        <f ca="1">SUMPRODUCT('3b Activity Plan'!$AN$173:$AN$365,OFFSET('3b Activity Plan'!$DJ$173:$DJ$365,0,$CU140-1),'3b Activity Plan'!AU$173:AU$365,'3b Activity Plan'!$AH$173:$AH$365,'3b Activity Plan'!$CY$173:$CY$365,('3b Activity Plan'!$C$173:$C$365=$W$130)*1)</f>
        <v>0</v>
      </c>
      <c r="AD140" s="1558">
        <f ca="1">SUMPRODUCT('3b Activity Plan'!$AN$173:$AN$365,OFFSET('3b Activity Plan'!$DJ$173:$DJ$365,0,$CU140-1),'3b Activity Plan'!AV$173:AV$365,'3b Activity Plan'!$AH$173:$AH$365,'3b Activity Plan'!$CY$173:$CY$365,('3b Activity Plan'!$C$173:$C$365=$W$130)*1)</f>
        <v>0</v>
      </c>
      <c r="AE140" s="1558">
        <f ca="1">SUMPRODUCT('3b Activity Plan'!$AN$173:$AN$365,OFFSET('3b Activity Plan'!$DJ$173:$DJ$365,0,$CU140-1),'3b Activity Plan'!AW$173:AW$365,'3b Activity Plan'!$AH$173:$AH$365,'3b Activity Plan'!$CY$173:$CY$365,('3b Activity Plan'!$C$173:$C$365=$W$130)*1)</f>
        <v>0</v>
      </c>
      <c r="AF140" s="1558">
        <f ca="1">SUMPRODUCT('3b Activity Plan'!$AN$173:$AN$365,OFFSET('3b Activity Plan'!$DJ$173:$DJ$365,0,$CU140-1),'3b Activity Plan'!AX$173:AX$365,'3b Activity Plan'!$AH$173:$AH$365,'3b Activity Plan'!$CY$173:$CY$365,('3b Activity Plan'!$C$173:$C$365=$W$130)*1)</f>
        <v>0</v>
      </c>
      <c r="AG140" s="1602">
        <f ca="1">SUMPRODUCT('3b Activity Plan'!$AN$173:$AN$365,OFFSET('3b Activity Plan'!$DJ$173:$DJ$365,0,$CU140-1),'3b Activity Plan'!AO$173:AO$365,'3b Activity Plan'!$AH$173:$AH$365,'3b Activity Plan'!$CY$173:$CY$365,('3b Activity Plan'!$C$173:$C$365=$AG$130)*1)</f>
        <v>0</v>
      </c>
      <c r="AH140" s="1558">
        <f ca="1">SUMPRODUCT('3b Activity Plan'!$AN$173:$AN$365,OFFSET('3b Activity Plan'!$DJ$173:$DJ$365,0,$CU140-1),'3b Activity Plan'!AP$173:AP$365,'3b Activity Plan'!$AH$173:$AH$365,'3b Activity Plan'!$CY$173:$CY$365,('3b Activity Plan'!$C$173:$C$365=$AG$130)*1)</f>
        <v>0</v>
      </c>
      <c r="AI140" s="1558">
        <f ca="1">SUMPRODUCT('3b Activity Plan'!$AN$173:$AN$365,OFFSET('3b Activity Plan'!$DJ$173:$DJ$365,0,$CU140-1),'3b Activity Plan'!AQ$173:AQ$365,'3b Activity Plan'!$AH$173:$AH$365,'3b Activity Plan'!$CY$173:$CY$365,('3b Activity Plan'!$C$173:$C$365=$AG$130)*1)</f>
        <v>0</v>
      </c>
      <c r="AJ140" s="1558">
        <f ca="1">SUMPRODUCT('3b Activity Plan'!$AN$173:$AN$365,OFFSET('3b Activity Plan'!$DJ$173:$DJ$365,0,$CU140-1),'3b Activity Plan'!AR$173:AR$365,'3b Activity Plan'!$AH$173:$AH$365,'3b Activity Plan'!$CY$173:$CY$365,('3b Activity Plan'!$C$173:$C$365=$AG$130)*1)</f>
        <v>0</v>
      </c>
      <c r="AK140" s="1558">
        <f ca="1">SUMPRODUCT('3b Activity Plan'!$AN$173:$AN$365,OFFSET('3b Activity Plan'!$DJ$173:$DJ$365,0,$CU140-1),'3b Activity Plan'!AS$173:AS$365,'3b Activity Plan'!$AH$173:$AH$365,'3b Activity Plan'!$CY$173:$CY$365,('3b Activity Plan'!$C$173:$C$365=$AG$130)*1)</f>
        <v>0</v>
      </c>
      <c r="AL140" s="1558">
        <f ca="1">SUMPRODUCT('3b Activity Plan'!$AN$173:$AN$365,OFFSET('3b Activity Plan'!$DJ$173:$DJ$365,0,$CU140-1),'3b Activity Plan'!AT$173:AT$365,'3b Activity Plan'!$AH$173:$AH$365,'3b Activity Plan'!$CY$173:$CY$365,('3b Activity Plan'!$C$173:$C$365=$AG$130)*1)</f>
        <v>0</v>
      </c>
      <c r="AM140" s="1558">
        <f ca="1">SUMPRODUCT('3b Activity Plan'!$AN$173:$AN$365,OFFSET('3b Activity Plan'!$DJ$173:$DJ$365,0,$CU140-1),'3b Activity Plan'!AU$173:AU$365,'3b Activity Plan'!$AH$173:$AH$365,'3b Activity Plan'!$CY$173:$CY$365,('3b Activity Plan'!$C$173:$C$365=$AG$130)*1)</f>
        <v>0</v>
      </c>
      <c r="AN140" s="1558">
        <f ca="1">SUMPRODUCT('3b Activity Plan'!$AN$173:$AN$365,OFFSET('3b Activity Plan'!$DJ$173:$DJ$365,0,$CU140-1),'3b Activity Plan'!AV$173:AV$365,'3b Activity Plan'!$AH$173:$AH$365,'3b Activity Plan'!$CY$173:$CY$365,('3b Activity Plan'!$C$173:$C$365=$AG$130)*1)</f>
        <v>0</v>
      </c>
      <c r="AO140" s="1558">
        <f ca="1">SUMPRODUCT('3b Activity Plan'!$AN$173:$AN$365,OFFSET('3b Activity Plan'!$DJ$173:$DJ$365,0,$CU140-1),'3b Activity Plan'!AW$173:AW$365,'3b Activity Plan'!$AH$173:$AH$365,'3b Activity Plan'!$CY$173:$CY$365,('3b Activity Plan'!$C$173:$C$365=$AG$130)*1)</f>
        <v>0</v>
      </c>
      <c r="AP140" s="1558">
        <f ca="1">SUMPRODUCT('3b Activity Plan'!$AN$173:$AN$365,OFFSET('3b Activity Plan'!$DJ$173:$DJ$365,0,$CU140-1),'3b Activity Plan'!AX$173:AX$365,'3b Activity Plan'!$AH$173:$AH$365,'3b Activity Plan'!$CY$173:$CY$365,('3b Activity Plan'!$C$173:$C$365=$AG$130)*1)</f>
        <v>0</v>
      </c>
      <c r="AQ140" s="1602">
        <f ca="1">SUMPRODUCT('3b Activity Plan'!$AN$173:$AN$365,OFFSET('3b Activity Plan'!$DJ$173:$DJ$365,0,$CU140-1),'3b Activity Plan'!AO$173:AO$365,'3b Activity Plan'!$AH$173:$AH$365,'3b Activity Plan'!$CY$173:$CY$365,('3b Activity Plan'!$C$173:$C$365=$AQ$130)*1)</f>
        <v>0</v>
      </c>
      <c r="AR140" s="1558">
        <f ca="1">SUMPRODUCT('3b Activity Plan'!$AN$173:$AN$365,OFFSET('3b Activity Plan'!$DJ$173:$DJ$365,0,$CU140-1),'3b Activity Plan'!AP$173:AP$365,'3b Activity Plan'!$AH$173:$AH$365,'3b Activity Plan'!$CY$173:$CY$365,('3b Activity Plan'!$C$173:$C$365=$AQ$130)*1)</f>
        <v>0</v>
      </c>
      <c r="AS140" s="1558">
        <f ca="1">SUMPRODUCT('3b Activity Plan'!$AN$173:$AN$365,OFFSET('3b Activity Plan'!$DJ$173:$DJ$365,0,$CU140-1),'3b Activity Plan'!AQ$173:AQ$365,'3b Activity Plan'!$AH$173:$AH$365,'3b Activity Plan'!$CY$173:$CY$365,('3b Activity Plan'!$C$173:$C$365=$AQ$130)*1)</f>
        <v>0</v>
      </c>
      <c r="AT140" s="1558">
        <f ca="1">SUMPRODUCT('3b Activity Plan'!$AN$173:$AN$365,OFFSET('3b Activity Plan'!$DJ$173:$DJ$365,0,$CU140-1),'3b Activity Plan'!AR$173:AR$365,'3b Activity Plan'!$AH$173:$AH$365,'3b Activity Plan'!$CY$173:$CY$365,('3b Activity Plan'!$C$173:$C$365=$AQ$130)*1)</f>
        <v>0</v>
      </c>
      <c r="AU140" s="1558">
        <f ca="1">SUMPRODUCT('3b Activity Plan'!$AN$173:$AN$365,OFFSET('3b Activity Plan'!$DJ$173:$DJ$365,0,$CU140-1),'3b Activity Plan'!AS$173:AS$365,'3b Activity Plan'!$AH$173:$AH$365,'3b Activity Plan'!$CY$173:$CY$365,('3b Activity Plan'!$C$173:$C$365=$AQ$130)*1)</f>
        <v>0</v>
      </c>
      <c r="AV140" s="1558">
        <f ca="1">SUMPRODUCT('3b Activity Plan'!$AN$173:$AN$365,OFFSET('3b Activity Plan'!$DJ$173:$DJ$365,0,$CU140-1),'3b Activity Plan'!AT$173:AT$365,'3b Activity Plan'!$AH$173:$AH$365,'3b Activity Plan'!$CY$173:$CY$365,('3b Activity Plan'!$C$173:$C$365=$AQ$130)*1)</f>
        <v>0</v>
      </c>
      <c r="AW140" s="1558">
        <f ca="1">SUMPRODUCT('3b Activity Plan'!$AN$173:$AN$365,OFFSET('3b Activity Plan'!$DJ$173:$DJ$365,0,$CU140-1),'3b Activity Plan'!AU$173:AU$365,'3b Activity Plan'!$AH$173:$AH$365,'3b Activity Plan'!$CY$173:$CY$365,('3b Activity Plan'!$C$173:$C$365=$AQ$130)*1)</f>
        <v>0</v>
      </c>
      <c r="AX140" s="1558">
        <f ca="1">SUMPRODUCT('3b Activity Plan'!$AN$173:$AN$365,OFFSET('3b Activity Plan'!$DJ$173:$DJ$365,0,$CU140-1),'3b Activity Plan'!AV$173:AV$365,'3b Activity Plan'!$AH$173:$AH$365,'3b Activity Plan'!$CY$173:$CY$365,('3b Activity Plan'!$C$173:$C$365=$AQ$130)*1)</f>
        <v>0</v>
      </c>
      <c r="AY140" s="1558">
        <f ca="1">SUMPRODUCT('3b Activity Plan'!$AN$173:$AN$365,OFFSET('3b Activity Plan'!$DJ$173:$DJ$365,0,$CU140-1),'3b Activity Plan'!AW$173:AW$365,'3b Activity Plan'!$AH$173:$AH$365,'3b Activity Plan'!$CY$173:$CY$365,('3b Activity Plan'!$C$173:$C$365=$AQ$130)*1)</f>
        <v>0</v>
      </c>
      <c r="AZ140" s="1558">
        <f ca="1">SUMPRODUCT('3b Activity Plan'!$AN$173:$AN$365,OFFSET('3b Activity Plan'!$DJ$173:$DJ$365,0,$CU140-1),'3b Activity Plan'!AX$173:AX$365,'3b Activity Plan'!$AH$173:$AH$365,'3b Activity Plan'!$CY$173:$CY$365,('3b Activity Plan'!$C$173:$C$365=$AQ$130)*1)</f>
        <v>0</v>
      </c>
      <c r="BA140" s="1602">
        <f ca="1">SUMPRODUCT('3b Activity Plan'!$AN$173:$AN$365,OFFSET('3b Activity Plan'!$DJ$173:$DJ$365,0,$CU140-1),'3b Activity Plan'!AO$173:AO$365,'3b Activity Plan'!$AH$173:$AH$365,'3b Activity Plan'!$CY$173:$CY$365,('3b Activity Plan'!$C$173:$C$365=$BA$130)*1)</f>
        <v>0</v>
      </c>
      <c r="BB140" s="1558">
        <f ca="1">SUMPRODUCT('3b Activity Plan'!$AN$173:$AN$365,OFFSET('3b Activity Plan'!$DJ$173:$DJ$365,0,$CU140-1),'3b Activity Plan'!AP$173:AP$365,'3b Activity Plan'!$AH$173:$AH$365,'3b Activity Plan'!$CY$173:$CY$365,('3b Activity Plan'!$C$173:$C$365=$BA$130)*1)</f>
        <v>0</v>
      </c>
      <c r="BC140" s="1558">
        <f ca="1">SUMPRODUCT('3b Activity Plan'!$AN$173:$AN$365,OFFSET('3b Activity Plan'!$DJ$173:$DJ$365,0,$CU140-1),'3b Activity Plan'!AQ$173:AQ$365,'3b Activity Plan'!$AH$173:$AH$365,'3b Activity Plan'!$CY$173:$CY$365,('3b Activity Plan'!$C$173:$C$365=$BA$130)*1)</f>
        <v>0</v>
      </c>
      <c r="BD140" s="1558">
        <f ca="1">SUMPRODUCT('3b Activity Plan'!$AN$173:$AN$365,OFFSET('3b Activity Plan'!$DJ$173:$DJ$365,0,$CU140-1),'3b Activity Plan'!AR$173:AR$365,'3b Activity Plan'!$AH$173:$AH$365,'3b Activity Plan'!$CY$173:$CY$365,('3b Activity Plan'!$C$173:$C$365=$BA$130)*1)</f>
        <v>0</v>
      </c>
      <c r="BE140" s="1558">
        <f ca="1">SUMPRODUCT('3b Activity Plan'!$AN$173:$AN$365,OFFSET('3b Activity Plan'!$DJ$173:$DJ$365,0,$CU140-1),'3b Activity Plan'!AS$173:AS$365,'3b Activity Plan'!$AH$173:$AH$365,'3b Activity Plan'!$CY$173:$CY$365,('3b Activity Plan'!$C$173:$C$365=$BA$130)*1)</f>
        <v>0</v>
      </c>
      <c r="BF140" s="1558">
        <f ca="1">SUMPRODUCT('3b Activity Plan'!$AN$173:$AN$365,OFFSET('3b Activity Plan'!$DJ$173:$DJ$365,0,$CU140-1),'3b Activity Plan'!AT$173:AT$365,'3b Activity Plan'!$AH$173:$AH$365,'3b Activity Plan'!$CY$173:$CY$365,('3b Activity Plan'!$C$173:$C$365=$BA$130)*1)</f>
        <v>0</v>
      </c>
      <c r="BG140" s="1558">
        <f ca="1">SUMPRODUCT('3b Activity Plan'!$AN$173:$AN$365,OFFSET('3b Activity Plan'!$DJ$173:$DJ$365,0,$CU140-1),'3b Activity Plan'!AU$173:AU$365,'3b Activity Plan'!$AH$173:$AH$365,'3b Activity Plan'!$CY$173:$CY$365,('3b Activity Plan'!$C$173:$C$365=$BA$130)*1)</f>
        <v>0</v>
      </c>
      <c r="BH140" s="1558">
        <f ca="1">SUMPRODUCT('3b Activity Plan'!$AN$173:$AN$365,OFFSET('3b Activity Plan'!$DJ$173:$DJ$365,0,$CU140-1),'3b Activity Plan'!AV$173:AV$365,'3b Activity Plan'!$AH$173:$AH$365,'3b Activity Plan'!$CY$173:$CY$365,('3b Activity Plan'!$C$173:$C$365=$BA$130)*1)</f>
        <v>0</v>
      </c>
      <c r="BI140" s="1558">
        <f ca="1">SUMPRODUCT('3b Activity Plan'!$AN$173:$AN$365,OFFSET('3b Activity Plan'!$DJ$173:$DJ$365,0,$CU140-1),'3b Activity Plan'!AW$173:AW$365,'3b Activity Plan'!$AH$173:$AH$365,'3b Activity Plan'!$CY$173:$CY$365,('3b Activity Plan'!$C$173:$C$365=$BA$130)*1)</f>
        <v>0</v>
      </c>
      <c r="BJ140" s="1558">
        <f ca="1">SUMPRODUCT('3b Activity Plan'!$AN$173:$AN$365,OFFSET('3b Activity Plan'!$DJ$173:$DJ$365,0,$CU140-1),'3b Activity Plan'!AX$173:AX$365,'3b Activity Plan'!$AH$173:$AH$365,'3b Activity Plan'!$CY$173:$CY$365,('3b Activity Plan'!$C$173:$C$365=$BA$130)*1)</f>
        <v>0</v>
      </c>
      <c r="BK140" s="1602">
        <f ca="1">SUMPRODUCT('3b Activity Plan'!$AN$173:$AN$365,OFFSET('3b Activity Plan'!$DJ$173:$DJ$365,0,$CU140-1),'3b Activity Plan'!AO$173:AO$365,'3b Activity Plan'!$AH$173:$AH$365,'3b Activity Plan'!$CY$173:$CY$365,('3b Activity Plan'!$C$173:$C$365=$BK$130)*1)</f>
        <v>0</v>
      </c>
      <c r="BL140" s="1558">
        <f ca="1">SUMPRODUCT('3b Activity Plan'!$AN$173:$AN$365,OFFSET('3b Activity Plan'!$DJ$173:$DJ$365,0,$CU140-1),'3b Activity Plan'!AP$173:AP$365,'3b Activity Plan'!$AH$173:$AH$365,'3b Activity Plan'!$CY$173:$CY$365,('3b Activity Plan'!$C$173:$C$365=$BK$130)*1)</f>
        <v>0</v>
      </c>
      <c r="BM140" s="1558">
        <f ca="1">SUMPRODUCT('3b Activity Plan'!$AN$173:$AN$365,OFFSET('3b Activity Plan'!$DJ$173:$DJ$365,0,$CU140-1),'3b Activity Plan'!AQ$173:AQ$365,'3b Activity Plan'!$AH$173:$AH$365,'3b Activity Plan'!$CY$173:$CY$365,('3b Activity Plan'!$C$173:$C$365=$BK$130)*1)</f>
        <v>0</v>
      </c>
      <c r="BN140" s="1558">
        <f ca="1">SUMPRODUCT('3b Activity Plan'!$AN$173:$AN$365,OFFSET('3b Activity Plan'!$DJ$173:$DJ$365,0,$CU140-1),'3b Activity Plan'!AR$173:AR$365,'3b Activity Plan'!$AH$173:$AH$365,'3b Activity Plan'!$CY$173:$CY$365,('3b Activity Plan'!$C$173:$C$365=$BK$130)*1)</f>
        <v>0</v>
      </c>
      <c r="BO140" s="1558">
        <f ca="1">SUMPRODUCT('3b Activity Plan'!$AN$173:$AN$365,OFFSET('3b Activity Plan'!$DJ$173:$DJ$365,0,$CU140-1),'3b Activity Plan'!AS$173:AS$365,'3b Activity Plan'!$AH$173:$AH$365,'3b Activity Plan'!$CY$173:$CY$365,('3b Activity Plan'!$C$173:$C$365=$BK$130)*1)</f>
        <v>0</v>
      </c>
      <c r="BP140" s="1558">
        <f ca="1">SUMPRODUCT('3b Activity Plan'!$AN$173:$AN$365,OFFSET('3b Activity Plan'!$DJ$173:$DJ$365,0,$CU140-1),'3b Activity Plan'!AT$173:AT$365,'3b Activity Plan'!$AH$173:$AH$365,'3b Activity Plan'!$CY$173:$CY$365,('3b Activity Plan'!$C$173:$C$365=$BK$130)*1)</f>
        <v>0</v>
      </c>
      <c r="BQ140" s="1558">
        <f ca="1">SUMPRODUCT('3b Activity Plan'!$AN$173:$AN$365,OFFSET('3b Activity Plan'!$DJ$173:$DJ$365,0,$CU140-1),'3b Activity Plan'!AU$173:AU$365,'3b Activity Plan'!$AH$173:$AH$365,'3b Activity Plan'!$CY$173:$CY$365,('3b Activity Plan'!$C$173:$C$365=$BK$130)*1)</f>
        <v>0</v>
      </c>
      <c r="BR140" s="1558">
        <f ca="1">SUMPRODUCT('3b Activity Plan'!$AN$173:$AN$365,OFFSET('3b Activity Plan'!$DJ$173:$DJ$365,0,$CU140-1),'3b Activity Plan'!AV$173:AV$365,'3b Activity Plan'!$AH$173:$AH$365,'3b Activity Plan'!$CY$173:$CY$365,('3b Activity Plan'!$C$173:$C$365=$BK$130)*1)</f>
        <v>0</v>
      </c>
      <c r="BS140" s="1558">
        <f ca="1">SUMPRODUCT('3b Activity Plan'!$AN$173:$AN$365,OFFSET('3b Activity Plan'!$DJ$173:$DJ$365,0,$CU140-1),'3b Activity Plan'!AW$173:AW$365,'3b Activity Plan'!$AH$173:$AH$365,'3b Activity Plan'!$CY$173:$CY$365,('3b Activity Plan'!$C$173:$C$365=$BK$130)*1)</f>
        <v>0</v>
      </c>
      <c r="BT140" s="1558">
        <f ca="1">SUMPRODUCT('3b Activity Plan'!$AN$173:$AN$365,OFFSET('3b Activity Plan'!$DJ$173:$DJ$365,0,$CU140-1),'3b Activity Plan'!AX$173:AX$365,'3b Activity Plan'!$AH$173:$AH$365,'3b Activity Plan'!$CY$173:$CY$365,('3b Activity Plan'!$C$173:$C$365=$BK$130)*1)</f>
        <v>0</v>
      </c>
      <c r="BU140" s="1587"/>
      <c r="BV140" s="1587"/>
      <c r="BW140" s="1587"/>
      <c r="BX140" s="1556"/>
      <c r="BY140" s="1556"/>
      <c r="BZ140" s="1556"/>
      <c r="CA140" s="1024">
        <f ca="1">SUMIFS('3a Staff Plan'!$T$129:$T$305,'3a Staff Plan'!$DY$129:$DY$305,CZ140,'3a Staff Plan'!$DF$129:$DF$305,1)</f>
        <v>0</v>
      </c>
      <c r="CB140" s="1025">
        <f ca="1">SUMIFS('3a Staff Plan'!$T$129:$T$305,'3a Staff Plan'!$DY$129:$DY$305,$CZ140,'3a Staff Plan'!$DF$129:$DF$305,1,'3a Staff Plan'!$C$129:$C$305,DC$18)</f>
        <v>0</v>
      </c>
      <c r="CC140" s="1026">
        <f ca="1">SUMIFS('3a Staff Plan'!$T$129:$T$305,'3a Staff Plan'!$DY$129:$DY$305,$CZ140,'3a Staff Plan'!$DF$129:$DF$305,1,'3a Staff Plan'!$C$129:$C$305,DD$18)</f>
        <v>0</v>
      </c>
      <c r="CD140" s="1026">
        <f ca="1">SUMIFS('3a Staff Plan'!$T$129:$T$305,'3a Staff Plan'!$DY$129:$DY$305,$CZ140,'3a Staff Plan'!$DF$129:$DF$305,1,'3a Staff Plan'!$C$129:$C$305,DE$18)</f>
        <v>0</v>
      </c>
      <c r="CE140" s="1026">
        <f ca="1">SUMIFS('3a Staff Plan'!$T$129:$T$305,'3a Staff Plan'!$DY$129:$DY$305,$CZ140,'3a Staff Plan'!$DF$129:$DF$305,1,'3a Staff Plan'!$C$129:$C$305,DF$18)</f>
        <v>0</v>
      </c>
      <c r="CF140" s="1026">
        <f ca="1">SUMIFS('3a Staff Plan'!$T$129:$T$305,'3a Staff Plan'!$DY$129:$DY$305,$CZ140,'3a Staff Plan'!$DF$129:$DF$305,1,'3a Staff Plan'!$C$129:$C$305,DG$18)</f>
        <v>0</v>
      </c>
      <c r="CG140" s="1026">
        <f ca="1">SUMIFS('3a Staff Plan'!$T$129:$T$305,'3a Staff Plan'!$DY$129:$DY$305,$CZ140,'3a Staff Plan'!$DF$129:$DF$305,1,'3a Staff Plan'!$C$129:$C$305,DH$18)</f>
        <v>0</v>
      </c>
      <c r="CH140" s="1026">
        <f ca="1">SUMIFS('3a Staff Plan'!$T$129:$T$305,'3a Staff Plan'!$DY$129:$DY$305,$CZ140,'3a Staff Plan'!$DF$129:$DF$305,1,'3a Staff Plan'!$C$129:$C$305,DI$18)</f>
        <v>0</v>
      </c>
      <c r="CI140" s="755"/>
      <c r="CJ140" s="1024">
        <f ca="1">SUMPRODUCT('3b Activity Plan'!$AN$173:$AN$365,'3b Activity Plan'!$CY$173:$CY$365,'3b Activity Plan'!$AH$173:$AH$365,OFFSET('3b Activity Plan'!$DJ$173:$DJ$365,0,$CU140-1))</f>
        <v>384</v>
      </c>
      <c r="CK140" s="1025">
        <f t="shared" ca="1" si="93"/>
        <v>0</v>
      </c>
      <c r="CL140" s="1026">
        <f t="shared" ca="1" si="94"/>
        <v>0</v>
      </c>
      <c r="CM140" s="1026">
        <f t="shared" ca="1" si="95"/>
        <v>0</v>
      </c>
      <c r="CN140" s="1026">
        <f t="shared" ca="1" si="96"/>
        <v>0</v>
      </c>
      <c r="CO140" s="1026">
        <f t="shared" ca="1" si="97"/>
        <v>0</v>
      </c>
      <c r="CP140" s="1026">
        <f t="shared" ca="1" si="98"/>
        <v>0</v>
      </c>
      <c r="CQ140" s="1026">
        <f t="shared" ca="1" si="99"/>
        <v>0</v>
      </c>
      <c r="CR140" s="417"/>
      <c r="CS140" s="417">
        <f t="shared" si="100"/>
        <v>8</v>
      </c>
      <c r="CT140" s="417">
        <f ca="1">OFFSET('2 Staff List'!$GU$64,CS140-1,0)</f>
        <v>8</v>
      </c>
      <c r="CU140" s="417">
        <f ca="1">IF(CZ140=0,0,IFERROR(INDEX('3b Activity Plan'!$DJ$20:$FH$20,MATCH(CT140,'3b Activity Plan'!$DJ$171:$FH$171,0)),0))</f>
        <v>8</v>
      </c>
      <c r="CV140" s="417">
        <f ca="1">INDEX('2 Staff List'!$HW$64:$HW$114,CT140)</f>
        <v>0</v>
      </c>
      <c r="CW140" s="417"/>
      <c r="CY140" s="927" t="str">
        <f ca="1">OFFSET('2 Staff List'!$HZ$64,CS140-1,0)</f>
        <v>L3A Project Manager</v>
      </c>
      <c r="CZ140" s="975" t="str">
        <f ca="1">OFFSET('2 Staff List'!$IA$64,CT140-1,0)</f>
        <v>Phillips, Stephen</v>
      </c>
      <c r="DA140" s="3840">
        <f t="shared" ca="1" si="92"/>
        <v>384</v>
      </c>
      <c r="DB140" s="3841"/>
      <c r="DC140" s="2408">
        <f t="shared" ca="1" si="85"/>
        <v>0</v>
      </c>
      <c r="DD140" s="2405">
        <f t="shared" ca="1" si="86"/>
        <v>0</v>
      </c>
      <c r="DE140" s="2405">
        <f t="shared" ca="1" si="87"/>
        <v>0</v>
      </c>
      <c r="DF140" s="2405">
        <f t="shared" ca="1" si="88"/>
        <v>0</v>
      </c>
      <c r="DG140" s="2405">
        <f t="shared" ca="1" si="89"/>
        <v>0</v>
      </c>
      <c r="DH140" s="2406">
        <f t="shared" ca="1" si="90"/>
        <v>0</v>
      </c>
      <c r="DI140" s="2407">
        <f t="shared" ca="1" si="91"/>
        <v>0</v>
      </c>
    </row>
    <row r="141" spans="1:113" ht="15.9" customHeight="1" x14ac:dyDescent="0.25">
      <c r="A141" s="1051"/>
      <c r="B141" s="1556"/>
      <c r="C141" s="1558">
        <f ca="1">SUMPRODUCT('3b Activity Plan'!$AN$173:$AN$365,OFFSET('3b Activity Plan'!$DJ$173:$DJ$365,0,$CU141-1),'3b Activity Plan'!AO$173:AO$365,'3b Activity Plan'!$AH$173:$AH$365,'3b Activity Plan'!$CY$173:$CY$365,('3b Activity Plan'!$C$173:$C$365=$C$130)*1)</f>
        <v>0</v>
      </c>
      <c r="D141" s="1558">
        <f ca="1">SUMPRODUCT('3b Activity Plan'!$AN$173:$AN$365,OFFSET('3b Activity Plan'!$DJ$173:$DJ$365,0,$CU141-1),'3b Activity Plan'!AP$173:AP$365,'3b Activity Plan'!$AH$173:$AH$365,'3b Activity Plan'!$CY$173:$CY$365,('3b Activity Plan'!$C$173:$C$365=$C$130)*1)</f>
        <v>0</v>
      </c>
      <c r="E141" s="1558">
        <f ca="1">SUMPRODUCT('3b Activity Plan'!$AN$173:$AN$365,OFFSET('3b Activity Plan'!$DJ$173:$DJ$365,0,$CU141-1),'3b Activity Plan'!AQ$173:AQ$365,'3b Activity Plan'!$AH$173:$AH$365,'3b Activity Plan'!$CY$173:$CY$365,('3b Activity Plan'!$C$173:$C$365=$C$130)*1)</f>
        <v>0</v>
      </c>
      <c r="F141" s="1558">
        <f ca="1">SUMPRODUCT('3b Activity Plan'!$AN$173:$AN$365,OFFSET('3b Activity Plan'!$DJ$173:$DJ$365,0,$CU141-1),'3b Activity Plan'!AR$173:AR$365,'3b Activity Plan'!$AH$173:$AH$365,'3b Activity Plan'!$CY$173:$CY$365,('3b Activity Plan'!$C$173:$C$365=$C$130)*1)</f>
        <v>0</v>
      </c>
      <c r="G141" s="1558">
        <f ca="1">SUMPRODUCT('3b Activity Plan'!$AN$173:$AN$365,OFFSET('3b Activity Plan'!$DJ$173:$DJ$365,0,$CU141-1),'3b Activity Plan'!AS$173:AS$365,'3b Activity Plan'!$AH$173:$AH$365,'3b Activity Plan'!$CY$173:$CY$365,('3b Activity Plan'!$C$173:$C$365=$C$130)*1)</f>
        <v>0</v>
      </c>
      <c r="H141" s="1558">
        <f ca="1">SUMPRODUCT('3b Activity Plan'!$AN$173:$AN$365,OFFSET('3b Activity Plan'!$DJ$173:$DJ$365,0,$CU141-1),'3b Activity Plan'!AT$173:AT$365,'3b Activity Plan'!$AH$173:$AH$365,'3b Activity Plan'!$CY$173:$CY$365,('3b Activity Plan'!$C$173:$C$365=$C$130)*1)</f>
        <v>0</v>
      </c>
      <c r="I141" s="1558">
        <f ca="1">SUMPRODUCT('3b Activity Plan'!$AN$173:$AN$365,OFFSET('3b Activity Plan'!$DJ$173:$DJ$365,0,$CU141-1),'3b Activity Plan'!AU$173:AU$365,'3b Activity Plan'!$AH$173:$AH$365,'3b Activity Plan'!$CY$173:$CY$365,('3b Activity Plan'!$C$173:$C$365=$C$130)*1)</f>
        <v>0</v>
      </c>
      <c r="J141" s="1558">
        <f ca="1">SUMPRODUCT('3b Activity Plan'!$AN$173:$AN$365,OFFSET('3b Activity Plan'!$DJ$173:$DJ$365,0,$CU141-1),'3b Activity Plan'!AV$173:AV$365,'3b Activity Plan'!$AH$173:$AH$365,'3b Activity Plan'!$CY$173:$CY$365,('3b Activity Plan'!$C$173:$C$365=$C$130)*1)</f>
        <v>0</v>
      </c>
      <c r="K141" s="1558">
        <f ca="1">SUMPRODUCT('3b Activity Plan'!$AN$173:$AN$365,OFFSET('3b Activity Plan'!$DJ$173:$DJ$365,0,$CU141-1),'3b Activity Plan'!AW$173:AW$365,'3b Activity Plan'!$AH$173:$AH$365,'3b Activity Plan'!$CY$173:$CY$365,('3b Activity Plan'!$C$173:$C$365=$C$130)*1)</f>
        <v>0</v>
      </c>
      <c r="L141" s="1601">
        <f ca="1">SUMPRODUCT('3b Activity Plan'!$AN$173:$AN$365,OFFSET('3b Activity Plan'!$DJ$173:$DJ$365,0,$CU141-1),'3b Activity Plan'!AX$173:AX$365,'3b Activity Plan'!$AH$173:$AH$365,'3b Activity Plan'!$CY$173:$CY$365,('3b Activity Plan'!$C$173:$C$365=$C$130)*1)</f>
        <v>0</v>
      </c>
      <c r="M141" s="1602">
        <f ca="1">SUMPRODUCT('3b Activity Plan'!$AN$173:$AN$365,OFFSET('3b Activity Plan'!$DJ$173:$DJ$365,0,$CU141-1),'3b Activity Plan'!AO$173:AO$365,'3b Activity Plan'!$AH$173:$AH$365,'3b Activity Plan'!$CY$173:$CY$365,('3b Activity Plan'!$C$173:$C$365=$M$130)*1)</f>
        <v>0</v>
      </c>
      <c r="N141" s="1558">
        <f ca="1">SUMPRODUCT('3b Activity Plan'!$AN$173:$AN$365,OFFSET('3b Activity Plan'!$DJ$173:$DJ$365,0,$CU141-1),'3b Activity Plan'!AP$173:AP$365,'3b Activity Plan'!$AH$173:$AH$365,'3b Activity Plan'!$CY$173:$CY$365,('3b Activity Plan'!$C$173:$C$365=$M$130)*1)</f>
        <v>0</v>
      </c>
      <c r="O141" s="1558">
        <f ca="1">SUMPRODUCT('3b Activity Plan'!$AN$173:$AN$365,OFFSET('3b Activity Plan'!$DJ$173:$DJ$365,0,$CU141-1),'3b Activity Plan'!AQ$173:AQ$365,'3b Activity Plan'!$AH$173:$AH$365,'3b Activity Plan'!$CY$173:$CY$365,('3b Activity Plan'!$C$173:$C$365=$M$130)*1)</f>
        <v>0</v>
      </c>
      <c r="P141" s="1558">
        <f ca="1">SUMPRODUCT('3b Activity Plan'!$AN$173:$AN$365,OFFSET('3b Activity Plan'!$DJ$173:$DJ$365,0,$CU141-1),'3b Activity Plan'!AR$173:AR$365,'3b Activity Plan'!$AH$173:$AH$365,'3b Activity Plan'!$CY$173:$CY$365,('3b Activity Plan'!$C$173:$C$365=$M$130)*1)</f>
        <v>0</v>
      </c>
      <c r="Q141" s="1558">
        <f ca="1">SUMPRODUCT('3b Activity Plan'!$AN$173:$AN$365,OFFSET('3b Activity Plan'!$DJ$173:$DJ$365,0,$CU141-1),'3b Activity Plan'!AS$173:AS$365,'3b Activity Plan'!$AH$173:$AH$365,'3b Activity Plan'!$CY$173:$CY$365,('3b Activity Plan'!$C$173:$C$365=$M$130)*1)</f>
        <v>0</v>
      </c>
      <c r="R141" s="1558">
        <f ca="1">SUMPRODUCT('3b Activity Plan'!$AN$173:$AN$365,OFFSET('3b Activity Plan'!$DJ$173:$DJ$365,0,$CU141-1),'3b Activity Plan'!AT$173:AT$365,'3b Activity Plan'!$AH$173:$AH$365,'3b Activity Plan'!$CY$173:$CY$365,('3b Activity Plan'!$C$173:$C$365=$M$130)*1)</f>
        <v>0</v>
      </c>
      <c r="S141" s="1558">
        <f ca="1">SUMPRODUCT('3b Activity Plan'!$AN$173:$AN$365,OFFSET('3b Activity Plan'!$DJ$173:$DJ$365,0,$CU141-1),'3b Activity Plan'!AU$173:AU$365,'3b Activity Plan'!$AH$173:$AH$365,'3b Activity Plan'!$CY$173:$CY$365,('3b Activity Plan'!$C$173:$C$365=$M$130)*1)</f>
        <v>0</v>
      </c>
      <c r="T141" s="1558">
        <f ca="1">SUMPRODUCT('3b Activity Plan'!$AN$173:$AN$365,OFFSET('3b Activity Plan'!$DJ$173:$DJ$365,0,$CU141-1),'3b Activity Plan'!AV$173:AV$365,'3b Activity Plan'!$AH$173:$AH$365,'3b Activity Plan'!$CY$173:$CY$365,('3b Activity Plan'!$C$173:$C$365=$M$130)*1)</f>
        <v>0</v>
      </c>
      <c r="U141" s="1558">
        <f ca="1">SUMPRODUCT('3b Activity Plan'!$AN$173:$AN$365,OFFSET('3b Activity Plan'!$DJ$173:$DJ$365,0,$CU141-1),'3b Activity Plan'!AW$173:AW$365,'3b Activity Plan'!$AH$173:$AH$365,'3b Activity Plan'!$CY$173:$CY$365,('3b Activity Plan'!$C$173:$C$365=$M$130)*1)</f>
        <v>0</v>
      </c>
      <c r="V141" s="1601">
        <f ca="1">SUMPRODUCT('3b Activity Plan'!$AN$173:$AN$365,OFFSET('3b Activity Plan'!$DJ$173:$DJ$365,0,$CU141-1),'3b Activity Plan'!AX$173:AX$365,'3b Activity Plan'!$AH$173:$AH$365,'3b Activity Plan'!$CY$173:$CY$365,('3b Activity Plan'!$C$173:$C$365=$M$130)*1)</f>
        <v>0</v>
      </c>
      <c r="W141" s="1602">
        <f ca="1">SUMPRODUCT('3b Activity Plan'!$AN$173:$AN$365,OFFSET('3b Activity Plan'!$DJ$173:$DJ$365,0,$CU141-1),'3b Activity Plan'!AO$173:AO$365,'3b Activity Plan'!$AH$173:$AH$365,'3b Activity Plan'!$CY$173:$CY$365,('3b Activity Plan'!$C$173:$C$365=$W$130)*1)</f>
        <v>0</v>
      </c>
      <c r="X141" s="1558">
        <f ca="1">SUMPRODUCT('3b Activity Plan'!$AN$173:$AN$365,OFFSET('3b Activity Plan'!$DJ$173:$DJ$365,0,$CU141-1),'3b Activity Plan'!AP$173:AP$365,'3b Activity Plan'!$AH$173:$AH$365,'3b Activity Plan'!$CY$173:$CY$365,('3b Activity Plan'!$C$173:$C$365=$W$130)*1)</f>
        <v>0</v>
      </c>
      <c r="Y141" s="1558">
        <f ca="1">SUMPRODUCT('3b Activity Plan'!$AN$173:$AN$365,OFFSET('3b Activity Plan'!$DJ$173:$DJ$365,0,$CU141-1),'3b Activity Plan'!AQ$173:AQ$365,'3b Activity Plan'!$AH$173:$AH$365,'3b Activity Plan'!$CY$173:$CY$365,('3b Activity Plan'!$C$173:$C$365=$W$130)*1)</f>
        <v>0</v>
      </c>
      <c r="Z141" s="1558">
        <f ca="1">SUMPRODUCT('3b Activity Plan'!$AN$173:$AN$365,OFFSET('3b Activity Plan'!$DJ$173:$DJ$365,0,$CU141-1),'3b Activity Plan'!AR$173:AR$365,'3b Activity Plan'!$AH$173:$AH$365,'3b Activity Plan'!$CY$173:$CY$365,('3b Activity Plan'!$C$173:$C$365=$W$130)*1)</f>
        <v>0</v>
      </c>
      <c r="AA141" s="1558">
        <f ca="1">SUMPRODUCT('3b Activity Plan'!$AN$173:$AN$365,OFFSET('3b Activity Plan'!$DJ$173:$DJ$365,0,$CU141-1),'3b Activity Plan'!AS$173:AS$365,'3b Activity Plan'!$AH$173:$AH$365,'3b Activity Plan'!$CY$173:$CY$365,('3b Activity Plan'!$C$173:$C$365=$W$130)*1)</f>
        <v>0</v>
      </c>
      <c r="AB141" s="1558">
        <f ca="1">SUMPRODUCT('3b Activity Plan'!$AN$173:$AN$365,OFFSET('3b Activity Plan'!$DJ$173:$DJ$365,0,$CU141-1),'3b Activity Plan'!AT$173:AT$365,'3b Activity Plan'!$AH$173:$AH$365,'3b Activity Plan'!$CY$173:$CY$365,('3b Activity Plan'!$C$173:$C$365=$W$130)*1)</f>
        <v>0</v>
      </c>
      <c r="AC141" s="1558">
        <f ca="1">SUMPRODUCT('3b Activity Plan'!$AN$173:$AN$365,OFFSET('3b Activity Plan'!$DJ$173:$DJ$365,0,$CU141-1),'3b Activity Plan'!AU$173:AU$365,'3b Activity Plan'!$AH$173:$AH$365,'3b Activity Plan'!$CY$173:$CY$365,('3b Activity Plan'!$C$173:$C$365=$W$130)*1)</f>
        <v>0</v>
      </c>
      <c r="AD141" s="1558">
        <f ca="1">SUMPRODUCT('3b Activity Plan'!$AN$173:$AN$365,OFFSET('3b Activity Plan'!$DJ$173:$DJ$365,0,$CU141-1),'3b Activity Plan'!AV$173:AV$365,'3b Activity Plan'!$AH$173:$AH$365,'3b Activity Plan'!$CY$173:$CY$365,('3b Activity Plan'!$C$173:$C$365=$W$130)*1)</f>
        <v>0</v>
      </c>
      <c r="AE141" s="1558">
        <f ca="1">SUMPRODUCT('3b Activity Plan'!$AN$173:$AN$365,OFFSET('3b Activity Plan'!$DJ$173:$DJ$365,0,$CU141-1),'3b Activity Plan'!AW$173:AW$365,'3b Activity Plan'!$AH$173:$AH$365,'3b Activity Plan'!$CY$173:$CY$365,('3b Activity Plan'!$C$173:$C$365=$W$130)*1)</f>
        <v>0</v>
      </c>
      <c r="AF141" s="1558">
        <f ca="1">SUMPRODUCT('3b Activity Plan'!$AN$173:$AN$365,OFFSET('3b Activity Plan'!$DJ$173:$DJ$365,0,$CU141-1),'3b Activity Plan'!AX$173:AX$365,'3b Activity Plan'!$AH$173:$AH$365,'3b Activity Plan'!$CY$173:$CY$365,('3b Activity Plan'!$C$173:$C$365=$W$130)*1)</f>
        <v>0</v>
      </c>
      <c r="AG141" s="1602">
        <f ca="1">SUMPRODUCT('3b Activity Plan'!$AN$173:$AN$365,OFFSET('3b Activity Plan'!$DJ$173:$DJ$365,0,$CU141-1),'3b Activity Plan'!AO$173:AO$365,'3b Activity Plan'!$AH$173:$AH$365,'3b Activity Plan'!$CY$173:$CY$365,('3b Activity Plan'!$C$173:$C$365=$AG$130)*1)</f>
        <v>0</v>
      </c>
      <c r="AH141" s="1558">
        <f ca="1">SUMPRODUCT('3b Activity Plan'!$AN$173:$AN$365,OFFSET('3b Activity Plan'!$DJ$173:$DJ$365,0,$CU141-1),'3b Activity Plan'!AP$173:AP$365,'3b Activity Plan'!$AH$173:$AH$365,'3b Activity Plan'!$CY$173:$CY$365,('3b Activity Plan'!$C$173:$C$365=$AG$130)*1)</f>
        <v>0</v>
      </c>
      <c r="AI141" s="1558">
        <f ca="1">SUMPRODUCT('3b Activity Plan'!$AN$173:$AN$365,OFFSET('3b Activity Plan'!$DJ$173:$DJ$365,0,$CU141-1),'3b Activity Plan'!AQ$173:AQ$365,'3b Activity Plan'!$AH$173:$AH$365,'3b Activity Plan'!$CY$173:$CY$365,('3b Activity Plan'!$C$173:$C$365=$AG$130)*1)</f>
        <v>0</v>
      </c>
      <c r="AJ141" s="1558">
        <f ca="1">SUMPRODUCT('3b Activity Plan'!$AN$173:$AN$365,OFFSET('3b Activity Plan'!$DJ$173:$DJ$365,0,$CU141-1),'3b Activity Plan'!AR$173:AR$365,'3b Activity Plan'!$AH$173:$AH$365,'3b Activity Plan'!$CY$173:$CY$365,('3b Activity Plan'!$C$173:$C$365=$AG$130)*1)</f>
        <v>0</v>
      </c>
      <c r="AK141" s="1558">
        <f ca="1">SUMPRODUCT('3b Activity Plan'!$AN$173:$AN$365,OFFSET('3b Activity Plan'!$DJ$173:$DJ$365,0,$CU141-1),'3b Activity Plan'!AS$173:AS$365,'3b Activity Plan'!$AH$173:$AH$365,'3b Activity Plan'!$CY$173:$CY$365,('3b Activity Plan'!$C$173:$C$365=$AG$130)*1)</f>
        <v>0</v>
      </c>
      <c r="AL141" s="1558">
        <f ca="1">SUMPRODUCT('3b Activity Plan'!$AN$173:$AN$365,OFFSET('3b Activity Plan'!$DJ$173:$DJ$365,0,$CU141-1),'3b Activity Plan'!AT$173:AT$365,'3b Activity Plan'!$AH$173:$AH$365,'3b Activity Plan'!$CY$173:$CY$365,('3b Activity Plan'!$C$173:$C$365=$AG$130)*1)</f>
        <v>0</v>
      </c>
      <c r="AM141" s="1558">
        <f ca="1">SUMPRODUCT('3b Activity Plan'!$AN$173:$AN$365,OFFSET('3b Activity Plan'!$DJ$173:$DJ$365,0,$CU141-1),'3b Activity Plan'!AU$173:AU$365,'3b Activity Plan'!$AH$173:$AH$365,'3b Activity Plan'!$CY$173:$CY$365,('3b Activity Plan'!$C$173:$C$365=$AG$130)*1)</f>
        <v>0</v>
      </c>
      <c r="AN141" s="1558">
        <f ca="1">SUMPRODUCT('3b Activity Plan'!$AN$173:$AN$365,OFFSET('3b Activity Plan'!$DJ$173:$DJ$365,0,$CU141-1),'3b Activity Plan'!AV$173:AV$365,'3b Activity Plan'!$AH$173:$AH$365,'3b Activity Plan'!$CY$173:$CY$365,('3b Activity Plan'!$C$173:$C$365=$AG$130)*1)</f>
        <v>0</v>
      </c>
      <c r="AO141" s="1558">
        <f ca="1">SUMPRODUCT('3b Activity Plan'!$AN$173:$AN$365,OFFSET('3b Activity Plan'!$DJ$173:$DJ$365,0,$CU141-1),'3b Activity Plan'!AW$173:AW$365,'3b Activity Plan'!$AH$173:$AH$365,'3b Activity Plan'!$CY$173:$CY$365,('3b Activity Plan'!$C$173:$C$365=$AG$130)*1)</f>
        <v>0</v>
      </c>
      <c r="AP141" s="1558">
        <f ca="1">SUMPRODUCT('3b Activity Plan'!$AN$173:$AN$365,OFFSET('3b Activity Plan'!$DJ$173:$DJ$365,0,$CU141-1),'3b Activity Plan'!AX$173:AX$365,'3b Activity Plan'!$AH$173:$AH$365,'3b Activity Plan'!$CY$173:$CY$365,('3b Activity Plan'!$C$173:$C$365=$AG$130)*1)</f>
        <v>0</v>
      </c>
      <c r="AQ141" s="1602">
        <f ca="1">SUMPRODUCT('3b Activity Plan'!$AN$173:$AN$365,OFFSET('3b Activity Plan'!$DJ$173:$DJ$365,0,$CU141-1),'3b Activity Plan'!AO$173:AO$365,'3b Activity Plan'!$AH$173:$AH$365,'3b Activity Plan'!$CY$173:$CY$365,('3b Activity Plan'!$C$173:$C$365=$AQ$130)*1)</f>
        <v>0</v>
      </c>
      <c r="AR141" s="1558">
        <f ca="1">SUMPRODUCT('3b Activity Plan'!$AN$173:$AN$365,OFFSET('3b Activity Plan'!$DJ$173:$DJ$365,0,$CU141-1),'3b Activity Plan'!AP$173:AP$365,'3b Activity Plan'!$AH$173:$AH$365,'3b Activity Plan'!$CY$173:$CY$365,('3b Activity Plan'!$C$173:$C$365=$AQ$130)*1)</f>
        <v>0</v>
      </c>
      <c r="AS141" s="1558">
        <f ca="1">SUMPRODUCT('3b Activity Plan'!$AN$173:$AN$365,OFFSET('3b Activity Plan'!$DJ$173:$DJ$365,0,$CU141-1),'3b Activity Plan'!AQ$173:AQ$365,'3b Activity Plan'!$AH$173:$AH$365,'3b Activity Plan'!$CY$173:$CY$365,('3b Activity Plan'!$C$173:$C$365=$AQ$130)*1)</f>
        <v>0</v>
      </c>
      <c r="AT141" s="1558">
        <f ca="1">SUMPRODUCT('3b Activity Plan'!$AN$173:$AN$365,OFFSET('3b Activity Plan'!$DJ$173:$DJ$365,0,$CU141-1),'3b Activity Plan'!AR$173:AR$365,'3b Activity Plan'!$AH$173:$AH$365,'3b Activity Plan'!$CY$173:$CY$365,('3b Activity Plan'!$C$173:$C$365=$AQ$130)*1)</f>
        <v>0</v>
      </c>
      <c r="AU141" s="1558">
        <f ca="1">SUMPRODUCT('3b Activity Plan'!$AN$173:$AN$365,OFFSET('3b Activity Plan'!$DJ$173:$DJ$365,0,$CU141-1),'3b Activity Plan'!AS$173:AS$365,'3b Activity Plan'!$AH$173:$AH$365,'3b Activity Plan'!$CY$173:$CY$365,('3b Activity Plan'!$C$173:$C$365=$AQ$130)*1)</f>
        <v>0</v>
      </c>
      <c r="AV141" s="1558">
        <f ca="1">SUMPRODUCT('3b Activity Plan'!$AN$173:$AN$365,OFFSET('3b Activity Plan'!$DJ$173:$DJ$365,0,$CU141-1),'3b Activity Plan'!AT$173:AT$365,'3b Activity Plan'!$AH$173:$AH$365,'3b Activity Plan'!$CY$173:$CY$365,('3b Activity Plan'!$C$173:$C$365=$AQ$130)*1)</f>
        <v>0</v>
      </c>
      <c r="AW141" s="1558">
        <f ca="1">SUMPRODUCT('3b Activity Plan'!$AN$173:$AN$365,OFFSET('3b Activity Plan'!$DJ$173:$DJ$365,0,$CU141-1),'3b Activity Plan'!AU$173:AU$365,'3b Activity Plan'!$AH$173:$AH$365,'3b Activity Plan'!$CY$173:$CY$365,('3b Activity Plan'!$C$173:$C$365=$AQ$130)*1)</f>
        <v>0</v>
      </c>
      <c r="AX141" s="1558">
        <f ca="1">SUMPRODUCT('3b Activity Plan'!$AN$173:$AN$365,OFFSET('3b Activity Plan'!$DJ$173:$DJ$365,0,$CU141-1),'3b Activity Plan'!AV$173:AV$365,'3b Activity Plan'!$AH$173:$AH$365,'3b Activity Plan'!$CY$173:$CY$365,('3b Activity Plan'!$C$173:$C$365=$AQ$130)*1)</f>
        <v>0</v>
      </c>
      <c r="AY141" s="1558">
        <f ca="1">SUMPRODUCT('3b Activity Plan'!$AN$173:$AN$365,OFFSET('3b Activity Plan'!$DJ$173:$DJ$365,0,$CU141-1),'3b Activity Plan'!AW$173:AW$365,'3b Activity Plan'!$AH$173:$AH$365,'3b Activity Plan'!$CY$173:$CY$365,('3b Activity Plan'!$C$173:$C$365=$AQ$130)*1)</f>
        <v>0</v>
      </c>
      <c r="AZ141" s="1558">
        <f ca="1">SUMPRODUCT('3b Activity Plan'!$AN$173:$AN$365,OFFSET('3b Activity Plan'!$DJ$173:$DJ$365,0,$CU141-1),'3b Activity Plan'!AX$173:AX$365,'3b Activity Plan'!$AH$173:$AH$365,'3b Activity Plan'!$CY$173:$CY$365,('3b Activity Plan'!$C$173:$C$365=$AQ$130)*1)</f>
        <v>0</v>
      </c>
      <c r="BA141" s="1602">
        <f ca="1">SUMPRODUCT('3b Activity Plan'!$AN$173:$AN$365,OFFSET('3b Activity Plan'!$DJ$173:$DJ$365,0,$CU141-1),'3b Activity Plan'!AO$173:AO$365,'3b Activity Plan'!$AH$173:$AH$365,'3b Activity Plan'!$CY$173:$CY$365,('3b Activity Plan'!$C$173:$C$365=$BA$130)*1)</f>
        <v>0</v>
      </c>
      <c r="BB141" s="1558">
        <f ca="1">SUMPRODUCT('3b Activity Plan'!$AN$173:$AN$365,OFFSET('3b Activity Plan'!$DJ$173:$DJ$365,0,$CU141-1),'3b Activity Plan'!AP$173:AP$365,'3b Activity Plan'!$AH$173:$AH$365,'3b Activity Plan'!$CY$173:$CY$365,('3b Activity Plan'!$C$173:$C$365=$BA$130)*1)</f>
        <v>0</v>
      </c>
      <c r="BC141" s="1558">
        <f ca="1">SUMPRODUCT('3b Activity Plan'!$AN$173:$AN$365,OFFSET('3b Activity Plan'!$DJ$173:$DJ$365,0,$CU141-1),'3b Activity Plan'!AQ$173:AQ$365,'3b Activity Plan'!$AH$173:$AH$365,'3b Activity Plan'!$CY$173:$CY$365,('3b Activity Plan'!$C$173:$C$365=$BA$130)*1)</f>
        <v>0</v>
      </c>
      <c r="BD141" s="1558">
        <f ca="1">SUMPRODUCT('3b Activity Plan'!$AN$173:$AN$365,OFFSET('3b Activity Plan'!$DJ$173:$DJ$365,0,$CU141-1),'3b Activity Plan'!AR$173:AR$365,'3b Activity Plan'!$AH$173:$AH$365,'3b Activity Plan'!$CY$173:$CY$365,('3b Activity Plan'!$C$173:$C$365=$BA$130)*1)</f>
        <v>0</v>
      </c>
      <c r="BE141" s="1558">
        <f ca="1">SUMPRODUCT('3b Activity Plan'!$AN$173:$AN$365,OFFSET('3b Activity Plan'!$DJ$173:$DJ$365,0,$CU141-1),'3b Activity Plan'!AS$173:AS$365,'3b Activity Plan'!$AH$173:$AH$365,'3b Activity Plan'!$CY$173:$CY$365,('3b Activity Plan'!$C$173:$C$365=$BA$130)*1)</f>
        <v>0</v>
      </c>
      <c r="BF141" s="1558">
        <f ca="1">SUMPRODUCT('3b Activity Plan'!$AN$173:$AN$365,OFFSET('3b Activity Plan'!$DJ$173:$DJ$365,0,$CU141-1),'3b Activity Plan'!AT$173:AT$365,'3b Activity Plan'!$AH$173:$AH$365,'3b Activity Plan'!$CY$173:$CY$365,('3b Activity Plan'!$C$173:$C$365=$BA$130)*1)</f>
        <v>0</v>
      </c>
      <c r="BG141" s="1558">
        <f ca="1">SUMPRODUCT('3b Activity Plan'!$AN$173:$AN$365,OFFSET('3b Activity Plan'!$DJ$173:$DJ$365,0,$CU141-1),'3b Activity Plan'!AU$173:AU$365,'3b Activity Plan'!$AH$173:$AH$365,'3b Activity Plan'!$CY$173:$CY$365,('3b Activity Plan'!$C$173:$C$365=$BA$130)*1)</f>
        <v>0</v>
      </c>
      <c r="BH141" s="1558">
        <f ca="1">SUMPRODUCT('3b Activity Plan'!$AN$173:$AN$365,OFFSET('3b Activity Plan'!$DJ$173:$DJ$365,0,$CU141-1),'3b Activity Plan'!AV$173:AV$365,'3b Activity Plan'!$AH$173:$AH$365,'3b Activity Plan'!$CY$173:$CY$365,('3b Activity Plan'!$C$173:$C$365=$BA$130)*1)</f>
        <v>0</v>
      </c>
      <c r="BI141" s="1558">
        <f ca="1">SUMPRODUCT('3b Activity Plan'!$AN$173:$AN$365,OFFSET('3b Activity Plan'!$DJ$173:$DJ$365,0,$CU141-1),'3b Activity Plan'!AW$173:AW$365,'3b Activity Plan'!$AH$173:$AH$365,'3b Activity Plan'!$CY$173:$CY$365,('3b Activity Plan'!$C$173:$C$365=$BA$130)*1)</f>
        <v>0</v>
      </c>
      <c r="BJ141" s="1558">
        <f ca="1">SUMPRODUCT('3b Activity Plan'!$AN$173:$AN$365,OFFSET('3b Activity Plan'!$DJ$173:$DJ$365,0,$CU141-1),'3b Activity Plan'!AX$173:AX$365,'3b Activity Plan'!$AH$173:$AH$365,'3b Activity Plan'!$CY$173:$CY$365,('3b Activity Plan'!$C$173:$C$365=$BA$130)*1)</f>
        <v>0</v>
      </c>
      <c r="BK141" s="1602">
        <f ca="1">SUMPRODUCT('3b Activity Plan'!$AN$173:$AN$365,OFFSET('3b Activity Plan'!$DJ$173:$DJ$365,0,$CU141-1),'3b Activity Plan'!AO$173:AO$365,'3b Activity Plan'!$AH$173:$AH$365,'3b Activity Plan'!$CY$173:$CY$365,('3b Activity Plan'!$C$173:$C$365=$BK$130)*1)</f>
        <v>0</v>
      </c>
      <c r="BL141" s="1558">
        <f ca="1">SUMPRODUCT('3b Activity Plan'!$AN$173:$AN$365,OFFSET('3b Activity Plan'!$DJ$173:$DJ$365,0,$CU141-1),'3b Activity Plan'!AP$173:AP$365,'3b Activity Plan'!$AH$173:$AH$365,'3b Activity Plan'!$CY$173:$CY$365,('3b Activity Plan'!$C$173:$C$365=$BK$130)*1)</f>
        <v>0</v>
      </c>
      <c r="BM141" s="1558">
        <f ca="1">SUMPRODUCT('3b Activity Plan'!$AN$173:$AN$365,OFFSET('3b Activity Plan'!$DJ$173:$DJ$365,0,$CU141-1),'3b Activity Plan'!AQ$173:AQ$365,'3b Activity Plan'!$AH$173:$AH$365,'3b Activity Plan'!$CY$173:$CY$365,('3b Activity Plan'!$C$173:$C$365=$BK$130)*1)</f>
        <v>0</v>
      </c>
      <c r="BN141" s="1558">
        <f ca="1">SUMPRODUCT('3b Activity Plan'!$AN$173:$AN$365,OFFSET('3b Activity Plan'!$DJ$173:$DJ$365,0,$CU141-1),'3b Activity Plan'!AR$173:AR$365,'3b Activity Plan'!$AH$173:$AH$365,'3b Activity Plan'!$CY$173:$CY$365,('3b Activity Plan'!$C$173:$C$365=$BK$130)*1)</f>
        <v>0</v>
      </c>
      <c r="BO141" s="1558">
        <f ca="1">SUMPRODUCT('3b Activity Plan'!$AN$173:$AN$365,OFFSET('3b Activity Plan'!$DJ$173:$DJ$365,0,$CU141-1),'3b Activity Plan'!AS$173:AS$365,'3b Activity Plan'!$AH$173:$AH$365,'3b Activity Plan'!$CY$173:$CY$365,('3b Activity Plan'!$C$173:$C$365=$BK$130)*1)</f>
        <v>0</v>
      </c>
      <c r="BP141" s="1558">
        <f ca="1">SUMPRODUCT('3b Activity Plan'!$AN$173:$AN$365,OFFSET('3b Activity Plan'!$DJ$173:$DJ$365,0,$CU141-1),'3b Activity Plan'!AT$173:AT$365,'3b Activity Plan'!$AH$173:$AH$365,'3b Activity Plan'!$CY$173:$CY$365,('3b Activity Plan'!$C$173:$C$365=$BK$130)*1)</f>
        <v>0</v>
      </c>
      <c r="BQ141" s="1558">
        <f ca="1">SUMPRODUCT('3b Activity Plan'!$AN$173:$AN$365,OFFSET('3b Activity Plan'!$DJ$173:$DJ$365,0,$CU141-1),'3b Activity Plan'!AU$173:AU$365,'3b Activity Plan'!$AH$173:$AH$365,'3b Activity Plan'!$CY$173:$CY$365,('3b Activity Plan'!$C$173:$C$365=$BK$130)*1)</f>
        <v>0</v>
      </c>
      <c r="BR141" s="1558">
        <f ca="1">SUMPRODUCT('3b Activity Plan'!$AN$173:$AN$365,OFFSET('3b Activity Plan'!$DJ$173:$DJ$365,0,$CU141-1),'3b Activity Plan'!AV$173:AV$365,'3b Activity Plan'!$AH$173:$AH$365,'3b Activity Plan'!$CY$173:$CY$365,('3b Activity Plan'!$C$173:$C$365=$BK$130)*1)</f>
        <v>0</v>
      </c>
      <c r="BS141" s="1558">
        <f ca="1">SUMPRODUCT('3b Activity Plan'!$AN$173:$AN$365,OFFSET('3b Activity Plan'!$DJ$173:$DJ$365,0,$CU141-1),'3b Activity Plan'!AW$173:AW$365,'3b Activity Plan'!$AH$173:$AH$365,'3b Activity Plan'!$CY$173:$CY$365,('3b Activity Plan'!$C$173:$C$365=$BK$130)*1)</f>
        <v>0</v>
      </c>
      <c r="BT141" s="1558">
        <f ca="1">SUMPRODUCT('3b Activity Plan'!$AN$173:$AN$365,OFFSET('3b Activity Plan'!$DJ$173:$DJ$365,0,$CU141-1),'3b Activity Plan'!AX$173:AX$365,'3b Activity Plan'!$AH$173:$AH$365,'3b Activity Plan'!$CY$173:$CY$365,('3b Activity Plan'!$C$173:$C$365=$BK$130)*1)</f>
        <v>0</v>
      </c>
      <c r="BU141" s="1587"/>
      <c r="BV141" s="1587"/>
      <c r="BW141" s="1587"/>
      <c r="BX141" s="1556"/>
      <c r="BY141" s="1556"/>
      <c r="BZ141" s="1556"/>
      <c r="CA141" s="1024">
        <f ca="1">SUMIFS('3a Staff Plan'!$T$129:$T$305,'3a Staff Plan'!$DY$129:$DY$305,CZ141,'3a Staff Plan'!$DF$129:$DF$305,1)</f>
        <v>0</v>
      </c>
      <c r="CB141" s="1025">
        <f ca="1">SUMIFS('3a Staff Plan'!$T$129:$T$305,'3a Staff Plan'!$DY$129:$DY$305,$CZ141,'3a Staff Plan'!$DF$129:$DF$305,1,'3a Staff Plan'!$C$129:$C$305,DC$18)</f>
        <v>0</v>
      </c>
      <c r="CC141" s="1026">
        <f ca="1">SUMIFS('3a Staff Plan'!$T$129:$T$305,'3a Staff Plan'!$DY$129:$DY$305,$CZ141,'3a Staff Plan'!$DF$129:$DF$305,1,'3a Staff Plan'!$C$129:$C$305,DD$18)</f>
        <v>0</v>
      </c>
      <c r="CD141" s="1026">
        <f ca="1">SUMIFS('3a Staff Plan'!$T$129:$T$305,'3a Staff Plan'!$DY$129:$DY$305,$CZ141,'3a Staff Plan'!$DF$129:$DF$305,1,'3a Staff Plan'!$C$129:$C$305,DE$18)</f>
        <v>0</v>
      </c>
      <c r="CE141" s="1026">
        <f ca="1">SUMIFS('3a Staff Plan'!$T$129:$T$305,'3a Staff Plan'!$DY$129:$DY$305,$CZ141,'3a Staff Plan'!$DF$129:$DF$305,1,'3a Staff Plan'!$C$129:$C$305,DF$18)</f>
        <v>0</v>
      </c>
      <c r="CF141" s="1026">
        <f ca="1">SUMIFS('3a Staff Plan'!$T$129:$T$305,'3a Staff Plan'!$DY$129:$DY$305,$CZ141,'3a Staff Plan'!$DF$129:$DF$305,1,'3a Staff Plan'!$C$129:$C$305,DG$18)</f>
        <v>0</v>
      </c>
      <c r="CG141" s="1026">
        <f ca="1">SUMIFS('3a Staff Plan'!$T$129:$T$305,'3a Staff Plan'!$DY$129:$DY$305,$CZ141,'3a Staff Plan'!$DF$129:$DF$305,1,'3a Staff Plan'!$C$129:$C$305,DH$18)</f>
        <v>0</v>
      </c>
      <c r="CH141" s="1026">
        <f ca="1">SUMIFS('3a Staff Plan'!$T$129:$T$305,'3a Staff Plan'!$DY$129:$DY$305,$CZ141,'3a Staff Plan'!$DF$129:$DF$305,1,'3a Staff Plan'!$C$129:$C$305,DI$18)</f>
        <v>0</v>
      </c>
      <c r="CI141" s="755"/>
      <c r="CJ141" s="1024">
        <f ca="1">SUMPRODUCT('3b Activity Plan'!$AN$173:$AN$365,'3b Activity Plan'!$CY$173:$CY$365,'3b Activity Plan'!$AH$173:$AH$365,OFFSET('3b Activity Plan'!$DJ$173:$DJ$365,0,$CU141-1))</f>
        <v>384</v>
      </c>
      <c r="CK141" s="1025">
        <f t="shared" ca="1" si="93"/>
        <v>0</v>
      </c>
      <c r="CL141" s="1026">
        <f t="shared" ca="1" si="94"/>
        <v>0</v>
      </c>
      <c r="CM141" s="1026">
        <f t="shared" ca="1" si="95"/>
        <v>0</v>
      </c>
      <c r="CN141" s="1026">
        <f t="shared" ca="1" si="96"/>
        <v>0</v>
      </c>
      <c r="CO141" s="1026">
        <f t="shared" ca="1" si="97"/>
        <v>0</v>
      </c>
      <c r="CP141" s="1026">
        <f t="shared" ca="1" si="98"/>
        <v>0</v>
      </c>
      <c r="CQ141" s="1026">
        <f t="shared" ca="1" si="99"/>
        <v>0</v>
      </c>
      <c r="CR141" s="417"/>
      <c r="CS141" s="417">
        <f t="shared" si="100"/>
        <v>9</v>
      </c>
      <c r="CT141" s="417">
        <f ca="1">OFFSET('2 Staff List'!$GU$64,CS141-1,0)</f>
        <v>9</v>
      </c>
      <c r="CU141" s="417">
        <f ca="1">IF(CZ141=0,0,IFERROR(INDEX('3b Activity Plan'!$DJ$20:$FH$20,MATCH(CT141,'3b Activity Plan'!$DJ$171:$FH$171,0)),0))</f>
        <v>9</v>
      </c>
      <c r="CV141" s="417">
        <f ca="1">INDEX('2 Staff List'!$HW$64:$HW$114,CT141)</f>
        <v>0</v>
      </c>
      <c r="CW141" s="417"/>
      <c r="CY141" s="927" t="str">
        <f ca="1">OFFSET('2 Staff List'!$HZ$64,CS141-1,0)</f>
        <v>L3B Senior Engineer</v>
      </c>
      <c r="CZ141" s="975" t="str">
        <f ca="1">OFFSET('2 Staff List'!$IA$64,CT141-1,0)</f>
        <v>Parsons, Jenny</v>
      </c>
      <c r="DA141" s="3840">
        <f t="shared" ca="1" si="92"/>
        <v>384</v>
      </c>
      <c r="DB141" s="3841"/>
      <c r="DC141" s="2408">
        <f t="shared" ca="1" si="85"/>
        <v>0</v>
      </c>
      <c r="DD141" s="2405">
        <f t="shared" ca="1" si="86"/>
        <v>0</v>
      </c>
      <c r="DE141" s="2405">
        <f t="shared" ca="1" si="87"/>
        <v>0</v>
      </c>
      <c r="DF141" s="2405">
        <f t="shared" ca="1" si="88"/>
        <v>0</v>
      </c>
      <c r="DG141" s="2405">
        <f t="shared" ca="1" si="89"/>
        <v>0</v>
      </c>
      <c r="DH141" s="2406">
        <f t="shared" ca="1" si="90"/>
        <v>0</v>
      </c>
      <c r="DI141" s="2407">
        <f t="shared" ca="1" si="91"/>
        <v>0</v>
      </c>
    </row>
    <row r="142" spans="1:113" ht="15.9" customHeight="1" x14ac:dyDescent="0.25">
      <c r="A142" s="1051"/>
      <c r="B142" s="1556"/>
      <c r="C142" s="1558">
        <f ca="1">SUMPRODUCT('3b Activity Plan'!$AN$173:$AN$365,OFFSET('3b Activity Plan'!$DJ$173:$DJ$365,0,$CU142-1),'3b Activity Plan'!AO$173:AO$365,'3b Activity Plan'!$AH$173:$AH$365,'3b Activity Plan'!$CY$173:$CY$365,('3b Activity Plan'!$C$173:$C$365=$C$130)*1)</f>
        <v>0</v>
      </c>
      <c r="D142" s="1558">
        <f ca="1">SUMPRODUCT('3b Activity Plan'!$AN$173:$AN$365,OFFSET('3b Activity Plan'!$DJ$173:$DJ$365,0,$CU142-1),'3b Activity Plan'!AP$173:AP$365,'3b Activity Plan'!$AH$173:$AH$365,'3b Activity Plan'!$CY$173:$CY$365,('3b Activity Plan'!$C$173:$C$365=$C$130)*1)</f>
        <v>0</v>
      </c>
      <c r="E142" s="1558">
        <f ca="1">SUMPRODUCT('3b Activity Plan'!$AN$173:$AN$365,OFFSET('3b Activity Plan'!$DJ$173:$DJ$365,0,$CU142-1),'3b Activity Plan'!AQ$173:AQ$365,'3b Activity Plan'!$AH$173:$AH$365,'3b Activity Plan'!$CY$173:$CY$365,('3b Activity Plan'!$C$173:$C$365=$C$130)*1)</f>
        <v>0</v>
      </c>
      <c r="F142" s="1558">
        <f ca="1">SUMPRODUCT('3b Activity Plan'!$AN$173:$AN$365,OFFSET('3b Activity Plan'!$DJ$173:$DJ$365,0,$CU142-1),'3b Activity Plan'!AR$173:AR$365,'3b Activity Plan'!$AH$173:$AH$365,'3b Activity Plan'!$CY$173:$CY$365,('3b Activity Plan'!$C$173:$C$365=$C$130)*1)</f>
        <v>0</v>
      </c>
      <c r="G142" s="1558">
        <f ca="1">SUMPRODUCT('3b Activity Plan'!$AN$173:$AN$365,OFFSET('3b Activity Plan'!$DJ$173:$DJ$365,0,$CU142-1),'3b Activity Plan'!AS$173:AS$365,'3b Activity Plan'!$AH$173:$AH$365,'3b Activity Plan'!$CY$173:$CY$365,('3b Activity Plan'!$C$173:$C$365=$C$130)*1)</f>
        <v>0</v>
      </c>
      <c r="H142" s="1558">
        <f ca="1">SUMPRODUCT('3b Activity Plan'!$AN$173:$AN$365,OFFSET('3b Activity Plan'!$DJ$173:$DJ$365,0,$CU142-1),'3b Activity Plan'!AT$173:AT$365,'3b Activity Plan'!$AH$173:$AH$365,'3b Activity Plan'!$CY$173:$CY$365,('3b Activity Plan'!$C$173:$C$365=$C$130)*1)</f>
        <v>0</v>
      </c>
      <c r="I142" s="1558">
        <f ca="1">SUMPRODUCT('3b Activity Plan'!$AN$173:$AN$365,OFFSET('3b Activity Plan'!$DJ$173:$DJ$365,0,$CU142-1),'3b Activity Plan'!AU$173:AU$365,'3b Activity Plan'!$AH$173:$AH$365,'3b Activity Plan'!$CY$173:$CY$365,('3b Activity Plan'!$C$173:$C$365=$C$130)*1)</f>
        <v>0</v>
      </c>
      <c r="J142" s="1558">
        <f ca="1">SUMPRODUCT('3b Activity Plan'!$AN$173:$AN$365,OFFSET('3b Activity Plan'!$DJ$173:$DJ$365,0,$CU142-1),'3b Activity Plan'!AV$173:AV$365,'3b Activity Plan'!$AH$173:$AH$365,'3b Activity Plan'!$CY$173:$CY$365,('3b Activity Plan'!$C$173:$C$365=$C$130)*1)</f>
        <v>0</v>
      </c>
      <c r="K142" s="1558">
        <f ca="1">SUMPRODUCT('3b Activity Plan'!$AN$173:$AN$365,OFFSET('3b Activity Plan'!$DJ$173:$DJ$365,0,$CU142-1),'3b Activity Plan'!AW$173:AW$365,'3b Activity Plan'!$AH$173:$AH$365,'3b Activity Plan'!$CY$173:$CY$365,('3b Activity Plan'!$C$173:$C$365=$C$130)*1)</f>
        <v>0</v>
      </c>
      <c r="L142" s="1601">
        <f ca="1">SUMPRODUCT('3b Activity Plan'!$AN$173:$AN$365,OFFSET('3b Activity Plan'!$DJ$173:$DJ$365,0,$CU142-1),'3b Activity Plan'!AX$173:AX$365,'3b Activity Plan'!$AH$173:$AH$365,'3b Activity Plan'!$CY$173:$CY$365,('3b Activity Plan'!$C$173:$C$365=$C$130)*1)</f>
        <v>0</v>
      </c>
      <c r="M142" s="1602">
        <f ca="1">SUMPRODUCT('3b Activity Plan'!$AN$173:$AN$365,OFFSET('3b Activity Plan'!$DJ$173:$DJ$365,0,$CU142-1),'3b Activity Plan'!AO$173:AO$365,'3b Activity Plan'!$AH$173:$AH$365,'3b Activity Plan'!$CY$173:$CY$365,('3b Activity Plan'!$C$173:$C$365=$M$130)*1)</f>
        <v>0</v>
      </c>
      <c r="N142" s="1558">
        <f ca="1">SUMPRODUCT('3b Activity Plan'!$AN$173:$AN$365,OFFSET('3b Activity Plan'!$DJ$173:$DJ$365,0,$CU142-1),'3b Activity Plan'!AP$173:AP$365,'3b Activity Plan'!$AH$173:$AH$365,'3b Activity Plan'!$CY$173:$CY$365,('3b Activity Plan'!$C$173:$C$365=$M$130)*1)</f>
        <v>0</v>
      </c>
      <c r="O142" s="1558">
        <f ca="1">SUMPRODUCT('3b Activity Plan'!$AN$173:$AN$365,OFFSET('3b Activity Plan'!$DJ$173:$DJ$365,0,$CU142-1),'3b Activity Plan'!AQ$173:AQ$365,'3b Activity Plan'!$AH$173:$AH$365,'3b Activity Plan'!$CY$173:$CY$365,('3b Activity Plan'!$C$173:$C$365=$M$130)*1)</f>
        <v>0</v>
      </c>
      <c r="P142" s="1558">
        <f ca="1">SUMPRODUCT('3b Activity Plan'!$AN$173:$AN$365,OFFSET('3b Activity Plan'!$DJ$173:$DJ$365,0,$CU142-1),'3b Activity Plan'!AR$173:AR$365,'3b Activity Plan'!$AH$173:$AH$365,'3b Activity Plan'!$CY$173:$CY$365,('3b Activity Plan'!$C$173:$C$365=$M$130)*1)</f>
        <v>0</v>
      </c>
      <c r="Q142" s="1558">
        <f ca="1">SUMPRODUCT('3b Activity Plan'!$AN$173:$AN$365,OFFSET('3b Activity Plan'!$DJ$173:$DJ$365,0,$CU142-1),'3b Activity Plan'!AS$173:AS$365,'3b Activity Plan'!$AH$173:$AH$365,'3b Activity Plan'!$CY$173:$CY$365,('3b Activity Plan'!$C$173:$C$365=$M$130)*1)</f>
        <v>0</v>
      </c>
      <c r="R142" s="1558">
        <f ca="1">SUMPRODUCT('3b Activity Plan'!$AN$173:$AN$365,OFFSET('3b Activity Plan'!$DJ$173:$DJ$365,0,$CU142-1),'3b Activity Plan'!AT$173:AT$365,'3b Activity Plan'!$AH$173:$AH$365,'3b Activity Plan'!$CY$173:$CY$365,('3b Activity Plan'!$C$173:$C$365=$M$130)*1)</f>
        <v>0</v>
      </c>
      <c r="S142" s="1558">
        <f ca="1">SUMPRODUCT('3b Activity Plan'!$AN$173:$AN$365,OFFSET('3b Activity Plan'!$DJ$173:$DJ$365,0,$CU142-1),'3b Activity Plan'!AU$173:AU$365,'3b Activity Plan'!$AH$173:$AH$365,'3b Activity Plan'!$CY$173:$CY$365,('3b Activity Plan'!$C$173:$C$365=$M$130)*1)</f>
        <v>0</v>
      </c>
      <c r="T142" s="1558">
        <f ca="1">SUMPRODUCT('3b Activity Plan'!$AN$173:$AN$365,OFFSET('3b Activity Plan'!$DJ$173:$DJ$365,0,$CU142-1),'3b Activity Plan'!AV$173:AV$365,'3b Activity Plan'!$AH$173:$AH$365,'3b Activity Plan'!$CY$173:$CY$365,('3b Activity Plan'!$C$173:$C$365=$M$130)*1)</f>
        <v>0</v>
      </c>
      <c r="U142" s="1558">
        <f ca="1">SUMPRODUCT('3b Activity Plan'!$AN$173:$AN$365,OFFSET('3b Activity Plan'!$DJ$173:$DJ$365,0,$CU142-1),'3b Activity Plan'!AW$173:AW$365,'3b Activity Plan'!$AH$173:$AH$365,'3b Activity Plan'!$CY$173:$CY$365,('3b Activity Plan'!$C$173:$C$365=$M$130)*1)</f>
        <v>0</v>
      </c>
      <c r="V142" s="1601">
        <f ca="1">SUMPRODUCT('3b Activity Plan'!$AN$173:$AN$365,OFFSET('3b Activity Plan'!$DJ$173:$DJ$365,0,$CU142-1),'3b Activity Plan'!AX$173:AX$365,'3b Activity Plan'!$AH$173:$AH$365,'3b Activity Plan'!$CY$173:$CY$365,('3b Activity Plan'!$C$173:$C$365=$M$130)*1)</f>
        <v>0</v>
      </c>
      <c r="W142" s="1602">
        <f ca="1">SUMPRODUCT('3b Activity Plan'!$AN$173:$AN$365,OFFSET('3b Activity Plan'!$DJ$173:$DJ$365,0,$CU142-1),'3b Activity Plan'!AO$173:AO$365,'3b Activity Plan'!$AH$173:$AH$365,'3b Activity Plan'!$CY$173:$CY$365,('3b Activity Plan'!$C$173:$C$365=$W$130)*1)</f>
        <v>0</v>
      </c>
      <c r="X142" s="1558">
        <f ca="1">SUMPRODUCT('3b Activity Plan'!$AN$173:$AN$365,OFFSET('3b Activity Plan'!$DJ$173:$DJ$365,0,$CU142-1),'3b Activity Plan'!AP$173:AP$365,'3b Activity Plan'!$AH$173:$AH$365,'3b Activity Plan'!$CY$173:$CY$365,('3b Activity Plan'!$C$173:$C$365=$W$130)*1)</f>
        <v>0</v>
      </c>
      <c r="Y142" s="1558">
        <f ca="1">SUMPRODUCT('3b Activity Plan'!$AN$173:$AN$365,OFFSET('3b Activity Plan'!$DJ$173:$DJ$365,0,$CU142-1),'3b Activity Plan'!AQ$173:AQ$365,'3b Activity Plan'!$AH$173:$AH$365,'3b Activity Plan'!$CY$173:$CY$365,('3b Activity Plan'!$C$173:$C$365=$W$130)*1)</f>
        <v>0</v>
      </c>
      <c r="Z142" s="1558">
        <f ca="1">SUMPRODUCT('3b Activity Plan'!$AN$173:$AN$365,OFFSET('3b Activity Plan'!$DJ$173:$DJ$365,0,$CU142-1),'3b Activity Plan'!AR$173:AR$365,'3b Activity Plan'!$AH$173:$AH$365,'3b Activity Plan'!$CY$173:$CY$365,('3b Activity Plan'!$C$173:$C$365=$W$130)*1)</f>
        <v>0</v>
      </c>
      <c r="AA142" s="1558">
        <f ca="1">SUMPRODUCT('3b Activity Plan'!$AN$173:$AN$365,OFFSET('3b Activity Plan'!$DJ$173:$DJ$365,0,$CU142-1),'3b Activity Plan'!AS$173:AS$365,'3b Activity Plan'!$AH$173:$AH$365,'3b Activity Plan'!$CY$173:$CY$365,('3b Activity Plan'!$C$173:$C$365=$W$130)*1)</f>
        <v>0</v>
      </c>
      <c r="AB142" s="1558">
        <f ca="1">SUMPRODUCT('3b Activity Plan'!$AN$173:$AN$365,OFFSET('3b Activity Plan'!$DJ$173:$DJ$365,0,$CU142-1),'3b Activity Plan'!AT$173:AT$365,'3b Activity Plan'!$AH$173:$AH$365,'3b Activity Plan'!$CY$173:$CY$365,('3b Activity Plan'!$C$173:$C$365=$W$130)*1)</f>
        <v>0</v>
      </c>
      <c r="AC142" s="1558">
        <f ca="1">SUMPRODUCT('3b Activity Plan'!$AN$173:$AN$365,OFFSET('3b Activity Plan'!$DJ$173:$DJ$365,0,$CU142-1),'3b Activity Plan'!AU$173:AU$365,'3b Activity Plan'!$AH$173:$AH$365,'3b Activity Plan'!$CY$173:$CY$365,('3b Activity Plan'!$C$173:$C$365=$W$130)*1)</f>
        <v>0</v>
      </c>
      <c r="AD142" s="1558">
        <f ca="1">SUMPRODUCT('3b Activity Plan'!$AN$173:$AN$365,OFFSET('3b Activity Plan'!$DJ$173:$DJ$365,0,$CU142-1),'3b Activity Plan'!AV$173:AV$365,'3b Activity Plan'!$AH$173:$AH$365,'3b Activity Plan'!$CY$173:$CY$365,('3b Activity Plan'!$C$173:$C$365=$W$130)*1)</f>
        <v>0</v>
      </c>
      <c r="AE142" s="1558">
        <f ca="1">SUMPRODUCT('3b Activity Plan'!$AN$173:$AN$365,OFFSET('3b Activity Plan'!$DJ$173:$DJ$365,0,$CU142-1),'3b Activity Plan'!AW$173:AW$365,'3b Activity Plan'!$AH$173:$AH$365,'3b Activity Plan'!$CY$173:$CY$365,('3b Activity Plan'!$C$173:$C$365=$W$130)*1)</f>
        <v>0</v>
      </c>
      <c r="AF142" s="1558">
        <f ca="1">SUMPRODUCT('3b Activity Plan'!$AN$173:$AN$365,OFFSET('3b Activity Plan'!$DJ$173:$DJ$365,0,$CU142-1),'3b Activity Plan'!AX$173:AX$365,'3b Activity Plan'!$AH$173:$AH$365,'3b Activity Plan'!$CY$173:$CY$365,('3b Activity Plan'!$C$173:$C$365=$W$130)*1)</f>
        <v>0</v>
      </c>
      <c r="AG142" s="1602">
        <f ca="1">SUMPRODUCT('3b Activity Plan'!$AN$173:$AN$365,OFFSET('3b Activity Plan'!$DJ$173:$DJ$365,0,$CU142-1),'3b Activity Plan'!AO$173:AO$365,'3b Activity Plan'!$AH$173:$AH$365,'3b Activity Plan'!$CY$173:$CY$365,('3b Activity Plan'!$C$173:$C$365=$AG$130)*1)</f>
        <v>0</v>
      </c>
      <c r="AH142" s="1558">
        <f ca="1">SUMPRODUCT('3b Activity Plan'!$AN$173:$AN$365,OFFSET('3b Activity Plan'!$DJ$173:$DJ$365,0,$CU142-1),'3b Activity Plan'!AP$173:AP$365,'3b Activity Plan'!$AH$173:$AH$365,'3b Activity Plan'!$CY$173:$CY$365,('3b Activity Plan'!$C$173:$C$365=$AG$130)*1)</f>
        <v>0</v>
      </c>
      <c r="AI142" s="1558">
        <f ca="1">SUMPRODUCT('3b Activity Plan'!$AN$173:$AN$365,OFFSET('3b Activity Plan'!$DJ$173:$DJ$365,0,$CU142-1),'3b Activity Plan'!AQ$173:AQ$365,'3b Activity Plan'!$AH$173:$AH$365,'3b Activity Plan'!$CY$173:$CY$365,('3b Activity Plan'!$C$173:$C$365=$AG$130)*1)</f>
        <v>0</v>
      </c>
      <c r="AJ142" s="1558">
        <f ca="1">SUMPRODUCT('3b Activity Plan'!$AN$173:$AN$365,OFFSET('3b Activity Plan'!$DJ$173:$DJ$365,0,$CU142-1),'3b Activity Plan'!AR$173:AR$365,'3b Activity Plan'!$AH$173:$AH$365,'3b Activity Plan'!$CY$173:$CY$365,('3b Activity Plan'!$C$173:$C$365=$AG$130)*1)</f>
        <v>0</v>
      </c>
      <c r="AK142" s="1558">
        <f ca="1">SUMPRODUCT('3b Activity Plan'!$AN$173:$AN$365,OFFSET('3b Activity Plan'!$DJ$173:$DJ$365,0,$CU142-1),'3b Activity Plan'!AS$173:AS$365,'3b Activity Plan'!$AH$173:$AH$365,'3b Activity Plan'!$CY$173:$CY$365,('3b Activity Plan'!$C$173:$C$365=$AG$130)*1)</f>
        <v>0</v>
      </c>
      <c r="AL142" s="1558">
        <f ca="1">SUMPRODUCT('3b Activity Plan'!$AN$173:$AN$365,OFFSET('3b Activity Plan'!$DJ$173:$DJ$365,0,$CU142-1),'3b Activity Plan'!AT$173:AT$365,'3b Activity Plan'!$AH$173:$AH$365,'3b Activity Plan'!$CY$173:$CY$365,('3b Activity Plan'!$C$173:$C$365=$AG$130)*1)</f>
        <v>0</v>
      </c>
      <c r="AM142" s="1558">
        <f ca="1">SUMPRODUCT('3b Activity Plan'!$AN$173:$AN$365,OFFSET('3b Activity Plan'!$DJ$173:$DJ$365,0,$CU142-1),'3b Activity Plan'!AU$173:AU$365,'3b Activity Plan'!$AH$173:$AH$365,'3b Activity Plan'!$CY$173:$CY$365,('3b Activity Plan'!$C$173:$C$365=$AG$130)*1)</f>
        <v>0</v>
      </c>
      <c r="AN142" s="1558">
        <f ca="1">SUMPRODUCT('3b Activity Plan'!$AN$173:$AN$365,OFFSET('3b Activity Plan'!$DJ$173:$DJ$365,0,$CU142-1),'3b Activity Plan'!AV$173:AV$365,'3b Activity Plan'!$AH$173:$AH$365,'3b Activity Plan'!$CY$173:$CY$365,('3b Activity Plan'!$C$173:$C$365=$AG$130)*1)</f>
        <v>0</v>
      </c>
      <c r="AO142" s="1558">
        <f ca="1">SUMPRODUCT('3b Activity Plan'!$AN$173:$AN$365,OFFSET('3b Activity Plan'!$DJ$173:$DJ$365,0,$CU142-1),'3b Activity Plan'!AW$173:AW$365,'3b Activity Plan'!$AH$173:$AH$365,'3b Activity Plan'!$CY$173:$CY$365,('3b Activity Plan'!$C$173:$C$365=$AG$130)*1)</f>
        <v>0</v>
      </c>
      <c r="AP142" s="1558">
        <f ca="1">SUMPRODUCT('3b Activity Plan'!$AN$173:$AN$365,OFFSET('3b Activity Plan'!$DJ$173:$DJ$365,0,$CU142-1),'3b Activity Plan'!AX$173:AX$365,'3b Activity Plan'!$AH$173:$AH$365,'3b Activity Plan'!$CY$173:$CY$365,('3b Activity Plan'!$C$173:$C$365=$AG$130)*1)</f>
        <v>0</v>
      </c>
      <c r="AQ142" s="1602">
        <f ca="1">SUMPRODUCT('3b Activity Plan'!$AN$173:$AN$365,OFFSET('3b Activity Plan'!$DJ$173:$DJ$365,0,$CU142-1),'3b Activity Plan'!AO$173:AO$365,'3b Activity Plan'!$AH$173:$AH$365,'3b Activity Plan'!$CY$173:$CY$365,('3b Activity Plan'!$C$173:$C$365=$AQ$130)*1)</f>
        <v>0</v>
      </c>
      <c r="AR142" s="1558">
        <f ca="1">SUMPRODUCT('3b Activity Plan'!$AN$173:$AN$365,OFFSET('3b Activity Plan'!$DJ$173:$DJ$365,0,$CU142-1),'3b Activity Plan'!AP$173:AP$365,'3b Activity Plan'!$AH$173:$AH$365,'3b Activity Plan'!$CY$173:$CY$365,('3b Activity Plan'!$C$173:$C$365=$AQ$130)*1)</f>
        <v>0</v>
      </c>
      <c r="AS142" s="1558">
        <f ca="1">SUMPRODUCT('3b Activity Plan'!$AN$173:$AN$365,OFFSET('3b Activity Plan'!$DJ$173:$DJ$365,0,$CU142-1),'3b Activity Plan'!AQ$173:AQ$365,'3b Activity Plan'!$AH$173:$AH$365,'3b Activity Plan'!$CY$173:$CY$365,('3b Activity Plan'!$C$173:$C$365=$AQ$130)*1)</f>
        <v>0</v>
      </c>
      <c r="AT142" s="1558">
        <f ca="1">SUMPRODUCT('3b Activity Plan'!$AN$173:$AN$365,OFFSET('3b Activity Plan'!$DJ$173:$DJ$365,0,$CU142-1),'3b Activity Plan'!AR$173:AR$365,'3b Activity Plan'!$AH$173:$AH$365,'3b Activity Plan'!$CY$173:$CY$365,('3b Activity Plan'!$C$173:$C$365=$AQ$130)*1)</f>
        <v>0</v>
      </c>
      <c r="AU142" s="1558">
        <f ca="1">SUMPRODUCT('3b Activity Plan'!$AN$173:$AN$365,OFFSET('3b Activity Plan'!$DJ$173:$DJ$365,0,$CU142-1),'3b Activity Plan'!AS$173:AS$365,'3b Activity Plan'!$AH$173:$AH$365,'3b Activity Plan'!$CY$173:$CY$365,('3b Activity Plan'!$C$173:$C$365=$AQ$130)*1)</f>
        <v>0</v>
      </c>
      <c r="AV142" s="1558">
        <f ca="1">SUMPRODUCT('3b Activity Plan'!$AN$173:$AN$365,OFFSET('3b Activity Plan'!$DJ$173:$DJ$365,0,$CU142-1),'3b Activity Plan'!AT$173:AT$365,'3b Activity Plan'!$AH$173:$AH$365,'3b Activity Plan'!$CY$173:$CY$365,('3b Activity Plan'!$C$173:$C$365=$AQ$130)*1)</f>
        <v>0</v>
      </c>
      <c r="AW142" s="1558">
        <f ca="1">SUMPRODUCT('3b Activity Plan'!$AN$173:$AN$365,OFFSET('3b Activity Plan'!$DJ$173:$DJ$365,0,$CU142-1),'3b Activity Plan'!AU$173:AU$365,'3b Activity Plan'!$AH$173:$AH$365,'3b Activity Plan'!$CY$173:$CY$365,('3b Activity Plan'!$C$173:$C$365=$AQ$130)*1)</f>
        <v>0</v>
      </c>
      <c r="AX142" s="1558">
        <f ca="1">SUMPRODUCT('3b Activity Plan'!$AN$173:$AN$365,OFFSET('3b Activity Plan'!$DJ$173:$DJ$365,0,$CU142-1),'3b Activity Plan'!AV$173:AV$365,'3b Activity Plan'!$AH$173:$AH$365,'3b Activity Plan'!$CY$173:$CY$365,('3b Activity Plan'!$C$173:$C$365=$AQ$130)*1)</f>
        <v>0</v>
      </c>
      <c r="AY142" s="1558">
        <f ca="1">SUMPRODUCT('3b Activity Plan'!$AN$173:$AN$365,OFFSET('3b Activity Plan'!$DJ$173:$DJ$365,0,$CU142-1),'3b Activity Plan'!AW$173:AW$365,'3b Activity Plan'!$AH$173:$AH$365,'3b Activity Plan'!$CY$173:$CY$365,('3b Activity Plan'!$C$173:$C$365=$AQ$130)*1)</f>
        <v>0</v>
      </c>
      <c r="AZ142" s="1558">
        <f ca="1">SUMPRODUCT('3b Activity Plan'!$AN$173:$AN$365,OFFSET('3b Activity Plan'!$DJ$173:$DJ$365,0,$CU142-1),'3b Activity Plan'!AX$173:AX$365,'3b Activity Plan'!$AH$173:$AH$365,'3b Activity Plan'!$CY$173:$CY$365,('3b Activity Plan'!$C$173:$C$365=$AQ$130)*1)</f>
        <v>0</v>
      </c>
      <c r="BA142" s="1602">
        <f ca="1">SUMPRODUCT('3b Activity Plan'!$AN$173:$AN$365,OFFSET('3b Activity Plan'!$DJ$173:$DJ$365,0,$CU142-1),'3b Activity Plan'!AO$173:AO$365,'3b Activity Plan'!$AH$173:$AH$365,'3b Activity Plan'!$CY$173:$CY$365,('3b Activity Plan'!$C$173:$C$365=$BA$130)*1)</f>
        <v>0</v>
      </c>
      <c r="BB142" s="1558">
        <f ca="1">SUMPRODUCT('3b Activity Plan'!$AN$173:$AN$365,OFFSET('3b Activity Plan'!$DJ$173:$DJ$365,0,$CU142-1),'3b Activity Plan'!AP$173:AP$365,'3b Activity Plan'!$AH$173:$AH$365,'3b Activity Plan'!$CY$173:$CY$365,('3b Activity Plan'!$C$173:$C$365=$BA$130)*1)</f>
        <v>0</v>
      </c>
      <c r="BC142" s="1558">
        <f ca="1">SUMPRODUCT('3b Activity Plan'!$AN$173:$AN$365,OFFSET('3b Activity Plan'!$DJ$173:$DJ$365,0,$CU142-1),'3b Activity Plan'!AQ$173:AQ$365,'3b Activity Plan'!$AH$173:$AH$365,'3b Activity Plan'!$CY$173:$CY$365,('3b Activity Plan'!$C$173:$C$365=$BA$130)*1)</f>
        <v>0</v>
      </c>
      <c r="BD142" s="1558">
        <f ca="1">SUMPRODUCT('3b Activity Plan'!$AN$173:$AN$365,OFFSET('3b Activity Plan'!$DJ$173:$DJ$365,0,$CU142-1),'3b Activity Plan'!AR$173:AR$365,'3b Activity Plan'!$AH$173:$AH$365,'3b Activity Plan'!$CY$173:$CY$365,('3b Activity Plan'!$C$173:$C$365=$BA$130)*1)</f>
        <v>0</v>
      </c>
      <c r="BE142" s="1558">
        <f ca="1">SUMPRODUCT('3b Activity Plan'!$AN$173:$AN$365,OFFSET('3b Activity Plan'!$DJ$173:$DJ$365,0,$CU142-1),'3b Activity Plan'!AS$173:AS$365,'3b Activity Plan'!$AH$173:$AH$365,'3b Activity Plan'!$CY$173:$CY$365,('3b Activity Plan'!$C$173:$C$365=$BA$130)*1)</f>
        <v>0</v>
      </c>
      <c r="BF142" s="1558">
        <f ca="1">SUMPRODUCT('3b Activity Plan'!$AN$173:$AN$365,OFFSET('3b Activity Plan'!$DJ$173:$DJ$365,0,$CU142-1),'3b Activity Plan'!AT$173:AT$365,'3b Activity Plan'!$AH$173:$AH$365,'3b Activity Plan'!$CY$173:$CY$365,('3b Activity Plan'!$C$173:$C$365=$BA$130)*1)</f>
        <v>0</v>
      </c>
      <c r="BG142" s="1558">
        <f ca="1">SUMPRODUCT('3b Activity Plan'!$AN$173:$AN$365,OFFSET('3b Activity Plan'!$DJ$173:$DJ$365,0,$CU142-1),'3b Activity Plan'!AU$173:AU$365,'3b Activity Plan'!$AH$173:$AH$365,'3b Activity Plan'!$CY$173:$CY$365,('3b Activity Plan'!$C$173:$C$365=$BA$130)*1)</f>
        <v>0</v>
      </c>
      <c r="BH142" s="1558">
        <f ca="1">SUMPRODUCT('3b Activity Plan'!$AN$173:$AN$365,OFFSET('3b Activity Plan'!$DJ$173:$DJ$365,0,$CU142-1),'3b Activity Plan'!AV$173:AV$365,'3b Activity Plan'!$AH$173:$AH$365,'3b Activity Plan'!$CY$173:$CY$365,('3b Activity Plan'!$C$173:$C$365=$BA$130)*1)</f>
        <v>0</v>
      </c>
      <c r="BI142" s="1558">
        <f ca="1">SUMPRODUCT('3b Activity Plan'!$AN$173:$AN$365,OFFSET('3b Activity Plan'!$DJ$173:$DJ$365,0,$CU142-1),'3b Activity Plan'!AW$173:AW$365,'3b Activity Plan'!$AH$173:$AH$365,'3b Activity Plan'!$CY$173:$CY$365,('3b Activity Plan'!$C$173:$C$365=$BA$130)*1)</f>
        <v>0</v>
      </c>
      <c r="BJ142" s="1558">
        <f ca="1">SUMPRODUCT('3b Activity Plan'!$AN$173:$AN$365,OFFSET('3b Activity Plan'!$DJ$173:$DJ$365,0,$CU142-1),'3b Activity Plan'!AX$173:AX$365,'3b Activity Plan'!$AH$173:$AH$365,'3b Activity Plan'!$CY$173:$CY$365,('3b Activity Plan'!$C$173:$C$365=$BA$130)*1)</f>
        <v>0</v>
      </c>
      <c r="BK142" s="1602">
        <f ca="1">SUMPRODUCT('3b Activity Plan'!$AN$173:$AN$365,OFFSET('3b Activity Plan'!$DJ$173:$DJ$365,0,$CU142-1),'3b Activity Plan'!AO$173:AO$365,'3b Activity Plan'!$AH$173:$AH$365,'3b Activity Plan'!$CY$173:$CY$365,('3b Activity Plan'!$C$173:$C$365=$BK$130)*1)</f>
        <v>0</v>
      </c>
      <c r="BL142" s="1558">
        <f ca="1">SUMPRODUCT('3b Activity Plan'!$AN$173:$AN$365,OFFSET('3b Activity Plan'!$DJ$173:$DJ$365,0,$CU142-1),'3b Activity Plan'!AP$173:AP$365,'3b Activity Plan'!$AH$173:$AH$365,'3b Activity Plan'!$CY$173:$CY$365,('3b Activity Plan'!$C$173:$C$365=$BK$130)*1)</f>
        <v>0</v>
      </c>
      <c r="BM142" s="1558">
        <f ca="1">SUMPRODUCT('3b Activity Plan'!$AN$173:$AN$365,OFFSET('3b Activity Plan'!$DJ$173:$DJ$365,0,$CU142-1),'3b Activity Plan'!AQ$173:AQ$365,'3b Activity Plan'!$AH$173:$AH$365,'3b Activity Plan'!$CY$173:$CY$365,('3b Activity Plan'!$C$173:$C$365=$BK$130)*1)</f>
        <v>0</v>
      </c>
      <c r="BN142" s="1558">
        <f ca="1">SUMPRODUCT('3b Activity Plan'!$AN$173:$AN$365,OFFSET('3b Activity Plan'!$DJ$173:$DJ$365,0,$CU142-1),'3b Activity Plan'!AR$173:AR$365,'3b Activity Plan'!$AH$173:$AH$365,'3b Activity Plan'!$CY$173:$CY$365,('3b Activity Plan'!$C$173:$C$365=$BK$130)*1)</f>
        <v>0</v>
      </c>
      <c r="BO142" s="1558">
        <f ca="1">SUMPRODUCT('3b Activity Plan'!$AN$173:$AN$365,OFFSET('3b Activity Plan'!$DJ$173:$DJ$365,0,$CU142-1),'3b Activity Plan'!AS$173:AS$365,'3b Activity Plan'!$AH$173:$AH$365,'3b Activity Plan'!$CY$173:$CY$365,('3b Activity Plan'!$C$173:$C$365=$BK$130)*1)</f>
        <v>0</v>
      </c>
      <c r="BP142" s="1558">
        <f ca="1">SUMPRODUCT('3b Activity Plan'!$AN$173:$AN$365,OFFSET('3b Activity Plan'!$DJ$173:$DJ$365,0,$CU142-1),'3b Activity Plan'!AT$173:AT$365,'3b Activity Plan'!$AH$173:$AH$365,'3b Activity Plan'!$CY$173:$CY$365,('3b Activity Plan'!$C$173:$C$365=$BK$130)*1)</f>
        <v>0</v>
      </c>
      <c r="BQ142" s="1558">
        <f ca="1">SUMPRODUCT('3b Activity Plan'!$AN$173:$AN$365,OFFSET('3b Activity Plan'!$DJ$173:$DJ$365,0,$CU142-1),'3b Activity Plan'!AU$173:AU$365,'3b Activity Plan'!$AH$173:$AH$365,'3b Activity Plan'!$CY$173:$CY$365,('3b Activity Plan'!$C$173:$C$365=$BK$130)*1)</f>
        <v>0</v>
      </c>
      <c r="BR142" s="1558">
        <f ca="1">SUMPRODUCT('3b Activity Plan'!$AN$173:$AN$365,OFFSET('3b Activity Plan'!$DJ$173:$DJ$365,0,$CU142-1),'3b Activity Plan'!AV$173:AV$365,'3b Activity Plan'!$AH$173:$AH$365,'3b Activity Plan'!$CY$173:$CY$365,('3b Activity Plan'!$C$173:$C$365=$BK$130)*1)</f>
        <v>0</v>
      </c>
      <c r="BS142" s="1558">
        <f ca="1">SUMPRODUCT('3b Activity Plan'!$AN$173:$AN$365,OFFSET('3b Activity Plan'!$DJ$173:$DJ$365,0,$CU142-1),'3b Activity Plan'!AW$173:AW$365,'3b Activity Plan'!$AH$173:$AH$365,'3b Activity Plan'!$CY$173:$CY$365,('3b Activity Plan'!$C$173:$C$365=$BK$130)*1)</f>
        <v>0</v>
      </c>
      <c r="BT142" s="1558">
        <f ca="1">SUMPRODUCT('3b Activity Plan'!$AN$173:$AN$365,OFFSET('3b Activity Plan'!$DJ$173:$DJ$365,0,$CU142-1),'3b Activity Plan'!AX$173:AX$365,'3b Activity Plan'!$AH$173:$AH$365,'3b Activity Plan'!$CY$173:$CY$365,('3b Activity Plan'!$C$173:$C$365=$BK$130)*1)</f>
        <v>0</v>
      </c>
      <c r="BU142" s="1587"/>
      <c r="BV142" s="1587"/>
      <c r="BW142" s="1587"/>
      <c r="BX142" s="1556"/>
      <c r="BY142" s="1556"/>
      <c r="BZ142" s="1556"/>
      <c r="CA142" s="1024">
        <f ca="1">SUMIFS('3a Staff Plan'!$T$129:$T$305,'3a Staff Plan'!$DY$129:$DY$305,CZ142,'3a Staff Plan'!$DF$129:$DF$305,1)</f>
        <v>0</v>
      </c>
      <c r="CB142" s="1025">
        <f ca="1">SUMIFS('3a Staff Plan'!$T$129:$T$305,'3a Staff Plan'!$DY$129:$DY$305,$CZ142,'3a Staff Plan'!$DF$129:$DF$305,1,'3a Staff Plan'!$C$129:$C$305,DC$18)</f>
        <v>0</v>
      </c>
      <c r="CC142" s="1026">
        <f ca="1">SUMIFS('3a Staff Plan'!$T$129:$T$305,'3a Staff Plan'!$DY$129:$DY$305,$CZ142,'3a Staff Plan'!$DF$129:$DF$305,1,'3a Staff Plan'!$C$129:$C$305,DD$18)</f>
        <v>0</v>
      </c>
      <c r="CD142" s="1026">
        <f ca="1">SUMIFS('3a Staff Plan'!$T$129:$T$305,'3a Staff Plan'!$DY$129:$DY$305,$CZ142,'3a Staff Plan'!$DF$129:$DF$305,1,'3a Staff Plan'!$C$129:$C$305,DE$18)</f>
        <v>0</v>
      </c>
      <c r="CE142" s="1026">
        <f ca="1">SUMIFS('3a Staff Plan'!$T$129:$T$305,'3a Staff Plan'!$DY$129:$DY$305,$CZ142,'3a Staff Plan'!$DF$129:$DF$305,1,'3a Staff Plan'!$C$129:$C$305,DF$18)</f>
        <v>0</v>
      </c>
      <c r="CF142" s="1026">
        <f ca="1">SUMIFS('3a Staff Plan'!$T$129:$T$305,'3a Staff Plan'!$DY$129:$DY$305,$CZ142,'3a Staff Plan'!$DF$129:$DF$305,1,'3a Staff Plan'!$C$129:$C$305,DG$18)</f>
        <v>0</v>
      </c>
      <c r="CG142" s="1026">
        <f ca="1">SUMIFS('3a Staff Plan'!$T$129:$T$305,'3a Staff Plan'!$DY$129:$DY$305,$CZ142,'3a Staff Plan'!$DF$129:$DF$305,1,'3a Staff Plan'!$C$129:$C$305,DH$18)</f>
        <v>0</v>
      </c>
      <c r="CH142" s="1026">
        <f ca="1">SUMIFS('3a Staff Plan'!$T$129:$T$305,'3a Staff Plan'!$DY$129:$DY$305,$CZ142,'3a Staff Plan'!$DF$129:$DF$305,1,'3a Staff Plan'!$C$129:$C$305,DI$18)</f>
        <v>0</v>
      </c>
      <c r="CI142" s="755"/>
      <c r="CJ142" s="1024">
        <f ca="1">SUMPRODUCT('3b Activity Plan'!$AN$173:$AN$365,'3b Activity Plan'!$CY$173:$CY$365,'3b Activity Plan'!$AH$173:$AH$365,OFFSET('3b Activity Plan'!$DJ$173:$DJ$365,0,$CU142-1))</f>
        <v>480</v>
      </c>
      <c r="CK142" s="1025">
        <f t="shared" ca="1" si="93"/>
        <v>0</v>
      </c>
      <c r="CL142" s="1026">
        <f t="shared" ca="1" si="94"/>
        <v>0</v>
      </c>
      <c r="CM142" s="1026">
        <f t="shared" ca="1" si="95"/>
        <v>0</v>
      </c>
      <c r="CN142" s="1026">
        <f t="shared" ca="1" si="96"/>
        <v>0</v>
      </c>
      <c r="CO142" s="1026">
        <f t="shared" ca="1" si="97"/>
        <v>0</v>
      </c>
      <c r="CP142" s="1026">
        <f t="shared" ca="1" si="98"/>
        <v>0</v>
      </c>
      <c r="CQ142" s="1026">
        <f t="shared" ca="1" si="99"/>
        <v>0</v>
      </c>
      <c r="CR142" s="417"/>
      <c r="CS142" s="417">
        <f t="shared" si="100"/>
        <v>10</v>
      </c>
      <c r="CT142" s="417">
        <f ca="1">OFFSET('2 Staff List'!$GU$64,CS142-1,0)</f>
        <v>10</v>
      </c>
      <c r="CU142" s="417">
        <f ca="1">IF(CZ142=0,0,IFERROR(INDEX('3b Activity Plan'!$DJ$20:$FH$20,MATCH(CT142,'3b Activity Plan'!$DJ$171:$FH$171,0)),0))</f>
        <v>10</v>
      </c>
      <c r="CV142" s="417">
        <f ca="1">INDEX('2 Staff List'!$HW$64:$HW$114,CT142)</f>
        <v>0</v>
      </c>
      <c r="CW142" s="417"/>
      <c r="CY142" s="927" t="str">
        <f ca="1">OFFSET('2 Staff List'!$HZ$64,CS142-1,0)</f>
        <v>L3B Engineer</v>
      </c>
      <c r="CZ142" s="975" t="str">
        <f ca="1">OFFSET('2 Staff List'!$IA$64,CT142-1,0)</f>
        <v>Cooper, Lucy</v>
      </c>
      <c r="DA142" s="3840">
        <f t="shared" ca="1" si="92"/>
        <v>480</v>
      </c>
      <c r="DB142" s="3841"/>
      <c r="DC142" s="2408">
        <f t="shared" ca="1" si="85"/>
        <v>0</v>
      </c>
      <c r="DD142" s="2405">
        <f t="shared" ca="1" si="86"/>
        <v>0</v>
      </c>
      <c r="DE142" s="2405">
        <f t="shared" ca="1" si="87"/>
        <v>0</v>
      </c>
      <c r="DF142" s="2405">
        <f t="shared" ca="1" si="88"/>
        <v>0</v>
      </c>
      <c r="DG142" s="2405">
        <f t="shared" ca="1" si="89"/>
        <v>0</v>
      </c>
      <c r="DH142" s="2406">
        <f t="shared" ca="1" si="90"/>
        <v>0</v>
      </c>
      <c r="DI142" s="2407">
        <f t="shared" ca="1" si="91"/>
        <v>0</v>
      </c>
    </row>
    <row r="143" spans="1:113" ht="15.9" customHeight="1" x14ac:dyDescent="0.25">
      <c r="A143" s="1051"/>
      <c r="B143" s="1556"/>
      <c r="C143" s="1558">
        <f ca="1">SUMPRODUCT('3b Activity Plan'!$AN$173:$AN$365,OFFSET('3b Activity Plan'!$DJ$173:$DJ$365,0,$CU143-1),'3b Activity Plan'!AO$173:AO$365,'3b Activity Plan'!$AH$173:$AH$365,'3b Activity Plan'!$CY$173:$CY$365,('3b Activity Plan'!$C$173:$C$365=$C$130)*1)</f>
        <v>0</v>
      </c>
      <c r="D143" s="1558">
        <f ca="1">SUMPRODUCT('3b Activity Plan'!$AN$173:$AN$365,OFFSET('3b Activity Plan'!$DJ$173:$DJ$365,0,$CU143-1),'3b Activity Plan'!AP$173:AP$365,'3b Activity Plan'!$AH$173:$AH$365,'3b Activity Plan'!$CY$173:$CY$365,('3b Activity Plan'!$C$173:$C$365=$C$130)*1)</f>
        <v>0</v>
      </c>
      <c r="E143" s="1558">
        <f ca="1">SUMPRODUCT('3b Activity Plan'!$AN$173:$AN$365,OFFSET('3b Activity Plan'!$DJ$173:$DJ$365,0,$CU143-1),'3b Activity Plan'!AQ$173:AQ$365,'3b Activity Plan'!$AH$173:$AH$365,'3b Activity Plan'!$CY$173:$CY$365,('3b Activity Plan'!$C$173:$C$365=$C$130)*1)</f>
        <v>0</v>
      </c>
      <c r="F143" s="1558">
        <f ca="1">SUMPRODUCT('3b Activity Plan'!$AN$173:$AN$365,OFFSET('3b Activity Plan'!$DJ$173:$DJ$365,0,$CU143-1),'3b Activity Plan'!AR$173:AR$365,'3b Activity Plan'!$AH$173:$AH$365,'3b Activity Plan'!$CY$173:$CY$365,('3b Activity Plan'!$C$173:$C$365=$C$130)*1)</f>
        <v>0</v>
      </c>
      <c r="G143" s="1558">
        <f ca="1">SUMPRODUCT('3b Activity Plan'!$AN$173:$AN$365,OFFSET('3b Activity Plan'!$DJ$173:$DJ$365,0,$CU143-1),'3b Activity Plan'!AS$173:AS$365,'3b Activity Plan'!$AH$173:$AH$365,'3b Activity Plan'!$CY$173:$CY$365,('3b Activity Plan'!$C$173:$C$365=$C$130)*1)</f>
        <v>0</v>
      </c>
      <c r="H143" s="1558">
        <f ca="1">SUMPRODUCT('3b Activity Plan'!$AN$173:$AN$365,OFFSET('3b Activity Plan'!$DJ$173:$DJ$365,0,$CU143-1),'3b Activity Plan'!AT$173:AT$365,'3b Activity Plan'!$AH$173:$AH$365,'3b Activity Plan'!$CY$173:$CY$365,('3b Activity Plan'!$C$173:$C$365=$C$130)*1)</f>
        <v>0</v>
      </c>
      <c r="I143" s="1558">
        <f ca="1">SUMPRODUCT('3b Activity Plan'!$AN$173:$AN$365,OFFSET('3b Activity Plan'!$DJ$173:$DJ$365,0,$CU143-1),'3b Activity Plan'!AU$173:AU$365,'3b Activity Plan'!$AH$173:$AH$365,'3b Activity Plan'!$CY$173:$CY$365,('3b Activity Plan'!$C$173:$C$365=$C$130)*1)</f>
        <v>0</v>
      </c>
      <c r="J143" s="1558">
        <f ca="1">SUMPRODUCT('3b Activity Plan'!$AN$173:$AN$365,OFFSET('3b Activity Plan'!$DJ$173:$DJ$365,0,$CU143-1),'3b Activity Plan'!AV$173:AV$365,'3b Activity Plan'!$AH$173:$AH$365,'3b Activity Plan'!$CY$173:$CY$365,('3b Activity Plan'!$C$173:$C$365=$C$130)*1)</f>
        <v>0</v>
      </c>
      <c r="K143" s="1558">
        <f ca="1">SUMPRODUCT('3b Activity Plan'!$AN$173:$AN$365,OFFSET('3b Activity Plan'!$DJ$173:$DJ$365,0,$CU143-1),'3b Activity Plan'!AW$173:AW$365,'3b Activity Plan'!$AH$173:$AH$365,'3b Activity Plan'!$CY$173:$CY$365,('3b Activity Plan'!$C$173:$C$365=$C$130)*1)</f>
        <v>0</v>
      </c>
      <c r="L143" s="1601">
        <f ca="1">SUMPRODUCT('3b Activity Plan'!$AN$173:$AN$365,OFFSET('3b Activity Plan'!$DJ$173:$DJ$365,0,$CU143-1),'3b Activity Plan'!AX$173:AX$365,'3b Activity Plan'!$AH$173:$AH$365,'3b Activity Plan'!$CY$173:$CY$365,('3b Activity Plan'!$C$173:$C$365=$C$130)*1)</f>
        <v>0</v>
      </c>
      <c r="M143" s="1602">
        <f ca="1">SUMPRODUCT('3b Activity Plan'!$AN$173:$AN$365,OFFSET('3b Activity Plan'!$DJ$173:$DJ$365,0,$CU143-1),'3b Activity Plan'!AO$173:AO$365,'3b Activity Plan'!$AH$173:$AH$365,'3b Activity Plan'!$CY$173:$CY$365,('3b Activity Plan'!$C$173:$C$365=$M$130)*1)</f>
        <v>0</v>
      </c>
      <c r="N143" s="1558">
        <f ca="1">SUMPRODUCT('3b Activity Plan'!$AN$173:$AN$365,OFFSET('3b Activity Plan'!$DJ$173:$DJ$365,0,$CU143-1),'3b Activity Plan'!AP$173:AP$365,'3b Activity Plan'!$AH$173:$AH$365,'3b Activity Plan'!$CY$173:$CY$365,('3b Activity Plan'!$C$173:$C$365=$M$130)*1)</f>
        <v>0</v>
      </c>
      <c r="O143" s="1558">
        <f ca="1">SUMPRODUCT('3b Activity Plan'!$AN$173:$AN$365,OFFSET('3b Activity Plan'!$DJ$173:$DJ$365,0,$CU143-1),'3b Activity Plan'!AQ$173:AQ$365,'3b Activity Plan'!$AH$173:$AH$365,'3b Activity Plan'!$CY$173:$CY$365,('3b Activity Plan'!$C$173:$C$365=$M$130)*1)</f>
        <v>0</v>
      </c>
      <c r="P143" s="1558">
        <f ca="1">SUMPRODUCT('3b Activity Plan'!$AN$173:$AN$365,OFFSET('3b Activity Plan'!$DJ$173:$DJ$365,0,$CU143-1),'3b Activity Plan'!AR$173:AR$365,'3b Activity Plan'!$AH$173:$AH$365,'3b Activity Plan'!$CY$173:$CY$365,('3b Activity Plan'!$C$173:$C$365=$M$130)*1)</f>
        <v>0</v>
      </c>
      <c r="Q143" s="1558">
        <f ca="1">SUMPRODUCT('3b Activity Plan'!$AN$173:$AN$365,OFFSET('3b Activity Plan'!$DJ$173:$DJ$365,0,$CU143-1),'3b Activity Plan'!AS$173:AS$365,'3b Activity Plan'!$AH$173:$AH$365,'3b Activity Plan'!$CY$173:$CY$365,('3b Activity Plan'!$C$173:$C$365=$M$130)*1)</f>
        <v>0</v>
      </c>
      <c r="R143" s="1558">
        <f ca="1">SUMPRODUCT('3b Activity Plan'!$AN$173:$AN$365,OFFSET('3b Activity Plan'!$DJ$173:$DJ$365,0,$CU143-1),'3b Activity Plan'!AT$173:AT$365,'3b Activity Plan'!$AH$173:$AH$365,'3b Activity Plan'!$CY$173:$CY$365,('3b Activity Plan'!$C$173:$C$365=$M$130)*1)</f>
        <v>0</v>
      </c>
      <c r="S143" s="1558">
        <f ca="1">SUMPRODUCT('3b Activity Plan'!$AN$173:$AN$365,OFFSET('3b Activity Plan'!$DJ$173:$DJ$365,0,$CU143-1),'3b Activity Plan'!AU$173:AU$365,'3b Activity Plan'!$AH$173:$AH$365,'3b Activity Plan'!$CY$173:$CY$365,('3b Activity Plan'!$C$173:$C$365=$M$130)*1)</f>
        <v>0</v>
      </c>
      <c r="T143" s="1558">
        <f ca="1">SUMPRODUCT('3b Activity Plan'!$AN$173:$AN$365,OFFSET('3b Activity Plan'!$DJ$173:$DJ$365,0,$CU143-1),'3b Activity Plan'!AV$173:AV$365,'3b Activity Plan'!$AH$173:$AH$365,'3b Activity Plan'!$CY$173:$CY$365,('3b Activity Plan'!$C$173:$C$365=$M$130)*1)</f>
        <v>0</v>
      </c>
      <c r="U143" s="1558">
        <f ca="1">SUMPRODUCT('3b Activity Plan'!$AN$173:$AN$365,OFFSET('3b Activity Plan'!$DJ$173:$DJ$365,0,$CU143-1),'3b Activity Plan'!AW$173:AW$365,'3b Activity Plan'!$AH$173:$AH$365,'3b Activity Plan'!$CY$173:$CY$365,('3b Activity Plan'!$C$173:$C$365=$M$130)*1)</f>
        <v>0</v>
      </c>
      <c r="V143" s="1601">
        <f ca="1">SUMPRODUCT('3b Activity Plan'!$AN$173:$AN$365,OFFSET('3b Activity Plan'!$DJ$173:$DJ$365,0,$CU143-1),'3b Activity Plan'!AX$173:AX$365,'3b Activity Plan'!$AH$173:$AH$365,'3b Activity Plan'!$CY$173:$CY$365,('3b Activity Plan'!$C$173:$C$365=$M$130)*1)</f>
        <v>0</v>
      </c>
      <c r="W143" s="1602">
        <f ca="1">SUMPRODUCT('3b Activity Plan'!$AN$173:$AN$365,OFFSET('3b Activity Plan'!$DJ$173:$DJ$365,0,$CU143-1),'3b Activity Plan'!AO$173:AO$365,'3b Activity Plan'!$AH$173:$AH$365,'3b Activity Plan'!$CY$173:$CY$365,('3b Activity Plan'!$C$173:$C$365=$W$130)*1)</f>
        <v>0</v>
      </c>
      <c r="X143" s="1558">
        <f ca="1">SUMPRODUCT('3b Activity Plan'!$AN$173:$AN$365,OFFSET('3b Activity Plan'!$DJ$173:$DJ$365,0,$CU143-1),'3b Activity Plan'!AP$173:AP$365,'3b Activity Plan'!$AH$173:$AH$365,'3b Activity Plan'!$CY$173:$CY$365,('3b Activity Plan'!$C$173:$C$365=$W$130)*1)</f>
        <v>0</v>
      </c>
      <c r="Y143" s="1558">
        <f ca="1">SUMPRODUCT('3b Activity Plan'!$AN$173:$AN$365,OFFSET('3b Activity Plan'!$DJ$173:$DJ$365,0,$CU143-1),'3b Activity Plan'!AQ$173:AQ$365,'3b Activity Plan'!$AH$173:$AH$365,'3b Activity Plan'!$CY$173:$CY$365,('3b Activity Plan'!$C$173:$C$365=$W$130)*1)</f>
        <v>0</v>
      </c>
      <c r="Z143" s="1558">
        <f ca="1">SUMPRODUCT('3b Activity Plan'!$AN$173:$AN$365,OFFSET('3b Activity Plan'!$DJ$173:$DJ$365,0,$CU143-1),'3b Activity Plan'!AR$173:AR$365,'3b Activity Plan'!$AH$173:$AH$365,'3b Activity Plan'!$CY$173:$CY$365,('3b Activity Plan'!$C$173:$C$365=$W$130)*1)</f>
        <v>0</v>
      </c>
      <c r="AA143" s="1558">
        <f ca="1">SUMPRODUCT('3b Activity Plan'!$AN$173:$AN$365,OFFSET('3b Activity Plan'!$DJ$173:$DJ$365,0,$CU143-1),'3b Activity Plan'!AS$173:AS$365,'3b Activity Plan'!$AH$173:$AH$365,'3b Activity Plan'!$CY$173:$CY$365,('3b Activity Plan'!$C$173:$C$365=$W$130)*1)</f>
        <v>0</v>
      </c>
      <c r="AB143" s="1558">
        <f ca="1">SUMPRODUCT('3b Activity Plan'!$AN$173:$AN$365,OFFSET('3b Activity Plan'!$DJ$173:$DJ$365,0,$CU143-1),'3b Activity Plan'!AT$173:AT$365,'3b Activity Plan'!$AH$173:$AH$365,'3b Activity Plan'!$CY$173:$CY$365,('3b Activity Plan'!$C$173:$C$365=$W$130)*1)</f>
        <v>0</v>
      </c>
      <c r="AC143" s="1558">
        <f ca="1">SUMPRODUCT('3b Activity Plan'!$AN$173:$AN$365,OFFSET('3b Activity Plan'!$DJ$173:$DJ$365,0,$CU143-1),'3b Activity Plan'!AU$173:AU$365,'3b Activity Plan'!$AH$173:$AH$365,'3b Activity Plan'!$CY$173:$CY$365,('3b Activity Plan'!$C$173:$C$365=$W$130)*1)</f>
        <v>0</v>
      </c>
      <c r="AD143" s="1558">
        <f ca="1">SUMPRODUCT('3b Activity Plan'!$AN$173:$AN$365,OFFSET('3b Activity Plan'!$DJ$173:$DJ$365,0,$CU143-1),'3b Activity Plan'!AV$173:AV$365,'3b Activity Plan'!$AH$173:$AH$365,'3b Activity Plan'!$CY$173:$CY$365,('3b Activity Plan'!$C$173:$C$365=$W$130)*1)</f>
        <v>0</v>
      </c>
      <c r="AE143" s="1558">
        <f ca="1">SUMPRODUCT('3b Activity Plan'!$AN$173:$AN$365,OFFSET('3b Activity Plan'!$DJ$173:$DJ$365,0,$CU143-1),'3b Activity Plan'!AW$173:AW$365,'3b Activity Plan'!$AH$173:$AH$365,'3b Activity Plan'!$CY$173:$CY$365,('3b Activity Plan'!$C$173:$C$365=$W$130)*1)</f>
        <v>0</v>
      </c>
      <c r="AF143" s="1558">
        <f ca="1">SUMPRODUCT('3b Activity Plan'!$AN$173:$AN$365,OFFSET('3b Activity Plan'!$DJ$173:$DJ$365,0,$CU143-1),'3b Activity Plan'!AX$173:AX$365,'3b Activity Plan'!$AH$173:$AH$365,'3b Activity Plan'!$CY$173:$CY$365,('3b Activity Plan'!$C$173:$C$365=$W$130)*1)</f>
        <v>0</v>
      </c>
      <c r="AG143" s="1602">
        <f ca="1">SUMPRODUCT('3b Activity Plan'!$AN$173:$AN$365,OFFSET('3b Activity Plan'!$DJ$173:$DJ$365,0,$CU143-1),'3b Activity Plan'!AO$173:AO$365,'3b Activity Plan'!$AH$173:$AH$365,'3b Activity Plan'!$CY$173:$CY$365,('3b Activity Plan'!$C$173:$C$365=$AG$130)*1)</f>
        <v>0</v>
      </c>
      <c r="AH143" s="1558">
        <f ca="1">SUMPRODUCT('3b Activity Plan'!$AN$173:$AN$365,OFFSET('3b Activity Plan'!$DJ$173:$DJ$365,0,$CU143-1),'3b Activity Plan'!AP$173:AP$365,'3b Activity Plan'!$AH$173:$AH$365,'3b Activity Plan'!$CY$173:$CY$365,('3b Activity Plan'!$C$173:$C$365=$AG$130)*1)</f>
        <v>0</v>
      </c>
      <c r="AI143" s="1558">
        <f ca="1">SUMPRODUCT('3b Activity Plan'!$AN$173:$AN$365,OFFSET('3b Activity Plan'!$DJ$173:$DJ$365,0,$CU143-1),'3b Activity Plan'!AQ$173:AQ$365,'3b Activity Plan'!$AH$173:$AH$365,'3b Activity Plan'!$CY$173:$CY$365,('3b Activity Plan'!$C$173:$C$365=$AG$130)*1)</f>
        <v>0</v>
      </c>
      <c r="AJ143" s="1558">
        <f ca="1">SUMPRODUCT('3b Activity Plan'!$AN$173:$AN$365,OFFSET('3b Activity Plan'!$DJ$173:$DJ$365,0,$CU143-1),'3b Activity Plan'!AR$173:AR$365,'3b Activity Plan'!$AH$173:$AH$365,'3b Activity Plan'!$CY$173:$CY$365,('3b Activity Plan'!$C$173:$C$365=$AG$130)*1)</f>
        <v>0</v>
      </c>
      <c r="AK143" s="1558">
        <f ca="1">SUMPRODUCT('3b Activity Plan'!$AN$173:$AN$365,OFFSET('3b Activity Plan'!$DJ$173:$DJ$365,0,$CU143-1),'3b Activity Plan'!AS$173:AS$365,'3b Activity Plan'!$AH$173:$AH$365,'3b Activity Plan'!$CY$173:$CY$365,('3b Activity Plan'!$C$173:$C$365=$AG$130)*1)</f>
        <v>0</v>
      </c>
      <c r="AL143" s="1558">
        <f ca="1">SUMPRODUCT('3b Activity Plan'!$AN$173:$AN$365,OFFSET('3b Activity Plan'!$DJ$173:$DJ$365,0,$CU143-1),'3b Activity Plan'!AT$173:AT$365,'3b Activity Plan'!$AH$173:$AH$365,'3b Activity Plan'!$CY$173:$CY$365,('3b Activity Plan'!$C$173:$C$365=$AG$130)*1)</f>
        <v>0</v>
      </c>
      <c r="AM143" s="1558">
        <f ca="1">SUMPRODUCT('3b Activity Plan'!$AN$173:$AN$365,OFFSET('3b Activity Plan'!$DJ$173:$DJ$365,0,$CU143-1),'3b Activity Plan'!AU$173:AU$365,'3b Activity Plan'!$AH$173:$AH$365,'3b Activity Plan'!$CY$173:$CY$365,('3b Activity Plan'!$C$173:$C$365=$AG$130)*1)</f>
        <v>0</v>
      </c>
      <c r="AN143" s="1558">
        <f ca="1">SUMPRODUCT('3b Activity Plan'!$AN$173:$AN$365,OFFSET('3b Activity Plan'!$DJ$173:$DJ$365,0,$CU143-1),'3b Activity Plan'!AV$173:AV$365,'3b Activity Plan'!$AH$173:$AH$365,'3b Activity Plan'!$CY$173:$CY$365,('3b Activity Plan'!$C$173:$C$365=$AG$130)*1)</f>
        <v>0</v>
      </c>
      <c r="AO143" s="1558">
        <f ca="1">SUMPRODUCT('3b Activity Plan'!$AN$173:$AN$365,OFFSET('3b Activity Plan'!$DJ$173:$DJ$365,0,$CU143-1),'3b Activity Plan'!AW$173:AW$365,'3b Activity Plan'!$AH$173:$AH$365,'3b Activity Plan'!$CY$173:$CY$365,('3b Activity Plan'!$C$173:$C$365=$AG$130)*1)</f>
        <v>0</v>
      </c>
      <c r="AP143" s="1558">
        <f ca="1">SUMPRODUCT('3b Activity Plan'!$AN$173:$AN$365,OFFSET('3b Activity Plan'!$DJ$173:$DJ$365,0,$CU143-1),'3b Activity Plan'!AX$173:AX$365,'3b Activity Plan'!$AH$173:$AH$365,'3b Activity Plan'!$CY$173:$CY$365,('3b Activity Plan'!$C$173:$C$365=$AG$130)*1)</f>
        <v>0</v>
      </c>
      <c r="AQ143" s="1602">
        <f ca="1">SUMPRODUCT('3b Activity Plan'!$AN$173:$AN$365,OFFSET('3b Activity Plan'!$DJ$173:$DJ$365,0,$CU143-1),'3b Activity Plan'!AO$173:AO$365,'3b Activity Plan'!$AH$173:$AH$365,'3b Activity Plan'!$CY$173:$CY$365,('3b Activity Plan'!$C$173:$C$365=$AQ$130)*1)</f>
        <v>0</v>
      </c>
      <c r="AR143" s="1558">
        <f ca="1">SUMPRODUCT('3b Activity Plan'!$AN$173:$AN$365,OFFSET('3b Activity Plan'!$DJ$173:$DJ$365,0,$CU143-1),'3b Activity Plan'!AP$173:AP$365,'3b Activity Plan'!$AH$173:$AH$365,'3b Activity Plan'!$CY$173:$CY$365,('3b Activity Plan'!$C$173:$C$365=$AQ$130)*1)</f>
        <v>0</v>
      </c>
      <c r="AS143" s="1558">
        <f ca="1">SUMPRODUCT('3b Activity Plan'!$AN$173:$AN$365,OFFSET('3b Activity Plan'!$DJ$173:$DJ$365,0,$CU143-1),'3b Activity Plan'!AQ$173:AQ$365,'3b Activity Plan'!$AH$173:$AH$365,'3b Activity Plan'!$CY$173:$CY$365,('3b Activity Plan'!$C$173:$C$365=$AQ$130)*1)</f>
        <v>0</v>
      </c>
      <c r="AT143" s="1558">
        <f ca="1">SUMPRODUCT('3b Activity Plan'!$AN$173:$AN$365,OFFSET('3b Activity Plan'!$DJ$173:$DJ$365,0,$CU143-1),'3b Activity Plan'!AR$173:AR$365,'3b Activity Plan'!$AH$173:$AH$365,'3b Activity Plan'!$CY$173:$CY$365,('3b Activity Plan'!$C$173:$C$365=$AQ$130)*1)</f>
        <v>0</v>
      </c>
      <c r="AU143" s="1558">
        <f ca="1">SUMPRODUCT('3b Activity Plan'!$AN$173:$AN$365,OFFSET('3b Activity Plan'!$DJ$173:$DJ$365,0,$CU143-1),'3b Activity Plan'!AS$173:AS$365,'3b Activity Plan'!$AH$173:$AH$365,'3b Activity Plan'!$CY$173:$CY$365,('3b Activity Plan'!$C$173:$C$365=$AQ$130)*1)</f>
        <v>0</v>
      </c>
      <c r="AV143" s="1558">
        <f ca="1">SUMPRODUCT('3b Activity Plan'!$AN$173:$AN$365,OFFSET('3b Activity Plan'!$DJ$173:$DJ$365,0,$CU143-1),'3b Activity Plan'!AT$173:AT$365,'3b Activity Plan'!$AH$173:$AH$365,'3b Activity Plan'!$CY$173:$CY$365,('3b Activity Plan'!$C$173:$C$365=$AQ$130)*1)</f>
        <v>0</v>
      </c>
      <c r="AW143" s="1558">
        <f ca="1">SUMPRODUCT('3b Activity Plan'!$AN$173:$AN$365,OFFSET('3b Activity Plan'!$DJ$173:$DJ$365,0,$CU143-1),'3b Activity Plan'!AU$173:AU$365,'3b Activity Plan'!$AH$173:$AH$365,'3b Activity Plan'!$CY$173:$CY$365,('3b Activity Plan'!$C$173:$C$365=$AQ$130)*1)</f>
        <v>0</v>
      </c>
      <c r="AX143" s="1558">
        <f ca="1">SUMPRODUCT('3b Activity Plan'!$AN$173:$AN$365,OFFSET('3b Activity Plan'!$DJ$173:$DJ$365,0,$CU143-1),'3b Activity Plan'!AV$173:AV$365,'3b Activity Plan'!$AH$173:$AH$365,'3b Activity Plan'!$CY$173:$CY$365,('3b Activity Plan'!$C$173:$C$365=$AQ$130)*1)</f>
        <v>0</v>
      </c>
      <c r="AY143" s="1558">
        <f ca="1">SUMPRODUCT('3b Activity Plan'!$AN$173:$AN$365,OFFSET('3b Activity Plan'!$DJ$173:$DJ$365,0,$CU143-1),'3b Activity Plan'!AW$173:AW$365,'3b Activity Plan'!$AH$173:$AH$365,'3b Activity Plan'!$CY$173:$CY$365,('3b Activity Plan'!$C$173:$C$365=$AQ$130)*1)</f>
        <v>0</v>
      </c>
      <c r="AZ143" s="1558">
        <f ca="1">SUMPRODUCT('3b Activity Plan'!$AN$173:$AN$365,OFFSET('3b Activity Plan'!$DJ$173:$DJ$365,0,$CU143-1),'3b Activity Plan'!AX$173:AX$365,'3b Activity Plan'!$AH$173:$AH$365,'3b Activity Plan'!$CY$173:$CY$365,('3b Activity Plan'!$C$173:$C$365=$AQ$130)*1)</f>
        <v>0</v>
      </c>
      <c r="BA143" s="1602">
        <f ca="1">SUMPRODUCT('3b Activity Plan'!$AN$173:$AN$365,OFFSET('3b Activity Plan'!$DJ$173:$DJ$365,0,$CU143-1),'3b Activity Plan'!AO$173:AO$365,'3b Activity Plan'!$AH$173:$AH$365,'3b Activity Plan'!$CY$173:$CY$365,('3b Activity Plan'!$C$173:$C$365=$BA$130)*1)</f>
        <v>0</v>
      </c>
      <c r="BB143" s="1558">
        <f ca="1">SUMPRODUCT('3b Activity Plan'!$AN$173:$AN$365,OFFSET('3b Activity Plan'!$DJ$173:$DJ$365,0,$CU143-1),'3b Activity Plan'!AP$173:AP$365,'3b Activity Plan'!$AH$173:$AH$365,'3b Activity Plan'!$CY$173:$CY$365,('3b Activity Plan'!$C$173:$C$365=$BA$130)*1)</f>
        <v>0</v>
      </c>
      <c r="BC143" s="1558">
        <f ca="1">SUMPRODUCT('3b Activity Plan'!$AN$173:$AN$365,OFFSET('3b Activity Plan'!$DJ$173:$DJ$365,0,$CU143-1),'3b Activity Plan'!AQ$173:AQ$365,'3b Activity Plan'!$AH$173:$AH$365,'3b Activity Plan'!$CY$173:$CY$365,('3b Activity Plan'!$C$173:$C$365=$BA$130)*1)</f>
        <v>0</v>
      </c>
      <c r="BD143" s="1558">
        <f ca="1">SUMPRODUCT('3b Activity Plan'!$AN$173:$AN$365,OFFSET('3b Activity Plan'!$DJ$173:$DJ$365,0,$CU143-1),'3b Activity Plan'!AR$173:AR$365,'3b Activity Plan'!$AH$173:$AH$365,'3b Activity Plan'!$CY$173:$CY$365,('3b Activity Plan'!$C$173:$C$365=$BA$130)*1)</f>
        <v>0</v>
      </c>
      <c r="BE143" s="1558">
        <f ca="1">SUMPRODUCT('3b Activity Plan'!$AN$173:$AN$365,OFFSET('3b Activity Plan'!$DJ$173:$DJ$365,0,$CU143-1),'3b Activity Plan'!AS$173:AS$365,'3b Activity Plan'!$AH$173:$AH$365,'3b Activity Plan'!$CY$173:$CY$365,('3b Activity Plan'!$C$173:$C$365=$BA$130)*1)</f>
        <v>0</v>
      </c>
      <c r="BF143" s="1558">
        <f ca="1">SUMPRODUCT('3b Activity Plan'!$AN$173:$AN$365,OFFSET('3b Activity Plan'!$DJ$173:$DJ$365,0,$CU143-1),'3b Activity Plan'!AT$173:AT$365,'3b Activity Plan'!$AH$173:$AH$365,'3b Activity Plan'!$CY$173:$CY$365,('3b Activity Plan'!$C$173:$C$365=$BA$130)*1)</f>
        <v>0</v>
      </c>
      <c r="BG143" s="1558">
        <f ca="1">SUMPRODUCT('3b Activity Plan'!$AN$173:$AN$365,OFFSET('3b Activity Plan'!$DJ$173:$DJ$365,0,$CU143-1),'3b Activity Plan'!AU$173:AU$365,'3b Activity Plan'!$AH$173:$AH$365,'3b Activity Plan'!$CY$173:$CY$365,('3b Activity Plan'!$C$173:$C$365=$BA$130)*1)</f>
        <v>0</v>
      </c>
      <c r="BH143" s="1558">
        <f ca="1">SUMPRODUCT('3b Activity Plan'!$AN$173:$AN$365,OFFSET('3b Activity Plan'!$DJ$173:$DJ$365,0,$CU143-1),'3b Activity Plan'!AV$173:AV$365,'3b Activity Plan'!$AH$173:$AH$365,'3b Activity Plan'!$CY$173:$CY$365,('3b Activity Plan'!$C$173:$C$365=$BA$130)*1)</f>
        <v>0</v>
      </c>
      <c r="BI143" s="1558">
        <f ca="1">SUMPRODUCT('3b Activity Plan'!$AN$173:$AN$365,OFFSET('3b Activity Plan'!$DJ$173:$DJ$365,0,$CU143-1),'3b Activity Plan'!AW$173:AW$365,'3b Activity Plan'!$AH$173:$AH$365,'3b Activity Plan'!$CY$173:$CY$365,('3b Activity Plan'!$C$173:$C$365=$BA$130)*1)</f>
        <v>0</v>
      </c>
      <c r="BJ143" s="1558">
        <f ca="1">SUMPRODUCT('3b Activity Plan'!$AN$173:$AN$365,OFFSET('3b Activity Plan'!$DJ$173:$DJ$365,0,$CU143-1),'3b Activity Plan'!AX$173:AX$365,'3b Activity Plan'!$AH$173:$AH$365,'3b Activity Plan'!$CY$173:$CY$365,('3b Activity Plan'!$C$173:$C$365=$BA$130)*1)</f>
        <v>0</v>
      </c>
      <c r="BK143" s="1602">
        <f ca="1">SUMPRODUCT('3b Activity Plan'!$AN$173:$AN$365,OFFSET('3b Activity Plan'!$DJ$173:$DJ$365,0,$CU143-1),'3b Activity Plan'!AO$173:AO$365,'3b Activity Plan'!$AH$173:$AH$365,'3b Activity Plan'!$CY$173:$CY$365,('3b Activity Plan'!$C$173:$C$365=$BK$130)*1)</f>
        <v>0</v>
      </c>
      <c r="BL143" s="1558">
        <f ca="1">SUMPRODUCT('3b Activity Plan'!$AN$173:$AN$365,OFFSET('3b Activity Plan'!$DJ$173:$DJ$365,0,$CU143-1),'3b Activity Plan'!AP$173:AP$365,'3b Activity Plan'!$AH$173:$AH$365,'3b Activity Plan'!$CY$173:$CY$365,('3b Activity Plan'!$C$173:$C$365=$BK$130)*1)</f>
        <v>0</v>
      </c>
      <c r="BM143" s="1558">
        <f ca="1">SUMPRODUCT('3b Activity Plan'!$AN$173:$AN$365,OFFSET('3b Activity Plan'!$DJ$173:$DJ$365,0,$CU143-1),'3b Activity Plan'!AQ$173:AQ$365,'3b Activity Plan'!$AH$173:$AH$365,'3b Activity Plan'!$CY$173:$CY$365,('3b Activity Plan'!$C$173:$C$365=$BK$130)*1)</f>
        <v>0</v>
      </c>
      <c r="BN143" s="1558">
        <f ca="1">SUMPRODUCT('3b Activity Plan'!$AN$173:$AN$365,OFFSET('3b Activity Plan'!$DJ$173:$DJ$365,0,$CU143-1),'3b Activity Plan'!AR$173:AR$365,'3b Activity Plan'!$AH$173:$AH$365,'3b Activity Plan'!$CY$173:$CY$365,('3b Activity Plan'!$C$173:$C$365=$BK$130)*1)</f>
        <v>0</v>
      </c>
      <c r="BO143" s="1558">
        <f ca="1">SUMPRODUCT('3b Activity Plan'!$AN$173:$AN$365,OFFSET('3b Activity Plan'!$DJ$173:$DJ$365,0,$CU143-1),'3b Activity Plan'!AS$173:AS$365,'3b Activity Plan'!$AH$173:$AH$365,'3b Activity Plan'!$CY$173:$CY$365,('3b Activity Plan'!$C$173:$C$365=$BK$130)*1)</f>
        <v>0</v>
      </c>
      <c r="BP143" s="1558">
        <f ca="1">SUMPRODUCT('3b Activity Plan'!$AN$173:$AN$365,OFFSET('3b Activity Plan'!$DJ$173:$DJ$365,0,$CU143-1),'3b Activity Plan'!AT$173:AT$365,'3b Activity Plan'!$AH$173:$AH$365,'3b Activity Plan'!$CY$173:$CY$365,('3b Activity Plan'!$C$173:$C$365=$BK$130)*1)</f>
        <v>0</v>
      </c>
      <c r="BQ143" s="1558">
        <f ca="1">SUMPRODUCT('3b Activity Plan'!$AN$173:$AN$365,OFFSET('3b Activity Plan'!$DJ$173:$DJ$365,0,$CU143-1),'3b Activity Plan'!AU$173:AU$365,'3b Activity Plan'!$AH$173:$AH$365,'3b Activity Plan'!$CY$173:$CY$365,('3b Activity Plan'!$C$173:$C$365=$BK$130)*1)</f>
        <v>0</v>
      </c>
      <c r="BR143" s="1558">
        <f ca="1">SUMPRODUCT('3b Activity Plan'!$AN$173:$AN$365,OFFSET('3b Activity Plan'!$DJ$173:$DJ$365,0,$CU143-1),'3b Activity Plan'!AV$173:AV$365,'3b Activity Plan'!$AH$173:$AH$365,'3b Activity Plan'!$CY$173:$CY$365,('3b Activity Plan'!$C$173:$C$365=$BK$130)*1)</f>
        <v>0</v>
      </c>
      <c r="BS143" s="1558">
        <f ca="1">SUMPRODUCT('3b Activity Plan'!$AN$173:$AN$365,OFFSET('3b Activity Plan'!$DJ$173:$DJ$365,0,$CU143-1),'3b Activity Plan'!AW$173:AW$365,'3b Activity Plan'!$AH$173:$AH$365,'3b Activity Plan'!$CY$173:$CY$365,('3b Activity Plan'!$C$173:$C$365=$BK$130)*1)</f>
        <v>0</v>
      </c>
      <c r="BT143" s="1558">
        <f ca="1">SUMPRODUCT('3b Activity Plan'!$AN$173:$AN$365,OFFSET('3b Activity Plan'!$DJ$173:$DJ$365,0,$CU143-1),'3b Activity Plan'!AX$173:AX$365,'3b Activity Plan'!$AH$173:$AH$365,'3b Activity Plan'!$CY$173:$CY$365,('3b Activity Plan'!$C$173:$C$365=$BK$130)*1)</f>
        <v>0</v>
      </c>
      <c r="BU143" s="1587"/>
      <c r="BV143" s="1587"/>
      <c r="BW143" s="1587"/>
      <c r="BX143" s="1556"/>
      <c r="BY143" s="1556"/>
      <c r="BZ143" s="1556"/>
      <c r="CA143" s="1024">
        <f ca="1">SUMIFS('3a Staff Plan'!$T$129:$T$305,'3a Staff Plan'!$DY$129:$DY$305,CZ143,'3a Staff Plan'!$DF$129:$DF$305,1)</f>
        <v>0</v>
      </c>
      <c r="CB143" s="1025">
        <f ca="1">SUMIFS('3a Staff Plan'!$T$129:$T$305,'3a Staff Plan'!$DY$129:$DY$305,$CZ143,'3a Staff Plan'!$DF$129:$DF$305,1,'3a Staff Plan'!$C$129:$C$305,DC$18)</f>
        <v>0</v>
      </c>
      <c r="CC143" s="1026">
        <f ca="1">SUMIFS('3a Staff Plan'!$T$129:$T$305,'3a Staff Plan'!$DY$129:$DY$305,$CZ143,'3a Staff Plan'!$DF$129:$DF$305,1,'3a Staff Plan'!$C$129:$C$305,DD$18)</f>
        <v>0</v>
      </c>
      <c r="CD143" s="1026">
        <f ca="1">SUMIFS('3a Staff Plan'!$T$129:$T$305,'3a Staff Plan'!$DY$129:$DY$305,$CZ143,'3a Staff Plan'!$DF$129:$DF$305,1,'3a Staff Plan'!$C$129:$C$305,DE$18)</f>
        <v>0</v>
      </c>
      <c r="CE143" s="1026">
        <f ca="1">SUMIFS('3a Staff Plan'!$T$129:$T$305,'3a Staff Plan'!$DY$129:$DY$305,$CZ143,'3a Staff Plan'!$DF$129:$DF$305,1,'3a Staff Plan'!$C$129:$C$305,DF$18)</f>
        <v>0</v>
      </c>
      <c r="CF143" s="1026">
        <f ca="1">SUMIFS('3a Staff Plan'!$T$129:$T$305,'3a Staff Plan'!$DY$129:$DY$305,$CZ143,'3a Staff Plan'!$DF$129:$DF$305,1,'3a Staff Plan'!$C$129:$C$305,DG$18)</f>
        <v>0</v>
      </c>
      <c r="CG143" s="1026">
        <f ca="1">SUMIFS('3a Staff Plan'!$T$129:$T$305,'3a Staff Plan'!$DY$129:$DY$305,$CZ143,'3a Staff Plan'!$DF$129:$DF$305,1,'3a Staff Plan'!$C$129:$C$305,DH$18)</f>
        <v>0</v>
      </c>
      <c r="CH143" s="1026">
        <f ca="1">SUMIFS('3a Staff Plan'!$T$129:$T$305,'3a Staff Plan'!$DY$129:$DY$305,$CZ143,'3a Staff Plan'!$DF$129:$DF$305,1,'3a Staff Plan'!$C$129:$C$305,DI$18)</f>
        <v>0</v>
      </c>
      <c r="CI143" s="755"/>
      <c r="CJ143" s="1024">
        <f ca="1">SUMPRODUCT('3b Activity Plan'!$AN$173:$AN$365,'3b Activity Plan'!$CY$173:$CY$365,'3b Activity Plan'!$AH$173:$AH$365,OFFSET('3b Activity Plan'!$DJ$173:$DJ$365,0,$CU143-1))</f>
        <v>0</v>
      </c>
      <c r="CK143" s="1025">
        <f t="shared" ca="1" si="93"/>
        <v>0</v>
      </c>
      <c r="CL143" s="1026">
        <f t="shared" ca="1" si="94"/>
        <v>0</v>
      </c>
      <c r="CM143" s="1026">
        <f t="shared" ca="1" si="95"/>
        <v>0</v>
      </c>
      <c r="CN143" s="1026">
        <f t="shared" ca="1" si="96"/>
        <v>0</v>
      </c>
      <c r="CO143" s="1026">
        <f t="shared" ca="1" si="97"/>
        <v>0</v>
      </c>
      <c r="CP143" s="1026">
        <f t="shared" ca="1" si="98"/>
        <v>0</v>
      </c>
      <c r="CQ143" s="1026">
        <f t="shared" ca="1" si="99"/>
        <v>0</v>
      </c>
      <c r="CR143" s="417"/>
      <c r="CS143" s="417">
        <f t="shared" si="100"/>
        <v>11</v>
      </c>
      <c r="CT143" s="417">
        <f ca="1">OFFSET('2 Staff List'!$GU$64,CS143-1,0)</f>
        <v>11</v>
      </c>
      <c r="CU143" s="417">
        <f ca="1">IF(CZ143=0,0,IFERROR(INDEX('3b Activity Plan'!$DJ$20:$FH$20,MATCH(CT143,'3b Activity Plan'!$DJ$171:$FH$171,0)),0))</f>
        <v>0</v>
      </c>
      <c r="CV143" s="417">
        <f ca="1">INDEX('2 Staff List'!$HW$64:$HW$114,CT143)</f>
        <v>0</v>
      </c>
      <c r="CW143" s="417"/>
      <c r="CY143" s="927">
        <f ca="1">OFFSET('2 Staff List'!$HZ$64,CS143-1,0)</f>
        <v>0</v>
      </c>
      <c r="CZ143" s="975">
        <f ca="1">OFFSET('2 Staff List'!$IA$64,CT143-1,0)</f>
        <v>0</v>
      </c>
      <c r="DA143" s="3840">
        <f t="shared" ca="1" si="92"/>
        <v>0</v>
      </c>
      <c r="DB143" s="3841"/>
      <c r="DC143" s="2408">
        <f t="shared" ca="1" si="85"/>
        <v>0</v>
      </c>
      <c r="DD143" s="2405">
        <f t="shared" ca="1" si="86"/>
        <v>0</v>
      </c>
      <c r="DE143" s="2405">
        <f t="shared" ca="1" si="87"/>
        <v>0</v>
      </c>
      <c r="DF143" s="2405">
        <f t="shared" ca="1" si="88"/>
        <v>0</v>
      </c>
      <c r="DG143" s="2405">
        <f t="shared" ca="1" si="89"/>
        <v>0</v>
      </c>
      <c r="DH143" s="2406">
        <f t="shared" ca="1" si="90"/>
        <v>0</v>
      </c>
      <c r="DI143" s="2407">
        <f t="shared" ca="1" si="91"/>
        <v>0</v>
      </c>
    </row>
    <row r="144" spans="1:113" ht="15.9" customHeight="1" x14ac:dyDescent="0.25">
      <c r="A144" s="1051"/>
      <c r="B144" s="1556"/>
      <c r="C144" s="1558">
        <f ca="1">SUMPRODUCT('3b Activity Plan'!$AN$173:$AN$365,OFFSET('3b Activity Plan'!$DJ$173:$DJ$365,0,$CU144-1),'3b Activity Plan'!AO$173:AO$365,'3b Activity Plan'!$AH$173:$AH$365,'3b Activity Plan'!$CY$173:$CY$365,('3b Activity Plan'!$C$173:$C$365=$C$130)*1)</f>
        <v>0</v>
      </c>
      <c r="D144" s="1558">
        <f ca="1">SUMPRODUCT('3b Activity Plan'!$AN$173:$AN$365,OFFSET('3b Activity Plan'!$DJ$173:$DJ$365,0,$CU144-1),'3b Activity Plan'!AP$173:AP$365,'3b Activity Plan'!$AH$173:$AH$365,'3b Activity Plan'!$CY$173:$CY$365,('3b Activity Plan'!$C$173:$C$365=$C$130)*1)</f>
        <v>0</v>
      </c>
      <c r="E144" s="1558">
        <f ca="1">SUMPRODUCT('3b Activity Plan'!$AN$173:$AN$365,OFFSET('3b Activity Plan'!$DJ$173:$DJ$365,0,$CU144-1),'3b Activity Plan'!AQ$173:AQ$365,'3b Activity Plan'!$AH$173:$AH$365,'3b Activity Plan'!$CY$173:$CY$365,('3b Activity Plan'!$C$173:$C$365=$C$130)*1)</f>
        <v>0</v>
      </c>
      <c r="F144" s="1558">
        <f ca="1">SUMPRODUCT('3b Activity Plan'!$AN$173:$AN$365,OFFSET('3b Activity Plan'!$DJ$173:$DJ$365,0,$CU144-1),'3b Activity Plan'!AR$173:AR$365,'3b Activity Plan'!$AH$173:$AH$365,'3b Activity Plan'!$CY$173:$CY$365,('3b Activity Plan'!$C$173:$C$365=$C$130)*1)</f>
        <v>0</v>
      </c>
      <c r="G144" s="1558">
        <f ca="1">SUMPRODUCT('3b Activity Plan'!$AN$173:$AN$365,OFFSET('3b Activity Plan'!$DJ$173:$DJ$365,0,$CU144-1),'3b Activity Plan'!AS$173:AS$365,'3b Activity Plan'!$AH$173:$AH$365,'3b Activity Plan'!$CY$173:$CY$365,('3b Activity Plan'!$C$173:$C$365=$C$130)*1)</f>
        <v>0</v>
      </c>
      <c r="H144" s="1558">
        <f ca="1">SUMPRODUCT('3b Activity Plan'!$AN$173:$AN$365,OFFSET('3b Activity Plan'!$DJ$173:$DJ$365,0,$CU144-1),'3b Activity Plan'!AT$173:AT$365,'3b Activity Plan'!$AH$173:$AH$365,'3b Activity Plan'!$CY$173:$CY$365,('3b Activity Plan'!$C$173:$C$365=$C$130)*1)</f>
        <v>0</v>
      </c>
      <c r="I144" s="1558">
        <f ca="1">SUMPRODUCT('3b Activity Plan'!$AN$173:$AN$365,OFFSET('3b Activity Plan'!$DJ$173:$DJ$365,0,$CU144-1),'3b Activity Plan'!AU$173:AU$365,'3b Activity Plan'!$AH$173:$AH$365,'3b Activity Plan'!$CY$173:$CY$365,('3b Activity Plan'!$C$173:$C$365=$C$130)*1)</f>
        <v>0</v>
      </c>
      <c r="J144" s="1558">
        <f ca="1">SUMPRODUCT('3b Activity Plan'!$AN$173:$AN$365,OFFSET('3b Activity Plan'!$DJ$173:$DJ$365,0,$CU144-1),'3b Activity Plan'!AV$173:AV$365,'3b Activity Plan'!$AH$173:$AH$365,'3b Activity Plan'!$CY$173:$CY$365,('3b Activity Plan'!$C$173:$C$365=$C$130)*1)</f>
        <v>0</v>
      </c>
      <c r="K144" s="1558">
        <f ca="1">SUMPRODUCT('3b Activity Plan'!$AN$173:$AN$365,OFFSET('3b Activity Plan'!$DJ$173:$DJ$365,0,$CU144-1),'3b Activity Plan'!AW$173:AW$365,'3b Activity Plan'!$AH$173:$AH$365,'3b Activity Plan'!$CY$173:$CY$365,('3b Activity Plan'!$C$173:$C$365=$C$130)*1)</f>
        <v>0</v>
      </c>
      <c r="L144" s="1601">
        <f ca="1">SUMPRODUCT('3b Activity Plan'!$AN$173:$AN$365,OFFSET('3b Activity Plan'!$DJ$173:$DJ$365,0,$CU144-1),'3b Activity Plan'!AX$173:AX$365,'3b Activity Plan'!$AH$173:$AH$365,'3b Activity Plan'!$CY$173:$CY$365,('3b Activity Plan'!$C$173:$C$365=$C$130)*1)</f>
        <v>0</v>
      </c>
      <c r="M144" s="1602">
        <f ca="1">SUMPRODUCT('3b Activity Plan'!$AN$173:$AN$365,OFFSET('3b Activity Plan'!$DJ$173:$DJ$365,0,$CU144-1),'3b Activity Plan'!AO$173:AO$365,'3b Activity Plan'!$AH$173:$AH$365,'3b Activity Plan'!$CY$173:$CY$365,('3b Activity Plan'!$C$173:$C$365=$M$130)*1)</f>
        <v>0</v>
      </c>
      <c r="N144" s="1558">
        <f ca="1">SUMPRODUCT('3b Activity Plan'!$AN$173:$AN$365,OFFSET('3b Activity Plan'!$DJ$173:$DJ$365,0,$CU144-1),'3b Activity Plan'!AP$173:AP$365,'3b Activity Plan'!$AH$173:$AH$365,'3b Activity Plan'!$CY$173:$CY$365,('3b Activity Plan'!$C$173:$C$365=$M$130)*1)</f>
        <v>0</v>
      </c>
      <c r="O144" s="1558">
        <f ca="1">SUMPRODUCT('3b Activity Plan'!$AN$173:$AN$365,OFFSET('3b Activity Plan'!$DJ$173:$DJ$365,0,$CU144-1),'3b Activity Plan'!AQ$173:AQ$365,'3b Activity Plan'!$AH$173:$AH$365,'3b Activity Plan'!$CY$173:$CY$365,('3b Activity Plan'!$C$173:$C$365=$M$130)*1)</f>
        <v>0</v>
      </c>
      <c r="P144" s="1558">
        <f ca="1">SUMPRODUCT('3b Activity Plan'!$AN$173:$AN$365,OFFSET('3b Activity Plan'!$DJ$173:$DJ$365,0,$CU144-1),'3b Activity Plan'!AR$173:AR$365,'3b Activity Plan'!$AH$173:$AH$365,'3b Activity Plan'!$CY$173:$CY$365,('3b Activity Plan'!$C$173:$C$365=$M$130)*1)</f>
        <v>0</v>
      </c>
      <c r="Q144" s="1558">
        <f ca="1">SUMPRODUCT('3b Activity Plan'!$AN$173:$AN$365,OFFSET('3b Activity Plan'!$DJ$173:$DJ$365,0,$CU144-1),'3b Activity Plan'!AS$173:AS$365,'3b Activity Plan'!$AH$173:$AH$365,'3b Activity Plan'!$CY$173:$CY$365,('3b Activity Plan'!$C$173:$C$365=$M$130)*1)</f>
        <v>0</v>
      </c>
      <c r="R144" s="1558">
        <f ca="1">SUMPRODUCT('3b Activity Plan'!$AN$173:$AN$365,OFFSET('3b Activity Plan'!$DJ$173:$DJ$365,0,$CU144-1),'3b Activity Plan'!AT$173:AT$365,'3b Activity Plan'!$AH$173:$AH$365,'3b Activity Plan'!$CY$173:$CY$365,('3b Activity Plan'!$C$173:$C$365=$M$130)*1)</f>
        <v>0</v>
      </c>
      <c r="S144" s="1558">
        <f ca="1">SUMPRODUCT('3b Activity Plan'!$AN$173:$AN$365,OFFSET('3b Activity Plan'!$DJ$173:$DJ$365,0,$CU144-1),'3b Activity Plan'!AU$173:AU$365,'3b Activity Plan'!$AH$173:$AH$365,'3b Activity Plan'!$CY$173:$CY$365,('3b Activity Plan'!$C$173:$C$365=$M$130)*1)</f>
        <v>0</v>
      </c>
      <c r="T144" s="1558">
        <f ca="1">SUMPRODUCT('3b Activity Plan'!$AN$173:$AN$365,OFFSET('3b Activity Plan'!$DJ$173:$DJ$365,0,$CU144-1),'3b Activity Plan'!AV$173:AV$365,'3b Activity Plan'!$AH$173:$AH$365,'3b Activity Plan'!$CY$173:$CY$365,('3b Activity Plan'!$C$173:$C$365=$M$130)*1)</f>
        <v>0</v>
      </c>
      <c r="U144" s="1558">
        <f ca="1">SUMPRODUCT('3b Activity Plan'!$AN$173:$AN$365,OFFSET('3b Activity Plan'!$DJ$173:$DJ$365,0,$CU144-1),'3b Activity Plan'!AW$173:AW$365,'3b Activity Plan'!$AH$173:$AH$365,'3b Activity Plan'!$CY$173:$CY$365,('3b Activity Plan'!$C$173:$C$365=$M$130)*1)</f>
        <v>0</v>
      </c>
      <c r="V144" s="1601">
        <f ca="1">SUMPRODUCT('3b Activity Plan'!$AN$173:$AN$365,OFFSET('3b Activity Plan'!$DJ$173:$DJ$365,0,$CU144-1),'3b Activity Plan'!AX$173:AX$365,'3b Activity Plan'!$AH$173:$AH$365,'3b Activity Plan'!$CY$173:$CY$365,('3b Activity Plan'!$C$173:$C$365=$M$130)*1)</f>
        <v>0</v>
      </c>
      <c r="W144" s="1602">
        <f ca="1">SUMPRODUCT('3b Activity Plan'!$AN$173:$AN$365,OFFSET('3b Activity Plan'!$DJ$173:$DJ$365,0,$CU144-1),'3b Activity Plan'!AO$173:AO$365,'3b Activity Plan'!$AH$173:$AH$365,'3b Activity Plan'!$CY$173:$CY$365,('3b Activity Plan'!$C$173:$C$365=$W$130)*1)</f>
        <v>0</v>
      </c>
      <c r="X144" s="1558">
        <f ca="1">SUMPRODUCT('3b Activity Plan'!$AN$173:$AN$365,OFFSET('3b Activity Plan'!$DJ$173:$DJ$365,0,$CU144-1),'3b Activity Plan'!AP$173:AP$365,'3b Activity Plan'!$AH$173:$AH$365,'3b Activity Plan'!$CY$173:$CY$365,('3b Activity Plan'!$C$173:$C$365=$W$130)*1)</f>
        <v>0</v>
      </c>
      <c r="Y144" s="1558">
        <f ca="1">SUMPRODUCT('3b Activity Plan'!$AN$173:$AN$365,OFFSET('3b Activity Plan'!$DJ$173:$DJ$365,0,$CU144-1),'3b Activity Plan'!AQ$173:AQ$365,'3b Activity Plan'!$AH$173:$AH$365,'3b Activity Plan'!$CY$173:$CY$365,('3b Activity Plan'!$C$173:$C$365=$W$130)*1)</f>
        <v>0</v>
      </c>
      <c r="Z144" s="1558">
        <f ca="1">SUMPRODUCT('3b Activity Plan'!$AN$173:$AN$365,OFFSET('3b Activity Plan'!$DJ$173:$DJ$365,0,$CU144-1),'3b Activity Plan'!AR$173:AR$365,'3b Activity Plan'!$AH$173:$AH$365,'3b Activity Plan'!$CY$173:$CY$365,('3b Activity Plan'!$C$173:$C$365=$W$130)*1)</f>
        <v>0</v>
      </c>
      <c r="AA144" s="1558">
        <f ca="1">SUMPRODUCT('3b Activity Plan'!$AN$173:$AN$365,OFFSET('3b Activity Plan'!$DJ$173:$DJ$365,0,$CU144-1),'3b Activity Plan'!AS$173:AS$365,'3b Activity Plan'!$AH$173:$AH$365,'3b Activity Plan'!$CY$173:$CY$365,('3b Activity Plan'!$C$173:$C$365=$W$130)*1)</f>
        <v>0</v>
      </c>
      <c r="AB144" s="1558">
        <f ca="1">SUMPRODUCT('3b Activity Plan'!$AN$173:$AN$365,OFFSET('3b Activity Plan'!$DJ$173:$DJ$365,0,$CU144-1),'3b Activity Plan'!AT$173:AT$365,'3b Activity Plan'!$AH$173:$AH$365,'3b Activity Plan'!$CY$173:$CY$365,('3b Activity Plan'!$C$173:$C$365=$W$130)*1)</f>
        <v>0</v>
      </c>
      <c r="AC144" s="1558">
        <f ca="1">SUMPRODUCT('3b Activity Plan'!$AN$173:$AN$365,OFFSET('3b Activity Plan'!$DJ$173:$DJ$365,0,$CU144-1),'3b Activity Plan'!AU$173:AU$365,'3b Activity Plan'!$AH$173:$AH$365,'3b Activity Plan'!$CY$173:$CY$365,('3b Activity Plan'!$C$173:$C$365=$W$130)*1)</f>
        <v>0</v>
      </c>
      <c r="AD144" s="1558">
        <f ca="1">SUMPRODUCT('3b Activity Plan'!$AN$173:$AN$365,OFFSET('3b Activity Plan'!$DJ$173:$DJ$365,0,$CU144-1),'3b Activity Plan'!AV$173:AV$365,'3b Activity Plan'!$AH$173:$AH$365,'3b Activity Plan'!$CY$173:$CY$365,('3b Activity Plan'!$C$173:$C$365=$W$130)*1)</f>
        <v>0</v>
      </c>
      <c r="AE144" s="1558">
        <f ca="1">SUMPRODUCT('3b Activity Plan'!$AN$173:$AN$365,OFFSET('3b Activity Plan'!$DJ$173:$DJ$365,0,$CU144-1),'3b Activity Plan'!AW$173:AW$365,'3b Activity Plan'!$AH$173:$AH$365,'3b Activity Plan'!$CY$173:$CY$365,('3b Activity Plan'!$C$173:$C$365=$W$130)*1)</f>
        <v>0</v>
      </c>
      <c r="AF144" s="1558">
        <f ca="1">SUMPRODUCT('3b Activity Plan'!$AN$173:$AN$365,OFFSET('3b Activity Plan'!$DJ$173:$DJ$365,0,$CU144-1),'3b Activity Plan'!AX$173:AX$365,'3b Activity Plan'!$AH$173:$AH$365,'3b Activity Plan'!$CY$173:$CY$365,('3b Activity Plan'!$C$173:$C$365=$W$130)*1)</f>
        <v>0</v>
      </c>
      <c r="AG144" s="1602">
        <f ca="1">SUMPRODUCT('3b Activity Plan'!$AN$173:$AN$365,OFFSET('3b Activity Plan'!$DJ$173:$DJ$365,0,$CU144-1),'3b Activity Plan'!AO$173:AO$365,'3b Activity Plan'!$AH$173:$AH$365,'3b Activity Plan'!$CY$173:$CY$365,('3b Activity Plan'!$C$173:$C$365=$AG$130)*1)</f>
        <v>0</v>
      </c>
      <c r="AH144" s="1558">
        <f ca="1">SUMPRODUCT('3b Activity Plan'!$AN$173:$AN$365,OFFSET('3b Activity Plan'!$DJ$173:$DJ$365,0,$CU144-1),'3b Activity Plan'!AP$173:AP$365,'3b Activity Plan'!$AH$173:$AH$365,'3b Activity Plan'!$CY$173:$CY$365,('3b Activity Plan'!$C$173:$C$365=$AG$130)*1)</f>
        <v>0</v>
      </c>
      <c r="AI144" s="1558">
        <f ca="1">SUMPRODUCT('3b Activity Plan'!$AN$173:$AN$365,OFFSET('3b Activity Plan'!$DJ$173:$DJ$365,0,$CU144-1),'3b Activity Plan'!AQ$173:AQ$365,'3b Activity Plan'!$AH$173:$AH$365,'3b Activity Plan'!$CY$173:$CY$365,('3b Activity Plan'!$C$173:$C$365=$AG$130)*1)</f>
        <v>0</v>
      </c>
      <c r="AJ144" s="1558">
        <f ca="1">SUMPRODUCT('3b Activity Plan'!$AN$173:$AN$365,OFFSET('3b Activity Plan'!$DJ$173:$DJ$365,0,$CU144-1),'3b Activity Plan'!AR$173:AR$365,'3b Activity Plan'!$AH$173:$AH$365,'3b Activity Plan'!$CY$173:$CY$365,('3b Activity Plan'!$C$173:$C$365=$AG$130)*1)</f>
        <v>0</v>
      </c>
      <c r="AK144" s="1558">
        <f ca="1">SUMPRODUCT('3b Activity Plan'!$AN$173:$AN$365,OFFSET('3b Activity Plan'!$DJ$173:$DJ$365,0,$CU144-1),'3b Activity Plan'!AS$173:AS$365,'3b Activity Plan'!$AH$173:$AH$365,'3b Activity Plan'!$CY$173:$CY$365,('3b Activity Plan'!$C$173:$C$365=$AG$130)*1)</f>
        <v>0</v>
      </c>
      <c r="AL144" s="1558">
        <f ca="1">SUMPRODUCT('3b Activity Plan'!$AN$173:$AN$365,OFFSET('3b Activity Plan'!$DJ$173:$DJ$365,0,$CU144-1),'3b Activity Plan'!AT$173:AT$365,'3b Activity Plan'!$AH$173:$AH$365,'3b Activity Plan'!$CY$173:$CY$365,('3b Activity Plan'!$C$173:$C$365=$AG$130)*1)</f>
        <v>0</v>
      </c>
      <c r="AM144" s="1558">
        <f ca="1">SUMPRODUCT('3b Activity Plan'!$AN$173:$AN$365,OFFSET('3b Activity Plan'!$DJ$173:$DJ$365,0,$CU144-1),'3b Activity Plan'!AU$173:AU$365,'3b Activity Plan'!$AH$173:$AH$365,'3b Activity Plan'!$CY$173:$CY$365,('3b Activity Plan'!$C$173:$C$365=$AG$130)*1)</f>
        <v>0</v>
      </c>
      <c r="AN144" s="1558">
        <f ca="1">SUMPRODUCT('3b Activity Plan'!$AN$173:$AN$365,OFFSET('3b Activity Plan'!$DJ$173:$DJ$365,0,$CU144-1),'3b Activity Plan'!AV$173:AV$365,'3b Activity Plan'!$AH$173:$AH$365,'3b Activity Plan'!$CY$173:$CY$365,('3b Activity Plan'!$C$173:$C$365=$AG$130)*1)</f>
        <v>0</v>
      </c>
      <c r="AO144" s="1558">
        <f ca="1">SUMPRODUCT('3b Activity Plan'!$AN$173:$AN$365,OFFSET('3b Activity Plan'!$DJ$173:$DJ$365,0,$CU144-1),'3b Activity Plan'!AW$173:AW$365,'3b Activity Plan'!$AH$173:$AH$365,'3b Activity Plan'!$CY$173:$CY$365,('3b Activity Plan'!$C$173:$C$365=$AG$130)*1)</f>
        <v>0</v>
      </c>
      <c r="AP144" s="1558">
        <f ca="1">SUMPRODUCT('3b Activity Plan'!$AN$173:$AN$365,OFFSET('3b Activity Plan'!$DJ$173:$DJ$365,0,$CU144-1),'3b Activity Plan'!AX$173:AX$365,'3b Activity Plan'!$AH$173:$AH$365,'3b Activity Plan'!$CY$173:$CY$365,('3b Activity Plan'!$C$173:$C$365=$AG$130)*1)</f>
        <v>0</v>
      </c>
      <c r="AQ144" s="1602">
        <f ca="1">SUMPRODUCT('3b Activity Plan'!$AN$173:$AN$365,OFFSET('3b Activity Plan'!$DJ$173:$DJ$365,0,$CU144-1),'3b Activity Plan'!AO$173:AO$365,'3b Activity Plan'!$AH$173:$AH$365,'3b Activity Plan'!$CY$173:$CY$365,('3b Activity Plan'!$C$173:$C$365=$AQ$130)*1)</f>
        <v>0</v>
      </c>
      <c r="AR144" s="1558">
        <f ca="1">SUMPRODUCT('3b Activity Plan'!$AN$173:$AN$365,OFFSET('3b Activity Plan'!$DJ$173:$DJ$365,0,$CU144-1),'3b Activity Plan'!AP$173:AP$365,'3b Activity Plan'!$AH$173:$AH$365,'3b Activity Plan'!$CY$173:$CY$365,('3b Activity Plan'!$C$173:$C$365=$AQ$130)*1)</f>
        <v>0</v>
      </c>
      <c r="AS144" s="1558">
        <f ca="1">SUMPRODUCT('3b Activity Plan'!$AN$173:$AN$365,OFFSET('3b Activity Plan'!$DJ$173:$DJ$365,0,$CU144-1),'3b Activity Plan'!AQ$173:AQ$365,'3b Activity Plan'!$AH$173:$AH$365,'3b Activity Plan'!$CY$173:$CY$365,('3b Activity Plan'!$C$173:$C$365=$AQ$130)*1)</f>
        <v>0</v>
      </c>
      <c r="AT144" s="1558">
        <f ca="1">SUMPRODUCT('3b Activity Plan'!$AN$173:$AN$365,OFFSET('3b Activity Plan'!$DJ$173:$DJ$365,0,$CU144-1),'3b Activity Plan'!AR$173:AR$365,'3b Activity Plan'!$AH$173:$AH$365,'3b Activity Plan'!$CY$173:$CY$365,('3b Activity Plan'!$C$173:$C$365=$AQ$130)*1)</f>
        <v>0</v>
      </c>
      <c r="AU144" s="1558">
        <f ca="1">SUMPRODUCT('3b Activity Plan'!$AN$173:$AN$365,OFFSET('3b Activity Plan'!$DJ$173:$DJ$365,0,$CU144-1),'3b Activity Plan'!AS$173:AS$365,'3b Activity Plan'!$AH$173:$AH$365,'3b Activity Plan'!$CY$173:$CY$365,('3b Activity Plan'!$C$173:$C$365=$AQ$130)*1)</f>
        <v>0</v>
      </c>
      <c r="AV144" s="1558">
        <f ca="1">SUMPRODUCT('3b Activity Plan'!$AN$173:$AN$365,OFFSET('3b Activity Plan'!$DJ$173:$DJ$365,0,$CU144-1),'3b Activity Plan'!AT$173:AT$365,'3b Activity Plan'!$AH$173:$AH$365,'3b Activity Plan'!$CY$173:$CY$365,('3b Activity Plan'!$C$173:$C$365=$AQ$130)*1)</f>
        <v>0</v>
      </c>
      <c r="AW144" s="1558">
        <f ca="1">SUMPRODUCT('3b Activity Plan'!$AN$173:$AN$365,OFFSET('3b Activity Plan'!$DJ$173:$DJ$365,0,$CU144-1),'3b Activity Plan'!AU$173:AU$365,'3b Activity Plan'!$AH$173:$AH$365,'3b Activity Plan'!$CY$173:$CY$365,('3b Activity Plan'!$C$173:$C$365=$AQ$130)*1)</f>
        <v>0</v>
      </c>
      <c r="AX144" s="1558">
        <f ca="1">SUMPRODUCT('3b Activity Plan'!$AN$173:$AN$365,OFFSET('3b Activity Plan'!$DJ$173:$DJ$365,0,$CU144-1),'3b Activity Plan'!AV$173:AV$365,'3b Activity Plan'!$AH$173:$AH$365,'3b Activity Plan'!$CY$173:$CY$365,('3b Activity Plan'!$C$173:$C$365=$AQ$130)*1)</f>
        <v>0</v>
      </c>
      <c r="AY144" s="1558">
        <f ca="1">SUMPRODUCT('3b Activity Plan'!$AN$173:$AN$365,OFFSET('3b Activity Plan'!$DJ$173:$DJ$365,0,$CU144-1),'3b Activity Plan'!AW$173:AW$365,'3b Activity Plan'!$AH$173:$AH$365,'3b Activity Plan'!$CY$173:$CY$365,('3b Activity Plan'!$C$173:$C$365=$AQ$130)*1)</f>
        <v>0</v>
      </c>
      <c r="AZ144" s="1558">
        <f ca="1">SUMPRODUCT('3b Activity Plan'!$AN$173:$AN$365,OFFSET('3b Activity Plan'!$DJ$173:$DJ$365,0,$CU144-1),'3b Activity Plan'!AX$173:AX$365,'3b Activity Plan'!$AH$173:$AH$365,'3b Activity Plan'!$CY$173:$CY$365,('3b Activity Plan'!$C$173:$C$365=$AQ$130)*1)</f>
        <v>0</v>
      </c>
      <c r="BA144" s="1602">
        <f ca="1">SUMPRODUCT('3b Activity Plan'!$AN$173:$AN$365,OFFSET('3b Activity Plan'!$DJ$173:$DJ$365,0,$CU144-1),'3b Activity Plan'!AO$173:AO$365,'3b Activity Plan'!$AH$173:$AH$365,'3b Activity Plan'!$CY$173:$CY$365,('3b Activity Plan'!$C$173:$C$365=$BA$130)*1)</f>
        <v>0</v>
      </c>
      <c r="BB144" s="1558">
        <f ca="1">SUMPRODUCT('3b Activity Plan'!$AN$173:$AN$365,OFFSET('3b Activity Plan'!$DJ$173:$DJ$365,0,$CU144-1),'3b Activity Plan'!AP$173:AP$365,'3b Activity Plan'!$AH$173:$AH$365,'3b Activity Plan'!$CY$173:$CY$365,('3b Activity Plan'!$C$173:$C$365=$BA$130)*1)</f>
        <v>0</v>
      </c>
      <c r="BC144" s="1558">
        <f ca="1">SUMPRODUCT('3b Activity Plan'!$AN$173:$AN$365,OFFSET('3b Activity Plan'!$DJ$173:$DJ$365,0,$CU144-1),'3b Activity Plan'!AQ$173:AQ$365,'3b Activity Plan'!$AH$173:$AH$365,'3b Activity Plan'!$CY$173:$CY$365,('3b Activity Plan'!$C$173:$C$365=$BA$130)*1)</f>
        <v>0</v>
      </c>
      <c r="BD144" s="1558">
        <f ca="1">SUMPRODUCT('3b Activity Plan'!$AN$173:$AN$365,OFFSET('3b Activity Plan'!$DJ$173:$DJ$365,0,$CU144-1),'3b Activity Plan'!AR$173:AR$365,'3b Activity Plan'!$AH$173:$AH$365,'3b Activity Plan'!$CY$173:$CY$365,('3b Activity Plan'!$C$173:$C$365=$BA$130)*1)</f>
        <v>0</v>
      </c>
      <c r="BE144" s="1558">
        <f ca="1">SUMPRODUCT('3b Activity Plan'!$AN$173:$AN$365,OFFSET('3b Activity Plan'!$DJ$173:$DJ$365,0,$CU144-1),'3b Activity Plan'!AS$173:AS$365,'3b Activity Plan'!$AH$173:$AH$365,'3b Activity Plan'!$CY$173:$CY$365,('3b Activity Plan'!$C$173:$C$365=$BA$130)*1)</f>
        <v>0</v>
      </c>
      <c r="BF144" s="1558">
        <f ca="1">SUMPRODUCT('3b Activity Plan'!$AN$173:$AN$365,OFFSET('3b Activity Plan'!$DJ$173:$DJ$365,0,$CU144-1),'3b Activity Plan'!AT$173:AT$365,'3b Activity Plan'!$AH$173:$AH$365,'3b Activity Plan'!$CY$173:$CY$365,('3b Activity Plan'!$C$173:$C$365=$BA$130)*1)</f>
        <v>0</v>
      </c>
      <c r="BG144" s="1558">
        <f ca="1">SUMPRODUCT('3b Activity Plan'!$AN$173:$AN$365,OFFSET('3b Activity Plan'!$DJ$173:$DJ$365,0,$CU144-1),'3b Activity Plan'!AU$173:AU$365,'3b Activity Plan'!$AH$173:$AH$365,'3b Activity Plan'!$CY$173:$CY$365,('3b Activity Plan'!$C$173:$C$365=$BA$130)*1)</f>
        <v>0</v>
      </c>
      <c r="BH144" s="1558">
        <f ca="1">SUMPRODUCT('3b Activity Plan'!$AN$173:$AN$365,OFFSET('3b Activity Plan'!$DJ$173:$DJ$365,0,$CU144-1),'3b Activity Plan'!AV$173:AV$365,'3b Activity Plan'!$AH$173:$AH$365,'3b Activity Plan'!$CY$173:$CY$365,('3b Activity Plan'!$C$173:$C$365=$BA$130)*1)</f>
        <v>0</v>
      </c>
      <c r="BI144" s="1558">
        <f ca="1">SUMPRODUCT('3b Activity Plan'!$AN$173:$AN$365,OFFSET('3b Activity Plan'!$DJ$173:$DJ$365,0,$CU144-1),'3b Activity Plan'!AW$173:AW$365,'3b Activity Plan'!$AH$173:$AH$365,'3b Activity Plan'!$CY$173:$CY$365,('3b Activity Plan'!$C$173:$C$365=$BA$130)*1)</f>
        <v>0</v>
      </c>
      <c r="BJ144" s="1558">
        <f ca="1">SUMPRODUCT('3b Activity Plan'!$AN$173:$AN$365,OFFSET('3b Activity Plan'!$DJ$173:$DJ$365,0,$CU144-1),'3b Activity Plan'!AX$173:AX$365,'3b Activity Plan'!$AH$173:$AH$365,'3b Activity Plan'!$CY$173:$CY$365,('3b Activity Plan'!$C$173:$C$365=$BA$130)*1)</f>
        <v>0</v>
      </c>
      <c r="BK144" s="1602">
        <f ca="1">SUMPRODUCT('3b Activity Plan'!$AN$173:$AN$365,OFFSET('3b Activity Plan'!$DJ$173:$DJ$365,0,$CU144-1),'3b Activity Plan'!AO$173:AO$365,'3b Activity Plan'!$AH$173:$AH$365,'3b Activity Plan'!$CY$173:$CY$365,('3b Activity Plan'!$C$173:$C$365=$BK$130)*1)</f>
        <v>0</v>
      </c>
      <c r="BL144" s="1558">
        <f ca="1">SUMPRODUCT('3b Activity Plan'!$AN$173:$AN$365,OFFSET('3b Activity Plan'!$DJ$173:$DJ$365,0,$CU144-1),'3b Activity Plan'!AP$173:AP$365,'3b Activity Plan'!$AH$173:$AH$365,'3b Activity Plan'!$CY$173:$CY$365,('3b Activity Plan'!$C$173:$C$365=$BK$130)*1)</f>
        <v>0</v>
      </c>
      <c r="BM144" s="1558">
        <f ca="1">SUMPRODUCT('3b Activity Plan'!$AN$173:$AN$365,OFFSET('3b Activity Plan'!$DJ$173:$DJ$365,0,$CU144-1),'3b Activity Plan'!AQ$173:AQ$365,'3b Activity Plan'!$AH$173:$AH$365,'3b Activity Plan'!$CY$173:$CY$365,('3b Activity Plan'!$C$173:$C$365=$BK$130)*1)</f>
        <v>0</v>
      </c>
      <c r="BN144" s="1558">
        <f ca="1">SUMPRODUCT('3b Activity Plan'!$AN$173:$AN$365,OFFSET('3b Activity Plan'!$DJ$173:$DJ$365,0,$CU144-1),'3b Activity Plan'!AR$173:AR$365,'3b Activity Plan'!$AH$173:$AH$365,'3b Activity Plan'!$CY$173:$CY$365,('3b Activity Plan'!$C$173:$C$365=$BK$130)*1)</f>
        <v>0</v>
      </c>
      <c r="BO144" s="1558">
        <f ca="1">SUMPRODUCT('3b Activity Plan'!$AN$173:$AN$365,OFFSET('3b Activity Plan'!$DJ$173:$DJ$365,0,$CU144-1),'3b Activity Plan'!AS$173:AS$365,'3b Activity Plan'!$AH$173:$AH$365,'3b Activity Plan'!$CY$173:$CY$365,('3b Activity Plan'!$C$173:$C$365=$BK$130)*1)</f>
        <v>0</v>
      </c>
      <c r="BP144" s="1558">
        <f ca="1">SUMPRODUCT('3b Activity Plan'!$AN$173:$AN$365,OFFSET('3b Activity Plan'!$DJ$173:$DJ$365,0,$CU144-1),'3b Activity Plan'!AT$173:AT$365,'3b Activity Plan'!$AH$173:$AH$365,'3b Activity Plan'!$CY$173:$CY$365,('3b Activity Plan'!$C$173:$C$365=$BK$130)*1)</f>
        <v>0</v>
      </c>
      <c r="BQ144" s="1558">
        <f ca="1">SUMPRODUCT('3b Activity Plan'!$AN$173:$AN$365,OFFSET('3b Activity Plan'!$DJ$173:$DJ$365,0,$CU144-1),'3b Activity Plan'!AU$173:AU$365,'3b Activity Plan'!$AH$173:$AH$365,'3b Activity Plan'!$CY$173:$CY$365,('3b Activity Plan'!$C$173:$C$365=$BK$130)*1)</f>
        <v>0</v>
      </c>
      <c r="BR144" s="1558">
        <f ca="1">SUMPRODUCT('3b Activity Plan'!$AN$173:$AN$365,OFFSET('3b Activity Plan'!$DJ$173:$DJ$365,0,$CU144-1),'3b Activity Plan'!AV$173:AV$365,'3b Activity Plan'!$AH$173:$AH$365,'3b Activity Plan'!$CY$173:$CY$365,('3b Activity Plan'!$C$173:$C$365=$BK$130)*1)</f>
        <v>0</v>
      </c>
      <c r="BS144" s="1558">
        <f ca="1">SUMPRODUCT('3b Activity Plan'!$AN$173:$AN$365,OFFSET('3b Activity Plan'!$DJ$173:$DJ$365,0,$CU144-1),'3b Activity Plan'!AW$173:AW$365,'3b Activity Plan'!$AH$173:$AH$365,'3b Activity Plan'!$CY$173:$CY$365,('3b Activity Plan'!$C$173:$C$365=$BK$130)*1)</f>
        <v>0</v>
      </c>
      <c r="BT144" s="1558">
        <f ca="1">SUMPRODUCT('3b Activity Plan'!$AN$173:$AN$365,OFFSET('3b Activity Plan'!$DJ$173:$DJ$365,0,$CU144-1),'3b Activity Plan'!AX$173:AX$365,'3b Activity Plan'!$AH$173:$AH$365,'3b Activity Plan'!$CY$173:$CY$365,('3b Activity Plan'!$C$173:$C$365=$BK$130)*1)</f>
        <v>0</v>
      </c>
      <c r="BU144" s="1587"/>
      <c r="BV144" s="1587"/>
      <c r="BW144" s="1587"/>
      <c r="BX144" s="1556"/>
      <c r="BY144" s="1556"/>
      <c r="BZ144" s="1556"/>
      <c r="CA144" s="1024">
        <f ca="1">SUMIFS('3a Staff Plan'!$T$129:$T$305,'3a Staff Plan'!$DY$129:$DY$305,CZ144,'3a Staff Plan'!$DF$129:$DF$305,1)</f>
        <v>0</v>
      </c>
      <c r="CB144" s="1025">
        <f ca="1">SUMIFS('3a Staff Plan'!$T$129:$T$305,'3a Staff Plan'!$DY$129:$DY$305,$CZ144,'3a Staff Plan'!$DF$129:$DF$305,1,'3a Staff Plan'!$C$129:$C$305,DC$18)</f>
        <v>0</v>
      </c>
      <c r="CC144" s="1026">
        <f ca="1">SUMIFS('3a Staff Plan'!$T$129:$T$305,'3a Staff Plan'!$DY$129:$DY$305,$CZ144,'3a Staff Plan'!$DF$129:$DF$305,1,'3a Staff Plan'!$C$129:$C$305,DD$18)</f>
        <v>0</v>
      </c>
      <c r="CD144" s="1026">
        <f ca="1">SUMIFS('3a Staff Plan'!$T$129:$T$305,'3a Staff Plan'!$DY$129:$DY$305,$CZ144,'3a Staff Plan'!$DF$129:$DF$305,1,'3a Staff Plan'!$C$129:$C$305,DE$18)</f>
        <v>0</v>
      </c>
      <c r="CE144" s="1026">
        <f ca="1">SUMIFS('3a Staff Plan'!$T$129:$T$305,'3a Staff Plan'!$DY$129:$DY$305,$CZ144,'3a Staff Plan'!$DF$129:$DF$305,1,'3a Staff Plan'!$C$129:$C$305,DF$18)</f>
        <v>0</v>
      </c>
      <c r="CF144" s="1026">
        <f ca="1">SUMIFS('3a Staff Plan'!$T$129:$T$305,'3a Staff Plan'!$DY$129:$DY$305,$CZ144,'3a Staff Plan'!$DF$129:$DF$305,1,'3a Staff Plan'!$C$129:$C$305,DG$18)</f>
        <v>0</v>
      </c>
      <c r="CG144" s="1026">
        <f ca="1">SUMIFS('3a Staff Plan'!$T$129:$T$305,'3a Staff Plan'!$DY$129:$DY$305,$CZ144,'3a Staff Plan'!$DF$129:$DF$305,1,'3a Staff Plan'!$C$129:$C$305,DH$18)</f>
        <v>0</v>
      </c>
      <c r="CH144" s="1026">
        <f ca="1">SUMIFS('3a Staff Plan'!$T$129:$T$305,'3a Staff Plan'!$DY$129:$DY$305,$CZ144,'3a Staff Plan'!$DF$129:$DF$305,1,'3a Staff Plan'!$C$129:$C$305,DI$18)</f>
        <v>0</v>
      </c>
      <c r="CI144" s="755"/>
      <c r="CJ144" s="1024">
        <f ca="1">SUMPRODUCT('3b Activity Plan'!$AN$173:$AN$365,'3b Activity Plan'!$CY$173:$CY$365,'3b Activity Plan'!$AH$173:$AH$365,OFFSET('3b Activity Plan'!$DJ$173:$DJ$365,0,$CU144-1))</f>
        <v>0</v>
      </c>
      <c r="CK144" s="1025">
        <f t="shared" ca="1" si="93"/>
        <v>0</v>
      </c>
      <c r="CL144" s="1026">
        <f t="shared" ca="1" si="94"/>
        <v>0</v>
      </c>
      <c r="CM144" s="1026">
        <f t="shared" ca="1" si="95"/>
        <v>0</v>
      </c>
      <c r="CN144" s="1026">
        <f t="shared" ca="1" si="96"/>
        <v>0</v>
      </c>
      <c r="CO144" s="1026">
        <f t="shared" ca="1" si="97"/>
        <v>0</v>
      </c>
      <c r="CP144" s="1026">
        <f t="shared" ca="1" si="98"/>
        <v>0</v>
      </c>
      <c r="CQ144" s="1026">
        <f t="shared" ca="1" si="99"/>
        <v>0</v>
      </c>
      <c r="CR144" s="417"/>
      <c r="CS144" s="417">
        <f t="shared" si="100"/>
        <v>12</v>
      </c>
      <c r="CT144" s="417">
        <f ca="1">OFFSET('2 Staff List'!$GU$64,CS144-1,0)</f>
        <v>12</v>
      </c>
      <c r="CU144" s="417">
        <f ca="1">IF(CZ144=0,0,IFERROR(INDEX('3b Activity Plan'!$DJ$20:$FH$20,MATCH(CT144,'3b Activity Plan'!$DJ$171:$FH$171,0)),0))</f>
        <v>0</v>
      </c>
      <c r="CV144" s="417">
        <f ca="1">INDEX('2 Staff List'!$HW$64:$HW$114,CT144)</f>
        <v>0</v>
      </c>
      <c r="CW144" s="417"/>
      <c r="CY144" s="927">
        <f ca="1">OFFSET('2 Staff List'!$HZ$64,CS144-1,0)</f>
        <v>0</v>
      </c>
      <c r="CZ144" s="975">
        <f ca="1">OFFSET('2 Staff List'!$IA$64,CT144-1,0)</f>
        <v>0</v>
      </c>
      <c r="DA144" s="3840">
        <f t="shared" ca="1" si="92"/>
        <v>0</v>
      </c>
      <c r="DB144" s="3841"/>
      <c r="DC144" s="2408">
        <f t="shared" ca="1" si="85"/>
        <v>0</v>
      </c>
      <c r="DD144" s="2405">
        <f t="shared" ca="1" si="86"/>
        <v>0</v>
      </c>
      <c r="DE144" s="2405">
        <f t="shared" ca="1" si="87"/>
        <v>0</v>
      </c>
      <c r="DF144" s="2405">
        <f t="shared" ca="1" si="88"/>
        <v>0</v>
      </c>
      <c r="DG144" s="2405">
        <f t="shared" ca="1" si="89"/>
        <v>0</v>
      </c>
      <c r="DH144" s="2406">
        <f t="shared" ca="1" si="90"/>
        <v>0</v>
      </c>
      <c r="DI144" s="2407">
        <f t="shared" ca="1" si="91"/>
        <v>0</v>
      </c>
    </row>
    <row r="145" spans="1:113" ht="15.9" customHeight="1" x14ac:dyDescent="0.25">
      <c r="A145" s="1051"/>
      <c r="B145" s="1556"/>
      <c r="C145" s="1558">
        <f ca="1">SUMPRODUCT('3b Activity Plan'!$AN$173:$AN$365,OFFSET('3b Activity Plan'!$DJ$173:$DJ$365,0,$CU145-1),'3b Activity Plan'!AO$173:AO$365,'3b Activity Plan'!$AH$173:$AH$365,'3b Activity Plan'!$CY$173:$CY$365,('3b Activity Plan'!$C$173:$C$365=$C$130)*1)</f>
        <v>0</v>
      </c>
      <c r="D145" s="1558">
        <f ca="1">SUMPRODUCT('3b Activity Plan'!$AN$173:$AN$365,OFFSET('3b Activity Plan'!$DJ$173:$DJ$365,0,$CU145-1),'3b Activity Plan'!AP$173:AP$365,'3b Activity Plan'!$AH$173:$AH$365,'3b Activity Plan'!$CY$173:$CY$365,('3b Activity Plan'!$C$173:$C$365=$C$130)*1)</f>
        <v>0</v>
      </c>
      <c r="E145" s="1558">
        <f ca="1">SUMPRODUCT('3b Activity Plan'!$AN$173:$AN$365,OFFSET('3b Activity Plan'!$DJ$173:$DJ$365,0,$CU145-1),'3b Activity Plan'!AQ$173:AQ$365,'3b Activity Plan'!$AH$173:$AH$365,'3b Activity Plan'!$CY$173:$CY$365,('3b Activity Plan'!$C$173:$C$365=$C$130)*1)</f>
        <v>0</v>
      </c>
      <c r="F145" s="1558">
        <f ca="1">SUMPRODUCT('3b Activity Plan'!$AN$173:$AN$365,OFFSET('3b Activity Plan'!$DJ$173:$DJ$365,0,$CU145-1),'3b Activity Plan'!AR$173:AR$365,'3b Activity Plan'!$AH$173:$AH$365,'3b Activity Plan'!$CY$173:$CY$365,('3b Activity Plan'!$C$173:$C$365=$C$130)*1)</f>
        <v>0</v>
      </c>
      <c r="G145" s="1558">
        <f ca="1">SUMPRODUCT('3b Activity Plan'!$AN$173:$AN$365,OFFSET('3b Activity Plan'!$DJ$173:$DJ$365,0,$CU145-1),'3b Activity Plan'!AS$173:AS$365,'3b Activity Plan'!$AH$173:$AH$365,'3b Activity Plan'!$CY$173:$CY$365,('3b Activity Plan'!$C$173:$C$365=$C$130)*1)</f>
        <v>0</v>
      </c>
      <c r="H145" s="1558">
        <f ca="1">SUMPRODUCT('3b Activity Plan'!$AN$173:$AN$365,OFFSET('3b Activity Plan'!$DJ$173:$DJ$365,0,$CU145-1),'3b Activity Plan'!AT$173:AT$365,'3b Activity Plan'!$AH$173:$AH$365,'3b Activity Plan'!$CY$173:$CY$365,('3b Activity Plan'!$C$173:$C$365=$C$130)*1)</f>
        <v>0</v>
      </c>
      <c r="I145" s="1558">
        <f ca="1">SUMPRODUCT('3b Activity Plan'!$AN$173:$AN$365,OFFSET('3b Activity Plan'!$DJ$173:$DJ$365,0,$CU145-1),'3b Activity Plan'!AU$173:AU$365,'3b Activity Plan'!$AH$173:$AH$365,'3b Activity Plan'!$CY$173:$CY$365,('3b Activity Plan'!$C$173:$C$365=$C$130)*1)</f>
        <v>0</v>
      </c>
      <c r="J145" s="1558">
        <f ca="1">SUMPRODUCT('3b Activity Plan'!$AN$173:$AN$365,OFFSET('3b Activity Plan'!$DJ$173:$DJ$365,0,$CU145-1),'3b Activity Plan'!AV$173:AV$365,'3b Activity Plan'!$AH$173:$AH$365,'3b Activity Plan'!$CY$173:$CY$365,('3b Activity Plan'!$C$173:$C$365=$C$130)*1)</f>
        <v>0</v>
      </c>
      <c r="K145" s="1558">
        <f ca="1">SUMPRODUCT('3b Activity Plan'!$AN$173:$AN$365,OFFSET('3b Activity Plan'!$DJ$173:$DJ$365,0,$CU145-1),'3b Activity Plan'!AW$173:AW$365,'3b Activity Plan'!$AH$173:$AH$365,'3b Activity Plan'!$CY$173:$CY$365,('3b Activity Plan'!$C$173:$C$365=$C$130)*1)</f>
        <v>0</v>
      </c>
      <c r="L145" s="1601">
        <f ca="1">SUMPRODUCT('3b Activity Plan'!$AN$173:$AN$365,OFFSET('3b Activity Plan'!$DJ$173:$DJ$365,0,$CU145-1),'3b Activity Plan'!AX$173:AX$365,'3b Activity Plan'!$AH$173:$AH$365,'3b Activity Plan'!$CY$173:$CY$365,('3b Activity Plan'!$C$173:$C$365=$C$130)*1)</f>
        <v>0</v>
      </c>
      <c r="M145" s="1602">
        <f ca="1">SUMPRODUCT('3b Activity Plan'!$AN$173:$AN$365,OFFSET('3b Activity Plan'!$DJ$173:$DJ$365,0,$CU145-1),'3b Activity Plan'!AO$173:AO$365,'3b Activity Plan'!$AH$173:$AH$365,'3b Activity Plan'!$CY$173:$CY$365,('3b Activity Plan'!$C$173:$C$365=$M$130)*1)</f>
        <v>0</v>
      </c>
      <c r="N145" s="1558">
        <f ca="1">SUMPRODUCT('3b Activity Plan'!$AN$173:$AN$365,OFFSET('3b Activity Plan'!$DJ$173:$DJ$365,0,$CU145-1),'3b Activity Plan'!AP$173:AP$365,'3b Activity Plan'!$AH$173:$AH$365,'3b Activity Plan'!$CY$173:$CY$365,('3b Activity Plan'!$C$173:$C$365=$M$130)*1)</f>
        <v>0</v>
      </c>
      <c r="O145" s="1558">
        <f ca="1">SUMPRODUCT('3b Activity Plan'!$AN$173:$AN$365,OFFSET('3b Activity Plan'!$DJ$173:$DJ$365,0,$CU145-1),'3b Activity Plan'!AQ$173:AQ$365,'3b Activity Plan'!$AH$173:$AH$365,'3b Activity Plan'!$CY$173:$CY$365,('3b Activity Plan'!$C$173:$C$365=$M$130)*1)</f>
        <v>0</v>
      </c>
      <c r="P145" s="1558">
        <f ca="1">SUMPRODUCT('3b Activity Plan'!$AN$173:$AN$365,OFFSET('3b Activity Plan'!$DJ$173:$DJ$365,0,$CU145-1),'3b Activity Plan'!AR$173:AR$365,'3b Activity Plan'!$AH$173:$AH$365,'3b Activity Plan'!$CY$173:$CY$365,('3b Activity Plan'!$C$173:$C$365=$M$130)*1)</f>
        <v>0</v>
      </c>
      <c r="Q145" s="1558">
        <f ca="1">SUMPRODUCT('3b Activity Plan'!$AN$173:$AN$365,OFFSET('3b Activity Plan'!$DJ$173:$DJ$365,0,$CU145-1),'3b Activity Plan'!AS$173:AS$365,'3b Activity Plan'!$AH$173:$AH$365,'3b Activity Plan'!$CY$173:$CY$365,('3b Activity Plan'!$C$173:$C$365=$M$130)*1)</f>
        <v>0</v>
      </c>
      <c r="R145" s="1558">
        <f ca="1">SUMPRODUCT('3b Activity Plan'!$AN$173:$AN$365,OFFSET('3b Activity Plan'!$DJ$173:$DJ$365,0,$CU145-1),'3b Activity Plan'!AT$173:AT$365,'3b Activity Plan'!$AH$173:$AH$365,'3b Activity Plan'!$CY$173:$CY$365,('3b Activity Plan'!$C$173:$C$365=$M$130)*1)</f>
        <v>0</v>
      </c>
      <c r="S145" s="1558">
        <f ca="1">SUMPRODUCT('3b Activity Plan'!$AN$173:$AN$365,OFFSET('3b Activity Plan'!$DJ$173:$DJ$365,0,$CU145-1),'3b Activity Plan'!AU$173:AU$365,'3b Activity Plan'!$AH$173:$AH$365,'3b Activity Plan'!$CY$173:$CY$365,('3b Activity Plan'!$C$173:$C$365=$M$130)*1)</f>
        <v>0</v>
      </c>
      <c r="T145" s="1558">
        <f ca="1">SUMPRODUCT('3b Activity Plan'!$AN$173:$AN$365,OFFSET('3b Activity Plan'!$DJ$173:$DJ$365,0,$CU145-1),'3b Activity Plan'!AV$173:AV$365,'3b Activity Plan'!$AH$173:$AH$365,'3b Activity Plan'!$CY$173:$CY$365,('3b Activity Plan'!$C$173:$C$365=$M$130)*1)</f>
        <v>0</v>
      </c>
      <c r="U145" s="1558">
        <f ca="1">SUMPRODUCT('3b Activity Plan'!$AN$173:$AN$365,OFFSET('3b Activity Plan'!$DJ$173:$DJ$365,0,$CU145-1),'3b Activity Plan'!AW$173:AW$365,'3b Activity Plan'!$AH$173:$AH$365,'3b Activity Plan'!$CY$173:$CY$365,('3b Activity Plan'!$C$173:$C$365=$M$130)*1)</f>
        <v>0</v>
      </c>
      <c r="V145" s="1601">
        <f ca="1">SUMPRODUCT('3b Activity Plan'!$AN$173:$AN$365,OFFSET('3b Activity Plan'!$DJ$173:$DJ$365,0,$CU145-1),'3b Activity Plan'!AX$173:AX$365,'3b Activity Plan'!$AH$173:$AH$365,'3b Activity Plan'!$CY$173:$CY$365,('3b Activity Plan'!$C$173:$C$365=$M$130)*1)</f>
        <v>0</v>
      </c>
      <c r="W145" s="1602">
        <f ca="1">SUMPRODUCT('3b Activity Plan'!$AN$173:$AN$365,OFFSET('3b Activity Plan'!$DJ$173:$DJ$365,0,$CU145-1),'3b Activity Plan'!AO$173:AO$365,'3b Activity Plan'!$AH$173:$AH$365,'3b Activity Plan'!$CY$173:$CY$365,('3b Activity Plan'!$C$173:$C$365=$W$130)*1)</f>
        <v>0</v>
      </c>
      <c r="X145" s="1558">
        <f ca="1">SUMPRODUCT('3b Activity Plan'!$AN$173:$AN$365,OFFSET('3b Activity Plan'!$DJ$173:$DJ$365,0,$CU145-1),'3b Activity Plan'!AP$173:AP$365,'3b Activity Plan'!$AH$173:$AH$365,'3b Activity Plan'!$CY$173:$CY$365,('3b Activity Plan'!$C$173:$C$365=$W$130)*1)</f>
        <v>0</v>
      </c>
      <c r="Y145" s="1558">
        <f ca="1">SUMPRODUCT('3b Activity Plan'!$AN$173:$AN$365,OFFSET('3b Activity Plan'!$DJ$173:$DJ$365,0,$CU145-1),'3b Activity Plan'!AQ$173:AQ$365,'3b Activity Plan'!$AH$173:$AH$365,'3b Activity Plan'!$CY$173:$CY$365,('3b Activity Plan'!$C$173:$C$365=$W$130)*1)</f>
        <v>0</v>
      </c>
      <c r="Z145" s="1558">
        <f ca="1">SUMPRODUCT('3b Activity Plan'!$AN$173:$AN$365,OFFSET('3b Activity Plan'!$DJ$173:$DJ$365,0,$CU145-1),'3b Activity Plan'!AR$173:AR$365,'3b Activity Plan'!$AH$173:$AH$365,'3b Activity Plan'!$CY$173:$CY$365,('3b Activity Plan'!$C$173:$C$365=$W$130)*1)</f>
        <v>0</v>
      </c>
      <c r="AA145" s="1558">
        <f ca="1">SUMPRODUCT('3b Activity Plan'!$AN$173:$AN$365,OFFSET('3b Activity Plan'!$DJ$173:$DJ$365,0,$CU145-1),'3b Activity Plan'!AS$173:AS$365,'3b Activity Plan'!$AH$173:$AH$365,'3b Activity Plan'!$CY$173:$CY$365,('3b Activity Plan'!$C$173:$C$365=$W$130)*1)</f>
        <v>0</v>
      </c>
      <c r="AB145" s="1558">
        <f ca="1">SUMPRODUCT('3b Activity Plan'!$AN$173:$AN$365,OFFSET('3b Activity Plan'!$DJ$173:$DJ$365,0,$CU145-1),'3b Activity Plan'!AT$173:AT$365,'3b Activity Plan'!$AH$173:$AH$365,'3b Activity Plan'!$CY$173:$CY$365,('3b Activity Plan'!$C$173:$C$365=$W$130)*1)</f>
        <v>0</v>
      </c>
      <c r="AC145" s="1558">
        <f ca="1">SUMPRODUCT('3b Activity Plan'!$AN$173:$AN$365,OFFSET('3b Activity Plan'!$DJ$173:$DJ$365,0,$CU145-1),'3b Activity Plan'!AU$173:AU$365,'3b Activity Plan'!$AH$173:$AH$365,'3b Activity Plan'!$CY$173:$CY$365,('3b Activity Plan'!$C$173:$C$365=$W$130)*1)</f>
        <v>0</v>
      </c>
      <c r="AD145" s="1558">
        <f ca="1">SUMPRODUCT('3b Activity Plan'!$AN$173:$AN$365,OFFSET('3b Activity Plan'!$DJ$173:$DJ$365,0,$CU145-1),'3b Activity Plan'!AV$173:AV$365,'3b Activity Plan'!$AH$173:$AH$365,'3b Activity Plan'!$CY$173:$CY$365,('3b Activity Plan'!$C$173:$C$365=$W$130)*1)</f>
        <v>0</v>
      </c>
      <c r="AE145" s="1558">
        <f ca="1">SUMPRODUCT('3b Activity Plan'!$AN$173:$AN$365,OFFSET('3b Activity Plan'!$DJ$173:$DJ$365,0,$CU145-1),'3b Activity Plan'!AW$173:AW$365,'3b Activity Plan'!$AH$173:$AH$365,'3b Activity Plan'!$CY$173:$CY$365,('3b Activity Plan'!$C$173:$C$365=$W$130)*1)</f>
        <v>0</v>
      </c>
      <c r="AF145" s="1558">
        <f ca="1">SUMPRODUCT('3b Activity Plan'!$AN$173:$AN$365,OFFSET('3b Activity Plan'!$DJ$173:$DJ$365,0,$CU145-1),'3b Activity Plan'!AX$173:AX$365,'3b Activity Plan'!$AH$173:$AH$365,'3b Activity Plan'!$CY$173:$CY$365,('3b Activity Plan'!$C$173:$C$365=$W$130)*1)</f>
        <v>0</v>
      </c>
      <c r="AG145" s="1602">
        <f ca="1">SUMPRODUCT('3b Activity Plan'!$AN$173:$AN$365,OFFSET('3b Activity Plan'!$DJ$173:$DJ$365,0,$CU145-1),'3b Activity Plan'!AO$173:AO$365,'3b Activity Plan'!$AH$173:$AH$365,'3b Activity Plan'!$CY$173:$CY$365,('3b Activity Plan'!$C$173:$C$365=$AG$130)*1)</f>
        <v>0</v>
      </c>
      <c r="AH145" s="1558">
        <f ca="1">SUMPRODUCT('3b Activity Plan'!$AN$173:$AN$365,OFFSET('3b Activity Plan'!$DJ$173:$DJ$365,0,$CU145-1),'3b Activity Plan'!AP$173:AP$365,'3b Activity Plan'!$AH$173:$AH$365,'3b Activity Plan'!$CY$173:$CY$365,('3b Activity Plan'!$C$173:$C$365=$AG$130)*1)</f>
        <v>0</v>
      </c>
      <c r="AI145" s="1558">
        <f ca="1">SUMPRODUCT('3b Activity Plan'!$AN$173:$AN$365,OFFSET('3b Activity Plan'!$DJ$173:$DJ$365,0,$CU145-1),'3b Activity Plan'!AQ$173:AQ$365,'3b Activity Plan'!$AH$173:$AH$365,'3b Activity Plan'!$CY$173:$CY$365,('3b Activity Plan'!$C$173:$C$365=$AG$130)*1)</f>
        <v>0</v>
      </c>
      <c r="AJ145" s="1558">
        <f ca="1">SUMPRODUCT('3b Activity Plan'!$AN$173:$AN$365,OFFSET('3b Activity Plan'!$DJ$173:$DJ$365,0,$CU145-1),'3b Activity Plan'!AR$173:AR$365,'3b Activity Plan'!$AH$173:$AH$365,'3b Activity Plan'!$CY$173:$CY$365,('3b Activity Plan'!$C$173:$C$365=$AG$130)*1)</f>
        <v>0</v>
      </c>
      <c r="AK145" s="1558">
        <f ca="1">SUMPRODUCT('3b Activity Plan'!$AN$173:$AN$365,OFFSET('3b Activity Plan'!$DJ$173:$DJ$365,0,$CU145-1),'3b Activity Plan'!AS$173:AS$365,'3b Activity Plan'!$AH$173:$AH$365,'3b Activity Plan'!$CY$173:$CY$365,('3b Activity Plan'!$C$173:$C$365=$AG$130)*1)</f>
        <v>0</v>
      </c>
      <c r="AL145" s="1558">
        <f ca="1">SUMPRODUCT('3b Activity Plan'!$AN$173:$AN$365,OFFSET('3b Activity Plan'!$DJ$173:$DJ$365,0,$CU145-1),'3b Activity Plan'!AT$173:AT$365,'3b Activity Plan'!$AH$173:$AH$365,'3b Activity Plan'!$CY$173:$CY$365,('3b Activity Plan'!$C$173:$C$365=$AG$130)*1)</f>
        <v>0</v>
      </c>
      <c r="AM145" s="1558">
        <f ca="1">SUMPRODUCT('3b Activity Plan'!$AN$173:$AN$365,OFFSET('3b Activity Plan'!$DJ$173:$DJ$365,0,$CU145-1),'3b Activity Plan'!AU$173:AU$365,'3b Activity Plan'!$AH$173:$AH$365,'3b Activity Plan'!$CY$173:$CY$365,('3b Activity Plan'!$C$173:$C$365=$AG$130)*1)</f>
        <v>0</v>
      </c>
      <c r="AN145" s="1558">
        <f ca="1">SUMPRODUCT('3b Activity Plan'!$AN$173:$AN$365,OFFSET('3b Activity Plan'!$DJ$173:$DJ$365,0,$CU145-1),'3b Activity Plan'!AV$173:AV$365,'3b Activity Plan'!$AH$173:$AH$365,'3b Activity Plan'!$CY$173:$CY$365,('3b Activity Plan'!$C$173:$C$365=$AG$130)*1)</f>
        <v>0</v>
      </c>
      <c r="AO145" s="1558">
        <f ca="1">SUMPRODUCT('3b Activity Plan'!$AN$173:$AN$365,OFFSET('3b Activity Plan'!$DJ$173:$DJ$365,0,$CU145-1),'3b Activity Plan'!AW$173:AW$365,'3b Activity Plan'!$AH$173:$AH$365,'3b Activity Plan'!$CY$173:$CY$365,('3b Activity Plan'!$C$173:$C$365=$AG$130)*1)</f>
        <v>0</v>
      </c>
      <c r="AP145" s="1558">
        <f ca="1">SUMPRODUCT('3b Activity Plan'!$AN$173:$AN$365,OFFSET('3b Activity Plan'!$DJ$173:$DJ$365,0,$CU145-1),'3b Activity Plan'!AX$173:AX$365,'3b Activity Plan'!$AH$173:$AH$365,'3b Activity Plan'!$CY$173:$CY$365,('3b Activity Plan'!$C$173:$C$365=$AG$130)*1)</f>
        <v>0</v>
      </c>
      <c r="AQ145" s="1602">
        <f ca="1">SUMPRODUCT('3b Activity Plan'!$AN$173:$AN$365,OFFSET('3b Activity Plan'!$DJ$173:$DJ$365,0,$CU145-1),'3b Activity Plan'!AO$173:AO$365,'3b Activity Plan'!$AH$173:$AH$365,'3b Activity Plan'!$CY$173:$CY$365,('3b Activity Plan'!$C$173:$C$365=$AQ$130)*1)</f>
        <v>0</v>
      </c>
      <c r="AR145" s="1558">
        <f ca="1">SUMPRODUCT('3b Activity Plan'!$AN$173:$AN$365,OFFSET('3b Activity Plan'!$DJ$173:$DJ$365,0,$CU145-1),'3b Activity Plan'!AP$173:AP$365,'3b Activity Plan'!$AH$173:$AH$365,'3b Activity Plan'!$CY$173:$CY$365,('3b Activity Plan'!$C$173:$C$365=$AQ$130)*1)</f>
        <v>0</v>
      </c>
      <c r="AS145" s="1558">
        <f ca="1">SUMPRODUCT('3b Activity Plan'!$AN$173:$AN$365,OFFSET('3b Activity Plan'!$DJ$173:$DJ$365,0,$CU145-1),'3b Activity Plan'!AQ$173:AQ$365,'3b Activity Plan'!$AH$173:$AH$365,'3b Activity Plan'!$CY$173:$CY$365,('3b Activity Plan'!$C$173:$C$365=$AQ$130)*1)</f>
        <v>0</v>
      </c>
      <c r="AT145" s="1558">
        <f ca="1">SUMPRODUCT('3b Activity Plan'!$AN$173:$AN$365,OFFSET('3b Activity Plan'!$DJ$173:$DJ$365,0,$CU145-1),'3b Activity Plan'!AR$173:AR$365,'3b Activity Plan'!$AH$173:$AH$365,'3b Activity Plan'!$CY$173:$CY$365,('3b Activity Plan'!$C$173:$C$365=$AQ$130)*1)</f>
        <v>0</v>
      </c>
      <c r="AU145" s="1558">
        <f ca="1">SUMPRODUCT('3b Activity Plan'!$AN$173:$AN$365,OFFSET('3b Activity Plan'!$DJ$173:$DJ$365,0,$CU145-1),'3b Activity Plan'!AS$173:AS$365,'3b Activity Plan'!$AH$173:$AH$365,'3b Activity Plan'!$CY$173:$CY$365,('3b Activity Plan'!$C$173:$C$365=$AQ$130)*1)</f>
        <v>0</v>
      </c>
      <c r="AV145" s="1558">
        <f ca="1">SUMPRODUCT('3b Activity Plan'!$AN$173:$AN$365,OFFSET('3b Activity Plan'!$DJ$173:$DJ$365,0,$CU145-1),'3b Activity Plan'!AT$173:AT$365,'3b Activity Plan'!$AH$173:$AH$365,'3b Activity Plan'!$CY$173:$CY$365,('3b Activity Plan'!$C$173:$C$365=$AQ$130)*1)</f>
        <v>0</v>
      </c>
      <c r="AW145" s="1558">
        <f ca="1">SUMPRODUCT('3b Activity Plan'!$AN$173:$AN$365,OFFSET('3b Activity Plan'!$DJ$173:$DJ$365,0,$CU145-1),'3b Activity Plan'!AU$173:AU$365,'3b Activity Plan'!$AH$173:$AH$365,'3b Activity Plan'!$CY$173:$CY$365,('3b Activity Plan'!$C$173:$C$365=$AQ$130)*1)</f>
        <v>0</v>
      </c>
      <c r="AX145" s="1558">
        <f ca="1">SUMPRODUCT('3b Activity Plan'!$AN$173:$AN$365,OFFSET('3b Activity Plan'!$DJ$173:$DJ$365,0,$CU145-1),'3b Activity Plan'!AV$173:AV$365,'3b Activity Plan'!$AH$173:$AH$365,'3b Activity Plan'!$CY$173:$CY$365,('3b Activity Plan'!$C$173:$C$365=$AQ$130)*1)</f>
        <v>0</v>
      </c>
      <c r="AY145" s="1558">
        <f ca="1">SUMPRODUCT('3b Activity Plan'!$AN$173:$AN$365,OFFSET('3b Activity Plan'!$DJ$173:$DJ$365,0,$CU145-1),'3b Activity Plan'!AW$173:AW$365,'3b Activity Plan'!$AH$173:$AH$365,'3b Activity Plan'!$CY$173:$CY$365,('3b Activity Plan'!$C$173:$C$365=$AQ$130)*1)</f>
        <v>0</v>
      </c>
      <c r="AZ145" s="1558">
        <f ca="1">SUMPRODUCT('3b Activity Plan'!$AN$173:$AN$365,OFFSET('3b Activity Plan'!$DJ$173:$DJ$365,0,$CU145-1),'3b Activity Plan'!AX$173:AX$365,'3b Activity Plan'!$AH$173:$AH$365,'3b Activity Plan'!$CY$173:$CY$365,('3b Activity Plan'!$C$173:$C$365=$AQ$130)*1)</f>
        <v>0</v>
      </c>
      <c r="BA145" s="1602">
        <f ca="1">SUMPRODUCT('3b Activity Plan'!$AN$173:$AN$365,OFFSET('3b Activity Plan'!$DJ$173:$DJ$365,0,$CU145-1),'3b Activity Plan'!AO$173:AO$365,'3b Activity Plan'!$AH$173:$AH$365,'3b Activity Plan'!$CY$173:$CY$365,('3b Activity Plan'!$C$173:$C$365=$BA$130)*1)</f>
        <v>0</v>
      </c>
      <c r="BB145" s="1558">
        <f ca="1">SUMPRODUCT('3b Activity Plan'!$AN$173:$AN$365,OFFSET('3b Activity Plan'!$DJ$173:$DJ$365,0,$CU145-1),'3b Activity Plan'!AP$173:AP$365,'3b Activity Plan'!$AH$173:$AH$365,'3b Activity Plan'!$CY$173:$CY$365,('3b Activity Plan'!$C$173:$C$365=$BA$130)*1)</f>
        <v>0</v>
      </c>
      <c r="BC145" s="1558">
        <f ca="1">SUMPRODUCT('3b Activity Plan'!$AN$173:$AN$365,OFFSET('3b Activity Plan'!$DJ$173:$DJ$365,0,$CU145-1),'3b Activity Plan'!AQ$173:AQ$365,'3b Activity Plan'!$AH$173:$AH$365,'3b Activity Plan'!$CY$173:$CY$365,('3b Activity Plan'!$C$173:$C$365=$BA$130)*1)</f>
        <v>0</v>
      </c>
      <c r="BD145" s="1558">
        <f ca="1">SUMPRODUCT('3b Activity Plan'!$AN$173:$AN$365,OFFSET('3b Activity Plan'!$DJ$173:$DJ$365,0,$CU145-1),'3b Activity Plan'!AR$173:AR$365,'3b Activity Plan'!$AH$173:$AH$365,'3b Activity Plan'!$CY$173:$CY$365,('3b Activity Plan'!$C$173:$C$365=$BA$130)*1)</f>
        <v>0</v>
      </c>
      <c r="BE145" s="1558">
        <f ca="1">SUMPRODUCT('3b Activity Plan'!$AN$173:$AN$365,OFFSET('3b Activity Plan'!$DJ$173:$DJ$365,0,$CU145-1),'3b Activity Plan'!AS$173:AS$365,'3b Activity Plan'!$AH$173:$AH$365,'3b Activity Plan'!$CY$173:$CY$365,('3b Activity Plan'!$C$173:$C$365=$BA$130)*1)</f>
        <v>0</v>
      </c>
      <c r="BF145" s="1558">
        <f ca="1">SUMPRODUCT('3b Activity Plan'!$AN$173:$AN$365,OFFSET('3b Activity Plan'!$DJ$173:$DJ$365,0,$CU145-1),'3b Activity Plan'!AT$173:AT$365,'3b Activity Plan'!$AH$173:$AH$365,'3b Activity Plan'!$CY$173:$CY$365,('3b Activity Plan'!$C$173:$C$365=$BA$130)*1)</f>
        <v>0</v>
      </c>
      <c r="BG145" s="1558">
        <f ca="1">SUMPRODUCT('3b Activity Plan'!$AN$173:$AN$365,OFFSET('3b Activity Plan'!$DJ$173:$DJ$365,0,$CU145-1),'3b Activity Plan'!AU$173:AU$365,'3b Activity Plan'!$AH$173:$AH$365,'3b Activity Plan'!$CY$173:$CY$365,('3b Activity Plan'!$C$173:$C$365=$BA$130)*1)</f>
        <v>0</v>
      </c>
      <c r="BH145" s="1558">
        <f ca="1">SUMPRODUCT('3b Activity Plan'!$AN$173:$AN$365,OFFSET('3b Activity Plan'!$DJ$173:$DJ$365,0,$CU145-1),'3b Activity Plan'!AV$173:AV$365,'3b Activity Plan'!$AH$173:$AH$365,'3b Activity Plan'!$CY$173:$CY$365,('3b Activity Plan'!$C$173:$C$365=$BA$130)*1)</f>
        <v>0</v>
      </c>
      <c r="BI145" s="1558">
        <f ca="1">SUMPRODUCT('3b Activity Plan'!$AN$173:$AN$365,OFFSET('3b Activity Plan'!$DJ$173:$DJ$365,0,$CU145-1),'3b Activity Plan'!AW$173:AW$365,'3b Activity Plan'!$AH$173:$AH$365,'3b Activity Plan'!$CY$173:$CY$365,('3b Activity Plan'!$C$173:$C$365=$BA$130)*1)</f>
        <v>0</v>
      </c>
      <c r="BJ145" s="1558">
        <f ca="1">SUMPRODUCT('3b Activity Plan'!$AN$173:$AN$365,OFFSET('3b Activity Plan'!$DJ$173:$DJ$365,0,$CU145-1),'3b Activity Plan'!AX$173:AX$365,'3b Activity Plan'!$AH$173:$AH$365,'3b Activity Plan'!$CY$173:$CY$365,('3b Activity Plan'!$C$173:$C$365=$BA$130)*1)</f>
        <v>0</v>
      </c>
      <c r="BK145" s="1602">
        <f ca="1">SUMPRODUCT('3b Activity Plan'!$AN$173:$AN$365,OFFSET('3b Activity Plan'!$DJ$173:$DJ$365,0,$CU145-1),'3b Activity Plan'!AO$173:AO$365,'3b Activity Plan'!$AH$173:$AH$365,'3b Activity Plan'!$CY$173:$CY$365,('3b Activity Plan'!$C$173:$C$365=$BK$130)*1)</f>
        <v>0</v>
      </c>
      <c r="BL145" s="1558">
        <f ca="1">SUMPRODUCT('3b Activity Plan'!$AN$173:$AN$365,OFFSET('3b Activity Plan'!$DJ$173:$DJ$365,0,$CU145-1),'3b Activity Plan'!AP$173:AP$365,'3b Activity Plan'!$AH$173:$AH$365,'3b Activity Plan'!$CY$173:$CY$365,('3b Activity Plan'!$C$173:$C$365=$BK$130)*1)</f>
        <v>0</v>
      </c>
      <c r="BM145" s="1558">
        <f ca="1">SUMPRODUCT('3b Activity Plan'!$AN$173:$AN$365,OFFSET('3b Activity Plan'!$DJ$173:$DJ$365,0,$CU145-1),'3b Activity Plan'!AQ$173:AQ$365,'3b Activity Plan'!$AH$173:$AH$365,'3b Activity Plan'!$CY$173:$CY$365,('3b Activity Plan'!$C$173:$C$365=$BK$130)*1)</f>
        <v>0</v>
      </c>
      <c r="BN145" s="1558">
        <f ca="1">SUMPRODUCT('3b Activity Plan'!$AN$173:$AN$365,OFFSET('3b Activity Plan'!$DJ$173:$DJ$365,0,$CU145-1),'3b Activity Plan'!AR$173:AR$365,'3b Activity Plan'!$AH$173:$AH$365,'3b Activity Plan'!$CY$173:$CY$365,('3b Activity Plan'!$C$173:$C$365=$BK$130)*1)</f>
        <v>0</v>
      </c>
      <c r="BO145" s="1558">
        <f ca="1">SUMPRODUCT('3b Activity Plan'!$AN$173:$AN$365,OFFSET('3b Activity Plan'!$DJ$173:$DJ$365,0,$CU145-1),'3b Activity Plan'!AS$173:AS$365,'3b Activity Plan'!$AH$173:$AH$365,'3b Activity Plan'!$CY$173:$CY$365,('3b Activity Plan'!$C$173:$C$365=$BK$130)*1)</f>
        <v>0</v>
      </c>
      <c r="BP145" s="1558">
        <f ca="1">SUMPRODUCT('3b Activity Plan'!$AN$173:$AN$365,OFFSET('3b Activity Plan'!$DJ$173:$DJ$365,0,$CU145-1),'3b Activity Plan'!AT$173:AT$365,'3b Activity Plan'!$AH$173:$AH$365,'3b Activity Plan'!$CY$173:$CY$365,('3b Activity Plan'!$C$173:$C$365=$BK$130)*1)</f>
        <v>0</v>
      </c>
      <c r="BQ145" s="1558">
        <f ca="1">SUMPRODUCT('3b Activity Plan'!$AN$173:$AN$365,OFFSET('3b Activity Plan'!$DJ$173:$DJ$365,0,$CU145-1),'3b Activity Plan'!AU$173:AU$365,'3b Activity Plan'!$AH$173:$AH$365,'3b Activity Plan'!$CY$173:$CY$365,('3b Activity Plan'!$C$173:$C$365=$BK$130)*1)</f>
        <v>0</v>
      </c>
      <c r="BR145" s="1558">
        <f ca="1">SUMPRODUCT('3b Activity Plan'!$AN$173:$AN$365,OFFSET('3b Activity Plan'!$DJ$173:$DJ$365,0,$CU145-1),'3b Activity Plan'!AV$173:AV$365,'3b Activity Plan'!$AH$173:$AH$365,'3b Activity Plan'!$CY$173:$CY$365,('3b Activity Plan'!$C$173:$C$365=$BK$130)*1)</f>
        <v>0</v>
      </c>
      <c r="BS145" s="1558">
        <f ca="1">SUMPRODUCT('3b Activity Plan'!$AN$173:$AN$365,OFFSET('3b Activity Plan'!$DJ$173:$DJ$365,0,$CU145-1),'3b Activity Plan'!AW$173:AW$365,'3b Activity Plan'!$AH$173:$AH$365,'3b Activity Plan'!$CY$173:$CY$365,('3b Activity Plan'!$C$173:$C$365=$BK$130)*1)</f>
        <v>0</v>
      </c>
      <c r="BT145" s="1558">
        <f ca="1">SUMPRODUCT('3b Activity Plan'!$AN$173:$AN$365,OFFSET('3b Activity Plan'!$DJ$173:$DJ$365,0,$CU145-1),'3b Activity Plan'!AX$173:AX$365,'3b Activity Plan'!$AH$173:$AH$365,'3b Activity Plan'!$CY$173:$CY$365,('3b Activity Plan'!$C$173:$C$365=$BK$130)*1)</f>
        <v>0</v>
      </c>
      <c r="BU145" s="1587"/>
      <c r="BV145" s="1587"/>
      <c r="BW145" s="1587"/>
      <c r="BX145" s="1556"/>
      <c r="BY145" s="1556"/>
      <c r="BZ145" s="1556"/>
      <c r="CA145" s="1024">
        <f ca="1">SUMIFS('3a Staff Plan'!$T$129:$T$305,'3a Staff Plan'!$DY$129:$DY$305,CZ145,'3a Staff Plan'!$DF$129:$DF$305,1)</f>
        <v>0</v>
      </c>
      <c r="CB145" s="1025">
        <f ca="1">SUMIFS('3a Staff Plan'!$T$129:$T$305,'3a Staff Plan'!$DY$129:$DY$305,$CZ145,'3a Staff Plan'!$DF$129:$DF$305,1,'3a Staff Plan'!$C$129:$C$305,DC$18)</f>
        <v>0</v>
      </c>
      <c r="CC145" s="1026">
        <f ca="1">SUMIFS('3a Staff Plan'!$T$129:$T$305,'3a Staff Plan'!$DY$129:$DY$305,$CZ145,'3a Staff Plan'!$DF$129:$DF$305,1,'3a Staff Plan'!$C$129:$C$305,DD$18)</f>
        <v>0</v>
      </c>
      <c r="CD145" s="1026">
        <f ca="1">SUMIFS('3a Staff Plan'!$T$129:$T$305,'3a Staff Plan'!$DY$129:$DY$305,$CZ145,'3a Staff Plan'!$DF$129:$DF$305,1,'3a Staff Plan'!$C$129:$C$305,DE$18)</f>
        <v>0</v>
      </c>
      <c r="CE145" s="1026">
        <f ca="1">SUMIFS('3a Staff Plan'!$T$129:$T$305,'3a Staff Plan'!$DY$129:$DY$305,$CZ145,'3a Staff Plan'!$DF$129:$DF$305,1,'3a Staff Plan'!$C$129:$C$305,DF$18)</f>
        <v>0</v>
      </c>
      <c r="CF145" s="1026">
        <f ca="1">SUMIFS('3a Staff Plan'!$T$129:$T$305,'3a Staff Plan'!$DY$129:$DY$305,$CZ145,'3a Staff Plan'!$DF$129:$DF$305,1,'3a Staff Plan'!$C$129:$C$305,DG$18)</f>
        <v>0</v>
      </c>
      <c r="CG145" s="1026">
        <f ca="1">SUMIFS('3a Staff Plan'!$T$129:$T$305,'3a Staff Plan'!$DY$129:$DY$305,$CZ145,'3a Staff Plan'!$DF$129:$DF$305,1,'3a Staff Plan'!$C$129:$C$305,DH$18)</f>
        <v>0</v>
      </c>
      <c r="CH145" s="1026">
        <f ca="1">SUMIFS('3a Staff Plan'!$T$129:$T$305,'3a Staff Plan'!$DY$129:$DY$305,$CZ145,'3a Staff Plan'!$DF$129:$DF$305,1,'3a Staff Plan'!$C$129:$C$305,DI$18)</f>
        <v>0</v>
      </c>
      <c r="CI145" s="755"/>
      <c r="CJ145" s="1024">
        <f ca="1">SUMPRODUCT('3b Activity Plan'!$AN$173:$AN$365,'3b Activity Plan'!$CY$173:$CY$365,'3b Activity Plan'!$AH$173:$AH$365,OFFSET('3b Activity Plan'!$DJ$173:$DJ$365,0,$CU145-1))</f>
        <v>0</v>
      </c>
      <c r="CK145" s="1025">
        <f t="shared" ca="1" si="93"/>
        <v>0</v>
      </c>
      <c r="CL145" s="1026">
        <f t="shared" ca="1" si="94"/>
        <v>0</v>
      </c>
      <c r="CM145" s="1026">
        <f t="shared" ca="1" si="95"/>
        <v>0</v>
      </c>
      <c r="CN145" s="1026">
        <f t="shared" ca="1" si="96"/>
        <v>0</v>
      </c>
      <c r="CO145" s="1026">
        <f t="shared" ca="1" si="97"/>
        <v>0</v>
      </c>
      <c r="CP145" s="1026">
        <f t="shared" ca="1" si="98"/>
        <v>0</v>
      </c>
      <c r="CQ145" s="1026">
        <f t="shared" ca="1" si="99"/>
        <v>0</v>
      </c>
      <c r="CR145" s="417"/>
      <c r="CS145" s="417">
        <f t="shared" si="100"/>
        <v>13</v>
      </c>
      <c r="CT145" s="417">
        <f ca="1">OFFSET('2 Staff List'!$GU$64,CS145-1,0)</f>
        <v>13</v>
      </c>
      <c r="CU145" s="417">
        <f ca="1">IF(CZ145=0,0,IFERROR(INDEX('3b Activity Plan'!$DJ$20:$FH$20,MATCH(CT145,'3b Activity Plan'!$DJ$171:$FH$171,0)),0))</f>
        <v>0</v>
      </c>
      <c r="CV145" s="417">
        <f ca="1">INDEX('2 Staff List'!$HW$64:$HW$114,CT145)</f>
        <v>0</v>
      </c>
      <c r="CW145" s="417"/>
      <c r="CY145" s="927">
        <f ca="1">OFFSET('2 Staff List'!$HZ$64,CS145-1,0)</f>
        <v>0</v>
      </c>
      <c r="CZ145" s="975">
        <f ca="1">OFFSET('2 Staff List'!$IA$64,CT145-1,0)</f>
        <v>0</v>
      </c>
      <c r="DA145" s="3840">
        <f t="shared" ca="1" si="92"/>
        <v>0</v>
      </c>
      <c r="DB145" s="3841"/>
      <c r="DC145" s="2408">
        <f t="shared" ca="1" si="85"/>
        <v>0</v>
      </c>
      <c r="DD145" s="2405">
        <f t="shared" ca="1" si="86"/>
        <v>0</v>
      </c>
      <c r="DE145" s="2405">
        <f t="shared" ca="1" si="87"/>
        <v>0</v>
      </c>
      <c r="DF145" s="2405">
        <f t="shared" ca="1" si="88"/>
        <v>0</v>
      </c>
      <c r="DG145" s="2405">
        <f t="shared" ca="1" si="89"/>
        <v>0</v>
      </c>
      <c r="DH145" s="2406">
        <f t="shared" ca="1" si="90"/>
        <v>0</v>
      </c>
      <c r="DI145" s="2407">
        <f t="shared" ca="1" si="91"/>
        <v>0</v>
      </c>
    </row>
    <row r="146" spans="1:113" ht="15.9" customHeight="1" x14ac:dyDescent="0.25">
      <c r="A146" s="1051"/>
      <c r="B146" s="1556"/>
      <c r="C146" s="1558">
        <f ca="1">SUMPRODUCT('3b Activity Plan'!$AN$173:$AN$365,OFFSET('3b Activity Plan'!$DJ$173:$DJ$365,0,$CU146-1),'3b Activity Plan'!AO$173:AO$365,'3b Activity Plan'!$AH$173:$AH$365,'3b Activity Plan'!$CY$173:$CY$365,('3b Activity Plan'!$C$173:$C$365=$C$130)*1)</f>
        <v>0</v>
      </c>
      <c r="D146" s="1558">
        <f ca="1">SUMPRODUCT('3b Activity Plan'!$AN$173:$AN$365,OFFSET('3b Activity Plan'!$DJ$173:$DJ$365,0,$CU146-1),'3b Activity Plan'!AP$173:AP$365,'3b Activity Plan'!$AH$173:$AH$365,'3b Activity Plan'!$CY$173:$CY$365,('3b Activity Plan'!$C$173:$C$365=$C$130)*1)</f>
        <v>0</v>
      </c>
      <c r="E146" s="1558">
        <f ca="1">SUMPRODUCT('3b Activity Plan'!$AN$173:$AN$365,OFFSET('3b Activity Plan'!$DJ$173:$DJ$365,0,$CU146-1),'3b Activity Plan'!AQ$173:AQ$365,'3b Activity Plan'!$AH$173:$AH$365,'3b Activity Plan'!$CY$173:$CY$365,('3b Activity Plan'!$C$173:$C$365=$C$130)*1)</f>
        <v>0</v>
      </c>
      <c r="F146" s="1558">
        <f ca="1">SUMPRODUCT('3b Activity Plan'!$AN$173:$AN$365,OFFSET('3b Activity Plan'!$DJ$173:$DJ$365,0,$CU146-1),'3b Activity Plan'!AR$173:AR$365,'3b Activity Plan'!$AH$173:$AH$365,'3b Activity Plan'!$CY$173:$CY$365,('3b Activity Plan'!$C$173:$C$365=$C$130)*1)</f>
        <v>0</v>
      </c>
      <c r="G146" s="1558">
        <f ca="1">SUMPRODUCT('3b Activity Plan'!$AN$173:$AN$365,OFFSET('3b Activity Plan'!$DJ$173:$DJ$365,0,$CU146-1),'3b Activity Plan'!AS$173:AS$365,'3b Activity Plan'!$AH$173:$AH$365,'3b Activity Plan'!$CY$173:$CY$365,('3b Activity Plan'!$C$173:$C$365=$C$130)*1)</f>
        <v>0</v>
      </c>
      <c r="H146" s="1558">
        <f ca="1">SUMPRODUCT('3b Activity Plan'!$AN$173:$AN$365,OFFSET('3b Activity Plan'!$DJ$173:$DJ$365,0,$CU146-1),'3b Activity Plan'!AT$173:AT$365,'3b Activity Plan'!$AH$173:$AH$365,'3b Activity Plan'!$CY$173:$CY$365,('3b Activity Plan'!$C$173:$C$365=$C$130)*1)</f>
        <v>0</v>
      </c>
      <c r="I146" s="1558">
        <f ca="1">SUMPRODUCT('3b Activity Plan'!$AN$173:$AN$365,OFFSET('3b Activity Plan'!$DJ$173:$DJ$365,0,$CU146-1),'3b Activity Plan'!AU$173:AU$365,'3b Activity Plan'!$AH$173:$AH$365,'3b Activity Plan'!$CY$173:$CY$365,('3b Activity Plan'!$C$173:$C$365=$C$130)*1)</f>
        <v>0</v>
      </c>
      <c r="J146" s="1558">
        <f ca="1">SUMPRODUCT('3b Activity Plan'!$AN$173:$AN$365,OFFSET('3b Activity Plan'!$DJ$173:$DJ$365,0,$CU146-1),'3b Activity Plan'!AV$173:AV$365,'3b Activity Plan'!$AH$173:$AH$365,'3b Activity Plan'!$CY$173:$CY$365,('3b Activity Plan'!$C$173:$C$365=$C$130)*1)</f>
        <v>0</v>
      </c>
      <c r="K146" s="1558">
        <f ca="1">SUMPRODUCT('3b Activity Plan'!$AN$173:$AN$365,OFFSET('3b Activity Plan'!$DJ$173:$DJ$365,0,$CU146-1),'3b Activity Plan'!AW$173:AW$365,'3b Activity Plan'!$AH$173:$AH$365,'3b Activity Plan'!$CY$173:$CY$365,('3b Activity Plan'!$C$173:$C$365=$C$130)*1)</f>
        <v>0</v>
      </c>
      <c r="L146" s="1601">
        <f ca="1">SUMPRODUCT('3b Activity Plan'!$AN$173:$AN$365,OFFSET('3b Activity Plan'!$DJ$173:$DJ$365,0,$CU146-1),'3b Activity Plan'!AX$173:AX$365,'3b Activity Plan'!$AH$173:$AH$365,'3b Activity Plan'!$CY$173:$CY$365,('3b Activity Plan'!$C$173:$C$365=$C$130)*1)</f>
        <v>0</v>
      </c>
      <c r="M146" s="1602">
        <f ca="1">SUMPRODUCT('3b Activity Plan'!$AN$173:$AN$365,OFFSET('3b Activity Plan'!$DJ$173:$DJ$365,0,$CU146-1),'3b Activity Plan'!AO$173:AO$365,'3b Activity Plan'!$AH$173:$AH$365,'3b Activity Plan'!$CY$173:$CY$365,('3b Activity Plan'!$C$173:$C$365=$M$130)*1)</f>
        <v>0</v>
      </c>
      <c r="N146" s="1558">
        <f ca="1">SUMPRODUCT('3b Activity Plan'!$AN$173:$AN$365,OFFSET('3b Activity Plan'!$DJ$173:$DJ$365,0,$CU146-1),'3b Activity Plan'!AP$173:AP$365,'3b Activity Plan'!$AH$173:$AH$365,'3b Activity Plan'!$CY$173:$CY$365,('3b Activity Plan'!$C$173:$C$365=$M$130)*1)</f>
        <v>0</v>
      </c>
      <c r="O146" s="1558">
        <f ca="1">SUMPRODUCT('3b Activity Plan'!$AN$173:$AN$365,OFFSET('3b Activity Plan'!$DJ$173:$DJ$365,0,$CU146-1),'3b Activity Plan'!AQ$173:AQ$365,'3b Activity Plan'!$AH$173:$AH$365,'3b Activity Plan'!$CY$173:$CY$365,('3b Activity Plan'!$C$173:$C$365=$M$130)*1)</f>
        <v>0</v>
      </c>
      <c r="P146" s="1558">
        <f ca="1">SUMPRODUCT('3b Activity Plan'!$AN$173:$AN$365,OFFSET('3b Activity Plan'!$DJ$173:$DJ$365,0,$CU146-1),'3b Activity Plan'!AR$173:AR$365,'3b Activity Plan'!$AH$173:$AH$365,'3b Activity Plan'!$CY$173:$CY$365,('3b Activity Plan'!$C$173:$C$365=$M$130)*1)</f>
        <v>0</v>
      </c>
      <c r="Q146" s="1558">
        <f ca="1">SUMPRODUCT('3b Activity Plan'!$AN$173:$AN$365,OFFSET('3b Activity Plan'!$DJ$173:$DJ$365,0,$CU146-1),'3b Activity Plan'!AS$173:AS$365,'3b Activity Plan'!$AH$173:$AH$365,'3b Activity Plan'!$CY$173:$CY$365,('3b Activity Plan'!$C$173:$C$365=$M$130)*1)</f>
        <v>0</v>
      </c>
      <c r="R146" s="1558">
        <f ca="1">SUMPRODUCT('3b Activity Plan'!$AN$173:$AN$365,OFFSET('3b Activity Plan'!$DJ$173:$DJ$365,0,$CU146-1),'3b Activity Plan'!AT$173:AT$365,'3b Activity Plan'!$AH$173:$AH$365,'3b Activity Plan'!$CY$173:$CY$365,('3b Activity Plan'!$C$173:$C$365=$M$130)*1)</f>
        <v>0</v>
      </c>
      <c r="S146" s="1558">
        <f ca="1">SUMPRODUCT('3b Activity Plan'!$AN$173:$AN$365,OFFSET('3b Activity Plan'!$DJ$173:$DJ$365,0,$CU146-1),'3b Activity Plan'!AU$173:AU$365,'3b Activity Plan'!$AH$173:$AH$365,'3b Activity Plan'!$CY$173:$CY$365,('3b Activity Plan'!$C$173:$C$365=$M$130)*1)</f>
        <v>0</v>
      </c>
      <c r="T146" s="1558">
        <f ca="1">SUMPRODUCT('3b Activity Plan'!$AN$173:$AN$365,OFFSET('3b Activity Plan'!$DJ$173:$DJ$365,0,$CU146-1),'3b Activity Plan'!AV$173:AV$365,'3b Activity Plan'!$AH$173:$AH$365,'3b Activity Plan'!$CY$173:$CY$365,('3b Activity Plan'!$C$173:$C$365=$M$130)*1)</f>
        <v>0</v>
      </c>
      <c r="U146" s="1558">
        <f ca="1">SUMPRODUCT('3b Activity Plan'!$AN$173:$AN$365,OFFSET('3b Activity Plan'!$DJ$173:$DJ$365,0,$CU146-1),'3b Activity Plan'!AW$173:AW$365,'3b Activity Plan'!$AH$173:$AH$365,'3b Activity Plan'!$CY$173:$CY$365,('3b Activity Plan'!$C$173:$C$365=$M$130)*1)</f>
        <v>0</v>
      </c>
      <c r="V146" s="1601">
        <f ca="1">SUMPRODUCT('3b Activity Plan'!$AN$173:$AN$365,OFFSET('3b Activity Plan'!$DJ$173:$DJ$365,0,$CU146-1),'3b Activity Plan'!AX$173:AX$365,'3b Activity Plan'!$AH$173:$AH$365,'3b Activity Plan'!$CY$173:$CY$365,('3b Activity Plan'!$C$173:$C$365=$M$130)*1)</f>
        <v>0</v>
      </c>
      <c r="W146" s="1602">
        <f ca="1">SUMPRODUCT('3b Activity Plan'!$AN$173:$AN$365,OFFSET('3b Activity Plan'!$DJ$173:$DJ$365,0,$CU146-1),'3b Activity Plan'!AO$173:AO$365,'3b Activity Plan'!$AH$173:$AH$365,'3b Activity Plan'!$CY$173:$CY$365,('3b Activity Plan'!$C$173:$C$365=$W$130)*1)</f>
        <v>0</v>
      </c>
      <c r="X146" s="1558">
        <f ca="1">SUMPRODUCT('3b Activity Plan'!$AN$173:$AN$365,OFFSET('3b Activity Plan'!$DJ$173:$DJ$365,0,$CU146-1),'3b Activity Plan'!AP$173:AP$365,'3b Activity Plan'!$AH$173:$AH$365,'3b Activity Plan'!$CY$173:$CY$365,('3b Activity Plan'!$C$173:$C$365=$W$130)*1)</f>
        <v>0</v>
      </c>
      <c r="Y146" s="1558">
        <f ca="1">SUMPRODUCT('3b Activity Plan'!$AN$173:$AN$365,OFFSET('3b Activity Plan'!$DJ$173:$DJ$365,0,$CU146-1),'3b Activity Plan'!AQ$173:AQ$365,'3b Activity Plan'!$AH$173:$AH$365,'3b Activity Plan'!$CY$173:$CY$365,('3b Activity Plan'!$C$173:$C$365=$W$130)*1)</f>
        <v>0</v>
      </c>
      <c r="Z146" s="1558">
        <f ca="1">SUMPRODUCT('3b Activity Plan'!$AN$173:$AN$365,OFFSET('3b Activity Plan'!$DJ$173:$DJ$365,0,$CU146-1),'3b Activity Plan'!AR$173:AR$365,'3b Activity Plan'!$AH$173:$AH$365,'3b Activity Plan'!$CY$173:$CY$365,('3b Activity Plan'!$C$173:$C$365=$W$130)*1)</f>
        <v>0</v>
      </c>
      <c r="AA146" s="1558">
        <f ca="1">SUMPRODUCT('3b Activity Plan'!$AN$173:$AN$365,OFFSET('3b Activity Plan'!$DJ$173:$DJ$365,0,$CU146-1),'3b Activity Plan'!AS$173:AS$365,'3b Activity Plan'!$AH$173:$AH$365,'3b Activity Plan'!$CY$173:$CY$365,('3b Activity Plan'!$C$173:$C$365=$W$130)*1)</f>
        <v>0</v>
      </c>
      <c r="AB146" s="1558">
        <f ca="1">SUMPRODUCT('3b Activity Plan'!$AN$173:$AN$365,OFFSET('3b Activity Plan'!$DJ$173:$DJ$365,0,$CU146-1),'3b Activity Plan'!AT$173:AT$365,'3b Activity Plan'!$AH$173:$AH$365,'3b Activity Plan'!$CY$173:$CY$365,('3b Activity Plan'!$C$173:$C$365=$W$130)*1)</f>
        <v>0</v>
      </c>
      <c r="AC146" s="1558">
        <f ca="1">SUMPRODUCT('3b Activity Plan'!$AN$173:$AN$365,OFFSET('3b Activity Plan'!$DJ$173:$DJ$365,0,$CU146-1),'3b Activity Plan'!AU$173:AU$365,'3b Activity Plan'!$AH$173:$AH$365,'3b Activity Plan'!$CY$173:$CY$365,('3b Activity Plan'!$C$173:$C$365=$W$130)*1)</f>
        <v>0</v>
      </c>
      <c r="AD146" s="1558">
        <f ca="1">SUMPRODUCT('3b Activity Plan'!$AN$173:$AN$365,OFFSET('3b Activity Plan'!$DJ$173:$DJ$365,0,$CU146-1),'3b Activity Plan'!AV$173:AV$365,'3b Activity Plan'!$AH$173:$AH$365,'3b Activity Plan'!$CY$173:$CY$365,('3b Activity Plan'!$C$173:$C$365=$W$130)*1)</f>
        <v>0</v>
      </c>
      <c r="AE146" s="1558">
        <f ca="1">SUMPRODUCT('3b Activity Plan'!$AN$173:$AN$365,OFFSET('3b Activity Plan'!$DJ$173:$DJ$365,0,$CU146-1),'3b Activity Plan'!AW$173:AW$365,'3b Activity Plan'!$AH$173:$AH$365,'3b Activity Plan'!$CY$173:$CY$365,('3b Activity Plan'!$C$173:$C$365=$W$130)*1)</f>
        <v>0</v>
      </c>
      <c r="AF146" s="1558">
        <f ca="1">SUMPRODUCT('3b Activity Plan'!$AN$173:$AN$365,OFFSET('3b Activity Plan'!$DJ$173:$DJ$365,0,$CU146-1),'3b Activity Plan'!AX$173:AX$365,'3b Activity Plan'!$AH$173:$AH$365,'3b Activity Plan'!$CY$173:$CY$365,('3b Activity Plan'!$C$173:$C$365=$W$130)*1)</f>
        <v>0</v>
      </c>
      <c r="AG146" s="1602">
        <f ca="1">SUMPRODUCT('3b Activity Plan'!$AN$173:$AN$365,OFFSET('3b Activity Plan'!$DJ$173:$DJ$365,0,$CU146-1),'3b Activity Plan'!AO$173:AO$365,'3b Activity Plan'!$AH$173:$AH$365,'3b Activity Plan'!$CY$173:$CY$365,('3b Activity Plan'!$C$173:$C$365=$AG$130)*1)</f>
        <v>0</v>
      </c>
      <c r="AH146" s="1558">
        <f ca="1">SUMPRODUCT('3b Activity Plan'!$AN$173:$AN$365,OFFSET('3b Activity Plan'!$DJ$173:$DJ$365,0,$CU146-1),'3b Activity Plan'!AP$173:AP$365,'3b Activity Plan'!$AH$173:$AH$365,'3b Activity Plan'!$CY$173:$CY$365,('3b Activity Plan'!$C$173:$C$365=$AG$130)*1)</f>
        <v>0</v>
      </c>
      <c r="AI146" s="1558">
        <f ca="1">SUMPRODUCT('3b Activity Plan'!$AN$173:$AN$365,OFFSET('3b Activity Plan'!$DJ$173:$DJ$365,0,$CU146-1),'3b Activity Plan'!AQ$173:AQ$365,'3b Activity Plan'!$AH$173:$AH$365,'3b Activity Plan'!$CY$173:$CY$365,('3b Activity Plan'!$C$173:$C$365=$AG$130)*1)</f>
        <v>0</v>
      </c>
      <c r="AJ146" s="1558">
        <f ca="1">SUMPRODUCT('3b Activity Plan'!$AN$173:$AN$365,OFFSET('3b Activity Plan'!$DJ$173:$DJ$365,0,$CU146-1),'3b Activity Plan'!AR$173:AR$365,'3b Activity Plan'!$AH$173:$AH$365,'3b Activity Plan'!$CY$173:$CY$365,('3b Activity Plan'!$C$173:$C$365=$AG$130)*1)</f>
        <v>0</v>
      </c>
      <c r="AK146" s="1558">
        <f ca="1">SUMPRODUCT('3b Activity Plan'!$AN$173:$AN$365,OFFSET('3b Activity Plan'!$DJ$173:$DJ$365,0,$CU146-1),'3b Activity Plan'!AS$173:AS$365,'3b Activity Plan'!$AH$173:$AH$365,'3b Activity Plan'!$CY$173:$CY$365,('3b Activity Plan'!$C$173:$C$365=$AG$130)*1)</f>
        <v>0</v>
      </c>
      <c r="AL146" s="1558">
        <f ca="1">SUMPRODUCT('3b Activity Plan'!$AN$173:$AN$365,OFFSET('3b Activity Plan'!$DJ$173:$DJ$365,0,$CU146-1),'3b Activity Plan'!AT$173:AT$365,'3b Activity Plan'!$AH$173:$AH$365,'3b Activity Plan'!$CY$173:$CY$365,('3b Activity Plan'!$C$173:$C$365=$AG$130)*1)</f>
        <v>0</v>
      </c>
      <c r="AM146" s="1558">
        <f ca="1">SUMPRODUCT('3b Activity Plan'!$AN$173:$AN$365,OFFSET('3b Activity Plan'!$DJ$173:$DJ$365,0,$CU146-1),'3b Activity Plan'!AU$173:AU$365,'3b Activity Plan'!$AH$173:$AH$365,'3b Activity Plan'!$CY$173:$CY$365,('3b Activity Plan'!$C$173:$C$365=$AG$130)*1)</f>
        <v>0</v>
      </c>
      <c r="AN146" s="1558">
        <f ca="1">SUMPRODUCT('3b Activity Plan'!$AN$173:$AN$365,OFFSET('3b Activity Plan'!$DJ$173:$DJ$365,0,$CU146-1),'3b Activity Plan'!AV$173:AV$365,'3b Activity Plan'!$AH$173:$AH$365,'3b Activity Plan'!$CY$173:$CY$365,('3b Activity Plan'!$C$173:$C$365=$AG$130)*1)</f>
        <v>0</v>
      </c>
      <c r="AO146" s="1558">
        <f ca="1">SUMPRODUCT('3b Activity Plan'!$AN$173:$AN$365,OFFSET('3b Activity Plan'!$DJ$173:$DJ$365,0,$CU146-1),'3b Activity Plan'!AW$173:AW$365,'3b Activity Plan'!$AH$173:$AH$365,'3b Activity Plan'!$CY$173:$CY$365,('3b Activity Plan'!$C$173:$C$365=$AG$130)*1)</f>
        <v>0</v>
      </c>
      <c r="AP146" s="1558">
        <f ca="1">SUMPRODUCT('3b Activity Plan'!$AN$173:$AN$365,OFFSET('3b Activity Plan'!$DJ$173:$DJ$365,0,$CU146-1),'3b Activity Plan'!AX$173:AX$365,'3b Activity Plan'!$AH$173:$AH$365,'3b Activity Plan'!$CY$173:$CY$365,('3b Activity Plan'!$C$173:$C$365=$AG$130)*1)</f>
        <v>0</v>
      </c>
      <c r="AQ146" s="1602">
        <f ca="1">SUMPRODUCT('3b Activity Plan'!$AN$173:$AN$365,OFFSET('3b Activity Plan'!$DJ$173:$DJ$365,0,$CU146-1),'3b Activity Plan'!AO$173:AO$365,'3b Activity Plan'!$AH$173:$AH$365,'3b Activity Plan'!$CY$173:$CY$365,('3b Activity Plan'!$C$173:$C$365=$AQ$130)*1)</f>
        <v>0</v>
      </c>
      <c r="AR146" s="1558">
        <f ca="1">SUMPRODUCT('3b Activity Plan'!$AN$173:$AN$365,OFFSET('3b Activity Plan'!$DJ$173:$DJ$365,0,$CU146-1),'3b Activity Plan'!AP$173:AP$365,'3b Activity Plan'!$AH$173:$AH$365,'3b Activity Plan'!$CY$173:$CY$365,('3b Activity Plan'!$C$173:$C$365=$AQ$130)*1)</f>
        <v>0</v>
      </c>
      <c r="AS146" s="1558">
        <f ca="1">SUMPRODUCT('3b Activity Plan'!$AN$173:$AN$365,OFFSET('3b Activity Plan'!$DJ$173:$DJ$365,0,$CU146-1),'3b Activity Plan'!AQ$173:AQ$365,'3b Activity Plan'!$AH$173:$AH$365,'3b Activity Plan'!$CY$173:$CY$365,('3b Activity Plan'!$C$173:$C$365=$AQ$130)*1)</f>
        <v>0</v>
      </c>
      <c r="AT146" s="1558">
        <f ca="1">SUMPRODUCT('3b Activity Plan'!$AN$173:$AN$365,OFFSET('3b Activity Plan'!$DJ$173:$DJ$365,0,$CU146-1),'3b Activity Plan'!AR$173:AR$365,'3b Activity Plan'!$AH$173:$AH$365,'3b Activity Plan'!$CY$173:$CY$365,('3b Activity Plan'!$C$173:$C$365=$AQ$130)*1)</f>
        <v>0</v>
      </c>
      <c r="AU146" s="1558">
        <f ca="1">SUMPRODUCT('3b Activity Plan'!$AN$173:$AN$365,OFFSET('3b Activity Plan'!$DJ$173:$DJ$365,0,$CU146-1),'3b Activity Plan'!AS$173:AS$365,'3b Activity Plan'!$AH$173:$AH$365,'3b Activity Plan'!$CY$173:$CY$365,('3b Activity Plan'!$C$173:$C$365=$AQ$130)*1)</f>
        <v>0</v>
      </c>
      <c r="AV146" s="1558">
        <f ca="1">SUMPRODUCT('3b Activity Plan'!$AN$173:$AN$365,OFFSET('3b Activity Plan'!$DJ$173:$DJ$365,0,$CU146-1),'3b Activity Plan'!AT$173:AT$365,'3b Activity Plan'!$AH$173:$AH$365,'3b Activity Plan'!$CY$173:$CY$365,('3b Activity Plan'!$C$173:$C$365=$AQ$130)*1)</f>
        <v>0</v>
      </c>
      <c r="AW146" s="1558">
        <f ca="1">SUMPRODUCT('3b Activity Plan'!$AN$173:$AN$365,OFFSET('3b Activity Plan'!$DJ$173:$DJ$365,0,$CU146-1),'3b Activity Plan'!AU$173:AU$365,'3b Activity Plan'!$AH$173:$AH$365,'3b Activity Plan'!$CY$173:$CY$365,('3b Activity Plan'!$C$173:$C$365=$AQ$130)*1)</f>
        <v>0</v>
      </c>
      <c r="AX146" s="1558">
        <f ca="1">SUMPRODUCT('3b Activity Plan'!$AN$173:$AN$365,OFFSET('3b Activity Plan'!$DJ$173:$DJ$365,0,$CU146-1),'3b Activity Plan'!AV$173:AV$365,'3b Activity Plan'!$AH$173:$AH$365,'3b Activity Plan'!$CY$173:$CY$365,('3b Activity Plan'!$C$173:$C$365=$AQ$130)*1)</f>
        <v>0</v>
      </c>
      <c r="AY146" s="1558">
        <f ca="1">SUMPRODUCT('3b Activity Plan'!$AN$173:$AN$365,OFFSET('3b Activity Plan'!$DJ$173:$DJ$365,0,$CU146-1),'3b Activity Plan'!AW$173:AW$365,'3b Activity Plan'!$AH$173:$AH$365,'3b Activity Plan'!$CY$173:$CY$365,('3b Activity Plan'!$C$173:$C$365=$AQ$130)*1)</f>
        <v>0</v>
      </c>
      <c r="AZ146" s="1558">
        <f ca="1">SUMPRODUCT('3b Activity Plan'!$AN$173:$AN$365,OFFSET('3b Activity Plan'!$DJ$173:$DJ$365,0,$CU146-1),'3b Activity Plan'!AX$173:AX$365,'3b Activity Plan'!$AH$173:$AH$365,'3b Activity Plan'!$CY$173:$CY$365,('3b Activity Plan'!$C$173:$C$365=$AQ$130)*1)</f>
        <v>0</v>
      </c>
      <c r="BA146" s="1602">
        <f ca="1">SUMPRODUCT('3b Activity Plan'!$AN$173:$AN$365,OFFSET('3b Activity Plan'!$DJ$173:$DJ$365,0,$CU146-1),'3b Activity Plan'!AO$173:AO$365,'3b Activity Plan'!$AH$173:$AH$365,'3b Activity Plan'!$CY$173:$CY$365,('3b Activity Plan'!$C$173:$C$365=$BA$130)*1)</f>
        <v>0</v>
      </c>
      <c r="BB146" s="1558">
        <f ca="1">SUMPRODUCT('3b Activity Plan'!$AN$173:$AN$365,OFFSET('3b Activity Plan'!$DJ$173:$DJ$365,0,$CU146-1),'3b Activity Plan'!AP$173:AP$365,'3b Activity Plan'!$AH$173:$AH$365,'3b Activity Plan'!$CY$173:$CY$365,('3b Activity Plan'!$C$173:$C$365=$BA$130)*1)</f>
        <v>0</v>
      </c>
      <c r="BC146" s="1558">
        <f ca="1">SUMPRODUCT('3b Activity Plan'!$AN$173:$AN$365,OFFSET('3b Activity Plan'!$DJ$173:$DJ$365,0,$CU146-1),'3b Activity Plan'!AQ$173:AQ$365,'3b Activity Plan'!$AH$173:$AH$365,'3b Activity Plan'!$CY$173:$CY$365,('3b Activity Plan'!$C$173:$C$365=$BA$130)*1)</f>
        <v>0</v>
      </c>
      <c r="BD146" s="1558">
        <f ca="1">SUMPRODUCT('3b Activity Plan'!$AN$173:$AN$365,OFFSET('3b Activity Plan'!$DJ$173:$DJ$365,0,$CU146-1),'3b Activity Plan'!AR$173:AR$365,'3b Activity Plan'!$AH$173:$AH$365,'3b Activity Plan'!$CY$173:$CY$365,('3b Activity Plan'!$C$173:$C$365=$BA$130)*1)</f>
        <v>0</v>
      </c>
      <c r="BE146" s="1558">
        <f ca="1">SUMPRODUCT('3b Activity Plan'!$AN$173:$AN$365,OFFSET('3b Activity Plan'!$DJ$173:$DJ$365,0,$CU146-1),'3b Activity Plan'!AS$173:AS$365,'3b Activity Plan'!$AH$173:$AH$365,'3b Activity Plan'!$CY$173:$CY$365,('3b Activity Plan'!$C$173:$C$365=$BA$130)*1)</f>
        <v>0</v>
      </c>
      <c r="BF146" s="1558">
        <f ca="1">SUMPRODUCT('3b Activity Plan'!$AN$173:$AN$365,OFFSET('3b Activity Plan'!$DJ$173:$DJ$365,0,$CU146-1),'3b Activity Plan'!AT$173:AT$365,'3b Activity Plan'!$AH$173:$AH$365,'3b Activity Plan'!$CY$173:$CY$365,('3b Activity Plan'!$C$173:$C$365=$BA$130)*1)</f>
        <v>0</v>
      </c>
      <c r="BG146" s="1558">
        <f ca="1">SUMPRODUCT('3b Activity Plan'!$AN$173:$AN$365,OFFSET('3b Activity Plan'!$DJ$173:$DJ$365,0,$CU146-1),'3b Activity Plan'!AU$173:AU$365,'3b Activity Plan'!$AH$173:$AH$365,'3b Activity Plan'!$CY$173:$CY$365,('3b Activity Plan'!$C$173:$C$365=$BA$130)*1)</f>
        <v>0</v>
      </c>
      <c r="BH146" s="1558">
        <f ca="1">SUMPRODUCT('3b Activity Plan'!$AN$173:$AN$365,OFFSET('3b Activity Plan'!$DJ$173:$DJ$365,0,$CU146-1),'3b Activity Plan'!AV$173:AV$365,'3b Activity Plan'!$AH$173:$AH$365,'3b Activity Plan'!$CY$173:$CY$365,('3b Activity Plan'!$C$173:$C$365=$BA$130)*1)</f>
        <v>0</v>
      </c>
      <c r="BI146" s="1558">
        <f ca="1">SUMPRODUCT('3b Activity Plan'!$AN$173:$AN$365,OFFSET('3b Activity Plan'!$DJ$173:$DJ$365,0,$CU146-1),'3b Activity Plan'!AW$173:AW$365,'3b Activity Plan'!$AH$173:$AH$365,'3b Activity Plan'!$CY$173:$CY$365,('3b Activity Plan'!$C$173:$C$365=$BA$130)*1)</f>
        <v>0</v>
      </c>
      <c r="BJ146" s="1558">
        <f ca="1">SUMPRODUCT('3b Activity Plan'!$AN$173:$AN$365,OFFSET('3b Activity Plan'!$DJ$173:$DJ$365,0,$CU146-1),'3b Activity Plan'!AX$173:AX$365,'3b Activity Plan'!$AH$173:$AH$365,'3b Activity Plan'!$CY$173:$CY$365,('3b Activity Plan'!$C$173:$C$365=$BA$130)*1)</f>
        <v>0</v>
      </c>
      <c r="BK146" s="1602">
        <f ca="1">SUMPRODUCT('3b Activity Plan'!$AN$173:$AN$365,OFFSET('3b Activity Plan'!$DJ$173:$DJ$365,0,$CU146-1),'3b Activity Plan'!AO$173:AO$365,'3b Activity Plan'!$AH$173:$AH$365,'3b Activity Plan'!$CY$173:$CY$365,('3b Activity Plan'!$C$173:$C$365=$BK$130)*1)</f>
        <v>0</v>
      </c>
      <c r="BL146" s="1558">
        <f ca="1">SUMPRODUCT('3b Activity Plan'!$AN$173:$AN$365,OFFSET('3b Activity Plan'!$DJ$173:$DJ$365,0,$CU146-1),'3b Activity Plan'!AP$173:AP$365,'3b Activity Plan'!$AH$173:$AH$365,'3b Activity Plan'!$CY$173:$CY$365,('3b Activity Plan'!$C$173:$C$365=$BK$130)*1)</f>
        <v>0</v>
      </c>
      <c r="BM146" s="1558">
        <f ca="1">SUMPRODUCT('3b Activity Plan'!$AN$173:$AN$365,OFFSET('3b Activity Plan'!$DJ$173:$DJ$365,0,$CU146-1),'3b Activity Plan'!AQ$173:AQ$365,'3b Activity Plan'!$AH$173:$AH$365,'3b Activity Plan'!$CY$173:$CY$365,('3b Activity Plan'!$C$173:$C$365=$BK$130)*1)</f>
        <v>0</v>
      </c>
      <c r="BN146" s="1558">
        <f ca="1">SUMPRODUCT('3b Activity Plan'!$AN$173:$AN$365,OFFSET('3b Activity Plan'!$DJ$173:$DJ$365,0,$CU146-1),'3b Activity Plan'!AR$173:AR$365,'3b Activity Plan'!$AH$173:$AH$365,'3b Activity Plan'!$CY$173:$CY$365,('3b Activity Plan'!$C$173:$C$365=$BK$130)*1)</f>
        <v>0</v>
      </c>
      <c r="BO146" s="1558">
        <f ca="1">SUMPRODUCT('3b Activity Plan'!$AN$173:$AN$365,OFFSET('3b Activity Plan'!$DJ$173:$DJ$365,0,$CU146-1),'3b Activity Plan'!AS$173:AS$365,'3b Activity Plan'!$AH$173:$AH$365,'3b Activity Plan'!$CY$173:$CY$365,('3b Activity Plan'!$C$173:$C$365=$BK$130)*1)</f>
        <v>0</v>
      </c>
      <c r="BP146" s="1558">
        <f ca="1">SUMPRODUCT('3b Activity Plan'!$AN$173:$AN$365,OFFSET('3b Activity Plan'!$DJ$173:$DJ$365,0,$CU146-1),'3b Activity Plan'!AT$173:AT$365,'3b Activity Plan'!$AH$173:$AH$365,'3b Activity Plan'!$CY$173:$CY$365,('3b Activity Plan'!$C$173:$C$365=$BK$130)*1)</f>
        <v>0</v>
      </c>
      <c r="BQ146" s="1558">
        <f ca="1">SUMPRODUCT('3b Activity Plan'!$AN$173:$AN$365,OFFSET('3b Activity Plan'!$DJ$173:$DJ$365,0,$CU146-1),'3b Activity Plan'!AU$173:AU$365,'3b Activity Plan'!$AH$173:$AH$365,'3b Activity Plan'!$CY$173:$CY$365,('3b Activity Plan'!$C$173:$C$365=$BK$130)*1)</f>
        <v>0</v>
      </c>
      <c r="BR146" s="1558">
        <f ca="1">SUMPRODUCT('3b Activity Plan'!$AN$173:$AN$365,OFFSET('3b Activity Plan'!$DJ$173:$DJ$365,0,$CU146-1),'3b Activity Plan'!AV$173:AV$365,'3b Activity Plan'!$AH$173:$AH$365,'3b Activity Plan'!$CY$173:$CY$365,('3b Activity Plan'!$C$173:$C$365=$BK$130)*1)</f>
        <v>0</v>
      </c>
      <c r="BS146" s="1558">
        <f ca="1">SUMPRODUCT('3b Activity Plan'!$AN$173:$AN$365,OFFSET('3b Activity Plan'!$DJ$173:$DJ$365,0,$CU146-1),'3b Activity Plan'!AW$173:AW$365,'3b Activity Plan'!$AH$173:$AH$365,'3b Activity Plan'!$CY$173:$CY$365,('3b Activity Plan'!$C$173:$C$365=$BK$130)*1)</f>
        <v>0</v>
      </c>
      <c r="BT146" s="1558">
        <f ca="1">SUMPRODUCT('3b Activity Plan'!$AN$173:$AN$365,OFFSET('3b Activity Plan'!$DJ$173:$DJ$365,0,$CU146-1),'3b Activity Plan'!AX$173:AX$365,'3b Activity Plan'!$AH$173:$AH$365,'3b Activity Plan'!$CY$173:$CY$365,('3b Activity Plan'!$C$173:$C$365=$BK$130)*1)</f>
        <v>0</v>
      </c>
      <c r="BU146" s="1587"/>
      <c r="BV146" s="1587"/>
      <c r="BW146" s="1587"/>
      <c r="BX146" s="1556"/>
      <c r="BY146" s="1556"/>
      <c r="BZ146" s="1556"/>
      <c r="CA146" s="1024">
        <f ca="1">SUMIFS('3a Staff Plan'!$T$129:$T$305,'3a Staff Plan'!$DY$129:$DY$305,CZ146,'3a Staff Plan'!$DF$129:$DF$305,1)</f>
        <v>0</v>
      </c>
      <c r="CB146" s="1025">
        <f ca="1">SUMIFS('3a Staff Plan'!$T$129:$T$305,'3a Staff Plan'!$DY$129:$DY$305,$CZ146,'3a Staff Plan'!$DF$129:$DF$305,1,'3a Staff Plan'!$C$129:$C$305,DC$18)</f>
        <v>0</v>
      </c>
      <c r="CC146" s="1026">
        <f ca="1">SUMIFS('3a Staff Plan'!$T$129:$T$305,'3a Staff Plan'!$DY$129:$DY$305,$CZ146,'3a Staff Plan'!$DF$129:$DF$305,1,'3a Staff Plan'!$C$129:$C$305,DD$18)</f>
        <v>0</v>
      </c>
      <c r="CD146" s="1026">
        <f ca="1">SUMIFS('3a Staff Plan'!$T$129:$T$305,'3a Staff Plan'!$DY$129:$DY$305,$CZ146,'3a Staff Plan'!$DF$129:$DF$305,1,'3a Staff Plan'!$C$129:$C$305,DE$18)</f>
        <v>0</v>
      </c>
      <c r="CE146" s="1026">
        <f ca="1">SUMIFS('3a Staff Plan'!$T$129:$T$305,'3a Staff Plan'!$DY$129:$DY$305,$CZ146,'3a Staff Plan'!$DF$129:$DF$305,1,'3a Staff Plan'!$C$129:$C$305,DF$18)</f>
        <v>0</v>
      </c>
      <c r="CF146" s="1026">
        <f ca="1">SUMIFS('3a Staff Plan'!$T$129:$T$305,'3a Staff Plan'!$DY$129:$DY$305,$CZ146,'3a Staff Plan'!$DF$129:$DF$305,1,'3a Staff Plan'!$C$129:$C$305,DG$18)</f>
        <v>0</v>
      </c>
      <c r="CG146" s="1026">
        <f ca="1">SUMIFS('3a Staff Plan'!$T$129:$T$305,'3a Staff Plan'!$DY$129:$DY$305,$CZ146,'3a Staff Plan'!$DF$129:$DF$305,1,'3a Staff Plan'!$C$129:$C$305,DH$18)</f>
        <v>0</v>
      </c>
      <c r="CH146" s="1026">
        <f ca="1">SUMIFS('3a Staff Plan'!$T$129:$T$305,'3a Staff Plan'!$DY$129:$DY$305,$CZ146,'3a Staff Plan'!$DF$129:$DF$305,1,'3a Staff Plan'!$C$129:$C$305,DI$18)</f>
        <v>0</v>
      </c>
      <c r="CI146" s="755"/>
      <c r="CJ146" s="1024">
        <f ca="1">SUMPRODUCT('3b Activity Plan'!$AN$173:$AN$365,'3b Activity Plan'!$CY$173:$CY$365,'3b Activity Plan'!$AH$173:$AH$365,OFFSET('3b Activity Plan'!$DJ$173:$DJ$365,0,$CU146-1))</f>
        <v>0</v>
      </c>
      <c r="CK146" s="1025">
        <f t="shared" ca="1" si="93"/>
        <v>0</v>
      </c>
      <c r="CL146" s="1026">
        <f t="shared" ca="1" si="94"/>
        <v>0</v>
      </c>
      <c r="CM146" s="1026">
        <f t="shared" ca="1" si="95"/>
        <v>0</v>
      </c>
      <c r="CN146" s="1026">
        <f t="shared" ca="1" si="96"/>
        <v>0</v>
      </c>
      <c r="CO146" s="1026">
        <f t="shared" ca="1" si="97"/>
        <v>0</v>
      </c>
      <c r="CP146" s="1026">
        <f t="shared" ca="1" si="98"/>
        <v>0</v>
      </c>
      <c r="CQ146" s="1026">
        <f t="shared" ca="1" si="99"/>
        <v>0</v>
      </c>
      <c r="CR146" s="417"/>
      <c r="CS146" s="417">
        <f t="shared" si="100"/>
        <v>14</v>
      </c>
      <c r="CT146" s="417">
        <f ca="1">OFFSET('2 Staff List'!$GU$64,CS146-1,0)</f>
        <v>14</v>
      </c>
      <c r="CU146" s="417">
        <f ca="1">IF(CZ146=0,0,IFERROR(INDEX('3b Activity Plan'!$DJ$20:$FH$20,MATCH(CT146,'3b Activity Plan'!$DJ$171:$FH$171,0)),0))</f>
        <v>0</v>
      </c>
      <c r="CV146" s="417">
        <f ca="1">INDEX('2 Staff List'!$HW$64:$HW$114,CT146)</f>
        <v>0</v>
      </c>
      <c r="CW146" s="417"/>
      <c r="CY146" s="927">
        <f ca="1">OFFSET('2 Staff List'!$HZ$64,CS146-1,0)</f>
        <v>0</v>
      </c>
      <c r="CZ146" s="975">
        <f ca="1">OFFSET('2 Staff List'!$IA$64,CT146-1,0)</f>
        <v>0</v>
      </c>
      <c r="DA146" s="3840">
        <f t="shared" ca="1" si="92"/>
        <v>0</v>
      </c>
      <c r="DB146" s="3841"/>
      <c r="DC146" s="2408">
        <f t="shared" ca="1" si="85"/>
        <v>0</v>
      </c>
      <c r="DD146" s="2405">
        <f t="shared" ca="1" si="86"/>
        <v>0</v>
      </c>
      <c r="DE146" s="2405">
        <f t="shared" ca="1" si="87"/>
        <v>0</v>
      </c>
      <c r="DF146" s="2405">
        <f t="shared" ca="1" si="88"/>
        <v>0</v>
      </c>
      <c r="DG146" s="2405">
        <f t="shared" ca="1" si="89"/>
        <v>0</v>
      </c>
      <c r="DH146" s="2406">
        <f t="shared" ca="1" si="90"/>
        <v>0</v>
      </c>
      <c r="DI146" s="2407">
        <f t="shared" ca="1" si="91"/>
        <v>0</v>
      </c>
    </row>
    <row r="147" spans="1:113" ht="15.9" customHeight="1" x14ac:dyDescent="0.25">
      <c r="A147" s="1051"/>
      <c r="B147" s="1556"/>
      <c r="C147" s="1558">
        <f ca="1">SUMPRODUCT('3b Activity Plan'!$AN$173:$AN$365,OFFSET('3b Activity Plan'!$DJ$173:$DJ$365,0,$CU147-1),'3b Activity Plan'!AO$173:AO$365,'3b Activity Plan'!$AH$173:$AH$365,'3b Activity Plan'!$CY$173:$CY$365,('3b Activity Plan'!$C$173:$C$365=$C$130)*1)</f>
        <v>0</v>
      </c>
      <c r="D147" s="1558">
        <f ca="1">SUMPRODUCT('3b Activity Plan'!$AN$173:$AN$365,OFFSET('3b Activity Plan'!$DJ$173:$DJ$365,0,$CU147-1),'3b Activity Plan'!AP$173:AP$365,'3b Activity Plan'!$AH$173:$AH$365,'3b Activity Plan'!$CY$173:$CY$365,('3b Activity Plan'!$C$173:$C$365=$C$130)*1)</f>
        <v>0</v>
      </c>
      <c r="E147" s="1558">
        <f ca="1">SUMPRODUCT('3b Activity Plan'!$AN$173:$AN$365,OFFSET('3b Activity Plan'!$DJ$173:$DJ$365,0,$CU147-1),'3b Activity Plan'!AQ$173:AQ$365,'3b Activity Plan'!$AH$173:$AH$365,'3b Activity Plan'!$CY$173:$CY$365,('3b Activity Plan'!$C$173:$C$365=$C$130)*1)</f>
        <v>0</v>
      </c>
      <c r="F147" s="1558">
        <f ca="1">SUMPRODUCT('3b Activity Plan'!$AN$173:$AN$365,OFFSET('3b Activity Plan'!$DJ$173:$DJ$365,0,$CU147-1),'3b Activity Plan'!AR$173:AR$365,'3b Activity Plan'!$AH$173:$AH$365,'3b Activity Plan'!$CY$173:$CY$365,('3b Activity Plan'!$C$173:$C$365=$C$130)*1)</f>
        <v>0</v>
      </c>
      <c r="G147" s="1558">
        <f ca="1">SUMPRODUCT('3b Activity Plan'!$AN$173:$AN$365,OFFSET('3b Activity Plan'!$DJ$173:$DJ$365,0,$CU147-1),'3b Activity Plan'!AS$173:AS$365,'3b Activity Plan'!$AH$173:$AH$365,'3b Activity Plan'!$CY$173:$CY$365,('3b Activity Plan'!$C$173:$C$365=$C$130)*1)</f>
        <v>0</v>
      </c>
      <c r="H147" s="1558">
        <f ca="1">SUMPRODUCT('3b Activity Plan'!$AN$173:$AN$365,OFFSET('3b Activity Plan'!$DJ$173:$DJ$365,0,$CU147-1),'3b Activity Plan'!AT$173:AT$365,'3b Activity Plan'!$AH$173:$AH$365,'3b Activity Plan'!$CY$173:$CY$365,('3b Activity Plan'!$C$173:$C$365=$C$130)*1)</f>
        <v>0</v>
      </c>
      <c r="I147" s="1558">
        <f ca="1">SUMPRODUCT('3b Activity Plan'!$AN$173:$AN$365,OFFSET('3b Activity Plan'!$DJ$173:$DJ$365,0,$CU147-1),'3b Activity Plan'!AU$173:AU$365,'3b Activity Plan'!$AH$173:$AH$365,'3b Activity Plan'!$CY$173:$CY$365,('3b Activity Plan'!$C$173:$C$365=$C$130)*1)</f>
        <v>0</v>
      </c>
      <c r="J147" s="1558">
        <f ca="1">SUMPRODUCT('3b Activity Plan'!$AN$173:$AN$365,OFFSET('3b Activity Plan'!$DJ$173:$DJ$365,0,$CU147-1),'3b Activity Plan'!AV$173:AV$365,'3b Activity Plan'!$AH$173:$AH$365,'3b Activity Plan'!$CY$173:$CY$365,('3b Activity Plan'!$C$173:$C$365=$C$130)*1)</f>
        <v>0</v>
      </c>
      <c r="K147" s="1558">
        <f ca="1">SUMPRODUCT('3b Activity Plan'!$AN$173:$AN$365,OFFSET('3b Activity Plan'!$DJ$173:$DJ$365,0,$CU147-1),'3b Activity Plan'!AW$173:AW$365,'3b Activity Plan'!$AH$173:$AH$365,'3b Activity Plan'!$CY$173:$CY$365,('3b Activity Plan'!$C$173:$C$365=$C$130)*1)</f>
        <v>0</v>
      </c>
      <c r="L147" s="1601">
        <f ca="1">SUMPRODUCT('3b Activity Plan'!$AN$173:$AN$365,OFFSET('3b Activity Plan'!$DJ$173:$DJ$365,0,$CU147-1),'3b Activity Plan'!AX$173:AX$365,'3b Activity Plan'!$AH$173:$AH$365,'3b Activity Plan'!$CY$173:$CY$365,('3b Activity Plan'!$C$173:$C$365=$C$130)*1)</f>
        <v>0</v>
      </c>
      <c r="M147" s="1602">
        <f ca="1">SUMPRODUCT('3b Activity Plan'!$AN$173:$AN$365,OFFSET('3b Activity Plan'!$DJ$173:$DJ$365,0,$CU147-1),'3b Activity Plan'!AO$173:AO$365,'3b Activity Plan'!$AH$173:$AH$365,'3b Activity Plan'!$CY$173:$CY$365,('3b Activity Plan'!$C$173:$C$365=$M$130)*1)</f>
        <v>0</v>
      </c>
      <c r="N147" s="1558">
        <f ca="1">SUMPRODUCT('3b Activity Plan'!$AN$173:$AN$365,OFFSET('3b Activity Plan'!$DJ$173:$DJ$365,0,$CU147-1),'3b Activity Plan'!AP$173:AP$365,'3b Activity Plan'!$AH$173:$AH$365,'3b Activity Plan'!$CY$173:$CY$365,('3b Activity Plan'!$C$173:$C$365=$M$130)*1)</f>
        <v>0</v>
      </c>
      <c r="O147" s="1558">
        <f ca="1">SUMPRODUCT('3b Activity Plan'!$AN$173:$AN$365,OFFSET('3b Activity Plan'!$DJ$173:$DJ$365,0,$CU147-1),'3b Activity Plan'!AQ$173:AQ$365,'3b Activity Plan'!$AH$173:$AH$365,'3b Activity Plan'!$CY$173:$CY$365,('3b Activity Plan'!$C$173:$C$365=$M$130)*1)</f>
        <v>0</v>
      </c>
      <c r="P147" s="1558">
        <f ca="1">SUMPRODUCT('3b Activity Plan'!$AN$173:$AN$365,OFFSET('3b Activity Plan'!$DJ$173:$DJ$365,0,$CU147-1),'3b Activity Plan'!AR$173:AR$365,'3b Activity Plan'!$AH$173:$AH$365,'3b Activity Plan'!$CY$173:$CY$365,('3b Activity Plan'!$C$173:$C$365=$M$130)*1)</f>
        <v>0</v>
      </c>
      <c r="Q147" s="1558">
        <f ca="1">SUMPRODUCT('3b Activity Plan'!$AN$173:$AN$365,OFFSET('3b Activity Plan'!$DJ$173:$DJ$365,0,$CU147-1),'3b Activity Plan'!AS$173:AS$365,'3b Activity Plan'!$AH$173:$AH$365,'3b Activity Plan'!$CY$173:$CY$365,('3b Activity Plan'!$C$173:$C$365=$M$130)*1)</f>
        <v>0</v>
      </c>
      <c r="R147" s="1558">
        <f ca="1">SUMPRODUCT('3b Activity Plan'!$AN$173:$AN$365,OFFSET('3b Activity Plan'!$DJ$173:$DJ$365,0,$CU147-1),'3b Activity Plan'!AT$173:AT$365,'3b Activity Plan'!$AH$173:$AH$365,'3b Activity Plan'!$CY$173:$CY$365,('3b Activity Plan'!$C$173:$C$365=$M$130)*1)</f>
        <v>0</v>
      </c>
      <c r="S147" s="1558">
        <f ca="1">SUMPRODUCT('3b Activity Plan'!$AN$173:$AN$365,OFFSET('3b Activity Plan'!$DJ$173:$DJ$365,0,$CU147-1),'3b Activity Plan'!AU$173:AU$365,'3b Activity Plan'!$AH$173:$AH$365,'3b Activity Plan'!$CY$173:$CY$365,('3b Activity Plan'!$C$173:$C$365=$M$130)*1)</f>
        <v>0</v>
      </c>
      <c r="T147" s="1558">
        <f ca="1">SUMPRODUCT('3b Activity Plan'!$AN$173:$AN$365,OFFSET('3b Activity Plan'!$DJ$173:$DJ$365,0,$CU147-1),'3b Activity Plan'!AV$173:AV$365,'3b Activity Plan'!$AH$173:$AH$365,'3b Activity Plan'!$CY$173:$CY$365,('3b Activity Plan'!$C$173:$C$365=$M$130)*1)</f>
        <v>0</v>
      </c>
      <c r="U147" s="1558">
        <f ca="1">SUMPRODUCT('3b Activity Plan'!$AN$173:$AN$365,OFFSET('3b Activity Plan'!$DJ$173:$DJ$365,0,$CU147-1),'3b Activity Plan'!AW$173:AW$365,'3b Activity Plan'!$AH$173:$AH$365,'3b Activity Plan'!$CY$173:$CY$365,('3b Activity Plan'!$C$173:$C$365=$M$130)*1)</f>
        <v>0</v>
      </c>
      <c r="V147" s="1601">
        <f ca="1">SUMPRODUCT('3b Activity Plan'!$AN$173:$AN$365,OFFSET('3b Activity Plan'!$DJ$173:$DJ$365,0,$CU147-1),'3b Activity Plan'!AX$173:AX$365,'3b Activity Plan'!$AH$173:$AH$365,'3b Activity Plan'!$CY$173:$CY$365,('3b Activity Plan'!$C$173:$C$365=$M$130)*1)</f>
        <v>0</v>
      </c>
      <c r="W147" s="1602">
        <f ca="1">SUMPRODUCT('3b Activity Plan'!$AN$173:$AN$365,OFFSET('3b Activity Plan'!$DJ$173:$DJ$365,0,$CU147-1),'3b Activity Plan'!AO$173:AO$365,'3b Activity Plan'!$AH$173:$AH$365,'3b Activity Plan'!$CY$173:$CY$365,('3b Activity Plan'!$C$173:$C$365=$W$130)*1)</f>
        <v>0</v>
      </c>
      <c r="X147" s="1558">
        <f ca="1">SUMPRODUCT('3b Activity Plan'!$AN$173:$AN$365,OFFSET('3b Activity Plan'!$DJ$173:$DJ$365,0,$CU147-1),'3b Activity Plan'!AP$173:AP$365,'3b Activity Plan'!$AH$173:$AH$365,'3b Activity Plan'!$CY$173:$CY$365,('3b Activity Plan'!$C$173:$C$365=$W$130)*1)</f>
        <v>0</v>
      </c>
      <c r="Y147" s="1558">
        <f ca="1">SUMPRODUCT('3b Activity Plan'!$AN$173:$AN$365,OFFSET('3b Activity Plan'!$DJ$173:$DJ$365,0,$CU147-1),'3b Activity Plan'!AQ$173:AQ$365,'3b Activity Plan'!$AH$173:$AH$365,'3b Activity Plan'!$CY$173:$CY$365,('3b Activity Plan'!$C$173:$C$365=$W$130)*1)</f>
        <v>0</v>
      </c>
      <c r="Z147" s="1558">
        <f ca="1">SUMPRODUCT('3b Activity Plan'!$AN$173:$AN$365,OFFSET('3b Activity Plan'!$DJ$173:$DJ$365,0,$CU147-1),'3b Activity Plan'!AR$173:AR$365,'3b Activity Plan'!$AH$173:$AH$365,'3b Activity Plan'!$CY$173:$CY$365,('3b Activity Plan'!$C$173:$C$365=$W$130)*1)</f>
        <v>0</v>
      </c>
      <c r="AA147" s="1558">
        <f ca="1">SUMPRODUCT('3b Activity Plan'!$AN$173:$AN$365,OFFSET('3b Activity Plan'!$DJ$173:$DJ$365,0,$CU147-1),'3b Activity Plan'!AS$173:AS$365,'3b Activity Plan'!$AH$173:$AH$365,'3b Activity Plan'!$CY$173:$CY$365,('3b Activity Plan'!$C$173:$C$365=$W$130)*1)</f>
        <v>0</v>
      </c>
      <c r="AB147" s="1558">
        <f ca="1">SUMPRODUCT('3b Activity Plan'!$AN$173:$AN$365,OFFSET('3b Activity Plan'!$DJ$173:$DJ$365,0,$CU147-1),'3b Activity Plan'!AT$173:AT$365,'3b Activity Plan'!$AH$173:$AH$365,'3b Activity Plan'!$CY$173:$CY$365,('3b Activity Plan'!$C$173:$C$365=$W$130)*1)</f>
        <v>0</v>
      </c>
      <c r="AC147" s="1558">
        <f ca="1">SUMPRODUCT('3b Activity Plan'!$AN$173:$AN$365,OFFSET('3b Activity Plan'!$DJ$173:$DJ$365,0,$CU147-1),'3b Activity Plan'!AU$173:AU$365,'3b Activity Plan'!$AH$173:$AH$365,'3b Activity Plan'!$CY$173:$CY$365,('3b Activity Plan'!$C$173:$C$365=$W$130)*1)</f>
        <v>0</v>
      </c>
      <c r="AD147" s="1558">
        <f ca="1">SUMPRODUCT('3b Activity Plan'!$AN$173:$AN$365,OFFSET('3b Activity Plan'!$DJ$173:$DJ$365,0,$CU147-1),'3b Activity Plan'!AV$173:AV$365,'3b Activity Plan'!$AH$173:$AH$365,'3b Activity Plan'!$CY$173:$CY$365,('3b Activity Plan'!$C$173:$C$365=$W$130)*1)</f>
        <v>0</v>
      </c>
      <c r="AE147" s="1558">
        <f ca="1">SUMPRODUCT('3b Activity Plan'!$AN$173:$AN$365,OFFSET('3b Activity Plan'!$DJ$173:$DJ$365,0,$CU147-1),'3b Activity Plan'!AW$173:AW$365,'3b Activity Plan'!$AH$173:$AH$365,'3b Activity Plan'!$CY$173:$CY$365,('3b Activity Plan'!$C$173:$C$365=$W$130)*1)</f>
        <v>0</v>
      </c>
      <c r="AF147" s="1558">
        <f ca="1">SUMPRODUCT('3b Activity Plan'!$AN$173:$AN$365,OFFSET('3b Activity Plan'!$DJ$173:$DJ$365,0,$CU147-1),'3b Activity Plan'!AX$173:AX$365,'3b Activity Plan'!$AH$173:$AH$365,'3b Activity Plan'!$CY$173:$CY$365,('3b Activity Plan'!$C$173:$C$365=$W$130)*1)</f>
        <v>0</v>
      </c>
      <c r="AG147" s="1602">
        <f ca="1">SUMPRODUCT('3b Activity Plan'!$AN$173:$AN$365,OFFSET('3b Activity Plan'!$DJ$173:$DJ$365,0,$CU147-1),'3b Activity Plan'!AO$173:AO$365,'3b Activity Plan'!$AH$173:$AH$365,'3b Activity Plan'!$CY$173:$CY$365,('3b Activity Plan'!$C$173:$C$365=$AG$130)*1)</f>
        <v>0</v>
      </c>
      <c r="AH147" s="1558">
        <f ca="1">SUMPRODUCT('3b Activity Plan'!$AN$173:$AN$365,OFFSET('3b Activity Plan'!$DJ$173:$DJ$365,0,$CU147-1),'3b Activity Plan'!AP$173:AP$365,'3b Activity Plan'!$AH$173:$AH$365,'3b Activity Plan'!$CY$173:$CY$365,('3b Activity Plan'!$C$173:$C$365=$AG$130)*1)</f>
        <v>0</v>
      </c>
      <c r="AI147" s="1558">
        <f ca="1">SUMPRODUCT('3b Activity Plan'!$AN$173:$AN$365,OFFSET('3b Activity Plan'!$DJ$173:$DJ$365,0,$CU147-1),'3b Activity Plan'!AQ$173:AQ$365,'3b Activity Plan'!$AH$173:$AH$365,'3b Activity Plan'!$CY$173:$CY$365,('3b Activity Plan'!$C$173:$C$365=$AG$130)*1)</f>
        <v>0</v>
      </c>
      <c r="AJ147" s="1558">
        <f ca="1">SUMPRODUCT('3b Activity Plan'!$AN$173:$AN$365,OFFSET('3b Activity Plan'!$DJ$173:$DJ$365,0,$CU147-1),'3b Activity Plan'!AR$173:AR$365,'3b Activity Plan'!$AH$173:$AH$365,'3b Activity Plan'!$CY$173:$CY$365,('3b Activity Plan'!$C$173:$C$365=$AG$130)*1)</f>
        <v>0</v>
      </c>
      <c r="AK147" s="1558">
        <f ca="1">SUMPRODUCT('3b Activity Plan'!$AN$173:$AN$365,OFFSET('3b Activity Plan'!$DJ$173:$DJ$365,0,$CU147-1),'3b Activity Plan'!AS$173:AS$365,'3b Activity Plan'!$AH$173:$AH$365,'3b Activity Plan'!$CY$173:$CY$365,('3b Activity Plan'!$C$173:$C$365=$AG$130)*1)</f>
        <v>0</v>
      </c>
      <c r="AL147" s="1558">
        <f ca="1">SUMPRODUCT('3b Activity Plan'!$AN$173:$AN$365,OFFSET('3b Activity Plan'!$DJ$173:$DJ$365,0,$CU147-1),'3b Activity Plan'!AT$173:AT$365,'3b Activity Plan'!$AH$173:$AH$365,'3b Activity Plan'!$CY$173:$CY$365,('3b Activity Plan'!$C$173:$C$365=$AG$130)*1)</f>
        <v>0</v>
      </c>
      <c r="AM147" s="1558">
        <f ca="1">SUMPRODUCT('3b Activity Plan'!$AN$173:$AN$365,OFFSET('3b Activity Plan'!$DJ$173:$DJ$365,0,$CU147-1),'3b Activity Plan'!AU$173:AU$365,'3b Activity Plan'!$AH$173:$AH$365,'3b Activity Plan'!$CY$173:$CY$365,('3b Activity Plan'!$C$173:$C$365=$AG$130)*1)</f>
        <v>0</v>
      </c>
      <c r="AN147" s="1558">
        <f ca="1">SUMPRODUCT('3b Activity Plan'!$AN$173:$AN$365,OFFSET('3b Activity Plan'!$DJ$173:$DJ$365,0,$CU147-1),'3b Activity Plan'!AV$173:AV$365,'3b Activity Plan'!$AH$173:$AH$365,'3b Activity Plan'!$CY$173:$CY$365,('3b Activity Plan'!$C$173:$C$365=$AG$130)*1)</f>
        <v>0</v>
      </c>
      <c r="AO147" s="1558">
        <f ca="1">SUMPRODUCT('3b Activity Plan'!$AN$173:$AN$365,OFFSET('3b Activity Plan'!$DJ$173:$DJ$365,0,$CU147-1),'3b Activity Plan'!AW$173:AW$365,'3b Activity Plan'!$AH$173:$AH$365,'3b Activity Plan'!$CY$173:$CY$365,('3b Activity Plan'!$C$173:$C$365=$AG$130)*1)</f>
        <v>0</v>
      </c>
      <c r="AP147" s="1558">
        <f ca="1">SUMPRODUCT('3b Activity Plan'!$AN$173:$AN$365,OFFSET('3b Activity Plan'!$DJ$173:$DJ$365,0,$CU147-1),'3b Activity Plan'!AX$173:AX$365,'3b Activity Plan'!$AH$173:$AH$365,'3b Activity Plan'!$CY$173:$CY$365,('3b Activity Plan'!$C$173:$C$365=$AG$130)*1)</f>
        <v>0</v>
      </c>
      <c r="AQ147" s="1602">
        <f ca="1">SUMPRODUCT('3b Activity Plan'!$AN$173:$AN$365,OFFSET('3b Activity Plan'!$DJ$173:$DJ$365,0,$CU147-1),'3b Activity Plan'!AO$173:AO$365,'3b Activity Plan'!$AH$173:$AH$365,'3b Activity Plan'!$CY$173:$CY$365,('3b Activity Plan'!$C$173:$C$365=$AQ$130)*1)</f>
        <v>0</v>
      </c>
      <c r="AR147" s="1558">
        <f ca="1">SUMPRODUCT('3b Activity Plan'!$AN$173:$AN$365,OFFSET('3b Activity Plan'!$DJ$173:$DJ$365,0,$CU147-1),'3b Activity Plan'!AP$173:AP$365,'3b Activity Plan'!$AH$173:$AH$365,'3b Activity Plan'!$CY$173:$CY$365,('3b Activity Plan'!$C$173:$C$365=$AQ$130)*1)</f>
        <v>0</v>
      </c>
      <c r="AS147" s="1558">
        <f ca="1">SUMPRODUCT('3b Activity Plan'!$AN$173:$AN$365,OFFSET('3b Activity Plan'!$DJ$173:$DJ$365,0,$CU147-1),'3b Activity Plan'!AQ$173:AQ$365,'3b Activity Plan'!$AH$173:$AH$365,'3b Activity Plan'!$CY$173:$CY$365,('3b Activity Plan'!$C$173:$C$365=$AQ$130)*1)</f>
        <v>0</v>
      </c>
      <c r="AT147" s="1558">
        <f ca="1">SUMPRODUCT('3b Activity Plan'!$AN$173:$AN$365,OFFSET('3b Activity Plan'!$DJ$173:$DJ$365,0,$CU147-1),'3b Activity Plan'!AR$173:AR$365,'3b Activity Plan'!$AH$173:$AH$365,'3b Activity Plan'!$CY$173:$CY$365,('3b Activity Plan'!$C$173:$C$365=$AQ$130)*1)</f>
        <v>0</v>
      </c>
      <c r="AU147" s="1558">
        <f ca="1">SUMPRODUCT('3b Activity Plan'!$AN$173:$AN$365,OFFSET('3b Activity Plan'!$DJ$173:$DJ$365,0,$CU147-1),'3b Activity Plan'!AS$173:AS$365,'3b Activity Plan'!$AH$173:$AH$365,'3b Activity Plan'!$CY$173:$CY$365,('3b Activity Plan'!$C$173:$C$365=$AQ$130)*1)</f>
        <v>0</v>
      </c>
      <c r="AV147" s="1558">
        <f ca="1">SUMPRODUCT('3b Activity Plan'!$AN$173:$AN$365,OFFSET('3b Activity Plan'!$DJ$173:$DJ$365,0,$CU147-1),'3b Activity Plan'!AT$173:AT$365,'3b Activity Plan'!$AH$173:$AH$365,'3b Activity Plan'!$CY$173:$CY$365,('3b Activity Plan'!$C$173:$C$365=$AQ$130)*1)</f>
        <v>0</v>
      </c>
      <c r="AW147" s="1558">
        <f ca="1">SUMPRODUCT('3b Activity Plan'!$AN$173:$AN$365,OFFSET('3b Activity Plan'!$DJ$173:$DJ$365,0,$CU147-1),'3b Activity Plan'!AU$173:AU$365,'3b Activity Plan'!$AH$173:$AH$365,'3b Activity Plan'!$CY$173:$CY$365,('3b Activity Plan'!$C$173:$C$365=$AQ$130)*1)</f>
        <v>0</v>
      </c>
      <c r="AX147" s="1558">
        <f ca="1">SUMPRODUCT('3b Activity Plan'!$AN$173:$AN$365,OFFSET('3b Activity Plan'!$DJ$173:$DJ$365,0,$CU147-1),'3b Activity Plan'!AV$173:AV$365,'3b Activity Plan'!$AH$173:$AH$365,'3b Activity Plan'!$CY$173:$CY$365,('3b Activity Plan'!$C$173:$C$365=$AQ$130)*1)</f>
        <v>0</v>
      </c>
      <c r="AY147" s="1558">
        <f ca="1">SUMPRODUCT('3b Activity Plan'!$AN$173:$AN$365,OFFSET('3b Activity Plan'!$DJ$173:$DJ$365,0,$CU147-1),'3b Activity Plan'!AW$173:AW$365,'3b Activity Plan'!$AH$173:$AH$365,'3b Activity Plan'!$CY$173:$CY$365,('3b Activity Plan'!$C$173:$C$365=$AQ$130)*1)</f>
        <v>0</v>
      </c>
      <c r="AZ147" s="1558">
        <f ca="1">SUMPRODUCT('3b Activity Plan'!$AN$173:$AN$365,OFFSET('3b Activity Plan'!$DJ$173:$DJ$365,0,$CU147-1),'3b Activity Plan'!AX$173:AX$365,'3b Activity Plan'!$AH$173:$AH$365,'3b Activity Plan'!$CY$173:$CY$365,('3b Activity Plan'!$C$173:$C$365=$AQ$130)*1)</f>
        <v>0</v>
      </c>
      <c r="BA147" s="1602">
        <f ca="1">SUMPRODUCT('3b Activity Plan'!$AN$173:$AN$365,OFFSET('3b Activity Plan'!$DJ$173:$DJ$365,0,$CU147-1),'3b Activity Plan'!AO$173:AO$365,'3b Activity Plan'!$AH$173:$AH$365,'3b Activity Plan'!$CY$173:$CY$365,('3b Activity Plan'!$C$173:$C$365=$BA$130)*1)</f>
        <v>0</v>
      </c>
      <c r="BB147" s="1558">
        <f ca="1">SUMPRODUCT('3b Activity Plan'!$AN$173:$AN$365,OFFSET('3b Activity Plan'!$DJ$173:$DJ$365,0,$CU147-1),'3b Activity Plan'!AP$173:AP$365,'3b Activity Plan'!$AH$173:$AH$365,'3b Activity Plan'!$CY$173:$CY$365,('3b Activity Plan'!$C$173:$C$365=$BA$130)*1)</f>
        <v>0</v>
      </c>
      <c r="BC147" s="1558">
        <f ca="1">SUMPRODUCT('3b Activity Plan'!$AN$173:$AN$365,OFFSET('3b Activity Plan'!$DJ$173:$DJ$365,0,$CU147-1),'3b Activity Plan'!AQ$173:AQ$365,'3b Activity Plan'!$AH$173:$AH$365,'3b Activity Plan'!$CY$173:$CY$365,('3b Activity Plan'!$C$173:$C$365=$BA$130)*1)</f>
        <v>0</v>
      </c>
      <c r="BD147" s="1558">
        <f ca="1">SUMPRODUCT('3b Activity Plan'!$AN$173:$AN$365,OFFSET('3b Activity Plan'!$DJ$173:$DJ$365,0,$CU147-1),'3b Activity Plan'!AR$173:AR$365,'3b Activity Plan'!$AH$173:$AH$365,'3b Activity Plan'!$CY$173:$CY$365,('3b Activity Plan'!$C$173:$C$365=$BA$130)*1)</f>
        <v>0</v>
      </c>
      <c r="BE147" s="1558">
        <f ca="1">SUMPRODUCT('3b Activity Plan'!$AN$173:$AN$365,OFFSET('3b Activity Plan'!$DJ$173:$DJ$365,0,$CU147-1),'3b Activity Plan'!AS$173:AS$365,'3b Activity Plan'!$AH$173:$AH$365,'3b Activity Plan'!$CY$173:$CY$365,('3b Activity Plan'!$C$173:$C$365=$BA$130)*1)</f>
        <v>0</v>
      </c>
      <c r="BF147" s="1558">
        <f ca="1">SUMPRODUCT('3b Activity Plan'!$AN$173:$AN$365,OFFSET('3b Activity Plan'!$DJ$173:$DJ$365,0,$CU147-1),'3b Activity Plan'!AT$173:AT$365,'3b Activity Plan'!$AH$173:$AH$365,'3b Activity Plan'!$CY$173:$CY$365,('3b Activity Plan'!$C$173:$C$365=$BA$130)*1)</f>
        <v>0</v>
      </c>
      <c r="BG147" s="1558">
        <f ca="1">SUMPRODUCT('3b Activity Plan'!$AN$173:$AN$365,OFFSET('3b Activity Plan'!$DJ$173:$DJ$365,0,$CU147-1),'3b Activity Plan'!AU$173:AU$365,'3b Activity Plan'!$AH$173:$AH$365,'3b Activity Plan'!$CY$173:$CY$365,('3b Activity Plan'!$C$173:$C$365=$BA$130)*1)</f>
        <v>0</v>
      </c>
      <c r="BH147" s="1558">
        <f ca="1">SUMPRODUCT('3b Activity Plan'!$AN$173:$AN$365,OFFSET('3b Activity Plan'!$DJ$173:$DJ$365,0,$CU147-1),'3b Activity Plan'!AV$173:AV$365,'3b Activity Plan'!$AH$173:$AH$365,'3b Activity Plan'!$CY$173:$CY$365,('3b Activity Plan'!$C$173:$C$365=$BA$130)*1)</f>
        <v>0</v>
      </c>
      <c r="BI147" s="1558">
        <f ca="1">SUMPRODUCT('3b Activity Plan'!$AN$173:$AN$365,OFFSET('3b Activity Plan'!$DJ$173:$DJ$365,0,$CU147-1),'3b Activity Plan'!AW$173:AW$365,'3b Activity Plan'!$AH$173:$AH$365,'3b Activity Plan'!$CY$173:$CY$365,('3b Activity Plan'!$C$173:$C$365=$BA$130)*1)</f>
        <v>0</v>
      </c>
      <c r="BJ147" s="1558">
        <f ca="1">SUMPRODUCT('3b Activity Plan'!$AN$173:$AN$365,OFFSET('3b Activity Plan'!$DJ$173:$DJ$365,0,$CU147-1),'3b Activity Plan'!AX$173:AX$365,'3b Activity Plan'!$AH$173:$AH$365,'3b Activity Plan'!$CY$173:$CY$365,('3b Activity Plan'!$C$173:$C$365=$BA$130)*1)</f>
        <v>0</v>
      </c>
      <c r="BK147" s="1602">
        <f ca="1">SUMPRODUCT('3b Activity Plan'!$AN$173:$AN$365,OFFSET('3b Activity Plan'!$DJ$173:$DJ$365,0,$CU147-1),'3b Activity Plan'!AO$173:AO$365,'3b Activity Plan'!$AH$173:$AH$365,'3b Activity Plan'!$CY$173:$CY$365,('3b Activity Plan'!$C$173:$C$365=$BK$130)*1)</f>
        <v>0</v>
      </c>
      <c r="BL147" s="1558">
        <f ca="1">SUMPRODUCT('3b Activity Plan'!$AN$173:$AN$365,OFFSET('3b Activity Plan'!$DJ$173:$DJ$365,0,$CU147-1),'3b Activity Plan'!AP$173:AP$365,'3b Activity Plan'!$AH$173:$AH$365,'3b Activity Plan'!$CY$173:$CY$365,('3b Activity Plan'!$C$173:$C$365=$BK$130)*1)</f>
        <v>0</v>
      </c>
      <c r="BM147" s="1558">
        <f ca="1">SUMPRODUCT('3b Activity Plan'!$AN$173:$AN$365,OFFSET('3b Activity Plan'!$DJ$173:$DJ$365,0,$CU147-1),'3b Activity Plan'!AQ$173:AQ$365,'3b Activity Plan'!$AH$173:$AH$365,'3b Activity Plan'!$CY$173:$CY$365,('3b Activity Plan'!$C$173:$C$365=$BK$130)*1)</f>
        <v>0</v>
      </c>
      <c r="BN147" s="1558">
        <f ca="1">SUMPRODUCT('3b Activity Plan'!$AN$173:$AN$365,OFFSET('3b Activity Plan'!$DJ$173:$DJ$365,0,$CU147-1),'3b Activity Plan'!AR$173:AR$365,'3b Activity Plan'!$AH$173:$AH$365,'3b Activity Plan'!$CY$173:$CY$365,('3b Activity Plan'!$C$173:$C$365=$BK$130)*1)</f>
        <v>0</v>
      </c>
      <c r="BO147" s="1558">
        <f ca="1">SUMPRODUCT('3b Activity Plan'!$AN$173:$AN$365,OFFSET('3b Activity Plan'!$DJ$173:$DJ$365,0,$CU147-1),'3b Activity Plan'!AS$173:AS$365,'3b Activity Plan'!$AH$173:$AH$365,'3b Activity Plan'!$CY$173:$CY$365,('3b Activity Plan'!$C$173:$C$365=$BK$130)*1)</f>
        <v>0</v>
      </c>
      <c r="BP147" s="1558">
        <f ca="1">SUMPRODUCT('3b Activity Plan'!$AN$173:$AN$365,OFFSET('3b Activity Plan'!$DJ$173:$DJ$365,0,$CU147-1),'3b Activity Plan'!AT$173:AT$365,'3b Activity Plan'!$AH$173:$AH$365,'3b Activity Plan'!$CY$173:$CY$365,('3b Activity Plan'!$C$173:$C$365=$BK$130)*1)</f>
        <v>0</v>
      </c>
      <c r="BQ147" s="1558">
        <f ca="1">SUMPRODUCT('3b Activity Plan'!$AN$173:$AN$365,OFFSET('3b Activity Plan'!$DJ$173:$DJ$365,0,$CU147-1),'3b Activity Plan'!AU$173:AU$365,'3b Activity Plan'!$AH$173:$AH$365,'3b Activity Plan'!$CY$173:$CY$365,('3b Activity Plan'!$C$173:$C$365=$BK$130)*1)</f>
        <v>0</v>
      </c>
      <c r="BR147" s="1558">
        <f ca="1">SUMPRODUCT('3b Activity Plan'!$AN$173:$AN$365,OFFSET('3b Activity Plan'!$DJ$173:$DJ$365,0,$CU147-1),'3b Activity Plan'!AV$173:AV$365,'3b Activity Plan'!$AH$173:$AH$365,'3b Activity Plan'!$CY$173:$CY$365,('3b Activity Plan'!$C$173:$C$365=$BK$130)*1)</f>
        <v>0</v>
      </c>
      <c r="BS147" s="1558">
        <f ca="1">SUMPRODUCT('3b Activity Plan'!$AN$173:$AN$365,OFFSET('3b Activity Plan'!$DJ$173:$DJ$365,0,$CU147-1),'3b Activity Plan'!AW$173:AW$365,'3b Activity Plan'!$AH$173:$AH$365,'3b Activity Plan'!$CY$173:$CY$365,('3b Activity Plan'!$C$173:$C$365=$BK$130)*1)</f>
        <v>0</v>
      </c>
      <c r="BT147" s="1558">
        <f ca="1">SUMPRODUCT('3b Activity Plan'!$AN$173:$AN$365,OFFSET('3b Activity Plan'!$DJ$173:$DJ$365,0,$CU147-1),'3b Activity Plan'!AX$173:AX$365,'3b Activity Plan'!$AH$173:$AH$365,'3b Activity Plan'!$CY$173:$CY$365,('3b Activity Plan'!$C$173:$C$365=$BK$130)*1)</f>
        <v>0</v>
      </c>
      <c r="BU147" s="1587"/>
      <c r="BV147" s="1587"/>
      <c r="BW147" s="1587"/>
      <c r="BX147" s="1556"/>
      <c r="BY147" s="1556"/>
      <c r="BZ147" s="1556"/>
      <c r="CA147" s="1024">
        <f ca="1">SUMIFS('3a Staff Plan'!$T$129:$T$305,'3a Staff Plan'!$DY$129:$DY$305,CZ147,'3a Staff Plan'!$DF$129:$DF$305,1)</f>
        <v>0</v>
      </c>
      <c r="CB147" s="1025">
        <f ca="1">SUMIFS('3a Staff Plan'!$T$129:$T$305,'3a Staff Plan'!$DY$129:$DY$305,$CZ147,'3a Staff Plan'!$DF$129:$DF$305,1,'3a Staff Plan'!$C$129:$C$305,DC$18)</f>
        <v>0</v>
      </c>
      <c r="CC147" s="1026">
        <f ca="1">SUMIFS('3a Staff Plan'!$T$129:$T$305,'3a Staff Plan'!$DY$129:$DY$305,$CZ147,'3a Staff Plan'!$DF$129:$DF$305,1,'3a Staff Plan'!$C$129:$C$305,DD$18)</f>
        <v>0</v>
      </c>
      <c r="CD147" s="1026">
        <f ca="1">SUMIFS('3a Staff Plan'!$T$129:$T$305,'3a Staff Plan'!$DY$129:$DY$305,$CZ147,'3a Staff Plan'!$DF$129:$DF$305,1,'3a Staff Plan'!$C$129:$C$305,DE$18)</f>
        <v>0</v>
      </c>
      <c r="CE147" s="1026">
        <f ca="1">SUMIFS('3a Staff Plan'!$T$129:$T$305,'3a Staff Plan'!$DY$129:$DY$305,$CZ147,'3a Staff Plan'!$DF$129:$DF$305,1,'3a Staff Plan'!$C$129:$C$305,DF$18)</f>
        <v>0</v>
      </c>
      <c r="CF147" s="1026">
        <f ca="1">SUMIFS('3a Staff Plan'!$T$129:$T$305,'3a Staff Plan'!$DY$129:$DY$305,$CZ147,'3a Staff Plan'!$DF$129:$DF$305,1,'3a Staff Plan'!$C$129:$C$305,DG$18)</f>
        <v>0</v>
      </c>
      <c r="CG147" s="1026">
        <f ca="1">SUMIFS('3a Staff Plan'!$T$129:$T$305,'3a Staff Plan'!$DY$129:$DY$305,$CZ147,'3a Staff Plan'!$DF$129:$DF$305,1,'3a Staff Plan'!$C$129:$C$305,DH$18)</f>
        <v>0</v>
      </c>
      <c r="CH147" s="1026">
        <f ca="1">SUMIFS('3a Staff Plan'!$T$129:$T$305,'3a Staff Plan'!$DY$129:$DY$305,$CZ147,'3a Staff Plan'!$DF$129:$DF$305,1,'3a Staff Plan'!$C$129:$C$305,DI$18)</f>
        <v>0</v>
      </c>
      <c r="CI147" s="755"/>
      <c r="CJ147" s="1024">
        <f ca="1">SUMPRODUCT('3b Activity Plan'!$AN$173:$AN$365,'3b Activity Plan'!$CY$173:$CY$365,'3b Activity Plan'!$AH$173:$AH$365,OFFSET('3b Activity Plan'!$DJ$173:$DJ$365,0,$CU147-1))</f>
        <v>0</v>
      </c>
      <c r="CK147" s="1025">
        <f t="shared" ca="1" si="93"/>
        <v>0</v>
      </c>
      <c r="CL147" s="1026">
        <f t="shared" ca="1" si="94"/>
        <v>0</v>
      </c>
      <c r="CM147" s="1026">
        <f t="shared" ca="1" si="95"/>
        <v>0</v>
      </c>
      <c r="CN147" s="1026">
        <f t="shared" ca="1" si="96"/>
        <v>0</v>
      </c>
      <c r="CO147" s="1026">
        <f t="shared" ca="1" si="97"/>
        <v>0</v>
      </c>
      <c r="CP147" s="1026">
        <f t="shared" ca="1" si="98"/>
        <v>0</v>
      </c>
      <c r="CQ147" s="1026">
        <f t="shared" ca="1" si="99"/>
        <v>0</v>
      </c>
      <c r="CR147" s="417"/>
      <c r="CS147" s="417">
        <f t="shared" si="100"/>
        <v>15</v>
      </c>
      <c r="CT147" s="417">
        <f ca="1">OFFSET('2 Staff List'!$GU$64,CS147-1,0)</f>
        <v>15</v>
      </c>
      <c r="CU147" s="417">
        <f ca="1">IF(CZ147=0,0,IFERROR(INDEX('3b Activity Plan'!$DJ$20:$FH$20,MATCH(CT147,'3b Activity Plan'!$DJ$171:$FH$171,0)),0))</f>
        <v>0</v>
      </c>
      <c r="CV147" s="417">
        <f ca="1">INDEX('2 Staff List'!$HW$64:$HW$114,CT147)</f>
        <v>0</v>
      </c>
      <c r="CW147" s="417"/>
      <c r="CY147" s="927">
        <f ca="1">OFFSET('2 Staff List'!$HZ$64,CS147-1,0)</f>
        <v>0</v>
      </c>
      <c r="CZ147" s="975">
        <f ca="1">OFFSET('2 Staff List'!$IA$64,CT147-1,0)</f>
        <v>0</v>
      </c>
      <c r="DA147" s="3840">
        <f t="shared" ca="1" si="92"/>
        <v>0</v>
      </c>
      <c r="DB147" s="3841"/>
      <c r="DC147" s="2408">
        <f t="shared" ca="1" si="85"/>
        <v>0</v>
      </c>
      <c r="DD147" s="2405">
        <f t="shared" ca="1" si="86"/>
        <v>0</v>
      </c>
      <c r="DE147" s="2405">
        <f t="shared" ca="1" si="87"/>
        <v>0</v>
      </c>
      <c r="DF147" s="2405">
        <f t="shared" ca="1" si="88"/>
        <v>0</v>
      </c>
      <c r="DG147" s="2405">
        <f t="shared" ca="1" si="89"/>
        <v>0</v>
      </c>
      <c r="DH147" s="2406">
        <f t="shared" ca="1" si="90"/>
        <v>0</v>
      </c>
      <c r="DI147" s="2407">
        <f t="shared" ca="1" si="91"/>
        <v>0</v>
      </c>
    </row>
    <row r="148" spans="1:113" ht="15.9" customHeight="1" x14ac:dyDescent="0.25">
      <c r="A148" s="1051"/>
      <c r="B148" s="1556"/>
      <c r="C148" s="1558">
        <f ca="1">SUMPRODUCT('3b Activity Plan'!$AN$173:$AN$365,OFFSET('3b Activity Plan'!$DJ$173:$DJ$365,0,$CU148-1),'3b Activity Plan'!AO$173:AO$365,'3b Activity Plan'!$AH$173:$AH$365,'3b Activity Plan'!$CY$173:$CY$365,('3b Activity Plan'!$C$173:$C$365=$C$130)*1)</f>
        <v>0</v>
      </c>
      <c r="D148" s="1558">
        <f ca="1">SUMPRODUCT('3b Activity Plan'!$AN$173:$AN$365,OFFSET('3b Activity Plan'!$DJ$173:$DJ$365,0,$CU148-1),'3b Activity Plan'!AP$173:AP$365,'3b Activity Plan'!$AH$173:$AH$365,'3b Activity Plan'!$CY$173:$CY$365,('3b Activity Plan'!$C$173:$C$365=$C$130)*1)</f>
        <v>0</v>
      </c>
      <c r="E148" s="1558">
        <f ca="1">SUMPRODUCT('3b Activity Plan'!$AN$173:$AN$365,OFFSET('3b Activity Plan'!$DJ$173:$DJ$365,0,$CU148-1),'3b Activity Plan'!AQ$173:AQ$365,'3b Activity Plan'!$AH$173:$AH$365,'3b Activity Plan'!$CY$173:$CY$365,('3b Activity Plan'!$C$173:$C$365=$C$130)*1)</f>
        <v>0</v>
      </c>
      <c r="F148" s="1558">
        <f ca="1">SUMPRODUCT('3b Activity Plan'!$AN$173:$AN$365,OFFSET('3b Activity Plan'!$DJ$173:$DJ$365,0,$CU148-1),'3b Activity Plan'!AR$173:AR$365,'3b Activity Plan'!$AH$173:$AH$365,'3b Activity Plan'!$CY$173:$CY$365,('3b Activity Plan'!$C$173:$C$365=$C$130)*1)</f>
        <v>0</v>
      </c>
      <c r="G148" s="1558">
        <f ca="1">SUMPRODUCT('3b Activity Plan'!$AN$173:$AN$365,OFFSET('3b Activity Plan'!$DJ$173:$DJ$365,0,$CU148-1),'3b Activity Plan'!AS$173:AS$365,'3b Activity Plan'!$AH$173:$AH$365,'3b Activity Plan'!$CY$173:$CY$365,('3b Activity Plan'!$C$173:$C$365=$C$130)*1)</f>
        <v>0</v>
      </c>
      <c r="H148" s="1558">
        <f ca="1">SUMPRODUCT('3b Activity Plan'!$AN$173:$AN$365,OFFSET('3b Activity Plan'!$DJ$173:$DJ$365,0,$CU148-1),'3b Activity Plan'!AT$173:AT$365,'3b Activity Plan'!$AH$173:$AH$365,'3b Activity Plan'!$CY$173:$CY$365,('3b Activity Plan'!$C$173:$C$365=$C$130)*1)</f>
        <v>0</v>
      </c>
      <c r="I148" s="1558">
        <f ca="1">SUMPRODUCT('3b Activity Plan'!$AN$173:$AN$365,OFFSET('3b Activity Plan'!$DJ$173:$DJ$365,0,$CU148-1),'3b Activity Plan'!AU$173:AU$365,'3b Activity Plan'!$AH$173:$AH$365,'3b Activity Plan'!$CY$173:$CY$365,('3b Activity Plan'!$C$173:$C$365=$C$130)*1)</f>
        <v>0</v>
      </c>
      <c r="J148" s="1558">
        <f ca="1">SUMPRODUCT('3b Activity Plan'!$AN$173:$AN$365,OFFSET('3b Activity Plan'!$DJ$173:$DJ$365,0,$CU148-1),'3b Activity Plan'!AV$173:AV$365,'3b Activity Plan'!$AH$173:$AH$365,'3b Activity Plan'!$CY$173:$CY$365,('3b Activity Plan'!$C$173:$C$365=$C$130)*1)</f>
        <v>0</v>
      </c>
      <c r="K148" s="1558">
        <f ca="1">SUMPRODUCT('3b Activity Plan'!$AN$173:$AN$365,OFFSET('3b Activity Plan'!$DJ$173:$DJ$365,0,$CU148-1),'3b Activity Plan'!AW$173:AW$365,'3b Activity Plan'!$AH$173:$AH$365,'3b Activity Plan'!$CY$173:$CY$365,('3b Activity Plan'!$C$173:$C$365=$C$130)*1)</f>
        <v>0</v>
      </c>
      <c r="L148" s="1601">
        <f ca="1">SUMPRODUCT('3b Activity Plan'!$AN$173:$AN$365,OFFSET('3b Activity Plan'!$DJ$173:$DJ$365,0,$CU148-1),'3b Activity Plan'!AX$173:AX$365,'3b Activity Plan'!$AH$173:$AH$365,'3b Activity Plan'!$CY$173:$CY$365,('3b Activity Plan'!$C$173:$C$365=$C$130)*1)</f>
        <v>0</v>
      </c>
      <c r="M148" s="1602">
        <f ca="1">SUMPRODUCT('3b Activity Plan'!$AN$173:$AN$365,OFFSET('3b Activity Plan'!$DJ$173:$DJ$365,0,$CU148-1),'3b Activity Plan'!AO$173:AO$365,'3b Activity Plan'!$AH$173:$AH$365,'3b Activity Plan'!$CY$173:$CY$365,('3b Activity Plan'!$C$173:$C$365=$M$130)*1)</f>
        <v>0</v>
      </c>
      <c r="N148" s="1558">
        <f ca="1">SUMPRODUCT('3b Activity Plan'!$AN$173:$AN$365,OFFSET('3b Activity Plan'!$DJ$173:$DJ$365,0,$CU148-1),'3b Activity Plan'!AP$173:AP$365,'3b Activity Plan'!$AH$173:$AH$365,'3b Activity Plan'!$CY$173:$CY$365,('3b Activity Plan'!$C$173:$C$365=$M$130)*1)</f>
        <v>0</v>
      </c>
      <c r="O148" s="1558">
        <f ca="1">SUMPRODUCT('3b Activity Plan'!$AN$173:$AN$365,OFFSET('3b Activity Plan'!$DJ$173:$DJ$365,0,$CU148-1),'3b Activity Plan'!AQ$173:AQ$365,'3b Activity Plan'!$AH$173:$AH$365,'3b Activity Plan'!$CY$173:$CY$365,('3b Activity Plan'!$C$173:$C$365=$M$130)*1)</f>
        <v>0</v>
      </c>
      <c r="P148" s="1558">
        <f ca="1">SUMPRODUCT('3b Activity Plan'!$AN$173:$AN$365,OFFSET('3b Activity Plan'!$DJ$173:$DJ$365,0,$CU148-1),'3b Activity Plan'!AR$173:AR$365,'3b Activity Plan'!$AH$173:$AH$365,'3b Activity Plan'!$CY$173:$CY$365,('3b Activity Plan'!$C$173:$C$365=$M$130)*1)</f>
        <v>0</v>
      </c>
      <c r="Q148" s="1558">
        <f ca="1">SUMPRODUCT('3b Activity Plan'!$AN$173:$AN$365,OFFSET('3b Activity Plan'!$DJ$173:$DJ$365,0,$CU148-1),'3b Activity Plan'!AS$173:AS$365,'3b Activity Plan'!$AH$173:$AH$365,'3b Activity Plan'!$CY$173:$CY$365,('3b Activity Plan'!$C$173:$C$365=$M$130)*1)</f>
        <v>0</v>
      </c>
      <c r="R148" s="1558">
        <f ca="1">SUMPRODUCT('3b Activity Plan'!$AN$173:$AN$365,OFFSET('3b Activity Plan'!$DJ$173:$DJ$365,0,$CU148-1),'3b Activity Plan'!AT$173:AT$365,'3b Activity Plan'!$AH$173:$AH$365,'3b Activity Plan'!$CY$173:$CY$365,('3b Activity Plan'!$C$173:$C$365=$M$130)*1)</f>
        <v>0</v>
      </c>
      <c r="S148" s="1558">
        <f ca="1">SUMPRODUCT('3b Activity Plan'!$AN$173:$AN$365,OFFSET('3b Activity Plan'!$DJ$173:$DJ$365,0,$CU148-1),'3b Activity Plan'!AU$173:AU$365,'3b Activity Plan'!$AH$173:$AH$365,'3b Activity Plan'!$CY$173:$CY$365,('3b Activity Plan'!$C$173:$C$365=$M$130)*1)</f>
        <v>0</v>
      </c>
      <c r="T148" s="1558">
        <f ca="1">SUMPRODUCT('3b Activity Plan'!$AN$173:$AN$365,OFFSET('3b Activity Plan'!$DJ$173:$DJ$365,0,$CU148-1),'3b Activity Plan'!AV$173:AV$365,'3b Activity Plan'!$AH$173:$AH$365,'3b Activity Plan'!$CY$173:$CY$365,('3b Activity Plan'!$C$173:$C$365=$M$130)*1)</f>
        <v>0</v>
      </c>
      <c r="U148" s="1558">
        <f ca="1">SUMPRODUCT('3b Activity Plan'!$AN$173:$AN$365,OFFSET('3b Activity Plan'!$DJ$173:$DJ$365,0,$CU148-1),'3b Activity Plan'!AW$173:AW$365,'3b Activity Plan'!$AH$173:$AH$365,'3b Activity Plan'!$CY$173:$CY$365,('3b Activity Plan'!$C$173:$C$365=$M$130)*1)</f>
        <v>0</v>
      </c>
      <c r="V148" s="1601">
        <f ca="1">SUMPRODUCT('3b Activity Plan'!$AN$173:$AN$365,OFFSET('3b Activity Plan'!$DJ$173:$DJ$365,0,$CU148-1),'3b Activity Plan'!AX$173:AX$365,'3b Activity Plan'!$AH$173:$AH$365,'3b Activity Plan'!$CY$173:$CY$365,('3b Activity Plan'!$C$173:$C$365=$M$130)*1)</f>
        <v>0</v>
      </c>
      <c r="W148" s="1602">
        <f ca="1">SUMPRODUCT('3b Activity Plan'!$AN$173:$AN$365,OFFSET('3b Activity Plan'!$DJ$173:$DJ$365,0,$CU148-1),'3b Activity Plan'!AO$173:AO$365,'3b Activity Plan'!$AH$173:$AH$365,'3b Activity Plan'!$CY$173:$CY$365,('3b Activity Plan'!$C$173:$C$365=$W$130)*1)</f>
        <v>0</v>
      </c>
      <c r="X148" s="1558">
        <f ca="1">SUMPRODUCT('3b Activity Plan'!$AN$173:$AN$365,OFFSET('3b Activity Plan'!$DJ$173:$DJ$365,0,$CU148-1),'3b Activity Plan'!AP$173:AP$365,'3b Activity Plan'!$AH$173:$AH$365,'3b Activity Plan'!$CY$173:$CY$365,('3b Activity Plan'!$C$173:$C$365=$W$130)*1)</f>
        <v>0</v>
      </c>
      <c r="Y148" s="1558">
        <f ca="1">SUMPRODUCT('3b Activity Plan'!$AN$173:$AN$365,OFFSET('3b Activity Plan'!$DJ$173:$DJ$365,0,$CU148-1),'3b Activity Plan'!AQ$173:AQ$365,'3b Activity Plan'!$AH$173:$AH$365,'3b Activity Plan'!$CY$173:$CY$365,('3b Activity Plan'!$C$173:$C$365=$W$130)*1)</f>
        <v>0</v>
      </c>
      <c r="Z148" s="1558">
        <f ca="1">SUMPRODUCT('3b Activity Plan'!$AN$173:$AN$365,OFFSET('3b Activity Plan'!$DJ$173:$DJ$365,0,$CU148-1),'3b Activity Plan'!AR$173:AR$365,'3b Activity Plan'!$AH$173:$AH$365,'3b Activity Plan'!$CY$173:$CY$365,('3b Activity Plan'!$C$173:$C$365=$W$130)*1)</f>
        <v>0</v>
      </c>
      <c r="AA148" s="1558">
        <f ca="1">SUMPRODUCT('3b Activity Plan'!$AN$173:$AN$365,OFFSET('3b Activity Plan'!$DJ$173:$DJ$365,0,$CU148-1),'3b Activity Plan'!AS$173:AS$365,'3b Activity Plan'!$AH$173:$AH$365,'3b Activity Plan'!$CY$173:$CY$365,('3b Activity Plan'!$C$173:$C$365=$W$130)*1)</f>
        <v>0</v>
      </c>
      <c r="AB148" s="1558">
        <f ca="1">SUMPRODUCT('3b Activity Plan'!$AN$173:$AN$365,OFFSET('3b Activity Plan'!$DJ$173:$DJ$365,0,$CU148-1),'3b Activity Plan'!AT$173:AT$365,'3b Activity Plan'!$AH$173:$AH$365,'3b Activity Plan'!$CY$173:$CY$365,('3b Activity Plan'!$C$173:$C$365=$W$130)*1)</f>
        <v>0</v>
      </c>
      <c r="AC148" s="1558">
        <f ca="1">SUMPRODUCT('3b Activity Plan'!$AN$173:$AN$365,OFFSET('3b Activity Plan'!$DJ$173:$DJ$365,0,$CU148-1),'3b Activity Plan'!AU$173:AU$365,'3b Activity Plan'!$AH$173:$AH$365,'3b Activity Plan'!$CY$173:$CY$365,('3b Activity Plan'!$C$173:$C$365=$W$130)*1)</f>
        <v>0</v>
      </c>
      <c r="AD148" s="1558">
        <f ca="1">SUMPRODUCT('3b Activity Plan'!$AN$173:$AN$365,OFFSET('3b Activity Plan'!$DJ$173:$DJ$365,0,$CU148-1),'3b Activity Plan'!AV$173:AV$365,'3b Activity Plan'!$AH$173:$AH$365,'3b Activity Plan'!$CY$173:$CY$365,('3b Activity Plan'!$C$173:$C$365=$W$130)*1)</f>
        <v>0</v>
      </c>
      <c r="AE148" s="1558">
        <f ca="1">SUMPRODUCT('3b Activity Plan'!$AN$173:$AN$365,OFFSET('3b Activity Plan'!$DJ$173:$DJ$365,0,$CU148-1),'3b Activity Plan'!AW$173:AW$365,'3b Activity Plan'!$AH$173:$AH$365,'3b Activity Plan'!$CY$173:$CY$365,('3b Activity Plan'!$C$173:$C$365=$W$130)*1)</f>
        <v>0</v>
      </c>
      <c r="AF148" s="1558">
        <f ca="1">SUMPRODUCT('3b Activity Plan'!$AN$173:$AN$365,OFFSET('3b Activity Plan'!$DJ$173:$DJ$365,0,$CU148-1),'3b Activity Plan'!AX$173:AX$365,'3b Activity Plan'!$AH$173:$AH$365,'3b Activity Plan'!$CY$173:$CY$365,('3b Activity Plan'!$C$173:$C$365=$W$130)*1)</f>
        <v>0</v>
      </c>
      <c r="AG148" s="1602">
        <f ca="1">SUMPRODUCT('3b Activity Plan'!$AN$173:$AN$365,OFFSET('3b Activity Plan'!$DJ$173:$DJ$365,0,$CU148-1),'3b Activity Plan'!AO$173:AO$365,'3b Activity Plan'!$AH$173:$AH$365,'3b Activity Plan'!$CY$173:$CY$365,('3b Activity Plan'!$C$173:$C$365=$AG$130)*1)</f>
        <v>0</v>
      </c>
      <c r="AH148" s="1558">
        <f ca="1">SUMPRODUCT('3b Activity Plan'!$AN$173:$AN$365,OFFSET('3b Activity Plan'!$DJ$173:$DJ$365,0,$CU148-1),'3b Activity Plan'!AP$173:AP$365,'3b Activity Plan'!$AH$173:$AH$365,'3b Activity Plan'!$CY$173:$CY$365,('3b Activity Plan'!$C$173:$C$365=$AG$130)*1)</f>
        <v>0</v>
      </c>
      <c r="AI148" s="1558">
        <f ca="1">SUMPRODUCT('3b Activity Plan'!$AN$173:$AN$365,OFFSET('3b Activity Plan'!$DJ$173:$DJ$365,0,$CU148-1),'3b Activity Plan'!AQ$173:AQ$365,'3b Activity Plan'!$AH$173:$AH$365,'3b Activity Plan'!$CY$173:$CY$365,('3b Activity Plan'!$C$173:$C$365=$AG$130)*1)</f>
        <v>0</v>
      </c>
      <c r="AJ148" s="1558">
        <f ca="1">SUMPRODUCT('3b Activity Plan'!$AN$173:$AN$365,OFFSET('3b Activity Plan'!$DJ$173:$DJ$365,0,$CU148-1),'3b Activity Plan'!AR$173:AR$365,'3b Activity Plan'!$AH$173:$AH$365,'3b Activity Plan'!$CY$173:$CY$365,('3b Activity Plan'!$C$173:$C$365=$AG$130)*1)</f>
        <v>0</v>
      </c>
      <c r="AK148" s="1558">
        <f ca="1">SUMPRODUCT('3b Activity Plan'!$AN$173:$AN$365,OFFSET('3b Activity Plan'!$DJ$173:$DJ$365,0,$CU148-1),'3b Activity Plan'!AS$173:AS$365,'3b Activity Plan'!$AH$173:$AH$365,'3b Activity Plan'!$CY$173:$CY$365,('3b Activity Plan'!$C$173:$C$365=$AG$130)*1)</f>
        <v>0</v>
      </c>
      <c r="AL148" s="1558">
        <f ca="1">SUMPRODUCT('3b Activity Plan'!$AN$173:$AN$365,OFFSET('3b Activity Plan'!$DJ$173:$DJ$365,0,$CU148-1),'3b Activity Plan'!AT$173:AT$365,'3b Activity Plan'!$AH$173:$AH$365,'3b Activity Plan'!$CY$173:$CY$365,('3b Activity Plan'!$C$173:$C$365=$AG$130)*1)</f>
        <v>0</v>
      </c>
      <c r="AM148" s="1558">
        <f ca="1">SUMPRODUCT('3b Activity Plan'!$AN$173:$AN$365,OFFSET('3b Activity Plan'!$DJ$173:$DJ$365,0,$CU148-1),'3b Activity Plan'!AU$173:AU$365,'3b Activity Plan'!$AH$173:$AH$365,'3b Activity Plan'!$CY$173:$CY$365,('3b Activity Plan'!$C$173:$C$365=$AG$130)*1)</f>
        <v>0</v>
      </c>
      <c r="AN148" s="1558">
        <f ca="1">SUMPRODUCT('3b Activity Plan'!$AN$173:$AN$365,OFFSET('3b Activity Plan'!$DJ$173:$DJ$365,0,$CU148-1),'3b Activity Plan'!AV$173:AV$365,'3b Activity Plan'!$AH$173:$AH$365,'3b Activity Plan'!$CY$173:$CY$365,('3b Activity Plan'!$C$173:$C$365=$AG$130)*1)</f>
        <v>0</v>
      </c>
      <c r="AO148" s="1558">
        <f ca="1">SUMPRODUCT('3b Activity Plan'!$AN$173:$AN$365,OFFSET('3b Activity Plan'!$DJ$173:$DJ$365,0,$CU148-1),'3b Activity Plan'!AW$173:AW$365,'3b Activity Plan'!$AH$173:$AH$365,'3b Activity Plan'!$CY$173:$CY$365,('3b Activity Plan'!$C$173:$C$365=$AG$130)*1)</f>
        <v>0</v>
      </c>
      <c r="AP148" s="1558">
        <f ca="1">SUMPRODUCT('3b Activity Plan'!$AN$173:$AN$365,OFFSET('3b Activity Plan'!$DJ$173:$DJ$365,0,$CU148-1),'3b Activity Plan'!AX$173:AX$365,'3b Activity Plan'!$AH$173:$AH$365,'3b Activity Plan'!$CY$173:$CY$365,('3b Activity Plan'!$C$173:$C$365=$AG$130)*1)</f>
        <v>0</v>
      </c>
      <c r="AQ148" s="1602">
        <f ca="1">SUMPRODUCT('3b Activity Plan'!$AN$173:$AN$365,OFFSET('3b Activity Plan'!$DJ$173:$DJ$365,0,$CU148-1),'3b Activity Plan'!AO$173:AO$365,'3b Activity Plan'!$AH$173:$AH$365,'3b Activity Plan'!$CY$173:$CY$365,('3b Activity Plan'!$C$173:$C$365=$AQ$130)*1)</f>
        <v>0</v>
      </c>
      <c r="AR148" s="1558">
        <f ca="1">SUMPRODUCT('3b Activity Plan'!$AN$173:$AN$365,OFFSET('3b Activity Plan'!$DJ$173:$DJ$365,0,$CU148-1),'3b Activity Plan'!AP$173:AP$365,'3b Activity Plan'!$AH$173:$AH$365,'3b Activity Plan'!$CY$173:$CY$365,('3b Activity Plan'!$C$173:$C$365=$AQ$130)*1)</f>
        <v>0</v>
      </c>
      <c r="AS148" s="1558">
        <f ca="1">SUMPRODUCT('3b Activity Plan'!$AN$173:$AN$365,OFFSET('3b Activity Plan'!$DJ$173:$DJ$365,0,$CU148-1),'3b Activity Plan'!AQ$173:AQ$365,'3b Activity Plan'!$AH$173:$AH$365,'3b Activity Plan'!$CY$173:$CY$365,('3b Activity Plan'!$C$173:$C$365=$AQ$130)*1)</f>
        <v>0</v>
      </c>
      <c r="AT148" s="1558">
        <f ca="1">SUMPRODUCT('3b Activity Plan'!$AN$173:$AN$365,OFFSET('3b Activity Plan'!$DJ$173:$DJ$365,0,$CU148-1),'3b Activity Plan'!AR$173:AR$365,'3b Activity Plan'!$AH$173:$AH$365,'3b Activity Plan'!$CY$173:$CY$365,('3b Activity Plan'!$C$173:$C$365=$AQ$130)*1)</f>
        <v>0</v>
      </c>
      <c r="AU148" s="1558">
        <f ca="1">SUMPRODUCT('3b Activity Plan'!$AN$173:$AN$365,OFFSET('3b Activity Plan'!$DJ$173:$DJ$365,0,$CU148-1),'3b Activity Plan'!AS$173:AS$365,'3b Activity Plan'!$AH$173:$AH$365,'3b Activity Plan'!$CY$173:$CY$365,('3b Activity Plan'!$C$173:$C$365=$AQ$130)*1)</f>
        <v>0</v>
      </c>
      <c r="AV148" s="1558">
        <f ca="1">SUMPRODUCT('3b Activity Plan'!$AN$173:$AN$365,OFFSET('3b Activity Plan'!$DJ$173:$DJ$365,0,$CU148-1),'3b Activity Plan'!AT$173:AT$365,'3b Activity Plan'!$AH$173:$AH$365,'3b Activity Plan'!$CY$173:$CY$365,('3b Activity Plan'!$C$173:$C$365=$AQ$130)*1)</f>
        <v>0</v>
      </c>
      <c r="AW148" s="1558">
        <f ca="1">SUMPRODUCT('3b Activity Plan'!$AN$173:$AN$365,OFFSET('3b Activity Plan'!$DJ$173:$DJ$365,0,$CU148-1),'3b Activity Plan'!AU$173:AU$365,'3b Activity Plan'!$AH$173:$AH$365,'3b Activity Plan'!$CY$173:$CY$365,('3b Activity Plan'!$C$173:$C$365=$AQ$130)*1)</f>
        <v>0</v>
      </c>
      <c r="AX148" s="1558">
        <f ca="1">SUMPRODUCT('3b Activity Plan'!$AN$173:$AN$365,OFFSET('3b Activity Plan'!$DJ$173:$DJ$365,0,$CU148-1),'3b Activity Plan'!AV$173:AV$365,'3b Activity Plan'!$AH$173:$AH$365,'3b Activity Plan'!$CY$173:$CY$365,('3b Activity Plan'!$C$173:$C$365=$AQ$130)*1)</f>
        <v>0</v>
      </c>
      <c r="AY148" s="1558">
        <f ca="1">SUMPRODUCT('3b Activity Plan'!$AN$173:$AN$365,OFFSET('3b Activity Plan'!$DJ$173:$DJ$365,0,$CU148-1),'3b Activity Plan'!AW$173:AW$365,'3b Activity Plan'!$AH$173:$AH$365,'3b Activity Plan'!$CY$173:$CY$365,('3b Activity Plan'!$C$173:$C$365=$AQ$130)*1)</f>
        <v>0</v>
      </c>
      <c r="AZ148" s="1558">
        <f ca="1">SUMPRODUCT('3b Activity Plan'!$AN$173:$AN$365,OFFSET('3b Activity Plan'!$DJ$173:$DJ$365,0,$CU148-1),'3b Activity Plan'!AX$173:AX$365,'3b Activity Plan'!$AH$173:$AH$365,'3b Activity Plan'!$CY$173:$CY$365,('3b Activity Plan'!$C$173:$C$365=$AQ$130)*1)</f>
        <v>0</v>
      </c>
      <c r="BA148" s="1602">
        <f ca="1">SUMPRODUCT('3b Activity Plan'!$AN$173:$AN$365,OFFSET('3b Activity Plan'!$DJ$173:$DJ$365,0,$CU148-1),'3b Activity Plan'!AO$173:AO$365,'3b Activity Plan'!$AH$173:$AH$365,'3b Activity Plan'!$CY$173:$CY$365,('3b Activity Plan'!$C$173:$C$365=$BA$130)*1)</f>
        <v>0</v>
      </c>
      <c r="BB148" s="1558">
        <f ca="1">SUMPRODUCT('3b Activity Plan'!$AN$173:$AN$365,OFFSET('3b Activity Plan'!$DJ$173:$DJ$365,0,$CU148-1),'3b Activity Plan'!AP$173:AP$365,'3b Activity Plan'!$AH$173:$AH$365,'3b Activity Plan'!$CY$173:$CY$365,('3b Activity Plan'!$C$173:$C$365=$BA$130)*1)</f>
        <v>0</v>
      </c>
      <c r="BC148" s="1558">
        <f ca="1">SUMPRODUCT('3b Activity Plan'!$AN$173:$AN$365,OFFSET('3b Activity Plan'!$DJ$173:$DJ$365,0,$CU148-1),'3b Activity Plan'!AQ$173:AQ$365,'3b Activity Plan'!$AH$173:$AH$365,'3b Activity Plan'!$CY$173:$CY$365,('3b Activity Plan'!$C$173:$C$365=$BA$130)*1)</f>
        <v>0</v>
      </c>
      <c r="BD148" s="1558">
        <f ca="1">SUMPRODUCT('3b Activity Plan'!$AN$173:$AN$365,OFFSET('3b Activity Plan'!$DJ$173:$DJ$365,0,$CU148-1),'3b Activity Plan'!AR$173:AR$365,'3b Activity Plan'!$AH$173:$AH$365,'3b Activity Plan'!$CY$173:$CY$365,('3b Activity Plan'!$C$173:$C$365=$BA$130)*1)</f>
        <v>0</v>
      </c>
      <c r="BE148" s="1558">
        <f ca="1">SUMPRODUCT('3b Activity Plan'!$AN$173:$AN$365,OFFSET('3b Activity Plan'!$DJ$173:$DJ$365,0,$CU148-1),'3b Activity Plan'!AS$173:AS$365,'3b Activity Plan'!$AH$173:$AH$365,'3b Activity Plan'!$CY$173:$CY$365,('3b Activity Plan'!$C$173:$C$365=$BA$130)*1)</f>
        <v>0</v>
      </c>
      <c r="BF148" s="1558">
        <f ca="1">SUMPRODUCT('3b Activity Plan'!$AN$173:$AN$365,OFFSET('3b Activity Plan'!$DJ$173:$DJ$365,0,$CU148-1),'3b Activity Plan'!AT$173:AT$365,'3b Activity Plan'!$AH$173:$AH$365,'3b Activity Plan'!$CY$173:$CY$365,('3b Activity Plan'!$C$173:$C$365=$BA$130)*1)</f>
        <v>0</v>
      </c>
      <c r="BG148" s="1558">
        <f ca="1">SUMPRODUCT('3b Activity Plan'!$AN$173:$AN$365,OFFSET('3b Activity Plan'!$DJ$173:$DJ$365,0,$CU148-1),'3b Activity Plan'!AU$173:AU$365,'3b Activity Plan'!$AH$173:$AH$365,'3b Activity Plan'!$CY$173:$CY$365,('3b Activity Plan'!$C$173:$C$365=$BA$130)*1)</f>
        <v>0</v>
      </c>
      <c r="BH148" s="1558">
        <f ca="1">SUMPRODUCT('3b Activity Plan'!$AN$173:$AN$365,OFFSET('3b Activity Plan'!$DJ$173:$DJ$365,0,$CU148-1),'3b Activity Plan'!AV$173:AV$365,'3b Activity Plan'!$AH$173:$AH$365,'3b Activity Plan'!$CY$173:$CY$365,('3b Activity Plan'!$C$173:$C$365=$BA$130)*1)</f>
        <v>0</v>
      </c>
      <c r="BI148" s="1558">
        <f ca="1">SUMPRODUCT('3b Activity Plan'!$AN$173:$AN$365,OFFSET('3b Activity Plan'!$DJ$173:$DJ$365,0,$CU148-1),'3b Activity Plan'!AW$173:AW$365,'3b Activity Plan'!$AH$173:$AH$365,'3b Activity Plan'!$CY$173:$CY$365,('3b Activity Plan'!$C$173:$C$365=$BA$130)*1)</f>
        <v>0</v>
      </c>
      <c r="BJ148" s="1558">
        <f ca="1">SUMPRODUCT('3b Activity Plan'!$AN$173:$AN$365,OFFSET('3b Activity Plan'!$DJ$173:$DJ$365,0,$CU148-1),'3b Activity Plan'!AX$173:AX$365,'3b Activity Plan'!$AH$173:$AH$365,'3b Activity Plan'!$CY$173:$CY$365,('3b Activity Plan'!$C$173:$C$365=$BA$130)*1)</f>
        <v>0</v>
      </c>
      <c r="BK148" s="1602">
        <f ca="1">SUMPRODUCT('3b Activity Plan'!$AN$173:$AN$365,OFFSET('3b Activity Plan'!$DJ$173:$DJ$365,0,$CU148-1),'3b Activity Plan'!AO$173:AO$365,'3b Activity Plan'!$AH$173:$AH$365,'3b Activity Plan'!$CY$173:$CY$365,('3b Activity Plan'!$C$173:$C$365=$BK$130)*1)</f>
        <v>0</v>
      </c>
      <c r="BL148" s="1558">
        <f ca="1">SUMPRODUCT('3b Activity Plan'!$AN$173:$AN$365,OFFSET('3b Activity Plan'!$DJ$173:$DJ$365,0,$CU148-1),'3b Activity Plan'!AP$173:AP$365,'3b Activity Plan'!$AH$173:$AH$365,'3b Activity Plan'!$CY$173:$CY$365,('3b Activity Plan'!$C$173:$C$365=$BK$130)*1)</f>
        <v>0</v>
      </c>
      <c r="BM148" s="1558">
        <f ca="1">SUMPRODUCT('3b Activity Plan'!$AN$173:$AN$365,OFFSET('3b Activity Plan'!$DJ$173:$DJ$365,0,$CU148-1),'3b Activity Plan'!AQ$173:AQ$365,'3b Activity Plan'!$AH$173:$AH$365,'3b Activity Plan'!$CY$173:$CY$365,('3b Activity Plan'!$C$173:$C$365=$BK$130)*1)</f>
        <v>0</v>
      </c>
      <c r="BN148" s="1558">
        <f ca="1">SUMPRODUCT('3b Activity Plan'!$AN$173:$AN$365,OFFSET('3b Activity Plan'!$DJ$173:$DJ$365,0,$CU148-1),'3b Activity Plan'!AR$173:AR$365,'3b Activity Plan'!$AH$173:$AH$365,'3b Activity Plan'!$CY$173:$CY$365,('3b Activity Plan'!$C$173:$C$365=$BK$130)*1)</f>
        <v>0</v>
      </c>
      <c r="BO148" s="1558">
        <f ca="1">SUMPRODUCT('3b Activity Plan'!$AN$173:$AN$365,OFFSET('3b Activity Plan'!$DJ$173:$DJ$365,0,$CU148-1),'3b Activity Plan'!AS$173:AS$365,'3b Activity Plan'!$AH$173:$AH$365,'3b Activity Plan'!$CY$173:$CY$365,('3b Activity Plan'!$C$173:$C$365=$BK$130)*1)</f>
        <v>0</v>
      </c>
      <c r="BP148" s="1558">
        <f ca="1">SUMPRODUCT('3b Activity Plan'!$AN$173:$AN$365,OFFSET('3b Activity Plan'!$DJ$173:$DJ$365,0,$CU148-1),'3b Activity Plan'!AT$173:AT$365,'3b Activity Plan'!$AH$173:$AH$365,'3b Activity Plan'!$CY$173:$CY$365,('3b Activity Plan'!$C$173:$C$365=$BK$130)*1)</f>
        <v>0</v>
      </c>
      <c r="BQ148" s="1558">
        <f ca="1">SUMPRODUCT('3b Activity Plan'!$AN$173:$AN$365,OFFSET('3b Activity Plan'!$DJ$173:$DJ$365,0,$CU148-1),'3b Activity Plan'!AU$173:AU$365,'3b Activity Plan'!$AH$173:$AH$365,'3b Activity Plan'!$CY$173:$CY$365,('3b Activity Plan'!$C$173:$C$365=$BK$130)*1)</f>
        <v>0</v>
      </c>
      <c r="BR148" s="1558">
        <f ca="1">SUMPRODUCT('3b Activity Plan'!$AN$173:$AN$365,OFFSET('3b Activity Plan'!$DJ$173:$DJ$365,0,$CU148-1),'3b Activity Plan'!AV$173:AV$365,'3b Activity Plan'!$AH$173:$AH$365,'3b Activity Plan'!$CY$173:$CY$365,('3b Activity Plan'!$C$173:$C$365=$BK$130)*1)</f>
        <v>0</v>
      </c>
      <c r="BS148" s="1558">
        <f ca="1">SUMPRODUCT('3b Activity Plan'!$AN$173:$AN$365,OFFSET('3b Activity Plan'!$DJ$173:$DJ$365,0,$CU148-1),'3b Activity Plan'!AW$173:AW$365,'3b Activity Plan'!$AH$173:$AH$365,'3b Activity Plan'!$CY$173:$CY$365,('3b Activity Plan'!$C$173:$C$365=$BK$130)*1)</f>
        <v>0</v>
      </c>
      <c r="BT148" s="1558">
        <f ca="1">SUMPRODUCT('3b Activity Plan'!$AN$173:$AN$365,OFFSET('3b Activity Plan'!$DJ$173:$DJ$365,0,$CU148-1),'3b Activity Plan'!AX$173:AX$365,'3b Activity Plan'!$AH$173:$AH$365,'3b Activity Plan'!$CY$173:$CY$365,('3b Activity Plan'!$C$173:$C$365=$BK$130)*1)</f>
        <v>0</v>
      </c>
      <c r="BU148" s="1587"/>
      <c r="BV148" s="1587"/>
      <c r="BW148" s="1587"/>
      <c r="BX148" s="1556"/>
      <c r="BY148" s="1556"/>
      <c r="BZ148" s="1556"/>
      <c r="CA148" s="1024">
        <f ca="1">SUMIFS('3a Staff Plan'!$T$129:$T$305,'3a Staff Plan'!$DY$129:$DY$305,CZ148,'3a Staff Plan'!$DF$129:$DF$305,1)</f>
        <v>0</v>
      </c>
      <c r="CB148" s="1025">
        <f ca="1">SUMIFS('3a Staff Plan'!$T$129:$T$305,'3a Staff Plan'!$DY$129:$DY$305,$CZ148,'3a Staff Plan'!$DF$129:$DF$305,1,'3a Staff Plan'!$C$129:$C$305,DC$18)</f>
        <v>0</v>
      </c>
      <c r="CC148" s="1026">
        <f ca="1">SUMIFS('3a Staff Plan'!$T$129:$T$305,'3a Staff Plan'!$DY$129:$DY$305,$CZ148,'3a Staff Plan'!$DF$129:$DF$305,1,'3a Staff Plan'!$C$129:$C$305,DD$18)</f>
        <v>0</v>
      </c>
      <c r="CD148" s="1026">
        <f ca="1">SUMIFS('3a Staff Plan'!$T$129:$T$305,'3a Staff Plan'!$DY$129:$DY$305,$CZ148,'3a Staff Plan'!$DF$129:$DF$305,1,'3a Staff Plan'!$C$129:$C$305,DE$18)</f>
        <v>0</v>
      </c>
      <c r="CE148" s="1026">
        <f ca="1">SUMIFS('3a Staff Plan'!$T$129:$T$305,'3a Staff Plan'!$DY$129:$DY$305,$CZ148,'3a Staff Plan'!$DF$129:$DF$305,1,'3a Staff Plan'!$C$129:$C$305,DF$18)</f>
        <v>0</v>
      </c>
      <c r="CF148" s="1026">
        <f ca="1">SUMIFS('3a Staff Plan'!$T$129:$T$305,'3a Staff Plan'!$DY$129:$DY$305,$CZ148,'3a Staff Plan'!$DF$129:$DF$305,1,'3a Staff Plan'!$C$129:$C$305,DG$18)</f>
        <v>0</v>
      </c>
      <c r="CG148" s="1026">
        <f ca="1">SUMIFS('3a Staff Plan'!$T$129:$T$305,'3a Staff Plan'!$DY$129:$DY$305,$CZ148,'3a Staff Plan'!$DF$129:$DF$305,1,'3a Staff Plan'!$C$129:$C$305,DH$18)</f>
        <v>0</v>
      </c>
      <c r="CH148" s="1026">
        <f ca="1">SUMIFS('3a Staff Plan'!$T$129:$T$305,'3a Staff Plan'!$DY$129:$DY$305,$CZ148,'3a Staff Plan'!$DF$129:$DF$305,1,'3a Staff Plan'!$C$129:$C$305,DI$18)</f>
        <v>0</v>
      </c>
      <c r="CI148" s="755"/>
      <c r="CJ148" s="1024">
        <f ca="1">SUMPRODUCT('3b Activity Plan'!$AN$173:$AN$365,'3b Activity Plan'!$CY$173:$CY$365,'3b Activity Plan'!$AH$173:$AH$365,OFFSET('3b Activity Plan'!$DJ$173:$DJ$365,0,$CU148-1))</f>
        <v>0</v>
      </c>
      <c r="CK148" s="1025">
        <f t="shared" ca="1" si="93"/>
        <v>0</v>
      </c>
      <c r="CL148" s="1026">
        <f t="shared" ca="1" si="94"/>
        <v>0</v>
      </c>
      <c r="CM148" s="1026">
        <f t="shared" ca="1" si="95"/>
        <v>0</v>
      </c>
      <c r="CN148" s="1026">
        <f t="shared" ca="1" si="96"/>
        <v>0</v>
      </c>
      <c r="CO148" s="1026">
        <f t="shared" ca="1" si="97"/>
        <v>0</v>
      </c>
      <c r="CP148" s="1026">
        <f t="shared" ca="1" si="98"/>
        <v>0</v>
      </c>
      <c r="CQ148" s="1026">
        <f t="shared" ca="1" si="99"/>
        <v>0</v>
      </c>
      <c r="CR148" s="417"/>
      <c r="CS148" s="417">
        <f t="shared" si="100"/>
        <v>16</v>
      </c>
      <c r="CT148" s="417">
        <f ca="1">OFFSET('2 Staff List'!$GU$64,CS148-1,0)</f>
        <v>16</v>
      </c>
      <c r="CU148" s="417">
        <f ca="1">IF(CZ148=0,0,IFERROR(INDEX('3b Activity Plan'!$DJ$20:$FH$20,MATCH(CT148,'3b Activity Plan'!$DJ$171:$FH$171,0)),0))</f>
        <v>0</v>
      </c>
      <c r="CV148" s="417">
        <f ca="1">INDEX('2 Staff List'!$HW$64:$HW$114,CT148)</f>
        <v>0</v>
      </c>
      <c r="CW148" s="417"/>
      <c r="CY148" s="927">
        <f ca="1">OFFSET('2 Staff List'!$HZ$64,CS148-1,0)</f>
        <v>0</v>
      </c>
      <c r="CZ148" s="975">
        <f ca="1">OFFSET('2 Staff List'!$IA$64,CT148-1,0)</f>
        <v>0</v>
      </c>
      <c r="DA148" s="3840">
        <f t="shared" ca="1" si="92"/>
        <v>0</v>
      </c>
      <c r="DB148" s="3841"/>
      <c r="DC148" s="2408">
        <f t="shared" ca="1" si="85"/>
        <v>0</v>
      </c>
      <c r="DD148" s="2405">
        <f t="shared" ca="1" si="86"/>
        <v>0</v>
      </c>
      <c r="DE148" s="2405">
        <f t="shared" ca="1" si="87"/>
        <v>0</v>
      </c>
      <c r="DF148" s="2405">
        <f t="shared" ca="1" si="88"/>
        <v>0</v>
      </c>
      <c r="DG148" s="2405">
        <f t="shared" ca="1" si="89"/>
        <v>0</v>
      </c>
      <c r="DH148" s="2406">
        <f t="shared" ca="1" si="90"/>
        <v>0</v>
      </c>
      <c r="DI148" s="2407">
        <f t="shared" ca="1" si="91"/>
        <v>0</v>
      </c>
    </row>
    <row r="149" spans="1:113" ht="15.9" customHeight="1" x14ac:dyDescent="0.25">
      <c r="A149" s="1051"/>
      <c r="B149" s="1556"/>
      <c r="C149" s="1558">
        <f ca="1">SUMPRODUCT('3b Activity Plan'!$AN$173:$AN$365,OFFSET('3b Activity Plan'!$DJ$173:$DJ$365,0,$CU149-1),'3b Activity Plan'!AO$173:AO$365,'3b Activity Plan'!$AH$173:$AH$365,'3b Activity Plan'!$CY$173:$CY$365,('3b Activity Plan'!$C$173:$C$365=$C$130)*1)</f>
        <v>0</v>
      </c>
      <c r="D149" s="1558">
        <f ca="1">SUMPRODUCT('3b Activity Plan'!$AN$173:$AN$365,OFFSET('3b Activity Plan'!$DJ$173:$DJ$365,0,$CU149-1),'3b Activity Plan'!AP$173:AP$365,'3b Activity Plan'!$AH$173:$AH$365,'3b Activity Plan'!$CY$173:$CY$365,('3b Activity Plan'!$C$173:$C$365=$C$130)*1)</f>
        <v>0</v>
      </c>
      <c r="E149" s="1558">
        <f ca="1">SUMPRODUCT('3b Activity Plan'!$AN$173:$AN$365,OFFSET('3b Activity Plan'!$DJ$173:$DJ$365,0,$CU149-1),'3b Activity Plan'!AQ$173:AQ$365,'3b Activity Plan'!$AH$173:$AH$365,'3b Activity Plan'!$CY$173:$CY$365,('3b Activity Plan'!$C$173:$C$365=$C$130)*1)</f>
        <v>0</v>
      </c>
      <c r="F149" s="1558">
        <f ca="1">SUMPRODUCT('3b Activity Plan'!$AN$173:$AN$365,OFFSET('3b Activity Plan'!$DJ$173:$DJ$365,0,$CU149-1),'3b Activity Plan'!AR$173:AR$365,'3b Activity Plan'!$AH$173:$AH$365,'3b Activity Plan'!$CY$173:$CY$365,('3b Activity Plan'!$C$173:$C$365=$C$130)*1)</f>
        <v>0</v>
      </c>
      <c r="G149" s="1558">
        <f ca="1">SUMPRODUCT('3b Activity Plan'!$AN$173:$AN$365,OFFSET('3b Activity Plan'!$DJ$173:$DJ$365,0,$CU149-1),'3b Activity Plan'!AS$173:AS$365,'3b Activity Plan'!$AH$173:$AH$365,'3b Activity Plan'!$CY$173:$CY$365,('3b Activity Plan'!$C$173:$C$365=$C$130)*1)</f>
        <v>0</v>
      </c>
      <c r="H149" s="1558">
        <f ca="1">SUMPRODUCT('3b Activity Plan'!$AN$173:$AN$365,OFFSET('3b Activity Plan'!$DJ$173:$DJ$365,0,$CU149-1),'3b Activity Plan'!AT$173:AT$365,'3b Activity Plan'!$AH$173:$AH$365,'3b Activity Plan'!$CY$173:$CY$365,('3b Activity Plan'!$C$173:$C$365=$C$130)*1)</f>
        <v>0</v>
      </c>
      <c r="I149" s="1558">
        <f ca="1">SUMPRODUCT('3b Activity Plan'!$AN$173:$AN$365,OFFSET('3b Activity Plan'!$DJ$173:$DJ$365,0,$CU149-1),'3b Activity Plan'!AU$173:AU$365,'3b Activity Plan'!$AH$173:$AH$365,'3b Activity Plan'!$CY$173:$CY$365,('3b Activity Plan'!$C$173:$C$365=$C$130)*1)</f>
        <v>0</v>
      </c>
      <c r="J149" s="1558">
        <f ca="1">SUMPRODUCT('3b Activity Plan'!$AN$173:$AN$365,OFFSET('3b Activity Plan'!$DJ$173:$DJ$365,0,$CU149-1),'3b Activity Plan'!AV$173:AV$365,'3b Activity Plan'!$AH$173:$AH$365,'3b Activity Plan'!$CY$173:$CY$365,('3b Activity Plan'!$C$173:$C$365=$C$130)*1)</f>
        <v>0</v>
      </c>
      <c r="K149" s="1558">
        <f ca="1">SUMPRODUCT('3b Activity Plan'!$AN$173:$AN$365,OFFSET('3b Activity Plan'!$DJ$173:$DJ$365,0,$CU149-1),'3b Activity Plan'!AW$173:AW$365,'3b Activity Plan'!$AH$173:$AH$365,'3b Activity Plan'!$CY$173:$CY$365,('3b Activity Plan'!$C$173:$C$365=$C$130)*1)</f>
        <v>0</v>
      </c>
      <c r="L149" s="1601">
        <f ca="1">SUMPRODUCT('3b Activity Plan'!$AN$173:$AN$365,OFFSET('3b Activity Plan'!$DJ$173:$DJ$365,0,$CU149-1),'3b Activity Plan'!AX$173:AX$365,'3b Activity Plan'!$AH$173:$AH$365,'3b Activity Plan'!$CY$173:$CY$365,('3b Activity Plan'!$C$173:$C$365=$C$130)*1)</f>
        <v>0</v>
      </c>
      <c r="M149" s="1602">
        <f ca="1">SUMPRODUCT('3b Activity Plan'!$AN$173:$AN$365,OFFSET('3b Activity Plan'!$DJ$173:$DJ$365,0,$CU149-1),'3b Activity Plan'!AO$173:AO$365,'3b Activity Plan'!$AH$173:$AH$365,'3b Activity Plan'!$CY$173:$CY$365,('3b Activity Plan'!$C$173:$C$365=$M$130)*1)</f>
        <v>0</v>
      </c>
      <c r="N149" s="1558">
        <f ca="1">SUMPRODUCT('3b Activity Plan'!$AN$173:$AN$365,OFFSET('3b Activity Plan'!$DJ$173:$DJ$365,0,$CU149-1),'3b Activity Plan'!AP$173:AP$365,'3b Activity Plan'!$AH$173:$AH$365,'3b Activity Plan'!$CY$173:$CY$365,('3b Activity Plan'!$C$173:$C$365=$M$130)*1)</f>
        <v>0</v>
      </c>
      <c r="O149" s="1558">
        <f ca="1">SUMPRODUCT('3b Activity Plan'!$AN$173:$AN$365,OFFSET('3b Activity Plan'!$DJ$173:$DJ$365,0,$CU149-1),'3b Activity Plan'!AQ$173:AQ$365,'3b Activity Plan'!$AH$173:$AH$365,'3b Activity Plan'!$CY$173:$CY$365,('3b Activity Plan'!$C$173:$C$365=$M$130)*1)</f>
        <v>0</v>
      </c>
      <c r="P149" s="1558">
        <f ca="1">SUMPRODUCT('3b Activity Plan'!$AN$173:$AN$365,OFFSET('3b Activity Plan'!$DJ$173:$DJ$365,0,$CU149-1),'3b Activity Plan'!AR$173:AR$365,'3b Activity Plan'!$AH$173:$AH$365,'3b Activity Plan'!$CY$173:$CY$365,('3b Activity Plan'!$C$173:$C$365=$M$130)*1)</f>
        <v>0</v>
      </c>
      <c r="Q149" s="1558">
        <f ca="1">SUMPRODUCT('3b Activity Plan'!$AN$173:$AN$365,OFFSET('3b Activity Plan'!$DJ$173:$DJ$365,0,$CU149-1),'3b Activity Plan'!AS$173:AS$365,'3b Activity Plan'!$AH$173:$AH$365,'3b Activity Plan'!$CY$173:$CY$365,('3b Activity Plan'!$C$173:$C$365=$M$130)*1)</f>
        <v>0</v>
      </c>
      <c r="R149" s="1558">
        <f ca="1">SUMPRODUCT('3b Activity Plan'!$AN$173:$AN$365,OFFSET('3b Activity Plan'!$DJ$173:$DJ$365,0,$CU149-1),'3b Activity Plan'!AT$173:AT$365,'3b Activity Plan'!$AH$173:$AH$365,'3b Activity Plan'!$CY$173:$CY$365,('3b Activity Plan'!$C$173:$C$365=$M$130)*1)</f>
        <v>0</v>
      </c>
      <c r="S149" s="1558">
        <f ca="1">SUMPRODUCT('3b Activity Plan'!$AN$173:$AN$365,OFFSET('3b Activity Plan'!$DJ$173:$DJ$365,0,$CU149-1),'3b Activity Plan'!AU$173:AU$365,'3b Activity Plan'!$AH$173:$AH$365,'3b Activity Plan'!$CY$173:$CY$365,('3b Activity Plan'!$C$173:$C$365=$M$130)*1)</f>
        <v>0</v>
      </c>
      <c r="T149" s="1558">
        <f ca="1">SUMPRODUCT('3b Activity Plan'!$AN$173:$AN$365,OFFSET('3b Activity Plan'!$DJ$173:$DJ$365,0,$CU149-1),'3b Activity Plan'!AV$173:AV$365,'3b Activity Plan'!$AH$173:$AH$365,'3b Activity Plan'!$CY$173:$CY$365,('3b Activity Plan'!$C$173:$C$365=$M$130)*1)</f>
        <v>0</v>
      </c>
      <c r="U149" s="1558">
        <f ca="1">SUMPRODUCT('3b Activity Plan'!$AN$173:$AN$365,OFFSET('3b Activity Plan'!$DJ$173:$DJ$365,0,$CU149-1),'3b Activity Plan'!AW$173:AW$365,'3b Activity Plan'!$AH$173:$AH$365,'3b Activity Plan'!$CY$173:$CY$365,('3b Activity Plan'!$C$173:$C$365=$M$130)*1)</f>
        <v>0</v>
      </c>
      <c r="V149" s="1601">
        <f ca="1">SUMPRODUCT('3b Activity Plan'!$AN$173:$AN$365,OFFSET('3b Activity Plan'!$DJ$173:$DJ$365,0,$CU149-1),'3b Activity Plan'!AX$173:AX$365,'3b Activity Plan'!$AH$173:$AH$365,'3b Activity Plan'!$CY$173:$CY$365,('3b Activity Plan'!$C$173:$C$365=$M$130)*1)</f>
        <v>0</v>
      </c>
      <c r="W149" s="1602">
        <f ca="1">SUMPRODUCT('3b Activity Plan'!$AN$173:$AN$365,OFFSET('3b Activity Plan'!$DJ$173:$DJ$365,0,$CU149-1),'3b Activity Plan'!AO$173:AO$365,'3b Activity Plan'!$AH$173:$AH$365,'3b Activity Plan'!$CY$173:$CY$365,('3b Activity Plan'!$C$173:$C$365=$W$130)*1)</f>
        <v>0</v>
      </c>
      <c r="X149" s="1558">
        <f ca="1">SUMPRODUCT('3b Activity Plan'!$AN$173:$AN$365,OFFSET('3b Activity Plan'!$DJ$173:$DJ$365,0,$CU149-1),'3b Activity Plan'!AP$173:AP$365,'3b Activity Plan'!$AH$173:$AH$365,'3b Activity Plan'!$CY$173:$CY$365,('3b Activity Plan'!$C$173:$C$365=$W$130)*1)</f>
        <v>0</v>
      </c>
      <c r="Y149" s="1558">
        <f ca="1">SUMPRODUCT('3b Activity Plan'!$AN$173:$AN$365,OFFSET('3b Activity Plan'!$DJ$173:$DJ$365,0,$CU149-1),'3b Activity Plan'!AQ$173:AQ$365,'3b Activity Plan'!$AH$173:$AH$365,'3b Activity Plan'!$CY$173:$CY$365,('3b Activity Plan'!$C$173:$C$365=$W$130)*1)</f>
        <v>0</v>
      </c>
      <c r="Z149" s="1558">
        <f ca="1">SUMPRODUCT('3b Activity Plan'!$AN$173:$AN$365,OFFSET('3b Activity Plan'!$DJ$173:$DJ$365,0,$CU149-1),'3b Activity Plan'!AR$173:AR$365,'3b Activity Plan'!$AH$173:$AH$365,'3b Activity Plan'!$CY$173:$CY$365,('3b Activity Plan'!$C$173:$C$365=$W$130)*1)</f>
        <v>0</v>
      </c>
      <c r="AA149" s="1558">
        <f ca="1">SUMPRODUCT('3b Activity Plan'!$AN$173:$AN$365,OFFSET('3b Activity Plan'!$DJ$173:$DJ$365,0,$CU149-1),'3b Activity Plan'!AS$173:AS$365,'3b Activity Plan'!$AH$173:$AH$365,'3b Activity Plan'!$CY$173:$CY$365,('3b Activity Plan'!$C$173:$C$365=$W$130)*1)</f>
        <v>0</v>
      </c>
      <c r="AB149" s="1558">
        <f ca="1">SUMPRODUCT('3b Activity Plan'!$AN$173:$AN$365,OFFSET('3b Activity Plan'!$DJ$173:$DJ$365,0,$CU149-1),'3b Activity Plan'!AT$173:AT$365,'3b Activity Plan'!$AH$173:$AH$365,'3b Activity Plan'!$CY$173:$CY$365,('3b Activity Plan'!$C$173:$C$365=$W$130)*1)</f>
        <v>0</v>
      </c>
      <c r="AC149" s="1558">
        <f ca="1">SUMPRODUCT('3b Activity Plan'!$AN$173:$AN$365,OFFSET('3b Activity Plan'!$DJ$173:$DJ$365,0,$CU149-1),'3b Activity Plan'!AU$173:AU$365,'3b Activity Plan'!$AH$173:$AH$365,'3b Activity Plan'!$CY$173:$CY$365,('3b Activity Plan'!$C$173:$C$365=$W$130)*1)</f>
        <v>0</v>
      </c>
      <c r="AD149" s="1558">
        <f ca="1">SUMPRODUCT('3b Activity Plan'!$AN$173:$AN$365,OFFSET('3b Activity Plan'!$DJ$173:$DJ$365,0,$CU149-1),'3b Activity Plan'!AV$173:AV$365,'3b Activity Plan'!$AH$173:$AH$365,'3b Activity Plan'!$CY$173:$CY$365,('3b Activity Plan'!$C$173:$C$365=$W$130)*1)</f>
        <v>0</v>
      </c>
      <c r="AE149" s="1558">
        <f ca="1">SUMPRODUCT('3b Activity Plan'!$AN$173:$AN$365,OFFSET('3b Activity Plan'!$DJ$173:$DJ$365,0,$CU149-1),'3b Activity Plan'!AW$173:AW$365,'3b Activity Plan'!$AH$173:$AH$365,'3b Activity Plan'!$CY$173:$CY$365,('3b Activity Plan'!$C$173:$C$365=$W$130)*1)</f>
        <v>0</v>
      </c>
      <c r="AF149" s="1558">
        <f ca="1">SUMPRODUCT('3b Activity Plan'!$AN$173:$AN$365,OFFSET('3b Activity Plan'!$DJ$173:$DJ$365,0,$CU149-1),'3b Activity Plan'!AX$173:AX$365,'3b Activity Plan'!$AH$173:$AH$365,'3b Activity Plan'!$CY$173:$CY$365,('3b Activity Plan'!$C$173:$C$365=$W$130)*1)</f>
        <v>0</v>
      </c>
      <c r="AG149" s="1602">
        <f ca="1">SUMPRODUCT('3b Activity Plan'!$AN$173:$AN$365,OFFSET('3b Activity Plan'!$DJ$173:$DJ$365,0,$CU149-1),'3b Activity Plan'!AO$173:AO$365,'3b Activity Plan'!$AH$173:$AH$365,'3b Activity Plan'!$CY$173:$CY$365,('3b Activity Plan'!$C$173:$C$365=$AG$130)*1)</f>
        <v>0</v>
      </c>
      <c r="AH149" s="1558">
        <f ca="1">SUMPRODUCT('3b Activity Plan'!$AN$173:$AN$365,OFFSET('3b Activity Plan'!$DJ$173:$DJ$365,0,$CU149-1),'3b Activity Plan'!AP$173:AP$365,'3b Activity Plan'!$AH$173:$AH$365,'3b Activity Plan'!$CY$173:$CY$365,('3b Activity Plan'!$C$173:$C$365=$AG$130)*1)</f>
        <v>0</v>
      </c>
      <c r="AI149" s="1558">
        <f ca="1">SUMPRODUCT('3b Activity Plan'!$AN$173:$AN$365,OFFSET('3b Activity Plan'!$DJ$173:$DJ$365,0,$CU149-1),'3b Activity Plan'!AQ$173:AQ$365,'3b Activity Plan'!$AH$173:$AH$365,'3b Activity Plan'!$CY$173:$CY$365,('3b Activity Plan'!$C$173:$C$365=$AG$130)*1)</f>
        <v>0</v>
      </c>
      <c r="AJ149" s="1558">
        <f ca="1">SUMPRODUCT('3b Activity Plan'!$AN$173:$AN$365,OFFSET('3b Activity Plan'!$DJ$173:$DJ$365,0,$CU149-1),'3b Activity Plan'!AR$173:AR$365,'3b Activity Plan'!$AH$173:$AH$365,'3b Activity Plan'!$CY$173:$CY$365,('3b Activity Plan'!$C$173:$C$365=$AG$130)*1)</f>
        <v>0</v>
      </c>
      <c r="AK149" s="1558">
        <f ca="1">SUMPRODUCT('3b Activity Plan'!$AN$173:$AN$365,OFFSET('3b Activity Plan'!$DJ$173:$DJ$365,0,$CU149-1),'3b Activity Plan'!AS$173:AS$365,'3b Activity Plan'!$AH$173:$AH$365,'3b Activity Plan'!$CY$173:$CY$365,('3b Activity Plan'!$C$173:$C$365=$AG$130)*1)</f>
        <v>0</v>
      </c>
      <c r="AL149" s="1558">
        <f ca="1">SUMPRODUCT('3b Activity Plan'!$AN$173:$AN$365,OFFSET('3b Activity Plan'!$DJ$173:$DJ$365,0,$CU149-1),'3b Activity Plan'!AT$173:AT$365,'3b Activity Plan'!$AH$173:$AH$365,'3b Activity Plan'!$CY$173:$CY$365,('3b Activity Plan'!$C$173:$C$365=$AG$130)*1)</f>
        <v>0</v>
      </c>
      <c r="AM149" s="1558">
        <f ca="1">SUMPRODUCT('3b Activity Plan'!$AN$173:$AN$365,OFFSET('3b Activity Plan'!$DJ$173:$DJ$365,0,$CU149-1),'3b Activity Plan'!AU$173:AU$365,'3b Activity Plan'!$AH$173:$AH$365,'3b Activity Plan'!$CY$173:$CY$365,('3b Activity Plan'!$C$173:$C$365=$AG$130)*1)</f>
        <v>0</v>
      </c>
      <c r="AN149" s="1558">
        <f ca="1">SUMPRODUCT('3b Activity Plan'!$AN$173:$AN$365,OFFSET('3b Activity Plan'!$DJ$173:$DJ$365,0,$CU149-1),'3b Activity Plan'!AV$173:AV$365,'3b Activity Plan'!$AH$173:$AH$365,'3b Activity Plan'!$CY$173:$CY$365,('3b Activity Plan'!$C$173:$C$365=$AG$130)*1)</f>
        <v>0</v>
      </c>
      <c r="AO149" s="1558">
        <f ca="1">SUMPRODUCT('3b Activity Plan'!$AN$173:$AN$365,OFFSET('3b Activity Plan'!$DJ$173:$DJ$365,0,$CU149-1),'3b Activity Plan'!AW$173:AW$365,'3b Activity Plan'!$AH$173:$AH$365,'3b Activity Plan'!$CY$173:$CY$365,('3b Activity Plan'!$C$173:$C$365=$AG$130)*1)</f>
        <v>0</v>
      </c>
      <c r="AP149" s="1558">
        <f ca="1">SUMPRODUCT('3b Activity Plan'!$AN$173:$AN$365,OFFSET('3b Activity Plan'!$DJ$173:$DJ$365,0,$CU149-1),'3b Activity Plan'!AX$173:AX$365,'3b Activity Plan'!$AH$173:$AH$365,'3b Activity Plan'!$CY$173:$CY$365,('3b Activity Plan'!$C$173:$C$365=$AG$130)*1)</f>
        <v>0</v>
      </c>
      <c r="AQ149" s="1602">
        <f ca="1">SUMPRODUCT('3b Activity Plan'!$AN$173:$AN$365,OFFSET('3b Activity Plan'!$DJ$173:$DJ$365,0,$CU149-1),'3b Activity Plan'!AO$173:AO$365,'3b Activity Plan'!$AH$173:$AH$365,'3b Activity Plan'!$CY$173:$CY$365,('3b Activity Plan'!$C$173:$C$365=$AQ$130)*1)</f>
        <v>0</v>
      </c>
      <c r="AR149" s="1558">
        <f ca="1">SUMPRODUCT('3b Activity Plan'!$AN$173:$AN$365,OFFSET('3b Activity Plan'!$DJ$173:$DJ$365,0,$CU149-1),'3b Activity Plan'!AP$173:AP$365,'3b Activity Plan'!$AH$173:$AH$365,'3b Activity Plan'!$CY$173:$CY$365,('3b Activity Plan'!$C$173:$C$365=$AQ$130)*1)</f>
        <v>0</v>
      </c>
      <c r="AS149" s="1558">
        <f ca="1">SUMPRODUCT('3b Activity Plan'!$AN$173:$AN$365,OFFSET('3b Activity Plan'!$DJ$173:$DJ$365,0,$CU149-1),'3b Activity Plan'!AQ$173:AQ$365,'3b Activity Plan'!$AH$173:$AH$365,'3b Activity Plan'!$CY$173:$CY$365,('3b Activity Plan'!$C$173:$C$365=$AQ$130)*1)</f>
        <v>0</v>
      </c>
      <c r="AT149" s="1558">
        <f ca="1">SUMPRODUCT('3b Activity Plan'!$AN$173:$AN$365,OFFSET('3b Activity Plan'!$DJ$173:$DJ$365,0,$CU149-1),'3b Activity Plan'!AR$173:AR$365,'3b Activity Plan'!$AH$173:$AH$365,'3b Activity Plan'!$CY$173:$CY$365,('3b Activity Plan'!$C$173:$C$365=$AQ$130)*1)</f>
        <v>0</v>
      </c>
      <c r="AU149" s="1558">
        <f ca="1">SUMPRODUCT('3b Activity Plan'!$AN$173:$AN$365,OFFSET('3b Activity Plan'!$DJ$173:$DJ$365,0,$CU149-1),'3b Activity Plan'!AS$173:AS$365,'3b Activity Plan'!$AH$173:$AH$365,'3b Activity Plan'!$CY$173:$CY$365,('3b Activity Plan'!$C$173:$C$365=$AQ$130)*1)</f>
        <v>0</v>
      </c>
      <c r="AV149" s="1558">
        <f ca="1">SUMPRODUCT('3b Activity Plan'!$AN$173:$AN$365,OFFSET('3b Activity Plan'!$DJ$173:$DJ$365,0,$CU149-1),'3b Activity Plan'!AT$173:AT$365,'3b Activity Plan'!$AH$173:$AH$365,'3b Activity Plan'!$CY$173:$CY$365,('3b Activity Plan'!$C$173:$C$365=$AQ$130)*1)</f>
        <v>0</v>
      </c>
      <c r="AW149" s="1558">
        <f ca="1">SUMPRODUCT('3b Activity Plan'!$AN$173:$AN$365,OFFSET('3b Activity Plan'!$DJ$173:$DJ$365,0,$CU149-1),'3b Activity Plan'!AU$173:AU$365,'3b Activity Plan'!$AH$173:$AH$365,'3b Activity Plan'!$CY$173:$CY$365,('3b Activity Plan'!$C$173:$C$365=$AQ$130)*1)</f>
        <v>0</v>
      </c>
      <c r="AX149" s="1558">
        <f ca="1">SUMPRODUCT('3b Activity Plan'!$AN$173:$AN$365,OFFSET('3b Activity Plan'!$DJ$173:$DJ$365,0,$CU149-1),'3b Activity Plan'!AV$173:AV$365,'3b Activity Plan'!$AH$173:$AH$365,'3b Activity Plan'!$CY$173:$CY$365,('3b Activity Plan'!$C$173:$C$365=$AQ$130)*1)</f>
        <v>0</v>
      </c>
      <c r="AY149" s="1558">
        <f ca="1">SUMPRODUCT('3b Activity Plan'!$AN$173:$AN$365,OFFSET('3b Activity Plan'!$DJ$173:$DJ$365,0,$CU149-1),'3b Activity Plan'!AW$173:AW$365,'3b Activity Plan'!$AH$173:$AH$365,'3b Activity Plan'!$CY$173:$CY$365,('3b Activity Plan'!$C$173:$C$365=$AQ$130)*1)</f>
        <v>0</v>
      </c>
      <c r="AZ149" s="1558">
        <f ca="1">SUMPRODUCT('3b Activity Plan'!$AN$173:$AN$365,OFFSET('3b Activity Plan'!$DJ$173:$DJ$365,0,$CU149-1),'3b Activity Plan'!AX$173:AX$365,'3b Activity Plan'!$AH$173:$AH$365,'3b Activity Plan'!$CY$173:$CY$365,('3b Activity Plan'!$C$173:$C$365=$AQ$130)*1)</f>
        <v>0</v>
      </c>
      <c r="BA149" s="1602">
        <f ca="1">SUMPRODUCT('3b Activity Plan'!$AN$173:$AN$365,OFFSET('3b Activity Plan'!$DJ$173:$DJ$365,0,$CU149-1),'3b Activity Plan'!AO$173:AO$365,'3b Activity Plan'!$AH$173:$AH$365,'3b Activity Plan'!$CY$173:$CY$365,('3b Activity Plan'!$C$173:$C$365=$BA$130)*1)</f>
        <v>0</v>
      </c>
      <c r="BB149" s="1558">
        <f ca="1">SUMPRODUCT('3b Activity Plan'!$AN$173:$AN$365,OFFSET('3b Activity Plan'!$DJ$173:$DJ$365,0,$CU149-1),'3b Activity Plan'!AP$173:AP$365,'3b Activity Plan'!$AH$173:$AH$365,'3b Activity Plan'!$CY$173:$CY$365,('3b Activity Plan'!$C$173:$C$365=$BA$130)*1)</f>
        <v>0</v>
      </c>
      <c r="BC149" s="1558">
        <f ca="1">SUMPRODUCT('3b Activity Plan'!$AN$173:$AN$365,OFFSET('3b Activity Plan'!$DJ$173:$DJ$365,0,$CU149-1),'3b Activity Plan'!AQ$173:AQ$365,'3b Activity Plan'!$AH$173:$AH$365,'3b Activity Plan'!$CY$173:$CY$365,('3b Activity Plan'!$C$173:$C$365=$BA$130)*1)</f>
        <v>0</v>
      </c>
      <c r="BD149" s="1558">
        <f ca="1">SUMPRODUCT('3b Activity Plan'!$AN$173:$AN$365,OFFSET('3b Activity Plan'!$DJ$173:$DJ$365,0,$CU149-1),'3b Activity Plan'!AR$173:AR$365,'3b Activity Plan'!$AH$173:$AH$365,'3b Activity Plan'!$CY$173:$CY$365,('3b Activity Plan'!$C$173:$C$365=$BA$130)*1)</f>
        <v>0</v>
      </c>
      <c r="BE149" s="1558">
        <f ca="1">SUMPRODUCT('3b Activity Plan'!$AN$173:$AN$365,OFFSET('3b Activity Plan'!$DJ$173:$DJ$365,0,$CU149-1),'3b Activity Plan'!AS$173:AS$365,'3b Activity Plan'!$AH$173:$AH$365,'3b Activity Plan'!$CY$173:$CY$365,('3b Activity Plan'!$C$173:$C$365=$BA$130)*1)</f>
        <v>0</v>
      </c>
      <c r="BF149" s="1558">
        <f ca="1">SUMPRODUCT('3b Activity Plan'!$AN$173:$AN$365,OFFSET('3b Activity Plan'!$DJ$173:$DJ$365,0,$CU149-1),'3b Activity Plan'!AT$173:AT$365,'3b Activity Plan'!$AH$173:$AH$365,'3b Activity Plan'!$CY$173:$CY$365,('3b Activity Plan'!$C$173:$C$365=$BA$130)*1)</f>
        <v>0</v>
      </c>
      <c r="BG149" s="1558">
        <f ca="1">SUMPRODUCT('3b Activity Plan'!$AN$173:$AN$365,OFFSET('3b Activity Plan'!$DJ$173:$DJ$365,0,$CU149-1),'3b Activity Plan'!AU$173:AU$365,'3b Activity Plan'!$AH$173:$AH$365,'3b Activity Plan'!$CY$173:$CY$365,('3b Activity Plan'!$C$173:$C$365=$BA$130)*1)</f>
        <v>0</v>
      </c>
      <c r="BH149" s="1558">
        <f ca="1">SUMPRODUCT('3b Activity Plan'!$AN$173:$AN$365,OFFSET('3b Activity Plan'!$DJ$173:$DJ$365,0,$CU149-1),'3b Activity Plan'!AV$173:AV$365,'3b Activity Plan'!$AH$173:$AH$365,'3b Activity Plan'!$CY$173:$CY$365,('3b Activity Plan'!$C$173:$C$365=$BA$130)*1)</f>
        <v>0</v>
      </c>
      <c r="BI149" s="1558">
        <f ca="1">SUMPRODUCT('3b Activity Plan'!$AN$173:$AN$365,OFFSET('3b Activity Plan'!$DJ$173:$DJ$365,0,$CU149-1),'3b Activity Plan'!AW$173:AW$365,'3b Activity Plan'!$AH$173:$AH$365,'3b Activity Plan'!$CY$173:$CY$365,('3b Activity Plan'!$C$173:$C$365=$BA$130)*1)</f>
        <v>0</v>
      </c>
      <c r="BJ149" s="1558">
        <f ca="1">SUMPRODUCT('3b Activity Plan'!$AN$173:$AN$365,OFFSET('3b Activity Plan'!$DJ$173:$DJ$365,0,$CU149-1),'3b Activity Plan'!AX$173:AX$365,'3b Activity Plan'!$AH$173:$AH$365,'3b Activity Plan'!$CY$173:$CY$365,('3b Activity Plan'!$C$173:$C$365=$BA$130)*1)</f>
        <v>0</v>
      </c>
      <c r="BK149" s="1602">
        <f ca="1">SUMPRODUCT('3b Activity Plan'!$AN$173:$AN$365,OFFSET('3b Activity Plan'!$DJ$173:$DJ$365,0,$CU149-1),'3b Activity Plan'!AO$173:AO$365,'3b Activity Plan'!$AH$173:$AH$365,'3b Activity Plan'!$CY$173:$CY$365,('3b Activity Plan'!$C$173:$C$365=$BK$130)*1)</f>
        <v>0</v>
      </c>
      <c r="BL149" s="1558">
        <f ca="1">SUMPRODUCT('3b Activity Plan'!$AN$173:$AN$365,OFFSET('3b Activity Plan'!$DJ$173:$DJ$365,0,$CU149-1),'3b Activity Plan'!AP$173:AP$365,'3b Activity Plan'!$AH$173:$AH$365,'3b Activity Plan'!$CY$173:$CY$365,('3b Activity Plan'!$C$173:$C$365=$BK$130)*1)</f>
        <v>0</v>
      </c>
      <c r="BM149" s="1558">
        <f ca="1">SUMPRODUCT('3b Activity Plan'!$AN$173:$AN$365,OFFSET('3b Activity Plan'!$DJ$173:$DJ$365,0,$CU149-1),'3b Activity Plan'!AQ$173:AQ$365,'3b Activity Plan'!$AH$173:$AH$365,'3b Activity Plan'!$CY$173:$CY$365,('3b Activity Plan'!$C$173:$C$365=$BK$130)*1)</f>
        <v>0</v>
      </c>
      <c r="BN149" s="1558">
        <f ca="1">SUMPRODUCT('3b Activity Plan'!$AN$173:$AN$365,OFFSET('3b Activity Plan'!$DJ$173:$DJ$365,0,$CU149-1),'3b Activity Plan'!AR$173:AR$365,'3b Activity Plan'!$AH$173:$AH$365,'3b Activity Plan'!$CY$173:$CY$365,('3b Activity Plan'!$C$173:$C$365=$BK$130)*1)</f>
        <v>0</v>
      </c>
      <c r="BO149" s="1558">
        <f ca="1">SUMPRODUCT('3b Activity Plan'!$AN$173:$AN$365,OFFSET('3b Activity Plan'!$DJ$173:$DJ$365,0,$CU149-1),'3b Activity Plan'!AS$173:AS$365,'3b Activity Plan'!$AH$173:$AH$365,'3b Activity Plan'!$CY$173:$CY$365,('3b Activity Plan'!$C$173:$C$365=$BK$130)*1)</f>
        <v>0</v>
      </c>
      <c r="BP149" s="1558">
        <f ca="1">SUMPRODUCT('3b Activity Plan'!$AN$173:$AN$365,OFFSET('3b Activity Plan'!$DJ$173:$DJ$365,0,$CU149-1),'3b Activity Plan'!AT$173:AT$365,'3b Activity Plan'!$AH$173:$AH$365,'3b Activity Plan'!$CY$173:$CY$365,('3b Activity Plan'!$C$173:$C$365=$BK$130)*1)</f>
        <v>0</v>
      </c>
      <c r="BQ149" s="1558">
        <f ca="1">SUMPRODUCT('3b Activity Plan'!$AN$173:$AN$365,OFFSET('3b Activity Plan'!$DJ$173:$DJ$365,0,$CU149-1),'3b Activity Plan'!AU$173:AU$365,'3b Activity Plan'!$AH$173:$AH$365,'3b Activity Plan'!$CY$173:$CY$365,('3b Activity Plan'!$C$173:$C$365=$BK$130)*1)</f>
        <v>0</v>
      </c>
      <c r="BR149" s="1558">
        <f ca="1">SUMPRODUCT('3b Activity Plan'!$AN$173:$AN$365,OFFSET('3b Activity Plan'!$DJ$173:$DJ$365,0,$CU149-1),'3b Activity Plan'!AV$173:AV$365,'3b Activity Plan'!$AH$173:$AH$365,'3b Activity Plan'!$CY$173:$CY$365,('3b Activity Plan'!$C$173:$C$365=$BK$130)*1)</f>
        <v>0</v>
      </c>
      <c r="BS149" s="1558">
        <f ca="1">SUMPRODUCT('3b Activity Plan'!$AN$173:$AN$365,OFFSET('3b Activity Plan'!$DJ$173:$DJ$365,0,$CU149-1),'3b Activity Plan'!AW$173:AW$365,'3b Activity Plan'!$AH$173:$AH$365,'3b Activity Plan'!$CY$173:$CY$365,('3b Activity Plan'!$C$173:$C$365=$BK$130)*1)</f>
        <v>0</v>
      </c>
      <c r="BT149" s="1558">
        <f ca="1">SUMPRODUCT('3b Activity Plan'!$AN$173:$AN$365,OFFSET('3b Activity Plan'!$DJ$173:$DJ$365,0,$CU149-1),'3b Activity Plan'!AX$173:AX$365,'3b Activity Plan'!$AH$173:$AH$365,'3b Activity Plan'!$CY$173:$CY$365,('3b Activity Plan'!$C$173:$C$365=$BK$130)*1)</f>
        <v>0</v>
      </c>
      <c r="BU149" s="1587"/>
      <c r="BV149" s="1587"/>
      <c r="BW149" s="1587"/>
      <c r="BX149" s="1556"/>
      <c r="BY149" s="1556"/>
      <c r="BZ149" s="1556"/>
      <c r="CA149" s="1024">
        <f ca="1">SUMIFS('3a Staff Plan'!$T$129:$T$305,'3a Staff Plan'!$DY$129:$DY$305,CZ149,'3a Staff Plan'!$DF$129:$DF$305,1)</f>
        <v>0</v>
      </c>
      <c r="CB149" s="1025">
        <f ca="1">SUMIFS('3a Staff Plan'!$T$129:$T$305,'3a Staff Plan'!$DY$129:$DY$305,$CZ149,'3a Staff Plan'!$DF$129:$DF$305,1,'3a Staff Plan'!$C$129:$C$305,DC$18)</f>
        <v>0</v>
      </c>
      <c r="CC149" s="1026">
        <f ca="1">SUMIFS('3a Staff Plan'!$T$129:$T$305,'3a Staff Plan'!$DY$129:$DY$305,$CZ149,'3a Staff Plan'!$DF$129:$DF$305,1,'3a Staff Plan'!$C$129:$C$305,DD$18)</f>
        <v>0</v>
      </c>
      <c r="CD149" s="1026">
        <f ca="1">SUMIFS('3a Staff Plan'!$T$129:$T$305,'3a Staff Plan'!$DY$129:$DY$305,$CZ149,'3a Staff Plan'!$DF$129:$DF$305,1,'3a Staff Plan'!$C$129:$C$305,DE$18)</f>
        <v>0</v>
      </c>
      <c r="CE149" s="1026">
        <f ca="1">SUMIFS('3a Staff Plan'!$T$129:$T$305,'3a Staff Plan'!$DY$129:$DY$305,$CZ149,'3a Staff Plan'!$DF$129:$DF$305,1,'3a Staff Plan'!$C$129:$C$305,DF$18)</f>
        <v>0</v>
      </c>
      <c r="CF149" s="1026">
        <f ca="1">SUMIFS('3a Staff Plan'!$T$129:$T$305,'3a Staff Plan'!$DY$129:$DY$305,$CZ149,'3a Staff Plan'!$DF$129:$DF$305,1,'3a Staff Plan'!$C$129:$C$305,DG$18)</f>
        <v>0</v>
      </c>
      <c r="CG149" s="1026">
        <f ca="1">SUMIFS('3a Staff Plan'!$T$129:$T$305,'3a Staff Plan'!$DY$129:$DY$305,$CZ149,'3a Staff Plan'!$DF$129:$DF$305,1,'3a Staff Plan'!$C$129:$C$305,DH$18)</f>
        <v>0</v>
      </c>
      <c r="CH149" s="1026">
        <f ca="1">SUMIFS('3a Staff Plan'!$T$129:$T$305,'3a Staff Plan'!$DY$129:$DY$305,$CZ149,'3a Staff Plan'!$DF$129:$DF$305,1,'3a Staff Plan'!$C$129:$C$305,DI$18)</f>
        <v>0</v>
      </c>
      <c r="CI149" s="755"/>
      <c r="CJ149" s="1024">
        <f ca="1">SUMPRODUCT('3b Activity Plan'!$AN$173:$AN$365,'3b Activity Plan'!$CY$173:$CY$365,'3b Activity Plan'!$AH$173:$AH$365,OFFSET('3b Activity Plan'!$DJ$173:$DJ$365,0,$CU149-1))</f>
        <v>0</v>
      </c>
      <c r="CK149" s="1025">
        <f t="shared" ca="1" si="93"/>
        <v>0</v>
      </c>
      <c r="CL149" s="1026">
        <f t="shared" ca="1" si="94"/>
        <v>0</v>
      </c>
      <c r="CM149" s="1026">
        <f t="shared" ca="1" si="95"/>
        <v>0</v>
      </c>
      <c r="CN149" s="1026">
        <f t="shared" ca="1" si="96"/>
        <v>0</v>
      </c>
      <c r="CO149" s="1026">
        <f t="shared" ca="1" si="97"/>
        <v>0</v>
      </c>
      <c r="CP149" s="1026">
        <f t="shared" ca="1" si="98"/>
        <v>0</v>
      </c>
      <c r="CQ149" s="1026">
        <f t="shared" ca="1" si="99"/>
        <v>0</v>
      </c>
      <c r="CR149" s="417"/>
      <c r="CS149" s="417">
        <f t="shared" si="100"/>
        <v>17</v>
      </c>
      <c r="CT149" s="417">
        <f ca="1">OFFSET('2 Staff List'!$GU$64,CS149-1,0)</f>
        <v>17</v>
      </c>
      <c r="CU149" s="417">
        <f ca="1">IF(CZ149=0,0,IFERROR(INDEX('3b Activity Plan'!$DJ$20:$FH$20,MATCH(CT149,'3b Activity Plan'!$DJ$171:$FH$171,0)),0))</f>
        <v>0</v>
      </c>
      <c r="CV149" s="417">
        <f ca="1">INDEX('2 Staff List'!$HW$64:$HW$114,CT149)</f>
        <v>0</v>
      </c>
      <c r="CW149" s="417"/>
      <c r="CY149" s="927">
        <f ca="1">OFFSET('2 Staff List'!$HZ$64,CS149-1,0)</f>
        <v>0</v>
      </c>
      <c r="CZ149" s="975">
        <f ca="1">OFFSET('2 Staff List'!$IA$64,CT149-1,0)</f>
        <v>0</v>
      </c>
      <c r="DA149" s="3840">
        <f t="shared" ca="1" si="92"/>
        <v>0</v>
      </c>
      <c r="DB149" s="3841"/>
      <c r="DC149" s="2408">
        <f t="shared" ca="1" si="85"/>
        <v>0</v>
      </c>
      <c r="DD149" s="2405">
        <f t="shared" ca="1" si="86"/>
        <v>0</v>
      </c>
      <c r="DE149" s="2405">
        <f t="shared" ca="1" si="87"/>
        <v>0</v>
      </c>
      <c r="DF149" s="2405">
        <f t="shared" ca="1" si="88"/>
        <v>0</v>
      </c>
      <c r="DG149" s="2405">
        <f t="shared" ca="1" si="89"/>
        <v>0</v>
      </c>
      <c r="DH149" s="2406">
        <f t="shared" ca="1" si="90"/>
        <v>0</v>
      </c>
      <c r="DI149" s="2407">
        <f t="shared" ca="1" si="91"/>
        <v>0</v>
      </c>
    </row>
    <row r="150" spans="1:113" ht="15.9" customHeight="1" x14ac:dyDescent="0.25">
      <c r="A150" s="1051"/>
      <c r="B150" s="1556"/>
      <c r="C150" s="1558">
        <f ca="1">SUMPRODUCT('3b Activity Plan'!$AN$173:$AN$365,OFFSET('3b Activity Plan'!$DJ$173:$DJ$365,0,$CU150-1),'3b Activity Plan'!AO$173:AO$365,'3b Activity Plan'!$AH$173:$AH$365,'3b Activity Plan'!$CY$173:$CY$365,('3b Activity Plan'!$C$173:$C$365=$C$130)*1)</f>
        <v>0</v>
      </c>
      <c r="D150" s="1558">
        <f ca="1">SUMPRODUCT('3b Activity Plan'!$AN$173:$AN$365,OFFSET('3b Activity Plan'!$DJ$173:$DJ$365,0,$CU150-1),'3b Activity Plan'!AP$173:AP$365,'3b Activity Plan'!$AH$173:$AH$365,'3b Activity Plan'!$CY$173:$CY$365,('3b Activity Plan'!$C$173:$C$365=$C$130)*1)</f>
        <v>0</v>
      </c>
      <c r="E150" s="1558">
        <f ca="1">SUMPRODUCT('3b Activity Plan'!$AN$173:$AN$365,OFFSET('3b Activity Plan'!$DJ$173:$DJ$365,0,$CU150-1),'3b Activity Plan'!AQ$173:AQ$365,'3b Activity Plan'!$AH$173:$AH$365,'3b Activity Plan'!$CY$173:$CY$365,('3b Activity Plan'!$C$173:$C$365=$C$130)*1)</f>
        <v>0</v>
      </c>
      <c r="F150" s="1558">
        <f ca="1">SUMPRODUCT('3b Activity Plan'!$AN$173:$AN$365,OFFSET('3b Activity Plan'!$DJ$173:$DJ$365,0,$CU150-1),'3b Activity Plan'!AR$173:AR$365,'3b Activity Plan'!$AH$173:$AH$365,'3b Activity Plan'!$CY$173:$CY$365,('3b Activity Plan'!$C$173:$C$365=$C$130)*1)</f>
        <v>0</v>
      </c>
      <c r="G150" s="1558">
        <f ca="1">SUMPRODUCT('3b Activity Plan'!$AN$173:$AN$365,OFFSET('3b Activity Plan'!$DJ$173:$DJ$365,0,$CU150-1),'3b Activity Plan'!AS$173:AS$365,'3b Activity Plan'!$AH$173:$AH$365,'3b Activity Plan'!$CY$173:$CY$365,('3b Activity Plan'!$C$173:$C$365=$C$130)*1)</f>
        <v>0</v>
      </c>
      <c r="H150" s="1558">
        <f ca="1">SUMPRODUCT('3b Activity Plan'!$AN$173:$AN$365,OFFSET('3b Activity Plan'!$DJ$173:$DJ$365,0,$CU150-1),'3b Activity Plan'!AT$173:AT$365,'3b Activity Plan'!$AH$173:$AH$365,'3b Activity Plan'!$CY$173:$CY$365,('3b Activity Plan'!$C$173:$C$365=$C$130)*1)</f>
        <v>0</v>
      </c>
      <c r="I150" s="1558">
        <f ca="1">SUMPRODUCT('3b Activity Plan'!$AN$173:$AN$365,OFFSET('3b Activity Plan'!$DJ$173:$DJ$365,0,$CU150-1),'3b Activity Plan'!AU$173:AU$365,'3b Activity Plan'!$AH$173:$AH$365,'3b Activity Plan'!$CY$173:$CY$365,('3b Activity Plan'!$C$173:$C$365=$C$130)*1)</f>
        <v>0</v>
      </c>
      <c r="J150" s="1558">
        <f ca="1">SUMPRODUCT('3b Activity Plan'!$AN$173:$AN$365,OFFSET('3b Activity Plan'!$DJ$173:$DJ$365,0,$CU150-1),'3b Activity Plan'!AV$173:AV$365,'3b Activity Plan'!$AH$173:$AH$365,'3b Activity Plan'!$CY$173:$CY$365,('3b Activity Plan'!$C$173:$C$365=$C$130)*1)</f>
        <v>0</v>
      </c>
      <c r="K150" s="1558">
        <f ca="1">SUMPRODUCT('3b Activity Plan'!$AN$173:$AN$365,OFFSET('3b Activity Plan'!$DJ$173:$DJ$365,0,$CU150-1),'3b Activity Plan'!AW$173:AW$365,'3b Activity Plan'!$AH$173:$AH$365,'3b Activity Plan'!$CY$173:$CY$365,('3b Activity Plan'!$C$173:$C$365=$C$130)*1)</f>
        <v>0</v>
      </c>
      <c r="L150" s="1601">
        <f ca="1">SUMPRODUCT('3b Activity Plan'!$AN$173:$AN$365,OFFSET('3b Activity Plan'!$DJ$173:$DJ$365,0,$CU150-1),'3b Activity Plan'!AX$173:AX$365,'3b Activity Plan'!$AH$173:$AH$365,'3b Activity Plan'!$CY$173:$CY$365,('3b Activity Plan'!$C$173:$C$365=$C$130)*1)</f>
        <v>0</v>
      </c>
      <c r="M150" s="1602">
        <f ca="1">SUMPRODUCT('3b Activity Plan'!$AN$173:$AN$365,OFFSET('3b Activity Plan'!$DJ$173:$DJ$365,0,$CU150-1),'3b Activity Plan'!AO$173:AO$365,'3b Activity Plan'!$AH$173:$AH$365,'3b Activity Plan'!$CY$173:$CY$365,('3b Activity Plan'!$C$173:$C$365=$M$130)*1)</f>
        <v>0</v>
      </c>
      <c r="N150" s="1558">
        <f ca="1">SUMPRODUCT('3b Activity Plan'!$AN$173:$AN$365,OFFSET('3b Activity Plan'!$DJ$173:$DJ$365,0,$CU150-1),'3b Activity Plan'!AP$173:AP$365,'3b Activity Plan'!$AH$173:$AH$365,'3b Activity Plan'!$CY$173:$CY$365,('3b Activity Plan'!$C$173:$C$365=$M$130)*1)</f>
        <v>0</v>
      </c>
      <c r="O150" s="1558">
        <f ca="1">SUMPRODUCT('3b Activity Plan'!$AN$173:$AN$365,OFFSET('3b Activity Plan'!$DJ$173:$DJ$365,0,$CU150-1),'3b Activity Plan'!AQ$173:AQ$365,'3b Activity Plan'!$AH$173:$AH$365,'3b Activity Plan'!$CY$173:$CY$365,('3b Activity Plan'!$C$173:$C$365=$M$130)*1)</f>
        <v>0</v>
      </c>
      <c r="P150" s="1558">
        <f ca="1">SUMPRODUCT('3b Activity Plan'!$AN$173:$AN$365,OFFSET('3b Activity Plan'!$DJ$173:$DJ$365,0,$CU150-1),'3b Activity Plan'!AR$173:AR$365,'3b Activity Plan'!$AH$173:$AH$365,'3b Activity Plan'!$CY$173:$CY$365,('3b Activity Plan'!$C$173:$C$365=$M$130)*1)</f>
        <v>0</v>
      </c>
      <c r="Q150" s="1558">
        <f ca="1">SUMPRODUCT('3b Activity Plan'!$AN$173:$AN$365,OFFSET('3b Activity Plan'!$DJ$173:$DJ$365,0,$CU150-1),'3b Activity Plan'!AS$173:AS$365,'3b Activity Plan'!$AH$173:$AH$365,'3b Activity Plan'!$CY$173:$CY$365,('3b Activity Plan'!$C$173:$C$365=$M$130)*1)</f>
        <v>0</v>
      </c>
      <c r="R150" s="1558">
        <f ca="1">SUMPRODUCT('3b Activity Plan'!$AN$173:$AN$365,OFFSET('3b Activity Plan'!$DJ$173:$DJ$365,0,$CU150-1),'3b Activity Plan'!AT$173:AT$365,'3b Activity Plan'!$AH$173:$AH$365,'3b Activity Plan'!$CY$173:$CY$365,('3b Activity Plan'!$C$173:$C$365=$M$130)*1)</f>
        <v>0</v>
      </c>
      <c r="S150" s="1558">
        <f ca="1">SUMPRODUCT('3b Activity Plan'!$AN$173:$AN$365,OFFSET('3b Activity Plan'!$DJ$173:$DJ$365,0,$CU150-1),'3b Activity Plan'!AU$173:AU$365,'3b Activity Plan'!$AH$173:$AH$365,'3b Activity Plan'!$CY$173:$CY$365,('3b Activity Plan'!$C$173:$C$365=$M$130)*1)</f>
        <v>0</v>
      </c>
      <c r="T150" s="1558">
        <f ca="1">SUMPRODUCT('3b Activity Plan'!$AN$173:$AN$365,OFFSET('3b Activity Plan'!$DJ$173:$DJ$365,0,$CU150-1),'3b Activity Plan'!AV$173:AV$365,'3b Activity Plan'!$AH$173:$AH$365,'3b Activity Plan'!$CY$173:$CY$365,('3b Activity Plan'!$C$173:$C$365=$M$130)*1)</f>
        <v>0</v>
      </c>
      <c r="U150" s="1558">
        <f ca="1">SUMPRODUCT('3b Activity Plan'!$AN$173:$AN$365,OFFSET('3b Activity Plan'!$DJ$173:$DJ$365,0,$CU150-1),'3b Activity Plan'!AW$173:AW$365,'3b Activity Plan'!$AH$173:$AH$365,'3b Activity Plan'!$CY$173:$CY$365,('3b Activity Plan'!$C$173:$C$365=$M$130)*1)</f>
        <v>0</v>
      </c>
      <c r="V150" s="1601">
        <f ca="1">SUMPRODUCT('3b Activity Plan'!$AN$173:$AN$365,OFFSET('3b Activity Plan'!$DJ$173:$DJ$365,0,$CU150-1),'3b Activity Plan'!AX$173:AX$365,'3b Activity Plan'!$AH$173:$AH$365,'3b Activity Plan'!$CY$173:$CY$365,('3b Activity Plan'!$C$173:$C$365=$M$130)*1)</f>
        <v>0</v>
      </c>
      <c r="W150" s="1602">
        <f ca="1">SUMPRODUCT('3b Activity Plan'!$AN$173:$AN$365,OFFSET('3b Activity Plan'!$DJ$173:$DJ$365,0,$CU150-1),'3b Activity Plan'!AO$173:AO$365,'3b Activity Plan'!$AH$173:$AH$365,'3b Activity Plan'!$CY$173:$CY$365,('3b Activity Plan'!$C$173:$C$365=$W$130)*1)</f>
        <v>0</v>
      </c>
      <c r="X150" s="1558">
        <f ca="1">SUMPRODUCT('3b Activity Plan'!$AN$173:$AN$365,OFFSET('3b Activity Plan'!$DJ$173:$DJ$365,0,$CU150-1),'3b Activity Plan'!AP$173:AP$365,'3b Activity Plan'!$AH$173:$AH$365,'3b Activity Plan'!$CY$173:$CY$365,('3b Activity Plan'!$C$173:$C$365=$W$130)*1)</f>
        <v>0</v>
      </c>
      <c r="Y150" s="1558">
        <f ca="1">SUMPRODUCT('3b Activity Plan'!$AN$173:$AN$365,OFFSET('3b Activity Plan'!$DJ$173:$DJ$365,0,$CU150-1),'3b Activity Plan'!AQ$173:AQ$365,'3b Activity Plan'!$AH$173:$AH$365,'3b Activity Plan'!$CY$173:$CY$365,('3b Activity Plan'!$C$173:$C$365=$W$130)*1)</f>
        <v>0</v>
      </c>
      <c r="Z150" s="1558">
        <f ca="1">SUMPRODUCT('3b Activity Plan'!$AN$173:$AN$365,OFFSET('3b Activity Plan'!$DJ$173:$DJ$365,0,$CU150-1),'3b Activity Plan'!AR$173:AR$365,'3b Activity Plan'!$AH$173:$AH$365,'3b Activity Plan'!$CY$173:$CY$365,('3b Activity Plan'!$C$173:$C$365=$W$130)*1)</f>
        <v>0</v>
      </c>
      <c r="AA150" s="1558">
        <f ca="1">SUMPRODUCT('3b Activity Plan'!$AN$173:$AN$365,OFFSET('3b Activity Plan'!$DJ$173:$DJ$365,0,$CU150-1),'3b Activity Plan'!AS$173:AS$365,'3b Activity Plan'!$AH$173:$AH$365,'3b Activity Plan'!$CY$173:$CY$365,('3b Activity Plan'!$C$173:$C$365=$W$130)*1)</f>
        <v>0</v>
      </c>
      <c r="AB150" s="1558">
        <f ca="1">SUMPRODUCT('3b Activity Plan'!$AN$173:$AN$365,OFFSET('3b Activity Plan'!$DJ$173:$DJ$365,0,$CU150-1),'3b Activity Plan'!AT$173:AT$365,'3b Activity Plan'!$AH$173:$AH$365,'3b Activity Plan'!$CY$173:$CY$365,('3b Activity Plan'!$C$173:$C$365=$W$130)*1)</f>
        <v>0</v>
      </c>
      <c r="AC150" s="1558">
        <f ca="1">SUMPRODUCT('3b Activity Plan'!$AN$173:$AN$365,OFFSET('3b Activity Plan'!$DJ$173:$DJ$365,0,$CU150-1),'3b Activity Plan'!AU$173:AU$365,'3b Activity Plan'!$AH$173:$AH$365,'3b Activity Plan'!$CY$173:$CY$365,('3b Activity Plan'!$C$173:$C$365=$W$130)*1)</f>
        <v>0</v>
      </c>
      <c r="AD150" s="1558">
        <f ca="1">SUMPRODUCT('3b Activity Plan'!$AN$173:$AN$365,OFFSET('3b Activity Plan'!$DJ$173:$DJ$365,0,$CU150-1),'3b Activity Plan'!AV$173:AV$365,'3b Activity Plan'!$AH$173:$AH$365,'3b Activity Plan'!$CY$173:$CY$365,('3b Activity Plan'!$C$173:$C$365=$W$130)*1)</f>
        <v>0</v>
      </c>
      <c r="AE150" s="1558">
        <f ca="1">SUMPRODUCT('3b Activity Plan'!$AN$173:$AN$365,OFFSET('3b Activity Plan'!$DJ$173:$DJ$365,0,$CU150-1),'3b Activity Plan'!AW$173:AW$365,'3b Activity Plan'!$AH$173:$AH$365,'3b Activity Plan'!$CY$173:$CY$365,('3b Activity Plan'!$C$173:$C$365=$W$130)*1)</f>
        <v>0</v>
      </c>
      <c r="AF150" s="1558">
        <f ca="1">SUMPRODUCT('3b Activity Plan'!$AN$173:$AN$365,OFFSET('3b Activity Plan'!$DJ$173:$DJ$365,0,$CU150-1),'3b Activity Plan'!AX$173:AX$365,'3b Activity Plan'!$AH$173:$AH$365,'3b Activity Plan'!$CY$173:$CY$365,('3b Activity Plan'!$C$173:$C$365=$W$130)*1)</f>
        <v>0</v>
      </c>
      <c r="AG150" s="1602">
        <f ca="1">SUMPRODUCT('3b Activity Plan'!$AN$173:$AN$365,OFFSET('3b Activity Plan'!$DJ$173:$DJ$365,0,$CU150-1),'3b Activity Plan'!AO$173:AO$365,'3b Activity Plan'!$AH$173:$AH$365,'3b Activity Plan'!$CY$173:$CY$365,('3b Activity Plan'!$C$173:$C$365=$AG$130)*1)</f>
        <v>0</v>
      </c>
      <c r="AH150" s="1558">
        <f ca="1">SUMPRODUCT('3b Activity Plan'!$AN$173:$AN$365,OFFSET('3b Activity Plan'!$DJ$173:$DJ$365,0,$CU150-1),'3b Activity Plan'!AP$173:AP$365,'3b Activity Plan'!$AH$173:$AH$365,'3b Activity Plan'!$CY$173:$CY$365,('3b Activity Plan'!$C$173:$C$365=$AG$130)*1)</f>
        <v>0</v>
      </c>
      <c r="AI150" s="1558">
        <f ca="1">SUMPRODUCT('3b Activity Plan'!$AN$173:$AN$365,OFFSET('3b Activity Plan'!$DJ$173:$DJ$365,0,$CU150-1),'3b Activity Plan'!AQ$173:AQ$365,'3b Activity Plan'!$AH$173:$AH$365,'3b Activity Plan'!$CY$173:$CY$365,('3b Activity Plan'!$C$173:$C$365=$AG$130)*1)</f>
        <v>0</v>
      </c>
      <c r="AJ150" s="1558">
        <f ca="1">SUMPRODUCT('3b Activity Plan'!$AN$173:$AN$365,OFFSET('3b Activity Plan'!$DJ$173:$DJ$365,0,$CU150-1),'3b Activity Plan'!AR$173:AR$365,'3b Activity Plan'!$AH$173:$AH$365,'3b Activity Plan'!$CY$173:$CY$365,('3b Activity Plan'!$C$173:$C$365=$AG$130)*1)</f>
        <v>0</v>
      </c>
      <c r="AK150" s="1558">
        <f ca="1">SUMPRODUCT('3b Activity Plan'!$AN$173:$AN$365,OFFSET('3b Activity Plan'!$DJ$173:$DJ$365,0,$CU150-1),'3b Activity Plan'!AS$173:AS$365,'3b Activity Plan'!$AH$173:$AH$365,'3b Activity Plan'!$CY$173:$CY$365,('3b Activity Plan'!$C$173:$C$365=$AG$130)*1)</f>
        <v>0</v>
      </c>
      <c r="AL150" s="1558">
        <f ca="1">SUMPRODUCT('3b Activity Plan'!$AN$173:$AN$365,OFFSET('3b Activity Plan'!$DJ$173:$DJ$365,0,$CU150-1),'3b Activity Plan'!AT$173:AT$365,'3b Activity Plan'!$AH$173:$AH$365,'3b Activity Plan'!$CY$173:$CY$365,('3b Activity Plan'!$C$173:$C$365=$AG$130)*1)</f>
        <v>0</v>
      </c>
      <c r="AM150" s="1558">
        <f ca="1">SUMPRODUCT('3b Activity Plan'!$AN$173:$AN$365,OFFSET('3b Activity Plan'!$DJ$173:$DJ$365,0,$CU150-1),'3b Activity Plan'!AU$173:AU$365,'3b Activity Plan'!$AH$173:$AH$365,'3b Activity Plan'!$CY$173:$CY$365,('3b Activity Plan'!$C$173:$C$365=$AG$130)*1)</f>
        <v>0</v>
      </c>
      <c r="AN150" s="1558">
        <f ca="1">SUMPRODUCT('3b Activity Plan'!$AN$173:$AN$365,OFFSET('3b Activity Plan'!$DJ$173:$DJ$365,0,$CU150-1),'3b Activity Plan'!AV$173:AV$365,'3b Activity Plan'!$AH$173:$AH$365,'3b Activity Plan'!$CY$173:$CY$365,('3b Activity Plan'!$C$173:$C$365=$AG$130)*1)</f>
        <v>0</v>
      </c>
      <c r="AO150" s="1558">
        <f ca="1">SUMPRODUCT('3b Activity Plan'!$AN$173:$AN$365,OFFSET('3b Activity Plan'!$DJ$173:$DJ$365,0,$CU150-1),'3b Activity Plan'!AW$173:AW$365,'3b Activity Plan'!$AH$173:$AH$365,'3b Activity Plan'!$CY$173:$CY$365,('3b Activity Plan'!$C$173:$C$365=$AG$130)*1)</f>
        <v>0</v>
      </c>
      <c r="AP150" s="1558">
        <f ca="1">SUMPRODUCT('3b Activity Plan'!$AN$173:$AN$365,OFFSET('3b Activity Plan'!$DJ$173:$DJ$365,0,$CU150-1),'3b Activity Plan'!AX$173:AX$365,'3b Activity Plan'!$AH$173:$AH$365,'3b Activity Plan'!$CY$173:$CY$365,('3b Activity Plan'!$C$173:$C$365=$AG$130)*1)</f>
        <v>0</v>
      </c>
      <c r="AQ150" s="1602">
        <f ca="1">SUMPRODUCT('3b Activity Plan'!$AN$173:$AN$365,OFFSET('3b Activity Plan'!$DJ$173:$DJ$365,0,$CU150-1),'3b Activity Plan'!AO$173:AO$365,'3b Activity Plan'!$AH$173:$AH$365,'3b Activity Plan'!$CY$173:$CY$365,('3b Activity Plan'!$C$173:$C$365=$AQ$130)*1)</f>
        <v>0</v>
      </c>
      <c r="AR150" s="1558">
        <f ca="1">SUMPRODUCT('3b Activity Plan'!$AN$173:$AN$365,OFFSET('3b Activity Plan'!$DJ$173:$DJ$365,0,$CU150-1),'3b Activity Plan'!AP$173:AP$365,'3b Activity Plan'!$AH$173:$AH$365,'3b Activity Plan'!$CY$173:$CY$365,('3b Activity Plan'!$C$173:$C$365=$AQ$130)*1)</f>
        <v>0</v>
      </c>
      <c r="AS150" s="1558">
        <f ca="1">SUMPRODUCT('3b Activity Plan'!$AN$173:$AN$365,OFFSET('3b Activity Plan'!$DJ$173:$DJ$365,0,$CU150-1),'3b Activity Plan'!AQ$173:AQ$365,'3b Activity Plan'!$AH$173:$AH$365,'3b Activity Plan'!$CY$173:$CY$365,('3b Activity Plan'!$C$173:$C$365=$AQ$130)*1)</f>
        <v>0</v>
      </c>
      <c r="AT150" s="1558">
        <f ca="1">SUMPRODUCT('3b Activity Plan'!$AN$173:$AN$365,OFFSET('3b Activity Plan'!$DJ$173:$DJ$365,0,$CU150-1),'3b Activity Plan'!AR$173:AR$365,'3b Activity Plan'!$AH$173:$AH$365,'3b Activity Plan'!$CY$173:$CY$365,('3b Activity Plan'!$C$173:$C$365=$AQ$130)*1)</f>
        <v>0</v>
      </c>
      <c r="AU150" s="1558">
        <f ca="1">SUMPRODUCT('3b Activity Plan'!$AN$173:$AN$365,OFFSET('3b Activity Plan'!$DJ$173:$DJ$365,0,$CU150-1),'3b Activity Plan'!AS$173:AS$365,'3b Activity Plan'!$AH$173:$AH$365,'3b Activity Plan'!$CY$173:$CY$365,('3b Activity Plan'!$C$173:$C$365=$AQ$130)*1)</f>
        <v>0</v>
      </c>
      <c r="AV150" s="1558">
        <f ca="1">SUMPRODUCT('3b Activity Plan'!$AN$173:$AN$365,OFFSET('3b Activity Plan'!$DJ$173:$DJ$365,0,$CU150-1),'3b Activity Plan'!AT$173:AT$365,'3b Activity Plan'!$AH$173:$AH$365,'3b Activity Plan'!$CY$173:$CY$365,('3b Activity Plan'!$C$173:$C$365=$AQ$130)*1)</f>
        <v>0</v>
      </c>
      <c r="AW150" s="1558">
        <f ca="1">SUMPRODUCT('3b Activity Plan'!$AN$173:$AN$365,OFFSET('3b Activity Plan'!$DJ$173:$DJ$365,0,$CU150-1),'3b Activity Plan'!AU$173:AU$365,'3b Activity Plan'!$AH$173:$AH$365,'3b Activity Plan'!$CY$173:$CY$365,('3b Activity Plan'!$C$173:$C$365=$AQ$130)*1)</f>
        <v>0</v>
      </c>
      <c r="AX150" s="1558">
        <f ca="1">SUMPRODUCT('3b Activity Plan'!$AN$173:$AN$365,OFFSET('3b Activity Plan'!$DJ$173:$DJ$365,0,$CU150-1),'3b Activity Plan'!AV$173:AV$365,'3b Activity Plan'!$AH$173:$AH$365,'3b Activity Plan'!$CY$173:$CY$365,('3b Activity Plan'!$C$173:$C$365=$AQ$130)*1)</f>
        <v>0</v>
      </c>
      <c r="AY150" s="1558">
        <f ca="1">SUMPRODUCT('3b Activity Plan'!$AN$173:$AN$365,OFFSET('3b Activity Plan'!$DJ$173:$DJ$365,0,$CU150-1),'3b Activity Plan'!AW$173:AW$365,'3b Activity Plan'!$AH$173:$AH$365,'3b Activity Plan'!$CY$173:$CY$365,('3b Activity Plan'!$C$173:$C$365=$AQ$130)*1)</f>
        <v>0</v>
      </c>
      <c r="AZ150" s="1558">
        <f ca="1">SUMPRODUCT('3b Activity Plan'!$AN$173:$AN$365,OFFSET('3b Activity Plan'!$DJ$173:$DJ$365,0,$CU150-1),'3b Activity Plan'!AX$173:AX$365,'3b Activity Plan'!$AH$173:$AH$365,'3b Activity Plan'!$CY$173:$CY$365,('3b Activity Plan'!$C$173:$C$365=$AQ$130)*1)</f>
        <v>0</v>
      </c>
      <c r="BA150" s="1602">
        <f ca="1">SUMPRODUCT('3b Activity Plan'!$AN$173:$AN$365,OFFSET('3b Activity Plan'!$DJ$173:$DJ$365,0,$CU150-1),'3b Activity Plan'!AO$173:AO$365,'3b Activity Plan'!$AH$173:$AH$365,'3b Activity Plan'!$CY$173:$CY$365,('3b Activity Plan'!$C$173:$C$365=$BA$130)*1)</f>
        <v>0</v>
      </c>
      <c r="BB150" s="1558">
        <f ca="1">SUMPRODUCT('3b Activity Plan'!$AN$173:$AN$365,OFFSET('3b Activity Plan'!$DJ$173:$DJ$365,0,$CU150-1),'3b Activity Plan'!AP$173:AP$365,'3b Activity Plan'!$AH$173:$AH$365,'3b Activity Plan'!$CY$173:$CY$365,('3b Activity Plan'!$C$173:$C$365=$BA$130)*1)</f>
        <v>0</v>
      </c>
      <c r="BC150" s="1558">
        <f ca="1">SUMPRODUCT('3b Activity Plan'!$AN$173:$AN$365,OFFSET('3b Activity Plan'!$DJ$173:$DJ$365,0,$CU150-1),'3b Activity Plan'!AQ$173:AQ$365,'3b Activity Plan'!$AH$173:$AH$365,'3b Activity Plan'!$CY$173:$CY$365,('3b Activity Plan'!$C$173:$C$365=$BA$130)*1)</f>
        <v>0</v>
      </c>
      <c r="BD150" s="1558">
        <f ca="1">SUMPRODUCT('3b Activity Plan'!$AN$173:$AN$365,OFFSET('3b Activity Plan'!$DJ$173:$DJ$365,0,$CU150-1),'3b Activity Plan'!AR$173:AR$365,'3b Activity Plan'!$AH$173:$AH$365,'3b Activity Plan'!$CY$173:$CY$365,('3b Activity Plan'!$C$173:$C$365=$BA$130)*1)</f>
        <v>0</v>
      </c>
      <c r="BE150" s="1558">
        <f ca="1">SUMPRODUCT('3b Activity Plan'!$AN$173:$AN$365,OFFSET('3b Activity Plan'!$DJ$173:$DJ$365,0,$CU150-1),'3b Activity Plan'!AS$173:AS$365,'3b Activity Plan'!$AH$173:$AH$365,'3b Activity Plan'!$CY$173:$CY$365,('3b Activity Plan'!$C$173:$C$365=$BA$130)*1)</f>
        <v>0</v>
      </c>
      <c r="BF150" s="1558">
        <f ca="1">SUMPRODUCT('3b Activity Plan'!$AN$173:$AN$365,OFFSET('3b Activity Plan'!$DJ$173:$DJ$365,0,$CU150-1),'3b Activity Plan'!AT$173:AT$365,'3b Activity Plan'!$AH$173:$AH$365,'3b Activity Plan'!$CY$173:$CY$365,('3b Activity Plan'!$C$173:$C$365=$BA$130)*1)</f>
        <v>0</v>
      </c>
      <c r="BG150" s="1558">
        <f ca="1">SUMPRODUCT('3b Activity Plan'!$AN$173:$AN$365,OFFSET('3b Activity Plan'!$DJ$173:$DJ$365,0,$CU150-1),'3b Activity Plan'!AU$173:AU$365,'3b Activity Plan'!$AH$173:$AH$365,'3b Activity Plan'!$CY$173:$CY$365,('3b Activity Plan'!$C$173:$C$365=$BA$130)*1)</f>
        <v>0</v>
      </c>
      <c r="BH150" s="1558">
        <f ca="1">SUMPRODUCT('3b Activity Plan'!$AN$173:$AN$365,OFFSET('3b Activity Plan'!$DJ$173:$DJ$365,0,$CU150-1),'3b Activity Plan'!AV$173:AV$365,'3b Activity Plan'!$AH$173:$AH$365,'3b Activity Plan'!$CY$173:$CY$365,('3b Activity Plan'!$C$173:$C$365=$BA$130)*1)</f>
        <v>0</v>
      </c>
      <c r="BI150" s="1558">
        <f ca="1">SUMPRODUCT('3b Activity Plan'!$AN$173:$AN$365,OFFSET('3b Activity Plan'!$DJ$173:$DJ$365,0,$CU150-1),'3b Activity Plan'!AW$173:AW$365,'3b Activity Plan'!$AH$173:$AH$365,'3b Activity Plan'!$CY$173:$CY$365,('3b Activity Plan'!$C$173:$C$365=$BA$130)*1)</f>
        <v>0</v>
      </c>
      <c r="BJ150" s="1558">
        <f ca="1">SUMPRODUCT('3b Activity Plan'!$AN$173:$AN$365,OFFSET('3b Activity Plan'!$DJ$173:$DJ$365,0,$CU150-1),'3b Activity Plan'!AX$173:AX$365,'3b Activity Plan'!$AH$173:$AH$365,'3b Activity Plan'!$CY$173:$CY$365,('3b Activity Plan'!$C$173:$C$365=$BA$130)*1)</f>
        <v>0</v>
      </c>
      <c r="BK150" s="1602">
        <f ca="1">SUMPRODUCT('3b Activity Plan'!$AN$173:$AN$365,OFFSET('3b Activity Plan'!$DJ$173:$DJ$365,0,$CU150-1),'3b Activity Plan'!AO$173:AO$365,'3b Activity Plan'!$AH$173:$AH$365,'3b Activity Plan'!$CY$173:$CY$365,('3b Activity Plan'!$C$173:$C$365=$BK$130)*1)</f>
        <v>0</v>
      </c>
      <c r="BL150" s="1558">
        <f ca="1">SUMPRODUCT('3b Activity Plan'!$AN$173:$AN$365,OFFSET('3b Activity Plan'!$DJ$173:$DJ$365,0,$CU150-1),'3b Activity Plan'!AP$173:AP$365,'3b Activity Plan'!$AH$173:$AH$365,'3b Activity Plan'!$CY$173:$CY$365,('3b Activity Plan'!$C$173:$C$365=$BK$130)*1)</f>
        <v>0</v>
      </c>
      <c r="BM150" s="1558">
        <f ca="1">SUMPRODUCT('3b Activity Plan'!$AN$173:$AN$365,OFFSET('3b Activity Plan'!$DJ$173:$DJ$365,0,$CU150-1),'3b Activity Plan'!AQ$173:AQ$365,'3b Activity Plan'!$AH$173:$AH$365,'3b Activity Plan'!$CY$173:$CY$365,('3b Activity Plan'!$C$173:$C$365=$BK$130)*1)</f>
        <v>0</v>
      </c>
      <c r="BN150" s="1558">
        <f ca="1">SUMPRODUCT('3b Activity Plan'!$AN$173:$AN$365,OFFSET('3b Activity Plan'!$DJ$173:$DJ$365,0,$CU150-1),'3b Activity Plan'!AR$173:AR$365,'3b Activity Plan'!$AH$173:$AH$365,'3b Activity Plan'!$CY$173:$CY$365,('3b Activity Plan'!$C$173:$C$365=$BK$130)*1)</f>
        <v>0</v>
      </c>
      <c r="BO150" s="1558">
        <f ca="1">SUMPRODUCT('3b Activity Plan'!$AN$173:$AN$365,OFFSET('3b Activity Plan'!$DJ$173:$DJ$365,0,$CU150-1),'3b Activity Plan'!AS$173:AS$365,'3b Activity Plan'!$AH$173:$AH$365,'3b Activity Plan'!$CY$173:$CY$365,('3b Activity Plan'!$C$173:$C$365=$BK$130)*1)</f>
        <v>0</v>
      </c>
      <c r="BP150" s="1558">
        <f ca="1">SUMPRODUCT('3b Activity Plan'!$AN$173:$AN$365,OFFSET('3b Activity Plan'!$DJ$173:$DJ$365,0,$CU150-1),'3b Activity Plan'!AT$173:AT$365,'3b Activity Plan'!$AH$173:$AH$365,'3b Activity Plan'!$CY$173:$CY$365,('3b Activity Plan'!$C$173:$C$365=$BK$130)*1)</f>
        <v>0</v>
      </c>
      <c r="BQ150" s="1558">
        <f ca="1">SUMPRODUCT('3b Activity Plan'!$AN$173:$AN$365,OFFSET('3b Activity Plan'!$DJ$173:$DJ$365,0,$CU150-1),'3b Activity Plan'!AU$173:AU$365,'3b Activity Plan'!$AH$173:$AH$365,'3b Activity Plan'!$CY$173:$CY$365,('3b Activity Plan'!$C$173:$C$365=$BK$130)*1)</f>
        <v>0</v>
      </c>
      <c r="BR150" s="1558">
        <f ca="1">SUMPRODUCT('3b Activity Plan'!$AN$173:$AN$365,OFFSET('3b Activity Plan'!$DJ$173:$DJ$365,0,$CU150-1),'3b Activity Plan'!AV$173:AV$365,'3b Activity Plan'!$AH$173:$AH$365,'3b Activity Plan'!$CY$173:$CY$365,('3b Activity Plan'!$C$173:$C$365=$BK$130)*1)</f>
        <v>0</v>
      </c>
      <c r="BS150" s="1558">
        <f ca="1">SUMPRODUCT('3b Activity Plan'!$AN$173:$AN$365,OFFSET('3b Activity Plan'!$DJ$173:$DJ$365,0,$CU150-1),'3b Activity Plan'!AW$173:AW$365,'3b Activity Plan'!$AH$173:$AH$365,'3b Activity Plan'!$CY$173:$CY$365,('3b Activity Plan'!$C$173:$C$365=$BK$130)*1)</f>
        <v>0</v>
      </c>
      <c r="BT150" s="1558">
        <f ca="1">SUMPRODUCT('3b Activity Plan'!$AN$173:$AN$365,OFFSET('3b Activity Plan'!$DJ$173:$DJ$365,0,$CU150-1),'3b Activity Plan'!AX$173:AX$365,'3b Activity Plan'!$AH$173:$AH$365,'3b Activity Plan'!$CY$173:$CY$365,('3b Activity Plan'!$C$173:$C$365=$BK$130)*1)</f>
        <v>0</v>
      </c>
      <c r="BU150" s="1587"/>
      <c r="BV150" s="1587"/>
      <c r="BW150" s="1587"/>
      <c r="BX150" s="1556"/>
      <c r="BY150" s="1556"/>
      <c r="BZ150" s="1556"/>
      <c r="CA150" s="1024">
        <f ca="1">SUMIFS('3a Staff Plan'!$T$129:$T$305,'3a Staff Plan'!$DY$129:$DY$305,CZ150,'3a Staff Plan'!$DF$129:$DF$305,1)</f>
        <v>0</v>
      </c>
      <c r="CB150" s="1025">
        <f ca="1">SUMIFS('3a Staff Plan'!$T$129:$T$305,'3a Staff Plan'!$DY$129:$DY$305,$CZ150,'3a Staff Plan'!$DF$129:$DF$305,1,'3a Staff Plan'!$C$129:$C$305,DC$18)</f>
        <v>0</v>
      </c>
      <c r="CC150" s="1026">
        <f ca="1">SUMIFS('3a Staff Plan'!$T$129:$T$305,'3a Staff Plan'!$DY$129:$DY$305,$CZ150,'3a Staff Plan'!$DF$129:$DF$305,1,'3a Staff Plan'!$C$129:$C$305,DD$18)</f>
        <v>0</v>
      </c>
      <c r="CD150" s="1026">
        <f ca="1">SUMIFS('3a Staff Plan'!$T$129:$T$305,'3a Staff Plan'!$DY$129:$DY$305,$CZ150,'3a Staff Plan'!$DF$129:$DF$305,1,'3a Staff Plan'!$C$129:$C$305,DE$18)</f>
        <v>0</v>
      </c>
      <c r="CE150" s="1026">
        <f ca="1">SUMIFS('3a Staff Plan'!$T$129:$T$305,'3a Staff Plan'!$DY$129:$DY$305,$CZ150,'3a Staff Plan'!$DF$129:$DF$305,1,'3a Staff Plan'!$C$129:$C$305,DF$18)</f>
        <v>0</v>
      </c>
      <c r="CF150" s="1026">
        <f ca="1">SUMIFS('3a Staff Plan'!$T$129:$T$305,'3a Staff Plan'!$DY$129:$DY$305,$CZ150,'3a Staff Plan'!$DF$129:$DF$305,1,'3a Staff Plan'!$C$129:$C$305,DG$18)</f>
        <v>0</v>
      </c>
      <c r="CG150" s="1026">
        <f ca="1">SUMIFS('3a Staff Plan'!$T$129:$T$305,'3a Staff Plan'!$DY$129:$DY$305,$CZ150,'3a Staff Plan'!$DF$129:$DF$305,1,'3a Staff Plan'!$C$129:$C$305,DH$18)</f>
        <v>0</v>
      </c>
      <c r="CH150" s="1026">
        <f ca="1">SUMIFS('3a Staff Plan'!$T$129:$T$305,'3a Staff Plan'!$DY$129:$DY$305,$CZ150,'3a Staff Plan'!$DF$129:$DF$305,1,'3a Staff Plan'!$C$129:$C$305,DI$18)</f>
        <v>0</v>
      </c>
      <c r="CI150" s="755"/>
      <c r="CJ150" s="1024">
        <f ca="1">SUMPRODUCT('3b Activity Plan'!$AN$173:$AN$365,'3b Activity Plan'!$CY$173:$CY$365,'3b Activity Plan'!$AH$173:$AH$365,OFFSET('3b Activity Plan'!$DJ$173:$DJ$365,0,$CU150-1))</f>
        <v>0</v>
      </c>
      <c r="CK150" s="1025">
        <f t="shared" ca="1" si="93"/>
        <v>0</v>
      </c>
      <c r="CL150" s="1026">
        <f t="shared" ca="1" si="94"/>
        <v>0</v>
      </c>
      <c r="CM150" s="1026">
        <f t="shared" ca="1" si="95"/>
        <v>0</v>
      </c>
      <c r="CN150" s="1026">
        <f t="shared" ca="1" si="96"/>
        <v>0</v>
      </c>
      <c r="CO150" s="1026">
        <f t="shared" ca="1" si="97"/>
        <v>0</v>
      </c>
      <c r="CP150" s="1026">
        <f t="shared" ca="1" si="98"/>
        <v>0</v>
      </c>
      <c r="CQ150" s="1026">
        <f t="shared" ca="1" si="99"/>
        <v>0</v>
      </c>
      <c r="CR150" s="417"/>
      <c r="CS150" s="417">
        <f t="shared" si="100"/>
        <v>18</v>
      </c>
      <c r="CT150" s="417">
        <f ca="1">OFFSET('2 Staff List'!$GU$64,CS150-1,0)</f>
        <v>18</v>
      </c>
      <c r="CU150" s="417">
        <f ca="1">IF(CZ150=0,0,IFERROR(INDEX('3b Activity Plan'!$DJ$20:$FH$20,MATCH(CT150,'3b Activity Plan'!$DJ$171:$FH$171,0)),0))</f>
        <v>0</v>
      </c>
      <c r="CV150" s="417">
        <f ca="1">INDEX('2 Staff List'!$HW$64:$HW$114,CT150)</f>
        <v>0</v>
      </c>
      <c r="CW150" s="417"/>
      <c r="CY150" s="927">
        <f ca="1">OFFSET('2 Staff List'!$HZ$64,CS150-1,0)</f>
        <v>0</v>
      </c>
      <c r="CZ150" s="975">
        <f ca="1">OFFSET('2 Staff List'!$IA$64,CT150-1,0)</f>
        <v>0</v>
      </c>
      <c r="DA150" s="3840">
        <f t="shared" ca="1" si="92"/>
        <v>0</v>
      </c>
      <c r="DB150" s="3841"/>
      <c r="DC150" s="2408">
        <f t="shared" ca="1" si="85"/>
        <v>0</v>
      </c>
      <c r="DD150" s="2405">
        <f t="shared" ca="1" si="86"/>
        <v>0</v>
      </c>
      <c r="DE150" s="2405">
        <f t="shared" ca="1" si="87"/>
        <v>0</v>
      </c>
      <c r="DF150" s="2405">
        <f t="shared" ca="1" si="88"/>
        <v>0</v>
      </c>
      <c r="DG150" s="2405">
        <f t="shared" ca="1" si="89"/>
        <v>0</v>
      </c>
      <c r="DH150" s="2406">
        <f t="shared" ca="1" si="90"/>
        <v>0</v>
      </c>
      <c r="DI150" s="2407">
        <f t="shared" ca="1" si="91"/>
        <v>0</v>
      </c>
    </row>
    <row r="151" spans="1:113" ht="15.9" customHeight="1" x14ac:dyDescent="0.25">
      <c r="A151" s="1051"/>
      <c r="B151" s="1556"/>
      <c r="C151" s="1558">
        <f ca="1">SUMPRODUCT('3b Activity Plan'!$AN$173:$AN$365,OFFSET('3b Activity Plan'!$DJ$173:$DJ$365,0,$CU151-1),'3b Activity Plan'!AO$173:AO$365,'3b Activity Plan'!$AH$173:$AH$365,'3b Activity Plan'!$CY$173:$CY$365,('3b Activity Plan'!$C$173:$C$365=$C$130)*1)</f>
        <v>0</v>
      </c>
      <c r="D151" s="1558">
        <f ca="1">SUMPRODUCT('3b Activity Plan'!$AN$173:$AN$365,OFFSET('3b Activity Plan'!$DJ$173:$DJ$365,0,$CU151-1),'3b Activity Plan'!AP$173:AP$365,'3b Activity Plan'!$AH$173:$AH$365,'3b Activity Plan'!$CY$173:$CY$365,('3b Activity Plan'!$C$173:$C$365=$C$130)*1)</f>
        <v>0</v>
      </c>
      <c r="E151" s="1558">
        <f ca="1">SUMPRODUCT('3b Activity Plan'!$AN$173:$AN$365,OFFSET('3b Activity Plan'!$DJ$173:$DJ$365,0,$CU151-1),'3b Activity Plan'!AQ$173:AQ$365,'3b Activity Plan'!$AH$173:$AH$365,'3b Activity Plan'!$CY$173:$CY$365,('3b Activity Plan'!$C$173:$C$365=$C$130)*1)</f>
        <v>0</v>
      </c>
      <c r="F151" s="1558">
        <f ca="1">SUMPRODUCT('3b Activity Plan'!$AN$173:$AN$365,OFFSET('3b Activity Plan'!$DJ$173:$DJ$365,0,$CU151-1),'3b Activity Plan'!AR$173:AR$365,'3b Activity Plan'!$AH$173:$AH$365,'3b Activity Plan'!$CY$173:$CY$365,('3b Activity Plan'!$C$173:$C$365=$C$130)*1)</f>
        <v>0</v>
      </c>
      <c r="G151" s="1558">
        <f ca="1">SUMPRODUCT('3b Activity Plan'!$AN$173:$AN$365,OFFSET('3b Activity Plan'!$DJ$173:$DJ$365,0,$CU151-1),'3b Activity Plan'!AS$173:AS$365,'3b Activity Plan'!$AH$173:$AH$365,'3b Activity Plan'!$CY$173:$CY$365,('3b Activity Plan'!$C$173:$C$365=$C$130)*1)</f>
        <v>0</v>
      </c>
      <c r="H151" s="1558">
        <f ca="1">SUMPRODUCT('3b Activity Plan'!$AN$173:$AN$365,OFFSET('3b Activity Plan'!$DJ$173:$DJ$365,0,$CU151-1),'3b Activity Plan'!AT$173:AT$365,'3b Activity Plan'!$AH$173:$AH$365,'3b Activity Plan'!$CY$173:$CY$365,('3b Activity Plan'!$C$173:$C$365=$C$130)*1)</f>
        <v>0</v>
      </c>
      <c r="I151" s="1558">
        <f ca="1">SUMPRODUCT('3b Activity Plan'!$AN$173:$AN$365,OFFSET('3b Activity Plan'!$DJ$173:$DJ$365,0,$CU151-1),'3b Activity Plan'!AU$173:AU$365,'3b Activity Plan'!$AH$173:$AH$365,'3b Activity Plan'!$CY$173:$CY$365,('3b Activity Plan'!$C$173:$C$365=$C$130)*1)</f>
        <v>0</v>
      </c>
      <c r="J151" s="1558">
        <f ca="1">SUMPRODUCT('3b Activity Plan'!$AN$173:$AN$365,OFFSET('3b Activity Plan'!$DJ$173:$DJ$365,0,$CU151-1),'3b Activity Plan'!AV$173:AV$365,'3b Activity Plan'!$AH$173:$AH$365,'3b Activity Plan'!$CY$173:$CY$365,('3b Activity Plan'!$C$173:$C$365=$C$130)*1)</f>
        <v>0</v>
      </c>
      <c r="K151" s="1558">
        <f ca="1">SUMPRODUCT('3b Activity Plan'!$AN$173:$AN$365,OFFSET('3b Activity Plan'!$DJ$173:$DJ$365,0,$CU151-1),'3b Activity Plan'!AW$173:AW$365,'3b Activity Plan'!$AH$173:$AH$365,'3b Activity Plan'!$CY$173:$CY$365,('3b Activity Plan'!$C$173:$C$365=$C$130)*1)</f>
        <v>0</v>
      </c>
      <c r="L151" s="1601">
        <f ca="1">SUMPRODUCT('3b Activity Plan'!$AN$173:$AN$365,OFFSET('3b Activity Plan'!$DJ$173:$DJ$365,0,$CU151-1),'3b Activity Plan'!AX$173:AX$365,'3b Activity Plan'!$AH$173:$AH$365,'3b Activity Plan'!$CY$173:$CY$365,('3b Activity Plan'!$C$173:$C$365=$C$130)*1)</f>
        <v>0</v>
      </c>
      <c r="M151" s="1602">
        <f ca="1">SUMPRODUCT('3b Activity Plan'!$AN$173:$AN$365,OFFSET('3b Activity Plan'!$DJ$173:$DJ$365,0,$CU151-1),'3b Activity Plan'!AO$173:AO$365,'3b Activity Plan'!$AH$173:$AH$365,'3b Activity Plan'!$CY$173:$CY$365,('3b Activity Plan'!$C$173:$C$365=$M$130)*1)</f>
        <v>0</v>
      </c>
      <c r="N151" s="1558">
        <f ca="1">SUMPRODUCT('3b Activity Plan'!$AN$173:$AN$365,OFFSET('3b Activity Plan'!$DJ$173:$DJ$365,0,$CU151-1),'3b Activity Plan'!AP$173:AP$365,'3b Activity Plan'!$AH$173:$AH$365,'3b Activity Plan'!$CY$173:$CY$365,('3b Activity Plan'!$C$173:$C$365=$M$130)*1)</f>
        <v>0</v>
      </c>
      <c r="O151" s="1558">
        <f ca="1">SUMPRODUCT('3b Activity Plan'!$AN$173:$AN$365,OFFSET('3b Activity Plan'!$DJ$173:$DJ$365,0,$CU151-1),'3b Activity Plan'!AQ$173:AQ$365,'3b Activity Plan'!$AH$173:$AH$365,'3b Activity Plan'!$CY$173:$CY$365,('3b Activity Plan'!$C$173:$C$365=$M$130)*1)</f>
        <v>0</v>
      </c>
      <c r="P151" s="1558">
        <f ca="1">SUMPRODUCT('3b Activity Plan'!$AN$173:$AN$365,OFFSET('3b Activity Plan'!$DJ$173:$DJ$365,0,$CU151-1),'3b Activity Plan'!AR$173:AR$365,'3b Activity Plan'!$AH$173:$AH$365,'3b Activity Plan'!$CY$173:$CY$365,('3b Activity Plan'!$C$173:$C$365=$M$130)*1)</f>
        <v>0</v>
      </c>
      <c r="Q151" s="1558">
        <f ca="1">SUMPRODUCT('3b Activity Plan'!$AN$173:$AN$365,OFFSET('3b Activity Plan'!$DJ$173:$DJ$365,0,$CU151-1),'3b Activity Plan'!AS$173:AS$365,'3b Activity Plan'!$AH$173:$AH$365,'3b Activity Plan'!$CY$173:$CY$365,('3b Activity Plan'!$C$173:$C$365=$M$130)*1)</f>
        <v>0</v>
      </c>
      <c r="R151" s="1558">
        <f ca="1">SUMPRODUCT('3b Activity Plan'!$AN$173:$AN$365,OFFSET('3b Activity Plan'!$DJ$173:$DJ$365,0,$CU151-1),'3b Activity Plan'!AT$173:AT$365,'3b Activity Plan'!$AH$173:$AH$365,'3b Activity Plan'!$CY$173:$CY$365,('3b Activity Plan'!$C$173:$C$365=$M$130)*1)</f>
        <v>0</v>
      </c>
      <c r="S151" s="1558">
        <f ca="1">SUMPRODUCT('3b Activity Plan'!$AN$173:$AN$365,OFFSET('3b Activity Plan'!$DJ$173:$DJ$365,0,$CU151-1),'3b Activity Plan'!AU$173:AU$365,'3b Activity Plan'!$AH$173:$AH$365,'3b Activity Plan'!$CY$173:$CY$365,('3b Activity Plan'!$C$173:$C$365=$M$130)*1)</f>
        <v>0</v>
      </c>
      <c r="T151" s="1558">
        <f ca="1">SUMPRODUCT('3b Activity Plan'!$AN$173:$AN$365,OFFSET('3b Activity Plan'!$DJ$173:$DJ$365,0,$CU151-1),'3b Activity Plan'!AV$173:AV$365,'3b Activity Plan'!$AH$173:$AH$365,'3b Activity Plan'!$CY$173:$CY$365,('3b Activity Plan'!$C$173:$C$365=$M$130)*1)</f>
        <v>0</v>
      </c>
      <c r="U151" s="1558">
        <f ca="1">SUMPRODUCT('3b Activity Plan'!$AN$173:$AN$365,OFFSET('3b Activity Plan'!$DJ$173:$DJ$365,0,$CU151-1),'3b Activity Plan'!AW$173:AW$365,'3b Activity Plan'!$AH$173:$AH$365,'3b Activity Plan'!$CY$173:$CY$365,('3b Activity Plan'!$C$173:$C$365=$M$130)*1)</f>
        <v>0</v>
      </c>
      <c r="V151" s="1601">
        <f ca="1">SUMPRODUCT('3b Activity Plan'!$AN$173:$AN$365,OFFSET('3b Activity Plan'!$DJ$173:$DJ$365,0,$CU151-1),'3b Activity Plan'!AX$173:AX$365,'3b Activity Plan'!$AH$173:$AH$365,'3b Activity Plan'!$CY$173:$CY$365,('3b Activity Plan'!$C$173:$C$365=$M$130)*1)</f>
        <v>0</v>
      </c>
      <c r="W151" s="1602">
        <f ca="1">SUMPRODUCT('3b Activity Plan'!$AN$173:$AN$365,OFFSET('3b Activity Plan'!$DJ$173:$DJ$365,0,$CU151-1),'3b Activity Plan'!AO$173:AO$365,'3b Activity Plan'!$AH$173:$AH$365,'3b Activity Plan'!$CY$173:$CY$365,('3b Activity Plan'!$C$173:$C$365=$W$130)*1)</f>
        <v>0</v>
      </c>
      <c r="X151" s="1558">
        <f ca="1">SUMPRODUCT('3b Activity Plan'!$AN$173:$AN$365,OFFSET('3b Activity Plan'!$DJ$173:$DJ$365,0,$CU151-1),'3b Activity Plan'!AP$173:AP$365,'3b Activity Plan'!$AH$173:$AH$365,'3b Activity Plan'!$CY$173:$CY$365,('3b Activity Plan'!$C$173:$C$365=$W$130)*1)</f>
        <v>0</v>
      </c>
      <c r="Y151" s="1558">
        <f ca="1">SUMPRODUCT('3b Activity Plan'!$AN$173:$AN$365,OFFSET('3b Activity Plan'!$DJ$173:$DJ$365,0,$CU151-1),'3b Activity Plan'!AQ$173:AQ$365,'3b Activity Plan'!$AH$173:$AH$365,'3b Activity Plan'!$CY$173:$CY$365,('3b Activity Plan'!$C$173:$C$365=$W$130)*1)</f>
        <v>0</v>
      </c>
      <c r="Z151" s="1558">
        <f ca="1">SUMPRODUCT('3b Activity Plan'!$AN$173:$AN$365,OFFSET('3b Activity Plan'!$DJ$173:$DJ$365,0,$CU151-1),'3b Activity Plan'!AR$173:AR$365,'3b Activity Plan'!$AH$173:$AH$365,'3b Activity Plan'!$CY$173:$CY$365,('3b Activity Plan'!$C$173:$C$365=$W$130)*1)</f>
        <v>0</v>
      </c>
      <c r="AA151" s="1558">
        <f ca="1">SUMPRODUCT('3b Activity Plan'!$AN$173:$AN$365,OFFSET('3b Activity Plan'!$DJ$173:$DJ$365,0,$CU151-1),'3b Activity Plan'!AS$173:AS$365,'3b Activity Plan'!$AH$173:$AH$365,'3b Activity Plan'!$CY$173:$CY$365,('3b Activity Plan'!$C$173:$C$365=$W$130)*1)</f>
        <v>0</v>
      </c>
      <c r="AB151" s="1558">
        <f ca="1">SUMPRODUCT('3b Activity Plan'!$AN$173:$AN$365,OFFSET('3b Activity Plan'!$DJ$173:$DJ$365,0,$CU151-1),'3b Activity Plan'!AT$173:AT$365,'3b Activity Plan'!$AH$173:$AH$365,'3b Activity Plan'!$CY$173:$CY$365,('3b Activity Plan'!$C$173:$C$365=$W$130)*1)</f>
        <v>0</v>
      </c>
      <c r="AC151" s="1558">
        <f ca="1">SUMPRODUCT('3b Activity Plan'!$AN$173:$AN$365,OFFSET('3b Activity Plan'!$DJ$173:$DJ$365,0,$CU151-1),'3b Activity Plan'!AU$173:AU$365,'3b Activity Plan'!$AH$173:$AH$365,'3b Activity Plan'!$CY$173:$CY$365,('3b Activity Plan'!$C$173:$C$365=$W$130)*1)</f>
        <v>0</v>
      </c>
      <c r="AD151" s="1558">
        <f ca="1">SUMPRODUCT('3b Activity Plan'!$AN$173:$AN$365,OFFSET('3b Activity Plan'!$DJ$173:$DJ$365,0,$CU151-1),'3b Activity Plan'!AV$173:AV$365,'3b Activity Plan'!$AH$173:$AH$365,'3b Activity Plan'!$CY$173:$CY$365,('3b Activity Plan'!$C$173:$C$365=$W$130)*1)</f>
        <v>0</v>
      </c>
      <c r="AE151" s="1558">
        <f ca="1">SUMPRODUCT('3b Activity Plan'!$AN$173:$AN$365,OFFSET('3b Activity Plan'!$DJ$173:$DJ$365,0,$CU151-1),'3b Activity Plan'!AW$173:AW$365,'3b Activity Plan'!$AH$173:$AH$365,'3b Activity Plan'!$CY$173:$CY$365,('3b Activity Plan'!$C$173:$C$365=$W$130)*1)</f>
        <v>0</v>
      </c>
      <c r="AF151" s="1558">
        <f ca="1">SUMPRODUCT('3b Activity Plan'!$AN$173:$AN$365,OFFSET('3b Activity Plan'!$DJ$173:$DJ$365,0,$CU151-1),'3b Activity Plan'!AX$173:AX$365,'3b Activity Plan'!$AH$173:$AH$365,'3b Activity Plan'!$CY$173:$CY$365,('3b Activity Plan'!$C$173:$C$365=$W$130)*1)</f>
        <v>0</v>
      </c>
      <c r="AG151" s="1602">
        <f ca="1">SUMPRODUCT('3b Activity Plan'!$AN$173:$AN$365,OFFSET('3b Activity Plan'!$DJ$173:$DJ$365,0,$CU151-1),'3b Activity Plan'!AO$173:AO$365,'3b Activity Plan'!$AH$173:$AH$365,'3b Activity Plan'!$CY$173:$CY$365,('3b Activity Plan'!$C$173:$C$365=$AG$130)*1)</f>
        <v>0</v>
      </c>
      <c r="AH151" s="1558">
        <f ca="1">SUMPRODUCT('3b Activity Plan'!$AN$173:$AN$365,OFFSET('3b Activity Plan'!$DJ$173:$DJ$365,0,$CU151-1),'3b Activity Plan'!AP$173:AP$365,'3b Activity Plan'!$AH$173:$AH$365,'3b Activity Plan'!$CY$173:$CY$365,('3b Activity Plan'!$C$173:$C$365=$AG$130)*1)</f>
        <v>0</v>
      </c>
      <c r="AI151" s="1558">
        <f ca="1">SUMPRODUCT('3b Activity Plan'!$AN$173:$AN$365,OFFSET('3b Activity Plan'!$DJ$173:$DJ$365,0,$CU151-1),'3b Activity Plan'!AQ$173:AQ$365,'3b Activity Plan'!$AH$173:$AH$365,'3b Activity Plan'!$CY$173:$CY$365,('3b Activity Plan'!$C$173:$C$365=$AG$130)*1)</f>
        <v>0</v>
      </c>
      <c r="AJ151" s="1558">
        <f ca="1">SUMPRODUCT('3b Activity Plan'!$AN$173:$AN$365,OFFSET('3b Activity Plan'!$DJ$173:$DJ$365,0,$CU151-1),'3b Activity Plan'!AR$173:AR$365,'3b Activity Plan'!$AH$173:$AH$365,'3b Activity Plan'!$CY$173:$CY$365,('3b Activity Plan'!$C$173:$C$365=$AG$130)*1)</f>
        <v>0</v>
      </c>
      <c r="AK151" s="1558">
        <f ca="1">SUMPRODUCT('3b Activity Plan'!$AN$173:$AN$365,OFFSET('3b Activity Plan'!$DJ$173:$DJ$365,0,$CU151-1),'3b Activity Plan'!AS$173:AS$365,'3b Activity Plan'!$AH$173:$AH$365,'3b Activity Plan'!$CY$173:$CY$365,('3b Activity Plan'!$C$173:$C$365=$AG$130)*1)</f>
        <v>0</v>
      </c>
      <c r="AL151" s="1558">
        <f ca="1">SUMPRODUCT('3b Activity Plan'!$AN$173:$AN$365,OFFSET('3b Activity Plan'!$DJ$173:$DJ$365,0,$CU151-1),'3b Activity Plan'!AT$173:AT$365,'3b Activity Plan'!$AH$173:$AH$365,'3b Activity Plan'!$CY$173:$CY$365,('3b Activity Plan'!$C$173:$C$365=$AG$130)*1)</f>
        <v>0</v>
      </c>
      <c r="AM151" s="1558">
        <f ca="1">SUMPRODUCT('3b Activity Plan'!$AN$173:$AN$365,OFFSET('3b Activity Plan'!$DJ$173:$DJ$365,0,$CU151-1),'3b Activity Plan'!AU$173:AU$365,'3b Activity Plan'!$AH$173:$AH$365,'3b Activity Plan'!$CY$173:$CY$365,('3b Activity Plan'!$C$173:$C$365=$AG$130)*1)</f>
        <v>0</v>
      </c>
      <c r="AN151" s="1558">
        <f ca="1">SUMPRODUCT('3b Activity Plan'!$AN$173:$AN$365,OFFSET('3b Activity Plan'!$DJ$173:$DJ$365,0,$CU151-1),'3b Activity Plan'!AV$173:AV$365,'3b Activity Plan'!$AH$173:$AH$365,'3b Activity Plan'!$CY$173:$CY$365,('3b Activity Plan'!$C$173:$C$365=$AG$130)*1)</f>
        <v>0</v>
      </c>
      <c r="AO151" s="1558">
        <f ca="1">SUMPRODUCT('3b Activity Plan'!$AN$173:$AN$365,OFFSET('3b Activity Plan'!$DJ$173:$DJ$365,0,$CU151-1),'3b Activity Plan'!AW$173:AW$365,'3b Activity Plan'!$AH$173:$AH$365,'3b Activity Plan'!$CY$173:$CY$365,('3b Activity Plan'!$C$173:$C$365=$AG$130)*1)</f>
        <v>0</v>
      </c>
      <c r="AP151" s="1558">
        <f ca="1">SUMPRODUCT('3b Activity Plan'!$AN$173:$AN$365,OFFSET('3b Activity Plan'!$DJ$173:$DJ$365,0,$CU151-1),'3b Activity Plan'!AX$173:AX$365,'3b Activity Plan'!$AH$173:$AH$365,'3b Activity Plan'!$CY$173:$CY$365,('3b Activity Plan'!$C$173:$C$365=$AG$130)*1)</f>
        <v>0</v>
      </c>
      <c r="AQ151" s="1602">
        <f ca="1">SUMPRODUCT('3b Activity Plan'!$AN$173:$AN$365,OFFSET('3b Activity Plan'!$DJ$173:$DJ$365,0,$CU151-1),'3b Activity Plan'!AO$173:AO$365,'3b Activity Plan'!$AH$173:$AH$365,'3b Activity Plan'!$CY$173:$CY$365,('3b Activity Plan'!$C$173:$C$365=$AQ$130)*1)</f>
        <v>0</v>
      </c>
      <c r="AR151" s="1558">
        <f ca="1">SUMPRODUCT('3b Activity Plan'!$AN$173:$AN$365,OFFSET('3b Activity Plan'!$DJ$173:$DJ$365,0,$CU151-1),'3b Activity Plan'!AP$173:AP$365,'3b Activity Plan'!$AH$173:$AH$365,'3b Activity Plan'!$CY$173:$CY$365,('3b Activity Plan'!$C$173:$C$365=$AQ$130)*1)</f>
        <v>0</v>
      </c>
      <c r="AS151" s="1558">
        <f ca="1">SUMPRODUCT('3b Activity Plan'!$AN$173:$AN$365,OFFSET('3b Activity Plan'!$DJ$173:$DJ$365,0,$CU151-1),'3b Activity Plan'!AQ$173:AQ$365,'3b Activity Plan'!$AH$173:$AH$365,'3b Activity Plan'!$CY$173:$CY$365,('3b Activity Plan'!$C$173:$C$365=$AQ$130)*1)</f>
        <v>0</v>
      </c>
      <c r="AT151" s="1558">
        <f ca="1">SUMPRODUCT('3b Activity Plan'!$AN$173:$AN$365,OFFSET('3b Activity Plan'!$DJ$173:$DJ$365,0,$CU151-1),'3b Activity Plan'!AR$173:AR$365,'3b Activity Plan'!$AH$173:$AH$365,'3b Activity Plan'!$CY$173:$CY$365,('3b Activity Plan'!$C$173:$C$365=$AQ$130)*1)</f>
        <v>0</v>
      </c>
      <c r="AU151" s="1558">
        <f ca="1">SUMPRODUCT('3b Activity Plan'!$AN$173:$AN$365,OFFSET('3b Activity Plan'!$DJ$173:$DJ$365,0,$CU151-1),'3b Activity Plan'!AS$173:AS$365,'3b Activity Plan'!$AH$173:$AH$365,'3b Activity Plan'!$CY$173:$CY$365,('3b Activity Plan'!$C$173:$C$365=$AQ$130)*1)</f>
        <v>0</v>
      </c>
      <c r="AV151" s="1558">
        <f ca="1">SUMPRODUCT('3b Activity Plan'!$AN$173:$AN$365,OFFSET('3b Activity Plan'!$DJ$173:$DJ$365,0,$CU151-1),'3b Activity Plan'!AT$173:AT$365,'3b Activity Plan'!$AH$173:$AH$365,'3b Activity Plan'!$CY$173:$CY$365,('3b Activity Plan'!$C$173:$C$365=$AQ$130)*1)</f>
        <v>0</v>
      </c>
      <c r="AW151" s="1558">
        <f ca="1">SUMPRODUCT('3b Activity Plan'!$AN$173:$AN$365,OFFSET('3b Activity Plan'!$DJ$173:$DJ$365,0,$CU151-1),'3b Activity Plan'!AU$173:AU$365,'3b Activity Plan'!$AH$173:$AH$365,'3b Activity Plan'!$CY$173:$CY$365,('3b Activity Plan'!$C$173:$C$365=$AQ$130)*1)</f>
        <v>0</v>
      </c>
      <c r="AX151" s="1558">
        <f ca="1">SUMPRODUCT('3b Activity Plan'!$AN$173:$AN$365,OFFSET('3b Activity Plan'!$DJ$173:$DJ$365,0,$CU151-1),'3b Activity Plan'!AV$173:AV$365,'3b Activity Plan'!$AH$173:$AH$365,'3b Activity Plan'!$CY$173:$CY$365,('3b Activity Plan'!$C$173:$C$365=$AQ$130)*1)</f>
        <v>0</v>
      </c>
      <c r="AY151" s="1558">
        <f ca="1">SUMPRODUCT('3b Activity Plan'!$AN$173:$AN$365,OFFSET('3b Activity Plan'!$DJ$173:$DJ$365,0,$CU151-1),'3b Activity Plan'!AW$173:AW$365,'3b Activity Plan'!$AH$173:$AH$365,'3b Activity Plan'!$CY$173:$CY$365,('3b Activity Plan'!$C$173:$C$365=$AQ$130)*1)</f>
        <v>0</v>
      </c>
      <c r="AZ151" s="1558">
        <f ca="1">SUMPRODUCT('3b Activity Plan'!$AN$173:$AN$365,OFFSET('3b Activity Plan'!$DJ$173:$DJ$365,0,$CU151-1),'3b Activity Plan'!AX$173:AX$365,'3b Activity Plan'!$AH$173:$AH$365,'3b Activity Plan'!$CY$173:$CY$365,('3b Activity Plan'!$C$173:$C$365=$AQ$130)*1)</f>
        <v>0</v>
      </c>
      <c r="BA151" s="1602">
        <f ca="1">SUMPRODUCT('3b Activity Plan'!$AN$173:$AN$365,OFFSET('3b Activity Plan'!$DJ$173:$DJ$365,0,$CU151-1),'3b Activity Plan'!AO$173:AO$365,'3b Activity Plan'!$AH$173:$AH$365,'3b Activity Plan'!$CY$173:$CY$365,('3b Activity Plan'!$C$173:$C$365=$BA$130)*1)</f>
        <v>0</v>
      </c>
      <c r="BB151" s="1558">
        <f ca="1">SUMPRODUCT('3b Activity Plan'!$AN$173:$AN$365,OFFSET('3b Activity Plan'!$DJ$173:$DJ$365,0,$CU151-1),'3b Activity Plan'!AP$173:AP$365,'3b Activity Plan'!$AH$173:$AH$365,'3b Activity Plan'!$CY$173:$CY$365,('3b Activity Plan'!$C$173:$C$365=$BA$130)*1)</f>
        <v>0</v>
      </c>
      <c r="BC151" s="1558">
        <f ca="1">SUMPRODUCT('3b Activity Plan'!$AN$173:$AN$365,OFFSET('3b Activity Plan'!$DJ$173:$DJ$365,0,$CU151-1),'3b Activity Plan'!AQ$173:AQ$365,'3b Activity Plan'!$AH$173:$AH$365,'3b Activity Plan'!$CY$173:$CY$365,('3b Activity Plan'!$C$173:$C$365=$BA$130)*1)</f>
        <v>0</v>
      </c>
      <c r="BD151" s="1558">
        <f ca="1">SUMPRODUCT('3b Activity Plan'!$AN$173:$AN$365,OFFSET('3b Activity Plan'!$DJ$173:$DJ$365,0,$CU151-1),'3b Activity Plan'!AR$173:AR$365,'3b Activity Plan'!$AH$173:$AH$365,'3b Activity Plan'!$CY$173:$CY$365,('3b Activity Plan'!$C$173:$C$365=$BA$130)*1)</f>
        <v>0</v>
      </c>
      <c r="BE151" s="1558">
        <f ca="1">SUMPRODUCT('3b Activity Plan'!$AN$173:$AN$365,OFFSET('3b Activity Plan'!$DJ$173:$DJ$365,0,$CU151-1),'3b Activity Plan'!AS$173:AS$365,'3b Activity Plan'!$AH$173:$AH$365,'3b Activity Plan'!$CY$173:$CY$365,('3b Activity Plan'!$C$173:$C$365=$BA$130)*1)</f>
        <v>0</v>
      </c>
      <c r="BF151" s="1558">
        <f ca="1">SUMPRODUCT('3b Activity Plan'!$AN$173:$AN$365,OFFSET('3b Activity Plan'!$DJ$173:$DJ$365,0,$CU151-1),'3b Activity Plan'!AT$173:AT$365,'3b Activity Plan'!$AH$173:$AH$365,'3b Activity Plan'!$CY$173:$CY$365,('3b Activity Plan'!$C$173:$C$365=$BA$130)*1)</f>
        <v>0</v>
      </c>
      <c r="BG151" s="1558">
        <f ca="1">SUMPRODUCT('3b Activity Plan'!$AN$173:$AN$365,OFFSET('3b Activity Plan'!$DJ$173:$DJ$365,0,$CU151-1),'3b Activity Plan'!AU$173:AU$365,'3b Activity Plan'!$AH$173:$AH$365,'3b Activity Plan'!$CY$173:$CY$365,('3b Activity Plan'!$C$173:$C$365=$BA$130)*1)</f>
        <v>0</v>
      </c>
      <c r="BH151" s="1558">
        <f ca="1">SUMPRODUCT('3b Activity Plan'!$AN$173:$AN$365,OFFSET('3b Activity Plan'!$DJ$173:$DJ$365,0,$CU151-1),'3b Activity Plan'!AV$173:AV$365,'3b Activity Plan'!$AH$173:$AH$365,'3b Activity Plan'!$CY$173:$CY$365,('3b Activity Plan'!$C$173:$C$365=$BA$130)*1)</f>
        <v>0</v>
      </c>
      <c r="BI151" s="1558">
        <f ca="1">SUMPRODUCT('3b Activity Plan'!$AN$173:$AN$365,OFFSET('3b Activity Plan'!$DJ$173:$DJ$365,0,$CU151-1),'3b Activity Plan'!AW$173:AW$365,'3b Activity Plan'!$AH$173:$AH$365,'3b Activity Plan'!$CY$173:$CY$365,('3b Activity Plan'!$C$173:$C$365=$BA$130)*1)</f>
        <v>0</v>
      </c>
      <c r="BJ151" s="1558">
        <f ca="1">SUMPRODUCT('3b Activity Plan'!$AN$173:$AN$365,OFFSET('3b Activity Plan'!$DJ$173:$DJ$365,0,$CU151-1),'3b Activity Plan'!AX$173:AX$365,'3b Activity Plan'!$AH$173:$AH$365,'3b Activity Plan'!$CY$173:$CY$365,('3b Activity Plan'!$C$173:$C$365=$BA$130)*1)</f>
        <v>0</v>
      </c>
      <c r="BK151" s="1602">
        <f ca="1">SUMPRODUCT('3b Activity Plan'!$AN$173:$AN$365,OFFSET('3b Activity Plan'!$DJ$173:$DJ$365,0,$CU151-1),'3b Activity Plan'!AO$173:AO$365,'3b Activity Plan'!$AH$173:$AH$365,'3b Activity Plan'!$CY$173:$CY$365,('3b Activity Plan'!$C$173:$C$365=$BK$130)*1)</f>
        <v>0</v>
      </c>
      <c r="BL151" s="1558">
        <f ca="1">SUMPRODUCT('3b Activity Plan'!$AN$173:$AN$365,OFFSET('3b Activity Plan'!$DJ$173:$DJ$365,0,$CU151-1),'3b Activity Plan'!AP$173:AP$365,'3b Activity Plan'!$AH$173:$AH$365,'3b Activity Plan'!$CY$173:$CY$365,('3b Activity Plan'!$C$173:$C$365=$BK$130)*1)</f>
        <v>0</v>
      </c>
      <c r="BM151" s="1558">
        <f ca="1">SUMPRODUCT('3b Activity Plan'!$AN$173:$AN$365,OFFSET('3b Activity Plan'!$DJ$173:$DJ$365,0,$CU151-1),'3b Activity Plan'!AQ$173:AQ$365,'3b Activity Plan'!$AH$173:$AH$365,'3b Activity Plan'!$CY$173:$CY$365,('3b Activity Plan'!$C$173:$C$365=$BK$130)*1)</f>
        <v>0</v>
      </c>
      <c r="BN151" s="1558">
        <f ca="1">SUMPRODUCT('3b Activity Plan'!$AN$173:$AN$365,OFFSET('3b Activity Plan'!$DJ$173:$DJ$365,0,$CU151-1),'3b Activity Plan'!AR$173:AR$365,'3b Activity Plan'!$AH$173:$AH$365,'3b Activity Plan'!$CY$173:$CY$365,('3b Activity Plan'!$C$173:$C$365=$BK$130)*1)</f>
        <v>0</v>
      </c>
      <c r="BO151" s="1558">
        <f ca="1">SUMPRODUCT('3b Activity Plan'!$AN$173:$AN$365,OFFSET('3b Activity Plan'!$DJ$173:$DJ$365,0,$CU151-1),'3b Activity Plan'!AS$173:AS$365,'3b Activity Plan'!$AH$173:$AH$365,'3b Activity Plan'!$CY$173:$CY$365,('3b Activity Plan'!$C$173:$C$365=$BK$130)*1)</f>
        <v>0</v>
      </c>
      <c r="BP151" s="1558">
        <f ca="1">SUMPRODUCT('3b Activity Plan'!$AN$173:$AN$365,OFFSET('3b Activity Plan'!$DJ$173:$DJ$365,0,$CU151-1),'3b Activity Plan'!AT$173:AT$365,'3b Activity Plan'!$AH$173:$AH$365,'3b Activity Plan'!$CY$173:$CY$365,('3b Activity Plan'!$C$173:$C$365=$BK$130)*1)</f>
        <v>0</v>
      </c>
      <c r="BQ151" s="1558">
        <f ca="1">SUMPRODUCT('3b Activity Plan'!$AN$173:$AN$365,OFFSET('3b Activity Plan'!$DJ$173:$DJ$365,0,$CU151-1),'3b Activity Plan'!AU$173:AU$365,'3b Activity Plan'!$AH$173:$AH$365,'3b Activity Plan'!$CY$173:$CY$365,('3b Activity Plan'!$C$173:$C$365=$BK$130)*1)</f>
        <v>0</v>
      </c>
      <c r="BR151" s="1558">
        <f ca="1">SUMPRODUCT('3b Activity Plan'!$AN$173:$AN$365,OFFSET('3b Activity Plan'!$DJ$173:$DJ$365,0,$CU151-1),'3b Activity Plan'!AV$173:AV$365,'3b Activity Plan'!$AH$173:$AH$365,'3b Activity Plan'!$CY$173:$CY$365,('3b Activity Plan'!$C$173:$C$365=$BK$130)*1)</f>
        <v>0</v>
      </c>
      <c r="BS151" s="1558">
        <f ca="1">SUMPRODUCT('3b Activity Plan'!$AN$173:$AN$365,OFFSET('3b Activity Plan'!$DJ$173:$DJ$365,0,$CU151-1),'3b Activity Plan'!AW$173:AW$365,'3b Activity Plan'!$AH$173:$AH$365,'3b Activity Plan'!$CY$173:$CY$365,('3b Activity Plan'!$C$173:$C$365=$BK$130)*1)</f>
        <v>0</v>
      </c>
      <c r="BT151" s="1558">
        <f ca="1">SUMPRODUCT('3b Activity Plan'!$AN$173:$AN$365,OFFSET('3b Activity Plan'!$DJ$173:$DJ$365,0,$CU151-1),'3b Activity Plan'!AX$173:AX$365,'3b Activity Plan'!$AH$173:$AH$365,'3b Activity Plan'!$CY$173:$CY$365,('3b Activity Plan'!$C$173:$C$365=$BK$130)*1)</f>
        <v>0</v>
      </c>
      <c r="BU151" s="1587"/>
      <c r="BV151" s="1587"/>
      <c r="BW151" s="1587"/>
      <c r="BX151" s="1556"/>
      <c r="BY151" s="1556"/>
      <c r="BZ151" s="1556"/>
      <c r="CA151" s="1024">
        <f ca="1">SUMIFS('3a Staff Plan'!$T$129:$T$305,'3a Staff Plan'!$DY$129:$DY$305,CZ151,'3a Staff Plan'!$DF$129:$DF$305,1)</f>
        <v>0</v>
      </c>
      <c r="CB151" s="1025">
        <f ca="1">SUMIFS('3a Staff Plan'!$T$129:$T$305,'3a Staff Plan'!$DY$129:$DY$305,$CZ151,'3a Staff Plan'!$DF$129:$DF$305,1,'3a Staff Plan'!$C$129:$C$305,DC$18)</f>
        <v>0</v>
      </c>
      <c r="CC151" s="1026">
        <f ca="1">SUMIFS('3a Staff Plan'!$T$129:$T$305,'3a Staff Plan'!$DY$129:$DY$305,$CZ151,'3a Staff Plan'!$DF$129:$DF$305,1,'3a Staff Plan'!$C$129:$C$305,DD$18)</f>
        <v>0</v>
      </c>
      <c r="CD151" s="1026">
        <f ca="1">SUMIFS('3a Staff Plan'!$T$129:$T$305,'3a Staff Plan'!$DY$129:$DY$305,$CZ151,'3a Staff Plan'!$DF$129:$DF$305,1,'3a Staff Plan'!$C$129:$C$305,DE$18)</f>
        <v>0</v>
      </c>
      <c r="CE151" s="1026">
        <f ca="1">SUMIFS('3a Staff Plan'!$T$129:$T$305,'3a Staff Plan'!$DY$129:$DY$305,$CZ151,'3a Staff Plan'!$DF$129:$DF$305,1,'3a Staff Plan'!$C$129:$C$305,DF$18)</f>
        <v>0</v>
      </c>
      <c r="CF151" s="1026">
        <f ca="1">SUMIFS('3a Staff Plan'!$T$129:$T$305,'3a Staff Plan'!$DY$129:$DY$305,$CZ151,'3a Staff Plan'!$DF$129:$DF$305,1,'3a Staff Plan'!$C$129:$C$305,DG$18)</f>
        <v>0</v>
      </c>
      <c r="CG151" s="1026">
        <f ca="1">SUMIFS('3a Staff Plan'!$T$129:$T$305,'3a Staff Plan'!$DY$129:$DY$305,$CZ151,'3a Staff Plan'!$DF$129:$DF$305,1,'3a Staff Plan'!$C$129:$C$305,DH$18)</f>
        <v>0</v>
      </c>
      <c r="CH151" s="1026">
        <f ca="1">SUMIFS('3a Staff Plan'!$T$129:$T$305,'3a Staff Plan'!$DY$129:$DY$305,$CZ151,'3a Staff Plan'!$DF$129:$DF$305,1,'3a Staff Plan'!$C$129:$C$305,DI$18)</f>
        <v>0</v>
      </c>
      <c r="CI151" s="755"/>
      <c r="CJ151" s="1024">
        <f ca="1">SUMPRODUCT('3b Activity Plan'!$AN$173:$AN$365,'3b Activity Plan'!$CY$173:$CY$365,'3b Activity Plan'!$AH$173:$AH$365,OFFSET('3b Activity Plan'!$DJ$173:$DJ$365,0,$CU151-1))</f>
        <v>0</v>
      </c>
      <c r="CK151" s="1025">
        <f t="shared" ca="1" si="93"/>
        <v>0</v>
      </c>
      <c r="CL151" s="1026">
        <f t="shared" ca="1" si="94"/>
        <v>0</v>
      </c>
      <c r="CM151" s="1026">
        <f t="shared" ca="1" si="95"/>
        <v>0</v>
      </c>
      <c r="CN151" s="1026">
        <f t="shared" ca="1" si="96"/>
        <v>0</v>
      </c>
      <c r="CO151" s="1026">
        <f t="shared" ca="1" si="97"/>
        <v>0</v>
      </c>
      <c r="CP151" s="1026">
        <f t="shared" ca="1" si="98"/>
        <v>0</v>
      </c>
      <c r="CQ151" s="1026">
        <f t="shared" ca="1" si="99"/>
        <v>0</v>
      </c>
      <c r="CR151" s="417"/>
      <c r="CS151" s="417">
        <f t="shared" si="100"/>
        <v>19</v>
      </c>
      <c r="CT151" s="417">
        <f ca="1">OFFSET('2 Staff List'!$GU$64,CS151-1,0)</f>
        <v>19</v>
      </c>
      <c r="CU151" s="417">
        <f ca="1">IF(CZ151=0,0,IFERROR(INDEX('3b Activity Plan'!$DJ$20:$FH$20,MATCH(CT151,'3b Activity Plan'!$DJ$171:$FH$171,0)),0))</f>
        <v>0</v>
      </c>
      <c r="CV151" s="417">
        <f ca="1">INDEX('2 Staff List'!$HW$64:$HW$114,CT151)</f>
        <v>0</v>
      </c>
      <c r="CW151" s="417"/>
      <c r="CY151" s="927">
        <f ca="1">OFFSET('2 Staff List'!$HZ$64,CS151-1,0)</f>
        <v>0</v>
      </c>
      <c r="CZ151" s="975">
        <f ca="1">OFFSET('2 Staff List'!$IA$64,CT151-1,0)</f>
        <v>0</v>
      </c>
      <c r="DA151" s="3840">
        <f t="shared" ca="1" si="92"/>
        <v>0</v>
      </c>
      <c r="DB151" s="3841"/>
      <c r="DC151" s="2408">
        <f t="shared" ca="1" si="85"/>
        <v>0</v>
      </c>
      <c r="DD151" s="2405">
        <f t="shared" ca="1" si="86"/>
        <v>0</v>
      </c>
      <c r="DE151" s="2405">
        <f t="shared" ca="1" si="87"/>
        <v>0</v>
      </c>
      <c r="DF151" s="2405">
        <f t="shared" ca="1" si="88"/>
        <v>0</v>
      </c>
      <c r="DG151" s="2405">
        <f t="shared" ca="1" si="89"/>
        <v>0</v>
      </c>
      <c r="DH151" s="2406">
        <f t="shared" ca="1" si="90"/>
        <v>0</v>
      </c>
      <c r="DI151" s="2407">
        <f t="shared" ca="1" si="91"/>
        <v>0</v>
      </c>
    </row>
    <row r="152" spans="1:113" ht="15.9" customHeight="1" x14ac:dyDescent="0.25">
      <c r="A152" s="1051"/>
      <c r="B152" s="1556"/>
      <c r="C152" s="1558">
        <f ca="1">SUMPRODUCT('3b Activity Plan'!$AN$173:$AN$365,OFFSET('3b Activity Plan'!$DJ$173:$DJ$365,0,$CU152-1),'3b Activity Plan'!AO$173:AO$365,'3b Activity Plan'!$AH$173:$AH$365,'3b Activity Plan'!$CY$173:$CY$365,('3b Activity Plan'!$C$173:$C$365=$C$130)*1)</f>
        <v>0</v>
      </c>
      <c r="D152" s="1558">
        <f ca="1">SUMPRODUCT('3b Activity Plan'!$AN$173:$AN$365,OFFSET('3b Activity Plan'!$DJ$173:$DJ$365,0,$CU152-1),'3b Activity Plan'!AP$173:AP$365,'3b Activity Plan'!$AH$173:$AH$365,'3b Activity Plan'!$CY$173:$CY$365,('3b Activity Plan'!$C$173:$C$365=$C$130)*1)</f>
        <v>0</v>
      </c>
      <c r="E152" s="1558">
        <f ca="1">SUMPRODUCT('3b Activity Plan'!$AN$173:$AN$365,OFFSET('3b Activity Plan'!$DJ$173:$DJ$365,0,$CU152-1),'3b Activity Plan'!AQ$173:AQ$365,'3b Activity Plan'!$AH$173:$AH$365,'3b Activity Plan'!$CY$173:$CY$365,('3b Activity Plan'!$C$173:$C$365=$C$130)*1)</f>
        <v>0</v>
      </c>
      <c r="F152" s="1558">
        <f ca="1">SUMPRODUCT('3b Activity Plan'!$AN$173:$AN$365,OFFSET('3b Activity Plan'!$DJ$173:$DJ$365,0,$CU152-1),'3b Activity Plan'!AR$173:AR$365,'3b Activity Plan'!$AH$173:$AH$365,'3b Activity Plan'!$CY$173:$CY$365,('3b Activity Plan'!$C$173:$C$365=$C$130)*1)</f>
        <v>0</v>
      </c>
      <c r="G152" s="1558">
        <f ca="1">SUMPRODUCT('3b Activity Plan'!$AN$173:$AN$365,OFFSET('3b Activity Plan'!$DJ$173:$DJ$365,0,$CU152-1),'3b Activity Plan'!AS$173:AS$365,'3b Activity Plan'!$AH$173:$AH$365,'3b Activity Plan'!$CY$173:$CY$365,('3b Activity Plan'!$C$173:$C$365=$C$130)*1)</f>
        <v>0</v>
      </c>
      <c r="H152" s="1558">
        <f ca="1">SUMPRODUCT('3b Activity Plan'!$AN$173:$AN$365,OFFSET('3b Activity Plan'!$DJ$173:$DJ$365,0,$CU152-1),'3b Activity Plan'!AT$173:AT$365,'3b Activity Plan'!$AH$173:$AH$365,'3b Activity Plan'!$CY$173:$CY$365,('3b Activity Plan'!$C$173:$C$365=$C$130)*1)</f>
        <v>0</v>
      </c>
      <c r="I152" s="1558">
        <f ca="1">SUMPRODUCT('3b Activity Plan'!$AN$173:$AN$365,OFFSET('3b Activity Plan'!$DJ$173:$DJ$365,0,$CU152-1),'3b Activity Plan'!AU$173:AU$365,'3b Activity Plan'!$AH$173:$AH$365,'3b Activity Plan'!$CY$173:$CY$365,('3b Activity Plan'!$C$173:$C$365=$C$130)*1)</f>
        <v>0</v>
      </c>
      <c r="J152" s="1558">
        <f ca="1">SUMPRODUCT('3b Activity Plan'!$AN$173:$AN$365,OFFSET('3b Activity Plan'!$DJ$173:$DJ$365,0,$CU152-1),'3b Activity Plan'!AV$173:AV$365,'3b Activity Plan'!$AH$173:$AH$365,'3b Activity Plan'!$CY$173:$CY$365,('3b Activity Plan'!$C$173:$C$365=$C$130)*1)</f>
        <v>0</v>
      </c>
      <c r="K152" s="1558">
        <f ca="1">SUMPRODUCT('3b Activity Plan'!$AN$173:$AN$365,OFFSET('3b Activity Plan'!$DJ$173:$DJ$365,0,$CU152-1),'3b Activity Plan'!AW$173:AW$365,'3b Activity Plan'!$AH$173:$AH$365,'3b Activity Plan'!$CY$173:$CY$365,('3b Activity Plan'!$C$173:$C$365=$C$130)*1)</f>
        <v>0</v>
      </c>
      <c r="L152" s="1601">
        <f ca="1">SUMPRODUCT('3b Activity Plan'!$AN$173:$AN$365,OFFSET('3b Activity Plan'!$DJ$173:$DJ$365,0,$CU152-1),'3b Activity Plan'!AX$173:AX$365,'3b Activity Plan'!$AH$173:$AH$365,'3b Activity Plan'!$CY$173:$CY$365,('3b Activity Plan'!$C$173:$C$365=$C$130)*1)</f>
        <v>0</v>
      </c>
      <c r="M152" s="1602">
        <f ca="1">SUMPRODUCT('3b Activity Plan'!$AN$173:$AN$365,OFFSET('3b Activity Plan'!$DJ$173:$DJ$365,0,$CU152-1),'3b Activity Plan'!AO$173:AO$365,'3b Activity Plan'!$AH$173:$AH$365,'3b Activity Plan'!$CY$173:$CY$365,('3b Activity Plan'!$C$173:$C$365=$M$130)*1)</f>
        <v>0</v>
      </c>
      <c r="N152" s="1558">
        <f ca="1">SUMPRODUCT('3b Activity Plan'!$AN$173:$AN$365,OFFSET('3b Activity Plan'!$DJ$173:$DJ$365,0,$CU152-1),'3b Activity Plan'!AP$173:AP$365,'3b Activity Plan'!$AH$173:$AH$365,'3b Activity Plan'!$CY$173:$CY$365,('3b Activity Plan'!$C$173:$C$365=$M$130)*1)</f>
        <v>0</v>
      </c>
      <c r="O152" s="1558">
        <f ca="1">SUMPRODUCT('3b Activity Plan'!$AN$173:$AN$365,OFFSET('3b Activity Plan'!$DJ$173:$DJ$365,0,$CU152-1),'3b Activity Plan'!AQ$173:AQ$365,'3b Activity Plan'!$AH$173:$AH$365,'3b Activity Plan'!$CY$173:$CY$365,('3b Activity Plan'!$C$173:$C$365=$M$130)*1)</f>
        <v>0</v>
      </c>
      <c r="P152" s="1558">
        <f ca="1">SUMPRODUCT('3b Activity Plan'!$AN$173:$AN$365,OFFSET('3b Activity Plan'!$DJ$173:$DJ$365,0,$CU152-1),'3b Activity Plan'!AR$173:AR$365,'3b Activity Plan'!$AH$173:$AH$365,'3b Activity Plan'!$CY$173:$CY$365,('3b Activity Plan'!$C$173:$C$365=$M$130)*1)</f>
        <v>0</v>
      </c>
      <c r="Q152" s="1558">
        <f ca="1">SUMPRODUCT('3b Activity Plan'!$AN$173:$AN$365,OFFSET('3b Activity Plan'!$DJ$173:$DJ$365,0,$CU152-1),'3b Activity Plan'!AS$173:AS$365,'3b Activity Plan'!$AH$173:$AH$365,'3b Activity Plan'!$CY$173:$CY$365,('3b Activity Plan'!$C$173:$C$365=$M$130)*1)</f>
        <v>0</v>
      </c>
      <c r="R152" s="1558">
        <f ca="1">SUMPRODUCT('3b Activity Plan'!$AN$173:$AN$365,OFFSET('3b Activity Plan'!$DJ$173:$DJ$365,0,$CU152-1),'3b Activity Plan'!AT$173:AT$365,'3b Activity Plan'!$AH$173:$AH$365,'3b Activity Plan'!$CY$173:$CY$365,('3b Activity Plan'!$C$173:$C$365=$M$130)*1)</f>
        <v>0</v>
      </c>
      <c r="S152" s="1558">
        <f ca="1">SUMPRODUCT('3b Activity Plan'!$AN$173:$AN$365,OFFSET('3b Activity Plan'!$DJ$173:$DJ$365,0,$CU152-1),'3b Activity Plan'!AU$173:AU$365,'3b Activity Plan'!$AH$173:$AH$365,'3b Activity Plan'!$CY$173:$CY$365,('3b Activity Plan'!$C$173:$C$365=$M$130)*1)</f>
        <v>0</v>
      </c>
      <c r="T152" s="1558">
        <f ca="1">SUMPRODUCT('3b Activity Plan'!$AN$173:$AN$365,OFFSET('3b Activity Plan'!$DJ$173:$DJ$365,0,$CU152-1),'3b Activity Plan'!AV$173:AV$365,'3b Activity Plan'!$AH$173:$AH$365,'3b Activity Plan'!$CY$173:$CY$365,('3b Activity Plan'!$C$173:$C$365=$M$130)*1)</f>
        <v>0</v>
      </c>
      <c r="U152" s="1558">
        <f ca="1">SUMPRODUCT('3b Activity Plan'!$AN$173:$AN$365,OFFSET('3b Activity Plan'!$DJ$173:$DJ$365,0,$CU152-1),'3b Activity Plan'!AW$173:AW$365,'3b Activity Plan'!$AH$173:$AH$365,'3b Activity Plan'!$CY$173:$CY$365,('3b Activity Plan'!$C$173:$C$365=$M$130)*1)</f>
        <v>0</v>
      </c>
      <c r="V152" s="1601">
        <f ca="1">SUMPRODUCT('3b Activity Plan'!$AN$173:$AN$365,OFFSET('3b Activity Plan'!$DJ$173:$DJ$365,0,$CU152-1),'3b Activity Plan'!AX$173:AX$365,'3b Activity Plan'!$AH$173:$AH$365,'3b Activity Plan'!$CY$173:$CY$365,('3b Activity Plan'!$C$173:$C$365=$M$130)*1)</f>
        <v>0</v>
      </c>
      <c r="W152" s="1602">
        <f ca="1">SUMPRODUCT('3b Activity Plan'!$AN$173:$AN$365,OFFSET('3b Activity Plan'!$DJ$173:$DJ$365,0,$CU152-1),'3b Activity Plan'!AO$173:AO$365,'3b Activity Plan'!$AH$173:$AH$365,'3b Activity Plan'!$CY$173:$CY$365,('3b Activity Plan'!$C$173:$C$365=$W$130)*1)</f>
        <v>0</v>
      </c>
      <c r="X152" s="1558">
        <f ca="1">SUMPRODUCT('3b Activity Plan'!$AN$173:$AN$365,OFFSET('3b Activity Plan'!$DJ$173:$DJ$365,0,$CU152-1),'3b Activity Plan'!AP$173:AP$365,'3b Activity Plan'!$AH$173:$AH$365,'3b Activity Plan'!$CY$173:$CY$365,('3b Activity Plan'!$C$173:$C$365=$W$130)*1)</f>
        <v>0</v>
      </c>
      <c r="Y152" s="1558">
        <f ca="1">SUMPRODUCT('3b Activity Plan'!$AN$173:$AN$365,OFFSET('3b Activity Plan'!$DJ$173:$DJ$365,0,$CU152-1),'3b Activity Plan'!AQ$173:AQ$365,'3b Activity Plan'!$AH$173:$AH$365,'3b Activity Plan'!$CY$173:$CY$365,('3b Activity Plan'!$C$173:$C$365=$W$130)*1)</f>
        <v>0</v>
      </c>
      <c r="Z152" s="1558">
        <f ca="1">SUMPRODUCT('3b Activity Plan'!$AN$173:$AN$365,OFFSET('3b Activity Plan'!$DJ$173:$DJ$365,0,$CU152-1),'3b Activity Plan'!AR$173:AR$365,'3b Activity Plan'!$AH$173:$AH$365,'3b Activity Plan'!$CY$173:$CY$365,('3b Activity Plan'!$C$173:$C$365=$W$130)*1)</f>
        <v>0</v>
      </c>
      <c r="AA152" s="1558">
        <f ca="1">SUMPRODUCT('3b Activity Plan'!$AN$173:$AN$365,OFFSET('3b Activity Plan'!$DJ$173:$DJ$365,0,$CU152-1),'3b Activity Plan'!AS$173:AS$365,'3b Activity Plan'!$AH$173:$AH$365,'3b Activity Plan'!$CY$173:$CY$365,('3b Activity Plan'!$C$173:$C$365=$W$130)*1)</f>
        <v>0</v>
      </c>
      <c r="AB152" s="1558">
        <f ca="1">SUMPRODUCT('3b Activity Plan'!$AN$173:$AN$365,OFFSET('3b Activity Plan'!$DJ$173:$DJ$365,0,$CU152-1),'3b Activity Plan'!AT$173:AT$365,'3b Activity Plan'!$AH$173:$AH$365,'3b Activity Plan'!$CY$173:$CY$365,('3b Activity Plan'!$C$173:$C$365=$W$130)*1)</f>
        <v>0</v>
      </c>
      <c r="AC152" s="1558">
        <f ca="1">SUMPRODUCT('3b Activity Plan'!$AN$173:$AN$365,OFFSET('3b Activity Plan'!$DJ$173:$DJ$365,0,$CU152-1),'3b Activity Plan'!AU$173:AU$365,'3b Activity Plan'!$AH$173:$AH$365,'3b Activity Plan'!$CY$173:$CY$365,('3b Activity Plan'!$C$173:$C$365=$W$130)*1)</f>
        <v>0</v>
      </c>
      <c r="AD152" s="1558">
        <f ca="1">SUMPRODUCT('3b Activity Plan'!$AN$173:$AN$365,OFFSET('3b Activity Plan'!$DJ$173:$DJ$365,0,$CU152-1),'3b Activity Plan'!AV$173:AV$365,'3b Activity Plan'!$AH$173:$AH$365,'3b Activity Plan'!$CY$173:$CY$365,('3b Activity Plan'!$C$173:$C$365=$W$130)*1)</f>
        <v>0</v>
      </c>
      <c r="AE152" s="1558">
        <f ca="1">SUMPRODUCT('3b Activity Plan'!$AN$173:$AN$365,OFFSET('3b Activity Plan'!$DJ$173:$DJ$365,0,$CU152-1),'3b Activity Plan'!AW$173:AW$365,'3b Activity Plan'!$AH$173:$AH$365,'3b Activity Plan'!$CY$173:$CY$365,('3b Activity Plan'!$C$173:$C$365=$W$130)*1)</f>
        <v>0</v>
      </c>
      <c r="AF152" s="1558">
        <f ca="1">SUMPRODUCT('3b Activity Plan'!$AN$173:$AN$365,OFFSET('3b Activity Plan'!$DJ$173:$DJ$365,0,$CU152-1),'3b Activity Plan'!AX$173:AX$365,'3b Activity Plan'!$AH$173:$AH$365,'3b Activity Plan'!$CY$173:$CY$365,('3b Activity Plan'!$C$173:$C$365=$W$130)*1)</f>
        <v>0</v>
      </c>
      <c r="AG152" s="1602">
        <f ca="1">SUMPRODUCT('3b Activity Plan'!$AN$173:$AN$365,OFFSET('3b Activity Plan'!$DJ$173:$DJ$365,0,$CU152-1),'3b Activity Plan'!AO$173:AO$365,'3b Activity Plan'!$AH$173:$AH$365,'3b Activity Plan'!$CY$173:$CY$365,('3b Activity Plan'!$C$173:$C$365=$AG$130)*1)</f>
        <v>0</v>
      </c>
      <c r="AH152" s="1558">
        <f ca="1">SUMPRODUCT('3b Activity Plan'!$AN$173:$AN$365,OFFSET('3b Activity Plan'!$DJ$173:$DJ$365,0,$CU152-1),'3b Activity Plan'!AP$173:AP$365,'3b Activity Plan'!$AH$173:$AH$365,'3b Activity Plan'!$CY$173:$CY$365,('3b Activity Plan'!$C$173:$C$365=$AG$130)*1)</f>
        <v>0</v>
      </c>
      <c r="AI152" s="1558">
        <f ca="1">SUMPRODUCT('3b Activity Plan'!$AN$173:$AN$365,OFFSET('3b Activity Plan'!$DJ$173:$DJ$365,0,$CU152-1),'3b Activity Plan'!AQ$173:AQ$365,'3b Activity Plan'!$AH$173:$AH$365,'3b Activity Plan'!$CY$173:$CY$365,('3b Activity Plan'!$C$173:$C$365=$AG$130)*1)</f>
        <v>0</v>
      </c>
      <c r="AJ152" s="1558">
        <f ca="1">SUMPRODUCT('3b Activity Plan'!$AN$173:$AN$365,OFFSET('3b Activity Plan'!$DJ$173:$DJ$365,0,$CU152-1),'3b Activity Plan'!AR$173:AR$365,'3b Activity Plan'!$AH$173:$AH$365,'3b Activity Plan'!$CY$173:$CY$365,('3b Activity Plan'!$C$173:$C$365=$AG$130)*1)</f>
        <v>0</v>
      </c>
      <c r="AK152" s="1558">
        <f ca="1">SUMPRODUCT('3b Activity Plan'!$AN$173:$AN$365,OFFSET('3b Activity Plan'!$DJ$173:$DJ$365,0,$CU152-1),'3b Activity Plan'!AS$173:AS$365,'3b Activity Plan'!$AH$173:$AH$365,'3b Activity Plan'!$CY$173:$CY$365,('3b Activity Plan'!$C$173:$C$365=$AG$130)*1)</f>
        <v>0</v>
      </c>
      <c r="AL152" s="1558">
        <f ca="1">SUMPRODUCT('3b Activity Plan'!$AN$173:$AN$365,OFFSET('3b Activity Plan'!$DJ$173:$DJ$365,0,$CU152-1),'3b Activity Plan'!AT$173:AT$365,'3b Activity Plan'!$AH$173:$AH$365,'3b Activity Plan'!$CY$173:$CY$365,('3b Activity Plan'!$C$173:$C$365=$AG$130)*1)</f>
        <v>0</v>
      </c>
      <c r="AM152" s="1558">
        <f ca="1">SUMPRODUCT('3b Activity Plan'!$AN$173:$AN$365,OFFSET('3b Activity Plan'!$DJ$173:$DJ$365,0,$CU152-1),'3b Activity Plan'!AU$173:AU$365,'3b Activity Plan'!$AH$173:$AH$365,'3b Activity Plan'!$CY$173:$CY$365,('3b Activity Plan'!$C$173:$C$365=$AG$130)*1)</f>
        <v>0</v>
      </c>
      <c r="AN152" s="1558">
        <f ca="1">SUMPRODUCT('3b Activity Plan'!$AN$173:$AN$365,OFFSET('3b Activity Plan'!$DJ$173:$DJ$365,0,$CU152-1),'3b Activity Plan'!AV$173:AV$365,'3b Activity Plan'!$AH$173:$AH$365,'3b Activity Plan'!$CY$173:$CY$365,('3b Activity Plan'!$C$173:$C$365=$AG$130)*1)</f>
        <v>0</v>
      </c>
      <c r="AO152" s="1558">
        <f ca="1">SUMPRODUCT('3b Activity Plan'!$AN$173:$AN$365,OFFSET('3b Activity Plan'!$DJ$173:$DJ$365,0,$CU152-1),'3b Activity Plan'!AW$173:AW$365,'3b Activity Plan'!$AH$173:$AH$365,'3b Activity Plan'!$CY$173:$CY$365,('3b Activity Plan'!$C$173:$C$365=$AG$130)*1)</f>
        <v>0</v>
      </c>
      <c r="AP152" s="1558">
        <f ca="1">SUMPRODUCT('3b Activity Plan'!$AN$173:$AN$365,OFFSET('3b Activity Plan'!$DJ$173:$DJ$365,0,$CU152-1),'3b Activity Plan'!AX$173:AX$365,'3b Activity Plan'!$AH$173:$AH$365,'3b Activity Plan'!$CY$173:$CY$365,('3b Activity Plan'!$C$173:$C$365=$AG$130)*1)</f>
        <v>0</v>
      </c>
      <c r="AQ152" s="1602">
        <f ca="1">SUMPRODUCT('3b Activity Plan'!$AN$173:$AN$365,OFFSET('3b Activity Plan'!$DJ$173:$DJ$365,0,$CU152-1),'3b Activity Plan'!AO$173:AO$365,'3b Activity Plan'!$AH$173:$AH$365,'3b Activity Plan'!$CY$173:$CY$365,('3b Activity Plan'!$C$173:$C$365=$AQ$130)*1)</f>
        <v>0</v>
      </c>
      <c r="AR152" s="1558">
        <f ca="1">SUMPRODUCT('3b Activity Plan'!$AN$173:$AN$365,OFFSET('3b Activity Plan'!$DJ$173:$DJ$365,0,$CU152-1),'3b Activity Plan'!AP$173:AP$365,'3b Activity Plan'!$AH$173:$AH$365,'3b Activity Plan'!$CY$173:$CY$365,('3b Activity Plan'!$C$173:$C$365=$AQ$130)*1)</f>
        <v>0</v>
      </c>
      <c r="AS152" s="1558">
        <f ca="1">SUMPRODUCT('3b Activity Plan'!$AN$173:$AN$365,OFFSET('3b Activity Plan'!$DJ$173:$DJ$365,0,$CU152-1),'3b Activity Plan'!AQ$173:AQ$365,'3b Activity Plan'!$AH$173:$AH$365,'3b Activity Plan'!$CY$173:$CY$365,('3b Activity Plan'!$C$173:$C$365=$AQ$130)*1)</f>
        <v>0</v>
      </c>
      <c r="AT152" s="1558">
        <f ca="1">SUMPRODUCT('3b Activity Plan'!$AN$173:$AN$365,OFFSET('3b Activity Plan'!$DJ$173:$DJ$365,0,$CU152-1),'3b Activity Plan'!AR$173:AR$365,'3b Activity Plan'!$AH$173:$AH$365,'3b Activity Plan'!$CY$173:$CY$365,('3b Activity Plan'!$C$173:$C$365=$AQ$130)*1)</f>
        <v>0</v>
      </c>
      <c r="AU152" s="1558">
        <f ca="1">SUMPRODUCT('3b Activity Plan'!$AN$173:$AN$365,OFFSET('3b Activity Plan'!$DJ$173:$DJ$365,0,$CU152-1),'3b Activity Plan'!AS$173:AS$365,'3b Activity Plan'!$AH$173:$AH$365,'3b Activity Plan'!$CY$173:$CY$365,('3b Activity Plan'!$C$173:$C$365=$AQ$130)*1)</f>
        <v>0</v>
      </c>
      <c r="AV152" s="1558">
        <f ca="1">SUMPRODUCT('3b Activity Plan'!$AN$173:$AN$365,OFFSET('3b Activity Plan'!$DJ$173:$DJ$365,0,$CU152-1),'3b Activity Plan'!AT$173:AT$365,'3b Activity Plan'!$AH$173:$AH$365,'3b Activity Plan'!$CY$173:$CY$365,('3b Activity Plan'!$C$173:$C$365=$AQ$130)*1)</f>
        <v>0</v>
      </c>
      <c r="AW152" s="1558">
        <f ca="1">SUMPRODUCT('3b Activity Plan'!$AN$173:$AN$365,OFFSET('3b Activity Plan'!$DJ$173:$DJ$365,0,$CU152-1),'3b Activity Plan'!AU$173:AU$365,'3b Activity Plan'!$AH$173:$AH$365,'3b Activity Plan'!$CY$173:$CY$365,('3b Activity Plan'!$C$173:$C$365=$AQ$130)*1)</f>
        <v>0</v>
      </c>
      <c r="AX152" s="1558">
        <f ca="1">SUMPRODUCT('3b Activity Plan'!$AN$173:$AN$365,OFFSET('3b Activity Plan'!$DJ$173:$DJ$365,0,$CU152-1),'3b Activity Plan'!AV$173:AV$365,'3b Activity Plan'!$AH$173:$AH$365,'3b Activity Plan'!$CY$173:$CY$365,('3b Activity Plan'!$C$173:$C$365=$AQ$130)*1)</f>
        <v>0</v>
      </c>
      <c r="AY152" s="1558">
        <f ca="1">SUMPRODUCT('3b Activity Plan'!$AN$173:$AN$365,OFFSET('3b Activity Plan'!$DJ$173:$DJ$365,0,$CU152-1),'3b Activity Plan'!AW$173:AW$365,'3b Activity Plan'!$AH$173:$AH$365,'3b Activity Plan'!$CY$173:$CY$365,('3b Activity Plan'!$C$173:$C$365=$AQ$130)*1)</f>
        <v>0</v>
      </c>
      <c r="AZ152" s="1558">
        <f ca="1">SUMPRODUCT('3b Activity Plan'!$AN$173:$AN$365,OFFSET('3b Activity Plan'!$DJ$173:$DJ$365,0,$CU152-1),'3b Activity Plan'!AX$173:AX$365,'3b Activity Plan'!$AH$173:$AH$365,'3b Activity Plan'!$CY$173:$CY$365,('3b Activity Plan'!$C$173:$C$365=$AQ$130)*1)</f>
        <v>0</v>
      </c>
      <c r="BA152" s="1602">
        <f ca="1">SUMPRODUCT('3b Activity Plan'!$AN$173:$AN$365,OFFSET('3b Activity Plan'!$DJ$173:$DJ$365,0,$CU152-1),'3b Activity Plan'!AO$173:AO$365,'3b Activity Plan'!$AH$173:$AH$365,'3b Activity Plan'!$CY$173:$CY$365,('3b Activity Plan'!$C$173:$C$365=$BA$130)*1)</f>
        <v>0</v>
      </c>
      <c r="BB152" s="1558">
        <f ca="1">SUMPRODUCT('3b Activity Plan'!$AN$173:$AN$365,OFFSET('3b Activity Plan'!$DJ$173:$DJ$365,0,$CU152-1),'3b Activity Plan'!AP$173:AP$365,'3b Activity Plan'!$AH$173:$AH$365,'3b Activity Plan'!$CY$173:$CY$365,('3b Activity Plan'!$C$173:$C$365=$BA$130)*1)</f>
        <v>0</v>
      </c>
      <c r="BC152" s="1558">
        <f ca="1">SUMPRODUCT('3b Activity Plan'!$AN$173:$AN$365,OFFSET('3b Activity Plan'!$DJ$173:$DJ$365,0,$CU152-1),'3b Activity Plan'!AQ$173:AQ$365,'3b Activity Plan'!$AH$173:$AH$365,'3b Activity Plan'!$CY$173:$CY$365,('3b Activity Plan'!$C$173:$C$365=$BA$130)*1)</f>
        <v>0</v>
      </c>
      <c r="BD152" s="1558">
        <f ca="1">SUMPRODUCT('3b Activity Plan'!$AN$173:$AN$365,OFFSET('3b Activity Plan'!$DJ$173:$DJ$365,0,$CU152-1),'3b Activity Plan'!AR$173:AR$365,'3b Activity Plan'!$AH$173:$AH$365,'3b Activity Plan'!$CY$173:$CY$365,('3b Activity Plan'!$C$173:$C$365=$BA$130)*1)</f>
        <v>0</v>
      </c>
      <c r="BE152" s="1558">
        <f ca="1">SUMPRODUCT('3b Activity Plan'!$AN$173:$AN$365,OFFSET('3b Activity Plan'!$DJ$173:$DJ$365,0,$CU152-1),'3b Activity Plan'!AS$173:AS$365,'3b Activity Plan'!$AH$173:$AH$365,'3b Activity Plan'!$CY$173:$CY$365,('3b Activity Plan'!$C$173:$C$365=$BA$130)*1)</f>
        <v>0</v>
      </c>
      <c r="BF152" s="1558">
        <f ca="1">SUMPRODUCT('3b Activity Plan'!$AN$173:$AN$365,OFFSET('3b Activity Plan'!$DJ$173:$DJ$365,0,$CU152-1),'3b Activity Plan'!AT$173:AT$365,'3b Activity Plan'!$AH$173:$AH$365,'3b Activity Plan'!$CY$173:$CY$365,('3b Activity Plan'!$C$173:$C$365=$BA$130)*1)</f>
        <v>0</v>
      </c>
      <c r="BG152" s="1558">
        <f ca="1">SUMPRODUCT('3b Activity Plan'!$AN$173:$AN$365,OFFSET('3b Activity Plan'!$DJ$173:$DJ$365,0,$CU152-1),'3b Activity Plan'!AU$173:AU$365,'3b Activity Plan'!$AH$173:$AH$365,'3b Activity Plan'!$CY$173:$CY$365,('3b Activity Plan'!$C$173:$C$365=$BA$130)*1)</f>
        <v>0</v>
      </c>
      <c r="BH152" s="1558">
        <f ca="1">SUMPRODUCT('3b Activity Plan'!$AN$173:$AN$365,OFFSET('3b Activity Plan'!$DJ$173:$DJ$365,0,$CU152-1),'3b Activity Plan'!AV$173:AV$365,'3b Activity Plan'!$AH$173:$AH$365,'3b Activity Plan'!$CY$173:$CY$365,('3b Activity Plan'!$C$173:$C$365=$BA$130)*1)</f>
        <v>0</v>
      </c>
      <c r="BI152" s="1558">
        <f ca="1">SUMPRODUCT('3b Activity Plan'!$AN$173:$AN$365,OFFSET('3b Activity Plan'!$DJ$173:$DJ$365,0,$CU152-1),'3b Activity Plan'!AW$173:AW$365,'3b Activity Plan'!$AH$173:$AH$365,'3b Activity Plan'!$CY$173:$CY$365,('3b Activity Plan'!$C$173:$C$365=$BA$130)*1)</f>
        <v>0</v>
      </c>
      <c r="BJ152" s="1558">
        <f ca="1">SUMPRODUCT('3b Activity Plan'!$AN$173:$AN$365,OFFSET('3b Activity Plan'!$DJ$173:$DJ$365,0,$CU152-1),'3b Activity Plan'!AX$173:AX$365,'3b Activity Plan'!$AH$173:$AH$365,'3b Activity Plan'!$CY$173:$CY$365,('3b Activity Plan'!$C$173:$C$365=$BA$130)*1)</f>
        <v>0</v>
      </c>
      <c r="BK152" s="1602">
        <f ca="1">SUMPRODUCT('3b Activity Plan'!$AN$173:$AN$365,OFFSET('3b Activity Plan'!$DJ$173:$DJ$365,0,$CU152-1),'3b Activity Plan'!AO$173:AO$365,'3b Activity Plan'!$AH$173:$AH$365,'3b Activity Plan'!$CY$173:$CY$365,('3b Activity Plan'!$C$173:$C$365=$BK$130)*1)</f>
        <v>0</v>
      </c>
      <c r="BL152" s="1558">
        <f ca="1">SUMPRODUCT('3b Activity Plan'!$AN$173:$AN$365,OFFSET('3b Activity Plan'!$DJ$173:$DJ$365,0,$CU152-1),'3b Activity Plan'!AP$173:AP$365,'3b Activity Plan'!$AH$173:$AH$365,'3b Activity Plan'!$CY$173:$CY$365,('3b Activity Plan'!$C$173:$C$365=$BK$130)*1)</f>
        <v>0</v>
      </c>
      <c r="BM152" s="1558">
        <f ca="1">SUMPRODUCT('3b Activity Plan'!$AN$173:$AN$365,OFFSET('3b Activity Plan'!$DJ$173:$DJ$365,0,$CU152-1),'3b Activity Plan'!AQ$173:AQ$365,'3b Activity Plan'!$AH$173:$AH$365,'3b Activity Plan'!$CY$173:$CY$365,('3b Activity Plan'!$C$173:$C$365=$BK$130)*1)</f>
        <v>0</v>
      </c>
      <c r="BN152" s="1558">
        <f ca="1">SUMPRODUCT('3b Activity Plan'!$AN$173:$AN$365,OFFSET('3b Activity Plan'!$DJ$173:$DJ$365,0,$CU152-1),'3b Activity Plan'!AR$173:AR$365,'3b Activity Plan'!$AH$173:$AH$365,'3b Activity Plan'!$CY$173:$CY$365,('3b Activity Plan'!$C$173:$C$365=$BK$130)*1)</f>
        <v>0</v>
      </c>
      <c r="BO152" s="1558">
        <f ca="1">SUMPRODUCT('3b Activity Plan'!$AN$173:$AN$365,OFFSET('3b Activity Plan'!$DJ$173:$DJ$365,0,$CU152-1),'3b Activity Plan'!AS$173:AS$365,'3b Activity Plan'!$AH$173:$AH$365,'3b Activity Plan'!$CY$173:$CY$365,('3b Activity Plan'!$C$173:$C$365=$BK$130)*1)</f>
        <v>0</v>
      </c>
      <c r="BP152" s="1558">
        <f ca="1">SUMPRODUCT('3b Activity Plan'!$AN$173:$AN$365,OFFSET('3b Activity Plan'!$DJ$173:$DJ$365,0,$CU152-1),'3b Activity Plan'!AT$173:AT$365,'3b Activity Plan'!$AH$173:$AH$365,'3b Activity Plan'!$CY$173:$CY$365,('3b Activity Plan'!$C$173:$C$365=$BK$130)*1)</f>
        <v>0</v>
      </c>
      <c r="BQ152" s="1558">
        <f ca="1">SUMPRODUCT('3b Activity Plan'!$AN$173:$AN$365,OFFSET('3b Activity Plan'!$DJ$173:$DJ$365,0,$CU152-1),'3b Activity Plan'!AU$173:AU$365,'3b Activity Plan'!$AH$173:$AH$365,'3b Activity Plan'!$CY$173:$CY$365,('3b Activity Plan'!$C$173:$C$365=$BK$130)*1)</f>
        <v>0</v>
      </c>
      <c r="BR152" s="1558">
        <f ca="1">SUMPRODUCT('3b Activity Plan'!$AN$173:$AN$365,OFFSET('3b Activity Plan'!$DJ$173:$DJ$365,0,$CU152-1),'3b Activity Plan'!AV$173:AV$365,'3b Activity Plan'!$AH$173:$AH$365,'3b Activity Plan'!$CY$173:$CY$365,('3b Activity Plan'!$C$173:$C$365=$BK$130)*1)</f>
        <v>0</v>
      </c>
      <c r="BS152" s="1558">
        <f ca="1">SUMPRODUCT('3b Activity Plan'!$AN$173:$AN$365,OFFSET('3b Activity Plan'!$DJ$173:$DJ$365,0,$CU152-1),'3b Activity Plan'!AW$173:AW$365,'3b Activity Plan'!$AH$173:$AH$365,'3b Activity Plan'!$CY$173:$CY$365,('3b Activity Plan'!$C$173:$C$365=$BK$130)*1)</f>
        <v>0</v>
      </c>
      <c r="BT152" s="1558">
        <f ca="1">SUMPRODUCT('3b Activity Plan'!$AN$173:$AN$365,OFFSET('3b Activity Plan'!$DJ$173:$DJ$365,0,$CU152-1),'3b Activity Plan'!AX$173:AX$365,'3b Activity Plan'!$AH$173:$AH$365,'3b Activity Plan'!$CY$173:$CY$365,('3b Activity Plan'!$C$173:$C$365=$BK$130)*1)</f>
        <v>0</v>
      </c>
      <c r="BU152" s="1587"/>
      <c r="BV152" s="1587"/>
      <c r="BW152" s="1587"/>
      <c r="BX152" s="1556"/>
      <c r="BY152" s="1556"/>
      <c r="BZ152" s="1556"/>
      <c r="CA152" s="1024">
        <f ca="1">SUMIFS('3a Staff Plan'!$T$129:$T$305,'3a Staff Plan'!$DY$129:$DY$305,CZ152,'3a Staff Plan'!$DF$129:$DF$305,1)</f>
        <v>0</v>
      </c>
      <c r="CB152" s="1025">
        <f ca="1">SUMIFS('3a Staff Plan'!$T$129:$T$305,'3a Staff Plan'!$DY$129:$DY$305,$CZ152,'3a Staff Plan'!$DF$129:$DF$305,1,'3a Staff Plan'!$C$129:$C$305,DC$18)</f>
        <v>0</v>
      </c>
      <c r="CC152" s="1026">
        <f ca="1">SUMIFS('3a Staff Plan'!$T$129:$T$305,'3a Staff Plan'!$DY$129:$DY$305,$CZ152,'3a Staff Plan'!$DF$129:$DF$305,1,'3a Staff Plan'!$C$129:$C$305,DD$18)</f>
        <v>0</v>
      </c>
      <c r="CD152" s="1026">
        <f ca="1">SUMIFS('3a Staff Plan'!$T$129:$T$305,'3a Staff Plan'!$DY$129:$DY$305,$CZ152,'3a Staff Plan'!$DF$129:$DF$305,1,'3a Staff Plan'!$C$129:$C$305,DE$18)</f>
        <v>0</v>
      </c>
      <c r="CE152" s="1026">
        <f ca="1">SUMIFS('3a Staff Plan'!$T$129:$T$305,'3a Staff Plan'!$DY$129:$DY$305,$CZ152,'3a Staff Plan'!$DF$129:$DF$305,1,'3a Staff Plan'!$C$129:$C$305,DF$18)</f>
        <v>0</v>
      </c>
      <c r="CF152" s="1026">
        <f ca="1">SUMIFS('3a Staff Plan'!$T$129:$T$305,'3a Staff Plan'!$DY$129:$DY$305,$CZ152,'3a Staff Plan'!$DF$129:$DF$305,1,'3a Staff Plan'!$C$129:$C$305,DG$18)</f>
        <v>0</v>
      </c>
      <c r="CG152" s="1026">
        <f ca="1">SUMIFS('3a Staff Plan'!$T$129:$T$305,'3a Staff Plan'!$DY$129:$DY$305,$CZ152,'3a Staff Plan'!$DF$129:$DF$305,1,'3a Staff Plan'!$C$129:$C$305,DH$18)</f>
        <v>0</v>
      </c>
      <c r="CH152" s="1026">
        <f ca="1">SUMIFS('3a Staff Plan'!$T$129:$T$305,'3a Staff Plan'!$DY$129:$DY$305,$CZ152,'3a Staff Plan'!$DF$129:$DF$305,1,'3a Staff Plan'!$C$129:$C$305,DI$18)</f>
        <v>0</v>
      </c>
      <c r="CI152" s="755"/>
      <c r="CJ152" s="1024">
        <f ca="1">SUMPRODUCT('3b Activity Plan'!$AN$173:$AN$365,'3b Activity Plan'!$CY$173:$CY$365,'3b Activity Plan'!$AH$173:$AH$365,OFFSET('3b Activity Plan'!$DJ$173:$DJ$365,0,$CU152-1))</f>
        <v>0</v>
      </c>
      <c r="CK152" s="1025">
        <f t="shared" ca="1" si="93"/>
        <v>0</v>
      </c>
      <c r="CL152" s="1026">
        <f t="shared" ca="1" si="94"/>
        <v>0</v>
      </c>
      <c r="CM152" s="1026">
        <f t="shared" ca="1" si="95"/>
        <v>0</v>
      </c>
      <c r="CN152" s="1026">
        <f t="shared" ca="1" si="96"/>
        <v>0</v>
      </c>
      <c r="CO152" s="1026">
        <f t="shared" ca="1" si="97"/>
        <v>0</v>
      </c>
      <c r="CP152" s="1026">
        <f t="shared" ca="1" si="98"/>
        <v>0</v>
      </c>
      <c r="CQ152" s="1026">
        <f t="shared" ca="1" si="99"/>
        <v>0</v>
      </c>
      <c r="CR152" s="417"/>
      <c r="CS152" s="417">
        <f t="shared" si="100"/>
        <v>20</v>
      </c>
      <c r="CT152" s="417">
        <f ca="1">OFFSET('2 Staff List'!$GU$64,CS152-1,0)</f>
        <v>20</v>
      </c>
      <c r="CU152" s="417">
        <f ca="1">IF(CZ152=0,0,IFERROR(INDEX('3b Activity Plan'!$DJ$20:$FH$20,MATCH(CT152,'3b Activity Plan'!$DJ$171:$FH$171,0)),0))</f>
        <v>0</v>
      </c>
      <c r="CV152" s="417">
        <f ca="1">INDEX('2 Staff List'!$HW$64:$HW$114,CT152)</f>
        <v>0</v>
      </c>
      <c r="CW152" s="417"/>
      <c r="CY152" s="927">
        <f ca="1">OFFSET('2 Staff List'!$HZ$64,CS152-1,0)</f>
        <v>0</v>
      </c>
      <c r="CZ152" s="975">
        <f ca="1">OFFSET('2 Staff List'!$IA$64,CT152-1,0)</f>
        <v>0</v>
      </c>
      <c r="DA152" s="3840">
        <f t="shared" ca="1" si="92"/>
        <v>0</v>
      </c>
      <c r="DB152" s="3841"/>
      <c r="DC152" s="2408">
        <f t="shared" ca="1" si="85"/>
        <v>0</v>
      </c>
      <c r="DD152" s="2405">
        <f t="shared" ca="1" si="86"/>
        <v>0</v>
      </c>
      <c r="DE152" s="2405">
        <f t="shared" ca="1" si="87"/>
        <v>0</v>
      </c>
      <c r="DF152" s="2405">
        <f t="shared" ca="1" si="88"/>
        <v>0</v>
      </c>
      <c r="DG152" s="2405">
        <f t="shared" ca="1" si="89"/>
        <v>0</v>
      </c>
      <c r="DH152" s="2406">
        <f t="shared" ca="1" si="90"/>
        <v>0</v>
      </c>
      <c r="DI152" s="2407">
        <f t="shared" ca="1" si="91"/>
        <v>0</v>
      </c>
    </row>
    <row r="153" spans="1:113" ht="15.9" customHeight="1" x14ac:dyDescent="0.25">
      <c r="A153" s="1051"/>
      <c r="B153" s="1556"/>
      <c r="C153" s="1558">
        <f ca="1">SUMPRODUCT('3b Activity Plan'!$AN$173:$AN$365,OFFSET('3b Activity Plan'!$DJ$173:$DJ$365,0,$CU153-1),'3b Activity Plan'!AO$173:AO$365,'3b Activity Plan'!$AH$173:$AH$365,'3b Activity Plan'!$CY$173:$CY$365,('3b Activity Plan'!$C$173:$C$365=$C$130)*1)</f>
        <v>0</v>
      </c>
      <c r="D153" s="1558">
        <f ca="1">SUMPRODUCT('3b Activity Plan'!$AN$173:$AN$365,OFFSET('3b Activity Plan'!$DJ$173:$DJ$365,0,$CU153-1),'3b Activity Plan'!AP$173:AP$365,'3b Activity Plan'!$AH$173:$AH$365,'3b Activity Plan'!$CY$173:$CY$365,('3b Activity Plan'!$C$173:$C$365=$C$130)*1)</f>
        <v>0</v>
      </c>
      <c r="E153" s="1558">
        <f ca="1">SUMPRODUCT('3b Activity Plan'!$AN$173:$AN$365,OFFSET('3b Activity Plan'!$DJ$173:$DJ$365,0,$CU153-1),'3b Activity Plan'!AQ$173:AQ$365,'3b Activity Plan'!$AH$173:$AH$365,'3b Activity Plan'!$CY$173:$CY$365,('3b Activity Plan'!$C$173:$C$365=$C$130)*1)</f>
        <v>0</v>
      </c>
      <c r="F153" s="1558">
        <f ca="1">SUMPRODUCT('3b Activity Plan'!$AN$173:$AN$365,OFFSET('3b Activity Plan'!$DJ$173:$DJ$365,0,$CU153-1),'3b Activity Plan'!AR$173:AR$365,'3b Activity Plan'!$AH$173:$AH$365,'3b Activity Plan'!$CY$173:$CY$365,('3b Activity Plan'!$C$173:$C$365=$C$130)*1)</f>
        <v>0</v>
      </c>
      <c r="G153" s="1558">
        <f ca="1">SUMPRODUCT('3b Activity Plan'!$AN$173:$AN$365,OFFSET('3b Activity Plan'!$DJ$173:$DJ$365,0,$CU153-1),'3b Activity Plan'!AS$173:AS$365,'3b Activity Plan'!$AH$173:$AH$365,'3b Activity Plan'!$CY$173:$CY$365,('3b Activity Plan'!$C$173:$C$365=$C$130)*1)</f>
        <v>0</v>
      </c>
      <c r="H153" s="1558">
        <f ca="1">SUMPRODUCT('3b Activity Plan'!$AN$173:$AN$365,OFFSET('3b Activity Plan'!$DJ$173:$DJ$365,0,$CU153-1),'3b Activity Plan'!AT$173:AT$365,'3b Activity Plan'!$AH$173:$AH$365,'3b Activity Plan'!$CY$173:$CY$365,('3b Activity Plan'!$C$173:$C$365=$C$130)*1)</f>
        <v>0</v>
      </c>
      <c r="I153" s="1558">
        <f ca="1">SUMPRODUCT('3b Activity Plan'!$AN$173:$AN$365,OFFSET('3b Activity Plan'!$DJ$173:$DJ$365,0,$CU153-1),'3b Activity Plan'!AU$173:AU$365,'3b Activity Plan'!$AH$173:$AH$365,'3b Activity Plan'!$CY$173:$CY$365,('3b Activity Plan'!$C$173:$C$365=$C$130)*1)</f>
        <v>0</v>
      </c>
      <c r="J153" s="1558">
        <f ca="1">SUMPRODUCT('3b Activity Plan'!$AN$173:$AN$365,OFFSET('3b Activity Plan'!$DJ$173:$DJ$365,0,$CU153-1),'3b Activity Plan'!AV$173:AV$365,'3b Activity Plan'!$AH$173:$AH$365,'3b Activity Plan'!$CY$173:$CY$365,('3b Activity Plan'!$C$173:$C$365=$C$130)*1)</f>
        <v>0</v>
      </c>
      <c r="K153" s="1558">
        <f ca="1">SUMPRODUCT('3b Activity Plan'!$AN$173:$AN$365,OFFSET('3b Activity Plan'!$DJ$173:$DJ$365,0,$CU153-1),'3b Activity Plan'!AW$173:AW$365,'3b Activity Plan'!$AH$173:$AH$365,'3b Activity Plan'!$CY$173:$CY$365,('3b Activity Plan'!$C$173:$C$365=$C$130)*1)</f>
        <v>0</v>
      </c>
      <c r="L153" s="1601">
        <f ca="1">SUMPRODUCT('3b Activity Plan'!$AN$173:$AN$365,OFFSET('3b Activity Plan'!$DJ$173:$DJ$365,0,$CU153-1),'3b Activity Plan'!AX$173:AX$365,'3b Activity Plan'!$AH$173:$AH$365,'3b Activity Plan'!$CY$173:$CY$365,('3b Activity Plan'!$C$173:$C$365=$C$130)*1)</f>
        <v>0</v>
      </c>
      <c r="M153" s="1602">
        <f ca="1">SUMPRODUCT('3b Activity Plan'!$AN$173:$AN$365,OFFSET('3b Activity Plan'!$DJ$173:$DJ$365,0,$CU153-1),'3b Activity Plan'!AO$173:AO$365,'3b Activity Plan'!$AH$173:$AH$365,'3b Activity Plan'!$CY$173:$CY$365,('3b Activity Plan'!$C$173:$C$365=$M$130)*1)</f>
        <v>0</v>
      </c>
      <c r="N153" s="1558">
        <f ca="1">SUMPRODUCT('3b Activity Plan'!$AN$173:$AN$365,OFFSET('3b Activity Plan'!$DJ$173:$DJ$365,0,$CU153-1),'3b Activity Plan'!AP$173:AP$365,'3b Activity Plan'!$AH$173:$AH$365,'3b Activity Plan'!$CY$173:$CY$365,('3b Activity Plan'!$C$173:$C$365=$M$130)*1)</f>
        <v>0</v>
      </c>
      <c r="O153" s="1558">
        <f ca="1">SUMPRODUCT('3b Activity Plan'!$AN$173:$AN$365,OFFSET('3b Activity Plan'!$DJ$173:$DJ$365,0,$CU153-1),'3b Activity Plan'!AQ$173:AQ$365,'3b Activity Plan'!$AH$173:$AH$365,'3b Activity Plan'!$CY$173:$CY$365,('3b Activity Plan'!$C$173:$C$365=$M$130)*1)</f>
        <v>0</v>
      </c>
      <c r="P153" s="1558">
        <f ca="1">SUMPRODUCT('3b Activity Plan'!$AN$173:$AN$365,OFFSET('3b Activity Plan'!$DJ$173:$DJ$365,0,$CU153-1),'3b Activity Plan'!AR$173:AR$365,'3b Activity Plan'!$AH$173:$AH$365,'3b Activity Plan'!$CY$173:$CY$365,('3b Activity Plan'!$C$173:$C$365=$M$130)*1)</f>
        <v>0</v>
      </c>
      <c r="Q153" s="1558">
        <f ca="1">SUMPRODUCT('3b Activity Plan'!$AN$173:$AN$365,OFFSET('3b Activity Plan'!$DJ$173:$DJ$365,0,$CU153-1),'3b Activity Plan'!AS$173:AS$365,'3b Activity Plan'!$AH$173:$AH$365,'3b Activity Plan'!$CY$173:$CY$365,('3b Activity Plan'!$C$173:$C$365=$M$130)*1)</f>
        <v>0</v>
      </c>
      <c r="R153" s="1558">
        <f ca="1">SUMPRODUCT('3b Activity Plan'!$AN$173:$AN$365,OFFSET('3b Activity Plan'!$DJ$173:$DJ$365,0,$CU153-1),'3b Activity Plan'!AT$173:AT$365,'3b Activity Plan'!$AH$173:$AH$365,'3b Activity Plan'!$CY$173:$CY$365,('3b Activity Plan'!$C$173:$C$365=$M$130)*1)</f>
        <v>0</v>
      </c>
      <c r="S153" s="1558">
        <f ca="1">SUMPRODUCT('3b Activity Plan'!$AN$173:$AN$365,OFFSET('3b Activity Plan'!$DJ$173:$DJ$365,0,$CU153-1),'3b Activity Plan'!AU$173:AU$365,'3b Activity Plan'!$AH$173:$AH$365,'3b Activity Plan'!$CY$173:$CY$365,('3b Activity Plan'!$C$173:$C$365=$M$130)*1)</f>
        <v>0</v>
      </c>
      <c r="T153" s="1558">
        <f ca="1">SUMPRODUCT('3b Activity Plan'!$AN$173:$AN$365,OFFSET('3b Activity Plan'!$DJ$173:$DJ$365,0,$CU153-1),'3b Activity Plan'!AV$173:AV$365,'3b Activity Plan'!$AH$173:$AH$365,'3b Activity Plan'!$CY$173:$CY$365,('3b Activity Plan'!$C$173:$C$365=$M$130)*1)</f>
        <v>0</v>
      </c>
      <c r="U153" s="1558">
        <f ca="1">SUMPRODUCT('3b Activity Plan'!$AN$173:$AN$365,OFFSET('3b Activity Plan'!$DJ$173:$DJ$365,0,$CU153-1),'3b Activity Plan'!AW$173:AW$365,'3b Activity Plan'!$AH$173:$AH$365,'3b Activity Plan'!$CY$173:$CY$365,('3b Activity Plan'!$C$173:$C$365=$M$130)*1)</f>
        <v>0</v>
      </c>
      <c r="V153" s="1601">
        <f ca="1">SUMPRODUCT('3b Activity Plan'!$AN$173:$AN$365,OFFSET('3b Activity Plan'!$DJ$173:$DJ$365,0,$CU153-1),'3b Activity Plan'!AX$173:AX$365,'3b Activity Plan'!$AH$173:$AH$365,'3b Activity Plan'!$CY$173:$CY$365,('3b Activity Plan'!$C$173:$C$365=$M$130)*1)</f>
        <v>0</v>
      </c>
      <c r="W153" s="1602">
        <f ca="1">SUMPRODUCT('3b Activity Plan'!$AN$173:$AN$365,OFFSET('3b Activity Plan'!$DJ$173:$DJ$365,0,$CU153-1),'3b Activity Plan'!AO$173:AO$365,'3b Activity Plan'!$AH$173:$AH$365,'3b Activity Plan'!$CY$173:$CY$365,('3b Activity Plan'!$C$173:$C$365=$W$130)*1)</f>
        <v>0</v>
      </c>
      <c r="X153" s="1558">
        <f ca="1">SUMPRODUCT('3b Activity Plan'!$AN$173:$AN$365,OFFSET('3b Activity Plan'!$DJ$173:$DJ$365,0,$CU153-1),'3b Activity Plan'!AP$173:AP$365,'3b Activity Plan'!$AH$173:$AH$365,'3b Activity Plan'!$CY$173:$CY$365,('3b Activity Plan'!$C$173:$C$365=$W$130)*1)</f>
        <v>0</v>
      </c>
      <c r="Y153" s="1558">
        <f ca="1">SUMPRODUCT('3b Activity Plan'!$AN$173:$AN$365,OFFSET('3b Activity Plan'!$DJ$173:$DJ$365,0,$CU153-1),'3b Activity Plan'!AQ$173:AQ$365,'3b Activity Plan'!$AH$173:$AH$365,'3b Activity Plan'!$CY$173:$CY$365,('3b Activity Plan'!$C$173:$C$365=$W$130)*1)</f>
        <v>0</v>
      </c>
      <c r="Z153" s="1558">
        <f ca="1">SUMPRODUCT('3b Activity Plan'!$AN$173:$AN$365,OFFSET('3b Activity Plan'!$DJ$173:$DJ$365,0,$CU153-1),'3b Activity Plan'!AR$173:AR$365,'3b Activity Plan'!$AH$173:$AH$365,'3b Activity Plan'!$CY$173:$CY$365,('3b Activity Plan'!$C$173:$C$365=$W$130)*1)</f>
        <v>0</v>
      </c>
      <c r="AA153" s="1558">
        <f ca="1">SUMPRODUCT('3b Activity Plan'!$AN$173:$AN$365,OFFSET('3b Activity Plan'!$DJ$173:$DJ$365,0,$CU153-1),'3b Activity Plan'!AS$173:AS$365,'3b Activity Plan'!$AH$173:$AH$365,'3b Activity Plan'!$CY$173:$CY$365,('3b Activity Plan'!$C$173:$C$365=$W$130)*1)</f>
        <v>0</v>
      </c>
      <c r="AB153" s="1558">
        <f ca="1">SUMPRODUCT('3b Activity Plan'!$AN$173:$AN$365,OFFSET('3b Activity Plan'!$DJ$173:$DJ$365,0,$CU153-1),'3b Activity Plan'!AT$173:AT$365,'3b Activity Plan'!$AH$173:$AH$365,'3b Activity Plan'!$CY$173:$CY$365,('3b Activity Plan'!$C$173:$C$365=$W$130)*1)</f>
        <v>0</v>
      </c>
      <c r="AC153" s="1558">
        <f ca="1">SUMPRODUCT('3b Activity Plan'!$AN$173:$AN$365,OFFSET('3b Activity Plan'!$DJ$173:$DJ$365,0,$CU153-1),'3b Activity Plan'!AU$173:AU$365,'3b Activity Plan'!$AH$173:$AH$365,'3b Activity Plan'!$CY$173:$CY$365,('3b Activity Plan'!$C$173:$C$365=$W$130)*1)</f>
        <v>0</v>
      </c>
      <c r="AD153" s="1558">
        <f ca="1">SUMPRODUCT('3b Activity Plan'!$AN$173:$AN$365,OFFSET('3b Activity Plan'!$DJ$173:$DJ$365,0,$CU153-1),'3b Activity Plan'!AV$173:AV$365,'3b Activity Plan'!$AH$173:$AH$365,'3b Activity Plan'!$CY$173:$CY$365,('3b Activity Plan'!$C$173:$C$365=$W$130)*1)</f>
        <v>0</v>
      </c>
      <c r="AE153" s="1558">
        <f ca="1">SUMPRODUCT('3b Activity Plan'!$AN$173:$AN$365,OFFSET('3b Activity Plan'!$DJ$173:$DJ$365,0,$CU153-1),'3b Activity Plan'!AW$173:AW$365,'3b Activity Plan'!$AH$173:$AH$365,'3b Activity Plan'!$CY$173:$CY$365,('3b Activity Plan'!$C$173:$C$365=$W$130)*1)</f>
        <v>0</v>
      </c>
      <c r="AF153" s="1558">
        <f ca="1">SUMPRODUCT('3b Activity Plan'!$AN$173:$AN$365,OFFSET('3b Activity Plan'!$DJ$173:$DJ$365,0,$CU153-1),'3b Activity Plan'!AX$173:AX$365,'3b Activity Plan'!$AH$173:$AH$365,'3b Activity Plan'!$CY$173:$CY$365,('3b Activity Plan'!$C$173:$C$365=$W$130)*1)</f>
        <v>0</v>
      </c>
      <c r="AG153" s="1602">
        <f ca="1">SUMPRODUCT('3b Activity Plan'!$AN$173:$AN$365,OFFSET('3b Activity Plan'!$DJ$173:$DJ$365,0,$CU153-1),'3b Activity Plan'!AO$173:AO$365,'3b Activity Plan'!$AH$173:$AH$365,'3b Activity Plan'!$CY$173:$CY$365,('3b Activity Plan'!$C$173:$C$365=$AG$130)*1)</f>
        <v>0</v>
      </c>
      <c r="AH153" s="1558">
        <f ca="1">SUMPRODUCT('3b Activity Plan'!$AN$173:$AN$365,OFFSET('3b Activity Plan'!$DJ$173:$DJ$365,0,$CU153-1),'3b Activity Plan'!AP$173:AP$365,'3b Activity Plan'!$AH$173:$AH$365,'3b Activity Plan'!$CY$173:$CY$365,('3b Activity Plan'!$C$173:$C$365=$AG$130)*1)</f>
        <v>0</v>
      </c>
      <c r="AI153" s="1558">
        <f ca="1">SUMPRODUCT('3b Activity Plan'!$AN$173:$AN$365,OFFSET('3b Activity Plan'!$DJ$173:$DJ$365,0,$CU153-1),'3b Activity Plan'!AQ$173:AQ$365,'3b Activity Plan'!$AH$173:$AH$365,'3b Activity Plan'!$CY$173:$CY$365,('3b Activity Plan'!$C$173:$C$365=$AG$130)*1)</f>
        <v>0</v>
      </c>
      <c r="AJ153" s="1558">
        <f ca="1">SUMPRODUCT('3b Activity Plan'!$AN$173:$AN$365,OFFSET('3b Activity Plan'!$DJ$173:$DJ$365,0,$CU153-1),'3b Activity Plan'!AR$173:AR$365,'3b Activity Plan'!$AH$173:$AH$365,'3b Activity Plan'!$CY$173:$CY$365,('3b Activity Plan'!$C$173:$C$365=$AG$130)*1)</f>
        <v>0</v>
      </c>
      <c r="AK153" s="1558">
        <f ca="1">SUMPRODUCT('3b Activity Plan'!$AN$173:$AN$365,OFFSET('3b Activity Plan'!$DJ$173:$DJ$365,0,$CU153-1),'3b Activity Plan'!AS$173:AS$365,'3b Activity Plan'!$AH$173:$AH$365,'3b Activity Plan'!$CY$173:$CY$365,('3b Activity Plan'!$C$173:$C$365=$AG$130)*1)</f>
        <v>0</v>
      </c>
      <c r="AL153" s="1558">
        <f ca="1">SUMPRODUCT('3b Activity Plan'!$AN$173:$AN$365,OFFSET('3b Activity Plan'!$DJ$173:$DJ$365,0,$CU153-1),'3b Activity Plan'!AT$173:AT$365,'3b Activity Plan'!$AH$173:$AH$365,'3b Activity Plan'!$CY$173:$CY$365,('3b Activity Plan'!$C$173:$C$365=$AG$130)*1)</f>
        <v>0</v>
      </c>
      <c r="AM153" s="1558">
        <f ca="1">SUMPRODUCT('3b Activity Plan'!$AN$173:$AN$365,OFFSET('3b Activity Plan'!$DJ$173:$DJ$365,0,$CU153-1),'3b Activity Plan'!AU$173:AU$365,'3b Activity Plan'!$AH$173:$AH$365,'3b Activity Plan'!$CY$173:$CY$365,('3b Activity Plan'!$C$173:$C$365=$AG$130)*1)</f>
        <v>0</v>
      </c>
      <c r="AN153" s="1558">
        <f ca="1">SUMPRODUCT('3b Activity Plan'!$AN$173:$AN$365,OFFSET('3b Activity Plan'!$DJ$173:$DJ$365,0,$CU153-1),'3b Activity Plan'!AV$173:AV$365,'3b Activity Plan'!$AH$173:$AH$365,'3b Activity Plan'!$CY$173:$CY$365,('3b Activity Plan'!$C$173:$C$365=$AG$130)*1)</f>
        <v>0</v>
      </c>
      <c r="AO153" s="1558">
        <f ca="1">SUMPRODUCT('3b Activity Plan'!$AN$173:$AN$365,OFFSET('3b Activity Plan'!$DJ$173:$DJ$365,0,$CU153-1),'3b Activity Plan'!AW$173:AW$365,'3b Activity Plan'!$AH$173:$AH$365,'3b Activity Plan'!$CY$173:$CY$365,('3b Activity Plan'!$C$173:$C$365=$AG$130)*1)</f>
        <v>0</v>
      </c>
      <c r="AP153" s="1558">
        <f ca="1">SUMPRODUCT('3b Activity Plan'!$AN$173:$AN$365,OFFSET('3b Activity Plan'!$DJ$173:$DJ$365,0,$CU153-1),'3b Activity Plan'!AX$173:AX$365,'3b Activity Plan'!$AH$173:$AH$365,'3b Activity Plan'!$CY$173:$CY$365,('3b Activity Plan'!$C$173:$C$365=$AG$130)*1)</f>
        <v>0</v>
      </c>
      <c r="AQ153" s="1602">
        <f ca="1">SUMPRODUCT('3b Activity Plan'!$AN$173:$AN$365,OFFSET('3b Activity Plan'!$DJ$173:$DJ$365,0,$CU153-1),'3b Activity Plan'!AO$173:AO$365,'3b Activity Plan'!$AH$173:$AH$365,'3b Activity Plan'!$CY$173:$CY$365,('3b Activity Plan'!$C$173:$C$365=$AQ$130)*1)</f>
        <v>0</v>
      </c>
      <c r="AR153" s="1558">
        <f ca="1">SUMPRODUCT('3b Activity Plan'!$AN$173:$AN$365,OFFSET('3b Activity Plan'!$DJ$173:$DJ$365,0,$CU153-1),'3b Activity Plan'!AP$173:AP$365,'3b Activity Plan'!$AH$173:$AH$365,'3b Activity Plan'!$CY$173:$CY$365,('3b Activity Plan'!$C$173:$C$365=$AQ$130)*1)</f>
        <v>0</v>
      </c>
      <c r="AS153" s="1558">
        <f ca="1">SUMPRODUCT('3b Activity Plan'!$AN$173:$AN$365,OFFSET('3b Activity Plan'!$DJ$173:$DJ$365,0,$CU153-1),'3b Activity Plan'!AQ$173:AQ$365,'3b Activity Plan'!$AH$173:$AH$365,'3b Activity Plan'!$CY$173:$CY$365,('3b Activity Plan'!$C$173:$C$365=$AQ$130)*1)</f>
        <v>0</v>
      </c>
      <c r="AT153" s="1558">
        <f ca="1">SUMPRODUCT('3b Activity Plan'!$AN$173:$AN$365,OFFSET('3b Activity Plan'!$DJ$173:$DJ$365,0,$CU153-1),'3b Activity Plan'!AR$173:AR$365,'3b Activity Plan'!$AH$173:$AH$365,'3b Activity Plan'!$CY$173:$CY$365,('3b Activity Plan'!$C$173:$C$365=$AQ$130)*1)</f>
        <v>0</v>
      </c>
      <c r="AU153" s="1558">
        <f ca="1">SUMPRODUCT('3b Activity Plan'!$AN$173:$AN$365,OFFSET('3b Activity Plan'!$DJ$173:$DJ$365,0,$CU153-1),'3b Activity Plan'!AS$173:AS$365,'3b Activity Plan'!$AH$173:$AH$365,'3b Activity Plan'!$CY$173:$CY$365,('3b Activity Plan'!$C$173:$C$365=$AQ$130)*1)</f>
        <v>0</v>
      </c>
      <c r="AV153" s="1558">
        <f ca="1">SUMPRODUCT('3b Activity Plan'!$AN$173:$AN$365,OFFSET('3b Activity Plan'!$DJ$173:$DJ$365,0,$CU153-1),'3b Activity Plan'!AT$173:AT$365,'3b Activity Plan'!$AH$173:$AH$365,'3b Activity Plan'!$CY$173:$CY$365,('3b Activity Plan'!$C$173:$C$365=$AQ$130)*1)</f>
        <v>0</v>
      </c>
      <c r="AW153" s="1558">
        <f ca="1">SUMPRODUCT('3b Activity Plan'!$AN$173:$AN$365,OFFSET('3b Activity Plan'!$DJ$173:$DJ$365,0,$CU153-1),'3b Activity Plan'!AU$173:AU$365,'3b Activity Plan'!$AH$173:$AH$365,'3b Activity Plan'!$CY$173:$CY$365,('3b Activity Plan'!$C$173:$C$365=$AQ$130)*1)</f>
        <v>0</v>
      </c>
      <c r="AX153" s="1558">
        <f ca="1">SUMPRODUCT('3b Activity Plan'!$AN$173:$AN$365,OFFSET('3b Activity Plan'!$DJ$173:$DJ$365,0,$CU153-1),'3b Activity Plan'!AV$173:AV$365,'3b Activity Plan'!$AH$173:$AH$365,'3b Activity Plan'!$CY$173:$CY$365,('3b Activity Plan'!$C$173:$C$365=$AQ$130)*1)</f>
        <v>0</v>
      </c>
      <c r="AY153" s="1558">
        <f ca="1">SUMPRODUCT('3b Activity Plan'!$AN$173:$AN$365,OFFSET('3b Activity Plan'!$DJ$173:$DJ$365,0,$CU153-1),'3b Activity Plan'!AW$173:AW$365,'3b Activity Plan'!$AH$173:$AH$365,'3b Activity Plan'!$CY$173:$CY$365,('3b Activity Plan'!$C$173:$C$365=$AQ$130)*1)</f>
        <v>0</v>
      </c>
      <c r="AZ153" s="1558">
        <f ca="1">SUMPRODUCT('3b Activity Plan'!$AN$173:$AN$365,OFFSET('3b Activity Plan'!$DJ$173:$DJ$365,0,$CU153-1),'3b Activity Plan'!AX$173:AX$365,'3b Activity Plan'!$AH$173:$AH$365,'3b Activity Plan'!$CY$173:$CY$365,('3b Activity Plan'!$C$173:$C$365=$AQ$130)*1)</f>
        <v>0</v>
      </c>
      <c r="BA153" s="1602">
        <f ca="1">SUMPRODUCT('3b Activity Plan'!$AN$173:$AN$365,OFFSET('3b Activity Plan'!$DJ$173:$DJ$365,0,$CU153-1),'3b Activity Plan'!AO$173:AO$365,'3b Activity Plan'!$AH$173:$AH$365,'3b Activity Plan'!$CY$173:$CY$365,('3b Activity Plan'!$C$173:$C$365=$BA$130)*1)</f>
        <v>0</v>
      </c>
      <c r="BB153" s="1558">
        <f ca="1">SUMPRODUCT('3b Activity Plan'!$AN$173:$AN$365,OFFSET('3b Activity Plan'!$DJ$173:$DJ$365,0,$CU153-1),'3b Activity Plan'!AP$173:AP$365,'3b Activity Plan'!$AH$173:$AH$365,'3b Activity Plan'!$CY$173:$CY$365,('3b Activity Plan'!$C$173:$C$365=$BA$130)*1)</f>
        <v>0</v>
      </c>
      <c r="BC153" s="1558">
        <f ca="1">SUMPRODUCT('3b Activity Plan'!$AN$173:$AN$365,OFFSET('3b Activity Plan'!$DJ$173:$DJ$365,0,$CU153-1),'3b Activity Plan'!AQ$173:AQ$365,'3b Activity Plan'!$AH$173:$AH$365,'3b Activity Plan'!$CY$173:$CY$365,('3b Activity Plan'!$C$173:$C$365=$BA$130)*1)</f>
        <v>0</v>
      </c>
      <c r="BD153" s="1558">
        <f ca="1">SUMPRODUCT('3b Activity Plan'!$AN$173:$AN$365,OFFSET('3b Activity Plan'!$DJ$173:$DJ$365,0,$CU153-1),'3b Activity Plan'!AR$173:AR$365,'3b Activity Plan'!$AH$173:$AH$365,'3b Activity Plan'!$CY$173:$CY$365,('3b Activity Plan'!$C$173:$C$365=$BA$130)*1)</f>
        <v>0</v>
      </c>
      <c r="BE153" s="1558">
        <f ca="1">SUMPRODUCT('3b Activity Plan'!$AN$173:$AN$365,OFFSET('3b Activity Plan'!$DJ$173:$DJ$365,0,$CU153-1),'3b Activity Plan'!AS$173:AS$365,'3b Activity Plan'!$AH$173:$AH$365,'3b Activity Plan'!$CY$173:$CY$365,('3b Activity Plan'!$C$173:$C$365=$BA$130)*1)</f>
        <v>0</v>
      </c>
      <c r="BF153" s="1558">
        <f ca="1">SUMPRODUCT('3b Activity Plan'!$AN$173:$AN$365,OFFSET('3b Activity Plan'!$DJ$173:$DJ$365,0,$CU153-1),'3b Activity Plan'!AT$173:AT$365,'3b Activity Plan'!$AH$173:$AH$365,'3b Activity Plan'!$CY$173:$CY$365,('3b Activity Plan'!$C$173:$C$365=$BA$130)*1)</f>
        <v>0</v>
      </c>
      <c r="BG153" s="1558">
        <f ca="1">SUMPRODUCT('3b Activity Plan'!$AN$173:$AN$365,OFFSET('3b Activity Plan'!$DJ$173:$DJ$365,0,$CU153-1),'3b Activity Plan'!AU$173:AU$365,'3b Activity Plan'!$AH$173:$AH$365,'3b Activity Plan'!$CY$173:$CY$365,('3b Activity Plan'!$C$173:$C$365=$BA$130)*1)</f>
        <v>0</v>
      </c>
      <c r="BH153" s="1558">
        <f ca="1">SUMPRODUCT('3b Activity Plan'!$AN$173:$AN$365,OFFSET('3b Activity Plan'!$DJ$173:$DJ$365,0,$CU153-1),'3b Activity Plan'!AV$173:AV$365,'3b Activity Plan'!$AH$173:$AH$365,'3b Activity Plan'!$CY$173:$CY$365,('3b Activity Plan'!$C$173:$C$365=$BA$130)*1)</f>
        <v>0</v>
      </c>
      <c r="BI153" s="1558">
        <f ca="1">SUMPRODUCT('3b Activity Plan'!$AN$173:$AN$365,OFFSET('3b Activity Plan'!$DJ$173:$DJ$365,0,$CU153-1),'3b Activity Plan'!AW$173:AW$365,'3b Activity Plan'!$AH$173:$AH$365,'3b Activity Plan'!$CY$173:$CY$365,('3b Activity Plan'!$C$173:$C$365=$BA$130)*1)</f>
        <v>0</v>
      </c>
      <c r="BJ153" s="1558">
        <f ca="1">SUMPRODUCT('3b Activity Plan'!$AN$173:$AN$365,OFFSET('3b Activity Plan'!$DJ$173:$DJ$365,0,$CU153-1),'3b Activity Plan'!AX$173:AX$365,'3b Activity Plan'!$AH$173:$AH$365,'3b Activity Plan'!$CY$173:$CY$365,('3b Activity Plan'!$C$173:$C$365=$BA$130)*1)</f>
        <v>0</v>
      </c>
      <c r="BK153" s="1602">
        <f ca="1">SUMPRODUCT('3b Activity Plan'!$AN$173:$AN$365,OFFSET('3b Activity Plan'!$DJ$173:$DJ$365,0,$CU153-1),'3b Activity Plan'!AO$173:AO$365,'3b Activity Plan'!$AH$173:$AH$365,'3b Activity Plan'!$CY$173:$CY$365,('3b Activity Plan'!$C$173:$C$365=$BK$130)*1)</f>
        <v>0</v>
      </c>
      <c r="BL153" s="1558">
        <f ca="1">SUMPRODUCT('3b Activity Plan'!$AN$173:$AN$365,OFFSET('3b Activity Plan'!$DJ$173:$DJ$365,0,$CU153-1),'3b Activity Plan'!AP$173:AP$365,'3b Activity Plan'!$AH$173:$AH$365,'3b Activity Plan'!$CY$173:$CY$365,('3b Activity Plan'!$C$173:$C$365=$BK$130)*1)</f>
        <v>0</v>
      </c>
      <c r="BM153" s="1558">
        <f ca="1">SUMPRODUCT('3b Activity Plan'!$AN$173:$AN$365,OFFSET('3b Activity Plan'!$DJ$173:$DJ$365,0,$CU153-1),'3b Activity Plan'!AQ$173:AQ$365,'3b Activity Plan'!$AH$173:$AH$365,'3b Activity Plan'!$CY$173:$CY$365,('3b Activity Plan'!$C$173:$C$365=$BK$130)*1)</f>
        <v>0</v>
      </c>
      <c r="BN153" s="1558">
        <f ca="1">SUMPRODUCT('3b Activity Plan'!$AN$173:$AN$365,OFFSET('3b Activity Plan'!$DJ$173:$DJ$365,0,$CU153-1),'3b Activity Plan'!AR$173:AR$365,'3b Activity Plan'!$AH$173:$AH$365,'3b Activity Plan'!$CY$173:$CY$365,('3b Activity Plan'!$C$173:$C$365=$BK$130)*1)</f>
        <v>0</v>
      </c>
      <c r="BO153" s="1558">
        <f ca="1">SUMPRODUCT('3b Activity Plan'!$AN$173:$AN$365,OFFSET('3b Activity Plan'!$DJ$173:$DJ$365,0,$CU153-1),'3b Activity Plan'!AS$173:AS$365,'3b Activity Plan'!$AH$173:$AH$365,'3b Activity Plan'!$CY$173:$CY$365,('3b Activity Plan'!$C$173:$C$365=$BK$130)*1)</f>
        <v>0</v>
      </c>
      <c r="BP153" s="1558">
        <f ca="1">SUMPRODUCT('3b Activity Plan'!$AN$173:$AN$365,OFFSET('3b Activity Plan'!$DJ$173:$DJ$365,0,$CU153-1),'3b Activity Plan'!AT$173:AT$365,'3b Activity Plan'!$AH$173:$AH$365,'3b Activity Plan'!$CY$173:$CY$365,('3b Activity Plan'!$C$173:$C$365=$BK$130)*1)</f>
        <v>0</v>
      </c>
      <c r="BQ153" s="1558">
        <f ca="1">SUMPRODUCT('3b Activity Plan'!$AN$173:$AN$365,OFFSET('3b Activity Plan'!$DJ$173:$DJ$365,0,$CU153-1),'3b Activity Plan'!AU$173:AU$365,'3b Activity Plan'!$AH$173:$AH$365,'3b Activity Plan'!$CY$173:$CY$365,('3b Activity Plan'!$C$173:$C$365=$BK$130)*1)</f>
        <v>0</v>
      </c>
      <c r="BR153" s="1558">
        <f ca="1">SUMPRODUCT('3b Activity Plan'!$AN$173:$AN$365,OFFSET('3b Activity Plan'!$DJ$173:$DJ$365,0,$CU153-1),'3b Activity Plan'!AV$173:AV$365,'3b Activity Plan'!$AH$173:$AH$365,'3b Activity Plan'!$CY$173:$CY$365,('3b Activity Plan'!$C$173:$C$365=$BK$130)*1)</f>
        <v>0</v>
      </c>
      <c r="BS153" s="1558">
        <f ca="1">SUMPRODUCT('3b Activity Plan'!$AN$173:$AN$365,OFFSET('3b Activity Plan'!$DJ$173:$DJ$365,0,$CU153-1),'3b Activity Plan'!AW$173:AW$365,'3b Activity Plan'!$AH$173:$AH$365,'3b Activity Plan'!$CY$173:$CY$365,('3b Activity Plan'!$C$173:$C$365=$BK$130)*1)</f>
        <v>0</v>
      </c>
      <c r="BT153" s="1558">
        <f ca="1">SUMPRODUCT('3b Activity Plan'!$AN$173:$AN$365,OFFSET('3b Activity Plan'!$DJ$173:$DJ$365,0,$CU153-1),'3b Activity Plan'!AX$173:AX$365,'3b Activity Plan'!$AH$173:$AH$365,'3b Activity Plan'!$CY$173:$CY$365,('3b Activity Plan'!$C$173:$C$365=$BK$130)*1)</f>
        <v>0</v>
      </c>
      <c r="BU153" s="1587"/>
      <c r="BV153" s="1587"/>
      <c r="BW153" s="1587"/>
      <c r="BX153" s="1556"/>
      <c r="BY153" s="1556"/>
      <c r="BZ153" s="1556"/>
      <c r="CA153" s="1024">
        <f ca="1">SUMIFS('3a Staff Plan'!$T$129:$T$305,'3a Staff Plan'!$DY$129:$DY$305,CZ153,'3a Staff Plan'!$DF$129:$DF$305,1)</f>
        <v>0</v>
      </c>
      <c r="CB153" s="1025">
        <f ca="1">SUMIFS('3a Staff Plan'!$T$129:$T$305,'3a Staff Plan'!$DY$129:$DY$305,$CZ153,'3a Staff Plan'!$DF$129:$DF$305,1,'3a Staff Plan'!$C$129:$C$305,DC$18)</f>
        <v>0</v>
      </c>
      <c r="CC153" s="1026">
        <f ca="1">SUMIFS('3a Staff Plan'!$T$129:$T$305,'3a Staff Plan'!$DY$129:$DY$305,$CZ153,'3a Staff Plan'!$DF$129:$DF$305,1,'3a Staff Plan'!$C$129:$C$305,DD$18)</f>
        <v>0</v>
      </c>
      <c r="CD153" s="1026">
        <f ca="1">SUMIFS('3a Staff Plan'!$T$129:$T$305,'3a Staff Plan'!$DY$129:$DY$305,$CZ153,'3a Staff Plan'!$DF$129:$DF$305,1,'3a Staff Plan'!$C$129:$C$305,DE$18)</f>
        <v>0</v>
      </c>
      <c r="CE153" s="1026">
        <f ca="1">SUMIFS('3a Staff Plan'!$T$129:$T$305,'3a Staff Plan'!$DY$129:$DY$305,$CZ153,'3a Staff Plan'!$DF$129:$DF$305,1,'3a Staff Plan'!$C$129:$C$305,DF$18)</f>
        <v>0</v>
      </c>
      <c r="CF153" s="1026">
        <f ca="1">SUMIFS('3a Staff Plan'!$T$129:$T$305,'3a Staff Plan'!$DY$129:$DY$305,$CZ153,'3a Staff Plan'!$DF$129:$DF$305,1,'3a Staff Plan'!$C$129:$C$305,DG$18)</f>
        <v>0</v>
      </c>
      <c r="CG153" s="1026">
        <f ca="1">SUMIFS('3a Staff Plan'!$T$129:$T$305,'3a Staff Plan'!$DY$129:$DY$305,$CZ153,'3a Staff Plan'!$DF$129:$DF$305,1,'3a Staff Plan'!$C$129:$C$305,DH$18)</f>
        <v>0</v>
      </c>
      <c r="CH153" s="1026">
        <f ca="1">SUMIFS('3a Staff Plan'!$T$129:$T$305,'3a Staff Plan'!$DY$129:$DY$305,$CZ153,'3a Staff Plan'!$DF$129:$DF$305,1,'3a Staff Plan'!$C$129:$C$305,DI$18)</f>
        <v>0</v>
      </c>
      <c r="CI153" s="755"/>
      <c r="CJ153" s="1024">
        <f ca="1">SUMPRODUCT('3b Activity Plan'!$AN$173:$AN$365,'3b Activity Plan'!$CY$173:$CY$365,'3b Activity Plan'!$AH$173:$AH$365,OFFSET('3b Activity Plan'!$DJ$173:$DJ$365,0,$CU153-1))</f>
        <v>0</v>
      </c>
      <c r="CK153" s="1025">
        <f t="shared" ca="1" si="93"/>
        <v>0</v>
      </c>
      <c r="CL153" s="1026">
        <f t="shared" ca="1" si="94"/>
        <v>0</v>
      </c>
      <c r="CM153" s="1026">
        <f t="shared" ca="1" si="95"/>
        <v>0</v>
      </c>
      <c r="CN153" s="1026">
        <f t="shared" ca="1" si="96"/>
        <v>0</v>
      </c>
      <c r="CO153" s="1026">
        <f t="shared" ca="1" si="97"/>
        <v>0</v>
      </c>
      <c r="CP153" s="1026">
        <f t="shared" ca="1" si="98"/>
        <v>0</v>
      </c>
      <c r="CQ153" s="1026">
        <f t="shared" ca="1" si="99"/>
        <v>0</v>
      </c>
      <c r="CR153" s="417"/>
      <c r="CS153" s="417">
        <f t="shared" si="100"/>
        <v>21</v>
      </c>
      <c r="CT153" s="417">
        <f ca="1">OFFSET('2 Staff List'!$GU$64,CS153-1,0)</f>
        <v>21</v>
      </c>
      <c r="CU153" s="417">
        <f ca="1">IF(CZ153=0,0,IFERROR(INDEX('3b Activity Plan'!$DJ$20:$FH$20,MATCH(CT153,'3b Activity Plan'!$DJ$171:$FH$171,0)),0))</f>
        <v>0</v>
      </c>
      <c r="CV153" s="417">
        <f ca="1">INDEX('2 Staff List'!$HW$64:$HW$114,CT153)</f>
        <v>0</v>
      </c>
      <c r="CW153" s="417"/>
      <c r="CY153" s="927">
        <f ca="1">OFFSET('2 Staff List'!$HZ$64,CS153-1,0)</f>
        <v>0</v>
      </c>
      <c r="CZ153" s="975">
        <f ca="1">OFFSET('2 Staff List'!$IA$64,CT153-1,0)</f>
        <v>0</v>
      </c>
      <c r="DA153" s="3840">
        <f t="shared" ca="1" si="92"/>
        <v>0</v>
      </c>
      <c r="DB153" s="3841"/>
      <c r="DC153" s="2408">
        <f t="shared" ca="1" si="85"/>
        <v>0</v>
      </c>
      <c r="DD153" s="2405">
        <f t="shared" ca="1" si="86"/>
        <v>0</v>
      </c>
      <c r="DE153" s="2405">
        <f t="shared" ca="1" si="87"/>
        <v>0</v>
      </c>
      <c r="DF153" s="2405">
        <f t="shared" ca="1" si="88"/>
        <v>0</v>
      </c>
      <c r="DG153" s="2405">
        <f t="shared" ca="1" si="89"/>
        <v>0</v>
      </c>
      <c r="DH153" s="2406">
        <f t="shared" ca="1" si="90"/>
        <v>0</v>
      </c>
      <c r="DI153" s="2407">
        <f t="shared" ca="1" si="91"/>
        <v>0</v>
      </c>
    </row>
    <row r="154" spans="1:113" ht="15.9" customHeight="1" x14ac:dyDescent="0.25">
      <c r="A154" s="1051"/>
      <c r="B154" s="1556"/>
      <c r="C154" s="1558">
        <f ca="1">SUMPRODUCT('3b Activity Plan'!$AN$173:$AN$365,OFFSET('3b Activity Plan'!$DJ$173:$DJ$365,0,$CU154-1),'3b Activity Plan'!AO$173:AO$365,'3b Activity Plan'!$AH$173:$AH$365,'3b Activity Plan'!$CY$173:$CY$365,('3b Activity Plan'!$C$173:$C$365=$C$130)*1)</f>
        <v>0</v>
      </c>
      <c r="D154" s="1558">
        <f ca="1">SUMPRODUCT('3b Activity Plan'!$AN$173:$AN$365,OFFSET('3b Activity Plan'!$DJ$173:$DJ$365,0,$CU154-1),'3b Activity Plan'!AP$173:AP$365,'3b Activity Plan'!$AH$173:$AH$365,'3b Activity Plan'!$CY$173:$CY$365,('3b Activity Plan'!$C$173:$C$365=$C$130)*1)</f>
        <v>0</v>
      </c>
      <c r="E154" s="1558">
        <f ca="1">SUMPRODUCT('3b Activity Plan'!$AN$173:$AN$365,OFFSET('3b Activity Plan'!$DJ$173:$DJ$365,0,$CU154-1),'3b Activity Plan'!AQ$173:AQ$365,'3b Activity Plan'!$AH$173:$AH$365,'3b Activity Plan'!$CY$173:$CY$365,('3b Activity Plan'!$C$173:$C$365=$C$130)*1)</f>
        <v>0</v>
      </c>
      <c r="F154" s="1558">
        <f ca="1">SUMPRODUCT('3b Activity Plan'!$AN$173:$AN$365,OFFSET('3b Activity Plan'!$DJ$173:$DJ$365,0,$CU154-1),'3b Activity Plan'!AR$173:AR$365,'3b Activity Plan'!$AH$173:$AH$365,'3b Activity Plan'!$CY$173:$CY$365,('3b Activity Plan'!$C$173:$C$365=$C$130)*1)</f>
        <v>0</v>
      </c>
      <c r="G154" s="1558">
        <f ca="1">SUMPRODUCT('3b Activity Plan'!$AN$173:$AN$365,OFFSET('3b Activity Plan'!$DJ$173:$DJ$365,0,$CU154-1),'3b Activity Plan'!AS$173:AS$365,'3b Activity Plan'!$AH$173:$AH$365,'3b Activity Plan'!$CY$173:$CY$365,('3b Activity Plan'!$C$173:$C$365=$C$130)*1)</f>
        <v>0</v>
      </c>
      <c r="H154" s="1558">
        <f ca="1">SUMPRODUCT('3b Activity Plan'!$AN$173:$AN$365,OFFSET('3b Activity Plan'!$DJ$173:$DJ$365,0,$CU154-1),'3b Activity Plan'!AT$173:AT$365,'3b Activity Plan'!$AH$173:$AH$365,'3b Activity Plan'!$CY$173:$CY$365,('3b Activity Plan'!$C$173:$C$365=$C$130)*1)</f>
        <v>0</v>
      </c>
      <c r="I154" s="1558">
        <f ca="1">SUMPRODUCT('3b Activity Plan'!$AN$173:$AN$365,OFFSET('3b Activity Plan'!$DJ$173:$DJ$365,0,$CU154-1),'3b Activity Plan'!AU$173:AU$365,'3b Activity Plan'!$AH$173:$AH$365,'3b Activity Plan'!$CY$173:$CY$365,('3b Activity Plan'!$C$173:$C$365=$C$130)*1)</f>
        <v>0</v>
      </c>
      <c r="J154" s="1558">
        <f ca="1">SUMPRODUCT('3b Activity Plan'!$AN$173:$AN$365,OFFSET('3b Activity Plan'!$DJ$173:$DJ$365,0,$CU154-1),'3b Activity Plan'!AV$173:AV$365,'3b Activity Plan'!$AH$173:$AH$365,'3b Activity Plan'!$CY$173:$CY$365,('3b Activity Plan'!$C$173:$C$365=$C$130)*1)</f>
        <v>0</v>
      </c>
      <c r="K154" s="1558">
        <f ca="1">SUMPRODUCT('3b Activity Plan'!$AN$173:$AN$365,OFFSET('3b Activity Plan'!$DJ$173:$DJ$365,0,$CU154-1),'3b Activity Plan'!AW$173:AW$365,'3b Activity Plan'!$AH$173:$AH$365,'3b Activity Plan'!$CY$173:$CY$365,('3b Activity Plan'!$C$173:$C$365=$C$130)*1)</f>
        <v>0</v>
      </c>
      <c r="L154" s="1601">
        <f ca="1">SUMPRODUCT('3b Activity Plan'!$AN$173:$AN$365,OFFSET('3b Activity Plan'!$DJ$173:$DJ$365,0,$CU154-1),'3b Activity Plan'!AX$173:AX$365,'3b Activity Plan'!$AH$173:$AH$365,'3b Activity Plan'!$CY$173:$CY$365,('3b Activity Plan'!$C$173:$C$365=$C$130)*1)</f>
        <v>0</v>
      </c>
      <c r="M154" s="1602">
        <f ca="1">SUMPRODUCT('3b Activity Plan'!$AN$173:$AN$365,OFFSET('3b Activity Plan'!$DJ$173:$DJ$365,0,$CU154-1),'3b Activity Plan'!AO$173:AO$365,'3b Activity Plan'!$AH$173:$AH$365,'3b Activity Plan'!$CY$173:$CY$365,('3b Activity Plan'!$C$173:$C$365=$M$130)*1)</f>
        <v>0</v>
      </c>
      <c r="N154" s="1558">
        <f ca="1">SUMPRODUCT('3b Activity Plan'!$AN$173:$AN$365,OFFSET('3b Activity Plan'!$DJ$173:$DJ$365,0,$CU154-1),'3b Activity Plan'!AP$173:AP$365,'3b Activity Plan'!$AH$173:$AH$365,'3b Activity Plan'!$CY$173:$CY$365,('3b Activity Plan'!$C$173:$C$365=$M$130)*1)</f>
        <v>0</v>
      </c>
      <c r="O154" s="1558">
        <f ca="1">SUMPRODUCT('3b Activity Plan'!$AN$173:$AN$365,OFFSET('3b Activity Plan'!$DJ$173:$DJ$365,0,$CU154-1),'3b Activity Plan'!AQ$173:AQ$365,'3b Activity Plan'!$AH$173:$AH$365,'3b Activity Plan'!$CY$173:$CY$365,('3b Activity Plan'!$C$173:$C$365=$M$130)*1)</f>
        <v>0</v>
      </c>
      <c r="P154" s="1558">
        <f ca="1">SUMPRODUCT('3b Activity Plan'!$AN$173:$AN$365,OFFSET('3b Activity Plan'!$DJ$173:$DJ$365,0,$CU154-1),'3b Activity Plan'!AR$173:AR$365,'3b Activity Plan'!$AH$173:$AH$365,'3b Activity Plan'!$CY$173:$CY$365,('3b Activity Plan'!$C$173:$C$365=$M$130)*1)</f>
        <v>0</v>
      </c>
      <c r="Q154" s="1558">
        <f ca="1">SUMPRODUCT('3b Activity Plan'!$AN$173:$AN$365,OFFSET('3b Activity Plan'!$DJ$173:$DJ$365,0,$CU154-1),'3b Activity Plan'!AS$173:AS$365,'3b Activity Plan'!$AH$173:$AH$365,'3b Activity Plan'!$CY$173:$CY$365,('3b Activity Plan'!$C$173:$C$365=$M$130)*1)</f>
        <v>0</v>
      </c>
      <c r="R154" s="1558">
        <f ca="1">SUMPRODUCT('3b Activity Plan'!$AN$173:$AN$365,OFFSET('3b Activity Plan'!$DJ$173:$DJ$365,0,$CU154-1),'3b Activity Plan'!AT$173:AT$365,'3b Activity Plan'!$AH$173:$AH$365,'3b Activity Plan'!$CY$173:$CY$365,('3b Activity Plan'!$C$173:$C$365=$M$130)*1)</f>
        <v>0</v>
      </c>
      <c r="S154" s="1558">
        <f ca="1">SUMPRODUCT('3b Activity Plan'!$AN$173:$AN$365,OFFSET('3b Activity Plan'!$DJ$173:$DJ$365,0,$CU154-1),'3b Activity Plan'!AU$173:AU$365,'3b Activity Plan'!$AH$173:$AH$365,'3b Activity Plan'!$CY$173:$CY$365,('3b Activity Plan'!$C$173:$C$365=$M$130)*1)</f>
        <v>0</v>
      </c>
      <c r="T154" s="1558">
        <f ca="1">SUMPRODUCT('3b Activity Plan'!$AN$173:$AN$365,OFFSET('3b Activity Plan'!$DJ$173:$DJ$365,0,$CU154-1),'3b Activity Plan'!AV$173:AV$365,'3b Activity Plan'!$AH$173:$AH$365,'3b Activity Plan'!$CY$173:$CY$365,('3b Activity Plan'!$C$173:$C$365=$M$130)*1)</f>
        <v>0</v>
      </c>
      <c r="U154" s="1558">
        <f ca="1">SUMPRODUCT('3b Activity Plan'!$AN$173:$AN$365,OFFSET('3b Activity Plan'!$DJ$173:$DJ$365,0,$CU154-1),'3b Activity Plan'!AW$173:AW$365,'3b Activity Plan'!$AH$173:$AH$365,'3b Activity Plan'!$CY$173:$CY$365,('3b Activity Plan'!$C$173:$C$365=$M$130)*1)</f>
        <v>0</v>
      </c>
      <c r="V154" s="1601">
        <f ca="1">SUMPRODUCT('3b Activity Plan'!$AN$173:$AN$365,OFFSET('3b Activity Plan'!$DJ$173:$DJ$365,0,$CU154-1),'3b Activity Plan'!AX$173:AX$365,'3b Activity Plan'!$AH$173:$AH$365,'3b Activity Plan'!$CY$173:$CY$365,('3b Activity Plan'!$C$173:$C$365=$M$130)*1)</f>
        <v>0</v>
      </c>
      <c r="W154" s="1602">
        <f ca="1">SUMPRODUCT('3b Activity Plan'!$AN$173:$AN$365,OFFSET('3b Activity Plan'!$DJ$173:$DJ$365,0,$CU154-1),'3b Activity Plan'!AO$173:AO$365,'3b Activity Plan'!$AH$173:$AH$365,'3b Activity Plan'!$CY$173:$CY$365,('3b Activity Plan'!$C$173:$C$365=$W$130)*1)</f>
        <v>0</v>
      </c>
      <c r="X154" s="1558">
        <f ca="1">SUMPRODUCT('3b Activity Plan'!$AN$173:$AN$365,OFFSET('3b Activity Plan'!$DJ$173:$DJ$365,0,$CU154-1),'3b Activity Plan'!AP$173:AP$365,'3b Activity Plan'!$AH$173:$AH$365,'3b Activity Plan'!$CY$173:$CY$365,('3b Activity Plan'!$C$173:$C$365=$W$130)*1)</f>
        <v>0</v>
      </c>
      <c r="Y154" s="1558">
        <f ca="1">SUMPRODUCT('3b Activity Plan'!$AN$173:$AN$365,OFFSET('3b Activity Plan'!$DJ$173:$DJ$365,0,$CU154-1),'3b Activity Plan'!AQ$173:AQ$365,'3b Activity Plan'!$AH$173:$AH$365,'3b Activity Plan'!$CY$173:$CY$365,('3b Activity Plan'!$C$173:$C$365=$W$130)*1)</f>
        <v>0</v>
      </c>
      <c r="Z154" s="1558">
        <f ca="1">SUMPRODUCT('3b Activity Plan'!$AN$173:$AN$365,OFFSET('3b Activity Plan'!$DJ$173:$DJ$365,0,$CU154-1),'3b Activity Plan'!AR$173:AR$365,'3b Activity Plan'!$AH$173:$AH$365,'3b Activity Plan'!$CY$173:$CY$365,('3b Activity Plan'!$C$173:$C$365=$W$130)*1)</f>
        <v>0</v>
      </c>
      <c r="AA154" s="1558">
        <f ca="1">SUMPRODUCT('3b Activity Plan'!$AN$173:$AN$365,OFFSET('3b Activity Plan'!$DJ$173:$DJ$365,0,$CU154-1),'3b Activity Plan'!AS$173:AS$365,'3b Activity Plan'!$AH$173:$AH$365,'3b Activity Plan'!$CY$173:$CY$365,('3b Activity Plan'!$C$173:$C$365=$W$130)*1)</f>
        <v>0</v>
      </c>
      <c r="AB154" s="1558">
        <f ca="1">SUMPRODUCT('3b Activity Plan'!$AN$173:$AN$365,OFFSET('3b Activity Plan'!$DJ$173:$DJ$365,0,$CU154-1),'3b Activity Plan'!AT$173:AT$365,'3b Activity Plan'!$AH$173:$AH$365,'3b Activity Plan'!$CY$173:$CY$365,('3b Activity Plan'!$C$173:$C$365=$W$130)*1)</f>
        <v>0</v>
      </c>
      <c r="AC154" s="1558">
        <f ca="1">SUMPRODUCT('3b Activity Plan'!$AN$173:$AN$365,OFFSET('3b Activity Plan'!$DJ$173:$DJ$365,0,$CU154-1),'3b Activity Plan'!AU$173:AU$365,'3b Activity Plan'!$AH$173:$AH$365,'3b Activity Plan'!$CY$173:$CY$365,('3b Activity Plan'!$C$173:$C$365=$W$130)*1)</f>
        <v>0</v>
      </c>
      <c r="AD154" s="1558">
        <f ca="1">SUMPRODUCT('3b Activity Plan'!$AN$173:$AN$365,OFFSET('3b Activity Plan'!$DJ$173:$DJ$365,0,$CU154-1),'3b Activity Plan'!AV$173:AV$365,'3b Activity Plan'!$AH$173:$AH$365,'3b Activity Plan'!$CY$173:$CY$365,('3b Activity Plan'!$C$173:$C$365=$W$130)*1)</f>
        <v>0</v>
      </c>
      <c r="AE154" s="1558">
        <f ca="1">SUMPRODUCT('3b Activity Plan'!$AN$173:$AN$365,OFFSET('3b Activity Plan'!$DJ$173:$DJ$365,0,$CU154-1),'3b Activity Plan'!AW$173:AW$365,'3b Activity Plan'!$AH$173:$AH$365,'3b Activity Plan'!$CY$173:$CY$365,('3b Activity Plan'!$C$173:$C$365=$W$130)*1)</f>
        <v>0</v>
      </c>
      <c r="AF154" s="1558">
        <f ca="1">SUMPRODUCT('3b Activity Plan'!$AN$173:$AN$365,OFFSET('3b Activity Plan'!$DJ$173:$DJ$365,0,$CU154-1),'3b Activity Plan'!AX$173:AX$365,'3b Activity Plan'!$AH$173:$AH$365,'3b Activity Plan'!$CY$173:$CY$365,('3b Activity Plan'!$C$173:$C$365=$W$130)*1)</f>
        <v>0</v>
      </c>
      <c r="AG154" s="1602">
        <f ca="1">SUMPRODUCT('3b Activity Plan'!$AN$173:$AN$365,OFFSET('3b Activity Plan'!$DJ$173:$DJ$365,0,$CU154-1),'3b Activity Plan'!AO$173:AO$365,'3b Activity Plan'!$AH$173:$AH$365,'3b Activity Plan'!$CY$173:$CY$365,('3b Activity Plan'!$C$173:$C$365=$AG$130)*1)</f>
        <v>0</v>
      </c>
      <c r="AH154" s="1558">
        <f ca="1">SUMPRODUCT('3b Activity Plan'!$AN$173:$AN$365,OFFSET('3b Activity Plan'!$DJ$173:$DJ$365,0,$CU154-1),'3b Activity Plan'!AP$173:AP$365,'3b Activity Plan'!$AH$173:$AH$365,'3b Activity Plan'!$CY$173:$CY$365,('3b Activity Plan'!$C$173:$C$365=$AG$130)*1)</f>
        <v>0</v>
      </c>
      <c r="AI154" s="1558">
        <f ca="1">SUMPRODUCT('3b Activity Plan'!$AN$173:$AN$365,OFFSET('3b Activity Plan'!$DJ$173:$DJ$365,0,$CU154-1),'3b Activity Plan'!AQ$173:AQ$365,'3b Activity Plan'!$AH$173:$AH$365,'3b Activity Plan'!$CY$173:$CY$365,('3b Activity Plan'!$C$173:$C$365=$AG$130)*1)</f>
        <v>0</v>
      </c>
      <c r="AJ154" s="1558">
        <f ca="1">SUMPRODUCT('3b Activity Plan'!$AN$173:$AN$365,OFFSET('3b Activity Plan'!$DJ$173:$DJ$365,0,$CU154-1),'3b Activity Plan'!AR$173:AR$365,'3b Activity Plan'!$AH$173:$AH$365,'3b Activity Plan'!$CY$173:$CY$365,('3b Activity Plan'!$C$173:$C$365=$AG$130)*1)</f>
        <v>0</v>
      </c>
      <c r="AK154" s="1558">
        <f ca="1">SUMPRODUCT('3b Activity Plan'!$AN$173:$AN$365,OFFSET('3b Activity Plan'!$DJ$173:$DJ$365,0,$CU154-1),'3b Activity Plan'!AS$173:AS$365,'3b Activity Plan'!$AH$173:$AH$365,'3b Activity Plan'!$CY$173:$CY$365,('3b Activity Plan'!$C$173:$C$365=$AG$130)*1)</f>
        <v>0</v>
      </c>
      <c r="AL154" s="1558">
        <f ca="1">SUMPRODUCT('3b Activity Plan'!$AN$173:$AN$365,OFFSET('3b Activity Plan'!$DJ$173:$DJ$365,0,$CU154-1),'3b Activity Plan'!AT$173:AT$365,'3b Activity Plan'!$AH$173:$AH$365,'3b Activity Plan'!$CY$173:$CY$365,('3b Activity Plan'!$C$173:$C$365=$AG$130)*1)</f>
        <v>0</v>
      </c>
      <c r="AM154" s="1558">
        <f ca="1">SUMPRODUCT('3b Activity Plan'!$AN$173:$AN$365,OFFSET('3b Activity Plan'!$DJ$173:$DJ$365,0,$CU154-1),'3b Activity Plan'!AU$173:AU$365,'3b Activity Plan'!$AH$173:$AH$365,'3b Activity Plan'!$CY$173:$CY$365,('3b Activity Plan'!$C$173:$C$365=$AG$130)*1)</f>
        <v>0</v>
      </c>
      <c r="AN154" s="1558">
        <f ca="1">SUMPRODUCT('3b Activity Plan'!$AN$173:$AN$365,OFFSET('3b Activity Plan'!$DJ$173:$DJ$365,0,$CU154-1),'3b Activity Plan'!AV$173:AV$365,'3b Activity Plan'!$AH$173:$AH$365,'3b Activity Plan'!$CY$173:$CY$365,('3b Activity Plan'!$C$173:$C$365=$AG$130)*1)</f>
        <v>0</v>
      </c>
      <c r="AO154" s="1558">
        <f ca="1">SUMPRODUCT('3b Activity Plan'!$AN$173:$AN$365,OFFSET('3b Activity Plan'!$DJ$173:$DJ$365,0,$CU154-1),'3b Activity Plan'!AW$173:AW$365,'3b Activity Plan'!$AH$173:$AH$365,'3b Activity Plan'!$CY$173:$CY$365,('3b Activity Plan'!$C$173:$C$365=$AG$130)*1)</f>
        <v>0</v>
      </c>
      <c r="AP154" s="1558">
        <f ca="1">SUMPRODUCT('3b Activity Plan'!$AN$173:$AN$365,OFFSET('3b Activity Plan'!$DJ$173:$DJ$365,0,$CU154-1),'3b Activity Plan'!AX$173:AX$365,'3b Activity Plan'!$AH$173:$AH$365,'3b Activity Plan'!$CY$173:$CY$365,('3b Activity Plan'!$C$173:$C$365=$AG$130)*1)</f>
        <v>0</v>
      </c>
      <c r="AQ154" s="1602">
        <f ca="1">SUMPRODUCT('3b Activity Plan'!$AN$173:$AN$365,OFFSET('3b Activity Plan'!$DJ$173:$DJ$365,0,$CU154-1),'3b Activity Plan'!AO$173:AO$365,'3b Activity Plan'!$AH$173:$AH$365,'3b Activity Plan'!$CY$173:$CY$365,('3b Activity Plan'!$C$173:$C$365=$AQ$130)*1)</f>
        <v>0</v>
      </c>
      <c r="AR154" s="1558">
        <f ca="1">SUMPRODUCT('3b Activity Plan'!$AN$173:$AN$365,OFFSET('3b Activity Plan'!$DJ$173:$DJ$365,0,$CU154-1),'3b Activity Plan'!AP$173:AP$365,'3b Activity Plan'!$AH$173:$AH$365,'3b Activity Plan'!$CY$173:$CY$365,('3b Activity Plan'!$C$173:$C$365=$AQ$130)*1)</f>
        <v>0</v>
      </c>
      <c r="AS154" s="1558">
        <f ca="1">SUMPRODUCT('3b Activity Plan'!$AN$173:$AN$365,OFFSET('3b Activity Plan'!$DJ$173:$DJ$365,0,$CU154-1),'3b Activity Plan'!AQ$173:AQ$365,'3b Activity Plan'!$AH$173:$AH$365,'3b Activity Plan'!$CY$173:$CY$365,('3b Activity Plan'!$C$173:$C$365=$AQ$130)*1)</f>
        <v>0</v>
      </c>
      <c r="AT154" s="1558">
        <f ca="1">SUMPRODUCT('3b Activity Plan'!$AN$173:$AN$365,OFFSET('3b Activity Plan'!$DJ$173:$DJ$365,0,$CU154-1),'3b Activity Plan'!AR$173:AR$365,'3b Activity Plan'!$AH$173:$AH$365,'3b Activity Plan'!$CY$173:$CY$365,('3b Activity Plan'!$C$173:$C$365=$AQ$130)*1)</f>
        <v>0</v>
      </c>
      <c r="AU154" s="1558">
        <f ca="1">SUMPRODUCT('3b Activity Plan'!$AN$173:$AN$365,OFFSET('3b Activity Plan'!$DJ$173:$DJ$365,0,$CU154-1),'3b Activity Plan'!AS$173:AS$365,'3b Activity Plan'!$AH$173:$AH$365,'3b Activity Plan'!$CY$173:$CY$365,('3b Activity Plan'!$C$173:$C$365=$AQ$130)*1)</f>
        <v>0</v>
      </c>
      <c r="AV154" s="1558">
        <f ca="1">SUMPRODUCT('3b Activity Plan'!$AN$173:$AN$365,OFFSET('3b Activity Plan'!$DJ$173:$DJ$365,0,$CU154-1),'3b Activity Plan'!AT$173:AT$365,'3b Activity Plan'!$AH$173:$AH$365,'3b Activity Plan'!$CY$173:$CY$365,('3b Activity Plan'!$C$173:$C$365=$AQ$130)*1)</f>
        <v>0</v>
      </c>
      <c r="AW154" s="1558">
        <f ca="1">SUMPRODUCT('3b Activity Plan'!$AN$173:$AN$365,OFFSET('3b Activity Plan'!$DJ$173:$DJ$365,0,$CU154-1),'3b Activity Plan'!AU$173:AU$365,'3b Activity Plan'!$AH$173:$AH$365,'3b Activity Plan'!$CY$173:$CY$365,('3b Activity Plan'!$C$173:$C$365=$AQ$130)*1)</f>
        <v>0</v>
      </c>
      <c r="AX154" s="1558">
        <f ca="1">SUMPRODUCT('3b Activity Plan'!$AN$173:$AN$365,OFFSET('3b Activity Plan'!$DJ$173:$DJ$365,0,$CU154-1),'3b Activity Plan'!AV$173:AV$365,'3b Activity Plan'!$AH$173:$AH$365,'3b Activity Plan'!$CY$173:$CY$365,('3b Activity Plan'!$C$173:$C$365=$AQ$130)*1)</f>
        <v>0</v>
      </c>
      <c r="AY154" s="1558">
        <f ca="1">SUMPRODUCT('3b Activity Plan'!$AN$173:$AN$365,OFFSET('3b Activity Plan'!$DJ$173:$DJ$365,0,$CU154-1),'3b Activity Plan'!AW$173:AW$365,'3b Activity Plan'!$AH$173:$AH$365,'3b Activity Plan'!$CY$173:$CY$365,('3b Activity Plan'!$C$173:$C$365=$AQ$130)*1)</f>
        <v>0</v>
      </c>
      <c r="AZ154" s="1558">
        <f ca="1">SUMPRODUCT('3b Activity Plan'!$AN$173:$AN$365,OFFSET('3b Activity Plan'!$DJ$173:$DJ$365,0,$CU154-1),'3b Activity Plan'!AX$173:AX$365,'3b Activity Plan'!$AH$173:$AH$365,'3b Activity Plan'!$CY$173:$CY$365,('3b Activity Plan'!$C$173:$C$365=$AQ$130)*1)</f>
        <v>0</v>
      </c>
      <c r="BA154" s="1602">
        <f ca="1">SUMPRODUCT('3b Activity Plan'!$AN$173:$AN$365,OFFSET('3b Activity Plan'!$DJ$173:$DJ$365,0,$CU154-1),'3b Activity Plan'!AO$173:AO$365,'3b Activity Plan'!$AH$173:$AH$365,'3b Activity Plan'!$CY$173:$CY$365,('3b Activity Plan'!$C$173:$C$365=$BA$130)*1)</f>
        <v>0</v>
      </c>
      <c r="BB154" s="1558">
        <f ca="1">SUMPRODUCT('3b Activity Plan'!$AN$173:$AN$365,OFFSET('3b Activity Plan'!$DJ$173:$DJ$365,0,$CU154-1),'3b Activity Plan'!AP$173:AP$365,'3b Activity Plan'!$AH$173:$AH$365,'3b Activity Plan'!$CY$173:$CY$365,('3b Activity Plan'!$C$173:$C$365=$BA$130)*1)</f>
        <v>0</v>
      </c>
      <c r="BC154" s="1558">
        <f ca="1">SUMPRODUCT('3b Activity Plan'!$AN$173:$AN$365,OFFSET('3b Activity Plan'!$DJ$173:$DJ$365,0,$CU154-1),'3b Activity Plan'!AQ$173:AQ$365,'3b Activity Plan'!$AH$173:$AH$365,'3b Activity Plan'!$CY$173:$CY$365,('3b Activity Plan'!$C$173:$C$365=$BA$130)*1)</f>
        <v>0</v>
      </c>
      <c r="BD154" s="1558">
        <f ca="1">SUMPRODUCT('3b Activity Plan'!$AN$173:$AN$365,OFFSET('3b Activity Plan'!$DJ$173:$DJ$365,0,$CU154-1),'3b Activity Plan'!AR$173:AR$365,'3b Activity Plan'!$AH$173:$AH$365,'3b Activity Plan'!$CY$173:$CY$365,('3b Activity Plan'!$C$173:$C$365=$BA$130)*1)</f>
        <v>0</v>
      </c>
      <c r="BE154" s="1558">
        <f ca="1">SUMPRODUCT('3b Activity Plan'!$AN$173:$AN$365,OFFSET('3b Activity Plan'!$DJ$173:$DJ$365,0,$CU154-1),'3b Activity Plan'!AS$173:AS$365,'3b Activity Plan'!$AH$173:$AH$365,'3b Activity Plan'!$CY$173:$CY$365,('3b Activity Plan'!$C$173:$C$365=$BA$130)*1)</f>
        <v>0</v>
      </c>
      <c r="BF154" s="1558">
        <f ca="1">SUMPRODUCT('3b Activity Plan'!$AN$173:$AN$365,OFFSET('3b Activity Plan'!$DJ$173:$DJ$365,0,$CU154-1),'3b Activity Plan'!AT$173:AT$365,'3b Activity Plan'!$AH$173:$AH$365,'3b Activity Plan'!$CY$173:$CY$365,('3b Activity Plan'!$C$173:$C$365=$BA$130)*1)</f>
        <v>0</v>
      </c>
      <c r="BG154" s="1558">
        <f ca="1">SUMPRODUCT('3b Activity Plan'!$AN$173:$AN$365,OFFSET('3b Activity Plan'!$DJ$173:$DJ$365,0,$CU154-1),'3b Activity Plan'!AU$173:AU$365,'3b Activity Plan'!$AH$173:$AH$365,'3b Activity Plan'!$CY$173:$CY$365,('3b Activity Plan'!$C$173:$C$365=$BA$130)*1)</f>
        <v>0</v>
      </c>
      <c r="BH154" s="1558">
        <f ca="1">SUMPRODUCT('3b Activity Plan'!$AN$173:$AN$365,OFFSET('3b Activity Plan'!$DJ$173:$DJ$365,0,$CU154-1),'3b Activity Plan'!AV$173:AV$365,'3b Activity Plan'!$AH$173:$AH$365,'3b Activity Plan'!$CY$173:$CY$365,('3b Activity Plan'!$C$173:$C$365=$BA$130)*1)</f>
        <v>0</v>
      </c>
      <c r="BI154" s="1558">
        <f ca="1">SUMPRODUCT('3b Activity Plan'!$AN$173:$AN$365,OFFSET('3b Activity Plan'!$DJ$173:$DJ$365,0,$CU154-1),'3b Activity Plan'!AW$173:AW$365,'3b Activity Plan'!$AH$173:$AH$365,'3b Activity Plan'!$CY$173:$CY$365,('3b Activity Plan'!$C$173:$C$365=$BA$130)*1)</f>
        <v>0</v>
      </c>
      <c r="BJ154" s="1558">
        <f ca="1">SUMPRODUCT('3b Activity Plan'!$AN$173:$AN$365,OFFSET('3b Activity Plan'!$DJ$173:$DJ$365,0,$CU154-1),'3b Activity Plan'!AX$173:AX$365,'3b Activity Plan'!$AH$173:$AH$365,'3b Activity Plan'!$CY$173:$CY$365,('3b Activity Plan'!$C$173:$C$365=$BA$130)*1)</f>
        <v>0</v>
      </c>
      <c r="BK154" s="1602">
        <f ca="1">SUMPRODUCT('3b Activity Plan'!$AN$173:$AN$365,OFFSET('3b Activity Plan'!$DJ$173:$DJ$365,0,$CU154-1),'3b Activity Plan'!AO$173:AO$365,'3b Activity Plan'!$AH$173:$AH$365,'3b Activity Plan'!$CY$173:$CY$365,('3b Activity Plan'!$C$173:$C$365=$BK$130)*1)</f>
        <v>0</v>
      </c>
      <c r="BL154" s="1558">
        <f ca="1">SUMPRODUCT('3b Activity Plan'!$AN$173:$AN$365,OFFSET('3b Activity Plan'!$DJ$173:$DJ$365,0,$CU154-1),'3b Activity Plan'!AP$173:AP$365,'3b Activity Plan'!$AH$173:$AH$365,'3b Activity Plan'!$CY$173:$CY$365,('3b Activity Plan'!$C$173:$C$365=$BK$130)*1)</f>
        <v>0</v>
      </c>
      <c r="BM154" s="1558">
        <f ca="1">SUMPRODUCT('3b Activity Plan'!$AN$173:$AN$365,OFFSET('3b Activity Plan'!$DJ$173:$DJ$365,0,$CU154-1),'3b Activity Plan'!AQ$173:AQ$365,'3b Activity Plan'!$AH$173:$AH$365,'3b Activity Plan'!$CY$173:$CY$365,('3b Activity Plan'!$C$173:$C$365=$BK$130)*1)</f>
        <v>0</v>
      </c>
      <c r="BN154" s="1558">
        <f ca="1">SUMPRODUCT('3b Activity Plan'!$AN$173:$AN$365,OFFSET('3b Activity Plan'!$DJ$173:$DJ$365,0,$CU154-1),'3b Activity Plan'!AR$173:AR$365,'3b Activity Plan'!$AH$173:$AH$365,'3b Activity Plan'!$CY$173:$CY$365,('3b Activity Plan'!$C$173:$C$365=$BK$130)*1)</f>
        <v>0</v>
      </c>
      <c r="BO154" s="1558">
        <f ca="1">SUMPRODUCT('3b Activity Plan'!$AN$173:$AN$365,OFFSET('3b Activity Plan'!$DJ$173:$DJ$365,0,$CU154-1),'3b Activity Plan'!AS$173:AS$365,'3b Activity Plan'!$AH$173:$AH$365,'3b Activity Plan'!$CY$173:$CY$365,('3b Activity Plan'!$C$173:$C$365=$BK$130)*1)</f>
        <v>0</v>
      </c>
      <c r="BP154" s="1558">
        <f ca="1">SUMPRODUCT('3b Activity Plan'!$AN$173:$AN$365,OFFSET('3b Activity Plan'!$DJ$173:$DJ$365,0,$CU154-1),'3b Activity Plan'!AT$173:AT$365,'3b Activity Plan'!$AH$173:$AH$365,'3b Activity Plan'!$CY$173:$CY$365,('3b Activity Plan'!$C$173:$C$365=$BK$130)*1)</f>
        <v>0</v>
      </c>
      <c r="BQ154" s="1558">
        <f ca="1">SUMPRODUCT('3b Activity Plan'!$AN$173:$AN$365,OFFSET('3b Activity Plan'!$DJ$173:$DJ$365,0,$CU154-1),'3b Activity Plan'!AU$173:AU$365,'3b Activity Plan'!$AH$173:$AH$365,'3b Activity Plan'!$CY$173:$CY$365,('3b Activity Plan'!$C$173:$C$365=$BK$130)*1)</f>
        <v>0</v>
      </c>
      <c r="BR154" s="1558">
        <f ca="1">SUMPRODUCT('3b Activity Plan'!$AN$173:$AN$365,OFFSET('3b Activity Plan'!$DJ$173:$DJ$365,0,$CU154-1),'3b Activity Plan'!AV$173:AV$365,'3b Activity Plan'!$AH$173:$AH$365,'3b Activity Plan'!$CY$173:$CY$365,('3b Activity Plan'!$C$173:$C$365=$BK$130)*1)</f>
        <v>0</v>
      </c>
      <c r="BS154" s="1558">
        <f ca="1">SUMPRODUCT('3b Activity Plan'!$AN$173:$AN$365,OFFSET('3b Activity Plan'!$DJ$173:$DJ$365,0,$CU154-1),'3b Activity Plan'!AW$173:AW$365,'3b Activity Plan'!$AH$173:$AH$365,'3b Activity Plan'!$CY$173:$CY$365,('3b Activity Plan'!$C$173:$C$365=$BK$130)*1)</f>
        <v>0</v>
      </c>
      <c r="BT154" s="1558">
        <f ca="1">SUMPRODUCT('3b Activity Plan'!$AN$173:$AN$365,OFFSET('3b Activity Plan'!$DJ$173:$DJ$365,0,$CU154-1),'3b Activity Plan'!AX$173:AX$365,'3b Activity Plan'!$AH$173:$AH$365,'3b Activity Plan'!$CY$173:$CY$365,('3b Activity Plan'!$C$173:$C$365=$BK$130)*1)</f>
        <v>0</v>
      </c>
      <c r="BU154" s="1587"/>
      <c r="BV154" s="1587"/>
      <c r="BW154" s="1587"/>
      <c r="BX154" s="1556"/>
      <c r="BY154" s="1556"/>
      <c r="BZ154" s="1556"/>
      <c r="CA154" s="1024">
        <f ca="1">SUMIFS('3a Staff Plan'!$T$129:$T$305,'3a Staff Plan'!$DY$129:$DY$305,CZ154,'3a Staff Plan'!$DF$129:$DF$305,1)</f>
        <v>0</v>
      </c>
      <c r="CB154" s="1025">
        <f ca="1">SUMIFS('3a Staff Plan'!$T$129:$T$305,'3a Staff Plan'!$DY$129:$DY$305,$CZ154,'3a Staff Plan'!$DF$129:$DF$305,1,'3a Staff Plan'!$C$129:$C$305,DC$18)</f>
        <v>0</v>
      </c>
      <c r="CC154" s="1026">
        <f ca="1">SUMIFS('3a Staff Plan'!$T$129:$T$305,'3a Staff Plan'!$DY$129:$DY$305,$CZ154,'3a Staff Plan'!$DF$129:$DF$305,1,'3a Staff Plan'!$C$129:$C$305,DD$18)</f>
        <v>0</v>
      </c>
      <c r="CD154" s="1026">
        <f ca="1">SUMIFS('3a Staff Plan'!$T$129:$T$305,'3a Staff Plan'!$DY$129:$DY$305,$CZ154,'3a Staff Plan'!$DF$129:$DF$305,1,'3a Staff Plan'!$C$129:$C$305,DE$18)</f>
        <v>0</v>
      </c>
      <c r="CE154" s="1026">
        <f ca="1">SUMIFS('3a Staff Plan'!$T$129:$T$305,'3a Staff Plan'!$DY$129:$DY$305,$CZ154,'3a Staff Plan'!$DF$129:$DF$305,1,'3a Staff Plan'!$C$129:$C$305,DF$18)</f>
        <v>0</v>
      </c>
      <c r="CF154" s="1026">
        <f ca="1">SUMIFS('3a Staff Plan'!$T$129:$T$305,'3a Staff Plan'!$DY$129:$DY$305,$CZ154,'3a Staff Plan'!$DF$129:$DF$305,1,'3a Staff Plan'!$C$129:$C$305,DG$18)</f>
        <v>0</v>
      </c>
      <c r="CG154" s="1026">
        <f ca="1">SUMIFS('3a Staff Plan'!$T$129:$T$305,'3a Staff Plan'!$DY$129:$DY$305,$CZ154,'3a Staff Plan'!$DF$129:$DF$305,1,'3a Staff Plan'!$C$129:$C$305,DH$18)</f>
        <v>0</v>
      </c>
      <c r="CH154" s="1026">
        <f ca="1">SUMIFS('3a Staff Plan'!$T$129:$T$305,'3a Staff Plan'!$DY$129:$DY$305,$CZ154,'3a Staff Plan'!$DF$129:$DF$305,1,'3a Staff Plan'!$C$129:$C$305,DI$18)</f>
        <v>0</v>
      </c>
      <c r="CI154" s="755"/>
      <c r="CJ154" s="1024">
        <f ca="1">SUMPRODUCT('3b Activity Plan'!$AN$173:$AN$365,'3b Activity Plan'!$CY$173:$CY$365,'3b Activity Plan'!$AH$173:$AH$365,OFFSET('3b Activity Plan'!$DJ$173:$DJ$365,0,$CU154-1))</f>
        <v>0</v>
      </c>
      <c r="CK154" s="1025">
        <f t="shared" ca="1" si="93"/>
        <v>0</v>
      </c>
      <c r="CL154" s="1026">
        <f t="shared" ca="1" si="94"/>
        <v>0</v>
      </c>
      <c r="CM154" s="1026">
        <f t="shared" ca="1" si="95"/>
        <v>0</v>
      </c>
      <c r="CN154" s="1026">
        <f t="shared" ca="1" si="96"/>
        <v>0</v>
      </c>
      <c r="CO154" s="1026">
        <f t="shared" ca="1" si="97"/>
        <v>0</v>
      </c>
      <c r="CP154" s="1026">
        <f t="shared" ca="1" si="98"/>
        <v>0</v>
      </c>
      <c r="CQ154" s="1026">
        <f t="shared" ca="1" si="99"/>
        <v>0</v>
      </c>
      <c r="CR154" s="417"/>
      <c r="CS154" s="417">
        <f t="shared" si="100"/>
        <v>22</v>
      </c>
      <c r="CT154" s="417">
        <f ca="1">OFFSET('2 Staff List'!$GU$64,CS154-1,0)</f>
        <v>22</v>
      </c>
      <c r="CU154" s="417">
        <f ca="1">IF(CZ154=0,0,IFERROR(INDEX('3b Activity Plan'!$DJ$20:$FH$20,MATCH(CT154,'3b Activity Plan'!$DJ$171:$FH$171,0)),0))</f>
        <v>0</v>
      </c>
      <c r="CV154" s="417">
        <f ca="1">INDEX('2 Staff List'!$HW$64:$HW$114,CT154)</f>
        <v>0</v>
      </c>
      <c r="CW154" s="417"/>
      <c r="CY154" s="927">
        <f ca="1">OFFSET('2 Staff List'!$HZ$64,CS154-1,0)</f>
        <v>0</v>
      </c>
      <c r="CZ154" s="975">
        <f ca="1">OFFSET('2 Staff List'!$IA$64,CT154-1,0)</f>
        <v>0</v>
      </c>
      <c r="DA154" s="3840">
        <f t="shared" ca="1" si="92"/>
        <v>0</v>
      </c>
      <c r="DB154" s="3841"/>
      <c r="DC154" s="2408">
        <f t="shared" ca="1" si="85"/>
        <v>0</v>
      </c>
      <c r="DD154" s="2405">
        <f t="shared" ca="1" si="86"/>
        <v>0</v>
      </c>
      <c r="DE154" s="2405">
        <f t="shared" ca="1" si="87"/>
        <v>0</v>
      </c>
      <c r="DF154" s="2405">
        <f t="shared" ca="1" si="88"/>
        <v>0</v>
      </c>
      <c r="DG154" s="2405">
        <f t="shared" ca="1" si="89"/>
        <v>0</v>
      </c>
      <c r="DH154" s="2406">
        <f t="shared" ca="1" si="90"/>
        <v>0</v>
      </c>
      <c r="DI154" s="2407">
        <f t="shared" ca="1" si="91"/>
        <v>0</v>
      </c>
    </row>
    <row r="155" spans="1:113" ht="15.9" customHeight="1" x14ac:dyDescent="0.25">
      <c r="A155" s="1051"/>
      <c r="B155" s="1556"/>
      <c r="C155" s="1558">
        <f ca="1">SUMPRODUCT('3b Activity Plan'!$AN$173:$AN$365,OFFSET('3b Activity Plan'!$DJ$173:$DJ$365,0,$CU155-1),'3b Activity Plan'!AO$173:AO$365,'3b Activity Plan'!$AH$173:$AH$365,'3b Activity Plan'!$CY$173:$CY$365,('3b Activity Plan'!$C$173:$C$365=$C$130)*1)</f>
        <v>0</v>
      </c>
      <c r="D155" s="1558">
        <f ca="1">SUMPRODUCT('3b Activity Plan'!$AN$173:$AN$365,OFFSET('3b Activity Plan'!$DJ$173:$DJ$365,0,$CU155-1),'3b Activity Plan'!AP$173:AP$365,'3b Activity Plan'!$AH$173:$AH$365,'3b Activity Plan'!$CY$173:$CY$365,('3b Activity Plan'!$C$173:$C$365=$C$130)*1)</f>
        <v>0</v>
      </c>
      <c r="E155" s="1558">
        <f ca="1">SUMPRODUCT('3b Activity Plan'!$AN$173:$AN$365,OFFSET('3b Activity Plan'!$DJ$173:$DJ$365,0,$CU155-1),'3b Activity Plan'!AQ$173:AQ$365,'3b Activity Plan'!$AH$173:$AH$365,'3b Activity Plan'!$CY$173:$CY$365,('3b Activity Plan'!$C$173:$C$365=$C$130)*1)</f>
        <v>0</v>
      </c>
      <c r="F155" s="1558">
        <f ca="1">SUMPRODUCT('3b Activity Plan'!$AN$173:$AN$365,OFFSET('3b Activity Plan'!$DJ$173:$DJ$365,0,$CU155-1),'3b Activity Plan'!AR$173:AR$365,'3b Activity Plan'!$AH$173:$AH$365,'3b Activity Plan'!$CY$173:$CY$365,('3b Activity Plan'!$C$173:$C$365=$C$130)*1)</f>
        <v>0</v>
      </c>
      <c r="G155" s="1558">
        <f ca="1">SUMPRODUCT('3b Activity Plan'!$AN$173:$AN$365,OFFSET('3b Activity Plan'!$DJ$173:$DJ$365,0,$CU155-1),'3b Activity Plan'!AS$173:AS$365,'3b Activity Plan'!$AH$173:$AH$365,'3b Activity Plan'!$CY$173:$CY$365,('3b Activity Plan'!$C$173:$C$365=$C$130)*1)</f>
        <v>0</v>
      </c>
      <c r="H155" s="1558">
        <f ca="1">SUMPRODUCT('3b Activity Plan'!$AN$173:$AN$365,OFFSET('3b Activity Plan'!$DJ$173:$DJ$365,0,$CU155-1),'3b Activity Plan'!AT$173:AT$365,'3b Activity Plan'!$AH$173:$AH$365,'3b Activity Plan'!$CY$173:$CY$365,('3b Activity Plan'!$C$173:$C$365=$C$130)*1)</f>
        <v>0</v>
      </c>
      <c r="I155" s="1558">
        <f ca="1">SUMPRODUCT('3b Activity Plan'!$AN$173:$AN$365,OFFSET('3b Activity Plan'!$DJ$173:$DJ$365,0,$CU155-1),'3b Activity Plan'!AU$173:AU$365,'3b Activity Plan'!$AH$173:$AH$365,'3b Activity Plan'!$CY$173:$CY$365,('3b Activity Plan'!$C$173:$C$365=$C$130)*1)</f>
        <v>0</v>
      </c>
      <c r="J155" s="1558">
        <f ca="1">SUMPRODUCT('3b Activity Plan'!$AN$173:$AN$365,OFFSET('3b Activity Plan'!$DJ$173:$DJ$365,0,$CU155-1),'3b Activity Plan'!AV$173:AV$365,'3b Activity Plan'!$AH$173:$AH$365,'3b Activity Plan'!$CY$173:$CY$365,('3b Activity Plan'!$C$173:$C$365=$C$130)*1)</f>
        <v>0</v>
      </c>
      <c r="K155" s="1558">
        <f ca="1">SUMPRODUCT('3b Activity Plan'!$AN$173:$AN$365,OFFSET('3b Activity Plan'!$DJ$173:$DJ$365,0,$CU155-1),'3b Activity Plan'!AW$173:AW$365,'3b Activity Plan'!$AH$173:$AH$365,'3b Activity Plan'!$CY$173:$CY$365,('3b Activity Plan'!$C$173:$C$365=$C$130)*1)</f>
        <v>0</v>
      </c>
      <c r="L155" s="1601">
        <f ca="1">SUMPRODUCT('3b Activity Plan'!$AN$173:$AN$365,OFFSET('3b Activity Plan'!$DJ$173:$DJ$365,0,$CU155-1),'3b Activity Plan'!AX$173:AX$365,'3b Activity Plan'!$AH$173:$AH$365,'3b Activity Plan'!$CY$173:$CY$365,('3b Activity Plan'!$C$173:$C$365=$C$130)*1)</f>
        <v>0</v>
      </c>
      <c r="M155" s="1602">
        <f ca="1">SUMPRODUCT('3b Activity Plan'!$AN$173:$AN$365,OFFSET('3b Activity Plan'!$DJ$173:$DJ$365,0,$CU155-1),'3b Activity Plan'!AO$173:AO$365,'3b Activity Plan'!$AH$173:$AH$365,'3b Activity Plan'!$CY$173:$CY$365,('3b Activity Plan'!$C$173:$C$365=$M$130)*1)</f>
        <v>0</v>
      </c>
      <c r="N155" s="1558">
        <f ca="1">SUMPRODUCT('3b Activity Plan'!$AN$173:$AN$365,OFFSET('3b Activity Plan'!$DJ$173:$DJ$365,0,$CU155-1),'3b Activity Plan'!AP$173:AP$365,'3b Activity Plan'!$AH$173:$AH$365,'3b Activity Plan'!$CY$173:$CY$365,('3b Activity Plan'!$C$173:$C$365=$M$130)*1)</f>
        <v>0</v>
      </c>
      <c r="O155" s="1558">
        <f ca="1">SUMPRODUCT('3b Activity Plan'!$AN$173:$AN$365,OFFSET('3b Activity Plan'!$DJ$173:$DJ$365,0,$CU155-1),'3b Activity Plan'!AQ$173:AQ$365,'3b Activity Plan'!$AH$173:$AH$365,'3b Activity Plan'!$CY$173:$CY$365,('3b Activity Plan'!$C$173:$C$365=$M$130)*1)</f>
        <v>0</v>
      </c>
      <c r="P155" s="1558">
        <f ca="1">SUMPRODUCT('3b Activity Plan'!$AN$173:$AN$365,OFFSET('3b Activity Plan'!$DJ$173:$DJ$365,0,$CU155-1),'3b Activity Plan'!AR$173:AR$365,'3b Activity Plan'!$AH$173:$AH$365,'3b Activity Plan'!$CY$173:$CY$365,('3b Activity Plan'!$C$173:$C$365=$M$130)*1)</f>
        <v>0</v>
      </c>
      <c r="Q155" s="1558">
        <f ca="1">SUMPRODUCT('3b Activity Plan'!$AN$173:$AN$365,OFFSET('3b Activity Plan'!$DJ$173:$DJ$365,0,$CU155-1),'3b Activity Plan'!AS$173:AS$365,'3b Activity Plan'!$AH$173:$AH$365,'3b Activity Plan'!$CY$173:$CY$365,('3b Activity Plan'!$C$173:$C$365=$M$130)*1)</f>
        <v>0</v>
      </c>
      <c r="R155" s="1558">
        <f ca="1">SUMPRODUCT('3b Activity Plan'!$AN$173:$AN$365,OFFSET('3b Activity Plan'!$DJ$173:$DJ$365,0,$CU155-1),'3b Activity Plan'!AT$173:AT$365,'3b Activity Plan'!$AH$173:$AH$365,'3b Activity Plan'!$CY$173:$CY$365,('3b Activity Plan'!$C$173:$C$365=$M$130)*1)</f>
        <v>0</v>
      </c>
      <c r="S155" s="1558">
        <f ca="1">SUMPRODUCT('3b Activity Plan'!$AN$173:$AN$365,OFFSET('3b Activity Plan'!$DJ$173:$DJ$365,0,$CU155-1),'3b Activity Plan'!AU$173:AU$365,'3b Activity Plan'!$AH$173:$AH$365,'3b Activity Plan'!$CY$173:$CY$365,('3b Activity Plan'!$C$173:$C$365=$M$130)*1)</f>
        <v>0</v>
      </c>
      <c r="T155" s="1558">
        <f ca="1">SUMPRODUCT('3b Activity Plan'!$AN$173:$AN$365,OFFSET('3b Activity Plan'!$DJ$173:$DJ$365,0,$CU155-1),'3b Activity Plan'!AV$173:AV$365,'3b Activity Plan'!$AH$173:$AH$365,'3b Activity Plan'!$CY$173:$CY$365,('3b Activity Plan'!$C$173:$C$365=$M$130)*1)</f>
        <v>0</v>
      </c>
      <c r="U155" s="1558">
        <f ca="1">SUMPRODUCT('3b Activity Plan'!$AN$173:$AN$365,OFFSET('3b Activity Plan'!$DJ$173:$DJ$365,0,$CU155-1),'3b Activity Plan'!AW$173:AW$365,'3b Activity Plan'!$AH$173:$AH$365,'3b Activity Plan'!$CY$173:$CY$365,('3b Activity Plan'!$C$173:$C$365=$M$130)*1)</f>
        <v>0</v>
      </c>
      <c r="V155" s="1601">
        <f ca="1">SUMPRODUCT('3b Activity Plan'!$AN$173:$AN$365,OFFSET('3b Activity Plan'!$DJ$173:$DJ$365,0,$CU155-1),'3b Activity Plan'!AX$173:AX$365,'3b Activity Plan'!$AH$173:$AH$365,'3b Activity Plan'!$CY$173:$CY$365,('3b Activity Plan'!$C$173:$C$365=$M$130)*1)</f>
        <v>0</v>
      </c>
      <c r="W155" s="1602">
        <f ca="1">SUMPRODUCT('3b Activity Plan'!$AN$173:$AN$365,OFFSET('3b Activity Plan'!$DJ$173:$DJ$365,0,$CU155-1),'3b Activity Plan'!AO$173:AO$365,'3b Activity Plan'!$AH$173:$AH$365,'3b Activity Plan'!$CY$173:$CY$365,('3b Activity Plan'!$C$173:$C$365=$W$130)*1)</f>
        <v>0</v>
      </c>
      <c r="X155" s="1558">
        <f ca="1">SUMPRODUCT('3b Activity Plan'!$AN$173:$AN$365,OFFSET('3b Activity Plan'!$DJ$173:$DJ$365,0,$CU155-1),'3b Activity Plan'!AP$173:AP$365,'3b Activity Plan'!$AH$173:$AH$365,'3b Activity Plan'!$CY$173:$CY$365,('3b Activity Plan'!$C$173:$C$365=$W$130)*1)</f>
        <v>0</v>
      </c>
      <c r="Y155" s="1558">
        <f ca="1">SUMPRODUCT('3b Activity Plan'!$AN$173:$AN$365,OFFSET('3b Activity Plan'!$DJ$173:$DJ$365,0,$CU155-1),'3b Activity Plan'!AQ$173:AQ$365,'3b Activity Plan'!$AH$173:$AH$365,'3b Activity Plan'!$CY$173:$CY$365,('3b Activity Plan'!$C$173:$C$365=$W$130)*1)</f>
        <v>0</v>
      </c>
      <c r="Z155" s="1558">
        <f ca="1">SUMPRODUCT('3b Activity Plan'!$AN$173:$AN$365,OFFSET('3b Activity Plan'!$DJ$173:$DJ$365,0,$CU155-1),'3b Activity Plan'!AR$173:AR$365,'3b Activity Plan'!$AH$173:$AH$365,'3b Activity Plan'!$CY$173:$CY$365,('3b Activity Plan'!$C$173:$C$365=$W$130)*1)</f>
        <v>0</v>
      </c>
      <c r="AA155" s="1558">
        <f ca="1">SUMPRODUCT('3b Activity Plan'!$AN$173:$AN$365,OFFSET('3b Activity Plan'!$DJ$173:$DJ$365,0,$CU155-1),'3b Activity Plan'!AS$173:AS$365,'3b Activity Plan'!$AH$173:$AH$365,'3b Activity Plan'!$CY$173:$CY$365,('3b Activity Plan'!$C$173:$C$365=$W$130)*1)</f>
        <v>0</v>
      </c>
      <c r="AB155" s="1558">
        <f ca="1">SUMPRODUCT('3b Activity Plan'!$AN$173:$AN$365,OFFSET('3b Activity Plan'!$DJ$173:$DJ$365,0,$CU155-1),'3b Activity Plan'!AT$173:AT$365,'3b Activity Plan'!$AH$173:$AH$365,'3b Activity Plan'!$CY$173:$CY$365,('3b Activity Plan'!$C$173:$C$365=$W$130)*1)</f>
        <v>0</v>
      </c>
      <c r="AC155" s="1558">
        <f ca="1">SUMPRODUCT('3b Activity Plan'!$AN$173:$AN$365,OFFSET('3b Activity Plan'!$DJ$173:$DJ$365,0,$CU155-1),'3b Activity Plan'!AU$173:AU$365,'3b Activity Plan'!$AH$173:$AH$365,'3b Activity Plan'!$CY$173:$CY$365,('3b Activity Plan'!$C$173:$C$365=$W$130)*1)</f>
        <v>0</v>
      </c>
      <c r="AD155" s="1558">
        <f ca="1">SUMPRODUCT('3b Activity Plan'!$AN$173:$AN$365,OFFSET('3b Activity Plan'!$DJ$173:$DJ$365,0,$CU155-1),'3b Activity Plan'!AV$173:AV$365,'3b Activity Plan'!$AH$173:$AH$365,'3b Activity Plan'!$CY$173:$CY$365,('3b Activity Plan'!$C$173:$C$365=$W$130)*1)</f>
        <v>0</v>
      </c>
      <c r="AE155" s="1558">
        <f ca="1">SUMPRODUCT('3b Activity Plan'!$AN$173:$AN$365,OFFSET('3b Activity Plan'!$DJ$173:$DJ$365,0,$CU155-1),'3b Activity Plan'!AW$173:AW$365,'3b Activity Plan'!$AH$173:$AH$365,'3b Activity Plan'!$CY$173:$CY$365,('3b Activity Plan'!$C$173:$C$365=$W$130)*1)</f>
        <v>0</v>
      </c>
      <c r="AF155" s="1558">
        <f ca="1">SUMPRODUCT('3b Activity Plan'!$AN$173:$AN$365,OFFSET('3b Activity Plan'!$DJ$173:$DJ$365,0,$CU155-1),'3b Activity Plan'!AX$173:AX$365,'3b Activity Plan'!$AH$173:$AH$365,'3b Activity Plan'!$CY$173:$CY$365,('3b Activity Plan'!$C$173:$C$365=$W$130)*1)</f>
        <v>0</v>
      </c>
      <c r="AG155" s="1602">
        <f ca="1">SUMPRODUCT('3b Activity Plan'!$AN$173:$AN$365,OFFSET('3b Activity Plan'!$DJ$173:$DJ$365,0,$CU155-1),'3b Activity Plan'!AO$173:AO$365,'3b Activity Plan'!$AH$173:$AH$365,'3b Activity Plan'!$CY$173:$CY$365,('3b Activity Plan'!$C$173:$C$365=$AG$130)*1)</f>
        <v>0</v>
      </c>
      <c r="AH155" s="1558">
        <f ca="1">SUMPRODUCT('3b Activity Plan'!$AN$173:$AN$365,OFFSET('3b Activity Plan'!$DJ$173:$DJ$365,0,$CU155-1),'3b Activity Plan'!AP$173:AP$365,'3b Activity Plan'!$AH$173:$AH$365,'3b Activity Plan'!$CY$173:$CY$365,('3b Activity Plan'!$C$173:$C$365=$AG$130)*1)</f>
        <v>0</v>
      </c>
      <c r="AI155" s="1558">
        <f ca="1">SUMPRODUCT('3b Activity Plan'!$AN$173:$AN$365,OFFSET('3b Activity Plan'!$DJ$173:$DJ$365,0,$CU155-1),'3b Activity Plan'!AQ$173:AQ$365,'3b Activity Plan'!$AH$173:$AH$365,'3b Activity Plan'!$CY$173:$CY$365,('3b Activity Plan'!$C$173:$C$365=$AG$130)*1)</f>
        <v>0</v>
      </c>
      <c r="AJ155" s="1558">
        <f ca="1">SUMPRODUCT('3b Activity Plan'!$AN$173:$AN$365,OFFSET('3b Activity Plan'!$DJ$173:$DJ$365,0,$CU155-1),'3b Activity Plan'!AR$173:AR$365,'3b Activity Plan'!$AH$173:$AH$365,'3b Activity Plan'!$CY$173:$CY$365,('3b Activity Plan'!$C$173:$C$365=$AG$130)*1)</f>
        <v>0</v>
      </c>
      <c r="AK155" s="1558">
        <f ca="1">SUMPRODUCT('3b Activity Plan'!$AN$173:$AN$365,OFFSET('3b Activity Plan'!$DJ$173:$DJ$365,0,$CU155-1),'3b Activity Plan'!AS$173:AS$365,'3b Activity Plan'!$AH$173:$AH$365,'3b Activity Plan'!$CY$173:$CY$365,('3b Activity Plan'!$C$173:$C$365=$AG$130)*1)</f>
        <v>0</v>
      </c>
      <c r="AL155" s="1558">
        <f ca="1">SUMPRODUCT('3b Activity Plan'!$AN$173:$AN$365,OFFSET('3b Activity Plan'!$DJ$173:$DJ$365,0,$CU155-1),'3b Activity Plan'!AT$173:AT$365,'3b Activity Plan'!$AH$173:$AH$365,'3b Activity Plan'!$CY$173:$CY$365,('3b Activity Plan'!$C$173:$C$365=$AG$130)*1)</f>
        <v>0</v>
      </c>
      <c r="AM155" s="1558">
        <f ca="1">SUMPRODUCT('3b Activity Plan'!$AN$173:$AN$365,OFFSET('3b Activity Plan'!$DJ$173:$DJ$365,0,$CU155-1),'3b Activity Plan'!AU$173:AU$365,'3b Activity Plan'!$AH$173:$AH$365,'3b Activity Plan'!$CY$173:$CY$365,('3b Activity Plan'!$C$173:$C$365=$AG$130)*1)</f>
        <v>0</v>
      </c>
      <c r="AN155" s="1558">
        <f ca="1">SUMPRODUCT('3b Activity Plan'!$AN$173:$AN$365,OFFSET('3b Activity Plan'!$DJ$173:$DJ$365,0,$CU155-1),'3b Activity Plan'!AV$173:AV$365,'3b Activity Plan'!$AH$173:$AH$365,'3b Activity Plan'!$CY$173:$CY$365,('3b Activity Plan'!$C$173:$C$365=$AG$130)*1)</f>
        <v>0</v>
      </c>
      <c r="AO155" s="1558">
        <f ca="1">SUMPRODUCT('3b Activity Plan'!$AN$173:$AN$365,OFFSET('3b Activity Plan'!$DJ$173:$DJ$365,0,$CU155-1),'3b Activity Plan'!AW$173:AW$365,'3b Activity Plan'!$AH$173:$AH$365,'3b Activity Plan'!$CY$173:$CY$365,('3b Activity Plan'!$C$173:$C$365=$AG$130)*1)</f>
        <v>0</v>
      </c>
      <c r="AP155" s="1558">
        <f ca="1">SUMPRODUCT('3b Activity Plan'!$AN$173:$AN$365,OFFSET('3b Activity Plan'!$DJ$173:$DJ$365,0,$CU155-1),'3b Activity Plan'!AX$173:AX$365,'3b Activity Plan'!$AH$173:$AH$365,'3b Activity Plan'!$CY$173:$CY$365,('3b Activity Plan'!$C$173:$C$365=$AG$130)*1)</f>
        <v>0</v>
      </c>
      <c r="AQ155" s="1602">
        <f ca="1">SUMPRODUCT('3b Activity Plan'!$AN$173:$AN$365,OFFSET('3b Activity Plan'!$DJ$173:$DJ$365,0,$CU155-1),'3b Activity Plan'!AO$173:AO$365,'3b Activity Plan'!$AH$173:$AH$365,'3b Activity Plan'!$CY$173:$CY$365,('3b Activity Plan'!$C$173:$C$365=$AQ$130)*1)</f>
        <v>0</v>
      </c>
      <c r="AR155" s="1558">
        <f ca="1">SUMPRODUCT('3b Activity Plan'!$AN$173:$AN$365,OFFSET('3b Activity Plan'!$DJ$173:$DJ$365,0,$CU155-1),'3b Activity Plan'!AP$173:AP$365,'3b Activity Plan'!$AH$173:$AH$365,'3b Activity Plan'!$CY$173:$CY$365,('3b Activity Plan'!$C$173:$C$365=$AQ$130)*1)</f>
        <v>0</v>
      </c>
      <c r="AS155" s="1558">
        <f ca="1">SUMPRODUCT('3b Activity Plan'!$AN$173:$AN$365,OFFSET('3b Activity Plan'!$DJ$173:$DJ$365,0,$CU155-1),'3b Activity Plan'!AQ$173:AQ$365,'3b Activity Plan'!$AH$173:$AH$365,'3b Activity Plan'!$CY$173:$CY$365,('3b Activity Plan'!$C$173:$C$365=$AQ$130)*1)</f>
        <v>0</v>
      </c>
      <c r="AT155" s="1558">
        <f ca="1">SUMPRODUCT('3b Activity Plan'!$AN$173:$AN$365,OFFSET('3b Activity Plan'!$DJ$173:$DJ$365,0,$CU155-1),'3b Activity Plan'!AR$173:AR$365,'3b Activity Plan'!$AH$173:$AH$365,'3b Activity Plan'!$CY$173:$CY$365,('3b Activity Plan'!$C$173:$C$365=$AQ$130)*1)</f>
        <v>0</v>
      </c>
      <c r="AU155" s="1558">
        <f ca="1">SUMPRODUCT('3b Activity Plan'!$AN$173:$AN$365,OFFSET('3b Activity Plan'!$DJ$173:$DJ$365,0,$CU155-1),'3b Activity Plan'!AS$173:AS$365,'3b Activity Plan'!$AH$173:$AH$365,'3b Activity Plan'!$CY$173:$CY$365,('3b Activity Plan'!$C$173:$C$365=$AQ$130)*1)</f>
        <v>0</v>
      </c>
      <c r="AV155" s="1558">
        <f ca="1">SUMPRODUCT('3b Activity Plan'!$AN$173:$AN$365,OFFSET('3b Activity Plan'!$DJ$173:$DJ$365,0,$CU155-1),'3b Activity Plan'!AT$173:AT$365,'3b Activity Plan'!$AH$173:$AH$365,'3b Activity Plan'!$CY$173:$CY$365,('3b Activity Plan'!$C$173:$C$365=$AQ$130)*1)</f>
        <v>0</v>
      </c>
      <c r="AW155" s="1558">
        <f ca="1">SUMPRODUCT('3b Activity Plan'!$AN$173:$AN$365,OFFSET('3b Activity Plan'!$DJ$173:$DJ$365,0,$CU155-1),'3b Activity Plan'!AU$173:AU$365,'3b Activity Plan'!$AH$173:$AH$365,'3b Activity Plan'!$CY$173:$CY$365,('3b Activity Plan'!$C$173:$C$365=$AQ$130)*1)</f>
        <v>0</v>
      </c>
      <c r="AX155" s="1558">
        <f ca="1">SUMPRODUCT('3b Activity Plan'!$AN$173:$AN$365,OFFSET('3b Activity Plan'!$DJ$173:$DJ$365,0,$CU155-1),'3b Activity Plan'!AV$173:AV$365,'3b Activity Plan'!$AH$173:$AH$365,'3b Activity Plan'!$CY$173:$CY$365,('3b Activity Plan'!$C$173:$C$365=$AQ$130)*1)</f>
        <v>0</v>
      </c>
      <c r="AY155" s="1558">
        <f ca="1">SUMPRODUCT('3b Activity Plan'!$AN$173:$AN$365,OFFSET('3b Activity Plan'!$DJ$173:$DJ$365,0,$CU155-1),'3b Activity Plan'!AW$173:AW$365,'3b Activity Plan'!$AH$173:$AH$365,'3b Activity Plan'!$CY$173:$CY$365,('3b Activity Plan'!$C$173:$C$365=$AQ$130)*1)</f>
        <v>0</v>
      </c>
      <c r="AZ155" s="1558">
        <f ca="1">SUMPRODUCT('3b Activity Plan'!$AN$173:$AN$365,OFFSET('3b Activity Plan'!$DJ$173:$DJ$365,0,$CU155-1),'3b Activity Plan'!AX$173:AX$365,'3b Activity Plan'!$AH$173:$AH$365,'3b Activity Plan'!$CY$173:$CY$365,('3b Activity Plan'!$C$173:$C$365=$AQ$130)*1)</f>
        <v>0</v>
      </c>
      <c r="BA155" s="1602">
        <f ca="1">SUMPRODUCT('3b Activity Plan'!$AN$173:$AN$365,OFFSET('3b Activity Plan'!$DJ$173:$DJ$365,0,$CU155-1),'3b Activity Plan'!AO$173:AO$365,'3b Activity Plan'!$AH$173:$AH$365,'3b Activity Plan'!$CY$173:$CY$365,('3b Activity Plan'!$C$173:$C$365=$BA$130)*1)</f>
        <v>0</v>
      </c>
      <c r="BB155" s="1558">
        <f ca="1">SUMPRODUCT('3b Activity Plan'!$AN$173:$AN$365,OFFSET('3b Activity Plan'!$DJ$173:$DJ$365,0,$CU155-1),'3b Activity Plan'!AP$173:AP$365,'3b Activity Plan'!$AH$173:$AH$365,'3b Activity Plan'!$CY$173:$CY$365,('3b Activity Plan'!$C$173:$C$365=$BA$130)*1)</f>
        <v>0</v>
      </c>
      <c r="BC155" s="1558">
        <f ca="1">SUMPRODUCT('3b Activity Plan'!$AN$173:$AN$365,OFFSET('3b Activity Plan'!$DJ$173:$DJ$365,0,$CU155-1),'3b Activity Plan'!AQ$173:AQ$365,'3b Activity Plan'!$AH$173:$AH$365,'3b Activity Plan'!$CY$173:$CY$365,('3b Activity Plan'!$C$173:$C$365=$BA$130)*1)</f>
        <v>0</v>
      </c>
      <c r="BD155" s="1558">
        <f ca="1">SUMPRODUCT('3b Activity Plan'!$AN$173:$AN$365,OFFSET('3b Activity Plan'!$DJ$173:$DJ$365,0,$CU155-1),'3b Activity Plan'!AR$173:AR$365,'3b Activity Plan'!$AH$173:$AH$365,'3b Activity Plan'!$CY$173:$CY$365,('3b Activity Plan'!$C$173:$C$365=$BA$130)*1)</f>
        <v>0</v>
      </c>
      <c r="BE155" s="1558">
        <f ca="1">SUMPRODUCT('3b Activity Plan'!$AN$173:$AN$365,OFFSET('3b Activity Plan'!$DJ$173:$DJ$365,0,$CU155-1),'3b Activity Plan'!AS$173:AS$365,'3b Activity Plan'!$AH$173:$AH$365,'3b Activity Plan'!$CY$173:$CY$365,('3b Activity Plan'!$C$173:$C$365=$BA$130)*1)</f>
        <v>0</v>
      </c>
      <c r="BF155" s="1558">
        <f ca="1">SUMPRODUCT('3b Activity Plan'!$AN$173:$AN$365,OFFSET('3b Activity Plan'!$DJ$173:$DJ$365,0,$CU155-1),'3b Activity Plan'!AT$173:AT$365,'3b Activity Plan'!$AH$173:$AH$365,'3b Activity Plan'!$CY$173:$CY$365,('3b Activity Plan'!$C$173:$C$365=$BA$130)*1)</f>
        <v>0</v>
      </c>
      <c r="BG155" s="1558">
        <f ca="1">SUMPRODUCT('3b Activity Plan'!$AN$173:$AN$365,OFFSET('3b Activity Plan'!$DJ$173:$DJ$365,0,$CU155-1),'3b Activity Plan'!AU$173:AU$365,'3b Activity Plan'!$AH$173:$AH$365,'3b Activity Plan'!$CY$173:$CY$365,('3b Activity Plan'!$C$173:$C$365=$BA$130)*1)</f>
        <v>0</v>
      </c>
      <c r="BH155" s="1558">
        <f ca="1">SUMPRODUCT('3b Activity Plan'!$AN$173:$AN$365,OFFSET('3b Activity Plan'!$DJ$173:$DJ$365,0,$CU155-1),'3b Activity Plan'!AV$173:AV$365,'3b Activity Plan'!$AH$173:$AH$365,'3b Activity Plan'!$CY$173:$CY$365,('3b Activity Plan'!$C$173:$C$365=$BA$130)*1)</f>
        <v>0</v>
      </c>
      <c r="BI155" s="1558">
        <f ca="1">SUMPRODUCT('3b Activity Plan'!$AN$173:$AN$365,OFFSET('3b Activity Plan'!$DJ$173:$DJ$365,0,$CU155-1),'3b Activity Plan'!AW$173:AW$365,'3b Activity Plan'!$AH$173:$AH$365,'3b Activity Plan'!$CY$173:$CY$365,('3b Activity Plan'!$C$173:$C$365=$BA$130)*1)</f>
        <v>0</v>
      </c>
      <c r="BJ155" s="1558">
        <f ca="1">SUMPRODUCT('3b Activity Plan'!$AN$173:$AN$365,OFFSET('3b Activity Plan'!$DJ$173:$DJ$365,0,$CU155-1),'3b Activity Plan'!AX$173:AX$365,'3b Activity Plan'!$AH$173:$AH$365,'3b Activity Plan'!$CY$173:$CY$365,('3b Activity Plan'!$C$173:$C$365=$BA$130)*1)</f>
        <v>0</v>
      </c>
      <c r="BK155" s="1602">
        <f ca="1">SUMPRODUCT('3b Activity Plan'!$AN$173:$AN$365,OFFSET('3b Activity Plan'!$DJ$173:$DJ$365,0,$CU155-1),'3b Activity Plan'!AO$173:AO$365,'3b Activity Plan'!$AH$173:$AH$365,'3b Activity Plan'!$CY$173:$CY$365,('3b Activity Plan'!$C$173:$C$365=$BK$130)*1)</f>
        <v>0</v>
      </c>
      <c r="BL155" s="1558">
        <f ca="1">SUMPRODUCT('3b Activity Plan'!$AN$173:$AN$365,OFFSET('3b Activity Plan'!$DJ$173:$DJ$365,0,$CU155-1),'3b Activity Plan'!AP$173:AP$365,'3b Activity Plan'!$AH$173:$AH$365,'3b Activity Plan'!$CY$173:$CY$365,('3b Activity Plan'!$C$173:$C$365=$BK$130)*1)</f>
        <v>0</v>
      </c>
      <c r="BM155" s="1558">
        <f ca="1">SUMPRODUCT('3b Activity Plan'!$AN$173:$AN$365,OFFSET('3b Activity Plan'!$DJ$173:$DJ$365,0,$CU155-1),'3b Activity Plan'!AQ$173:AQ$365,'3b Activity Plan'!$AH$173:$AH$365,'3b Activity Plan'!$CY$173:$CY$365,('3b Activity Plan'!$C$173:$C$365=$BK$130)*1)</f>
        <v>0</v>
      </c>
      <c r="BN155" s="1558">
        <f ca="1">SUMPRODUCT('3b Activity Plan'!$AN$173:$AN$365,OFFSET('3b Activity Plan'!$DJ$173:$DJ$365,0,$CU155-1),'3b Activity Plan'!AR$173:AR$365,'3b Activity Plan'!$AH$173:$AH$365,'3b Activity Plan'!$CY$173:$CY$365,('3b Activity Plan'!$C$173:$C$365=$BK$130)*1)</f>
        <v>0</v>
      </c>
      <c r="BO155" s="1558">
        <f ca="1">SUMPRODUCT('3b Activity Plan'!$AN$173:$AN$365,OFFSET('3b Activity Plan'!$DJ$173:$DJ$365,0,$CU155-1),'3b Activity Plan'!AS$173:AS$365,'3b Activity Plan'!$AH$173:$AH$365,'3b Activity Plan'!$CY$173:$CY$365,('3b Activity Plan'!$C$173:$C$365=$BK$130)*1)</f>
        <v>0</v>
      </c>
      <c r="BP155" s="1558">
        <f ca="1">SUMPRODUCT('3b Activity Plan'!$AN$173:$AN$365,OFFSET('3b Activity Plan'!$DJ$173:$DJ$365,0,$CU155-1),'3b Activity Plan'!AT$173:AT$365,'3b Activity Plan'!$AH$173:$AH$365,'3b Activity Plan'!$CY$173:$CY$365,('3b Activity Plan'!$C$173:$C$365=$BK$130)*1)</f>
        <v>0</v>
      </c>
      <c r="BQ155" s="1558">
        <f ca="1">SUMPRODUCT('3b Activity Plan'!$AN$173:$AN$365,OFFSET('3b Activity Plan'!$DJ$173:$DJ$365,0,$CU155-1),'3b Activity Plan'!AU$173:AU$365,'3b Activity Plan'!$AH$173:$AH$365,'3b Activity Plan'!$CY$173:$CY$365,('3b Activity Plan'!$C$173:$C$365=$BK$130)*1)</f>
        <v>0</v>
      </c>
      <c r="BR155" s="1558">
        <f ca="1">SUMPRODUCT('3b Activity Plan'!$AN$173:$AN$365,OFFSET('3b Activity Plan'!$DJ$173:$DJ$365,0,$CU155-1),'3b Activity Plan'!AV$173:AV$365,'3b Activity Plan'!$AH$173:$AH$365,'3b Activity Plan'!$CY$173:$CY$365,('3b Activity Plan'!$C$173:$C$365=$BK$130)*1)</f>
        <v>0</v>
      </c>
      <c r="BS155" s="1558">
        <f ca="1">SUMPRODUCT('3b Activity Plan'!$AN$173:$AN$365,OFFSET('3b Activity Plan'!$DJ$173:$DJ$365,0,$CU155-1),'3b Activity Plan'!AW$173:AW$365,'3b Activity Plan'!$AH$173:$AH$365,'3b Activity Plan'!$CY$173:$CY$365,('3b Activity Plan'!$C$173:$C$365=$BK$130)*1)</f>
        <v>0</v>
      </c>
      <c r="BT155" s="1558">
        <f ca="1">SUMPRODUCT('3b Activity Plan'!$AN$173:$AN$365,OFFSET('3b Activity Plan'!$DJ$173:$DJ$365,0,$CU155-1),'3b Activity Plan'!AX$173:AX$365,'3b Activity Plan'!$AH$173:$AH$365,'3b Activity Plan'!$CY$173:$CY$365,('3b Activity Plan'!$C$173:$C$365=$BK$130)*1)</f>
        <v>0</v>
      </c>
      <c r="BU155" s="1587"/>
      <c r="BV155" s="1587"/>
      <c r="BW155" s="1587"/>
      <c r="BX155" s="1556"/>
      <c r="BY155" s="1556"/>
      <c r="BZ155" s="1556"/>
      <c r="CA155" s="1024">
        <f ca="1">SUMIFS('3a Staff Plan'!$T$129:$T$305,'3a Staff Plan'!$DY$129:$DY$305,CZ155,'3a Staff Plan'!$DF$129:$DF$305,1)</f>
        <v>0</v>
      </c>
      <c r="CB155" s="1025">
        <f ca="1">SUMIFS('3a Staff Plan'!$T$129:$T$305,'3a Staff Plan'!$DY$129:$DY$305,$CZ155,'3a Staff Plan'!$DF$129:$DF$305,1,'3a Staff Plan'!$C$129:$C$305,DC$18)</f>
        <v>0</v>
      </c>
      <c r="CC155" s="1026">
        <f ca="1">SUMIFS('3a Staff Plan'!$T$129:$T$305,'3a Staff Plan'!$DY$129:$DY$305,$CZ155,'3a Staff Plan'!$DF$129:$DF$305,1,'3a Staff Plan'!$C$129:$C$305,DD$18)</f>
        <v>0</v>
      </c>
      <c r="CD155" s="1026">
        <f ca="1">SUMIFS('3a Staff Plan'!$T$129:$T$305,'3a Staff Plan'!$DY$129:$DY$305,$CZ155,'3a Staff Plan'!$DF$129:$DF$305,1,'3a Staff Plan'!$C$129:$C$305,DE$18)</f>
        <v>0</v>
      </c>
      <c r="CE155" s="1026">
        <f ca="1">SUMIFS('3a Staff Plan'!$T$129:$T$305,'3a Staff Plan'!$DY$129:$DY$305,$CZ155,'3a Staff Plan'!$DF$129:$DF$305,1,'3a Staff Plan'!$C$129:$C$305,DF$18)</f>
        <v>0</v>
      </c>
      <c r="CF155" s="1026">
        <f ca="1">SUMIFS('3a Staff Plan'!$T$129:$T$305,'3a Staff Plan'!$DY$129:$DY$305,$CZ155,'3a Staff Plan'!$DF$129:$DF$305,1,'3a Staff Plan'!$C$129:$C$305,DG$18)</f>
        <v>0</v>
      </c>
      <c r="CG155" s="1026">
        <f ca="1">SUMIFS('3a Staff Plan'!$T$129:$T$305,'3a Staff Plan'!$DY$129:$DY$305,$CZ155,'3a Staff Plan'!$DF$129:$DF$305,1,'3a Staff Plan'!$C$129:$C$305,DH$18)</f>
        <v>0</v>
      </c>
      <c r="CH155" s="1026">
        <f ca="1">SUMIFS('3a Staff Plan'!$T$129:$T$305,'3a Staff Plan'!$DY$129:$DY$305,$CZ155,'3a Staff Plan'!$DF$129:$DF$305,1,'3a Staff Plan'!$C$129:$C$305,DI$18)</f>
        <v>0</v>
      </c>
      <c r="CI155" s="755"/>
      <c r="CJ155" s="1024">
        <f ca="1">SUMPRODUCT('3b Activity Plan'!$AN$173:$AN$365,'3b Activity Plan'!$CY$173:$CY$365,'3b Activity Plan'!$AH$173:$AH$365,OFFSET('3b Activity Plan'!$DJ$173:$DJ$365,0,$CU155-1))</f>
        <v>0</v>
      </c>
      <c r="CK155" s="1025">
        <f t="shared" ca="1" si="93"/>
        <v>0</v>
      </c>
      <c r="CL155" s="1026">
        <f t="shared" ca="1" si="94"/>
        <v>0</v>
      </c>
      <c r="CM155" s="1026">
        <f t="shared" ca="1" si="95"/>
        <v>0</v>
      </c>
      <c r="CN155" s="1026">
        <f t="shared" ca="1" si="96"/>
        <v>0</v>
      </c>
      <c r="CO155" s="1026">
        <f t="shared" ca="1" si="97"/>
        <v>0</v>
      </c>
      <c r="CP155" s="1026">
        <f t="shared" ca="1" si="98"/>
        <v>0</v>
      </c>
      <c r="CQ155" s="1026">
        <f t="shared" ca="1" si="99"/>
        <v>0</v>
      </c>
      <c r="CR155" s="417"/>
      <c r="CS155" s="417">
        <f t="shared" si="100"/>
        <v>23</v>
      </c>
      <c r="CT155" s="417">
        <f ca="1">OFFSET('2 Staff List'!$GU$64,CS155-1,0)</f>
        <v>23</v>
      </c>
      <c r="CU155" s="417">
        <f ca="1">IF(CZ155=0,0,IFERROR(INDEX('3b Activity Plan'!$DJ$20:$FH$20,MATCH(CT155,'3b Activity Plan'!$DJ$171:$FH$171,0)),0))</f>
        <v>0</v>
      </c>
      <c r="CV155" s="417">
        <f ca="1">INDEX('2 Staff List'!$HW$64:$HW$114,CT155)</f>
        <v>0</v>
      </c>
      <c r="CW155" s="417"/>
      <c r="CY155" s="927">
        <f ca="1">OFFSET('2 Staff List'!$HZ$64,CS155-1,0)</f>
        <v>0</v>
      </c>
      <c r="CZ155" s="975">
        <f ca="1">OFFSET('2 Staff List'!$IA$64,CT155-1,0)</f>
        <v>0</v>
      </c>
      <c r="DA155" s="3840">
        <f t="shared" ca="1" si="92"/>
        <v>0</v>
      </c>
      <c r="DB155" s="3841"/>
      <c r="DC155" s="2408">
        <f t="shared" ca="1" si="85"/>
        <v>0</v>
      </c>
      <c r="DD155" s="2405">
        <f t="shared" ca="1" si="86"/>
        <v>0</v>
      </c>
      <c r="DE155" s="2405">
        <f t="shared" ca="1" si="87"/>
        <v>0</v>
      </c>
      <c r="DF155" s="2405">
        <f t="shared" ca="1" si="88"/>
        <v>0</v>
      </c>
      <c r="DG155" s="2405">
        <f t="shared" ca="1" si="89"/>
        <v>0</v>
      </c>
      <c r="DH155" s="2406">
        <f t="shared" ca="1" si="90"/>
        <v>0</v>
      </c>
      <c r="DI155" s="2407">
        <f t="shared" ca="1" si="91"/>
        <v>0</v>
      </c>
    </row>
    <row r="156" spans="1:113" ht="15.9" customHeight="1" x14ac:dyDescent="0.25">
      <c r="A156" s="1051"/>
      <c r="B156" s="1556"/>
      <c r="C156" s="1558">
        <f ca="1">SUMPRODUCT('3b Activity Plan'!$AN$173:$AN$365,OFFSET('3b Activity Plan'!$DJ$173:$DJ$365,0,$CU156-1),'3b Activity Plan'!AO$173:AO$365,'3b Activity Plan'!$AH$173:$AH$365,'3b Activity Plan'!$CY$173:$CY$365,('3b Activity Plan'!$C$173:$C$365=$C$130)*1)</f>
        <v>0</v>
      </c>
      <c r="D156" s="1558">
        <f ca="1">SUMPRODUCT('3b Activity Plan'!$AN$173:$AN$365,OFFSET('3b Activity Plan'!$DJ$173:$DJ$365,0,$CU156-1),'3b Activity Plan'!AP$173:AP$365,'3b Activity Plan'!$AH$173:$AH$365,'3b Activity Plan'!$CY$173:$CY$365,('3b Activity Plan'!$C$173:$C$365=$C$130)*1)</f>
        <v>0</v>
      </c>
      <c r="E156" s="1558">
        <f ca="1">SUMPRODUCT('3b Activity Plan'!$AN$173:$AN$365,OFFSET('3b Activity Plan'!$DJ$173:$DJ$365,0,$CU156-1),'3b Activity Plan'!AQ$173:AQ$365,'3b Activity Plan'!$AH$173:$AH$365,'3b Activity Plan'!$CY$173:$CY$365,('3b Activity Plan'!$C$173:$C$365=$C$130)*1)</f>
        <v>0</v>
      </c>
      <c r="F156" s="1558">
        <f ca="1">SUMPRODUCT('3b Activity Plan'!$AN$173:$AN$365,OFFSET('3b Activity Plan'!$DJ$173:$DJ$365,0,$CU156-1),'3b Activity Plan'!AR$173:AR$365,'3b Activity Plan'!$AH$173:$AH$365,'3b Activity Plan'!$CY$173:$CY$365,('3b Activity Plan'!$C$173:$C$365=$C$130)*1)</f>
        <v>0</v>
      </c>
      <c r="G156" s="1558">
        <f ca="1">SUMPRODUCT('3b Activity Plan'!$AN$173:$AN$365,OFFSET('3b Activity Plan'!$DJ$173:$DJ$365,0,$CU156-1),'3b Activity Plan'!AS$173:AS$365,'3b Activity Plan'!$AH$173:$AH$365,'3b Activity Plan'!$CY$173:$CY$365,('3b Activity Plan'!$C$173:$C$365=$C$130)*1)</f>
        <v>0</v>
      </c>
      <c r="H156" s="1558">
        <f ca="1">SUMPRODUCT('3b Activity Plan'!$AN$173:$AN$365,OFFSET('3b Activity Plan'!$DJ$173:$DJ$365,0,$CU156-1),'3b Activity Plan'!AT$173:AT$365,'3b Activity Plan'!$AH$173:$AH$365,'3b Activity Plan'!$CY$173:$CY$365,('3b Activity Plan'!$C$173:$C$365=$C$130)*1)</f>
        <v>0</v>
      </c>
      <c r="I156" s="1558">
        <f ca="1">SUMPRODUCT('3b Activity Plan'!$AN$173:$AN$365,OFFSET('3b Activity Plan'!$DJ$173:$DJ$365,0,$CU156-1),'3b Activity Plan'!AU$173:AU$365,'3b Activity Plan'!$AH$173:$AH$365,'3b Activity Plan'!$CY$173:$CY$365,('3b Activity Plan'!$C$173:$C$365=$C$130)*1)</f>
        <v>0</v>
      </c>
      <c r="J156" s="1558">
        <f ca="1">SUMPRODUCT('3b Activity Plan'!$AN$173:$AN$365,OFFSET('3b Activity Plan'!$DJ$173:$DJ$365,0,$CU156-1),'3b Activity Plan'!AV$173:AV$365,'3b Activity Plan'!$AH$173:$AH$365,'3b Activity Plan'!$CY$173:$CY$365,('3b Activity Plan'!$C$173:$C$365=$C$130)*1)</f>
        <v>0</v>
      </c>
      <c r="K156" s="1558">
        <f ca="1">SUMPRODUCT('3b Activity Plan'!$AN$173:$AN$365,OFFSET('3b Activity Plan'!$DJ$173:$DJ$365,0,$CU156-1),'3b Activity Plan'!AW$173:AW$365,'3b Activity Plan'!$AH$173:$AH$365,'3b Activity Plan'!$CY$173:$CY$365,('3b Activity Plan'!$C$173:$C$365=$C$130)*1)</f>
        <v>0</v>
      </c>
      <c r="L156" s="1601">
        <f ca="1">SUMPRODUCT('3b Activity Plan'!$AN$173:$AN$365,OFFSET('3b Activity Plan'!$DJ$173:$DJ$365,0,$CU156-1),'3b Activity Plan'!AX$173:AX$365,'3b Activity Plan'!$AH$173:$AH$365,'3b Activity Plan'!$CY$173:$CY$365,('3b Activity Plan'!$C$173:$C$365=$C$130)*1)</f>
        <v>0</v>
      </c>
      <c r="M156" s="1602">
        <f ca="1">SUMPRODUCT('3b Activity Plan'!$AN$173:$AN$365,OFFSET('3b Activity Plan'!$DJ$173:$DJ$365,0,$CU156-1),'3b Activity Plan'!AO$173:AO$365,'3b Activity Plan'!$AH$173:$AH$365,'3b Activity Plan'!$CY$173:$CY$365,('3b Activity Plan'!$C$173:$C$365=$M$130)*1)</f>
        <v>0</v>
      </c>
      <c r="N156" s="1558">
        <f ca="1">SUMPRODUCT('3b Activity Plan'!$AN$173:$AN$365,OFFSET('3b Activity Plan'!$DJ$173:$DJ$365,0,$CU156-1),'3b Activity Plan'!AP$173:AP$365,'3b Activity Plan'!$AH$173:$AH$365,'3b Activity Plan'!$CY$173:$CY$365,('3b Activity Plan'!$C$173:$C$365=$M$130)*1)</f>
        <v>0</v>
      </c>
      <c r="O156" s="1558">
        <f ca="1">SUMPRODUCT('3b Activity Plan'!$AN$173:$AN$365,OFFSET('3b Activity Plan'!$DJ$173:$DJ$365,0,$CU156-1),'3b Activity Plan'!AQ$173:AQ$365,'3b Activity Plan'!$AH$173:$AH$365,'3b Activity Plan'!$CY$173:$CY$365,('3b Activity Plan'!$C$173:$C$365=$M$130)*1)</f>
        <v>0</v>
      </c>
      <c r="P156" s="1558">
        <f ca="1">SUMPRODUCT('3b Activity Plan'!$AN$173:$AN$365,OFFSET('3b Activity Plan'!$DJ$173:$DJ$365,0,$CU156-1),'3b Activity Plan'!AR$173:AR$365,'3b Activity Plan'!$AH$173:$AH$365,'3b Activity Plan'!$CY$173:$CY$365,('3b Activity Plan'!$C$173:$C$365=$M$130)*1)</f>
        <v>0</v>
      </c>
      <c r="Q156" s="1558">
        <f ca="1">SUMPRODUCT('3b Activity Plan'!$AN$173:$AN$365,OFFSET('3b Activity Plan'!$DJ$173:$DJ$365,0,$CU156-1),'3b Activity Plan'!AS$173:AS$365,'3b Activity Plan'!$AH$173:$AH$365,'3b Activity Plan'!$CY$173:$CY$365,('3b Activity Plan'!$C$173:$C$365=$M$130)*1)</f>
        <v>0</v>
      </c>
      <c r="R156" s="1558">
        <f ca="1">SUMPRODUCT('3b Activity Plan'!$AN$173:$AN$365,OFFSET('3b Activity Plan'!$DJ$173:$DJ$365,0,$CU156-1),'3b Activity Plan'!AT$173:AT$365,'3b Activity Plan'!$AH$173:$AH$365,'3b Activity Plan'!$CY$173:$CY$365,('3b Activity Plan'!$C$173:$C$365=$M$130)*1)</f>
        <v>0</v>
      </c>
      <c r="S156" s="1558">
        <f ca="1">SUMPRODUCT('3b Activity Plan'!$AN$173:$AN$365,OFFSET('3b Activity Plan'!$DJ$173:$DJ$365,0,$CU156-1),'3b Activity Plan'!AU$173:AU$365,'3b Activity Plan'!$AH$173:$AH$365,'3b Activity Plan'!$CY$173:$CY$365,('3b Activity Plan'!$C$173:$C$365=$M$130)*1)</f>
        <v>0</v>
      </c>
      <c r="T156" s="1558">
        <f ca="1">SUMPRODUCT('3b Activity Plan'!$AN$173:$AN$365,OFFSET('3b Activity Plan'!$DJ$173:$DJ$365,0,$CU156-1),'3b Activity Plan'!AV$173:AV$365,'3b Activity Plan'!$AH$173:$AH$365,'3b Activity Plan'!$CY$173:$CY$365,('3b Activity Plan'!$C$173:$C$365=$M$130)*1)</f>
        <v>0</v>
      </c>
      <c r="U156" s="1558">
        <f ca="1">SUMPRODUCT('3b Activity Plan'!$AN$173:$AN$365,OFFSET('3b Activity Plan'!$DJ$173:$DJ$365,0,$CU156-1),'3b Activity Plan'!AW$173:AW$365,'3b Activity Plan'!$AH$173:$AH$365,'3b Activity Plan'!$CY$173:$CY$365,('3b Activity Plan'!$C$173:$C$365=$M$130)*1)</f>
        <v>0</v>
      </c>
      <c r="V156" s="1601">
        <f ca="1">SUMPRODUCT('3b Activity Plan'!$AN$173:$AN$365,OFFSET('3b Activity Plan'!$DJ$173:$DJ$365,0,$CU156-1),'3b Activity Plan'!AX$173:AX$365,'3b Activity Plan'!$AH$173:$AH$365,'3b Activity Plan'!$CY$173:$CY$365,('3b Activity Plan'!$C$173:$C$365=$M$130)*1)</f>
        <v>0</v>
      </c>
      <c r="W156" s="1602">
        <f ca="1">SUMPRODUCT('3b Activity Plan'!$AN$173:$AN$365,OFFSET('3b Activity Plan'!$DJ$173:$DJ$365,0,$CU156-1),'3b Activity Plan'!AO$173:AO$365,'3b Activity Plan'!$AH$173:$AH$365,'3b Activity Plan'!$CY$173:$CY$365,('3b Activity Plan'!$C$173:$C$365=$W$130)*1)</f>
        <v>0</v>
      </c>
      <c r="X156" s="1558">
        <f ca="1">SUMPRODUCT('3b Activity Plan'!$AN$173:$AN$365,OFFSET('3b Activity Plan'!$DJ$173:$DJ$365,0,$CU156-1),'3b Activity Plan'!AP$173:AP$365,'3b Activity Plan'!$AH$173:$AH$365,'3b Activity Plan'!$CY$173:$CY$365,('3b Activity Plan'!$C$173:$C$365=$W$130)*1)</f>
        <v>0</v>
      </c>
      <c r="Y156" s="1558">
        <f ca="1">SUMPRODUCT('3b Activity Plan'!$AN$173:$AN$365,OFFSET('3b Activity Plan'!$DJ$173:$DJ$365,0,$CU156-1),'3b Activity Plan'!AQ$173:AQ$365,'3b Activity Plan'!$AH$173:$AH$365,'3b Activity Plan'!$CY$173:$CY$365,('3b Activity Plan'!$C$173:$C$365=$W$130)*1)</f>
        <v>0</v>
      </c>
      <c r="Z156" s="1558">
        <f ca="1">SUMPRODUCT('3b Activity Plan'!$AN$173:$AN$365,OFFSET('3b Activity Plan'!$DJ$173:$DJ$365,0,$CU156-1),'3b Activity Plan'!AR$173:AR$365,'3b Activity Plan'!$AH$173:$AH$365,'3b Activity Plan'!$CY$173:$CY$365,('3b Activity Plan'!$C$173:$C$365=$W$130)*1)</f>
        <v>0</v>
      </c>
      <c r="AA156" s="1558">
        <f ca="1">SUMPRODUCT('3b Activity Plan'!$AN$173:$AN$365,OFFSET('3b Activity Plan'!$DJ$173:$DJ$365,0,$CU156-1),'3b Activity Plan'!AS$173:AS$365,'3b Activity Plan'!$AH$173:$AH$365,'3b Activity Plan'!$CY$173:$CY$365,('3b Activity Plan'!$C$173:$C$365=$W$130)*1)</f>
        <v>0</v>
      </c>
      <c r="AB156" s="1558">
        <f ca="1">SUMPRODUCT('3b Activity Plan'!$AN$173:$AN$365,OFFSET('3b Activity Plan'!$DJ$173:$DJ$365,0,$CU156-1),'3b Activity Plan'!AT$173:AT$365,'3b Activity Plan'!$AH$173:$AH$365,'3b Activity Plan'!$CY$173:$CY$365,('3b Activity Plan'!$C$173:$C$365=$W$130)*1)</f>
        <v>0</v>
      </c>
      <c r="AC156" s="1558">
        <f ca="1">SUMPRODUCT('3b Activity Plan'!$AN$173:$AN$365,OFFSET('3b Activity Plan'!$DJ$173:$DJ$365,0,$CU156-1),'3b Activity Plan'!AU$173:AU$365,'3b Activity Plan'!$AH$173:$AH$365,'3b Activity Plan'!$CY$173:$CY$365,('3b Activity Plan'!$C$173:$C$365=$W$130)*1)</f>
        <v>0</v>
      </c>
      <c r="AD156" s="1558">
        <f ca="1">SUMPRODUCT('3b Activity Plan'!$AN$173:$AN$365,OFFSET('3b Activity Plan'!$DJ$173:$DJ$365,0,$CU156-1),'3b Activity Plan'!AV$173:AV$365,'3b Activity Plan'!$AH$173:$AH$365,'3b Activity Plan'!$CY$173:$CY$365,('3b Activity Plan'!$C$173:$C$365=$W$130)*1)</f>
        <v>0</v>
      </c>
      <c r="AE156" s="1558">
        <f ca="1">SUMPRODUCT('3b Activity Plan'!$AN$173:$AN$365,OFFSET('3b Activity Plan'!$DJ$173:$DJ$365,0,$CU156-1),'3b Activity Plan'!AW$173:AW$365,'3b Activity Plan'!$AH$173:$AH$365,'3b Activity Plan'!$CY$173:$CY$365,('3b Activity Plan'!$C$173:$C$365=$W$130)*1)</f>
        <v>0</v>
      </c>
      <c r="AF156" s="1558">
        <f ca="1">SUMPRODUCT('3b Activity Plan'!$AN$173:$AN$365,OFFSET('3b Activity Plan'!$DJ$173:$DJ$365,0,$CU156-1),'3b Activity Plan'!AX$173:AX$365,'3b Activity Plan'!$AH$173:$AH$365,'3b Activity Plan'!$CY$173:$CY$365,('3b Activity Plan'!$C$173:$C$365=$W$130)*1)</f>
        <v>0</v>
      </c>
      <c r="AG156" s="1602">
        <f ca="1">SUMPRODUCT('3b Activity Plan'!$AN$173:$AN$365,OFFSET('3b Activity Plan'!$DJ$173:$DJ$365,0,$CU156-1),'3b Activity Plan'!AO$173:AO$365,'3b Activity Plan'!$AH$173:$AH$365,'3b Activity Plan'!$CY$173:$CY$365,('3b Activity Plan'!$C$173:$C$365=$AG$130)*1)</f>
        <v>0</v>
      </c>
      <c r="AH156" s="1558">
        <f ca="1">SUMPRODUCT('3b Activity Plan'!$AN$173:$AN$365,OFFSET('3b Activity Plan'!$DJ$173:$DJ$365,0,$CU156-1),'3b Activity Plan'!AP$173:AP$365,'3b Activity Plan'!$AH$173:$AH$365,'3b Activity Plan'!$CY$173:$CY$365,('3b Activity Plan'!$C$173:$C$365=$AG$130)*1)</f>
        <v>0</v>
      </c>
      <c r="AI156" s="1558">
        <f ca="1">SUMPRODUCT('3b Activity Plan'!$AN$173:$AN$365,OFFSET('3b Activity Plan'!$DJ$173:$DJ$365,0,$CU156-1),'3b Activity Plan'!AQ$173:AQ$365,'3b Activity Plan'!$AH$173:$AH$365,'3b Activity Plan'!$CY$173:$CY$365,('3b Activity Plan'!$C$173:$C$365=$AG$130)*1)</f>
        <v>0</v>
      </c>
      <c r="AJ156" s="1558">
        <f ca="1">SUMPRODUCT('3b Activity Plan'!$AN$173:$AN$365,OFFSET('3b Activity Plan'!$DJ$173:$DJ$365,0,$CU156-1),'3b Activity Plan'!AR$173:AR$365,'3b Activity Plan'!$AH$173:$AH$365,'3b Activity Plan'!$CY$173:$CY$365,('3b Activity Plan'!$C$173:$C$365=$AG$130)*1)</f>
        <v>0</v>
      </c>
      <c r="AK156" s="1558">
        <f ca="1">SUMPRODUCT('3b Activity Plan'!$AN$173:$AN$365,OFFSET('3b Activity Plan'!$DJ$173:$DJ$365,0,$CU156-1),'3b Activity Plan'!AS$173:AS$365,'3b Activity Plan'!$AH$173:$AH$365,'3b Activity Plan'!$CY$173:$CY$365,('3b Activity Plan'!$C$173:$C$365=$AG$130)*1)</f>
        <v>0</v>
      </c>
      <c r="AL156" s="1558">
        <f ca="1">SUMPRODUCT('3b Activity Plan'!$AN$173:$AN$365,OFFSET('3b Activity Plan'!$DJ$173:$DJ$365,0,$CU156-1),'3b Activity Plan'!AT$173:AT$365,'3b Activity Plan'!$AH$173:$AH$365,'3b Activity Plan'!$CY$173:$CY$365,('3b Activity Plan'!$C$173:$C$365=$AG$130)*1)</f>
        <v>0</v>
      </c>
      <c r="AM156" s="1558">
        <f ca="1">SUMPRODUCT('3b Activity Plan'!$AN$173:$AN$365,OFFSET('3b Activity Plan'!$DJ$173:$DJ$365,0,$CU156-1),'3b Activity Plan'!AU$173:AU$365,'3b Activity Plan'!$AH$173:$AH$365,'3b Activity Plan'!$CY$173:$CY$365,('3b Activity Plan'!$C$173:$C$365=$AG$130)*1)</f>
        <v>0</v>
      </c>
      <c r="AN156" s="1558">
        <f ca="1">SUMPRODUCT('3b Activity Plan'!$AN$173:$AN$365,OFFSET('3b Activity Plan'!$DJ$173:$DJ$365,0,$CU156-1),'3b Activity Plan'!AV$173:AV$365,'3b Activity Plan'!$AH$173:$AH$365,'3b Activity Plan'!$CY$173:$CY$365,('3b Activity Plan'!$C$173:$C$365=$AG$130)*1)</f>
        <v>0</v>
      </c>
      <c r="AO156" s="1558">
        <f ca="1">SUMPRODUCT('3b Activity Plan'!$AN$173:$AN$365,OFFSET('3b Activity Plan'!$DJ$173:$DJ$365,0,$CU156-1),'3b Activity Plan'!AW$173:AW$365,'3b Activity Plan'!$AH$173:$AH$365,'3b Activity Plan'!$CY$173:$CY$365,('3b Activity Plan'!$C$173:$C$365=$AG$130)*1)</f>
        <v>0</v>
      </c>
      <c r="AP156" s="1558">
        <f ca="1">SUMPRODUCT('3b Activity Plan'!$AN$173:$AN$365,OFFSET('3b Activity Plan'!$DJ$173:$DJ$365,0,$CU156-1),'3b Activity Plan'!AX$173:AX$365,'3b Activity Plan'!$AH$173:$AH$365,'3b Activity Plan'!$CY$173:$CY$365,('3b Activity Plan'!$C$173:$C$365=$AG$130)*1)</f>
        <v>0</v>
      </c>
      <c r="AQ156" s="1602">
        <f ca="1">SUMPRODUCT('3b Activity Plan'!$AN$173:$AN$365,OFFSET('3b Activity Plan'!$DJ$173:$DJ$365,0,$CU156-1),'3b Activity Plan'!AO$173:AO$365,'3b Activity Plan'!$AH$173:$AH$365,'3b Activity Plan'!$CY$173:$CY$365,('3b Activity Plan'!$C$173:$C$365=$AQ$130)*1)</f>
        <v>0</v>
      </c>
      <c r="AR156" s="1558">
        <f ca="1">SUMPRODUCT('3b Activity Plan'!$AN$173:$AN$365,OFFSET('3b Activity Plan'!$DJ$173:$DJ$365,0,$CU156-1),'3b Activity Plan'!AP$173:AP$365,'3b Activity Plan'!$AH$173:$AH$365,'3b Activity Plan'!$CY$173:$CY$365,('3b Activity Plan'!$C$173:$C$365=$AQ$130)*1)</f>
        <v>0</v>
      </c>
      <c r="AS156" s="1558">
        <f ca="1">SUMPRODUCT('3b Activity Plan'!$AN$173:$AN$365,OFFSET('3b Activity Plan'!$DJ$173:$DJ$365,0,$CU156-1),'3b Activity Plan'!AQ$173:AQ$365,'3b Activity Plan'!$AH$173:$AH$365,'3b Activity Plan'!$CY$173:$CY$365,('3b Activity Plan'!$C$173:$C$365=$AQ$130)*1)</f>
        <v>0</v>
      </c>
      <c r="AT156" s="1558">
        <f ca="1">SUMPRODUCT('3b Activity Plan'!$AN$173:$AN$365,OFFSET('3b Activity Plan'!$DJ$173:$DJ$365,0,$CU156-1),'3b Activity Plan'!AR$173:AR$365,'3b Activity Plan'!$AH$173:$AH$365,'3b Activity Plan'!$CY$173:$CY$365,('3b Activity Plan'!$C$173:$C$365=$AQ$130)*1)</f>
        <v>0</v>
      </c>
      <c r="AU156" s="1558">
        <f ca="1">SUMPRODUCT('3b Activity Plan'!$AN$173:$AN$365,OFFSET('3b Activity Plan'!$DJ$173:$DJ$365,0,$CU156-1),'3b Activity Plan'!AS$173:AS$365,'3b Activity Plan'!$AH$173:$AH$365,'3b Activity Plan'!$CY$173:$CY$365,('3b Activity Plan'!$C$173:$C$365=$AQ$130)*1)</f>
        <v>0</v>
      </c>
      <c r="AV156" s="1558">
        <f ca="1">SUMPRODUCT('3b Activity Plan'!$AN$173:$AN$365,OFFSET('3b Activity Plan'!$DJ$173:$DJ$365,0,$CU156-1),'3b Activity Plan'!AT$173:AT$365,'3b Activity Plan'!$AH$173:$AH$365,'3b Activity Plan'!$CY$173:$CY$365,('3b Activity Plan'!$C$173:$C$365=$AQ$130)*1)</f>
        <v>0</v>
      </c>
      <c r="AW156" s="1558">
        <f ca="1">SUMPRODUCT('3b Activity Plan'!$AN$173:$AN$365,OFFSET('3b Activity Plan'!$DJ$173:$DJ$365,0,$CU156-1),'3b Activity Plan'!AU$173:AU$365,'3b Activity Plan'!$AH$173:$AH$365,'3b Activity Plan'!$CY$173:$CY$365,('3b Activity Plan'!$C$173:$C$365=$AQ$130)*1)</f>
        <v>0</v>
      </c>
      <c r="AX156" s="1558">
        <f ca="1">SUMPRODUCT('3b Activity Plan'!$AN$173:$AN$365,OFFSET('3b Activity Plan'!$DJ$173:$DJ$365,0,$CU156-1),'3b Activity Plan'!AV$173:AV$365,'3b Activity Plan'!$AH$173:$AH$365,'3b Activity Plan'!$CY$173:$CY$365,('3b Activity Plan'!$C$173:$C$365=$AQ$130)*1)</f>
        <v>0</v>
      </c>
      <c r="AY156" s="1558">
        <f ca="1">SUMPRODUCT('3b Activity Plan'!$AN$173:$AN$365,OFFSET('3b Activity Plan'!$DJ$173:$DJ$365,0,$CU156-1),'3b Activity Plan'!AW$173:AW$365,'3b Activity Plan'!$AH$173:$AH$365,'3b Activity Plan'!$CY$173:$CY$365,('3b Activity Plan'!$C$173:$C$365=$AQ$130)*1)</f>
        <v>0</v>
      </c>
      <c r="AZ156" s="1558">
        <f ca="1">SUMPRODUCT('3b Activity Plan'!$AN$173:$AN$365,OFFSET('3b Activity Plan'!$DJ$173:$DJ$365,0,$CU156-1),'3b Activity Plan'!AX$173:AX$365,'3b Activity Plan'!$AH$173:$AH$365,'3b Activity Plan'!$CY$173:$CY$365,('3b Activity Plan'!$C$173:$C$365=$AQ$130)*1)</f>
        <v>0</v>
      </c>
      <c r="BA156" s="1602">
        <f ca="1">SUMPRODUCT('3b Activity Plan'!$AN$173:$AN$365,OFFSET('3b Activity Plan'!$DJ$173:$DJ$365,0,$CU156-1),'3b Activity Plan'!AO$173:AO$365,'3b Activity Plan'!$AH$173:$AH$365,'3b Activity Plan'!$CY$173:$CY$365,('3b Activity Plan'!$C$173:$C$365=$BA$130)*1)</f>
        <v>0</v>
      </c>
      <c r="BB156" s="1558">
        <f ca="1">SUMPRODUCT('3b Activity Plan'!$AN$173:$AN$365,OFFSET('3b Activity Plan'!$DJ$173:$DJ$365,0,$CU156-1),'3b Activity Plan'!AP$173:AP$365,'3b Activity Plan'!$AH$173:$AH$365,'3b Activity Plan'!$CY$173:$CY$365,('3b Activity Plan'!$C$173:$C$365=$BA$130)*1)</f>
        <v>0</v>
      </c>
      <c r="BC156" s="1558">
        <f ca="1">SUMPRODUCT('3b Activity Plan'!$AN$173:$AN$365,OFFSET('3b Activity Plan'!$DJ$173:$DJ$365,0,$CU156-1),'3b Activity Plan'!AQ$173:AQ$365,'3b Activity Plan'!$AH$173:$AH$365,'3b Activity Plan'!$CY$173:$CY$365,('3b Activity Plan'!$C$173:$C$365=$BA$130)*1)</f>
        <v>0</v>
      </c>
      <c r="BD156" s="1558">
        <f ca="1">SUMPRODUCT('3b Activity Plan'!$AN$173:$AN$365,OFFSET('3b Activity Plan'!$DJ$173:$DJ$365,0,$CU156-1),'3b Activity Plan'!AR$173:AR$365,'3b Activity Plan'!$AH$173:$AH$365,'3b Activity Plan'!$CY$173:$CY$365,('3b Activity Plan'!$C$173:$C$365=$BA$130)*1)</f>
        <v>0</v>
      </c>
      <c r="BE156" s="1558">
        <f ca="1">SUMPRODUCT('3b Activity Plan'!$AN$173:$AN$365,OFFSET('3b Activity Plan'!$DJ$173:$DJ$365,0,$CU156-1),'3b Activity Plan'!AS$173:AS$365,'3b Activity Plan'!$AH$173:$AH$365,'3b Activity Plan'!$CY$173:$CY$365,('3b Activity Plan'!$C$173:$C$365=$BA$130)*1)</f>
        <v>0</v>
      </c>
      <c r="BF156" s="1558">
        <f ca="1">SUMPRODUCT('3b Activity Plan'!$AN$173:$AN$365,OFFSET('3b Activity Plan'!$DJ$173:$DJ$365,0,$CU156-1),'3b Activity Plan'!AT$173:AT$365,'3b Activity Plan'!$AH$173:$AH$365,'3b Activity Plan'!$CY$173:$CY$365,('3b Activity Plan'!$C$173:$C$365=$BA$130)*1)</f>
        <v>0</v>
      </c>
      <c r="BG156" s="1558">
        <f ca="1">SUMPRODUCT('3b Activity Plan'!$AN$173:$AN$365,OFFSET('3b Activity Plan'!$DJ$173:$DJ$365,0,$CU156-1),'3b Activity Plan'!AU$173:AU$365,'3b Activity Plan'!$AH$173:$AH$365,'3b Activity Plan'!$CY$173:$CY$365,('3b Activity Plan'!$C$173:$C$365=$BA$130)*1)</f>
        <v>0</v>
      </c>
      <c r="BH156" s="1558">
        <f ca="1">SUMPRODUCT('3b Activity Plan'!$AN$173:$AN$365,OFFSET('3b Activity Plan'!$DJ$173:$DJ$365,0,$CU156-1),'3b Activity Plan'!AV$173:AV$365,'3b Activity Plan'!$AH$173:$AH$365,'3b Activity Plan'!$CY$173:$CY$365,('3b Activity Plan'!$C$173:$C$365=$BA$130)*1)</f>
        <v>0</v>
      </c>
      <c r="BI156" s="1558">
        <f ca="1">SUMPRODUCT('3b Activity Plan'!$AN$173:$AN$365,OFFSET('3b Activity Plan'!$DJ$173:$DJ$365,0,$CU156-1),'3b Activity Plan'!AW$173:AW$365,'3b Activity Plan'!$AH$173:$AH$365,'3b Activity Plan'!$CY$173:$CY$365,('3b Activity Plan'!$C$173:$C$365=$BA$130)*1)</f>
        <v>0</v>
      </c>
      <c r="BJ156" s="1558">
        <f ca="1">SUMPRODUCT('3b Activity Plan'!$AN$173:$AN$365,OFFSET('3b Activity Plan'!$DJ$173:$DJ$365,0,$CU156-1),'3b Activity Plan'!AX$173:AX$365,'3b Activity Plan'!$AH$173:$AH$365,'3b Activity Plan'!$CY$173:$CY$365,('3b Activity Plan'!$C$173:$C$365=$BA$130)*1)</f>
        <v>0</v>
      </c>
      <c r="BK156" s="1602">
        <f ca="1">SUMPRODUCT('3b Activity Plan'!$AN$173:$AN$365,OFFSET('3b Activity Plan'!$DJ$173:$DJ$365,0,$CU156-1),'3b Activity Plan'!AO$173:AO$365,'3b Activity Plan'!$AH$173:$AH$365,'3b Activity Plan'!$CY$173:$CY$365,('3b Activity Plan'!$C$173:$C$365=$BK$130)*1)</f>
        <v>0</v>
      </c>
      <c r="BL156" s="1558">
        <f ca="1">SUMPRODUCT('3b Activity Plan'!$AN$173:$AN$365,OFFSET('3b Activity Plan'!$DJ$173:$DJ$365,0,$CU156-1),'3b Activity Plan'!AP$173:AP$365,'3b Activity Plan'!$AH$173:$AH$365,'3b Activity Plan'!$CY$173:$CY$365,('3b Activity Plan'!$C$173:$C$365=$BK$130)*1)</f>
        <v>0</v>
      </c>
      <c r="BM156" s="1558">
        <f ca="1">SUMPRODUCT('3b Activity Plan'!$AN$173:$AN$365,OFFSET('3b Activity Plan'!$DJ$173:$DJ$365,0,$CU156-1),'3b Activity Plan'!AQ$173:AQ$365,'3b Activity Plan'!$AH$173:$AH$365,'3b Activity Plan'!$CY$173:$CY$365,('3b Activity Plan'!$C$173:$C$365=$BK$130)*1)</f>
        <v>0</v>
      </c>
      <c r="BN156" s="1558">
        <f ca="1">SUMPRODUCT('3b Activity Plan'!$AN$173:$AN$365,OFFSET('3b Activity Plan'!$DJ$173:$DJ$365,0,$CU156-1),'3b Activity Plan'!AR$173:AR$365,'3b Activity Plan'!$AH$173:$AH$365,'3b Activity Plan'!$CY$173:$CY$365,('3b Activity Plan'!$C$173:$C$365=$BK$130)*1)</f>
        <v>0</v>
      </c>
      <c r="BO156" s="1558">
        <f ca="1">SUMPRODUCT('3b Activity Plan'!$AN$173:$AN$365,OFFSET('3b Activity Plan'!$DJ$173:$DJ$365,0,$CU156-1),'3b Activity Plan'!AS$173:AS$365,'3b Activity Plan'!$AH$173:$AH$365,'3b Activity Plan'!$CY$173:$CY$365,('3b Activity Plan'!$C$173:$C$365=$BK$130)*1)</f>
        <v>0</v>
      </c>
      <c r="BP156" s="1558">
        <f ca="1">SUMPRODUCT('3b Activity Plan'!$AN$173:$AN$365,OFFSET('3b Activity Plan'!$DJ$173:$DJ$365,0,$CU156-1),'3b Activity Plan'!AT$173:AT$365,'3b Activity Plan'!$AH$173:$AH$365,'3b Activity Plan'!$CY$173:$CY$365,('3b Activity Plan'!$C$173:$C$365=$BK$130)*1)</f>
        <v>0</v>
      </c>
      <c r="BQ156" s="1558">
        <f ca="1">SUMPRODUCT('3b Activity Plan'!$AN$173:$AN$365,OFFSET('3b Activity Plan'!$DJ$173:$DJ$365,0,$CU156-1),'3b Activity Plan'!AU$173:AU$365,'3b Activity Plan'!$AH$173:$AH$365,'3b Activity Plan'!$CY$173:$CY$365,('3b Activity Plan'!$C$173:$C$365=$BK$130)*1)</f>
        <v>0</v>
      </c>
      <c r="BR156" s="1558">
        <f ca="1">SUMPRODUCT('3b Activity Plan'!$AN$173:$AN$365,OFFSET('3b Activity Plan'!$DJ$173:$DJ$365,0,$CU156-1),'3b Activity Plan'!AV$173:AV$365,'3b Activity Plan'!$AH$173:$AH$365,'3b Activity Plan'!$CY$173:$CY$365,('3b Activity Plan'!$C$173:$C$365=$BK$130)*1)</f>
        <v>0</v>
      </c>
      <c r="BS156" s="1558">
        <f ca="1">SUMPRODUCT('3b Activity Plan'!$AN$173:$AN$365,OFFSET('3b Activity Plan'!$DJ$173:$DJ$365,0,$CU156-1),'3b Activity Plan'!AW$173:AW$365,'3b Activity Plan'!$AH$173:$AH$365,'3b Activity Plan'!$CY$173:$CY$365,('3b Activity Plan'!$C$173:$C$365=$BK$130)*1)</f>
        <v>0</v>
      </c>
      <c r="BT156" s="1558">
        <f ca="1">SUMPRODUCT('3b Activity Plan'!$AN$173:$AN$365,OFFSET('3b Activity Plan'!$DJ$173:$DJ$365,0,$CU156-1),'3b Activity Plan'!AX$173:AX$365,'3b Activity Plan'!$AH$173:$AH$365,'3b Activity Plan'!$CY$173:$CY$365,('3b Activity Plan'!$C$173:$C$365=$BK$130)*1)</f>
        <v>0</v>
      </c>
      <c r="BU156" s="1587"/>
      <c r="BV156" s="1587"/>
      <c r="BW156" s="1587"/>
      <c r="BX156" s="1556"/>
      <c r="BY156" s="1556"/>
      <c r="BZ156" s="1556"/>
      <c r="CA156" s="1024">
        <f ca="1">SUMIFS('3a Staff Plan'!$T$129:$T$305,'3a Staff Plan'!$DY$129:$DY$305,CZ156,'3a Staff Plan'!$DF$129:$DF$305,1)</f>
        <v>0</v>
      </c>
      <c r="CB156" s="1025">
        <f ca="1">SUMIFS('3a Staff Plan'!$T$129:$T$305,'3a Staff Plan'!$DY$129:$DY$305,$CZ156,'3a Staff Plan'!$DF$129:$DF$305,1,'3a Staff Plan'!$C$129:$C$305,DC$18)</f>
        <v>0</v>
      </c>
      <c r="CC156" s="1026">
        <f ca="1">SUMIFS('3a Staff Plan'!$T$129:$T$305,'3a Staff Plan'!$DY$129:$DY$305,$CZ156,'3a Staff Plan'!$DF$129:$DF$305,1,'3a Staff Plan'!$C$129:$C$305,DD$18)</f>
        <v>0</v>
      </c>
      <c r="CD156" s="1026">
        <f ca="1">SUMIFS('3a Staff Plan'!$T$129:$T$305,'3a Staff Plan'!$DY$129:$DY$305,$CZ156,'3a Staff Plan'!$DF$129:$DF$305,1,'3a Staff Plan'!$C$129:$C$305,DE$18)</f>
        <v>0</v>
      </c>
      <c r="CE156" s="1026">
        <f ca="1">SUMIFS('3a Staff Plan'!$T$129:$T$305,'3a Staff Plan'!$DY$129:$DY$305,$CZ156,'3a Staff Plan'!$DF$129:$DF$305,1,'3a Staff Plan'!$C$129:$C$305,DF$18)</f>
        <v>0</v>
      </c>
      <c r="CF156" s="1026">
        <f ca="1">SUMIFS('3a Staff Plan'!$T$129:$T$305,'3a Staff Plan'!$DY$129:$DY$305,$CZ156,'3a Staff Plan'!$DF$129:$DF$305,1,'3a Staff Plan'!$C$129:$C$305,DG$18)</f>
        <v>0</v>
      </c>
      <c r="CG156" s="1026">
        <f ca="1">SUMIFS('3a Staff Plan'!$T$129:$T$305,'3a Staff Plan'!$DY$129:$DY$305,$CZ156,'3a Staff Plan'!$DF$129:$DF$305,1,'3a Staff Plan'!$C$129:$C$305,DH$18)</f>
        <v>0</v>
      </c>
      <c r="CH156" s="1026">
        <f ca="1">SUMIFS('3a Staff Plan'!$T$129:$T$305,'3a Staff Plan'!$DY$129:$DY$305,$CZ156,'3a Staff Plan'!$DF$129:$DF$305,1,'3a Staff Plan'!$C$129:$C$305,DI$18)</f>
        <v>0</v>
      </c>
      <c r="CI156" s="755"/>
      <c r="CJ156" s="1024">
        <f ca="1">SUMPRODUCT('3b Activity Plan'!$AN$173:$AN$365,'3b Activity Plan'!$CY$173:$CY$365,'3b Activity Plan'!$AH$173:$AH$365,OFFSET('3b Activity Plan'!$DJ$173:$DJ$365,0,$CU156-1))</f>
        <v>0</v>
      </c>
      <c r="CK156" s="1025">
        <f t="shared" ca="1" si="93"/>
        <v>0</v>
      </c>
      <c r="CL156" s="1026">
        <f t="shared" ca="1" si="94"/>
        <v>0</v>
      </c>
      <c r="CM156" s="1026">
        <f t="shared" ca="1" si="95"/>
        <v>0</v>
      </c>
      <c r="CN156" s="1026">
        <f t="shared" ca="1" si="96"/>
        <v>0</v>
      </c>
      <c r="CO156" s="1026">
        <f t="shared" ca="1" si="97"/>
        <v>0</v>
      </c>
      <c r="CP156" s="1026">
        <f t="shared" ca="1" si="98"/>
        <v>0</v>
      </c>
      <c r="CQ156" s="1026">
        <f t="shared" ca="1" si="99"/>
        <v>0</v>
      </c>
      <c r="CR156" s="417"/>
      <c r="CS156" s="417">
        <f t="shared" si="100"/>
        <v>24</v>
      </c>
      <c r="CT156" s="417">
        <f ca="1">OFFSET('2 Staff List'!$GU$64,CS156-1,0)</f>
        <v>24</v>
      </c>
      <c r="CU156" s="417">
        <f ca="1">IF(CZ156=0,0,IFERROR(INDEX('3b Activity Plan'!$DJ$20:$FH$20,MATCH(CT156,'3b Activity Plan'!$DJ$171:$FH$171,0)),0))</f>
        <v>0</v>
      </c>
      <c r="CV156" s="417">
        <f ca="1">INDEX('2 Staff List'!$HW$64:$HW$114,CT156)</f>
        <v>0</v>
      </c>
      <c r="CW156" s="417"/>
      <c r="CY156" s="927">
        <f ca="1">OFFSET('2 Staff List'!$HZ$64,CS156-1,0)</f>
        <v>0</v>
      </c>
      <c r="CZ156" s="975">
        <f ca="1">OFFSET('2 Staff List'!$IA$64,CT156-1,0)</f>
        <v>0</v>
      </c>
      <c r="DA156" s="3840">
        <f t="shared" ca="1" si="92"/>
        <v>0</v>
      </c>
      <c r="DB156" s="3841"/>
      <c r="DC156" s="2408">
        <f t="shared" ca="1" si="85"/>
        <v>0</v>
      </c>
      <c r="DD156" s="2405">
        <f t="shared" ca="1" si="86"/>
        <v>0</v>
      </c>
      <c r="DE156" s="2405">
        <f t="shared" ca="1" si="87"/>
        <v>0</v>
      </c>
      <c r="DF156" s="2405">
        <f t="shared" ca="1" si="88"/>
        <v>0</v>
      </c>
      <c r="DG156" s="2405">
        <f t="shared" ca="1" si="89"/>
        <v>0</v>
      </c>
      <c r="DH156" s="2406">
        <f t="shared" ca="1" si="90"/>
        <v>0</v>
      </c>
      <c r="DI156" s="2407">
        <f t="shared" ca="1" si="91"/>
        <v>0</v>
      </c>
    </row>
    <row r="157" spans="1:113" ht="15.9" customHeight="1" x14ac:dyDescent="0.25">
      <c r="A157" s="1051"/>
      <c r="B157" s="1556"/>
      <c r="C157" s="1558">
        <f ca="1">SUMPRODUCT('3b Activity Plan'!$AN$173:$AN$365,OFFSET('3b Activity Plan'!$DJ$173:$DJ$365,0,$CU157-1),'3b Activity Plan'!AO$173:AO$365,'3b Activity Plan'!$AH$173:$AH$365,'3b Activity Plan'!$CY$173:$CY$365,('3b Activity Plan'!$C$173:$C$365=$C$130)*1)</f>
        <v>0</v>
      </c>
      <c r="D157" s="1558">
        <f ca="1">SUMPRODUCT('3b Activity Plan'!$AN$173:$AN$365,OFFSET('3b Activity Plan'!$DJ$173:$DJ$365,0,$CU157-1),'3b Activity Plan'!AP$173:AP$365,'3b Activity Plan'!$AH$173:$AH$365,'3b Activity Plan'!$CY$173:$CY$365,('3b Activity Plan'!$C$173:$C$365=$C$130)*1)</f>
        <v>0</v>
      </c>
      <c r="E157" s="1558">
        <f ca="1">SUMPRODUCT('3b Activity Plan'!$AN$173:$AN$365,OFFSET('3b Activity Plan'!$DJ$173:$DJ$365,0,$CU157-1),'3b Activity Plan'!AQ$173:AQ$365,'3b Activity Plan'!$AH$173:$AH$365,'3b Activity Plan'!$CY$173:$CY$365,('3b Activity Plan'!$C$173:$C$365=$C$130)*1)</f>
        <v>0</v>
      </c>
      <c r="F157" s="1558">
        <f ca="1">SUMPRODUCT('3b Activity Plan'!$AN$173:$AN$365,OFFSET('3b Activity Plan'!$DJ$173:$DJ$365,0,$CU157-1),'3b Activity Plan'!AR$173:AR$365,'3b Activity Plan'!$AH$173:$AH$365,'3b Activity Plan'!$CY$173:$CY$365,('3b Activity Plan'!$C$173:$C$365=$C$130)*1)</f>
        <v>0</v>
      </c>
      <c r="G157" s="1558">
        <f ca="1">SUMPRODUCT('3b Activity Plan'!$AN$173:$AN$365,OFFSET('3b Activity Plan'!$DJ$173:$DJ$365,0,$CU157-1),'3b Activity Plan'!AS$173:AS$365,'3b Activity Plan'!$AH$173:$AH$365,'3b Activity Plan'!$CY$173:$CY$365,('3b Activity Plan'!$C$173:$C$365=$C$130)*1)</f>
        <v>0</v>
      </c>
      <c r="H157" s="1558">
        <f ca="1">SUMPRODUCT('3b Activity Plan'!$AN$173:$AN$365,OFFSET('3b Activity Plan'!$DJ$173:$DJ$365,0,$CU157-1),'3b Activity Plan'!AT$173:AT$365,'3b Activity Plan'!$AH$173:$AH$365,'3b Activity Plan'!$CY$173:$CY$365,('3b Activity Plan'!$C$173:$C$365=$C$130)*1)</f>
        <v>0</v>
      </c>
      <c r="I157" s="1558">
        <f ca="1">SUMPRODUCT('3b Activity Plan'!$AN$173:$AN$365,OFFSET('3b Activity Plan'!$DJ$173:$DJ$365,0,$CU157-1),'3b Activity Plan'!AU$173:AU$365,'3b Activity Plan'!$AH$173:$AH$365,'3b Activity Plan'!$CY$173:$CY$365,('3b Activity Plan'!$C$173:$C$365=$C$130)*1)</f>
        <v>0</v>
      </c>
      <c r="J157" s="1558">
        <f ca="1">SUMPRODUCT('3b Activity Plan'!$AN$173:$AN$365,OFFSET('3b Activity Plan'!$DJ$173:$DJ$365,0,$CU157-1),'3b Activity Plan'!AV$173:AV$365,'3b Activity Plan'!$AH$173:$AH$365,'3b Activity Plan'!$CY$173:$CY$365,('3b Activity Plan'!$C$173:$C$365=$C$130)*1)</f>
        <v>0</v>
      </c>
      <c r="K157" s="1558">
        <f ca="1">SUMPRODUCT('3b Activity Plan'!$AN$173:$AN$365,OFFSET('3b Activity Plan'!$DJ$173:$DJ$365,0,$CU157-1),'3b Activity Plan'!AW$173:AW$365,'3b Activity Plan'!$AH$173:$AH$365,'3b Activity Plan'!$CY$173:$CY$365,('3b Activity Plan'!$C$173:$C$365=$C$130)*1)</f>
        <v>0</v>
      </c>
      <c r="L157" s="1601">
        <f ca="1">SUMPRODUCT('3b Activity Plan'!$AN$173:$AN$365,OFFSET('3b Activity Plan'!$DJ$173:$DJ$365,0,$CU157-1),'3b Activity Plan'!AX$173:AX$365,'3b Activity Plan'!$AH$173:$AH$365,'3b Activity Plan'!$CY$173:$CY$365,('3b Activity Plan'!$C$173:$C$365=$C$130)*1)</f>
        <v>0</v>
      </c>
      <c r="M157" s="1602">
        <f ca="1">SUMPRODUCT('3b Activity Plan'!$AN$173:$AN$365,OFFSET('3b Activity Plan'!$DJ$173:$DJ$365,0,$CU157-1),'3b Activity Plan'!AO$173:AO$365,'3b Activity Plan'!$AH$173:$AH$365,'3b Activity Plan'!$CY$173:$CY$365,('3b Activity Plan'!$C$173:$C$365=$M$130)*1)</f>
        <v>0</v>
      </c>
      <c r="N157" s="1558">
        <f ca="1">SUMPRODUCT('3b Activity Plan'!$AN$173:$AN$365,OFFSET('3b Activity Plan'!$DJ$173:$DJ$365,0,$CU157-1),'3b Activity Plan'!AP$173:AP$365,'3b Activity Plan'!$AH$173:$AH$365,'3b Activity Plan'!$CY$173:$CY$365,('3b Activity Plan'!$C$173:$C$365=$M$130)*1)</f>
        <v>0</v>
      </c>
      <c r="O157" s="1558">
        <f ca="1">SUMPRODUCT('3b Activity Plan'!$AN$173:$AN$365,OFFSET('3b Activity Plan'!$DJ$173:$DJ$365,0,$CU157-1),'3b Activity Plan'!AQ$173:AQ$365,'3b Activity Plan'!$AH$173:$AH$365,'3b Activity Plan'!$CY$173:$CY$365,('3b Activity Plan'!$C$173:$C$365=$M$130)*1)</f>
        <v>0</v>
      </c>
      <c r="P157" s="1558">
        <f ca="1">SUMPRODUCT('3b Activity Plan'!$AN$173:$AN$365,OFFSET('3b Activity Plan'!$DJ$173:$DJ$365,0,$CU157-1),'3b Activity Plan'!AR$173:AR$365,'3b Activity Plan'!$AH$173:$AH$365,'3b Activity Plan'!$CY$173:$CY$365,('3b Activity Plan'!$C$173:$C$365=$M$130)*1)</f>
        <v>0</v>
      </c>
      <c r="Q157" s="1558">
        <f ca="1">SUMPRODUCT('3b Activity Plan'!$AN$173:$AN$365,OFFSET('3b Activity Plan'!$DJ$173:$DJ$365,0,$CU157-1),'3b Activity Plan'!AS$173:AS$365,'3b Activity Plan'!$AH$173:$AH$365,'3b Activity Plan'!$CY$173:$CY$365,('3b Activity Plan'!$C$173:$C$365=$M$130)*1)</f>
        <v>0</v>
      </c>
      <c r="R157" s="1558">
        <f ca="1">SUMPRODUCT('3b Activity Plan'!$AN$173:$AN$365,OFFSET('3b Activity Plan'!$DJ$173:$DJ$365,0,$CU157-1),'3b Activity Plan'!AT$173:AT$365,'3b Activity Plan'!$AH$173:$AH$365,'3b Activity Plan'!$CY$173:$CY$365,('3b Activity Plan'!$C$173:$C$365=$M$130)*1)</f>
        <v>0</v>
      </c>
      <c r="S157" s="1558">
        <f ca="1">SUMPRODUCT('3b Activity Plan'!$AN$173:$AN$365,OFFSET('3b Activity Plan'!$DJ$173:$DJ$365,0,$CU157-1),'3b Activity Plan'!AU$173:AU$365,'3b Activity Plan'!$AH$173:$AH$365,'3b Activity Plan'!$CY$173:$CY$365,('3b Activity Plan'!$C$173:$C$365=$M$130)*1)</f>
        <v>0</v>
      </c>
      <c r="T157" s="1558">
        <f ca="1">SUMPRODUCT('3b Activity Plan'!$AN$173:$AN$365,OFFSET('3b Activity Plan'!$DJ$173:$DJ$365,0,$CU157-1),'3b Activity Plan'!AV$173:AV$365,'3b Activity Plan'!$AH$173:$AH$365,'3b Activity Plan'!$CY$173:$CY$365,('3b Activity Plan'!$C$173:$C$365=$M$130)*1)</f>
        <v>0</v>
      </c>
      <c r="U157" s="1558">
        <f ca="1">SUMPRODUCT('3b Activity Plan'!$AN$173:$AN$365,OFFSET('3b Activity Plan'!$DJ$173:$DJ$365,0,$CU157-1),'3b Activity Plan'!AW$173:AW$365,'3b Activity Plan'!$AH$173:$AH$365,'3b Activity Plan'!$CY$173:$CY$365,('3b Activity Plan'!$C$173:$C$365=$M$130)*1)</f>
        <v>0</v>
      </c>
      <c r="V157" s="1601">
        <f ca="1">SUMPRODUCT('3b Activity Plan'!$AN$173:$AN$365,OFFSET('3b Activity Plan'!$DJ$173:$DJ$365,0,$CU157-1),'3b Activity Plan'!AX$173:AX$365,'3b Activity Plan'!$AH$173:$AH$365,'3b Activity Plan'!$CY$173:$CY$365,('3b Activity Plan'!$C$173:$C$365=$M$130)*1)</f>
        <v>0</v>
      </c>
      <c r="W157" s="1602">
        <f ca="1">SUMPRODUCT('3b Activity Plan'!$AN$173:$AN$365,OFFSET('3b Activity Plan'!$DJ$173:$DJ$365,0,$CU157-1),'3b Activity Plan'!AO$173:AO$365,'3b Activity Plan'!$AH$173:$AH$365,'3b Activity Plan'!$CY$173:$CY$365,('3b Activity Plan'!$C$173:$C$365=$W$130)*1)</f>
        <v>0</v>
      </c>
      <c r="X157" s="1558">
        <f ca="1">SUMPRODUCT('3b Activity Plan'!$AN$173:$AN$365,OFFSET('3b Activity Plan'!$DJ$173:$DJ$365,0,$CU157-1),'3b Activity Plan'!AP$173:AP$365,'3b Activity Plan'!$AH$173:$AH$365,'3b Activity Plan'!$CY$173:$CY$365,('3b Activity Plan'!$C$173:$C$365=$W$130)*1)</f>
        <v>0</v>
      </c>
      <c r="Y157" s="1558">
        <f ca="1">SUMPRODUCT('3b Activity Plan'!$AN$173:$AN$365,OFFSET('3b Activity Plan'!$DJ$173:$DJ$365,0,$CU157-1),'3b Activity Plan'!AQ$173:AQ$365,'3b Activity Plan'!$AH$173:$AH$365,'3b Activity Plan'!$CY$173:$CY$365,('3b Activity Plan'!$C$173:$C$365=$W$130)*1)</f>
        <v>0</v>
      </c>
      <c r="Z157" s="1558">
        <f ca="1">SUMPRODUCT('3b Activity Plan'!$AN$173:$AN$365,OFFSET('3b Activity Plan'!$DJ$173:$DJ$365,0,$CU157-1),'3b Activity Plan'!AR$173:AR$365,'3b Activity Plan'!$AH$173:$AH$365,'3b Activity Plan'!$CY$173:$CY$365,('3b Activity Plan'!$C$173:$C$365=$W$130)*1)</f>
        <v>0</v>
      </c>
      <c r="AA157" s="1558">
        <f ca="1">SUMPRODUCT('3b Activity Plan'!$AN$173:$AN$365,OFFSET('3b Activity Plan'!$DJ$173:$DJ$365,0,$CU157-1),'3b Activity Plan'!AS$173:AS$365,'3b Activity Plan'!$AH$173:$AH$365,'3b Activity Plan'!$CY$173:$CY$365,('3b Activity Plan'!$C$173:$C$365=$W$130)*1)</f>
        <v>0</v>
      </c>
      <c r="AB157" s="1558">
        <f ca="1">SUMPRODUCT('3b Activity Plan'!$AN$173:$AN$365,OFFSET('3b Activity Plan'!$DJ$173:$DJ$365,0,$CU157-1),'3b Activity Plan'!AT$173:AT$365,'3b Activity Plan'!$AH$173:$AH$365,'3b Activity Plan'!$CY$173:$CY$365,('3b Activity Plan'!$C$173:$C$365=$W$130)*1)</f>
        <v>0</v>
      </c>
      <c r="AC157" s="1558">
        <f ca="1">SUMPRODUCT('3b Activity Plan'!$AN$173:$AN$365,OFFSET('3b Activity Plan'!$DJ$173:$DJ$365,0,$CU157-1),'3b Activity Plan'!AU$173:AU$365,'3b Activity Plan'!$AH$173:$AH$365,'3b Activity Plan'!$CY$173:$CY$365,('3b Activity Plan'!$C$173:$C$365=$W$130)*1)</f>
        <v>0</v>
      </c>
      <c r="AD157" s="1558">
        <f ca="1">SUMPRODUCT('3b Activity Plan'!$AN$173:$AN$365,OFFSET('3b Activity Plan'!$DJ$173:$DJ$365,0,$CU157-1),'3b Activity Plan'!AV$173:AV$365,'3b Activity Plan'!$AH$173:$AH$365,'3b Activity Plan'!$CY$173:$CY$365,('3b Activity Plan'!$C$173:$C$365=$W$130)*1)</f>
        <v>0</v>
      </c>
      <c r="AE157" s="1558">
        <f ca="1">SUMPRODUCT('3b Activity Plan'!$AN$173:$AN$365,OFFSET('3b Activity Plan'!$DJ$173:$DJ$365,0,$CU157-1),'3b Activity Plan'!AW$173:AW$365,'3b Activity Plan'!$AH$173:$AH$365,'3b Activity Plan'!$CY$173:$CY$365,('3b Activity Plan'!$C$173:$C$365=$W$130)*1)</f>
        <v>0</v>
      </c>
      <c r="AF157" s="1558">
        <f ca="1">SUMPRODUCT('3b Activity Plan'!$AN$173:$AN$365,OFFSET('3b Activity Plan'!$DJ$173:$DJ$365,0,$CU157-1),'3b Activity Plan'!AX$173:AX$365,'3b Activity Plan'!$AH$173:$AH$365,'3b Activity Plan'!$CY$173:$CY$365,('3b Activity Plan'!$C$173:$C$365=$W$130)*1)</f>
        <v>0</v>
      </c>
      <c r="AG157" s="1602">
        <f ca="1">SUMPRODUCT('3b Activity Plan'!$AN$173:$AN$365,OFFSET('3b Activity Plan'!$DJ$173:$DJ$365,0,$CU157-1),'3b Activity Plan'!AO$173:AO$365,'3b Activity Plan'!$AH$173:$AH$365,'3b Activity Plan'!$CY$173:$CY$365,('3b Activity Plan'!$C$173:$C$365=$AG$130)*1)</f>
        <v>0</v>
      </c>
      <c r="AH157" s="1558">
        <f ca="1">SUMPRODUCT('3b Activity Plan'!$AN$173:$AN$365,OFFSET('3b Activity Plan'!$DJ$173:$DJ$365,0,$CU157-1),'3b Activity Plan'!AP$173:AP$365,'3b Activity Plan'!$AH$173:$AH$365,'3b Activity Plan'!$CY$173:$CY$365,('3b Activity Plan'!$C$173:$C$365=$AG$130)*1)</f>
        <v>0</v>
      </c>
      <c r="AI157" s="1558">
        <f ca="1">SUMPRODUCT('3b Activity Plan'!$AN$173:$AN$365,OFFSET('3b Activity Plan'!$DJ$173:$DJ$365,0,$CU157-1),'3b Activity Plan'!AQ$173:AQ$365,'3b Activity Plan'!$AH$173:$AH$365,'3b Activity Plan'!$CY$173:$CY$365,('3b Activity Plan'!$C$173:$C$365=$AG$130)*1)</f>
        <v>0</v>
      </c>
      <c r="AJ157" s="1558">
        <f ca="1">SUMPRODUCT('3b Activity Plan'!$AN$173:$AN$365,OFFSET('3b Activity Plan'!$DJ$173:$DJ$365,0,$CU157-1),'3b Activity Plan'!AR$173:AR$365,'3b Activity Plan'!$AH$173:$AH$365,'3b Activity Plan'!$CY$173:$CY$365,('3b Activity Plan'!$C$173:$C$365=$AG$130)*1)</f>
        <v>0</v>
      </c>
      <c r="AK157" s="1558">
        <f ca="1">SUMPRODUCT('3b Activity Plan'!$AN$173:$AN$365,OFFSET('3b Activity Plan'!$DJ$173:$DJ$365,0,$CU157-1),'3b Activity Plan'!AS$173:AS$365,'3b Activity Plan'!$AH$173:$AH$365,'3b Activity Plan'!$CY$173:$CY$365,('3b Activity Plan'!$C$173:$C$365=$AG$130)*1)</f>
        <v>0</v>
      </c>
      <c r="AL157" s="1558">
        <f ca="1">SUMPRODUCT('3b Activity Plan'!$AN$173:$AN$365,OFFSET('3b Activity Plan'!$DJ$173:$DJ$365,0,$CU157-1),'3b Activity Plan'!AT$173:AT$365,'3b Activity Plan'!$AH$173:$AH$365,'3b Activity Plan'!$CY$173:$CY$365,('3b Activity Plan'!$C$173:$C$365=$AG$130)*1)</f>
        <v>0</v>
      </c>
      <c r="AM157" s="1558">
        <f ca="1">SUMPRODUCT('3b Activity Plan'!$AN$173:$AN$365,OFFSET('3b Activity Plan'!$DJ$173:$DJ$365,0,$CU157-1),'3b Activity Plan'!AU$173:AU$365,'3b Activity Plan'!$AH$173:$AH$365,'3b Activity Plan'!$CY$173:$CY$365,('3b Activity Plan'!$C$173:$C$365=$AG$130)*1)</f>
        <v>0</v>
      </c>
      <c r="AN157" s="1558">
        <f ca="1">SUMPRODUCT('3b Activity Plan'!$AN$173:$AN$365,OFFSET('3b Activity Plan'!$DJ$173:$DJ$365,0,$CU157-1),'3b Activity Plan'!AV$173:AV$365,'3b Activity Plan'!$AH$173:$AH$365,'3b Activity Plan'!$CY$173:$CY$365,('3b Activity Plan'!$C$173:$C$365=$AG$130)*1)</f>
        <v>0</v>
      </c>
      <c r="AO157" s="1558">
        <f ca="1">SUMPRODUCT('3b Activity Plan'!$AN$173:$AN$365,OFFSET('3b Activity Plan'!$DJ$173:$DJ$365,0,$CU157-1),'3b Activity Plan'!AW$173:AW$365,'3b Activity Plan'!$AH$173:$AH$365,'3b Activity Plan'!$CY$173:$CY$365,('3b Activity Plan'!$C$173:$C$365=$AG$130)*1)</f>
        <v>0</v>
      </c>
      <c r="AP157" s="1558">
        <f ca="1">SUMPRODUCT('3b Activity Plan'!$AN$173:$AN$365,OFFSET('3b Activity Plan'!$DJ$173:$DJ$365,0,$CU157-1),'3b Activity Plan'!AX$173:AX$365,'3b Activity Plan'!$AH$173:$AH$365,'3b Activity Plan'!$CY$173:$CY$365,('3b Activity Plan'!$C$173:$C$365=$AG$130)*1)</f>
        <v>0</v>
      </c>
      <c r="AQ157" s="1602">
        <f ca="1">SUMPRODUCT('3b Activity Plan'!$AN$173:$AN$365,OFFSET('3b Activity Plan'!$DJ$173:$DJ$365,0,$CU157-1),'3b Activity Plan'!AO$173:AO$365,'3b Activity Plan'!$AH$173:$AH$365,'3b Activity Plan'!$CY$173:$CY$365,('3b Activity Plan'!$C$173:$C$365=$AQ$130)*1)</f>
        <v>0</v>
      </c>
      <c r="AR157" s="1558">
        <f ca="1">SUMPRODUCT('3b Activity Plan'!$AN$173:$AN$365,OFFSET('3b Activity Plan'!$DJ$173:$DJ$365,0,$CU157-1),'3b Activity Plan'!AP$173:AP$365,'3b Activity Plan'!$AH$173:$AH$365,'3b Activity Plan'!$CY$173:$CY$365,('3b Activity Plan'!$C$173:$C$365=$AQ$130)*1)</f>
        <v>0</v>
      </c>
      <c r="AS157" s="1558">
        <f ca="1">SUMPRODUCT('3b Activity Plan'!$AN$173:$AN$365,OFFSET('3b Activity Plan'!$DJ$173:$DJ$365,0,$CU157-1),'3b Activity Plan'!AQ$173:AQ$365,'3b Activity Plan'!$AH$173:$AH$365,'3b Activity Plan'!$CY$173:$CY$365,('3b Activity Plan'!$C$173:$C$365=$AQ$130)*1)</f>
        <v>0</v>
      </c>
      <c r="AT157" s="1558">
        <f ca="1">SUMPRODUCT('3b Activity Plan'!$AN$173:$AN$365,OFFSET('3b Activity Plan'!$DJ$173:$DJ$365,0,$CU157-1),'3b Activity Plan'!AR$173:AR$365,'3b Activity Plan'!$AH$173:$AH$365,'3b Activity Plan'!$CY$173:$CY$365,('3b Activity Plan'!$C$173:$C$365=$AQ$130)*1)</f>
        <v>0</v>
      </c>
      <c r="AU157" s="1558">
        <f ca="1">SUMPRODUCT('3b Activity Plan'!$AN$173:$AN$365,OFFSET('3b Activity Plan'!$DJ$173:$DJ$365,0,$CU157-1),'3b Activity Plan'!AS$173:AS$365,'3b Activity Plan'!$AH$173:$AH$365,'3b Activity Plan'!$CY$173:$CY$365,('3b Activity Plan'!$C$173:$C$365=$AQ$130)*1)</f>
        <v>0</v>
      </c>
      <c r="AV157" s="1558">
        <f ca="1">SUMPRODUCT('3b Activity Plan'!$AN$173:$AN$365,OFFSET('3b Activity Plan'!$DJ$173:$DJ$365,0,$CU157-1),'3b Activity Plan'!AT$173:AT$365,'3b Activity Plan'!$AH$173:$AH$365,'3b Activity Plan'!$CY$173:$CY$365,('3b Activity Plan'!$C$173:$C$365=$AQ$130)*1)</f>
        <v>0</v>
      </c>
      <c r="AW157" s="1558">
        <f ca="1">SUMPRODUCT('3b Activity Plan'!$AN$173:$AN$365,OFFSET('3b Activity Plan'!$DJ$173:$DJ$365,0,$CU157-1),'3b Activity Plan'!AU$173:AU$365,'3b Activity Plan'!$AH$173:$AH$365,'3b Activity Plan'!$CY$173:$CY$365,('3b Activity Plan'!$C$173:$C$365=$AQ$130)*1)</f>
        <v>0</v>
      </c>
      <c r="AX157" s="1558">
        <f ca="1">SUMPRODUCT('3b Activity Plan'!$AN$173:$AN$365,OFFSET('3b Activity Plan'!$DJ$173:$DJ$365,0,$CU157-1),'3b Activity Plan'!AV$173:AV$365,'3b Activity Plan'!$AH$173:$AH$365,'3b Activity Plan'!$CY$173:$CY$365,('3b Activity Plan'!$C$173:$C$365=$AQ$130)*1)</f>
        <v>0</v>
      </c>
      <c r="AY157" s="1558">
        <f ca="1">SUMPRODUCT('3b Activity Plan'!$AN$173:$AN$365,OFFSET('3b Activity Plan'!$DJ$173:$DJ$365,0,$CU157-1),'3b Activity Plan'!AW$173:AW$365,'3b Activity Plan'!$AH$173:$AH$365,'3b Activity Plan'!$CY$173:$CY$365,('3b Activity Plan'!$C$173:$C$365=$AQ$130)*1)</f>
        <v>0</v>
      </c>
      <c r="AZ157" s="1558">
        <f ca="1">SUMPRODUCT('3b Activity Plan'!$AN$173:$AN$365,OFFSET('3b Activity Plan'!$DJ$173:$DJ$365,0,$CU157-1),'3b Activity Plan'!AX$173:AX$365,'3b Activity Plan'!$AH$173:$AH$365,'3b Activity Plan'!$CY$173:$CY$365,('3b Activity Plan'!$C$173:$C$365=$AQ$130)*1)</f>
        <v>0</v>
      </c>
      <c r="BA157" s="1602">
        <f ca="1">SUMPRODUCT('3b Activity Plan'!$AN$173:$AN$365,OFFSET('3b Activity Plan'!$DJ$173:$DJ$365,0,$CU157-1),'3b Activity Plan'!AO$173:AO$365,'3b Activity Plan'!$AH$173:$AH$365,'3b Activity Plan'!$CY$173:$CY$365,('3b Activity Plan'!$C$173:$C$365=$BA$130)*1)</f>
        <v>0</v>
      </c>
      <c r="BB157" s="1558">
        <f ca="1">SUMPRODUCT('3b Activity Plan'!$AN$173:$AN$365,OFFSET('3b Activity Plan'!$DJ$173:$DJ$365,0,$CU157-1),'3b Activity Plan'!AP$173:AP$365,'3b Activity Plan'!$AH$173:$AH$365,'3b Activity Plan'!$CY$173:$CY$365,('3b Activity Plan'!$C$173:$C$365=$BA$130)*1)</f>
        <v>0</v>
      </c>
      <c r="BC157" s="1558">
        <f ca="1">SUMPRODUCT('3b Activity Plan'!$AN$173:$AN$365,OFFSET('3b Activity Plan'!$DJ$173:$DJ$365,0,$CU157-1),'3b Activity Plan'!AQ$173:AQ$365,'3b Activity Plan'!$AH$173:$AH$365,'3b Activity Plan'!$CY$173:$CY$365,('3b Activity Plan'!$C$173:$C$365=$BA$130)*1)</f>
        <v>0</v>
      </c>
      <c r="BD157" s="1558">
        <f ca="1">SUMPRODUCT('3b Activity Plan'!$AN$173:$AN$365,OFFSET('3b Activity Plan'!$DJ$173:$DJ$365,0,$CU157-1),'3b Activity Plan'!AR$173:AR$365,'3b Activity Plan'!$AH$173:$AH$365,'3b Activity Plan'!$CY$173:$CY$365,('3b Activity Plan'!$C$173:$C$365=$BA$130)*1)</f>
        <v>0</v>
      </c>
      <c r="BE157" s="1558">
        <f ca="1">SUMPRODUCT('3b Activity Plan'!$AN$173:$AN$365,OFFSET('3b Activity Plan'!$DJ$173:$DJ$365,0,$CU157-1),'3b Activity Plan'!AS$173:AS$365,'3b Activity Plan'!$AH$173:$AH$365,'3b Activity Plan'!$CY$173:$CY$365,('3b Activity Plan'!$C$173:$C$365=$BA$130)*1)</f>
        <v>0</v>
      </c>
      <c r="BF157" s="1558">
        <f ca="1">SUMPRODUCT('3b Activity Plan'!$AN$173:$AN$365,OFFSET('3b Activity Plan'!$DJ$173:$DJ$365,0,$CU157-1),'3b Activity Plan'!AT$173:AT$365,'3b Activity Plan'!$AH$173:$AH$365,'3b Activity Plan'!$CY$173:$CY$365,('3b Activity Plan'!$C$173:$C$365=$BA$130)*1)</f>
        <v>0</v>
      </c>
      <c r="BG157" s="1558">
        <f ca="1">SUMPRODUCT('3b Activity Plan'!$AN$173:$AN$365,OFFSET('3b Activity Plan'!$DJ$173:$DJ$365,0,$CU157-1),'3b Activity Plan'!AU$173:AU$365,'3b Activity Plan'!$AH$173:$AH$365,'3b Activity Plan'!$CY$173:$CY$365,('3b Activity Plan'!$C$173:$C$365=$BA$130)*1)</f>
        <v>0</v>
      </c>
      <c r="BH157" s="1558">
        <f ca="1">SUMPRODUCT('3b Activity Plan'!$AN$173:$AN$365,OFFSET('3b Activity Plan'!$DJ$173:$DJ$365,0,$CU157-1),'3b Activity Plan'!AV$173:AV$365,'3b Activity Plan'!$AH$173:$AH$365,'3b Activity Plan'!$CY$173:$CY$365,('3b Activity Plan'!$C$173:$C$365=$BA$130)*1)</f>
        <v>0</v>
      </c>
      <c r="BI157" s="1558">
        <f ca="1">SUMPRODUCT('3b Activity Plan'!$AN$173:$AN$365,OFFSET('3b Activity Plan'!$DJ$173:$DJ$365,0,$CU157-1),'3b Activity Plan'!AW$173:AW$365,'3b Activity Plan'!$AH$173:$AH$365,'3b Activity Plan'!$CY$173:$CY$365,('3b Activity Plan'!$C$173:$C$365=$BA$130)*1)</f>
        <v>0</v>
      </c>
      <c r="BJ157" s="1558">
        <f ca="1">SUMPRODUCT('3b Activity Plan'!$AN$173:$AN$365,OFFSET('3b Activity Plan'!$DJ$173:$DJ$365,0,$CU157-1),'3b Activity Plan'!AX$173:AX$365,'3b Activity Plan'!$AH$173:$AH$365,'3b Activity Plan'!$CY$173:$CY$365,('3b Activity Plan'!$C$173:$C$365=$BA$130)*1)</f>
        <v>0</v>
      </c>
      <c r="BK157" s="1602">
        <f ca="1">SUMPRODUCT('3b Activity Plan'!$AN$173:$AN$365,OFFSET('3b Activity Plan'!$DJ$173:$DJ$365,0,$CU157-1),'3b Activity Plan'!AO$173:AO$365,'3b Activity Plan'!$AH$173:$AH$365,'3b Activity Plan'!$CY$173:$CY$365,('3b Activity Plan'!$C$173:$C$365=$BK$130)*1)</f>
        <v>0</v>
      </c>
      <c r="BL157" s="1558">
        <f ca="1">SUMPRODUCT('3b Activity Plan'!$AN$173:$AN$365,OFFSET('3b Activity Plan'!$DJ$173:$DJ$365,0,$CU157-1),'3b Activity Plan'!AP$173:AP$365,'3b Activity Plan'!$AH$173:$AH$365,'3b Activity Plan'!$CY$173:$CY$365,('3b Activity Plan'!$C$173:$C$365=$BK$130)*1)</f>
        <v>0</v>
      </c>
      <c r="BM157" s="1558">
        <f ca="1">SUMPRODUCT('3b Activity Plan'!$AN$173:$AN$365,OFFSET('3b Activity Plan'!$DJ$173:$DJ$365,0,$CU157-1),'3b Activity Plan'!AQ$173:AQ$365,'3b Activity Plan'!$AH$173:$AH$365,'3b Activity Plan'!$CY$173:$CY$365,('3b Activity Plan'!$C$173:$C$365=$BK$130)*1)</f>
        <v>0</v>
      </c>
      <c r="BN157" s="1558">
        <f ca="1">SUMPRODUCT('3b Activity Plan'!$AN$173:$AN$365,OFFSET('3b Activity Plan'!$DJ$173:$DJ$365,0,$CU157-1),'3b Activity Plan'!AR$173:AR$365,'3b Activity Plan'!$AH$173:$AH$365,'3b Activity Plan'!$CY$173:$CY$365,('3b Activity Plan'!$C$173:$C$365=$BK$130)*1)</f>
        <v>0</v>
      </c>
      <c r="BO157" s="1558">
        <f ca="1">SUMPRODUCT('3b Activity Plan'!$AN$173:$AN$365,OFFSET('3b Activity Plan'!$DJ$173:$DJ$365,0,$CU157-1),'3b Activity Plan'!AS$173:AS$365,'3b Activity Plan'!$AH$173:$AH$365,'3b Activity Plan'!$CY$173:$CY$365,('3b Activity Plan'!$C$173:$C$365=$BK$130)*1)</f>
        <v>0</v>
      </c>
      <c r="BP157" s="1558">
        <f ca="1">SUMPRODUCT('3b Activity Plan'!$AN$173:$AN$365,OFFSET('3b Activity Plan'!$DJ$173:$DJ$365,0,$CU157-1),'3b Activity Plan'!AT$173:AT$365,'3b Activity Plan'!$AH$173:$AH$365,'3b Activity Plan'!$CY$173:$CY$365,('3b Activity Plan'!$C$173:$C$365=$BK$130)*1)</f>
        <v>0</v>
      </c>
      <c r="BQ157" s="1558">
        <f ca="1">SUMPRODUCT('3b Activity Plan'!$AN$173:$AN$365,OFFSET('3b Activity Plan'!$DJ$173:$DJ$365,0,$CU157-1),'3b Activity Plan'!AU$173:AU$365,'3b Activity Plan'!$AH$173:$AH$365,'3b Activity Plan'!$CY$173:$CY$365,('3b Activity Plan'!$C$173:$C$365=$BK$130)*1)</f>
        <v>0</v>
      </c>
      <c r="BR157" s="1558">
        <f ca="1">SUMPRODUCT('3b Activity Plan'!$AN$173:$AN$365,OFFSET('3b Activity Plan'!$DJ$173:$DJ$365,0,$CU157-1),'3b Activity Plan'!AV$173:AV$365,'3b Activity Plan'!$AH$173:$AH$365,'3b Activity Plan'!$CY$173:$CY$365,('3b Activity Plan'!$C$173:$C$365=$BK$130)*1)</f>
        <v>0</v>
      </c>
      <c r="BS157" s="1558">
        <f ca="1">SUMPRODUCT('3b Activity Plan'!$AN$173:$AN$365,OFFSET('3b Activity Plan'!$DJ$173:$DJ$365,0,$CU157-1),'3b Activity Plan'!AW$173:AW$365,'3b Activity Plan'!$AH$173:$AH$365,'3b Activity Plan'!$CY$173:$CY$365,('3b Activity Plan'!$C$173:$C$365=$BK$130)*1)</f>
        <v>0</v>
      </c>
      <c r="BT157" s="1558">
        <f ca="1">SUMPRODUCT('3b Activity Plan'!$AN$173:$AN$365,OFFSET('3b Activity Plan'!$DJ$173:$DJ$365,0,$CU157-1),'3b Activity Plan'!AX$173:AX$365,'3b Activity Plan'!$AH$173:$AH$365,'3b Activity Plan'!$CY$173:$CY$365,('3b Activity Plan'!$C$173:$C$365=$BK$130)*1)</f>
        <v>0</v>
      </c>
      <c r="BU157" s="1587"/>
      <c r="BV157" s="1587"/>
      <c r="BW157" s="1587"/>
      <c r="BX157" s="1556"/>
      <c r="BY157" s="1556"/>
      <c r="BZ157" s="1556"/>
      <c r="CA157" s="1024">
        <f ca="1">SUMIFS('3a Staff Plan'!$T$129:$T$305,'3a Staff Plan'!$DY$129:$DY$305,CZ157,'3a Staff Plan'!$DF$129:$DF$305,1)</f>
        <v>0</v>
      </c>
      <c r="CB157" s="1025">
        <f ca="1">SUMIFS('3a Staff Plan'!$T$129:$T$305,'3a Staff Plan'!$DY$129:$DY$305,$CZ157,'3a Staff Plan'!$DF$129:$DF$305,1,'3a Staff Plan'!$C$129:$C$305,DC$18)</f>
        <v>0</v>
      </c>
      <c r="CC157" s="1026">
        <f ca="1">SUMIFS('3a Staff Plan'!$T$129:$T$305,'3a Staff Plan'!$DY$129:$DY$305,$CZ157,'3a Staff Plan'!$DF$129:$DF$305,1,'3a Staff Plan'!$C$129:$C$305,DD$18)</f>
        <v>0</v>
      </c>
      <c r="CD157" s="1026">
        <f ca="1">SUMIFS('3a Staff Plan'!$T$129:$T$305,'3a Staff Plan'!$DY$129:$DY$305,$CZ157,'3a Staff Plan'!$DF$129:$DF$305,1,'3a Staff Plan'!$C$129:$C$305,DE$18)</f>
        <v>0</v>
      </c>
      <c r="CE157" s="1026">
        <f ca="1">SUMIFS('3a Staff Plan'!$T$129:$T$305,'3a Staff Plan'!$DY$129:$DY$305,$CZ157,'3a Staff Plan'!$DF$129:$DF$305,1,'3a Staff Plan'!$C$129:$C$305,DF$18)</f>
        <v>0</v>
      </c>
      <c r="CF157" s="1026">
        <f ca="1">SUMIFS('3a Staff Plan'!$T$129:$T$305,'3a Staff Plan'!$DY$129:$DY$305,$CZ157,'3a Staff Plan'!$DF$129:$DF$305,1,'3a Staff Plan'!$C$129:$C$305,DG$18)</f>
        <v>0</v>
      </c>
      <c r="CG157" s="1026">
        <f ca="1">SUMIFS('3a Staff Plan'!$T$129:$T$305,'3a Staff Plan'!$DY$129:$DY$305,$CZ157,'3a Staff Plan'!$DF$129:$DF$305,1,'3a Staff Plan'!$C$129:$C$305,DH$18)</f>
        <v>0</v>
      </c>
      <c r="CH157" s="1026">
        <f ca="1">SUMIFS('3a Staff Plan'!$T$129:$T$305,'3a Staff Plan'!$DY$129:$DY$305,$CZ157,'3a Staff Plan'!$DF$129:$DF$305,1,'3a Staff Plan'!$C$129:$C$305,DI$18)</f>
        <v>0</v>
      </c>
      <c r="CI157" s="755"/>
      <c r="CJ157" s="1024">
        <f ca="1">SUMPRODUCT('3b Activity Plan'!$AN$173:$AN$365,'3b Activity Plan'!$CY$173:$CY$365,'3b Activity Plan'!$AH$173:$AH$365,OFFSET('3b Activity Plan'!$DJ$173:$DJ$365,0,$CU157-1))</f>
        <v>0</v>
      </c>
      <c r="CK157" s="1025">
        <f t="shared" ca="1" si="93"/>
        <v>0</v>
      </c>
      <c r="CL157" s="1026">
        <f t="shared" ca="1" si="94"/>
        <v>0</v>
      </c>
      <c r="CM157" s="1026">
        <f t="shared" ca="1" si="95"/>
        <v>0</v>
      </c>
      <c r="CN157" s="1026">
        <f t="shared" ca="1" si="96"/>
        <v>0</v>
      </c>
      <c r="CO157" s="1026">
        <f t="shared" ca="1" si="97"/>
        <v>0</v>
      </c>
      <c r="CP157" s="1026">
        <f t="shared" ca="1" si="98"/>
        <v>0</v>
      </c>
      <c r="CQ157" s="1026">
        <f t="shared" ca="1" si="99"/>
        <v>0</v>
      </c>
      <c r="CR157" s="417"/>
      <c r="CS157" s="417">
        <f t="shared" si="100"/>
        <v>25</v>
      </c>
      <c r="CT157" s="417">
        <f ca="1">OFFSET('2 Staff List'!$GU$64,CS157-1,0)</f>
        <v>25</v>
      </c>
      <c r="CU157" s="417">
        <f ca="1">IF(CZ157=0,0,IFERROR(INDEX('3b Activity Plan'!$DJ$20:$FH$20,MATCH(CT157,'3b Activity Plan'!$DJ$171:$FH$171,0)),0))</f>
        <v>0</v>
      </c>
      <c r="CV157" s="417">
        <f ca="1">INDEX('2 Staff List'!$HW$64:$HW$114,CT157)</f>
        <v>0</v>
      </c>
      <c r="CW157" s="417"/>
      <c r="CY157" s="927">
        <f ca="1">OFFSET('2 Staff List'!$HZ$64,CS157-1,0)</f>
        <v>0</v>
      </c>
      <c r="CZ157" s="975">
        <f ca="1">OFFSET('2 Staff List'!$IA$64,CT157-1,0)</f>
        <v>0</v>
      </c>
      <c r="DA157" s="3840">
        <f t="shared" ca="1" si="92"/>
        <v>0</v>
      </c>
      <c r="DB157" s="3841"/>
      <c r="DC157" s="2408">
        <f t="shared" ca="1" si="85"/>
        <v>0</v>
      </c>
      <c r="DD157" s="2405">
        <f t="shared" ca="1" si="86"/>
        <v>0</v>
      </c>
      <c r="DE157" s="2405">
        <f t="shared" ca="1" si="87"/>
        <v>0</v>
      </c>
      <c r="DF157" s="2405">
        <f t="shared" ca="1" si="88"/>
        <v>0</v>
      </c>
      <c r="DG157" s="2405">
        <f t="shared" ca="1" si="89"/>
        <v>0</v>
      </c>
      <c r="DH157" s="2406">
        <f t="shared" ca="1" si="90"/>
        <v>0</v>
      </c>
      <c r="DI157" s="2407">
        <f t="shared" ca="1" si="91"/>
        <v>0</v>
      </c>
    </row>
    <row r="158" spans="1:113" ht="15.9" customHeight="1" x14ac:dyDescent="0.25">
      <c r="A158" s="1051"/>
      <c r="B158" s="1556"/>
      <c r="C158" s="1558">
        <f ca="1">SUMPRODUCT('3b Activity Plan'!$AN$173:$AN$365,OFFSET('3b Activity Plan'!$DJ$173:$DJ$365,0,$CU158-1),'3b Activity Plan'!AO$173:AO$365,'3b Activity Plan'!$AH$173:$AH$365,'3b Activity Plan'!$CY$173:$CY$365,('3b Activity Plan'!$C$173:$C$365=$C$130)*1)</f>
        <v>0</v>
      </c>
      <c r="D158" s="1558">
        <f ca="1">SUMPRODUCT('3b Activity Plan'!$AN$173:$AN$365,OFFSET('3b Activity Plan'!$DJ$173:$DJ$365,0,$CU158-1),'3b Activity Plan'!AP$173:AP$365,'3b Activity Plan'!$AH$173:$AH$365,'3b Activity Plan'!$CY$173:$CY$365,('3b Activity Plan'!$C$173:$C$365=$C$130)*1)</f>
        <v>0</v>
      </c>
      <c r="E158" s="1558">
        <f ca="1">SUMPRODUCT('3b Activity Plan'!$AN$173:$AN$365,OFFSET('3b Activity Plan'!$DJ$173:$DJ$365,0,$CU158-1),'3b Activity Plan'!AQ$173:AQ$365,'3b Activity Plan'!$AH$173:$AH$365,'3b Activity Plan'!$CY$173:$CY$365,('3b Activity Plan'!$C$173:$C$365=$C$130)*1)</f>
        <v>0</v>
      </c>
      <c r="F158" s="1558">
        <f ca="1">SUMPRODUCT('3b Activity Plan'!$AN$173:$AN$365,OFFSET('3b Activity Plan'!$DJ$173:$DJ$365,0,$CU158-1),'3b Activity Plan'!AR$173:AR$365,'3b Activity Plan'!$AH$173:$AH$365,'3b Activity Plan'!$CY$173:$CY$365,('3b Activity Plan'!$C$173:$C$365=$C$130)*1)</f>
        <v>0</v>
      </c>
      <c r="G158" s="1558">
        <f ca="1">SUMPRODUCT('3b Activity Plan'!$AN$173:$AN$365,OFFSET('3b Activity Plan'!$DJ$173:$DJ$365,0,$CU158-1),'3b Activity Plan'!AS$173:AS$365,'3b Activity Plan'!$AH$173:$AH$365,'3b Activity Plan'!$CY$173:$CY$365,('3b Activity Plan'!$C$173:$C$365=$C$130)*1)</f>
        <v>0</v>
      </c>
      <c r="H158" s="1558">
        <f ca="1">SUMPRODUCT('3b Activity Plan'!$AN$173:$AN$365,OFFSET('3b Activity Plan'!$DJ$173:$DJ$365,0,$CU158-1),'3b Activity Plan'!AT$173:AT$365,'3b Activity Plan'!$AH$173:$AH$365,'3b Activity Plan'!$CY$173:$CY$365,('3b Activity Plan'!$C$173:$C$365=$C$130)*1)</f>
        <v>0</v>
      </c>
      <c r="I158" s="1558">
        <f ca="1">SUMPRODUCT('3b Activity Plan'!$AN$173:$AN$365,OFFSET('3b Activity Plan'!$DJ$173:$DJ$365,0,$CU158-1),'3b Activity Plan'!AU$173:AU$365,'3b Activity Plan'!$AH$173:$AH$365,'3b Activity Plan'!$CY$173:$CY$365,('3b Activity Plan'!$C$173:$C$365=$C$130)*1)</f>
        <v>0</v>
      </c>
      <c r="J158" s="1558">
        <f ca="1">SUMPRODUCT('3b Activity Plan'!$AN$173:$AN$365,OFFSET('3b Activity Plan'!$DJ$173:$DJ$365,0,$CU158-1),'3b Activity Plan'!AV$173:AV$365,'3b Activity Plan'!$AH$173:$AH$365,'3b Activity Plan'!$CY$173:$CY$365,('3b Activity Plan'!$C$173:$C$365=$C$130)*1)</f>
        <v>0</v>
      </c>
      <c r="K158" s="1558">
        <f ca="1">SUMPRODUCT('3b Activity Plan'!$AN$173:$AN$365,OFFSET('3b Activity Plan'!$DJ$173:$DJ$365,0,$CU158-1),'3b Activity Plan'!AW$173:AW$365,'3b Activity Plan'!$AH$173:$AH$365,'3b Activity Plan'!$CY$173:$CY$365,('3b Activity Plan'!$C$173:$C$365=$C$130)*1)</f>
        <v>0</v>
      </c>
      <c r="L158" s="1601">
        <f ca="1">SUMPRODUCT('3b Activity Plan'!$AN$173:$AN$365,OFFSET('3b Activity Plan'!$DJ$173:$DJ$365,0,$CU158-1),'3b Activity Plan'!AX$173:AX$365,'3b Activity Plan'!$AH$173:$AH$365,'3b Activity Plan'!$CY$173:$CY$365,('3b Activity Plan'!$C$173:$C$365=$C$130)*1)</f>
        <v>0</v>
      </c>
      <c r="M158" s="1602">
        <f ca="1">SUMPRODUCT('3b Activity Plan'!$AN$173:$AN$365,OFFSET('3b Activity Plan'!$DJ$173:$DJ$365,0,$CU158-1),'3b Activity Plan'!AO$173:AO$365,'3b Activity Plan'!$AH$173:$AH$365,'3b Activity Plan'!$CY$173:$CY$365,('3b Activity Plan'!$C$173:$C$365=$M$130)*1)</f>
        <v>0</v>
      </c>
      <c r="N158" s="1558">
        <f ca="1">SUMPRODUCT('3b Activity Plan'!$AN$173:$AN$365,OFFSET('3b Activity Plan'!$DJ$173:$DJ$365,0,$CU158-1),'3b Activity Plan'!AP$173:AP$365,'3b Activity Plan'!$AH$173:$AH$365,'3b Activity Plan'!$CY$173:$CY$365,('3b Activity Plan'!$C$173:$C$365=$M$130)*1)</f>
        <v>0</v>
      </c>
      <c r="O158" s="1558">
        <f ca="1">SUMPRODUCT('3b Activity Plan'!$AN$173:$AN$365,OFFSET('3b Activity Plan'!$DJ$173:$DJ$365,0,$CU158-1),'3b Activity Plan'!AQ$173:AQ$365,'3b Activity Plan'!$AH$173:$AH$365,'3b Activity Plan'!$CY$173:$CY$365,('3b Activity Plan'!$C$173:$C$365=$M$130)*1)</f>
        <v>0</v>
      </c>
      <c r="P158" s="1558">
        <f ca="1">SUMPRODUCT('3b Activity Plan'!$AN$173:$AN$365,OFFSET('3b Activity Plan'!$DJ$173:$DJ$365,0,$CU158-1),'3b Activity Plan'!AR$173:AR$365,'3b Activity Plan'!$AH$173:$AH$365,'3b Activity Plan'!$CY$173:$CY$365,('3b Activity Plan'!$C$173:$C$365=$M$130)*1)</f>
        <v>0</v>
      </c>
      <c r="Q158" s="1558">
        <f ca="1">SUMPRODUCT('3b Activity Plan'!$AN$173:$AN$365,OFFSET('3b Activity Plan'!$DJ$173:$DJ$365,0,$CU158-1),'3b Activity Plan'!AS$173:AS$365,'3b Activity Plan'!$AH$173:$AH$365,'3b Activity Plan'!$CY$173:$CY$365,('3b Activity Plan'!$C$173:$C$365=$M$130)*1)</f>
        <v>0</v>
      </c>
      <c r="R158" s="1558">
        <f ca="1">SUMPRODUCT('3b Activity Plan'!$AN$173:$AN$365,OFFSET('3b Activity Plan'!$DJ$173:$DJ$365,0,$CU158-1),'3b Activity Plan'!AT$173:AT$365,'3b Activity Plan'!$AH$173:$AH$365,'3b Activity Plan'!$CY$173:$CY$365,('3b Activity Plan'!$C$173:$C$365=$M$130)*1)</f>
        <v>0</v>
      </c>
      <c r="S158" s="1558">
        <f ca="1">SUMPRODUCT('3b Activity Plan'!$AN$173:$AN$365,OFFSET('3b Activity Plan'!$DJ$173:$DJ$365,0,$CU158-1),'3b Activity Plan'!AU$173:AU$365,'3b Activity Plan'!$AH$173:$AH$365,'3b Activity Plan'!$CY$173:$CY$365,('3b Activity Plan'!$C$173:$C$365=$M$130)*1)</f>
        <v>0</v>
      </c>
      <c r="T158" s="1558">
        <f ca="1">SUMPRODUCT('3b Activity Plan'!$AN$173:$AN$365,OFFSET('3b Activity Plan'!$DJ$173:$DJ$365,0,$CU158-1),'3b Activity Plan'!AV$173:AV$365,'3b Activity Plan'!$AH$173:$AH$365,'3b Activity Plan'!$CY$173:$CY$365,('3b Activity Plan'!$C$173:$C$365=$M$130)*1)</f>
        <v>0</v>
      </c>
      <c r="U158" s="1558">
        <f ca="1">SUMPRODUCT('3b Activity Plan'!$AN$173:$AN$365,OFFSET('3b Activity Plan'!$DJ$173:$DJ$365,0,$CU158-1),'3b Activity Plan'!AW$173:AW$365,'3b Activity Plan'!$AH$173:$AH$365,'3b Activity Plan'!$CY$173:$CY$365,('3b Activity Plan'!$C$173:$C$365=$M$130)*1)</f>
        <v>0</v>
      </c>
      <c r="V158" s="1601">
        <f ca="1">SUMPRODUCT('3b Activity Plan'!$AN$173:$AN$365,OFFSET('3b Activity Plan'!$DJ$173:$DJ$365,0,$CU158-1),'3b Activity Plan'!AX$173:AX$365,'3b Activity Plan'!$AH$173:$AH$365,'3b Activity Plan'!$CY$173:$CY$365,('3b Activity Plan'!$C$173:$C$365=$M$130)*1)</f>
        <v>0</v>
      </c>
      <c r="W158" s="1602">
        <f ca="1">SUMPRODUCT('3b Activity Plan'!$AN$173:$AN$365,OFFSET('3b Activity Plan'!$DJ$173:$DJ$365,0,$CU158-1),'3b Activity Plan'!AO$173:AO$365,'3b Activity Plan'!$AH$173:$AH$365,'3b Activity Plan'!$CY$173:$CY$365,('3b Activity Plan'!$C$173:$C$365=$W$130)*1)</f>
        <v>0</v>
      </c>
      <c r="X158" s="1558">
        <f ca="1">SUMPRODUCT('3b Activity Plan'!$AN$173:$AN$365,OFFSET('3b Activity Plan'!$DJ$173:$DJ$365,0,$CU158-1),'3b Activity Plan'!AP$173:AP$365,'3b Activity Plan'!$AH$173:$AH$365,'3b Activity Plan'!$CY$173:$CY$365,('3b Activity Plan'!$C$173:$C$365=$W$130)*1)</f>
        <v>0</v>
      </c>
      <c r="Y158" s="1558">
        <f ca="1">SUMPRODUCT('3b Activity Plan'!$AN$173:$AN$365,OFFSET('3b Activity Plan'!$DJ$173:$DJ$365,0,$CU158-1),'3b Activity Plan'!AQ$173:AQ$365,'3b Activity Plan'!$AH$173:$AH$365,'3b Activity Plan'!$CY$173:$CY$365,('3b Activity Plan'!$C$173:$C$365=$W$130)*1)</f>
        <v>0</v>
      </c>
      <c r="Z158" s="1558">
        <f ca="1">SUMPRODUCT('3b Activity Plan'!$AN$173:$AN$365,OFFSET('3b Activity Plan'!$DJ$173:$DJ$365,0,$CU158-1),'3b Activity Plan'!AR$173:AR$365,'3b Activity Plan'!$AH$173:$AH$365,'3b Activity Plan'!$CY$173:$CY$365,('3b Activity Plan'!$C$173:$C$365=$W$130)*1)</f>
        <v>0</v>
      </c>
      <c r="AA158" s="1558">
        <f ca="1">SUMPRODUCT('3b Activity Plan'!$AN$173:$AN$365,OFFSET('3b Activity Plan'!$DJ$173:$DJ$365,0,$CU158-1),'3b Activity Plan'!AS$173:AS$365,'3b Activity Plan'!$AH$173:$AH$365,'3b Activity Plan'!$CY$173:$CY$365,('3b Activity Plan'!$C$173:$C$365=$W$130)*1)</f>
        <v>0</v>
      </c>
      <c r="AB158" s="1558">
        <f ca="1">SUMPRODUCT('3b Activity Plan'!$AN$173:$AN$365,OFFSET('3b Activity Plan'!$DJ$173:$DJ$365,0,$CU158-1),'3b Activity Plan'!AT$173:AT$365,'3b Activity Plan'!$AH$173:$AH$365,'3b Activity Plan'!$CY$173:$CY$365,('3b Activity Plan'!$C$173:$C$365=$W$130)*1)</f>
        <v>0</v>
      </c>
      <c r="AC158" s="1558">
        <f ca="1">SUMPRODUCT('3b Activity Plan'!$AN$173:$AN$365,OFFSET('3b Activity Plan'!$DJ$173:$DJ$365,0,$CU158-1),'3b Activity Plan'!AU$173:AU$365,'3b Activity Plan'!$AH$173:$AH$365,'3b Activity Plan'!$CY$173:$CY$365,('3b Activity Plan'!$C$173:$C$365=$W$130)*1)</f>
        <v>0</v>
      </c>
      <c r="AD158" s="1558">
        <f ca="1">SUMPRODUCT('3b Activity Plan'!$AN$173:$AN$365,OFFSET('3b Activity Plan'!$DJ$173:$DJ$365,0,$CU158-1),'3b Activity Plan'!AV$173:AV$365,'3b Activity Plan'!$AH$173:$AH$365,'3b Activity Plan'!$CY$173:$CY$365,('3b Activity Plan'!$C$173:$C$365=$W$130)*1)</f>
        <v>0</v>
      </c>
      <c r="AE158" s="1558">
        <f ca="1">SUMPRODUCT('3b Activity Plan'!$AN$173:$AN$365,OFFSET('3b Activity Plan'!$DJ$173:$DJ$365,0,$CU158-1),'3b Activity Plan'!AW$173:AW$365,'3b Activity Plan'!$AH$173:$AH$365,'3b Activity Plan'!$CY$173:$CY$365,('3b Activity Plan'!$C$173:$C$365=$W$130)*1)</f>
        <v>0</v>
      </c>
      <c r="AF158" s="1558">
        <f ca="1">SUMPRODUCT('3b Activity Plan'!$AN$173:$AN$365,OFFSET('3b Activity Plan'!$DJ$173:$DJ$365,0,$CU158-1),'3b Activity Plan'!AX$173:AX$365,'3b Activity Plan'!$AH$173:$AH$365,'3b Activity Plan'!$CY$173:$CY$365,('3b Activity Plan'!$C$173:$C$365=$W$130)*1)</f>
        <v>0</v>
      </c>
      <c r="AG158" s="1602">
        <f ca="1">SUMPRODUCT('3b Activity Plan'!$AN$173:$AN$365,OFFSET('3b Activity Plan'!$DJ$173:$DJ$365,0,$CU158-1),'3b Activity Plan'!AO$173:AO$365,'3b Activity Plan'!$AH$173:$AH$365,'3b Activity Plan'!$CY$173:$CY$365,('3b Activity Plan'!$C$173:$C$365=$AG$130)*1)</f>
        <v>0</v>
      </c>
      <c r="AH158" s="1558">
        <f ca="1">SUMPRODUCT('3b Activity Plan'!$AN$173:$AN$365,OFFSET('3b Activity Plan'!$DJ$173:$DJ$365,0,$CU158-1),'3b Activity Plan'!AP$173:AP$365,'3b Activity Plan'!$AH$173:$AH$365,'3b Activity Plan'!$CY$173:$CY$365,('3b Activity Plan'!$C$173:$C$365=$AG$130)*1)</f>
        <v>0</v>
      </c>
      <c r="AI158" s="1558">
        <f ca="1">SUMPRODUCT('3b Activity Plan'!$AN$173:$AN$365,OFFSET('3b Activity Plan'!$DJ$173:$DJ$365,0,$CU158-1),'3b Activity Plan'!AQ$173:AQ$365,'3b Activity Plan'!$AH$173:$AH$365,'3b Activity Plan'!$CY$173:$CY$365,('3b Activity Plan'!$C$173:$C$365=$AG$130)*1)</f>
        <v>0</v>
      </c>
      <c r="AJ158" s="1558">
        <f ca="1">SUMPRODUCT('3b Activity Plan'!$AN$173:$AN$365,OFFSET('3b Activity Plan'!$DJ$173:$DJ$365,0,$CU158-1),'3b Activity Plan'!AR$173:AR$365,'3b Activity Plan'!$AH$173:$AH$365,'3b Activity Plan'!$CY$173:$CY$365,('3b Activity Plan'!$C$173:$C$365=$AG$130)*1)</f>
        <v>0</v>
      </c>
      <c r="AK158" s="1558">
        <f ca="1">SUMPRODUCT('3b Activity Plan'!$AN$173:$AN$365,OFFSET('3b Activity Plan'!$DJ$173:$DJ$365,0,$CU158-1),'3b Activity Plan'!AS$173:AS$365,'3b Activity Plan'!$AH$173:$AH$365,'3b Activity Plan'!$CY$173:$CY$365,('3b Activity Plan'!$C$173:$C$365=$AG$130)*1)</f>
        <v>0</v>
      </c>
      <c r="AL158" s="1558">
        <f ca="1">SUMPRODUCT('3b Activity Plan'!$AN$173:$AN$365,OFFSET('3b Activity Plan'!$DJ$173:$DJ$365,0,$CU158-1),'3b Activity Plan'!AT$173:AT$365,'3b Activity Plan'!$AH$173:$AH$365,'3b Activity Plan'!$CY$173:$CY$365,('3b Activity Plan'!$C$173:$C$365=$AG$130)*1)</f>
        <v>0</v>
      </c>
      <c r="AM158" s="1558">
        <f ca="1">SUMPRODUCT('3b Activity Plan'!$AN$173:$AN$365,OFFSET('3b Activity Plan'!$DJ$173:$DJ$365,0,$CU158-1),'3b Activity Plan'!AU$173:AU$365,'3b Activity Plan'!$AH$173:$AH$365,'3b Activity Plan'!$CY$173:$CY$365,('3b Activity Plan'!$C$173:$C$365=$AG$130)*1)</f>
        <v>0</v>
      </c>
      <c r="AN158" s="1558">
        <f ca="1">SUMPRODUCT('3b Activity Plan'!$AN$173:$AN$365,OFFSET('3b Activity Plan'!$DJ$173:$DJ$365,0,$CU158-1),'3b Activity Plan'!AV$173:AV$365,'3b Activity Plan'!$AH$173:$AH$365,'3b Activity Plan'!$CY$173:$CY$365,('3b Activity Plan'!$C$173:$C$365=$AG$130)*1)</f>
        <v>0</v>
      </c>
      <c r="AO158" s="1558">
        <f ca="1">SUMPRODUCT('3b Activity Plan'!$AN$173:$AN$365,OFFSET('3b Activity Plan'!$DJ$173:$DJ$365,0,$CU158-1),'3b Activity Plan'!AW$173:AW$365,'3b Activity Plan'!$AH$173:$AH$365,'3b Activity Plan'!$CY$173:$CY$365,('3b Activity Plan'!$C$173:$C$365=$AG$130)*1)</f>
        <v>0</v>
      </c>
      <c r="AP158" s="1558">
        <f ca="1">SUMPRODUCT('3b Activity Plan'!$AN$173:$AN$365,OFFSET('3b Activity Plan'!$DJ$173:$DJ$365,0,$CU158-1),'3b Activity Plan'!AX$173:AX$365,'3b Activity Plan'!$AH$173:$AH$365,'3b Activity Plan'!$CY$173:$CY$365,('3b Activity Plan'!$C$173:$C$365=$AG$130)*1)</f>
        <v>0</v>
      </c>
      <c r="AQ158" s="1602">
        <f ca="1">SUMPRODUCT('3b Activity Plan'!$AN$173:$AN$365,OFFSET('3b Activity Plan'!$DJ$173:$DJ$365,0,$CU158-1),'3b Activity Plan'!AO$173:AO$365,'3b Activity Plan'!$AH$173:$AH$365,'3b Activity Plan'!$CY$173:$CY$365,('3b Activity Plan'!$C$173:$C$365=$AQ$130)*1)</f>
        <v>0</v>
      </c>
      <c r="AR158" s="1558">
        <f ca="1">SUMPRODUCT('3b Activity Plan'!$AN$173:$AN$365,OFFSET('3b Activity Plan'!$DJ$173:$DJ$365,0,$CU158-1),'3b Activity Plan'!AP$173:AP$365,'3b Activity Plan'!$AH$173:$AH$365,'3b Activity Plan'!$CY$173:$CY$365,('3b Activity Plan'!$C$173:$C$365=$AQ$130)*1)</f>
        <v>0</v>
      </c>
      <c r="AS158" s="1558">
        <f ca="1">SUMPRODUCT('3b Activity Plan'!$AN$173:$AN$365,OFFSET('3b Activity Plan'!$DJ$173:$DJ$365,0,$CU158-1),'3b Activity Plan'!AQ$173:AQ$365,'3b Activity Plan'!$AH$173:$AH$365,'3b Activity Plan'!$CY$173:$CY$365,('3b Activity Plan'!$C$173:$C$365=$AQ$130)*1)</f>
        <v>0</v>
      </c>
      <c r="AT158" s="1558">
        <f ca="1">SUMPRODUCT('3b Activity Plan'!$AN$173:$AN$365,OFFSET('3b Activity Plan'!$DJ$173:$DJ$365,0,$CU158-1),'3b Activity Plan'!AR$173:AR$365,'3b Activity Plan'!$AH$173:$AH$365,'3b Activity Plan'!$CY$173:$CY$365,('3b Activity Plan'!$C$173:$C$365=$AQ$130)*1)</f>
        <v>0</v>
      </c>
      <c r="AU158" s="1558">
        <f ca="1">SUMPRODUCT('3b Activity Plan'!$AN$173:$AN$365,OFFSET('3b Activity Plan'!$DJ$173:$DJ$365,0,$CU158-1),'3b Activity Plan'!AS$173:AS$365,'3b Activity Plan'!$AH$173:$AH$365,'3b Activity Plan'!$CY$173:$CY$365,('3b Activity Plan'!$C$173:$C$365=$AQ$130)*1)</f>
        <v>0</v>
      </c>
      <c r="AV158" s="1558">
        <f ca="1">SUMPRODUCT('3b Activity Plan'!$AN$173:$AN$365,OFFSET('3b Activity Plan'!$DJ$173:$DJ$365,0,$CU158-1),'3b Activity Plan'!AT$173:AT$365,'3b Activity Plan'!$AH$173:$AH$365,'3b Activity Plan'!$CY$173:$CY$365,('3b Activity Plan'!$C$173:$C$365=$AQ$130)*1)</f>
        <v>0</v>
      </c>
      <c r="AW158" s="1558">
        <f ca="1">SUMPRODUCT('3b Activity Plan'!$AN$173:$AN$365,OFFSET('3b Activity Plan'!$DJ$173:$DJ$365,0,$CU158-1),'3b Activity Plan'!AU$173:AU$365,'3b Activity Plan'!$AH$173:$AH$365,'3b Activity Plan'!$CY$173:$CY$365,('3b Activity Plan'!$C$173:$C$365=$AQ$130)*1)</f>
        <v>0</v>
      </c>
      <c r="AX158" s="1558">
        <f ca="1">SUMPRODUCT('3b Activity Plan'!$AN$173:$AN$365,OFFSET('3b Activity Plan'!$DJ$173:$DJ$365,0,$CU158-1),'3b Activity Plan'!AV$173:AV$365,'3b Activity Plan'!$AH$173:$AH$365,'3b Activity Plan'!$CY$173:$CY$365,('3b Activity Plan'!$C$173:$C$365=$AQ$130)*1)</f>
        <v>0</v>
      </c>
      <c r="AY158" s="1558">
        <f ca="1">SUMPRODUCT('3b Activity Plan'!$AN$173:$AN$365,OFFSET('3b Activity Plan'!$DJ$173:$DJ$365,0,$CU158-1),'3b Activity Plan'!AW$173:AW$365,'3b Activity Plan'!$AH$173:$AH$365,'3b Activity Plan'!$CY$173:$CY$365,('3b Activity Plan'!$C$173:$C$365=$AQ$130)*1)</f>
        <v>0</v>
      </c>
      <c r="AZ158" s="1558">
        <f ca="1">SUMPRODUCT('3b Activity Plan'!$AN$173:$AN$365,OFFSET('3b Activity Plan'!$DJ$173:$DJ$365,0,$CU158-1),'3b Activity Plan'!AX$173:AX$365,'3b Activity Plan'!$AH$173:$AH$365,'3b Activity Plan'!$CY$173:$CY$365,('3b Activity Plan'!$C$173:$C$365=$AQ$130)*1)</f>
        <v>0</v>
      </c>
      <c r="BA158" s="1602">
        <f ca="1">SUMPRODUCT('3b Activity Plan'!$AN$173:$AN$365,OFFSET('3b Activity Plan'!$DJ$173:$DJ$365,0,$CU158-1),'3b Activity Plan'!AO$173:AO$365,'3b Activity Plan'!$AH$173:$AH$365,'3b Activity Plan'!$CY$173:$CY$365,('3b Activity Plan'!$C$173:$C$365=$BA$130)*1)</f>
        <v>0</v>
      </c>
      <c r="BB158" s="1558">
        <f ca="1">SUMPRODUCT('3b Activity Plan'!$AN$173:$AN$365,OFFSET('3b Activity Plan'!$DJ$173:$DJ$365,0,$CU158-1),'3b Activity Plan'!AP$173:AP$365,'3b Activity Plan'!$AH$173:$AH$365,'3b Activity Plan'!$CY$173:$CY$365,('3b Activity Plan'!$C$173:$C$365=$BA$130)*1)</f>
        <v>0</v>
      </c>
      <c r="BC158" s="1558">
        <f ca="1">SUMPRODUCT('3b Activity Plan'!$AN$173:$AN$365,OFFSET('3b Activity Plan'!$DJ$173:$DJ$365,0,$CU158-1),'3b Activity Plan'!AQ$173:AQ$365,'3b Activity Plan'!$AH$173:$AH$365,'3b Activity Plan'!$CY$173:$CY$365,('3b Activity Plan'!$C$173:$C$365=$BA$130)*1)</f>
        <v>0</v>
      </c>
      <c r="BD158" s="1558">
        <f ca="1">SUMPRODUCT('3b Activity Plan'!$AN$173:$AN$365,OFFSET('3b Activity Plan'!$DJ$173:$DJ$365,0,$CU158-1),'3b Activity Plan'!AR$173:AR$365,'3b Activity Plan'!$AH$173:$AH$365,'3b Activity Plan'!$CY$173:$CY$365,('3b Activity Plan'!$C$173:$C$365=$BA$130)*1)</f>
        <v>0</v>
      </c>
      <c r="BE158" s="1558">
        <f ca="1">SUMPRODUCT('3b Activity Plan'!$AN$173:$AN$365,OFFSET('3b Activity Plan'!$DJ$173:$DJ$365,0,$CU158-1),'3b Activity Plan'!AS$173:AS$365,'3b Activity Plan'!$AH$173:$AH$365,'3b Activity Plan'!$CY$173:$CY$365,('3b Activity Plan'!$C$173:$C$365=$BA$130)*1)</f>
        <v>0</v>
      </c>
      <c r="BF158" s="1558">
        <f ca="1">SUMPRODUCT('3b Activity Plan'!$AN$173:$AN$365,OFFSET('3b Activity Plan'!$DJ$173:$DJ$365,0,$CU158-1),'3b Activity Plan'!AT$173:AT$365,'3b Activity Plan'!$AH$173:$AH$365,'3b Activity Plan'!$CY$173:$CY$365,('3b Activity Plan'!$C$173:$C$365=$BA$130)*1)</f>
        <v>0</v>
      </c>
      <c r="BG158" s="1558">
        <f ca="1">SUMPRODUCT('3b Activity Plan'!$AN$173:$AN$365,OFFSET('3b Activity Plan'!$DJ$173:$DJ$365,0,$CU158-1),'3b Activity Plan'!AU$173:AU$365,'3b Activity Plan'!$AH$173:$AH$365,'3b Activity Plan'!$CY$173:$CY$365,('3b Activity Plan'!$C$173:$C$365=$BA$130)*1)</f>
        <v>0</v>
      </c>
      <c r="BH158" s="1558">
        <f ca="1">SUMPRODUCT('3b Activity Plan'!$AN$173:$AN$365,OFFSET('3b Activity Plan'!$DJ$173:$DJ$365,0,$CU158-1),'3b Activity Plan'!AV$173:AV$365,'3b Activity Plan'!$AH$173:$AH$365,'3b Activity Plan'!$CY$173:$CY$365,('3b Activity Plan'!$C$173:$C$365=$BA$130)*1)</f>
        <v>0</v>
      </c>
      <c r="BI158" s="1558">
        <f ca="1">SUMPRODUCT('3b Activity Plan'!$AN$173:$AN$365,OFFSET('3b Activity Plan'!$DJ$173:$DJ$365,0,$CU158-1),'3b Activity Plan'!AW$173:AW$365,'3b Activity Plan'!$AH$173:$AH$365,'3b Activity Plan'!$CY$173:$CY$365,('3b Activity Plan'!$C$173:$C$365=$BA$130)*1)</f>
        <v>0</v>
      </c>
      <c r="BJ158" s="1558">
        <f ca="1">SUMPRODUCT('3b Activity Plan'!$AN$173:$AN$365,OFFSET('3b Activity Plan'!$DJ$173:$DJ$365,0,$CU158-1),'3b Activity Plan'!AX$173:AX$365,'3b Activity Plan'!$AH$173:$AH$365,'3b Activity Plan'!$CY$173:$CY$365,('3b Activity Plan'!$C$173:$C$365=$BA$130)*1)</f>
        <v>0</v>
      </c>
      <c r="BK158" s="1602">
        <f ca="1">SUMPRODUCT('3b Activity Plan'!$AN$173:$AN$365,OFFSET('3b Activity Plan'!$DJ$173:$DJ$365,0,$CU158-1),'3b Activity Plan'!AO$173:AO$365,'3b Activity Plan'!$AH$173:$AH$365,'3b Activity Plan'!$CY$173:$CY$365,('3b Activity Plan'!$C$173:$C$365=$BK$130)*1)</f>
        <v>0</v>
      </c>
      <c r="BL158" s="1558">
        <f ca="1">SUMPRODUCT('3b Activity Plan'!$AN$173:$AN$365,OFFSET('3b Activity Plan'!$DJ$173:$DJ$365,0,$CU158-1),'3b Activity Plan'!AP$173:AP$365,'3b Activity Plan'!$AH$173:$AH$365,'3b Activity Plan'!$CY$173:$CY$365,('3b Activity Plan'!$C$173:$C$365=$BK$130)*1)</f>
        <v>0</v>
      </c>
      <c r="BM158" s="1558">
        <f ca="1">SUMPRODUCT('3b Activity Plan'!$AN$173:$AN$365,OFFSET('3b Activity Plan'!$DJ$173:$DJ$365,0,$CU158-1),'3b Activity Plan'!AQ$173:AQ$365,'3b Activity Plan'!$AH$173:$AH$365,'3b Activity Plan'!$CY$173:$CY$365,('3b Activity Plan'!$C$173:$C$365=$BK$130)*1)</f>
        <v>0</v>
      </c>
      <c r="BN158" s="1558">
        <f ca="1">SUMPRODUCT('3b Activity Plan'!$AN$173:$AN$365,OFFSET('3b Activity Plan'!$DJ$173:$DJ$365,0,$CU158-1),'3b Activity Plan'!AR$173:AR$365,'3b Activity Plan'!$AH$173:$AH$365,'3b Activity Plan'!$CY$173:$CY$365,('3b Activity Plan'!$C$173:$C$365=$BK$130)*1)</f>
        <v>0</v>
      </c>
      <c r="BO158" s="1558">
        <f ca="1">SUMPRODUCT('3b Activity Plan'!$AN$173:$AN$365,OFFSET('3b Activity Plan'!$DJ$173:$DJ$365,0,$CU158-1),'3b Activity Plan'!AS$173:AS$365,'3b Activity Plan'!$AH$173:$AH$365,'3b Activity Plan'!$CY$173:$CY$365,('3b Activity Plan'!$C$173:$C$365=$BK$130)*1)</f>
        <v>0</v>
      </c>
      <c r="BP158" s="1558">
        <f ca="1">SUMPRODUCT('3b Activity Plan'!$AN$173:$AN$365,OFFSET('3b Activity Plan'!$DJ$173:$DJ$365,0,$CU158-1),'3b Activity Plan'!AT$173:AT$365,'3b Activity Plan'!$AH$173:$AH$365,'3b Activity Plan'!$CY$173:$CY$365,('3b Activity Plan'!$C$173:$C$365=$BK$130)*1)</f>
        <v>0</v>
      </c>
      <c r="BQ158" s="1558">
        <f ca="1">SUMPRODUCT('3b Activity Plan'!$AN$173:$AN$365,OFFSET('3b Activity Plan'!$DJ$173:$DJ$365,0,$CU158-1),'3b Activity Plan'!AU$173:AU$365,'3b Activity Plan'!$AH$173:$AH$365,'3b Activity Plan'!$CY$173:$CY$365,('3b Activity Plan'!$C$173:$C$365=$BK$130)*1)</f>
        <v>0</v>
      </c>
      <c r="BR158" s="1558">
        <f ca="1">SUMPRODUCT('3b Activity Plan'!$AN$173:$AN$365,OFFSET('3b Activity Plan'!$DJ$173:$DJ$365,0,$CU158-1),'3b Activity Plan'!AV$173:AV$365,'3b Activity Plan'!$AH$173:$AH$365,'3b Activity Plan'!$CY$173:$CY$365,('3b Activity Plan'!$C$173:$C$365=$BK$130)*1)</f>
        <v>0</v>
      </c>
      <c r="BS158" s="1558">
        <f ca="1">SUMPRODUCT('3b Activity Plan'!$AN$173:$AN$365,OFFSET('3b Activity Plan'!$DJ$173:$DJ$365,0,$CU158-1),'3b Activity Plan'!AW$173:AW$365,'3b Activity Plan'!$AH$173:$AH$365,'3b Activity Plan'!$CY$173:$CY$365,('3b Activity Plan'!$C$173:$C$365=$BK$130)*1)</f>
        <v>0</v>
      </c>
      <c r="BT158" s="1558">
        <f ca="1">SUMPRODUCT('3b Activity Plan'!$AN$173:$AN$365,OFFSET('3b Activity Plan'!$DJ$173:$DJ$365,0,$CU158-1),'3b Activity Plan'!AX$173:AX$365,'3b Activity Plan'!$AH$173:$AH$365,'3b Activity Plan'!$CY$173:$CY$365,('3b Activity Plan'!$C$173:$C$365=$BK$130)*1)</f>
        <v>0</v>
      </c>
      <c r="BU158" s="1587"/>
      <c r="BV158" s="1587"/>
      <c r="BW158" s="1587"/>
      <c r="BX158" s="1556"/>
      <c r="BY158" s="1556"/>
      <c r="BZ158" s="1556"/>
      <c r="CA158" s="1024">
        <f ca="1">SUMIFS('3a Staff Plan'!$T$129:$T$305,'3a Staff Plan'!$DY$129:$DY$305,CZ158,'3a Staff Plan'!$DF$129:$DF$305,1)</f>
        <v>0</v>
      </c>
      <c r="CB158" s="1025">
        <f ca="1">SUMIFS('3a Staff Plan'!$T$129:$T$305,'3a Staff Plan'!$DY$129:$DY$305,$CZ158,'3a Staff Plan'!$DF$129:$DF$305,1,'3a Staff Plan'!$C$129:$C$305,DC$18)</f>
        <v>0</v>
      </c>
      <c r="CC158" s="1026">
        <f ca="1">SUMIFS('3a Staff Plan'!$T$129:$T$305,'3a Staff Plan'!$DY$129:$DY$305,$CZ158,'3a Staff Plan'!$DF$129:$DF$305,1,'3a Staff Plan'!$C$129:$C$305,DD$18)</f>
        <v>0</v>
      </c>
      <c r="CD158" s="1026">
        <f ca="1">SUMIFS('3a Staff Plan'!$T$129:$T$305,'3a Staff Plan'!$DY$129:$DY$305,$CZ158,'3a Staff Plan'!$DF$129:$DF$305,1,'3a Staff Plan'!$C$129:$C$305,DE$18)</f>
        <v>0</v>
      </c>
      <c r="CE158" s="1026">
        <f ca="1">SUMIFS('3a Staff Plan'!$T$129:$T$305,'3a Staff Plan'!$DY$129:$DY$305,$CZ158,'3a Staff Plan'!$DF$129:$DF$305,1,'3a Staff Plan'!$C$129:$C$305,DF$18)</f>
        <v>0</v>
      </c>
      <c r="CF158" s="1026">
        <f ca="1">SUMIFS('3a Staff Plan'!$T$129:$T$305,'3a Staff Plan'!$DY$129:$DY$305,$CZ158,'3a Staff Plan'!$DF$129:$DF$305,1,'3a Staff Plan'!$C$129:$C$305,DG$18)</f>
        <v>0</v>
      </c>
      <c r="CG158" s="1026">
        <f ca="1">SUMIFS('3a Staff Plan'!$T$129:$T$305,'3a Staff Plan'!$DY$129:$DY$305,$CZ158,'3a Staff Plan'!$DF$129:$DF$305,1,'3a Staff Plan'!$C$129:$C$305,DH$18)</f>
        <v>0</v>
      </c>
      <c r="CH158" s="1026">
        <f ca="1">SUMIFS('3a Staff Plan'!$T$129:$T$305,'3a Staff Plan'!$DY$129:$DY$305,$CZ158,'3a Staff Plan'!$DF$129:$DF$305,1,'3a Staff Plan'!$C$129:$C$305,DI$18)</f>
        <v>0</v>
      </c>
      <c r="CI158" s="755"/>
      <c r="CJ158" s="1024">
        <f ca="1">SUMPRODUCT('3b Activity Plan'!$AN$173:$AN$365,'3b Activity Plan'!$CY$173:$CY$365,'3b Activity Plan'!$AH$173:$AH$365,OFFSET('3b Activity Plan'!$DJ$173:$DJ$365,0,$CU158-1))</f>
        <v>0</v>
      </c>
      <c r="CK158" s="1025">
        <f t="shared" ca="1" si="93"/>
        <v>0</v>
      </c>
      <c r="CL158" s="1026">
        <f t="shared" ca="1" si="94"/>
        <v>0</v>
      </c>
      <c r="CM158" s="1026">
        <f t="shared" ca="1" si="95"/>
        <v>0</v>
      </c>
      <c r="CN158" s="1026">
        <f t="shared" ca="1" si="96"/>
        <v>0</v>
      </c>
      <c r="CO158" s="1026">
        <f t="shared" ca="1" si="97"/>
        <v>0</v>
      </c>
      <c r="CP158" s="1026">
        <f t="shared" ca="1" si="98"/>
        <v>0</v>
      </c>
      <c r="CQ158" s="1026">
        <f t="shared" ca="1" si="99"/>
        <v>0</v>
      </c>
      <c r="CR158" s="417"/>
      <c r="CS158" s="417">
        <f t="shared" si="100"/>
        <v>26</v>
      </c>
      <c r="CT158" s="417">
        <f ca="1">OFFSET('2 Staff List'!$GU$64,CS158-1,0)</f>
        <v>26</v>
      </c>
      <c r="CU158" s="417">
        <f ca="1">IF(CZ158=0,0,IFERROR(INDEX('3b Activity Plan'!$DJ$20:$FH$20,MATCH(CT158,'3b Activity Plan'!$DJ$171:$FH$171,0)),0))</f>
        <v>0</v>
      </c>
      <c r="CV158" s="417">
        <f ca="1">INDEX('2 Staff List'!$HW$64:$HW$114,CT158)</f>
        <v>0</v>
      </c>
      <c r="CW158" s="417"/>
      <c r="CY158" s="927">
        <f ca="1">OFFSET('2 Staff List'!$HZ$64,CS158-1,0)</f>
        <v>0</v>
      </c>
      <c r="CZ158" s="975">
        <f ca="1">OFFSET('2 Staff List'!$IA$64,CT158-1,0)</f>
        <v>0</v>
      </c>
      <c r="DA158" s="3840">
        <f t="shared" ca="1" si="92"/>
        <v>0</v>
      </c>
      <c r="DB158" s="3841"/>
      <c r="DC158" s="2408">
        <f t="shared" ca="1" si="85"/>
        <v>0</v>
      </c>
      <c r="DD158" s="2405">
        <f t="shared" ca="1" si="86"/>
        <v>0</v>
      </c>
      <c r="DE158" s="2405">
        <f t="shared" ca="1" si="87"/>
        <v>0</v>
      </c>
      <c r="DF158" s="2405">
        <f t="shared" ca="1" si="88"/>
        <v>0</v>
      </c>
      <c r="DG158" s="2405">
        <f t="shared" ca="1" si="89"/>
        <v>0</v>
      </c>
      <c r="DH158" s="2406">
        <f t="shared" ca="1" si="90"/>
        <v>0</v>
      </c>
      <c r="DI158" s="2407">
        <f t="shared" ca="1" si="91"/>
        <v>0</v>
      </c>
    </row>
    <row r="159" spans="1:113" ht="15.9" customHeight="1" x14ac:dyDescent="0.25">
      <c r="A159" s="1051"/>
      <c r="B159" s="1556"/>
      <c r="C159" s="1558">
        <f ca="1">SUMPRODUCT('3b Activity Plan'!$AN$173:$AN$365,OFFSET('3b Activity Plan'!$DJ$173:$DJ$365,0,$CU159-1),'3b Activity Plan'!AO$173:AO$365,'3b Activity Plan'!$AH$173:$AH$365,'3b Activity Plan'!$CY$173:$CY$365,('3b Activity Plan'!$C$173:$C$365=$C$130)*1)</f>
        <v>0</v>
      </c>
      <c r="D159" s="1558">
        <f ca="1">SUMPRODUCT('3b Activity Plan'!$AN$173:$AN$365,OFFSET('3b Activity Plan'!$DJ$173:$DJ$365,0,$CU159-1),'3b Activity Plan'!AP$173:AP$365,'3b Activity Plan'!$AH$173:$AH$365,'3b Activity Plan'!$CY$173:$CY$365,('3b Activity Plan'!$C$173:$C$365=$C$130)*1)</f>
        <v>0</v>
      </c>
      <c r="E159" s="1558">
        <f ca="1">SUMPRODUCT('3b Activity Plan'!$AN$173:$AN$365,OFFSET('3b Activity Plan'!$DJ$173:$DJ$365,0,$CU159-1),'3b Activity Plan'!AQ$173:AQ$365,'3b Activity Plan'!$AH$173:$AH$365,'3b Activity Plan'!$CY$173:$CY$365,('3b Activity Plan'!$C$173:$C$365=$C$130)*1)</f>
        <v>0</v>
      </c>
      <c r="F159" s="1558">
        <f ca="1">SUMPRODUCT('3b Activity Plan'!$AN$173:$AN$365,OFFSET('3b Activity Plan'!$DJ$173:$DJ$365,0,$CU159-1),'3b Activity Plan'!AR$173:AR$365,'3b Activity Plan'!$AH$173:$AH$365,'3b Activity Plan'!$CY$173:$CY$365,('3b Activity Plan'!$C$173:$C$365=$C$130)*1)</f>
        <v>0</v>
      </c>
      <c r="G159" s="1558">
        <f ca="1">SUMPRODUCT('3b Activity Plan'!$AN$173:$AN$365,OFFSET('3b Activity Plan'!$DJ$173:$DJ$365,0,$CU159-1),'3b Activity Plan'!AS$173:AS$365,'3b Activity Plan'!$AH$173:$AH$365,'3b Activity Plan'!$CY$173:$CY$365,('3b Activity Plan'!$C$173:$C$365=$C$130)*1)</f>
        <v>0</v>
      </c>
      <c r="H159" s="1558">
        <f ca="1">SUMPRODUCT('3b Activity Plan'!$AN$173:$AN$365,OFFSET('3b Activity Plan'!$DJ$173:$DJ$365,0,$CU159-1),'3b Activity Plan'!AT$173:AT$365,'3b Activity Plan'!$AH$173:$AH$365,'3b Activity Plan'!$CY$173:$CY$365,('3b Activity Plan'!$C$173:$C$365=$C$130)*1)</f>
        <v>0</v>
      </c>
      <c r="I159" s="1558">
        <f ca="1">SUMPRODUCT('3b Activity Plan'!$AN$173:$AN$365,OFFSET('3b Activity Plan'!$DJ$173:$DJ$365,0,$CU159-1),'3b Activity Plan'!AU$173:AU$365,'3b Activity Plan'!$AH$173:$AH$365,'3b Activity Plan'!$CY$173:$CY$365,('3b Activity Plan'!$C$173:$C$365=$C$130)*1)</f>
        <v>0</v>
      </c>
      <c r="J159" s="1558">
        <f ca="1">SUMPRODUCT('3b Activity Plan'!$AN$173:$AN$365,OFFSET('3b Activity Plan'!$DJ$173:$DJ$365,0,$CU159-1),'3b Activity Plan'!AV$173:AV$365,'3b Activity Plan'!$AH$173:$AH$365,'3b Activity Plan'!$CY$173:$CY$365,('3b Activity Plan'!$C$173:$C$365=$C$130)*1)</f>
        <v>0</v>
      </c>
      <c r="K159" s="1558">
        <f ca="1">SUMPRODUCT('3b Activity Plan'!$AN$173:$AN$365,OFFSET('3b Activity Plan'!$DJ$173:$DJ$365,0,$CU159-1),'3b Activity Plan'!AW$173:AW$365,'3b Activity Plan'!$AH$173:$AH$365,'3b Activity Plan'!$CY$173:$CY$365,('3b Activity Plan'!$C$173:$C$365=$C$130)*1)</f>
        <v>0</v>
      </c>
      <c r="L159" s="1601">
        <f ca="1">SUMPRODUCT('3b Activity Plan'!$AN$173:$AN$365,OFFSET('3b Activity Plan'!$DJ$173:$DJ$365,0,$CU159-1),'3b Activity Plan'!AX$173:AX$365,'3b Activity Plan'!$AH$173:$AH$365,'3b Activity Plan'!$CY$173:$CY$365,('3b Activity Plan'!$C$173:$C$365=$C$130)*1)</f>
        <v>0</v>
      </c>
      <c r="M159" s="1602">
        <f ca="1">SUMPRODUCT('3b Activity Plan'!$AN$173:$AN$365,OFFSET('3b Activity Plan'!$DJ$173:$DJ$365,0,$CU159-1),'3b Activity Plan'!AO$173:AO$365,'3b Activity Plan'!$AH$173:$AH$365,'3b Activity Plan'!$CY$173:$CY$365,('3b Activity Plan'!$C$173:$C$365=$M$130)*1)</f>
        <v>0</v>
      </c>
      <c r="N159" s="1558">
        <f ca="1">SUMPRODUCT('3b Activity Plan'!$AN$173:$AN$365,OFFSET('3b Activity Plan'!$DJ$173:$DJ$365,0,$CU159-1),'3b Activity Plan'!AP$173:AP$365,'3b Activity Plan'!$AH$173:$AH$365,'3b Activity Plan'!$CY$173:$CY$365,('3b Activity Plan'!$C$173:$C$365=$M$130)*1)</f>
        <v>0</v>
      </c>
      <c r="O159" s="1558">
        <f ca="1">SUMPRODUCT('3b Activity Plan'!$AN$173:$AN$365,OFFSET('3b Activity Plan'!$DJ$173:$DJ$365,0,$CU159-1),'3b Activity Plan'!AQ$173:AQ$365,'3b Activity Plan'!$AH$173:$AH$365,'3b Activity Plan'!$CY$173:$CY$365,('3b Activity Plan'!$C$173:$C$365=$M$130)*1)</f>
        <v>0</v>
      </c>
      <c r="P159" s="1558">
        <f ca="1">SUMPRODUCT('3b Activity Plan'!$AN$173:$AN$365,OFFSET('3b Activity Plan'!$DJ$173:$DJ$365,0,$CU159-1),'3b Activity Plan'!AR$173:AR$365,'3b Activity Plan'!$AH$173:$AH$365,'3b Activity Plan'!$CY$173:$CY$365,('3b Activity Plan'!$C$173:$C$365=$M$130)*1)</f>
        <v>0</v>
      </c>
      <c r="Q159" s="1558">
        <f ca="1">SUMPRODUCT('3b Activity Plan'!$AN$173:$AN$365,OFFSET('3b Activity Plan'!$DJ$173:$DJ$365,0,$CU159-1),'3b Activity Plan'!AS$173:AS$365,'3b Activity Plan'!$AH$173:$AH$365,'3b Activity Plan'!$CY$173:$CY$365,('3b Activity Plan'!$C$173:$C$365=$M$130)*1)</f>
        <v>0</v>
      </c>
      <c r="R159" s="1558">
        <f ca="1">SUMPRODUCT('3b Activity Plan'!$AN$173:$AN$365,OFFSET('3b Activity Plan'!$DJ$173:$DJ$365,0,$CU159-1),'3b Activity Plan'!AT$173:AT$365,'3b Activity Plan'!$AH$173:$AH$365,'3b Activity Plan'!$CY$173:$CY$365,('3b Activity Plan'!$C$173:$C$365=$M$130)*1)</f>
        <v>0</v>
      </c>
      <c r="S159" s="1558">
        <f ca="1">SUMPRODUCT('3b Activity Plan'!$AN$173:$AN$365,OFFSET('3b Activity Plan'!$DJ$173:$DJ$365,0,$CU159-1),'3b Activity Plan'!AU$173:AU$365,'3b Activity Plan'!$AH$173:$AH$365,'3b Activity Plan'!$CY$173:$CY$365,('3b Activity Plan'!$C$173:$C$365=$M$130)*1)</f>
        <v>0</v>
      </c>
      <c r="T159" s="1558">
        <f ca="1">SUMPRODUCT('3b Activity Plan'!$AN$173:$AN$365,OFFSET('3b Activity Plan'!$DJ$173:$DJ$365,0,$CU159-1),'3b Activity Plan'!AV$173:AV$365,'3b Activity Plan'!$AH$173:$AH$365,'3b Activity Plan'!$CY$173:$CY$365,('3b Activity Plan'!$C$173:$C$365=$M$130)*1)</f>
        <v>0</v>
      </c>
      <c r="U159" s="1558">
        <f ca="1">SUMPRODUCT('3b Activity Plan'!$AN$173:$AN$365,OFFSET('3b Activity Plan'!$DJ$173:$DJ$365,0,$CU159-1),'3b Activity Plan'!AW$173:AW$365,'3b Activity Plan'!$AH$173:$AH$365,'3b Activity Plan'!$CY$173:$CY$365,('3b Activity Plan'!$C$173:$C$365=$M$130)*1)</f>
        <v>0</v>
      </c>
      <c r="V159" s="1601">
        <f ca="1">SUMPRODUCT('3b Activity Plan'!$AN$173:$AN$365,OFFSET('3b Activity Plan'!$DJ$173:$DJ$365,0,$CU159-1),'3b Activity Plan'!AX$173:AX$365,'3b Activity Plan'!$AH$173:$AH$365,'3b Activity Plan'!$CY$173:$CY$365,('3b Activity Plan'!$C$173:$C$365=$M$130)*1)</f>
        <v>0</v>
      </c>
      <c r="W159" s="1602">
        <f ca="1">SUMPRODUCT('3b Activity Plan'!$AN$173:$AN$365,OFFSET('3b Activity Plan'!$DJ$173:$DJ$365,0,$CU159-1),'3b Activity Plan'!AO$173:AO$365,'3b Activity Plan'!$AH$173:$AH$365,'3b Activity Plan'!$CY$173:$CY$365,('3b Activity Plan'!$C$173:$C$365=$W$130)*1)</f>
        <v>0</v>
      </c>
      <c r="X159" s="1558">
        <f ca="1">SUMPRODUCT('3b Activity Plan'!$AN$173:$AN$365,OFFSET('3b Activity Plan'!$DJ$173:$DJ$365,0,$CU159-1),'3b Activity Plan'!AP$173:AP$365,'3b Activity Plan'!$AH$173:$AH$365,'3b Activity Plan'!$CY$173:$CY$365,('3b Activity Plan'!$C$173:$C$365=$W$130)*1)</f>
        <v>0</v>
      </c>
      <c r="Y159" s="1558">
        <f ca="1">SUMPRODUCT('3b Activity Plan'!$AN$173:$AN$365,OFFSET('3b Activity Plan'!$DJ$173:$DJ$365,0,$CU159-1),'3b Activity Plan'!AQ$173:AQ$365,'3b Activity Plan'!$AH$173:$AH$365,'3b Activity Plan'!$CY$173:$CY$365,('3b Activity Plan'!$C$173:$C$365=$W$130)*1)</f>
        <v>0</v>
      </c>
      <c r="Z159" s="1558">
        <f ca="1">SUMPRODUCT('3b Activity Plan'!$AN$173:$AN$365,OFFSET('3b Activity Plan'!$DJ$173:$DJ$365,0,$CU159-1),'3b Activity Plan'!AR$173:AR$365,'3b Activity Plan'!$AH$173:$AH$365,'3b Activity Plan'!$CY$173:$CY$365,('3b Activity Plan'!$C$173:$C$365=$W$130)*1)</f>
        <v>0</v>
      </c>
      <c r="AA159" s="1558">
        <f ca="1">SUMPRODUCT('3b Activity Plan'!$AN$173:$AN$365,OFFSET('3b Activity Plan'!$DJ$173:$DJ$365,0,$CU159-1),'3b Activity Plan'!AS$173:AS$365,'3b Activity Plan'!$AH$173:$AH$365,'3b Activity Plan'!$CY$173:$CY$365,('3b Activity Plan'!$C$173:$C$365=$W$130)*1)</f>
        <v>0</v>
      </c>
      <c r="AB159" s="1558">
        <f ca="1">SUMPRODUCT('3b Activity Plan'!$AN$173:$AN$365,OFFSET('3b Activity Plan'!$DJ$173:$DJ$365,0,$CU159-1),'3b Activity Plan'!AT$173:AT$365,'3b Activity Plan'!$AH$173:$AH$365,'3b Activity Plan'!$CY$173:$CY$365,('3b Activity Plan'!$C$173:$C$365=$W$130)*1)</f>
        <v>0</v>
      </c>
      <c r="AC159" s="1558">
        <f ca="1">SUMPRODUCT('3b Activity Plan'!$AN$173:$AN$365,OFFSET('3b Activity Plan'!$DJ$173:$DJ$365,0,$CU159-1),'3b Activity Plan'!AU$173:AU$365,'3b Activity Plan'!$AH$173:$AH$365,'3b Activity Plan'!$CY$173:$CY$365,('3b Activity Plan'!$C$173:$C$365=$W$130)*1)</f>
        <v>0</v>
      </c>
      <c r="AD159" s="1558">
        <f ca="1">SUMPRODUCT('3b Activity Plan'!$AN$173:$AN$365,OFFSET('3b Activity Plan'!$DJ$173:$DJ$365,0,$CU159-1),'3b Activity Plan'!AV$173:AV$365,'3b Activity Plan'!$AH$173:$AH$365,'3b Activity Plan'!$CY$173:$CY$365,('3b Activity Plan'!$C$173:$C$365=$W$130)*1)</f>
        <v>0</v>
      </c>
      <c r="AE159" s="1558">
        <f ca="1">SUMPRODUCT('3b Activity Plan'!$AN$173:$AN$365,OFFSET('3b Activity Plan'!$DJ$173:$DJ$365,0,$CU159-1),'3b Activity Plan'!AW$173:AW$365,'3b Activity Plan'!$AH$173:$AH$365,'3b Activity Plan'!$CY$173:$CY$365,('3b Activity Plan'!$C$173:$C$365=$W$130)*1)</f>
        <v>0</v>
      </c>
      <c r="AF159" s="1558">
        <f ca="1">SUMPRODUCT('3b Activity Plan'!$AN$173:$AN$365,OFFSET('3b Activity Plan'!$DJ$173:$DJ$365,0,$CU159-1),'3b Activity Plan'!AX$173:AX$365,'3b Activity Plan'!$AH$173:$AH$365,'3b Activity Plan'!$CY$173:$CY$365,('3b Activity Plan'!$C$173:$C$365=$W$130)*1)</f>
        <v>0</v>
      </c>
      <c r="AG159" s="1602">
        <f ca="1">SUMPRODUCT('3b Activity Plan'!$AN$173:$AN$365,OFFSET('3b Activity Plan'!$DJ$173:$DJ$365,0,$CU159-1),'3b Activity Plan'!AO$173:AO$365,'3b Activity Plan'!$AH$173:$AH$365,'3b Activity Plan'!$CY$173:$CY$365,('3b Activity Plan'!$C$173:$C$365=$AG$130)*1)</f>
        <v>0</v>
      </c>
      <c r="AH159" s="1558">
        <f ca="1">SUMPRODUCT('3b Activity Plan'!$AN$173:$AN$365,OFFSET('3b Activity Plan'!$DJ$173:$DJ$365,0,$CU159-1),'3b Activity Plan'!AP$173:AP$365,'3b Activity Plan'!$AH$173:$AH$365,'3b Activity Plan'!$CY$173:$CY$365,('3b Activity Plan'!$C$173:$C$365=$AG$130)*1)</f>
        <v>0</v>
      </c>
      <c r="AI159" s="1558">
        <f ca="1">SUMPRODUCT('3b Activity Plan'!$AN$173:$AN$365,OFFSET('3b Activity Plan'!$DJ$173:$DJ$365,0,$CU159-1),'3b Activity Plan'!AQ$173:AQ$365,'3b Activity Plan'!$AH$173:$AH$365,'3b Activity Plan'!$CY$173:$CY$365,('3b Activity Plan'!$C$173:$C$365=$AG$130)*1)</f>
        <v>0</v>
      </c>
      <c r="AJ159" s="1558">
        <f ca="1">SUMPRODUCT('3b Activity Plan'!$AN$173:$AN$365,OFFSET('3b Activity Plan'!$DJ$173:$DJ$365,0,$CU159-1),'3b Activity Plan'!AR$173:AR$365,'3b Activity Plan'!$AH$173:$AH$365,'3b Activity Plan'!$CY$173:$CY$365,('3b Activity Plan'!$C$173:$C$365=$AG$130)*1)</f>
        <v>0</v>
      </c>
      <c r="AK159" s="1558">
        <f ca="1">SUMPRODUCT('3b Activity Plan'!$AN$173:$AN$365,OFFSET('3b Activity Plan'!$DJ$173:$DJ$365,0,$CU159-1),'3b Activity Plan'!AS$173:AS$365,'3b Activity Plan'!$AH$173:$AH$365,'3b Activity Plan'!$CY$173:$CY$365,('3b Activity Plan'!$C$173:$C$365=$AG$130)*1)</f>
        <v>0</v>
      </c>
      <c r="AL159" s="1558">
        <f ca="1">SUMPRODUCT('3b Activity Plan'!$AN$173:$AN$365,OFFSET('3b Activity Plan'!$DJ$173:$DJ$365,0,$CU159-1),'3b Activity Plan'!AT$173:AT$365,'3b Activity Plan'!$AH$173:$AH$365,'3b Activity Plan'!$CY$173:$CY$365,('3b Activity Plan'!$C$173:$C$365=$AG$130)*1)</f>
        <v>0</v>
      </c>
      <c r="AM159" s="1558">
        <f ca="1">SUMPRODUCT('3b Activity Plan'!$AN$173:$AN$365,OFFSET('3b Activity Plan'!$DJ$173:$DJ$365,0,$CU159-1),'3b Activity Plan'!AU$173:AU$365,'3b Activity Plan'!$AH$173:$AH$365,'3b Activity Plan'!$CY$173:$CY$365,('3b Activity Plan'!$C$173:$C$365=$AG$130)*1)</f>
        <v>0</v>
      </c>
      <c r="AN159" s="1558">
        <f ca="1">SUMPRODUCT('3b Activity Plan'!$AN$173:$AN$365,OFFSET('3b Activity Plan'!$DJ$173:$DJ$365,0,$CU159-1),'3b Activity Plan'!AV$173:AV$365,'3b Activity Plan'!$AH$173:$AH$365,'3b Activity Plan'!$CY$173:$CY$365,('3b Activity Plan'!$C$173:$C$365=$AG$130)*1)</f>
        <v>0</v>
      </c>
      <c r="AO159" s="1558">
        <f ca="1">SUMPRODUCT('3b Activity Plan'!$AN$173:$AN$365,OFFSET('3b Activity Plan'!$DJ$173:$DJ$365,0,$CU159-1),'3b Activity Plan'!AW$173:AW$365,'3b Activity Plan'!$AH$173:$AH$365,'3b Activity Plan'!$CY$173:$CY$365,('3b Activity Plan'!$C$173:$C$365=$AG$130)*1)</f>
        <v>0</v>
      </c>
      <c r="AP159" s="1558">
        <f ca="1">SUMPRODUCT('3b Activity Plan'!$AN$173:$AN$365,OFFSET('3b Activity Plan'!$DJ$173:$DJ$365,0,$CU159-1),'3b Activity Plan'!AX$173:AX$365,'3b Activity Plan'!$AH$173:$AH$365,'3b Activity Plan'!$CY$173:$CY$365,('3b Activity Plan'!$C$173:$C$365=$AG$130)*1)</f>
        <v>0</v>
      </c>
      <c r="AQ159" s="1602">
        <f ca="1">SUMPRODUCT('3b Activity Plan'!$AN$173:$AN$365,OFFSET('3b Activity Plan'!$DJ$173:$DJ$365,0,$CU159-1),'3b Activity Plan'!AO$173:AO$365,'3b Activity Plan'!$AH$173:$AH$365,'3b Activity Plan'!$CY$173:$CY$365,('3b Activity Plan'!$C$173:$C$365=$AQ$130)*1)</f>
        <v>0</v>
      </c>
      <c r="AR159" s="1558">
        <f ca="1">SUMPRODUCT('3b Activity Plan'!$AN$173:$AN$365,OFFSET('3b Activity Plan'!$DJ$173:$DJ$365,0,$CU159-1),'3b Activity Plan'!AP$173:AP$365,'3b Activity Plan'!$AH$173:$AH$365,'3b Activity Plan'!$CY$173:$CY$365,('3b Activity Plan'!$C$173:$C$365=$AQ$130)*1)</f>
        <v>0</v>
      </c>
      <c r="AS159" s="1558">
        <f ca="1">SUMPRODUCT('3b Activity Plan'!$AN$173:$AN$365,OFFSET('3b Activity Plan'!$DJ$173:$DJ$365,0,$CU159-1),'3b Activity Plan'!AQ$173:AQ$365,'3b Activity Plan'!$AH$173:$AH$365,'3b Activity Plan'!$CY$173:$CY$365,('3b Activity Plan'!$C$173:$C$365=$AQ$130)*1)</f>
        <v>0</v>
      </c>
      <c r="AT159" s="1558">
        <f ca="1">SUMPRODUCT('3b Activity Plan'!$AN$173:$AN$365,OFFSET('3b Activity Plan'!$DJ$173:$DJ$365,0,$CU159-1),'3b Activity Plan'!AR$173:AR$365,'3b Activity Plan'!$AH$173:$AH$365,'3b Activity Plan'!$CY$173:$CY$365,('3b Activity Plan'!$C$173:$C$365=$AQ$130)*1)</f>
        <v>0</v>
      </c>
      <c r="AU159" s="1558">
        <f ca="1">SUMPRODUCT('3b Activity Plan'!$AN$173:$AN$365,OFFSET('3b Activity Plan'!$DJ$173:$DJ$365,0,$CU159-1),'3b Activity Plan'!AS$173:AS$365,'3b Activity Plan'!$AH$173:$AH$365,'3b Activity Plan'!$CY$173:$CY$365,('3b Activity Plan'!$C$173:$C$365=$AQ$130)*1)</f>
        <v>0</v>
      </c>
      <c r="AV159" s="1558">
        <f ca="1">SUMPRODUCT('3b Activity Plan'!$AN$173:$AN$365,OFFSET('3b Activity Plan'!$DJ$173:$DJ$365,0,$CU159-1),'3b Activity Plan'!AT$173:AT$365,'3b Activity Plan'!$AH$173:$AH$365,'3b Activity Plan'!$CY$173:$CY$365,('3b Activity Plan'!$C$173:$C$365=$AQ$130)*1)</f>
        <v>0</v>
      </c>
      <c r="AW159" s="1558">
        <f ca="1">SUMPRODUCT('3b Activity Plan'!$AN$173:$AN$365,OFFSET('3b Activity Plan'!$DJ$173:$DJ$365,0,$CU159-1),'3b Activity Plan'!AU$173:AU$365,'3b Activity Plan'!$AH$173:$AH$365,'3b Activity Plan'!$CY$173:$CY$365,('3b Activity Plan'!$C$173:$C$365=$AQ$130)*1)</f>
        <v>0</v>
      </c>
      <c r="AX159" s="1558">
        <f ca="1">SUMPRODUCT('3b Activity Plan'!$AN$173:$AN$365,OFFSET('3b Activity Plan'!$DJ$173:$DJ$365,0,$CU159-1),'3b Activity Plan'!AV$173:AV$365,'3b Activity Plan'!$AH$173:$AH$365,'3b Activity Plan'!$CY$173:$CY$365,('3b Activity Plan'!$C$173:$C$365=$AQ$130)*1)</f>
        <v>0</v>
      </c>
      <c r="AY159" s="1558">
        <f ca="1">SUMPRODUCT('3b Activity Plan'!$AN$173:$AN$365,OFFSET('3b Activity Plan'!$DJ$173:$DJ$365,0,$CU159-1),'3b Activity Plan'!AW$173:AW$365,'3b Activity Plan'!$AH$173:$AH$365,'3b Activity Plan'!$CY$173:$CY$365,('3b Activity Plan'!$C$173:$C$365=$AQ$130)*1)</f>
        <v>0</v>
      </c>
      <c r="AZ159" s="1558">
        <f ca="1">SUMPRODUCT('3b Activity Plan'!$AN$173:$AN$365,OFFSET('3b Activity Plan'!$DJ$173:$DJ$365,0,$CU159-1),'3b Activity Plan'!AX$173:AX$365,'3b Activity Plan'!$AH$173:$AH$365,'3b Activity Plan'!$CY$173:$CY$365,('3b Activity Plan'!$C$173:$C$365=$AQ$130)*1)</f>
        <v>0</v>
      </c>
      <c r="BA159" s="1602">
        <f ca="1">SUMPRODUCT('3b Activity Plan'!$AN$173:$AN$365,OFFSET('3b Activity Plan'!$DJ$173:$DJ$365,0,$CU159-1),'3b Activity Plan'!AO$173:AO$365,'3b Activity Plan'!$AH$173:$AH$365,'3b Activity Plan'!$CY$173:$CY$365,('3b Activity Plan'!$C$173:$C$365=$BA$130)*1)</f>
        <v>0</v>
      </c>
      <c r="BB159" s="1558">
        <f ca="1">SUMPRODUCT('3b Activity Plan'!$AN$173:$AN$365,OFFSET('3b Activity Plan'!$DJ$173:$DJ$365,0,$CU159-1),'3b Activity Plan'!AP$173:AP$365,'3b Activity Plan'!$AH$173:$AH$365,'3b Activity Plan'!$CY$173:$CY$365,('3b Activity Plan'!$C$173:$C$365=$BA$130)*1)</f>
        <v>0</v>
      </c>
      <c r="BC159" s="1558">
        <f ca="1">SUMPRODUCT('3b Activity Plan'!$AN$173:$AN$365,OFFSET('3b Activity Plan'!$DJ$173:$DJ$365,0,$CU159-1),'3b Activity Plan'!AQ$173:AQ$365,'3b Activity Plan'!$AH$173:$AH$365,'3b Activity Plan'!$CY$173:$CY$365,('3b Activity Plan'!$C$173:$C$365=$BA$130)*1)</f>
        <v>0</v>
      </c>
      <c r="BD159" s="1558">
        <f ca="1">SUMPRODUCT('3b Activity Plan'!$AN$173:$AN$365,OFFSET('3b Activity Plan'!$DJ$173:$DJ$365,0,$CU159-1),'3b Activity Plan'!AR$173:AR$365,'3b Activity Plan'!$AH$173:$AH$365,'3b Activity Plan'!$CY$173:$CY$365,('3b Activity Plan'!$C$173:$C$365=$BA$130)*1)</f>
        <v>0</v>
      </c>
      <c r="BE159" s="1558">
        <f ca="1">SUMPRODUCT('3b Activity Plan'!$AN$173:$AN$365,OFFSET('3b Activity Plan'!$DJ$173:$DJ$365,0,$CU159-1),'3b Activity Plan'!AS$173:AS$365,'3b Activity Plan'!$AH$173:$AH$365,'3b Activity Plan'!$CY$173:$CY$365,('3b Activity Plan'!$C$173:$C$365=$BA$130)*1)</f>
        <v>0</v>
      </c>
      <c r="BF159" s="1558">
        <f ca="1">SUMPRODUCT('3b Activity Plan'!$AN$173:$AN$365,OFFSET('3b Activity Plan'!$DJ$173:$DJ$365,0,$CU159-1),'3b Activity Plan'!AT$173:AT$365,'3b Activity Plan'!$AH$173:$AH$365,'3b Activity Plan'!$CY$173:$CY$365,('3b Activity Plan'!$C$173:$C$365=$BA$130)*1)</f>
        <v>0</v>
      </c>
      <c r="BG159" s="1558">
        <f ca="1">SUMPRODUCT('3b Activity Plan'!$AN$173:$AN$365,OFFSET('3b Activity Plan'!$DJ$173:$DJ$365,0,$CU159-1),'3b Activity Plan'!AU$173:AU$365,'3b Activity Plan'!$AH$173:$AH$365,'3b Activity Plan'!$CY$173:$CY$365,('3b Activity Plan'!$C$173:$C$365=$BA$130)*1)</f>
        <v>0</v>
      </c>
      <c r="BH159" s="1558">
        <f ca="1">SUMPRODUCT('3b Activity Plan'!$AN$173:$AN$365,OFFSET('3b Activity Plan'!$DJ$173:$DJ$365,0,$CU159-1),'3b Activity Plan'!AV$173:AV$365,'3b Activity Plan'!$AH$173:$AH$365,'3b Activity Plan'!$CY$173:$CY$365,('3b Activity Plan'!$C$173:$C$365=$BA$130)*1)</f>
        <v>0</v>
      </c>
      <c r="BI159" s="1558">
        <f ca="1">SUMPRODUCT('3b Activity Plan'!$AN$173:$AN$365,OFFSET('3b Activity Plan'!$DJ$173:$DJ$365,0,$CU159-1),'3b Activity Plan'!AW$173:AW$365,'3b Activity Plan'!$AH$173:$AH$365,'3b Activity Plan'!$CY$173:$CY$365,('3b Activity Plan'!$C$173:$C$365=$BA$130)*1)</f>
        <v>0</v>
      </c>
      <c r="BJ159" s="1558">
        <f ca="1">SUMPRODUCT('3b Activity Plan'!$AN$173:$AN$365,OFFSET('3b Activity Plan'!$DJ$173:$DJ$365,0,$CU159-1),'3b Activity Plan'!AX$173:AX$365,'3b Activity Plan'!$AH$173:$AH$365,'3b Activity Plan'!$CY$173:$CY$365,('3b Activity Plan'!$C$173:$C$365=$BA$130)*1)</f>
        <v>0</v>
      </c>
      <c r="BK159" s="1602">
        <f ca="1">SUMPRODUCT('3b Activity Plan'!$AN$173:$AN$365,OFFSET('3b Activity Plan'!$DJ$173:$DJ$365,0,$CU159-1),'3b Activity Plan'!AO$173:AO$365,'3b Activity Plan'!$AH$173:$AH$365,'3b Activity Plan'!$CY$173:$CY$365,('3b Activity Plan'!$C$173:$C$365=$BK$130)*1)</f>
        <v>0</v>
      </c>
      <c r="BL159" s="1558">
        <f ca="1">SUMPRODUCT('3b Activity Plan'!$AN$173:$AN$365,OFFSET('3b Activity Plan'!$DJ$173:$DJ$365,0,$CU159-1),'3b Activity Plan'!AP$173:AP$365,'3b Activity Plan'!$AH$173:$AH$365,'3b Activity Plan'!$CY$173:$CY$365,('3b Activity Plan'!$C$173:$C$365=$BK$130)*1)</f>
        <v>0</v>
      </c>
      <c r="BM159" s="1558">
        <f ca="1">SUMPRODUCT('3b Activity Plan'!$AN$173:$AN$365,OFFSET('3b Activity Plan'!$DJ$173:$DJ$365,0,$CU159-1),'3b Activity Plan'!AQ$173:AQ$365,'3b Activity Plan'!$AH$173:$AH$365,'3b Activity Plan'!$CY$173:$CY$365,('3b Activity Plan'!$C$173:$C$365=$BK$130)*1)</f>
        <v>0</v>
      </c>
      <c r="BN159" s="1558">
        <f ca="1">SUMPRODUCT('3b Activity Plan'!$AN$173:$AN$365,OFFSET('3b Activity Plan'!$DJ$173:$DJ$365,0,$CU159-1),'3b Activity Plan'!AR$173:AR$365,'3b Activity Plan'!$AH$173:$AH$365,'3b Activity Plan'!$CY$173:$CY$365,('3b Activity Plan'!$C$173:$C$365=$BK$130)*1)</f>
        <v>0</v>
      </c>
      <c r="BO159" s="1558">
        <f ca="1">SUMPRODUCT('3b Activity Plan'!$AN$173:$AN$365,OFFSET('3b Activity Plan'!$DJ$173:$DJ$365,0,$CU159-1),'3b Activity Plan'!AS$173:AS$365,'3b Activity Plan'!$AH$173:$AH$365,'3b Activity Plan'!$CY$173:$CY$365,('3b Activity Plan'!$C$173:$C$365=$BK$130)*1)</f>
        <v>0</v>
      </c>
      <c r="BP159" s="1558">
        <f ca="1">SUMPRODUCT('3b Activity Plan'!$AN$173:$AN$365,OFFSET('3b Activity Plan'!$DJ$173:$DJ$365,0,$CU159-1),'3b Activity Plan'!AT$173:AT$365,'3b Activity Plan'!$AH$173:$AH$365,'3b Activity Plan'!$CY$173:$CY$365,('3b Activity Plan'!$C$173:$C$365=$BK$130)*1)</f>
        <v>0</v>
      </c>
      <c r="BQ159" s="1558">
        <f ca="1">SUMPRODUCT('3b Activity Plan'!$AN$173:$AN$365,OFFSET('3b Activity Plan'!$DJ$173:$DJ$365,0,$CU159-1),'3b Activity Plan'!AU$173:AU$365,'3b Activity Plan'!$AH$173:$AH$365,'3b Activity Plan'!$CY$173:$CY$365,('3b Activity Plan'!$C$173:$C$365=$BK$130)*1)</f>
        <v>0</v>
      </c>
      <c r="BR159" s="1558">
        <f ca="1">SUMPRODUCT('3b Activity Plan'!$AN$173:$AN$365,OFFSET('3b Activity Plan'!$DJ$173:$DJ$365,0,$CU159-1),'3b Activity Plan'!AV$173:AV$365,'3b Activity Plan'!$AH$173:$AH$365,'3b Activity Plan'!$CY$173:$CY$365,('3b Activity Plan'!$C$173:$C$365=$BK$130)*1)</f>
        <v>0</v>
      </c>
      <c r="BS159" s="1558">
        <f ca="1">SUMPRODUCT('3b Activity Plan'!$AN$173:$AN$365,OFFSET('3b Activity Plan'!$DJ$173:$DJ$365,0,$CU159-1),'3b Activity Plan'!AW$173:AW$365,'3b Activity Plan'!$AH$173:$AH$365,'3b Activity Plan'!$CY$173:$CY$365,('3b Activity Plan'!$C$173:$C$365=$BK$130)*1)</f>
        <v>0</v>
      </c>
      <c r="BT159" s="1558">
        <f ca="1">SUMPRODUCT('3b Activity Plan'!$AN$173:$AN$365,OFFSET('3b Activity Plan'!$DJ$173:$DJ$365,0,$CU159-1),'3b Activity Plan'!AX$173:AX$365,'3b Activity Plan'!$AH$173:$AH$365,'3b Activity Plan'!$CY$173:$CY$365,('3b Activity Plan'!$C$173:$C$365=$BK$130)*1)</f>
        <v>0</v>
      </c>
      <c r="BU159" s="1587"/>
      <c r="BV159" s="1587"/>
      <c r="BW159" s="1587"/>
      <c r="BX159" s="1556"/>
      <c r="BY159" s="1556"/>
      <c r="BZ159" s="1556"/>
      <c r="CA159" s="1024">
        <f ca="1">SUMIFS('3a Staff Plan'!$T$129:$T$305,'3a Staff Plan'!$DY$129:$DY$305,CZ159,'3a Staff Plan'!$DF$129:$DF$305,1)</f>
        <v>0</v>
      </c>
      <c r="CB159" s="1025">
        <f ca="1">SUMIFS('3a Staff Plan'!$T$129:$T$305,'3a Staff Plan'!$DY$129:$DY$305,$CZ159,'3a Staff Plan'!$DF$129:$DF$305,1,'3a Staff Plan'!$C$129:$C$305,DC$18)</f>
        <v>0</v>
      </c>
      <c r="CC159" s="1026">
        <f ca="1">SUMIFS('3a Staff Plan'!$T$129:$T$305,'3a Staff Plan'!$DY$129:$DY$305,$CZ159,'3a Staff Plan'!$DF$129:$DF$305,1,'3a Staff Plan'!$C$129:$C$305,DD$18)</f>
        <v>0</v>
      </c>
      <c r="CD159" s="1026">
        <f ca="1">SUMIFS('3a Staff Plan'!$T$129:$T$305,'3a Staff Plan'!$DY$129:$DY$305,$CZ159,'3a Staff Plan'!$DF$129:$DF$305,1,'3a Staff Plan'!$C$129:$C$305,DE$18)</f>
        <v>0</v>
      </c>
      <c r="CE159" s="1026">
        <f ca="1">SUMIFS('3a Staff Plan'!$T$129:$T$305,'3a Staff Plan'!$DY$129:$DY$305,$CZ159,'3a Staff Plan'!$DF$129:$DF$305,1,'3a Staff Plan'!$C$129:$C$305,DF$18)</f>
        <v>0</v>
      </c>
      <c r="CF159" s="1026">
        <f ca="1">SUMIFS('3a Staff Plan'!$T$129:$T$305,'3a Staff Plan'!$DY$129:$DY$305,$CZ159,'3a Staff Plan'!$DF$129:$DF$305,1,'3a Staff Plan'!$C$129:$C$305,DG$18)</f>
        <v>0</v>
      </c>
      <c r="CG159" s="1026">
        <f ca="1">SUMIFS('3a Staff Plan'!$T$129:$T$305,'3a Staff Plan'!$DY$129:$DY$305,$CZ159,'3a Staff Plan'!$DF$129:$DF$305,1,'3a Staff Plan'!$C$129:$C$305,DH$18)</f>
        <v>0</v>
      </c>
      <c r="CH159" s="1026">
        <f ca="1">SUMIFS('3a Staff Plan'!$T$129:$T$305,'3a Staff Plan'!$DY$129:$DY$305,$CZ159,'3a Staff Plan'!$DF$129:$DF$305,1,'3a Staff Plan'!$C$129:$C$305,DI$18)</f>
        <v>0</v>
      </c>
      <c r="CI159" s="755"/>
      <c r="CJ159" s="1024">
        <f ca="1">SUMPRODUCT('3b Activity Plan'!$AN$173:$AN$365,'3b Activity Plan'!$CY$173:$CY$365,'3b Activity Plan'!$AH$173:$AH$365,OFFSET('3b Activity Plan'!$DJ$173:$DJ$365,0,$CU159-1))</f>
        <v>0</v>
      </c>
      <c r="CK159" s="1025">
        <f t="shared" ca="1" si="93"/>
        <v>0</v>
      </c>
      <c r="CL159" s="1026">
        <f t="shared" ca="1" si="94"/>
        <v>0</v>
      </c>
      <c r="CM159" s="1026">
        <f t="shared" ca="1" si="95"/>
        <v>0</v>
      </c>
      <c r="CN159" s="1026">
        <f t="shared" ca="1" si="96"/>
        <v>0</v>
      </c>
      <c r="CO159" s="1026">
        <f t="shared" ca="1" si="97"/>
        <v>0</v>
      </c>
      <c r="CP159" s="1026">
        <f t="shared" ca="1" si="98"/>
        <v>0</v>
      </c>
      <c r="CQ159" s="1026">
        <f t="shared" ca="1" si="99"/>
        <v>0</v>
      </c>
      <c r="CR159" s="417"/>
      <c r="CS159" s="417">
        <f t="shared" si="100"/>
        <v>27</v>
      </c>
      <c r="CT159" s="417">
        <f ca="1">OFFSET('2 Staff List'!$GU$64,CS159-1,0)</f>
        <v>27</v>
      </c>
      <c r="CU159" s="417">
        <f ca="1">IF(CZ159=0,0,IFERROR(INDEX('3b Activity Plan'!$DJ$20:$FH$20,MATCH(CT159,'3b Activity Plan'!$DJ$171:$FH$171,0)),0))</f>
        <v>0</v>
      </c>
      <c r="CV159" s="417">
        <f ca="1">INDEX('2 Staff List'!$HW$64:$HW$114,CT159)</f>
        <v>0</v>
      </c>
      <c r="CW159" s="417"/>
      <c r="CY159" s="927">
        <f ca="1">OFFSET('2 Staff List'!$HZ$64,CS159-1,0)</f>
        <v>0</v>
      </c>
      <c r="CZ159" s="975">
        <f ca="1">OFFSET('2 Staff List'!$IA$64,CT159-1,0)</f>
        <v>0</v>
      </c>
      <c r="DA159" s="3840">
        <f t="shared" ca="1" si="92"/>
        <v>0</v>
      </c>
      <c r="DB159" s="3841"/>
      <c r="DC159" s="2408">
        <f t="shared" ca="1" si="85"/>
        <v>0</v>
      </c>
      <c r="DD159" s="2405">
        <f t="shared" ca="1" si="86"/>
        <v>0</v>
      </c>
      <c r="DE159" s="2405">
        <f t="shared" ca="1" si="87"/>
        <v>0</v>
      </c>
      <c r="DF159" s="2405">
        <f t="shared" ca="1" si="88"/>
        <v>0</v>
      </c>
      <c r="DG159" s="2405">
        <f t="shared" ca="1" si="89"/>
        <v>0</v>
      </c>
      <c r="DH159" s="2406">
        <f t="shared" ca="1" si="90"/>
        <v>0</v>
      </c>
      <c r="DI159" s="2407">
        <f t="shared" ca="1" si="91"/>
        <v>0</v>
      </c>
    </row>
    <row r="160" spans="1:113" ht="15.9" customHeight="1" x14ac:dyDescent="0.25">
      <c r="A160" s="1051"/>
      <c r="B160" s="1556"/>
      <c r="C160" s="1558">
        <f ca="1">SUMPRODUCT('3b Activity Plan'!$AN$173:$AN$365,OFFSET('3b Activity Plan'!$DJ$173:$DJ$365,0,$CU160-1),'3b Activity Plan'!AO$173:AO$365,'3b Activity Plan'!$AH$173:$AH$365,'3b Activity Plan'!$CY$173:$CY$365,('3b Activity Plan'!$C$173:$C$365=$C$130)*1)</f>
        <v>0</v>
      </c>
      <c r="D160" s="1558">
        <f ca="1">SUMPRODUCT('3b Activity Plan'!$AN$173:$AN$365,OFFSET('3b Activity Plan'!$DJ$173:$DJ$365,0,$CU160-1),'3b Activity Plan'!AP$173:AP$365,'3b Activity Plan'!$AH$173:$AH$365,'3b Activity Plan'!$CY$173:$CY$365,('3b Activity Plan'!$C$173:$C$365=$C$130)*1)</f>
        <v>0</v>
      </c>
      <c r="E160" s="1558">
        <f ca="1">SUMPRODUCT('3b Activity Plan'!$AN$173:$AN$365,OFFSET('3b Activity Plan'!$DJ$173:$DJ$365,0,$CU160-1),'3b Activity Plan'!AQ$173:AQ$365,'3b Activity Plan'!$AH$173:$AH$365,'3b Activity Plan'!$CY$173:$CY$365,('3b Activity Plan'!$C$173:$C$365=$C$130)*1)</f>
        <v>0</v>
      </c>
      <c r="F160" s="1558">
        <f ca="1">SUMPRODUCT('3b Activity Plan'!$AN$173:$AN$365,OFFSET('3b Activity Plan'!$DJ$173:$DJ$365,0,$CU160-1),'3b Activity Plan'!AR$173:AR$365,'3b Activity Plan'!$AH$173:$AH$365,'3b Activity Plan'!$CY$173:$CY$365,('3b Activity Plan'!$C$173:$C$365=$C$130)*1)</f>
        <v>0</v>
      </c>
      <c r="G160" s="1558">
        <f ca="1">SUMPRODUCT('3b Activity Plan'!$AN$173:$AN$365,OFFSET('3b Activity Plan'!$DJ$173:$DJ$365,0,$CU160-1),'3b Activity Plan'!AS$173:AS$365,'3b Activity Plan'!$AH$173:$AH$365,'3b Activity Plan'!$CY$173:$CY$365,('3b Activity Plan'!$C$173:$C$365=$C$130)*1)</f>
        <v>0</v>
      </c>
      <c r="H160" s="1558">
        <f ca="1">SUMPRODUCT('3b Activity Plan'!$AN$173:$AN$365,OFFSET('3b Activity Plan'!$DJ$173:$DJ$365,0,$CU160-1),'3b Activity Plan'!AT$173:AT$365,'3b Activity Plan'!$AH$173:$AH$365,'3b Activity Plan'!$CY$173:$CY$365,('3b Activity Plan'!$C$173:$C$365=$C$130)*1)</f>
        <v>0</v>
      </c>
      <c r="I160" s="1558">
        <f ca="1">SUMPRODUCT('3b Activity Plan'!$AN$173:$AN$365,OFFSET('3b Activity Plan'!$DJ$173:$DJ$365,0,$CU160-1),'3b Activity Plan'!AU$173:AU$365,'3b Activity Plan'!$AH$173:$AH$365,'3b Activity Plan'!$CY$173:$CY$365,('3b Activity Plan'!$C$173:$C$365=$C$130)*1)</f>
        <v>0</v>
      </c>
      <c r="J160" s="1558">
        <f ca="1">SUMPRODUCT('3b Activity Plan'!$AN$173:$AN$365,OFFSET('3b Activity Plan'!$DJ$173:$DJ$365,0,$CU160-1),'3b Activity Plan'!AV$173:AV$365,'3b Activity Plan'!$AH$173:$AH$365,'3b Activity Plan'!$CY$173:$CY$365,('3b Activity Plan'!$C$173:$C$365=$C$130)*1)</f>
        <v>0</v>
      </c>
      <c r="K160" s="1558">
        <f ca="1">SUMPRODUCT('3b Activity Plan'!$AN$173:$AN$365,OFFSET('3b Activity Plan'!$DJ$173:$DJ$365,0,$CU160-1),'3b Activity Plan'!AW$173:AW$365,'3b Activity Plan'!$AH$173:$AH$365,'3b Activity Plan'!$CY$173:$CY$365,('3b Activity Plan'!$C$173:$C$365=$C$130)*1)</f>
        <v>0</v>
      </c>
      <c r="L160" s="1601">
        <f ca="1">SUMPRODUCT('3b Activity Plan'!$AN$173:$AN$365,OFFSET('3b Activity Plan'!$DJ$173:$DJ$365,0,$CU160-1),'3b Activity Plan'!AX$173:AX$365,'3b Activity Plan'!$AH$173:$AH$365,'3b Activity Plan'!$CY$173:$CY$365,('3b Activity Plan'!$C$173:$C$365=$C$130)*1)</f>
        <v>0</v>
      </c>
      <c r="M160" s="1602">
        <f ca="1">SUMPRODUCT('3b Activity Plan'!$AN$173:$AN$365,OFFSET('3b Activity Plan'!$DJ$173:$DJ$365,0,$CU160-1),'3b Activity Plan'!AO$173:AO$365,'3b Activity Plan'!$AH$173:$AH$365,'3b Activity Plan'!$CY$173:$CY$365,('3b Activity Plan'!$C$173:$C$365=$M$130)*1)</f>
        <v>0</v>
      </c>
      <c r="N160" s="1558">
        <f ca="1">SUMPRODUCT('3b Activity Plan'!$AN$173:$AN$365,OFFSET('3b Activity Plan'!$DJ$173:$DJ$365,0,$CU160-1),'3b Activity Plan'!AP$173:AP$365,'3b Activity Plan'!$AH$173:$AH$365,'3b Activity Plan'!$CY$173:$CY$365,('3b Activity Plan'!$C$173:$C$365=$M$130)*1)</f>
        <v>0</v>
      </c>
      <c r="O160" s="1558">
        <f ca="1">SUMPRODUCT('3b Activity Plan'!$AN$173:$AN$365,OFFSET('3b Activity Plan'!$DJ$173:$DJ$365,0,$CU160-1),'3b Activity Plan'!AQ$173:AQ$365,'3b Activity Plan'!$AH$173:$AH$365,'3b Activity Plan'!$CY$173:$CY$365,('3b Activity Plan'!$C$173:$C$365=$M$130)*1)</f>
        <v>0</v>
      </c>
      <c r="P160" s="1558">
        <f ca="1">SUMPRODUCT('3b Activity Plan'!$AN$173:$AN$365,OFFSET('3b Activity Plan'!$DJ$173:$DJ$365,0,$CU160-1),'3b Activity Plan'!AR$173:AR$365,'3b Activity Plan'!$AH$173:$AH$365,'3b Activity Plan'!$CY$173:$CY$365,('3b Activity Plan'!$C$173:$C$365=$M$130)*1)</f>
        <v>0</v>
      </c>
      <c r="Q160" s="1558">
        <f ca="1">SUMPRODUCT('3b Activity Plan'!$AN$173:$AN$365,OFFSET('3b Activity Plan'!$DJ$173:$DJ$365,0,$CU160-1),'3b Activity Plan'!AS$173:AS$365,'3b Activity Plan'!$AH$173:$AH$365,'3b Activity Plan'!$CY$173:$CY$365,('3b Activity Plan'!$C$173:$C$365=$M$130)*1)</f>
        <v>0</v>
      </c>
      <c r="R160" s="1558">
        <f ca="1">SUMPRODUCT('3b Activity Plan'!$AN$173:$AN$365,OFFSET('3b Activity Plan'!$DJ$173:$DJ$365,0,$CU160-1),'3b Activity Plan'!AT$173:AT$365,'3b Activity Plan'!$AH$173:$AH$365,'3b Activity Plan'!$CY$173:$CY$365,('3b Activity Plan'!$C$173:$C$365=$M$130)*1)</f>
        <v>0</v>
      </c>
      <c r="S160" s="1558">
        <f ca="1">SUMPRODUCT('3b Activity Plan'!$AN$173:$AN$365,OFFSET('3b Activity Plan'!$DJ$173:$DJ$365,0,$CU160-1),'3b Activity Plan'!AU$173:AU$365,'3b Activity Plan'!$AH$173:$AH$365,'3b Activity Plan'!$CY$173:$CY$365,('3b Activity Plan'!$C$173:$C$365=$M$130)*1)</f>
        <v>0</v>
      </c>
      <c r="T160" s="1558">
        <f ca="1">SUMPRODUCT('3b Activity Plan'!$AN$173:$AN$365,OFFSET('3b Activity Plan'!$DJ$173:$DJ$365,0,$CU160-1),'3b Activity Plan'!AV$173:AV$365,'3b Activity Plan'!$AH$173:$AH$365,'3b Activity Plan'!$CY$173:$CY$365,('3b Activity Plan'!$C$173:$C$365=$M$130)*1)</f>
        <v>0</v>
      </c>
      <c r="U160" s="1558">
        <f ca="1">SUMPRODUCT('3b Activity Plan'!$AN$173:$AN$365,OFFSET('3b Activity Plan'!$DJ$173:$DJ$365,0,$CU160-1),'3b Activity Plan'!AW$173:AW$365,'3b Activity Plan'!$AH$173:$AH$365,'3b Activity Plan'!$CY$173:$CY$365,('3b Activity Plan'!$C$173:$C$365=$M$130)*1)</f>
        <v>0</v>
      </c>
      <c r="V160" s="1601">
        <f ca="1">SUMPRODUCT('3b Activity Plan'!$AN$173:$AN$365,OFFSET('3b Activity Plan'!$DJ$173:$DJ$365,0,$CU160-1),'3b Activity Plan'!AX$173:AX$365,'3b Activity Plan'!$AH$173:$AH$365,'3b Activity Plan'!$CY$173:$CY$365,('3b Activity Plan'!$C$173:$C$365=$M$130)*1)</f>
        <v>0</v>
      </c>
      <c r="W160" s="1602">
        <f ca="1">SUMPRODUCT('3b Activity Plan'!$AN$173:$AN$365,OFFSET('3b Activity Plan'!$DJ$173:$DJ$365,0,$CU160-1),'3b Activity Plan'!AO$173:AO$365,'3b Activity Plan'!$AH$173:$AH$365,'3b Activity Plan'!$CY$173:$CY$365,('3b Activity Plan'!$C$173:$C$365=$W$130)*1)</f>
        <v>0</v>
      </c>
      <c r="X160" s="1558">
        <f ca="1">SUMPRODUCT('3b Activity Plan'!$AN$173:$AN$365,OFFSET('3b Activity Plan'!$DJ$173:$DJ$365,0,$CU160-1),'3b Activity Plan'!AP$173:AP$365,'3b Activity Plan'!$AH$173:$AH$365,'3b Activity Plan'!$CY$173:$CY$365,('3b Activity Plan'!$C$173:$C$365=$W$130)*1)</f>
        <v>0</v>
      </c>
      <c r="Y160" s="1558">
        <f ca="1">SUMPRODUCT('3b Activity Plan'!$AN$173:$AN$365,OFFSET('3b Activity Plan'!$DJ$173:$DJ$365,0,$CU160-1),'3b Activity Plan'!AQ$173:AQ$365,'3b Activity Plan'!$AH$173:$AH$365,'3b Activity Plan'!$CY$173:$CY$365,('3b Activity Plan'!$C$173:$C$365=$W$130)*1)</f>
        <v>0</v>
      </c>
      <c r="Z160" s="1558">
        <f ca="1">SUMPRODUCT('3b Activity Plan'!$AN$173:$AN$365,OFFSET('3b Activity Plan'!$DJ$173:$DJ$365,0,$CU160-1),'3b Activity Plan'!AR$173:AR$365,'3b Activity Plan'!$AH$173:$AH$365,'3b Activity Plan'!$CY$173:$CY$365,('3b Activity Plan'!$C$173:$C$365=$W$130)*1)</f>
        <v>0</v>
      </c>
      <c r="AA160" s="1558">
        <f ca="1">SUMPRODUCT('3b Activity Plan'!$AN$173:$AN$365,OFFSET('3b Activity Plan'!$DJ$173:$DJ$365,0,$CU160-1),'3b Activity Plan'!AS$173:AS$365,'3b Activity Plan'!$AH$173:$AH$365,'3b Activity Plan'!$CY$173:$CY$365,('3b Activity Plan'!$C$173:$C$365=$W$130)*1)</f>
        <v>0</v>
      </c>
      <c r="AB160" s="1558">
        <f ca="1">SUMPRODUCT('3b Activity Plan'!$AN$173:$AN$365,OFFSET('3b Activity Plan'!$DJ$173:$DJ$365,0,$CU160-1),'3b Activity Plan'!AT$173:AT$365,'3b Activity Plan'!$AH$173:$AH$365,'3b Activity Plan'!$CY$173:$CY$365,('3b Activity Plan'!$C$173:$C$365=$W$130)*1)</f>
        <v>0</v>
      </c>
      <c r="AC160" s="1558">
        <f ca="1">SUMPRODUCT('3b Activity Plan'!$AN$173:$AN$365,OFFSET('3b Activity Plan'!$DJ$173:$DJ$365,0,$CU160-1),'3b Activity Plan'!AU$173:AU$365,'3b Activity Plan'!$AH$173:$AH$365,'3b Activity Plan'!$CY$173:$CY$365,('3b Activity Plan'!$C$173:$C$365=$W$130)*1)</f>
        <v>0</v>
      </c>
      <c r="AD160" s="1558">
        <f ca="1">SUMPRODUCT('3b Activity Plan'!$AN$173:$AN$365,OFFSET('3b Activity Plan'!$DJ$173:$DJ$365,0,$CU160-1),'3b Activity Plan'!AV$173:AV$365,'3b Activity Plan'!$AH$173:$AH$365,'3b Activity Plan'!$CY$173:$CY$365,('3b Activity Plan'!$C$173:$C$365=$W$130)*1)</f>
        <v>0</v>
      </c>
      <c r="AE160" s="1558">
        <f ca="1">SUMPRODUCT('3b Activity Plan'!$AN$173:$AN$365,OFFSET('3b Activity Plan'!$DJ$173:$DJ$365,0,$CU160-1),'3b Activity Plan'!AW$173:AW$365,'3b Activity Plan'!$AH$173:$AH$365,'3b Activity Plan'!$CY$173:$CY$365,('3b Activity Plan'!$C$173:$C$365=$W$130)*1)</f>
        <v>0</v>
      </c>
      <c r="AF160" s="1558">
        <f ca="1">SUMPRODUCT('3b Activity Plan'!$AN$173:$AN$365,OFFSET('3b Activity Plan'!$DJ$173:$DJ$365,0,$CU160-1),'3b Activity Plan'!AX$173:AX$365,'3b Activity Plan'!$AH$173:$AH$365,'3b Activity Plan'!$CY$173:$CY$365,('3b Activity Plan'!$C$173:$C$365=$W$130)*1)</f>
        <v>0</v>
      </c>
      <c r="AG160" s="1602">
        <f ca="1">SUMPRODUCT('3b Activity Plan'!$AN$173:$AN$365,OFFSET('3b Activity Plan'!$DJ$173:$DJ$365,0,$CU160-1),'3b Activity Plan'!AO$173:AO$365,'3b Activity Plan'!$AH$173:$AH$365,'3b Activity Plan'!$CY$173:$CY$365,('3b Activity Plan'!$C$173:$C$365=$AG$130)*1)</f>
        <v>0</v>
      </c>
      <c r="AH160" s="1558">
        <f ca="1">SUMPRODUCT('3b Activity Plan'!$AN$173:$AN$365,OFFSET('3b Activity Plan'!$DJ$173:$DJ$365,0,$CU160-1),'3b Activity Plan'!AP$173:AP$365,'3b Activity Plan'!$AH$173:$AH$365,'3b Activity Plan'!$CY$173:$CY$365,('3b Activity Plan'!$C$173:$C$365=$AG$130)*1)</f>
        <v>0</v>
      </c>
      <c r="AI160" s="1558">
        <f ca="1">SUMPRODUCT('3b Activity Plan'!$AN$173:$AN$365,OFFSET('3b Activity Plan'!$DJ$173:$DJ$365,0,$CU160-1),'3b Activity Plan'!AQ$173:AQ$365,'3b Activity Plan'!$AH$173:$AH$365,'3b Activity Plan'!$CY$173:$CY$365,('3b Activity Plan'!$C$173:$C$365=$AG$130)*1)</f>
        <v>0</v>
      </c>
      <c r="AJ160" s="1558">
        <f ca="1">SUMPRODUCT('3b Activity Plan'!$AN$173:$AN$365,OFFSET('3b Activity Plan'!$DJ$173:$DJ$365,0,$CU160-1),'3b Activity Plan'!AR$173:AR$365,'3b Activity Plan'!$AH$173:$AH$365,'3b Activity Plan'!$CY$173:$CY$365,('3b Activity Plan'!$C$173:$C$365=$AG$130)*1)</f>
        <v>0</v>
      </c>
      <c r="AK160" s="1558">
        <f ca="1">SUMPRODUCT('3b Activity Plan'!$AN$173:$AN$365,OFFSET('3b Activity Plan'!$DJ$173:$DJ$365,0,$CU160-1),'3b Activity Plan'!AS$173:AS$365,'3b Activity Plan'!$AH$173:$AH$365,'3b Activity Plan'!$CY$173:$CY$365,('3b Activity Plan'!$C$173:$C$365=$AG$130)*1)</f>
        <v>0</v>
      </c>
      <c r="AL160" s="1558">
        <f ca="1">SUMPRODUCT('3b Activity Plan'!$AN$173:$AN$365,OFFSET('3b Activity Plan'!$DJ$173:$DJ$365,0,$CU160-1),'3b Activity Plan'!AT$173:AT$365,'3b Activity Plan'!$AH$173:$AH$365,'3b Activity Plan'!$CY$173:$CY$365,('3b Activity Plan'!$C$173:$C$365=$AG$130)*1)</f>
        <v>0</v>
      </c>
      <c r="AM160" s="1558">
        <f ca="1">SUMPRODUCT('3b Activity Plan'!$AN$173:$AN$365,OFFSET('3b Activity Plan'!$DJ$173:$DJ$365,0,$CU160-1),'3b Activity Plan'!AU$173:AU$365,'3b Activity Plan'!$AH$173:$AH$365,'3b Activity Plan'!$CY$173:$CY$365,('3b Activity Plan'!$C$173:$C$365=$AG$130)*1)</f>
        <v>0</v>
      </c>
      <c r="AN160" s="1558">
        <f ca="1">SUMPRODUCT('3b Activity Plan'!$AN$173:$AN$365,OFFSET('3b Activity Plan'!$DJ$173:$DJ$365,0,$CU160-1),'3b Activity Plan'!AV$173:AV$365,'3b Activity Plan'!$AH$173:$AH$365,'3b Activity Plan'!$CY$173:$CY$365,('3b Activity Plan'!$C$173:$C$365=$AG$130)*1)</f>
        <v>0</v>
      </c>
      <c r="AO160" s="1558">
        <f ca="1">SUMPRODUCT('3b Activity Plan'!$AN$173:$AN$365,OFFSET('3b Activity Plan'!$DJ$173:$DJ$365,0,$CU160-1),'3b Activity Plan'!AW$173:AW$365,'3b Activity Plan'!$AH$173:$AH$365,'3b Activity Plan'!$CY$173:$CY$365,('3b Activity Plan'!$C$173:$C$365=$AG$130)*1)</f>
        <v>0</v>
      </c>
      <c r="AP160" s="1558">
        <f ca="1">SUMPRODUCT('3b Activity Plan'!$AN$173:$AN$365,OFFSET('3b Activity Plan'!$DJ$173:$DJ$365,0,$CU160-1),'3b Activity Plan'!AX$173:AX$365,'3b Activity Plan'!$AH$173:$AH$365,'3b Activity Plan'!$CY$173:$CY$365,('3b Activity Plan'!$C$173:$C$365=$AG$130)*1)</f>
        <v>0</v>
      </c>
      <c r="AQ160" s="1602">
        <f ca="1">SUMPRODUCT('3b Activity Plan'!$AN$173:$AN$365,OFFSET('3b Activity Plan'!$DJ$173:$DJ$365,0,$CU160-1),'3b Activity Plan'!AO$173:AO$365,'3b Activity Plan'!$AH$173:$AH$365,'3b Activity Plan'!$CY$173:$CY$365,('3b Activity Plan'!$C$173:$C$365=$AQ$130)*1)</f>
        <v>0</v>
      </c>
      <c r="AR160" s="1558">
        <f ca="1">SUMPRODUCT('3b Activity Plan'!$AN$173:$AN$365,OFFSET('3b Activity Plan'!$DJ$173:$DJ$365,0,$CU160-1),'3b Activity Plan'!AP$173:AP$365,'3b Activity Plan'!$AH$173:$AH$365,'3b Activity Plan'!$CY$173:$CY$365,('3b Activity Plan'!$C$173:$C$365=$AQ$130)*1)</f>
        <v>0</v>
      </c>
      <c r="AS160" s="1558">
        <f ca="1">SUMPRODUCT('3b Activity Plan'!$AN$173:$AN$365,OFFSET('3b Activity Plan'!$DJ$173:$DJ$365,0,$CU160-1),'3b Activity Plan'!AQ$173:AQ$365,'3b Activity Plan'!$AH$173:$AH$365,'3b Activity Plan'!$CY$173:$CY$365,('3b Activity Plan'!$C$173:$C$365=$AQ$130)*1)</f>
        <v>0</v>
      </c>
      <c r="AT160" s="1558">
        <f ca="1">SUMPRODUCT('3b Activity Plan'!$AN$173:$AN$365,OFFSET('3b Activity Plan'!$DJ$173:$DJ$365,0,$CU160-1),'3b Activity Plan'!AR$173:AR$365,'3b Activity Plan'!$AH$173:$AH$365,'3b Activity Plan'!$CY$173:$CY$365,('3b Activity Plan'!$C$173:$C$365=$AQ$130)*1)</f>
        <v>0</v>
      </c>
      <c r="AU160" s="1558">
        <f ca="1">SUMPRODUCT('3b Activity Plan'!$AN$173:$AN$365,OFFSET('3b Activity Plan'!$DJ$173:$DJ$365,0,$CU160-1),'3b Activity Plan'!AS$173:AS$365,'3b Activity Plan'!$AH$173:$AH$365,'3b Activity Plan'!$CY$173:$CY$365,('3b Activity Plan'!$C$173:$C$365=$AQ$130)*1)</f>
        <v>0</v>
      </c>
      <c r="AV160" s="1558">
        <f ca="1">SUMPRODUCT('3b Activity Plan'!$AN$173:$AN$365,OFFSET('3b Activity Plan'!$DJ$173:$DJ$365,0,$CU160-1),'3b Activity Plan'!AT$173:AT$365,'3b Activity Plan'!$AH$173:$AH$365,'3b Activity Plan'!$CY$173:$CY$365,('3b Activity Plan'!$C$173:$C$365=$AQ$130)*1)</f>
        <v>0</v>
      </c>
      <c r="AW160" s="1558">
        <f ca="1">SUMPRODUCT('3b Activity Plan'!$AN$173:$AN$365,OFFSET('3b Activity Plan'!$DJ$173:$DJ$365,0,$CU160-1),'3b Activity Plan'!AU$173:AU$365,'3b Activity Plan'!$AH$173:$AH$365,'3b Activity Plan'!$CY$173:$CY$365,('3b Activity Plan'!$C$173:$C$365=$AQ$130)*1)</f>
        <v>0</v>
      </c>
      <c r="AX160" s="1558">
        <f ca="1">SUMPRODUCT('3b Activity Plan'!$AN$173:$AN$365,OFFSET('3b Activity Plan'!$DJ$173:$DJ$365,0,$CU160-1),'3b Activity Plan'!AV$173:AV$365,'3b Activity Plan'!$AH$173:$AH$365,'3b Activity Plan'!$CY$173:$CY$365,('3b Activity Plan'!$C$173:$C$365=$AQ$130)*1)</f>
        <v>0</v>
      </c>
      <c r="AY160" s="1558">
        <f ca="1">SUMPRODUCT('3b Activity Plan'!$AN$173:$AN$365,OFFSET('3b Activity Plan'!$DJ$173:$DJ$365,0,$CU160-1),'3b Activity Plan'!AW$173:AW$365,'3b Activity Plan'!$AH$173:$AH$365,'3b Activity Plan'!$CY$173:$CY$365,('3b Activity Plan'!$C$173:$C$365=$AQ$130)*1)</f>
        <v>0</v>
      </c>
      <c r="AZ160" s="1558">
        <f ca="1">SUMPRODUCT('3b Activity Plan'!$AN$173:$AN$365,OFFSET('3b Activity Plan'!$DJ$173:$DJ$365,0,$CU160-1),'3b Activity Plan'!AX$173:AX$365,'3b Activity Plan'!$AH$173:$AH$365,'3b Activity Plan'!$CY$173:$CY$365,('3b Activity Plan'!$C$173:$C$365=$AQ$130)*1)</f>
        <v>0</v>
      </c>
      <c r="BA160" s="1602">
        <f ca="1">SUMPRODUCT('3b Activity Plan'!$AN$173:$AN$365,OFFSET('3b Activity Plan'!$DJ$173:$DJ$365,0,$CU160-1),'3b Activity Plan'!AO$173:AO$365,'3b Activity Plan'!$AH$173:$AH$365,'3b Activity Plan'!$CY$173:$CY$365,('3b Activity Plan'!$C$173:$C$365=$BA$130)*1)</f>
        <v>0</v>
      </c>
      <c r="BB160" s="1558">
        <f ca="1">SUMPRODUCT('3b Activity Plan'!$AN$173:$AN$365,OFFSET('3b Activity Plan'!$DJ$173:$DJ$365,0,$CU160-1),'3b Activity Plan'!AP$173:AP$365,'3b Activity Plan'!$AH$173:$AH$365,'3b Activity Plan'!$CY$173:$CY$365,('3b Activity Plan'!$C$173:$C$365=$BA$130)*1)</f>
        <v>0</v>
      </c>
      <c r="BC160" s="1558">
        <f ca="1">SUMPRODUCT('3b Activity Plan'!$AN$173:$AN$365,OFFSET('3b Activity Plan'!$DJ$173:$DJ$365,0,$CU160-1),'3b Activity Plan'!AQ$173:AQ$365,'3b Activity Plan'!$AH$173:$AH$365,'3b Activity Plan'!$CY$173:$CY$365,('3b Activity Plan'!$C$173:$C$365=$BA$130)*1)</f>
        <v>0</v>
      </c>
      <c r="BD160" s="1558">
        <f ca="1">SUMPRODUCT('3b Activity Plan'!$AN$173:$AN$365,OFFSET('3b Activity Plan'!$DJ$173:$DJ$365,0,$CU160-1),'3b Activity Plan'!AR$173:AR$365,'3b Activity Plan'!$AH$173:$AH$365,'3b Activity Plan'!$CY$173:$CY$365,('3b Activity Plan'!$C$173:$C$365=$BA$130)*1)</f>
        <v>0</v>
      </c>
      <c r="BE160" s="1558">
        <f ca="1">SUMPRODUCT('3b Activity Plan'!$AN$173:$AN$365,OFFSET('3b Activity Plan'!$DJ$173:$DJ$365,0,$CU160-1),'3b Activity Plan'!AS$173:AS$365,'3b Activity Plan'!$AH$173:$AH$365,'3b Activity Plan'!$CY$173:$CY$365,('3b Activity Plan'!$C$173:$C$365=$BA$130)*1)</f>
        <v>0</v>
      </c>
      <c r="BF160" s="1558">
        <f ca="1">SUMPRODUCT('3b Activity Plan'!$AN$173:$AN$365,OFFSET('3b Activity Plan'!$DJ$173:$DJ$365,0,$CU160-1),'3b Activity Plan'!AT$173:AT$365,'3b Activity Plan'!$AH$173:$AH$365,'3b Activity Plan'!$CY$173:$CY$365,('3b Activity Plan'!$C$173:$C$365=$BA$130)*1)</f>
        <v>0</v>
      </c>
      <c r="BG160" s="1558">
        <f ca="1">SUMPRODUCT('3b Activity Plan'!$AN$173:$AN$365,OFFSET('3b Activity Plan'!$DJ$173:$DJ$365,0,$CU160-1),'3b Activity Plan'!AU$173:AU$365,'3b Activity Plan'!$AH$173:$AH$365,'3b Activity Plan'!$CY$173:$CY$365,('3b Activity Plan'!$C$173:$C$365=$BA$130)*1)</f>
        <v>0</v>
      </c>
      <c r="BH160" s="1558">
        <f ca="1">SUMPRODUCT('3b Activity Plan'!$AN$173:$AN$365,OFFSET('3b Activity Plan'!$DJ$173:$DJ$365,0,$CU160-1),'3b Activity Plan'!AV$173:AV$365,'3b Activity Plan'!$AH$173:$AH$365,'3b Activity Plan'!$CY$173:$CY$365,('3b Activity Plan'!$C$173:$C$365=$BA$130)*1)</f>
        <v>0</v>
      </c>
      <c r="BI160" s="1558">
        <f ca="1">SUMPRODUCT('3b Activity Plan'!$AN$173:$AN$365,OFFSET('3b Activity Plan'!$DJ$173:$DJ$365,0,$CU160-1),'3b Activity Plan'!AW$173:AW$365,'3b Activity Plan'!$AH$173:$AH$365,'3b Activity Plan'!$CY$173:$CY$365,('3b Activity Plan'!$C$173:$C$365=$BA$130)*1)</f>
        <v>0</v>
      </c>
      <c r="BJ160" s="1558">
        <f ca="1">SUMPRODUCT('3b Activity Plan'!$AN$173:$AN$365,OFFSET('3b Activity Plan'!$DJ$173:$DJ$365,0,$CU160-1),'3b Activity Plan'!AX$173:AX$365,'3b Activity Plan'!$AH$173:$AH$365,'3b Activity Plan'!$CY$173:$CY$365,('3b Activity Plan'!$C$173:$C$365=$BA$130)*1)</f>
        <v>0</v>
      </c>
      <c r="BK160" s="1602">
        <f ca="1">SUMPRODUCT('3b Activity Plan'!$AN$173:$AN$365,OFFSET('3b Activity Plan'!$DJ$173:$DJ$365,0,$CU160-1),'3b Activity Plan'!AO$173:AO$365,'3b Activity Plan'!$AH$173:$AH$365,'3b Activity Plan'!$CY$173:$CY$365,('3b Activity Plan'!$C$173:$C$365=$BK$130)*1)</f>
        <v>0</v>
      </c>
      <c r="BL160" s="1558">
        <f ca="1">SUMPRODUCT('3b Activity Plan'!$AN$173:$AN$365,OFFSET('3b Activity Plan'!$DJ$173:$DJ$365,0,$CU160-1),'3b Activity Plan'!AP$173:AP$365,'3b Activity Plan'!$AH$173:$AH$365,'3b Activity Plan'!$CY$173:$CY$365,('3b Activity Plan'!$C$173:$C$365=$BK$130)*1)</f>
        <v>0</v>
      </c>
      <c r="BM160" s="1558">
        <f ca="1">SUMPRODUCT('3b Activity Plan'!$AN$173:$AN$365,OFFSET('3b Activity Plan'!$DJ$173:$DJ$365,0,$CU160-1),'3b Activity Plan'!AQ$173:AQ$365,'3b Activity Plan'!$AH$173:$AH$365,'3b Activity Plan'!$CY$173:$CY$365,('3b Activity Plan'!$C$173:$C$365=$BK$130)*1)</f>
        <v>0</v>
      </c>
      <c r="BN160" s="1558">
        <f ca="1">SUMPRODUCT('3b Activity Plan'!$AN$173:$AN$365,OFFSET('3b Activity Plan'!$DJ$173:$DJ$365,0,$CU160-1),'3b Activity Plan'!AR$173:AR$365,'3b Activity Plan'!$AH$173:$AH$365,'3b Activity Plan'!$CY$173:$CY$365,('3b Activity Plan'!$C$173:$C$365=$BK$130)*1)</f>
        <v>0</v>
      </c>
      <c r="BO160" s="1558">
        <f ca="1">SUMPRODUCT('3b Activity Plan'!$AN$173:$AN$365,OFFSET('3b Activity Plan'!$DJ$173:$DJ$365,0,$CU160-1),'3b Activity Plan'!AS$173:AS$365,'3b Activity Plan'!$AH$173:$AH$365,'3b Activity Plan'!$CY$173:$CY$365,('3b Activity Plan'!$C$173:$C$365=$BK$130)*1)</f>
        <v>0</v>
      </c>
      <c r="BP160" s="1558">
        <f ca="1">SUMPRODUCT('3b Activity Plan'!$AN$173:$AN$365,OFFSET('3b Activity Plan'!$DJ$173:$DJ$365,0,$CU160-1),'3b Activity Plan'!AT$173:AT$365,'3b Activity Plan'!$AH$173:$AH$365,'3b Activity Plan'!$CY$173:$CY$365,('3b Activity Plan'!$C$173:$C$365=$BK$130)*1)</f>
        <v>0</v>
      </c>
      <c r="BQ160" s="1558">
        <f ca="1">SUMPRODUCT('3b Activity Plan'!$AN$173:$AN$365,OFFSET('3b Activity Plan'!$DJ$173:$DJ$365,0,$CU160-1),'3b Activity Plan'!AU$173:AU$365,'3b Activity Plan'!$AH$173:$AH$365,'3b Activity Plan'!$CY$173:$CY$365,('3b Activity Plan'!$C$173:$C$365=$BK$130)*1)</f>
        <v>0</v>
      </c>
      <c r="BR160" s="1558">
        <f ca="1">SUMPRODUCT('3b Activity Plan'!$AN$173:$AN$365,OFFSET('3b Activity Plan'!$DJ$173:$DJ$365,0,$CU160-1),'3b Activity Plan'!AV$173:AV$365,'3b Activity Plan'!$AH$173:$AH$365,'3b Activity Plan'!$CY$173:$CY$365,('3b Activity Plan'!$C$173:$C$365=$BK$130)*1)</f>
        <v>0</v>
      </c>
      <c r="BS160" s="1558">
        <f ca="1">SUMPRODUCT('3b Activity Plan'!$AN$173:$AN$365,OFFSET('3b Activity Plan'!$DJ$173:$DJ$365,0,$CU160-1),'3b Activity Plan'!AW$173:AW$365,'3b Activity Plan'!$AH$173:$AH$365,'3b Activity Plan'!$CY$173:$CY$365,('3b Activity Plan'!$C$173:$C$365=$BK$130)*1)</f>
        <v>0</v>
      </c>
      <c r="BT160" s="1558">
        <f ca="1">SUMPRODUCT('3b Activity Plan'!$AN$173:$AN$365,OFFSET('3b Activity Plan'!$DJ$173:$DJ$365,0,$CU160-1),'3b Activity Plan'!AX$173:AX$365,'3b Activity Plan'!$AH$173:$AH$365,'3b Activity Plan'!$CY$173:$CY$365,('3b Activity Plan'!$C$173:$C$365=$BK$130)*1)</f>
        <v>0</v>
      </c>
      <c r="BU160" s="1587"/>
      <c r="BV160" s="1587"/>
      <c r="BW160" s="1587"/>
      <c r="BX160" s="1556"/>
      <c r="BY160" s="1556"/>
      <c r="BZ160" s="1556"/>
      <c r="CA160" s="1024">
        <f ca="1">SUMIFS('3a Staff Plan'!$T$129:$T$305,'3a Staff Plan'!$DY$129:$DY$305,CZ160,'3a Staff Plan'!$DF$129:$DF$305,1)</f>
        <v>0</v>
      </c>
      <c r="CB160" s="1025">
        <f ca="1">SUMIFS('3a Staff Plan'!$T$129:$T$305,'3a Staff Plan'!$DY$129:$DY$305,$CZ160,'3a Staff Plan'!$DF$129:$DF$305,1,'3a Staff Plan'!$C$129:$C$305,DC$18)</f>
        <v>0</v>
      </c>
      <c r="CC160" s="1026">
        <f ca="1">SUMIFS('3a Staff Plan'!$T$129:$T$305,'3a Staff Plan'!$DY$129:$DY$305,$CZ160,'3a Staff Plan'!$DF$129:$DF$305,1,'3a Staff Plan'!$C$129:$C$305,DD$18)</f>
        <v>0</v>
      </c>
      <c r="CD160" s="1026">
        <f ca="1">SUMIFS('3a Staff Plan'!$T$129:$T$305,'3a Staff Plan'!$DY$129:$DY$305,$CZ160,'3a Staff Plan'!$DF$129:$DF$305,1,'3a Staff Plan'!$C$129:$C$305,DE$18)</f>
        <v>0</v>
      </c>
      <c r="CE160" s="1026">
        <f ca="1">SUMIFS('3a Staff Plan'!$T$129:$T$305,'3a Staff Plan'!$DY$129:$DY$305,$CZ160,'3a Staff Plan'!$DF$129:$DF$305,1,'3a Staff Plan'!$C$129:$C$305,DF$18)</f>
        <v>0</v>
      </c>
      <c r="CF160" s="1026">
        <f ca="1">SUMIFS('3a Staff Plan'!$T$129:$T$305,'3a Staff Plan'!$DY$129:$DY$305,$CZ160,'3a Staff Plan'!$DF$129:$DF$305,1,'3a Staff Plan'!$C$129:$C$305,DG$18)</f>
        <v>0</v>
      </c>
      <c r="CG160" s="1026">
        <f ca="1">SUMIFS('3a Staff Plan'!$T$129:$T$305,'3a Staff Plan'!$DY$129:$DY$305,$CZ160,'3a Staff Plan'!$DF$129:$DF$305,1,'3a Staff Plan'!$C$129:$C$305,DH$18)</f>
        <v>0</v>
      </c>
      <c r="CH160" s="1026">
        <f ca="1">SUMIFS('3a Staff Plan'!$T$129:$T$305,'3a Staff Plan'!$DY$129:$DY$305,$CZ160,'3a Staff Plan'!$DF$129:$DF$305,1,'3a Staff Plan'!$C$129:$C$305,DI$18)</f>
        <v>0</v>
      </c>
      <c r="CI160" s="755"/>
      <c r="CJ160" s="1024">
        <f ca="1">SUMPRODUCT('3b Activity Plan'!$AN$173:$AN$365,'3b Activity Plan'!$CY$173:$CY$365,'3b Activity Plan'!$AH$173:$AH$365,OFFSET('3b Activity Plan'!$DJ$173:$DJ$365,0,$CU160-1))</f>
        <v>0</v>
      </c>
      <c r="CK160" s="1025">
        <f t="shared" ca="1" si="93"/>
        <v>0</v>
      </c>
      <c r="CL160" s="1026">
        <f t="shared" ca="1" si="94"/>
        <v>0</v>
      </c>
      <c r="CM160" s="1026">
        <f t="shared" ca="1" si="95"/>
        <v>0</v>
      </c>
      <c r="CN160" s="1026">
        <f t="shared" ca="1" si="96"/>
        <v>0</v>
      </c>
      <c r="CO160" s="1026">
        <f t="shared" ca="1" si="97"/>
        <v>0</v>
      </c>
      <c r="CP160" s="1026">
        <f t="shared" ca="1" si="98"/>
        <v>0</v>
      </c>
      <c r="CQ160" s="1026">
        <f t="shared" ca="1" si="99"/>
        <v>0</v>
      </c>
      <c r="CR160" s="417"/>
      <c r="CS160" s="417">
        <f t="shared" si="100"/>
        <v>28</v>
      </c>
      <c r="CT160" s="417">
        <f ca="1">OFFSET('2 Staff List'!$GU$64,CS160-1,0)</f>
        <v>28</v>
      </c>
      <c r="CU160" s="417">
        <f ca="1">IF(CZ160=0,0,IFERROR(INDEX('3b Activity Plan'!$DJ$20:$FH$20,MATCH(CT160,'3b Activity Plan'!$DJ$171:$FH$171,0)),0))</f>
        <v>0</v>
      </c>
      <c r="CV160" s="417">
        <f ca="1">INDEX('2 Staff List'!$HW$64:$HW$114,CT160)</f>
        <v>0</v>
      </c>
      <c r="CW160" s="417"/>
      <c r="CY160" s="927">
        <f ca="1">OFFSET('2 Staff List'!$HZ$64,CS160-1,0)</f>
        <v>0</v>
      </c>
      <c r="CZ160" s="975">
        <f ca="1">OFFSET('2 Staff List'!$IA$64,CT160-1,0)</f>
        <v>0</v>
      </c>
      <c r="DA160" s="3840">
        <f t="shared" ca="1" si="92"/>
        <v>0</v>
      </c>
      <c r="DB160" s="3841"/>
      <c r="DC160" s="2408">
        <f t="shared" ca="1" si="85"/>
        <v>0</v>
      </c>
      <c r="DD160" s="2405">
        <f t="shared" ca="1" si="86"/>
        <v>0</v>
      </c>
      <c r="DE160" s="2405">
        <f t="shared" ca="1" si="87"/>
        <v>0</v>
      </c>
      <c r="DF160" s="2405">
        <f t="shared" ca="1" si="88"/>
        <v>0</v>
      </c>
      <c r="DG160" s="2405">
        <f t="shared" ca="1" si="89"/>
        <v>0</v>
      </c>
      <c r="DH160" s="2406">
        <f t="shared" ca="1" si="90"/>
        <v>0</v>
      </c>
      <c r="DI160" s="2407">
        <f t="shared" ca="1" si="91"/>
        <v>0</v>
      </c>
    </row>
    <row r="161" spans="1:113" ht="15.9" customHeight="1" x14ac:dyDescent="0.25">
      <c r="A161" s="1051"/>
      <c r="B161" s="1556"/>
      <c r="C161" s="1558">
        <f ca="1">SUMPRODUCT('3b Activity Plan'!$AN$173:$AN$365,OFFSET('3b Activity Plan'!$DJ$173:$DJ$365,0,$CU161-1),'3b Activity Plan'!AO$173:AO$365,'3b Activity Plan'!$AH$173:$AH$365,'3b Activity Plan'!$CY$173:$CY$365,('3b Activity Plan'!$C$173:$C$365=$C$130)*1)</f>
        <v>0</v>
      </c>
      <c r="D161" s="1558">
        <f ca="1">SUMPRODUCT('3b Activity Plan'!$AN$173:$AN$365,OFFSET('3b Activity Plan'!$DJ$173:$DJ$365,0,$CU161-1),'3b Activity Plan'!AP$173:AP$365,'3b Activity Plan'!$AH$173:$AH$365,'3b Activity Plan'!$CY$173:$CY$365,('3b Activity Plan'!$C$173:$C$365=$C$130)*1)</f>
        <v>0</v>
      </c>
      <c r="E161" s="1558">
        <f ca="1">SUMPRODUCT('3b Activity Plan'!$AN$173:$AN$365,OFFSET('3b Activity Plan'!$DJ$173:$DJ$365,0,$CU161-1),'3b Activity Plan'!AQ$173:AQ$365,'3b Activity Plan'!$AH$173:$AH$365,'3b Activity Plan'!$CY$173:$CY$365,('3b Activity Plan'!$C$173:$C$365=$C$130)*1)</f>
        <v>0</v>
      </c>
      <c r="F161" s="1558">
        <f ca="1">SUMPRODUCT('3b Activity Plan'!$AN$173:$AN$365,OFFSET('3b Activity Plan'!$DJ$173:$DJ$365,0,$CU161-1),'3b Activity Plan'!AR$173:AR$365,'3b Activity Plan'!$AH$173:$AH$365,'3b Activity Plan'!$CY$173:$CY$365,('3b Activity Plan'!$C$173:$C$365=$C$130)*1)</f>
        <v>0</v>
      </c>
      <c r="G161" s="1558">
        <f ca="1">SUMPRODUCT('3b Activity Plan'!$AN$173:$AN$365,OFFSET('3b Activity Plan'!$DJ$173:$DJ$365,0,$CU161-1),'3b Activity Plan'!AS$173:AS$365,'3b Activity Plan'!$AH$173:$AH$365,'3b Activity Plan'!$CY$173:$CY$365,('3b Activity Plan'!$C$173:$C$365=$C$130)*1)</f>
        <v>0</v>
      </c>
      <c r="H161" s="1558">
        <f ca="1">SUMPRODUCT('3b Activity Plan'!$AN$173:$AN$365,OFFSET('3b Activity Plan'!$DJ$173:$DJ$365,0,$CU161-1),'3b Activity Plan'!AT$173:AT$365,'3b Activity Plan'!$AH$173:$AH$365,'3b Activity Plan'!$CY$173:$CY$365,('3b Activity Plan'!$C$173:$C$365=$C$130)*1)</f>
        <v>0</v>
      </c>
      <c r="I161" s="1558">
        <f ca="1">SUMPRODUCT('3b Activity Plan'!$AN$173:$AN$365,OFFSET('3b Activity Plan'!$DJ$173:$DJ$365,0,$CU161-1),'3b Activity Plan'!AU$173:AU$365,'3b Activity Plan'!$AH$173:$AH$365,'3b Activity Plan'!$CY$173:$CY$365,('3b Activity Plan'!$C$173:$C$365=$C$130)*1)</f>
        <v>0</v>
      </c>
      <c r="J161" s="1558">
        <f ca="1">SUMPRODUCT('3b Activity Plan'!$AN$173:$AN$365,OFFSET('3b Activity Plan'!$DJ$173:$DJ$365,0,$CU161-1),'3b Activity Plan'!AV$173:AV$365,'3b Activity Plan'!$AH$173:$AH$365,'3b Activity Plan'!$CY$173:$CY$365,('3b Activity Plan'!$C$173:$C$365=$C$130)*1)</f>
        <v>0</v>
      </c>
      <c r="K161" s="1558">
        <f ca="1">SUMPRODUCT('3b Activity Plan'!$AN$173:$AN$365,OFFSET('3b Activity Plan'!$DJ$173:$DJ$365,0,$CU161-1),'3b Activity Plan'!AW$173:AW$365,'3b Activity Plan'!$AH$173:$AH$365,'3b Activity Plan'!$CY$173:$CY$365,('3b Activity Plan'!$C$173:$C$365=$C$130)*1)</f>
        <v>0</v>
      </c>
      <c r="L161" s="1601">
        <f ca="1">SUMPRODUCT('3b Activity Plan'!$AN$173:$AN$365,OFFSET('3b Activity Plan'!$DJ$173:$DJ$365,0,$CU161-1),'3b Activity Plan'!AX$173:AX$365,'3b Activity Plan'!$AH$173:$AH$365,'3b Activity Plan'!$CY$173:$CY$365,('3b Activity Plan'!$C$173:$C$365=$C$130)*1)</f>
        <v>0</v>
      </c>
      <c r="M161" s="1602">
        <f ca="1">SUMPRODUCT('3b Activity Plan'!$AN$173:$AN$365,OFFSET('3b Activity Plan'!$DJ$173:$DJ$365,0,$CU161-1),'3b Activity Plan'!AO$173:AO$365,'3b Activity Plan'!$AH$173:$AH$365,'3b Activity Plan'!$CY$173:$CY$365,('3b Activity Plan'!$C$173:$C$365=$M$130)*1)</f>
        <v>0</v>
      </c>
      <c r="N161" s="1558">
        <f ca="1">SUMPRODUCT('3b Activity Plan'!$AN$173:$AN$365,OFFSET('3b Activity Plan'!$DJ$173:$DJ$365,0,$CU161-1),'3b Activity Plan'!AP$173:AP$365,'3b Activity Plan'!$AH$173:$AH$365,'3b Activity Plan'!$CY$173:$CY$365,('3b Activity Plan'!$C$173:$C$365=$M$130)*1)</f>
        <v>0</v>
      </c>
      <c r="O161" s="1558">
        <f ca="1">SUMPRODUCT('3b Activity Plan'!$AN$173:$AN$365,OFFSET('3b Activity Plan'!$DJ$173:$DJ$365,0,$CU161-1),'3b Activity Plan'!AQ$173:AQ$365,'3b Activity Plan'!$AH$173:$AH$365,'3b Activity Plan'!$CY$173:$CY$365,('3b Activity Plan'!$C$173:$C$365=$M$130)*1)</f>
        <v>0</v>
      </c>
      <c r="P161" s="1558">
        <f ca="1">SUMPRODUCT('3b Activity Plan'!$AN$173:$AN$365,OFFSET('3b Activity Plan'!$DJ$173:$DJ$365,0,$CU161-1),'3b Activity Plan'!AR$173:AR$365,'3b Activity Plan'!$AH$173:$AH$365,'3b Activity Plan'!$CY$173:$CY$365,('3b Activity Plan'!$C$173:$C$365=$M$130)*1)</f>
        <v>0</v>
      </c>
      <c r="Q161" s="1558">
        <f ca="1">SUMPRODUCT('3b Activity Plan'!$AN$173:$AN$365,OFFSET('3b Activity Plan'!$DJ$173:$DJ$365,0,$CU161-1),'3b Activity Plan'!AS$173:AS$365,'3b Activity Plan'!$AH$173:$AH$365,'3b Activity Plan'!$CY$173:$CY$365,('3b Activity Plan'!$C$173:$C$365=$M$130)*1)</f>
        <v>0</v>
      </c>
      <c r="R161" s="1558">
        <f ca="1">SUMPRODUCT('3b Activity Plan'!$AN$173:$AN$365,OFFSET('3b Activity Plan'!$DJ$173:$DJ$365,0,$CU161-1),'3b Activity Plan'!AT$173:AT$365,'3b Activity Plan'!$AH$173:$AH$365,'3b Activity Plan'!$CY$173:$CY$365,('3b Activity Plan'!$C$173:$C$365=$M$130)*1)</f>
        <v>0</v>
      </c>
      <c r="S161" s="1558">
        <f ca="1">SUMPRODUCT('3b Activity Plan'!$AN$173:$AN$365,OFFSET('3b Activity Plan'!$DJ$173:$DJ$365,0,$CU161-1),'3b Activity Plan'!AU$173:AU$365,'3b Activity Plan'!$AH$173:$AH$365,'3b Activity Plan'!$CY$173:$CY$365,('3b Activity Plan'!$C$173:$C$365=$M$130)*1)</f>
        <v>0</v>
      </c>
      <c r="T161" s="1558">
        <f ca="1">SUMPRODUCT('3b Activity Plan'!$AN$173:$AN$365,OFFSET('3b Activity Plan'!$DJ$173:$DJ$365,0,$CU161-1),'3b Activity Plan'!AV$173:AV$365,'3b Activity Plan'!$AH$173:$AH$365,'3b Activity Plan'!$CY$173:$CY$365,('3b Activity Plan'!$C$173:$C$365=$M$130)*1)</f>
        <v>0</v>
      </c>
      <c r="U161" s="1558">
        <f ca="1">SUMPRODUCT('3b Activity Plan'!$AN$173:$AN$365,OFFSET('3b Activity Plan'!$DJ$173:$DJ$365,0,$CU161-1),'3b Activity Plan'!AW$173:AW$365,'3b Activity Plan'!$AH$173:$AH$365,'3b Activity Plan'!$CY$173:$CY$365,('3b Activity Plan'!$C$173:$C$365=$M$130)*1)</f>
        <v>0</v>
      </c>
      <c r="V161" s="1601">
        <f ca="1">SUMPRODUCT('3b Activity Plan'!$AN$173:$AN$365,OFFSET('3b Activity Plan'!$DJ$173:$DJ$365,0,$CU161-1),'3b Activity Plan'!AX$173:AX$365,'3b Activity Plan'!$AH$173:$AH$365,'3b Activity Plan'!$CY$173:$CY$365,('3b Activity Plan'!$C$173:$C$365=$M$130)*1)</f>
        <v>0</v>
      </c>
      <c r="W161" s="1602">
        <f ca="1">SUMPRODUCT('3b Activity Plan'!$AN$173:$AN$365,OFFSET('3b Activity Plan'!$DJ$173:$DJ$365,0,$CU161-1),'3b Activity Plan'!AO$173:AO$365,'3b Activity Plan'!$AH$173:$AH$365,'3b Activity Plan'!$CY$173:$CY$365,('3b Activity Plan'!$C$173:$C$365=$W$130)*1)</f>
        <v>0</v>
      </c>
      <c r="X161" s="1558">
        <f ca="1">SUMPRODUCT('3b Activity Plan'!$AN$173:$AN$365,OFFSET('3b Activity Plan'!$DJ$173:$DJ$365,0,$CU161-1),'3b Activity Plan'!AP$173:AP$365,'3b Activity Plan'!$AH$173:$AH$365,'3b Activity Plan'!$CY$173:$CY$365,('3b Activity Plan'!$C$173:$C$365=$W$130)*1)</f>
        <v>0</v>
      </c>
      <c r="Y161" s="1558">
        <f ca="1">SUMPRODUCT('3b Activity Plan'!$AN$173:$AN$365,OFFSET('3b Activity Plan'!$DJ$173:$DJ$365,0,$CU161-1),'3b Activity Plan'!AQ$173:AQ$365,'3b Activity Plan'!$AH$173:$AH$365,'3b Activity Plan'!$CY$173:$CY$365,('3b Activity Plan'!$C$173:$C$365=$W$130)*1)</f>
        <v>0</v>
      </c>
      <c r="Z161" s="1558">
        <f ca="1">SUMPRODUCT('3b Activity Plan'!$AN$173:$AN$365,OFFSET('3b Activity Plan'!$DJ$173:$DJ$365,0,$CU161-1),'3b Activity Plan'!AR$173:AR$365,'3b Activity Plan'!$AH$173:$AH$365,'3b Activity Plan'!$CY$173:$CY$365,('3b Activity Plan'!$C$173:$C$365=$W$130)*1)</f>
        <v>0</v>
      </c>
      <c r="AA161" s="1558">
        <f ca="1">SUMPRODUCT('3b Activity Plan'!$AN$173:$AN$365,OFFSET('3b Activity Plan'!$DJ$173:$DJ$365,0,$CU161-1),'3b Activity Plan'!AS$173:AS$365,'3b Activity Plan'!$AH$173:$AH$365,'3b Activity Plan'!$CY$173:$CY$365,('3b Activity Plan'!$C$173:$C$365=$W$130)*1)</f>
        <v>0</v>
      </c>
      <c r="AB161" s="1558">
        <f ca="1">SUMPRODUCT('3b Activity Plan'!$AN$173:$AN$365,OFFSET('3b Activity Plan'!$DJ$173:$DJ$365,0,$CU161-1),'3b Activity Plan'!AT$173:AT$365,'3b Activity Plan'!$AH$173:$AH$365,'3b Activity Plan'!$CY$173:$CY$365,('3b Activity Plan'!$C$173:$C$365=$W$130)*1)</f>
        <v>0</v>
      </c>
      <c r="AC161" s="1558">
        <f ca="1">SUMPRODUCT('3b Activity Plan'!$AN$173:$AN$365,OFFSET('3b Activity Plan'!$DJ$173:$DJ$365,0,$CU161-1),'3b Activity Plan'!AU$173:AU$365,'3b Activity Plan'!$AH$173:$AH$365,'3b Activity Plan'!$CY$173:$CY$365,('3b Activity Plan'!$C$173:$C$365=$W$130)*1)</f>
        <v>0</v>
      </c>
      <c r="AD161" s="1558">
        <f ca="1">SUMPRODUCT('3b Activity Plan'!$AN$173:$AN$365,OFFSET('3b Activity Plan'!$DJ$173:$DJ$365,0,$CU161-1),'3b Activity Plan'!AV$173:AV$365,'3b Activity Plan'!$AH$173:$AH$365,'3b Activity Plan'!$CY$173:$CY$365,('3b Activity Plan'!$C$173:$C$365=$W$130)*1)</f>
        <v>0</v>
      </c>
      <c r="AE161" s="1558">
        <f ca="1">SUMPRODUCT('3b Activity Plan'!$AN$173:$AN$365,OFFSET('3b Activity Plan'!$DJ$173:$DJ$365,0,$CU161-1),'3b Activity Plan'!AW$173:AW$365,'3b Activity Plan'!$AH$173:$AH$365,'3b Activity Plan'!$CY$173:$CY$365,('3b Activity Plan'!$C$173:$C$365=$W$130)*1)</f>
        <v>0</v>
      </c>
      <c r="AF161" s="1558">
        <f ca="1">SUMPRODUCT('3b Activity Plan'!$AN$173:$AN$365,OFFSET('3b Activity Plan'!$DJ$173:$DJ$365,0,$CU161-1),'3b Activity Plan'!AX$173:AX$365,'3b Activity Plan'!$AH$173:$AH$365,'3b Activity Plan'!$CY$173:$CY$365,('3b Activity Plan'!$C$173:$C$365=$W$130)*1)</f>
        <v>0</v>
      </c>
      <c r="AG161" s="1602">
        <f ca="1">SUMPRODUCT('3b Activity Plan'!$AN$173:$AN$365,OFFSET('3b Activity Plan'!$DJ$173:$DJ$365,0,$CU161-1),'3b Activity Plan'!AO$173:AO$365,'3b Activity Plan'!$AH$173:$AH$365,'3b Activity Plan'!$CY$173:$CY$365,('3b Activity Plan'!$C$173:$C$365=$AG$130)*1)</f>
        <v>0</v>
      </c>
      <c r="AH161" s="1558">
        <f ca="1">SUMPRODUCT('3b Activity Plan'!$AN$173:$AN$365,OFFSET('3b Activity Plan'!$DJ$173:$DJ$365,0,$CU161-1),'3b Activity Plan'!AP$173:AP$365,'3b Activity Plan'!$AH$173:$AH$365,'3b Activity Plan'!$CY$173:$CY$365,('3b Activity Plan'!$C$173:$C$365=$AG$130)*1)</f>
        <v>0</v>
      </c>
      <c r="AI161" s="1558">
        <f ca="1">SUMPRODUCT('3b Activity Plan'!$AN$173:$AN$365,OFFSET('3b Activity Plan'!$DJ$173:$DJ$365,0,$CU161-1),'3b Activity Plan'!AQ$173:AQ$365,'3b Activity Plan'!$AH$173:$AH$365,'3b Activity Plan'!$CY$173:$CY$365,('3b Activity Plan'!$C$173:$C$365=$AG$130)*1)</f>
        <v>0</v>
      </c>
      <c r="AJ161" s="1558">
        <f ca="1">SUMPRODUCT('3b Activity Plan'!$AN$173:$AN$365,OFFSET('3b Activity Plan'!$DJ$173:$DJ$365,0,$CU161-1),'3b Activity Plan'!AR$173:AR$365,'3b Activity Plan'!$AH$173:$AH$365,'3b Activity Plan'!$CY$173:$CY$365,('3b Activity Plan'!$C$173:$C$365=$AG$130)*1)</f>
        <v>0</v>
      </c>
      <c r="AK161" s="1558">
        <f ca="1">SUMPRODUCT('3b Activity Plan'!$AN$173:$AN$365,OFFSET('3b Activity Plan'!$DJ$173:$DJ$365,0,$CU161-1),'3b Activity Plan'!AS$173:AS$365,'3b Activity Plan'!$AH$173:$AH$365,'3b Activity Plan'!$CY$173:$CY$365,('3b Activity Plan'!$C$173:$C$365=$AG$130)*1)</f>
        <v>0</v>
      </c>
      <c r="AL161" s="1558">
        <f ca="1">SUMPRODUCT('3b Activity Plan'!$AN$173:$AN$365,OFFSET('3b Activity Plan'!$DJ$173:$DJ$365,0,$CU161-1),'3b Activity Plan'!AT$173:AT$365,'3b Activity Plan'!$AH$173:$AH$365,'3b Activity Plan'!$CY$173:$CY$365,('3b Activity Plan'!$C$173:$C$365=$AG$130)*1)</f>
        <v>0</v>
      </c>
      <c r="AM161" s="1558">
        <f ca="1">SUMPRODUCT('3b Activity Plan'!$AN$173:$AN$365,OFFSET('3b Activity Plan'!$DJ$173:$DJ$365,0,$CU161-1),'3b Activity Plan'!AU$173:AU$365,'3b Activity Plan'!$AH$173:$AH$365,'3b Activity Plan'!$CY$173:$CY$365,('3b Activity Plan'!$C$173:$C$365=$AG$130)*1)</f>
        <v>0</v>
      </c>
      <c r="AN161" s="1558">
        <f ca="1">SUMPRODUCT('3b Activity Plan'!$AN$173:$AN$365,OFFSET('3b Activity Plan'!$DJ$173:$DJ$365,0,$CU161-1),'3b Activity Plan'!AV$173:AV$365,'3b Activity Plan'!$AH$173:$AH$365,'3b Activity Plan'!$CY$173:$CY$365,('3b Activity Plan'!$C$173:$C$365=$AG$130)*1)</f>
        <v>0</v>
      </c>
      <c r="AO161" s="1558">
        <f ca="1">SUMPRODUCT('3b Activity Plan'!$AN$173:$AN$365,OFFSET('3b Activity Plan'!$DJ$173:$DJ$365,0,$CU161-1),'3b Activity Plan'!AW$173:AW$365,'3b Activity Plan'!$AH$173:$AH$365,'3b Activity Plan'!$CY$173:$CY$365,('3b Activity Plan'!$C$173:$C$365=$AG$130)*1)</f>
        <v>0</v>
      </c>
      <c r="AP161" s="1558">
        <f ca="1">SUMPRODUCT('3b Activity Plan'!$AN$173:$AN$365,OFFSET('3b Activity Plan'!$DJ$173:$DJ$365,0,$CU161-1),'3b Activity Plan'!AX$173:AX$365,'3b Activity Plan'!$AH$173:$AH$365,'3b Activity Plan'!$CY$173:$CY$365,('3b Activity Plan'!$C$173:$C$365=$AG$130)*1)</f>
        <v>0</v>
      </c>
      <c r="AQ161" s="1602">
        <f ca="1">SUMPRODUCT('3b Activity Plan'!$AN$173:$AN$365,OFFSET('3b Activity Plan'!$DJ$173:$DJ$365,0,$CU161-1),'3b Activity Plan'!AO$173:AO$365,'3b Activity Plan'!$AH$173:$AH$365,'3b Activity Plan'!$CY$173:$CY$365,('3b Activity Plan'!$C$173:$C$365=$AQ$130)*1)</f>
        <v>0</v>
      </c>
      <c r="AR161" s="1558">
        <f ca="1">SUMPRODUCT('3b Activity Plan'!$AN$173:$AN$365,OFFSET('3b Activity Plan'!$DJ$173:$DJ$365,0,$CU161-1),'3b Activity Plan'!AP$173:AP$365,'3b Activity Plan'!$AH$173:$AH$365,'3b Activity Plan'!$CY$173:$CY$365,('3b Activity Plan'!$C$173:$C$365=$AQ$130)*1)</f>
        <v>0</v>
      </c>
      <c r="AS161" s="1558">
        <f ca="1">SUMPRODUCT('3b Activity Plan'!$AN$173:$AN$365,OFFSET('3b Activity Plan'!$DJ$173:$DJ$365,0,$CU161-1),'3b Activity Plan'!AQ$173:AQ$365,'3b Activity Plan'!$AH$173:$AH$365,'3b Activity Plan'!$CY$173:$CY$365,('3b Activity Plan'!$C$173:$C$365=$AQ$130)*1)</f>
        <v>0</v>
      </c>
      <c r="AT161" s="1558">
        <f ca="1">SUMPRODUCT('3b Activity Plan'!$AN$173:$AN$365,OFFSET('3b Activity Plan'!$DJ$173:$DJ$365,0,$CU161-1),'3b Activity Plan'!AR$173:AR$365,'3b Activity Plan'!$AH$173:$AH$365,'3b Activity Plan'!$CY$173:$CY$365,('3b Activity Plan'!$C$173:$C$365=$AQ$130)*1)</f>
        <v>0</v>
      </c>
      <c r="AU161" s="1558">
        <f ca="1">SUMPRODUCT('3b Activity Plan'!$AN$173:$AN$365,OFFSET('3b Activity Plan'!$DJ$173:$DJ$365,0,$CU161-1),'3b Activity Plan'!AS$173:AS$365,'3b Activity Plan'!$AH$173:$AH$365,'3b Activity Plan'!$CY$173:$CY$365,('3b Activity Plan'!$C$173:$C$365=$AQ$130)*1)</f>
        <v>0</v>
      </c>
      <c r="AV161" s="1558">
        <f ca="1">SUMPRODUCT('3b Activity Plan'!$AN$173:$AN$365,OFFSET('3b Activity Plan'!$DJ$173:$DJ$365,0,$CU161-1),'3b Activity Plan'!AT$173:AT$365,'3b Activity Plan'!$AH$173:$AH$365,'3b Activity Plan'!$CY$173:$CY$365,('3b Activity Plan'!$C$173:$C$365=$AQ$130)*1)</f>
        <v>0</v>
      </c>
      <c r="AW161" s="1558">
        <f ca="1">SUMPRODUCT('3b Activity Plan'!$AN$173:$AN$365,OFFSET('3b Activity Plan'!$DJ$173:$DJ$365,0,$CU161-1),'3b Activity Plan'!AU$173:AU$365,'3b Activity Plan'!$AH$173:$AH$365,'3b Activity Plan'!$CY$173:$CY$365,('3b Activity Plan'!$C$173:$C$365=$AQ$130)*1)</f>
        <v>0</v>
      </c>
      <c r="AX161" s="1558">
        <f ca="1">SUMPRODUCT('3b Activity Plan'!$AN$173:$AN$365,OFFSET('3b Activity Plan'!$DJ$173:$DJ$365,0,$CU161-1),'3b Activity Plan'!AV$173:AV$365,'3b Activity Plan'!$AH$173:$AH$365,'3b Activity Plan'!$CY$173:$CY$365,('3b Activity Plan'!$C$173:$C$365=$AQ$130)*1)</f>
        <v>0</v>
      </c>
      <c r="AY161" s="1558">
        <f ca="1">SUMPRODUCT('3b Activity Plan'!$AN$173:$AN$365,OFFSET('3b Activity Plan'!$DJ$173:$DJ$365,0,$CU161-1),'3b Activity Plan'!AW$173:AW$365,'3b Activity Plan'!$AH$173:$AH$365,'3b Activity Plan'!$CY$173:$CY$365,('3b Activity Plan'!$C$173:$C$365=$AQ$130)*1)</f>
        <v>0</v>
      </c>
      <c r="AZ161" s="1558">
        <f ca="1">SUMPRODUCT('3b Activity Plan'!$AN$173:$AN$365,OFFSET('3b Activity Plan'!$DJ$173:$DJ$365,0,$CU161-1),'3b Activity Plan'!AX$173:AX$365,'3b Activity Plan'!$AH$173:$AH$365,'3b Activity Plan'!$CY$173:$CY$365,('3b Activity Plan'!$C$173:$C$365=$AQ$130)*1)</f>
        <v>0</v>
      </c>
      <c r="BA161" s="1602">
        <f ca="1">SUMPRODUCT('3b Activity Plan'!$AN$173:$AN$365,OFFSET('3b Activity Plan'!$DJ$173:$DJ$365,0,$CU161-1),'3b Activity Plan'!AO$173:AO$365,'3b Activity Plan'!$AH$173:$AH$365,'3b Activity Plan'!$CY$173:$CY$365,('3b Activity Plan'!$C$173:$C$365=$BA$130)*1)</f>
        <v>0</v>
      </c>
      <c r="BB161" s="1558">
        <f ca="1">SUMPRODUCT('3b Activity Plan'!$AN$173:$AN$365,OFFSET('3b Activity Plan'!$DJ$173:$DJ$365,0,$CU161-1),'3b Activity Plan'!AP$173:AP$365,'3b Activity Plan'!$AH$173:$AH$365,'3b Activity Plan'!$CY$173:$CY$365,('3b Activity Plan'!$C$173:$C$365=$BA$130)*1)</f>
        <v>0</v>
      </c>
      <c r="BC161" s="1558">
        <f ca="1">SUMPRODUCT('3b Activity Plan'!$AN$173:$AN$365,OFFSET('3b Activity Plan'!$DJ$173:$DJ$365,0,$CU161-1),'3b Activity Plan'!AQ$173:AQ$365,'3b Activity Plan'!$AH$173:$AH$365,'3b Activity Plan'!$CY$173:$CY$365,('3b Activity Plan'!$C$173:$C$365=$BA$130)*1)</f>
        <v>0</v>
      </c>
      <c r="BD161" s="1558">
        <f ca="1">SUMPRODUCT('3b Activity Plan'!$AN$173:$AN$365,OFFSET('3b Activity Plan'!$DJ$173:$DJ$365,0,$CU161-1),'3b Activity Plan'!AR$173:AR$365,'3b Activity Plan'!$AH$173:$AH$365,'3b Activity Plan'!$CY$173:$CY$365,('3b Activity Plan'!$C$173:$C$365=$BA$130)*1)</f>
        <v>0</v>
      </c>
      <c r="BE161" s="1558">
        <f ca="1">SUMPRODUCT('3b Activity Plan'!$AN$173:$AN$365,OFFSET('3b Activity Plan'!$DJ$173:$DJ$365,0,$CU161-1),'3b Activity Plan'!AS$173:AS$365,'3b Activity Plan'!$AH$173:$AH$365,'3b Activity Plan'!$CY$173:$CY$365,('3b Activity Plan'!$C$173:$C$365=$BA$130)*1)</f>
        <v>0</v>
      </c>
      <c r="BF161" s="1558">
        <f ca="1">SUMPRODUCT('3b Activity Plan'!$AN$173:$AN$365,OFFSET('3b Activity Plan'!$DJ$173:$DJ$365,0,$CU161-1),'3b Activity Plan'!AT$173:AT$365,'3b Activity Plan'!$AH$173:$AH$365,'3b Activity Plan'!$CY$173:$CY$365,('3b Activity Plan'!$C$173:$C$365=$BA$130)*1)</f>
        <v>0</v>
      </c>
      <c r="BG161" s="1558">
        <f ca="1">SUMPRODUCT('3b Activity Plan'!$AN$173:$AN$365,OFFSET('3b Activity Plan'!$DJ$173:$DJ$365,0,$CU161-1),'3b Activity Plan'!AU$173:AU$365,'3b Activity Plan'!$AH$173:$AH$365,'3b Activity Plan'!$CY$173:$CY$365,('3b Activity Plan'!$C$173:$C$365=$BA$130)*1)</f>
        <v>0</v>
      </c>
      <c r="BH161" s="1558">
        <f ca="1">SUMPRODUCT('3b Activity Plan'!$AN$173:$AN$365,OFFSET('3b Activity Plan'!$DJ$173:$DJ$365,0,$CU161-1),'3b Activity Plan'!AV$173:AV$365,'3b Activity Plan'!$AH$173:$AH$365,'3b Activity Plan'!$CY$173:$CY$365,('3b Activity Plan'!$C$173:$C$365=$BA$130)*1)</f>
        <v>0</v>
      </c>
      <c r="BI161" s="1558">
        <f ca="1">SUMPRODUCT('3b Activity Plan'!$AN$173:$AN$365,OFFSET('3b Activity Plan'!$DJ$173:$DJ$365,0,$CU161-1),'3b Activity Plan'!AW$173:AW$365,'3b Activity Plan'!$AH$173:$AH$365,'3b Activity Plan'!$CY$173:$CY$365,('3b Activity Plan'!$C$173:$C$365=$BA$130)*1)</f>
        <v>0</v>
      </c>
      <c r="BJ161" s="1558">
        <f ca="1">SUMPRODUCT('3b Activity Plan'!$AN$173:$AN$365,OFFSET('3b Activity Plan'!$DJ$173:$DJ$365,0,$CU161-1),'3b Activity Plan'!AX$173:AX$365,'3b Activity Plan'!$AH$173:$AH$365,'3b Activity Plan'!$CY$173:$CY$365,('3b Activity Plan'!$C$173:$C$365=$BA$130)*1)</f>
        <v>0</v>
      </c>
      <c r="BK161" s="1602">
        <f ca="1">SUMPRODUCT('3b Activity Plan'!$AN$173:$AN$365,OFFSET('3b Activity Plan'!$DJ$173:$DJ$365,0,$CU161-1),'3b Activity Plan'!AO$173:AO$365,'3b Activity Plan'!$AH$173:$AH$365,'3b Activity Plan'!$CY$173:$CY$365,('3b Activity Plan'!$C$173:$C$365=$BK$130)*1)</f>
        <v>0</v>
      </c>
      <c r="BL161" s="1558">
        <f ca="1">SUMPRODUCT('3b Activity Plan'!$AN$173:$AN$365,OFFSET('3b Activity Plan'!$DJ$173:$DJ$365,0,$CU161-1),'3b Activity Plan'!AP$173:AP$365,'3b Activity Plan'!$AH$173:$AH$365,'3b Activity Plan'!$CY$173:$CY$365,('3b Activity Plan'!$C$173:$C$365=$BK$130)*1)</f>
        <v>0</v>
      </c>
      <c r="BM161" s="1558">
        <f ca="1">SUMPRODUCT('3b Activity Plan'!$AN$173:$AN$365,OFFSET('3b Activity Plan'!$DJ$173:$DJ$365,0,$CU161-1),'3b Activity Plan'!AQ$173:AQ$365,'3b Activity Plan'!$AH$173:$AH$365,'3b Activity Plan'!$CY$173:$CY$365,('3b Activity Plan'!$C$173:$C$365=$BK$130)*1)</f>
        <v>0</v>
      </c>
      <c r="BN161" s="1558">
        <f ca="1">SUMPRODUCT('3b Activity Plan'!$AN$173:$AN$365,OFFSET('3b Activity Plan'!$DJ$173:$DJ$365,0,$CU161-1),'3b Activity Plan'!AR$173:AR$365,'3b Activity Plan'!$AH$173:$AH$365,'3b Activity Plan'!$CY$173:$CY$365,('3b Activity Plan'!$C$173:$C$365=$BK$130)*1)</f>
        <v>0</v>
      </c>
      <c r="BO161" s="1558">
        <f ca="1">SUMPRODUCT('3b Activity Plan'!$AN$173:$AN$365,OFFSET('3b Activity Plan'!$DJ$173:$DJ$365,0,$CU161-1),'3b Activity Plan'!AS$173:AS$365,'3b Activity Plan'!$AH$173:$AH$365,'3b Activity Plan'!$CY$173:$CY$365,('3b Activity Plan'!$C$173:$C$365=$BK$130)*1)</f>
        <v>0</v>
      </c>
      <c r="BP161" s="1558">
        <f ca="1">SUMPRODUCT('3b Activity Plan'!$AN$173:$AN$365,OFFSET('3b Activity Plan'!$DJ$173:$DJ$365,0,$CU161-1),'3b Activity Plan'!AT$173:AT$365,'3b Activity Plan'!$AH$173:$AH$365,'3b Activity Plan'!$CY$173:$CY$365,('3b Activity Plan'!$C$173:$C$365=$BK$130)*1)</f>
        <v>0</v>
      </c>
      <c r="BQ161" s="1558">
        <f ca="1">SUMPRODUCT('3b Activity Plan'!$AN$173:$AN$365,OFFSET('3b Activity Plan'!$DJ$173:$DJ$365,0,$CU161-1),'3b Activity Plan'!AU$173:AU$365,'3b Activity Plan'!$AH$173:$AH$365,'3b Activity Plan'!$CY$173:$CY$365,('3b Activity Plan'!$C$173:$C$365=$BK$130)*1)</f>
        <v>0</v>
      </c>
      <c r="BR161" s="1558">
        <f ca="1">SUMPRODUCT('3b Activity Plan'!$AN$173:$AN$365,OFFSET('3b Activity Plan'!$DJ$173:$DJ$365,0,$CU161-1),'3b Activity Plan'!AV$173:AV$365,'3b Activity Plan'!$AH$173:$AH$365,'3b Activity Plan'!$CY$173:$CY$365,('3b Activity Plan'!$C$173:$C$365=$BK$130)*1)</f>
        <v>0</v>
      </c>
      <c r="BS161" s="1558">
        <f ca="1">SUMPRODUCT('3b Activity Plan'!$AN$173:$AN$365,OFFSET('3b Activity Plan'!$DJ$173:$DJ$365,0,$CU161-1),'3b Activity Plan'!AW$173:AW$365,'3b Activity Plan'!$AH$173:$AH$365,'3b Activity Plan'!$CY$173:$CY$365,('3b Activity Plan'!$C$173:$C$365=$BK$130)*1)</f>
        <v>0</v>
      </c>
      <c r="BT161" s="1558">
        <f ca="1">SUMPRODUCT('3b Activity Plan'!$AN$173:$AN$365,OFFSET('3b Activity Plan'!$DJ$173:$DJ$365,0,$CU161-1),'3b Activity Plan'!AX$173:AX$365,'3b Activity Plan'!$AH$173:$AH$365,'3b Activity Plan'!$CY$173:$CY$365,('3b Activity Plan'!$C$173:$C$365=$BK$130)*1)</f>
        <v>0</v>
      </c>
      <c r="BU161" s="1587"/>
      <c r="BV161" s="1587"/>
      <c r="BW161" s="1587"/>
      <c r="BX161" s="1556"/>
      <c r="BY161" s="1556"/>
      <c r="BZ161" s="1556"/>
      <c r="CA161" s="1024">
        <f ca="1">SUMIFS('3a Staff Plan'!$T$129:$T$305,'3a Staff Plan'!$DY$129:$DY$305,CZ161,'3a Staff Plan'!$DF$129:$DF$305,1)</f>
        <v>0</v>
      </c>
      <c r="CB161" s="1025">
        <f ca="1">SUMIFS('3a Staff Plan'!$T$129:$T$305,'3a Staff Plan'!$DY$129:$DY$305,$CZ161,'3a Staff Plan'!$DF$129:$DF$305,1,'3a Staff Plan'!$C$129:$C$305,DC$18)</f>
        <v>0</v>
      </c>
      <c r="CC161" s="1026">
        <f ca="1">SUMIFS('3a Staff Plan'!$T$129:$T$305,'3a Staff Plan'!$DY$129:$DY$305,$CZ161,'3a Staff Plan'!$DF$129:$DF$305,1,'3a Staff Plan'!$C$129:$C$305,DD$18)</f>
        <v>0</v>
      </c>
      <c r="CD161" s="1026">
        <f ca="1">SUMIFS('3a Staff Plan'!$T$129:$T$305,'3a Staff Plan'!$DY$129:$DY$305,$CZ161,'3a Staff Plan'!$DF$129:$DF$305,1,'3a Staff Plan'!$C$129:$C$305,DE$18)</f>
        <v>0</v>
      </c>
      <c r="CE161" s="1026">
        <f ca="1">SUMIFS('3a Staff Plan'!$T$129:$T$305,'3a Staff Plan'!$DY$129:$DY$305,$CZ161,'3a Staff Plan'!$DF$129:$DF$305,1,'3a Staff Plan'!$C$129:$C$305,DF$18)</f>
        <v>0</v>
      </c>
      <c r="CF161" s="1026">
        <f ca="1">SUMIFS('3a Staff Plan'!$T$129:$T$305,'3a Staff Plan'!$DY$129:$DY$305,$CZ161,'3a Staff Plan'!$DF$129:$DF$305,1,'3a Staff Plan'!$C$129:$C$305,DG$18)</f>
        <v>0</v>
      </c>
      <c r="CG161" s="1026">
        <f ca="1">SUMIFS('3a Staff Plan'!$T$129:$T$305,'3a Staff Plan'!$DY$129:$DY$305,$CZ161,'3a Staff Plan'!$DF$129:$DF$305,1,'3a Staff Plan'!$C$129:$C$305,DH$18)</f>
        <v>0</v>
      </c>
      <c r="CH161" s="1026">
        <f ca="1">SUMIFS('3a Staff Plan'!$T$129:$T$305,'3a Staff Plan'!$DY$129:$DY$305,$CZ161,'3a Staff Plan'!$DF$129:$DF$305,1,'3a Staff Plan'!$C$129:$C$305,DI$18)</f>
        <v>0</v>
      </c>
      <c r="CI161" s="755"/>
      <c r="CJ161" s="1024">
        <f ca="1">SUMPRODUCT('3b Activity Plan'!$AN$173:$AN$365,'3b Activity Plan'!$CY$173:$CY$365,'3b Activity Plan'!$AH$173:$AH$365,OFFSET('3b Activity Plan'!$DJ$173:$DJ$365,0,$CU161-1))</f>
        <v>0</v>
      </c>
      <c r="CK161" s="1025">
        <f t="shared" ca="1" si="93"/>
        <v>0</v>
      </c>
      <c r="CL161" s="1026">
        <f t="shared" ca="1" si="94"/>
        <v>0</v>
      </c>
      <c r="CM161" s="1026">
        <f t="shared" ca="1" si="95"/>
        <v>0</v>
      </c>
      <c r="CN161" s="1026">
        <f t="shared" ca="1" si="96"/>
        <v>0</v>
      </c>
      <c r="CO161" s="1026">
        <f t="shared" ca="1" si="97"/>
        <v>0</v>
      </c>
      <c r="CP161" s="1026">
        <f t="shared" ca="1" si="98"/>
        <v>0</v>
      </c>
      <c r="CQ161" s="1026">
        <f t="shared" ca="1" si="99"/>
        <v>0</v>
      </c>
      <c r="CR161" s="417"/>
      <c r="CS161" s="417">
        <f t="shared" si="100"/>
        <v>29</v>
      </c>
      <c r="CT161" s="417">
        <f ca="1">OFFSET('2 Staff List'!$GU$64,CS161-1,0)</f>
        <v>29</v>
      </c>
      <c r="CU161" s="417">
        <f ca="1">IF(CZ161=0,0,IFERROR(INDEX('3b Activity Plan'!$DJ$20:$FH$20,MATCH(CT161,'3b Activity Plan'!$DJ$171:$FH$171,0)),0))</f>
        <v>0</v>
      </c>
      <c r="CV161" s="417">
        <f ca="1">INDEX('2 Staff List'!$HW$64:$HW$114,CT161)</f>
        <v>0</v>
      </c>
      <c r="CW161" s="417"/>
      <c r="CY161" s="927">
        <f ca="1">OFFSET('2 Staff List'!$HZ$64,CS161-1,0)</f>
        <v>0</v>
      </c>
      <c r="CZ161" s="975">
        <f ca="1">OFFSET('2 Staff List'!$IA$64,CT161-1,0)</f>
        <v>0</v>
      </c>
      <c r="DA161" s="3840">
        <f t="shared" ca="1" si="92"/>
        <v>0</v>
      </c>
      <c r="DB161" s="3841"/>
      <c r="DC161" s="2408">
        <f t="shared" ca="1" si="85"/>
        <v>0</v>
      </c>
      <c r="DD161" s="2405">
        <f t="shared" ca="1" si="86"/>
        <v>0</v>
      </c>
      <c r="DE161" s="2405">
        <f t="shared" ca="1" si="87"/>
        <v>0</v>
      </c>
      <c r="DF161" s="2405">
        <f t="shared" ca="1" si="88"/>
        <v>0</v>
      </c>
      <c r="DG161" s="2405">
        <f t="shared" ca="1" si="89"/>
        <v>0</v>
      </c>
      <c r="DH161" s="2406">
        <f t="shared" ca="1" si="90"/>
        <v>0</v>
      </c>
      <c r="DI161" s="2407">
        <f t="shared" ca="1" si="91"/>
        <v>0</v>
      </c>
    </row>
    <row r="162" spans="1:113" ht="15.9" customHeight="1" x14ac:dyDescent="0.25">
      <c r="A162" s="1051"/>
      <c r="B162" s="1556"/>
      <c r="C162" s="1558">
        <f ca="1">SUMPRODUCT('3b Activity Plan'!$AN$173:$AN$365,OFFSET('3b Activity Plan'!$DJ$173:$DJ$365,0,$CU162-1),'3b Activity Plan'!AO$173:AO$365,'3b Activity Plan'!$AH$173:$AH$365,'3b Activity Plan'!$CY$173:$CY$365,('3b Activity Plan'!$C$173:$C$365=$C$130)*1)</f>
        <v>0</v>
      </c>
      <c r="D162" s="1558">
        <f ca="1">SUMPRODUCT('3b Activity Plan'!$AN$173:$AN$365,OFFSET('3b Activity Plan'!$DJ$173:$DJ$365,0,$CU162-1),'3b Activity Plan'!AP$173:AP$365,'3b Activity Plan'!$AH$173:$AH$365,'3b Activity Plan'!$CY$173:$CY$365,('3b Activity Plan'!$C$173:$C$365=$C$130)*1)</f>
        <v>0</v>
      </c>
      <c r="E162" s="1558">
        <f ca="1">SUMPRODUCT('3b Activity Plan'!$AN$173:$AN$365,OFFSET('3b Activity Plan'!$DJ$173:$DJ$365,0,$CU162-1),'3b Activity Plan'!AQ$173:AQ$365,'3b Activity Plan'!$AH$173:$AH$365,'3b Activity Plan'!$CY$173:$CY$365,('3b Activity Plan'!$C$173:$C$365=$C$130)*1)</f>
        <v>0</v>
      </c>
      <c r="F162" s="1558">
        <f ca="1">SUMPRODUCT('3b Activity Plan'!$AN$173:$AN$365,OFFSET('3b Activity Plan'!$DJ$173:$DJ$365,0,$CU162-1),'3b Activity Plan'!AR$173:AR$365,'3b Activity Plan'!$AH$173:$AH$365,'3b Activity Plan'!$CY$173:$CY$365,('3b Activity Plan'!$C$173:$C$365=$C$130)*1)</f>
        <v>0</v>
      </c>
      <c r="G162" s="1558">
        <f ca="1">SUMPRODUCT('3b Activity Plan'!$AN$173:$AN$365,OFFSET('3b Activity Plan'!$DJ$173:$DJ$365,0,$CU162-1),'3b Activity Plan'!AS$173:AS$365,'3b Activity Plan'!$AH$173:$AH$365,'3b Activity Plan'!$CY$173:$CY$365,('3b Activity Plan'!$C$173:$C$365=$C$130)*1)</f>
        <v>0</v>
      </c>
      <c r="H162" s="1558">
        <f ca="1">SUMPRODUCT('3b Activity Plan'!$AN$173:$AN$365,OFFSET('3b Activity Plan'!$DJ$173:$DJ$365,0,$CU162-1),'3b Activity Plan'!AT$173:AT$365,'3b Activity Plan'!$AH$173:$AH$365,'3b Activity Plan'!$CY$173:$CY$365,('3b Activity Plan'!$C$173:$C$365=$C$130)*1)</f>
        <v>0</v>
      </c>
      <c r="I162" s="1558">
        <f ca="1">SUMPRODUCT('3b Activity Plan'!$AN$173:$AN$365,OFFSET('3b Activity Plan'!$DJ$173:$DJ$365,0,$CU162-1),'3b Activity Plan'!AU$173:AU$365,'3b Activity Plan'!$AH$173:$AH$365,'3b Activity Plan'!$CY$173:$CY$365,('3b Activity Plan'!$C$173:$C$365=$C$130)*1)</f>
        <v>0</v>
      </c>
      <c r="J162" s="1558">
        <f ca="1">SUMPRODUCT('3b Activity Plan'!$AN$173:$AN$365,OFFSET('3b Activity Plan'!$DJ$173:$DJ$365,0,$CU162-1),'3b Activity Plan'!AV$173:AV$365,'3b Activity Plan'!$AH$173:$AH$365,'3b Activity Plan'!$CY$173:$CY$365,('3b Activity Plan'!$C$173:$C$365=$C$130)*1)</f>
        <v>0</v>
      </c>
      <c r="K162" s="1558">
        <f ca="1">SUMPRODUCT('3b Activity Plan'!$AN$173:$AN$365,OFFSET('3b Activity Plan'!$DJ$173:$DJ$365,0,$CU162-1),'3b Activity Plan'!AW$173:AW$365,'3b Activity Plan'!$AH$173:$AH$365,'3b Activity Plan'!$CY$173:$CY$365,('3b Activity Plan'!$C$173:$C$365=$C$130)*1)</f>
        <v>0</v>
      </c>
      <c r="L162" s="1601">
        <f ca="1">SUMPRODUCT('3b Activity Plan'!$AN$173:$AN$365,OFFSET('3b Activity Plan'!$DJ$173:$DJ$365,0,$CU162-1),'3b Activity Plan'!AX$173:AX$365,'3b Activity Plan'!$AH$173:$AH$365,'3b Activity Plan'!$CY$173:$CY$365,('3b Activity Plan'!$C$173:$C$365=$C$130)*1)</f>
        <v>0</v>
      </c>
      <c r="M162" s="1602">
        <f ca="1">SUMPRODUCT('3b Activity Plan'!$AN$173:$AN$365,OFFSET('3b Activity Plan'!$DJ$173:$DJ$365,0,$CU162-1),'3b Activity Plan'!AO$173:AO$365,'3b Activity Plan'!$AH$173:$AH$365,'3b Activity Plan'!$CY$173:$CY$365,('3b Activity Plan'!$C$173:$C$365=$M$130)*1)</f>
        <v>0</v>
      </c>
      <c r="N162" s="1558">
        <f ca="1">SUMPRODUCT('3b Activity Plan'!$AN$173:$AN$365,OFFSET('3b Activity Plan'!$DJ$173:$DJ$365,0,$CU162-1),'3b Activity Plan'!AP$173:AP$365,'3b Activity Plan'!$AH$173:$AH$365,'3b Activity Plan'!$CY$173:$CY$365,('3b Activity Plan'!$C$173:$C$365=$M$130)*1)</f>
        <v>0</v>
      </c>
      <c r="O162" s="1558">
        <f ca="1">SUMPRODUCT('3b Activity Plan'!$AN$173:$AN$365,OFFSET('3b Activity Plan'!$DJ$173:$DJ$365,0,$CU162-1),'3b Activity Plan'!AQ$173:AQ$365,'3b Activity Plan'!$AH$173:$AH$365,'3b Activity Plan'!$CY$173:$CY$365,('3b Activity Plan'!$C$173:$C$365=$M$130)*1)</f>
        <v>0</v>
      </c>
      <c r="P162" s="1558">
        <f ca="1">SUMPRODUCT('3b Activity Plan'!$AN$173:$AN$365,OFFSET('3b Activity Plan'!$DJ$173:$DJ$365,0,$CU162-1),'3b Activity Plan'!AR$173:AR$365,'3b Activity Plan'!$AH$173:$AH$365,'3b Activity Plan'!$CY$173:$CY$365,('3b Activity Plan'!$C$173:$C$365=$M$130)*1)</f>
        <v>0</v>
      </c>
      <c r="Q162" s="1558">
        <f ca="1">SUMPRODUCT('3b Activity Plan'!$AN$173:$AN$365,OFFSET('3b Activity Plan'!$DJ$173:$DJ$365,0,$CU162-1),'3b Activity Plan'!AS$173:AS$365,'3b Activity Plan'!$AH$173:$AH$365,'3b Activity Plan'!$CY$173:$CY$365,('3b Activity Plan'!$C$173:$C$365=$M$130)*1)</f>
        <v>0</v>
      </c>
      <c r="R162" s="1558">
        <f ca="1">SUMPRODUCT('3b Activity Plan'!$AN$173:$AN$365,OFFSET('3b Activity Plan'!$DJ$173:$DJ$365,0,$CU162-1),'3b Activity Plan'!AT$173:AT$365,'3b Activity Plan'!$AH$173:$AH$365,'3b Activity Plan'!$CY$173:$CY$365,('3b Activity Plan'!$C$173:$C$365=$M$130)*1)</f>
        <v>0</v>
      </c>
      <c r="S162" s="1558">
        <f ca="1">SUMPRODUCT('3b Activity Plan'!$AN$173:$AN$365,OFFSET('3b Activity Plan'!$DJ$173:$DJ$365,0,$CU162-1),'3b Activity Plan'!AU$173:AU$365,'3b Activity Plan'!$AH$173:$AH$365,'3b Activity Plan'!$CY$173:$CY$365,('3b Activity Plan'!$C$173:$C$365=$M$130)*1)</f>
        <v>0</v>
      </c>
      <c r="T162" s="1558">
        <f ca="1">SUMPRODUCT('3b Activity Plan'!$AN$173:$AN$365,OFFSET('3b Activity Plan'!$DJ$173:$DJ$365,0,$CU162-1),'3b Activity Plan'!AV$173:AV$365,'3b Activity Plan'!$AH$173:$AH$365,'3b Activity Plan'!$CY$173:$CY$365,('3b Activity Plan'!$C$173:$C$365=$M$130)*1)</f>
        <v>0</v>
      </c>
      <c r="U162" s="1558">
        <f ca="1">SUMPRODUCT('3b Activity Plan'!$AN$173:$AN$365,OFFSET('3b Activity Plan'!$DJ$173:$DJ$365,0,$CU162-1),'3b Activity Plan'!AW$173:AW$365,'3b Activity Plan'!$AH$173:$AH$365,'3b Activity Plan'!$CY$173:$CY$365,('3b Activity Plan'!$C$173:$C$365=$M$130)*1)</f>
        <v>0</v>
      </c>
      <c r="V162" s="1601">
        <f ca="1">SUMPRODUCT('3b Activity Plan'!$AN$173:$AN$365,OFFSET('3b Activity Plan'!$DJ$173:$DJ$365,0,$CU162-1),'3b Activity Plan'!AX$173:AX$365,'3b Activity Plan'!$AH$173:$AH$365,'3b Activity Plan'!$CY$173:$CY$365,('3b Activity Plan'!$C$173:$C$365=$M$130)*1)</f>
        <v>0</v>
      </c>
      <c r="W162" s="1602">
        <f ca="1">SUMPRODUCT('3b Activity Plan'!$AN$173:$AN$365,OFFSET('3b Activity Plan'!$DJ$173:$DJ$365,0,$CU162-1),'3b Activity Plan'!AO$173:AO$365,'3b Activity Plan'!$AH$173:$AH$365,'3b Activity Plan'!$CY$173:$CY$365,('3b Activity Plan'!$C$173:$C$365=$W$130)*1)</f>
        <v>0</v>
      </c>
      <c r="X162" s="1558">
        <f ca="1">SUMPRODUCT('3b Activity Plan'!$AN$173:$AN$365,OFFSET('3b Activity Plan'!$DJ$173:$DJ$365,0,$CU162-1),'3b Activity Plan'!AP$173:AP$365,'3b Activity Plan'!$AH$173:$AH$365,'3b Activity Plan'!$CY$173:$CY$365,('3b Activity Plan'!$C$173:$C$365=$W$130)*1)</f>
        <v>0</v>
      </c>
      <c r="Y162" s="1558">
        <f ca="1">SUMPRODUCT('3b Activity Plan'!$AN$173:$AN$365,OFFSET('3b Activity Plan'!$DJ$173:$DJ$365,0,$CU162-1),'3b Activity Plan'!AQ$173:AQ$365,'3b Activity Plan'!$AH$173:$AH$365,'3b Activity Plan'!$CY$173:$CY$365,('3b Activity Plan'!$C$173:$C$365=$W$130)*1)</f>
        <v>0</v>
      </c>
      <c r="Z162" s="1558">
        <f ca="1">SUMPRODUCT('3b Activity Plan'!$AN$173:$AN$365,OFFSET('3b Activity Plan'!$DJ$173:$DJ$365,0,$CU162-1),'3b Activity Plan'!AR$173:AR$365,'3b Activity Plan'!$AH$173:$AH$365,'3b Activity Plan'!$CY$173:$CY$365,('3b Activity Plan'!$C$173:$C$365=$W$130)*1)</f>
        <v>0</v>
      </c>
      <c r="AA162" s="1558">
        <f ca="1">SUMPRODUCT('3b Activity Plan'!$AN$173:$AN$365,OFFSET('3b Activity Plan'!$DJ$173:$DJ$365,0,$CU162-1),'3b Activity Plan'!AS$173:AS$365,'3b Activity Plan'!$AH$173:$AH$365,'3b Activity Plan'!$CY$173:$CY$365,('3b Activity Plan'!$C$173:$C$365=$W$130)*1)</f>
        <v>0</v>
      </c>
      <c r="AB162" s="1558">
        <f ca="1">SUMPRODUCT('3b Activity Plan'!$AN$173:$AN$365,OFFSET('3b Activity Plan'!$DJ$173:$DJ$365,0,$CU162-1),'3b Activity Plan'!AT$173:AT$365,'3b Activity Plan'!$AH$173:$AH$365,'3b Activity Plan'!$CY$173:$CY$365,('3b Activity Plan'!$C$173:$C$365=$W$130)*1)</f>
        <v>0</v>
      </c>
      <c r="AC162" s="1558">
        <f ca="1">SUMPRODUCT('3b Activity Plan'!$AN$173:$AN$365,OFFSET('3b Activity Plan'!$DJ$173:$DJ$365,0,$CU162-1),'3b Activity Plan'!AU$173:AU$365,'3b Activity Plan'!$AH$173:$AH$365,'3b Activity Plan'!$CY$173:$CY$365,('3b Activity Plan'!$C$173:$C$365=$W$130)*1)</f>
        <v>0</v>
      </c>
      <c r="AD162" s="1558">
        <f ca="1">SUMPRODUCT('3b Activity Plan'!$AN$173:$AN$365,OFFSET('3b Activity Plan'!$DJ$173:$DJ$365,0,$CU162-1),'3b Activity Plan'!AV$173:AV$365,'3b Activity Plan'!$AH$173:$AH$365,'3b Activity Plan'!$CY$173:$CY$365,('3b Activity Plan'!$C$173:$C$365=$W$130)*1)</f>
        <v>0</v>
      </c>
      <c r="AE162" s="1558">
        <f ca="1">SUMPRODUCT('3b Activity Plan'!$AN$173:$AN$365,OFFSET('3b Activity Plan'!$DJ$173:$DJ$365,0,$CU162-1),'3b Activity Plan'!AW$173:AW$365,'3b Activity Plan'!$AH$173:$AH$365,'3b Activity Plan'!$CY$173:$CY$365,('3b Activity Plan'!$C$173:$C$365=$W$130)*1)</f>
        <v>0</v>
      </c>
      <c r="AF162" s="1558">
        <f ca="1">SUMPRODUCT('3b Activity Plan'!$AN$173:$AN$365,OFFSET('3b Activity Plan'!$DJ$173:$DJ$365,0,$CU162-1),'3b Activity Plan'!AX$173:AX$365,'3b Activity Plan'!$AH$173:$AH$365,'3b Activity Plan'!$CY$173:$CY$365,('3b Activity Plan'!$C$173:$C$365=$W$130)*1)</f>
        <v>0</v>
      </c>
      <c r="AG162" s="1602">
        <f ca="1">SUMPRODUCT('3b Activity Plan'!$AN$173:$AN$365,OFFSET('3b Activity Plan'!$DJ$173:$DJ$365,0,$CU162-1),'3b Activity Plan'!AO$173:AO$365,'3b Activity Plan'!$AH$173:$AH$365,'3b Activity Plan'!$CY$173:$CY$365,('3b Activity Plan'!$C$173:$C$365=$AG$130)*1)</f>
        <v>0</v>
      </c>
      <c r="AH162" s="1558">
        <f ca="1">SUMPRODUCT('3b Activity Plan'!$AN$173:$AN$365,OFFSET('3b Activity Plan'!$DJ$173:$DJ$365,0,$CU162-1),'3b Activity Plan'!AP$173:AP$365,'3b Activity Plan'!$AH$173:$AH$365,'3b Activity Plan'!$CY$173:$CY$365,('3b Activity Plan'!$C$173:$C$365=$AG$130)*1)</f>
        <v>0</v>
      </c>
      <c r="AI162" s="1558">
        <f ca="1">SUMPRODUCT('3b Activity Plan'!$AN$173:$AN$365,OFFSET('3b Activity Plan'!$DJ$173:$DJ$365,0,$CU162-1),'3b Activity Plan'!AQ$173:AQ$365,'3b Activity Plan'!$AH$173:$AH$365,'3b Activity Plan'!$CY$173:$CY$365,('3b Activity Plan'!$C$173:$C$365=$AG$130)*1)</f>
        <v>0</v>
      </c>
      <c r="AJ162" s="1558">
        <f ca="1">SUMPRODUCT('3b Activity Plan'!$AN$173:$AN$365,OFFSET('3b Activity Plan'!$DJ$173:$DJ$365,0,$CU162-1),'3b Activity Plan'!AR$173:AR$365,'3b Activity Plan'!$AH$173:$AH$365,'3b Activity Plan'!$CY$173:$CY$365,('3b Activity Plan'!$C$173:$C$365=$AG$130)*1)</f>
        <v>0</v>
      </c>
      <c r="AK162" s="1558">
        <f ca="1">SUMPRODUCT('3b Activity Plan'!$AN$173:$AN$365,OFFSET('3b Activity Plan'!$DJ$173:$DJ$365,0,$CU162-1),'3b Activity Plan'!AS$173:AS$365,'3b Activity Plan'!$AH$173:$AH$365,'3b Activity Plan'!$CY$173:$CY$365,('3b Activity Plan'!$C$173:$C$365=$AG$130)*1)</f>
        <v>0</v>
      </c>
      <c r="AL162" s="1558">
        <f ca="1">SUMPRODUCT('3b Activity Plan'!$AN$173:$AN$365,OFFSET('3b Activity Plan'!$DJ$173:$DJ$365,0,$CU162-1),'3b Activity Plan'!AT$173:AT$365,'3b Activity Plan'!$AH$173:$AH$365,'3b Activity Plan'!$CY$173:$CY$365,('3b Activity Plan'!$C$173:$C$365=$AG$130)*1)</f>
        <v>0</v>
      </c>
      <c r="AM162" s="1558">
        <f ca="1">SUMPRODUCT('3b Activity Plan'!$AN$173:$AN$365,OFFSET('3b Activity Plan'!$DJ$173:$DJ$365,0,$CU162-1),'3b Activity Plan'!AU$173:AU$365,'3b Activity Plan'!$AH$173:$AH$365,'3b Activity Plan'!$CY$173:$CY$365,('3b Activity Plan'!$C$173:$C$365=$AG$130)*1)</f>
        <v>0</v>
      </c>
      <c r="AN162" s="1558">
        <f ca="1">SUMPRODUCT('3b Activity Plan'!$AN$173:$AN$365,OFFSET('3b Activity Plan'!$DJ$173:$DJ$365,0,$CU162-1),'3b Activity Plan'!AV$173:AV$365,'3b Activity Plan'!$AH$173:$AH$365,'3b Activity Plan'!$CY$173:$CY$365,('3b Activity Plan'!$C$173:$C$365=$AG$130)*1)</f>
        <v>0</v>
      </c>
      <c r="AO162" s="1558">
        <f ca="1">SUMPRODUCT('3b Activity Plan'!$AN$173:$AN$365,OFFSET('3b Activity Plan'!$DJ$173:$DJ$365,0,$CU162-1),'3b Activity Plan'!AW$173:AW$365,'3b Activity Plan'!$AH$173:$AH$365,'3b Activity Plan'!$CY$173:$CY$365,('3b Activity Plan'!$C$173:$C$365=$AG$130)*1)</f>
        <v>0</v>
      </c>
      <c r="AP162" s="1558">
        <f ca="1">SUMPRODUCT('3b Activity Plan'!$AN$173:$AN$365,OFFSET('3b Activity Plan'!$DJ$173:$DJ$365,0,$CU162-1),'3b Activity Plan'!AX$173:AX$365,'3b Activity Plan'!$AH$173:$AH$365,'3b Activity Plan'!$CY$173:$CY$365,('3b Activity Plan'!$C$173:$C$365=$AG$130)*1)</f>
        <v>0</v>
      </c>
      <c r="AQ162" s="1602">
        <f ca="1">SUMPRODUCT('3b Activity Plan'!$AN$173:$AN$365,OFFSET('3b Activity Plan'!$DJ$173:$DJ$365,0,$CU162-1),'3b Activity Plan'!AO$173:AO$365,'3b Activity Plan'!$AH$173:$AH$365,'3b Activity Plan'!$CY$173:$CY$365,('3b Activity Plan'!$C$173:$C$365=$AQ$130)*1)</f>
        <v>0</v>
      </c>
      <c r="AR162" s="1558">
        <f ca="1">SUMPRODUCT('3b Activity Plan'!$AN$173:$AN$365,OFFSET('3b Activity Plan'!$DJ$173:$DJ$365,0,$CU162-1),'3b Activity Plan'!AP$173:AP$365,'3b Activity Plan'!$AH$173:$AH$365,'3b Activity Plan'!$CY$173:$CY$365,('3b Activity Plan'!$C$173:$C$365=$AQ$130)*1)</f>
        <v>0</v>
      </c>
      <c r="AS162" s="1558">
        <f ca="1">SUMPRODUCT('3b Activity Plan'!$AN$173:$AN$365,OFFSET('3b Activity Plan'!$DJ$173:$DJ$365,0,$CU162-1),'3b Activity Plan'!AQ$173:AQ$365,'3b Activity Plan'!$AH$173:$AH$365,'3b Activity Plan'!$CY$173:$CY$365,('3b Activity Plan'!$C$173:$C$365=$AQ$130)*1)</f>
        <v>0</v>
      </c>
      <c r="AT162" s="1558">
        <f ca="1">SUMPRODUCT('3b Activity Plan'!$AN$173:$AN$365,OFFSET('3b Activity Plan'!$DJ$173:$DJ$365,0,$CU162-1),'3b Activity Plan'!AR$173:AR$365,'3b Activity Plan'!$AH$173:$AH$365,'3b Activity Plan'!$CY$173:$CY$365,('3b Activity Plan'!$C$173:$C$365=$AQ$130)*1)</f>
        <v>0</v>
      </c>
      <c r="AU162" s="1558">
        <f ca="1">SUMPRODUCT('3b Activity Plan'!$AN$173:$AN$365,OFFSET('3b Activity Plan'!$DJ$173:$DJ$365,0,$CU162-1),'3b Activity Plan'!AS$173:AS$365,'3b Activity Plan'!$AH$173:$AH$365,'3b Activity Plan'!$CY$173:$CY$365,('3b Activity Plan'!$C$173:$C$365=$AQ$130)*1)</f>
        <v>0</v>
      </c>
      <c r="AV162" s="1558">
        <f ca="1">SUMPRODUCT('3b Activity Plan'!$AN$173:$AN$365,OFFSET('3b Activity Plan'!$DJ$173:$DJ$365,0,$CU162-1),'3b Activity Plan'!AT$173:AT$365,'3b Activity Plan'!$AH$173:$AH$365,'3b Activity Plan'!$CY$173:$CY$365,('3b Activity Plan'!$C$173:$C$365=$AQ$130)*1)</f>
        <v>0</v>
      </c>
      <c r="AW162" s="1558">
        <f ca="1">SUMPRODUCT('3b Activity Plan'!$AN$173:$AN$365,OFFSET('3b Activity Plan'!$DJ$173:$DJ$365,0,$CU162-1),'3b Activity Plan'!AU$173:AU$365,'3b Activity Plan'!$AH$173:$AH$365,'3b Activity Plan'!$CY$173:$CY$365,('3b Activity Plan'!$C$173:$C$365=$AQ$130)*1)</f>
        <v>0</v>
      </c>
      <c r="AX162" s="1558">
        <f ca="1">SUMPRODUCT('3b Activity Plan'!$AN$173:$AN$365,OFFSET('3b Activity Plan'!$DJ$173:$DJ$365,0,$CU162-1),'3b Activity Plan'!AV$173:AV$365,'3b Activity Plan'!$AH$173:$AH$365,'3b Activity Plan'!$CY$173:$CY$365,('3b Activity Plan'!$C$173:$C$365=$AQ$130)*1)</f>
        <v>0</v>
      </c>
      <c r="AY162" s="1558">
        <f ca="1">SUMPRODUCT('3b Activity Plan'!$AN$173:$AN$365,OFFSET('3b Activity Plan'!$DJ$173:$DJ$365,0,$CU162-1),'3b Activity Plan'!AW$173:AW$365,'3b Activity Plan'!$AH$173:$AH$365,'3b Activity Plan'!$CY$173:$CY$365,('3b Activity Plan'!$C$173:$C$365=$AQ$130)*1)</f>
        <v>0</v>
      </c>
      <c r="AZ162" s="1558">
        <f ca="1">SUMPRODUCT('3b Activity Plan'!$AN$173:$AN$365,OFFSET('3b Activity Plan'!$DJ$173:$DJ$365,0,$CU162-1),'3b Activity Plan'!AX$173:AX$365,'3b Activity Plan'!$AH$173:$AH$365,'3b Activity Plan'!$CY$173:$CY$365,('3b Activity Plan'!$C$173:$C$365=$AQ$130)*1)</f>
        <v>0</v>
      </c>
      <c r="BA162" s="1602">
        <f ca="1">SUMPRODUCT('3b Activity Plan'!$AN$173:$AN$365,OFFSET('3b Activity Plan'!$DJ$173:$DJ$365,0,$CU162-1),'3b Activity Plan'!AO$173:AO$365,'3b Activity Plan'!$AH$173:$AH$365,'3b Activity Plan'!$CY$173:$CY$365,('3b Activity Plan'!$C$173:$C$365=$BA$130)*1)</f>
        <v>0</v>
      </c>
      <c r="BB162" s="1558">
        <f ca="1">SUMPRODUCT('3b Activity Plan'!$AN$173:$AN$365,OFFSET('3b Activity Plan'!$DJ$173:$DJ$365,0,$CU162-1),'3b Activity Plan'!AP$173:AP$365,'3b Activity Plan'!$AH$173:$AH$365,'3b Activity Plan'!$CY$173:$CY$365,('3b Activity Plan'!$C$173:$C$365=$BA$130)*1)</f>
        <v>0</v>
      </c>
      <c r="BC162" s="1558">
        <f ca="1">SUMPRODUCT('3b Activity Plan'!$AN$173:$AN$365,OFFSET('3b Activity Plan'!$DJ$173:$DJ$365,0,$CU162-1),'3b Activity Plan'!AQ$173:AQ$365,'3b Activity Plan'!$AH$173:$AH$365,'3b Activity Plan'!$CY$173:$CY$365,('3b Activity Plan'!$C$173:$C$365=$BA$130)*1)</f>
        <v>0</v>
      </c>
      <c r="BD162" s="1558">
        <f ca="1">SUMPRODUCT('3b Activity Plan'!$AN$173:$AN$365,OFFSET('3b Activity Plan'!$DJ$173:$DJ$365,0,$CU162-1),'3b Activity Plan'!AR$173:AR$365,'3b Activity Plan'!$AH$173:$AH$365,'3b Activity Plan'!$CY$173:$CY$365,('3b Activity Plan'!$C$173:$C$365=$BA$130)*1)</f>
        <v>0</v>
      </c>
      <c r="BE162" s="1558">
        <f ca="1">SUMPRODUCT('3b Activity Plan'!$AN$173:$AN$365,OFFSET('3b Activity Plan'!$DJ$173:$DJ$365,0,$CU162-1),'3b Activity Plan'!AS$173:AS$365,'3b Activity Plan'!$AH$173:$AH$365,'3b Activity Plan'!$CY$173:$CY$365,('3b Activity Plan'!$C$173:$C$365=$BA$130)*1)</f>
        <v>0</v>
      </c>
      <c r="BF162" s="1558">
        <f ca="1">SUMPRODUCT('3b Activity Plan'!$AN$173:$AN$365,OFFSET('3b Activity Plan'!$DJ$173:$DJ$365,0,$CU162-1),'3b Activity Plan'!AT$173:AT$365,'3b Activity Plan'!$AH$173:$AH$365,'3b Activity Plan'!$CY$173:$CY$365,('3b Activity Plan'!$C$173:$C$365=$BA$130)*1)</f>
        <v>0</v>
      </c>
      <c r="BG162" s="1558">
        <f ca="1">SUMPRODUCT('3b Activity Plan'!$AN$173:$AN$365,OFFSET('3b Activity Plan'!$DJ$173:$DJ$365,0,$CU162-1),'3b Activity Plan'!AU$173:AU$365,'3b Activity Plan'!$AH$173:$AH$365,'3b Activity Plan'!$CY$173:$CY$365,('3b Activity Plan'!$C$173:$C$365=$BA$130)*1)</f>
        <v>0</v>
      </c>
      <c r="BH162" s="1558">
        <f ca="1">SUMPRODUCT('3b Activity Plan'!$AN$173:$AN$365,OFFSET('3b Activity Plan'!$DJ$173:$DJ$365,0,$CU162-1),'3b Activity Plan'!AV$173:AV$365,'3b Activity Plan'!$AH$173:$AH$365,'3b Activity Plan'!$CY$173:$CY$365,('3b Activity Plan'!$C$173:$C$365=$BA$130)*1)</f>
        <v>0</v>
      </c>
      <c r="BI162" s="1558">
        <f ca="1">SUMPRODUCT('3b Activity Plan'!$AN$173:$AN$365,OFFSET('3b Activity Plan'!$DJ$173:$DJ$365,0,$CU162-1),'3b Activity Plan'!AW$173:AW$365,'3b Activity Plan'!$AH$173:$AH$365,'3b Activity Plan'!$CY$173:$CY$365,('3b Activity Plan'!$C$173:$C$365=$BA$130)*1)</f>
        <v>0</v>
      </c>
      <c r="BJ162" s="1558">
        <f ca="1">SUMPRODUCT('3b Activity Plan'!$AN$173:$AN$365,OFFSET('3b Activity Plan'!$DJ$173:$DJ$365,0,$CU162-1),'3b Activity Plan'!AX$173:AX$365,'3b Activity Plan'!$AH$173:$AH$365,'3b Activity Plan'!$CY$173:$CY$365,('3b Activity Plan'!$C$173:$C$365=$BA$130)*1)</f>
        <v>0</v>
      </c>
      <c r="BK162" s="1602">
        <f ca="1">SUMPRODUCT('3b Activity Plan'!$AN$173:$AN$365,OFFSET('3b Activity Plan'!$DJ$173:$DJ$365,0,$CU162-1),'3b Activity Plan'!AO$173:AO$365,'3b Activity Plan'!$AH$173:$AH$365,'3b Activity Plan'!$CY$173:$CY$365,('3b Activity Plan'!$C$173:$C$365=$BK$130)*1)</f>
        <v>0</v>
      </c>
      <c r="BL162" s="1558">
        <f ca="1">SUMPRODUCT('3b Activity Plan'!$AN$173:$AN$365,OFFSET('3b Activity Plan'!$DJ$173:$DJ$365,0,$CU162-1),'3b Activity Plan'!AP$173:AP$365,'3b Activity Plan'!$AH$173:$AH$365,'3b Activity Plan'!$CY$173:$CY$365,('3b Activity Plan'!$C$173:$C$365=$BK$130)*1)</f>
        <v>0</v>
      </c>
      <c r="BM162" s="1558">
        <f ca="1">SUMPRODUCT('3b Activity Plan'!$AN$173:$AN$365,OFFSET('3b Activity Plan'!$DJ$173:$DJ$365,0,$CU162-1),'3b Activity Plan'!AQ$173:AQ$365,'3b Activity Plan'!$AH$173:$AH$365,'3b Activity Plan'!$CY$173:$CY$365,('3b Activity Plan'!$C$173:$C$365=$BK$130)*1)</f>
        <v>0</v>
      </c>
      <c r="BN162" s="1558">
        <f ca="1">SUMPRODUCT('3b Activity Plan'!$AN$173:$AN$365,OFFSET('3b Activity Plan'!$DJ$173:$DJ$365,0,$CU162-1),'3b Activity Plan'!AR$173:AR$365,'3b Activity Plan'!$AH$173:$AH$365,'3b Activity Plan'!$CY$173:$CY$365,('3b Activity Plan'!$C$173:$C$365=$BK$130)*1)</f>
        <v>0</v>
      </c>
      <c r="BO162" s="1558">
        <f ca="1">SUMPRODUCT('3b Activity Plan'!$AN$173:$AN$365,OFFSET('3b Activity Plan'!$DJ$173:$DJ$365,0,$CU162-1),'3b Activity Plan'!AS$173:AS$365,'3b Activity Plan'!$AH$173:$AH$365,'3b Activity Plan'!$CY$173:$CY$365,('3b Activity Plan'!$C$173:$C$365=$BK$130)*1)</f>
        <v>0</v>
      </c>
      <c r="BP162" s="1558">
        <f ca="1">SUMPRODUCT('3b Activity Plan'!$AN$173:$AN$365,OFFSET('3b Activity Plan'!$DJ$173:$DJ$365,0,$CU162-1),'3b Activity Plan'!AT$173:AT$365,'3b Activity Plan'!$AH$173:$AH$365,'3b Activity Plan'!$CY$173:$CY$365,('3b Activity Plan'!$C$173:$C$365=$BK$130)*1)</f>
        <v>0</v>
      </c>
      <c r="BQ162" s="1558">
        <f ca="1">SUMPRODUCT('3b Activity Plan'!$AN$173:$AN$365,OFFSET('3b Activity Plan'!$DJ$173:$DJ$365,0,$CU162-1),'3b Activity Plan'!AU$173:AU$365,'3b Activity Plan'!$AH$173:$AH$365,'3b Activity Plan'!$CY$173:$CY$365,('3b Activity Plan'!$C$173:$C$365=$BK$130)*1)</f>
        <v>0</v>
      </c>
      <c r="BR162" s="1558">
        <f ca="1">SUMPRODUCT('3b Activity Plan'!$AN$173:$AN$365,OFFSET('3b Activity Plan'!$DJ$173:$DJ$365,0,$CU162-1),'3b Activity Plan'!AV$173:AV$365,'3b Activity Plan'!$AH$173:$AH$365,'3b Activity Plan'!$CY$173:$CY$365,('3b Activity Plan'!$C$173:$C$365=$BK$130)*1)</f>
        <v>0</v>
      </c>
      <c r="BS162" s="1558">
        <f ca="1">SUMPRODUCT('3b Activity Plan'!$AN$173:$AN$365,OFFSET('3b Activity Plan'!$DJ$173:$DJ$365,0,$CU162-1),'3b Activity Plan'!AW$173:AW$365,'3b Activity Plan'!$AH$173:$AH$365,'3b Activity Plan'!$CY$173:$CY$365,('3b Activity Plan'!$C$173:$C$365=$BK$130)*1)</f>
        <v>0</v>
      </c>
      <c r="BT162" s="1558">
        <f ca="1">SUMPRODUCT('3b Activity Plan'!$AN$173:$AN$365,OFFSET('3b Activity Plan'!$DJ$173:$DJ$365,0,$CU162-1),'3b Activity Plan'!AX$173:AX$365,'3b Activity Plan'!$AH$173:$AH$365,'3b Activity Plan'!$CY$173:$CY$365,('3b Activity Plan'!$C$173:$C$365=$BK$130)*1)</f>
        <v>0</v>
      </c>
      <c r="BU162" s="1587"/>
      <c r="BV162" s="1587"/>
      <c r="BW162" s="1587"/>
      <c r="BX162" s="1556"/>
      <c r="BY162" s="1556"/>
      <c r="BZ162" s="1556"/>
      <c r="CA162" s="1024">
        <f ca="1">SUMIFS('3a Staff Plan'!$T$129:$T$305,'3a Staff Plan'!$DY$129:$DY$305,CZ162,'3a Staff Plan'!$DF$129:$DF$305,1)</f>
        <v>0</v>
      </c>
      <c r="CB162" s="1025">
        <f ca="1">SUMIFS('3a Staff Plan'!$T$129:$T$305,'3a Staff Plan'!$DY$129:$DY$305,$CZ162,'3a Staff Plan'!$DF$129:$DF$305,1,'3a Staff Plan'!$C$129:$C$305,DC$18)</f>
        <v>0</v>
      </c>
      <c r="CC162" s="1026">
        <f ca="1">SUMIFS('3a Staff Plan'!$T$129:$T$305,'3a Staff Plan'!$DY$129:$DY$305,$CZ162,'3a Staff Plan'!$DF$129:$DF$305,1,'3a Staff Plan'!$C$129:$C$305,DD$18)</f>
        <v>0</v>
      </c>
      <c r="CD162" s="1026">
        <f ca="1">SUMIFS('3a Staff Plan'!$T$129:$T$305,'3a Staff Plan'!$DY$129:$DY$305,$CZ162,'3a Staff Plan'!$DF$129:$DF$305,1,'3a Staff Plan'!$C$129:$C$305,DE$18)</f>
        <v>0</v>
      </c>
      <c r="CE162" s="1026">
        <f ca="1">SUMIFS('3a Staff Plan'!$T$129:$T$305,'3a Staff Plan'!$DY$129:$DY$305,$CZ162,'3a Staff Plan'!$DF$129:$DF$305,1,'3a Staff Plan'!$C$129:$C$305,DF$18)</f>
        <v>0</v>
      </c>
      <c r="CF162" s="1026">
        <f ca="1">SUMIFS('3a Staff Plan'!$T$129:$T$305,'3a Staff Plan'!$DY$129:$DY$305,$CZ162,'3a Staff Plan'!$DF$129:$DF$305,1,'3a Staff Plan'!$C$129:$C$305,DG$18)</f>
        <v>0</v>
      </c>
      <c r="CG162" s="1026">
        <f ca="1">SUMIFS('3a Staff Plan'!$T$129:$T$305,'3a Staff Plan'!$DY$129:$DY$305,$CZ162,'3a Staff Plan'!$DF$129:$DF$305,1,'3a Staff Plan'!$C$129:$C$305,DH$18)</f>
        <v>0</v>
      </c>
      <c r="CH162" s="1026">
        <f ca="1">SUMIFS('3a Staff Plan'!$T$129:$T$305,'3a Staff Plan'!$DY$129:$DY$305,$CZ162,'3a Staff Plan'!$DF$129:$DF$305,1,'3a Staff Plan'!$C$129:$C$305,DI$18)</f>
        <v>0</v>
      </c>
      <c r="CI162" s="755"/>
      <c r="CJ162" s="1024">
        <f ca="1">SUMPRODUCT('3b Activity Plan'!$AN$173:$AN$365,'3b Activity Plan'!$CY$173:$CY$365,'3b Activity Plan'!$AH$173:$AH$365,OFFSET('3b Activity Plan'!$DJ$173:$DJ$365,0,$CU162-1))</f>
        <v>0</v>
      </c>
      <c r="CK162" s="1025">
        <f t="shared" ca="1" si="93"/>
        <v>0</v>
      </c>
      <c r="CL162" s="1026">
        <f t="shared" ca="1" si="94"/>
        <v>0</v>
      </c>
      <c r="CM162" s="1026">
        <f t="shared" ca="1" si="95"/>
        <v>0</v>
      </c>
      <c r="CN162" s="1026">
        <f t="shared" ca="1" si="96"/>
        <v>0</v>
      </c>
      <c r="CO162" s="1026">
        <f t="shared" ca="1" si="97"/>
        <v>0</v>
      </c>
      <c r="CP162" s="1026">
        <f t="shared" ca="1" si="98"/>
        <v>0</v>
      </c>
      <c r="CQ162" s="1026">
        <f t="shared" ca="1" si="99"/>
        <v>0</v>
      </c>
      <c r="CR162" s="417"/>
      <c r="CS162" s="417">
        <f t="shared" si="100"/>
        <v>30</v>
      </c>
      <c r="CT162" s="417">
        <f ca="1">OFFSET('2 Staff List'!$GU$64,CS162-1,0)</f>
        <v>30</v>
      </c>
      <c r="CU162" s="417">
        <f ca="1">IF(CZ162=0,0,IFERROR(INDEX('3b Activity Plan'!$DJ$20:$FH$20,MATCH(CT162,'3b Activity Plan'!$DJ$171:$FH$171,0)),0))</f>
        <v>0</v>
      </c>
      <c r="CV162" s="417">
        <f ca="1">INDEX('2 Staff List'!$HW$64:$HW$114,CT162)</f>
        <v>0</v>
      </c>
      <c r="CW162" s="417"/>
      <c r="CY162" s="927">
        <f ca="1">OFFSET('2 Staff List'!$HZ$64,CS162-1,0)</f>
        <v>0</v>
      </c>
      <c r="CZ162" s="975">
        <f ca="1">OFFSET('2 Staff List'!$IA$64,CT162-1,0)</f>
        <v>0</v>
      </c>
      <c r="DA162" s="3840">
        <f t="shared" ca="1" si="92"/>
        <v>0</v>
      </c>
      <c r="DB162" s="3841"/>
      <c r="DC162" s="2408">
        <f t="shared" ca="1" si="85"/>
        <v>0</v>
      </c>
      <c r="DD162" s="2405">
        <f t="shared" ca="1" si="86"/>
        <v>0</v>
      </c>
      <c r="DE162" s="2405">
        <f t="shared" ca="1" si="87"/>
        <v>0</v>
      </c>
      <c r="DF162" s="2405">
        <f t="shared" ca="1" si="88"/>
        <v>0</v>
      </c>
      <c r="DG162" s="2405">
        <f t="shared" ca="1" si="89"/>
        <v>0</v>
      </c>
      <c r="DH162" s="2406">
        <f t="shared" ca="1" si="90"/>
        <v>0</v>
      </c>
      <c r="DI162" s="2407">
        <f t="shared" ca="1" si="91"/>
        <v>0</v>
      </c>
    </row>
    <row r="163" spans="1:113" ht="15.9" customHeight="1" x14ac:dyDescent="0.25">
      <c r="A163" s="1051"/>
      <c r="B163" s="1556"/>
      <c r="C163" s="1558">
        <f ca="1">SUMPRODUCT('3b Activity Plan'!$AN$173:$AN$365,OFFSET('3b Activity Plan'!$DJ$173:$DJ$365,0,$CU163-1),'3b Activity Plan'!AO$173:AO$365,'3b Activity Plan'!$AH$173:$AH$365,'3b Activity Plan'!$CY$173:$CY$365,('3b Activity Plan'!$C$173:$C$365=$C$130)*1)</f>
        <v>0</v>
      </c>
      <c r="D163" s="1558">
        <f ca="1">SUMPRODUCT('3b Activity Plan'!$AN$173:$AN$365,OFFSET('3b Activity Plan'!$DJ$173:$DJ$365,0,$CU163-1),'3b Activity Plan'!AP$173:AP$365,'3b Activity Plan'!$AH$173:$AH$365,'3b Activity Plan'!$CY$173:$CY$365,('3b Activity Plan'!$C$173:$C$365=$C$130)*1)</f>
        <v>0</v>
      </c>
      <c r="E163" s="1558">
        <f ca="1">SUMPRODUCT('3b Activity Plan'!$AN$173:$AN$365,OFFSET('3b Activity Plan'!$DJ$173:$DJ$365,0,$CU163-1),'3b Activity Plan'!AQ$173:AQ$365,'3b Activity Plan'!$AH$173:$AH$365,'3b Activity Plan'!$CY$173:$CY$365,('3b Activity Plan'!$C$173:$C$365=$C$130)*1)</f>
        <v>0</v>
      </c>
      <c r="F163" s="1558">
        <f ca="1">SUMPRODUCT('3b Activity Plan'!$AN$173:$AN$365,OFFSET('3b Activity Plan'!$DJ$173:$DJ$365,0,$CU163-1),'3b Activity Plan'!AR$173:AR$365,'3b Activity Plan'!$AH$173:$AH$365,'3b Activity Plan'!$CY$173:$CY$365,('3b Activity Plan'!$C$173:$C$365=$C$130)*1)</f>
        <v>0</v>
      </c>
      <c r="G163" s="1558">
        <f ca="1">SUMPRODUCT('3b Activity Plan'!$AN$173:$AN$365,OFFSET('3b Activity Plan'!$DJ$173:$DJ$365,0,$CU163-1),'3b Activity Plan'!AS$173:AS$365,'3b Activity Plan'!$AH$173:$AH$365,'3b Activity Plan'!$CY$173:$CY$365,('3b Activity Plan'!$C$173:$C$365=$C$130)*1)</f>
        <v>0</v>
      </c>
      <c r="H163" s="1558">
        <f ca="1">SUMPRODUCT('3b Activity Plan'!$AN$173:$AN$365,OFFSET('3b Activity Plan'!$DJ$173:$DJ$365,0,$CU163-1),'3b Activity Plan'!AT$173:AT$365,'3b Activity Plan'!$AH$173:$AH$365,'3b Activity Plan'!$CY$173:$CY$365,('3b Activity Plan'!$C$173:$C$365=$C$130)*1)</f>
        <v>0</v>
      </c>
      <c r="I163" s="1558">
        <f ca="1">SUMPRODUCT('3b Activity Plan'!$AN$173:$AN$365,OFFSET('3b Activity Plan'!$DJ$173:$DJ$365,0,$CU163-1),'3b Activity Plan'!AU$173:AU$365,'3b Activity Plan'!$AH$173:$AH$365,'3b Activity Plan'!$CY$173:$CY$365,('3b Activity Plan'!$C$173:$C$365=$C$130)*1)</f>
        <v>0</v>
      </c>
      <c r="J163" s="1558">
        <f ca="1">SUMPRODUCT('3b Activity Plan'!$AN$173:$AN$365,OFFSET('3b Activity Plan'!$DJ$173:$DJ$365,0,$CU163-1),'3b Activity Plan'!AV$173:AV$365,'3b Activity Plan'!$AH$173:$AH$365,'3b Activity Plan'!$CY$173:$CY$365,('3b Activity Plan'!$C$173:$C$365=$C$130)*1)</f>
        <v>0</v>
      </c>
      <c r="K163" s="1558">
        <f ca="1">SUMPRODUCT('3b Activity Plan'!$AN$173:$AN$365,OFFSET('3b Activity Plan'!$DJ$173:$DJ$365,0,$CU163-1),'3b Activity Plan'!AW$173:AW$365,'3b Activity Plan'!$AH$173:$AH$365,'3b Activity Plan'!$CY$173:$CY$365,('3b Activity Plan'!$C$173:$C$365=$C$130)*1)</f>
        <v>0</v>
      </c>
      <c r="L163" s="1601">
        <f ca="1">SUMPRODUCT('3b Activity Plan'!$AN$173:$AN$365,OFFSET('3b Activity Plan'!$DJ$173:$DJ$365,0,$CU163-1),'3b Activity Plan'!AX$173:AX$365,'3b Activity Plan'!$AH$173:$AH$365,'3b Activity Plan'!$CY$173:$CY$365,('3b Activity Plan'!$C$173:$C$365=$C$130)*1)</f>
        <v>0</v>
      </c>
      <c r="M163" s="1602">
        <f ca="1">SUMPRODUCT('3b Activity Plan'!$AN$173:$AN$365,OFFSET('3b Activity Plan'!$DJ$173:$DJ$365,0,$CU163-1),'3b Activity Plan'!AO$173:AO$365,'3b Activity Plan'!$AH$173:$AH$365,'3b Activity Plan'!$CY$173:$CY$365,('3b Activity Plan'!$C$173:$C$365=$M$130)*1)</f>
        <v>0</v>
      </c>
      <c r="N163" s="1558">
        <f ca="1">SUMPRODUCT('3b Activity Plan'!$AN$173:$AN$365,OFFSET('3b Activity Plan'!$DJ$173:$DJ$365,0,$CU163-1),'3b Activity Plan'!AP$173:AP$365,'3b Activity Plan'!$AH$173:$AH$365,'3b Activity Plan'!$CY$173:$CY$365,('3b Activity Plan'!$C$173:$C$365=$M$130)*1)</f>
        <v>0</v>
      </c>
      <c r="O163" s="1558">
        <f ca="1">SUMPRODUCT('3b Activity Plan'!$AN$173:$AN$365,OFFSET('3b Activity Plan'!$DJ$173:$DJ$365,0,$CU163-1),'3b Activity Plan'!AQ$173:AQ$365,'3b Activity Plan'!$AH$173:$AH$365,'3b Activity Plan'!$CY$173:$CY$365,('3b Activity Plan'!$C$173:$C$365=$M$130)*1)</f>
        <v>0</v>
      </c>
      <c r="P163" s="1558">
        <f ca="1">SUMPRODUCT('3b Activity Plan'!$AN$173:$AN$365,OFFSET('3b Activity Plan'!$DJ$173:$DJ$365,0,$CU163-1),'3b Activity Plan'!AR$173:AR$365,'3b Activity Plan'!$AH$173:$AH$365,'3b Activity Plan'!$CY$173:$CY$365,('3b Activity Plan'!$C$173:$C$365=$M$130)*1)</f>
        <v>0</v>
      </c>
      <c r="Q163" s="1558">
        <f ca="1">SUMPRODUCT('3b Activity Plan'!$AN$173:$AN$365,OFFSET('3b Activity Plan'!$DJ$173:$DJ$365,0,$CU163-1),'3b Activity Plan'!AS$173:AS$365,'3b Activity Plan'!$AH$173:$AH$365,'3b Activity Plan'!$CY$173:$CY$365,('3b Activity Plan'!$C$173:$C$365=$M$130)*1)</f>
        <v>0</v>
      </c>
      <c r="R163" s="1558">
        <f ca="1">SUMPRODUCT('3b Activity Plan'!$AN$173:$AN$365,OFFSET('3b Activity Plan'!$DJ$173:$DJ$365,0,$CU163-1),'3b Activity Plan'!AT$173:AT$365,'3b Activity Plan'!$AH$173:$AH$365,'3b Activity Plan'!$CY$173:$CY$365,('3b Activity Plan'!$C$173:$C$365=$M$130)*1)</f>
        <v>0</v>
      </c>
      <c r="S163" s="1558">
        <f ca="1">SUMPRODUCT('3b Activity Plan'!$AN$173:$AN$365,OFFSET('3b Activity Plan'!$DJ$173:$DJ$365,0,$CU163-1),'3b Activity Plan'!AU$173:AU$365,'3b Activity Plan'!$AH$173:$AH$365,'3b Activity Plan'!$CY$173:$CY$365,('3b Activity Plan'!$C$173:$C$365=$M$130)*1)</f>
        <v>0</v>
      </c>
      <c r="T163" s="1558">
        <f ca="1">SUMPRODUCT('3b Activity Plan'!$AN$173:$AN$365,OFFSET('3b Activity Plan'!$DJ$173:$DJ$365,0,$CU163-1),'3b Activity Plan'!AV$173:AV$365,'3b Activity Plan'!$AH$173:$AH$365,'3b Activity Plan'!$CY$173:$CY$365,('3b Activity Plan'!$C$173:$C$365=$M$130)*1)</f>
        <v>0</v>
      </c>
      <c r="U163" s="1558">
        <f ca="1">SUMPRODUCT('3b Activity Plan'!$AN$173:$AN$365,OFFSET('3b Activity Plan'!$DJ$173:$DJ$365,0,$CU163-1),'3b Activity Plan'!AW$173:AW$365,'3b Activity Plan'!$AH$173:$AH$365,'3b Activity Plan'!$CY$173:$CY$365,('3b Activity Plan'!$C$173:$C$365=$M$130)*1)</f>
        <v>0</v>
      </c>
      <c r="V163" s="1601">
        <f ca="1">SUMPRODUCT('3b Activity Plan'!$AN$173:$AN$365,OFFSET('3b Activity Plan'!$DJ$173:$DJ$365,0,$CU163-1),'3b Activity Plan'!AX$173:AX$365,'3b Activity Plan'!$AH$173:$AH$365,'3b Activity Plan'!$CY$173:$CY$365,('3b Activity Plan'!$C$173:$C$365=$M$130)*1)</f>
        <v>0</v>
      </c>
      <c r="W163" s="1602">
        <f ca="1">SUMPRODUCT('3b Activity Plan'!$AN$173:$AN$365,OFFSET('3b Activity Plan'!$DJ$173:$DJ$365,0,$CU163-1),'3b Activity Plan'!AO$173:AO$365,'3b Activity Plan'!$AH$173:$AH$365,'3b Activity Plan'!$CY$173:$CY$365,('3b Activity Plan'!$C$173:$C$365=$W$130)*1)</f>
        <v>0</v>
      </c>
      <c r="X163" s="1558">
        <f ca="1">SUMPRODUCT('3b Activity Plan'!$AN$173:$AN$365,OFFSET('3b Activity Plan'!$DJ$173:$DJ$365,0,$CU163-1),'3b Activity Plan'!AP$173:AP$365,'3b Activity Plan'!$AH$173:$AH$365,'3b Activity Plan'!$CY$173:$CY$365,('3b Activity Plan'!$C$173:$C$365=$W$130)*1)</f>
        <v>0</v>
      </c>
      <c r="Y163" s="1558">
        <f ca="1">SUMPRODUCT('3b Activity Plan'!$AN$173:$AN$365,OFFSET('3b Activity Plan'!$DJ$173:$DJ$365,0,$CU163-1),'3b Activity Plan'!AQ$173:AQ$365,'3b Activity Plan'!$AH$173:$AH$365,'3b Activity Plan'!$CY$173:$CY$365,('3b Activity Plan'!$C$173:$C$365=$W$130)*1)</f>
        <v>0</v>
      </c>
      <c r="Z163" s="1558">
        <f ca="1">SUMPRODUCT('3b Activity Plan'!$AN$173:$AN$365,OFFSET('3b Activity Plan'!$DJ$173:$DJ$365,0,$CU163-1),'3b Activity Plan'!AR$173:AR$365,'3b Activity Plan'!$AH$173:$AH$365,'3b Activity Plan'!$CY$173:$CY$365,('3b Activity Plan'!$C$173:$C$365=$W$130)*1)</f>
        <v>0</v>
      </c>
      <c r="AA163" s="1558">
        <f ca="1">SUMPRODUCT('3b Activity Plan'!$AN$173:$AN$365,OFFSET('3b Activity Plan'!$DJ$173:$DJ$365,0,$CU163-1),'3b Activity Plan'!AS$173:AS$365,'3b Activity Plan'!$AH$173:$AH$365,'3b Activity Plan'!$CY$173:$CY$365,('3b Activity Plan'!$C$173:$C$365=$W$130)*1)</f>
        <v>0</v>
      </c>
      <c r="AB163" s="1558">
        <f ca="1">SUMPRODUCT('3b Activity Plan'!$AN$173:$AN$365,OFFSET('3b Activity Plan'!$DJ$173:$DJ$365,0,$CU163-1),'3b Activity Plan'!AT$173:AT$365,'3b Activity Plan'!$AH$173:$AH$365,'3b Activity Plan'!$CY$173:$CY$365,('3b Activity Plan'!$C$173:$C$365=$W$130)*1)</f>
        <v>0</v>
      </c>
      <c r="AC163" s="1558">
        <f ca="1">SUMPRODUCT('3b Activity Plan'!$AN$173:$AN$365,OFFSET('3b Activity Plan'!$DJ$173:$DJ$365,0,$CU163-1),'3b Activity Plan'!AU$173:AU$365,'3b Activity Plan'!$AH$173:$AH$365,'3b Activity Plan'!$CY$173:$CY$365,('3b Activity Plan'!$C$173:$C$365=$W$130)*1)</f>
        <v>0</v>
      </c>
      <c r="AD163" s="1558">
        <f ca="1">SUMPRODUCT('3b Activity Plan'!$AN$173:$AN$365,OFFSET('3b Activity Plan'!$DJ$173:$DJ$365,0,$CU163-1),'3b Activity Plan'!AV$173:AV$365,'3b Activity Plan'!$AH$173:$AH$365,'3b Activity Plan'!$CY$173:$CY$365,('3b Activity Plan'!$C$173:$C$365=$W$130)*1)</f>
        <v>0</v>
      </c>
      <c r="AE163" s="1558">
        <f ca="1">SUMPRODUCT('3b Activity Plan'!$AN$173:$AN$365,OFFSET('3b Activity Plan'!$DJ$173:$DJ$365,0,$CU163-1),'3b Activity Plan'!AW$173:AW$365,'3b Activity Plan'!$AH$173:$AH$365,'3b Activity Plan'!$CY$173:$CY$365,('3b Activity Plan'!$C$173:$C$365=$W$130)*1)</f>
        <v>0</v>
      </c>
      <c r="AF163" s="1558">
        <f ca="1">SUMPRODUCT('3b Activity Plan'!$AN$173:$AN$365,OFFSET('3b Activity Plan'!$DJ$173:$DJ$365,0,$CU163-1),'3b Activity Plan'!AX$173:AX$365,'3b Activity Plan'!$AH$173:$AH$365,'3b Activity Plan'!$CY$173:$CY$365,('3b Activity Plan'!$C$173:$C$365=$W$130)*1)</f>
        <v>0</v>
      </c>
      <c r="AG163" s="1602">
        <f ca="1">SUMPRODUCT('3b Activity Plan'!$AN$173:$AN$365,OFFSET('3b Activity Plan'!$DJ$173:$DJ$365,0,$CU163-1),'3b Activity Plan'!AO$173:AO$365,'3b Activity Plan'!$AH$173:$AH$365,'3b Activity Plan'!$CY$173:$CY$365,('3b Activity Plan'!$C$173:$C$365=$AG$130)*1)</f>
        <v>0</v>
      </c>
      <c r="AH163" s="1558">
        <f ca="1">SUMPRODUCT('3b Activity Plan'!$AN$173:$AN$365,OFFSET('3b Activity Plan'!$DJ$173:$DJ$365,0,$CU163-1),'3b Activity Plan'!AP$173:AP$365,'3b Activity Plan'!$AH$173:$AH$365,'3b Activity Plan'!$CY$173:$CY$365,('3b Activity Plan'!$C$173:$C$365=$AG$130)*1)</f>
        <v>0</v>
      </c>
      <c r="AI163" s="1558">
        <f ca="1">SUMPRODUCT('3b Activity Plan'!$AN$173:$AN$365,OFFSET('3b Activity Plan'!$DJ$173:$DJ$365,0,$CU163-1),'3b Activity Plan'!AQ$173:AQ$365,'3b Activity Plan'!$AH$173:$AH$365,'3b Activity Plan'!$CY$173:$CY$365,('3b Activity Plan'!$C$173:$C$365=$AG$130)*1)</f>
        <v>0</v>
      </c>
      <c r="AJ163" s="1558">
        <f ca="1">SUMPRODUCT('3b Activity Plan'!$AN$173:$AN$365,OFFSET('3b Activity Plan'!$DJ$173:$DJ$365,0,$CU163-1),'3b Activity Plan'!AR$173:AR$365,'3b Activity Plan'!$AH$173:$AH$365,'3b Activity Plan'!$CY$173:$CY$365,('3b Activity Plan'!$C$173:$C$365=$AG$130)*1)</f>
        <v>0</v>
      </c>
      <c r="AK163" s="1558">
        <f ca="1">SUMPRODUCT('3b Activity Plan'!$AN$173:$AN$365,OFFSET('3b Activity Plan'!$DJ$173:$DJ$365,0,$CU163-1),'3b Activity Plan'!AS$173:AS$365,'3b Activity Plan'!$AH$173:$AH$365,'3b Activity Plan'!$CY$173:$CY$365,('3b Activity Plan'!$C$173:$C$365=$AG$130)*1)</f>
        <v>0</v>
      </c>
      <c r="AL163" s="1558">
        <f ca="1">SUMPRODUCT('3b Activity Plan'!$AN$173:$AN$365,OFFSET('3b Activity Plan'!$DJ$173:$DJ$365,0,$CU163-1),'3b Activity Plan'!AT$173:AT$365,'3b Activity Plan'!$AH$173:$AH$365,'3b Activity Plan'!$CY$173:$CY$365,('3b Activity Plan'!$C$173:$C$365=$AG$130)*1)</f>
        <v>0</v>
      </c>
      <c r="AM163" s="1558">
        <f ca="1">SUMPRODUCT('3b Activity Plan'!$AN$173:$AN$365,OFFSET('3b Activity Plan'!$DJ$173:$DJ$365,0,$CU163-1),'3b Activity Plan'!AU$173:AU$365,'3b Activity Plan'!$AH$173:$AH$365,'3b Activity Plan'!$CY$173:$CY$365,('3b Activity Plan'!$C$173:$C$365=$AG$130)*1)</f>
        <v>0</v>
      </c>
      <c r="AN163" s="1558">
        <f ca="1">SUMPRODUCT('3b Activity Plan'!$AN$173:$AN$365,OFFSET('3b Activity Plan'!$DJ$173:$DJ$365,0,$CU163-1),'3b Activity Plan'!AV$173:AV$365,'3b Activity Plan'!$AH$173:$AH$365,'3b Activity Plan'!$CY$173:$CY$365,('3b Activity Plan'!$C$173:$C$365=$AG$130)*1)</f>
        <v>0</v>
      </c>
      <c r="AO163" s="1558">
        <f ca="1">SUMPRODUCT('3b Activity Plan'!$AN$173:$AN$365,OFFSET('3b Activity Plan'!$DJ$173:$DJ$365,0,$CU163-1),'3b Activity Plan'!AW$173:AW$365,'3b Activity Plan'!$AH$173:$AH$365,'3b Activity Plan'!$CY$173:$CY$365,('3b Activity Plan'!$C$173:$C$365=$AG$130)*1)</f>
        <v>0</v>
      </c>
      <c r="AP163" s="1558">
        <f ca="1">SUMPRODUCT('3b Activity Plan'!$AN$173:$AN$365,OFFSET('3b Activity Plan'!$DJ$173:$DJ$365,0,$CU163-1),'3b Activity Plan'!AX$173:AX$365,'3b Activity Plan'!$AH$173:$AH$365,'3b Activity Plan'!$CY$173:$CY$365,('3b Activity Plan'!$C$173:$C$365=$AG$130)*1)</f>
        <v>0</v>
      </c>
      <c r="AQ163" s="1602">
        <f ca="1">SUMPRODUCT('3b Activity Plan'!$AN$173:$AN$365,OFFSET('3b Activity Plan'!$DJ$173:$DJ$365,0,$CU163-1),'3b Activity Plan'!AO$173:AO$365,'3b Activity Plan'!$AH$173:$AH$365,'3b Activity Plan'!$CY$173:$CY$365,('3b Activity Plan'!$C$173:$C$365=$AQ$130)*1)</f>
        <v>0</v>
      </c>
      <c r="AR163" s="1558">
        <f ca="1">SUMPRODUCT('3b Activity Plan'!$AN$173:$AN$365,OFFSET('3b Activity Plan'!$DJ$173:$DJ$365,0,$CU163-1),'3b Activity Plan'!AP$173:AP$365,'3b Activity Plan'!$AH$173:$AH$365,'3b Activity Plan'!$CY$173:$CY$365,('3b Activity Plan'!$C$173:$C$365=$AQ$130)*1)</f>
        <v>0</v>
      </c>
      <c r="AS163" s="1558">
        <f ca="1">SUMPRODUCT('3b Activity Plan'!$AN$173:$AN$365,OFFSET('3b Activity Plan'!$DJ$173:$DJ$365,0,$CU163-1),'3b Activity Plan'!AQ$173:AQ$365,'3b Activity Plan'!$AH$173:$AH$365,'3b Activity Plan'!$CY$173:$CY$365,('3b Activity Plan'!$C$173:$C$365=$AQ$130)*1)</f>
        <v>0</v>
      </c>
      <c r="AT163" s="1558">
        <f ca="1">SUMPRODUCT('3b Activity Plan'!$AN$173:$AN$365,OFFSET('3b Activity Plan'!$DJ$173:$DJ$365,0,$CU163-1),'3b Activity Plan'!AR$173:AR$365,'3b Activity Plan'!$AH$173:$AH$365,'3b Activity Plan'!$CY$173:$CY$365,('3b Activity Plan'!$C$173:$C$365=$AQ$130)*1)</f>
        <v>0</v>
      </c>
      <c r="AU163" s="1558">
        <f ca="1">SUMPRODUCT('3b Activity Plan'!$AN$173:$AN$365,OFFSET('3b Activity Plan'!$DJ$173:$DJ$365,0,$CU163-1),'3b Activity Plan'!AS$173:AS$365,'3b Activity Plan'!$AH$173:$AH$365,'3b Activity Plan'!$CY$173:$CY$365,('3b Activity Plan'!$C$173:$C$365=$AQ$130)*1)</f>
        <v>0</v>
      </c>
      <c r="AV163" s="1558">
        <f ca="1">SUMPRODUCT('3b Activity Plan'!$AN$173:$AN$365,OFFSET('3b Activity Plan'!$DJ$173:$DJ$365,0,$CU163-1),'3b Activity Plan'!AT$173:AT$365,'3b Activity Plan'!$AH$173:$AH$365,'3b Activity Plan'!$CY$173:$CY$365,('3b Activity Plan'!$C$173:$C$365=$AQ$130)*1)</f>
        <v>0</v>
      </c>
      <c r="AW163" s="1558">
        <f ca="1">SUMPRODUCT('3b Activity Plan'!$AN$173:$AN$365,OFFSET('3b Activity Plan'!$DJ$173:$DJ$365,0,$CU163-1),'3b Activity Plan'!AU$173:AU$365,'3b Activity Plan'!$AH$173:$AH$365,'3b Activity Plan'!$CY$173:$CY$365,('3b Activity Plan'!$C$173:$C$365=$AQ$130)*1)</f>
        <v>0</v>
      </c>
      <c r="AX163" s="1558">
        <f ca="1">SUMPRODUCT('3b Activity Plan'!$AN$173:$AN$365,OFFSET('3b Activity Plan'!$DJ$173:$DJ$365,0,$CU163-1),'3b Activity Plan'!AV$173:AV$365,'3b Activity Plan'!$AH$173:$AH$365,'3b Activity Plan'!$CY$173:$CY$365,('3b Activity Plan'!$C$173:$C$365=$AQ$130)*1)</f>
        <v>0</v>
      </c>
      <c r="AY163" s="1558">
        <f ca="1">SUMPRODUCT('3b Activity Plan'!$AN$173:$AN$365,OFFSET('3b Activity Plan'!$DJ$173:$DJ$365,0,$CU163-1),'3b Activity Plan'!AW$173:AW$365,'3b Activity Plan'!$AH$173:$AH$365,'3b Activity Plan'!$CY$173:$CY$365,('3b Activity Plan'!$C$173:$C$365=$AQ$130)*1)</f>
        <v>0</v>
      </c>
      <c r="AZ163" s="1558">
        <f ca="1">SUMPRODUCT('3b Activity Plan'!$AN$173:$AN$365,OFFSET('3b Activity Plan'!$DJ$173:$DJ$365,0,$CU163-1),'3b Activity Plan'!AX$173:AX$365,'3b Activity Plan'!$AH$173:$AH$365,'3b Activity Plan'!$CY$173:$CY$365,('3b Activity Plan'!$C$173:$C$365=$AQ$130)*1)</f>
        <v>0</v>
      </c>
      <c r="BA163" s="1602">
        <f ca="1">SUMPRODUCT('3b Activity Plan'!$AN$173:$AN$365,OFFSET('3b Activity Plan'!$DJ$173:$DJ$365,0,$CU163-1),'3b Activity Plan'!AO$173:AO$365,'3b Activity Plan'!$AH$173:$AH$365,'3b Activity Plan'!$CY$173:$CY$365,('3b Activity Plan'!$C$173:$C$365=$BA$130)*1)</f>
        <v>0</v>
      </c>
      <c r="BB163" s="1558">
        <f ca="1">SUMPRODUCT('3b Activity Plan'!$AN$173:$AN$365,OFFSET('3b Activity Plan'!$DJ$173:$DJ$365,0,$CU163-1),'3b Activity Plan'!AP$173:AP$365,'3b Activity Plan'!$AH$173:$AH$365,'3b Activity Plan'!$CY$173:$CY$365,('3b Activity Plan'!$C$173:$C$365=$BA$130)*1)</f>
        <v>0</v>
      </c>
      <c r="BC163" s="1558">
        <f ca="1">SUMPRODUCT('3b Activity Plan'!$AN$173:$AN$365,OFFSET('3b Activity Plan'!$DJ$173:$DJ$365,0,$CU163-1),'3b Activity Plan'!AQ$173:AQ$365,'3b Activity Plan'!$AH$173:$AH$365,'3b Activity Plan'!$CY$173:$CY$365,('3b Activity Plan'!$C$173:$C$365=$BA$130)*1)</f>
        <v>0</v>
      </c>
      <c r="BD163" s="1558">
        <f ca="1">SUMPRODUCT('3b Activity Plan'!$AN$173:$AN$365,OFFSET('3b Activity Plan'!$DJ$173:$DJ$365,0,$CU163-1),'3b Activity Plan'!AR$173:AR$365,'3b Activity Plan'!$AH$173:$AH$365,'3b Activity Plan'!$CY$173:$CY$365,('3b Activity Plan'!$C$173:$C$365=$BA$130)*1)</f>
        <v>0</v>
      </c>
      <c r="BE163" s="1558">
        <f ca="1">SUMPRODUCT('3b Activity Plan'!$AN$173:$AN$365,OFFSET('3b Activity Plan'!$DJ$173:$DJ$365,0,$CU163-1),'3b Activity Plan'!AS$173:AS$365,'3b Activity Plan'!$AH$173:$AH$365,'3b Activity Plan'!$CY$173:$CY$365,('3b Activity Plan'!$C$173:$C$365=$BA$130)*1)</f>
        <v>0</v>
      </c>
      <c r="BF163" s="1558">
        <f ca="1">SUMPRODUCT('3b Activity Plan'!$AN$173:$AN$365,OFFSET('3b Activity Plan'!$DJ$173:$DJ$365,0,$CU163-1),'3b Activity Plan'!AT$173:AT$365,'3b Activity Plan'!$AH$173:$AH$365,'3b Activity Plan'!$CY$173:$CY$365,('3b Activity Plan'!$C$173:$C$365=$BA$130)*1)</f>
        <v>0</v>
      </c>
      <c r="BG163" s="1558">
        <f ca="1">SUMPRODUCT('3b Activity Plan'!$AN$173:$AN$365,OFFSET('3b Activity Plan'!$DJ$173:$DJ$365,0,$CU163-1),'3b Activity Plan'!AU$173:AU$365,'3b Activity Plan'!$AH$173:$AH$365,'3b Activity Plan'!$CY$173:$CY$365,('3b Activity Plan'!$C$173:$C$365=$BA$130)*1)</f>
        <v>0</v>
      </c>
      <c r="BH163" s="1558">
        <f ca="1">SUMPRODUCT('3b Activity Plan'!$AN$173:$AN$365,OFFSET('3b Activity Plan'!$DJ$173:$DJ$365,0,$CU163-1),'3b Activity Plan'!AV$173:AV$365,'3b Activity Plan'!$AH$173:$AH$365,'3b Activity Plan'!$CY$173:$CY$365,('3b Activity Plan'!$C$173:$C$365=$BA$130)*1)</f>
        <v>0</v>
      </c>
      <c r="BI163" s="1558">
        <f ca="1">SUMPRODUCT('3b Activity Plan'!$AN$173:$AN$365,OFFSET('3b Activity Plan'!$DJ$173:$DJ$365,0,$CU163-1),'3b Activity Plan'!AW$173:AW$365,'3b Activity Plan'!$AH$173:$AH$365,'3b Activity Plan'!$CY$173:$CY$365,('3b Activity Plan'!$C$173:$C$365=$BA$130)*1)</f>
        <v>0</v>
      </c>
      <c r="BJ163" s="1558">
        <f ca="1">SUMPRODUCT('3b Activity Plan'!$AN$173:$AN$365,OFFSET('3b Activity Plan'!$DJ$173:$DJ$365,0,$CU163-1),'3b Activity Plan'!AX$173:AX$365,'3b Activity Plan'!$AH$173:$AH$365,'3b Activity Plan'!$CY$173:$CY$365,('3b Activity Plan'!$C$173:$C$365=$BA$130)*1)</f>
        <v>0</v>
      </c>
      <c r="BK163" s="1602">
        <f ca="1">SUMPRODUCT('3b Activity Plan'!$AN$173:$AN$365,OFFSET('3b Activity Plan'!$DJ$173:$DJ$365,0,$CU163-1),'3b Activity Plan'!AO$173:AO$365,'3b Activity Plan'!$AH$173:$AH$365,'3b Activity Plan'!$CY$173:$CY$365,('3b Activity Plan'!$C$173:$C$365=$BK$130)*1)</f>
        <v>0</v>
      </c>
      <c r="BL163" s="1558">
        <f ca="1">SUMPRODUCT('3b Activity Plan'!$AN$173:$AN$365,OFFSET('3b Activity Plan'!$DJ$173:$DJ$365,0,$CU163-1),'3b Activity Plan'!AP$173:AP$365,'3b Activity Plan'!$AH$173:$AH$365,'3b Activity Plan'!$CY$173:$CY$365,('3b Activity Plan'!$C$173:$C$365=$BK$130)*1)</f>
        <v>0</v>
      </c>
      <c r="BM163" s="1558">
        <f ca="1">SUMPRODUCT('3b Activity Plan'!$AN$173:$AN$365,OFFSET('3b Activity Plan'!$DJ$173:$DJ$365,0,$CU163-1),'3b Activity Plan'!AQ$173:AQ$365,'3b Activity Plan'!$AH$173:$AH$365,'3b Activity Plan'!$CY$173:$CY$365,('3b Activity Plan'!$C$173:$C$365=$BK$130)*1)</f>
        <v>0</v>
      </c>
      <c r="BN163" s="1558">
        <f ca="1">SUMPRODUCT('3b Activity Plan'!$AN$173:$AN$365,OFFSET('3b Activity Plan'!$DJ$173:$DJ$365,0,$CU163-1),'3b Activity Plan'!AR$173:AR$365,'3b Activity Plan'!$AH$173:$AH$365,'3b Activity Plan'!$CY$173:$CY$365,('3b Activity Plan'!$C$173:$C$365=$BK$130)*1)</f>
        <v>0</v>
      </c>
      <c r="BO163" s="1558">
        <f ca="1">SUMPRODUCT('3b Activity Plan'!$AN$173:$AN$365,OFFSET('3b Activity Plan'!$DJ$173:$DJ$365,0,$CU163-1),'3b Activity Plan'!AS$173:AS$365,'3b Activity Plan'!$AH$173:$AH$365,'3b Activity Plan'!$CY$173:$CY$365,('3b Activity Plan'!$C$173:$C$365=$BK$130)*1)</f>
        <v>0</v>
      </c>
      <c r="BP163" s="1558">
        <f ca="1">SUMPRODUCT('3b Activity Plan'!$AN$173:$AN$365,OFFSET('3b Activity Plan'!$DJ$173:$DJ$365,0,$CU163-1),'3b Activity Plan'!AT$173:AT$365,'3b Activity Plan'!$AH$173:$AH$365,'3b Activity Plan'!$CY$173:$CY$365,('3b Activity Plan'!$C$173:$C$365=$BK$130)*1)</f>
        <v>0</v>
      </c>
      <c r="BQ163" s="1558">
        <f ca="1">SUMPRODUCT('3b Activity Plan'!$AN$173:$AN$365,OFFSET('3b Activity Plan'!$DJ$173:$DJ$365,0,$CU163-1),'3b Activity Plan'!AU$173:AU$365,'3b Activity Plan'!$AH$173:$AH$365,'3b Activity Plan'!$CY$173:$CY$365,('3b Activity Plan'!$C$173:$C$365=$BK$130)*1)</f>
        <v>0</v>
      </c>
      <c r="BR163" s="1558">
        <f ca="1">SUMPRODUCT('3b Activity Plan'!$AN$173:$AN$365,OFFSET('3b Activity Plan'!$DJ$173:$DJ$365,0,$CU163-1),'3b Activity Plan'!AV$173:AV$365,'3b Activity Plan'!$AH$173:$AH$365,'3b Activity Plan'!$CY$173:$CY$365,('3b Activity Plan'!$C$173:$C$365=$BK$130)*1)</f>
        <v>0</v>
      </c>
      <c r="BS163" s="1558">
        <f ca="1">SUMPRODUCT('3b Activity Plan'!$AN$173:$AN$365,OFFSET('3b Activity Plan'!$DJ$173:$DJ$365,0,$CU163-1),'3b Activity Plan'!AW$173:AW$365,'3b Activity Plan'!$AH$173:$AH$365,'3b Activity Plan'!$CY$173:$CY$365,('3b Activity Plan'!$C$173:$C$365=$BK$130)*1)</f>
        <v>0</v>
      </c>
      <c r="BT163" s="1558">
        <f ca="1">SUMPRODUCT('3b Activity Plan'!$AN$173:$AN$365,OFFSET('3b Activity Plan'!$DJ$173:$DJ$365,0,$CU163-1),'3b Activity Plan'!AX$173:AX$365,'3b Activity Plan'!$AH$173:$AH$365,'3b Activity Plan'!$CY$173:$CY$365,('3b Activity Plan'!$C$173:$C$365=$BK$130)*1)</f>
        <v>0</v>
      </c>
      <c r="BU163" s="1587"/>
      <c r="BV163" s="1587"/>
      <c r="BW163" s="1587"/>
      <c r="BX163" s="1556"/>
      <c r="BY163" s="1556"/>
      <c r="BZ163" s="1556"/>
      <c r="CA163" s="1024">
        <f ca="1">SUMIFS('3a Staff Plan'!$T$129:$T$305,'3a Staff Plan'!$DY$129:$DY$305,CZ163,'3a Staff Plan'!$DF$129:$DF$305,1)</f>
        <v>0</v>
      </c>
      <c r="CB163" s="1025">
        <f ca="1">SUMIFS('3a Staff Plan'!$T$129:$T$305,'3a Staff Plan'!$DY$129:$DY$305,$CZ163,'3a Staff Plan'!$DF$129:$DF$305,1,'3a Staff Plan'!$C$129:$C$305,DC$18)</f>
        <v>0</v>
      </c>
      <c r="CC163" s="1026">
        <f ca="1">SUMIFS('3a Staff Plan'!$T$129:$T$305,'3a Staff Plan'!$DY$129:$DY$305,$CZ163,'3a Staff Plan'!$DF$129:$DF$305,1,'3a Staff Plan'!$C$129:$C$305,DD$18)</f>
        <v>0</v>
      </c>
      <c r="CD163" s="1026">
        <f ca="1">SUMIFS('3a Staff Plan'!$T$129:$T$305,'3a Staff Plan'!$DY$129:$DY$305,$CZ163,'3a Staff Plan'!$DF$129:$DF$305,1,'3a Staff Plan'!$C$129:$C$305,DE$18)</f>
        <v>0</v>
      </c>
      <c r="CE163" s="1026">
        <f ca="1">SUMIFS('3a Staff Plan'!$T$129:$T$305,'3a Staff Plan'!$DY$129:$DY$305,$CZ163,'3a Staff Plan'!$DF$129:$DF$305,1,'3a Staff Plan'!$C$129:$C$305,DF$18)</f>
        <v>0</v>
      </c>
      <c r="CF163" s="1026">
        <f ca="1">SUMIFS('3a Staff Plan'!$T$129:$T$305,'3a Staff Plan'!$DY$129:$DY$305,$CZ163,'3a Staff Plan'!$DF$129:$DF$305,1,'3a Staff Plan'!$C$129:$C$305,DG$18)</f>
        <v>0</v>
      </c>
      <c r="CG163" s="1026">
        <f ca="1">SUMIFS('3a Staff Plan'!$T$129:$T$305,'3a Staff Plan'!$DY$129:$DY$305,$CZ163,'3a Staff Plan'!$DF$129:$DF$305,1,'3a Staff Plan'!$C$129:$C$305,DH$18)</f>
        <v>0</v>
      </c>
      <c r="CH163" s="1026">
        <f ca="1">SUMIFS('3a Staff Plan'!$T$129:$T$305,'3a Staff Plan'!$DY$129:$DY$305,$CZ163,'3a Staff Plan'!$DF$129:$DF$305,1,'3a Staff Plan'!$C$129:$C$305,DI$18)</f>
        <v>0</v>
      </c>
      <c r="CI163" s="755"/>
      <c r="CJ163" s="1024">
        <f ca="1">SUMPRODUCT('3b Activity Plan'!$AN$173:$AN$365,'3b Activity Plan'!$CY$173:$CY$365,'3b Activity Plan'!$AH$173:$AH$365,OFFSET('3b Activity Plan'!$DJ$173:$DJ$365,0,$CU163-1))</f>
        <v>0</v>
      </c>
      <c r="CK163" s="1025">
        <f t="shared" ca="1" si="93"/>
        <v>0</v>
      </c>
      <c r="CL163" s="1026">
        <f t="shared" ca="1" si="94"/>
        <v>0</v>
      </c>
      <c r="CM163" s="1026">
        <f t="shared" ca="1" si="95"/>
        <v>0</v>
      </c>
      <c r="CN163" s="1026">
        <f t="shared" ca="1" si="96"/>
        <v>0</v>
      </c>
      <c r="CO163" s="1026">
        <f t="shared" ca="1" si="97"/>
        <v>0</v>
      </c>
      <c r="CP163" s="1026">
        <f t="shared" ca="1" si="98"/>
        <v>0</v>
      </c>
      <c r="CQ163" s="1026">
        <f t="shared" ca="1" si="99"/>
        <v>0</v>
      </c>
      <c r="CR163" s="417"/>
      <c r="CS163" s="417">
        <f t="shared" si="100"/>
        <v>31</v>
      </c>
      <c r="CT163" s="417">
        <f ca="1">OFFSET('2 Staff List'!$GU$64,CS163-1,0)</f>
        <v>31</v>
      </c>
      <c r="CU163" s="417">
        <f ca="1">IF(CZ163=0,0,IFERROR(INDEX('3b Activity Plan'!$DJ$20:$FH$20,MATCH(CT163,'3b Activity Plan'!$DJ$171:$FH$171,0)),0))</f>
        <v>0</v>
      </c>
      <c r="CV163" s="417">
        <f ca="1">INDEX('2 Staff List'!$HW$64:$HW$114,CT163)</f>
        <v>0</v>
      </c>
      <c r="CW163" s="417"/>
      <c r="CY163" s="927">
        <f ca="1">OFFSET('2 Staff List'!$HZ$64,CS163-1,0)</f>
        <v>0</v>
      </c>
      <c r="CZ163" s="975">
        <f ca="1">OFFSET('2 Staff List'!$IA$64,CT163-1,0)</f>
        <v>0</v>
      </c>
      <c r="DA163" s="3840">
        <f t="shared" ca="1" si="92"/>
        <v>0</v>
      </c>
      <c r="DB163" s="3841"/>
      <c r="DC163" s="2408">
        <f t="shared" ca="1" si="85"/>
        <v>0</v>
      </c>
      <c r="DD163" s="2405">
        <f t="shared" ca="1" si="86"/>
        <v>0</v>
      </c>
      <c r="DE163" s="2405">
        <f t="shared" ca="1" si="87"/>
        <v>0</v>
      </c>
      <c r="DF163" s="2405">
        <f t="shared" ca="1" si="88"/>
        <v>0</v>
      </c>
      <c r="DG163" s="2405">
        <f t="shared" ca="1" si="89"/>
        <v>0</v>
      </c>
      <c r="DH163" s="2406">
        <f t="shared" ca="1" si="90"/>
        <v>0</v>
      </c>
      <c r="DI163" s="2407">
        <f t="shared" ca="1" si="91"/>
        <v>0</v>
      </c>
    </row>
    <row r="164" spans="1:113" ht="15.9" customHeight="1" x14ac:dyDescent="0.25">
      <c r="A164" s="1051"/>
      <c r="B164" s="1556"/>
      <c r="C164" s="1558">
        <f ca="1">SUMPRODUCT('3b Activity Plan'!$AN$173:$AN$365,OFFSET('3b Activity Plan'!$DJ$173:$DJ$365,0,$CU164-1),'3b Activity Plan'!AO$173:AO$365,'3b Activity Plan'!$AH$173:$AH$365,'3b Activity Plan'!$CY$173:$CY$365,('3b Activity Plan'!$C$173:$C$365=$C$130)*1)</f>
        <v>0</v>
      </c>
      <c r="D164" s="1558">
        <f ca="1">SUMPRODUCT('3b Activity Plan'!$AN$173:$AN$365,OFFSET('3b Activity Plan'!$DJ$173:$DJ$365,0,$CU164-1),'3b Activity Plan'!AP$173:AP$365,'3b Activity Plan'!$AH$173:$AH$365,'3b Activity Plan'!$CY$173:$CY$365,('3b Activity Plan'!$C$173:$C$365=$C$130)*1)</f>
        <v>0</v>
      </c>
      <c r="E164" s="1558">
        <f ca="1">SUMPRODUCT('3b Activity Plan'!$AN$173:$AN$365,OFFSET('3b Activity Plan'!$DJ$173:$DJ$365,0,$CU164-1),'3b Activity Plan'!AQ$173:AQ$365,'3b Activity Plan'!$AH$173:$AH$365,'3b Activity Plan'!$CY$173:$CY$365,('3b Activity Plan'!$C$173:$C$365=$C$130)*1)</f>
        <v>0</v>
      </c>
      <c r="F164" s="1558">
        <f ca="1">SUMPRODUCT('3b Activity Plan'!$AN$173:$AN$365,OFFSET('3b Activity Plan'!$DJ$173:$DJ$365,0,$CU164-1),'3b Activity Plan'!AR$173:AR$365,'3b Activity Plan'!$AH$173:$AH$365,'3b Activity Plan'!$CY$173:$CY$365,('3b Activity Plan'!$C$173:$C$365=$C$130)*1)</f>
        <v>0</v>
      </c>
      <c r="G164" s="1558">
        <f ca="1">SUMPRODUCT('3b Activity Plan'!$AN$173:$AN$365,OFFSET('3b Activity Plan'!$DJ$173:$DJ$365,0,$CU164-1),'3b Activity Plan'!AS$173:AS$365,'3b Activity Plan'!$AH$173:$AH$365,'3b Activity Plan'!$CY$173:$CY$365,('3b Activity Plan'!$C$173:$C$365=$C$130)*1)</f>
        <v>0</v>
      </c>
      <c r="H164" s="1558">
        <f ca="1">SUMPRODUCT('3b Activity Plan'!$AN$173:$AN$365,OFFSET('3b Activity Plan'!$DJ$173:$DJ$365,0,$CU164-1),'3b Activity Plan'!AT$173:AT$365,'3b Activity Plan'!$AH$173:$AH$365,'3b Activity Plan'!$CY$173:$CY$365,('3b Activity Plan'!$C$173:$C$365=$C$130)*1)</f>
        <v>0</v>
      </c>
      <c r="I164" s="1558">
        <f ca="1">SUMPRODUCT('3b Activity Plan'!$AN$173:$AN$365,OFFSET('3b Activity Plan'!$DJ$173:$DJ$365,0,$CU164-1),'3b Activity Plan'!AU$173:AU$365,'3b Activity Plan'!$AH$173:$AH$365,'3b Activity Plan'!$CY$173:$CY$365,('3b Activity Plan'!$C$173:$C$365=$C$130)*1)</f>
        <v>0</v>
      </c>
      <c r="J164" s="1558">
        <f ca="1">SUMPRODUCT('3b Activity Plan'!$AN$173:$AN$365,OFFSET('3b Activity Plan'!$DJ$173:$DJ$365,0,$CU164-1),'3b Activity Plan'!AV$173:AV$365,'3b Activity Plan'!$AH$173:$AH$365,'3b Activity Plan'!$CY$173:$CY$365,('3b Activity Plan'!$C$173:$C$365=$C$130)*1)</f>
        <v>0</v>
      </c>
      <c r="K164" s="1558">
        <f ca="1">SUMPRODUCT('3b Activity Plan'!$AN$173:$AN$365,OFFSET('3b Activity Plan'!$DJ$173:$DJ$365,0,$CU164-1),'3b Activity Plan'!AW$173:AW$365,'3b Activity Plan'!$AH$173:$AH$365,'3b Activity Plan'!$CY$173:$CY$365,('3b Activity Plan'!$C$173:$C$365=$C$130)*1)</f>
        <v>0</v>
      </c>
      <c r="L164" s="1601">
        <f ca="1">SUMPRODUCT('3b Activity Plan'!$AN$173:$AN$365,OFFSET('3b Activity Plan'!$DJ$173:$DJ$365,0,$CU164-1),'3b Activity Plan'!AX$173:AX$365,'3b Activity Plan'!$AH$173:$AH$365,'3b Activity Plan'!$CY$173:$CY$365,('3b Activity Plan'!$C$173:$C$365=$C$130)*1)</f>
        <v>0</v>
      </c>
      <c r="M164" s="1602">
        <f ca="1">SUMPRODUCT('3b Activity Plan'!$AN$173:$AN$365,OFFSET('3b Activity Plan'!$DJ$173:$DJ$365,0,$CU164-1),'3b Activity Plan'!AO$173:AO$365,'3b Activity Plan'!$AH$173:$AH$365,'3b Activity Plan'!$CY$173:$CY$365,('3b Activity Plan'!$C$173:$C$365=$M$130)*1)</f>
        <v>0</v>
      </c>
      <c r="N164" s="1558">
        <f ca="1">SUMPRODUCT('3b Activity Plan'!$AN$173:$AN$365,OFFSET('3b Activity Plan'!$DJ$173:$DJ$365,0,$CU164-1),'3b Activity Plan'!AP$173:AP$365,'3b Activity Plan'!$AH$173:$AH$365,'3b Activity Plan'!$CY$173:$CY$365,('3b Activity Plan'!$C$173:$C$365=$M$130)*1)</f>
        <v>0</v>
      </c>
      <c r="O164" s="1558">
        <f ca="1">SUMPRODUCT('3b Activity Plan'!$AN$173:$AN$365,OFFSET('3b Activity Plan'!$DJ$173:$DJ$365,0,$CU164-1),'3b Activity Plan'!AQ$173:AQ$365,'3b Activity Plan'!$AH$173:$AH$365,'3b Activity Plan'!$CY$173:$CY$365,('3b Activity Plan'!$C$173:$C$365=$M$130)*1)</f>
        <v>0</v>
      </c>
      <c r="P164" s="1558">
        <f ca="1">SUMPRODUCT('3b Activity Plan'!$AN$173:$AN$365,OFFSET('3b Activity Plan'!$DJ$173:$DJ$365,0,$CU164-1),'3b Activity Plan'!AR$173:AR$365,'3b Activity Plan'!$AH$173:$AH$365,'3b Activity Plan'!$CY$173:$CY$365,('3b Activity Plan'!$C$173:$C$365=$M$130)*1)</f>
        <v>0</v>
      </c>
      <c r="Q164" s="1558">
        <f ca="1">SUMPRODUCT('3b Activity Plan'!$AN$173:$AN$365,OFFSET('3b Activity Plan'!$DJ$173:$DJ$365,0,$CU164-1),'3b Activity Plan'!AS$173:AS$365,'3b Activity Plan'!$AH$173:$AH$365,'3b Activity Plan'!$CY$173:$CY$365,('3b Activity Plan'!$C$173:$C$365=$M$130)*1)</f>
        <v>0</v>
      </c>
      <c r="R164" s="1558">
        <f ca="1">SUMPRODUCT('3b Activity Plan'!$AN$173:$AN$365,OFFSET('3b Activity Plan'!$DJ$173:$DJ$365,0,$CU164-1),'3b Activity Plan'!AT$173:AT$365,'3b Activity Plan'!$AH$173:$AH$365,'3b Activity Plan'!$CY$173:$CY$365,('3b Activity Plan'!$C$173:$C$365=$M$130)*1)</f>
        <v>0</v>
      </c>
      <c r="S164" s="1558">
        <f ca="1">SUMPRODUCT('3b Activity Plan'!$AN$173:$AN$365,OFFSET('3b Activity Plan'!$DJ$173:$DJ$365,0,$CU164-1),'3b Activity Plan'!AU$173:AU$365,'3b Activity Plan'!$AH$173:$AH$365,'3b Activity Plan'!$CY$173:$CY$365,('3b Activity Plan'!$C$173:$C$365=$M$130)*1)</f>
        <v>0</v>
      </c>
      <c r="T164" s="1558">
        <f ca="1">SUMPRODUCT('3b Activity Plan'!$AN$173:$AN$365,OFFSET('3b Activity Plan'!$DJ$173:$DJ$365,0,$CU164-1),'3b Activity Plan'!AV$173:AV$365,'3b Activity Plan'!$AH$173:$AH$365,'3b Activity Plan'!$CY$173:$CY$365,('3b Activity Plan'!$C$173:$C$365=$M$130)*1)</f>
        <v>0</v>
      </c>
      <c r="U164" s="1558">
        <f ca="1">SUMPRODUCT('3b Activity Plan'!$AN$173:$AN$365,OFFSET('3b Activity Plan'!$DJ$173:$DJ$365,0,$CU164-1),'3b Activity Plan'!AW$173:AW$365,'3b Activity Plan'!$AH$173:$AH$365,'3b Activity Plan'!$CY$173:$CY$365,('3b Activity Plan'!$C$173:$C$365=$M$130)*1)</f>
        <v>0</v>
      </c>
      <c r="V164" s="1601">
        <f ca="1">SUMPRODUCT('3b Activity Plan'!$AN$173:$AN$365,OFFSET('3b Activity Plan'!$DJ$173:$DJ$365,0,$CU164-1),'3b Activity Plan'!AX$173:AX$365,'3b Activity Plan'!$AH$173:$AH$365,'3b Activity Plan'!$CY$173:$CY$365,('3b Activity Plan'!$C$173:$C$365=$M$130)*1)</f>
        <v>0</v>
      </c>
      <c r="W164" s="1602">
        <f ca="1">SUMPRODUCT('3b Activity Plan'!$AN$173:$AN$365,OFFSET('3b Activity Plan'!$DJ$173:$DJ$365,0,$CU164-1),'3b Activity Plan'!AO$173:AO$365,'3b Activity Plan'!$AH$173:$AH$365,'3b Activity Plan'!$CY$173:$CY$365,('3b Activity Plan'!$C$173:$C$365=$W$130)*1)</f>
        <v>0</v>
      </c>
      <c r="X164" s="1558">
        <f ca="1">SUMPRODUCT('3b Activity Plan'!$AN$173:$AN$365,OFFSET('3b Activity Plan'!$DJ$173:$DJ$365,0,$CU164-1),'3b Activity Plan'!AP$173:AP$365,'3b Activity Plan'!$AH$173:$AH$365,'3b Activity Plan'!$CY$173:$CY$365,('3b Activity Plan'!$C$173:$C$365=$W$130)*1)</f>
        <v>0</v>
      </c>
      <c r="Y164" s="1558">
        <f ca="1">SUMPRODUCT('3b Activity Plan'!$AN$173:$AN$365,OFFSET('3b Activity Plan'!$DJ$173:$DJ$365,0,$CU164-1),'3b Activity Plan'!AQ$173:AQ$365,'3b Activity Plan'!$AH$173:$AH$365,'3b Activity Plan'!$CY$173:$CY$365,('3b Activity Plan'!$C$173:$C$365=$W$130)*1)</f>
        <v>0</v>
      </c>
      <c r="Z164" s="1558">
        <f ca="1">SUMPRODUCT('3b Activity Plan'!$AN$173:$AN$365,OFFSET('3b Activity Plan'!$DJ$173:$DJ$365,0,$CU164-1),'3b Activity Plan'!AR$173:AR$365,'3b Activity Plan'!$AH$173:$AH$365,'3b Activity Plan'!$CY$173:$CY$365,('3b Activity Plan'!$C$173:$C$365=$W$130)*1)</f>
        <v>0</v>
      </c>
      <c r="AA164" s="1558">
        <f ca="1">SUMPRODUCT('3b Activity Plan'!$AN$173:$AN$365,OFFSET('3b Activity Plan'!$DJ$173:$DJ$365,0,$CU164-1),'3b Activity Plan'!AS$173:AS$365,'3b Activity Plan'!$AH$173:$AH$365,'3b Activity Plan'!$CY$173:$CY$365,('3b Activity Plan'!$C$173:$C$365=$W$130)*1)</f>
        <v>0</v>
      </c>
      <c r="AB164" s="1558">
        <f ca="1">SUMPRODUCT('3b Activity Plan'!$AN$173:$AN$365,OFFSET('3b Activity Plan'!$DJ$173:$DJ$365,0,$CU164-1),'3b Activity Plan'!AT$173:AT$365,'3b Activity Plan'!$AH$173:$AH$365,'3b Activity Plan'!$CY$173:$CY$365,('3b Activity Plan'!$C$173:$C$365=$W$130)*1)</f>
        <v>0</v>
      </c>
      <c r="AC164" s="1558">
        <f ca="1">SUMPRODUCT('3b Activity Plan'!$AN$173:$AN$365,OFFSET('3b Activity Plan'!$DJ$173:$DJ$365,0,$CU164-1),'3b Activity Plan'!AU$173:AU$365,'3b Activity Plan'!$AH$173:$AH$365,'3b Activity Plan'!$CY$173:$CY$365,('3b Activity Plan'!$C$173:$C$365=$W$130)*1)</f>
        <v>0</v>
      </c>
      <c r="AD164" s="1558">
        <f ca="1">SUMPRODUCT('3b Activity Plan'!$AN$173:$AN$365,OFFSET('3b Activity Plan'!$DJ$173:$DJ$365,0,$CU164-1),'3b Activity Plan'!AV$173:AV$365,'3b Activity Plan'!$AH$173:$AH$365,'3b Activity Plan'!$CY$173:$CY$365,('3b Activity Plan'!$C$173:$C$365=$W$130)*1)</f>
        <v>0</v>
      </c>
      <c r="AE164" s="1558">
        <f ca="1">SUMPRODUCT('3b Activity Plan'!$AN$173:$AN$365,OFFSET('3b Activity Plan'!$DJ$173:$DJ$365,0,$CU164-1),'3b Activity Plan'!AW$173:AW$365,'3b Activity Plan'!$AH$173:$AH$365,'3b Activity Plan'!$CY$173:$CY$365,('3b Activity Plan'!$C$173:$C$365=$W$130)*1)</f>
        <v>0</v>
      </c>
      <c r="AF164" s="1558">
        <f ca="1">SUMPRODUCT('3b Activity Plan'!$AN$173:$AN$365,OFFSET('3b Activity Plan'!$DJ$173:$DJ$365,0,$CU164-1),'3b Activity Plan'!AX$173:AX$365,'3b Activity Plan'!$AH$173:$AH$365,'3b Activity Plan'!$CY$173:$CY$365,('3b Activity Plan'!$C$173:$C$365=$W$130)*1)</f>
        <v>0</v>
      </c>
      <c r="AG164" s="1602">
        <f ca="1">SUMPRODUCT('3b Activity Plan'!$AN$173:$AN$365,OFFSET('3b Activity Plan'!$DJ$173:$DJ$365,0,$CU164-1),'3b Activity Plan'!AO$173:AO$365,'3b Activity Plan'!$AH$173:$AH$365,'3b Activity Plan'!$CY$173:$CY$365,('3b Activity Plan'!$C$173:$C$365=$AG$130)*1)</f>
        <v>0</v>
      </c>
      <c r="AH164" s="1558">
        <f ca="1">SUMPRODUCT('3b Activity Plan'!$AN$173:$AN$365,OFFSET('3b Activity Plan'!$DJ$173:$DJ$365,0,$CU164-1),'3b Activity Plan'!AP$173:AP$365,'3b Activity Plan'!$AH$173:$AH$365,'3b Activity Plan'!$CY$173:$CY$365,('3b Activity Plan'!$C$173:$C$365=$AG$130)*1)</f>
        <v>0</v>
      </c>
      <c r="AI164" s="1558">
        <f ca="1">SUMPRODUCT('3b Activity Plan'!$AN$173:$AN$365,OFFSET('3b Activity Plan'!$DJ$173:$DJ$365,0,$CU164-1),'3b Activity Plan'!AQ$173:AQ$365,'3b Activity Plan'!$AH$173:$AH$365,'3b Activity Plan'!$CY$173:$CY$365,('3b Activity Plan'!$C$173:$C$365=$AG$130)*1)</f>
        <v>0</v>
      </c>
      <c r="AJ164" s="1558">
        <f ca="1">SUMPRODUCT('3b Activity Plan'!$AN$173:$AN$365,OFFSET('3b Activity Plan'!$DJ$173:$DJ$365,0,$CU164-1),'3b Activity Plan'!AR$173:AR$365,'3b Activity Plan'!$AH$173:$AH$365,'3b Activity Plan'!$CY$173:$CY$365,('3b Activity Plan'!$C$173:$C$365=$AG$130)*1)</f>
        <v>0</v>
      </c>
      <c r="AK164" s="1558">
        <f ca="1">SUMPRODUCT('3b Activity Plan'!$AN$173:$AN$365,OFFSET('3b Activity Plan'!$DJ$173:$DJ$365,0,$CU164-1),'3b Activity Plan'!AS$173:AS$365,'3b Activity Plan'!$AH$173:$AH$365,'3b Activity Plan'!$CY$173:$CY$365,('3b Activity Plan'!$C$173:$C$365=$AG$130)*1)</f>
        <v>0</v>
      </c>
      <c r="AL164" s="1558">
        <f ca="1">SUMPRODUCT('3b Activity Plan'!$AN$173:$AN$365,OFFSET('3b Activity Plan'!$DJ$173:$DJ$365,0,$CU164-1),'3b Activity Plan'!AT$173:AT$365,'3b Activity Plan'!$AH$173:$AH$365,'3b Activity Plan'!$CY$173:$CY$365,('3b Activity Plan'!$C$173:$C$365=$AG$130)*1)</f>
        <v>0</v>
      </c>
      <c r="AM164" s="1558">
        <f ca="1">SUMPRODUCT('3b Activity Plan'!$AN$173:$AN$365,OFFSET('3b Activity Plan'!$DJ$173:$DJ$365,0,$CU164-1),'3b Activity Plan'!AU$173:AU$365,'3b Activity Plan'!$AH$173:$AH$365,'3b Activity Plan'!$CY$173:$CY$365,('3b Activity Plan'!$C$173:$C$365=$AG$130)*1)</f>
        <v>0</v>
      </c>
      <c r="AN164" s="1558">
        <f ca="1">SUMPRODUCT('3b Activity Plan'!$AN$173:$AN$365,OFFSET('3b Activity Plan'!$DJ$173:$DJ$365,0,$CU164-1),'3b Activity Plan'!AV$173:AV$365,'3b Activity Plan'!$AH$173:$AH$365,'3b Activity Plan'!$CY$173:$CY$365,('3b Activity Plan'!$C$173:$C$365=$AG$130)*1)</f>
        <v>0</v>
      </c>
      <c r="AO164" s="1558">
        <f ca="1">SUMPRODUCT('3b Activity Plan'!$AN$173:$AN$365,OFFSET('3b Activity Plan'!$DJ$173:$DJ$365,0,$CU164-1),'3b Activity Plan'!AW$173:AW$365,'3b Activity Plan'!$AH$173:$AH$365,'3b Activity Plan'!$CY$173:$CY$365,('3b Activity Plan'!$C$173:$C$365=$AG$130)*1)</f>
        <v>0</v>
      </c>
      <c r="AP164" s="1558">
        <f ca="1">SUMPRODUCT('3b Activity Plan'!$AN$173:$AN$365,OFFSET('3b Activity Plan'!$DJ$173:$DJ$365,0,$CU164-1),'3b Activity Plan'!AX$173:AX$365,'3b Activity Plan'!$AH$173:$AH$365,'3b Activity Plan'!$CY$173:$CY$365,('3b Activity Plan'!$C$173:$C$365=$AG$130)*1)</f>
        <v>0</v>
      </c>
      <c r="AQ164" s="1602">
        <f ca="1">SUMPRODUCT('3b Activity Plan'!$AN$173:$AN$365,OFFSET('3b Activity Plan'!$DJ$173:$DJ$365,0,$CU164-1),'3b Activity Plan'!AO$173:AO$365,'3b Activity Plan'!$AH$173:$AH$365,'3b Activity Plan'!$CY$173:$CY$365,('3b Activity Plan'!$C$173:$C$365=$AQ$130)*1)</f>
        <v>0</v>
      </c>
      <c r="AR164" s="1558">
        <f ca="1">SUMPRODUCT('3b Activity Plan'!$AN$173:$AN$365,OFFSET('3b Activity Plan'!$DJ$173:$DJ$365,0,$CU164-1),'3b Activity Plan'!AP$173:AP$365,'3b Activity Plan'!$AH$173:$AH$365,'3b Activity Plan'!$CY$173:$CY$365,('3b Activity Plan'!$C$173:$C$365=$AQ$130)*1)</f>
        <v>0</v>
      </c>
      <c r="AS164" s="1558">
        <f ca="1">SUMPRODUCT('3b Activity Plan'!$AN$173:$AN$365,OFFSET('3b Activity Plan'!$DJ$173:$DJ$365,0,$CU164-1),'3b Activity Plan'!AQ$173:AQ$365,'3b Activity Plan'!$AH$173:$AH$365,'3b Activity Plan'!$CY$173:$CY$365,('3b Activity Plan'!$C$173:$C$365=$AQ$130)*1)</f>
        <v>0</v>
      </c>
      <c r="AT164" s="1558">
        <f ca="1">SUMPRODUCT('3b Activity Plan'!$AN$173:$AN$365,OFFSET('3b Activity Plan'!$DJ$173:$DJ$365,0,$CU164-1),'3b Activity Plan'!AR$173:AR$365,'3b Activity Plan'!$AH$173:$AH$365,'3b Activity Plan'!$CY$173:$CY$365,('3b Activity Plan'!$C$173:$C$365=$AQ$130)*1)</f>
        <v>0</v>
      </c>
      <c r="AU164" s="1558">
        <f ca="1">SUMPRODUCT('3b Activity Plan'!$AN$173:$AN$365,OFFSET('3b Activity Plan'!$DJ$173:$DJ$365,0,$CU164-1),'3b Activity Plan'!AS$173:AS$365,'3b Activity Plan'!$AH$173:$AH$365,'3b Activity Plan'!$CY$173:$CY$365,('3b Activity Plan'!$C$173:$C$365=$AQ$130)*1)</f>
        <v>0</v>
      </c>
      <c r="AV164" s="1558">
        <f ca="1">SUMPRODUCT('3b Activity Plan'!$AN$173:$AN$365,OFFSET('3b Activity Plan'!$DJ$173:$DJ$365,0,$CU164-1),'3b Activity Plan'!AT$173:AT$365,'3b Activity Plan'!$AH$173:$AH$365,'3b Activity Plan'!$CY$173:$CY$365,('3b Activity Plan'!$C$173:$C$365=$AQ$130)*1)</f>
        <v>0</v>
      </c>
      <c r="AW164" s="1558">
        <f ca="1">SUMPRODUCT('3b Activity Plan'!$AN$173:$AN$365,OFFSET('3b Activity Plan'!$DJ$173:$DJ$365,0,$CU164-1),'3b Activity Plan'!AU$173:AU$365,'3b Activity Plan'!$AH$173:$AH$365,'3b Activity Plan'!$CY$173:$CY$365,('3b Activity Plan'!$C$173:$C$365=$AQ$130)*1)</f>
        <v>0</v>
      </c>
      <c r="AX164" s="1558">
        <f ca="1">SUMPRODUCT('3b Activity Plan'!$AN$173:$AN$365,OFFSET('3b Activity Plan'!$DJ$173:$DJ$365,0,$CU164-1),'3b Activity Plan'!AV$173:AV$365,'3b Activity Plan'!$AH$173:$AH$365,'3b Activity Plan'!$CY$173:$CY$365,('3b Activity Plan'!$C$173:$C$365=$AQ$130)*1)</f>
        <v>0</v>
      </c>
      <c r="AY164" s="1558">
        <f ca="1">SUMPRODUCT('3b Activity Plan'!$AN$173:$AN$365,OFFSET('3b Activity Plan'!$DJ$173:$DJ$365,0,$CU164-1),'3b Activity Plan'!AW$173:AW$365,'3b Activity Plan'!$AH$173:$AH$365,'3b Activity Plan'!$CY$173:$CY$365,('3b Activity Plan'!$C$173:$C$365=$AQ$130)*1)</f>
        <v>0</v>
      </c>
      <c r="AZ164" s="1558">
        <f ca="1">SUMPRODUCT('3b Activity Plan'!$AN$173:$AN$365,OFFSET('3b Activity Plan'!$DJ$173:$DJ$365,0,$CU164-1),'3b Activity Plan'!AX$173:AX$365,'3b Activity Plan'!$AH$173:$AH$365,'3b Activity Plan'!$CY$173:$CY$365,('3b Activity Plan'!$C$173:$C$365=$AQ$130)*1)</f>
        <v>0</v>
      </c>
      <c r="BA164" s="1602">
        <f ca="1">SUMPRODUCT('3b Activity Plan'!$AN$173:$AN$365,OFFSET('3b Activity Plan'!$DJ$173:$DJ$365,0,$CU164-1),'3b Activity Plan'!AO$173:AO$365,'3b Activity Plan'!$AH$173:$AH$365,'3b Activity Plan'!$CY$173:$CY$365,('3b Activity Plan'!$C$173:$C$365=$BA$130)*1)</f>
        <v>0</v>
      </c>
      <c r="BB164" s="1558">
        <f ca="1">SUMPRODUCT('3b Activity Plan'!$AN$173:$AN$365,OFFSET('3b Activity Plan'!$DJ$173:$DJ$365,0,$CU164-1),'3b Activity Plan'!AP$173:AP$365,'3b Activity Plan'!$AH$173:$AH$365,'3b Activity Plan'!$CY$173:$CY$365,('3b Activity Plan'!$C$173:$C$365=$BA$130)*1)</f>
        <v>0</v>
      </c>
      <c r="BC164" s="1558">
        <f ca="1">SUMPRODUCT('3b Activity Plan'!$AN$173:$AN$365,OFFSET('3b Activity Plan'!$DJ$173:$DJ$365,0,$CU164-1),'3b Activity Plan'!AQ$173:AQ$365,'3b Activity Plan'!$AH$173:$AH$365,'3b Activity Plan'!$CY$173:$CY$365,('3b Activity Plan'!$C$173:$C$365=$BA$130)*1)</f>
        <v>0</v>
      </c>
      <c r="BD164" s="1558">
        <f ca="1">SUMPRODUCT('3b Activity Plan'!$AN$173:$AN$365,OFFSET('3b Activity Plan'!$DJ$173:$DJ$365,0,$CU164-1),'3b Activity Plan'!AR$173:AR$365,'3b Activity Plan'!$AH$173:$AH$365,'3b Activity Plan'!$CY$173:$CY$365,('3b Activity Plan'!$C$173:$C$365=$BA$130)*1)</f>
        <v>0</v>
      </c>
      <c r="BE164" s="1558">
        <f ca="1">SUMPRODUCT('3b Activity Plan'!$AN$173:$AN$365,OFFSET('3b Activity Plan'!$DJ$173:$DJ$365,0,$CU164-1),'3b Activity Plan'!AS$173:AS$365,'3b Activity Plan'!$AH$173:$AH$365,'3b Activity Plan'!$CY$173:$CY$365,('3b Activity Plan'!$C$173:$C$365=$BA$130)*1)</f>
        <v>0</v>
      </c>
      <c r="BF164" s="1558">
        <f ca="1">SUMPRODUCT('3b Activity Plan'!$AN$173:$AN$365,OFFSET('3b Activity Plan'!$DJ$173:$DJ$365,0,$CU164-1),'3b Activity Plan'!AT$173:AT$365,'3b Activity Plan'!$AH$173:$AH$365,'3b Activity Plan'!$CY$173:$CY$365,('3b Activity Plan'!$C$173:$C$365=$BA$130)*1)</f>
        <v>0</v>
      </c>
      <c r="BG164" s="1558">
        <f ca="1">SUMPRODUCT('3b Activity Plan'!$AN$173:$AN$365,OFFSET('3b Activity Plan'!$DJ$173:$DJ$365,0,$CU164-1),'3b Activity Plan'!AU$173:AU$365,'3b Activity Plan'!$AH$173:$AH$365,'3b Activity Plan'!$CY$173:$CY$365,('3b Activity Plan'!$C$173:$C$365=$BA$130)*1)</f>
        <v>0</v>
      </c>
      <c r="BH164" s="1558">
        <f ca="1">SUMPRODUCT('3b Activity Plan'!$AN$173:$AN$365,OFFSET('3b Activity Plan'!$DJ$173:$DJ$365,0,$CU164-1),'3b Activity Plan'!AV$173:AV$365,'3b Activity Plan'!$AH$173:$AH$365,'3b Activity Plan'!$CY$173:$CY$365,('3b Activity Plan'!$C$173:$C$365=$BA$130)*1)</f>
        <v>0</v>
      </c>
      <c r="BI164" s="1558">
        <f ca="1">SUMPRODUCT('3b Activity Plan'!$AN$173:$AN$365,OFFSET('3b Activity Plan'!$DJ$173:$DJ$365,0,$CU164-1),'3b Activity Plan'!AW$173:AW$365,'3b Activity Plan'!$AH$173:$AH$365,'3b Activity Plan'!$CY$173:$CY$365,('3b Activity Plan'!$C$173:$C$365=$BA$130)*1)</f>
        <v>0</v>
      </c>
      <c r="BJ164" s="1558">
        <f ca="1">SUMPRODUCT('3b Activity Plan'!$AN$173:$AN$365,OFFSET('3b Activity Plan'!$DJ$173:$DJ$365,0,$CU164-1),'3b Activity Plan'!AX$173:AX$365,'3b Activity Plan'!$AH$173:$AH$365,'3b Activity Plan'!$CY$173:$CY$365,('3b Activity Plan'!$C$173:$C$365=$BA$130)*1)</f>
        <v>0</v>
      </c>
      <c r="BK164" s="1602">
        <f ca="1">SUMPRODUCT('3b Activity Plan'!$AN$173:$AN$365,OFFSET('3b Activity Plan'!$DJ$173:$DJ$365,0,$CU164-1),'3b Activity Plan'!AO$173:AO$365,'3b Activity Plan'!$AH$173:$AH$365,'3b Activity Plan'!$CY$173:$CY$365,('3b Activity Plan'!$C$173:$C$365=$BK$130)*1)</f>
        <v>0</v>
      </c>
      <c r="BL164" s="1558">
        <f ca="1">SUMPRODUCT('3b Activity Plan'!$AN$173:$AN$365,OFFSET('3b Activity Plan'!$DJ$173:$DJ$365,0,$CU164-1),'3b Activity Plan'!AP$173:AP$365,'3b Activity Plan'!$AH$173:$AH$365,'3b Activity Plan'!$CY$173:$CY$365,('3b Activity Plan'!$C$173:$C$365=$BK$130)*1)</f>
        <v>0</v>
      </c>
      <c r="BM164" s="1558">
        <f ca="1">SUMPRODUCT('3b Activity Plan'!$AN$173:$AN$365,OFFSET('3b Activity Plan'!$DJ$173:$DJ$365,0,$CU164-1),'3b Activity Plan'!AQ$173:AQ$365,'3b Activity Plan'!$AH$173:$AH$365,'3b Activity Plan'!$CY$173:$CY$365,('3b Activity Plan'!$C$173:$C$365=$BK$130)*1)</f>
        <v>0</v>
      </c>
      <c r="BN164" s="1558">
        <f ca="1">SUMPRODUCT('3b Activity Plan'!$AN$173:$AN$365,OFFSET('3b Activity Plan'!$DJ$173:$DJ$365,0,$CU164-1),'3b Activity Plan'!AR$173:AR$365,'3b Activity Plan'!$AH$173:$AH$365,'3b Activity Plan'!$CY$173:$CY$365,('3b Activity Plan'!$C$173:$C$365=$BK$130)*1)</f>
        <v>0</v>
      </c>
      <c r="BO164" s="1558">
        <f ca="1">SUMPRODUCT('3b Activity Plan'!$AN$173:$AN$365,OFFSET('3b Activity Plan'!$DJ$173:$DJ$365,0,$CU164-1),'3b Activity Plan'!AS$173:AS$365,'3b Activity Plan'!$AH$173:$AH$365,'3b Activity Plan'!$CY$173:$CY$365,('3b Activity Plan'!$C$173:$C$365=$BK$130)*1)</f>
        <v>0</v>
      </c>
      <c r="BP164" s="1558">
        <f ca="1">SUMPRODUCT('3b Activity Plan'!$AN$173:$AN$365,OFFSET('3b Activity Plan'!$DJ$173:$DJ$365,0,$CU164-1),'3b Activity Plan'!AT$173:AT$365,'3b Activity Plan'!$AH$173:$AH$365,'3b Activity Plan'!$CY$173:$CY$365,('3b Activity Plan'!$C$173:$C$365=$BK$130)*1)</f>
        <v>0</v>
      </c>
      <c r="BQ164" s="1558">
        <f ca="1">SUMPRODUCT('3b Activity Plan'!$AN$173:$AN$365,OFFSET('3b Activity Plan'!$DJ$173:$DJ$365,0,$CU164-1),'3b Activity Plan'!AU$173:AU$365,'3b Activity Plan'!$AH$173:$AH$365,'3b Activity Plan'!$CY$173:$CY$365,('3b Activity Plan'!$C$173:$C$365=$BK$130)*1)</f>
        <v>0</v>
      </c>
      <c r="BR164" s="1558">
        <f ca="1">SUMPRODUCT('3b Activity Plan'!$AN$173:$AN$365,OFFSET('3b Activity Plan'!$DJ$173:$DJ$365,0,$CU164-1),'3b Activity Plan'!AV$173:AV$365,'3b Activity Plan'!$AH$173:$AH$365,'3b Activity Plan'!$CY$173:$CY$365,('3b Activity Plan'!$C$173:$C$365=$BK$130)*1)</f>
        <v>0</v>
      </c>
      <c r="BS164" s="1558">
        <f ca="1">SUMPRODUCT('3b Activity Plan'!$AN$173:$AN$365,OFFSET('3b Activity Plan'!$DJ$173:$DJ$365,0,$CU164-1),'3b Activity Plan'!AW$173:AW$365,'3b Activity Plan'!$AH$173:$AH$365,'3b Activity Plan'!$CY$173:$CY$365,('3b Activity Plan'!$C$173:$C$365=$BK$130)*1)</f>
        <v>0</v>
      </c>
      <c r="BT164" s="1558">
        <f ca="1">SUMPRODUCT('3b Activity Plan'!$AN$173:$AN$365,OFFSET('3b Activity Plan'!$DJ$173:$DJ$365,0,$CU164-1),'3b Activity Plan'!AX$173:AX$365,'3b Activity Plan'!$AH$173:$AH$365,'3b Activity Plan'!$CY$173:$CY$365,('3b Activity Plan'!$C$173:$C$365=$BK$130)*1)</f>
        <v>0</v>
      </c>
      <c r="BU164" s="1587"/>
      <c r="BV164" s="1587"/>
      <c r="BW164" s="1587"/>
      <c r="BX164" s="1556"/>
      <c r="BY164" s="1556"/>
      <c r="BZ164" s="1556"/>
      <c r="CA164" s="1024">
        <f ca="1">SUMIFS('3a Staff Plan'!$T$129:$T$305,'3a Staff Plan'!$DY$129:$DY$305,CZ164,'3a Staff Plan'!$DF$129:$DF$305,1)</f>
        <v>0</v>
      </c>
      <c r="CB164" s="1025">
        <f ca="1">SUMIFS('3a Staff Plan'!$T$129:$T$305,'3a Staff Plan'!$DY$129:$DY$305,$CZ164,'3a Staff Plan'!$DF$129:$DF$305,1,'3a Staff Plan'!$C$129:$C$305,DC$18)</f>
        <v>0</v>
      </c>
      <c r="CC164" s="1026">
        <f ca="1">SUMIFS('3a Staff Plan'!$T$129:$T$305,'3a Staff Plan'!$DY$129:$DY$305,$CZ164,'3a Staff Plan'!$DF$129:$DF$305,1,'3a Staff Plan'!$C$129:$C$305,DD$18)</f>
        <v>0</v>
      </c>
      <c r="CD164" s="1026">
        <f ca="1">SUMIFS('3a Staff Plan'!$T$129:$T$305,'3a Staff Plan'!$DY$129:$DY$305,$CZ164,'3a Staff Plan'!$DF$129:$DF$305,1,'3a Staff Plan'!$C$129:$C$305,DE$18)</f>
        <v>0</v>
      </c>
      <c r="CE164" s="1026">
        <f ca="1">SUMIFS('3a Staff Plan'!$T$129:$T$305,'3a Staff Plan'!$DY$129:$DY$305,$CZ164,'3a Staff Plan'!$DF$129:$DF$305,1,'3a Staff Plan'!$C$129:$C$305,DF$18)</f>
        <v>0</v>
      </c>
      <c r="CF164" s="1026">
        <f ca="1">SUMIFS('3a Staff Plan'!$T$129:$T$305,'3a Staff Plan'!$DY$129:$DY$305,$CZ164,'3a Staff Plan'!$DF$129:$DF$305,1,'3a Staff Plan'!$C$129:$C$305,DG$18)</f>
        <v>0</v>
      </c>
      <c r="CG164" s="1026">
        <f ca="1">SUMIFS('3a Staff Plan'!$T$129:$T$305,'3a Staff Plan'!$DY$129:$DY$305,$CZ164,'3a Staff Plan'!$DF$129:$DF$305,1,'3a Staff Plan'!$C$129:$C$305,DH$18)</f>
        <v>0</v>
      </c>
      <c r="CH164" s="1026">
        <f ca="1">SUMIFS('3a Staff Plan'!$T$129:$T$305,'3a Staff Plan'!$DY$129:$DY$305,$CZ164,'3a Staff Plan'!$DF$129:$DF$305,1,'3a Staff Plan'!$C$129:$C$305,DI$18)</f>
        <v>0</v>
      </c>
      <c r="CI164" s="755"/>
      <c r="CJ164" s="1024">
        <f ca="1">SUMPRODUCT('3b Activity Plan'!$AN$173:$AN$365,'3b Activity Plan'!$CY$173:$CY$365,'3b Activity Plan'!$AH$173:$AH$365,OFFSET('3b Activity Plan'!$DJ$173:$DJ$365,0,$CU164-1))</f>
        <v>0</v>
      </c>
      <c r="CK164" s="1025">
        <f t="shared" ca="1" si="93"/>
        <v>0</v>
      </c>
      <c r="CL164" s="1026">
        <f t="shared" ca="1" si="94"/>
        <v>0</v>
      </c>
      <c r="CM164" s="1026">
        <f t="shared" ca="1" si="95"/>
        <v>0</v>
      </c>
      <c r="CN164" s="1026">
        <f t="shared" ca="1" si="96"/>
        <v>0</v>
      </c>
      <c r="CO164" s="1026">
        <f t="shared" ca="1" si="97"/>
        <v>0</v>
      </c>
      <c r="CP164" s="1026">
        <f t="shared" ca="1" si="98"/>
        <v>0</v>
      </c>
      <c r="CQ164" s="1026">
        <f t="shared" ca="1" si="99"/>
        <v>0</v>
      </c>
      <c r="CR164" s="417"/>
      <c r="CS164" s="417">
        <f t="shared" si="100"/>
        <v>32</v>
      </c>
      <c r="CT164" s="417">
        <f ca="1">OFFSET('2 Staff List'!$GU$64,CS164-1,0)</f>
        <v>32</v>
      </c>
      <c r="CU164" s="417">
        <f ca="1">IF(CZ164=0,0,IFERROR(INDEX('3b Activity Plan'!$DJ$20:$FH$20,MATCH(CT164,'3b Activity Plan'!$DJ$171:$FH$171,0)),0))</f>
        <v>0</v>
      </c>
      <c r="CV164" s="417">
        <f ca="1">INDEX('2 Staff List'!$HW$64:$HW$114,CT164)</f>
        <v>0</v>
      </c>
      <c r="CW164" s="417"/>
      <c r="CY164" s="927">
        <f ca="1">OFFSET('2 Staff List'!$HZ$64,CS164-1,0)</f>
        <v>0</v>
      </c>
      <c r="CZ164" s="975">
        <f ca="1">OFFSET('2 Staff List'!$IA$64,CT164-1,0)</f>
        <v>0</v>
      </c>
      <c r="DA164" s="3840">
        <f t="shared" ca="1" si="92"/>
        <v>0</v>
      </c>
      <c r="DB164" s="3841"/>
      <c r="DC164" s="2408">
        <f t="shared" ca="1" si="85"/>
        <v>0</v>
      </c>
      <c r="DD164" s="2405">
        <f t="shared" ca="1" si="86"/>
        <v>0</v>
      </c>
      <c r="DE164" s="2405">
        <f t="shared" ca="1" si="87"/>
        <v>0</v>
      </c>
      <c r="DF164" s="2405">
        <f t="shared" ca="1" si="88"/>
        <v>0</v>
      </c>
      <c r="DG164" s="2405">
        <f t="shared" ca="1" si="89"/>
        <v>0</v>
      </c>
      <c r="DH164" s="2406">
        <f t="shared" ca="1" si="90"/>
        <v>0</v>
      </c>
      <c r="DI164" s="2407">
        <f t="shared" ca="1" si="91"/>
        <v>0</v>
      </c>
    </row>
    <row r="165" spans="1:113" ht="15.9" customHeight="1" x14ac:dyDescent="0.25">
      <c r="A165" s="1051"/>
      <c r="B165" s="1556"/>
      <c r="C165" s="1558">
        <f ca="1">SUMPRODUCT('3b Activity Plan'!$AN$173:$AN$365,OFFSET('3b Activity Plan'!$DJ$173:$DJ$365,0,$CU165-1),'3b Activity Plan'!AO$173:AO$365,'3b Activity Plan'!$AH$173:$AH$365,'3b Activity Plan'!$CY$173:$CY$365,('3b Activity Plan'!$C$173:$C$365=$C$130)*1)</f>
        <v>0</v>
      </c>
      <c r="D165" s="1558">
        <f ca="1">SUMPRODUCT('3b Activity Plan'!$AN$173:$AN$365,OFFSET('3b Activity Plan'!$DJ$173:$DJ$365,0,$CU165-1),'3b Activity Plan'!AP$173:AP$365,'3b Activity Plan'!$AH$173:$AH$365,'3b Activity Plan'!$CY$173:$CY$365,('3b Activity Plan'!$C$173:$C$365=$C$130)*1)</f>
        <v>0</v>
      </c>
      <c r="E165" s="1558">
        <f ca="1">SUMPRODUCT('3b Activity Plan'!$AN$173:$AN$365,OFFSET('3b Activity Plan'!$DJ$173:$DJ$365,0,$CU165-1),'3b Activity Plan'!AQ$173:AQ$365,'3b Activity Plan'!$AH$173:$AH$365,'3b Activity Plan'!$CY$173:$CY$365,('3b Activity Plan'!$C$173:$C$365=$C$130)*1)</f>
        <v>0</v>
      </c>
      <c r="F165" s="1558">
        <f ca="1">SUMPRODUCT('3b Activity Plan'!$AN$173:$AN$365,OFFSET('3b Activity Plan'!$DJ$173:$DJ$365,0,$CU165-1),'3b Activity Plan'!AR$173:AR$365,'3b Activity Plan'!$AH$173:$AH$365,'3b Activity Plan'!$CY$173:$CY$365,('3b Activity Plan'!$C$173:$C$365=$C$130)*1)</f>
        <v>0</v>
      </c>
      <c r="G165" s="1558">
        <f ca="1">SUMPRODUCT('3b Activity Plan'!$AN$173:$AN$365,OFFSET('3b Activity Plan'!$DJ$173:$DJ$365,0,$CU165-1),'3b Activity Plan'!AS$173:AS$365,'3b Activity Plan'!$AH$173:$AH$365,'3b Activity Plan'!$CY$173:$CY$365,('3b Activity Plan'!$C$173:$C$365=$C$130)*1)</f>
        <v>0</v>
      </c>
      <c r="H165" s="1558">
        <f ca="1">SUMPRODUCT('3b Activity Plan'!$AN$173:$AN$365,OFFSET('3b Activity Plan'!$DJ$173:$DJ$365,0,$CU165-1),'3b Activity Plan'!AT$173:AT$365,'3b Activity Plan'!$AH$173:$AH$365,'3b Activity Plan'!$CY$173:$CY$365,('3b Activity Plan'!$C$173:$C$365=$C$130)*1)</f>
        <v>0</v>
      </c>
      <c r="I165" s="1558">
        <f ca="1">SUMPRODUCT('3b Activity Plan'!$AN$173:$AN$365,OFFSET('3b Activity Plan'!$DJ$173:$DJ$365,0,$CU165-1),'3b Activity Plan'!AU$173:AU$365,'3b Activity Plan'!$AH$173:$AH$365,'3b Activity Plan'!$CY$173:$CY$365,('3b Activity Plan'!$C$173:$C$365=$C$130)*1)</f>
        <v>0</v>
      </c>
      <c r="J165" s="1558">
        <f ca="1">SUMPRODUCT('3b Activity Plan'!$AN$173:$AN$365,OFFSET('3b Activity Plan'!$DJ$173:$DJ$365,0,$CU165-1),'3b Activity Plan'!AV$173:AV$365,'3b Activity Plan'!$AH$173:$AH$365,'3b Activity Plan'!$CY$173:$CY$365,('3b Activity Plan'!$C$173:$C$365=$C$130)*1)</f>
        <v>0</v>
      </c>
      <c r="K165" s="1558">
        <f ca="1">SUMPRODUCT('3b Activity Plan'!$AN$173:$AN$365,OFFSET('3b Activity Plan'!$DJ$173:$DJ$365,0,$CU165-1),'3b Activity Plan'!AW$173:AW$365,'3b Activity Plan'!$AH$173:$AH$365,'3b Activity Plan'!$CY$173:$CY$365,('3b Activity Plan'!$C$173:$C$365=$C$130)*1)</f>
        <v>0</v>
      </c>
      <c r="L165" s="1601">
        <f ca="1">SUMPRODUCT('3b Activity Plan'!$AN$173:$AN$365,OFFSET('3b Activity Plan'!$DJ$173:$DJ$365,0,$CU165-1),'3b Activity Plan'!AX$173:AX$365,'3b Activity Plan'!$AH$173:$AH$365,'3b Activity Plan'!$CY$173:$CY$365,('3b Activity Plan'!$C$173:$C$365=$C$130)*1)</f>
        <v>0</v>
      </c>
      <c r="M165" s="1602">
        <f ca="1">SUMPRODUCT('3b Activity Plan'!$AN$173:$AN$365,OFFSET('3b Activity Plan'!$DJ$173:$DJ$365,0,$CU165-1),'3b Activity Plan'!AO$173:AO$365,'3b Activity Plan'!$AH$173:$AH$365,'3b Activity Plan'!$CY$173:$CY$365,('3b Activity Plan'!$C$173:$C$365=$M$130)*1)</f>
        <v>0</v>
      </c>
      <c r="N165" s="1558">
        <f ca="1">SUMPRODUCT('3b Activity Plan'!$AN$173:$AN$365,OFFSET('3b Activity Plan'!$DJ$173:$DJ$365,0,$CU165-1),'3b Activity Plan'!AP$173:AP$365,'3b Activity Plan'!$AH$173:$AH$365,'3b Activity Plan'!$CY$173:$CY$365,('3b Activity Plan'!$C$173:$C$365=$M$130)*1)</f>
        <v>0</v>
      </c>
      <c r="O165" s="1558">
        <f ca="1">SUMPRODUCT('3b Activity Plan'!$AN$173:$AN$365,OFFSET('3b Activity Plan'!$DJ$173:$DJ$365,0,$CU165-1),'3b Activity Plan'!AQ$173:AQ$365,'3b Activity Plan'!$AH$173:$AH$365,'3b Activity Plan'!$CY$173:$CY$365,('3b Activity Plan'!$C$173:$C$365=$M$130)*1)</f>
        <v>0</v>
      </c>
      <c r="P165" s="1558">
        <f ca="1">SUMPRODUCT('3b Activity Plan'!$AN$173:$AN$365,OFFSET('3b Activity Plan'!$DJ$173:$DJ$365,0,$CU165-1),'3b Activity Plan'!AR$173:AR$365,'3b Activity Plan'!$AH$173:$AH$365,'3b Activity Plan'!$CY$173:$CY$365,('3b Activity Plan'!$C$173:$C$365=$M$130)*1)</f>
        <v>0</v>
      </c>
      <c r="Q165" s="1558">
        <f ca="1">SUMPRODUCT('3b Activity Plan'!$AN$173:$AN$365,OFFSET('3b Activity Plan'!$DJ$173:$DJ$365,0,$CU165-1),'3b Activity Plan'!AS$173:AS$365,'3b Activity Plan'!$AH$173:$AH$365,'3b Activity Plan'!$CY$173:$CY$365,('3b Activity Plan'!$C$173:$C$365=$M$130)*1)</f>
        <v>0</v>
      </c>
      <c r="R165" s="1558">
        <f ca="1">SUMPRODUCT('3b Activity Plan'!$AN$173:$AN$365,OFFSET('3b Activity Plan'!$DJ$173:$DJ$365,0,$CU165-1),'3b Activity Plan'!AT$173:AT$365,'3b Activity Plan'!$AH$173:$AH$365,'3b Activity Plan'!$CY$173:$CY$365,('3b Activity Plan'!$C$173:$C$365=$M$130)*1)</f>
        <v>0</v>
      </c>
      <c r="S165" s="1558">
        <f ca="1">SUMPRODUCT('3b Activity Plan'!$AN$173:$AN$365,OFFSET('3b Activity Plan'!$DJ$173:$DJ$365,0,$CU165-1),'3b Activity Plan'!AU$173:AU$365,'3b Activity Plan'!$AH$173:$AH$365,'3b Activity Plan'!$CY$173:$CY$365,('3b Activity Plan'!$C$173:$C$365=$M$130)*1)</f>
        <v>0</v>
      </c>
      <c r="T165" s="1558">
        <f ca="1">SUMPRODUCT('3b Activity Plan'!$AN$173:$AN$365,OFFSET('3b Activity Plan'!$DJ$173:$DJ$365,0,$CU165-1),'3b Activity Plan'!AV$173:AV$365,'3b Activity Plan'!$AH$173:$AH$365,'3b Activity Plan'!$CY$173:$CY$365,('3b Activity Plan'!$C$173:$C$365=$M$130)*1)</f>
        <v>0</v>
      </c>
      <c r="U165" s="1558">
        <f ca="1">SUMPRODUCT('3b Activity Plan'!$AN$173:$AN$365,OFFSET('3b Activity Plan'!$DJ$173:$DJ$365,0,$CU165-1),'3b Activity Plan'!AW$173:AW$365,'3b Activity Plan'!$AH$173:$AH$365,'3b Activity Plan'!$CY$173:$CY$365,('3b Activity Plan'!$C$173:$C$365=$M$130)*1)</f>
        <v>0</v>
      </c>
      <c r="V165" s="1601">
        <f ca="1">SUMPRODUCT('3b Activity Plan'!$AN$173:$AN$365,OFFSET('3b Activity Plan'!$DJ$173:$DJ$365,0,$CU165-1),'3b Activity Plan'!AX$173:AX$365,'3b Activity Plan'!$AH$173:$AH$365,'3b Activity Plan'!$CY$173:$CY$365,('3b Activity Plan'!$C$173:$C$365=$M$130)*1)</f>
        <v>0</v>
      </c>
      <c r="W165" s="1602">
        <f ca="1">SUMPRODUCT('3b Activity Plan'!$AN$173:$AN$365,OFFSET('3b Activity Plan'!$DJ$173:$DJ$365,0,$CU165-1),'3b Activity Plan'!AO$173:AO$365,'3b Activity Plan'!$AH$173:$AH$365,'3b Activity Plan'!$CY$173:$CY$365,('3b Activity Plan'!$C$173:$C$365=$W$130)*1)</f>
        <v>0</v>
      </c>
      <c r="X165" s="1558">
        <f ca="1">SUMPRODUCT('3b Activity Plan'!$AN$173:$AN$365,OFFSET('3b Activity Plan'!$DJ$173:$DJ$365,0,$CU165-1),'3b Activity Plan'!AP$173:AP$365,'3b Activity Plan'!$AH$173:$AH$365,'3b Activity Plan'!$CY$173:$CY$365,('3b Activity Plan'!$C$173:$C$365=$W$130)*1)</f>
        <v>0</v>
      </c>
      <c r="Y165" s="1558">
        <f ca="1">SUMPRODUCT('3b Activity Plan'!$AN$173:$AN$365,OFFSET('3b Activity Plan'!$DJ$173:$DJ$365,0,$CU165-1),'3b Activity Plan'!AQ$173:AQ$365,'3b Activity Plan'!$AH$173:$AH$365,'3b Activity Plan'!$CY$173:$CY$365,('3b Activity Plan'!$C$173:$C$365=$W$130)*1)</f>
        <v>0</v>
      </c>
      <c r="Z165" s="1558">
        <f ca="1">SUMPRODUCT('3b Activity Plan'!$AN$173:$AN$365,OFFSET('3b Activity Plan'!$DJ$173:$DJ$365,0,$CU165-1),'3b Activity Plan'!AR$173:AR$365,'3b Activity Plan'!$AH$173:$AH$365,'3b Activity Plan'!$CY$173:$CY$365,('3b Activity Plan'!$C$173:$C$365=$W$130)*1)</f>
        <v>0</v>
      </c>
      <c r="AA165" s="1558">
        <f ca="1">SUMPRODUCT('3b Activity Plan'!$AN$173:$AN$365,OFFSET('3b Activity Plan'!$DJ$173:$DJ$365,0,$CU165-1),'3b Activity Plan'!AS$173:AS$365,'3b Activity Plan'!$AH$173:$AH$365,'3b Activity Plan'!$CY$173:$CY$365,('3b Activity Plan'!$C$173:$C$365=$W$130)*1)</f>
        <v>0</v>
      </c>
      <c r="AB165" s="1558">
        <f ca="1">SUMPRODUCT('3b Activity Plan'!$AN$173:$AN$365,OFFSET('3b Activity Plan'!$DJ$173:$DJ$365,0,$CU165-1),'3b Activity Plan'!AT$173:AT$365,'3b Activity Plan'!$AH$173:$AH$365,'3b Activity Plan'!$CY$173:$CY$365,('3b Activity Plan'!$C$173:$C$365=$W$130)*1)</f>
        <v>0</v>
      </c>
      <c r="AC165" s="1558">
        <f ca="1">SUMPRODUCT('3b Activity Plan'!$AN$173:$AN$365,OFFSET('3b Activity Plan'!$DJ$173:$DJ$365,0,$CU165-1),'3b Activity Plan'!AU$173:AU$365,'3b Activity Plan'!$AH$173:$AH$365,'3b Activity Plan'!$CY$173:$CY$365,('3b Activity Plan'!$C$173:$C$365=$W$130)*1)</f>
        <v>0</v>
      </c>
      <c r="AD165" s="1558">
        <f ca="1">SUMPRODUCT('3b Activity Plan'!$AN$173:$AN$365,OFFSET('3b Activity Plan'!$DJ$173:$DJ$365,0,$CU165-1),'3b Activity Plan'!AV$173:AV$365,'3b Activity Plan'!$AH$173:$AH$365,'3b Activity Plan'!$CY$173:$CY$365,('3b Activity Plan'!$C$173:$C$365=$W$130)*1)</f>
        <v>0</v>
      </c>
      <c r="AE165" s="1558">
        <f ca="1">SUMPRODUCT('3b Activity Plan'!$AN$173:$AN$365,OFFSET('3b Activity Plan'!$DJ$173:$DJ$365,0,$CU165-1),'3b Activity Plan'!AW$173:AW$365,'3b Activity Plan'!$AH$173:$AH$365,'3b Activity Plan'!$CY$173:$CY$365,('3b Activity Plan'!$C$173:$C$365=$W$130)*1)</f>
        <v>0</v>
      </c>
      <c r="AF165" s="1558">
        <f ca="1">SUMPRODUCT('3b Activity Plan'!$AN$173:$AN$365,OFFSET('3b Activity Plan'!$DJ$173:$DJ$365,0,$CU165-1),'3b Activity Plan'!AX$173:AX$365,'3b Activity Plan'!$AH$173:$AH$365,'3b Activity Plan'!$CY$173:$CY$365,('3b Activity Plan'!$C$173:$C$365=$W$130)*1)</f>
        <v>0</v>
      </c>
      <c r="AG165" s="1602">
        <f ca="1">SUMPRODUCT('3b Activity Plan'!$AN$173:$AN$365,OFFSET('3b Activity Plan'!$DJ$173:$DJ$365,0,$CU165-1),'3b Activity Plan'!AO$173:AO$365,'3b Activity Plan'!$AH$173:$AH$365,'3b Activity Plan'!$CY$173:$CY$365,('3b Activity Plan'!$C$173:$C$365=$AG$130)*1)</f>
        <v>0</v>
      </c>
      <c r="AH165" s="1558">
        <f ca="1">SUMPRODUCT('3b Activity Plan'!$AN$173:$AN$365,OFFSET('3b Activity Plan'!$DJ$173:$DJ$365,0,$CU165-1),'3b Activity Plan'!AP$173:AP$365,'3b Activity Plan'!$AH$173:$AH$365,'3b Activity Plan'!$CY$173:$CY$365,('3b Activity Plan'!$C$173:$C$365=$AG$130)*1)</f>
        <v>0</v>
      </c>
      <c r="AI165" s="1558">
        <f ca="1">SUMPRODUCT('3b Activity Plan'!$AN$173:$AN$365,OFFSET('3b Activity Plan'!$DJ$173:$DJ$365,0,$CU165-1),'3b Activity Plan'!AQ$173:AQ$365,'3b Activity Plan'!$AH$173:$AH$365,'3b Activity Plan'!$CY$173:$CY$365,('3b Activity Plan'!$C$173:$C$365=$AG$130)*1)</f>
        <v>0</v>
      </c>
      <c r="AJ165" s="1558">
        <f ca="1">SUMPRODUCT('3b Activity Plan'!$AN$173:$AN$365,OFFSET('3b Activity Plan'!$DJ$173:$DJ$365,0,$CU165-1),'3b Activity Plan'!AR$173:AR$365,'3b Activity Plan'!$AH$173:$AH$365,'3b Activity Plan'!$CY$173:$CY$365,('3b Activity Plan'!$C$173:$C$365=$AG$130)*1)</f>
        <v>0</v>
      </c>
      <c r="AK165" s="1558">
        <f ca="1">SUMPRODUCT('3b Activity Plan'!$AN$173:$AN$365,OFFSET('3b Activity Plan'!$DJ$173:$DJ$365,0,$CU165-1),'3b Activity Plan'!AS$173:AS$365,'3b Activity Plan'!$AH$173:$AH$365,'3b Activity Plan'!$CY$173:$CY$365,('3b Activity Plan'!$C$173:$C$365=$AG$130)*1)</f>
        <v>0</v>
      </c>
      <c r="AL165" s="1558">
        <f ca="1">SUMPRODUCT('3b Activity Plan'!$AN$173:$AN$365,OFFSET('3b Activity Plan'!$DJ$173:$DJ$365,0,$CU165-1),'3b Activity Plan'!AT$173:AT$365,'3b Activity Plan'!$AH$173:$AH$365,'3b Activity Plan'!$CY$173:$CY$365,('3b Activity Plan'!$C$173:$C$365=$AG$130)*1)</f>
        <v>0</v>
      </c>
      <c r="AM165" s="1558">
        <f ca="1">SUMPRODUCT('3b Activity Plan'!$AN$173:$AN$365,OFFSET('3b Activity Plan'!$DJ$173:$DJ$365,0,$CU165-1),'3b Activity Plan'!AU$173:AU$365,'3b Activity Plan'!$AH$173:$AH$365,'3b Activity Plan'!$CY$173:$CY$365,('3b Activity Plan'!$C$173:$C$365=$AG$130)*1)</f>
        <v>0</v>
      </c>
      <c r="AN165" s="1558">
        <f ca="1">SUMPRODUCT('3b Activity Plan'!$AN$173:$AN$365,OFFSET('3b Activity Plan'!$DJ$173:$DJ$365,0,$CU165-1),'3b Activity Plan'!AV$173:AV$365,'3b Activity Plan'!$AH$173:$AH$365,'3b Activity Plan'!$CY$173:$CY$365,('3b Activity Plan'!$C$173:$C$365=$AG$130)*1)</f>
        <v>0</v>
      </c>
      <c r="AO165" s="1558">
        <f ca="1">SUMPRODUCT('3b Activity Plan'!$AN$173:$AN$365,OFFSET('3b Activity Plan'!$DJ$173:$DJ$365,0,$CU165-1),'3b Activity Plan'!AW$173:AW$365,'3b Activity Plan'!$AH$173:$AH$365,'3b Activity Plan'!$CY$173:$CY$365,('3b Activity Plan'!$C$173:$C$365=$AG$130)*1)</f>
        <v>0</v>
      </c>
      <c r="AP165" s="1558">
        <f ca="1">SUMPRODUCT('3b Activity Plan'!$AN$173:$AN$365,OFFSET('3b Activity Plan'!$DJ$173:$DJ$365,0,$CU165-1),'3b Activity Plan'!AX$173:AX$365,'3b Activity Plan'!$AH$173:$AH$365,'3b Activity Plan'!$CY$173:$CY$365,('3b Activity Plan'!$C$173:$C$365=$AG$130)*1)</f>
        <v>0</v>
      </c>
      <c r="AQ165" s="1602">
        <f ca="1">SUMPRODUCT('3b Activity Plan'!$AN$173:$AN$365,OFFSET('3b Activity Plan'!$DJ$173:$DJ$365,0,$CU165-1),'3b Activity Plan'!AO$173:AO$365,'3b Activity Plan'!$AH$173:$AH$365,'3b Activity Plan'!$CY$173:$CY$365,('3b Activity Plan'!$C$173:$C$365=$AQ$130)*1)</f>
        <v>0</v>
      </c>
      <c r="AR165" s="1558">
        <f ca="1">SUMPRODUCT('3b Activity Plan'!$AN$173:$AN$365,OFFSET('3b Activity Plan'!$DJ$173:$DJ$365,0,$CU165-1),'3b Activity Plan'!AP$173:AP$365,'3b Activity Plan'!$AH$173:$AH$365,'3b Activity Plan'!$CY$173:$CY$365,('3b Activity Plan'!$C$173:$C$365=$AQ$130)*1)</f>
        <v>0</v>
      </c>
      <c r="AS165" s="1558">
        <f ca="1">SUMPRODUCT('3b Activity Plan'!$AN$173:$AN$365,OFFSET('3b Activity Plan'!$DJ$173:$DJ$365,0,$CU165-1),'3b Activity Plan'!AQ$173:AQ$365,'3b Activity Plan'!$AH$173:$AH$365,'3b Activity Plan'!$CY$173:$CY$365,('3b Activity Plan'!$C$173:$C$365=$AQ$130)*1)</f>
        <v>0</v>
      </c>
      <c r="AT165" s="1558">
        <f ca="1">SUMPRODUCT('3b Activity Plan'!$AN$173:$AN$365,OFFSET('3b Activity Plan'!$DJ$173:$DJ$365,0,$CU165-1),'3b Activity Plan'!AR$173:AR$365,'3b Activity Plan'!$AH$173:$AH$365,'3b Activity Plan'!$CY$173:$CY$365,('3b Activity Plan'!$C$173:$C$365=$AQ$130)*1)</f>
        <v>0</v>
      </c>
      <c r="AU165" s="1558">
        <f ca="1">SUMPRODUCT('3b Activity Plan'!$AN$173:$AN$365,OFFSET('3b Activity Plan'!$DJ$173:$DJ$365,0,$CU165-1),'3b Activity Plan'!AS$173:AS$365,'3b Activity Plan'!$AH$173:$AH$365,'3b Activity Plan'!$CY$173:$CY$365,('3b Activity Plan'!$C$173:$C$365=$AQ$130)*1)</f>
        <v>0</v>
      </c>
      <c r="AV165" s="1558">
        <f ca="1">SUMPRODUCT('3b Activity Plan'!$AN$173:$AN$365,OFFSET('3b Activity Plan'!$DJ$173:$DJ$365,0,$CU165-1),'3b Activity Plan'!AT$173:AT$365,'3b Activity Plan'!$AH$173:$AH$365,'3b Activity Plan'!$CY$173:$CY$365,('3b Activity Plan'!$C$173:$C$365=$AQ$130)*1)</f>
        <v>0</v>
      </c>
      <c r="AW165" s="1558">
        <f ca="1">SUMPRODUCT('3b Activity Plan'!$AN$173:$AN$365,OFFSET('3b Activity Plan'!$DJ$173:$DJ$365,0,$CU165-1),'3b Activity Plan'!AU$173:AU$365,'3b Activity Plan'!$AH$173:$AH$365,'3b Activity Plan'!$CY$173:$CY$365,('3b Activity Plan'!$C$173:$C$365=$AQ$130)*1)</f>
        <v>0</v>
      </c>
      <c r="AX165" s="1558">
        <f ca="1">SUMPRODUCT('3b Activity Plan'!$AN$173:$AN$365,OFFSET('3b Activity Plan'!$DJ$173:$DJ$365,0,$CU165-1),'3b Activity Plan'!AV$173:AV$365,'3b Activity Plan'!$AH$173:$AH$365,'3b Activity Plan'!$CY$173:$CY$365,('3b Activity Plan'!$C$173:$C$365=$AQ$130)*1)</f>
        <v>0</v>
      </c>
      <c r="AY165" s="1558">
        <f ca="1">SUMPRODUCT('3b Activity Plan'!$AN$173:$AN$365,OFFSET('3b Activity Plan'!$DJ$173:$DJ$365,0,$CU165-1),'3b Activity Plan'!AW$173:AW$365,'3b Activity Plan'!$AH$173:$AH$365,'3b Activity Plan'!$CY$173:$CY$365,('3b Activity Plan'!$C$173:$C$365=$AQ$130)*1)</f>
        <v>0</v>
      </c>
      <c r="AZ165" s="1558">
        <f ca="1">SUMPRODUCT('3b Activity Plan'!$AN$173:$AN$365,OFFSET('3b Activity Plan'!$DJ$173:$DJ$365,0,$CU165-1),'3b Activity Plan'!AX$173:AX$365,'3b Activity Plan'!$AH$173:$AH$365,'3b Activity Plan'!$CY$173:$CY$365,('3b Activity Plan'!$C$173:$C$365=$AQ$130)*1)</f>
        <v>0</v>
      </c>
      <c r="BA165" s="1602">
        <f ca="1">SUMPRODUCT('3b Activity Plan'!$AN$173:$AN$365,OFFSET('3b Activity Plan'!$DJ$173:$DJ$365,0,$CU165-1),'3b Activity Plan'!AO$173:AO$365,'3b Activity Plan'!$AH$173:$AH$365,'3b Activity Plan'!$CY$173:$CY$365,('3b Activity Plan'!$C$173:$C$365=$BA$130)*1)</f>
        <v>0</v>
      </c>
      <c r="BB165" s="1558">
        <f ca="1">SUMPRODUCT('3b Activity Plan'!$AN$173:$AN$365,OFFSET('3b Activity Plan'!$DJ$173:$DJ$365,0,$CU165-1),'3b Activity Plan'!AP$173:AP$365,'3b Activity Plan'!$AH$173:$AH$365,'3b Activity Plan'!$CY$173:$CY$365,('3b Activity Plan'!$C$173:$C$365=$BA$130)*1)</f>
        <v>0</v>
      </c>
      <c r="BC165" s="1558">
        <f ca="1">SUMPRODUCT('3b Activity Plan'!$AN$173:$AN$365,OFFSET('3b Activity Plan'!$DJ$173:$DJ$365,0,$CU165-1),'3b Activity Plan'!AQ$173:AQ$365,'3b Activity Plan'!$AH$173:$AH$365,'3b Activity Plan'!$CY$173:$CY$365,('3b Activity Plan'!$C$173:$C$365=$BA$130)*1)</f>
        <v>0</v>
      </c>
      <c r="BD165" s="1558">
        <f ca="1">SUMPRODUCT('3b Activity Plan'!$AN$173:$AN$365,OFFSET('3b Activity Plan'!$DJ$173:$DJ$365,0,$CU165-1),'3b Activity Plan'!AR$173:AR$365,'3b Activity Plan'!$AH$173:$AH$365,'3b Activity Plan'!$CY$173:$CY$365,('3b Activity Plan'!$C$173:$C$365=$BA$130)*1)</f>
        <v>0</v>
      </c>
      <c r="BE165" s="1558">
        <f ca="1">SUMPRODUCT('3b Activity Plan'!$AN$173:$AN$365,OFFSET('3b Activity Plan'!$DJ$173:$DJ$365,0,$CU165-1),'3b Activity Plan'!AS$173:AS$365,'3b Activity Plan'!$AH$173:$AH$365,'3b Activity Plan'!$CY$173:$CY$365,('3b Activity Plan'!$C$173:$C$365=$BA$130)*1)</f>
        <v>0</v>
      </c>
      <c r="BF165" s="1558">
        <f ca="1">SUMPRODUCT('3b Activity Plan'!$AN$173:$AN$365,OFFSET('3b Activity Plan'!$DJ$173:$DJ$365,0,$CU165-1),'3b Activity Plan'!AT$173:AT$365,'3b Activity Plan'!$AH$173:$AH$365,'3b Activity Plan'!$CY$173:$CY$365,('3b Activity Plan'!$C$173:$C$365=$BA$130)*1)</f>
        <v>0</v>
      </c>
      <c r="BG165" s="1558">
        <f ca="1">SUMPRODUCT('3b Activity Plan'!$AN$173:$AN$365,OFFSET('3b Activity Plan'!$DJ$173:$DJ$365,0,$CU165-1),'3b Activity Plan'!AU$173:AU$365,'3b Activity Plan'!$AH$173:$AH$365,'3b Activity Plan'!$CY$173:$CY$365,('3b Activity Plan'!$C$173:$C$365=$BA$130)*1)</f>
        <v>0</v>
      </c>
      <c r="BH165" s="1558">
        <f ca="1">SUMPRODUCT('3b Activity Plan'!$AN$173:$AN$365,OFFSET('3b Activity Plan'!$DJ$173:$DJ$365,0,$CU165-1),'3b Activity Plan'!AV$173:AV$365,'3b Activity Plan'!$AH$173:$AH$365,'3b Activity Plan'!$CY$173:$CY$365,('3b Activity Plan'!$C$173:$C$365=$BA$130)*1)</f>
        <v>0</v>
      </c>
      <c r="BI165" s="1558">
        <f ca="1">SUMPRODUCT('3b Activity Plan'!$AN$173:$AN$365,OFFSET('3b Activity Plan'!$DJ$173:$DJ$365,0,$CU165-1),'3b Activity Plan'!AW$173:AW$365,'3b Activity Plan'!$AH$173:$AH$365,'3b Activity Plan'!$CY$173:$CY$365,('3b Activity Plan'!$C$173:$C$365=$BA$130)*1)</f>
        <v>0</v>
      </c>
      <c r="BJ165" s="1558">
        <f ca="1">SUMPRODUCT('3b Activity Plan'!$AN$173:$AN$365,OFFSET('3b Activity Plan'!$DJ$173:$DJ$365,0,$CU165-1),'3b Activity Plan'!AX$173:AX$365,'3b Activity Plan'!$AH$173:$AH$365,'3b Activity Plan'!$CY$173:$CY$365,('3b Activity Plan'!$C$173:$C$365=$BA$130)*1)</f>
        <v>0</v>
      </c>
      <c r="BK165" s="1602">
        <f ca="1">SUMPRODUCT('3b Activity Plan'!$AN$173:$AN$365,OFFSET('3b Activity Plan'!$DJ$173:$DJ$365,0,$CU165-1),'3b Activity Plan'!AO$173:AO$365,'3b Activity Plan'!$AH$173:$AH$365,'3b Activity Plan'!$CY$173:$CY$365,('3b Activity Plan'!$C$173:$C$365=$BK$130)*1)</f>
        <v>0</v>
      </c>
      <c r="BL165" s="1558">
        <f ca="1">SUMPRODUCT('3b Activity Plan'!$AN$173:$AN$365,OFFSET('3b Activity Plan'!$DJ$173:$DJ$365,0,$CU165-1),'3b Activity Plan'!AP$173:AP$365,'3b Activity Plan'!$AH$173:$AH$365,'3b Activity Plan'!$CY$173:$CY$365,('3b Activity Plan'!$C$173:$C$365=$BK$130)*1)</f>
        <v>0</v>
      </c>
      <c r="BM165" s="1558">
        <f ca="1">SUMPRODUCT('3b Activity Plan'!$AN$173:$AN$365,OFFSET('3b Activity Plan'!$DJ$173:$DJ$365,0,$CU165-1),'3b Activity Plan'!AQ$173:AQ$365,'3b Activity Plan'!$AH$173:$AH$365,'3b Activity Plan'!$CY$173:$CY$365,('3b Activity Plan'!$C$173:$C$365=$BK$130)*1)</f>
        <v>0</v>
      </c>
      <c r="BN165" s="1558">
        <f ca="1">SUMPRODUCT('3b Activity Plan'!$AN$173:$AN$365,OFFSET('3b Activity Plan'!$DJ$173:$DJ$365,0,$CU165-1),'3b Activity Plan'!AR$173:AR$365,'3b Activity Plan'!$AH$173:$AH$365,'3b Activity Plan'!$CY$173:$CY$365,('3b Activity Plan'!$C$173:$C$365=$BK$130)*1)</f>
        <v>0</v>
      </c>
      <c r="BO165" s="1558">
        <f ca="1">SUMPRODUCT('3b Activity Plan'!$AN$173:$AN$365,OFFSET('3b Activity Plan'!$DJ$173:$DJ$365,0,$CU165-1),'3b Activity Plan'!AS$173:AS$365,'3b Activity Plan'!$AH$173:$AH$365,'3b Activity Plan'!$CY$173:$CY$365,('3b Activity Plan'!$C$173:$C$365=$BK$130)*1)</f>
        <v>0</v>
      </c>
      <c r="BP165" s="1558">
        <f ca="1">SUMPRODUCT('3b Activity Plan'!$AN$173:$AN$365,OFFSET('3b Activity Plan'!$DJ$173:$DJ$365,0,$CU165-1),'3b Activity Plan'!AT$173:AT$365,'3b Activity Plan'!$AH$173:$AH$365,'3b Activity Plan'!$CY$173:$CY$365,('3b Activity Plan'!$C$173:$C$365=$BK$130)*1)</f>
        <v>0</v>
      </c>
      <c r="BQ165" s="1558">
        <f ca="1">SUMPRODUCT('3b Activity Plan'!$AN$173:$AN$365,OFFSET('3b Activity Plan'!$DJ$173:$DJ$365,0,$CU165-1),'3b Activity Plan'!AU$173:AU$365,'3b Activity Plan'!$AH$173:$AH$365,'3b Activity Plan'!$CY$173:$CY$365,('3b Activity Plan'!$C$173:$C$365=$BK$130)*1)</f>
        <v>0</v>
      </c>
      <c r="BR165" s="1558">
        <f ca="1">SUMPRODUCT('3b Activity Plan'!$AN$173:$AN$365,OFFSET('3b Activity Plan'!$DJ$173:$DJ$365,0,$CU165-1),'3b Activity Plan'!AV$173:AV$365,'3b Activity Plan'!$AH$173:$AH$365,'3b Activity Plan'!$CY$173:$CY$365,('3b Activity Plan'!$C$173:$C$365=$BK$130)*1)</f>
        <v>0</v>
      </c>
      <c r="BS165" s="1558">
        <f ca="1">SUMPRODUCT('3b Activity Plan'!$AN$173:$AN$365,OFFSET('3b Activity Plan'!$DJ$173:$DJ$365,0,$CU165-1),'3b Activity Plan'!AW$173:AW$365,'3b Activity Plan'!$AH$173:$AH$365,'3b Activity Plan'!$CY$173:$CY$365,('3b Activity Plan'!$C$173:$C$365=$BK$130)*1)</f>
        <v>0</v>
      </c>
      <c r="BT165" s="1558">
        <f ca="1">SUMPRODUCT('3b Activity Plan'!$AN$173:$AN$365,OFFSET('3b Activity Plan'!$DJ$173:$DJ$365,0,$CU165-1),'3b Activity Plan'!AX$173:AX$365,'3b Activity Plan'!$AH$173:$AH$365,'3b Activity Plan'!$CY$173:$CY$365,('3b Activity Plan'!$C$173:$C$365=$BK$130)*1)</f>
        <v>0</v>
      </c>
      <c r="BU165" s="1587"/>
      <c r="BV165" s="1587"/>
      <c r="BW165" s="1587"/>
      <c r="BX165" s="1556"/>
      <c r="BY165" s="1556"/>
      <c r="BZ165" s="1556"/>
      <c r="CA165" s="1024">
        <f ca="1">SUMIFS('3a Staff Plan'!$T$129:$T$305,'3a Staff Plan'!$DY$129:$DY$305,CZ165,'3a Staff Plan'!$DF$129:$DF$305,1)</f>
        <v>0</v>
      </c>
      <c r="CB165" s="1025">
        <f ca="1">SUMIFS('3a Staff Plan'!$T$129:$T$305,'3a Staff Plan'!$DY$129:$DY$305,$CZ165,'3a Staff Plan'!$DF$129:$DF$305,1,'3a Staff Plan'!$C$129:$C$305,DC$18)</f>
        <v>0</v>
      </c>
      <c r="CC165" s="1026">
        <f ca="1">SUMIFS('3a Staff Plan'!$T$129:$T$305,'3a Staff Plan'!$DY$129:$DY$305,$CZ165,'3a Staff Plan'!$DF$129:$DF$305,1,'3a Staff Plan'!$C$129:$C$305,DD$18)</f>
        <v>0</v>
      </c>
      <c r="CD165" s="1026">
        <f ca="1">SUMIFS('3a Staff Plan'!$T$129:$T$305,'3a Staff Plan'!$DY$129:$DY$305,$CZ165,'3a Staff Plan'!$DF$129:$DF$305,1,'3a Staff Plan'!$C$129:$C$305,DE$18)</f>
        <v>0</v>
      </c>
      <c r="CE165" s="1026">
        <f ca="1">SUMIFS('3a Staff Plan'!$T$129:$T$305,'3a Staff Plan'!$DY$129:$DY$305,$CZ165,'3a Staff Plan'!$DF$129:$DF$305,1,'3a Staff Plan'!$C$129:$C$305,DF$18)</f>
        <v>0</v>
      </c>
      <c r="CF165" s="1026">
        <f ca="1">SUMIFS('3a Staff Plan'!$T$129:$T$305,'3a Staff Plan'!$DY$129:$DY$305,$CZ165,'3a Staff Plan'!$DF$129:$DF$305,1,'3a Staff Plan'!$C$129:$C$305,DG$18)</f>
        <v>0</v>
      </c>
      <c r="CG165" s="1026">
        <f ca="1">SUMIFS('3a Staff Plan'!$T$129:$T$305,'3a Staff Plan'!$DY$129:$DY$305,$CZ165,'3a Staff Plan'!$DF$129:$DF$305,1,'3a Staff Plan'!$C$129:$C$305,DH$18)</f>
        <v>0</v>
      </c>
      <c r="CH165" s="1026">
        <f ca="1">SUMIFS('3a Staff Plan'!$T$129:$T$305,'3a Staff Plan'!$DY$129:$DY$305,$CZ165,'3a Staff Plan'!$DF$129:$DF$305,1,'3a Staff Plan'!$C$129:$C$305,DI$18)</f>
        <v>0</v>
      </c>
      <c r="CI165" s="755"/>
      <c r="CJ165" s="1024">
        <f ca="1">SUMPRODUCT('3b Activity Plan'!$AN$173:$AN$365,'3b Activity Plan'!$CY$173:$CY$365,'3b Activity Plan'!$AH$173:$AH$365,OFFSET('3b Activity Plan'!$DJ$173:$DJ$365,0,$CU165-1))</f>
        <v>0</v>
      </c>
      <c r="CK165" s="1025">
        <f t="shared" ca="1" si="93"/>
        <v>0</v>
      </c>
      <c r="CL165" s="1026">
        <f t="shared" ca="1" si="94"/>
        <v>0</v>
      </c>
      <c r="CM165" s="1026">
        <f t="shared" ca="1" si="95"/>
        <v>0</v>
      </c>
      <c r="CN165" s="1026">
        <f t="shared" ca="1" si="96"/>
        <v>0</v>
      </c>
      <c r="CO165" s="1026">
        <f t="shared" ca="1" si="97"/>
        <v>0</v>
      </c>
      <c r="CP165" s="1026">
        <f t="shared" ca="1" si="98"/>
        <v>0</v>
      </c>
      <c r="CQ165" s="1026">
        <f t="shared" ca="1" si="99"/>
        <v>0</v>
      </c>
      <c r="CR165" s="417"/>
      <c r="CS165" s="417">
        <f t="shared" si="100"/>
        <v>33</v>
      </c>
      <c r="CT165" s="417">
        <f ca="1">OFFSET('2 Staff List'!$GU$64,CS165-1,0)</f>
        <v>33</v>
      </c>
      <c r="CU165" s="417">
        <f ca="1">IF(CZ165=0,0,IFERROR(INDEX('3b Activity Plan'!$DJ$20:$FH$20,MATCH(CT165,'3b Activity Plan'!$DJ$171:$FH$171,0)),0))</f>
        <v>0</v>
      </c>
      <c r="CV165" s="417">
        <f ca="1">INDEX('2 Staff List'!$HW$64:$HW$114,CT165)</f>
        <v>0</v>
      </c>
      <c r="CW165" s="417"/>
      <c r="CY165" s="927">
        <f ca="1">OFFSET('2 Staff List'!$HZ$64,CS165-1,0)</f>
        <v>0</v>
      </c>
      <c r="CZ165" s="975">
        <f ca="1">OFFSET('2 Staff List'!$IA$64,CT165-1,0)</f>
        <v>0</v>
      </c>
      <c r="DA165" s="3840">
        <f t="shared" ca="1" si="92"/>
        <v>0</v>
      </c>
      <c r="DB165" s="3841"/>
      <c r="DC165" s="2408">
        <f t="shared" ca="1" si="85"/>
        <v>0</v>
      </c>
      <c r="DD165" s="2405">
        <f t="shared" ca="1" si="86"/>
        <v>0</v>
      </c>
      <c r="DE165" s="2405">
        <f t="shared" ca="1" si="87"/>
        <v>0</v>
      </c>
      <c r="DF165" s="2405">
        <f t="shared" ca="1" si="88"/>
        <v>0</v>
      </c>
      <c r="DG165" s="2405">
        <f t="shared" ca="1" si="89"/>
        <v>0</v>
      </c>
      <c r="DH165" s="2406">
        <f t="shared" ca="1" si="90"/>
        <v>0</v>
      </c>
      <c r="DI165" s="2407">
        <f t="shared" ca="1" si="91"/>
        <v>0</v>
      </c>
    </row>
    <row r="166" spans="1:113" ht="15.9" customHeight="1" x14ac:dyDescent="0.25">
      <c r="A166" s="1051"/>
      <c r="B166" s="1556"/>
      <c r="C166" s="1558">
        <f ca="1">SUMPRODUCT('3b Activity Plan'!$AN$173:$AN$365,OFFSET('3b Activity Plan'!$DJ$173:$DJ$365,0,$CU166-1),'3b Activity Plan'!AO$173:AO$365,'3b Activity Plan'!$AH$173:$AH$365,'3b Activity Plan'!$CY$173:$CY$365,('3b Activity Plan'!$C$173:$C$365=$C$130)*1)</f>
        <v>0</v>
      </c>
      <c r="D166" s="1558">
        <f ca="1">SUMPRODUCT('3b Activity Plan'!$AN$173:$AN$365,OFFSET('3b Activity Plan'!$DJ$173:$DJ$365,0,$CU166-1),'3b Activity Plan'!AP$173:AP$365,'3b Activity Plan'!$AH$173:$AH$365,'3b Activity Plan'!$CY$173:$CY$365,('3b Activity Plan'!$C$173:$C$365=$C$130)*1)</f>
        <v>0</v>
      </c>
      <c r="E166" s="1558">
        <f ca="1">SUMPRODUCT('3b Activity Plan'!$AN$173:$AN$365,OFFSET('3b Activity Plan'!$DJ$173:$DJ$365,0,$CU166-1),'3b Activity Plan'!AQ$173:AQ$365,'3b Activity Plan'!$AH$173:$AH$365,'3b Activity Plan'!$CY$173:$CY$365,('3b Activity Plan'!$C$173:$C$365=$C$130)*1)</f>
        <v>0</v>
      </c>
      <c r="F166" s="1558">
        <f ca="1">SUMPRODUCT('3b Activity Plan'!$AN$173:$AN$365,OFFSET('3b Activity Plan'!$DJ$173:$DJ$365,0,$CU166-1),'3b Activity Plan'!AR$173:AR$365,'3b Activity Plan'!$AH$173:$AH$365,'3b Activity Plan'!$CY$173:$CY$365,('3b Activity Plan'!$C$173:$C$365=$C$130)*1)</f>
        <v>0</v>
      </c>
      <c r="G166" s="1558">
        <f ca="1">SUMPRODUCT('3b Activity Plan'!$AN$173:$AN$365,OFFSET('3b Activity Plan'!$DJ$173:$DJ$365,0,$CU166-1),'3b Activity Plan'!AS$173:AS$365,'3b Activity Plan'!$AH$173:$AH$365,'3b Activity Plan'!$CY$173:$CY$365,('3b Activity Plan'!$C$173:$C$365=$C$130)*1)</f>
        <v>0</v>
      </c>
      <c r="H166" s="1558">
        <f ca="1">SUMPRODUCT('3b Activity Plan'!$AN$173:$AN$365,OFFSET('3b Activity Plan'!$DJ$173:$DJ$365,0,$CU166-1),'3b Activity Plan'!AT$173:AT$365,'3b Activity Plan'!$AH$173:$AH$365,'3b Activity Plan'!$CY$173:$CY$365,('3b Activity Plan'!$C$173:$C$365=$C$130)*1)</f>
        <v>0</v>
      </c>
      <c r="I166" s="1558">
        <f ca="1">SUMPRODUCT('3b Activity Plan'!$AN$173:$AN$365,OFFSET('3b Activity Plan'!$DJ$173:$DJ$365,0,$CU166-1),'3b Activity Plan'!AU$173:AU$365,'3b Activity Plan'!$AH$173:$AH$365,'3b Activity Plan'!$CY$173:$CY$365,('3b Activity Plan'!$C$173:$C$365=$C$130)*1)</f>
        <v>0</v>
      </c>
      <c r="J166" s="1558">
        <f ca="1">SUMPRODUCT('3b Activity Plan'!$AN$173:$AN$365,OFFSET('3b Activity Plan'!$DJ$173:$DJ$365,0,$CU166-1),'3b Activity Plan'!AV$173:AV$365,'3b Activity Plan'!$AH$173:$AH$365,'3b Activity Plan'!$CY$173:$CY$365,('3b Activity Plan'!$C$173:$C$365=$C$130)*1)</f>
        <v>0</v>
      </c>
      <c r="K166" s="1558">
        <f ca="1">SUMPRODUCT('3b Activity Plan'!$AN$173:$AN$365,OFFSET('3b Activity Plan'!$DJ$173:$DJ$365,0,$CU166-1),'3b Activity Plan'!AW$173:AW$365,'3b Activity Plan'!$AH$173:$AH$365,'3b Activity Plan'!$CY$173:$CY$365,('3b Activity Plan'!$C$173:$C$365=$C$130)*1)</f>
        <v>0</v>
      </c>
      <c r="L166" s="1601">
        <f ca="1">SUMPRODUCT('3b Activity Plan'!$AN$173:$AN$365,OFFSET('3b Activity Plan'!$DJ$173:$DJ$365,0,$CU166-1),'3b Activity Plan'!AX$173:AX$365,'3b Activity Plan'!$AH$173:$AH$365,'3b Activity Plan'!$CY$173:$CY$365,('3b Activity Plan'!$C$173:$C$365=$C$130)*1)</f>
        <v>0</v>
      </c>
      <c r="M166" s="1602">
        <f ca="1">SUMPRODUCT('3b Activity Plan'!$AN$173:$AN$365,OFFSET('3b Activity Plan'!$DJ$173:$DJ$365,0,$CU166-1),'3b Activity Plan'!AO$173:AO$365,'3b Activity Plan'!$AH$173:$AH$365,'3b Activity Plan'!$CY$173:$CY$365,('3b Activity Plan'!$C$173:$C$365=$M$130)*1)</f>
        <v>0</v>
      </c>
      <c r="N166" s="1558">
        <f ca="1">SUMPRODUCT('3b Activity Plan'!$AN$173:$AN$365,OFFSET('3b Activity Plan'!$DJ$173:$DJ$365,0,$CU166-1),'3b Activity Plan'!AP$173:AP$365,'3b Activity Plan'!$AH$173:$AH$365,'3b Activity Plan'!$CY$173:$CY$365,('3b Activity Plan'!$C$173:$C$365=$M$130)*1)</f>
        <v>0</v>
      </c>
      <c r="O166" s="1558">
        <f ca="1">SUMPRODUCT('3b Activity Plan'!$AN$173:$AN$365,OFFSET('3b Activity Plan'!$DJ$173:$DJ$365,0,$CU166-1),'3b Activity Plan'!AQ$173:AQ$365,'3b Activity Plan'!$AH$173:$AH$365,'3b Activity Plan'!$CY$173:$CY$365,('3b Activity Plan'!$C$173:$C$365=$M$130)*1)</f>
        <v>0</v>
      </c>
      <c r="P166" s="1558">
        <f ca="1">SUMPRODUCT('3b Activity Plan'!$AN$173:$AN$365,OFFSET('3b Activity Plan'!$DJ$173:$DJ$365,0,$CU166-1),'3b Activity Plan'!AR$173:AR$365,'3b Activity Plan'!$AH$173:$AH$365,'3b Activity Plan'!$CY$173:$CY$365,('3b Activity Plan'!$C$173:$C$365=$M$130)*1)</f>
        <v>0</v>
      </c>
      <c r="Q166" s="1558">
        <f ca="1">SUMPRODUCT('3b Activity Plan'!$AN$173:$AN$365,OFFSET('3b Activity Plan'!$DJ$173:$DJ$365,0,$CU166-1),'3b Activity Plan'!AS$173:AS$365,'3b Activity Plan'!$AH$173:$AH$365,'3b Activity Plan'!$CY$173:$CY$365,('3b Activity Plan'!$C$173:$C$365=$M$130)*1)</f>
        <v>0</v>
      </c>
      <c r="R166" s="1558">
        <f ca="1">SUMPRODUCT('3b Activity Plan'!$AN$173:$AN$365,OFFSET('3b Activity Plan'!$DJ$173:$DJ$365,0,$CU166-1),'3b Activity Plan'!AT$173:AT$365,'3b Activity Plan'!$AH$173:$AH$365,'3b Activity Plan'!$CY$173:$CY$365,('3b Activity Plan'!$C$173:$C$365=$M$130)*1)</f>
        <v>0</v>
      </c>
      <c r="S166" s="1558">
        <f ca="1">SUMPRODUCT('3b Activity Plan'!$AN$173:$AN$365,OFFSET('3b Activity Plan'!$DJ$173:$DJ$365,0,$CU166-1),'3b Activity Plan'!AU$173:AU$365,'3b Activity Plan'!$AH$173:$AH$365,'3b Activity Plan'!$CY$173:$CY$365,('3b Activity Plan'!$C$173:$C$365=$M$130)*1)</f>
        <v>0</v>
      </c>
      <c r="T166" s="1558">
        <f ca="1">SUMPRODUCT('3b Activity Plan'!$AN$173:$AN$365,OFFSET('3b Activity Plan'!$DJ$173:$DJ$365,0,$CU166-1),'3b Activity Plan'!AV$173:AV$365,'3b Activity Plan'!$AH$173:$AH$365,'3b Activity Plan'!$CY$173:$CY$365,('3b Activity Plan'!$C$173:$C$365=$M$130)*1)</f>
        <v>0</v>
      </c>
      <c r="U166" s="1558">
        <f ca="1">SUMPRODUCT('3b Activity Plan'!$AN$173:$AN$365,OFFSET('3b Activity Plan'!$DJ$173:$DJ$365,0,$CU166-1),'3b Activity Plan'!AW$173:AW$365,'3b Activity Plan'!$AH$173:$AH$365,'3b Activity Plan'!$CY$173:$CY$365,('3b Activity Plan'!$C$173:$C$365=$M$130)*1)</f>
        <v>0</v>
      </c>
      <c r="V166" s="1601">
        <f ca="1">SUMPRODUCT('3b Activity Plan'!$AN$173:$AN$365,OFFSET('3b Activity Plan'!$DJ$173:$DJ$365,0,$CU166-1),'3b Activity Plan'!AX$173:AX$365,'3b Activity Plan'!$AH$173:$AH$365,'3b Activity Plan'!$CY$173:$CY$365,('3b Activity Plan'!$C$173:$C$365=$M$130)*1)</f>
        <v>0</v>
      </c>
      <c r="W166" s="1602">
        <f ca="1">SUMPRODUCT('3b Activity Plan'!$AN$173:$AN$365,OFFSET('3b Activity Plan'!$DJ$173:$DJ$365,0,$CU166-1),'3b Activity Plan'!AO$173:AO$365,'3b Activity Plan'!$AH$173:$AH$365,'3b Activity Plan'!$CY$173:$CY$365,('3b Activity Plan'!$C$173:$C$365=$W$130)*1)</f>
        <v>0</v>
      </c>
      <c r="X166" s="1558">
        <f ca="1">SUMPRODUCT('3b Activity Plan'!$AN$173:$AN$365,OFFSET('3b Activity Plan'!$DJ$173:$DJ$365,0,$CU166-1),'3b Activity Plan'!AP$173:AP$365,'3b Activity Plan'!$AH$173:$AH$365,'3b Activity Plan'!$CY$173:$CY$365,('3b Activity Plan'!$C$173:$C$365=$W$130)*1)</f>
        <v>0</v>
      </c>
      <c r="Y166" s="1558">
        <f ca="1">SUMPRODUCT('3b Activity Plan'!$AN$173:$AN$365,OFFSET('3b Activity Plan'!$DJ$173:$DJ$365,0,$CU166-1),'3b Activity Plan'!AQ$173:AQ$365,'3b Activity Plan'!$AH$173:$AH$365,'3b Activity Plan'!$CY$173:$CY$365,('3b Activity Plan'!$C$173:$C$365=$W$130)*1)</f>
        <v>0</v>
      </c>
      <c r="Z166" s="1558">
        <f ca="1">SUMPRODUCT('3b Activity Plan'!$AN$173:$AN$365,OFFSET('3b Activity Plan'!$DJ$173:$DJ$365,0,$CU166-1),'3b Activity Plan'!AR$173:AR$365,'3b Activity Plan'!$AH$173:$AH$365,'3b Activity Plan'!$CY$173:$CY$365,('3b Activity Plan'!$C$173:$C$365=$W$130)*1)</f>
        <v>0</v>
      </c>
      <c r="AA166" s="1558">
        <f ca="1">SUMPRODUCT('3b Activity Plan'!$AN$173:$AN$365,OFFSET('3b Activity Plan'!$DJ$173:$DJ$365,0,$CU166-1),'3b Activity Plan'!AS$173:AS$365,'3b Activity Plan'!$AH$173:$AH$365,'3b Activity Plan'!$CY$173:$CY$365,('3b Activity Plan'!$C$173:$C$365=$W$130)*1)</f>
        <v>0</v>
      </c>
      <c r="AB166" s="1558">
        <f ca="1">SUMPRODUCT('3b Activity Plan'!$AN$173:$AN$365,OFFSET('3b Activity Plan'!$DJ$173:$DJ$365,0,$CU166-1),'3b Activity Plan'!AT$173:AT$365,'3b Activity Plan'!$AH$173:$AH$365,'3b Activity Plan'!$CY$173:$CY$365,('3b Activity Plan'!$C$173:$C$365=$W$130)*1)</f>
        <v>0</v>
      </c>
      <c r="AC166" s="1558">
        <f ca="1">SUMPRODUCT('3b Activity Plan'!$AN$173:$AN$365,OFFSET('3b Activity Plan'!$DJ$173:$DJ$365,0,$CU166-1),'3b Activity Plan'!AU$173:AU$365,'3b Activity Plan'!$AH$173:$AH$365,'3b Activity Plan'!$CY$173:$CY$365,('3b Activity Plan'!$C$173:$C$365=$W$130)*1)</f>
        <v>0</v>
      </c>
      <c r="AD166" s="1558">
        <f ca="1">SUMPRODUCT('3b Activity Plan'!$AN$173:$AN$365,OFFSET('3b Activity Plan'!$DJ$173:$DJ$365,0,$CU166-1),'3b Activity Plan'!AV$173:AV$365,'3b Activity Plan'!$AH$173:$AH$365,'3b Activity Plan'!$CY$173:$CY$365,('3b Activity Plan'!$C$173:$C$365=$W$130)*1)</f>
        <v>0</v>
      </c>
      <c r="AE166" s="1558">
        <f ca="1">SUMPRODUCT('3b Activity Plan'!$AN$173:$AN$365,OFFSET('3b Activity Plan'!$DJ$173:$DJ$365,0,$CU166-1),'3b Activity Plan'!AW$173:AW$365,'3b Activity Plan'!$AH$173:$AH$365,'3b Activity Plan'!$CY$173:$CY$365,('3b Activity Plan'!$C$173:$C$365=$W$130)*1)</f>
        <v>0</v>
      </c>
      <c r="AF166" s="1558">
        <f ca="1">SUMPRODUCT('3b Activity Plan'!$AN$173:$AN$365,OFFSET('3b Activity Plan'!$DJ$173:$DJ$365,0,$CU166-1),'3b Activity Plan'!AX$173:AX$365,'3b Activity Plan'!$AH$173:$AH$365,'3b Activity Plan'!$CY$173:$CY$365,('3b Activity Plan'!$C$173:$C$365=$W$130)*1)</f>
        <v>0</v>
      </c>
      <c r="AG166" s="1602">
        <f ca="1">SUMPRODUCT('3b Activity Plan'!$AN$173:$AN$365,OFFSET('3b Activity Plan'!$DJ$173:$DJ$365,0,$CU166-1),'3b Activity Plan'!AO$173:AO$365,'3b Activity Plan'!$AH$173:$AH$365,'3b Activity Plan'!$CY$173:$CY$365,('3b Activity Plan'!$C$173:$C$365=$AG$130)*1)</f>
        <v>0</v>
      </c>
      <c r="AH166" s="1558">
        <f ca="1">SUMPRODUCT('3b Activity Plan'!$AN$173:$AN$365,OFFSET('3b Activity Plan'!$DJ$173:$DJ$365,0,$CU166-1),'3b Activity Plan'!AP$173:AP$365,'3b Activity Plan'!$AH$173:$AH$365,'3b Activity Plan'!$CY$173:$CY$365,('3b Activity Plan'!$C$173:$C$365=$AG$130)*1)</f>
        <v>0</v>
      </c>
      <c r="AI166" s="1558">
        <f ca="1">SUMPRODUCT('3b Activity Plan'!$AN$173:$AN$365,OFFSET('3b Activity Plan'!$DJ$173:$DJ$365,0,$CU166-1),'3b Activity Plan'!AQ$173:AQ$365,'3b Activity Plan'!$AH$173:$AH$365,'3b Activity Plan'!$CY$173:$CY$365,('3b Activity Plan'!$C$173:$C$365=$AG$130)*1)</f>
        <v>0</v>
      </c>
      <c r="AJ166" s="1558">
        <f ca="1">SUMPRODUCT('3b Activity Plan'!$AN$173:$AN$365,OFFSET('3b Activity Plan'!$DJ$173:$DJ$365,0,$CU166-1),'3b Activity Plan'!AR$173:AR$365,'3b Activity Plan'!$AH$173:$AH$365,'3b Activity Plan'!$CY$173:$CY$365,('3b Activity Plan'!$C$173:$C$365=$AG$130)*1)</f>
        <v>0</v>
      </c>
      <c r="AK166" s="1558">
        <f ca="1">SUMPRODUCT('3b Activity Plan'!$AN$173:$AN$365,OFFSET('3b Activity Plan'!$DJ$173:$DJ$365,0,$CU166-1),'3b Activity Plan'!AS$173:AS$365,'3b Activity Plan'!$AH$173:$AH$365,'3b Activity Plan'!$CY$173:$CY$365,('3b Activity Plan'!$C$173:$C$365=$AG$130)*1)</f>
        <v>0</v>
      </c>
      <c r="AL166" s="1558">
        <f ca="1">SUMPRODUCT('3b Activity Plan'!$AN$173:$AN$365,OFFSET('3b Activity Plan'!$DJ$173:$DJ$365,0,$CU166-1),'3b Activity Plan'!AT$173:AT$365,'3b Activity Plan'!$AH$173:$AH$365,'3b Activity Plan'!$CY$173:$CY$365,('3b Activity Plan'!$C$173:$C$365=$AG$130)*1)</f>
        <v>0</v>
      </c>
      <c r="AM166" s="1558">
        <f ca="1">SUMPRODUCT('3b Activity Plan'!$AN$173:$AN$365,OFFSET('3b Activity Plan'!$DJ$173:$DJ$365,0,$CU166-1),'3b Activity Plan'!AU$173:AU$365,'3b Activity Plan'!$AH$173:$AH$365,'3b Activity Plan'!$CY$173:$CY$365,('3b Activity Plan'!$C$173:$C$365=$AG$130)*1)</f>
        <v>0</v>
      </c>
      <c r="AN166" s="1558">
        <f ca="1">SUMPRODUCT('3b Activity Plan'!$AN$173:$AN$365,OFFSET('3b Activity Plan'!$DJ$173:$DJ$365,0,$CU166-1),'3b Activity Plan'!AV$173:AV$365,'3b Activity Plan'!$AH$173:$AH$365,'3b Activity Plan'!$CY$173:$CY$365,('3b Activity Plan'!$C$173:$C$365=$AG$130)*1)</f>
        <v>0</v>
      </c>
      <c r="AO166" s="1558">
        <f ca="1">SUMPRODUCT('3b Activity Plan'!$AN$173:$AN$365,OFFSET('3b Activity Plan'!$DJ$173:$DJ$365,0,$CU166-1),'3b Activity Plan'!AW$173:AW$365,'3b Activity Plan'!$AH$173:$AH$365,'3b Activity Plan'!$CY$173:$CY$365,('3b Activity Plan'!$C$173:$C$365=$AG$130)*1)</f>
        <v>0</v>
      </c>
      <c r="AP166" s="1558">
        <f ca="1">SUMPRODUCT('3b Activity Plan'!$AN$173:$AN$365,OFFSET('3b Activity Plan'!$DJ$173:$DJ$365,0,$CU166-1),'3b Activity Plan'!AX$173:AX$365,'3b Activity Plan'!$AH$173:$AH$365,'3b Activity Plan'!$CY$173:$CY$365,('3b Activity Plan'!$C$173:$C$365=$AG$130)*1)</f>
        <v>0</v>
      </c>
      <c r="AQ166" s="1602">
        <f ca="1">SUMPRODUCT('3b Activity Plan'!$AN$173:$AN$365,OFFSET('3b Activity Plan'!$DJ$173:$DJ$365,0,$CU166-1),'3b Activity Plan'!AO$173:AO$365,'3b Activity Plan'!$AH$173:$AH$365,'3b Activity Plan'!$CY$173:$CY$365,('3b Activity Plan'!$C$173:$C$365=$AQ$130)*1)</f>
        <v>0</v>
      </c>
      <c r="AR166" s="1558">
        <f ca="1">SUMPRODUCT('3b Activity Plan'!$AN$173:$AN$365,OFFSET('3b Activity Plan'!$DJ$173:$DJ$365,0,$CU166-1),'3b Activity Plan'!AP$173:AP$365,'3b Activity Plan'!$AH$173:$AH$365,'3b Activity Plan'!$CY$173:$CY$365,('3b Activity Plan'!$C$173:$C$365=$AQ$130)*1)</f>
        <v>0</v>
      </c>
      <c r="AS166" s="1558">
        <f ca="1">SUMPRODUCT('3b Activity Plan'!$AN$173:$AN$365,OFFSET('3b Activity Plan'!$DJ$173:$DJ$365,0,$CU166-1),'3b Activity Plan'!AQ$173:AQ$365,'3b Activity Plan'!$AH$173:$AH$365,'3b Activity Plan'!$CY$173:$CY$365,('3b Activity Plan'!$C$173:$C$365=$AQ$130)*1)</f>
        <v>0</v>
      </c>
      <c r="AT166" s="1558">
        <f ca="1">SUMPRODUCT('3b Activity Plan'!$AN$173:$AN$365,OFFSET('3b Activity Plan'!$DJ$173:$DJ$365,0,$CU166-1),'3b Activity Plan'!AR$173:AR$365,'3b Activity Plan'!$AH$173:$AH$365,'3b Activity Plan'!$CY$173:$CY$365,('3b Activity Plan'!$C$173:$C$365=$AQ$130)*1)</f>
        <v>0</v>
      </c>
      <c r="AU166" s="1558">
        <f ca="1">SUMPRODUCT('3b Activity Plan'!$AN$173:$AN$365,OFFSET('3b Activity Plan'!$DJ$173:$DJ$365,0,$CU166-1),'3b Activity Plan'!AS$173:AS$365,'3b Activity Plan'!$AH$173:$AH$365,'3b Activity Plan'!$CY$173:$CY$365,('3b Activity Plan'!$C$173:$C$365=$AQ$130)*1)</f>
        <v>0</v>
      </c>
      <c r="AV166" s="1558">
        <f ca="1">SUMPRODUCT('3b Activity Plan'!$AN$173:$AN$365,OFFSET('3b Activity Plan'!$DJ$173:$DJ$365,0,$CU166-1),'3b Activity Plan'!AT$173:AT$365,'3b Activity Plan'!$AH$173:$AH$365,'3b Activity Plan'!$CY$173:$CY$365,('3b Activity Plan'!$C$173:$C$365=$AQ$130)*1)</f>
        <v>0</v>
      </c>
      <c r="AW166" s="1558">
        <f ca="1">SUMPRODUCT('3b Activity Plan'!$AN$173:$AN$365,OFFSET('3b Activity Plan'!$DJ$173:$DJ$365,0,$CU166-1),'3b Activity Plan'!AU$173:AU$365,'3b Activity Plan'!$AH$173:$AH$365,'3b Activity Plan'!$CY$173:$CY$365,('3b Activity Plan'!$C$173:$C$365=$AQ$130)*1)</f>
        <v>0</v>
      </c>
      <c r="AX166" s="1558">
        <f ca="1">SUMPRODUCT('3b Activity Plan'!$AN$173:$AN$365,OFFSET('3b Activity Plan'!$DJ$173:$DJ$365,0,$CU166-1),'3b Activity Plan'!AV$173:AV$365,'3b Activity Plan'!$AH$173:$AH$365,'3b Activity Plan'!$CY$173:$CY$365,('3b Activity Plan'!$C$173:$C$365=$AQ$130)*1)</f>
        <v>0</v>
      </c>
      <c r="AY166" s="1558">
        <f ca="1">SUMPRODUCT('3b Activity Plan'!$AN$173:$AN$365,OFFSET('3b Activity Plan'!$DJ$173:$DJ$365,0,$CU166-1),'3b Activity Plan'!AW$173:AW$365,'3b Activity Plan'!$AH$173:$AH$365,'3b Activity Plan'!$CY$173:$CY$365,('3b Activity Plan'!$C$173:$C$365=$AQ$130)*1)</f>
        <v>0</v>
      </c>
      <c r="AZ166" s="1558">
        <f ca="1">SUMPRODUCT('3b Activity Plan'!$AN$173:$AN$365,OFFSET('3b Activity Plan'!$DJ$173:$DJ$365,0,$CU166-1),'3b Activity Plan'!AX$173:AX$365,'3b Activity Plan'!$AH$173:$AH$365,'3b Activity Plan'!$CY$173:$CY$365,('3b Activity Plan'!$C$173:$C$365=$AQ$130)*1)</f>
        <v>0</v>
      </c>
      <c r="BA166" s="1602">
        <f ca="1">SUMPRODUCT('3b Activity Plan'!$AN$173:$AN$365,OFFSET('3b Activity Plan'!$DJ$173:$DJ$365,0,$CU166-1),'3b Activity Plan'!AO$173:AO$365,'3b Activity Plan'!$AH$173:$AH$365,'3b Activity Plan'!$CY$173:$CY$365,('3b Activity Plan'!$C$173:$C$365=$BA$130)*1)</f>
        <v>0</v>
      </c>
      <c r="BB166" s="1558">
        <f ca="1">SUMPRODUCT('3b Activity Plan'!$AN$173:$AN$365,OFFSET('3b Activity Plan'!$DJ$173:$DJ$365,0,$CU166-1),'3b Activity Plan'!AP$173:AP$365,'3b Activity Plan'!$AH$173:$AH$365,'3b Activity Plan'!$CY$173:$CY$365,('3b Activity Plan'!$C$173:$C$365=$BA$130)*1)</f>
        <v>0</v>
      </c>
      <c r="BC166" s="1558">
        <f ca="1">SUMPRODUCT('3b Activity Plan'!$AN$173:$AN$365,OFFSET('3b Activity Plan'!$DJ$173:$DJ$365,0,$CU166-1),'3b Activity Plan'!AQ$173:AQ$365,'3b Activity Plan'!$AH$173:$AH$365,'3b Activity Plan'!$CY$173:$CY$365,('3b Activity Plan'!$C$173:$C$365=$BA$130)*1)</f>
        <v>0</v>
      </c>
      <c r="BD166" s="1558">
        <f ca="1">SUMPRODUCT('3b Activity Plan'!$AN$173:$AN$365,OFFSET('3b Activity Plan'!$DJ$173:$DJ$365,0,$CU166-1),'3b Activity Plan'!AR$173:AR$365,'3b Activity Plan'!$AH$173:$AH$365,'3b Activity Plan'!$CY$173:$CY$365,('3b Activity Plan'!$C$173:$C$365=$BA$130)*1)</f>
        <v>0</v>
      </c>
      <c r="BE166" s="1558">
        <f ca="1">SUMPRODUCT('3b Activity Plan'!$AN$173:$AN$365,OFFSET('3b Activity Plan'!$DJ$173:$DJ$365,0,$CU166-1),'3b Activity Plan'!AS$173:AS$365,'3b Activity Plan'!$AH$173:$AH$365,'3b Activity Plan'!$CY$173:$CY$365,('3b Activity Plan'!$C$173:$C$365=$BA$130)*1)</f>
        <v>0</v>
      </c>
      <c r="BF166" s="1558">
        <f ca="1">SUMPRODUCT('3b Activity Plan'!$AN$173:$AN$365,OFFSET('3b Activity Plan'!$DJ$173:$DJ$365,0,$CU166-1),'3b Activity Plan'!AT$173:AT$365,'3b Activity Plan'!$AH$173:$AH$365,'3b Activity Plan'!$CY$173:$CY$365,('3b Activity Plan'!$C$173:$C$365=$BA$130)*1)</f>
        <v>0</v>
      </c>
      <c r="BG166" s="1558">
        <f ca="1">SUMPRODUCT('3b Activity Plan'!$AN$173:$AN$365,OFFSET('3b Activity Plan'!$DJ$173:$DJ$365,0,$CU166-1),'3b Activity Plan'!AU$173:AU$365,'3b Activity Plan'!$AH$173:$AH$365,'3b Activity Plan'!$CY$173:$CY$365,('3b Activity Plan'!$C$173:$C$365=$BA$130)*1)</f>
        <v>0</v>
      </c>
      <c r="BH166" s="1558">
        <f ca="1">SUMPRODUCT('3b Activity Plan'!$AN$173:$AN$365,OFFSET('3b Activity Plan'!$DJ$173:$DJ$365,0,$CU166-1),'3b Activity Plan'!AV$173:AV$365,'3b Activity Plan'!$AH$173:$AH$365,'3b Activity Plan'!$CY$173:$CY$365,('3b Activity Plan'!$C$173:$C$365=$BA$130)*1)</f>
        <v>0</v>
      </c>
      <c r="BI166" s="1558">
        <f ca="1">SUMPRODUCT('3b Activity Plan'!$AN$173:$AN$365,OFFSET('3b Activity Plan'!$DJ$173:$DJ$365,0,$CU166-1),'3b Activity Plan'!AW$173:AW$365,'3b Activity Plan'!$AH$173:$AH$365,'3b Activity Plan'!$CY$173:$CY$365,('3b Activity Plan'!$C$173:$C$365=$BA$130)*1)</f>
        <v>0</v>
      </c>
      <c r="BJ166" s="1558">
        <f ca="1">SUMPRODUCT('3b Activity Plan'!$AN$173:$AN$365,OFFSET('3b Activity Plan'!$DJ$173:$DJ$365,0,$CU166-1),'3b Activity Plan'!AX$173:AX$365,'3b Activity Plan'!$AH$173:$AH$365,'3b Activity Plan'!$CY$173:$CY$365,('3b Activity Plan'!$C$173:$C$365=$BA$130)*1)</f>
        <v>0</v>
      </c>
      <c r="BK166" s="1602">
        <f ca="1">SUMPRODUCT('3b Activity Plan'!$AN$173:$AN$365,OFFSET('3b Activity Plan'!$DJ$173:$DJ$365,0,$CU166-1),'3b Activity Plan'!AO$173:AO$365,'3b Activity Plan'!$AH$173:$AH$365,'3b Activity Plan'!$CY$173:$CY$365,('3b Activity Plan'!$C$173:$C$365=$BK$130)*1)</f>
        <v>0</v>
      </c>
      <c r="BL166" s="1558">
        <f ca="1">SUMPRODUCT('3b Activity Plan'!$AN$173:$AN$365,OFFSET('3b Activity Plan'!$DJ$173:$DJ$365,0,$CU166-1),'3b Activity Plan'!AP$173:AP$365,'3b Activity Plan'!$AH$173:$AH$365,'3b Activity Plan'!$CY$173:$CY$365,('3b Activity Plan'!$C$173:$C$365=$BK$130)*1)</f>
        <v>0</v>
      </c>
      <c r="BM166" s="1558">
        <f ca="1">SUMPRODUCT('3b Activity Plan'!$AN$173:$AN$365,OFFSET('3b Activity Plan'!$DJ$173:$DJ$365,0,$CU166-1),'3b Activity Plan'!AQ$173:AQ$365,'3b Activity Plan'!$AH$173:$AH$365,'3b Activity Plan'!$CY$173:$CY$365,('3b Activity Plan'!$C$173:$C$365=$BK$130)*1)</f>
        <v>0</v>
      </c>
      <c r="BN166" s="1558">
        <f ca="1">SUMPRODUCT('3b Activity Plan'!$AN$173:$AN$365,OFFSET('3b Activity Plan'!$DJ$173:$DJ$365,0,$CU166-1),'3b Activity Plan'!AR$173:AR$365,'3b Activity Plan'!$AH$173:$AH$365,'3b Activity Plan'!$CY$173:$CY$365,('3b Activity Plan'!$C$173:$C$365=$BK$130)*1)</f>
        <v>0</v>
      </c>
      <c r="BO166" s="1558">
        <f ca="1">SUMPRODUCT('3b Activity Plan'!$AN$173:$AN$365,OFFSET('3b Activity Plan'!$DJ$173:$DJ$365,0,$CU166-1),'3b Activity Plan'!AS$173:AS$365,'3b Activity Plan'!$AH$173:$AH$365,'3b Activity Plan'!$CY$173:$CY$365,('3b Activity Plan'!$C$173:$C$365=$BK$130)*1)</f>
        <v>0</v>
      </c>
      <c r="BP166" s="1558">
        <f ca="1">SUMPRODUCT('3b Activity Plan'!$AN$173:$AN$365,OFFSET('3b Activity Plan'!$DJ$173:$DJ$365,0,$CU166-1),'3b Activity Plan'!AT$173:AT$365,'3b Activity Plan'!$AH$173:$AH$365,'3b Activity Plan'!$CY$173:$CY$365,('3b Activity Plan'!$C$173:$C$365=$BK$130)*1)</f>
        <v>0</v>
      </c>
      <c r="BQ166" s="1558">
        <f ca="1">SUMPRODUCT('3b Activity Plan'!$AN$173:$AN$365,OFFSET('3b Activity Plan'!$DJ$173:$DJ$365,0,$CU166-1),'3b Activity Plan'!AU$173:AU$365,'3b Activity Plan'!$AH$173:$AH$365,'3b Activity Plan'!$CY$173:$CY$365,('3b Activity Plan'!$C$173:$C$365=$BK$130)*1)</f>
        <v>0</v>
      </c>
      <c r="BR166" s="1558">
        <f ca="1">SUMPRODUCT('3b Activity Plan'!$AN$173:$AN$365,OFFSET('3b Activity Plan'!$DJ$173:$DJ$365,0,$CU166-1),'3b Activity Plan'!AV$173:AV$365,'3b Activity Plan'!$AH$173:$AH$365,'3b Activity Plan'!$CY$173:$CY$365,('3b Activity Plan'!$C$173:$C$365=$BK$130)*1)</f>
        <v>0</v>
      </c>
      <c r="BS166" s="1558">
        <f ca="1">SUMPRODUCT('3b Activity Plan'!$AN$173:$AN$365,OFFSET('3b Activity Plan'!$DJ$173:$DJ$365,0,$CU166-1),'3b Activity Plan'!AW$173:AW$365,'3b Activity Plan'!$AH$173:$AH$365,'3b Activity Plan'!$CY$173:$CY$365,('3b Activity Plan'!$C$173:$C$365=$BK$130)*1)</f>
        <v>0</v>
      </c>
      <c r="BT166" s="1558">
        <f ca="1">SUMPRODUCT('3b Activity Plan'!$AN$173:$AN$365,OFFSET('3b Activity Plan'!$DJ$173:$DJ$365,0,$CU166-1),'3b Activity Plan'!AX$173:AX$365,'3b Activity Plan'!$AH$173:$AH$365,'3b Activity Plan'!$CY$173:$CY$365,('3b Activity Plan'!$C$173:$C$365=$BK$130)*1)</f>
        <v>0</v>
      </c>
      <c r="BU166" s="1587"/>
      <c r="BV166" s="1587"/>
      <c r="BW166" s="1587"/>
      <c r="BX166" s="1556"/>
      <c r="BY166" s="1556"/>
      <c r="BZ166" s="1556"/>
      <c r="CA166" s="1024">
        <f ca="1">SUMIFS('3a Staff Plan'!$T$129:$T$305,'3a Staff Plan'!$DY$129:$DY$305,CZ166,'3a Staff Plan'!$DF$129:$DF$305,1)</f>
        <v>0</v>
      </c>
      <c r="CB166" s="1025">
        <f ca="1">SUMIFS('3a Staff Plan'!$T$129:$T$305,'3a Staff Plan'!$DY$129:$DY$305,$CZ166,'3a Staff Plan'!$DF$129:$DF$305,1,'3a Staff Plan'!$C$129:$C$305,DC$18)</f>
        <v>0</v>
      </c>
      <c r="CC166" s="1026">
        <f ca="1">SUMIFS('3a Staff Plan'!$T$129:$T$305,'3a Staff Plan'!$DY$129:$DY$305,$CZ166,'3a Staff Plan'!$DF$129:$DF$305,1,'3a Staff Plan'!$C$129:$C$305,DD$18)</f>
        <v>0</v>
      </c>
      <c r="CD166" s="1026">
        <f ca="1">SUMIFS('3a Staff Plan'!$T$129:$T$305,'3a Staff Plan'!$DY$129:$DY$305,$CZ166,'3a Staff Plan'!$DF$129:$DF$305,1,'3a Staff Plan'!$C$129:$C$305,DE$18)</f>
        <v>0</v>
      </c>
      <c r="CE166" s="1026">
        <f ca="1">SUMIFS('3a Staff Plan'!$T$129:$T$305,'3a Staff Plan'!$DY$129:$DY$305,$CZ166,'3a Staff Plan'!$DF$129:$DF$305,1,'3a Staff Plan'!$C$129:$C$305,DF$18)</f>
        <v>0</v>
      </c>
      <c r="CF166" s="1026">
        <f ca="1">SUMIFS('3a Staff Plan'!$T$129:$T$305,'3a Staff Plan'!$DY$129:$DY$305,$CZ166,'3a Staff Plan'!$DF$129:$DF$305,1,'3a Staff Plan'!$C$129:$C$305,DG$18)</f>
        <v>0</v>
      </c>
      <c r="CG166" s="1026">
        <f ca="1">SUMIFS('3a Staff Plan'!$T$129:$T$305,'3a Staff Plan'!$DY$129:$DY$305,$CZ166,'3a Staff Plan'!$DF$129:$DF$305,1,'3a Staff Plan'!$C$129:$C$305,DH$18)</f>
        <v>0</v>
      </c>
      <c r="CH166" s="1026">
        <f ca="1">SUMIFS('3a Staff Plan'!$T$129:$T$305,'3a Staff Plan'!$DY$129:$DY$305,$CZ166,'3a Staff Plan'!$DF$129:$DF$305,1,'3a Staff Plan'!$C$129:$C$305,DI$18)</f>
        <v>0</v>
      </c>
      <c r="CI166" s="755"/>
      <c r="CJ166" s="1024">
        <f ca="1">SUMPRODUCT('3b Activity Plan'!$AN$173:$AN$365,'3b Activity Plan'!$CY$173:$CY$365,'3b Activity Plan'!$AH$173:$AH$365,OFFSET('3b Activity Plan'!$DJ$173:$DJ$365,0,$CU166-1))</f>
        <v>0</v>
      </c>
      <c r="CK166" s="1025">
        <f t="shared" ca="1" si="93"/>
        <v>0</v>
      </c>
      <c r="CL166" s="1026">
        <f t="shared" ca="1" si="94"/>
        <v>0</v>
      </c>
      <c r="CM166" s="1026">
        <f t="shared" ca="1" si="95"/>
        <v>0</v>
      </c>
      <c r="CN166" s="1026">
        <f t="shared" ca="1" si="96"/>
        <v>0</v>
      </c>
      <c r="CO166" s="1026">
        <f t="shared" ca="1" si="97"/>
        <v>0</v>
      </c>
      <c r="CP166" s="1026">
        <f t="shared" ca="1" si="98"/>
        <v>0</v>
      </c>
      <c r="CQ166" s="1026">
        <f t="shared" ca="1" si="99"/>
        <v>0</v>
      </c>
      <c r="CR166" s="417"/>
      <c r="CS166" s="417">
        <f t="shared" si="100"/>
        <v>34</v>
      </c>
      <c r="CT166" s="417">
        <f ca="1">OFFSET('2 Staff List'!$GU$64,CS166-1,0)</f>
        <v>34</v>
      </c>
      <c r="CU166" s="417">
        <f ca="1">IF(CZ166=0,0,IFERROR(INDEX('3b Activity Plan'!$DJ$20:$FH$20,MATCH(CT166,'3b Activity Plan'!$DJ$171:$FH$171,0)),0))</f>
        <v>0</v>
      </c>
      <c r="CV166" s="417">
        <f ca="1">INDEX('2 Staff List'!$HW$64:$HW$114,CT166)</f>
        <v>0</v>
      </c>
      <c r="CW166" s="417"/>
      <c r="CY166" s="927">
        <f ca="1">OFFSET('2 Staff List'!$HZ$64,CS166-1,0)</f>
        <v>0</v>
      </c>
      <c r="CZ166" s="975">
        <f ca="1">OFFSET('2 Staff List'!$IA$64,CT166-1,0)</f>
        <v>0</v>
      </c>
      <c r="DA166" s="3840">
        <f t="shared" ca="1" si="92"/>
        <v>0</v>
      </c>
      <c r="DB166" s="3841"/>
      <c r="DC166" s="2408">
        <f t="shared" ca="1" si="85"/>
        <v>0</v>
      </c>
      <c r="DD166" s="2405">
        <f t="shared" ca="1" si="86"/>
        <v>0</v>
      </c>
      <c r="DE166" s="2405">
        <f t="shared" ca="1" si="87"/>
        <v>0</v>
      </c>
      <c r="DF166" s="2405">
        <f t="shared" ca="1" si="88"/>
        <v>0</v>
      </c>
      <c r="DG166" s="2405">
        <f t="shared" ca="1" si="89"/>
        <v>0</v>
      </c>
      <c r="DH166" s="2406">
        <f t="shared" ca="1" si="90"/>
        <v>0</v>
      </c>
      <c r="DI166" s="2407">
        <f t="shared" ca="1" si="91"/>
        <v>0</v>
      </c>
    </row>
    <row r="167" spans="1:113" ht="15.9" customHeight="1" x14ac:dyDescent="0.25">
      <c r="A167" s="1051"/>
      <c r="B167" s="1556"/>
      <c r="C167" s="1558">
        <f ca="1">SUMPRODUCT('3b Activity Plan'!$AN$173:$AN$365,OFFSET('3b Activity Plan'!$DJ$173:$DJ$365,0,$CU167-1),'3b Activity Plan'!AO$173:AO$365,'3b Activity Plan'!$AH$173:$AH$365,'3b Activity Plan'!$CY$173:$CY$365,('3b Activity Plan'!$C$173:$C$365=$C$130)*1)</f>
        <v>0</v>
      </c>
      <c r="D167" s="1558">
        <f ca="1">SUMPRODUCT('3b Activity Plan'!$AN$173:$AN$365,OFFSET('3b Activity Plan'!$DJ$173:$DJ$365,0,$CU167-1),'3b Activity Plan'!AP$173:AP$365,'3b Activity Plan'!$AH$173:$AH$365,'3b Activity Plan'!$CY$173:$CY$365,('3b Activity Plan'!$C$173:$C$365=$C$130)*1)</f>
        <v>0</v>
      </c>
      <c r="E167" s="1558">
        <f ca="1">SUMPRODUCT('3b Activity Plan'!$AN$173:$AN$365,OFFSET('3b Activity Plan'!$DJ$173:$DJ$365,0,$CU167-1),'3b Activity Plan'!AQ$173:AQ$365,'3b Activity Plan'!$AH$173:$AH$365,'3b Activity Plan'!$CY$173:$CY$365,('3b Activity Plan'!$C$173:$C$365=$C$130)*1)</f>
        <v>0</v>
      </c>
      <c r="F167" s="1558">
        <f ca="1">SUMPRODUCT('3b Activity Plan'!$AN$173:$AN$365,OFFSET('3b Activity Plan'!$DJ$173:$DJ$365,0,$CU167-1),'3b Activity Plan'!AR$173:AR$365,'3b Activity Plan'!$AH$173:$AH$365,'3b Activity Plan'!$CY$173:$CY$365,('3b Activity Plan'!$C$173:$C$365=$C$130)*1)</f>
        <v>0</v>
      </c>
      <c r="G167" s="1558">
        <f ca="1">SUMPRODUCT('3b Activity Plan'!$AN$173:$AN$365,OFFSET('3b Activity Plan'!$DJ$173:$DJ$365,0,$CU167-1),'3b Activity Plan'!AS$173:AS$365,'3b Activity Plan'!$AH$173:$AH$365,'3b Activity Plan'!$CY$173:$CY$365,('3b Activity Plan'!$C$173:$C$365=$C$130)*1)</f>
        <v>0</v>
      </c>
      <c r="H167" s="1558">
        <f ca="1">SUMPRODUCT('3b Activity Plan'!$AN$173:$AN$365,OFFSET('3b Activity Plan'!$DJ$173:$DJ$365,0,$CU167-1),'3b Activity Plan'!AT$173:AT$365,'3b Activity Plan'!$AH$173:$AH$365,'3b Activity Plan'!$CY$173:$CY$365,('3b Activity Plan'!$C$173:$C$365=$C$130)*1)</f>
        <v>0</v>
      </c>
      <c r="I167" s="1558">
        <f ca="1">SUMPRODUCT('3b Activity Plan'!$AN$173:$AN$365,OFFSET('3b Activity Plan'!$DJ$173:$DJ$365,0,$CU167-1),'3b Activity Plan'!AU$173:AU$365,'3b Activity Plan'!$AH$173:$AH$365,'3b Activity Plan'!$CY$173:$CY$365,('3b Activity Plan'!$C$173:$C$365=$C$130)*1)</f>
        <v>0</v>
      </c>
      <c r="J167" s="1558">
        <f ca="1">SUMPRODUCT('3b Activity Plan'!$AN$173:$AN$365,OFFSET('3b Activity Plan'!$DJ$173:$DJ$365,0,$CU167-1),'3b Activity Plan'!AV$173:AV$365,'3b Activity Plan'!$AH$173:$AH$365,'3b Activity Plan'!$CY$173:$CY$365,('3b Activity Plan'!$C$173:$C$365=$C$130)*1)</f>
        <v>0</v>
      </c>
      <c r="K167" s="1558">
        <f ca="1">SUMPRODUCT('3b Activity Plan'!$AN$173:$AN$365,OFFSET('3b Activity Plan'!$DJ$173:$DJ$365,0,$CU167-1),'3b Activity Plan'!AW$173:AW$365,'3b Activity Plan'!$AH$173:$AH$365,'3b Activity Plan'!$CY$173:$CY$365,('3b Activity Plan'!$C$173:$C$365=$C$130)*1)</f>
        <v>0</v>
      </c>
      <c r="L167" s="1601">
        <f ca="1">SUMPRODUCT('3b Activity Plan'!$AN$173:$AN$365,OFFSET('3b Activity Plan'!$DJ$173:$DJ$365,0,$CU167-1),'3b Activity Plan'!AX$173:AX$365,'3b Activity Plan'!$AH$173:$AH$365,'3b Activity Plan'!$CY$173:$CY$365,('3b Activity Plan'!$C$173:$C$365=$C$130)*1)</f>
        <v>0</v>
      </c>
      <c r="M167" s="1602">
        <f ca="1">SUMPRODUCT('3b Activity Plan'!$AN$173:$AN$365,OFFSET('3b Activity Plan'!$DJ$173:$DJ$365,0,$CU167-1),'3b Activity Plan'!AO$173:AO$365,'3b Activity Plan'!$AH$173:$AH$365,'3b Activity Plan'!$CY$173:$CY$365,('3b Activity Plan'!$C$173:$C$365=$M$130)*1)</f>
        <v>0</v>
      </c>
      <c r="N167" s="1558">
        <f ca="1">SUMPRODUCT('3b Activity Plan'!$AN$173:$AN$365,OFFSET('3b Activity Plan'!$DJ$173:$DJ$365,0,$CU167-1),'3b Activity Plan'!AP$173:AP$365,'3b Activity Plan'!$AH$173:$AH$365,'3b Activity Plan'!$CY$173:$CY$365,('3b Activity Plan'!$C$173:$C$365=$M$130)*1)</f>
        <v>0</v>
      </c>
      <c r="O167" s="1558">
        <f ca="1">SUMPRODUCT('3b Activity Plan'!$AN$173:$AN$365,OFFSET('3b Activity Plan'!$DJ$173:$DJ$365,0,$CU167-1),'3b Activity Plan'!AQ$173:AQ$365,'3b Activity Plan'!$AH$173:$AH$365,'3b Activity Plan'!$CY$173:$CY$365,('3b Activity Plan'!$C$173:$C$365=$M$130)*1)</f>
        <v>0</v>
      </c>
      <c r="P167" s="1558">
        <f ca="1">SUMPRODUCT('3b Activity Plan'!$AN$173:$AN$365,OFFSET('3b Activity Plan'!$DJ$173:$DJ$365,0,$CU167-1),'3b Activity Plan'!AR$173:AR$365,'3b Activity Plan'!$AH$173:$AH$365,'3b Activity Plan'!$CY$173:$CY$365,('3b Activity Plan'!$C$173:$C$365=$M$130)*1)</f>
        <v>0</v>
      </c>
      <c r="Q167" s="1558">
        <f ca="1">SUMPRODUCT('3b Activity Plan'!$AN$173:$AN$365,OFFSET('3b Activity Plan'!$DJ$173:$DJ$365,0,$CU167-1),'3b Activity Plan'!AS$173:AS$365,'3b Activity Plan'!$AH$173:$AH$365,'3b Activity Plan'!$CY$173:$CY$365,('3b Activity Plan'!$C$173:$C$365=$M$130)*1)</f>
        <v>0</v>
      </c>
      <c r="R167" s="1558">
        <f ca="1">SUMPRODUCT('3b Activity Plan'!$AN$173:$AN$365,OFFSET('3b Activity Plan'!$DJ$173:$DJ$365,0,$CU167-1),'3b Activity Plan'!AT$173:AT$365,'3b Activity Plan'!$AH$173:$AH$365,'3b Activity Plan'!$CY$173:$CY$365,('3b Activity Plan'!$C$173:$C$365=$M$130)*1)</f>
        <v>0</v>
      </c>
      <c r="S167" s="1558">
        <f ca="1">SUMPRODUCT('3b Activity Plan'!$AN$173:$AN$365,OFFSET('3b Activity Plan'!$DJ$173:$DJ$365,0,$CU167-1),'3b Activity Plan'!AU$173:AU$365,'3b Activity Plan'!$AH$173:$AH$365,'3b Activity Plan'!$CY$173:$CY$365,('3b Activity Plan'!$C$173:$C$365=$M$130)*1)</f>
        <v>0</v>
      </c>
      <c r="T167" s="1558">
        <f ca="1">SUMPRODUCT('3b Activity Plan'!$AN$173:$AN$365,OFFSET('3b Activity Plan'!$DJ$173:$DJ$365,0,$CU167-1),'3b Activity Plan'!AV$173:AV$365,'3b Activity Plan'!$AH$173:$AH$365,'3b Activity Plan'!$CY$173:$CY$365,('3b Activity Plan'!$C$173:$C$365=$M$130)*1)</f>
        <v>0</v>
      </c>
      <c r="U167" s="1558">
        <f ca="1">SUMPRODUCT('3b Activity Plan'!$AN$173:$AN$365,OFFSET('3b Activity Plan'!$DJ$173:$DJ$365,0,$CU167-1),'3b Activity Plan'!AW$173:AW$365,'3b Activity Plan'!$AH$173:$AH$365,'3b Activity Plan'!$CY$173:$CY$365,('3b Activity Plan'!$C$173:$C$365=$M$130)*1)</f>
        <v>0</v>
      </c>
      <c r="V167" s="1601">
        <f ca="1">SUMPRODUCT('3b Activity Plan'!$AN$173:$AN$365,OFFSET('3b Activity Plan'!$DJ$173:$DJ$365,0,$CU167-1),'3b Activity Plan'!AX$173:AX$365,'3b Activity Plan'!$AH$173:$AH$365,'3b Activity Plan'!$CY$173:$CY$365,('3b Activity Plan'!$C$173:$C$365=$M$130)*1)</f>
        <v>0</v>
      </c>
      <c r="W167" s="1602">
        <f ca="1">SUMPRODUCT('3b Activity Plan'!$AN$173:$AN$365,OFFSET('3b Activity Plan'!$DJ$173:$DJ$365,0,$CU167-1),'3b Activity Plan'!AO$173:AO$365,'3b Activity Plan'!$AH$173:$AH$365,'3b Activity Plan'!$CY$173:$CY$365,('3b Activity Plan'!$C$173:$C$365=$W$130)*1)</f>
        <v>0</v>
      </c>
      <c r="X167" s="1558">
        <f ca="1">SUMPRODUCT('3b Activity Plan'!$AN$173:$AN$365,OFFSET('3b Activity Plan'!$DJ$173:$DJ$365,0,$CU167-1),'3b Activity Plan'!AP$173:AP$365,'3b Activity Plan'!$AH$173:$AH$365,'3b Activity Plan'!$CY$173:$CY$365,('3b Activity Plan'!$C$173:$C$365=$W$130)*1)</f>
        <v>0</v>
      </c>
      <c r="Y167" s="1558">
        <f ca="1">SUMPRODUCT('3b Activity Plan'!$AN$173:$AN$365,OFFSET('3b Activity Plan'!$DJ$173:$DJ$365,0,$CU167-1),'3b Activity Plan'!AQ$173:AQ$365,'3b Activity Plan'!$AH$173:$AH$365,'3b Activity Plan'!$CY$173:$CY$365,('3b Activity Plan'!$C$173:$C$365=$W$130)*1)</f>
        <v>0</v>
      </c>
      <c r="Z167" s="1558">
        <f ca="1">SUMPRODUCT('3b Activity Plan'!$AN$173:$AN$365,OFFSET('3b Activity Plan'!$DJ$173:$DJ$365,0,$CU167-1),'3b Activity Plan'!AR$173:AR$365,'3b Activity Plan'!$AH$173:$AH$365,'3b Activity Plan'!$CY$173:$CY$365,('3b Activity Plan'!$C$173:$C$365=$W$130)*1)</f>
        <v>0</v>
      </c>
      <c r="AA167" s="1558">
        <f ca="1">SUMPRODUCT('3b Activity Plan'!$AN$173:$AN$365,OFFSET('3b Activity Plan'!$DJ$173:$DJ$365,0,$CU167-1),'3b Activity Plan'!AS$173:AS$365,'3b Activity Plan'!$AH$173:$AH$365,'3b Activity Plan'!$CY$173:$CY$365,('3b Activity Plan'!$C$173:$C$365=$W$130)*1)</f>
        <v>0</v>
      </c>
      <c r="AB167" s="1558">
        <f ca="1">SUMPRODUCT('3b Activity Plan'!$AN$173:$AN$365,OFFSET('3b Activity Plan'!$DJ$173:$DJ$365,0,$CU167-1),'3b Activity Plan'!AT$173:AT$365,'3b Activity Plan'!$AH$173:$AH$365,'3b Activity Plan'!$CY$173:$CY$365,('3b Activity Plan'!$C$173:$C$365=$W$130)*1)</f>
        <v>0</v>
      </c>
      <c r="AC167" s="1558">
        <f ca="1">SUMPRODUCT('3b Activity Plan'!$AN$173:$AN$365,OFFSET('3b Activity Plan'!$DJ$173:$DJ$365,0,$CU167-1),'3b Activity Plan'!AU$173:AU$365,'3b Activity Plan'!$AH$173:$AH$365,'3b Activity Plan'!$CY$173:$CY$365,('3b Activity Plan'!$C$173:$C$365=$W$130)*1)</f>
        <v>0</v>
      </c>
      <c r="AD167" s="1558">
        <f ca="1">SUMPRODUCT('3b Activity Plan'!$AN$173:$AN$365,OFFSET('3b Activity Plan'!$DJ$173:$DJ$365,0,$CU167-1),'3b Activity Plan'!AV$173:AV$365,'3b Activity Plan'!$AH$173:$AH$365,'3b Activity Plan'!$CY$173:$CY$365,('3b Activity Plan'!$C$173:$C$365=$W$130)*1)</f>
        <v>0</v>
      </c>
      <c r="AE167" s="1558">
        <f ca="1">SUMPRODUCT('3b Activity Plan'!$AN$173:$AN$365,OFFSET('3b Activity Plan'!$DJ$173:$DJ$365,0,$CU167-1),'3b Activity Plan'!AW$173:AW$365,'3b Activity Plan'!$AH$173:$AH$365,'3b Activity Plan'!$CY$173:$CY$365,('3b Activity Plan'!$C$173:$C$365=$W$130)*1)</f>
        <v>0</v>
      </c>
      <c r="AF167" s="1558">
        <f ca="1">SUMPRODUCT('3b Activity Plan'!$AN$173:$AN$365,OFFSET('3b Activity Plan'!$DJ$173:$DJ$365,0,$CU167-1),'3b Activity Plan'!AX$173:AX$365,'3b Activity Plan'!$AH$173:$AH$365,'3b Activity Plan'!$CY$173:$CY$365,('3b Activity Plan'!$C$173:$C$365=$W$130)*1)</f>
        <v>0</v>
      </c>
      <c r="AG167" s="1602">
        <f ca="1">SUMPRODUCT('3b Activity Plan'!$AN$173:$AN$365,OFFSET('3b Activity Plan'!$DJ$173:$DJ$365,0,$CU167-1),'3b Activity Plan'!AO$173:AO$365,'3b Activity Plan'!$AH$173:$AH$365,'3b Activity Plan'!$CY$173:$CY$365,('3b Activity Plan'!$C$173:$C$365=$AG$130)*1)</f>
        <v>0</v>
      </c>
      <c r="AH167" s="1558">
        <f ca="1">SUMPRODUCT('3b Activity Plan'!$AN$173:$AN$365,OFFSET('3b Activity Plan'!$DJ$173:$DJ$365,0,$CU167-1),'3b Activity Plan'!AP$173:AP$365,'3b Activity Plan'!$AH$173:$AH$365,'3b Activity Plan'!$CY$173:$CY$365,('3b Activity Plan'!$C$173:$C$365=$AG$130)*1)</f>
        <v>0</v>
      </c>
      <c r="AI167" s="1558">
        <f ca="1">SUMPRODUCT('3b Activity Plan'!$AN$173:$AN$365,OFFSET('3b Activity Plan'!$DJ$173:$DJ$365,0,$CU167-1),'3b Activity Plan'!AQ$173:AQ$365,'3b Activity Plan'!$AH$173:$AH$365,'3b Activity Plan'!$CY$173:$CY$365,('3b Activity Plan'!$C$173:$C$365=$AG$130)*1)</f>
        <v>0</v>
      </c>
      <c r="AJ167" s="1558">
        <f ca="1">SUMPRODUCT('3b Activity Plan'!$AN$173:$AN$365,OFFSET('3b Activity Plan'!$DJ$173:$DJ$365,0,$CU167-1),'3b Activity Plan'!AR$173:AR$365,'3b Activity Plan'!$AH$173:$AH$365,'3b Activity Plan'!$CY$173:$CY$365,('3b Activity Plan'!$C$173:$C$365=$AG$130)*1)</f>
        <v>0</v>
      </c>
      <c r="AK167" s="1558">
        <f ca="1">SUMPRODUCT('3b Activity Plan'!$AN$173:$AN$365,OFFSET('3b Activity Plan'!$DJ$173:$DJ$365,0,$CU167-1),'3b Activity Plan'!AS$173:AS$365,'3b Activity Plan'!$AH$173:$AH$365,'3b Activity Plan'!$CY$173:$CY$365,('3b Activity Plan'!$C$173:$C$365=$AG$130)*1)</f>
        <v>0</v>
      </c>
      <c r="AL167" s="1558">
        <f ca="1">SUMPRODUCT('3b Activity Plan'!$AN$173:$AN$365,OFFSET('3b Activity Plan'!$DJ$173:$DJ$365,0,$CU167-1),'3b Activity Plan'!AT$173:AT$365,'3b Activity Plan'!$AH$173:$AH$365,'3b Activity Plan'!$CY$173:$CY$365,('3b Activity Plan'!$C$173:$C$365=$AG$130)*1)</f>
        <v>0</v>
      </c>
      <c r="AM167" s="1558">
        <f ca="1">SUMPRODUCT('3b Activity Plan'!$AN$173:$AN$365,OFFSET('3b Activity Plan'!$DJ$173:$DJ$365,0,$CU167-1),'3b Activity Plan'!AU$173:AU$365,'3b Activity Plan'!$AH$173:$AH$365,'3b Activity Plan'!$CY$173:$CY$365,('3b Activity Plan'!$C$173:$C$365=$AG$130)*1)</f>
        <v>0</v>
      </c>
      <c r="AN167" s="1558">
        <f ca="1">SUMPRODUCT('3b Activity Plan'!$AN$173:$AN$365,OFFSET('3b Activity Plan'!$DJ$173:$DJ$365,0,$CU167-1),'3b Activity Plan'!AV$173:AV$365,'3b Activity Plan'!$AH$173:$AH$365,'3b Activity Plan'!$CY$173:$CY$365,('3b Activity Plan'!$C$173:$C$365=$AG$130)*1)</f>
        <v>0</v>
      </c>
      <c r="AO167" s="1558">
        <f ca="1">SUMPRODUCT('3b Activity Plan'!$AN$173:$AN$365,OFFSET('3b Activity Plan'!$DJ$173:$DJ$365,0,$CU167-1),'3b Activity Plan'!AW$173:AW$365,'3b Activity Plan'!$AH$173:$AH$365,'3b Activity Plan'!$CY$173:$CY$365,('3b Activity Plan'!$C$173:$C$365=$AG$130)*1)</f>
        <v>0</v>
      </c>
      <c r="AP167" s="1558">
        <f ca="1">SUMPRODUCT('3b Activity Plan'!$AN$173:$AN$365,OFFSET('3b Activity Plan'!$DJ$173:$DJ$365,0,$CU167-1),'3b Activity Plan'!AX$173:AX$365,'3b Activity Plan'!$AH$173:$AH$365,'3b Activity Plan'!$CY$173:$CY$365,('3b Activity Plan'!$C$173:$C$365=$AG$130)*1)</f>
        <v>0</v>
      </c>
      <c r="AQ167" s="1602">
        <f ca="1">SUMPRODUCT('3b Activity Plan'!$AN$173:$AN$365,OFFSET('3b Activity Plan'!$DJ$173:$DJ$365,0,$CU167-1),'3b Activity Plan'!AO$173:AO$365,'3b Activity Plan'!$AH$173:$AH$365,'3b Activity Plan'!$CY$173:$CY$365,('3b Activity Plan'!$C$173:$C$365=$AQ$130)*1)</f>
        <v>0</v>
      </c>
      <c r="AR167" s="1558">
        <f ca="1">SUMPRODUCT('3b Activity Plan'!$AN$173:$AN$365,OFFSET('3b Activity Plan'!$DJ$173:$DJ$365,0,$CU167-1),'3b Activity Plan'!AP$173:AP$365,'3b Activity Plan'!$AH$173:$AH$365,'3b Activity Plan'!$CY$173:$CY$365,('3b Activity Plan'!$C$173:$C$365=$AQ$130)*1)</f>
        <v>0</v>
      </c>
      <c r="AS167" s="1558">
        <f ca="1">SUMPRODUCT('3b Activity Plan'!$AN$173:$AN$365,OFFSET('3b Activity Plan'!$DJ$173:$DJ$365,0,$CU167-1),'3b Activity Plan'!AQ$173:AQ$365,'3b Activity Plan'!$AH$173:$AH$365,'3b Activity Plan'!$CY$173:$CY$365,('3b Activity Plan'!$C$173:$C$365=$AQ$130)*1)</f>
        <v>0</v>
      </c>
      <c r="AT167" s="1558">
        <f ca="1">SUMPRODUCT('3b Activity Plan'!$AN$173:$AN$365,OFFSET('3b Activity Plan'!$DJ$173:$DJ$365,0,$CU167-1),'3b Activity Plan'!AR$173:AR$365,'3b Activity Plan'!$AH$173:$AH$365,'3b Activity Plan'!$CY$173:$CY$365,('3b Activity Plan'!$C$173:$C$365=$AQ$130)*1)</f>
        <v>0</v>
      </c>
      <c r="AU167" s="1558">
        <f ca="1">SUMPRODUCT('3b Activity Plan'!$AN$173:$AN$365,OFFSET('3b Activity Plan'!$DJ$173:$DJ$365,0,$CU167-1),'3b Activity Plan'!AS$173:AS$365,'3b Activity Plan'!$AH$173:$AH$365,'3b Activity Plan'!$CY$173:$CY$365,('3b Activity Plan'!$C$173:$C$365=$AQ$130)*1)</f>
        <v>0</v>
      </c>
      <c r="AV167" s="1558">
        <f ca="1">SUMPRODUCT('3b Activity Plan'!$AN$173:$AN$365,OFFSET('3b Activity Plan'!$DJ$173:$DJ$365,0,$CU167-1),'3b Activity Plan'!AT$173:AT$365,'3b Activity Plan'!$AH$173:$AH$365,'3b Activity Plan'!$CY$173:$CY$365,('3b Activity Plan'!$C$173:$C$365=$AQ$130)*1)</f>
        <v>0</v>
      </c>
      <c r="AW167" s="1558">
        <f ca="1">SUMPRODUCT('3b Activity Plan'!$AN$173:$AN$365,OFFSET('3b Activity Plan'!$DJ$173:$DJ$365,0,$CU167-1),'3b Activity Plan'!AU$173:AU$365,'3b Activity Plan'!$AH$173:$AH$365,'3b Activity Plan'!$CY$173:$CY$365,('3b Activity Plan'!$C$173:$C$365=$AQ$130)*1)</f>
        <v>0</v>
      </c>
      <c r="AX167" s="1558">
        <f ca="1">SUMPRODUCT('3b Activity Plan'!$AN$173:$AN$365,OFFSET('3b Activity Plan'!$DJ$173:$DJ$365,0,$CU167-1),'3b Activity Plan'!AV$173:AV$365,'3b Activity Plan'!$AH$173:$AH$365,'3b Activity Plan'!$CY$173:$CY$365,('3b Activity Plan'!$C$173:$C$365=$AQ$130)*1)</f>
        <v>0</v>
      </c>
      <c r="AY167" s="1558">
        <f ca="1">SUMPRODUCT('3b Activity Plan'!$AN$173:$AN$365,OFFSET('3b Activity Plan'!$DJ$173:$DJ$365,0,$CU167-1),'3b Activity Plan'!AW$173:AW$365,'3b Activity Plan'!$AH$173:$AH$365,'3b Activity Plan'!$CY$173:$CY$365,('3b Activity Plan'!$C$173:$C$365=$AQ$130)*1)</f>
        <v>0</v>
      </c>
      <c r="AZ167" s="1558">
        <f ca="1">SUMPRODUCT('3b Activity Plan'!$AN$173:$AN$365,OFFSET('3b Activity Plan'!$DJ$173:$DJ$365,0,$CU167-1),'3b Activity Plan'!AX$173:AX$365,'3b Activity Plan'!$AH$173:$AH$365,'3b Activity Plan'!$CY$173:$CY$365,('3b Activity Plan'!$C$173:$C$365=$AQ$130)*1)</f>
        <v>0</v>
      </c>
      <c r="BA167" s="1602">
        <f ca="1">SUMPRODUCT('3b Activity Plan'!$AN$173:$AN$365,OFFSET('3b Activity Plan'!$DJ$173:$DJ$365,0,$CU167-1),'3b Activity Plan'!AO$173:AO$365,'3b Activity Plan'!$AH$173:$AH$365,'3b Activity Plan'!$CY$173:$CY$365,('3b Activity Plan'!$C$173:$C$365=$BA$130)*1)</f>
        <v>0</v>
      </c>
      <c r="BB167" s="1558">
        <f ca="1">SUMPRODUCT('3b Activity Plan'!$AN$173:$AN$365,OFFSET('3b Activity Plan'!$DJ$173:$DJ$365,0,$CU167-1),'3b Activity Plan'!AP$173:AP$365,'3b Activity Plan'!$AH$173:$AH$365,'3b Activity Plan'!$CY$173:$CY$365,('3b Activity Plan'!$C$173:$C$365=$BA$130)*1)</f>
        <v>0</v>
      </c>
      <c r="BC167" s="1558">
        <f ca="1">SUMPRODUCT('3b Activity Plan'!$AN$173:$AN$365,OFFSET('3b Activity Plan'!$DJ$173:$DJ$365,0,$CU167-1),'3b Activity Plan'!AQ$173:AQ$365,'3b Activity Plan'!$AH$173:$AH$365,'3b Activity Plan'!$CY$173:$CY$365,('3b Activity Plan'!$C$173:$C$365=$BA$130)*1)</f>
        <v>0</v>
      </c>
      <c r="BD167" s="1558">
        <f ca="1">SUMPRODUCT('3b Activity Plan'!$AN$173:$AN$365,OFFSET('3b Activity Plan'!$DJ$173:$DJ$365,0,$CU167-1),'3b Activity Plan'!AR$173:AR$365,'3b Activity Plan'!$AH$173:$AH$365,'3b Activity Plan'!$CY$173:$CY$365,('3b Activity Plan'!$C$173:$C$365=$BA$130)*1)</f>
        <v>0</v>
      </c>
      <c r="BE167" s="1558">
        <f ca="1">SUMPRODUCT('3b Activity Plan'!$AN$173:$AN$365,OFFSET('3b Activity Plan'!$DJ$173:$DJ$365,0,$CU167-1),'3b Activity Plan'!AS$173:AS$365,'3b Activity Plan'!$AH$173:$AH$365,'3b Activity Plan'!$CY$173:$CY$365,('3b Activity Plan'!$C$173:$C$365=$BA$130)*1)</f>
        <v>0</v>
      </c>
      <c r="BF167" s="1558">
        <f ca="1">SUMPRODUCT('3b Activity Plan'!$AN$173:$AN$365,OFFSET('3b Activity Plan'!$DJ$173:$DJ$365,0,$CU167-1),'3b Activity Plan'!AT$173:AT$365,'3b Activity Plan'!$AH$173:$AH$365,'3b Activity Plan'!$CY$173:$CY$365,('3b Activity Plan'!$C$173:$C$365=$BA$130)*1)</f>
        <v>0</v>
      </c>
      <c r="BG167" s="1558">
        <f ca="1">SUMPRODUCT('3b Activity Plan'!$AN$173:$AN$365,OFFSET('3b Activity Plan'!$DJ$173:$DJ$365,0,$CU167-1),'3b Activity Plan'!AU$173:AU$365,'3b Activity Plan'!$AH$173:$AH$365,'3b Activity Plan'!$CY$173:$CY$365,('3b Activity Plan'!$C$173:$C$365=$BA$130)*1)</f>
        <v>0</v>
      </c>
      <c r="BH167" s="1558">
        <f ca="1">SUMPRODUCT('3b Activity Plan'!$AN$173:$AN$365,OFFSET('3b Activity Plan'!$DJ$173:$DJ$365,0,$CU167-1),'3b Activity Plan'!AV$173:AV$365,'3b Activity Plan'!$AH$173:$AH$365,'3b Activity Plan'!$CY$173:$CY$365,('3b Activity Plan'!$C$173:$C$365=$BA$130)*1)</f>
        <v>0</v>
      </c>
      <c r="BI167" s="1558">
        <f ca="1">SUMPRODUCT('3b Activity Plan'!$AN$173:$AN$365,OFFSET('3b Activity Plan'!$DJ$173:$DJ$365,0,$CU167-1),'3b Activity Plan'!AW$173:AW$365,'3b Activity Plan'!$AH$173:$AH$365,'3b Activity Plan'!$CY$173:$CY$365,('3b Activity Plan'!$C$173:$C$365=$BA$130)*1)</f>
        <v>0</v>
      </c>
      <c r="BJ167" s="1558">
        <f ca="1">SUMPRODUCT('3b Activity Plan'!$AN$173:$AN$365,OFFSET('3b Activity Plan'!$DJ$173:$DJ$365,0,$CU167-1),'3b Activity Plan'!AX$173:AX$365,'3b Activity Plan'!$AH$173:$AH$365,'3b Activity Plan'!$CY$173:$CY$365,('3b Activity Plan'!$C$173:$C$365=$BA$130)*1)</f>
        <v>0</v>
      </c>
      <c r="BK167" s="1602">
        <f ca="1">SUMPRODUCT('3b Activity Plan'!$AN$173:$AN$365,OFFSET('3b Activity Plan'!$DJ$173:$DJ$365,0,$CU167-1),'3b Activity Plan'!AO$173:AO$365,'3b Activity Plan'!$AH$173:$AH$365,'3b Activity Plan'!$CY$173:$CY$365,('3b Activity Plan'!$C$173:$C$365=$BK$130)*1)</f>
        <v>0</v>
      </c>
      <c r="BL167" s="1558">
        <f ca="1">SUMPRODUCT('3b Activity Plan'!$AN$173:$AN$365,OFFSET('3b Activity Plan'!$DJ$173:$DJ$365,0,$CU167-1),'3b Activity Plan'!AP$173:AP$365,'3b Activity Plan'!$AH$173:$AH$365,'3b Activity Plan'!$CY$173:$CY$365,('3b Activity Plan'!$C$173:$C$365=$BK$130)*1)</f>
        <v>0</v>
      </c>
      <c r="BM167" s="1558">
        <f ca="1">SUMPRODUCT('3b Activity Plan'!$AN$173:$AN$365,OFFSET('3b Activity Plan'!$DJ$173:$DJ$365,0,$CU167-1),'3b Activity Plan'!AQ$173:AQ$365,'3b Activity Plan'!$AH$173:$AH$365,'3b Activity Plan'!$CY$173:$CY$365,('3b Activity Plan'!$C$173:$C$365=$BK$130)*1)</f>
        <v>0</v>
      </c>
      <c r="BN167" s="1558">
        <f ca="1">SUMPRODUCT('3b Activity Plan'!$AN$173:$AN$365,OFFSET('3b Activity Plan'!$DJ$173:$DJ$365,0,$CU167-1),'3b Activity Plan'!AR$173:AR$365,'3b Activity Plan'!$AH$173:$AH$365,'3b Activity Plan'!$CY$173:$CY$365,('3b Activity Plan'!$C$173:$C$365=$BK$130)*1)</f>
        <v>0</v>
      </c>
      <c r="BO167" s="1558">
        <f ca="1">SUMPRODUCT('3b Activity Plan'!$AN$173:$AN$365,OFFSET('3b Activity Plan'!$DJ$173:$DJ$365,0,$CU167-1),'3b Activity Plan'!AS$173:AS$365,'3b Activity Plan'!$AH$173:$AH$365,'3b Activity Plan'!$CY$173:$CY$365,('3b Activity Plan'!$C$173:$C$365=$BK$130)*1)</f>
        <v>0</v>
      </c>
      <c r="BP167" s="1558">
        <f ca="1">SUMPRODUCT('3b Activity Plan'!$AN$173:$AN$365,OFFSET('3b Activity Plan'!$DJ$173:$DJ$365,0,$CU167-1),'3b Activity Plan'!AT$173:AT$365,'3b Activity Plan'!$AH$173:$AH$365,'3b Activity Plan'!$CY$173:$CY$365,('3b Activity Plan'!$C$173:$C$365=$BK$130)*1)</f>
        <v>0</v>
      </c>
      <c r="BQ167" s="1558">
        <f ca="1">SUMPRODUCT('3b Activity Plan'!$AN$173:$AN$365,OFFSET('3b Activity Plan'!$DJ$173:$DJ$365,0,$CU167-1),'3b Activity Plan'!AU$173:AU$365,'3b Activity Plan'!$AH$173:$AH$365,'3b Activity Plan'!$CY$173:$CY$365,('3b Activity Plan'!$C$173:$C$365=$BK$130)*1)</f>
        <v>0</v>
      </c>
      <c r="BR167" s="1558">
        <f ca="1">SUMPRODUCT('3b Activity Plan'!$AN$173:$AN$365,OFFSET('3b Activity Plan'!$DJ$173:$DJ$365,0,$CU167-1),'3b Activity Plan'!AV$173:AV$365,'3b Activity Plan'!$AH$173:$AH$365,'3b Activity Plan'!$CY$173:$CY$365,('3b Activity Plan'!$C$173:$C$365=$BK$130)*1)</f>
        <v>0</v>
      </c>
      <c r="BS167" s="1558">
        <f ca="1">SUMPRODUCT('3b Activity Plan'!$AN$173:$AN$365,OFFSET('3b Activity Plan'!$DJ$173:$DJ$365,0,$CU167-1),'3b Activity Plan'!AW$173:AW$365,'3b Activity Plan'!$AH$173:$AH$365,'3b Activity Plan'!$CY$173:$CY$365,('3b Activity Plan'!$C$173:$C$365=$BK$130)*1)</f>
        <v>0</v>
      </c>
      <c r="BT167" s="1558">
        <f ca="1">SUMPRODUCT('3b Activity Plan'!$AN$173:$AN$365,OFFSET('3b Activity Plan'!$DJ$173:$DJ$365,0,$CU167-1),'3b Activity Plan'!AX$173:AX$365,'3b Activity Plan'!$AH$173:$AH$365,'3b Activity Plan'!$CY$173:$CY$365,('3b Activity Plan'!$C$173:$C$365=$BK$130)*1)</f>
        <v>0</v>
      </c>
      <c r="BU167" s="1587"/>
      <c r="BV167" s="1587"/>
      <c r="BW167" s="1587"/>
      <c r="BX167" s="1556"/>
      <c r="BY167" s="1556"/>
      <c r="BZ167" s="1556"/>
      <c r="CA167" s="1024">
        <f ca="1">SUMIFS('3a Staff Plan'!$T$129:$T$305,'3a Staff Plan'!$DY$129:$DY$305,CZ167,'3a Staff Plan'!$DF$129:$DF$305,1)</f>
        <v>0</v>
      </c>
      <c r="CB167" s="1025">
        <f ca="1">SUMIFS('3a Staff Plan'!$T$129:$T$305,'3a Staff Plan'!$DY$129:$DY$305,$CZ167,'3a Staff Plan'!$DF$129:$DF$305,1,'3a Staff Plan'!$C$129:$C$305,DC$18)</f>
        <v>0</v>
      </c>
      <c r="CC167" s="1026">
        <f ca="1">SUMIFS('3a Staff Plan'!$T$129:$T$305,'3a Staff Plan'!$DY$129:$DY$305,$CZ167,'3a Staff Plan'!$DF$129:$DF$305,1,'3a Staff Plan'!$C$129:$C$305,DD$18)</f>
        <v>0</v>
      </c>
      <c r="CD167" s="1026">
        <f ca="1">SUMIFS('3a Staff Plan'!$T$129:$T$305,'3a Staff Plan'!$DY$129:$DY$305,$CZ167,'3a Staff Plan'!$DF$129:$DF$305,1,'3a Staff Plan'!$C$129:$C$305,DE$18)</f>
        <v>0</v>
      </c>
      <c r="CE167" s="1026">
        <f ca="1">SUMIFS('3a Staff Plan'!$T$129:$T$305,'3a Staff Plan'!$DY$129:$DY$305,$CZ167,'3a Staff Plan'!$DF$129:$DF$305,1,'3a Staff Plan'!$C$129:$C$305,DF$18)</f>
        <v>0</v>
      </c>
      <c r="CF167" s="1026">
        <f ca="1">SUMIFS('3a Staff Plan'!$T$129:$T$305,'3a Staff Plan'!$DY$129:$DY$305,$CZ167,'3a Staff Plan'!$DF$129:$DF$305,1,'3a Staff Plan'!$C$129:$C$305,DG$18)</f>
        <v>0</v>
      </c>
      <c r="CG167" s="1026">
        <f ca="1">SUMIFS('3a Staff Plan'!$T$129:$T$305,'3a Staff Plan'!$DY$129:$DY$305,$CZ167,'3a Staff Plan'!$DF$129:$DF$305,1,'3a Staff Plan'!$C$129:$C$305,DH$18)</f>
        <v>0</v>
      </c>
      <c r="CH167" s="1026">
        <f ca="1">SUMIFS('3a Staff Plan'!$T$129:$T$305,'3a Staff Plan'!$DY$129:$DY$305,$CZ167,'3a Staff Plan'!$DF$129:$DF$305,1,'3a Staff Plan'!$C$129:$C$305,DI$18)</f>
        <v>0</v>
      </c>
      <c r="CI167" s="755"/>
      <c r="CJ167" s="1024">
        <f ca="1">SUMPRODUCT('3b Activity Plan'!$AN$173:$AN$365,'3b Activity Plan'!$CY$173:$CY$365,'3b Activity Plan'!$AH$173:$AH$365,OFFSET('3b Activity Plan'!$DJ$173:$DJ$365,0,$CU167-1))</f>
        <v>0</v>
      </c>
      <c r="CK167" s="1025">
        <f t="shared" ca="1" si="93"/>
        <v>0</v>
      </c>
      <c r="CL167" s="1026">
        <f t="shared" ca="1" si="94"/>
        <v>0</v>
      </c>
      <c r="CM167" s="1026">
        <f t="shared" ca="1" si="95"/>
        <v>0</v>
      </c>
      <c r="CN167" s="1026">
        <f t="shared" ca="1" si="96"/>
        <v>0</v>
      </c>
      <c r="CO167" s="1026">
        <f t="shared" ca="1" si="97"/>
        <v>0</v>
      </c>
      <c r="CP167" s="1026">
        <f t="shared" ca="1" si="98"/>
        <v>0</v>
      </c>
      <c r="CQ167" s="1026">
        <f t="shared" ca="1" si="99"/>
        <v>0</v>
      </c>
      <c r="CR167" s="417"/>
      <c r="CS167" s="417">
        <f t="shared" si="100"/>
        <v>35</v>
      </c>
      <c r="CT167" s="417">
        <f ca="1">OFFSET('2 Staff List'!$GU$64,CS167-1,0)</f>
        <v>35</v>
      </c>
      <c r="CU167" s="417">
        <f ca="1">IF(CZ167=0,0,IFERROR(INDEX('3b Activity Plan'!$DJ$20:$FH$20,MATCH(CT167,'3b Activity Plan'!$DJ$171:$FH$171,0)),0))</f>
        <v>0</v>
      </c>
      <c r="CV167" s="417">
        <f ca="1">INDEX('2 Staff List'!$HW$64:$HW$114,CT167)</f>
        <v>0</v>
      </c>
      <c r="CW167" s="417"/>
      <c r="CY167" s="927">
        <f ca="1">OFFSET('2 Staff List'!$HZ$64,CS167-1,0)</f>
        <v>0</v>
      </c>
      <c r="CZ167" s="975">
        <f ca="1">OFFSET('2 Staff List'!$IA$64,CT167-1,0)</f>
        <v>0</v>
      </c>
      <c r="DA167" s="3842">
        <f t="shared" ca="1" si="92"/>
        <v>0</v>
      </c>
      <c r="DB167" s="3843"/>
      <c r="DC167" s="2408">
        <f t="shared" ca="1" si="85"/>
        <v>0</v>
      </c>
      <c r="DD167" s="2405">
        <f t="shared" ca="1" si="86"/>
        <v>0</v>
      </c>
      <c r="DE167" s="2405">
        <f t="shared" ca="1" si="87"/>
        <v>0</v>
      </c>
      <c r="DF167" s="2405">
        <f t="shared" ca="1" si="88"/>
        <v>0</v>
      </c>
      <c r="DG167" s="2405">
        <f t="shared" ca="1" si="89"/>
        <v>0</v>
      </c>
      <c r="DH167" s="2406">
        <f t="shared" ca="1" si="90"/>
        <v>0</v>
      </c>
      <c r="DI167" s="2407">
        <f t="shared" ca="1" si="91"/>
        <v>0</v>
      </c>
    </row>
    <row r="168" spans="1:113" x14ac:dyDescent="0.25">
      <c r="A168" s="1051"/>
      <c r="B168" s="1556"/>
      <c r="C168" s="1036"/>
      <c r="D168" s="925"/>
      <c r="E168" s="925"/>
      <c r="F168" s="925"/>
      <c r="G168" s="925"/>
      <c r="H168" s="925"/>
      <c r="I168" s="925"/>
      <c r="J168" s="925"/>
      <c r="K168" s="925"/>
      <c r="L168" s="925"/>
      <c r="M168" s="925"/>
      <c r="N168" s="925"/>
      <c r="O168" s="925"/>
      <c r="P168" s="925"/>
      <c r="Q168" s="925"/>
      <c r="R168" s="925"/>
      <c r="S168" s="925"/>
      <c r="T168" s="925"/>
      <c r="U168" s="925"/>
      <c r="V168" s="925"/>
      <c r="W168" s="925"/>
      <c r="X168" s="925"/>
      <c r="Y168" s="925"/>
      <c r="Z168" s="925"/>
      <c r="AA168" s="925"/>
      <c r="AB168" s="925"/>
      <c r="AC168" s="925"/>
      <c r="AD168" s="925"/>
      <c r="AE168" s="925"/>
      <c r="AF168" s="925"/>
      <c r="AG168" s="925"/>
      <c r="AH168" s="925"/>
      <c r="AI168" s="925"/>
      <c r="AJ168" s="925"/>
      <c r="AK168" s="925"/>
      <c r="AL168" s="925"/>
      <c r="AM168" s="925"/>
      <c r="AN168" s="925"/>
      <c r="AO168" s="925"/>
      <c r="AP168" s="925"/>
      <c r="AQ168" s="925"/>
      <c r="AR168" s="925"/>
      <c r="AS168" s="925"/>
      <c r="AT168" s="925"/>
      <c r="AU168" s="925"/>
      <c r="AV168" s="925"/>
      <c r="AW168" s="925"/>
      <c r="AX168" s="925"/>
      <c r="AY168" s="925"/>
      <c r="AZ168" s="925"/>
      <c r="BA168" s="925"/>
      <c r="BB168" s="925"/>
      <c r="BC168" s="925"/>
      <c r="BD168" s="925"/>
      <c r="BE168" s="925"/>
      <c r="BF168" s="925"/>
      <c r="BG168" s="925"/>
      <c r="BH168" s="925"/>
      <c r="BI168" s="925"/>
      <c r="BJ168" s="925"/>
      <c r="BK168" s="925"/>
      <c r="BL168" s="925"/>
      <c r="BM168" s="925"/>
      <c r="BN168" s="925"/>
      <c r="BO168" s="925"/>
      <c r="BP168" s="925"/>
      <c r="BQ168" s="925"/>
      <c r="BR168" s="925"/>
      <c r="BS168" s="925"/>
      <c r="BT168" s="926"/>
      <c r="BU168" s="1587"/>
      <c r="BV168" s="1587"/>
      <c r="BW168" s="1587"/>
      <c r="BX168" s="1556"/>
      <c r="BY168" s="1556"/>
      <c r="BZ168" s="1556"/>
      <c r="CA168" s="1036"/>
      <c r="CB168" s="925"/>
      <c r="CC168" s="925"/>
      <c r="CD168" s="925"/>
      <c r="CE168" s="925"/>
      <c r="CF168" s="925"/>
      <c r="CG168" s="925"/>
      <c r="CH168" s="926"/>
      <c r="CI168" s="755"/>
      <c r="CJ168" s="1036"/>
      <c r="CK168" s="925"/>
      <c r="CL168" s="925"/>
      <c r="CM168" s="925"/>
      <c r="CN168" s="925"/>
      <c r="CO168" s="925"/>
      <c r="CP168" s="925"/>
      <c r="CQ168" s="926"/>
      <c r="CR168" s="755"/>
      <c r="CS168" s="755"/>
      <c r="CT168" s="755"/>
      <c r="CU168" s="755"/>
      <c r="CV168" s="755"/>
      <c r="CW168" s="755"/>
      <c r="CY168" s="929" t="s">
        <v>1638</v>
      </c>
      <c r="CZ168" s="925"/>
      <c r="DA168" s="925"/>
      <c r="DB168" s="925"/>
      <c r="DC168" s="925"/>
      <c r="DD168" s="925"/>
      <c r="DE168" s="925"/>
      <c r="DF168" s="925"/>
      <c r="DG168" s="925"/>
      <c r="DH168" s="925"/>
      <c r="DI168" s="926"/>
    </row>
    <row r="169" spans="1:113" x14ac:dyDescent="0.25">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c r="AA169" s="755"/>
      <c r="AB169" s="755"/>
      <c r="AC169" s="755"/>
      <c r="AD169" s="755"/>
      <c r="AE169" s="755"/>
      <c r="AF169" s="755"/>
      <c r="AG169" s="755"/>
      <c r="AH169" s="755"/>
      <c r="AI169" s="755"/>
      <c r="AJ169" s="755"/>
      <c r="AK169" s="755"/>
      <c r="AL169" s="755"/>
      <c r="AM169" s="755"/>
      <c r="AN169" s="755"/>
      <c r="AO169" s="755"/>
      <c r="AP169" s="755"/>
      <c r="AQ169" s="755"/>
      <c r="AR169" s="755"/>
      <c r="AS169" s="755"/>
      <c r="AT169" s="755"/>
      <c r="AU169" s="755"/>
      <c r="AV169" s="755"/>
      <c r="AW169" s="755"/>
      <c r="AX169" s="755"/>
      <c r="AY169" s="755"/>
      <c r="AZ169" s="755"/>
      <c r="BA169" s="755"/>
      <c r="BB169" s="755"/>
      <c r="BC169" s="755"/>
      <c r="BD169" s="755"/>
      <c r="BE169" s="755"/>
      <c r="BF169" s="755"/>
      <c r="BG169" s="755"/>
      <c r="BH169" s="755"/>
      <c r="BI169" s="755"/>
      <c r="BJ169" s="755"/>
      <c r="BK169" s="755"/>
      <c r="BL169" s="755"/>
      <c r="BM169" s="755"/>
      <c r="BN169" s="755"/>
      <c r="BO169" s="755"/>
      <c r="BP169" s="755"/>
      <c r="BQ169" s="755"/>
      <c r="BR169" s="755"/>
      <c r="BS169" s="755"/>
      <c r="BT169" s="755"/>
      <c r="BU169" s="755"/>
      <c r="BV169" s="755"/>
      <c r="BW169" s="755"/>
      <c r="BX169" s="755"/>
      <c r="BY169" s="755"/>
      <c r="BZ169" s="755"/>
      <c r="CA169" s="755"/>
      <c r="CB169" s="755"/>
      <c r="CC169" s="755"/>
      <c r="CD169" s="755"/>
      <c r="CE169" s="755"/>
      <c r="CF169" s="755"/>
      <c r="CG169" s="755"/>
      <c r="CH169" s="755"/>
      <c r="CI169" s="755"/>
      <c r="CJ169" s="755"/>
      <c r="CK169" s="755"/>
      <c r="CL169" s="755"/>
      <c r="CM169" s="755"/>
      <c r="CN169" s="755"/>
      <c r="CO169" s="755"/>
      <c r="CP169" s="755"/>
      <c r="CQ169" s="755"/>
      <c r="CR169" s="755"/>
      <c r="CS169" s="755"/>
      <c r="CT169" s="755"/>
      <c r="CU169" s="755"/>
      <c r="CV169" s="755"/>
      <c r="CW169" s="755"/>
    </row>
    <row r="170" spans="1:113" x14ac:dyDescent="0.25">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c r="AA170" s="755"/>
      <c r="AB170" s="755"/>
      <c r="AC170" s="755"/>
      <c r="AD170" s="755"/>
      <c r="AE170" s="755"/>
      <c r="AF170" s="755"/>
      <c r="AG170" s="755"/>
      <c r="AH170" s="755"/>
      <c r="AI170" s="755"/>
      <c r="AJ170" s="755"/>
      <c r="AK170" s="755"/>
      <c r="AL170" s="755"/>
      <c r="AM170" s="755"/>
      <c r="AN170" s="755"/>
      <c r="AO170" s="755"/>
      <c r="AP170" s="755"/>
      <c r="AQ170" s="755"/>
      <c r="AR170" s="755"/>
      <c r="AS170" s="755"/>
      <c r="AT170" s="755"/>
      <c r="AU170" s="755"/>
      <c r="AV170" s="755"/>
      <c r="AW170" s="755"/>
      <c r="AX170" s="755"/>
      <c r="AY170" s="755"/>
      <c r="AZ170" s="755"/>
      <c r="BA170" s="755"/>
      <c r="BB170" s="755"/>
      <c r="BC170" s="755"/>
      <c r="BD170" s="755"/>
      <c r="BE170" s="755"/>
      <c r="BF170" s="755"/>
      <c r="BG170" s="755"/>
      <c r="BH170" s="755"/>
      <c r="BI170" s="755"/>
      <c r="BJ170" s="755"/>
      <c r="BK170" s="755"/>
      <c r="BL170" s="755"/>
      <c r="BM170" s="755"/>
      <c r="BN170" s="755"/>
      <c r="BO170" s="755"/>
      <c r="BP170" s="755"/>
      <c r="BQ170" s="755"/>
      <c r="BR170" s="755"/>
      <c r="BS170" s="755"/>
      <c r="BT170" s="755"/>
      <c r="BU170" s="755"/>
      <c r="BV170" s="755"/>
      <c r="BW170" s="755"/>
      <c r="BX170" s="755"/>
      <c r="BY170" s="755"/>
      <c r="BZ170" s="755"/>
      <c r="CA170" s="755"/>
      <c r="CB170" s="755"/>
      <c r="CC170" s="755"/>
      <c r="CD170" s="755"/>
      <c r="CE170" s="755"/>
      <c r="CF170" s="755"/>
      <c r="CG170" s="755"/>
      <c r="CH170" s="755"/>
      <c r="CI170" s="755"/>
      <c r="CJ170" s="755"/>
      <c r="CK170" s="755"/>
      <c r="CL170" s="755"/>
      <c r="CM170" s="755"/>
      <c r="CN170" s="755"/>
      <c r="CO170" s="755"/>
      <c r="CP170" s="755"/>
      <c r="CQ170" s="755"/>
      <c r="CR170" s="755"/>
      <c r="CS170" s="755"/>
      <c r="CT170" s="755"/>
      <c r="CU170" s="755"/>
      <c r="CV170" s="755"/>
      <c r="CW170" s="755"/>
    </row>
    <row r="171" spans="1:113" x14ac:dyDescent="0.25">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c r="AA171" s="755"/>
      <c r="AB171" s="755"/>
      <c r="AC171" s="755"/>
      <c r="AD171" s="755"/>
      <c r="AE171" s="755"/>
      <c r="AF171" s="755"/>
      <c r="AG171" s="755"/>
      <c r="AH171" s="755"/>
      <c r="AI171" s="755"/>
      <c r="AJ171" s="755"/>
      <c r="AK171" s="755"/>
      <c r="AL171" s="755"/>
      <c r="AM171" s="755"/>
      <c r="AN171" s="755"/>
      <c r="AO171" s="755"/>
      <c r="AP171" s="755"/>
      <c r="AQ171" s="755"/>
      <c r="AR171" s="755"/>
      <c r="AS171" s="755"/>
      <c r="AT171" s="755"/>
      <c r="AU171" s="755"/>
      <c r="AV171" s="755"/>
      <c r="AW171" s="755"/>
      <c r="AX171" s="755"/>
      <c r="AY171" s="755"/>
      <c r="AZ171" s="755"/>
      <c r="BA171" s="755"/>
      <c r="BB171" s="755"/>
      <c r="BC171" s="755"/>
      <c r="BD171" s="755"/>
      <c r="BE171" s="755"/>
      <c r="BF171" s="755"/>
      <c r="BG171" s="755"/>
      <c r="BH171" s="755"/>
      <c r="BI171" s="755"/>
      <c r="BJ171" s="755"/>
      <c r="BK171" s="755"/>
      <c r="BL171" s="755"/>
      <c r="BM171" s="755"/>
      <c r="BN171" s="755"/>
      <c r="BO171" s="755"/>
      <c r="BP171" s="755"/>
      <c r="BQ171" s="755"/>
      <c r="BR171" s="755"/>
      <c r="BS171" s="755"/>
      <c r="BT171" s="755"/>
      <c r="BU171" s="755"/>
      <c r="BV171" s="755"/>
      <c r="BW171" s="755"/>
      <c r="BX171" s="755"/>
      <c r="BY171" s="755"/>
      <c r="BZ171" s="755"/>
      <c r="CA171" s="755"/>
      <c r="CB171" s="755"/>
      <c r="CC171" s="755"/>
      <c r="CD171" s="755"/>
      <c r="CE171" s="755"/>
      <c r="CF171" s="755"/>
      <c r="CG171" s="755"/>
      <c r="CH171" s="755"/>
      <c r="CI171" s="755"/>
      <c r="CJ171" s="755"/>
      <c r="CK171" s="755"/>
      <c r="CL171" s="755"/>
      <c r="CM171" s="755"/>
      <c r="CN171" s="755"/>
      <c r="CO171" s="755"/>
      <c r="CP171" s="755"/>
      <c r="CQ171" s="755"/>
      <c r="CR171" s="755"/>
      <c r="CS171" s="755"/>
      <c r="CT171" s="755"/>
      <c r="CU171" s="755"/>
      <c r="CV171" s="755"/>
      <c r="CW171" s="755"/>
    </row>
  </sheetData>
  <mergeCells count="136">
    <mergeCell ref="DA28:DB28"/>
    <mergeCell ref="DA30:DB30"/>
    <mergeCell ref="CY69:CY71"/>
    <mergeCell ref="CS66:CS71"/>
    <mergeCell ref="CT66:CT71"/>
    <mergeCell ref="CU66:CU71"/>
    <mergeCell ref="CV66:CV71"/>
    <mergeCell ref="DA69:DB69"/>
    <mergeCell ref="DA71:DB71"/>
    <mergeCell ref="DA67:DB67"/>
    <mergeCell ref="DA55:DB55"/>
    <mergeCell ref="DA56:DB56"/>
    <mergeCell ref="DA57:DB57"/>
    <mergeCell ref="DA58:DB58"/>
    <mergeCell ref="DA59:DB59"/>
    <mergeCell ref="DA47:DB47"/>
    <mergeCell ref="DA48:DB48"/>
    <mergeCell ref="DA52:DB52"/>
    <mergeCell ref="DA53:DB53"/>
    <mergeCell ref="DA54:DB54"/>
    <mergeCell ref="DA61:DB61"/>
    <mergeCell ref="DA46:DB46"/>
    <mergeCell ref="DA66:DB66"/>
    <mergeCell ref="CS129:CS132"/>
    <mergeCell ref="CT129:CT132"/>
    <mergeCell ref="CU129:CU132"/>
    <mergeCell ref="DA41:DB41"/>
    <mergeCell ref="CZ20:DA20"/>
    <mergeCell ref="CZ22:DA22"/>
    <mergeCell ref="DA35:DB35"/>
    <mergeCell ref="DA36:DB36"/>
    <mergeCell ref="DA37:DB37"/>
    <mergeCell ref="DA39:DB39"/>
    <mergeCell ref="DA40:DB40"/>
    <mergeCell ref="DA25:DB25"/>
    <mergeCell ref="DA26:DB26"/>
    <mergeCell ref="DA27:DB27"/>
    <mergeCell ref="DA31:DB31"/>
    <mergeCell ref="DA32:DB32"/>
    <mergeCell ref="DA33:DB33"/>
    <mergeCell ref="DA34:DB34"/>
    <mergeCell ref="DA60:DB60"/>
    <mergeCell ref="DA73:DB73"/>
    <mergeCell ref="DA38:DB38"/>
    <mergeCell ref="DA70:DB70"/>
    <mergeCell ref="DA50:DB50"/>
    <mergeCell ref="DA29:DB29"/>
    <mergeCell ref="DA72:DB72"/>
    <mergeCell ref="DA74:DB74"/>
    <mergeCell ref="DA75:DB75"/>
    <mergeCell ref="DA76:DB76"/>
    <mergeCell ref="DA77:DB77"/>
    <mergeCell ref="DA78:DB78"/>
    <mergeCell ref="DA79:DB79"/>
    <mergeCell ref="DA49:DB49"/>
    <mergeCell ref="DA51:DB51"/>
    <mergeCell ref="DA68:DB68"/>
    <mergeCell ref="DA80:DB80"/>
    <mergeCell ref="DA121:DB121"/>
    <mergeCell ref="DA112:DB112"/>
    <mergeCell ref="DA113:DB113"/>
    <mergeCell ref="DA114:DB114"/>
    <mergeCell ref="DA115:DB115"/>
    <mergeCell ref="DA97:DB97"/>
    <mergeCell ref="DA98:DB98"/>
    <mergeCell ref="DA99:DB99"/>
    <mergeCell ref="DA100:DB100"/>
    <mergeCell ref="DA101:DB101"/>
    <mergeCell ref="DA102:DB102"/>
    <mergeCell ref="DA103:DB103"/>
    <mergeCell ref="DA104:DB104"/>
    <mergeCell ref="DA105:DB105"/>
    <mergeCell ref="DA106:DB106"/>
    <mergeCell ref="DA122:DB122"/>
    <mergeCell ref="DA123:DB123"/>
    <mergeCell ref="DA124:DB124"/>
    <mergeCell ref="DA141:DB141"/>
    <mergeCell ref="DA131:DB131"/>
    <mergeCell ref="DA94:DB94"/>
    <mergeCell ref="DA95:DB95"/>
    <mergeCell ref="DA96:DB96"/>
    <mergeCell ref="DA116:DB116"/>
    <mergeCell ref="DA117:DB117"/>
    <mergeCell ref="DA118:DB118"/>
    <mergeCell ref="DA119:DB119"/>
    <mergeCell ref="DA120:DB120"/>
    <mergeCell ref="DA136:DB136"/>
    <mergeCell ref="DA137:DB137"/>
    <mergeCell ref="DA138:DB138"/>
    <mergeCell ref="DA139:DB139"/>
    <mergeCell ref="DA140:DB140"/>
    <mergeCell ref="DA132:DB132"/>
    <mergeCell ref="DA133:DB133"/>
    <mergeCell ref="DA134:DB134"/>
    <mergeCell ref="DA158:DB158"/>
    <mergeCell ref="DA159:DB159"/>
    <mergeCell ref="DA160:DB160"/>
    <mergeCell ref="DA151:DB151"/>
    <mergeCell ref="DA152:DB152"/>
    <mergeCell ref="DA153:DB153"/>
    <mergeCell ref="DA154:DB154"/>
    <mergeCell ref="DA155:DB155"/>
    <mergeCell ref="DA135:DB135"/>
    <mergeCell ref="DA146:DB146"/>
    <mergeCell ref="DA147:DB147"/>
    <mergeCell ref="DA148:DB148"/>
    <mergeCell ref="DA149:DB149"/>
    <mergeCell ref="DA150:DB150"/>
    <mergeCell ref="DA142:DB142"/>
    <mergeCell ref="DA143:DB143"/>
    <mergeCell ref="DA144:DB144"/>
    <mergeCell ref="DA145:DB145"/>
    <mergeCell ref="CV129:CV132"/>
    <mergeCell ref="DA166:DB166"/>
    <mergeCell ref="DA167:DB167"/>
    <mergeCell ref="DA130:DB130"/>
    <mergeCell ref="DA81:DB81"/>
    <mergeCell ref="DA82:DB82"/>
    <mergeCell ref="DA83:DB83"/>
    <mergeCell ref="DA84:DB84"/>
    <mergeCell ref="DA85:DB85"/>
    <mergeCell ref="DA86:DB86"/>
    <mergeCell ref="DA87:DB87"/>
    <mergeCell ref="DA88:DB88"/>
    <mergeCell ref="DA89:DB89"/>
    <mergeCell ref="DA90:DB90"/>
    <mergeCell ref="DA91:DB91"/>
    <mergeCell ref="DA92:DB92"/>
    <mergeCell ref="DA93:DB93"/>
    <mergeCell ref="DA161:DB161"/>
    <mergeCell ref="DA162:DB162"/>
    <mergeCell ref="DA163:DB163"/>
    <mergeCell ref="DA164:DB164"/>
    <mergeCell ref="DA165:DB165"/>
    <mergeCell ref="DA156:DB156"/>
    <mergeCell ref="DA157:DB157"/>
  </mergeCells>
  <conditionalFormatting sqref="CY133:CZ167">
    <cfRule type="expression" dxfId="369" priority="46">
      <formula>ISBLANK(CY133)</formula>
    </cfRule>
    <cfRule type="expression" dxfId="368" priority="47">
      <formula>(CY133=0)</formula>
    </cfRule>
  </conditionalFormatting>
  <conditionalFormatting sqref="DD22">
    <cfRule type="expression" dxfId="367" priority="42">
      <formula>($CX$6=1)</formula>
    </cfRule>
  </conditionalFormatting>
  <conditionalFormatting sqref="DC52:DI61 DA49:DB61">
    <cfRule type="expression" dxfId="366" priority="40">
      <formula>ISBLANK(DA49)</formula>
    </cfRule>
  </conditionalFormatting>
  <conditionalFormatting sqref="DE132:DI132">
    <cfRule type="expression" dxfId="365" priority="27">
      <formula>(DE131=0)</formula>
    </cfRule>
  </conditionalFormatting>
  <conditionalFormatting sqref="DA38 DC38:DI38">
    <cfRule type="expression" dxfId="364" priority="25">
      <formula>ISBLANK(DA38)</formula>
    </cfRule>
  </conditionalFormatting>
  <conditionalFormatting sqref="DC116:DI124">
    <cfRule type="expression" dxfId="363" priority="22">
      <formula>ISBLANK(DC116)</formula>
    </cfRule>
  </conditionalFormatting>
  <conditionalFormatting sqref="DA116:DA124">
    <cfRule type="expression" dxfId="362" priority="20">
      <formula>ISBLANK(DA116)</formula>
    </cfRule>
  </conditionalFormatting>
  <conditionalFormatting sqref="DC132:DD132">
    <cfRule type="expression" dxfId="361" priority="14">
      <formula>(DC131=0)</formula>
    </cfRule>
  </conditionalFormatting>
  <conditionalFormatting sqref="DA133:DI167">
    <cfRule type="expression" dxfId="360" priority="15">
      <formula>ISBLANK(DA133)</formula>
    </cfRule>
  </conditionalFormatting>
  <conditionalFormatting sqref="CY72:CZ106 DA26:DI41">
    <cfRule type="cellIs" dxfId="359" priority="9" operator="equal">
      <formula>0</formula>
    </cfRule>
  </conditionalFormatting>
  <conditionalFormatting sqref="DC49:DI61">
    <cfRule type="expression" dxfId="358" priority="41">
      <formula>(DC49=0)</formula>
    </cfRule>
  </conditionalFormatting>
  <conditionalFormatting sqref="DA116:DA124">
    <cfRule type="expression" dxfId="357" priority="21">
      <formula>(DA116=0)</formula>
    </cfRule>
  </conditionalFormatting>
  <conditionalFormatting sqref="DC116:DI124">
    <cfRule type="expression" dxfId="356" priority="23">
      <formula>(DC116=0)</formula>
    </cfRule>
  </conditionalFormatting>
  <conditionalFormatting sqref="DA132:DI167">
    <cfRule type="expression" dxfId="355" priority="16">
      <formula>(DA132=0)</formula>
    </cfRule>
  </conditionalFormatting>
  <conditionalFormatting sqref="DA68:DI69 DA71:DI106 DA70:DB70">
    <cfRule type="expression" dxfId="354" priority="12">
      <formula>ISBLANK(DA68)</formula>
    </cfRule>
  </conditionalFormatting>
  <conditionalFormatting sqref="DA48:DI48">
    <cfRule type="expression" dxfId="353" priority="5">
      <formula>ISBLANK(DA48)</formula>
    </cfRule>
  </conditionalFormatting>
  <conditionalFormatting sqref="DC115:DI115">
    <cfRule type="expression" dxfId="352" priority="3">
      <formula>(DC115=0)</formula>
    </cfRule>
  </conditionalFormatting>
  <conditionalFormatting sqref="DA114:DI114">
    <cfRule type="expression" dxfId="351" priority="2">
      <formula>ISBLANK(DA114)</formula>
    </cfRule>
  </conditionalFormatting>
  <conditionalFormatting sqref="DA115:DB115">
    <cfRule type="expression" dxfId="350" priority="1">
      <formula>ISBLANK(DA115)</formula>
    </cfRule>
  </conditionalFormatting>
  <dataValidations count="2">
    <dataValidation type="list" allowBlank="1" showInputMessage="1" showErrorMessage="1" sqref="CZ20" xr:uid="{00000000-0002-0000-0A00-000000000000}">
      <formula1>$CY$2:$CY$3</formula1>
    </dataValidation>
    <dataValidation type="list" allowBlank="1" showInputMessage="1" showErrorMessage="1" sqref="CZ22" xr:uid="{00000000-0002-0000-0A00-000001000000}">
      <formula1>$CY$5:$CY$6</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
    <pageSetUpPr fitToPage="1"/>
  </sheetPr>
  <dimension ref="A1:HD212"/>
  <sheetViews>
    <sheetView showGridLines="0" topLeftCell="A93" zoomScale="90" zoomScaleNormal="90" workbookViewId="0">
      <selection activeCell="S124" sqref="S124"/>
    </sheetView>
  </sheetViews>
  <sheetFormatPr defaultColWidth="9.109375" defaultRowHeight="13.8" x14ac:dyDescent="0.25"/>
  <cols>
    <col min="1" max="1" width="2.44140625" style="16" customWidth="1"/>
    <col min="2" max="2" width="2.44140625" style="749" customWidth="1"/>
    <col min="3" max="3" width="5.88671875" style="16" customWidth="1"/>
    <col min="4" max="4" width="21" style="16" customWidth="1"/>
    <col min="5" max="5" width="10.44140625" style="272" customWidth="1"/>
    <col min="6" max="6" width="10.33203125" style="272" customWidth="1"/>
    <col min="7" max="7" width="10.33203125" style="16" customWidth="1"/>
    <col min="8" max="8" width="10" style="16" customWidth="1"/>
    <col min="9" max="9" width="15.33203125" style="749" customWidth="1"/>
    <col min="10" max="10" width="13.88671875" style="749" customWidth="1"/>
    <col min="11" max="11" width="11.6640625" style="16" customWidth="1"/>
    <col min="12" max="12" width="1.109375" style="272" customWidth="1"/>
    <col min="13" max="13" width="6.33203125" style="16" customWidth="1"/>
    <col min="14" max="14" width="1.109375" style="749" customWidth="1"/>
    <col min="15" max="15" width="7.33203125" style="272" customWidth="1"/>
    <col min="16" max="16" width="5.33203125" style="272" customWidth="1"/>
    <col min="17" max="17" width="1.6640625" style="749" customWidth="1"/>
    <col min="18" max="18" width="12.5546875" style="16" customWidth="1"/>
    <col min="19" max="19" width="6.33203125" style="16" customWidth="1"/>
    <col min="20" max="20" width="5.6640625" style="749" customWidth="1"/>
    <col min="21" max="22" width="5.6640625" style="16" customWidth="1"/>
    <col min="23" max="24" width="5.6640625" style="749" customWidth="1"/>
    <col min="25" max="25" width="15.6640625" style="16" customWidth="1"/>
    <col min="26" max="26" width="3.33203125" style="16" customWidth="1"/>
    <col min="27" max="27" width="9.109375" style="749" customWidth="1"/>
    <col min="28" max="28" width="29.44140625" style="16" customWidth="1"/>
    <col min="29" max="29" width="3.6640625" style="749" customWidth="1"/>
    <col min="30" max="30" width="18.44140625" style="16" customWidth="1"/>
    <col min="31" max="158" width="3.33203125" style="16" customWidth="1"/>
    <col min="159" max="16384" width="9.109375" style="16"/>
  </cols>
  <sheetData>
    <row r="1" spans="1:158" s="749" customFormat="1" ht="0.15" customHeight="1" x14ac:dyDescent="0.25">
      <c r="A1" s="258"/>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row>
    <row r="2" spans="1:158" s="749" customFormat="1" ht="0.15" customHeight="1" x14ac:dyDescent="0.25">
      <c r="A2" s="258"/>
      <c r="B2" s="258"/>
      <c r="C2" s="258"/>
      <c r="D2" s="258"/>
      <c r="E2" s="258"/>
      <c r="F2" s="258"/>
      <c r="G2" s="258"/>
      <c r="H2" s="258"/>
      <c r="I2" s="258"/>
      <c r="J2" s="258"/>
      <c r="K2" s="258"/>
      <c r="L2" s="258"/>
      <c r="M2" s="258"/>
      <c r="N2" s="258"/>
      <c r="O2" s="258"/>
      <c r="P2" s="258"/>
      <c r="Q2" s="258"/>
      <c r="R2" s="258"/>
      <c r="S2" s="258"/>
      <c r="T2" s="258"/>
      <c r="U2" s="258"/>
      <c r="V2" s="258"/>
      <c r="W2" s="258"/>
      <c r="X2" s="258"/>
      <c r="Y2" s="258"/>
      <c r="Z2" s="258"/>
      <c r="AA2" s="258"/>
      <c r="AB2" s="258"/>
      <c r="AC2" s="258"/>
      <c r="AD2" s="3167" t="s">
        <v>4073</v>
      </c>
      <c r="AE2" s="3166">
        <f>'3a Staff Plan'!EG126</f>
        <v>0</v>
      </c>
      <c r="AF2" s="3166">
        <f>'3a Staff Plan'!EH126</f>
        <v>0</v>
      </c>
      <c r="AG2" s="3166">
        <f>'3a Staff Plan'!EI126</f>
        <v>0</v>
      </c>
      <c r="AH2" s="3166">
        <f>'3a Staff Plan'!EJ126</f>
        <v>0</v>
      </c>
      <c r="AI2" s="3166">
        <f>'3a Staff Plan'!EK126</f>
        <v>0</v>
      </c>
      <c r="AJ2" s="3166">
        <f>'3a Staff Plan'!EL126</f>
        <v>0</v>
      </c>
      <c r="AK2" s="3166">
        <f>'3a Staff Plan'!EM126</f>
        <v>0</v>
      </c>
      <c r="AL2" s="3166">
        <f>'3a Staff Plan'!EN126</f>
        <v>0</v>
      </c>
      <c r="AM2" s="3166">
        <f>'3a Staff Plan'!EO126</f>
        <v>0</v>
      </c>
      <c r="AN2" s="3166">
        <f>'3a Staff Plan'!EP126</f>
        <v>0</v>
      </c>
      <c r="AO2" s="3166">
        <f>'3a Staff Plan'!EQ126</f>
        <v>0</v>
      </c>
      <c r="AP2" s="3166">
        <f>'3a Staff Plan'!ER126</f>
        <v>0</v>
      </c>
      <c r="AQ2" s="3166">
        <f>'3a Staff Plan'!ES126</f>
        <v>0</v>
      </c>
      <c r="AR2" s="3166">
        <f>'3a Staff Plan'!ET126</f>
        <v>0</v>
      </c>
      <c r="AS2" s="3166">
        <f>'3a Staff Plan'!EU126</f>
        <v>0</v>
      </c>
      <c r="AT2" s="3166">
        <f>'3a Staff Plan'!EV126</f>
        <v>0</v>
      </c>
      <c r="AU2" s="3166">
        <f>'3a Staff Plan'!EW126</f>
        <v>0</v>
      </c>
      <c r="AV2" s="3166">
        <f>'3a Staff Plan'!EX126</f>
        <v>0</v>
      </c>
      <c r="AW2" s="3166">
        <f>'3a Staff Plan'!EY126</f>
        <v>0</v>
      </c>
      <c r="AX2" s="3166">
        <f>'3a Staff Plan'!EZ126</f>
        <v>0</v>
      </c>
      <c r="AY2" s="3166">
        <f>'3a Staff Plan'!FA126</f>
        <v>0</v>
      </c>
      <c r="AZ2" s="3166">
        <f>'3a Staff Plan'!FB126</f>
        <v>0</v>
      </c>
      <c r="BA2" s="3166">
        <f>'3a Staff Plan'!FC126</f>
        <v>0</v>
      </c>
      <c r="BB2" s="3166">
        <f>'3a Staff Plan'!FD126</f>
        <v>0</v>
      </c>
      <c r="BC2" s="3166">
        <f>'3a Staff Plan'!FE126</f>
        <v>0</v>
      </c>
      <c r="BD2" s="3166">
        <f>'3a Staff Plan'!FF126</f>
        <v>0</v>
      </c>
      <c r="BE2" s="3166">
        <f>'3a Staff Plan'!FG126</f>
        <v>0</v>
      </c>
      <c r="BF2" s="3166">
        <f>'3a Staff Plan'!FH126</f>
        <v>0</v>
      </c>
      <c r="BG2" s="3166">
        <f>'3a Staff Plan'!FI126</f>
        <v>0</v>
      </c>
      <c r="BH2" s="3166">
        <f>'3a Staff Plan'!FJ126</f>
        <v>0</v>
      </c>
      <c r="BI2" s="3166">
        <f>'3a Staff Plan'!FK126</f>
        <v>0</v>
      </c>
      <c r="BJ2" s="3166">
        <f>'3a Staff Plan'!FL126</f>
        <v>0</v>
      </c>
      <c r="BK2" s="3166">
        <f>'3a Staff Plan'!FM126</f>
        <v>0</v>
      </c>
      <c r="BL2" s="3166">
        <f>'3a Staff Plan'!FN126</f>
        <v>0</v>
      </c>
      <c r="BM2" s="3166">
        <f>'3a Staff Plan'!FO126</f>
        <v>0</v>
      </c>
      <c r="BN2" s="3166">
        <f>'3a Staff Plan'!FP126</f>
        <v>0</v>
      </c>
      <c r="BO2" s="3166">
        <f>'3a Staff Plan'!FQ126</f>
        <v>0</v>
      </c>
      <c r="BP2" s="3166">
        <f>'3a Staff Plan'!FR126</f>
        <v>0</v>
      </c>
      <c r="BQ2" s="3166">
        <f>'3a Staff Plan'!FS126</f>
        <v>0</v>
      </c>
      <c r="BR2" s="3166">
        <f>'3a Staff Plan'!FT126</f>
        <v>0</v>
      </c>
      <c r="BS2" s="3166">
        <f>'3a Staff Plan'!FU126</f>
        <v>0</v>
      </c>
      <c r="BT2" s="3166">
        <f>'3a Staff Plan'!FV126</f>
        <v>0</v>
      </c>
      <c r="BU2" s="3166">
        <f>'3a Staff Plan'!FW126</f>
        <v>0</v>
      </c>
      <c r="BV2" s="3166">
        <f>'3a Staff Plan'!FX126</f>
        <v>0</v>
      </c>
      <c r="BW2" s="3166">
        <f>'3a Staff Plan'!FY126</f>
        <v>0</v>
      </c>
      <c r="BX2" s="3166">
        <f>'3a Staff Plan'!FZ126</f>
        <v>0</v>
      </c>
      <c r="BY2" s="3166">
        <f>'3a Staff Plan'!GA126</f>
        <v>0</v>
      </c>
      <c r="BZ2" s="3166">
        <f>'3a Staff Plan'!GB126</f>
        <v>0</v>
      </c>
      <c r="CA2" s="3166">
        <f>'3a Staff Plan'!GC126</f>
        <v>0</v>
      </c>
      <c r="CB2" s="3166">
        <f>'3a Staff Plan'!GD126</f>
        <v>0</v>
      </c>
      <c r="CC2" s="3166">
        <f>'3a Staff Plan'!GE126</f>
        <v>0</v>
      </c>
      <c r="CD2" s="3166">
        <f>'3a Staff Plan'!GF126</f>
        <v>0</v>
      </c>
      <c r="CE2" s="3166">
        <f>'3a Staff Plan'!GG126</f>
        <v>0</v>
      </c>
      <c r="CF2" s="3166">
        <f>'3a Staff Plan'!GH126</f>
        <v>0</v>
      </c>
      <c r="CG2" s="3166">
        <f>'3a Staff Plan'!GI126</f>
        <v>0</v>
      </c>
      <c r="CH2" s="3166">
        <f>'3a Staff Plan'!GJ126</f>
        <v>0</v>
      </c>
      <c r="CI2" s="3166">
        <f>'3a Staff Plan'!GK126</f>
        <v>0</v>
      </c>
      <c r="CJ2" s="3166">
        <f>'3a Staff Plan'!GL126</f>
        <v>0</v>
      </c>
      <c r="CK2" s="3166">
        <f>'3a Staff Plan'!GM126</f>
        <v>0</v>
      </c>
      <c r="CL2" s="3166">
        <f>'3a Staff Plan'!GN126</f>
        <v>0</v>
      </c>
      <c r="CM2" s="3166">
        <f>'3a Staff Plan'!GO126</f>
        <v>0</v>
      </c>
      <c r="CN2" s="3166">
        <f>'3a Staff Plan'!GP126</f>
        <v>0</v>
      </c>
      <c r="CO2" s="3166">
        <f>'3a Staff Plan'!GQ126</f>
        <v>0</v>
      </c>
      <c r="CP2" s="3166">
        <f>'3a Staff Plan'!GR126</f>
        <v>0</v>
      </c>
      <c r="CQ2" s="3166">
        <f>'3a Staff Plan'!GS126</f>
        <v>0</v>
      </c>
      <c r="CR2" s="3166">
        <f>'3a Staff Plan'!GT126</f>
        <v>0</v>
      </c>
      <c r="CS2" s="3166">
        <f>'3a Staff Plan'!GU126</f>
        <v>0</v>
      </c>
      <c r="CT2" s="3166">
        <f>'3a Staff Plan'!GV126</f>
        <v>0</v>
      </c>
      <c r="CU2" s="3166">
        <f>'3a Staff Plan'!GW126</f>
        <v>0</v>
      </c>
      <c r="CV2" s="3166">
        <f>'3a Staff Plan'!GX126</f>
        <v>0</v>
      </c>
      <c r="CW2" s="3166">
        <f>'3a Staff Plan'!GY126</f>
        <v>0</v>
      </c>
      <c r="CX2" s="3166">
        <f>'3a Staff Plan'!GZ126</f>
        <v>0</v>
      </c>
      <c r="CY2" s="3166">
        <f>'3a Staff Plan'!HA126</f>
        <v>0</v>
      </c>
      <c r="CZ2" s="3166">
        <f>'3a Staff Plan'!HB126</f>
        <v>0</v>
      </c>
      <c r="DA2" s="3166">
        <f>'3a Staff Plan'!HC126</f>
        <v>0</v>
      </c>
      <c r="DB2" s="3166">
        <f>'3a Staff Plan'!HD126</f>
        <v>0</v>
      </c>
      <c r="DC2" s="3166">
        <f>'3a Staff Plan'!HE126</f>
        <v>0</v>
      </c>
      <c r="DD2" s="3166">
        <f>'3a Staff Plan'!HF126</f>
        <v>0</v>
      </c>
      <c r="DE2" s="3166">
        <f>'3a Staff Plan'!HG126</f>
        <v>0</v>
      </c>
      <c r="DF2" s="3166">
        <f>'3a Staff Plan'!HH126</f>
        <v>0</v>
      </c>
      <c r="DG2" s="3166">
        <f>'3a Staff Plan'!HI126</f>
        <v>0</v>
      </c>
      <c r="DH2" s="3166">
        <f>'3a Staff Plan'!HJ126</f>
        <v>0</v>
      </c>
      <c r="DI2" s="3166">
        <f>'3a Staff Plan'!HK126</f>
        <v>0</v>
      </c>
      <c r="DJ2" s="3166">
        <f>'3a Staff Plan'!HL126</f>
        <v>0</v>
      </c>
      <c r="DK2" s="3166">
        <f>'3a Staff Plan'!HM126</f>
        <v>0</v>
      </c>
      <c r="DL2" s="3166">
        <f>'3a Staff Plan'!HN126</f>
        <v>0</v>
      </c>
      <c r="DM2" s="3166">
        <f>'3a Staff Plan'!HO126</f>
        <v>0</v>
      </c>
      <c r="DN2" s="3166">
        <f>'3a Staff Plan'!HP126</f>
        <v>0</v>
      </c>
      <c r="DO2" s="3166">
        <f>'3a Staff Plan'!HQ126</f>
        <v>0</v>
      </c>
      <c r="DP2" s="3166">
        <f>'3a Staff Plan'!HR126</f>
        <v>0</v>
      </c>
      <c r="DQ2" s="3166">
        <f>'3a Staff Plan'!HS126</f>
        <v>0</v>
      </c>
      <c r="DR2" s="3166">
        <f>'3a Staff Plan'!HT126</f>
        <v>0</v>
      </c>
      <c r="DS2" s="3166">
        <f>'3a Staff Plan'!HU126</f>
        <v>0</v>
      </c>
      <c r="DT2" s="3166">
        <f>'3a Staff Plan'!HV126</f>
        <v>0</v>
      </c>
      <c r="DU2" s="3166">
        <f>'3a Staff Plan'!HW126</f>
        <v>0</v>
      </c>
      <c r="DV2" s="3166">
        <f>'3a Staff Plan'!HX126</f>
        <v>0</v>
      </c>
      <c r="DW2" s="3166">
        <f>'3a Staff Plan'!HY126</f>
        <v>0</v>
      </c>
      <c r="DX2" s="3166">
        <f>'3a Staff Plan'!HZ126</f>
        <v>0</v>
      </c>
      <c r="DY2" s="3166">
        <f>'3a Staff Plan'!IA126</f>
        <v>0</v>
      </c>
      <c r="DZ2" s="3166">
        <f>'3a Staff Plan'!IB126</f>
        <v>0</v>
      </c>
      <c r="EA2" s="3166">
        <f>'3a Staff Plan'!IC126</f>
        <v>0</v>
      </c>
      <c r="EB2" s="3166">
        <f>'3a Staff Plan'!ID126</f>
        <v>0</v>
      </c>
      <c r="EC2" s="3166">
        <f>'3a Staff Plan'!IE126</f>
        <v>0</v>
      </c>
      <c r="ED2" s="3166">
        <f>'3a Staff Plan'!IF126</f>
        <v>0</v>
      </c>
      <c r="EE2" s="3166">
        <f>'3a Staff Plan'!IG126</f>
        <v>0</v>
      </c>
      <c r="EF2" s="3166">
        <f>'3a Staff Plan'!IH126</f>
        <v>0</v>
      </c>
      <c r="EG2" s="3166">
        <f>'3a Staff Plan'!II126</f>
        <v>0</v>
      </c>
      <c r="EH2" s="3166">
        <f>'3a Staff Plan'!IJ126</f>
        <v>0</v>
      </c>
      <c r="EI2" s="3166">
        <f>'3a Staff Plan'!IK126</f>
        <v>0</v>
      </c>
      <c r="EJ2" s="3166">
        <f>'3a Staff Plan'!IL126</f>
        <v>0</v>
      </c>
      <c r="EK2" s="3166">
        <f>'3a Staff Plan'!IM126</f>
        <v>0</v>
      </c>
      <c r="EL2" s="3166">
        <f>'3a Staff Plan'!IN126</f>
        <v>0</v>
      </c>
      <c r="EM2" s="3166">
        <f>'3a Staff Plan'!IO126</f>
        <v>0</v>
      </c>
      <c r="EN2" s="3166">
        <f>'3a Staff Plan'!IP126</f>
        <v>0</v>
      </c>
      <c r="EO2" s="3166">
        <f>'3a Staff Plan'!IQ126</f>
        <v>0</v>
      </c>
      <c r="EP2" s="3166">
        <f>'3a Staff Plan'!IR126</f>
        <v>0</v>
      </c>
      <c r="EQ2" s="3166">
        <f>'3a Staff Plan'!IS126</f>
        <v>0</v>
      </c>
      <c r="ER2" s="3166">
        <f>'3a Staff Plan'!IT126</f>
        <v>0</v>
      </c>
      <c r="ES2" s="3166">
        <f>'3a Staff Plan'!IU126</f>
        <v>0</v>
      </c>
      <c r="ET2" s="3166">
        <f>'3a Staff Plan'!IV126</f>
        <v>0</v>
      </c>
      <c r="EU2" s="3166">
        <f>'3a Staff Plan'!IW126</f>
        <v>0</v>
      </c>
      <c r="EV2" s="3166">
        <f>'3a Staff Plan'!IX126</f>
        <v>0</v>
      </c>
      <c r="EW2" s="3166">
        <f>'3a Staff Plan'!IY126</f>
        <v>0</v>
      </c>
      <c r="EX2" s="3166">
        <f>'3a Staff Plan'!IZ126</f>
        <v>0</v>
      </c>
      <c r="EY2" s="3166">
        <f>'3a Staff Plan'!JA126</f>
        <v>0</v>
      </c>
      <c r="EZ2" s="3166">
        <f>'3a Staff Plan'!JB126</f>
        <v>0</v>
      </c>
      <c r="FA2" s="3166">
        <f>'3a Staff Plan'!JC126</f>
        <v>0</v>
      </c>
      <c r="FB2" s="3166"/>
    </row>
    <row r="3" spans="1:158" s="749" customFormat="1" ht="0.15" customHeight="1" x14ac:dyDescent="0.25">
      <c r="A3" s="258"/>
      <c r="B3" s="258"/>
      <c r="C3" s="258"/>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3167" t="s">
        <v>1635</v>
      </c>
      <c r="AE3" s="3168">
        <f>'3a Staff Plan'!EG109</f>
        <v>0</v>
      </c>
      <c r="AF3" s="3168">
        <f>'3a Staff Plan'!EH109</f>
        <v>0</v>
      </c>
      <c r="AG3" s="3168">
        <f>'3a Staff Plan'!EI109</f>
        <v>0</v>
      </c>
      <c r="AH3" s="3168">
        <f>'3a Staff Plan'!EJ109</f>
        <v>0</v>
      </c>
      <c r="AI3" s="3168">
        <f>'3a Staff Plan'!EK109</f>
        <v>0</v>
      </c>
      <c r="AJ3" s="3168">
        <f>'3a Staff Plan'!EL109</f>
        <v>0</v>
      </c>
      <c r="AK3" s="3168">
        <f>'3a Staff Plan'!EM109</f>
        <v>0</v>
      </c>
      <c r="AL3" s="3168">
        <f>'3a Staff Plan'!EN109</f>
        <v>0</v>
      </c>
      <c r="AM3" s="3168">
        <f>'3a Staff Plan'!EO109</f>
        <v>0</v>
      </c>
      <c r="AN3" s="3168">
        <f>'3a Staff Plan'!EP109</f>
        <v>0</v>
      </c>
      <c r="AO3" s="3168">
        <f>'3a Staff Plan'!EQ109</f>
        <v>0</v>
      </c>
      <c r="AP3" s="3168">
        <f>'3a Staff Plan'!ER109</f>
        <v>0</v>
      </c>
      <c r="AQ3" s="3168">
        <f>'3a Staff Plan'!ES109</f>
        <v>0</v>
      </c>
      <c r="AR3" s="3168">
        <f>'3a Staff Plan'!ET109</f>
        <v>0</v>
      </c>
      <c r="AS3" s="3168">
        <f>'3a Staff Plan'!EU109</f>
        <v>0</v>
      </c>
      <c r="AT3" s="3168">
        <f>'3a Staff Plan'!EV109</f>
        <v>0</v>
      </c>
      <c r="AU3" s="3168">
        <f>'3a Staff Plan'!EW109</f>
        <v>0</v>
      </c>
      <c r="AV3" s="3168">
        <f>'3a Staff Plan'!EX109</f>
        <v>0</v>
      </c>
      <c r="AW3" s="3168">
        <f>'3a Staff Plan'!EY109</f>
        <v>0</v>
      </c>
      <c r="AX3" s="3168">
        <f>'3a Staff Plan'!EZ109</f>
        <v>0</v>
      </c>
      <c r="AY3" s="3168">
        <f>'3a Staff Plan'!FA109</f>
        <v>0</v>
      </c>
      <c r="AZ3" s="3168">
        <f>'3a Staff Plan'!FB109</f>
        <v>0</v>
      </c>
      <c r="BA3" s="3168">
        <f>'3a Staff Plan'!FC109</f>
        <v>0</v>
      </c>
      <c r="BB3" s="3168">
        <f>'3a Staff Plan'!FD109</f>
        <v>0</v>
      </c>
      <c r="BC3" s="3168">
        <f>'3a Staff Plan'!FE109</f>
        <v>0</v>
      </c>
      <c r="BD3" s="3168">
        <f>'3a Staff Plan'!FF109</f>
        <v>0</v>
      </c>
      <c r="BE3" s="3168">
        <f>'3a Staff Plan'!FG109</f>
        <v>0</v>
      </c>
      <c r="BF3" s="3168">
        <f>'3a Staff Plan'!FH109</f>
        <v>0</v>
      </c>
      <c r="BG3" s="3168">
        <f>'3a Staff Plan'!FI109</f>
        <v>0</v>
      </c>
      <c r="BH3" s="3168">
        <f>'3a Staff Plan'!FJ109</f>
        <v>0</v>
      </c>
      <c r="BI3" s="3168">
        <f>'3a Staff Plan'!FK109</f>
        <v>0</v>
      </c>
      <c r="BJ3" s="3168">
        <f>'3a Staff Plan'!FL109</f>
        <v>0</v>
      </c>
      <c r="BK3" s="3168">
        <f>'3a Staff Plan'!FM109</f>
        <v>0</v>
      </c>
      <c r="BL3" s="3168">
        <f>'3a Staff Plan'!FN109</f>
        <v>0</v>
      </c>
      <c r="BM3" s="3168">
        <f>'3a Staff Plan'!FO109</f>
        <v>0</v>
      </c>
      <c r="BN3" s="3168">
        <f>'3a Staff Plan'!FP109</f>
        <v>0</v>
      </c>
      <c r="BO3" s="3168">
        <f>'3a Staff Plan'!FQ109</f>
        <v>0</v>
      </c>
      <c r="BP3" s="3168">
        <f>'3a Staff Plan'!FR109</f>
        <v>0</v>
      </c>
      <c r="BQ3" s="3168">
        <f>'3a Staff Plan'!FS109</f>
        <v>0</v>
      </c>
      <c r="BR3" s="3168">
        <f>'3a Staff Plan'!FT109</f>
        <v>0</v>
      </c>
      <c r="BS3" s="3168">
        <f>'3a Staff Plan'!FU109</f>
        <v>0</v>
      </c>
      <c r="BT3" s="3168">
        <f>'3a Staff Plan'!FV109</f>
        <v>0</v>
      </c>
      <c r="BU3" s="3168">
        <f>'3a Staff Plan'!FW109</f>
        <v>0</v>
      </c>
      <c r="BV3" s="3168">
        <f>'3a Staff Plan'!FX109</f>
        <v>0</v>
      </c>
      <c r="BW3" s="3168">
        <f>'3a Staff Plan'!FY109</f>
        <v>0</v>
      </c>
      <c r="BX3" s="3168">
        <f>'3a Staff Plan'!FZ109</f>
        <v>0</v>
      </c>
      <c r="BY3" s="3168">
        <f>'3a Staff Plan'!GA109</f>
        <v>0</v>
      </c>
      <c r="BZ3" s="3168">
        <f>'3a Staff Plan'!GB109</f>
        <v>0</v>
      </c>
      <c r="CA3" s="3168">
        <f>'3a Staff Plan'!GC109</f>
        <v>0</v>
      </c>
      <c r="CB3" s="3168">
        <f>'3a Staff Plan'!GD109</f>
        <v>0</v>
      </c>
      <c r="CC3" s="3168">
        <f>'3a Staff Plan'!GE109</f>
        <v>0</v>
      </c>
      <c r="CD3" s="3168">
        <f>'3a Staff Plan'!GF109</f>
        <v>0</v>
      </c>
      <c r="CE3" s="3168">
        <f>'3a Staff Plan'!GG109</f>
        <v>0</v>
      </c>
      <c r="CF3" s="3168">
        <f>'3a Staff Plan'!GH109</f>
        <v>0</v>
      </c>
      <c r="CG3" s="3168">
        <f>'3a Staff Plan'!GI109</f>
        <v>0</v>
      </c>
      <c r="CH3" s="3168">
        <f>'3a Staff Plan'!GJ109</f>
        <v>0</v>
      </c>
      <c r="CI3" s="3168">
        <f>'3a Staff Plan'!GK109</f>
        <v>0</v>
      </c>
      <c r="CJ3" s="3168">
        <f>'3a Staff Plan'!GL109</f>
        <v>0</v>
      </c>
      <c r="CK3" s="3168">
        <f>'3a Staff Plan'!GM109</f>
        <v>0</v>
      </c>
      <c r="CL3" s="3168">
        <f>'3a Staff Plan'!GN109</f>
        <v>0</v>
      </c>
      <c r="CM3" s="3168">
        <f>'3a Staff Plan'!GO109</f>
        <v>0</v>
      </c>
      <c r="CN3" s="3168">
        <f>'3a Staff Plan'!GP109</f>
        <v>0</v>
      </c>
      <c r="CO3" s="3168">
        <f>'3a Staff Plan'!GQ109</f>
        <v>0</v>
      </c>
      <c r="CP3" s="3168">
        <f>'3a Staff Plan'!GR109</f>
        <v>0</v>
      </c>
      <c r="CQ3" s="3168">
        <f>'3a Staff Plan'!GS109</f>
        <v>0</v>
      </c>
      <c r="CR3" s="3168">
        <f>'3a Staff Plan'!GT109</f>
        <v>0</v>
      </c>
      <c r="CS3" s="3168">
        <f>'3a Staff Plan'!GU109</f>
        <v>0</v>
      </c>
      <c r="CT3" s="3168">
        <f>'3a Staff Plan'!GV109</f>
        <v>0</v>
      </c>
      <c r="CU3" s="3168">
        <f>'3a Staff Plan'!GW109</f>
        <v>0</v>
      </c>
      <c r="CV3" s="3168">
        <f>'3a Staff Plan'!GX109</f>
        <v>0</v>
      </c>
      <c r="CW3" s="3168">
        <f>'3a Staff Plan'!GY109</f>
        <v>0</v>
      </c>
      <c r="CX3" s="3168">
        <f>'3a Staff Plan'!GZ109</f>
        <v>0</v>
      </c>
      <c r="CY3" s="3168">
        <f>'3a Staff Plan'!HA109</f>
        <v>0</v>
      </c>
      <c r="CZ3" s="3168">
        <f>'3a Staff Plan'!HB109</f>
        <v>0</v>
      </c>
      <c r="DA3" s="3168">
        <f>'3a Staff Plan'!HC109</f>
        <v>0</v>
      </c>
      <c r="DB3" s="3168">
        <f>'3a Staff Plan'!HD109</f>
        <v>0</v>
      </c>
      <c r="DC3" s="3168">
        <f>'3a Staff Plan'!HE109</f>
        <v>0</v>
      </c>
      <c r="DD3" s="3168">
        <f>'3a Staff Plan'!HF109</f>
        <v>0</v>
      </c>
      <c r="DE3" s="3168">
        <f>'3a Staff Plan'!HG109</f>
        <v>0</v>
      </c>
      <c r="DF3" s="3168">
        <f>'3a Staff Plan'!HH109</f>
        <v>0</v>
      </c>
      <c r="DG3" s="3168">
        <f>'3a Staff Plan'!HI109</f>
        <v>0</v>
      </c>
      <c r="DH3" s="3168">
        <f>'3a Staff Plan'!HJ109</f>
        <v>0</v>
      </c>
      <c r="DI3" s="3168">
        <f>'3a Staff Plan'!HK109</f>
        <v>0</v>
      </c>
      <c r="DJ3" s="3168">
        <f>'3a Staff Plan'!HL109</f>
        <v>0</v>
      </c>
      <c r="DK3" s="3168">
        <f>'3a Staff Plan'!HM109</f>
        <v>0</v>
      </c>
      <c r="DL3" s="3168">
        <f>'3a Staff Plan'!HN109</f>
        <v>0</v>
      </c>
      <c r="DM3" s="3168">
        <f>'3a Staff Plan'!HO109</f>
        <v>0</v>
      </c>
      <c r="DN3" s="3168">
        <f>'3a Staff Plan'!HP109</f>
        <v>0</v>
      </c>
      <c r="DO3" s="3168">
        <f>'3a Staff Plan'!HQ109</f>
        <v>0</v>
      </c>
      <c r="DP3" s="3168">
        <f>'3a Staff Plan'!HR109</f>
        <v>0</v>
      </c>
      <c r="DQ3" s="3168">
        <f>'3a Staff Plan'!HS109</f>
        <v>0</v>
      </c>
      <c r="DR3" s="3168">
        <f>'3a Staff Plan'!HT109</f>
        <v>0</v>
      </c>
      <c r="DS3" s="3168">
        <f>'3a Staff Plan'!HU109</f>
        <v>0</v>
      </c>
      <c r="DT3" s="3168">
        <f>'3a Staff Plan'!HV109</f>
        <v>0</v>
      </c>
      <c r="DU3" s="3168">
        <f>'3a Staff Plan'!HW109</f>
        <v>0</v>
      </c>
      <c r="DV3" s="3168">
        <f>'3a Staff Plan'!HX109</f>
        <v>0</v>
      </c>
      <c r="DW3" s="3168">
        <f>'3a Staff Plan'!HY109</f>
        <v>0</v>
      </c>
      <c r="DX3" s="3168">
        <f>'3a Staff Plan'!HZ109</f>
        <v>0</v>
      </c>
      <c r="DY3" s="3168">
        <f>'3a Staff Plan'!IA109</f>
        <v>0</v>
      </c>
      <c r="DZ3" s="3168">
        <f>'3a Staff Plan'!IB109</f>
        <v>0</v>
      </c>
      <c r="EA3" s="3168">
        <f>'3a Staff Plan'!IC109</f>
        <v>0</v>
      </c>
      <c r="EB3" s="3168">
        <f>'3a Staff Plan'!ID109</f>
        <v>0</v>
      </c>
      <c r="EC3" s="3168">
        <f>'3a Staff Plan'!IE109</f>
        <v>0</v>
      </c>
      <c r="ED3" s="3168">
        <f>'3a Staff Plan'!IF109</f>
        <v>0</v>
      </c>
      <c r="EE3" s="3168">
        <f>'3a Staff Plan'!IG109</f>
        <v>0</v>
      </c>
      <c r="EF3" s="3168">
        <f>'3a Staff Plan'!IH109</f>
        <v>0</v>
      </c>
      <c r="EG3" s="3168">
        <f>'3a Staff Plan'!II109</f>
        <v>0</v>
      </c>
      <c r="EH3" s="3168">
        <f>'3a Staff Plan'!IJ109</f>
        <v>0</v>
      </c>
      <c r="EI3" s="3168">
        <f>'3a Staff Plan'!IK109</f>
        <v>0</v>
      </c>
      <c r="EJ3" s="3168">
        <f>'3a Staff Plan'!IL109</f>
        <v>0</v>
      </c>
      <c r="EK3" s="3168">
        <f>'3a Staff Plan'!IM109</f>
        <v>0</v>
      </c>
      <c r="EL3" s="3168">
        <f>'3a Staff Plan'!IN109</f>
        <v>0</v>
      </c>
      <c r="EM3" s="3168">
        <f>'3a Staff Plan'!IO109</f>
        <v>0</v>
      </c>
      <c r="EN3" s="3168">
        <f>'3a Staff Plan'!IP109</f>
        <v>0</v>
      </c>
      <c r="EO3" s="3168">
        <f>'3a Staff Plan'!IQ109</f>
        <v>0</v>
      </c>
      <c r="EP3" s="3168">
        <f>'3a Staff Plan'!IR109</f>
        <v>0</v>
      </c>
      <c r="EQ3" s="3168">
        <f>'3a Staff Plan'!IS109</f>
        <v>0</v>
      </c>
      <c r="ER3" s="3168">
        <f>'3a Staff Plan'!IT109</f>
        <v>0</v>
      </c>
      <c r="ES3" s="3168">
        <f>'3a Staff Plan'!IU109</f>
        <v>0</v>
      </c>
      <c r="ET3" s="3168">
        <f>'3a Staff Plan'!IV109</f>
        <v>0</v>
      </c>
      <c r="EU3" s="3168">
        <f>'3a Staff Plan'!IW109</f>
        <v>0</v>
      </c>
      <c r="EV3" s="3168">
        <f>'3a Staff Plan'!IX109</f>
        <v>0</v>
      </c>
      <c r="EW3" s="3168">
        <f>'3a Staff Plan'!IY109</f>
        <v>0</v>
      </c>
      <c r="EX3" s="3168">
        <f>'3a Staff Plan'!IZ109</f>
        <v>0</v>
      </c>
      <c r="EY3" s="3168">
        <f>'3a Staff Plan'!JA109</f>
        <v>0</v>
      </c>
      <c r="EZ3" s="3168">
        <f>'3a Staff Plan'!JB109</f>
        <v>0</v>
      </c>
      <c r="FA3" s="3168">
        <f>'3a Staff Plan'!JC109</f>
        <v>0</v>
      </c>
      <c r="FB3" s="3168"/>
    </row>
    <row r="4" spans="1:158" s="749" customFormat="1" ht="0.15" customHeight="1" x14ac:dyDescent="0.25">
      <c r="A4" s="258"/>
      <c r="B4" s="258"/>
      <c r="C4" s="258"/>
      <c r="D4" s="258"/>
      <c r="E4" s="258"/>
      <c r="F4" s="258"/>
      <c r="G4" s="258"/>
      <c r="H4" s="258"/>
      <c r="I4" s="258"/>
      <c r="J4" s="258"/>
      <c r="K4" s="258"/>
      <c r="L4" s="258"/>
      <c r="M4" s="258"/>
      <c r="N4" s="258"/>
      <c r="O4" s="258"/>
      <c r="P4" s="258"/>
      <c r="Q4" s="258"/>
      <c r="R4" s="258"/>
      <c r="S4" s="258"/>
      <c r="T4" s="258"/>
      <c r="U4" s="258"/>
      <c r="V4" s="258"/>
      <c r="W4" s="258"/>
      <c r="X4" s="258"/>
      <c r="Y4" s="258"/>
      <c r="Z4" s="258"/>
      <c r="AA4" s="258"/>
      <c r="AB4" s="258"/>
      <c r="AC4" s="258"/>
      <c r="AD4" s="3167" t="s">
        <v>4075</v>
      </c>
      <c r="AE4" s="3169">
        <f>'3a Staff Plan'!EG13</f>
        <v>0</v>
      </c>
      <c r="AF4" s="3169">
        <f>'3a Staff Plan'!EH13</f>
        <v>0</v>
      </c>
      <c r="AG4" s="3169">
        <f>'3a Staff Plan'!EI13</f>
        <v>0</v>
      </c>
      <c r="AH4" s="3169">
        <f>'3a Staff Plan'!EJ13</f>
        <v>0</v>
      </c>
      <c r="AI4" s="3169">
        <f>'3a Staff Plan'!EK13</f>
        <v>0</v>
      </c>
      <c r="AJ4" s="3169">
        <f>'3a Staff Plan'!EL13</f>
        <v>0</v>
      </c>
      <c r="AK4" s="3169">
        <f>'3a Staff Plan'!EM13</f>
        <v>0</v>
      </c>
      <c r="AL4" s="3169">
        <f>'3a Staff Plan'!EN13</f>
        <v>0</v>
      </c>
      <c r="AM4" s="3169">
        <f>'3a Staff Plan'!EO13</f>
        <v>0</v>
      </c>
      <c r="AN4" s="3169">
        <f>'3a Staff Plan'!EP13</f>
        <v>0</v>
      </c>
      <c r="AO4" s="3169">
        <f>'3a Staff Plan'!EQ13</f>
        <v>0</v>
      </c>
      <c r="AP4" s="3169">
        <f>'3a Staff Plan'!ER13</f>
        <v>0</v>
      </c>
      <c r="AQ4" s="3169">
        <f>'3a Staff Plan'!ES13</f>
        <v>0</v>
      </c>
      <c r="AR4" s="3169">
        <f>'3a Staff Plan'!ET13</f>
        <v>0</v>
      </c>
      <c r="AS4" s="3169">
        <f>'3a Staff Plan'!EU13</f>
        <v>0</v>
      </c>
      <c r="AT4" s="3169">
        <f>'3a Staff Plan'!EV13</f>
        <v>0</v>
      </c>
      <c r="AU4" s="3169">
        <f>'3a Staff Plan'!EW13</f>
        <v>0</v>
      </c>
      <c r="AV4" s="3169">
        <f>'3a Staff Plan'!EX13</f>
        <v>0</v>
      </c>
      <c r="AW4" s="3169">
        <f>'3a Staff Plan'!EY13</f>
        <v>0</v>
      </c>
      <c r="AX4" s="3169">
        <f>'3a Staff Plan'!EZ13</f>
        <v>0</v>
      </c>
      <c r="AY4" s="3169">
        <f>'3a Staff Plan'!FA13</f>
        <v>0</v>
      </c>
      <c r="AZ4" s="3169">
        <f>'3a Staff Plan'!FB13</f>
        <v>0</v>
      </c>
      <c r="BA4" s="3169">
        <f>'3a Staff Plan'!FC13</f>
        <v>0</v>
      </c>
      <c r="BB4" s="3169">
        <f>'3a Staff Plan'!FD13</f>
        <v>0</v>
      </c>
      <c r="BC4" s="3169">
        <f>'3a Staff Plan'!FE13</f>
        <v>0</v>
      </c>
      <c r="BD4" s="3169">
        <f>'3a Staff Plan'!FF13</f>
        <v>0</v>
      </c>
      <c r="BE4" s="3169">
        <f>'3a Staff Plan'!FG13</f>
        <v>0</v>
      </c>
      <c r="BF4" s="3169">
        <f>'3a Staff Plan'!FH13</f>
        <v>0</v>
      </c>
      <c r="BG4" s="3169">
        <f>'3a Staff Plan'!FI13</f>
        <v>0</v>
      </c>
      <c r="BH4" s="3169">
        <f>'3a Staff Plan'!FJ13</f>
        <v>0</v>
      </c>
      <c r="BI4" s="3169">
        <f>'3a Staff Plan'!FK13</f>
        <v>0</v>
      </c>
      <c r="BJ4" s="3169">
        <f>'3a Staff Plan'!FL13</f>
        <v>0</v>
      </c>
      <c r="BK4" s="3169">
        <f>'3a Staff Plan'!FM13</f>
        <v>0</v>
      </c>
      <c r="BL4" s="3169">
        <f>'3a Staff Plan'!FN13</f>
        <v>0</v>
      </c>
      <c r="BM4" s="3169">
        <f>'3a Staff Plan'!FO13</f>
        <v>0</v>
      </c>
      <c r="BN4" s="3169">
        <f>'3a Staff Plan'!FP13</f>
        <v>0</v>
      </c>
      <c r="BO4" s="3169">
        <f>'3a Staff Plan'!FQ13</f>
        <v>0</v>
      </c>
      <c r="BP4" s="3169">
        <f>'3a Staff Plan'!FR13</f>
        <v>0</v>
      </c>
      <c r="BQ4" s="3169">
        <f>'3a Staff Plan'!FS13</f>
        <v>0</v>
      </c>
      <c r="BR4" s="3169">
        <f>'3a Staff Plan'!FT13</f>
        <v>0</v>
      </c>
      <c r="BS4" s="3169">
        <f>'3a Staff Plan'!FU13</f>
        <v>0</v>
      </c>
      <c r="BT4" s="3169">
        <f>'3a Staff Plan'!FV13</f>
        <v>0</v>
      </c>
      <c r="BU4" s="3169">
        <f>'3a Staff Plan'!FW13</f>
        <v>0</v>
      </c>
      <c r="BV4" s="3169">
        <f>'3a Staff Plan'!FX13</f>
        <v>0</v>
      </c>
      <c r="BW4" s="3169">
        <f>'3a Staff Plan'!FY13</f>
        <v>0</v>
      </c>
      <c r="BX4" s="3169">
        <f>'3a Staff Plan'!FZ13</f>
        <v>0</v>
      </c>
      <c r="BY4" s="3169">
        <f>'3a Staff Plan'!GA13</f>
        <v>0</v>
      </c>
      <c r="BZ4" s="3169">
        <f>'3a Staff Plan'!GB13</f>
        <v>0</v>
      </c>
      <c r="CA4" s="3169">
        <f>'3a Staff Plan'!GC13</f>
        <v>0</v>
      </c>
      <c r="CB4" s="3169">
        <f>'3a Staff Plan'!GD13</f>
        <v>0</v>
      </c>
      <c r="CC4" s="3169">
        <f>'3a Staff Plan'!GE13</f>
        <v>0</v>
      </c>
      <c r="CD4" s="3169">
        <f>'3a Staff Plan'!GF13</f>
        <v>0</v>
      </c>
      <c r="CE4" s="3169">
        <f>'3a Staff Plan'!GG13</f>
        <v>0</v>
      </c>
      <c r="CF4" s="3169">
        <f>'3a Staff Plan'!GH13</f>
        <v>0</v>
      </c>
      <c r="CG4" s="3169">
        <f>'3a Staff Plan'!GI13</f>
        <v>0</v>
      </c>
      <c r="CH4" s="3169">
        <f>'3a Staff Plan'!GJ13</f>
        <v>0</v>
      </c>
      <c r="CI4" s="3169">
        <f>'3a Staff Plan'!GK13</f>
        <v>0</v>
      </c>
      <c r="CJ4" s="3169">
        <f>'3a Staff Plan'!GL13</f>
        <v>0</v>
      </c>
      <c r="CK4" s="3169">
        <f>'3a Staff Plan'!GM13</f>
        <v>0</v>
      </c>
      <c r="CL4" s="3169">
        <f>'3a Staff Plan'!GN13</f>
        <v>0</v>
      </c>
      <c r="CM4" s="3169">
        <f>'3a Staff Plan'!GO13</f>
        <v>0</v>
      </c>
      <c r="CN4" s="3169">
        <f>'3a Staff Plan'!GP13</f>
        <v>0</v>
      </c>
      <c r="CO4" s="3169">
        <f>'3a Staff Plan'!GQ13</f>
        <v>0</v>
      </c>
      <c r="CP4" s="3169">
        <f>'3a Staff Plan'!GR13</f>
        <v>0</v>
      </c>
      <c r="CQ4" s="3169">
        <f>'3a Staff Plan'!GS13</f>
        <v>0</v>
      </c>
      <c r="CR4" s="3169">
        <f>'3a Staff Plan'!GT13</f>
        <v>0</v>
      </c>
      <c r="CS4" s="3169">
        <f>'3a Staff Plan'!GU13</f>
        <v>0</v>
      </c>
      <c r="CT4" s="3169">
        <f>'3a Staff Plan'!GV13</f>
        <v>0</v>
      </c>
      <c r="CU4" s="3169">
        <f>'3a Staff Plan'!GW13</f>
        <v>0</v>
      </c>
      <c r="CV4" s="3169">
        <f>'3a Staff Plan'!GX13</f>
        <v>0</v>
      </c>
      <c r="CW4" s="3169">
        <f>'3a Staff Plan'!GY13</f>
        <v>0</v>
      </c>
      <c r="CX4" s="3169">
        <f>'3a Staff Plan'!GZ13</f>
        <v>0</v>
      </c>
      <c r="CY4" s="3169">
        <f>'3a Staff Plan'!HA13</f>
        <v>0</v>
      </c>
      <c r="CZ4" s="3169">
        <f>'3a Staff Plan'!HB13</f>
        <v>0</v>
      </c>
      <c r="DA4" s="3169">
        <f>'3a Staff Plan'!HC13</f>
        <v>0</v>
      </c>
      <c r="DB4" s="3169">
        <f>'3a Staff Plan'!HD13</f>
        <v>0</v>
      </c>
      <c r="DC4" s="3169">
        <f>'3a Staff Plan'!HE13</f>
        <v>0</v>
      </c>
      <c r="DD4" s="3169">
        <f>'3a Staff Plan'!HF13</f>
        <v>0</v>
      </c>
      <c r="DE4" s="3169">
        <f>'3a Staff Plan'!HG13</f>
        <v>0</v>
      </c>
      <c r="DF4" s="3169">
        <f>'3a Staff Plan'!HH13</f>
        <v>0</v>
      </c>
      <c r="DG4" s="3169">
        <f>'3a Staff Plan'!HI13</f>
        <v>0</v>
      </c>
      <c r="DH4" s="3169">
        <f>'3a Staff Plan'!HJ13</f>
        <v>0</v>
      </c>
      <c r="DI4" s="3169">
        <f>'3a Staff Plan'!HK13</f>
        <v>0</v>
      </c>
      <c r="DJ4" s="3169">
        <f>'3a Staff Plan'!HL13</f>
        <v>0</v>
      </c>
      <c r="DK4" s="3169">
        <f>'3a Staff Plan'!HM13</f>
        <v>0</v>
      </c>
      <c r="DL4" s="3169">
        <f>'3a Staff Plan'!HN13</f>
        <v>0</v>
      </c>
      <c r="DM4" s="3169">
        <f>'3a Staff Plan'!HO13</f>
        <v>0</v>
      </c>
      <c r="DN4" s="3169">
        <f>'3a Staff Plan'!HP13</f>
        <v>0</v>
      </c>
      <c r="DO4" s="3169">
        <f>'3a Staff Plan'!HQ13</f>
        <v>0</v>
      </c>
      <c r="DP4" s="3169">
        <f>'3a Staff Plan'!HR13</f>
        <v>0</v>
      </c>
      <c r="DQ4" s="3169">
        <f>'3a Staff Plan'!HS13</f>
        <v>0</v>
      </c>
      <c r="DR4" s="3169">
        <f>'3a Staff Plan'!HT13</f>
        <v>0</v>
      </c>
      <c r="DS4" s="3169">
        <f>'3a Staff Plan'!HU13</f>
        <v>0</v>
      </c>
      <c r="DT4" s="3169">
        <f>'3a Staff Plan'!HV13</f>
        <v>0</v>
      </c>
      <c r="DU4" s="3169">
        <f>'3a Staff Plan'!HW13</f>
        <v>0</v>
      </c>
      <c r="DV4" s="3169">
        <f>'3a Staff Plan'!HX13</f>
        <v>0</v>
      </c>
      <c r="DW4" s="3169">
        <f>'3a Staff Plan'!HY13</f>
        <v>0</v>
      </c>
      <c r="DX4" s="3169">
        <f>'3a Staff Plan'!HZ13</f>
        <v>0</v>
      </c>
      <c r="DY4" s="3169">
        <f>'3a Staff Plan'!IA13</f>
        <v>0</v>
      </c>
      <c r="DZ4" s="3169">
        <f>'3a Staff Plan'!IB13</f>
        <v>0</v>
      </c>
      <c r="EA4" s="3169">
        <f>'3a Staff Plan'!IC13</f>
        <v>0</v>
      </c>
      <c r="EB4" s="3169">
        <f>'3a Staff Plan'!ID13</f>
        <v>0</v>
      </c>
      <c r="EC4" s="3169">
        <f>'3a Staff Plan'!IE13</f>
        <v>0</v>
      </c>
      <c r="ED4" s="3169">
        <f>'3a Staff Plan'!IF13</f>
        <v>0</v>
      </c>
      <c r="EE4" s="3169">
        <f>'3a Staff Plan'!IG13</f>
        <v>0</v>
      </c>
      <c r="EF4" s="3169">
        <f>'3a Staff Plan'!IH13</f>
        <v>0</v>
      </c>
      <c r="EG4" s="3169">
        <f>'3a Staff Plan'!II13</f>
        <v>0</v>
      </c>
      <c r="EH4" s="3169">
        <f>'3a Staff Plan'!IJ13</f>
        <v>0</v>
      </c>
      <c r="EI4" s="3169">
        <f>'3a Staff Plan'!IK13</f>
        <v>0</v>
      </c>
      <c r="EJ4" s="3169">
        <f>'3a Staff Plan'!IL13</f>
        <v>0</v>
      </c>
      <c r="EK4" s="3169">
        <f>'3a Staff Plan'!IM13</f>
        <v>0</v>
      </c>
      <c r="EL4" s="3169">
        <f>'3a Staff Plan'!IN13</f>
        <v>0</v>
      </c>
      <c r="EM4" s="3169">
        <f>'3a Staff Plan'!IO13</f>
        <v>0</v>
      </c>
      <c r="EN4" s="3169">
        <f>'3a Staff Plan'!IP13</f>
        <v>0</v>
      </c>
      <c r="EO4" s="3169">
        <f>'3a Staff Plan'!IQ13</f>
        <v>0</v>
      </c>
      <c r="EP4" s="3169">
        <f>'3a Staff Plan'!IR13</f>
        <v>0</v>
      </c>
      <c r="EQ4" s="3169">
        <f>'3a Staff Plan'!IS13</f>
        <v>0</v>
      </c>
      <c r="ER4" s="3169">
        <f>'3a Staff Plan'!IT13</f>
        <v>0</v>
      </c>
      <c r="ES4" s="3169">
        <f>'3a Staff Plan'!IU13</f>
        <v>0</v>
      </c>
      <c r="ET4" s="3169">
        <f>'3a Staff Plan'!IV13</f>
        <v>0</v>
      </c>
      <c r="EU4" s="3169">
        <f>'3a Staff Plan'!IW13</f>
        <v>0</v>
      </c>
      <c r="EV4" s="3169">
        <f>'3a Staff Plan'!IX13</f>
        <v>0</v>
      </c>
      <c r="EW4" s="3169">
        <f>'3a Staff Plan'!IY13</f>
        <v>0</v>
      </c>
      <c r="EX4" s="3169">
        <f>'3a Staff Plan'!IZ13</f>
        <v>0</v>
      </c>
      <c r="EY4" s="3169">
        <f>'3a Staff Plan'!JA13</f>
        <v>0</v>
      </c>
      <c r="EZ4" s="3169">
        <f>'3a Staff Plan'!JB13</f>
        <v>0</v>
      </c>
      <c r="FA4" s="3169">
        <f>'3a Staff Plan'!JC13</f>
        <v>0</v>
      </c>
      <c r="FB4" s="3169"/>
    </row>
    <row r="5" spans="1:158" s="749" customFormat="1" ht="0.15" customHeight="1" x14ac:dyDescent="0.25">
      <c r="A5" s="258"/>
      <c r="B5" s="258"/>
      <c r="C5" s="258"/>
      <c r="D5" s="258"/>
      <c r="E5" s="258"/>
      <c r="F5" s="258"/>
      <c r="G5" s="258"/>
      <c r="H5" s="258"/>
      <c r="I5" s="258"/>
      <c r="J5" s="258"/>
      <c r="K5" s="258"/>
      <c r="L5" s="258"/>
      <c r="M5" s="258"/>
      <c r="N5" s="258"/>
      <c r="O5" s="258"/>
      <c r="P5" s="258"/>
      <c r="Q5" s="258"/>
      <c r="R5" s="258"/>
      <c r="S5" s="258"/>
      <c r="T5" s="258"/>
      <c r="U5" s="258"/>
      <c r="V5" s="258"/>
      <c r="W5" s="258"/>
      <c r="X5" s="258"/>
      <c r="Y5" s="258"/>
      <c r="Z5" s="258"/>
      <c r="AA5" s="258"/>
      <c r="AB5" s="258"/>
      <c r="AC5" s="258"/>
      <c r="AD5" s="3167" t="s">
        <v>4074</v>
      </c>
      <c r="AE5" s="3166">
        <f>'3b Activity Plan'!GT170</f>
        <v>43840</v>
      </c>
      <c r="AF5" s="3166">
        <f>'3b Activity Plan'!GU170</f>
        <v>43847</v>
      </c>
      <c r="AG5" s="3166">
        <f>'3b Activity Plan'!GV170</f>
        <v>43854</v>
      </c>
      <c r="AH5" s="3166">
        <f>'3b Activity Plan'!GW170</f>
        <v>43861</v>
      </c>
      <c r="AI5" s="3166">
        <f>'3b Activity Plan'!GX170</f>
        <v>43868</v>
      </c>
      <c r="AJ5" s="3166">
        <f>'3b Activity Plan'!GY170</f>
        <v>43875</v>
      </c>
      <c r="AK5" s="3166">
        <f>'3b Activity Plan'!GZ170</f>
        <v>43882</v>
      </c>
      <c r="AL5" s="3166">
        <f>'3b Activity Plan'!HA170</f>
        <v>43889</v>
      </c>
      <c r="AM5" s="3166">
        <f>'3b Activity Plan'!HB170</f>
        <v>43896</v>
      </c>
      <c r="AN5" s="3166">
        <f>'3b Activity Plan'!HC170</f>
        <v>43903</v>
      </c>
      <c r="AO5" s="3166">
        <f>'3b Activity Plan'!HD170</f>
        <v>43910</v>
      </c>
      <c r="AP5" s="3166">
        <f>'3b Activity Plan'!HE170</f>
        <v>43917</v>
      </c>
      <c r="AQ5" s="3166">
        <f>'3b Activity Plan'!HF170</f>
        <v>43924</v>
      </c>
      <c r="AR5" s="3166">
        <f>'3b Activity Plan'!HG170</f>
        <v>43931</v>
      </c>
      <c r="AS5" s="3166">
        <f>'3b Activity Plan'!HH170</f>
        <v>43938</v>
      </c>
      <c r="AT5" s="3166">
        <f>'3b Activity Plan'!HI170</f>
        <v>43945</v>
      </c>
      <c r="AU5" s="3166">
        <f>'3b Activity Plan'!HJ170</f>
        <v>43952</v>
      </c>
      <c r="AV5" s="3166">
        <f>'3b Activity Plan'!HK170</f>
        <v>43959</v>
      </c>
      <c r="AW5" s="3166">
        <f>'3b Activity Plan'!HL170</f>
        <v>43966</v>
      </c>
      <c r="AX5" s="3166">
        <f>'3b Activity Plan'!HM170</f>
        <v>43973</v>
      </c>
      <c r="AY5" s="3166">
        <f>'3b Activity Plan'!HN170</f>
        <v>43980</v>
      </c>
      <c r="AZ5" s="3166">
        <f>'3b Activity Plan'!HO170</f>
        <v>43987</v>
      </c>
      <c r="BA5" s="3166">
        <f>'3b Activity Plan'!HP170</f>
        <v>43994</v>
      </c>
      <c r="BB5" s="3166">
        <f>'3b Activity Plan'!HQ170</f>
        <v>44001</v>
      </c>
      <c r="BC5" s="3166">
        <f>'3b Activity Plan'!HR170</f>
        <v>44008</v>
      </c>
      <c r="BD5" s="3166">
        <f>'3b Activity Plan'!HS170</f>
        <v>44015</v>
      </c>
      <c r="BE5" s="3166">
        <f>'3b Activity Plan'!HT170</f>
        <v>44022</v>
      </c>
      <c r="BF5" s="3166">
        <f>'3b Activity Plan'!HU170</f>
        <v>44029</v>
      </c>
      <c r="BG5" s="3166">
        <f>'3b Activity Plan'!HV170</f>
        <v>44036</v>
      </c>
      <c r="BH5" s="3166">
        <f>'3b Activity Plan'!HW170</f>
        <v>44043</v>
      </c>
      <c r="BI5" s="3166">
        <f>'3b Activity Plan'!HX170</f>
        <v>44050</v>
      </c>
      <c r="BJ5" s="3166">
        <f>'3b Activity Plan'!HY170</f>
        <v>44057</v>
      </c>
      <c r="BK5" s="3166">
        <f>'3b Activity Plan'!HZ170</f>
        <v>44064</v>
      </c>
      <c r="BL5" s="3166">
        <f>'3b Activity Plan'!IA170</f>
        <v>44071</v>
      </c>
      <c r="BM5" s="3166">
        <f>'3b Activity Plan'!IB170</f>
        <v>44078</v>
      </c>
      <c r="BN5" s="3166">
        <f>'3b Activity Plan'!IC170</f>
        <v>44085</v>
      </c>
      <c r="BO5" s="3166">
        <f>'3b Activity Plan'!ID170</f>
        <v>44092</v>
      </c>
      <c r="BP5" s="3166">
        <f>'3b Activity Plan'!IE170</f>
        <v>44099</v>
      </c>
      <c r="BQ5" s="3166">
        <f>'3b Activity Plan'!IF170</f>
        <v>44106</v>
      </c>
      <c r="BR5" s="3166">
        <f>'3b Activity Plan'!IG170</f>
        <v>44113</v>
      </c>
      <c r="BS5" s="3166">
        <f>'3b Activity Plan'!IH170</f>
        <v>44120</v>
      </c>
      <c r="BT5" s="3166">
        <f>'3b Activity Plan'!II170</f>
        <v>44127</v>
      </c>
      <c r="BU5" s="3166">
        <f>'3b Activity Plan'!IJ170</f>
        <v>44134</v>
      </c>
      <c r="BV5" s="3166">
        <f>'3b Activity Plan'!IK170</f>
        <v>44141</v>
      </c>
      <c r="BW5" s="3166">
        <f>'3b Activity Plan'!IL170</f>
        <v>44148</v>
      </c>
      <c r="BX5" s="3166">
        <f>'3b Activity Plan'!IM170</f>
        <v>44155</v>
      </c>
      <c r="BY5" s="3166">
        <f>'3b Activity Plan'!IN170</f>
        <v>44162</v>
      </c>
      <c r="BZ5" s="3166">
        <f>'3b Activity Plan'!IO170</f>
        <v>44169</v>
      </c>
      <c r="CA5" s="3166">
        <f>'3b Activity Plan'!IP170</f>
        <v>44176</v>
      </c>
      <c r="CB5" s="3166">
        <f>'3b Activity Plan'!IQ170</f>
        <v>44183</v>
      </c>
      <c r="CC5" s="3166">
        <f>'3b Activity Plan'!IR170</f>
        <v>44190</v>
      </c>
      <c r="CD5" s="3166">
        <f>'3b Activity Plan'!IS170</f>
        <v>44197</v>
      </c>
      <c r="CE5" s="3166">
        <f>'3b Activity Plan'!IT170</f>
        <v>44204</v>
      </c>
      <c r="CF5" s="3166">
        <f>'3b Activity Plan'!IU170</f>
        <v>44211</v>
      </c>
      <c r="CG5" s="3166">
        <f>'3b Activity Plan'!IV170</f>
        <v>44218</v>
      </c>
      <c r="CH5" s="3166">
        <f>'3b Activity Plan'!IW170</f>
        <v>44225</v>
      </c>
      <c r="CI5" s="3166">
        <f>'3b Activity Plan'!IX170</f>
        <v>44232</v>
      </c>
      <c r="CJ5" s="3166">
        <f>'3b Activity Plan'!IY170</f>
        <v>44239</v>
      </c>
      <c r="CK5" s="3166">
        <f>'3b Activity Plan'!IZ170</f>
        <v>44246</v>
      </c>
      <c r="CL5" s="3166">
        <f>'3b Activity Plan'!JA170</f>
        <v>44253</v>
      </c>
      <c r="CM5" s="3166">
        <f>'3b Activity Plan'!JB170</f>
        <v>44260</v>
      </c>
      <c r="CN5" s="3166">
        <f>'3b Activity Plan'!JC170</f>
        <v>44267</v>
      </c>
      <c r="CO5" s="3166">
        <f>'3b Activity Plan'!JD170</f>
        <v>44274</v>
      </c>
      <c r="CP5" s="3166">
        <f>'3b Activity Plan'!JE170</f>
        <v>44281</v>
      </c>
      <c r="CQ5" s="3166">
        <f>'3b Activity Plan'!JF170</f>
        <v>44288</v>
      </c>
      <c r="CR5" s="3166">
        <f>'3b Activity Plan'!JG170</f>
        <v>44295</v>
      </c>
      <c r="CS5" s="3166">
        <f>'3b Activity Plan'!JH170</f>
        <v>44302</v>
      </c>
      <c r="CT5" s="3166">
        <f>'3b Activity Plan'!JI170</f>
        <v>44309</v>
      </c>
      <c r="CU5" s="3166">
        <f>'3b Activity Plan'!JJ170</f>
        <v>44316</v>
      </c>
      <c r="CV5" s="3166">
        <f>'3b Activity Plan'!JK170</f>
        <v>44323</v>
      </c>
      <c r="CW5" s="3166">
        <f>'3b Activity Plan'!JL170</f>
        <v>44330</v>
      </c>
      <c r="CX5" s="3166">
        <f>'3b Activity Plan'!JM170</f>
        <v>44337</v>
      </c>
      <c r="CY5" s="3166">
        <f>'3b Activity Plan'!JN170</f>
        <v>44344</v>
      </c>
      <c r="CZ5" s="3166">
        <f>'3b Activity Plan'!JO170</f>
        <v>44351</v>
      </c>
      <c r="DA5" s="3166">
        <f>'3b Activity Plan'!JP170</f>
        <v>44358</v>
      </c>
      <c r="DB5" s="3166">
        <f>'3b Activity Plan'!JQ170</f>
        <v>44365</v>
      </c>
      <c r="DC5" s="3166">
        <f>'3b Activity Plan'!JR170</f>
        <v>44372</v>
      </c>
      <c r="DD5" s="3166">
        <f>'3b Activity Plan'!JS170</f>
        <v>44379</v>
      </c>
      <c r="DE5" s="3166">
        <f>'3b Activity Plan'!JT170</f>
        <v>44386</v>
      </c>
      <c r="DF5" s="3166">
        <f>'3b Activity Plan'!JU170</f>
        <v>44393</v>
      </c>
      <c r="DG5" s="3166">
        <f>'3b Activity Plan'!JV170</f>
        <v>44400</v>
      </c>
      <c r="DH5" s="3166">
        <f>'3b Activity Plan'!JW170</f>
        <v>44407</v>
      </c>
      <c r="DI5" s="3166">
        <f>'3b Activity Plan'!JX170</f>
        <v>44414</v>
      </c>
      <c r="DJ5" s="3166">
        <f>'3b Activity Plan'!JY170</f>
        <v>44421</v>
      </c>
      <c r="DK5" s="3166">
        <f>'3b Activity Plan'!JZ170</f>
        <v>44428</v>
      </c>
      <c r="DL5" s="3166">
        <f>'3b Activity Plan'!KA170</f>
        <v>44435</v>
      </c>
      <c r="DM5" s="3166">
        <f>'3b Activity Plan'!KB170</f>
        <v>44442</v>
      </c>
      <c r="DN5" s="3166">
        <f>'3b Activity Plan'!KC170</f>
        <v>44449</v>
      </c>
      <c r="DO5" s="3166">
        <f>'3b Activity Plan'!KD170</f>
        <v>44456</v>
      </c>
      <c r="DP5" s="3166">
        <f>'3b Activity Plan'!KE170</f>
        <v>44463</v>
      </c>
      <c r="DQ5" s="3166">
        <f>'3b Activity Plan'!KF170</f>
        <v>44470</v>
      </c>
      <c r="DR5" s="3166">
        <f>'3b Activity Plan'!KG170</f>
        <v>44477</v>
      </c>
      <c r="DS5" s="3166">
        <f>'3b Activity Plan'!KH170</f>
        <v>44484</v>
      </c>
      <c r="DT5" s="3166">
        <f>'3b Activity Plan'!KI170</f>
        <v>44491</v>
      </c>
      <c r="DU5" s="3166">
        <f>'3b Activity Plan'!KJ170</f>
        <v>44498</v>
      </c>
      <c r="DV5" s="3166">
        <f>'3b Activity Plan'!KK170</f>
        <v>44505</v>
      </c>
      <c r="DW5" s="3166">
        <f>'3b Activity Plan'!KL170</f>
        <v>44512</v>
      </c>
      <c r="DX5" s="3166">
        <f>'3b Activity Plan'!KM170</f>
        <v>44519</v>
      </c>
      <c r="DY5" s="3166">
        <f>'3b Activity Plan'!KN170</f>
        <v>44526</v>
      </c>
      <c r="DZ5" s="3166">
        <f>'3b Activity Plan'!KO170</f>
        <v>44533</v>
      </c>
      <c r="EA5" s="3166">
        <f>'3b Activity Plan'!KP170</f>
        <v>44540</v>
      </c>
      <c r="EB5" s="3166">
        <f>'3b Activity Plan'!KQ170</f>
        <v>44547</v>
      </c>
      <c r="EC5" s="3166">
        <f>'3b Activity Plan'!KR170</f>
        <v>44554</v>
      </c>
      <c r="ED5" s="3166">
        <f>'3b Activity Plan'!KS170</f>
        <v>44561</v>
      </c>
      <c r="EE5" s="3166">
        <f>'3b Activity Plan'!KT170</f>
        <v>44568</v>
      </c>
      <c r="EF5" s="3166">
        <f>'3b Activity Plan'!KU170</f>
        <v>44575</v>
      </c>
      <c r="EG5" s="3166">
        <f>'3b Activity Plan'!KV170</f>
        <v>44582</v>
      </c>
      <c r="EH5" s="3166">
        <f>'3b Activity Plan'!KW170</f>
        <v>44589</v>
      </c>
      <c r="EI5" s="3166">
        <f>'3b Activity Plan'!KX170</f>
        <v>44596</v>
      </c>
      <c r="EJ5" s="3166">
        <f>'3b Activity Plan'!KY170</f>
        <v>44603</v>
      </c>
      <c r="EK5" s="3166">
        <f>'3b Activity Plan'!KZ170</f>
        <v>44610</v>
      </c>
      <c r="EL5" s="3166">
        <f>'3b Activity Plan'!LA170</f>
        <v>44617</v>
      </c>
      <c r="EM5" s="3166">
        <f>'3b Activity Plan'!LB170</f>
        <v>44624</v>
      </c>
      <c r="EN5" s="3166">
        <f>'3b Activity Plan'!LC170</f>
        <v>44631</v>
      </c>
      <c r="EO5" s="3166">
        <f>'3b Activity Plan'!LD170</f>
        <v>44638</v>
      </c>
      <c r="EP5" s="3166">
        <f>'3b Activity Plan'!LE170</f>
        <v>44645</v>
      </c>
      <c r="EQ5" s="3166">
        <f>'3b Activity Plan'!LF170</f>
        <v>44652</v>
      </c>
      <c r="ER5" s="3166">
        <f>'3b Activity Plan'!LG170</f>
        <v>44659</v>
      </c>
      <c r="ES5" s="3166">
        <f>'3b Activity Plan'!LH170</f>
        <v>44666</v>
      </c>
      <c r="ET5" s="3166">
        <f>'3b Activity Plan'!LI170</f>
        <v>44673</v>
      </c>
      <c r="EU5" s="3166">
        <f>'3b Activity Plan'!LJ170</f>
        <v>44680</v>
      </c>
      <c r="EV5" s="3166">
        <f>'3b Activity Plan'!LK170</f>
        <v>44687</v>
      </c>
      <c r="EW5" s="3166">
        <f>'3b Activity Plan'!LL170</f>
        <v>44694</v>
      </c>
      <c r="EX5" s="3166">
        <f>'3b Activity Plan'!LM170</f>
        <v>44701</v>
      </c>
      <c r="EY5" s="3166">
        <f>'3b Activity Plan'!LN170</f>
        <v>44708</v>
      </c>
      <c r="EZ5" s="3166">
        <f>'3b Activity Plan'!LO170</f>
        <v>44715</v>
      </c>
      <c r="FA5" s="3166">
        <f>'3b Activity Plan'!LP170</f>
        <v>44722</v>
      </c>
      <c r="FB5" s="3166"/>
    </row>
    <row r="6" spans="1:158" s="749" customFormat="1" ht="0.15" customHeight="1" x14ac:dyDescent="0.25">
      <c r="A6" s="258"/>
      <c r="B6" s="258"/>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c r="AC6" s="258"/>
      <c r="AD6" s="3167" t="s">
        <v>1634</v>
      </c>
      <c r="AE6" s="3168">
        <f>'3b Activity Plan'!GT154</f>
        <v>113.58333333333333</v>
      </c>
      <c r="AF6" s="3168">
        <f>'3b Activity Plan'!GU154</f>
        <v>113.58333333333333</v>
      </c>
      <c r="AG6" s="3168">
        <f>'3b Activity Plan'!GV154</f>
        <v>113.58333333333333</v>
      </c>
      <c r="AH6" s="3168">
        <f>'3b Activity Plan'!GW154</f>
        <v>113.58333333333333</v>
      </c>
      <c r="AI6" s="3168">
        <f>'3b Activity Plan'!GX154</f>
        <v>113.58333333333333</v>
      </c>
      <c r="AJ6" s="3168">
        <f>'3b Activity Plan'!GY154</f>
        <v>113.58333333333333</v>
      </c>
      <c r="AK6" s="3168">
        <f>'3b Activity Plan'!GZ154</f>
        <v>113.58333333333333</v>
      </c>
      <c r="AL6" s="3168">
        <f>'3b Activity Plan'!HA154</f>
        <v>113.58333333333333</v>
      </c>
      <c r="AM6" s="3168">
        <f>'3b Activity Plan'!HB154</f>
        <v>113.58333333333333</v>
      </c>
      <c r="AN6" s="3168">
        <f>'3b Activity Plan'!HC154</f>
        <v>113.58333333333333</v>
      </c>
      <c r="AO6" s="3168">
        <f>'3b Activity Plan'!HD154</f>
        <v>113.58333333333333</v>
      </c>
      <c r="AP6" s="3168">
        <f>'3b Activity Plan'!HE154</f>
        <v>113.58333333333333</v>
      </c>
      <c r="AQ6" s="3168">
        <f>'3b Activity Plan'!HF154</f>
        <v>0</v>
      </c>
      <c r="AR6" s="3168">
        <f>'3b Activity Plan'!HG154</f>
        <v>0</v>
      </c>
      <c r="AS6" s="3168">
        <f>'3b Activity Plan'!HH154</f>
        <v>0</v>
      </c>
      <c r="AT6" s="3168">
        <f>'3b Activity Plan'!HI154</f>
        <v>0</v>
      </c>
      <c r="AU6" s="3168">
        <f>'3b Activity Plan'!HJ154</f>
        <v>0</v>
      </c>
      <c r="AV6" s="3168">
        <f>'3b Activity Plan'!HK154</f>
        <v>0</v>
      </c>
      <c r="AW6" s="3168">
        <f>'3b Activity Plan'!HL154</f>
        <v>0</v>
      </c>
      <c r="AX6" s="3168">
        <f>'3b Activity Plan'!HM154</f>
        <v>0</v>
      </c>
      <c r="AY6" s="3168">
        <f>'3b Activity Plan'!HN154</f>
        <v>0</v>
      </c>
      <c r="AZ6" s="3168">
        <f>'3b Activity Plan'!HO154</f>
        <v>0</v>
      </c>
      <c r="BA6" s="3168">
        <f>'3b Activity Plan'!HP154</f>
        <v>0</v>
      </c>
      <c r="BB6" s="3168">
        <f>'3b Activity Plan'!HQ154</f>
        <v>0</v>
      </c>
      <c r="BC6" s="3168">
        <f>'3b Activity Plan'!HR154</f>
        <v>0</v>
      </c>
      <c r="BD6" s="3168">
        <f>'3b Activity Plan'!HS154</f>
        <v>0</v>
      </c>
      <c r="BE6" s="3168">
        <f>'3b Activity Plan'!HT154</f>
        <v>0</v>
      </c>
      <c r="BF6" s="3168">
        <f>'3b Activity Plan'!HU154</f>
        <v>0</v>
      </c>
      <c r="BG6" s="3168">
        <f>'3b Activity Plan'!HV154</f>
        <v>0</v>
      </c>
      <c r="BH6" s="3168">
        <f>'3b Activity Plan'!HW154</f>
        <v>0</v>
      </c>
      <c r="BI6" s="3168">
        <f>'3b Activity Plan'!HX154</f>
        <v>0</v>
      </c>
      <c r="BJ6" s="3168">
        <f>'3b Activity Plan'!HY154</f>
        <v>0</v>
      </c>
      <c r="BK6" s="3168">
        <f>'3b Activity Plan'!HZ154</f>
        <v>0</v>
      </c>
      <c r="BL6" s="3168">
        <f>'3b Activity Plan'!IA154</f>
        <v>0</v>
      </c>
      <c r="BM6" s="3168">
        <f>'3b Activity Plan'!IB154</f>
        <v>0</v>
      </c>
      <c r="BN6" s="3168">
        <f>'3b Activity Plan'!IC154</f>
        <v>0</v>
      </c>
      <c r="BO6" s="3168">
        <f>'3b Activity Plan'!ID154</f>
        <v>0</v>
      </c>
      <c r="BP6" s="3168">
        <f>'3b Activity Plan'!IE154</f>
        <v>0</v>
      </c>
      <c r="BQ6" s="3168">
        <f>'3b Activity Plan'!IF154</f>
        <v>0</v>
      </c>
      <c r="BR6" s="3168">
        <f>'3b Activity Plan'!IG154</f>
        <v>0</v>
      </c>
      <c r="BS6" s="3168">
        <f>'3b Activity Plan'!IH154</f>
        <v>0</v>
      </c>
      <c r="BT6" s="3168">
        <f>'3b Activity Plan'!II154</f>
        <v>0</v>
      </c>
      <c r="BU6" s="3168">
        <f>'3b Activity Plan'!IJ154</f>
        <v>0</v>
      </c>
      <c r="BV6" s="3168">
        <f>'3b Activity Plan'!IK154</f>
        <v>0</v>
      </c>
      <c r="BW6" s="3168">
        <f>'3b Activity Plan'!IL154</f>
        <v>0</v>
      </c>
      <c r="BX6" s="3168">
        <f>'3b Activity Plan'!IM154</f>
        <v>0</v>
      </c>
      <c r="BY6" s="3168">
        <f>'3b Activity Plan'!IN154</f>
        <v>0</v>
      </c>
      <c r="BZ6" s="3168">
        <f>'3b Activity Plan'!IO154</f>
        <v>0</v>
      </c>
      <c r="CA6" s="3168">
        <f>'3b Activity Plan'!IP154</f>
        <v>0</v>
      </c>
      <c r="CB6" s="3168">
        <f>'3b Activity Plan'!IQ154</f>
        <v>0</v>
      </c>
      <c r="CC6" s="3168">
        <f>'3b Activity Plan'!IR154</f>
        <v>0</v>
      </c>
      <c r="CD6" s="3168">
        <f>'3b Activity Plan'!IS154</f>
        <v>0</v>
      </c>
      <c r="CE6" s="3168">
        <f>'3b Activity Plan'!IT154</f>
        <v>0</v>
      </c>
      <c r="CF6" s="3168">
        <f>'3b Activity Plan'!IU154</f>
        <v>0</v>
      </c>
      <c r="CG6" s="3168">
        <f>'3b Activity Plan'!IV154</f>
        <v>0</v>
      </c>
      <c r="CH6" s="3168">
        <f>'3b Activity Plan'!IW154</f>
        <v>0</v>
      </c>
      <c r="CI6" s="3168">
        <f>'3b Activity Plan'!IX154</f>
        <v>0</v>
      </c>
      <c r="CJ6" s="3168">
        <f>'3b Activity Plan'!IY154</f>
        <v>0</v>
      </c>
      <c r="CK6" s="3168">
        <f>'3b Activity Plan'!IZ154</f>
        <v>0</v>
      </c>
      <c r="CL6" s="3168">
        <f>'3b Activity Plan'!JA154</f>
        <v>0</v>
      </c>
      <c r="CM6" s="3168">
        <f>'3b Activity Plan'!JB154</f>
        <v>0</v>
      </c>
      <c r="CN6" s="3168">
        <f>'3b Activity Plan'!JC154</f>
        <v>0</v>
      </c>
      <c r="CO6" s="3168">
        <f>'3b Activity Plan'!JD154</f>
        <v>0</v>
      </c>
      <c r="CP6" s="3168">
        <f>'3b Activity Plan'!JE154</f>
        <v>0</v>
      </c>
      <c r="CQ6" s="3168">
        <f>'3b Activity Plan'!JF154</f>
        <v>0</v>
      </c>
      <c r="CR6" s="3168">
        <f>'3b Activity Plan'!JG154</f>
        <v>0</v>
      </c>
      <c r="CS6" s="3168">
        <f>'3b Activity Plan'!JH154</f>
        <v>0</v>
      </c>
      <c r="CT6" s="3168">
        <f>'3b Activity Plan'!JI154</f>
        <v>0</v>
      </c>
      <c r="CU6" s="3168">
        <f>'3b Activity Plan'!JJ154</f>
        <v>0</v>
      </c>
      <c r="CV6" s="3168">
        <f>'3b Activity Plan'!JK154</f>
        <v>0</v>
      </c>
      <c r="CW6" s="3168">
        <f>'3b Activity Plan'!JL154</f>
        <v>0</v>
      </c>
      <c r="CX6" s="3168">
        <f>'3b Activity Plan'!JM154</f>
        <v>0</v>
      </c>
      <c r="CY6" s="3168">
        <f>'3b Activity Plan'!JN154</f>
        <v>0</v>
      </c>
      <c r="CZ6" s="3168">
        <f>'3b Activity Plan'!JO154</f>
        <v>0</v>
      </c>
      <c r="DA6" s="3168">
        <f>'3b Activity Plan'!JP154</f>
        <v>0</v>
      </c>
      <c r="DB6" s="3168">
        <f>'3b Activity Plan'!JQ154</f>
        <v>0</v>
      </c>
      <c r="DC6" s="3168">
        <f>'3b Activity Plan'!JR154</f>
        <v>0</v>
      </c>
      <c r="DD6" s="3168">
        <f>'3b Activity Plan'!JS154</f>
        <v>0</v>
      </c>
      <c r="DE6" s="3168">
        <f>'3b Activity Plan'!JT154</f>
        <v>0</v>
      </c>
      <c r="DF6" s="3168">
        <f>'3b Activity Plan'!JU154</f>
        <v>0</v>
      </c>
      <c r="DG6" s="3168">
        <f>'3b Activity Plan'!JV154</f>
        <v>0</v>
      </c>
      <c r="DH6" s="3168">
        <f>'3b Activity Plan'!JW154</f>
        <v>0</v>
      </c>
      <c r="DI6" s="3168">
        <f>'3b Activity Plan'!JX154</f>
        <v>0</v>
      </c>
      <c r="DJ6" s="3168">
        <f>'3b Activity Plan'!JY154</f>
        <v>0</v>
      </c>
      <c r="DK6" s="3168">
        <f>'3b Activity Plan'!JZ154</f>
        <v>0</v>
      </c>
      <c r="DL6" s="3168">
        <f>'3b Activity Plan'!KA154</f>
        <v>0</v>
      </c>
      <c r="DM6" s="3168">
        <f>'3b Activity Plan'!KB154</f>
        <v>0</v>
      </c>
      <c r="DN6" s="3168">
        <f>'3b Activity Plan'!KC154</f>
        <v>0</v>
      </c>
      <c r="DO6" s="3168">
        <f>'3b Activity Plan'!KD154</f>
        <v>0</v>
      </c>
      <c r="DP6" s="3168">
        <f>'3b Activity Plan'!KE154</f>
        <v>0</v>
      </c>
      <c r="DQ6" s="3168">
        <f>'3b Activity Plan'!KF154</f>
        <v>0</v>
      </c>
      <c r="DR6" s="3168">
        <f>'3b Activity Plan'!KG154</f>
        <v>0</v>
      </c>
      <c r="DS6" s="3168">
        <f>'3b Activity Plan'!KH154</f>
        <v>0</v>
      </c>
      <c r="DT6" s="3168">
        <f>'3b Activity Plan'!KI154</f>
        <v>0</v>
      </c>
      <c r="DU6" s="3168">
        <f>'3b Activity Plan'!KJ154</f>
        <v>0</v>
      </c>
      <c r="DV6" s="3168">
        <f>'3b Activity Plan'!KK154</f>
        <v>0</v>
      </c>
      <c r="DW6" s="3168">
        <f>'3b Activity Plan'!KL154</f>
        <v>0</v>
      </c>
      <c r="DX6" s="3168">
        <f>'3b Activity Plan'!KM154</f>
        <v>0</v>
      </c>
      <c r="DY6" s="3168">
        <f>'3b Activity Plan'!KN154</f>
        <v>0</v>
      </c>
      <c r="DZ6" s="3168">
        <f>'3b Activity Plan'!KO154</f>
        <v>0</v>
      </c>
      <c r="EA6" s="3168">
        <f>'3b Activity Plan'!KP154</f>
        <v>0</v>
      </c>
      <c r="EB6" s="3168">
        <f>'3b Activity Plan'!KQ154</f>
        <v>0</v>
      </c>
      <c r="EC6" s="3168">
        <f>'3b Activity Plan'!KR154</f>
        <v>0</v>
      </c>
      <c r="ED6" s="3168">
        <f>'3b Activity Plan'!KS154</f>
        <v>0</v>
      </c>
      <c r="EE6" s="3168">
        <f>'3b Activity Plan'!KT154</f>
        <v>0</v>
      </c>
      <c r="EF6" s="3168">
        <f>'3b Activity Plan'!KU154</f>
        <v>0</v>
      </c>
      <c r="EG6" s="3168">
        <f>'3b Activity Plan'!KV154</f>
        <v>0</v>
      </c>
      <c r="EH6" s="3168">
        <f>'3b Activity Plan'!KW154</f>
        <v>0</v>
      </c>
      <c r="EI6" s="3168">
        <f>'3b Activity Plan'!KX154</f>
        <v>0</v>
      </c>
      <c r="EJ6" s="3168">
        <f>'3b Activity Plan'!KY154</f>
        <v>0</v>
      </c>
      <c r="EK6" s="3168">
        <f>'3b Activity Plan'!KZ154</f>
        <v>0</v>
      </c>
      <c r="EL6" s="3168">
        <f>'3b Activity Plan'!LA154</f>
        <v>0</v>
      </c>
      <c r="EM6" s="3168">
        <f>'3b Activity Plan'!LB154</f>
        <v>0</v>
      </c>
      <c r="EN6" s="3168">
        <f>'3b Activity Plan'!LC154</f>
        <v>0</v>
      </c>
      <c r="EO6" s="3168">
        <f>'3b Activity Plan'!LD154</f>
        <v>0</v>
      </c>
      <c r="EP6" s="3168">
        <f>'3b Activity Plan'!LE154</f>
        <v>0</v>
      </c>
      <c r="EQ6" s="3168">
        <f>'3b Activity Plan'!LF154</f>
        <v>0</v>
      </c>
      <c r="ER6" s="3168">
        <f>'3b Activity Plan'!LG154</f>
        <v>0</v>
      </c>
      <c r="ES6" s="3168">
        <f>'3b Activity Plan'!LH154</f>
        <v>0</v>
      </c>
      <c r="ET6" s="3168">
        <f>'3b Activity Plan'!LI154</f>
        <v>0</v>
      </c>
      <c r="EU6" s="3168">
        <f>'3b Activity Plan'!LJ154</f>
        <v>0</v>
      </c>
      <c r="EV6" s="3168">
        <f>'3b Activity Plan'!LK154</f>
        <v>0</v>
      </c>
      <c r="EW6" s="3168">
        <f>'3b Activity Plan'!LL154</f>
        <v>0</v>
      </c>
      <c r="EX6" s="3168">
        <f>'3b Activity Plan'!LM154</f>
        <v>0</v>
      </c>
      <c r="EY6" s="3168">
        <f>'3b Activity Plan'!LN154</f>
        <v>0</v>
      </c>
      <c r="EZ6" s="3168">
        <f>'3b Activity Plan'!LO154</f>
        <v>0</v>
      </c>
      <c r="FA6" s="3168">
        <f>'3b Activity Plan'!LP154</f>
        <v>0</v>
      </c>
      <c r="FB6" s="3168"/>
    </row>
    <row r="7" spans="1:158" s="749" customFormat="1" ht="0.15" customHeight="1" x14ac:dyDescent="0.25">
      <c r="A7" s="258"/>
      <c r="B7" s="258"/>
      <c r="C7" s="258"/>
      <c r="D7" s="258"/>
      <c r="E7" s="258"/>
      <c r="F7" s="258"/>
      <c r="G7" s="258"/>
      <c r="H7" s="258"/>
      <c r="I7" s="258"/>
      <c r="J7" s="258"/>
      <c r="K7" s="258"/>
      <c r="L7" s="258"/>
      <c r="M7" s="258"/>
      <c r="N7" s="258"/>
      <c r="O7" s="258"/>
      <c r="P7" s="258"/>
      <c r="Q7" s="258"/>
      <c r="R7" s="258"/>
      <c r="S7" s="258"/>
      <c r="T7" s="258"/>
      <c r="U7" s="258"/>
      <c r="V7" s="258"/>
      <c r="W7" s="258"/>
      <c r="X7" s="258"/>
      <c r="Y7" s="258"/>
      <c r="Z7" s="258"/>
      <c r="AA7" s="258"/>
      <c r="AB7" s="258"/>
      <c r="AC7" s="258"/>
      <c r="AD7" s="3167" t="s">
        <v>4076</v>
      </c>
      <c r="AE7" s="3169">
        <f>'3b Activity Plan'!GT21</f>
        <v>1</v>
      </c>
      <c r="AF7" s="3169">
        <f>'3b Activity Plan'!GU21</f>
        <v>2</v>
      </c>
      <c r="AG7" s="3169">
        <f>'3b Activity Plan'!GV21</f>
        <v>3</v>
      </c>
      <c r="AH7" s="3169">
        <f>'3b Activity Plan'!GW21</f>
        <v>4</v>
      </c>
      <c r="AI7" s="3169">
        <f>'3b Activity Plan'!GX21</f>
        <v>5</v>
      </c>
      <c r="AJ7" s="3169">
        <f>'3b Activity Plan'!GY21</f>
        <v>6</v>
      </c>
      <c r="AK7" s="3169">
        <f>'3b Activity Plan'!GZ21</f>
        <v>7</v>
      </c>
      <c r="AL7" s="3169">
        <f>'3b Activity Plan'!HA21</f>
        <v>8</v>
      </c>
      <c r="AM7" s="3169">
        <f>'3b Activity Plan'!HB21</f>
        <v>9</v>
      </c>
      <c r="AN7" s="3169">
        <f>'3b Activity Plan'!HC21</f>
        <v>10</v>
      </c>
      <c r="AO7" s="3169">
        <f>'3b Activity Plan'!HD21</f>
        <v>11</v>
      </c>
      <c r="AP7" s="3169">
        <f>'3b Activity Plan'!HE21</f>
        <v>12</v>
      </c>
      <c r="AQ7" s="3169">
        <f>'3b Activity Plan'!HF21</f>
        <v>0</v>
      </c>
      <c r="AR7" s="3169">
        <f>'3b Activity Plan'!HG21</f>
        <v>0</v>
      </c>
      <c r="AS7" s="3169">
        <f>'3b Activity Plan'!HH21</f>
        <v>0</v>
      </c>
      <c r="AT7" s="3169">
        <f>'3b Activity Plan'!HI21</f>
        <v>0</v>
      </c>
      <c r="AU7" s="3169">
        <f>'3b Activity Plan'!HJ21</f>
        <v>0</v>
      </c>
      <c r="AV7" s="3169">
        <f>'3b Activity Plan'!HK21</f>
        <v>0</v>
      </c>
      <c r="AW7" s="3169">
        <f>'3b Activity Plan'!HL21</f>
        <v>0</v>
      </c>
      <c r="AX7" s="3169">
        <f>'3b Activity Plan'!HM21</f>
        <v>0</v>
      </c>
      <c r="AY7" s="3169">
        <f>'3b Activity Plan'!HN21</f>
        <v>0</v>
      </c>
      <c r="AZ7" s="3169">
        <f>'3b Activity Plan'!HO21</f>
        <v>0</v>
      </c>
      <c r="BA7" s="3169">
        <f>'3b Activity Plan'!HP21</f>
        <v>0</v>
      </c>
      <c r="BB7" s="3169">
        <f>'3b Activity Plan'!HQ21</f>
        <v>0</v>
      </c>
      <c r="BC7" s="3169">
        <f>'3b Activity Plan'!HR21</f>
        <v>0</v>
      </c>
      <c r="BD7" s="3169">
        <f>'3b Activity Plan'!HS21</f>
        <v>0</v>
      </c>
      <c r="BE7" s="3169">
        <f>'3b Activity Plan'!HT21</f>
        <v>0</v>
      </c>
      <c r="BF7" s="3169">
        <f>'3b Activity Plan'!HU21</f>
        <v>0</v>
      </c>
      <c r="BG7" s="3169">
        <f>'3b Activity Plan'!HV21</f>
        <v>0</v>
      </c>
      <c r="BH7" s="3169">
        <f>'3b Activity Plan'!HW21</f>
        <v>0</v>
      </c>
      <c r="BI7" s="3169">
        <f>'3b Activity Plan'!HX21</f>
        <v>0</v>
      </c>
      <c r="BJ7" s="3169">
        <f>'3b Activity Plan'!HY21</f>
        <v>0</v>
      </c>
      <c r="BK7" s="3169">
        <f>'3b Activity Plan'!HZ21</f>
        <v>0</v>
      </c>
      <c r="BL7" s="3169">
        <f>'3b Activity Plan'!IA21</f>
        <v>0</v>
      </c>
      <c r="BM7" s="3169">
        <f>'3b Activity Plan'!IB21</f>
        <v>0</v>
      </c>
      <c r="BN7" s="3169">
        <f>'3b Activity Plan'!IC21</f>
        <v>0</v>
      </c>
      <c r="BO7" s="3169">
        <f>'3b Activity Plan'!ID21</f>
        <v>0</v>
      </c>
      <c r="BP7" s="3169">
        <f>'3b Activity Plan'!IE21</f>
        <v>0</v>
      </c>
      <c r="BQ7" s="3169">
        <f>'3b Activity Plan'!IF21</f>
        <v>0</v>
      </c>
      <c r="BR7" s="3169">
        <f>'3b Activity Plan'!IG21</f>
        <v>0</v>
      </c>
      <c r="BS7" s="3169">
        <f>'3b Activity Plan'!IH21</f>
        <v>0</v>
      </c>
      <c r="BT7" s="3169">
        <f>'3b Activity Plan'!II21</f>
        <v>0</v>
      </c>
      <c r="BU7" s="3169">
        <f>'3b Activity Plan'!IJ21</f>
        <v>0</v>
      </c>
      <c r="BV7" s="3169">
        <f>'3b Activity Plan'!IK21</f>
        <v>0</v>
      </c>
      <c r="BW7" s="3169">
        <f>'3b Activity Plan'!IL21</f>
        <v>0</v>
      </c>
      <c r="BX7" s="3169">
        <f>'3b Activity Plan'!IM21</f>
        <v>0</v>
      </c>
      <c r="BY7" s="3169">
        <f>'3b Activity Plan'!IN21</f>
        <v>0</v>
      </c>
      <c r="BZ7" s="3169">
        <f>'3b Activity Plan'!IO21</f>
        <v>0</v>
      </c>
      <c r="CA7" s="3169">
        <f>'3b Activity Plan'!IP21</f>
        <v>0</v>
      </c>
      <c r="CB7" s="3169">
        <f>'3b Activity Plan'!IQ21</f>
        <v>0</v>
      </c>
      <c r="CC7" s="3169">
        <f>'3b Activity Plan'!IR21</f>
        <v>0</v>
      </c>
      <c r="CD7" s="3169">
        <f>'3b Activity Plan'!IS21</f>
        <v>0</v>
      </c>
      <c r="CE7" s="3169">
        <f>'3b Activity Plan'!IT21</f>
        <v>0</v>
      </c>
      <c r="CF7" s="3169">
        <f>'3b Activity Plan'!IU21</f>
        <v>0</v>
      </c>
      <c r="CG7" s="3169">
        <f>'3b Activity Plan'!IV21</f>
        <v>0</v>
      </c>
      <c r="CH7" s="3169">
        <f>'3b Activity Plan'!IW21</f>
        <v>0</v>
      </c>
      <c r="CI7" s="3169">
        <f>'3b Activity Plan'!IX21</f>
        <v>0</v>
      </c>
      <c r="CJ7" s="3169">
        <f>'3b Activity Plan'!IY21</f>
        <v>0</v>
      </c>
      <c r="CK7" s="3169">
        <f>'3b Activity Plan'!IZ21</f>
        <v>0</v>
      </c>
      <c r="CL7" s="3169">
        <f>'3b Activity Plan'!JA21</f>
        <v>0</v>
      </c>
      <c r="CM7" s="3169">
        <f>'3b Activity Plan'!JB21</f>
        <v>0</v>
      </c>
      <c r="CN7" s="3169">
        <f>'3b Activity Plan'!JC21</f>
        <v>0</v>
      </c>
      <c r="CO7" s="3169">
        <f>'3b Activity Plan'!JD21</f>
        <v>0</v>
      </c>
      <c r="CP7" s="3169">
        <f>'3b Activity Plan'!JE21</f>
        <v>0</v>
      </c>
      <c r="CQ7" s="3169">
        <f>'3b Activity Plan'!JF21</f>
        <v>0</v>
      </c>
      <c r="CR7" s="3169">
        <f>'3b Activity Plan'!JG21</f>
        <v>0</v>
      </c>
      <c r="CS7" s="3169">
        <f>'3b Activity Plan'!JH21</f>
        <v>0</v>
      </c>
      <c r="CT7" s="3169">
        <f>'3b Activity Plan'!JI21</f>
        <v>0</v>
      </c>
      <c r="CU7" s="3169">
        <f>'3b Activity Plan'!JJ21</f>
        <v>0</v>
      </c>
      <c r="CV7" s="3169">
        <f>'3b Activity Plan'!JK21</f>
        <v>0</v>
      </c>
      <c r="CW7" s="3169">
        <f>'3b Activity Plan'!JL21</f>
        <v>0</v>
      </c>
      <c r="CX7" s="3169">
        <f>'3b Activity Plan'!JM21</f>
        <v>0</v>
      </c>
      <c r="CY7" s="3169">
        <f>'3b Activity Plan'!JN21</f>
        <v>0</v>
      </c>
      <c r="CZ7" s="3169">
        <f>'3b Activity Plan'!JO21</f>
        <v>0</v>
      </c>
      <c r="DA7" s="3169">
        <f>'3b Activity Plan'!JP21</f>
        <v>0</v>
      </c>
      <c r="DB7" s="3169">
        <f>'3b Activity Plan'!JQ21</f>
        <v>0</v>
      </c>
      <c r="DC7" s="3169">
        <f>'3b Activity Plan'!JR21</f>
        <v>0</v>
      </c>
      <c r="DD7" s="3169">
        <f>'3b Activity Plan'!JS21</f>
        <v>0</v>
      </c>
      <c r="DE7" s="3169">
        <f>'3b Activity Plan'!JT21</f>
        <v>0</v>
      </c>
      <c r="DF7" s="3169">
        <f>'3b Activity Plan'!JU21</f>
        <v>0</v>
      </c>
      <c r="DG7" s="3169">
        <f>'3b Activity Plan'!JV21</f>
        <v>0</v>
      </c>
      <c r="DH7" s="3169">
        <f>'3b Activity Plan'!JW21</f>
        <v>0</v>
      </c>
      <c r="DI7" s="3169">
        <f>'3b Activity Plan'!JX21</f>
        <v>0</v>
      </c>
      <c r="DJ7" s="3169">
        <f>'3b Activity Plan'!JY21</f>
        <v>0</v>
      </c>
      <c r="DK7" s="3169">
        <f>'3b Activity Plan'!JZ21</f>
        <v>0</v>
      </c>
      <c r="DL7" s="3169">
        <f>'3b Activity Plan'!KA21</f>
        <v>0</v>
      </c>
      <c r="DM7" s="3169">
        <f>'3b Activity Plan'!KB21</f>
        <v>0</v>
      </c>
      <c r="DN7" s="3169">
        <f>'3b Activity Plan'!KC21</f>
        <v>0</v>
      </c>
      <c r="DO7" s="3169">
        <f>'3b Activity Plan'!KD21</f>
        <v>0</v>
      </c>
      <c r="DP7" s="3169">
        <f>'3b Activity Plan'!KE21</f>
        <v>0</v>
      </c>
      <c r="DQ7" s="3169">
        <f>'3b Activity Plan'!KF21</f>
        <v>0</v>
      </c>
      <c r="DR7" s="3169">
        <f>'3b Activity Plan'!KG21</f>
        <v>0</v>
      </c>
      <c r="DS7" s="3169">
        <f>'3b Activity Plan'!KH21</f>
        <v>0</v>
      </c>
      <c r="DT7" s="3169">
        <f>'3b Activity Plan'!KI21</f>
        <v>0</v>
      </c>
      <c r="DU7" s="3169">
        <f>'3b Activity Plan'!KJ21</f>
        <v>0</v>
      </c>
      <c r="DV7" s="3169">
        <f>'3b Activity Plan'!KK21</f>
        <v>0</v>
      </c>
      <c r="DW7" s="3169">
        <f>'3b Activity Plan'!KL21</f>
        <v>0</v>
      </c>
      <c r="DX7" s="3169">
        <f>'3b Activity Plan'!KM21</f>
        <v>0</v>
      </c>
      <c r="DY7" s="3169">
        <f>'3b Activity Plan'!KN21</f>
        <v>0</v>
      </c>
      <c r="DZ7" s="3169">
        <f>'3b Activity Plan'!KO21</f>
        <v>0</v>
      </c>
      <c r="EA7" s="3169">
        <f>'3b Activity Plan'!KP21</f>
        <v>0</v>
      </c>
      <c r="EB7" s="3169">
        <f>'3b Activity Plan'!KQ21</f>
        <v>0</v>
      </c>
      <c r="EC7" s="3169">
        <f>'3b Activity Plan'!KR21</f>
        <v>0</v>
      </c>
      <c r="ED7" s="3169">
        <f>'3b Activity Plan'!KS21</f>
        <v>0</v>
      </c>
      <c r="EE7" s="3169">
        <f>'3b Activity Plan'!KT21</f>
        <v>0</v>
      </c>
      <c r="EF7" s="3169">
        <f>'3b Activity Plan'!KU21</f>
        <v>0</v>
      </c>
      <c r="EG7" s="3169">
        <f>'3b Activity Plan'!KV21</f>
        <v>0</v>
      </c>
      <c r="EH7" s="3169">
        <f>'3b Activity Plan'!KW21</f>
        <v>0</v>
      </c>
      <c r="EI7" s="3169">
        <f>'3b Activity Plan'!KX21</f>
        <v>0</v>
      </c>
      <c r="EJ7" s="3169">
        <f>'3b Activity Plan'!KY21</f>
        <v>0</v>
      </c>
      <c r="EK7" s="3169">
        <f>'3b Activity Plan'!KZ21</f>
        <v>0</v>
      </c>
      <c r="EL7" s="3169">
        <f>'3b Activity Plan'!LA21</f>
        <v>0</v>
      </c>
      <c r="EM7" s="3169">
        <f>'3b Activity Plan'!LB21</f>
        <v>0</v>
      </c>
      <c r="EN7" s="3169">
        <f>'3b Activity Plan'!LC21</f>
        <v>0</v>
      </c>
      <c r="EO7" s="3169">
        <f>'3b Activity Plan'!LD21</f>
        <v>0</v>
      </c>
      <c r="EP7" s="3169">
        <f>'3b Activity Plan'!LE21</f>
        <v>0</v>
      </c>
      <c r="EQ7" s="3169">
        <f>'3b Activity Plan'!LF21</f>
        <v>0</v>
      </c>
      <c r="ER7" s="3169">
        <f>'3b Activity Plan'!LG21</f>
        <v>0</v>
      </c>
      <c r="ES7" s="3169">
        <f>'3b Activity Plan'!LH21</f>
        <v>0</v>
      </c>
      <c r="ET7" s="3169">
        <f>'3b Activity Plan'!LI21</f>
        <v>0</v>
      </c>
      <c r="EU7" s="3169">
        <f>'3b Activity Plan'!LJ21</f>
        <v>0</v>
      </c>
      <c r="EV7" s="3169">
        <f>'3b Activity Plan'!LK21</f>
        <v>0</v>
      </c>
      <c r="EW7" s="3169">
        <f>'3b Activity Plan'!LL21</f>
        <v>0</v>
      </c>
      <c r="EX7" s="3169">
        <f>'3b Activity Plan'!LM21</f>
        <v>0</v>
      </c>
      <c r="EY7" s="3169">
        <f>'3b Activity Plan'!LN21</f>
        <v>0</v>
      </c>
      <c r="EZ7" s="3169">
        <f>'3b Activity Plan'!LO21</f>
        <v>0</v>
      </c>
      <c r="FA7" s="3169">
        <f>'3b Activity Plan'!LP21</f>
        <v>0</v>
      </c>
      <c r="FB7" s="3169"/>
    </row>
    <row r="8" spans="1:158" s="749" customFormat="1" ht="0.15" customHeight="1" x14ac:dyDescent="0.25">
      <c r="A8" s="258"/>
      <c r="B8" s="258"/>
      <c r="C8" s="258"/>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row>
    <row r="9" spans="1:158" s="749" customFormat="1" ht="0.15" customHeight="1" x14ac:dyDescent="0.25">
      <c r="A9" s="258"/>
      <c r="B9" s="258"/>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c r="AC9" s="794">
        <f>IF(H43=1,1,T141)</f>
        <v>40</v>
      </c>
      <c r="AD9" s="3167" t="s">
        <v>4077</v>
      </c>
      <c r="AE9" s="3168">
        <f>IF(CHOOSE($AC$10,AE4,AE7)=0,NA(),CHOOSE($AC$10,AE3/$AC$9,AE6/$AC$9))</f>
        <v>2.8395833333333331</v>
      </c>
      <c r="AF9" s="3168">
        <f t="shared" ref="AF9:CQ9" si="0">IF(CHOOSE($AC$10,AF4,AF7)=0,NA(),CHOOSE($AC$10,AF3/$AC$9,AF6/$AC$9))</f>
        <v>2.8395833333333331</v>
      </c>
      <c r="AG9" s="3168">
        <f t="shared" si="0"/>
        <v>2.8395833333333331</v>
      </c>
      <c r="AH9" s="3168">
        <f t="shared" si="0"/>
        <v>2.8395833333333331</v>
      </c>
      <c r="AI9" s="3168">
        <f t="shared" si="0"/>
        <v>2.8395833333333331</v>
      </c>
      <c r="AJ9" s="3168">
        <f t="shared" si="0"/>
        <v>2.8395833333333331</v>
      </c>
      <c r="AK9" s="3168">
        <f t="shared" si="0"/>
        <v>2.8395833333333331</v>
      </c>
      <c r="AL9" s="3168">
        <f t="shared" si="0"/>
        <v>2.8395833333333331</v>
      </c>
      <c r="AM9" s="3168">
        <f t="shared" si="0"/>
        <v>2.8395833333333331</v>
      </c>
      <c r="AN9" s="3168">
        <f t="shared" si="0"/>
        <v>2.8395833333333331</v>
      </c>
      <c r="AO9" s="3168">
        <f t="shared" si="0"/>
        <v>2.8395833333333331</v>
      </c>
      <c r="AP9" s="3168">
        <f t="shared" si="0"/>
        <v>2.8395833333333331</v>
      </c>
      <c r="AQ9" s="3168" t="e">
        <f t="shared" si="0"/>
        <v>#N/A</v>
      </c>
      <c r="AR9" s="3168" t="e">
        <f t="shared" si="0"/>
        <v>#N/A</v>
      </c>
      <c r="AS9" s="3168" t="e">
        <f t="shared" si="0"/>
        <v>#N/A</v>
      </c>
      <c r="AT9" s="3168" t="e">
        <f t="shared" si="0"/>
        <v>#N/A</v>
      </c>
      <c r="AU9" s="3168" t="e">
        <f t="shared" si="0"/>
        <v>#N/A</v>
      </c>
      <c r="AV9" s="3168" t="e">
        <f t="shared" si="0"/>
        <v>#N/A</v>
      </c>
      <c r="AW9" s="3168" t="e">
        <f t="shared" si="0"/>
        <v>#N/A</v>
      </c>
      <c r="AX9" s="3168" t="e">
        <f t="shared" si="0"/>
        <v>#N/A</v>
      </c>
      <c r="AY9" s="3168" t="e">
        <f t="shared" si="0"/>
        <v>#N/A</v>
      </c>
      <c r="AZ9" s="3168" t="e">
        <f t="shared" si="0"/>
        <v>#N/A</v>
      </c>
      <c r="BA9" s="3168" t="e">
        <f t="shared" si="0"/>
        <v>#N/A</v>
      </c>
      <c r="BB9" s="3168" t="e">
        <f t="shared" si="0"/>
        <v>#N/A</v>
      </c>
      <c r="BC9" s="3168" t="e">
        <f t="shared" si="0"/>
        <v>#N/A</v>
      </c>
      <c r="BD9" s="3168" t="e">
        <f t="shared" si="0"/>
        <v>#N/A</v>
      </c>
      <c r="BE9" s="3168" t="e">
        <f t="shared" si="0"/>
        <v>#N/A</v>
      </c>
      <c r="BF9" s="3168" t="e">
        <f t="shared" si="0"/>
        <v>#N/A</v>
      </c>
      <c r="BG9" s="3168" t="e">
        <f t="shared" si="0"/>
        <v>#N/A</v>
      </c>
      <c r="BH9" s="3168" t="e">
        <f t="shared" si="0"/>
        <v>#N/A</v>
      </c>
      <c r="BI9" s="3168" t="e">
        <f t="shared" si="0"/>
        <v>#N/A</v>
      </c>
      <c r="BJ9" s="3168" t="e">
        <f t="shared" si="0"/>
        <v>#N/A</v>
      </c>
      <c r="BK9" s="3168" t="e">
        <f t="shared" si="0"/>
        <v>#N/A</v>
      </c>
      <c r="BL9" s="3168" t="e">
        <f t="shared" si="0"/>
        <v>#N/A</v>
      </c>
      <c r="BM9" s="3168" t="e">
        <f t="shared" si="0"/>
        <v>#N/A</v>
      </c>
      <c r="BN9" s="3168" t="e">
        <f t="shared" si="0"/>
        <v>#N/A</v>
      </c>
      <c r="BO9" s="3168" t="e">
        <f t="shared" si="0"/>
        <v>#N/A</v>
      </c>
      <c r="BP9" s="3168" t="e">
        <f t="shared" si="0"/>
        <v>#N/A</v>
      </c>
      <c r="BQ9" s="3168" t="e">
        <f t="shared" si="0"/>
        <v>#N/A</v>
      </c>
      <c r="BR9" s="3168" t="e">
        <f t="shared" si="0"/>
        <v>#N/A</v>
      </c>
      <c r="BS9" s="3168" t="e">
        <f t="shared" si="0"/>
        <v>#N/A</v>
      </c>
      <c r="BT9" s="3168" t="e">
        <f t="shared" si="0"/>
        <v>#N/A</v>
      </c>
      <c r="BU9" s="3168" t="e">
        <f t="shared" si="0"/>
        <v>#N/A</v>
      </c>
      <c r="BV9" s="3168" t="e">
        <f t="shared" si="0"/>
        <v>#N/A</v>
      </c>
      <c r="BW9" s="3168" t="e">
        <f t="shared" si="0"/>
        <v>#N/A</v>
      </c>
      <c r="BX9" s="3168" t="e">
        <f t="shared" si="0"/>
        <v>#N/A</v>
      </c>
      <c r="BY9" s="3168" t="e">
        <f t="shared" si="0"/>
        <v>#N/A</v>
      </c>
      <c r="BZ9" s="3168" t="e">
        <f t="shared" si="0"/>
        <v>#N/A</v>
      </c>
      <c r="CA9" s="3168" t="e">
        <f t="shared" si="0"/>
        <v>#N/A</v>
      </c>
      <c r="CB9" s="3168" t="e">
        <f t="shared" si="0"/>
        <v>#N/A</v>
      </c>
      <c r="CC9" s="3168" t="e">
        <f t="shared" si="0"/>
        <v>#N/A</v>
      </c>
      <c r="CD9" s="3168" t="e">
        <f t="shared" si="0"/>
        <v>#N/A</v>
      </c>
      <c r="CE9" s="3168" t="e">
        <f t="shared" si="0"/>
        <v>#N/A</v>
      </c>
      <c r="CF9" s="3168" t="e">
        <f t="shared" si="0"/>
        <v>#N/A</v>
      </c>
      <c r="CG9" s="3168" t="e">
        <f t="shared" si="0"/>
        <v>#N/A</v>
      </c>
      <c r="CH9" s="3168" t="e">
        <f t="shared" si="0"/>
        <v>#N/A</v>
      </c>
      <c r="CI9" s="3168" t="e">
        <f t="shared" si="0"/>
        <v>#N/A</v>
      </c>
      <c r="CJ9" s="3168" t="e">
        <f t="shared" si="0"/>
        <v>#N/A</v>
      </c>
      <c r="CK9" s="3168" t="e">
        <f t="shared" si="0"/>
        <v>#N/A</v>
      </c>
      <c r="CL9" s="3168" t="e">
        <f t="shared" si="0"/>
        <v>#N/A</v>
      </c>
      <c r="CM9" s="3168" t="e">
        <f t="shared" si="0"/>
        <v>#N/A</v>
      </c>
      <c r="CN9" s="3168" t="e">
        <f t="shared" si="0"/>
        <v>#N/A</v>
      </c>
      <c r="CO9" s="3168" t="e">
        <f t="shared" si="0"/>
        <v>#N/A</v>
      </c>
      <c r="CP9" s="3168" t="e">
        <f t="shared" si="0"/>
        <v>#N/A</v>
      </c>
      <c r="CQ9" s="3168" t="e">
        <f t="shared" si="0"/>
        <v>#N/A</v>
      </c>
      <c r="CR9" s="3168" t="e">
        <f t="shared" ref="CR9:FA9" si="1">IF(CHOOSE($AC$10,CR4,CR7)=0,NA(),CHOOSE($AC$10,CR3/$AC$9,CR6/$AC$9))</f>
        <v>#N/A</v>
      </c>
      <c r="CS9" s="3168" t="e">
        <f t="shared" si="1"/>
        <v>#N/A</v>
      </c>
      <c r="CT9" s="3168" t="e">
        <f t="shared" si="1"/>
        <v>#N/A</v>
      </c>
      <c r="CU9" s="3168" t="e">
        <f t="shared" si="1"/>
        <v>#N/A</v>
      </c>
      <c r="CV9" s="3168" t="e">
        <f t="shared" si="1"/>
        <v>#N/A</v>
      </c>
      <c r="CW9" s="3168" t="e">
        <f t="shared" si="1"/>
        <v>#N/A</v>
      </c>
      <c r="CX9" s="3168" t="e">
        <f t="shared" si="1"/>
        <v>#N/A</v>
      </c>
      <c r="CY9" s="3168" t="e">
        <f t="shared" si="1"/>
        <v>#N/A</v>
      </c>
      <c r="CZ9" s="3168" t="e">
        <f t="shared" si="1"/>
        <v>#N/A</v>
      </c>
      <c r="DA9" s="3168" t="e">
        <f t="shared" si="1"/>
        <v>#N/A</v>
      </c>
      <c r="DB9" s="3168" t="e">
        <f t="shared" si="1"/>
        <v>#N/A</v>
      </c>
      <c r="DC9" s="3168" t="e">
        <f t="shared" si="1"/>
        <v>#N/A</v>
      </c>
      <c r="DD9" s="3168" t="e">
        <f t="shared" si="1"/>
        <v>#N/A</v>
      </c>
      <c r="DE9" s="3168" t="e">
        <f t="shared" si="1"/>
        <v>#N/A</v>
      </c>
      <c r="DF9" s="3168" t="e">
        <f t="shared" si="1"/>
        <v>#N/A</v>
      </c>
      <c r="DG9" s="3168" t="e">
        <f t="shared" si="1"/>
        <v>#N/A</v>
      </c>
      <c r="DH9" s="3168" t="e">
        <f t="shared" si="1"/>
        <v>#N/A</v>
      </c>
      <c r="DI9" s="3168" t="e">
        <f t="shared" si="1"/>
        <v>#N/A</v>
      </c>
      <c r="DJ9" s="3168" t="e">
        <f t="shared" si="1"/>
        <v>#N/A</v>
      </c>
      <c r="DK9" s="3168" t="e">
        <f t="shared" si="1"/>
        <v>#N/A</v>
      </c>
      <c r="DL9" s="3168" t="e">
        <f t="shared" si="1"/>
        <v>#N/A</v>
      </c>
      <c r="DM9" s="3168" t="e">
        <f t="shared" si="1"/>
        <v>#N/A</v>
      </c>
      <c r="DN9" s="3168" t="e">
        <f t="shared" si="1"/>
        <v>#N/A</v>
      </c>
      <c r="DO9" s="3168" t="e">
        <f t="shared" si="1"/>
        <v>#N/A</v>
      </c>
      <c r="DP9" s="3168" t="e">
        <f t="shared" si="1"/>
        <v>#N/A</v>
      </c>
      <c r="DQ9" s="3168" t="e">
        <f t="shared" si="1"/>
        <v>#N/A</v>
      </c>
      <c r="DR9" s="3168" t="e">
        <f t="shared" si="1"/>
        <v>#N/A</v>
      </c>
      <c r="DS9" s="3168" t="e">
        <f t="shared" si="1"/>
        <v>#N/A</v>
      </c>
      <c r="DT9" s="3168" t="e">
        <f t="shared" si="1"/>
        <v>#N/A</v>
      </c>
      <c r="DU9" s="3168" t="e">
        <f t="shared" si="1"/>
        <v>#N/A</v>
      </c>
      <c r="DV9" s="3168" t="e">
        <f t="shared" si="1"/>
        <v>#N/A</v>
      </c>
      <c r="DW9" s="3168" t="e">
        <f t="shared" si="1"/>
        <v>#N/A</v>
      </c>
      <c r="DX9" s="3168" t="e">
        <f t="shared" si="1"/>
        <v>#N/A</v>
      </c>
      <c r="DY9" s="3168" t="e">
        <f t="shared" si="1"/>
        <v>#N/A</v>
      </c>
      <c r="DZ9" s="3168" t="e">
        <f t="shared" si="1"/>
        <v>#N/A</v>
      </c>
      <c r="EA9" s="3168" t="e">
        <f t="shared" si="1"/>
        <v>#N/A</v>
      </c>
      <c r="EB9" s="3168" t="e">
        <f t="shared" si="1"/>
        <v>#N/A</v>
      </c>
      <c r="EC9" s="3168" t="e">
        <f t="shared" si="1"/>
        <v>#N/A</v>
      </c>
      <c r="ED9" s="3168" t="e">
        <f t="shared" si="1"/>
        <v>#N/A</v>
      </c>
      <c r="EE9" s="3168" t="e">
        <f t="shared" si="1"/>
        <v>#N/A</v>
      </c>
      <c r="EF9" s="3168" t="e">
        <f t="shared" si="1"/>
        <v>#N/A</v>
      </c>
      <c r="EG9" s="3168" t="e">
        <f t="shared" si="1"/>
        <v>#N/A</v>
      </c>
      <c r="EH9" s="3168" t="e">
        <f t="shared" si="1"/>
        <v>#N/A</v>
      </c>
      <c r="EI9" s="3168" t="e">
        <f t="shared" si="1"/>
        <v>#N/A</v>
      </c>
      <c r="EJ9" s="3168" t="e">
        <f t="shared" si="1"/>
        <v>#N/A</v>
      </c>
      <c r="EK9" s="3168" t="e">
        <f t="shared" si="1"/>
        <v>#N/A</v>
      </c>
      <c r="EL9" s="3168" t="e">
        <f t="shared" si="1"/>
        <v>#N/A</v>
      </c>
      <c r="EM9" s="3168" t="e">
        <f t="shared" si="1"/>
        <v>#N/A</v>
      </c>
      <c r="EN9" s="3168" t="e">
        <f t="shared" si="1"/>
        <v>#N/A</v>
      </c>
      <c r="EO9" s="3168" t="e">
        <f t="shared" si="1"/>
        <v>#N/A</v>
      </c>
      <c r="EP9" s="3168" t="e">
        <f t="shared" si="1"/>
        <v>#N/A</v>
      </c>
      <c r="EQ9" s="3168" t="e">
        <f t="shared" si="1"/>
        <v>#N/A</v>
      </c>
      <c r="ER9" s="3168" t="e">
        <f t="shared" si="1"/>
        <v>#N/A</v>
      </c>
      <c r="ES9" s="3168" t="e">
        <f t="shared" si="1"/>
        <v>#N/A</v>
      </c>
      <c r="ET9" s="3168" t="e">
        <f t="shared" si="1"/>
        <v>#N/A</v>
      </c>
      <c r="EU9" s="3168" t="e">
        <f t="shared" si="1"/>
        <v>#N/A</v>
      </c>
      <c r="EV9" s="3168" t="e">
        <f t="shared" si="1"/>
        <v>#N/A</v>
      </c>
      <c r="EW9" s="3168" t="e">
        <f t="shared" si="1"/>
        <v>#N/A</v>
      </c>
      <c r="EX9" s="3168" t="e">
        <f t="shared" si="1"/>
        <v>#N/A</v>
      </c>
      <c r="EY9" s="3168" t="e">
        <f t="shared" si="1"/>
        <v>#N/A</v>
      </c>
      <c r="EZ9" s="3168" t="e">
        <f t="shared" si="1"/>
        <v>#N/A</v>
      </c>
      <c r="FA9" s="3168" t="e">
        <f t="shared" si="1"/>
        <v>#N/A</v>
      </c>
      <c r="FB9" s="3168"/>
    </row>
    <row r="10" spans="1:158" s="749" customFormat="1" ht="0.15" customHeight="1" x14ac:dyDescent="0.25">
      <c r="A10" s="258"/>
      <c r="B10" s="258"/>
      <c r="C10" s="258"/>
      <c r="D10" s="258"/>
      <c r="E10" s="258"/>
      <c r="F10" s="258"/>
      <c r="G10" s="258"/>
      <c r="H10" s="258"/>
      <c r="I10" s="258"/>
      <c r="J10" s="258"/>
      <c r="K10" s="258"/>
      <c r="L10" s="258"/>
      <c r="M10" s="258"/>
      <c r="N10" s="258"/>
      <c r="O10" s="258"/>
      <c r="P10" s="258"/>
      <c r="Q10" s="258"/>
      <c r="R10" s="258"/>
      <c r="S10" s="258"/>
      <c r="T10" s="258"/>
      <c r="U10" s="258"/>
      <c r="V10" s="258"/>
      <c r="W10" s="258"/>
      <c r="X10" s="258"/>
      <c r="Y10" s="258"/>
      <c r="Z10" s="258"/>
      <c r="AA10" s="258"/>
      <c r="AB10" s="258"/>
      <c r="AC10" s="794">
        <f>IF('1 Setup'!N3=1,1,2)</f>
        <v>2</v>
      </c>
      <c r="AD10" s="3167" t="s">
        <v>4078</v>
      </c>
      <c r="AE10" s="3166">
        <f t="shared" ref="AE10:BJ10" si="2">IF(CHOOSE($AC$10,AE4,AE7)=0,NA(),CHOOSE($AC$10,AE2,AE5))</f>
        <v>43840</v>
      </c>
      <c r="AF10" s="3166">
        <f t="shared" si="2"/>
        <v>43847</v>
      </c>
      <c r="AG10" s="3166">
        <f t="shared" si="2"/>
        <v>43854</v>
      </c>
      <c r="AH10" s="3166">
        <f t="shared" si="2"/>
        <v>43861</v>
      </c>
      <c r="AI10" s="3166">
        <f t="shared" si="2"/>
        <v>43868</v>
      </c>
      <c r="AJ10" s="3166">
        <f t="shared" si="2"/>
        <v>43875</v>
      </c>
      <c r="AK10" s="3166">
        <f t="shared" si="2"/>
        <v>43882</v>
      </c>
      <c r="AL10" s="3166">
        <f t="shared" si="2"/>
        <v>43889</v>
      </c>
      <c r="AM10" s="3166">
        <f t="shared" si="2"/>
        <v>43896</v>
      </c>
      <c r="AN10" s="3166">
        <f t="shared" si="2"/>
        <v>43903</v>
      </c>
      <c r="AO10" s="3166">
        <f t="shared" si="2"/>
        <v>43910</v>
      </c>
      <c r="AP10" s="3166">
        <f t="shared" si="2"/>
        <v>43917</v>
      </c>
      <c r="AQ10" s="3166" t="e">
        <f t="shared" si="2"/>
        <v>#N/A</v>
      </c>
      <c r="AR10" s="3166" t="e">
        <f t="shared" si="2"/>
        <v>#N/A</v>
      </c>
      <c r="AS10" s="3166" t="e">
        <f t="shared" si="2"/>
        <v>#N/A</v>
      </c>
      <c r="AT10" s="3166" t="e">
        <f t="shared" si="2"/>
        <v>#N/A</v>
      </c>
      <c r="AU10" s="3166" t="e">
        <f t="shared" si="2"/>
        <v>#N/A</v>
      </c>
      <c r="AV10" s="3166" t="e">
        <f t="shared" si="2"/>
        <v>#N/A</v>
      </c>
      <c r="AW10" s="3166" t="e">
        <f t="shared" si="2"/>
        <v>#N/A</v>
      </c>
      <c r="AX10" s="3166" t="e">
        <f t="shared" si="2"/>
        <v>#N/A</v>
      </c>
      <c r="AY10" s="3166" t="e">
        <f t="shared" si="2"/>
        <v>#N/A</v>
      </c>
      <c r="AZ10" s="3166" t="e">
        <f t="shared" si="2"/>
        <v>#N/A</v>
      </c>
      <c r="BA10" s="3166" t="e">
        <f t="shared" si="2"/>
        <v>#N/A</v>
      </c>
      <c r="BB10" s="3166" t="e">
        <f t="shared" si="2"/>
        <v>#N/A</v>
      </c>
      <c r="BC10" s="3166" t="e">
        <f t="shared" si="2"/>
        <v>#N/A</v>
      </c>
      <c r="BD10" s="3166" t="e">
        <f t="shared" si="2"/>
        <v>#N/A</v>
      </c>
      <c r="BE10" s="3166" t="e">
        <f t="shared" si="2"/>
        <v>#N/A</v>
      </c>
      <c r="BF10" s="3166" t="e">
        <f t="shared" si="2"/>
        <v>#N/A</v>
      </c>
      <c r="BG10" s="3166" t="e">
        <f t="shared" si="2"/>
        <v>#N/A</v>
      </c>
      <c r="BH10" s="3166" t="e">
        <f t="shared" si="2"/>
        <v>#N/A</v>
      </c>
      <c r="BI10" s="3166" t="e">
        <f t="shared" si="2"/>
        <v>#N/A</v>
      </c>
      <c r="BJ10" s="3166" t="e">
        <f t="shared" si="2"/>
        <v>#N/A</v>
      </c>
      <c r="BK10" s="3166" t="e">
        <f t="shared" ref="BK10:CP10" si="3">IF(CHOOSE($AC$10,BK4,BK7)=0,NA(),CHOOSE($AC$10,BK2,BK5))</f>
        <v>#N/A</v>
      </c>
      <c r="BL10" s="3166" t="e">
        <f t="shared" si="3"/>
        <v>#N/A</v>
      </c>
      <c r="BM10" s="3166" t="e">
        <f t="shared" si="3"/>
        <v>#N/A</v>
      </c>
      <c r="BN10" s="3166" t="e">
        <f t="shared" si="3"/>
        <v>#N/A</v>
      </c>
      <c r="BO10" s="3166" t="e">
        <f t="shared" si="3"/>
        <v>#N/A</v>
      </c>
      <c r="BP10" s="3166" t="e">
        <f t="shared" si="3"/>
        <v>#N/A</v>
      </c>
      <c r="BQ10" s="3166" t="e">
        <f t="shared" si="3"/>
        <v>#N/A</v>
      </c>
      <c r="BR10" s="3166" t="e">
        <f t="shared" si="3"/>
        <v>#N/A</v>
      </c>
      <c r="BS10" s="3166" t="e">
        <f t="shared" si="3"/>
        <v>#N/A</v>
      </c>
      <c r="BT10" s="3166" t="e">
        <f t="shared" si="3"/>
        <v>#N/A</v>
      </c>
      <c r="BU10" s="3166" t="e">
        <f t="shared" si="3"/>
        <v>#N/A</v>
      </c>
      <c r="BV10" s="3166" t="e">
        <f t="shared" si="3"/>
        <v>#N/A</v>
      </c>
      <c r="BW10" s="3166" t="e">
        <f t="shared" si="3"/>
        <v>#N/A</v>
      </c>
      <c r="BX10" s="3166" t="e">
        <f t="shared" si="3"/>
        <v>#N/A</v>
      </c>
      <c r="BY10" s="3166" t="e">
        <f t="shared" si="3"/>
        <v>#N/A</v>
      </c>
      <c r="BZ10" s="3166" t="e">
        <f t="shared" si="3"/>
        <v>#N/A</v>
      </c>
      <c r="CA10" s="3166" t="e">
        <f t="shared" si="3"/>
        <v>#N/A</v>
      </c>
      <c r="CB10" s="3166" t="e">
        <f t="shared" si="3"/>
        <v>#N/A</v>
      </c>
      <c r="CC10" s="3166" t="e">
        <f t="shared" si="3"/>
        <v>#N/A</v>
      </c>
      <c r="CD10" s="3166" t="e">
        <f t="shared" si="3"/>
        <v>#N/A</v>
      </c>
      <c r="CE10" s="3166" t="e">
        <f t="shared" si="3"/>
        <v>#N/A</v>
      </c>
      <c r="CF10" s="3166" t="e">
        <f t="shared" si="3"/>
        <v>#N/A</v>
      </c>
      <c r="CG10" s="3166" t="e">
        <f t="shared" si="3"/>
        <v>#N/A</v>
      </c>
      <c r="CH10" s="3166" t="e">
        <f t="shared" si="3"/>
        <v>#N/A</v>
      </c>
      <c r="CI10" s="3166" t="e">
        <f t="shared" si="3"/>
        <v>#N/A</v>
      </c>
      <c r="CJ10" s="3166" t="e">
        <f t="shared" si="3"/>
        <v>#N/A</v>
      </c>
      <c r="CK10" s="3166" t="e">
        <f t="shared" si="3"/>
        <v>#N/A</v>
      </c>
      <c r="CL10" s="3166" t="e">
        <f t="shared" si="3"/>
        <v>#N/A</v>
      </c>
      <c r="CM10" s="3166" t="e">
        <f t="shared" si="3"/>
        <v>#N/A</v>
      </c>
      <c r="CN10" s="3166" t="e">
        <f t="shared" si="3"/>
        <v>#N/A</v>
      </c>
      <c r="CO10" s="3166" t="e">
        <f t="shared" si="3"/>
        <v>#N/A</v>
      </c>
      <c r="CP10" s="3166" t="e">
        <f t="shared" si="3"/>
        <v>#N/A</v>
      </c>
      <c r="CQ10" s="3166" t="e">
        <f t="shared" ref="CQ10:DV10" si="4">IF(CHOOSE($AC$10,CQ4,CQ7)=0,NA(),CHOOSE($AC$10,CQ2,CQ5))</f>
        <v>#N/A</v>
      </c>
      <c r="CR10" s="3166" t="e">
        <f t="shared" si="4"/>
        <v>#N/A</v>
      </c>
      <c r="CS10" s="3166" t="e">
        <f t="shared" si="4"/>
        <v>#N/A</v>
      </c>
      <c r="CT10" s="3166" t="e">
        <f t="shared" si="4"/>
        <v>#N/A</v>
      </c>
      <c r="CU10" s="3166" t="e">
        <f t="shared" si="4"/>
        <v>#N/A</v>
      </c>
      <c r="CV10" s="3166" t="e">
        <f t="shared" si="4"/>
        <v>#N/A</v>
      </c>
      <c r="CW10" s="3166" t="e">
        <f t="shared" si="4"/>
        <v>#N/A</v>
      </c>
      <c r="CX10" s="3166" t="e">
        <f t="shared" si="4"/>
        <v>#N/A</v>
      </c>
      <c r="CY10" s="3166" t="e">
        <f t="shared" si="4"/>
        <v>#N/A</v>
      </c>
      <c r="CZ10" s="3166" t="e">
        <f t="shared" si="4"/>
        <v>#N/A</v>
      </c>
      <c r="DA10" s="3166" t="e">
        <f t="shared" si="4"/>
        <v>#N/A</v>
      </c>
      <c r="DB10" s="3166" t="e">
        <f t="shared" si="4"/>
        <v>#N/A</v>
      </c>
      <c r="DC10" s="3166" t="e">
        <f t="shared" si="4"/>
        <v>#N/A</v>
      </c>
      <c r="DD10" s="3166" t="e">
        <f t="shared" si="4"/>
        <v>#N/A</v>
      </c>
      <c r="DE10" s="3166" t="e">
        <f t="shared" si="4"/>
        <v>#N/A</v>
      </c>
      <c r="DF10" s="3166" t="e">
        <f t="shared" si="4"/>
        <v>#N/A</v>
      </c>
      <c r="DG10" s="3166" t="e">
        <f t="shared" si="4"/>
        <v>#N/A</v>
      </c>
      <c r="DH10" s="3166" t="e">
        <f t="shared" si="4"/>
        <v>#N/A</v>
      </c>
      <c r="DI10" s="3166" t="e">
        <f t="shared" si="4"/>
        <v>#N/A</v>
      </c>
      <c r="DJ10" s="3166" t="e">
        <f t="shared" si="4"/>
        <v>#N/A</v>
      </c>
      <c r="DK10" s="3166" t="e">
        <f t="shared" si="4"/>
        <v>#N/A</v>
      </c>
      <c r="DL10" s="3166" t="e">
        <f t="shared" si="4"/>
        <v>#N/A</v>
      </c>
      <c r="DM10" s="3166" t="e">
        <f t="shared" si="4"/>
        <v>#N/A</v>
      </c>
      <c r="DN10" s="3166" t="e">
        <f t="shared" si="4"/>
        <v>#N/A</v>
      </c>
      <c r="DO10" s="3166" t="e">
        <f t="shared" si="4"/>
        <v>#N/A</v>
      </c>
      <c r="DP10" s="3166" t="e">
        <f t="shared" si="4"/>
        <v>#N/A</v>
      </c>
      <c r="DQ10" s="3166" t="e">
        <f t="shared" si="4"/>
        <v>#N/A</v>
      </c>
      <c r="DR10" s="3166" t="e">
        <f t="shared" si="4"/>
        <v>#N/A</v>
      </c>
      <c r="DS10" s="3166" t="e">
        <f t="shared" si="4"/>
        <v>#N/A</v>
      </c>
      <c r="DT10" s="3166" t="e">
        <f t="shared" si="4"/>
        <v>#N/A</v>
      </c>
      <c r="DU10" s="3166" t="e">
        <f t="shared" si="4"/>
        <v>#N/A</v>
      </c>
      <c r="DV10" s="3166" t="e">
        <f t="shared" si="4"/>
        <v>#N/A</v>
      </c>
      <c r="DW10" s="3166" t="e">
        <f t="shared" ref="DW10:FA10" si="5">IF(CHOOSE($AC$10,DW4,DW7)=0,NA(),CHOOSE($AC$10,DW2,DW5))</f>
        <v>#N/A</v>
      </c>
      <c r="DX10" s="3166" t="e">
        <f t="shared" si="5"/>
        <v>#N/A</v>
      </c>
      <c r="DY10" s="3166" t="e">
        <f t="shared" si="5"/>
        <v>#N/A</v>
      </c>
      <c r="DZ10" s="3166" t="e">
        <f t="shared" si="5"/>
        <v>#N/A</v>
      </c>
      <c r="EA10" s="3166" t="e">
        <f t="shared" si="5"/>
        <v>#N/A</v>
      </c>
      <c r="EB10" s="3166" t="e">
        <f t="shared" si="5"/>
        <v>#N/A</v>
      </c>
      <c r="EC10" s="3166" t="e">
        <f t="shared" si="5"/>
        <v>#N/A</v>
      </c>
      <c r="ED10" s="3166" t="e">
        <f t="shared" si="5"/>
        <v>#N/A</v>
      </c>
      <c r="EE10" s="3166" t="e">
        <f t="shared" si="5"/>
        <v>#N/A</v>
      </c>
      <c r="EF10" s="3166" t="e">
        <f t="shared" si="5"/>
        <v>#N/A</v>
      </c>
      <c r="EG10" s="3166" t="e">
        <f t="shared" si="5"/>
        <v>#N/A</v>
      </c>
      <c r="EH10" s="3166" t="e">
        <f t="shared" si="5"/>
        <v>#N/A</v>
      </c>
      <c r="EI10" s="3166" t="e">
        <f t="shared" si="5"/>
        <v>#N/A</v>
      </c>
      <c r="EJ10" s="3166" t="e">
        <f t="shared" si="5"/>
        <v>#N/A</v>
      </c>
      <c r="EK10" s="3166" t="e">
        <f t="shared" si="5"/>
        <v>#N/A</v>
      </c>
      <c r="EL10" s="3166" t="e">
        <f t="shared" si="5"/>
        <v>#N/A</v>
      </c>
      <c r="EM10" s="3166" t="e">
        <f t="shared" si="5"/>
        <v>#N/A</v>
      </c>
      <c r="EN10" s="3166" t="e">
        <f t="shared" si="5"/>
        <v>#N/A</v>
      </c>
      <c r="EO10" s="3166" t="e">
        <f t="shared" si="5"/>
        <v>#N/A</v>
      </c>
      <c r="EP10" s="3166" t="e">
        <f t="shared" si="5"/>
        <v>#N/A</v>
      </c>
      <c r="EQ10" s="3166" t="e">
        <f t="shared" si="5"/>
        <v>#N/A</v>
      </c>
      <c r="ER10" s="3166" t="e">
        <f t="shared" si="5"/>
        <v>#N/A</v>
      </c>
      <c r="ES10" s="3166" t="e">
        <f t="shared" si="5"/>
        <v>#N/A</v>
      </c>
      <c r="ET10" s="3166" t="e">
        <f t="shared" si="5"/>
        <v>#N/A</v>
      </c>
      <c r="EU10" s="3166" t="e">
        <f t="shared" si="5"/>
        <v>#N/A</v>
      </c>
      <c r="EV10" s="3166" t="e">
        <f t="shared" si="5"/>
        <v>#N/A</v>
      </c>
      <c r="EW10" s="3166" t="e">
        <f t="shared" si="5"/>
        <v>#N/A</v>
      </c>
      <c r="EX10" s="3166" t="e">
        <f t="shared" si="5"/>
        <v>#N/A</v>
      </c>
      <c r="EY10" s="3166" t="e">
        <f t="shared" si="5"/>
        <v>#N/A</v>
      </c>
      <c r="EZ10" s="3166" t="e">
        <f t="shared" si="5"/>
        <v>#N/A</v>
      </c>
      <c r="FA10" s="3166" t="e">
        <f t="shared" si="5"/>
        <v>#N/A</v>
      </c>
      <c r="FB10" s="3166"/>
    </row>
    <row r="11" spans="1:158" s="749" customFormat="1" ht="0.15" customHeight="1" x14ac:dyDescent="0.25">
      <c r="A11" s="258"/>
      <c r="B11" s="258"/>
      <c r="C11" s="258"/>
      <c r="D11" s="258"/>
      <c r="E11" s="258"/>
      <c r="F11" s="258"/>
      <c r="G11" s="258"/>
      <c r="H11" s="258"/>
      <c r="I11" s="258"/>
      <c r="J11" s="258"/>
      <c r="K11" s="258"/>
      <c r="L11" s="258"/>
      <c r="M11" s="258"/>
      <c r="N11" s="258"/>
      <c r="O11" s="258"/>
      <c r="P11" s="258"/>
      <c r="Q11" s="258"/>
      <c r="R11" s="258"/>
      <c r="S11" s="258"/>
      <c r="T11" s="258"/>
      <c r="U11" s="258"/>
      <c r="V11" s="258"/>
      <c r="W11" s="258"/>
      <c r="X11" s="258"/>
      <c r="Y11" s="258"/>
      <c r="Z11" s="258"/>
      <c r="AA11" s="258"/>
      <c r="AB11" s="258"/>
      <c r="AC11" s="258"/>
      <c r="AD11" s="258"/>
      <c r="AE11" s="258"/>
      <c r="AF11" s="258"/>
      <c r="AG11" s="258"/>
      <c r="AH11" s="258"/>
      <c r="AI11" s="258"/>
      <c r="AJ11" s="258"/>
      <c r="AK11" s="258"/>
      <c r="AL11" s="258"/>
      <c r="AM11" s="258"/>
      <c r="AN11" s="258"/>
      <c r="AO11" s="258"/>
      <c r="AP11" s="258"/>
      <c r="AQ11" s="258"/>
      <c r="AR11" s="258"/>
      <c r="AS11" s="258"/>
      <c r="AT11" s="258"/>
      <c r="AU11" s="258"/>
      <c r="AV11" s="258"/>
      <c r="AW11" s="258"/>
      <c r="AX11" s="258"/>
      <c r="AY11" s="258"/>
      <c r="AZ11" s="258"/>
      <c r="BA11" s="258"/>
      <c r="BB11" s="258"/>
      <c r="BC11" s="258"/>
      <c r="BD11" s="258"/>
      <c r="BE11" s="258"/>
      <c r="BF11" s="258"/>
      <c r="BG11" s="258"/>
      <c r="BH11" s="258"/>
      <c r="BI11" s="258"/>
      <c r="BJ11" s="258"/>
      <c r="BK11" s="258"/>
      <c r="BL11" s="258"/>
      <c r="BM11" s="258"/>
      <c r="BN11" s="258"/>
      <c r="BO11" s="258"/>
      <c r="BP11" s="258"/>
      <c r="BQ11" s="258"/>
      <c r="BR11" s="258"/>
      <c r="BS11" s="258"/>
      <c r="BT11" s="258"/>
      <c r="BU11" s="258"/>
      <c r="BV11" s="258"/>
    </row>
    <row r="12" spans="1:158" s="272" customFormat="1" ht="13.95" hidden="1" customHeight="1" x14ac:dyDescent="0.25">
      <c r="A12" s="275"/>
      <c r="B12" s="755"/>
      <c r="C12" s="275"/>
      <c r="D12" s="275"/>
      <c r="E12" s="275"/>
      <c r="F12" s="275"/>
      <c r="G12" s="275"/>
      <c r="H12" s="755"/>
      <c r="I12" s="310" t="s">
        <v>2334</v>
      </c>
      <c r="J12" s="310" t="s">
        <v>1698</v>
      </c>
      <c r="K12" s="310" t="s">
        <v>1699</v>
      </c>
      <c r="L12" s="755"/>
      <c r="M12" s="755"/>
      <c r="N12" s="755"/>
      <c r="O12" s="755"/>
      <c r="P12" s="755"/>
      <c r="Q12" s="755"/>
      <c r="R12" s="755"/>
      <c r="S12" s="755"/>
      <c r="T12" s="755"/>
      <c r="U12" s="755"/>
      <c r="V12" s="755"/>
      <c r="W12" s="755"/>
      <c r="X12" s="755"/>
      <c r="Y12" s="755"/>
      <c r="Z12" s="275"/>
      <c r="AA12" s="755"/>
      <c r="AB12" s="275"/>
      <c r="AC12" s="755"/>
      <c r="AD12" s="275"/>
      <c r="AE12" s="275"/>
      <c r="AF12" s="275"/>
      <c r="AG12" s="275"/>
      <c r="AH12" s="275"/>
      <c r="AI12" s="275"/>
      <c r="AJ12" s="275"/>
      <c r="AK12" s="275"/>
      <c r="AL12" s="275"/>
    </row>
    <row r="13" spans="1:158" s="272" customFormat="1" hidden="1" x14ac:dyDescent="0.25">
      <c r="A13" s="275"/>
      <c r="B13" s="755"/>
      <c r="C13" s="748" t="str">
        <f>IFERROR(INDEX('Parameter Data'!D5:D20,MATCH('1 Setup'!I79,'Parameter Data'!B5:B20,0)),"R")</f>
        <v>R</v>
      </c>
      <c r="D13" s="204" t="s">
        <v>833</v>
      </c>
      <c r="E13" s="217"/>
      <c r="F13" s="755"/>
      <c r="G13" s="755"/>
      <c r="H13" s="308"/>
      <c r="I13" s="404">
        <f>IF(OR('1 Setup'!G8=4,'1 Setup'!G8=5),'1 Setup'!W96,0)</f>
        <v>0</v>
      </c>
      <c r="J13" s="574" t="b">
        <v>0</v>
      </c>
      <c r="K13" s="404">
        <f>CHOOSE('1 Setup'!$G$8,0,0,'1 Setup'!W96,'1 Setup'!W96,'1 Setup'!W96,0,0,0,'Category Rates Data'!E1,'Category Rates Data'!E1,0)</f>
        <v>0</v>
      </c>
      <c r="L13" s="755"/>
      <c r="M13" s="755"/>
      <c r="N13" s="755"/>
      <c r="O13" s="755"/>
      <c r="P13" s="275"/>
      <c r="Q13" s="755"/>
      <c r="R13" s="755"/>
      <c r="S13" s="755"/>
      <c r="T13" s="755"/>
      <c r="U13" s="755"/>
      <c r="V13" s="755"/>
      <c r="W13" s="755"/>
      <c r="X13" s="755"/>
      <c r="Y13" s="755"/>
      <c r="Z13" s="275"/>
      <c r="AA13" s="755"/>
      <c r="AB13" s="275"/>
      <c r="AC13" s="755"/>
      <c r="AD13" s="275"/>
      <c r="AE13" s="275"/>
      <c r="AF13" s="275"/>
      <c r="AG13" s="275"/>
      <c r="AH13" s="275"/>
      <c r="AI13" s="275"/>
      <c r="AJ13" s="275"/>
      <c r="AK13" s="275"/>
      <c r="AL13" s="275"/>
    </row>
    <row r="14" spans="1:158" s="272" customFormat="1" hidden="1" x14ac:dyDescent="0.25">
      <c r="A14" s="275"/>
      <c r="B14" s="755"/>
      <c r="C14" s="262">
        <f>IFERROR(IF(C13="F",1,2),2)</f>
        <v>2</v>
      </c>
      <c r="D14" s="204" t="s">
        <v>834</v>
      </c>
      <c r="E14" s="217"/>
      <c r="F14" s="755"/>
      <c r="G14" s="755"/>
      <c r="H14" s="755"/>
      <c r="I14" s="755"/>
      <c r="J14" s="755"/>
      <c r="K14" s="310" t="s">
        <v>2337</v>
      </c>
      <c r="L14" s="755"/>
      <c r="M14" s="755"/>
      <c r="N14" s="755"/>
      <c r="O14" s="755"/>
      <c r="P14" s="275"/>
      <c r="Q14" s="755"/>
      <c r="R14" s="755"/>
      <c r="S14" s="755"/>
      <c r="T14" s="755"/>
      <c r="U14" s="755"/>
      <c r="V14" s="755"/>
      <c r="W14" s="755"/>
      <c r="X14" s="755"/>
      <c r="Y14" s="755"/>
      <c r="Z14" s="275"/>
      <c r="AA14" s="755"/>
      <c r="AB14" s="275"/>
      <c r="AC14" s="755"/>
      <c r="AD14" s="275"/>
      <c r="AE14" s="275"/>
      <c r="AF14" s="275"/>
      <c r="AG14" s="275"/>
      <c r="AH14" s="275"/>
      <c r="AI14" s="275"/>
      <c r="AJ14" s="275"/>
      <c r="AK14" s="275"/>
      <c r="AL14" s="275"/>
    </row>
    <row r="15" spans="1:158" s="272" customFormat="1" ht="15" hidden="1" customHeight="1" x14ac:dyDescent="0.25">
      <c r="A15" s="275"/>
      <c r="B15" s="755"/>
      <c r="C15" s="755"/>
      <c r="D15" s="755"/>
      <c r="E15" s="755"/>
      <c r="F15" s="755"/>
      <c r="G15" s="755"/>
      <c r="H15" s="755"/>
      <c r="I15" s="412" t="s">
        <v>1576</v>
      </c>
      <c r="J15" s="755"/>
      <c r="K15" s="689">
        <f>IF($C$29="F",0,CHOOSE('1 Setup'!$G$8,0,0,0,1,1,0,0,0,0,0,0))</f>
        <v>0</v>
      </c>
      <c r="L15" s="755"/>
      <c r="M15" s="755"/>
      <c r="N15" s="755"/>
      <c r="O15" s="755"/>
      <c r="P15" s="275"/>
      <c r="Q15" s="755"/>
      <c r="R15" s="755"/>
      <c r="S15" s="755"/>
      <c r="T15" s="755"/>
      <c r="U15" s="755"/>
      <c r="V15" s="755"/>
      <c r="W15" s="755"/>
      <c r="X15" s="755"/>
      <c r="Y15" s="755"/>
      <c r="Z15" s="755"/>
      <c r="AA15" s="755"/>
      <c r="AB15" s="275"/>
      <c r="AC15" s="755"/>
      <c r="AD15" s="275"/>
      <c r="AE15" s="275"/>
      <c r="AF15" s="275"/>
      <c r="AG15" s="275"/>
      <c r="AH15" s="275"/>
      <c r="AI15" s="275"/>
      <c r="AJ15" s="275"/>
      <c r="AK15" s="275"/>
      <c r="AL15" s="275"/>
    </row>
    <row r="16" spans="1:158" s="272" customFormat="1" ht="14.4" hidden="1" thickBot="1" x14ac:dyDescent="0.3">
      <c r="A16" s="275"/>
      <c r="B16" s="755"/>
      <c r="C16" s="262">
        <f>'1 Setup'!L2</f>
        <v>3</v>
      </c>
      <c r="D16" s="678" t="s">
        <v>2143</v>
      </c>
      <c r="E16" s="680"/>
      <c r="F16" s="310" t="s">
        <v>476</v>
      </c>
      <c r="G16" s="755"/>
      <c r="H16" s="755"/>
      <c r="I16" s="310" t="s">
        <v>1575</v>
      </c>
      <c r="J16" s="310" t="s">
        <v>1574</v>
      </c>
      <c r="K16" s="310" t="s">
        <v>1610</v>
      </c>
      <c r="L16" s="275"/>
      <c r="M16" s="755"/>
      <c r="N16" s="755"/>
      <c r="O16" s="755"/>
      <c r="P16" s="275"/>
      <c r="Q16" s="755"/>
      <c r="R16" s="755"/>
      <c r="S16" s="755"/>
      <c r="T16" s="755"/>
      <c r="U16" s="755"/>
      <c r="V16" s="755"/>
      <c r="W16" s="755"/>
      <c r="X16" s="755"/>
      <c r="Y16" s="755"/>
      <c r="Z16" s="755"/>
      <c r="AA16" s="755"/>
      <c r="AB16" s="275"/>
      <c r="AC16" s="755"/>
      <c r="AD16" s="275"/>
      <c r="AE16" s="275"/>
      <c r="AF16" s="275"/>
      <c r="AG16" s="275"/>
      <c r="AH16" s="275"/>
      <c r="AI16" s="275"/>
      <c r="AJ16" s="275"/>
      <c r="AK16" s="275"/>
      <c r="AL16" s="275"/>
    </row>
    <row r="17" spans="1:38" s="272" customFormat="1" ht="14.4" hidden="1" thickBot="1" x14ac:dyDescent="0.3">
      <c r="A17" s="275"/>
      <c r="B17" s="755"/>
      <c r="C17" s="275"/>
      <c r="D17" s="678" t="s">
        <v>495</v>
      </c>
      <c r="E17" s="679"/>
      <c r="F17" s="238">
        <f>IF($C$16=3,0,1)</f>
        <v>0</v>
      </c>
      <c r="G17" s="755"/>
      <c r="H17" s="308" t="s">
        <v>387</v>
      </c>
      <c r="I17" s="440">
        <f>SUMPRODUCT('2 Staff List'!$KA$64:$KA$114,'2 Staff List'!$IE$64:$IE$114,('2 Staff List'!$GL$64:$GL$114=1)*1)+SUMIFS('2 Staff List'!$HG$64:$HG$114,'2 Staff List'!$GL$64:$GL$114,1,'2 Staff List'!$EW$64:$EW$114,6)+SUMIFS('2 Staff List'!$HG$64:$HG$114,'2 Staff List'!$GL$64:$GL$114,1,'2 Staff List'!$EW$64:$EW$114,7)</f>
        <v>0</v>
      </c>
      <c r="J17" s="2748">
        <f>SUMPRODUCT('2 Staff List'!$JZ$64:$JZ$114,'2 Staff List'!$IE$64:$IE$114,('2 Staff List'!$GL$64:$GL$114=1)*1)+SUMIFS('2 Staff List'!$HH$64:$HH$114,'2 Staff List'!$GL$64:$GL$114,1,'2 Staff List'!$EW$64:$EW$114,6)+SUMIFS('2 Staff List'!$HH$64:$HH$114,'2 Staff List'!$GL$64:$GL$114,1,'2 Staff List'!$EW$64:$EW$114,7)</f>
        <v>0</v>
      </c>
      <c r="K17" s="2703">
        <f ca="1">SUMIFS('2 Staff List'!$FC$64:$FC$114,'2 Staff List'!$GL$64:$GL$114,1)*K15</f>
        <v>0</v>
      </c>
      <c r="L17" s="275"/>
      <c r="M17" s="755"/>
      <c r="N17" s="755"/>
      <c r="O17" s="755"/>
      <c r="P17" s="275"/>
      <c r="Q17" s="755"/>
      <c r="R17" s="755"/>
      <c r="S17" s="755"/>
      <c r="T17" s="755"/>
      <c r="U17" s="755"/>
      <c r="V17" s="755"/>
      <c r="W17" s="755"/>
      <c r="X17" s="755"/>
      <c r="Y17" s="755"/>
      <c r="Z17" s="755"/>
      <c r="AA17" s="755"/>
      <c r="AB17" s="275"/>
      <c r="AC17" s="755"/>
      <c r="AD17" s="275"/>
      <c r="AE17" s="275"/>
      <c r="AF17" s="275"/>
      <c r="AG17" s="275"/>
      <c r="AH17" s="275"/>
      <c r="AI17" s="275"/>
      <c r="AJ17" s="275"/>
      <c r="AK17" s="275"/>
      <c r="AL17" s="275"/>
    </row>
    <row r="18" spans="1:38" s="272" customFormat="1" ht="14.4" hidden="1" thickBot="1" x14ac:dyDescent="0.3">
      <c r="A18" s="275"/>
      <c r="B18" s="755"/>
      <c r="C18" s="275"/>
      <c r="D18" s="681" t="s">
        <v>496</v>
      </c>
      <c r="E18" s="682"/>
      <c r="F18" s="238">
        <f>IF($C$16=2,0,1)</f>
        <v>1</v>
      </c>
      <c r="G18" s="755"/>
      <c r="H18" s="308" t="s">
        <v>1492</v>
      </c>
      <c r="I18" s="2759"/>
      <c r="J18" s="2760"/>
      <c r="K18" s="2703">
        <f>SUMIFS('2 Staff List'!$FC$64:$FC$114,'2 Staff List'!$GP$64:$GP$114,1)*K15</f>
        <v>0</v>
      </c>
      <c r="L18" s="275"/>
      <c r="M18" s="755"/>
      <c r="N18" s="755"/>
      <c r="O18" s="755"/>
      <c r="P18" s="275"/>
      <c r="Q18" s="755"/>
      <c r="R18" s="755"/>
      <c r="S18" s="755"/>
      <c r="T18" s="755"/>
      <c r="U18" s="755"/>
      <c r="V18" s="755"/>
      <c r="W18" s="755"/>
      <c r="X18" s="755"/>
      <c r="Y18" s="755"/>
      <c r="Z18" s="755"/>
      <c r="AA18" s="755"/>
      <c r="AB18" s="275"/>
      <c r="AC18" s="755"/>
      <c r="AD18" s="275"/>
      <c r="AE18" s="275"/>
      <c r="AF18" s="275"/>
      <c r="AG18" s="275"/>
      <c r="AH18" s="275"/>
      <c r="AI18" s="275"/>
      <c r="AJ18" s="275"/>
      <c r="AK18" s="275"/>
      <c r="AL18" s="275"/>
    </row>
    <row r="19" spans="1:38" s="272" customFormat="1" hidden="1" x14ac:dyDescent="0.25">
      <c r="A19" s="275"/>
      <c r="B19" s="755"/>
      <c r="C19" s="275"/>
      <c r="D19" s="275"/>
      <c r="E19" s="275"/>
      <c r="F19" s="275"/>
      <c r="G19" s="275"/>
      <c r="H19" s="308" t="s">
        <v>389</v>
      </c>
      <c r="I19" s="2759"/>
      <c r="J19" s="2760"/>
      <c r="K19" s="2703">
        <f>SUMIFS('2 Staff List'!$FC$64:$FC$114,'2 Staff List'!$GR$64:$GR$114,1)*K15</f>
        <v>0</v>
      </c>
      <c r="L19" s="275"/>
      <c r="M19" s="755"/>
      <c r="N19" s="755"/>
      <c r="O19" s="755"/>
      <c r="P19" s="275"/>
      <c r="Q19" s="755"/>
      <c r="R19" s="755"/>
      <c r="S19" s="755"/>
      <c r="T19" s="755"/>
      <c r="U19" s="755"/>
      <c r="V19" s="755"/>
      <c r="W19" s="755"/>
      <c r="X19" s="755"/>
      <c r="Y19" s="755"/>
      <c r="Z19" s="755"/>
      <c r="AA19" s="755"/>
      <c r="AB19" s="275"/>
      <c r="AC19" s="755"/>
      <c r="AD19" s="275"/>
      <c r="AE19" s="275"/>
      <c r="AF19" s="275"/>
      <c r="AG19" s="275"/>
      <c r="AH19" s="275"/>
      <c r="AI19" s="275"/>
      <c r="AJ19" s="275"/>
      <c r="AK19" s="275"/>
      <c r="AL19" s="275"/>
    </row>
    <row r="20" spans="1:38" s="272" customFormat="1" ht="15" hidden="1" customHeight="1" x14ac:dyDescent="0.25">
      <c r="A20" s="275"/>
      <c r="B20" s="755"/>
      <c r="C20" s="755"/>
      <c r="D20" s="755"/>
      <c r="E20" s="755"/>
      <c r="F20" s="755"/>
      <c r="G20" s="755" t="s">
        <v>5</v>
      </c>
      <c r="H20" s="275"/>
      <c r="I20" s="755"/>
      <c r="J20" s="755"/>
      <c r="K20" s="755"/>
      <c r="L20" s="275"/>
      <c r="M20" s="755"/>
      <c r="N20" s="755"/>
      <c r="O20" s="755"/>
      <c r="P20" s="275"/>
      <c r="Q20" s="755"/>
      <c r="R20" s="755"/>
      <c r="S20" s="755"/>
      <c r="T20" s="755"/>
      <c r="U20" s="755"/>
      <c r="V20" s="755"/>
      <c r="W20" s="755"/>
      <c r="X20" s="755"/>
      <c r="Y20" s="755"/>
      <c r="Z20" s="755"/>
      <c r="AA20" s="755"/>
      <c r="AB20" s="275"/>
      <c r="AC20" s="755"/>
      <c r="AD20" s="275"/>
      <c r="AE20" s="275"/>
      <c r="AF20" s="755"/>
      <c r="AG20" s="275"/>
      <c r="AH20" s="275"/>
      <c r="AI20" s="275"/>
      <c r="AJ20" s="275"/>
      <c r="AK20" s="275"/>
      <c r="AL20" s="275"/>
    </row>
    <row r="21" spans="1:38" s="272" customFormat="1" ht="14.25" hidden="1" customHeight="1" x14ac:dyDescent="0.25">
      <c r="A21" s="275"/>
      <c r="B21" s="755"/>
      <c r="C21" s="755"/>
      <c r="D21" s="755"/>
      <c r="E21" s="755"/>
      <c r="F21" s="755"/>
      <c r="G21" s="755" t="s">
        <v>5</v>
      </c>
      <c r="H21" s="275"/>
      <c r="I21" s="310" t="s">
        <v>1619</v>
      </c>
      <c r="J21" s="310" t="s">
        <v>1618</v>
      </c>
      <c r="K21" s="755"/>
      <c r="L21" s="275"/>
      <c r="M21" s="275"/>
      <c r="N21" s="755"/>
      <c r="O21" s="275"/>
      <c r="P21" s="275"/>
      <c r="Q21" s="755"/>
      <c r="R21" s="755"/>
      <c r="S21" s="755"/>
      <c r="T21" s="755"/>
      <c r="U21" s="755"/>
      <c r="V21" s="755"/>
      <c r="W21" s="755"/>
      <c r="X21" s="755"/>
      <c r="Y21" s="755"/>
      <c r="Z21" s="275"/>
      <c r="AA21" s="755"/>
      <c r="AB21" s="275"/>
      <c r="AC21" s="755"/>
      <c r="AD21" s="275"/>
      <c r="AE21" s="275"/>
      <c r="AF21" s="755"/>
      <c r="AG21" s="275"/>
      <c r="AH21" s="275"/>
      <c r="AI21" s="275"/>
      <c r="AJ21" s="275"/>
      <c r="AK21" s="275"/>
      <c r="AL21" s="275"/>
    </row>
    <row r="22" spans="1:38" s="272" customFormat="1" hidden="1" x14ac:dyDescent="0.25">
      <c r="A22" s="275"/>
      <c r="B22" s="755"/>
      <c r="C22" s="755"/>
      <c r="D22" s="755"/>
      <c r="E22" s="755"/>
      <c r="F22" s="755"/>
      <c r="G22" s="755"/>
      <c r="H22" s="308" t="s">
        <v>387</v>
      </c>
      <c r="I22" s="440">
        <f ca="1">SUMIFS('2 Staff List'!$DZ$64:$DZ$114,'2 Staff List'!$GL$64:$GL$114,1)</f>
        <v>0</v>
      </c>
      <c r="J22" s="440">
        <f>SUMIFS('2 Staff List'!$DY$64:$DY$114,'2 Staff List'!$GL$64:$GL$114,1)</f>
        <v>0</v>
      </c>
      <c r="K22" s="755"/>
      <c r="L22" s="275"/>
      <c r="M22" s="275"/>
      <c r="N22" s="755"/>
      <c r="O22" s="275"/>
      <c r="P22" s="275"/>
      <c r="Q22" s="755"/>
      <c r="R22" s="755"/>
      <c r="S22" s="755"/>
      <c r="T22" s="755"/>
      <c r="U22" s="755"/>
      <c r="V22" s="755"/>
      <c r="W22" s="755"/>
      <c r="X22" s="755"/>
      <c r="Y22" s="755"/>
      <c r="Z22" s="275"/>
      <c r="AA22" s="755"/>
      <c r="AB22" s="275"/>
      <c r="AC22" s="755"/>
      <c r="AD22" s="275"/>
      <c r="AE22" s="275"/>
      <c r="AF22" s="275"/>
      <c r="AG22" s="275"/>
      <c r="AH22" s="275"/>
      <c r="AI22" s="275"/>
      <c r="AJ22" s="275"/>
      <c r="AK22" s="275"/>
      <c r="AL22" s="275"/>
    </row>
    <row r="23" spans="1:38" s="272" customFormat="1" hidden="1" x14ac:dyDescent="0.25">
      <c r="A23" s="275"/>
      <c r="B23" s="755"/>
      <c r="C23" s="755"/>
      <c r="D23" s="755"/>
      <c r="E23" s="755"/>
      <c r="F23" s="275"/>
      <c r="G23" s="275"/>
      <c r="H23" s="308" t="s">
        <v>1492</v>
      </c>
      <c r="I23" s="440">
        <f>SUMIFS('2 Staff List'!$DZ$64:$DZ$114,'2 Staff List'!$GP$64:$GP$114,1)</f>
        <v>0</v>
      </c>
      <c r="J23" s="440">
        <f>SUMIFS('2 Staff List'!$DY$64:$DY$114,'2 Staff List'!$GP$64:$GP$114,1)</f>
        <v>0</v>
      </c>
      <c r="K23" s="755"/>
      <c r="L23" s="306"/>
      <c r="M23" s="275"/>
      <c r="N23" s="755"/>
      <c r="O23" s="275"/>
      <c r="P23" s="275"/>
      <c r="Q23" s="755"/>
      <c r="R23" s="755"/>
      <c r="S23" s="755"/>
      <c r="T23" s="755"/>
      <c r="U23" s="755"/>
      <c r="V23" s="755"/>
      <c r="W23" s="755"/>
      <c r="X23" s="755"/>
      <c r="Y23" s="755"/>
      <c r="Z23" s="275"/>
      <c r="AA23" s="755"/>
      <c r="AB23" s="275"/>
      <c r="AC23" s="755"/>
      <c r="AD23" s="275"/>
      <c r="AE23" s="275"/>
      <c r="AF23" s="275"/>
      <c r="AG23" s="275"/>
      <c r="AH23" s="275"/>
      <c r="AI23" s="275"/>
      <c r="AJ23" s="275"/>
      <c r="AK23" s="275"/>
      <c r="AL23" s="275"/>
    </row>
    <row r="24" spans="1:38" s="272" customFormat="1" hidden="1" x14ac:dyDescent="0.25">
      <c r="A24" s="275"/>
      <c r="B24" s="755"/>
      <c r="C24" s="755"/>
      <c r="D24" s="755"/>
      <c r="E24" s="755"/>
      <c r="F24" s="275"/>
      <c r="G24" s="275"/>
      <c r="H24" s="308" t="s">
        <v>389</v>
      </c>
      <c r="I24" s="440">
        <f>SUMIFS('2 Staff List'!$DZ$64:$DZ$114,'2 Staff List'!$GR$64:$GR$114,1)</f>
        <v>0</v>
      </c>
      <c r="J24" s="440">
        <f>SUMIFS('2 Staff List'!$DY$64:$DY$114,'2 Staff List'!$GR$64:$GR$114,1)</f>
        <v>0</v>
      </c>
      <c r="K24" s="755"/>
      <c r="L24" s="306"/>
      <c r="M24" s="755"/>
      <c r="N24" s="755"/>
      <c r="O24" s="275"/>
      <c r="P24" s="275"/>
      <c r="Q24" s="755"/>
      <c r="R24" s="755"/>
      <c r="S24" s="755"/>
      <c r="T24" s="755"/>
      <c r="U24" s="755"/>
      <c r="V24" s="755"/>
      <c r="W24" s="755"/>
      <c r="X24" s="755"/>
      <c r="Y24" s="755"/>
      <c r="Z24" s="275"/>
      <c r="AA24" s="755"/>
      <c r="AB24" s="275"/>
      <c r="AC24" s="755"/>
      <c r="AD24" s="755"/>
      <c r="AE24" s="755"/>
      <c r="AF24" s="755"/>
      <c r="AG24" s="275"/>
      <c r="AH24" s="275"/>
      <c r="AI24" s="275"/>
      <c r="AJ24" s="275"/>
      <c r="AK24" s="275"/>
      <c r="AL24" s="275"/>
    </row>
    <row r="25" spans="1:38" s="272" customFormat="1" hidden="1" x14ac:dyDescent="0.25">
      <c r="A25" s="275"/>
      <c r="B25" s="755"/>
      <c r="C25" s="314">
        <f>'1 Setup'!T19</f>
        <v>1</v>
      </c>
      <c r="D25" s="306" t="s">
        <v>3983</v>
      </c>
      <c r="E25" s="755"/>
      <c r="F25" s="275"/>
      <c r="G25" s="275"/>
      <c r="H25" s="755"/>
      <c r="I25" s="755"/>
      <c r="J25" s="755"/>
      <c r="K25" s="755"/>
      <c r="L25" s="306"/>
      <c r="M25" s="755"/>
      <c r="N25" s="755"/>
      <c r="O25" s="275"/>
      <c r="P25" s="275"/>
      <c r="Q25" s="755"/>
      <c r="R25" s="755"/>
      <c r="S25" s="755"/>
      <c r="T25" s="755"/>
      <c r="U25" s="755"/>
      <c r="V25" s="755"/>
      <c r="W25" s="755"/>
      <c r="X25" s="755"/>
      <c r="Y25" s="755"/>
      <c r="Z25" s="275"/>
      <c r="AA25" s="755"/>
      <c r="AB25" s="275"/>
      <c r="AC25" s="755"/>
      <c r="AD25" s="755"/>
      <c r="AE25" s="755"/>
      <c r="AF25" s="755"/>
      <c r="AG25" s="275"/>
      <c r="AH25" s="275"/>
      <c r="AI25" s="275"/>
      <c r="AJ25" s="275"/>
      <c r="AK25" s="275"/>
      <c r="AL25" s="275"/>
    </row>
    <row r="26" spans="1:38" s="749" customFormat="1" ht="15" hidden="1" customHeight="1" x14ac:dyDescent="0.25">
      <c r="A26" s="755"/>
      <c r="B26" s="755"/>
      <c r="C26" s="755"/>
      <c r="D26" s="755"/>
      <c r="E26" s="755"/>
      <c r="F26" s="755"/>
      <c r="G26" s="755"/>
      <c r="H26" s="755"/>
      <c r="I26" s="1560" t="s">
        <v>2201</v>
      </c>
      <c r="J26" s="1560" t="s">
        <v>1617</v>
      </c>
      <c r="K26" s="1560" t="s">
        <v>2495</v>
      </c>
      <c r="L26" s="306"/>
      <c r="M26" s="310" t="s">
        <v>320</v>
      </c>
      <c r="N26" s="755"/>
      <c r="O26" s="310" t="s">
        <v>333</v>
      </c>
      <c r="P26" s="310" t="s">
        <v>1156</v>
      </c>
      <c r="Q26" s="310"/>
      <c r="R26" s="755"/>
      <c r="S26" s="755"/>
      <c r="T26" s="755"/>
      <c r="U26" s="755"/>
      <c r="V26" s="755"/>
      <c r="W26" s="755"/>
      <c r="X26" s="755"/>
      <c r="Y26" s="755"/>
      <c r="Z26" s="755"/>
      <c r="AA26" s="755"/>
      <c r="AB26" s="755"/>
      <c r="AC26" s="755"/>
      <c r="AD26" s="755"/>
      <c r="AE26" s="755"/>
      <c r="AF26" s="755"/>
      <c r="AG26" s="755"/>
      <c r="AH26" s="755"/>
      <c r="AI26" s="755"/>
      <c r="AJ26" s="755"/>
      <c r="AK26" s="755"/>
      <c r="AL26" s="755"/>
    </row>
    <row r="27" spans="1:38" s="749" customFormat="1" hidden="1" x14ac:dyDescent="0.25">
      <c r="A27" s="755"/>
      <c r="B27" s="755"/>
      <c r="C27" s="755"/>
      <c r="D27" s="755"/>
      <c r="E27" s="755"/>
      <c r="F27" s="755"/>
      <c r="G27" s="755"/>
      <c r="H27" s="308" t="s">
        <v>387</v>
      </c>
      <c r="I27" s="694">
        <f ca="1">SUMIFS('2 Staff List'!$DU$64:$DU$114,'2 Staff List'!$GL$64:$GL$114,1)/IF($C$29="B",F58,$H$58)</f>
        <v>50.25149070066032</v>
      </c>
      <c r="J27" s="694">
        <f>SUMIFS('2 Staff List'!$DW$64:$DW$114,'2 Staff List'!$GL$64:$GL$114,1)/IF($C$29="B",F58,$H$58)</f>
        <v>18.044408730741011</v>
      </c>
      <c r="K27" s="694">
        <f>SUMIFS('2 Staff List'!$DV$64:$DV$114,'2 Staff List'!$GL$64:$GL$114,1)/IF(C29="B",F58,$H$58)</f>
        <v>27.427501270726339</v>
      </c>
      <c r="L27" s="306"/>
      <c r="M27" s="966">
        <f ca="1">I27*(1+$K$13)/J27</f>
        <v>2.784878764968914</v>
      </c>
      <c r="N27" s="755"/>
      <c r="O27" s="966">
        <f ca="1">I27*(1+$K$13)-K27</f>
        <v>22.823989429933981</v>
      </c>
      <c r="P27" s="966">
        <f ca="1">I27*(1+$K$13)/K27</f>
        <v>1.8321570822163908</v>
      </c>
      <c r="Q27" s="310"/>
      <c r="R27" s="755"/>
      <c r="S27" s="755"/>
      <c r="T27" s="755"/>
      <c r="U27" s="755"/>
      <c r="V27" s="755"/>
      <c r="W27" s="755"/>
      <c r="X27" s="755"/>
      <c r="Y27" s="755"/>
      <c r="Z27" s="755"/>
      <c r="AA27" s="755"/>
      <c r="AB27" s="755"/>
      <c r="AC27" s="755"/>
      <c r="AD27" s="755"/>
      <c r="AE27" s="755"/>
      <c r="AF27" s="755"/>
      <c r="AG27" s="755"/>
      <c r="AH27" s="755"/>
      <c r="AI27" s="755"/>
      <c r="AJ27" s="755"/>
      <c r="AK27" s="755"/>
      <c r="AL27" s="755"/>
    </row>
    <row r="28" spans="1:38" s="749" customFormat="1" ht="14.4" hidden="1" thickBot="1" x14ac:dyDescent="0.3">
      <c r="A28" s="755"/>
      <c r="B28" s="755"/>
      <c r="C28" s="2051" t="b">
        <f>IF(OR('3a Staff Plan'!C4,'3b Activity Plan'!C5),TRUE,FALSE)</f>
        <v>0</v>
      </c>
      <c r="D28" s="306" t="s">
        <v>2138</v>
      </c>
      <c r="E28" s="755"/>
      <c r="F28" s="755"/>
      <c r="G28" s="755"/>
      <c r="H28" s="308" t="s">
        <v>1492</v>
      </c>
      <c r="I28" s="694" t="e">
        <f>SUMIFS('2 Staff List'!$DU$64:$DU$114,'2 Staff List'!$GP$64:$GP$114,1)/$H$59</f>
        <v>#DIV/0!</v>
      </c>
      <c r="J28" s="694" t="e">
        <f>SUMIFS('2 Staff List'!$DW$64:$DW$114,'2 Staff List'!$GP$64:$GP$114,1)/$H$59</f>
        <v>#DIV/0!</v>
      </c>
      <c r="K28" s="694" t="e">
        <f>SUMIFS('2 Staff List'!$DV$64:$DV$114,'2 Staff List'!$GP$64:$GP$114,1)/$H$59</f>
        <v>#DIV/0!</v>
      </c>
      <c r="L28" s="306"/>
      <c r="M28" s="966" t="e">
        <f>I28/J28</f>
        <v>#DIV/0!</v>
      </c>
      <c r="N28" s="755"/>
      <c r="O28" s="966" t="e">
        <f>I28-K28</f>
        <v>#DIV/0!</v>
      </c>
      <c r="P28" s="966" t="e">
        <f>I28/K28</f>
        <v>#DIV/0!</v>
      </c>
      <c r="Q28" s="310"/>
      <c r="R28" s="755"/>
      <c r="S28" s="755"/>
      <c r="T28" s="755"/>
      <c r="U28" s="755"/>
      <c r="V28" s="755"/>
      <c r="W28" s="755"/>
      <c r="X28" s="755"/>
      <c r="Y28" s="755"/>
      <c r="Z28" s="755"/>
      <c r="AA28" s="755"/>
      <c r="AB28" s="755"/>
      <c r="AC28" s="755"/>
      <c r="AD28" s="755"/>
      <c r="AE28" s="755"/>
      <c r="AF28" s="755"/>
      <c r="AG28" s="755"/>
      <c r="AH28" s="755"/>
      <c r="AI28" s="755"/>
      <c r="AJ28" s="755"/>
      <c r="AK28" s="755"/>
      <c r="AL28" s="755"/>
    </row>
    <row r="29" spans="1:38" s="749" customFormat="1" ht="14.25" hidden="1" customHeight="1" thickBot="1" x14ac:dyDescent="0.3">
      <c r="A29" s="755"/>
      <c r="B29" s="755"/>
      <c r="C29" s="2053" t="str">
        <f>'1 Setup'!G3</f>
        <v>B</v>
      </c>
      <c r="D29" s="306" t="s">
        <v>2147</v>
      </c>
      <c r="E29" s="446"/>
      <c r="F29" s="755"/>
      <c r="G29" s="755"/>
      <c r="H29" s="308" t="s">
        <v>389</v>
      </c>
      <c r="I29" s="1550" t="e">
        <f>SUMIFS('2 Staff List'!$DU$64:$DU$114,'2 Staff List'!$GR$64:$GR$114,1)/$H$60</f>
        <v>#DIV/0!</v>
      </c>
      <c r="J29" s="1550" t="e">
        <f>SUMIFS('2 Staff List'!$DW$64:$DW$114,'2 Staff List'!$GR$64:$GR$114,1)/$H$60</f>
        <v>#DIV/0!</v>
      </c>
      <c r="K29" s="1550" t="e">
        <f>SUMIFS('2 Staff List'!$DV$64:$DV$114,'2 Staff List'!$GR$64:$GR$114,1)/$H$60</f>
        <v>#DIV/0!</v>
      </c>
      <c r="L29" s="412"/>
      <c r="M29" s="1550" t="e">
        <f>I29/J29</f>
        <v>#DIV/0!</v>
      </c>
      <c r="N29" s="755"/>
      <c r="O29" s="1550" t="e">
        <f>I29-K29</f>
        <v>#DIV/0!</v>
      </c>
      <c r="P29" s="1550" t="e">
        <f>I29/K29</f>
        <v>#DIV/0!</v>
      </c>
      <c r="Q29" s="310"/>
      <c r="R29" s="755"/>
      <c r="S29" s="755"/>
      <c r="T29" s="755"/>
      <c r="U29" s="755"/>
      <c r="V29" s="755"/>
      <c r="W29" s="755"/>
      <c r="X29" s="755"/>
      <c r="Y29" s="755"/>
      <c r="Z29" s="755"/>
      <c r="AA29" s="755"/>
      <c r="AB29" s="755"/>
      <c r="AC29" s="755"/>
      <c r="AD29" s="755"/>
      <c r="AE29" s="755"/>
      <c r="AF29" s="755"/>
      <c r="AG29" s="755"/>
      <c r="AH29" s="755"/>
      <c r="AI29" s="755"/>
      <c r="AJ29" s="755"/>
      <c r="AK29" s="755"/>
      <c r="AL29" s="755"/>
    </row>
    <row r="30" spans="1:38" s="749" customFormat="1" ht="14.25" hidden="1" customHeight="1" x14ac:dyDescent="0.25">
      <c r="A30" s="755"/>
      <c r="B30" s="755"/>
      <c r="C30" s="2052">
        <f>'1 Setup'!G2</f>
        <v>3</v>
      </c>
      <c r="D30" s="306" t="s">
        <v>2147</v>
      </c>
      <c r="E30" s="755"/>
      <c r="F30" s="755"/>
      <c r="G30" s="755"/>
      <c r="H30" s="308" t="s">
        <v>130</v>
      </c>
      <c r="I30" s="693">
        <f ca="1">'2 Staff List'!DU62/'2 Staff List'!$BA$62</f>
        <v>50.25149070066032</v>
      </c>
      <c r="J30" s="693">
        <f>'2 Staff List'!DW62/'2 Staff List'!$BA$62</f>
        <v>18.044408730741011</v>
      </c>
      <c r="K30" s="693">
        <f>'2 Staff List'!DV62/'2 Staff List'!$BA$62</f>
        <v>27.427501270726339</v>
      </c>
      <c r="L30" s="755"/>
      <c r="M30" s="755"/>
      <c r="N30" s="755"/>
      <c r="O30" s="755"/>
      <c r="P30" s="755"/>
      <c r="Q30" s="755"/>
      <c r="R30" s="755"/>
      <c r="S30" s="755"/>
      <c r="T30" s="755"/>
      <c r="U30" s="755"/>
      <c r="V30" s="755"/>
      <c r="W30" s="755"/>
      <c r="X30" s="755"/>
      <c r="Y30" s="755"/>
      <c r="Z30" s="755"/>
      <c r="AA30" s="755"/>
      <c r="AB30" s="755"/>
      <c r="AC30" s="755"/>
      <c r="AD30" s="755"/>
      <c r="AE30" s="755"/>
      <c r="AF30" s="755"/>
      <c r="AG30" s="755"/>
      <c r="AH30" s="755"/>
      <c r="AI30" s="755"/>
      <c r="AJ30" s="755"/>
      <c r="AK30" s="755"/>
      <c r="AL30" s="755"/>
    </row>
    <row r="31" spans="1:38" s="749" customFormat="1" ht="14.25" hidden="1" customHeight="1" x14ac:dyDescent="0.25">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c r="AA31" s="755"/>
      <c r="AB31" s="755"/>
      <c r="AC31" s="755"/>
      <c r="AD31" s="755"/>
      <c r="AE31" s="755"/>
      <c r="AF31" s="755"/>
      <c r="AG31" s="755"/>
      <c r="AH31" s="755"/>
      <c r="AI31" s="755"/>
      <c r="AJ31" s="755"/>
      <c r="AK31" s="755"/>
      <c r="AL31" s="755"/>
    </row>
    <row r="32" spans="1:38" s="749" customFormat="1" hidden="1" x14ac:dyDescent="0.25">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c r="AA32" s="755"/>
      <c r="AB32" s="755"/>
      <c r="AC32" s="755"/>
      <c r="AD32" s="755"/>
      <c r="AE32" s="755"/>
      <c r="AF32" s="755"/>
      <c r="AG32" s="755"/>
      <c r="AH32" s="755"/>
      <c r="AI32" s="755"/>
      <c r="AJ32" s="755"/>
      <c r="AK32" s="755"/>
      <c r="AL32" s="755"/>
    </row>
    <row r="33" spans="1:212" s="749" customFormat="1" hidden="1" x14ac:dyDescent="0.25">
      <c r="A33" s="755"/>
      <c r="B33" s="755"/>
      <c r="C33" s="573">
        <f>MATCH(S122,D33:D36,0)</f>
        <v>1</v>
      </c>
      <c r="D33" s="204" t="s">
        <v>2172</v>
      </c>
      <c r="E33" s="1903"/>
      <c r="F33" s="1904"/>
      <c r="G33" s="755"/>
      <c r="H33" s="755"/>
      <c r="I33" s="310" t="s">
        <v>477</v>
      </c>
      <c r="J33" s="310" t="s">
        <v>2525</v>
      </c>
      <c r="K33" s="755"/>
      <c r="L33" s="755"/>
      <c r="M33" s="755"/>
      <c r="N33" s="755"/>
      <c r="O33" s="755"/>
      <c r="P33" s="755"/>
      <c r="Q33" s="755"/>
      <c r="R33" s="755"/>
      <c r="S33" s="755"/>
      <c r="T33" s="755"/>
      <c r="U33" s="755"/>
      <c r="V33" s="755"/>
      <c r="W33" s="755"/>
      <c r="X33" s="755"/>
      <c r="Y33" s="755"/>
      <c r="Z33" s="755"/>
      <c r="AA33" s="755"/>
      <c r="AB33" s="755"/>
      <c r="AC33" s="755"/>
      <c r="AD33" s="755"/>
      <c r="AE33" s="755"/>
      <c r="AF33" s="755"/>
      <c r="AG33" s="755"/>
      <c r="AH33" s="755"/>
      <c r="AI33" s="755"/>
      <c r="AJ33" s="755"/>
      <c r="AK33" s="755"/>
      <c r="AL33" s="755"/>
    </row>
    <row r="34" spans="1:212" s="749" customFormat="1" hidden="1" x14ac:dyDescent="0.25">
      <c r="A34" s="755"/>
      <c r="B34" s="755"/>
      <c r="C34" s="755"/>
      <c r="D34" s="204" t="s">
        <v>2164</v>
      </c>
      <c r="E34" s="1903"/>
      <c r="F34" s="1904"/>
      <c r="G34" s="755"/>
      <c r="H34" s="755"/>
      <c r="I34" s="310" t="s">
        <v>2526</v>
      </c>
      <c r="J34" s="310" t="s">
        <v>2527</v>
      </c>
      <c r="K34" s="755"/>
      <c r="L34" s="755"/>
      <c r="M34" s="755"/>
      <c r="N34" s="755"/>
      <c r="O34" s="755"/>
      <c r="P34" s="755"/>
      <c r="Q34" s="755"/>
      <c r="R34" s="755"/>
      <c r="S34" s="755"/>
      <c r="T34" s="755"/>
      <c r="U34" s="755"/>
      <c r="V34" s="755"/>
      <c r="W34" s="755"/>
      <c r="X34" s="755"/>
      <c r="Y34" s="755"/>
      <c r="Z34" s="755"/>
      <c r="AA34" s="755"/>
      <c r="AB34" s="755"/>
      <c r="AC34" s="755"/>
      <c r="AD34" s="755"/>
      <c r="AE34" s="755"/>
      <c r="AF34" s="755"/>
      <c r="AG34" s="755"/>
      <c r="AH34" s="755"/>
      <c r="AI34" s="755"/>
      <c r="AJ34" s="755"/>
      <c r="AK34" s="755"/>
      <c r="AL34" s="755"/>
    </row>
    <row r="35" spans="1:212" s="749" customFormat="1" hidden="1" x14ac:dyDescent="0.25">
      <c r="A35" s="755"/>
      <c r="B35" s="755"/>
      <c r="C35" s="755"/>
      <c r="D35" s="204" t="s">
        <v>2162</v>
      </c>
      <c r="E35" s="1903"/>
      <c r="F35" s="1904"/>
      <c r="G35" s="755"/>
      <c r="H35" s="308" t="s">
        <v>2902</v>
      </c>
      <c r="I35" s="573">
        <f>H58+H59</f>
        <v>1363</v>
      </c>
      <c r="J35" s="573">
        <f>F58+F59</f>
        <v>1363</v>
      </c>
      <c r="K35" s="446"/>
      <c r="L35" s="755"/>
      <c r="M35" s="755"/>
      <c r="N35" s="755"/>
      <c r="O35" s="755"/>
      <c r="P35" s="755"/>
      <c r="Q35" s="755"/>
      <c r="R35" s="755"/>
      <c r="S35" s="755"/>
      <c r="T35" s="755"/>
      <c r="U35" s="755"/>
      <c r="V35" s="755"/>
      <c r="W35" s="755"/>
      <c r="X35" s="755"/>
      <c r="Y35" s="755"/>
      <c r="Z35" s="755"/>
      <c r="AA35" s="755"/>
      <c r="AB35" s="755"/>
      <c r="AC35" s="755"/>
      <c r="AD35" s="755" t="s">
        <v>5</v>
      </c>
      <c r="AE35" s="755"/>
      <c r="AF35" s="755"/>
      <c r="AG35" s="755"/>
      <c r="AH35" s="755"/>
      <c r="AI35" s="755"/>
      <c r="AJ35" s="755"/>
      <c r="AK35" s="755"/>
      <c r="AL35" s="755"/>
      <c r="HD35" s="749" t="e">
        <f>if</f>
        <v>#NAME?</v>
      </c>
    </row>
    <row r="36" spans="1:212" s="749" customFormat="1" hidden="1" x14ac:dyDescent="0.25">
      <c r="A36" s="755"/>
      <c r="B36" s="755"/>
      <c r="C36" s="755"/>
      <c r="D36" s="204" t="s">
        <v>2163</v>
      </c>
      <c r="E36" s="1903"/>
      <c r="F36" s="1904"/>
      <c r="G36" s="755"/>
      <c r="H36" s="308" t="s">
        <v>31</v>
      </c>
      <c r="I36" s="573">
        <f ca="1">I89</f>
        <v>73862.781824999998</v>
      </c>
      <c r="J36" s="573">
        <f ca="1">I89</f>
        <v>73862.781824999998</v>
      </c>
      <c r="K36" s="446"/>
      <c r="L36" s="755"/>
      <c r="M36" s="755"/>
      <c r="N36" s="755"/>
      <c r="O36" s="755"/>
      <c r="P36" s="755"/>
      <c r="Q36" s="755"/>
      <c r="R36" s="755"/>
      <c r="S36" s="755"/>
      <c r="T36" s="755"/>
      <c r="U36" s="755"/>
      <c r="V36" s="755"/>
      <c r="W36" s="755"/>
      <c r="X36" s="755"/>
      <c r="Y36" s="755"/>
      <c r="Z36" s="755"/>
      <c r="AA36" s="755"/>
      <c r="AB36" s="755"/>
      <c r="AC36" s="755"/>
      <c r="AD36" s="755" t="s">
        <v>5</v>
      </c>
      <c r="AE36" s="755"/>
      <c r="AF36" s="755"/>
      <c r="AG36" s="755"/>
      <c r="AH36" s="755"/>
      <c r="AI36" s="755"/>
      <c r="AJ36" s="755"/>
      <c r="AK36" s="755"/>
      <c r="AL36" s="755"/>
    </row>
    <row r="37" spans="1:212" s="749" customFormat="1" hidden="1" x14ac:dyDescent="0.25">
      <c r="A37" s="755"/>
      <c r="B37" s="755"/>
      <c r="C37" s="755"/>
      <c r="D37" s="755"/>
      <c r="E37" s="755"/>
      <c r="F37" s="755"/>
      <c r="G37" s="755"/>
      <c r="H37" s="308" t="s">
        <v>478</v>
      </c>
      <c r="I37" s="573" t="e">
        <f>J89-#REF!-J67-J69</f>
        <v>#REF!</v>
      </c>
      <c r="J37" s="573" t="e">
        <f>I37</f>
        <v>#REF!</v>
      </c>
      <c r="K37" s="446"/>
      <c r="L37" s="755"/>
      <c r="M37" s="755"/>
      <c r="N37" s="755"/>
      <c r="O37" s="755"/>
      <c r="P37" s="755"/>
      <c r="Q37" s="755"/>
      <c r="R37" s="755"/>
      <c r="S37" s="755"/>
      <c r="T37" s="755"/>
      <c r="U37" s="755"/>
      <c r="V37" s="755"/>
      <c r="W37" s="755"/>
      <c r="X37" s="755"/>
      <c r="Y37" s="755"/>
      <c r="Z37" s="755"/>
      <c r="AA37" s="755"/>
      <c r="AB37" s="755"/>
      <c r="AC37" s="755"/>
      <c r="AD37" s="755" t="s">
        <v>5</v>
      </c>
      <c r="AE37" s="755"/>
      <c r="AF37" s="755"/>
      <c r="AG37" s="755"/>
      <c r="AH37" s="755"/>
      <c r="AI37" s="755"/>
      <c r="AJ37" s="755"/>
      <c r="AK37" s="755"/>
      <c r="AL37" s="755"/>
    </row>
    <row r="38" spans="1:212" s="749" customFormat="1" hidden="1" x14ac:dyDescent="0.25">
      <c r="A38" s="755"/>
      <c r="B38" s="755"/>
      <c r="C38" s="755"/>
      <c r="D38" s="755"/>
      <c r="E38" s="755"/>
      <c r="F38" s="755"/>
      <c r="G38" s="755"/>
      <c r="H38" s="308" t="s">
        <v>608</v>
      </c>
      <c r="I38" s="573" t="e">
        <f ca="1">I36-I37</f>
        <v>#REF!</v>
      </c>
      <c r="J38" s="573">
        <f ca="1">K89-K75</f>
        <v>28751.107593000001</v>
      </c>
      <c r="K38" s="446"/>
      <c r="L38" s="755"/>
      <c r="M38" s="755"/>
      <c r="N38" s="755"/>
      <c r="O38" s="755"/>
      <c r="P38" s="755"/>
      <c r="Q38" s="755"/>
      <c r="R38" s="755"/>
      <c r="S38" s="755"/>
      <c r="T38" s="755"/>
      <c r="U38" s="755"/>
      <c r="V38" s="755"/>
      <c r="W38" s="755"/>
      <c r="X38" s="755"/>
      <c r="Y38" s="755"/>
      <c r="Z38" s="755"/>
      <c r="AA38" s="755"/>
      <c r="AB38" s="755"/>
      <c r="AC38" s="755"/>
      <c r="AD38" s="755" t="s">
        <v>5</v>
      </c>
      <c r="AE38" s="755"/>
      <c r="AF38" s="755"/>
      <c r="AG38" s="755"/>
      <c r="AH38" s="755"/>
      <c r="AI38" s="755"/>
      <c r="AJ38" s="755"/>
      <c r="AK38" s="755"/>
      <c r="AL38" s="755"/>
    </row>
    <row r="39" spans="1:212" s="749" customFormat="1" hidden="1" x14ac:dyDescent="0.25">
      <c r="A39" s="755"/>
      <c r="B39" s="755"/>
      <c r="C39" s="755"/>
      <c r="D39" s="755"/>
      <c r="E39" s="755"/>
      <c r="F39" s="755"/>
      <c r="G39" s="755"/>
      <c r="H39" s="308" t="s">
        <v>333</v>
      </c>
      <c r="I39" s="787" t="e">
        <f ca="1">I38/I35</f>
        <v>#REF!</v>
      </c>
      <c r="J39" s="787">
        <f ca="1">J38/J35</f>
        <v>21.09398942993397</v>
      </c>
      <c r="K39" s="446"/>
      <c r="L39" s="755"/>
      <c r="M39" s="755"/>
      <c r="N39" s="755"/>
      <c r="O39" s="755"/>
      <c r="P39" s="755"/>
      <c r="Q39" s="755"/>
      <c r="R39" s="755"/>
      <c r="S39" s="755"/>
      <c r="T39" s="755"/>
      <c r="U39" s="755"/>
      <c r="V39" s="755"/>
      <c r="W39" s="755"/>
      <c r="X39" s="755"/>
      <c r="Y39" s="755"/>
      <c r="Z39" s="755"/>
      <c r="AA39" s="755"/>
      <c r="AB39" s="755"/>
      <c r="AC39" s="755"/>
      <c r="AD39" s="755"/>
      <c r="AE39" s="755"/>
      <c r="AF39" s="755"/>
      <c r="AG39" s="755"/>
      <c r="AH39" s="755"/>
      <c r="AI39" s="755"/>
      <c r="AJ39" s="755"/>
      <c r="AK39" s="755"/>
      <c r="AL39" s="755"/>
    </row>
    <row r="40" spans="1:212" s="749" customFormat="1" hidden="1" x14ac:dyDescent="0.25">
      <c r="A40" s="755"/>
      <c r="B40" s="755"/>
      <c r="C40" s="755"/>
      <c r="D40" s="755"/>
      <c r="E40" s="755"/>
      <c r="F40" s="755"/>
      <c r="G40" s="755"/>
      <c r="H40" s="308" t="s">
        <v>609</v>
      </c>
      <c r="I40" s="788" t="e">
        <f ca="1">I38/I36</f>
        <v>#REF!</v>
      </c>
      <c r="J40" s="788">
        <f ca="1">J38/J36</f>
        <v>0.38925026762624237</v>
      </c>
      <c r="K40" s="446"/>
      <c r="L40" s="755"/>
      <c r="M40" s="755"/>
      <c r="N40" s="755"/>
      <c r="O40" s="755"/>
      <c r="P40" s="755"/>
      <c r="Q40" s="755"/>
      <c r="R40" s="755"/>
      <c r="S40" s="755"/>
      <c r="T40" s="755"/>
      <c r="U40" s="755"/>
      <c r="V40" s="755"/>
      <c r="W40" s="755"/>
      <c r="X40" s="755"/>
      <c r="Y40" s="755"/>
      <c r="Z40" s="755"/>
      <c r="AA40" s="755"/>
      <c r="AB40" s="755"/>
      <c r="AC40" s="755"/>
      <c r="AD40" s="755"/>
      <c r="AE40" s="755"/>
      <c r="AF40" s="755"/>
      <c r="AG40" s="755"/>
      <c r="AH40" s="755"/>
      <c r="AI40" s="755"/>
      <c r="AJ40" s="755"/>
      <c r="AK40" s="755"/>
      <c r="AL40" s="755"/>
    </row>
    <row r="41" spans="1:212" s="749" customFormat="1" hidden="1" x14ac:dyDescent="0.25">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c r="AA41" s="755"/>
      <c r="AB41" s="755"/>
      <c r="AC41" s="755"/>
      <c r="AD41" s="755"/>
      <c r="AE41" s="755"/>
      <c r="AF41" s="755"/>
      <c r="AG41" s="755"/>
      <c r="AH41" s="755"/>
      <c r="AI41" s="755"/>
      <c r="AJ41" s="755"/>
      <c r="AK41" s="755"/>
      <c r="AL41" s="755"/>
    </row>
    <row r="42" spans="1:212" s="749" customFormat="1" hidden="1" x14ac:dyDescent="0.25">
      <c r="A42" s="755"/>
      <c r="B42" s="755"/>
      <c r="C42" s="755"/>
      <c r="D42" s="755"/>
      <c r="E42" s="755"/>
      <c r="F42" s="755"/>
      <c r="G42" s="755"/>
      <c r="H42" s="308"/>
      <c r="I42" s="308"/>
      <c r="J42" s="308"/>
      <c r="K42" s="446"/>
      <c r="L42" s="755"/>
      <c r="M42" s="755"/>
      <c r="N42" s="755"/>
      <c r="O42" s="755"/>
      <c r="P42" s="755"/>
      <c r="Q42" s="755"/>
      <c r="R42" s="755"/>
      <c r="S42" s="755"/>
      <c r="T42" s="755"/>
      <c r="U42" s="755"/>
      <c r="V42" s="755"/>
      <c r="W42" s="755"/>
      <c r="X42" s="755"/>
      <c r="Y42" s="755"/>
      <c r="Z42" s="755"/>
      <c r="AA42" s="755"/>
      <c r="AB42" s="755"/>
      <c r="AC42" s="755"/>
      <c r="AD42" s="755"/>
      <c r="AE42" s="755"/>
      <c r="AF42" s="755"/>
      <c r="AG42" s="755"/>
      <c r="AH42" s="755"/>
      <c r="AI42" s="755"/>
      <c r="AJ42" s="755"/>
      <c r="AK42" s="755"/>
      <c r="AL42" s="755"/>
    </row>
    <row r="43" spans="1:212" s="749" customFormat="1" hidden="1" x14ac:dyDescent="0.25">
      <c r="A43" s="755"/>
      <c r="B43" s="755"/>
      <c r="C43" s="773"/>
      <c r="D43" s="773"/>
      <c r="E43" s="773"/>
      <c r="F43" s="773"/>
      <c r="G43" s="773"/>
      <c r="H43" s="537">
        <v>2</v>
      </c>
      <c r="I43" s="853" t="s">
        <v>4080</v>
      </c>
      <c r="J43" s="308"/>
      <c r="K43" s="446"/>
      <c r="L43" s="773"/>
      <c r="M43" s="773"/>
      <c r="N43" s="773"/>
      <c r="O43" s="773"/>
      <c r="P43" s="773"/>
      <c r="Q43" s="773"/>
      <c r="R43" s="773"/>
      <c r="S43" s="773"/>
      <c r="T43" s="773"/>
      <c r="U43" s="773"/>
      <c r="V43" s="773"/>
      <c r="W43" s="773"/>
      <c r="X43" s="773"/>
      <c r="Y43" s="773"/>
      <c r="Z43" s="773"/>
      <c r="AA43" s="773"/>
      <c r="AB43" s="773"/>
      <c r="AC43" s="773"/>
      <c r="AD43" s="773"/>
      <c r="AE43" s="773"/>
      <c r="AF43" s="773"/>
      <c r="AG43" s="773"/>
      <c r="AH43" s="755"/>
      <c r="AI43" s="755"/>
      <c r="AJ43" s="755"/>
      <c r="AK43" s="755"/>
      <c r="AL43" s="755"/>
    </row>
    <row r="44" spans="1:212" s="749" customFormat="1" hidden="1" x14ac:dyDescent="0.25">
      <c r="A44" s="755"/>
      <c r="B44" s="755"/>
      <c r="C44" s="773"/>
      <c r="D44" s="773"/>
      <c r="E44" s="773"/>
      <c r="F44" s="773"/>
      <c r="G44" s="773"/>
      <c r="H44" s="308"/>
      <c r="I44" s="853" t="s">
        <v>4081</v>
      </c>
      <c r="J44" s="308"/>
      <c r="K44" s="446"/>
      <c r="L44" s="773"/>
      <c r="M44" s="773"/>
      <c r="N44" s="773"/>
      <c r="O44" s="773"/>
      <c r="P44" s="773"/>
      <c r="Q44" s="773"/>
      <c r="R44" s="773"/>
      <c r="S44" s="773"/>
      <c r="T44" s="773"/>
      <c r="U44" s="773"/>
      <c r="V44" s="773"/>
      <c r="W44" s="773"/>
      <c r="X44" s="773"/>
      <c r="Y44" s="773"/>
      <c r="Z44" s="773"/>
      <c r="AA44" s="773"/>
      <c r="AB44" s="773"/>
      <c r="AC44" s="773"/>
      <c r="AD44" s="773"/>
      <c r="AE44" s="773"/>
      <c r="AF44" s="773"/>
      <c r="AG44" s="773"/>
      <c r="AH44" s="755"/>
      <c r="AI44" s="755"/>
      <c r="AJ44" s="755"/>
      <c r="AK44" s="755"/>
      <c r="AL44" s="755"/>
    </row>
    <row r="45" spans="1:212" s="749" customFormat="1" hidden="1" x14ac:dyDescent="0.25">
      <c r="A45" s="755"/>
      <c r="B45" s="755"/>
      <c r="C45" s="755"/>
      <c r="D45" s="755"/>
      <c r="E45" s="755"/>
      <c r="F45" s="755"/>
      <c r="G45" s="755"/>
      <c r="H45" s="755"/>
      <c r="I45" s="308"/>
      <c r="J45" s="755"/>
      <c r="K45" s="755"/>
      <c r="L45" s="755"/>
      <c r="M45" s="755"/>
      <c r="N45" s="755"/>
      <c r="O45" s="755"/>
      <c r="P45" s="755"/>
      <c r="Q45" s="755"/>
      <c r="R45" s="755"/>
      <c r="S45" s="755"/>
      <c r="T45" s="755"/>
      <c r="U45" s="755"/>
      <c r="V45" s="755"/>
      <c r="W45" s="755"/>
      <c r="X45" s="755"/>
      <c r="Y45" s="755"/>
      <c r="Z45" s="755"/>
      <c r="AA45" s="755"/>
      <c r="AB45" s="755"/>
      <c r="AC45" s="755"/>
      <c r="AD45" s="755"/>
      <c r="AE45" s="755"/>
      <c r="AF45" s="755"/>
      <c r="AG45" s="755"/>
      <c r="AH45" s="755"/>
      <c r="AI45" s="755"/>
      <c r="AJ45" s="755"/>
      <c r="AK45" s="755"/>
      <c r="AL45" s="755"/>
    </row>
    <row r="46" spans="1:212" s="749" customFormat="1" hidden="1" x14ac:dyDescent="0.25">
      <c r="A46" s="755"/>
      <c r="B46" s="755"/>
      <c r="C46" s="755"/>
      <c r="D46" s="310" t="s">
        <v>140</v>
      </c>
      <c r="E46" s="310" t="s">
        <v>1383</v>
      </c>
      <c r="F46" s="310" t="s">
        <v>1633</v>
      </c>
      <c r="G46" s="755"/>
      <c r="H46" s="755"/>
      <c r="I46" s="308"/>
      <c r="J46" s="308"/>
      <c r="K46" s="446"/>
      <c r="L46" s="755"/>
      <c r="M46" s="755"/>
      <c r="N46" s="755"/>
      <c r="O46" s="755"/>
      <c r="P46" s="755"/>
      <c r="Q46" s="755"/>
      <c r="R46" s="755"/>
      <c r="S46" s="755"/>
      <c r="T46" s="755"/>
      <c r="U46" s="755"/>
      <c r="V46" s="755"/>
      <c r="W46" s="755"/>
      <c r="X46" s="755"/>
      <c r="Y46" s="755"/>
      <c r="Z46" s="755"/>
      <c r="AA46" s="755"/>
      <c r="AB46" s="755"/>
      <c r="AC46" s="755"/>
      <c r="AD46" s="755"/>
      <c r="AE46" s="755"/>
      <c r="AF46" s="755"/>
      <c r="AG46" s="755"/>
      <c r="AH46" s="755"/>
      <c r="AI46" s="755"/>
      <c r="AJ46" s="755"/>
      <c r="AK46" s="755"/>
      <c r="AL46" s="755"/>
    </row>
    <row r="47" spans="1:212" s="749" customFormat="1" hidden="1" x14ac:dyDescent="0.25">
      <c r="A47" s="755"/>
      <c r="B47" s="755"/>
      <c r="C47" s="755"/>
      <c r="D47" s="1600">
        <f>'2 Staff List'!DV62-D48-D49-D50</f>
        <v>37383.684232</v>
      </c>
      <c r="E47" s="1600">
        <f>'2 Staff List'!DW62-E48-E49-E50</f>
        <v>24594.5291</v>
      </c>
      <c r="F47" s="1600">
        <f>D47-E47</f>
        <v>12789.155132</v>
      </c>
      <c r="G47" s="446" t="s">
        <v>2202</v>
      </c>
      <c r="H47" s="755"/>
      <c r="I47" s="853" t="s">
        <v>3980</v>
      </c>
      <c r="J47" s="308"/>
      <c r="K47" s="446"/>
      <c r="L47" s="755"/>
      <c r="M47" s="755"/>
      <c r="N47" s="755"/>
      <c r="O47" s="755"/>
      <c r="P47" s="755"/>
      <c r="Q47" s="755"/>
      <c r="R47" s="755"/>
      <c r="S47" s="755"/>
      <c r="T47" s="755"/>
      <c r="U47" s="755"/>
      <c r="V47" s="755"/>
      <c r="W47" s="755"/>
      <c r="X47" s="755"/>
      <c r="Y47" s="755"/>
      <c r="Z47" s="755"/>
      <c r="AA47" s="755"/>
      <c r="AB47" s="755"/>
      <c r="AC47" s="755"/>
      <c r="AD47" s="755"/>
      <c r="AE47" s="755"/>
      <c r="AF47" s="755"/>
      <c r="AG47" s="755"/>
      <c r="AH47" s="755"/>
      <c r="AI47" s="755"/>
      <c r="AJ47" s="755"/>
      <c r="AK47" s="755"/>
      <c r="AL47" s="755"/>
    </row>
    <row r="48" spans="1:212" s="749" customFormat="1" hidden="1" x14ac:dyDescent="0.25">
      <c r="A48" s="755"/>
      <c r="B48" s="755"/>
      <c r="C48" s="755"/>
      <c r="D48" s="1600">
        <f>SUMIFS('2 Staff List'!$DV$64:$DV$114,'2 Staff List'!$IP$64:$IP$114,"Field")</f>
        <v>0</v>
      </c>
      <c r="E48" s="1600">
        <f>SUMIFS('2 Staff List'!$DW$64:$DW$114,'2 Staff List'!$IP$64:$IP$114,"Field")</f>
        <v>0</v>
      </c>
      <c r="F48" s="1600">
        <f t="shared" ref="F48:F50" si="6">D48-E48</f>
        <v>0</v>
      </c>
      <c r="G48" s="446" t="s">
        <v>2203</v>
      </c>
      <c r="H48" s="755"/>
      <c r="I48" s="853" t="s">
        <v>3979</v>
      </c>
      <c r="J48" s="308"/>
      <c r="K48" s="446"/>
      <c r="L48" s="755"/>
      <c r="M48" s="755"/>
      <c r="N48" s="755"/>
      <c r="O48" s="755"/>
      <c r="P48" s="755"/>
      <c r="Q48" s="755"/>
      <c r="R48" s="755"/>
      <c r="S48" s="755"/>
      <c r="T48" s="755"/>
      <c r="U48" s="755"/>
      <c r="V48" s="755"/>
      <c r="W48" s="755"/>
      <c r="X48" s="755"/>
      <c r="Y48" s="755"/>
      <c r="Z48" s="755"/>
      <c r="AA48" s="755"/>
      <c r="AB48" s="755"/>
      <c r="AC48" s="755"/>
      <c r="AD48" s="755"/>
      <c r="AE48" s="755"/>
      <c r="AF48" s="755"/>
      <c r="AG48" s="755"/>
      <c r="AH48" s="755"/>
      <c r="AI48" s="755"/>
      <c r="AJ48" s="755"/>
      <c r="AK48" s="755"/>
      <c r="AL48" s="755"/>
    </row>
    <row r="49" spans="1:38" s="749" customFormat="1" hidden="1" x14ac:dyDescent="0.25">
      <c r="A49" s="755"/>
      <c r="B49" s="755"/>
      <c r="C49" s="755"/>
      <c r="D49" s="1600">
        <f>SUMIFS('2 Staff List'!$DV$64:$DV$114,'2 Staff List'!$IP$64:$IP$114,"Jobshopper")</f>
        <v>0</v>
      </c>
      <c r="E49" s="1600">
        <f>SUMIFS('2 Staff List'!$DW$64:$DW$114,'2 Staff List'!$IP$64:$IP$114,"Jobshopper")</f>
        <v>0</v>
      </c>
      <c r="F49" s="1600">
        <f t="shared" si="6"/>
        <v>0</v>
      </c>
      <c r="G49" s="446" t="s">
        <v>2204</v>
      </c>
      <c r="H49" s="755"/>
      <c r="I49" s="853" t="s">
        <v>3978</v>
      </c>
      <c r="J49" s="308"/>
      <c r="K49" s="446"/>
      <c r="L49" s="755"/>
      <c r="M49" s="755"/>
      <c r="N49" s="755"/>
      <c r="O49" s="755"/>
      <c r="P49" s="755"/>
      <c r="Q49" s="755"/>
      <c r="R49" s="755"/>
      <c r="S49" s="755"/>
      <c r="T49" s="755"/>
      <c r="U49" s="755"/>
      <c r="V49" s="755"/>
      <c r="W49" s="755"/>
      <c r="X49" s="755"/>
      <c r="Y49" s="755"/>
      <c r="Z49" s="755"/>
      <c r="AA49" s="755"/>
      <c r="AB49" s="755"/>
      <c r="AC49" s="755"/>
      <c r="AD49" s="755"/>
      <c r="AE49" s="755"/>
      <c r="AF49" s="755"/>
      <c r="AG49" s="755"/>
      <c r="AH49" s="755"/>
      <c r="AI49" s="755"/>
      <c r="AJ49" s="755"/>
      <c r="AK49" s="755"/>
      <c r="AL49" s="755"/>
    </row>
    <row r="50" spans="1:38" s="749" customFormat="1" hidden="1" x14ac:dyDescent="0.25">
      <c r="A50" s="755"/>
      <c r="B50" s="755"/>
      <c r="C50" s="755"/>
      <c r="D50" s="1600">
        <f>SUMIFS('2 Staff List'!$DV$64:$DV$114,'2 Staff List'!$GP$64:$GP$114,1)</f>
        <v>0</v>
      </c>
      <c r="E50" s="1600">
        <f>SUMIFS('2 Staff List'!$DW$64:$DW$114,'2 Staff List'!$GP$64:$GP$114,1)</f>
        <v>0</v>
      </c>
      <c r="F50" s="1600">
        <f t="shared" si="6"/>
        <v>0</v>
      </c>
      <c r="G50" s="446" t="s">
        <v>2205</v>
      </c>
      <c r="H50" s="755"/>
      <c r="I50" s="853" t="s">
        <v>3977</v>
      </c>
      <c r="J50" s="1551"/>
      <c r="K50" s="446"/>
      <c r="L50" s="755"/>
      <c r="M50" s="755"/>
      <c r="N50" s="755"/>
      <c r="O50" s="755"/>
      <c r="P50" s="755"/>
      <c r="Q50" s="755"/>
      <c r="R50" s="755"/>
      <c r="S50" s="755"/>
      <c r="T50" s="755"/>
      <c r="U50" s="755"/>
      <c r="V50" s="755"/>
      <c r="W50" s="755"/>
      <c r="X50" s="755"/>
      <c r="Y50" s="755"/>
      <c r="Z50" s="755"/>
      <c r="AA50" s="755"/>
      <c r="AB50" s="755"/>
      <c r="AC50" s="755"/>
      <c r="AD50" s="755"/>
      <c r="AE50" s="755"/>
      <c r="AF50" s="755"/>
      <c r="AG50" s="755"/>
      <c r="AH50" s="755"/>
      <c r="AI50" s="755"/>
      <c r="AJ50" s="755"/>
      <c r="AK50" s="755"/>
      <c r="AL50" s="755"/>
    </row>
    <row r="51" spans="1:38" s="749" customFormat="1" hidden="1" x14ac:dyDescent="0.25">
      <c r="A51" s="755"/>
      <c r="B51" s="755"/>
      <c r="C51" s="755"/>
      <c r="D51" s="755"/>
      <c r="E51" s="755"/>
      <c r="F51" s="755"/>
      <c r="G51" s="755"/>
      <c r="H51" s="755"/>
      <c r="I51" s="755"/>
      <c r="J51" s="755"/>
      <c r="K51" s="446"/>
      <c r="L51" s="755"/>
      <c r="M51" s="755"/>
      <c r="N51" s="755"/>
      <c r="O51" s="755"/>
      <c r="P51" s="755"/>
      <c r="Q51" s="755"/>
      <c r="R51" s="755"/>
      <c r="S51" s="755"/>
      <c r="T51" s="755"/>
      <c r="U51" s="755"/>
      <c r="V51" s="755"/>
      <c r="W51" s="755"/>
      <c r="X51" s="755"/>
      <c r="Y51" s="755"/>
      <c r="Z51" s="755"/>
      <c r="AA51" s="755"/>
      <c r="AB51" s="755"/>
      <c r="AC51" s="755"/>
      <c r="AD51" s="755"/>
      <c r="AE51" s="755"/>
      <c r="AF51" s="755"/>
      <c r="AG51" s="755"/>
      <c r="AH51" s="755"/>
      <c r="AI51" s="755"/>
      <c r="AJ51" s="755"/>
      <c r="AK51" s="755"/>
      <c r="AL51" s="755"/>
    </row>
    <row r="52" spans="1:38" s="749" customFormat="1" hidden="1" x14ac:dyDescent="0.25">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c r="AA52" s="755"/>
      <c r="AB52" s="755"/>
      <c r="AC52" s="755"/>
      <c r="AD52" s="755"/>
      <c r="AE52" s="755"/>
      <c r="AF52" s="755"/>
      <c r="AG52" s="755"/>
      <c r="AH52" s="755"/>
      <c r="AI52" s="755"/>
      <c r="AJ52" s="755"/>
      <c r="AK52" s="755"/>
      <c r="AL52" s="755"/>
    </row>
    <row r="53" spans="1:38" s="749" customFormat="1" hidden="1" x14ac:dyDescent="0.25">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c r="AA53" s="755"/>
      <c r="AB53" s="755"/>
      <c r="AC53" s="755"/>
      <c r="AD53" s="755"/>
      <c r="AE53" s="755"/>
      <c r="AF53" s="755"/>
      <c r="AG53" s="755"/>
      <c r="AH53" s="755"/>
      <c r="AI53" s="755"/>
      <c r="AJ53" s="755"/>
      <c r="AK53" s="755"/>
      <c r="AL53" s="755"/>
    </row>
    <row r="54" spans="1:38" s="749" customFormat="1" hidden="1" x14ac:dyDescent="0.25">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c r="AA54" s="755"/>
      <c r="AB54" s="755"/>
      <c r="AC54" s="755"/>
      <c r="AD54" s="755"/>
      <c r="AE54" s="755"/>
      <c r="AF54" s="755"/>
      <c r="AG54" s="755"/>
      <c r="AH54" s="755"/>
      <c r="AI54" s="755"/>
      <c r="AJ54" s="755"/>
      <c r="AK54" s="755"/>
      <c r="AL54" s="755"/>
    </row>
    <row r="55" spans="1:38" s="749" customFormat="1" hidden="1" x14ac:dyDescent="0.25">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c r="AA55" s="755"/>
      <c r="AB55" s="755"/>
      <c r="AC55" s="755"/>
      <c r="AD55" s="755"/>
      <c r="AE55" s="755"/>
      <c r="AF55" s="755"/>
      <c r="AG55" s="755"/>
      <c r="AH55" s="755"/>
      <c r="AI55" s="755"/>
      <c r="AJ55" s="755"/>
      <c r="AK55" s="755"/>
      <c r="AL55" s="755"/>
    </row>
    <row r="56" spans="1:38" s="749" customFormat="1" hidden="1" x14ac:dyDescent="0.25">
      <c r="A56" s="755"/>
      <c r="B56" s="755"/>
      <c r="C56" s="786" t="s">
        <v>2175</v>
      </c>
      <c r="D56" s="773"/>
      <c r="E56" s="773"/>
      <c r="F56" s="773"/>
      <c r="G56" s="3920" t="s">
        <v>1</v>
      </c>
      <c r="H56" s="3920"/>
      <c r="I56" s="1554" t="s">
        <v>155</v>
      </c>
      <c r="J56" s="1554" t="s">
        <v>1520</v>
      </c>
      <c r="K56" s="1554" t="s">
        <v>154</v>
      </c>
      <c r="L56" s="755"/>
      <c r="M56" s="755"/>
      <c r="N56" s="755"/>
      <c r="O56" s="755"/>
      <c r="P56" s="755"/>
      <c r="Q56" s="755"/>
      <c r="R56" s="755"/>
      <c r="S56" s="755"/>
      <c r="T56" s="755"/>
      <c r="U56" s="755"/>
      <c r="V56" s="755"/>
      <c r="W56" s="755"/>
      <c r="X56" s="755"/>
      <c r="Y56" s="755"/>
      <c r="Z56" s="755"/>
      <c r="AA56" s="755"/>
      <c r="AB56" s="755"/>
      <c r="AC56" s="755"/>
      <c r="AD56" s="755"/>
      <c r="AE56" s="755"/>
      <c r="AF56" s="755"/>
      <c r="AG56" s="755"/>
      <c r="AH56" s="755"/>
      <c r="AI56" s="755"/>
      <c r="AJ56" s="755"/>
      <c r="AK56" s="755"/>
      <c r="AL56" s="755"/>
    </row>
    <row r="57" spans="1:38" s="749" customFormat="1" hidden="1" x14ac:dyDescent="0.25">
      <c r="A57" s="755"/>
      <c r="B57" s="755"/>
      <c r="C57" s="755"/>
      <c r="D57" s="773"/>
      <c r="E57" s="755"/>
      <c r="F57" s="412" t="s">
        <v>1518</v>
      </c>
      <c r="G57" s="295" t="s">
        <v>327</v>
      </c>
      <c r="H57" s="295" t="s">
        <v>326</v>
      </c>
      <c r="I57" s="295" t="str">
        <f>"("&amp;'1 Setup'!$I$60&amp;")"</f>
        <v>(GBP)</v>
      </c>
      <c r="J57" s="295" t="str">
        <f>"("&amp;'1 Setup'!$I$60&amp;")"</f>
        <v>(GBP)</v>
      </c>
      <c r="K57" s="295" t="str">
        <f>"("&amp;'1 Setup'!$I$60&amp;")"</f>
        <v>(GBP)</v>
      </c>
      <c r="L57" s="755"/>
      <c r="M57" s="755"/>
      <c r="N57" s="755"/>
      <c r="O57" s="755"/>
      <c r="P57" s="755"/>
      <c r="Q57" s="755"/>
      <c r="R57" s="755"/>
      <c r="S57" s="755"/>
      <c r="T57" s="755"/>
      <c r="U57" s="755"/>
      <c r="V57" s="755"/>
      <c r="W57" s="755"/>
      <c r="X57" s="755"/>
      <c r="Y57" s="755"/>
      <c r="Z57" s="755"/>
      <c r="AA57" s="755"/>
      <c r="AB57" s="755"/>
      <c r="AC57" s="755"/>
      <c r="AD57" s="755"/>
      <c r="AE57" s="755"/>
      <c r="AF57" s="755"/>
      <c r="AG57" s="755"/>
      <c r="AH57" s="755"/>
      <c r="AI57" s="755"/>
      <c r="AJ57" s="755"/>
      <c r="AK57" s="755"/>
      <c r="AL57" s="755"/>
    </row>
    <row r="58" spans="1:38" s="749" customFormat="1" hidden="1" x14ac:dyDescent="0.25">
      <c r="A58" s="755"/>
      <c r="B58" s="755"/>
      <c r="C58" s="755"/>
      <c r="D58" s="3321" t="s">
        <v>93</v>
      </c>
      <c r="E58" s="3325" t="s">
        <v>387</v>
      </c>
      <c r="F58" s="573">
        <f>IFERROR(H58+(H58/($H$58+$H$59)*$H$67),0)</f>
        <v>1363</v>
      </c>
      <c r="G58" s="625">
        <f>SUMIFS('2 Staff List'!$BA$64:$BA$114,'2 Staff List'!$GL$64:$GL$114,1,'2 Staff List'!$GR$64:$GR$114,0)-H58-H70</f>
        <v>0</v>
      </c>
      <c r="H58" s="629">
        <f>SUMIFS('2 Staff List'!$CU$64:$CU$114,'2 Staff List'!$GL$64:$GL$114,1,'2 Staff List'!$GR$64:$GR$114,0)-H70</f>
        <v>1363</v>
      </c>
      <c r="I58" s="1895">
        <f ca="1">SUMIFS('2 Staff List'!$DU$64:$DU$114,'2 Staff List'!$GL$64:$GL$114,1,'2 Staff List'!$GR$64:$GR$114,0)-I70</f>
        <v>68492.781825000013</v>
      </c>
      <c r="J58" s="1896">
        <f>IFERROR(SUMIFS('2 Staff List'!$DV$64:$DV$114,'2 Staff List'!$GL$64:$GL$114,1,'2 Staff List'!$GR$64:$GR$114,0),0)-J70</f>
        <v>37383.684232</v>
      </c>
      <c r="K58" s="1896">
        <f t="shared" ref="K58:K60" ca="1" si="7">I58-J58</f>
        <v>31109.097593000013</v>
      </c>
      <c r="L58" s="755"/>
      <c r="M58" s="315"/>
      <c r="N58" s="755"/>
      <c r="O58" s="755"/>
      <c r="P58" s="755"/>
      <c r="Q58" s="755"/>
      <c r="R58" s="755"/>
      <c r="S58" s="755"/>
      <c r="T58" s="755"/>
      <c r="U58" s="755"/>
      <c r="V58" s="755"/>
      <c r="W58" s="755"/>
      <c r="X58" s="755"/>
      <c r="Y58" s="755"/>
      <c r="Z58" s="755"/>
      <c r="AA58" s="755"/>
      <c r="AB58" s="755"/>
      <c r="AC58" s="755"/>
      <c r="AD58" s="755"/>
      <c r="AE58" s="755"/>
      <c r="AF58" s="755"/>
      <c r="AG58" s="755"/>
      <c r="AH58" s="755"/>
      <c r="AI58" s="755"/>
      <c r="AJ58" s="755"/>
      <c r="AK58" s="755"/>
      <c r="AL58" s="755"/>
    </row>
    <row r="59" spans="1:38" s="749" customFormat="1" hidden="1" x14ac:dyDescent="0.25">
      <c r="A59" s="755"/>
      <c r="B59" s="755"/>
      <c r="C59" s="755"/>
      <c r="D59" s="786"/>
      <c r="E59" s="1886" t="s">
        <v>1492</v>
      </c>
      <c r="F59" s="573">
        <f>IFERROR(H59+(H59/($H$58+$H$59)*$H$67),0)</f>
        <v>0</v>
      </c>
      <c r="G59" s="625">
        <f>SUMIFS('2 Staff List'!$BA$64:$BA$114,'2 Staff List'!$GP$64:$GP$114,1,'2 Staff List'!$GR$64:$GR$114,0)-H59</f>
        <v>0</v>
      </c>
      <c r="H59" s="629">
        <f>SUMIFS('2 Staff List'!$CU$64:$CU$114,'2 Staff List'!$GP$64:$GP$114,1,'2 Staff List'!$GR$64:$GR$114,0)</f>
        <v>0</v>
      </c>
      <c r="I59" s="1896">
        <f>SUMIFS('2 Staff List'!$DU$64:$DU$114,'2 Staff List'!$GP$64:$GP$114,1,'2 Staff List'!$GR$64:$GR$114,0)</f>
        <v>0</v>
      </c>
      <c r="J59" s="1896">
        <f>SUMIFS('2 Staff List'!$DV$64:$DV$114,'2 Staff List'!$GP$64:$GP$114,1,'2 Staff List'!$GR$64:$GR$114,0)</f>
        <v>0</v>
      </c>
      <c r="K59" s="1896">
        <f t="shared" si="7"/>
        <v>0</v>
      </c>
      <c r="L59" s="755"/>
      <c r="M59" s="755"/>
      <c r="N59" s="755"/>
      <c r="O59" s="755"/>
      <c r="P59" s="755"/>
      <c r="Q59" s="755"/>
      <c r="R59" s="755"/>
      <c r="S59" s="755"/>
      <c r="T59" s="755"/>
      <c r="U59" s="755"/>
      <c r="V59" s="755"/>
      <c r="W59" s="755"/>
      <c r="X59" s="755"/>
      <c r="Y59" s="755"/>
      <c r="Z59" s="755"/>
      <c r="AA59" s="755"/>
      <c r="AB59" s="755"/>
      <c r="AC59" s="755"/>
      <c r="AD59" s="755"/>
      <c r="AE59" s="755"/>
      <c r="AF59" s="755"/>
      <c r="AG59" s="755"/>
      <c r="AH59" s="755"/>
      <c r="AI59" s="755"/>
      <c r="AJ59" s="755"/>
      <c r="AK59" s="755"/>
      <c r="AL59" s="755"/>
    </row>
    <row r="60" spans="1:38" s="749" customFormat="1" ht="14.4" hidden="1" thickBot="1" x14ac:dyDescent="0.3">
      <c r="A60" s="755"/>
      <c r="B60" s="755"/>
      <c r="C60" s="755"/>
      <c r="D60" s="773"/>
      <c r="E60" s="1886" t="s">
        <v>389</v>
      </c>
      <c r="F60" s="1552"/>
      <c r="G60" s="628">
        <f>SUMIFS('2 Staff List'!$BA$64:$BA$114,'2 Staff List'!$GR$64:$GR$114,1)-H60</f>
        <v>0</v>
      </c>
      <c r="H60" s="1553">
        <f>SUMIFS('2 Staff List'!$CU$64:$CU$114,'2 Staff List'!$GR$64:$GR$114,1)</f>
        <v>0</v>
      </c>
      <c r="I60" s="1897">
        <f>SUMIFS('2 Staff List'!$DU$64:$DU$114,'2 Staff List'!$GR$64:$GR$114,1)</f>
        <v>0</v>
      </c>
      <c r="J60" s="1897">
        <f>SUMIFS('2 Staff List'!$DV$64:$DV$114,'2 Staff List'!$GR$64:$GR$114,1)</f>
        <v>0</v>
      </c>
      <c r="K60" s="1897">
        <f t="shared" si="7"/>
        <v>0</v>
      </c>
      <c r="L60" s="773"/>
      <c r="M60" s="773"/>
      <c r="N60" s="755"/>
      <c r="O60" s="755"/>
      <c r="P60" s="755"/>
      <c r="Q60" s="755"/>
      <c r="R60" s="755"/>
      <c r="S60" s="755"/>
      <c r="T60" s="755"/>
      <c r="U60" s="755"/>
      <c r="V60" s="755"/>
      <c r="W60" s="755"/>
      <c r="X60" s="755"/>
      <c r="Y60" s="755"/>
      <c r="Z60" s="755"/>
      <c r="AA60" s="748">
        <f ca="1">IF(SUM(AA65:AA75)&gt;0,2,IF(SUM(AA63:AA64)&gt;0,1,0))</f>
        <v>1</v>
      </c>
      <c r="AB60" s="256" t="s">
        <v>2140</v>
      </c>
      <c r="AC60" s="2700"/>
      <c r="AD60" s="755"/>
      <c r="AE60" s="755"/>
      <c r="AF60" s="755"/>
      <c r="AG60" s="755"/>
      <c r="AH60" s="755"/>
      <c r="AI60" s="755"/>
      <c r="AJ60" s="755"/>
      <c r="AK60" s="755"/>
      <c r="AL60" s="755"/>
    </row>
    <row r="61" spans="1:38" s="749" customFormat="1" hidden="1" x14ac:dyDescent="0.25">
      <c r="A61" s="755"/>
      <c r="B61" s="755"/>
      <c r="C61" s="755"/>
      <c r="D61" s="773"/>
      <c r="E61" s="1886" t="s">
        <v>130</v>
      </c>
      <c r="F61" s="982">
        <f>F58+F59</f>
        <v>1363</v>
      </c>
      <c r="G61" s="627">
        <f>'2 Staff List'!$BA$62-H61-H70</f>
        <v>0</v>
      </c>
      <c r="H61" s="631">
        <f>'2 Staff List'!$CU$62-H70</f>
        <v>1363</v>
      </c>
      <c r="I61" s="623">
        <f ca="1">(SUMIFS('3a Staff Plan'!$X$129:$X$305,'3a Staff Plan'!$DF$129:$DF$305,1,'3a Staff Plan'!$AG$129:$AG$305,1)*$F$17)+(SUMIFS('3b Activity Plan'!$X$173:$X$365,'3b Activity Plan'!$CY$173:$CY$365,1,'3b Activity Plan'!$AH$173:$AH$365,1)*$F$18)-I70</f>
        <v>68492.781824999998</v>
      </c>
      <c r="J61" s="624">
        <f>(SUMIFS('3a Staff Plan'!$Y$129:$Y$305,'3a Staff Plan'!$DF$129:$DF$305,1)*$F$17)+(SUMIFS('3b Activity Plan'!$Y$173:$Y$365,'3b Activity Plan'!$CY$173:$CY$365,1)*$F$18)-J70</f>
        <v>37383.684232</v>
      </c>
      <c r="K61" s="627">
        <f ca="1">I61-J61</f>
        <v>31109.097592999999</v>
      </c>
      <c r="L61" s="306" t="s">
        <v>1117</v>
      </c>
      <c r="M61" s="755"/>
      <c r="N61" s="755"/>
      <c r="O61" s="755"/>
      <c r="P61" s="755"/>
      <c r="Q61" s="755"/>
      <c r="R61" s="2050">
        <f ca="1">I61+I67+I70</f>
        <v>68492.781824999998</v>
      </c>
      <c r="S61" s="3267" t="s">
        <v>4215</v>
      </c>
      <c r="T61" s="755"/>
      <c r="U61" s="755"/>
      <c r="V61" s="755"/>
      <c r="W61" s="755"/>
      <c r="X61" s="755"/>
      <c r="Y61" s="755"/>
      <c r="Z61" s="755"/>
      <c r="AA61" s="755"/>
      <c r="AB61" s="256" t="s">
        <v>1813</v>
      </c>
      <c r="AC61" s="2700"/>
      <c r="AD61" s="755"/>
      <c r="AE61" s="755"/>
      <c r="AF61" s="755"/>
      <c r="AG61" s="755"/>
      <c r="AH61" s="755"/>
      <c r="AI61" s="755"/>
      <c r="AJ61" s="755"/>
      <c r="AK61" s="755"/>
      <c r="AL61" s="755"/>
    </row>
    <row r="62" spans="1:38" s="749" customFormat="1" ht="14.4" hidden="1" thickBot="1" x14ac:dyDescent="0.3">
      <c r="A62" s="755"/>
      <c r="B62" s="755"/>
      <c r="C62" s="755"/>
      <c r="D62" s="773"/>
      <c r="E62" s="1885"/>
      <c r="F62" s="1839"/>
      <c r="G62" s="1839"/>
      <c r="H62" s="755"/>
      <c r="I62" s="755"/>
      <c r="J62" s="755"/>
      <c r="K62" s="755"/>
      <c r="L62" s="755"/>
      <c r="M62" s="755"/>
      <c r="N62" s="755"/>
      <c r="O62" s="755"/>
      <c r="P62" s="755"/>
      <c r="Q62" s="755"/>
      <c r="R62" s="755"/>
      <c r="S62" s="755"/>
      <c r="T62" s="306"/>
      <c r="U62" s="755"/>
      <c r="V62" s="755"/>
      <c r="W62" s="755"/>
      <c r="X62" s="755"/>
      <c r="Y62" s="755"/>
      <c r="Z62" s="755"/>
      <c r="AA62" s="1905"/>
      <c r="AB62" s="1723" t="s">
        <v>2141</v>
      </c>
      <c r="AC62" s="2700"/>
      <c r="AD62" s="755"/>
      <c r="AE62" s="755"/>
      <c r="AF62" s="755"/>
      <c r="AG62" s="755"/>
      <c r="AH62" s="755"/>
      <c r="AI62" s="755"/>
      <c r="AJ62" s="755"/>
      <c r="AK62" s="755"/>
      <c r="AL62" s="755"/>
    </row>
    <row r="63" spans="1:38" s="749" customFormat="1" hidden="1" x14ac:dyDescent="0.25">
      <c r="A63" s="755"/>
      <c r="B63" s="755"/>
      <c r="C63" s="755"/>
      <c r="D63" s="3321" t="s">
        <v>117</v>
      </c>
      <c r="E63" s="3322" t="s">
        <v>232</v>
      </c>
      <c r="F63" s="3323"/>
      <c r="G63" s="3324"/>
      <c r="H63" s="3325"/>
      <c r="I63" s="2050">
        <f>('3a Staff Plan'!DP125*$F$17)+('3b Activity Plan'!CZ169*$F$18)-I87</f>
        <v>5370</v>
      </c>
      <c r="J63" s="2050">
        <f>('3a Staff Plan'!S125*$F$17)+('3b Activity Plan'!S169*$F$18)-J65</f>
        <v>5370</v>
      </c>
      <c r="K63" s="625">
        <f>I63-J63</f>
        <v>0</v>
      </c>
      <c r="L63" s="306"/>
      <c r="M63" s="755"/>
      <c r="N63" s="773"/>
      <c r="O63" s="773"/>
      <c r="P63" s="755"/>
      <c r="Q63" s="755"/>
      <c r="R63" s="755"/>
      <c r="S63" s="755"/>
      <c r="T63" s="306"/>
      <c r="U63" s="755"/>
      <c r="V63" s="755"/>
      <c r="W63" s="755"/>
      <c r="X63" s="755"/>
      <c r="Y63" s="755"/>
      <c r="Z63" s="755"/>
      <c r="AA63" s="499">
        <f>IF('2 Staff List'!GH62&gt;0,1,0)</f>
        <v>0</v>
      </c>
      <c r="AB63" s="535" t="s">
        <v>1797</v>
      </c>
      <c r="AC63" s="2700"/>
      <c r="AD63" s="755"/>
      <c r="AE63" s="755"/>
      <c r="AF63" s="755"/>
      <c r="AG63" s="755"/>
      <c r="AH63" s="755"/>
      <c r="AI63" s="755"/>
      <c r="AJ63" s="755"/>
      <c r="AK63" s="755"/>
      <c r="AL63" s="755"/>
    </row>
    <row r="64" spans="1:38" s="749" customFormat="1" hidden="1" x14ac:dyDescent="0.25">
      <c r="A64" s="755"/>
      <c r="B64" s="755"/>
      <c r="C64" s="755"/>
      <c r="D64" s="786"/>
      <c r="E64" s="1883" t="s">
        <v>936</v>
      </c>
      <c r="F64" s="1881"/>
      <c r="G64" s="1882"/>
      <c r="H64" s="1883"/>
      <c r="I64" s="2050">
        <f>('3a Staff Plan'!DP124*$F$17)+('3b Activity Plan'!CZ168*$F$18)</f>
        <v>0</v>
      </c>
      <c r="J64" s="2050">
        <f>('3a Staff Plan'!S124*$F$17)+('3b Activity Plan'!S168*$F$18)</f>
        <v>0</v>
      </c>
      <c r="K64" s="625">
        <f>I64-J64</f>
        <v>0</v>
      </c>
      <c r="L64" s="306"/>
      <c r="M64" s="755"/>
      <c r="N64" s="773"/>
      <c r="O64" s="773"/>
      <c r="P64" s="755"/>
      <c r="Q64" s="755"/>
      <c r="R64" s="755"/>
      <c r="S64" s="755"/>
      <c r="T64" s="306"/>
      <c r="U64" s="755"/>
      <c r="V64" s="755"/>
      <c r="W64" s="755"/>
      <c r="X64" s="755"/>
      <c r="Y64" s="755"/>
      <c r="Z64" s="755"/>
      <c r="AA64" s="748">
        <f ca="1">IF(AND(I116&gt;0,J67+J69+J75=0),1,0)</f>
        <v>1</v>
      </c>
      <c r="AB64" s="256" t="s">
        <v>4170</v>
      </c>
      <c r="AC64" s="2700"/>
      <c r="AD64" s="755"/>
      <c r="AE64" s="755"/>
      <c r="AF64" s="755"/>
      <c r="AG64" s="755"/>
      <c r="AH64" s="755"/>
      <c r="AI64" s="755"/>
      <c r="AJ64" s="755"/>
      <c r="AK64" s="755"/>
      <c r="AL64" s="755"/>
    </row>
    <row r="65" spans="1:38" s="749" customFormat="1" hidden="1" x14ac:dyDescent="0.25">
      <c r="A65" s="755"/>
      <c r="B65" s="755"/>
      <c r="C65" s="755"/>
      <c r="D65" s="773"/>
      <c r="E65" s="1883" t="s">
        <v>1611</v>
      </c>
      <c r="F65" s="1882"/>
      <c r="G65" s="1882"/>
      <c r="H65" s="1882"/>
      <c r="I65" s="1884"/>
      <c r="J65" s="625">
        <f>IFERROR((('3a Staff Plan'!V125)*$F$17)+(('3b Activity Plan'!V169)*$F$18),0)</f>
        <v>2357.9899999999998</v>
      </c>
      <c r="K65" s="625">
        <f>-J65</f>
        <v>-2357.9899999999998</v>
      </c>
      <c r="L65" s="306"/>
      <c r="M65" s="755"/>
      <c r="N65" s="773"/>
      <c r="O65" s="773"/>
      <c r="P65" s="755"/>
      <c r="Q65" s="755"/>
      <c r="R65" s="755"/>
      <c r="S65" s="755"/>
      <c r="T65" s="306"/>
      <c r="U65" s="755"/>
      <c r="V65" s="755"/>
      <c r="W65" s="755"/>
      <c r="X65" s="755"/>
      <c r="Y65" s="755"/>
      <c r="Z65" s="755"/>
      <c r="AA65" s="499">
        <f>IF('2 Staff List'!GG62&gt;0,1,0)</f>
        <v>0</v>
      </c>
      <c r="AB65" s="535" t="s">
        <v>1798</v>
      </c>
      <c r="AC65" s="2700"/>
      <c r="AD65" s="755"/>
      <c r="AE65" s="755"/>
      <c r="AF65" s="755"/>
      <c r="AG65" s="755"/>
      <c r="AH65" s="755"/>
      <c r="AI65" s="755"/>
      <c r="AJ65" s="755"/>
      <c r="AK65" s="755"/>
      <c r="AL65" s="755"/>
    </row>
    <row r="66" spans="1:38" s="749" customFormat="1" hidden="1" x14ac:dyDescent="0.25">
      <c r="A66" s="755"/>
      <c r="B66" s="755"/>
      <c r="C66" s="755"/>
      <c r="D66" s="773"/>
      <c r="E66" s="773"/>
      <c r="F66" s="773"/>
      <c r="G66" s="773"/>
      <c r="H66" s="773"/>
      <c r="I66" s="773"/>
      <c r="J66" s="773"/>
      <c r="K66" s="773"/>
      <c r="L66" s="773"/>
      <c r="M66" s="773"/>
      <c r="N66" s="773"/>
      <c r="O66" s="773"/>
      <c r="P66" s="755"/>
      <c r="Q66" s="755"/>
      <c r="R66" s="755"/>
      <c r="S66" s="755"/>
      <c r="T66" s="306"/>
      <c r="U66" s="755"/>
      <c r="V66" s="755"/>
      <c r="W66" s="755"/>
      <c r="X66" s="755"/>
      <c r="Y66" s="755"/>
      <c r="Z66" s="755"/>
      <c r="AA66" s="748">
        <f ca="1">IF('2 Staff List'!GI62&gt;0,1,0)</f>
        <v>0</v>
      </c>
      <c r="AB66" s="256" t="s">
        <v>1799</v>
      </c>
      <c r="AC66" s="2700"/>
      <c r="AD66" s="755"/>
      <c r="AE66" s="755"/>
      <c r="AF66" s="755"/>
      <c r="AG66" s="755"/>
      <c r="AH66" s="755"/>
      <c r="AI66" s="755"/>
      <c r="AJ66" s="755"/>
      <c r="AK66" s="755"/>
      <c r="AL66" s="755"/>
    </row>
    <row r="67" spans="1:38" s="749" customFormat="1" hidden="1" x14ac:dyDescent="0.25">
      <c r="A67" s="755"/>
      <c r="B67" s="755"/>
      <c r="C67" s="755"/>
      <c r="D67" s="3321" t="s">
        <v>4259</v>
      </c>
      <c r="E67" s="3322" t="s">
        <v>4307</v>
      </c>
      <c r="F67" s="3324"/>
      <c r="G67" s="1884"/>
      <c r="H67" s="3066">
        <f>IF(C29="B",0,('3a Staff Plan'!R119*F17)+('3b Activity Plan'!R163*F18))</f>
        <v>0</v>
      </c>
      <c r="I67" s="2050">
        <f>IF($C$29="B",0,('3a Staff Plan'!DP119*$F$17)+('3b Activity Plan'!CZ163*$F$18))</f>
        <v>0</v>
      </c>
      <c r="J67" s="2080">
        <f>IF(C29="B",0,('3a Staff Plan'!S119*F17)+('3b Activity Plan'!S163*F18))</f>
        <v>0</v>
      </c>
      <c r="K67" s="625">
        <f>I67-J67</f>
        <v>0</v>
      </c>
      <c r="L67" s="306"/>
      <c r="M67" s="773"/>
      <c r="N67" s="755"/>
      <c r="O67" s="755"/>
      <c r="P67" s="755"/>
      <c r="Q67" s="755"/>
      <c r="R67" s="755"/>
      <c r="S67" s="755"/>
      <c r="T67" s="306"/>
      <c r="U67" s="755"/>
      <c r="V67" s="755"/>
      <c r="W67" s="755"/>
      <c r="X67" s="755"/>
      <c r="Y67" s="755"/>
      <c r="Z67" s="755"/>
      <c r="AA67" s="748">
        <f>IF('2 Staff List'!GJ62&gt;0,1,0)</f>
        <v>0</v>
      </c>
      <c r="AB67" s="256" t="s">
        <v>1800</v>
      </c>
      <c r="AC67" s="2700"/>
      <c r="AD67" s="755"/>
      <c r="AE67" s="755"/>
      <c r="AF67" s="755"/>
      <c r="AG67" s="755"/>
      <c r="AH67" s="755"/>
      <c r="AI67" s="755"/>
      <c r="AJ67" s="755"/>
      <c r="AK67" s="755"/>
      <c r="AL67" s="755"/>
    </row>
    <row r="68" spans="1:38" s="749" customFormat="1" hidden="1" x14ac:dyDescent="0.25">
      <c r="A68" s="755"/>
      <c r="B68" s="755"/>
      <c r="C68" s="755"/>
      <c r="D68" s="786"/>
      <c r="E68" s="1883" t="s">
        <v>4281</v>
      </c>
      <c r="F68" s="1882"/>
      <c r="G68" s="1882"/>
      <c r="H68" s="1882"/>
      <c r="I68" s="1882"/>
      <c r="J68" s="2050"/>
      <c r="K68" s="1882"/>
      <c r="L68" s="306"/>
      <c r="M68" s="755"/>
      <c r="N68" s="755"/>
      <c r="O68" s="755"/>
      <c r="P68" s="755"/>
      <c r="Q68" s="755"/>
      <c r="R68" s="755"/>
      <c r="S68" s="755"/>
      <c r="T68" s="306"/>
      <c r="U68" s="755"/>
      <c r="V68" s="755"/>
      <c r="W68" s="755"/>
      <c r="X68" s="755"/>
      <c r="Y68" s="755"/>
      <c r="Z68" s="755"/>
      <c r="AA68" s="748">
        <f>IF('2 Staff List'!GK62&gt;0,1,0)</f>
        <v>0</v>
      </c>
      <c r="AB68" s="256" t="s">
        <v>1802</v>
      </c>
      <c r="AC68" s="2700"/>
      <c r="AD68" s="755"/>
      <c r="AE68" s="755"/>
      <c r="AF68" s="755"/>
      <c r="AG68" s="755"/>
      <c r="AH68" s="755"/>
      <c r="AI68" s="755"/>
      <c r="AJ68" s="755"/>
      <c r="AK68" s="755"/>
      <c r="AL68" s="755"/>
    </row>
    <row r="69" spans="1:38" s="749" customFormat="1" ht="13.95" hidden="1" customHeight="1" x14ac:dyDescent="0.25">
      <c r="A69" s="755"/>
      <c r="B69" s="755"/>
      <c r="C69" s="755"/>
      <c r="D69" s="755"/>
      <c r="E69" s="1883" t="s">
        <v>4216</v>
      </c>
      <c r="F69" s="1882"/>
      <c r="G69" s="1882"/>
      <c r="H69" s="446"/>
      <c r="I69" s="2050">
        <f>IF(C29="B",0,(('3a Staff Plan'!DP120*$F$17)+('3b Activity Plan'!CZ164*$F$18))*C25)</f>
        <v>0</v>
      </c>
      <c r="J69" s="3061">
        <f>IF(C29="B",0,(('3a Staff Plan'!S120*$F$17)+('3b Activity Plan'!S164*$F$18))*C25)</f>
        <v>0</v>
      </c>
      <c r="K69" s="625">
        <f>I69-J69</f>
        <v>0</v>
      </c>
      <c r="L69" s="306"/>
      <c r="M69" s="755"/>
      <c r="N69" s="755"/>
      <c r="O69" s="755"/>
      <c r="P69" s="755"/>
      <c r="Q69" s="755"/>
      <c r="R69" s="755"/>
      <c r="S69" s="755"/>
      <c r="T69" s="306"/>
      <c r="U69" s="755"/>
      <c r="V69" s="755"/>
      <c r="W69" s="755"/>
      <c r="X69" s="755"/>
      <c r="Y69" s="755"/>
      <c r="Z69" s="755"/>
      <c r="AA69" s="748">
        <f>IF('3b Activity Plan'!DH4&gt;0,1,0)</f>
        <v>0</v>
      </c>
      <c r="AB69" s="256" t="s">
        <v>1803</v>
      </c>
      <c r="AC69" s="2700"/>
      <c r="AD69" s="755"/>
      <c r="AE69" s="755"/>
      <c r="AF69" s="755"/>
      <c r="AG69" s="755"/>
      <c r="AH69" s="755"/>
      <c r="AI69" s="755"/>
      <c r="AJ69" s="755"/>
      <c r="AK69" s="755"/>
      <c r="AL69" s="755"/>
    </row>
    <row r="70" spans="1:38" s="749" customFormat="1" hidden="1" x14ac:dyDescent="0.25">
      <c r="A70" s="755"/>
      <c r="B70" s="755"/>
      <c r="C70" s="755"/>
      <c r="D70" s="755"/>
      <c r="E70" s="1883" t="s">
        <v>4290</v>
      </c>
      <c r="F70" s="1882"/>
      <c r="G70" s="1882"/>
      <c r="H70" s="3066">
        <f>(SUMIFS('3a Staff Plan'!$T$129:$T$305,'3a Staff Plan'!$DF$129:$DF$305,1,'3a Staff Plan'!$DG$129:$DG$305,"S")*$F$17)+(SUMIFS('3b Activity Plan'!$T$173:$T$365,'3b Activity Plan'!$CY$173:$CY$365,1,'3b Activity Plan'!$AI$173:$AI$365,"S")*$F$18)</f>
        <v>0</v>
      </c>
      <c r="I70" s="2050">
        <f>(SUMIFS('3a Staff Plan'!$X$129:$X$305,'3a Staff Plan'!$DF$129:$DF$305,1,'3a Staff Plan'!$DG$129:$DG$305,"S")*$F$17)+(SUMIFS('3b Activity Plan'!$X$173:$X$365,'3b Activity Plan'!$CY$173:$CY$365,1,'3b Activity Plan'!$AI$173:$AI$365,"S")*$F$18)</f>
        <v>0</v>
      </c>
      <c r="J70" s="2080">
        <f>(SUMIFS('3a Staff Plan'!$Y$129:$Y$305,'3a Staff Plan'!$DF$129:$DF$305,1,'3a Staff Plan'!$DG$129:$DG$305,"S")*$F$17)+(SUMIFS('3b Activity Plan'!$Y$173:$Y$365,'3b Activity Plan'!$CY$173:$CY$365,1,'3b Activity Plan'!$AI$173:$AI$365,"S")*$F$18)</f>
        <v>0</v>
      </c>
      <c r="K70" s="625">
        <f>I70-J70</f>
        <v>0</v>
      </c>
      <c r="L70" s="306"/>
      <c r="M70" s="755"/>
      <c r="N70" s="755"/>
      <c r="O70" s="755"/>
      <c r="P70" s="1906"/>
      <c r="Q70" s="1906"/>
      <c r="R70" s="755"/>
      <c r="S70" s="755"/>
      <c r="T70" s="306"/>
      <c r="U70" s="755"/>
      <c r="V70" s="755"/>
      <c r="W70" s="755"/>
      <c r="X70" s="755"/>
      <c r="Y70" s="755"/>
      <c r="Z70" s="755"/>
      <c r="AA70" s="748">
        <f>IF('3a Staff Plan'!AQ127+'3b Activity Plan'!FT171&gt;0,1,0)</f>
        <v>0</v>
      </c>
      <c r="AB70" s="256" t="s">
        <v>2848</v>
      </c>
      <c r="AC70" s="2700"/>
      <c r="AD70" s="755"/>
      <c r="AE70" s="755"/>
      <c r="AF70" s="755"/>
      <c r="AG70" s="755"/>
      <c r="AH70" s="755"/>
      <c r="AI70" s="755"/>
      <c r="AJ70" s="755"/>
      <c r="AK70" s="755"/>
      <c r="AL70" s="755"/>
    </row>
    <row r="71" spans="1:38" s="749" customFormat="1" ht="13.95" hidden="1" customHeight="1" x14ac:dyDescent="0.25">
      <c r="A71" s="755"/>
      <c r="B71" s="755"/>
      <c r="C71" s="755"/>
      <c r="D71" s="755"/>
      <c r="E71" s="1883" t="s">
        <v>4283</v>
      </c>
      <c r="F71" s="1882"/>
      <c r="G71" s="1882"/>
      <c r="H71" s="1882"/>
      <c r="I71" s="1882"/>
      <c r="J71" s="2050">
        <f>(SUMIFS('3a Staff Plan'!$V$129:$V$305,'3a Staff Plan'!$DF$129:$DF$305,1,'3a Staff Plan'!$DG$129:$DG$305,"S")*$F$17)+(SUMIFS('3b Activity Plan'!$V$173:$V$365,'3b Activity Plan'!$CY$173:$CY$365,1,'3b Activity Plan'!$AI$173:$AI$365,"S")*$F$18)</f>
        <v>0</v>
      </c>
      <c r="K71" s="625">
        <f>I71-J71</f>
        <v>0</v>
      </c>
      <c r="L71" s="306"/>
      <c r="M71" s="755"/>
      <c r="N71" s="755"/>
      <c r="O71" s="755"/>
      <c r="P71" s="755"/>
      <c r="Q71" s="755"/>
      <c r="R71" s="755"/>
      <c r="S71" s="755"/>
      <c r="T71" s="306"/>
      <c r="U71" s="755"/>
      <c r="V71" s="755"/>
      <c r="W71" s="755"/>
      <c r="X71" s="755"/>
      <c r="Y71" s="755"/>
      <c r="Z71" s="755"/>
      <c r="AA71" s="755"/>
      <c r="AB71" s="755"/>
      <c r="AC71" s="755"/>
      <c r="AD71" s="755"/>
      <c r="AE71" s="755"/>
      <c r="AF71" s="755"/>
      <c r="AG71" s="755"/>
      <c r="AH71" s="755"/>
      <c r="AI71" s="755"/>
      <c r="AJ71" s="755"/>
      <c r="AK71" s="755"/>
      <c r="AL71" s="755"/>
    </row>
    <row r="72" spans="1:38" s="749" customFormat="1" hidden="1" x14ac:dyDescent="0.25">
      <c r="A72" s="755"/>
      <c r="B72" s="755"/>
      <c r="C72" s="755"/>
      <c r="D72" s="786"/>
      <c r="E72" s="1883" t="s">
        <v>4308</v>
      </c>
      <c r="F72" s="786"/>
      <c r="G72" s="786"/>
      <c r="H72" s="786"/>
      <c r="I72" s="2050">
        <f>IF(OR('1 Setup'!G8=4,'1 Setup'!G8=5),('3a Staff Plan'!W123*$F$17)+('3b Activity Plan'!W167*$F$18),0)</f>
        <v>0</v>
      </c>
      <c r="J72" s="786"/>
      <c r="K72" s="625"/>
      <c r="L72" s="306"/>
      <c r="M72" s="755"/>
      <c r="N72" s="755"/>
      <c r="O72" s="755"/>
      <c r="P72" s="755"/>
      <c r="Q72" s="755"/>
      <c r="R72" s="755"/>
      <c r="S72" s="755"/>
      <c r="T72" s="306"/>
      <c r="U72" s="755"/>
      <c r="V72" s="755"/>
      <c r="W72" s="755"/>
      <c r="X72" s="755"/>
      <c r="Y72" s="755"/>
      <c r="Z72" s="755"/>
      <c r="AA72" s="755"/>
      <c r="AB72" s="755"/>
      <c r="AC72" s="755"/>
      <c r="AD72" s="755"/>
      <c r="AE72" s="755"/>
      <c r="AF72" s="755"/>
      <c r="AG72" s="755"/>
      <c r="AH72" s="755"/>
      <c r="AI72" s="755"/>
      <c r="AJ72" s="755"/>
      <c r="AK72" s="755"/>
      <c r="AL72" s="755"/>
    </row>
    <row r="73" spans="1:38" s="749" customFormat="1" hidden="1" x14ac:dyDescent="0.25">
      <c r="A73" s="755"/>
      <c r="B73" s="755"/>
      <c r="C73" s="755"/>
      <c r="D73" s="786"/>
      <c r="E73" s="1883" t="s">
        <v>4282</v>
      </c>
      <c r="F73" s="1882"/>
      <c r="G73" s="1882"/>
      <c r="H73" s="1882"/>
      <c r="I73" s="2050">
        <f>(SUMIFS('3a Staff Plan'!$AA$129:$AA$305,'3a Staff Plan'!$DF$129:$DF$305,1,'3a Staff Plan'!$DG$129:$DG$305,"S")*$F$17)+(SUMIFS('3b Activity Plan'!$AA$173:$AA$365,'3b Activity Plan'!$CY$173:$CY$365,1,'3b Activity Plan'!$AI$173:$AI$365,"S")*$F$18)</f>
        <v>0</v>
      </c>
      <c r="J73" s="2080">
        <f>(SUMIFS('3a Staff Plan'!$AB$129:$AB$305,'3a Staff Plan'!$DF$129:$DF$305,1,'3a Staff Plan'!$DG$129:$DG$305,"S")*$F$17)+(SUMIFS('3b Activity Plan'!$AB$173:$AB$365,'3b Activity Plan'!$CY$173:$CY$365,1,'3b Activity Plan'!$AI$173:$AI$365,"S")*$F$18)</f>
        <v>0</v>
      </c>
      <c r="K73" s="625">
        <f>I73-J73</f>
        <v>0</v>
      </c>
      <c r="L73" s="306"/>
      <c r="M73" s="755"/>
      <c r="N73" s="755"/>
      <c r="O73" s="755"/>
      <c r="P73" s="755"/>
      <c r="Q73" s="755"/>
      <c r="R73" s="755"/>
      <c r="S73" s="755"/>
      <c r="T73" s="306"/>
      <c r="U73" s="755"/>
      <c r="V73" s="755"/>
      <c r="W73" s="755"/>
      <c r="X73" s="755"/>
      <c r="Y73" s="755"/>
      <c r="Z73" s="755"/>
      <c r="AA73" s="755"/>
      <c r="AB73" s="755"/>
      <c r="AC73" s="755"/>
      <c r="AD73" s="755"/>
      <c r="AE73" s="755"/>
      <c r="AF73" s="755"/>
      <c r="AG73" s="755"/>
      <c r="AH73" s="755"/>
      <c r="AI73" s="755"/>
      <c r="AJ73" s="755"/>
      <c r="AK73" s="755"/>
      <c r="AL73" s="755"/>
    </row>
    <row r="74" spans="1:38" s="749" customFormat="1" hidden="1" x14ac:dyDescent="0.25">
      <c r="A74" s="755"/>
      <c r="B74" s="755"/>
      <c r="C74" s="755"/>
      <c r="D74" s="786"/>
      <c r="E74" s="3326"/>
      <c r="F74" s="3062"/>
      <c r="G74" s="3062"/>
      <c r="H74" s="3062"/>
      <c r="I74" s="3062"/>
      <c r="J74" s="3062"/>
      <c r="K74" s="3062"/>
      <c r="L74" s="786"/>
      <c r="M74" s="755"/>
      <c r="N74" s="755"/>
      <c r="O74" s="755"/>
      <c r="P74" s="755"/>
      <c r="Q74" s="755"/>
      <c r="R74" s="755"/>
      <c r="S74" s="755"/>
      <c r="T74" s="306"/>
      <c r="U74" s="755"/>
      <c r="V74" s="755"/>
      <c r="W74" s="755"/>
      <c r="X74" s="755"/>
      <c r="Y74" s="755"/>
      <c r="Z74" s="755"/>
      <c r="AA74" s="755"/>
      <c r="AB74" s="755"/>
      <c r="AC74" s="755"/>
      <c r="AD74" s="755"/>
      <c r="AE74" s="755"/>
      <c r="AF74" s="755"/>
      <c r="AG74" s="755"/>
      <c r="AH74" s="755"/>
      <c r="AI74" s="755"/>
      <c r="AJ74" s="755"/>
      <c r="AK74" s="755"/>
      <c r="AL74" s="755"/>
    </row>
    <row r="75" spans="1:38" s="749" customFormat="1" hidden="1" x14ac:dyDescent="0.25">
      <c r="A75" s="755"/>
      <c r="B75" s="755"/>
      <c r="C75" s="755"/>
      <c r="D75" s="3327" t="s">
        <v>4260</v>
      </c>
      <c r="E75" s="3322" t="s">
        <v>4217</v>
      </c>
      <c r="F75" s="3323"/>
      <c r="G75" s="3328"/>
      <c r="H75" s="3328"/>
      <c r="I75" s="3329"/>
      <c r="J75" s="3061">
        <f>IF(C29="B",0,('3a Staff Plan'!S121*$F$17)+('3b Activity Plan'!S165*$F$18))*C25</f>
        <v>0</v>
      </c>
      <c r="K75" s="625">
        <f>I75-J75</f>
        <v>0</v>
      </c>
      <c r="L75" s="306"/>
      <c r="M75" s="755"/>
      <c r="N75" s="755"/>
      <c r="O75" s="755"/>
      <c r="P75" s="755"/>
      <c r="Q75" s="755"/>
      <c r="R75" s="755"/>
      <c r="S75" s="755"/>
      <c r="T75" s="306"/>
      <c r="U75" s="755"/>
      <c r="V75" s="755"/>
      <c r="W75" s="755"/>
      <c r="X75" s="755"/>
      <c r="Y75" s="755"/>
      <c r="Z75" s="755"/>
      <c r="AA75" s="755"/>
      <c r="AB75" s="755"/>
      <c r="AC75" s="755"/>
      <c r="AD75" s="755"/>
      <c r="AE75" s="755"/>
      <c r="AF75" s="755"/>
      <c r="AG75" s="755"/>
      <c r="AH75" s="755"/>
      <c r="AI75" s="755"/>
      <c r="AJ75" s="755"/>
      <c r="AK75" s="755"/>
      <c r="AL75" s="755"/>
    </row>
    <row r="76" spans="1:38" s="749" customFormat="1" ht="15" hidden="1" customHeight="1" x14ac:dyDescent="0.25">
      <c r="A76" s="755"/>
      <c r="B76" s="755"/>
      <c r="C76" s="755"/>
      <c r="D76" s="755"/>
      <c r="E76" s="1883" t="s">
        <v>4291</v>
      </c>
      <c r="F76" s="1881"/>
      <c r="G76" s="3062"/>
      <c r="H76" s="3062"/>
      <c r="I76" s="3063"/>
      <c r="J76" s="3061">
        <f>(SUMIFS('3a Staff Plan'!$AB$129:$AB$305,'3a Staff Plan'!$DF$129:$DF$305,1,'3a Staff Plan'!$DG$129:$DG$305,"R")*$F$17)+(SUMIFS('3b Activity Plan'!$AB$173:$AB$365,'3b Activity Plan'!$CY$173:$CY$365,1,'3b Activity Plan'!$AI$173:$AI$365,"R")*$F$18)</f>
        <v>0</v>
      </c>
      <c r="K76" s="625">
        <f>I76-J76</f>
        <v>0</v>
      </c>
      <c r="L76" s="773"/>
      <c r="M76" s="755"/>
      <c r="N76" s="773"/>
      <c r="O76" s="773"/>
      <c r="P76" s="755"/>
      <c r="Q76" s="755"/>
      <c r="R76" s="755"/>
      <c r="S76" s="755"/>
      <c r="T76" s="306"/>
      <c r="U76" s="755"/>
      <c r="V76" s="755"/>
      <c r="W76" s="755"/>
      <c r="X76" s="755"/>
      <c r="Y76" s="755"/>
      <c r="Z76" s="755"/>
      <c r="AA76" s="755"/>
      <c r="AB76" s="755"/>
      <c r="AC76" s="755"/>
      <c r="AD76" s="755"/>
      <c r="AE76" s="755"/>
      <c r="AF76" s="755"/>
      <c r="AG76" s="755"/>
      <c r="AH76" s="755"/>
      <c r="AI76" s="755"/>
      <c r="AJ76" s="755"/>
      <c r="AK76" s="755"/>
      <c r="AL76" s="755"/>
    </row>
    <row r="77" spans="1:38" s="749" customFormat="1" ht="15" hidden="1" customHeight="1" x14ac:dyDescent="0.25">
      <c r="A77" s="755"/>
      <c r="B77" s="755"/>
      <c r="C77" s="755"/>
      <c r="D77" s="755"/>
      <c r="E77" s="3326"/>
      <c r="F77" s="3062"/>
      <c r="G77" s="3062"/>
      <c r="H77" s="3062"/>
      <c r="I77" s="3062"/>
      <c r="J77" s="3062"/>
      <c r="K77" s="3062"/>
      <c r="L77" s="773"/>
      <c r="M77" s="755"/>
      <c r="N77" s="773"/>
      <c r="O77" s="773"/>
      <c r="P77" s="755"/>
      <c r="Q77" s="755"/>
      <c r="R77" s="755"/>
      <c r="S77" s="755"/>
      <c r="T77" s="306"/>
      <c r="U77" s="755"/>
      <c r="V77" s="755"/>
      <c r="W77" s="755"/>
      <c r="X77" s="755"/>
      <c r="Y77" s="755"/>
      <c r="Z77" s="755"/>
      <c r="AA77" s="755"/>
      <c r="AB77" s="755"/>
      <c r="AC77" s="755"/>
      <c r="AD77" s="755"/>
      <c r="AE77" s="755"/>
      <c r="AF77" s="755"/>
      <c r="AG77" s="755"/>
      <c r="AH77" s="755"/>
      <c r="AI77" s="755"/>
      <c r="AJ77" s="755"/>
      <c r="AK77" s="755"/>
      <c r="AL77" s="755"/>
    </row>
    <row r="78" spans="1:38" s="749" customFormat="1" hidden="1" x14ac:dyDescent="0.25">
      <c r="A78" s="755"/>
      <c r="B78" s="755"/>
      <c r="C78" s="755"/>
      <c r="D78" s="3327" t="s">
        <v>4285</v>
      </c>
      <c r="E78" s="3322"/>
      <c r="F78" s="3328"/>
      <c r="G78" s="3328"/>
      <c r="H78" s="3329"/>
      <c r="I78" s="2050">
        <f>(SUMIFS('3a Staff Plan'!$AA$129:$AA$305,'3a Staff Plan'!$DF$129:$DF$305,1,'3a Staff Plan'!$DG$129:$DG$305,"U")*$F$17)+(SUMIFS('3b Activity Plan'!$AA$173:$AA$365,'3b Activity Plan'!$CY$173:$CY$365,1,'3b Activity Plan'!$AI$173:$AI$365,"U")*$F$18)</f>
        <v>0</v>
      </c>
      <c r="J78" s="2080">
        <f>(SUMIFS('3a Staff Plan'!$AB$129:$AB$305,'3a Staff Plan'!$DF$129:$DF$305,1,'3a Staff Plan'!$DG$129:$DG$305,"U")*$F$17)+(SUMIFS('3b Activity Plan'!$AB$173:$AB$365,'3b Activity Plan'!$CY$173:$CY$365,1,'3b Activity Plan'!$AI$173:$AI$365,"U")*$F$18)</f>
        <v>0</v>
      </c>
      <c r="K78" s="625">
        <f>I78-J78</f>
        <v>0</v>
      </c>
      <c r="L78" s="755"/>
      <c r="M78" s="755"/>
      <c r="N78" s="755"/>
      <c r="O78" s="755"/>
      <c r="P78" s="755"/>
      <c r="Q78" s="755"/>
      <c r="R78" s="755"/>
      <c r="S78" s="755"/>
      <c r="T78" s="755"/>
      <c r="U78" s="755"/>
      <c r="V78" s="755"/>
      <c r="W78" s="755"/>
      <c r="X78" s="755"/>
      <c r="Y78" s="755"/>
      <c r="Z78" s="755"/>
      <c r="AA78" s="755"/>
      <c r="AB78" s="755"/>
      <c r="AC78" s="755"/>
      <c r="AD78" s="755"/>
      <c r="AE78" s="755"/>
      <c r="AF78" s="755"/>
      <c r="AG78" s="755"/>
      <c r="AH78" s="755"/>
      <c r="AI78" s="755"/>
      <c r="AJ78" s="755"/>
      <c r="AK78" s="755"/>
      <c r="AL78" s="755"/>
    </row>
    <row r="79" spans="1:38" s="749" customFormat="1" hidden="1" x14ac:dyDescent="0.25">
      <c r="A79" s="755"/>
      <c r="B79" s="755"/>
      <c r="C79" s="755"/>
      <c r="D79" s="755"/>
      <c r="E79" s="3326"/>
      <c r="F79" s="3062"/>
      <c r="G79" s="3062"/>
      <c r="H79" s="3062"/>
      <c r="I79" s="755"/>
      <c r="J79" s="755"/>
      <c r="K79" s="755"/>
      <c r="L79" s="755"/>
      <c r="M79" s="755"/>
      <c r="N79" s="755"/>
      <c r="O79" s="755"/>
      <c r="P79" s="755"/>
      <c r="Q79" s="755"/>
      <c r="R79" s="755"/>
      <c r="S79" s="755"/>
      <c r="T79" s="755"/>
      <c r="U79" s="755"/>
      <c r="V79" s="755"/>
      <c r="W79" s="755"/>
      <c r="X79" s="755"/>
      <c r="Y79" s="755"/>
      <c r="Z79" s="755"/>
      <c r="AA79" s="755"/>
      <c r="AB79" s="755"/>
      <c r="AC79" s="755"/>
      <c r="AD79" s="755"/>
      <c r="AE79" s="755"/>
      <c r="AF79" s="755"/>
      <c r="AG79" s="755"/>
      <c r="AH79" s="755"/>
      <c r="AI79" s="755"/>
      <c r="AJ79" s="755"/>
      <c r="AK79" s="755"/>
      <c r="AL79" s="755"/>
    </row>
    <row r="80" spans="1:38" s="749" customFormat="1" hidden="1" x14ac:dyDescent="0.25">
      <c r="A80" s="755"/>
      <c r="B80" s="755"/>
      <c r="C80" s="755"/>
      <c r="D80" s="3321" t="s">
        <v>4284</v>
      </c>
      <c r="E80" s="3322" t="s">
        <v>4309</v>
      </c>
      <c r="F80" s="3328"/>
      <c r="G80" s="3328"/>
      <c r="H80" s="3329"/>
      <c r="I80" s="625">
        <f>('3a Staff Plan'!DP122*$F$17)+('3b Activity Plan'!CZ166*$F$18)</f>
        <v>0</v>
      </c>
      <c r="J80" s="3330"/>
      <c r="K80" s="625">
        <f>I80-J80</f>
        <v>0</v>
      </c>
      <c r="L80" s="755"/>
      <c r="M80" s="755"/>
      <c r="N80" s="755"/>
      <c r="O80" s="755"/>
      <c r="P80" s="755"/>
      <c r="Q80" s="755"/>
      <c r="R80" s="755"/>
      <c r="S80" s="755"/>
      <c r="T80" s="755"/>
      <c r="U80" s="755"/>
      <c r="V80" s="755"/>
      <c r="W80" s="755"/>
      <c r="X80" s="755"/>
      <c r="Y80" s="755"/>
      <c r="Z80" s="755"/>
      <c r="AA80" s="755"/>
      <c r="AB80" s="755"/>
      <c r="AC80" s="755"/>
      <c r="AD80" s="755"/>
      <c r="AE80" s="755"/>
      <c r="AF80" s="755"/>
      <c r="AG80" s="755"/>
      <c r="AH80" s="755"/>
      <c r="AI80" s="755"/>
      <c r="AJ80" s="755"/>
      <c r="AK80" s="755"/>
      <c r="AL80" s="755"/>
    </row>
    <row r="81" spans="1:42" s="749" customFormat="1" hidden="1" x14ac:dyDescent="0.25">
      <c r="A81" s="755"/>
      <c r="B81" s="755"/>
      <c r="C81" s="755"/>
      <c r="D81" s="786"/>
      <c r="E81" s="1883" t="s">
        <v>4289</v>
      </c>
      <c r="F81" s="3062"/>
      <c r="G81" s="3062"/>
      <c r="H81" s="3062"/>
      <c r="I81" s="625">
        <f>(SUMIFS('3a Staff Plan'!$AA$129:$AA$305,'3a Staff Plan'!$DF$129:$DF$305,1,'3a Staff Plan'!$DG$129:$DG$305,"V")*$F$17)+(SUMIFS('3b Activity Plan'!$AA$173:$AA$365,'3b Activity Plan'!$CY$173:$CY$365,1,'3b Activity Plan'!$AI$173:$AI$365,"V")*$F$18)</f>
        <v>0</v>
      </c>
      <c r="J81" s="3062"/>
      <c r="K81" s="625">
        <f>I81-J81</f>
        <v>0</v>
      </c>
      <c r="L81" s="755"/>
      <c r="M81" s="755"/>
      <c r="N81" s="755"/>
      <c r="O81" s="755"/>
      <c r="P81" s="755"/>
      <c r="Q81" s="755"/>
      <c r="R81" s="755"/>
      <c r="S81" s="755"/>
      <c r="T81" s="755"/>
      <c r="U81" s="755"/>
      <c r="V81" s="755"/>
      <c r="W81" s="755"/>
      <c r="X81" s="755"/>
      <c r="Y81" s="755"/>
      <c r="Z81" s="755"/>
      <c r="AA81" s="755"/>
      <c r="AB81" s="755"/>
      <c r="AC81" s="755"/>
      <c r="AD81" s="755"/>
      <c r="AE81" s="755"/>
      <c r="AF81" s="755"/>
      <c r="AG81" s="755"/>
      <c r="AH81" s="755"/>
      <c r="AI81" s="755"/>
      <c r="AJ81" s="755"/>
      <c r="AK81" s="755"/>
      <c r="AL81" s="755"/>
    </row>
    <row r="82" spans="1:42" s="749" customFormat="1" hidden="1" x14ac:dyDescent="0.25">
      <c r="A82" s="755"/>
      <c r="B82" s="755"/>
      <c r="C82" s="755"/>
      <c r="D82" s="755"/>
      <c r="E82" s="3326"/>
      <c r="F82" s="3062"/>
      <c r="G82" s="3062"/>
      <c r="H82" s="3062"/>
      <c r="I82" s="755"/>
      <c r="J82" s="3062"/>
      <c r="K82" s="755"/>
      <c r="L82" s="755"/>
      <c r="M82" s="755"/>
      <c r="N82" s="755"/>
      <c r="O82" s="755"/>
      <c r="P82" s="755"/>
      <c r="Q82" s="755"/>
      <c r="R82" s="755"/>
      <c r="S82" s="755"/>
      <c r="T82" s="755"/>
      <c r="U82" s="755"/>
      <c r="V82" s="755"/>
      <c r="W82" s="755"/>
      <c r="X82" s="755"/>
      <c r="Y82" s="755"/>
      <c r="Z82" s="755"/>
      <c r="AA82" s="755"/>
      <c r="AB82" s="755"/>
      <c r="AC82" s="755"/>
      <c r="AD82" s="755"/>
      <c r="AE82" s="755"/>
      <c r="AF82" s="755"/>
      <c r="AG82" s="755"/>
      <c r="AH82" s="755"/>
      <c r="AI82" s="755"/>
      <c r="AJ82" s="755"/>
      <c r="AK82" s="755"/>
      <c r="AL82" s="755"/>
    </row>
    <row r="83" spans="1:42" s="749" customFormat="1" hidden="1" x14ac:dyDescent="0.25">
      <c r="A83" s="755"/>
      <c r="B83" s="755"/>
      <c r="C83" s="755"/>
      <c r="D83" s="3321" t="s">
        <v>4286</v>
      </c>
      <c r="E83" s="3322"/>
      <c r="F83" s="3328"/>
      <c r="G83" s="3328"/>
      <c r="H83" s="3329"/>
      <c r="I83" s="625">
        <f>(SUMIFS('3a Staff Plan'!$AA$129:$AA$305,'3a Staff Plan'!$DF$129:$DF$305,1,'3a Staff Plan'!$DG$129:$DG$305,"W")*$F$17)+(SUMIFS('3b Activity Plan'!$AA$173:$AA$365,'3b Activity Plan'!$CY$173:$CY$365,1,'3b Activity Plan'!$AI$173:$AI$365,"W")*$F$18)</f>
        <v>0</v>
      </c>
      <c r="J83" s="3330"/>
      <c r="K83" s="625">
        <f>I83-J83</f>
        <v>0</v>
      </c>
      <c r="L83" s="755"/>
      <c r="M83" s="755"/>
      <c r="N83" s="755"/>
      <c r="O83" s="755"/>
      <c r="P83" s="755"/>
      <c r="Q83" s="755"/>
      <c r="R83" s="755"/>
      <c r="S83" s="755"/>
      <c r="T83" s="755"/>
      <c r="U83" s="755"/>
      <c r="V83" s="755"/>
      <c r="W83" s="755"/>
      <c r="X83" s="755"/>
      <c r="Y83" s="755"/>
      <c r="Z83" s="755"/>
      <c r="AA83" s="755"/>
      <c r="AB83" s="755"/>
      <c r="AC83" s="755"/>
      <c r="AD83" s="755"/>
      <c r="AE83" s="755"/>
      <c r="AF83" s="755"/>
      <c r="AG83" s="755"/>
      <c r="AH83" s="755"/>
      <c r="AI83" s="755"/>
      <c r="AJ83" s="755"/>
      <c r="AK83" s="755"/>
      <c r="AL83" s="755"/>
    </row>
    <row r="84" spans="1:42" s="749" customFormat="1" hidden="1" x14ac:dyDescent="0.25">
      <c r="A84" s="755"/>
      <c r="B84" s="755"/>
      <c r="C84" s="755"/>
      <c r="D84" s="755"/>
      <c r="E84" s="3326"/>
      <c r="F84" s="3062"/>
      <c r="G84" s="3062"/>
      <c r="H84" s="3062"/>
      <c r="I84" s="755"/>
      <c r="J84" s="3062"/>
      <c r="K84" s="755"/>
      <c r="L84" s="755"/>
      <c r="M84" s="755"/>
      <c r="N84" s="755"/>
      <c r="O84" s="755"/>
      <c r="P84" s="755"/>
      <c r="Q84" s="755"/>
      <c r="R84" s="755"/>
      <c r="S84" s="755"/>
      <c r="T84" s="755"/>
      <c r="U84" s="755"/>
      <c r="V84" s="755"/>
      <c r="W84" s="755"/>
      <c r="X84" s="755"/>
      <c r="Y84" s="755"/>
      <c r="Z84" s="755"/>
      <c r="AA84" s="755"/>
      <c r="AB84" s="755"/>
      <c r="AC84" s="755"/>
      <c r="AD84" s="755"/>
      <c r="AE84" s="755"/>
      <c r="AF84" s="755"/>
      <c r="AG84" s="755"/>
      <c r="AH84" s="755"/>
      <c r="AI84" s="755"/>
      <c r="AJ84" s="755"/>
      <c r="AK84" s="755"/>
      <c r="AL84" s="755"/>
    </row>
    <row r="85" spans="1:42" s="749" customFormat="1" hidden="1" x14ac:dyDescent="0.25">
      <c r="A85" s="755"/>
      <c r="B85" s="755"/>
      <c r="C85" s="755"/>
      <c r="D85" s="3321" t="s">
        <v>4287</v>
      </c>
      <c r="E85" s="3322"/>
      <c r="F85" s="3328"/>
      <c r="G85" s="3328"/>
      <c r="H85" s="3329"/>
      <c r="I85" s="2050">
        <f>(SUMIFS('3a Staff Plan'!$AA$129:$AA$305,'3a Staff Plan'!$DF$129:$DF$305,1,'3a Staff Plan'!$DG$129:$DG$305,"Z")*$F$17)+(SUMIFS('3b Activity Plan'!$AA$173:$AA$365,'3b Activity Plan'!$CY$173:$CY$365,1,'3b Activity Plan'!$AI$173:$AI$365,"Z")*$F$18)</f>
        <v>0</v>
      </c>
      <c r="J85" s="2080">
        <f>(SUMIFS('3a Staff Plan'!$AB$129:$AB$305,'3a Staff Plan'!$DF$129:$DF$305,1,'3a Staff Plan'!$DG$129:$DG$305,"Z")*$F$17)+(SUMIFS('3b Activity Plan'!$AB$173:$AB$365,'3b Activity Plan'!$CY$173:$CY$365,1,'3b Activity Plan'!$AI$173:$AI$365,"Z")*$F$18)</f>
        <v>0</v>
      </c>
      <c r="K85" s="625">
        <f>I85-J85</f>
        <v>0</v>
      </c>
      <c r="L85" s="755"/>
      <c r="M85" s="755"/>
      <c r="N85" s="755"/>
      <c r="O85" s="755"/>
      <c r="P85" s="755"/>
      <c r="Q85" s="755"/>
      <c r="R85" s="755"/>
      <c r="S85" s="755"/>
      <c r="T85" s="755"/>
      <c r="U85" s="755"/>
      <c r="V85" s="755"/>
      <c r="W85" s="755"/>
      <c r="X85" s="755"/>
      <c r="Y85" s="755"/>
      <c r="Z85" s="755"/>
      <c r="AA85" s="755"/>
      <c r="AB85" s="755"/>
      <c r="AC85" s="755"/>
      <c r="AD85" s="755"/>
      <c r="AE85" s="755"/>
      <c r="AF85" s="755"/>
      <c r="AG85" s="755"/>
      <c r="AH85" s="755"/>
      <c r="AI85" s="755"/>
      <c r="AJ85" s="755"/>
      <c r="AK85" s="755"/>
      <c r="AL85" s="755"/>
    </row>
    <row r="86" spans="1:42" s="749" customFormat="1" hidden="1" x14ac:dyDescent="0.25">
      <c r="A86" s="755"/>
      <c r="B86" s="755"/>
      <c r="C86" s="755"/>
      <c r="D86" s="755"/>
      <c r="E86" s="3326"/>
      <c r="F86" s="3062"/>
      <c r="G86" s="3062"/>
      <c r="H86" s="3062"/>
      <c r="I86" s="755"/>
      <c r="J86" s="3062"/>
      <c r="K86" s="755"/>
      <c r="L86" s="755"/>
      <c r="M86" s="755"/>
      <c r="N86" s="755"/>
      <c r="O86" s="755"/>
      <c r="P86" s="755"/>
      <c r="Q86" s="755"/>
      <c r="R86" s="755"/>
      <c r="S86" s="755"/>
      <c r="T86" s="755"/>
      <c r="U86" s="755"/>
      <c r="V86" s="755"/>
      <c r="W86" s="755"/>
      <c r="X86" s="755"/>
      <c r="Y86" s="755"/>
      <c r="Z86" s="755"/>
      <c r="AA86" s="755"/>
      <c r="AB86" s="755"/>
      <c r="AC86" s="755"/>
      <c r="AD86" s="755"/>
      <c r="AE86" s="755"/>
      <c r="AF86" s="755"/>
      <c r="AG86" s="755"/>
      <c r="AH86" s="755"/>
      <c r="AI86" s="755"/>
      <c r="AJ86" s="755"/>
      <c r="AK86" s="755"/>
      <c r="AL86" s="755"/>
    </row>
    <row r="87" spans="1:42" s="749" customFormat="1" hidden="1" x14ac:dyDescent="0.25">
      <c r="A87" s="755"/>
      <c r="B87" s="755"/>
      <c r="C87" s="755"/>
      <c r="D87" s="3321" t="s">
        <v>4288</v>
      </c>
      <c r="E87" s="3322" t="s">
        <v>4300</v>
      </c>
      <c r="F87" s="3328"/>
      <c r="G87" s="3328"/>
      <c r="H87" s="3329"/>
      <c r="I87" s="2050">
        <f>(SUMIFS('3a Staff Plan'!$AA$129:$AA$305,'3a Staff Plan'!$DF$129:$DF$305,1,'3a Staff Plan'!$CX$129:$CX$305,1,'3a Staff Plan'!$DG$129:$DG$305,"")+SUMIFS('3a Staff Plan'!$AA$129:$AA$305,'3a Staff Plan'!$DF$129:$DF$305,1,'3a Staff Plan'!$CX$129:$CX$305,1,'3a Staff Plan'!$DG$129:$DG$305,"B")*$F$17)+(SUMIFS('3b Activity Plan'!$AA$173:$AA$365,'3b Activity Plan'!$CY$173:$CY$365,1,'3b Activity Plan'!$CQ$173:$CQ$365,1,'3b Activity Plan'!$AI$173:$AI$365,"")+SUMIFS('3b Activity Plan'!$AA$173:$AA$365,'3b Activity Plan'!$CY$173:$CY$365,1,'3b Activity Plan'!$CQ$173:$CQ$365,1,'3b Activity Plan'!$AI$173:$AI$365,"B")*$F$18)</f>
        <v>0</v>
      </c>
      <c r="J87" s="3330"/>
      <c r="K87" s="625">
        <f>I87-J87</f>
        <v>0</v>
      </c>
      <c r="L87" s="755"/>
      <c r="M87" s="755"/>
      <c r="N87" s="755"/>
      <c r="O87" s="755"/>
      <c r="P87" s="755"/>
      <c r="Q87" s="755"/>
      <c r="R87" s="755"/>
      <c r="S87" s="755"/>
      <c r="T87" s="755"/>
      <c r="U87" s="755"/>
      <c r="V87" s="755"/>
      <c r="W87" s="755"/>
      <c r="X87" s="755"/>
      <c r="Y87" s="755"/>
      <c r="Z87" s="755"/>
      <c r="AA87" s="755"/>
      <c r="AB87" s="755"/>
      <c r="AC87" s="755"/>
      <c r="AD87" s="755"/>
      <c r="AE87" s="755"/>
      <c r="AF87" s="755"/>
      <c r="AG87" s="755"/>
      <c r="AH87" s="755"/>
      <c r="AI87" s="755"/>
      <c r="AJ87" s="755"/>
      <c r="AK87" s="755"/>
      <c r="AL87" s="755"/>
    </row>
    <row r="88" spans="1:42" s="749" customFormat="1" ht="14.4" hidden="1" thickBot="1" x14ac:dyDescent="0.3">
      <c r="A88" s="755"/>
      <c r="B88" s="755"/>
      <c r="C88" s="755"/>
      <c r="D88" s="755"/>
      <c r="E88" s="755"/>
      <c r="F88" s="3062"/>
      <c r="G88" s="3062"/>
      <c r="H88" s="3062"/>
      <c r="I88" s="755"/>
      <c r="J88" s="3062"/>
      <c r="K88" s="755"/>
      <c r="L88" s="755"/>
      <c r="M88" s="755"/>
      <c r="N88" s="755"/>
      <c r="O88" s="755"/>
      <c r="P88" s="755"/>
      <c r="Q88" s="755"/>
      <c r="R88" s="755"/>
      <c r="S88" s="755"/>
      <c r="T88" s="755"/>
      <c r="U88" s="755"/>
      <c r="V88" s="755"/>
      <c r="W88" s="755"/>
      <c r="X88" s="755"/>
      <c r="Y88" s="755"/>
      <c r="Z88" s="755"/>
      <c r="AA88" s="755"/>
      <c r="AB88" s="755"/>
      <c r="AC88" s="755"/>
      <c r="AD88" s="755"/>
      <c r="AE88" s="755"/>
      <c r="AF88" s="755"/>
      <c r="AG88" s="755"/>
      <c r="AH88" s="755"/>
      <c r="AI88" s="755"/>
      <c r="AJ88" s="755"/>
      <c r="AK88" s="755"/>
      <c r="AL88" s="755"/>
    </row>
    <row r="89" spans="1:42" s="749" customFormat="1" ht="21.6" hidden="1" customHeight="1" thickBot="1" x14ac:dyDescent="0.3">
      <c r="A89" s="755"/>
      <c r="B89" s="755"/>
      <c r="C89" s="755"/>
      <c r="D89" s="786" t="s">
        <v>130</v>
      </c>
      <c r="E89" s="755"/>
      <c r="F89" s="289"/>
      <c r="G89" s="1555">
        <f>SUM(G61:G88)</f>
        <v>0</v>
      </c>
      <c r="H89" s="1555">
        <f t="shared" ref="H89:K89" si="8">SUM(H61:H88)</f>
        <v>1363</v>
      </c>
      <c r="I89" s="1555">
        <f t="shared" ca="1" si="8"/>
        <v>73862.781824999998</v>
      </c>
      <c r="J89" s="1555">
        <f t="shared" si="8"/>
        <v>45111.674231999998</v>
      </c>
      <c r="K89" s="1555">
        <f t="shared" ca="1" si="8"/>
        <v>28751.107593000001</v>
      </c>
      <c r="L89" s="306" t="s">
        <v>130</v>
      </c>
      <c r="M89" s="755"/>
      <c r="N89" s="755"/>
      <c r="O89" s="755"/>
      <c r="P89" s="755"/>
      <c r="Q89" s="755"/>
      <c r="R89" s="755"/>
      <c r="S89" s="755"/>
      <c r="T89" s="755"/>
      <c r="U89" s="755"/>
      <c r="V89" s="755"/>
      <c r="W89" s="755"/>
      <c r="X89" s="755"/>
      <c r="Y89" s="755"/>
      <c r="Z89" s="755"/>
      <c r="AA89" s="755"/>
      <c r="AB89" s="755"/>
      <c r="AC89" s="755"/>
      <c r="AD89" s="755"/>
      <c r="AE89" s="755"/>
      <c r="AF89" s="755"/>
      <c r="AG89" s="755"/>
      <c r="AH89" s="755"/>
      <c r="AI89" s="755"/>
      <c r="AJ89" s="755"/>
      <c r="AK89" s="755"/>
      <c r="AL89" s="755"/>
    </row>
    <row r="90" spans="1:42" s="749" customFormat="1" hidden="1" x14ac:dyDescent="0.25">
      <c r="A90" s="755"/>
      <c r="B90" s="755"/>
      <c r="C90" s="755"/>
      <c r="D90" s="755"/>
      <c r="E90" s="755"/>
      <c r="F90" s="755"/>
      <c r="G90" s="755"/>
      <c r="H90" s="1551"/>
      <c r="I90" s="755"/>
      <c r="J90" s="755"/>
      <c r="K90" s="755"/>
      <c r="L90" s="755"/>
      <c r="M90" s="755"/>
      <c r="N90" s="755"/>
      <c r="O90" s="755"/>
      <c r="P90" s="755"/>
      <c r="Q90" s="755"/>
      <c r="R90" s="755"/>
      <c r="S90" s="755"/>
      <c r="T90" s="755"/>
      <c r="U90" s="755"/>
      <c r="V90" s="755"/>
      <c r="W90" s="755"/>
      <c r="X90" s="755"/>
      <c r="Y90" s="755"/>
      <c r="Z90" s="755"/>
      <c r="AA90" s="755"/>
      <c r="AB90" s="755"/>
      <c r="AC90" s="755"/>
      <c r="AD90" s="755"/>
      <c r="AE90" s="755"/>
      <c r="AF90" s="755"/>
      <c r="AG90" s="755"/>
      <c r="AH90" s="755"/>
      <c r="AI90" s="755"/>
      <c r="AJ90" s="755"/>
      <c r="AK90" s="755"/>
      <c r="AL90" s="755"/>
    </row>
    <row r="91" spans="1:42" s="749" customFormat="1" hidden="1" x14ac:dyDescent="0.25">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c r="AA91" s="755"/>
      <c r="AB91" s="755"/>
      <c r="AC91" s="755"/>
      <c r="AD91" s="755"/>
      <c r="AE91" s="755"/>
      <c r="AF91" s="755"/>
      <c r="AG91" s="755"/>
      <c r="AH91" s="755"/>
      <c r="AI91" s="755"/>
      <c r="AJ91" s="755"/>
      <c r="AK91" s="755"/>
      <c r="AL91" s="755"/>
    </row>
    <row r="92" spans="1:42" s="749" customFormat="1" hidden="1" x14ac:dyDescent="0.25">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c r="AA92" s="755"/>
      <c r="AB92" s="755"/>
      <c r="AC92" s="755"/>
      <c r="AD92" s="755"/>
      <c r="AE92" s="755"/>
      <c r="AF92" s="755"/>
      <c r="AG92" s="755"/>
      <c r="AH92" s="755"/>
      <c r="AI92" s="755"/>
      <c r="AJ92" s="755"/>
      <c r="AK92" s="755"/>
      <c r="AL92" s="755"/>
    </row>
    <row r="93" spans="1:42" s="272" customFormat="1" ht="14.4" thickBot="1" x14ac:dyDescent="0.3">
      <c r="A93" s="393"/>
      <c r="B93" s="393"/>
      <c r="C93" s="393"/>
      <c r="D93" s="393"/>
      <c r="E93" s="393"/>
      <c r="F93" s="393"/>
      <c r="G93" s="393"/>
      <c r="H93" s="393"/>
      <c r="I93" s="393"/>
      <c r="J93" s="393"/>
      <c r="K93" s="393"/>
      <c r="L93" s="393"/>
      <c r="M93" s="394"/>
      <c r="N93" s="394"/>
      <c r="O93" s="394"/>
      <c r="P93" s="394"/>
      <c r="Q93" s="394"/>
      <c r="R93" s="394"/>
      <c r="S93" s="394"/>
      <c r="T93" s="394"/>
      <c r="U93" s="394"/>
      <c r="V93" s="394"/>
      <c r="W93" s="394"/>
      <c r="X93" s="394"/>
      <c r="Y93" s="393"/>
      <c r="Z93" s="393"/>
      <c r="AA93" s="393"/>
      <c r="AB93" s="393"/>
      <c r="AC93" s="393"/>
      <c r="AD93" s="393"/>
      <c r="AE93" s="393"/>
      <c r="AF93" s="393"/>
      <c r="AG93" s="393"/>
      <c r="AH93" s="393"/>
      <c r="AI93" s="393"/>
      <c r="AJ93" s="393"/>
      <c r="AK93" s="393"/>
      <c r="AL93" s="393"/>
      <c r="AM93" s="393"/>
      <c r="AN93" s="393"/>
      <c r="AO93" s="393"/>
      <c r="AP93" s="393"/>
    </row>
    <row r="94" spans="1:42" s="749" customFormat="1" ht="14.4" thickTop="1" x14ac:dyDescent="0.25">
      <c r="A94" s="393"/>
      <c r="B94" s="2181"/>
      <c r="C94" s="2182"/>
      <c r="D94" s="2182"/>
      <c r="E94" s="2182"/>
      <c r="F94" s="2182"/>
      <c r="G94" s="2182"/>
      <c r="H94" s="2182"/>
      <c r="I94" s="2182"/>
      <c r="J94" s="2182"/>
      <c r="K94" s="2182"/>
      <c r="L94" s="2182"/>
      <c r="M94" s="2183"/>
      <c r="N94" s="2183"/>
      <c r="O94" s="2183"/>
      <c r="P94" s="2183"/>
      <c r="Q94" s="2184"/>
      <c r="R94" s="394"/>
      <c r="S94" s="394"/>
      <c r="T94" s="3065"/>
      <c r="U94" s="394"/>
      <c r="V94" s="394"/>
      <c r="W94" s="394"/>
      <c r="X94" s="394"/>
      <c r="Y94" s="393"/>
      <c r="Z94" s="393"/>
      <c r="AA94" s="393"/>
      <c r="AB94" s="393"/>
      <c r="AC94" s="393"/>
      <c r="AD94" s="393"/>
      <c r="AE94" s="393"/>
      <c r="AF94" s="393"/>
      <c r="AG94" s="393"/>
      <c r="AH94" s="393"/>
      <c r="AI94" s="393"/>
      <c r="AJ94" s="393"/>
      <c r="AK94" s="393"/>
      <c r="AL94" s="393"/>
      <c r="AM94" s="393"/>
      <c r="AN94" s="393"/>
      <c r="AO94" s="393"/>
      <c r="AP94" s="393"/>
    </row>
    <row r="95" spans="1:42" s="272" customFormat="1" ht="13.5" customHeight="1" x14ac:dyDescent="0.25">
      <c r="A95" s="393"/>
      <c r="B95" s="2185"/>
      <c r="C95" s="2186"/>
      <c r="D95" s="2186"/>
      <c r="E95" s="2186"/>
      <c r="F95" s="2186"/>
      <c r="G95" s="2186"/>
      <c r="H95" s="2186"/>
      <c r="I95" s="2186"/>
      <c r="J95" s="2186"/>
      <c r="K95" s="2186"/>
      <c r="L95" s="2186"/>
      <c r="M95" s="2186"/>
      <c r="N95" s="2186"/>
      <c r="O95" s="2186"/>
      <c r="P95" s="2186"/>
      <c r="Q95" s="2187"/>
      <c r="R95" s="393"/>
      <c r="S95" s="2475" t="s">
        <v>1602</v>
      </c>
      <c r="T95" s="2459"/>
      <c r="U95" s="2460"/>
      <c r="V95" s="2460"/>
      <c r="W95" s="2460"/>
      <c r="X95" s="2460"/>
      <c r="Y95" s="2460"/>
      <c r="Z95" s="2460"/>
      <c r="AA95" s="393"/>
      <c r="AB95" s="393"/>
      <c r="AC95" s="393"/>
      <c r="AD95" s="393"/>
      <c r="AE95" s="393"/>
      <c r="AF95" s="393"/>
      <c r="AG95" s="393"/>
      <c r="AH95" s="393"/>
      <c r="AI95" s="393"/>
      <c r="AJ95" s="393"/>
      <c r="AK95" s="393"/>
      <c r="AL95" s="393"/>
      <c r="AM95" s="393"/>
      <c r="AN95" s="393"/>
      <c r="AO95" s="393"/>
      <c r="AP95" s="393"/>
    </row>
    <row r="96" spans="1:42" s="272" customFormat="1" ht="45" x14ac:dyDescent="0.5">
      <c r="A96" s="393"/>
      <c r="B96" s="2185"/>
      <c r="C96" s="2186"/>
      <c r="D96" s="2186"/>
      <c r="E96" s="2186"/>
      <c r="F96" s="2186"/>
      <c r="G96" s="2186"/>
      <c r="H96" s="2186"/>
      <c r="I96" s="2186"/>
      <c r="J96" s="2186"/>
      <c r="K96" s="2186"/>
      <c r="L96" s="2186"/>
      <c r="M96" s="2188"/>
      <c r="N96" s="2188"/>
      <c r="O96" s="2246" t="str">
        <f>CHOOSE($C$30,"Proposal Sign-off Form","Forecast ETC","Changes Sign-Off Form")</f>
        <v>Changes Sign-Off Form</v>
      </c>
      <c r="P96" s="2186"/>
      <c r="Q96" s="2187"/>
      <c r="R96" s="393"/>
      <c r="S96" s="3911" t="str">
        <f ca="1">INDEX(AB60:AB62,AA60+1)</f>
        <v>Information Items</v>
      </c>
      <c r="T96" s="3912"/>
      <c r="U96" s="3912"/>
      <c r="V96" s="3912"/>
      <c r="W96" s="3912"/>
      <c r="X96" s="3912"/>
      <c r="Y96" s="3912"/>
      <c r="Z96" s="3912"/>
      <c r="AA96" s="3912"/>
      <c r="AB96" s="3913"/>
      <c r="AC96" s="3170"/>
      <c r="AD96" s="393"/>
      <c r="AE96" s="393"/>
      <c r="AF96" s="393"/>
      <c r="AG96" s="393"/>
      <c r="AH96" s="393"/>
      <c r="AI96" s="393"/>
      <c r="AJ96" s="393"/>
      <c r="AK96" s="393"/>
      <c r="AL96" s="393"/>
      <c r="AM96" s="393"/>
      <c r="AN96" s="393"/>
      <c r="AO96" s="393"/>
      <c r="AP96" s="393"/>
    </row>
    <row r="97" spans="1:42" s="272" customFormat="1" ht="3.75" customHeight="1" x14ac:dyDescent="0.5">
      <c r="A97" s="393"/>
      <c r="B97" s="2185"/>
      <c r="C97" s="2186"/>
      <c r="D97" s="2189"/>
      <c r="E97" s="2189"/>
      <c r="F97" s="2189"/>
      <c r="G97" s="2186"/>
      <c r="H97" s="2186"/>
      <c r="I97" s="2186"/>
      <c r="J97" s="2186"/>
      <c r="K97" s="2186"/>
      <c r="L97" s="2186"/>
      <c r="M97" s="2186"/>
      <c r="N97" s="2186"/>
      <c r="O97" s="2186"/>
      <c r="P97" s="2186"/>
      <c r="Q97" s="2187"/>
      <c r="R97" s="393"/>
      <c r="S97" s="2464"/>
      <c r="T97" s="2464"/>
      <c r="U97" s="393"/>
      <c r="V97" s="393"/>
      <c r="W97" s="393"/>
      <c r="X97" s="393"/>
      <c r="Y97" s="393"/>
      <c r="Z97" s="393"/>
      <c r="AA97" s="393"/>
      <c r="AB97" s="393"/>
      <c r="AC97" s="393"/>
      <c r="AD97" s="393"/>
      <c r="AE97" s="393"/>
      <c r="AF97" s="393"/>
      <c r="AG97" s="393"/>
      <c r="AH97" s="393"/>
      <c r="AI97" s="393"/>
      <c r="AJ97" s="393"/>
      <c r="AK97" s="393"/>
      <c r="AL97" s="393"/>
      <c r="AM97" s="393"/>
      <c r="AN97" s="393"/>
      <c r="AO97" s="393"/>
      <c r="AP97" s="393"/>
    </row>
    <row r="98" spans="1:42" s="272" customFormat="1" ht="15" customHeight="1" x14ac:dyDescent="0.25">
      <c r="A98" s="393"/>
      <c r="B98" s="2185"/>
      <c r="C98" s="2186"/>
      <c r="D98" s="2186"/>
      <c r="E98" s="2186"/>
      <c r="F98" s="2186"/>
      <c r="G98" s="2186"/>
      <c r="H98" s="2186"/>
      <c r="I98" s="2186"/>
      <c r="J98" s="2186"/>
      <c r="K98" s="2186"/>
      <c r="L98" s="2186"/>
      <c r="M98" s="2186"/>
      <c r="N98" s="2186"/>
      <c r="O98" s="2186"/>
      <c r="P98" s="2190"/>
      <c r="Q98" s="2191"/>
      <c r="R98" s="393"/>
      <c r="S98" s="3914" t="s">
        <v>1032</v>
      </c>
      <c r="T98" s="3915"/>
      <c r="U98" s="3915"/>
      <c r="V98" s="3914" t="s">
        <v>1814</v>
      </c>
      <c r="W98" s="3915"/>
      <c r="X98" s="3915"/>
      <c r="Y98" s="3915"/>
      <c r="Z98" s="3915"/>
      <c r="AA98" s="3915"/>
      <c r="AB98" s="3916"/>
      <c r="AC98" s="3171"/>
      <c r="AD98" s="2463"/>
      <c r="AE98" s="393"/>
      <c r="AF98" s="393"/>
      <c r="AG98" s="393"/>
      <c r="AH98" s="393"/>
      <c r="AI98" s="393"/>
      <c r="AJ98" s="393"/>
      <c r="AK98" s="393"/>
      <c r="AL98" s="393"/>
      <c r="AM98" s="393"/>
      <c r="AN98" s="393"/>
      <c r="AO98" s="393"/>
      <c r="AP98" s="393"/>
    </row>
    <row r="99" spans="1:42" s="272" customFormat="1" ht="3.9" customHeight="1" thickBot="1" x14ac:dyDescent="0.3">
      <c r="A99" s="393"/>
      <c r="B99" s="2185"/>
      <c r="C99" s="2186"/>
      <c r="D99" s="2186"/>
      <c r="E99" s="2186"/>
      <c r="F99" s="2186"/>
      <c r="G99" s="2186"/>
      <c r="H99" s="2186"/>
      <c r="I99" s="2186"/>
      <c r="J99" s="2186"/>
      <c r="K99" s="2186"/>
      <c r="L99" s="2186"/>
      <c r="M99" s="2186"/>
      <c r="N99" s="2186"/>
      <c r="O99" s="2186"/>
      <c r="P99" s="2186"/>
      <c r="Q99" s="2187"/>
      <c r="R99" s="393"/>
      <c r="S99" s="2465"/>
      <c r="T99" s="2465"/>
      <c r="U99" s="2465"/>
      <c r="V99" s="2465"/>
      <c r="W99" s="2465"/>
      <c r="X99" s="2465"/>
      <c r="Y99" s="2465"/>
      <c r="Z99" s="2465"/>
      <c r="AA99" s="2465"/>
      <c r="AB99" s="2466"/>
      <c r="AC99" s="2466"/>
      <c r="AD99" s="393"/>
      <c r="AE99" s="393"/>
      <c r="AF99" s="393"/>
      <c r="AG99" s="393"/>
      <c r="AH99" s="393"/>
      <c r="AI99" s="393"/>
      <c r="AJ99" s="393"/>
      <c r="AK99" s="393"/>
      <c r="AL99" s="393"/>
      <c r="AM99" s="393"/>
      <c r="AN99" s="393"/>
      <c r="AO99" s="393"/>
      <c r="AP99" s="393"/>
    </row>
    <row r="100" spans="1:42" s="272" customFormat="1" ht="23.1" customHeight="1" thickBot="1" x14ac:dyDescent="0.3">
      <c r="A100" s="393"/>
      <c r="B100" s="2185"/>
      <c r="C100" s="2186"/>
      <c r="D100" s="2186"/>
      <c r="E100" s="2186"/>
      <c r="F100" s="2251" t="s">
        <v>170</v>
      </c>
      <c r="G100" s="3924" t="str">
        <f>'1 Setup'!I39</f>
        <v>Client PM's, Secondments &amp; Construction Support</v>
      </c>
      <c r="H100" s="3925"/>
      <c r="I100" s="3925"/>
      <c r="J100" s="3925"/>
      <c r="K100" s="3925"/>
      <c r="L100" s="3925"/>
      <c r="M100" s="3925"/>
      <c r="N100" s="3925"/>
      <c r="O100" s="3926"/>
      <c r="P100" s="2166"/>
      <c r="Q100" s="2167"/>
      <c r="R100" s="393"/>
      <c r="S100" s="3914" t="s">
        <v>1812</v>
      </c>
      <c r="T100" s="3915"/>
      <c r="U100" s="3915"/>
      <c r="V100" s="3914" t="s">
        <v>4169</v>
      </c>
      <c r="W100" s="3915"/>
      <c r="X100" s="3915"/>
      <c r="Y100" s="3915"/>
      <c r="Z100" s="3915"/>
      <c r="AA100" s="3915"/>
      <c r="AB100" s="3916"/>
      <c r="AC100" s="3171"/>
      <c r="AD100" s="393"/>
      <c r="AE100" s="393"/>
      <c r="AF100" s="393"/>
      <c r="AG100" s="393"/>
      <c r="AH100" s="393"/>
      <c r="AI100" s="393"/>
      <c r="AJ100" s="393"/>
      <c r="AK100" s="393"/>
      <c r="AL100" s="393"/>
      <c r="AM100" s="393"/>
      <c r="AN100" s="393"/>
      <c r="AO100" s="393"/>
      <c r="AP100" s="393"/>
    </row>
    <row r="101" spans="1:42" s="272" customFormat="1" ht="3.9" customHeight="1" thickBot="1" x14ac:dyDescent="0.3">
      <c r="A101" s="393"/>
      <c r="B101" s="2185"/>
      <c r="C101" s="2186"/>
      <c r="D101" s="2186"/>
      <c r="E101" s="2186"/>
      <c r="F101" s="2186"/>
      <c r="G101" s="2198"/>
      <c r="H101" s="2198"/>
      <c r="I101" s="2198"/>
      <c r="J101" s="2198"/>
      <c r="K101" s="2186"/>
      <c r="L101" s="2186"/>
      <c r="M101" s="2186"/>
      <c r="N101" s="2186"/>
      <c r="O101" s="2186"/>
      <c r="P101" s="277"/>
      <c r="Q101" s="2165"/>
      <c r="R101" s="393"/>
      <c r="S101" s="2465"/>
      <c r="T101" s="2465"/>
      <c r="U101" s="2465"/>
      <c r="V101" s="2465"/>
      <c r="W101" s="2465"/>
      <c r="X101" s="2465"/>
      <c r="Y101" s="2465"/>
      <c r="Z101" s="2465"/>
      <c r="AA101" s="2465"/>
      <c r="AB101" s="2466"/>
      <c r="AC101" s="2466"/>
      <c r="AD101" s="393"/>
      <c r="AE101" s="393"/>
      <c r="AF101" s="393"/>
      <c r="AG101" s="393"/>
      <c r="AH101" s="393"/>
      <c r="AI101" s="393"/>
      <c r="AJ101" s="393"/>
      <c r="AK101" s="393"/>
      <c r="AL101" s="393"/>
      <c r="AM101" s="393"/>
      <c r="AN101" s="393"/>
      <c r="AO101" s="393"/>
      <c r="AP101" s="393"/>
    </row>
    <row r="102" spans="1:42" s="272" customFormat="1" ht="23.1" customHeight="1" thickBot="1" x14ac:dyDescent="0.3">
      <c r="A102" s="393"/>
      <c r="B102" s="2185"/>
      <c r="C102" s="2186"/>
      <c r="D102" s="2186"/>
      <c r="E102" s="2186"/>
      <c r="F102" s="2251" t="s">
        <v>169</v>
      </c>
      <c r="G102" s="3930" t="str">
        <f>'1 Setup'!I41</f>
        <v>WORCESTERSHIRE COUNTY COUNCIL</v>
      </c>
      <c r="H102" s="3931"/>
      <c r="I102" s="3931"/>
      <c r="J102" s="3932"/>
      <c r="K102" s="32"/>
      <c r="L102" s="32" t="s">
        <v>2146</v>
      </c>
      <c r="M102" s="3927" t="str">
        <f>'1 Setup'!I51</f>
        <v>B2367205</v>
      </c>
      <c r="N102" s="3928"/>
      <c r="O102" s="3929"/>
      <c r="P102" s="277"/>
      <c r="Q102" s="2165"/>
      <c r="R102" s="393"/>
      <c r="S102" s="3914" t="s">
        <v>1032</v>
      </c>
      <c r="T102" s="3915"/>
      <c r="U102" s="3915"/>
      <c r="V102" s="3914" t="s">
        <v>1796</v>
      </c>
      <c r="W102" s="3915"/>
      <c r="X102" s="3915"/>
      <c r="Y102" s="3915"/>
      <c r="Z102" s="3915"/>
      <c r="AA102" s="3915"/>
      <c r="AB102" s="3916"/>
      <c r="AC102" s="3171"/>
      <c r="AD102" s="393"/>
      <c r="AE102" s="393"/>
      <c r="AF102" s="393"/>
      <c r="AG102" s="393"/>
      <c r="AH102" s="393"/>
      <c r="AI102" s="393"/>
      <c r="AJ102" s="393"/>
      <c r="AK102" s="393"/>
      <c r="AL102" s="393"/>
      <c r="AM102" s="393"/>
      <c r="AN102" s="393"/>
      <c r="AO102" s="393"/>
      <c r="AP102" s="393"/>
    </row>
    <row r="103" spans="1:42" s="272" customFormat="1" ht="3.9" customHeight="1" x14ac:dyDescent="0.25">
      <c r="A103" s="393"/>
      <c r="B103" s="2185"/>
      <c r="C103" s="2186"/>
      <c r="D103" s="2186"/>
      <c r="E103" s="2186"/>
      <c r="F103" s="2186"/>
      <c r="G103" s="2198"/>
      <c r="H103" s="2198"/>
      <c r="I103" s="2198"/>
      <c r="J103" s="2198"/>
      <c r="K103" s="2186"/>
      <c r="L103" s="2186"/>
      <c r="M103" s="2186"/>
      <c r="N103" s="2186"/>
      <c r="O103" s="2186"/>
      <c r="P103" s="277"/>
      <c r="Q103" s="2165"/>
      <c r="R103" s="393"/>
      <c r="S103" s="2467"/>
      <c r="T103" s="2467"/>
      <c r="U103" s="2465"/>
      <c r="V103" s="2465"/>
      <c r="W103" s="2465"/>
      <c r="X103" s="2465"/>
      <c r="Y103" s="2465"/>
      <c r="Z103" s="2465"/>
      <c r="AA103" s="2465"/>
      <c r="AB103" s="2465"/>
      <c r="AC103" s="2465"/>
      <c r="AD103" s="393"/>
      <c r="AE103" s="393"/>
      <c r="AF103" s="393"/>
      <c r="AG103" s="393"/>
      <c r="AH103" s="393"/>
      <c r="AI103" s="393"/>
      <c r="AJ103" s="393"/>
      <c r="AK103" s="393"/>
      <c r="AL103" s="393"/>
      <c r="AM103" s="393"/>
      <c r="AN103" s="393"/>
      <c r="AO103" s="393"/>
      <c r="AP103" s="393"/>
    </row>
    <row r="104" spans="1:42" s="272" customFormat="1" ht="15" customHeight="1" x14ac:dyDescent="0.25">
      <c r="A104" s="393"/>
      <c r="B104" s="2185"/>
      <c r="C104" s="2186"/>
      <c r="D104" s="2186"/>
      <c r="E104" s="2186"/>
      <c r="F104" s="2162" t="s">
        <v>171</v>
      </c>
      <c r="G104" s="3933" t="str">
        <f>'1 Setup'!S55</f>
        <v>031500 - Highways UK</v>
      </c>
      <c r="H104" s="3934"/>
      <c r="I104" s="3934"/>
      <c r="J104" s="3935"/>
      <c r="K104" s="2186"/>
      <c r="L104" s="2162" t="s">
        <v>2549</v>
      </c>
      <c r="M104" s="3936">
        <f ca="1">TODAY()</f>
        <v>43832</v>
      </c>
      <c r="N104" s="3937"/>
      <c r="O104" s="3938"/>
      <c r="P104" s="277"/>
      <c r="Q104" s="2165"/>
      <c r="R104" s="393"/>
      <c r="S104" s="3914" t="s">
        <v>1032</v>
      </c>
      <c r="T104" s="3915"/>
      <c r="U104" s="3915"/>
      <c r="V104" s="3914" t="s">
        <v>1795</v>
      </c>
      <c r="W104" s="3915"/>
      <c r="X104" s="3915"/>
      <c r="Y104" s="3915"/>
      <c r="Z104" s="3915"/>
      <c r="AA104" s="3915"/>
      <c r="AB104" s="3916"/>
      <c r="AC104" s="3171"/>
      <c r="AD104" s="393"/>
      <c r="AE104" s="393"/>
      <c r="AF104" s="393"/>
      <c r="AG104" s="393"/>
      <c r="AH104" s="393"/>
      <c r="AI104" s="393"/>
      <c r="AJ104" s="393"/>
      <c r="AK104" s="393"/>
      <c r="AL104" s="393"/>
      <c r="AM104" s="393"/>
      <c r="AN104" s="393"/>
      <c r="AO104" s="393"/>
      <c r="AP104" s="393"/>
    </row>
    <row r="105" spans="1:42" s="749" customFormat="1" ht="3.9" customHeight="1" x14ac:dyDescent="0.25">
      <c r="A105" s="393"/>
      <c r="B105" s="2185"/>
      <c r="C105" s="2186"/>
      <c r="D105" s="2186"/>
      <c r="E105" s="2186"/>
      <c r="F105" s="2186"/>
      <c r="G105" s="2199"/>
      <c r="H105" s="2199"/>
      <c r="I105" s="2199"/>
      <c r="J105" s="2199"/>
      <c r="K105" s="2186"/>
      <c r="L105" s="2186"/>
      <c r="M105" s="2186"/>
      <c r="N105" s="2186"/>
      <c r="O105" s="2186"/>
      <c r="P105" s="277"/>
      <c r="Q105" s="2165"/>
      <c r="R105" s="393"/>
      <c r="S105" s="2466"/>
      <c r="T105" s="2466"/>
      <c r="U105" s="2466"/>
      <c r="V105" s="2466"/>
      <c r="W105" s="2466"/>
      <c r="X105" s="2466"/>
      <c r="Y105" s="2466"/>
      <c r="Z105" s="2466"/>
      <c r="AA105" s="2466"/>
      <c r="AB105" s="2465"/>
      <c r="AC105" s="2465"/>
      <c r="AD105" s="393"/>
      <c r="AE105" s="393"/>
      <c r="AF105" s="393"/>
      <c r="AG105" s="393"/>
      <c r="AH105" s="393"/>
      <c r="AI105" s="393"/>
      <c r="AJ105" s="393"/>
      <c r="AK105" s="393"/>
      <c r="AL105" s="393"/>
      <c r="AM105" s="393"/>
      <c r="AN105" s="393"/>
      <c r="AO105" s="393"/>
      <c r="AP105" s="393"/>
    </row>
    <row r="106" spans="1:42" s="749" customFormat="1" ht="15" customHeight="1" x14ac:dyDescent="0.25">
      <c r="A106" s="393"/>
      <c r="B106" s="2185"/>
      <c r="C106" s="2192"/>
      <c r="D106" s="2192"/>
      <c r="E106" s="2192"/>
      <c r="F106" s="2162" t="str">
        <f>IF($C$29="E","Proposed PM: ","Project Manager: ")</f>
        <v xml:space="preserve">Project Manager: </v>
      </c>
      <c r="G106" s="3933" t="str">
        <f>'1 Setup'!I45</f>
        <v>Vicky Thompson</v>
      </c>
      <c r="H106" s="3934"/>
      <c r="I106" s="3934"/>
      <c r="J106" s="3935"/>
      <c r="P106" s="277"/>
      <c r="Q106" s="2165"/>
      <c r="R106" s="393"/>
      <c r="S106" s="3914" t="s">
        <v>1032</v>
      </c>
      <c r="T106" s="3915"/>
      <c r="U106" s="3915"/>
      <c r="V106" s="3914" t="s">
        <v>1988</v>
      </c>
      <c r="W106" s="3915"/>
      <c r="X106" s="3915"/>
      <c r="Y106" s="3915"/>
      <c r="Z106" s="3915"/>
      <c r="AA106" s="3915"/>
      <c r="AB106" s="3916"/>
      <c r="AC106" s="3171"/>
      <c r="AD106" s="393"/>
      <c r="AE106" s="393"/>
      <c r="AF106" s="393"/>
      <c r="AG106" s="393"/>
      <c r="AH106" s="393"/>
      <c r="AI106" s="393"/>
      <c r="AJ106" s="393"/>
      <c r="AK106" s="393"/>
      <c r="AL106" s="393"/>
      <c r="AM106" s="393"/>
      <c r="AN106" s="393"/>
      <c r="AO106" s="393"/>
      <c r="AP106" s="393"/>
    </row>
    <row r="107" spans="1:42" s="749" customFormat="1" ht="3.9" customHeight="1" x14ac:dyDescent="0.25">
      <c r="A107" s="393"/>
      <c r="B107" s="2185"/>
      <c r="C107" s="2186"/>
      <c r="D107" s="2186"/>
      <c r="E107" s="2186"/>
      <c r="F107" s="2186"/>
      <c r="G107" s="2199"/>
      <c r="H107" s="2199"/>
      <c r="I107" s="2199"/>
      <c r="J107" s="2199"/>
      <c r="K107" s="2186"/>
      <c r="L107" s="2186"/>
      <c r="M107" s="2186"/>
      <c r="N107" s="2186"/>
      <c r="O107" s="2186"/>
      <c r="P107" s="277"/>
      <c r="Q107" s="2165"/>
      <c r="R107" s="393"/>
      <c r="S107" s="2466"/>
      <c r="T107" s="2466"/>
      <c r="U107" s="2466"/>
      <c r="V107" s="2466"/>
      <c r="W107" s="2466"/>
      <c r="X107" s="2466"/>
      <c r="Y107" s="2466"/>
      <c r="Z107" s="2466"/>
      <c r="AA107" s="2466"/>
      <c r="AB107" s="2465"/>
      <c r="AC107" s="2465"/>
      <c r="AD107" s="393"/>
      <c r="AE107" s="393"/>
      <c r="AF107" s="393"/>
      <c r="AG107" s="393"/>
      <c r="AH107" s="393"/>
      <c r="AI107" s="393"/>
      <c r="AJ107" s="393"/>
      <c r="AK107" s="393"/>
      <c r="AL107" s="393"/>
      <c r="AM107" s="393"/>
      <c r="AN107" s="393"/>
      <c r="AO107" s="393"/>
      <c r="AP107" s="393"/>
    </row>
    <row r="108" spans="1:42" s="749" customFormat="1" ht="15" customHeight="1" x14ac:dyDescent="0.25">
      <c r="A108" s="393"/>
      <c r="B108" s="2185"/>
      <c r="C108" s="2186"/>
      <c r="D108" s="2186"/>
      <c r="E108" s="2186"/>
      <c r="F108" s="2162" t="s">
        <v>774</v>
      </c>
      <c r="G108" s="3898" t="str">
        <f>IF('1 Setup'!I79="&lt;select&gt;","",'1 Setup'!I79)</f>
        <v>TM   Time and Materials</v>
      </c>
      <c r="H108" s="3899"/>
      <c r="I108" s="3899"/>
      <c r="J108" s="3900"/>
      <c r="K108" s="3896" t="str">
        <f>IF(C29="E","Date of Bid:","")</f>
        <v/>
      </c>
      <c r="L108" s="3897"/>
      <c r="M108" s="3936" t="str">
        <f>IF('1 Setup'!I47=0,"----",'1 Setup'!I47)</f>
        <v>----</v>
      </c>
      <c r="N108" s="3937"/>
      <c r="O108" s="3938"/>
      <c r="P108" s="277"/>
      <c r="Q108" s="2165"/>
      <c r="R108" s="393"/>
      <c r="S108" s="3914" t="s">
        <v>1032</v>
      </c>
      <c r="T108" s="3915"/>
      <c r="U108" s="3915"/>
      <c r="V108" s="3914" t="s">
        <v>1986</v>
      </c>
      <c r="W108" s="3915"/>
      <c r="X108" s="3915"/>
      <c r="Y108" s="3915"/>
      <c r="Z108" s="3915"/>
      <c r="AA108" s="3915"/>
      <c r="AB108" s="3916"/>
      <c r="AC108" s="3171"/>
      <c r="AD108" s="393"/>
      <c r="AE108" s="393"/>
      <c r="AF108" s="393"/>
      <c r="AG108" s="393"/>
      <c r="AH108" s="393"/>
      <c r="AI108" s="393"/>
      <c r="AJ108" s="393"/>
      <c r="AK108" s="393"/>
      <c r="AL108" s="393"/>
      <c r="AM108" s="393"/>
      <c r="AN108" s="393"/>
      <c r="AO108" s="393"/>
      <c r="AP108" s="393"/>
    </row>
    <row r="109" spans="1:42" s="272" customFormat="1" ht="3.9" customHeight="1" x14ac:dyDescent="0.25">
      <c r="A109" s="393"/>
      <c r="B109" s="2185"/>
      <c r="C109" s="2186"/>
      <c r="D109" s="2186"/>
      <c r="E109" s="2186"/>
      <c r="F109" s="2186"/>
      <c r="G109" s="2199"/>
      <c r="H109" s="2199"/>
      <c r="I109" s="2199"/>
      <c r="J109" s="2199"/>
      <c r="K109" s="2186"/>
      <c r="L109" s="2186"/>
      <c r="M109" s="2186"/>
      <c r="N109" s="2186"/>
      <c r="O109" s="2186"/>
      <c r="P109" s="277"/>
      <c r="Q109" s="2165"/>
      <c r="R109" s="393"/>
      <c r="S109" s="2464"/>
      <c r="T109" s="2464"/>
      <c r="U109" s="393"/>
      <c r="V109" s="393"/>
      <c r="W109" s="393"/>
      <c r="X109" s="393"/>
      <c r="Y109" s="393"/>
      <c r="Z109" s="393"/>
      <c r="AA109" s="393"/>
      <c r="AB109" s="393"/>
      <c r="AC109" s="393"/>
      <c r="AD109" s="393"/>
      <c r="AE109" s="393"/>
      <c r="AF109" s="393"/>
      <c r="AG109" s="393"/>
      <c r="AH109" s="393"/>
      <c r="AI109" s="393"/>
      <c r="AJ109" s="393"/>
      <c r="AK109" s="393"/>
      <c r="AL109" s="393"/>
      <c r="AM109" s="393"/>
      <c r="AN109" s="393"/>
      <c r="AO109" s="393"/>
      <c r="AP109" s="393"/>
    </row>
    <row r="110" spans="1:42" s="272" customFormat="1" ht="15" customHeight="1" x14ac:dyDescent="0.25">
      <c r="A110" s="393"/>
      <c r="B110" s="2185"/>
      <c r="C110" s="2186"/>
      <c r="D110" s="2186"/>
      <c r="E110" s="2193"/>
      <c r="F110" s="2162" t="s">
        <v>614</v>
      </c>
      <c r="G110" s="3508" t="str">
        <f>IF('1 Setup'!I84="&lt;select&gt;","",'1 Setup'!I84)</f>
        <v>10.  Category Rates with Scaling Factor</v>
      </c>
      <c r="H110" s="3509"/>
      <c r="I110" s="3509"/>
      <c r="J110" s="3510"/>
      <c r="K110" s="32"/>
      <c r="L110" s="2162" t="str">
        <f>IF(C29="E","Time to Bid:","")</f>
        <v/>
      </c>
      <c r="M110" s="3921" t="str">
        <f ca="1">IFERROR(MROUND((M108-TODAY())/7,0.5),0)&amp;" Wks"</f>
        <v>0 Wks</v>
      </c>
      <c r="N110" s="3922"/>
      <c r="O110" s="3923"/>
      <c r="P110" s="277"/>
      <c r="Q110" s="2165"/>
      <c r="R110" s="393"/>
      <c r="S110" s="3914" t="s">
        <v>1794</v>
      </c>
      <c r="T110" s="3915"/>
      <c r="U110" s="3915"/>
      <c r="V110" s="3914" t="s">
        <v>1987</v>
      </c>
      <c r="W110" s="3915"/>
      <c r="X110" s="3915"/>
      <c r="Y110" s="3915"/>
      <c r="Z110" s="3915"/>
      <c r="AA110" s="3915"/>
      <c r="AB110" s="3916"/>
      <c r="AC110" s="3171"/>
      <c r="AD110" s="393"/>
      <c r="AE110" s="393"/>
      <c r="AF110" s="393"/>
      <c r="AG110" s="393"/>
      <c r="AH110" s="393"/>
      <c r="AI110" s="393"/>
      <c r="AJ110" s="393"/>
      <c r="AK110" s="393"/>
      <c r="AL110" s="393"/>
      <c r="AM110" s="393"/>
      <c r="AN110" s="393"/>
      <c r="AO110" s="393"/>
      <c r="AP110" s="393"/>
    </row>
    <row r="111" spans="1:42" s="272" customFormat="1" ht="3.9" customHeight="1" x14ac:dyDescent="0.25">
      <c r="A111" s="393"/>
      <c r="B111" s="2185"/>
      <c r="C111" s="2186"/>
      <c r="D111" s="2186"/>
      <c r="E111" s="2186"/>
      <c r="F111" s="2186"/>
      <c r="G111" s="2199"/>
      <c r="H111" s="2199"/>
      <c r="I111" s="2199"/>
      <c r="J111" s="2199"/>
      <c r="K111" s="2186"/>
      <c r="L111" s="2162"/>
      <c r="M111" s="2186"/>
      <c r="N111" s="2186"/>
      <c r="O111" s="2186"/>
      <c r="P111" s="277"/>
      <c r="Q111" s="2165"/>
      <c r="R111" s="393"/>
      <c r="S111" s="393"/>
      <c r="T111" s="393"/>
      <c r="U111" s="393"/>
      <c r="V111" s="393"/>
      <c r="W111" s="393"/>
      <c r="X111" s="393"/>
      <c r="Y111" s="393"/>
      <c r="Z111" s="393"/>
      <c r="AA111" s="393"/>
      <c r="AB111" s="393"/>
      <c r="AC111" s="393"/>
      <c r="AD111" s="393"/>
      <c r="AE111" s="393"/>
      <c r="AF111" s="393"/>
      <c r="AG111" s="393"/>
      <c r="AH111" s="393"/>
      <c r="AI111" s="393"/>
      <c r="AJ111" s="393"/>
      <c r="AK111" s="393"/>
      <c r="AL111" s="393"/>
      <c r="AM111" s="393"/>
      <c r="AN111" s="393"/>
      <c r="AO111" s="393"/>
      <c r="AP111" s="393"/>
    </row>
    <row r="112" spans="1:42" s="272" customFormat="1" ht="15" customHeight="1" x14ac:dyDescent="0.25">
      <c r="A112" s="393"/>
      <c r="B112" s="2185"/>
      <c r="C112" s="2186"/>
      <c r="D112" s="2186"/>
      <c r="E112" s="2186"/>
      <c r="F112" s="2162" t="s">
        <v>2548</v>
      </c>
      <c r="G112" s="3508" t="str">
        <f>'1 Setup'!R33</f>
        <v>3b:  Activity Plan</v>
      </c>
      <c r="H112" s="3509"/>
      <c r="I112" s="3509"/>
      <c r="J112" s="3510"/>
      <c r="K112" s="32"/>
      <c r="L112" s="2162" t="str">
        <f>IF(C29="E","B&amp;P No:","")</f>
        <v/>
      </c>
      <c r="M112" s="3921" t="str">
        <f>IF(ISBLANK('1 Setup'!I49),"Ops Funded",'1 Setup'!I49)</f>
        <v>Ops Funded</v>
      </c>
      <c r="N112" s="3922"/>
      <c r="O112" s="3923"/>
      <c r="P112" s="277"/>
      <c r="Q112" s="2165"/>
      <c r="R112" s="393"/>
      <c r="S112" s="3914" t="s">
        <v>2846</v>
      </c>
      <c r="T112" s="3915"/>
      <c r="U112" s="3915"/>
      <c r="V112" s="3914" t="s">
        <v>2847</v>
      </c>
      <c r="W112" s="3915"/>
      <c r="X112" s="3915"/>
      <c r="Y112" s="3915"/>
      <c r="Z112" s="3915"/>
      <c r="AA112" s="3915"/>
      <c r="AB112" s="3916"/>
      <c r="AC112" s="3171"/>
      <c r="AD112" s="393"/>
      <c r="AE112" s="393"/>
      <c r="AF112" s="393"/>
      <c r="AG112" s="393"/>
      <c r="AH112" s="393"/>
      <c r="AI112" s="393"/>
      <c r="AJ112" s="393"/>
      <c r="AK112" s="393"/>
      <c r="AL112" s="393"/>
      <c r="AM112" s="393"/>
      <c r="AN112" s="393"/>
      <c r="AO112" s="393"/>
      <c r="AP112" s="393"/>
    </row>
    <row r="113" spans="1:42" s="749" customFormat="1" ht="21.6" customHeight="1" x14ac:dyDescent="0.25">
      <c r="A113" s="393"/>
      <c r="B113" s="2185"/>
      <c r="C113" s="2186"/>
      <c r="D113" s="2186"/>
      <c r="E113" s="2186"/>
      <c r="F113" s="2186"/>
      <c r="G113" s="2186"/>
      <c r="H113" s="2186"/>
      <c r="I113" s="2186"/>
      <c r="J113" s="2186"/>
      <c r="K113" s="2186"/>
      <c r="L113" s="2186"/>
      <c r="M113" s="2186"/>
      <c r="N113" s="2186"/>
      <c r="O113" s="2186"/>
      <c r="P113" s="2186"/>
      <c r="Q113" s="2187"/>
      <c r="R113" s="393"/>
      <c r="S113" s="393"/>
      <c r="T113" s="393"/>
      <c r="U113" s="2462"/>
      <c r="V113" s="393"/>
      <c r="W113" s="393"/>
      <c r="X113" s="393"/>
      <c r="Y113" s="393"/>
      <c r="Z113" s="393"/>
      <c r="AA113" s="393"/>
      <c r="AB113" s="393"/>
      <c r="AC113" s="393"/>
      <c r="AD113" s="393"/>
      <c r="AE113" s="393"/>
      <c r="AF113" s="393"/>
      <c r="AG113" s="393"/>
      <c r="AH113" s="393"/>
      <c r="AI113" s="393"/>
      <c r="AJ113" s="393"/>
      <c r="AK113" s="393"/>
      <c r="AL113" s="393"/>
      <c r="AM113" s="393"/>
      <c r="AN113" s="393"/>
      <c r="AO113" s="393"/>
      <c r="AP113" s="393"/>
    </row>
    <row r="114" spans="1:42" s="272" customFormat="1" ht="19.95" customHeight="1" x14ac:dyDescent="0.25">
      <c r="A114" s="393"/>
      <c r="B114" s="2185"/>
      <c r="C114" s="2186"/>
      <c r="D114" s="2186"/>
      <c r="E114" s="2186"/>
      <c r="F114" s="2186"/>
      <c r="G114" s="3973" t="s">
        <v>1</v>
      </c>
      <c r="H114" s="3973"/>
      <c r="I114" s="2200" t="str">
        <f>IF($C$29="F","Revenue","Price")</f>
        <v>Price</v>
      </c>
      <c r="J114" s="2201" t="s">
        <v>39</v>
      </c>
      <c r="K114" s="3973" t="s">
        <v>30</v>
      </c>
      <c r="L114" s="3973"/>
      <c r="M114" s="3973"/>
      <c r="N114" s="3973"/>
      <c r="O114" s="3973"/>
      <c r="P114" s="2186"/>
      <c r="Q114" s="2187"/>
      <c r="R114" s="393"/>
      <c r="S114" s="393"/>
      <c r="T114" s="393"/>
      <c r="U114" s="393"/>
      <c r="V114" s="393"/>
      <c r="W114" s="393"/>
      <c r="X114" s="393"/>
      <c r="Y114" s="393"/>
      <c r="Z114" s="393"/>
      <c r="AA114" s="2462"/>
      <c r="AB114" s="393"/>
      <c r="AC114" s="393"/>
      <c r="AD114" s="393"/>
      <c r="AE114" s="393"/>
      <c r="AF114" s="393"/>
      <c r="AG114" s="393"/>
      <c r="AH114" s="393"/>
      <c r="AI114" s="393"/>
      <c r="AJ114" s="393"/>
      <c r="AK114" s="393"/>
      <c r="AL114" s="393"/>
      <c r="AM114" s="393"/>
      <c r="AN114" s="393"/>
      <c r="AO114" s="393"/>
      <c r="AP114" s="393"/>
    </row>
    <row r="115" spans="1:42" s="272" customFormat="1" ht="9" customHeight="1" thickBot="1" x14ac:dyDescent="0.3">
      <c r="A115" s="393"/>
      <c r="B115" s="2185"/>
      <c r="C115" s="2186"/>
      <c r="D115" s="2186"/>
      <c r="E115" s="2186"/>
      <c r="F115" s="2186"/>
      <c r="G115" s="2202" t="s">
        <v>139</v>
      </c>
      <c r="H115" s="2202" t="s">
        <v>479</v>
      </c>
      <c r="I115" s="2202" t="str">
        <f>'1 Setup'!$I$60</f>
        <v>GBP</v>
      </c>
      <c r="J115" s="2202" t="str">
        <f>'1 Setup'!$I$60</f>
        <v>GBP</v>
      </c>
      <c r="K115" s="2202" t="str">
        <f>'1 Setup'!$I$60</f>
        <v>GBP</v>
      </c>
      <c r="L115" s="2202"/>
      <c r="M115" s="2202" t="str">
        <f>'1 Setup'!$I$60&amp;"/BH"</f>
        <v>GBP/BH</v>
      </c>
      <c r="N115" s="2202"/>
      <c r="O115" s="2202"/>
      <c r="P115" s="2186"/>
      <c r="Q115" s="2187"/>
      <c r="R115" s="393"/>
      <c r="S115" s="2082"/>
      <c r="T115" s="2082"/>
      <c r="U115" s="2082"/>
      <c r="V115" s="393"/>
      <c r="W115" s="393"/>
      <c r="X115" s="393"/>
      <c r="Y115" s="393"/>
      <c r="Z115" s="393"/>
      <c r="AA115" s="393"/>
      <c r="AB115" s="393"/>
      <c r="AC115" s="393"/>
      <c r="AD115" s="393"/>
      <c r="AE115" s="393"/>
      <c r="AF115" s="393"/>
      <c r="AG115" s="393"/>
      <c r="AH115" s="393"/>
      <c r="AI115" s="393"/>
      <c r="AJ115" s="393"/>
      <c r="AK115" s="393"/>
      <c r="AL115" s="393"/>
      <c r="AM115" s="393"/>
      <c r="AN115" s="393"/>
      <c r="AO115" s="393"/>
      <c r="AP115" s="393"/>
    </row>
    <row r="116" spans="1:42" s="749" customFormat="1" ht="13.95" customHeight="1" thickTop="1" x14ac:dyDescent="0.25">
      <c r="A116" s="393"/>
      <c r="B116" s="2185"/>
      <c r="C116" s="3902">
        <v>1</v>
      </c>
      <c r="D116" s="3902" t="s">
        <v>2161</v>
      </c>
      <c r="E116" s="3978" t="str">
        <f>CHOOSE(C30,"Bid Price:","ETC:","Changes:")</f>
        <v>Changes:</v>
      </c>
      <c r="F116" s="3978"/>
      <c r="G116" s="3907">
        <f>G89</f>
        <v>0</v>
      </c>
      <c r="H116" s="3909">
        <f>H89</f>
        <v>1363</v>
      </c>
      <c r="I116" s="3903">
        <f ca="1">I89</f>
        <v>73862.781824999998</v>
      </c>
      <c r="J116" s="3905">
        <f>J89</f>
        <v>45111.674231999998</v>
      </c>
      <c r="K116" s="3907">
        <f ca="1">K89</f>
        <v>28751.107593000001</v>
      </c>
      <c r="L116" s="2202"/>
      <c r="M116" s="3954">
        <f ca="1">IFERROR(K116/H116,0)</f>
        <v>21.09398942993397</v>
      </c>
      <c r="N116" s="2203"/>
      <c r="O116" s="3114">
        <f ca="1">IFERROR(K116/I116,0)</f>
        <v>0.38925026762624237</v>
      </c>
      <c r="P116" s="1599" t="s">
        <v>609</v>
      </c>
      <c r="Q116" s="2165"/>
      <c r="R116" s="393"/>
      <c r="S116" s="3956"/>
      <c r="T116" s="2462" t="str">
        <f>IF($C$29&lt;&gt;"E",""," Budget is the signed-off GM amount")</f>
        <v/>
      </c>
      <c r="U116" s="393"/>
      <c r="V116" s="393"/>
      <c r="W116" s="393"/>
      <c r="X116" s="393"/>
      <c r="Y116" s="393"/>
      <c r="Z116" s="393"/>
      <c r="AA116" s="393"/>
      <c r="AB116" s="393"/>
      <c r="AC116" s="393"/>
      <c r="AD116" s="393"/>
      <c r="AE116" s="393"/>
      <c r="AF116" s="393"/>
      <c r="AG116" s="393"/>
      <c r="AH116" s="393"/>
      <c r="AI116" s="393"/>
      <c r="AJ116" s="393"/>
      <c r="AK116" s="393"/>
      <c r="AL116" s="393"/>
      <c r="AM116" s="393"/>
      <c r="AN116" s="393"/>
      <c r="AO116" s="393"/>
      <c r="AP116" s="393"/>
    </row>
    <row r="117" spans="1:42" s="749" customFormat="1" ht="13.95" customHeight="1" thickBot="1" x14ac:dyDescent="0.3">
      <c r="A117" s="393"/>
      <c r="B117" s="2185"/>
      <c r="C117" s="3902"/>
      <c r="D117" s="3902"/>
      <c r="E117" s="3978"/>
      <c r="F117" s="3978"/>
      <c r="G117" s="3908"/>
      <c r="H117" s="3910"/>
      <c r="I117" s="3904"/>
      <c r="J117" s="3906"/>
      <c r="K117" s="3908"/>
      <c r="L117" s="32"/>
      <c r="M117" s="3955"/>
      <c r="N117" s="32"/>
      <c r="O117" s="3114">
        <f ca="1">IFERROR(K116/R61,0)</f>
        <v>0.41976843145982123</v>
      </c>
      <c r="P117" s="1599" t="s">
        <v>3940</v>
      </c>
      <c r="Q117" s="2187"/>
      <c r="R117" s="393"/>
      <c r="S117" s="3957"/>
      <c r="T117" s="2462"/>
      <c r="U117" s="393"/>
      <c r="V117" s="393"/>
      <c r="W117" s="393"/>
      <c r="X117" s="393"/>
      <c r="Y117" s="393"/>
      <c r="Z117" s="393"/>
      <c r="AA117" s="393"/>
      <c r="AB117" s="393"/>
      <c r="AC117" s="393"/>
      <c r="AD117" s="393"/>
      <c r="AE117" s="393"/>
      <c r="AF117" s="393"/>
      <c r="AG117" s="393"/>
      <c r="AH117" s="393"/>
      <c r="AI117" s="393"/>
      <c r="AJ117" s="393"/>
      <c r="AK117" s="393"/>
      <c r="AL117" s="393"/>
      <c r="AM117" s="393"/>
      <c r="AN117" s="393"/>
      <c r="AO117" s="393"/>
      <c r="AP117" s="393"/>
    </row>
    <row r="118" spans="1:42" s="272" customFormat="1" ht="16.95" customHeight="1" thickTop="1" x14ac:dyDescent="0.25">
      <c r="A118" s="393"/>
      <c r="B118" s="2185"/>
      <c r="C118" s="2248"/>
      <c r="D118" s="2186"/>
      <c r="E118" s="2186"/>
      <c r="F118" s="2186"/>
      <c r="G118" s="402"/>
      <c r="H118" s="3901" t="str">
        <f>IF(H60&gt;0,"Excludes Non-Jacobs Hours","")</f>
        <v/>
      </c>
      <c r="I118" s="2206"/>
      <c r="J118" s="2207"/>
      <c r="K118" s="2170" t="str">
        <f>IF($C$29&lt;&gt;"E","",'1 Setup'!$I$60)</f>
        <v/>
      </c>
      <c r="L118" s="2204"/>
      <c r="M118" s="2170" t="str">
        <f>IF($C$29&lt;&gt;"E","",'1 Setup'!$I$60&amp;"/BH")</f>
        <v/>
      </c>
      <c r="N118" s="2204"/>
      <c r="O118" s="2170" t="str">
        <f>IF($C$29&lt;&gt;"E","","GM %")</f>
        <v/>
      </c>
      <c r="P118" s="277"/>
      <c r="Q118" s="2165"/>
      <c r="R118" s="393"/>
      <c r="S118" s="393"/>
      <c r="T118" s="393"/>
      <c r="U118" s="393"/>
      <c r="V118" s="393"/>
      <c r="W118" s="393"/>
      <c r="X118" s="393"/>
      <c r="Y118" s="2462"/>
      <c r="Z118" s="393"/>
      <c r="AA118" s="393"/>
      <c r="AB118" s="393"/>
      <c r="AC118" s="393"/>
      <c r="AD118" s="393"/>
      <c r="AE118" s="393"/>
      <c r="AF118" s="393"/>
      <c r="AG118" s="393"/>
      <c r="AH118" s="393"/>
      <c r="AI118" s="393"/>
      <c r="AJ118" s="393"/>
      <c r="AK118" s="393"/>
      <c r="AL118" s="393"/>
      <c r="AM118" s="393"/>
      <c r="AN118" s="393"/>
      <c r="AO118" s="393"/>
      <c r="AP118" s="393"/>
    </row>
    <row r="119" spans="1:42" s="749" customFormat="1" ht="14.4" customHeight="1" x14ac:dyDescent="0.25">
      <c r="A119" s="393"/>
      <c r="B119" s="2185"/>
      <c r="C119" s="2248"/>
      <c r="D119" s="2186"/>
      <c r="E119" s="2186"/>
      <c r="F119" s="2186"/>
      <c r="G119" s="1182"/>
      <c r="H119" s="3901"/>
      <c r="I119" s="2206"/>
      <c r="J119" s="2208" t="str">
        <f>IF($C$29&lt;&gt;"E","","Potential GM")</f>
        <v/>
      </c>
      <c r="K119" s="2261">
        <f ca="1">IFERROR(IF($C$14=2,J38,I38),0)</f>
        <v>28751.107593000001</v>
      </c>
      <c r="L119" s="2205"/>
      <c r="M119" s="2261">
        <f ca="1">IFERROR(IF($C$14=2,J39,I39),0)</f>
        <v>21.09398942993397</v>
      </c>
      <c r="N119" s="2204"/>
      <c r="O119" s="2250">
        <f ca="1">IFERROR(IF($C$14=2,J40,I40),0)</f>
        <v>0.38925026762624237</v>
      </c>
      <c r="P119" s="277"/>
      <c r="Q119" s="2165"/>
      <c r="R119" s="393"/>
      <c r="S119" s="2478"/>
      <c r="T119" s="2462" t="str">
        <f>IF($C$29&lt;&gt;"E","",IF(C14=1,IF(AND(I134=0,K135=0),I47,I48),IF(K135=0,I49,I50)))</f>
        <v/>
      </c>
      <c r="U119" s="393"/>
      <c r="V119" s="393"/>
      <c r="W119" s="393"/>
      <c r="X119" s="393"/>
      <c r="Y119" s="393"/>
      <c r="Z119" s="393"/>
      <c r="AA119" s="393"/>
      <c r="AB119" s="393"/>
      <c r="AC119" s="393"/>
      <c r="AD119" s="393"/>
      <c r="AE119" s="393"/>
      <c r="AF119" s="393"/>
      <c r="AG119" s="393"/>
      <c r="AH119" s="393"/>
      <c r="AI119" s="393"/>
      <c r="AJ119" s="393"/>
      <c r="AK119" s="393"/>
      <c r="AL119" s="393"/>
      <c r="AM119" s="393"/>
      <c r="AN119" s="393"/>
      <c r="AO119" s="393"/>
      <c r="AP119" s="393"/>
    </row>
    <row r="120" spans="1:42" s="749" customFormat="1" ht="6.6" customHeight="1" x14ac:dyDescent="0.25">
      <c r="A120" s="393"/>
      <c r="B120" s="2185"/>
      <c r="C120" s="2248"/>
      <c r="D120" s="2186"/>
      <c r="E120" s="2186"/>
      <c r="F120" s="2186"/>
      <c r="G120" s="277"/>
      <c r="H120" s="1182"/>
      <c r="I120" s="2206"/>
      <c r="J120" s="2206"/>
      <c r="K120" s="2206"/>
      <c r="L120" s="2206"/>
      <c r="M120" s="2206"/>
      <c r="N120" s="2206"/>
      <c r="O120" s="2206"/>
      <c r="P120" s="2186"/>
      <c r="Q120" s="2187"/>
      <c r="R120" s="393"/>
      <c r="S120" s="393"/>
      <c r="T120" s="393"/>
      <c r="U120" s="393"/>
      <c r="V120" s="393"/>
      <c r="W120" s="393"/>
      <c r="X120" s="393"/>
      <c r="Y120" s="393"/>
      <c r="Z120" s="393"/>
      <c r="AA120" s="393"/>
      <c r="AB120" s="393"/>
      <c r="AC120" s="393"/>
      <c r="AD120" s="393"/>
      <c r="AE120" s="393"/>
      <c r="AF120" s="393"/>
      <c r="AG120" s="393"/>
      <c r="AH120" s="393"/>
      <c r="AI120" s="393"/>
      <c r="AJ120" s="393"/>
      <c r="AK120" s="393"/>
      <c r="AL120" s="393"/>
      <c r="AM120" s="393"/>
      <c r="AN120" s="393"/>
      <c r="AO120" s="393"/>
      <c r="AP120" s="393"/>
    </row>
    <row r="121" spans="1:42" s="749" customFormat="1" ht="14.1" customHeight="1" x14ac:dyDescent="0.3">
      <c r="A121" s="393"/>
      <c r="B121" s="2185"/>
      <c r="C121" s="2248"/>
      <c r="D121" s="2186"/>
      <c r="E121" s="2186"/>
      <c r="F121" s="2186"/>
      <c r="G121" s="277"/>
      <c r="H121" s="1182"/>
      <c r="I121" s="2206"/>
      <c r="J121" s="2206"/>
      <c r="K121" s="2206"/>
      <c r="L121" s="2206"/>
      <c r="M121" s="2206"/>
      <c r="N121" s="2206"/>
      <c r="O121" s="2206"/>
      <c r="P121" s="2186"/>
      <c r="Q121" s="2187"/>
      <c r="R121" s="393"/>
      <c r="S121" s="2468" t="s">
        <v>2358</v>
      </c>
      <c r="T121" s="393"/>
      <c r="U121" s="393"/>
      <c r="V121" s="393"/>
      <c r="W121" s="393"/>
      <c r="X121" s="393"/>
      <c r="Y121" s="393"/>
      <c r="Z121" s="393"/>
      <c r="AA121" s="393"/>
      <c r="AB121" s="393"/>
      <c r="AC121" s="393"/>
      <c r="AD121" s="393"/>
      <c r="AE121" s="393"/>
      <c r="AF121" s="393"/>
      <c r="AG121" s="393"/>
      <c r="AH121" s="393"/>
      <c r="AI121" s="393"/>
      <c r="AJ121" s="393"/>
      <c r="AK121" s="393"/>
      <c r="AL121" s="393"/>
      <c r="AM121" s="393"/>
      <c r="AN121" s="393"/>
      <c r="AO121" s="393"/>
      <c r="AP121" s="393"/>
    </row>
    <row r="122" spans="1:42" s="272" customFormat="1" ht="20.399999999999999" customHeight="1" thickBot="1" x14ac:dyDescent="0.45">
      <c r="A122" s="393"/>
      <c r="B122" s="2185"/>
      <c r="C122" s="2247">
        <v>2</v>
      </c>
      <c r="D122" s="2195" t="s">
        <v>2148</v>
      </c>
      <c r="E122" s="2186"/>
      <c r="F122" s="2196"/>
      <c r="G122" s="277"/>
      <c r="H122" s="277"/>
      <c r="I122" s="2186"/>
      <c r="J122" s="2186"/>
      <c r="K122" s="3976" t="s">
        <v>30</v>
      </c>
      <c r="L122" s="3976"/>
      <c r="M122" s="3976"/>
      <c r="N122" s="2210"/>
      <c r="O122" s="2210"/>
      <c r="P122" s="2186"/>
      <c r="Q122" s="2187"/>
      <c r="R122" s="393"/>
      <c r="S122" s="3917" t="s">
        <v>2172</v>
      </c>
      <c r="T122" s="3918"/>
      <c r="U122" s="3918"/>
      <c r="V122" s="3918"/>
      <c r="W122" s="3918"/>
      <c r="X122" s="3918"/>
      <c r="Y122" s="3919"/>
      <c r="Z122" s="1869" t="str">
        <f>HYPERLINK("#"&amp;ADDRESS(ROW(),COLUMN()-1),CHAR(128))</f>
        <v>€</v>
      </c>
      <c r="AA122" s="393"/>
      <c r="AB122" s="393"/>
      <c r="AC122" s="393"/>
      <c r="AD122" s="393"/>
      <c r="AE122" s="393"/>
      <c r="AF122" s="393"/>
      <c r="AG122" s="393"/>
      <c r="AH122" s="393"/>
      <c r="AI122" s="393"/>
      <c r="AJ122" s="393"/>
      <c r="AK122" s="393"/>
      <c r="AL122" s="393"/>
      <c r="AM122" s="393"/>
      <c r="AN122" s="393"/>
      <c r="AO122" s="393"/>
      <c r="AP122" s="393"/>
    </row>
    <row r="123" spans="1:42" s="272" customFormat="1" ht="14.4" customHeight="1" thickTop="1" thickBot="1" x14ac:dyDescent="0.3">
      <c r="A123" s="393"/>
      <c r="B123" s="2185"/>
      <c r="C123" s="2186"/>
      <c r="D123" s="2197" t="s">
        <v>2614</v>
      </c>
      <c r="E123" s="2186"/>
      <c r="F123" s="2186"/>
      <c r="G123" s="3974" t="s">
        <v>1</v>
      </c>
      <c r="H123" s="3974"/>
      <c r="I123" s="2209" t="str">
        <f>IF($C$29="F","Revenue","Price")</f>
        <v>Price</v>
      </c>
      <c r="J123" s="2209" t="s">
        <v>39</v>
      </c>
      <c r="K123" s="2203" t="s">
        <v>1577</v>
      </c>
      <c r="L123" s="2210"/>
      <c r="M123" s="2203" t="s">
        <v>608</v>
      </c>
      <c r="N123" s="2211"/>
      <c r="O123" s="82"/>
      <c r="P123" s="2186"/>
      <c r="Q123" s="2187"/>
      <c r="R123" s="393"/>
      <c r="S123" s="2792">
        <v>99</v>
      </c>
      <c r="T123" s="2651"/>
      <c r="U123" s="2300"/>
      <c r="V123" s="2300"/>
      <c r="W123" s="2300"/>
      <c r="X123" s="2300"/>
      <c r="Y123" s="393"/>
      <c r="Z123" s="393"/>
      <c r="AA123" s="393"/>
      <c r="AB123" s="393"/>
      <c r="AC123" s="393"/>
      <c r="AD123" s="393"/>
      <c r="AE123" s="393"/>
      <c r="AF123" s="393"/>
      <c r="AG123" s="393"/>
      <c r="AH123" s="393"/>
      <c r="AI123" s="393"/>
      <c r="AJ123" s="393"/>
      <c r="AK123" s="393"/>
      <c r="AL123" s="393"/>
      <c r="AM123" s="393"/>
      <c r="AN123" s="393"/>
      <c r="AO123" s="393"/>
      <c r="AP123" s="393"/>
    </row>
    <row r="124" spans="1:42" s="272" customFormat="1" ht="10.5" customHeight="1" thickTop="1" x14ac:dyDescent="0.25">
      <c r="A124" s="393"/>
      <c r="B124" s="2185"/>
      <c r="C124" s="2186"/>
      <c r="D124" s="2186"/>
      <c r="E124" s="2186"/>
      <c r="F124" s="2186"/>
      <c r="G124" s="2113" t="s">
        <v>327</v>
      </c>
      <c r="H124" s="2113" t="s">
        <v>326</v>
      </c>
      <c r="I124" s="2202" t="str">
        <f>"("&amp;'1 Setup'!$I$60&amp;")"</f>
        <v>(GBP)</v>
      </c>
      <c r="J124" s="2202" t="str">
        <f>"("&amp;'1 Setup'!$I$60&amp;")"</f>
        <v>(GBP)</v>
      </c>
      <c r="K124" s="2202" t="str">
        <f>"("&amp;'1 Setup'!$I$60&amp;")"</f>
        <v>(GBP)</v>
      </c>
      <c r="L124" s="2211"/>
      <c r="M124" s="2202" t="s">
        <v>2496</v>
      </c>
      <c r="N124" s="2211"/>
      <c r="O124" s="2202"/>
      <c r="P124" s="2186"/>
      <c r="Q124" s="2187"/>
      <c r="R124" s="393"/>
      <c r="S124" s="393"/>
      <c r="T124" s="393"/>
      <c r="U124" s="393"/>
      <c r="V124" s="393"/>
      <c r="W124" s="393"/>
      <c r="X124" s="393"/>
      <c r="Y124" s="393"/>
      <c r="Z124" s="393"/>
      <c r="AA124" s="393"/>
      <c r="AB124" s="393"/>
      <c r="AC124" s="393"/>
      <c r="AD124" s="393"/>
      <c r="AE124" s="393"/>
      <c r="AF124" s="393"/>
      <c r="AG124" s="393"/>
      <c r="AH124" s="393"/>
      <c r="AI124" s="393"/>
      <c r="AJ124" s="393"/>
      <c r="AK124" s="393"/>
      <c r="AL124" s="393"/>
      <c r="AM124" s="393"/>
      <c r="AN124" s="393"/>
      <c r="AO124" s="393"/>
      <c r="AP124" s="393"/>
    </row>
    <row r="125" spans="1:42" s="272" customFormat="1" ht="15" customHeight="1" x14ac:dyDescent="0.25">
      <c r="A125" s="393"/>
      <c r="B125" s="2185"/>
      <c r="C125" s="2186"/>
      <c r="D125" s="2239" t="s">
        <v>93</v>
      </c>
      <c r="E125" s="2240"/>
      <c r="F125" s="2241" t="s">
        <v>467</v>
      </c>
      <c r="G125" s="625">
        <f t="shared" ref="G125:H127" si="9">G58</f>
        <v>0</v>
      </c>
      <c r="H125" s="629">
        <f t="shared" si="9"/>
        <v>1363</v>
      </c>
      <c r="I125" s="623">
        <f ca="1">I58-I17-I22</f>
        <v>68492.781825000013</v>
      </c>
      <c r="J125" s="623">
        <f>IFERROR(J58-J17-J22,0)</f>
        <v>37383.684232</v>
      </c>
      <c r="K125" s="625">
        <f ca="1">IFERROR(I125-J125,0)</f>
        <v>31109.097593000013</v>
      </c>
      <c r="L125" s="2211"/>
      <c r="M125" s="2105">
        <f ca="1">IFERROR(K125/($K$125+$K$126+$K$127),0)</f>
        <v>1</v>
      </c>
      <c r="N125" s="2211"/>
      <c r="O125" s="2186"/>
      <c r="P125" s="2186"/>
      <c r="Q125" s="2187"/>
      <c r="R125" s="393"/>
      <c r="S125" s="393"/>
      <c r="T125" s="393"/>
      <c r="U125" s="393"/>
      <c r="V125" s="393"/>
      <c r="W125" s="393"/>
      <c r="X125" s="393"/>
      <c r="Y125" s="393"/>
      <c r="Z125" s="393"/>
      <c r="AA125" s="393"/>
      <c r="AB125" s="393"/>
      <c r="AC125" s="393"/>
      <c r="AD125" s="393"/>
      <c r="AE125" s="393"/>
      <c r="AF125" s="393"/>
      <c r="AG125" s="393"/>
      <c r="AH125" s="393"/>
      <c r="AI125" s="393"/>
      <c r="AJ125" s="393"/>
      <c r="AK125" s="393"/>
      <c r="AL125" s="393"/>
      <c r="AM125" s="393"/>
      <c r="AN125" s="393"/>
      <c r="AO125" s="393"/>
      <c r="AP125" s="393"/>
    </row>
    <row r="126" spans="1:42" s="272" customFormat="1" ht="15" customHeight="1" x14ac:dyDescent="0.25">
      <c r="A126" s="393"/>
      <c r="B126" s="2185"/>
      <c r="C126" s="2186"/>
      <c r="D126" s="2186"/>
      <c r="E126" s="2186"/>
      <c r="F126" s="2162" t="s">
        <v>1513</v>
      </c>
      <c r="G126" s="625">
        <f t="shared" si="9"/>
        <v>0</v>
      </c>
      <c r="H126" s="629">
        <f t="shared" si="9"/>
        <v>0</v>
      </c>
      <c r="I126" s="623">
        <f>I59-I23</f>
        <v>0</v>
      </c>
      <c r="J126" s="623">
        <f>J59-J23</f>
        <v>0</v>
      </c>
      <c r="K126" s="625">
        <f t="shared" ref="K126:K136" si="10">IFERROR(I126-J126,0)</f>
        <v>0</v>
      </c>
      <c r="L126" s="2211"/>
      <c r="M126" s="2105">
        <f t="shared" ref="M126:M127" ca="1" si="11">IFERROR(K126/($K$125+$K$126+$K$127),0)</f>
        <v>0</v>
      </c>
      <c r="N126" s="2211"/>
      <c r="O126" s="2186"/>
      <c r="P126" s="2186"/>
      <c r="Q126" s="2187"/>
      <c r="R126" s="393"/>
      <c r="S126" s="393"/>
      <c r="T126" s="393"/>
      <c r="U126" s="2462"/>
      <c r="V126" s="393"/>
      <c r="W126" s="393"/>
      <c r="X126" s="393"/>
      <c r="Y126" s="393"/>
      <c r="Z126" s="393"/>
      <c r="AA126" s="393"/>
      <c r="AB126" s="393"/>
      <c r="AC126" s="393"/>
      <c r="AD126" s="393"/>
      <c r="AE126" s="393"/>
      <c r="AF126" s="393"/>
      <c r="AG126" s="393"/>
      <c r="AH126" s="393"/>
      <c r="AI126" s="393"/>
      <c r="AJ126" s="393"/>
      <c r="AK126" s="393"/>
      <c r="AL126" s="393"/>
      <c r="AM126" s="393"/>
      <c r="AN126" s="393"/>
      <c r="AO126" s="393"/>
      <c r="AP126" s="393"/>
    </row>
    <row r="127" spans="1:42" s="272" customFormat="1" ht="15" customHeight="1" x14ac:dyDescent="0.25">
      <c r="A127" s="393"/>
      <c r="B127" s="2185"/>
      <c r="C127" s="2186"/>
      <c r="D127" s="2186"/>
      <c r="E127" s="2186"/>
      <c r="F127" s="2162" t="s">
        <v>1573</v>
      </c>
      <c r="G127" s="625">
        <f t="shared" si="9"/>
        <v>0</v>
      </c>
      <c r="H127" s="629">
        <f t="shared" si="9"/>
        <v>0</v>
      </c>
      <c r="I127" s="1537">
        <f>I60-I24</f>
        <v>0</v>
      </c>
      <c r="J127" s="1537">
        <f>J60-J24</f>
        <v>0</v>
      </c>
      <c r="K127" s="1536">
        <f t="shared" si="10"/>
        <v>0</v>
      </c>
      <c r="L127" s="2211"/>
      <c r="M127" s="2105">
        <f t="shared" ca="1" si="11"/>
        <v>0</v>
      </c>
      <c r="N127" s="2211"/>
      <c r="O127" s="2186"/>
      <c r="P127" s="2186"/>
      <c r="Q127" s="2187"/>
      <c r="R127" s="393"/>
      <c r="S127" s="393"/>
      <c r="T127" s="393"/>
      <c r="U127" s="393"/>
      <c r="V127" s="393"/>
      <c r="W127" s="393"/>
      <c r="X127" s="393"/>
      <c r="Y127" s="393"/>
      <c r="Z127" s="393"/>
      <c r="AA127" s="393"/>
      <c r="AB127" s="393"/>
      <c r="AC127" s="393"/>
      <c r="AD127" s="393"/>
      <c r="AE127" s="393"/>
      <c r="AF127" s="393"/>
      <c r="AG127" s="393"/>
      <c r="AH127" s="393"/>
      <c r="AI127" s="393"/>
      <c r="AJ127" s="393"/>
      <c r="AK127" s="393"/>
      <c r="AL127" s="393"/>
      <c r="AM127" s="393"/>
      <c r="AN127" s="393"/>
      <c r="AO127" s="393"/>
      <c r="AP127" s="393"/>
    </row>
    <row r="128" spans="1:42" s="749" customFormat="1" ht="15" customHeight="1" x14ac:dyDescent="0.25">
      <c r="A128" s="393"/>
      <c r="B128" s="2185"/>
      <c r="C128" s="2186"/>
      <c r="D128" s="2186"/>
      <c r="E128" s="2186"/>
      <c r="F128" s="2162" t="s">
        <v>1620</v>
      </c>
      <c r="G128" s="1561" t="s">
        <v>5</v>
      </c>
      <c r="H128" s="1562" t="s">
        <v>5</v>
      </c>
      <c r="I128" s="1537">
        <f ca="1">I22+I23+I24</f>
        <v>0</v>
      </c>
      <c r="J128" s="1537">
        <f>J22+J23+J24</f>
        <v>0</v>
      </c>
      <c r="K128" s="1536">
        <f t="shared" ca="1" si="10"/>
        <v>0</v>
      </c>
      <c r="L128" s="2211"/>
      <c r="M128" s="2186"/>
      <c r="N128" s="2186"/>
      <c r="O128" s="2186"/>
      <c r="P128" s="2186"/>
      <c r="Q128" s="2187"/>
      <c r="R128" s="393"/>
      <c r="S128" s="393"/>
      <c r="T128" s="393"/>
      <c r="U128" s="393"/>
      <c r="V128" s="393"/>
      <c r="W128" s="393"/>
      <c r="X128" s="393"/>
      <c r="Y128" s="393"/>
      <c r="Z128" s="393"/>
      <c r="AA128" s="393"/>
      <c r="AB128" s="393"/>
      <c r="AC128" s="393"/>
      <c r="AD128" s="393"/>
      <c r="AE128" s="393"/>
      <c r="AF128" s="393"/>
      <c r="AG128" s="393"/>
      <c r="AH128" s="393"/>
      <c r="AI128" s="393"/>
      <c r="AJ128" s="393"/>
      <c r="AK128" s="393"/>
      <c r="AL128" s="393"/>
      <c r="AM128" s="393"/>
      <c r="AN128" s="393"/>
      <c r="AO128" s="393"/>
      <c r="AP128" s="393"/>
    </row>
    <row r="129" spans="1:42" s="749" customFormat="1" ht="15" customHeight="1" thickBot="1" x14ac:dyDescent="0.3">
      <c r="A129" s="393"/>
      <c r="B129" s="2185"/>
      <c r="C129" s="2186"/>
      <c r="D129" s="2186"/>
      <c r="E129" s="2186"/>
      <c r="F129" s="2162" t="s">
        <v>1571</v>
      </c>
      <c r="G129" s="626" t="s">
        <v>5</v>
      </c>
      <c r="H129" s="630" t="s">
        <v>5</v>
      </c>
      <c r="I129" s="1531">
        <f>I17+I18+I19</f>
        <v>0</v>
      </c>
      <c r="J129" s="1531">
        <f>J17+J18+J19</f>
        <v>0</v>
      </c>
      <c r="K129" s="628">
        <f t="shared" si="10"/>
        <v>0</v>
      </c>
      <c r="L129" s="2211"/>
      <c r="M129" s="2203" t="s">
        <v>314</v>
      </c>
      <c r="N129" s="2211"/>
      <c r="O129" s="2186"/>
      <c r="P129" s="2186"/>
      <c r="Q129" s="2187"/>
      <c r="R129" s="393"/>
      <c r="S129" s="2469"/>
      <c r="T129" s="2469"/>
      <c r="U129" s="393"/>
      <c r="V129" s="393"/>
      <c r="W129" s="393"/>
      <c r="X129" s="393"/>
      <c r="Y129" s="393"/>
      <c r="Z129" s="393"/>
      <c r="AA129" s="393"/>
      <c r="AB129" s="393"/>
      <c r="AC129" s="393"/>
      <c r="AD129" s="393"/>
      <c r="AE129" s="393"/>
      <c r="AF129" s="393"/>
      <c r="AG129" s="393"/>
      <c r="AH129" s="393"/>
      <c r="AI129" s="393"/>
      <c r="AJ129" s="393"/>
      <c r="AK129" s="393"/>
      <c r="AL129" s="393"/>
      <c r="AM129" s="393"/>
      <c r="AN129" s="393"/>
      <c r="AO129" s="393"/>
      <c r="AP129" s="393"/>
    </row>
    <row r="130" spans="1:42" s="272" customFormat="1" ht="15" customHeight="1" x14ac:dyDescent="0.25">
      <c r="A130" s="393"/>
      <c r="B130" s="2185"/>
      <c r="C130" s="2186"/>
      <c r="D130" s="2239" t="s">
        <v>117</v>
      </c>
      <c r="E130" s="2240"/>
      <c r="F130" s="2241" t="s">
        <v>330</v>
      </c>
      <c r="G130" s="632" t="s">
        <v>5</v>
      </c>
      <c r="H130" s="633" t="s">
        <v>5</v>
      </c>
      <c r="I130" s="624">
        <f>I63</f>
        <v>5370</v>
      </c>
      <c r="J130" s="627">
        <f>J63</f>
        <v>5370</v>
      </c>
      <c r="K130" s="627">
        <f t="shared" si="10"/>
        <v>0</v>
      </c>
      <c r="L130" s="2211"/>
      <c r="M130" s="1653">
        <f>IFERROR(K130/J130,"")</f>
        <v>0</v>
      </c>
      <c r="N130" s="2171"/>
      <c r="P130" s="277"/>
      <c r="Q130" s="2165"/>
      <c r="R130" s="393"/>
      <c r="S130" s="2462"/>
      <c r="T130" s="2462"/>
      <c r="U130" s="393"/>
      <c r="V130" s="393"/>
      <c r="W130" s="393"/>
      <c r="X130" s="393"/>
      <c r="Y130" s="3289"/>
      <c r="Z130" s="393"/>
      <c r="AA130" s="393"/>
      <c r="AB130" s="393"/>
      <c r="AC130" s="393"/>
      <c r="AD130" s="393"/>
      <c r="AE130" s="393"/>
      <c r="AF130" s="393"/>
      <c r="AG130" s="393"/>
      <c r="AH130" s="393"/>
      <c r="AI130" s="393"/>
      <c r="AJ130" s="393"/>
      <c r="AK130" s="393"/>
      <c r="AL130" s="393"/>
      <c r="AM130" s="393"/>
      <c r="AN130" s="393"/>
      <c r="AO130" s="393"/>
      <c r="AP130" s="393"/>
    </row>
    <row r="131" spans="1:42" s="749" customFormat="1" ht="15" customHeight="1" x14ac:dyDescent="0.25">
      <c r="A131" s="393"/>
      <c r="B131" s="2185"/>
      <c r="C131" s="2186"/>
      <c r="D131" s="2186"/>
      <c r="E131" s="2186"/>
      <c r="F131" s="2161" t="s">
        <v>1080</v>
      </c>
      <c r="G131" s="784" t="s">
        <v>5</v>
      </c>
      <c r="H131" s="785" t="s">
        <v>5</v>
      </c>
      <c r="I131" s="623">
        <f>I64</f>
        <v>0</v>
      </c>
      <c r="J131" s="625">
        <f>J64</f>
        <v>0</v>
      </c>
      <c r="K131" s="625">
        <f t="shared" si="10"/>
        <v>0</v>
      </c>
      <c r="L131" s="2211"/>
      <c r="M131" s="1653" t="str">
        <f>IFERROR(K131/J131,"")</f>
        <v/>
      </c>
      <c r="N131" s="2171"/>
      <c r="P131" s="277"/>
      <c r="Q131" s="2165"/>
      <c r="R131" s="393"/>
      <c r="S131" s="2470"/>
      <c r="T131" s="2470"/>
      <c r="U131" s="393"/>
      <c r="V131" s="393"/>
      <c r="W131" s="393"/>
      <c r="X131" s="393"/>
      <c r="Y131" s="393"/>
      <c r="Z131" s="393"/>
      <c r="AA131" s="393"/>
      <c r="AB131" s="393"/>
      <c r="AC131" s="393"/>
      <c r="AD131" s="393"/>
      <c r="AE131" s="393"/>
      <c r="AF131" s="393"/>
      <c r="AG131" s="393"/>
      <c r="AH131" s="393"/>
      <c r="AI131" s="393"/>
      <c r="AJ131" s="393"/>
      <c r="AK131" s="393"/>
      <c r="AL131" s="393"/>
      <c r="AM131" s="393"/>
      <c r="AN131" s="393"/>
      <c r="AO131" s="393"/>
      <c r="AP131" s="393"/>
    </row>
    <row r="132" spans="1:42" s="749" customFormat="1" ht="15" customHeight="1" thickBot="1" x14ac:dyDescent="0.3">
      <c r="A132" s="393"/>
      <c r="B132" s="2185"/>
      <c r="C132" s="2186"/>
      <c r="D132" s="68"/>
      <c r="E132" s="2186"/>
      <c r="F132" s="2162" t="s">
        <v>1632</v>
      </c>
      <c r="G132" s="784" t="s">
        <v>5</v>
      </c>
      <c r="H132" s="785" t="s">
        <v>5</v>
      </c>
      <c r="I132" s="810"/>
      <c r="J132" s="625">
        <f>J65</f>
        <v>2357.9899999999998</v>
      </c>
      <c r="K132" s="625">
        <f t="shared" si="10"/>
        <v>-2357.9899999999998</v>
      </c>
      <c r="L132" s="2211"/>
      <c r="M132" s="2186"/>
      <c r="N132" s="2171"/>
      <c r="O132" s="3975"/>
      <c r="P132" s="3975"/>
      <c r="Q132" s="2172"/>
      <c r="R132" s="393"/>
      <c r="S132" s="2469"/>
      <c r="T132" s="2469"/>
      <c r="U132" s="393"/>
      <c r="V132" s="393"/>
      <c r="W132" s="393"/>
      <c r="X132" s="393"/>
      <c r="Y132" s="393"/>
      <c r="Z132" s="393"/>
      <c r="AA132" s="393"/>
      <c r="AB132" s="393"/>
      <c r="AC132" s="393"/>
      <c r="AD132" s="393"/>
      <c r="AE132" s="393"/>
      <c r="AF132" s="393"/>
      <c r="AG132" s="393"/>
      <c r="AH132" s="393"/>
      <c r="AI132" s="393"/>
      <c r="AJ132" s="393"/>
      <c r="AK132" s="393"/>
      <c r="AL132" s="393"/>
      <c r="AM132" s="393"/>
      <c r="AN132" s="393"/>
      <c r="AO132" s="393"/>
      <c r="AP132" s="393"/>
    </row>
    <row r="133" spans="1:42" s="272" customFormat="1" ht="15" customHeight="1" x14ac:dyDescent="0.25">
      <c r="A133" s="393"/>
      <c r="B133" s="2185"/>
      <c r="C133" s="2186"/>
      <c r="D133" s="2239" t="s">
        <v>265</v>
      </c>
      <c r="E133" s="2240"/>
      <c r="F133" s="2241" t="s">
        <v>4275</v>
      </c>
      <c r="G133" s="634" t="s">
        <v>5</v>
      </c>
      <c r="H133" s="635" t="s">
        <v>5</v>
      </c>
      <c r="I133" s="636">
        <f>I80+I81+I72</f>
        <v>0</v>
      </c>
      <c r="J133" s="634" t="s">
        <v>5</v>
      </c>
      <c r="K133" s="637">
        <f t="shared" si="10"/>
        <v>0</v>
      </c>
      <c r="L133" s="2211"/>
      <c r="M133" s="2186"/>
      <c r="N133" s="2171"/>
      <c r="O133" s="3975"/>
      <c r="P133" s="3975"/>
      <c r="Q133" s="2172"/>
      <c r="R133" s="393"/>
      <c r="S133" s="2469"/>
      <c r="T133" s="2469"/>
      <c r="U133" s="393"/>
      <c r="V133" s="393"/>
      <c r="W133" s="393"/>
      <c r="X133" s="393"/>
      <c r="Y133" s="3289"/>
      <c r="Z133" s="393"/>
      <c r="AA133" s="393"/>
      <c r="AB133" s="393"/>
      <c r="AC133" s="393"/>
      <c r="AD133" s="393"/>
      <c r="AE133" s="393"/>
      <c r="AF133" s="393"/>
      <c r="AG133" s="393"/>
      <c r="AH133" s="393"/>
      <c r="AI133" s="393"/>
      <c r="AJ133" s="393"/>
      <c r="AK133" s="393"/>
      <c r="AL133" s="393"/>
      <c r="AM133" s="393"/>
      <c r="AN133" s="393"/>
      <c r="AO133" s="393"/>
      <c r="AP133" s="393"/>
    </row>
    <row r="134" spans="1:42" s="272" customFormat="1" ht="15" customHeight="1" x14ac:dyDescent="0.25">
      <c r="A134" s="393"/>
      <c r="B134" s="2185"/>
      <c r="C134" s="2186"/>
      <c r="D134" s="68"/>
      <c r="E134" s="2186"/>
      <c r="F134" s="2162" t="s">
        <v>4259</v>
      </c>
      <c r="G134" s="632" t="s">
        <v>5</v>
      </c>
      <c r="H134" s="631">
        <f>H67+H70</f>
        <v>0</v>
      </c>
      <c r="I134" s="624">
        <f>IFERROR(I67+I69+I70+I73,0)</f>
        <v>0</v>
      </c>
      <c r="J134" s="627">
        <f>IFERROR(J67+J69+J70+J73+J71,0)</f>
        <v>0</v>
      </c>
      <c r="K134" s="627">
        <f t="shared" si="10"/>
        <v>0</v>
      </c>
      <c r="L134" s="2211"/>
      <c r="M134" s="2186"/>
      <c r="N134" s="2171"/>
      <c r="O134" s="277"/>
      <c r="P134" s="277"/>
      <c r="Q134" s="2165"/>
      <c r="R134" s="393"/>
      <c r="S134" s="2469"/>
      <c r="T134" s="2469"/>
      <c r="U134" s="393"/>
      <c r="V134" s="393"/>
      <c r="W134" s="393"/>
      <c r="X134" s="393"/>
      <c r="Y134" s="393"/>
      <c r="Z134" s="393"/>
      <c r="AA134" s="393"/>
      <c r="AB134" s="393"/>
      <c r="AC134" s="393"/>
      <c r="AD134" s="393"/>
      <c r="AE134" s="393"/>
      <c r="AF134" s="393"/>
      <c r="AG134" s="393"/>
      <c r="AH134" s="393"/>
      <c r="AI134" s="393"/>
      <c r="AJ134" s="393"/>
      <c r="AK134" s="393"/>
      <c r="AL134" s="393"/>
      <c r="AM134" s="393"/>
      <c r="AN134" s="393"/>
      <c r="AO134" s="393"/>
      <c r="AP134" s="393"/>
    </row>
    <row r="135" spans="1:42" s="749" customFormat="1" ht="15" customHeight="1" x14ac:dyDescent="0.25">
      <c r="A135" s="393"/>
      <c r="B135" s="2185"/>
      <c r="C135" s="2186"/>
      <c r="D135" s="68"/>
      <c r="E135" s="2186"/>
      <c r="F135" s="3288" t="s">
        <v>4260</v>
      </c>
      <c r="G135" s="781" t="s">
        <v>5</v>
      </c>
      <c r="H135" s="783" t="s">
        <v>5</v>
      </c>
      <c r="I135" s="1929"/>
      <c r="J135" s="782">
        <f>J75+J76</f>
        <v>0</v>
      </c>
      <c r="K135" s="782">
        <f t="shared" si="10"/>
        <v>0</v>
      </c>
      <c r="L135" s="2211"/>
      <c r="M135" s="2186"/>
      <c r="N135" s="2171"/>
      <c r="O135" s="277"/>
      <c r="P135" s="277"/>
      <c r="Q135" s="2165"/>
      <c r="R135" s="393"/>
      <c r="S135" s="2471"/>
      <c r="T135" s="2471"/>
      <c r="U135" s="393"/>
      <c r="V135" s="393"/>
      <c r="W135" s="393"/>
      <c r="X135" s="393"/>
      <c r="Y135" s="393"/>
      <c r="Z135" s="393"/>
      <c r="AA135" s="393"/>
      <c r="AB135" s="393"/>
      <c r="AC135" s="393"/>
      <c r="AD135" s="393"/>
      <c r="AE135" s="393"/>
      <c r="AF135" s="393"/>
      <c r="AG135" s="393"/>
      <c r="AH135" s="393"/>
      <c r="AI135" s="393"/>
      <c r="AJ135" s="393"/>
      <c r="AK135" s="393"/>
      <c r="AL135" s="393"/>
      <c r="AM135" s="393"/>
      <c r="AN135" s="393"/>
      <c r="AO135" s="393"/>
      <c r="AP135" s="393"/>
    </row>
    <row r="136" spans="1:42" s="272" customFormat="1" ht="15" customHeight="1" thickBot="1" x14ac:dyDescent="0.3">
      <c r="A136" s="393"/>
      <c r="B136" s="2185"/>
      <c r="C136" s="2186"/>
      <c r="D136" s="2242"/>
      <c r="E136" s="2242"/>
      <c r="F136" s="2243" t="s">
        <v>4261</v>
      </c>
      <c r="G136" s="626"/>
      <c r="H136" s="630"/>
      <c r="I136" s="1897">
        <f>I87+I78+I83+I85</f>
        <v>0</v>
      </c>
      <c r="J136" s="1897">
        <f>J78+T72+J85</f>
        <v>0</v>
      </c>
      <c r="K136" s="3064">
        <f t="shared" si="10"/>
        <v>0</v>
      </c>
      <c r="L136" s="2211"/>
      <c r="M136" s="2186"/>
      <c r="N136" s="2171"/>
      <c r="O136" s="277"/>
      <c r="P136" s="277"/>
      <c r="Q136" s="2165"/>
      <c r="R136" s="393"/>
      <c r="S136" s="2471"/>
      <c r="T136" s="3274"/>
      <c r="U136" s="2471"/>
      <c r="V136" s="393"/>
      <c r="W136" s="393"/>
      <c r="X136" s="393"/>
      <c r="Y136" s="393"/>
      <c r="Z136" s="393"/>
      <c r="AA136" s="393"/>
      <c r="AB136" s="393"/>
      <c r="AC136" s="393"/>
      <c r="AD136" s="393"/>
      <c r="AE136" s="393"/>
      <c r="AF136" s="393"/>
      <c r="AG136" s="393"/>
      <c r="AH136" s="393"/>
      <c r="AI136" s="393"/>
      <c r="AJ136" s="393"/>
      <c r="AK136" s="393"/>
      <c r="AL136" s="393"/>
      <c r="AM136" s="393"/>
      <c r="AN136" s="393"/>
      <c r="AO136" s="393"/>
      <c r="AP136" s="393"/>
    </row>
    <row r="137" spans="1:42" s="272" customFormat="1" ht="15" customHeight="1" x14ac:dyDescent="0.25">
      <c r="A137" s="393"/>
      <c r="B137" s="2185"/>
      <c r="C137" s="2186"/>
      <c r="D137" s="2186"/>
      <c r="E137" s="2186"/>
      <c r="F137" s="32" t="s">
        <v>450</v>
      </c>
      <c r="G137" s="627">
        <f>SUM(G125:G136)</f>
        <v>0</v>
      </c>
      <c r="H137" s="631">
        <f>SUM(H125:H136)</f>
        <v>1363</v>
      </c>
      <c r="I137" s="624">
        <f ca="1">SUM(I125:I136)</f>
        <v>73862.781825000013</v>
      </c>
      <c r="J137" s="627">
        <f>SUM(J125:J136)</f>
        <v>45111.674231999998</v>
      </c>
      <c r="K137" s="627">
        <f ca="1">IFERROR(I137-J137,0)</f>
        <v>28751.107593000015</v>
      </c>
      <c r="L137" s="2212"/>
      <c r="M137" s="2186"/>
      <c r="N137" s="2171"/>
      <c r="O137" s="277"/>
      <c r="P137" s="277"/>
      <c r="Q137" s="2165"/>
      <c r="R137" s="393"/>
      <c r="S137" s="2471"/>
      <c r="T137" s="2471"/>
      <c r="U137" s="393"/>
      <c r="V137" s="393"/>
      <c r="W137" s="393"/>
      <c r="X137" s="393"/>
      <c r="Y137" s="393"/>
      <c r="Z137" s="393"/>
      <c r="AA137" s="393"/>
      <c r="AB137" s="393"/>
      <c r="AC137" s="393"/>
      <c r="AD137" s="393"/>
      <c r="AE137" s="393"/>
      <c r="AF137" s="393"/>
      <c r="AG137" s="393"/>
      <c r="AH137" s="393"/>
      <c r="AI137" s="393"/>
      <c r="AJ137" s="393"/>
      <c r="AK137" s="393"/>
      <c r="AL137" s="393"/>
      <c r="AM137" s="393"/>
      <c r="AN137" s="393"/>
      <c r="AO137" s="393"/>
      <c r="AP137" s="393"/>
    </row>
    <row r="138" spans="1:42" s="272" customFormat="1" ht="20.399999999999999" customHeight="1" x14ac:dyDescent="0.4">
      <c r="A138" s="393"/>
      <c r="B138" s="2185"/>
      <c r="C138" s="2195"/>
      <c r="D138" s="2195"/>
      <c r="E138" s="2195"/>
      <c r="F138" s="2195"/>
      <c r="G138" s="2186"/>
      <c r="H138" s="2186"/>
      <c r="I138" s="2186"/>
      <c r="J138" s="2186"/>
      <c r="K138" s="2186"/>
      <c r="L138" s="2186"/>
      <c r="M138" s="2186"/>
      <c r="N138" s="2186"/>
      <c r="O138" s="2186"/>
      <c r="P138" s="2186"/>
      <c r="Q138" s="2187"/>
      <c r="R138" s="393"/>
      <c r="S138" s="2471"/>
      <c r="T138" s="2471"/>
      <c r="U138" s="393"/>
      <c r="V138" s="393"/>
      <c r="W138" s="393"/>
      <c r="X138" s="393"/>
      <c r="Y138" s="393"/>
      <c r="Z138" s="393"/>
      <c r="AA138" s="393"/>
      <c r="AB138" s="393"/>
      <c r="AC138" s="393"/>
      <c r="AD138" s="393"/>
      <c r="AE138" s="393"/>
      <c r="AF138" s="393"/>
      <c r="AG138" s="393"/>
      <c r="AH138" s="393"/>
      <c r="AI138" s="393"/>
      <c r="AJ138" s="393"/>
      <c r="AK138" s="393"/>
      <c r="AL138" s="393"/>
      <c r="AM138" s="393"/>
      <c r="AN138" s="393"/>
      <c r="AO138" s="393"/>
      <c r="AP138" s="393"/>
    </row>
    <row r="139" spans="1:42" s="749" customFormat="1" ht="20.399999999999999" customHeight="1" x14ac:dyDescent="0.4">
      <c r="A139" s="393"/>
      <c r="B139" s="2185"/>
      <c r="C139" s="3160">
        <v>3</v>
      </c>
      <c r="D139" s="2195" t="s">
        <v>4079</v>
      </c>
      <c r="E139" s="2195"/>
      <c r="F139" s="2195"/>
      <c r="G139" s="2186"/>
      <c r="H139" s="2186"/>
      <c r="I139" s="2186"/>
      <c r="J139" s="2186"/>
      <c r="K139" s="2186"/>
      <c r="L139" s="2186"/>
      <c r="M139" s="2186"/>
      <c r="N139" s="2186"/>
      <c r="O139" s="2186"/>
      <c r="P139" s="2186"/>
      <c r="Q139" s="2187"/>
      <c r="R139" s="393"/>
      <c r="S139" s="2471"/>
      <c r="T139" s="2471"/>
      <c r="U139" s="393"/>
      <c r="V139" s="393"/>
      <c r="W139" s="393"/>
      <c r="X139" s="393"/>
      <c r="Y139" s="393"/>
      <c r="Z139" s="393"/>
      <c r="AA139" s="393"/>
      <c r="AB139" s="393"/>
      <c r="AC139" s="393"/>
      <c r="AD139" s="393"/>
      <c r="AE139" s="393"/>
      <c r="AF139" s="393"/>
      <c r="AG139" s="393"/>
      <c r="AH139" s="393"/>
      <c r="AI139" s="393"/>
      <c r="AJ139" s="393"/>
      <c r="AK139" s="393"/>
      <c r="AL139" s="393"/>
      <c r="AM139" s="393"/>
      <c r="AN139" s="393"/>
      <c r="AO139" s="393"/>
      <c r="AP139" s="393"/>
    </row>
    <row r="140" spans="1:42" s="749" customFormat="1" ht="20.399999999999999" customHeight="1" x14ac:dyDescent="0.4">
      <c r="A140" s="393"/>
      <c r="B140" s="2185"/>
      <c r="C140" s="2195"/>
      <c r="D140" s="2195"/>
      <c r="E140" s="2195"/>
      <c r="F140" s="2195"/>
      <c r="G140" s="2186"/>
      <c r="H140" s="2186"/>
      <c r="I140" s="2186"/>
      <c r="J140" s="2186"/>
      <c r="K140" s="2186"/>
      <c r="L140" s="2186"/>
      <c r="M140" s="2186"/>
      <c r="N140" s="2186"/>
      <c r="O140" s="2186"/>
      <c r="P140" s="2186"/>
      <c r="Q140" s="2187"/>
      <c r="R140" s="393"/>
      <c r="S140" s="2471"/>
      <c r="T140" s="2471"/>
      <c r="U140" s="393"/>
      <c r="V140" s="393"/>
      <c r="W140" s="393"/>
      <c r="X140" s="393"/>
      <c r="Y140" s="393"/>
      <c r="Z140" s="393"/>
      <c r="AA140" s="393"/>
      <c r="AB140" s="393"/>
      <c r="AC140" s="393"/>
      <c r="AD140" s="393"/>
      <c r="AE140" s="393"/>
      <c r="AF140" s="393"/>
      <c r="AG140" s="393"/>
      <c r="AH140" s="393"/>
      <c r="AI140" s="393"/>
      <c r="AJ140" s="393"/>
      <c r="AK140" s="393"/>
      <c r="AL140" s="393"/>
      <c r="AM140" s="393"/>
      <c r="AN140" s="393"/>
      <c r="AO140" s="393"/>
      <c r="AP140" s="393"/>
    </row>
    <row r="141" spans="1:42" s="749" customFormat="1" ht="20.399999999999999" customHeight="1" x14ac:dyDescent="0.4">
      <c r="A141" s="393"/>
      <c r="B141" s="2185"/>
      <c r="C141" s="2195"/>
      <c r="D141" s="2195"/>
      <c r="E141" s="2195"/>
      <c r="F141" s="2195"/>
      <c r="G141" s="2186"/>
      <c r="H141" s="2186"/>
      <c r="I141" s="2186"/>
      <c r="J141" s="2186"/>
      <c r="K141" s="2186"/>
      <c r="L141" s="2186"/>
      <c r="M141" s="2186"/>
      <c r="N141" s="2186"/>
      <c r="O141" s="2186"/>
      <c r="P141" s="2186"/>
      <c r="Q141" s="2187"/>
      <c r="R141" s="393"/>
      <c r="S141" s="2471"/>
      <c r="T141" s="452">
        <v>40</v>
      </c>
      <c r="U141" s="3172" t="str">
        <f>IF(H43=1,"","FTE Hours per week/month")</f>
        <v>FTE Hours per week/month</v>
      </c>
      <c r="V141" s="393"/>
      <c r="W141" s="393"/>
      <c r="X141" s="393"/>
      <c r="Y141" s="393"/>
      <c r="Z141" s="393"/>
      <c r="AA141" s="393"/>
      <c r="AB141" s="393"/>
      <c r="AC141" s="393"/>
      <c r="AD141" s="393"/>
      <c r="AE141" s="393"/>
      <c r="AF141" s="393"/>
      <c r="AG141" s="393"/>
      <c r="AH141" s="393"/>
      <c r="AI141" s="393"/>
      <c r="AJ141" s="393"/>
      <c r="AK141" s="393"/>
      <c r="AL141" s="393"/>
      <c r="AM141" s="393"/>
      <c r="AN141" s="393"/>
      <c r="AO141" s="393"/>
      <c r="AP141" s="393"/>
    </row>
    <row r="142" spans="1:42" s="749" customFormat="1" ht="20.399999999999999" customHeight="1" x14ac:dyDescent="0.4">
      <c r="A142" s="393"/>
      <c r="B142" s="2185"/>
      <c r="C142" s="2195"/>
      <c r="D142" s="2195"/>
      <c r="E142" s="2195"/>
      <c r="F142" s="2195"/>
      <c r="G142" s="2186"/>
      <c r="H142" s="2186"/>
      <c r="I142" s="2186"/>
      <c r="J142" s="2186"/>
      <c r="K142" s="2186"/>
      <c r="L142" s="2186"/>
      <c r="M142" s="2186"/>
      <c r="N142" s="2186"/>
      <c r="O142" s="2186"/>
      <c r="P142" s="2186"/>
      <c r="Q142" s="2187"/>
      <c r="R142" s="393"/>
      <c r="S142" s="2471"/>
      <c r="T142" s="2471"/>
      <c r="U142" s="393"/>
      <c r="V142" s="393"/>
      <c r="W142" s="393"/>
      <c r="X142" s="393"/>
      <c r="Y142" s="393"/>
      <c r="Z142" s="393"/>
      <c r="AA142" s="393"/>
      <c r="AB142" s="393"/>
      <c r="AC142" s="393"/>
      <c r="AD142" s="393"/>
      <c r="AE142" s="393"/>
      <c r="AF142" s="393"/>
      <c r="AG142" s="393"/>
      <c r="AH142" s="393"/>
      <c r="AI142" s="393"/>
      <c r="AJ142" s="393"/>
      <c r="AK142" s="393"/>
      <c r="AL142" s="393"/>
      <c r="AM142" s="393"/>
      <c r="AN142" s="393"/>
      <c r="AO142" s="393"/>
      <c r="AP142" s="393"/>
    </row>
    <row r="143" spans="1:42" s="749" customFormat="1" ht="20.399999999999999" customHeight="1" x14ac:dyDescent="0.4">
      <c r="A143" s="393"/>
      <c r="B143" s="2185"/>
      <c r="C143" s="2195"/>
      <c r="D143" s="2195"/>
      <c r="E143" s="2195"/>
      <c r="F143" s="2195"/>
      <c r="G143" s="2186"/>
      <c r="H143" s="2186"/>
      <c r="I143" s="2186"/>
      <c r="J143" s="2186"/>
      <c r="K143" s="2186"/>
      <c r="L143" s="2186"/>
      <c r="M143" s="2186"/>
      <c r="N143" s="2186"/>
      <c r="O143" s="2186"/>
      <c r="P143" s="2186"/>
      <c r="Q143" s="2187"/>
      <c r="R143" s="393"/>
      <c r="S143" s="2471"/>
      <c r="T143" s="2471"/>
      <c r="U143" s="393"/>
      <c r="V143" s="393"/>
      <c r="W143" s="393"/>
      <c r="X143" s="393"/>
      <c r="Y143" s="393"/>
      <c r="Z143" s="393"/>
      <c r="AA143" s="393"/>
      <c r="AB143" s="393"/>
      <c r="AC143" s="393"/>
      <c r="AD143" s="393"/>
      <c r="AE143" s="393"/>
      <c r="AF143" s="393"/>
      <c r="AG143" s="393"/>
      <c r="AH143" s="393"/>
      <c r="AI143" s="393"/>
      <c r="AJ143" s="393"/>
      <c r="AK143" s="393"/>
      <c r="AL143" s="393"/>
      <c r="AM143" s="393"/>
      <c r="AN143" s="393"/>
      <c r="AO143" s="393"/>
      <c r="AP143" s="393"/>
    </row>
    <row r="144" spans="1:42" s="749" customFormat="1" ht="20.399999999999999" customHeight="1" x14ac:dyDescent="0.4">
      <c r="A144" s="393"/>
      <c r="B144" s="2185"/>
      <c r="C144" s="2195"/>
      <c r="D144" s="2195"/>
      <c r="E144" s="2195"/>
      <c r="F144" s="2195"/>
      <c r="G144" s="2186"/>
      <c r="H144" s="2186"/>
      <c r="I144" s="2186"/>
      <c r="J144" s="2186"/>
      <c r="K144" s="2186"/>
      <c r="L144" s="2186"/>
      <c r="M144" s="2186"/>
      <c r="N144" s="2186"/>
      <c r="O144" s="2186"/>
      <c r="P144" s="2186"/>
      <c r="Q144" s="2187"/>
      <c r="R144" s="393"/>
      <c r="S144" s="2471"/>
      <c r="T144" s="2471"/>
      <c r="U144" s="393"/>
      <c r="V144" s="393"/>
      <c r="W144" s="393"/>
      <c r="X144" s="393"/>
      <c r="Y144" s="393"/>
      <c r="Z144" s="393"/>
      <c r="AA144" s="393"/>
      <c r="AB144" s="393"/>
      <c r="AC144" s="393"/>
      <c r="AD144" s="393"/>
      <c r="AE144" s="393"/>
      <c r="AF144" s="393"/>
      <c r="AG144" s="393"/>
      <c r="AH144" s="393"/>
      <c r="AI144" s="393"/>
      <c r="AJ144" s="393"/>
      <c r="AK144" s="393"/>
      <c r="AL144" s="393"/>
      <c r="AM144" s="393"/>
      <c r="AN144" s="393"/>
      <c r="AO144" s="393"/>
      <c r="AP144" s="393"/>
    </row>
    <row r="145" spans="1:42" s="749" customFormat="1" ht="20.399999999999999" customHeight="1" x14ac:dyDescent="0.4">
      <c r="A145" s="393"/>
      <c r="B145" s="2185"/>
      <c r="C145" s="2195"/>
      <c r="D145" s="2195"/>
      <c r="E145" s="2195"/>
      <c r="F145" s="2195"/>
      <c r="G145" s="2186"/>
      <c r="H145" s="2186"/>
      <c r="I145" s="2186"/>
      <c r="J145" s="2186"/>
      <c r="K145" s="2186"/>
      <c r="L145" s="2186"/>
      <c r="M145" s="2186"/>
      <c r="N145" s="2186"/>
      <c r="O145" s="2186"/>
      <c r="P145" s="2186"/>
      <c r="Q145" s="2187"/>
      <c r="R145" s="393"/>
      <c r="S145" s="2471"/>
      <c r="T145" s="2471"/>
      <c r="U145" s="393"/>
      <c r="V145" s="393"/>
      <c r="W145" s="393"/>
      <c r="X145" s="393"/>
      <c r="Y145" s="393"/>
      <c r="Z145" s="393"/>
      <c r="AA145" s="393"/>
      <c r="AB145" s="393"/>
      <c r="AC145" s="393"/>
      <c r="AD145" s="393"/>
      <c r="AE145" s="393"/>
      <c r="AF145" s="393"/>
      <c r="AG145" s="393"/>
      <c r="AH145" s="393"/>
      <c r="AI145" s="393"/>
      <c r="AJ145" s="393"/>
      <c r="AK145" s="393"/>
      <c r="AL145" s="393"/>
      <c r="AM145" s="393"/>
      <c r="AN145" s="393"/>
      <c r="AO145" s="393"/>
      <c r="AP145" s="393"/>
    </row>
    <row r="146" spans="1:42" s="749" customFormat="1" ht="20.399999999999999" customHeight="1" x14ac:dyDescent="0.4">
      <c r="A146" s="393"/>
      <c r="B146" s="2185"/>
      <c r="C146" s="2195"/>
      <c r="D146" s="2195"/>
      <c r="E146" s="2195"/>
      <c r="F146" s="2195"/>
      <c r="G146" s="2186"/>
      <c r="H146" s="2186"/>
      <c r="I146" s="2186"/>
      <c r="J146" s="2186"/>
      <c r="K146" s="2186"/>
      <c r="L146" s="2186"/>
      <c r="M146" s="2186"/>
      <c r="N146" s="2186"/>
      <c r="O146" s="2186"/>
      <c r="P146" s="2186"/>
      <c r="Q146" s="2187"/>
      <c r="R146" s="393"/>
      <c r="S146" s="2471"/>
      <c r="T146" s="2471"/>
      <c r="U146" s="393"/>
      <c r="V146" s="393"/>
      <c r="W146" s="393"/>
      <c r="X146" s="393"/>
      <c r="Y146" s="393"/>
      <c r="Z146" s="393"/>
      <c r="AA146" s="393"/>
      <c r="AB146" s="393"/>
      <c r="AC146" s="393"/>
      <c r="AD146" s="393"/>
      <c r="AE146" s="393"/>
      <c r="AF146" s="393"/>
      <c r="AG146" s="393"/>
      <c r="AH146" s="393"/>
      <c r="AI146" s="393"/>
      <c r="AJ146" s="393"/>
      <c r="AK146" s="393"/>
      <c r="AL146" s="393"/>
      <c r="AM146" s="393"/>
      <c r="AN146" s="393"/>
      <c r="AO146" s="393"/>
      <c r="AP146" s="393"/>
    </row>
    <row r="147" spans="1:42" s="749" customFormat="1" ht="20.399999999999999" customHeight="1" x14ac:dyDescent="0.4">
      <c r="A147" s="393"/>
      <c r="B147" s="2185"/>
      <c r="C147" s="2195"/>
      <c r="D147" s="2195"/>
      <c r="E147" s="2195"/>
      <c r="F147" s="2195"/>
      <c r="G147" s="2186"/>
      <c r="H147" s="2186"/>
      <c r="I147" s="2186"/>
      <c r="J147" s="2186"/>
      <c r="K147" s="2186"/>
      <c r="L147" s="2186"/>
      <c r="M147" s="2186"/>
      <c r="N147" s="2186"/>
      <c r="O147" s="2186"/>
      <c r="P147" s="2186"/>
      <c r="Q147" s="2187"/>
      <c r="R147" s="393"/>
      <c r="S147" s="2471"/>
      <c r="T147" s="2471"/>
      <c r="U147" s="393"/>
      <c r="V147" s="393"/>
      <c r="W147" s="393"/>
      <c r="X147" s="393"/>
      <c r="Y147" s="393"/>
      <c r="Z147" s="393"/>
      <c r="AA147" s="393"/>
      <c r="AB147" s="393"/>
      <c r="AC147" s="393"/>
      <c r="AD147" s="393"/>
      <c r="AE147" s="393"/>
      <c r="AF147" s="393"/>
      <c r="AG147" s="393"/>
      <c r="AH147" s="393"/>
      <c r="AI147" s="393"/>
      <c r="AJ147" s="393"/>
      <c r="AK147" s="393"/>
      <c r="AL147" s="393"/>
      <c r="AM147" s="393"/>
      <c r="AN147" s="393"/>
      <c r="AO147" s="393"/>
      <c r="AP147" s="393"/>
    </row>
    <row r="148" spans="1:42" s="749" customFormat="1" ht="20.399999999999999" customHeight="1" x14ac:dyDescent="0.4">
      <c r="A148" s="393"/>
      <c r="B148" s="2185"/>
      <c r="C148" s="2195"/>
      <c r="D148" s="2195"/>
      <c r="E148" s="2195"/>
      <c r="F148" s="2195"/>
      <c r="G148" s="2186"/>
      <c r="H148" s="2186"/>
      <c r="I148" s="2186"/>
      <c r="J148" s="2186"/>
      <c r="K148" s="2186"/>
      <c r="L148" s="2186"/>
      <c r="M148" s="2186"/>
      <c r="N148" s="2186"/>
      <c r="O148" s="2186"/>
      <c r="P148" s="2186"/>
      <c r="Q148" s="2187"/>
      <c r="R148" s="393"/>
      <c r="S148" s="2471"/>
      <c r="T148" s="2471"/>
      <c r="U148" s="393"/>
      <c r="V148" s="393"/>
      <c r="W148" s="393"/>
      <c r="X148" s="393"/>
      <c r="Y148" s="393"/>
      <c r="Z148" s="393"/>
      <c r="AA148" s="393"/>
      <c r="AB148" s="393"/>
      <c r="AC148" s="393"/>
      <c r="AD148" s="393"/>
      <c r="AE148" s="393"/>
      <c r="AF148" s="393"/>
      <c r="AG148" s="393"/>
      <c r="AH148" s="393"/>
      <c r="AI148" s="393"/>
      <c r="AJ148" s="393"/>
      <c r="AK148" s="393"/>
      <c r="AL148" s="393"/>
      <c r="AM148" s="393"/>
      <c r="AN148" s="393"/>
      <c r="AO148" s="393"/>
      <c r="AP148" s="393"/>
    </row>
    <row r="149" spans="1:42" s="749" customFormat="1" ht="20.399999999999999" customHeight="1" x14ac:dyDescent="0.4">
      <c r="A149" s="393"/>
      <c r="B149" s="2185"/>
      <c r="C149" s="2195"/>
      <c r="D149" s="2195"/>
      <c r="E149" s="2195"/>
      <c r="F149" s="2195"/>
      <c r="G149" s="2186"/>
      <c r="H149" s="2186"/>
      <c r="I149" s="2186"/>
      <c r="J149" s="2186"/>
      <c r="K149" s="2186"/>
      <c r="L149" s="2186"/>
      <c r="M149" s="2186"/>
      <c r="N149" s="2186"/>
      <c r="O149" s="2186"/>
      <c r="P149" s="2186"/>
      <c r="Q149" s="2187"/>
      <c r="R149" s="393"/>
      <c r="S149" s="2471"/>
      <c r="T149" s="2471"/>
      <c r="U149" s="393"/>
      <c r="V149" s="393"/>
      <c r="W149" s="393"/>
      <c r="X149" s="393"/>
      <c r="Y149" s="393"/>
      <c r="Z149" s="393"/>
      <c r="AA149" s="393"/>
      <c r="AB149" s="393"/>
      <c r="AC149" s="393"/>
      <c r="AD149" s="393"/>
      <c r="AE149" s="393"/>
      <c r="AF149" s="393"/>
      <c r="AG149" s="393"/>
      <c r="AH149" s="393"/>
      <c r="AI149" s="393"/>
      <c r="AJ149" s="393"/>
      <c r="AK149" s="393"/>
      <c r="AL149" s="393"/>
      <c r="AM149" s="393"/>
      <c r="AN149" s="393"/>
      <c r="AO149" s="393"/>
      <c r="AP149" s="393"/>
    </row>
    <row r="150" spans="1:42" s="749" customFormat="1" ht="20.399999999999999" customHeight="1" x14ac:dyDescent="0.4">
      <c r="A150" s="393"/>
      <c r="B150" s="2185"/>
      <c r="C150" s="2195"/>
      <c r="D150" s="2195"/>
      <c r="E150" s="2195"/>
      <c r="F150" s="2195"/>
      <c r="G150" s="2186"/>
      <c r="H150" s="2186"/>
      <c r="I150" s="2186"/>
      <c r="J150" s="2186"/>
      <c r="K150" s="2186"/>
      <c r="L150" s="2186"/>
      <c r="M150" s="2186"/>
      <c r="N150" s="2186"/>
      <c r="O150" s="2186"/>
      <c r="P150" s="2186"/>
      <c r="Q150" s="2187"/>
      <c r="R150" s="393"/>
      <c r="S150" s="2471"/>
      <c r="T150" s="2471"/>
      <c r="U150" s="393"/>
      <c r="V150" s="393"/>
      <c r="W150" s="393"/>
      <c r="X150" s="393"/>
      <c r="Y150" s="393"/>
      <c r="Z150" s="393"/>
      <c r="AA150" s="393"/>
      <c r="AB150" s="393"/>
      <c r="AC150" s="393"/>
      <c r="AD150" s="393"/>
      <c r="AE150" s="393"/>
      <c r="AF150" s="393"/>
      <c r="AG150" s="393"/>
      <c r="AH150" s="393"/>
      <c r="AI150" s="393"/>
      <c r="AJ150" s="393"/>
      <c r="AK150" s="393"/>
      <c r="AL150" s="393"/>
      <c r="AM150" s="393"/>
      <c r="AN150" s="393"/>
      <c r="AO150" s="393"/>
      <c r="AP150" s="393"/>
    </row>
    <row r="151" spans="1:42" s="272" customFormat="1" ht="15" customHeight="1" x14ac:dyDescent="0.4">
      <c r="A151" s="393"/>
      <c r="B151" s="2185"/>
      <c r="C151" s="3894">
        <v>4</v>
      </c>
      <c r="D151" s="3894" t="s">
        <v>480</v>
      </c>
      <c r="E151" s="3894"/>
      <c r="F151" s="2195"/>
      <c r="G151" s="2203"/>
      <c r="H151" s="3710" t="s">
        <v>3384</v>
      </c>
      <c r="I151" s="2214" t="str">
        <f>'1 Setup'!$I$60&amp;"/Hr"</f>
        <v>GBP/Hr</v>
      </c>
      <c r="J151" s="2214" t="str">
        <f>'1 Setup'!$I$60&amp;"/Hr"</f>
        <v>GBP/Hr</v>
      </c>
      <c r="K151" s="3710" t="s">
        <v>3388</v>
      </c>
      <c r="L151" s="2213"/>
      <c r="M151" s="2215"/>
      <c r="N151" s="2213"/>
      <c r="O151" s="2216"/>
      <c r="P151" s="2186"/>
      <c r="Q151" s="2187"/>
      <c r="R151" s="393"/>
      <c r="S151" s="393"/>
      <c r="T151" s="393"/>
      <c r="U151" s="393"/>
      <c r="V151" s="393"/>
      <c r="W151" s="393"/>
      <c r="X151" s="393"/>
      <c r="Y151" s="393"/>
      <c r="Z151" s="393"/>
      <c r="AA151" s="393"/>
      <c r="AB151" s="393"/>
      <c r="AC151" s="393"/>
      <c r="AD151" s="393"/>
      <c r="AE151" s="393"/>
      <c r="AF151" s="393"/>
      <c r="AG151" s="393"/>
      <c r="AH151" s="393"/>
      <c r="AI151" s="393"/>
      <c r="AJ151" s="393"/>
      <c r="AK151" s="393"/>
      <c r="AL151" s="393"/>
      <c r="AM151" s="393"/>
      <c r="AN151" s="393"/>
      <c r="AO151" s="393"/>
      <c r="AP151" s="393"/>
    </row>
    <row r="152" spans="1:42" s="272" customFormat="1" ht="15" customHeight="1" x14ac:dyDescent="0.25">
      <c r="A152" s="393"/>
      <c r="B152" s="2185"/>
      <c r="C152" s="3894"/>
      <c r="D152" s="3895"/>
      <c r="E152" s="3895"/>
      <c r="F152" s="2186"/>
      <c r="G152" s="2217" t="s">
        <v>1</v>
      </c>
      <c r="H152" s="3711"/>
      <c r="I152" s="2214" t="s">
        <v>482</v>
      </c>
      <c r="J152" s="2214" t="s">
        <v>481</v>
      </c>
      <c r="K152" s="3710"/>
      <c r="L152" s="2213"/>
      <c r="M152" s="2215" t="s">
        <v>333</v>
      </c>
      <c r="N152" s="2213"/>
      <c r="O152" s="2215" t="s">
        <v>1156</v>
      </c>
      <c r="P152" s="2186"/>
      <c r="Q152" s="2187"/>
      <c r="R152" s="393"/>
      <c r="S152" s="393"/>
      <c r="T152" s="393"/>
      <c r="U152" s="393"/>
      <c r="V152" s="393"/>
      <c r="W152" s="393"/>
      <c r="X152" s="393"/>
      <c r="Y152" s="393"/>
      <c r="Z152" s="393"/>
      <c r="AA152" s="393"/>
      <c r="AB152" s="393"/>
      <c r="AC152" s="393"/>
      <c r="AD152" s="393"/>
      <c r="AE152" s="393"/>
      <c r="AF152" s="393"/>
      <c r="AG152" s="393"/>
      <c r="AH152" s="393"/>
      <c r="AI152" s="393"/>
      <c r="AJ152" s="393"/>
      <c r="AK152" s="393"/>
      <c r="AL152" s="393"/>
      <c r="AM152" s="393"/>
      <c r="AN152" s="393"/>
      <c r="AO152" s="393"/>
      <c r="AP152" s="393"/>
    </row>
    <row r="153" spans="1:42" s="272" customFormat="1" ht="15" customHeight="1" x14ac:dyDescent="0.25">
      <c r="A153" s="393"/>
      <c r="B153" s="2185"/>
      <c r="C153" s="2248"/>
      <c r="D153" s="2239" t="s">
        <v>93</v>
      </c>
      <c r="E153" s="2240"/>
      <c r="F153" s="2241" t="s">
        <v>3376</v>
      </c>
      <c r="G153" s="441">
        <f>'1 Setup'!AQ99</f>
        <v>1363</v>
      </c>
      <c r="H153" s="692">
        <f>IFERROR(G153/($G$153+$G$154+$G$155+$G$156),0)</f>
        <v>1</v>
      </c>
      <c r="I153" s="2106">
        <f ca="1">IFERROR('1 Setup'!$AV$99/$G$153,0)</f>
        <v>50.25149070066032</v>
      </c>
      <c r="J153" s="2107">
        <f>IFERROR('1 Setup'!$AT$99/$G$153,0)</f>
        <v>18.044408730741011</v>
      </c>
      <c r="K153" s="2719">
        <f ca="1">IFERROR(I153/J153,0)</f>
        <v>2.784878764968914</v>
      </c>
      <c r="L153" s="2186"/>
      <c r="M153" s="2720">
        <f ca="1">IFERROR('1 Setup'!AO99,0)</f>
        <v>21.093989429933981</v>
      </c>
      <c r="N153" s="66"/>
      <c r="O153" s="2720">
        <f ca="1">IFERROR('1 Setup'!BB99,0)</f>
        <v>1.8321570822163906</v>
      </c>
      <c r="P153" s="277"/>
      <c r="Q153" s="2165"/>
      <c r="R153" s="393"/>
      <c r="S153" s="2470" t="s">
        <v>3379</v>
      </c>
      <c r="T153" s="393"/>
      <c r="U153" s="393"/>
      <c r="V153" s="393"/>
      <c r="W153" s="393"/>
      <c r="X153" s="393"/>
      <c r="Y153" s="393"/>
      <c r="Z153" s="393"/>
      <c r="AA153" s="393"/>
      <c r="AB153" s="393"/>
      <c r="AC153" s="393"/>
      <c r="AD153" s="393"/>
      <c r="AE153" s="393"/>
      <c r="AF153" s="393"/>
      <c r="AG153" s="393"/>
      <c r="AH153" s="393"/>
      <c r="AI153" s="393"/>
      <c r="AJ153" s="393"/>
      <c r="AK153" s="393"/>
      <c r="AL153" s="393"/>
      <c r="AM153" s="393"/>
      <c r="AN153" s="393"/>
      <c r="AO153" s="393"/>
      <c r="AP153" s="393"/>
    </row>
    <row r="154" spans="1:42" s="749" customFormat="1" ht="15" customHeight="1" x14ac:dyDescent="0.25">
      <c r="A154" s="393"/>
      <c r="B154" s="2185"/>
      <c r="C154" s="2248"/>
      <c r="D154" s="68"/>
      <c r="E154" s="2186"/>
      <c r="F154" s="2755" t="s">
        <v>3377</v>
      </c>
      <c r="G154" s="441">
        <f>SUM('1 Setup'!AQ105:AQ118)</f>
        <v>0</v>
      </c>
      <c r="H154" s="692">
        <f t="shared" ref="H154:H156" si="12">IFERROR(G154/($G$153+$G$154+$G$155+$G$156),0)</f>
        <v>0</v>
      </c>
      <c r="I154" s="2106">
        <f>IFERROR(SUM('1 Setup'!$AV$105:$AV$118)/$G$154,0)</f>
        <v>0</v>
      </c>
      <c r="J154" s="2107">
        <f>IFERROR(SUM('1 Setup'!$AT$105:$AT$118)/$G$154,0)</f>
        <v>0</v>
      </c>
      <c r="K154" s="2764">
        <f t="shared" ref="K154:K156" si="13">IFERROR(I154/J154,0)</f>
        <v>0</v>
      </c>
      <c r="L154" s="2186"/>
      <c r="M154" s="2720">
        <f>IFERROR(SUM('1 Setup'!AM105:AM118)/SUM('1 Setup'!AQ105:AQ118),0)</f>
        <v>0</v>
      </c>
      <c r="N154" s="66"/>
      <c r="O154" s="2720">
        <f>IFERROR(SUM('1 Setup'!AV105:AV118)/SUM('1 Setup'!AU105:AU118),0)</f>
        <v>0</v>
      </c>
      <c r="P154" s="277"/>
      <c r="Q154" s="2165"/>
      <c r="R154" s="393"/>
      <c r="S154" s="3977" t="s">
        <v>3385</v>
      </c>
      <c r="T154" s="3977"/>
      <c r="U154" s="3977"/>
      <c r="V154" s="3977"/>
      <c r="W154" s="3977"/>
      <c r="X154" s="3977"/>
      <c r="Y154" s="3977"/>
      <c r="Z154" s="3977"/>
      <c r="AA154" s="3977"/>
      <c r="AB154" s="393"/>
      <c r="AC154" s="393"/>
      <c r="AD154" s="393"/>
      <c r="AE154" s="393"/>
      <c r="AF154" s="393"/>
      <c r="AG154" s="393"/>
      <c r="AH154" s="393"/>
      <c r="AI154" s="393"/>
      <c r="AJ154" s="393"/>
      <c r="AK154" s="393"/>
      <c r="AL154" s="393"/>
      <c r="AM154" s="393"/>
      <c r="AN154" s="393"/>
      <c r="AO154" s="393"/>
      <c r="AP154" s="393"/>
    </row>
    <row r="155" spans="1:42" s="272" customFormat="1" ht="15" customHeight="1" x14ac:dyDescent="0.25">
      <c r="A155" s="393"/>
      <c r="B155" s="2185"/>
      <c r="C155" s="2248"/>
      <c r="D155" s="2186"/>
      <c r="E155" s="2235"/>
      <c r="F155" s="2162" t="s">
        <v>3378</v>
      </c>
      <c r="G155" s="441">
        <f>'1 Setup'!AQ101</f>
        <v>0</v>
      </c>
      <c r="H155" s="692">
        <f t="shared" si="12"/>
        <v>0</v>
      </c>
      <c r="I155" s="2106">
        <f>IFERROR('1 Setup'!$AV$101/$G$155,0)</f>
        <v>0</v>
      </c>
      <c r="J155" s="2107">
        <f>IFERROR('1 Setup'!$AT$101/$G$155,0)</f>
        <v>0</v>
      </c>
      <c r="K155" s="807">
        <f t="shared" si="13"/>
        <v>0</v>
      </c>
      <c r="L155" s="2186"/>
      <c r="M155" s="966">
        <f>'1 Setup'!AO101</f>
        <v>0</v>
      </c>
      <c r="N155" s="2186"/>
      <c r="O155" s="966">
        <f>'1 Setup'!BB101</f>
        <v>0</v>
      </c>
      <c r="P155" s="277"/>
      <c r="Q155" s="2165"/>
      <c r="R155" s="393"/>
      <c r="S155" s="3977"/>
      <c r="T155" s="3977"/>
      <c r="U155" s="3977"/>
      <c r="V155" s="3977"/>
      <c r="W155" s="3977"/>
      <c r="X155" s="3977"/>
      <c r="Y155" s="3977"/>
      <c r="Z155" s="3977"/>
      <c r="AA155" s="3977"/>
      <c r="AB155" s="393"/>
      <c r="AC155" s="393"/>
      <c r="AD155" s="393"/>
      <c r="AE155" s="393"/>
      <c r="AF155" s="393"/>
      <c r="AG155" s="393"/>
      <c r="AH155" s="393"/>
      <c r="AI155" s="393"/>
      <c r="AJ155" s="393"/>
      <c r="AK155" s="393"/>
      <c r="AL155" s="393"/>
      <c r="AM155" s="393"/>
      <c r="AN155" s="393"/>
      <c r="AO155" s="393"/>
      <c r="AP155" s="393"/>
    </row>
    <row r="156" spans="1:42" s="272" customFormat="1" ht="15" customHeight="1" x14ac:dyDescent="0.25">
      <c r="A156" s="393"/>
      <c r="B156" s="2185"/>
      <c r="C156" s="2248"/>
      <c r="D156" s="2242"/>
      <c r="E156" s="2244"/>
      <c r="F156" s="2243" t="s">
        <v>2578</v>
      </c>
      <c r="G156" s="441">
        <f>'1 Setup'!AQ100</f>
        <v>0</v>
      </c>
      <c r="H156" s="692">
        <f t="shared" si="12"/>
        <v>0</v>
      </c>
      <c r="I156" s="2106">
        <f>IFERROR('1 Setup'!$AV$100/$G$156,0)</f>
        <v>0</v>
      </c>
      <c r="J156" s="2107">
        <f>IFERROR('1 Setup'!$AT$100/$G$156,0)</f>
        <v>0</v>
      </c>
      <c r="K156" s="1647">
        <f t="shared" si="13"/>
        <v>0</v>
      </c>
      <c r="L156" s="2186"/>
      <c r="M156" s="966">
        <f>'1 Setup'!AO100</f>
        <v>0</v>
      </c>
      <c r="N156" s="2186"/>
      <c r="O156" s="966">
        <f>IFERROR('1 Setup'!BB100,0)</f>
        <v>0</v>
      </c>
      <c r="P156" s="277"/>
      <c r="Q156" s="2165"/>
      <c r="R156" s="393"/>
      <c r="S156" s="3977"/>
      <c r="T156" s="3977"/>
      <c r="U156" s="3977"/>
      <c r="V156" s="3977"/>
      <c r="W156" s="3977"/>
      <c r="X156" s="3977"/>
      <c r="Y156" s="3977"/>
      <c r="Z156" s="3977"/>
      <c r="AA156" s="3977"/>
      <c r="AB156" s="393"/>
      <c r="AC156" s="393"/>
      <c r="AD156" s="393"/>
      <c r="AE156" s="393"/>
      <c r="AF156" s="393"/>
      <c r="AG156" s="393"/>
      <c r="AH156" s="393"/>
      <c r="AI156" s="393"/>
      <c r="AJ156" s="393"/>
      <c r="AK156" s="393"/>
      <c r="AL156" s="393"/>
      <c r="AM156" s="393"/>
      <c r="AN156" s="393"/>
      <c r="AO156" s="393"/>
      <c r="AP156" s="393"/>
    </row>
    <row r="157" spans="1:42" s="272" customFormat="1" ht="15" customHeight="1" x14ac:dyDescent="0.25">
      <c r="A157" s="393"/>
      <c r="B157" s="2185"/>
      <c r="C157" s="2248"/>
      <c r="D157" s="2186"/>
      <c r="E157" s="2218"/>
      <c r="F157" s="2193"/>
      <c r="G157" s="2218"/>
      <c r="H157" s="2186"/>
      <c r="I157" s="2186"/>
      <c r="J157" s="2186"/>
      <c r="K157" s="2186"/>
      <c r="L157" s="2186"/>
      <c r="M157" s="2186"/>
      <c r="N157" s="2186"/>
      <c r="O157" s="2186"/>
      <c r="P157" s="2186"/>
      <c r="Q157" s="2187"/>
      <c r="R157" s="393"/>
      <c r="S157" s="2471"/>
      <c r="T157" s="2471"/>
      <c r="U157" s="393"/>
      <c r="V157" s="393"/>
      <c r="W157" s="393"/>
      <c r="X157" s="393"/>
      <c r="Y157" s="393"/>
      <c r="Z157" s="393"/>
      <c r="AA157" s="393"/>
      <c r="AB157" s="393"/>
      <c r="AC157" s="393"/>
      <c r="AD157" s="393"/>
      <c r="AE157" s="393"/>
      <c r="AF157" s="393"/>
      <c r="AG157" s="393"/>
      <c r="AH157" s="393"/>
      <c r="AI157" s="393"/>
      <c r="AJ157" s="393"/>
      <c r="AK157" s="393"/>
      <c r="AL157" s="393"/>
      <c r="AM157" s="393"/>
      <c r="AN157" s="393"/>
      <c r="AO157" s="393"/>
      <c r="AP157" s="393"/>
    </row>
    <row r="158" spans="1:42" s="749" customFormat="1" ht="9" customHeight="1" x14ac:dyDescent="0.25">
      <c r="A158" s="393"/>
      <c r="B158" s="2185"/>
      <c r="C158" s="2248"/>
      <c r="D158" s="2186"/>
      <c r="E158" s="2218"/>
      <c r="F158" s="2193"/>
      <c r="G158" s="2218"/>
      <c r="H158" s="2186"/>
      <c r="I158" s="2186"/>
      <c r="J158" s="2186"/>
      <c r="K158" s="2186"/>
      <c r="L158" s="2186"/>
      <c r="M158" s="2186"/>
      <c r="N158" s="2186"/>
      <c r="O158" s="2186"/>
      <c r="P158" s="2186"/>
      <c r="Q158" s="2187"/>
      <c r="R158" s="393"/>
      <c r="S158" s="2471"/>
      <c r="T158" s="2471"/>
      <c r="U158" s="393"/>
      <c r="V158" s="393"/>
      <c r="W158" s="393"/>
      <c r="X158" s="393"/>
      <c r="Y158" s="393"/>
      <c r="Z158" s="393"/>
      <c r="AA158" s="393"/>
      <c r="AB158" s="393"/>
      <c r="AC158" s="393"/>
      <c r="AD158" s="393"/>
      <c r="AE158" s="393"/>
      <c r="AF158" s="393"/>
      <c r="AG158" s="393"/>
      <c r="AH158" s="393"/>
      <c r="AI158" s="393"/>
      <c r="AJ158" s="393"/>
      <c r="AK158" s="393"/>
      <c r="AL158" s="393"/>
      <c r="AM158" s="393"/>
      <c r="AN158" s="393"/>
      <c r="AO158" s="393"/>
      <c r="AP158" s="393"/>
    </row>
    <row r="159" spans="1:42" s="272" customFormat="1" ht="21" x14ac:dyDescent="0.4">
      <c r="A159" s="393"/>
      <c r="B159" s="2185"/>
      <c r="C159" s="2247">
        <v>5</v>
      </c>
      <c r="D159" s="2195" t="s">
        <v>2332</v>
      </c>
      <c r="E159" s="2195"/>
      <c r="F159" s="2195"/>
      <c r="G159" s="2186"/>
      <c r="H159" s="2203" t="s">
        <v>1</v>
      </c>
      <c r="I159" s="2203" t="s">
        <v>469</v>
      </c>
      <c r="J159" s="2203" t="s">
        <v>440</v>
      </c>
      <c r="K159" s="69" t="s">
        <v>606</v>
      </c>
      <c r="L159" s="69"/>
      <c r="M159" s="69"/>
      <c r="N159" s="2186"/>
      <c r="O159" s="2186"/>
      <c r="P159" s="2186"/>
      <c r="Q159" s="2187"/>
      <c r="R159" s="393"/>
      <c r="S159" s="393"/>
      <c r="T159" s="2470"/>
      <c r="U159" s="393"/>
      <c r="V159" s="393"/>
      <c r="W159" s="393"/>
      <c r="X159" s="393"/>
      <c r="Y159" s="393"/>
      <c r="Z159" s="393"/>
      <c r="AA159" s="393"/>
      <c r="AB159" s="393"/>
      <c r="AC159" s="393"/>
      <c r="AD159" s="393"/>
      <c r="AE159" s="393"/>
      <c r="AF159" s="393"/>
      <c r="AG159" s="393"/>
      <c r="AH159" s="393"/>
      <c r="AI159" s="393"/>
      <c r="AJ159" s="393"/>
      <c r="AK159" s="393"/>
      <c r="AL159" s="393"/>
      <c r="AM159" s="393"/>
      <c r="AN159" s="393"/>
      <c r="AO159" s="393"/>
      <c r="AP159" s="393"/>
    </row>
    <row r="160" spans="1:42" s="272" customFormat="1" ht="13.95" customHeight="1" x14ac:dyDescent="0.3">
      <c r="A160" s="2461"/>
      <c r="B160" s="2219"/>
      <c r="C160" s="2186"/>
      <c r="D160" s="2220" t="s">
        <v>4218</v>
      </c>
      <c r="E160" s="2186"/>
      <c r="F160" s="2186"/>
      <c r="G160" s="2186"/>
      <c r="H160" s="2202" t="s">
        <v>794</v>
      </c>
      <c r="I160" s="2202" t="str">
        <f>I115</f>
        <v>GBP</v>
      </c>
      <c r="J160" s="2202" t="str">
        <f>J115</f>
        <v>GBP</v>
      </c>
      <c r="K160" s="2202" t="str">
        <f t="shared" ref="K160" si="14">K115</f>
        <v>GBP</v>
      </c>
      <c r="L160" s="2202"/>
      <c r="M160" s="2202"/>
      <c r="N160" s="2186"/>
      <c r="O160" s="2186"/>
      <c r="P160" s="2186"/>
      <c r="Q160" s="2187"/>
      <c r="R160" s="393"/>
      <c r="S160" s="2469"/>
      <c r="T160" s="2469"/>
      <c r="U160" s="393"/>
      <c r="V160" s="393"/>
      <c r="W160" s="393"/>
      <c r="X160" s="393"/>
      <c r="Y160" s="393"/>
      <c r="Z160" s="393"/>
      <c r="AA160" s="393"/>
      <c r="AB160" s="393"/>
      <c r="AC160" s="393"/>
      <c r="AD160" s="393"/>
      <c r="AE160" s="393"/>
      <c r="AF160" s="2461"/>
      <c r="AG160" s="2461"/>
      <c r="AH160" s="2461"/>
      <c r="AI160" s="393"/>
      <c r="AJ160" s="2474"/>
      <c r="AK160" s="393"/>
      <c r="AL160" s="393"/>
      <c r="AM160" s="393"/>
      <c r="AN160" s="393"/>
      <c r="AO160" s="393"/>
      <c r="AP160" s="393"/>
    </row>
    <row r="161" spans="1:42" s="272" customFormat="1" ht="15" customHeight="1" x14ac:dyDescent="0.25">
      <c r="A161" s="2461"/>
      <c r="B161" s="2219"/>
      <c r="C161" s="2186"/>
      <c r="D161" s="2221"/>
      <c r="F161" s="2186"/>
      <c r="G161" s="2235" t="s">
        <v>3989</v>
      </c>
      <c r="H161" s="1623">
        <f>IFERROR(H67,0)</f>
        <v>0</v>
      </c>
      <c r="I161" s="573">
        <f>IFERROR(I67,0)</f>
        <v>0</v>
      </c>
      <c r="J161" s="3081">
        <f>IFERROR(J67,0)</f>
        <v>0</v>
      </c>
      <c r="K161" s="3082">
        <f>IFERROR(I161-J161,0)</f>
        <v>0</v>
      </c>
      <c r="L161" s="2173"/>
      <c r="N161" s="277"/>
      <c r="O161" s="277"/>
      <c r="P161" s="277"/>
      <c r="Q161" s="2165"/>
      <c r="R161" s="393"/>
      <c r="S161" s="2470"/>
      <c r="T161" s="2469"/>
      <c r="U161" s="393"/>
      <c r="V161" s="393"/>
      <c r="W161" s="393"/>
      <c r="X161" s="393"/>
      <c r="Y161" s="393"/>
      <c r="Z161" s="393"/>
      <c r="AA161" s="393"/>
      <c r="AB161" s="393"/>
      <c r="AC161" s="393"/>
      <c r="AD161" s="393"/>
      <c r="AE161" s="393"/>
      <c r="AF161" s="2461"/>
      <c r="AG161" s="2461"/>
      <c r="AH161" s="2461"/>
      <c r="AI161" s="393"/>
      <c r="AJ161" s="2474"/>
      <c r="AK161" s="393"/>
      <c r="AL161" s="393"/>
      <c r="AM161" s="393"/>
      <c r="AN161" s="393"/>
      <c r="AO161" s="393"/>
      <c r="AP161" s="393"/>
    </row>
    <row r="162" spans="1:42" s="272" customFormat="1" ht="15" customHeight="1" x14ac:dyDescent="0.25">
      <c r="A162" s="2461"/>
      <c r="B162" s="2219"/>
      <c r="C162" s="2186"/>
      <c r="D162" s="2221"/>
      <c r="E162" s="2235"/>
      <c r="F162" s="3077"/>
      <c r="G162" s="2235" t="s">
        <v>4214</v>
      </c>
      <c r="H162" s="3078"/>
      <c r="I162" s="1284">
        <f>IFERROR(I69,0)</f>
        <v>0</v>
      </c>
      <c r="J162" s="3073">
        <f>IFERROR(J69,0)</f>
        <v>0</v>
      </c>
      <c r="K162" s="3082">
        <f>I162-J162</f>
        <v>0</v>
      </c>
      <c r="L162" s="2173"/>
      <c r="N162" s="277"/>
      <c r="O162" s="277"/>
      <c r="P162" s="277"/>
      <c r="Q162" s="2165"/>
      <c r="R162" s="393"/>
      <c r="S162" s="2469"/>
      <c r="T162" s="2469"/>
      <c r="U162" s="393"/>
      <c r="V162" s="393"/>
      <c r="W162" s="393"/>
      <c r="X162" s="393"/>
      <c r="Y162" s="393"/>
      <c r="Z162" s="393"/>
      <c r="AA162" s="393"/>
      <c r="AB162" s="393"/>
      <c r="AC162" s="393"/>
      <c r="AD162" s="393"/>
      <c r="AE162" s="393"/>
      <c r="AF162" s="2461"/>
      <c r="AG162" s="2461"/>
      <c r="AH162" s="2461"/>
      <c r="AI162" s="393"/>
      <c r="AJ162" s="2474"/>
      <c r="AK162" s="393"/>
      <c r="AL162" s="393"/>
      <c r="AM162" s="393"/>
      <c r="AN162" s="393"/>
      <c r="AO162" s="393"/>
      <c r="AP162" s="393"/>
    </row>
    <row r="163" spans="1:42" s="272" customFormat="1" ht="15" customHeight="1" x14ac:dyDescent="0.25">
      <c r="A163" s="2461"/>
      <c r="B163" s="2219"/>
      <c r="C163" s="2186"/>
      <c r="D163" s="2221"/>
      <c r="E163" s="2457"/>
      <c r="F163" s="2457"/>
      <c r="G163" s="2235" t="s">
        <v>3990</v>
      </c>
      <c r="H163" s="3079"/>
      <c r="I163" s="3080"/>
      <c r="J163" s="3073">
        <f>IFERROR(J75,0)</f>
        <v>0</v>
      </c>
      <c r="K163" s="3082">
        <f>IFERROR(K75,0)</f>
        <v>0</v>
      </c>
      <c r="L163" s="2173"/>
      <c r="N163" s="274"/>
      <c r="O163" s="274"/>
      <c r="P163" s="277"/>
      <c r="Q163" s="2165"/>
      <c r="R163" s="393"/>
      <c r="S163" s="2469"/>
      <c r="T163" s="2469"/>
      <c r="U163" s="393"/>
      <c r="V163" s="393"/>
      <c r="W163" s="393"/>
      <c r="X163" s="393"/>
      <c r="Y163" s="393"/>
      <c r="Z163" s="393"/>
      <c r="AA163" s="393"/>
      <c r="AB163" s="393"/>
      <c r="AC163" s="393"/>
      <c r="AD163" s="393"/>
      <c r="AE163" s="393"/>
      <c r="AF163" s="2461"/>
      <c r="AG163" s="2461"/>
      <c r="AH163" s="2461"/>
      <c r="AI163" s="393"/>
      <c r="AJ163" s="2474"/>
      <c r="AK163" s="393"/>
      <c r="AL163" s="393"/>
      <c r="AM163" s="393"/>
      <c r="AN163" s="393"/>
      <c r="AO163" s="393"/>
      <c r="AP163" s="393"/>
    </row>
    <row r="164" spans="1:42" s="749" customFormat="1" ht="15" customHeight="1" x14ac:dyDescent="0.25">
      <c r="A164" s="2461"/>
      <c r="B164" s="2219"/>
      <c r="C164" s="2186"/>
      <c r="D164" s="2221"/>
      <c r="E164" s="2457"/>
      <c r="F164" s="2457"/>
      <c r="G164" s="2235" t="s">
        <v>4210</v>
      </c>
      <c r="H164" s="1623">
        <f>'2 Staff List'!N38</f>
        <v>0</v>
      </c>
      <c r="I164" s="573">
        <f>'2 Staff List'!L38</f>
        <v>0</v>
      </c>
      <c r="J164" s="3081">
        <f>'2 Staff List'!M38</f>
        <v>0</v>
      </c>
      <c r="K164" s="3082">
        <f>IFERROR(I164-J164,0)</f>
        <v>0</v>
      </c>
      <c r="L164" s="2173"/>
      <c r="N164" s="274"/>
      <c r="O164" s="274"/>
      <c r="P164" s="277"/>
      <c r="Q164" s="2165"/>
      <c r="R164" s="393"/>
      <c r="S164" s="2469"/>
      <c r="T164" s="2469"/>
      <c r="U164" s="393"/>
      <c r="V164" s="393"/>
      <c r="W164" s="393"/>
      <c r="X164" s="393"/>
      <c r="Y164" s="393"/>
      <c r="Z164" s="393"/>
      <c r="AA164" s="393"/>
      <c r="AB164" s="393"/>
      <c r="AC164" s="393"/>
      <c r="AD164" s="393"/>
      <c r="AE164" s="393"/>
      <c r="AF164" s="2461"/>
      <c r="AG164" s="2461"/>
      <c r="AH164" s="2461"/>
      <c r="AI164" s="393"/>
      <c r="AJ164" s="2474"/>
      <c r="AK164" s="393"/>
      <c r="AL164" s="393"/>
      <c r="AM164" s="393"/>
      <c r="AN164" s="393"/>
      <c r="AO164" s="393"/>
      <c r="AP164" s="393"/>
    </row>
    <row r="165" spans="1:42" s="749" customFormat="1" ht="15" customHeight="1" x14ac:dyDescent="0.25">
      <c r="A165" s="2461"/>
      <c r="B165" s="2219"/>
      <c r="C165" s="2186"/>
      <c r="D165" s="2221"/>
      <c r="E165" s="2457"/>
      <c r="F165" s="2457"/>
      <c r="G165" s="2235" t="s">
        <v>4212</v>
      </c>
      <c r="H165" s="3078"/>
      <c r="I165" s="1284">
        <f>I73</f>
        <v>0</v>
      </c>
      <c r="J165" s="3073">
        <f>J73</f>
        <v>0</v>
      </c>
      <c r="K165" s="3082">
        <f t="shared" ref="K165:K167" si="15">IFERROR(I165-J165,0)</f>
        <v>0</v>
      </c>
      <c r="L165" s="2173"/>
      <c r="N165" s="274"/>
      <c r="O165" s="274"/>
      <c r="P165" s="277"/>
      <c r="Q165" s="2165"/>
      <c r="R165" s="393"/>
      <c r="S165" s="2469"/>
      <c r="T165" s="2469"/>
      <c r="U165" s="393"/>
      <c r="V165" s="393"/>
      <c r="W165" s="393"/>
      <c r="X165" s="393"/>
      <c r="Y165" s="393"/>
      <c r="Z165" s="393"/>
      <c r="AA165" s="393"/>
      <c r="AB165" s="393"/>
      <c r="AC165" s="393"/>
      <c r="AD165" s="393"/>
      <c r="AE165" s="393"/>
      <c r="AF165" s="2461"/>
      <c r="AG165" s="2461"/>
      <c r="AH165" s="2461"/>
      <c r="AI165" s="393"/>
      <c r="AJ165" s="2474"/>
      <c r="AK165" s="393"/>
      <c r="AL165" s="393"/>
      <c r="AM165" s="393"/>
      <c r="AN165" s="393"/>
      <c r="AO165" s="393"/>
      <c r="AP165" s="393"/>
    </row>
    <row r="166" spans="1:42" s="749" customFormat="1" ht="15" customHeight="1" thickBot="1" x14ac:dyDescent="0.3">
      <c r="A166" s="2461"/>
      <c r="B166" s="2219"/>
      <c r="C166" s="2186"/>
      <c r="D166" s="2221"/>
      <c r="E166" s="2457"/>
      <c r="F166" s="2457"/>
      <c r="G166" s="2235" t="s">
        <v>4213</v>
      </c>
      <c r="H166" s="3270"/>
      <c r="I166" s="3271"/>
      <c r="J166" s="3272">
        <f>J76</f>
        <v>0</v>
      </c>
      <c r="K166" s="3273">
        <f t="shared" si="15"/>
        <v>0</v>
      </c>
      <c r="L166" s="2173"/>
      <c r="N166" s="274"/>
      <c r="O166" s="274"/>
      <c r="P166" s="277"/>
      <c r="Q166" s="2165"/>
      <c r="R166" s="393"/>
      <c r="S166" s="2469"/>
      <c r="T166" s="2469"/>
      <c r="U166" s="393"/>
      <c r="V166" s="393"/>
      <c r="W166" s="393"/>
      <c r="X166" s="393"/>
      <c r="Y166" s="393"/>
      <c r="Z166" s="393"/>
      <c r="AA166" s="393"/>
      <c r="AB166" s="393"/>
      <c r="AC166" s="393"/>
      <c r="AD166" s="393"/>
      <c r="AE166" s="393"/>
      <c r="AF166" s="2461"/>
      <c r="AG166" s="2461"/>
      <c r="AH166" s="2461"/>
      <c r="AI166" s="393"/>
      <c r="AJ166" s="2474"/>
      <c r="AK166" s="393"/>
      <c r="AL166" s="393"/>
      <c r="AM166" s="393"/>
      <c r="AN166" s="393"/>
      <c r="AO166" s="393"/>
      <c r="AP166" s="393"/>
    </row>
    <row r="167" spans="1:42" s="749" customFormat="1" ht="15" customHeight="1" thickTop="1" x14ac:dyDescent="0.25">
      <c r="A167" s="2461"/>
      <c r="B167" s="2219"/>
      <c r="C167" s="2186"/>
      <c r="D167" s="2194"/>
      <c r="E167" s="2245"/>
      <c r="F167" s="2245"/>
      <c r="G167" s="2245" t="s">
        <v>115</v>
      </c>
      <c r="H167" s="3086">
        <f>SUM(H161:H166)</f>
        <v>0</v>
      </c>
      <c r="I167" s="3086">
        <f t="shared" ref="I167:J167" si="16">SUM(I161:I166)</f>
        <v>0</v>
      </c>
      <c r="J167" s="3087">
        <f t="shared" si="16"/>
        <v>0</v>
      </c>
      <c r="K167" s="3088">
        <f t="shared" si="15"/>
        <v>0</v>
      </c>
      <c r="L167" s="2186"/>
      <c r="M167" s="2186"/>
      <c r="N167" s="2186"/>
      <c r="O167" s="2186"/>
      <c r="P167" s="2186"/>
      <c r="Q167" s="2187"/>
      <c r="R167" s="393"/>
      <c r="S167" s="2469"/>
      <c r="T167" s="2469"/>
      <c r="U167" s="393"/>
      <c r="V167" s="393"/>
      <c r="W167" s="393"/>
      <c r="X167" s="393"/>
      <c r="Y167" s="393"/>
      <c r="Z167" s="393"/>
      <c r="AA167" s="393"/>
      <c r="AB167" s="393"/>
      <c r="AC167" s="393"/>
      <c r="AD167" s="393"/>
      <c r="AE167" s="393"/>
      <c r="AF167" s="2461"/>
      <c r="AG167" s="2461"/>
      <c r="AH167" s="2461"/>
      <c r="AI167" s="393"/>
      <c r="AJ167" s="2474"/>
      <c r="AK167" s="393"/>
      <c r="AL167" s="393"/>
      <c r="AM167" s="393"/>
      <c r="AN167" s="393"/>
      <c r="AO167" s="393"/>
      <c r="AP167" s="393"/>
    </row>
    <row r="168" spans="1:42" s="749" customFormat="1" ht="15" customHeight="1" x14ac:dyDescent="0.25">
      <c r="A168" s="2461"/>
      <c r="B168" s="2219"/>
      <c r="C168" s="2186"/>
      <c r="D168" s="2235"/>
      <c r="E168" s="2235" t="str">
        <f>IF($C$29&lt;&gt;"E","","RAMP contingency for comparison:")</f>
        <v/>
      </c>
      <c r="F168" s="1625"/>
      <c r="G168" s="2245" t="s">
        <v>3991</v>
      </c>
      <c r="H168" s="3083">
        <f>IFERROR(H167/H137,0)</f>
        <v>0</v>
      </c>
      <c r="I168" s="3083">
        <f ca="1">IFERROR(I167/I137,0)</f>
        <v>0</v>
      </c>
      <c r="J168" s="3084">
        <f>IFERROR(J167/J137,0)</f>
        <v>0</v>
      </c>
      <c r="K168" s="3085">
        <f ca="1">IFERROR(K167/K137,0)</f>
        <v>0</v>
      </c>
      <c r="L168" s="2186"/>
      <c r="M168" s="2186"/>
      <c r="N168" s="2186"/>
      <c r="O168" s="2186"/>
      <c r="P168" s="2186"/>
      <c r="Q168" s="2187"/>
      <c r="R168" s="393"/>
      <c r="S168" s="2469"/>
      <c r="T168" s="2469"/>
      <c r="U168" s="393"/>
      <c r="V168" s="393"/>
      <c r="W168" s="393"/>
      <c r="X168" s="393"/>
      <c r="Y168" s="393"/>
      <c r="Z168" s="393"/>
      <c r="AA168" s="393"/>
      <c r="AB168" s="393"/>
      <c r="AC168" s="393"/>
      <c r="AD168" s="393"/>
      <c r="AE168" s="393"/>
      <c r="AF168" s="2461"/>
      <c r="AG168" s="2461"/>
      <c r="AH168" s="2461"/>
      <c r="AI168" s="393"/>
      <c r="AJ168" s="2474"/>
      <c r="AK168" s="393"/>
      <c r="AL168" s="393"/>
      <c r="AM168" s="393"/>
      <c r="AN168" s="393"/>
      <c r="AO168" s="393"/>
      <c r="AP168" s="393"/>
    </row>
    <row r="169" spans="1:42" s="749" customFormat="1" ht="8.25" customHeight="1" x14ac:dyDescent="0.25">
      <c r="A169" s="2461"/>
      <c r="B169" s="2219"/>
      <c r="C169" s="2186"/>
      <c r="D169" s="2194"/>
      <c r="E169" s="2162"/>
      <c r="F169" s="2162"/>
      <c r="G169" s="2222"/>
      <c r="H169" s="2214"/>
      <c r="I169" s="2214"/>
      <c r="J169" s="2214"/>
      <c r="K169" s="2186"/>
      <c r="L169" s="2186"/>
      <c r="M169" s="2186"/>
      <c r="N169" s="2186"/>
      <c r="O169" s="2186"/>
      <c r="P169" s="2186"/>
      <c r="Q169" s="2187"/>
      <c r="R169" s="393"/>
      <c r="S169" s="393"/>
      <c r="T169" s="393"/>
      <c r="U169" s="393"/>
      <c r="V169" s="393"/>
      <c r="W169" s="393"/>
      <c r="X169" s="393"/>
      <c r="Y169" s="393"/>
      <c r="Z169" s="393"/>
      <c r="AA169" s="393"/>
      <c r="AB169" s="393"/>
      <c r="AC169" s="393"/>
      <c r="AD169" s="393"/>
      <c r="AE169" s="393"/>
      <c r="AF169" s="2461"/>
      <c r="AG169" s="2461"/>
      <c r="AH169" s="2461"/>
      <c r="AI169" s="393"/>
      <c r="AJ169" s="2474"/>
      <c r="AK169" s="393"/>
      <c r="AL169" s="393"/>
      <c r="AM169" s="393"/>
      <c r="AN169" s="393"/>
      <c r="AO169" s="393"/>
      <c r="AP169" s="393"/>
    </row>
    <row r="170" spans="1:42" s="272" customFormat="1" ht="19.5" customHeight="1" x14ac:dyDescent="0.4">
      <c r="A170" s="393"/>
      <c r="B170" s="2185"/>
      <c r="C170" s="2195"/>
      <c r="D170" s="2220" t="s">
        <v>1703</v>
      </c>
      <c r="E170" s="2195"/>
      <c r="F170" s="2195"/>
      <c r="G170" s="2186"/>
      <c r="H170" s="2186"/>
      <c r="I170" s="2186"/>
      <c r="J170" s="2186"/>
      <c r="K170" s="2186"/>
      <c r="L170" s="2186"/>
      <c r="M170" s="2186"/>
      <c r="N170" s="2186"/>
      <c r="O170" s="2186"/>
      <c r="P170" s="2186"/>
      <c r="Q170" s="2187"/>
      <c r="R170" s="393"/>
      <c r="S170" s="393"/>
      <c r="T170" s="393"/>
      <c r="U170" s="393"/>
      <c r="V170" s="393"/>
      <c r="W170" s="393"/>
      <c r="X170" s="393"/>
      <c r="Y170" s="393"/>
      <c r="Z170" s="393"/>
      <c r="AA170" s="393"/>
      <c r="AB170" s="393"/>
      <c r="AC170" s="393"/>
      <c r="AD170" s="393"/>
      <c r="AE170" s="393"/>
      <c r="AF170" s="393"/>
      <c r="AG170" s="393"/>
      <c r="AH170" s="393"/>
      <c r="AI170" s="393"/>
      <c r="AJ170" s="393"/>
      <c r="AK170" s="393"/>
      <c r="AL170" s="393"/>
      <c r="AM170" s="393"/>
      <c r="AN170" s="393"/>
      <c r="AO170" s="393"/>
      <c r="AP170" s="393"/>
    </row>
    <row r="171" spans="1:42" s="272" customFormat="1" ht="16.5" customHeight="1" x14ac:dyDescent="0.4">
      <c r="A171" s="393"/>
      <c r="B171" s="2185"/>
      <c r="C171" s="2186"/>
      <c r="D171" s="2223" t="s">
        <v>441</v>
      </c>
      <c r="E171" s="2195"/>
      <c r="F171" s="41" t="s">
        <v>2341</v>
      </c>
      <c r="G171" s="2186"/>
      <c r="H171" s="2186"/>
      <c r="I171" s="2186"/>
      <c r="J171" s="2186"/>
      <c r="K171" s="2186"/>
      <c r="L171" s="2186"/>
      <c r="M171" s="2186"/>
      <c r="N171" s="2186"/>
      <c r="O171" s="2186"/>
      <c r="P171" s="2186"/>
      <c r="Q171" s="2187"/>
      <c r="R171" s="393"/>
      <c r="S171" s="2470" t="s">
        <v>2799</v>
      </c>
      <c r="T171" s="2470"/>
      <c r="U171" s="393"/>
      <c r="V171" s="393"/>
      <c r="W171" s="393"/>
      <c r="X171" s="393"/>
      <c r="Y171" s="393"/>
      <c r="Z171" s="393"/>
      <c r="AA171" s="393"/>
      <c r="AB171" s="393"/>
      <c r="AC171" s="393"/>
      <c r="AD171" s="393"/>
      <c r="AE171" s="393"/>
      <c r="AF171" s="393"/>
      <c r="AG171" s="393"/>
      <c r="AH171" s="393"/>
      <c r="AI171" s="393"/>
      <c r="AJ171" s="393"/>
      <c r="AK171" s="393"/>
      <c r="AL171" s="393"/>
      <c r="AM171" s="393"/>
      <c r="AN171" s="393"/>
      <c r="AO171" s="393"/>
      <c r="AP171" s="393"/>
    </row>
    <row r="172" spans="1:42" s="272" customFormat="1" ht="14.1" customHeight="1" x14ac:dyDescent="0.25">
      <c r="A172" s="393"/>
      <c r="B172" s="2185"/>
      <c r="C172" s="2186"/>
      <c r="D172" s="3967"/>
      <c r="E172" s="3968"/>
      <c r="F172" s="3968"/>
      <c r="G172" s="3968"/>
      <c r="H172" s="3968"/>
      <c r="I172" s="3968"/>
      <c r="J172" s="3968"/>
      <c r="K172" s="3968"/>
      <c r="L172" s="3968"/>
      <c r="M172" s="3968"/>
      <c r="N172" s="3968"/>
      <c r="O172" s="3969"/>
      <c r="P172" s="373"/>
      <c r="Q172" s="2224"/>
      <c r="R172" s="393"/>
      <c r="S172" s="2469" t="s">
        <v>2340</v>
      </c>
      <c r="T172" s="2469"/>
      <c r="U172" s="393"/>
      <c r="V172" s="393"/>
      <c r="W172" s="393"/>
      <c r="X172" s="393"/>
      <c r="Y172" s="393"/>
      <c r="Z172" s="393"/>
      <c r="AA172" s="393"/>
      <c r="AB172" s="393"/>
      <c r="AC172" s="393"/>
      <c r="AD172" s="393"/>
      <c r="AE172" s="393"/>
      <c r="AF172" s="393"/>
      <c r="AG172" s="393"/>
      <c r="AH172" s="393"/>
      <c r="AI172" s="393"/>
      <c r="AJ172" s="393"/>
      <c r="AK172" s="393"/>
      <c r="AL172" s="393"/>
      <c r="AM172" s="393"/>
      <c r="AN172" s="393"/>
      <c r="AO172" s="393"/>
      <c r="AP172" s="393"/>
    </row>
    <row r="173" spans="1:42" s="272" customFormat="1" ht="14.1" customHeight="1" x14ac:dyDescent="0.25">
      <c r="A173" s="393"/>
      <c r="B173" s="2185"/>
      <c r="C173" s="2186"/>
      <c r="D173" s="3970"/>
      <c r="E173" s="3971"/>
      <c r="F173" s="3971"/>
      <c r="G173" s="3971"/>
      <c r="H173" s="3971"/>
      <c r="I173" s="3971"/>
      <c r="J173" s="3971"/>
      <c r="K173" s="3971"/>
      <c r="L173" s="3971"/>
      <c r="M173" s="3971"/>
      <c r="N173" s="3971"/>
      <c r="O173" s="3972"/>
      <c r="P173" s="373"/>
      <c r="Q173" s="2224"/>
      <c r="R173" s="393"/>
      <c r="S173" s="2469" t="s">
        <v>2798</v>
      </c>
      <c r="T173" s="2469"/>
      <c r="U173" s="393"/>
      <c r="V173" s="393"/>
      <c r="W173" s="393"/>
      <c r="X173" s="393"/>
      <c r="Y173" s="393"/>
      <c r="Z173" s="393"/>
      <c r="AA173" s="393"/>
      <c r="AB173" s="393"/>
      <c r="AC173" s="393"/>
      <c r="AD173" s="393"/>
      <c r="AE173" s="393"/>
      <c r="AF173" s="393"/>
      <c r="AG173" s="393"/>
      <c r="AH173" s="393"/>
      <c r="AI173" s="393"/>
      <c r="AJ173" s="393"/>
      <c r="AK173" s="393"/>
      <c r="AL173" s="393"/>
      <c r="AM173" s="393"/>
      <c r="AN173" s="393"/>
      <c r="AO173" s="393"/>
      <c r="AP173" s="393"/>
    </row>
    <row r="174" spans="1:42" s="272" customFormat="1" ht="18.75" customHeight="1" thickBot="1" x14ac:dyDescent="0.45">
      <c r="A174" s="393"/>
      <c r="B174" s="2185"/>
      <c r="C174" s="2186"/>
      <c r="D174" s="2195"/>
      <c r="E174" s="2195"/>
      <c r="F174" s="2225" t="s">
        <v>1662</v>
      </c>
      <c r="G174" s="2226" t="s">
        <v>2342</v>
      </c>
      <c r="H174" s="2225" t="s">
        <v>1663</v>
      </c>
      <c r="I174" s="2203"/>
      <c r="J174" s="2203"/>
      <c r="K174" s="2186"/>
      <c r="L174" s="2186"/>
      <c r="M174" s="2186"/>
      <c r="N174" s="2186"/>
      <c r="O174" s="2186"/>
      <c r="P174" s="2186"/>
      <c r="Q174" s="2187"/>
      <c r="R174" s="393"/>
      <c r="S174" s="2472" t="s">
        <v>1681</v>
      </c>
      <c r="T174" s="2472"/>
      <c r="U174" s="393"/>
      <c r="V174" s="393"/>
      <c r="W174" s="393"/>
      <c r="X174" s="393"/>
      <c r="Y174" s="393"/>
      <c r="Z174" s="393"/>
      <c r="AA174" s="393"/>
      <c r="AB174" s="393"/>
      <c r="AC174" s="393"/>
      <c r="AD174" s="393"/>
      <c r="AE174" s="393"/>
      <c r="AF174" s="393"/>
      <c r="AG174" s="393"/>
      <c r="AH174" s="393"/>
      <c r="AI174" s="393"/>
      <c r="AJ174" s="393"/>
      <c r="AK174" s="393"/>
      <c r="AL174" s="393"/>
      <c r="AM174" s="393"/>
      <c r="AN174" s="393"/>
      <c r="AO174" s="393"/>
      <c r="AP174" s="393"/>
    </row>
    <row r="175" spans="1:42" s="272" customFormat="1" ht="16.5" customHeight="1" thickBot="1" x14ac:dyDescent="0.3">
      <c r="A175" s="2461"/>
      <c r="B175" s="2164"/>
      <c r="C175" s="277"/>
      <c r="D175" s="2168"/>
      <c r="E175" s="2169" t="s">
        <v>1665</v>
      </c>
      <c r="F175" s="2174"/>
      <c r="G175" s="2175"/>
      <c r="H175" s="2176"/>
      <c r="I175" s="373" t="str">
        <f>IF(NOT(J13),"","("&amp;'1 Setup'!$I$60&amp;")")</f>
        <v/>
      </c>
      <c r="J175" s="2227" t="str">
        <f>IF($J$13,"Budget amount passes thro' to IPCS setup budget","")</f>
        <v/>
      </c>
      <c r="K175" s="2186"/>
      <c r="L175" s="2186"/>
      <c r="M175" s="2186"/>
      <c r="N175" s="2186"/>
      <c r="O175" s="2186"/>
      <c r="P175" s="2186"/>
      <c r="Q175" s="2187"/>
      <c r="R175" s="393"/>
      <c r="S175" s="3958" t="s">
        <v>2357</v>
      </c>
      <c r="T175" s="3959"/>
      <c r="U175" s="3959"/>
      <c r="V175" s="3959"/>
      <c r="W175" s="3959"/>
      <c r="X175" s="3959"/>
      <c r="Y175" s="3959"/>
      <c r="Z175" s="3959"/>
      <c r="AA175" s="3959"/>
      <c r="AB175" s="3959"/>
      <c r="AC175" s="3959"/>
      <c r="AD175" s="3959"/>
      <c r="AE175" s="3960"/>
      <c r="AF175" s="2461"/>
      <c r="AG175" s="2461"/>
      <c r="AH175" s="2461"/>
      <c r="AI175" s="393"/>
      <c r="AJ175" s="2474"/>
      <c r="AK175" s="393"/>
      <c r="AL175" s="393"/>
      <c r="AM175" s="393"/>
      <c r="AN175" s="393"/>
      <c r="AO175" s="393"/>
      <c r="AP175" s="393"/>
    </row>
    <row r="176" spans="1:42" s="272" customFormat="1" ht="3.75" customHeight="1" x14ac:dyDescent="0.25">
      <c r="A176" s="2461"/>
      <c r="B176" s="2219"/>
      <c r="C176" s="2186"/>
      <c r="D176" s="2194"/>
      <c r="E176" s="2162"/>
      <c r="F176" s="2162"/>
      <c r="G176" s="2162"/>
      <c r="H176" s="2162"/>
      <c r="I176" s="2228"/>
      <c r="J176" s="2186"/>
      <c r="K176" s="2186"/>
      <c r="L176" s="2186"/>
      <c r="M176" s="2186"/>
      <c r="N176" s="2186"/>
      <c r="O176" s="2186"/>
      <c r="P176" s="2186"/>
      <c r="Q176" s="2187"/>
      <c r="R176" s="393"/>
      <c r="S176" s="3961"/>
      <c r="T176" s="3962"/>
      <c r="U176" s="3962"/>
      <c r="V176" s="3962"/>
      <c r="W176" s="3962"/>
      <c r="X176" s="3962"/>
      <c r="Y176" s="3962"/>
      <c r="Z176" s="3962"/>
      <c r="AA176" s="3962"/>
      <c r="AB176" s="3962"/>
      <c r="AC176" s="3962"/>
      <c r="AD176" s="3962"/>
      <c r="AE176" s="3963"/>
      <c r="AF176" s="2461"/>
      <c r="AG176" s="2461"/>
      <c r="AH176" s="2461"/>
      <c r="AI176" s="393"/>
      <c r="AJ176" s="2474"/>
      <c r="AK176" s="393"/>
      <c r="AL176" s="393"/>
      <c r="AM176" s="393"/>
      <c r="AN176" s="393"/>
      <c r="AO176" s="393"/>
      <c r="AP176" s="393"/>
    </row>
    <row r="177" spans="1:42" s="272" customFormat="1" ht="15" customHeight="1" x14ac:dyDescent="0.25">
      <c r="A177" s="2461"/>
      <c r="B177" s="2164"/>
      <c r="C177" s="277"/>
      <c r="D177" s="2177"/>
      <c r="E177" s="2169" t="s">
        <v>4240</v>
      </c>
      <c r="F177" s="2178">
        <f ca="1">IFERROR(((F175-$G$175)/($H$125+$H$134))+$G$177,0)</f>
        <v>21.09398942993397</v>
      </c>
      <c r="G177" s="2179">
        <f ca="1">IFERROR(M116,"")</f>
        <v>21.09398942993397</v>
      </c>
      <c r="H177" s="2180">
        <f ca="1">IFERROR(((H175-$G$175)/($H$125+$H$134))+$G$177,0)</f>
        <v>21.09398942993397</v>
      </c>
      <c r="I177" s="373" t="str">
        <f>IF(NOT(J13),"","("&amp;'1 Setup'!$I$60&amp;"/Hr)")</f>
        <v/>
      </c>
      <c r="J177" s="2229" t="str">
        <f>IF($J$13,"Best/Worst Cases are for information only","")</f>
        <v/>
      </c>
      <c r="K177" s="2186"/>
      <c r="L177" s="2186"/>
      <c r="M177" s="2186"/>
      <c r="N177" s="2186"/>
      <c r="O177" s="2186"/>
      <c r="P177" s="2186"/>
      <c r="Q177" s="2187"/>
      <c r="R177" s="393"/>
      <c r="S177" s="3964"/>
      <c r="T177" s="3965"/>
      <c r="U177" s="3965"/>
      <c r="V177" s="3965"/>
      <c r="W177" s="3965"/>
      <c r="X177" s="3965"/>
      <c r="Y177" s="3965"/>
      <c r="Z177" s="3965"/>
      <c r="AA177" s="3965"/>
      <c r="AB177" s="3965"/>
      <c r="AC177" s="3965"/>
      <c r="AD177" s="3965"/>
      <c r="AE177" s="3966"/>
      <c r="AF177" s="2461"/>
      <c r="AG177" s="2461"/>
      <c r="AH177" s="2461"/>
      <c r="AI177" s="393"/>
      <c r="AJ177" s="2474"/>
      <c r="AK177" s="393"/>
      <c r="AL177" s="393"/>
      <c r="AM177" s="393"/>
      <c r="AN177" s="393"/>
      <c r="AO177" s="393"/>
      <c r="AP177" s="393"/>
    </row>
    <row r="178" spans="1:42" s="272" customFormat="1" ht="5.4" customHeight="1" x14ac:dyDescent="0.25">
      <c r="A178" s="2461"/>
      <c r="B178" s="2219"/>
      <c r="C178" s="2186"/>
      <c r="D178" s="2186"/>
      <c r="E178" s="2186"/>
      <c r="F178" s="2230"/>
      <c r="G178" s="2230"/>
      <c r="H178" s="2230"/>
      <c r="I178" s="2230"/>
      <c r="J178" s="2230"/>
      <c r="K178" s="2186"/>
      <c r="L178" s="2186"/>
      <c r="M178" s="2186"/>
      <c r="N178" s="2186"/>
      <c r="O178" s="2186"/>
      <c r="P178" s="2186"/>
      <c r="Q178" s="2187"/>
      <c r="R178" s="393"/>
      <c r="S178" s="393"/>
      <c r="T178" s="393"/>
      <c r="U178" s="393"/>
      <c r="V178" s="393"/>
      <c r="W178" s="393"/>
      <c r="X178" s="393"/>
      <c r="Y178" s="393"/>
      <c r="Z178" s="2461"/>
      <c r="AA178" s="2461"/>
      <c r="AB178" s="2461"/>
      <c r="AC178" s="2461"/>
      <c r="AD178" s="2461"/>
      <c r="AE178" s="2461"/>
      <c r="AF178" s="2461"/>
      <c r="AG178" s="2461"/>
      <c r="AH178" s="2461"/>
      <c r="AI178" s="393"/>
      <c r="AJ178" s="2474"/>
      <c r="AK178" s="393"/>
      <c r="AL178" s="393"/>
      <c r="AM178" s="393"/>
      <c r="AN178" s="393"/>
      <c r="AO178" s="393"/>
      <c r="AP178" s="393"/>
    </row>
    <row r="179" spans="1:42" s="18" customFormat="1" ht="16.5" customHeight="1" x14ac:dyDescent="0.25">
      <c r="A179" s="393"/>
      <c r="B179" s="2185"/>
      <c r="C179" s="2231"/>
      <c r="D179" s="2186"/>
      <c r="E179" s="2231"/>
      <c r="F179" s="2231"/>
      <c r="G179" s="2231"/>
      <c r="H179" s="2231"/>
      <c r="I179" s="2231"/>
      <c r="J179" s="2231"/>
      <c r="K179" s="2231"/>
      <c r="L179" s="2231"/>
      <c r="M179" s="2231"/>
      <c r="N179" s="2231"/>
      <c r="O179" s="2231"/>
      <c r="P179" s="2231"/>
      <c r="Q179" s="2232"/>
      <c r="R179" s="2461"/>
      <c r="S179" s="2473"/>
      <c r="T179" s="2473"/>
      <c r="U179" s="2461"/>
      <c r="V179" s="2461"/>
      <c r="W179" s="2461"/>
      <c r="X179" s="2461"/>
      <c r="Y179" s="2461"/>
      <c r="Z179" s="2461"/>
      <c r="AA179" s="2461"/>
      <c r="AB179" s="2461"/>
      <c r="AC179" s="2461"/>
      <c r="AD179" s="2461"/>
      <c r="AE179" s="2461"/>
      <c r="AF179" s="2461"/>
      <c r="AG179" s="2461"/>
      <c r="AH179" s="2474"/>
      <c r="AI179" s="2474"/>
      <c r="AJ179" s="2474"/>
      <c r="AK179" s="393"/>
      <c r="AL179" s="393"/>
      <c r="AM179" s="393"/>
      <c r="AN179" s="393"/>
      <c r="AO179" s="393"/>
      <c r="AP179" s="2461"/>
    </row>
    <row r="180" spans="1:42" s="18" customFormat="1" ht="24" customHeight="1" x14ac:dyDescent="0.25">
      <c r="A180" s="393"/>
      <c r="B180" s="2185"/>
      <c r="C180" s="2249">
        <v>6</v>
      </c>
      <c r="D180" s="2233" t="s">
        <v>328</v>
      </c>
      <c r="E180" s="2234"/>
      <c r="F180" s="3951"/>
      <c r="G180" s="3952"/>
      <c r="H180" s="3952"/>
      <c r="I180" s="3953"/>
      <c r="J180" s="2235" t="s">
        <v>304</v>
      </c>
      <c r="K180" s="3948"/>
      <c r="L180" s="3949"/>
      <c r="M180" s="3949"/>
      <c r="N180" s="3949"/>
      <c r="O180" s="3950"/>
      <c r="P180" s="2231"/>
      <c r="Q180" s="2232"/>
      <c r="R180" s="2461"/>
      <c r="S180" s="1139"/>
      <c r="T180" s="1139"/>
      <c r="U180" s="2461"/>
      <c r="V180" s="2461"/>
      <c r="W180" s="2461"/>
      <c r="X180" s="2461"/>
      <c r="Y180" s="2461"/>
      <c r="Z180" s="2461"/>
      <c r="AA180" s="2461"/>
      <c r="AB180" s="2461"/>
      <c r="AC180" s="2461"/>
      <c r="AD180" s="2461"/>
      <c r="AE180" s="2461"/>
      <c r="AF180" s="2461"/>
      <c r="AG180" s="2461"/>
      <c r="AH180" s="2474"/>
      <c r="AI180" s="2474"/>
      <c r="AJ180" s="2474"/>
      <c r="AK180" s="393"/>
      <c r="AL180" s="393"/>
      <c r="AM180" s="393"/>
      <c r="AN180" s="393"/>
      <c r="AO180" s="393"/>
      <c r="AP180" s="2461"/>
    </row>
    <row r="181" spans="1:42" s="18" customFormat="1" ht="9.9" customHeight="1" x14ac:dyDescent="0.25">
      <c r="A181" s="393"/>
      <c r="B181" s="2185"/>
      <c r="C181" s="2231"/>
      <c r="D181" s="2186"/>
      <c r="E181" s="2231"/>
      <c r="F181" s="2142"/>
      <c r="G181" s="2231"/>
      <c r="H181" s="2231"/>
      <c r="I181" s="2231"/>
      <c r="J181" s="2231"/>
      <c r="K181" s="2142"/>
      <c r="L181" s="2142"/>
      <c r="M181" s="2231"/>
      <c r="N181" s="2231"/>
      <c r="O181" s="2231"/>
      <c r="P181" s="2231"/>
      <c r="Q181" s="2232"/>
      <c r="R181" s="2461"/>
      <c r="S181" s="2469"/>
      <c r="T181" s="2469"/>
      <c r="U181" s="2461"/>
      <c r="V181" s="2461"/>
      <c r="W181" s="2461"/>
      <c r="X181" s="2461"/>
      <c r="Y181" s="2461"/>
      <c r="Z181" s="2461"/>
      <c r="AA181" s="2461"/>
      <c r="AB181" s="2461"/>
      <c r="AC181" s="2461"/>
      <c r="AD181" s="2461"/>
      <c r="AE181" s="2461"/>
      <c r="AF181" s="2461"/>
      <c r="AG181" s="2461"/>
      <c r="AH181" s="2474"/>
      <c r="AI181" s="2474"/>
      <c r="AJ181" s="2474"/>
      <c r="AK181" s="393"/>
      <c r="AL181" s="393"/>
      <c r="AM181" s="393"/>
      <c r="AN181" s="393"/>
      <c r="AO181" s="393"/>
      <c r="AP181" s="2461"/>
    </row>
    <row r="182" spans="1:42" s="750" customFormat="1" ht="24" customHeight="1" x14ac:dyDescent="0.25">
      <c r="A182" s="393"/>
      <c r="B182" s="2185"/>
      <c r="C182" s="2233"/>
      <c r="D182" s="2233"/>
      <c r="E182" s="2234"/>
      <c r="F182" s="3951"/>
      <c r="G182" s="3952"/>
      <c r="H182" s="3952"/>
      <c r="I182" s="3953"/>
      <c r="J182" s="2235" t="s">
        <v>304</v>
      </c>
      <c r="K182" s="3948"/>
      <c r="L182" s="3949"/>
      <c r="M182" s="3949"/>
      <c r="N182" s="3949"/>
      <c r="O182" s="3950"/>
      <c r="P182" s="2231"/>
      <c r="Q182" s="2232"/>
      <c r="R182" s="2461"/>
      <c r="S182" s="2461"/>
      <c r="T182" s="2461"/>
      <c r="U182" s="2461"/>
      <c r="V182" s="2461"/>
      <c r="W182" s="2461"/>
      <c r="X182" s="2461"/>
      <c r="Y182" s="2461"/>
      <c r="Z182" s="2461"/>
      <c r="AA182" s="2461"/>
      <c r="AB182" s="2461"/>
      <c r="AC182" s="2461"/>
      <c r="AD182" s="2461"/>
      <c r="AE182" s="2461"/>
      <c r="AF182" s="2461"/>
      <c r="AG182" s="2461"/>
      <c r="AH182" s="2474"/>
      <c r="AI182" s="2474"/>
      <c r="AJ182" s="2474"/>
      <c r="AK182" s="393"/>
      <c r="AL182" s="393"/>
      <c r="AM182" s="393"/>
      <c r="AN182" s="393"/>
      <c r="AO182" s="393"/>
      <c r="AP182" s="2461"/>
    </row>
    <row r="183" spans="1:42" s="750" customFormat="1" ht="9.9" hidden="1" customHeight="1" x14ac:dyDescent="0.25">
      <c r="A183" s="393"/>
      <c r="B183" s="2185"/>
      <c r="C183" s="2231"/>
      <c r="D183" s="2186"/>
      <c r="E183" s="2231"/>
      <c r="F183" s="2142"/>
      <c r="G183" s="2231"/>
      <c r="H183" s="2231"/>
      <c r="I183" s="2231"/>
      <c r="J183" s="2231"/>
      <c r="K183" s="2142"/>
      <c r="L183" s="2142"/>
      <c r="M183" s="2231"/>
      <c r="N183" s="2231"/>
      <c r="O183" s="2231"/>
      <c r="P183" s="2231"/>
      <c r="Q183" s="2232"/>
      <c r="R183" s="2461"/>
      <c r="S183" s="2461"/>
      <c r="T183" s="2461"/>
      <c r="U183" s="2461"/>
      <c r="V183" s="2461"/>
      <c r="W183" s="2461"/>
      <c r="X183" s="2461"/>
      <c r="Y183" s="2461"/>
      <c r="Z183" s="2461"/>
      <c r="AA183" s="2461"/>
      <c r="AB183" s="2461"/>
      <c r="AC183" s="2461"/>
      <c r="AD183" s="2461"/>
      <c r="AE183" s="2461"/>
      <c r="AF183" s="2461"/>
      <c r="AG183" s="2461"/>
      <c r="AH183" s="2474"/>
      <c r="AI183" s="2474"/>
      <c r="AJ183" s="2474"/>
      <c r="AK183" s="393"/>
      <c r="AL183" s="393"/>
      <c r="AM183" s="393"/>
      <c r="AN183" s="393"/>
      <c r="AO183" s="393"/>
      <c r="AP183" s="2461"/>
    </row>
    <row r="184" spans="1:42" s="750" customFormat="1" ht="24" hidden="1" customHeight="1" x14ac:dyDescent="0.25">
      <c r="A184" s="393"/>
      <c r="B184" s="2185"/>
      <c r="C184" s="2233"/>
      <c r="D184" s="2233"/>
      <c r="E184" s="2234"/>
      <c r="F184" s="3951"/>
      <c r="G184" s="3952"/>
      <c r="H184" s="3952"/>
      <c r="I184" s="3953"/>
      <c r="J184" s="2235" t="s">
        <v>304</v>
      </c>
      <c r="K184" s="3948"/>
      <c r="L184" s="3949"/>
      <c r="M184" s="3949"/>
      <c r="N184" s="3949"/>
      <c r="O184" s="3950"/>
      <c r="P184" s="2231"/>
      <c r="Q184" s="2232"/>
      <c r="R184" s="2461"/>
      <c r="S184" s="2461"/>
      <c r="T184" s="2461"/>
      <c r="U184" s="2461"/>
      <c r="V184" s="2461"/>
      <c r="W184" s="2461"/>
      <c r="X184" s="2461"/>
      <c r="Y184" s="2461"/>
      <c r="Z184" s="2461"/>
      <c r="AA184" s="2461"/>
      <c r="AB184" s="2461"/>
      <c r="AC184" s="2461"/>
      <c r="AD184" s="2461"/>
      <c r="AE184" s="2461"/>
      <c r="AF184" s="2461"/>
      <c r="AG184" s="2461"/>
      <c r="AH184" s="2474"/>
      <c r="AI184" s="2474"/>
      <c r="AJ184" s="2474"/>
      <c r="AK184" s="393"/>
      <c r="AL184" s="393"/>
      <c r="AM184" s="393"/>
      <c r="AN184" s="393"/>
      <c r="AO184" s="393"/>
      <c r="AP184" s="2461"/>
    </row>
    <row r="185" spans="1:42" s="750" customFormat="1" ht="9.9" hidden="1" customHeight="1" x14ac:dyDescent="0.25">
      <c r="A185" s="393"/>
      <c r="B185" s="2185"/>
      <c r="C185" s="2231"/>
      <c r="D185" s="2186"/>
      <c r="E185" s="2231"/>
      <c r="F185" s="2142"/>
      <c r="G185" s="2231"/>
      <c r="H185" s="2231"/>
      <c r="I185" s="2231"/>
      <c r="J185" s="2231"/>
      <c r="K185" s="2142"/>
      <c r="L185" s="2142"/>
      <c r="M185" s="2231"/>
      <c r="N185" s="2231"/>
      <c r="O185" s="2231"/>
      <c r="P185" s="2231"/>
      <c r="Q185" s="2232"/>
      <c r="R185" s="2461"/>
      <c r="S185" s="2461"/>
      <c r="T185" s="2461"/>
      <c r="U185" s="2461"/>
      <c r="V185" s="2461"/>
      <c r="W185" s="2461"/>
      <c r="X185" s="2461"/>
      <c r="Y185" s="2461"/>
      <c r="Z185" s="2461"/>
      <c r="AA185" s="2461"/>
      <c r="AB185" s="2461"/>
      <c r="AC185" s="2461"/>
      <c r="AD185" s="2461"/>
      <c r="AE185" s="2461"/>
      <c r="AF185" s="2461"/>
      <c r="AG185" s="2461"/>
      <c r="AH185" s="2474"/>
      <c r="AI185" s="2474"/>
      <c r="AJ185" s="2474"/>
      <c r="AK185" s="393"/>
      <c r="AL185" s="393"/>
      <c r="AM185" s="393"/>
      <c r="AN185" s="393"/>
      <c r="AO185" s="393"/>
      <c r="AP185" s="2461"/>
    </row>
    <row r="186" spans="1:42" s="750" customFormat="1" ht="24" hidden="1" customHeight="1" x14ac:dyDescent="0.25">
      <c r="A186" s="393"/>
      <c r="B186" s="2185"/>
      <c r="C186" s="2233"/>
      <c r="D186" s="2233"/>
      <c r="E186" s="2234"/>
      <c r="F186" s="3951"/>
      <c r="G186" s="3952"/>
      <c r="H186" s="3952"/>
      <c r="I186" s="3953"/>
      <c r="J186" s="2235" t="s">
        <v>304</v>
      </c>
      <c r="K186" s="3948"/>
      <c r="L186" s="3949"/>
      <c r="M186" s="3949"/>
      <c r="N186" s="3949"/>
      <c r="O186" s="3950"/>
      <c r="P186" s="2231"/>
      <c r="Q186" s="2232"/>
      <c r="R186" s="2461"/>
      <c r="S186" s="2461"/>
      <c r="T186" s="2461"/>
      <c r="U186" s="2461"/>
      <c r="V186" s="2461"/>
      <c r="W186" s="2461"/>
      <c r="X186" s="2461"/>
      <c r="Y186" s="2461"/>
      <c r="Z186" s="2461"/>
      <c r="AA186" s="2461"/>
      <c r="AB186" s="2461"/>
      <c r="AC186" s="2461"/>
      <c r="AD186" s="2461"/>
      <c r="AE186" s="2461"/>
      <c r="AF186" s="2461"/>
      <c r="AG186" s="2461"/>
      <c r="AH186" s="2474"/>
      <c r="AI186" s="2474"/>
      <c r="AJ186" s="2474"/>
      <c r="AK186" s="393"/>
      <c r="AL186" s="393"/>
      <c r="AM186" s="393"/>
      <c r="AN186" s="393"/>
      <c r="AO186" s="393"/>
      <c r="AP186" s="2461"/>
    </row>
    <row r="187" spans="1:42" s="750" customFormat="1" ht="9.9" hidden="1" customHeight="1" x14ac:dyDescent="0.25">
      <c r="A187" s="393"/>
      <c r="B187" s="2185"/>
      <c r="C187" s="2231"/>
      <c r="D187" s="2186"/>
      <c r="E187" s="2231"/>
      <c r="F187" s="2142"/>
      <c r="G187" s="2231"/>
      <c r="H187" s="2231"/>
      <c r="I187" s="2231"/>
      <c r="J187" s="2231"/>
      <c r="K187" s="2142"/>
      <c r="L187" s="2142"/>
      <c r="M187" s="2231"/>
      <c r="N187" s="2231"/>
      <c r="O187" s="2231"/>
      <c r="P187" s="2231"/>
      <c r="Q187" s="2232"/>
      <c r="R187" s="2461"/>
      <c r="S187" s="2461"/>
      <c r="T187" s="2461"/>
      <c r="U187" s="2461"/>
      <c r="V187" s="2461"/>
      <c r="W187" s="2461"/>
      <c r="X187" s="2461"/>
      <c r="Y187" s="2461"/>
      <c r="Z187" s="2461"/>
      <c r="AA187" s="2461"/>
      <c r="AB187" s="2461"/>
      <c r="AC187" s="2461"/>
      <c r="AD187" s="2461"/>
      <c r="AE187" s="2461"/>
      <c r="AF187" s="2461"/>
      <c r="AG187" s="2461"/>
      <c r="AH187" s="2474"/>
      <c r="AI187" s="2474"/>
      <c r="AJ187" s="2474"/>
      <c r="AK187" s="393"/>
      <c r="AL187" s="393"/>
      <c r="AM187" s="393"/>
      <c r="AN187" s="393"/>
      <c r="AO187" s="393"/>
      <c r="AP187" s="2461"/>
    </row>
    <row r="188" spans="1:42" s="750" customFormat="1" ht="24" hidden="1" customHeight="1" x14ac:dyDescent="0.25">
      <c r="A188" s="393"/>
      <c r="B188" s="2185"/>
      <c r="C188" s="2233"/>
      <c r="D188" s="2233"/>
      <c r="E188" s="2234"/>
      <c r="F188" s="3951"/>
      <c r="G188" s="3952"/>
      <c r="H188" s="3952"/>
      <c r="I188" s="3953"/>
      <c r="J188" s="2235" t="s">
        <v>304</v>
      </c>
      <c r="K188" s="3948"/>
      <c r="L188" s="3949"/>
      <c r="M188" s="3949"/>
      <c r="N188" s="3949"/>
      <c r="O188" s="3950"/>
      <c r="P188" s="2231"/>
      <c r="Q188" s="2232"/>
      <c r="R188" s="2461"/>
      <c r="S188" s="2461"/>
      <c r="T188" s="2461"/>
      <c r="U188" s="2461"/>
      <c r="V188" s="2461"/>
      <c r="W188" s="2461"/>
      <c r="X188" s="2461"/>
      <c r="Y188" s="2461"/>
      <c r="Z188" s="2461"/>
      <c r="AA188" s="2461"/>
      <c r="AB188" s="2461"/>
      <c r="AC188" s="2461"/>
      <c r="AD188" s="2461"/>
      <c r="AE188" s="2461"/>
      <c r="AF188" s="2461"/>
      <c r="AG188" s="2461"/>
      <c r="AH188" s="2474"/>
      <c r="AI188" s="2474"/>
      <c r="AJ188" s="2474"/>
      <c r="AK188" s="393"/>
      <c r="AL188" s="393"/>
      <c r="AM188" s="393"/>
      <c r="AN188" s="393"/>
      <c r="AO188" s="393"/>
      <c r="AP188" s="2461"/>
    </row>
    <row r="189" spans="1:42" s="750" customFormat="1" ht="9.9" customHeight="1" x14ac:dyDescent="0.25">
      <c r="A189" s="393"/>
      <c r="B189" s="2185"/>
      <c r="C189" s="2231"/>
      <c r="D189" s="2186"/>
      <c r="E189" s="2231"/>
      <c r="F189" s="2142"/>
      <c r="G189" s="2231"/>
      <c r="H189" s="2231"/>
      <c r="I189" s="2231"/>
      <c r="J189" s="2231"/>
      <c r="K189" s="2142"/>
      <c r="L189" s="2142"/>
      <c r="M189" s="2231"/>
      <c r="N189" s="2231"/>
      <c r="O189" s="2231"/>
      <c r="P189" s="2231"/>
      <c r="Q189" s="2232"/>
      <c r="R189" s="2461"/>
      <c r="S189" s="2461"/>
      <c r="T189" s="2461"/>
      <c r="U189" s="2461"/>
      <c r="V189" s="2461"/>
      <c r="W189" s="2461"/>
      <c r="X189" s="2461"/>
      <c r="Y189" s="2461"/>
      <c r="Z189" s="2461"/>
      <c r="AA189" s="2461"/>
      <c r="AB189" s="2461"/>
      <c r="AC189" s="2461"/>
      <c r="AD189" s="2461"/>
      <c r="AE189" s="2461"/>
      <c r="AF189" s="2461"/>
      <c r="AG189" s="2461"/>
      <c r="AH189" s="2474"/>
      <c r="AI189" s="2474"/>
      <c r="AJ189" s="2474"/>
      <c r="AK189" s="393"/>
      <c r="AL189" s="393"/>
      <c r="AM189" s="393"/>
      <c r="AN189" s="393"/>
      <c r="AO189" s="393"/>
      <c r="AP189" s="2461"/>
    </row>
    <row r="190" spans="1:42" s="18" customFormat="1" ht="12" customHeight="1" x14ac:dyDescent="0.25">
      <c r="A190" s="393"/>
      <c r="B190" s="2185"/>
      <c r="C190" s="2231"/>
      <c r="D190" s="2186"/>
      <c r="E190" s="2218"/>
      <c r="F190" s="3939"/>
      <c r="G190" s="3940"/>
      <c r="H190" s="3940"/>
      <c r="I190" s="3940"/>
      <c r="J190" s="3940"/>
      <c r="K190" s="3940"/>
      <c r="L190" s="3940"/>
      <c r="M190" s="3940"/>
      <c r="N190" s="3940"/>
      <c r="O190" s="3941"/>
      <c r="P190" s="2231"/>
      <c r="Q190" s="2232"/>
      <c r="R190" s="2461"/>
      <c r="S190" s="2461"/>
      <c r="T190" s="2461"/>
      <c r="U190" s="2461"/>
      <c r="V190" s="2461"/>
      <c r="W190" s="2461"/>
      <c r="X190" s="2461"/>
      <c r="Y190" s="2461"/>
      <c r="Z190" s="2461"/>
      <c r="AA190" s="2461"/>
      <c r="AB190" s="2461"/>
      <c r="AC190" s="2461"/>
      <c r="AD190" s="2461"/>
      <c r="AE190" s="2461"/>
      <c r="AF190" s="2461"/>
      <c r="AG190" s="2461"/>
      <c r="AH190" s="2474"/>
      <c r="AI190" s="2474"/>
      <c r="AJ190" s="2474"/>
      <c r="AK190" s="393"/>
      <c r="AL190" s="393"/>
      <c r="AM190" s="393"/>
      <c r="AN190" s="393"/>
      <c r="AO190" s="393"/>
      <c r="AP190" s="2461"/>
    </row>
    <row r="191" spans="1:42" ht="12" customHeight="1" x14ac:dyDescent="0.25">
      <c r="A191" s="393"/>
      <c r="B191" s="2185"/>
      <c r="C191" s="2186"/>
      <c r="D191" s="2193"/>
      <c r="E191" s="32" t="s">
        <v>0</v>
      </c>
      <c r="F191" s="3942"/>
      <c r="G191" s="3943"/>
      <c r="H191" s="3943"/>
      <c r="I191" s="3943"/>
      <c r="J191" s="3943"/>
      <c r="K191" s="3943"/>
      <c r="L191" s="3943"/>
      <c r="M191" s="3943"/>
      <c r="N191" s="3943"/>
      <c r="O191" s="3944"/>
      <c r="P191" s="2186"/>
      <c r="Q191" s="2187"/>
      <c r="R191" s="393"/>
      <c r="S191" s="393"/>
      <c r="T191" s="393"/>
      <c r="U191" s="393"/>
      <c r="V191" s="393"/>
      <c r="W191" s="393"/>
      <c r="X191" s="393"/>
      <c r="Y191" s="393"/>
      <c r="Z191" s="393"/>
      <c r="AA191" s="393"/>
      <c r="AB191" s="393"/>
      <c r="AC191" s="393"/>
      <c r="AD191" s="393"/>
      <c r="AE191" s="393"/>
      <c r="AF191" s="393"/>
      <c r="AG191" s="393"/>
      <c r="AH191" s="393"/>
      <c r="AI191" s="393"/>
      <c r="AJ191" s="393"/>
      <c r="AK191" s="393"/>
      <c r="AL191" s="393"/>
      <c r="AM191" s="393"/>
      <c r="AN191" s="393"/>
      <c r="AO191" s="393"/>
      <c r="AP191" s="393"/>
    </row>
    <row r="192" spans="1:42" ht="12" customHeight="1" x14ac:dyDescent="0.25">
      <c r="A192" s="393"/>
      <c r="B192" s="2185"/>
      <c r="C192" s="2186"/>
      <c r="D192" s="2193"/>
      <c r="E192" s="2193"/>
      <c r="F192" s="3945"/>
      <c r="G192" s="3946"/>
      <c r="H192" s="3946"/>
      <c r="I192" s="3946"/>
      <c r="J192" s="3946"/>
      <c r="K192" s="3946"/>
      <c r="L192" s="3946"/>
      <c r="M192" s="3946"/>
      <c r="N192" s="3946"/>
      <c r="O192" s="3947"/>
      <c r="P192" s="2186"/>
      <c r="Q192" s="2187"/>
      <c r="R192" s="393"/>
      <c r="S192" s="393"/>
      <c r="T192" s="393"/>
      <c r="U192" s="393"/>
      <c r="V192" s="393"/>
      <c r="W192" s="393"/>
      <c r="X192" s="393"/>
      <c r="Y192" s="393"/>
      <c r="Z192" s="393"/>
      <c r="AA192" s="393"/>
      <c r="AB192" s="393"/>
      <c r="AC192" s="393"/>
      <c r="AD192" s="393"/>
      <c r="AE192" s="393"/>
      <c r="AF192" s="393"/>
      <c r="AG192" s="393"/>
      <c r="AH192" s="393"/>
      <c r="AI192" s="393"/>
      <c r="AJ192" s="393"/>
      <c r="AK192" s="393"/>
      <c r="AL192" s="393"/>
      <c r="AM192" s="393"/>
      <c r="AN192" s="393"/>
      <c r="AO192" s="393"/>
      <c r="AP192" s="393"/>
    </row>
    <row r="193" spans="1:42" ht="13.5" customHeight="1" x14ac:dyDescent="0.25">
      <c r="A193" s="393"/>
      <c r="B193" s="2185"/>
      <c r="C193" s="2186"/>
      <c r="D193" s="2186"/>
      <c r="E193" s="2186"/>
      <c r="F193" s="2186"/>
      <c r="G193" s="2186"/>
      <c r="H193" s="2186"/>
      <c r="I193" s="2186"/>
      <c r="J193" s="2186"/>
      <c r="K193" s="2186"/>
      <c r="L193" s="2186"/>
      <c r="M193" s="2186"/>
      <c r="N193" s="2186"/>
      <c r="O193" s="2186"/>
      <c r="P193" s="2186"/>
      <c r="Q193" s="2187"/>
      <c r="R193" s="393"/>
      <c r="S193" s="393"/>
      <c r="T193" s="393"/>
      <c r="U193" s="393"/>
      <c r="V193" s="393"/>
      <c r="W193" s="393"/>
      <c r="X193" s="393"/>
      <c r="Y193" s="393"/>
      <c r="Z193" s="393"/>
      <c r="AA193" s="393"/>
      <c r="AB193" s="393"/>
      <c r="AC193" s="393"/>
      <c r="AD193" s="393"/>
      <c r="AE193" s="393"/>
      <c r="AF193" s="393"/>
      <c r="AG193" s="393"/>
      <c r="AH193" s="393"/>
      <c r="AI193" s="393"/>
      <c r="AJ193" s="393"/>
      <c r="AK193" s="393"/>
      <c r="AL193" s="393"/>
      <c r="AM193" s="393"/>
      <c r="AN193" s="393"/>
      <c r="AO193" s="393"/>
      <c r="AP193" s="393"/>
    </row>
    <row r="194" spans="1:42" ht="14.4" thickBot="1" x14ac:dyDescent="0.3">
      <c r="A194" s="393"/>
      <c r="B194" s="2236"/>
      <c r="C194" s="2237"/>
      <c r="D194" s="2237"/>
      <c r="E194" s="2237"/>
      <c r="F194" s="3284" t="s">
        <v>4244</v>
      </c>
      <c r="G194" s="2237"/>
      <c r="H194" s="2237"/>
      <c r="I194" s="2237"/>
      <c r="J194" s="2237"/>
      <c r="K194" s="2237"/>
      <c r="L194" s="2237"/>
      <c r="M194" s="2237"/>
      <c r="N194" s="2237"/>
      <c r="O194" s="2237"/>
      <c r="P194" s="2237"/>
      <c r="Q194" s="2238"/>
      <c r="R194" s="393"/>
      <c r="S194" s="393"/>
      <c r="T194" s="393"/>
      <c r="U194" s="393"/>
      <c r="V194" s="393"/>
      <c r="W194" s="393"/>
      <c r="X194" s="393"/>
      <c r="Y194" s="393"/>
      <c r="Z194" s="393"/>
      <c r="AA194" s="393"/>
      <c r="AB194" s="393"/>
      <c r="AC194" s="393"/>
      <c r="AD194" s="393"/>
      <c r="AE194" s="393"/>
      <c r="AF194" s="393"/>
      <c r="AG194" s="393"/>
      <c r="AH194" s="393"/>
      <c r="AI194" s="393"/>
      <c r="AJ194" s="393"/>
      <c r="AK194" s="393"/>
      <c r="AL194" s="393"/>
      <c r="AM194" s="393"/>
      <c r="AN194" s="393"/>
      <c r="AO194" s="393"/>
      <c r="AP194" s="393"/>
    </row>
    <row r="195" spans="1:42" s="272" customFormat="1" ht="14.4" thickTop="1" x14ac:dyDescent="0.25">
      <c r="A195" s="393"/>
      <c r="B195" s="393"/>
      <c r="C195" s="393"/>
      <c r="D195" s="393"/>
      <c r="E195" s="393"/>
      <c r="F195" s="393"/>
      <c r="G195" s="393"/>
      <c r="H195" s="393"/>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c r="AJ195" s="393"/>
      <c r="AK195" s="393"/>
      <c r="AL195" s="393"/>
      <c r="AM195" s="393"/>
      <c r="AN195" s="393"/>
      <c r="AO195" s="393"/>
      <c r="AP195" s="393"/>
    </row>
    <row r="196" spans="1:42" x14ac:dyDescent="0.25">
      <c r="A196" s="393"/>
      <c r="B196" s="393"/>
      <c r="C196" s="393"/>
      <c r="D196" s="393"/>
      <c r="E196" s="393"/>
      <c r="F196" s="393"/>
      <c r="G196" s="393"/>
      <c r="H196" s="393"/>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c r="AJ196" s="393"/>
      <c r="AK196" s="393"/>
      <c r="AL196" s="393"/>
      <c r="AM196" s="393"/>
      <c r="AN196" s="393"/>
      <c r="AO196" s="393"/>
      <c r="AP196" s="393"/>
    </row>
    <row r="197" spans="1:42" x14ac:dyDescent="0.25">
      <c r="A197" s="393"/>
      <c r="B197" s="393"/>
      <c r="C197" s="393"/>
      <c r="D197" s="393"/>
      <c r="E197" s="393"/>
      <c r="F197" s="393"/>
      <c r="G197" s="393"/>
      <c r="H197" s="393"/>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c r="AJ197" s="393"/>
      <c r="AK197" s="393"/>
      <c r="AL197" s="393"/>
      <c r="AM197" s="393"/>
      <c r="AN197" s="393"/>
      <c r="AO197" s="393"/>
      <c r="AP197" s="393"/>
    </row>
    <row r="198" spans="1:42" x14ac:dyDescent="0.25">
      <c r="A198" s="393"/>
      <c r="B198" s="393"/>
      <c r="C198" s="393"/>
      <c r="D198" s="393"/>
      <c r="E198" s="393"/>
      <c r="F198" s="393"/>
      <c r="G198" s="393"/>
      <c r="H198" s="393"/>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c r="AJ198" s="393"/>
      <c r="AK198" s="393"/>
      <c r="AL198" s="393"/>
      <c r="AM198" s="393"/>
      <c r="AN198" s="393"/>
      <c r="AO198" s="393"/>
      <c r="AP198" s="393"/>
    </row>
    <row r="199" spans="1:42" x14ac:dyDescent="0.25">
      <c r="A199" s="393"/>
      <c r="B199" s="393"/>
      <c r="C199" s="393"/>
      <c r="D199" s="393"/>
      <c r="E199" s="393"/>
      <c r="F199" s="393"/>
      <c r="G199" s="393"/>
      <c r="H199" s="393"/>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c r="AJ199" s="393"/>
      <c r="AK199" s="393"/>
      <c r="AL199" s="393"/>
      <c r="AM199" s="393"/>
      <c r="AN199" s="393"/>
      <c r="AO199" s="393"/>
      <c r="AP199" s="393"/>
    </row>
    <row r="200" spans="1:42" x14ac:dyDescent="0.25">
      <c r="A200" s="393"/>
      <c r="B200" s="393"/>
      <c r="C200" s="393"/>
      <c r="D200" s="393"/>
      <c r="E200" s="393"/>
      <c r="F200" s="393"/>
      <c r="G200" s="393"/>
      <c r="H200" s="393"/>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c r="AJ200" s="393"/>
      <c r="AK200" s="393"/>
      <c r="AL200" s="393"/>
      <c r="AM200" s="393"/>
      <c r="AN200" s="393"/>
      <c r="AO200" s="393"/>
      <c r="AP200" s="393"/>
    </row>
    <row r="201" spans="1:42" x14ac:dyDescent="0.25">
      <c r="A201" s="393"/>
      <c r="B201" s="393"/>
      <c r="C201" s="393"/>
      <c r="D201" s="393"/>
      <c r="E201" s="393"/>
      <c r="F201" s="393"/>
      <c r="G201" s="393"/>
      <c r="H201" s="393"/>
      <c r="I201" s="393"/>
      <c r="J201" s="393"/>
      <c r="K201" s="393"/>
      <c r="L201" s="393"/>
      <c r="M201" s="393"/>
      <c r="N201" s="393"/>
      <c r="O201" s="393"/>
      <c r="P201" s="393"/>
      <c r="Q201" s="393"/>
      <c r="R201" s="393"/>
      <c r="S201" s="393"/>
      <c r="T201" s="393"/>
      <c r="U201" s="393"/>
      <c r="V201" s="393"/>
      <c r="W201" s="393"/>
      <c r="X201" s="393"/>
      <c r="Y201" s="393"/>
      <c r="Z201" s="393"/>
      <c r="AA201" s="393"/>
      <c r="AB201" s="393"/>
      <c r="AC201" s="393"/>
      <c r="AD201" s="393"/>
      <c r="AE201" s="393"/>
      <c r="AF201" s="393"/>
      <c r="AG201" s="393"/>
      <c r="AH201" s="393"/>
      <c r="AI201" s="393"/>
      <c r="AJ201" s="393"/>
      <c r="AK201" s="393"/>
      <c r="AL201" s="393"/>
      <c r="AM201" s="393"/>
      <c r="AN201" s="393"/>
      <c r="AO201" s="393"/>
      <c r="AP201" s="393"/>
    </row>
    <row r="202" spans="1:42" x14ac:dyDescent="0.25">
      <c r="A202" s="393"/>
      <c r="B202" s="393"/>
      <c r="C202" s="393"/>
      <c r="D202" s="393"/>
      <c r="E202" s="393"/>
      <c r="F202" s="393"/>
      <c r="G202" s="393"/>
      <c r="H202" s="393"/>
      <c r="I202" s="393"/>
      <c r="J202" s="393"/>
      <c r="K202" s="393"/>
      <c r="L202" s="393"/>
      <c r="M202" s="393"/>
      <c r="N202" s="393"/>
      <c r="O202" s="393"/>
      <c r="P202" s="393"/>
      <c r="Q202" s="393"/>
      <c r="R202" s="393"/>
      <c r="S202" s="393"/>
      <c r="T202" s="393"/>
      <c r="U202" s="393"/>
      <c r="V202" s="393"/>
      <c r="W202" s="393"/>
      <c r="X202" s="393"/>
      <c r="Y202" s="393"/>
      <c r="Z202" s="393"/>
      <c r="AA202" s="393"/>
      <c r="AB202" s="393"/>
      <c r="AC202" s="393"/>
      <c r="AD202" s="393"/>
      <c r="AE202" s="393"/>
      <c r="AF202" s="393"/>
      <c r="AG202" s="393"/>
      <c r="AH202" s="393"/>
      <c r="AI202" s="393"/>
      <c r="AJ202" s="393"/>
      <c r="AK202" s="393"/>
      <c r="AL202" s="393"/>
      <c r="AM202" s="393"/>
      <c r="AN202" s="393"/>
      <c r="AO202" s="393"/>
      <c r="AP202" s="393"/>
    </row>
    <row r="203" spans="1:42" x14ac:dyDescent="0.25">
      <c r="A203" s="393"/>
      <c r="B203" s="393"/>
      <c r="C203" s="393"/>
      <c r="D203" s="393"/>
      <c r="E203" s="393"/>
      <c r="F203" s="393"/>
      <c r="G203" s="393"/>
      <c r="H203" s="393"/>
      <c r="I203" s="393"/>
      <c r="J203" s="393"/>
      <c r="K203" s="393"/>
      <c r="L203" s="393"/>
      <c r="M203" s="393"/>
      <c r="N203" s="393"/>
      <c r="O203" s="393"/>
      <c r="P203" s="393"/>
      <c r="Q203" s="393"/>
      <c r="R203" s="393"/>
      <c r="S203" s="393"/>
      <c r="T203" s="393"/>
      <c r="U203" s="393"/>
      <c r="V203" s="393"/>
      <c r="W203" s="393"/>
      <c r="X203" s="393"/>
      <c r="Y203" s="393"/>
      <c r="Z203" s="393"/>
      <c r="AA203" s="393"/>
      <c r="AB203" s="393"/>
      <c r="AC203" s="393"/>
      <c r="AD203" s="393"/>
      <c r="AE203" s="393"/>
      <c r="AF203" s="393"/>
      <c r="AG203" s="393"/>
      <c r="AH203" s="393"/>
      <c r="AI203" s="393"/>
      <c r="AJ203" s="393"/>
      <c r="AK203" s="393"/>
      <c r="AL203" s="393"/>
      <c r="AM203" s="393"/>
      <c r="AN203" s="393"/>
      <c r="AO203" s="393"/>
      <c r="AP203" s="393"/>
    </row>
    <row r="204" spans="1:42" x14ac:dyDescent="0.25">
      <c r="A204" s="393"/>
      <c r="B204" s="393"/>
      <c r="C204" s="393"/>
      <c r="D204" s="393"/>
      <c r="E204" s="393"/>
      <c r="F204" s="393"/>
      <c r="G204" s="393"/>
      <c r="H204" s="393"/>
      <c r="I204" s="393"/>
      <c r="J204" s="393"/>
      <c r="K204" s="393"/>
      <c r="L204" s="393"/>
      <c r="M204" s="393"/>
      <c r="N204" s="393"/>
      <c r="O204" s="393"/>
      <c r="P204" s="393"/>
      <c r="Q204" s="393"/>
      <c r="R204" s="393"/>
      <c r="S204" s="393"/>
      <c r="T204" s="393"/>
      <c r="U204" s="393"/>
      <c r="V204" s="393"/>
      <c r="W204" s="393"/>
      <c r="X204" s="393"/>
      <c r="Y204" s="393"/>
      <c r="Z204" s="393"/>
      <c r="AA204" s="393"/>
      <c r="AB204" s="393"/>
      <c r="AC204" s="393"/>
      <c r="AD204" s="393"/>
      <c r="AE204" s="393"/>
      <c r="AF204" s="393"/>
      <c r="AG204" s="393"/>
      <c r="AH204" s="393"/>
      <c r="AI204" s="393"/>
      <c r="AJ204" s="393"/>
      <c r="AK204" s="393"/>
      <c r="AL204" s="393"/>
      <c r="AM204" s="393"/>
      <c r="AN204" s="393"/>
      <c r="AO204" s="393"/>
      <c r="AP204" s="393"/>
    </row>
    <row r="205" spans="1:42" x14ac:dyDescent="0.25">
      <c r="A205" s="393"/>
      <c r="B205" s="393"/>
      <c r="C205" s="393"/>
      <c r="D205" s="393"/>
      <c r="E205" s="393"/>
      <c r="F205" s="393"/>
      <c r="G205" s="393"/>
      <c r="H205" s="393"/>
      <c r="I205" s="393"/>
      <c r="J205" s="393"/>
      <c r="K205" s="393"/>
      <c r="L205" s="393"/>
      <c r="M205" s="393"/>
      <c r="N205" s="393"/>
      <c r="O205" s="393"/>
      <c r="P205" s="393"/>
      <c r="Q205" s="393"/>
      <c r="R205" s="393"/>
      <c r="S205" s="393"/>
      <c r="T205" s="393"/>
      <c r="U205" s="393"/>
      <c r="V205" s="393"/>
      <c r="W205" s="393"/>
      <c r="X205" s="393"/>
      <c r="Y205" s="393"/>
      <c r="Z205" s="393"/>
      <c r="AA205" s="393"/>
      <c r="AB205" s="393"/>
      <c r="AC205" s="393"/>
      <c r="AD205" s="393"/>
      <c r="AE205" s="393"/>
      <c r="AF205" s="393"/>
      <c r="AG205" s="393"/>
      <c r="AH205" s="393"/>
      <c r="AI205" s="393"/>
      <c r="AJ205" s="393"/>
      <c r="AK205" s="393"/>
      <c r="AL205" s="393"/>
      <c r="AM205" s="393"/>
      <c r="AN205" s="393"/>
      <c r="AO205" s="393"/>
      <c r="AP205" s="393"/>
    </row>
    <row r="206" spans="1:42" x14ac:dyDescent="0.25">
      <c r="A206" s="393"/>
      <c r="B206" s="393"/>
      <c r="C206" s="393"/>
      <c r="D206" s="393"/>
      <c r="E206" s="393"/>
      <c r="F206" s="393"/>
      <c r="G206" s="393"/>
      <c r="H206" s="393"/>
      <c r="I206" s="393"/>
      <c r="J206" s="393"/>
      <c r="K206" s="393"/>
      <c r="L206" s="393"/>
      <c r="M206" s="393"/>
      <c r="N206" s="393"/>
      <c r="O206" s="393"/>
      <c r="P206" s="393"/>
      <c r="Q206" s="393"/>
      <c r="R206" s="393"/>
      <c r="S206" s="393"/>
      <c r="T206" s="393"/>
      <c r="U206" s="393"/>
      <c r="V206" s="393"/>
      <c r="W206" s="393"/>
      <c r="X206" s="393"/>
      <c r="Y206" s="393"/>
      <c r="Z206" s="393"/>
      <c r="AA206" s="393"/>
      <c r="AB206" s="393"/>
      <c r="AC206" s="393"/>
      <c r="AD206" s="393"/>
      <c r="AE206" s="393"/>
      <c r="AF206" s="393"/>
      <c r="AG206" s="393"/>
      <c r="AH206" s="393"/>
      <c r="AI206" s="393"/>
      <c r="AJ206" s="393"/>
      <c r="AK206" s="393"/>
      <c r="AL206" s="393"/>
      <c r="AM206" s="393"/>
      <c r="AN206" s="393"/>
      <c r="AO206" s="393"/>
      <c r="AP206" s="393"/>
    </row>
    <row r="207" spans="1:42" x14ac:dyDescent="0.25">
      <c r="A207" s="393"/>
      <c r="B207" s="393"/>
      <c r="C207" s="393"/>
      <c r="D207" s="393"/>
      <c r="E207" s="393"/>
      <c r="F207" s="393"/>
      <c r="G207" s="393"/>
      <c r="H207" s="393"/>
      <c r="I207" s="393"/>
      <c r="J207" s="393"/>
      <c r="K207" s="393"/>
      <c r="L207" s="393"/>
      <c r="M207" s="393"/>
      <c r="N207" s="393"/>
      <c r="O207" s="393"/>
      <c r="P207" s="393"/>
      <c r="Q207" s="393"/>
      <c r="R207" s="393"/>
      <c r="S207" s="393"/>
      <c r="T207" s="393"/>
      <c r="U207" s="393"/>
      <c r="V207" s="393"/>
      <c r="W207" s="393"/>
      <c r="X207" s="393"/>
      <c r="Y207" s="393"/>
      <c r="Z207" s="393"/>
      <c r="AA207" s="393"/>
      <c r="AB207" s="393"/>
      <c r="AC207" s="393"/>
      <c r="AD207" s="393"/>
      <c r="AE207" s="393"/>
      <c r="AF207" s="393"/>
      <c r="AG207" s="393"/>
      <c r="AH207" s="393"/>
      <c r="AI207" s="393"/>
      <c r="AJ207" s="393"/>
      <c r="AK207" s="393"/>
      <c r="AL207" s="393"/>
      <c r="AM207" s="393"/>
      <c r="AN207" s="393"/>
      <c r="AO207" s="393"/>
      <c r="AP207" s="393"/>
    </row>
    <row r="208" spans="1:42" x14ac:dyDescent="0.25">
      <c r="A208" s="393"/>
      <c r="B208" s="393"/>
      <c r="C208" s="393"/>
      <c r="D208" s="393"/>
      <c r="E208" s="393"/>
      <c r="F208" s="393"/>
      <c r="G208" s="393"/>
      <c r="H208" s="393"/>
      <c r="I208" s="393"/>
      <c r="J208" s="393"/>
      <c r="K208" s="393"/>
      <c r="L208" s="393"/>
      <c r="M208" s="393"/>
      <c r="N208" s="393"/>
      <c r="O208" s="393"/>
      <c r="P208" s="393"/>
      <c r="Q208" s="393"/>
      <c r="R208" s="393"/>
      <c r="S208" s="393"/>
      <c r="T208" s="393"/>
      <c r="U208" s="393"/>
      <c r="V208" s="393"/>
      <c r="W208" s="393"/>
      <c r="X208" s="393"/>
      <c r="Y208" s="393"/>
      <c r="Z208" s="393"/>
      <c r="AA208" s="393"/>
      <c r="AB208" s="393"/>
      <c r="AC208" s="393"/>
      <c r="AD208" s="393"/>
      <c r="AE208" s="393"/>
      <c r="AF208" s="393"/>
      <c r="AG208" s="393"/>
      <c r="AH208" s="393"/>
      <c r="AI208" s="393"/>
      <c r="AJ208" s="393"/>
      <c r="AK208" s="393"/>
      <c r="AL208" s="393"/>
      <c r="AM208" s="393"/>
      <c r="AN208" s="393"/>
      <c r="AO208" s="393"/>
      <c r="AP208" s="393"/>
    </row>
    <row r="209" spans="1:42" x14ac:dyDescent="0.25">
      <c r="A209" s="393"/>
      <c r="B209" s="393"/>
      <c r="C209" s="393"/>
      <c r="D209" s="393"/>
      <c r="E209" s="393"/>
      <c r="F209" s="393"/>
      <c r="G209" s="393"/>
      <c r="H209" s="393"/>
      <c r="I209" s="393"/>
      <c r="J209" s="393"/>
      <c r="K209" s="393"/>
      <c r="L209" s="393"/>
      <c r="M209" s="393"/>
      <c r="N209" s="393"/>
      <c r="O209" s="393"/>
      <c r="P209" s="393"/>
      <c r="Q209" s="393"/>
      <c r="R209" s="393"/>
      <c r="S209" s="393"/>
      <c r="T209" s="393"/>
      <c r="U209" s="393"/>
      <c r="V209" s="393"/>
      <c r="W209" s="393"/>
      <c r="X209" s="393"/>
      <c r="Y209" s="393"/>
      <c r="Z209" s="393"/>
      <c r="AA209" s="393"/>
      <c r="AB209" s="393"/>
      <c r="AC209" s="393"/>
      <c r="AD209" s="393"/>
      <c r="AE209" s="393"/>
      <c r="AF209" s="393"/>
      <c r="AG209" s="393"/>
      <c r="AH209" s="393"/>
      <c r="AI209" s="393"/>
      <c r="AJ209" s="393"/>
      <c r="AK209" s="393"/>
      <c r="AL209" s="393"/>
      <c r="AM209" s="393"/>
      <c r="AN209" s="393"/>
      <c r="AO209" s="393"/>
      <c r="AP209" s="393"/>
    </row>
    <row r="210" spans="1:42" x14ac:dyDescent="0.25">
      <c r="A210" s="393"/>
      <c r="B210" s="393"/>
      <c r="C210" s="393"/>
      <c r="D210" s="393"/>
      <c r="E210" s="393"/>
      <c r="F210" s="393"/>
      <c r="G210" s="393"/>
      <c r="H210" s="393"/>
      <c r="I210" s="393"/>
      <c r="J210" s="393"/>
      <c r="K210" s="393"/>
      <c r="L210" s="393"/>
      <c r="M210" s="393"/>
      <c r="N210" s="393"/>
      <c r="O210" s="393"/>
      <c r="P210" s="393"/>
      <c r="Q210" s="393"/>
      <c r="R210" s="393"/>
      <c r="S210" s="393"/>
      <c r="T210" s="393"/>
      <c r="U210" s="393"/>
      <c r="V210" s="393"/>
      <c r="W210" s="393"/>
      <c r="X210" s="393"/>
      <c r="Y210" s="393"/>
      <c r="Z210" s="393"/>
      <c r="AA210" s="393"/>
      <c r="AB210" s="393"/>
      <c r="AC210" s="393"/>
      <c r="AD210" s="393"/>
      <c r="AE210" s="393"/>
      <c r="AF210" s="393"/>
      <c r="AG210" s="393"/>
      <c r="AH210" s="393"/>
      <c r="AI210" s="393"/>
      <c r="AJ210" s="393"/>
      <c r="AK210" s="393"/>
      <c r="AL210" s="393"/>
      <c r="AM210" s="393"/>
      <c r="AN210" s="393"/>
      <c r="AO210" s="393"/>
      <c r="AP210" s="393"/>
    </row>
    <row r="211" spans="1:42" x14ac:dyDescent="0.25">
      <c r="A211" s="393"/>
      <c r="B211" s="393"/>
      <c r="C211" s="393"/>
      <c r="D211" s="393"/>
      <c r="E211" s="393"/>
      <c r="F211" s="393"/>
      <c r="G211" s="393"/>
      <c r="H211" s="393"/>
      <c r="I211" s="393"/>
      <c r="J211" s="393"/>
      <c r="K211" s="393"/>
      <c r="L211" s="393"/>
      <c r="M211" s="393"/>
      <c r="N211" s="393"/>
      <c r="O211" s="393"/>
      <c r="P211" s="393"/>
      <c r="Q211" s="393"/>
      <c r="R211" s="393"/>
      <c r="S211" s="393"/>
      <c r="T211" s="393"/>
      <c r="U211" s="393"/>
      <c r="V211" s="393"/>
      <c r="W211" s="393"/>
      <c r="X211" s="393"/>
      <c r="Y211" s="393"/>
      <c r="Z211" s="393"/>
      <c r="AA211" s="393"/>
      <c r="AB211" s="393"/>
      <c r="AC211" s="393"/>
      <c r="AD211" s="393"/>
      <c r="AE211" s="393"/>
      <c r="AF211" s="393"/>
      <c r="AG211" s="393"/>
      <c r="AH211" s="393"/>
      <c r="AI211" s="393"/>
      <c r="AJ211" s="393"/>
      <c r="AK211" s="393"/>
      <c r="AL211" s="393"/>
      <c r="AM211" s="393"/>
      <c r="AN211" s="393"/>
      <c r="AO211" s="393"/>
      <c r="AP211" s="393"/>
    </row>
    <row r="212" spans="1:42" x14ac:dyDescent="0.25">
      <c r="A212" s="2458"/>
    </row>
  </sheetData>
  <mergeCells count="66">
    <mergeCell ref="M116:M117"/>
    <mergeCell ref="S116:S117"/>
    <mergeCell ref="S175:AE177"/>
    <mergeCell ref="S110:U110"/>
    <mergeCell ref="K180:O180"/>
    <mergeCell ref="D172:O173"/>
    <mergeCell ref="G114:H114"/>
    <mergeCell ref="G123:H123"/>
    <mergeCell ref="K114:O114"/>
    <mergeCell ref="F180:I180"/>
    <mergeCell ref="O132:P133"/>
    <mergeCell ref="K122:M122"/>
    <mergeCell ref="V110:AB110"/>
    <mergeCell ref="S154:AA156"/>
    <mergeCell ref="D116:D117"/>
    <mergeCell ref="E116:F117"/>
    <mergeCell ref="F190:O192"/>
    <mergeCell ref="K184:O184"/>
    <mergeCell ref="K186:O186"/>
    <mergeCell ref="F182:I182"/>
    <mergeCell ref="F184:I184"/>
    <mergeCell ref="K182:O182"/>
    <mergeCell ref="K188:O188"/>
    <mergeCell ref="F186:I186"/>
    <mergeCell ref="F188:I188"/>
    <mergeCell ref="G56:H56"/>
    <mergeCell ref="M112:O112"/>
    <mergeCell ref="G100:O100"/>
    <mergeCell ref="M110:O110"/>
    <mergeCell ref="M102:O102"/>
    <mergeCell ref="G102:J102"/>
    <mergeCell ref="G104:J104"/>
    <mergeCell ref="G106:J106"/>
    <mergeCell ref="M108:O108"/>
    <mergeCell ref="M104:O104"/>
    <mergeCell ref="S96:AB96"/>
    <mergeCell ref="S104:U104"/>
    <mergeCell ref="V104:AB104"/>
    <mergeCell ref="S122:Y122"/>
    <mergeCell ref="S106:U106"/>
    <mergeCell ref="S108:U108"/>
    <mergeCell ref="V108:AB108"/>
    <mergeCell ref="S98:U98"/>
    <mergeCell ref="V98:AB98"/>
    <mergeCell ref="S100:U100"/>
    <mergeCell ref="V100:AB100"/>
    <mergeCell ref="S102:U102"/>
    <mergeCell ref="V102:AB102"/>
    <mergeCell ref="V106:AB106"/>
    <mergeCell ref="S112:U112"/>
    <mergeCell ref="V112:AB112"/>
    <mergeCell ref="C151:C152"/>
    <mergeCell ref="D151:E152"/>
    <mergeCell ref="H151:H152"/>
    <mergeCell ref="K151:K152"/>
    <mergeCell ref="K108:L108"/>
    <mergeCell ref="G112:J112"/>
    <mergeCell ref="G108:J108"/>
    <mergeCell ref="G110:J110"/>
    <mergeCell ref="H118:H119"/>
    <mergeCell ref="C116:C117"/>
    <mergeCell ref="I116:I117"/>
    <mergeCell ref="J116:J117"/>
    <mergeCell ref="K116:K117"/>
    <mergeCell ref="G116:G117"/>
    <mergeCell ref="H116:H117"/>
  </mergeCells>
  <conditionalFormatting sqref="H118:H119">
    <cfRule type="expression" dxfId="349" priority="12097">
      <formula>($H$118&lt;&gt;"")</formula>
    </cfRule>
  </conditionalFormatting>
  <conditionalFormatting sqref="F177:H177 J132 I125:J131 K125:K135 I133:J134 I116:K116 G153:K156 J135 I137:K137">
    <cfRule type="expression" dxfId="348" priority="77">
      <formula>ISBLANK(F116)</formula>
    </cfRule>
  </conditionalFormatting>
  <conditionalFormatting sqref="G116:H116">
    <cfRule type="expression" dxfId="347" priority="76">
      <formula>ISBLANK(G116)</formula>
    </cfRule>
  </conditionalFormatting>
  <conditionalFormatting sqref="G125:H135 G137:H137">
    <cfRule type="expression" dxfId="346" priority="75">
      <formula>ISBLANK(G125)</formula>
    </cfRule>
  </conditionalFormatting>
  <conditionalFormatting sqref="F175:H175 F177:H177">
    <cfRule type="expression" dxfId="345" priority="12146">
      <formula>NOT($J$13)</formula>
    </cfRule>
  </conditionalFormatting>
  <conditionalFormatting sqref="F174:J174 F176:H176 E175:E177 F178:J178">
    <cfRule type="expression" dxfId="344" priority="12148">
      <formula>NOT($J$13)</formula>
    </cfRule>
  </conditionalFormatting>
  <conditionalFormatting sqref="C171:D171 C170">
    <cfRule type="expression" dxfId="343" priority="12152">
      <formula>NOT($J$13)</formula>
    </cfRule>
  </conditionalFormatting>
  <conditionalFormatting sqref="S175:AE177">
    <cfRule type="expression" dxfId="342" priority="12153">
      <formula>NOT($J$13)</formula>
    </cfRule>
  </conditionalFormatting>
  <conditionalFormatting sqref="J162:J163">
    <cfRule type="expression" dxfId="341" priority="69">
      <formula>ISBLANK($J$162)</formula>
    </cfRule>
  </conditionalFormatting>
  <conditionalFormatting sqref="D172:O173">
    <cfRule type="expression" dxfId="340" priority="68">
      <formula>$J$13</formula>
    </cfRule>
  </conditionalFormatting>
  <conditionalFormatting sqref="S98:AC98">
    <cfRule type="expression" dxfId="339" priority="67">
      <formula>($AA$63=1)</formula>
    </cfRule>
  </conditionalFormatting>
  <conditionalFormatting sqref="S104:AC104">
    <cfRule type="expression" dxfId="338" priority="58">
      <formula>($AA$66=1)</formula>
    </cfRule>
  </conditionalFormatting>
  <conditionalFormatting sqref="V106:X106 V108:X108 V110:X110 V100:X100 V98:X98 V102:X102">
    <cfRule type="expression" dxfId="337" priority="56">
      <formula>($V$98=$D$31)</formula>
    </cfRule>
    <cfRule type="expression" dxfId="336" priority="57">
      <formula>($V$98=$D$30)</formula>
    </cfRule>
  </conditionalFormatting>
  <conditionalFormatting sqref="S106:AC106">
    <cfRule type="expression" dxfId="335" priority="54">
      <formula>($AA$67=1)</formula>
    </cfRule>
  </conditionalFormatting>
  <conditionalFormatting sqref="S108:AC108">
    <cfRule type="expression" dxfId="334" priority="50">
      <formula>($AA$68=1)</formula>
    </cfRule>
  </conditionalFormatting>
  <conditionalFormatting sqref="S110:AC110">
    <cfRule type="expression" dxfId="333" priority="46">
      <formula>($AA$69=1)</formula>
    </cfRule>
  </conditionalFormatting>
  <conditionalFormatting sqref="S96:AC96">
    <cfRule type="expression" dxfId="332" priority="37">
      <formula>($AA$60=2)</formula>
    </cfRule>
    <cfRule type="expression" dxfId="331" priority="12188">
      <formula>($AA$60=1)</formula>
    </cfRule>
  </conditionalFormatting>
  <conditionalFormatting sqref="E116">
    <cfRule type="expression" dxfId="330" priority="31">
      <formula>($C$29="E")</formula>
    </cfRule>
  </conditionalFormatting>
  <conditionalFormatting sqref="S122:Y122">
    <cfRule type="expression" dxfId="329" priority="28">
      <formula>($C$29="B")</formula>
    </cfRule>
  </conditionalFormatting>
  <conditionalFormatting sqref="I116">
    <cfRule type="expression" dxfId="328" priority="25">
      <formula>($C$29="B")</formula>
    </cfRule>
    <cfRule type="expression" dxfId="327" priority="26">
      <formula>($C$29="F")</formula>
    </cfRule>
  </conditionalFormatting>
  <conditionalFormatting sqref="O119 K119 M119">
    <cfRule type="expression" dxfId="326" priority="24">
      <formula>($C$29&lt;&gt;"E")</formula>
    </cfRule>
  </conditionalFormatting>
  <conditionalFormatting sqref="F168">
    <cfRule type="expression" dxfId="325" priority="22">
      <formula>($C$29&lt;&gt;"E")</formula>
    </cfRule>
  </conditionalFormatting>
  <conditionalFormatting sqref="S123:X123">
    <cfRule type="expression" dxfId="324" priority="12749">
      <formula>AND($C$29="B",$C$33=1)</formula>
    </cfRule>
  </conditionalFormatting>
  <conditionalFormatting sqref="S102:AC102">
    <cfRule type="expression" dxfId="323" priority="12750">
      <formula>($AA$65=1)</formula>
    </cfRule>
  </conditionalFormatting>
  <conditionalFormatting sqref="S100:AC100">
    <cfRule type="expression" dxfId="322" priority="12755">
      <formula>($AA$64=1)</formula>
    </cfRule>
  </conditionalFormatting>
  <conditionalFormatting sqref="F171">
    <cfRule type="expression" dxfId="321" priority="19">
      <formula>NOT($J$13)</formula>
    </cfRule>
  </conditionalFormatting>
  <conditionalFormatting sqref="S116">
    <cfRule type="expression" dxfId="320" priority="17">
      <formula>($C$29&lt;&gt;"E")</formula>
    </cfRule>
  </conditionalFormatting>
  <conditionalFormatting sqref="K116">
    <cfRule type="expression" dxfId="319" priority="16">
      <formula>($C$29&lt;&gt;"E")</formula>
    </cfRule>
  </conditionalFormatting>
  <conditionalFormatting sqref="S121">
    <cfRule type="expression" dxfId="318" priority="15">
      <formula>($C$29="B")</formula>
    </cfRule>
  </conditionalFormatting>
  <conditionalFormatting sqref="K119">
    <cfRule type="expression" dxfId="317" priority="12">
      <formula>AND($K$116&lt;&gt;$K$119,$C$29="E")</formula>
    </cfRule>
  </conditionalFormatting>
  <conditionalFormatting sqref="J118:O119">
    <cfRule type="expression" dxfId="316" priority="11">
      <formula>AND($K$116&lt;&gt;$K$119,$C$29="E")</formula>
    </cfRule>
  </conditionalFormatting>
  <conditionalFormatting sqref="M119 O119">
    <cfRule type="expression" dxfId="315" priority="10">
      <formula>AND($K$116&lt;&gt;$K$119,$C$29="E")</formula>
    </cfRule>
  </conditionalFormatting>
  <conditionalFormatting sqref="M108:O112">
    <cfRule type="expression" dxfId="314" priority="9">
      <formula>($C$29&lt;&gt;"E")</formula>
    </cfRule>
  </conditionalFormatting>
  <conditionalFormatting sqref="G175">
    <cfRule type="expression" dxfId="313" priority="8">
      <formula>NOT(ISBLANK(G175))</formula>
    </cfRule>
  </conditionalFormatting>
  <conditionalFormatting sqref="S112:AC112">
    <cfRule type="expression" dxfId="312" priority="5">
      <formula>($AA$70=1)</formula>
    </cfRule>
  </conditionalFormatting>
  <conditionalFormatting sqref="M119 S119">
    <cfRule type="expression" dxfId="311" priority="4">
      <formula>AND($K$116&lt;&gt;$K$119,$C$29="E")</formula>
    </cfRule>
  </conditionalFormatting>
  <conditionalFormatting sqref="J165:J166">
    <cfRule type="expression" dxfId="310" priority="3">
      <formula>ISBLANK($J$162)</formula>
    </cfRule>
  </conditionalFormatting>
  <conditionalFormatting sqref="T141">
    <cfRule type="expression" dxfId="309" priority="2">
      <formula>($H$43=1)</formula>
    </cfRule>
  </conditionalFormatting>
  <dataValidations count="6">
    <dataValidation type="custom" allowBlank="1" showInputMessage="1" showErrorMessage="1" sqref="F17:F18 F177 J46:J49 K119:O119 I151:J151 H177 H166 I124:K124 S119 N153:N154 I115:K115 G137:J137 M151 L125:L137 H163 I49:I50 N115" xr:uid="{00000000-0002-0000-0B00-000000000000}">
      <formula1>""""""</formula1>
    </dataValidation>
    <dataValidation type="custom" allowBlank="1" showInputMessage="1" showErrorMessage="1" error="Non-Labor Contingency is entered as an amount (yellow cell to the right)" sqref="F162" xr:uid="{00000000-0002-0000-0B00-000001000000}">
      <formula1>""""""</formula1>
    </dataValidation>
    <dataValidation type="custom" allowBlank="1" showInputMessage="1" showErrorMessage="1" error="Enter this field on the Setup Tab" sqref="G100:O100 G102:J102 G104:J104 G106:J106 M108:O108 M110:O110 M112:O112 G108:J108 G110:J110" xr:uid="{00000000-0002-0000-0B00-000002000000}">
      <formula1>""""""</formula1>
    </dataValidation>
    <dataValidation allowBlank="1" showInputMessage="1" showErrorMessage="1" error="Enter this field on the Setup Tab" sqref="M102:O102 G112:J112 M104:O104" xr:uid="{00000000-0002-0000-0B00-000003000000}"/>
    <dataValidation allowBlank="1" showInputMessage="1" showErrorMessage="1" error="Labor Contingency is entered as a % (yellow cell to the left)" sqref="H161:J161 I162:J162 J163 H164:J164 I165:J165 J166:J167 H167:H168 I167 I168:K168" xr:uid="{00000000-0002-0000-0B00-000004000000}"/>
    <dataValidation type="list" allowBlank="1" showInputMessage="1" showErrorMessage="1" sqref="S122:Y122" xr:uid="{00000000-0002-0000-0B00-000005000000}">
      <formula1>$D$33:$D$36</formula1>
    </dataValidation>
  </dataValidations>
  <printOptions horizontalCentered="1" verticalCentered="1"/>
  <pageMargins left="0.23622047244094491" right="0.23622047244094491" top="0.35433070866141736" bottom="0.27559055118110237" header="0.31496062992125984" footer="0.15748031496062992"/>
  <pageSetup paperSize="9" scale="72" orientation="portrait" r:id="rId1"/>
  <headerFooter>
    <oddFooter>&amp;R&amp;D</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075" r:id="rId4" name="Check Box 3">
              <controlPr defaultSize="0" autoFill="0" autoLine="0" autoPict="0">
                <anchor moveWithCells="1">
                  <from>
                    <xdr:col>5</xdr:col>
                    <xdr:colOff>518160</xdr:colOff>
                    <xdr:row>169</xdr:row>
                    <xdr:rowOff>30480</xdr:rowOff>
                  </from>
                  <to>
                    <xdr:col>7</xdr:col>
                    <xdr:colOff>198120</xdr:colOff>
                    <xdr:row>170</xdr:row>
                    <xdr:rowOff>22860</xdr:rowOff>
                  </to>
                </anchor>
              </controlPr>
            </control>
          </mc:Choice>
        </mc:AlternateContent>
        <mc:AlternateContent xmlns:mc="http://schemas.openxmlformats.org/markup-compatibility/2006">
          <mc:Choice Requires="x14">
            <control shapeId="3114" r:id="rId5" name="Drop Down 42">
              <controlPr defaultSize="0" autoLine="0" autoPict="0">
                <anchor moveWithCells="1">
                  <from>
                    <xdr:col>10</xdr:col>
                    <xdr:colOff>76200</xdr:colOff>
                    <xdr:row>140</xdr:row>
                    <xdr:rowOff>60960</xdr:rowOff>
                  </from>
                  <to>
                    <xdr:col>14</xdr:col>
                    <xdr:colOff>152400</xdr:colOff>
                    <xdr:row>141</xdr:row>
                    <xdr:rowOff>22860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82" id="{82CA5B3B-1ED4-4C15-B065-440D4BDEAF9B}">
            <xm:f>('2 Staff List'!$EB$62&gt;0)</xm:f>
            <x14:dxf>
              <fill>
                <patternFill>
                  <bgColor rgb="FFC00000"/>
                </patternFill>
              </fill>
              <border>
                <left style="thin">
                  <color auto="1"/>
                </left>
                <right style="thin">
                  <color auto="1"/>
                </right>
                <top style="thin">
                  <color auto="1"/>
                </top>
                <bottom style="thin">
                  <color auto="1"/>
                </bottom>
                <vertical/>
                <horizontal/>
              </border>
            </x14:dxf>
          </x14:cfRule>
          <xm:sqref>S105:AA105 S107:AA107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HS142"/>
  <sheetViews>
    <sheetView showGridLines="0" topLeftCell="DV19" zoomScale="90" zoomScaleNormal="90" workbookViewId="0">
      <selection activeCell="EM46" sqref="EM46"/>
    </sheetView>
  </sheetViews>
  <sheetFormatPr defaultColWidth="9.109375" defaultRowHeight="14.4" x14ac:dyDescent="0.3"/>
  <cols>
    <col min="1" max="1" width="28.6640625" style="749" hidden="1" customWidth="1"/>
    <col min="2" max="11" width="9.109375" style="749" hidden="1" customWidth="1"/>
    <col min="12" max="12" width="3.5546875" style="749" hidden="1" customWidth="1"/>
    <col min="13" max="22" width="9.109375" style="749" hidden="1" customWidth="1"/>
    <col min="23" max="23" width="11.109375" style="749" hidden="1" customWidth="1"/>
    <col min="24" max="26" width="8.88671875" style="749" hidden="1" customWidth="1"/>
    <col min="27" max="27" width="16" style="749" hidden="1" customWidth="1"/>
    <col min="28" max="28" width="10.6640625" style="749" hidden="1" customWidth="1"/>
    <col min="29" max="29" width="10.44140625" style="749" hidden="1" customWidth="1"/>
    <col min="30" max="30" width="1.6640625" style="749" hidden="1" customWidth="1"/>
    <col min="31" max="31" width="10.6640625" style="272" hidden="1" customWidth="1"/>
    <col min="32" max="32" width="10.44140625" style="272" hidden="1" customWidth="1"/>
    <col min="33" max="33" width="1.6640625" style="749" hidden="1" customWidth="1"/>
    <col min="34" max="34" width="10.6640625" style="749" hidden="1" customWidth="1"/>
    <col min="35" max="35" width="10.44140625" style="749" hidden="1" customWidth="1"/>
    <col min="36" max="36" width="1.6640625" style="749" hidden="1" customWidth="1"/>
    <col min="37" max="38" width="10.44140625" style="749" hidden="1" customWidth="1"/>
    <col min="39" max="39" width="3" style="749" hidden="1" customWidth="1"/>
    <col min="40" max="40" width="9.109375" style="749" hidden="1" customWidth="1"/>
    <col min="41" max="41" width="20.88671875" style="749" hidden="1" customWidth="1"/>
    <col min="42" max="48" width="21.33203125" style="749" hidden="1" customWidth="1"/>
    <col min="49" max="49" width="9.109375" style="749" hidden="1" customWidth="1"/>
    <col min="50" max="50" width="21.33203125" style="749" hidden="1" customWidth="1"/>
    <col min="51" max="51" width="17" style="749" hidden="1" customWidth="1"/>
    <col min="52" max="52" width="9.109375" style="749" hidden="1" customWidth="1"/>
    <col min="53" max="53" width="4.44140625" style="749" hidden="1" customWidth="1"/>
    <col min="54" max="54" width="1.44140625" style="749" hidden="1" customWidth="1"/>
    <col min="55" max="55" width="4.44140625" style="272" hidden="1" customWidth="1"/>
    <col min="56" max="56" width="8.6640625" style="749" hidden="1" customWidth="1"/>
    <col min="57" max="57" width="3.88671875" style="749" hidden="1" customWidth="1"/>
    <col min="58" max="59" width="10.33203125" style="749" hidden="1" customWidth="1"/>
    <col min="60" max="62" width="18.6640625" style="749" hidden="1" customWidth="1"/>
    <col min="63" max="63" width="7.44140625" style="749" hidden="1" customWidth="1"/>
    <col min="64" max="64" width="9" style="749" hidden="1" customWidth="1"/>
    <col min="65" max="68" width="3.88671875" style="749" hidden="1" customWidth="1"/>
    <col min="69" max="96" width="4.33203125" style="749" hidden="1" customWidth="1"/>
    <col min="97" max="97" width="2" style="749" hidden="1" customWidth="1"/>
    <col min="98" max="100" width="4.33203125" style="749" hidden="1" customWidth="1"/>
    <col min="101" max="101" width="21.5546875" style="749" hidden="1" customWidth="1"/>
    <col min="102" max="102" width="9.109375" style="749" hidden="1" customWidth="1"/>
    <col min="103" max="103" width="3.33203125" style="749" customWidth="1"/>
    <col min="104" max="104" width="7.44140625" style="749" customWidth="1"/>
    <col min="105" max="105" width="19.6640625" style="749" customWidth="1"/>
    <col min="106" max="106" width="2" style="749" customWidth="1"/>
    <col min="107" max="107" width="7.44140625" style="749" customWidth="1"/>
    <col min="108" max="108" width="19.88671875" style="749" customWidth="1"/>
    <col min="109" max="109" width="2" style="749" customWidth="1"/>
    <col min="110" max="110" width="7.44140625" style="749" customWidth="1"/>
    <col min="111" max="111" width="18.5546875" style="749" customWidth="1"/>
    <col min="112" max="112" width="2" style="749" customWidth="1"/>
    <col min="113" max="113" width="7.44140625" style="749" customWidth="1"/>
    <col min="114" max="114" width="18.5546875" style="749" customWidth="1"/>
    <col min="115" max="115" width="2" style="749" customWidth="1"/>
    <col min="116" max="116" width="7.44140625" style="749" customWidth="1"/>
    <col min="117" max="117" width="18.5546875" style="749" customWidth="1"/>
    <col min="118" max="118" width="2" style="749" customWidth="1"/>
    <col min="119" max="119" width="7.44140625" style="749" customWidth="1"/>
    <col min="120" max="120" width="18.5546875" style="749" customWidth="1"/>
    <col min="121" max="121" width="2" style="272" customWidth="1"/>
    <col min="122" max="122" width="2" style="749" customWidth="1"/>
    <col min="123" max="123" width="7.44140625" style="749" customWidth="1"/>
    <col min="124" max="124" width="18.5546875" style="749" customWidth="1"/>
    <col min="125" max="126" width="2" style="749" customWidth="1"/>
    <col min="127" max="127" width="6.33203125" style="749" customWidth="1"/>
    <col min="128" max="128" width="13.44140625" style="749" customWidth="1"/>
    <col min="129" max="130" width="2" style="749" customWidth="1"/>
    <col min="131" max="131" width="13.109375" style="272" customWidth="1"/>
    <col min="132" max="132" width="8.109375" style="272" customWidth="1"/>
    <col min="133" max="133" width="1.109375" style="749" customWidth="1"/>
    <col min="134" max="134" width="4.33203125" style="749" customWidth="1"/>
    <col min="135" max="135" width="23.44140625" style="272" customWidth="1"/>
    <col min="136" max="136" width="1.109375" style="749" customWidth="1"/>
    <col min="137" max="137" width="4.33203125" style="749" customWidth="1"/>
    <col min="138" max="138" width="19.5546875" style="16" customWidth="1"/>
    <col min="139" max="139" width="1.109375" style="749" customWidth="1"/>
    <col min="140" max="140" width="5.33203125" style="749" customWidth="1"/>
    <col min="141" max="141" width="29.5546875" style="272" customWidth="1"/>
    <col min="142" max="142" width="1.109375" style="272" customWidth="1"/>
    <col min="143" max="143" width="6.5546875" style="272" customWidth="1"/>
    <col min="144" max="144" width="29.33203125" style="272" customWidth="1"/>
    <col min="145" max="145" width="1.109375" style="272" customWidth="1"/>
    <col min="146" max="146" width="6.5546875" style="749" hidden="1" customWidth="1"/>
    <col min="147" max="147" width="29.5546875" style="749" hidden="1" customWidth="1"/>
    <col min="148" max="148" width="1.109375" style="749" hidden="1" customWidth="1"/>
    <col min="149" max="149" width="6.5546875" style="749" hidden="1" customWidth="1"/>
    <col min="150" max="150" width="29.44140625" style="749" hidden="1" customWidth="1"/>
    <col min="151" max="151" width="1.109375" style="749" hidden="1" customWidth="1"/>
    <col min="152" max="152" width="7.88671875" style="749" customWidth="1"/>
    <col min="153" max="153" width="40.88671875" style="749" customWidth="1"/>
    <col min="154" max="154" width="3.6640625" style="745" customWidth="1"/>
    <col min="155" max="155" width="1.109375" style="745" customWidth="1"/>
    <col min="156" max="156" width="3.6640625" style="745" customWidth="1"/>
    <col min="157" max="157" width="19.88671875" style="745" customWidth="1"/>
    <col min="158" max="158" width="34.109375" style="16" customWidth="1"/>
    <col min="159" max="159" width="1.5546875" style="16" customWidth="1"/>
    <col min="160" max="160" width="11.109375" style="749" customWidth="1"/>
    <col min="161" max="161" width="11.33203125" style="749" customWidth="1"/>
    <col min="162" max="162" width="1.33203125" style="749" customWidth="1"/>
    <col min="163" max="163" width="6.33203125" style="16" customWidth="1"/>
    <col min="164" max="164" width="6.33203125" style="272" customWidth="1"/>
    <col min="165" max="165" width="6.33203125" style="749" customWidth="1"/>
    <col min="166" max="166" width="1.33203125" style="272" customWidth="1"/>
    <col min="167" max="168" width="8.6640625" style="16" customWidth="1"/>
    <col min="169" max="169" width="9" style="16" customWidth="1"/>
    <col min="170" max="170" width="6.6640625" style="16" customWidth="1"/>
    <col min="171" max="171" width="9.33203125" style="16" customWidth="1"/>
    <col min="172" max="172" width="6.33203125" style="749" customWidth="1"/>
    <col min="173" max="173" width="6.6640625" style="749" customWidth="1"/>
    <col min="174" max="174" width="6.6640625" style="272" customWidth="1"/>
    <col min="175" max="175" width="1.33203125" style="16" customWidth="1"/>
    <col min="176" max="176" width="8.6640625" style="272" customWidth="1"/>
    <col min="177" max="177" width="6.6640625" style="749" customWidth="1"/>
    <col min="178" max="178" width="9.44140625" style="272" customWidth="1"/>
    <col min="179" max="179" width="1.33203125" style="272" customWidth="1"/>
    <col min="180" max="180" width="9.5546875" style="272" customWidth="1"/>
    <col min="181" max="181" width="9.6640625" style="272" customWidth="1"/>
    <col min="182" max="182" width="1.33203125" style="272" customWidth="1"/>
    <col min="183" max="183" width="9.6640625" style="272" customWidth="1"/>
    <col min="184" max="184" width="5.6640625" style="272" customWidth="1"/>
    <col min="185" max="185" width="5.6640625" style="749" customWidth="1"/>
    <col min="186" max="186" width="1.33203125" style="745" customWidth="1"/>
    <col min="187" max="187" width="17.44140625" style="749" customWidth="1"/>
    <col min="188" max="188" width="33" style="749" customWidth="1"/>
    <col min="189" max="189" width="4.33203125" style="749" customWidth="1"/>
    <col min="190" max="190" width="10.33203125" style="749" customWidth="1"/>
    <col min="191" max="191" width="3.44140625" style="749" customWidth="1"/>
    <col min="192" max="192" width="1.109375" style="749" customWidth="1"/>
    <col min="193" max="193" width="24.6640625" style="749" customWidth="1"/>
    <col min="194" max="194" width="7.109375" style="749" customWidth="1"/>
    <col min="195" max="195" width="31.33203125" style="749" customWidth="1"/>
    <col min="196" max="196" width="12.44140625" style="749" customWidth="1"/>
    <col min="197" max="197" width="12.33203125" style="749" customWidth="1"/>
    <col min="198" max="198" width="6.44140625" style="223" customWidth="1"/>
    <col min="199" max="199" width="8.44140625" style="749" customWidth="1"/>
    <col min="200" max="200" width="8.88671875" style="749" customWidth="1"/>
    <col min="201" max="202" width="8.6640625" style="749" customWidth="1"/>
    <col min="203" max="203" width="9" style="749" hidden="1" customWidth="1"/>
    <col min="204" max="204" width="8.6640625" style="749" customWidth="1"/>
    <col min="205" max="205" width="11.44140625" style="749" customWidth="1"/>
    <col min="206" max="206" width="9.109375" style="749" hidden="1" customWidth="1"/>
    <col min="207" max="207" width="11.44140625" style="749" customWidth="1"/>
    <col min="208" max="208" width="1.109375" style="749" customWidth="1"/>
    <col min="209" max="209" width="29.6640625" style="749" customWidth="1"/>
    <col min="210" max="210" width="8" style="749" customWidth="1"/>
    <col min="216" max="16384" width="9.109375" style="16"/>
  </cols>
  <sheetData>
    <row r="1" spans="1:210" s="749" customFormat="1" ht="14.25" hidden="1" customHeight="1" thickBot="1" x14ac:dyDescent="0.3">
      <c r="A1" s="755"/>
      <c r="B1" s="755"/>
      <c r="C1" s="755"/>
      <c r="D1" s="755"/>
      <c r="E1" s="755"/>
      <c r="F1" s="755"/>
      <c r="G1" s="755"/>
      <c r="H1" s="755"/>
      <c r="I1" s="755"/>
      <c r="J1" s="755"/>
      <c r="K1" s="755"/>
      <c r="L1" s="755"/>
      <c r="M1" s="755"/>
      <c r="N1" s="755"/>
      <c r="O1" s="755"/>
      <c r="P1" s="755"/>
      <c r="Q1" s="755"/>
      <c r="R1" s="755"/>
      <c r="S1" s="755"/>
      <c r="T1" s="755"/>
      <c r="U1" s="755"/>
      <c r="V1" s="755"/>
      <c r="W1" s="755"/>
      <c r="X1" s="755"/>
      <c r="Y1" s="755"/>
      <c r="Z1" s="755"/>
      <c r="AA1" s="755"/>
      <c r="AB1" s="755"/>
      <c r="AC1" s="755"/>
      <c r="AD1" s="755"/>
      <c r="AE1" s="755"/>
      <c r="AF1" s="755"/>
      <c r="AG1" s="755"/>
      <c r="AH1" s="755"/>
      <c r="AI1" s="755"/>
      <c r="AJ1" s="755"/>
      <c r="AK1" s="755"/>
      <c r="AL1" s="755"/>
      <c r="AM1" s="755"/>
      <c r="AN1" s="755"/>
      <c r="AO1" s="755"/>
      <c r="AP1" s="755"/>
      <c r="AQ1" s="755"/>
      <c r="AR1" s="755"/>
      <c r="AS1" s="755"/>
      <c r="AT1" s="755"/>
      <c r="AU1" s="755"/>
      <c r="AV1" s="755"/>
      <c r="AW1" s="755"/>
      <c r="AX1" s="755"/>
      <c r="AY1" s="755"/>
      <c r="AZ1" s="755"/>
      <c r="BA1" s="755"/>
      <c r="BB1" s="755"/>
      <c r="BC1" s="755"/>
      <c r="BD1" s="755"/>
      <c r="BE1" s="755"/>
      <c r="BF1" s="755"/>
      <c r="BG1" s="755"/>
      <c r="BH1" s="755"/>
      <c r="BI1" s="755"/>
      <c r="BJ1" s="755"/>
      <c r="BK1" s="755"/>
      <c r="BL1" s="755"/>
      <c r="BM1" s="755"/>
      <c r="BN1" s="755"/>
      <c r="BO1" s="755"/>
      <c r="BP1" s="755"/>
      <c r="BQ1" s="755"/>
      <c r="BR1" s="755"/>
      <c r="BS1" s="755"/>
      <c r="BT1" s="755"/>
      <c r="BU1" s="755"/>
      <c r="BV1" s="755"/>
      <c r="BW1" s="755"/>
      <c r="BX1" s="755"/>
      <c r="BY1" s="755"/>
      <c r="BZ1" s="755"/>
      <c r="CA1" s="755"/>
      <c r="CB1" s="755"/>
      <c r="CC1" s="755"/>
      <c r="CD1" s="755"/>
      <c r="CE1" s="755"/>
      <c r="CF1" s="755"/>
      <c r="CG1" s="755"/>
      <c r="CH1" s="755"/>
      <c r="CI1" s="755"/>
      <c r="CJ1" s="755"/>
      <c r="CK1" s="755"/>
      <c r="CL1" s="755"/>
      <c r="CM1" s="755"/>
      <c r="CN1" s="755"/>
      <c r="CO1" s="755"/>
      <c r="CP1" s="755"/>
      <c r="CQ1" s="755"/>
      <c r="CR1" s="755"/>
      <c r="CS1" s="755"/>
      <c r="CT1" s="755"/>
      <c r="CU1" s="755"/>
      <c r="CV1" s="755"/>
      <c r="CW1" s="755"/>
      <c r="CX1" s="755"/>
      <c r="CY1" s="755"/>
      <c r="CZ1" s="755"/>
      <c r="DA1" s="755"/>
      <c r="DB1" s="755"/>
      <c r="DC1" s="755"/>
      <c r="DD1" s="755"/>
      <c r="DE1" s="755"/>
      <c r="DF1" s="755"/>
      <c r="DG1" s="755"/>
      <c r="DH1" s="755"/>
      <c r="DI1" s="755"/>
      <c r="DJ1" s="755"/>
      <c r="DK1" s="755"/>
      <c r="DL1" s="755"/>
      <c r="DM1" s="755"/>
      <c r="DN1" s="755"/>
      <c r="DO1" s="755"/>
      <c r="DP1" s="755"/>
      <c r="DQ1" s="755"/>
      <c r="DR1" s="755"/>
      <c r="DS1" s="755"/>
      <c r="DT1" s="755"/>
      <c r="DU1" s="755"/>
      <c r="DV1" s="755"/>
      <c r="DW1" s="755"/>
      <c r="DX1" s="755"/>
      <c r="DY1" s="755"/>
      <c r="DZ1" s="755"/>
      <c r="EA1" s="755"/>
      <c r="EB1" s="755"/>
      <c r="EC1" s="755"/>
      <c r="ED1" s="755"/>
      <c r="EE1" s="755"/>
      <c r="EF1" s="755"/>
      <c r="EG1" s="755"/>
      <c r="EH1" s="755"/>
      <c r="EI1" s="755"/>
      <c r="EJ1" s="755"/>
      <c r="EK1" s="755"/>
      <c r="EL1" s="755"/>
      <c r="EM1" s="755"/>
      <c r="EN1" s="755"/>
      <c r="EO1" s="755"/>
      <c r="EP1" s="755"/>
      <c r="EQ1" s="755"/>
      <c r="ER1" s="755"/>
      <c r="ES1" s="755"/>
      <c r="ET1" s="755"/>
      <c r="EU1" s="755"/>
      <c r="EV1" s="755"/>
      <c r="EW1" s="755"/>
      <c r="EX1" s="755"/>
      <c r="EY1" s="755"/>
      <c r="EZ1" s="755"/>
      <c r="FA1" s="755"/>
      <c r="FB1" s="755"/>
      <c r="FC1" s="755"/>
      <c r="FD1" s="755"/>
      <c r="FE1" s="755"/>
      <c r="FF1" s="755"/>
      <c r="FG1" s="755"/>
      <c r="FH1" s="755"/>
      <c r="FI1" s="755"/>
      <c r="FJ1" s="755"/>
      <c r="FK1" s="755"/>
      <c r="FL1" s="755"/>
      <c r="FM1" s="755"/>
      <c r="FN1" s="755"/>
      <c r="FO1" s="755"/>
      <c r="FP1" s="755"/>
      <c r="FQ1" s="755"/>
      <c r="FR1" s="755"/>
      <c r="FS1" s="755"/>
      <c r="FT1" s="755"/>
      <c r="FU1" s="755"/>
      <c r="FV1" s="755"/>
      <c r="FW1" s="755"/>
      <c r="FX1" s="755"/>
      <c r="FY1" s="755"/>
      <c r="FZ1" s="755"/>
      <c r="GA1" s="755"/>
      <c r="GB1" s="755"/>
      <c r="GC1" s="755"/>
      <c r="GD1" s="755"/>
      <c r="GE1" s="755"/>
      <c r="GF1" s="755"/>
      <c r="GG1" s="755"/>
      <c r="GH1" s="755"/>
      <c r="GI1" s="755"/>
      <c r="GJ1" s="755"/>
      <c r="GK1" s="755"/>
      <c r="GL1" s="755"/>
      <c r="GM1" s="755"/>
      <c r="GN1" s="755"/>
      <c r="GO1" s="755"/>
      <c r="GP1" s="2284"/>
      <c r="GQ1" s="755"/>
      <c r="GR1" s="755"/>
      <c r="GS1" s="755"/>
      <c r="GT1" s="755"/>
      <c r="GU1" s="755"/>
      <c r="GV1" s="755"/>
      <c r="GW1" s="755"/>
      <c r="GX1" s="755"/>
      <c r="GY1" s="755"/>
      <c r="GZ1" s="755"/>
      <c r="HA1" s="755"/>
      <c r="HB1" s="755"/>
    </row>
    <row r="2" spans="1:210" s="749" customFormat="1" ht="21" hidden="1" customHeight="1" x14ac:dyDescent="0.25">
      <c r="A2" s="755"/>
      <c r="B2" s="755"/>
      <c r="C2" s="755"/>
      <c r="D2" s="755"/>
      <c r="E2" s="755"/>
      <c r="F2" s="755"/>
      <c r="G2" s="755"/>
      <c r="H2" s="755"/>
      <c r="I2" s="755"/>
      <c r="J2" s="755"/>
      <c r="K2" s="755"/>
      <c r="L2" s="755"/>
      <c r="M2" s="755"/>
      <c r="N2" s="755"/>
      <c r="O2" s="755"/>
      <c r="P2" s="755"/>
      <c r="Q2" s="755"/>
      <c r="R2" s="755"/>
      <c r="S2" s="755"/>
      <c r="T2" s="755"/>
      <c r="U2" s="755"/>
      <c r="V2" s="755"/>
      <c r="W2" s="755"/>
      <c r="X2" s="755"/>
      <c r="Y2" s="755"/>
      <c r="Z2" s="755"/>
      <c r="AA2" s="755"/>
      <c r="AB2" s="755"/>
      <c r="AC2" s="755"/>
      <c r="AD2" s="755"/>
      <c r="AE2" s="755"/>
      <c r="AF2" s="755"/>
      <c r="AG2" s="755"/>
      <c r="AH2" s="755"/>
      <c r="AI2" s="755"/>
      <c r="AJ2" s="755"/>
      <c r="AK2" s="755"/>
      <c r="AL2" s="755"/>
      <c r="AM2" s="755"/>
      <c r="AN2" s="755"/>
      <c r="AO2" s="755"/>
      <c r="AP2" s="755"/>
      <c r="AQ2" s="755"/>
      <c r="AR2" s="755"/>
      <c r="AS2" s="755"/>
      <c r="AT2" s="755"/>
      <c r="AU2" s="755"/>
      <c r="AV2" s="755"/>
      <c r="AW2" s="755"/>
      <c r="AX2" s="755"/>
      <c r="AY2" s="755"/>
      <c r="AZ2" s="755"/>
      <c r="BA2" s="755"/>
      <c r="BB2" s="755"/>
      <c r="BC2" s="755"/>
      <c r="BD2" s="755"/>
      <c r="BE2" s="755"/>
      <c r="BF2" s="755"/>
      <c r="BG2" s="755"/>
      <c r="BH2" s="755"/>
      <c r="BI2" s="755"/>
      <c r="BJ2" s="755"/>
      <c r="BK2" s="755"/>
      <c r="BL2" s="755"/>
      <c r="BM2" s="755"/>
      <c r="BN2" s="755"/>
      <c r="BO2" s="755"/>
      <c r="BP2" s="755"/>
      <c r="BQ2" s="755"/>
      <c r="BR2" s="755"/>
      <c r="BS2" s="755"/>
      <c r="BT2" s="755"/>
      <c r="BU2" s="755"/>
      <c r="BV2" s="755"/>
      <c r="BW2" s="755"/>
      <c r="BX2" s="755"/>
      <c r="BY2" s="755"/>
      <c r="BZ2" s="755"/>
      <c r="CA2" s="755"/>
      <c r="CB2" s="755"/>
      <c r="CC2" s="755"/>
      <c r="CD2" s="755"/>
      <c r="CE2" s="755"/>
      <c r="CF2" s="755"/>
      <c r="CG2" s="755"/>
      <c r="CH2" s="755"/>
      <c r="CI2" s="755"/>
      <c r="CJ2" s="755"/>
      <c r="CK2" s="755"/>
      <c r="CL2" s="755"/>
      <c r="CM2" s="755"/>
      <c r="CN2" s="755"/>
      <c r="CO2" s="755"/>
      <c r="CP2" s="755"/>
      <c r="CQ2" s="755"/>
      <c r="CR2" s="755"/>
      <c r="CS2" s="755"/>
      <c r="CT2" s="755"/>
      <c r="CU2" s="755"/>
      <c r="CV2" s="755"/>
      <c r="CW2" s="755"/>
      <c r="CX2" s="755"/>
      <c r="CY2" s="755"/>
      <c r="CZ2" s="755"/>
      <c r="DA2" s="755"/>
      <c r="DB2" s="755"/>
      <c r="DC2" s="755"/>
      <c r="DD2" s="755"/>
      <c r="DE2" s="755"/>
      <c r="DF2" s="755"/>
      <c r="DG2" s="755"/>
      <c r="DH2" s="755"/>
      <c r="DI2" s="755"/>
      <c r="DJ2" s="755"/>
      <c r="DK2" s="755"/>
      <c r="DL2" s="755"/>
      <c r="DM2" s="755"/>
      <c r="DN2" s="755"/>
      <c r="DO2" s="755"/>
      <c r="DP2" s="755"/>
      <c r="DQ2" s="755"/>
      <c r="DR2" s="755"/>
      <c r="DS2" s="755"/>
      <c r="DT2" s="755"/>
      <c r="DU2" s="755"/>
      <c r="DV2" s="755"/>
      <c r="DW2" s="755"/>
      <c r="DX2" s="755"/>
      <c r="DY2" s="755"/>
      <c r="DZ2" s="755"/>
      <c r="EA2" s="755"/>
      <c r="EB2" s="755"/>
      <c r="EC2" s="755"/>
      <c r="ED2" s="755"/>
      <c r="EE2" s="755"/>
      <c r="EF2" s="755"/>
      <c r="EG2" s="755"/>
      <c r="EH2" s="755"/>
      <c r="EI2" s="755"/>
      <c r="EJ2" s="755"/>
      <c r="EK2" s="755"/>
      <c r="EL2" s="755"/>
      <c r="EM2" s="755"/>
      <c r="EN2" s="755"/>
      <c r="EO2" s="755"/>
      <c r="EP2" s="755"/>
      <c r="EQ2" s="755"/>
      <c r="ER2" s="755"/>
      <c r="ES2" s="755"/>
      <c r="ET2" s="755"/>
      <c r="EU2" s="755"/>
      <c r="EV2" s="755"/>
      <c r="EW2" s="755"/>
      <c r="EX2" s="755"/>
      <c r="EY2" s="755"/>
      <c r="EZ2" s="755"/>
      <c r="FA2" s="755"/>
      <c r="FB2" s="755"/>
      <c r="FC2" s="755"/>
      <c r="FD2" s="755"/>
      <c r="FE2" s="755"/>
      <c r="FF2" s="755"/>
      <c r="FG2" s="755"/>
      <c r="FH2" s="755"/>
      <c r="FI2" s="755"/>
      <c r="FJ2" s="755"/>
      <c r="FK2" s="755"/>
      <c r="FL2" s="755"/>
      <c r="FM2" s="755"/>
      <c r="FN2" s="755"/>
      <c r="FO2" s="755"/>
      <c r="FP2" s="755"/>
      <c r="FQ2" s="755"/>
      <c r="FR2" s="755"/>
      <c r="FS2" s="755"/>
      <c r="FT2" s="3317"/>
      <c r="FU2" s="3304"/>
      <c r="FV2" s="3304"/>
      <c r="FW2" s="3304"/>
      <c r="FX2" s="3333" t="s">
        <v>4280</v>
      </c>
      <c r="FY2" s="3304"/>
      <c r="FZ2" s="3304"/>
      <c r="GA2" s="3304"/>
      <c r="GB2" s="3304"/>
      <c r="GC2" s="3305"/>
      <c r="GD2" s="755"/>
      <c r="GE2" s="755"/>
      <c r="GF2" s="755"/>
      <c r="GG2" s="755"/>
      <c r="GH2" s="755"/>
      <c r="GI2" s="755"/>
      <c r="GJ2" s="755"/>
      <c r="GK2" s="755"/>
      <c r="GL2" s="755"/>
      <c r="GM2" s="755"/>
      <c r="GN2" s="755"/>
      <c r="GO2" s="755"/>
      <c r="GP2" s="2284"/>
      <c r="GQ2" s="755"/>
      <c r="GR2" s="755"/>
      <c r="GS2" s="755"/>
      <c r="GT2" s="755"/>
      <c r="GU2" s="755"/>
      <c r="GV2" s="755"/>
      <c r="GW2" s="755"/>
      <c r="GX2" s="755"/>
      <c r="GY2" s="755"/>
      <c r="GZ2" s="755"/>
      <c r="HA2" s="755"/>
      <c r="HB2" s="755"/>
    </row>
    <row r="3" spans="1:210" s="749" customFormat="1" ht="14.25" hidden="1" customHeight="1" x14ac:dyDescent="0.25">
      <c r="A3" s="755"/>
      <c r="B3" s="755"/>
      <c r="C3" s="755"/>
      <c r="D3" s="755"/>
      <c r="E3" s="755"/>
      <c r="F3" s="755"/>
      <c r="G3" s="755"/>
      <c r="H3" s="755"/>
      <c r="I3" s="755"/>
      <c r="J3" s="755"/>
      <c r="K3" s="755"/>
      <c r="L3" s="755"/>
      <c r="M3" s="755"/>
      <c r="N3" s="755"/>
      <c r="O3" s="755"/>
      <c r="P3" s="755"/>
      <c r="Q3" s="755"/>
      <c r="R3" s="755"/>
      <c r="S3" s="755"/>
      <c r="T3" s="755"/>
      <c r="U3" s="755"/>
      <c r="V3" s="755"/>
      <c r="W3" s="755"/>
      <c r="X3" s="755"/>
      <c r="Y3" s="755"/>
      <c r="Z3" s="755"/>
      <c r="AA3" s="755"/>
      <c r="AB3" s="755"/>
      <c r="AC3" s="755"/>
      <c r="AD3" s="755"/>
      <c r="AE3" s="755"/>
      <c r="AF3" s="755"/>
      <c r="AG3" s="755"/>
      <c r="AH3" s="755"/>
      <c r="AI3" s="755"/>
      <c r="AJ3" s="755"/>
      <c r="AK3" s="755"/>
      <c r="AL3" s="755"/>
      <c r="AM3" s="755"/>
      <c r="AN3" s="755"/>
      <c r="AO3" s="755"/>
      <c r="AP3" s="755"/>
      <c r="AQ3" s="755"/>
      <c r="AR3" s="755"/>
      <c r="AS3" s="755"/>
      <c r="AT3" s="755"/>
      <c r="AU3" s="755"/>
      <c r="AV3" s="755"/>
      <c r="AW3" s="755"/>
      <c r="AX3" s="755"/>
      <c r="AY3" s="755"/>
      <c r="AZ3" s="755"/>
      <c r="BA3" s="755"/>
      <c r="BB3" s="755"/>
      <c r="BC3" s="755"/>
      <c r="BD3" s="755"/>
      <c r="BE3" s="755"/>
      <c r="BF3" s="755"/>
      <c r="BG3" s="755"/>
      <c r="BH3" s="755"/>
      <c r="BI3" s="755"/>
      <c r="BJ3" s="755"/>
      <c r="BK3" s="755"/>
      <c r="BL3" s="755"/>
      <c r="BM3" s="755"/>
      <c r="BN3" s="755"/>
      <c r="BO3" s="755"/>
      <c r="BP3" s="755"/>
      <c r="BQ3" s="755"/>
      <c r="BR3" s="755"/>
      <c r="BS3" s="755"/>
      <c r="BT3" s="755"/>
      <c r="BU3" s="755"/>
      <c r="BV3" s="755"/>
      <c r="BW3" s="755"/>
      <c r="BX3" s="755"/>
      <c r="BY3" s="755"/>
      <c r="BZ3" s="755"/>
      <c r="CA3" s="755"/>
      <c r="CB3" s="755"/>
      <c r="CC3" s="755"/>
      <c r="CD3" s="755"/>
      <c r="CE3" s="755"/>
      <c r="CF3" s="755"/>
      <c r="CG3" s="755"/>
      <c r="CH3" s="755"/>
      <c r="CI3" s="755"/>
      <c r="CJ3" s="755"/>
      <c r="CK3" s="755"/>
      <c r="CL3" s="755"/>
      <c r="CM3" s="755"/>
      <c r="CN3" s="755"/>
      <c r="CO3" s="755"/>
      <c r="CP3" s="755"/>
      <c r="CQ3" s="755"/>
      <c r="CR3" s="755"/>
      <c r="CS3" s="755"/>
      <c r="CT3" s="755"/>
      <c r="CU3" s="755"/>
      <c r="CV3" s="755"/>
      <c r="CW3" s="755"/>
      <c r="CX3" s="755"/>
      <c r="CY3" s="755"/>
      <c r="CZ3" s="755"/>
      <c r="DA3" s="755"/>
      <c r="DB3" s="755"/>
      <c r="DC3" s="755"/>
      <c r="DD3" s="755"/>
      <c r="DE3" s="755"/>
      <c r="DF3" s="755"/>
      <c r="DG3" s="755"/>
      <c r="DH3" s="755"/>
      <c r="DI3" s="755"/>
      <c r="DJ3" s="755"/>
      <c r="DK3" s="755"/>
      <c r="DL3" s="755"/>
      <c r="DM3" s="755"/>
      <c r="DN3" s="755"/>
      <c r="DO3" s="755"/>
      <c r="DP3" s="755"/>
      <c r="DQ3" s="755"/>
      <c r="DR3" s="755"/>
      <c r="DS3" s="755"/>
      <c r="DT3" s="755"/>
      <c r="DU3" s="755"/>
      <c r="DV3" s="755"/>
      <c r="DW3" s="755"/>
      <c r="DX3" s="755"/>
      <c r="DY3" s="755"/>
      <c r="DZ3" s="755"/>
      <c r="EA3" s="755"/>
      <c r="EB3" s="755"/>
      <c r="EC3" s="755"/>
      <c r="ED3" s="755"/>
      <c r="EE3" s="755"/>
      <c r="EF3" s="755"/>
      <c r="EG3" s="755"/>
      <c r="EH3" s="755"/>
      <c r="EI3" s="755"/>
      <c r="EJ3" s="755"/>
      <c r="EK3" s="755"/>
      <c r="EL3" s="755"/>
      <c r="EM3" s="755"/>
      <c r="EN3" s="755"/>
      <c r="EO3" s="755"/>
      <c r="EP3" s="755"/>
      <c r="EQ3" s="755"/>
      <c r="ER3" s="755"/>
      <c r="ES3" s="755"/>
      <c r="ET3" s="755"/>
      <c r="EU3" s="755"/>
      <c r="EV3" s="755"/>
      <c r="EW3" s="755"/>
      <c r="EX3" s="755"/>
      <c r="EY3" s="755"/>
      <c r="EZ3" s="755"/>
      <c r="FA3" s="755"/>
      <c r="FB3" s="755"/>
      <c r="FC3" s="755"/>
      <c r="FD3" s="755"/>
      <c r="FE3" s="755"/>
      <c r="FF3" s="755"/>
      <c r="FG3" s="755"/>
      <c r="FH3" s="755"/>
      <c r="FI3" s="755"/>
      <c r="FJ3" s="755"/>
      <c r="FK3" s="755"/>
      <c r="FL3" s="755"/>
      <c r="FM3" s="755"/>
      <c r="FN3" s="755"/>
      <c r="FO3" s="755"/>
      <c r="FP3" s="755"/>
      <c r="FQ3" s="755"/>
      <c r="FR3" s="755"/>
      <c r="FS3" s="755"/>
      <c r="FT3" s="3316"/>
      <c r="FU3" s="3307"/>
      <c r="FV3" s="3307"/>
      <c r="FW3" s="3310" t="s">
        <v>4294</v>
      </c>
      <c r="FX3" s="678" t="str">
        <f>'1 Setup'!R33</f>
        <v>3b:  Activity Plan</v>
      </c>
      <c r="FY3" s="3334"/>
      <c r="FZ3" s="3335"/>
      <c r="GA3" s="217"/>
      <c r="GB3" s="3308"/>
      <c r="GC3" s="3309"/>
      <c r="GD3" s="755"/>
      <c r="GE3" s="755"/>
      <c r="GF3" s="755"/>
      <c r="GG3" s="755"/>
      <c r="GH3" s="755"/>
      <c r="GI3" s="755"/>
      <c r="GJ3" s="755"/>
      <c r="GK3" s="755"/>
      <c r="GL3" s="755"/>
      <c r="GM3" s="755"/>
      <c r="GN3" s="755"/>
      <c r="GO3" s="755"/>
      <c r="GP3" s="2284"/>
      <c r="GQ3" s="755"/>
      <c r="GR3" s="755"/>
      <c r="GS3" s="755"/>
      <c r="GT3" s="755"/>
      <c r="GU3" s="755"/>
      <c r="GV3" s="755"/>
      <c r="GW3" s="755"/>
      <c r="GX3" s="755"/>
      <c r="GY3" s="755"/>
      <c r="GZ3" s="755"/>
      <c r="HA3" s="755"/>
      <c r="HB3" s="755"/>
    </row>
    <row r="4" spans="1:210" s="749" customFormat="1" ht="14.25" hidden="1" customHeight="1" x14ac:dyDescent="0.25">
      <c r="A4" s="755"/>
      <c r="B4" s="755"/>
      <c r="C4" s="755"/>
      <c r="D4" s="755"/>
      <c r="E4" s="755"/>
      <c r="F4" s="755"/>
      <c r="G4" s="755"/>
      <c r="H4" s="755"/>
      <c r="I4" s="755"/>
      <c r="J4" s="755"/>
      <c r="K4" s="755"/>
      <c r="L4" s="755"/>
      <c r="M4" s="755"/>
      <c r="N4" s="755"/>
      <c r="O4" s="755"/>
      <c r="P4" s="755"/>
      <c r="Q4" s="755"/>
      <c r="R4" s="755"/>
      <c r="S4" s="755"/>
      <c r="T4" s="755"/>
      <c r="U4" s="755"/>
      <c r="V4" s="755"/>
      <c r="W4" s="755"/>
      <c r="X4" s="755"/>
      <c r="Y4" s="755"/>
      <c r="Z4" s="755"/>
      <c r="AA4" s="755"/>
      <c r="AB4" s="755"/>
      <c r="AC4" s="755"/>
      <c r="AD4" s="755"/>
      <c r="AE4" s="755"/>
      <c r="AF4" s="755"/>
      <c r="AG4" s="755"/>
      <c r="AH4" s="755"/>
      <c r="AI4" s="755"/>
      <c r="AJ4" s="755"/>
      <c r="AK4" s="755"/>
      <c r="AL4" s="755"/>
      <c r="AM4" s="755"/>
      <c r="AN4" s="755"/>
      <c r="AO4" s="755"/>
      <c r="AP4" s="755"/>
      <c r="AQ4" s="755"/>
      <c r="AR4" s="755"/>
      <c r="AS4" s="755"/>
      <c r="AT4" s="755"/>
      <c r="AU4" s="755"/>
      <c r="AV4" s="755"/>
      <c r="AW4" s="755"/>
      <c r="AX4" s="755"/>
      <c r="AY4" s="755"/>
      <c r="AZ4" s="755"/>
      <c r="BA4" s="755"/>
      <c r="BB4" s="755"/>
      <c r="BC4" s="755"/>
      <c r="BD4" s="755"/>
      <c r="BE4" s="755"/>
      <c r="BF4" s="755"/>
      <c r="BG4" s="755"/>
      <c r="BH4" s="755"/>
      <c r="BI4" s="755"/>
      <c r="BJ4" s="755"/>
      <c r="BK4" s="755"/>
      <c r="BL4" s="755"/>
      <c r="BM4" s="755"/>
      <c r="BN4" s="755"/>
      <c r="BO4" s="755"/>
      <c r="BP4" s="755"/>
      <c r="BQ4" s="755"/>
      <c r="BR4" s="755"/>
      <c r="BS4" s="755"/>
      <c r="BT4" s="755"/>
      <c r="BU4" s="755"/>
      <c r="BV4" s="755"/>
      <c r="BW4" s="755"/>
      <c r="BX4" s="755"/>
      <c r="BY4" s="755"/>
      <c r="BZ4" s="755"/>
      <c r="CA4" s="755"/>
      <c r="CB4" s="755"/>
      <c r="CC4" s="755"/>
      <c r="CD4" s="755"/>
      <c r="CE4" s="755"/>
      <c r="CF4" s="755"/>
      <c r="CG4" s="755"/>
      <c r="CH4" s="755"/>
      <c r="CI4" s="755"/>
      <c r="CJ4" s="755"/>
      <c r="CK4" s="755"/>
      <c r="CL4" s="755"/>
      <c r="CM4" s="755"/>
      <c r="CN4" s="755"/>
      <c r="CO4" s="755"/>
      <c r="CP4" s="755"/>
      <c r="CQ4" s="755"/>
      <c r="CR4" s="755"/>
      <c r="CS4" s="755"/>
      <c r="CT4" s="755"/>
      <c r="CU4" s="755"/>
      <c r="CV4" s="755"/>
      <c r="CW4" s="755"/>
      <c r="CX4" s="755"/>
      <c r="CY4" s="755"/>
      <c r="CZ4" s="755"/>
      <c r="DA4" s="755"/>
      <c r="DB4" s="755"/>
      <c r="DC4" s="755"/>
      <c r="DD4" s="755"/>
      <c r="DE4" s="755"/>
      <c r="DF4" s="755"/>
      <c r="DG4" s="755"/>
      <c r="DH4" s="755"/>
      <c r="DI4" s="755"/>
      <c r="DJ4" s="755"/>
      <c r="DK4" s="755"/>
      <c r="DL4" s="755"/>
      <c r="DM4" s="755"/>
      <c r="DN4" s="755"/>
      <c r="DO4" s="755"/>
      <c r="DP4" s="755"/>
      <c r="DQ4" s="755"/>
      <c r="DR4" s="755"/>
      <c r="DS4" s="755"/>
      <c r="DT4" s="755"/>
      <c r="DU4" s="755"/>
      <c r="DV4" s="755"/>
      <c r="DW4" s="755"/>
      <c r="DX4" s="755"/>
      <c r="DY4" s="755"/>
      <c r="DZ4" s="755"/>
      <c r="EA4" s="755"/>
      <c r="EB4" s="755"/>
      <c r="EC4" s="755"/>
      <c r="ED4" s="755"/>
      <c r="EE4" s="755"/>
      <c r="EF4" s="755"/>
      <c r="EG4" s="755"/>
      <c r="EH4" s="755"/>
      <c r="EI4" s="755"/>
      <c r="EJ4" s="755"/>
      <c r="EK4" s="755"/>
      <c r="EL4" s="755"/>
      <c r="EM4" s="755"/>
      <c r="EN4" s="755"/>
      <c r="EO4" s="755"/>
      <c r="EP4" s="755"/>
      <c r="EQ4" s="755"/>
      <c r="ER4" s="755"/>
      <c r="ES4" s="755"/>
      <c r="ET4" s="755"/>
      <c r="EU4" s="755"/>
      <c r="EV4" s="755"/>
      <c r="EW4" s="755"/>
      <c r="EX4" s="755"/>
      <c r="EY4" s="755"/>
      <c r="EZ4" s="755"/>
      <c r="FA4" s="755"/>
      <c r="FB4" s="755"/>
      <c r="FC4" s="755"/>
      <c r="FD4" s="755"/>
      <c r="FE4" s="755"/>
      <c r="FF4" s="755"/>
      <c r="FG4" s="755"/>
      <c r="FH4" s="755"/>
      <c r="FI4" s="755"/>
      <c r="FJ4" s="755"/>
      <c r="FK4" s="755"/>
      <c r="FL4" s="755"/>
      <c r="FM4" s="755"/>
      <c r="FN4" s="755"/>
      <c r="FO4" s="755"/>
      <c r="FP4" s="755"/>
      <c r="FQ4" s="755"/>
      <c r="FR4" s="755"/>
      <c r="FS4" s="755"/>
      <c r="FT4" s="3316"/>
      <c r="FU4" s="3307"/>
      <c r="FV4" s="3307"/>
      <c r="FW4" s="3310" t="s">
        <v>832</v>
      </c>
      <c r="FX4" s="678" t="str">
        <f>'1 Setup'!I84</f>
        <v>10.  Category Rates with Scaling Factor</v>
      </c>
      <c r="FY4" s="3334"/>
      <c r="FZ4" s="3335"/>
      <c r="GA4" s="217"/>
      <c r="GB4" s="3308"/>
      <c r="GC4" s="3309"/>
      <c r="GD4" s="755"/>
      <c r="GE4" s="755"/>
      <c r="GF4" s="755"/>
      <c r="GG4" s="755"/>
      <c r="GH4" s="755"/>
      <c r="GI4" s="755"/>
      <c r="GJ4" s="755"/>
      <c r="GK4" s="755"/>
      <c r="GL4" s="755"/>
      <c r="GM4" s="755"/>
      <c r="GN4" s="755"/>
      <c r="GO4" s="755"/>
      <c r="GP4" s="2284"/>
      <c r="GQ4" s="755"/>
      <c r="GR4" s="755"/>
      <c r="GS4" s="755"/>
      <c r="GT4" s="755"/>
      <c r="GU4" s="755"/>
      <c r="GV4" s="755"/>
      <c r="GW4" s="755"/>
      <c r="GX4" s="755"/>
      <c r="GY4" s="755"/>
      <c r="GZ4" s="755"/>
      <c r="HA4" s="755"/>
      <c r="HB4" s="755"/>
    </row>
    <row r="5" spans="1:210" s="272" customFormat="1" ht="14.25" hidden="1" customHeight="1" thickBot="1" x14ac:dyDescent="0.3">
      <c r="A5" s="755"/>
      <c r="B5" s="755"/>
      <c r="C5" s="755"/>
      <c r="D5" s="755"/>
      <c r="E5" s="755"/>
      <c r="F5" s="755"/>
      <c r="G5" s="755"/>
      <c r="H5" s="755"/>
      <c r="I5" s="755"/>
      <c r="J5" s="755"/>
      <c r="K5" s="755"/>
      <c r="L5" s="755"/>
      <c r="M5" s="755"/>
      <c r="N5" s="755"/>
      <c r="O5" s="755"/>
      <c r="P5" s="755"/>
      <c r="Q5" s="755"/>
      <c r="R5" s="755"/>
      <c r="S5" s="755"/>
      <c r="T5" s="755"/>
      <c r="U5" s="755"/>
      <c r="V5" s="755"/>
      <c r="W5" s="755"/>
      <c r="X5" s="755"/>
      <c r="Y5" s="755"/>
      <c r="Z5" s="755"/>
      <c r="AA5" s="755"/>
      <c r="AB5" s="755"/>
      <c r="AC5" s="755"/>
      <c r="AD5" s="755"/>
      <c r="AE5" s="755"/>
      <c r="AF5" s="275"/>
      <c r="AG5" s="755"/>
      <c r="AH5" s="755"/>
      <c r="AI5" s="755"/>
      <c r="AJ5" s="755"/>
      <c r="AK5" s="755"/>
      <c r="AL5" s="755"/>
      <c r="AM5" s="755"/>
      <c r="AN5" s="755"/>
      <c r="AO5" s="755"/>
      <c r="AP5" s="755"/>
      <c r="AQ5" s="755"/>
      <c r="AR5" s="755"/>
      <c r="AS5" s="755"/>
      <c r="AT5" s="755"/>
      <c r="AU5" s="755"/>
      <c r="AV5" s="755"/>
      <c r="AW5" s="755"/>
      <c r="AX5" s="755"/>
      <c r="AY5" s="755"/>
      <c r="AZ5" s="755"/>
      <c r="BA5" s="755"/>
      <c r="BB5" s="755"/>
      <c r="BC5" s="755"/>
      <c r="BD5" s="755"/>
      <c r="BE5" s="755"/>
      <c r="BF5" s="755"/>
      <c r="BG5" s="755"/>
      <c r="BH5" s="755"/>
      <c r="BI5" s="755"/>
      <c r="BJ5" s="755"/>
      <c r="BK5" s="755"/>
      <c r="BL5" s="755"/>
      <c r="BM5" s="755"/>
      <c r="BN5" s="755"/>
      <c r="BO5" s="755"/>
      <c r="BP5" s="755"/>
      <c r="BQ5" s="755"/>
      <c r="BR5" s="755"/>
      <c r="BS5" s="755"/>
      <c r="BT5" s="755"/>
      <c r="BU5" s="755"/>
      <c r="BV5" s="755"/>
      <c r="BW5" s="755"/>
      <c r="BX5" s="755"/>
      <c r="BY5" s="755"/>
      <c r="BZ5" s="755"/>
      <c r="CA5" s="755"/>
      <c r="CB5" s="755"/>
      <c r="CC5" s="755"/>
      <c r="CD5" s="755"/>
      <c r="CE5" s="755"/>
      <c r="CF5" s="755"/>
      <c r="CG5" s="755"/>
      <c r="CH5" s="755"/>
      <c r="CI5" s="755"/>
      <c r="CJ5" s="755"/>
      <c r="CK5" s="755"/>
      <c r="CL5" s="755"/>
      <c r="CM5" s="755"/>
      <c r="CN5" s="755"/>
      <c r="CO5" s="755"/>
      <c r="CP5" s="755"/>
      <c r="CQ5" s="755"/>
      <c r="CR5" s="755"/>
      <c r="CS5" s="755"/>
      <c r="CT5" s="755"/>
      <c r="CU5" s="755"/>
      <c r="CV5" s="755"/>
      <c r="CW5" s="755"/>
      <c r="CX5" s="755"/>
      <c r="CY5" s="755"/>
      <c r="CZ5" s="755"/>
      <c r="DA5" s="755"/>
      <c r="DB5" s="755"/>
      <c r="DC5" s="755"/>
      <c r="DD5" s="755"/>
      <c r="DE5" s="755"/>
      <c r="DF5" s="755"/>
      <c r="DG5" s="755"/>
      <c r="DH5" s="755"/>
      <c r="DI5" s="755"/>
      <c r="DJ5" s="755"/>
      <c r="DK5" s="755"/>
      <c r="DL5" s="755"/>
      <c r="DM5" s="755"/>
      <c r="DN5" s="755"/>
      <c r="DO5" s="755"/>
      <c r="DP5" s="755"/>
      <c r="DQ5" s="755"/>
      <c r="DR5" s="755"/>
      <c r="DS5" s="755"/>
      <c r="DT5" s="755"/>
      <c r="DU5" s="755"/>
      <c r="DV5" s="755"/>
      <c r="DW5" s="755"/>
      <c r="DX5" s="755"/>
      <c r="DY5" s="755"/>
      <c r="DZ5" s="755"/>
      <c r="EA5" s="275"/>
      <c r="EB5" s="310" t="s">
        <v>60</v>
      </c>
      <c r="EC5" s="755"/>
      <c r="ED5" s="755"/>
      <c r="EE5" s="275"/>
      <c r="EF5" s="755"/>
      <c r="EG5" s="755"/>
      <c r="EH5" s="275"/>
      <c r="EI5" s="755"/>
      <c r="EJ5" s="755"/>
      <c r="EK5" s="275"/>
      <c r="EL5" s="275"/>
      <c r="EM5" s="275"/>
      <c r="EN5" s="275"/>
      <c r="EO5" s="275"/>
      <c r="EP5" s="755"/>
      <c r="EQ5" s="755"/>
      <c r="ER5" s="755"/>
      <c r="ES5" s="755"/>
      <c r="ET5" s="755"/>
      <c r="EU5" s="755"/>
      <c r="EV5" s="755"/>
      <c r="EW5" s="755"/>
      <c r="EX5" s="755"/>
      <c r="EY5" s="755"/>
      <c r="EZ5" s="755"/>
      <c r="FA5" s="755"/>
      <c r="FB5" s="275"/>
      <c r="FC5" s="275"/>
      <c r="FD5" s="755"/>
      <c r="FE5" s="755"/>
      <c r="FF5" s="755"/>
      <c r="FG5" s="275"/>
      <c r="FH5" s="275"/>
      <c r="FI5" s="755"/>
      <c r="FJ5" s="275"/>
      <c r="FK5" s="275"/>
      <c r="FL5" s="275"/>
      <c r="FM5" s="275"/>
      <c r="FN5" s="275"/>
      <c r="FO5" s="275"/>
      <c r="FP5" s="755"/>
      <c r="FQ5" s="755"/>
      <c r="FR5" s="275"/>
      <c r="FS5" s="275"/>
      <c r="FT5" s="3316"/>
      <c r="FU5" s="3307"/>
      <c r="FV5" s="3307"/>
      <c r="FW5" s="3308"/>
      <c r="FX5" s="3336" t="s">
        <v>39</v>
      </c>
      <c r="FY5" s="3336" t="s">
        <v>31</v>
      </c>
      <c r="FZ5" s="3308"/>
      <c r="GA5" s="3308"/>
      <c r="GB5" s="3308"/>
      <c r="GC5" s="3309"/>
      <c r="GD5" s="755"/>
      <c r="GE5" s="755"/>
      <c r="GF5" s="755"/>
      <c r="GG5" s="755"/>
      <c r="GH5" s="755"/>
      <c r="GI5" s="755"/>
      <c r="GJ5" s="755"/>
      <c r="GK5" s="755"/>
      <c r="GL5" s="755"/>
      <c r="GM5" s="755"/>
      <c r="GN5" s="755"/>
      <c r="GO5" s="755"/>
      <c r="GP5" s="2284"/>
      <c r="GQ5" s="755"/>
      <c r="GR5" s="755"/>
      <c r="GS5" s="755"/>
      <c r="GT5" s="755"/>
      <c r="GU5" s="755"/>
      <c r="GV5" s="755"/>
      <c r="GW5" s="755"/>
      <c r="GX5" s="755"/>
      <c r="GY5" s="755"/>
      <c r="GZ5" s="755"/>
      <c r="HA5" s="755"/>
      <c r="HB5" s="755"/>
    </row>
    <row r="6" spans="1:210" s="749" customFormat="1" ht="14.25" hidden="1" customHeight="1" thickBot="1" x14ac:dyDescent="0.3">
      <c r="A6" s="755"/>
      <c r="B6" s="755"/>
      <c r="C6" s="755"/>
      <c r="D6" s="755"/>
      <c r="E6" s="755"/>
      <c r="F6" s="755"/>
      <c r="G6" s="755"/>
      <c r="H6" s="755"/>
      <c r="I6" s="755"/>
      <c r="J6" s="755"/>
      <c r="K6" s="755"/>
      <c r="L6" s="755"/>
      <c r="M6" s="755"/>
      <c r="N6" s="755"/>
      <c r="O6" s="755"/>
      <c r="P6" s="755"/>
      <c r="Q6" s="755"/>
      <c r="R6" s="755"/>
      <c r="S6" s="755"/>
      <c r="T6" s="755"/>
      <c r="U6" s="755"/>
      <c r="V6" s="755"/>
      <c r="W6" s="755"/>
      <c r="X6" s="755"/>
      <c r="Y6" s="755"/>
      <c r="Z6" s="755"/>
      <c r="AA6" s="755"/>
      <c r="AB6" s="755"/>
      <c r="AC6" s="755"/>
      <c r="AD6" s="755"/>
      <c r="AE6" s="755"/>
      <c r="AF6" s="755"/>
      <c r="AG6" s="755"/>
      <c r="AH6" s="755"/>
      <c r="AI6" s="755"/>
      <c r="AJ6" s="755"/>
      <c r="AK6" s="755"/>
      <c r="AL6" s="755"/>
      <c r="AM6" s="755"/>
      <c r="AN6" s="755"/>
      <c r="AO6" s="755"/>
      <c r="AP6" s="755"/>
      <c r="AQ6" s="755"/>
      <c r="AR6" s="755"/>
      <c r="AS6" s="755"/>
      <c r="AT6" s="755"/>
      <c r="AU6" s="755"/>
      <c r="AV6" s="755"/>
      <c r="AW6" s="755"/>
      <c r="AX6" s="755"/>
      <c r="AY6" s="755"/>
      <c r="AZ6" s="755"/>
      <c r="BA6" s="755"/>
      <c r="BB6" s="755"/>
      <c r="BC6" s="755"/>
      <c r="BD6" s="755"/>
      <c r="BE6" s="755"/>
      <c r="BF6" s="755"/>
      <c r="BG6" s="755"/>
      <c r="BH6" s="755"/>
      <c r="BI6" s="755"/>
      <c r="BJ6" s="755"/>
      <c r="BK6" s="755"/>
      <c r="BL6" s="755"/>
      <c r="BM6" s="308"/>
      <c r="BN6" s="412" t="s">
        <v>4036</v>
      </c>
      <c r="BO6" s="755"/>
      <c r="BP6" s="755"/>
      <c r="BQ6" s="755"/>
      <c r="BR6" s="755"/>
      <c r="BS6" s="755"/>
      <c r="BT6" s="755"/>
      <c r="BU6" s="755"/>
      <c r="BV6" s="755"/>
      <c r="BW6" s="755"/>
      <c r="BX6" s="755"/>
      <c r="BY6" s="755"/>
      <c r="BZ6" s="755"/>
      <c r="CA6" s="755"/>
      <c r="CB6" s="755"/>
      <c r="CC6" s="755"/>
      <c r="CD6" s="755"/>
      <c r="CE6" s="755"/>
      <c r="CF6" s="755"/>
      <c r="CG6" s="755"/>
      <c r="CH6" s="755"/>
      <c r="CI6" s="755"/>
      <c r="CJ6" s="755"/>
      <c r="CK6" s="755"/>
      <c r="CL6" s="755"/>
      <c r="CM6" s="755"/>
      <c r="CN6" s="755"/>
      <c r="CO6" s="755"/>
      <c r="CP6" s="755"/>
      <c r="CQ6" s="755"/>
      <c r="CR6" s="755"/>
      <c r="CS6" s="755"/>
      <c r="CT6" s="755"/>
      <c r="CU6" s="755"/>
      <c r="CV6" s="755"/>
      <c r="CW6" s="755"/>
      <c r="CX6" s="755"/>
      <c r="CY6" s="755"/>
      <c r="CZ6" s="755"/>
      <c r="DA6" s="755"/>
      <c r="DB6" s="755"/>
      <c r="DC6" s="755"/>
      <c r="DD6" s="755"/>
      <c r="DE6" s="755"/>
      <c r="DF6" s="755"/>
      <c r="DG6" s="755"/>
      <c r="DH6" s="755"/>
      <c r="DI6" s="755"/>
      <c r="DJ6" s="755"/>
      <c r="DK6" s="755"/>
      <c r="DL6" s="755"/>
      <c r="DM6" s="755"/>
      <c r="DN6" s="755"/>
      <c r="DO6" s="755"/>
      <c r="DP6" s="755"/>
      <c r="DQ6" s="755"/>
      <c r="DR6" s="755"/>
      <c r="DS6" s="755"/>
      <c r="DT6" s="755"/>
      <c r="DU6" s="755"/>
      <c r="DV6" s="755"/>
      <c r="DW6" s="755"/>
      <c r="DX6" s="755"/>
      <c r="DY6" s="755"/>
      <c r="DZ6" s="755"/>
      <c r="EA6" s="755"/>
      <c r="EB6" s="2042" t="str">
        <f>'1 Setup'!G3</f>
        <v>B</v>
      </c>
      <c r="EC6" s="755"/>
      <c r="ED6" s="755"/>
      <c r="EE6" s="755"/>
      <c r="EF6" s="755"/>
      <c r="EG6" s="755"/>
      <c r="EH6" s="755"/>
      <c r="EI6" s="755"/>
      <c r="EJ6" s="755"/>
      <c r="EK6" s="755"/>
      <c r="EL6" s="755"/>
      <c r="EM6" s="755"/>
      <c r="EN6" s="755"/>
      <c r="EO6" s="755"/>
      <c r="EP6" s="755"/>
      <c r="EQ6" s="755"/>
      <c r="ER6" s="755"/>
      <c r="ES6" s="755"/>
      <c r="ET6" s="755"/>
      <c r="EU6" s="755"/>
      <c r="EV6" s="755"/>
      <c r="EW6" s="755"/>
      <c r="EX6" s="755"/>
      <c r="EY6" s="755"/>
      <c r="EZ6" s="755"/>
      <c r="FA6" s="755"/>
      <c r="FB6" s="755"/>
      <c r="FC6" s="755"/>
      <c r="FD6" s="755"/>
      <c r="FE6" s="755"/>
      <c r="FF6" s="755"/>
      <c r="FG6" s="755"/>
      <c r="FH6" s="755"/>
      <c r="FI6" s="755"/>
      <c r="FJ6" s="755"/>
      <c r="FK6" s="755"/>
      <c r="FL6" s="755"/>
      <c r="FM6" s="755"/>
      <c r="FN6" s="755"/>
      <c r="FO6" s="755"/>
      <c r="FP6" s="755"/>
      <c r="FQ6" s="755"/>
      <c r="FR6" s="755"/>
      <c r="FS6" s="755"/>
      <c r="FT6" s="3306"/>
      <c r="FU6" s="3307"/>
      <c r="FV6" s="3308"/>
      <c r="FW6" s="3310" t="s">
        <v>4272</v>
      </c>
      <c r="FX6" s="1861">
        <f ca="1">ImportForecast!T1-FX13</f>
        <v>-45111.674231999998</v>
      </c>
      <c r="FY6" s="1861">
        <f ca="1">ImportForecast!U1-FY13</f>
        <v>-73862.781824999998</v>
      </c>
      <c r="FZ6" s="3308"/>
      <c r="GA6" s="3308"/>
      <c r="GB6" s="3308"/>
      <c r="GC6" s="3309"/>
      <c r="GD6" s="755"/>
      <c r="GE6" s="755"/>
      <c r="GF6" s="755"/>
      <c r="GG6" s="755"/>
      <c r="GH6" s="755"/>
      <c r="GI6" s="755"/>
      <c r="GJ6" s="755"/>
      <c r="GK6" s="755"/>
      <c r="GL6" s="755"/>
      <c r="GM6" s="755"/>
      <c r="GN6" s="755"/>
      <c r="GO6" s="755"/>
      <c r="GP6" s="2284"/>
      <c r="GQ6" s="755"/>
      <c r="GR6" s="755"/>
      <c r="GS6" s="755"/>
      <c r="GT6" s="755"/>
      <c r="GU6" s="755"/>
      <c r="GV6" s="755"/>
      <c r="GW6" s="755"/>
      <c r="GX6" s="755"/>
      <c r="GY6" s="755"/>
      <c r="GZ6" s="755"/>
      <c r="HA6" s="755"/>
      <c r="HB6" s="755"/>
    </row>
    <row r="7" spans="1:210" s="749" customFormat="1" ht="14.25" hidden="1" customHeight="1" thickBot="1" x14ac:dyDescent="0.3">
      <c r="A7" s="755"/>
      <c r="B7" s="755"/>
      <c r="C7" s="755"/>
      <c r="D7" s="755"/>
      <c r="E7" s="755"/>
      <c r="F7" s="755"/>
      <c r="G7" s="755"/>
      <c r="H7" s="755"/>
      <c r="I7" s="755"/>
      <c r="J7" s="755"/>
      <c r="K7" s="755"/>
      <c r="L7" s="755"/>
      <c r="M7" s="755"/>
      <c r="N7" s="755"/>
      <c r="O7" s="755"/>
      <c r="P7" s="755"/>
      <c r="Q7" s="755"/>
      <c r="R7" s="755"/>
      <c r="S7" s="755"/>
      <c r="T7" s="755"/>
      <c r="U7" s="755"/>
      <c r="V7" s="755"/>
      <c r="W7" s="755"/>
      <c r="X7" s="755"/>
      <c r="Y7" s="755"/>
      <c r="Z7" s="755"/>
      <c r="AA7" s="755"/>
      <c r="AB7" s="755"/>
      <c r="AC7" s="755"/>
      <c r="AD7" s="755"/>
      <c r="AE7" s="755"/>
      <c r="AF7" s="755"/>
      <c r="AG7" s="755"/>
      <c r="AH7" s="755"/>
      <c r="AI7" s="755"/>
      <c r="AJ7" s="755"/>
      <c r="AK7" s="755"/>
      <c r="AL7" s="755"/>
      <c r="AM7" s="755"/>
      <c r="AN7" s="755"/>
      <c r="AO7" s="755"/>
      <c r="AP7" s="755"/>
      <c r="AQ7" s="755"/>
      <c r="AR7" s="755"/>
      <c r="AS7" s="755"/>
      <c r="AT7" s="755"/>
      <c r="AU7" s="755"/>
      <c r="AV7" s="755"/>
      <c r="AW7" s="755"/>
      <c r="AX7" s="755"/>
      <c r="AY7" s="755"/>
      <c r="AZ7" s="755"/>
      <c r="BA7" s="755"/>
      <c r="BB7" s="755"/>
      <c r="BC7" s="755"/>
      <c r="BD7" s="755"/>
      <c r="BE7" s="755"/>
      <c r="BF7" s="755"/>
      <c r="BG7" s="755"/>
      <c r="BH7" s="755"/>
      <c r="BI7" s="755"/>
      <c r="BJ7" s="755"/>
      <c r="BK7" s="755"/>
      <c r="BL7" s="755"/>
      <c r="BM7" s="308" t="s">
        <v>643</v>
      </c>
      <c r="BN7" s="1285">
        <v>0</v>
      </c>
      <c r="BO7" s="1285">
        <v>1</v>
      </c>
      <c r="BP7" s="755"/>
      <c r="BQ7" s="755"/>
      <c r="BR7" s="755"/>
      <c r="BS7" s="755"/>
      <c r="BT7" s="755"/>
      <c r="BU7" s="755"/>
      <c r="BV7" s="755"/>
      <c r="BW7" s="755"/>
      <c r="BX7" s="755"/>
      <c r="BY7" s="755"/>
      <c r="BZ7" s="755"/>
      <c r="CA7" s="755"/>
      <c r="CB7" s="755"/>
      <c r="CC7" s="755"/>
      <c r="CD7" s="755"/>
      <c r="CE7" s="755"/>
      <c r="CF7" s="755"/>
      <c r="CG7" s="755"/>
      <c r="CH7" s="755"/>
      <c r="CI7" s="755"/>
      <c r="CJ7" s="755"/>
      <c r="CK7" s="755"/>
      <c r="CL7" s="755"/>
      <c r="CM7" s="755"/>
      <c r="CN7" s="755"/>
      <c r="CO7" s="755"/>
      <c r="CP7" s="755"/>
      <c r="CQ7" s="755"/>
      <c r="CR7" s="755"/>
      <c r="CS7" s="755"/>
      <c r="CT7" s="755"/>
      <c r="CU7" s="755"/>
      <c r="CV7" s="755"/>
      <c r="CW7" s="755"/>
      <c r="CX7" s="755"/>
      <c r="CY7" s="755"/>
      <c r="CZ7" s="748" t="s">
        <v>716</v>
      </c>
      <c r="DA7" s="411" t="s">
        <v>717</v>
      </c>
      <c r="DB7" s="755"/>
      <c r="DC7" s="748" t="s">
        <v>729</v>
      </c>
      <c r="DD7" s="411" t="s">
        <v>724</v>
      </c>
      <c r="DE7" s="755"/>
      <c r="DF7" s="748" t="s">
        <v>678</v>
      </c>
      <c r="DG7" s="411" t="s">
        <v>670</v>
      </c>
      <c r="DH7" s="755"/>
      <c r="DI7" s="748" t="s">
        <v>686</v>
      </c>
      <c r="DJ7" s="411" t="s">
        <v>691</v>
      </c>
      <c r="DK7" s="755"/>
      <c r="DL7" s="748" t="s">
        <v>702</v>
      </c>
      <c r="DM7" s="411" t="s">
        <v>705</v>
      </c>
      <c r="DN7" s="755"/>
      <c r="DO7" s="748" t="s">
        <v>696</v>
      </c>
      <c r="DP7" s="411" t="s">
        <v>691</v>
      </c>
      <c r="DQ7" s="275"/>
      <c r="DR7" s="755"/>
      <c r="DS7" s="748" t="s">
        <v>736</v>
      </c>
      <c r="DT7" s="411" t="s">
        <v>740</v>
      </c>
      <c r="DU7" s="755"/>
      <c r="DV7" s="755"/>
      <c r="DW7" s="748" t="s">
        <v>735</v>
      </c>
      <c r="DX7" s="411" t="s">
        <v>289</v>
      </c>
      <c r="DY7" s="755"/>
      <c r="DZ7" s="755"/>
      <c r="EA7" s="755"/>
      <c r="EB7" s="755"/>
      <c r="EC7" s="755"/>
      <c r="ED7" s="755"/>
      <c r="EE7" s="755"/>
      <c r="EF7" s="755"/>
      <c r="EG7" s="755"/>
      <c r="EH7" s="755"/>
      <c r="EI7" s="755"/>
      <c r="EJ7" s="755"/>
      <c r="EK7" s="755"/>
      <c r="EL7" s="755"/>
      <c r="EM7" s="755"/>
      <c r="EN7" s="755"/>
      <c r="EO7" s="755"/>
      <c r="EP7" s="755"/>
      <c r="EQ7" s="755"/>
      <c r="ER7" s="755"/>
      <c r="ES7" s="755"/>
      <c r="ET7" s="755"/>
      <c r="EU7" s="755"/>
      <c r="EV7" s="755"/>
      <c r="EW7" s="755"/>
      <c r="EX7" s="755"/>
      <c r="EY7" s="755"/>
      <c r="EZ7" s="755"/>
      <c r="FA7" s="755"/>
      <c r="FB7" s="755"/>
      <c r="FC7" s="755"/>
      <c r="FD7" s="755"/>
      <c r="FE7" s="755"/>
      <c r="FF7" s="755"/>
      <c r="FG7" s="755"/>
      <c r="FH7" s="755"/>
      <c r="FI7" s="755"/>
      <c r="FJ7" s="755"/>
      <c r="FK7" s="755"/>
      <c r="FL7" s="755"/>
      <c r="FM7" s="755"/>
      <c r="FN7" s="755"/>
      <c r="FO7" s="755"/>
      <c r="FP7" s="755"/>
      <c r="FQ7" s="755"/>
      <c r="FR7" s="755"/>
      <c r="FS7" s="755"/>
      <c r="FT7" s="3306"/>
      <c r="FU7" s="3307"/>
      <c r="FV7" s="3308"/>
      <c r="FW7" s="3310" t="s">
        <v>4271</v>
      </c>
      <c r="FX7" s="1861">
        <f ca="1">ImportChangeDetails!Y1-FX13</f>
        <v>-42753.684232</v>
      </c>
      <c r="FY7" s="1861">
        <f ca="1">ImportChangeDetails!Z1-FY13</f>
        <v>-73862.781824999998</v>
      </c>
      <c r="FZ7" s="3308"/>
      <c r="GA7" s="3308"/>
      <c r="GB7" s="3308"/>
      <c r="GC7" s="3309"/>
      <c r="GD7" s="755"/>
      <c r="GE7" s="755"/>
      <c r="GF7" s="755"/>
      <c r="GG7" s="755"/>
      <c r="GH7" s="755"/>
      <c r="GI7" s="755"/>
      <c r="GJ7" s="755"/>
      <c r="GK7" s="755"/>
      <c r="GL7" s="755"/>
      <c r="GM7" s="755"/>
      <c r="GN7" s="755"/>
      <c r="GO7" s="755"/>
      <c r="GP7" s="2284"/>
      <c r="GQ7" s="755"/>
      <c r="GR7" s="755"/>
      <c r="GS7" s="755"/>
      <c r="GT7" s="755"/>
      <c r="GU7" s="755"/>
      <c r="GV7" s="755"/>
      <c r="GW7" s="755"/>
      <c r="GX7" s="755"/>
      <c r="GY7" s="755"/>
      <c r="GZ7" s="755"/>
      <c r="HA7" s="755"/>
      <c r="HB7" s="755"/>
    </row>
    <row r="8" spans="1:210" s="272" customFormat="1" ht="15" hidden="1" customHeight="1" thickBot="1" x14ac:dyDescent="0.3">
      <c r="A8" s="755"/>
      <c r="B8" s="755"/>
      <c r="C8" s="755"/>
      <c r="D8" s="755"/>
      <c r="E8" s="755"/>
      <c r="F8" s="755"/>
      <c r="G8" s="755"/>
      <c r="H8" s="755"/>
      <c r="I8" s="755"/>
      <c r="J8" s="755"/>
      <c r="K8" s="755"/>
      <c r="L8" s="755"/>
      <c r="M8" s="755"/>
      <c r="N8" s="755"/>
      <c r="O8" s="755"/>
      <c r="P8" s="755"/>
      <c r="Q8" s="755"/>
      <c r="R8" s="755"/>
      <c r="S8" s="755"/>
      <c r="T8" s="755"/>
      <c r="U8" s="755"/>
      <c r="V8" s="755"/>
      <c r="W8" s="755"/>
      <c r="X8" s="755"/>
      <c r="Y8" s="755"/>
      <c r="Z8" s="755"/>
      <c r="AA8" s="755"/>
      <c r="AB8" s="755"/>
      <c r="AC8" s="755"/>
      <c r="AD8" s="755"/>
      <c r="AE8" s="755"/>
      <c r="AF8" s="275"/>
      <c r="AG8" s="755"/>
      <c r="AH8" s="755"/>
      <c r="AI8" s="755"/>
      <c r="AJ8" s="755"/>
      <c r="AK8" s="755"/>
      <c r="AL8" s="755"/>
      <c r="AM8" s="755"/>
      <c r="AN8" s="755"/>
      <c r="AO8" s="755"/>
      <c r="AP8" s="755"/>
      <c r="AQ8" s="755"/>
      <c r="AR8" s="755"/>
      <c r="AS8" s="755"/>
      <c r="AT8" s="755"/>
      <c r="AU8" s="755"/>
      <c r="AV8" s="755"/>
      <c r="AW8" s="755"/>
      <c r="AX8" s="755"/>
      <c r="AY8" s="755"/>
      <c r="AZ8" s="755"/>
      <c r="BA8" s="755"/>
      <c r="BB8" s="755"/>
      <c r="BC8" s="755"/>
      <c r="BD8" s="755"/>
      <c r="BE8" s="755"/>
      <c r="BF8" s="755"/>
      <c r="BG8" s="755"/>
      <c r="BH8" s="755"/>
      <c r="BI8" s="755"/>
      <c r="BJ8" s="755"/>
      <c r="BK8" s="755"/>
      <c r="BL8" s="755"/>
      <c r="BM8" s="308" t="s">
        <v>641</v>
      </c>
      <c r="BN8" s="1285">
        <v>1</v>
      </c>
      <c r="BO8" s="1285">
        <v>1</v>
      </c>
      <c r="BP8" s="755"/>
      <c r="BQ8" s="755"/>
      <c r="BR8" s="755"/>
      <c r="BS8" s="755"/>
      <c r="BT8" s="755"/>
      <c r="BU8" s="755"/>
      <c r="BV8" s="755"/>
      <c r="BW8" s="755"/>
      <c r="BX8" s="755"/>
      <c r="BY8" s="755"/>
      <c r="BZ8" s="755"/>
      <c r="CA8" s="755"/>
      <c r="CB8" s="755"/>
      <c r="CC8" s="755"/>
      <c r="CD8" s="755"/>
      <c r="CE8" s="755"/>
      <c r="CF8" s="755"/>
      <c r="CG8" s="755"/>
      <c r="CH8" s="755"/>
      <c r="CI8" s="755"/>
      <c r="CJ8" s="755"/>
      <c r="CK8" s="755"/>
      <c r="CL8" s="755"/>
      <c r="CM8" s="755"/>
      <c r="CN8" s="755"/>
      <c r="CO8" s="755"/>
      <c r="CP8" s="755"/>
      <c r="CQ8" s="755"/>
      <c r="CR8" s="755"/>
      <c r="CS8" s="755"/>
      <c r="CT8" s="755"/>
      <c r="CU8" s="755"/>
      <c r="CV8" s="755"/>
      <c r="CW8" s="755"/>
      <c r="CX8" s="755"/>
      <c r="CY8" s="755"/>
      <c r="CZ8" s="748" t="s">
        <v>721</v>
      </c>
      <c r="DA8" s="411" t="s">
        <v>718</v>
      </c>
      <c r="DB8" s="755"/>
      <c r="DC8" s="748" t="s">
        <v>730</v>
      </c>
      <c r="DD8" s="411" t="s">
        <v>725</v>
      </c>
      <c r="DE8" s="755"/>
      <c r="DF8" s="748" t="s">
        <v>679</v>
      </c>
      <c r="DG8" s="411" t="s">
        <v>673</v>
      </c>
      <c r="DH8" s="755"/>
      <c r="DI8" s="748" t="s">
        <v>687</v>
      </c>
      <c r="DJ8" s="411" t="s">
        <v>692</v>
      </c>
      <c r="DK8" s="755"/>
      <c r="DL8" s="748" t="s">
        <v>708</v>
      </c>
      <c r="DM8" s="411" t="s">
        <v>706</v>
      </c>
      <c r="DN8" s="755"/>
      <c r="DO8" s="748" t="s">
        <v>697</v>
      </c>
      <c r="DP8" s="411" t="s">
        <v>692</v>
      </c>
      <c r="DQ8" s="275"/>
      <c r="DR8" s="755"/>
      <c r="DS8" s="748" t="s">
        <v>737</v>
      </c>
      <c r="DT8" s="411" t="s">
        <v>741</v>
      </c>
      <c r="DU8" s="755"/>
      <c r="DV8" s="755"/>
      <c r="DW8" s="748" t="s">
        <v>713</v>
      </c>
      <c r="DX8" s="411" t="s">
        <v>287</v>
      </c>
      <c r="DY8" s="755"/>
      <c r="DZ8" s="755"/>
      <c r="EA8" s="1483">
        <f>MATCH(EW24,EB8:EB13,0)+2</f>
        <v>6</v>
      </c>
      <c r="EB8" s="1464" t="s">
        <v>286</v>
      </c>
      <c r="EC8" s="412"/>
      <c r="ED8" s="412"/>
      <c r="EE8" s="411" t="s">
        <v>5</v>
      </c>
      <c r="EF8" s="412"/>
      <c r="EG8" s="748">
        <v>1</v>
      </c>
      <c r="EH8" s="950" t="s">
        <v>1740</v>
      </c>
      <c r="EI8" s="755"/>
      <c r="EJ8" s="755"/>
      <c r="EK8" s="755"/>
      <c r="EL8" s="275"/>
      <c r="EM8" s="755"/>
      <c r="EN8" s="1205" t="s">
        <v>1497</v>
      </c>
      <c r="EO8" s="275"/>
      <c r="EP8" s="755"/>
      <c r="EQ8" s="755"/>
      <c r="ER8" s="755"/>
      <c r="ES8" s="755"/>
      <c r="ET8" s="755"/>
      <c r="EU8" s="755"/>
      <c r="EV8" s="755"/>
      <c r="EW8" s="755"/>
      <c r="EX8" s="755"/>
      <c r="EY8" s="755"/>
      <c r="EZ8" s="755"/>
      <c r="FA8" s="755"/>
      <c r="FB8" s="275"/>
      <c r="FC8" s="755"/>
      <c r="FD8" s="755"/>
      <c r="FE8" s="755"/>
      <c r="FF8" s="755"/>
      <c r="FG8" s="755"/>
      <c r="FH8" s="755"/>
      <c r="FI8" s="755"/>
      <c r="FJ8" s="755"/>
      <c r="FK8" s="755"/>
      <c r="FL8" s="755"/>
      <c r="FM8" s="755"/>
      <c r="FN8" s="755"/>
      <c r="FO8" s="755"/>
      <c r="FP8" s="755"/>
      <c r="FQ8" s="755"/>
      <c r="FR8" s="755"/>
      <c r="FS8" s="755"/>
      <c r="FT8" s="3311"/>
      <c r="FU8" s="3308"/>
      <c r="FV8" s="3308"/>
      <c r="FW8" s="3310" t="s">
        <v>4270</v>
      </c>
      <c r="FX8" s="3300">
        <f ca="1">ImportOriginalBudget!T1-FX13</f>
        <v>-45111.674231999998</v>
      </c>
      <c r="FY8" s="3300">
        <f ca="1">ImportOriginalBudget!U1-FY13</f>
        <v>-73862.781824999998</v>
      </c>
      <c r="FZ8" s="3308"/>
      <c r="GA8" s="3308"/>
      <c r="GB8" s="3308"/>
      <c r="GC8" s="3309"/>
      <c r="GD8" s="755"/>
      <c r="GE8" s="755"/>
      <c r="GF8" s="755"/>
      <c r="GG8" s="755"/>
      <c r="GH8" s="755"/>
      <c r="GI8" s="755"/>
      <c r="GJ8" s="755"/>
      <c r="GK8" s="755"/>
      <c r="GL8" s="755"/>
      <c r="GM8" s="755"/>
      <c r="GN8" s="755"/>
      <c r="GO8" s="755"/>
      <c r="GP8" s="2284"/>
      <c r="GQ8" s="755"/>
      <c r="GR8" s="755"/>
      <c r="GS8" s="755"/>
      <c r="GT8" s="755"/>
      <c r="GU8" s="755"/>
      <c r="GV8" s="755"/>
      <c r="GW8" s="755"/>
      <c r="GX8" s="755"/>
      <c r="GY8" s="755"/>
      <c r="GZ8" s="755"/>
      <c r="HA8" s="755"/>
      <c r="HB8" s="755"/>
    </row>
    <row r="9" spans="1:210" ht="13.5" hidden="1" customHeight="1" x14ac:dyDescent="0.3">
      <c r="A9" s="755"/>
      <c r="B9" s="755"/>
      <c r="C9" s="755"/>
      <c r="D9" s="755"/>
      <c r="E9" s="755"/>
      <c r="F9" s="755"/>
      <c r="G9" s="755"/>
      <c r="H9" s="755"/>
      <c r="I9" s="755"/>
      <c r="J9" s="755"/>
      <c r="K9" s="755"/>
      <c r="L9" s="755"/>
      <c r="M9" s="755"/>
      <c r="N9" s="755"/>
      <c r="O9" s="755"/>
      <c r="P9" s="755"/>
      <c r="Q9" s="755"/>
      <c r="R9" s="755"/>
      <c r="S9" s="755"/>
      <c r="T9" s="755"/>
      <c r="U9" s="755"/>
      <c r="V9" s="755"/>
      <c r="W9" s="755"/>
      <c r="X9" s="755"/>
      <c r="Y9" s="755"/>
      <c r="Z9" s="755"/>
      <c r="AA9" s="755"/>
      <c r="AB9" s="755"/>
      <c r="AC9" s="755"/>
      <c r="AD9" s="755"/>
      <c r="AE9" s="755"/>
      <c r="AF9" s="275"/>
      <c r="AG9" s="755"/>
      <c r="AH9" s="755"/>
      <c r="AI9" s="755"/>
      <c r="AJ9" s="755"/>
      <c r="AK9" s="755"/>
      <c r="AL9" s="755"/>
      <c r="AM9" s="755"/>
      <c r="AN9" s="755"/>
      <c r="AO9" s="755"/>
      <c r="AP9" s="755"/>
      <c r="AQ9" s="755"/>
      <c r="AR9" s="755"/>
      <c r="AS9" s="755"/>
      <c r="AT9" s="755"/>
      <c r="AU9" s="755"/>
      <c r="AV9" s="755"/>
      <c r="AW9" s="755"/>
      <c r="AX9" s="755"/>
      <c r="AY9" s="755"/>
      <c r="AZ9" s="755"/>
      <c r="BA9" s="755"/>
      <c r="BB9" s="755"/>
      <c r="BC9" s="755"/>
      <c r="BD9" s="755"/>
      <c r="BE9" s="755"/>
      <c r="BF9" s="755"/>
      <c r="BG9" s="755"/>
      <c r="BH9" s="755"/>
      <c r="BI9" s="755"/>
      <c r="BJ9" s="755"/>
      <c r="BK9" s="755"/>
      <c r="BL9" s="755"/>
      <c r="BM9" s="308" t="s">
        <v>822</v>
      </c>
      <c r="BN9" s="1285">
        <v>2</v>
      </c>
      <c r="BO9" s="1285">
        <v>1</v>
      </c>
      <c r="BP9" s="755"/>
      <c r="BQ9" s="755"/>
      <c r="BR9" s="755"/>
      <c r="BS9" s="755"/>
      <c r="BT9" s="755"/>
      <c r="BU9" s="755"/>
      <c r="BV9" s="755"/>
      <c r="BW9" s="755"/>
      <c r="BX9" s="755"/>
      <c r="BY9" s="755"/>
      <c r="BZ9" s="755"/>
      <c r="CA9" s="755"/>
      <c r="CB9" s="755"/>
      <c r="CC9" s="755"/>
      <c r="CD9" s="755"/>
      <c r="CE9" s="755"/>
      <c r="CF9" s="755"/>
      <c r="CG9" s="755"/>
      <c r="CH9" s="755"/>
      <c r="CI9" s="755"/>
      <c r="CJ9" s="755"/>
      <c r="CK9" s="755"/>
      <c r="CL9" s="755"/>
      <c r="CM9" s="755"/>
      <c r="CN9" s="755"/>
      <c r="CO9" s="755"/>
      <c r="CP9" s="755"/>
      <c r="CQ9" s="755"/>
      <c r="CR9" s="755"/>
      <c r="CS9" s="755"/>
      <c r="CT9" s="755"/>
      <c r="CU9" s="755"/>
      <c r="CV9" s="755"/>
      <c r="CW9" s="755"/>
      <c r="CX9" s="755"/>
      <c r="CY9" s="755"/>
      <c r="CZ9" s="748" t="s">
        <v>722</v>
      </c>
      <c r="DA9" s="411" t="s">
        <v>720</v>
      </c>
      <c r="DB9" s="755"/>
      <c r="DC9" s="748" t="s">
        <v>731</v>
      </c>
      <c r="DD9" s="411" t="s">
        <v>726</v>
      </c>
      <c r="DE9" s="755"/>
      <c r="DF9" s="748" t="s">
        <v>680</v>
      </c>
      <c r="DG9" s="411" t="s">
        <v>671</v>
      </c>
      <c r="DH9" s="755"/>
      <c r="DI9" s="748" t="s">
        <v>688</v>
      </c>
      <c r="DJ9" s="411" t="s">
        <v>693</v>
      </c>
      <c r="DK9" s="755"/>
      <c r="DL9" s="748" t="s">
        <v>703</v>
      </c>
      <c r="DM9" s="411" t="s">
        <v>707</v>
      </c>
      <c r="DN9" s="755"/>
      <c r="DO9" s="748" t="s">
        <v>698</v>
      </c>
      <c r="DP9" s="411" t="s">
        <v>693</v>
      </c>
      <c r="DQ9" s="275"/>
      <c r="DR9" s="755"/>
      <c r="DS9" s="748" t="s">
        <v>738</v>
      </c>
      <c r="DT9" s="411" t="s">
        <v>742</v>
      </c>
      <c r="DU9" s="755"/>
      <c r="DV9" s="755"/>
      <c r="DW9" s="748" t="s">
        <v>715</v>
      </c>
      <c r="DX9" s="411" t="s">
        <v>288</v>
      </c>
      <c r="DY9" s="755"/>
      <c r="DZ9" s="755"/>
      <c r="EA9" s="412"/>
      <c r="EB9" s="262" t="s">
        <v>239</v>
      </c>
      <c r="EC9" s="412"/>
      <c r="ED9" s="412"/>
      <c r="EE9" s="813" t="s">
        <v>1774</v>
      </c>
      <c r="EF9" s="412"/>
      <c r="EG9" s="412"/>
      <c r="EH9" s="950" t="s">
        <v>2109</v>
      </c>
      <c r="EI9" s="755"/>
      <c r="EJ9" s="755"/>
      <c r="EK9" s="755"/>
      <c r="EL9" s="275"/>
      <c r="EM9" s="755"/>
      <c r="EN9" s="1205" t="s">
        <v>1498</v>
      </c>
      <c r="EO9" s="275"/>
      <c r="EP9" s="755"/>
      <c r="EQ9" s="755"/>
      <c r="ER9" s="755"/>
      <c r="ES9" s="755"/>
      <c r="ET9" s="755"/>
      <c r="EU9" s="755"/>
      <c r="EV9" s="755"/>
      <c r="EW9" s="755"/>
      <c r="EX9" s="755"/>
      <c r="EY9" s="755"/>
      <c r="EZ9" s="755"/>
      <c r="FA9" s="755"/>
      <c r="FB9" s="275"/>
      <c r="FC9" s="755"/>
      <c r="FD9" s="755"/>
      <c r="FE9" s="755"/>
      <c r="FF9" s="755"/>
      <c r="FG9" s="755"/>
      <c r="FH9" s="755"/>
      <c r="FI9" s="755"/>
      <c r="FJ9" s="755"/>
      <c r="FK9" s="755"/>
      <c r="FL9" s="755"/>
      <c r="FM9" s="755"/>
      <c r="FN9" s="755"/>
      <c r="FO9" s="755"/>
      <c r="FP9" s="755"/>
      <c r="FQ9" s="755"/>
      <c r="FR9" s="755"/>
      <c r="FS9" s="755"/>
      <c r="FT9" s="3311"/>
      <c r="FU9" s="3308"/>
      <c r="FV9" s="3308"/>
      <c r="FW9" s="3310" t="s">
        <v>4224</v>
      </c>
      <c r="FX9" s="3298"/>
      <c r="FY9" s="3299">
        <f ca="1">'3c Plan Analysis'!DA67-FY13</f>
        <v>0</v>
      </c>
      <c r="FZ9" s="3308"/>
      <c r="GA9" s="3319" t="s">
        <v>4279</v>
      </c>
      <c r="GB9" s="3308"/>
      <c r="GC9" s="3309"/>
      <c r="GD9" s="755"/>
      <c r="GE9" s="755"/>
      <c r="GF9" s="755"/>
      <c r="GG9" s="755"/>
      <c r="GH9" s="755"/>
      <c r="GI9" s="755"/>
      <c r="GJ9" s="755"/>
      <c r="GK9" s="755"/>
      <c r="GL9" s="755"/>
      <c r="GM9" s="755"/>
      <c r="GN9" s="755"/>
      <c r="GO9" s="755"/>
      <c r="GP9" s="2284"/>
      <c r="GQ9" s="755"/>
      <c r="GR9" s="755"/>
      <c r="GS9" s="755"/>
      <c r="GT9" s="755"/>
      <c r="GU9" s="755"/>
      <c r="GV9" s="755"/>
      <c r="GW9" s="755"/>
      <c r="GX9" s="755"/>
      <c r="GY9" s="755"/>
      <c r="GZ9" s="755"/>
      <c r="HA9" s="755"/>
      <c r="HB9" s="755"/>
    </row>
    <row r="10" spans="1:210" s="272" customFormat="1" ht="13.5" hidden="1" customHeight="1" thickBot="1" x14ac:dyDescent="0.3">
      <c r="A10" s="757"/>
      <c r="B10" s="757"/>
      <c r="C10" s="757"/>
      <c r="D10" s="757"/>
      <c r="E10" s="757"/>
      <c r="F10" s="757"/>
      <c r="G10" s="757"/>
      <c r="H10" s="757"/>
      <c r="I10" s="757"/>
      <c r="J10" s="757"/>
      <c r="K10" s="757"/>
      <c r="L10" s="757"/>
      <c r="M10" s="757"/>
      <c r="N10" s="757"/>
      <c r="O10" s="757"/>
      <c r="P10" s="757"/>
      <c r="Q10" s="757"/>
      <c r="R10" s="757"/>
      <c r="S10" s="757"/>
      <c r="T10" s="757"/>
      <c r="U10" s="757"/>
      <c r="V10" s="757"/>
      <c r="W10" s="757"/>
      <c r="X10" s="757"/>
      <c r="Y10" s="757"/>
      <c r="Z10" s="757"/>
      <c r="AA10" s="757"/>
      <c r="AB10" s="757"/>
      <c r="AC10" s="757"/>
      <c r="AD10" s="757"/>
      <c r="AE10" s="757"/>
      <c r="AF10" s="376"/>
      <c r="AG10" s="757"/>
      <c r="AH10" s="757"/>
      <c r="AI10" s="757"/>
      <c r="AJ10" s="757"/>
      <c r="AK10" s="757"/>
      <c r="AL10" s="757"/>
      <c r="AM10" s="757"/>
      <c r="AN10" s="757"/>
      <c r="AO10" s="757"/>
      <c r="AP10" s="757"/>
      <c r="AQ10" s="757"/>
      <c r="AR10" s="757"/>
      <c r="AS10" s="757"/>
      <c r="AT10" s="757"/>
      <c r="AU10" s="757"/>
      <c r="AV10" s="757"/>
      <c r="AW10" s="757"/>
      <c r="AX10" s="757"/>
      <c r="AY10" s="757"/>
      <c r="AZ10" s="757"/>
      <c r="BA10" s="757"/>
      <c r="BB10" s="757"/>
      <c r="BC10" s="757"/>
      <c r="BD10" s="757"/>
      <c r="BE10" s="755"/>
      <c r="BF10" s="757"/>
      <c r="BG10" s="757"/>
      <c r="BH10" s="757"/>
      <c r="BI10" s="757"/>
      <c r="BJ10" s="757"/>
      <c r="BK10" s="757"/>
      <c r="BL10" s="757"/>
      <c r="BM10" s="308" t="s">
        <v>269</v>
      </c>
      <c r="BN10" s="1285">
        <v>3</v>
      </c>
      <c r="BO10" s="1285">
        <v>1</v>
      </c>
      <c r="BP10" s="755"/>
      <c r="BQ10" s="757"/>
      <c r="BR10" s="757"/>
      <c r="BS10" s="757"/>
      <c r="BT10" s="757"/>
      <c r="BU10" s="757"/>
      <c r="BV10" s="757"/>
      <c r="BW10" s="757"/>
      <c r="BX10" s="757"/>
      <c r="BY10" s="757"/>
      <c r="BZ10" s="757"/>
      <c r="CA10" s="757"/>
      <c r="CB10" s="757"/>
      <c r="CC10" s="757"/>
      <c r="CD10" s="757"/>
      <c r="CE10" s="757"/>
      <c r="CF10" s="757"/>
      <c r="CG10" s="757"/>
      <c r="CH10" s="757"/>
      <c r="CI10" s="757"/>
      <c r="CJ10" s="757"/>
      <c r="CK10" s="757"/>
      <c r="CL10" s="757"/>
      <c r="CM10" s="757"/>
      <c r="CN10" s="757"/>
      <c r="CO10" s="757"/>
      <c r="CP10" s="757"/>
      <c r="CQ10" s="757"/>
      <c r="CR10" s="757"/>
      <c r="CS10" s="757"/>
      <c r="CT10" s="757"/>
      <c r="CU10" s="757"/>
      <c r="CV10" s="757"/>
      <c r="CW10" s="757"/>
      <c r="CX10" s="755"/>
      <c r="CY10" s="755"/>
      <c r="CZ10" s="748" t="s">
        <v>723</v>
      </c>
      <c r="DA10" s="411" t="s">
        <v>719</v>
      </c>
      <c r="DB10" s="755"/>
      <c r="DC10" s="748" t="s">
        <v>732</v>
      </c>
      <c r="DD10" s="411" t="s">
        <v>727</v>
      </c>
      <c r="DE10" s="755"/>
      <c r="DF10" s="748" t="s">
        <v>681</v>
      </c>
      <c r="DG10" s="411" t="s">
        <v>674</v>
      </c>
      <c r="DH10" s="755"/>
      <c r="DI10" s="748" t="s">
        <v>689</v>
      </c>
      <c r="DJ10" s="411" t="s">
        <v>694</v>
      </c>
      <c r="DK10" s="755"/>
      <c r="DL10" s="748" t="s">
        <v>709</v>
      </c>
      <c r="DM10" s="411" t="s">
        <v>704</v>
      </c>
      <c r="DN10" s="755"/>
      <c r="DO10" s="748" t="s">
        <v>699</v>
      </c>
      <c r="DP10" s="411" t="s">
        <v>694</v>
      </c>
      <c r="DQ10" s="275"/>
      <c r="DR10" s="755"/>
      <c r="DS10" s="748" t="s">
        <v>739</v>
      </c>
      <c r="DT10" s="411" t="s">
        <v>743</v>
      </c>
      <c r="DU10" s="755"/>
      <c r="DV10" s="755"/>
      <c r="DW10" s="748" t="s">
        <v>714</v>
      </c>
      <c r="DX10" s="411" t="s">
        <v>198</v>
      </c>
      <c r="DY10" s="755"/>
      <c r="DZ10" s="755"/>
      <c r="EA10" s="412"/>
      <c r="EB10" s="262" t="s">
        <v>240</v>
      </c>
      <c r="EC10" s="412"/>
      <c r="ED10" s="412"/>
      <c r="EE10" s="813" t="s">
        <v>1775</v>
      </c>
      <c r="EF10" s="412"/>
      <c r="EG10" s="412"/>
      <c r="EH10" s="275" t="s">
        <v>5</v>
      </c>
      <c r="EI10" s="755"/>
      <c r="EJ10" s="755"/>
      <c r="EK10" s="755"/>
      <c r="EL10" s="275"/>
      <c r="EM10" s="755"/>
      <c r="EN10" s="755"/>
      <c r="EO10" s="275"/>
      <c r="EP10" s="755"/>
      <c r="EQ10" s="755"/>
      <c r="ER10" s="755"/>
      <c r="ES10" s="755"/>
      <c r="ET10" s="755"/>
      <c r="EU10" s="755"/>
      <c r="EV10" s="755"/>
      <c r="EW10" s="755"/>
      <c r="EX10" s="755"/>
      <c r="EY10" s="755"/>
      <c r="EZ10" s="755"/>
      <c r="FA10" s="755"/>
      <c r="FB10" s="275"/>
      <c r="FC10" s="755"/>
      <c r="FD10" s="755"/>
      <c r="FE10" s="755"/>
      <c r="FF10" s="755"/>
      <c r="FG10" s="755"/>
      <c r="FH10" s="755"/>
      <c r="FI10" s="755"/>
      <c r="FJ10" s="755"/>
      <c r="FK10" s="755"/>
      <c r="FL10" s="755"/>
      <c r="FM10" s="755"/>
      <c r="FN10" s="755"/>
      <c r="FO10" s="755"/>
      <c r="FP10" s="755"/>
      <c r="FQ10" s="755"/>
      <c r="FR10" s="755"/>
      <c r="FS10" s="755"/>
      <c r="FT10" s="3311"/>
      <c r="FU10" s="3308"/>
      <c r="FV10" s="3308"/>
      <c r="FW10" s="3310" t="s">
        <v>4264</v>
      </c>
      <c r="FX10" s="1861">
        <f>'1 Setup'!AK94-FX13</f>
        <v>0</v>
      </c>
      <c r="FY10" s="1861">
        <f ca="1">'1 Setup'!AJ94-FY13</f>
        <v>0</v>
      </c>
      <c r="FZ10" s="3308"/>
      <c r="GA10" s="3319" t="s">
        <v>4279</v>
      </c>
      <c r="GB10" s="3308"/>
      <c r="GC10" s="3309"/>
      <c r="GD10" s="755"/>
      <c r="GE10" s="755"/>
      <c r="GF10" s="755"/>
      <c r="GG10" s="755"/>
      <c r="GH10" s="755"/>
      <c r="GI10" s="755"/>
      <c r="GJ10" s="755"/>
      <c r="GK10" s="755"/>
      <c r="GL10" s="755"/>
      <c r="GM10" s="755"/>
      <c r="GN10" s="755"/>
      <c r="GO10" s="755"/>
      <c r="GP10" s="2284"/>
      <c r="GQ10" s="755"/>
      <c r="GR10" s="755"/>
      <c r="GS10" s="755"/>
      <c r="GT10" s="755"/>
      <c r="GU10" s="755"/>
      <c r="GV10" s="755"/>
      <c r="GW10" s="755"/>
      <c r="GX10" s="755"/>
      <c r="GY10" s="755"/>
      <c r="GZ10" s="755"/>
      <c r="HA10" s="755"/>
      <c r="HB10" s="755"/>
    </row>
    <row r="11" spans="1:210" ht="13.5" hidden="1" customHeight="1" thickBot="1" x14ac:dyDescent="0.35">
      <c r="A11" s="755"/>
      <c r="B11" s="755"/>
      <c r="C11" s="755"/>
      <c r="D11" s="755"/>
      <c r="E11" s="755"/>
      <c r="F11" s="755"/>
      <c r="G11" s="755"/>
      <c r="H11" s="755"/>
      <c r="I11" s="755"/>
      <c r="J11" s="755"/>
      <c r="K11" s="755"/>
      <c r="L11" s="755"/>
      <c r="M11" s="755"/>
      <c r="N11" s="755"/>
      <c r="O11" s="755"/>
      <c r="P11" s="755"/>
      <c r="Q11" s="755"/>
      <c r="R11" s="755"/>
      <c r="S11" s="755"/>
      <c r="T11" s="755"/>
      <c r="U11" s="755"/>
      <c r="V11" s="755"/>
      <c r="W11" s="755"/>
      <c r="X11" s="755"/>
      <c r="Y11" s="755"/>
      <c r="Z11" s="755"/>
      <c r="AA11" s="755"/>
      <c r="AB11" s="755"/>
      <c r="AC11" s="755"/>
      <c r="AD11" s="755"/>
      <c r="AE11" s="755"/>
      <c r="AF11" s="275"/>
      <c r="AG11" s="755"/>
      <c r="AH11" s="755"/>
      <c r="AI11" s="755"/>
      <c r="AJ11" s="755"/>
      <c r="AK11" s="755"/>
      <c r="AL11" s="755"/>
      <c r="AM11" s="755"/>
      <c r="AN11" s="755"/>
      <c r="AO11" s="755"/>
      <c r="AP11" s="755"/>
      <c r="AQ11" s="755"/>
      <c r="AR11" s="755"/>
      <c r="AS11" s="755"/>
      <c r="AT11" s="755"/>
      <c r="AU11" s="755"/>
      <c r="AV11" s="755"/>
      <c r="AW11" s="755"/>
      <c r="AX11" s="755"/>
      <c r="AY11" s="755"/>
      <c r="AZ11" s="755"/>
      <c r="BA11" s="755"/>
      <c r="BB11" s="755"/>
      <c r="BC11" s="755"/>
      <c r="BD11" s="755"/>
      <c r="BE11" s="755"/>
      <c r="BF11" s="755"/>
      <c r="BG11" s="755"/>
      <c r="BH11" s="755"/>
      <c r="BI11" s="755"/>
      <c r="BJ11" s="755"/>
      <c r="BK11" s="755"/>
      <c r="BL11" s="755"/>
      <c r="BM11" s="308" t="s">
        <v>271</v>
      </c>
      <c r="BN11" s="1285">
        <v>4</v>
      </c>
      <c r="BO11" s="1285">
        <v>1</v>
      </c>
      <c r="BP11" s="755"/>
      <c r="BQ11" s="755"/>
      <c r="BR11" s="755"/>
      <c r="BS11" s="755"/>
      <c r="BT11" s="755"/>
      <c r="BU11" s="755"/>
      <c r="BV11" s="755"/>
      <c r="BW11" s="755"/>
      <c r="BX11" s="755"/>
      <c r="BY11" s="755"/>
      <c r="BZ11" s="755"/>
      <c r="CA11" s="755"/>
      <c r="CB11" s="755"/>
      <c r="CC11" s="755"/>
      <c r="CD11" s="755"/>
      <c r="CE11" s="755"/>
      <c r="CF11" s="755"/>
      <c r="CG11" s="755"/>
      <c r="CH11" s="755"/>
      <c r="CI11" s="755"/>
      <c r="CJ11" s="755"/>
      <c r="CK11" s="755"/>
      <c r="CL11" s="755"/>
      <c r="CM11" s="755"/>
      <c r="CN11" s="755"/>
      <c r="CO11" s="755"/>
      <c r="CP11" s="755"/>
      <c r="CQ11" s="755"/>
      <c r="CR11" s="755"/>
      <c r="CS11" s="755"/>
      <c r="CT11" s="755"/>
      <c r="CU11" s="755"/>
      <c r="CV11" s="755"/>
      <c r="CW11" s="755"/>
      <c r="CX11" s="755"/>
      <c r="CY11" s="755"/>
      <c r="CZ11" s="748"/>
      <c r="DA11" s="411"/>
      <c r="DB11" s="755"/>
      <c r="DC11" s="748" t="s">
        <v>733</v>
      </c>
      <c r="DD11" s="411" t="s">
        <v>728</v>
      </c>
      <c r="DE11" s="755"/>
      <c r="DF11" s="748" t="s">
        <v>682</v>
      </c>
      <c r="DG11" s="411" t="s">
        <v>675</v>
      </c>
      <c r="DH11" s="755"/>
      <c r="DI11" s="748" t="s">
        <v>690</v>
      </c>
      <c r="DJ11" s="411" t="s">
        <v>695</v>
      </c>
      <c r="DK11" s="755"/>
      <c r="DL11" s="748" t="s">
        <v>710</v>
      </c>
      <c r="DM11" s="411" t="s">
        <v>676</v>
      </c>
      <c r="DN11" s="755"/>
      <c r="DO11" s="748" t="s">
        <v>700</v>
      </c>
      <c r="DP11" s="411" t="s">
        <v>695</v>
      </c>
      <c r="DQ11" s="275"/>
      <c r="DR11" s="755"/>
      <c r="DS11" s="748"/>
      <c r="DT11" s="411"/>
      <c r="DU11" s="755"/>
      <c r="DV11" s="755"/>
      <c r="DW11" s="748" t="s">
        <v>734</v>
      </c>
      <c r="DX11" s="411" t="s">
        <v>315</v>
      </c>
      <c r="DY11" s="755"/>
      <c r="DZ11" s="755"/>
      <c r="EA11" s="412"/>
      <c r="EB11" s="262" t="s">
        <v>241</v>
      </c>
      <c r="EC11" s="412"/>
      <c r="ED11" s="412"/>
      <c r="EE11" s="813" t="s">
        <v>1776</v>
      </c>
      <c r="EF11" s="412"/>
      <c r="EG11" s="238">
        <f>EG12</f>
        <v>2</v>
      </c>
      <c r="EH11" s="2286" t="s">
        <v>2599</v>
      </c>
      <c r="EI11" s="755"/>
      <c r="EJ11" s="755"/>
      <c r="EK11" s="755"/>
      <c r="EL11" s="275"/>
      <c r="EM11" s="755"/>
      <c r="EN11" s="755"/>
      <c r="EO11" s="275"/>
      <c r="EP11" s="755"/>
      <c r="EQ11" s="755"/>
      <c r="ER11" s="755"/>
      <c r="ES11" s="755"/>
      <c r="ET11" s="755"/>
      <c r="EU11" s="755"/>
      <c r="EV11" s="755"/>
      <c r="EW11" s="755"/>
      <c r="EX11" s="755"/>
      <c r="EY11" s="755"/>
      <c r="EZ11" s="755"/>
      <c r="FA11" s="755"/>
      <c r="FB11" s="275"/>
      <c r="FC11" s="755"/>
      <c r="FD11" s="755"/>
      <c r="FE11" s="755"/>
      <c r="FF11" s="755"/>
      <c r="FG11" s="755"/>
      <c r="FH11" s="755"/>
      <c r="FI11" s="755"/>
      <c r="FJ11" s="755"/>
      <c r="FK11" s="755"/>
      <c r="FL11" s="755"/>
      <c r="FM11" s="755"/>
      <c r="FN11" s="755"/>
      <c r="FO11" s="755"/>
      <c r="FP11" s="755"/>
      <c r="FQ11" s="755"/>
      <c r="FR11" s="755"/>
      <c r="FS11" s="755"/>
      <c r="FT11" s="3311"/>
      <c r="FU11" s="3308"/>
      <c r="FV11" s="3308"/>
      <c r="FW11" s="3310" t="s">
        <v>4185</v>
      </c>
      <c r="FX11" s="1861">
        <f>'2 Staff List'!HG19-FX13</f>
        <v>0</v>
      </c>
      <c r="FY11" s="1861">
        <f ca="1">'2 Staff List'!HG18-FY13</f>
        <v>0</v>
      </c>
      <c r="FZ11" s="3308"/>
      <c r="GA11" s="3319" t="s">
        <v>4279</v>
      </c>
      <c r="GB11" s="3308"/>
      <c r="GC11" s="3309"/>
      <c r="GD11" s="755"/>
      <c r="GE11" s="755"/>
      <c r="GF11" s="755"/>
      <c r="GG11" s="755"/>
      <c r="GH11" s="755"/>
      <c r="GI11" s="755"/>
      <c r="GJ11" s="755"/>
      <c r="GK11" s="755"/>
      <c r="GL11" s="755"/>
      <c r="GM11" s="755"/>
      <c r="GN11" s="755"/>
      <c r="GO11" s="755"/>
      <c r="GP11" s="2284"/>
      <c r="GQ11" s="755"/>
      <c r="GR11" s="755"/>
      <c r="GS11" s="755"/>
      <c r="GT11" s="755"/>
      <c r="GU11" s="755"/>
      <c r="GV11" s="755"/>
      <c r="GW11" s="755"/>
      <c r="GX11" s="755"/>
      <c r="GY11" s="755"/>
      <c r="GZ11" s="755"/>
      <c r="HA11" s="755"/>
      <c r="HB11" s="755"/>
    </row>
    <row r="12" spans="1:210" ht="13.5" hidden="1" customHeight="1" x14ac:dyDescent="0.3">
      <c r="A12" s="755"/>
      <c r="B12" s="755"/>
      <c r="C12" s="755"/>
      <c r="D12" s="755"/>
      <c r="E12" s="755"/>
      <c r="F12" s="755"/>
      <c r="G12" s="755"/>
      <c r="H12" s="755"/>
      <c r="I12" s="755"/>
      <c r="J12" s="755"/>
      <c r="K12" s="755"/>
      <c r="L12" s="755"/>
      <c r="M12" s="755"/>
      <c r="N12" s="755"/>
      <c r="O12" s="755"/>
      <c r="P12" s="755"/>
      <c r="Q12" s="755"/>
      <c r="R12" s="755"/>
      <c r="S12" s="755"/>
      <c r="T12" s="755"/>
      <c r="U12" s="755"/>
      <c r="V12" s="755"/>
      <c r="W12" s="755"/>
      <c r="X12" s="755"/>
      <c r="Y12" s="755"/>
      <c r="Z12" s="755"/>
      <c r="AA12" s="755"/>
      <c r="AB12" s="755"/>
      <c r="AC12" s="755"/>
      <c r="AD12" s="755"/>
      <c r="AE12" s="755"/>
      <c r="AF12" s="275"/>
      <c r="AG12" s="755"/>
      <c r="AH12" s="755"/>
      <c r="AI12" s="755"/>
      <c r="AJ12" s="755"/>
      <c r="AK12" s="755"/>
      <c r="AL12" s="755"/>
      <c r="AM12" s="755"/>
      <c r="AN12" s="755"/>
      <c r="AO12" s="755"/>
      <c r="AP12" s="755"/>
      <c r="AQ12" s="755"/>
      <c r="AR12" s="755"/>
      <c r="AS12" s="755"/>
      <c r="AT12" s="755"/>
      <c r="AU12" s="755"/>
      <c r="AV12" s="755"/>
      <c r="AW12" s="755"/>
      <c r="AX12" s="755"/>
      <c r="AY12" s="755"/>
      <c r="AZ12" s="755"/>
      <c r="BA12" s="755"/>
      <c r="BB12" s="755"/>
      <c r="BC12" s="755"/>
      <c r="BD12" s="755"/>
      <c r="BE12" s="755"/>
      <c r="BF12" s="755"/>
      <c r="BG12" s="755"/>
      <c r="BH12" s="755"/>
      <c r="BI12" s="755"/>
      <c r="BJ12" s="755"/>
      <c r="BK12" s="755"/>
      <c r="BL12" s="755"/>
      <c r="BM12" s="308" t="s">
        <v>458</v>
      </c>
      <c r="BN12" s="1286">
        <v>5</v>
      </c>
      <c r="BO12" s="1286">
        <v>1</v>
      </c>
      <c r="BP12" s="755"/>
      <c r="BQ12" s="755"/>
      <c r="BR12" s="755"/>
      <c r="BS12" s="755"/>
      <c r="BT12" s="755"/>
      <c r="BU12" s="755"/>
      <c r="BV12" s="755"/>
      <c r="BW12" s="755"/>
      <c r="BX12" s="755"/>
      <c r="BY12" s="755"/>
      <c r="BZ12" s="755"/>
      <c r="CA12" s="755"/>
      <c r="CB12" s="755"/>
      <c r="CC12" s="755"/>
      <c r="CD12" s="755"/>
      <c r="CE12" s="755"/>
      <c r="CF12" s="755"/>
      <c r="CG12" s="755"/>
      <c r="CH12" s="755"/>
      <c r="CI12" s="755"/>
      <c r="CJ12" s="755"/>
      <c r="CK12" s="755"/>
      <c r="CL12" s="755"/>
      <c r="CM12" s="755"/>
      <c r="CN12" s="755"/>
      <c r="CO12" s="755"/>
      <c r="CP12" s="755"/>
      <c r="CQ12" s="755"/>
      <c r="CR12" s="755"/>
      <c r="CS12" s="755"/>
      <c r="CT12" s="755"/>
      <c r="CU12" s="755"/>
      <c r="CV12" s="755"/>
      <c r="CW12" s="755"/>
      <c r="CX12" s="755"/>
      <c r="CY12" s="755"/>
      <c r="CZ12" s="748"/>
      <c r="DA12" s="411"/>
      <c r="DB12" s="755"/>
      <c r="DC12" s="748"/>
      <c r="DD12" s="411"/>
      <c r="DE12" s="755"/>
      <c r="DF12" s="748" t="s">
        <v>683</v>
      </c>
      <c r="DG12" s="411" t="s">
        <v>676</v>
      </c>
      <c r="DH12" s="755"/>
      <c r="DI12" s="748"/>
      <c r="DJ12" s="411"/>
      <c r="DK12" s="755"/>
      <c r="DL12" s="748" t="s">
        <v>711</v>
      </c>
      <c r="DM12" s="411" t="s">
        <v>677</v>
      </c>
      <c r="DN12" s="755"/>
      <c r="DO12" s="748" t="s">
        <v>701</v>
      </c>
      <c r="DP12" s="411" t="s">
        <v>712</v>
      </c>
      <c r="DQ12" s="275"/>
      <c r="DR12" s="755"/>
      <c r="DS12" s="748"/>
      <c r="DT12" s="411"/>
      <c r="DU12" s="755"/>
      <c r="DV12" s="755"/>
      <c r="DW12" s="755"/>
      <c r="DX12" s="755"/>
      <c r="DY12" s="755"/>
      <c r="DZ12" s="755"/>
      <c r="EA12" s="412"/>
      <c r="EB12" s="748" t="s">
        <v>1158</v>
      </c>
      <c r="EC12" s="412"/>
      <c r="ED12" s="412"/>
      <c r="EE12" s="813" t="s">
        <v>1777</v>
      </c>
      <c r="EF12" s="412"/>
      <c r="EG12" s="499">
        <f>IF('1 Setup'!G8&lt;5,1,2)</f>
        <v>2</v>
      </c>
      <c r="EH12" s="950" t="s">
        <v>2600</v>
      </c>
      <c r="EI12" s="755"/>
      <c r="EJ12" s="755"/>
      <c r="EK12" s="275"/>
      <c r="EL12" s="275"/>
      <c r="EM12" s="275"/>
      <c r="EN12" s="275"/>
      <c r="EO12" s="275"/>
      <c r="EP12" s="755"/>
      <c r="EQ12" s="755"/>
      <c r="ER12" s="755"/>
      <c r="ES12" s="755"/>
      <c r="ET12" s="755"/>
      <c r="EU12" s="755"/>
      <c r="EV12" s="755"/>
      <c r="EW12" s="755"/>
      <c r="EX12" s="755"/>
      <c r="EY12" s="755"/>
      <c r="EZ12" s="755"/>
      <c r="FA12" s="755"/>
      <c r="FB12" s="275"/>
      <c r="FC12" s="755"/>
      <c r="FD12" s="755"/>
      <c r="FE12" s="755"/>
      <c r="FF12" s="755"/>
      <c r="FG12" s="755"/>
      <c r="FH12" s="755"/>
      <c r="FI12" s="755"/>
      <c r="FJ12" s="755"/>
      <c r="FK12" s="755"/>
      <c r="FL12" s="755"/>
      <c r="FM12" s="755"/>
      <c r="FN12" s="755"/>
      <c r="FO12" s="755"/>
      <c r="FP12" s="755"/>
      <c r="FQ12" s="755"/>
      <c r="FR12" s="755"/>
      <c r="FS12" s="755"/>
      <c r="FT12" s="3311"/>
      <c r="FU12" s="3308"/>
      <c r="FV12" s="3308"/>
      <c r="FW12" s="3310" t="s">
        <v>4180</v>
      </c>
      <c r="FX12" s="1861">
        <f ca="1">(('3a Staff Plan'!EC111*$B$22)+('3b Activity Plan'!GP156*$M$22))-FX13</f>
        <v>0</v>
      </c>
      <c r="FY12" s="1861">
        <f ca="1">(('3a Staff Plan'!EC115*$B$22)+('3b Activity Plan'!GP159*$M$22))-FY13</f>
        <v>0</v>
      </c>
      <c r="FZ12" s="3308"/>
      <c r="GA12" s="3319" t="s">
        <v>4279</v>
      </c>
      <c r="GB12" s="3308"/>
      <c r="GC12" s="3309"/>
      <c r="GD12" s="755"/>
      <c r="GE12" s="755"/>
      <c r="GF12" s="755"/>
      <c r="GG12" s="755"/>
      <c r="GH12" s="755"/>
      <c r="GI12" s="755"/>
      <c r="GJ12" s="755"/>
      <c r="GK12" s="755"/>
      <c r="GL12" s="755"/>
      <c r="GM12" s="755"/>
      <c r="GN12" s="755"/>
      <c r="GO12" s="755"/>
      <c r="GP12" s="2284"/>
      <c r="GQ12" s="755"/>
      <c r="GR12" s="755"/>
      <c r="GS12" s="755"/>
      <c r="GT12" s="755"/>
      <c r="GU12" s="755"/>
      <c r="GV12" s="755"/>
      <c r="GW12" s="755"/>
      <c r="GX12" s="755"/>
      <c r="GY12" s="755"/>
      <c r="GZ12" s="755"/>
      <c r="HA12" s="755"/>
      <c r="HB12" s="755"/>
    </row>
    <row r="13" spans="1:210" s="272" customFormat="1" ht="13.5" hidden="1" customHeight="1" x14ac:dyDescent="0.25">
      <c r="A13" s="755"/>
      <c r="B13" s="755"/>
      <c r="C13" s="755"/>
      <c r="D13" s="755"/>
      <c r="E13" s="755"/>
      <c r="F13" s="308" t="s">
        <v>4310</v>
      </c>
      <c r="G13" s="1241">
        <f>'3a Staff Plan'!V123</f>
        <v>0</v>
      </c>
      <c r="H13" s="755"/>
      <c r="I13" s="755"/>
      <c r="J13" s="755"/>
      <c r="K13" s="755"/>
      <c r="L13" s="755"/>
      <c r="M13" s="755"/>
      <c r="N13" s="755"/>
      <c r="O13" s="755"/>
      <c r="P13" s="755"/>
      <c r="Q13" s="308" t="s">
        <v>4310</v>
      </c>
      <c r="R13" s="1241">
        <f>'3b Activity Plan'!V167</f>
        <v>0</v>
      </c>
      <c r="S13" s="755"/>
      <c r="T13" s="755"/>
      <c r="U13" s="755"/>
      <c r="V13" s="755"/>
      <c r="W13" s="755"/>
      <c r="X13" s="755"/>
      <c r="Y13" s="755"/>
      <c r="Z13" s="755"/>
      <c r="AA13" s="755"/>
      <c r="AB13" s="755"/>
      <c r="AC13" s="755"/>
      <c r="AD13" s="755"/>
      <c r="AE13" s="755"/>
      <c r="AF13" s="275"/>
      <c r="AG13" s="755"/>
      <c r="AH13" s="755"/>
      <c r="AI13" s="755"/>
      <c r="AJ13" s="755"/>
      <c r="AK13" s="755"/>
      <c r="AL13" s="755"/>
      <c r="AM13" s="755"/>
      <c r="AN13" s="755"/>
      <c r="AO13" s="755"/>
      <c r="AP13" s="755"/>
      <c r="AQ13" s="755"/>
      <c r="AR13" s="755"/>
      <c r="AS13" s="755"/>
      <c r="AT13" s="755"/>
      <c r="AU13" s="755"/>
      <c r="AV13" s="755"/>
      <c r="AW13" s="755"/>
      <c r="AX13" s="755"/>
      <c r="AY13" s="755"/>
      <c r="AZ13" s="755"/>
      <c r="BA13" s="755"/>
      <c r="BB13" s="755"/>
      <c r="BC13" s="755"/>
      <c r="BD13" s="755"/>
      <c r="BE13" s="755"/>
      <c r="BF13" s="755"/>
      <c r="BG13" s="755"/>
      <c r="BH13" s="755"/>
      <c r="BI13" s="755"/>
      <c r="BJ13" s="755"/>
      <c r="BK13" s="755"/>
      <c r="BL13" s="755"/>
      <c r="BM13" s="308" t="s">
        <v>274</v>
      </c>
      <c r="BN13" s="1286">
        <v>6</v>
      </c>
      <c r="BO13" s="1286">
        <v>1</v>
      </c>
      <c r="BP13" s="755"/>
      <c r="BQ13" s="755"/>
      <c r="BR13" s="755"/>
      <c r="BS13" s="755"/>
      <c r="BT13" s="755"/>
      <c r="BU13" s="755"/>
      <c r="BV13" s="755"/>
      <c r="BW13" s="755"/>
      <c r="BX13" s="755"/>
      <c r="BY13" s="755"/>
      <c r="BZ13" s="755"/>
      <c r="CA13" s="755"/>
      <c r="CB13" s="755"/>
      <c r="CC13" s="755"/>
      <c r="CD13" s="755"/>
      <c r="CE13" s="755"/>
      <c r="CF13" s="755"/>
      <c r="CG13" s="755"/>
      <c r="CH13" s="755"/>
      <c r="CI13" s="755"/>
      <c r="CJ13" s="755"/>
      <c r="CK13" s="755"/>
      <c r="CL13" s="755"/>
      <c r="CM13" s="755"/>
      <c r="CN13" s="755"/>
      <c r="CO13" s="755"/>
      <c r="CP13" s="755"/>
      <c r="CQ13" s="755"/>
      <c r="CR13" s="755"/>
      <c r="CS13" s="755"/>
      <c r="CT13" s="755"/>
      <c r="CU13" s="755"/>
      <c r="CV13" s="755"/>
      <c r="CW13" s="755"/>
      <c r="CX13" s="755"/>
      <c r="CY13" s="755"/>
      <c r="CZ13" s="748"/>
      <c r="DA13" s="411"/>
      <c r="DB13" s="755"/>
      <c r="DC13" s="748"/>
      <c r="DD13" s="411"/>
      <c r="DE13" s="755"/>
      <c r="DF13" s="748" t="s">
        <v>684</v>
      </c>
      <c r="DG13" s="411" t="s">
        <v>677</v>
      </c>
      <c r="DH13" s="755"/>
      <c r="DI13" s="748"/>
      <c r="DJ13" s="411"/>
      <c r="DK13" s="755"/>
      <c r="DL13" s="748"/>
      <c r="DM13" s="411"/>
      <c r="DN13" s="755"/>
      <c r="DO13" s="748"/>
      <c r="DP13" s="411"/>
      <c r="DQ13" s="755"/>
      <c r="DR13" s="755"/>
      <c r="DS13" s="748"/>
      <c r="DT13" s="411"/>
      <c r="DU13" s="755"/>
      <c r="DV13" s="755"/>
      <c r="DW13" s="755"/>
      <c r="DX13" s="755"/>
      <c r="DY13" s="755"/>
      <c r="DZ13" s="755"/>
      <c r="EA13" s="755"/>
      <c r="EB13" s="748" t="s">
        <v>1159</v>
      </c>
      <c r="EC13" s="755"/>
      <c r="ED13" s="755"/>
      <c r="EE13" s="813" t="s">
        <v>1778</v>
      </c>
      <c r="EF13" s="755"/>
      <c r="EG13" s="755"/>
      <c r="EH13" s="755"/>
      <c r="EI13" s="755"/>
      <c r="EJ13" s="755"/>
      <c r="EK13" s="755"/>
      <c r="EL13" s="755"/>
      <c r="EM13" s="755"/>
      <c r="EN13" s="755"/>
      <c r="EO13" s="755"/>
      <c r="EP13" s="755"/>
      <c r="EQ13" s="755"/>
      <c r="ER13" s="755"/>
      <c r="ES13" s="755"/>
      <c r="ET13" s="755"/>
      <c r="EU13" s="755"/>
      <c r="EV13" s="755"/>
      <c r="EW13" s="755"/>
      <c r="EX13" s="755"/>
      <c r="EY13" s="755"/>
      <c r="EZ13" s="755"/>
      <c r="FA13" s="755"/>
      <c r="FB13" s="275"/>
      <c r="FC13" s="755"/>
      <c r="FD13" s="755"/>
      <c r="FE13" s="755"/>
      <c r="FF13" s="755"/>
      <c r="FG13" s="755"/>
      <c r="FH13" s="755"/>
      <c r="FI13" s="755"/>
      <c r="FJ13" s="755"/>
      <c r="FK13" s="755"/>
      <c r="FL13" s="755"/>
      <c r="FM13" s="755"/>
      <c r="FN13" s="755"/>
      <c r="FO13" s="755"/>
      <c r="FP13" s="755"/>
      <c r="FQ13" s="755"/>
      <c r="FR13" s="755"/>
      <c r="FS13" s="755"/>
      <c r="FT13" s="3311"/>
      <c r="FU13" s="3308"/>
      <c r="FV13" s="3308"/>
      <c r="FW13" s="3310" t="s">
        <v>4179</v>
      </c>
      <c r="FX13" s="3250">
        <f>('3a Staff Plan'!S117*$B$22)+('3b Activity Plan'!S161*$M$22)</f>
        <v>45111.674231999998</v>
      </c>
      <c r="FY13" s="3250">
        <f ca="1">('3a Staff Plan'!DP117*$B$22)+('3b Activity Plan'!CZ161*$M$22)</f>
        <v>73862.781824999998</v>
      </c>
      <c r="FZ13" s="3308"/>
      <c r="GA13" s="3320" t="s">
        <v>4278</v>
      </c>
      <c r="GB13" s="3308"/>
      <c r="GC13" s="3309"/>
      <c r="GD13" s="755"/>
      <c r="GE13" s="755"/>
      <c r="GF13" s="755"/>
      <c r="GG13" s="755"/>
      <c r="GH13" s="755"/>
      <c r="GI13" s="755"/>
      <c r="GJ13" s="755"/>
      <c r="GK13" s="755"/>
      <c r="GL13" s="755"/>
      <c r="GM13" s="755"/>
      <c r="GN13" s="755"/>
      <c r="GO13" s="755"/>
      <c r="GP13" s="2284"/>
      <c r="GQ13" s="755"/>
      <c r="GR13" s="755"/>
      <c r="GS13" s="755"/>
      <c r="GT13" s="755"/>
      <c r="GU13" s="755"/>
      <c r="GV13" s="755"/>
      <c r="GW13" s="755"/>
      <c r="GX13" s="755"/>
      <c r="GY13" s="755"/>
      <c r="GZ13" s="755"/>
      <c r="HA13" s="755"/>
      <c r="HB13" s="755"/>
    </row>
    <row r="14" spans="1:210" s="272" customFormat="1" ht="13.5" hidden="1" customHeight="1" x14ac:dyDescent="0.25">
      <c r="A14" s="755"/>
      <c r="B14" s="755"/>
      <c r="C14" s="755"/>
      <c r="D14" s="755"/>
      <c r="E14" s="755"/>
      <c r="F14" s="308" t="s">
        <v>4311</v>
      </c>
      <c r="G14" s="1241">
        <f>SUMIFS('3a Staff Plan'!$W$129:$W$305,'3a Staff Plan'!$DF$129:$DF$305,1,'3a Staff Plan'!$CY$129:$CY$305,0,'3a Staff Plan'!$DB$129:$DB$305,0)</f>
        <v>0</v>
      </c>
      <c r="H14" s="755"/>
      <c r="I14" s="755"/>
      <c r="J14" s="755"/>
      <c r="K14" s="755"/>
      <c r="L14" s="755"/>
      <c r="M14" s="755"/>
      <c r="N14" s="755"/>
      <c r="O14" s="755"/>
      <c r="P14" s="755"/>
      <c r="Q14" s="308" t="s">
        <v>4311</v>
      </c>
      <c r="R14" s="1241">
        <f>SUMIFS('3b Activity Plan'!$W$173:$W$365,'3b Activity Plan'!$CY$173:$CY$365,1,'3b Activity Plan'!$CU$173:$CU$365,0,'3b Activity Plan'!$CR$173:$CR$365,0)</f>
        <v>0</v>
      </c>
      <c r="S14" s="755"/>
      <c r="T14" s="755"/>
      <c r="U14" s="755"/>
      <c r="V14" s="755"/>
      <c r="W14" s="755"/>
      <c r="X14" s="755"/>
      <c r="Y14" s="755"/>
      <c r="Z14" s="755"/>
      <c r="AA14" s="755"/>
      <c r="AB14" s="755"/>
      <c r="AC14" s="755"/>
      <c r="AD14" s="755"/>
      <c r="AE14" s="755"/>
      <c r="AF14" s="275"/>
      <c r="AG14" s="755"/>
      <c r="AH14" s="755"/>
      <c r="AI14" s="755"/>
      <c r="AJ14" s="755"/>
      <c r="AK14" s="755"/>
      <c r="AL14" s="755"/>
      <c r="AM14" s="755"/>
      <c r="AN14" s="755"/>
      <c r="AO14" s="755"/>
      <c r="AP14" s="755"/>
      <c r="AQ14" s="755"/>
      <c r="AR14" s="755"/>
      <c r="AS14" s="755"/>
      <c r="AT14" s="755"/>
      <c r="AU14" s="755"/>
      <c r="AV14" s="755"/>
      <c r="AW14" s="755"/>
      <c r="AX14" s="755"/>
      <c r="AY14" s="755"/>
      <c r="AZ14" s="755"/>
      <c r="BA14" s="755"/>
      <c r="BB14" s="755"/>
      <c r="BC14" s="755"/>
      <c r="BD14" s="755"/>
      <c r="BE14" s="755"/>
      <c r="BF14" s="755"/>
      <c r="BG14" s="755"/>
      <c r="BH14" s="755"/>
      <c r="BI14" s="755"/>
      <c r="BJ14" s="755"/>
      <c r="BK14" s="755"/>
      <c r="BL14" s="755"/>
      <c r="BM14" s="308" t="s">
        <v>640</v>
      </c>
      <c r="BN14" s="1286">
        <v>7</v>
      </c>
      <c r="BO14" s="1286">
        <v>1</v>
      </c>
      <c r="BP14" s="755"/>
      <c r="BQ14" s="755"/>
      <c r="BR14" s="755"/>
      <c r="BS14" s="755"/>
      <c r="BT14" s="755"/>
      <c r="BU14" s="755"/>
      <c r="BV14" s="755"/>
      <c r="BW14" s="755"/>
      <c r="BX14" s="755"/>
      <c r="BY14" s="755"/>
      <c r="BZ14" s="755"/>
      <c r="CA14" s="755"/>
      <c r="CB14" s="755"/>
      <c r="CC14" s="755"/>
      <c r="CD14" s="755"/>
      <c r="CE14" s="755"/>
      <c r="CF14" s="755"/>
      <c r="CG14" s="755"/>
      <c r="CH14" s="755"/>
      <c r="CI14" s="755"/>
      <c r="CJ14" s="755"/>
      <c r="CK14" s="755"/>
      <c r="CL14" s="755"/>
      <c r="CM14" s="755"/>
      <c r="CN14" s="755"/>
      <c r="CO14" s="755"/>
      <c r="CP14" s="755"/>
      <c r="CQ14" s="755"/>
      <c r="CR14" s="755"/>
      <c r="CS14" s="755"/>
      <c r="CT14" s="755"/>
      <c r="CU14" s="755"/>
      <c r="CV14" s="755"/>
      <c r="CW14" s="755"/>
      <c r="CX14" s="755"/>
      <c r="CY14" s="755"/>
      <c r="CZ14" s="748"/>
      <c r="DA14" s="411"/>
      <c r="DB14" s="755"/>
      <c r="DC14" s="748"/>
      <c r="DD14" s="411"/>
      <c r="DE14" s="755"/>
      <c r="DF14" s="748" t="s">
        <v>685</v>
      </c>
      <c r="DG14" s="411" t="s">
        <v>704</v>
      </c>
      <c r="DH14" s="755"/>
      <c r="DI14" s="748"/>
      <c r="DJ14" s="411"/>
      <c r="DK14" s="755"/>
      <c r="DL14" s="748"/>
      <c r="DM14" s="411"/>
      <c r="DN14" s="755"/>
      <c r="DO14" s="748"/>
      <c r="DP14" s="411"/>
      <c r="DQ14" s="755"/>
      <c r="DR14" s="755"/>
      <c r="DS14" s="748"/>
      <c r="DT14" s="411"/>
      <c r="DU14" s="755"/>
      <c r="DV14" s="755"/>
      <c r="DW14" s="748" t="b">
        <f>COUNTA(FA34:FA94)&gt;2</f>
        <v>1</v>
      </c>
      <c r="DX14" s="306" t="s">
        <v>651</v>
      </c>
      <c r="DY14" s="755"/>
      <c r="DZ14" s="755"/>
      <c r="EA14" s="755"/>
      <c r="EB14" s="755"/>
      <c r="EC14" s="755"/>
      <c r="ED14" s="755"/>
      <c r="EE14" s="755"/>
      <c r="EF14" s="755"/>
      <c r="EG14" s="755"/>
      <c r="EH14" s="755"/>
      <c r="EI14" s="755"/>
      <c r="EJ14" s="755"/>
      <c r="EK14" s="755"/>
      <c r="EL14" s="755"/>
      <c r="EM14" s="755"/>
      <c r="EN14" s="755"/>
      <c r="EO14" s="755"/>
      <c r="EP14" s="755"/>
      <c r="EQ14" s="755"/>
      <c r="ER14" s="755"/>
      <c r="ES14" s="755"/>
      <c r="ET14" s="755"/>
      <c r="EU14" s="755"/>
      <c r="EV14" s="755"/>
      <c r="EW14" s="755"/>
      <c r="EX14" s="755"/>
      <c r="EY14" s="755"/>
      <c r="EZ14" s="755"/>
      <c r="FA14" s="755"/>
      <c r="FB14" s="275"/>
      <c r="FC14" s="275"/>
      <c r="FD14" s="755"/>
      <c r="FE14" s="755"/>
      <c r="FF14" s="755"/>
      <c r="FG14" s="755"/>
      <c r="FH14" s="446"/>
      <c r="FI14" s="755"/>
      <c r="FJ14" s="275"/>
      <c r="FK14" s="275"/>
      <c r="FL14" s="275"/>
      <c r="FM14" s="275"/>
      <c r="FN14" s="275"/>
      <c r="FO14" s="755"/>
      <c r="FP14" s="755"/>
      <c r="FQ14" s="755"/>
      <c r="FR14" s="275"/>
      <c r="FS14" s="275"/>
      <c r="FT14" s="3311"/>
      <c r="FU14" s="3308"/>
      <c r="FV14" s="3308"/>
      <c r="FW14" s="3310" t="s">
        <v>4262</v>
      </c>
      <c r="FX14" s="1861">
        <f>'4 Sign-off'!J116-FX13</f>
        <v>0</v>
      </c>
      <c r="FY14" s="1861">
        <f ca="1">('4 Sign-off'!I116+IF(EB6&lt;&gt;"E",0,'4 Sign-off'!G175))-FY13</f>
        <v>0</v>
      </c>
      <c r="FZ14" s="3308"/>
      <c r="GA14" s="3319" t="s">
        <v>4279</v>
      </c>
      <c r="GB14" s="3308"/>
      <c r="GC14" s="3318"/>
      <c r="GD14" s="755"/>
      <c r="GE14" s="755"/>
      <c r="GF14" s="755"/>
      <c r="GG14" s="755"/>
      <c r="GH14" s="755"/>
      <c r="GI14" s="755"/>
      <c r="GJ14" s="755"/>
      <c r="GK14" s="755"/>
      <c r="GL14" s="755"/>
      <c r="GM14" s="755"/>
      <c r="GN14" s="755"/>
      <c r="GO14" s="755"/>
      <c r="GP14" s="2284"/>
      <c r="GQ14" s="755"/>
      <c r="GR14" s="755"/>
      <c r="GS14" s="755"/>
      <c r="GT14" s="755"/>
      <c r="GU14" s="755"/>
      <c r="GV14" s="755"/>
      <c r="GW14" s="755"/>
      <c r="GX14" s="755"/>
      <c r="GY14" s="755"/>
      <c r="GZ14" s="755"/>
      <c r="HA14" s="755"/>
      <c r="HB14" s="755"/>
    </row>
    <row r="15" spans="1:210" s="749" customFormat="1" ht="13.5" hidden="1" customHeight="1" x14ac:dyDescent="0.25">
      <c r="A15" s="755" t="s">
        <v>4198</v>
      </c>
      <c r="B15" s="755"/>
      <c r="C15" s="755"/>
      <c r="D15" s="755"/>
      <c r="E15" s="755"/>
      <c r="F15" s="755"/>
      <c r="G15" s="755"/>
      <c r="H15" s="755"/>
      <c r="I15" s="755"/>
      <c r="J15" s="755"/>
      <c r="K15" s="755"/>
      <c r="L15" s="755"/>
      <c r="M15" s="755"/>
      <c r="N15" s="755"/>
      <c r="O15" s="755"/>
      <c r="P15" s="755"/>
      <c r="Q15" s="755"/>
      <c r="R15" s="755"/>
      <c r="S15" s="755"/>
      <c r="T15" s="755"/>
      <c r="U15" s="755"/>
      <c r="V15" s="755"/>
      <c r="W15" s="755"/>
      <c r="X15" s="755"/>
      <c r="Y15" s="755"/>
      <c r="Z15" s="755"/>
      <c r="AA15" s="755"/>
      <c r="AB15" s="755"/>
      <c r="AC15" s="755"/>
      <c r="AD15" s="755"/>
      <c r="AE15" s="755"/>
      <c r="AF15" s="755"/>
      <c r="AG15" s="755"/>
      <c r="AH15" s="755"/>
      <c r="AI15" s="755"/>
      <c r="AJ15" s="755"/>
      <c r="AK15" s="755"/>
      <c r="AL15" s="755"/>
      <c r="AM15" s="755"/>
      <c r="AN15" s="755"/>
      <c r="AO15" s="755"/>
      <c r="AP15" s="755"/>
      <c r="AQ15" s="755"/>
      <c r="AR15" s="755"/>
      <c r="AS15" s="755"/>
      <c r="AT15" s="755"/>
      <c r="AU15" s="755"/>
      <c r="AV15" s="755"/>
      <c r="AW15" s="755"/>
      <c r="AX15" s="755"/>
      <c r="AY15" s="755"/>
      <c r="AZ15" s="755"/>
      <c r="BA15" s="755"/>
      <c r="BB15" s="755"/>
      <c r="BC15" s="755"/>
      <c r="BD15" s="755"/>
      <c r="BE15" s="755"/>
      <c r="BF15" s="755"/>
      <c r="BG15" s="755"/>
      <c r="BH15" s="755"/>
      <c r="BI15" s="755"/>
      <c r="BJ15" s="755"/>
      <c r="BK15" s="755"/>
      <c r="BL15" s="755"/>
      <c r="BM15" s="308" t="s">
        <v>242</v>
      </c>
      <c r="BN15" s="1285">
        <v>23</v>
      </c>
      <c r="BO15" s="1285">
        <v>80</v>
      </c>
      <c r="BP15" s="755"/>
      <c r="BQ15" s="755"/>
      <c r="BR15" s="755"/>
      <c r="BS15" s="755"/>
      <c r="BT15" s="755"/>
      <c r="BU15" s="755"/>
      <c r="BV15" s="755"/>
      <c r="BW15" s="755"/>
      <c r="BX15" s="755"/>
      <c r="BY15" s="755"/>
      <c r="BZ15" s="755"/>
      <c r="CA15" s="755"/>
      <c r="CB15" s="755"/>
      <c r="CC15" s="755"/>
      <c r="CD15" s="755"/>
      <c r="CE15" s="755"/>
      <c r="CF15" s="755"/>
      <c r="CG15" s="755"/>
      <c r="CH15" s="755"/>
      <c r="CI15" s="755"/>
      <c r="CJ15" s="755"/>
      <c r="CK15" s="755"/>
      <c r="CL15" s="755"/>
      <c r="CM15" s="755"/>
      <c r="CN15" s="755"/>
      <c r="CO15" s="755"/>
      <c r="CP15" s="755"/>
      <c r="CQ15" s="755"/>
      <c r="CR15" s="755"/>
      <c r="CS15" s="755"/>
      <c r="CT15" s="755"/>
      <c r="CU15" s="755"/>
      <c r="CV15" s="755"/>
      <c r="CW15" s="755"/>
      <c r="CX15" s="755"/>
      <c r="CY15" s="755"/>
      <c r="CZ15" s="748"/>
      <c r="DA15" s="411"/>
      <c r="DB15" s="755"/>
      <c r="DC15" s="748"/>
      <c r="DD15" s="411"/>
      <c r="DE15" s="755"/>
      <c r="DF15" s="748"/>
      <c r="DG15" s="411"/>
      <c r="DH15" s="755"/>
      <c r="DI15" s="748"/>
      <c r="DJ15" s="411"/>
      <c r="DK15" s="755"/>
      <c r="DL15" s="748"/>
      <c r="DM15" s="411"/>
      <c r="DN15" s="755"/>
      <c r="DO15" s="748"/>
      <c r="DP15" s="411"/>
      <c r="DQ15" s="755"/>
      <c r="DR15" s="755"/>
      <c r="DS15" s="748"/>
      <c r="DT15" s="411"/>
      <c r="DU15" s="755"/>
      <c r="DV15" s="755"/>
      <c r="DW15" s="755"/>
      <c r="DX15" s="757"/>
      <c r="DY15" s="755"/>
      <c r="DZ15" s="755"/>
      <c r="EA15" s="310" t="s">
        <v>619</v>
      </c>
      <c r="EB15" s="310" t="s">
        <v>234</v>
      </c>
      <c r="EC15" s="755"/>
      <c r="ED15" s="755"/>
      <c r="EE15" s="755"/>
      <c r="EF15" s="755"/>
      <c r="EG15" s="748">
        <v>1</v>
      </c>
      <c r="EH15" s="950" t="str">
        <f>"Fee on Changes included in "&amp;FA32&amp;" code"</f>
        <v>Fee on Changes included in V code</v>
      </c>
      <c r="EI15" s="755"/>
      <c r="EJ15" s="755"/>
      <c r="EK15" s="755"/>
      <c r="EL15" s="755"/>
      <c r="EM15" s="755"/>
      <c r="EN15" s="755"/>
      <c r="EO15" s="755"/>
      <c r="EP15" s="755"/>
      <c r="EQ15" s="755"/>
      <c r="ER15" s="755"/>
      <c r="ES15" s="755"/>
      <c r="ET15" s="755"/>
      <c r="EU15" s="755"/>
      <c r="EV15" s="755"/>
      <c r="EW15" s="755"/>
      <c r="EX15" s="755"/>
      <c r="EY15" s="755"/>
      <c r="EZ15" s="755"/>
      <c r="FA15" s="755"/>
      <c r="FB15" s="755"/>
      <c r="FC15" s="755"/>
      <c r="FD15" s="755"/>
      <c r="FE15" s="755"/>
      <c r="FF15" s="755"/>
      <c r="FG15" s="755"/>
      <c r="FH15" s="446"/>
      <c r="FI15" s="755"/>
      <c r="FJ15" s="755"/>
      <c r="FK15" s="755"/>
      <c r="FL15" s="755"/>
      <c r="FM15" s="755"/>
      <c r="FN15" s="755"/>
      <c r="FO15" s="755"/>
      <c r="FP15" s="755"/>
      <c r="FQ15" s="755"/>
      <c r="FR15" s="755"/>
      <c r="FS15" s="755"/>
      <c r="FT15" s="3311"/>
      <c r="FU15" s="3308"/>
      <c r="FV15" s="3308"/>
      <c r="FW15" s="3310" t="s">
        <v>4263</v>
      </c>
      <c r="FX15" s="1861">
        <f>'4 Sign-off'!J137-FX13</f>
        <v>0</v>
      </c>
      <c r="FY15" s="1861">
        <f ca="1">'4 Sign-off'!I137-FY13</f>
        <v>0</v>
      </c>
      <c r="FZ15" s="3308"/>
      <c r="GA15" s="3319" t="s">
        <v>4279</v>
      </c>
      <c r="GB15" s="3308"/>
      <c r="GC15" s="3309"/>
      <c r="GD15" s="755"/>
      <c r="GE15" s="755"/>
      <c r="GF15" s="755"/>
      <c r="GG15" s="3165"/>
      <c r="GH15" s="755"/>
      <c r="GI15" s="755"/>
      <c r="GJ15" s="755"/>
      <c r="GK15" s="755"/>
      <c r="GL15" s="755"/>
      <c r="GM15" s="755"/>
      <c r="GN15" s="755"/>
      <c r="GO15" s="755"/>
      <c r="GP15" s="2284"/>
      <c r="GQ15" s="755"/>
      <c r="GR15" s="755"/>
      <c r="GS15" s="755"/>
      <c r="GT15" s="755"/>
      <c r="GU15" s="755"/>
      <c r="GV15" s="755"/>
      <c r="GW15" s="755"/>
      <c r="GX15" s="755"/>
      <c r="GY15" s="755"/>
      <c r="GZ15" s="755"/>
      <c r="HA15" s="755"/>
      <c r="HB15" s="755"/>
    </row>
    <row r="16" spans="1:210" s="749" customFormat="1" ht="13.5" hidden="1" customHeight="1" x14ac:dyDescent="0.25">
      <c r="A16" s="3268" t="str">
        <f>$FA29</f>
        <v>S</v>
      </c>
      <c r="B16" s="1241">
        <f>SUMIFS('3a Staff Plan'!$T$129:$T$305,'3a Staff Plan'!$DF$129:$DF$305,1,'3a Staff Plan'!$DA$129:$DA$305,1,'3a Staff Plan'!$J$129:$J$305,$A16)</f>
        <v>0</v>
      </c>
      <c r="C16" s="3269"/>
      <c r="D16" s="1241">
        <f>SUMIFS('3a Staff Plan'!$Z$129:$Z$305,'3a Staff Plan'!$DF$129:$DF$305,1,'3a Staff Plan'!$DA$129:$DA$305,1,'3a Staff Plan'!$J$129:$J$305,$A16)</f>
        <v>0</v>
      </c>
      <c r="E16" s="1241">
        <f>SUMIFS('3a Staff Plan'!$Y$129:$Y$305,'3a Staff Plan'!$DF$129:$DF$305,1,'3a Staff Plan'!$DA$129:$DA$305,1,'3a Staff Plan'!$J$129:$J$305,$A16)</f>
        <v>0</v>
      </c>
      <c r="F16" s="1241">
        <f>SUMIFS('3a Staff Plan'!$X$129:$X$305,'3a Staff Plan'!$DF$129:$DF$305,1,'3a Staff Plan'!$DA$129:$DA$305,1,'3a Staff Plan'!$J$129:$J$305,$A16)</f>
        <v>0</v>
      </c>
      <c r="G16" s="1241">
        <f>SUMIFS('3a Staff Plan'!$W$129:$W$305,'3a Staff Plan'!$DF$129:$DF$305,1,'3a Staff Plan'!$DA$129:$DA$305,1,'3a Staff Plan'!$J$129:$J$305,$A16)</f>
        <v>0</v>
      </c>
      <c r="H16" s="3269"/>
      <c r="I16" s="1241">
        <f>SUMIFS('3a Staff Plan'!$V$129:$V$305,'3a Staff Plan'!$DF$129:$DF$305,1,'3a Staff Plan'!$DA$129:$DA$305,1,'3a Staff Plan'!$J$129:$J$305,$A16)</f>
        <v>0</v>
      </c>
      <c r="J16" s="3269"/>
      <c r="K16" s="3269"/>
      <c r="L16" s="755"/>
      <c r="M16" s="1241">
        <f>SUMIFS('3b Activity Plan'!$T$173:$T$365,'3b Activity Plan'!$CY$173:$CY$365,1,'3b Activity Plan'!$J$173:$J$365,$A16)</f>
        <v>0</v>
      </c>
      <c r="N16" s="3269"/>
      <c r="O16" s="1241">
        <f>SUMIFS('3b Activity Plan'!$Z$173:$Z$365,'3b Activity Plan'!$CY$173:$CY$365,1,'3b Activity Plan'!$J$173:$J$365,$A16)</f>
        <v>0</v>
      </c>
      <c r="P16" s="1241">
        <f>SUMIFS('3b Activity Plan'!$Y$173:$Y$365,'3b Activity Plan'!$CY$173:$CY$365,1,'3b Activity Plan'!$J$173:$J$365,$A16)</f>
        <v>0</v>
      </c>
      <c r="Q16" s="1241">
        <f>SUMIFS('3b Activity Plan'!$X$173:$X$365,'3b Activity Plan'!$CY$173:$CY$365,1,'3b Activity Plan'!$J$173:$J$365,$A16)</f>
        <v>0</v>
      </c>
      <c r="R16" s="1241">
        <f>SUMIFS('3b Activity Plan'!$W$173:$W$365,'3b Activity Plan'!$CY$173:$CY$365,1,'3b Activity Plan'!$J$173:$J$365,$A16)</f>
        <v>0</v>
      </c>
      <c r="S16" s="3269"/>
      <c r="T16" s="1241">
        <f>SUMIFS('3b Activity Plan'!$V$173:$V$365,'3b Activity Plan'!$CY$173:$CY$365,1,'3b Activity Plan'!$J$173:$J$365,$A16)</f>
        <v>0</v>
      </c>
      <c r="U16" s="3269"/>
      <c r="V16" s="3269"/>
      <c r="W16" s="755"/>
      <c r="X16" s="755"/>
      <c r="Y16" s="755"/>
      <c r="Z16" s="755"/>
      <c r="AA16" s="755"/>
      <c r="AB16" s="755"/>
      <c r="AC16" s="755"/>
      <c r="AD16" s="755"/>
      <c r="AE16" s="755"/>
      <c r="AF16" s="755"/>
      <c r="AG16" s="755"/>
      <c r="AH16" s="755"/>
      <c r="AI16" s="755"/>
      <c r="AJ16" s="755"/>
      <c r="AK16" s="755"/>
      <c r="AL16" s="755"/>
      <c r="AM16" s="755"/>
      <c r="AN16" s="755"/>
      <c r="AO16" s="755"/>
      <c r="AP16" s="755"/>
      <c r="AQ16" s="755"/>
      <c r="AR16" s="755"/>
      <c r="AS16" s="755"/>
      <c r="AT16" s="755"/>
      <c r="AU16" s="755"/>
      <c r="AV16" s="755"/>
      <c r="AW16" s="755"/>
      <c r="AX16" s="755"/>
      <c r="AY16" s="755"/>
      <c r="AZ16" s="755"/>
      <c r="BA16" s="755"/>
      <c r="BB16" s="755"/>
      <c r="BC16" s="755"/>
      <c r="BD16" s="755"/>
      <c r="BE16" s="755"/>
      <c r="BF16" s="755"/>
      <c r="BG16" s="755"/>
      <c r="BH16" s="755"/>
      <c r="BI16" s="755"/>
      <c r="BJ16" s="755"/>
      <c r="BK16" s="755"/>
      <c r="BL16" s="755"/>
      <c r="BM16" s="308" t="s">
        <v>52</v>
      </c>
      <c r="BN16" s="1285">
        <v>9</v>
      </c>
      <c r="BO16" s="1285">
        <v>13</v>
      </c>
      <c r="BP16" s="755"/>
      <c r="BQ16" s="755"/>
      <c r="BR16" s="755"/>
      <c r="BS16" s="755"/>
      <c r="BT16" s="755"/>
      <c r="BU16" s="755"/>
      <c r="BV16" s="755"/>
      <c r="BW16" s="755"/>
      <c r="BX16" s="755"/>
      <c r="BY16" s="755"/>
      <c r="BZ16" s="755"/>
      <c r="CA16" s="755"/>
      <c r="CB16" s="755"/>
      <c r="CC16" s="755"/>
      <c r="CD16" s="755"/>
      <c r="CE16" s="755"/>
      <c r="CF16" s="755"/>
      <c r="CG16" s="755"/>
      <c r="CH16" s="755"/>
      <c r="CI16" s="755"/>
      <c r="CJ16" s="755"/>
      <c r="CK16" s="755"/>
      <c r="CL16" s="755"/>
      <c r="CM16" s="755"/>
      <c r="CN16" s="755"/>
      <c r="CO16" s="755"/>
      <c r="CP16" s="755"/>
      <c r="CQ16" s="755"/>
      <c r="CR16" s="755"/>
      <c r="CS16" s="755"/>
      <c r="CT16" s="755"/>
      <c r="CU16" s="755"/>
      <c r="CV16" s="755"/>
      <c r="CW16" s="755"/>
      <c r="CX16" s="755"/>
      <c r="CY16" s="755"/>
      <c r="CZ16" s="755"/>
      <c r="DA16" s="755"/>
      <c r="DB16" s="755"/>
      <c r="DC16" s="755"/>
      <c r="DD16" s="755"/>
      <c r="DE16" s="755"/>
      <c r="DF16" s="755"/>
      <c r="DG16" s="755"/>
      <c r="DH16" s="755"/>
      <c r="DI16" s="755"/>
      <c r="DJ16" s="755"/>
      <c r="DK16" s="755"/>
      <c r="DL16" s="755"/>
      <c r="DM16" s="755"/>
      <c r="DN16" s="755"/>
      <c r="DO16" s="755"/>
      <c r="DP16" s="755"/>
      <c r="DQ16" s="755"/>
      <c r="DR16" s="755"/>
      <c r="DS16" s="755"/>
      <c r="DT16" s="755"/>
      <c r="DU16" s="755"/>
      <c r="DV16" s="755"/>
      <c r="DW16" s="755"/>
      <c r="DX16" s="755"/>
      <c r="DY16" s="755"/>
      <c r="DZ16" s="755"/>
      <c r="EA16" s="748" t="str">
        <f>LEFT($EA$17,6)</f>
        <v>B23672</v>
      </c>
      <c r="EB16" s="748" t="str">
        <f>TEXT(RIGHT($EA$17,2),"00")</f>
        <v>05</v>
      </c>
      <c r="EC16" s="755"/>
      <c r="ED16" s="755"/>
      <c r="EE16" s="755"/>
      <c r="EF16" s="755"/>
      <c r="EG16" s="412"/>
      <c r="EH16" s="950" t="s">
        <v>4277</v>
      </c>
      <c r="EI16" s="755"/>
      <c r="EJ16" s="755"/>
      <c r="EK16" s="755"/>
      <c r="EL16" s="755"/>
      <c r="EM16" s="755"/>
      <c r="EN16" s="755"/>
      <c r="EO16" s="755"/>
      <c r="EP16" s="755"/>
      <c r="EQ16" s="755"/>
      <c r="ER16" s="755"/>
      <c r="ES16" s="755"/>
      <c r="ET16" s="755"/>
      <c r="EU16" s="755"/>
      <c r="EV16" s="755"/>
      <c r="EW16" s="755"/>
      <c r="EX16" s="755"/>
      <c r="EY16" s="755"/>
      <c r="EZ16" s="755"/>
      <c r="FA16" s="755"/>
      <c r="FB16" s="755"/>
      <c r="FC16" s="755"/>
      <c r="FD16" s="755"/>
      <c r="FE16" s="755"/>
      <c r="FF16" s="755"/>
      <c r="FG16" s="755"/>
      <c r="FH16" s="755"/>
      <c r="FI16" s="755"/>
      <c r="FJ16" s="755"/>
      <c r="FK16" s="755"/>
      <c r="FL16" s="755"/>
      <c r="FM16" s="755"/>
      <c r="FN16" s="755"/>
      <c r="FO16" s="755"/>
      <c r="FP16" s="755"/>
      <c r="FQ16" s="755"/>
      <c r="FR16" s="755"/>
      <c r="FS16" s="755"/>
      <c r="FT16" s="3311"/>
      <c r="FU16" s="3308"/>
      <c r="FV16" s="3308"/>
      <c r="FW16" s="3310" t="s">
        <v>2537</v>
      </c>
      <c r="FX16" s="1861">
        <f>FX27-FX13</f>
        <v>-42753.684232</v>
      </c>
      <c r="FY16" s="1861">
        <f ca="1">FY27-FY13</f>
        <v>-73862.781824999998</v>
      </c>
      <c r="FZ16" s="3308"/>
      <c r="GA16" s="3319" t="s">
        <v>4279</v>
      </c>
      <c r="GB16" s="3308"/>
      <c r="GC16" s="3309"/>
      <c r="GD16" s="755"/>
      <c r="GE16" s="755"/>
      <c r="GF16" s="755"/>
      <c r="GG16" s="748" t="s">
        <v>271</v>
      </c>
      <c r="GH16" s="755"/>
      <c r="GI16" s="755"/>
      <c r="GJ16" s="755"/>
      <c r="GK16" s="755"/>
      <c r="GL16" s="755"/>
      <c r="GM16" s="755"/>
      <c r="GN16" s="755"/>
      <c r="GO16" s="755"/>
      <c r="GP16" s="2284"/>
      <c r="GQ16" s="755"/>
      <c r="GR16" s="755"/>
      <c r="GS16" s="755"/>
      <c r="GT16" s="755"/>
      <c r="GU16" s="755"/>
      <c r="GV16" s="755"/>
      <c r="GW16" s="755"/>
      <c r="GX16" s="755"/>
      <c r="GY16" s="755"/>
      <c r="GZ16" s="755"/>
      <c r="HA16" s="755"/>
      <c r="HB16" s="755"/>
    </row>
    <row r="17" spans="1:227" s="749" customFormat="1" ht="13.5" hidden="1" customHeight="1" thickBot="1" x14ac:dyDescent="0.3">
      <c r="A17" s="3268" t="str">
        <f>$FA30</f>
        <v>S</v>
      </c>
      <c r="B17" s="3269"/>
      <c r="C17" s="3269"/>
      <c r="D17" s="3269"/>
      <c r="E17" s="3269"/>
      <c r="F17" s="3269"/>
      <c r="G17" s="3269"/>
      <c r="H17" s="3269"/>
      <c r="I17" s="3269"/>
      <c r="J17" s="1241">
        <f>SUMIFS('3a Staff Plan'!$AB$129:$AB$305,'3a Staff Plan'!$DF$129:$DF$305,1,'3a Staff Plan'!$DA$129:$DA$305,1,'3a Staff Plan'!$J$129:$J$305,$A17)</f>
        <v>0</v>
      </c>
      <c r="K17" s="1241">
        <f>SUMIFS('3a Staff Plan'!$AA$129:$AA$305,'3a Staff Plan'!$DF$129:$DF$305,1,'3a Staff Plan'!$DA$129:$DA$305,1,'3a Staff Plan'!$J$129:$J$305,$A17)</f>
        <v>0</v>
      </c>
      <c r="L17" s="755"/>
      <c r="M17" s="3269"/>
      <c r="N17" s="3269"/>
      <c r="O17" s="3269"/>
      <c r="P17" s="3269"/>
      <c r="Q17" s="3269"/>
      <c r="R17" s="3269"/>
      <c r="S17" s="3269"/>
      <c r="T17" s="3269"/>
      <c r="U17" s="1241">
        <f>SUMIFS('3b Activity Plan'!$AB$173:$AB$365,'3b Activity Plan'!$CY$173:$CY$365,1,'3b Activity Plan'!$J$173:$J$365,$A17)</f>
        <v>0</v>
      </c>
      <c r="V17" s="1241">
        <f>SUMIFS('3b Activity Plan'!$AA$173:$AA$365,'3b Activity Plan'!$CY$173:$CY$365,1,'3b Activity Plan'!$J$173:$J$365,$A17)</f>
        <v>0</v>
      </c>
      <c r="W17" s="755"/>
      <c r="X17" s="755"/>
      <c r="Y17" s="755"/>
      <c r="Z17" s="755"/>
      <c r="AA17" s="755"/>
      <c r="AB17" s="755"/>
      <c r="AC17" s="755"/>
      <c r="AD17" s="755"/>
      <c r="AE17" s="755"/>
      <c r="AF17" s="755"/>
      <c r="AG17" s="755"/>
      <c r="AH17" s="755"/>
      <c r="AI17" s="755"/>
      <c r="AJ17" s="755"/>
      <c r="AK17" s="755"/>
      <c r="AL17" s="755"/>
      <c r="AM17" s="755"/>
      <c r="AN17" s="755"/>
      <c r="AO17" s="755"/>
      <c r="AP17" s="755"/>
      <c r="AQ17" s="755"/>
      <c r="AR17" s="755"/>
      <c r="AS17" s="755"/>
      <c r="AT17" s="755"/>
      <c r="AU17" s="755"/>
      <c r="AV17" s="755"/>
      <c r="AW17" s="755"/>
      <c r="AX17" s="755"/>
      <c r="AY17" s="755"/>
      <c r="AZ17" s="755"/>
      <c r="BA17" s="755"/>
      <c r="BB17" s="755"/>
      <c r="BC17" s="755"/>
      <c r="BD17" s="755"/>
      <c r="BE17" s="755"/>
      <c r="BF17" s="755"/>
      <c r="BG17" s="755"/>
      <c r="BH17" s="755"/>
      <c r="BI17" s="755"/>
      <c r="BJ17" s="755"/>
      <c r="BK17" s="755"/>
      <c r="BL17" s="755"/>
      <c r="BM17" s="308" t="s">
        <v>243</v>
      </c>
      <c r="BN17" s="1285">
        <v>21</v>
      </c>
      <c r="BO17" s="1285">
        <v>82</v>
      </c>
      <c r="BP17" s="755"/>
      <c r="BQ17" s="755"/>
      <c r="BR17" s="755"/>
      <c r="BS17" s="755"/>
      <c r="BT17" s="755"/>
      <c r="BU17" s="755"/>
      <c r="BV17" s="755"/>
      <c r="BW17" s="755"/>
      <c r="BX17" s="755"/>
      <c r="BY17" s="755"/>
      <c r="BZ17" s="755"/>
      <c r="CA17" s="755"/>
      <c r="CB17" s="755"/>
      <c r="CC17" s="755"/>
      <c r="CD17" s="755"/>
      <c r="CE17" s="755"/>
      <c r="CF17" s="755"/>
      <c r="CG17" s="755"/>
      <c r="CH17" s="755"/>
      <c r="CI17" s="755"/>
      <c r="CJ17" s="755"/>
      <c r="CK17" s="755"/>
      <c r="CL17" s="755"/>
      <c r="CM17" s="755"/>
      <c r="CN17" s="755"/>
      <c r="CO17" s="755"/>
      <c r="CP17" s="755"/>
      <c r="CQ17" s="755"/>
      <c r="CR17" s="755"/>
      <c r="CS17" s="755"/>
      <c r="CT17" s="755"/>
      <c r="CU17" s="755"/>
      <c r="CV17" s="755"/>
      <c r="CW17" s="755"/>
      <c r="CX17" s="755"/>
      <c r="CY17" s="755"/>
      <c r="CZ17" s="755"/>
      <c r="DA17" s="755"/>
      <c r="DB17" s="755"/>
      <c r="DC17" s="755"/>
      <c r="DD17" s="755"/>
      <c r="DE17" s="755"/>
      <c r="DF17" s="755"/>
      <c r="DG17" s="755"/>
      <c r="DH17" s="755"/>
      <c r="DI17" s="755"/>
      <c r="DJ17" s="755"/>
      <c r="DK17" s="755"/>
      <c r="DL17" s="755"/>
      <c r="DM17" s="755"/>
      <c r="DN17" s="755"/>
      <c r="DO17" s="755"/>
      <c r="DP17" s="755"/>
      <c r="DQ17" s="755"/>
      <c r="DR17" s="755"/>
      <c r="DS17" s="755"/>
      <c r="DT17" s="755"/>
      <c r="DU17" s="755"/>
      <c r="DV17" s="755"/>
      <c r="DW17" s="755"/>
      <c r="DX17" s="755"/>
      <c r="DY17" s="755"/>
      <c r="DZ17" s="755"/>
      <c r="EA17" s="748" t="str">
        <f>'1 Setup'!I51</f>
        <v>B2367205</v>
      </c>
      <c r="EB17" s="755"/>
      <c r="EC17" s="755"/>
      <c r="ED17" s="755"/>
      <c r="EE17" s="755"/>
      <c r="EF17" s="755"/>
      <c r="EG17" s="755"/>
      <c r="EH17" s="755"/>
      <c r="EI17" s="755"/>
      <c r="EJ17" s="755"/>
      <c r="EK17" s="755"/>
      <c r="EL17" s="755"/>
      <c r="EM17" s="755"/>
      <c r="EN17" s="755"/>
      <c r="EO17" s="755"/>
      <c r="EP17" s="755"/>
      <c r="EQ17" s="755"/>
      <c r="ER17" s="755"/>
      <c r="ES17" s="755"/>
      <c r="ET17" s="755"/>
      <c r="EU17" s="755"/>
      <c r="EV17" s="755"/>
      <c r="EW17" s="755"/>
      <c r="EX17" s="755"/>
      <c r="EY17" s="755"/>
      <c r="EZ17" s="755"/>
      <c r="FA17" s="755"/>
      <c r="FB17" s="755"/>
      <c r="FC17" s="755"/>
      <c r="FD17" s="755"/>
      <c r="FE17" s="755"/>
      <c r="FF17" s="755"/>
      <c r="FG17" s="755"/>
      <c r="FH17" s="755"/>
      <c r="FI17" s="755"/>
      <c r="FJ17" s="755"/>
      <c r="FK17" s="755"/>
      <c r="FL17" s="755"/>
      <c r="FM17" s="755"/>
      <c r="FN17" s="755"/>
      <c r="FO17" s="755"/>
      <c r="FP17" s="755"/>
      <c r="FQ17" s="755"/>
      <c r="FR17" s="755"/>
      <c r="FS17" s="755"/>
      <c r="FT17" s="3312"/>
      <c r="FU17" s="3313"/>
      <c r="FV17" s="3313"/>
      <c r="FW17" s="3313"/>
      <c r="FX17" s="3315"/>
      <c r="FY17" s="3315"/>
      <c r="FZ17" s="3313"/>
      <c r="GA17" s="3313"/>
      <c r="GB17" s="3313"/>
      <c r="GC17" s="3314"/>
      <c r="GD17" s="755"/>
      <c r="GE17" s="755"/>
      <c r="GF17" s="755"/>
      <c r="GG17" s="755"/>
      <c r="GH17" s="755"/>
      <c r="GI17" s="755"/>
      <c r="GJ17" s="755"/>
      <c r="GK17" s="755"/>
      <c r="GL17" s="755"/>
      <c r="GM17" s="755"/>
      <c r="GN17" s="755"/>
      <c r="GO17" s="755"/>
      <c r="GP17" s="2284"/>
      <c r="GQ17" s="755"/>
      <c r="GR17" s="755"/>
      <c r="GS17" s="755"/>
      <c r="GT17" s="755"/>
      <c r="GU17" s="755"/>
      <c r="GV17" s="755"/>
      <c r="GW17" s="755"/>
      <c r="GX17" s="755"/>
      <c r="GY17" s="755"/>
      <c r="GZ17" s="755"/>
      <c r="HA17" s="755"/>
      <c r="HB17" s="755"/>
    </row>
    <row r="18" spans="1:227" s="272" customFormat="1" ht="13.5" hidden="1" customHeight="1" x14ac:dyDescent="0.25">
      <c r="A18" s="3268" t="str">
        <f>$FA$31</f>
        <v>R</v>
      </c>
      <c r="B18" s="3269"/>
      <c r="C18" s="3269"/>
      <c r="D18" s="3269"/>
      <c r="E18" s="3269"/>
      <c r="F18" s="3269"/>
      <c r="G18" s="3269"/>
      <c r="H18" s="3269"/>
      <c r="I18" s="3269"/>
      <c r="J18" s="1241">
        <f>SUMIFS('3a Staff Plan'!$AB$129:$AB$305,'3a Staff Plan'!$DF$129:$DF$305,1,'3a Staff Plan'!$DA$129:$DA$305,1,'3a Staff Plan'!$J$129:$J$305,$A18)</f>
        <v>0</v>
      </c>
      <c r="K18" s="3269"/>
      <c r="L18" s="755"/>
      <c r="M18" s="3269"/>
      <c r="N18" s="3269"/>
      <c r="O18" s="3269"/>
      <c r="P18" s="3269"/>
      <c r="Q18" s="3269"/>
      <c r="R18" s="3269"/>
      <c r="S18" s="3269"/>
      <c r="T18" s="3269"/>
      <c r="U18" s="1241">
        <f>SUMIFS('3b Activity Plan'!$AB$173:$AB$365,'3b Activity Plan'!$CY$173:$CY$365,1,'3b Activity Plan'!$J$173:$J$365,$A18)</f>
        <v>0</v>
      </c>
      <c r="V18" s="3269"/>
      <c r="W18" s="755"/>
      <c r="X18" s="755"/>
      <c r="Y18" s="755"/>
      <c r="Z18" s="755"/>
      <c r="AA18" s="755"/>
      <c r="AB18" s="755"/>
      <c r="AC18" s="755"/>
      <c r="AD18" s="755"/>
      <c r="AE18" s="755"/>
      <c r="AF18" s="755"/>
      <c r="AG18" s="755"/>
      <c r="AH18" s="755"/>
      <c r="AI18" s="755"/>
      <c r="AJ18" s="755"/>
      <c r="AK18" s="755"/>
      <c r="AL18" s="755"/>
      <c r="AM18" s="755"/>
      <c r="AN18" s="755"/>
      <c r="AO18" s="755"/>
      <c r="AP18" s="755"/>
      <c r="AQ18" s="755"/>
      <c r="AR18" s="755"/>
      <c r="AS18" s="755"/>
      <c r="AT18" s="755"/>
      <c r="AU18" s="755"/>
      <c r="AV18" s="755"/>
      <c r="AW18" s="755"/>
      <c r="AX18" s="755"/>
      <c r="AY18" s="755"/>
      <c r="AZ18" s="755"/>
      <c r="BA18" s="755"/>
      <c r="BB18" s="755"/>
      <c r="BC18" s="755"/>
      <c r="BD18" s="755"/>
      <c r="BE18" s="755"/>
      <c r="BF18" s="755"/>
      <c r="BG18" s="755"/>
      <c r="BH18" s="755"/>
      <c r="BI18" s="755"/>
      <c r="BJ18" s="755"/>
      <c r="BK18" s="755"/>
      <c r="BL18" s="755"/>
      <c r="BM18" s="308" t="s">
        <v>4037</v>
      </c>
      <c r="BN18" s="1285">
        <v>0</v>
      </c>
      <c r="BO18" s="1285">
        <v>0</v>
      </c>
      <c r="BP18" s="755"/>
      <c r="BQ18" s="755"/>
      <c r="BR18" s="755"/>
      <c r="BS18" s="755"/>
      <c r="BT18" s="755"/>
      <c r="BU18" s="755"/>
      <c r="BV18" s="755"/>
      <c r="BW18" s="755"/>
      <c r="BX18" s="755"/>
      <c r="BY18" s="755"/>
      <c r="BZ18" s="755"/>
      <c r="CA18" s="755"/>
      <c r="CB18" s="755"/>
      <c r="CC18" s="755"/>
      <c r="CD18" s="755"/>
      <c r="CE18" s="755"/>
      <c r="CF18" s="755"/>
      <c r="CG18" s="755"/>
      <c r="CH18" s="755"/>
      <c r="CI18" s="755"/>
      <c r="CJ18" s="755"/>
      <c r="CK18" s="755"/>
      <c r="CL18" s="755"/>
      <c r="CM18" s="755"/>
      <c r="CN18" s="755"/>
      <c r="CO18" s="755"/>
      <c r="CP18" s="755"/>
      <c r="CQ18" s="755"/>
      <c r="CR18" s="755"/>
      <c r="CS18" s="755"/>
      <c r="CT18" s="755"/>
      <c r="CU18" s="755"/>
      <c r="CV18" s="755"/>
      <c r="CW18" s="755"/>
      <c r="CX18" s="755"/>
      <c r="CY18" s="755"/>
      <c r="CZ18" s="755"/>
      <c r="DA18" s="755"/>
      <c r="DB18" s="755"/>
      <c r="DC18" s="755"/>
      <c r="DD18" s="755"/>
      <c r="DE18" s="755"/>
      <c r="DF18" s="755"/>
      <c r="DG18" s="755"/>
      <c r="DH18" s="755"/>
      <c r="DI18" s="755"/>
      <c r="DJ18" s="755"/>
      <c r="DK18" s="755"/>
      <c r="DL18" s="755"/>
      <c r="DM18" s="755"/>
      <c r="DN18" s="755"/>
      <c r="DO18" s="755"/>
      <c r="DP18" s="755"/>
      <c r="DQ18" s="275"/>
      <c r="DR18" s="755"/>
      <c r="DS18" s="755"/>
      <c r="DT18" s="755"/>
      <c r="DU18" s="755"/>
      <c r="DV18" s="755"/>
      <c r="DW18" s="755"/>
      <c r="DX18" s="755"/>
      <c r="DY18" s="755"/>
      <c r="DZ18" s="755"/>
      <c r="EA18" s="275"/>
      <c r="EB18" s="275"/>
      <c r="EC18" s="755"/>
      <c r="ED18" s="755"/>
      <c r="EE18" s="275"/>
      <c r="EF18" s="755"/>
      <c r="EG18" s="755"/>
      <c r="EH18" s="275"/>
      <c r="EI18" s="755"/>
      <c r="EJ18" s="755"/>
      <c r="EK18" s="275"/>
      <c r="EL18" s="275"/>
      <c r="EM18" s="275"/>
      <c r="EN18" s="275"/>
      <c r="EO18" s="275"/>
      <c r="EP18" s="755"/>
      <c r="EQ18" s="755"/>
      <c r="ER18" s="755"/>
      <c r="ES18" s="755"/>
      <c r="ET18" s="755"/>
      <c r="EU18" s="755"/>
      <c r="EV18" s="755"/>
      <c r="EW18" s="755"/>
      <c r="EX18" s="755"/>
      <c r="EY18" s="755"/>
      <c r="EZ18" s="755"/>
      <c r="FA18" s="755"/>
      <c r="FB18" s="275"/>
      <c r="FC18" s="275"/>
      <c r="FD18" s="755"/>
      <c r="FE18" s="755"/>
      <c r="FF18" s="755"/>
      <c r="FG18" s="275"/>
      <c r="FH18" s="275"/>
      <c r="FI18" s="755"/>
      <c r="FJ18" s="275"/>
      <c r="FK18" s="275"/>
      <c r="FL18" s="275"/>
      <c r="FM18" s="275"/>
      <c r="FN18" s="275"/>
      <c r="FO18" s="275"/>
      <c r="FP18" s="755"/>
      <c r="FQ18" s="755"/>
      <c r="FR18" s="275"/>
      <c r="FS18" s="275"/>
      <c r="FT18" s="275"/>
      <c r="FU18" s="755"/>
      <c r="FV18" s="275"/>
      <c r="FW18" s="275"/>
      <c r="FX18" s="2143"/>
      <c r="FY18" s="2143"/>
      <c r="FZ18" s="275"/>
      <c r="GA18" s="275"/>
      <c r="GB18" s="275"/>
      <c r="GC18" s="755"/>
      <c r="GD18" s="755"/>
      <c r="GE18" s="755"/>
      <c r="GF18" s="755"/>
      <c r="GG18" s="755"/>
      <c r="GH18" s="755"/>
      <c r="GI18" s="755"/>
      <c r="GJ18" s="755"/>
      <c r="GK18" s="755"/>
      <c r="GL18" s="755"/>
      <c r="GM18" s="755"/>
      <c r="GN18" s="755"/>
      <c r="GO18" s="755"/>
      <c r="GP18" s="2284"/>
      <c r="GQ18" s="755"/>
      <c r="GR18" s="755"/>
      <c r="GS18" s="755"/>
      <c r="GT18" s="755"/>
      <c r="GU18" s="755"/>
      <c r="GV18" s="755"/>
      <c r="GW18" s="755"/>
      <c r="GX18" s="755"/>
      <c r="GY18" s="755"/>
      <c r="GZ18" s="755"/>
      <c r="HA18" s="755"/>
      <c r="HB18" s="755"/>
    </row>
    <row r="19" spans="1:227" s="749" customFormat="1" ht="12.75" customHeight="1" thickBot="1" x14ac:dyDescent="0.35">
      <c r="A19" s="3268" t="str">
        <f>$FA32</f>
        <v>V</v>
      </c>
      <c r="B19" s="3269"/>
      <c r="C19" s="3269"/>
      <c r="D19" s="3269"/>
      <c r="E19" s="3269"/>
      <c r="F19" s="3269"/>
      <c r="G19" s="1241">
        <f>SUMIFS('3a Staff Plan'!$AA$129:$AA$305,'3a Staff Plan'!$DF$129:$DF$305,1,'3a Staff Plan'!$DA$129:$DA$305,1,'3a Staff Plan'!$J$129:$J$305,$A19)</f>
        <v>0</v>
      </c>
      <c r="H19" s="3269"/>
      <c r="I19" s="3269"/>
      <c r="J19" s="3269"/>
      <c r="K19" s="3269"/>
      <c r="L19" s="755"/>
      <c r="M19" s="3269"/>
      <c r="N19" s="3269"/>
      <c r="O19" s="3269"/>
      <c r="P19" s="3269"/>
      <c r="Q19" s="3269"/>
      <c r="R19" s="1241">
        <f>SUMIFS('3b Activity Plan'!$AA$173:$AA$365,'3b Activity Plan'!$CY$173:$CY$365,1,'3b Activity Plan'!$J$173:$J$365,$A19)</f>
        <v>0</v>
      </c>
      <c r="S19" s="3269"/>
      <c r="T19" s="3269"/>
      <c r="U19" s="3269"/>
      <c r="V19" s="3269"/>
      <c r="W19" s="755"/>
      <c r="X19" s="755"/>
      <c r="Y19" s="755"/>
      <c r="Z19" s="755"/>
      <c r="AA19" s="755"/>
      <c r="AB19" s="755"/>
      <c r="AC19" s="755"/>
      <c r="AD19" s="755"/>
      <c r="AE19" s="755"/>
      <c r="AF19" s="755"/>
      <c r="AG19" s="755"/>
      <c r="AH19" s="755"/>
      <c r="AI19" s="755"/>
      <c r="AJ19" s="755"/>
      <c r="AK19" s="755"/>
      <c r="AL19" s="755"/>
      <c r="AM19" s="755"/>
      <c r="AN19" s="755"/>
      <c r="AO19" s="755"/>
      <c r="AP19" s="755"/>
      <c r="AQ19" s="755"/>
      <c r="AR19" s="755"/>
      <c r="AS19" s="755"/>
      <c r="AT19" s="755"/>
      <c r="AU19" s="755"/>
      <c r="AV19" s="755"/>
      <c r="AW19" s="755"/>
      <c r="AX19" s="755"/>
      <c r="AY19" s="755"/>
      <c r="AZ19" s="755"/>
      <c r="BA19" s="755"/>
      <c r="BB19" s="755"/>
      <c r="BC19" s="755"/>
      <c r="BD19" s="755"/>
      <c r="BE19" s="755"/>
      <c r="BF19" s="755"/>
      <c r="BG19" s="755"/>
      <c r="BH19" s="755"/>
      <c r="BI19" s="755"/>
      <c r="BJ19" s="755"/>
      <c r="BK19" s="755"/>
      <c r="BL19" s="755"/>
      <c r="BM19" s="308" t="s">
        <v>77</v>
      </c>
      <c r="BN19" s="1285">
        <v>23</v>
      </c>
      <c r="BO19" s="1285">
        <v>80</v>
      </c>
      <c r="BP19" s="755"/>
      <c r="BQ19" s="755"/>
      <c r="BR19" s="755"/>
      <c r="BS19" s="755"/>
      <c r="BT19" s="755"/>
      <c r="BU19" s="755"/>
      <c r="BV19" s="755"/>
      <c r="BW19" s="755"/>
      <c r="BX19" s="755"/>
      <c r="BY19" s="755"/>
      <c r="BZ19" s="755"/>
      <c r="CA19" s="755"/>
      <c r="CB19" s="755"/>
      <c r="CC19" s="4028" t="s">
        <v>4091</v>
      </c>
      <c r="CD19" s="4028" t="s">
        <v>4092</v>
      </c>
      <c r="CE19" s="755"/>
      <c r="CF19" s="3198"/>
      <c r="CG19" s="3198"/>
      <c r="CH19" s="3198"/>
      <c r="CI19" s="3198"/>
      <c r="CJ19" s="3198"/>
      <c r="CK19" s="3198"/>
      <c r="CL19" s="3198"/>
      <c r="CM19" s="3198"/>
      <c r="CN19" s="3198"/>
      <c r="CO19" s="3198"/>
      <c r="CP19" s="755"/>
      <c r="CQ19" s="755"/>
      <c r="CR19" s="755"/>
      <c r="CS19" s="755"/>
      <c r="CT19" s="755"/>
      <c r="CU19" s="755"/>
      <c r="CV19" s="755"/>
      <c r="CW19" s="755"/>
      <c r="CX19" s="755"/>
      <c r="CY19" s="2537"/>
      <c r="CZ19" s="2537"/>
      <c r="DA19" s="2537"/>
      <c r="DB19" s="2537"/>
      <c r="DC19" s="2537"/>
      <c r="DD19" s="2537"/>
      <c r="DE19" s="2537"/>
      <c r="DF19" s="2537"/>
      <c r="DG19" s="2537"/>
      <c r="DH19" s="2537"/>
      <c r="DI19" s="2537"/>
      <c r="DJ19" s="2537"/>
      <c r="DK19" s="2537"/>
      <c r="DL19" s="2537"/>
      <c r="DM19" s="2537"/>
      <c r="DN19" s="2537"/>
      <c r="DO19" s="2537"/>
      <c r="DP19" s="2537"/>
      <c r="DQ19" s="2537"/>
      <c r="DR19" s="2537"/>
      <c r="DS19" s="2537"/>
      <c r="DT19" s="2537"/>
      <c r="DU19" s="2537"/>
      <c r="DV19" s="2537"/>
      <c r="DW19" s="2537"/>
      <c r="DX19" s="2537"/>
      <c r="DY19" s="2537"/>
      <c r="DZ19" s="2537"/>
      <c r="EA19" s="2537"/>
      <c r="EB19" s="2537"/>
      <c r="EC19" s="2537"/>
      <c r="ED19" s="2537"/>
      <c r="EE19" s="2537"/>
      <c r="EF19" s="2537"/>
      <c r="EG19" s="2537"/>
      <c r="EH19" s="2537"/>
      <c r="EI19" s="2537"/>
      <c r="EJ19" s="2537"/>
      <c r="EK19" s="2543"/>
      <c r="EL19" s="2543"/>
      <c r="EM19" s="2537"/>
      <c r="EN19" s="2537"/>
      <c r="EO19" s="2537"/>
      <c r="EP19" s="2537"/>
      <c r="EQ19" s="2537"/>
      <c r="ER19" s="2537"/>
      <c r="ES19" s="2537"/>
      <c r="ET19" s="2537"/>
      <c r="EU19" s="2537"/>
      <c r="EV19" s="2537"/>
      <c r="EW19" s="2537"/>
      <c r="EX19" s="2537"/>
      <c r="EY19" s="2537"/>
      <c r="EZ19" s="2537"/>
      <c r="FA19" s="2537"/>
      <c r="FB19" s="274"/>
      <c r="FC19" s="274"/>
      <c r="FD19" s="2537"/>
      <c r="FE19" s="2537"/>
      <c r="FF19" s="274"/>
      <c r="FG19" s="2541"/>
      <c r="FH19" s="2541"/>
      <c r="FI19" s="2541"/>
      <c r="FJ19" s="2541"/>
      <c r="FK19" s="2541"/>
      <c r="FL19" s="2541"/>
      <c r="FM19" s="2541"/>
      <c r="FN19" s="2541"/>
      <c r="FO19" s="2541"/>
      <c r="FP19" s="2541"/>
      <c r="FQ19" s="2541"/>
      <c r="FR19" s="2541"/>
      <c r="FS19" s="274"/>
      <c r="FT19" s="2541"/>
      <c r="FU19" s="2541"/>
      <c r="FV19" s="2541"/>
      <c r="FW19" s="2541"/>
      <c r="FX19" s="2541"/>
      <c r="FY19" s="2541"/>
      <c r="FZ19" s="2541"/>
      <c r="GA19" s="2541"/>
      <c r="GB19" s="2541"/>
      <c r="GC19" s="2541"/>
      <c r="GD19" s="2537"/>
      <c r="GE19" s="274"/>
      <c r="GF19" s="274"/>
      <c r="GG19" s="274"/>
      <c r="GH19" s="274"/>
      <c r="GI19" s="274"/>
      <c r="GJ19" s="274"/>
      <c r="GK19" s="274"/>
      <c r="GL19" s="274"/>
      <c r="GM19" s="274"/>
      <c r="GN19" s="274"/>
      <c r="GO19" s="274"/>
      <c r="GP19" s="2534"/>
      <c r="GQ19" s="274"/>
      <c r="GR19" s="274"/>
      <c r="GS19" s="274"/>
      <c r="GT19" s="274"/>
      <c r="GU19" s="274"/>
      <c r="GV19" s="274"/>
      <c r="GW19" s="274"/>
      <c r="GX19" s="274"/>
      <c r="GY19" s="274"/>
      <c r="GZ19" s="274"/>
      <c r="HA19" s="274"/>
      <c r="HB19" s="274"/>
    </row>
    <row r="20" spans="1:227" s="749" customFormat="1" ht="47.25" customHeight="1" thickBot="1" x14ac:dyDescent="0.65">
      <c r="A20" s="755"/>
      <c r="B20" s="755"/>
      <c r="C20" s="755"/>
      <c r="D20" s="755"/>
      <c r="E20" s="755"/>
      <c r="F20" s="755"/>
      <c r="G20" s="755"/>
      <c r="H20" s="755"/>
      <c r="I20" s="755"/>
      <c r="J20" s="755"/>
      <c r="K20" s="755"/>
      <c r="L20" s="755"/>
      <c r="M20" s="755"/>
      <c r="N20" s="755"/>
      <c r="O20" s="755"/>
      <c r="P20" s="755"/>
      <c r="Q20" s="755"/>
      <c r="R20" s="755"/>
      <c r="S20" s="755"/>
      <c r="T20" s="755"/>
      <c r="U20" s="755"/>
      <c r="V20" s="755"/>
      <c r="W20" s="755"/>
      <c r="X20" s="755"/>
      <c r="Y20" s="755"/>
      <c r="Z20" s="755"/>
      <c r="AA20" s="755"/>
      <c r="AB20" s="755"/>
      <c r="AC20" s="755"/>
      <c r="AD20" s="755"/>
      <c r="AE20" s="755"/>
      <c r="AF20" s="755"/>
      <c r="AG20" s="755"/>
      <c r="AH20" s="755"/>
      <c r="AI20" s="755"/>
      <c r="AJ20" s="755"/>
      <c r="AK20" s="755"/>
      <c r="AL20" s="755"/>
      <c r="AM20" s="1523"/>
      <c r="AN20" s="755"/>
      <c r="AO20" s="755"/>
      <c r="AP20" s="755"/>
      <c r="AQ20" s="755"/>
      <c r="AR20" s="755"/>
      <c r="AS20" s="755"/>
      <c r="AT20" s="755"/>
      <c r="AU20" s="755"/>
      <c r="AV20" s="755"/>
      <c r="AW20" s="755"/>
      <c r="AX20" s="755"/>
      <c r="AY20" s="755"/>
      <c r="AZ20" s="755"/>
      <c r="BA20" s="755"/>
      <c r="BB20" s="755"/>
      <c r="BC20" s="755"/>
      <c r="BD20" s="755"/>
      <c r="BE20" s="755"/>
      <c r="BF20" s="755"/>
      <c r="BG20" s="755"/>
      <c r="BH20" s="755"/>
      <c r="BI20" s="755"/>
      <c r="BJ20" s="755"/>
      <c r="BK20" s="755"/>
      <c r="BL20" s="755"/>
      <c r="BM20" s="308" t="s">
        <v>252</v>
      </c>
      <c r="BN20" s="1286">
        <v>9</v>
      </c>
      <c r="BO20" s="1286">
        <v>13</v>
      </c>
      <c r="BP20" s="755"/>
      <c r="BQ20" s="755"/>
      <c r="BR20" s="755"/>
      <c r="BS20" s="755"/>
      <c r="BT20" s="755"/>
      <c r="BU20" s="755"/>
      <c r="BV20" s="755"/>
      <c r="BW20" s="755"/>
      <c r="BX20" s="755"/>
      <c r="BY20" s="755"/>
      <c r="BZ20" s="755"/>
      <c r="CA20" s="755"/>
      <c r="CB20" s="755"/>
      <c r="CC20" s="4028"/>
      <c r="CD20" s="4028"/>
      <c r="CE20" s="755"/>
      <c r="CF20" s="3198"/>
      <c r="CG20" s="3198"/>
      <c r="CH20" s="3198"/>
      <c r="CI20" s="3198"/>
      <c r="CJ20" s="3198"/>
      <c r="CK20" s="3198"/>
      <c r="CL20" s="3198"/>
      <c r="CM20" s="3198"/>
      <c r="CN20" s="3198"/>
      <c r="CO20" s="3198"/>
      <c r="CP20" s="755"/>
      <c r="CQ20" s="755"/>
      <c r="CR20" s="755"/>
      <c r="CS20" s="755"/>
      <c r="CT20" s="755"/>
      <c r="CU20" s="755"/>
      <c r="CV20" s="755"/>
      <c r="CW20" s="755"/>
      <c r="CX20" s="755"/>
      <c r="CY20" s="2537"/>
      <c r="CZ20" s="815"/>
      <c r="DA20" s="816"/>
      <c r="DB20" s="816"/>
      <c r="DC20" s="816"/>
      <c r="DD20" s="816"/>
      <c r="DE20" s="816"/>
      <c r="DF20" s="816"/>
      <c r="DG20" s="816"/>
      <c r="DH20" s="816"/>
      <c r="DI20" s="816"/>
      <c r="DJ20" s="816"/>
      <c r="DK20" s="816"/>
      <c r="DL20" s="816"/>
      <c r="DM20" s="852" t="s">
        <v>2598</v>
      </c>
      <c r="DN20" s="816"/>
      <c r="DO20" s="816"/>
      <c r="DP20" s="816"/>
      <c r="DQ20" s="816"/>
      <c r="DR20" s="816"/>
      <c r="DS20" s="816"/>
      <c r="DT20" s="816"/>
      <c r="DU20" s="816"/>
      <c r="DV20" s="816"/>
      <c r="DW20" s="816"/>
      <c r="DX20" s="816"/>
      <c r="DY20" s="2572"/>
      <c r="DZ20" s="2537"/>
      <c r="EA20" s="3286" t="s">
        <v>4276</v>
      </c>
      <c r="EB20" s="816"/>
      <c r="EC20" s="816"/>
      <c r="ED20" s="816"/>
      <c r="EE20" s="816"/>
      <c r="EF20" s="816"/>
      <c r="EG20" s="816"/>
      <c r="EH20" s="816" t="s">
        <v>1769</v>
      </c>
      <c r="EI20" s="816"/>
      <c r="EJ20" s="816"/>
      <c r="EK20" s="816"/>
      <c r="EL20" s="816"/>
      <c r="EM20" s="816"/>
      <c r="EN20" s="816"/>
      <c r="EO20" s="1258"/>
      <c r="EP20" s="816"/>
      <c r="EQ20" s="816"/>
      <c r="ER20" s="816"/>
      <c r="ES20" s="816"/>
      <c r="ET20" s="816"/>
      <c r="EU20" s="816"/>
      <c r="EV20" s="816"/>
      <c r="EW20" s="1259" t="s">
        <v>1739</v>
      </c>
      <c r="EX20" s="2537"/>
      <c r="EY20" s="2537"/>
      <c r="EZ20" s="2559"/>
      <c r="FA20" s="4065" t="s">
        <v>2872</v>
      </c>
      <c r="FB20" s="4066"/>
      <c r="FC20" s="274"/>
      <c r="FD20" s="2108" t="str">
        <f>'1 Setup'!$I$84</f>
        <v>10.  Category Rates with Scaling Factor</v>
      </c>
      <c r="FE20" s="1907"/>
      <c r="FF20" s="1907"/>
      <c r="FG20" s="1907"/>
      <c r="FH20" s="1907"/>
      <c r="FI20" s="1907"/>
      <c r="FJ20" s="1907"/>
      <c r="FK20" s="1907"/>
      <c r="FL20" s="1907"/>
      <c r="FM20" s="1907"/>
      <c r="FN20" s="1907"/>
      <c r="FO20" s="2160" t="str">
        <f>CHOOSE('1 Setup'!G2,"Budget","ETC Forecast","Selected Changes")</f>
        <v>Selected Changes</v>
      </c>
      <c r="FP20" s="1908" t="str">
        <f>"("&amp;'1 Setup'!I60&amp;")"</f>
        <v>(GBP)</v>
      </c>
      <c r="FQ20" s="1907"/>
      <c r="FR20" s="4055" t="str">
        <f>IF(EB6="B","Go to the Sign-Off tab to select which Change Numbers pass through","")</f>
        <v>Go to the Sign-Off tab to select which Change Numbers pass through</v>
      </c>
      <c r="FS20" s="4055"/>
      <c r="FT20" s="4055"/>
      <c r="FU20" s="4054" t="str">
        <f ca="1">IF(AND($ED$106&gt;0,$EB$6="E"),EN23,"")</f>
        <v/>
      </c>
      <c r="FV20" s="4054"/>
      <c r="FW20" s="4054"/>
      <c r="FX20" s="4054"/>
      <c r="FY20" s="4054"/>
      <c r="FZ20" s="1907"/>
      <c r="GA20" s="2056"/>
      <c r="GB20" s="1907"/>
      <c r="GC20" s="1909"/>
      <c r="GD20" s="277"/>
      <c r="GE20" s="277"/>
      <c r="GF20" s="277"/>
      <c r="GG20" s="277"/>
      <c r="GH20" s="277"/>
      <c r="GI20" s="277"/>
      <c r="GJ20" s="2532" t="s">
        <v>4085</v>
      </c>
      <c r="GL20" s="2536"/>
      <c r="GM20" s="2536"/>
      <c r="GN20" s="2536"/>
      <c r="GO20" s="2589"/>
      <c r="GP20" s="2536"/>
      <c r="GQ20" s="2536"/>
      <c r="GR20" s="277"/>
      <c r="GS20" s="277"/>
      <c r="GT20" s="277"/>
      <c r="GU20" s="277"/>
      <c r="GV20" s="277"/>
      <c r="GW20" s="277"/>
      <c r="GX20" s="277"/>
      <c r="GY20" s="277"/>
      <c r="GZ20" s="277"/>
      <c r="HA20" s="277"/>
      <c r="HB20" s="277"/>
    </row>
    <row r="21" spans="1:227" s="749" customFormat="1" ht="6" customHeight="1" thickBot="1" x14ac:dyDescent="0.35">
      <c r="A21" s="755"/>
      <c r="B21" s="417" t="s">
        <v>1700</v>
      </c>
      <c r="C21" s="755"/>
      <c r="D21" s="755"/>
      <c r="E21" s="755"/>
      <c r="F21" s="755"/>
      <c r="G21" s="755"/>
      <c r="H21" s="755"/>
      <c r="I21" s="755"/>
      <c r="J21" s="755"/>
      <c r="K21" s="755"/>
      <c r="L21" s="755"/>
      <c r="M21" s="417" t="s">
        <v>1700</v>
      </c>
      <c r="N21" s="755"/>
      <c r="O21" s="755"/>
      <c r="P21" s="755"/>
      <c r="Q21" s="755"/>
      <c r="R21" s="755"/>
      <c r="S21" s="755"/>
      <c r="T21" s="755"/>
      <c r="U21" s="755"/>
      <c r="V21" s="755"/>
      <c r="W21" s="755"/>
      <c r="X21" s="755"/>
      <c r="Y21" s="755"/>
      <c r="Z21" s="755"/>
      <c r="AA21" s="755"/>
      <c r="AB21" s="755"/>
      <c r="AC21" s="755"/>
      <c r="AD21" s="755"/>
      <c r="AE21" s="755"/>
      <c r="AF21" s="755"/>
      <c r="AG21" s="755"/>
      <c r="AH21" s="755"/>
      <c r="AI21" s="755"/>
      <c r="AJ21" s="755"/>
      <c r="AK21" s="755"/>
      <c r="AL21" s="755"/>
      <c r="AM21" s="1523"/>
      <c r="AN21" s="755"/>
      <c r="AO21" s="755"/>
      <c r="AP21" s="755"/>
      <c r="AQ21" s="755"/>
      <c r="AR21" s="755"/>
      <c r="AS21" s="755"/>
      <c r="AT21" s="755"/>
      <c r="AU21" s="755"/>
      <c r="AV21" s="755"/>
      <c r="AW21" s="755"/>
      <c r="AX21" s="755"/>
      <c r="AY21" s="755"/>
      <c r="AZ21" s="755"/>
      <c r="BA21" s="755"/>
      <c r="BB21" s="755"/>
      <c r="BC21" s="755"/>
      <c r="BD21" s="755"/>
      <c r="BE21" s="755"/>
      <c r="BF21" s="755"/>
      <c r="BG21" s="755"/>
      <c r="BH21" s="755"/>
      <c r="BI21" s="755"/>
      <c r="BJ21" s="755"/>
      <c r="BK21" s="755"/>
      <c r="BL21" s="755"/>
      <c r="BM21" s="308" t="s">
        <v>256</v>
      </c>
      <c r="BN21" s="3097">
        <v>7</v>
      </c>
      <c r="BO21" s="3097">
        <v>95</v>
      </c>
      <c r="BP21" s="755"/>
      <c r="BQ21" s="4028" t="s">
        <v>1727</v>
      </c>
      <c r="BR21" s="4028" t="s">
        <v>2528</v>
      </c>
      <c r="BS21" s="4028" t="s">
        <v>1737</v>
      </c>
      <c r="BT21" s="4028" t="s">
        <v>1748</v>
      </c>
      <c r="BU21" s="4028" t="s">
        <v>2222</v>
      </c>
      <c r="BV21" s="4028" t="s">
        <v>1731</v>
      </c>
      <c r="BW21" s="4028" t="s">
        <v>1752</v>
      </c>
      <c r="BX21" s="4028" t="s">
        <v>1750</v>
      </c>
      <c r="BY21" s="4028" t="s">
        <v>2280</v>
      </c>
      <c r="BZ21" s="4028" t="s">
        <v>1751</v>
      </c>
      <c r="CA21" s="4028" t="s">
        <v>2871</v>
      </c>
      <c r="CB21" s="4028" t="s">
        <v>1729</v>
      </c>
      <c r="CC21" s="4028"/>
      <c r="CD21" s="4028"/>
      <c r="CE21" s="4028" t="s">
        <v>2219</v>
      </c>
      <c r="CF21" s="4028" t="s">
        <v>4093</v>
      </c>
      <c r="CG21" s="4028" t="s">
        <v>4094</v>
      </c>
      <c r="CH21" s="4028" t="s">
        <v>4095</v>
      </c>
      <c r="CI21" s="4028" t="s">
        <v>4096</v>
      </c>
      <c r="CJ21" s="4028" t="s">
        <v>4098</v>
      </c>
      <c r="CK21" s="4028" t="s">
        <v>4099</v>
      </c>
      <c r="CL21" s="4028" t="s">
        <v>4100</v>
      </c>
      <c r="CM21" s="4028" t="s">
        <v>4101</v>
      </c>
      <c r="CN21" s="4028" t="s">
        <v>4102</v>
      </c>
      <c r="CO21" s="4028" t="s">
        <v>4128</v>
      </c>
      <c r="CP21" s="4028" t="s">
        <v>746</v>
      </c>
      <c r="CQ21" s="4028" t="s">
        <v>107</v>
      </c>
      <c r="CR21" s="4028" t="s">
        <v>2220</v>
      </c>
      <c r="CS21" s="2525"/>
      <c r="CT21" s="4028" t="s">
        <v>2825</v>
      </c>
      <c r="CU21" s="4028" t="s">
        <v>2832</v>
      </c>
      <c r="CV21" s="4028" t="s">
        <v>2833</v>
      </c>
      <c r="CW21" s="3161"/>
      <c r="CX21" s="755"/>
      <c r="CY21" s="2537"/>
      <c r="CZ21" s="2537"/>
      <c r="DA21" s="2537"/>
      <c r="DB21" s="2537"/>
      <c r="DC21" s="2537"/>
      <c r="DD21" s="2537"/>
      <c r="DE21" s="2537"/>
      <c r="DF21" s="2537"/>
      <c r="DG21" s="2537"/>
      <c r="DH21" s="2537"/>
      <c r="DI21" s="2537"/>
      <c r="DJ21" s="2537"/>
      <c r="DK21" s="2537"/>
      <c r="DL21" s="2537"/>
      <c r="DM21" s="2537"/>
      <c r="DN21" s="2537"/>
      <c r="DO21" s="2537"/>
      <c r="DP21" s="2537"/>
      <c r="DQ21" s="2537"/>
      <c r="DR21" s="2537"/>
      <c r="DS21" s="2537"/>
      <c r="DT21" s="2537"/>
      <c r="DU21" s="2537"/>
      <c r="DV21" s="2537"/>
      <c r="DW21" s="2537"/>
      <c r="DX21" s="2537"/>
      <c r="DY21" s="2572"/>
      <c r="DZ21" s="2537"/>
      <c r="EA21" s="2537"/>
      <c r="EB21" s="2537"/>
      <c r="EC21" s="2537"/>
      <c r="ED21" s="4046" t="str">
        <f>INDEX(EE8:EE13,EA8-2)</f>
        <v>6 LEVEL PATH ID STRUCTURE:
Standard Levels (2, 3 and 4):  Select best fit descriptions from the yellow dropdown cells (do not type in the white cells).
Intermediate Level (5):  Enter ID/ID Names in the picklist setup table below the main table (40 fields max).
Lowest Level (6):  Enter ID/ID Names (as matched pairs) directly into the rightmost columns in the main table.
IPCS Control Account Names default to the lowest level ID Name, but can be edited if required (in the green cells).
Refer to User Guide section 5 for more details</v>
      </c>
      <c r="EE21" s="4046"/>
      <c r="EF21" s="4046"/>
      <c r="EG21" s="4046"/>
      <c r="EH21" s="4046"/>
      <c r="EI21" s="4046"/>
      <c r="EJ21" s="4046"/>
      <c r="EK21" s="4046"/>
      <c r="EL21" s="4046"/>
      <c r="EM21" s="4046"/>
      <c r="EN21" s="2537"/>
      <c r="EO21" s="2537"/>
      <c r="EP21" s="2537"/>
      <c r="EQ21" s="2537"/>
      <c r="ER21" s="2537"/>
      <c r="ES21" s="2537"/>
      <c r="ET21" s="2537"/>
      <c r="EU21" s="2537"/>
      <c r="EV21" s="2537"/>
      <c r="EW21" s="2537"/>
      <c r="EX21" s="2537"/>
      <c r="EY21" s="2537"/>
      <c r="EZ21" s="2559"/>
      <c r="FA21" s="4058" t="s">
        <v>2877</v>
      </c>
      <c r="FB21" s="4058"/>
      <c r="FC21" s="274"/>
      <c r="FD21" s="2537"/>
      <c r="FE21" s="2537"/>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537"/>
      <c r="GE21" s="277"/>
      <c r="GF21" s="277"/>
      <c r="GG21" s="4060" t="s">
        <v>4086</v>
      </c>
      <c r="GH21" s="277"/>
      <c r="GI21" s="277"/>
      <c r="GJ21" s="277"/>
      <c r="GK21" s="4052" t="s">
        <v>4082</v>
      </c>
      <c r="GL21" s="4052"/>
      <c r="GM21" s="4052"/>
      <c r="GN21" s="4052"/>
      <c r="GO21" s="4052"/>
      <c r="GP21" s="4052"/>
      <c r="GQ21" s="4052"/>
      <c r="GR21" s="4052"/>
      <c r="GS21" s="4052"/>
      <c r="GT21" s="277"/>
      <c r="GU21" s="277"/>
      <c r="GV21" s="277"/>
      <c r="GW21" s="277"/>
      <c r="GX21" s="277"/>
      <c r="GY21" s="277"/>
      <c r="GZ21" s="277"/>
      <c r="HA21" s="277"/>
      <c r="HB21" s="277"/>
    </row>
    <row r="22" spans="1:227" s="272" customFormat="1" ht="24" customHeight="1" thickBot="1" x14ac:dyDescent="0.45">
      <c r="A22" s="755"/>
      <c r="B22" s="748">
        <f>'4 Sign-off'!F17</f>
        <v>0</v>
      </c>
      <c r="C22" s="802"/>
      <c r="D22" s="802"/>
      <c r="E22" s="802"/>
      <c r="F22" s="803" t="s">
        <v>475</v>
      </c>
      <c r="G22" s="802"/>
      <c r="H22" s="802"/>
      <c r="I22" s="802"/>
      <c r="J22" s="802"/>
      <c r="K22" s="804"/>
      <c r="L22" s="755"/>
      <c r="M22" s="748">
        <f>'4 Sign-off'!F18</f>
        <v>1</v>
      </c>
      <c r="N22" s="799"/>
      <c r="O22" s="799"/>
      <c r="P22" s="799"/>
      <c r="Q22" s="801" t="s">
        <v>611</v>
      </c>
      <c r="R22" s="799"/>
      <c r="S22" s="799"/>
      <c r="T22" s="799"/>
      <c r="U22" s="799"/>
      <c r="V22" s="799"/>
      <c r="W22" s="799"/>
      <c r="X22" s="799"/>
      <c r="Y22" s="799"/>
      <c r="Z22" s="800"/>
      <c r="AA22" s="755"/>
      <c r="AB22" s="755"/>
      <c r="AC22" s="755"/>
      <c r="AD22" s="755"/>
      <c r="AE22" s="755"/>
      <c r="AF22" s="755"/>
      <c r="AG22" s="308" t="s">
        <v>669</v>
      </c>
      <c r="AH22" s="834">
        <f>IF(B22+M22=2,3,IF(B22=1,1,2))</f>
        <v>2</v>
      </c>
      <c r="AI22" s="755"/>
      <c r="AJ22" s="755"/>
      <c r="AK22" s="4056" t="s">
        <v>1517</v>
      </c>
      <c r="AL22" s="4056"/>
      <c r="AM22" s="1523"/>
      <c r="AN22" s="755"/>
      <c r="AO22" s="755"/>
      <c r="AP22" s="755"/>
      <c r="AQ22" s="755"/>
      <c r="AR22" s="755"/>
      <c r="AS22" s="755"/>
      <c r="AT22" s="755"/>
      <c r="AU22" s="755"/>
      <c r="AV22" s="755"/>
      <c r="AW22" s="755"/>
      <c r="AX22" s="755"/>
      <c r="AY22" s="755"/>
      <c r="AZ22" s="755"/>
      <c r="BA22" s="755"/>
      <c r="BB22" s="755"/>
      <c r="BC22" s="755"/>
      <c r="BD22" s="755"/>
      <c r="BE22" s="755"/>
      <c r="BF22" s="755"/>
      <c r="BG22" s="755"/>
      <c r="BH22" s="755"/>
      <c r="BI22" s="755"/>
      <c r="BJ22" s="755"/>
      <c r="BK22" s="755"/>
      <c r="BL22" s="755"/>
      <c r="BM22" s="308" t="s">
        <v>258</v>
      </c>
      <c r="BN22" s="1285">
        <v>21</v>
      </c>
      <c r="BO22" s="1285">
        <v>82</v>
      </c>
      <c r="BP22" s="755"/>
      <c r="BQ22" s="4028"/>
      <c r="BR22" s="4028"/>
      <c r="BS22" s="4028"/>
      <c r="BT22" s="4028"/>
      <c r="BU22" s="4028"/>
      <c r="BV22" s="4028"/>
      <c r="BW22" s="4028"/>
      <c r="BX22" s="4028"/>
      <c r="BY22" s="4028"/>
      <c r="BZ22" s="4028"/>
      <c r="CA22" s="4028"/>
      <c r="CB22" s="4028"/>
      <c r="CC22" s="4028"/>
      <c r="CD22" s="4028"/>
      <c r="CE22" s="4028"/>
      <c r="CF22" s="4028"/>
      <c r="CG22" s="4028"/>
      <c r="CH22" s="4028"/>
      <c r="CI22" s="4028"/>
      <c r="CJ22" s="4028"/>
      <c r="CK22" s="4028"/>
      <c r="CL22" s="4028"/>
      <c r="CM22" s="4028"/>
      <c r="CN22" s="4028"/>
      <c r="CO22" s="4028"/>
      <c r="CP22" s="4028"/>
      <c r="CQ22" s="4028"/>
      <c r="CR22" s="4028"/>
      <c r="CS22" s="2525"/>
      <c r="CT22" s="4028"/>
      <c r="CU22" s="4028"/>
      <c r="CV22" s="4028"/>
      <c r="CW22" s="3161"/>
      <c r="CX22" s="755"/>
      <c r="CY22" s="2537"/>
      <c r="CZ22" s="2537"/>
      <c r="DA22" s="2537"/>
      <c r="DB22" s="274"/>
      <c r="DC22" s="2537"/>
      <c r="DD22" s="2579" t="s">
        <v>2601</v>
      </c>
      <c r="DE22" s="274"/>
      <c r="DF22" s="274"/>
      <c r="DG22" s="2537"/>
      <c r="DH22" s="2537"/>
      <c r="DI22" s="2537"/>
      <c r="DJ22" s="2537"/>
      <c r="DK22" s="274"/>
      <c r="DL22" s="274"/>
      <c r="DM22" s="274"/>
      <c r="DN22" s="274"/>
      <c r="DO22" s="274"/>
      <c r="DP22" s="274"/>
      <c r="DQ22" s="2537"/>
      <c r="DR22" s="2537"/>
      <c r="DS22" s="3994" t="s">
        <v>1505</v>
      </c>
      <c r="DT22" s="3994"/>
      <c r="DU22" s="2537"/>
      <c r="DV22" s="2537"/>
      <c r="DW22" s="3994" t="s">
        <v>2149</v>
      </c>
      <c r="DX22" s="3994"/>
      <c r="DY22" s="2572"/>
      <c r="DZ22" s="2537"/>
      <c r="EA22" s="2567"/>
      <c r="EB22" s="2567"/>
      <c r="EC22" s="2537"/>
      <c r="ED22" s="4047"/>
      <c r="EE22" s="4047"/>
      <c r="EF22" s="4047"/>
      <c r="EG22" s="4047"/>
      <c r="EH22" s="4047"/>
      <c r="EI22" s="4047"/>
      <c r="EJ22" s="4047"/>
      <c r="EK22" s="4047"/>
      <c r="EL22" s="4047"/>
      <c r="EM22" s="4047"/>
      <c r="EN22" s="2568" t="str">
        <f ca="1">IF(ED106&gt;0,"IPCS SET-UP ERROR",IF(ED127&gt;0,"Information Item",""))</f>
        <v>IPCS SET-UP ERROR</v>
      </c>
      <c r="EO22" s="2537"/>
      <c r="EP22" s="2537"/>
      <c r="EQ22" s="4015" t="s">
        <v>1745</v>
      </c>
      <c r="ER22" s="2537"/>
      <c r="ES22" s="2537"/>
      <c r="ET22" s="4015" t="s">
        <v>1746</v>
      </c>
      <c r="EU22" s="2537"/>
      <c r="EV22" s="2537"/>
      <c r="EW22" s="3999" t="s">
        <v>1753</v>
      </c>
      <c r="EX22" s="2537"/>
      <c r="EY22" s="2537"/>
      <c r="EZ22" s="2559"/>
      <c r="FA22" s="4052"/>
      <c r="FB22" s="4052"/>
      <c r="FC22" s="274"/>
      <c r="FD22" s="4067" t="s">
        <v>2150</v>
      </c>
      <c r="FE22" s="4068"/>
      <c r="FF22" s="274"/>
      <c r="FG22" s="1877"/>
      <c r="FH22" s="1879" t="s">
        <v>1</v>
      </c>
      <c r="FI22" s="1878"/>
      <c r="FJ22" s="2541"/>
      <c r="FK22" s="1874" t="s">
        <v>93</v>
      </c>
      <c r="FL22" s="1875"/>
      <c r="FM22" s="1875"/>
      <c r="FN22" s="1875"/>
      <c r="FO22" s="1875"/>
      <c r="FP22" s="1875"/>
      <c r="FQ22" s="1876"/>
      <c r="FR22" s="1926"/>
      <c r="FS22" s="2548"/>
      <c r="FT22" s="4069" t="s">
        <v>117</v>
      </c>
      <c r="FU22" s="4070"/>
      <c r="FV22" s="4071"/>
      <c r="FW22" s="2549"/>
      <c r="FX22" s="1910" t="s">
        <v>130</v>
      </c>
      <c r="FY22" s="1911"/>
      <c r="FZ22" s="2538"/>
      <c r="GA22" s="1912" t="s">
        <v>30</v>
      </c>
      <c r="GB22" s="1913"/>
      <c r="GC22" s="1914"/>
      <c r="GD22" s="2537"/>
      <c r="GE22" s="2530" t="str">
        <f>IF(EB6="F","   &gt;&gt;  scroll right for IPCS data import screen  &gt;&gt;","")</f>
        <v/>
      </c>
      <c r="GF22" s="277"/>
      <c r="GG22" s="4060"/>
      <c r="GH22" s="277"/>
      <c r="GI22" s="277"/>
      <c r="GJ22" s="277"/>
      <c r="GK22" s="4052"/>
      <c r="GL22" s="4052"/>
      <c r="GM22" s="4052"/>
      <c r="GN22" s="4052"/>
      <c r="GO22" s="4052"/>
      <c r="GP22" s="4052"/>
      <c r="GQ22" s="4052"/>
      <c r="GR22" s="4052"/>
      <c r="GS22" s="4052"/>
      <c r="GT22" s="277"/>
      <c r="GU22" s="277"/>
      <c r="GV22" s="277"/>
      <c r="GW22" s="402"/>
      <c r="GX22" s="277"/>
      <c r="GY22" s="277"/>
      <c r="GZ22" s="277"/>
      <c r="HA22" s="277"/>
      <c r="HB22" s="277"/>
    </row>
    <row r="23" spans="1:227" s="272" customFormat="1" ht="9.6" customHeight="1" thickBot="1" x14ac:dyDescent="0.35">
      <c r="A23" s="755"/>
      <c r="B23" s="755"/>
      <c r="C23" s="755"/>
      <c r="D23" s="755"/>
      <c r="E23" s="755"/>
      <c r="F23" s="755"/>
      <c r="G23" s="417" t="s">
        <v>2338</v>
      </c>
      <c r="H23" s="755"/>
      <c r="I23" s="755"/>
      <c r="J23" s="417"/>
      <c r="K23" s="755"/>
      <c r="L23" s="755"/>
      <c r="M23" s="755"/>
      <c r="N23" s="755"/>
      <c r="O23" s="755"/>
      <c r="P23" s="755"/>
      <c r="Q23" s="755"/>
      <c r="R23" s="417" t="s">
        <v>2338</v>
      </c>
      <c r="S23" s="755"/>
      <c r="T23" s="755"/>
      <c r="U23" s="417"/>
      <c r="V23" s="417"/>
      <c r="W23" s="755"/>
      <c r="X23" s="755"/>
      <c r="Y23" s="755"/>
      <c r="Z23" s="755"/>
      <c r="AA23" s="755"/>
      <c r="AB23" s="755"/>
      <c r="AC23" s="755"/>
      <c r="AD23" s="755"/>
      <c r="AE23" s="755"/>
      <c r="AF23" s="755"/>
      <c r="AG23" s="755"/>
      <c r="AH23" s="755"/>
      <c r="AI23" s="755"/>
      <c r="AJ23" s="755"/>
      <c r="AK23" s="4057"/>
      <c r="AL23" s="4057"/>
      <c r="AM23" s="1523"/>
      <c r="AN23" s="755"/>
      <c r="AO23" s="755"/>
      <c r="AP23" s="755"/>
      <c r="AQ23" s="755"/>
      <c r="AR23" s="755"/>
      <c r="AS23" s="755"/>
      <c r="AT23" s="755"/>
      <c r="AU23" s="755"/>
      <c r="AV23" s="755"/>
      <c r="AW23" s="755"/>
      <c r="AX23" s="755"/>
      <c r="AY23" s="755"/>
      <c r="AZ23" s="755"/>
      <c r="BA23" s="755"/>
      <c r="BB23" s="755"/>
      <c r="BC23" s="755"/>
      <c r="BD23" s="755"/>
      <c r="BE23" s="755"/>
      <c r="BF23" s="755"/>
      <c r="BG23" s="755"/>
      <c r="BH23" s="755"/>
      <c r="BI23" s="755"/>
      <c r="BJ23" s="1838" t="s">
        <v>2225</v>
      </c>
      <c r="BK23" s="755"/>
      <c r="BL23" s="755"/>
      <c r="BM23" s="308" t="s">
        <v>262</v>
      </c>
      <c r="BN23" s="1285">
        <v>23</v>
      </c>
      <c r="BO23" s="1285">
        <v>80</v>
      </c>
      <c r="BP23" s="755"/>
      <c r="BQ23" s="4028"/>
      <c r="BR23" s="4028"/>
      <c r="BS23" s="4028"/>
      <c r="BT23" s="4028"/>
      <c r="BU23" s="4028"/>
      <c r="BV23" s="4028"/>
      <c r="BW23" s="4028"/>
      <c r="BX23" s="4028"/>
      <c r="BY23" s="4028"/>
      <c r="BZ23" s="4028"/>
      <c r="CA23" s="4028"/>
      <c r="CB23" s="4028"/>
      <c r="CC23" s="4028"/>
      <c r="CD23" s="4028"/>
      <c r="CE23" s="4028"/>
      <c r="CF23" s="4028"/>
      <c r="CG23" s="4028"/>
      <c r="CH23" s="4028"/>
      <c r="CI23" s="4028"/>
      <c r="CJ23" s="4028"/>
      <c r="CK23" s="4028"/>
      <c r="CL23" s="4028"/>
      <c r="CM23" s="4028"/>
      <c r="CN23" s="4028"/>
      <c r="CO23" s="4028"/>
      <c r="CP23" s="4028"/>
      <c r="CQ23" s="4028"/>
      <c r="CR23" s="4028"/>
      <c r="CS23" s="2525"/>
      <c r="CT23" s="4028"/>
      <c r="CU23" s="4028"/>
      <c r="CV23" s="4028"/>
      <c r="CW23" s="3161"/>
      <c r="CX23" s="755"/>
      <c r="CY23" s="2537"/>
      <c r="CZ23" s="2537"/>
      <c r="DA23" s="2537"/>
      <c r="DB23" s="274"/>
      <c r="DC23" s="2537"/>
      <c r="DD23" s="2537"/>
      <c r="DE23" s="274"/>
      <c r="DF23" s="274"/>
      <c r="DG23" s="274"/>
      <c r="DH23" s="2537"/>
      <c r="DI23" s="2537"/>
      <c r="DJ23" s="2537"/>
      <c r="DK23" s="274"/>
      <c r="DL23" s="274"/>
      <c r="DM23" s="274"/>
      <c r="DN23" s="274"/>
      <c r="DO23" s="274"/>
      <c r="DP23" s="274"/>
      <c r="DQ23" s="2537"/>
      <c r="DR23" s="2537"/>
      <c r="DS23" s="3994"/>
      <c r="DT23" s="3994"/>
      <c r="DU23" s="2537"/>
      <c r="DV23" s="2537"/>
      <c r="DW23" s="3994"/>
      <c r="DX23" s="3994"/>
      <c r="DY23" s="2572"/>
      <c r="DZ23" s="2537"/>
      <c r="EA23" s="4014"/>
      <c r="EB23" s="2569"/>
      <c r="EC23" s="2537"/>
      <c r="ED23" s="4047"/>
      <c r="EE23" s="4047"/>
      <c r="EF23" s="4047"/>
      <c r="EG23" s="4047"/>
      <c r="EH23" s="4047"/>
      <c r="EI23" s="4047"/>
      <c r="EJ23" s="4047"/>
      <c r="EK23" s="4047"/>
      <c r="EL23" s="4047"/>
      <c r="EM23" s="4047"/>
      <c r="EN23" s="4015" t="str">
        <f ca="1">IF(ED106+ED127&gt;0,"Ignore this warning if you haven't yet finished setting up the page.  
Error log is at cell DM"&amp;ROW(EE104),"")</f>
        <v>Ignore this warning if you haven't yet finished setting up the page.  
Error log is at cell DM104</v>
      </c>
      <c r="EO23" s="2537"/>
      <c r="EP23" s="2537"/>
      <c r="EQ23" s="4015"/>
      <c r="ER23" s="2537"/>
      <c r="ES23" s="2537"/>
      <c r="ET23" s="4015"/>
      <c r="EU23" s="2537"/>
      <c r="EV23" s="2537"/>
      <c r="EW23" s="4000"/>
      <c r="EX23" s="2537"/>
      <c r="EY23" s="2537"/>
      <c r="EZ23" s="2559"/>
      <c r="FA23" s="4052"/>
      <c r="FB23" s="4052"/>
      <c r="FC23" s="274"/>
      <c r="FD23" s="2542"/>
      <c r="FE23" s="2542"/>
      <c r="FF23" s="274"/>
      <c r="FG23" s="2538" t="s">
        <v>2402</v>
      </c>
      <c r="FH23" s="2538" t="s">
        <v>2152</v>
      </c>
      <c r="FI23" s="2538" t="s">
        <v>2403</v>
      </c>
      <c r="FJ23" s="2545"/>
      <c r="FK23" s="2538" t="s">
        <v>2153</v>
      </c>
      <c r="FL23" s="2538" t="s">
        <v>2154</v>
      </c>
      <c r="FM23" s="2538" t="s">
        <v>2155</v>
      </c>
      <c r="FN23" s="2538" t="s">
        <v>2429</v>
      </c>
      <c r="FO23" s="2538" t="s">
        <v>2430</v>
      </c>
      <c r="FP23" s="2538" t="s">
        <v>2156</v>
      </c>
      <c r="FQ23" s="2538" t="s">
        <v>2215</v>
      </c>
      <c r="FR23" s="2538" t="s">
        <v>2208</v>
      </c>
      <c r="FS23" s="2546"/>
      <c r="FT23" s="2538" t="s">
        <v>2157</v>
      </c>
      <c r="FU23" s="2538" t="s">
        <v>2216</v>
      </c>
      <c r="FV23" s="2538" t="s">
        <v>2209</v>
      </c>
      <c r="FW23" s="2538"/>
      <c r="FX23" s="2538" t="s">
        <v>2210</v>
      </c>
      <c r="FY23" s="2538" t="s">
        <v>2211</v>
      </c>
      <c r="FZ23" s="2538"/>
      <c r="GA23" s="2538" t="s">
        <v>2212</v>
      </c>
      <c r="GB23" s="2538" t="s">
        <v>2213</v>
      </c>
      <c r="GC23" s="2538" t="s">
        <v>2214</v>
      </c>
      <c r="GD23" s="2537"/>
      <c r="GE23" s="277"/>
      <c r="GF23" s="277"/>
      <c r="GG23" s="4060"/>
      <c r="GH23" s="277"/>
      <c r="GI23" s="277"/>
      <c r="GJ23" s="277"/>
      <c r="GK23" s="4053"/>
      <c r="GL23" s="4053"/>
      <c r="GM23" s="4053"/>
      <c r="GN23" s="4053"/>
      <c r="GO23" s="4053"/>
      <c r="GP23" s="4053"/>
      <c r="GQ23" s="4053"/>
      <c r="GR23" s="4053"/>
      <c r="GS23" s="4053"/>
      <c r="GT23" s="277"/>
      <c r="GU23" s="277"/>
      <c r="GV23" s="277"/>
      <c r="GW23" s="277"/>
      <c r="GX23" s="277"/>
      <c r="GY23" s="277"/>
      <c r="GZ23" s="277"/>
      <c r="HA23" s="277"/>
      <c r="HB23" s="277"/>
    </row>
    <row r="24" spans="1:227" s="272" customFormat="1" ht="22.5" customHeight="1" thickBot="1" x14ac:dyDescent="0.35">
      <c r="A24" s="755"/>
      <c r="B24" s="1236"/>
      <c r="C24" s="1237"/>
      <c r="D24" s="1237"/>
      <c r="E24" s="1238" t="str">
        <f>'3a Staff Plan'!Q115</f>
        <v>Value of Change:</v>
      </c>
      <c r="F24" s="1237"/>
      <c r="G24" s="1944">
        <f>IF(OR('1 Setup'!$G$8=4,'1 Setup'!$G$8=5),1,0)</f>
        <v>0</v>
      </c>
      <c r="H24" s="1237"/>
      <c r="I24" s="1237"/>
      <c r="J24" s="2048"/>
      <c r="K24" s="1239"/>
      <c r="L24" s="755"/>
      <c r="M24" s="1236"/>
      <c r="N24" s="1237"/>
      <c r="O24" s="1237"/>
      <c r="P24" s="1238" t="str">
        <f>E24</f>
        <v>Value of Change:</v>
      </c>
      <c r="Q24" s="1237"/>
      <c r="R24" s="1944">
        <f>G24</f>
        <v>0</v>
      </c>
      <c r="S24" s="1237"/>
      <c r="T24" s="1237"/>
      <c r="U24" s="2048"/>
      <c r="V24" s="1244"/>
      <c r="W24" s="755"/>
      <c r="X24" s="1236"/>
      <c r="Y24" s="2636" t="s">
        <v>2589</v>
      </c>
      <c r="Z24" s="1244"/>
      <c r="AA24" s="755"/>
      <c r="AB24" s="830" t="s">
        <v>475</v>
      </c>
      <c r="AC24" s="831"/>
      <c r="AD24" s="755"/>
      <c r="AE24" s="828" t="s">
        <v>611</v>
      </c>
      <c r="AF24" s="829"/>
      <c r="AG24" s="755"/>
      <c r="AH24" s="832" t="s">
        <v>667</v>
      </c>
      <c r="AI24" s="833"/>
      <c r="AJ24" s="755"/>
      <c r="AK24" s="832" t="s">
        <v>1516</v>
      </c>
      <c r="AL24" s="833"/>
      <c r="AM24" s="1523"/>
      <c r="AN24" s="755"/>
      <c r="AO24" s="755"/>
      <c r="AP24" s="755"/>
      <c r="AQ24" s="755"/>
      <c r="AR24" s="1152" t="s">
        <v>1050</v>
      </c>
      <c r="AS24" s="755"/>
      <c r="AT24" s="755"/>
      <c r="AU24" s="755"/>
      <c r="AV24" s="755"/>
      <c r="AW24" s="755"/>
      <c r="AX24" s="755"/>
      <c r="AY24" s="755"/>
      <c r="AZ24" s="755"/>
      <c r="BA24" s="755"/>
      <c r="BB24" s="755"/>
      <c r="BC24" s="755"/>
      <c r="BD24" s="755"/>
      <c r="BE24" s="755"/>
      <c r="BF24" s="755"/>
      <c r="BG24" s="755"/>
      <c r="BH24" s="755"/>
      <c r="BI24" s="755"/>
      <c r="BJ24" s="753">
        <v>5</v>
      </c>
      <c r="BK24" s="755"/>
      <c r="BL24" s="755"/>
      <c r="BM24" s="308" t="s">
        <v>613</v>
      </c>
      <c r="BN24" s="1285">
        <v>7</v>
      </c>
      <c r="BO24" s="1285">
        <v>95</v>
      </c>
      <c r="BP24" s="755"/>
      <c r="BQ24" s="4028"/>
      <c r="BR24" s="4028"/>
      <c r="BS24" s="4028"/>
      <c r="BT24" s="4028"/>
      <c r="BU24" s="4028"/>
      <c r="BV24" s="4028"/>
      <c r="BW24" s="4028"/>
      <c r="BX24" s="4028"/>
      <c r="BY24" s="4028"/>
      <c r="BZ24" s="4028"/>
      <c r="CA24" s="4028"/>
      <c r="CB24" s="4028"/>
      <c r="CC24" s="4028"/>
      <c r="CD24" s="4028"/>
      <c r="CE24" s="4028"/>
      <c r="CF24" s="4028"/>
      <c r="CG24" s="4028"/>
      <c r="CH24" s="4028"/>
      <c r="CI24" s="4028"/>
      <c r="CJ24" s="4028"/>
      <c r="CK24" s="4028"/>
      <c r="CL24" s="4028"/>
      <c r="CM24" s="4028"/>
      <c r="CN24" s="4028"/>
      <c r="CO24" s="4028"/>
      <c r="CP24" s="4028"/>
      <c r="CQ24" s="4028"/>
      <c r="CR24" s="4028"/>
      <c r="CS24" s="2525"/>
      <c r="CT24" s="4028"/>
      <c r="CU24" s="4028"/>
      <c r="CV24" s="4028"/>
      <c r="CW24" s="3161"/>
      <c r="CX24" s="755"/>
      <c r="CY24" s="2537"/>
      <c r="CZ24" s="2580"/>
      <c r="DA24" s="2537"/>
      <c r="DB24" s="2537"/>
      <c r="DC24" s="2537"/>
      <c r="DD24" s="2581" t="s">
        <v>2687</v>
      </c>
      <c r="DE24" s="2537"/>
      <c r="DF24" s="274"/>
      <c r="DG24" s="274"/>
      <c r="DH24" s="2537"/>
      <c r="DI24" s="2537"/>
      <c r="DJ24" s="2537"/>
      <c r="DK24" s="2537"/>
      <c r="DL24" s="2537"/>
      <c r="DM24" s="274"/>
      <c r="DN24" s="274"/>
      <c r="DO24" s="2586"/>
      <c r="DP24" s="2587" t="s">
        <v>2308</v>
      </c>
      <c r="DQ24" s="2537"/>
      <c r="DR24" s="2559"/>
      <c r="DS24" s="3994"/>
      <c r="DT24" s="3994"/>
      <c r="DU24" s="2537"/>
      <c r="DV24" s="2559"/>
      <c r="DW24" s="3994"/>
      <c r="DX24" s="3994"/>
      <c r="DY24" s="2572"/>
      <c r="DZ24" s="2537"/>
      <c r="EA24" s="4014"/>
      <c r="EB24" s="2569"/>
      <c r="EC24" s="2537"/>
      <c r="ED24" s="4047"/>
      <c r="EE24" s="4047"/>
      <c r="EF24" s="4047"/>
      <c r="EG24" s="4047"/>
      <c r="EH24" s="4047"/>
      <c r="EI24" s="4047"/>
      <c r="EJ24" s="4047"/>
      <c r="EK24" s="4047"/>
      <c r="EL24" s="4047"/>
      <c r="EM24" s="4047"/>
      <c r="EN24" s="4015"/>
      <c r="EO24" s="2537"/>
      <c r="EP24" s="2537"/>
      <c r="EQ24" s="4015"/>
      <c r="ER24" s="2537"/>
      <c r="ES24" s="2537"/>
      <c r="ET24" s="4015"/>
      <c r="EU24" s="2537"/>
      <c r="EV24" s="2537"/>
      <c r="EW24" s="1101" t="s">
        <v>241</v>
      </c>
      <c r="EX24" s="2560" t="str">
        <f>HYPERLINK("#"&amp;ADDRESS(ROW(),COLUMN()-1),CHAR(128))</f>
        <v>€</v>
      </c>
      <c r="EY24" s="2537"/>
      <c r="EZ24" s="2559"/>
      <c r="FA24" s="4052"/>
      <c r="FB24" s="4052"/>
      <c r="FC24" s="274"/>
      <c r="FD24" s="2542"/>
      <c r="FE24" s="2543" t="s">
        <v>2428</v>
      </c>
      <c r="FF24" s="274"/>
      <c r="FG24" s="2553" t="s">
        <v>102</v>
      </c>
      <c r="FH24" s="2552" t="s">
        <v>104</v>
      </c>
      <c r="FI24" s="277"/>
      <c r="FJ24" s="277"/>
      <c r="FK24" s="277"/>
      <c r="FL24" s="277"/>
      <c r="FM24" s="2550" t="s">
        <v>1228</v>
      </c>
      <c r="FN24" s="277"/>
      <c r="FO24" s="2551" t="s">
        <v>1227</v>
      </c>
      <c r="FP24" s="2553" t="s">
        <v>1232</v>
      </c>
      <c r="FQ24" s="2552" t="s">
        <v>2206</v>
      </c>
      <c r="FR24" s="2552" t="s">
        <v>1233</v>
      </c>
      <c r="FS24" s="277"/>
      <c r="FT24" s="2550" t="s">
        <v>1228</v>
      </c>
      <c r="FU24" s="2552" t="s">
        <v>2206</v>
      </c>
      <c r="FV24" s="2551" t="s">
        <v>1227</v>
      </c>
      <c r="FW24" s="277"/>
      <c r="FX24" s="2550" t="s">
        <v>1228</v>
      </c>
      <c r="FY24" s="2551" t="s">
        <v>1227</v>
      </c>
      <c r="FZ24" s="277"/>
      <c r="GA24" s="277"/>
      <c r="GB24" s="277"/>
      <c r="GC24" s="277"/>
      <c r="GD24" s="2537"/>
      <c r="GE24" s="277"/>
      <c r="GF24" s="277"/>
      <c r="GG24" s="4060"/>
      <c r="GH24" s="277"/>
      <c r="GI24" s="4059" t="s">
        <v>4083</v>
      </c>
      <c r="GJ24" s="2529"/>
      <c r="GK24" s="2528" t="s">
        <v>2839</v>
      </c>
      <c r="GL24" s="2282"/>
      <c r="GM24" s="2282"/>
      <c r="GN24" s="2282"/>
      <c r="GO24" s="2377"/>
      <c r="GP24" s="2285"/>
      <c r="GQ24" s="2282"/>
      <c r="GR24" s="2282"/>
      <c r="GS24" s="2282"/>
      <c r="GT24" s="2282"/>
      <c r="GU24" s="2282"/>
      <c r="GV24" s="2282"/>
      <c r="GW24" s="2282"/>
      <c r="GX24" s="2282"/>
      <c r="GY24" s="2282"/>
      <c r="GZ24" s="2283"/>
      <c r="HA24" s="277"/>
      <c r="HB24" s="277"/>
    </row>
    <row r="25" spans="1:227" ht="11.25" customHeight="1" thickBot="1" x14ac:dyDescent="0.35">
      <c r="A25" s="755"/>
      <c r="B25" s="4037" t="s">
        <v>116</v>
      </c>
      <c r="C25" s="4037" t="s">
        <v>135</v>
      </c>
      <c r="D25" s="4037" t="s">
        <v>229</v>
      </c>
      <c r="E25" s="4037" t="s">
        <v>1157</v>
      </c>
      <c r="F25" s="4037" t="s">
        <v>126</v>
      </c>
      <c r="G25" s="4037" t="s">
        <v>2223</v>
      </c>
      <c r="H25" s="1243"/>
      <c r="I25" s="4037" t="s">
        <v>1609</v>
      </c>
      <c r="J25" s="4037" t="s">
        <v>610</v>
      </c>
      <c r="K25" s="4037" t="s">
        <v>127</v>
      </c>
      <c r="L25" s="755"/>
      <c r="M25" s="4037" t="s">
        <v>116</v>
      </c>
      <c r="N25" s="4037" t="s">
        <v>135</v>
      </c>
      <c r="O25" s="4037" t="s">
        <v>229</v>
      </c>
      <c r="P25" s="4037" t="s">
        <v>1157</v>
      </c>
      <c r="Q25" s="4037" t="s">
        <v>126</v>
      </c>
      <c r="R25" s="4037" t="s">
        <v>2223</v>
      </c>
      <c r="S25" s="1243"/>
      <c r="T25" s="4037" t="s">
        <v>1609</v>
      </c>
      <c r="U25" s="4037" t="s">
        <v>610</v>
      </c>
      <c r="V25" s="4037" t="s">
        <v>127</v>
      </c>
      <c r="W25" s="755"/>
      <c r="X25" s="755"/>
      <c r="Y25" s="755"/>
      <c r="Z25" s="755"/>
      <c r="AA25" s="755"/>
      <c r="AB25" s="755"/>
      <c r="AC25" s="755"/>
      <c r="AD25" s="755"/>
      <c r="AE25" s="755"/>
      <c r="AF25" s="755"/>
      <c r="AG25" s="755"/>
      <c r="AH25" s="755"/>
      <c r="AI25" s="755"/>
      <c r="AJ25" s="755"/>
      <c r="AK25" s="755"/>
      <c r="AL25" s="755"/>
      <c r="AM25" s="1523"/>
      <c r="AN25" s="755"/>
      <c r="AO25" s="755"/>
      <c r="AP25" s="755"/>
      <c r="AQ25" s="755"/>
      <c r="AR25" s="755"/>
      <c r="AS25" s="755"/>
      <c r="AT25" s="755"/>
      <c r="AU25" s="755"/>
      <c r="AV25" s="755"/>
      <c r="AW25" s="755"/>
      <c r="AX25" s="755"/>
      <c r="AY25" s="755"/>
      <c r="AZ25" s="755"/>
      <c r="BA25" s="774"/>
      <c r="BB25" s="774"/>
      <c r="BC25" s="774"/>
      <c r="BD25" s="774"/>
      <c r="BE25" s="755"/>
      <c r="BF25" s="774"/>
      <c r="BG25" s="774"/>
      <c r="BH25" s="774"/>
      <c r="BI25" s="755"/>
      <c r="BJ25" s="1838" t="s">
        <v>2139</v>
      </c>
      <c r="BK25" s="774"/>
      <c r="BL25" s="774"/>
      <c r="BM25" s="308" t="s">
        <v>247</v>
      </c>
      <c r="BN25" s="1285">
        <v>7</v>
      </c>
      <c r="BO25" s="1285">
        <v>95</v>
      </c>
      <c r="BP25" s="755"/>
      <c r="BQ25" s="4028"/>
      <c r="BR25" s="4028"/>
      <c r="BS25" s="4028"/>
      <c r="BT25" s="4028"/>
      <c r="BU25" s="4028"/>
      <c r="BV25" s="4028"/>
      <c r="BW25" s="4028"/>
      <c r="BX25" s="4028"/>
      <c r="BY25" s="4028"/>
      <c r="BZ25" s="4028"/>
      <c r="CA25" s="4028"/>
      <c r="CB25" s="4028"/>
      <c r="CC25" s="4028"/>
      <c r="CD25" s="4028"/>
      <c r="CE25" s="4028"/>
      <c r="CF25" s="4028"/>
      <c r="CG25" s="4028"/>
      <c r="CH25" s="4028"/>
      <c r="CI25" s="4028"/>
      <c r="CJ25" s="4028"/>
      <c r="CK25" s="4028"/>
      <c r="CL25" s="4028"/>
      <c r="CM25" s="4028"/>
      <c r="CN25" s="4028"/>
      <c r="CO25" s="4028"/>
      <c r="CP25" s="4028"/>
      <c r="CQ25" s="4028"/>
      <c r="CR25" s="4028"/>
      <c r="CS25" s="2525"/>
      <c r="CT25" s="4028"/>
      <c r="CU25" s="4028"/>
      <c r="CV25" s="4028"/>
      <c r="CW25" s="3161"/>
      <c r="CX25" s="755"/>
      <c r="CY25" s="2537"/>
      <c r="CZ25" s="4032"/>
      <c r="DA25" s="4032"/>
      <c r="DB25" s="2537"/>
      <c r="DC25" s="4032"/>
      <c r="DD25" s="4032"/>
      <c r="DE25" s="2537"/>
      <c r="DF25" s="4032"/>
      <c r="DG25" s="4032"/>
      <c r="DH25" s="2582"/>
      <c r="DI25" s="4032"/>
      <c r="DJ25" s="4032"/>
      <c r="DK25" s="2537"/>
      <c r="DL25" s="4032"/>
      <c r="DM25" s="4032"/>
      <c r="DN25" s="2537"/>
      <c r="DO25" s="4032"/>
      <c r="DP25" s="4032"/>
      <c r="DQ25" s="2537"/>
      <c r="DR25" s="2559"/>
      <c r="DS25" s="4032" t="s">
        <v>1506</v>
      </c>
      <c r="DT25" s="4032"/>
      <c r="DU25" s="2537"/>
      <c r="DV25" s="2559"/>
      <c r="DW25" s="2583"/>
      <c r="DX25" s="2583"/>
      <c r="DY25" s="2572"/>
      <c r="DZ25" s="2537"/>
      <c r="EA25" s="2537"/>
      <c r="EB25" s="2537"/>
      <c r="EC25" s="2537"/>
      <c r="ED25" s="4047"/>
      <c r="EE25" s="4047"/>
      <c r="EF25" s="4047"/>
      <c r="EG25" s="4047"/>
      <c r="EH25" s="4047"/>
      <c r="EI25" s="4047"/>
      <c r="EJ25" s="4047"/>
      <c r="EK25" s="4047"/>
      <c r="EL25" s="4047"/>
      <c r="EM25" s="4047"/>
      <c r="EN25" s="4015"/>
      <c r="EO25" s="2537"/>
      <c r="EP25" s="2537"/>
      <c r="EQ25" s="2537"/>
      <c r="ER25" s="2537"/>
      <c r="ES25" s="2537"/>
      <c r="ET25" s="2537"/>
      <c r="EU25" s="2537"/>
      <c r="EV25" s="2537"/>
      <c r="EW25" s="2537"/>
      <c r="EX25" s="2533"/>
      <c r="EY25" s="2533"/>
      <c r="EZ25" s="2561"/>
      <c r="FA25" s="4052"/>
      <c r="FB25" s="4052"/>
      <c r="FC25" s="274"/>
      <c r="FD25" s="2542"/>
      <c r="FE25" s="2542"/>
      <c r="FF25" s="274"/>
      <c r="FG25" s="3465" t="s">
        <v>1231</v>
      </c>
      <c r="FH25" s="3465" t="s">
        <v>1224</v>
      </c>
      <c r="FI25" s="3465" t="s">
        <v>1624</v>
      </c>
      <c r="FJ25" s="2547"/>
      <c r="FK25" s="3465" t="s">
        <v>229</v>
      </c>
      <c r="FL25" s="3465" t="s">
        <v>296</v>
      </c>
      <c r="FM25" s="3465" t="s">
        <v>1157</v>
      </c>
      <c r="FN25" s="3463" t="s">
        <v>2484</v>
      </c>
      <c r="FO25" s="3465" t="s">
        <v>31</v>
      </c>
      <c r="FP25" s="3465" t="s">
        <v>2151</v>
      </c>
      <c r="FQ25" s="3463" t="s">
        <v>2485</v>
      </c>
      <c r="FR25" s="3465" t="s">
        <v>4038</v>
      </c>
      <c r="FS25" s="2548"/>
      <c r="FT25" s="3465" t="s">
        <v>39</v>
      </c>
      <c r="FU25" s="3463" t="s">
        <v>2485</v>
      </c>
      <c r="FV25" s="3465" t="s">
        <v>31</v>
      </c>
      <c r="FW25" s="2549"/>
      <c r="FX25" s="3461" t="s">
        <v>1225</v>
      </c>
      <c r="FY25" s="3461" t="s">
        <v>1226</v>
      </c>
      <c r="FZ25" s="2539"/>
      <c r="GA25" s="3465" t="s">
        <v>29</v>
      </c>
      <c r="GB25" s="3465" t="s">
        <v>297</v>
      </c>
      <c r="GC25" s="3465" t="s">
        <v>4241</v>
      </c>
      <c r="GD25" s="2533"/>
      <c r="GE25" s="1594"/>
      <c r="GF25" s="277"/>
      <c r="GG25" s="4060"/>
      <c r="GH25" s="277"/>
      <c r="GI25" s="4059"/>
      <c r="GJ25" s="2595"/>
      <c r="GK25" s="3982" t="s">
        <v>2826</v>
      </c>
      <c r="GL25" s="3985" t="s">
        <v>187</v>
      </c>
      <c r="GM25" s="3985" t="s">
        <v>16</v>
      </c>
      <c r="GN25" s="3988" t="s">
        <v>744</v>
      </c>
      <c r="GO25" s="3988" t="s">
        <v>745</v>
      </c>
      <c r="GP25" s="3979" t="s">
        <v>2588</v>
      </c>
      <c r="GQ25" s="3979" t="s">
        <v>2589</v>
      </c>
      <c r="GR25" s="3979" t="s">
        <v>2590</v>
      </c>
      <c r="GS25" s="3979" t="s">
        <v>2591</v>
      </c>
      <c r="GT25" s="3979" t="s">
        <v>2592</v>
      </c>
      <c r="GU25" s="3979" t="s">
        <v>2494</v>
      </c>
      <c r="GV25" s="3979" t="s">
        <v>2593</v>
      </c>
      <c r="GW25" s="3979" t="s">
        <v>2831</v>
      </c>
      <c r="GX25" s="3979" t="s">
        <v>2595</v>
      </c>
      <c r="GY25" s="3979" t="s">
        <v>2596</v>
      </c>
      <c r="GZ25" s="2590"/>
      <c r="HA25" s="277"/>
      <c r="HB25" s="277"/>
    </row>
    <row r="26" spans="1:227" s="272" customFormat="1" ht="20.25" customHeight="1" thickBot="1" x14ac:dyDescent="0.35">
      <c r="A26" s="755"/>
      <c r="B26" s="4038"/>
      <c r="C26" s="4038"/>
      <c r="D26" s="4038"/>
      <c r="E26" s="4038"/>
      <c r="F26" s="4038"/>
      <c r="G26" s="4038"/>
      <c r="H26" s="1235" t="s">
        <v>1230</v>
      </c>
      <c r="I26" s="4038"/>
      <c r="J26" s="4038"/>
      <c r="K26" s="4038"/>
      <c r="L26" s="755"/>
      <c r="M26" s="4038"/>
      <c r="N26" s="4038"/>
      <c r="O26" s="4038"/>
      <c r="P26" s="4038"/>
      <c r="Q26" s="4038"/>
      <c r="R26" s="4038"/>
      <c r="S26" s="1235" t="s">
        <v>1230</v>
      </c>
      <c r="T26" s="4038"/>
      <c r="U26" s="4038"/>
      <c r="V26" s="4038"/>
      <c r="W26" s="755"/>
      <c r="X26" s="755"/>
      <c r="Y26" s="755"/>
      <c r="Z26" s="755"/>
      <c r="AA26" s="755"/>
      <c r="AB26" s="1457">
        <f>IFERROR('3a Staff Plan'!EA13,0)</f>
        <v>0</v>
      </c>
      <c r="AC26" s="1458">
        <f>IFERROR('3a Staff Plan'!EB13,0)</f>
        <v>0</v>
      </c>
      <c r="AD26" s="755"/>
      <c r="AE26" s="1457">
        <f>IFERROR('3b Activity Plan'!GN21,0)</f>
        <v>43840</v>
      </c>
      <c r="AF26" s="1458">
        <f>IFERROR('3b Activity Plan'!GO21,0)</f>
        <v>43923</v>
      </c>
      <c r="AG26" s="755"/>
      <c r="AH26" s="1457">
        <f>CHOOSE($AH$22,AB26,AE26,IF(MIN(AB26,AE26)=0,MAX(AB26,AE26),MIN(AB26,AE26)))</f>
        <v>43840</v>
      </c>
      <c r="AI26" s="1457">
        <f>CHOOSE($AH$22,AC26,AF26,MAX(AC26,AF26))</f>
        <v>43923</v>
      </c>
      <c r="AJ26" s="755"/>
      <c r="AK26" s="1457">
        <f>AH26</f>
        <v>43840</v>
      </c>
      <c r="AL26" s="1458">
        <f>AI26</f>
        <v>43923</v>
      </c>
      <c r="AM26" s="1523"/>
      <c r="AN26" s="755"/>
      <c r="AO26" s="4035" t="s">
        <v>1046</v>
      </c>
      <c r="AP26" s="4006" t="s">
        <v>1045</v>
      </c>
      <c r="AQ26" s="4024" t="s">
        <v>1042</v>
      </c>
      <c r="AR26" s="4024" t="s">
        <v>1041</v>
      </c>
      <c r="AS26" s="4006" t="s">
        <v>1043</v>
      </c>
      <c r="AT26" s="4039" t="s">
        <v>1044</v>
      </c>
      <c r="AU26" s="4035" t="s">
        <v>1047</v>
      </c>
      <c r="AV26" s="4042" t="s">
        <v>672</v>
      </c>
      <c r="AW26" s="755"/>
      <c r="AX26" s="4042" t="s">
        <v>1713</v>
      </c>
      <c r="AY26" s="4044" t="s">
        <v>2281</v>
      </c>
      <c r="AZ26" s="755"/>
      <c r="BA26" s="774"/>
      <c r="BB26" s="774"/>
      <c r="BC26" s="774"/>
      <c r="BD26" s="774"/>
      <c r="BE26" s="755"/>
      <c r="BF26" s="774"/>
      <c r="BG26" s="811" t="s">
        <v>1415</v>
      </c>
      <c r="BH26" s="774"/>
      <c r="BI26" s="755"/>
      <c r="BJ26" s="753">
        <f>COUNTIFS(BH34:BH95,"&lt;&gt;0")+6</f>
        <v>6</v>
      </c>
      <c r="BK26" s="774"/>
      <c r="BL26" s="753" t="b">
        <f>(SUM(CP34:CP95)=0)</f>
        <v>1</v>
      </c>
      <c r="BM26" s="308" t="s">
        <v>249</v>
      </c>
      <c r="BN26" s="1286">
        <v>7</v>
      </c>
      <c r="BO26" s="1286">
        <v>95</v>
      </c>
      <c r="BP26" s="755"/>
      <c r="BQ26" s="4029"/>
      <c r="BR26" s="4029"/>
      <c r="BS26" s="4029"/>
      <c r="BT26" s="4029"/>
      <c r="BU26" s="4029"/>
      <c r="BV26" s="4029"/>
      <c r="BW26" s="4029"/>
      <c r="BX26" s="4029"/>
      <c r="BY26" s="4029"/>
      <c r="BZ26" s="4029"/>
      <c r="CA26" s="4029"/>
      <c r="CB26" s="4029"/>
      <c r="CC26" s="4029"/>
      <c r="CD26" s="4029"/>
      <c r="CE26" s="4029"/>
      <c r="CF26" s="4029"/>
      <c r="CG26" s="4029"/>
      <c r="CH26" s="4029"/>
      <c r="CI26" s="4029"/>
      <c r="CJ26" s="4029"/>
      <c r="CK26" s="4029"/>
      <c r="CL26" s="4029"/>
      <c r="CM26" s="4029"/>
      <c r="CN26" s="4029"/>
      <c r="CO26" s="4029"/>
      <c r="CP26" s="4029"/>
      <c r="CQ26" s="4030"/>
      <c r="CR26" s="4030"/>
      <c r="CS26" s="2526"/>
      <c r="CT26" s="4030"/>
      <c r="CU26" s="4030"/>
      <c r="CV26" s="4030"/>
      <c r="CW26" s="1839" t="s">
        <v>4084</v>
      </c>
      <c r="CX26" s="755"/>
      <c r="CY26" s="2537"/>
      <c r="CZ26" s="3995" t="s">
        <v>187</v>
      </c>
      <c r="DA26" s="4024" t="s">
        <v>1046</v>
      </c>
      <c r="DB26" s="2537"/>
      <c r="DC26" s="4050" t="s">
        <v>187</v>
      </c>
      <c r="DD26" s="4006" t="s">
        <v>1045</v>
      </c>
      <c r="DE26" s="2537"/>
      <c r="DF26" s="3995" t="s">
        <v>187</v>
      </c>
      <c r="DG26" s="4024" t="s">
        <v>1042</v>
      </c>
      <c r="DH26" s="2582"/>
      <c r="DI26" s="3995" t="s">
        <v>187</v>
      </c>
      <c r="DJ26" s="4024" t="s">
        <v>1041</v>
      </c>
      <c r="DK26" s="2537"/>
      <c r="DL26" s="4050" t="s">
        <v>187</v>
      </c>
      <c r="DM26" s="4006" t="s">
        <v>1043</v>
      </c>
      <c r="DN26" s="2537"/>
      <c r="DO26" s="4050" t="s">
        <v>187</v>
      </c>
      <c r="DP26" s="4006" t="s">
        <v>1044</v>
      </c>
      <c r="DQ26" s="2537"/>
      <c r="DR26" s="2559"/>
      <c r="DS26" s="3995" t="s">
        <v>187</v>
      </c>
      <c r="DT26" s="4024" t="s">
        <v>1047</v>
      </c>
      <c r="DU26" s="2537"/>
      <c r="DV26" s="2559"/>
      <c r="DW26" s="3997" t="s">
        <v>1048</v>
      </c>
      <c r="DX26" s="4044" t="s">
        <v>672</v>
      </c>
      <c r="DY26" s="2572"/>
      <c r="DZ26" s="2537"/>
      <c r="EA26" s="2544" t="s">
        <v>294</v>
      </c>
      <c r="EB26" s="2544" t="s">
        <v>295</v>
      </c>
      <c r="EC26" s="2570"/>
      <c r="ED26" s="2570"/>
      <c r="EE26" s="2544" t="s">
        <v>237</v>
      </c>
      <c r="EF26" s="2570"/>
      <c r="EG26" s="2570"/>
      <c r="EH26" s="2544" t="s">
        <v>238</v>
      </c>
      <c r="EI26" s="2570"/>
      <c r="EJ26" s="2570"/>
      <c r="EK26" s="2544" t="s">
        <v>239</v>
      </c>
      <c r="EL26" s="2570"/>
      <c r="EM26" s="2571"/>
      <c r="EN26" s="2544" t="str">
        <f>IF(EA8&gt;5,"Level 5","")</f>
        <v>Level 5</v>
      </c>
      <c r="EO26" s="2537"/>
      <c r="EP26" s="2571"/>
      <c r="EQ26" s="2544" t="str">
        <f>IF(EA8&gt;6,"Level 6","")</f>
        <v/>
      </c>
      <c r="ER26" s="2537"/>
      <c r="ES26" s="2571"/>
      <c r="ET26" s="2544" t="str">
        <f>IF(EA8&gt;7,"Level 7","")</f>
        <v/>
      </c>
      <c r="EU26" s="2537"/>
      <c r="EV26" s="2570"/>
      <c r="EW26" s="2544" t="str">
        <f>IF($EA$8&gt;4,EW24,"")</f>
        <v>Level 6</v>
      </c>
      <c r="EX26" s="2533"/>
      <c r="EY26" s="2533"/>
      <c r="EZ26" s="2561"/>
      <c r="FA26" s="2588" t="str">
        <f>'1 Setup'!I51</f>
        <v>B2367205</v>
      </c>
      <c r="FB26" s="2566" t="s">
        <v>2400</v>
      </c>
      <c r="FC26" s="274"/>
      <c r="FD26" s="2544" t="s">
        <v>2113</v>
      </c>
      <c r="FE26" s="2544" t="s">
        <v>2114</v>
      </c>
      <c r="FF26" s="274"/>
      <c r="FG26" s="3466"/>
      <c r="FH26" s="3466"/>
      <c r="FI26" s="3466"/>
      <c r="FJ26" s="2547"/>
      <c r="FK26" s="3466"/>
      <c r="FL26" s="3466"/>
      <c r="FM26" s="3466"/>
      <c r="FN26" s="3464"/>
      <c r="FO26" s="3466"/>
      <c r="FP26" s="3466"/>
      <c r="FQ26" s="3464"/>
      <c r="FR26" s="3466"/>
      <c r="FS26" s="2548"/>
      <c r="FT26" s="3466"/>
      <c r="FU26" s="3464"/>
      <c r="FV26" s="3466"/>
      <c r="FW26" s="2549"/>
      <c r="FX26" s="4041"/>
      <c r="FY26" s="4041"/>
      <c r="FZ26" s="2539"/>
      <c r="GA26" s="3466"/>
      <c r="GB26" s="3466"/>
      <c r="GC26" s="3466"/>
      <c r="GD26" s="2533"/>
      <c r="GE26" s="1594"/>
      <c r="GF26" s="277"/>
      <c r="GG26" s="4060"/>
      <c r="GH26" s="277"/>
      <c r="GI26" s="4059"/>
      <c r="GJ26" s="2596"/>
      <c r="GK26" s="3983"/>
      <c r="GL26" s="3986"/>
      <c r="GM26" s="3986"/>
      <c r="GN26" s="3989"/>
      <c r="GO26" s="3989"/>
      <c r="GP26" s="3980"/>
      <c r="GQ26" s="3980"/>
      <c r="GR26" s="3980"/>
      <c r="GS26" s="3980"/>
      <c r="GT26" s="3980"/>
      <c r="GU26" s="3980"/>
      <c r="GV26" s="3980"/>
      <c r="GW26" s="3980"/>
      <c r="GX26" s="3980"/>
      <c r="GY26" s="3980"/>
      <c r="GZ26" s="2591"/>
      <c r="HA26" s="277"/>
      <c r="HB26" s="277"/>
    </row>
    <row r="27" spans="1:227" ht="22.5" customHeight="1" thickTop="1" thickBot="1" x14ac:dyDescent="0.35">
      <c r="A27" s="755"/>
      <c r="B27" s="391">
        <f>SUM(B29:B95)</f>
        <v>0</v>
      </c>
      <c r="C27" s="391">
        <f>SUM(C29:C95)</f>
        <v>0</v>
      </c>
      <c r="D27" s="392">
        <f>SUM(D29:D95)</f>
        <v>0</v>
      </c>
      <c r="E27" s="392">
        <f>SUM(E29:E95)</f>
        <v>0</v>
      </c>
      <c r="F27" s="392">
        <f>SUM(F29:F95)</f>
        <v>0</v>
      </c>
      <c r="G27" s="392">
        <f>SUM(G34:G95)</f>
        <v>0</v>
      </c>
      <c r="H27" s="392">
        <f>SUM(H29:H95)</f>
        <v>0</v>
      </c>
      <c r="I27" s="390">
        <f>SUM(I29:I95)</f>
        <v>0</v>
      </c>
      <c r="J27" s="390">
        <f>SUM(J29:J95)</f>
        <v>0</v>
      </c>
      <c r="K27" s="390">
        <f>SUM(K29:K95)</f>
        <v>0</v>
      </c>
      <c r="L27" s="798"/>
      <c r="M27" s="391">
        <f>SUM(M29:M95)</f>
        <v>0</v>
      </c>
      <c r="N27" s="391">
        <f>SUM(N29:N95)</f>
        <v>0</v>
      </c>
      <c r="O27" s="392">
        <f>SUM(O29:O95)</f>
        <v>0</v>
      </c>
      <c r="P27" s="392">
        <f>SUM(P29:P95)</f>
        <v>0</v>
      </c>
      <c r="Q27" s="392">
        <f>SUM(Q29:Q95)</f>
        <v>0</v>
      </c>
      <c r="R27" s="392">
        <f>SUM(R34:R95)</f>
        <v>0</v>
      </c>
      <c r="S27" s="392">
        <f>SUM(S29:S95)</f>
        <v>0</v>
      </c>
      <c r="T27" s="390">
        <f>T29+T33</f>
        <v>2357.9899999999998</v>
      </c>
      <c r="U27" s="390">
        <f>SUM(U29:U95)</f>
        <v>0</v>
      </c>
      <c r="V27" s="390">
        <f>SUM(V29:V95)</f>
        <v>0</v>
      </c>
      <c r="W27" s="755"/>
      <c r="X27" s="417" t="s">
        <v>2843</v>
      </c>
      <c r="Y27" s="2637" t="s">
        <v>2844</v>
      </c>
      <c r="Z27" s="2637" t="s">
        <v>2845</v>
      </c>
      <c r="AA27" s="755"/>
      <c r="AB27" s="4026" t="s">
        <v>290</v>
      </c>
      <c r="AC27" s="4026" t="s">
        <v>291</v>
      </c>
      <c r="AD27" s="755"/>
      <c r="AE27" s="4026" t="s">
        <v>290</v>
      </c>
      <c r="AF27" s="4026" t="s">
        <v>291</v>
      </c>
      <c r="AG27" s="755"/>
      <c r="AH27" s="4026" t="s">
        <v>290</v>
      </c>
      <c r="AI27" s="4026" t="s">
        <v>291</v>
      </c>
      <c r="AJ27" s="755"/>
      <c r="AK27" s="4026" t="s">
        <v>290</v>
      </c>
      <c r="AL27" s="4026" t="s">
        <v>291</v>
      </c>
      <c r="AM27" s="1523"/>
      <c r="AN27" s="755"/>
      <c r="AO27" s="4036"/>
      <c r="AP27" s="4007"/>
      <c r="AQ27" s="4025"/>
      <c r="AR27" s="4025"/>
      <c r="AS27" s="4007"/>
      <c r="AT27" s="4040"/>
      <c r="AU27" s="4036"/>
      <c r="AV27" s="4043"/>
      <c r="AW27" s="755"/>
      <c r="AX27" s="4043"/>
      <c r="AY27" s="4045"/>
      <c r="AZ27" s="755"/>
      <c r="BA27" s="4026" t="s">
        <v>1831</v>
      </c>
      <c r="BB27" s="774"/>
      <c r="BC27" s="4048" t="s">
        <v>2221</v>
      </c>
      <c r="BD27" s="4048"/>
      <c r="BE27" s="755"/>
      <c r="BF27" s="4026" t="s">
        <v>1161</v>
      </c>
      <c r="BG27" s="4026" t="s">
        <v>1160</v>
      </c>
      <c r="BH27" s="4026" t="s">
        <v>1416</v>
      </c>
      <c r="BI27" s="4026" t="s">
        <v>2795</v>
      </c>
      <c r="BJ27" s="4026" t="s">
        <v>2226</v>
      </c>
      <c r="BK27" s="4026" t="s">
        <v>1418</v>
      </c>
      <c r="BL27" s="4026" t="s">
        <v>1417</v>
      </c>
      <c r="BM27" s="755"/>
      <c r="BN27" s="3098">
        <v>0</v>
      </c>
      <c r="BO27" s="3098">
        <v>110</v>
      </c>
      <c r="BP27" s="755"/>
      <c r="BQ27" s="392">
        <f>SUM(BQ29:BQ96)</f>
        <v>0</v>
      </c>
      <c r="BR27" s="392"/>
      <c r="BS27" s="392">
        <f>SUM(BS29:BS96)</f>
        <v>0</v>
      </c>
      <c r="BT27" s="392">
        <f>SUM(BT29:BT96)</f>
        <v>0</v>
      </c>
      <c r="BU27" s="392">
        <f>SUM(BU29:BU96)</f>
        <v>0</v>
      </c>
      <c r="BV27" s="392">
        <f t="shared" ref="BV27:CB27" si="0">SUM(BV34:BV94)</f>
        <v>0</v>
      </c>
      <c r="BW27" s="392">
        <f t="shared" si="0"/>
        <v>0</v>
      </c>
      <c r="BX27" s="392">
        <f t="shared" si="0"/>
        <v>0</v>
      </c>
      <c r="BY27" s="392">
        <f t="shared" si="0"/>
        <v>0</v>
      </c>
      <c r="BZ27" s="392">
        <f t="shared" si="0"/>
        <v>0</v>
      </c>
      <c r="CA27" s="392">
        <f t="shared" si="0"/>
        <v>0</v>
      </c>
      <c r="CB27" s="392">
        <f t="shared" si="0"/>
        <v>0</v>
      </c>
      <c r="CC27" s="392"/>
      <c r="CD27" s="392"/>
      <c r="CE27" s="4062">
        <f>SUM(CE29:CI95)</f>
        <v>0</v>
      </c>
      <c r="CF27" s="4063"/>
      <c r="CG27" s="4063"/>
      <c r="CH27" s="4063"/>
      <c r="CI27" s="4064"/>
      <c r="CJ27" s="4062">
        <f>SUM(CJ29:CN95)</f>
        <v>0</v>
      </c>
      <c r="CK27" s="4063"/>
      <c r="CL27" s="4063"/>
      <c r="CM27" s="4063"/>
      <c r="CN27" s="4064"/>
      <c r="CO27" s="3219">
        <f>SUM(CO29:CO95)</f>
        <v>0</v>
      </c>
      <c r="CP27" s="392">
        <f>SUM(CP34:CP96)</f>
        <v>0</v>
      </c>
      <c r="CQ27" s="1202"/>
      <c r="CR27" s="392">
        <f>MAX(CR34:CR95)</f>
        <v>0</v>
      </c>
      <c r="CS27" s="2526"/>
      <c r="CT27" s="773"/>
      <c r="CU27" s="773"/>
      <c r="CV27" s="773"/>
      <c r="CW27" s="773"/>
      <c r="CX27" s="755"/>
      <c r="CY27" s="2537"/>
      <c r="CZ27" s="3996"/>
      <c r="DA27" s="4025"/>
      <c r="DB27" s="2537"/>
      <c r="DC27" s="4051"/>
      <c r="DD27" s="4007"/>
      <c r="DE27" s="2537"/>
      <c r="DF27" s="3996"/>
      <c r="DG27" s="4025"/>
      <c r="DH27" s="2537"/>
      <c r="DI27" s="3996"/>
      <c r="DJ27" s="4025"/>
      <c r="DK27" s="2537"/>
      <c r="DL27" s="4051"/>
      <c r="DM27" s="4007"/>
      <c r="DN27" s="2537"/>
      <c r="DO27" s="4051"/>
      <c r="DP27" s="4007"/>
      <c r="DQ27" s="2537"/>
      <c r="DR27" s="2559"/>
      <c r="DS27" s="3996"/>
      <c r="DT27" s="4025"/>
      <c r="DU27" s="2537"/>
      <c r="DV27" s="2559"/>
      <c r="DW27" s="3998"/>
      <c r="DX27" s="4045"/>
      <c r="DY27" s="2572"/>
      <c r="DZ27" s="2537"/>
      <c r="EA27" s="837" t="s">
        <v>619</v>
      </c>
      <c r="EB27" s="838" t="s">
        <v>234</v>
      </c>
      <c r="EC27" s="2570"/>
      <c r="ED27" s="837" t="s">
        <v>187</v>
      </c>
      <c r="EE27" s="839" t="s">
        <v>152</v>
      </c>
      <c r="EF27" s="2570"/>
      <c r="EG27" s="837" t="s">
        <v>187</v>
      </c>
      <c r="EH27" s="838" t="s">
        <v>233</v>
      </c>
      <c r="EI27" s="2578"/>
      <c r="EJ27" s="837" t="s">
        <v>187</v>
      </c>
      <c r="EK27" s="838" t="str">
        <f>IF(EA8&lt;4,"N/A","Discipline / Expense Type")</f>
        <v>Discipline / Expense Type</v>
      </c>
      <c r="EL27" s="2578"/>
      <c r="EM27" s="439" t="str">
        <f>IF($EA$8&gt;5,"ID",IF($EA$8=5,"",""))</f>
        <v>ID</v>
      </c>
      <c r="EN27" s="438" t="str">
        <f>IF($EA$8&gt;5,"ID Name (User Defined)","Not Used")</f>
        <v>ID Name (User Defined)</v>
      </c>
      <c r="EO27" s="2537"/>
      <c r="EP27" s="439" t="str">
        <f>IF($EA$8&gt;6,"ID",IF($EA$8=6,"",""))</f>
        <v/>
      </c>
      <c r="EQ27" s="438" t="str">
        <f>IF($EA$8&gt;6,"ID Name (User Defined)","Not Used")</f>
        <v>Not Used</v>
      </c>
      <c r="ER27" s="2537"/>
      <c r="ES27" s="439" t="str">
        <f>IF($EA$8&gt;7,"ID",IF($EA$8=7,"",""))</f>
        <v/>
      </c>
      <c r="ET27" s="438" t="str">
        <f>IF($EA$8&gt;7,"ID Name (User Defined)","Not Used")</f>
        <v>Not Used</v>
      </c>
      <c r="EU27" s="2537"/>
      <c r="EV27" s="1212" t="str">
        <f>IF(EA8&gt;4,"ID","")</f>
        <v>ID</v>
      </c>
      <c r="EW27" s="438" t="str">
        <f>IF($EA$8&gt;4,"ID Name (User Defined)","Not Used")</f>
        <v>ID Name (User Defined)</v>
      </c>
      <c r="EX27" s="2533"/>
      <c r="EY27" s="2533"/>
      <c r="EZ27" s="2561"/>
      <c r="FA27" s="4033" t="s">
        <v>1749</v>
      </c>
      <c r="FB27" s="4033" t="s">
        <v>2876</v>
      </c>
      <c r="FC27" s="274"/>
      <c r="FD27" s="2043">
        <f>AH26</f>
        <v>43840</v>
      </c>
      <c r="FE27" s="2043">
        <f>AI26</f>
        <v>43923</v>
      </c>
      <c r="FF27" s="274"/>
      <c r="FG27" s="1856">
        <f>SUM(FG29:FG96)</f>
        <v>0</v>
      </c>
      <c r="FH27" s="1856">
        <f>SUM(FH29:FH96)</f>
        <v>0</v>
      </c>
      <c r="FI27" s="1856">
        <f>FG27-FH27</f>
        <v>0</v>
      </c>
      <c r="FJ27" s="2557"/>
      <c r="FK27" s="1857">
        <f>IFERROR(SUM(FK29:FK96),0)</f>
        <v>0</v>
      </c>
      <c r="FL27" s="1857">
        <f>IFERROR(SUM(FL29:FL96),0)</f>
        <v>0</v>
      </c>
      <c r="FM27" s="1857">
        <f>IFERROR(SUM(FM29:FM96),0)</f>
        <v>0</v>
      </c>
      <c r="FN27" s="1859">
        <f>IFERROR(FO27/FK27,0)</f>
        <v>0</v>
      </c>
      <c r="FO27" s="1857">
        <f>SUM(FO29:FO96)</f>
        <v>0</v>
      </c>
      <c r="FP27" s="1858">
        <f>IFERROR(FM27/FG27,0)</f>
        <v>0</v>
      </c>
      <c r="FQ27" s="1859">
        <f>IFERROR(FO27/FM27,0)</f>
        <v>0</v>
      </c>
      <c r="FR27" s="1858">
        <f>IFERROR(FO27/FH27,0)</f>
        <v>0</v>
      </c>
      <c r="FS27" s="2554"/>
      <c r="FT27" s="1860">
        <f>IFERROR(SUM(FT29:FT95),0)</f>
        <v>2357.9899999999998</v>
      </c>
      <c r="FU27" s="1927"/>
      <c r="FV27" s="1860">
        <f>IFERROR(SUM(FV29:FV95),0)</f>
        <v>0</v>
      </c>
      <c r="FW27" s="715"/>
      <c r="FX27" s="1915">
        <f>SUM(FX29:FX95)</f>
        <v>2357.9899999999998</v>
      </c>
      <c r="FY27" s="1915">
        <f>SUM(FY29:FY95)</f>
        <v>0</v>
      </c>
      <c r="FZ27" s="2540"/>
      <c r="GA27" s="1916">
        <f>SUM(GA29:GA95)</f>
        <v>-2357.9899999999998</v>
      </c>
      <c r="GB27" s="1917">
        <f>IFERROR(GA27/FY27,0)</f>
        <v>0</v>
      </c>
      <c r="GC27" s="1918">
        <f>IFERROR(GA27/FH27,0)</f>
        <v>0</v>
      </c>
      <c r="GD27" s="2533"/>
      <c r="GE27" s="2083" t="s">
        <v>1749</v>
      </c>
      <c r="GF27" s="2083" t="s">
        <v>2174</v>
      </c>
      <c r="GG27" s="4060"/>
      <c r="GH27" s="277"/>
      <c r="GI27" s="4059"/>
      <c r="GJ27" s="2596"/>
      <c r="GK27" s="3984"/>
      <c r="GL27" s="3987"/>
      <c r="GM27" s="3987"/>
      <c r="GN27" s="3990"/>
      <c r="GO27" s="3990"/>
      <c r="GP27" s="3981"/>
      <c r="GQ27" s="3981"/>
      <c r="GR27" s="3981"/>
      <c r="GS27" s="3981"/>
      <c r="GT27" s="3981"/>
      <c r="GU27" s="3981"/>
      <c r="GV27" s="3981"/>
      <c r="GW27" s="3981"/>
      <c r="GX27" s="3981"/>
      <c r="GY27" s="3981"/>
      <c r="GZ27" s="2591"/>
      <c r="HA27" s="277"/>
      <c r="HB27" s="277"/>
      <c r="HC27" s="277"/>
      <c r="HD27" s="277"/>
      <c r="HE27" s="277"/>
      <c r="HF27" s="277"/>
      <c r="HG27" s="277"/>
      <c r="HH27" s="277"/>
      <c r="HI27" s="277"/>
      <c r="HJ27" s="277"/>
      <c r="HK27" s="277"/>
      <c r="HL27" s="277"/>
      <c r="HM27" s="277"/>
      <c r="HN27" s="277"/>
      <c r="HO27" s="277"/>
      <c r="HP27" s="277"/>
      <c r="HQ27" s="277"/>
      <c r="HR27" s="277"/>
      <c r="HS27" s="277"/>
    </row>
    <row r="28" spans="1:227" ht="4.5" customHeight="1" x14ac:dyDescent="0.3">
      <c r="A28" s="755"/>
      <c r="B28" s="755"/>
      <c r="C28" s="755"/>
      <c r="D28" s="755"/>
      <c r="E28" s="755"/>
      <c r="F28" s="755"/>
      <c r="G28" s="755"/>
      <c r="H28" s="755"/>
      <c r="I28" s="755"/>
      <c r="J28" s="755"/>
      <c r="K28" s="755"/>
      <c r="L28" s="755"/>
      <c r="M28" s="755"/>
      <c r="N28" s="755"/>
      <c r="O28" s="755"/>
      <c r="P28" s="755"/>
      <c r="Q28" s="755"/>
      <c r="R28" s="755"/>
      <c r="S28" s="755"/>
      <c r="T28" s="755"/>
      <c r="U28" s="755"/>
      <c r="V28" s="755"/>
      <c r="W28" s="755"/>
      <c r="X28" s="755"/>
      <c r="Y28" s="755"/>
      <c r="Z28" s="755"/>
      <c r="AA28" s="755"/>
      <c r="AB28" s="4027"/>
      <c r="AC28" s="4027"/>
      <c r="AD28" s="755"/>
      <c r="AE28" s="4027"/>
      <c r="AF28" s="4027"/>
      <c r="AG28" s="755"/>
      <c r="AH28" s="4027"/>
      <c r="AI28" s="4027"/>
      <c r="AJ28" s="755"/>
      <c r="AK28" s="4027"/>
      <c r="AL28" s="4027"/>
      <c r="AM28" s="1523"/>
      <c r="AN28" s="755"/>
      <c r="AO28" s="755"/>
      <c r="AP28" s="755"/>
      <c r="AQ28" s="755"/>
      <c r="AR28" s="755"/>
      <c r="AS28" s="755"/>
      <c r="AT28" s="755"/>
      <c r="AU28" s="755"/>
      <c r="AV28" s="755"/>
      <c r="AW28" s="755"/>
      <c r="AX28" s="755"/>
      <c r="AY28" s="755"/>
      <c r="AZ28" s="755"/>
      <c r="BA28" s="4027"/>
      <c r="BB28" s="774"/>
      <c r="BC28" s="4049"/>
      <c r="BD28" s="4049"/>
      <c r="BE28" s="755"/>
      <c r="BF28" s="4027"/>
      <c r="BG28" s="4027"/>
      <c r="BH28" s="4027"/>
      <c r="BI28" s="4027"/>
      <c r="BJ28" s="4027"/>
      <c r="BK28" s="4027"/>
      <c r="BL28" s="4027"/>
      <c r="BM28" s="755"/>
      <c r="BN28" s="755"/>
      <c r="BO28" s="755"/>
      <c r="BP28" s="755"/>
      <c r="BQ28" s="755"/>
      <c r="BR28" s="755"/>
      <c r="BS28" s="755"/>
      <c r="BT28" s="755"/>
      <c r="BU28" s="755"/>
      <c r="BV28" s="755"/>
      <c r="BW28" s="755"/>
      <c r="BX28" s="755"/>
      <c r="BY28" s="755"/>
      <c r="BZ28" s="755"/>
      <c r="CA28" s="755"/>
      <c r="CB28" s="755"/>
      <c r="CC28" s="755"/>
      <c r="CD28" s="755"/>
      <c r="CE28" s="755"/>
      <c r="CF28" s="755"/>
      <c r="CG28" s="755"/>
      <c r="CH28" s="755"/>
      <c r="CI28" s="755"/>
      <c r="CJ28" s="755"/>
      <c r="CK28" s="755"/>
      <c r="CL28" s="755"/>
      <c r="CM28" s="755"/>
      <c r="CN28" s="755"/>
      <c r="CO28" s="755"/>
      <c r="CP28" s="755"/>
      <c r="CQ28" s="755"/>
      <c r="CR28" s="755"/>
      <c r="CS28" s="2526"/>
      <c r="CT28" s="755"/>
      <c r="CU28" s="755"/>
      <c r="CV28" s="755"/>
      <c r="CW28" s="755"/>
      <c r="CX28" s="755"/>
      <c r="CY28" s="2537"/>
      <c r="CZ28" s="2537"/>
      <c r="DA28" s="2537"/>
      <c r="DB28" s="2537"/>
      <c r="DC28" s="2537"/>
      <c r="DD28" s="2537"/>
      <c r="DE28" s="2537"/>
      <c r="DF28" s="2537"/>
      <c r="DG28" s="2537"/>
      <c r="DH28" s="2537"/>
      <c r="DI28" s="2537"/>
      <c r="DJ28" s="2537"/>
      <c r="DK28" s="2537"/>
      <c r="DL28" s="2537"/>
      <c r="DM28" s="2537"/>
      <c r="DN28" s="2537"/>
      <c r="DO28" s="2537"/>
      <c r="DP28" s="2537"/>
      <c r="DQ28" s="2537"/>
      <c r="DR28" s="2559"/>
      <c r="DS28" s="2537"/>
      <c r="DT28" s="2537"/>
      <c r="DU28" s="2537"/>
      <c r="DV28" s="2559"/>
      <c r="DW28" s="2537"/>
      <c r="DX28" s="2537"/>
      <c r="DY28" s="2572"/>
      <c r="DZ28" s="2537"/>
      <c r="EA28" s="2537"/>
      <c r="EB28" s="2537"/>
      <c r="EC28" s="2570"/>
      <c r="ED28" s="2537"/>
      <c r="EE28" s="2537"/>
      <c r="EF28" s="2570"/>
      <c r="EG28" s="2537"/>
      <c r="EH28" s="2537"/>
      <c r="EI28" s="2578"/>
      <c r="EJ28" s="2537"/>
      <c r="EK28" s="2537"/>
      <c r="EL28" s="2578"/>
      <c r="EM28" s="2537"/>
      <c r="EN28" s="2537"/>
      <c r="EO28" s="2537"/>
      <c r="EP28" s="2537"/>
      <c r="EQ28" s="2537"/>
      <c r="ER28" s="2537"/>
      <c r="ES28" s="2537"/>
      <c r="ET28" s="2537"/>
      <c r="EU28" s="2537"/>
      <c r="EV28" s="2537"/>
      <c r="EW28" s="2537"/>
      <c r="EX28" s="2533"/>
      <c r="EY28" s="2533"/>
      <c r="EZ28" s="2561"/>
      <c r="FA28" s="4034"/>
      <c r="FB28" s="4034"/>
      <c r="FC28" s="274"/>
      <c r="FD28" s="2537"/>
      <c r="FE28" s="2537"/>
      <c r="FF28" s="274"/>
      <c r="FG28" s="274"/>
      <c r="FH28" s="274"/>
      <c r="FI28" s="274"/>
      <c r="FJ28" s="2558"/>
      <c r="FK28" s="274"/>
      <c r="FL28" s="274"/>
      <c r="FM28" s="274"/>
      <c r="FN28" s="274"/>
      <c r="FO28" s="274"/>
      <c r="FP28" s="274"/>
      <c r="FQ28" s="274"/>
      <c r="FR28" s="274"/>
      <c r="FS28" s="274"/>
      <c r="FT28" s="274"/>
      <c r="FU28" s="274"/>
      <c r="FV28" s="274"/>
      <c r="FW28" s="274"/>
      <c r="FX28" s="274"/>
      <c r="FY28" s="274"/>
      <c r="FZ28" s="2539"/>
      <c r="GA28" s="274"/>
      <c r="GB28" s="274"/>
      <c r="GC28" s="274"/>
      <c r="GD28" s="2533"/>
      <c r="GE28" s="1182"/>
      <c r="GF28" s="1182"/>
      <c r="GG28" s="4061"/>
      <c r="GH28" s="277"/>
      <c r="GI28" s="277"/>
      <c r="GJ28" s="2597"/>
      <c r="GK28" s="277"/>
      <c r="GL28" s="277"/>
      <c r="GM28" s="277"/>
      <c r="GN28" s="277"/>
      <c r="GO28" s="277"/>
      <c r="GP28" s="2535"/>
      <c r="GQ28" s="277"/>
      <c r="GR28" s="277"/>
      <c r="GS28" s="277"/>
      <c r="GT28" s="277"/>
      <c r="GU28" s="277"/>
      <c r="GV28" s="277"/>
      <c r="GW28" s="277"/>
      <c r="GX28" s="277"/>
      <c r="GY28" s="277"/>
      <c r="GZ28" s="2592"/>
      <c r="HA28" s="277"/>
      <c r="HB28" s="277"/>
    </row>
    <row r="29" spans="1:227" ht="18" customHeight="1" x14ac:dyDescent="0.3">
      <c r="A29" s="308" t="s">
        <v>3992</v>
      </c>
      <c r="B29" s="2265">
        <f>'3a Staff Plan'!T119+B16</f>
        <v>0</v>
      </c>
      <c r="C29" s="797"/>
      <c r="D29" s="795">
        <f>'3a Staff Plan'!Z119+D16</f>
        <v>0</v>
      </c>
      <c r="E29" s="795">
        <f>'3a Staff Plan'!Y119+E16</f>
        <v>0</v>
      </c>
      <c r="F29" s="795">
        <f>'3a Staff Plan'!DP119+F16</f>
        <v>0</v>
      </c>
      <c r="G29" s="795">
        <f>'3a Staff Plan'!W119+G16</f>
        <v>0</v>
      </c>
      <c r="H29" s="1240"/>
      <c r="I29" s="795">
        <f>'3a Staff Plan'!V119+I16</f>
        <v>0</v>
      </c>
      <c r="J29" s="1240"/>
      <c r="K29" s="1240"/>
      <c r="L29" s="755"/>
      <c r="M29" s="2265">
        <f>'3b Activity Plan'!T163+M16</f>
        <v>0</v>
      </c>
      <c r="N29" s="797"/>
      <c r="O29" s="795">
        <f>'3b Activity Plan'!Z163+O16</f>
        <v>0</v>
      </c>
      <c r="P29" s="795">
        <f>'3b Activity Plan'!Y163+P16</f>
        <v>0</v>
      </c>
      <c r="Q29" s="795">
        <f>'3b Activity Plan'!CZ163+Q16</f>
        <v>0</v>
      </c>
      <c r="R29" s="795">
        <f>'3b Activity Plan'!W163+R16</f>
        <v>0</v>
      </c>
      <c r="S29" s="1240"/>
      <c r="T29" s="795">
        <f>'3b Activity Plan'!V163+T16</f>
        <v>0</v>
      </c>
      <c r="U29" s="1240"/>
      <c r="V29" s="1240"/>
      <c r="W29" s="446"/>
      <c r="X29" s="2645">
        <f>SUMIFS($X$34:$X$95,$BD$34:$BD$95,"Labor")</f>
        <v>0</v>
      </c>
      <c r="Y29" s="2645">
        <f>SUMIFS($Y$34:$Y$95,$BD$34:$BD$95,"Labor")</f>
        <v>0</v>
      </c>
      <c r="Z29" s="2646">
        <f t="shared" ref="Z29:Z30" si="1">IF($M$22=1,IFERROR(Y29/X29*100,0),0)</f>
        <v>0</v>
      </c>
      <c r="AA29" s="755"/>
      <c r="AB29" s="761">
        <f>$AB$26</f>
        <v>0</v>
      </c>
      <c r="AC29" s="761">
        <f>$AC$26</f>
        <v>0</v>
      </c>
      <c r="AD29" s="755"/>
      <c r="AE29" s="761">
        <f>$AE$26</f>
        <v>43840</v>
      </c>
      <c r="AF29" s="761">
        <f>$AF$26</f>
        <v>43923</v>
      </c>
      <c r="AG29" s="755"/>
      <c r="AH29" s="759">
        <f>$AH$26</f>
        <v>43840</v>
      </c>
      <c r="AI29" s="759">
        <f>$AI$26</f>
        <v>43923</v>
      </c>
      <c r="AJ29" s="755"/>
      <c r="AK29" s="759">
        <f>AH29</f>
        <v>43840</v>
      </c>
      <c r="AL29" s="759">
        <f>AI29</f>
        <v>43923</v>
      </c>
      <c r="AM29" s="1523"/>
      <c r="AN29" s="755"/>
      <c r="AO29" s="748">
        <v>0</v>
      </c>
      <c r="AP29" s="748">
        <v>0</v>
      </c>
      <c r="AQ29" s="748" t="str">
        <f>$DG$13</f>
        <v>Manual ETC Hours</v>
      </c>
      <c r="AR29" s="748" t="str">
        <f>$DJ$11</f>
        <v>Manual ETC Rate</v>
      </c>
      <c r="AS29" s="748" t="str">
        <f>$DM$12</f>
        <v>Manual ETC Hours</v>
      </c>
      <c r="AT29" s="748" t="str">
        <f>IF(EG11=1,$DP$12,$DP$11)</f>
        <v>Manual ETC Rate</v>
      </c>
      <c r="AU29" s="748" t="str">
        <f>$DT$9</f>
        <v>Earn as Planned</v>
      </c>
      <c r="AV29" s="748" t="s">
        <v>198</v>
      </c>
      <c r="AW29" s="755"/>
      <c r="AX29" s="1643"/>
      <c r="AY29" s="1643"/>
      <c r="AZ29" s="755"/>
      <c r="BA29" s="846"/>
      <c r="BB29" s="774"/>
      <c r="BC29" s="846" t="s">
        <v>262</v>
      </c>
      <c r="BD29" s="846" t="str">
        <f>IF(BC29="L","Labor","Non-Labor")</f>
        <v>Labor</v>
      </c>
      <c r="BE29" s="755"/>
      <c r="BF29" s="846" t="str">
        <f>$EA$16&amp;"."&amp;TEXT(EB16,"00")</f>
        <v>B23672.05</v>
      </c>
      <c r="BG29" s="846" t="str">
        <f t="shared" ref="BG29:BG56" si="2">ED29&amp;"."&amp;EG29&amp;"."&amp;EJ29</f>
        <v>S.PN.U</v>
      </c>
      <c r="BH29" s="846" t="str">
        <f>CHOOSE($EA$8-3,BG29,BG29&amp;"."&amp;EV29,BG29&amp;"."&amp;EM29&amp;"."&amp;EV29,BG29&amp;"."&amp;EM29&amp;"."&amp;EP29&amp;"."&amp;EV29,BG29&amp;"."&amp;EM29&amp;"."&amp;EP29&amp;"."&amp;ES29&amp;"."&amp;EV29)</f>
        <v>S.PN.U.S.S</v>
      </c>
      <c r="BI29" s="846" t="str">
        <f t="shared" ref="BI29:BI60" si="3">IF($EG$8=1,BH29,TEXT(EB29,"00")&amp;"."&amp;BH29)</f>
        <v>S.PN.U.S.S</v>
      </c>
      <c r="BJ29" s="753" t="str">
        <f>BI29</f>
        <v>S.PN.U.S.S</v>
      </c>
      <c r="BK29" s="846" t="str">
        <f>IF($EA$8=4,EJ29,EV29)</f>
        <v>S</v>
      </c>
      <c r="BL29" s="846" t="b">
        <f>$BL$26</f>
        <v>1</v>
      </c>
      <c r="BM29" s="755"/>
      <c r="BN29" s="755"/>
      <c r="BO29" s="755"/>
      <c r="BP29" s="755"/>
      <c r="BQ29" s="796"/>
      <c r="BR29" s="796"/>
      <c r="BS29" s="796"/>
      <c r="BT29" s="796"/>
      <c r="BU29" s="796"/>
      <c r="BV29" s="796"/>
      <c r="BW29" s="796"/>
      <c r="BX29" s="796"/>
      <c r="BY29" s="796"/>
      <c r="BZ29" s="796"/>
      <c r="CA29" s="796"/>
      <c r="CB29" s="796"/>
      <c r="CC29" s="796"/>
      <c r="CD29" s="796"/>
      <c r="CE29" s="796"/>
      <c r="CF29" s="796"/>
      <c r="CG29" s="796"/>
      <c r="CH29" s="796"/>
      <c r="CI29" s="796"/>
      <c r="CJ29" s="796"/>
      <c r="CK29" s="796"/>
      <c r="CL29" s="796"/>
      <c r="CM29" s="796"/>
      <c r="CN29" s="796"/>
      <c r="CO29" s="3224">
        <f>IF(AND(CP29=1,EG29&lt;&gt;"PN"),1,0)</f>
        <v>0</v>
      </c>
      <c r="CP29" s="1203">
        <f>IFERROR(IF(OR(FX29&lt;&gt;0,FY29&lt;&gt;0),1,0),0)</f>
        <v>0</v>
      </c>
      <c r="CQ29" s="1000"/>
      <c r="CR29" s="1000"/>
      <c r="CS29" s="2526"/>
      <c r="CT29" s="2527">
        <v>1</v>
      </c>
      <c r="CU29" s="2527">
        <f t="shared" ref="CU29:CU60" si="4">IF(OR(CP29=0,GG29="X"),0,COUNTIFS($CW$29:$CW$95,"&lt;="&amp;CW29,$CP$29:$CP$95,1))</f>
        <v>0</v>
      </c>
      <c r="CV29" s="2527">
        <f t="shared" ref="CV29:CV60" si="5">IFERROR(MATCH(CT29,$CU$29:$CU$95,0),0)</f>
        <v>5</v>
      </c>
      <c r="CW29" s="2527">
        <f>IF(GG29="X",0,FA29)</f>
        <v>0</v>
      </c>
      <c r="CX29" s="755"/>
      <c r="CY29" s="2537"/>
      <c r="CZ29" s="1158"/>
      <c r="DA29" s="1157"/>
      <c r="DB29" s="2537"/>
      <c r="DC29" s="1158"/>
      <c r="DD29" s="1157"/>
      <c r="DE29" s="2537"/>
      <c r="DF29" s="537" t="str">
        <f>IFERROR(INDEX(DF$6:DF$15,MATCH(DG29,DG$6:DG$15,0)),0)</f>
        <v>JHM10</v>
      </c>
      <c r="DG29" s="853" t="str">
        <f>AQ29</f>
        <v>Manual ETC Hours</v>
      </c>
      <c r="DH29" s="2537"/>
      <c r="DI29" s="537" t="str">
        <f>IFERROR(INDEX(DI$6:DI$15,MATCH(DJ29,DJ$6:DJ$15,0)),0)</f>
        <v>JRM7</v>
      </c>
      <c r="DJ29" s="853" t="str">
        <f>AR29</f>
        <v>Manual ETC Rate</v>
      </c>
      <c r="DK29" s="2537"/>
      <c r="DL29" s="748" t="str">
        <f>IFERROR(INDEX(DL$6:DL$15,MATCH(DM29,DM$6:DM$15,0)),0)</f>
        <v>CHM07</v>
      </c>
      <c r="DM29" s="411" t="str">
        <f>AS29</f>
        <v>Manual ETC Hours</v>
      </c>
      <c r="DN29" s="2537"/>
      <c r="DO29" s="748" t="str">
        <f>IFERROR(INDEX(DO$6:DO$15,MATCH(DP29,DP$6:DP$15,0)),0)</f>
        <v>CRM7</v>
      </c>
      <c r="DP29" s="411" t="str">
        <f>AT29</f>
        <v>Manual ETC Rate</v>
      </c>
      <c r="DQ29" s="2537"/>
      <c r="DR29" s="2559"/>
      <c r="DS29" s="748" t="str">
        <f t="shared" ref="DS29:DS60" si="6">IFERROR(INDEX(DS$6:DS$15,MATCH(DT29,DT$6:DT$15,0)),0)</f>
        <v>PLN</v>
      </c>
      <c r="DT29" s="436" t="str">
        <f t="shared" ref="DT29:DT60" si="7">AU29</f>
        <v>Earn as Planned</v>
      </c>
      <c r="DU29" s="2537"/>
      <c r="DV29" s="2559"/>
      <c r="DW29" s="776" t="str">
        <f t="shared" ref="DW29:DW60" si="8">IFERROR(INDEX(DW$6:DW$15,MATCH(DX29,DX$6:DX$15,0)),0)</f>
        <v>LIN</v>
      </c>
      <c r="DX29" s="436" t="str">
        <f t="shared" ref="DX29:DX60" si="9">AV29</f>
        <v>Linear</v>
      </c>
      <c r="DY29" s="2572"/>
      <c r="DZ29" s="2537"/>
      <c r="EA29" s="748" t="str">
        <f>LEFT($EA$17,6)</f>
        <v>B23672</v>
      </c>
      <c r="EB29" s="748" t="str">
        <f>RIGHT($EA$17,2)</f>
        <v>05</v>
      </c>
      <c r="EC29" s="2570"/>
      <c r="ED29" s="537" t="s">
        <v>822</v>
      </c>
      <c r="EE29" s="436" t="s">
        <v>605</v>
      </c>
      <c r="EF29" s="2570"/>
      <c r="EG29" s="748" t="str">
        <f>IFERROR(INDEX('IPCS Data'!$L$8:$L$27,MATCH(EH29,'IPCS Data'!$M$8:$M$27,0)),0)</f>
        <v>PN</v>
      </c>
      <c r="EH29" s="1106" t="s">
        <v>4012</v>
      </c>
      <c r="EI29" s="2578"/>
      <c r="EJ29" s="537" t="s">
        <v>640</v>
      </c>
      <c r="EK29" s="436" t="s">
        <v>1680</v>
      </c>
      <c r="EL29" s="2578"/>
      <c r="EM29" s="842" t="str">
        <f>IF($EA$8&gt;5,"S","0")</f>
        <v>S</v>
      </c>
      <c r="EN29" s="843" t="s">
        <v>4002</v>
      </c>
      <c r="EO29" s="2537"/>
      <c r="EP29" s="842" t="str">
        <f>IF($EA$8&gt;6,"S","0")</f>
        <v>0</v>
      </c>
      <c r="EQ29" s="843" t="s">
        <v>4002</v>
      </c>
      <c r="ER29" s="2537"/>
      <c r="ES29" s="842" t="str">
        <f>IF($EA$8&gt;7,"S","0")</f>
        <v>0</v>
      </c>
      <c r="ET29" s="843" t="s">
        <v>4002</v>
      </c>
      <c r="EU29" s="2537"/>
      <c r="EV29" s="537" t="str">
        <f>IF($EA$8&gt;4,"S","0")</f>
        <v>S</v>
      </c>
      <c r="EW29" s="927" t="s">
        <v>4002</v>
      </c>
      <c r="EX29" s="2562" t="s">
        <v>141</v>
      </c>
      <c r="EY29" s="2533"/>
      <c r="EZ29" s="2561"/>
      <c r="FA29" s="3263" t="str">
        <f t="shared" ref="FA29:FA60" si="10">IF(BL29,EV29,BI29)</f>
        <v>S</v>
      </c>
      <c r="FB29" s="3260" t="s">
        <v>4002</v>
      </c>
      <c r="FC29" s="274"/>
      <c r="FD29" s="2157">
        <f t="shared" ref="FD29:FD60" si="11">IFERROR(AK29,0)</f>
        <v>43840</v>
      </c>
      <c r="FE29" s="2157">
        <f t="shared" ref="FE29:FE60" si="12">AL29</f>
        <v>43923</v>
      </c>
      <c r="FF29" s="274"/>
      <c r="FG29" s="2151">
        <f>(C29*$B$22)+(N29*$M$22)+FH29</f>
        <v>0</v>
      </c>
      <c r="FH29" s="2151">
        <f>(B29*$B$22)+(M29*$M$22)</f>
        <v>0</v>
      </c>
      <c r="FI29" s="2151">
        <f>FG29-FH29</f>
        <v>0</v>
      </c>
      <c r="FJ29" s="2547" t="s">
        <v>5</v>
      </c>
      <c r="FK29" s="2151">
        <f>(D29*$B$22)+(O29*$M$22)</f>
        <v>0</v>
      </c>
      <c r="FL29" s="2151">
        <f t="shared" ref="FL29" si="13">FM29-FK29</f>
        <v>0</v>
      </c>
      <c r="FM29" s="2151">
        <f>(E29*$B$22)+(P29*$M$22)</f>
        <v>0</v>
      </c>
      <c r="FN29" s="2152">
        <f t="shared" ref="FN29" si="14">IFERROR(FO29/FK29,0)</f>
        <v>0</v>
      </c>
      <c r="FO29" s="2151">
        <f>((F29+H29)*$B$22)+((Q29+S29)*$M$22)</f>
        <v>0</v>
      </c>
      <c r="FP29" s="2153">
        <f t="shared" ref="FP29" si="15">IFERROR(FM29/FG29,0)</f>
        <v>0</v>
      </c>
      <c r="FQ29" s="2152">
        <f>IFERROR(FO29/FM29,0)</f>
        <v>0</v>
      </c>
      <c r="FR29" s="2153">
        <f>IFERROR(FO29/FH29,0)</f>
        <v>0</v>
      </c>
      <c r="FS29" s="2555" t="s">
        <v>5</v>
      </c>
      <c r="FT29" s="2151">
        <f>(I29*$B$22)+(T29*$M$22)</f>
        <v>0</v>
      </c>
      <c r="FU29" s="2149"/>
      <c r="FV29" s="2149"/>
      <c r="FW29" s="2555" t="s">
        <v>5</v>
      </c>
      <c r="FX29" s="2151">
        <f>FM29+FT29</f>
        <v>0</v>
      </c>
      <c r="FY29" s="2151">
        <f>FO29+FV29</f>
        <v>0</v>
      </c>
      <c r="FZ29" s="2539" t="s">
        <v>5</v>
      </c>
      <c r="GA29" s="2151">
        <f>FY29-FX29</f>
        <v>0</v>
      </c>
      <c r="GB29" s="2149"/>
      <c r="GC29" s="2156">
        <f>IFERROR(GA29/FH29,0)</f>
        <v>0</v>
      </c>
      <c r="GD29" s="2533"/>
      <c r="GE29" s="3099" t="str">
        <f t="shared" ref="GE29:GE59" si="16">$FA29</f>
        <v>S</v>
      </c>
      <c r="GF29" s="3099" t="str">
        <f t="shared" ref="GF29:GF59" si="17">FB29</f>
        <v>GENERAL LABOR CONTINGENCY</v>
      </c>
      <c r="GG29" s="3190" t="str">
        <f t="shared" ref="GG29:GG93" si="18">IF(CP29=0,"X","")</f>
        <v>X</v>
      </c>
      <c r="GH29" s="2531"/>
      <c r="GI29" s="3189">
        <f t="shared" ref="GI29:GI60" si="19">IF(CV29=0,"",INDEX($CU$29:$CU$94,CV29))</f>
        <v>1</v>
      </c>
      <c r="GJ29" s="2598"/>
      <c r="GK29" s="3173" t="str">
        <f t="shared" ref="GK29:GK60" si="20">IF($CV29=0,0,INDEX($BF$29:$BF$95,$CV29)&amp;"."&amp;INDEX($BH$29:$BH$95,$CV29))</f>
        <v>B23672.05.B.PN.CMP.C.C</v>
      </c>
      <c r="GL29" s="3173" t="str">
        <f t="shared" ref="GL29:GL60" si="21">IF($CV29=0,0,INDEX($BK$29:$BK$95,$CV29))</f>
        <v>C</v>
      </c>
      <c r="GM29" s="3173" t="str">
        <f t="shared" ref="GM29:GM60" si="22">IF($CV29=0,0,INDEX($FB$29:$FB$95,$CV29))</f>
        <v>PC ALLOCATION</v>
      </c>
      <c r="GN29" s="3174" t="str">
        <f t="shared" ref="GN29:GN60" si="23">IF($CV29=0,0,TEXT(INDEX($FD$29:$FD$95,$CV29),"dd-mmm-yyyy"))</f>
        <v>10-Jan-2020</v>
      </c>
      <c r="GO29" s="3174" t="str">
        <f t="shared" ref="GO29:GO60" si="24">IF($CV29=0,0,TEXT(INDEX($FE$29:$FE$95,$CV29),"dd-mmm-yyyy"))</f>
        <v>02-Apr-2020</v>
      </c>
      <c r="GP29" s="3175" t="str">
        <f t="shared" ref="GP29:GP60" si="25">IF($CV29=0,0,INDEX($DW$29:$DW$95,$CV29))</f>
        <v>LIN</v>
      </c>
      <c r="GQ29" s="3176">
        <f t="shared" ref="GQ29:GQ60" si="26">IF($CV29=0,0,INDEX($Z$29:$Z$95,$CV29))</f>
        <v>0</v>
      </c>
      <c r="GR29" s="3177">
        <f t="shared" ref="GR29:GR60" si="27">IF($CV29=0,0,INDEX($FG$29:$FG$95,$CV29))</f>
        <v>0</v>
      </c>
      <c r="GS29" s="3177">
        <f t="shared" ref="GS29:GS60" si="28">IF($CV29=0,0,INDEX($FH$29:$FH$95,$CV29))</f>
        <v>0</v>
      </c>
      <c r="GT29" s="3178">
        <f t="shared" ref="GT29:GT60" si="29">IF($CV29=0,0,INDEX($FP$29:$FP$95,$CV29))</f>
        <v>0</v>
      </c>
      <c r="GU29" s="3179"/>
      <c r="GV29" s="3178">
        <f t="shared" ref="GV29:GV60" si="30">IF($CV29=0,0,INDEX($FR$29:$FR$95,$CV29))</f>
        <v>0</v>
      </c>
      <c r="GW29" s="3177">
        <f t="shared" ref="GW29:GW60" si="31">IF($CV29=0,0,INDEX($FX$29:$FX$95,$CV29))</f>
        <v>2357.9899999999998</v>
      </c>
      <c r="GX29" s="3180"/>
      <c r="GY29" s="3177">
        <f t="shared" ref="GY29:GY60" si="32">IF($CV29=0,0,INDEX($FY$29:$FY$95,$CV29))</f>
        <v>0</v>
      </c>
      <c r="GZ29" s="2593"/>
      <c r="HA29" s="277"/>
      <c r="HB29" s="277"/>
      <c r="HC29" s="277"/>
      <c r="HD29" s="277"/>
      <c r="HE29" s="277"/>
      <c r="HF29" s="277"/>
      <c r="HG29" s="277"/>
      <c r="HH29" s="277"/>
      <c r="HI29" s="277"/>
      <c r="HJ29" s="277"/>
      <c r="HK29" s="277"/>
      <c r="HL29" s="277"/>
      <c r="HM29" s="277"/>
      <c r="HN29" s="277"/>
      <c r="HO29" s="277"/>
    </row>
    <row r="30" spans="1:227" s="749" customFormat="1" ht="18" customHeight="1" x14ac:dyDescent="0.3">
      <c r="A30" s="308" t="s">
        <v>3993</v>
      </c>
      <c r="B30" s="797"/>
      <c r="C30" s="797"/>
      <c r="D30" s="797"/>
      <c r="E30" s="797"/>
      <c r="F30" s="797"/>
      <c r="G30" s="797"/>
      <c r="H30" s="1450"/>
      <c r="I30" s="797"/>
      <c r="J30" s="805">
        <f>IF($EB$6="B",0,'3a Staff Plan'!S120)+J17</f>
        <v>0</v>
      </c>
      <c r="K30" s="805">
        <f>IF($EB$6="B",0,'3a Staff Plan'!DP120)+K17</f>
        <v>0</v>
      </c>
      <c r="L30" s="755"/>
      <c r="M30" s="797"/>
      <c r="N30" s="797"/>
      <c r="O30" s="797"/>
      <c r="P30" s="797"/>
      <c r="Q30" s="797"/>
      <c r="R30" s="797"/>
      <c r="S30" s="1450"/>
      <c r="T30" s="797"/>
      <c r="U30" s="805">
        <f>IF($EB$6="B",0,'3b Activity Plan'!S164)+U17</f>
        <v>0</v>
      </c>
      <c r="V30" s="805">
        <f>IF($EB$6="B",0,'3b Activity Plan'!CZ164)+V17</f>
        <v>0</v>
      </c>
      <c r="W30" s="446"/>
      <c r="X30" s="2641">
        <f>SUMIFS($X$34:$X$95,$BD$34:$BD$95,"Non-Labor")</f>
        <v>0</v>
      </c>
      <c r="Y30" s="2641">
        <f>SUMIFS($Y$34:$Y$95,$BD$34:$BD$95,"Non-Labor")</f>
        <v>0</v>
      </c>
      <c r="Z30" s="2639">
        <f t="shared" si="1"/>
        <v>0</v>
      </c>
      <c r="AA30" s="755"/>
      <c r="AB30" s="761">
        <f t="shared" ref="AB30:AB33" si="33">$AB$26</f>
        <v>0</v>
      </c>
      <c r="AC30" s="761">
        <f t="shared" ref="AC30:AC33" si="34">$AC$26</f>
        <v>0</v>
      </c>
      <c r="AD30" s="755"/>
      <c r="AE30" s="761">
        <f t="shared" ref="AE30:AE33" si="35">$AE$26</f>
        <v>43840</v>
      </c>
      <c r="AF30" s="761">
        <f t="shared" ref="AF30:AF33" si="36">$AF$26</f>
        <v>43923</v>
      </c>
      <c r="AG30" s="755"/>
      <c r="AH30" s="759">
        <f>$AH$26</f>
        <v>43840</v>
      </c>
      <c r="AI30" s="759">
        <f>$AI$26</f>
        <v>43923</v>
      </c>
      <c r="AJ30" s="755"/>
      <c r="AK30" s="759">
        <f t="shared" ref="AK30:AK33" si="37">AH30</f>
        <v>43840</v>
      </c>
      <c r="AL30" s="759">
        <f t="shared" ref="AL30:AL33" si="38">AI30</f>
        <v>43923</v>
      </c>
      <c r="AM30" s="1523"/>
      <c r="AN30" s="755"/>
      <c r="AO30" s="748" t="str">
        <f>$DA$9</f>
        <v>Manual ETC - Jacobs</v>
      </c>
      <c r="AP30" s="748" t="str">
        <f>$DD$9</f>
        <v>Manual ETC - Client</v>
      </c>
      <c r="AQ30" s="748">
        <v>0</v>
      </c>
      <c r="AR30" s="748">
        <v>0</v>
      </c>
      <c r="AS30" s="748">
        <v>0</v>
      </c>
      <c r="AT30" s="748">
        <v>0</v>
      </c>
      <c r="AU30" s="748" t="str">
        <f>$DT$9</f>
        <v>Earn as Planned</v>
      </c>
      <c r="AV30" s="748" t="s">
        <v>198</v>
      </c>
      <c r="AW30" s="755"/>
      <c r="AX30" s="1643"/>
      <c r="AY30" s="1643"/>
      <c r="AZ30" s="755"/>
      <c r="BA30" s="846"/>
      <c r="BB30" s="774"/>
      <c r="BC30" s="846" t="s">
        <v>370</v>
      </c>
      <c r="BD30" s="846" t="str">
        <f t="shared" ref="BD30:BD92" si="39">IF(BC30="L","Labor","Non-Labor")</f>
        <v>Non-Labor</v>
      </c>
      <c r="BE30" s="755"/>
      <c r="BF30" s="846" t="str">
        <f>$BF$29</f>
        <v>B23672.05</v>
      </c>
      <c r="BG30" s="846" t="str">
        <f t="shared" si="2"/>
        <v>S.PN.S</v>
      </c>
      <c r="BH30" s="846" t="str">
        <f>CHOOSE($EA$8-3,BG30,BG30&amp;"."&amp;EV30,BG30&amp;"."&amp;EM30&amp;"."&amp;EV30,BG30&amp;"."&amp;EM30&amp;"."&amp;EP30&amp;"."&amp;EV30,BG30&amp;"."&amp;EM30&amp;"."&amp;EP30&amp;"."&amp;ES30&amp;"."&amp;EV30)</f>
        <v>S.PN.S.S.S</v>
      </c>
      <c r="BI30" s="846" t="str">
        <f t="shared" si="3"/>
        <v>S.PN.S.S.S</v>
      </c>
      <c r="BJ30" s="753" t="str">
        <f>BI30</f>
        <v>S.PN.S.S.S</v>
      </c>
      <c r="BK30" s="846" t="str">
        <f t="shared" ref="BK30:BK92" si="40">IF($EA$8=4,EJ30,EV30)</f>
        <v>S</v>
      </c>
      <c r="BL30" s="846" t="b">
        <f t="shared" ref="BL30:BL33" si="41">$BL$26</f>
        <v>1</v>
      </c>
      <c r="BM30" s="755"/>
      <c r="BN30" s="4028" t="s">
        <v>1404</v>
      </c>
      <c r="BO30" s="4028" t="s">
        <v>1557</v>
      </c>
      <c r="BP30" s="755"/>
      <c r="BQ30" s="796"/>
      <c r="BR30" s="796"/>
      <c r="BS30" s="796"/>
      <c r="BT30" s="796"/>
      <c r="BU30" s="796"/>
      <c r="BV30" s="796"/>
      <c r="BW30" s="796"/>
      <c r="BX30" s="796"/>
      <c r="BY30" s="796"/>
      <c r="BZ30" s="796"/>
      <c r="CA30" s="796"/>
      <c r="CB30" s="796"/>
      <c r="CC30" s="796"/>
      <c r="CD30" s="796"/>
      <c r="CE30" s="796"/>
      <c r="CF30" s="796"/>
      <c r="CG30" s="796"/>
      <c r="CH30" s="796"/>
      <c r="CI30" s="796"/>
      <c r="CJ30" s="796"/>
      <c r="CK30" s="796"/>
      <c r="CL30" s="796"/>
      <c r="CM30" s="796"/>
      <c r="CN30" s="796"/>
      <c r="CO30" s="3224">
        <f t="shared" ref="CO30:CO93" si="42">IF(AND(CP30=1,EG30&lt;&gt;"PN"),1,0)</f>
        <v>0</v>
      </c>
      <c r="CP30" s="1203">
        <f>IF(OR(FX30&lt;&gt;0,FY30&lt;&gt;0),1,0)</f>
        <v>0</v>
      </c>
      <c r="CQ30" s="1000"/>
      <c r="CR30" s="1000"/>
      <c r="CS30" s="2526"/>
      <c r="CT30" s="2527">
        <v>2</v>
      </c>
      <c r="CU30" s="2527">
        <f t="shared" si="4"/>
        <v>0</v>
      </c>
      <c r="CV30" s="2527">
        <f t="shared" si="5"/>
        <v>0</v>
      </c>
      <c r="CW30" s="2527">
        <f t="shared" ref="CW30:CW93" si="43">IF(GG30="X",0,FA30)</f>
        <v>0</v>
      </c>
      <c r="CX30" s="755"/>
      <c r="CY30" s="2537"/>
      <c r="CZ30" s="748" t="str">
        <f>IFERROR(INDEX(CZ$6:CZ$15,MATCH(DA30,DA$6:DA$15,0)),0)</f>
        <v>JCM4</v>
      </c>
      <c r="DA30" s="411" t="str">
        <f>AO30</f>
        <v>Manual ETC - Jacobs</v>
      </c>
      <c r="DB30" s="2537"/>
      <c r="DC30" s="499" t="str">
        <f>IFERROR(INDEX(DC$6:DC$15,MATCH(DD30,DD$6:DD$15,0)),0)</f>
        <v>CCM4</v>
      </c>
      <c r="DD30" s="411" t="str">
        <f>AP30</f>
        <v>Manual ETC - Client</v>
      </c>
      <c r="DE30" s="2537"/>
      <c r="DF30" s="1158"/>
      <c r="DG30" s="1157"/>
      <c r="DH30" s="2537"/>
      <c r="DI30" s="1158"/>
      <c r="DJ30" s="1157"/>
      <c r="DK30" s="2537"/>
      <c r="DL30" s="1158"/>
      <c r="DM30" s="1157"/>
      <c r="DN30" s="2537"/>
      <c r="DO30" s="1360"/>
      <c r="DP30" s="1361"/>
      <c r="DQ30" s="2537"/>
      <c r="DR30" s="2559"/>
      <c r="DS30" s="748" t="str">
        <f t="shared" si="6"/>
        <v>PLN</v>
      </c>
      <c r="DT30" s="436" t="str">
        <f t="shared" si="7"/>
        <v>Earn as Planned</v>
      </c>
      <c r="DU30" s="2537"/>
      <c r="DV30" s="2559"/>
      <c r="DW30" s="776" t="str">
        <f t="shared" si="8"/>
        <v>LIN</v>
      </c>
      <c r="DX30" s="436" t="str">
        <f t="shared" si="9"/>
        <v>Linear</v>
      </c>
      <c r="DY30" s="2572"/>
      <c r="DZ30" s="2537"/>
      <c r="EA30" s="4001" t="s">
        <v>2828</v>
      </c>
      <c r="EB30" s="2575" t="str">
        <f>$EB$16</f>
        <v>05</v>
      </c>
      <c r="EC30" s="2570"/>
      <c r="ED30" s="537" t="s">
        <v>822</v>
      </c>
      <c r="EE30" s="436" t="s">
        <v>605</v>
      </c>
      <c r="EF30" s="2570"/>
      <c r="EG30" s="748" t="str">
        <f>IFERROR(INDEX('IPCS Data'!$L$8:$L$27,MATCH(EH30,'IPCS Data'!$M$8:$M$27,0)),0)</f>
        <v>PN</v>
      </c>
      <c r="EH30" s="1105" t="s">
        <v>4012</v>
      </c>
      <c r="EI30" s="2578"/>
      <c r="EJ30" s="537" t="s">
        <v>822</v>
      </c>
      <c r="EK30" s="436" t="s">
        <v>605</v>
      </c>
      <c r="EL30" s="2578"/>
      <c r="EM30" s="842" t="str">
        <f>IF($EA$8&gt;5,"S","0")</f>
        <v>S</v>
      </c>
      <c r="EN30" s="843" t="s">
        <v>4003</v>
      </c>
      <c r="EO30" s="2537"/>
      <c r="EP30" s="842" t="str">
        <f>IF($EA$8&gt;6,"S","0")</f>
        <v>0</v>
      </c>
      <c r="EQ30" s="843" t="s">
        <v>4003</v>
      </c>
      <c r="ER30" s="2537"/>
      <c r="ES30" s="842" t="str">
        <f>IF($EA$8&gt;7,"S","0")</f>
        <v>0</v>
      </c>
      <c r="ET30" s="843" t="s">
        <v>4003</v>
      </c>
      <c r="EU30" s="2537"/>
      <c r="EV30" s="537" t="str">
        <f>IF($EA$8&gt;4,"S","0")</f>
        <v>S</v>
      </c>
      <c r="EW30" s="927" t="s">
        <v>4003</v>
      </c>
      <c r="EX30" s="2562" t="s">
        <v>142</v>
      </c>
      <c r="EY30" s="2533"/>
      <c r="EZ30" s="2561"/>
      <c r="FA30" s="3263" t="str">
        <f t="shared" si="10"/>
        <v>S</v>
      </c>
      <c r="FB30" s="3260" t="s">
        <v>4003</v>
      </c>
      <c r="FC30" s="274"/>
      <c r="FD30" s="2157">
        <f t="shared" si="11"/>
        <v>43840</v>
      </c>
      <c r="FE30" s="2157">
        <f t="shared" si="12"/>
        <v>43923</v>
      </c>
      <c r="FF30" s="274"/>
      <c r="FG30" s="2149"/>
      <c r="FH30" s="2149"/>
      <c r="FI30" s="2149"/>
      <c r="FJ30" s="2547"/>
      <c r="FK30" s="2149"/>
      <c r="FL30" s="2149"/>
      <c r="FM30" s="2149"/>
      <c r="FN30" s="2149"/>
      <c r="FO30" s="2154"/>
      <c r="FP30" s="2149"/>
      <c r="FQ30" s="2154"/>
      <c r="FR30" s="2149"/>
      <c r="FS30" s="2555"/>
      <c r="FT30" s="2151">
        <f>(J30*$B$22)+(U30*$M$22)</f>
        <v>0</v>
      </c>
      <c r="FU30" s="2152">
        <f>IFERROR(FV30/FT30,0)</f>
        <v>0</v>
      </c>
      <c r="FV30" s="2151">
        <f>(K30*$B$22)+(V30*$M$22)</f>
        <v>0</v>
      </c>
      <c r="FW30" s="2556"/>
      <c r="FX30" s="2151">
        <f>FM30+FT30</f>
        <v>0</v>
      </c>
      <c r="FY30" s="2151">
        <f>FO30+FV30</f>
        <v>0</v>
      </c>
      <c r="FZ30" s="2539"/>
      <c r="GA30" s="2151">
        <f>FY30-FX30</f>
        <v>0</v>
      </c>
      <c r="GB30" s="2149"/>
      <c r="GC30" s="2149"/>
      <c r="GD30" s="2533"/>
      <c r="GE30" s="3099" t="str">
        <f t="shared" si="16"/>
        <v>S</v>
      </c>
      <c r="GF30" s="3099" t="str">
        <f t="shared" si="17"/>
        <v>GENERAL NON-LABOR CONTINGENCY</v>
      </c>
      <c r="GG30" s="3190" t="str">
        <f t="shared" si="18"/>
        <v>X</v>
      </c>
      <c r="GH30" s="2531"/>
      <c r="GI30" s="3189" t="str">
        <f t="shared" si="19"/>
        <v/>
      </c>
      <c r="GJ30" s="2598"/>
      <c r="GK30" s="3173">
        <f t="shared" si="20"/>
        <v>0</v>
      </c>
      <c r="GL30" s="3173">
        <f t="shared" si="21"/>
        <v>0</v>
      </c>
      <c r="GM30" s="3173">
        <f t="shared" si="22"/>
        <v>0</v>
      </c>
      <c r="GN30" s="3174">
        <f t="shared" si="23"/>
        <v>0</v>
      </c>
      <c r="GO30" s="3174">
        <f t="shared" si="24"/>
        <v>0</v>
      </c>
      <c r="GP30" s="3175">
        <f t="shared" si="25"/>
        <v>0</v>
      </c>
      <c r="GQ30" s="3176">
        <f t="shared" si="26"/>
        <v>0</v>
      </c>
      <c r="GR30" s="3177">
        <f t="shared" si="27"/>
        <v>0</v>
      </c>
      <c r="GS30" s="3177">
        <f t="shared" si="28"/>
        <v>0</v>
      </c>
      <c r="GT30" s="3178">
        <f t="shared" si="29"/>
        <v>0</v>
      </c>
      <c r="GU30" s="3179"/>
      <c r="GV30" s="3178">
        <f t="shared" si="30"/>
        <v>0</v>
      </c>
      <c r="GW30" s="3177">
        <f t="shared" si="31"/>
        <v>0</v>
      </c>
      <c r="GX30" s="3180"/>
      <c r="GY30" s="3177">
        <f t="shared" si="32"/>
        <v>0</v>
      </c>
      <c r="GZ30" s="2593"/>
      <c r="HA30" s="277"/>
      <c r="HB30" s="277"/>
      <c r="HC30" s="277"/>
      <c r="HD30" s="277"/>
      <c r="HE30" s="277"/>
      <c r="HF30" s="277"/>
      <c r="HG30" s="277"/>
      <c r="HH30" s="277"/>
      <c r="HI30" s="277"/>
      <c r="HJ30" s="277"/>
      <c r="HK30" s="277"/>
      <c r="HL30" s="277"/>
      <c r="HM30" s="277"/>
      <c r="HN30" s="277"/>
      <c r="HO30" s="277"/>
    </row>
    <row r="31" spans="1:227" s="272" customFormat="1" ht="18" customHeight="1" thickBot="1" x14ac:dyDescent="0.35">
      <c r="A31" s="308" t="s">
        <v>3994</v>
      </c>
      <c r="B31" s="797"/>
      <c r="C31" s="797"/>
      <c r="D31" s="797"/>
      <c r="E31" s="797"/>
      <c r="F31" s="1113"/>
      <c r="G31" s="797"/>
      <c r="H31" s="1450"/>
      <c r="I31" s="797"/>
      <c r="J31" s="805">
        <f>IF($EB$6="B",0,'3a Staff Plan'!S121)+J18</f>
        <v>0</v>
      </c>
      <c r="K31" s="1240"/>
      <c r="L31" s="755"/>
      <c r="M31" s="797"/>
      <c r="N31" s="797"/>
      <c r="O31" s="797"/>
      <c r="P31" s="797"/>
      <c r="Q31" s="797"/>
      <c r="R31" s="797"/>
      <c r="S31" s="1450"/>
      <c r="T31" s="797"/>
      <c r="U31" s="805">
        <f>IF($EB$6="B",0,'3b Activity Plan'!S165)+U18</f>
        <v>0</v>
      </c>
      <c r="V31" s="1240"/>
      <c r="W31" s="446"/>
      <c r="X31" s="2643"/>
      <c r="Y31" s="2643"/>
      <c r="Z31" s="2639">
        <f>Z29</f>
        <v>0</v>
      </c>
      <c r="AA31" s="755"/>
      <c r="AB31" s="761">
        <f t="shared" si="33"/>
        <v>0</v>
      </c>
      <c r="AC31" s="761">
        <f t="shared" si="34"/>
        <v>0</v>
      </c>
      <c r="AD31" s="755"/>
      <c r="AE31" s="761">
        <f t="shared" si="35"/>
        <v>43840</v>
      </c>
      <c r="AF31" s="761">
        <f t="shared" si="36"/>
        <v>43923</v>
      </c>
      <c r="AG31" s="755"/>
      <c r="AH31" s="759">
        <f t="shared" ref="AH31:AH33" si="44">$AH$26</f>
        <v>43840</v>
      </c>
      <c r="AI31" s="759">
        <f t="shared" ref="AI31:AI33" si="45">$AI$26</f>
        <v>43923</v>
      </c>
      <c r="AJ31" s="755"/>
      <c r="AK31" s="759">
        <f t="shared" si="37"/>
        <v>43840</v>
      </c>
      <c r="AL31" s="759">
        <f t="shared" si="38"/>
        <v>43923</v>
      </c>
      <c r="AM31" s="1523"/>
      <c r="AN31" s="755"/>
      <c r="AO31" s="748">
        <v>0</v>
      </c>
      <c r="AP31" s="748" t="str">
        <f>$DD$9</f>
        <v>Manual ETC - Client</v>
      </c>
      <c r="AQ31" s="748">
        <v>0</v>
      </c>
      <c r="AR31" s="748">
        <v>0</v>
      </c>
      <c r="AS31" s="748">
        <v>0</v>
      </c>
      <c r="AT31" s="748">
        <v>0</v>
      </c>
      <c r="AU31" s="748" t="str">
        <f t="shared" ref="AU31:AU32" si="46">$DT$9</f>
        <v>Earn as Planned</v>
      </c>
      <c r="AV31" s="748" t="s">
        <v>198</v>
      </c>
      <c r="AW31" s="755"/>
      <c r="AX31" s="1643"/>
      <c r="AY31" s="1643"/>
      <c r="AZ31" s="755"/>
      <c r="BA31" s="846"/>
      <c r="BB31" s="774"/>
      <c r="BC31" s="846" t="s">
        <v>370</v>
      </c>
      <c r="BD31" s="846" t="str">
        <f t="shared" si="39"/>
        <v>Non-Labor</v>
      </c>
      <c r="BE31" s="755"/>
      <c r="BF31" s="846" t="str">
        <f>$BF$29</f>
        <v>B23672.05</v>
      </c>
      <c r="BG31" s="846" t="str">
        <f t="shared" si="2"/>
        <v>R.PN.R</v>
      </c>
      <c r="BH31" s="846" t="str">
        <f>CHOOSE($EA$8-3,BG31,BG31&amp;"."&amp;EV31,BG31&amp;"."&amp;EM31&amp;"."&amp;EV31,BG31&amp;"."&amp;EM31&amp;"."&amp;EP31&amp;"."&amp;EV31,BG31&amp;"."&amp;EM31&amp;"."&amp;EP31&amp;"."&amp;ES31&amp;"."&amp;EV31)</f>
        <v>R.PN.R.R.R</v>
      </c>
      <c r="BI31" s="846" t="str">
        <f t="shared" si="3"/>
        <v>R.PN.R.R.R</v>
      </c>
      <c r="BJ31" s="753" t="str">
        <f>BI31</f>
        <v>R.PN.R.R.R</v>
      </c>
      <c r="BK31" s="846" t="str">
        <f t="shared" si="40"/>
        <v>R</v>
      </c>
      <c r="BL31" s="846" t="b">
        <f t="shared" si="41"/>
        <v>1</v>
      </c>
      <c r="BM31" s="755"/>
      <c r="BN31" s="4028"/>
      <c r="BO31" s="4028"/>
      <c r="BP31" s="755"/>
      <c r="BQ31" s="796"/>
      <c r="BR31" s="796"/>
      <c r="BS31" s="796"/>
      <c r="BT31" s="796"/>
      <c r="BU31" s="796"/>
      <c r="BV31" s="796"/>
      <c r="BW31" s="796"/>
      <c r="BX31" s="796"/>
      <c r="BY31" s="796"/>
      <c r="BZ31" s="796"/>
      <c r="CA31" s="796"/>
      <c r="CB31" s="796"/>
      <c r="CC31" s="796"/>
      <c r="CD31" s="796"/>
      <c r="CE31" s="796"/>
      <c r="CF31" s="796"/>
      <c r="CG31" s="796"/>
      <c r="CH31" s="796"/>
      <c r="CI31" s="796"/>
      <c r="CJ31" s="796"/>
      <c r="CK31" s="796"/>
      <c r="CL31" s="796"/>
      <c r="CM31" s="796"/>
      <c r="CN31" s="796"/>
      <c r="CO31" s="3224">
        <f t="shared" si="42"/>
        <v>0</v>
      </c>
      <c r="CP31" s="1203">
        <f>IF(FX31&lt;&gt;0,1,0)</f>
        <v>0</v>
      </c>
      <c r="CQ31" s="1000"/>
      <c r="CR31" s="1000"/>
      <c r="CS31" s="2526"/>
      <c r="CT31" s="2527">
        <v>3</v>
      </c>
      <c r="CU31" s="2527">
        <f t="shared" si="4"/>
        <v>0</v>
      </c>
      <c r="CV31" s="2527">
        <f t="shared" si="5"/>
        <v>0</v>
      </c>
      <c r="CW31" s="2527">
        <f t="shared" si="43"/>
        <v>0</v>
      </c>
      <c r="CX31" s="755"/>
      <c r="CY31" s="2537"/>
      <c r="CZ31" s="1451"/>
      <c r="DA31" s="1452"/>
      <c r="DB31" s="2537"/>
      <c r="DC31" s="499" t="str">
        <f>IFERROR(INDEX(DC$6:DC$15,MATCH(DD31,DD$6:DD$15,0)),0)</f>
        <v>CCM4</v>
      </c>
      <c r="DD31" s="411" t="str">
        <f>AP31</f>
        <v>Manual ETC - Client</v>
      </c>
      <c r="DE31" s="2537"/>
      <c r="DF31" s="1158"/>
      <c r="DG31" s="1157"/>
      <c r="DH31" s="2537"/>
      <c r="DI31" s="1158"/>
      <c r="DJ31" s="1157"/>
      <c r="DK31" s="2537"/>
      <c r="DL31" s="1158"/>
      <c r="DM31" s="1157"/>
      <c r="DN31" s="2537"/>
      <c r="DO31" s="1360"/>
      <c r="DP31" s="1361"/>
      <c r="DQ31" s="2537"/>
      <c r="DR31" s="2559"/>
      <c r="DS31" s="748" t="str">
        <f t="shared" si="6"/>
        <v>PLN</v>
      </c>
      <c r="DT31" s="436" t="str">
        <f t="shared" si="7"/>
        <v>Earn as Planned</v>
      </c>
      <c r="DU31" s="2537"/>
      <c r="DV31" s="2559"/>
      <c r="DW31" s="776" t="str">
        <f t="shared" si="8"/>
        <v>LIN</v>
      </c>
      <c r="DX31" s="436" t="str">
        <f t="shared" si="9"/>
        <v>Linear</v>
      </c>
      <c r="DY31" s="2572"/>
      <c r="DZ31" s="2537"/>
      <c r="EA31" s="4002"/>
      <c r="EB31" s="2576" t="str">
        <f>$EB$16</f>
        <v>05</v>
      </c>
      <c r="EC31" s="2570"/>
      <c r="ED31" s="927" t="s">
        <v>269</v>
      </c>
      <c r="EE31" s="927" t="s">
        <v>4001</v>
      </c>
      <c r="EF31" s="2570"/>
      <c r="EG31" s="748" t="str">
        <f>IFERROR(INDEX('IPCS Data'!$L$8:$L$27,MATCH(EH31,'IPCS Data'!$M$8:$M$27,0)),0)</f>
        <v>PN</v>
      </c>
      <c r="EH31" s="1105" t="s">
        <v>4012</v>
      </c>
      <c r="EI31" s="2578"/>
      <c r="EJ31" s="537" t="s">
        <v>269</v>
      </c>
      <c r="EK31" s="927" t="s">
        <v>4001</v>
      </c>
      <c r="EL31" s="2578"/>
      <c r="EM31" s="842" t="str">
        <f>IF($EA$8&gt;5,"R","0")</f>
        <v>R</v>
      </c>
      <c r="EN31" s="843" t="s">
        <v>4001</v>
      </c>
      <c r="EO31" s="2537"/>
      <c r="EP31" s="842" t="str">
        <f>IF($EA$8&gt;6,"R","0")</f>
        <v>0</v>
      </c>
      <c r="EQ31" s="843" t="s">
        <v>4001</v>
      </c>
      <c r="ER31" s="2537"/>
      <c r="ES31" s="842" t="str">
        <f>IF($EA$8&gt;7,"R","0")</f>
        <v>0</v>
      </c>
      <c r="ET31" s="843" t="s">
        <v>4001</v>
      </c>
      <c r="EU31" s="2537"/>
      <c r="EV31" s="537" t="str">
        <f>IF($EA$8&gt;4,"R","0")</f>
        <v>R</v>
      </c>
      <c r="EW31" s="927" t="s">
        <v>4001</v>
      </c>
      <c r="EX31" s="2562" t="s">
        <v>143</v>
      </c>
      <c r="EY31" s="2533"/>
      <c r="EZ31" s="2561"/>
      <c r="FA31" s="3264" t="str">
        <f t="shared" si="10"/>
        <v>R</v>
      </c>
      <c r="FB31" s="3261" t="s">
        <v>4001</v>
      </c>
      <c r="FC31" s="274"/>
      <c r="FD31" s="2158">
        <f t="shared" si="11"/>
        <v>43840</v>
      </c>
      <c r="FE31" s="2158">
        <f t="shared" si="12"/>
        <v>43923</v>
      </c>
      <c r="FF31" s="274"/>
      <c r="FG31" s="2149"/>
      <c r="FH31" s="2149"/>
      <c r="FI31" s="2149"/>
      <c r="FJ31" s="2547" t="s">
        <v>5</v>
      </c>
      <c r="FK31" s="2149"/>
      <c r="FL31" s="2149"/>
      <c r="FM31" s="2149"/>
      <c r="FN31" s="2149"/>
      <c r="FO31" s="2154"/>
      <c r="FP31" s="2149"/>
      <c r="FQ31" s="2154"/>
      <c r="FR31" s="2149"/>
      <c r="FS31" s="2555" t="s">
        <v>5</v>
      </c>
      <c r="FT31" s="3278">
        <f>(J31*$B$22)+(U31*$M$22)</f>
        <v>0</v>
      </c>
      <c r="FU31" s="2149"/>
      <c r="FV31" s="2151">
        <f>((H31+K31)*$B$22)+((S31+V31)*$M$22)</f>
        <v>0</v>
      </c>
      <c r="FW31" s="2556" t="s">
        <v>5</v>
      </c>
      <c r="FX31" s="3278">
        <f>FM31+FT31</f>
        <v>0</v>
      </c>
      <c r="FY31" s="2149"/>
      <c r="FZ31" s="2539" t="s">
        <v>5</v>
      </c>
      <c r="GA31" s="3278">
        <f>FY31-FX31</f>
        <v>0</v>
      </c>
      <c r="GB31" s="2149"/>
      <c r="GC31" s="2149"/>
      <c r="GD31" s="2533"/>
      <c r="GE31" s="3099" t="str">
        <f t="shared" si="16"/>
        <v>R</v>
      </c>
      <c r="GF31" s="3099" t="str">
        <f t="shared" si="17"/>
        <v>COST RESERVE</v>
      </c>
      <c r="GG31" s="3190" t="str">
        <f t="shared" si="18"/>
        <v>X</v>
      </c>
      <c r="GH31" s="2531"/>
      <c r="GI31" s="3189" t="str">
        <f t="shared" si="19"/>
        <v/>
      </c>
      <c r="GJ31" s="2598"/>
      <c r="GK31" s="3173">
        <f t="shared" si="20"/>
        <v>0</v>
      </c>
      <c r="GL31" s="3173">
        <f t="shared" si="21"/>
        <v>0</v>
      </c>
      <c r="GM31" s="3173">
        <f t="shared" si="22"/>
        <v>0</v>
      </c>
      <c r="GN31" s="3174">
        <f t="shared" si="23"/>
        <v>0</v>
      </c>
      <c r="GO31" s="3174">
        <f t="shared" si="24"/>
        <v>0</v>
      </c>
      <c r="GP31" s="3175">
        <f t="shared" si="25"/>
        <v>0</v>
      </c>
      <c r="GQ31" s="3176">
        <f t="shared" si="26"/>
        <v>0</v>
      </c>
      <c r="GR31" s="3177">
        <f t="shared" si="27"/>
        <v>0</v>
      </c>
      <c r="GS31" s="3177">
        <f t="shared" si="28"/>
        <v>0</v>
      </c>
      <c r="GT31" s="3178">
        <f t="shared" si="29"/>
        <v>0</v>
      </c>
      <c r="GU31" s="3179"/>
      <c r="GV31" s="3178">
        <f t="shared" si="30"/>
        <v>0</v>
      </c>
      <c r="GW31" s="3177">
        <f t="shared" si="31"/>
        <v>0</v>
      </c>
      <c r="GX31" s="3180"/>
      <c r="GY31" s="3177">
        <f t="shared" si="32"/>
        <v>0</v>
      </c>
      <c r="GZ31" s="2593"/>
      <c r="HA31" s="277"/>
      <c r="HB31" s="277"/>
      <c r="HC31" s="277"/>
      <c r="HD31" s="277"/>
      <c r="HE31" s="277"/>
      <c r="HF31" s="277"/>
      <c r="HG31" s="277"/>
      <c r="HH31" s="277"/>
      <c r="HI31" s="277"/>
      <c r="HJ31" s="277"/>
      <c r="HK31" s="277"/>
      <c r="HL31" s="277"/>
      <c r="HM31" s="277"/>
      <c r="HN31" s="277"/>
      <c r="HO31" s="277"/>
    </row>
    <row r="32" spans="1:227" s="272" customFormat="1" ht="18" customHeight="1" thickTop="1" x14ac:dyDescent="0.3">
      <c r="A32" s="308" t="s">
        <v>3995</v>
      </c>
      <c r="B32" s="797"/>
      <c r="C32" s="797"/>
      <c r="D32" s="797"/>
      <c r="E32" s="797"/>
      <c r="F32" s="1113"/>
      <c r="G32" s="3294">
        <f>SUM(G34:G95)</f>
        <v>0</v>
      </c>
      <c r="H32" s="1242"/>
      <c r="I32" s="797"/>
      <c r="J32" s="797"/>
      <c r="K32" s="2049">
        <f>G32+G19+G16-G14</f>
        <v>0</v>
      </c>
      <c r="L32" s="755"/>
      <c r="M32" s="797"/>
      <c r="N32" s="797"/>
      <c r="O32" s="797"/>
      <c r="P32" s="797"/>
      <c r="Q32" s="797"/>
      <c r="R32" s="3294">
        <f>SUM(R34:R95)</f>
        <v>0</v>
      </c>
      <c r="S32" s="1242"/>
      <c r="T32" s="797"/>
      <c r="U32" s="797"/>
      <c r="V32" s="2049">
        <f>R32+R19+R16-R14</f>
        <v>0</v>
      </c>
      <c r="W32" s="306" t="s">
        <v>2335</v>
      </c>
      <c r="X32" s="2643" t="s">
        <v>5</v>
      </c>
      <c r="Y32" s="2643"/>
      <c r="Z32" s="2639">
        <f>Z29</f>
        <v>0</v>
      </c>
      <c r="AA32" s="755"/>
      <c r="AB32" s="761">
        <f t="shared" si="33"/>
        <v>0</v>
      </c>
      <c r="AC32" s="761">
        <f t="shared" si="34"/>
        <v>0</v>
      </c>
      <c r="AD32" s="755"/>
      <c r="AE32" s="761">
        <f t="shared" si="35"/>
        <v>43840</v>
      </c>
      <c r="AF32" s="761">
        <f t="shared" si="36"/>
        <v>43923</v>
      </c>
      <c r="AG32" s="755"/>
      <c r="AH32" s="759">
        <f t="shared" si="44"/>
        <v>43840</v>
      </c>
      <c r="AI32" s="759">
        <f t="shared" si="45"/>
        <v>43923</v>
      </c>
      <c r="AJ32" s="755"/>
      <c r="AK32" s="759">
        <f t="shared" si="37"/>
        <v>43840</v>
      </c>
      <c r="AL32" s="759">
        <f t="shared" si="38"/>
        <v>43923</v>
      </c>
      <c r="AM32" s="1523"/>
      <c r="AN32" s="755"/>
      <c r="AO32" s="748">
        <v>0</v>
      </c>
      <c r="AP32" s="748" t="str">
        <f>$DD$9</f>
        <v>Manual ETC - Client</v>
      </c>
      <c r="AQ32" s="748">
        <v>0</v>
      </c>
      <c r="AR32" s="748">
        <v>0</v>
      </c>
      <c r="AS32" s="748">
        <v>0</v>
      </c>
      <c r="AT32" s="748">
        <v>0</v>
      </c>
      <c r="AU32" s="748" t="str">
        <f t="shared" si="46"/>
        <v>Earn as Planned</v>
      </c>
      <c r="AV32" s="748" t="s">
        <v>198</v>
      </c>
      <c r="AW32" s="755"/>
      <c r="AX32" s="1643"/>
      <c r="AY32" s="1643"/>
      <c r="AZ32" s="755"/>
      <c r="BA32" s="846"/>
      <c r="BB32" s="774"/>
      <c r="BC32" s="846" t="s">
        <v>370</v>
      </c>
      <c r="BD32" s="846" t="str">
        <f t="shared" si="39"/>
        <v>Non-Labor</v>
      </c>
      <c r="BE32" s="755"/>
      <c r="BF32" s="846" t="str">
        <f t="shared" ref="BF32:BF33" si="47">$BF$29</f>
        <v>B23672.05</v>
      </c>
      <c r="BG32" s="846" t="str">
        <f t="shared" si="2"/>
        <v>V.PN.V</v>
      </c>
      <c r="BH32" s="846" t="str">
        <f>CHOOSE($EA$8-3,BG32,BG32&amp;"."&amp;EV32,BG32&amp;"."&amp;EM32&amp;"."&amp;EV32,BG32&amp;"."&amp;EM32&amp;"."&amp;EP32&amp;"."&amp;EV32,BG32&amp;"."&amp;EM32&amp;"."&amp;EP32&amp;"."&amp;ES32&amp;"."&amp;EV32)</f>
        <v>V.PN.V.V.V</v>
      </c>
      <c r="BI32" s="846" t="str">
        <f t="shared" si="3"/>
        <v>V.PN.V.V.V</v>
      </c>
      <c r="BJ32" s="753" t="str">
        <f>BI32</f>
        <v>V.PN.V.V.V</v>
      </c>
      <c r="BK32" s="846" t="str">
        <f t="shared" si="40"/>
        <v>V</v>
      </c>
      <c r="BL32" s="846" t="b">
        <f t="shared" si="41"/>
        <v>1</v>
      </c>
      <c r="BM32" s="755"/>
      <c r="BN32" s="4028"/>
      <c r="BO32" s="4028"/>
      <c r="BP32" s="755"/>
      <c r="BQ32" s="796"/>
      <c r="BR32" s="796"/>
      <c r="BS32" s="796"/>
      <c r="BT32" s="796"/>
      <c r="BU32" s="796"/>
      <c r="BV32" s="796"/>
      <c r="BW32" s="796"/>
      <c r="BX32" s="796"/>
      <c r="BY32" s="796"/>
      <c r="BZ32" s="796"/>
      <c r="CA32" s="796"/>
      <c r="CB32" s="796"/>
      <c r="CC32" s="796"/>
      <c r="CD32" s="796"/>
      <c r="CE32" s="796"/>
      <c r="CF32" s="796"/>
      <c r="CG32" s="796"/>
      <c r="CH32" s="796"/>
      <c r="CI32" s="796"/>
      <c r="CJ32" s="796"/>
      <c r="CK32" s="796"/>
      <c r="CL32" s="796"/>
      <c r="CM32" s="796"/>
      <c r="CN32" s="796"/>
      <c r="CO32" s="3224">
        <f t="shared" si="42"/>
        <v>0</v>
      </c>
      <c r="CP32" s="1203">
        <f>IF(OR('1 Setup'!G8=4,'1 Setup'!G8=5),1,0)</f>
        <v>0</v>
      </c>
      <c r="CQ32" s="1000"/>
      <c r="CR32" s="1000"/>
      <c r="CS32" s="2526"/>
      <c r="CT32" s="2527">
        <v>4</v>
      </c>
      <c r="CU32" s="2527">
        <f t="shared" si="4"/>
        <v>0</v>
      </c>
      <c r="CV32" s="2527">
        <f t="shared" si="5"/>
        <v>0</v>
      </c>
      <c r="CW32" s="2527">
        <f t="shared" si="43"/>
        <v>0</v>
      </c>
      <c r="CX32" s="755"/>
      <c r="CY32" s="2537"/>
      <c r="CZ32" s="1158"/>
      <c r="DA32" s="1157"/>
      <c r="DB32" s="2537"/>
      <c r="DC32" s="499" t="str">
        <f>IFERROR(INDEX(DC$6:DC$15,MATCH(DD32,DD$6:DD$15,0)),0)</f>
        <v>CCM4</v>
      </c>
      <c r="DD32" s="411" t="str">
        <f>AP32</f>
        <v>Manual ETC - Client</v>
      </c>
      <c r="DE32" s="2537"/>
      <c r="DF32" s="1158"/>
      <c r="DG32" s="1157"/>
      <c r="DH32" s="2537"/>
      <c r="DI32" s="1158"/>
      <c r="DJ32" s="1157"/>
      <c r="DK32" s="2537"/>
      <c r="DL32" s="1158"/>
      <c r="DM32" s="1157"/>
      <c r="DN32" s="2537"/>
      <c r="DO32" s="1158"/>
      <c r="DP32" s="1157"/>
      <c r="DQ32" s="2537"/>
      <c r="DR32" s="2559"/>
      <c r="DS32" s="748" t="str">
        <f t="shared" si="6"/>
        <v>PLN</v>
      </c>
      <c r="DT32" s="436" t="str">
        <f t="shared" si="7"/>
        <v>Earn as Planned</v>
      </c>
      <c r="DU32" s="2537"/>
      <c r="DV32" s="2559"/>
      <c r="DW32" s="776" t="str">
        <f t="shared" si="8"/>
        <v>LIN</v>
      </c>
      <c r="DX32" s="436" t="str">
        <f t="shared" si="9"/>
        <v>Linear</v>
      </c>
      <c r="DY32" s="2572"/>
      <c r="DZ32" s="2537"/>
      <c r="EA32" s="2537"/>
      <c r="EB32" s="2576" t="str">
        <f>$EB$16</f>
        <v>05</v>
      </c>
      <c r="EC32" s="2570"/>
      <c r="ED32" s="927" t="s">
        <v>641</v>
      </c>
      <c r="EE32" s="436" t="s">
        <v>4004</v>
      </c>
      <c r="EF32" s="2570"/>
      <c r="EG32" s="748" t="str">
        <f>IFERROR(INDEX('IPCS Data'!$L$8:$L$27,MATCH(EH32,'IPCS Data'!$M$8:$M$27,0)),0)</f>
        <v>PN</v>
      </c>
      <c r="EH32" s="1105" t="s">
        <v>4012</v>
      </c>
      <c r="EI32" s="2578"/>
      <c r="EJ32" s="537" t="s">
        <v>641</v>
      </c>
      <c r="EK32" s="436" t="s">
        <v>4004</v>
      </c>
      <c r="EL32" s="2578"/>
      <c r="EM32" s="842" t="str">
        <f>IF($EA$8&gt;5,"V","0")</f>
        <v>V</v>
      </c>
      <c r="EN32" s="843" t="s">
        <v>4004</v>
      </c>
      <c r="EO32" s="2537"/>
      <c r="EP32" s="842" t="str">
        <f>IF($EA$8&gt;6,"V","0")</f>
        <v>0</v>
      </c>
      <c r="EQ32" s="843" t="s">
        <v>4004</v>
      </c>
      <c r="ER32" s="2537"/>
      <c r="ES32" s="842" t="str">
        <f>IF($EA$8&gt;7,"V","0")</f>
        <v>0</v>
      </c>
      <c r="ET32" s="843" t="s">
        <v>4004</v>
      </c>
      <c r="EU32" s="2537"/>
      <c r="EV32" s="537" t="str">
        <f>IF($EA$8&gt;4,"V","0")</f>
        <v>V</v>
      </c>
      <c r="EW32" s="927" t="s">
        <v>4004</v>
      </c>
      <c r="EX32" s="2562" t="s">
        <v>144</v>
      </c>
      <c r="EY32" s="2533"/>
      <c r="EZ32" s="2561"/>
      <c r="FA32" s="3258" t="str">
        <f t="shared" si="10"/>
        <v>V</v>
      </c>
      <c r="FB32" s="3262" t="s">
        <v>4004</v>
      </c>
      <c r="FC32" s="274"/>
      <c r="FD32" s="2158">
        <f t="shared" si="11"/>
        <v>43840</v>
      </c>
      <c r="FE32" s="2158">
        <f t="shared" si="12"/>
        <v>43923</v>
      </c>
      <c r="FF32" s="274"/>
      <c r="FG32" s="2149"/>
      <c r="FH32" s="2149"/>
      <c r="FI32" s="2149"/>
      <c r="FJ32" s="2547" t="s">
        <v>5</v>
      </c>
      <c r="FK32" s="2149"/>
      <c r="FL32" s="2149"/>
      <c r="FM32" s="2149"/>
      <c r="FN32" s="2149"/>
      <c r="FO32" s="2154"/>
      <c r="FP32" s="2149"/>
      <c r="FQ32" s="2154"/>
      <c r="FR32" s="2149"/>
      <c r="FS32" s="2555" t="s">
        <v>5</v>
      </c>
      <c r="FT32" s="2149"/>
      <c r="FU32" s="2149"/>
      <c r="FV32" s="3278">
        <f>(K32*$B$22)+(V32*$M$22)</f>
        <v>0</v>
      </c>
      <c r="FW32" s="2556" t="s">
        <v>5</v>
      </c>
      <c r="FX32" s="2149"/>
      <c r="FY32" s="3278">
        <f>FO32+FV32</f>
        <v>0</v>
      </c>
      <c r="FZ32" s="2539" t="s">
        <v>5</v>
      </c>
      <c r="GA32" s="2151">
        <f t="shared" ref="GA32:GA94" si="48">FY32-FX32</f>
        <v>0</v>
      </c>
      <c r="GB32" s="2149"/>
      <c r="GC32" s="2149"/>
      <c r="GD32" s="2533"/>
      <c r="GE32" s="3099" t="str">
        <f t="shared" si="16"/>
        <v>V</v>
      </c>
      <c r="GF32" s="3099" t="str">
        <f t="shared" si="17"/>
        <v>FEE</v>
      </c>
      <c r="GG32" s="3190" t="str">
        <f t="shared" si="18"/>
        <v>X</v>
      </c>
      <c r="GH32" s="2531"/>
      <c r="GI32" s="3189" t="str">
        <f t="shared" si="19"/>
        <v/>
      </c>
      <c r="GJ32" s="2598"/>
      <c r="GK32" s="3173">
        <f t="shared" si="20"/>
        <v>0</v>
      </c>
      <c r="GL32" s="3173">
        <f t="shared" si="21"/>
        <v>0</v>
      </c>
      <c r="GM32" s="3173">
        <f t="shared" si="22"/>
        <v>0</v>
      </c>
      <c r="GN32" s="3174">
        <f t="shared" si="23"/>
        <v>0</v>
      </c>
      <c r="GO32" s="3174">
        <f t="shared" si="24"/>
        <v>0</v>
      </c>
      <c r="GP32" s="3175">
        <f t="shared" si="25"/>
        <v>0</v>
      </c>
      <c r="GQ32" s="3176">
        <f t="shared" si="26"/>
        <v>0</v>
      </c>
      <c r="GR32" s="3177">
        <f t="shared" si="27"/>
        <v>0</v>
      </c>
      <c r="GS32" s="3177">
        <f t="shared" si="28"/>
        <v>0</v>
      </c>
      <c r="GT32" s="3178">
        <f t="shared" si="29"/>
        <v>0</v>
      </c>
      <c r="GU32" s="3179"/>
      <c r="GV32" s="3178">
        <f t="shared" si="30"/>
        <v>0</v>
      </c>
      <c r="GW32" s="3177">
        <f t="shared" si="31"/>
        <v>0</v>
      </c>
      <c r="GX32" s="3180"/>
      <c r="GY32" s="3177">
        <f t="shared" si="32"/>
        <v>0</v>
      </c>
      <c r="GZ32" s="2593"/>
      <c r="HA32" s="277"/>
      <c r="HB32" s="277"/>
      <c r="HC32" s="277"/>
      <c r="HD32" s="277"/>
      <c r="HE32" s="277"/>
      <c r="HF32" s="277"/>
      <c r="HG32" s="277"/>
      <c r="HH32" s="277"/>
      <c r="HI32" s="277"/>
      <c r="HJ32" s="277"/>
      <c r="HK32" s="277"/>
      <c r="HL32" s="277"/>
      <c r="HM32" s="277"/>
      <c r="HN32" s="277"/>
      <c r="HO32" s="277"/>
    </row>
    <row r="33" spans="1:223" ht="18" customHeight="1" thickBot="1" x14ac:dyDescent="0.35">
      <c r="A33" s="308" t="s">
        <v>147</v>
      </c>
      <c r="B33" s="1453"/>
      <c r="C33" s="1453"/>
      <c r="D33" s="1453"/>
      <c r="E33" s="1453"/>
      <c r="F33" s="1453"/>
      <c r="G33" s="1453"/>
      <c r="H33" s="1454"/>
      <c r="I33" s="1455">
        <f>'3a Staff Plan'!V125+'3a Staff Plan'!V123-I16</f>
        <v>0</v>
      </c>
      <c r="J33" s="1456"/>
      <c r="K33" s="1456"/>
      <c r="L33" s="755"/>
      <c r="M33" s="1453"/>
      <c r="N33" s="1453"/>
      <c r="O33" s="1453"/>
      <c r="P33" s="1453"/>
      <c r="Q33" s="1453"/>
      <c r="R33" s="1453"/>
      <c r="S33" s="1454"/>
      <c r="T33" s="1455">
        <f>'3b Activity Plan'!V169+'3b Activity Plan'!V167-T16</f>
        <v>2357.9899999999998</v>
      </c>
      <c r="U33" s="3100"/>
      <c r="V33" s="1456"/>
      <c r="W33" s="446" t="s">
        <v>147</v>
      </c>
      <c r="X33" s="2644"/>
      <c r="Y33" s="2644"/>
      <c r="Z33" s="2642">
        <f>Z29</f>
        <v>0</v>
      </c>
      <c r="AA33" s="755"/>
      <c r="AB33" s="1362">
        <f t="shared" si="33"/>
        <v>0</v>
      </c>
      <c r="AC33" s="1362">
        <f t="shared" si="34"/>
        <v>0</v>
      </c>
      <c r="AD33" s="755"/>
      <c r="AE33" s="1362">
        <f t="shared" si="35"/>
        <v>43840</v>
      </c>
      <c r="AF33" s="1362">
        <f t="shared" si="36"/>
        <v>43923</v>
      </c>
      <c r="AG33" s="755"/>
      <c r="AH33" s="770">
        <f t="shared" si="44"/>
        <v>43840</v>
      </c>
      <c r="AI33" s="770">
        <f t="shared" si="45"/>
        <v>43923</v>
      </c>
      <c r="AJ33" s="755"/>
      <c r="AK33" s="770">
        <f t="shared" si="37"/>
        <v>43840</v>
      </c>
      <c r="AL33" s="770">
        <f t="shared" si="38"/>
        <v>43923</v>
      </c>
      <c r="AM33" s="1523"/>
      <c r="AN33" s="755"/>
      <c r="AO33" s="771" t="str">
        <f>$DA$9</f>
        <v>Manual ETC - Jacobs</v>
      </c>
      <c r="AP33" s="771">
        <v>0</v>
      </c>
      <c r="AQ33" s="771">
        <v>0</v>
      </c>
      <c r="AR33" s="771">
        <v>0</v>
      </c>
      <c r="AS33" s="771">
        <v>0</v>
      </c>
      <c r="AT33" s="771">
        <v>0</v>
      </c>
      <c r="AU33" s="771" t="str">
        <f>$DT$8</f>
        <v>Physical % Complete</v>
      </c>
      <c r="AV33" s="771" t="s">
        <v>198</v>
      </c>
      <c r="AW33" s="755"/>
      <c r="AX33" s="1644"/>
      <c r="AY33" s="1644"/>
      <c r="AZ33" s="755"/>
      <c r="BA33" s="847"/>
      <c r="BB33" s="774"/>
      <c r="BC33" s="847" t="s">
        <v>370</v>
      </c>
      <c r="BD33" s="847" t="str">
        <f t="shared" si="39"/>
        <v>Non-Labor</v>
      </c>
      <c r="BE33" s="755"/>
      <c r="BF33" s="847" t="str">
        <f t="shared" si="47"/>
        <v>B23672.05</v>
      </c>
      <c r="BG33" s="847" t="str">
        <f t="shared" si="2"/>
        <v>B.PN.CMP</v>
      </c>
      <c r="BH33" s="847" t="str">
        <f>IF(CP33=0,0,CHOOSE($EA$8-3,BG33,BG33&amp;"."&amp;EV33,BG33&amp;"."&amp;EM33&amp;"."&amp;EV33,BG33&amp;"."&amp;EM33&amp;"."&amp;EP33&amp;"."&amp;EV33,BG33&amp;"."&amp;EM33&amp;"."&amp;EP33&amp;"."&amp;ES33&amp;"."&amp;EV33))</f>
        <v>B.PN.CMP.C.C</v>
      </c>
      <c r="BI33" s="847" t="str">
        <f t="shared" si="3"/>
        <v>B.PN.CMP.C.C</v>
      </c>
      <c r="BJ33" s="2657"/>
      <c r="BK33" s="847" t="str">
        <f t="shared" si="40"/>
        <v>C</v>
      </c>
      <c r="BL33" s="847" t="b">
        <f t="shared" si="41"/>
        <v>1</v>
      </c>
      <c r="BM33" s="755"/>
      <c r="BN33" s="4031"/>
      <c r="BO33" s="4031"/>
      <c r="BP33" s="755"/>
      <c r="BQ33" s="806"/>
      <c r="BR33" s="806"/>
      <c r="BS33" s="806"/>
      <c r="BT33" s="806"/>
      <c r="BU33" s="806"/>
      <c r="BV33" s="806"/>
      <c r="BW33" s="806"/>
      <c r="BX33" s="806"/>
      <c r="BY33" s="806"/>
      <c r="BZ33" s="806"/>
      <c r="CA33" s="806"/>
      <c r="CB33" s="806"/>
      <c r="CC33" s="806"/>
      <c r="CD33" s="806"/>
      <c r="CE33" s="806"/>
      <c r="CF33" s="806"/>
      <c r="CG33" s="806"/>
      <c r="CH33" s="806"/>
      <c r="CI33" s="806"/>
      <c r="CJ33" s="806"/>
      <c r="CK33" s="806"/>
      <c r="CL33" s="806"/>
      <c r="CM33" s="806"/>
      <c r="CN33" s="806"/>
      <c r="CO33" s="3225">
        <f t="shared" si="42"/>
        <v>0</v>
      </c>
      <c r="CP33" s="1204">
        <f>IFERROR(IF(FT33=0,0,1),0)</f>
        <v>1</v>
      </c>
      <c r="CQ33" s="1001"/>
      <c r="CR33" s="1001"/>
      <c r="CS33" s="2526"/>
      <c r="CT33" s="2527">
        <v>5</v>
      </c>
      <c r="CU33" s="2527">
        <f t="shared" si="4"/>
        <v>1</v>
      </c>
      <c r="CV33" s="2527">
        <f t="shared" si="5"/>
        <v>0</v>
      </c>
      <c r="CW33" s="2527" t="str">
        <f t="shared" si="43"/>
        <v>C</v>
      </c>
      <c r="CX33" s="755"/>
      <c r="CY33" s="2537"/>
      <c r="CZ33" s="771" t="str">
        <f t="shared" ref="CZ33:CZ64" si="49">IFERROR(INDEX(CZ$6:CZ$15,MATCH(DA33,DA$6:DA$15,0)),0)</f>
        <v>JCM4</v>
      </c>
      <c r="DA33" s="539" t="str">
        <f t="shared" ref="DA33:DA64" si="50">AO33</f>
        <v>Manual ETC - Jacobs</v>
      </c>
      <c r="DB33" s="2537"/>
      <c r="DC33" s="1358"/>
      <c r="DD33" s="1359"/>
      <c r="DE33" s="2537"/>
      <c r="DF33" s="1159"/>
      <c r="DG33" s="1160"/>
      <c r="DH33" s="2537"/>
      <c r="DI33" s="1159"/>
      <c r="DJ33" s="1160"/>
      <c r="DK33" s="2537"/>
      <c r="DL33" s="1159"/>
      <c r="DM33" s="1160"/>
      <c r="DN33" s="2537"/>
      <c r="DO33" s="1358"/>
      <c r="DP33" s="1359"/>
      <c r="DQ33" s="2537"/>
      <c r="DR33" s="2559"/>
      <c r="DS33" s="771" t="str">
        <f t="shared" si="6"/>
        <v>PCT</v>
      </c>
      <c r="DT33" s="720" t="str">
        <f t="shared" si="7"/>
        <v>Physical % Complete</v>
      </c>
      <c r="DU33" s="2537"/>
      <c r="DV33" s="2559"/>
      <c r="DW33" s="854" t="str">
        <f t="shared" si="8"/>
        <v>LIN</v>
      </c>
      <c r="DX33" s="720" t="str">
        <f t="shared" si="9"/>
        <v>Linear</v>
      </c>
      <c r="DY33" s="2572"/>
      <c r="DZ33" s="2537"/>
      <c r="EA33" s="868"/>
      <c r="EB33" s="2576" t="str">
        <f>$EB$16</f>
        <v>05</v>
      </c>
      <c r="EC33" s="2570"/>
      <c r="ED33" s="836" t="s">
        <v>52</v>
      </c>
      <c r="EE33" s="720" t="s">
        <v>235</v>
      </c>
      <c r="EF33" s="2570"/>
      <c r="EG33" s="1115" t="str">
        <f>IFERROR(INDEX('IPCS Data'!$L$8:$L$27,MATCH(EH33,'IPCS Data'!$M$8:$M$27,0)),0)</f>
        <v>PN</v>
      </c>
      <c r="EH33" s="1637" t="s">
        <v>4012</v>
      </c>
      <c r="EI33" s="2578" t="s">
        <v>5</v>
      </c>
      <c r="EJ33" s="1116" t="s">
        <v>632</v>
      </c>
      <c r="EK33" s="720" t="s">
        <v>933</v>
      </c>
      <c r="EL33" s="2578"/>
      <c r="EM33" s="1118" t="str">
        <f>IF($EA$8&gt;5,"C","0")</f>
        <v>C</v>
      </c>
      <c r="EN33" s="1119" t="s">
        <v>2827</v>
      </c>
      <c r="EO33" s="2537"/>
      <c r="EP33" s="1118" t="str">
        <f>IF($EA$8&gt;6,"C","0")</f>
        <v>0</v>
      </c>
      <c r="EQ33" s="1119" t="s">
        <v>2827</v>
      </c>
      <c r="ER33" s="2537"/>
      <c r="ES33" s="1118" t="str">
        <f>IF($EA$8&gt;7,"C","0")</f>
        <v>0</v>
      </c>
      <c r="ET33" s="1119" t="s">
        <v>2827</v>
      </c>
      <c r="EU33" s="2537"/>
      <c r="EV33" s="1116" t="str">
        <f>IF($EA$8&gt;4,"C","0")</f>
        <v>C</v>
      </c>
      <c r="EW33" s="836" t="s">
        <v>2827</v>
      </c>
      <c r="EX33" s="2562" t="s">
        <v>1491</v>
      </c>
      <c r="EY33" s="2533"/>
      <c r="EZ33" s="2561"/>
      <c r="FA33" s="3259" t="str">
        <f t="shared" si="10"/>
        <v>C</v>
      </c>
      <c r="FB33" s="3261" t="s">
        <v>2827</v>
      </c>
      <c r="FC33" s="274"/>
      <c r="FD33" s="2159">
        <f t="shared" si="11"/>
        <v>43840</v>
      </c>
      <c r="FE33" s="2159">
        <f t="shared" si="12"/>
        <v>43923</v>
      </c>
      <c r="FF33" s="274"/>
      <c r="FG33" s="2150"/>
      <c r="FH33" s="2150"/>
      <c r="FI33" s="2150"/>
      <c r="FJ33" s="2547" t="s">
        <v>5</v>
      </c>
      <c r="FK33" s="2150"/>
      <c r="FL33" s="2150"/>
      <c r="FM33" s="2150"/>
      <c r="FN33" s="2150"/>
      <c r="FO33" s="2150"/>
      <c r="FP33" s="2150"/>
      <c r="FQ33" s="2150"/>
      <c r="FR33" s="2150"/>
      <c r="FS33" s="2555" t="s">
        <v>5</v>
      </c>
      <c r="FT33" s="2155">
        <f>(I33*$B$22)+(T33*$M$22)</f>
        <v>2357.9899999999998</v>
      </c>
      <c r="FU33" s="2150"/>
      <c r="FV33" s="2150"/>
      <c r="FW33" s="2556" t="s">
        <v>5</v>
      </c>
      <c r="FX33" s="2155">
        <f t="shared" ref="FX33:FX64" si="51">FM33+FT33</f>
        <v>2357.9899999999998</v>
      </c>
      <c r="FY33" s="2150"/>
      <c r="FZ33" s="2539" t="s">
        <v>5</v>
      </c>
      <c r="GA33" s="2155">
        <f t="shared" si="48"/>
        <v>-2357.9899999999998</v>
      </c>
      <c r="GB33" s="2150"/>
      <c r="GC33" s="2150"/>
      <c r="GD33" s="2533"/>
      <c r="GE33" s="3197" t="str">
        <f t="shared" si="16"/>
        <v>C</v>
      </c>
      <c r="GF33" s="3197" t="str">
        <f t="shared" si="17"/>
        <v>PC ALLOCATION</v>
      </c>
      <c r="GG33" s="3191" t="str">
        <f t="shared" si="18"/>
        <v/>
      </c>
      <c r="GH33" s="2531"/>
      <c r="GI33" s="3189" t="str">
        <f t="shared" si="19"/>
        <v/>
      </c>
      <c r="GJ33" s="2598"/>
      <c r="GK33" s="3173">
        <f t="shared" si="20"/>
        <v>0</v>
      </c>
      <c r="GL33" s="3173">
        <f t="shared" si="21"/>
        <v>0</v>
      </c>
      <c r="GM33" s="3173">
        <f t="shared" si="22"/>
        <v>0</v>
      </c>
      <c r="GN33" s="3174">
        <f t="shared" si="23"/>
        <v>0</v>
      </c>
      <c r="GO33" s="3174">
        <f t="shared" si="24"/>
        <v>0</v>
      </c>
      <c r="GP33" s="3175">
        <f t="shared" si="25"/>
        <v>0</v>
      </c>
      <c r="GQ33" s="3176">
        <f t="shared" si="26"/>
        <v>0</v>
      </c>
      <c r="GR33" s="3177">
        <f t="shared" si="27"/>
        <v>0</v>
      </c>
      <c r="GS33" s="3177">
        <f t="shared" si="28"/>
        <v>0</v>
      </c>
      <c r="GT33" s="3178">
        <f t="shared" si="29"/>
        <v>0</v>
      </c>
      <c r="GU33" s="3179"/>
      <c r="GV33" s="3178">
        <f t="shared" si="30"/>
        <v>0</v>
      </c>
      <c r="GW33" s="3177">
        <f t="shared" si="31"/>
        <v>0</v>
      </c>
      <c r="GX33" s="3180"/>
      <c r="GY33" s="3177">
        <f t="shared" si="32"/>
        <v>0</v>
      </c>
      <c r="GZ33" s="2593"/>
      <c r="HA33" s="277"/>
      <c r="HB33" s="277"/>
      <c r="HC33" s="277"/>
      <c r="HD33" s="277"/>
      <c r="HE33" s="277"/>
      <c r="HF33" s="277"/>
      <c r="HG33" s="277"/>
      <c r="HH33" s="277"/>
      <c r="HI33" s="277"/>
      <c r="HJ33" s="277"/>
      <c r="HK33" s="277"/>
      <c r="HL33" s="277"/>
      <c r="HM33" s="277"/>
      <c r="HN33" s="277"/>
      <c r="HO33" s="277"/>
    </row>
    <row r="34" spans="1:223" ht="18" customHeight="1" thickTop="1" x14ac:dyDescent="0.3">
      <c r="A34" s="755"/>
      <c r="B34" s="805">
        <f>SUMIFS('3a Staff Plan'!$T$129:$T$305,'3a Staff Plan'!$DF$129:$DF$305,1,'3a Staff Plan'!$DA$129:$DA$305,1,'3a Staff Plan'!$J$129:$J$305,$FA34)</f>
        <v>0</v>
      </c>
      <c r="C34" s="805">
        <f>SUMIFS('3a Staff Plan'!$U$129:$U$305,'3a Staff Plan'!$DF$129:$DF$305,1,'3a Staff Plan'!$DA$129:$DA$305,1,'3a Staff Plan'!$J$129:$J$305,$FA34)</f>
        <v>0</v>
      </c>
      <c r="D34" s="805">
        <f>SUMIFS('3a Staff Plan'!$Z$129:$Z$305,'3a Staff Plan'!$DF$129:$DF$305,1,'3a Staff Plan'!$DA$129:$DA$305,1,'3a Staff Plan'!$J$129:$J$305,$FA34)</f>
        <v>0</v>
      </c>
      <c r="E34" s="805">
        <f>SUMIFS('3a Staff Plan'!$Y$129:$Y$305,'3a Staff Plan'!$DF$129:$DF$305,1,'3a Staff Plan'!$DA$129:$DA$305,1,'3a Staff Plan'!$J$129:$J$305,$FA34)</f>
        <v>0</v>
      </c>
      <c r="F34" s="805">
        <f>SUMIFS('3a Staff Plan'!$X$129:$X$305,'3a Staff Plan'!$DF$129:$DF$305,1,'3a Staff Plan'!$DA$129:$DA$305,1,'3a Staff Plan'!$AG$129:$AG$305,1,'3a Staff Plan'!$J$129:$J$305,$FA34)</f>
        <v>0</v>
      </c>
      <c r="G34" s="805">
        <f>IF($G$24=0,0,SUMIFS('3a Staff Plan'!$W$129:$W$305,'3a Staff Plan'!$DF$129:$DF$305,1,'3a Staff Plan'!$DA$129:$DA$305,1,'3a Staff Plan'!$J$129:$J$305,$FA34))</f>
        <v>0</v>
      </c>
      <c r="H34" s="805">
        <f t="shared" ref="H34:H65" si="52">IFERROR(-F34*H$31/SUM(F$34:F$95),0)</f>
        <v>0</v>
      </c>
      <c r="I34" s="805">
        <f>SUMIFS('3a Staff Plan'!$V$129:$V$305,'3a Staff Plan'!$DF$129:$DF$305,1,'3a Staff Plan'!$DA$129:$DA$305,1,'3a Staff Plan'!$J$129:$J$305,$FA34)</f>
        <v>0</v>
      </c>
      <c r="J34" s="805">
        <f>SUMIFS('3a Staff Plan'!$AB$129:$AB$305,'3a Staff Plan'!$DF$129:$DF$305,1,'3a Staff Plan'!$DA$129:$DA$305,1,'3a Staff Plan'!$J$129:$J$305,$FA34)</f>
        <v>0</v>
      </c>
      <c r="K34" s="805">
        <f>SUMIFS('3a Staff Plan'!$AA$129:$AA$305,'3a Staff Plan'!$DF$129:$DF$305,1,'3a Staff Plan'!$DA$129:$DA$305,1,'3a Staff Plan'!$AG$129:$AG$305,1,'3a Staff Plan'!$J$129:$J$305,$FA34)</f>
        <v>0</v>
      </c>
      <c r="L34" s="755"/>
      <c r="M34" s="805">
        <f>SUMIFS('3b Activity Plan'!$T$173:$T$365,'3b Activity Plan'!$CY$173:$CY$365,1,'3b Activity Plan'!$CT$173:$CT$365,1,'3b Activity Plan'!$J$173:$J$365,$FA34)</f>
        <v>0</v>
      </c>
      <c r="N34" s="805">
        <f>SUMIFS('3b Activity Plan'!$U$173:$U$365,'3b Activity Plan'!$CY$173:$CY$365,1,'3b Activity Plan'!$CT$173:$CT$365,1,'3b Activity Plan'!$J$173:$J$365,$FA34)</f>
        <v>0</v>
      </c>
      <c r="O34" s="805">
        <f>SUMIFS('3b Activity Plan'!$Z$173:$Z$365,'3b Activity Plan'!$CY$173:$CY$365,1,'3b Activity Plan'!$CT$173:$CT$365,1,'3b Activity Plan'!$J$173:$J$365,$FA34)</f>
        <v>0</v>
      </c>
      <c r="P34" s="805">
        <f>SUMIFS('3b Activity Plan'!$Y$173:$Y$365,'3b Activity Plan'!$CY$173:$CY$365,1,'3b Activity Plan'!$CT$173:$CT$365,1,'3b Activity Plan'!$J$173:$J$365,$FA34)</f>
        <v>0</v>
      </c>
      <c r="Q34" s="805">
        <f>SUMIFS('3b Activity Plan'!$X$173:$X$365,'3b Activity Plan'!$CY$173:$CY$365,1,'3b Activity Plan'!$CT$173:$CT$365,1,'3b Activity Plan'!$J$173:$J$365,$FA34)</f>
        <v>0</v>
      </c>
      <c r="R34" s="805">
        <f>IF($R$24=0,0,SUMIFS('3b Activity Plan'!$W$173:$W$365,'3b Activity Plan'!$CY$173:$CY$365,1,'3b Activity Plan'!$CT$173:$CT$365,1,'3b Activity Plan'!$J$173:$J$365,$FA34))</f>
        <v>0</v>
      </c>
      <c r="S34" s="805">
        <f t="shared" ref="S34:S65" si="53">IFERROR(-Q34*S$31/SUM(Q$34:Q$95),0)</f>
        <v>0</v>
      </c>
      <c r="T34" s="805">
        <f>SUMIFS('3b Activity Plan'!$V$173:$V$365,'3b Activity Plan'!$CY$173:$CY$365,1,'3b Activity Plan'!$CT$173:$CT$365,1,'3b Activity Plan'!$J$173:$J$365,$FA34)</f>
        <v>0</v>
      </c>
      <c r="U34" s="805">
        <f>SUMIFS('3b Activity Plan'!$AB$173:$AB$365,'3b Activity Plan'!$CY$173:$CY$365,1,'3b Activity Plan'!$CT$173:$CT$365,1,'3b Activity Plan'!$J$173:$J$365,$FA34)</f>
        <v>0</v>
      </c>
      <c r="V34" s="805">
        <f>SUMIFS('3b Activity Plan'!$AA$173:$AA$365,'3b Activity Plan'!$CY$173:$CY$365,1,'3b Activity Plan'!$CT$173:$CT$365,1,'3b Activity Plan'!$J$173:$J$365,$FA34)</f>
        <v>0</v>
      </c>
      <c r="W34" s="755"/>
      <c r="X34" s="2640">
        <f>SUMIFS('3b Activity Plan'!$FU$173:$FU$365,'3b Activity Plan'!$J$173:$J$365,$FA34)</f>
        <v>0</v>
      </c>
      <c r="Y34" s="2640">
        <f>SUMIFS('3b Activity Plan'!$FW$173:$FW$365,'3b Activity Plan'!$J$173:$J$365,$FA34)</f>
        <v>0</v>
      </c>
      <c r="Z34" s="2638">
        <f>IF($M$22=1,IFERROR(Y34/X34*100,0),0)</f>
        <v>0</v>
      </c>
      <c r="AA34" s="755"/>
      <c r="AB34" s="775">
        <f>_xlfn.MINIFS('3a Staff Plan'!$EB$129:$EB$304,'3a Staff Plan'!$DF$129:$DF$304,1,'3a Staff Plan'!$J$129:$J$304,FA34)</f>
        <v>0</v>
      </c>
      <c r="AC34" s="775">
        <f>_xlfn.MAXIFS('3a Staff Plan'!$EC$129:$EC$304,'3a Staff Plan'!$DF$129:$DF$304,1,'3a Staff Plan'!$J$129:$J$304,FA34)</f>
        <v>0</v>
      </c>
      <c r="AD34" s="755"/>
      <c r="AE34" s="775">
        <f>_xlfn.MINIFS('3b Activity Plan'!$GN$173:$GN$365,'3b Activity Plan'!$CY$173:$CY$365,1,'3b Activity Plan'!$J$173:$J$365,$FA34)</f>
        <v>0</v>
      </c>
      <c r="AF34" s="775">
        <f>_xlfn.MAXIFS('3b Activity Plan'!$GO$173:$GO$365,'3b Activity Plan'!$CY$173:$CY$365,1,'3b Activity Plan'!$J$173:$J$365,$FA34)</f>
        <v>0</v>
      </c>
      <c r="AG34" s="755"/>
      <c r="AH34" s="775">
        <f t="shared" ref="AH34:AH65" si="54">IF($FA34=0,0,CHOOSE($AH$22,AB34,AE34,IF($AB$26=0,AE34,IF($AE$26=0,AB34,MIN(AB34,AE34)))))</f>
        <v>0</v>
      </c>
      <c r="AI34" s="775">
        <f t="shared" ref="AI34:AI65" si="55">IF($FB34=0,0,CHOOSE($AH$22,AC34,AF34,IF(AC34=0,AF34,IF(AF34=0,AC34,MAX(AC34,AF34)))))</f>
        <v>0</v>
      </c>
      <c r="AJ34" s="755"/>
      <c r="AK34" s="775">
        <f t="shared" ref="AK34:AK65" si="56">IF(AND($CP34=1,AH34=0),$AH$26,AH34)</f>
        <v>0</v>
      </c>
      <c r="AL34" s="775">
        <f t="shared" ref="AL34:AL65" si="57">IF(AND($CP34=1,AI34=0),$AI$26,AI34)</f>
        <v>0</v>
      </c>
      <c r="AM34" s="776">
        <f t="shared" ref="AM34:AM65" si="58">IF(AND($CP34=1,AH34=0),1,0)</f>
        <v>0</v>
      </c>
      <c r="AN34" s="755"/>
      <c r="AO34" s="499">
        <f t="shared" ref="AO34:AO65" si="59">IF(OR($ED34="B",$ED34="H",$ED34="C"),$DA$9,0)</f>
        <v>0</v>
      </c>
      <c r="AP34" s="499">
        <f t="shared" ref="AP34:AP65" si="60">IF(OR($ED34="B",$ED34="H",$ED34="C"),$DD$9,0)</f>
        <v>0</v>
      </c>
      <c r="AQ34" s="499">
        <f t="shared" ref="AQ34:AQ65" si="61">IF(OR($ED34="A",$ED34="G"),$DG$13,0)</f>
        <v>0</v>
      </c>
      <c r="AR34" s="499">
        <f t="shared" ref="AR34:AR65" si="62">IF(OR($ED34="A",$ED34="G"),$DJ$11,0)</f>
        <v>0</v>
      </c>
      <c r="AS34" s="499">
        <f t="shared" ref="AS34:AS65" si="63">IF(OR($ED34="A",$ED34="G"),$DM$12,0)</f>
        <v>0</v>
      </c>
      <c r="AT34" s="499">
        <f t="shared" ref="AT34:AT65" si="64">IF(OR($ED34="A",$ED34="G"),IF($EG$11=1,$DP$12,$DP$11),0)</f>
        <v>0</v>
      </c>
      <c r="AU34" s="499">
        <f t="shared" ref="AU34:AU65" si="65">IF($CP34=0,0,$DT$8)</f>
        <v>0</v>
      </c>
      <c r="AV34" s="499">
        <f>IFERROR(INDEX('IPCS Data'!$R$8:$R$109,MATCH(EJ34,'IPCS Data'!$O$8:$O$109,0)),0)</f>
        <v>0</v>
      </c>
      <c r="AW34" s="755"/>
      <c r="AX34" s="499">
        <f>IFERROR(INDEX('IPCS Data'!$P$18:$P$110,MATCH(EK34,'IPCS Data'!$Q$18:$Q$110,0)),0)</f>
        <v>0</v>
      </c>
      <c r="AY34" s="1949" t="str">
        <f>EV34&amp;EW34</f>
        <v/>
      </c>
      <c r="AZ34" s="755"/>
      <c r="BA34" s="769" t="str">
        <f>IFERROR(IF(MATCH(EJ34,'IPCS Data'!$O$8:$O$110,0)&gt;=25,"L","N"),"N")</f>
        <v>N</v>
      </c>
      <c r="BB34" s="774"/>
      <c r="BC34" s="769" t="str">
        <f>IF(OR(ED34="A",ED34="G",ED34="L"),"L","N")</f>
        <v>N</v>
      </c>
      <c r="BD34" s="769" t="str">
        <f t="shared" si="39"/>
        <v>Non-Labor</v>
      </c>
      <c r="BE34" s="755"/>
      <c r="BF34" s="769" t="str">
        <f>IF($EG$8=1,$BF$29,$EA$16&amp;"."&amp;TEXT(EB34,"00"))</f>
        <v>B23672.05</v>
      </c>
      <c r="BG34" s="769" t="str">
        <f t="shared" si="2"/>
        <v>0.0.0</v>
      </c>
      <c r="BH34" s="769">
        <f t="shared" ref="BH34:BH65" si="66">IF(CP34=0,0,CHOOSE($EA$8-3,BG34,BG34&amp;"."&amp;BK34,BG34&amp;"."&amp;EM34&amp;"."&amp;BK34,BG34&amp;"."&amp;EM34&amp;"."&amp;EP34&amp;"."&amp;BK34,BG34&amp;"."&amp;EM34&amp;"."&amp;EP34&amp;"."&amp;ES34&amp;"."&amp;BK34))</f>
        <v>0</v>
      </c>
      <c r="BI34" s="769">
        <f t="shared" si="3"/>
        <v>0</v>
      </c>
      <c r="BJ34" s="769">
        <f>BI34</f>
        <v>0</v>
      </c>
      <c r="BK34" s="1520">
        <f t="shared" si="40"/>
        <v>0</v>
      </c>
      <c r="BL34" s="769" t="b">
        <f>AND(ISBLANK(EE34),ISBLANK(EH34),ISBLANK(EK34))</f>
        <v>1</v>
      </c>
      <c r="BM34" s="755"/>
      <c r="BN34" s="1672">
        <f t="shared" ref="BN34:BN65" si="67">IFERROR(INDEX($BN$6:$BN$26,MATCH(ED34,$BM$6:$BM$26,0)),$BN$27)</f>
        <v>0</v>
      </c>
      <c r="BO34" s="1672">
        <f t="shared" ref="BO34:BO65" si="68">IFERROR(INDEX($BO$6:$BO$26,MATCH(ED34,$BM$6:$BM$26,0)),$BO$27)</f>
        <v>110</v>
      </c>
      <c r="BP34" s="755"/>
      <c r="BQ34" s="719">
        <f>IF(AND((COUNTIFS('3a Staff Plan'!$J$129:$J$305,FA34)*$B$22)+(COUNTIFS('3b Activity Plan'!$J$173:$J$365,FA34)*$M$22)=0,FB34&gt;0),1,0)</f>
        <v>0</v>
      </c>
      <c r="BR34" s="719">
        <f>IF(OR(FX34&lt;&gt;0,FY34&lt;&gt;0),1,0)</f>
        <v>0</v>
      </c>
      <c r="BS34" s="719">
        <f t="shared" ref="BS34:BS65" si="69">IF(AND(CP34=1,(FG34+FX34)=0),1,0)</f>
        <v>0</v>
      </c>
      <c r="BT34" s="719">
        <f t="shared" ref="BT34:BT65" si="70">IF(EM34=0,0,IF(ISERROR(MATCH(EM34,$EM$100:$EM$139,0)),1,0))</f>
        <v>0</v>
      </c>
      <c r="BU34" s="719">
        <f t="shared" ref="BU34:BU65" si="71">IF(AND(BA34&lt;&gt;BC34,ED34&lt;&gt;"C"),1,0)</f>
        <v>0</v>
      </c>
      <c r="BV34" s="719">
        <f t="shared" ref="BV34:BV65" si="72">IF(IF(FA34=0,0,COUNTIFS($FA$34:$FA$95,FA34))&gt;1,1,0)</f>
        <v>0</v>
      </c>
      <c r="BW34" s="719">
        <f t="shared" ref="BW34:BW65" si="73">IF(IF(FB34=0,0,COUNTIFS($FB$34:$FB$95,FB34))&gt;1,1,0)</f>
        <v>0</v>
      </c>
      <c r="BX34" s="719">
        <f t="shared" ref="BX34:BX65" si="74">IF(IF(EV34=0,0,COUNTIFS($EV$34:$EV$95,EV34))&gt;1,1,0)</f>
        <v>0</v>
      </c>
      <c r="BY34" s="719">
        <f t="shared" ref="BY34:BY65" si="75">IF(IF(EW34=0,0,COUNTIFS($AY$34:$AY$95,AY34))&gt;1,1,0)</f>
        <v>0</v>
      </c>
      <c r="BZ34" s="719">
        <f>IF(BX34+BY34=1,1,0)</f>
        <v>0</v>
      </c>
      <c r="CA34" s="719">
        <f>IF(LEN(FA34)&gt;25,1,0)</f>
        <v>0</v>
      </c>
      <c r="CB34" s="1671">
        <f t="shared" ref="CB34:CB65" si="76">1-IF(CP34=0,1,CHOOSE($EA$8-3,AND(ED34&gt;0,EG34&gt;0,EJ34&gt;0),AND(ED34&gt;0,EG34&gt;0,EJ34&gt;0,EV34&gt;0),AND(ED34&gt;0,EG34&gt;0,EJ34&gt;0,EM34&gt;0,EV34&gt;0),AND(ED34&gt;0,EG34&gt;0,EJ34&gt;0,EM34&gt;0,EP34&gt;0,EV34&gt;0),AND(ED34&gt;0,EG34&gt;0,EJ34&gt;0,EM34&gt;0,EP34&gt;0,ES34&gt;0,EV34&gt;0))*1)</f>
        <v>0</v>
      </c>
      <c r="CC34" s="1671"/>
      <c r="CD34" s="1671"/>
      <c r="CE34" s="1671">
        <f t="shared" ref="CE34:CE65" si="77">IF(NOT(ISERROR(FIND(".",EV34))),1,0)</f>
        <v>0</v>
      </c>
      <c r="CF34" s="1671">
        <f>IF(NOT(ISERROR(FIND("#",$EV34))),1,0)</f>
        <v>0</v>
      </c>
      <c r="CG34" s="1671">
        <f>IF(NOT(ISERROR(FIND(":",$EV34))),1,0)</f>
        <v>0</v>
      </c>
      <c r="CH34" s="1671">
        <f>IF(NOT(ISERROR(FIND("&amp;",$EV34))),1,0)</f>
        <v>0</v>
      </c>
      <c r="CI34" s="1671">
        <f>IF(NOT(ISERROR(FIND("!",$EV34))),1,0)</f>
        <v>0</v>
      </c>
      <c r="CJ34" s="719">
        <f>IF(NOT(ISERROR(FIND(".",$EM34))),1,0)</f>
        <v>0</v>
      </c>
      <c r="CK34" s="1671">
        <f>IF(NOT(ISERROR(FIND("#",$EM34))),1,0)</f>
        <v>0</v>
      </c>
      <c r="CL34" s="1671">
        <f>IF(NOT(ISERROR(FIND(":",$EM34))),1,0)</f>
        <v>0</v>
      </c>
      <c r="CM34" s="1671">
        <f>IF(NOT(ISERROR(FIND("&amp;",$EM34))),1,0)</f>
        <v>0</v>
      </c>
      <c r="CN34" s="1671">
        <f>IF(NOT(ISERROR(FIND("!",$EM34))),1,0)</f>
        <v>0</v>
      </c>
      <c r="CO34" s="1671">
        <f t="shared" si="42"/>
        <v>0</v>
      </c>
      <c r="CP34" s="719">
        <f t="shared" ref="CP34:CP83" si="78">IF(FB34&gt;0,1,0)</f>
        <v>0</v>
      </c>
      <c r="CQ34" s="719">
        <f>ROW()-ROW($CQ$33)</f>
        <v>1</v>
      </c>
      <c r="CR34" s="719">
        <f>IF(CP34=1,CQ34,0)</f>
        <v>0</v>
      </c>
      <c r="CS34" s="2526"/>
      <c r="CT34" s="2527">
        <f>ROW()-ROW($CQ$28)</f>
        <v>6</v>
      </c>
      <c r="CU34" s="2527">
        <f t="shared" si="4"/>
        <v>0</v>
      </c>
      <c r="CV34" s="2527">
        <f t="shared" si="5"/>
        <v>0</v>
      </c>
      <c r="CW34" s="2527">
        <f t="shared" si="43"/>
        <v>0</v>
      </c>
      <c r="CX34" s="755"/>
      <c r="CY34" s="2537"/>
      <c r="CZ34" s="499">
        <f t="shared" si="49"/>
        <v>0</v>
      </c>
      <c r="DA34" s="1107">
        <f t="shared" si="50"/>
        <v>0</v>
      </c>
      <c r="DB34" s="2537"/>
      <c r="DC34" s="499">
        <f t="shared" ref="DC34:DC65" si="79">IFERROR(INDEX(DC$6:DC$15,MATCH(DD34,DD$6:DD$15,0)),0)</f>
        <v>0</v>
      </c>
      <c r="DD34" s="1107">
        <f t="shared" ref="DD34:DD65" si="80">AP34</f>
        <v>0</v>
      </c>
      <c r="DE34" s="2537"/>
      <c r="DF34" s="499">
        <f t="shared" ref="DF34:DF65" si="81">IFERROR(INDEX(DF$6:DF$15,MATCH(DG34,DG$6:DG$15,0)),0)</f>
        <v>0</v>
      </c>
      <c r="DG34" s="1107">
        <f t="shared" ref="DG34:DG65" si="82">AQ34</f>
        <v>0</v>
      </c>
      <c r="DH34" s="2537"/>
      <c r="DI34" s="499">
        <f t="shared" ref="DI34:DI65" si="83">IFERROR(INDEX(DI$6:DI$15,MATCH(DJ34,DJ$6:DJ$15,0)),0)</f>
        <v>0</v>
      </c>
      <c r="DJ34" s="1107">
        <f t="shared" ref="DJ34:DJ65" si="84">AR34</f>
        <v>0</v>
      </c>
      <c r="DK34" s="2537"/>
      <c r="DL34" s="499">
        <f t="shared" ref="DL34:DL65" si="85">IFERROR(INDEX(DL$6:DL$15,MATCH(DM34,DM$6:DM$15,0)),0)</f>
        <v>0</v>
      </c>
      <c r="DM34" s="1107">
        <f t="shared" ref="DM34:DM65" si="86">AS34</f>
        <v>0</v>
      </c>
      <c r="DN34" s="2537"/>
      <c r="DO34" s="499">
        <f t="shared" ref="DO34:DO65" si="87">IFERROR(INDEX(DO$6:DO$15,MATCH(DP34,DP$6:DP$15,0)),0)</f>
        <v>0</v>
      </c>
      <c r="DP34" s="1107">
        <f t="shared" ref="DP34:DP65" si="88">AT34</f>
        <v>0</v>
      </c>
      <c r="DQ34" s="2537"/>
      <c r="DR34" s="2559"/>
      <c r="DS34" s="499">
        <f t="shared" si="6"/>
        <v>0</v>
      </c>
      <c r="DT34" s="1105">
        <f t="shared" si="7"/>
        <v>0</v>
      </c>
      <c r="DU34" s="2537"/>
      <c r="DV34" s="2559"/>
      <c r="DW34" s="2312">
        <f t="shared" si="8"/>
        <v>0</v>
      </c>
      <c r="DX34" s="1105">
        <f t="shared" si="9"/>
        <v>0</v>
      </c>
      <c r="DY34" s="2572"/>
      <c r="DZ34" s="2537"/>
      <c r="EA34" s="2573"/>
      <c r="EB34" s="2577"/>
      <c r="EC34" s="2570"/>
      <c r="ED34" s="814">
        <f>IFERROR(INDEX('IPCS Data'!$H$8:$H$30,MATCH(EE34,'IPCS Data'!$I$8:$I$30,0)),0)</f>
        <v>0</v>
      </c>
      <c r="EE34" s="718"/>
      <c r="EF34" s="2570"/>
      <c r="EG34" s="499">
        <f>IFERROR(INDEX('IPCS Data'!$L$8:$L$27,MATCH(EH34,'IPCS Data'!$M$8:$M$27,0)),0)</f>
        <v>0</v>
      </c>
      <c r="EH34" s="718"/>
      <c r="EI34" s="2578" t="s">
        <v>5</v>
      </c>
      <c r="EJ34" s="499">
        <f>IFERROR(INDEX('IPCS Data'!$O$8:$O$110,MATCH(EK34,'IPCS Data'!$Q$8:$Q$110,0)),0)</f>
        <v>0</v>
      </c>
      <c r="EK34" s="718"/>
      <c r="EL34" s="2578"/>
      <c r="EM34" s="840">
        <f t="shared" ref="EM34:EM66" si="89">IFERROR(INDEX($EM$100:$EM$139,MATCH(EN34,$EN$100:$EN$139,0)),0)</f>
        <v>0</v>
      </c>
      <c r="EN34" s="841"/>
      <c r="EO34" s="2537"/>
      <c r="EP34" s="842">
        <f t="shared" ref="EP34:EP66" si="90">IFERROR(INDEX($EP$100:$EP$139,MATCH(EQ34,$EQ$100:$EQ$139,0)),0)</f>
        <v>0</v>
      </c>
      <c r="EQ34" s="841"/>
      <c r="ER34" s="2537"/>
      <c r="ES34" s="840">
        <f t="shared" ref="ES34:ES66" si="91">IFERROR(INDEX($ES$100:$ES$139,MATCH(ET34,$ET$100:$ET$139,0)),0)</f>
        <v>0</v>
      </c>
      <c r="ET34" s="841"/>
      <c r="EU34" s="2537"/>
      <c r="EV34" s="1496"/>
      <c r="EW34" s="1682"/>
      <c r="EX34" s="2563">
        <f t="shared" ref="EX34:EX65" si="92">CQ34</f>
        <v>1</v>
      </c>
      <c r="EY34" s="2533"/>
      <c r="EZ34" s="2561"/>
      <c r="FA34" s="1324">
        <f t="shared" si="10"/>
        <v>0</v>
      </c>
      <c r="FB34" s="2628">
        <f t="shared" ref="FB34:FB65" si="93">IF($EA$8=4,AX34,EW34)</f>
        <v>0</v>
      </c>
      <c r="FC34" s="274"/>
      <c r="FD34" s="2625">
        <f t="shared" si="11"/>
        <v>0</v>
      </c>
      <c r="FE34" s="2625">
        <f t="shared" si="12"/>
        <v>0</v>
      </c>
      <c r="FF34" s="274"/>
      <c r="FG34" s="2616">
        <f t="shared" ref="FG34:FG65" si="94">IF(ED34="C",0,(C34*$B$22)+(N34*$M$22)+FH34)</f>
        <v>0</v>
      </c>
      <c r="FH34" s="2616">
        <f t="shared" ref="FH34:FH65" si="95">IF(ED34="C",0,(B34*$B$22)+(M34*$M$22))</f>
        <v>0</v>
      </c>
      <c r="FI34" s="2616">
        <f t="shared" ref="FI34:FI65" si="96">FG34-FH34</f>
        <v>0</v>
      </c>
      <c r="FJ34" s="2610" t="s">
        <v>5</v>
      </c>
      <c r="FK34" s="2615">
        <f t="shared" ref="FK34:FK65" si="97">IF(ED34="C",0,(D34*$B$22)+(O34*$M$22))</f>
        <v>0</v>
      </c>
      <c r="FL34" s="2615">
        <f t="shared" ref="FL34:FL65" si="98">FM34-FK34</f>
        <v>0</v>
      </c>
      <c r="FM34" s="2616">
        <f t="shared" ref="FM34:FM65" si="99">IF(ED34="C",0,(E34*$B$22)+(P34*$M$22))</f>
        <v>0</v>
      </c>
      <c r="FN34" s="2621">
        <f t="shared" ref="FN34:FN65" si="100">IFERROR(FO34/FK34,0)</f>
        <v>0</v>
      </c>
      <c r="FO34" s="2615">
        <f t="shared" ref="FO34:FO65" si="101">IF(ED34="C",0,((F34+H34)*$B$22)+((Q34+S34)*$M$22))</f>
        <v>0</v>
      </c>
      <c r="FP34" s="2623">
        <f t="shared" ref="FP34:FP65" si="102">IFERROR(FM34/FG34,0)</f>
        <v>0</v>
      </c>
      <c r="FQ34" s="2621">
        <f t="shared" ref="FQ34:FQ65" si="103">IFERROR(FO34/FM34,0)</f>
        <v>0</v>
      </c>
      <c r="FR34" s="2623">
        <f t="shared" ref="FR34:FR65" si="104">IFERROR(FO34/FH34,0)</f>
        <v>0</v>
      </c>
      <c r="FS34" s="2611" t="s">
        <v>5</v>
      </c>
      <c r="FT34" s="2615">
        <f t="shared" ref="FT34:FT65" si="105">(J34*$B$22)+(U34*$M$22)+IF(ED34="C",(E34*$B$22)+(P34*$M$22),0)</f>
        <v>0</v>
      </c>
      <c r="FU34" s="2621">
        <f>IFERROR(FV34/FT34,0)</f>
        <v>0</v>
      </c>
      <c r="FV34" s="2615">
        <f t="shared" ref="FV34:FV65" si="106">(K34*$B$22)+(V34*$M$22)+IF(ED34="C",((F34+H34)*$B$22)+((Q34+S34)*$M$22),0)</f>
        <v>0</v>
      </c>
      <c r="FW34" s="2612" t="s">
        <v>5</v>
      </c>
      <c r="FX34" s="2615">
        <f t="shared" si="51"/>
        <v>0</v>
      </c>
      <c r="FY34" s="2615">
        <f t="shared" ref="FY34:FY65" si="107">FO34+FV34</f>
        <v>0</v>
      </c>
      <c r="FZ34" s="2613" t="s">
        <v>5</v>
      </c>
      <c r="GA34" s="2615">
        <f t="shared" si="48"/>
        <v>0</v>
      </c>
      <c r="GB34" s="2617">
        <f>IFERROR(GA34/FY34,0)</f>
        <v>0</v>
      </c>
      <c r="GC34" s="2618">
        <f t="shared" ref="GC34:GC65" si="108">IFERROR(GA34/FH34,0)</f>
        <v>0</v>
      </c>
      <c r="GD34" s="2614"/>
      <c r="GE34" s="3194">
        <f t="shared" si="16"/>
        <v>0</v>
      </c>
      <c r="GF34" s="3194">
        <f t="shared" si="17"/>
        <v>0</v>
      </c>
      <c r="GG34" s="3192" t="str">
        <f t="shared" si="18"/>
        <v>X</v>
      </c>
      <c r="GH34" s="2531"/>
      <c r="GI34" s="3189" t="str">
        <f t="shared" si="19"/>
        <v/>
      </c>
      <c r="GJ34" s="2598"/>
      <c r="GK34" s="3173">
        <f t="shared" si="20"/>
        <v>0</v>
      </c>
      <c r="GL34" s="3173">
        <f t="shared" si="21"/>
        <v>0</v>
      </c>
      <c r="GM34" s="3173">
        <f t="shared" si="22"/>
        <v>0</v>
      </c>
      <c r="GN34" s="3174">
        <f t="shared" si="23"/>
        <v>0</v>
      </c>
      <c r="GO34" s="3174">
        <f t="shared" si="24"/>
        <v>0</v>
      </c>
      <c r="GP34" s="3175">
        <f t="shared" si="25"/>
        <v>0</v>
      </c>
      <c r="GQ34" s="3176">
        <f t="shared" si="26"/>
        <v>0</v>
      </c>
      <c r="GR34" s="3177">
        <f t="shared" si="27"/>
        <v>0</v>
      </c>
      <c r="GS34" s="3177">
        <f t="shared" si="28"/>
        <v>0</v>
      </c>
      <c r="GT34" s="3178">
        <f t="shared" si="29"/>
        <v>0</v>
      </c>
      <c r="GU34" s="3179"/>
      <c r="GV34" s="3178">
        <f t="shared" si="30"/>
        <v>0</v>
      </c>
      <c r="GW34" s="3177">
        <f t="shared" si="31"/>
        <v>0</v>
      </c>
      <c r="GX34" s="3180"/>
      <c r="GY34" s="3177">
        <f t="shared" si="32"/>
        <v>0</v>
      </c>
      <c r="GZ34" s="2593"/>
      <c r="HA34" s="277"/>
      <c r="HB34" s="277"/>
      <c r="HC34" s="277"/>
      <c r="HD34" s="277"/>
      <c r="HE34" s="277"/>
      <c r="HF34" s="277"/>
      <c r="HG34" s="277"/>
      <c r="HH34" s="277"/>
      <c r="HI34" s="277"/>
      <c r="HJ34" s="277"/>
      <c r="HK34" s="277"/>
      <c r="HL34" s="277"/>
      <c r="HM34" s="277"/>
      <c r="HN34" s="277"/>
      <c r="HO34" s="277"/>
    </row>
    <row r="35" spans="1:223" ht="18" customHeight="1" x14ac:dyDescent="0.3">
      <c r="A35" s="755"/>
      <c r="B35" s="805">
        <f>SUMIFS('3a Staff Plan'!$T$129:$T$305,'3a Staff Plan'!$DF$129:$DF$305,1,'3a Staff Plan'!$DA$129:$DA$305,1,'3a Staff Plan'!$J$129:$J$305,$FA35)</f>
        <v>0</v>
      </c>
      <c r="C35" s="805">
        <f>SUMIFS('3a Staff Plan'!$U$129:$U$305,'3a Staff Plan'!$DF$129:$DF$305,1,'3a Staff Plan'!$DA$129:$DA$305,1,'3a Staff Plan'!$J$129:$J$305,$FA35)</f>
        <v>0</v>
      </c>
      <c r="D35" s="805">
        <f>SUMIFS('3a Staff Plan'!$Z$129:$Z$305,'3a Staff Plan'!$DF$129:$DF$305,1,'3a Staff Plan'!$DA$129:$DA$305,1,'3a Staff Plan'!$J$129:$J$305,$FA35)</f>
        <v>0</v>
      </c>
      <c r="E35" s="805">
        <f>SUMIFS('3a Staff Plan'!$Y$129:$Y$305,'3a Staff Plan'!$DF$129:$DF$305,1,'3a Staff Plan'!$DA$129:$DA$305,1,'3a Staff Plan'!$J$129:$J$305,$FA35)</f>
        <v>0</v>
      </c>
      <c r="F35" s="805">
        <f>SUMIFS('3a Staff Plan'!$X$129:$X$305,'3a Staff Plan'!$DF$129:$DF$305,1,'3a Staff Plan'!$DA$129:$DA$305,1,'3a Staff Plan'!$AG$129:$AG$305,1,'3a Staff Plan'!$J$129:$J$305,$FA35)</f>
        <v>0</v>
      </c>
      <c r="G35" s="805">
        <f>IF($G$24=0,0,SUMIFS('3a Staff Plan'!$W$129:$W$305,'3a Staff Plan'!$DF$129:$DF$305,1,'3a Staff Plan'!$DA$129:$DA$305,1,'3a Staff Plan'!$J$129:$J$305,$FA35))</f>
        <v>0</v>
      </c>
      <c r="H35" s="795">
        <f t="shared" si="52"/>
        <v>0</v>
      </c>
      <c r="I35" s="805">
        <f>SUMIFS('3a Staff Plan'!$V$129:$V$305,'3a Staff Plan'!$DF$129:$DF$305,1,'3a Staff Plan'!$DA$129:$DA$305,1,'3a Staff Plan'!$J$129:$J$305,$FA35)</f>
        <v>0</v>
      </c>
      <c r="J35" s="805">
        <f>SUMIFS('3a Staff Plan'!$AB$129:$AB$305,'3a Staff Plan'!$DF$129:$DF$305,1,'3a Staff Plan'!$DA$129:$DA$305,1,'3a Staff Plan'!$J$129:$J$305,$FA35)</f>
        <v>0</v>
      </c>
      <c r="K35" s="805">
        <f>SUMIFS('3a Staff Plan'!$AA$129:$AA$305,'3a Staff Plan'!$DF$129:$DF$305,1,'3a Staff Plan'!$DA$129:$DA$305,1,'3a Staff Plan'!$AG$129:$AG$305,1,'3a Staff Plan'!$J$129:$J$305,$FA35)</f>
        <v>0</v>
      </c>
      <c r="L35" s="755"/>
      <c r="M35" s="805">
        <f>SUMIFS('3b Activity Plan'!$T$173:$T$365,'3b Activity Plan'!$CY$173:$CY$365,1,'3b Activity Plan'!$CT$173:$CT$365,1,'3b Activity Plan'!$J$173:$J$365,$FA35)</f>
        <v>0</v>
      </c>
      <c r="N35" s="805">
        <f>SUMIFS('3b Activity Plan'!$U$173:$U$365,'3b Activity Plan'!$CY$173:$CY$365,1,'3b Activity Plan'!$CT$173:$CT$365,1,'3b Activity Plan'!$J$173:$J$365,$FA35)</f>
        <v>0</v>
      </c>
      <c r="O35" s="805">
        <f>SUMIFS('3b Activity Plan'!$Z$173:$Z$365,'3b Activity Plan'!$CY$173:$CY$365,1,'3b Activity Plan'!$CT$173:$CT$365,1,'3b Activity Plan'!$J$173:$J$365,$FA35)</f>
        <v>0</v>
      </c>
      <c r="P35" s="805">
        <f>SUMIFS('3b Activity Plan'!$Y$173:$Y$365,'3b Activity Plan'!$CY$173:$CY$365,1,'3b Activity Plan'!$CT$173:$CT$365,1,'3b Activity Plan'!$J$173:$J$365,$FA35)</f>
        <v>0</v>
      </c>
      <c r="Q35" s="805">
        <f>SUMIFS('3b Activity Plan'!$X$173:$X$365,'3b Activity Plan'!$CY$173:$CY$365,1,'3b Activity Plan'!$CT$173:$CT$365,1,'3b Activity Plan'!$J$173:$J$365,$FA35)</f>
        <v>0</v>
      </c>
      <c r="R35" s="805">
        <f>IF($R$24=0,0,SUMIFS('3b Activity Plan'!$W$173:$W$365,'3b Activity Plan'!$CY$173:$CY$365,1,'3b Activity Plan'!$CT$173:$CT$365,1,'3b Activity Plan'!$J$173:$J$365,$FA35))</f>
        <v>0</v>
      </c>
      <c r="S35" s="795">
        <f t="shared" si="53"/>
        <v>0</v>
      </c>
      <c r="T35" s="805">
        <f>SUMIFS('3b Activity Plan'!$V$173:$V$365,'3b Activity Plan'!$CY$173:$CY$365,1,'3b Activity Plan'!$CT$173:$CT$365,1,'3b Activity Plan'!$J$173:$J$365,$FA35)</f>
        <v>0</v>
      </c>
      <c r="U35" s="805">
        <f>SUMIFS('3b Activity Plan'!$AB$173:$AB$365,'3b Activity Plan'!$CY$173:$CY$365,1,'3b Activity Plan'!$CT$173:$CT$365,1,'3b Activity Plan'!$J$173:$J$365,$FA35)</f>
        <v>0</v>
      </c>
      <c r="V35" s="805">
        <f>SUMIFS('3b Activity Plan'!$AA$173:$AA$365,'3b Activity Plan'!$CY$173:$CY$365,1,'3b Activity Plan'!$CT$173:$CT$365,1,'3b Activity Plan'!$J$173:$J$365,$FA35)</f>
        <v>0</v>
      </c>
      <c r="W35" s="755"/>
      <c r="X35" s="2641">
        <f>SUMIFS('3b Activity Plan'!$FU$173:$FU$365,'3b Activity Plan'!$J$173:$J$365,$FA35)</f>
        <v>0</v>
      </c>
      <c r="Y35" s="2641">
        <f>SUMIFS('3b Activity Plan'!$FW$173:$FW$365,'3b Activity Plan'!$J$173:$J$365,$FA35)</f>
        <v>0</v>
      </c>
      <c r="Z35" s="2639">
        <f t="shared" ref="Z35:Z36" si="109">IF($M$22=1,IFERROR(Y35/X35*100,0),0)</f>
        <v>0</v>
      </c>
      <c r="AA35" s="755"/>
      <c r="AB35" s="761">
        <f>_xlfn.MINIFS('3a Staff Plan'!$EB$129:$EB$304,'3a Staff Plan'!$DF$129:$DF$304,1,'3a Staff Plan'!$J$129:$J$304,FA35)</f>
        <v>0</v>
      </c>
      <c r="AC35" s="761">
        <f>_xlfn.MAXIFS('3a Staff Plan'!$EC$129:$EC$304,'3a Staff Plan'!$DF$129:$DF$304,1,'3a Staff Plan'!$J$129:$J$304,FA35)</f>
        <v>0</v>
      </c>
      <c r="AD35" s="755"/>
      <c r="AE35" s="761">
        <f>_xlfn.MINIFS('3b Activity Plan'!$GN$173:$GN$365,'3b Activity Plan'!$CY$173:$CY$365,1,'3b Activity Plan'!$J$173:$J$365,$FA35)</f>
        <v>0</v>
      </c>
      <c r="AF35" s="761">
        <f>_xlfn.MAXIFS('3b Activity Plan'!$GO$173:$GO$365,'3b Activity Plan'!$CY$173:$CY$365,1,'3b Activity Plan'!$J$173:$J$365,$FA35)</f>
        <v>0</v>
      </c>
      <c r="AG35" s="755"/>
      <c r="AH35" s="761">
        <f t="shared" si="54"/>
        <v>0</v>
      </c>
      <c r="AI35" s="761">
        <f t="shared" si="55"/>
        <v>0</v>
      </c>
      <c r="AJ35" s="755"/>
      <c r="AK35" s="761">
        <f t="shared" si="56"/>
        <v>0</v>
      </c>
      <c r="AL35" s="761">
        <f t="shared" si="57"/>
        <v>0</v>
      </c>
      <c r="AM35" s="776">
        <f t="shared" si="58"/>
        <v>0</v>
      </c>
      <c r="AN35" s="755"/>
      <c r="AO35" s="748">
        <f t="shared" si="59"/>
        <v>0</v>
      </c>
      <c r="AP35" s="748">
        <f t="shared" si="60"/>
        <v>0</v>
      </c>
      <c r="AQ35" s="748">
        <f t="shared" si="61"/>
        <v>0</v>
      </c>
      <c r="AR35" s="748">
        <f t="shared" si="62"/>
        <v>0</v>
      </c>
      <c r="AS35" s="748">
        <f t="shared" si="63"/>
        <v>0</v>
      </c>
      <c r="AT35" s="748">
        <f t="shared" si="64"/>
        <v>0</v>
      </c>
      <c r="AU35" s="748">
        <f t="shared" si="65"/>
        <v>0</v>
      </c>
      <c r="AV35" s="748">
        <f>IFERROR(INDEX('IPCS Data'!$R$8:$R$109,MATCH(EJ35,'IPCS Data'!$O$8:$O$109,0)),0)</f>
        <v>0</v>
      </c>
      <c r="AW35" s="755"/>
      <c r="AX35" s="499">
        <f>IFERROR(INDEX('IPCS Data'!$P$18:$P$110,MATCH(EK35,'IPCS Data'!$Q$18:$Q$110,0)),0)</f>
        <v>0</v>
      </c>
      <c r="AY35" s="1950" t="str">
        <f t="shared" ref="AY35:AY94" si="110">EV35&amp;EW35</f>
        <v/>
      </c>
      <c r="AZ35" s="755"/>
      <c r="BA35" s="753" t="str">
        <f>IFERROR(IF(MATCH(EJ35,'IPCS Data'!$O$8:$O$110,0)&gt;=25,"L","N"),"N")</f>
        <v>N</v>
      </c>
      <c r="BB35" s="774"/>
      <c r="BC35" s="753" t="str">
        <f t="shared" ref="BC35:BC94" si="111">IF(OR(ED35="A",ED35="G",ED35="L"),"L","N")</f>
        <v>N</v>
      </c>
      <c r="BD35" s="753" t="str">
        <f t="shared" si="39"/>
        <v>Non-Labor</v>
      </c>
      <c r="BE35" s="755"/>
      <c r="BF35" s="753" t="str">
        <f t="shared" ref="BF35:BF94" si="112">IF($EG$8=1,$BF$29,$EA$16&amp;"."&amp;TEXT(EB35,"00"))</f>
        <v>B23672.05</v>
      </c>
      <c r="BG35" s="753" t="str">
        <f t="shared" si="2"/>
        <v>0.0.0</v>
      </c>
      <c r="BH35" s="753">
        <f t="shared" si="66"/>
        <v>0</v>
      </c>
      <c r="BI35" s="753">
        <f t="shared" si="3"/>
        <v>0</v>
      </c>
      <c r="BJ35" s="753">
        <f t="shared" ref="BJ35:BJ94" si="113">BI35</f>
        <v>0</v>
      </c>
      <c r="BK35" s="753">
        <f t="shared" si="40"/>
        <v>0</v>
      </c>
      <c r="BL35" s="753" t="b">
        <f>AND(ISBLANK(EE35),ISBLANK(EH35),ISBLANK(EK35))</f>
        <v>1</v>
      </c>
      <c r="BM35" s="755"/>
      <c r="BN35" s="719">
        <f t="shared" si="67"/>
        <v>0</v>
      </c>
      <c r="BO35" s="719">
        <f t="shared" si="68"/>
        <v>110</v>
      </c>
      <c r="BP35" s="755"/>
      <c r="BQ35" s="719">
        <f>IF(AND((COUNTIFS('3a Staff Plan'!$J$129:$J$305,FA35)*$B$22)+(COUNTIFS('3b Activity Plan'!$J$173:$J$365,FA35)*$M$22)=0,FB35&gt;0),1,0)</f>
        <v>0</v>
      </c>
      <c r="BR35" s="719">
        <f t="shared" ref="BR35:BR94" si="114">IF(OR(FX35&lt;&gt;0,FY35&lt;&gt;0),1,0)</f>
        <v>0</v>
      </c>
      <c r="BS35" s="719">
        <f t="shared" si="69"/>
        <v>0</v>
      </c>
      <c r="BT35" s="719">
        <f t="shared" si="70"/>
        <v>0</v>
      </c>
      <c r="BU35" s="719">
        <f t="shared" si="71"/>
        <v>0</v>
      </c>
      <c r="BV35" s="719">
        <f t="shared" si="72"/>
        <v>0</v>
      </c>
      <c r="BW35" s="719">
        <f t="shared" si="73"/>
        <v>0</v>
      </c>
      <c r="BX35" s="719">
        <f t="shared" si="74"/>
        <v>0</v>
      </c>
      <c r="BY35" s="719">
        <f t="shared" si="75"/>
        <v>0</v>
      </c>
      <c r="BZ35" s="719">
        <f t="shared" ref="BZ35:BZ94" si="115">IF(BX35+BY35=1,1,0)</f>
        <v>0</v>
      </c>
      <c r="CA35" s="719">
        <f t="shared" ref="CA35:CA94" si="116">IF(LEN(FA35)&gt;25,1,0)</f>
        <v>0</v>
      </c>
      <c r="CB35" s="719">
        <f t="shared" si="76"/>
        <v>0</v>
      </c>
      <c r="CC35" s="719"/>
      <c r="CD35" s="719"/>
      <c r="CE35" s="719">
        <f t="shared" si="77"/>
        <v>0</v>
      </c>
      <c r="CF35" s="719">
        <f t="shared" ref="CF35:CF94" si="117">IF(NOT(ISERROR(FIND("#",$EV35))),1,0)</f>
        <v>0</v>
      </c>
      <c r="CG35" s="719">
        <f t="shared" ref="CG35:CG94" si="118">IF(NOT(ISERROR(FIND(":",$EV35))),1,0)</f>
        <v>0</v>
      </c>
      <c r="CH35" s="719">
        <f t="shared" ref="CH35:CH94" si="119">IF(NOT(ISERROR(FIND("&amp;",$EV35))),1,0)</f>
        <v>0</v>
      </c>
      <c r="CI35" s="719">
        <f t="shared" ref="CI35:CI94" si="120">IF(NOT(ISERROR(FIND("!",$EV35))),1,0)</f>
        <v>0</v>
      </c>
      <c r="CJ35" s="719">
        <f t="shared" ref="CJ35:CJ94" si="121">IF(NOT(ISERROR(FIND(".",$EM35))),1,0)</f>
        <v>0</v>
      </c>
      <c r="CK35" s="719">
        <f t="shared" ref="CK35:CK94" si="122">IF(NOT(ISERROR(FIND("#",$EM35))),1,0)</f>
        <v>0</v>
      </c>
      <c r="CL35" s="719">
        <f t="shared" ref="CL35:CL94" si="123">IF(NOT(ISERROR(FIND(":",$EM35))),1,0)</f>
        <v>0</v>
      </c>
      <c r="CM35" s="719">
        <f t="shared" ref="CM35:CM94" si="124">IF(NOT(ISERROR(FIND("&amp;",$EM35))),1,0)</f>
        <v>0</v>
      </c>
      <c r="CN35" s="719">
        <f t="shared" ref="CN35:CN94" si="125">IF(NOT(ISERROR(FIND("!",$EM35))),1,0)</f>
        <v>0</v>
      </c>
      <c r="CO35" s="719">
        <f t="shared" si="42"/>
        <v>0</v>
      </c>
      <c r="CP35" s="719">
        <f t="shared" si="78"/>
        <v>0</v>
      </c>
      <c r="CQ35" s="719">
        <f t="shared" ref="CQ35:CQ94" si="126">ROW()-ROW($CQ$33)</f>
        <v>2</v>
      </c>
      <c r="CR35" s="719">
        <f t="shared" ref="CR35:CR94" si="127">IF(CP35=1,CQ35,0)</f>
        <v>0</v>
      </c>
      <c r="CS35" s="2526"/>
      <c r="CT35" s="2527">
        <f t="shared" ref="CT35:CT94" si="128">ROW()-ROW($CQ$28)</f>
        <v>7</v>
      </c>
      <c r="CU35" s="2527">
        <f t="shared" si="4"/>
        <v>0</v>
      </c>
      <c r="CV35" s="2527">
        <f t="shared" si="5"/>
        <v>0</v>
      </c>
      <c r="CW35" s="2527">
        <f t="shared" si="43"/>
        <v>0</v>
      </c>
      <c r="CX35" s="755"/>
      <c r="CY35" s="2537"/>
      <c r="CZ35" s="499">
        <f t="shared" si="49"/>
        <v>0</v>
      </c>
      <c r="DA35" s="1107">
        <f t="shared" si="50"/>
        <v>0</v>
      </c>
      <c r="DB35" s="2537"/>
      <c r="DC35" s="499">
        <f t="shared" si="79"/>
        <v>0</v>
      </c>
      <c r="DD35" s="1107">
        <f t="shared" si="80"/>
        <v>0</v>
      </c>
      <c r="DE35" s="2537"/>
      <c r="DF35" s="499">
        <f t="shared" si="81"/>
        <v>0</v>
      </c>
      <c r="DG35" s="1107">
        <f t="shared" si="82"/>
        <v>0</v>
      </c>
      <c r="DH35" s="2537"/>
      <c r="DI35" s="499">
        <f t="shared" si="83"/>
        <v>0</v>
      </c>
      <c r="DJ35" s="1107">
        <f t="shared" si="84"/>
        <v>0</v>
      </c>
      <c r="DK35" s="2537"/>
      <c r="DL35" s="499">
        <f t="shared" si="85"/>
        <v>0</v>
      </c>
      <c r="DM35" s="1107">
        <f t="shared" si="86"/>
        <v>0</v>
      </c>
      <c r="DN35" s="2537"/>
      <c r="DO35" s="499">
        <f t="shared" si="87"/>
        <v>0</v>
      </c>
      <c r="DP35" s="1107">
        <f t="shared" si="88"/>
        <v>0</v>
      </c>
      <c r="DQ35" s="2537"/>
      <c r="DR35" s="2559"/>
      <c r="DS35" s="499">
        <f t="shared" si="6"/>
        <v>0</v>
      </c>
      <c r="DT35" s="1105">
        <f t="shared" si="7"/>
        <v>0</v>
      </c>
      <c r="DU35" s="2537"/>
      <c r="DV35" s="2559"/>
      <c r="DW35" s="2312">
        <f t="shared" si="8"/>
        <v>0</v>
      </c>
      <c r="DX35" s="1105">
        <f t="shared" si="9"/>
        <v>0</v>
      </c>
      <c r="DY35" s="2572"/>
      <c r="DZ35" s="2537"/>
      <c r="EA35" s="2573"/>
      <c r="EB35" s="2577"/>
      <c r="EC35" s="2570"/>
      <c r="ED35" s="436">
        <f>IFERROR(INDEX('IPCS Data'!$H$8:$H$30,MATCH(EE35,'IPCS Data'!$I$8:$I$30,0)),0)</f>
        <v>0</v>
      </c>
      <c r="EE35" s="718"/>
      <c r="EF35" s="2570"/>
      <c r="EG35" s="499">
        <f>IFERROR(INDEX('IPCS Data'!$L$8:$L$27,MATCH(EH35,'IPCS Data'!$M$8:$M$27,0)),0)</f>
        <v>0</v>
      </c>
      <c r="EH35" s="718"/>
      <c r="EI35" s="2578" t="s">
        <v>5</v>
      </c>
      <c r="EJ35" s="748">
        <f>IFERROR(INDEX('IPCS Data'!$O$8:$O$110,MATCH(EK35,'IPCS Data'!$Q$8:$Q$110,0)),0)</f>
        <v>0</v>
      </c>
      <c r="EK35" s="437"/>
      <c r="EL35" s="2578"/>
      <c r="EM35" s="840">
        <f t="shared" si="89"/>
        <v>0</v>
      </c>
      <c r="EN35" s="841"/>
      <c r="EO35" s="2537"/>
      <c r="EP35" s="842">
        <f t="shared" si="90"/>
        <v>0</v>
      </c>
      <c r="EQ35" s="843"/>
      <c r="ER35" s="2537"/>
      <c r="ES35" s="840">
        <f t="shared" si="91"/>
        <v>0</v>
      </c>
      <c r="ET35" s="843"/>
      <c r="EU35" s="2537"/>
      <c r="EV35" s="1497"/>
      <c r="EW35" s="1683"/>
      <c r="EX35" s="2562">
        <f t="shared" si="92"/>
        <v>2</v>
      </c>
      <c r="EY35" s="2533"/>
      <c r="EZ35" s="2561"/>
      <c r="FA35" s="1324">
        <f t="shared" si="10"/>
        <v>0</v>
      </c>
      <c r="FB35" s="2629">
        <f t="shared" si="93"/>
        <v>0</v>
      </c>
      <c r="FC35" s="274"/>
      <c r="FD35" s="2626">
        <f t="shared" si="11"/>
        <v>0</v>
      </c>
      <c r="FE35" s="2626">
        <f t="shared" si="12"/>
        <v>0</v>
      </c>
      <c r="FF35" s="274"/>
      <c r="FG35" s="2616">
        <f t="shared" si="94"/>
        <v>0</v>
      </c>
      <c r="FH35" s="2616">
        <f t="shared" si="95"/>
        <v>0</v>
      </c>
      <c r="FI35" s="2616">
        <f t="shared" si="96"/>
        <v>0</v>
      </c>
      <c r="FJ35" s="2610" t="s">
        <v>5</v>
      </c>
      <c r="FK35" s="2616">
        <f t="shared" si="97"/>
        <v>0</v>
      </c>
      <c r="FL35" s="2616">
        <f t="shared" si="98"/>
        <v>0</v>
      </c>
      <c r="FM35" s="2616">
        <f t="shared" si="99"/>
        <v>0</v>
      </c>
      <c r="FN35" s="2622">
        <f t="shared" si="100"/>
        <v>0</v>
      </c>
      <c r="FO35" s="2615">
        <f t="shared" si="101"/>
        <v>0</v>
      </c>
      <c r="FP35" s="2624">
        <f t="shared" si="102"/>
        <v>0</v>
      </c>
      <c r="FQ35" s="2622">
        <f t="shared" si="103"/>
        <v>0</v>
      </c>
      <c r="FR35" s="2624">
        <f t="shared" si="104"/>
        <v>0</v>
      </c>
      <c r="FS35" s="2611" t="s">
        <v>5</v>
      </c>
      <c r="FT35" s="2616">
        <f t="shared" si="105"/>
        <v>0</v>
      </c>
      <c r="FU35" s="2622">
        <f t="shared" ref="FU35:FU94" si="129">IFERROR(FV35/FT35,0)</f>
        <v>0</v>
      </c>
      <c r="FV35" s="2616">
        <f t="shared" si="106"/>
        <v>0</v>
      </c>
      <c r="FW35" s="2612" t="s">
        <v>5</v>
      </c>
      <c r="FX35" s="2616">
        <f t="shared" si="51"/>
        <v>0</v>
      </c>
      <c r="FY35" s="2616">
        <f t="shared" si="107"/>
        <v>0</v>
      </c>
      <c r="FZ35" s="2613" t="s">
        <v>5</v>
      </c>
      <c r="GA35" s="2616">
        <f t="shared" si="48"/>
        <v>0</v>
      </c>
      <c r="GB35" s="2619">
        <f t="shared" ref="GB35:GB52" si="130">IFERROR(GA35/FY35,0)</f>
        <v>0</v>
      </c>
      <c r="GC35" s="2620">
        <f t="shared" si="108"/>
        <v>0</v>
      </c>
      <c r="GD35" s="2614"/>
      <c r="GE35" s="3195">
        <f t="shared" si="16"/>
        <v>0</v>
      </c>
      <c r="GF35" s="3195">
        <f t="shared" si="17"/>
        <v>0</v>
      </c>
      <c r="GG35" s="3193" t="str">
        <f t="shared" si="18"/>
        <v>X</v>
      </c>
      <c r="GH35" s="2531"/>
      <c r="GI35" s="3189" t="str">
        <f t="shared" si="19"/>
        <v/>
      </c>
      <c r="GJ35" s="2598"/>
      <c r="GK35" s="3173">
        <f t="shared" si="20"/>
        <v>0</v>
      </c>
      <c r="GL35" s="3173">
        <f t="shared" si="21"/>
        <v>0</v>
      </c>
      <c r="GM35" s="3173">
        <f t="shared" si="22"/>
        <v>0</v>
      </c>
      <c r="GN35" s="3174">
        <f t="shared" si="23"/>
        <v>0</v>
      </c>
      <c r="GO35" s="3174">
        <f t="shared" si="24"/>
        <v>0</v>
      </c>
      <c r="GP35" s="3175">
        <f t="shared" si="25"/>
        <v>0</v>
      </c>
      <c r="GQ35" s="3176">
        <f t="shared" si="26"/>
        <v>0</v>
      </c>
      <c r="GR35" s="3177">
        <f t="shared" si="27"/>
        <v>0</v>
      </c>
      <c r="GS35" s="3177">
        <f t="shared" si="28"/>
        <v>0</v>
      </c>
      <c r="GT35" s="3178">
        <f t="shared" si="29"/>
        <v>0</v>
      </c>
      <c r="GU35" s="3179"/>
      <c r="GV35" s="3178">
        <f t="shared" si="30"/>
        <v>0</v>
      </c>
      <c r="GW35" s="3177">
        <f t="shared" si="31"/>
        <v>0</v>
      </c>
      <c r="GX35" s="3180"/>
      <c r="GY35" s="3177">
        <f t="shared" si="32"/>
        <v>0</v>
      </c>
      <c r="GZ35" s="2593"/>
      <c r="HA35" s="277"/>
      <c r="HB35" s="277"/>
      <c r="HC35" s="277"/>
      <c r="HD35" s="277"/>
      <c r="HE35" s="277"/>
      <c r="HF35" s="277"/>
      <c r="HG35" s="277"/>
      <c r="HH35" s="277"/>
      <c r="HI35" s="277"/>
      <c r="HJ35" s="277"/>
      <c r="HK35" s="277"/>
      <c r="HL35" s="277"/>
      <c r="HM35" s="277"/>
      <c r="HN35" s="277"/>
      <c r="HO35" s="277"/>
    </row>
    <row r="36" spans="1:223" ht="18" customHeight="1" x14ac:dyDescent="0.3">
      <c r="A36" s="755"/>
      <c r="B36" s="805">
        <f>SUMIFS('3a Staff Plan'!$T$129:$T$305,'3a Staff Plan'!$DF$129:$DF$305,1,'3a Staff Plan'!$DA$129:$DA$305,1,'3a Staff Plan'!$J$129:$J$305,$FA36)</f>
        <v>0</v>
      </c>
      <c r="C36" s="805">
        <f>SUMIFS('3a Staff Plan'!$U$129:$U$305,'3a Staff Plan'!$DF$129:$DF$305,1,'3a Staff Plan'!$DA$129:$DA$305,1,'3a Staff Plan'!$J$129:$J$305,$FA36)</f>
        <v>0</v>
      </c>
      <c r="D36" s="805">
        <f>SUMIFS('3a Staff Plan'!$Z$129:$Z$305,'3a Staff Plan'!$DF$129:$DF$305,1,'3a Staff Plan'!$DA$129:$DA$305,1,'3a Staff Plan'!$J$129:$J$305,$FA36)</f>
        <v>0</v>
      </c>
      <c r="E36" s="805">
        <f>SUMIFS('3a Staff Plan'!$Y$129:$Y$305,'3a Staff Plan'!$DF$129:$DF$305,1,'3a Staff Plan'!$DA$129:$DA$305,1,'3a Staff Plan'!$J$129:$J$305,$FA36)</f>
        <v>0</v>
      </c>
      <c r="F36" s="805">
        <f>SUMIFS('3a Staff Plan'!$X$129:$X$305,'3a Staff Plan'!$DF$129:$DF$305,1,'3a Staff Plan'!$DA$129:$DA$305,1,'3a Staff Plan'!$AG$129:$AG$305,1,'3a Staff Plan'!$J$129:$J$305,$FA36)</f>
        <v>0</v>
      </c>
      <c r="G36" s="805">
        <f>IF($G$24=0,0,SUMIFS('3a Staff Plan'!$W$129:$W$305,'3a Staff Plan'!$DF$129:$DF$305,1,'3a Staff Plan'!$DA$129:$DA$305,1,'3a Staff Plan'!$J$129:$J$305,$FA36))</f>
        <v>0</v>
      </c>
      <c r="H36" s="795">
        <f t="shared" si="52"/>
        <v>0</v>
      </c>
      <c r="I36" s="805">
        <f>SUMIFS('3a Staff Plan'!$V$129:$V$305,'3a Staff Plan'!$DF$129:$DF$305,1,'3a Staff Plan'!$DA$129:$DA$305,1,'3a Staff Plan'!$J$129:$J$305,$FA36)</f>
        <v>0</v>
      </c>
      <c r="J36" s="805">
        <f>SUMIFS('3a Staff Plan'!$AB$129:$AB$305,'3a Staff Plan'!$DF$129:$DF$305,1,'3a Staff Plan'!$DA$129:$DA$305,1,'3a Staff Plan'!$J$129:$J$305,$FA36)</f>
        <v>0</v>
      </c>
      <c r="K36" s="805">
        <f>SUMIFS('3a Staff Plan'!$AA$129:$AA$305,'3a Staff Plan'!$DF$129:$DF$305,1,'3a Staff Plan'!$DA$129:$DA$305,1,'3a Staff Plan'!$AG$129:$AG$305,1,'3a Staff Plan'!$J$129:$J$305,$FA36)</f>
        <v>0</v>
      </c>
      <c r="L36" s="755"/>
      <c r="M36" s="805">
        <f>SUMIFS('3b Activity Plan'!$T$173:$T$365,'3b Activity Plan'!$CY$173:$CY$365,1,'3b Activity Plan'!$CT$173:$CT$365,1,'3b Activity Plan'!$J$173:$J$365,$FA36)</f>
        <v>0</v>
      </c>
      <c r="N36" s="805">
        <f>SUMIFS('3b Activity Plan'!$U$173:$U$365,'3b Activity Plan'!$CY$173:$CY$365,1,'3b Activity Plan'!$CT$173:$CT$365,1,'3b Activity Plan'!$J$173:$J$365,$FA36)</f>
        <v>0</v>
      </c>
      <c r="O36" s="805">
        <f>SUMIFS('3b Activity Plan'!$Z$173:$Z$365,'3b Activity Plan'!$CY$173:$CY$365,1,'3b Activity Plan'!$CT$173:$CT$365,1,'3b Activity Plan'!$J$173:$J$365,$FA36)</f>
        <v>0</v>
      </c>
      <c r="P36" s="805">
        <f>SUMIFS('3b Activity Plan'!$Y$173:$Y$365,'3b Activity Plan'!$CY$173:$CY$365,1,'3b Activity Plan'!$CT$173:$CT$365,1,'3b Activity Plan'!$J$173:$J$365,$FA36)</f>
        <v>0</v>
      </c>
      <c r="Q36" s="805">
        <f>SUMIFS('3b Activity Plan'!$X$173:$X$365,'3b Activity Plan'!$CY$173:$CY$365,1,'3b Activity Plan'!$CT$173:$CT$365,1,'3b Activity Plan'!$J$173:$J$365,$FA36)</f>
        <v>0</v>
      </c>
      <c r="R36" s="805">
        <f>IF($R$24=0,0,SUMIFS('3b Activity Plan'!$W$173:$W$365,'3b Activity Plan'!$CY$173:$CY$365,1,'3b Activity Plan'!$CT$173:$CT$365,1,'3b Activity Plan'!$J$173:$J$365,$FA36))</f>
        <v>0</v>
      </c>
      <c r="S36" s="795">
        <f t="shared" si="53"/>
        <v>0</v>
      </c>
      <c r="T36" s="805">
        <f>SUMIFS('3b Activity Plan'!$V$173:$V$365,'3b Activity Plan'!$CY$173:$CY$365,1,'3b Activity Plan'!$CT$173:$CT$365,1,'3b Activity Plan'!$J$173:$J$365,$FA36)</f>
        <v>0</v>
      </c>
      <c r="U36" s="805">
        <f>SUMIFS('3b Activity Plan'!$AB$173:$AB$365,'3b Activity Plan'!$CY$173:$CY$365,1,'3b Activity Plan'!$CT$173:$CT$365,1,'3b Activity Plan'!$J$173:$J$365,$FA36)</f>
        <v>0</v>
      </c>
      <c r="V36" s="805">
        <f>SUMIFS('3b Activity Plan'!$AA$173:$AA$365,'3b Activity Plan'!$CY$173:$CY$365,1,'3b Activity Plan'!$CT$173:$CT$365,1,'3b Activity Plan'!$J$173:$J$365,$FA36)</f>
        <v>0</v>
      </c>
      <c r="W36" s="755"/>
      <c r="X36" s="2641">
        <f>SUMIFS('3b Activity Plan'!$FU$173:$FU$365,'3b Activity Plan'!$J$173:$J$365,$FA36)</f>
        <v>0</v>
      </c>
      <c r="Y36" s="2641">
        <f>SUMIFS('3b Activity Plan'!$FW$173:$FW$365,'3b Activity Plan'!$J$173:$J$365,$FA36)</f>
        <v>0</v>
      </c>
      <c r="Z36" s="2639">
        <f t="shared" si="109"/>
        <v>0</v>
      </c>
      <c r="AA36" s="755"/>
      <c r="AB36" s="761">
        <f>_xlfn.MINIFS('3a Staff Plan'!$EB$129:$EB$304,'3a Staff Plan'!$DF$129:$DF$304,1,'3a Staff Plan'!$J$129:$J$304,FA36)</f>
        <v>0</v>
      </c>
      <c r="AC36" s="761">
        <f>_xlfn.MAXIFS('3a Staff Plan'!$EC$129:$EC$304,'3a Staff Plan'!$DF$129:$DF$304,1,'3a Staff Plan'!$J$129:$J$304,FA36)</f>
        <v>0</v>
      </c>
      <c r="AD36" s="755"/>
      <c r="AE36" s="761">
        <f>_xlfn.MINIFS('3b Activity Plan'!$GN$173:$GN$365,'3b Activity Plan'!$CY$173:$CY$365,1,'3b Activity Plan'!$J$173:$J$365,$FA36)</f>
        <v>0</v>
      </c>
      <c r="AF36" s="761">
        <f>_xlfn.MAXIFS('3b Activity Plan'!$GO$173:$GO$365,'3b Activity Plan'!$CY$173:$CY$365,1,'3b Activity Plan'!$J$173:$J$365,$FA36)</f>
        <v>0</v>
      </c>
      <c r="AG36" s="755"/>
      <c r="AH36" s="761">
        <f t="shared" si="54"/>
        <v>0</v>
      </c>
      <c r="AI36" s="761">
        <f t="shared" si="55"/>
        <v>0</v>
      </c>
      <c r="AJ36" s="755"/>
      <c r="AK36" s="761">
        <f t="shared" si="56"/>
        <v>0</v>
      </c>
      <c r="AL36" s="761">
        <f t="shared" si="57"/>
        <v>0</v>
      </c>
      <c r="AM36" s="776">
        <f t="shared" si="58"/>
        <v>0</v>
      </c>
      <c r="AN36" s="755"/>
      <c r="AO36" s="748">
        <f t="shared" si="59"/>
        <v>0</v>
      </c>
      <c r="AP36" s="748">
        <f t="shared" si="60"/>
        <v>0</v>
      </c>
      <c r="AQ36" s="748">
        <f t="shared" si="61"/>
        <v>0</v>
      </c>
      <c r="AR36" s="748">
        <f t="shared" si="62"/>
        <v>0</v>
      </c>
      <c r="AS36" s="748">
        <f t="shared" si="63"/>
        <v>0</v>
      </c>
      <c r="AT36" s="748">
        <f t="shared" si="64"/>
        <v>0</v>
      </c>
      <c r="AU36" s="748">
        <f t="shared" si="65"/>
        <v>0</v>
      </c>
      <c r="AV36" s="748">
        <f>IFERROR(INDEX('IPCS Data'!$R$8:$R$109,MATCH(EJ36,'IPCS Data'!$O$8:$O$109,0)),0)</f>
        <v>0</v>
      </c>
      <c r="AW36" s="755"/>
      <c r="AX36" s="499">
        <f>IFERROR(INDEX('IPCS Data'!$P$18:$P$110,MATCH(EK36,'IPCS Data'!$Q$18:$Q$110,0)),0)</f>
        <v>0</v>
      </c>
      <c r="AY36" s="1950" t="str">
        <f t="shared" si="110"/>
        <v/>
      </c>
      <c r="AZ36" s="755"/>
      <c r="BA36" s="753" t="str">
        <f>IFERROR(IF(MATCH(EJ36,'IPCS Data'!$O$8:$O$110,0)&gt;=25,"L","N"),"N")</f>
        <v>N</v>
      </c>
      <c r="BB36" s="774"/>
      <c r="BC36" s="753" t="str">
        <f t="shared" si="111"/>
        <v>N</v>
      </c>
      <c r="BD36" s="753" t="str">
        <f t="shared" si="39"/>
        <v>Non-Labor</v>
      </c>
      <c r="BE36" s="755"/>
      <c r="BF36" s="753" t="str">
        <f t="shared" si="112"/>
        <v>B23672.05</v>
      </c>
      <c r="BG36" s="753" t="str">
        <f t="shared" si="2"/>
        <v>0.0.0</v>
      </c>
      <c r="BH36" s="753">
        <f t="shared" si="66"/>
        <v>0</v>
      </c>
      <c r="BI36" s="753">
        <f t="shared" si="3"/>
        <v>0</v>
      </c>
      <c r="BJ36" s="753">
        <f t="shared" si="113"/>
        <v>0</v>
      </c>
      <c r="BK36" s="753">
        <f t="shared" si="40"/>
        <v>0</v>
      </c>
      <c r="BL36" s="753" t="b">
        <f t="shared" ref="BL36:BL94" si="131">AND(ISBLANK(EE36),ISBLANK(EH36),ISBLANK(EK36))</f>
        <v>1</v>
      </c>
      <c r="BM36" s="755"/>
      <c r="BN36" s="719">
        <f t="shared" si="67"/>
        <v>0</v>
      </c>
      <c r="BO36" s="719">
        <f t="shared" si="68"/>
        <v>110</v>
      </c>
      <c r="BP36" s="755"/>
      <c r="BQ36" s="719">
        <f>IF(AND((COUNTIFS('3a Staff Plan'!$J$129:$J$305,FA36)*$B$22)+(COUNTIFS('3b Activity Plan'!$J$173:$J$365,FA36)*$M$22)=0,FB36&gt;0),1,0)</f>
        <v>0</v>
      </c>
      <c r="BR36" s="719">
        <f t="shared" si="114"/>
        <v>0</v>
      </c>
      <c r="BS36" s="719">
        <f t="shared" si="69"/>
        <v>0</v>
      </c>
      <c r="BT36" s="719">
        <f t="shared" si="70"/>
        <v>0</v>
      </c>
      <c r="BU36" s="719">
        <f t="shared" si="71"/>
        <v>0</v>
      </c>
      <c r="BV36" s="719">
        <f t="shared" si="72"/>
        <v>0</v>
      </c>
      <c r="BW36" s="719">
        <f t="shared" si="73"/>
        <v>0</v>
      </c>
      <c r="BX36" s="719">
        <f t="shared" si="74"/>
        <v>0</v>
      </c>
      <c r="BY36" s="719">
        <f t="shared" si="75"/>
        <v>0</v>
      </c>
      <c r="BZ36" s="719">
        <f t="shared" si="115"/>
        <v>0</v>
      </c>
      <c r="CA36" s="719">
        <f t="shared" si="116"/>
        <v>0</v>
      </c>
      <c r="CB36" s="719">
        <f t="shared" si="76"/>
        <v>0</v>
      </c>
      <c r="CC36" s="719"/>
      <c r="CD36" s="719"/>
      <c r="CE36" s="719">
        <f t="shared" si="77"/>
        <v>0</v>
      </c>
      <c r="CF36" s="719">
        <f t="shared" si="117"/>
        <v>0</v>
      </c>
      <c r="CG36" s="719">
        <f t="shared" si="118"/>
        <v>0</v>
      </c>
      <c r="CH36" s="719">
        <f t="shared" si="119"/>
        <v>0</v>
      </c>
      <c r="CI36" s="719">
        <f t="shared" si="120"/>
        <v>0</v>
      </c>
      <c r="CJ36" s="719">
        <f t="shared" si="121"/>
        <v>0</v>
      </c>
      <c r="CK36" s="719">
        <f t="shared" si="122"/>
        <v>0</v>
      </c>
      <c r="CL36" s="719">
        <f t="shared" si="123"/>
        <v>0</v>
      </c>
      <c r="CM36" s="719">
        <f t="shared" si="124"/>
        <v>0</v>
      </c>
      <c r="CN36" s="719">
        <f t="shared" si="125"/>
        <v>0</v>
      </c>
      <c r="CO36" s="719">
        <f t="shared" si="42"/>
        <v>0</v>
      </c>
      <c r="CP36" s="719">
        <f t="shared" si="78"/>
        <v>0</v>
      </c>
      <c r="CQ36" s="719">
        <f t="shared" si="126"/>
        <v>3</v>
      </c>
      <c r="CR36" s="719">
        <f t="shared" si="127"/>
        <v>0</v>
      </c>
      <c r="CS36" s="2526"/>
      <c r="CT36" s="2527">
        <f t="shared" si="128"/>
        <v>8</v>
      </c>
      <c r="CU36" s="2527">
        <f t="shared" si="4"/>
        <v>0</v>
      </c>
      <c r="CV36" s="2527">
        <f t="shared" si="5"/>
        <v>0</v>
      </c>
      <c r="CW36" s="2527">
        <f t="shared" si="43"/>
        <v>0</v>
      </c>
      <c r="CX36" s="755"/>
      <c r="CY36" s="2537"/>
      <c r="CZ36" s="499">
        <f t="shared" si="49"/>
        <v>0</v>
      </c>
      <c r="DA36" s="1107">
        <f t="shared" si="50"/>
        <v>0</v>
      </c>
      <c r="DB36" s="2537"/>
      <c r="DC36" s="499">
        <f t="shared" si="79"/>
        <v>0</v>
      </c>
      <c r="DD36" s="1107">
        <f t="shared" si="80"/>
        <v>0</v>
      </c>
      <c r="DE36" s="2537"/>
      <c r="DF36" s="499">
        <f t="shared" si="81"/>
        <v>0</v>
      </c>
      <c r="DG36" s="1107">
        <f t="shared" si="82"/>
        <v>0</v>
      </c>
      <c r="DH36" s="2537"/>
      <c r="DI36" s="499">
        <f t="shared" si="83"/>
        <v>0</v>
      </c>
      <c r="DJ36" s="1107">
        <f t="shared" si="84"/>
        <v>0</v>
      </c>
      <c r="DK36" s="2537"/>
      <c r="DL36" s="499">
        <f t="shared" si="85"/>
        <v>0</v>
      </c>
      <c r="DM36" s="1107">
        <f t="shared" si="86"/>
        <v>0</v>
      </c>
      <c r="DN36" s="2537"/>
      <c r="DO36" s="499">
        <f t="shared" si="87"/>
        <v>0</v>
      </c>
      <c r="DP36" s="1107">
        <f t="shared" si="88"/>
        <v>0</v>
      </c>
      <c r="DQ36" s="2537"/>
      <c r="DR36" s="2559"/>
      <c r="DS36" s="499">
        <f t="shared" si="6"/>
        <v>0</v>
      </c>
      <c r="DT36" s="1105">
        <f t="shared" si="7"/>
        <v>0</v>
      </c>
      <c r="DU36" s="2537"/>
      <c r="DV36" s="2559"/>
      <c r="DW36" s="2312">
        <f t="shared" si="8"/>
        <v>0</v>
      </c>
      <c r="DX36" s="1105">
        <f t="shared" si="9"/>
        <v>0</v>
      </c>
      <c r="DY36" s="2572"/>
      <c r="DZ36" s="2537"/>
      <c r="EA36" s="2537"/>
      <c r="EB36" s="2577"/>
      <c r="EC36" s="2570"/>
      <c r="ED36" s="436">
        <f>IFERROR(INDEX('IPCS Data'!$H$8:$H$30,MATCH(EE36,'IPCS Data'!$I$8:$I$30,0)),0)</f>
        <v>0</v>
      </c>
      <c r="EE36" s="437"/>
      <c r="EF36" s="2570"/>
      <c r="EG36" s="499">
        <f>IFERROR(INDEX('IPCS Data'!$L$8:$L$27,MATCH(EH36,'IPCS Data'!$M$8:$M$27,0)),0)</f>
        <v>0</v>
      </c>
      <c r="EH36" s="718"/>
      <c r="EI36" s="2578" t="s">
        <v>5</v>
      </c>
      <c r="EJ36" s="748">
        <f>IFERROR(INDEX('IPCS Data'!$O$8:$O$110,MATCH(EK36,'IPCS Data'!$Q$8:$Q$110,0)),0)</f>
        <v>0</v>
      </c>
      <c r="EK36" s="437"/>
      <c r="EL36" s="2578"/>
      <c r="EM36" s="840">
        <f t="shared" si="89"/>
        <v>0</v>
      </c>
      <c r="EN36" s="841"/>
      <c r="EO36" s="2537"/>
      <c r="EP36" s="842">
        <f t="shared" si="90"/>
        <v>0</v>
      </c>
      <c r="EQ36" s="843"/>
      <c r="ER36" s="2537"/>
      <c r="ES36" s="840">
        <f t="shared" si="91"/>
        <v>0</v>
      </c>
      <c r="ET36" s="843"/>
      <c r="EU36" s="2537"/>
      <c r="EV36" s="1497"/>
      <c r="EW36" s="1683"/>
      <c r="EX36" s="2562">
        <f t="shared" si="92"/>
        <v>3</v>
      </c>
      <c r="EY36" s="2533"/>
      <c r="EZ36" s="2561"/>
      <c r="FA36" s="1324">
        <f t="shared" si="10"/>
        <v>0</v>
      </c>
      <c r="FB36" s="2629">
        <f t="shared" si="93"/>
        <v>0</v>
      </c>
      <c r="FC36" s="274"/>
      <c r="FD36" s="2626">
        <f t="shared" si="11"/>
        <v>0</v>
      </c>
      <c r="FE36" s="2626">
        <f t="shared" si="12"/>
        <v>0</v>
      </c>
      <c r="FF36" s="274"/>
      <c r="FG36" s="2616">
        <f t="shared" si="94"/>
        <v>0</v>
      </c>
      <c r="FH36" s="2616">
        <f t="shared" si="95"/>
        <v>0</v>
      </c>
      <c r="FI36" s="2616">
        <f t="shared" si="96"/>
        <v>0</v>
      </c>
      <c r="FJ36" s="2610" t="s">
        <v>5</v>
      </c>
      <c r="FK36" s="2616">
        <f t="shared" si="97"/>
        <v>0</v>
      </c>
      <c r="FL36" s="2616">
        <f t="shared" si="98"/>
        <v>0</v>
      </c>
      <c r="FM36" s="2616">
        <f t="shared" si="99"/>
        <v>0</v>
      </c>
      <c r="FN36" s="2622">
        <f t="shared" si="100"/>
        <v>0</v>
      </c>
      <c r="FO36" s="2615">
        <f t="shared" si="101"/>
        <v>0</v>
      </c>
      <c r="FP36" s="2624">
        <f t="shared" si="102"/>
        <v>0</v>
      </c>
      <c r="FQ36" s="2622">
        <f t="shared" si="103"/>
        <v>0</v>
      </c>
      <c r="FR36" s="2624">
        <f t="shared" si="104"/>
        <v>0</v>
      </c>
      <c r="FS36" s="2611" t="s">
        <v>5</v>
      </c>
      <c r="FT36" s="2616">
        <f t="shared" si="105"/>
        <v>0</v>
      </c>
      <c r="FU36" s="2622">
        <f t="shared" si="129"/>
        <v>0</v>
      </c>
      <c r="FV36" s="2616">
        <f t="shared" si="106"/>
        <v>0</v>
      </c>
      <c r="FW36" s="2612" t="s">
        <v>5</v>
      </c>
      <c r="FX36" s="2616">
        <f t="shared" si="51"/>
        <v>0</v>
      </c>
      <c r="FY36" s="2616">
        <f t="shared" si="107"/>
        <v>0</v>
      </c>
      <c r="FZ36" s="2613" t="s">
        <v>5</v>
      </c>
      <c r="GA36" s="2616">
        <f t="shared" si="48"/>
        <v>0</v>
      </c>
      <c r="GB36" s="2619">
        <f t="shared" si="130"/>
        <v>0</v>
      </c>
      <c r="GC36" s="2620">
        <f t="shared" si="108"/>
        <v>0</v>
      </c>
      <c r="GD36" s="2614"/>
      <c r="GE36" s="3195">
        <f t="shared" si="16"/>
        <v>0</v>
      </c>
      <c r="GF36" s="3195">
        <f t="shared" si="17"/>
        <v>0</v>
      </c>
      <c r="GG36" s="3193" t="str">
        <f t="shared" si="18"/>
        <v>X</v>
      </c>
      <c r="GH36" s="2531"/>
      <c r="GI36" s="3189" t="str">
        <f t="shared" si="19"/>
        <v/>
      </c>
      <c r="GJ36" s="2598"/>
      <c r="GK36" s="3173">
        <f t="shared" si="20"/>
        <v>0</v>
      </c>
      <c r="GL36" s="3173">
        <f t="shared" si="21"/>
        <v>0</v>
      </c>
      <c r="GM36" s="3173">
        <f t="shared" si="22"/>
        <v>0</v>
      </c>
      <c r="GN36" s="3174">
        <f t="shared" si="23"/>
        <v>0</v>
      </c>
      <c r="GO36" s="3174">
        <f t="shared" si="24"/>
        <v>0</v>
      </c>
      <c r="GP36" s="3175">
        <f t="shared" si="25"/>
        <v>0</v>
      </c>
      <c r="GQ36" s="3176">
        <f t="shared" si="26"/>
        <v>0</v>
      </c>
      <c r="GR36" s="3177">
        <f t="shared" si="27"/>
        <v>0</v>
      </c>
      <c r="GS36" s="3177">
        <f t="shared" si="28"/>
        <v>0</v>
      </c>
      <c r="GT36" s="3178">
        <f t="shared" si="29"/>
        <v>0</v>
      </c>
      <c r="GU36" s="3179"/>
      <c r="GV36" s="3178">
        <f t="shared" si="30"/>
        <v>0</v>
      </c>
      <c r="GW36" s="3177">
        <f t="shared" si="31"/>
        <v>0</v>
      </c>
      <c r="GX36" s="3180"/>
      <c r="GY36" s="3177">
        <f t="shared" si="32"/>
        <v>0</v>
      </c>
      <c r="GZ36" s="2593"/>
      <c r="HA36" s="277"/>
      <c r="HB36" s="277"/>
      <c r="HC36" s="277"/>
      <c r="HD36" s="277"/>
      <c r="HE36" s="277"/>
      <c r="HF36" s="277"/>
      <c r="HG36" s="277"/>
      <c r="HH36" s="277"/>
      <c r="HI36" s="277"/>
      <c r="HJ36" s="277"/>
      <c r="HK36" s="277"/>
      <c r="HL36" s="277"/>
      <c r="HM36" s="277"/>
      <c r="HN36" s="277"/>
      <c r="HO36" s="277"/>
    </row>
    <row r="37" spans="1:223" ht="18" customHeight="1" x14ac:dyDescent="0.3">
      <c r="A37" s="755"/>
      <c r="B37" s="805">
        <f>SUMIFS('3a Staff Plan'!$T$129:$T$305,'3a Staff Plan'!$DF$129:$DF$305,1,'3a Staff Plan'!$DA$129:$DA$305,1,'3a Staff Plan'!$J$129:$J$305,$FA37)</f>
        <v>0</v>
      </c>
      <c r="C37" s="805">
        <f>SUMIFS('3a Staff Plan'!$U$129:$U$305,'3a Staff Plan'!$DF$129:$DF$305,1,'3a Staff Plan'!$DA$129:$DA$305,1,'3a Staff Plan'!$J$129:$J$305,$FA37)</f>
        <v>0</v>
      </c>
      <c r="D37" s="805">
        <f>SUMIFS('3a Staff Plan'!$Z$129:$Z$305,'3a Staff Plan'!$DF$129:$DF$305,1,'3a Staff Plan'!$DA$129:$DA$305,1,'3a Staff Plan'!$J$129:$J$305,$FA37)</f>
        <v>0</v>
      </c>
      <c r="E37" s="805">
        <f>SUMIFS('3a Staff Plan'!$Y$129:$Y$305,'3a Staff Plan'!$DF$129:$DF$305,1,'3a Staff Plan'!$DA$129:$DA$305,1,'3a Staff Plan'!$J$129:$J$305,$FA37)</f>
        <v>0</v>
      </c>
      <c r="F37" s="805">
        <f>SUMIFS('3a Staff Plan'!$X$129:$X$305,'3a Staff Plan'!$DF$129:$DF$305,1,'3a Staff Plan'!$DA$129:$DA$305,1,'3a Staff Plan'!$AG$129:$AG$305,1,'3a Staff Plan'!$J$129:$J$305,$FA37)</f>
        <v>0</v>
      </c>
      <c r="G37" s="805">
        <f>IF($G$24=0,0,SUMIFS('3a Staff Plan'!$W$129:$W$305,'3a Staff Plan'!$DF$129:$DF$305,1,'3a Staff Plan'!$DA$129:$DA$305,1,'3a Staff Plan'!$J$129:$J$305,$FA37))</f>
        <v>0</v>
      </c>
      <c r="H37" s="795">
        <f t="shared" si="52"/>
        <v>0</v>
      </c>
      <c r="I37" s="805">
        <f>SUMIFS('3a Staff Plan'!$V$129:$V$305,'3a Staff Plan'!$DF$129:$DF$305,1,'3a Staff Plan'!$DA$129:$DA$305,1,'3a Staff Plan'!$J$129:$J$305,$FA37)</f>
        <v>0</v>
      </c>
      <c r="J37" s="805">
        <f>SUMIFS('3a Staff Plan'!$AB$129:$AB$305,'3a Staff Plan'!$DF$129:$DF$305,1,'3a Staff Plan'!$DA$129:$DA$305,1,'3a Staff Plan'!$J$129:$J$305,$FA37)</f>
        <v>0</v>
      </c>
      <c r="K37" s="805">
        <f>SUMIFS('3a Staff Plan'!$AA$129:$AA$305,'3a Staff Plan'!$DF$129:$DF$305,1,'3a Staff Plan'!$DA$129:$DA$305,1,'3a Staff Plan'!$AG$129:$AG$305,1,'3a Staff Plan'!$J$129:$J$305,$FA37)</f>
        <v>0</v>
      </c>
      <c r="L37" s="755"/>
      <c r="M37" s="805">
        <f>SUMIFS('3b Activity Plan'!$T$173:$T$365,'3b Activity Plan'!$CY$173:$CY$365,1,'3b Activity Plan'!$CT$173:$CT$365,1,'3b Activity Plan'!$J$173:$J$365,$FA37)</f>
        <v>0</v>
      </c>
      <c r="N37" s="805">
        <f>SUMIFS('3b Activity Plan'!$U$173:$U$365,'3b Activity Plan'!$CY$173:$CY$365,1,'3b Activity Plan'!$CT$173:$CT$365,1,'3b Activity Plan'!$J$173:$J$365,$FA37)</f>
        <v>0</v>
      </c>
      <c r="O37" s="805">
        <f>SUMIFS('3b Activity Plan'!$Z$173:$Z$365,'3b Activity Plan'!$CY$173:$CY$365,1,'3b Activity Plan'!$CT$173:$CT$365,1,'3b Activity Plan'!$J$173:$J$365,$FA37)</f>
        <v>0</v>
      </c>
      <c r="P37" s="805">
        <f>SUMIFS('3b Activity Plan'!$Y$173:$Y$365,'3b Activity Plan'!$CY$173:$CY$365,1,'3b Activity Plan'!$CT$173:$CT$365,1,'3b Activity Plan'!$J$173:$J$365,$FA37)</f>
        <v>0</v>
      </c>
      <c r="Q37" s="805">
        <f>SUMIFS('3b Activity Plan'!$X$173:$X$365,'3b Activity Plan'!$CY$173:$CY$365,1,'3b Activity Plan'!$CT$173:$CT$365,1,'3b Activity Plan'!$J$173:$J$365,$FA37)</f>
        <v>0</v>
      </c>
      <c r="R37" s="805">
        <f>IF($R$24=0,0,SUMIFS('3b Activity Plan'!$W$173:$W$365,'3b Activity Plan'!$CY$173:$CY$365,1,'3b Activity Plan'!$CT$173:$CT$365,1,'3b Activity Plan'!$J$173:$J$365,$FA37))</f>
        <v>0</v>
      </c>
      <c r="S37" s="795">
        <f t="shared" si="53"/>
        <v>0</v>
      </c>
      <c r="T37" s="805">
        <f>SUMIFS('3b Activity Plan'!$V$173:$V$365,'3b Activity Plan'!$CY$173:$CY$365,1,'3b Activity Plan'!$CT$173:$CT$365,1,'3b Activity Plan'!$J$173:$J$365,$FA37)</f>
        <v>0</v>
      </c>
      <c r="U37" s="805">
        <f>SUMIFS('3b Activity Plan'!$AB$173:$AB$365,'3b Activity Plan'!$CY$173:$CY$365,1,'3b Activity Plan'!$CT$173:$CT$365,1,'3b Activity Plan'!$J$173:$J$365,$FA37)</f>
        <v>0</v>
      </c>
      <c r="V37" s="805">
        <f>SUMIFS('3b Activity Plan'!$AA$173:$AA$365,'3b Activity Plan'!$CY$173:$CY$365,1,'3b Activity Plan'!$CT$173:$CT$365,1,'3b Activity Plan'!$J$173:$J$365,$FA37)</f>
        <v>0</v>
      </c>
      <c r="W37" s="755"/>
      <c r="X37" s="2641">
        <f>SUMIFS('3b Activity Plan'!$FU$173:$FU$365,'3b Activity Plan'!$J$173:$J$365,$FA37)</f>
        <v>0</v>
      </c>
      <c r="Y37" s="2641">
        <f>SUMIFS('3b Activity Plan'!$FW$173:$FW$365,'3b Activity Plan'!$J$173:$J$365,$FA37)</f>
        <v>0</v>
      </c>
      <c r="Z37" s="2639">
        <f t="shared" ref="Z37:Z94" si="132">IF($M$22=1,IFERROR(Y37/X37*100,0),0)</f>
        <v>0</v>
      </c>
      <c r="AA37" s="755"/>
      <c r="AB37" s="761">
        <f>_xlfn.MINIFS('3a Staff Plan'!$EB$129:$EB$304,'3a Staff Plan'!$DF$129:$DF$304,1,'3a Staff Plan'!$J$129:$J$304,FA37)</f>
        <v>0</v>
      </c>
      <c r="AC37" s="761">
        <f>_xlfn.MAXIFS('3a Staff Plan'!$EC$129:$EC$304,'3a Staff Plan'!$DF$129:$DF$304,1,'3a Staff Plan'!$J$129:$J$304,FA37)</f>
        <v>0</v>
      </c>
      <c r="AD37" s="755"/>
      <c r="AE37" s="761">
        <f>_xlfn.MINIFS('3b Activity Plan'!$GN$173:$GN$365,'3b Activity Plan'!$CY$173:$CY$365,1,'3b Activity Plan'!$J$173:$J$365,$FA37)</f>
        <v>0</v>
      </c>
      <c r="AF37" s="761">
        <f>_xlfn.MAXIFS('3b Activity Plan'!$GO$173:$GO$365,'3b Activity Plan'!$CY$173:$CY$365,1,'3b Activity Plan'!$J$173:$J$365,$FA37)</f>
        <v>0</v>
      </c>
      <c r="AG37" s="755"/>
      <c r="AH37" s="761">
        <f t="shared" si="54"/>
        <v>0</v>
      </c>
      <c r="AI37" s="761">
        <f t="shared" si="55"/>
        <v>0</v>
      </c>
      <c r="AJ37" s="755"/>
      <c r="AK37" s="761">
        <f t="shared" si="56"/>
        <v>0</v>
      </c>
      <c r="AL37" s="761">
        <f t="shared" si="57"/>
        <v>0</v>
      </c>
      <c r="AM37" s="776">
        <f t="shared" si="58"/>
        <v>0</v>
      </c>
      <c r="AN37" s="755"/>
      <c r="AO37" s="748">
        <f t="shared" si="59"/>
        <v>0</v>
      </c>
      <c r="AP37" s="748">
        <f t="shared" si="60"/>
        <v>0</v>
      </c>
      <c r="AQ37" s="748">
        <f t="shared" si="61"/>
        <v>0</v>
      </c>
      <c r="AR37" s="748">
        <f t="shared" si="62"/>
        <v>0</v>
      </c>
      <c r="AS37" s="748">
        <f t="shared" si="63"/>
        <v>0</v>
      </c>
      <c r="AT37" s="748">
        <f t="shared" si="64"/>
        <v>0</v>
      </c>
      <c r="AU37" s="748">
        <f t="shared" si="65"/>
        <v>0</v>
      </c>
      <c r="AV37" s="748">
        <f>IFERROR(INDEX('IPCS Data'!$R$8:$R$109,MATCH(EJ37,'IPCS Data'!$O$8:$O$109,0)),0)</f>
        <v>0</v>
      </c>
      <c r="AW37" s="755"/>
      <c r="AX37" s="499">
        <f>IFERROR(INDEX('IPCS Data'!$P$18:$P$110,MATCH(EK37,'IPCS Data'!$Q$18:$Q$110,0)),0)</f>
        <v>0</v>
      </c>
      <c r="AY37" s="1950" t="str">
        <f t="shared" si="110"/>
        <v/>
      </c>
      <c r="AZ37" s="755"/>
      <c r="BA37" s="753" t="str">
        <f>IFERROR(IF(MATCH(EJ37,'IPCS Data'!$O$8:$O$110,0)&gt;=25,"L","N"),"N")</f>
        <v>N</v>
      </c>
      <c r="BB37" s="774"/>
      <c r="BC37" s="753" t="str">
        <f t="shared" si="111"/>
        <v>N</v>
      </c>
      <c r="BD37" s="753" t="str">
        <f t="shared" si="39"/>
        <v>Non-Labor</v>
      </c>
      <c r="BE37" s="755"/>
      <c r="BF37" s="753" t="str">
        <f t="shared" si="112"/>
        <v>B23672.05</v>
      </c>
      <c r="BG37" s="753" t="str">
        <f t="shared" si="2"/>
        <v>0.0.0</v>
      </c>
      <c r="BH37" s="753">
        <f t="shared" si="66"/>
        <v>0</v>
      </c>
      <c r="BI37" s="753">
        <f t="shared" si="3"/>
        <v>0</v>
      </c>
      <c r="BJ37" s="753">
        <f t="shared" si="113"/>
        <v>0</v>
      </c>
      <c r="BK37" s="753">
        <f t="shared" si="40"/>
        <v>0</v>
      </c>
      <c r="BL37" s="753" t="b">
        <f t="shared" si="131"/>
        <v>1</v>
      </c>
      <c r="BM37" s="755"/>
      <c r="BN37" s="719">
        <f t="shared" si="67"/>
        <v>0</v>
      </c>
      <c r="BO37" s="719">
        <f t="shared" si="68"/>
        <v>110</v>
      </c>
      <c r="BP37" s="755"/>
      <c r="BQ37" s="719">
        <f>IF(AND((COUNTIFS('3a Staff Plan'!$J$129:$J$305,FA37)*$B$22)+(COUNTIFS('3b Activity Plan'!$J$173:$J$365,FA37)*$M$22)=0,FB37&gt;0),1,0)</f>
        <v>0</v>
      </c>
      <c r="BR37" s="719">
        <f t="shared" si="114"/>
        <v>0</v>
      </c>
      <c r="BS37" s="719">
        <f t="shared" si="69"/>
        <v>0</v>
      </c>
      <c r="BT37" s="719">
        <f t="shared" si="70"/>
        <v>0</v>
      </c>
      <c r="BU37" s="719">
        <f t="shared" si="71"/>
        <v>0</v>
      </c>
      <c r="BV37" s="719">
        <f t="shared" si="72"/>
        <v>0</v>
      </c>
      <c r="BW37" s="719">
        <f t="shared" si="73"/>
        <v>0</v>
      </c>
      <c r="BX37" s="719">
        <f t="shared" si="74"/>
        <v>0</v>
      </c>
      <c r="BY37" s="719">
        <f t="shared" si="75"/>
        <v>0</v>
      </c>
      <c r="BZ37" s="719">
        <f t="shared" si="115"/>
        <v>0</v>
      </c>
      <c r="CA37" s="719">
        <f t="shared" si="116"/>
        <v>0</v>
      </c>
      <c r="CB37" s="719">
        <f t="shared" si="76"/>
        <v>0</v>
      </c>
      <c r="CC37" s="719"/>
      <c r="CD37" s="719"/>
      <c r="CE37" s="719">
        <f t="shared" si="77"/>
        <v>0</v>
      </c>
      <c r="CF37" s="719">
        <f t="shared" si="117"/>
        <v>0</v>
      </c>
      <c r="CG37" s="719">
        <f t="shared" si="118"/>
        <v>0</v>
      </c>
      <c r="CH37" s="719">
        <f t="shared" si="119"/>
        <v>0</v>
      </c>
      <c r="CI37" s="719">
        <f t="shared" si="120"/>
        <v>0</v>
      </c>
      <c r="CJ37" s="719">
        <f t="shared" si="121"/>
        <v>0</v>
      </c>
      <c r="CK37" s="719">
        <f t="shared" si="122"/>
        <v>0</v>
      </c>
      <c r="CL37" s="719">
        <f t="shared" si="123"/>
        <v>0</v>
      </c>
      <c r="CM37" s="719">
        <f t="shared" si="124"/>
        <v>0</v>
      </c>
      <c r="CN37" s="719">
        <f t="shared" si="125"/>
        <v>0</v>
      </c>
      <c r="CO37" s="719">
        <f t="shared" si="42"/>
        <v>0</v>
      </c>
      <c r="CP37" s="719">
        <f t="shared" si="78"/>
        <v>0</v>
      </c>
      <c r="CQ37" s="719">
        <f t="shared" si="126"/>
        <v>4</v>
      </c>
      <c r="CR37" s="719">
        <f t="shared" si="127"/>
        <v>0</v>
      </c>
      <c r="CS37" s="2526"/>
      <c r="CT37" s="2527">
        <f t="shared" si="128"/>
        <v>9</v>
      </c>
      <c r="CU37" s="2527">
        <f t="shared" si="4"/>
        <v>0</v>
      </c>
      <c r="CV37" s="2527">
        <f t="shared" si="5"/>
        <v>0</v>
      </c>
      <c r="CW37" s="2527">
        <f t="shared" si="43"/>
        <v>0</v>
      </c>
      <c r="CX37" s="755"/>
      <c r="CY37" s="2537"/>
      <c r="CZ37" s="499">
        <f t="shared" si="49"/>
        <v>0</v>
      </c>
      <c r="DA37" s="1107">
        <f t="shared" si="50"/>
        <v>0</v>
      </c>
      <c r="DB37" s="2537"/>
      <c r="DC37" s="499">
        <f t="shared" si="79"/>
        <v>0</v>
      </c>
      <c r="DD37" s="1107">
        <f t="shared" si="80"/>
        <v>0</v>
      </c>
      <c r="DE37" s="2537"/>
      <c r="DF37" s="499">
        <f t="shared" si="81"/>
        <v>0</v>
      </c>
      <c r="DG37" s="1107">
        <f t="shared" si="82"/>
        <v>0</v>
      </c>
      <c r="DH37" s="2537"/>
      <c r="DI37" s="499">
        <f t="shared" si="83"/>
        <v>0</v>
      </c>
      <c r="DJ37" s="1107">
        <f t="shared" si="84"/>
        <v>0</v>
      </c>
      <c r="DK37" s="2537"/>
      <c r="DL37" s="499">
        <f t="shared" si="85"/>
        <v>0</v>
      </c>
      <c r="DM37" s="1107">
        <f t="shared" si="86"/>
        <v>0</v>
      </c>
      <c r="DN37" s="2537"/>
      <c r="DO37" s="499">
        <f t="shared" si="87"/>
        <v>0</v>
      </c>
      <c r="DP37" s="1107">
        <f t="shared" si="88"/>
        <v>0</v>
      </c>
      <c r="DQ37" s="2537"/>
      <c r="DR37" s="2559"/>
      <c r="DS37" s="499">
        <f t="shared" si="6"/>
        <v>0</v>
      </c>
      <c r="DT37" s="1105">
        <f t="shared" si="7"/>
        <v>0</v>
      </c>
      <c r="DU37" s="2537"/>
      <c r="DV37" s="2559"/>
      <c r="DW37" s="2312">
        <f t="shared" si="8"/>
        <v>0</v>
      </c>
      <c r="DX37" s="1105">
        <f t="shared" si="9"/>
        <v>0</v>
      </c>
      <c r="DY37" s="2572"/>
      <c r="DZ37" s="2537"/>
      <c r="EA37" s="2537"/>
      <c r="EB37" s="2577" t="str">
        <f t="shared" ref="EB37:EB65" si="133">TEXT($EB$16,"00")</f>
        <v>05</v>
      </c>
      <c r="EC37" s="2570"/>
      <c r="ED37" s="436">
        <f>IFERROR(INDEX('IPCS Data'!$H$8:$H$30,MATCH(EE37,'IPCS Data'!$I$8:$I$30,0)),0)</f>
        <v>0</v>
      </c>
      <c r="EE37" s="437"/>
      <c r="EF37" s="2570"/>
      <c r="EG37" s="499">
        <f>IFERROR(INDEX('IPCS Data'!$L$8:$L$27,MATCH(EH37,'IPCS Data'!$M$8:$M$27,0)),0)</f>
        <v>0</v>
      </c>
      <c r="EH37" s="718"/>
      <c r="EI37" s="2578" t="s">
        <v>5</v>
      </c>
      <c r="EJ37" s="748">
        <f>IFERROR(INDEX('IPCS Data'!$O$8:$O$110,MATCH(EK37,'IPCS Data'!$Q$8:$Q$110,0)),0)</f>
        <v>0</v>
      </c>
      <c r="EK37" s="437"/>
      <c r="EL37" s="2578"/>
      <c r="EM37" s="840">
        <f t="shared" si="89"/>
        <v>0</v>
      </c>
      <c r="EN37" s="841"/>
      <c r="EO37" s="2537"/>
      <c r="EP37" s="842">
        <f t="shared" si="90"/>
        <v>0</v>
      </c>
      <c r="EQ37" s="843"/>
      <c r="ER37" s="2537"/>
      <c r="ES37" s="840">
        <f t="shared" si="91"/>
        <v>0</v>
      </c>
      <c r="ET37" s="843"/>
      <c r="EU37" s="2537"/>
      <c r="EV37" s="1497"/>
      <c r="EW37" s="1683"/>
      <c r="EX37" s="2562">
        <f t="shared" si="92"/>
        <v>4</v>
      </c>
      <c r="EY37" s="2533"/>
      <c r="EZ37" s="2561"/>
      <c r="FA37" s="1324">
        <f t="shared" si="10"/>
        <v>0</v>
      </c>
      <c r="FB37" s="2629">
        <f t="shared" si="93"/>
        <v>0</v>
      </c>
      <c r="FC37" s="274"/>
      <c r="FD37" s="2626">
        <f t="shared" si="11"/>
        <v>0</v>
      </c>
      <c r="FE37" s="2626">
        <f t="shared" si="12"/>
        <v>0</v>
      </c>
      <c r="FF37" s="274"/>
      <c r="FG37" s="2616">
        <f t="shared" si="94"/>
        <v>0</v>
      </c>
      <c r="FH37" s="2616">
        <f t="shared" si="95"/>
        <v>0</v>
      </c>
      <c r="FI37" s="2616">
        <f t="shared" si="96"/>
        <v>0</v>
      </c>
      <c r="FJ37" s="2610" t="s">
        <v>5</v>
      </c>
      <c r="FK37" s="2616">
        <f t="shared" si="97"/>
        <v>0</v>
      </c>
      <c r="FL37" s="2616">
        <f t="shared" si="98"/>
        <v>0</v>
      </c>
      <c r="FM37" s="2616">
        <f t="shared" si="99"/>
        <v>0</v>
      </c>
      <c r="FN37" s="2622">
        <f t="shared" si="100"/>
        <v>0</v>
      </c>
      <c r="FO37" s="2615">
        <f t="shared" si="101"/>
        <v>0</v>
      </c>
      <c r="FP37" s="2624">
        <f t="shared" si="102"/>
        <v>0</v>
      </c>
      <c r="FQ37" s="2622">
        <f t="shared" si="103"/>
        <v>0</v>
      </c>
      <c r="FR37" s="2624">
        <f t="shared" si="104"/>
        <v>0</v>
      </c>
      <c r="FS37" s="2611" t="s">
        <v>5</v>
      </c>
      <c r="FT37" s="2616">
        <f t="shared" si="105"/>
        <v>0</v>
      </c>
      <c r="FU37" s="2622">
        <f t="shared" si="129"/>
        <v>0</v>
      </c>
      <c r="FV37" s="2616">
        <f t="shared" si="106"/>
        <v>0</v>
      </c>
      <c r="FW37" s="2612" t="s">
        <v>5</v>
      </c>
      <c r="FX37" s="2616">
        <f t="shared" si="51"/>
        <v>0</v>
      </c>
      <c r="FY37" s="2616">
        <f t="shared" si="107"/>
        <v>0</v>
      </c>
      <c r="FZ37" s="2613" t="s">
        <v>5</v>
      </c>
      <c r="GA37" s="2616">
        <f t="shared" si="48"/>
        <v>0</v>
      </c>
      <c r="GB37" s="2619">
        <f t="shared" si="130"/>
        <v>0</v>
      </c>
      <c r="GC37" s="2620">
        <f t="shared" si="108"/>
        <v>0</v>
      </c>
      <c r="GD37" s="2614"/>
      <c r="GE37" s="3195">
        <f t="shared" si="16"/>
        <v>0</v>
      </c>
      <c r="GF37" s="3195">
        <f t="shared" si="17"/>
        <v>0</v>
      </c>
      <c r="GG37" s="3193" t="str">
        <f t="shared" si="18"/>
        <v>X</v>
      </c>
      <c r="GH37" s="2531"/>
      <c r="GI37" s="3189" t="str">
        <f t="shared" si="19"/>
        <v/>
      </c>
      <c r="GJ37" s="2598"/>
      <c r="GK37" s="3173">
        <f t="shared" si="20"/>
        <v>0</v>
      </c>
      <c r="GL37" s="3173">
        <f t="shared" si="21"/>
        <v>0</v>
      </c>
      <c r="GM37" s="3173">
        <f t="shared" si="22"/>
        <v>0</v>
      </c>
      <c r="GN37" s="3174">
        <f t="shared" si="23"/>
        <v>0</v>
      </c>
      <c r="GO37" s="3174">
        <f t="shared" si="24"/>
        <v>0</v>
      </c>
      <c r="GP37" s="3175">
        <f t="shared" si="25"/>
        <v>0</v>
      </c>
      <c r="GQ37" s="3176">
        <f t="shared" si="26"/>
        <v>0</v>
      </c>
      <c r="GR37" s="3177">
        <f t="shared" si="27"/>
        <v>0</v>
      </c>
      <c r="GS37" s="3177">
        <f t="shared" si="28"/>
        <v>0</v>
      </c>
      <c r="GT37" s="3178">
        <f t="shared" si="29"/>
        <v>0</v>
      </c>
      <c r="GU37" s="3179"/>
      <c r="GV37" s="3178">
        <f t="shared" si="30"/>
        <v>0</v>
      </c>
      <c r="GW37" s="3177">
        <f t="shared" si="31"/>
        <v>0</v>
      </c>
      <c r="GX37" s="3180"/>
      <c r="GY37" s="3177">
        <f t="shared" si="32"/>
        <v>0</v>
      </c>
      <c r="GZ37" s="2593"/>
      <c r="HA37" s="277"/>
      <c r="HB37" s="277"/>
      <c r="HC37" s="277"/>
      <c r="HD37" s="277"/>
      <c r="HE37" s="277"/>
      <c r="HF37" s="277"/>
      <c r="HG37" s="277"/>
      <c r="HH37" s="277"/>
      <c r="HI37" s="277"/>
      <c r="HJ37" s="277"/>
      <c r="HK37" s="277"/>
      <c r="HL37" s="277"/>
      <c r="HM37" s="277"/>
      <c r="HN37" s="277"/>
      <c r="HO37" s="277"/>
    </row>
    <row r="38" spans="1:223" ht="18" customHeight="1" x14ac:dyDescent="0.3">
      <c r="A38" s="755"/>
      <c r="B38" s="805">
        <f>SUMIFS('3a Staff Plan'!$T$129:$T$305,'3a Staff Plan'!$DF$129:$DF$305,1,'3a Staff Plan'!$DA$129:$DA$305,1,'3a Staff Plan'!$J$129:$J$305,$FA38)</f>
        <v>0</v>
      </c>
      <c r="C38" s="805">
        <f>SUMIFS('3a Staff Plan'!$U$129:$U$305,'3a Staff Plan'!$DF$129:$DF$305,1,'3a Staff Plan'!$DA$129:$DA$305,1,'3a Staff Plan'!$J$129:$J$305,$FA38)</f>
        <v>0</v>
      </c>
      <c r="D38" s="805">
        <f>SUMIFS('3a Staff Plan'!$Z$129:$Z$305,'3a Staff Plan'!$DF$129:$DF$305,1,'3a Staff Plan'!$DA$129:$DA$305,1,'3a Staff Plan'!$J$129:$J$305,$FA38)</f>
        <v>0</v>
      </c>
      <c r="E38" s="805">
        <f>SUMIFS('3a Staff Plan'!$Y$129:$Y$305,'3a Staff Plan'!$DF$129:$DF$305,1,'3a Staff Plan'!$DA$129:$DA$305,1,'3a Staff Plan'!$J$129:$J$305,$FA38)</f>
        <v>0</v>
      </c>
      <c r="F38" s="805">
        <f>SUMIFS('3a Staff Plan'!$X$129:$X$305,'3a Staff Plan'!$DF$129:$DF$305,1,'3a Staff Plan'!$DA$129:$DA$305,1,'3a Staff Plan'!$AG$129:$AG$305,1,'3a Staff Plan'!$J$129:$J$305,$FA38)</f>
        <v>0</v>
      </c>
      <c r="G38" s="805">
        <f>IF($G$24=0,0,SUMIFS('3a Staff Plan'!$W$129:$W$305,'3a Staff Plan'!$DF$129:$DF$305,1,'3a Staff Plan'!$DA$129:$DA$305,1,'3a Staff Plan'!$J$129:$J$305,$FA38))</f>
        <v>0</v>
      </c>
      <c r="H38" s="795">
        <f t="shared" si="52"/>
        <v>0</v>
      </c>
      <c r="I38" s="805">
        <f>SUMIFS('3a Staff Plan'!$V$129:$V$305,'3a Staff Plan'!$DF$129:$DF$305,1,'3a Staff Plan'!$DA$129:$DA$305,1,'3a Staff Plan'!$J$129:$J$305,$FA38)</f>
        <v>0</v>
      </c>
      <c r="J38" s="805">
        <f>SUMIFS('3a Staff Plan'!$AB$129:$AB$305,'3a Staff Plan'!$DF$129:$DF$305,1,'3a Staff Plan'!$DA$129:$DA$305,1,'3a Staff Plan'!$J$129:$J$305,$FA38)</f>
        <v>0</v>
      </c>
      <c r="K38" s="805">
        <f>SUMIFS('3a Staff Plan'!$AA$129:$AA$305,'3a Staff Plan'!$DF$129:$DF$305,1,'3a Staff Plan'!$DA$129:$DA$305,1,'3a Staff Plan'!$AG$129:$AG$305,1,'3a Staff Plan'!$J$129:$J$305,$FA38)</f>
        <v>0</v>
      </c>
      <c r="L38" s="755"/>
      <c r="M38" s="805">
        <f>SUMIFS('3b Activity Plan'!$T$173:$T$365,'3b Activity Plan'!$CY$173:$CY$365,1,'3b Activity Plan'!$CT$173:$CT$365,1,'3b Activity Plan'!$J$173:$J$365,$FA38)</f>
        <v>0</v>
      </c>
      <c r="N38" s="805">
        <f>SUMIFS('3b Activity Plan'!$U$173:$U$365,'3b Activity Plan'!$CY$173:$CY$365,1,'3b Activity Plan'!$CT$173:$CT$365,1,'3b Activity Plan'!$J$173:$J$365,$FA38)</f>
        <v>0</v>
      </c>
      <c r="O38" s="805">
        <f>SUMIFS('3b Activity Plan'!$Z$173:$Z$365,'3b Activity Plan'!$CY$173:$CY$365,1,'3b Activity Plan'!$CT$173:$CT$365,1,'3b Activity Plan'!$J$173:$J$365,$FA38)</f>
        <v>0</v>
      </c>
      <c r="P38" s="805">
        <f>SUMIFS('3b Activity Plan'!$Y$173:$Y$365,'3b Activity Plan'!$CY$173:$CY$365,1,'3b Activity Plan'!$CT$173:$CT$365,1,'3b Activity Plan'!$J$173:$J$365,$FA38)</f>
        <v>0</v>
      </c>
      <c r="Q38" s="805">
        <f>SUMIFS('3b Activity Plan'!$X$173:$X$365,'3b Activity Plan'!$CY$173:$CY$365,1,'3b Activity Plan'!$CT$173:$CT$365,1,'3b Activity Plan'!$J$173:$J$365,$FA38)</f>
        <v>0</v>
      </c>
      <c r="R38" s="805">
        <f>IF($R$24=0,0,SUMIFS('3b Activity Plan'!$W$173:$W$365,'3b Activity Plan'!$CY$173:$CY$365,1,'3b Activity Plan'!$CT$173:$CT$365,1,'3b Activity Plan'!$J$173:$J$365,$FA38))</f>
        <v>0</v>
      </c>
      <c r="S38" s="795">
        <f t="shared" si="53"/>
        <v>0</v>
      </c>
      <c r="T38" s="805">
        <f>SUMIFS('3b Activity Plan'!$V$173:$V$365,'3b Activity Plan'!$CY$173:$CY$365,1,'3b Activity Plan'!$CT$173:$CT$365,1,'3b Activity Plan'!$J$173:$J$365,$FA38)</f>
        <v>0</v>
      </c>
      <c r="U38" s="805">
        <f>SUMIFS('3b Activity Plan'!$AB$173:$AB$365,'3b Activity Plan'!$CY$173:$CY$365,1,'3b Activity Plan'!$CT$173:$CT$365,1,'3b Activity Plan'!$J$173:$J$365,$FA38)</f>
        <v>0</v>
      </c>
      <c r="V38" s="805">
        <f>SUMIFS('3b Activity Plan'!$AA$173:$AA$365,'3b Activity Plan'!$CY$173:$CY$365,1,'3b Activity Plan'!$CT$173:$CT$365,1,'3b Activity Plan'!$J$173:$J$365,$FA38)</f>
        <v>0</v>
      </c>
      <c r="W38" s="755"/>
      <c r="X38" s="2641">
        <f>SUMIFS('3b Activity Plan'!$FU$173:$FU$365,'3b Activity Plan'!$J$173:$J$365,$FA38)</f>
        <v>0</v>
      </c>
      <c r="Y38" s="2641">
        <f>SUMIFS('3b Activity Plan'!$FW$173:$FW$365,'3b Activity Plan'!$J$173:$J$365,$FA38)</f>
        <v>0</v>
      </c>
      <c r="Z38" s="2639">
        <f t="shared" si="132"/>
        <v>0</v>
      </c>
      <c r="AA38" s="755"/>
      <c r="AB38" s="761">
        <f>_xlfn.MINIFS('3a Staff Plan'!$EB$129:$EB$304,'3a Staff Plan'!$DF$129:$DF$304,1,'3a Staff Plan'!$J$129:$J$304,FA38)</f>
        <v>0</v>
      </c>
      <c r="AC38" s="761">
        <f>_xlfn.MAXIFS('3a Staff Plan'!$EC$129:$EC$304,'3a Staff Plan'!$DF$129:$DF$304,1,'3a Staff Plan'!$J$129:$J$304,FA38)</f>
        <v>0</v>
      </c>
      <c r="AD38" s="755"/>
      <c r="AE38" s="761">
        <f>_xlfn.MINIFS('3b Activity Plan'!$GN$173:$GN$365,'3b Activity Plan'!$CY$173:$CY$365,1,'3b Activity Plan'!$J$173:$J$365,$FA38)</f>
        <v>0</v>
      </c>
      <c r="AF38" s="761">
        <f>_xlfn.MAXIFS('3b Activity Plan'!$GO$173:$GO$365,'3b Activity Plan'!$CY$173:$CY$365,1,'3b Activity Plan'!$J$173:$J$365,$FA38)</f>
        <v>0</v>
      </c>
      <c r="AG38" s="755"/>
      <c r="AH38" s="761">
        <f t="shared" si="54"/>
        <v>0</v>
      </c>
      <c r="AI38" s="761">
        <f t="shared" si="55"/>
        <v>0</v>
      </c>
      <c r="AJ38" s="755"/>
      <c r="AK38" s="761">
        <f t="shared" si="56"/>
        <v>0</v>
      </c>
      <c r="AL38" s="761">
        <f t="shared" si="57"/>
        <v>0</v>
      </c>
      <c r="AM38" s="776">
        <f t="shared" si="58"/>
        <v>0</v>
      </c>
      <c r="AN38" s="755"/>
      <c r="AO38" s="748">
        <f t="shared" si="59"/>
        <v>0</v>
      </c>
      <c r="AP38" s="748">
        <f t="shared" si="60"/>
        <v>0</v>
      </c>
      <c r="AQ38" s="748">
        <f t="shared" si="61"/>
        <v>0</v>
      </c>
      <c r="AR38" s="748">
        <f t="shared" si="62"/>
        <v>0</v>
      </c>
      <c r="AS38" s="748">
        <f t="shared" si="63"/>
        <v>0</v>
      </c>
      <c r="AT38" s="748">
        <f t="shared" si="64"/>
        <v>0</v>
      </c>
      <c r="AU38" s="748">
        <f t="shared" si="65"/>
        <v>0</v>
      </c>
      <c r="AV38" s="748">
        <f>IFERROR(INDEX('IPCS Data'!$R$8:$R$109,MATCH(EJ38,'IPCS Data'!$O$8:$O$109,0)),0)</f>
        <v>0</v>
      </c>
      <c r="AW38" s="755"/>
      <c r="AX38" s="499">
        <f>IFERROR(INDEX('IPCS Data'!$P$18:$P$110,MATCH(EK38,'IPCS Data'!$Q$18:$Q$110,0)),0)</f>
        <v>0</v>
      </c>
      <c r="AY38" s="1950" t="str">
        <f t="shared" si="110"/>
        <v/>
      </c>
      <c r="AZ38" s="755"/>
      <c r="BA38" s="753" t="str">
        <f>IFERROR(IF(MATCH(EJ38,'IPCS Data'!$O$8:$O$110,0)&gt;=25,"L","N"),"N")</f>
        <v>N</v>
      </c>
      <c r="BB38" s="774"/>
      <c r="BC38" s="753" t="str">
        <f t="shared" si="111"/>
        <v>N</v>
      </c>
      <c r="BD38" s="753" t="str">
        <f t="shared" si="39"/>
        <v>Non-Labor</v>
      </c>
      <c r="BE38" s="755"/>
      <c r="BF38" s="753" t="str">
        <f t="shared" si="112"/>
        <v>B23672.05</v>
      </c>
      <c r="BG38" s="753" t="str">
        <f t="shared" si="2"/>
        <v>0.0.0</v>
      </c>
      <c r="BH38" s="753">
        <f t="shared" si="66"/>
        <v>0</v>
      </c>
      <c r="BI38" s="753">
        <f t="shared" si="3"/>
        <v>0</v>
      </c>
      <c r="BJ38" s="753">
        <f t="shared" si="113"/>
        <v>0</v>
      </c>
      <c r="BK38" s="753">
        <f t="shared" si="40"/>
        <v>0</v>
      </c>
      <c r="BL38" s="753" t="b">
        <f t="shared" si="131"/>
        <v>1</v>
      </c>
      <c r="BM38" s="755"/>
      <c r="BN38" s="719">
        <f t="shared" si="67"/>
        <v>0</v>
      </c>
      <c r="BO38" s="719">
        <f t="shared" si="68"/>
        <v>110</v>
      </c>
      <c r="BP38" s="755"/>
      <c r="BQ38" s="719">
        <f>IF(AND((COUNTIFS('3a Staff Plan'!$J$129:$J$305,FA38)*$B$22)+(COUNTIFS('3b Activity Plan'!$J$173:$J$365,FA38)*$M$22)=0,FB38&gt;0),1,0)</f>
        <v>0</v>
      </c>
      <c r="BR38" s="719">
        <f t="shared" si="114"/>
        <v>0</v>
      </c>
      <c r="BS38" s="719">
        <f t="shared" si="69"/>
        <v>0</v>
      </c>
      <c r="BT38" s="719">
        <f t="shared" si="70"/>
        <v>0</v>
      </c>
      <c r="BU38" s="719">
        <f t="shared" si="71"/>
        <v>0</v>
      </c>
      <c r="BV38" s="719">
        <f t="shared" si="72"/>
        <v>0</v>
      </c>
      <c r="BW38" s="719">
        <f t="shared" si="73"/>
        <v>0</v>
      </c>
      <c r="BX38" s="719">
        <f t="shared" si="74"/>
        <v>0</v>
      </c>
      <c r="BY38" s="719">
        <f t="shared" si="75"/>
        <v>0</v>
      </c>
      <c r="BZ38" s="719">
        <f t="shared" si="115"/>
        <v>0</v>
      </c>
      <c r="CA38" s="719">
        <f t="shared" si="116"/>
        <v>0</v>
      </c>
      <c r="CB38" s="719">
        <f t="shared" si="76"/>
        <v>0</v>
      </c>
      <c r="CC38" s="719"/>
      <c r="CD38" s="719"/>
      <c r="CE38" s="719">
        <f t="shared" si="77"/>
        <v>0</v>
      </c>
      <c r="CF38" s="719">
        <f t="shared" si="117"/>
        <v>0</v>
      </c>
      <c r="CG38" s="719">
        <f t="shared" si="118"/>
        <v>0</v>
      </c>
      <c r="CH38" s="719">
        <f t="shared" si="119"/>
        <v>0</v>
      </c>
      <c r="CI38" s="719">
        <f t="shared" si="120"/>
        <v>0</v>
      </c>
      <c r="CJ38" s="719">
        <f t="shared" si="121"/>
        <v>0</v>
      </c>
      <c r="CK38" s="719">
        <f t="shared" si="122"/>
        <v>0</v>
      </c>
      <c r="CL38" s="719">
        <f t="shared" si="123"/>
        <v>0</v>
      </c>
      <c r="CM38" s="719">
        <f t="shared" si="124"/>
        <v>0</v>
      </c>
      <c r="CN38" s="719">
        <f t="shared" si="125"/>
        <v>0</v>
      </c>
      <c r="CO38" s="719">
        <f t="shared" si="42"/>
        <v>0</v>
      </c>
      <c r="CP38" s="719">
        <f t="shared" si="78"/>
        <v>0</v>
      </c>
      <c r="CQ38" s="719">
        <f t="shared" si="126"/>
        <v>5</v>
      </c>
      <c r="CR38" s="719">
        <f t="shared" si="127"/>
        <v>0</v>
      </c>
      <c r="CS38" s="2526"/>
      <c r="CT38" s="2527">
        <f t="shared" si="128"/>
        <v>10</v>
      </c>
      <c r="CU38" s="2527">
        <f t="shared" si="4"/>
        <v>0</v>
      </c>
      <c r="CV38" s="2527">
        <f t="shared" si="5"/>
        <v>0</v>
      </c>
      <c r="CW38" s="2527">
        <f t="shared" si="43"/>
        <v>0</v>
      </c>
      <c r="CX38" s="755"/>
      <c r="CY38" s="2537"/>
      <c r="CZ38" s="499">
        <f t="shared" si="49"/>
        <v>0</v>
      </c>
      <c r="DA38" s="1107">
        <f t="shared" si="50"/>
        <v>0</v>
      </c>
      <c r="DB38" s="2537"/>
      <c r="DC38" s="499">
        <f t="shared" si="79"/>
        <v>0</v>
      </c>
      <c r="DD38" s="1107">
        <f t="shared" si="80"/>
        <v>0</v>
      </c>
      <c r="DE38" s="2537"/>
      <c r="DF38" s="499">
        <f t="shared" si="81"/>
        <v>0</v>
      </c>
      <c r="DG38" s="1107">
        <f t="shared" si="82"/>
        <v>0</v>
      </c>
      <c r="DH38" s="2537"/>
      <c r="DI38" s="499">
        <f t="shared" si="83"/>
        <v>0</v>
      </c>
      <c r="DJ38" s="1107">
        <f t="shared" si="84"/>
        <v>0</v>
      </c>
      <c r="DK38" s="2537"/>
      <c r="DL38" s="499">
        <f t="shared" si="85"/>
        <v>0</v>
      </c>
      <c r="DM38" s="1107">
        <f t="shared" si="86"/>
        <v>0</v>
      </c>
      <c r="DN38" s="2537"/>
      <c r="DO38" s="499">
        <f t="shared" si="87"/>
        <v>0</v>
      </c>
      <c r="DP38" s="1107">
        <f t="shared" si="88"/>
        <v>0</v>
      </c>
      <c r="DQ38" s="2537"/>
      <c r="DR38" s="2559"/>
      <c r="DS38" s="499">
        <f t="shared" si="6"/>
        <v>0</v>
      </c>
      <c r="DT38" s="1105">
        <f t="shared" si="7"/>
        <v>0</v>
      </c>
      <c r="DU38" s="2537"/>
      <c r="DV38" s="2559"/>
      <c r="DW38" s="2312">
        <f t="shared" si="8"/>
        <v>0</v>
      </c>
      <c r="DX38" s="1105">
        <f t="shared" si="9"/>
        <v>0</v>
      </c>
      <c r="DY38" s="2572"/>
      <c r="DZ38" s="2537"/>
      <c r="EA38" s="2537"/>
      <c r="EB38" s="2577" t="str">
        <f t="shared" si="133"/>
        <v>05</v>
      </c>
      <c r="EC38" s="2570"/>
      <c r="ED38" s="436">
        <f>IFERROR(INDEX('IPCS Data'!$H$8:$H$30,MATCH(EE38,'IPCS Data'!$I$8:$I$30,0)),0)</f>
        <v>0</v>
      </c>
      <c r="EE38" s="3072"/>
      <c r="EF38" s="2570"/>
      <c r="EG38" s="499">
        <f>IFERROR(INDEX('IPCS Data'!$L$8:$L$27,MATCH(EH38,'IPCS Data'!$M$8:$M$27,0)),0)</f>
        <v>0</v>
      </c>
      <c r="EH38" s="718"/>
      <c r="EI38" s="2578" t="s">
        <v>5</v>
      </c>
      <c r="EJ38" s="748">
        <f>IFERROR(INDEX('IPCS Data'!$O$8:$O$110,MATCH(EK38,'IPCS Data'!$Q$8:$Q$110,0)),0)</f>
        <v>0</v>
      </c>
      <c r="EK38" s="437"/>
      <c r="EL38" s="2578"/>
      <c r="EM38" s="840">
        <f t="shared" si="89"/>
        <v>0</v>
      </c>
      <c r="EN38" s="841"/>
      <c r="EO38" s="2537"/>
      <c r="EP38" s="842">
        <f t="shared" si="90"/>
        <v>0</v>
      </c>
      <c r="EQ38" s="843"/>
      <c r="ER38" s="2537"/>
      <c r="ES38" s="840">
        <f t="shared" si="91"/>
        <v>0</v>
      </c>
      <c r="ET38" s="843"/>
      <c r="EU38" s="2537"/>
      <c r="EV38" s="1497"/>
      <c r="EW38" s="1683"/>
      <c r="EX38" s="2562">
        <f t="shared" si="92"/>
        <v>5</v>
      </c>
      <c r="EY38" s="2533"/>
      <c r="EZ38" s="2561"/>
      <c r="FA38" s="1324">
        <f t="shared" si="10"/>
        <v>0</v>
      </c>
      <c r="FB38" s="2629">
        <f t="shared" si="93"/>
        <v>0</v>
      </c>
      <c r="FC38" s="274"/>
      <c r="FD38" s="2626">
        <f t="shared" si="11"/>
        <v>0</v>
      </c>
      <c r="FE38" s="2626">
        <f t="shared" si="12"/>
        <v>0</v>
      </c>
      <c r="FF38" s="274"/>
      <c r="FG38" s="2616">
        <f t="shared" si="94"/>
        <v>0</v>
      </c>
      <c r="FH38" s="2616">
        <f t="shared" si="95"/>
        <v>0</v>
      </c>
      <c r="FI38" s="2616">
        <f t="shared" si="96"/>
        <v>0</v>
      </c>
      <c r="FJ38" s="2610" t="s">
        <v>5</v>
      </c>
      <c r="FK38" s="2616">
        <f t="shared" si="97"/>
        <v>0</v>
      </c>
      <c r="FL38" s="2616">
        <f>FM38-FK38</f>
        <v>0</v>
      </c>
      <c r="FM38" s="2616">
        <f t="shared" si="99"/>
        <v>0</v>
      </c>
      <c r="FN38" s="2622">
        <f t="shared" si="100"/>
        <v>0</v>
      </c>
      <c r="FO38" s="2615">
        <f t="shared" si="101"/>
        <v>0</v>
      </c>
      <c r="FP38" s="2624">
        <f t="shared" si="102"/>
        <v>0</v>
      </c>
      <c r="FQ38" s="2622">
        <f t="shared" si="103"/>
        <v>0</v>
      </c>
      <c r="FR38" s="2624">
        <f t="shared" si="104"/>
        <v>0</v>
      </c>
      <c r="FS38" s="2611" t="s">
        <v>5</v>
      </c>
      <c r="FT38" s="2616">
        <f t="shared" si="105"/>
        <v>0</v>
      </c>
      <c r="FU38" s="2622">
        <f t="shared" si="129"/>
        <v>0</v>
      </c>
      <c r="FV38" s="2616">
        <f t="shared" si="106"/>
        <v>0</v>
      </c>
      <c r="FW38" s="2612" t="s">
        <v>5</v>
      </c>
      <c r="FX38" s="2616">
        <f t="shared" si="51"/>
        <v>0</v>
      </c>
      <c r="FY38" s="2616">
        <f t="shared" si="107"/>
        <v>0</v>
      </c>
      <c r="FZ38" s="2613" t="s">
        <v>5</v>
      </c>
      <c r="GA38" s="2616">
        <f t="shared" si="48"/>
        <v>0</v>
      </c>
      <c r="GB38" s="2619">
        <f t="shared" si="130"/>
        <v>0</v>
      </c>
      <c r="GC38" s="2620">
        <f t="shared" si="108"/>
        <v>0</v>
      </c>
      <c r="GD38" s="2614"/>
      <c r="GE38" s="3195">
        <f t="shared" si="16"/>
        <v>0</v>
      </c>
      <c r="GF38" s="3195">
        <f t="shared" si="17"/>
        <v>0</v>
      </c>
      <c r="GG38" s="3193" t="str">
        <f t="shared" si="18"/>
        <v>X</v>
      </c>
      <c r="GH38" s="2531"/>
      <c r="GI38" s="3189" t="str">
        <f t="shared" si="19"/>
        <v/>
      </c>
      <c r="GJ38" s="2598"/>
      <c r="GK38" s="3173">
        <f t="shared" si="20"/>
        <v>0</v>
      </c>
      <c r="GL38" s="3173">
        <f t="shared" si="21"/>
        <v>0</v>
      </c>
      <c r="GM38" s="3173">
        <f t="shared" si="22"/>
        <v>0</v>
      </c>
      <c r="GN38" s="3174">
        <f t="shared" si="23"/>
        <v>0</v>
      </c>
      <c r="GO38" s="3174">
        <f t="shared" si="24"/>
        <v>0</v>
      </c>
      <c r="GP38" s="3175">
        <f t="shared" si="25"/>
        <v>0</v>
      </c>
      <c r="GQ38" s="3176">
        <f t="shared" si="26"/>
        <v>0</v>
      </c>
      <c r="GR38" s="3177">
        <f t="shared" si="27"/>
        <v>0</v>
      </c>
      <c r="GS38" s="3177">
        <f t="shared" si="28"/>
        <v>0</v>
      </c>
      <c r="GT38" s="3178">
        <f t="shared" si="29"/>
        <v>0</v>
      </c>
      <c r="GU38" s="3179"/>
      <c r="GV38" s="3178">
        <f t="shared" si="30"/>
        <v>0</v>
      </c>
      <c r="GW38" s="3177">
        <f t="shared" si="31"/>
        <v>0</v>
      </c>
      <c r="GX38" s="3180"/>
      <c r="GY38" s="3177">
        <f t="shared" si="32"/>
        <v>0</v>
      </c>
      <c r="GZ38" s="2593"/>
      <c r="HA38" s="277"/>
      <c r="HB38" s="277"/>
      <c r="HC38" s="277"/>
      <c r="HD38" s="277"/>
      <c r="HE38" s="277"/>
      <c r="HF38" s="277"/>
      <c r="HG38" s="277"/>
      <c r="HH38" s="277"/>
      <c r="HI38" s="277"/>
      <c r="HJ38" s="277"/>
      <c r="HK38" s="277"/>
      <c r="HL38" s="277"/>
      <c r="HM38" s="277"/>
      <c r="HN38" s="277"/>
      <c r="HO38" s="277"/>
    </row>
    <row r="39" spans="1:223" ht="18" customHeight="1" x14ac:dyDescent="0.3">
      <c r="A39" s="755"/>
      <c r="B39" s="805">
        <f>SUMIFS('3a Staff Plan'!$T$129:$T$305,'3a Staff Plan'!$DF$129:$DF$305,1,'3a Staff Plan'!$DA$129:$DA$305,1,'3a Staff Plan'!$J$129:$J$305,$FA39)</f>
        <v>0</v>
      </c>
      <c r="C39" s="805">
        <f>SUMIFS('3a Staff Plan'!$U$129:$U$305,'3a Staff Plan'!$DF$129:$DF$305,1,'3a Staff Plan'!$DA$129:$DA$305,1,'3a Staff Plan'!$J$129:$J$305,$FA39)</f>
        <v>0</v>
      </c>
      <c r="D39" s="805">
        <f>SUMIFS('3a Staff Plan'!$Z$129:$Z$305,'3a Staff Plan'!$DF$129:$DF$305,1,'3a Staff Plan'!$DA$129:$DA$305,1,'3a Staff Plan'!$J$129:$J$305,$FA39)</f>
        <v>0</v>
      </c>
      <c r="E39" s="805">
        <f>SUMIFS('3a Staff Plan'!$Y$129:$Y$305,'3a Staff Plan'!$DF$129:$DF$305,1,'3a Staff Plan'!$DA$129:$DA$305,1,'3a Staff Plan'!$J$129:$J$305,$FA39)</f>
        <v>0</v>
      </c>
      <c r="F39" s="805">
        <f>SUMIFS('3a Staff Plan'!$X$129:$X$305,'3a Staff Plan'!$DF$129:$DF$305,1,'3a Staff Plan'!$DA$129:$DA$305,1,'3a Staff Plan'!$AG$129:$AG$305,1,'3a Staff Plan'!$J$129:$J$305,$FA39)</f>
        <v>0</v>
      </c>
      <c r="G39" s="805">
        <f>IF($G$24=0,0,SUMIFS('3a Staff Plan'!$W$129:$W$305,'3a Staff Plan'!$DF$129:$DF$305,1,'3a Staff Plan'!$DA$129:$DA$305,1,'3a Staff Plan'!$J$129:$J$305,$FA39))</f>
        <v>0</v>
      </c>
      <c r="H39" s="795">
        <f t="shared" si="52"/>
        <v>0</v>
      </c>
      <c r="I39" s="805">
        <f>SUMIFS('3a Staff Plan'!$V$129:$V$305,'3a Staff Plan'!$DF$129:$DF$305,1,'3a Staff Plan'!$DA$129:$DA$305,1,'3a Staff Plan'!$J$129:$J$305,$FA39)</f>
        <v>0</v>
      </c>
      <c r="J39" s="805">
        <f>SUMIFS('3a Staff Plan'!$AB$129:$AB$305,'3a Staff Plan'!$DF$129:$DF$305,1,'3a Staff Plan'!$DA$129:$DA$305,1,'3a Staff Plan'!$J$129:$J$305,$FA39)</f>
        <v>0</v>
      </c>
      <c r="K39" s="805">
        <f>SUMIFS('3a Staff Plan'!$AA$129:$AA$305,'3a Staff Plan'!$DF$129:$DF$305,1,'3a Staff Plan'!$DA$129:$DA$305,1,'3a Staff Plan'!$AG$129:$AG$305,1,'3a Staff Plan'!$J$129:$J$305,$FA39)</f>
        <v>0</v>
      </c>
      <c r="L39" s="755"/>
      <c r="M39" s="805">
        <f>SUMIFS('3b Activity Plan'!$T$173:$T$365,'3b Activity Plan'!$CY$173:$CY$365,1,'3b Activity Plan'!$CT$173:$CT$365,1,'3b Activity Plan'!$J$173:$J$365,$FA39)</f>
        <v>0</v>
      </c>
      <c r="N39" s="805">
        <f>SUMIFS('3b Activity Plan'!$U$173:$U$365,'3b Activity Plan'!$CY$173:$CY$365,1,'3b Activity Plan'!$CT$173:$CT$365,1,'3b Activity Plan'!$J$173:$J$365,$FA39)</f>
        <v>0</v>
      </c>
      <c r="O39" s="805">
        <f>SUMIFS('3b Activity Plan'!$Z$173:$Z$365,'3b Activity Plan'!$CY$173:$CY$365,1,'3b Activity Plan'!$CT$173:$CT$365,1,'3b Activity Plan'!$J$173:$J$365,$FA39)</f>
        <v>0</v>
      </c>
      <c r="P39" s="805">
        <f>SUMIFS('3b Activity Plan'!$Y$173:$Y$365,'3b Activity Plan'!$CY$173:$CY$365,1,'3b Activity Plan'!$CT$173:$CT$365,1,'3b Activity Plan'!$J$173:$J$365,$FA39)</f>
        <v>0</v>
      </c>
      <c r="Q39" s="805">
        <f>SUMIFS('3b Activity Plan'!$X$173:$X$365,'3b Activity Plan'!$CY$173:$CY$365,1,'3b Activity Plan'!$CT$173:$CT$365,1,'3b Activity Plan'!$J$173:$J$365,$FA39)</f>
        <v>0</v>
      </c>
      <c r="R39" s="805">
        <f>IF($R$24=0,0,SUMIFS('3b Activity Plan'!$W$173:$W$365,'3b Activity Plan'!$CY$173:$CY$365,1,'3b Activity Plan'!$CT$173:$CT$365,1,'3b Activity Plan'!$J$173:$J$365,$FA39))</f>
        <v>0</v>
      </c>
      <c r="S39" s="795">
        <f t="shared" si="53"/>
        <v>0</v>
      </c>
      <c r="T39" s="805">
        <f>SUMIFS('3b Activity Plan'!$V$173:$V$365,'3b Activity Plan'!$CY$173:$CY$365,1,'3b Activity Plan'!$CT$173:$CT$365,1,'3b Activity Plan'!$J$173:$J$365,$FA39)</f>
        <v>0</v>
      </c>
      <c r="U39" s="805">
        <f>SUMIFS('3b Activity Plan'!$AB$173:$AB$365,'3b Activity Plan'!$CY$173:$CY$365,1,'3b Activity Plan'!$CT$173:$CT$365,1,'3b Activity Plan'!$J$173:$J$365,$FA39)</f>
        <v>0</v>
      </c>
      <c r="V39" s="805">
        <f>SUMIFS('3b Activity Plan'!$AA$173:$AA$365,'3b Activity Plan'!$CY$173:$CY$365,1,'3b Activity Plan'!$CT$173:$CT$365,1,'3b Activity Plan'!$J$173:$J$365,$FA39)</f>
        <v>0</v>
      </c>
      <c r="W39" s="755"/>
      <c r="X39" s="2641">
        <f>SUMIFS('3b Activity Plan'!$FU$173:$FU$365,'3b Activity Plan'!$J$173:$J$365,$FA39)</f>
        <v>0</v>
      </c>
      <c r="Y39" s="2641">
        <f>SUMIFS('3b Activity Plan'!$FW$173:$FW$365,'3b Activity Plan'!$J$173:$J$365,$FA39)</f>
        <v>0</v>
      </c>
      <c r="Z39" s="2639">
        <f t="shared" si="132"/>
        <v>0</v>
      </c>
      <c r="AA39" s="755"/>
      <c r="AB39" s="761">
        <f>_xlfn.MINIFS('3a Staff Plan'!$EB$129:$EB$304,'3a Staff Plan'!$DF$129:$DF$304,1,'3a Staff Plan'!$J$129:$J$304,FA39)</f>
        <v>0</v>
      </c>
      <c r="AC39" s="761">
        <f>_xlfn.MAXIFS('3a Staff Plan'!$EC$129:$EC$304,'3a Staff Plan'!$DF$129:$DF$304,1,'3a Staff Plan'!$J$129:$J$304,FA39)</f>
        <v>0</v>
      </c>
      <c r="AD39" s="755"/>
      <c r="AE39" s="761">
        <f>_xlfn.MINIFS('3b Activity Plan'!$GN$173:$GN$365,'3b Activity Plan'!$CY$173:$CY$365,1,'3b Activity Plan'!$J$173:$J$365,$FA39)</f>
        <v>0</v>
      </c>
      <c r="AF39" s="761">
        <f>_xlfn.MAXIFS('3b Activity Plan'!$GO$173:$GO$365,'3b Activity Plan'!$CY$173:$CY$365,1,'3b Activity Plan'!$J$173:$J$365,$FA39)</f>
        <v>0</v>
      </c>
      <c r="AG39" s="755"/>
      <c r="AH39" s="761">
        <f t="shared" si="54"/>
        <v>0</v>
      </c>
      <c r="AI39" s="761">
        <f t="shared" si="55"/>
        <v>0</v>
      </c>
      <c r="AJ39" s="755"/>
      <c r="AK39" s="761">
        <f t="shared" si="56"/>
        <v>0</v>
      </c>
      <c r="AL39" s="761">
        <f t="shared" si="57"/>
        <v>0</v>
      </c>
      <c r="AM39" s="776">
        <f t="shared" si="58"/>
        <v>0</v>
      </c>
      <c r="AN39" s="755"/>
      <c r="AO39" s="748">
        <f t="shared" si="59"/>
        <v>0</v>
      </c>
      <c r="AP39" s="748">
        <f t="shared" si="60"/>
        <v>0</v>
      </c>
      <c r="AQ39" s="748">
        <f t="shared" si="61"/>
        <v>0</v>
      </c>
      <c r="AR39" s="748">
        <f t="shared" si="62"/>
        <v>0</v>
      </c>
      <c r="AS39" s="748">
        <f t="shared" si="63"/>
        <v>0</v>
      </c>
      <c r="AT39" s="748">
        <f t="shared" si="64"/>
        <v>0</v>
      </c>
      <c r="AU39" s="748">
        <f t="shared" si="65"/>
        <v>0</v>
      </c>
      <c r="AV39" s="748">
        <f>IFERROR(INDEX('IPCS Data'!$R$8:$R$109,MATCH(EJ39,'IPCS Data'!$O$8:$O$109,0)),0)</f>
        <v>0</v>
      </c>
      <c r="AW39" s="755"/>
      <c r="AX39" s="499">
        <f>IFERROR(INDEX('IPCS Data'!$P$18:$P$110,MATCH(EK39,'IPCS Data'!$Q$18:$Q$110,0)),0)</f>
        <v>0</v>
      </c>
      <c r="AY39" s="1950" t="str">
        <f t="shared" si="110"/>
        <v/>
      </c>
      <c r="AZ39" s="755"/>
      <c r="BA39" s="753" t="str">
        <f>IFERROR(IF(MATCH(EJ39,'IPCS Data'!$O$8:$O$110,0)&gt;=25,"L","N"),"N")</f>
        <v>N</v>
      </c>
      <c r="BB39" s="774"/>
      <c r="BC39" s="753" t="str">
        <f t="shared" si="111"/>
        <v>N</v>
      </c>
      <c r="BD39" s="753" t="str">
        <f t="shared" si="39"/>
        <v>Non-Labor</v>
      </c>
      <c r="BE39" s="755"/>
      <c r="BF39" s="753" t="str">
        <f t="shared" si="112"/>
        <v>B23672.05</v>
      </c>
      <c r="BG39" s="753" t="str">
        <f t="shared" si="2"/>
        <v>0.0.0</v>
      </c>
      <c r="BH39" s="753">
        <f t="shared" si="66"/>
        <v>0</v>
      </c>
      <c r="BI39" s="753">
        <f t="shared" si="3"/>
        <v>0</v>
      </c>
      <c r="BJ39" s="753">
        <f t="shared" si="113"/>
        <v>0</v>
      </c>
      <c r="BK39" s="753">
        <f t="shared" si="40"/>
        <v>0</v>
      </c>
      <c r="BL39" s="753" t="b">
        <f t="shared" si="131"/>
        <v>1</v>
      </c>
      <c r="BM39" s="755"/>
      <c r="BN39" s="719">
        <f t="shared" si="67"/>
        <v>0</v>
      </c>
      <c r="BO39" s="719">
        <f t="shared" si="68"/>
        <v>110</v>
      </c>
      <c r="BP39" s="755"/>
      <c r="BQ39" s="719">
        <f>IF(AND((COUNTIFS('3a Staff Plan'!$J$129:$J$305,FA39)*$B$22)+(COUNTIFS('3b Activity Plan'!$J$173:$J$365,FA39)*$M$22)=0,FB39&gt;0),1,0)</f>
        <v>0</v>
      </c>
      <c r="BR39" s="719">
        <f t="shared" si="114"/>
        <v>0</v>
      </c>
      <c r="BS39" s="719">
        <f t="shared" si="69"/>
        <v>0</v>
      </c>
      <c r="BT39" s="719">
        <f t="shared" si="70"/>
        <v>0</v>
      </c>
      <c r="BU39" s="719">
        <f t="shared" si="71"/>
        <v>0</v>
      </c>
      <c r="BV39" s="719">
        <f t="shared" si="72"/>
        <v>0</v>
      </c>
      <c r="BW39" s="719">
        <f t="shared" si="73"/>
        <v>0</v>
      </c>
      <c r="BX39" s="719">
        <f t="shared" si="74"/>
        <v>0</v>
      </c>
      <c r="BY39" s="719">
        <f t="shared" si="75"/>
        <v>0</v>
      </c>
      <c r="BZ39" s="719">
        <f t="shared" si="115"/>
        <v>0</v>
      </c>
      <c r="CA39" s="719">
        <f t="shared" si="116"/>
        <v>0</v>
      </c>
      <c r="CB39" s="719">
        <f t="shared" si="76"/>
        <v>0</v>
      </c>
      <c r="CC39" s="719"/>
      <c r="CD39" s="719"/>
      <c r="CE39" s="719">
        <f t="shared" si="77"/>
        <v>0</v>
      </c>
      <c r="CF39" s="719">
        <f t="shared" si="117"/>
        <v>0</v>
      </c>
      <c r="CG39" s="719">
        <f t="shared" si="118"/>
        <v>0</v>
      </c>
      <c r="CH39" s="719">
        <f t="shared" si="119"/>
        <v>0</v>
      </c>
      <c r="CI39" s="719">
        <f t="shared" si="120"/>
        <v>0</v>
      </c>
      <c r="CJ39" s="719">
        <f t="shared" si="121"/>
        <v>0</v>
      </c>
      <c r="CK39" s="719">
        <f t="shared" si="122"/>
        <v>0</v>
      </c>
      <c r="CL39" s="719">
        <f t="shared" si="123"/>
        <v>0</v>
      </c>
      <c r="CM39" s="719">
        <f t="shared" si="124"/>
        <v>0</v>
      </c>
      <c r="CN39" s="719">
        <f t="shared" si="125"/>
        <v>0</v>
      </c>
      <c r="CO39" s="719">
        <f t="shared" si="42"/>
        <v>0</v>
      </c>
      <c r="CP39" s="719">
        <f t="shared" si="78"/>
        <v>0</v>
      </c>
      <c r="CQ39" s="719">
        <f t="shared" si="126"/>
        <v>6</v>
      </c>
      <c r="CR39" s="719">
        <f t="shared" si="127"/>
        <v>0</v>
      </c>
      <c r="CS39" s="2526"/>
      <c r="CT39" s="2527">
        <f t="shared" si="128"/>
        <v>11</v>
      </c>
      <c r="CU39" s="2527">
        <f t="shared" si="4"/>
        <v>0</v>
      </c>
      <c r="CV39" s="2527">
        <f t="shared" si="5"/>
        <v>0</v>
      </c>
      <c r="CW39" s="2527">
        <f t="shared" si="43"/>
        <v>0</v>
      </c>
      <c r="CX39" s="755"/>
      <c r="CY39" s="2537"/>
      <c r="CZ39" s="499">
        <f t="shared" si="49"/>
        <v>0</v>
      </c>
      <c r="DA39" s="1107">
        <f t="shared" si="50"/>
        <v>0</v>
      </c>
      <c r="DB39" s="2537"/>
      <c r="DC39" s="499">
        <f t="shared" si="79"/>
        <v>0</v>
      </c>
      <c r="DD39" s="1107">
        <f t="shared" si="80"/>
        <v>0</v>
      </c>
      <c r="DE39" s="2537"/>
      <c r="DF39" s="499">
        <f t="shared" si="81"/>
        <v>0</v>
      </c>
      <c r="DG39" s="1107">
        <f t="shared" si="82"/>
        <v>0</v>
      </c>
      <c r="DH39" s="2537"/>
      <c r="DI39" s="499">
        <f t="shared" si="83"/>
        <v>0</v>
      </c>
      <c r="DJ39" s="1107">
        <f t="shared" si="84"/>
        <v>0</v>
      </c>
      <c r="DK39" s="2537"/>
      <c r="DL39" s="499">
        <f t="shared" si="85"/>
        <v>0</v>
      </c>
      <c r="DM39" s="1107">
        <f t="shared" si="86"/>
        <v>0</v>
      </c>
      <c r="DN39" s="2537"/>
      <c r="DO39" s="499">
        <f t="shared" si="87"/>
        <v>0</v>
      </c>
      <c r="DP39" s="1107">
        <f t="shared" si="88"/>
        <v>0</v>
      </c>
      <c r="DQ39" s="2537"/>
      <c r="DR39" s="2559"/>
      <c r="DS39" s="499">
        <f t="shared" si="6"/>
        <v>0</v>
      </c>
      <c r="DT39" s="1105">
        <f t="shared" si="7"/>
        <v>0</v>
      </c>
      <c r="DU39" s="2537"/>
      <c r="DV39" s="2559"/>
      <c r="DW39" s="2312">
        <f t="shared" si="8"/>
        <v>0</v>
      </c>
      <c r="DX39" s="1105">
        <f t="shared" si="9"/>
        <v>0</v>
      </c>
      <c r="DY39" s="2572"/>
      <c r="DZ39" s="2537"/>
      <c r="EA39" s="2537"/>
      <c r="EB39" s="2577" t="str">
        <f t="shared" si="133"/>
        <v>05</v>
      </c>
      <c r="EC39" s="2570"/>
      <c r="ED39" s="436">
        <f>IFERROR(INDEX('IPCS Data'!$H$8:$H$30,MATCH(EE39,'IPCS Data'!$I$8:$I$30,0)),0)</f>
        <v>0</v>
      </c>
      <c r="EE39" s="3072"/>
      <c r="EF39" s="2570"/>
      <c r="EG39" s="499">
        <f>IFERROR(INDEX('IPCS Data'!$L$8:$L$27,MATCH(EH39,'IPCS Data'!$M$8:$M$27,0)),0)</f>
        <v>0</v>
      </c>
      <c r="EH39" s="718"/>
      <c r="EI39" s="2578" t="s">
        <v>5</v>
      </c>
      <c r="EJ39" s="748">
        <f>IFERROR(INDEX('IPCS Data'!$O$8:$O$110,MATCH(EK39,'IPCS Data'!$Q$8:$Q$110,0)),0)</f>
        <v>0</v>
      </c>
      <c r="EK39" s="437"/>
      <c r="EL39" s="2578"/>
      <c r="EM39" s="840">
        <f t="shared" si="89"/>
        <v>0</v>
      </c>
      <c r="EN39" s="841"/>
      <c r="EO39" s="2537"/>
      <c r="EP39" s="842">
        <f t="shared" si="90"/>
        <v>0</v>
      </c>
      <c r="EQ39" s="843"/>
      <c r="ER39" s="2537"/>
      <c r="ES39" s="840">
        <f t="shared" si="91"/>
        <v>0</v>
      </c>
      <c r="ET39" s="843"/>
      <c r="EU39" s="2537"/>
      <c r="EV39" s="1497"/>
      <c r="EW39" s="1683"/>
      <c r="EX39" s="2562">
        <f t="shared" si="92"/>
        <v>6</v>
      </c>
      <c r="EY39" s="2533"/>
      <c r="EZ39" s="2561"/>
      <c r="FA39" s="1324">
        <f t="shared" si="10"/>
        <v>0</v>
      </c>
      <c r="FB39" s="2629">
        <f t="shared" si="93"/>
        <v>0</v>
      </c>
      <c r="FC39" s="274"/>
      <c r="FD39" s="2626">
        <f t="shared" si="11"/>
        <v>0</v>
      </c>
      <c r="FE39" s="2626">
        <f t="shared" si="12"/>
        <v>0</v>
      </c>
      <c r="FF39" s="274"/>
      <c r="FG39" s="2616">
        <f t="shared" si="94"/>
        <v>0</v>
      </c>
      <c r="FH39" s="2616">
        <f t="shared" si="95"/>
        <v>0</v>
      </c>
      <c r="FI39" s="2616">
        <f t="shared" si="96"/>
        <v>0</v>
      </c>
      <c r="FJ39" s="2610" t="s">
        <v>5</v>
      </c>
      <c r="FK39" s="2616">
        <f t="shared" si="97"/>
        <v>0</v>
      </c>
      <c r="FL39" s="2616">
        <f t="shared" si="98"/>
        <v>0</v>
      </c>
      <c r="FM39" s="2616">
        <f t="shared" si="99"/>
        <v>0</v>
      </c>
      <c r="FN39" s="2622">
        <f t="shared" si="100"/>
        <v>0</v>
      </c>
      <c r="FO39" s="2615">
        <f t="shared" si="101"/>
        <v>0</v>
      </c>
      <c r="FP39" s="2624">
        <f t="shared" si="102"/>
        <v>0</v>
      </c>
      <c r="FQ39" s="2622">
        <f t="shared" si="103"/>
        <v>0</v>
      </c>
      <c r="FR39" s="2624">
        <f t="shared" si="104"/>
        <v>0</v>
      </c>
      <c r="FS39" s="2611" t="s">
        <v>5</v>
      </c>
      <c r="FT39" s="2616">
        <f t="shared" si="105"/>
        <v>0</v>
      </c>
      <c r="FU39" s="2622">
        <f t="shared" si="129"/>
        <v>0</v>
      </c>
      <c r="FV39" s="2616">
        <f t="shared" si="106"/>
        <v>0</v>
      </c>
      <c r="FW39" s="2612" t="s">
        <v>5</v>
      </c>
      <c r="FX39" s="2616">
        <f t="shared" si="51"/>
        <v>0</v>
      </c>
      <c r="FY39" s="2616">
        <f t="shared" si="107"/>
        <v>0</v>
      </c>
      <c r="FZ39" s="2613" t="s">
        <v>5</v>
      </c>
      <c r="GA39" s="2616">
        <f t="shared" si="48"/>
        <v>0</v>
      </c>
      <c r="GB39" s="2619">
        <f t="shared" si="130"/>
        <v>0</v>
      </c>
      <c r="GC39" s="2620">
        <f t="shared" si="108"/>
        <v>0</v>
      </c>
      <c r="GD39" s="2614"/>
      <c r="GE39" s="3195">
        <f t="shared" si="16"/>
        <v>0</v>
      </c>
      <c r="GF39" s="3195">
        <f t="shared" si="17"/>
        <v>0</v>
      </c>
      <c r="GG39" s="3193" t="str">
        <f t="shared" si="18"/>
        <v>X</v>
      </c>
      <c r="GH39" s="2531"/>
      <c r="GI39" s="3189" t="str">
        <f t="shared" si="19"/>
        <v/>
      </c>
      <c r="GJ39" s="2598"/>
      <c r="GK39" s="3173">
        <f t="shared" si="20"/>
        <v>0</v>
      </c>
      <c r="GL39" s="3173">
        <f t="shared" si="21"/>
        <v>0</v>
      </c>
      <c r="GM39" s="3173">
        <f t="shared" si="22"/>
        <v>0</v>
      </c>
      <c r="GN39" s="3174">
        <f t="shared" si="23"/>
        <v>0</v>
      </c>
      <c r="GO39" s="3174">
        <f t="shared" si="24"/>
        <v>0</v>
      </c>
      <c r="GP39" s="3175">
        <f t="shared" si="25"/>
        <v>0</v>
      </c>
      <c r="GQ39" s="3176">
        <f t="shared" si="26"/>
        <v>0</v>
      </c>
      <c r="GR39" s="3177">
        <f t="shared" si="27"/>
        <v>0</v>
      </c>
      <c r="GS39" s="3177">
        <f t="shared" si="28"/>
        <v>0</v>
      </c>
      <c r="GT39" s="3178">
        <f t="shared" si="29"/>
        <v>0</v>
      </c>
      <c r="GU39" s="3179"/>
      <c r="GV39" s="3178">
        <f t="shared" si="30"/>
        <v>0</v>
      </c>
      <c r="GW39" s="3177">
        <f t="shared" si="31"/>
        <v>0</v>
      </c>
      <c r="GX39" s="3180"/>
      <c r="GY39" s="3177">
        <f t="shared" si="32"/>
        <v>0</v>
      </c>
      <c r="GZ39" s="2593"/>
      <c r="HA39" s="277"/>
      <c r="HB39" s="277"/>
      <c r="HC39" s="277"/>
      <c r="HD39" s="277"/>
      <c r="HE39" s="277"/>
      <c r="HF39" s="277"/>
      <c r="HG39" s="277"/>
      <c r="HH39" s="277"/>
      <c r="HI39" s="277"/>
      <c r="HJ39" s="277"/>
      <c r="HK39" s="277"/>
      <c r="HL39" s="277"/>
      <c r="HM39" s="277"/>
      <c r="HN39" s="277"/>
      <c r="HO39" s="277"/>
    </row>
    <row r="40" spans="1:223" ht="18" customHeight="1" x14ac:dyDescent="0.3">
      <c r="A40" s="755"/>
      <c r="B40" s="805">
        <f>SUMIFS('3a Staff Plan'!$T$129:$T$305,'3a Staff Plan'!$DF$129:$DF$305,1,'3a Staff Plan'!$DA$129:$DA$305,1,'3a Staff Plan'!$J$129:$J$305,$FA40)</f>
        <v>0</v>
      </c>
      <c r="C40" s="805">
        <f>SUMIFS('3a Staff Plan'!$U$129:$U$305,'3a Staff Plan'!$DF$129:$DF$305,1,'3a Staff Plan'!$DA$129:$DA$305,1,'3a Staff Plan'!$J$129:$J$305,$FA40)</f>
        <v>0</v>
      </c>
      <c r="D40" s="805">
        <f>SUMIFS('3a Staff Plan'!$Z$129:$Z$305,'3a Staff Plan'!$DF$129:$DF$305,1,'3a Staff Plan'!$DA$129:$DA$305,1,'3a Staff Plan'!$J$129:$J$305,$FA40)</f>
        <v>0</v>
      </c>
      <c r="E40" s="805">
        <f>SUMIFS('3a Staff Plan'!$Y$129:$Y$305,'3a Staff Plan'!$DF$129:$DF$305,1,'3a Staff Plan'!$DA$129:$DA$305,1,'3a Staff Plan'!$J$129:$J$305,$FA40)</f>
        <v>0</v>
      </c>
      <c r="F40" s="805">
        <f>SUMIFS('3a Staff Plan'!$X$129:$X$305,'3a Staff Plan'!$DF$129:$DF$305,1,'3a Staff Plan'!$DA$129:$DA$305,1,'3a Staff Plan'!$AG$129:$AG$305,1,'3a Staff Plan'!$J$129:$J$305,$FA40)</f>
        <v>0</v>
      </c>
      <c r="G40" s="805">
        <f>IF($G$24=0,0,SUMIFS('3a Staff Plan'!$W$129:$W$305,'3a Staff Plan'!$DF$129:$DF$305,1,'3a Staff Plan'!$DA$129:$DA$305,1,'3a Staff Plan'!$J$129:$J$305,$FA40))</f>
        <v>0</v>
      </c>
      <c r="H40" s="795">
        <f t="shared" si="52"/>
        <v>0</v>
      </c>
      <c r="I40" s="805">
        <f>SUMIFS('3a Staff Plan'!$V$129:$V$305,'3a Staff Plan'!$DF$129:$DF$305,1,'3a Staff Plan'!$DA$129:$DA$305,1,'3a Staff Plan'!$J$129:$J$305,$FA40)</f>
        <v>0</v>
      </c>
      <c r="J40" s="805">
        <f>SUMIFS('3a Staff Plan'!$AB$129:$AB$305,'3a Staff Plan'!$DF$129:$DF$305,1,'3a Staff Plan'!$DA$129:$DA$305,1,'3a Staff Plan'!$J$129:$J$305,$FA40)</f>
        <v>0</v>
      </c>
      <c r="K40" s="805">
        <f>SUMIFS('3a Staff Plan'!$AA$129:$AA$305,'3a Staff Plan'!$DF$129:$DF$305,1,'3a Staff Plan'!$DA$129:$DA$305,1,'3a Staff Plan'!$AG$129:$AG$305,1,'3a Staff Plan'!$J$129:$J$305,$FA40)</f>
        <v>0</v>
      </c>
      <c r="L40" s="755"/>
      <c r="M40" s="805">
        <f>SUMIFS('3b Activity Plan'!$T$173:$T$365,'3b Activity Plan'!$CY$173:$CY$365,1,'3b Activity Plan'!$CT$173:$CT$365,1,'3b Activity Plan'!$J$173:$J$365,$FA40)</f>
        <v>0</v>
      </c>
      <c r="N40" s="805">
        <f>SUMIFS('3b Activity Plan'!$U$173:$U$365,'3b Activity Plan'!$CY$173:$CY$365,1,'3b Activity Plan'!$CT$173:$CT$365,1,'3b Activity Plan'!$J$173:$J$365,$FA40)</f>
        <v>0</v>
      </c>
      <c r="O40" s="805">
        <f>SUMIFS('3b Activity Plan'!$Z$173:$Z$365,'3b Activity Plan'!$CY$173:$CY$365,1,'3b Activity Plan'!$CT$173:$CT$365,1,'3b Activity Plan'!$J$173:$J$365,$FA40)</f>
        <v>0</v>
      </c>
      <c r="P40" s="805">
        <f>SUMIFS('3b Activity Plan'!$Y$173:$Y$365,'3b Activity Plan'!$CY$173:$CY$365,1,'3b Activity Plan'!$CT$173:$CT$365,1,'3b Activity Plan'!$J$173:$J$365,$FA40)</f>
        <v>0</v>
      </c>
      <c r="Q40" s="805">
        <f>SUMIFS('3b Activity Plan'!$X$173:$X$365,'3b Activity Plan'!$CY$173:$CY$365,1,'3b Activity Plan'!$CT$173:$CT$365,1,'3b Activity Plan'!$J$173:$J$365,$FA40)</f>
        <v>0</v>
      </c>
      <c r="R40" s="805">
        <f>IF($R$24=0,0,SUMIFS('3b Activity Plan'!$W$173:$W$365,'3b Activity Plan'!$CY$173:$CY$365,1,'3b Activity Plan'!$CT$173:$CT$365,1,'3b Activity Plan'!$J$173:$J$365,$FA40))</f>
        <v>0</v>
      </c>
      <c r="S40" s="795">
        <f t="shared" si="53"/>
        <v>0</v>
      </c>
      <c r="T40" s="805">
        <f>SUMIFS('3b Activity Plan'!$V$173:$V$365,'3b Activity Plan'!$CY$173:$CY$365,1,'3b Activity Plan'!$CT$173:$CT$365,1,'3b Activity Plan'!$J$173:$J$365,$FA40)</f>
        <v>0</v>
      </c>
      <c r="U40" s="805">
        <f>SUMIFS('3b Activity Plan'!$AB$173:$AB$365,'3b Activity Plan'!$CY$173:$CY$365,1,'3b Activity Plan'!$CT$173:$CT$365,1,'3b Activity Plan'!$J$173:$J$365,$FA40)</f>
        <v>0</v>
      </c>
      <c r="V40" s="805">
        <f>SUMIFS('3b Activity Plan'!$AA$173:$AA$365,'3b Activity Plan'!$CY$173:$CY$365,1,'3b Activity Plan'!$CT$173:$CT$365,1,'3b Activity Plan'!$J$173:$J$365,$FA40)</f>
        <v>0</v>
      </c>
      <c r="W40" s="755"/>
      <c r="X40" s="2641">
        <f>SUMIFS('3b Activity Plan'!$FU$173:$FU$365,'3b Activity Plan'!$J$173:$J$365,$FA40)</f>
        <v>0</v>
      </c>
      <c r="Y40" s="2641">
        <f>SUMIFS('3b Activity Plan'!$FW$173:$FW$365,'3b Activity Plan'!$J$173:$J$365,$FA40)</f>
        <v>0</v>
      </c>
      <c r="Z40" s="2639">
        <f t="shared" si="132"/>
        <v>0</v>
      </c>
      <c r="AA40" s="755"/>
      <c r="AB40" s="761">
        <f>_xlfn.MINIFS('3a Staff Plan'!$EB$129:$EB$304,'3a Staff Plan'!$DF$129:$DF$304,1,'3a Staff Plan'!$J$129:$J$304,FA40)</f>
        <v>0</v>
      </c>
      <c r="AC40" s="761">
        <f>_xlfn.MAXIFS('3a Staff Plan'!$EC$129:$EC$304,'3a Staff Plan'!$DF$129:$DF$304,1,'3a Staff Plan'!$J$129:$J$304,FA40)</f>
        <v>0</v>
      </c>
      <c r="AD40" s="755"/>
      <c r="AE40" s="761">
        <f>_xlfn.MINIFS('3b Activity Plan'!$GN$173:$GN$365,'3b Activity Plan'!$CY$173:$CY$365,1,'3b Activity Plan'!$J$173:$J$365,$FA40)</f>
        <v>0</v>
      </c>
      <c r="AF40" s="761">
        <f>_xlfn.MAXIFS('3b Activity Plan'!$GO$173:$GO$365,'3b Activity Plan'!$CY$173:$CY$365,1,'3b Activity Plan'!$J$173:$J$365,$FA40)</f>
        <v>0</v>
      </c>
      <c r="AG40" s="755"/>
      <c r="AH40" s="761">
        <f t="shared" si="54"/>
        <v>0</v>
      </c>
      <c r="AI40" s="761">
        <f t="shared" si="55"/>
        <v>0</v>
      </c>
      <c r="AJ40" s="755"/>
      <c r="AK40" s="761">
        <f t="shared" si="56"/>
        <v>0</v>
      </c>
      <c r="AL40" s="761">
        <f t="shared" si="57"/>
        <v>0</v>
      </c>
      <c r="AM40" s="776">
        <f t="shared" si="58"/>
        <v>0</v>
      </c>
      <c r="AN40" s="755"/>
      <c r="AO40" s="748">
        <f t="shared" si="59"/>
        <v>0</v>
      </c>
      <c r="AP40" s="748">
        <f t="shared" si="60"/>
        <v>0</v>
      </c>
      <c r="AQ40" s="748">
        <f t="shared" si="61"/>
        <v>0</v>
      </c>
      <c r="AR40" s="748">
        <f t="shared" si="62"/>
        <v>0</v>
      </c>
      <c r="AS40" s="748">
        <f t="shared" si="63"/>
        <v>0</v>
      </c>
      <c r="AT40" s="748">
        <f t="shared" si="64"/>
        <v>0</v>
      </c>
      <c r="AU40" s="748">
        <f t="shared" si="65"/>
        <v>0</v>
      </c>
      <c r="AV40" s="748">
        <f>IFERROR(INDEX('IPCS Data'!$R$8:$R$109,MATCH(EJ40,'IPCS Data'!$O$8:$O$109,0)),0)</f>
        <v>0</v>
      </c>
      <c r="AW40" s="755"/>
      <c r="AX40" s="499">
        <f>IFERROR(INDEX('IPCS Data'!$P$18:$P$110,MATCH(EK40,'IPCS Data'!$Q$18:$Q$110,0)),0)</f>
        <v>0</v>
      </c>
      <c r="AY40" s="1950" t="str">
        <f t="shared" si="110"/>
        <v/>
      </c>
      <c r="AZ40" s="755"/>
      <c r="BA40" s="753" t="str">
        <f>IFERROR(IF(MATCH(EJ40,'IPCS Data'!$O$8:$O$110,0)&gt;=25,"L","N"),"N")</f>
        <v>N</v>
      </c>
      <c r="BB40" s="774"/>
      <c r="BC40" s="753" t="str">
        <f t="shared" si="111"/>
        <v>N</v>
      </c>
      <c r="BD40" s="753" t="str">
        <f t="shared" si="39"/>
        <v>Non-Labor</v>
      </c>
      <c r="BE40" s="755"/>
      <c r="BF40" s="753" t="str">
        <f t="shared" si="112"/>
        <v>B23672.05</v>
      </c>
      <c r="BG40" s="753" t="str">
        <f t="shared" si="2"/>
        <v>0.0.0</v>
      </c>
      <c r="BH40" s="753">
        <f t="shared" si="66"/>
        <v>0</v>
      </c>
      <c r="BI40" s="753">
        <f t="shared" si="3"/>
        <v>0</v>
      </c>
      <c r="BJ40" s="753">
        <f t="shared" si="113"/>
        <v>0</v>
      </c>
      <c r="BK40" s="753">
        <f t="shared" si="40"/>
        <v>0</v>
      </c>
      <c r="BL40" s="753" t="b">
        <f t="shared" si="131"/>
        <v>1</v>
      </c>
      <c r="BM40" s="755"/>
      <c r="BN40" s="719">
        <f t="shared" si="67"/>
        <v>0</v>
      </c>
      <c r="BO40" s="719">
        <f t="shared" si="68"/>
        <v>110</v>
      </c>
      <c r="BP40" s="755"/>
      <c r="BQ40" s="719">
        <f>IF(AND((COUNTIFS('3a Staff Plan'!$J$129:$J$305,FA40)*$B$22)+(COUNTIFS('3b Activity Plan'!$J$173:$J$365,FA40)*$M$22)=0,FB40&gt;0),1,0)</f>
        <v>0</v>
      </c>
      <c r="BR40" s="719">
        <f t="shared" si="114"/>
        <v>0</v>
      </c>
      <c r="BS40" s="719">
        <f t="shared" si="69"/>
        <v>0</v>
      </c>
      <c r="BT40" s="719">
        <f t="shared" si="70"/>
        <v>0</v>
      </c>
      <c r="BU40" s="719">
        <f t="shared" si="71"/>
        <v>0</v>
      </c>
      <c r="BV40" s="719">
        <f t="shared" si="72"/>
        <v>0</v>
      </c>
      <c r="BW40" s="719">
        <f t="shared" si="73"/>
        <v>0</v>
      </c>
      <c r="BX40" s="719">
        <f t="shared" si="74"/>
        <v>0</v>
      </c>
      <c r="BY40" s="719">
        <f t="shared" si="75"/>
        <v>0</v>
      </c>
      <c r="BZ40" s="719">
        <f t="shared" si="115"/>
        <v>0</v>
      </c>
      <c r="CA40" s="719">
        <f t="shared" si="116"/>
        <v>0</v>
      </c>
      <c r="CB40" s="719">
        <f t="shared" si="76"/>
        <v>0</v>
      </c>
      <c r="CC40" s="719"/>
      <c r="CD40" s="719"/>
      <c r="CE40" s="719">
        <f t="shared" si="77"/>
        <v>0</v>
      </c>
      <c r="CF40" s="719">
        <f t="shared" si="117"/>
        <v>0</v>
      </c>
      <c r="CG40" s="719">
        <f t="shared" si="118"/>
        <v>0</v>
      </c>
      <c r="CH40" s="719">
        <f t="shared" si="119"/>
        <v>0</v>
      </c>
      <c r="CI40" s="719">
        <f t="shared" si="120"/>
        <v>0</v>
      </c>
      <c r="CJ40" s="719">
        <f t="shared" si="121"/>
        <v>0</v>
      </c>
      <c r="CK40" s="719">
        <f t="shared" si="122"/>
        <v>0</v>
      </c>
      <c r="CL40" s="719">
        <f t="shared" si="123"/>
        <v>0</v>
      </c>
      <c r="CM40" s="719">
        <f t="shared" si="124"/>
        <v>0</v>
      </c>
      <c r="CN40" s="719">
        <f t="shared" si="125"/>
        <v>0</v>
      </c>
      <c r="CO40" s="719">
        <f t="shared" si="42"/>
        <v>0</v>
      </c>
      <c r="CP40" s="719">
        <f t="shared" si="78"/>
        <v>0</v>
      </c>
      <c r="CQ40" s="719">
        <f t="shared" si="126"/>
        <v>7</v>
      </c>
      <c r="CR40" s="719">
        <f t="shared" si="127"/>
        <v>0</v>
      </c>
      <c r="CS40" s="2526"/>
      <c r="CT40" s="2527">
        <f t="shared" si="128"/>
        <v>12</v>
      </c>
      <c r="CU40" s="2527">
        <f t="shared" si="4"/>
        <v>0</v>
      </c>
      <c r="CV40" s="2527">
        <f t="shared" si="5"/>
        <v>0</v>
      </c>
      <c r="CW40" s="2527">
        <f t="shared" si="43"/>
        <v>0</v>
      </c>
      <c r="CX40" s="755"/>
      <c r="CY40" s="2537"/>
      <c r="CZ40" s="499">
        <f t="shared" si="49"/>
        <v>0</v>
      </c>
      <c r="DA40" s="1107">
        <f t="shared" si="50"/>
        <v>0</v>
      </c>
      <c r="DB40" s="2537"/>
      <c r="DC40" s="499">
        <f t="shared" si="79"/>
        <v>0</v>
      </c>
      <c r="DD40" s="1107">
        <f t="shared" si="80"/>
        <v>0</v>
      </c>
      <c r="DE40" s="2537"/>
      <c r="DF40" s="499">
        <f t="shared" si="81"/>
        <v>0</v>
      </c>
      <c r="DG40" s="1107">
        <f t="shared" si="82"/>
        <v>0</v>
      </c>
      <c r="DH40" s="2537"/>
      <c r="DI40" s="499">
        <f t="shared" si="83"/>
        <v>0</v>
      </c>
      <c r="DJ40" s="1107">
        <f t="shared" si="84"/>
        <v>0</v>
      </c>
      <c r="DK40" s="2537"/>
      <c r="DL40" s="499">
        <f t="shared" si="85"/>
        <v>0</v>
      </c>
      <c r="DM40" s="1107">
        <f t="shared" si="86"/>
        <v>0</v>
      </c>
      <c r="DN40" s="2537"/>
      <c r="DO40" s="499">
        <f t="shared" si="87"/>
        <v>0</v>
      </c>
      <c r="DP40" s="1107">
        <f t="shared" si="88"/>
        <v>0</v>
      </c>
      <c r="DQ40" s="2537"/>
      <c r="DR40" s="2559"/>
      <c r="DS40" s="499">
        <f t="shared" si="6"/>
        <v>0</v>
      </c>
      <c r="DT40" s="1105">
        <f t="shared" si="7"/>
        <v>0</v>
      </c>
      <c r="DU40" s="2537"/>
      <c r="DV40" s="2559"/>
      <c r="DW40" s="2312">
        <f t="shared" si="8"/>
        <v>0</v>
      </c>
      <c r="DX40" s="1105">
        <f t="shared" si="9"/>
        <v>0</v>
      </c>
      <c r="DY40" s="2572"/>
      <c r="DZ40" s="2537"/>
      <c r="EA40" s="2537"/>
      <c r="EB40" s="2577" t="str">
        <f t="shared" si="133"/>
        <v>05</v>
      </c>
      <c r="EC40" s="2570"/>
      <c r="ED40" s="436">
        <f>IFERROR(INDEX('IPCS Data'!$H$8:$H$30,MATCH(EE40,'IPCS Data'!$I$8:$I$30,0)),0)</f>
        <v>0</v>
      </c>
      <c r="EE40" s="3072"/>
      <c r="EF40" s="2570"/>
      <c r="EG40" s="499">
        <f>IFERROR(INDEX('IPCS Data'!$L$8:$L$27,MATCH(EH40,'IPCS Data'!$M$8:$M$27,0)),0)</f>
        <v>0</v>
      </c>
      <c r="EH40" s="718"/>
      <c r="EI40" s="2578" t="s">
        <v>5</v>
      </c>
      <c r="EJ40" s="748">
        <f>IFERROR(INDEX('IPCS Data'!$O$8:$O$110,MATCH(EK40,'IPCS Data'!$Q$8:$Q$110,0)),0)</f>
        <v>0</v>
      </c>
      <c r="EK40" s="437"/>
      <c r="EL40" s="2578"/>
      <c r="EM40" s="840">
        <f t="shared" si="89"/>
        <v>0</v>
      </c>
      <c r="EN40" s="841"/>
      <c r="EO40" s="2537"/>
      <c r="EP40" s="842">
        <f t="shared" si="90"/>
        <v>0</v>
      </c>
      <c r="EQ40" s="843"/>
      <c r="ER40" s="2537"/>
      <c r="ES40" s="840">
        <f t="shared" si="91"/>
        <v>0</v>
      </c>
      <c r="ET40" s="843"/>
      <c r="EU40" s="2537"/>
      <c r="EV40" s="1497"/>
      <c r="EW40" s="1683"/>
      <c r="EX40" s="2562">
        <f t="shared" si="92"/>
        <v>7</v>
      </c>
      <c r="EY40" s="2533"/>
      <c r="EZ40" s="2561"/>
      <c r="FA40" s="1324">
        <f t="shared" si="10"/>
        <v>0</v>
      </c>
      <c r="FB40" s="2629">
        <f t="shared" si="93"/>
        <v>0</v>
      </c>
      <c r="FC40" s="274"/>
      <c r="FD40" s="2626">
        <f t="shared" si="11"/>
        <v>0</v>
      </c>
      <c r="FE40" s="2626">
        <f t="shared" si="12"/>
        <v>0</v>
      </c>
      <c r="FF40" s="274"/>
      <c r="FG40" s="2616">
        <f t="shared" si="94"/>
        <v>0</v>
      </c>
      <c r="FH40" s="2616">
        <f t="shared" si="95"/>
        <v>0</v>
      </c>
      <c r="FI40" s="2616">
        <f t="shared" si="96"/>
        <v>0</v>
      </c>
      <c r="FJ40" s="2610" t="s">
        <v>5</v>
      </c>
      <c r="FK40" s="2616">
        <f t="shared" si="97"/>
        <v>0</v>
      </c>
      <c r="FL40" s="2616">
        <f t="shared" si="98"/>
        <v>0</v>
      </c>
      <c r="FM40" s="2616">
        <f t="shared" si="99"/>
        <v>0</v>
      </c>
      <c r="FN40" s="2622">
        <f t="shared" si="100"/>
        <v>0</v>
      </c>
      <c r="FO40" s="2615">
        <f t="shared" si="101"/>
        <v>0</v>
      </c>
      <c r="FP40" s="2624">
        <f t="shared" si="102"/>
        <v>0</v>
      </c>
      <c r="FQ40" s="2622">
        <f t="shared" si="103"/>
        <v>0</v>
      </c>
      <c r="FR40" s="2624">
        <f t="shared" si="104"/>
        <v>0</v>
      </c>
      <c r="FS40" s="2611" t="s">
        <v>5</v>
      </c>
      <c r="FT40" s="2616">
        <f t="shared" si="105"/>
        <v>0</v>
      </c>
      <c r="FU40" s="2622">
        <f t="shared" si="129"/>
        <v>0</v>
      </c>
      <c r="FV40" s="2616">
        <f t="shared" si="106"/>
        <v>0</v>
      </c>
      <c r="FW40" s="2612" t="s">
        <v>5</v>
      </c>
      <c r="FX40" s="2616">
        <f t="shared" si="51"/>
        <v>0</v>
      </c>
      <c r="FY40" s="2616">
        <f t="shared" si="107"/>
        <v>0</v>
      </c>
      <c r="FZ40" s="2613" t="s">
        <v>5</v>
      </c>
      <c r="GA40" s="2616">
        <f t="shared" si="48"/>
        <v>0</v>
      </c>
      <c r="GB40" s="2619">
        <f t="shared" si="130"/>
        <v>0</v>
      </c>
      <c r="GC40" s="2620">
        <f t="shared" si="108"/>
        <v>0</v>
      </c>
      <c r="GD40" s="2614"/>
      <c r="GE40" s="3195">
        <f t="shared" si="16"/>
        <v>0</v>
      </c>
      <c r="GF40" s="3195">
        <f t="shared" si="17"/>
        <v>0</v>
      </c>
      <c r="GG40" s="3193" t="str">
        <f t="shared" si="18"/>
        <v>X</v>
      </c>
      <c r="GH40" s="2531"/>
      <c r="GI40" s="3189" t="str">
        <f t="shared" si="19"/>
        <v/>
      </c>
      <c r="GJ40" s="2598"/>
      <c r="GK40" s="3173">
        <f t="shared" si="20"/>
        <v>0</v>
      </c>
      <c r="GL40" s="3173">
        <f t="shared" si="21"/>
        <v>0</v>
      </c>
      <c r="GM40" s="3173">
        <f t="shared" si="22"/>
        <v>0</v>
      </c>
      <c r="GN40" s="3174">
        <f t="shared" si="23"/>
        <v>0</v>
      </c>
      <c r="GO40" s="3174">
        <f t="shared" si="24"/>
        <v>0</v>
      </c>
      <c r="GP40" s="3175">
        <f t="shared" si="25"/>
        <v>0</v>
      </c>
      <c r="GQ40" s="3176">
        <f t="shared" si="26"/>
        <v>0</v>
      </c>
      <c r="GR40" s="3177">
        <f t="shared" si="27"/>
        <v>0</v>
      </c>
      <c r="GS40" s="3177">
        <f t="shared" si="28"/>
        <v>0</v>
      </c>
      <c r="GT40" s="3178">
        <f t="shared" si="29"/>
        <v>0</v>
      </c>
      <c r="GU40" s="3179"/>
      <c r="GV40" s="3178">
        <f t="shared" si="30"/>
        <v>0</v>
      </c>
      <c r="GW40" s="3177">
        <f t="shared" si="31"/>
        <v>0</v>
      </c>
      <c r="GX40" s="3180"/>
      <c r="GY40" s="3177">
        <f t="shared" si="32"/>
        <v>0</v>
      </c>
      <c r="GZ40" s="2593"/>
      <c r="HA40" s="277"/>
      <c r="HB40" s="277"/>
      <c r="HC40" s="277"/>
      <c r="HD40" s="277"/>
      <c r="HE40" s="277"/>
      <c r="HF40" s="277"/>
      <c r="HG40" s="277"/>
      <c r="HH40" s="277"/>
      <c r="HI40" s="277"/>
      <c r="HJ40" s="277"/>
      <c r="HK40" s="277"/>
      <c r="HL40" s="277"/>
      <c r="HM40" s="277"/>
      <c r="HN40" s="277"/>
      <c r="HO40" s="277"/>
    </row>
    <row r="41" spans="1:223" ht="18" customHeight="1" x14ac:dyDescent="0.3">
      <c r="A41" s="755"/>
      <c r="B41" s="805">
        <f>SUMIFS('3a Staff Plan'!$T$129:$T$305,'3a Staff Plan'!$DF$129:$DF$305,1,'3a Staff Plan'!$DA$129:$DA$305,1,'3a Staff Plan'!$J$129:$J$305,$FA41)</f>
        <v>0</v>
      </c>
      <c r="C41" s="805">
        <f>SUMIFS('3a Staff Plan'!$U$129:$U$305,'3a Staff Plan'!$DF$129:$DF$305,1,'3a Staff Plan'!$DA$129:$DA$305,1,'3a Staff Plan'!$J$129:$J$305,$FA41)</f>
        <v>0</v>
      </c>
      <c r="D41" s="805">
        <f>SUMIFS('3a Staff Plan'!$Z$129:$Z$305,'3a Staff Plan'!$DF$129:$DF$305,1,'3a Staff Plan'!$DA$129:$DA$305,1,'3a Staff Plan'!$J$129:$J$305,$FA41)</f>
        <v>0</v>
      </c>
      <c r="E41" s="805">
        <f>SUMIFS('3a Staff Plan'!$Y$129:$Y$305,'3a Staff Plan'!$DF$129:$DF$305,1,'3a Staff Plan'!$DA$129:$DA$305,1,'3a Staff Plan'!$J$129:$J$305,$FA41)</f>
        <v>0</v>
      </c>
      <c r="F41" s="805">
        <f>SUMIFS('3a Staff Plan'!$X$129:$X$305,'3a Staff Plan'!$DF$129:$DF$305,1,'3a Staff Plan'!$DA$129:$DA$305,1,'3a Staff Plan'!$AG$129:$AG$305,1,'3a Staff Plan'!$J$129:$J$305,$FA41)</f>
        <v>0</v>
      </c>
      <c r="G41" s="805">
        <f>IF($G$24=0,0,SUMIFS('3a Staff Plan'!$W$129:$W$305,'3a Staff Plan'!$DF$129:$DF$305,1,'3a Staff Plan'!$DA$129:$DA$305,1,'3a Staff Plan'!$J$129:$J$305,$FA41))</f>
        <v>0</v>
      </c>
      <c r="H41" s="795">
        <f t="shared" si="52"/>
        <v>0</v>
      </c>
      <c r="I41" s="805">
        <f>SUMIFS('3a Staff Plan'!$V$129:$V$305,'3a Staff Plan'!$DF$129:$DF$305,1,'3a Staff Plan'!$DA$129:$DA$305,1,'3a Staff Plan'!$J$129:$J$305,$FA41)</f>
        <v>0</v>
      </c>
      <c r="J41" s="805">
        <f>SUMIFS('3a Staff Plan'!$AB$129:$AB$305,'3a Staff Plan'!$DF$129:$DF$305,1,'3a Staff Plan'!$DA$129:$DA$305,1,'3a Staff Plan'!$J$129:$J$305,$FA41)</f>
        <v>0</v>
      </c>
      <c r="K41" s="805">
        <f>SUMIFS('3a Staff Plan'!$AA$129:$AA$305,'3a Staff Plan'!$DF$129:$DF$305,1,'3a Staff Plan'!$DA$129:$DA$305,1,'3a Staff Plan'!$AG$129:$AG$305,1,'3a Staff Plan'!$J$129:$J$305,$FA41)</f>
        <v>0</v>
      </c>
      <c r="L41" s="755"/>
      <c r="M41" s="805">
        <f>SUMIFS('3b Activity Plan'!$T$173:$T$365,'3b Activity Plan'!$CY$173:$CY$365,1,'3b Activity Plan'!$CT$173:$CT$365,1,'3b Activity Plan'!$J$173:$J$365,$FA41)</f>
        <v>0</v>
      </c>
      <c r="N41" s="805">
        <f>SUMIFS('3b Activity Plan'!$U$173:$U$365,'3b Activity Plan'!$CY$173:$CY$365,1,'3b Activity Plan'!$CT$173:$CT$365,1,'3b Activity Plan'!$J$173:$J$365,$FA41)</f>
        <v>0</v>
      </c>
      <c r="O41" s="805">
        <f>SUMIFS('3b Activity Plan'!$Z$173:$Z$365,'3b Activity Plan'!$CY$173:$CY$365,1,'3b Activity Plan'!$CT$173:$CT$365,1,'3b Activity Plan'!$J$173:$J$365,$FA41)</f>
        <v>0</v>
      </c>
      <c r="P41" s="805">
        <f>SUMIFS('3b Activity Plan'!$Y$173:$Y$365,'3b Activity Plan'!$CY$173:$CY$365,1,'3b Activity Plan'!$CT$173:$CT$365,1,'3b Activity Plan'!$J$173:$J$365,$FA41)</f>
        <v>0</v>
      </c>
      <c r="Q41" s="805">
        <f>SUMIFS('3b Activity Plan'!$X$173:$X$365,'3b Activity Plan'!$CY$173:$CY$365,1,'3b Activity Plan'!$CT$173:$CT$365,1,'3b Activity Plan'!$J$173:$J$365,$FA41)</f>
        <v>0</v>
      </c>
      <c r="R41" s="805">
        <f>IF($R$24=0,0,SUMIFS('3b Activity Plan'!$W$173:$W$365,'3b Activity Plan'!$CY$173:$CY$365,1,'3b Activity Plan'!$CT$173:$CT$365,1,'3b Activity Plan'!$J$173:$J$365,$FA41))</f>
        <v>0</v>
      </c>
      <c r="S41" s="795">
        <f t="shared" si="53"/>
        <v>0</v>
      </c>
      <c r="T41" s="805">
        <f>SUMIFS('3b Activity Plan'!$V$173:$V$365,'3b Activity Plan'!$CY$173:$CY$365,1,'3b Activity Plan'!$CT$173:$CT$365,1,'3b Activity Plan'!$J$173:$J$365,$FA41)</f>
        <v>0</v>
      </c>
      <c r="U41" s="805">
        <f>SUMIFS('3b Activity Plan'!$AB$173:$AB$365,'3b Activity Plan'!$CY$173:$CY$365,1,'3b Activity Plan'!$CT$173:$CT$365,1,'3b Activity Plan'!$J$173:$J$365,$FA41)</f>
        <v>0</v>
      </c>
      <c r="V41" s="805">
        <f>SUMIFS('3b Activity Plan'!$AA$173:$AA$365,'3b Activity Plan'!$CY$173:$CY$365,1,'3b Activity Plan'!$CT$173:$CT$365,1,'3b Activity Plan'!$J$173:$J$365,$FA41)</f>
        <v>0</v>
      </c>
      <c r="W41" s="755"/>
      <c r="X41" s="2641">
        <f>SUMIFS('3b Activity Plan'!$FU$173:$FU$365,'3b Activity Plan'!$J$173:$J$365,$FA41)</f>
        <v>0</v>
      </c>
      <c r="Y41" s="2641">
        <f>SUMIFS('3b Activity Plan'!$FW$173:$FW$365,'3b Activity Plan'!$J$173:$J$365,$FA41)</f>
        <v>0</v>
      </c>
      <c r="Z41" s="2639">
        <f t="shared" si="132"/>
        <v>0</v>
      </c>
      <c r="AA41" s="755"/>
      <c r="AB41" s="761">
        <f>_xlfn.MINIFS('3a Staff Plan'!$EB$129:$EB$304,'3a Staff Plan'!$DF$129:$DF$304,1,'3a Staff Plan'!$J$129:$J$304,FA41)</f>
        <v>0</v>
      </c>
      <c r="AC41" s="761">
        <f>_xlfn.MAXIFS('3a Staff Plan'!$EC$129:$EC$304,'3a Staff Plan'!$DF$129:$DF$304,1,'3a Staff Plan'!$J$129:$J$304,FA41)</f>
        <v>0</v>
      </c>
      <c r="AD41" s="755"/>
      <c r="AE41" s="761">
        <f>_xlfn.MINIFS('3b Activity Plan'!$GN$173:$GN$365,'3b Activity Plan'!$CY$173:$CY$365,1,'3b Activity Plan'!$J$173:$J$365,$FA41)</f>
        <v>0</v>
      </c>
      <c r="AF41" s="761">
        <f>_xlfn.MAXIFS('3b Activity Plan'!$GO$173:$GO$365,'3b Activity Plan'!$CY$173:$CY$365,1,'3b Activity Plan'!$J$173:$J$365,$FA41)</f>
        <v>0</v>
      </c>
      <c r="AG41" s="755"/>
      <c r="AH41" s="761">
        <f t="shared" si="54"/>
        <v>0</v>
      </c>
      <c r="AI41" s="761">
        <f t="shared" si="55"/>
        <v>0</v>
      </c>
      <c r="AJ41" s="755"/>
      <c r="AK41" s="761">
        <f t="shared" si="56"/>
        <v>0</v>
      </c>
      <c r="AL41" s="761">
        <f t="shared" si="57"/>
        <v>0</v>
      </c>
      <c r="AM41" s="776">
        <f t="shared" si="58"/>
        <v>0</v>
      </c>
      <c r="AN41" s="755"/>
      <c r="AO41" s="748">
        <f t="shared" si="59"/>
        <v>0</v>
      </c>
      <c r="AP41" s="748">
        <f t="shared" si="60"/>
        <v>0</v>
      </c>
      <c r="AQ41" s="748">
        <f t="shared" si="61"/>
        <v>0</v>
      </c>
      <c r="AR41" s="748">
        <f t="shared" si="62"/>
        <v>0</v>
      </c>
      <c r="AS41" s="748">
        <f t="shared" si="63"/>
        <v>0</v>
      </c>
      <c r="AT41" s="748">
        <f t="shared" si="64"/>
        <v>0</v>
      </c>
      <c r="AU41" s="748">
        <f t="shared" si="65"/>
        <v>0</v>
      </c>
      <c r="AV41" s="748">
        <f>IFERROR(INDEX('IPCS Data'!$R$8:$R$109,MATCH(EJ41,'IPCS Data'!$O$8:$O$109,0)),0)</f>
        <v>0</v>
      </c>
      <c r="AW41" s="755"/>
      <c r="AX41" s="499">
        <f>IFERROR(INDEX('IPCS Data'!$P$18:$P$110,MATCH(EK41,'IPCS Data'!$Q$18:$Q$110,0)),0)</f>
        <v>0</v>
      </c>
      <c r="AY41" s="1950" t="str">
        <f t="shared" si="110"/>
        <v/>
      </c>
      <c r="AZ41" s="755"/>
      <c r="BA41" s="753" t="str">
        <f>IFERROR(IF(MATCH(EJ41,'IPCS Data'!$O$8:$O$110,0)&gt;=25,"L","N"),"N")</f>
        <v>N</v>
      </c>
      <c r="BB41" s="774"/>
      <c r="BC41" s="753" t="str">
        <f t="shared" si="111"/>
        <v>N</v>
      </c>
      <c r="BD41" s="753" t="str">
        <f t="shared" si="39"/>
        <v>Non-Labor</v>
      </c>
      <c r="BE41" s="755"/>
      <c r="BF41" s="753" t="str">
        <f t="shared" si="112"/>
        <v>B23672.05</v>
      </c>
      <c r="BG41" s="753" t="str">
        <f t="shared" si="2"/>
        <v>0.0.0</v>
      </c>
      <c r="BH41" s="753">
        <f t="shared" si="66"/>
        <v>0</v>
      </c>
      <c r="BI41" s="753">
        <f t="shared" si="3"/>
        <v>0</v>
      </c>
      <c r="BJ41" s="753">
        <f t="shared" si="113"/>
        <v>0</v>
      </c>
      <c r="BK41" s="753">
        <f t="shared" si="40"/>
        <v>0</v>
      </c>
      <c r="BL41" s="753" t="b">
        <f t="shared" si="131"/>
        <v>1</v>
      </c>
      <c r="BM41" s="755"/>
      <c r="BN41" s="719">
        <f t="shared" si="67"/>
        <v>0</v>
      </c>
      <c r="BO41" s="719">
        <f t="shared" si="68"/>
        <v>110</v>
      </c>
      <c r="BP41" s="755"/>
      <c r="BQ41" s="719">
        <f>IF(AND((COUNTIFS('3a Staff Plan'!$J$129:$J$305,FA41)*$B$22)+(COUNTIFS('3b Activity Plan'!$J$173:$J$365,FA41)*$M$22)=0,FB41&gt;0),1,0)</f>
        <v>0</v>
      </c>
      <c r="BR41" s="719">
        <f t="shared" si="114"/>
        <v>0</v>
      </c>
      <c r="BS41" s="719">
        <f t="shared" si="69"/>
        <v>0</v>
      </c>
      <c r="BT41" s="719">
        <f t="shared" si="70"/>
        <v>0</v>
      </c>
      <c r="BU41" s="719">
        <f t="shared" si="71"/>
        <v>0</v>
      </c>
      <c r="BV41" s="719">
        <f t="shared" si="72"/>
        <v>0</v>
      </c>
      <c r="BW41" s="719">
        <f t="shared" si="73"/>
        <v>0</v>
      </c>
      <c r="BX41" s="719">
        <f t="shared" si="74"/>
        <v>0</v>
      </c>
      <c r="BY41" s="719">
        <f t="shared" si="75"/>
        <v>0</v>
      </c>
      <c r="BZ41" s="719">
        <f t="shared" si="115"/>
        <v>0</v>
      </c>
      <c r="CA41" s="719">
        <f t="shared" si="116"/>
        <v>0</v>
      </c>
      <c r="CB41" s="719">
        <f t="shared" si="76"/>
        <v>0</v>
      </c>
      <c r="CC41" s="719"/>
      <c r="CD41" s="719"/>
      <c r="CE41" s="719">
        <f t="shared" si="77"/>
        <v>0</v>
      </c>
      <c r="CF41" s="719">
        <f t="shared" si="117"/>
        <v>0</v>
      </c>
      <c r="CG41" s="719">
        <f t="shared" si="118"/>
        <v>0</v>
      </c>
      <c r="CH41" s="719">
        <f t="shared" si="119"/>
        <v>0</v>
      </c>
      <c r="CI41" s="719">
        <f t="shared" si="120"/>
        <v>0</v>
      </c>
      <c r="CJ41" s="719">
        <f t="shared" si="121"/>
        <v>0</v>
      </c>
      <c r="CK41" s="719">
        <f t="shared" si="122"/>
        <v>0</v>
      </c>
      <c r="CL41" s="719">
        <f t="shared" si="123"/>
        <v>0</v>
      </c>
      <c r="CM41" s="719">
        <f t="shared" si="124"/>
        <v>0</v>
      </c>
      <c r="CN41" s="719">
        <f t="shared" si="125"/>
        <v>0</v>
      </c>
      <c r="CO41" s="719">
        <f t="shared" si="42"/>
        <v>0</v>
      </c>
      <c r="CP41" s="719">
        <f t="shared" si="78"/>
        <v>0</v>
      </c>
      <c r="CQ41" s="719">
        <f t="shared" si="126"/>
        <v>8</v>
      </c>
      <c r="CR41" s="719">
        <f t="shared" si="127"/>
        <v>0</v>
      </c>
      <c r="CS41" s="2526"/>
      <c r="CT41" s="2527">
        <f t="shared" si="128"/>
        <v>13</v>
      </c>
      <c r="CU41" s="2527">
        <f t="shared" si="4"/>
        <v>0</v>
      </c>
      <c r="CV41" s="2527">
        <f t="shared" si="5"/>
        <v>0</v>
      </c>
      <c r="CW41" s="2527">
        <f t="shared" si="43"/>
        <v>0</v>
      </c>
      <c r="CX41" s="755"/>
      <c r="CY41" s="2537"/>
      <c r="CZ41" s="499">
        <f t="shared" si="49"/>
        <v>0</v>
      </c>
      <c r="DA41" s="1107">
        <f t="shared" si="50"/>
        <v>0</v>
      </c>
      <c r="DB41" s="2537"/>
      <c r="DC41" s="499">
        <f t="shared" si="79"/>
        <v>0</v>
      </c>
      <c r="DD41" s="1107">
        <f t="shared" si="80"/>
        <v>0</v>
      </c>
      <c r="DE41" s="2537"/>
      <c r="DF41" s="499">
        <f t="shared" si="81"/>
        <v>0</v>
      </c>
      <c r="DG41" s="1107">
        <f t="shared" si="82"/>
        <v>0</v>
      </c>
      <c r="DH41" s="2537"/>
      <c r="DI41" s="499">
        <f t="shared" si="83"/>
        <v>0</v>
      </c>
      <c r="DJ41" s="1107">
        <f t="shared" si="84"/>
        <v>0</v>
      </c>
      <c r="DK41" s="2537"/>
      <c r="DL41" s="499">
        <f t="shared" si="85"/>
        <v>0</v>
      </c>
      <c r="DM41" s="1107">
        <f t="shared" si="86"/>
        <v>0</v>
      </c>
      <c r="DN41" s="2537"/>
      <c r="DO41" s="499">
        <f t="shared" si="87"/>
        <v>0</v>
      </c>
      <c r="DP41" s="1107">
        <f t="shared" si="88"/>
        <v>0</v>
      </c>
      <c r="DQ41" s="2537"/>
      <c r="DR41" s="2559"/>
      <c r="DS41" s="499">
        <f t="shared" si="6"/>
        <v>0</v>
      </c>
      <c r="DT41" s="1105">
        <f t="shared" si="7"/>
        <v>0</v>
      </c>
      <c r="DU41" s="2537"/>
      <c r="DV41" s="2559"/>
      <c r="DW41" s="2312">
        <f t="shared" si="8"/>
        <v>0</v>
      </c>
      <c r="DX41" s="1105">
        <f t="shared" si="9"/>
        <v>0</v>
      </c>
      <c r="DY41" s="2572"/>
      <c r="DZ41" s="2537"/>
      <c r="EA41" s="2537"/>
      <c r="EB41" s="2577" t="str">
        <f t="shared" si="133"/>
        <v>05</v>
      </c>
      <c r="EC41" s="2570"/>
      <c r="ED41" s="436">
        <f>IFERROR(INDEX('IPCS Data'!$H$8:$H$30,MATCH(EE41,'IPCS Data'!$I$8:$I$30,0)),0)</f>
        <v>0</v>
      </c>
      <c r="EE41" s="3072"/>
      <c r="EF41" s="2570"/>
      <c r="EG41" s="499">
        <f>IFERROR(INDEX('IPCS Data'!$L$8:$L$27,MATCH(EH41,'IPCS Data'!$M$8:$M$27,0)),0)</f>
        <v>0</v>
      </c>
      <c r="EH41" s="718"/>
      <c r="EI41" s="2578" t="s">
        <v>5</v>
      </c>
      <c r="EJ41" s="748">
        <f>IFERROR(INDEX('IPCS Data'!$O$8:$O$110,MATCH(EK41,'IPCS Data'!$Q$8:$Q$110,0)),0)</f>
        <v>0</v>
      </c>
      <c r="EK41" s="437"/>
      <c r="EL41" s="2578"/>
      <c r="EM41" s="840">
        <f t="shared" si="89"/>
        <v>0</v>
      </c>
      <c r="EN41" s="841"/>
      <c r="EO41" s="2537"/>
      <c r="EP41" s="842">
        <f t="shared" si="90"/>
        <v>0</v>
      </c>
      <c r="EQ41" s="843"/>
      <c r="ER41" s="2537"/>
      <c r="ES41" s="840">
        <f t="shared" si="91"/>
        <v>0</v>
      </c>
      <c r="ET41" s="843"/>
      <c r="EU41" s="2537"/>
      <c r="EV41" s="1497"/>
      <c r="EW41" s="1683"/>
      <c r="EX41" s="2562">
        <f t="shared" si="92"/>
        <v>8</v>
      </c>
      <c r="EY41" s="2533"/>
      <c r="EZ41" s="2561"/>
      <c r="FA41" s="1324">
        <f t="shared" si="10"/>
        <v>0</v>
      </c>
      <c r="FB41" s="2629">
        <f t="shared" si="93"/>
        <v>0</v>
      </c>
      <c r="FC41" s="274"/>
      <c r="FD41" s="2626">
        <f t="shared" si="11"/>
        <v>0</v>
      </c>
      <c r="FE41" s="2626">
        <f t="shared" si="12"/>
        <v>0</v>
      </c>
      <c r="FF41" s="274"/>
      <c r="FG41" s="2616">
        <f t="shared" si="94"/>
        <v>0</v>
      </c>
      <c r="FH41" s="2616">
        <f t="shared" si="95"/>
        <v>0</v>
      </c>
      <c r="FI41" s="2616">
        <f t="shared" si="96"/>
        <v>0</v>
      </c>
      <c r="FJ41" s="2610" t="s">
        <v>5</v>
      </c>
      <c r="FK41" s="2616">
        <f t="shared" si="97"/>
        <v>0</v>
      </c>
      <c r="FL41" s="2616">
        <f t="shared" si="98"/>
        <v>0</v>
      </c>
      <c r="FM41" s="2616">
        <f t="shared" si="99"/>
        <v>0</v>
      </c>
      <c r="FN41" s="2622">
        <f t="shared" si="100"/>
        <v>0</v>
      </c>
      <c r="FO41" s="2615">
        <f t="shared" si="101"/>
        <v>0</v>
      </c>
      <c r="FP41" s="2624">
        <f t="shared" si="102"/>
        <v>0</v>
      </c>
      <c r="FQ41" s="2622">
        <f t="shared" si="103"/>
        <v>0</v>
      </c>
      <c r="FR41" s="2624">
        <f t="shared" si="104"/>
        <v>0</v>
      </c>
      <c r="FS41" s="2611" t="s">
        <v>5</v>
      </c>
      <c r="FT41" s="2616">
        <f t="shared" si="105"/>
        <v>0</v>
      </c>
      <c r="FU41" s="2622">
        <f t="shared" si="129"/>
        <v>0</v>
      </c>
      <c r="FV41" s="2616">
        <f t="shared" si="106"/>
        <v>0</v>
      </c>
      <c r="FW41" s="2612" t="s">
        <v>5</v>
      </c>
      <c r="FX41" s="2616">
        <f t="shared" si="51"/>
        <v>0</v>
      </c>
      <c r="FY41" s="2616">
        <f t="shared" si="107"/>
        <v>0</v>
      </c>
      <c r="FZ41" s="2613" t="s">
        <v>5</v>
      </c>
      <c r="GA41" s="2616">
        <f t="shared" si="48"/>
        <v>0</v>
      </c>
      <c r="GB41" s="2619">
        <f t="shared" si="130"/>
        <v>0</v>
      </c>
      <c r="GC41" s="2620">
        <f t="shared" si="108"/>
        <v>0</v>
      </c>
      <c r="GD41" s="2614"/>
      <c r="GE41" s="3195">
        <f t="shared" si="16"/>
        <v>0</v>
      </c>
      <c r="GF41" s="3195">
        <f t="shared" si="17"/>
        <v>0</v>
      </c>
      <c r="GG41" s="3193" t="str">
        <f t="shared" si="18"/>
        <v>X</v>
      </c>
      <c r="GH41" s="2531"/>
      <c r="GI41" s="3189" t="str">
        <f t="shared" si="19"/>
        <v/>
      </c>
      <c r="GJ41" s="2598"/>
      <c r="GK41" s="3173">
        <f t="shared" si="20"/>
        <v>0</v>
      </c>
      <c r="GL41" s="3173">
        <f t="shared" si="21"/>
        <v>0</v>
      </c>
      <c r="GM41" s="3173">
        <f t="shared" si="22"/>
        <v>0</v>
      </c>
      <c r="GN41" s="3174">
        <f t="shared" si="23"/>
        <v>0</v>
      </c>
      <c r="GO41" s="3174">
        <f t="shared" si="24"/>
        <v>0</v>
      </c>
      <c r="GP41" s="3175">
        <f t="shared" si="25"/>
        <v>0</v>
      </c>
      <c r="GQ41" s="3176">
        <f t="shared" si="26"/>
        <v>0</v>
      </c>
      <c r="GR41" s="3177">
        <f t="shared" si="27"/>
        <v>0</v>
      </c>
      <c r="GS41" s="3177">
        <f t="shared" si="28"/>
        <v>0</v>
      </c>
      <c r="GT41" s="3178">
        <f t="shared" si="29"/>
        <v>0</v>
      </c>
      <c r="GU41" s="3179"/>
      <c r="GV41" s="3178">
        <f t="shared" si="30"/>
        <v>0</v>
      </c>
      <c r="GW41" s="3177">
        <f t="shared" si="31"/>
        <v>0</v>
      </c>
      <c r="GX41" s="3180"/>
      <c r="GY41" s="3177">
        <f t="shared" si="32"/>
        <v>0</v>
      </c>
      <c r="GZ41" s="2593"/>
      <c r="HA41" s="277"/>
      <c r="HB41" s="277"/>
      <c r="HC41" s="277"/>
      <c r="HD41" s="277"/>
      <c r="HE41" s="277"/>
      <c r="HF41" s="277"/>
      <c r="HG41" s="277"/>
      <c r="HH41" s="277"/>
      <c r="HI41" s="277"/>
      <c r="HJ41" s="277"/>
      <c r="HK41" s="277"/>
      <c r="HL41" s="277"/>
      <c r="HM41" s="277"/>
      <c r="HN41" s="277"/>
      <c r="HO41" s="277"/>
    </row>
    <row r="42" spans="1:223" ht="18" customHeight="1" x14ac:dyDescent="0.3">
      <c r="A42" s="755"/>
      <c r="B42" s="805">
        <f>SUMIFS('3a Staff Plan'!$T$129:$T$305,'3a Staff Plan'!$DF$129:$DF$305,1,'3a Staff Plan'!$DA$129:$DA$305,1,'3a Staff Plan'!$J$129:$J$305,$FA42)</f>
        <v>0</v>
      </c>
      <c r="C42" s="805">
        <f>SUMIFS('3a Staff Plan'!$U$129:$U$305,'3a Staff Plan'!$DF$129:$DF$305,1,'3a Staff Plan'!$DA$129:$DA$305,1,'3a Staff Plan'!$J$129:$J$305,$FA42)</f>
        <v>0</v>
      </c>
      <c r="D42" s="805">
        <f>SUMIFS('3a Staff Plan'!$Z$129:$Z$305,'3a Staff Plan'!$DF$129:$DF$305,1,'3a Staff Plan'!$DA$129:$DA$305,1,'3a Staff Plan'!$J$129:$J$305,$FA42)</f>
        <v>0</v>
      </c>
      <c r="E42" s="805">
        <f>SUMIFS('3a Staff Plan'!$Y$129:$Y$305,'3a Staff Plan'!$DF$129:$DF$305,1,'3a Staff Plan'!$DA$129:$DA$305,1,'3a Staff Plan'!$J$129:$J$305,$FA42)</f>
        <v>0</v>
      </c>
      <c r="F42" s="805">
        <f>SUMIFS('3a Staff Plan'!$X$129:$X$305,'3a Staff Plan'!$DF$129:$DF$305,1,'3a Staff Plan'!$DA$129:$DA$305,1,'3a Staff Plan'!$AG$129:$AG$305,1,'3a Staff Plan'!$J$129:$J$305,$FA42)</f>
        <v>0</v>
      </c>
      <c r="G42" s="805">
        <f>IF($G$24=0,0,SUMIFS('3a Staff Plan'!$W$129:$W$305,'3a Staff Plan'!$DF$129:$DF$305,1,'3a Staff Plan'!$DA$129:$DA$305,1,'3a Staff Plan'!$J$129:$J$305,$FA42))</f>
        <v>0</v>
      </c>
      <c r="H42" s="795">
        <f t="shared" si="52"/>
        <v>0</v>
      </c>
      <c r="I42" s="805">
        <f>SUMIFS('3a Staff Plan'!$V$129:$V$305,'3a Staff Plan'!$DF$129:$DF$305,1,'3a Staff Plan'!$DA$129:$DA$305,1,'3a Staff Plan'!$J$129:$J$305,$FA42)</f>
        <v>0</v>
      </c>
      <c r="J42" s="805">
        <f>SUMIFS('3a Staff Plan'!$AB$129:$AB$305,'3a Staff Plan'!$DF$129:$DF$305,1,'3a Staff Plan'!$DA$129:$DA$305,1,'3a Staff Plan'!$J$129:$J$305,$FA42)</f>
        <v>0</v>
      </c>
      <c r="K42" s="805">
        <f>SUMIFS('3a Staff Plan'!$AA$129:$AA$305,'3a Staff Plan'!$DF$129:$DF$305,1,'3a Staff Plan'!$DA$129:$DA$305,1,'3a Staff Plan'!$AG$129:$AG$305,1,'3a Staff Plan'!$J$129:$J$305,$FA42)</f>
        <v>0</v>
      </c>
      <c r="L42" s="755"/>
      <c r="M42" s="805">
        <f>SUMIFS('3b Activity Plan'!$T$173:$T$365,'3b Activity Plan'!$CY$173:$CY$365,1,'3b Activity Plan'!$CT$173:$CT$365,1,'3b Activity Plan'!$J$173:$J$365,$FA42)</f>
        <v>0</v>
      </c>
      <c r="N42" s="805">
        <f>SUMIFS('3b Activity Plan'!$U$173:$U$365,'3b Activity Plan'!$CY$173:$CY$365,1,'3b Activity Plan'!$CT$173:$CT$365,1,'3b Activity Plan'!$J$173:$J$365,$FA42)</f>
        <v>0</v>
      </c>
      <c r="O42" s="805">
        <f>SUMIFS('3b Activity Plan'!$Z$173:$Z$365,'3b Activity Plan'!$CY$173:$CY$365,1,'3b Activity Plan'!$CT$173:$CT$365,1,'3b Activity Plan'!$J$173:$J$365,$FA42)</f>
        <v>0</v>
      </c>
      <c r="P42" s="805">
        <f>SUMIFS('3b Activity Plan'!$Y$173:$Y$365,'3b Activity Plan'!$CY$173:$CY$365,1,'3b Activity Plan'!$CT$173:$CT$365,1,'3b Activity Plan'!$J$173:$J$365,$FA42)</f>
        <v>0</v>
      </c>
      <c r="Q42" s="805">
        <f>SUMIFS('3b Activity Plan'!$X$173:$X$365,'3b Activity Plan'!$CY$173:$CY$365,1,'3b Activity Plan'!$CT$173:$CT$365,1,'3b Activity Plan'!$J$173:$J$365,$FA42)</f>
        <v>0</v>
      </c>
      <c r="R42" s="805">
        <f>IF($R$24=0,0,SUMIFS('3b Activity Plan'!$W$173:$W$365,'3b Activity Plan'!$CY$173:$CY$365,1,'3b Activity Plan'!$CT$173:$CT$365,1,'3b Activity Plan'!$J$173:$J$365,$FA42))</f>
        <v>0</v>
      </c>
      <c r="S42" s="795">
        <f t="shared" si="53"/>
        <v>0</v>
      </c>
      <c r="T42" s="805">
        <f>SUMIFS('3b Activity Plan'!$V$173:$V$365,'3b Activity Plan'!$CY$173:$CY$365,1,'3b Activity Plan'!$CT$173:$CT$365,1,'3b Activity Plan'!$J$173:$J$365,$FA42)</f>
        <v>0</v>
      </c>
      <c r="U42" s="805">
        <f>SUMIFS('3b Activity Plan'!$AB$173:$AB$365,'3b Activity Plan'!$CY$173:$CY$365,1,'3b Activity Plan'!$CT$173:$CT$365,1,'3b Activity Plan'!$J$173:$J$365,$FA42)</f>
        <v>0</v>
      </c>
      <c r="V42" s="805">
        <f>SUMIFS('3b Activity Plan'!$AA$173:$AA$365,'3b Activity Plan'!$CY$173:$CY$365,1,'3b Activity Plan'!$CT$173:$CT$365,1,'3b Activity Plan'!$J$173:$J$365,$FA42)</f>
        <v>0</v>
      </c>
      <c r="W42" s="755"/>
      <c r="X42" s="2641">
        <f>SUMIFS('3b Activity Plan'!$FU$173:$FU$365,'3b Activity Plan'!$J$173:$J$365,$FA42)</f>
        <v>0</v>
      </c>
      <c r="Y42" s="2641">
        <f>SUMIFS('3b Activity Plan'!$FW$173:$FW$365,'3b Activity Plan'!$J$173:$J$365,$FA42)</f>
        <v>0</v>
      </c>
      <c r="Z42" s="2639">
        <f t="shared" si="132"/>
        <v>0</v>
      </c>
      <c r="AA42" s="755"/>
      <c r="AB42" s="761">
        <f>_xlfn.MINIFS('3a Staff Plan'!$EB$129:$EB$304,'3a Staff Plan'!$DF$129:$DF$304,1,'3a Staff Plan'!$J$129:$J$304,FA42)</f>
        <v>0</v>
      </c>
      <c r="AC42" s="761">
        <f>_xlfn.MAXIFS('3a Staff Plan'!$EC$129:$EC$304,'3a Staff Plan'!$DF$129:$DF$304,1,'3a Staff Plan'!$J$129:$J$304,FA42)</f>
        <v>0</v>
      </c>
      <c r="AD42" s="755"/>
      <c r="AE42" s="761">
        <f>_xlfn.MINIFS('3b Activity Plan'!$GN$173:$GN$365,'3b Activity Plan'!$CY$173:$CY$365,1,'3b Activity Plan'!$J$173:$J$365,$FA42)</f>
        <v>0</v>
      </c>
      <c r="AF42" s="761">
        <f>_xlfn.MAXIFS('3b Activity Plan'!$GO$173:$GO$365,'3b Activity Plan'!$CY$173:$CY$365,1,'3b Activity Plan'!$J$173:$J$365,$FA42)</f>
        <v>0</v>
      </c>
      <c r="AG42" s="755"/>
      <c r="AH42" s="761">
        <f t="shared" si="54"/>
        <v>0</v>
      </c>
      <c r="AI42" s="761">
        <f t="shared" si="55"/>
        <v>0</v>
      </c>
      <c r="AJ42" s="755"/>
      <c r="AK42" s="761">
        <f t="shared" si="56"/>
        <v>0</v>
      </c>
      <c r="AL42" s="761">
        <f t="shared" si="57"/>
        <v>0</v>
      </c>
      <c r="AM42" s="776">
        <f t="shared" si="58"/>
        <v>0</v>
      </c>
      <c r="AN42" s="755"/>
      <c r="AO42" s="748">
        <f t="shared" si="59"/>
        <v>0</v>
      </c>
      <c r="AP42" s="748">
        <f t="shared" si="60"/>
        <v>0</v>
      </c>
      <c r="AQ42" s="748">
        <f t="shared" si="61"/>
        <v>0</v>
      </c>
      <c r="AR42" s="748">
        <f t="shared" si="62"/>
        <v>0</v>
      </c>
      <c r="AS42" s="748">
        <f t="shared" si="63"/>
        <v>0</v>
      </c>
      <c r="AT42" s="748">
        <f t="shared" si="64"/>
        <v>0</v>
      </c>
      <c r="AU42" s="748">
        <f t="shared" si="65"/>
        <v>0</v>
      </c>
      <c r="AV42" s="748">
        <f>IFERROR(INDEX('IPCS Data'!$R$8:$R$109,MATCH(EJ42,'IPCS Data'!$O$8:$O$109,0)),0)</f>
        <v>0</v>
      </c>
      <c r="AW42" s="755"/>
      <c r="AX42" s="499">
        <f>IFERROR(INDEX('IPCS Data'!$P$18:$P$110,MATCH(EK42,'IPCS Data'!$Q$18:$Q$110,0)),0)</f>
        <v>0</v>
      </c>
      <c r="AY42" s="1950" t="str">
        <f t="shared" si="110"/>
        <v/>
      </c>
      <c r="AZ42" s="755"/>
      <c r="BA42" s="753" t="str">
        <f>IFERROR(IF(MATCH(EJ42,'IPCS Data'!$O$8:$O$110,0)&gt;=25,"L","N"),"N")</f>
        <v>N</v>
      </c>
      <c r="BB42" s="774"/>
      <c r="BC42" s="753" t="str">
        <f t="shared" si="111"/>
        <v>N</v>
      </c>
      <c r="BD42" s="753" t="str">
        <f t="shared" si="39"/>
        <v>Non-Labor</v>
      </c>
      <c r="BE42" s="755"/>
      <c r="BF42" s="753" t="str">
        <f t="shared" si="112"/>
        <v>B23672.05</v>
      </c>
      <c r="BG42" s="753" t="str">
        <f t="shared" si="2"/>
        <v>0.0.0</v>
      </c>
      <c r="BH42" s="753">
        <f t="shared" si="66"/>
        <v>0</v>
      </c>
      <c r="BI42" s="753">
        <f t="shared" si="3"/>
        <v>0</v>
      </c>
      <c r="BJ42" s="753">
        <f t="shared" si="113"/>
        <v>0</v>
      </c>
      <c r="BK42" s="753">
        <f t="shared" si="40"/>
        <v>0</v>
      </c>
      <c r="BL42" s="753" t="b">
        <f t="shared" si="131"/>
        <v>1</v>
      </c>
      <c r="BM42" s="755"/>
      <c r="BN42" s="719">
        <f t="shared" si="67"/>
        <v>0</v>
      </c>
      <c r="BO42" s="719">
        <f t="shared" si="68"/>
        <v>110</v>
      </c>
      <c r="BP42" s="755"/>
      <c r="BQ42" s="719">
        <f>IF(AND((COUNTIFS('3a Staff Plan'!$J$129:$J$305,FA42)*$B$22)+(COUNTIFS('3b Activity Plan'!$J$173:$J$365,FA42)*$M$22)=0,FB42&gt;0),1,0)</f>
        <v>0</v>
      </c>
      <c r="BR42" s="719">
        <f t="shared" si="114"/>
        <v>0</v>
      </c>
      <c r="BS42" s="719">
        <f t="shared" si="69"/>
        <v>0</v>
      </c>
      <c r="BT42" s="719">
        <f t="shared" si="70"/>
        <v>0</v>
      </c>
      <c r="BU42" s="719">
        <f t="shared" si="71"/>
        <v>0</v>
      </c>
      <c r="BV42" s="719">
        <f t="shared" si="72"/>
        <v>0</v>
      </c>
      <c r="BW42" s="719">
        <f t="shared" si="73"/>
        <v>0</v>
      </c>
      <c r="BX42" s="719">
        <f t="shared" si="74"/>
        <v>0</v>
      </c>
      <c r="BY42" s="719">
        <f t="shared" si="75"/>
        <v>0</v>
      </c>
      <c r="BZ42" s="719">
        <f t="shared" si="115"/>
        <v>0</v>
      </c>
      <c r="CA42" s="719">
        <f t="shared" si="116"/>
        <v>0</v>
      </c>
      <c r="CB42" s="719">
        <f t="shared" si="76"/>
        <v>0</v>
      </c>
      <c r="CC42" s="719"/>
      <c r="CD42" s="719"/>
      <c r="CE42" s="719">
        <f t="shared" si="77"/>
        <v>0</v>
      </c>
      <c r="CF42" s="719">
        <f t="shared" si="117"/>
        <v>0</v>
      </c>
      <c r="CG42" s="719">
        <f t="shared" si="118"/>
        <v>0</v>
      </c>
      <c r="CH42" s="719">
        <f t="shared" si="119"/>
        <v>0</v>
      </c>
      <c r="CI42" s="719">
        <f t="shared" si="120"/>
        <v>0</v>
      </c>
      <c r="CJ42" s="719">
        <f t="shared" si="121"/>
        <v>0</v>
      </c>
      <c r="CK42" s="719">
        <f t="shared" si="122"/>
        <v>0</v>
      </c>
      <c r="CL42" s="719">
        <f t="shared" si="123"/>
        <v>0</v>
      </c>
      <c r="CM42" s="719">
        <f t="shared" si="124"/>
        <v>0</v>
      </c>
      <c r="CN42" s="719">
        <f t="shared" si="125"/>
        <v>0</v>
      </c>
      <c r="CO42" s="719">
        <f t="shared" si="42"/>
        <v>0</v>
      </c>
      <c r="CP42" s="719">
        <f t="shared" si="78"/>
        <v>0</v>
      </c>
      <c r="CQ42" s="719">
        <f t="shared" si="126"/>
        <v>9</v>
      </c>
      <c r="CR42" s="719">
        <f t="shared" si="127"/>
        <v>0</v>
      </c>
      <c r="CS42" s="2526"/>
      <c r="CT42" s="2527">
        <f t="shared" si="128"/>
        <v>14</v>
      </c>
      <c r="CU42" s="2527">
        <f t="shared" si="4"/>
        <v>0</v>
      </c>
      <c r="CV42" s="2527">
        <f t="shared" si="5"/>
        <v>0</v>
      </c>
      <c r="CW42" s="2527">
        <f t="shared" si="43"/>
        <v>0</v>
      </c>
      <c r="CX42" s="755"/>
      <c r="CY42" s="2537"/>
      <c r="CZ42" s="499">
        <f t="shared" si="49"/>
        <v>0</v>
      </c>
      <c r="DA42" s="1107">
        <f t="shared" si="50"/>
        <v>0</v>
      </c>
      <c r="DB42" s="2537"/>
      <c r="DC42" s="499">
        <f t="shared" si="79"/>
        <v>0</v>
      </c>
      <c r="DD42" s="1107">
        <f t="shared" si="80"/>
        <v>0</v>
      </c>
      <c r="DE42" s="2537"/>
      <c r="DF42" s="499">
        <f t="shared" si="81"/>
        <v>0</v>
      </c>
      <c r="DG42" s="1107">
        <f t="shared" si="82"/>
        <v>0</v>
      </c>
      <c r="DH42" s="2537"/>
      <c r="DI42" s="499">
        <f t="shared" si="83"/>
        <v>0</v>
      </c>
      <c r="DJ42" s="1107">
        <f t="shared" si="84"/>
        <v>0</v>
      </c>
      <c r="DK42" s="2537"/>
      <c r="DL42" s="499">
        <f t="shared" si="85"/>
        <v>0</v>
      </c>
      <c r="DM42" s="1107">
        <f t="shared" si="86"/>
        <v>0</v>
      </c>
      <c r="DN42" s="2537"/>
      <c r="DO42" s="499">
        <f t="shared" si="87"/>
        <v>0</v>
      </c>
      <c r="DP42" s="1107">
        <f t="shared" si="88"/>
        <v>0</v>
      </c>
      <c r="DQ42" s="2537"/>
      <c r="DR42" s="2559"/>
      <c r="DS42" s="499">
        <f t="shared" si="6"/>
        <v>0</v>
      </c>
      <c r="DT42" s="1105">
        <f t="shared" si="7"/>
        <v>0</v>
      </c>
      <c r="DU42" s="2537"/>
      <c r="DV42" s="2559"/>
      <c r="DW42" s="2312">
        <f t="shared" si="8"/>
        <v>0</v>
      </c>
      <c r="DX42" s="1105">
        <f t="shared" si="9"/>
        <v>0</v>
      </c>
      <c r="DY42" s="2572"/>
      <c r="DZ42" s="2537"/>
      <c r="EA42" s="2537"/>
      <c r="EB42" s="2577" t="str">
        <f t="shared" si="133"/>
        <v>05</v>
      </c>
      <c r="EC42" s="2570"/>
      <c r="ED42" s="436">
        <f>IFERROR(INDEX('IPCS Data'!$H$8:$H$30,MATCH(EE42,'IPCS Data'!$I$8:$I$30,0)),0)</f>
        <v>0</v>
      </c>
      <c r="EE42" s="3072"/>
      <c r="EF42" s="2570"/>
      <c r="EG42" s="499">
        <f>IFERROR(INDEX('IPCS Data'!$L$8:$L$27,MATCH(EH42,'IPCS Data'!$M$8:$M$27,0)),0)</f>
        <v>0</v>
      </c>
      <c r="EH42" s="718"/>
      <c r="EI42" s="2578" t="s">
        <v>5</v>
      </c>
      <c r="EJ42" s="748">
        <f>IFERROR(INDEX('IPCS Data'!$O$8:$O$110,MATCH(EK42,'IPCS Data'!$Q$8:$Q$110,0)),0)</f>
        <v>0</v>
      </c>
      <c r="EK42" s="437"/>
      <c r="EL42" s="2578"/>
      <c r="EM42" s="840">
        <f t="shared" si="89"/>
        <v>0</v>
      </c>
      <c r="EN42" s="841"/>
      <c r="EO42" s="2537"/>
      <c r="EP42" s="842">
        <f t="shared" si="90"/>
        <v>0</v>
      </c>
      <c r="EQ42" s="843"/>
      <c r="ER42" s="2537"/>
      <c r="ES42" s="840">
        <f t="shared" si="91"/>
        <v>0</v>
      </c>
      <c r="ET42" s="843"/>
      <c r="EU42" s="2537"/>
      <c r="EV42" s="1497"/>
      <c r="EW42" s="1683"/>
      <c r="EX42" s="2562">
        <f t="shared" si="92"/>
        <v>9</v>
      </c>
      <c r="EY42" s="2533"/>
      <c r="EZ42" s="2561"/>
      <c r="FA42" s="1324">
        <f t="shared" si="10"/>
        <v>0</v>
      </c>
      <c r="FB42" s="2629">
        <f t="shared" si="93"/>
        <v>0</v>
      </c>
      <c r="FC42" s="274"/>
      <c r="FD42" s="2626">
        <f t="shared" si="11"/>
        <v>0</v>
      </c>
      <c r="FE42" s="2626">
        <f t="shared" si="12"/>
        <v>0</v>
      </c>
      <c r="FF42" s="274"/>
      <c r="FG42" s="2616">
        <f t="shared" si="94"/>
        <v>0</v>
      </c>
      <c r="FH42" s="2616">
        <f t="shared" si="95"/>
        <v>0</v>
      </c>
      <c r="FI42" s="2616">
        <f t="shared" si="96"/>
        <v>0</v>
      </c>
      <c r="FJ42" s="2610" t="s">
        <v>5</v>
      </c>
      <c r="FK42" s="2616">
        <f t="shared" si="97"/>
        <v>0</v>
      </c>
      <c r="FL42" s="2616">
        <f t="shared" si="98"/>
        <v>0</v>
      </c>
      <c r="FM42" s="2616">
        <f t="shared" si="99"/>
        <v>0</v>
      </c>
      <c r="FN42" s="2622">
        <f t="shared" si="100"/>
        <v>0</v>
      </c>
      <c r="FO42" s="2615">
        <f t="shared" si="101"/>
        <v>0</v>
      </c>
      <c r="FP42" s="2624">
        <f t="shared" si="102"/>
        <v>0</v>
      </c>
      <c r="FQ42" s="2622">
        <f t="shared" si="103"/>
        <v>0</v>
      </c>
      <c r="FR42" s="2624">
        <f t="shared" si="104"/>
        <v>0</v>
      </c>
      <c r="FS42" s="2611" t="s">
        <v>5</v>
      </c>
      <c r="FT42" s="2616">
        <f t="shared" si="105"/>
        <v>0</v>
      </c>
      <c r="FU42" s="2622">
        <f t="shared" si="129"/>
        <v>0</v>
      </c>
      <c r="FV42" s="2616">
        <f t="shared" si="106"/>
        <v>0</v>
      </c>
      <c r="FW42" s="2612" t="s">
        <v>5</v>
      </c>
      <c r="FX42" s="2616">
        <f t="shared" si="51"/>
        <v>0</v>
      </c>
      <c r="FY42" s="2616">
        <f t="shared" si="107"/>
        <v>0</v>
      </c>
      <c r="FZ42" s="2613" t="s">
        <v>5</v>
      </c>
      <c r="GA42" s="2616">
        <f t="shared" si="48"/>
        <v>0</v>
      </c>
      <c r="GB42" s="2619">
        <f t="shared" si="130"/>
        <v>0</v>
      </c>
      <c r="GC42" s="2620">
        <f t="shared" si="108"/>
        <v>0</v>
      </c>
      <c r="GD42" s="2614"/>
      <c r="GE42" s="3195">
        <f t="shared" si="16"/>
        <v>0</v>
      </c>
      <c r="GF42" s="3195">
        <f t="shared" si="17"/>
        <v>0</v>
      </c>
      <c r="GG42" s="3193" t="str">
        <f t="shared" si="18"/>
        <v>X</v>
      </c>
      <c r="GH42" s="2531"/>
      <c r="GI42" s="3189" t="str">
        <f t="shared" si="19"/>
        <v/>
      </c>
      <c r="GJ42" s="2598"/>
      <c r="GK42" s="3173">
        <f t="shared" si="20"/>
        <v>0</v>
      </c>
      <c r="GL42" s="3173">
        <f t="shared" si="21"/>
        <v>0</v>
      </c>
      <c r="GM42" s="3173">
        <f t="shared" si="22"/>
        <v>0</v>
      </c>
      <c r="GN42" s="3174">
        <f t="shared" si="23"/>
        <v>0</v>
      </c>
      <c r="GO42" s="3174">
        <f t="shared" si="24"/>
        <v>0</v>
      </c>
      <c r="GP42" s="3175">
        <f t="shared" si="25"/>
        <v>0</v>
      </c>
      <c r="GQ42" s="3176">
        <f t="shared" si="26"/>
        <v>0</v>
      </c>
      <c r="GR42" s="3177">
        <f t="shared" si="27"/>
        <v>0</v>
      </c>
      <c r="GS42" s="3177">
        <f t="shared" si="28"/>
        <v>0</v>
      </c>
      <c r="GT42" s="3178">
        <f t="shared" si="29"/>
        <v>0</v>
      </c>
      <c r="GU42" s="3179"/>
      <c r="GV42" s="3178">
        <f t="shared" si="30"/>
        <v>0</v>
      </c>
      <c r="GW42" s="3177">
        <f t="shared" si="31"/>
        <v>0</v>
      </c>
      <c r="GX42" s="3180"/>
      <c r="GY42" s="3177">
        <f t="shared" si="32"/>
        <v>0</v>
      </c>
      <c r="GZ42" s="2593"/>
      <c r="HA42" s="277"/>
      <c r="HB42" s="277"/>
      <c r="HC42" s="277"/>
      <c r="HD42" s="277"/>
      <c r="HE42" s="277"/>
      <c r="HF42" s="277"/>
      <c r="HG42" s="277"/>
      <c r="HH42" s="277"/>
      <c r="HI42" s="277"/>
      <c r="HJ42" s="277"/>
      <c r="HK42" s="277"/>
      <c r="HL42" s="277"/>
      <c r="HM42" s="277"/>
      <c r="HN42" s="277"/>
      <c r="HO42" s="277"/>
    </row>
    <row r="43" spans="1:223" ht="18" customHeight="1" x14ac:dyDescent="0.3">
      <c r="A43" s="755"/>
      <c r="B43" s="805">
        <f>SUMIFS('3a Staff Plan'!$T$129:$T$305,'3a Staff Plan'!$DF$129:$DF$305,1,'3a Staff Plan'!$DA$129:$DA$305,1,'3a Staff Plan'!$J$129:$J$305,$FA43)</f>
        <v>0</v>
      </c>
      <c r="C43" s="805">
        <f>SUMIFS('3a Staff Plan'!$U$129:$U$305,'3a Staff Plan'!$DF$129:$DF$305,1,'3a Staff Plan'!$DA$129:$DA$305,1,'3a Staff Plan'!$J$129:$J$305,$FA43)</f>
        <v>0</v>
      </c>
      <c r="D43" s="805">
        <f>SUMIFS('3a Staff Plan'!$Z$129:$Z$305,'3a Staff Plan'!$DF$129:$DF$305,1,'3a Staff Plan'!$DA$129:$DA$305,1,'3a Staff Plan'!$J$129:$J$305,$FA43)</f>
        <v>0</v>
      </c>
      <c r="E43" s="805">
        <f>SUMIFS('3a Staff Plan'!$Y$129:$Y$305,'3a Staff Plan'!$DF$129:$DF$305,1,'3a Staff Plan'!$DA$129:$DA$305,1,'3a Staff Plan'!$J$129:$J$305,$FA43)</f>
        <v>0</v>
      </c>
      <c r="F43" s="805">
        <f>SUMIFS('3a Staff Plan'!$X$129:$X$305,'3a Staff Plan'!$DF$129:$DF$305,1,'3a Staff Plan'!$DA$129:$DA$305,1,'3a Staff Plan'!$AG$129:$AG$305,1,'3a Staff Plan'!$J$129:$J$305,$FA43)</f>
        <v>0</v>
      </c>
      <c r="G43" s="805">
        <f>IF($G$24=0,0,SUMIFS('3a Staff Plan'!$W$129:$W$305,'3a Staff Plan'!$DF$129:$DF$305,1,'3a Staff Plan'!$DA$129:$DA$305,1,'3a Staff Plan'!$J$129:$J$305,$FA43))</f>
        <v>0</v>
      </c>
      <c r="H43" s="795">
        <f t="shared" si="52"/>
        <v>0</v>
      </c>
      <c r="I43" s="805">
        <f>SUMIFS('3a Staff Plan'!$V$129:$V$305,'3a Staff Plan'!$DF$129:$DF$305,1,'3a Staff Plan'!$DA$129:$DA$305,1,'3a Staff Plan'!$J$129:$J$305,$FA43)</f>
        <v>0</v>
      </c>
      <c r="J43" s="805">
        <f>SUMIFS('3a Staff Plan'!$AB$129:$AB$305,'3a Staff Plan'!$DF$129:$DF$305,1,'3a Staff Plan'!$DA$129:$DA$305,1,'3a Staff Plan'!$J$129:$J$305,$FA43)</f>
        <v>0</v>
      </c>
      <c r="K43" s="805">
        <f>SUMIFS('3a Staff Plan'!$AA$129:$AA$305,'3a Staff Plan'!$DF$129:$DF$305,1,'3a Staff Plan'!$DA$129:$DA$305,1,'3a Staff Plan'!$AG$129:$AG$305,1,'3a Staff Plan'!$J$129:$J$305,$FA43)</f>
        <v>0</v>
      </c>
      <c r="L43" s="755"/>
      <c r="M43" s="805">
        <f>SUMIFS('3b Activity Plan'!$T$173:$T$365,'3b Activity Plan'!$CY$173:$CY$365,1,'3b Activity Plan'!$CT$173:$CT$365,1,'3b Activity Plan'!$J$173:$J$365,$FA43)</f>
        <v>0</v>
      </c>
      <c r="N43" s="805">
        <f>SUMIFS('3b Activity Plan'!$U$173:$U$365,'3b Activity Plan'!$CY$173:$CY$365,1,'3b Activity Plan'!$CT$173:$CT$365,1,'3b Activity Plan'!$J$173:$J$365,$FA43)</f>
        <v>0</v>
      </c>
      <c r="O43" s="805">
        <f>SUMIFS('3b Activity Plan'!$Z$173:$Z$365,'3b Activity Plan'!$CY$173:$CY$365,1,'3b Activity Plan'!$CT$173:$CT$365,1,'3b Activity Plan'!$J$173:$J$365,$FA43)</f>
        <v>0</v>
      </c>
      <c r="P43" s="805">
        <f>SUMIFS('3b Activity Plan'!$Y$173:$Y$365,'3b Activity Plan'!$CY$173:$CY$365,1,'3b Activity Plan'!$CT$173:$CT$365,1,'3b Activity Plan'!$J$173:$J$365,$FA43)</f>
        <v>0</v>
      </c>
      <c r="Q43" s="805">
        <f>SUMIFS('3b Activity Plan'!$X$173:$X$365,'3b Activity Plan'!$CY$173:$CY$365,1,'3b Activity Plan'!$CT$173:$CT$365,1,'3b Activity Plan'!$J$173:$J$365,$FA43)</f>
        <v>0</v>
      </c>
      <c r="R43" s="805">
        <f>IF($R$24=0,0,SUMIFS('3b Activity Plan'!$W$173:$W$365,'3b Activity Plan'!$CY$173:$CY$365,1,'3b Activity Plan'!$CT$173:$CT$365,1,'3b Activity Plan'!$J$173:$J$365,$FA43))</f>
        <v>0</v>
      </c>
      <c r="S43" s="795">
        <f t="shared" si="53"/>
        <v>0</v>
      </c>
      <c r="T43" s="805">
        <f>SUMIFS('3b Activity Plan'!$V$173:$V$365,'3b Activity Plan'!$CY$173:$CY$365,1,'3b Activity Plan'!$CT$173:$CT$365,1,'3b Activity Plan'!$J$173:$J$365,$FA43)</f>
        <v>0</v>
      </c>
      <c r="U43" s="805">
        <f>SUMIFS('3b Activity Plan'!$AB$173:$AB$365,'3b Activity Plan'!$CY$173:$CY$365,1,'3b Activity Plan'!$CT$173:$CT$365,1,'3b Activity Plan'!$J$173:$J$365,$FA43)</f>
        <v>0</v>
      </c>
      <c r="V43" s="805">
        <f>SUMIFS('3b Activity Plan'!$AA$173:$AA$365,'3b Activity Plan'!$CY$173:$CY$365,1,'3b Activity Plan'!$CT$173:$CT$365,1,'3b Activity Plan'!$J$173:$J$365,$FA43)</f>
        <v>0</v>
      </c>
      <c r="W43" s="755"/>
      <c r="X43" s="2641">
        <f>SUMIFS('3b Activity Plan'!$FU$173:$FU$365,'3b Activity Plan'!$J$173:$J$365,$FA43)</f>
        <v>0</v>
      </c>
      <c r="Y43" s="2641">
        <f>SUMIFS('3b Activity Plan'!$FW$173:$FW$365,'3b Activity Plan'!$J$173:$J$365,$FA43)</f>
        <v>0</v>
      </c>
      <c r="Z43" s="2639">
        <f t="shared" si="132"/>
        <v>0</v>
      </c>
      <c r="AA43" s="755"/>
      <c r="AB43" s="761">
        <f>_xlfn.MINIFS('3a Staff Plan'!$EB$129:$EB$304,'3a Staff Plan'!$DF$129:$DF$304,1,'3a Staff Plan'!$J$129:$J$304,FA43)</f>
        <v>0</v>
      </c>
      <c r="AC43" s="761">
        <f>_xlfn.MAXIFS('3a Staff Plan'!$EC$129:$EC$304,'3a Staff Plan'!$DF$129:$DF$304,1,'3a Staff Plan'!$J$129:$J$304,FA43)</f>
        <v>0</v>
      </c>
      <c r="AD43" s="755"/>
      <c r="AE43" s="761">
        <f>_xlfn.MINIFS('3b Activity Plan'!$GN$173:$GN$365,'3b Activity Plan'!$CY$173:$CY$365,1,'3b Activity Plan'!$J$173:$J$365,$FA43)</f>
        <v>0</v>
      </c>
      <c r="AF43" s="761">
        <f>_xlfn.MAXIFS('3b Activity Plan'!$GO$173:$GO$365,'3b Activity Plan'!$CY$173:$CY$365,1,'3b Activity Plan'!$J$173:$J$365,$FA43)</f>
        <v>0</v>
      </c>
      <c r="AG43" s="755"/>
      <c r="AH43" s="761">
        <f t="shared" si="54"/>
        <v>0</v>
      </c>
      <c r="AI43" s="761">
        <f t="shared" si="55"/>
        <v>0</v>
      </c>
      <c r="AJ43" s="755"/>
      <c r="AK43" s="761">
        <f t="shared" si="56"/>
        <v>0</v>
      </c>
      <c r="AL43" s="761">
        <f t="shared" si="57"/>
        <v>0</v>
      </c>
      <c r="AM43" s="776">
        <f t="shared" si="58"/>
        <v>0</v>
      </c>
      <c r="AN43" s="755"/>
      <c r="AO43" s="748">
        <f t="shared" si="59"/>
        <v>0</v>
      </c>
      <c r="AP43" s="748">
        <f t="shared" si="60"/>
        <v>0</v>
      </c>
      <c r="AQ43" s="748">
        <f t="shared" si="61"/>
        <v>0</v>
      </c>
      <c r="AR43" s="748">
        <f t="shared" si="62"/>
        <v>0</v>
      </c>
      <c r="AS43" s="748">
        <f t="shared" si="63"/>
        <v>0</v>
      </c>
      <c r="AT43" s="748">
        <f t="shared" si="64"/>
        <v>0</v>
      </c>
      <c r="AU43" s="748">
        <f t="shared" si="65"/>
        <v>0</v>
      </c>
      <c r="AV43" s="748">
        <f>IFERROR(INDEX('IPCS Data'!$R$8:$R$109,MATCH(EJ43,'IPCS Data'!$O$8:$O$109,0)),0)</f>
        <v>0</v>
      </c>
      <c r="AW43" s="755"/>
      <c r="AX43" s="499">
        <f>IFERROR(INDEX('IPCS Data'!$P$18:$P$110,MATCH(EK43,'IPCS Data'!$Q$18:$Q$110,0)),0)</f>
        <v>0</v>
      </c>
      <c r="AY43" s="1950" t="str">
        <f t="shared" si="110"/>
        <v/>
      </c>
      <c r="AZ43" s="755"/>
      <c r="BA43" s="753" t="str">
        <f>IFERROR(IF(MATCH(EJ43,'IPCS Data'!$O$8:$O$110,0)&gt;=25,"L","N"),"N")</f>
        <v>N</v>
      </c>
      <c r="BB43" s="774"/>
      <c r="BC43" s="753" t="str">
        <f t="shared" si="111"/>
        <v>N</v>
      </c>
      <c r="BD43" s="753" t="str">
        <f t="shared" si="39"/>
        <v>Non-Labor</v>
      </c>
      <c r="BE43" s="755"/>
      <c r="BF43" s="753" t="str">
        <f t="shared" si="112"/>
        <v>B23672.05</v>
      </c>
      <c r="BG43" s="753" t="str">
        <f t="shared" si="2"/>
        <v>0.0.0</v>
      </c>
      <c r="BH43" s="753">
        <f t="shared" si="66"/>
        <v>0</v>
      </c>
      <c r="BI43" s="753">
        <f t="shared" si="3"/>
        <v>0</v>
      </c>
      <c r="BJ43" s="753">
        <f t="shared" si="113"/>
        <v>0</v>
      </c>
      <c r="BK43" s="753">
        <f t="shared" si="40"/>
        <v>0</v>
      </c>
      <c r="BL43" s="753" t="b">
        <f t="shared" si="131"/>
        <v>1</v>
      </c>
      <c r="BM43" s="755"/>
      <c r="BN43" s="719">
        <f t="shared" si="67"/>
        <v>0</v>
      </c>
      <c r="BO43" s="719">
        <f t="shared" si="68"/>
        <v>110</v>
      </c>
      <c r="BP43" s="755"/>
      <c r="BQ43" s="719">
        <f>IF(AND((COUNTIFS('3a Staff Plan'!$J$129:$J$305,FA43)*$B$22)+(COUNTIFS('3b Activity Plan'!$J$173:$J$365,FA43)*$M$22)=0,FB43&gt;0),1,0)</f>
        <v>0</v>
      </c>
      <c r="BR43" s="719">
        <f t="shared" si="114"/>
        <v>0</v>
      </c>
      <c r="BS43" s="719">
        <f t="shared" si="69"/>
        <v>0</v>
      </c>
      <c r="BT43" s="719">
        <f t="shared" si="70"/>
        <v>0</v>
      </c>
      <c r="BU43" s="719">
        <f t="shared" si="71"/>
        <v>0</v>
      </c>
      <c r="BV43" s="719">
        <f t="shared" si="72"/>
        <v>0</v>
      </c>
      <c r="BW43" s="719">
        <f t="shared" si="73"/>
        <v>0</v>
      </c>
      <c r="BX43" s="719">
        <f t="shared" si="74"/>
        <v>0</v>
      </c>
      <c r="BY43" s="719">
        <f t="shared" si="75"/>
        <v>0</v>
      </c>
      <c r="BZ43" s="719">
        <f t="shared" si="115"/>
        <v>0</v>
      </c>
      <c r="CA43" s="719">
        <f t="shared" si="116"/>
        <v>0</v>
      </c>
      <c r="CB43" s="719">
        <f t="shared" si="76"/>
        <v>0</v>
      </c>
      <c r="CC43" s="719"/>
      <c r="CD43" s="719"/>
      <c r="CE43" s="719">
        <f t="shared" si="77"/>
        <v>0</v>
      </c>
      <c r="CF43" s="719">
        <f t="shared" si="117"/>
        <v>0</v>
      </c>
      <c r="CG43" s="719">
        <f t="shared" si="118"/>
        <v>0</v>
      </c>
      <c r="CH43" s="719">
        <f t="shared" si="119"/>
        <v>0</v>
      </c>
      <c r="CI43" s="719">
        <f t="shared" si="120"/>
        <v>0</v>
      </c>
      <c r="CJ43" s="719">
        <f t="shared" si="121"/>
        <v>0</v>
      </c>
      <c r="CK43" s="719">
        <f t="shared" si="122"/>
        <v>0</v>
      </c>
      <c r="CL43" s="719">
        <f t="shared" si="123"/>
        <v>0</v>
      </c>
      <c r="CM43" s="719">
        <f t="shared" si="124"/>
        <v>0</v>
      </c>
      <c r="CN43" s="719">
        <f t="shared" si="125"/>
        <v>0</v>
      </c>
      <c r="CO43" s="719">
        <f t="shared" si="42"/>
        <v>0</v>
      </c>
      <c r="CP43" s="719">
        <f t="shared" si="78"/>
        <v>0</v>
      </c>
      <c r="CQ43" s="719">
        <f t="shared" si="126"/>
        <v>10</v>
      </c>
      <c r="CR43" s="719">
        <f t="shared" si="127"/>
        <v>0</v>
      </c>
      <c r="CS43" s="2526"/>
      <c r="CT43" s="2527">
        <f t="shared" si="128"/>
        <v>15</v>
      </c>
      <c r="CU43" s="2527">
        <f t="shared" si="4"/>
        <v>0</v>
      </c>
      <c r="CV43" s="2527">
        <f t="shared" si="5"/>
        <v>0</v>
      </c>
      <c r="CW43" s="2527">
        <f t="shared" si="43"/>
        <v>0</v>
      </c>
      <c r="CX43" s="755"/>
      <c r="CY43" s="2537"/>
      <c r="CZ43" s="499">
        <f t="shared" si="49"/>
        <v>0</v>
      </c>
      <c r="DA43" s="1107">
        <f t="shared" si="50"/>
        <v>0</v>
      </c>
      <c r="DB43" s="2537"/>
      <c r="DC43" s="499">
        <f t="shared" si="79"/>
        <v>0</v>
      </c>
      <c r="DD43" s="1107">
        <f t="shared" si="80"/>
        <v>0</v>
      </c>
      <c r="DE43" s="2537"/>
      <c r="DF43" s="499">
        <f t="shared" si="81"/>
        <v>0</v>
      </c>
      <c r="DG43" s="1107">
        <f t="shared" si="82"/>
        <v>0</v>
      </c>
      <c r="DH43" s="2537"/>
      <c r="DI43" s="499">
        <f t="shared" si="83"/>
        <v>0</v>
      </c>
      <c r="DJ43" s="1107">
        <f t="shared" si="84"/>
        <v>0</v>
      </c>
      <c r="DK43" s="2537"/>
      <c r="DL43" s="499">
        <f t="shared" si="85"/>
        <v>0</v>
      </c>
      <c r="DM43" s="1107">
        <f t="shared" si="86"/>
        <v>0</v>
      </c>
      <c r="DN43" s="2537"/>
      <c r="DO43" s="499">
        <f t="shared" si="87"/>
        <v>0</v>
      </c>
      <c r="DP43" s="1107">
        <f t="shared" si="88"/>
        <v>0</v>
      </c>
      <c r="DQ43" s="2537"/>
      <c r="DR43" s="2559"/>
      <c r="DS43" s="499">
        <f t="shared" si="6"/>
        <v>0</v>
      </c>
      <c r="DT43" s="1105">
        <f t="shared" si="7"/>
        <v>0</v>
      </c>
      <c r="DU43" s="2537"/>
      <c r="DV43" s="2559"/>
      <c r="DW43" s="2312">
        <f t="shared" si="8"/>
        <v>0</v>
      </c>
      <c r="DX43" s="1105">
        <f t="shared" si="9"/>
        <v>0</v>
      </c>
      <c r="DY43" s="2572"/>
      <c r="DZ43" s="2537"/>
      <c r="EA43" s="2537"/>
      <c r="EB43" s="2577" t="str">
        <f t="shared" si="133"/>
        <v>05</v>
      </c>
      <c r="EC43" s="2570"/>
      <c r="ED43" s="436">
        <f>IFERROR(INDEX('IPCS Data'!$H$8:$H$30,MATCH(EE43,'IPCS Data'!$I$8:$I$30,0)),0)</f>
        <v>0</v>
      </c>
      <c r="EE43" s="3072"/>
      <c r="EF43" s="2570"/>
      <c r="EG43" s="499">
        <f>IFERROR(INDEX('IPCS Data'!$L$8:$L$27,MATCH(EH43,'IPCS Data'!$M$8:$M$27,0)),0)</f>
        <v>0</v>
      </c>
      <c r="EH43" s="718"/>
      <c r="EI43" s="2578" t="s">
        <v>5</v>
      </c>
      <c r="EJ43" s="748">
        <f>IFERROR(INDEX('IPCS Data'!$O$8:$O$110,MATCH(EK43,'IPCS Data'!$Q$8:$Q$110,0)),0)</f>
        <v>0</v>
      </c>
      <c r="EK43" s="437"/>
      <c r="EL43" s="2578"/>
      <c r="EM43" s="840">
        <f t="shared" si="89"/>
        <v>0</v>
      </c>
      <c r="EN43" s="841"/>
      <c r="EO43" s="2537"/>
      <c r="EP43" s="842">
        <f t="shared" si="90"/>
        <v>0</v>
      </c>
      <c r="EQ43" s="843"/>
      <c r="ER43" s="2537"/>
      <c r="ES43" s="840">
        <f t="shared" si="91"/>
        <v>0</v>
      </c>
      <c r="ET43" s="843"/>
      <c r="EU43" s="2537"/>
      <c r="EV43" s="1497"/>
      <c r="EW43" s="1683"/>
      <c r="EX43" s="2562">
        <f t="shared" si="92"/>
        <v>10</v>
      </c>
      <c r="EY43" s="2533"/>
      <c r="EZ43" s="2561"/>
      <c r="FA43" s="1324">
        <f t="shared" si="10"/>
        <v>0</v>
      </c>
      <c r="FB43" s="2629">
        <f t="shared" si="93"/>
        <v>0</v>
      </c>
      <c r="FC43" s="274"/>
      <c r="FD43" s="2626">
        <f t="shared" si="11"/>
        <v>0</v>
      </c>
      <c r="FE43" s="2626">
        <f t="shared" si="12"/>
        <v>0</v>
      </c>
      <c r="FF43" s="274"/>
      <c r="FG43" s="2616">
        <f t="shared" si="94"/>
        <v>0</v>
      </c>
      <c r="FH43" s="2616">
        <f t="shared" si="95"/>
        <v>0</v>
      </c>
      <c r="FI43" s="2616">
        <f t="shared" si="96"/>
        <v>0</v>
      </c>
      <c r="FJ43" s="2610" t="s">
        <v>5</v>
      </c>
      <c r="FK43" s="2616">
        <f t="shared" si="97"/>
        <v>0</v>
      </c>
      <c r="FL43" s="2616">
        <f t="shared" si="98"/>
        <v>0</v>
      </c>
      <c r="FM43" s="2616">
        <f t="shared" si="99"/>
        <v>0</v>
      </c>
      <c r="FN43" s="2622">
        <f t="shared" si="100"/>
        <v>0</v>
      </c>
      <c r="FO43" s="2615">
        <f t="shared" si="101"/>
        <v>0</v>
      </c>
      <c r="FP43" s="2624">
        <f t="shared" si="102"/>
        <v>0</v>
      </c>
      <c r="FQ43" s="2622">
        <f t="shared" si="103"/>
        <v>0</v>
      </c>
      <c r="FR43" s="2624">
        <f t="shared" si="104"/>
        <v>0</v>
      </c>
      <c r="FS43" s="2611" t="s">
        <v>5</v>
      </c>
      <c r="FT43" s="2616">
        <f t="shared" si="105"/>
        <v>0</v>
      </c>
      <c r="FU43" s="2622">
        <f t="shared" si="129"/>
        <v>0</v>
      </c>
      <c r="FV43" s="2616">
        <f t="shared" si="106"/>
        <v>0</v>
      </c>
      <c r="FW43" s="2612" t="s">
        <v>5</v>
      </c>
      <c r="FX43" s="2616">
        <f t="shared" si="51"/>
        <v>0</v>
      </c>
      <c r="FY43" s="2616">
        <f t="shared" si="107"/>
        <v>0</v>
      </c>
      <c r="FZ43" s="2613" t="s">
        <v>5</v>
      </c>
      <c r="GA43" s="2616">
        <f t="shared" si="48"/>
        <v>0</v>
      </c>
      <c r="GB43" s="2619">
        <f t="shared" si="130"/>
        <v>0</v>
      </c>
      <c r="GC43" s="2620">
        <f t="shared" si="108"/>
        <v>0</v>
      </c>
      <c r="GD43" s="2614"/>
      <c r="GE43" s="3195">
        <f t="shared" si="16"/>
        <v>0</v>
      </c>
      <c r="GF43" s="3195">
        <f t="shared" si="17"/>
        <v>0</v>
      </c>
      <c r="GG43" s="3193" t="str">
        <f t="shared" si="18"/>
        <v>X</v>
      </c>
      <c r="GH43" s="2531"/>
      <c r="GI43" s="3189" t="str">
        <f t="shared" si="19"/>
        <v/>
      </c>
      <c r="GJ43" s="2598"/>
      <c r="GK43" s="3173">
        <f t="shared" si="20"/>
        <v>0</v>
      </c>
      <c r="GL43" s="3173">
        <f t="shared" si="21"/>
        <v>0</v>
      </c>
      <c r="GM43" s="3173">
        <f t="shared" si="22"/>
        <v>0</v>
      </c>
      <c r="GN43" s="3174">
        <f t="shared" si="23"/>
        <v>0</v>
      </c>
      <c r="GO43" s="3174">
        <f t="shared" si="24"/>
        <v>0</v>
      </c>
      <c r="GP43" s="3175">
        <f t="shared" si="25"/>
        <v>0</v>
      </c>
      <c r="GQ43" s="3176">
        <f t="shared" si="26"/>
        <v>0</v>
      </c>
      <c r="GR43" s="3177">
        <f t="shared" si="27"/>
        <v>0</v>
      </c>
      <c r="GS43" s="3177">
        <f t="shared" si="28"/>
        <v>0</v>
      </c>
      <c r="GT43" s="3178">
        <f t="shared" si="29"/>
        <v>0</v>
      </c>
      <c r="GU43" s="3179"/>
      <c r="GV43" s="3178">
        <f t="shared" si="30"/>
        <v>0</v>
      </c>
      <c r="GW43" s="3177">
        <f t="shared" si="31"/>
        <v>0</v>
      </c>
      <c r="GX43" s="3180"/>
      <c r="GY43" s="3177">
        <f t="shared" si="32"/>
        <v>0</v>
      </c>
      <c r="GZ43" s="2593"/>
      <c r="HA43" s="277"/>
      <c r="HB43" s="277"/>
      <c r="HC43" s="277"/>
      <c r="HD43" s="277"/>
      <c r="HE43" s="277"/>
      <c r="HF43" s="277"/>
      <c r="HG43" s="277"/>
      <c r="HH43" s="277"/>
      <c r="HI43" s="277"/>
      <c r="HJ43" s="277"/>
      <c r="HK43" s="277"/>
      <c r="HL43" s="277"/>
      <c r="HM43" s="277"/>
      <c r="HN43" s="277"/>
      <c r="HO43" s="277"/>
    </row>
    <row r="44" spans="1:223" ht="18" customHeight="1" x14ac:dyDescent="0.3">
      <c r="A44" s="755"/>
      <c r="B44" s="805">
        <f>SUMIFS('3a Staff Plan'!$T$129:$T$305,'3a Staff Plan'!$DF$129:$DF$305,1,'3a Staff Plan'!$DA$129:$DA$305,1,'3a Staff Plan'!$J$129:$J$305,$FA44)</f>
        <v>0</v>
      </c>
      <c r="C44" s="805">
        <f>SUMIFS('3a Staff Plan'!$U$129:$U$305,'3a Staff Plan'!$DF$129:$DF$305,1,'3a Staff Plan'!$DA$129:$DA$305,1,'3a Staff Plan'!$J$129:$J$305,$FA44)</f>
        <v>0</v>
      </c>
      <c r="D44" s="805">
        <f>SUMIFS('3a Staff Plan'!$Z$129:$Z$305,'3a Staff Plan'!$DF$129:$DF$305,1,'3a Staff Plan'!$DA$129:$DA$305,1,'3a Staff Plan'!$J$129:$J$305,$FA44)</f>
        <v>0</v>
      </c>
      <c r="E44" s="805">
        <f>SUMIFS('3a Staff Plan'!$Y$129:$Y$305,'3a Staff Plan'!$DF$129:$DF$305,1,'3a Staff Plan'!$DA$129:$DA$305,1,'3a Staff Plan'!$J$129:$J$305,$FA44)</f>
        <v>0</v>
      </c>
      <c r="F44" s="805">
        <f>SUMIFS('3a Staff Plan'!$X$129:$X$305,'3a Staff Plan'!$DF$129:$DF$305,1,'3a Staff Plan'!$DA$129:$DA$305,1,'3a Staff Plan'!$AG$129:$AG$305,1,'3a Staff Plan'!$J$129:$J$305,$FA44)</f>
        <v>0</v>
      </c>
      <c r="G44" s="805">
        <f>IF($G$24=0,0,SUMIFS('3a Staff Plan'!$W$129:$W$305,'3a Staff Plan'!$DF$129:$DF$305,1,'3a Staff Plan'!$DA$129:$DA$305,1,'3a Staff Plan'!$J$129:$J$305,$FA44))</f>
        <v>0</v>
      </c>
      <c r="H44" s="795">
        <f t="shared" si="52"/>
        <v>0</v>
      </c>
      <c r="I44" s="805">
        <f>SUMIFS('3a Staff Plan'!$V$129:$V$305,'3a Staff Plan'!$DF$129:$DF$305,1,'3a Staff Plan'!$DA$129:$DA$305,1,'3a Staff Plan'!$J$129:$J$305,$FA44)</f>
        <v>0</v>
      </c>
      <c r="J44" s="805">
        <f>SUMIFS('3a Staff Plan'!$AB$129:$AB$305,'3a Staff Plan'!$DF$129:$DF$305,1,'3a Staff Plan'!$DA$129:$DA$305,1,'3a Staff Plan'!$J$129:$J$305,$FA44)</f>
        <v>0</v>
      </c>
      <c r="K44" s="805">
        <f>SUMIFS('3a Staff Plan'!$AA$129:$AA$305,'3a Staff Plan'!$DF$129:$DF$305,1,'3a Staff Plan'!$DA$129:$DA$305,1,'3a Staff Plan'!$AG$129:$AG$305,1,'3a Staff Plan'!$J$129:$J$305,$FA44)</f>
        <v>0</v>
      </c>
      <c r="L44" s="755"/>
      <c r="M44" s="805">
        <f>SUMIFS('3b Activity Plan'!$T$173:$T$365,'3b Activity Plan'!$CY$173:$CY$365,1,'3b Activity Plan'!$CT$173:$CT$365,1,'3b Activity Plan'!$J$173:$J$365,$FA44)</f>
        <v>0</v>
      </c>
      <c r="N44" s="805">
        <f>SUMIFS('3b Activity Plan'!$U$173:$U$365,'3b Activity Plan'!$CY$173:$CY$365,1,'3b Activity Plan'!$CT$173:$CT$365,1,'3b Activity Plan'!$J$173:$J$365,$FA44)</f>
        <v>0</v>
      </c>
      <c r="O44" s="805">
        <f>SUMIFS('3b Activity Plan'!$Z$173:$Z$365,'3b Activity Plan'!$CY$173:$CY$365,1,'3b Activity Plan'!$CT$173:$CT$365,1,'3b Activity Plan'!$J$173:$J$365,$FA44)</f>
        <v>0</v>
      </c>
      <c r="P44" s="805">
        <f>SUMIFS('3b Activity Plan'!$Y$173:$Y$365,'3b Activity Plan'!$CY$173:$CY$365,1,'3b Activity Plan'!$CT$173:$CT$365,1,'3b Activity Plan'!$J$173:$J$365,$FA44)</f>
        <v>0</v>
      </c>
      <c r="Q44" s="805">
        <f>SUMIFS('3b Activity Plan'!$X$173:$X$365,'3b Activity Plan'!$CY$173:$CY$365,1,'3b Activity Plan'!$CT$173:$CT$365,1,'3b Activity Plan'!$J$173:$J$365,$FA44)</f>
        <v>0</v>
      </c>
      <c r="R44" s="805">
        <f>IF($R$24=0,0,SUMIFS('3b Activity Plan'!$W$173:$W$365,'3b Activity Plan'!$CY$173:$CY$365,1,'3b Activity Plan'!$CT$173:$CT$365,1,'3b Activity Plan'!$J$173:$J$365,$FA44))</f>
        <v>0</v>
      </c>
      <c r="S44" s="795">
        <f t="shared" si="53"/>
        <v>0</v>
      </c>
      <c r="T44" s="805">
        <f>SUMIFS('3b Activity Plan'!$V$173:$V$365,'3b Activity Plan'!$CY$173:$CY$365,1,'3b Activity Plan'!$CT$173:$CT$365,1,'3b Activity Plan'!$J$173:$J$365,$FA44)</f>
        <v>0</v>
      </c>
      <c r="U44" s="805">
        <f>SUMIFS('3b Activity Plan'!$AB$173:$AB$365,'3b Activity Plan'!$CY$173:$CY$365,1,'3b Activity Plan'!$CT$173:$CT$365,1,'3b Activity Plan'!$J$173:$J$365,$FA44)</f>
        <v>0</v>
      </c>
      <c r="V44" s="805">
        <f>SUMIFS('3b Activity Plan'!$AA$173:$AA$365,'3b Activity Plan'!$CY$173:$CY$365,1,'3b Activity Plan'!$CT$173:$CT$365,1,'3b Activity Plan'!$J$173:$J$365,$FA44)</f>
        <v>0</v>
      </c>
      <c r="W44" s="755"/>
      <c r="X44" s="2641">
        <f>SUMIFS('3b Activity Plan'!$FU$173:$FU$365,'3b Activity Plan'!$J$173:$J$365,$FA44)</f>
        <v>0</v>
      </c>
      <c r="Y44" s="2641">
        <f>SUMIFS('3b Activity Plan'!$FW$173:$FW$365,'3b Activity Plan'!$J$173:$J$365,$FA44)</f>
        <v>0</v>
      </c>
      <c r="Z44" s="2639">
        <f t="shared" si="132"/>
        <v>0</v>
      </c>
      <c r="AA44" s="755"/>
      <c r="AB44" s="761">
        <f>_xlfn.MINIFS('3a Staff Plan'!$EB$129:$EB$304,'3a Staff Plan'!$DF$129:$DF$304,1,'3a Staff Plan'!$J$129:$J$304,FA44)</f>
        <v>0</v>
      </c>
      <c r="AC44" s="761">
        <f>_xlfn.MAXIFS('3a Staff Plan'!$EC$129:$EC$304,'3a Staff Plan'!$DF$129:$DF$304,1,'3a Staff Plan'!$J$129:$J$304,FA44)</f>
        <v>0</v>
      </c>
      <c r="AD44" s="755"/>
      <c r="AE44" s="761">
        <f>_xlfn.MINIFS('3b Activity Plan'!$GN$173:$GN$365,'3b Activity Plan'!$CY$173:$CY$365,1,'3b Activity Plan'!$J$173:$J$365,$FA44)</f>
        <v>0</v>
      </c>
      <c r="AF44" s="761">
        <f>_xlfn.MAXIFS('3b Activity Plan'!$GO$173:$GO$365,'3b Activity Plan'!$CY$173:$CY$365,1,'3b Activity Plan'!$J$173:$J$365,$FA44)</f>
        <v>0</v>
      </c>
      <c r="AG44" s="755"/>
      <c r="AH44" s="761">
        <f t="shared" si="54"/>
        <v>0</v>
      </c>
      <c r="AI44" s="761">
        <f t="shared" si="55"/>
        <v>0</v>
      </c>
      <c r="AJ44" s="755"/>
      <c r="AK44" s="761">
        <f t="shared" si="56"/>
        <v>0</v>
      </c>
      <c r="AL44" s="761">
        <f t="shared" si="57"/>
        <v>0</v>
      </c>
      <c r="AM44" s="776">
        <f t="shared" si="58"/>
        <v>0</v>
      </c>
      <c r="AN44" s="755"/>
      <c r="AO44" s="748">
        <f t="shared" si="59"/>
        <v>0</v>
      </c>
      <c r="AP44" s="748">
        <f t="shared" si="60"/>
        <v>0</v>
      </c>
      <c r="AQ44" s="748">
        <f t="shared" si="61"/>
        <v>0</v>
      </c>
      <c r="AR44" s="748">
        <f t="shared" si="62"/>
        <v>0</v>
      </c>
      <c r="AS44" s="748">
        <f t="shared" si="63"/>
        <v>0</v>
      </c>
      <c r="AT44" s="748">
        <f t="shared" si="64"/>
        <v>0</v>
      </c>
      <c r="AU44" s="748">
        <f t="shared" si="65"/>
        <v>0</v>
      </c>
      <c r="AV44" s="748">
        <f>IFERROR(INDEX('IPCS Data'!$R$8:$R$109,MATCH(EJ44,'IPCS Data'!$O$8:$O$109,0)),0)</f>
        <v>0</v>
      </c>
      <c r="AW44" s="755"/>
      <c r="AX44" s="499">
        <f>IFERROR(INDEX('IPCS Data'!$P$18:$P$110,MATCH(EK44,'IPCS Data'!$Q$18:$Q$110,0)),0)</f>
        <v>0</v>
      </c>
      <c r="AY44" s="1950" t="str">
        <f t="shared" si="110"/>
        <v/>
      </c>
      <c r="AZ44" s="755"/>
      <c r="BA44" s="753" t="str">
        <f>IFERROR(IF(MATCH(EJ44,'IPCS Data'!$O$8:$O$110,0)&gt;=25,"L","N"),"N")</f>
        <v>N</v>
      </c>
      <c r="BB44" s="774"/>
      <c r="BC44" s="753" t="str">
        <f t="shared" si="111"/>
        <v>N</v>
      </c>
      <c r="BD44" s="753" t="str">
        <f t="shared" si="39"/>
        <v>Non-Labor</v>
      </c>
      <c r="BE44" s="755"/>
      <c r="BF44" s="753" t="str">
        <f t="shared" si="112"/>
        <v>B23672.05</v>
      </c>
      <c r="BG44" s="753" t="str">
        <f t="shared" si="2"/>
        <v>0.0.0</v>
      </c>
      <c r="BH44" s="753">
        <f t="shared" si="66"/>
        <v>0</v>
      </c>
      <c r="BI44" s="753">
        <f t="shared" si="3"/>
        <v>0</v>
      </c>
      <c r="BJ44" s="753">
        <f t="shared" si="113"/>
        <v>0</v>
      </c>
      <c r="BK44" s="753">
        <f t="shared" si="40"/>
        <v>0</v>
      </c>
      <c r="BL44" s="753" t="b">
        <f t="shared" si="131"/>
        <v>1</v>
      </c>
      <c r="BM44" s="755"/>
      <c r="BN44" s="719">
        <f t="shared" si="67"/>
        <v>0</v>
      </c>
      <c r="BO44" s="719">
        <f t="shared" si="68"/>
        <v>110</v>
      </c>
      <c r="BP44" s="755"/>
      <c r="BQ44" s="719">
        <f>IF(AND((COUNTIFS('3a Staff Plan'!$J$129:$J$305,FA44)*$B$22)+(COUNTIFS('3b Activity Plan'!$J$173:$J$365,FA44)*$M$22)=0,FB44&gt;0),1,0)</f>
        <v>0</v>
      </c>
      <c r="BR44" s="719">
        <f t="shared" si="114"/>
        <v>0</v>
      </c>
      <c r="BS44" s="719">
        <f t="shared" si="69"/>
        <v>0</v>
      </c>
      <c r="BT44" s="719">
        <f t="shared" si="70"/>
        <v>0</v>
      </c>
      <c r="BU44" s="719">
        <f t="shared" si="71"/>
        <v>0</v>
      </c>
      <c r="BV44" s="719">
        <f t="shared" si="72"/>
        <v>0</v>
      </c>
      <c r="BW44" s="719">
        <f t="shared" si="73"/>
        <v>0</v>
      </c>
      <c r="BX44" s="719">
        <f t="shared" si="74"/>
        <v>0</v>
      </c>
      <c r="BY44" s="719">
        <f t="shared" si="75"/>
        <v>0</v>
      </c>
      <c r="BZ44" s="719">
        <f t="shared" si="115"/>
        <v>0</v>
      </c>
      <c r="CA44" s="719">
        <f t="shared" si="116"/>
        <v>0</v>
      </c>
      <c r="CB44" s="719">
        <f t="shared" si="76"/>
        <v>0</v>
      </c>
      <c r="CC44" s="719"/>
      <c r="CD44" s="719"/>
      <c r="CE44" s="719">
        <f t="shared" si="77"/>
        <v>0</v>
      </c>
      <c r="CF44" s="719">
        <f t="shared" si="117"/>
        <v>0</v>
      </c>
      <c r="CG44" s="719">
        <f t="shared" si="118"/>
        <v>0</v>
      </c>
      <c r="CH44" s="719">
        <f t="shared" si="119"/>
        <v>0</v>
      </c>
      <c r="CI44" s="719">
        <f t="shared" si="120"/>
        <v>0</v>
      </c>
      <c r="CJ44" s="719">
        <f t="shared" si="121"/>
        <v>0</v>
      </c>
      <c r="CK44" s="719">
        <f t="shared" si="122"/>
        <v>0</v>
      </c>
      <c r="CL44" s="719">
        <f t="shared" si="123"/>
        <v>0</v>
      </c>
      <c r="CM44" s="719">
        <f t="shared" si="124"/>
        <v>0</v>
      </c>
      <c r="CN44" s="719">
        <f t="shared" si="125"/>
        <v>0</v>
      </c>
      <c r="CO44" s="719">
        <f t="shared" si="42"/>
        <v>0</v>
      </c>
      <c r="CP44" s="719">
        <f t="shared" si="78"/>
        <v>0</v>
      </c>
      <c r="CQ44" s="719">
        <f t="shared" si="126"/>
        <v>11</v>
      </c>
      <c r="CR44" s="719">
        <f t="shared" si="127"/>
        <v>0</v>
      </c>
      <c r="CS44" s="2526"/>
      <c r="CT44" s="2527">
        <f t="shared" si="128"/>
        <v>16</v>
      </c>
      <c r="CU44" s="2527">
        <f t="shared" si="4"/>
        <v>0</v>
      </c>
      <c r="CV44" s="2527">
        <f t="shared" si="5"/>
        <v>0</v>
      </c>
      <c r="CW44" s="2527">
        <f t="shared" si="43"/>
        <v>0</v>
      </c>
      <c r="CX44" s="755"/>
      <c r="CY44" s="2537"/>
      <c r="CZ44" s="499">
        <f t="shared" si="49"/>
        <v>0</v>
      </c>
      <c r="DA44" s="1107">
        <f t="shared" si="50"/>
        <v>0</v>
      </c>
      <c r="DB44" s="2537"/>
      <c r="DC44" s="499">
        <f t="shared" si="79"/>
        <v>0</v>
      </c>
      <c r="DD44" s="1107">
        <f t="shared" si="80"/>
        <v>0</v>
      </c>
      <c r="DE44" s="2537"/>
      <c r="DF44" s="499">
        <f t="shared" si="81"/>
        <v>0</v>
      </c>
      <c r="DG44" s="1107">
        <f t="shared" si="82"/>
        <v>0</v>
      </c>
      <c r="DH44" s="2537"/>
      <c r="DI44" s="499">
        <f t="shared" si="83"/>
        <v>0</v>
      </c>
      <c r="DJ44" s="1107">
        <f t="shared" si="84"/>
        <v>0</v>
      </c>
      <c r="DK44" s="2537"/>
      <c r="DL44" s="499">
        <f t="shared" si="85"/>
        <v>0</v>
      </c>
      <c r="DM44" s="1107">
        <f t="shared" si="86"/>
        <v>0</v>
      </c>
      <c r="DN44" s="2537"/>
      <c r="DO44" s="499">
        <f t="shared" si="87"/>
        <v>0</v>
      </c>
      <c r="DP44" s="1107">
        <f t="shared" si="88"/>
        <v>0</v>
      </c>
      <c r="DQ44" s="2537"/>
      <c r="DR44" s="2559"/>
      <c r="DS44" s="499">
        <f t="shared" si="6"/>
        <v>0</v>
      </c>
      <c r="DT44" s="1105">
        <f t="shared" si="7"/>
        <v>0</v>
      </c>
      <c r="DU44" s="2537"/>
      <c r="DV44" s="2559"/>
      <c r="DW44" s="2312">
        <f t="shared" si="8"/>
        <v>0</v>
      </c>
      <c r="DX44" s="1105">
        <f t="shared" si="9"/>
        <v>0</v>
      </c>
      <c r="DY44" s="2572"/>
      <c r="DZ44" s="2537"/>
      <c r="EA44" s="2537"/>
      <c r="EB44" s="2577" t="str">
        <f t="shared" si="133"/>
        <v>05</v>
      </c>
      <c r="EC44" s="2570"/>
      <c r="ED44" s="436">
        <f>IFERROR(INDEX('IPCS Data'!$H$8:$H$30,MATCH(EE44,'IPCS Data'!$I$8:$I$30,0)),0)</f>
        <v>0</v>
      </c>
      <c r="EE44" s="3072"/>
      <c r="EF44" s="2570"/>
      <c r="EG44" s="499">
        <f>IFERROR(INDEX('IPCS Data'!$L$8:$L$27,MATCH(EH44,'IPCS Data'!$M$8:$M$27,0)),0)</f>
        <v>0</v>
      </c>
      <c r="EH44" s="718"/>
      <c r="EI44" s="2578" t="s">
        <v>5</v>
      </c>
      <c r="EJ44" s="748">
        <f>IFERROR(INDEX('IPCS Data'!$O$8:$O$110,MATCH(EK44,'IPCS Data'!$Q$8:$Q$110,0)),0)</f>
        <v>0</v>
      </c>
      <c r="EK44" s="437"/>
      <c r="EL44" s="2578"/>
      <c r="EM44" s="840">
        <f t="shared" si="89"/>
        <v>0</v>
      </c>
      <c r="EN44" s="841"/>
      <c r="EO44" s="2537"/>
      <c r="EP44" s="842">
        <f t="shared" si="90"/>
        <v>0</v>
      </c>
      <c r="EQ44" s="843"/>
      <c r="ER44" s="2537"/>
      <c r="ES44" s="840">
        <f t="shared" si="91"/>
        <v>0</v>
      </c>
      <c r="ET44" s="843"/>
      <c r="EU44" s="2537"/>
      <c r="EV44" s="1497"/>
      <c r="EW44" s="1683"/>
      <c r="EX44" s="2562">
        <f t="shared" si="92"/>
        <v>11</v>
      </c>
      <c r="EY44" s="2533"/>
      <c r="EZ44" s="2561"/>
      <c r="FA44" s="1324">
        <f t="shared" si="10"/>
        <v>0</v>
      </c>
      <c r="FB44" s="2629">
        <f t="shared" si="93"/>
        <v>0</v>
      </c>
      <c r="FC44" s="274"/>
      <c r="FD44" s="2626">
        <f t="shared" si="11"/>
        <v>0</v>
      </c>
      <c r="FE44" s="2626">
        <f t="shared" si="12"/>
        <v>0</v>
      </c>
      <c r="FF44" s="274"/>
      <c r="FG44" s="2616">
        <f t="shared" si="94"/>
        <v>0</v>
      </c>
      <c r="FH44" s="2616">
        <f t="shared" si="95"/>
        <v>0</v>
      </c>
      <c r="FI44" s="2616">
        <f t="shared" si="96"/>
        <v>0</v>
      </c>
      <c r="FJ44" s="2610" t="s">
        <v>5</v>
      </c>
      <c r="FK44" s="2616">
        <f t="shared" si="97"/>
        <v>0</v>
      </c>
      <c r="FL44" s="2616">
        <f t="shared" si="98"/>
        <v>0</v>
      </c>
      <c r="FM44" s="2616">
        <f t="shared" si="99"/>
        <v>0</v>
      </c>
      <c r="FN44" s="2622">
        <f t="shared" si="100"/>
        <v>0</v>
      </c>
      <c r="FO44" s="2615">
        <f t="shared" si="101"/>
        <v>0</v>
      </c>
      <c r="FP44" s="2624">
        <f t="shared" si="102"/>
        <v>0</v>
      </c>
      <c r="FQ44" s="2622">
        <f t="shared" si="103"/>
        <v>0</v>
      </c>
      <c r="FR44" s="2624">
        <f t="shared" si="104"/>
        <v>0</v>
      </c>
      <c r="FS44" s="2611" t="s">
        <v>5</v>
      </c>
      <c r="FT44" s="2616">
        <f t="shared" si="105"/>
        <v>0</v>
      </c>
      <c r="FU44" s="2622">
        <f t="shared" si="129"/>
        <v>0</v>
      </c>
      <c r="FV44" s="2616">
        <f t="shared" si="106"/>
        <v>0</v>
      </c>
      <c r="FW44" s="2612" t="s">
        <v>5</v>
      </c>
      <c r="FX44" s="2616">
        <f t="shared" si="51"/>
        <v>0</v>
      </c>
      <c r="FY44" s="2616">
        <f t="shared" si="107"/>
        <v>0</v>
      </c>
      <c r="FZ44" s="2613" t="s">
        <v>5</v>
      </c>
      <c r="GA44" s="2616">
        <f t="shared" si="48"/>
        <v>0</v>
      </c>
      <c r="GB44" s="2619">
        <f t="shared" si="130"/>
        <v>0</v>
      </c>
      <c r="GC44" s="2620">
        <f t="shared" si="108"/>
        <v>0</v>
      </c>
      <c r="GD44" s="2614"/>
      <c r="GE44" s="3195">
        <f t="shared" si="16"/>
        <v>0</v>
      </c>
      <c r="GF44" s="3195">
        <f t="shared" si="17"/>
        <v>0</v>
      </c>
      <c r="GG44" s="3193" t="str">
        <f t="shared" si="18"/>
        <v>X</v>
      </c>
      <c r="GH44" s="2531"/>
      <c r="GI44" s="3189" t="str">
        <f t="shared" si="19"/>
        <v/>
      </c>
      <c r="GJ44" s="2598"/>
      <c r="GK44" s="3173">
        <f t="shared" si="20"/>
        <v>0</v>
      </c>
      <c r="GL44" s="3173">
        <f t="shared" si="21"/>
        <v>0</v>
      </c>
      <c r="GM44" s="3173">
        <f t="shared" si="22"/>
        <v>0</v>
      </c>
      <c r="GN44" s="3174">
        <f t="shared" si="23"/>
        <v>0</v>
      </c>
      <c r="GO44" s="3174">
        <f t="shared" si="24"/>
        <v>0</v>
      </c>
      <c r="GP44" s="3175">
        <f t="shared" si="25"/>
        <v>0</v>
      </c>
      <c r="GQ44" s="3176">
        <f t="shared" si="26"/>
        <v>0</v>
      </c>
      <c r="GR44" s="3177">
        <f t="shared" si="27"/>
        <v>0</v>
      </c>
      <c r="GS44" s="3177">
        <f t="shared" si="28"/>
        <v>0</v>
      </c>
      <c r="GT44" s="3178">
        <f t="shared" si="29"/>
        <v>0</v>
      </c>
      <c r="GU44" s="3179"/>
      <c r="GV44" s="3178">
        <f t="shared" si="30"/>
        <v>0</v>
      </c>
      <c r="GW44" s="3177">
        <f t="shared" si="31"/>
        <v>0</v>
      </c>
      <c r="GX44" s="3180"/>
      <c r="GY44" s="3177">
        <f t="shared" si="32"/>
        <v>0</v>
      </c>
      <c r="GZ44" s="2593"/>
      <c r="HA44" s="277"/>
      <c r="HB44" s="277"/>
      <c r="HC44" s="277"/>
      <c r="HD44" s="277"/>
      <c r="HE44" s="277"/>
      <c r="HF44" s="277"/>
      <c r="HG44" s="277"/>
      <c r="HH44" s="277"/>
      <c r="HI44" s="277"/>
      <c r="HJ44" s="277"/>
      <c r="HK44" s="277"/>
      <c r="HL44" s="277"/>
      <c r="HM44" s="277"/>
      <c r="HN44" s="277"/>
      <c r="HO44" s="277"/>
    </row>
    <row r="45" spans="1:223" ht="18" customHeight="1" x14ac:dyDescent="0.3">
      <c r="A45" s="755"/>
      <c r="B45" s="805">
        <f>SUMIFS('3a Staff Plan'!$T$129:$T$305,'3a Staff Plan'!$DF$129:$DF$305,1,'3a Staff Plan'!$DA$129:$DA$305,1,'3a Staff Plan'!$J$129:$J$305,$FA45)</f>
        <v>0</v>
      </c>
      <c r="C45" s="805">
        <f>SUMIFS('3a Staff Plan'!$U$129:$U$305,'3a Staff Plan'!$DF$129:$DF$305,1,'3a Staff Plan'!$DA$129:$DA$305,1,'3a Staff Plan'!$J$129:$J$305,$FA45)</f>
        <v>0</v>
      </c>
      <c r="D45" s="805">
        <f>SUMIFS('3a Staff Plan'!$Z$129:$Z$305,'3a Staff Plan'!$DF$129:$DF$305,1,'3a Staff Plan'!$DA$129:$DA$305,1,'3a Staff Plan'!$J$129:$J$305,$FA45)</f>
        <v>0</v>
      </c>
      <c r="E45" s="805">
        <f>SUMIFS('3a Staff Plan'!$Y$129:$Y$305,'3a Staff Plan'!$DF$129:$DF$305,1,'3a Staff Plan'!$DA$129:$DA$305,1,'3a Staff Plan'!$J$129:$J$305,$FA45)</f>
        <v>0</v>
      </c>
      <c r="F45" s="805">
        <f>SUMIFS('3a Staff Plan'!$X$129:$X$305,'3a Staff Plan'!$DF$129:$DF$305,1,'3a Staff Plan'!$DA$129:$DA$305,1,'3a Staff Plan'!$AG$129:$AG$305,1,'3a Staff Plan'!$J$129:$J$305,$FA45)</f>
        <v>0</v>
      </c>
      <c r="G45" s="805">
        <f>IF($G$24=0,0,SUMIFS('3a Staff Plan'!$W$129:$W$305,'3a Staff Plan'!$DF$129:$DF$305,1,'3a Staff Plan'!$DA$129:$DA$305,1,'3a Staff Plan'!$J$129:$J$305,$FA45))</f>
        <v>0</v>
      </c>
      <c r="H45" s="795">
        <f t="shared" si="52"/>
        <v>0</v>
      </c>
      <c r="I45" s="805">
        <f>SUMIFS('3a Staff Plan'!$V$129:$V$305,'3a Staff Plan'!$DF$129:$DF$305,1,'3a Staff Plan'!$DA$129:$DA$305,1,'3a Staff Plan'!$J$129:$J$305,$FA45)</f>
        <v>0</v>
      </c>
      <c r="J45" s="805">
        <f>SUMIFS('3a Staff Plan'!$AB$129:$AB$305,'3a Staff Plan'!$DF$129:$DF$305,1,'3a Staff Plan'!$DA$129:$DA$305,1,'3a Staff Plan'!$J$129:$J$305,$FA45)</f>
        <v>0</v>
      </c>
      <c r="K45" s="805">
        <f>SUMIFS('3a Staff Plan'!$AA$129:$AA$305,'3a Staff Plan'!$DF$129:$DF$305,1,'3a Staff Plan'!$DA$129:$DA$305,1,'3a Staff Plan'!$AG$129:$AG$305,1,'3a Staff Plan'!$J$129:$J$305,$FA45)</f>
        <v>0</v>
      </c>
      <c r="L45" s="755"/>
      <c r="M45" s="805">
        <f>SUMIFS('3b Activity Plan'!$T$173:$T$365,'3b Activity Plan'!$CY$173:$CY$365,1,'3b Activity Plan'!$CT$173:$CT$365,1,'3b Activity Plan'!$J$173:$J$365,$FA45)</f>
        <v>0</v>
      </c>
      <c r="N45" s="805">
        <f>SUMIFS('3b Activity Plan'!$U$173:$U$365,'3b Activity Plan'!$CY$173:$CY$365,1,'3b Activity Plan'!$CT$173:$CT$365,1,'3b Activity Plan'!$J$173:$J$365,$FA45)</f>
        <v>0</v>
      </c>
      <c r="O45" s="805">
        <f>SUMIFS('3b Activity Plan'!$Z$173:$Z$365,'3b Activity Plan'!$CY$173:$CY$365,1,'3b Activity Plan'!$CT$173:$CT$365,1,'3b Activity Plan'!$J$173:$J$365,$FA45)</f>
        <v>0</v>
      </c>
      <c r="P45" s="805">
        <f>SUMIFS('3b Activity Plan'!$Y$173:$Y$365,'3b Activity Plan'!$CY$173:$CY$365,1,'3b Activity Plan'!$CT$173:$CT$365,1,'3b Activity Plan'!$J$173:$J$365,$FA45)</f>
        <v>0</v>
      </c>
      <c r="Q45" s="805">
        <f>SUMIFS('3b Activity Plan'!$X$173:$X$365,'3b Activity Plan'!$CY$173:$CY$365,1,'3b Activity Plan'!$CT$173:$CT$365,1,'3b Activity Plan'!$J$173:$J$365,$FA45)</f>
        <v>0</v>
      </c>
      <c r="R45" s="805">
        <f>IF($R$24=0,0,SUMIFS('3b Activity Plan'!$W$173:$W$365,'3b Activity Plan'!$CY$173:$CY$365,1,'3b Activity Plan'!$CT$173:$CT$365,1,'3b Activity Plan'!$J$173:$J$365,$FA45))</f>
        <v>0</v>
      </c>
      <c r="S45" s="795">
        <f t="shared" si="53"/>
        <v>0</v>
      </c>
      <c r="T45" s="805">
        <f>SUMIFS('3b Activity Plan'!$V$173:$V$365,'3b Activity Plan'!$CY$173:$CY$365,1,'3b Activity Plan'!$CT$173:$CT$365,1,'3b Activity Plan'!$J$173:$J$365,$FA45)</f>
        <v>0</v>
      </c>
      <c r="U45" s="805">
        <f>SUMIFS('3b Activity Plan'!$AB$173:$AB$365,'3b Activity Plan'!$CY$173:$CY$365,1,'3b Activity Plan'!$CT$173:$CT$365,1,'3b Activity Plan'!$J$173:$J$365,$FA45)</f>
        <v>0</v>
      </c>
      <c r="V45" s="805">
        <f>SUMIFS('3b Activity Plan'!$AA$173:$AA$365,'3b Activity Plan'!$CY$173:$CY$365,1,'3b Activity Plan'!$CT$173:$CT$365,1,'3b Activity Plan'!$J$173:$J$365,$FA45)</f>
        <v>0</v>
      </c>
      <c r="W45" s="755"/>
      <c r="X45" s="2641">
        <f>SUMIFS('3b Activity Plan'!$FU$173:$FU$365,'3b Activity Plan'!$J$173:$J$365,$FA45)</f>
        <v>0</v>
      </c>
      <c r="Y45" s="2641">
        <f>SUMIFS('3b Activity Plan'!$FW$173:$FW$365,'3b Activity Plan'!$J$173:$J$365,$FA45)</f>
        <v>0</v>
      </c>
      <c r="Z45" s="2639">
        <f t="shared" si="132"/>
        <v>0</v>
      </c>
      <c r="AA45" s="755"/>
      <c r="AB45" s="761">
        <f>_xlfn.MINIFS('3a Staff Plan'!$EB$129:$EB$304,'3a Staff Plan'!$DF$129:$DF$304,1,'3a Staff Plan'!$J$129:$J$304,FA45)</f>
        <v>0</v>
      </c>
      <c r="AC45" s="761">
        <f>_xlfn.MAXIFS('3a Staff Plan'!$EC$129:$EC$304,'3a Staff Plan'!$DF$129:$DF$304,1,'3a Staff Plan'!$J$129:$J$304,FA45)</f>
        <v>0</v>
      </c>
      <c r="AD45" s="755"/>
      <c r="AE45" s="761">
        <f>_xlfn.MINIFS('3b Activity Plan'!$GN$173:$GN$365,'3b Activity Plan'!$CY$173:$CY$365,1,'3b Activity Plan'!$J$173:$J$365,$FA45)</f>
        <v>0</v>
      </c>
      <c r="AF45" s="761">
        <f>_xlfn.MAXIFS('3b Activity Plan'!$GO$173:$GO$365,'3b Activity Plan'!$CY$173:$CY$365,1,'3b Activity Plan'!$J$173:$J$365,$FA45)</f>
        <v>0</v>
      </c>
      <c r="AG45" s="755"/>
      <c r="AH45" s="761">
        <f t="shared" si="54"/>
        <v>0</v>
      </c>
      <c r="AI45" s="761">
        <f t="shared" si="55"/>
        <v>0</v>
      </c>
      <c r="AJ45" s="755"/>
      <c r="AK45" s="761">
        <f t="shared" si="56"/>
        <v>0</v>
      </c>
      <c r="AL45" s="761">
        <f t="shared" si="57"/>
        <v>0</v>
      </c>
      <c r="AM45" s="776">
        <f t="shared" si="58"/>
        <v>0</v>
      </c>
      <c r="AN45" s="755"/>
      <c r="AO45" s="748">
        <f t="shared" si="59"/>
        <v>0</v>
      </c>
      <c r="AP45" s="748">
        <f t="shared" si="60"/>
        <v>0</v>
      </c>
      <c r="AQ45" s="748">
        <f t="shared" si="61"/>
        <v>0</v>
      </c>
      <c r="AR45" s="748">
        <f t="shared" si="62"/>
        <v>0</v>
      </c>
      <c r="AS45" s="748">
        <f t="shared" si="63"/>
        <v>0</v>
      </c>
      <c r="AT45" s="748">
        <f t="shared" si="64"/>
        <v>0</v>
      </c>
      <c r="AU45" s="748">
        <f t="shared" si="65"/>
        <v>0</v>
      </c>
      <c r="AV45" s="748">
        <f>IFERROR(INDEX('IPCS Data'!$R$8:$R$109,MATCH(EJ45,'IPCS Data'!$O$8:$O$109,0)),0)</f>
        <v>0</v>
      </c>
      <c r="AW45" s="755"/>
      <c r="AX45" s="499">
        <f>IFERROR(INDEX('IPCS Data'!$P$18:$P$110,MATCH(EK45,'IPCS Data'!$Q$18:$Q$110,0)),0)</f>
        <v>0</v>
      </c>
      <c r="AY45" s="1950" t="str">
        <f t="shared" si="110"/>
        <v/>
      </c>
      <c r="AZ45" s="755"/>
      <c r="BA45" s="753" t="str">
        <f>IFERROR(IF(MATCH(EJ45,'IPCS Data'!$O$8:$O$110,0)&gt;=25,"L","N"),"N")</f>
        <v>N</v>
      </c>
      <c r="BB45" s="774"/>
      <c r="BC45" s="753" t="str">
        <f t="shared" si="111"/>
        <v>N</v>
      </c>
      <c r="BD45" s="753" t="str">
        <f t="shared" si="39"/>
        <v>Non-Labor</v>
      </c>
      <c r="BE45" s="755"/>
      <c r="BF45" s="753" t="str">
        <f t="shared" si="112"/>
        <v>B23672.05</v>
      </c>
      <c r="BG45" s="753" t="str">
        <f t="shared" si="2"/>
        <v>0.0.0</v>
      </c>
      <c r="BH45" s="753">
        <f t="shared" si="66"/>
        <v>0</v>
      </c>
      <c r="BI45" s="753">
        <f t="shared" si="3"/>
        <v>0</v>
      </c>
      <c r="BJ45" s="753">
        <f t="shared" si="113"/>
        <v>0</v>
      </c>
      <c r="BK45" s="753">
        <f t="shared" si="40"/>
        <v>0</v>
      </c>
      <c r="BL45" s="753" t="b">
        <f t="shared" si="131"/>
        <v>1</v>
      </c>
      <c r="BM45" s="755"/>
      <c r="BN45" s="719">
        <f t="shared" si="67"/>
        <v>0</v>
      </c>
      <c r="BO45" s="719">
        <f t="shared" si="68"/>
        <v>110</v>
      </c>
      <c r="BP45" s="755"/>
      <c r="BQ45" s="719">
        <f>IF(AND((COUNTIFS('3a Staff Plan'!$J$129:$J$305,FA45)*$B$22)+(COUNTIFS('3b Activity Plan'!$J$173:$J$365,FA45)*$M$22)=0,FB45&gt;0),1,0)</f>
        <v>0</v>
      </c>
      <c r="BR45" s="719">
        <f t="shared" si="114"/>
        <v>0</v>
      </c>
      <c r="BS45" s="719">
        <f t="shared" si="69"/>
        <v>0</v>
      </c>
      <c r="BT45" s="719">
        <f t="shared" si="70"/>
        <v>0</v>
      </c>
      <c r="BU45" s="719">
        <f t="shared" si="71"/>
        <v>0</v>
      </c>
      <c r="BV45" s="719">
        <f t="shared" si="72"/>
        <v>0</v>
      </c>
      <c r="BW45" s="719">
        <f t="shared" si="73"/>
        <v>0</v>
      </c>
      <c r="BX45" s="719">
        <f t="shared" si="74"/>
        <v>0</v>
      </c>
      <c r="BY45" s="719">
        <f t="shared" si="75"/>
        <v>0</v>
      </c>
      <c r="BZ45" s="719">
        <f t="shared" si="115"/>
        <v>0</v>
      </c>
      <c r="CA45" s="719">
        <f t="shared" si="116"/>
        <v>0</v>
      </c>
      <c r="CB45" s="719">
        <f t="shared" si="76"/>
        <v>0</v>
      </c>
      <c r="CC45" s="719"/>
      <c r="CD45" s="719"/>
      <c r="CE45" s="719">
        <f t="shared" si="77"/>
        <v>0</v>
      </c>
      <c r="CF45" s="719">
        <f t="shared" si="117"/>
        <v>0</v>
      </c>
      <c r="CG45" s="719">
        <f t="shared" si="118"/>
        <v>0</v>
      </c>
      <c r="CH45" s="719">
        <f t="shared" si="119"/>
        <v>0</v>
      </c>
      <c r="CI45" s="719">
        <f t="shared" si="120"/>
        <v>0</v>
      </c>
      <c r="CJ45" s="719">
        <f t="shared" si="121"/>
        <v>0</v>
      </c>
      <c r="CK45" s="719">
        <f t="shared" si="122"/>
        <v>0</v>
      </c>
      <c r="CL45" s="719">
        <f t="shared" si="123"/>
        <v>0</v>
      </c>
      <c r="CM45" s="719">
        <f t="shared" si="124"/>
        <v>0</v>
      </c>
      <c r="CN45" s="719">
        <f t="shared" si="125"/>
        <v>0</v>
      </c>
      <c r="CO45" s="719">
        <f t="shared" si="42"/>
        <v>0</v>
      </c>
      <c r="CP45" s="719">
        <f t="shared" si="78"/>
        <v>0</v>
      </c>
      <c r="CQ45" s="719">
        <f t="shared" si="126"/>
        <v>12</v>
      </c>
      <c r="CR45" s="719">
        <f t="shared" si="127"/>
        <v>0</v>
      </c>
      <c r="CS45" s="2526"/>
      <c r="CT45" s="2527">
        <f t="shared" si="128"/>
        <v>17</v>
      </c>
      <c r="CU45" s="2527">
        <f t="shared" si="4"/>
        <v>0</v>
      </c>
      <c r="CV45" s="2527">
        <f t="shared" si="5"/>
        <v>0</v>
      </c>
      <c r="CW45" s="2527">
        <f t="shared" si="43"/>
        <v>0</v>
      </c>
      <c r="CX45" s="755"/>
      <c r="CY45" s="2537"/>
      <c r="CZ45" s="499">
        <f t="shared" si="49"/>
        <v>0</v>
      </c>
      <c r="DA45" s="1107">
        <f t="shared" si="50"/>
        <v>0</v>
      </c>
      <c r="DB45" s="2537"/>
      <c r="DC45" s="499">
        <f t="shared" si="79"/>
        <v>0</v>
      </c>
      <c r="DD45" s="1107">
        <f t="shared" si="80"/>
        <v>0</v>
      </c>
      <c r="DE45" s="2537"/>
      <c r="DF45" s="499">
        <f t="shared" si="81"/>
        <v>0</v>
      </c>
      <c r="DG45" s="1107">
        <f t="shared" si="82"/>
        <v>0</v>
      </c>
      <c r="DH45" s="2537"/>
      <c r="DI45" s="499">
        <f t="shared" si="83"/>
        <v>0</v>
      </c>
      <c r="DJ45" s="1107">
        <f t="shared" si="84"/>
        <v>0</v>
      </c>
      <c r="DK45" s="2537"/>
      <c r="DL45" s="499">
        <f t="shared" si="85"/>
        <v>0</v>
      </c>
      <c r="DM45" s="1107">
        <f t="shared" si="86"/>
        <v>0</v>
      </c>
      <c r="DN45" s="2537"/>
      <c r="DO45" s="499">
        <f t="shared" si="87"/>
        <v>0</v>
      </c>
      <c r="DP45" s="1107">
        <f t="shared" si="88"/>
        <v>0</v>
      </c>
      <c r="DQ45" s="2537"/>
      <c r="DR45" s="2559"/>
      <c r="DS45" s="499">
        <f t="shared" si="6"/>
        <v>0</v>
      </c>
      <c r="DT45" s="1105">
        <f t="shared" si="7"/>
        <v>0</v>
      </c>
      <c r="DU45" s="2537"/>
      <c r="DV45" s="2559"/>
      <c r="DW45" s="2312">
        <f t="shared" si="8"/>
        <v>0</v>
      </c>
      <c r="DX45" s="1105">
        <f t="shared" si="9"/>
        <v>0</v>
      </c>
      <c r="DY45" s="2572"/>
      <c r="DZ45" s="2537"/>
      <c r="EA45" s="2537"/>
      <c r="EB45" s="2577" t="str">
        <f t="shared" si="133"/>
        <v>05</v>
      </c>
      <c r="EC45" s="2570"/>
      <c r="ED45" s="436">
        <f>IFERROR(INDEX('IPCS Data'!$H$8:$H$30,MATCH(EE45,'IPCS Data'!$I$8:$I$30,0)),0)</f>
        <v>0</v>
      </c>
      <c r="EE45" s="3072"/>
      <c r="EF45" s="2570"/>
      <c r="EG45" s="499">
        <f>IFERROR(INDEX('IPCS Data'!$L$8:$L$27,MATCH(EH45,'IPCS Data'!$M$8:$M$27,0)),0)</f>
        <v>0</v>
      </c>
      <c r="EH45" s="718"/>
      <c r="EI45" s="2578" t="s">
        <v>5</v>
      </c>
      <c r="EJ45" s="748">
        <f>IFERROR(INDEX('IPCS Data'!$O$8:$O$110,MATCH(EK45,'IPCS Data'!$Q$8:$Q$110,0)),0)</f>
        <v>0</v>
      </c>
      <c r="EK45" s="437"/>
      <c r="EL45" s="2578"/>
      <c r="EM45" s="840">
        <f t="shared" si="89"/>
        <v>0</v>
      </c>
      <c r="EN45" s="841"/>
      <c r="EO45" s="2537"/>
      <c r="EP45" s="842">
        <f t="shared" si="90"/>
        <v>0</v>
      </c>
      <c r="EQ45" s="843"/>
      <c r="ER45" s="2537"/>
      <c r="ES45" s="840">
        <f t="shared" si="91"/>
        <v>0</v>
      </c>
      <c r="ET45" s="843"/>
      <c r="EU45" s="2537"/>
      <c r="EV45" s="1497"/>
      <c r="EW45" s="1683"/>
      <c r="EX45" s="2562">
        <f t="shared" si="92"/>
        <v>12</v>
      </c>
      <c r="EY45" s="2533"/>
      <c r="EZ45" s="2561"/>
      <c r="FA45" s="1324">
        <f t="shared" si="10"/>
        <v>0</v>
      </c>
      <c r="FB45" s="2629">
        <f t="shared" si="93"/>
        <v>0</v>
      </c>
      <c r="FC45" s="274"/>
      <c r="FD45" s="2626">
        <f t="shared" si="11"/>
        <v>0</v>
      </c>
      <c r="FE45" s="2626">
        <f t="shared" si="12"/>
        <v>0</v>
      </c>
      <c r="FF45" s="274"/>
      <c r="FG45" s="2616">
        <f t="shared" si="94"/>
        <v>0</v>
      </c>
      <c r="FH45" s="2616">
        <f t="shared" si="95"/>
        <v>0</v>
      </c>
      <c r="FI45" s="2616">
        <f t="shared" si="96"/>
        <v>0</v>
      </c>
      <c r="FJ45" s="2610" t="s">
        <v>5</v>
      </c>
      <c r="FK45" s="2616">
        <f t="shared" si="97"/>
        <v>0</v>
      </c>
      <c r="FL45" s="2616">
        <f t="shared" si="98"/>
        <v>0</v>
      </c>
      <c r="FM45" s="2616">
        <f t="shared" si="99"/>
        <v>0</v>
      </c>
      <c r="FN45" s="2622">
        <f t="shared" si="100"/>
        <v>0</v>
      </c>
      <c r="FO45" s="2615">
        <f t="shared" si="101"/>
        <v>0</v>
      </c>
      <c r="FP45" s="2624">
        <f t="shared" si="102"/>
        <v>0</v>
      </c>
      <c r="FQ45" s="2622">
        <f t="shared" si="103"/>
        <v>0</v>
      </c>
      <c r="FR45" s="2624">
        <f t="shared" si="104"/>
        <v>0</v>
      </c>
      <c r="FS45" s="2611" t="s">
        <v>5</v>
      </c>
      <c r="FT45" s="2616">
        <f t="shared" si="105"/>
        <v>0</v>
      </c>
      <c r="FU45" s="2622">
        <f t="shared" si="129"/>
        <v>0</v>
      </c>
      <c r="FV45" s="2616">
        <f t="shared" si="106"/>
        <v>0</v>
      </c>
      <c r="FW45" s="2612" t="s">
        <v>5</v>
      </c>
      <c r="FX45" s="2616">
        <f t="shared" si="51"/>
        <v>0</v>
      </c>
      <c r="FY45" s="2616">
        <f t="shared" si="107"/>
        <v>0</v>
      </c>
      <c r="FZ45" s="2613" t="s">
        <v>5</v>
      </c>
      <c r="GA45" s="2616">
        <f t="shared" si="48"/>
        <v>0</v>
      </c>
      <c r="GB45" s="2619">
        <f t="shared" si="130"/>
        <v>0</v>
      </c>
      <c r="GC45" s="2620">
        <f t="shared" si="108"/>
        <v>0</v>
      </c>
      <c r="GD45" s="2614"/>
      <c r="GE45" s="3195">
        <f t="shared" si="16"/>
        <v>0</v>
      </c>
      <c r="GF45" s="3195">
        <f t="shared" si="17"/>
        <v>0</v>
      </c>
      <c r="GG45" s="3193" t="str">
        <f t="shared" si="18"/>
        <v>X</v>
      </c>
      <c r="GH45" s="2531"/>
      <c r="GI45" s="3189" t="str">
        <f t="shared" si="19"/>
        <v/>
      </c>
      <c r="GJ45" s="2598"/>
      <c r="GK45" s="3173">
        <f t="shared" si="20"/>
        <v>0</v>
      </c>
      <c r="GL45" s="3173">
        <f t="shared" si="21"/>
        <v>0</v>
      </c>
      <c r="GM45" s="3173">
        <f t="shared" si="22"/>
        <v>0</v>
      </c>
      <c r="GN45" s="3174">
        <f t="shared" si="23"/>
        <v>0</v>
      </c>
      <c r="GO45" s="3174">
        <f t="shared" si="24"/>
        <v>0</v>
      </c>
      <c r="GP45" s="3175">
        <f t="shared" si="25"/>
        <v>0</v>
      </c>
      <c r="GQ45" s="3176">
        <f t="shared" si="26"/>
        <v>0</v>
      </c>
      <c r="GR45" s="3177">
        <f t="shared" si="27"/>
        <v>0</v>
      </c>
      <c r="GS45" s="3177">
        <f t="shared" si="28"/>
        <v>0</v>
      </c>
      <c r="GT45" s="3178">
        <f t="shared" si="29"/>
        <v>0</v>
      </c>
      <c r="GU45" s="3179"/>
      <c r="GV45" s="3178">
        <f t="shared" si="30"/>
        <v>0</v>
      </c>
      <c r="GW45" s="3177">
        <f t="shared" si="31"/>
        <v>0</v>
      </c>
      <c r="GX45" s="3180"/>
      <c r="GY45" s="3177">
        <f t="shared" si="32"/>
        <v>0</v>
      </c>
      <c r="GZ45" s="2593"/>
      <c r="HA45" s="277"/>
      <c r="HB45" s="277"/>
      <c r="HC45" s="277"/>
      <c r="HD45" s="277"/>
      <c r="HE45" s="277"/>
      <c r="HF45" s="277"/>
      <c r="HG45" s="277"/>
      <c r="HH45" s="277"/>
      <c r="HI45" s="277"/>
      <c r="HJ45" s="277"/>
      <c r="HK45" s="277"/>
      <c r="HL45" s="277"/>
      <c r="HM45" s="277"/>
      <c r="HN45" s="277"/>
      <c r="HO45" s="277"/>
    </row>
    <row r="46" spans="1:223" ht="18" customHeight="1" x14ac:dyDescent="0.3">
      <c r="A46" s="755"/>
      <c r="B46" s="805">
        <f>SUMIFS('3a Staff Plan'!$T$129:$T$305,'3a Staff Plan'!$DF$129:$DF$305,1,'3a Staff Plan'!$DA$129:$DA$305,1,'3a Staff Plan'!$J$129:$J$305,$FA46)</f>
        <v>0</v>
      </c>
      <c r="C46" s="805">
        <f>SUMIFS('3a Staff Plan'!$U$129:$U$305,'3a Staff Plan'!$DF$129:$DF$305,1,'3a Staff Plan'!$DA$129:$DA$305,1,'3a Staff Plan'!$J$129:$J$305,$FA46)</f>
        <v>0</v>
      </c>
      <c r="D46" s="805">
        <f>SUMIFS('3a Staff Plan'!$Z$129:$Z$305,'3a Staff Plan'!$DF$129:$DF$305,1,'3a Staff Plan'!$DA$129:$DA$305,1,'3a Staff Plan'!$J$129:$J$305,$FA46)</f>
        <v>0</v>
      </c>
      <c r="E46" s="805">
        <f>SUMIFS('3a Staff Plan'!$Y$129:$Y$305,'3a Staff Plan'!$DF$129:$DF$305,1,'3a Staff Plan'!$DA$129:$DA$305,1,'3a Staff Plan'!$J$129:$J$305,$FA46)</f>
        <v>0</v>
      </c>
      <c r="F46" s="805">
        <f>SUMIFS('3a Staff Plan'!$X$129:$X$305,'3a Staff Plan'!$DF$129:$DF$305,1,'3a Staff Plan'!$DA$129:$DA$305,1,'3a Staff Plan'!$AG$129:$AG$305,1,'3a Staff Plan'!$J$129:$J$305,$FA46)</f>
        <v>0</v>
      </c>
      <c r="G46" s="805">
        <f>IF($G$24=0,0,SUMIFS('3a Staff Plan'!$W$129:$W$305,'3a Staff Plan'!$DF$129:$DF$305,1,'3a Staff Plan'!$DA$129:$DA$305,1,'3a Staff Plan'!$J$129:$J$305,$FA46))</f>
        <v>0</v>
      </c>
      <c r="H46" s="795">
        <f t="shared" si="52"/>
        <v>0</v>
      </c>
      <c r="I46" s="805">
        <f>SUMIFS('3a Staff Plan'!$V$129:$V$305,'3a Staff Plan'!$DF$129:$DF$305,1,'3a Staff Plan'!$DA$129:$DA$305,1,'3a Staff Plan'!$J$129:$J$305,$FA46)</f>
        <v>0</v>
      </c>
      <c r="J46" s="805">
        <f>SUMIFS('3a Staff Plan'!$AB$129:$AB$305,'3a Staff Plan'!$DF$129:$DF$305,1,'3a Staff Plan'!$DA$129:$DA$305,1,'3a Staff Plan'!$J$129:$J$305,$FA46)</f>
        <v>0</v>
      </c>
      <c r="K46" s="805">
        <f>SUMIFS('3a Staff Plan'!$AA$129:$AA$305,'3a Staff Plan'!$DF$129:$DF$305,1,'3a Staff Plan'!$DA$129:$DA$305,1,'3a Staff Plan'!$AG$129:$AG$305,1,'3a Staff Plan'!$J$129:$J$305,$FA46)</f>
        <v>0</v>
      </c>
      <c r="L46" s="755"/>
      <c r="M46" s="805">
        <f>SUMIFS('3b Activity Plan'!$T$173:$T$365,'3b Activity Plan'!$CY$173:$CY$365,1,'3b Activity Plan'!$CT$173:$CT$365,1,'3b Activity Plan'!$J$173:$J$365,$FA46)</f>
        <v>0</v>
      </c>
      <c r="N46" s="805">
        <f>SUMIFS('3b Activity Plan'!$U$173:$U$365,'3b Activity Plan'!$CY$173:$CY$365,1,'3b Activity Plan'!$CT$173:$CT$365,1,'3b Activity Plan'!$J$173:$J$365,$FA46)</f>
        <v>0</v>
      </c>
      <c r="O46" s="805">
        <f>SUMIFS('3b Activity Plan'!$Z$173:$Z$365,'3b Activity Plan'!$CY$173:$CY$365,1,'3b Activity Plan'!$CT$173:$CT$365,1,'3b Activity Plan'!$J$173:$J$365,$FA46)</f>
        <v>0</v>
      </c>
      <c r="P46" s="805">
        <f>SUMIFS('3b Activity Plan'!$Y$173:$Y$365,'3b Activity Plan'!$CY$173:$CY$365,1,'3b Activity Plan'!$CT$173:$CT$365,1,'3b Activity Plan'!$J$173:$J$365,$FA46)</f>
        <v>0</v>
      </c>
      <c r="Q46" s="805">
        <f>SUMIFS('3b Activity Plan'!$X$173:$X$365,'3b Activity Plan'!$CY$173:$CY$365,1,'3b Activity Plan'!$CT$173:$CT$365,1,'3b Activity Plan'!$J$173:$J$365,$FA46)</f>
        <v>0</v>
      </c>
      <c r="R46" s="805">
        <f>IF($R$24=0,0,SUMIFS('3b Activity Plan'!$W$173:$W$365,'3b Activity Plan'!$CY$173:$CY$365,1,'3b Activity Plan'!$CT$173:$CT$365,1,'3b Activity Plan'!$J$173:$J$365,$FA46))</f>
        <v>0</v>
      </c>
      <c r="S46" s="795">
        <f t="shared" si="53"/>
        <v>0</v>
      </c>
      <c r="T46" s="805">
        <f>SUMIFS('3b Activity Plan'!$V$173:$V$365,'3b Activity Plan'!$CY$173:$CY$365,1,'3b Activity Plan'!$CT$173:$CT$365,1,'3b Activity Plan'!$J$173:$J$365,$FA46)</f>
        <v>0</v>
      </c>
      <c r="U46" s="805">
        <f>SUMIFS('3b Activity Plan'!$AB$173:$AB$365,'3b Activity Plan'!$CY$173:$CY$365,1,'3b Activity Plan'!$CT$173:$CT$365,1,'3b Activity Plan'!$J$173:$J$365,$FA46)</f>
        <v>0</v>
      </c>
      <c r="V46" s="805">
        <f>SUMIFS('3b Activity Plan'!$AA$173:$AA$365,'3b Activity Plan'!$CY$173:$CY$365,1,'3b Activity Plan'!$CT$173:$CT$365,1,'3b Activity Plan'!$J$173:$J$365,$FA46)</f>
        <v>0</v>
      </c>
      <c r="W46" s="755"/>
      <c r="X46" s="2641">
        <f>SUMIFS('3b Activity Plan'!$FU$173:$FU$365,'3b Activity Plan'!$J$173:$J$365,$FA46)</f>
        <v>0</v>
      </c>
      <c r="Y46" s="2641">
        <f>SUMIFS('3b Activity Plan'!$FW$173:$FW$365,'3b Activity Plan'!$J$173:$J$365,$FA46)</f>
        <v>0</v>
      </c>
      <c r="Z46" s="2639">
        <f t="shared" si="132"/>
        <v>0</v>
      </c>
      <c r="AA46" s="755"/>
      <c r="AB46" s="761">
        <f>_xlfn.MINIFS('3a Staff Plan'!$EB$129:$EB$304,'3a Staff Plan'!$DF$129:$DF$304,1,'3a Staff Plan'!$J$129:$J$304,FA46)</f>
        <v>0</v>
      </c>
      <c r="AC46" s="761">
        <f>_xlfn.MAXIFS('3a Staff Plan'!$EC$129:$EC$304,'3a Staff Plan'!$DF$129:$DF$304,1,'3a Staff Plan'!$J$129:$J$304,FA46)</f>
        <v>0</v>
      </c>
      <c r="AD46" s="755"/>
      <c r="AE46" s="761">
        <f>_xlfn.MINIFS('3b Activity Plan'!$GN$173:$GN$365,'3b Activity Plan'!$CY$173:$CY$365,1,'3b Activity Plan'!$J$173:$J$365,$FA46)</f>
        <v>0</v>
      </c>
      <c r="AF46" s="761">
        <f>_xlfn.MAXIFS('3b Activity Plan'!$GO$173:$GO$365,'3b Activity Plan'!$CY$173:$CY$365,1,'3b Activity Plan'!$J$173:$J$365,$FA46)</f>
        <v>0</v>
      </c>
      <c r="AG46" s="755"/>
      <c r="AH46" s="761">
        <f t="shared" si="54"/>
        <v>0</v>
      </c>
      <c r="AI46" s="761">
        <f t="shared" si="55"/>
        <v>0</v>
      </c>
      <c r="AJ46" s="755"/>
      <c r="AK46" s="761">
        <f t="shared" si="56"/>
        <v>0</v>
      </c>
      <c r="AL46" s="761">
        <f t="shared" si="57"/>
        <v>0</v>
      </c>
      <c r="AM46" s="776">
        <f t="shared" si="58"/>
        <v>0</v>
      </c>
      <c r="AN46" s="755"/>
      <c r="AO46" s="748">
        <f t="shared" si="59"/>
        <v>0</v>
      </c>
      <c r="AP46" s="748">
        <f t="shared" si="60"/>
        <v>0</v>
      </c>
      <c r="AQ46" s="748">
        <f t="shared" si="61"/>
        <v>0</v>
      </c>
      <c r="AR46" s="748">
        <f t="shared" si="62"/>
        <v>0</v>
      </c>
      <c r="AS46" s="748">
        <f t="shared" si="63"/>
        <v>0</v>
      </c>
      <c r="AT46" s="748">
        <f t="shared" si="64"/>
        <v>0</v>
      </c>
      <c r="AU46" s="748">
        <f t="shared" si="65"/>
        <v>0</v>
      </c>
      <c r="AV46" s="748">
        <f>IFERROR(INDEX('IPCS Data'!$R$8:$R$109,MATCH(EJ46,'IPCS Data'!$O$8:$O$109,0)),0)</f>
        <v>0</v>
      </c>
      <c r="AW46" s="755"/>
      <c r="AX46" s="499">
        <f>IFERROR(INDEX('IPCS Data'!$P$18:$P$110,MATCH(EK46,'IPCS Data'!$Q$18:$Q$110,0)),0)</f>
        <v>0</v>
      </c>
      <c r="AY46" s="1950" t="str">
        <f t="shared" si="110"/>
        <v/>
      </c>
      <c r="AZ46" s="755"/>
      <c r="BA46" s="753" t="str">
        <f>IFERROR(IF(MATCH(EJ46,'IPCS Data'!$O$8:$O$110,0)&gt;=25,"L","N"),"N")</f>
        <v>N</v>
      </c>
      <c r="BB46" s="774"/>
      <c r="BC46" s="753" t="str">
        <f t="shared" si="111"/>
        <v>N</v>
      </c>
      <c r="BD46" s="753" t="str">
        <f t="shared" si="39"/>
        <v>Non-Labor</v>
      </c>
      <c r="BE46" s="755"/>
      <c r="BF46" s="753" t="str">
        <f t="shared" si="112"/>
        <v>B23672.05</v>
      </c>
      <c r="BG46" s="753" t="str">
        <f t="shared" si="2"/>
        <v>0.0.0</v>
      </c>
      <c r="BH46" s="753">
        <f t="shared" si="66"/>
        <v>0</v>
      </c>
      <c r="BI46" s="753">
        <f t="shared" si="3"/>
        <v>0</v>
      </c>
      <c r="BJ46" s="753">
        <f t="shared" si="113"/>
        <v>0</v>
      </c>
      <c r="BK46" s="753">
        <f t="shared" si="40"/>
        <v>0</v>
      </c>
      <c r="BL46" s="753" t="b">
        <f t="shared" si="131"/>
        <v>1</v>
      </c>
      <c r="BM46" s="755"/>
      <c r="BN46" s="719">
        <f t="shared" si="67"/>
        <v>0</v>
      </c>
      <c r="BO46" s="719">
        <f t="shared" si="68"/>
        <v>110</v>
      </c>
      <c r="BP46" s="755"/>
      <c r="BQ46" s="719">
        <f>IF(AND((COUNTIFS('3a Staff Plan'!$J$129:$J$305,FA46)*$B$22)+(COUNTIFS('3b Activity Plan'!$J$173:$J$365,FA46)*$M$22)=0,FB46&gt;0),1,0)</f>
        <v>0</v>
      </c>
      <c r="BR46" s="719">
        <f t="shared" si="114"/>
        <v>0</v>
      </c>
      <c r="BS46" s="719">
        <f t="shared" si="69"/>
        <v>0</v>
      </c>
      <c r="BT46" s="719">
        <f t="shared" si="70"/>
        <v>0</v>
      </c>
      <c r="BU46" s="719">
        <f t="shared" si="71"/>
        <v>0</v>
      </c>
      <c r="BV46" s="719">
        <f t="shared" si="72"/>
        <v>0</v>
      </c>
      <c r="BW46" s="719">
        <f t="shared" si="73"/>
        <v>0</v>
      </c>
      <c r="BX46" s="719">
        <f t="shared" si="74"/>
        <v>0</v>
      </c>
      <c r="BY46" s="719">
        <f t="shared" si="75"/>
        <v>0</v>
      </c>
      <c r="BZ46" s="719">
        <f t="shared" si="115"/>
        <v>0</v>
      </c>
      <c r="CA46" s="719">
        <f t="shared" si="116"/>
        <v>0</v>
      </c>
      <c r="CB46" s="719">
        <f t="shared" si="76"/>
        <v>0</v>
      </c>
      <c r="CC46" s="719"/>
      <c r="CD46" s="719"/>
      <c r="CE46" s="719">
        <f t="shared" si="77"/>
        <v>0</v>
      </c>
      <c r="CF46" s="719">
        <f t="shared" si="117"/>
        <v>0</v>
      </c>
      <c r="CG46" s="719">
        <f t="shared" si="118"/>
        <v>0</v>
      </c>
      <c r="CH46" s="719">
        <f t="shared" si="119"/>
        <v>0</v>
      </c>
      <c r="CI46" s="719">
        <f t="shared" si="120"/>
        <v>0</v>
      </c>
      <c r="CJ46" s="719">
        <f t="shared" si="121"/>
        <v>0</v>
      </c>
      <c r="CK46" s="719">
        <f t="shared" si="122"/>
        <v>0</v>
      </c>
      <c r="CL46" s="719">
        <f t="shared" si="123"/>
        <v>0</v>
      </c>
      <c r="CM46" s="719">
        <f t="shared" si="124"/>
        <v>0</v>
      </c>
      <c r="CN46" s="719">
        <f t="shared" si="125"/>
        <v>0</v>
      </c>
      <c r="CO46" s="719">
        <f t="shared" si="42"/>
        <v>0</v>
      </c>
      <c r="CP46" s="719">
        <f t="shared" si="78"/>
        <v>0</v>
      </c>
      <c r="CQ46" s="719">
        <f t="shared" si="126"/>
        <v>13</v>
      </c>
      <c r="CR46" s="719">
        <f t="shared" si="127"/>
        <v>0</v>
      </c>
      <c r="CS46" s="2526"/>
      <c r="CT46" s="2527">
        <f t="shared" si="128"/>
        <v>18</v>
      </c>
      <c r="CU46" s="2527">
        <f t="shared" si="4"/>
        <v>0</v>
      </c>
      <c r="CV46" s="2527">
        <f t="shared" si="5"/>
        <v>0</v>
      </c>
      <c r="CW46" s="2527">
        <f t="shared" si="43"/>
        <v>0</v>
      </c>
      <c r="CX46" s="755"/>
      <c r="CY46" s="2537"/>
      <c r="CZ46" s="499">
        <f t="shared" si="49"/>
        <v>0</v>
      </c>
      <c r="DA46" s="1107">
        <f t="shared" si="50"/>
        <v>0</v>
      </c>
      <c r="DB46" s="2537"/>
      <c r="DC46" s="499">
        <f t="shared" si="79"/>
        <v>0</v>
      </c>
      <c r="DD46" s="1107">
        <f t="shared" si="80"/>
        <v>0</v>
      </c>
      <c r="DE46" s="2537"/>
      <c r="DF46" s="499">
        <f t="shared" si="81"/>
        <v>0</v>
      </c>
      <c r="DG46" s="1107">
        <f t="shared" si="82"/>
        <v>0</v>
      </c>
      <c r="DH46" s="2537"/>
      <c r="DI46" s="499">
        <f t="shared" si="83"/>
        <v>0</v>
      </c>
      <c r="DJ46" s="1107">
        <f t="shared" si="84"/>
        <v>0</v>
      </c>
      <c r="DK46" s="2537"/>
      <c r="DL46" s="499">
        <f t="shared" si="85"/>
        <v>0</v>
      </c>
      <c r="DM46" s="1107">
        <f t="shared" si="86"/>
        <v>0</v>
      </c>
      <c r="DN46" s="2537"/>
      <c r="DO46" s="499">
        <f t="shared" si="87"/>
        <v>0</v>
      </c>
      <c r="DP46" s="1107">
        <f t="shared" si="88"/>
        <v>0</v>
      </c>
      <c r="DQ46" s="2537"/>
      <c r="DR46" s="2559"/>
      <c r="DS46" s="499">
        <f t="shared" si="6"/>
        <v>0</v>
      </c>
      <c r="DT46" s="1105">
        <f t="shared" si="7"/>
        <v>0</v>
      </c>
      <c r="DU46" s="2537"/>
      <c r="DV46" s="2559"/>
      <c r="DW46" s="2312">
        <f t="shared" si="8"/>
        <v>0</v>
      </c>
      <c r="DX46" s="1105">
        <f t="shared" si="9"/>
        <v>0</v>
      </c>
      <c r="DY46" s="2572"/>
      <c r="DZ46" s="2537"/>
      <c r="EA46" s="2537"/>
      <c r="EB46" s="2577" t="str">
        <f t="shared" si="133"/>
        <v>05</v>
      </c>
      <c r="EC46" s="2570"/>
      <c r="ED46" s="436">
        <f>IFERROR(INDEX('IPCS Data'!$H$8:$H$30,MATCH(EE46,'IPCS Data'!$I$8:$I$30,0)),0)</f>
        <v>0</v>
      </c>
      <c r="EE46" s="3072"/>
      <c r="EF46" s="2570"/>
      <c r="EG46" s="499">
        <f>IFERROR(INDEX('IPCS Data'!$L$8:$L$27,MATCH(EH46,'IPCS Data'!$M$8:$M$27,0)),0)</f>
        <v>0</v>
      </c>
      <c r="EH46" s="718"/>
      <c r="EI46" s="2578" t="s">
        <v>5</v>
      </c>
      <c r="EJ46" s="748">
        <f>IFERROR(INDEX('IPCS Data'!$O$8:$O$110,MATCH(EK46,'IPCS Data'!$Q$8:$Q$110,0)),0)</f>
        <v>0</v>
      </c>
      <c r="EK46" s="437"/>
      <c r="EL46" s="2578"/>
      <c r="EM46" s="840">
        <f t="shared" si="89"/>
        <v>0</v>
      </c>
      <c r="EN46" s="841"/>
      <c r="EO46" s="2537"/>
      <c r="EP46" s="842">
        <f t="shared" si="90"/>
        <v>0</v>
      </c>
      <c r="EQ46" s="843"/>
      <c r="ER46" s="2537"/>
      <c r="ES46" s="840">
        <f t="shared" si="91"/>
        <v>0</v>
      </c>
      <c r="ET46" s="843"/>
      <c r="EU46" s="2537"/>
      <c r="EV46" s="1497"/>
      <c r="EW46" s="1683"/>
      <c r="EX46" s="2562">
        <f t="shared" si="92"/>
        <v>13</v>
      </c>
      <c r="EY46" s="2533"/>
      <c r="EZ46" s="2561"/>
      <c r="FA46" s="1324">
        <f t="shared" si="10"/>
        <v>0</v>
      </c>
      <c r="FB46" s="2629">
        <f t="shared" si="93"/>
        <v>0</v>
      </c>
      <c r="FC46" s="274"/>
      <c r="FD46" s="2626">
        <f t="shared" si="11"/>
        <v>0</v>
      </c>
      <c r="FE46" s="2626">
        <f t="shared" si="12"/>
        <v>0</v>
      </c>
      <c r="FF46" s="274"/>
      <c r="FG46" s="2616">
        <f t="shared" si="94"/>
        <v>0</v>
      </c>
      <c r="FH46" s="2616">
        <f t="shared" si="95"/>
        <v>0</v>
      </c>
      <c r="FI46" s="2616">
        <f t="shared" si="96"/>
        <v>0</v>
      </c>
      <c r="FJ46" s="2610" t="s">
        <v>5</v>
      </c>
      <c r="FK46" s="2616">
        <f t="shared" si="97"/>
        <v>0</v>
      </c>
      <c r="FL46" s="2616">
        <f t="shared" si="98"/>
        <v>0</v>
      </c>
      <c r="FM46" s="2616">
        <f t="shared" si="99"/>
        <v>0</v>
      </c>
      <c r="FN46" s="2622">
        <f t="shared" si="100"/>
        <v>0</v>
      </c>
      <c r="FO46" s="2615">
        <f t="shared" si="101"/>
        <v>0</v>
      </c>
      <c r="FP46" s="2624">
        <f t="shared" si="102"/>
        <v>0</v>
      </c>
      <c r="FQ46" s="2622">
        <f t="shared" si="103"/>
        <v>0</v>
      </c>
      <c r="FR46" s="2624">
        <f t="shared" si="104"/>
        <v>0</v>
      </c>
      <c r="FS46" s="2611" t="s">
        <v>5</v>
      </c>
      <c r="FT46" s="2616">
        <f t="shared" si="105"/>
        <v>0</v>
      </c>
      <c r="FU46" s="2622">
        <f t="shared" si="129"/>
        <v>0</v>
      </c>
      <c r="FV46" s="2616">
        <f t="shared" si="106"/>
        <v>0</v>
      </c>
      <c r="FW46" s="2612" t="s">
        <v>5</v>
      </c>
      <c r="FX46" s="2616">
        <f t="shared" si="51"/>
        <v>0</v>
      </c>
      <c r="FY46" s="2616">
        <f t="shared" si="107"/>
        <v>0</v>
      </c>
      <c r="FZ46" s="2613" t="s">
        <v>5</v>
      </c>
      <c r="GA46" s="2616">
        <f t="shared" si="48"/>
        <v>0</v>
      </c>
      <c r="GB46" s="2619">
        <f t="shared" si="130"/>
        <v>0</v>
      </c>
      <c r="GC46" s="2620">
        <f t="shared" si="108"/>
        <v>0</v>
      </c>
      <c r="GD46" s="2614"/>
      <c r="GE46" s="3195">
        <f t="shared" si="16"/>
        <v>0</v>
      </c>
      <c r="GF46" s="3195">
        <f t="shared" si="17"/>
        <v>0</v>
      </c>
      <c r="GG46" s="3193" t="str">
        <f t="shared" si="18"/>
        <v>X</v>
      </c>
      <c r="GH46" s="2531"/>
      <c r="GI46" s="3189" t="str">
        <f t="shared" si="19"/>
        <v/>
      </c>
      <c r="GJ46" s="2598"/>
      <c r="GK46" s="3173">
        <f t="shared" si="20"/>
        <v>0</v>
      </c>
      <c r="GL46" s="3173">
        <f t="shared" si="21"/>
        <v>0</v>
      </c>
      <c r="GM46" s="3173">
        <f t="shared" si="22"/>
        <v>0</v>
      </c>
      <c r="GN46" s="3174">
        <f t="shared" si="23"/>
        <v>0</v>
      </c>
      <c r="GO46" s="3174">
        <f t="shared" si="24"/>
        <v>0</v>
      </c>
      <c r="GP46" s="3175">
        <f t="shared" si="25"/>
        <v>0</v>
      </c>
      <c r="GQ46" s="3176">
        <f t="shared" si="26"/>
        <v>0</v>
      </c>
      <c r="GR46" s="3177">
        <f t="shared" si="27"/>
        <v>0</v>
      </c>
      <c r="GS46" s="3177">
        <f t="shared" si="28"/>
        <v>0</v>
      </c>
      <c r="GT46" s="3178">
        <f t="shared" si="29"/>
        <v>0</v>
      </c>
      <c r="GU46" s="3179"/>
      <c r="GV46" s="3178">
        <f t="shared" si="30"/>
        <v>0</v>
      </c>
      <c r="GW46" s="3177">
        <f t="shared" si="31"/>
        <v>0</v>
      </c>
      <c r="GX46" s="3180"/>
      <c r="GY46" s="3177">
        <f t="shared" si="32"/>
        <v>0</v>
      </c>
      <c r="GZ46" s="2593"/>
      <c r="HA46" s="277"/>
      <c r="HB46" s="277"/>
      <c r="HC46" s="277"/>
      <c r="HD46" s="277"/>
      <c r="HE46" s="277"/>
      <c r="HF46" s="277"/>
      <c r="HG46" s="277"/>
      <c r="HH46" s="277"/>
      <c r="HI46" s="277"/>
      <c r="HJ46" s="277"/>
      <c r="HK46" s="277"/>
      <c r="HL46" s="277"/>
      <c r="HM46" s="277"/>
      <c r="HN46" s="277"/>
      <c r="HO46" s="277"/>
    </row>
    <row r="47" spans="1:223" ht="18" customHeight="1" x14ac:dyDescent="0.3">
      <c r="A47" s="755"/>
      <c r="B47" s="805">
        <f>SUMIFS('3a Staff Plan'!$T$129:$T$305,'3a Staff Plan'!$DF$129:$DF$305,1,'3a Staff Plan'!$DA$129:$DA$305,1,'3a Staff Plan'!$J$129:$J$305,$FA47)</f>
        <v>0</v>
      </c>
      <c r="C47" s="805">
        <f>SUMIFS('3a Staff Plan'!$U$129:$U$305,'3a Staff Plan'!$DF$129:$DF$305,1,'3a Staff Plan'!$DA$129:$DA$305,1,'3a Staff Plan'!$J$129:$J$305,$FA47)</f>
        <v>0</v>
      </c>
      <c r="D47" s="805">
        <f>SUMIFS('3a Staff Plan'!$Z$129:$Z$305,'3a Staff Plan'!$DF$129:$DF$305,1,'3a Staff Plan'!$DA$129:$DA$305,1,'3a Staff Plan'!$J$129:$J$305,$FA47)</f>
        <v>0</v>
      </c>
      <c r="E47" s="805">
        <f>SUMIFS('3a Staff Plan'!$Y$129:$Y$305,'3a Staff Plan'!$DF$129:$DF$305,1,'3a Staff Plan'!$DA$129:$DA$305,1,'3a Staff Plan'!$J$129:$J$305,$FA47)</f>
        <v>0</v>
      </c>
      <c r="F47" s="805">
        <f>SUMIFS('3a Staff Plan'!$X$129:$X$305,'3a Staff Plan'!$DF$129:$DF$305,1,'3a Staff Plan'!$DA$129:$DA$305,1,'3a Staff Plan'!$AG$129:$AG$305,1,'3a Staff Plan'!$J$129:$J$305,$FA47)</f>
        <v>0</v>
      </c>
      <c r="G47" s="805">
        <f>IF($G$24=0,0,SUMIFS('3a Staff Plan'!$W$129:$W$305,'3a Staff Plan'!$DF$129:$DF$305,1,'3a Staff Plan'!$DA$129:$DA$305,1,'3a Staff Plan'!$J$129:$J$305,$FA47))</f>
        <v>0</v>
      </c>
      <c r="H47" s="795">
        <f t="shared" si="52"/>
        <v>0</v>
      </c>
      <c r="I47" s="805">
        <f>SUMIFS('3a Staff Plan'!$V$129:$V$305,'3a Staff Plan'!$DF$129:$DF$305,1,'3a Staff Plan'!$DA$129:$DA$305,1,'3a Staff Plan'!$J$129:$J$305,$FA47)</f>
        <v>0</v>
      </c>
      <c r="J47" s="805">
        <f>SUMIFS('3a Staff Plan'!$AB$129:$AB$305,'3a Staff Plan'!$DF$129:$DF$305,1,'3a Staff Plan'!$DA$129:$DA$305,1,'3a Staff Plan'!$J$129:$J$305,$FA47)</f>
        <v>0</v>
      </c>
      <c r="K47" s="805">
        <f>SUMIFS('3a Staff Plan'!$AA$129:$AA$305,'3a Staff Plan'!$DF$129:$DF$305,1,'3a Staff Plan'!$DA$129:$DA$305,1,'3a Staff Plan'!$AG$129:$AG$305,1,'3a Staff Plan'!$J$129:$J$305,$FA47)</f>
        <v>0</v>
      </c>
      <c r="L47" s="755"/>
      <c r="M47" s="805">
        <f>SUMIFS('3b Activity Plan'!$T$173:$T$365,'3b Activity Plan'!$CY$173:$CY$365,1,'3b Activity Plan'!$CT$173:$CT$365,1,'3b Activity Plan'!$J$173:$J$365,$FA47)</f>
        <v>0</v>
      </c>
      <c r="N47" s="805">
        <f>SUMIFS('3b Activity Plan'!$U$173:$U$365,'3b Activity Plan'!$CY$173:$CY$365,1,'3b Activity Plan'!$CT$173:$CT$365,1,'3b Activity Plan'!$J$173:$J$365,$FA47)</f>
        <v>0</v>
      </c>
      <c r="O47" s="805">
        <f>SUMIFS('3b Activity Plan'!$Z$173:$Z$365,'3b Activity Plan'!$CY$173:$CY$365,1,'3b Activity Plan'!$CT$173:$CT$365,1,'3b Activity Plan'!$J$173:$J$365,$FA47)</f>
        <v>0</v>
      </c>
      <c r="P47" s="805">
        <f>SUMIFS('3b Activity Plan'!$Y$173:$Y$365,'3b Activity Plan'!$CY$173:$CY$365,1,'3b Activity Plan'!$CT$173:$CT$365,1,'3b Activity Plan'!$J$173:$J$365,$FA47)</f>
        <v>0</v>
      </c>
      <c r="Q47" s="805">
        <f>SUMIFS('3b Activity Plan'!$X$173:$X$365,'3b Activity Plan'!$CY$173:$CY$365,1,'3b Activity Plan'!$CT$173:$CT$365,1,'3b Activity Plan'!$J$173:$J$365,$FA47)</f>
        <v>0</v>
      </c>
      <c r="R47" s="805">
        <f>IF($R$24=0,0,SUMIFS('3b Activity Plan'!$W$173:$W$365,'3b Activity Plan'!$CY$173:$CY$365,1,'3b Activity Plan'!$CT$173:$CT$365,1,'3b Activity Plan'!$J$173:$J$365,$FA47))</f>
        <v>0</v>
      </c>
      <c r="S47" s="795">
        <f t="shared" si="53"/>
        <v>0</v>
      </c>
      <c r="T47" s="805">
        <f>SUMIFS('3b Activity Plan'!$V$173:$V$365,'3b Activity Plan'!$CY$173:$CY$365,1,'3b Activity Plan'!$CT$173:$CT$365,1,'3b Activity Plan'!$J$173:$J$365,$FA47)</f>
        <v>0</v>
      </c>
      <c r="U47" s="805">
        <f>SUMIFS('3b Activity Plan'!$AB$173:$AB$365,'3b Activity Plan'!$CY$173:$CY$365,1,'3b Activity Plan'!$CT$173:$CT$365,1,'3b Activity Plan'!$J$173:$J$365,$FA47)</f>
        <v>0</v>
      </c>
      <c r="V47" s="805">
        <f>SUMIFS('3b Activity Plan'!$AA$173:$AA$365,'3b Activity Plan'!$CY$173:$CY$365,1,'3b Activity Plan'!$CT$173:$CT$365,1,'3b Activity Plan'!$J$173:$J$365,$FA47)</f>
        <v>0</v>
      </c>
      <c r="W47" s="755"/>
      <c r="X47" s="2641">
        <f>SUMIFS('3b Activity Plan'!$FU$173:$FU$365,'3b Activity Plan'!$J$173:$J$365,$FA47)</f>
        <v>0</v>
      </c>
      <c r="Y47" s="2641">
        <f>SUMIFS('3b Activity Plan'!$FW$173:$FW$365,'3b Activity Plan'!$J$173:$J$365,$FA47)</f>
        <v>0</v>
      </c>
      <c r="Z47" s="2639">
        <f t="shared" si="132"/>
        <v>0</v>
      </c>
      <c r="AA47" s="755"/>
      <c r="AB47" s="761">
        <f>_xlfn.MINIFS('3a Staff Plan'!$EB$129:$EB$304,'3a Staff Plan'!$DF$129:$DF$304,1,'3a Staff Plan'!$J$129:$J$304,FA47)</f>
        <v>0</v>
      </c>
      <c r="AC47" s="761">
        <f>_xlfn.MAXIFS('3a Staff Plan'!$EC$129:$EC$304,'3a Staff Plan'!$DF$129:$DF$304,1,'3a Staff Plan'!$J$129:$J$304,FA47)</f>
        <v>0</v>
      </c>
      <c r="AD47" s="755"/>
      <c r="AE47" s="761">
        <f>_xlfn.MINIFS('3b Activity Plan'!$GN$173:$GN$365,'3b Activity Plan'!$CY$173:$CY$365,1,'3b Activity Plan'!$J$173:$J$365,$FA47)</f>
        <v>0</v>
      </c>
      <c r="AF47" s="761">
        <f>_xlfn.MAXIFS('3b Activity Plan'!$GO$173:$GO$365,'3b Activity Plan'!$CY$173:$CY$365,1,'3b Activity Plan'!$J$173:$J$365,$FA47)</f>
        <v>0</v>
      </c>
      <c r="AG47" s="755"/>
      <c r="AH47" s="761">
        <f t="shared" si="54"/>
        <v>0</v>
      </c>
      <c r="AI47" s="761">
        <f t="shared" si="55"/>
        <v>0</v>
      </c>
      <c r="AJ47" s="755"/>
      <c r="AK47" s="761">
        <f t="shared" si="56"/>
        <v>0</v>
      </c>
      <c r="AL47" s="761">
        <f t="shared" si="57"/>
        <v>0</v>
      </c>
      <c r="AM47" s="776">
        <f t="shared" si="58"/>
        <v>0</v>
      </c>
      <c r="AN47" s="755"/>
      <c r="AO47" s="748">
        <f t="shared" si="59"/>
        <v>0</v>
      </c>
      <c r="AP47" s="748">
        <f t="shared" si="60"/>
        <v>0</v>
      </c>
      <c r="AQ47" s="748">
        <f t="shared" si="61"/>
        <v>0</v>
      </c>
      <c r="AR47" s="748">
        <f t="shared" si="62"/>
        <v>0</v>
      </c>
      <c r="AS47" s="748">
        <f t="shared" si="63"/>
        <v>0</v>
      </c>
      <c r="AT47" s="748">
        <f t="shared" si="64"/>
        <v>0</v>
      </c>
      <c r="AU47" s="748">
        <f t="shared" si="65"/>
        <v>0</v>
      </c>
      <c r="AV47" s="748">
        <f>IFERROR(INDEX('IPCS Data'!$R$8:$R$109,MATCH(EJ47,'IPCS Data'!$O$8:$O$109,0)),0)</f>
        <v>0</v>
      </c>
      <c r="AW47" s="755"/>
      <c r="AX47" s="499">
        <f>IFERROR(INDEX('IPCS Data'!$P$18:$P$110,MATCH(EK47,'IPCS Data'!$Q$18:$Q$110,0)),0)</f>
        <v>0</v>
      </c>
      <c r="AY47" s="1950" t="str">
        <f t="shared" si="110"/>
        <v/>
      </c>
      <c r="AZ47" s="755"/>
      <c r="BA47" s="753" t="str">
        <f>IFERROR(IF(MATCH(EJ47,'IPCS Data'!$O$8:$O$110,0)&gt;=25,"L","N"),"N")</f>
        <v>N</v>
      </c>
      <c r="BB47" s="774"/>
      <c r="BC47" s="753" t="str">
        <f t="shared" si="111"/>
        <v>N</v>
      </c>
      <c r="BD47" s="753" t="str">
        <f t="shared" si="39"/>
        <v>Non-Labor</v>
      </c>
      <c r="BE47" s="755"/>
      <c r="BF47" s="753" t="str">
        <f t="shared" si="112"/>
        <v>B23672.05</v>
      </c>
      <c r="BG47" s="753" t="str">
        <f t="shared" si="2"/>
        <v>0.0.0</v>
      </c>
      <c r="BH47" s="753">
        <f t="shared" si="66"/>
        <v>0</v>
      </c>
      <c r="BI47" s="753">
        <f t="shared" si="3"/>
        <v>0</v>
      </c>
      <c r="BJ47" s="753">
        <f t="shared" si="113"/>
        <v>0</v>
      </c>
      <c r="BK47" s="753">
        <f t="shared" si="40"/>
        <v>0</v>
      </c>
      <c r="BL47" s="753" t="b">
        <f t="shared" si="131"/>
        <v>1</v>
      </c>
      <c r="BM47" s="755"/>
      <c r="BN47" s="719">
        <f t="shared" si="67"/>
        <v>0</v>
      </c>
      <c r="BO47" s="719">
        <f t="shared" si="68"/>
        <v>110</v>
      </c>
      <c r="BP47" s="755"/>
      <c r="BQ47" s="719">
        <f>IF(AND((COUNTIFS('3a Staff Plan'!$J$129:$J$305,FA47)*$B$22)+(COUNTIFS('3b Activity Plan'!$J$173:$J$365,FA47)*$M$22)=0,FB47&gt;0),1,0)</f>
        <v>0</v>
      </c>
      <c r="BR47" s="719">
        <f t="shared" si="114"/>
        <v>0</v>
      </c>
      <c r="BS47" s="719">
        <f t="shared" si="69"/>
        <v>0</v>
      </c>
      <c r="BT47" s="719">
        <f t="shared" si="70"/>
        <v>0</v>
      </c>
      <c r="BU47" s="719">
        <f t="shared" si="71"/>
        <v>0</v>
      </c>
      <c r="BV47" s="719">
        <f t="shared" si="72"/>
        <v>0</v>
      </c>
      <c r="BW47" s="719">
        <f t="shared" si="73"/>
        <v>0</v>
      </c>
      <c r="BX47" s="719">
        <f t="shared" si="74"/>
        <v>0</v>
      </c>
      <c r="BY47" s="719">
        <f t="shared" si="75"/>
        <v>0</v>
      </c>
      <c r="BZ47" s="719">
        <f t="shared" si="115"/>
        <v>0</v>
      </c>
      <c r="CA47" s="719">
        <f t="shared" si="116"/>
        <v>0</v>
      </c>
      <c r="CB47" s="719">
        <f t="shared" si="76"/>
        <v>0</v>
      </c>
      <c r="CC47" s="719"/>
      <c r="CD47" s="719"/>
      <c r="CE47" s="719">
        <f t="shared" si="77"/>
        <v>0</v>
      </c>
      <c r="CF47" s="719">
        <f t="shared" si="117"/>
        <v>0</v>
      </c>
      <c r="CG47" s="719">
        <f t="shared" si="118"/>
        <v>0</v>
      </c>
      <c r="CH47" s="719">
        <f t="shared" si="119"/>
        <v>0</v>
      </c>
      <c r="CI47" s="719">
        <f t="shared" si="120"/>
        <v>0</v>
      </c>
      <c r="CJ47" s="719">
        <f t="shared" si="121"/>
        <v>0</v>
      </c>
      <c r="CK47" s="719">
        <f t="shared" si="122"/>
        <v>0</v>
      </c>
      <c r="CL47" s="719">
        <f t="shared" si="123"/>
        <v>0</v>
      </c>
      <c r="CM47" s="719">
        <f t="shared" si="124"/>
        <v>0</v>
      </c>
      <c r="CN47" s="719">
        <f t="shared" si="125"/>
        <v>0</v>
      </c>
      <c r="CO47" s="719">
        <f t="shared" si="42"/>
        <v>0</v>
      </c>
      <c r="CP47" s="719">
        <f t="shared" si="78"/>
        <v>0</v>
      </c>
      <c r="CQ47" s="719">
        <f t="shared" si="126"/>
        <v>14</v>
      </c>
      <c r="CR47" s="719">
        <f t="shared" si="127"/>
        <v>0</v>
      </c>
      <c r="CS47" s="2526"/>
      <c r="CT47" s="2527">
        <f t="shared" si="128"/>
        <v>19</v>
      </c>
      <c r="CU47" s="2527">
        <f t="shared" si="4"/>
        <v>0</v>
      </c>
      <c r="CV47" s="2527">
        <f t="shared" si="5"/>
        <v>0</v>
      </c>
      <c r="CW47" s="2527">
        <f t="shared" si="43"/>
        <v>0</v>
      </c>
      <c r="CX47" s="755"/>
      <c r="CY47" s="2537"/>
      <c r="CZ47" s="499">
        <f t="shared" si="49"/>
        <v>0</v>
      </c>
      <c r="DA47" s="1107">
        <f t="shared" si="50"/>
        <v>0</v>
      </c>
      <c r="DB47" s="2537"/>
      <c r="DC47" s="499">
        <f t="shared" si="79"/>
        <v>0</v>
      </c>
      <c r="DD47" s="1107">
        <f t="shared" si="80"/>
        <v>0</v>
      </c>
      <c r="DE47" s="2537"/>
      <c r="DF47" s="499">
        <f t="shared" si="81"/>
        <v>0</v>
      </c>
      <c r="DG47" s="1107">
        <f t="shared" si="82"/>
        <v>0</v>
      </c>
      <c r="DH47" s="2537"/>
      <c r="DI47" s="499">
        <f t="shared" si="83"/>
        <v>0</v>
      </c>
      <c r="DJ47" s="1107">
        <f t="shared" si="84"/>
        <v>0</v>
      </c>
      <c r="DK47" s="2537"/>
      <c r="DL47" s="499">
        <f t="shared" si="85"/>
        <v>0</v>
      </c>
      <c r="DM47" s="1107">
        <f t="shared" si="86"/>
        <v>0</v>
      </c>
      <c r="DN47" s="2537"/>
      <c r="DO47" s="499">
        <f t="shared" si="87"/>
        <v>0</v>
      </c>
      <c r="DP47" s="1107">
        <f t="shared" si="88"/>
        <v>0</v>
      </c>
      <c r="DQ47" s="2537"/>
      <c r="DR47" s="2559"/>
      <c r="DS47" s="499">
        <f t="shared" si="6"/>
        <v>0</v>
      </c>
      <c r="DT47" s="1105">
        <f t="shared" si="7"/>
        <v>0</v>
      </c>
      <c r="DU47" s="2537"/>
      <c r="DV47" s="2559"/>
      <c r="DW47" s="2312">
        <f t="shared" si="8"/>
        <v>0</v>
      </c>
      <c r="DX47" s="1105">
        <f t="shared" si="9"/>
        <v>0</v>
      </c>
      <c r="DY47" s="2572"/>
      <c r="DZ47" s="2537"/>
      <c r="EA47" s="2537"/>
      <c r="EB47" s="2577" t="str">
        <f t="shared" si="133"/>
        <v>05</v>
      </c>
      <c r="EC47" s="2570"/>
      <c r="ED47" s="436">
        <f>IFERROR(INDEX('IPCS Data'!$H$8:$H$30,MATCH(EE47,'IPCS Data'!$I$8:$I$30,0)),0)</f>
        <v>0</v>
      </c>
      <c r="EE47" s="3072"/>
      <c r="EF47" s="2570"/>
      <c r="EG47" s="499">
        <f>IFERROR(INDEX('IPCS Data'!$L$8:$L$27,MATCH(EH47,'IPCS Data'!$M$8:$M$27,0)),0)</f>
        <v>0</v>
      </c>
      <c r="EH47" s="718"/>
      <c r="EI47" s="2578" t="s">
        <v>5</v>
      </c>
      <c r="EJ47" s="748">
        <f>IFERROR(INDEX('IPCS Data'!$O$8:$O$110,MATCH(EK47,'IPCS Data'!$Q$8:$Q$110,0)),0)</f>
        <v>0</v>
      </c>
      <c r="EK47" s="437"/>
      <c r="EL47" s="2578"/>
      <c r="EM47" s="840">
        <f t="shared" si="89"/>
        <v>0</v>
      </c>
      <c r="EN47" s="841"/>
      <c r="EO47" s="2537"/>
      <c r="EP47" s="842">
        <f t="shared" si="90"/>
        <v>0</v>
      </c>
      <c r="EQ47" s="843"/>
      <c r="ER47" s="2537"/>
      <c r="ES47" s="840">
        <f t="shared" si="91"/>
        <v>0</v>
      </c>
      <c r="ET47" s="843"/>
      <c r="EU47" s="2537"/>
      <c r="EV47" s="1497"/>
      <c r="EW47" s="1683"/>
      <c r="EX47" s="2562">
        <f t="shared" si="92"/>
        <v>14</v>
      </c>
      <c r="EY47" s="2533"/>
      <c r="EZ47" s="2561"/>
      <c r="FA47" s="1324">
        <f t="shared" si="10"/>
        <v>0</v>
      </c>
      <c r="FB47" s="2629">
        <f t="shared" si="93"/>
        <v>0</v>
      </c>
      <c r="FC47" s="274"/>
      <c r="FD47" s="2626">
        <f t="shared" si="11"/>
        <v>0</v>
      </c>
      <c r="FE47" s="2626">
        <f t="shared" si="12"/>
        <v>0</v>
      </c>
      <c r="FF47" s="274"/>
      <c r="FG47" s="2616">
        <f t="shared" si="94"/>
        <v>0</v>
      </c>
      <c r="FH47" s="2616">
        <f t="shared" si="95"/>
        <v>0</v>
      </c>
      <c r="FI47" s="2616">
        <f t="shared" si="96"/>
        <v>0</v>
      </c>
      <c r="FJ47" s="2610" t="s">
        <v>5</v>
      </c>
      <c r="FK47" s="2616">
        <f t="shared" si="97"/>
        <v>0</v>
      </c>
      <c r="FL47" s="2616">
        <f t="shared" si="98"/>
        <v>0</v>
      </c>
      <c r="FM47" s="2616">
        <f t="shared" si="99"/>
        <v>0</v>
      </c>
      <c r="FN47" s="2622">
        <f t="shared" si="100"/>
        <v>0</v>
      </c>
      <c r="FO47" s="2615">
        <f t="shared" si="101"/>
        <v>0</v>
      </c>
      <c r="FP47" s="2624">
        <f t="shared" si="102"/>
        <v>0</v>
      </c>
      <c r="FQ47" s="2622">
        <f t="shared" si="103"/>
        <v>0</v>
      </c>
      <c r="FR47" s="2624">
        <f t="shared" si="104"/>
        <v>0</v>
      </c>
      <c r="FS47" s="2611" t="s">
        <v>5</v>
      </c>
      <c r="FT47" s="2616">
        <f t="shared" si="105"/>
        <v>0</v>
      </c>
      <c r="FU47" s="2622">
        <f t="shared" si="129"/>
        <v>0</v>
      </c>
      <c r="FV47" s="2616">
        <f t="shared" si="106"/>
        <v>0</v>
      </c>
      <c r="FW47" s="2612" t="s">
        <v>5</v>
      </c>
      <c r="FX47" s="2616">
        <f t="shared" si="51"/>
        <v>0</v>
      </c>
      <c r="FY47" s="2616">
        <f t="shared" si="107"/>
        <v>0</v>
      </c>
      <c r="FZ47" s="2613" t="s">
        <v>5</v>
      </c>
      <c r="GA47" s="2616">
        <f t="shared" si="48"/>
        <v>0</v>
      </c>
      <c r="GB47" s="2619">
        <f t="shared" si="130"/>
        <v>0</v>
      </c>
      <c r="GC47" s="2620">
        <f t="shared" si="108"/>
        <v>0</v>
      </c>
      <c r="GD47" s="2614"/>
      <c r="GE47" s="3195">
        <f t="shared" si="16"/>
        <v>0</v>
      </c>
      <c r="GF47" s="3195">
        <f t="shared" si="17"/>
        <v>0</v>
      </c>
      <c r="GG47" s="3193" t="str">
        <f t="shared" si="18"/>
        <v>X</v>
      </c>
      <c r="GH47" s="2531"/>
      <c r="GI47" s="3189" t="str">
        <f t="shared" si="19"/>
        <v/>
      </c>
      <c r="GJ47" s="2598"/>
      <c r="GK47" s="3173">
        <f t="shared" si="20"/>
        <v>0</v>
      </c>
      <c r="GL47" s="3173">
        <f t="shared" si="21"/>
        <v>0</v>
      </c>
      <c r="GM47" s="3173">
        <f t="shared" si="22"/>
        <v>0</v>
      </c>
      <c r="GN47" s="3174">
        <f t="shared" si="23"/>
        <v>0</v>
      </c>
      <c r="GO47" s="3174">
        <f t="shared" si="24"/>
        <v>0</v>
      </c>
      <c r="GP47" s="3175">
        <f t="shared" si="25"/>
        <v>0</v>
      </c>
      <c r="GQ47" s="3176">
        <f t="shared" si="26"/>
        <v>0</v>
      </c>
      <c r="GR47" s="3177">
        <f t="shared" si="27"/>
        <v>0</v>
      </c>
      <c r="GS47" s="3177">
        <f t="shared" si="28"/>
        <v>0</v>
      </c>
      <c r="GT47" s="3178">
        <f t="shared" si="29"/>
        <v>0</v>
      </c>
      <c r="GU47" s="3179"/>
      <c r="GV47" s="3178">
        <f t="shared" si="30"/>
        <v>0</v>
      </c>
      <c r="GW47" s="3177">
        <f t="shared" si="31"/>
        <v>0</v>
      </c>
      <c r="GX47" s="3180"/>
      <c r="GY47" s="3177">
        <f t="shared" si="32"/>
        <v>0</v>
      </c>
      <c r="GZ47" s="2593"/>
      <c r="HA47" s="277"/>
      <c r="HB47" s="277"/>
      <c r="HC47" s="277"/>
      <c r="HD47" s="277"/>
      <c r="HE47" s="277"/>
      <c r="HF47" s="277"/>
      <c r="HG47" s="277"/>
      <c r="HH47" s="277"/>
      <c r="HI47" s="277"/>
      <c r="HJ47" s="277"/>
      <c r="HK47" s="277"/>
      <c r="HL47" s="277"/>
      <c r="HM47" s="277"/>
      <c r="HN47" s="277"/>
      <c r="HO47" s="277"/>
    </row>
    <row r="48" spans="1:223" ht="18" customHeight="1" x14ac:dyDescent="0.3">
      <c r="A48" s="755"/>
      <c r="B48" s="805">
        <f>SUMIFS('3a Staff Plan'!$T$129:$T$305,'3a Staff Plan'!$DF$129:$DF$305,1,'3a Staff Plan'!$DA$129:$DA$305,1,'3a Staff Plan'!$J$129:$J$305,$FA48)</f>
        <v>0</v>
      </c>
      <c r="C48" s="805">
        <f>SUMIFS('3a Staff Plan'!$U$129:$U$305,'3a Staff Plan'!$DF$129:$DF$305,1,'3a Staff Plan'!$DA$129:$DA$305,1,'3a Staff Plan'!$J$129:$J$305,$FA48)</f>
        <v>0</v>
      </c>
      <c r="D48" s="805">
        <f>SUMIFS('3a Staff Plan'!$Z$129:$Z$305,'3a Staff Plan'!$DF$129:$DF$305,1,'3a Staff Plan'!$DA$129:$DA$305,1,'3a Staff Plan'!$J$129:$J$305,$FA48)</f>
        <v>0</v>
      </c>
      <c r="E48" s="805">
        <f>SUMIFS('3a Staff Plan'!$Y$129:$Y$305,'3a Staff Plan'!$DF$129:$DF$305,1,'3a Staff Plan'!$DA$129:$DA$305,1,'3a Staff Plan'!$J$129:$J$305,$FA48)</f>
        <v>0</v>
      </c>
      <c r="F48" s="805">
        <f>SUMIFS('3a Staff Plan'!$X$129:$X$305,'3a Staff Plan'!$DF$129:$DF$305,1,'3a Staff Plan'!$DA$129:$DA$305,1,'3a Staff Plan'!$AG$129:$AG$305,1,'3a Staff Plan'!$J$129:$J$305,$FA48)</f>
        <v>0</v>
      </c>
      <c r="G48" s="805">
        <f>IF($G$24=0,0,SUMIFS('3a Staff Plan'!$W$129:$W$305,'3a Staff Plan'!$DF$129:$DF$305,1,'3a Staff Plan'!$DA$129:$DA$305,1,'3a Staff Plan'!$J$129:$J$305,$FA48))</f>
        <v>0</v>
      </c>
      <c r="H48" s="795">
        <f t="shared" si="52"/>
        <v>0</v>
      </c>
      <c r="I48" s="805">
        <f>SUMIFS('3a Staff Plan'!$V$129:$V$305,'3a Staff Plan'!$DF$129:$DF$305,1,'3a Staff Plan'!$DA$129:$DA$305,1,'3a Staff Plan'!$J$129:$J$305,$FA48)</f>
        <v>0</v>
      </c>
      <c r="J48" s="805">
        <f>SUMIFS('3a Staff Plan'!$AB$129:$AB$305,'3a Staff Plan'!$DF$129:$DF$305,1,'3a Staff Plan'!$DA$129:$DA$305,1,'3a Staff Plan'!$J$129:$J$305,$FA48)</f>
        <v>0</v>
      </c>
      <c r="K48" s="805">
        <f>SUMIFS('3a Staff Plan'!$AA$129:$AA$305,'3a Staff Plan'!$DF$129:$DF$305,1,'3a Staff Plan'!$DA$129:$DA$305,1,'3a Staff Plan'!$AG$129:$AG$305,1,'3a Staff Plan'!$J$129:$J$305,$FA48)</f>
        <v>0</v>
      </c>
      <c r="L48" s="755"/>
      <c r="M48" s="805">
        <f>SUMIFS('3b Activity Plan'!$T$173:$T$365,'3b Activity Plan'!$CY$173:$CY$365,1,'3b Activity Plan'!$CT$173:$CT$365,1,'3b Activity Plan'!$J$173:$J$365,$FA48)</f>
        <v>0</v>
      </c>
      <c r="N48" s="805">
        <f>SUMIFS('3b Activity Plan'!$U$173:$U$365,'3b Activity Plan'!$CY$173:$CY$365,1,'3b Activity Plan'!$CT$173:$CT$365,1,'3b Activity Plan'!$J$173:$J$365,$FA48)</f>
        <v>0</v>
      </c>
      <c r="O48" s="805">
        <f>SUMIFS('3b Activity Plan'!$Z$173:$Z$365,'3b Activity Plan'!$CY$173:$CY$365,1,'3b Activity Plan'!$CT$173:$CT$365,1,'3b Activity Plan'!$J$173:$J$365,$FA48)</f>
        <v>0</v>
      </c>
      <c r="P48" s="805">
        <f>SUMIFS('3b Activity Plan'!$Y$173:$Y$365,'3b Activity Plan'!$CY$173:$CY$365,1,'3b Activity Plan'!$CT$173:$CT$365,1,'3b Activity Plan'!$J$173:$J$365,$FA48)</f>
        <v>0</v>
      </c>
      <c r="Q48" s="805">
        <f>SUMIFS('3b Activity Plan'!$X$173:$X$365,'3b Activity Plan'!$CY$173:$CY$365,1,'3b Activity Plan'!$CT$173:$CT$365,1,'3b Activity Plan'!$J$173:$J$365,$FA48)</f>
        <v>0</v>
      </c>
      <c r="R48" s="805">
        <f>IF($R$24=0,0,SUMIFS('3b Activity Plan'!$W$173:$W$365,'3b Activity Plan'!$CY$173:$CY$365,1,'3b Activity Plan'!$CT$173:$CT$365,1,'3b Activity Plan'!$J$173:$J$365,$FA48))</f>
        <v>0</v>
      </c>
      <c r="S48" s="795">
        <f t="shared" si="53"/>
        <v>0</v>
      </c>
      <c r="T48" s="805">
        <f>SUMIFS('3b Activity Plan'!$V$173:$V$365,'3b Activity Plan'!$CY$173:$CY$365,1,'3b Activity Plan'!$CT$173:$CT$365,1,'3b Activity Plan'!$J$173:$J$365,$FA48)</f>
        <v>0</v>
      </c>
      <c r="U48" s="805">
        <f>SUMIFS('3b Activity Plan'!$AB$173:$AB$365,'3b Activity Plan'!$CY$173:$CY$365,1,'3b Activity Plan'!$CT$173:$CT$365,1,'3b Activity Plan'!$J$173:$J$365,$FA48)</f>
        <v>0</v>
      </c>
      <c r="V48" s="805">
        <f>SUMIFS('3b Activity Plan'!$AA$173:$AA$365,'3b Activity Plan'!$CY$173:$CY$365,1,'3b Activity Plan'!$CT$173:$CT$365,1,'3b Activity Plan'!$J$173:$J$365,$FA48)</f>
        <v>0</v>
      </c>
      <c r="W48" s="755"/>
      <c r="X48" s="2641">
        <f>SUMIFS('3b Activity Plan'!$FU$173:$FU$365,'3b Activity Plan'!$J$173:$J$365,$FA48)</f>
        <v>0</v>
      </c>
      <c r="Y48" s="2641">
        <f>SUMIFS('3b Activity Plan'!$FW$173:$FW$365,'3b Activity Plan'!$J$173:$J$365,$FA48)</f>
        <v>0</v>
      </c>
      <c r="Z48" s="2639">
        <f t="shared" si="132"/>
        <v>0</v>
      </c>
      <c r="AA48" s="755"/>
      <c r="AB48" s="761">
        <f>_xlfn.MINIFS('3a Staff Plan'!$EB$129:$EB$304,'3a Staff Plan'!$DF$129:$DF$304,1,'3a Staff Plan'!$J$129:$J$304,FA48)</f>
        <v>0</v>
      </c>
      <c r="AC48" s="761">
        <f>_xlfn.MAXIFS('3a Staff Plan'!$EC$129:$EC$304,'3a Staff Plan'!$DF$129:$DF$304,1,'3a Staff Plan'!$J$129:$J$304,FA48)</f>
        <v>0</v>
      </c>
      <c r="AD48" s="755"/>
      <c r="AE48" s="761">
        <f>_xlfn.MINIFS('3b Activity Plan'!$GN$173:$GN$365,'3b Activity Plan'!$CY$173:$CY$365,1,'3b Activity Plan'!$J$173:$J$365,$FA48)</f>
        <v>0</v>
      </c>
      <c r="AF48" s="761">
        <f>_xlfn.MAXIFS('3b Activity Plan'!$GO$173:$GO$365,'3b Activity Plan'!$CY$173:$CY$365,1,'3b Activity Plan'!$J$173:$J$365,$FA48)</f>
        <v>0</v>
      </c>
      <c r="AG48" s="755"/>
      <c r="AH48" s="761">
        <f t="shared" si="54"/>
        <v>0</v>
      </c>
      <c r="AI48" s="761">
        <f t="shared" si="55"/>
        <v>0</v>
      </c>
      <c r="AJ48" s="755"/>
      <c r="AK48" s="761">
        <f t="shared" si="56"/>
        <v>0</v>
      </c>
      <c r="AL48" s="761">
        <f t="shared" si="57"/>
        <v>0</v>
      </c>
      <c r="AM48" s="776">
        <f t="shared" si="58"/>
        <v>0</v>
      </c>
      <c r="AN48" s="755"/>
      <c r="AO48" s="748">
        <f t="shared" si="59"/>
        <v>0</v>
      </c>
      <c r="AP48" s="748">
        <f t="shared" si="60"/>
        <v>0</v>
      </c>
      <c r="AQ48" s="748">
        <f t="shared" si="61"/>
        <v>0</v>
      </c>
      <c r="AR48" s="748">
        <f t="shared" si="62"/>
        <v>0</v>
      </c>
      <c r="AS48" s="748">
        <f t="shared" si="63"/>
        <v>0</v>
      </c>
      <c r="AT48" s="748">
        <f t="shared" si="64"/>
        <v>0</v>
      </c>
      <c r="AU48" s="748">
        <f t="shared" si="65"/>
        <v>0</v>
      </c>
      <c r="AV48" s="748">
        <f>IFERROR(INDEX('IPCS Data'!$R$8:$R$109,MATCH(EJ48,'IPCS Data'!$O$8:$O$109,0)),0)</f>
        <v>0</v>
      </c>
      <c r="AW48" s="755"/>
      <c r="AX48" s="499">
        <f>IFERROR(INDEX('IPCS Data'!$P$18:$P$110,MATCH(EK48,'IPCS Data'!$Q$18:$Q$110,0)),0)</f>
        <v>0</v>
      </c>
      <c r="AY48" s="1950" t="str">
        <f t="shared" si="110"/>
        <v/>
      </c>
      <c r="AZ48" s="755"/>
      <c r="BA48" s="753" t="str">
        <f>IFERROR(IF(MATCH(EJ48,'IPCS Data'!$O$8:$O$110,0)&gt;=25,"L","N"),"N")</f>
        <v>N</v>
      </c>
      <c r="BB48" s="774"/>
      <c r="BC48" s="753" t="str">
        <f t="shared" si="111"/>
        <v>N</v>
      </c>
      <c r="BD48" s="753" t="str">
        <f t="shared" si="39"/>
        <v>Non-Labor</v>
      </c>
      <c r="BE48" s="755"/>
      <c r="BF48" s="753" t="str">
        <f t="shared" si="112"/>
        <v>B23672.05</v>
      </c>
      <c r="BG48" s="753" t="str">
        <f t="shared" si="2"/>
        <v>0.0.0</v>
      </c>
      <c r="BH48" s="753">
        <f t="shared" si="66"/>
        <v>0</v>
      </c>
      <c r="BI48" s="753">
        <f t="shared" si="3"/>
        <v>0</v>
      </c>
      <c r="BJ48" s="753">
        <f t="shared" si="113"/>
        <v>0</v>
      </c>
      <c r="BK48" s="753">
        <f t="shared" si="40"/>
        <v>0</v>
      </c>
      <c r="BL48" s="753" t="b">
        <f t="shared" si="131"/>
        <v>1</v>
      </c>
      <c r="BM48" s="755"/>
      <c r="BN48" s="719">
        <f t="shared" si="67"/>
        <v>0</v>
      </c>
      <c r="BO48" s="719">
        <f t="shared" si="68"/>
        <v>110</v>
      </c>
      <c r="BP48" s="755"/>
      <c r="BQ48" s="719">
        <f>IF(AND((COUNTIFS('3a Staff Plan'!$J$129:$J$305,FA48)*$B$22)+(COUNTIFS('3b Activity Plan'!$J$173:$J$365,FA48)*$M$22)=0,FB48&gt;0),1,0)</f>
        <v>0</v>
      </c>
      <c r="BR48" s="719">
        <f t="shared" si="114"/>
        <v>0</v>
      </c>
      <c r="BS48" s="719">
        <f t="shared" si="69"/>
        <v>0</v>
      </c>
      <c r="BT48" s="719">
        <f t="shared" si="70"/>
        <v>0</v>
      </c>
      <c r="BU48" s="719">
        <f t="shared" si="71"/>
        <v>0</v>
      </c>
      <c r="BV48" s="719">
        <f t="shared" si="72"/>
        <v>0</v>
      </c>
      <c r="BW48" s="719">
        <f t="shared" si="73"/>
        <v>0</v>
      </c>
      <c r="BX48" s="719">
        <f t="shared" si="74"/>
        <v>0</v>
      </c>
      <c r="BY48" s="719">
        <f t="shared" si="75"/>
        <v>0</v>
      </c>
      <c r="BZ48" s="719">
        <f t="shared" si="115"/>
        <v>0</v>
      </c>
      <c r="CA48" s="719">
        <f t="shared" si="116"/>
        <v>0</v>
      </c>
      <c r="CB48" s="719">
        <f t="shared" si="76"/>
        <v>0</v>
      </c>
      <c r="CC48" s="719"/>
      <c r="CD48" s="719"/>
      <c r="CE48" s="719">
        <f t="shared" si="77"/>
        <v>0</v>
      </c>
      <c r="CF48" s="719">
        <f t="shared" si="117"/>
        <v>0</v>
      </c>
      <c r="CG48" s="719">
        <f t="shared" si="118"/>
        <v>0</v>
      </c>
      <c r="CH48" s="719">
        <f t="shared" si="119"/>
        <v>0</v>
      </c>
      <c r="CI48" s="719">
        <f t="shared" si="120"/>
        <v>0</v>
      </c>
      <c r="CJ48" s="719">
        <f t="shared" si="121"/>
        <v>0</v>
      </c>
      <c r="CK48" s="719">
        <f t="shared" si="122"/>
        <v>0</v>
      </c>
      <c r="CL48" s="719">
        <f t="shared" si="123"/>
        <v>0</v>
      </c>
      <c r="CM48" s="719">
        <f t="shared" si="124"/>
        <v>0</v>
      </c>
      <c r="CN48" s="719">
        <f t="shared" si="125"/>
        <v>0</v>
      </c>
      <c r="CO48" s="719">
        <f t="shared" si="42"/>
        <v>0</v>
      </c>
      <c r="CP48" s="719">
        <f t="shared" si="78"/>
        <v>0</v>
      </c>
      <c r="CQ48" s="719">
        <f t="shared" si="126"/>
        <v>15</v>
      </c>
      <c r="CR48" s="719">
        <f t="shared" si="127"/>
        <v>0</v>
      </c>
      <c r="CS48" s="2526"/>
      <c r="CT48" s="2527">
        <f t="shared" si="128"/>
        <v>20</v>
      </c>
      <c r="CU48" s="2527">
        <f t="shared" si="4"/>
        <v>0</v>
      </c>
      <c r="CV48" s="2527">
        <f t="shared" si="5"/>
        <v>0</v>
      </c>
      <c r="CW48" s="2527">
        <f t="shared" si="43"/>
        <v>0</v>
      </c>
      <c r="CX48" s="755"/>
      <c r="CY48" s="2537"/>
      <c r="CZ48" s="499">
        <f t="shared" si="49"/>
        <v>0</v>
      </c>
      <c r="DA48" s="1107">
        <f t="shared" si="50"/>
        <v>0</v>
      </c>
      <c r="DB48" s="2537"/>
      <c r="DC48" s="499">
        <f t="shared" si="79"/>
        <v>0</v>
      </c>
      <c r="DD48" s="1107">
        <f t="shared" si="80"/>
        <v>0</v>
      </c>
      <c r="DE48" s="2537"/>
      <c r="DF48" s="499">
        <f t="shared" si="81"/>
        <v>0</v>
      </c>
      <c r="DG48" s="1107">
        <f t="shared" si="82"/>
        <v>0</v>
      </c>
      <c r="DH48" s="2537"/>
      <c r="DI48" s="499">
        <f t="shared" si="83"/>
        <v>0</v>
      </c>
      <c r="DJ48" s="1107">
        <f t="shared" si="84"/>
        <v>0</v>
      </c>
      <c r="DK48" s="2537"/>
      <c r="DL48" s="499">
        <f t="shared" si="85"/>
        <v>0</v>
      </c>
      <c r="DM48" s="1107">
        <f t="shared" si="86"/>
        <v>0</v>
      </c>
      <c r="DN48" s="2537"/>
      <c r="DO48" s="499">
        <f t="shared" si="87"/>
        <v>0</v>
      </c>
      <c r="DP48" s="1107">
        <f t="shared" si="88"/>
        <v>0</v>
      </c>
      <c r="DQ48" s="2537"/>
      <c r="DR48" s="2559"/>
      <c r="DS48" s="499">
        <f t="shared" si="6"/>
        <v>0</v>
      </c>
      <c r="DT48" s="1105">
        <f t="shared" si="7"/>
        <v>0</v>
      </c>
      <c r="DU48" s="2537"/>
      <c r="DV48" s="2559"/>
      <c r="DW48" s="2312">
        <f t="shared" si="8"/>
        <v>0</v>
      </c>
      <c r="DX48" s="1105">
        <f t="shared" si="9"/>
        <v>0</v>
      </c>
      <c r="DY48" s="2572"/>
      <c r="DZ48" s="2537"/>
      <c r="EA48" s="2537"/>
      <c r="EB48" s="2577" t="str">
        <f t="shared" si="133"/>
        <v>05</v>
      </c>
      <c r="EC48" s="2570"/>
      <c r="ED48" s="436">
        <f>IFERROR(INDEX('IPCS Data'!$H$8:$H$30,MATCH(EE48,'IPCS Data'!$I$8:$I$30,0)),0)</f>
        <v>0</v>
      </c>
      <c r="EE48" s="3072"/>
      <c r="EF48" s="2570"/>
      <c r="EG48" s="499">
        <f>IFERROR(INDEX('IPCS Data'!$L$8:$L$27,MATCH(EH48,'IPCS Data'!$M$8:$M$27,0)),0)</f>
        <v>0</v>
      </c>
      <c r="EH48" s="718"/>
      <c r="EI48" s="2578" t="s">
        <v>5</v>
      </c>
      <c r="EJ48" s="748">
        <f>IFERROR(INDEX('IPCS Data'!$O$8:$O$110,MATCH(EK48,'IPCS Data'!$Q$8:$Q$110,0)),0)</f>
        <v>0</v>
      </c>
      <c r="EK48" s="437"/>
      <c r="EL48" s="2578"/>
      <c r="EM48" s="840">
        <f t="shared" si="89"/>
        <v>0</v>
      </c>
      <c r="EN48" s="841"/>
      <c r="EO48" s="2537"/>
      <c r="EP48" s="842">
        <f t="shared" si="90"/>
        <v>0</v>
      </c>
      <c r="EQ48" s="843"/>
      <c r="ER48" s="2537"/>
      <c r="ES48" s="840">
        <f t="shared" si="91"/>
        <v>0</v>
      </c>
      <c r="ET48" s="843"/>
      <c r="EU48" s="2537"/>
      <c r="EV48" s="1497"/>
      <c r="EW48" s="1683"/>
      <c r="EX48" s="2562">
        <f t="shared" si="92"/>
        <v>15</v>
      </c>
      <c r="EY48" s="2533"/>
      <c r="EZ48" s="2561"/>
      <c r="FA48" s="1324">
        <f t="shared" si="10"/>
        <v>0</v>
      </c>
      <c r="FB48" s="2629">
        <f t="shared" si="93"/>
        <v>0</v>
      </c>
      <c r="FC48" s="274"/>
      <c r="FD48" s="2626">
        <f t="shared" si="11"/>
        <v>0</v>
      </c>
      <c r="FE48" s="2626">
        <f t="shared" si="12"/>
        <v>0</v>
      </c>
      <c r="FF48" s="274"/>
      <c r="FG48" s="2616">
        <f t="shared" si="94"/>
        <v>0</v>
      </c>
      <c r="FH48" s="2616">
        <f t="shared" si="95"/>
        <v>0</v>
      </c>
      <c r="FI48" s="2616">
        <f t="shared" si="96"/>
        <v>0</v>
      </c>
      <c r="FJ48" s="2610" t="s">
        <v>5</v>
      </c>
      <c r="FK48" s="2616">
        <f t="shared" si="97"/>
        <v>0</v>
      </c>
      <c r="FL48" s="2616">
        <f t="shared" si="98"/>
        <v>0</v>
      </c>
      <c r="FM48" s="2616">
        <f t="shared" si="99"/>
        <v>0</v>
      </c>
      <c r="FN48" s="2622">
        <f t="shared" si="100"/>
        <v>0</v>
      </c>
      <c r="FO48" s="2615">
        <f t="shared" si="101"/>
        <v>0</v>
      </c>
      <c r="FP48" s="2624">
        <f t="shared" si="102"/>
        <v>0</v>
      </c>
      <c r="FQ48" s="2622">
        <f t="shared" si="103"/>
        <v>0</v>
      </c>
      <c r="FR48" s="2624">
        <f t="shared" si="104"/>
        <v>0</v>
      </c>
      <c r="FS48" s="2611" t="s">
        <v>5</v>
      </c>
      <c r="FT48" s="2616">
        <f t="shared" si="105"/>
        <v>0</v>
      </c>
      <c r="FU48" s="2622">
        <f t="shared" si="129"/>
        <v>0</v>
      </c>
      <c r="FV48" s="2616">
        <f t="shared" si="106"/>
        <v>0</v>
      </c>
      <c r="FW48" s="2612" t="s">
        <v>5</v>
      </c>
      <c r="FX48" s="2616">
        <f t="shared" si="51"/>
        <v>0</v>
      </c>
      <c r="FY48" s="2616">
        <f t="shared" si="107"/>
        <v>0</v>
      </c>
      <c r="FZ48" s="2613" t="s">
        <v>5</v>
      </c>
      <c r="GA48" s="2616">
        <f t="shared" si="48"/>
        <v>0</v>
      </c>
      <c r="GB48" s="2619">
        <f t="shared" si="130"/>
        <v>0</v>
      </c>
      <c r="GC48" s="2620">
        <f t="shared" si="108"/>
        <v>0</v>
      </c>
      <c r="GD48" s="2614"/>
      <c r="GE48" s="3195">
        <f t="shared" si="16"/>
        <v>0</v>
      </c>
      <c r="GF48" s="3195">
        <f t="shared" si="17"/>
        <v>0</v>
      </c>
      <c r="GG48" s="3193" t="str">
        <f t="shared" si="18"/>
        <v>X</v>
      </c>
      <c r="GH48" s="2531"/>
      <c r="GI48" s="3189" t="str">
        <f t="shared" si="19"/>
        <v/>
      </c>
      <c r="GJ48" s="2598"/>
      <c r="GK48" s="3173">
        <f t="shared" si="20"/>
        <v>0</v>
      </c>
      <c r="GL48" s="3173">
        <f t="shared" si="21"/>
        <v>0</v>
      </c>
      <c r="GM48" s="3173">
        <f t="shared" si="22"/>
        <v>0</v>
      </c>
      <c r="GN48" s="3174">
        <f t="shared" si="23"/>
        <v>0</v>
      </c>
      <c r="GO48" s="3174">
        <f t="shared" si="24"/>
        <v>0</v>
      </c>
      <c r="GP48" s="3175">
        <f t="shared" si="25"/>
        <v>0</v>
      </c>
      <c r="GQ48" s="3176">
        <f t="shared" si="26"/>
        <v>0</v>
      </c>
      <c r="GR48" s="3177">
        <f t="shared" si="27"/>
        <v>0</v>
      </c>
      <c r="GS48" s="3177">
        <f t="shared" si="28"/>
        <v>0</v>
      </c>
      <c r="GT48" s="3178">
        <f t="shared" si="29"/>
        <v>0</v>
      </c>
      <c r="GU48" s="3179"/>
      <c r="GV48" s="3178">
        <f t="shared" si="30"/>
        <v>0</v>
      </c>
      <c r="GW48" s="3177">
        <f t="shared" si="31"/>
        <v>0</v>
      </c>
      <c r="GX48" s="3180"/>
      <c r="GY48" s="3177">
        <f t="shared" si="32"/>
        <v>0</v>
      </c>
      <c r="GZ48" s="2593"/>
      <c r="HA48" s="277"/>
      <c r="HB48" s="277"/>
      <c r="HC48" s="277"/>
      <c r="HD48" s="277"/>
      <c r="HE48" s="277"/>
      <c r="HF48" s="277"/>
      <c r="HG48" s="277"/>
      <c r="HH48" s="277"/>
      <c r="HI48" s="277"/>
      <c r="HJ48" s="277"/>
      <c r="HK48" s="277"/>
      <c r="HL48" s="277"/>
      <c r="HM48" s="277"/>
      <c r="HN48" s="277"/>
      <c r="HO48" s="277"/>
    </row>
    <row r="49" spans="1:223" ht="18" customHeight="1" x14ac:dyDescent="0.3">
      <c r="A49" s="755"/>
      <c r="B49" s="805">
        <f>SUMIFS('3a Staff Plan'!$T$129:$T$305,'3a Staff Plan'!$DF$129:$DF$305,1,'3a Staff Plan'!$DA$129:$DA$305,1,'3a Staff Plan'!$J$129:$J$305,$FA49)</f>
        <v>0</v>
      </c>
      <c r="C49" s="805">
        <f>SUMIFS('3a Staff Plan'!$U$129:$U$305,'3a Staff Plan'!$DF$129:$DF$305,1,'3a Staff Plan'!$DA$129:$DA$305,1,'3a Staff Plan'!$J$129:$J$305,$FA49)</f>
        <v>0</v>
      </c>
      <c r="D49" s="805">
        <f>SUMIFS('3a Staff Plan'!$Z$129:$Z$305,'3a Staff Plan'!$DF$129:$DF$305,1,'3a Staff Plan'!$DA$129:$DA$305,1,'3a Staff Plan'!$J$129:$J$305,$FA49)</f>
        <v>0</v>
      </c>
      <c r="E49" s="805">
        <f>SUMIFS('3a Staff Plan'!$Y$129:$Y$305,'3a Staff Plan'!$DF$129:$DF$305,1,'3a Staff Plan'!$DA$129:$DA$305,1,'3a Staff Plan'!$J$129:$J$305,$FA49)</f>
        <v>0</v>
      </c>
      <c r="F49" s="805">
        <f>SUMIFS('3a Staff Plan'!$X$129:$X$305,'3a Staff Plan'!$DF$129:$DF$305,1,'3a Staff Plan'!$DA$129:$DA$305,1,'3a Staff Plan'!$AG$129:$AG$305,1,'3a Staff Plan'!$J$129:$J$305,$FA49)</f>
        <v>0</v>
      </c>
      <c r="G49" s="805">
        <f>IF($G$24=0,0,SUMIFS('3a Staff Plan'!$W$129:$W$305,'3a Staff Plan'!$DF$129:$DF$305,1,'3a Staff Plan'!$DA$129:$DA$305,1,'3a Staff Plan'!$J$129:$J$305,$FA49))</f>
        <v>0</v>
      </c>
      <c r="H49" s="795">
        <f t="shared" si="52"/>
        <v>0</v>
      </c>
      <c r="I49" s="805">
        <f>SUMIFS('3a Staff Plan'!$V$129:$V$305,'3a Staff Plan'!$DF$129:$DF$305,1,'3a Staff Plan'!$DA$129:$DA$305,1,'3a Staff Plan'!$J$129:$J$305,$FA49)</f>
        <v>0</v>
      </c>
      <c r="J49" s="805">
        <f>SUMIFS('3a Staff Plan'!$AB$129:$AB$305,'3a Staff Plan'!$DF$129:$DF$305,1,'3a Staff Plan'!$DA$129:$DA$305,1,'3a Staff Plan'!$J$129:$J$305,$FA49)</f>
        <v>0</v>
      </c>
      <c r="K49" s="805">
        <f>SUMIFS('3a Staff Plan'!$AA$129:$AA$305,'3a Staff Plan'!$DF$129:$DF$305,1,'3a Staff Plan'!$DA$129:$DA$305,1,'3a Staff Plan'!$AG$129:$AG$305,1,'3a Staff Plan'!$J$129:$J$305,$FA49)</f>
        <v>0</v>
      </c>
      <c r="L49" s="755"/>
      <c r="M49" s="805">
        <f>SUMIFS('3b Activity Plan'!$T$173:$T$365,'3b Activity Plan'!$CY$173:$CY$365,1,'3b Activity Plan'!$CT$173:$CT$365,1,'3b Activity Plan'!$J$173:$J$365,$FA49)</f>
        <v>0</v>
      </c>
      <c r="N49" s="805">
        <f>SUMIFS('3b Activity Plan'!$U$173:$U$365,'3b Activity Plan'!$CY$173:$CY$365,1,'3b Activity Plan'!$CT$173:$CT$365,1,'3b Activity Plan'!$J$173:$J$365,$FA49)</f>
        <v>0</v>
      </c>
      <c r="O49" s="805">
        <f>SUMIFS('3b Activity Plan'!$Z$173:$Z$365,'3b Activity Plan'!$CY$173:$CY$365,1,'3b Activity Plan'!$CT$173:$CT$365,1,'3b Activity Plan'!$J$173:$J$365,$FA49)</f>
        <v>0</v>
      </c>
      <c r="P49" s="805">
        <f>SUMIFS('3b Activity Plan'!$Y$173:$Y$365,'3b Activity Plan'!$CY$173:$CY$365,1,'3b Activity Plan'!$CT$173:$CT$365,1,'3b Activity Plan'!$J$173:$J$365,$FA49)</f>
        <v>0</v>
      </c>
      <c r="Q49" s="805">
        <f>SUMIFS('3b Activity Plan'!$X$173:$X$365,'3b Activity Plan'!$CY$173:$CY$365,1,'3b Activity Plan'!$CT$173:$CT$365,1,'3b Activity Plan'!$J$173:$J$365,$FA49)</f>
        <v>0</v>
      </c>
      <c r="R49" s="805">
        <f>IF($R$24=0,0,SUMIFS('3b Activity Plan'!$W$173:$W$365,'3b Activity Plan'!$CY$173:$CY$365,1,'3b Activity Plan'!$CT$173:$CT$365,1,'3b Activity Plan'!$J$173:$J$365,$FA49))</f>
        <v>0</v>
      </c>
      <c r="S49" s="795">
        <f t="shared" si="53"/>
        <v>0</v>
      </c>
      <c r="T49" s="805">
        <f>SUMIFS('3b Activity Plan'!$V$173:$V$365,'3b Activity Plan'!$CY$173:$CY$365,1,'3b Activity Plan'!$CT$173:$CT$365,1,'3b Activity Plan'!$J$173:$J$365,$FA49)</f>
        <v>0</v>
      </c>
      <c r="U49" s="805">
        <f>SUMIFS('3b Activity Plan'!$AB$173:$AB$365,'3b Activity Plan'!$CY$173:$CY$365,1,'3b Activity Plan'!$CT$173:$CT$365,1,'3b Activity Plan'!$J$173:$J$365,$FA49)</f>
        <v>0</v>
      </c>
      <c r="V49" s="805">
        <f>SUMIFS('3b Activity Plan'!$AA$173:$AA$365,'3b Activity Plan'!$CY$173:$CY$365,1,'3b Activity Plan'!$CT$173:$CT$365,1,'3b Activity Plan'!$J$173:$J$365,$FA49)</f>
        <v>0</v>
      </c>
      <c r="W49" s="755"/>
      <c r="X49" s="2641">
        <f>SUMIFS('3b Activity Plan'!$FU$173:$FU$365,'3b Activity Plan'!$J$173:$J$365,$FA49)</f>
        <v>0</v>
      </c>
      <c r="Y49" s="2641">
        <f>SUMIFS('3b Activity Plan'!$FW$173:$FW$365,'3b Activity Plan'!$J$173:$J$365,$FA49)</f>
        <v>0</v>
      </c>
      <c r="Z49" s="2639">
        <f t="shared" si="132"/>
        <v>0</v>
      </c>
      <c r="AA49" s="755"/>
      <c r="AB49" s="761">
        <f>_xlfn.MINIFS('3a Staff Plan'!$EB$129:$EB$304,'3a Staff Plan'!$DF$129:$DF$304,1,'3a Staff Plan'!$J$129:$J$304,FA49)</f>
        <v>0</v>
      </c>
      <c r="AC49" s="761">
        <f>_xlfn.MAXIFS('3a Staff Plan'!$EC$129:$EC$304,'3a Staff Plan'!$DF$129:$DF$304,1,'3a Staff Plan'!$J$129:$J$304,FA49)</f>
        <v>0</v>
      </c>
      <c r="AD49" s="755"/>
      <c r="AE49" s="761">
        <f>_xlfn.MINIFS('3b Activity Plan'!$GN$173:$GN$365,'3b Activity Plan'!$CY$173:$CY$365,1,'3b Activity Plan'!$J$173:$J$365,$FA49)</f>
        <v>0</v>
      </c>
      <c r="AF49" s="761">
        <f>_xlfn.MAXIFS('3b Activity Plan'!$GO$173:$GO$365,'3b Activity Plan'!$CY$173:$CY$365,1,'3b Activity Plan'!$J$173:$J$365,$FA49)</f>
        <v>0</v>
      </c>
      <c r="AG49" s="755"/>
      <c r="AH49" s="761">
        <f t="shared" si="54"/>
        <v>0</v>
      </c>
      <c r="AI49" s="761">
        <f t="shared" si="55"/>
        <v>0</v>
      </c>
      <c r="AJ49" s="755"/>
      <c r="AK49" s="761">
        <f t="shared" si="56"/>
        <v>0</v>
      </c>
      <c r="AL49" s="761">
        <f t="shared" si="57"/>
        <v>0</v>
      </c>
      <c r="AM49" s="776">
        <f t="shared" si="58"/>
        <v>0</v>
      </c>
      <c r="AN49" s="755"/>
      <c r="AO49" s="748">
        <f t="shared" si="59"/>
        <v>0</v>
      </c>
      <c r="AP49" s="748">
        <f t="shared" si="60"/>
        <v>0</v>
      </c>
      <c r="AQ49" s="748">
        <f t="shared" si="61"/>
        <v>0</v>
      </c>
      <c r="AR49" s="748">
        <f t="shared" si="62"/>
        <v>0</v>
      </c>
      <c r="AS49" s="748">
        <f t="shared" si="63"/>
        <v>0</v>
      </c>
      <c r="AT49" s="748">
        <f t="shared" si="64"/>
        <v>0</v>
      </c>
      <c r="AU49" s="748">
        <f t="shared" si="65"/>
        <v>0</v>
      </c>
      <c r="AV49" s="748">
        <f>IFERROR(INDEX('IPCS Data'!$R$8:$R$109,MATCH(EJ49,'IPCS Data'!$O$8:$O$109,0)),0)</f>
        <v>0</v>
      </c>
      <c r="AW49" s="755"/>
      <c r="AX49" s="499">
        <f>IFERROR(INDEX('IPCS Data'!$P$18:$P$110,MATCH(EK49,'IPCS Data'!$Q$18:$Q$110,0)),0)</f>
        <v>0</v>
      </c>
      <c r="AY49" s="1950" t="str">
        <f t="shared" si="110"/>
        <v/>
      </c>
      <c r="AZ49" s="755"/>
      <c r="BA49" s="753" t="str">
        <f>IFERROR(IF(MATCH(EJ49,'IPCS Data'!$O$8:$O$110,0)&gt;=25,"L","N"),"N")</f>
        <v>N</v>
      </c>
      <c r="BB49" s="774"/>
      <c r="BC49" s="753" t="str">
        <f t="shared" si="111"/>
        <v>N</v>
      </c>
      <c r="BD49" s="753" t="str">
        <f t="shared" si="39"/>
        <v>Non-Labor</v>
      </c>
      <c r="BE49" s="755"/>
      <c r="BF49" s="753" t="str">
        <f t="shared" si="112"/>
        <v>B23672.05</v>
      </c>
      <c r="BG49" s="753" t="str">
        <f t="shared" si="2"/>
        <v>0.0.0</v>
      </c>
      <c r="BH49" s="753">
        <f t="shared" si="66"/>
        <v>0</v>
      </c>
      <c r="BI49" s="753">
        <f t="shared" si="3"/>
        <v>0</v>
      </c>
      <c r="BJ49" s="753">
        <f t="shared" si="113"/>
        <v>0</v>
      </c>
      <c r="BK49" s="753">
        <f t="shared" si="40"/>
        <v>0</v>
      </c>
      <c r="BL49" s="753" t="b">
        <f t="shared" si="131"/>
        <v>1</v>
      </c>
      <c r="BM49" s="755"/>
      <c r="BN49" s="719">
        <f t="shared" si="67"/>
        <v>0</v>
      </c>
      <c r="BO49" s="719">
        <f t="shared" si="68"/>
        <v>110</v>
      </c>
      <c r="BP49" s="755"/>
      <c r="BQ49" s="719">
        <f>IF(AND((COUNTIFS('3a Staff Plan'!$J$129:$J$305,FA49)*$B$22)+(COUNTIFS('3b Activity Plan'!$J$173:$J$365,FA49)*$M$22)=0,FB49&gt;0),1,0)</f>
        <v>0</v>
      </c>
      <c r="BR49" s="719">
        <f t="shared" si="114"/>
        <v>0</v>
      </c>
      <c r="BS49" s="719">
        <f t="shared" si="69"/>
        <v>0</v>
      </c>
      <c r="BT49" s="719">
        <f t="shared" si="70"/>
        <v>0</v>
      </c>
      <c r="BU49" s="719">
        <f t="shared" si="71"/>
        <v>0</v>
      </c>
      <c r="BV49" s="719">
        <f t="shared" si="72"/>
        <v>0</v>
      </c>
      <c r="BW49" s="719">
        <f t="shared" si="73"/>
        <v>0</v>
      </c>
      <c r="BX49" s="719">
        <f t="shared" si="74"/>
        <v>0</v>
      </c>
      <c r="BY49" s="719">
        <f t="shared" si="75"/>
        <v>0</v>
      </c>
      <c r="BZ49" s="719">
        <f t="shared" si="115"/>
        <v>0</v>
      </c>
      <c r="CA49" s="719">
        <f t="shared" si="116"/>
        <v>0</v>
      </c>
      <c r="CB49" s="719">
        <f t="shared" si="76"/>
        <v>0</v>
      </c>
      <c r="CC49" s="719"/>
      <c r="CD49" s="719"/>
      <c r="CE49" s="719">
        <f t="shared" si="77"/>
        <v>0</v>
      </c>
      <c r="CF49" s="719">
        <f t="shared" si="117"/>
        <v>0</v>
      </c>
      <c r="CG49" s="719">
        <f t="shared" si="118"/>
        <v>0</v>
      </c>
      <c r="CH49" s="719">
        <f t="shared" si="119"/>
        <v>0</v>
      </c>
      <c r="CI49" s="719">
        <f t="shared" si="120"/>
        <v>0</v>
      </c>
      <c r="CJ49" s="719">
        <f t="shared" si="121"/>
        <v>0</v>
      </c>
      <c r="CK49" s="719">
        <f t="shared" si="122"/>
        <v>0</v>
      </c>
      <c r="CL49" s="719">
        <f t="shared" si="123"/>
        <v>0</v>
      </c>
      <c r="CM49" s="719">
        <f t="shared" si="124"/>
        <v>0</v>
      </c>
      <c r="CN49" s="719">
        <f t="shared" si="125"/>
        <v>0</v>
      </c>
      <c r="CO49" s="719">
        <f t="shared" si="42"/>
        <v>0</v>
      </c>
      <c r="CP49" s="719">
        <f t="shared" si="78"/>
        <v>0</v>
      </c>
      <c r="CQ49" s="719">
        <f t="shared" si="126"/>
        <v>16</v>
      </c>
      <c r="CR49" s="719">
        <f t="shared" si="127"/>
        <v>0</v>
      </c>
      <c r="CS49" s="2526"/>
      <c r="CT49" s="2527">
        <f t="shared" si="128"/>
        <v>21</v>
      </c>
      <c r="CU49" s="2527">
        <f t="shared" si="4"/>
        <v>0</v>
      </c>
      <c r="CV49" s="2527">
        <f t="shared" si="5"/>
        <v>0</v>
      </c>
      <c r="CW49" s="2527">
        <f t="shared" si="43"/>
        <v>0</v>
      </c>
      <c r="CX49" s="755"/>
      <c r="CY49" s="2537"/>
      <c r="CZ49" s="499">
        <f t="shared" si="49"/>
        <v>0</v>
      </c>
      <c r="DA49" s="1107">
        <f t="shared" si="50"/>
        <v>0</v>
      </c>
      <c r="DB49" s="2537"/>
      <c r="DC49" s="499">
        <f t="shared" si="79"/>
        <v>0</v>
      </c>
      <c r="DD49" s="1107">
        <f t="shared" si="80"/>
        <v>0</v>
      </c>
      <c r="DE49" s="2537"/>
      <c r="DF49" s="499">
        <f t="shared" si="81"/>
        <v>0</v>
      </c>
      <c r="DG49" s="1107">
        <f t="shared" si="82"/>
        <v>0</v>
      </c>
      <c r="DH49" s="2537"/>
      <c r="DI49" s="499">
        <f t="shared" si="83"/>
        <v>0</v>
      </c>
      <c r="DJ49" s="1107">
        <f t="shared" si="84"/>
        <v>0</v>
      </c>
      <c r="DK49" s="2537"/>
      <c r="DL49" s="499">
        <f t="shared" si="85"/>
        <v>0</v>
      </c>
      <c r="DM49" s="1107">
        <f t="shared" si="86"/>
        <v>0</v>
      </c>
      <c r="DN49" s="2537"/>
      <c r="DO49" s="499">
        <f t="shared" si="87"/>
        <v>0</v>
      </c>
      <c r="DP49" s="1107">
        <f t="shared" si="88"/>
        <v>0</v>
      </c>
      <c r="DQ49" s="2537"/>
      <c r="DR49" s="2559"/>
      <c r="DS49" s="499">
        <f t="shared" si="6"/>
        <v>0</v>
      </c>
      <c r="DT49" s="1105">
        <f t="shared" si="7"/>
        <v>0</v>
      </c>
      <c r="DU49" s="2537"/>
      <c r="DV49" s="2559"/>
      <c r="DW49" s="2312">
        <f t="shared" si="8"/>
        <v>0</v>
      </c>
      <c r="DX49" s="1105">
        <f t="shared" si="9"/>
        <v>0</v>
      </c>
      <c r="DY49" s="2572"/>
      <c r="DZ49" s="2537"/>
      <c r="EA49" s="2537"/>
      <c r="EB49" s="2577" t="str">
        <f t="shared" si="133"/>
        <v>05</v>
      </c>
      <c r="EC49" s="2570"/>
      <c r="ED49" s="436">
        <f>IFERROR(INDEX('IPCS Data'!$H$8:$H$30,MATCH(EE49,'IPCS Data'!$I$8:$I$30,0)),0)</f>
        <v>0</v>
      </c>
      <c r="EE49" s="3072"/>
      <c r="EF49" s="2570"/>
      <c r="EG49" s="499">
        <f>IFERROR(INDEX('IPCS Data'!$L$8:$L$27,MATCH(EH49,'IPCS Data'!$M$8:$M$27,0)),0)</f>
        <v>0</v>
      </c>
      <c r="EH49" s="718"/>
      <c r="EI49" s="2578" t="s">
        <v>5</v>
      </c>
      <c r="EJ49" s="748">
        <f>IFERROR(INDEX('IPCS Data'!$O$8:$O$110,MATCH(EK49,'IPCS Data'!$Q$8:$Q$110,0)),0)</f>
        <v>0</v>
      </c>
      <c r="EK49" s="437"/>
      <c r="EL49" s="2578"/>
      <c r="EM49" s="840">
        <f t="shared" si="89"/>
        <v>0</v>
      </c>
      <c r="EN49" s="841"/>
      <c r="EO49" s="2537"/>
      <c r="EP49" s="842">
        <f t="shared" si="90"/>
        <v>0</v>
      </c>
      <c r="EQ49" s="843"/>
      <c r="ER49" s="2537"/>
      <c r="ES49" s="840">
        <f t="shared" si="91"/>
        <v>0</v>
      </c>
      <c r="ET49" s="843"/>
      <c r="EU49" s="2537"/>
      <c r="EV49" s="1497"/>
      <c r="EW49" s="1683"/>
      <c r="EX49" s="2562">
        <f t="shared" si="92"/>
        <v>16</v>
      </c>
      <c r="EY49" s="2533"/>
      <c r="EZ49" s="2561"/>
      <c r="FA49" s="1324">
        <f t="shared" si="10"/>
        <v>0</v>
      </c>
      <c r="FB49" s="2629">
        <f t="shared" si="93"/>
        <v>0</v>
      </c>
      <c r="FC49" s="274"/>
      <c r="FD49" s="2626">
        <f t="shared" si="11"/>
        <v>0</v>
      </c>
      <c r="FE49" s="2626">
        <f t="shared" si="12"/>
        <v>0</v>
      </c>
      <c r="FF49" s="274"/>
      <c r="FG49" s="2616">
        <f t="shared" si="94"/>
        <v>0</v>
      </c>
      <c r="FH49" s="2616">
        <f t="shared" si="95"/>
        <v>0</v>
      </c>
      <c r="FI49" s="2616">
        <f t="shared" si="96"/>
        <v>0</v>
      </c>
      <c r="FJ49" s="2610" t="s">
        <v>5</v>
      </c>
      <c r="FK49" s="2616">
        <f t="shared" si="97"/>
        <v>0</v>
      </c>
      <c r="FL49" s="2616">
        <f t="shared" si="98"/>
        <v>0</v>
      </c>
      <c r="FM49" s="2616">
        <f t="shared" si="99"/>
        <v>0</v>
      </c>
      <c r="FN49" s="2622">
        <f t="shared" si="100"/>
        <v>0</v>
      </c>
      <c r="FO49" s="2615">
        <f t="shared" si="101"/>
        <v>0</v>
      </c>
      <c r="FP49" s="2624">
        <f t="shared" si="102"/>
        <v>0</v>
      </c>
      <c r="FQ49" s="2622">
        <f t="shared" si="103"/>
        <v>0</v>
      </c>
      <c r="FR49" s="2624">
        <f t="shared" si="104"/>
        <v>0</v>
      </c>
      <c r="FS49" s="2611" t="s">
        <v>5</v>
      </c>
      <c r="FT49" s="2616">
        <f t="shared" si="105"/>
        <v>0</v>
      </c>
      <c r="FU49" s="2622">
        <f t="shared" si="129"/>
        <v>0</v>
      </c>
      <c r="FV49" s="2616">
        <f t="shared" si="106"/>
        <v>0</v>
      </c>
      <c r="FW49" s="2612" t="s">
        <v>5</v>
      </c>
      <c r="FX49" s="2616">
        <f t="shared" si="51"/>
        <v>0</v>
      </c>
      <c r="FY49" s="2616">
        <f t="shared" si="107"/>
        <v>0</v>
      </c>
      <c r="FZ49" s="2613" t="s">
        <v>5</v>
      </c>
      <c r="GA49" s="2616">
        <f t="shared" si="48"/>
        <v>0</v>
      </c>
      <c r="GB49" s="2619">
        <f t="shared" si="130"/>
        <v>0</v>
      </c>
      <c r="GC49" s="2620">
        <f t="shared" si="108"/>
        <v>0</v>
      </c>
      <c r="GD49" s="2614"/>
      <c r="GE49" s="3195">
        <f t="shared" si="16"/>
        <v>0</v>
      </c>
      <c r="GF49" s="3195">
        <f t="shared" si="17"/>
        <v>0</v>
      </c>
      <c r="GG49" s="3193" t="str">
        <f t="shared" si="18"/>
        <v>X</v>
      </c>
      <c r="GH49" s="2531"/>
      <c r="GI49" s="3189" t="str">
        <f t="shared" si="19"/>
        <v/>
      </c>
      <c r="GJ49" s="2598"/>
      <c r="GK49" s="3173">
        <f t="shared" si="20"/>
        <v>0</v>
      </c>
      <c r="GL49" s="3173">
        <f t="shared" si="21"/>
        <v>0</v>
      </c>
      <c r="GM49" s="3173">
        <f t="shared" si="22"/>
        <v>0</v>
      </c>
      <c r="GN49" s="3174">
        <f t="shared" si="23"/>
        <v>0</v>
      </c>
      <c r="GO49" s="3174">
        <f t="shared" si="24"/>
        <v>0</v>
      </c>
      <c r="GP49" s="3175">
        <f t="shared" si="25"/>
        <v>0</v>
      </c>
      <c r="GQ49" s="3176">
        <f t="shared" si="26"/>
        <v>0</v>
      </c>
      <c r="GR49" s="3177">
        <f t="shared" si="27"/>
        <v>0</v>
      </c>
      <c r="GS49" s="3177">
        <f t="shared" si="28"/>
        <v>0</v>
      </c>
      <c r="GT49" s="3178">
        <f t="shared" si="29"/>
        <v>0</v>
      </c>
      <c r="GU49" s="3179"/>
      <c r="GV49" s="3178">
        <f t="shared" si="30"/>
        <v>0</v>
      </c>
      <c r="GW49" s="3177">
        <f t="shared" si="31"/>
        <v>0</v>
      </c>
      <c r="GX49" s="3180"/>
      <c r="GY49" s="3177">
        <f t="shared" si="32"/>
        <v>0</v>
      </c>
      <c r="GZ49" s="2593"/>
      <c r="HA49" s="277"/>
      <c r="HB49" s="277"/>
      <c r="HC49" s="277"/>
      <c r="HD49" s="277"/>
      <c r="HE49" s="277"/>
      <c r="HF49" s="277"/>
      <c r="HG49" s="277"/>
      <c r="HH49" s="277"/>
      <c r="HI49" s="277"/>
      <c r="HJ49" s="277"/>
      <c r="HK49" s="277"/>
      <c r="HL49" s="277"/>
      <c r="HM49" s="277"/>
      <c r="HN49" s="277"/>
      <c r="HO49" s="277"/>
    </row>
    <row r="50" spans="1:223" ht="18" customHeight="1" x14ac:dyDescent="0.3">
      <c r="A50" s="755"/>
      <c r="B50" s="805">
        <f>SUMIFS('3a Staff Plan'!$T$129:$T$305,'3a Staff Plan'!$DF$129:$DF$305,1,'3a Staff Plan'!$DA$129:$DA$305,1,'3a Staff Plan'!$J$129:$J$305,$FA50)</f>
        <v>0</v>
      </c>
      <c r="C50" s="805">
        <f>SUMIFS('3a Staff Plan'!$U$129:$U$305,'3a Staff Plan'!$DF$129:$DF$305,1,'3a Staff Plan'!$DA$129:$DA$305,1,'3a Staff Plan'!$J$129:$J$305,$FA50)</f>
        <v>0</v>
      </c>
      <c r="D50" s="805">
        <f>SUMIFS('3a Staff Plan'!$Z$129:$Z$305,'3a Staff Plan'!$DF$129:$DF$305,1,'3a Staff Plan'!$DA$129:$DA$305,1,'3a Staff Plan'!$J$129:$J$305,$FA50)</f>
        <v>0</v>
      </c>
      <c r="E50" s="805">
        <f>SUMIFS('3a Staff Plan'!$Y$129:$Y$305,'3a Staff Plan'!$DF$129:$DF$305,1,'3a Staff Plan'!$DA$129:$DA$305,1,'3a Staff Plan'!$J$129:$J$305,$FA50)</f>
        <v>0</v>
      </c>
      <c r="F50" s="805">
        <f>SUMIFS('3a Staff Plan'!$X$129:$X$305,'3a Staff Plan'!$DF$129:$DF$305,1,'3a Staff Plan'!$DA$129:$DA$305,1,'3a Staff Plan'!$AG$129:$AG$305,1,'3a Staff Plan'!$J$129:$J$305,$FA50)</f>
        <v>0</v>
      </c>
      <c r="G50" s="805">
        <f>IF($G$24=0,0,SUMIFS('3a Staff Plan'!$W$129:$W$305,'3a Staff Plan'!$DF$129:$DF$305,1,'3a Staff Plan'!$DA$129:$DA$305,1,'3a Staff Plan'!$J$129:$J$305,$FA50))</f>
        <v>0</v>
      </c>
      <c r="H50" s="795">
        <f t="shared" si="52"/>
        <v>0</v>
      </c>
      <c r="I50" s="805">
        <f>SUMIFS('3a Staff Plan'!$V$129:$V$305,'3a Staff Plan'!$DF$129:$DF$305,1,'3a Staff Plan'!$DA$129:$DA$305,1,'3a Staff Plan'!$J$129:$J$305,$FA50)</f>
        <v>0</v>
      </c>
      <c r="J50" s="805">
        <f>SUMIFS('3a Staff Plan'!$AB$129:$AB$305,'3a Staff Plan'!$DF$129:$DF$305,1,'3a Staff Plan'!$DA$129:$DA$305,1,'3a Staff Plan'!$J$129:$J$305,$FA50)</f>
        <v>0</v>
      </c>
      <c r="K50" s="805">
        <f>SUMIFS('3a Staff Plan'!$AA$129:$AA$305,'3a Staff Plan'!$DF$129:$DF$305,1,'3a Staff Plan'!$DA$129:$DA$305,1,'3a Staff Plan'!$AG$129:$AG$305,1,'3a Staff Plan'!$J$129:$J$305,$FA50)</f>
        <v>0</v>
      </c>
      <c r="L50" s="755"/>
      <c r="M50" s="805">
        <f>SUMIFS('3b Activity Plan'!$T$173:$T$365,'3b Activity Plan'!$CY$173:$CY$365,1,'3b Activity Plan'!$CT$173:$CT$365,1,'3b Activity Plan'!$J$173:$J$365,$FA50)</f>
        <v>0</v>
      </c>
      <c r="N50" s="805">
        <f>SUMIFS('3b Activity Plan'!$U$173:$U$365,'3b Activity Plan'!$CY$173:$CY$365,1,'3b Activity Plan'!$CT$173:$CT$365,1,'3b Activity Plan'!$J$173:$J$365,$FA50)</f>
        <v>0</v>
      </c>
      <c r="O50" s="805">
        <f>SUMIFS('3b Activity Plan'!$Z$173:$Z$365,'3b Activity Plan'!$CY$173:$CY$365,1,'3b Activity Plan'!$CT$173:$CT$365,1,'3b Activity Plan'!$J$173:$J$365,$FA50)</f>
        <v>0</v>
      </c>
      <c r="P50" s="805">
        <f>SUMIFS('3b Activity Plan'!$Y$173:$Y$365,'3b Activity Plan'!$CY$173:$CY$365,1,'3b Activity Plan'!$CT$173:$CT$365,1,'3b Activity Plan'!$J$173:$J$365,$FA50)</f>
        <v>0</v>
      </c>
      <c r="Q50" s="805">
        <f>SUMIFS('3b Activity Plan'!$X$173:$X$365,'3b Activity Plan'!$CY$173:$CY$365,1,'3b Activity Plan'!$CT$173:$CT$365,1,'3b Activity Plan'!$J$173:$J$365,$FA50)</f>
        <v>0</v>
      </c>
      <c r="R50" s="805">
        <f>IF($R$24=0,0,SUMIFS('3b Activity Plan'!$W$173:$W$365,'3b Activity Plan'!$CY$173:$CY$365,1,'3b Activity Plan'!$CT$173:$CT$365,1,'3b Activity Plan'!$J$173:$J$365,$FA50))</f>
        <v>0</v>
      </c>
      <c r="S50" s="795">
        <f t="shared" si="53"/>
        <v>0</v>
      </c>
      <c r="T50" s="805">
        <f>SUMIFS('3b Activity Plan'!$V$173:$V$365,'3b Activity Plan'!$CY$173:$CY$365,1,'3b Activity Plan'!$CT$173:$CT$365,1,'3b Activity Plan'!$J$173:$J$365,$FA50)</f>
        <v>0</v>
      </c>
      <c r="U50" s="805">
        <f>SUMIFS('3b Activity Plan'!$AB$173:$AB$365,'3b Activity Plan'!$CY$173:$CY$365,1,'3b Activity Plan'!$CT$173:$CT$365,1,'3b Activity Plan'!$J$173:$J$365,$FA50)</f>
        <v>0</v>
      </c>
      <c r="V50" s="805">
        <f>SUMIFS('3b Activity Plan'!$AA$173:$AA$365,'3b Activity Plan'!$CY$173:$CY$365,1,'3b Activity Plan'!$CT$173:$CT$365,1,'3b Activity Plan'!$J$173:$J$365,$FA50)</f>
        <v>0</v>
      </c>
      <c r="W50" s="755"/>
      <c r="X50" s="2641">
        <f>SUMIFS('3b Activity Plan'!$FU$173:$FU$365,'3b Activity Plan'!$J$173:$J$365,$FA50)</f>
        <v>0</v>
      </c>
      <c r="Y50" s="2641">
        <f>SUMIFS('3b Activity Plan'!$FW$173:$FW$365,'3b Activity Plan'!$J$173:$J$365,$FA50)</f>
        <v>0</v>
      </c>
      <c r="Z50" s="2639">
        <f t="shared" si="132"/>
        <v>0</v>
      </c>
      <c r="AA50" s="755"/>
      <c r="AB50" s="761">
        <f>_xlfn.MINIFS('3a Staff Plan'!$EB$129:$EB$304,'3a Staff Plan'!$DF$129:$DF$304,1,'3a Staff Plan'!$J$129:$J$304,FA50)</f>
        <v>0</v>
      </c>
      <c r="AC50" s="761">
        <f>_xlfn.MAXIFS('3a Staff Plan'!$EC$129:$EC$304,'3a Staff Plan'!$DF$129:$DF$304,1,'3a Staff Plan'!$J$129:$J$304,FA50)</f>
        <v>0</v>
      </c>
      <c r="AD50" s="755"/>
      <c r="AE50" s="761">
        <f>_xlfn.MINIFS('3b Activity Plan'!$GN$173:$GN$365,'3b Activity Plan'!$CY$173:$CY$365,1,'3b Activity Plan'!$J$173:$J$365,$FA50)</f>
        <v>0</v>
      </c>
      <c r="AF50" s="761">
        <f>_xlfn.MAXIFS('3b Activity Plan'!$GO$173:$GO$365,'3b Activity Plan'!$CY$173:$CY$365,1,'3b Activity Plan'!$J$173:$J$365,$FA50)</f>
        <v>0</v>
      </c>
      <c r="AG50" s="755"/>
      <c r="AH50" s="761">
        <f t="shared" si="54"/>
        <v>0</v>
      </c>
      <c r="AI50" s="761">
        <f t="shared" si="55"/>
        <v>0</v>
      </c>
      <c r="AJ50" s="755"/>
      <c r="AK50" s="761">
        <f t="shared" si="56"/>
        <v>0</v>
      </c>
      <c r="AL50" s="761">
        <f t="shared" si="57"/>
        <v>0</v>
      </c>
      <c r="AM50" s="776">
        <f t="shared" si="58"/>
        <v>0</v>
      </c>
      <c r="AN50" s="755"/>
      <c r="AO50" s="748">
        <f t="shared" si="59"/>
        <v>0</v>
      </c>
      <c r="AP50" s="748">
        <f t="shared" si="60"/>
        <v>0</v>
      </c>
      <c r="AQ50" s="748">
        <f t="shared" si="61"/>
        <v>0</v>
      </c>
      <c r="AR50" s="748">
        <f t="shared" si="62"/>
        <v>0</v>
      </c>
      <c r="AS50" s="748">
        <f t="shared" si="63"/>
        <v>0</v>
      </c>
      <c r="AT50" s="748">
        <f t="shared" si="64"/>
        <v>0</v>
      </c>
      <c r="AU50" s="748">
        <f t="shared" si="65"/>
        <v>0</v>
      </c>
      <c r="AV50" s="748">
        <f>IFERROR(INDEX('IPCS Data'!$R$8:$R$109,MATCH(EJ50,'IPCS Data'!$O$8:$O$109,0)),0)</f>
        <v>0</v>
      </c>
      <c r="AW50" s="755"/>
      <c r="AX50" s="499">
        <f>IFERROR(INDEX('IPCS Data'!$P$18:$P$110,MATCH(EK50,'IPCS Data'!$Q$18:$Q$110,0)),0)</f>
        <v>0</v>
      </c>
      <c r="AY50" s="1950" t="str">
        <f t="shared" si="110"/>
        <v/>
      </c>
      <c r="AZ50" s="755"/>
      <c r="BA50" s="753" t="str">
        <f>IFERROR(IF(MATCH(EJ50,'IPCS Data'!$O$8:$O$110,0)&gt;=25,"L","N"),"N")</f>
        <v>N</v>
      </c>
      <c r="BB50" s="774"/>
      <c r="BC50" s="753" t="str">
        <f t="shared" si="111"/>
        <v>N</v>
      </c>
      <c r="BD50" s="753" t="str">
        <f t="shared" si="39"/>
        <v>Non-Labor</v>
      </c>
      <c r="BE50" s="755"/>
      <c r="BF50" s="753" t="str">
        <f t="shared" si="112"/>
        <v>B23672.05</v>
      </c>
      <c r="BG50" s="753" t="str">
        <f t="shared" si="2"/>
        <v>0.0.0</v>
      </c>
      <c r="BH50" s="753">
        <f t="shared" si="66"/>
        <v>0</v>
      </c>
      <c r="BI50" s="753">
        <f t="shared" si="3"/>
        <v>0</v>
      </c>
      <c r="BJ50" s="753">
        <f t="shared" si="113"/>
        <v>0</v>
      </c>
      <c r="BK50" s="753">
        <f t="shared" si="40"/>
        <v>0</v>
      </c>
      <c r="BL50" s="753" t="b">
        <f t="shared" si="131"/>
        <v>1</v>
      </c>
      <c r="BM50" s="755"/>
      <c r="BN50" s="719">
        <f t="shared" si="67"/>
        <v>0</v>
      </c>
      <c r="BO50" s="719">
        <f t="shared" si="68"/>
        <v>110</v>
      </c>
      <c r="BP50" s="755"/>
      <c r="BQ50" s="719">
        <f>IF(AND((COUNTIFS('3a Staff Plan'!$J$129:$J$305,FA50)*$B$22)+(COUNTIFS('3b Activity Plan'!$J$173:$J$365,FA50)*$M$22)=0,FB50&gt;0),1,0)</f>
        <v>0</v>
      </c>
      <c r="BR50" s="719">
        <f t="shared" si="114"/>
        <v>0</v>
      </c>
      <c r="BS50" s="719">
        <f t="shared" si="69"/>
        <v>0</v>
      </c>
      <c r="BT50" s="719">
        <f t="shared" si="70"/>
        <v>0</v>
      </c>
      <c r="BU50" s="719">
        <f t="shared" si="71"/>
        <v>0</v>
      </c>
      <c r="BV50" s="719">
        <f t="shared" si="72"/>
        <v>0</v>
      </c>
      <c r="BW50" s="719">
        <f t="shared" si="73"/>
        <v>0</v>
      </c>
      <c r="BX50" s="719">
        <f t="shared" si="74"/>
        <v>0</v>
      </c>
      <c r="BY50" s="719">
        <f t="shared" si="75"/>
        <v>0</v>
      </c>
      <c r="BZ50" s="719">
        <f t="shared" si="115"/>
        <v>0</v>
      </c>
      <c r="CA50" s="719">
        <f t="shared" si="116"/>
        <v>0</v>
      </c>
      <c r="CB50" s="719">
        <f t="shared" si="76"/>
        <v>0</v>
      </c>
      <c r="CC50" s="719"/>
      <c r="CD50" s="719"/>
      <c r="CE50" s="719">
        <f t="shared" si="77"/>
        <v>0</v>
      </c>
      <c r="CF50" s="719">
        <f t="shared" si="117"/>
        <v>0</v>
      </c>
      <c r="CG50" s="719">
        <f t="shared" si="118"/>
        <v>0</v>
      </c>
      <c r="CH50" s="719">
        <f t="shared" si="119"/>
        <v>0</v>
      </c>
      <c r="CI50" s="719">
        <f t="shared" si="120"/>
        <v>0</v>
      </c>
      <c r="CJ50" s="719">
        <f t="shared" si="121"/>
        <v>0</v>
      </c>
      <c r="CK50" s="719">
        <f t="shared" si="122"/>
        <v>0</v>
      </c>
      <c r="CL50" s="719">
        <f t="shared" si="123"/>
        <v>0</v>
      </c>
      <c r="CM50" s="719">
        <f t="shared" si="124"/>
        <v>0</v>
      </c>
      <c r="CN50" s="719">
        <f t="shared" si="125"/>
        <v>0</v>
      </c>
      <c r="CO50" s="719">
        <f t="shared" si="42"/>
        <v>0</v>
      </c>
      <c r="CP50" s="719">
        <f t="shared" si="78"/>
        <v>0</v>
      </c>
      <c r="CQ50" s="719">
        <f t="shared" si="126"/>
        <v>17</v>
      </c>
      <c r="CR50" s="719">
        <f t="shared" si="127"/>
        <v>0</v>
      </c>
      <c r="CS50" s="2526"/>
      <c r="CT50" s="2527">
        <f t="shared" si="128"/>
        <v>22</v>
      </c>
      <c r="CU50" s="2527">
        <f t="shared" si="4"/>
        <v>0</v>
      </c>
      <c r="CV50" s="2527">
        <f t="shared" si="5"/>
        <v>0</v>
      </c>
      <c r="CW50" s="2527">
        <f t="shared" si="43"/>
        <v>0</v>
      </c>
      <c r="CX50" s="755"/>
      <c r="CY50" s="2537"/>
      <c r="CZ50" s="499">
        <f t="shared" si="49"/>
        <v>0</v>
      </c>
      <c r="DA50" s="1107">
        <f t="shared" si="50"/>
        <v>0</v>
      </c>
      <c r="DB50" s="2537"/>
      <c r="DC50" s="499">
        <f t="shared" si="79"/>
        <v>0</v>
      </c>
      <c r="DD50" s="1107">
        <f t="shared" si="80"/>
        <v>0</v>
      </c>
      <c r="DE50" s="2537"/>
      <c r="DF50" s="499">
        <f t="shared" si="81"/>
        <v>0</v>
      </c>
      <c r="DG50" s="1107">
        <f t="shared" si="82"/>
        <v>0</v>
      </c>
      <c r="DH50" s="2537"/>
      <c r="DI50" s="499">
        <f t="shared" si="83"/>
        <v>0</v>
      </c>
      <c r="DJ50" s="1107">
        <f t="shared" si="84"/>
        <v>0</v>
      </c>
      <c r="DK50" s="2537"/>
      <c r="DL50" s="499">
        <f t="shared" si="85"/>
        <v>0</v>
      </c>
      <c r="DM50" s="1107">
        <f t="shared" si="86"/>
        <v>0</v>
      </c>
      <c r="DN50" s="2537"/>
      <c r="DO50" s="499">
        <f t="shared" si="87"/>
        <v>0</v>
      </c>
      <c r="DP50" s="1107">
        <f t="shared" si="88"/>
        <v>0</v>
      </c>
      <c r="DQ50" s="2537"/>
      <c r="DR50" s="2559"/>
      <c r="DS50" s="499">
        <f t="shared" si="6"/>
        <v>0</v>
      </c>
      <c r="DT50" s="1105">
        <f t="shared" si="7"/>
        <v>0</v>
      </c>
      <c r="DU50" s="2537"/>
      <c r="DV50" s="2559"/>
      <c r="DW50" s="2312">
        <f t="shared" si="8"/>
        <v>0</v>
      </c>
      <c r="DX50" s="1105">
        <f t="shared" si="9"/>
        <v>0</v>
      </c>
      <c r="DY50" s="2572"/>
      <c r="DZ50" s="2537"/>
      <c r="EA50" s="2537"/>
      <c r="EB50" s="2577" t="str">
        <f t="shared" si="133"/>
        <v>05</v>
      </c>
      <c r="EC50" s="2570"/>
      <c r="ED50" s="436">
        <f>IFERROR(INDEX('IPCS Data'!$H$8:$H$30,MATCH(EE50,'IPCS Data'!$I$8:$I$30,0)),0)</f>
        <v>0</v>
      </c>
      <c r="EE50" s="3072"/>
      <c r="EF50" s="2570"/>
      <c r="EG50" s="499">
        <f>IFERROR(INDEX('IPCS Data'!$L$8:$L$27,MATCH(EH50,'IPCS Data'!$M$8:$M$27,0)),0)</f>
        <v>0</v>
      </c>
      <c r="EH50" s="718"/>
      <c r="EI50" s="2578" t="s">
        <v>5</v>
      </c>
      <c r="EJ50" s="748">
        <f>IFERROR(INDEX('IPCS Data'!$O$8:$O$110,MATCH(EK50,'IPCS Data'!$Q$8:$Q$110,0)),0)</f>
        <v>0</v>
      </c>
      <c r="EK50" s="437"/>
      <c r="EL50" s="2578"/>
      <c r="EM50" s="840">
        <f t="shared" si="89"/>
        <v>0</v>
      </c>
      <c r="EN50" s="841"/>
      <c r="EO50" s="2537"/>
      <c r="EP50" s="842">
        <f t="shared" si="90"/>
        <v>0</v>
      </c>
      <c r="EQ50" s="843"/>
      <c r="ER50" s="2537"/>
      <c r="ES50" s="840">
        <f t="shared" si="91"/>
        <v>0</v>
      </c>
      <c r="ET50" s="843"/>
      <c r="EU50" s="2537"/>
      <c r="EV50" s="1497"/>
      <c r="EW50" s="1683"/>
      <c r="EX50" s="2562">
        <f t="shared" si="92"/>
        <v>17</v>
      </c>
      <c r="EY50" s="2533"/>
      <c r="EZ50" s="2561"/>
      <c r="FA50" s="1324">
        <f t="shared" si="10"/>
        <v>0</v>
      </c>
      <c r="FB50" s="2629">
        <f t="shared" si="93"/>
        <v>0</v>
      </c>
      <c r="FC50" s="274"/>
      <c r="FD50" s="2626">
        <f t="shared" si="11"/>
        <v>0</v>
      </c>
      <c r="FE50" s="2626">
        <f t="shared" si="12"/>
        <v>0</v>
      </c>
      <c r="FF50" s="274"/>
      <c r="FG50" s="2616">
        <f t="shared" si="94"/>
        <v>0</v>
      </c>
      <c r="FH50" s="2616">
        <f t="shared" si="95"/>
        <v>0</v>
      </c>
      <c r="FI50" s="2616">
        <f t="shared" si="96"/>
        <v>0</v>
      </c>
      <c r="FJ50" s="2610" t="s">
        <v>5</v>
      </c>
      <c r="FK50" s="2616">
        <f t="shared" si="97"/>
        <v>0</v>
      </c>
      <c r="FL50" s="2616">
        <f t="shared" si="98"/>
        <v>0</v>
      </c>
      <c r="FM50" s="2616">
        <f t="shared" si="99"/>
        <v>0</v>
      </c>
      <c r="FN50" s="2622">
        <f t="shared" si="100"/>
        <v>0</v>
      </c>
      <c r="FO50" s="2615">
        <f t="shared" si="101"/>
        <v>0</v>
      </c>
      <c r="FP50" s="2624">
        <f t="shared" si="102"/>
        <v>0</v>
      </c>
      <c r="FQ50" s="2622">
        <f t="shared" si="103"/>
        <v>0</v>
      </c>
      <c r="FR50" s="2624">
        <f t="shared" si="104"/>
        <v>0</v>
      </c>
      <c r="FS50" s="2611" t="s">
        <v>5</v>
      </c>
      <c r="FT50" s="2616">
        <f t="shared" si="105"/>
        <v>0</v>
      </c>
      <c r="FU50" s="2622">
        <f t="shared" si="129"/>
        <v>0</v>
      </c>
      <c r="FV50" s="2616">
        <f t="shared" si="106"/>
        <v>0</v>
      </c>
      <c r="FW50" s="2612" t="s">
        <v>5</v>
      </c>
      <c r="FX50" s="2616">
        <f t="shared" si="51"/>
        <v>0</v>
      </c>
      <c r="FY50" s="2616">
        <f t="shared" si="107"/>
        <v>0</v>
      </c>
      <c r="FZ50" s="2613" t="s">
        <v>5</v>
      </c>
      <c r="GA50" s="2616">
        <f t="shared" si="48"/>
        <v>0</v>
      </c>
      <c r="GB50" s="2619">
        <f t="shared" si="130"/>
        <v>0</v>
      </c>
      <c r="GC50" s="2620">
        <f t="shared" si="108"/>
        <v>0</v>
      </c>
      <c r="GD50" s="2614"/>
      <c r="GE50" s="3195">
        <f t="shared" si="16"/>
        <v>0</v>
      </c>
      <c r="GF50" s="3195">
        <f t="shared" si="17"/>
        <v>0</v>
      </c>
      <c r="GG50" s="3193" t="str">
        <f t="shared" si="18"/>
        <v>X</v>
      </c>
      <c r="GH50" s="2531"/>
      <c r="GI50" s="3189" t="str">
        <f t="shared" si="19"/>
        <v/>
      </c>
      <c r="GJ50" s="2598"/>
      <c r="GK50" s="3173">
        <f t="shared" si="20"/>
        <v>0</v>
      </c>
      <c r="GL50" s="3173">
        <f t="shared" si="21"/>
        <v>0</v>
      </c>
      <c r="GM50" s="3173">
        <f t="shared" si="22"/>
        <v>0</v>
      </c>
      <c r="GN50" s="3174">
        <f t="shared" si="23"/>
        <v>0</v>
      </c>
      <c r="GO50" s="3174">
        <f t="shared" si="24"/>
        <v>0</v>
      </c>
      <c r="GP50" s="3175">
        <f t="shared" si="25"/>
        <v>0</v>
      </c>
      <c r="GQ50" s="3176">
        <f t="shared" si="26"/>
        <v>0</v>
      </c>
      <c r="GR50" s="3177">
        <f t="shared" si="27"/>
        <v>0</v>
      </c>
      <c r="GS50" s="3177">
        <f t="shared" si="28"/>
        <v>0</v>
      </c>
      <c r="GT50" s="3178">
        <f t="shared" si="29"/>
        <v>0</v>
      </c>
      <c r="GU50" s="3179"/>
      <c r="GV50" s="3178">
        <f t="shared" si="30"/>
        <v>0</v>
      </c>
      <c r="GW50" s="3177">
        <f t="shared" si="31"/>
        <v>0</v>
      </c>
      <c r="GX50" s="3180"/>
      <c r="GY50" s="3177">
        <f t="shared" si="32"/>
        <v>0</v>
      </c>
      <c r="GZ50" s="2593"/>
      <c r="HA50" s="277"/>
      <c r="HB50" s="277"/>
      <c r="HC50" s="277"/>
      <c r="HD50" s="277"/>
      <c r="HE50" s="277"/>
      <c r="HF50" s="277"/>
      <c r="HG50" s="277"/>
      <c r="HH50" s="277"/>
      <c r="HI50" s="277"/>
      <c r="HJ50" s="277"/>
      <c r="HK50" s="277"/>
      <c r="HL50" s="277"/>
      <c r="HM50" s="277"/>
      <c r="HN50" s="277"/>
      <c r="HO50" s="277"/>
    </row>
    <row r="51" spans="1:223" ht="18" customHeight="1" x14ac:dyDescent="0.3">
      <c r="A51" s="755"/>
      <c r="B51" s="805">
        <f>SUMIFS('3a Staff Plan'!$T$129:$T$305,'3a Staff Plan'!$DF$129:$DF$305,1,'3a Staff Plan'!$DA$129:$DA$305,1,'3a Staff Plan'!$J$129:$J$305,$FA51)</f>
        <v>0</v>
      </c>
      <c r="C51" s="805">
        <f>SUMIFS('3a Staff Plan'!$U$129:$U$305,'3a Staff Plan'!$DF$129:$DF$305,1,'3a Staff Plan'!$DA$129:$DA$305,1,'3a Staff Plan'!$J$129:$J$305,$FA51)</f>
        <v>0</v>
      </c>
      <c r="D51" s="805">
        <f>SUMIFS('3a Staff Plan'!$Z$129:$Z$305,'3a Staff Plan'!$DF$129:$DF$305,1,'3a Staff Plan'!$DA$129:$DA$305,1,'3a Staff Plan'!$J$129:$J$305,$FA51)</f>
        <v>0</v>
      </c>
      <c r="E51" s="805">
        <f>SUMIFS('3a Staff Plan'!$Y$129:$Y$305,'3a Staff Plan'!$DF$129:$DF$305,1,'3a Staff Plan'!$DA$129:$DA$305,1,'3a Staff Plan'!$J$129:$J$305,$FA51)</f>
        <v>0</v>
      </c>
      <c r="F51" s="805">
        <f>SUMIFS('3a Staff Plan'!$X$129:$X$305,'3a Staff Plan'!$DF$129:$DF$305,1,'3a Staff Plan'!$DA$129:$DA$305,1,'3a Staff Plan'!$AG$129:$AG$305,1,'3a Staff Plan'!$J$129:$J$305,$FA51)</f>
        <v>0</v>
      </c>
      <c r="G51" s="805">
        <f>IF($G$24=0,0,SUMIFS('3a Staff Plan'!$W$129:$W$305,'3a Staff Plan'!$DF$129:$DF$305,1,'3a Staff Plan'!$DA$129:$DA$305,1,'3a Staff Plan'!$J$129:$J$305,$FA51))</f>
        <v>0</v>
      </c>
      <c r="H51" s="795">
        <f t="shared" si="52"/>
        <v>0</v>
      </c>
      <c r="I51" s="805">
        <f>SUMIFS('3a Staff Plan'!$V$129:$V$305,'3a Staff Plan'!$DF$129:$DF$305,1,'3a Staff Plan'!$DA$129:$DA$305,1,'3a Staff Plan'!$J$129:$J$305,$FA51)</f>
        <v>0</v>
      </c>
      <c r="J51" s="805">
        <f>SUMIFS('3a Staff Plan'!$AB$129:$AB$305,'3a Staff Plan'!$DF$129:$DF$305,1,'3a Staff Plan'!$DA$129:$DA$305,1,'3a Staff Plan'!$J$129:$J$305,$FA51)</f>
        <v>0</v>
      </c>
      <c r="K51" s="805">
        <f>SUMIFS('3a Staff Plan'!$AA$129:$AA$305,'3a Staff Plan'!$DF$129:$DF$305,1,'3a Staff Plan'!$DA$129:$DA$305,1,'3a Staff Plan'!$AG$129:$AG$305,1,'3a Staff Plan'!$J$129:$J$305,$FA51)</f>
        <v>0</v>
      </c>
      <c r="L51" s="755"/>
      <c r="M51" s="805">
        <f>SUMIFS('3b Activity Plan'!$T$173:$T$365,'3b Activity Plan'!$CY$173:$CY$365,1,'3b Activity Plan'!$CT$173:$CT$365,1,'3b Activity Plan'!$J$173:$J$365,$FA51)</f>
        <v>0</v>
      </c>
      <c r="N51" s="805">
        <f>SUMIFS('3b Activity Plan'!$U$173:$U$365,'3b Activity Plan'!$CY$173:$CY$365,1,'3b Activity Plan'!$CT$173:$CT$365,1,'3b Activity Plan'!$J$173:$J$365,$FA51)</f>
        <v>0</v>
      </c>
      <c r="O51" s="805">
        <f>SUMIFS('3b Activity Plan'!$Z$173:$Z$365,'3b Activity Plan'!$CY$173:$CY$365,1,'3b Activity Plan'!$CT$173:$CT$365,1,'3b Activity Plan'!$J$173:$J$365,$FA51)</f>
        <v>0</v>
      </c>
      <c r="P51" s="805">
        <f>SUMIFS('3b Activity Plan'!$Y$173:$Y$365,'3b Activity Plan'!$CY$173:$CY$365,1,'3b Activity Plan'!$CT$173:$CT$365,1,'3b Activity Plan'!$J$173:$J$365,$FA51)</f>
        <v>0</v>
      </c>
      <c r="Q51" s="805">
        <f>SUMIFS('3b Activity Plan'!$X$173:$X$365,'3b Activity Plan'!$CY$173:$CY$365,1,'3b Activity Plan'!$CT$173:$CT$365,1,'3b Activity Plan'!$J$173:$J$365,$FA51)</f>
        <v>0</v>
      </c>
      <c r="R51" s="805">
        <f>IF($R$24=0,0,SUMIFS('3b Activity Plan'!$W$173:$W$365,'3b Activity Plan'!$CY$173:$CY$365,1,'3b Activity Plan'!$CT$173:$CT$365,1,'3b Activity Plan'!$J$173:$J$365,$FA51))</f>
        <v>0</v>
      </c>
      <c r="S51" s="795">
        <f t="shared" si="53"/>
        <v>0</v>
      </c>
      <c r="T51" s="805">
        <f>SUMIFS('3b Activity Plan'!$V$173:$V$365,'3b Activity Plan'!$CY$173:$CY$365,1,'3b Activity Plan'!$CT$173:$CT$365,1,'3b Activity Plan'!$J$173:$J$365,$FA51)</f>
        <v>0</v>
      </c>
      <c r="U51" s="805">
        <f>SUMIFS('3b Activity Plan'!$AB$173:$AB$365,'3b Activity Plan'!$CY$173:$CY$365,1,'3b Activity Plan'!$CT$173:$CT$365,1,'3b Activity Plan'!$J$173:$J$365,$FA51)</f>
        <v>0</v>
      </c>
      <c r="V51" s="805">
        <f>SUMIFS('3b Activity Plan'!$AA$173:$AA$365,'3b Activity Plan'!$CY$173:$CY$365,1,'3b Activity Plan'!$CT$173:$CT$365,1,'3b Activity Plan'!$J$173:$J$365,$FA51)</f>
        <v>0</v>
      </c>
      <c r="W51" s="755"/>
      <c r="X51" s="2641">
        <f>SUMIFS('3b Activity Plan'!$FU$173:$FU$365,'3b Activity Plan'!$J$173:$J$365,$FA51)</f>
        <v>0</v>
      </c>
      <c r="Y51" s="2641">
        <f>SUMIFS('3b Activity Plan'!$FW$173:$FW$365,'3b Activity Plan'!$J$173:$J$365,$FA51)</f>
        <v>0</v>
      </c>
      <c r="Z51" s="2639">
        <f t="shared" si="132"/>
        <v>0</v>
      </c>
      <c r="AA51" s="755"/>
      <c r="AB51" s="761">
        <f>_xlfn.MINIFS('3a Staff Plan'!$EB$129:$EB$304,'3a Staff Plan'!$DF$129:$DF$304,1,'3a Staff Plan'!$J$129:$J$304,FA51)</f>
        <v>0</v>
      </c>
      <c r="AC51" s="761">
        <f>_xlfn.MAXIFS('3a Staff Plan'!$EC$129:$EC$304,'3a Staff Plan'!$DF$129:$DF$304,1,'3a Staff Plan'!$J$129:$J$304,FA51)</f>
        <v>0</v>
      </c>
      <c r="AD51" s="755"/>
      <c r="AE51" s="761">
        <f>_xlfn.MINIFS('3b Activity Plan'!$GN$173:$GN$365,'3b Activity Plan'!$CY$173:$CY$365,1,'3b Activity Plan'!$J$173:$J$365,$FA51)</f>
        <v>0</v>
      </c>
      <c r="AF51" s="761">
        <f>_xlfn.MAXIFS('3b Activity Plan'!$GO$173:$GO$365,'3b Activity Plan'!$CY$173:$CY$365,1,'3b Activity Plan'!$J$173:$J$365,$FA51)</f>
        <v>0</v>
      </c>
      <c r="AG51" s="755"/>
      <c r="AH51" s="761">
        <f t="shared" si="54"/>
        <v>0</v>
      </c>
      <c r="AI51" s="761">
        <f t="shared" si="55"/>
        <v>0</v>
      </c>
      <c r="AJ51" s="755"/>
      <c r="AK51" s="761">
        <f t="shared" si="56"/>
        <v>0</v>
      </c>
      <c r="AL51" s="761">
        <f t="shared" si="57"/>
        <v>0</v>
      </c>
      <c r="AM51" s="776">
        <f t="shared" si="58"/>
        <v>0</v>
      </c>
      <c r="AN51" s="755"/>
      <c r="AO51" s="748">
        <f t="shared" si="59"/>
        <v>0</v>
      </c>
      <c r="AP51" s="748">
        <f t="shared" si="60"/>
        <v>0</v>
      </c>
      <c r="AQ51" s="748">
        <f t="shared" si="61"/>
        <v>0</v>
      </c>
      <c r="AR51" s="748">
        <f t="shared" si="62"/>
        <v>0</v>
      </c>
      <c r="AS51" s="748">
        <f t="shared" si="63"/>
        <v>0</v>
      </c>
      <c r="AT51" s="748">
        <f t="shared" si="64"/>
        <v>0</v>
      </c>
      <c r="AU51" s="748">
        <f t="shared" si="65"/>
        <v>0</v>
      </c>
      <c r="AV51" s="748">
        <f>IFERROR(INDEX('IPCS Data'!$R$8:$R$109,MATCH(EJ51,'IPCS Data'!$O$8:$O$109,0)),0)</f>
        <v>0</v>
      </c>
      <c r="AW51" s="755"/>
      <c r="AX51" s="499">
        <f>IFERROR(INDEX('IPCS Data'!$P$18:$P$110,MATCH(EK51,'IPCS Data'!$Q$18:$Q$110,0)),0)</f>
        <v>0</v>
      </c>
      <c r="AY51" s="1950" t="str">
        <f t="shared" si="110"/>
        <v/>
      </c>
      <c r="AZ51" s="755"/>
      <c r="BA51" s="753" t="str">
        <f>IFERROR(IF(MATCH(EJ51,'IPCS Data'!$O$8:$O$110,0)&gt;=25,"L","N"),"N")</f>
        <v>N</v>
      </c>
      <c r="BB51" s="774"/>
      <c r="BC51" s="753" t="str">
        <f t="shared" si="111"/>
        <v>N</v>
      </c>
      <c r="BD51" s="753" t="str">
        <f t="shared" si="39"/>
        <v>Non-Labor</v>
      </c>
      <c r="BE51" s="755"/>
      <c r="BF51" s="753" t="str">
        <f t="shared" si="112"/>
        <v>B23672.05</v>
      </c>
      <c r="BG51" s="753" t="str">
        <f t="shared" si="2"/>
        <v>0.0.0</v>
      </c>
      <c r="BH51" s="753">
        <f t="shared" si="66"/>
        <v>0</v>
      </c>
      <c r="BI51" s="753">
        <f t="shared" si="3"/>
        <v>0</v>
      </c>
      <c r="BJ51" s="753">
        <f t="shared" si="113"/>
        <v>0</v>
      </c>
      <c r="BK51" s="753">
        <f t="shared" si="40"/>
        <v>0</v>
      </c>
      <c r="BL51" s="753" t="b">
        <f t="shared" si="131"/>
        <v>1</v>
      </c>
      <c r="BM51" s="755"/>
      <c r="BN51" s="719">
        <f t="shared" si="67"/>
        <v>0</v>
      </c>
      <c r="BO51" s="719">
        <f t="shared" si="68"/>
        <v>110</v>
      </c>
      <c r="BP51" s="755"/>
      <c r="BQ51" s="719">
        <f>IF(AND((COUNTIFS('3a Staff Plan'!$J$129:$J$305,FA51)*$B$22)+(COUNTIFS('3b Activity Plan'!$J$173:$J$365,FA51)*$M$22)=0,FB51&gt;0),1,0)</f>
        <v>0</v>
      </c>
      <c r="BR51" s="719">
        <f t="shared" si="114"/>
        <v>0</v>
      </c>
      <c r="BS51" s="719">
        <f t="shared" si="69"/>
        <v>0</v>
      </c>
      <c r="BT51" s="719">
        <f t="shared" si="70"/>
        <v>0</v>
      </c>
      <c r="BU51" s="719">
        <f t="shared" si="71"/>
        <v>0</v>
      </c>
      <c r="BV51" s="719">
        <f t="shared" si="72"/>
        <v>0</v>
      </c>
      <c r="BW51" s="719">
        <f t="shared" si="73"/>
        <v>0</v>
      </c>
      <c r="BX51" s="719">
        <f t="shared" si="74"/>
        <v>0</v>
      </c>
      <c r="BY51" s="719">
        <f t="shared" si="75"/>
        <v>0</v>
      </c>
      <c r="BZ51" s="719">
        <f t="shared" si="115"/>
        <v>0</v>
      </c>
      <c r="CA51" s="719">
        <f t="shared" si="116"/>
        <v>0</v>
      </c>
      <c r="CB51" s="719">
        <f t="shared" si="76"/>
        <v>0</v>
      </c>
      <c r="CC51" s="719"/>
      <c r="CD51" s="719"/>
      <c r="CE51" s="719">
        <f t="shared" si="77"/>
        <v>0</v>
      </c>
      <c r="CF51" s="719">
        <f t="shared" si="117"/>
        <v>0</v>
      </c>
      <c r="CG51" s="719">
        <f t="shared" si="118"/>
        <v>0</v>
      </c>
      <c r="CH51" s="719">
        <f t="shared" si="119"/>
        <v>0</v>
      </c>
      <c r="CI51" s="719">
        <f t="shared" si="120"/>
        <v>0</v>
      </c>
      <c r="CJ51" s="719">
        <f t="shared" si="121"/>
        <v>0</v>
      </c>
      <c r="CK51" s="719">
        <f t="shared" si="122"/>
        <v>0</v>
      </c>
      <c r="CL51" s="719">
        <f t="shared" si="123"/>
        <v>0</v>
      </c>
      <c r="CM51" s="719">
        <f t="shared" si="124"/>
        <v>0</v>
      </c>
      <c r="CN51" s="719">
        <f t="shared" si="125"/>
        <v>0</v>
      </c>
      <c r="CO51" s="719">
        <f t="shared" si="42"/>
        <v>0</v>
      </c>
      <c r="CP51" s="719">
        <f t="shared" si="78"/>
        <v>0</v>
      </c>
      <c r="CQ51" s="719">
        <f t="shared" si="126"/>
        <v>18</v>
      </c>
      <c r="CR51" s="719">
        <f t="shared" si="127"/>
        <v>0</v>
      </c>
      <c r="CS51" s="2526"/>
      <c r="CT51" s="2527">
        <f t="shared" si="128"/>
        <v>23</v>
      </c>
      <c r="CU51" s="2527">
        <f t="shared" si="4"/>
        <v>0</v>
      </c>
      <c r="CV51" s="2527">
        <f t="shared" si="5"/>
        <v>0</v>
      </c>
      <c r="CW51" s="2527">
        <f t="shared" si="43"/>
        <v>0</v>
      </c>
      <c r="CX51" s="755"/>
      <c r="CY51" s="2537"/>
      <c r="CZ51" s="499">
        <f t="shared" si="49"/>
        <v>0</v>
      </c>
      <c r="DA51" s="1107">
        <f t="shared" si="50"/>
        <v>0</v>
      </c>
      <c r="DB51" s="2537"/>
      <c r="DC51" s="499">
        <f t="shared" si="79"/>
        <v>0</v>
      </c>
      <c r="DD51" s="1107">
        <f t="shared" si="80"/>
        <v>0</v>
      </c>
      <c r="DE51" s="2537"/>
      <c r="DF51" s="499">
        <f t="shared" si="81"/>
        <v>0</v>
      </c>
      <c r="DG51" s="1107">
        <f t="shared" si="82"/>
        <v>0</v>
      </c>
      <c r="DH51" s="2537"/>
      <c r="DI51" s="499">
        <f t="shared" si="83"/>
        <v>0</v>
      </c>
      <c r="DJ51" s="1107">
        <f t="shared" si="84"/>
        <v>0</v>
      </c>
      <c r="DK51" s="2537"/>
      <c r="DL51" s="499">
        <f t="shared" si="85"/>
        <v>0</v>
      </c>
      <c r="DM51" s="1107">
        <f t="shared" si="86"/>
        <v>0</v>
      </c>
      <c r="DN51" s="2537"/>
      <c r="DO51" s="499">
        <f t="shared" si="87"/>
        <v>0</v>
      </c>
      <c r="DP51" s="1107">
        <f t="shared" si="88"/>
        <v>0</v>
      </c>
      <c r="DQ51" s="2537"/>
      <c r="DR51" s="2559"/>
      <c r="DS51" s="499">
        <f t="shared" si="6"/>
        <v>0</v>
      </c>
      <c r="DT51" s="1106">
        <f t="shared" si="7"/>
        <v>0</v>
      </c>
      <c r="DU51" s="2537"/>
      <c r="DV51" s="2559"/>
      <c r="DW51" s="2312">
        <f t="shared" si="8"/>
        <v>0</v>
      </c>
      <c r="DX51" s="1105">
        <f t="shared" si="9"/>
        <v>0</v>
      </c>
      <c r="DY51" s="2572"/>
      <c r="DZ51" s="2537"/>
      <c r="EA51" s="2537"/>
      <c r="EB51" s="2577" t="str">
        <f t="shared" si="133"/>
        <v>05</v>
      </c>
      <c r="EC51" s="2570"/>
      <c r="ED51" s="436">
        <f>IFERROR(INDEX('IPCS Data'!$H$8:$H$30,MATCH(EE51,'IPCS Data'!$I$8:$I$30,0)),0)</f>
        <v>0</v>
      </c>
      <c r="EE51" s="3072"/>
      <c r="EF51" s="2570"/>
      <c r="EG51" s="499">
        <f>IFERROR(INDEX('IPCS Data'!$L$8:$L$27,MATCH(EH51,'IPCS Data'!$M$8:$M$27,0)),0)</f>
        <v>0</v>
      </c>
      <c r="EH51" s="718"/>
      <c r="EI51" s="2578" t="s">
        <v>5</v>
      </c>
      <c r="EJ51" s="748">
        <f>IFERROR(INDEX('IPCS Data'!$O$8:$O$110,MATCH(EK51,'IPCS Data'!$Q$8:$Q$110,0)),0)</f>
        <v>0</v>
      </c>
      <c r="EK51" s="437"/>
      <c r="EL51" s="2578"/>
      <c r="EM51" s="840">
        <f t="shared" si="89"/>
        <v>0</v>
      </c>
      <c r="EN51" s="841"/>
      <c r="EO51" s="2537"/>
      <c r="EP51" s="842">
        <f t="shared" si="90"/>
        <v>0</v>
      </c>
      <c r="EQ51" s="843"/>
      <c r="ER51" s="2537"/>
      <c r="ES51" s="840">
        <f t="shared" si="91"/>
        <v>0</v>
      </c>
      <c r="ET51" s="843"/>
      <c r="EU51" s="2537"/>
      <c r="EV51" s="1497"/>
      <c r="EW51" s="1683"/>
      <c r="EX51" s="2562">
        <f t="shared" si="92"/>
        <v>18</v>
      </c>
      <c r="EY51" s="2533"/>
      <c r="EZ51" s="2561"/>
      <c r="FA51" s="1324">
        <f t="shared" si="10"/>
        <v>0</v>
      </c>
      <c r="FB51" s="2629">
        <f t="shared" si="93"/>
        <v>0</v>
      </c>
      <c r="FC51" s="274"/>
      <c r="FD51" s="2626">
        <f t="shared" si="11"/>
        <v>0</v>
      </c>
      <c r="FE51" s="2626">
        <f t="shared" si="12"/>
        <v>0</v>
      </c>
      <c r="FF51" s="274"/>
      <c r="FG51" s="2616">
        <f t="shared" si="94"/>
        <v>0</v>
      </c>
      <c r="FH51" s="2616">
        <f t="shared" si="95"/>
        <v>0</v>
      </c>
      <c r="FI51" s="2616">
        <f t="shared" si="96"/>
        <v>0</v>
      </c>
      <c r="FJ51" s="2610" t="s">
        <v>5</v>
      </c>
      <c r="FK51" s="2616">
        <f t="shared" si="97"/>
        <v>0</v>
      </c>
      <c r="FL51" s="2616">
        <f t="shared" si="98"/>
        <v>0</v>
      </c>
      <c r="FM51" s="2616">
        <f t="shared" si="99"/>
        <v>0</v>
      </c>
      <c r="FN51" s="2622">
        <f t="shared" si="100"/>
        <v>0</v>
      </c>
      <c r="FO51" s="2615">
        <f t="shared" si="101"/>
        <v>0</v>
      </c>
      <c r="FP51" s="2624">
        <f t="shared" si="102"/>
        <v>0</v>
      </c>
      <c r="FQ51" s="2622">
        <f t="shared" si="103"/>
        <v>0</v>
      </c>
      <c r="FR51" s="2624">
        <f t="shared" si="104"/>
        <v>0</v>
      </c>
      <c r="FS51" s="2611" t="s">
        <v>5</v>
      </c>
      <c r="FT51" s="2616">
        <f t="shared" si="105"/>
        <v>0</v>
      </c>
      <c r="FU51" s="2622">
        <f t="shared" si="129"/>
        <v>0</v>
      </c>
      <c r="FV51" s="2616">
        <f t="shared" si="106"/>
        <v>0</v>
      </c>
      <c r="FW51" s="2612" t="s">
        <v>5</v>
      </c>
      <c r="FX51" s="2616">
        <f t="shared" si="51"/>
        <v>0</v>
      </c>
      <c r="FY51" s="2616">
        <f t="shared" si="107"/>
        <v>0</v>
      </c>
      <c r="FZ51" s="2613" t="s">
        <v>5</v>
      </c>
      <c r="GA51" s="2616">
        <f t="shared" si="48"/>
        <v>0</v>
      </c>
      <c r="GB51" s="2619">
        <f t="shared" si="130"/>
        <v>0</v>
      </c>
      <c r="GC51" s="2620">
        <f t="shared" si="108"/>
        <v>0</v>
      </c>
      <c r="GD51" s="2614"/>
      <c r="GE51" s="3195">
        <f t="shared" si="16"/>
        <v>0</v>
      </c>
      <c r="GF51" s="3195">
        <f t="shared" si="17"/>
        <v>0</v>
      </c>
      <c r="GG51" s="3193" t="str">
        <f t="shared" si="18"/>
        <v>X</v>
      </c>
      <c r="GH51" s="2531"/>
      <c r="GI51" s="3189" t="str">
        <f t="shared" si="19"/>
        <v/>
      </c>
      <c r="GJ51" s="2598"/>
      <c r="GK51" s="3173">
        <f t="shared" si="20"/>
        <v>0</v>
      </c>
      <c r="GL51" s="3173">
        <f t="shared" si="21"/>
        <v>0</v>
      </c>
      <c r="GM51" s="3173">
        <f t="shared" si="22"/>
        <v>0</v>
      </c>
      <c r="GN51" s="3174">
        <f t="shared" si="23"/>
        <v>0</v>
      </c>
      <c r="GO51" s="3174">
        <f t="shared" si="24"/>
        <v>0</v>
      </c>
      <c r="GP51" s="3175">
        <f t="shared" si="25"/>
        <v>0</v>
      </c>
      <c r="GQ51" s="3176">
        <f t="shared" si="26"/>
        <v>0</v>
      </c>
      <c r="GR51" s="3177">
        <f t="shared" si="27"/>
        <v>0</v>
      </c>
      <c r="GS51" s="3177">
        <f t="shared" si="28"/>
        <v>0</v>
      </c>
      <c r="GT51" s="3178">
        <f t="shared" si="29"/>
        <v>0</v>
      </c>
      <c r="GU51" s="3179"/>
      <c r="GV51" s="3178">
        <f t="shared" si="30"/>
        <v>0</v>
      </c>
      <c r="GW51" s="3177">
        <f t="shared" si="31"/>
        <v>0</v>
      </c>
      <c r="GX51" s="3180"/>
      <c r="GY51" s="3177">
        <f t="shared" si="32"/>
        <v>0</v>
      </c>
      <c r="GZ51" s="2593"/>
      <c r="HA51" s="277"/>
      <c r="HB51" s="277"/>
      <c r="HC51" s="277"/>
      <c r="HD51" s="277"/>
      <c r="HE51" s="277"/>
      <c r="HF51" s="277"/>
      <c r="HG51" s="277"/>
      <c r="HH51" s="277"/>
      <c r="HI51" s="277"/>
      <c r="HJ51" s="277"/>
      <c r="HK51" s="277"/>
      <c r="HL51" s="277"/>
      <c r="HM51" s="277"/>
      <c r="HN51" s="277"/>
      <c r="HO51" s="277"/>
    </row>
    <row r="52" spans="1:223" s="749" customFormat="1" ht="18" customHeight="1" x14ac:dyDescent="0.3">
      <c r="A52" s="755"/>
      <c r="B52" s="805">
        <f>SUMIFS('3a Staff Plan'!$T$129:$T$305,'3a Staff Plan'!$DF$129:$DF$305,1,'3a Staff Plan'!$DA$129:$DA$305,1,'3a Staff Plan'!$J$129:$J$305,$FA52)</f>
        <v>0</v>
      </c>
      <c r="C52" s="805">
        <f>SUMIFS('3a Staff Plan'!$U$129:$U$305,'3a Staff Plan'!$DF$129:$DF$305,1,'3a Staff Plan'!$DA$129:$DA$305,1,'3a Staff Plan'!$J$129:$J$305,$FA52)</f>
        <v>0</v>
      </c>
      <c r="D52" s="805">
        <f>SUMIFS('3a Staff Plan'!$Z$129:$Z$305,'3a Staff Plan'!$DF$129:$DF$305,1,'3a Staff Plan'!$DA$129:$DA$305,1,'3a Staff Plan'!$J$129:$J$305,$FA52)</f>
        <v>0</v>
      </c>
      <c r="E52" s="805">
        <f>SUMIFS('3a Staff Plan'!$Y$129:$Y$305,'3a Staff Plan'!$DF$129:$DF$305,1,'3a Staff Plan'!$DA$129:$DA$305,1,'3a Staff Plan'!$J$129:$J$305,$FA52)</f>
        <v>0</v>
      </c>
      <c r="F52" s="805">
        <f>SUMIFS('3a Staff Plan'!$X$129:$X$305,'3a Staff Plan'!$DF$129:$DF$305,1,'3a Staff Plan'!$DA$129:$DA$305,1,'3a Staff Plan'!$AG$129:$AG$305,1,'3a Staff Plan'!$J$129:$J$305,$FA52)</f>
        <v>0</v>
      </c>
      <c r="G52" s="805">
        <f>IF($G$24=0,0,SUMIFS('3a Staff Plan'!$W$129:$W$305,'3a Staff Plan'!$DF$129:$DF$305,1,'3a Staff Plan'!$DA$129:$DA$305,1,'3a Staff Plan'!$J$129:$J$305,$FA52))</f>
        <v>0</v>
      </c>
      <c r="H52" s="795">
        <f t="shared" si="52"/>
        <v>0</v>
      </c>
      <c r="I52" s="805">
        <f>SUMIFS('3a Staff Plan'!$V$129:$V$305,'3a Staff Plan'!$DF$129:$DF$305,1,'3a Staff Plan'!$DA$129:$DA$305,1,'3a Staff Plan'!$J$129:$J$305,$FA52)</f>
        <v>0</v>
      </c>
      <c r="J52" s="805">
        <f>SUMIFS('3a Staff Plan'!$AB$129:$AB$305,'3a Staff Plan'!$DF$129:$DF$305,1,'3a Staff Plan'!$DA$129:$DA$305,1,'3a Staff Plan'!$J$129:$J$305,$FA52)</f>
        <v>0</v>
      </c>
      <c r="K52" s="805">
        <f>SUMIFS('3a Staff Plan'!$AA$129:$AA$305,'3a Staff Plan'!$DF$129:$DF$305,1,'3a Staff Plan'!$DA$129:$DA$305,1,'3a Staff Plan'!$AG$129:$AG$305,1,'3a Staff Plan'!$J$129:$J$305,$FA52)</f>
        <v>0</v>
      </c>
      <c r="L52" s="755"/>
      <c r="M52" s="805">
        <f>SUMIFS('3b Activity Plan'!$T$173:$T$365,'3b Activity Plan'!$CY$173:$CY$365,1,'3b Activity Plan'!$CT$173:$CT$365,1,'3b Activity Plan'!$J$173:$J$365,$FA52)</f>
        <v>0</v>
      </c>
      <c r="N52" s="805">
        <f>SUMIFS('3b Activity Plan'!$U$173:$U$365,'3b Activity Plan'!$CY$173:$CY$365,1,'3b Activity Plan'!$CT$173:$CT$365,1,'3b Activity Plan'!$J$173:$J$365,$FA52)</f>
        <v>0</v>
      </c>
      <c r="O52" s="805">
        <f>SUMIFS('3b Activity Plan'!$Z$173:$Z$365,'3b Activity Plan'!$CY$173:$CY$365,1,'3b Activity Plan'!$CT$173:$CT$365,1,'3b Activity Plan'!$J$173:$J$365,$FA52)</f>
        <v>0</v>
      </c>
      <c r="P52" s="805">
        <f>SUMIFS('3b Activity Plan'!$Y$173:$Y$365,'3b Activity Plan'!$CY$173:$CY$365,1,'3b Activity Plan'!$CT$173:$CT$365,1,'3b Activity Plan'!$J$173:$J$365,$FA52)</f>
        <v>0</v>
      </c>
      <c r="Q52" s="805">
        <f>SUMIFS('3b Activity Plan'!$X$173:$X$365,'3b Activity Plan'!$CY$173:$CY$365,1,'3b Activity Plan'!$CT$173:$CT$365,1,'3b Activity Plan'!$J$173:$J$365,$FA52)</f>
        <v>0</v>
      </c>
      <c r="R52" s="805">
        <f>IF($R$24=0,0,SUMIFS('3b Activity Plan'!$W$173:$W$365,'3b Activity Plan'!$CY$173:$CY$365,1,'3b Activity Plan'!$CT$173:$CT$365,1,'3b Activity Plan'!$J$173:$J$365,$FA52))</f>
        <v>0</v>
      </c>
      <c r="S52" s="795">
        <f t="shared" si="53"/>
        <v>0</v>
      </c>
      <c r="T52" s="805">
        <f>SUMIFS('3b Activity Plan'!$V$173:$V$365,'3b Activity Plan'!$CY$173:$CY$365,1,'3b Activity Plan'!$CT$173:$CT$365,1,'3b Activity Plan'!$J$173:$J$365,$FA52)</f>
        <v>0</v>
      </c>
      <c r="U52" s="805">
        <f>SUMIFS('3b Activity Plan'!$AB$173:$AB$365,'3b Activity Plan'!$CY$173:$CY$365,1,'3b Activity Plan'!$CT$173:$CT$365,1,'3b Activity Plan'!$J$173:$J$365,$FA52)</f>
        <v>0</v>
      </c>
      <c r="V52" s="805">
        <f>SUMIFS('3b Activity Plan'!$AA$173:$AA$365,'3b Activity Plan'!$CY$173:$CY$365,1,'3b Activity Plan'!$CT$173:$CT$365,1,'3b Activity Plan'!$J$173:$J$365,$FA52)</f>
        <v>0</v>
      </c>
      <c r="W52" s="755"/>
      <c r="X52" s="2641">
        <f>SUMIFS('3b Activity Plan'!$FU$173:$FU$365,'3b Activity Plan'!$J$173:$J$365,$FA52)</f>
        <v>0</v>
      </c>
      <c r="Y52" s="2641">
        <f>SUMIFS('3b Activity Plan'!$FW$173:$FW$365,'3b Activity Plan'!$J$173:$J$365,$FA52)</f>
        <v>0</v>
      </c>
      <c r="Z52" s="2639">
        <f t="shared" si="132"/>
        <v>0</v>
      </c>
      <c r="AA52" s="755"/>
      <c r="AB52" s="761">
        <f>_xlfn.MINIFS('3a Staff Plan'!$EB$129:$EB$304,'3a Staff Plan'!$DF$129:$DF$304,1,'3a Staff Plan'!$J$129:$J$304,FA52)</f>
        <v>0</v>
      </c>
      <c r="AC52" s="761">
        <f>_xlfn.MAXIFS('3a Staff Plan'!$EC$129:$EC$304,'3a Staff Plan'!$DF$129:$DF$304,1,'3a Staff Plan'!$J$129:$J$304,FA52)</f>
        <v>0</v>
      </c>
      <c r="AD52" s="755"/>
      <c r="AE52" s="761">
        <f>_xlfn.MINIFS('3b Activity Plan'!$GN$173:$GN$365,'3b Activity Plan'!$CY$173:$CY$365,1,'3b Activity Plan'!$J$173:$J$365,$FA52)</f>
        <v>0</v>
      </c>
      <c r="AF52" s="761">
        <f>_xlfn.MAXIFS('3b Activity Plan'!$GO$173:$GO$365,'3b Activity Plan'!$CY$173:$CY$365,1,'3b Activity Plan'!$J$173:$J$365,$FA52)</f>
        <v>0</v>
      </c>
      <c r="AG52" s="755"/>
      <c r="AH52" s="761">
        <f t="shared" si="54"/>
        <v>0</v>
      </c>
      <c r="AI52" s="761">
        <f t="shared" si="55"/>
        <v>0</v>
      </c>
      <c r="AJ52" s="755"/>
      <c r="AK52" s="761">
        <f t="shared" si="56"/>
        <v>0</v>
      </c>
      <c r="AL52" s="761">
        <f t="shared" si="57"/>
        <v>0</v>
      </c>
      <c r="AM52" s="776">
        <f t="shared" si="58"/>
        <v>0</v>
      </c>
      <c r="AN52" s="755"/>
      <c r="AO52" s="748">
        <f t="shared" si="59"/>
        <v>0</v>
      </c>
      <c r="AP52" s="748">
        <f t="shared" si="60"/>
        <v>0</v>
      </c>
      <c r="AQ52" s="748">
        <f t="shared" si="61"/>
        <v>0</v>
      </c>
      <c r="AR52" s="748">
        <f t="shared" si="62"/>
        <v>0</v>
      </c>
      <c r="AS52" s="748">
        <f t="shared" si="63"/>
        <v>0</v>
      </c>
      <c r="AT52" s="748">
        <f t="shared" si="64"/>
        <v>0</v>
      </c>
      <c r="AU52" s="748">
        <f t="shared" si="65"/>
        <v>0</v>
      </c>
      <c r="AV52" s="748">
        <f>IFERROR(INDEX('IPCS Data'!$R$8:$R$109,MATCH(EJ52,'IPCS Data'!$O$8:$O$109,0)),0)</f>
        <v>0</v>
      </c>
      <c r="AW52" s="755"/>
      <c r="AX52" s="499">
        <f>IFERROR(INDEX('IPCS Data'!$P$18:$P$110,MATCH(EK52,'IPCS Data'!$Q$18:$Q$110,0)),0)</f>
        <v>0</v>
      </c>
      <c r="AY52" s="1950" t="str">
        <f t="shared" si="110"/>
        <v/>
      </c>
      <c r="AZ52" s="755"/>
      <c r="BA52" s="753" t="str">
        <f>IFERROR(IF(MATCH(EJ52,'IPCS Data'!$O$8:$O$110,0)&gt;=25,"L","N"),"N")</f>
        <v>N</v>
      </c>
      <c r="BB52" s="774"/>
      <c r="BC52" s="753" t="str">
        <f t="shared" si="111"/>
        <v>N</v>
      </c>
      <c r="BD52" s="753" t="str">
        <f t="shared" si="39"/>
        <v>Non-Labor</v>
      </c>
      <c r="BE52" s="755"/>
      <c r="BF52" s="753" t="str">
        <f t="shared" si="112"/>
        <v>B23672.05</v>
      </c>
      <c r="BG52" s="753" t="str">
        <f t="shared" ref="BG52" si="134">ED52&amp;"."&amp;EG52&amp;"."&amp;EJ52</f>
        <v>0.0.0</v>
      </c>
      <c r="BH52" s="753">
        <f t="shared" si="66"/>
        <v>0</v>
      </c>
      <c r="BI52" s="753">
        <f t="shared" si="3"/>
        <v>0</v>
      </c>
      <c r="BJ52" s="753">
        <f t="shared" si="113"/>
        <v>0</v>
      </c>
      <c r="BK52" s="753">
        <f t="shared" si="40"/>
        <v>0</v>
      </c>
      <c r="BL52" s="753" t="b">
        <f t="shared" ref="BL52" si="135">AND(ISBLANK(EE52),ISBLANK(EH52),ISBLANK(EK52))</f>
        <v>1</v>
      </c>
      <c r="BM52" s="755"/>
      <c r="BN52" s="719">
        <f t="shared" si="67"/>
        <v>0</v>
      </c>
      <c r="BO52" s="719">
        <f t="shared" si="68"/>
        <v>110</v>
      </c>
      <c r="BP52" s="755"/>
      <c r="BQ52" s="719">
        <f>IF(AND((COUNTIFS('3a Staff Plan'!$J$129:$J$305,FA52)*$B$22)+(COUNTIFS('3b Activity Plan'!$J$173:$J$365,FA52)*$M$22)=0,FB52&gt;0),1,0)</f>
        <v>0</v>
      </c>
      <c r="BR52" s="719">
        <f t="shared" si="114"/>
        <v>0</v>
      </c>
      <c r="BS52" s="719">
        <f t="shared" si="69"/>
        <v>0</v>
      </c>
      <c r="BT52" s="719">
        <f t="shared" si="70"/>
        <v>0</v>
      </c>
      <c r="BU52" s="719">
        <f t="shared" si="71"/>
        <v>0</v>
      </c>
      <c r="BV52" s="719">
        <f t="shared" si="72"/>
        <v>0</v>
      </c>
      <c r="BW52" s="719">
        <f t="shared" si="73"/>
        <v>0</v>
      </c>
      <c r="BX52" s="719">
        <f t="shared" si="74"/>
        <v>0</v>
      </c>
      <c r="BY52" s="719">
        <f t="shared" si="75"/>
        <v>0</v>
      </c>
      <c r="BZ52" s="719">
        <f t="shared" si="115"/>
        <v>0</v>
      </c>
      <c r="CA52" s="719">
        <f t="shared" si="116"/>
        <v>0</v>
      </c>
      <c r="CB52" s="719">
        <f t="shared" si="76"/>
        <v>0</v>
      </c>
      <c r="CC52" s="719"/>
      <c r="CD52" s="719"/>
      <c r="CE52" s="719">
        <f t="shared" si="77"/>
        <v>0</v>
      </c>
      <c r="CF52" s="719">
        <f t="shared" si="117"/>
        <v>0</v>
      </c>
      <c r="CG52" s="719">
        <f t="shared" si="118"/>
        <v>0</v>
      </c>
      <c r="CH52" s="719">
        <f t="shared" si="119"/>
        <v>0</v>
      </c>
      <c r="CI52" s="719">
        <f t="shared" si="120"/>
        <v>0</v>
      </c>
      <c r="CJ52" s="719">
        <f t="shared" si="121"/>
        <v>0</v>
      </c>
      <c r="CK52" s="719">
        <f t="shared" si="122"/>
        <v>0</v>
      </c>
      <c r="CL52" s="719">
        <f t="shared" si="123"/>
        <v>0</v>
      </c>
      <c r="CM52" s="719">
        <f t="shared" si="124"/>
        <v>0</v>
      </c>
      <c r="CN52" s="719">
        <f t="shared" si="125"/>
        <v>0</v>
      </c>
      <c r="CO52" s="719">
        <f t="shared" si="42"/>
        <v>0</v>
      </c>
      <c r="CP52" s="719">
        <f t="shared" ref="CP52" si="136">IF(FB52&gt;0,1,0)</f>
        <v>0</v>
      </c>
      <c r="CQ52" s="719">
        <f t="shared" si="126"/>
        <v>19</v>
      </c>
      <c r="CR52" s="719">
        <f t="shared" ref="CR52" si="137">IF(CP52=1,CQ52,0)</f>
        <v>0</v>
      </c>
      <c r="CS52" s="2526"/>
      <c r="CT52" s="2527">
        <f t="shared" si="128"/>
        <v>24</v>
      </c>
      <c r="CU52" s="2527">
        <f t="shared" si="4"/>
        <v>0</v>
      </c>
      <c r="CV52" s="2527">
        <f t="shared" si="5"/>
        <v>0</v>
      </c>
      <c r="CW52" s="2527">
        <f t="shared" si="43"/>
        <v>0</v>
      </c>
      <c r="CX52" s="755"/>
      <c r="CY52" s="2537"/>
      <c r="CZ52" s="499">
        <f t="shared" si="49"/>
        <v>0</v>
      </c>
      <c r="DA52" s="1107">
        <f t="shared" si="50"/>
        <v>0</v>
      </c>
      <c r="DB52" s="2537"/>
      <c r="DC52" s="499">
        <f t="shared" si="79"/>
        <v>0</v>
      </c>
      <c r="DD52" s="1107">
        <f t="shared" si="80"/>
        <v>0</v>
      </c>
      <c r="DE52" s="2537"/>
      <c r="DF52" s="499">
        <f t="shared" si="81"/>
        <v>0</v>
      </c>
      <c r="DG52" s="1107">
        <f t="shared" si="82"/>
        <v>0</v>
      </c>
      <c r="DH52" s="2537"/>
      <c r="DI52" s="499">
        <f t="shared" si="83"/>
        <v>0</v>
      </c>
      <c r="DJ52" s="1107">
        <f t="shared" si="84"/>
        <v>0</v>
      </c>
      <c r="DK52" s="2537"/>
      <c r="DL52" s="499">
        <f t="shared" si="85"/>
        <v>0</v>
      </c>
      <c r="DM52" s="1107">
        <f t="shared" si="86"/>
        <v>0</v>
      </c>
      <c r="DN52" s="2537"/>
      <c r="DO52" s="499">
        <f t="shared" si="87"/>
        <v>0</v>
      </c>
      <c r="DP52" s="1107">
        <f t="shared" si="88"/>
        <v>0</v>
      </c>
      <c r="DQ52" s="2537"/>
      <c r="DR52" s="2559"/>
      <c r="DS52" s="499">
        <f t="shared" si="6"/>
        <v>0</v>
      </c>
      <c r="DT52" s="1106">
        <f t="shared" si="7"/>
        <v>0</v>
      </c>
      <c r="DU52" s="2537"/>
      <c r="DV52" s="2559"/>
      <c r="DW52" s="2312">
        <f t="shared" si="8"/>
        <v>0</v>
      </c>
      <c r="DX52" s="1106">
        <f t="shared" si="9"/>
        <v>0</v>
      </c>
      <c r="DY52" s="2572"/>
      <c r="DZ52" s="2537"/>
      <c r="EA52" s="2537"/>
      <c r="EB52" s="2577" t="str">
        <f t="shared" si="133"/>
        <v>05</v>
      </c>
      <c r="EC52" s="2570"/>
      <c r="ED52" s="436">
        <f>IFERROR(INDEX('IPCS Data'!$H$8:$H$30,MATCH(EE52,'IPCS Data'!$I$8:$I$30,0)),0)</f>
        <v>0</v>
      </c>
      <c r="EE52" s="3072"/>
      <c r="EF52" s="2570"/>
      <c r="EG52" s="499">
        <f>IFERROR(INDEX('IPCS Data'!$L$8:$L$27,MATCH(EH52,'IPCS Data'!$M$8:$M$27,0)),0)</f>
        <v>0</v>
      </c>
      <c r="EH52" s="718"/>
      <c r="EI52" s="2578" t="s">
        <v>5</v>
      </c>
      <c r="EJ52" s="748">
        <f>IFERROR(INDEX('IPCS Data'!$O$8:$O$110,MATCH(EK52,'IPCS Data'!$Q$8:$Q$110,0)),0)</f>
        <v>0</v>
      </c>
      <c r="EK52" s="437"/>
      <c r="EL52" s="2578"/>
      <c r="EM52" s="840">
        <f t="shared" si="89"/>
        <v>0</v>
      </c>
      <c r="EN52" s="841"/>
      <c r="EO52" s="2537"/>
      <c r="EP52" s="842">
        <f t="shared" si="90"/>
        <v>0</v>
      </c>
      <c r="EQ52" s="843"/>
      <c r="ER52" s="2537"/>
      <c r="ES52" s="840">
        <f t="shared" si="91"/>
        <v>0</v>
      </c>
      <c r="ET52" s="843"/>
      <c r="EU52" s="2537"/>
      <c r="EV52" s="1497"/>
      <c r="EW52" s="1683"/>
      <c r="EX52" s="2562">
        <f t="shared" si="92"/>
        <v>19</v>
      </c>
      <c r="EY52" s="2533"/>
      <c r="EZ52" s="2561"/>
      <c r="FA52" s="1324">
        <f t="shared" si="10"/>
        <v>0</v>
      </c>
      <c r="FB52" s="2629">
        <f t="shared" si="93"/>
        <v>0</v>
      </c>
      <c r="FC52" s="274"/>
      <c r="FD52" s="2626">
        <f t="shared" si="11"/>
        <v>0</v>
      </c>
      <c r="FE52" s="2626">
        <f t="shared" si="12"/>
        <v>0</v>
      </c>
      <c r="FF52" s="274"/>
      <c r="FG52" s="2616">
        <f t="shared" si="94"/>
        <v>0</v>
      </c>
      <c r="FH52" s="2616">
        <f t="shared" si="95"/>
        <v>0</v>
      </c>
      <c r="FI52" s="2616">
        <f t="shared" si="96"/>
        <v>0</v>
      </c>
      <c r="FJ52" s="2610" t="s">
        <v>5</v>
      </c>
      <c r="FK52" s="2616">
        <f t="shared" si="97"/>
        <v>0</v>
      </c>
      <c r="FL52" s="2616">
        <f t="shared" si="98"/>
        <v>0</v>
      </c>
      <c r="FM52" s="2616">
        <f t="shared" si="99"/>
        <v>0</v>
      </c>
      <c r="FN52" s="2622">
        <f t="shared" si="100"/>
        <v>0</v>
      </c>
      <c r="FO52" s="2615">
        <f t="shared" si="101"/>
        <v>0</v>
      </c>
      <c r="FP52" s="2624">
        <f t="shared" si="102"/>
        <v>0</v>
      </c>
      <c r="FQ52" s="2622">
        <f t="shared" si="103"/>
        <v>0</v>
      </c>
      <c r="FR52" s="2624">
        <f t="shared" si="104"/>
        <v>0</v>
      </c>
      <c r="FS52" s="2611" t="s">
        <v>5</v>
      </c>
      <c r="FT52" s="2616">
        <f t="shared" si="105"/>
        <v>0</v>
      </c>
      <c r="FU52" s="2622">
        <f t="shared" si="129"/>
        <v>0</v>
      </c>
      <c r="FV52" s="2616">
        <f t="shared" si="106"/>
        <v>0</v>
      </c>
      <c r="FW52" s="2612" t="s">
        <v>5</v>
      </c>
      <c r="FX52" s="2616">
        <f t="shared" si="51"/>
        <v>0</v>
      </c>
      <c r="FY52" s="2616">
        <f t="shared" si="107"/>
        <v>0</v>
      </c>
      <c r="FZ52" s="2613" t="s">
        <v>5</v>
      </c>
      <c r="GA52" s="2616">
        <f t="shared" ref="GA52" si="138">FY52-FX52</f>
        <v>0</v>
      </c>
      <c r="GB52" s="2619">
        <f t="shared" si="130"/>
        <v>0</v>
      </c>
      <c r="GC52" s="2620">
        <f t="shared" si="108"/>
        <v>0</v>
      </c>
      <c r="GD52" s="2614"/>
      <c r="GE52" s="3195">
        <f t="shared" si="16"/>
        <v>0</v>
      </c>
      <c r="GF52" s="3195">
        <f t="shared" si="17"/>
        <v>0</v>
      </c>
      <c r="GG52" s="3193" t="str">
        <f t="shared" si="18"/>
        <v>X</v>
      </c>
      <c r="GH52" s="2531"/>
      <c r="GI52" s="3189" t="str">
        <f t="shared" si="19"/>
        <v/>
      </c>
      <c r="GJ52" s="2598"/>
      <c r="GK52" s="3173">
        <f t="shared" si="20"/>
        <v>0</v>
      </c>
      <c r="GL52" s="3173">
        <f t="shared" si="21"/>
        <v>0</v>
      </c>
      <c r="GM52" s="3173">
        <f t="shared" si="22"/>
        <v>0</v>
      </c>
      <c r="GN52" s="3174">
        <f t="shared" si="23"/>
        <v>0</v>
      </c>
      <c r="GO52" s="3174">
        <f t="shared" si="24"/>
        <v>0</v>
      </c>
      <c r="GP52" s="3175">
        <f t="shared" si="25"/>
        <v>0</v>
      </c>
      <c r="GQ52" s="3176">
        <f t="shared" si="26"/>
        <v>0</v>
      </c>
      <c r="GR52" s="3177">
        <f t="shared" si="27"/>
        <v>0</v>
      </c>
      <c r="GS52" s="3177">
        <f t="shared" si="28"/>
        <v>0</v>
      </c>
      <c r="GT52" s="3178">
        <f t="shared" si="29"/>
        <v>0</v>
      </c>
      <c r="GU52" s="3179"/>
      <c r="GV52" s="3178">
        <f t="shared" si="30"/>
        <v>0</v>
      </c>
      <c r="GW52" s="3177">
        <f t="shared" si="31"/>
        <v>0</v>
      </c>
      <c r="GX52" s="3180"/>
      <c r="GY52" s="3177">
        <f t="shared" si="32"/>
        <v>0</v>
      </c>
      <c r="GZ52" s="2593"/>
      <c r="HA52" s="277"/>
      <c r="HB52" s="277"/>
      <c r="HC52" s="277"/>
      <c r="HD52" s="277"/>
      <c r="HE52" s="277"/>
      <c r="HF52" s="277"/>
      <c r="HG52" s="277"/>
      <c r="HH52" s="277"/>
      <c r="HI52" s="277"/>
      <c r="HJ52" s="277"/>
      <c r="HK52" s="277"/>
      <c r="HL52" s="277"/>
      <c r="HM52" s="277"/>
      <c r="HN52" s="277"/>
      <c r="HO52" s="277"/>
    </row>
    <row r="53" spans="1:223" s="272" customFormat="1" ht="18" customHeight="1" x14ac:dyDescent="0.3">
      <c r="A53" s="755"/>
      <c r="B53" s="805">
        <f>SUMIFS('3a Staff Plan'!$T$129:$T$305,'3a Staff Plan'!$DF$129:$DF$305,1,'3a Staff Plan'!$DA$129:$DA$305,1,'3a Staff Plan'!$J$129:$J$305,$FA53)</f>
        <v>0</v>
      </c>
      <c r="C53" s="805">
        <f>SUMIFS('3a Staff Plan'!$U$129:$U$305,'3a Staff Plan'!$DF$129:$DF$305,1,'3a Staff Plan'!$DA$129:$DA$305,1,'3a Staff Plan'!$J$129:$J$305,$FA53)</f>
        <v>0</v>
      </c>
      <c r="D53" s="805">
        <f>SUMIFS('3a Staff Plan'!$Z$129:$Z$305,'3a Staff Plan'!$DF$129:$DF$305,1,'3a Staff Plan'!$DA$129:$DA$305,1,'3a Staff Plan'!$J$129:$J$305,$FA53)</f>
        <v>0</v>
      </c>
      <c r="E53" s="805">
        <f>SUMIFS('3a Staff Plan'!$Y$129:$Y$305,'3a Staff Plan'!$DF$129:$DF$305,1,'3a Staff Plan'!$DA$129:$DA$305,1,'3a Staff Plan'!$J$129:$J$305,$FA53)</f>
        <v>0</v>
      </c>
      <c r="F53" s="805">
        <f>SUMIFS('3a Staff Plan'!$X$129:$X$305,'3a Staff Plan'!$DF$129:$DF$305,1,'3a Staff Plan'!$DA$129:$DA$305,1,'3a Staff Plan'!$AG$129:$AG$305,1,'3a Staff Plan'!$J$129:$J$305,$FA53)</f>
        <v>0</v>
      </c>
      <c r="G53" s="805">
        <f>IF($G$24=0,0,SUMIFS('3a Staff Plan'!$W$129:$W$305,'3a Staff Plan'!$DF$129:$DF$305,1,'3a Staff Plan'!$DA$129:$DA$305,1,'3a Staff Plan'!$J$129:$J$305,$FA53))</f>
        <v>0</v>
      </c>
      <c r="H53" s="795">
        <f t="shared" si="52"/>
        <v>0</v>
      </c>
      <c r="I53" s="805">
        <f>SUMIFS('3a Staff Plan'!$V$129:$V$305,'3a Staff Plan'!$DF$129:$DF$305,1,'3a Staff Plan'!$DA$129:$DA$305,1,'3a Staff Plan'!$J$129:$J$305,$FA53)</f>
        <v>0</v>
      </c>
      <c r="J53" s="805">
        <f>SUMIFS('3a Staff Plan'!$AB$129:$AB$305,'3a Staff Plan'!$DF$129:$DF$305,1,'3a Staff Plan'!$DA$129:$DA$305,1,'3a Staff Plan'!$J$129:$J$305,$FA53)</f>
        <v>0</v>
      </c>
      <c r="K53" s="805">
        <f>SUMIFS('3a Staff Plan'!$AA$129:$AA$305,'3a Staff Plan'!$DF$129:$DF$305,1,'3a Staff Plan'!$DA$129:$DA$305,1,'3a Staff Plan'!$AG$129:$AG$305,1,'3a Staff Plan'!$J$129:$J$305,$FA53)</f>
        <v>0</v>
      </c>
      <c r="L53" s="755"/>
      <c r="M53" s="805">
        <f>SUMIFS('3b Activity Plan'!$T$173:$T$365,'3b Activity Plan'!$CY$173:$CY$365,1,'3b Activity Plan'!$CT$173:$CT$365,1,'3b Activity Plan'!$J$173:$J$365,$FA53)</f>
        <v>0</v>
      </c>
      <c r="N53" s="805">
        <f>SUMIFS('3b Activity Plan'!$U$173:$U$365,'3b Activity Plan'!$CY$173:$CY$365,1,'3b Activity Plan'!$CT$173:$CT$365,1,'3b Activity Plan'!$J$173:$J$365,$FA53)</f>
        <v>0</v>
      </c>
      <c r="O53" s="805">
        <f>SUMIFS('3b Activity Plan'!$Z$173:$Z$365,'3b Activity Plan'!$CY$173:$CY$365,1,'3b Activity Plan'!$CT$173:$CT$365,1,'3b Activity Plan'!$J$173:$J$365,$FA53)</f>
        <v>0</v>
      </c>
      <c r="P53" s="805">
        <f>SUMIFS('3b Activity Plan'!$Y$173:$Y$365,'3b Activity Plan'!$CY$173:$CY$365,1,'3b Activity Plan'!$CT$173:$CT$365,1,'3b Activity Plan'!$J$173:$J$365,$FA53)</f>
        <v>0</v>
      </c>
      <c r="Q53" s="805">
        <f>SUMIFS('3b Activity Plan'!$X$173:$X$365,'3b Activity Plan'!$CY$173:$CY$365,1,'3b Activity Plan'!$CT$173:$CT$365,1,'3b Activity Plan'!$J$173:$J$365,$FA53)</f>
        <v>0</v>
      </c>
      <c r="R53" s="805">
        <f>IF($R$24=0,0,SUMIFS('3b Activity Plan'!$W$173:$W$365,'3b Activity Plan'!$CY$173:$CY$365,1,'3b Activity Plan'!$CT$173:$CT$365,1,'3b Activity Plan'!$J$173:$J$365,$FA53))</f>
        <v>0</v>
      </c>
      <c r="S53" s="795">
        <f t="shared" si="53"/>
        <v>0</v>
      </c>
      <c r="T53" s="805">
        <f>SUMIFS('3b Activity Plan'!$V$173:$V$365,'3b Activity Plan'!$CY$173:$CY$365,1,'3b Activity Plan'!$CT$173:$CT$365,1,'3b Activity Plan'!$J$173:$J$365,$FA53)</f>
        <v>0</v>
      </c>
      <c r="U53" s="805">
        <f>SUMIFS('3b Activity Plan'!$AB$173:$AB$365,'3b Activity Plan'!$CY$173:$CY$365,1,'3b Activity Plan'!$CT$173:$CT$365,1,'3b Activity Plan'!$J$173:$J$365,$FA53)</f>
        <v>0</v>
      </c>
      <c r="V53" s="805">
        <f>SUMIFS('3b Activity Plan'!$AA$173:$AA$365,'3b Activity Plan'!$CY$173:$CY$365,1,'3b Activity Plan'!$CT$173:$CT$365,1,'3b Activity Plan'!$J$173:$J$365,$FA53)</f>
        <v>0</v>
      </c>
      <c r="W53" s="755"/>
      <c r="X53" s="2641">
        <f>SUMIFS('3b Activity Plan'!$FU$173:$FU$365,'3b Activity Plan'!$J$173:$J$365,$FA53)</f>
        <v>0</v>
      </c>
      <c r="Y53" s="2641">
        <f>SUMIFS('3b Activity Plan'!$FW$173:$FW$365,'3b Activity Plan'!$J$173:$J$365,$FA53)</f>
        <v>0</v>
      </c>
      <c r="Z53" s="2639">
        <f t="shared" si="132"/>
        <v>0</v>
      </c>
      <c r="AA53" s="755"/>
      <c r="AB53" s="761">
        <f>_xlfn.MINIFS('3a Staff Plan'!$EB$129:$EB$304,'3a Staff Plan'!$DF$129:$DF$304,1,'3a Staff Plan'!$J$129:$J$304,FA53)</f>
        <v>0</v>
      </c>
      <c r="AC53" s="761">
        <f>_xlfn.MAXIFS('3a Staff Plan'!$EC$129:$EC$304,'3a Staff Plan'!$DF$129:$DF$304,1,'3a Staff Plan'!$J$129:$J$304,FA53)</f>
        <v>0</v>
      </c>
      <c r="AD53" s="755"/>
      <c r="AE53" s="761">
        <f>_xlfn.MINIFS('3b Activity Plan'!$GN$173:$GN$365,'3b Activity Plan'!$CY$173:$CY$365,1,'3b Activity Plan'!$J$173:$J$365,$FA53)</f>
        <v>0</v>
      </c>
      <c r="AF53" s="761">
        <f>_xlfn.MAXIFS('3b Activity Plan'!$GO$173:$GO$365,'3b Activity Plan'!$CY$173:$CY$365,1,'3b Activity Plan'!$J$173:$J$365,$FA53)</f>
        <v>0</v>
      </c>
      <c r="AG53" s="755"/>
      <c r="AH53" s="761">
        <f t="shared" si="54"/>
        <v>0</v>
      </c>
      <c r="AI53" s="761">
        <f t="shared" si="55"/>
        <v>0</v>
      </c>
      <c r="AJ53" s="755"/>
      <c r="AK53" s="761">
        <f t="shared" si="56"/>
        <v>0</v>
      </c>
      <c r="AL53" s="761">
        <f t="shared" si="57"/>
        <v>0</v>
      </c>
      <c r="AM53" s="776">
        <f t="shared" si="58"/>
        <v>0</v>
      </c>
      <c r="AN53" s="755"/>
      <c r="AO53" s="748">
        <f t="shared" si="59"/>
        <v>0</v>
      </c>
      <c r="AP53" s="748">
        <f t="shared" si="60"/>
        <v>0</v>
      </c>
      <c r="AQ53" s="748">
        <f t="shared" si="61"/>
        <v>0</v>
      </c>
      <c r="AR53" s="748">
        <f t="shared" si="62"/>
        <v>0</v>
      </c>
      <c r="AS53" s="748">
        <f t="shared" si="63"/>
        <v>0</v>
      </c>
      <c r="AT53" s="748">
        <f t="shared" si="64"/>
        <v>0</v>
      </c>
      <c r="AU53" s="748">
        <f t="shared" si="65"/>
        <v>0</v>
      </c>
      <c r="AV53" s="748">
        <f>IFERROR(INDEX('IPCS Data'!$R$8:$R$109,MATCH(EJ53,'IPCS Data'!$O$8:$O$109,0)),0)</f>
        <v>0</v>
      </c>
      <c r="AW53" s="755"/>
      <c r="AX53" s="499">
        <f>IFERROR(INDEX('IPCS Data'!$P$18:$P$110,MATCH(EK53,'IPCS Data'!$Q$18:$Q$110,0)),0)</f>
        <v>0</v>
      </c>
      <c r="AY53" s="1950" t="str">
        <f t="shared" si="110"/>
        <v/>
      </c>
      <c r="AZ53" s="755"/>
      <c r="BA53" s="753" t="str">
        <f>IFERROR(IF(MATCH(EJ53,'IPCS Data'!$O$8:$O$110,0)&gt;=25,"L","N"),"N")</f>
        <v>N</v>
      </c>
      <c r="BB53" s="774"/>
      <c r="BC53" s="753" t="str">
        <f t="shared" si="111"/>
        <v>N</v>
      </c>
      <c r="BD53" s="753" t="str">
        <f t="shared" si="39"/>
        <v>Non-Labor</v>
      </c>
      <c r="BE53" s="755"/>
      <c r="BF53" s="753" t="str">
        <f t="shared" si="112"/>
        <v>B23672.05</v>
      </c>
      <c r="BG53" s="753" t="str">
        <f t="shared" si="2"/>
        <v>0.0.0</v>
      </c>
      <c r="BH53" s="753">
        <f t="shared" si="66"/>
        <v>0</v>
      </c>
      <c r="BI53" s="753">
        <f t="shared" si="3"/>
        <v>0</v>
      </c>
      <c r="BJ53" s="753">
        <f t="shared" si="113"/>
        <v>0</v>
      </c>
      <c r="BK53" s="753">
        <f t="shared" si="40"/>
        <v>0</v>
      </c>
      <c r="BL53" s="753" t="b">
        <f t="shared" si="131"/>
        <v>1</v>
      </c>
      <c r="BM53" s="755"/>
      <c r="BN53" s="719">
        <f t="shared" si="67"/>
        <v>0</v>
      </c>
      <c r="BO53" s="719">
        <f t="shared" si="68"/>
        <v>110</v>
      </c>
      <c r="BP53" s="755"/>
      <c r="BQ53" s="719">
        <f>IF(AND((COUNTIFS('3a Staff Plan'!$J$129:$J$305,FA53)*$B$22)+(COUNTIFS('3b Activity Plan'!$J$173:$J$365,FA53)*$M$22)=0,FB53&gt;0),1,0)</f>
        <v>0</v>
      </c>
      <c r="BR53" s="719">
        <f t="shared" si="114"/>
        <v>0</v>
      </c>
      <c r="BS53" s="719">
        <f t="shared" si="69"/>
        <v>0</v>
      </c>
      <c r="BT53" s="719">
        <f t="shared" si="70"/>
        <v>0</v>
      </c>
      <c r="BU53" s="719">
        <f t="shared" si="71"/>
        <v>0</v>
      </c>
      <c r="BV53" s="719">
        <f t="shared" si="72"/>
        <v>0</v>
      </c>
      <c r="BW53" s="719">
        <f t="shared" si="73"/>
        <v>0</v>
      </c>
      <c r="BX53" s="719">
        <f t="shared" si="74"/>
        <v>0</v>
      </c>
      <c r="BY53" s="719">
        <f t="shared" si="75"/>
        <v>0</v>
      </c>
      <c r="BZ53" s="719">
        <f t="shared" si="115"/>
        <v>0</v>
      </c>
      <c r="CA53" s="719">
        <f t="shared" si="116"/>
        <v>0</v>
      </c>
      <c r="CB53" s="719">
        <f t="shared" si="76"/>
        <v>0</v>
      </c>
      <c r="CC53" s="719"/>
      <c r="CD53" s="719"/>
      <c r="CE53" s="719">
        <f t="shared" si="77"/>
        <v>0</v>
      </c>
      <c r="CF53" s="719">
        <f t="shared" si="117"/>
        <v>0</v>
      </c>
      <c r="CG53" s="719">
        <f t="shared" si="118"/>
        <v>0</v>
      </c>
      <c r="CH53" s="719">
        <f t="shared" si="119"/>
        <v>0</v>
      </c>
      <c r="CI53" s="719">
        <f t="shared" si="120"/>
        <v>0</v>
      </c>
      <c r="CJ53" s="719">
        <f t="shared" si="121"/>
        <v>0</v>
      </c>
      <c r="CK53" s="719">
        <f t="shared" si="122"/>
        <v>0</v>
      </c>
      <c r="CL53" s="719">
        <f t="shared" si="123"/>
        <v>0</v>
      </c>
      <c r="CM53" s="719">
        <f t="shared" si="124"/>
        <v>0</v>
      </c>
      <c r="CN53" s="719">
        <f t="shared" si="125"/>
        <v>0</v>
      </c>
      <c r="CO53" s="719">
        <f t="shared" si="42"/>
        <v>0</v>
      </c>
      <c r="CP53" s="719">
        <f t="shared" si="78"/>
        <v>0</v>
      </c>
      <c r="CQ53" s="719">
        <f t="shared" si="126"/>
        <v>20</v>
      </c>
      <c r="CR53" s="719">
        <f t="shared" si="127"/>
        <v>0</v>
      </c>
      <c r="CS53" s="2526"/>
      <c r="CT53" s="2527">
        <f t="shared" si="128"/>
        <v>25</v>
      </c>
      <c r="CU53" s="2527">
        <f t="shared" si="4"/>
        <v>0</v>
      </c>
      <c r="CV53" s="2527">
        <f t="shared" si="5"/>
        <v>0</v>
      </c>
      <c r="CW53" s="2527">
        <f t="shared" si="43"/>
        <v>0</v>
      </c>
      <c r="CX53" s="755"/>
      <c r="CY53" s="2537"/>
      <c r="CZ53" s="499">
        <f t="shared" si="49"/>
        <v>0</v>
      </c>
      <c r="DA53" s="1107">
        <f t="shared" si="50"/>
        <v>0</v>
      </c>
      <c r="DB53" s="2537"/>
      <c r="DC53" s="499">
        <f t="shared" si="79"/>
        <v>0</v>
      </c>
      <c r="DD53" s="1107">
        <f t="shared" si="80"/>
        <v>0</v>
      </c>
      <c r="DE53" s="2537"/>
      <c r="DF53" s="499">
        <f t="shared" si="81"/>
        <v>0</v>
      </c>
      <c r="DG53" s="1107">
        <f t="shared" si="82"/>
        <v>0</v>
      </c>
      <c r="DH53" s="2537"/>
      <c r="DI53" s="499">
        <f t="shared" si="83"/>
        <v>0</v>
      </c>
      <c r="DJ53" s="1107">
        <f t="shared" si="84"/>
        <v>0</v>
      </c>
      <c r="DK53" s="2537"/>
      <c r="DL53" s="499">
        <f t="shared" si="85"/>
        <v>0</v>
      </c>
      <c r="DM53" s="1107">
        <f t="shared" si="86"/>
        <v>0</v>
      </c>
      <c r="DN53" s="2537"/>
      <c r="DO53" s="499">
        <f t="shared" si="87"/>
        <v>0</v>
      </c>
      <c r="DP53" s="1107">
        <f t="shared" si="88"/>
        <v>0</v>
      </c>
      <c r="DQ53" s="2537"/>
      <c r="DR53" s="2559"/>
      <c r="DS53" s="499">
        <f t="shared" si="6"/>
        <v>0</v>
      </c>
      <c r="DT53" s="1106">
        <f t="shared" si="7"/>
        <v>0</v>
      </c>
      <c r="DU53" s="2537"/>
      <c r="DV53" s="2559"/>
      <c r="DW53" s="2312">
        <f t="shared" si="8"/>
        <v>0</v>
      </c>
      <c r="DX53" s="1106">
        <f t="shared" si="9"/>
        <v>0</v>
      </c>
      <c r="DY53" s="2572"/>
      <c r="DZ53" s="2537"/>
      <c r="EA53" s="2537"/>
      <c r="EB53" s="2577" t="str">
        <f t="shared" si="133"/>
        <v>05</v>
      </c>
      <c r="EC53" s="2570"/>
      <c r="ED53" s="436">
        <f>IFERROR(INDEX('IPCS Data'!$H$8:$H$30,MATCH(EE53,'IPCS Data'!$I$8:$I$30,0)),0)</f>
        <v>0</v>
      </c>
      <c r="EE53" s="3072"/>
      <c r="EF53" s="2570"/>
      <c r="EG53" s="499">
        <f>IFERROR(INDEX('IPCS Data'!$L$8:$L$27,MATCH(EH53,'IPCS Data'!$M$8:$M$27,0)),0)</f>
        <v>0</v>
      </c>
      <c r="EH53" s="718"/>
      <c r="EI53" s="2578" t="s">
        <v>5</v>
      </c>
      <c r="EJ53" s="748">
        <f>IFERROR(INDEX('IPCS Data'!$O$8:$O$110,MATCH(EK53,'IPCS Data'!$Q$8:$Q$110,0)),0)</f>
        <v>0</v>
      </c>
      <c r="EK53" s="437"/>
      <c r="EL53" s="2578"/>
      <c r="EM53" s="840">
        <f t="shared" si="89"/>
        <v>0</v>
      </c>
      <c r="EN53" s="841"/>
      <c r="EO53" s="2537"/>
      <c r="EP53" s="842">
        <f t="shared" si="90"/>
        <v>0</v>
      </c>
      <c r="EQ53" s="843"/>
      <c r="ER53" s="2537"/>
      <c r="ES53" s="840">
        <f t="shared" si="91"/>
        <v>0</v>
      </c>
      <c r="ET53" s="843"/>
      <c r="EU53" s="2537"/>
      <c r="EV53" s="1497"/>
      <c r="EW53" s="1683"/>
      <c r="EX53" s="2562">
        <f t="shared" si="92"/>
        <v>20</v>
      </c>
      <c r="EY53" s="2533"/>
      <c r="EZ53" s="2561"/>
      <c r="FA53" s="1324">
        <f t="shared" si="10"/>
        <v>0</v>
      </c>
      <c r="FB53" s="2629">
        <f t="shared" si="93"/>
        <v>0</v>
      </c>
      <c r="FC53" s="274"/>
      <c r="FD53" s="2626">
        <f t="shared" si="11"/>
        <v>0</v>
      </c>
      <c r="FE53" s="2626">
        <f t="shared" si="12"/>
        <v>0</v>
      </c>
      <c r="FF53" s="274"/>
      <c r="FG53" s="2616">
        <f t="shared" si="94"/>
        <v>0</v>
      </c>
      <c r="FH53" s="2616">
        <f t="shared" si="95"/>
        <v>0</v>
      </c>
      <c r="FI53" s="2616">
        <f t="shared" si="96"/>
        <v>0</v>
      </c>
      <c r="FJ53" s="2610" t="s">
        <v>5</v>
      </c>
      <c r="FK53" s="2616">
        <f t="shared" si="97"/>
        <v>0</v>
      </c>
      <c r="FL53" s="2616">
        <f t="shared" si="98"/>
        <v>0</v>
      </c>
      <c r="FM53" s="2616">
        <f t="shared" si="99"/>
        <v>0</v>
      </c>
      <c r="FN53" s="2622">
        <f t="shared" si="100"/>
        <v>0</v>
      </c>
      <c r="FO53" s="2615">
        <f t="shared" si="101"/>
        <v>0</v>
      </c>
      <c r="FP53" s="2624">
        <f t="shared" si="102"/>
        <v>0</v>
      </c>
      <c r="FQ53" s="2622">
        <f t="shared" si="103"/>
        <v>0</v>
      </c>
      <c r="FR53" s="2624">
        <f t="shared" si="104"/>
        <v>0</v>
      </c>
      <c r="FS53" s="2611" t="s">
        <v>5</v>
      </c>
      <c r="FT53" s="2616">
        <f t="shared" si="105"/>
        <v>0</v>
      </c>
      <c r="FU53" s="2622">
        <f t="shared" si="129"/>
        <v>0</v>
      </c>
      <c r="FV53" s="2616">
        <f t="shared" si="106"/>
        <v>0</v>
      </c>
      <c r="FW53" s="2612" t="s">
        <v>5</v>
      </c>
      <c r="FX53" s="2616">
        <f t="shared" si="51"/>
        <v>0</v>
      </c>
      <c r="FY53" s="2616">
        <f t="shared" si="107"/>
        <v>0</v>
      </c>
      <c r="FZ53" s="2613" t="s">
        <v>5</v>
      </c>
      <c r="GA53" s="2616">
        <f t="shared" si="48"/>
        <v>0</v>
      </c>
      <c r="GB53" s="2619">
        <f t="shared" ref="GB53:GB56" si="139">IFERROR(GA53/FY53,0)</f>
        <v>0</v>
      </c>
      <c r="GC53" s="2620">
        <f t="shared" si="108"/>
        <v>0</v>
      </c>
      <c r="GD53" s="2614"/>
      <c r="GE53" s="3195">
        <f t="shared" si="16"/>
        <v>0</v>
      </c>
      <c r="GF53" s="3195">
        <f t="shared" si="17"/>
        <v>0</v>
      </c>
      <c r="GG53" s="3193" t="str">
        <f t="shared" si="18"/>
        <v>X</v>
      </c>
      <c r="GH53" s="2531"/>
      <c r="GI53" s="3189" t="str">
        <f t="shared" si="19"/>
        <v/>
      </c>
      <c r="GJ53" s="2598"/>
      <c r="GK53" s="3173">
        <f t="shared" si="20"/>
        <v>0</v>
      </c>
      <c r="GL53" s="3173">
        <f t="shared" si="21"/>
        <v>0</v>
      </c>
      <c r="GM53" s="3173">
        <f t="shared" si="22"/>
        <v>0</v>
      </c>
      <c r="GN53" s="3174">
        <f t="shared" si="23"/>
        <v>0</v>
      </c>
      <c r="GO53" s="3174">
        <f t="shared" si="24"/>
        <v>0</v>
      </c>
      <c r="GP53" s="3175">
        <f t="shared" si="25"/>
        <v>0</v>
      </c>
      <c r="GQ53" s="3176">
        <f t="shared" si="26"/>
        <v>0</v>
      </c>
      <c r="GR53" s="3177">
        <f t="shared" si="27"/>
        <v>0</v>
      </c>
      <c r="GS53" s="3177">
        <f t="shared" si="28"/>
        <v>0</v>
      </c>
      <c r="GT53" s="3178">
        <f t="shared" si="29"/>
        <v>0</v>
      </c>
      <c r="GU53" s="3179"/>
      <c r="GV53" s="3178">
        <f t="shared" si="30"/>
        <v>0</v>
      </c>
      <c r="GW53" s="3177">
        <f t="shared" si="31"/>
        <v>0</v>
      </c>
      <c r="GX53" s="3180"/>
      <c r="GY53" s="3177">
        <f t="shared" si="32"/>
        <v>0</v>
      </c>
      <c r="GZ53" s="2593"/>
      <c r="HA53" s="277"/>
      <c r="HB53" s="277"/>
      <c r="HC53" s="277"/>
      <c r="HD53" s="277"/>
      <c r="HE53" s="277"/>
      <c r="HF53" s="277"/>
      <c r="HG53" s="277"/>
      <c r="HH53" s="277"/>
      <c r="HI53" s="277"/>
      <c r="HJ53" s="277"/>
      <c r="HK53" s="277"/>
      <c r="HL53" s="277"/>
      <c r="HM53" s="277"/>
      <c r="HN53" s="277"/>
      <c r="HO53" s="277"/>
    </row>
    <row r="54" spans="1:223" s="272" customFormat="1" ht="18" customHeight="1" x14ac:dyDescent="0.3">
      <c r="A54" s="755"/>
      <c r="B54" s="805">
        <f>SUMIFS('3a Staff Plan'!$T$129:$T$305,'3a Staff Plan'!$DF$129:$DF$305,1,'3a Staff Plan'!$DA$129:$DA$305,1,'3a Staff Plan'!$J$129:$J$305,$FA54)</f>
        <v>0</v>
      </c>
      <c r="C54" s="805">
        <f>SUMIFS('3a Staff Plan'!$U$129:$U$305,'3a Staff Plan'!$DF$129:$DF$305,1,'3a Staff Plan'!$DA$129:$DA$305,1,'3a Staff Plan'!$J$129:$J$305,$FA54)</f>
        <v>0</v>
      </c>
      <c r="D54" s="805">
        <f>SUMIFS('3a Staff Plan'!$Z$129:$Z$305,'3a Staff Plan'!$DF$129:$DF$305,1,'3a Staff Plan'!$DA$129:$DA$305,1,'3a Staff Plan'!$J$129:$J$305,$FA54)</f>
        <v>0</v>
      </c>
      <c r="E54" s="805">
        <f>SUMIFS('3a Staff Plan'!$Y$129:$Y$305,'3a Staff Plan'!$DF$129:$DF$305,1,'3a Staff Plan'!$DA$129:$DA$305,1,'3a Staff Plan'!$J$129:$J$305,$FA54)</f>
        <v>0</v>
      </c>
      <c r="F54" s="805">
        <f>SUMIFS('3a Staff Plan'!$X$129:$X$305,'3a Staff Plan'!$DF$129:$DF$305,1,'3a Staff Plan'!$DA$129:$DA$305,1,'3a Staff Plan'!$AG$129:$AG$305,1,'3a Staff Plan'!$J$129:$J$305,$FA54)</f>
        <v>0</v>
      </c>
      <c r="G54" s="805">
        <f>IF($G$24=0,0,SUMIFS('3a Staff Plan'!$W$129:$W$305,'3a Staff Plan'!$DF$129:$DF$305,1,'3a Staff Plan'!$DA$129:$DA$305,1,'3a Staff Plan'!$J$129:$J$305,$FA54))</f>
        <v>0</v>
      </c>
      <c r="H54" s="795">
        <f t="shared" si="52"/>
        <v>0</v>
      </c>
      <c r="I54" s="805">
        <f>SUMIFS('3a Staff Plan'!$V$129:$V$305,'3a Staff Plan'!$DF$129:$DF$305,1,'3a Staff Plan'!$DA$129:$DA$305,1,'3a Staff Plan'!$J$129:$J$305,$FA54)</f>
        <v>0</v>
      </c>
      <c r="J54" s="805">
        <f>SUMIFS('3a Staff Plan'!$AB$129:$AB$305,'3a Staff Plan'!$DF$129:$DF$305,1,'3a Staff Plan'!$DA$129:$DA$305,1,'3a Staff Plan'!$J$129:$J$305,$FA54)</f>
        <v>0</v>
      </c>
      <c r="K54" s="805">
        <f>SUMIFS('3a Staff Plan'!$AA$129:$AA$305,'3a Staff Plan'!$DF$129:$DF$305,1,'3a Staff Plan'!$DA$129:$DA$305,1,'3a Staff Plan'!$AG$129:$AG$305,1,'3a Staff Plan'!$J$129:$J$305,$FA54)</f>
        <v>0</v>
      </c>
      <c r="L54" s="755"/>
      <c r="M54" s="805">
        <f>SUMIFS('3b Activity Plan'!$T$173:$T$365,'3b Activity Plan'!$CY$173:$CY$365,1,'3b Activity Plan'!$CT$173:$CT$365,1,'3b Activity Plan'!$J$173:$J$365,$FA54)</f>
        <v>0</v>
      </c>
      <c r="N54" s="805">
        <f>SUMIFS('3b Activity Plan'!$U$173:$U$365,'3b Activity Plan'!$CY$173:$CY$365,1,'3b Activity Plan'!$CT$173:$CT$365,1,'3b Activity Plan'!$J$173:$J$365,$FA54)</f>
        <v>0</v>
      </c>
      <c r="O54" s="805">
        <f>SUMIFS('3b Activity Plan'!$Z$173:$Z$365,'3b Activity Plan'!$CY$173:$CY$365,1,'3b Activity Plan'!$CT$173:$CT$365,1,'3b Activity Plan'!$J$173:$J$365,$FA54)</f>
        <v>0</v>
      </c>
      <c r="P54" s="805">
        <f>SUMIFS('3b Activity Plan'!$Y$173:$Y$365,'3b Activity Plan'!$CY$173:$CY$365,1,'3b Activity Plan'!$CT$173:$CT$365,1,'3b Activity Plan'!$J$173:$J$365,$FA54)</f>
        <v>0</v>
      </c>
      <c r="Q54" s="805">
        <f>SUMIFS('3b Activity Plan'!$X$173:$X$365,'3b Activity Plan'!$CY$173:$CY$365,1,'3b Activity Plan'!$CT$173:$CT$365,1,'3b Activity Plan'!$J$173:$J$365,$FA54)</f>
        <v>0</v>
      </c>
      <c r="R54" s="805">
        <f>IF($R$24=0,0,SUMIFS('3b Activity Plan'!$W$173:$W$365,'3b Activity Plan'!$CY$173:$CY$365,1,'3b Activity Plan'!$CT$173:$CT$365,1,'3b Activity Plan'!$J$173:$J$365,$FA54))</f>
        <v>0</v>
      </c>
      <c r="S54" s="795">
        <f t="shared" si="53"/>
        <v>0</v>
      </c>
      <c r="T54" s="805">
        <f>SUMIFS('3b Activity Plan'!$V$173:$V$365,'3b Activity Plan'!$CY$173:$CY$365,1,'3b Activity Plan'!$CT$173:$CT$365,1,'3b Activity Plan'!$J$173:$J$365,$FA54)</f>
        <v>0</v>
      </c>
      <c r="U54" s="805">
        <f>SUMIFS('3b Activity Plan'!$AB$173:$AB$365,'3b Activity Plan'!$CY$173:$CY$365,1,'3b Activity Plan'!$CT$173:$CT$365,1,'3b Activity Plan'!$J$173:$J$365,$FA54)</f>
        <v>0</v>
      </c>
      <c r="V54" s="805">
        <f>SUMIFS('3b Activity Plan'!$AA$173:$AA$365,'3b Activity Plan'!$CY$173:$CY$365,1,'3b Activity Plan'!$CT$173:$CT$365,1,'3b Activity Plan'!$J$173:$J$365,$FA54)</f>
        <v>0</v>
      </c>
      <c r="W54" s="755"/>
      <c r="X54" s="2641">
        <f>SUMIFS('3b Activity Plan'!$FU$173:$FU$365,'3b Activity Plan'!$J$173:$J$365,$FA54)</f>
        <v>0</v>
      </c>
      <c r="Y54" s="2641">
        <f>SUMIFS('3b Activity Plan'!$FW$173:$FW$365,'3b Activity Plan'!$J$173:$J$365,$FA54)</f>
        <v>0</v>
      </c>
      <c r="Z54" s="2639">
        <f t="shared" si="132"/>
        <v>0</v>
      </c>
      <c r="AA54" s="755"/>
      <c r="AB54" s="761">
        <f>_xlfn.MINIFS('3a Staff Plan'!$EB$129:$EB$304,'3a Staff Plan'!$DF$129:$DF$304,1,'3a Staff Plan'!$J$129:$J$304,FA54)</f>
        <v>0</v>
      </c>
      <c r="AC54" s="761">
        <f>_xlfn.MAXIFS('3a Staff Plan'!$EC$129:$EC$304,'3a Staff Plan'!$DF$129:$DF$304,1,'3a Staff Plan'!$J$129:$J$304,FA54)</f>
        <v>0</v>
      </c>
      <c r="AD54" s="755"/>
      <c r="AE54" s="761">
        <f>_xlfn.MINIFS('3b Activity Plan'!$GN$173:$GN$365,'3b Activity Plan'!$CY$173:$CY$365,1,'3b Activity Plan'!$J$173:$J$365,$FA54)</f>
        <v>0</v>
      </c>
      <c r="AF54" s="761">
        <f>_xlfn.MAXIFS('3b Activity Plan'!$GO$173:$GO$365,'3b Activity Plan'!$CY$173:$CY$365,1,'3b Activity Plan'!$J$173:$J$365,$FA54)</f>
        <v>0</v>
      </c>
      <c r="AG54" s="755"/>
      <c r="AH54" s="761">
        <f t="shared" si="54"/>
        <v>0</v>
      </c>
      <c r="AI54" s="761">
        <f t="shared" si="55"/>
        <v>0</v>
      </c>
      <c r="AJ54" s="755"/>
      <c r="AK54" s="761">
        <f t="shared" si="56"/>
        <v>0</v>
      </c>
      <c r="AL54" s="761">
        <f t="shared" si="57"/>
        <v>0</v>
      </c>
      <c r="AM54" s="776">
        <f t="shared" si="58"/>
        <v>0</v>
      </c>
      <c r="AN54" s="755"/>
      <c r="AO54" s="748">
        <f t="shared" si="59"/>
        <v>0</v>
      </c>
      <c r="AP54" s="748">
        <f t="shared" si="60"/>
        <v>0</v>
      </c>
      <c r="AQ54" s="748">
        <f t="shared" si="61"/>
        <v>0</v>
      </c>
      <c r="AR54" s="748">
        <f t="shared" si="62"/>
        <v>0</v>
      </c>
      <c r="AS54" s="748">
        <f t="shared" si="63"/>
        <v>0</v>
      </c>
      <c r="AT54" s="748">
        <f t="shared" si="64"/>
        <v>0</v>
      </c>
      <c r="AU54" s="748">
        <f t="shared" si="65"/>
        <v>0</v>
      </c>
      <c r="AV54" s="748">
        <f>IFERROR(INDEX('IPCS Data'!$R$8:$R$109,MATCH(EJ54,'IPCS Data'!$O$8:$O$109,0)),0)</f>
        <v>0</v>
      </c>
      <c r="AW54" s="755"/>
      <c r="AX54" s="499">
        <f>IFERROR(INDEX('IPCS Data'!$P$18:$P$110,MATCH(EK54,'IPCS Data'!$Q$18:$Q$110,0)),0)</f>
        <v>0</v>
      </c>
      <c r="AY54" s="1950" t="str">
        <f t="shared" si="110"/>
        <v/>
      </c>
      <c r="AZ54" s="755"/>
      <c r="BA54" s="753" t="str">
        <f>IFERROR(IF(MATCH(EJ54,'IPCS Data'!$O$8:$O$110,0)&gt;=25,"L","N"),"N")</f>
        <v>N</v>
      </c>
      <c r="BB54" s="774"/>
      <c r="BC54" s="753" t="str">
        <f t="shared" si="111"/>
        <v>N</v>
      </c>
      <c r="BD54" s="753" t="str">
        <f t="shared" si="39"/>
        <v>Non-Labor</v>
      </c>
      <c r="BE54" s="755"/>
      <c r="BF54" s="753" t="str">
        <f t="shared" si="112"/>
        <v>B23672.05</v>
      </c>
      <c r="BG54" s="753" t="str">
        <f t="shared" si="2"/>
        <v>0.0.0</v>
      </c>
      <c r="BH54" s="753">
        <f t="shared" si="66"/>
        <v>0</v>
      </c>
      <c r="BI54" s="753">
        <f t="shared" si="3"/>
        <v>0</v>
      </c>
      <c r="BJ54" s="753">
        <f t="shared" si="113"/>
        <v>0</v>
      </c>
      <c r="BK54" s="753">
        <f t="shared" si="40"/>
        <v>0</v>
      </c>
      <c r="BL54" s="753" t="b">
        <f t="shared" si="131"/>
        <v>1</v>
      </c>
      <c r="BM54" s="755"/>
      <c r="BN54" s="719">
        <f t="shared" si="67"/>
        <v>0</v>
      </c>
      <c r="BO54" s="719">
        <f t="shared" si="68"/>
        <v>110</v>
      </c>
      <c r="BP54" s="755"/>
      <c r="BQ54" s="719">
        <f>IF(AND((COUNTIFS('3a Staff Plan'!$J$129:$J$305,FA54)*$B$22)+(COUNTIFS('3b Activity Plan'!$J$173:$J$365,FA54)*$M$22)=0,FB54&gt;0),1,0)</f>
        <v>0</v>
      </c>
      <c r="BR54" s="719">
        <f t="shared" si="114"/>
        <v>0</v>
      </c>
      <c r="BS54" s="719">
        <f t="shared" si="69"/>
        <v>0</v>
      </c>
      <c r="BT54" s="719">
        <f t="shared" si="70"/>
        <v>0</v>
      </c>
      <c r="BU54" s="719">
        <f t="shared" si="71"/>
        <v>0</v>
      </c>
      <c r="BV54" s="719">
        <f t="shared" si="72"/>
        <v>0</v>
      </c>
      <c r="BW54" s="719">
        <f t="shared" si="73"/>
        <v>0</v>
      </c>
      <c r="BX54" s="719">
        <f t="shared" si="74"/>
        <v>0</v>
      </c>
      <c r="BY54" s="719">
        <f t="shared" si="75"/>
        <v>0</v>
      </c>
      <c r="BZ54" s="719">
        <f t="shared" si="115"/>
        <v>0</v>
      </c>
      <c r="CA54" s="719">
        <f t="shared" si="116"/>
        <v>0</v>
      </c>
      <c r="CB54" s="719">
        <f t="shared" si="76"/>
        <v>0</v>
      </c>
      <c r="CC54" s="719"/>
      <c r="CD54" s="719"/>
      <c r="CE54" s="719">
        <f t="shared" si="77"/>
        <v>0</v>
      </c>
      <c r="CF54" s="719">
        <f t="shared" si="117"/>
        <v>0</v>
      </c>
      <c r="CG54" s="719">
        <f t="shared" si="118"/>
        <v>0</v>
      </c>
      <c r="CH54" s="719">
        <f t="shared" si="119"/>
        <v>0</v>
      </c>
      <c r="CI54" s="719">
        <f t="shared" si="120"/>
        <v>0</v>
      </c>
      <c r="CJ54" s="719">
        <f t="shared" si="121"/>
        <v>0</v>
      </c>
      <c r="CK54" s="719">
        <f t="shared" si="122"/>
        <v>0</v>
      </c>
      <c r="CL54" s="719">
        <f t="shared" si="123"/>
        <v>0</v>
      </c>
      <c r="CM54" s="719">
        <f t="shared" si="124"/>
        <v>0</v>
      </c>
      <c r="CN54" s="719">
        <f t="shared" si="125"/>
        <v>0</v>
      </c>
      <c r="CO54" s="719">
        <f t="shared" si="42"/>
        <v>0</v>
      </c>
      <c r="CP54" s="719">
        <f t="shared" si="78"/>
        <v>0</v>
      </c>
      <c r="CQ54" s="719">
        <f t="shared" si="126"/>
        <v>21</v>
      </c>
      <c r="CR54" s="719">
        <f t="shared" si="127"/>
        <v>0</v>
      </c>
      <c r="CS54" s="2526"/>
      <c r="CT54" s="2527">
        <f t="shared" si="128"/>
        <v>26</v>
      </c>
      <c r="CU54" s="2527">
        <f t="shared" si="4"/>
        <v>0</v>
      </c>
      <c r="CV54" s="2527">
        <f t="shared" si="5"/>
        <v>0</v>
      </c>
      <c r="CW54" s="2527">
        <f t="shared" si="43"/>
        <v>0</v>
      </c>
      <c r="CX54" s="755"/>
      <c r="CY54" s="2537"/>
      <c r="CZ54" s="499">
        <f t="shared" si="49"/>
        <v>0</v>
      </c>
      <c r="DA54" s="1107">
        <f t="shared" si="50"/>
        <v>0</v>
      </c>
      <c r="DB54" s="2537"/>
      <c r="DC54" s="499">
        <f t="shared" si="79"/>
        <v>0</v>
      </c>
      <c r="DD54" s="1107">
        <f t="shared" si="80"/>
        <v>0</v>
      </c>
      <c r="DE54" s="2537"/>
      <c r="DF54" s="499">
        <f t="shared" si="81"/>
        <v>0</v>
      </c>
      <c r="DG54" s="1107">
        <f t="shared" si="82"/>
        <v>0</v>
      </c>
      <c r="DH54" s="2537"/>
      <c r="DI54" s="499">
        <f t="shared" si="83"/>
        <v>0</v>
      </c>
      <c r="DJ54" s="1107">
        <f t="shared" si="84"/>
        <v>0</v>
      </c>
      <c r="DK54" s="2537"/>
      <c r="DL54" s="499">
        <f t="shared" si="85"/>
        <v>0</v>
      </c>
      <c r="DM54" s="1107">
        <f t="shared" si="86"/>
        <v>0</v>
      </c>
      <c r="DN54" s="2537"/>
      <c r="DO54" s="499">
        <f t="shared" si="87"/>
        <v>0</v>
      </c>
      <c r="DP54" s="1107">
        <f t="shared" si="88"/>
        <v>0</v>
      </c>
      <c r="DQ54" s="2537"/>
      <c r="DR54" s="2559"/>
      <c r="DS54" s="499">
        <f t="shared" si="6"/>
        <v>0</v>
      </c>
      <c r="DT54" s="1106">
        <f t="shared" si="7"/>
        <v>0</v>
      </c>
      <c r="DU54" s="2537"/>
      <c r="DV54" s="2559"/>
      <c r="DW54" s="2312">
        <f t="shared" si="8"/>
        <v>0</v>
      </c>
      <c r="DX54" s="1106">
        <f t="shared" si="9"/>
        <v>0</v>
      </c>
      <c r="DY54" s="2572"/>
      <c r="DZ54" s="2537"/>
      <c r="EA54" s="2537"/>
      <c r="EB54" s="2577" t="str">
        <f t="shared" si="133"/>
        <v>05</v>
      </c>
      <c r="EC54" s="2570"/>
      <c r="ED54" s="436">
        <f>IFERROR(INDEX('IPCS Data'!$H$8:$H$30,MATCH(EE54,'IPCS Data'!$I$8:$I$30,0)),0)</f>
        <v>0</v>
      </c>
      <c r="EE54" s="437"/>
      <c r="EF54" s="2570"/>
      <c r="EG54" s="499">
        <f>IFERROR(INDEX('IPCS Data'!$L$8:$L$27,MATCH(EH54,'IPCS Data'!$M$8:$M$27,0)),0)</f>
        <v>0</v>
      </c>
      <c r="EH54" s="718"/>
      <c r="EI54" s="2578" t="s">
        <v>5</v>
      </c>
      <c r="EJ54" s="748">
        <f>IFERROR(INDEX('IPCS Data'!$O$8:$O$110,MATCH(EK54,'IPCS Data'!$Q$8:$Q$110,0)),0)</f>
        <v>0</v>
      </c>
      <c r="EK54" s="437"/>
      <c r="EL54" s="2578"/>
      <c r="EM54" s="840">
        <f t="shared" si="89"/>
        <v>0</v>
      </c>
      <c r="EN54" s="841"/>
      <c r="EO54" s="2537"/>
      <c r="EP54" s="842">
        <f t="shared" si="90"/>
        <v>0</v>
      </c>
      <c r="EQ54" s="843"/>
      <c r="ER54" s="2537"/>
      <c r="ES54" s="840">
        <f t="shared" si="91"/>
        <v>0</v>
      </c>
      <c r="ET54" s="843"/>
      <c r="EU54" s="2537"/>
      <c r="EV54" s="1497"/>
      <c r="EW54" s="1683"/>
      <c r="EX54" s="2562">
        <f t="shared" si="92"/>
        <v>21</v>
      </c>
      <c r="EY54" s="2533"/>
      <c r="EZ54" s="2561"/>
      <c r="FA54" s="1324">
        <f t="shared" si="10"/>
        <v>0</v>
      </c>
      <c r="FB54" s="2629">
        <f t="shared" si="93"/>
        <v>0</v>
      </c>
      <c r="FC54" s="274"/>
      <c r="FD54" s="2626">
        <f t="shared" si="11"/>
        <v>0</v>
      </c>
      <c r="FE54" s="2626">
        <f t="shared" si="12"/>
        <v>0</v>
      </c>
      <c r="FF54" s="274"/>
      <c r="FG54" s="2616">
        <f t="shared" si="94"/>
        <v>0</v>
      </c>
      <c r="FH54" s="2616">
        <f t="shared" si="95"/>
        <v>0</v>
      </c>
      <c r="FI54" s="2616">
        <f t="shared" si="96"/>
        <v>0</v>
      </c>
      <c r="FJ54" s="2610" t="s">
        <v>5</v>
      </c>
      <c r="FK54" s="2616">
        <f t="shared" si="97"/>
        <v>0</v>
      </c>
      <c r="FL54" s="2616">
        <f t="shared" si="98"/>
        <v>0</v>
      </c>
      <c r="FM54" s="2616">
        <f t="shared" si="99"/>
        <v>0</v>
      </c>
      <c r="FN54" s="2622">
        <f t="shared" si="100"/>
        <v>0</v>
      </c>
      <c r="FO54" s="2615">
        <f t="shared" si="101"/>
        <v>0</v>
      </c>
      <c r="FP54" s="2624">
        <f t="shared" si="102"/>
        <v>0</v>
      </c>
      <c r="FQ54" s="2622">
        <f t="shared" si="103"/>
        <v>0</v>
      </c>
      <c r="FR54" s="2624">
        <f t="shared" si="104"/>
        <v>0</v>
      </c>
      <c r="FS54" s="2611" t="s">
        <v>5</v>
      </c>
      <c r="FT54" s="2616">
        <f t="shared" si="105"/>
        <v>0</v>
      </c>
      <c r="FU54" s="2622">
        <f t="shared" si="129"/>
        <v>0</v>
      </c>
      <c r="FV54" s="2616">
        <f t="shared" si="106"/>
        <v>0</v>
      </c>
      <c r="FW54" s="2612" t="s">
        <v>5</v>
      </c>
      <c r="FX54" s="2616">
        <f t="shared" si="51"/>
        <v>0</v>
      </c>
      <c r="FY54" s="2616">
        <f t="shared" si="107"/>
        <v>0</v>
      </c>
      <c r="FZ54" s="2613" t="s">
        <v>5</v>
      </c>
      <c r="GA54" s="2616">
        <f t="shared" si="48"/>
        <v>0</v>
      </c>
      <c r="GB54" s="2619">
        <f t="shared" si="139"/>
        <v>0</v>
      </c>
      <c r="GC54" s="2620">
        <f t="shared" si="108"/>
        <v>0</v>
      </c>
      <c r="GD54" s="2614"/>
      <c r="GE54" s="3195">
        <f t="shared" si="16"/>
        <v>0</v>
      </c>
      <c r="GF54" s="3195">
        <f t="shared" si="17"/>
        <v>0</v>
      </c>
      <c r="GG54" s="3193" t="str">
        <f t="shared" si="18"/>
        <v>X</v>
      </c>
      <c r="GH54" s="2531"/>
      <c r="GI54" s="3189" t="str">
        <f t="shared" si="19"/>
        <v/>
      </c>
      <c r="GJ54" s="2598"/>
      <c r="GK54" s="3173">
        <f t="shared" si="20"/>
        <v>0</v>
      </c>
      <c r="GL54" s="3173">
        <f t="shared" si="21"/>
        <v>0</v>
      </c>
      <c r="GM54" s="3173">
        <f t="shared" si="22"/>
        <v>0</v>
      </c>
      <c r="GN54" s="3174">
        <f t="shared" si="23"/>
        <v>0</v>
      </c>
      <c r="GO54" s="3174">
        <f t="shared" si="24"/>
        <v>0</v>
      </c>
      <c r="GP54" s="3175">
        <f t="shared" si="25"/>
        <v>0</v>
      </c>
      <c r="GQ54" s="3176">
        <f t="shared" si="26"/>
        <v>0</v>
      </c>
      <c r="GR54" s="3177">
        <f t="shared" si="27"/>
        <v>0</v>
      </c>
      <c r="GS54" s="3177">
        <f t="shared" si="28"/>
        <v>0</v>
      </c>
      <c r="GT54" s="3178">
        <f t="shared" si="29"/>
        <v>0</v>
      </c>
      <c r="GU54" s="3179"/>
      <c r="GV54" s="3178">
        <f t="shared" si="30"/>
        <v>0</v>
      </c>
      <c r="GW54" s="3177">
        <f t="shared" si="31"/>
        <v>0</v>
      </c>
      <c r="GX54" s="3180"/>
      <c r="GY54" s="3177">
        <f t="shared" si="32"/>
        <v>0</v>
      </c>
      <c r="GZ54" s="2593"/>
      <c r="HA54" s="277"/>
      <c r="HB54" s="277"/>
      <c r="HC54" s="277"/>
      <c r="HD54" s="277"/>
      <c r="HE54" s="277"/>
      <c r="HF54" s="277"/>
      <c r="HG54" s="277"/>
      <c r="HH54" s="277"/>
      <c r="HI54" s="277"/>
      <c r="HJ54" s="277"/>
      <c r="HK54" s="277"/>
      <c r="HL54" s="277"/>
      <c r="HM54" s="277"/>
      <c r="HN54" s="277"/>
      <c r="HO54" s="277"/>
    </row>
    <row r="55" spans="1:223" s="272" customFormat="1" ht="18" customHeight="1" x14ac:dyDescent="0.3">
      <c r="A55" s="755"/>
      <c r="B55" s="805">
        <f>SUMIFS('3a Staff Plan'!$T$129:$T$305,'3a Staff Plan'!$DF$129:$DF$305,1,'3a Staff Plan'!$DA$129:$DA$305,1,'3a Staff Plan'!$J$129:$J$305,$FA55)</f>
        <v>0</v>
      </c>
      <c r="C55" s="805">
        <f>SUMIFS('3a Staff Plan'!$U$129:$U$305,'3a Staff Plan'!$DF$129:$DF$305,1,'3a Staff Plan'!$DA$129:$DA$305,1,'3a Staff Plan'!$J$129:$J$305,$FA55)</f>
        <v>0</v>
      </c>
      <c r="D55" s="805">
        <f>SUMIFS('3a Staff Plan'!$Z$129:$Z$305,'3a Staff Plan'!$DF$129:$DF$305,1,'3a Staff Plan'!$DA$129:$DA$305,1,'3a Staff Plan'!$J$129:$J$305,$FA55)</f>
        <v>0</v>
      </c>
      <c r="E55" s="805">
        <f>SUMIFS('3a Staff Plan'!$Y$129:$Y$305,'3a Staff Plan'!$DF$129:$DF$305,1,'3a Staff Plan'!$DA$129:$DA$305,1,'3a Staff Plan'!$J$129:$J$305,$FA55)</f>
        <v>0</v>
      </c>
      <c r="F55" s="805">
        <f>SUMIFS('3a Staff Plan'!$X$129:$X$305,'3a Staff Plan'!$DF$129:$DF$305,1,'3a Staff Plan'!$DA$129:$DA$305,1,'3a Staff Plan'!$AG$129:$AG$305,1,'3a Staff Plan'!$J$129:$J$305,$FA55)</f>
        <v>0</v>
      </c>
      <c r="G55" s="805">
        <f>IF($G$24=0,0,SUMIFS('3a Staff Plan'!$W$129:$W$305,'3a Staff Plan'!$DF$129:$DF$305,1,'3a Staff Plan'!$DA$129:$DA$305,1,'3a Staff Plan'!$J$129:$J$305,$FA55))</f>
        <v>0</v>
      </c>
      <c r="H55" s="795">
        <f t="shared" si="52"/>
        <v>0</v>
      </c>
      <c r="I55" s="805">
        <f>SUMIFS('3a Staff Plan'!$V$129:$V$305,'3a Staff Plan'!$DF$129:$DF$305,1,'3a Staff Plan'!$DA$129:$DA$305,1,'3a Staff Plan'!$J$129:$J$305,$FA55)</f>
        <v>0</v>
      </c>
      <c r="J55" s="805">
        <f>SUMIFS('3a Staff Plan'!$AB$129:$AB$305,'3a Staff Plan'!$DF$129:$DF$305,1,'3a Staff Plan'!$DA$129:$DA$305,1,'3a Staff Plan'!$J$129:$J$305,$FA55)</f>
        <v>0</v>
      </c>
      <c r="K55" s="805">
        <f>SUMIFS('3a Staff Plan'!$AA$129:$AA$305,'3a Staff Plan'!$DF$129:$DF$305,1,'3a Staff Plan'!$DA$129:$DA$305,1,'3a Staff Plan'!$AG$129:$AG$305,1,'3a Staff Plan'!$J$129:$J$305,$FA55)</f>
        <v>0</v>
      </c>
      <c r="L55" s="755"/>
      <c r="M55" s="805">
        <f>SUMIFS('3b Activity Plan'!$T$173:$T$365,'3b Activity Plan'!$CY$173:$CY$365,1,'3b Activity Plan'!$CT$173:$CT$365,1,'3b Activity Plan'!$J$173:$J$365,$FA55)</f>
        <v>0</v>
      </c>
      <c r="N55" s="805">
        <f>SUMIFS('3b Activity Plan'!$U$173:$U$365,'3b Activity Plan'!$CY$173:$CY$365,1,'3b Activity Plan'!$CT$173:$CT$365,1,'3b Activity Plan'!$J$173:$J$365,$FA55)</f>
        <v>0</v>
      </c>
      <c r="O55" s="805">
        <f>SUMIFS('3b Activity Plan'!$Z$173:$Z$365,'3b Activity Plan'!$CY$173:$CY$365,1,'3b Activity Plan'!$CT$173:$CT$365,1,'3b Activity Plan'!$J$173:$J$365,$FA55)</f>
        <v>0</v>
      </c>
      <c r="P55" s="805">
        <f>SUMIFS('3b Activity Plan'!$Y$173:$Y$365,'3b Activity Plan'!$CY$173:$CY$365,1,'3b Activity Plan'!$CT$173:$CT$365,1,'3b Activity Plan'!$J$173:$J$365,$FA55)</f>
        <v>0</v>
      </c>
      <c r="Q55" s="805">
        <f>SUMIFS('3b Activity Plan'!$X$173:$X$365,'3b Activity Plan'!$CY$173:$CY$365,1,'3b Activity Plan'!$CT$173:$CT$365,1,'3b Activity Plan'!$J$173:$J$365,$FA55)</f>
        <v>0</v>
      </c>
      <c r="R55" s="805">
        <f>IF($R$24=0,0,SUMIFS('3b Activity Plan'!$W$173:$W$365,'3b Activity Plan'!$CY$173:$CY$365,1,'3b Activity Plan'!$CT$173:$CT$365,1,'3b Activity Plan'!$J$173:$J$365,$FA55))</f>
        <v>0</v>
      </c>
      <c r="S55" s="795">
        <f t="shared" si="53"/>
        <v>0</v>
      </c>
      <c r="T55" s="805">
        <f>SUMIFS('3b Activity Plan'!$V$173:$V$365,'3b Activity Plan'!$CY$173:$CY$365,1,'3b Activity Plan'!$CT$173:$CT$365,1,'3b Activity Plan'!$J$173:$J$365,$FA55)</f>
        <v>0</v>
      </c>
      <c r="U55" s="805">
        <f>SUMIFS('3b Activity Plan'!$AB$173:$AB$365,'3b Activity Plan'!$CY$173:$CY$365,1,'3b Activity Plan'!$CT$173:$CT$365,1,'3b Activity Plan'!$J$173:$J$365,$FA55)</f>
        <v>0</v>
      </c>
      <c r="V55" s="805">
        <f>SUMIFS('3b Activity Plan'!$AA$173:$AA$365,'3b Activity Plan'!$CY$173:$CY$365,1,'3b Activity Plan'!$CT$173:$CT$365,1,'3b Activity Plan'!$J$173:$J$365,$FA55)</f>
        <v>0</v>
      </c>
      <c r="W55" s="755"/>
      <c r="X55" s="2641">
        <f>SUMIFS('3b Activity Plan'!$FU$173:$FU$365,'3b Activity Plan'!$J$173:$J$365,$FA55)</f>
        <v>0</v>
      </c>
      <c r="Y55" s="2641">
        <f>SUMIFS('3b Activity Plan'!$FW$173:$FW$365,'3b Activity Plan'!$J$173:$J$365,$FA55)</f>
        <v>0</v>
      </c>
      <c r="Z55" s="2639">
        <f t="shared" si="132"/>
        <v>0</v>
      </c>
      <c r="AA55" s="755"/>
      <c r="AB55" s="761">
        <f>_xlfn.MINIFS('3a Staff Plan'!$EB$129:$EB$304,'3a Staff Plan'!$DF$129:$DF$304,1,'3a Staff Plan'!$J$129:$J$304,FA55)</f>
        <v>0</v>
      </c>
      <c r="AC55" s="761">
        <f>_xlfn.MAXIFS('3a Staff Plan'!$EC$129:$EC$304,'3a Staff Plan'!$DF$129:$DF$304,1,'3a Staff Plan'!$J$129:$J$304,FA55)</f>
        <v>0</v>
      </c>
      <c r="AD55" s="755"/>
      <c r="AE55" s="761">
        <f>_xlfn.MINIFS('3b Activity Plan'!$GN$173:$GN$365,'3b Activity Plan'!$CY$173:$CY$365,1,'3b Activity Plan'!$J$173:$J$365,$FA55)</f>
        <v>0</v>
      </c>
      <c r="AF55" s="761">
        <f>_xlfn.MAXIFS('3b Activity Plan'!$GO$173:$GO$365,'3b Activity Plan'!$CY$173:$CY$365,1,'3b Activity Plan'!$J$173:$J$365,$FA55)</f>
        <v>0</v>
      </c>
      <c r="AG55" s="755"/>
      <c r="AH55" s="761">
        <f t="shared" si="54"/>
        <v>0</v>
      </c>
      <c r="AI55" s="761">
        <f t="shared" si="55"/>
        <v>0</v>
      </c>
      <c r="AJ55" s="755"/>
      <c r="AK55" s="761">
        <f t="shared" si="56"/>
        <v>0</v>
      </c>
      <c r="AL55" s="761">
        <f t="shared" si="57"/>
        <v>0</v>
      </c>
      <c r="AM55" s="776">
        <f t="shared" si="58"/>
        <v>0</v>
      </c>
      <c r="AN55" s="755"/>
      <c r="AO55" s="748">
        <f t="shared" si="59"/>
        <v>0</v>
      </c>
      <c r="AP55" s="748">
        <f t="shared" si="60"/>
        <v>0</v>
      </c>
      <c r="AQ55" s="748">
        <f t="shared" si="61"/>
        <v>0</v>
      </c>
      <c r="AR55" s="748">
        <f t="shared" si="62"/>
        <v>0</v>
      </c>
      <c r="AS55" s="748">
        <f t="shared" si="63"/>
        <v>0</v>
      </c>
      <c r="AT55" s="748">
        <f t="shared" si="64"/>
        <v>0</v>
      </c>
      <c r="AU55" s="748">
        <f t="shared" si="65"/>
        <v>0</v>
      </c>
      <c r="AV55" s="748">
        <f>IFERROR(INDEX('IPCS Data'!$R$8:$R$109,MATCH(EJ55,'IPCS Data'!$O$8:$O$109,0)),0)</f>
        <v>0</v>
      </c>
      <c r="AW55" s="755"/>
      <c r="AX55" s="499">
        <f>IFERROR(INDEX('IPCS Data'!$P$18:$P$110,MATCH(EK55,'IPCS Data'!$Q$18:$Q$110,0)),0)</f>
        <v>0</v>
      </c>
      <c r="AY55" s="1950" t="str">
        <f t="shared" si="110"/>
        <v/>
      </c>
      <c r="AZ55" s="755"/>
      <c r="BA55" s="753" t="str">
        <f>IFERROR(IF(MATCH(EJ55,'IPCS Data'!$O$8:$O$110,0)&gt;=25,"L","N"),"N")</f>
        <v>N</v>
      </c>
      <c r="BB55" s="774"/>
      <c r="BC55" s="753" t="str">
        <f t="shared" si="111"/>
        <v>N</v>
      </c>
      <c r="BD55" s="753" t="str">
        <f t="shared" si="39"/>
        <v>Non-Labor</v>
      </c>
      <c r="BE55" s="755"/>
      <c r="BF55" s="753" t="str">
        <f t="shared" si="112"/>
        <v>B23672.05</v>
      </c>
      <c r="BG55" s="753" t="str">
        <f t="shared" si="2"/>
        <v>0.0.0</v>
      </c>
      <c r="BH55" s="753">
        <f t="shared" si="66"/>
        <v>0</v>
      </c>
      <c r="BI55" s="753">
        <f t="shared" si="3"/>
        <v>0</v>
      </c>
      <c r="BJ55" s="753">
        <f t="shared" si="113"/>
        <v>0</v>
      </c>
      <c r="BK55" s="753">
        <f t="shared" si="40"/>
        <v>0</v>
      </c>
      <c r="BL55" s="753" t="b">
        <f t="shared" si="131"/>
        <v>1</v>
      </c>
      <c r="BM55" s="755"/>
      <c r="BN55" s="719">
        <f t="shared" si="67"/>
        <v>0</v>
      </c>
      <c r="BO55" s="719">
        <f t="shared" si="68"/>
        <v>110</v>
      </c>
      <c r="BP55" s="755"/>
      <c r="BQ55" s="719">
        <f>IF(AND((COUNTIFS('3a Staff Plan'!$J$129:$J$305,FA55)*$B$22)+(COUNTIFS('3b Activity Plan'!$J$173:$J$365,FA55)*$M$22)=0,FB55&gt;0),1,0)</f>
        <v>0</v>
      </c>
      <c r="BR55" s="719">
        <f t="shared" si="114"/>
        <v>0</v>
      </c>
      <c r="BS55" s="719">
        <f t="shared" si="69"/>
        <v>0</v>
      </c>
      <c r="BT55" s="719">
        <f t="shared" si="70"/>
        <v>0</v>
      </c>
      <c r="BU55" s="719">
        <f t="shared" si="71"/>
        <v>0</v>
      </c>
      <c r="BV55" s="719">
        <f t="shared" si="72"/>
        <v>0</v>
      </c>
      <c r="BW55" s="719">
        <f t="shared" si="73"/>
        <v>0</v>
      </c>
      <c r="BX55" s="719">
        <f t="shared" si="74"/>
        <v>0</v>
      </c>
      <c r="BY55" s="719">
        <f t="shared" si="75"/>
        <v>0</v>
      </c>
      <c r="BZ55" s="719">
        <f t="shared" si="115"/>
        <v>0</v>
      </c>
      <c r="CA55" s="719">
        <f t="shared" si="116"/>
        <v>0</v>
      </c>
      <c r="CB55" s="719">
        <f t="shared" si="76"/>
        <v>0</v>
      </c>
      <c r="CC55" s="719"/>
      <c r="CD55" s="719"/>
      <c r="CE55" s="719">
        <f t="shared" si="77"/>
        <v>0</v>
      </c>
      <c r="CF55" s="719">
        <f t="shared" si="117"/>
        <v>0</v>
      </c>
      <c r="CG55" s="719">
        <f t="shared" si="118"/>
        <v>0</v>
      </c>
      <c r="CH55" s="719">
        <f t="shared" si="119"/>
        <v>0</v>
      </c>
      <c r="CI55" s="719">
        <f t="shared" si="120"/>
        <v>0</v>
      </c>
      <c r="CJ55" s="719">
        <f t="shared" si="121"/>
        <v>0</v>
      </c>
      <c r="CK55" s="719">
        <f t="shared" si="122"/>
        <v>0</v>
      </c>
      <c r="CL55" s="719">
        <f t="shared" si="123"/>
        <v>0</v>
      </c>
      <c r="CM55" s="719">
        <f t="shared" si="124"/>
        <v>0</v>
      </c>
      <c r="CN55" s="719">
        <f t="shared" si="125"/>
        <v>0</v>
      </c>
      <c r="CO55" s="719">
        <f t="shared" si="42"/>
        <v>0</v>
      </c>
      <c r="CP55" s="719">
        <f t="shared" si="78"/>
        <v>0</v>
      </c>
      <c r="CQ55" s="719">
        <f t="shared" si="126"/>
        <v>22</v>
      </c>
      <c r="CR55" s="719">
        <f t="shared" si="127"/>
        <v>0</v>
      </c>
      <c r="CS55" s="2526"/>
      <c r="CT55" s="2527">
        <f t="shared" si="128"/>
        <v>27</v>
      </c>
      <c r="CU55" s="2527">
        <f t="shared" si="4"/>
        <v>0</v>
      </c>
      <c r="CV55" s="2527">
        <f t="shared" si="5"/>
        <v>0</v>
      </c>
      <c r="CW55" s="2527">
        <f t="shared" si="43"/>
        <v>0</v>
      </c>
      <c r="CX55" s="755"/>
      <c r="CY55" s="2537"/>
      <c r="CZ55" s="499">
        <f t="shared" si="49"/>
        <v>0</v>
      </c>
      <c r="DA55" s="1107">
        <f t="shared" si="50"/>
        <v>0</v>
      </c>
      <c r="DB55" s="2537"/>
      <c r="DC55" s="499">
        <f t="shared" si="79"/>
        <v>0</v>
      </c>
      <c r="DD55" s="1107">
        <f t="shared" si="80"/>
        <v>0</v>
      </c>
      <c r="DE55" s="2537"/>
      <c r="DF55" s="499">
        <f t="shared" si="81"/>
        <v>0</v>
      </c>
      <c r="DG55" s="1107">
        <f t="shared" si="82"/>
        <v>0</v>
      </c>
      <c r="DH55" s="2537"/>
      <c r="DI55" s="499">
        <f t="shared" si="83"/>
        <v>0</v>
      </c>
      <c r="DJ55" s="1107">
        <f t="shared" si="84"/>
        <v>0</v>
      </c>
      <c r="DK55" s="2537"/>
      <c r="DL55" s="499">
        <f t="shared" si="85"/>
        <v>0</v>
      </c>
      <c r="DM55" s="1107">
        <f t="shared" si="86"/>
        <v>0</v>
      </c>
      <c r="DN55" s="2537"/>
      <c r="DO55" s="499">
        <f t="shared" si="87"/>
        <v>0</v>
      </c>
      <c r="DP55" s="1107">
        <f t="shared" si="88"/>
        <v>0</v>
      </c>
      <c r="DQ55" s="2537"/>
      <c r="DR55" s="2559"/>
      <c r="DS55" s="499">
        <f t="shared" si="6"/>
        <v>0</v>
      </c>
      <c r="DT55" s="1106">
        <f t="shared" si="7"/>
        <v>0</v>
      </c>
      <c r="DU55" s="2537"/>
      <c r="DV55" s="2559"/>
      <c r="DW55" s="2312">
        <f t="shared" si="8"/>
        <v>0</v>
      </c>
      <c r="DX55" s="1106">
        <f t="shared" si="9"/>
        <v>0</v>
      </c>
      <c r="DY55" s="2572"/>
      <c r="DZ55" s="2537"/>
      <c r="EA55" s="2537"/>
      <c r="EB55" s="2577" t="str">
        <f t="shared" si="133"/>
        <v>05</v>
      </c>
      <c r="EC55" s="2570"/>
      <c r="ED55" s="436">
        <f>IFERROR(INDEX('IPCS Data'!$H$8:$H$30,MATCH(EE55,'IPCS Data'!$I$8:$I$30,0)),0)</f>
        <v>0</v>
      </c>
      <c r="EE55" s="437"/>
      <c r="EF55" s="2570"/>
      <c r="EG55" s="499">
        <f>IFERROR(INDEX('IPCS Data'!$L$8:$L$27,MATCH(EH55,'IPCS Data'!$M$8:$M$27,0)),0)</f>
        <v>0</v>
      </c>
      <c r="EH55" s="718"/>
      <c r="EI55" s="2578" t="s">
        <v>5</v>
      </c>
      <c r="EJ55" s="748">
        <f>IFERROR(INDEX('IPCS Data'!$O$8:$O$110,MATCH(EK55,'IPCS Data'!$Q$8:$Q$110,0)),0)</f>
        <v>0</v>
      </c>
      <c r="EK55" s="437"/>
      <c r="EL55" s="2578"/>
      <c r="EM55" s="840">
        <f t="shared" si="89"/>
        <v>0</v>
      </c>
      <c r="EN55" s="841"/>
      <c r="EO55" s="2537"/>
      <c r="EP55" s="842">
        <f t="shared" si="90"/>
        <v>0</v>
      </c>
      <c r="EQ55" s="843"/>
      <c r="ER55" s="2537"/>
      <c r="ES55" s="840">
        <f t="shared" si="91"/>
        <v>0</v>
      </c>
      <c r="ET55" s="843"/>
      <c r="EU55" s="2537"/>
      <c r="EV55" s="1497"/>
      <c r="EW55" s="1683"/>
      <c r="EX55" s="2562">
        <f t="shared" si="92"/>
        <v>22</v>
      </c>
      <c r="EY55" s="2533"/>
      <c r="EZ55" s="2561"/>
      <c r="FA55" s="1324">
        <f t="shared" si="10"/>
        <v>0</v>
      </c>
      <c r="FB55" s="2629">
        <f t="shared" si="93"/>
        <v>0</v>
      </c>
      <c r="FC55" s="274"/>
      <c r="FD55" s="2626">
        <f t="shared" si="11"/>
        <v>0</v>
      </c>
      <c r="FE55" s="2626">
        <f t="shared" si="12"/>
        <v>0</v>
      </c>
      <c r="FF55" s="274"/>
      <c r="FG55" s="2616">
        <f t="shared" si="94"/>
        <v>0</v>
      </c>
      <c r="FH55" s="2616">
        <f t="shared" si="95"/>
        <v>0</v>
      </c>
      <c r="FI55" s="2616">
        <f t="shared" si="96"/>
        <v>0</v>
      </c>
      <c r="FJ55" s="2610" t="s">
        <v>5</v>
      </c>
      <c r="FK55" s="2616">
        <f t="shared" si="97"/>
        <v>0</v>
      </c>
      <c r="FL55" s="2616">
        <f t="shared" si="98"/>
        <v>0</v>
      </c>
      <c r="FM55" s="2616">
        <f t="shared" si="99"/>
        <v>0</v>
      </c>
      <c r="FN55" s="2622">
        <f t="shared" si="100"/>
        <v>0</v>
      </c>
      <c r="FO55" s="2615">
        <f t="shared" si="101"/>
        <v>0</v>
      </c>
      <c r="FP55" s="2624">
        <f t="shared" si="102"/>
        <v>0</v>
      </c>
      <c r="FQ55" s="2622">
        <f t="shared" si="103"/>
        <v>0</v>
      </c>
      <c r="FR55" s="2624">
        <f t="shared" si="104"/>
        <v>0</v>
      </c>
      <c r="FS55" s="2611" t="s">
        <v>5</v>
      </c>
      <c r="FT55" s="2616">
        <f t="shared" si="105"/>
        <v>0</v>
      </c>
      <c r="FU55" s="2622">
        <f t="shared" si="129"/>
        <v>0</v>
      </c>
      <c r="FV55" s="2616">
        <f t="shared" si="106"/>
        <v>0</v>
      </c>
      <c r="FW55" s="2612" t="s">
        <v>5</v>
      </c>
      <c r="FX55" s="2616">
        <f t="shared" si="51"/>
        <v>0</v>
      </c>
      <c r="FY55" s="2616">
        <f t="shared" si="107"/>
        <v>0</v>
      </c>
      <c r="FZ55" s="2613" t="s">
        <v>5</v>
      </c>
      <c r="GA55" s="2616">
        <f t="shared" si="48"/>
        <v>0</v>
      </c>
      <c r="GB55" s="2619">
        <f t="shared" si="139"/>
        <v>0</v>
      </c>
      <c r="GC55" s="2620">
        <f t="shared" si="108"/>
        <v>0</v>
      </c>
      <c r="GD55" s="2614"/>
      <c r="GE55" s="3195">
        <f t="shared" si="16"/>
        <v>0</v>
      </c>
      <c r="GF55" s="3195">
        <f t="shared" si="17"/>
        <v>0</v>
      </c>
      <c r="GG55" s="3193" t="str">
        <f t="shared" si="18"/>
        <v>X</v>
      </c>
      <c r="GH55" s="2531"/>
      <c r="GI55" s="3189" t="str">
        <f t="shared" si="19"/>
        <v/>
      </c>
      <c r="GJ55" s="2598"/>
      <c r="GK55" s="3173">
        <f t="shared" si="20"/>
        <v>0</v>
      </c>
      <c r="GL55" s="3173">
        <f t="shared" si="21"/>
        <v>0</v>
      </c>
      <c r="GM55" s="3173">
        <f t="shared" si="22"/>
        <v>0</v>
      </c>
      <c r="GN55" s="3174">
        <f t="shared" si="23"/>
        <v>0</v>
      </c>
      <c r="GO55" s="3174">
        <f t="shared" si="24"/>
        <v>0</v>
      </c>
      <c r="GP55" s="3175">
        <f t="shared" si="25"/>
        <v>0</v>
      </c>
      <c r="GQ55" s="3176">
        <f t="shared" si="26"/>
        <v>0</v>
      </c>
      <c r="GR55" s="3177">
        <f t="shared" si="27"/>
        <v>0</v>
      </c>
      <c r="GS55" s="3177">
        <f t="shared" si="28"/>
        <v>0</v>
      </c>
      <c r="GT55" s="3178">
        <f t="shared" si="29"/>
        <v>0</v>
      </c>
      <c r="GU55" s="3179"/>
      <c r="GV55" s="3178">
        <f t="shared" si="30"/>
        <v>0</v>
      </c>
      <c r="GW55" s="3177">
        <f t="shared" si="31"/>
        <v>0</v>
      </c>
      <c r="GX55" s="3180"/>
      <c r="GY55" s="3177">
        <f t="shared" si="32"/>
        <v>0</v>
      </c>
      <c r="GZ55" s="2593"/>
      <c r="HA55" s="277"/>
      <c r="HB55" s="277"/>
      <c r="HC55" s="277"/>
      <c r="HD55" s="277"/>
      <c r="HE55" s="277"/>
      <c r="HF55" s="277"/>
      <c r="HG55" s="277"/>
      <c r="HH55" s="277"/>
      <c r="HI55" s="277"/>
      <c r="HJ55" s="277"/>
      <c r="HK55" s="277"/>
      <c r="HL55" s="277"/>
      <c r="HM55" s="277"/>
      <c r="HN55" s="277"/>
      <c r="HO55" s="277"/>
    </row>
    <row r="56" spans="1:223" s="272" customFormat="1" ht="18" customHeight="1" x14ac:dyDescent="0.3">
      <c r="A56" s="755"/>
      <c r="B56" s="805">
        <f>SUMIFS('3a Staff Plan'!$T$129:$T$305,'3a Staff Plan'!$DF$129:$DF$305,1,'3a Staff Plan'!$DA$129:$DA$305,1,'3a Staff Plan'!$J$129:$J$305,$FA56)</f>
        <v>0</v>
      </c>
      <c r="C56" s="805">
        <f>SUMIFS('3a Staff Plan'!$U$129:$U$305,'3a Staff Plan'!$DF$129:$DF$305,1,'3a Staff Plan'!$DA$129:$DA$305,1,'3a Staff Plan'!$J$129:$J$305,$FA56)</f>
        <v>0</v>
      </c>
      <c r="D56" s="805">
        <f>SUMIFS('3a Staff Plan'!$Z$129:$Z$305,'3a Staff Plan'!$DF$129:$DF$305,1,'3a Staff Plan'!$DA$129:$DA$305,1,'3a Staff Plan'!$J$129:$J$305,$FA56)</f>
        <v>0</v>
      </c>
      <c r="E56" s="805">
        <f>SUMIFS('3a Staff Plan'!$Y$129:$Y$305,'3a Staff Plan'!$DF$129:$DF$305,1,'3a Staff Plan'!$DA$129:$DA$305,1,'3a Staff Plan'!$J$129:$J$305,$FA56)</f>
        <v>0</v>
      </c>
      <c r="F56" s="805">
        <f>SUMIFS('3a Staff Plan'!$X$129:$X$305,'3a Staff Plan'!$DF$129:$DF$305,1,'3a Staff Plan'!$DA$129:$DA$305,1,'3a Staff Plan'!$AG$129:$AG$305,1,'3a Staff Plan'!$J$129:$J$305,$FA56)</f>
        <v>0</v>
      </c>
      <c r="G56" s="805">
        <f>IF($G$24=0,0,SUMIFS('3a Staff Plan'!$W$129:$W$305,'3a Staff Plan'!$DF$129:$DF$305,1,'3a Staff Plan'!$DA$129:$DA$305,1,'3a Staff Plan'!$J$129:$J$305,$FA56))</f>
        <v>0</v>
      </c>
      <c r="H56" s="795">
        <f t="shared" si="52"/>
        <v>0</v>
      </c>
      <c r="I56" s="805">
        <f>SUMIFS('3a Staff Plan'!$V$129:$V$305,'3a Staff Plan'!$DF$129:$DF$305,1,'3a Staff Plan'!$DA$129:$DA$305,1,'3a Staff Plan'!$J$129:$J$305,$FA56)</f>
        <v>0</v>
      </c>
      <c r="J56" s="805">
        <f>SUMIFS('3a Staff Plan'!$AB$129:$AB$305,'3a Staff Plan'!$DF$129:$DF$305,1,'3a Staff Plan'!$DA$129:$DA$305,1,'3a Staff Plan'!$J$129:$J$305,$FA56)</f>
        <v>0</v>
      </c>
      <c r="K56" s="805">
        <f>SUMIFS('3a Staff Plan'!$AA$129:$AA$305,'3a Staff Plan'!$DF$129:$DF$305,1,'3a Staff Plan'!$DA$129:$DA$305,1,'3a Staff Plan'!$AG$129:$AG$305,1,'3a Staff Plan'!$J$129:$J$305,$FA56)</f>
        <v>0</v>
      </c>
      <c r="L56" s="755"/>
      <c r="M56" s="805">
        <f>SUMIFS('3b Activity Plan'!$T$173:$T$365,'3b Activity Plan'!$CY$173:$CY$365,1,'3b Activity Plan'!$CT$173:$CT$365,1,'3b Activity Plan'!$J$173:$J$365,$FA56)</f>
        <v>0</v>
      </c>
      <c r="N56" s="805">
        <f>SUMIFS('3b Activity Plan'!$U$173:$U$365,'3b Activity Plan'!$CY$173:$CY$365,1,'3b Activity Plan'!$CT$173:$CT$365,1,'3b Activity Plan'!$J$173:$J$365,$FA56)</f>
        <v>0</v>
      </c>
      <c r="O56" s="805">
        <f>SUMIFS('3b Activity Plan'!$Z$173:$Z$365,'3b Activity Plan'!$CY$173:$CY$365,1,'3b Activity Plan'!$CT$173:$CT$365,1,'3b Activity Plan'!$J$173:$J$365,$FA56)</f>
        <v>0</v>
      </c>
      <c r="P56" s="805">
        <f>SUMIFS('3b Activity Plan'!$Y$173:$Y$365,'3b Activity Plan'!$CY$173:$CY$365,1,'3b Activity Plan'!$CT$173:$CT$365,1,'3b Activity Plan'!$J$173:$J$365,$FA56)</f>
        <v>0</v>
      </c>
      <c r="Q56" s="805">
        <f>SUMIFS('3b Activity Plan'!$X$173:$X$365,'3b Activity Plan'!$CY$173:$CY$365,1,'3b Activity Plan'!$CT$173:$CT$365,1,'3b Activity Plan'!$J$173:$J$365,$FA56)</f>
        <v>0</v>
      </c>
      <c r="R56" s="805">
        <f>IF($R$24=0,0,SUMIFS('3b Activity Plan'!$W$173:$W$365,'3b Activity Plan'!$CY$173:$CY$365,1,'3b Activity Plan'!$CT$173:$CT$365,1,'3b Activity Plan'!$J$173:$J$365,$FA56))</f>
        <v>0</v>
      </c>
      <c r="S56" s="795">
        <f t="shared" si="53"/>
        <v>0</v>
      </c>
      <c r="T56" s="805">
        <f>SUMIFS('3b Activity Plan'!$V$173:$V$365,'3b Activity Plan'!$CY$173:$CY$365,1,'3b Activity Plan'!$CT$173:$CT$365,1,'3b Activity Plan'!$J$173:$J$365,$FA56)</f>
        <v>0</v>
      </c>
      <c r="U56" s="805">
        <f>SUMIFS('3b Activity Plan'!$AB$173:$AB$365,'3b Activity Plan'!$CY$173:$CY$365,1,'3b Activity Plan'!$CT$173:$CT$365,1,'3b Activity Plan'!$J$173:$J$365,$FA56)</f>
        <v>0</v>
      </c>
      <c r="V56" s="805">
        <f>SUMIFS('3b Activity Plan'!$AA$173:$AA$365,'3b Activity Plan'!$CY$173:$CY$365,1,'3b Activity Plan'!$CT$173:$CT$365,1,'3b Activity Plan'!$J$173:$J$365,$FA56)</f>
        <v>0</v>
      </c>
      <c r="W56" s="755"/>
      <c r="X56" s="2641">
        <f>SUMIFS('3b Activity Plan'!$FU$173:$FU$365,'3b Activity Plan'!$J$173:$J$365,$FA56)</f>
        <v>0</v>
      </c>
      <c r="Y56" s="2641">
        <f>SUMIFS('3b Activity Plan'!$FW$173:$FW$365,'3b Activity Plan'!$J$173:$J$365,$FA56)</f>
        <v>0</v>
      </c>
      <c r="Z56" s="2639">
        <f t="shared" si="132"/>
        <v>0</v>
      </c>
      <c r="AA56" s="755"/>
      <c r="AB56" s="761">
        <f>_xlfn.MINIFS('3a Staff Plan'!$EB$129:$EB$304,'3a Staff Plan'!$DF$129:$DF$304,1,'3a Staff Plan'!$J$129:$J$304,FA56)</f>
        <v>0</v>
      </c>
      <c r="AC56" s="761">
        <f>_xlfn.MAXIFS('3a Staff Plan'!$EC$129:$EC$304,'3a Staff Plan'!$DF$129:$DF$304,1,'3a Staff Plan'!$J$129:$J$304,FA56)</f>
        <v>0</v>
      </c>
      <c r="AD56" s="755"/>
      <c r="AE56" s="761">
        <f>_xlfn.MINIFS('3b Activity Plan'!$GN$173:$GN$365,'3b Activity Plan'!$CY$173:$CY$365,1,'3b Activity Plan'!$J$173:$J$365,$FA56)</f>
        <v>0</v>
      </c>
      <c r="AF56" s="761">
        <f>_xlfn.MAXIFS('3b Activity Plan'!$GO$173:$GO$365,'3b Activity Plan'!$CY$173:$CY$365,1,'3b Activity Plan'!$J$173:$J$365,$FA56)</f>
        <v>0</v>
      </c>
      <c r="AG56" s="755"/>
      <c r="AH56" s="761">
        <f t="shared" si="54"/>
        <v>0</v>
      </c>
      <c r="AI56" s="761">
        <f t="shared" si="55"/>
        <v>0</v>
      </c>
      <c r="AJ56" s="755"/>
      <c r="AK56" s="761">
        <f t="shared" si="56"/>
        <v>0</v>
      </c>
      <c r="AL56" s="761">
        <f t="shared" si="57"/>
        <v>0</v>
      </c>
      <c r="AM56" s="776">
        <f t="shared" si="58"/>
        <v>0</v>
      </c>
      <c r="AN56" s="755"/>
      <c r="AO56" s="748">
        <f t="shared" si="59"/>
        <v>0</v>
      </c>
      <c r="AP56" s="748">
        <f t="shared" si="60"/>
        <v>0</v>
      </c>
      <c r="AQ56" s="748">
        <f t="shared" si="61"/>
        <v>0</v>
      </c>
      <c r="AR56" s="748">
        <f t="shared" si="62"/>
        <v>0</v>
      </c>
      <c r="AS56" s="748">
        <f t="shared" si="63"/>
        <v>0</v>
      </c>
      <c r="AT56" s="748">
        <f t="shared" si="64"/>
        <v>0</v>
      </c>
      <c r="AU56" s="748">
        <f t="shared" si="65"/>
        <v>0</v>
      </c>
      <c r="AV56" s="748">
        <f>IFERROR(INDEX('IPCS Data'!$R$8:$R$109,MATCH(EJ56,'IPCS Data'!$O$8:$O$109,0)),0)</f>
        <v>0</v>
      </c>
      <c r="AW56" s="755"/>
      <c r="AX56" s="499">
        <f>IFERROR(INDEX('IPCS Data'!$P$18:$P$110,MATCH(EK56,'IPCS Data'!$Q$18:$Q$110,0)),0)</f>
        <v>0</v>
      </c>
      <c r="AY56" s="1950" t="str">
        <f t="shared" si="110"/>
        <v/>
      </c>
      <c r="AZ56" s="755"/>
      <c r="BA56" s="753" t="str">
        <f>IFERROR(IF(MATCH(EJ56,'IPCS Data'!$O$8:$O$110,0)&gt;=25,"L","N"),"N")</f>
        <v>N</v>
      </c>
      <c r="BB56" s="774"/>
      <c r="BC56" s="753" t="str">
        <f t="shared" si="111"/>
        <v>N</v>
      </c>
      <c r="BD56" s="753" t="str">
        <f t="shared" si="39"/>
        <v>Non-Labor</v>
      </c>
      <c r="BE56" s="755"/>
      <c r="BF56" s="753" t="str">
        <f t="shared" si="112"/>
        <v>B23672.05</v>
      </c>
      <c r="BG56" s="753" t="str">
        <f t="shared" si="2"/>
        <v>0.0.0</v>
      </c>
      <c r="BH56" s="753">
        <f t="shared" si="66"/>
        <v>0</v>
      </c>
      <c r="BI56" s="753">
        <f t="shared" si="3"/>
        <v>0</v>
      </c>
      <c r="BJ56" s="753">
        <f t="shared" si="113"/>
        <v>0</v>
      </c>
      <c r="BK56" s="753">
        <f t="shared" si="40"/>
        <v>0</v>
      </c>
      <c r="BL56" s="753" t="b">
        <f t="shared" si="131"/>
        <v>1</v>
      </c>
      <c r="BM56" s="755"/>
      <c r="BN56" s="719">
        <f t="shared" si="67"/>
        <v>0</v>
      </c>
      <c r="BO56" s="719">
        <f t="shared" si="68"/>
        <v>110</v>
      </c>
      <c r="BP56" s="755"/>
      <c r="BQ56" s="719">
        <f>IF(AND((COUNTIFS('3a Staff Plan'!$J$129:$J$305,FA56)*$B$22)+(COUNTIFS('3b Activity Plan'!$J$173:$J$365,FA56)*$M$22)=0,FB56&gt;0),1,0)</f>
        <v>0</v>
      </c>
      <c r="BR56" s="719">
        <f t="shared" si="114"/>
        <v>0</v>
      </c>
      <c r="BS56" s="719">
        <f t="shared" si="69"/>
        <v>0</v>
      </c>
      <c r="BT56" s="719">
        <f t="shared" si="70"/>
        <v>0</v>
      </c>
      <c r="BU56" s="719">
        <f t="shared" si="71"/>
        <v>0</v>
      </c>
      <c r="BV56" s="719">
        <f t="shared" si="72"/>
        <v>0</v>
      </c>
      <c r="BW56" s="719">
        <f t="shared" si="73"/>
        <v>0</v>
      </c>
      <c r="BX56" s="719">
        <f t="shared" si="74"/>
        <v>0</v>
      </c>
      <c r="BY56" s="719">
        <f t="shared" si="75"/>
        <v>0</v>
      </c>
      <c r="BZ56" s="719">
        <f t="shared" si="115"/>
        <v>0</v>
      </c>
      <c r="CA56" s="719">
        <f t="shared" si="116"/>
        <v>0</v>
      </c>
      <c r="CB56" s="719">
        <f t="shared" si="76"/>
        <v>0</v>
      </c>
      <c r="CC56" s="719"/>
      <c r="CD56" s="719"/>
      <c r="CE56" s="719">
        <f t="shared" si="77"/>
        <v>0</v>
      </c>
      <c r="CF56" s="719">
        <f t="shared" si="117"/>
        <v>0</v>
      </c>
      <c r="CG56" s="719">
        <f t="shared" si="118"/>
        <v>0</v>
      </c>
      <c r="CH56" s="719">
        <f t="shared" si="119"/>
        <v>0</v>
      </c>
      <c r="CI56" s="719">
        <f t="shared" si="120"/>
        <v>0</v>
      </c>
      <c r="CJ56" s="719">
        <f t="shared" si="121"/>
        <v>0</v>
      </c>
      <c r="CK56" s="719">
        <f t="shared" si="122"/>
        <v>0</v>
      </c>
      <c r="CL56" s="719">
        <f t="shared" si="123"/>
        <v>0</v>
      </c>
      <c r="CM56" s="719">
        <f t="shared" si="124"/>
        <v>0</v>
      </c>
      <c r="CN56" s="719">
        <f t="shared" si="125"/>
        <v>0</v>
      </c>
      <c r="CO56" s="719">
        <f t="shared" si="42"/>
        <v>0</v>
      </c>
      <c r="CP56" s="719">
        <f t="shared" si="78"/>
        <v>0</v>
      </c>
      <c r="CQ56" s="719">
        <f t="shared" si="126"/>
        <v>23</v>
      </c>
      <c r="CR56" s="719">
        <f t="shared" si="127"/>
        <v>0</v>
      </c>
      <c r="CS56" s="2526"/>
      <c r="CT56" s="2527">
        <f t="shared" si="128"/>
        <v>28</v>
      </c>
      <c r="CU56" s="2527">
        <f t="shared" si="4"/>
        <v>0</v>
      </c>
      <c r="CV56" s="2527">
        <f t="shared" si="5"/>
        <v>0</v>
      </c>
      <c r="CW56" s="2527">
        <f t="shared" si="43"/>
        <v>0</v>
      </c>
      <c r="CX56" s="755"/>
      <c r="CY56" s="2537"/>
      <c r="CZ56" s="499">
        <f t="shared" si="49"/>
        <v>0</v>
      </c>
      <c r="DA56" s="1107">
        <f t="shared" si="50"/>
        <v>0</v>
      </c>
      <c r="DB56" s="2537"/>
      <c r="DC56" s="499">
        <f t="shared" si="79"/>
        <v>0</v>
      </c>
      <c r="DD56" s="1107">
        <f t="shared" si="80"/>
        <v>0</v>
      </c>
      <c r="DE56" s="2537"/>
      <c r="DF56" s="499">
        <f t="shared" si="81"/>
        <v>0</v>
      </c>
      <c r="DG56" s="1107">
        <f t="shared" si="82"/>
        <v>0</v>
      </c>
      <c r="DH56" s="2537"/>
      <c r="DI56" s="499">
        <f t="shared" si="83"/>
        <v>0</v>
      </c>
      <c r="DJ56" s="1107">
        <f t="shared" si="84"/>
        <v>0</v>
      </c>
      <c r="DK56" s="2537"/>
      <c r="DL56" s="499">
        <f t="shared" si="85"/>
        <v>0</v>
      </c>
      <c r="DM56" s="1107">
        <f t="shared" si="86"/>
        <v>0</v>
      </c>
      <c r="DN56" s="2537"/>
      <c r="DO56" s="499">
        <f t="shared" si="87"/>
        <v>0</v>
      </c>
      <c r="DP56" s="1107">
        <f t="shared" si="88"/>
        <v>0</v>
      </c>
      <c r="DQ56" s="2537"/>
      <c r="DR56" s="2559"/>
      <c r="DS56" s="499">
        <f t="shared" si="6"/>
        <v>0</v>
      </c>
      <c r="DT56" s="1106">
        <f t="shared" si="7"/>
        <v>0</v>
      </c>
      <c r="DU56" s="2537"/>
      <c r="DV56" s="2559"/>
      <c r="DW56" s="2312">
        <f t="shared" si="8"/>
        <v>0</v>
      </c>
      <c r="DX56" s="1106">
        <f t="shared" si="9"/>
        <v>0</v>
      </c>
      <c r="DY56" s="2572"/>
      <c r="DZ56" s="2537"/>
      <c r="EA56" s="2537"/>
      <c r="EB56" s="2577" t="str">
        <f t="shared" si="133"/>
        <v>05</v>
      </c>
      <c r="EC56" s="2570"/>
      <c r="ED56" s="436">
        <f>IFERROR(INDEX('IPCS Data'!$H$8:$H$30,MATCH(EE56,'IPCS Data'!$I$8:$I$30,0)),0)</f>
        <v>0</v>
      </c>
      <c r="EE56" s="3257"/>
      <c r="EF56" s="2570"/>
      <c r="EG56" s="499">
        <f>IFERROR(INDEX('IPCS Data'!$L$8:$L$27,MATCH(EH56,'IPCS Data'!$M$8:$M$27,0)),0)</f>
        <v>0</v>
      </c>
      <c r="EH56" s="437"/>
      <c r="EI56" s="2578" t="s">
        <v>5</v>
      </c>
      <c r="EJ56" s="748">
        <f>IFERROR(INDEX('IPCS Data'!$O$8:$O$110,MATCH(EK56,'IPCS Data'!$Q$8:$Q$110,0)),0)</f>
        <v>0</v>
      </c>
      <c r="EK56" s="3257"/>
      <c r="EL56" s="2578"/>
      <c r="EM56" s="840">
        <f t="shared" si="89"/>
        <v>0</v>
      </c>
      <c r="EN56" s="841"/>
      <c r="EO56" s="2537"/>
      <c r="EP56" s="842">
        <f t="shared" si="90"/>
        <v>0</v>
      </c>
      <c r="EQ56" s="843"/>
      <c r="ER56" s="2537"/>
      <c r="ES56" s="840">
        <f t="shared" si="91"/>
        <v>0</v>
      </c>
      <c r="ET56" s="843"/>
      <c r="EU56" s="2537"/>
      <c r="EV56" s="1497"/>
      <c r="EW56" s="1683"/>
      <c r="EX56" s="2562">
        <f t="shared" si="92"/>
        <v>23</v>
      </c>
      <c r="EY56" s="2533"/>
      <c r="EZ56" s="2561"/>
      <c r="FA56" s="1324">
        <f t="shared" si="10"/>
        <v>0</v>
      </c>
      <c r="FB56" s="2629">
        <f t="shared" si="93"/>
        <v>0</v>
      </c>
      <c r="FC56" s="274"/>
      <c r="FD56" s="2626">
        <f t="shared" si="11"/>
        <v>0</v>
      </c>
      <c r="FE56" s="2626">
        <f t="shared" si="12"/>
        <v>0</v>
      </c>
      <c r="FF56" s="274"/>
      <c r="FG56" s="2616">
        <f t="shared" si="94"/>
        <v>0</v>
      </c>
      <c r="FH56" s="2616">
        <f t="shared" si="95"/>
        <v>0</v>
      </c>
      <c r="FI56" s="2616">
        <f t="shared" si="96"/>
        <v>0</v>
      </c>
      <c r="FJ56" s="2610" t="s">
        <v>5</v>
      </c>
      <c r="FK56" s="2616">
        <f t="shared" si="97"/>
        <v>0</v>
      </c>
      <c r="FL56" s="2616">
        <f t="shared" si="98"/>
        <v>0</v>
      </c>
      <c r="FM56" s="2616">
        <f t="shared" si="99"/>
        <v>0</v>
      </c>
      <c r="FN56" s="2622">
        <f t="shared" si="100"/>
        <v>0</v>
      </c>
      <c r="FO56" s="2615">
        <f t="shared" si="101"/>
        <v>0</v>
      </c>
      <c r="FP56" s="2624">
        <f t="shared" si="102"/>
        <v>0</v>
      </c>
      <c r="FQ56" s="2622">
        <f t="shared" si="103"/>
        <v>0</v>
      </c>
      <c r="FR56" s="2624">
        <f t="shared" si="104"/>
        <v>0</v>
      </c>
      <c r="FS56" s="2611" t="s">
        <v>5</v>
      </c>
      <c r="FT56" s="2616">
        <f t="shared" si="105"/>
        <v>0</v>
      </c>
      <c r="FU56" s="2622">
        <f t="shared" si="129"/>
        <v>0</v>
      </c>
      <c r="FV56" s="2616">
        <f t="shared" si="106"/>
        <v>0</v>
      </c>
      <c r="FW56" s="2612" t="s">
        <v>5</v>
      </c>
      <c r="FX56" s="2616">
        <f t="shared" si="51"/>
        <v>0</v>
      </c>
      <c r="FY56" s="2616">
        <f t="shared" si="107"/>
        <v>0</v>
      </c>
      <c r="FZ56" s="2613" t="s">
        <v>5</v>
      </c>
      <c r="GA56" s="2616">
        <f t="shared" si="48"/>
        <v>0</v>
      </c>
      <c r="GB56" s="2619">
        <f t="shared" si="139"/>
        <v>0</v>
      </c>
      <c r="GC56" s="2620">
        <f t="shared" si="108"/>
        <v>0</v>
      </c>
      <c r="GD56" s="2614"/>
      <c r="GE56" s="3195">
        <f t="shared" si="16"/>
        <v>0</v>
      </c>
      <c r="GF56" s="3195">
        <f t="shared" si="17"/>
        <v>0</v>
      </c>
      <c r="GG56" s="3193" t="str">
        <f t="shared" si="18"/>
        <v>X</v>
      </c>
      <c r="GH56" s="2531"/>
      <c r="GI56" s="3189" t="str">
        <f t="shared" si="19"/>
        <v/>
      </c>
      <c r="GJ56" s="2598"/>
      <c r="GK56" s="3173">
        <f t="shared" si="20"/>
        <v>0</v>
      </c>
      <c r="GL56" s="3173">
        <f t="shared" si="21"/>
        <v>0</v>
      </c>
      <c r="GM56" s="3173">
        <f t="shared" si="22"/>
        <v>0</v>
      </c>
      <c r="GN56" s="3174">
        <f t="shared" si="23"/>
        <v>0</v>
      </c>
      <c r="GO56" s="3174">
        <f t="shared" si="24"/>
        <v>0</v>
      </c>
      <c r="GP56" s="3175">
        <f t="shared" si="25"/>
        <v>0</v>
      </c>
      <c r="GQ56" s="3176">
        <f t="shared" si="26"/>
        <v>0</v>
      </c>
      <c r="GR56" s="3177">
        <f t="shared" si="27"/>
        <v>0</v>
      </c>
      <c r="GS56" s="3177">
        <f t="shared" si="28"/>
        <v>0</v>
      </c>
      <c r="GT56" s="3178">
        <f t="shared" si="29"/>
        <v>0</v>
      </c>
      <c r="GU56" s="3179"/>
      <c r="GV56" s="3178">
        <f t="shared" si="30"/>
        <v>0</v>
      </c>
      <c r="GW56" s="3177">
        <f t="shared" si="31"/>
        <v>0</v>
      </c>
      <c r="GX56" s="3180"/>
      <c r="GY56" s="3177">
        <f t="shared" si="32"/>
        <v>0</v>
      </c>
      <c r="GZ56" s="2593"/>
      <c r="HA56" s="277"/>
      <c r="HB56" s="277"/>
      <c r="HC56" s="277"/>
      <c r="HD56" s="277"/>
      <c r="HE56" s="277"/>
      <c r="HF56" s="277"/>
      <c r="HG56" s="277"/>
      <c r="HH56" s="277"/>
      <c r="HI56" s="277"/>
      <c r="HJ56" s="277"/>
      <c r="HK56" s="277"/>
      <c r="HL56" s="277"/>
      <c r="HM56" s="277"/>
      <c r="HN56" s="277"/>
      <c r="HO56" s="277"/>
    </row>
    <row r="57" spans="1:223" s="749" customFormat="1" ht="18" customHeight="1" x14ac:dyDescent="0.3">
      <c r="A57" s="755"/>
      <c r="B57" s="805">
        <f>SUMIFS('3a Staff Plan'!$T$129:$T$305,'3a Staff Plan'!$DF$129:$DF$305,1,'3a Staff Plan'!$DA$129:$DA$305,1,'3a Staff Plan'!$J$129:$J$305,$FA57)</f>
        <v>0</v>
      </c>
      <c r="C57" s="805">
        <f>SUMIFS('3a Staff Plan'!$U$129:$U$305,'3a Staff Plan'!$DF$129:$DF$305,1,'3a Staff Plan'!$DA$129:$DA$305,1,'3a Staff Plan'!$J$129:$J$305,$FA57)</f>
        <v>0</v>
      </c>
      <c r="D57" s="805">
        <f>SUMIFS('3a Staff Plan'!$Z$129:$Z$305,'3a Staff Plan'!$DF$129:$DF$305,1,'3a Staff Plan'!$DA$129:$DA$305,1,'3a Staff Plan'!$J$129:$J$305,$FA57)</f>
        <v>0</v>
      </c>
      <c r="E57" s="805">
        <f>SUMIFS('3a Staff Plan'!$Y$129:$Y$305,'3a Staff Plan'!$DF$129:$DF$305,1,'3a Staff Plan'!$DA$129:$DA$305,1,'3a Staff Plan'!$J$129:$J$305,$FA57)</f>
        <v>0</v>
      </c>
      <c r="F57" s="805">
        <f>SUMIFS('3a Staff Plan'!$X$129:$X$305,'3a Staff Plan'!$DF$129:$DF$305,1,'3a Staff Plan'!$DA$129:$DA$305,1,'3a Staff Plan'!$AG$129:$AG$305,1,'3a Staff Plan'!$J$129:$J$305,$FA57)</f>
        <v>0</v>
      </c>
      <c r="G57" s="805">
        <f>IF($G$24=0,0,SUMIFS('3a Staff Plan'!$W$129:$W$305,'3a Staff Plan'!$DF$129:$DF$305,1,'3a Staff Plan'!$DA$129:$DA$305,1,'3a Staff Plan'!$J$129:$J$305,$FA57))</f>
        <v>0</v>
      </c>
      <c r="H57" s="795">
        <f t="shared" si="52"/>
        <v>0</v>
      </c>
      <c r="I57" s="805">
        <f>SUMIFS('3a Staff Plan'!$V$129:$V$305,'3a Staff Plan'!$DF$129:$DF$305,1,'3a Staff Plan'!$DA$129:$DA$305,1,'3a Staff Plan'!$J$129:$J$305,$FA57)</f>
        <v>0</v>
      </c>
      <c r="J57" s="805">
        <f>SUMIFS('3a Staff Plan'!$AB$129:$AB$305,'3a Staff Plan'!$DF$129:$DF$305,1,'3a Staff Plan'!$DA$129:$DA$305,1,'3a Staff Plan'!$J$129:$J$305,$FA57)</f>
        <v>0</v>
      </c>
      <c r="K57" s="805">
        <f>SUMIFS('3a Staff Plan'!$AA$129:$AA$305,'3a Staff Plan'!$DF$129:$DF$305,1,'3a Staff Plan'!$DA$129:$DA$305,1,'3a Staff Plan'!$AG$129:$AG$305,1,'3a Staff Plan'!$J$129:$J$305,$FA57)</f>
        <v>0</v>
      </c>
      <c r="L57" s="755"/>
      <c r="M57" s="805">
        <f>SUMIFS('3b Activity Plan'!$T$173:$T$365,'3b Activity Plan'!$CY$173:$CY$365,1,'3b Activity Plan'!$CT$173:$CT$365,1,'3b Activity Plan'!$J$173:$J$365,$FA57)</f>
        <v>0</v>
      </c>
      <c r="N57" s="805">
        <f>SUMIFS('3b Activity Plan'!$U$173:$U$365,'3b Activity Plan'!$CY$173:$CY$365,1,'3b Activity Plan'!$CT$173:$CT$365,1,'3b Activity Plan'!$J$173:$J$365,$FA57)</f>
        <v>0</v>
      </c>
      <c r="O57" s="805">
        <f>SUMIFS('3b Activity Plan'!$Z$173:$Z$365,'3b Activity Plan'!$CY$173:$CY$365,1,'3b Activity Plan'!$CT$173:$CT$365,1,'3b Activity Plan'!$J$173:$J$365,$FA57)</f>
        <v>0</v>
      </c>
      <c r="P57" s="805">
        <f>SUMIFS('3b Activity Plan'!$Y$173:$Y$365,'3b Activity Plan'!$CY$173:$CY$365,1,'3b Activity Plan'!$CT$173:$CT$365,1,'3b Activity Plan'!$J$173:$J$365,$FA57)</f>
        <v>0</v>
      </c>
      <c r="Q57" s="805">
        <f>SUMIFS('3b Activity Plan'!$X$173:$X$365,'3b Activity Plan'!$CY$173:$CY$365,1,'3b Activity Plan'!$CT$173:$CT$365,1,'3b Activity Plan'!$J$173:$J$365,$FA57)</f>
        <v>0</v>
      </c>
      <c r="R57" s="805">
        <f>IF($R$24=0,0,SUMIFS('3b Activity Plan'!$W$173:$W$365,'3b Activity Plan'!$CY$173:$CY$365,1,'3b Activity Plan'!$CT$173:$CT$365,1,'3b Activity Plan'!$J$173:$J$365,$FA57))</f>
        <v>0</v>
      </c>
      <c r="S57" s="795">
        <f t="shared" si="53"/>
        <v>0</v>
      </c>
      <c r="T57" s="805">
        <f>SUMIFS('3b Activity Plan'!$V$173:$V$365,'3b Activity Plan'!$CY$173:$CY$365,1,'3b Activity Plan'!$CT$173:$CT$365,1,'3b Activity Plan'!$J$173:$J$365,$FA57)</f>
        <v>0</v>
      </c>
      <c r="U57" s="805">
        <f>SUMIFS('3b Activity Plan'!$AB$173:$AB$365,'3b Activity Plan'!$CY$173:$CY$365,1,'3b Activity Plan'!$CT$173:$CT$365,1,'3b Activity Plan'!$J$173:$J$365,$FA57)</f>
        <v>0</v>
      </c>
      <c r="V57" s="805">
        <f>SUMIFS('3b Activity Plan'!$AA$173:$AA$365,'3b Activity Plan'!$CY$173:$CY$365,1,'3b Activity Plan'!$CT$173:$CT$365,1,'3b Activity Plan'!$J$173:$J$365,$FA57)</f>
        <v>0</v>
      </c>
      <c r="W57" s="755"/>
      <c r="X57" s="2641">
        <f>SUMIFS('3b Activity Plan'!$FU$173:$FU$365,'3b Activity Plan'!$J$173:$J$365,$FA57)</f>
        <v>0</v>
      </c>
      <c r="Y57" s="2641">
        <f>SUMIFS('3b Activity Plan'!$FW$173:$FW$365,'3b Activity Plan'!$J$173:$J$365,$FA57)</f>
        <v>0</v>
      </c>
      <c r="Z57" s="2639">
        <f t="shared" si="132"/>
        <v>0</v>
      </c>
      <c r="AA57" s="755"/>
      <c r="AB57" s="761">
        <f>_xlfn.MINIFS('3a Staff Plan'!$EB$129:$EB$304,'3a Staff Plan'!$DF$129:$DF$304,1,'3a Staff Plan'!$J$129:$J$304,FA57)</f>
        <v>0</v>
      </c>
      <c r="AC57" s="761">
        <f>_xlfn.MAXIFS('3a Staff Plan'!$EC$129:$EC$304,'3a Staff Plan'!$DF$129:$DF$304,1,'3a Staff Plan'!$J$129:$J$304,FA57)</f>
        <v>0</v>
      </c>
      <c r="AD57" s="755"/>
      <c r="AE57" s="761">
        <f>_xlfn.MINIFS('3b Activity Plan'!$GN$173:$GN$365,'3b Activity Plan'!$CY$173:$CY$365,1,'3b Activity Plan'!$J$173:$J$365,$FA57)</f>
        <v>0</v>
      </c>
      <c r="AF57" s="761">
        <f>_xlfn.MAXIFS('3b Activity Plan'!$GO$173:$GO$365,'3b Activity Plan'!$CY$173:$CY$365,1,'3b Activity Plan'!$J$173:$J$365,$FA57)</f>
        <v>0</v>
      </c>
      <c r="AG57" s="755"/>
      <c r="AH57" s="761">
        <f t="shared" si="54"/>
        <v>0</v>
      </c>
      <c r="AI57" s="761">
        <f t="shared" si="55"/>
        <v>0</v>
      </c>
      <c r="AJ57" s="755"/>
      <c r="AK57" s="761">
        <f t="shared" si="56"/>
        <v>0</v>
      </c>
      <c r="AL57" s="761">
        <f t="shared" si="57"/>
        <v>0</v>
      </c>
      <c r="AM57" s="776">
        <f t="shared" si="58"/>
        <v>0</v>
      </c>
      <c r="AN57" s="755"/>
      <c r="AO57" s="748">
        <f t="shared" si="59"/>
        <v>0</v>
      </c>
      <c r="AP57" s="748">
        <f t="shared" si="60"/>
        <v>0</v>
      </c>
      <c r="AQ57" s="748">
        <f t="shared" si="61"/>
        <v>0</v>
      </c>
      <c r="AR57" s="748">
        <f t="shared" si="62"/>
        <v>0</v>
      </c>
      <c r="AS57" s="748">
        <f t="shared" si="63"/>
        <v>0</v>
      </c>
      <c r="AT57" s="748">
        <f t="shared" si="64"/>
        <v>0</v>
      </c>
      <c r="AU57" s="748">
        <f t="shared" si="65"/>
        <v>0</v>
      </c>
      <c r="AV57" s="748">
        <f>IFERROR(INDEX('IPCS Data'!$R$8:$R$109,MATCH(EJ57,'IPCS Data'!$O$8:$O$109,0)),0)</f>
        <v>0</v>
      </c>
      <c r="AW57" s="755"/>
      <c r="AX57" s="499">
        <f>IFERROR(INDEX('IPCS Data'!$P$18:$P$110,MATCH(EK57,'IPCS Data'!$Q$18:$Q$110,0)),0)</f>
        <v>0</v>
      </c>
      <c r="AY57" s="1950" t="str">
        <f t="shared" si="110"/>
        <v/>
      </c>
      <c r="AZ57" s="755"/>
      <c r="BA57" s="753" t="str">
        <f>IFERROR(IF(MATCH(EJ57,'IPCS Data'!$O$8:$O$110,0)&gt;=25,"L","N"),"N")</f>
        <v>N</v>
      </c>
      <c r="BB57" s="774"/>
      <c r="BC57" s="753" t="str">
        <f t="shared" si="111"/>
        <v>N</v>
      </c>
      <c r="BD57" s="753" t="str">
        <f t="shared" si="39"/>
        <v>Non-Labor</v>
      </c>
      <c r="BE57" s="755"/>
      <c r="BF57" s="753" t="str">
        <f t="shared" si="112"/>
        <v>B23672.05</v>
      </c>
      <c r="BG57" s="753" t="str">
        <f t="shared" ref="BG57:BG65" si="140">ED57&amp;"."&amp;EG57&amp;"."&amp;EJ57</f>
        <v>0.0.0</v>
      </c>
      <c r="BH57" s="753">
        <f t="shared" si="66"/>
        <v>0</v>
      </c>
      <c r="BI57" s="753">
        <f t="shared" si="3"/>
        <v>0</v>
      </c>
      <c r="BJ57" s="753">
        <f t="shared" si="113"/>
        <v>0</v>
      </c>
      <c r="BK57" s="753">
        <f t="shared" si="40"/>
        <v>0</v>
      </c>
      <c r="BL57" s="753" t="b">
        <f t="shared" si="131"/>
        <v>1</v>
      </c>
      <c r="BM57" s="755"/>
      <c r="BN57" s="719">
        <f t="shared" si="67"/>
        <v>0</v>
      </c>
      <c r="BO57" s="719">
        <f t="shared" si="68"/>
        <v>110</v>
      </c>
      <c r="BP57" s="755"/>
      <c r="BQ57" s="719">
        <f>IF(AND((COUNTIFS('3a Staff Plan'!$J$129:$J$305,FA57)*$B$22)+(COUNTIFS('3b Activity Plan'!$J$173:$J$365,FA57)*$M$22)=0,FB57&gt;0),1,0)</f>
        <v>0</v>
      </c>
      <c r="BR57" s="719">
        <f t="shared" si="114"/>
        <v>0</v>
      </c>
      <c r="BS57" s="719">
        <f t="shared" si="69"/>
        <v>0</v>
      </c>
      <c r="BT57" s="719">
        <f t="shared" si="70"/>
        <v>0</v>
      </c>
      <c r="BU57" s="719">
        <f t="shared" si="71"/>
        <v>0</v>
      </c>
      <c r="BV57" s="719">
        <f t="shared" si="72"/>
        <v>0</v>
      </c>
      <c r="BW57" s="719">
        <f t="shared" si="73"/>
        <v>0</v>
      </c>
      <c r="BX57" s="719">
        <f t="shared" si="74"/>
        <v>0</v>
      </c>
      <c r="BY57" s="719">
        <f t="shared" si="75"/>
        <v>0</v>
      </c>
      <c r="BZ57" s="719">
        <f t="shared" si="115"/>
        <v>0</v>
      </c>
      <c r="CA57" s="719">
        <f t="shared" si="116"/>
        <v>0</v>
      </c>
      <c r="CB57" s="719">
        <f t="shared" si="76"/>
        <v>0</v>
      </c>
      <c r="CC57" s="719"/>
      <c r="CD57" s="719"/>
      <c r="CE57" s="719">
        <f t="shared" si="77"/>
        <v>0</v>
      </c>
      <c r="CF57" s="719">
        <f t="shared" si="117"/>
        <v>0</v>
      </c>
      <c r="CG57" s="719">
        <f t="shared" si="118"/>
        <v>0</v>
      </c>
      <c r="CH57" s="719">
        <f t="shared" si="119"/>
        <v>0</v>
      </c>
      <c r="CI57" s="719">
        <f t="shared" si="120"/>
        <v>0</v>
      </c>
      <c r="CJ57" s="719">
        <f t="shared" si="121"/>
        <v>0</v>
      </c>
      <c r="CK57" s="719">
        <f t="shared" si="122"/>
        <v>0</v>
      </c>
      <c r="CL57" s="719">
        <f t="shared" si="123"/>
        <v>0</v>
      </c>
      <c r="CM57" s="719">
        <f t="shared" si="124"/>
        <v>0</v>
      </c>
      <c r="CN57" s="719">
        <f t="shared" si="125"/>
        <v>0</v>
      </c>
      <c r="CO57" s="719">
        <f t="shared" si="42"/>
        <v>0</v>
      </c>
      <c r="CP57" s="719">
        <f t="shared" ref="CP57:CP65" si="141">IF(FB57&gt;0,1,0)</f>
        <v>0</v>
      </c>
      <c r="CQ57" s="719">
        <f t="shared" si="126"/>
        <v>24</v>
      </c>
      <c r="CR57" s="719">
        <f t="shared" si="127"/>
        <v>0</v>
      </c>
      <c r="CS57" s="2526"/>
      <c r="CT57" s="2527">
        <f t="shared" si="128"/>
        <v>29</v>
      </c>
      <c r="CU57" s="2527">
        <f t="shared" si="4"/>
        <v>0</v>
      </c>
      <c r="CV57" s="2527">
        <f t="shared" si="5"/>
        <v>0</v>
      </c>
      <c r="CW57" s="2527">
        <f t="shared" si="43"/>
        <v>0</v>
      </c>
      <c r="CX57" s="755"/>
      <c r="CY57" s="2537"/>
      <c r="CZ57" s="499">
        <f t="shared" si="49"/>
        <v>0</v>
      </c>
      <c r="DA57" s="1107">
        <f t="shared" si="50"/>
        <v>0</v>
      </c>
      <c r="DB57" s="2537"/>
      <c r="DC57" s="499">
        <f t="shared" si="79"/>
        <v>0</v>
      </c>
      <c r="DD57" s="1107">
        <f t="shared" si="80"/>
        <v>0</v>
      </c>
      <c r="DE57" s="2537"/>
      <c r="DF57" s="499">
        <f t="shared" si="81"/>
        <v>0</v>
      </c>
      <c r="DG57" s="1107">
        <f t="shared" si="82"/>
        <v>0</v>
      </c>
      <c r="DH57" s="2537"/>
      <c r="DI57" s="499">
        <f t="shared" si="83"/>
        <v>0</v>
      </c>
      <c r="DJ57" s="1107">
        <f t="shared" si="84"/>
        <v>0</v>
      </c>
      <c r="DK57" s="2537"/>
      <c r="DL57" s="499">
        <f t="shared" si="85"/>
        <v>0</v>
      </c>
      <c r="DM57" s="1107">
        <f t="shared" si="86"/>
        <v>0</v>
      </c>
      <c r="DN57" s="2537"/>
      <c r="DO57" s="499">
        <f t="shared" si="87"/>
        <v>0</v>
      </c>
      <c r="DP57" s="1107">
        <f t="shared" si="88"/>
        <v>0</v>
      </c>
      <c r="DQ57" s="2537"/>
      <c r="DR57" s="2559"/>
      <c r="DS57" s="499">
        <f t="shared" si="6"/>
        <v>0</v>
      </c>
      <c r="DT57" s="1106">
        <f t="shared" si="7"/>
        <v>0</v>
      </c>
      <c r="DU57" s="2537"/>
      <c r="DV57" s="2559"/>
      <c r="DW57" s="2312">
        <f t="shared" si="8"/>
        <v>0</v>
      </c>
      <c r="DX57" s="1106">
        <f t="shared" si="9"/>
        <v>0</v>
      </c>
      <c r="DY57" s="2572"/>
      <c r="DZ57" s="2537"/>
      <c r="EA57" s="2537"/>
      <c r="EB57" s="2577" t="str">
        <f t="shared" si="133"/>
        <v>05</v>
      </c>
      <c r="EC57" s="2570"/>
      <c r="ED57" s="436">
        <f>IFERROR(INDEX('IPCS Data'!$H$8:$H$30,MATCH(EE57,'IPCS Data'!$I$8:$I$30,0)),0)</f>
        <v>0</v>
      </c>
      <c r="EE57" s="3072"/>
      <c r="EF57" s="2570"/>
      <c r="EG57" s="499">
        <f>IFERROR(INDEX('IPCS Data'!$L$8:$L$27,MATCH(EH57,'IPCS Data'!$M$8:$M$27,0)),0)</f>
        <v>0</v>
      </c>
      <c r="EH57" s="3072"/>
      <c r="EI57" s="2578" t="s">
        <v>5</v>
      </c>
      <c r="EJ57" s="748">
        <f>IFERROR(INDEX('IPCS Data'!$O$8:$O$110,MATCH(EK57,'IPCS Data'!$Q$8:$Q$110,0)),0)</f>
        <v>0</v>
      </c>
      <c r="EK57" s="3072"/>
      <c r="EL57" s="2578"/>
      <c r="EM57" s="840">
        <f t="shared" si="89"/>
        <v>0</v>
      </c>
      <c r="EN57" s="841"/>
      <c r="EO57" s="2537"/>
      <c r="EP57" s="842">
        <f t="shared" si="90"/>
        <v>0</v>
      </c>
      <c r="EQ57" s="843"/>
      <c r="ER57" s="2537"/>
      <c r="ES57" s="840">
        <f t="shared" si="91"/>
        <v>0</v>
      </c>
      <c r="ET57" s="843"/>
      <c r="EU57" s="2537"/>
      <c r="EV57" s="1497"/>
      <c r="EW57" s="1683"/>
      <c r="EX57" s="2562">
        <f t="shared" si="92"/>
        <v>24</v>
      </c>
      <c r="EY57" s="2533"/>
      <c r="EZ57" s="2561"/>
      <c r="FA57" s="1324">
        <f t="shared" si="10"/>
        <v>0</v>
      </c>
      <c r="FB57" s="2629">
        <f t="shared" si="93"/>
        <v>0</v>
      </c>
      <c r="FC57" s="274"/>
      <c r="FD57" s="2626">
        <f t="shared" si="11"/>
        <v>0</v>
      </c>
      <c r="FE57" s="2626">
        <f t="shared" si="12"/>
        <v>0</v>
      </c>
      <c r="FF57" s="274"/>
      <c r="FG57" s="2616">
        <f t="shared" si="94"/>
        <v>0</v>
      </c>
      <c r="FH57" s="2616">
        <f t="shared" si="95"/>
        <v>0</v>
      </c>
      <c r="FI57" s="2616">
        <f t="shared" si="96"/>
        <v>0</v>
      </c>
      <c r="FJ57" s="2610" t="s">
        <v>5</v>
      </c>
      <c r="FK57" s="2616">
        <f t="shared" si="97"/>
        <v>0</v>
      </c>
      <c r="FL57" s="2616">
        <f t="shared" si="98"/>
        <v>0</v>
      </c>
      <c r="FM57" s="2616">
        <f t="shared" si="99"/>
        <v>0</v>
      </c>
      <c r="FN57" s="2622">
        <f t="shared" si="100"/>
        <v>0</v>
      </c>
      <c r="FO57" s="2615">
        <f t="shared" si="101"/>
        <v>0</v>
      </c>
      <c r="FP57" s="2624">
        <f t="shared" si="102"/>
        <v>0</v>
      </c>
      <c r="FQ57" s="2622">
        <f t="shared" si="103"/>
        <v>0</v>
      </c>
      <c r="FR57" s="2624">
        <f t="shared" si="104"/>
        <v>0</v>
      </c>
      <c r="FS57" s="2611" t="s">
        <v>5</v>
      </c>
      <c r="FT57" s="2616">
        <f t="shared" si="105"/>
        <v>0</v>
      </c>
      <c r="FU57" s="2622">
        <f t="shared" si="129"/>
        <v>0</v>
      </c>
      <c r="FV57" s="2616">
        <f t="shared" si="106"/>
        <v>0</v>
      </c>
      <c r="FW57" s="2612" t="s">
        <v>5</v>
      </c>
      <c r="FX57" s="2616">
        <f t="shared" si="51"/>
        <v>0</v>
      </c>
      <c r="FY57" s="2616">
        <f t="shared" si="107"/>
        <v>0</v>
      </c>
      <c r="FZ57" s="2613" t="s">
        <v>5</v>
      </c>
      <c r="GA57" s="2616">
        <f t="shared" si="48"/>
        <v>0</v>
      </c>
      <c r="GB57" s="2619">
        <f t="shared" ref="GB57:GB65" si="142">IFERROR(GA57/FY57,0)</f>
        <v>0</v>
      </c>
      <c r="GC57" s="2620">
        <f t="shared" si="108"/>
        <v>0</v>
      </c>
      <c r="GD57" s="2614"/>
      <c r="GE57" s="3195">
        <f t="shared" si="16"/>
        <v>0</v>
      </c>
      <c r="GF57" s="3195">
        <f t="shared" si="17"/>
        <v>0</v>
      </c>
      <c r="GG57" s="3193" t="str">
        <f t="shared" si="18"/>
        <v>X</v>
      </c>
      <c r="GH57" s="2531"/>
      <c r="GI57" s="3189" t="str">
        <f t="shared" si="19"/>
        <v/>
      </c>
      <c r="GJ57" s="2598"/>
      <c r="GK57" s="3173">
        <f t="shared" si="20"/>
        <v>0</v>
      </c>
      <c r="GL57" s="3173">
        <f t="shared" si="21"/>
        <v>0</v>
      </c>
      <c r="GM57" s="3173">
        <f t="shared" si="22"/>
        <v>0</v>
      </c>
      <c r="GN57" s="3174">
        <f t="shared" si="23"/>
        <v>0</v>
      </c>
      <c r="GO57" s="3174">
        <f t="shared" si="24"/>
        <v>0</v>
      </c>
      <c r="GP57" s="3175">
        <f t="shared" si="25"/>
        <v>0</v>
      </c>
      <c r="GQ57" s="3176">
        <f t="shared" si="26"/>
        <v>0</v>
      </c>
      <c r="GR57" s="3177">
        <f t="shared" si="27"/>
        <v>0</v>
      </c>
      <c r="GS57" s="3177">
        <f t="shared" si="28"/>
        <v>0</v>
      </c>
      <c r="GT57" s="3178">
        <f t="shared" si="29"/>
        <v>0</v>
      </c>
      <c r="GU57" s="3179"/>
      <c r="GV57" s="3178">
        <f t="shared" si="30"/>
        <v>0</v>
      </c>
      <c r="GW57" s="3177">
        <f t="shared" si="31"/>
        <v>0</v>
      </c>
      <c r="GX57" s="3180"/>
      <c r="GY57" s="3177">
        <f t="shared" si="32"/>
        <v>0</v>
      </c>
      <c r="GZ57" s="2593"/>
      <c r="HA57" s="277"/>
      <c r="HB57" s="277"/>
      <c r="HC57" s="277"/>
      <c r="HD57" s="277"/>
      <c r="HE57" s="277"/>
      <c r="HF57" s="277"/>
      <c r="HG57" s="277"/>
      <c r="HH57" s="277"/>
      <c r="HI57" s="277"/>
      <c r="HJ57" s="277"/>
      <c r="HK57" s="277"/>
      <c r="HL57" s="277"/>
      <c r="HM57" s="277"/>
      <c r="HN57" s="277"/>
      <c r="HO57" s="277"/>
    </row>
    <row r="58" spans="1:223" s="749" customFormat="1" ht="18" customHeight="1" x14ac:dyDescent="0.3">
      <c r="A58" s="755"/>
      <c r="B58" s="805">
        <f>SUMIFS('3a Staff Plan'!$T$129:$T$305,'3a Staff Plan'!$DF$129:$DF$305,1,'3a Staff Plan'!$DA$129:$DA$305,1,'3a Staff Plan'!$J$129:$J$305,$FA58)</f>
        <v>0</v>
      </c>
      <c r="C58" s="805">
        <f>SUMIFS('3a Staff Plan'!$U$129:$U$305,'3a Staff Plan'!$DF$129:$DF$305,1,'3a Staff Plan'!$DA$129:$DA$305,1,'3a Staff Plan'!$J$129:$J$305,$FA58)</f>
        <v>0</v>
      </c>
      <c r="D58" s="805">
        <f>SUMIFS('3a Staff Plan'!$Z$129:$Z$305,'3a Staff Plan'!$DF$129:$DF$305,1,'3a Staff Plan'!$DA$129:$DA$305,1,'3a Staff Plan'!$J$129:$J$305,$FA58)</f>
        <v>0</v>
      </c>
      <c r="E58" s="805">
        <f>SUMIFS('3a Staff Plan'!$Y$129:$Y$305,'3a Staff Plan'!$DF$129:$DF$305,1,'3a Staff Plan'!$DA$129:$DA$305,1,'3a Staff Plan'!$J$129:$J$305,$FA58)</f>
        <v>0</v>
      </c>
      <c r="F58" s="805">
        <f>SUMIFS('3a Staff Plan'!$X$129:$X$305,'3a Staff Plan'!$DF$129:$DF$305,1,'3a Staff Plan'!$DA$129:$DA$305,1,'3a Staff Plan'!$AG$129:$AG$305,1,'3a Staff Plan'!$J$129:$J$305,$FA58)</f>
        <v>0</v>
      </c>
      <c r="G58" s="805">
        <f>IF($G$24=0,0,SUMIFS('3a Staff Plan'!$W$129:$W$305,'3a Staff Plan'!$DF$129:$DF$305,1,'3a Staff Plan'!$DA$129:$DA$305,1,'3a Staff Plan'!$J$129:$J$305,$FA58))</f>
        <v>0</v>
      </c>
      <c r="H58" s="795">
        <f t="shared" si="52"/>
        <v>0</v>
      </c>
      <c r="I58" s="805">
        <f>SUMIFS('3a Staff Plan'!$V$129:$V$305,'3a Staff Plan'!$DF$129:$DF$305,1,'3a Staff Plan'!$DA$129:$DA$305,1,'3a Staff Plan'!$J$129:$J$305,$FA58)</f>
        <v>0</v>
      </c>
      <c r="J58" s="805">
        <f>SUMIFS('3a Staff Plan'!$AB$129:$AB$305,'3a Staff Plan'!$DF$129:$DF$305,1,'3a Staff Plan'!$DA$129:$DA$305,1,'3a Staff Plan'!$J$129:$J$305,$FA58)</f>
        <v>0</v>
      </c>
      <c r="K58" s="805">
        <f>SUMIFS('3a Staff Plan'!$AA$129:$AA$305,'3a Staff Plan'!$DF$129:$DF$305,1,'3a Staff Plan'!$DA$129:$DA$305,1,'3a Staff Plan'!$AG$129:$AG$305,1,'3a Staff Plan'!$J$129:$J$305,$FA58)</f>
        <v>0</v>
      </c>
      <c r="L58" s="755"/>
      <c r="M58" s="805">
        <f>SUMIFS('3b Activity Plan'!$T$173:$T$365,'3b Activity Plan'!$CY$173:$CY$365,1,'3b Activity Plan'!$CT$173:$CT$365,1,'3b Activity Plan'!$J$173:$J$365,$FA58)</f>
        <v>0</v>
      </c>
      <c r="N58" s="805">
        <f>SUMIFS('3b Activity Plan'!$U$173:$U$365,'3b Activity Plan'!$CY$173:$CY$365,1,'3b Activity Plan'!$CT$173:$CT$365,1,'3b Activity Plan'!$J$173:$J$365,$FA58)</f>
        <v>0</v>
      </c>
      <c r="O58" s="805">
        <f>SUMIFS('3b Activity Plan'!$Z$173:$Z$365,'3b Activity Plan'!$CY$173:$CY$365,1,'3b Activity Plan'!$CT$173:$CT$365,1,'3b Activity Plan'!$J$173:$J$365,$FA58)</f>
        <v>0</v>
      </c>
      <c r="P58" s="805">
        <f>SUMIFS('3b Activity Plan'!$Y$173:$Y$365,'3b Activity Plan'!$CY$173:$CY$365,1,'3b Activity Plan'!$CT$173:$CT$365,1,'3b Activity Plan'!$J$173:$J$365,$FA58)</f>
        <v>0</v>
      </c>
      <c r="Q58" s="805">
        <f>SUMIFS('3b Activity Plan'!$X$173:$X$365,'3b Activity Plan'!$CY$173:$CY$365,1,'3b Activity Plan'!$CT$173:$CT$365,1,'3b Activity Plan'!$J$173:$J$365,$FA58)</f>
        <v>0</v>
      </c>
      <c r="R58" s="805">
        <f>IF($R$24=0,0,SUMIFS('3b Activity Plan'!$W$173:$W$365,'3b Activity Plan'!$CY$173:$CY$365,1,'3b Activity Plan'!$CT$173:$CT$365,1,'3b Activity Plan'!$J$173:$J$365,$FA58))</f>
        <v>0</v>
      </c>
      <c r="S58" s="795">
        <f t="shared" si="53"/>
        <v>0</v>
      </c>
      <c r="T58" s="805">
        <f>SUMIFS('3b Activity Plan'!$V$173:$V$365,'3b Activity Plan'!$CY$173:$CY$365,1,'3b Activity Plan'!$CT$173:$CT$365,1,'3b Activity Plan'!$J$173:$J$365,$FA58)</f>
        <v>0</v>
      </c>
      <c r="U58" s="805">
        <f>SUMIFS('3b Activity Plan'!$AB$173:$AB$365,'3b Activity Plan'!$CY$173:$CY$365,1,'3b Activity Plan'!$CT$173:$CT$365,1,'3b Activity Plan'!$J$173:$J$365,$FA58)</f>
        <v>0</v>
      </c>
      <c r="V58" s="805">
        <f>SUMIFS('3b Activity Plan'!$AA$173:$AA$365,'3b Activity Plan'!$CY$173:$CY$365,1,'3b Activity Plan'!$CT$173:$CT$365,1,'3b Activity Plan'!$J$173:$J$365,$FA58)</f>
        <v>0</v>
      </c>
      <c r="W58" s="755"/>
      <c r="X58" s="2641">
        <f>SUMIFS('3b Activity Plan'!$FU$173:$FU$365,'3b Activity Plan'!$J$173:$J$365,$FA58)</f>
        <v>0</v>
      </c>
      <c r="Y58" s="2641">
        <f>SUMIFS('3b Activity Plan'!$FW$173:$FW$365,'3b Activity Plan'!$J$173:$J$365,$FA58)</f>
        <v>0</v>
      </c>
      <c r="Z58" s="2639">
        <f t="shared" si="132"/>
        <v>0</v>
      </c>
      <c r="AA58" s="755"/>
      <c r="AB58" s="761">
        <f>_xlfn.MINIFS('3a Staff Plan'!$EB$129:$EB$304,'3a Staff Plan'!$DF$129:$DF$304,1,'3a Staff Plan'!$J$129:$J$304,FA58)</f>
        <v>0</v>
      </c>
      <c r="AC58" s="761">
        <f>_xlfn.MAXIFS('3a Staff Plan'!$EC$129:$EC$304,'3a Staff Plan'!$DF$129:$DF$304,1,'3a Staff Plan'!$J$129:$J$304,FA58)</f>
        <v>0</v>
      </c>
      <c r="AD58" s="755"/>
      <c r="AE58" s="761">
        <f>_xlfn.MINIFS('3b Activity Plan'!$GN$173:$GN$365,'3b Activity Plan'!$CY$173:$CY$365,1,'3b Activity Plan'!$J$173:$J$365,$FA58)</f>
        <v>0</v>
      </c>
      <c r="AF58" s="761">
        <f>_xlfn.MAXIFS('3b Activity Plan'!$GO$173:$GO$365,'3b Activity Plan'!$CY$173:$CY$365,1,'3b Activity Plan'!$J$173:$J$365,$FA58)</f>
        <v>0</v>
      </c>
      <c r="AG58" s="755"/>
      <c r="AH58" s="761">
        <f t="shared" si="54"/>
        <v>0</v>
      </c>
      <c r="AI58" s="761">
        <f t="shared" si="55"/>
        <v>0</v>
      </c>
      <c r="AJ58" s="755"/>
      <c r="AK58" s="761">
        <f t="shared" si="56"/>
        <v>0</v>
      </c>
      <c r="AL58" s="761">
        <f t="shared" si="57"/>
        <v>0</v>
      </c>
      <c r="AM58" s="776">
        <f t="shared" si="58"/>
        <v>0</v>
      </c>
      <c r="AN58" s="755"/>
      <c r="AO58" s="748">
        <f t="shared" si="59"/>
        <v>0</v>
      </c>
      <c r="AP58" s="748">
        <f t="shared" si="60"/>
        <v>0</v>
      </c>
      <c r="AQ58" s="748">
        <f t="shared" si="61"/>
        <v>0</v>
      </c>
      <c r="AR58" s="748">
        <f t="shared" si="62"/>
        <v>0</v>
      </c>
      <c r="AS58" s="748">
        <f t="shared" si="63"/>
        <v>0</v>
      </c>
      <c r="AT58" s="748">
        <f t="shared" si="64"/>
        <v>0</v>
      </c>
      <c r="AU58" s="748">
        <f t="shared" si="65"/>
        <v>0</v>
      </c>
      <c r="AV58" s="748">
        <f>IFERROR(INDEX('IPCS Data'!$R$8:$R$109,MATCH(EJ58,'IPCS Data'!$O$8:$O$109,0)),0)</f>
        <v>0</v>
      </c>
      <c r="AW58" s="755"/>
      <c r="AX58" s="499">
        <f>IFERROR(INDEX('IPCS Data'!$P$18:$P$110,MATCH(EK58,'IPCS Data'!$Q$18:$Q$110,0)),0)</f>
        <v>0</v>
      </c>
      <c r="AY58" s="1950" t="str">
        <f t="shared" si="110"/>
        <v/>
      </c>
      <c r="AZ58" s="755"/>
      <c r="BA58" s="753" t="str">
        <f>IFERROR(IF(MATCH(EJ58,'IPCS Data'!$O$8:$O$110,0)&gt;=25,"L","N"),"N")</f>
        <v>N</v>
      </c>
      <c r="BB58" s="774"/>
      <c r="BC58" s="753" t="str">
        <f t="shared" si="111"/>
        <v>N</v>
      </c>
      <c r="BD58" s="753" t="str">
        <f t="shared" si="39"/>
        <v>Non-Labor</v>
      </c>
      <c r="BE58" s="755"/>
      <c r="BF58" s="753" t="str">
        <f t="shared" si="112"/>
        <v>B23672.05</v>
      </c>
      <c r="BG58" s="753" t="str">
        <f t="shared" si="140"/>
        <v>0.0.0</v>
      </c>
      <c r="BH58" s="753">
        <f t="shared" si="66"/>
        <v>0</v>
      </c>
      <c r="BI58" s="753">
        <f t="shared" si="3"/>
        <v>0</v>
      </c>
      <c r="BJ58" s="753">
        <f t="shared" si="113"/>
        <v>0</v>
      </c>
      <c r="BK58" s="753">
        <f t="shared" si="40"/>
        <v>0</v>
      </c>
      <c r="BL58" s="753" t="b">
        <f t="shared" si="131"/>
        <v>1</v>
      </c>
      <c r="BM58" s="755"/>
      <c r="BN58" s="719">
        <f t="shared" si="67"/>
        <v>0</v>
      </c>
      <c r="BO58" s="719">
        <f t="shared" si="68"/>
        <v>110</v>
      </c>
      <c r="BP58" s="755"/>
      <c r="BQ58" s="719">
        <f>IF(AND((COUNTIFS('3a Staff Plan'!$J$129:$J$305,FA58)*$B$22)+(COUNTIFS('3b Activity Plan'!$J$173:$J$365,FA58)*$M$22)=0,FB58&gt;0),1,0)</f>
        <v>0</v>
      </c>
      <c r="BR58" s="719">
        <f t="shared" si="114"/>
        <v>0</v>
      </c>
      <c r="BS58" s="719">
        <f t="shared" si="69"/>
        <v>0</v>
      </c>
      <c r="BT58" s="719">
        <f t="shared" si="70"/>
        <v>0</v>
      </c>
      <c r="BU58" s="719">
        <f t="shared" si="71"/>
        <v>0</v>
      </c>
      <c r="BV58" s="719">
        <f t="shared" si="72"/>
        <v>0</v>
      </c>
      <c r="BW58" s="719">
        <f t="shared" si="73"/>
        <v>0</v>
      </c>
      <c r="BX58" s="719">
        <f t="shared" si="74"/>
        <v>0</v>
      </c>
      <c r="BY58" s="719">
        <f t="shared" si="75"/>
        <v>0</v>
      </c>
      <c r="BZ58" s="719">
        <f t="shared" si="115"/>
        <v>0</v>
      </c>
      <c r="CA58" s="719">
        <f t="shared" si="116"/>
        <v>0</v>
      </c>
      <c r="CB58" s="719">
        <f t="shared" si="76"/>
        <v>0</v>
      </c>
      <c r="CC58" s="719"/>
      <c r="CD58" s="719"/>
      <c r="CE58" s="719">
        <f t="shared" si="77"/>
        <v>0</v>
      </c>
      <c r="CF58" s="719">
        <f t="shared" si="117"/>
        <v>0</v>
      </c>
      <c r="CG58" s="719">
        <f t="shared" si="118"/>
        <v>0</v>
      </c>
      <c r="CH58" s="719">
        <f t="shared" si="119"/>
        <v>0</v>
      </c>
      <c r="CI58" s="719">
        <f t="shared" si="120"/>
        <v>0</v>
      </c>
      <c r="CJ58" s="719">
        <f t="shared" si="121"/>
        <v>0</v>
      </c>
      <c r="CK58" s="719">
        <f t="shared" si="122"/>
        <v>0</v>
      </c>
      <c r="CL58" s="719">
        <f t="shared" si="123"/>
        <v>0</v>
      </c>
      <c r="CM58" s="719">
        <f t="shared" si="124"/>
        <v>0</v>
      </c>
      <c r="CN58" s="719">
        <f t="shared" si="125"/>
        <v>0</v>
      </c>
      <c r="CO58" s="719">
        <f t="shared" si="42"/>
        <v>0</v>
      </c>
      <c r="CP58" s="719">
        <f t="shared" si="141"/>
        <v>0</v>
      </c>
      <c r="CQ58" s="719">
        <f t="shared" si="126"/>
        <v>25</v>
      </c>
      <c r="CR58" s="719">
        <f t="shared" si="127"/>
        <v>0</v>
      </c>
      <c r="CS58" s="2526"/>
      <c r="CT58" s="2527">
        <f t="shared" si="128"/>
        <v>30</v>
      </c>
      <c r="CU58" s="2527">
        <f t="shared" si="4"/>
        <v>0</v>
      </c>
      <c r="CV58" s="2527">
        <f t="shared" si="5"/>
        <v>0</v>
      </c>
      <c r="CW58" s="2527">
        <f t="shared" si="43"/>
        <v>0</v>
      </c>
      <c r="CX58" s="755"/>
      <c r="CY58" s="2537"/>
      <c r="CZ58" s="499">
        <f t="shared" si="49"/>
        <v>0</v>
      </c>
      <c r="DA58" s="1107">
        <f t="shared" si="50"/>
        <v>0</v>
      </c>
      <c r="DB58" s="2537"/>
      <c r="DC58" s="499">
        <f t="shared" si="79"/>
        <v>0</v>
      </c>
      <c r="DD58" s="1107">
        <f t="shared" si="80"/>
        <v>0</v>
      </c>
      <c r="DE58" s="2537"/>
      <c r="DF58" s="499">
        <f t="shared" si="81"/>
        <v>0</v>
      </c>
      <c r="DG58" s="1107">
        <f t="shared" si="82"/>
        <v>0</v>
      </c>
      <c r="DH58" s="2537"/>
      <c r="DI58" s="499">
        <f t="shared" si="83"/>
        <v>0</v>
      </c>
      <c r="DJ58" s="1107">
        <f t="shared" si="84"/>
        <v>0</v>
      </c>
      <c r="DK58" s="2537"/>
      <c r="DL58" s="499">
        <f t="shared" si="85"/>
        <v>0</v>
      </c>
      <c r="DM58" s="1107">
        <f t="shared" si="86"/>
        <v>0</v>
      </c>
      <c r="DN58" s="2537"/>
      <c r="DO58" s="499">
        <f t="shared" si="87"/>
        <v>0</v>
      </c>
      <c r="DP58" s="1107">
        <f t="shared" si="88"/>
        <v>0</v>
      </c>
      <c r="DQ58" s="2537"/>
      <c r="DR58" s="2559"/>
      <c r="DS58" s="499">
        <f t="shared" si="6"/>
        <v>0</v>
      </c>
      <c r="DT58" s="1106">
        <f t="shared" si="7"/>
        <v>0</v>
      </c>
      <c r="DU58" s="2537"/>
      <c r="DV58" s="2559"/>
      <c r="DW58" s="2312">
        <f t="shared" si="8"/>
        <v>0</v>
      </c>
      <c r="DX58" s="1106">
        <f t="shared" si="9"/>
        <v>0</v>
      </c>
      <c r="DY58" s="2572"/>
      <c r="DZ58" s="2537"/>
      <c r="EA58" s="2537"/>
      <c r="EB58" s="2577" t="str">
        <f t="shared" si="133"/>
        <v>05</v>
      </c>
      <c r="EC58" s="2570"/>
      <c r="ED58" s="436">
        <f>IFERROR(INDEX('IPCS Data'!$H$8:$H$30,MATCH(EE58,'IPCS Data'!$I$8:$I$30,0)),0)</f>
        <v>0</v>
      </c>
      <c r="EE58" s="437"/>
      <c r="EF58" s="2570"/>
      <c r="EG58" s="499">
        <f>IFERROR(INDEX('IPCS Data'!$L$8:$L$27,MATCH(EH58,'IPCS Data'!$M$8:$M$27,0)),0)</f>
        <v>0</v>
      </c>
      <c r="EH58" s="3072"/>
      <c r="EI58" s="2578" t="s">
        <v>5</v>
      </c>
      <c r="EJ58" s="748">
        <f>IFERROR(INDEX('IPCS Data'!$O$8:$O$110,MATCH(EK58,'IPCS Data'!$Q$8:$Q$110,0)),0)</f>
        <v>0</v>
      </c>
      <c r="EK58" s="437"/>
      <c r="EL58" s="2578"/>
      <c r="EM58" s="840">
        <f t="shared" si="89"/>
        <v>0</v>
      </c>
      <c r="EN58" s="841"/>
      <c r="EO58" s="2537"/>
      <c r="EP58" s="842">
        <f t="shared" si="90"/>
        <v>0</v>
      </c>
      <c r="EQ58" s="843"/>
      <c r="ER58" s="2537"/>
      <c r="ES58" s="840">
        <f t="shared" si="91"/>
        <v>0</v>
      </c>
      <c r="ET58" s="843"/>
      <c r="EU58" s="2537"/>
      <c r="EV58" s="1497"/>
      <c r="EW58" s="1683"/>
      <c r="EX58" s="2562">
        <f t="shared" si="92"/>
        <v>25</v>
      </c>
      <c r="EY58" s="2533"/>
      <c r="EZ58" s="2561"/>
      <c r="FA58" s="1324">
        <f t="shared" si="10"/>
        <v>0</v>
      </c>
      <c r="FB58" s="2629">
        <f t="shared" si="93"/>
        <v>0</v>
      </c>
      <c r="FC58" s="274"/>
      <c r="FD58" s="2626">
        <f t="shared" si="11"/>
        <v>0</v>
      </c>
      <c r="FE58" s="2626">
        <f t="shared" si="12"/>
        <v>0</v>
      </c>
      <c r="FF58" s="274"/>
      <c r="FG58" s="2616">
        <f t="shared" si="94"/>
        <v>0</v>
      </c>
      <c r="FH58" s="2616">
        <f t="shared" si="95"/>
        <v>0</v>
      </c>
      <c r="FI58" s="2616">
        <f t="shared" si="96"/>
        <v>0</v>
      </c>
      <c r="FJ58" s="2610" t="s">
        <v>5</v>
      </c>
      <c r="FK58" s="2616">
        <f t="shared" si="97"/>
        <v>0</v>
      </c>
      <c r="FL58" s="2616">
        <f t="shared" si="98"/>
        <v>0</v>
      </c>
      <c r="FM58" s="2616">
        <f t="shared" si="99"/>
        <v>0</v>
      </c>
      <c r="FN58" s="2622">
        <f t="shared" si="100"/>
        <v>0</v>
      </c>
      <c r="FO58" s="2615">
        <f t="shared" si="101"/>
        <v>0</v>
      </c>
      <c r="FP58" s="2624">
        <f t="shared" si="102"/>
        <v>0</v>
      </c>
      <c r="FQ58" s="2622">
        <f t="shared" si="103"/>
        <v>0</v>
      </c>
      <c r="FR58" s="2624">
        <f t="shared" si="104"/>
        <v>0</v>
      </c>
      <c r="FS58" s="2611" t="s">
        <v>5</v>
      </c>
      <c r="FT58" s="2616">
        <f t="shared" si="105"/>
        <v>0</v>
      </c>
      <c r="FU58" s="2622">
        <f t="shared" si="129"/>
        <v>0</v>
      </c>
      <c r="FV58" s="2616">
        <f t="shared" si="106"/>
        <v>0</v>
      </c>
      <c r="FW58" s="2612" t="s">
        <v>5</v>
      </c>
      <c r="FX58" s="2616">
        <f t="shared" si="51"/>
        <v>0</v>
      </c>
      <c r="FY58" s="2616">
        <f t="shared" si="107"/>
        <v>0</v>
      </c>
      <c r="FZ58" s="2613" t="s">
        <v>5</v>
      </c>
      <c r="GA58" s="2616">
        <f t="shared" si="48"/>
        <v>0</v>
      </c>
      <c r="GB58" s="2619">
        <f t="shared" si="142"/>
        <v>0</v>
      </c>
      <c r="GC58" s="2620">
        <f t="shared" si="108"/>
        <v>0</v>
      </c>
      <c r="GD58" s="2614"/>
      <c r="GE58" s="3195">
        <f t="shared" si="16"/>
        <v>0</v>
      </c>
      <c r="GF58" s="3195">
        <f t="shared" si="17"/>
        <v>0</v>
      </c>
      <c r="GG58" s="3193" t="str">
        <f t="shared" si="18"/>
        <v>X</v>
      </c>
      <c r="GH58" s="2531"/>
      <c r="GI58" s="3189" t="str">
        <f t="shared" si="19"/>
        <v/>
      </c>
      <c r="GJ58" s="2598"/>
      <c r="GK58" s="3173">
        <f t="shared" si="20"/>
        <v>0</v>
      </c>
      <c r="GL58" s="3173">
        <f t="shared" si="21"/>
        <v>0</v>
      </c>
      <c r="GM58" s="3173">
        <f t="shared" si="22"/>
        <v>0</v>
      </c>
      <c r="GN58" s="3174">
        <f t="shared" si="23"/>
        <v>0</v>
      </c>
      <c r="GO58" s="3174">
        <f t="shared" si="24"/>
        <v>0</v>
      </c>
      <c r="GP58" s="3175">
        <f t="shared" si="25"/>
        <v>0</v>
      </c>
      <c r="GQ58" s="3176">
        <f t="shared" si="26"/>
        <v>0</v>
      </c>
      <c r="GR58" s="3177">
        <f t="shared" si="27"/>
        <v>0</v>
      </c>
      <c r="GS58" s="3177">
        <f t="shared" si="28"/>
        <v>0</v>
      </c>
      <c r="GT58" s="3178">
        <f t="shared" si="29"/>
        <v>0</v>
      </c>
      <c r="GU58" s="3179"/>
      <c r="GV58" s="3178">
        <f t="shared" si="30"/>
        <v>0</v>
      </c>
      <c r="GW58" s="3177">
        <f t="shared" si="31"/>
        <v>0</v>
      </c>
      <c r="GX58" s="3180"/>
      <c r="GY58" s="3177">
        <f t="shared" si="32"/>
        <v>0</v>
      </c>
      <c r="GZ58" s="2593"/>
      <c r="HA58" s="277"/>
      <c r="HB58" s="277"/>
      <c r="HC58" s="277"/>
      <c r="HD58" s="277"/>
      <c r="HE58" s="277"/>
      <c r="HF58" s="277"/>
      <c r="HG58" s="277"/>
      <c r="HH58" s="277"/>
      <c r="HI58" s="277"/>
      <c r="HJ58" s="277"/>
      <c r="HK58" s="277"/>
      <c r="HL58" s="277"/>
      <c r="HM58" s="277"/>
      <c r="HN58" s="277"/>
      <c r="HO58" s="277"/>
    </row>
    <row r="59" spans="1:223" s="749" customFormat="1" ht="18" customHeight="1" x14ac:dyDescent="0.3">
      <c r="A59" s="755"/>
      <c r="B59" s="805">
        <f>SUMIFS('3a Staff Plan'!$T$129:$T$305,'3a Staff Plan'!$DF$129:$DF$305,1,'3a Staff Plan'!$DA$129:$DA$305,1,'3a Staff Plan'!$J$129:$J$305,$FA59)</f>
        <v>0</v>
      </c>
      <c r="C59" s="805">
        <f>SUMIFS('3a Staff Plan'!$U$129:$U$305,'3a Staff Plan'!$DF$129:$DF$305,1,'3a Staff Plan'!$DA$129:$DA$305,1,'3a Staff Plan'!$J$129:$J$305,$FA59)</f>
        <v>0</v>
      </c>
      <c r="D59" s="805">
        <f>SUMIFS('3a Staff Plan'!$Z$129:$Z$305,'3a Staff Plan'!$DF$129:$DF$305,1,'3a Staff Plan'!$DA$129:$DA$305,1,'3a Staff Plan'!$J$129:$J$305,$FA59)</f>
        <v>0</v>
      </c>
      <c r="E59" s="805">
        <f>SUMIFS('3a Staff Plan'!$Y$129:$Y$305,'3a Staff Plan'!$DF$129:$DF$305,1,'3a Staff Plan'!$DA$129:$DA$305,1,'3a Staff Plan'!$J$129:$J$305,$FA59)</f>
        <v>0</v>
      </c>
      <c r="F59" s="805">
        <f>SUMIFS('3a Staff Plan'!$X$129:$X$305,'3a Staff Plan'!$DF$129:$DF$305,1,'3a Staff Plan'!$DA$129:$DA$305,1,'3a Staff Plan'!$AG$129:$AG$305,1,'3a Staff Plan'!$J$129:$J$305,$FA59)</f>
        <v>0</v>
      </c>
      <c r="G59" s="805">
        <f>IF($G$24=0,0,SUMIFS('3a Staff Plan'!$W$129:$W$305,'3a Staff Plan'!$DF$129:$DF$305,1,'3a Staff Plan'!$DA$129:$DA$305,1,'3a Staff Plan'!$J$129:$J$305,$FA59))</f>
        <v>0</v>
      </c>
      <c r="H59" s="795">
        <f t="shared" si="52"/>
        <v>0</v>
      </c>
      <c r="I59" s="805">
        <f>SUMIFS('3a Staff Plan'!$V$129:$V$305,'3a Staff Plan'!$DF$129:$DF$305,1,'3a Staff Plan'!$DA$129:$DA$305,1,'3a Staff Plan'!$J$129:$J$305,$FA59)</f>
        <v>0</v>
      </c>
      <c r="J59" s="805">
        <f>SUMIFS('3a Staff Plan'!$AB$129:$AB$305,'3a Staff Plan'!$DF$129:$DF$305,1,'3a Staff Plan'!$DA$129:$DA$305,1,'3a Staff Plan'!$J$129:$J$305,$FA59)</f>
        <v>0</v>
      </c>
      <c r="K59" s="805">
        <f>SUMIFS('3a Staff Plan'!$AA$129:$AA$305,'3a Staff Plan'!$DF$129:$DF$305,1,'3a Staff Plan'!$DA$129:$DA$305,1,'3a Staff Plan'!$AG$129:$AG$305,1,'3a Staff Plan'!$J$129:$J$305,$FA59)</f>
        <v>0</v>
      </c>
      <c r="L59" s="755"/>
      <c r="M59" s="805">
        <f>SUMIFS('3b Activity Plan'!$T$173:$T$365,'3b Activity Plan'!$CY$173:$CY$365,1,'3b Activity Plan'!$CT$173:$CT$365,1,'3b Activity Plan'!$J$173:$J$365,$FA59)</f>
        <v>0</v>
      </c>
      <c r="N59" s="805">
        <f>SUMIFS('3b Activity Plan'!$U$173:$U$365,'3b Activity Plan'!$CY$173:$CY$365,1,'3b Activity Plan'!$CT$173:$CT$365,1,'3b Activity Plan'!$J$173:$J$365,$FA59)</f>
        <v>0</v>
      </c>
      <c r="O59" s="805">
        <f>SUMIFS('3b Activity Plan'!$Z$173:$Z$365,'3b Activity Plan'!$CY$173:$CY$365,1,'3b Activity Plan'!$CT$173:$CT$365,1,'3b Activity Plan'!$J$173:$J$365,$FA59)</f>
        <v>0</v>
      </c>
      <c r="P59" s="805">
        <f>SUMIFS('3b Activity Plan'!$Y$173:$Y$365,'3b Activity Plan'!$CY$173:$CY$365,1,'3b Activity Plan'!$CT$173:$CT$365,1,'3b Activity Plan'!$J$173:$J$365,$FA59)</f>
        <v>0</v>
      </c>
      <c r="Q59" s="805">
        <f>SUMIFS('3b Activity Plan'!$X$173:$X$365,'3b Activity Plan'!$CY$173:$CY$365,1,'3b Activity Plan'!$CT$173:$CT$365,1,'3b Activity Plan'!$J$173:$J$365,$FA59)</f>
        <v>0</v>
      </c>
      <c r="R59" s="805">
        <f>IF($R$24=0,0,SUMIFS('3b Activity Plan'!$W$173:$W$365,'3b Activity Plan'!$CY$173:$CY$365,1,'3b Activity Plan'!$CT$173:$CT$365,1,'3b Activity Plan'!$J$173:$J$365,$FA59))</f>
        <v>0</v>
      </c>
      <c r="S59" s="795">
        <f t="shared" si="53"/>
        <v>0</v>
      </c>
      <c r="T59" s="805">
        <f>SUMIFS('3b Activity Plan'!$V$173:$V$365,'3b Activity Plan'!$CY$173:$CY$365,1,'3b Activity Plan'!$CT$173:$CT$365,1,'3b Activity Plan'!$J$173:$J$365,$FA59)</f>
        <v>0</v>
      </c>
      <c r="U59" s="805">
        <f>SUMIFS('3b Activity Plan'!$AB$173:$AB$365,'3b Activity Plan'!$CY$173:$CY$365,1,'3b Activity Plan'!$CT$173:$CT$365,1,'3b Activity Plan'!$J$173:$J$365,$FA59)</f>
        <v>0</v>
      </c>
      <c r="V59" s="805">
        <f>SUMIFS('3b Activity Plan'!$AA$173:$AA$365,'3b Activity Plan'!$CY$173:$CY$365,1,'3b Activity Plan'!$CT$173:$CT$365,1,'3b Activity Plan'!$J$173:$J$365,$FA59)</f>
        <v>0</v>
      </c>
      <c r="W59" s="755"/>
      <c r="X59" s="2641">
        <f>SUMIFS('3b Activity Plan'!$FU$173:$FU$365,'3b Activity Plan'!$J$173:$J$365,$FA59)</f>
        <v>0</v>
      </c>
      <c r="Y59" s="2641">
        <f>SUMIFS('3b Activity Plan'!$FW$173:$FW$365,'3b Activity Plan'!$J$173:$J$365,$FA59)</f>
        <v>0</v>
      </c>
      <c r="Z59" s="2639">
        <f t="shared" si="132"/>
        <v>0</v>
      </c>
      <c r="AA59" s="755"/>
      <c r="AB59" s="761">
        <f>_xlfn.MINIFS('3a Staff Plan'!$EB$129:$EB$304,'3a Staff Plan'!$DF$129:$DF$304,1,'3a Staff Plan'!$J$129:$J$304,FA59)</f>
        <v>0</v>
      </c>
      <c r="AC59" s="761">
        <f>_xlfn.MAXIFS('3a Staff Plan'!$EC$129:$EC$304,'3a Staff Plan'!$DF$129:$DF$304,1,'3a Staff Plan'!$J$129:$J$304,FA59)</f>
        <v>0</v>
      </c>
      <c r="AD59" s="755"/>
      <c r="AE59" s="761">
        <f>_xlfn.MINIFS('3b Activity Plan'!$GN$173:$GN$365,'3b Activity Plan'!$CY$173:$CY$365,1,'3b Activity Plan'!$J$173:$J$365,$FA59)</f>
        <v>0</v>
      </c>
      <c r="AF59" s="761">
        <f>_xlfn.MAXIFS('3b Activity Plan'!$GO$173:$GO$365,'3b Activity Plan'!$CY$173:$CY$365,1,'3b Activity Plan'!$J$173:$J$365,$FA59)</f>
        <v>0</v>
      </c>
      <c r="AG59" s="755"/>
      <c r="AH59" s="761">
        <f t="shared" si="54"/>
        <v>0</v>
      </c>
      <c r="AI59" s="761">
        <f t="shared" si="55"/>
        <v>0</v>
      </c>
      <c r="AJ59" s="755"/>
      <c r="AK59" s="761">
        <f t="shared" si="56"/>
        <v>0</v>
      </c>
      <c r="AL59" s="761">
        <f t="shared" si="57"/>
        <v>0</v>
      </c>
      <c r="AM59" s="776">
        <f t="shared" si="58"/>
        <v>0</v>
      </c>
      <c r="AN59" s="755"/>
      <c r="AO59" s="748">
        <f t="shared" si="59"/>
        <v>0</v>
      </c>
      <c r="AP59" s="748">
        <f t="shared" si="60"/>
        <v>0</v>
      </c>
      <c r="AQ59" s="748">
        <f t="shared" si="61"/>
        <v>0</v>
      </c>
      <c r="AR59" s="748">
        <f t="shared" si="62"/>
        <v>0</v>
      </c>
      <c r="AS59" s="748">
        <f t="shared" si="63"/>
        <v>0</v>
      </c>
      <c r="AT59" s="748">
        <f t="shared" si="64"/>
        <v>0</v>
      </c>
      <c r="AU59" s="748">
        <f t="shared" si="65"/>
        <v>0</v>
      </c>
      <c r="AV59" s="748">
        <f>IFERROR(INDEX('IPCS Data'!$R$8:$R$109,MATCH(EJ59,'IPCS Data'!$O$8:$O$109,0)),0)</f>
        <v>0</v>
      </c>
      <c r="AW59" s="755"/>
      <c r="AX59" s="499">
        <f>IFERROR(INDEX('IPCS Data'!$P$18:$P$110,MATCH(EK59,'IPCS Data'!$Q$18:$Q$110,0)),0)</f>
        <v>0</v>
      </c>
      <c r="AY59" s="1950" t="str">
        <f t="shared" si="110"/>
        <v/>
      </c>
      <c r="AZ59" s="755"/>
      <c r="BA59" s="753" t="str">
        <f>IFERROR(IF(MATCH(EJ59,'IPCS Data'!$O$8:$O$110,0)&gt;=25,"L","N"),"N")</f>
        <v>N</v>
      </c>
      <c r="BB59" s="774"/>
      <c r="BC59" s="753" t="str">
        <f t="shared" si="111"/>
        <v>N</v>
      </c>
      <c r="BD59" s="753" t="str">
        <f t="shared" si="39"/>
        <v>Non-Labor</v>
      </c>
      <c r="BE59" s="755"/>
      <c r="BF59" s="753" t="str">
        <f t="shared" si="112"/>
        <v>B23672.05</v>
      </c>
      <c r="BG59" s="753" t="str">
        <f t="shared" si="140"/>
        <v>0.0.0</v>
      </c>
      <c r="BH59" s="753">
        <f t="shared" si="66"/>
        <v>0</v>
      </c>
      <c r="BI59" s="753">
        <f t="shared" si="3"/>
        <v>0</v>
      </c>
      <c r="BJ59" s="753">
        <f t="shared" si="113"/>
        <v>0</v>
      </c>
      <c r="BK59" s="753">
        <f t="shared" si="40"/>
        <v>0</v>
      </c>
      <c r="BL59" s="753" t="b">
        <f t="shared" si="131"/>
        <v>1</v>
      </c>
      <c r="BM59" s="755"/>
      <c r="BN59" s="719">
        <f t="shared" si="67"/>
        <v>0</v>
      </c>
      <c r="BO59" s="719">
        <f t="shared" si="68"/>
        <v>110</v>
      </c>
      <c r="BP59" s="755"/>
      <c r="BQ59" s="719">
        <f>IF(AND((COUNTIFS('3a Staff Plan'!$J$129:$J$305,FA59)*$B$22)+(COUNTIFS('3b Activity Plan'!$J$173:$J$365,FA59)*$M$22)=0,FB59&gt;0),1,0)</f>
        <v>0</v>
      </c>
      <c r="BR59" s="719">
        <f t="shared" si="114"/>
        <v>0</v>
      </c>
      <c r="BS59" s="719">
        <f t="shared" si="69"/>
        <v>0</v>
      </c>
      <c r="BT59" s="719">
        <f t="shared" si="70"/>
        <v>0</v>
      </c>
      <c r="BU59" s="719">
        <f t="shared" si="71"/>
        <v>0</v>
      </c>
      <c r="BV59" s="719">
        <f t="shared" si="72"/>
        <v>0</v>
      </c>
      <c r="BW59" s="719">
        <f t="shared" si="73"/>
        <v>0</v>
      </c>
      <c r="BX59" s="719">
        <f t="shared" si="74"/>
        <v>0</v>
      </c>
      <c r="BY59" s="719">
        <f t="shared" si="75"/>
        <v>0</v>
      </c>
      <c r="BZ59" s="719">
        <f t="shared" si="115"/>
        <v>0</v>
      </c>
      <c r="CA59" s="719">
        <f t="shared" si="116"/>
        <v>0</v>
      </c>
      <c r="CB59" s="719">
        <f t="shared" si="76"/>
        <v>0</v>
      </c>
      <c r="CC59" s="719"/>
      <c r="CD59" s="719"/>
      <c r="CE59" s="719">
        <f t="shared" si="77"/>
        <v>0</v>
      </c>
      <c r="CF59" s="719">
        <f t="shared" si="117"/>
        <v>0</v>
      </c>
      <c r="CG59" s="719">
        <f t="shared" si="118"/>
        <v>0</v>
      </c>
      <c r="CH59" s="719">
        <f t="shared" si="119"/>
        <v>0</v>
      </c>
      <c r="CI59" s="719">
        <f t="shared" si="120"/>
        <v>0</v>
      </c>
      <c r="CJ59" s="719">
        <f t="shared" si="121"/>
        <v>0</v>
      </c>
      <c r="CK59" s="719">
        <f t="shared" si="122"/>
        <v>0</v>
      </c>
      <c r="CL59" s="719">
        <f t="shared" si="123"/>
        <v>0</v>
      </c>
      <c r="CM59" s="719">
        <f t="shared" si="124"/>
        <v>0</v>
      </c>
      <c r="CN59" s="719">
        <f t="shared" si="125"/>
        <v>0</v>
      </c>
      <c r="CO59" s="719">
        <f t="shared" si="42"/>
        <v>0</v>
      </c>
      <c r="CP59" s="719">
        <f t="shared" si="141"/>
        <v>0</v>
      </c>
      <c r="CQ59" s="719">
        <f t="shared" si="126"/>
        <v>26</v>
      </c>
      <c r="CR59" s="719">
        <f t="shared" si="127"/>
        <v>0</v>
      </c>
      <c r="CS59" s="2526"/>
      <c r="CT59" s="2527">
        <f t="shared" si="128"/>
        <v>31</v>
      </c>
      <c r="CU59" s="2527">
        <f t="shared" si="4"/>
        <v>0</v>
      </c>
      <c r="CV59" s="2527">
        <f t="shared" si="5"/>
        <v>0</v>
      </c>
      <c r="CW59" s="2527">
        <f t="shared" si="43"/>
        <v>0</v>
      </c>
      <c r="CX59" s="755"/>
      <c r="CY59" s="2537"/>
      <c r="CZ59" s="499">
        <f t="shared" si="49"/>
        <v>0</v>
      </c>
      <c r="DA59" s="1107">
        <f t="shared" si="50"/>
        <v>0</v>
      </c>
      <c r="DB59" s="2537"/>
      <c r="DC59" s="499">
        <f t="shared" si="79"/>
        <v>0</v>
      </c>
      <c r="DD59" s="1107">
        <f t="shared" si="80"/>
        <v>0</v>
      </c>
      <c r="DE59" s="2537"/>
      <c r="DF59" s="499">
        <f t="shared" si="81"/>
        <v>0</v>
      </c>
      <c r="DG59" s="1107">
        <f t="shared" si="82"/>
        <v>0</v>
      </c>
      <c r="DH59" s="2537"/>
      <c r="DI59" s="499">
        <f t="shared" si="83"/>
        <v>0</v>
      </c>
      <c r="DJ59" s="1107">
        <f t="shared" si="84"/>
        <v>0</v>
      </c>
      <c r="DK59" s="2537"/>
      <c r="DL59" s="499">
        <f t="shared" si="85"/>
        <v>0</v>
      </c>
      <c r="DM59" s="1107">
        <f t="shared" si="86"/>
        <v>0</v>
      </c>
      <c r="DN59" s="2537"/>
      <c r="DO59" s="499">
        <f t="shared" si="87"/>
        <v>0</v>
      </c>
      <c r="DP59" s="1107">
        <f t="shared" si="88"/>
        <v>0</v>
      </c>
      <c r="DQ59" s="2537"/>
      <c r="DR59" s="2559"/>
      <c r="DS59" s="499">
        <f t="shared" si="6"/>
        <v>0</v>
      </c>
      <c r="DT59" s="1106">
        <f t="shared" si="7"/>
        <v>0</v>
      </c>
      <c r="DU59" s="2537"/>
      <c r="DV59" s="2559"/>
      <c r="DW59" s="2312">
        <f t="shared" si="8"/>
        <v>0</v>
      </c>
      <c r="DX59" s="1106">
        <f t="shared" si="9"/>
        <v>0</v>
      </c>
      <c r="DY59" s="2572"/>
      <c r="DZ59" s="2537"/>
      <c r="EA59" s="2537"/>
      <c r="EB59" s="2577" t="str">
        <f t="shared" si="133"/>
        <v>05</v>
      </c>
      <c r="EC59" s="2570"/>
      <c r="ED59" s="436">
        <f>IFERROR(INDEX('IPCS Data'!$H$8:$H$30,MATCH(EE59,'IPCS Data'!$I$8:$I$30,0)),0)</f>
        <v>0</v>
      </c>
      <c r="EE59" s="3072"/>
      <c r="EF59" s="2570"/>
      <c r="EG59" s="499">
        <f>IFERROR(INDEX('IPCS Data'!$L$8:$L$27,MATCH(EH59,'IPCS Data'!$M$8:$M$27,0)),0)</f>
        <v>0</v>
      </c>
      <c r="EH59" s="3072"/>
      <c r="EI59" s="2578" t="s">
        <v>5</v>
      </c>
      <c r="EJ59" s="748">
        <f>IFERROR(INDEX('IPCS Data'!$O$8:$O$110,MATCH(EK59,'IPCS Data'!$Q$8:$Q$110,0)),0)</f>
        <v>0</v>
      </c>
      <c r="EK59" s="3072"/>
      <c r="EL59" s="2578"/>
      <c r="EM59" s="840">
        <f t="shared" si="89"/>
        <v>0</v>
      </c>
      <c r="EN59" s="841"/>
      <c r="EO59" s="2537"/>
      <c r="EP59" s="842">
        <f t="shared" si="90"/>
        <v>0</v>
      </c>
      <c r="EQ59" s="843"/>
      <c r="ER59" s="2537"/>
      <c r="ES59" s="840">
        <f t="shared" si="91"/>
        <v>0</v>
      </c>
      <c r="ET59" s="843"/>
      <c r="EU59" s="2537"/>
      <c r="EV59" s="1497"/>
      <c r="EW59" s="1683"/>
      <c r="EX59" s="2562">
        <f t="shared" si="92"/>
        <v>26</v>
      </c>
      <c r="EY59" s="2533"/>
      <c r="EZ59" s="2561"/>
      <c r="FA59" s="1324">
        <f t="shared" si="10"/>
        <v>0</v>
      </c>
      <c r="FB59" s="2629">
        <f t="shared" si="93"/>
        <v>0</v>
      </c>
      <c r="FC59" s="274"/>
      <c r="FD59" s="2626">
        <f t="shared" si="11"/>
        <v>0</v>
      </c>
      <c r="FE59" s="2626">
        <f t="shared" si="12"/>
        <v>0</v>
      </c>
      <c r="FF59" s="274"/>
      <c r="FG59" s="2616">
        <f t="shared" si="94"/>
        <v>0</v>
      </c>
      <c r="FH59" s="2616">
        <f t="shared" si="95"/>
        <v>0</v>
      </c>
      <c r="FI59" s="2616">
        <f t="shared" si="96"/>
        <v>0</v>
      </c>
      <c r="FJ59" s="2610" t="s">
        <v>5</v>
      </c>
      <c r="FK59" s="2616">
        <f t="shared" si="97"/>
        <v>0</v>
      </c>
      <c r="FL59" s="2616">
        <f t="shared" si="98"/>
        <v>0</v>
      </c>
      <c r="FM59" s="2616">
        <f t="shared" si="99"/>
        <v>0</v>
      </c>
      <c r="FN59" s="2622">
        <f t="shared" si="100"/>
        <v>0</v>
      </c>
      <c r="FO59" s="2615">
        <f t="shared" si="101"/>
        <v>0</v>
      </c>
      <c r="FP59" s="2624">
        <f t="shared" si="102"/>
        <v>0</v>
      </c>
      <c r="FQ59" s="2622">
        <f t="shared" si="103"/>
        <v>0</v>
      </c>
      <c r="FR59" s="2624">
        <f t="shared" si="104"/>
        <v>0</v>
      </c>
      <c r="FS59" s="2611" t="s">
        <v>5</v>
      </c>
      <c r="FT59" s="2616">
        <f t="shared" si="105"/>
        <v>0</v>
      </c>
      <c r="FU59" s="2622">
        <f t="shared" si="129"/>
        <v>0</v>
      </c>
      <c r="FV59" s="2616">
        <f t="shared" si="106"/>
        <v>0</v>
      </c>
      <c r="FW59" s="2612" t="s">
        <v>5</v>
      </c>
      <c r="FX59" s="2616">
        <f t="shared" si="51"/>
        <v>0</v>
      </c>
      <c r="FY59" s="2616">
        <f t="shared" si="107"/>
        <v>0</v>
      </c>
      <c r="FZ59" s="2613" t="s">
        <v>5</v>
      </c>
      <c r="GA59" s="2616">
        <f t="shared" si="48"/>
        <v>0</v>
      </c>
      <c r="GB59" s="2619">
        <f t="shared" si="142"/>
        <v>0</v>
      </c>
      <c r="GC59" s="2620">
        <f t="shared" si="108"/>
        <v>0</v>
      </c>
      <c r="GD59" s="2614"/>
      <c r="GE59" s="3195">
        <f t="shared" si="16"/>
        <v>0</v>
      </c>
      <c r="GF59" s="3195">
        <f t="shared" si="17"/>
        <v>0</v>
      </c>
      <c r="GG59" s="3193" t="str">
        <f t="shared" si="18"/>
        <v>X</v>
      </c>
      <c r="GH59" s="2531"/>
      <c r="GI59" s="3189" t="str">
        <f t="shared" si="19"/>
        <v/>
      </c>
      <c r="GJ59" s="2598"/>
      <c r="GK59" s="3173">
        <f t="shared" si="20"/>
        <v>0</v>
      </c>
      <c r="GL59" s="3173">
        <f t="shared" si="21"/>
        <v>0</v>
      </c>
      <c r="GM59" s="3173">
        <f t="shared" si="22"/>
        <v>0</v>
      </c>
      <c r="GN59" s="3174">
        <f t="shared" si="23"/>
        <v>0</v>
      </c>
      <c r="GO59" s="3174">
        <f t="shared" si="24"/>
        <v>0</v>
      </c>
      <c r="GP59" s="3175">
        <f t="shared" si="25"/>
        <v>0</v>
      </c>
      <c r="GQ59" s="3176">
        <f t="shared" si="26"/>
        <v>0</v>
      </c>
      <c r="GR59" s="3177">
        <f t="shared" si="27"/>
        <v>0</v>
      </c>
      <c r="GS59" s="3177">
        <f t="shared" si="28"/>
        <v>0</v>
      </c>
      <c r="GT59" s="3178">
        <f t="shared" si="29"/>
        <v>0</v>
      </c>
      <c r="GU59" s="3179"/>
      <c r="GV59" s="3178">
        <f t="shared" si="30"/>
        <v>0</v>
      </c>
      <c r="GW59" s="3177">
        <f t="shared" si="31"/>
        <v>0</v>
      </c>
      <c r="GX59" s="3180"/>
      <c r="GY59" s="3177">
        <f t="shared" si="32"/>
        <v>0</v>
      </c>
      <c r="GZ59" s="2593"/>
      <c r="HA59" s="277"/>
      <c r="HB59" s="277"/>
      <c r="HC59" s="277"/>
      <c r="HD59" s="277"/>
      <c r="HE59" s="277"/>
      <c r="HF59" s="277"/>
      <c r="HG59" s="277"/>
      <c r="HH59" s="277"/>
      <c r="HI59" s="277"/>
      <c r="HJ59" s="277"/>
      <c r="HK59" s="277"/>
      <c r="HL59" s="277"/>
      <c r="HM59" s="277"/>
      <c r="HN59" s="277"/>
      <c r="HO59" s="277"/>
    </row>
    <row r="60" spans="1:223" s="749" customFormat="1" ht="18" customHeight="1" x14ac:dyDescent="0.3">
      <c r="A60" s="755"/>
      <c r="B60" s="805">
        <f>SUMIFS('3a Staff Plan'!$T$129:$T$305,'3a Staff Plan'!$DF$129:$DF$305,1,'3a Staff Plan'!$DA$129:$DA$305,1,'3a Staff Plan'!$J$129:$J$305,$FA60)</f>
        <v>0</v>
      </c>
      <c r="C60" s="805">
        <f>SUMIFS('3a Staff Plan'!$U$129:$U$305,'3a Staff Plan'!$DF$129:$DF$305,1,'3a Staff Plan'!$DA$129:$DA$305,1,'3a Staff Plan'!$J$129:$J$305,$FA60)</f>
        <v>0</v>
      </c>
      <c r="D60" s="805">
        <f>SUMIFS('3a Staff Plan'!$Z$129:$Z$305,'3a Staff Plan'!$DF$129:$DF$305,1,'3a Staff Plan'!$DA$129:$DA$305,1,'3a Staff Plan'!$J$129:$J$305,$FA60)</f>
        <v>0</v>
      </c>
      <c r="E60" s="805">
        <f>SUMIFS('3a Staff Plan'!$Y$129:$Y$305,'3a Staff Plan'!$DF$129:$DF$305,1,'3a Staff Plan'!$DA$129:$DA$305,1,'3a Staff Plan'!$J$129:$J$305,$FA60)</f>
        <v>0</v>
      </c>
      <c r="F60" s="805">
        <f>SUMIFS('3a Staff Plan'!$X$129:$X$305,'3a Staff Plan'!$DF$129:$DF$305,1,'3a Staff Plan'!$DA$129:$DA$305,1,'3a Staff Plan'!$AG$129:$AG$305,1,'3a Staff Plan'!$J$129:$J$305,$FA60)</f>
        <v>0</v>
      </c>
      <c r="G60" s="805">
        <f>IF($G$24=0,0,SUMIFS('3a Staff Plan'!$W$129:$W$305,'3a Staff Plan'!$DF$129:$DF$305,1,'3a Staff Plan'!$DA$129:$DA$305,1,'3a Staff Plan'!$J$129:$J$305,$FA60))</f>
        <v>0</v>
      </c>
      <c r="H60" s="795">
        <f t="shared" si="52"/>
        <v>0</v>
      </c>
      <c r="I60" s="805">
        <f>SUMIFS('3a Staff Plan'!$V$129:$V$305,'3a Staff Plan'!$DF$129:$DF$305,1,'3a Staff Plan'!$DA$129:$DA$305,1,'3a Staff Plan'!$J$129:$J$305,$FA60)</f>
        <v>0</v>
      </c>
      <c r="J60" s="805">
        <f>SUMIFS('3a Staff Plan'!$AB$129:$AB$305,'3a Staff Plan'!$DF$129:$DF$305,1,'3a Staff Plan'!$DA$129:$DA$305,1,'3a Staff Plan'!$J$129:$J$305,$FA60)</f>
        <v>0</v>
      </c>
      <c r="K60" s="805">
        <f>SUMIFS('3a Staff Plan'!$AA$129:$AA$305,'3a Staff Plan'!$DF$129:$DF$305,1,'3a Staff Plan'!$DA$129:$DA$305,1,'3a Staff Plan'!$AG$129:$AG$305,1,'3a Staff Plan'!$J$129:$J$305,$FA60)</f>
        <v>0</v>
      </c>
      <c r="L60" s="755"/>
      <c r="M60" s="805">
        <f>SUMIFS('3b Activity Plan'!$T$173:$T$365,'3b Activity Plan'!$CY$173:$CY$365,1,'3b Activity Plan'!$CT$173:$CT$365,1,'3b Activity Plan'!$J$173:$J$365,$FA60)</f>
        <v>0</v>
      </c>
      <c r="N60" s="805">
        <f>SUMIFS('3b Activity Plan'!$U$173:$U$365,'3b Activity Plan'!$CY$173:$CY$365,1,'3b Activity Plan'!$CT$173:$CT$365,1,'3b Activity Plan'!$J$173:$J$365,$FA60)</f>
        <v>0</v>
      </c>
      <c r="O60" s="805">
        <f>SUMIFS('3b Activity Plan'!$Z$173:$Z$365,'3b Activity Plan'!$CY$173:$CY$365,1,'3b Activity Plan'!$CT$173:$CT$365,1,'3b Activity Plan'!$J$173:$J$365,$FA60)</f>
        <v>0</v>
      </c>
      <c r="P60" s="805">
        <f>SUMIFS('3b Activity Plan'!$Y$173:$Y$365,'3b Activity Plan'!$CY$173:$CY$365,1,'3b Activity Plan'!$CT$173:$CT$365,1,'3b Activity Plan'!$J$173:$J$365,$FA60)</f>
        <v>0</v>
      </c>
      <c r="Q60" s="805">
        <f>SUMIFS('3b Activity Plan'!$X$173:$X$365,'3b Activity Plan'!$CY$173:$CY$365,1,'3b Activity Plan'!$CT$173:$CT$365,1,'3b Activity Plan'!$J$173:$J$365,$FA60)</f>
        <v>0</v>
      </c>
      <c r="R60" s="805">
        <f>IF($R$24=0,0,SUMIFS('3b Activity Plan'!$W$173:$W$365,'3b Activity Plan'!$CY$173:$CY$365,1,'3b Activity Plan'!$CT$173:$CT$365,1,'3b Activity Plan'!$J$173:$J$365,$FA60))</f>
        <v>0</v>
      </c>
      <c r="S60" s="795">
        <f t="shared" si="53"/>
        <v>0</v>
      </c>
      <c r="T60" s="805">
        <f>SUMIFS('3b Activity Plan'!$V$173:$V$365,'3b Activity Plan'!$CY$173:$CY$365,1,'3b Activity Plan'!$CT$173:$CT$365,1,'3b Activity Plan'!$J$173:$J$365,$FA60)</f>
        <v>0</v>
      </c>
      <c r="U60" s="805">
        <f>SUMIFS('3b Activity Plan'!$AB$173:$AB$365,'3b Activity Plan'!$CY$173:$CY$365,1,'3b Activity Plan'!$CT$173:$CT$365,1,'3b Activity Plan'!$J$173:$J$365,$FA60)</f>
        <v>0</v>
      </c>
      <c r="V60" s="805">
        <f>SUMIFS('3b Activity Plan'!$AA$173:$AA$365,'3b Activity Plan'!$CY$173:$CY$365,1,'3b Activity Plan'!$CT$173:$CT$365,1,'3b Activity Plan'!$J$173:$J$365,$FA60)</f>
        <v>0</v>
      </c>
      <c r="W60" s="755"/>
      <c r="X60" s="2641">
        <f>SUMIFS('3b Activity Plan'!$FU$173:$FU$365,'3b Activity Plan'!$J$173:$J$365,$FA60)</f>
        <v>0</v>
      </c>
      <c r="Y60" s="2641">
        <f>SUMIFS('3b Activity Plan'!$FW$173:$FW$365,'3b Activity Plan'!$J$173:$J$365,$FA60)</f>
        <v>0</v>
      </c>
      <c r="Z60" s="2639">
        <f t="shared" si="132"/>
        <v>0</v>
      </c>
      <c r="AA60" s="755"/>
      <c r="AB60" s="761">
        <f>_xlfn.MINIFS('3a Staff Plan'!$EB$129:$EB$304,'3a Staff Plan'!$DF$129:$DF$304,1,'3a Staff Plan'!$J$129:$J$304,FA60)</f>
        <v>0</v>
      </c>
      <c r="AC60" s="761">
        <f>_xlfn.MAXIFS('3a Staff Plan'!$EC$129:$EC$304,'3a Staff Plan'!$DF$129:$DF$304,1,'3a Staff Plan'!$J$129:$J$304,FA60)</f>
        <v>0</v>
      </c>
      <c r="AD60" s="755"/>
      <c r="AE60" s="761">
        <f>_xlfn.MINIFS('3b Activity Plan'!$GN$173:$GN$365,'3b Activity Plan'!$CY$173:$CY$365,1,'3b Activity Plan'!$J$173:$J$365,$FA60)</f>
        <v>0</v>
      </c>
      <c r="AF60" s="761">
        <f>_xlfn.MAXIFS('3b Activity Plan'!$GO$173:$GO$365,'3b Activity Plan'!$CY$173:$CY$365,1,'3b Activity Plan'!$J$173:$J$365,$FA60)</f>
        <v>0</v>
      </c>
      <c r="AG60" s="755"/>
      <c r="AH60" s="761">
        <f t="shared" si="54"/>
        <v>0</v>
      </c>
      <c r="AI60" s="761">
        <f t="shared" si="55"/>
        <v>0</v>
      </c>
      <c r="AJ60" s="755"/>
      <c r="AK60" s="761">
        <f t="shared" si="56"/>
        <v>0</v>
      </c>
      <c r="AL60" s="761">
        <f t="shared" si="57"/>
        <v>0</v>
      </c>
      <c r="AM60" s="776">
        <f t="shared" si="58"/>
        <v>0</v>
      </c>
      <c r="AN60" s="755"/>
      <c r="AO60" s="748">
        <f t="shared" si="59"/>
        <v>0</v>
      </c>
      <c r="AP60" s="748">
        <f t="shared" si="60"/>
        <v>0</v>
      </c>
      <c r="AQ60" s="748">
        <f t="shared" si="61"/>
        <v>0</v>
      </c>
      <c r="AR60" s="748">
        <f t="shared" si="62"/>
        <v>0</v>
      </c>
      <c r="AS60" s="748">
        <f t="shared" si="63"/>
        <v>0</v>
      </c>
      <c r="AT60" s="748">
        <f t="shared" si="64"/>
        <v>0</v>
      </c>
      <c r="AU60" s="748">
        <f t="shared" si="65"/>
        <v>0</v>
      </c>
      <c r="AV60" s="748">
        <f>IFERROR(INDEX('IPCS Data'!$R$8:$R$109,MATCH(EJ60,'IPCS Data'!$O$8:$O$109,0)),0)</f>
        <v>0</v>
      </c>
      <c r="AW60" s="755"/>
      <c r="AX60" s="499">
        <f>IFERROR(INDEX('IPCS Data'!$P$18:$P$110,MATCH(EK60,'IPCS Data'!$Q$18:$Q$110,0)),0)</f>
        <v>0</v>
      </c>
      <c r="AY60" s="1950" t="str">
        <f t="shared" si="110"/>
        <v/>
      </c>
      <c r="AZ60" s="755"/>
      <c r="BA60" s="753" t="str">
        <f>IFERROR(IF(MATCH(EJ60,'IPCS Data'!$O$8:$O$110,0)&gt;=25,"L","N"),"N")</f>
        <v>N</v>
      </c>
      <c r="BB60" s="774"/>
      <c r="BC60" s="753" t="str">
        <f t="shared" si="111"/>
        <v>N</v>
      </c>
      <c r="BD60" s="753" t="str">
        <f t="shared" si="39"/>
        <v>Non-Labor</v>
      </c>
      <c r="BE60" s="755"/>
      <c r="BF60" s="753" t="str">
        <f t="shared" si="112"/>
        <v>B23672.05</v>
      </c>
      <c r="BG60" s="753" t="str">
        <f t="shared" si="140"/>
        <v>0.0.0</v>
      </c>
      <c r="BH60" s="753">
        <f t="shared" si="66"/>
        <v>0</v>
      </c>
      <c r="BI60" s="753">
        <f t="shared" si="3"/>
        <v>0</v>
      </c>
      <c r="BJ60" s="753">
        <f t="shared" si="113"/>
        <v>0</v>
      </c>
      <c r="BK60" s="753">
        <f t="shared" si="40"/>
        <v>0</v>
      </c>
      <c r="BL60" s="753" t="b">
        <f t="shared" si="131"/>
        <v>1</v>
      </c>
      <c r="BM60" s="755"/>
      <c r="BN60" s="719">
        <f t="shared" si="67"/>
        <v>0</v>
      </c>
      <c r="BO60" s="719">
        <f t="shared" si="68"/>
        <v>110</v>
      </c>
      <c r="BP60" s="755"/>
      <c r="BQ60" s="719">
        <f>IF(AND((COUNTIFS('3a Staff Plan'!$J$129:$J$305,FA60)*$B$22)+(COUNTIFS('3b Activity Plan'!$J$173:$J$365,FA60)*$M$22)=0,FB60&gt;0),1,0)</f>
        <v>0</v>
      </c>
      <c r="BR60" s="719">
        <f t="shared" si="114"/>
        <v>0</v>
      </c>
      <c r="BS60" s="719">
        <f t="shared" si="69"/>
        <v>0</v>
      </c>
      <c r="BT60" s="719">
        <f t="shared" si="70"/>
        <v>0</v>
      </c>
      <c r="BU60" s="719">
        <f t="shared" si="71"/>
        <v>0</v>
      </c>
      <c r="BV60" s="719">
        <f t="shared" si="72"/>
        <v>0</v>
      </c>
      <c r="BW60" s="719">
        <f t="shared" si="73"/>
        <v>0</v>
      </c>
      <c r="BX60" s="719">
        <f t="shared" si="74"/>
        <v>0</v>
      </c>
      <c r="BY60" s="719">
        <f t="shared" si="75"/>
        <v>0</v>
      </c>
      <c r="BZ60" s="719">
        <f t="shared" si="115"/>
        <v>0</v>
      </c>
      <c r="CA60" s="719">
        <f t="shared" si="116"/>
        <v>0</v>
      </c>
      <c r="CB60" s="719">
        <f t="shared" si="76"/>
        <v>0</v>
      </c>
      <c r="CC60" s="719"/>
      <c r="CD60" s="719"/>
      <c r="CE60" s="719">
        <f t="shared" si="77"/>
        <v>0</v>
      </c>
      <c r="CF60" s="719">
        <f t="shared" si="117"/>
        <v>0</v>
      </c>
      <c r="CG60" s="719">
        <f t="shared" si="118"/>
        <v>0</v>
      </c>
      <c r="CH60" s="719">
        <f t="shared" si="119"/>
        <v>0</v>
      </c>
      <c r="CI60" s="719">
        <f t="shared" si="120"/>
        <v>0</v>
      </c>
      <c r="CJ60" s="719">
        <f t="shared" si="121"/>
        <v>0</v>
      </c>
      <c r="CK60" s="719">
        <f t="shared" si="122"/>
        <v>0</v>
      </c>
      <c r="CL60" s="719">
        <f t="shared" si="123"/>
        <v>0</v>
      </c>
      <c r="CM60" s="719">
        <f t="shared" si="124"/>
        <v>0</v>
      </c>
      <c r="CN60" s="719">
        <f t="shared" si="125"/>
        <v>0</v>
      </c>
      <c r="CO60" s="719">
        <f t="shared" si="42"/>
        <v>0</v>
      </c>
      <c r="CP60" s="719">
        <f t="shared" si="141"/>
        <v>0</v>
      </c>
      <c r="CQ60" s="719">
        <f t="shared" si="126"/>
        <v>27</v>
      </c>
      <c r="CR60" s="719">
        <f t="shared" si="127"/>
        <v>0</v>
      </c>
      <c r="CS60" s="2526"/>
      <c r="CT60" s="2527">
        <f t="shared" si="128"/>
        <v>32</v>
      </c>
      <c r="CU60" s="2527">
        <f t="shared" si="4"/>
        <v>0</v>
      </c>
      <c r="CV60" s="2527">
        <f t="shared" si="5"/>
        <v>0</v>
      </c>
      <c r="CW60" s="2527">
        <f t="shared" si="43"/>
        <v>0</v>
      </c>
      <c r="CX60" s="755"/>
      <c r="CY60" s="2537"/>
      <c r="CZ60" s="499">
        <f t="shared" si="49"/>
        <v>0</v>
      </c>
      <c r="DA60" s="1107">
        <f t="shared" si="50"/>
        <v>0</v>
      </c>
      <c r="DB60" s="2537"/>
      <c r="DC60" s="499">
        <f t="shared" si="79"/>
        <v>0</v>
      </c>
      <c r="DD60" s="1107">
        <f t="shared" si="80"/>
        <v>0</v>
      </c>
      <c r="DE60" s="2537"/>
      <c r="DF60" s="499">
        <f t="shared" si="81"/>
        <v>0</v>
      </c>
      <c r="DG60" s="1107">
        <f t="shared" si="82"/>
        <v>0</v>
      </c>
      <c r="DH60" s="2537"/>
      <c r="DI60" s="499">
        <f t="shared" si="83"/>
        <v>0</v>
      </c>
      <c r="DJ60" s="1107">
        <f t="shared" si="84"/>
        <v>0</v>
      </c>
      <c r="DK60" s="2537"/>
      <c r="DL60" s="499">
        <f t="shared" si="85"/>
        <v>0</v>
      </c>
      <c r="DM60" s="1107">
        <f t="shared" si="86"/>
        <v>0</v>
      </c>
      <c r="DN60" s="2537"/>
      <c r="DO60" s="499">
        <f t="shared" si="87"/>
        <v>0</v>
      </c>
      <c r="DP60" s="1107">
        <f t="shared" si="88"/>
        <v>0</v>
      </c>
      <c r="DQ60" s="2537"/>
      <c r="DR60" s="2559"/>
      <c r="DS60" s="499">
        <f t="shared" si="6"/>
        <v>0</v>
      </c>
      <c r="DT60" s="1106">
        <f t="shared" si="7"/>
        <v>0</v>
      </c>
      <c r="DU60" s="2537"/>
      <c r="DV60" s="2559"/>
      <c r="DW60" s="2312">
        <f t="shared" si="8"/>
        <v>0</v>
      </c>
      <c r="DX60" s="1106">
        <f t="shared" si="9"/>
        <v>0</v>
      </c>
      <c r="DY60" s="2572"/>
      <c r="DZ60" s="2537"/>
      <c r="EA60" s="2537"/>
      <c r="EB60" s="2577" t="str">
        <f t="shared" si="133"/>
        <v>05</v>
      </c>
      <c r="EC60" s="2570"/>
      <c r="ED60" s="436">
        <f>IFERROR(INDEX('IPCS Data'!$H$8:$H$30,MATCH(EE60,'IPCS Data'!$I$8:$I$30,0)),0)</f>
        <v>0</v>
      </c>
      <c r="EE60" s="437"/>
      <c r="EF60" s="2570"/>
      <c r="EG60" s="499">
        <f>IFERROR(INDEX('IPCS Data'!$L$8:$L$27,MATCH(EH60,'IPCS Data'!$M$8:$M$27,0)),0)</f>
        <v>0</v>
      </c>
      <c r="EH60" s="3074"/>
      <c r="EI60" s="2578" t="s">
        <v>5</v>
      </c>
      <c r="EJ60" s="748">
        <f>IFERROR(INDEX('IPCS Data'!$O$8:$O$110,MATCH(EK60,'IPCS Data'!$Q$8:$Q$110,0)),0)</f>
        <v>0</v>
      </c>
      <c r="EK60" s="437"/>
      <c r="EL60" s="2578"/>
      <c r="EM60" s="840">
        <f t="shared" si="89"/>
        <v>0</v>
      </c>
      <c r="EN60" s="841"/>
      <c r="EO60" s="2537"/>
      <c r="EP60" s="842">
        <f t="shared" si="90"/>
        <v>0</v>
      </c>
      <c r="EQ60" s="843"/>
      <c r="ER60" s="2537"/>
      <c r="ES60" s="840">
        <f t="shared" si="91"/>
        <v>0</v>
      </c>
      <c r="ET60" s="843"/>
      <c r="EU60" s="2537"/>
      <c r="EV60" s="1497"/>
      <c r="EW60" s="1683"/>
      <c r="EX60" s="2562">
        <f t="shared" si="92"/>
        <v>27</v>
      </c>
      <c r="EY60" s="2533"/>
      <c r="EZ60" s="2561"/>
      <c r="FA60" s="1324">
        <f t="shared" si="10"/>
        <v>0</v>
      </c>
      <c r="FB60" s="2629">
        <f t="shared" si="93"/>
        <v>0</v>
      </c>
      <c r="FC60" s="274"/>
      <c r="FD60" s="2626">
        <f t="shared" si="11"/>
        <v>0</v>
      </c>
      <c r="FE60" s="2626">
        <f t="shared" si="12"/>
        <v>0</v>
      </c>
      <c r="FF60" s="274"/>
      <c r="FG60" s="2616">
        <f t="shared" si="94"/>
        <v>0</v>
      </c>
      <c r="FH60" s="2616">
        <f t="shared" si="95"/>
        <v>0</v>
      </c>
      <c r="FI60" s="2616">
        <f t="shared" si="96"/>
        <v>0</v>
      </c>
      <c r="FJ60" s="2610" t="s">
        <v>5</v>
      </c>
      <c r="FK60" s="2616">
        <f t="shared" si="97"/>
        <v>0</v>
      </c>
      <c r="FL60" s="2616">
        <f t="shared" si="98"/>
        <v>0</v>
      </c>
      <c r="FM60" s="2616">
        <f t="shared" si="99"/>
        <v>0</v>
      </c>
      <c r="FN60" s="2622">
        <f t="shared" si="100"/>
        <v>0</v>
      </c>
      <c r="FO60" s="2615">
        <f t="shared" si="101"/>
        <v>0</v>
      </c>
      <c r="FP60" s="2624">
        <f t="shared" si="102"/>
        <v>0</v>
      </c>
      <c r="FQ60" s="2622">
        <f t="shared" si="103"/>
        <v>0</v>
      </c>
      <c r="FR60" s="2624">
        <f t="shared" si="104"/>
        <v>0</v>
      </c>
      <c r="FS60" s="2611" t="s">
        <v>5</v>
      </c>
      <c r="FT60" s="2616">
        <f t="shared" si="105"/>
        <v>0</v>
      </c>
      <c r="FU60" s="2622">
        <f t="shared" si="129"/>
        <v>0</v>
      </c>
      <c r="FV60" s="2616">
        <f t="shared" si="106"/>
        <v>0</v>
      </c>
      <c r="FW60" s="2612" t="s">
        <v>5</v>
      </c>
      <c r="FX60" s="2616">
        <f t="shared" si="51"/>
        <v>0</v>
      </c>
      <c r="FY60" s="2616">
        <f t="shared" si="107"/>
        <v>0</v>
      </c>
      <c r="FZ60" s="2613" t="s">
        <v>5</v>
      </c>
      <c r="GA60" s="2616">
        <f t="shared" si="48"/>
        <v>0</v>
      </c>
      <c r="GB60" s="2619">
        <f t="shared" si="142"/>
        <v>0</v>
      </c>
      <c r="GC60" s="2620">
        <f t="shared" si="108"/>
        <v>0</v>
      </c>
      <c r="GD60" s="2614"/>
      <c r="GE60" s="3195">
        <f t="shared" ref="GE60:GE92" si="143">$FA60</f>
        <v>0</v>
      </c>
      <c r="GF60" s="3195">
        <f t="shared" ref="GF60:GF92" si="144">FB60</f>
        <v>0</v>
      </c>
      <c r="GG60" s="3193" t="str">
        <f t="shared" si="18"/>
        <v>X</v>
      </c>
      <c r="GH60" s="2531"/>
      <c r="GI60" s="3189" t="str">
        <f t="shared" si="19"/>
        <v/>
      </c>
      <c r="GJ60" s="2598"/>
      <c r="GK60" s="3173">
        <f t="shared" si="20"/>
        <v>0</v>
      </c>
      <c r="GL60" s="3173">
        <f t="shared" si="21"/>
        <v>0</v>
      </c>
      <c r="GM60" s="3173">
        <f t="shared" si="22"/>
        <v>0</v>
      </c>
      <c r="GN60" s="3174">
        <f t="shared" si="23"/>
        <v>0</v>
      </c>
      <c r="GO60" s="3174">
        <f t="shared" si="24"/>
        <v>0</v>
      </c>
      <c r="GP60" s="3175">
        <f t="shared" si="25"/>
        <v>0</v>
      </c>
      <c r="GQ60" s="3176">
        <f t="shared" si="26"/>
        <v>0</v>
      </c>
      <c r="GR60" s="3177">
        <f t="shared" si="27"/>
        <v>0</v>
      </c>
      <c r="GS60" s="3177">
        <f t="shared" si="28"/>
        <v>0</v>
      </c>
      <c r="GT60" s="3178">
        <f t="shared" si="29"/>
        <v>0</v>
      </c>
      <c r="GU60" s="3179"/>
      <c r="GV60" s="3178">
        <f t="shared" si="30"/>
        <v>0</v>
      </c>
      <c r="GW60" s="3177">
        <f t="shared" si="31"/>
        <v>0</v>
      </c>
      <c r="GX60" s="3180"/>
      <c r="GY60" s="3177">
        <f t="shared" si="32"/>
        <v>0</v>
      </c>
      <c r="GZ60" s="2593"/>
      <c r="HA60" s="277"/>
      <c r="HB60" s="277"/>
      <c r="HC60" s="277"/>
      <c r="HD60" s="277"/>
      <c r="HE60" s="277"/>
      <c r="HF60" s="277"/>
      <c r="HG60" s="277"/>
      <c r="HH60" s="277"/>
      <c r="HI60" s="277"/>
      <c r="HJ60" s="277"/>
      <c r="HK60" s="277"/>
      <c r="HL60" s="277"/>
      <c r="HM60" s="277"/>
      <c r="HN60" s="277"/>
      <c r="HO60" s="277"/>
    </row>
    <row r="61" spans="1:223" s="749" customFormat="1" ht="18" customHeight="1" x14ac:dyDescent="0.3">
      <c r="A61" s="755"/>
      <c r="B61" s="805">
        <f>SUMIFS('3a Staff Plan'!$T$129:$T$305,'3a Staff Plan'!$DF$129:$DF$305,1,'3a Staff Plan'!$DA$129:$DA$305,1,'3a Staff Plan'!$J$129:$J$305,$FA61)</f>
        <v>0</v>
      </c>
      <c r="C61" s="805">
        <f>SUMIFS('3a Staff Plan'!$U$129:$U$305,'3a Staff Plan'!$DF$129:$DF$305,1,'3a Staff Plan'!$DA$129:$DA$305,1,'3a Staff Plan'!$J$129:$J$305,$FA61)</f>
        <v>0</v>
      </c>
      <c r="D61" s="805">
        <f>SUMIFS('3a Staff Plan'!$Z$129:$Z$305,'3a Staff Plan'!$DF$129:$DF$305,1,'3a Staff Plan'!$DA$129:$DA$305,1,'3a Staff Plan'!$J$129:$J$305,$FA61)</f>
        <v>0</v>
      </c>
      <c r="E61" s="805">
        <f>SUMIFS('3a Staff Plan'!$Y$129:$Y$305,'3a Staff Plan'!$DF$129:$DF$305,1,'3a Staff Plan'!$DA$129:$DA$305,1,'3a Staff Plan'!$J$129:$J$305,$FA61)</f>
        <v>0</v>
      </c>
      <c r="F61" s="805">
        <f>SUMIFS('3a Staff Plan'!$X$129:$X$305,'3a Staff Plan'!$DF$129:$DF$305,1,'3a Staff Plan'!$DA$129:$DA$305,1,'3a Staff Plan'!$AG$129:$AG$305,1,'3a Staff Plan'!$J$129:$J$305,$FA61)</f>
        <v>0</v>
      </c>
      <c r="G61" s="805">
        <f>IF($G$24=0,0,SUMIFS('3a Staff Plan'!$W$129:$W$305,'3a Staff Plan'!$DF$129:$DF$305,1,'3a Staff Plan'!$DA$129:$DA$305,1,'3a Staff Plan'!$J$129:$J$305,$FA61))</f>
        <v>0</v>
      </c>
      <c r="H61" s="795">
        <f t="shared" si="52"/>
        <v>0</v>
      </c>
      <c r="I61" s="805">
        <f>SUMIFS('3a Staff Plan'!$V$129:$V$305,'3a Staff Plan'!$DF$129:$DF$305,1,'3a Staff Plan'!$DA$129:$DA$305,1,'3a Staff Plan'!$J$129:$J$305,$FA61)</f>
        <v>0</v>
      </c>
      <c r="J61" s="805">
        <f>SUMIFS('3a Staff Plan'!$AB$129:$AB$305,'3a Staff Plan'!$DF$129:$DF$305,1,'3a Staff Plan'!$DA$129:$DA$305,1,'3a Staff Plan'!$J$129:$J$305,$FA61)</f>
        <v>0</v>
      </c>
      <c r="K61" s="805">
        <f>SUMIFS('3a Staff Plan'!$AA$129:$AA$305,'3a Staff Plan'!$DF$129:$DF$305,1,'3a Staff Plan'!$DA$129:$DA$305,1,'3a Staff Plan'!$AG$129:$AG$305,1,'3a Staff Plan'!$J$129:$J$305,$FA61)</f>
        <v>0</v>
      </c>
      <c r="L61" s="755"/>
      <c r="M61" s="805">
        <f>SUMIFS('3b Activity Plan'!$T$173:$T$365,'3b Activity Plan'!$CY$173:$CY$365,1,'3b Activity Plan'!$CT$173:$CT$365,1,'3b Activity Plan'!$J$173:$J$365,$FA61)</f>
        <v>0</v>
      </c>
      <c r="N61" s="805">
        <f>SUMIFS('3b Activity Plan'!$U$173:$U$365,'3b Activity Plan'!$CY$173:$CY$365,1,'3b Activity Plan'!$CT$173:$CT$365,1,'3b Activity Plan'!$J$173:$J$365,$FA61)</f>
        <v>0</v>
      </c>
      <c r="O61" s="805">
        <f>SUMIFS('3b Activity Plan'!$Z$173:$Z$365,'3b Activity Plan'!$CY$173:$CY$365,1,'3b Activity Plan'!$CT$173:$CT$365,1,'3b Activity Plan'!$J$173:$J$365,$FA61)</f>
        <v>0</v>
      </c>
      <c r="P61" s="805">
        <f>SUMIFS('3b Activity Plan'!$Y$173:$Y$365,'3b Activity Plan'!$CY$173:$CY$365,1,'3b Activity Plan'!$CT$173:$CT$365,1,'3b Activity Plan'!$J$173:$J$365,$FA61)</f>
        <v>0</v>
      </c>
      <c r="Q61" s="805">
        <f>SUMIFS('3b Activity Plan'!$X$173:$X$365,'3b Activity Plan'!$CY$173:$CY$365,1,'3b Activity Plan'!$CT$173:$CT$365,1,'3b Activity Plan'!$J$173:$J$365,$FA61)</f>
        <v>0</v>
      </c>
      <c r="R61" s="805">
        <f>IF($R$24=0,0,SUMIFS('3b Activity Plan'!$W$173:$W$365,'3b Activity Plan'!$CY$173:$CY$365,1,'3b Activity Plan'!$CT$173:$CT$365,1,'3b Activity Plan'!$J$173:$J$365,$FA61))</f>
        <v>0</v>
      </c>
      <c r="S61" s="795">
        <f t="shared" si="53"/>
        <v>0</v>
      </c>
      <c r="T61" s="805">
        <f>SUMIFS('3b Activity Plan'!$V$173:$V$365,'3b Activity Plan'!$CY$173:$CY$365,1,'3b Activity Plan'!$CT$173:$CT$365,1,'3b Activity Plan'!$J$173:$J$365,$FA61)</f>
        <v>0</v>
      </c>
      <c r="U61" s="805">
        <f>SUMIFS('3b Activity Plan'!$AB$173:$AB$365,'3b Activity Plan'!$CY$173:$CY$365,1,'3b Activity Plan'!$CT$173:$CT$365,1,'3b Activity Plan'!$J$173:$J$365,$FA61)</f>
        <v>0</v>
      </c>
      <c r="V61" s="805">
        <f>SUMIFS('3b Activity Plan'!$AA$173:$AA$365,'3b Activity Plan'!$CY$173:$CY$365,1,'3b Activity Plan'!$CT$173:$CT$365,1,'3b Activity Plan'!$J$173:$J$365,$FA61)</f>
        <v>0</v>
      </c>
      <c r="W61" s="755"/>
      <c r="X61" s="2641">
        <f>SUMIFS('3b Activity Plan'!$FU$173:$FU$365,'3b Activity Plan'!$J$173:$J$365,$FA61)</f>
        <v>0</v>
      </c>
      <c r="Y61" s="2641">
        <f>SUMIFS('3b Activity Plan'!$FW$173:$FW$365,'3b Activity Plan'!$J$173:$J$365,$FA61)</f>
        <v>0</v>
      </c>
      <c r="Z61" s="2639">
        <f t="shared" si="132"/>
        <v>0</v>
      </c>
      <c r="AA61" s="755"/>
      <c r="AB61" s="761">
        <f>_xlfn.MINIFS('3a Staff Plan'!$EB$129:$EB$304,'3a Staff Plan'!$DF$129:$DF$304,1,'3a Staff Plan'!$J$129:$J$304,FA61)</f>
        <v>0</v>
      </c>
      <c r="AC61" s="761">
        <f>_xlfn.MAXIFS('3a Staff Plan'!$EC$129:$EC$304,'3a Staff Plan'!$DF$129:$DF$304,1,'3a Staff Plan'!$J$129:$J$304,FA61)</f>
        <v>0</v>
      </c>
      <c r="AD61" s="755"/>
      <c r="AE61" s="761">
        <f>_xlfn.MINIFS('3b Activity Plan'!$GN$173:$GN$365,'3b Activity Plan'!$CY$173:$CY$365,1,'3b Activity Plan'!$J$173:$J$365,$FA61)</f>
        <v>0</v>
      </c>
      <c r="AF61" s="761">
        <f>_xlfn.MAXIFS('3b Activity Plan'!$GO$173:$GO$365,'3b Activity Plan'!$CY$173:$CY$365,1,'3b Activity Plan'!$J$173:$J$365,$FA61)</f>
        <v>0</v>
      </c>
      <c r="AG61" s="755"/>
      <c r="AH61" s="761">
        <f t="shared" si="54"/>
        <v>0</v>
      </c>
      <c r="AI61" s="761">
        <f t="shared" si="55"/>
        <v>0</v>
      </c>
      <c r="AJ61" s="755"/>
      <c r="AK61" s="761">
        <f t="shared" si="56"/>
        <v>0</v>
      </c>
      <c r="AL61" s="761">
        <f t="shared" si="57"/>
        <v>0</v>
      </c>
      <c r="AM61" s="776">
        <f t="shared" si="58"/>
        <v>0</v>
      </c>
      <c r="AN61" s="755"/>
      <c r="AO61" s="748">
        <f t="shared" si="59"/>
        <v>0</v>
      </c>
      <c r="AP61" s="748">
        <f t="shared" si="60"/>
        <v>0</v>
      </c>
      <c r="AQ61" s="748">
        <f t="shared" si="61"/>
        <v>0</v>
      </c>
      <c r="AR61" s="748">
        <f t="shared" si="62"/>
        <v>0</v>
      </c>
      <c r="AS61" s="748">
        <f t="shared" si="63"/>
        <v>0</v>
      </c>
      <c r="AT61" s="748">
        <f t="shared" si="64"/>
        <v>0</v>
      </c>
      <c r="AU61" s="748">
        <f t="shared" si="65"/>
        <v>0</v>
      </c>
      <c r="AV61" s="748">
        <f>IFERROR(INDEX('IPCS Data'!$R$8:$R$109,MATCH(EJ61,'IPCS Data'!$O$8:$O$109,0)),0)</f>
        <v>0</v>
      </c>
      <c r="AW61" s="755"/>
      <c r="AX61" s="499">
        <f>IFERROR(INDEX('IPCS Data'!$P$18:$P$110,MATCH(EK61,'IPCS Data'!$Q$18:$Q$110,0)),0)</f>
        <v>0</v>
      </c>
      <c r="AY61" s="1950" t="str">
        <f t="shared" si="110"/>
        <v/>
      </c>
      <c r="AZ61" s="755"/>
      <c r="BA61" s="753" t="str">
        <f>IFERROR(IF(MATCH(EJ61,'IPCS Data'!$O$8:$O$110,0)&gt;=25,"L","N"),"N")</f>
        <v>N</v>
      </c>
      <c r="BB61" s="774"/>
      <c r="BC61" s="753" t="str">
        <f t="shared" si="111"/>
        <v>N</v>
      </c>
      <c r="BD61" s="753" t="str">
        <f t="shared" si="39"/>
        <v>Non-Labor</v>
      </c>
      <c r="BE61" s="755"/>
      <c r="BF61" s="753" t="str">
        <f t="shared" si="112"/>
        <v>B23672.05</v>
      </c>
      <c r="BG61" s="753" t="str">
        <f t="shared" si="140"/>
        <v>0.0.0</v>
      </c>
      <c r="BH61" s="753">
        <f t="shared" si="66"/>
        <v>0</v>
      </c>
      <c r="BI61" s="753">
        <f t="shared" ref="BI61:BI92" si="145">IF($EG$8=1,BH61,TEXT(EB61,"00")&amp;"."&amp;BH61)</f>
        <v>0</v>
      </c>
      <c r="BJ61" s="753">
        <f t="shared" si="113"/>
        <v>0</v>
      </c>
      <c r="BK61" s="753">
        <f t="shared" si="40"/>
        <v>0</v>
      </c>
      <c r="BL61" s="753" t="b">
        <f t="shared" si="131"/>
        <v>1</v>
      </c>
      <c r="BM61" s="755"/>
      <c r="BN61" s="719">
        <f t="shared" si="67"/>
        <v>0</v>
      </c>
      <c r="BO61" s="719">
        <f t="shared" si="68"/>
        <v>110</v>
      </c>
      <c r="BP61" s="755"/>
      <c r="BQ61" s="719">
        <f>IF(AND((COUNTIFS('3a Staff Plan'!$J$129:$J$305,FA61)*$B$22)+(COUNTIFS('3b Activity Plan'!$J$173:$J$365,FA61)*$M$22)=0,FB61&gt;0),1,0)</f>
        <v>0</v>
      </c>
      <c r="BR61" s="719">
        <f t="shared" si="114"/>
        <v>0</v>
      </c>
      <c r="BS61" s="719">
        <f t="shared" si="69"/>
        <v>0</v>
      </c>
      <c r="BT61" s="719">
        <f t="shared" si="70"/>
        <v>0</v>
      </c>
      <c r="BU61" s="719">
        <f t="shared" si="71"/>
        <v>0</v>
      </c>
      <c r="BV61" s="719">
        <f t="shared" si="72"/>
        <v>0</v>
      </c>
      <c r="BW61" s="719">
        <f t="shared" si="73"/>
        <v>0</v>
      </c>
      <c r="BX61" s="719">
        <f t="shared" si="74"/>
        <v>0</v>
      </c>
      <c r="BY61" s="719">
        <f t="shared" si="75"/>
        <v>0</v>
      </c>
      <c r="BZ61" s="719">
        <f t="shared" si="115"/>
        <v>0</v>
      </c>
      <c r="CA61" s="719">
        <f t="shared" si="116"/>
        <v>0</v>
      </c>
      <c r="CB61" s="719">
        <f t="shared" si="76"/>
        <v>0</v>
      </c>
      <c r="CC61" s="719"/>
      <c r="CD61" s="719"/>
      <c r="CE61" s="719">
        <f t="shared" si="77"/>
        <v>0</v>
      </c>
      <c r="CF61" s="719">
        <f t="shared" si="117"/>
        <v>0</v>
      </c>
      <c r="CG61" s="719">
        <f t="shared" si="118"/>
        <v>0</v>
      </c>
      <c r="CH61" s="719">
        <f t="shared" si="119"/>
        <v>0</v>
      </c>
      <c r="CI61" s="719">
        <f t="shared" si="120"/>
        <v>0</v>
      </c>
      <c r="CJ61" s="719">
        <f t="shared" si="121"/>
        <v>0</v>
      </c>
      <c r="CK61" s="719">
        <f t="shared" si="122"/>
        <v>0</v>
      </c>
      <c r="CL61" s="719">
        <f t="shared" si="123"/>
        <v>0</v>
      </c>
      <c r="CM61" s="719">
        <f t="shared" si="124"/>
        <v>0</v>
      </c>
      <c r="CN61" s="719">
        <f t="shared" si="125"/>
        <v>0</v>
      </c>
      <c r="CO61" s="719">
        <f t="shared" si="42"/>
        <v>0</v>
      </c>
      <c r="CP61" s="719">
        <f t="shared" si="141"/>
        <v>0</v>
      </c>
      <c r="CQ61" s="719">
        <f t="shared" si="126"/>
        <v>28</v>
      </c>
      <c r="CR61" s="719">
        <f t="shared" si="127"/>
        <v>0</v>
      </c>
      <c r="CS61" s="2526"/>
      <c r="CT61" s="2527">
        <f t="shared" si="128"/>
        <v>33</v>
      </c>
      <c r="CU61" s="2527">
        <f t="shared" ref="CU61:CU94" si="146">IF(OR(CP61=0,GG61="X"),0,COUNTIFS($CW$29:$CW$95,"&lt;="&amp;CW61,$CP$29:$CP$95,1))</f>
        <v>0</v>
      </c>
      <c r="CV61" s="2527">
        <f t="shared" ref="CV61:CV94" si="147">IFERROR(MATCH(CT61,$CU$29:$CU$95,0),0)</f>
        <v>0</v>
      </c>
      <c r="CW61" s="2527">
        <f t="shared" si="43"/>
        <v>0</v>
      </c>
      <c r="CX61" s="755"/>
      <c r="CY61" s="2537"/>
      <c r="CZ61" s="499">
        <f t="shared" si="49"/>
        <v>0</v>
      </c>
      <c r="DA61" s="1107">
        <f t="shared" si="50"/>
        <v>0</v>
      </c>
      <c r="DB61" s="2537"/>
      <c r="DC61" s="499">
        <f t="shared" si="79"/>
        <v>0</v>
      </c>
      <c r="DD61" s="1107">
        <f t="shared" si="80"/>
        <v>0</v>
      </c>
      <c r="DE61" s="2537"/>
      <c r="DF61" s="499">
        <f t="shared" si="81"/>
        <v>0</v>
      </c>
      <c r="DG61" s="1107">
        <f t="shared" si="82"/>
        <v>0</v>
      </c>
      <c r="DH61" s="2537"/>
      <c r="DI61" s="499">
        <f t="shared" si="83"/>
        <v>0</v>
      </c>
      <c r="DJ61" s="1107">
        <f t="shared" si="84"/>
        <v>0</v>
      </c>
      <c r="DK61" s="2537"/>
      <c r="DL61" s="499">
        <f t="shared" si="85"/>
        <v>0</v>
      </c>
      <c r="DM61" s="1107">
        <f t="shared" si="86"/>
        <v>0</v>
      </c>
      <c r="DN61" s="2537"/>
      <c r="DO61" s="499">
        <f t="shared" si="87"/>
        <v>0</v>
      </c>
      <c r="DP61" s="1107">
        <f t="shared" si="88"/>
        <v>0</v>
      </c>
      <c r="DQ61" s="2537"/>
      <c r="DR61" s="2559"/>
      <c r="DS61" s="499">
        <f t="shared" ref="DS61:DS92" si="148">IFERROR(INDEX(DS$6:DS$15,MATCH(DT61,DT$6:DT$15,0)),0)</f>
        <v>0</v>
      </c>
      <c r="DT61" s="1106">
        <f t="shared" ref="DT61:DT94" si="149">AU61</f>
        <v>0</v>
      </c>
      <c r="DU61" s="2537"/>
      <c r="DV61" s="2559"/>
      <c r="DW61" s="2312">
        <f t="shared" ref="DW61:DW92" si="150">IFERROR(INDEX(DW$6:DW$15,MATCH(DX61,DX$6:DX$15,0)),0)</f>
        <v>0</v>
      </c>
      <c r="DX61" s="1106">
        <f t="shared" ref="DX61:DX94" si="151">AV61</f>
        <v>0</v>
      </c>
      <c r="DY61" s="2572"/>
      <c r="DZ61" s="2537"/>
      <c r="EA61" s="2537"/>
      <c r="EB61" s="2577" t="str">
        <f t="shared" si="133"/>
        <v>05</v>
      </c>
      <c r="EC61" s="2570"/>
      <c r="ED61" s="436">
        <f>IFERROR(INDEX('IPCS Data'!$H$8:$H$30,MATCH(EE61,'IPCS Data'!$I$8:$I$30,0)),0)</f>
        <v>0</v>
      </c>
      <c r="EE61" s="437"/>
      <c r="EF61" s="2570"/>
      <c r="EG61" s="499">
        <f>IFERROR(INDEX('IPCS Data'!$L$8:$L$27,MATCH(EH61,'IPCS Data'!$M$8:$M$27,0)),0)</f>
        <v>0</v>
      </c>
      <c r="EH61" s="437"/>
      <c r="EI61" s="2578" t="s">
        <v>5</v>
      </c>
      <c r="EJ61" s="748">
        <f>IFERROR(INDEX('IPCS Data'!$O$8:$O$110,MATCH(EK61,'IPCS Data'!$Q$8:$Q$110,0)),0)</f>
        <v>0</v>
      </c>
      <c r="EK61" s="437"/>
      <c r="EL61" s="2578"/>
      <c r="EM61" s="840">
        <f t="shared" si="89"/>
        <v>0</v>
      </c>
      <c r="EN61" s="841"/>
      <c r="EO61" s="2537"/>
      <c r="EP61" s="842">
        <f t="shared" si="90"/>
        <v>0</v>
      </c>
      <c r="EQ61" s="843"/>
      <c r="ER61" s="2537"/>
      <c r="ES61" s="840">
        <f t="shared" si="91"/>
        <v>0</v>
      </c>
      <c r="ET61" s="843"/>
      <c r="EU61" s="2537"/>
      <c r="EV61" s="1497"/>
      <c r="EW61" s="1683"/>
      <c r="EX61" s="2562">
        <f t="shared" si="92"/>
        <v>28</v>
      </c>
      <c r="EY61" s="2533"/>
      <c r="EZ61" s="2561"/>
      <c r="FA61" s="1324">
        <f t="shared" ref="FA61:FA94" si="152">IF(BL61,EV61,BI61)</f>
        <v>0</v>
      </c>
      <c r="FB61" s="2629">
        <f t="shared" si="93"/>
        <v>0</v>
      </c>
      <c r="FC61" s="274"/>
      <c r="FD61" s="2626">
        <f t="shared" ref="FD61:FD94" si="153">IFERROR(AK61,0)</f>
        <v>0</v>
      </c>
      <c r="FE61" s="2626">
        <f t="shared" ref="FE61:FE94" si="154">AL61</f>
        <v>0</v>
      </c>
      <c r="FF61" s="274"/>
      <c r="FG61" s="2616">
        <f t="shared" si="94"/>
        <v>0</v>
      </c>
      <c r="FH61" s="2616">
        <f t="shared" si="95"/>
        <v>0</v>
      </c>
      <c r="FI61" s="2616">
        <f t="shared" si="96"/>
        <v>0</v>
      </c>
      <c r="FJ61" s="2610" t="s">
        <v>5</v>
      </c>
      <c r="FK61" s="2616">
        <f t="shared" si="97"/>
        <v>0</v>
      </c>
      <c r="FL61" s="2616">
        <f t="shared" si="98"/>
        <v>0</v>
      </c>
      <c r="FM61" s="2616">
        <f t="shared" si="99"/>
        <v>0</v>
      </c>
      <c r="FN61" s="2622">
        <f t="shared" si="100"/>
        <v>0</v>
      </c>
      <c r="FO61" s="2615">
        <f t="shared" si="101"/>
        <v>0</v>
      </c>
      <c r="FP61" s="2624">
        <f t="shared" si="102"/>
        <v>0</v>
      </c>
      <c r="FQ61" s="2622">
        <f t="shared" si="103"/>
        <v>0</v>
      </c>
      <c r="FR61" s="2624">
        <f t="shared" si="104"/>
        <v>0</v>
      </c>
      <c r="FS61" s="2611" t="s">
        <v>5</v>
      </c>
      <c r="FT61" s="2616">
        <f t="shared" si="105"/>
        <v>0</v>
      </c>
      <c r="FU61" s="2622">
        <f t="shared" si="129"/>
        <v>0</v>
      </c>
      <c r="FV61" s="2616">
        <f t="shared" si="106"/>
        <v>0</v>
      </c>
      <c r="FW61" s="2612" t="s">
        <v>5</v>
      </c>
      <c r="FX61" s="2616">
        <f t="shared" si="51"/>
        <v>0</v>
      </c>
      <c r="FY61" s="2616">
        <f t="shared" si="107"/>
        <v>0</v>
      </c>
      <c r="FZ61" s="2613" t="s">
        <v>5</v>
      </c>
      <c r="GA61" s="2616">
        <f t="shared" si="48"/>
        <v>0</v>
      </c>
      <c r="GB61" s="2619">
        <f t="shared" si="142"/>
        <v>0</v>
      </c>
      <c r="GC61" s="2620">
        <f t="shared" si="108"/>
        <v>0</v>
      </c>
      <c r="GD61" s="2614"/>
      <c r="GE61" s="3195">
        <f t="shared" si="143"/>
        <v>0</v>
      </c>
      <c r="GF61" s="3195">
        <f t="shared" si="144"/>
        <v>0</v>
      </c>
      <c r="GG61" s="3193" t="str">
        <f t="shared" si="18"/>
        <v>X</v>
      </c>
      <c r="GH61" s="2531"/>
      <c r="GI61" s="3189" t="str">
        <f t="shared" ref="GI61:GI94" si="155">IF(CV61=0,"",INDEX($CU$29:$CU$94,CV61))</f>
        <v/>
      </c>
      <c r="GJ61" s="2598"/>
      <c r="GK61" s="3173">
        <f t="shared" ref="GK61:GK94" si="156">IF($CV61=0,0,INDEX($BF$29:$BF$95,$CV61)&amp;"."&amp;INDEX($BH$29:$BH$95,$CV61))</f>
        <v>0</v>
      </c>
      <c r="GL61" s="3173">
        <f t="shared" ref="GL61:GL94" si="157">IF($CV61=0,0,INDEX($BK$29:$BK$95,$CV61))</f>
        <v>0</v>
      </c>
      <c r="GM61" s="3173">
        <f t="shared" ref="GM61:GM94" si="158">IF($CV61=0,0,INDEX($FB$29:$FB$95,$CV61))</f>
        <v>0</v>
      </c>
      <c r="GN61" s="3174">
        <f t="shared" ref="GN61:GN94" si="159">IF($CV61=0,0,TEXT(INDEX($FD$29:$FD$95,$CV61),"dd-mmm-yyyy"))</f>
        <v>0</v>
      </c>
      <c r="GO61" s="3174">
        <f t="shared" ref="GO61:GO94" si="160">IF($CV61=0,0,TEXT(INDEX($FE$29:$FE$95,$CV61),"dd-mmm-yyyy"))</f>
        <v>0</v>
      </c>
      <c r="GP61" s="3175">
        <f t="shared" ref="GP61:GP94" si="161">IF($CV61=0,0,INDEX($DW$29:$DW$95,$CV61))</f>
        <v>0</v>
      </c>
      <c r="GQ61" s="3176">
        <f t="shared" ref="GQ61:GQ94" si="162">IF($CV61=0,0,INDEX($Z$29:$Z$95,$CV61))</f>
        <v>0</v>
      </c>
      <c r="GR61" s="3177">
        <f t="shared" ref="GR61:GR94" si="163">IF($CV61=0,0,INDEX($FG$29:$FG$95,$CV61))</f>
        <v>0</v>
      </c>
      <c r="GS61" s="3177">
        <f t="shared" ref="GS61:GS94" si="164">IF($CV61=0,0,INDEX($FH$29:$FH$95,$CV61))</f>
        <v>0</v>
      </c>
      <c r="GT61" s="3178">
        <f t="shared" ref="GT61:GT94" si="165">IF($CV61=0,0,INDEX($FP$29:$FP$95,$CV61))</f>
        <v>0</v>
      </c>
      <c r="GU61" s="3179"/>
      <c r="GV61" s="3178">
        <f t="shared" ref="GV61:GV94" si="166">IF($CV61=0,0,INDEX($FR$29:$FR$95,$CV61))</f>
        <v>0</v>
      </c>
      <c r="GW61" s="3177">
        <f t="shared" ref="GW61:GW94" si="167">IF($CV61=0,0,INDEX($FX$29:$FX$95,$CV61))</f>
        <v>0</v>
      </c>
      <c r="GX61" s="3180"/>
      <c r="GY61" s="3177">
        <f t="shared" ref="GY61:GY94" si="168">IF($CV61=0,0,INDEX($FY$29:$FY$95,$CV61))</f>
        <v>0</v>
      </c>
      <c r="GZ61" s="2593"/>
      <c r="HA61" s="277"/>
      <c r="HB61" s="277"/>
      <c r="HC61" s="277"/>
      <c r="HD61" s="277"/>
      <c r="HE61" s="277"/>
      <c r="HF61" s="277"/>
      <c r="HG61" s="277"/>
      <c r="HH61" s="277"/>
      <c r="HI61" s="277"/>
      <c r="HJ61" s="277"/>
      <c r="HK61" s="277"/>
      <c r="HL61" s="277"/>
      <c r="HM61" s="277"/>
      <c r="HN61" s="277"/>
      <c r="HO61" s="277"/>
    </row>
    <row r="62" spans="1:223" s="749" customFormat="1" ht="18" customHeight="1" x14ac:dyDescent="0.3">
      <c r="A62" s="755"/>
      <c r="B62" s="805">
        <f>SUMIFS('3a Staff Plan'!$T$129:$T$305,'3a Staff Plan'!$DF$129:$DF$305,1,'3a Staff Plan'!$DA$129:$DA$305,1,'3a Staff Plan'!$J$129:$J$305,$FA62)</f>
        <v>0</v>
      </c>
      <c r="C62" s="805">
        <f>SUMIFS('3a Staff Plan'!$U$129:$U$305,'3a Staff Plan'!$DF$129:$DF$305,1,'3a Staff Plan'!$DA$129:$DA$305,1,'3a Staff Plan'!$J$129:$J$305,$FA62)</f>
        <v>0</v>
      </c>
      <c r="D62" s="805">
        <f>SUMIFS('3a Staff Plan'!$Z$129:$Z$305,'3a Staff Plan'!$DF$129:$DF$305,1,'3a Staff Plan'!$DA$129:$DA$305,1,'3a Staff Plan'!$J$129:$J$305,$FA62)</f>
        <v>0</v>
      </c>
      <c r="E62" s="805">
        <f>SUMIFS('3a Staff Plan'!$Y$129:$Y$305,'3a Staff Plan'!$DF$129:$DF$305,1,'3a Staff Plan'!$DA$129:$DA$305,1,'3a Staff Plan'!$J$129:$J$305,$FA62)</f>
        <v>0</v>
      </c>
      <c r="F62" s="805">
        <f>SUMIFS('3a Staff Plan'!$X$129:$X$305,'3a Staff Plan'!$DF$129:$DF$305,1,'3a Staff Plan'!$DA$129:$DA$305,1,'3a Staff Plan'!$AG$129:$AG$305,1,'3a Staff Plan'!$J$129:$J$305,$FA62)</f>
        <v>0</v>
      </c>
      <c r="G62" s="805">
        <f>IF($G$24=0,0,SUMIFS('3a Staff Plan'!$W$129:$W$305,'3a Staff Plan'!$DF$129:$DF$305,1,'3a Staff Plan'!$DA$129:$DA$305,1,'3a Staff Plan'!$J$129:$J$305,$FA62))</f>
        <v>0</v>
      </c>
      <c r="H62" s="795">
        <f t="shared" si="52"/>
        <v>0</v>
      </c>
      <c r="I62" s="805">
        <f>SUMIFS('3a Staff Plan'!$V$129:$V$305,'3a Staff Plan'!$DF$129:$DF$305,1,'3a Staff Plan'!$DA$129:$DA$305,1,'3a Staff Plan'!$J$129:$J$305,$FA62)</f>
        <v>0</v>
      </c>
      <c r="J62" s="805">
        <f>SUMIFS('3a Staff Plan'!$AB$129:$AB$305,'3a Staff Plan'!$DF$129:$DF$305,1,'3a Staff Plan'!$DA$129:$DA$305,1,'3a Staff Plan'!$J$129:$J$305,$FA62)</f>
        <v>0</v>
      </c>
      <c r="K62" s="805">
        <f>SUMIFS('3a Staff Plan'!$AA$129:$AA$305,'3a Staff Plan'!$DF$129:$DF$305,1,'3a Staff Plan'!$DA$129:$DA$305,1,'3a Staff Plan'!$AG$129:$AG$305,1,'3a Staff Plan'!$J$129:$J$305,$FA62)</f>
        <v>0</v>
      </c>
      <c r="L62" s="755"/>
      <c r="M62" s="805">
        <f>SUMIFS('3b Activity Plan'!$T$173:$T$365,'3b Activity Plan'!$CY$173:$CY$365,1,'3b Activity Plan'!$CT$173:$CT$365,1,'3b Activity Plan'!$J$173:$J$365,$FA62)</f>
        <v>0</v>
      </c>
      <c r="N62" s="805">
        <f>SUMIFS('3b Activity Plan'!$U$173:$U$365,'3b Activity Plan'!$CY$173:$CY$365,1,'3b Activity Plan'!$CT$173:$CT$365,1,'3b Activity Plan'!$J$173:$J$365,$FA62)</f>
        <v>0</v>
      </c>
      <c r="O62" s="805">
        <f>SUMIFS('3b Activity Plan'!$Z$173:$Z$365,'3b Activity Plan'!$CY$173:$CY$365,1,'3b Activity Plan'!$CT$173:$CT$365,1,'3b Activity Plan'!$J$173:$J$365,$FA62)</f>
        <v>0</v>
      </c>
      <c r="P62" s="805">
        <f>SUMIFS('3b Activity Plan'!$Y$173:$Y$365,'3b Activity Plan'!$CY$173:$CY$365,1,'3b Activity Plan'!$CT$173:$CT$365,1,'3b Activity Plan'!$J$173:$J$365,$FA62)</f>
        <v>0</v>
      </c>
      <c r="Q62" s="805">
        <f>SUMIFS('3b Activity Plan'!$X$173:$X$365,'3b Activity Plan'!$CY$173:$CY$365,1,'3b Activity Plan'!$CT$173:$CT$365,1,'3b Activity Plan'!$J$173:$J$365,$FA62)</f>
        <v>0</v>
      </c>
      <c r="R62" s="805">
        <f>IF($R$24=0,0,SUMIFS('3b Activity Plan'!$W$173:$W$365,'3b Activity Plan'!$CY$173:$CY$365,1,'3b Activity Plan'!$CT$173:$CT$365,1,'3b Activity Plan'!$J$173:$J$365,$FA62))</f>
        <v>0</v>
      </c>
      <c r="S62" s="795">
        <f t="shared" si="53"/>
        <v>0</v>
      </c>
      <c r="T62" s="805">
        <f>SUMIFS('3b Activity Plan'!$V$173:$V$365,'3b Activity Plan'!$CY$173:$CY$365,1,'3b Activity Plan'!$CT$173:$CT$365,1,'3b Activity Plan'!$J$173:$J$365,$FA62)</f>
        <v>0</v>
      </c>
      <c r="U62" s="805">
        <f>SUMIFS('3b Activity Plan'!$AB$173:$AB$365,'3b Activity Plan'!$CY$173:$CY$365,1,'3b Activity Plan'!$CT$173:$CT$365,1,'3b Activity Plan'!$J$173:$J$365,$FA62)</f>
        <v>0</v>
      </c>
      <c r="V62" s="805">
        <f>SUMIFS('3b Activity Plan'!$AA$173:$AA$365,'3b Activity Plan'!$CY$173:$CY$365,1,'3b Activity Plan'!$CT$173:$CT$365,1,'3b Activity Plan'!$J$173:$J$365,$FA62)</f>
        <v>0</v>
      </c>
      <c r="W62" s="755"/>
      <c r="X62" s="2641">
        <f>SUMIFS('3b Activity Plan'!$FU$173:$FU$365,'3b Activity Plan'!$J$173:$J$365,$FA62)</f>
        <v>0</v>
      </c>
      <c r="Y62" s="2641">
        <f>SUMIFS('3b Activity Plan'!$FW$173:$FW$365,'3b Activity Plan'!$J$173:$J$365,$FA62)</f>
        <v>0</v>
      </c>
      <c r="Z62" s="2639">
        <f t="shared" si="132"/>
        <v>0</v>
      </c>
      <c r="AA62" s="755"/>
      <c r="AB62" s="761">
        <f>_xlfn.MINIFS('3a Staff Plan'!$EB$129:$EB$304,'3a Staff Plan'!$DF$129:$DF$304,1,'3a Staff Plan'!$J$129:$J$304,FA62)</f>
        <v>0</v>
      </c>
      <c r="AC62" s="761">
        <f>_xlfn.MAXIFS('3a Staff Plan'!$EC$129:$EC$304,'3a Staff Plan'!$DF$129:$DF$304,1,'3a Staff Plan'!$J$129:$J$304,FA62)</f>
        <v>0</v>
      </c>
      <c r="AD62" s="755"/>
      <c r="AE62" s="761">
        <f>_xlfn.MINIFS('3b Activity Plan'!$GN$173:$GN$365,'3b Activity Plan'!$CY$173:$CY$365,1,'3b Activity Plan'!$J$173:$J$365,$FA62)</f>
        <v>0</v>
      </c>
      <c r="AF62" s="761">
        <f>_xlfn.MAXIFS('3b Activity Plan'!$GO$173:$GO$365,'3b Activity Plan'!$CY$173:$CY$365,1,'3b Activity Plan'!$J$173:$J$365,$FA62)</f>
        <v>0</v>
      </c>
      <c r="AG62" s="755"/>
      <c r="AH62" s="761">
        <f t="shared" si="54"/>
        <v>0</v>
      </c>
      <c r="AI62" s="761">
        <f t="shared" si="55"/>
        <v>0</v>
      </c>
      <c r="AJ62" s="755"/>
      <c r="AK62" s="761">
        <f t="shared" si="56"/>
        <v>0</v>
      </c>
      <c r="AL62" s="761">
        <f t="shared" si="57"/>
        <v>0</v>
      </c>
      <c r="AM62" s="776">
        <f t="shared" si="58"/>
        <v>0</v>
      </c>
      <c r="AN62" s="755"/>
      <c r="AO62" s="748">
        <f t="shared" si="59"/>
        <v>0</v>
      </c>
      <c r="AP62" s="748">
        <f t="shared" si="60"/>
        <v>0</v>
      </c>
      <c r="AQ62" s="748">
        <f t="shared" si="61"/>
        <v>0</v>
      </c>
      <c r="AR62" s="748">
        <f t="shared" si="62"/>
        <v>0</v>
      </c>
      <c r="AS62" s="748">
        <f t="shared" si="63"/>
        <v>0</v>
      </c>
      <c r="AT62" s="748">
        <f t="shared" si="64"/>
        <v>0</v>
      </c>
      <c r="AU62" s="748">
        <f t="shared" si="65"/>
        <v>0</v>
      </c>
      <c r="AV62" s="748">
        <f>IFERROR(INDEX('IPCS Data'!$R$8:$R$109,MATCH(EJ62,'IPCS Data'!$O$8:$O$109,0)),0)</f>
        <v>0</v>
      </c>
      <c r="AW62" s="755"/>
      <c r="AX62" s="499">
        <f>IFERROR(INDEX('IPCS Data'!$P$18:$P$110,MATCH(EK62,'IPCS Data'!$Q$18:$Q$110,0)),0)</f>
        <v>0</v>
      </c>
      <c r="AY62" s="1950" t="str">
        <f t="shared" si="110"/>
        <v/>
      </c>
      <c r="AZ62" s="755"/>
      <c r="BA62" s="753" t="str">
        <f>IFERROR(IF(MATCH(EJ62,'IPCS Data'!$O$8:$O$110,0)&gt;=25,"L","N"),"N")</f>
        <v>N</v>
      </c>
      <c r="BB62" s="774"/>
      <c r="BC62" s="753" t="str">
        <f t="shared" si="111"/>
        <v>N</v>
      </c>
      <c r="BD62" s="753" t="str">
        <f t="shared" si="39"/>
        <v>Non-Labor</v>
      </c>
      <c r="BE62" s="755"/>
      <c r="BF62" s="753" t="str">
        <f t="shared" si="112"/>
        <v>B23672.05</v>
      </c>
      <c r="BG62" s="753" t="str">
        <f t="shared" si="140"/>
        <v>0.0.0</v>
      </c>
      <c r="BH62" s="753">
        <f t="shared" si="66"/>
        <v>0</v>
      </c>
      <c r="BI62" s="753">
        <f t="shared" si="145"/>
        <v>0</v>
      </c>
      <c r="BJ62" s="753">
        <f t="shared" si="113"/>
        <v>0</v>
      </c>
      <c r="BK62" s="753">
        <f t="shared" si="40"/>
        <v>0</v>
      </c>
      <c r="BL62" s="753" t="b">
        <f t="shared" si="131"/>
        <v>1</v>
      </c>
      <c r="BM62" s="755"/>
      <c r="BN62" s="719">
        <f t="shared" si="67"/>
        <v>0</v>
      </c>
      <c r="BO62" s="719">
        <f t="shared" si="68"/>
        <v>110</v>
      </c>
      <c r="BP62" s="755"/>
      <c r="BQ62" s="719">
        <f>IF(AND((COUNTIFS('3a Staff Plan'!$J$129:$J$305,FA62)*$B$22)+(COUNTIFS('3b Activity Plan'!$J$173:$J$365,FA62)*$M$22)=0,FB62&gt;0),1,0)</f>
        <v>0</v>
      </c>
      <c r="BR62" s="719">
        <f t="shared" si="114"/>
        <v>0</v>
      </c>
      <c r="BS62" s="719">
        <f t="shared" si="69"/>
        <v>0</v>
      </c>
      <c r="BT62" s="719">
        <f t="shared" si="70"/>
        <v>0</v>
      </c>
      <c r="BU62" s="719">
        <f t="shared" si="71"/>
        <v>0</v>
      </c>
      <c r="BV62" s="719">
        <f t="shared" si="72"/>
        <v>0</v>
      </c>
      <c r="BW62" s="719">
        <f t="shared" si="73"/>
        <v>0</v>
      </c>
      <c r="BX62" s="719">
        <f t="shared" si="74"/>
        <v>0</v>
      </c>
      <c r="BY62" s="719">
        <f t="shared" si="75"/>
        <v>0</v>
      </c>
      <c r="BZ62" s="719">
        <f t="shared" si="115"/>
        <v>0</v>
      </c>
      <c r="CA62" s="719">
        <f t="shared" si="116"/>
        <v>0</v>
      </c>
      <c r="CB62" s="719">
        <f t="shared" si="76"/>
        <v>0</v>
      </c>
      <c r="CC62" s="719"/>
      <c r="CD62" s="719"/>
      <c r="CE62" s="719">
        <f t="shared" si="77"/>
        <v>0</v>
      </c>
      <c r="CF62" s="719">
        <f t="shared" si="117"/>
        <v>0</v>
      </c>
      <c r="CG62" s="719">
        <f t="shared" si="118"/>
        <v>0</v>
      </c>
      <c r="CH62" s="719">
        <f t="shared" si="119"/>
        <v>0</v>
      </c>
      <c r="CI62" s="719">
        <f t="shared" si="120"/>
        <v>0</v>
      </c>
      <c r="CJ62" s="719">
        <f t="shared" si="121"/>
        <v>0</v>
      </c>
      <c r="CK62" s="719">
        <f t="shared" si="122"/>
        <v>0</v>
      </c>
      <c r="CL62" s="719">
        <f t="shared" si="123"/>
        <v>0</v>
      </c>
      <c r="CM62" s="719">
        <f t="shared" si="124"/>
        <v>0</v>
      </c>
      <c r="CN62" s="719">
        <f t="shared" si="125"/>
        <v>0</v>
      </c>
      <c r="CO62" s="719">
        <f t="shared" si="42"/>
        <v>0</v>
      </c>
      <c r="CP62" s="719">
        <f t="shared" si="141"/>
        <v>0</v>
      </c>
      <c r="CQ62" s="719">
        <f t="shared" si="126"/>
        <v>29</v>
      </c>
      <c r="CR62" s="719">
        <f t="shared" si="127"/>
        <v>0</v>
      </c>
      <c r="CS62" s="2526"/>
      <c r="CT62" s="2527">
        <f t="shared" si="128"/>
        <v>34</v>
      </c>
      <c r="CU62" s="2527">
        <f t="shared" si="146"/>
        <v>0</v>
      </c>
      <c r="CV62" s="2527">
        <f t="shared" si="147"/>
        <v>0</v>
      </c>
      <c r="CW62" s="2527">
        <f t="shared" si="43"/>
        <v>0</v>
      </c>
      <c r="CX62" s="755"/>
      <c r="CY62" s="2537"/>
      <c r="CZ62" s="499">
        <f t="shared" si="49"/>
        <v>0</v>
      </c>
      <c r="DA62" s="1107">
        <f t="shared" si="50"/>
        <v>0</v>
      </c>
      <c r="DB62" s="2537"/>
      <c r="DC62" s="499">
        <f t="shared" si="79"/>
        <v>0</v>
      </c>
      <c r="DD62" s="1107">
        <f t="shared" si="80"/>
        <v>0</v>
      </c>
      <c r="DE62" s="2537"/>
      <c r="DF62" s="499">
        <f t="shared" si="81"/>
        <v>0</v>
      </c>
      <c r="DG62" s="1107">
        <f t="shared" si="82"/>
        <v>0</v>
      </c>
      <c r="DH62" s="2537"/>
      <c r="DI62" s="499">
        <f t="shared" si="83"/>
        <v>0</v>
      </c>
      <c r="DJ62" s="1107">
        <f t="shared" si="84"/>
        <v>0</v>
      </c>
      <c r="DK62" s="2537"/>
      <c r="DL62" s="499">
        <f t="shared" si="85"/>
        <v>0</v>
      </c>
      <c r="DM62" s="1107">
        <f t="shared" si="86"/>
        <v>0</v>
      </c>
      <c r="DN62" s="2537"/>
      <c r="DO62" s="499">
        <f t="shared" si="87"/>
        <v>0</v>
      </c>
      <c r="DP62" s="1107">
        <f t="shared" si="88"/>
        <v>0</v>
      </c>
      <c r="DQ62" s="2537"/>
      <c r="DR62" s="2559"/>
      <c r="DS62" s="499">
        <f t="shared" si="148"/>
        <v>0</v>
      </c>
      <c r="DT62" s="1106">
        <f t="shared" si="149"/>
        <v>0</v>
      </c>
      <c r="DU62" s="2537"/>
      <c r="DV62" s="2559"/>
      <c r="DW62" s="2312">
        <f t="shared" si="150"/>
        <v>0</v>
      </c>
      <c r="DX62" s="1106">
        <f t="shared" si="151"/>
        <v>0</v>
      </c>
      <c r="DY62" s="2572"/>
      <c r="DZ62" s="2537"/>
      <c r="EA62" s="2537"/>
      <c r="EB62" s="2577" t="str">
        <f t="shared" si="133"/>
        <v>05</v>
      </c>
      <c r="EC62" s="2570"/>
      <c r="ED62" s="436">
        <f>IFERROR(INDEX('IPCS Data'!$H$8:$H$30,MATCH(EE62,'IPCS Data'!$I$8:$I$30,0)),0)</f>
        <v>0</v>
      </c>
      <c r="EE62" s="437"/>
      <c r="EF62" s="2570"/>
      <c r="EG62" s="499">
        <f>IFERROR(INDEX('IPCS Data'!$L$8:$L$27,MATCH(EH62,'IPCS Data'!$M$8:$M$27,0)),0)</f>
        <v>0</v>
      </c>
      <c r="EH62" s="3301"/>
      <c r="EI62" s="2578" t="s">
        <v>5</v>
      </c>
      <c r="EJ62" s="748">
        <f>IFERROR(INDEX('IPCS Data'!$O$8:$O$110,MATCH(EK62,'IPCS Data'!$Q$8:$Q$110,0)),0)</f>
        <v>0</v>
      </c>
      <c r="EK62" s="437"/>
      <c r="EL62" s="2578"/>
      <c r="EM62" s="840">
        <f t="shared" si="89"/>
        <v>0</v>
      </c>
      <c r="EN62" s="841"/>
      <c r="EO62" s="2537"/>
      <c r="EP62" s="842">
        <f t="shared" si="90"/>
        <v>0</v>
      </c>
      <c r="EQ62" s="843"/>
      <c r="ER62" s="2537"/>
      <c r="ES62" s="840">
        <f t="shared" si="91"/>
        <v>0</v>
      </c>
      <c r="ET62" s="843"/>
      <c r="EU62" s="2537"/>
      <c r="EV62" s="1497"/>
      <c r="EW62" s="1683"/>
      <c r="EX62" s="2562">
        <f t="shared" si="92"/>
        <v>29</v>
      </c>
      <c r="EY62" s="2533"/>
      <c r="EZ62" s="2561"/>
      <c r="FA62" s="1324">
        <f t="shared" si="152"/>
        <v>0</v>
      </c>
      <c r="FB62" s="2629">
        <f t="shared" si="93"/>
        <v>0</v>
      </c>
      <c r="FC62" s="274"/>
      <c r="FD62" s="2626">
        <f t="shared" si="153"/>
        <v>0</v>
      </c>
      <c r="FE62" s="2626">
        <f t="shared" si="154"/>
        <v>0</v>
      </c>
      <c r="FF62" s="274"/>
      <c r="FG62" s="2616">
        <f t="shared" si="94"/>
        <v>0</v>
      </c>
      <c r="FH62" s="2616">
        <f t="shared" si="95"/>
        <v>0</v>
      </c>
      <c r="FI62" s="2616">
        <f t="shared" si="96"/>
        <v>0</v>
      </c>
      <c r="FJ62" s="2610" t="s">
        <v>5</v>
      </c>
      <c r="FK62" s="2616">
        <f t="shared" si="97"/>
        <v>0</v>
      </c>
      <c r="FL62" s="2616">
        <f t="shared" si="98"/>
        <v>0</v>
      </c>
      <c r="FM62" s="2616">
        <f t="shared" si="99"/>
        <v>0</v>
      </c>
      <c r="FN62" s="2622">
        <f t="shared" si="100"/>
        <v>0</v>
      </c>
      <c r="FO62" s="2615">
        <f t="shared" si="101"/>
        <v>0</v>
      </c>
      <c r="FP62" s="2624">
        <f t="shared" si="102"/>
        <v>0</v>
      </c>
      <c r="FQ62" s="2622">
        <f t="shared" si="103"/>
        <v>0</v>
      </c>
      <c r="FR62" s="2624">
        <f t="shared" si="104"/>
        <v>0</v>
      </c>
      <c r="FS62" s="2611" t="s">
        <v>5</v>
      </c>
      <c r="FT62" s="2616">
        <f t="shared" si="105"/>
        <v>0</v>
      </c>
      <c r="FU62" s="2622">
        <f t="shared" si="129"/>
        <v>0</v>
      </c>
      <c r="FV62" s="2616">
        <f t="shared" si="106"/>
        <v>0</v>
      </c>
      <c r="FW62" s="2612" t="s">
        <v>5</v>
      </c>
      <c r="FX62" s="2616">
        <f t="shared" si="51"/>
        <v>0</v>
      </c>
      <c r="FY62" s="2616">
        <f t="shared" si="107"/>
        <v>0</v>
      </c>
      <c r="FZ62" s="2613" t="s">
        <v>5</v>
      </c>
      <c r="GA62" s="2616">
        <f t="shared" si="48"/>
        <v>0</v>
      </c>
      <c r="GB62" s="2619">
        <f t="shared" si="142"/>
        <v>0</v>
      </c>
      <c r="GC62" s="2620">
        <f t="shared" si="108"/>
        <v>0</v>
      </c>
      <c r="GD62" s="2614"/>
      <c r="GE62" s="3195">
        <f t="shared" si="143"/>
        <v>0</v>
      </c>
      <c r="GF62" s="3195">
        <f t="shared" si="144"/>
        <v>0</v>
      </c>
      <c r="GG62" s="3193" t="str">
        <f t="shared" si="18"/>
        <v>X</v>
      </c>
      <c r="GH62" s="2531"/>
      <c r="GI62" s="3189" t="str">
        <f t="shared" si="155"/>
        <v/>
      </c>
      <c r="GJ62" s="2598"/>
      <c r="GK62" s="3173">
        <f t="shared" si="156"/>
        <v>0</v>
      </c>
      <c r="GL62" s="3173">
        <f t="shared" si="157"/>
        <v>0</v>
      </c>
      <c r="GM62" s="3173">
        <f t="shared" si="158"/>
        <v>0</v>
      </c>
      <c r="GN62" s="3174">
        <f t="shared" si="159"/>
        <v>0</v>
      </c>
      <c r="GO62" s="3174">
        <f t="shared" si="160"/>
        <v>0</v>
      </c>
      <c r="GP62" s="3175">
        <f t="shared" si="161"/>
        <v>0</v>
      </c>
      <c r="GQ62" s="3176">
        <f t="shared" si="162"/>
        <v>0</v>
      </c>
      <c r="GR62" s="3177">
        <f t="shared" si="163"/>
        <v>0</v>
      </c>
      <c r="GS62" s="3177">
        <f t="shared" si="164"/>
        <v>0</v>
      </c>
      <c r="GT62" s="3178">
        <f t="shared" si="165"/>
        <v>0</v>
      </c>
      <c r="GU62" s="3179"/>
      <c r="GV62" s="3178">
        <f t="shared" si="166"/>
        <v>0</v>
      </c>
      <c r="GW62" s="3177">
        <f t="shared" si="167"/>
        <v>0</v>
      </c>
      <c r="GX62" s="3180"/>
      <c r="GY62" s="3177">
        <f t="shared" si="168"/>
        <v>0</v>
      </c>
      <c r="GZ62" s="2593"/>
      <c r="HA62" s="277"/>
      <c r="HB62" s="277"/>
      <c r="HC62" s="277"/>
      <c r="HD62" s="277"/>
      <c r="HE62" s="277"/>
      <c r="HF62" s="277"/>
      <c r="HG62" s="277"/>
      <c r="HH62" s="277"/>
      <c r="HI62" s="277"/>
      <c r="HJ62" s="277"/>
      <c r="HK62" s="277"/>
      <c r="HL62" s="277"/>
      <c r="HM62" s="277"/>
      <c r="HN62" s="277"/>
      <c r="HO62" s="277"/>
    </row>
    <row r="63" spans="1:223" s="749" customFormat="1" ht="18" customHeight="1" x14ac:dyDescent="0.3">
      <c r="A63" s="755"/>
      <c r="B63" s="805">
        <f>SUMIFS('3a Staff Plan'!$T$129:$T$305,'3a Staff Plan'!$DF$129:$DF$305,1,'3a Staff Plan'!$DA$129:$DA$305,1,'3a Staff Plan'!$J$129:$J$305,$FA63)</f>
        <v>0</v>
      </c>
      <c r="C63" s="805">
        <f>SUMIFS('3a Staff Plan'!$U$129:$U$305,'3a Staff Plan'!$DF$129:$DF$305,1,'3a Staff Plan'!$DA$129:$DA$305,1,'3a Staff Plan'!$J$129:$J$305,$FA63)</f>
        <v>0</v>
      </c>
      <c r="D63" s="805">
        <f>SUMIFS('3a Staff Plan'!$Z$129:$Z$305,'3a Staff Plan'!$DF$129:$DF$305,1,'3a Staff Plan'!$DA$129:$DA$305,1,'3a Staff Plan'!$J$129:$J$305,$FA63)</f>
        <v>0</v>
      </c>
      <c r="E63" s="805">
        <f>SUMIFS('3a Staff Plan'!$Y$129:$Y$305,'3a Staff Plan'!$DF$129:$DF$305,1,'3a Staff Plan'!$DA$129:$DA$305,1,'3a Staff Plan'!$J$129:$J$305,$FA63)</f>
        <v>0</v>
      </c>
      <c r="F63" s="805">
        <f>SUMIFS('3a Staff Plan'!$X$129:$X$305,'3a Staff Plan'!$DF$129:$DF$305,1,'3a Staff Plan'!$DA$129:$DA$305,1,'3a Staff Plan'!$AG$129:$AG$305,1,'3a Staff Plan'!$J$129:$J$305,$FA63)</f>
        <v>0</v>
      </c>
      <c r="G63" s="805">
        <f>IF($G$24=0,0,SUMIFS('3a Staff Plan'!$W$129:$W$305,'3a Staff Plan'!$DF$129:$DF$305,1,'3a Staff Plan'!$DA$129:$DA$305,1,'3a Staff Plan'!$J$129:$J$305,$FA63))</f>
        <v>0</v>
      </c>
      <c r="H63" s="795">
        <f t="shared" si="52"/>
        <v>0</v>
      </c>
      <c r="I63" s="805">
        <f>SUMIFS('3a Staff Plan'!$V$129:$V$305,'3a Staff Plan'!$DF$129:$DF$305,1,'3a Staff Plan'!$DA$129:$DA$305,1,'3a Staff Plan'!$J$129:$J$305,$FA63)</f>
        <v>0</v>
      </c>
      <c r="J63" s="805">
        <f>SUMIFS('3a Staff Plan'!$AB$129:$AB$305,'3a Staff Plan'!$DF$129:$DF$305,1,'3a Staff Plan'!$DA$129:$DA$305,1,'3a Staff Plan'!$J$129:$J$305,$FA63)</f>
        <v>0</v>
      </c>
      <c r="K63" s="805">
        <f>SUMIFS('3a Staff Plan'!$AA$129:$AA$305,'3a Staff Plan'!$DF$129:$DF$305,1,'3a Staff Plan'!$DA$129:$DA$305,1,'3a Staff Plan'!$AG$129:$AG$305,1,'3a Staff Plan'!$J$129:$J$305,$FA63)</f>
        <v>0</v>
      </c>
      <c r="L63" s="755"/>
      <c r="M63" s="805">
        <f>SUMIFS('3b Activity Plan'!$T$173:$T$365,'3b Activity Plan'!$CY$173:$CY$365,1,'3b Activity Plan'!$CT$173:$CT$365,1,'3b Activity Plan'!$J$173:$J$365,$FA63)</f>
        <v>0</v>
      </c>
      <c r="N63" s="805">
        <f>SUMIFS('3b Activity Plan'!$U$173:$U$365,'3b Activity Plan'!$CY$173:$CY$365,1,'3b Activity Plan'!$CT$173:$CT$365,1,'3b Activity Plan'!$J$173:$J$365,$FA63)</f>
        <v>0</v>
      </c>
      <c r="O63" s="805">
        <f>SUMIFS('3b Activity Plan'!$Z$173:$Z$365,'3b Activity Plan'!$CY$173:$CY$365,1,'3b Activity Plan'!$CT$173:$CT$365,1,'3b Activity Plan'!$J$173:$J$365,$FA63)</f>
        <v>0</v>
      </c>
      <c r="P63" s="805">
        <f>SUMIFS('3b Activity Plan'!$Y$173:$Y$365,'3b Activity Plan'!$CY$173:$CY$365,1,'3b Activity Plan'!$CT$173:$CT$365,1,'3b Activity Plan'!$J$173:$J$365,$FA63)</f>
        <v>0</v>
      </c>
      <c r="Q63" s="805">
        <f>SUMIFS('3b Activity Plan'!$X$173:$X$365,'3b Activity Plan'!$CY$173:$CY$365,1,'3b Activity Plan'!$CT$173:$CT$365,1,'3b Activity Plan'!$J$173:$J$365,$FA63)</f>
        <v>0</v>
      </c>
      <c r="R63" s="805">
        <f>IF($R$24=0,0,SUMIFS('3b Activity Plan'!$W$173:$W$365,'3b Activity Plan'!$CY$173:$CY$365,1,'3b Activity Plan'!$CT$173:$CT$365,1,'3b Activity Plan'!$J$173:$J$365,$FA63))</f>
        <v>0</v>
      </c>
      <c r="S63" s="795">
        <f t="shared" si="53"/>
        <v>0</v>
      </c>
      <c r="T63" s="805">
        <f>SUMIFS('3b Activity Plan'!$V$173:$V$365,'3b Activity Plan'!$CY$173:$CY$365,1,'3b Activity Plan'!$CT$173:$CT$365,1,'3b Activity Plan'!$J$173:$J$365,$FA63)</f>
        <v>0</v>
      </c>
      <c r="U63" s="805">
        <f>SUMIFS('3b Activity Plan'!$AB$173:$AB$365,'3b Activity Plan'!$CY$173:$CY$365,1,'3b Activity Plan'!$CT$173:$CT$365,1,'3b Activity Plan'!$J$173:$J$365,$FA63)</f>
        <v>0</v>
      </c>
      <c r="V63" s="805">
        <f>SUMIFS('3b Activity Plan'!$AA$173:$AA$365,'3b Activity Plan'!$CY$173:$CY$365,1,'3b Activity Plan'!$CT$173:$CT$365,1,'3b Activity Plan'!$J$173:$J$365,$FA63)</f>
        <v>0</v>
      </c>
      <c r="W63" s="755"/>
      <c r="X63" s="2641">
        <f>SUMIFS('3b Activity Plan'!$FU$173:$FU$365,'3b Activity Plan'!$J$173:$J$365,$FA63)</f>
        <v>0</v>
      </c>
      <c r="Y63" s="2641">
        <f>SUMIFS('3b Activity Plan'!$FW$173:$FW$365,'3b Activity Plan'!$J$173:$J$365,$FA63)</f>
        <v>0</v>
      </c>
      <c r="Z63" s="2639">
        <f t="shared" si="132"/>
        <v>0</v>
      </c>
      <c r="AA63" s="755"/>
      <c r="AB63" s="761">
        <f>_xlfn.MINIFS('3a Staff Plan'!$EB$129:$EB$304,'3a Staff Plan'!$DF$129:$DF$304,1,'3a Staff Plan'!$J$129:$J$304,FA63)</f>
        <v>0</v>
      </c>
      <c r="AC63" s="761">
        <f>_xlfn.MAXIFS('3a Staff Plan'!$EC$129:$EC$304,'3a Staff Plan'!$DF$129:$DF$304,1,'3a Staff Plan'!$J$129:$J$304,FA63)</f>
        <v>0</v>
      </c>
      <c r="AD63" s="755"/>
      <c r="AE63" s="761">
        <f>_xlfn.MINIFS('3b Activity Plan'!$GN$173:$GN$365,'3b Activity Plan'!$CY$173:$CY$365,1,'3b Activity Plan'!$J$173:$J$365,$FA63)</f>
        <v>0</v>
      </c>
      <c r="AF63" s="761">
        <f>_xlfn.MAXIFS('3b Activity Plan'!$GO$173:$GO$365,'3b Activity Plan'!$CY$173:$CY$365,1,'3b Activity Plan'!$J$173:$J$365,$FA63)</f>
        <v>0</v>
      </c>
      <c r="AG63" s="755"/>
      <c r="AH63" s="761">
        <f t="shared" si="54"/>
        <v>0</v>
      </c>
      <c r="AI63" s="761">
        <f t="shared" si="55"/>
        <v>0</v>
      </c>
      <c r="AJ63" s="755"/>
      <c r="AK63" s="761">
        <f t="shared" si="56"/>
        <v>0</v>
      </c>
      <c r="AL63" s="761">
        <f t="shared" si="57"/>
        <v>0</v>
      </c>
      <c r="AM63" s="776">
        <f t="shared" si="58"/>
        <v>0</v>
      </c>
      <c r="AN63" s="755"/>
      <c r="AO63" s="748">
        <f t="shared" si="59"/>
        <v>0</v>
      </c>
      <c r="AP63" s="748">
        <f t="shared" si="60"/>
        <v>0</v>
      </c>
      <c r="AQ63" s="748">
        <f t="shared" si="61"/>
        <v>0</v>
      </c>
      <c r="AR63" s="748">
        <f t="shared" si="62"/>
        <v>0</v>
      </c>
      <c r="AS63" s="748">
        <f t="shared" si="63"/>
        <v>0</v>
      </c>
      <c r="AT63" s="748">
        <f t="shared" si="64"/>
        <v>0</v>
      </c>
      <c r="AU63" s="748">
        <f t="shared" si="65"/>
        <v>0</v>
      </c>
      <c r="AV63" s="748">
        <f>IFERROR(INDEX('IPCS Data'!$R$8:$R$109,MATCH(EJ63,'IPCS Data'!$O$8:$O$109,0)),0)</f>
        <v>0</v>
      </c>
      <c r="AW63" s="755"/>
      <c r="AX63" s="499">
        <f>IFERROR(INDEX('IPCS Data'!$P$18:$P$110,MATCH(EK63,'IPCS Data'!$Q$18:$Q$110,0)),0)</f>
        <v>0</v>
      </c>
      <c r="AY63" s="1950" t="str">
        <f t="shared" si="110"/>
        <v/>
      </c>
      <c r="AZ63" s="755"/>
      <c r="BA63" s="753" t="str">
        <f>IFERROR(IF(MATCH(EJ63,'IPCS Data'!$O$8:$O$110,0)&gt;=25,"L","N"),"N")</f>
        <v>N</v>
      </c>
      <c r="BB63" s="774"/>
      <c r="BC63" s="753" t="str">
        <f t="shared" si="111"/>
        <v>N</v>
      </c>
      <c r="BD63" s="753" t="str">
        <f t="shared" si="39"/>
        <v>Non-Labor</v>
      </c>
      <c r="BE63" s="755"/>
      <c r="BF63" s="753" t="str">
        <f t="shared" si="112"/>
        <v>B23672.05</v>
      </c>
      <c r="BG63" s="753" t="str">
        <f t="shared" si="140"/>
        <v>0.0.0</v>
      </c>
      <c r="BH63" s="753">
        <f t="shared" si="66"/>
        <v>0</v>
      </c>
      <c r="BI63" s="753">
        <f t="shared" si="145"/>
        <v>0</v>
      </c>
      <c r="BJ63" s="753">
        <f t="shared" si="113"/>
        <v>0</v>
      </c>
      <c r="BK63" s="753">
        <f t="shared" si="40"/>
        <v>0</v>
      </c>
      <c r="BL63" s="753" t="b">
        <f t="shared" si="131"/>
        <v>1</v>
      </c>
      <c r="BM63" s="755"/>
      <c r="BN63" s="719">
        <f t="shared" si="67"/>
        <v>0</v>
      </c>
      <c r="BO63" s="719">
        <f t="shared" si="68"/>
        <v>110</v>
      </c>
      <c r="BP63" s="755"/>
      <c r="BQ63" s="719">
        <f>IF(AND((COUNTIFS('3a Staff Plan'!$J$129:$J$305,FA63)*$B$22)+(COUNTIFS('3b Activity Plan'!$J$173:$J$365,FA63)*$M$22)=0,FB63&gt;0),1,0)</f>
        <v>0</v>
      </c>
      <c r="BR63" s="719">
        <f t="shared" si="114"/>
        <v>0</v>
      </c>
      <c r="BS63" s="719">
        <f t="shared" si="69"/>
        <v>0</v>
      </c>
      <c r="BT63" s="719">
        <f t="shared" si="70"/>
        <v>0</v>
      </c>
      <c r="BU63" s="719">
        <f t="shared" si="71"/>
        <v>0</v>
      </c>
      <c r="BV63" s="719">
        <f t="shared" si="72"/>
        <v>0</v>
      </c>
      <c r="BW63" s="719">
        <f t="shared" si="73"/>
        <v>0</v>
      </c>
      <c r="BX63" s="719">
        <f t="shared" si="74"/>
        <v>0</v>
      </c>
      <c r="BY63" s="719">
        <f t="shared" si="75"/>
        <v>0</v>
      </c>
      <c r="BZ63" s="719">
        <f t="shared" si="115"/>
        <v>0</v>
      </c>
      <c r="CA63" s="719">
        <f t="shared" si="116"/>
        <v>0</v>
      </c>
      <c r="CB63" s="719">
        <f t="shared" si="76"/>
        <v>0</v>
      </c>
      <c r="CC63" s="719"/>
      <c r="CD63" s="719"/>
      <c r="CE63" s="719">
        <f t="shared" si="77"/>
        <v>0</v>
      </c>
      <c r="CF63" s="719">
        <f t="shared" si="117"/>
        <v>0</v>
      </c>
      <c r="CG63" s="719">
        <f t="shared" si="118"/>
        <v>0</v>
      </c>
      <c r="CH63" s="719">
        <f t="shared" si="119"/>
        <v>0</v>
      </c>
      <c r="CI63" s="719">
        <f t="shared" si="120"/>
        <v>0</v>
      </c>
      <c r="CJ63" s="719">
        <f t="shared" si="121"/>
        <v>0</v>
      </c>
      <c r="CK63" s="719">
        <f t="shared" si="122"/>
        <v>0</v>
      </c>
      <c r="CL63" s="719">
        <f t="shared" si="123"/>
        <v>0</v>
      </c>
      <c r="CM63" s="719">
        <f t="shared" si="124"/>
        <v>0</v>
      </c>
      <c r="CN63" s="719">
        <f t="shared" si="125"/>
        <v>0</v>
      </c>
      <c r="CO63" s="719">
        <f t="shared" si="42"/>
        <v>0</v>
      </c>
      <c r="CP63" s="719">
        <f t="shared" si="141"/>
        <v>0</v>
      </c>
      <c r="CQ63" s="719">
        <f t="shared" si="126"/>
        <v>30</v>
      </c>
      <c r="CR63" s="719">
        <f t="shared" si="127"/>
        <v>0</v>
      </c>
      <c r="CS63" s="2526"/>
      <c r="CT63" s="2527">
        <f t="shared" si="128"/>
        <v>35</v>
      </c>
      <c r="CU63" s="2527">
        <f t="shared" si="146"/>
        <v>0</v>
      </c>
      <c r="CV63" s="2527">
        <f t="shared" si="147"/>
        <v>0</v>
      </c>
      <c r="CW63" s="2527">
        <f t="shared" si="43"/>
        <v>0</v>
      </c>
      <c r="CX63" s="755"/>
      <c r="CY63" s="2537"/>
      <c r="CZ63" s="499">
        <f t="shared" si="49"/>
        <v>0</v>
      </c>
      <c r="DA63" s="1107">
        <f t="shared" si="50"/>
        <v>0</v>
      </c>
      <c r="DB63" s="2537"/>
      <c r="DC63" s="499">
        <f t="shared" si="79"/>
        <v>0</v>
      </c>
      <c r="DD63" s="1107">
        <f t="shared" si="80"/>
        <v>0</v>
      </c>
      <c r="DE63" s="2537"/>
      <c r="DF63" s="499">
        <f t="shared" si="81"/>
        <v>0</v>
      </c>
      <c r="DG63" s="1107">
        <f t="shared" si="82"/>
        <v>0</v>
      </c>
      <c r="DH63" s="2537"/>
      <c r="DI63" s="499">
        <f t="shared" si="83"/>
        <v>0</v>
      </c>
      <c r="DJ63" s="1107">
        <f t="shared" si="84"/>
        <v>0</v>
      </c>
      <c r="DK63" s="2537"/>
      <c r="DL63" s="499">
        <f t="shared" si="85"/>
        <v>0</v>
      </c>
      <c r="DM63" s="1107">
        <f t="shared" si="86"/>
        <v>0</v>
      </c>
      <c r="DN63" s="2537"/>
      <c r="DO63" s="499">
        <f t="shared" si="87"/>
        <v>0</v>
      </c>
      <c r="DP63" s="1107">
        <f t="shared" si="88"/>
        <v>0</v>
      </c>
      <c r="DQ63" s="2537"/>
      <c r="DR63" s="2559"/>
      <c r="DS63" s="499">
        <f t="shared" si="148"/>
        <v>0</v>
      </c>
      <c r="DT63" s="1106">
        <f t="shared" si="149"/>
        <v>0</v>
      </c>
      <c r="DU63" s="2537"/>
      <c r="DV63" s="2559"/>
      <c r="DW63" s="2312">
        <f t="shared" si="150"/>
        <v>0</v>
      </c>
      <c r="DX63" s="1106">
        <f t="shared" si="151"/>
        <v>0</v>
      </c>
      <c r="DY63" s="2572"/>
      <c r="DZ63" s="2537"/>
      <c r="EA63" s="2537"/>
      <c r="EB63" s="2577" t="str">
        <f t="shared" si="133"/>
        <v>05</v>
      </c>
      <c r="EC63" s="2570"/>
      <c r="ED63" s="436">
        <f>IFERROR(INDEX('IPCS Data'!$H$8:$H$30,MATCH(EE63,'IPCS Data'!$I$8:$I$30,0)),0)</f>
        <v>0</v>
      </c>
      <c r="EE63" s="437"/>
      <c r="EF63" s="2570"/>
      <c r="EG63" s="499">
        <f>IFERROR(INDEX('IPCS Data'!$L$8:$L$27,MATCH(EH63,'IPCS Data'!$M$8:$M$27,0)),0)</f>
        <v>0</v>
      </c>
      <c r="EH63" s="437"/>
      <c r="EI63" s="2578" t="s">
        <v>5</v>
      </c>
      <c r="EJ63" s="748">
        <f>IFERROR(INDEX('IPCS Data'!$O$8:$O$110,MATCH(EK63,'IPCS Data'!$Q$8:$Q$110,0)),0)</f>
        <v>0</v>
      </c>
      <c r="EK63" s="437"/>
      <c r="EL63" s="2578"/>
      <c r="EM63" s="840">
        <f t="shared" si="89"/>
        <v>0</v>
      </c>
      <c r="EN63" s="841"/>
      <c r="EO63" s="2537"/>
      <c r="EP63" s="842">
        <f t="shared" si="90"/>
        <v>0</v>
      </c>
      <c r="EQ63" s="843"/>
      <c r="ER63" s="2537"/>
      <c r="ES63" s="840">
        <f t="shared" si="91"/>
        <v>0</v>
      </c>
      <c r="ET63" s="843"/>
      <c r="EU63" s="2537"/>
      <c r="EV63" s="1497"/>
      <c r="EW63" s="1683"/>
      <c r="EX63" s="2562">
        <f t="shared" si="92"/>
        <v>30</v>
      </c>
      <c r="EY63" s="2533"/>
      <c r="EZ63" s="2561"/>
      <c r="FA63" s="1324">
        <f t="shared" si="152"/>
        <v>0</v>
      </c>
      <c r="FB63" s="2629">
        <f t="shared" si="93"/>
        <v>0</v>
      </c>
      <c r="FC63" s="274"/>
      <c r="FD63" s="2626">
        <f t="shared" si="153"/>
        <v>0</v>
      </c>
      <c r="FE63" s="2626">
        <f t="shared" si="154"/>
        <v>0</v>
      </c>
      <c r="FF63" s="274"/>
      <c r="FG63" s="2616">
        <f t="shared" si="94"/>
        <v>0</v>
      </c>
      <c r="FH63" s="2616">
        <f t="shared" si="95"/>
        <v>0</v>
      </c>
      <c r="FI63" s="2616">
        <f t="shared" si="96"/>
        <v>0</v>
      </c>
      <c r="FJ63" s="2610" t="s">
        <v>5</v>
      </c>
      <c r="FK63" s="2616">
        <f t="shared" si="97"/>
        <v>0</v>
      </c>
      <c r="FL63" s="2616">
        <f t="shared" si="98"/>
        <v>0</v>
      </c>
      <c r="FM63" s="2616">
        <f t="shared" si="99"/>
        <v>0</v>
      </c>
      <c r="FN63" s="2622">
        <f t="shared" si="100"/>
        <v>0</v>
      </c>
      <c r="FO63" s="2615">
        <f t="shared" si="101"/>
        <v>0</v>
      </c>
      <c r="FP63" s="2624">
        <f t="shared" si="102"/>
        <v>0</v>
      </c>
      <c r="FQ63" s="2622">
        <f t="shared" si="103"/>
        <v>0</v>
      </c>
      <c r="FR63" s="2624">
        <f t="shared" si="104"/>
        <v>0</v>
      </c>
      <c r="FS63" s="2611" t="s">
        <v>5</v>
      </c>
      <c r="FT63" s="2616">
        <f t="shared" si="105"/>
        <v>0</v>
      </c>
      <c r="FU63" s="2622">
        <f t="shared" si="129"/>
        <v>0</v>
      </c>
      <c r="FV63" s="2616">
        <f t="shared" si="106"/>
        <v>0</v>
      </c>
      <c r="FW63" s="2612" t="s">
        <v>5</v>
      </c>
      <c r="FX63" s="2616">
        <f t="shared" si="51"/>
        <v>0</v>
      </c>
      <c r="FY63" s="2616">
        <f t="shared" si="107"/>
        <v>0</v>
      </c>
      <c r="FZ63" s="2613" t="s">
        <v>5</v>
      </c>
      <c r="GA63" s="2616">
        <f t="shared" si="48"/>
        <v>0</v>
      </c>
      <c r="GB63" s="2619">
        <f t="shared" si="142"/>
        <v>0</v>
      </c>
      <c r="GC63" s="2620">
        <f t="shared" si="108"/>
        <v>0</v>
      </c>
      <c r="GD63" s="2614"/>
      <c r="GE63" s="3195">
        <f t="shared" si="143"/>
        <v>0</v>
      </c>
      <c r="GF63" s="3195">
        <f t="shared" si="144"/>
        <v>0</v>
      </c>
      <c r="GG63" s="3193" t="str">
        <f t="shared" si="18"/>
        <v>X</v>
      </c>
      <c r="GH63" s="2531"/>
      <c r="GI63" s="3189" t="str">
        <f t="shared" si="155"/>
        <v/>
      </c>
      <c r="GJ63" s="2598"/>
      <c r="GK63" s="3173">
        <f t="shared" si="156"/>
        <v>0</v>
      </c>
      <c r="GL63" s="3173">
        <f t="shared" si="157"/>
        <v>0</v>
      </c>
      <c r="GM63" s="3173">
        <f t="shared" si="158"/>
        <v>0</v>
      </c>
      <c r="GN63" s="3174">
        <f t="shared" si="159"/>
        <v>0</v>
      </c>
      <c r="GO63" s="3174">
        <f t="shared" si="160"/>
        <v>0</v>
      </c>
      <c r="GP63" s="3175">
        <f t="shared" si="161"/>
        <v>0</v>
      </c>
      <c r="GQ63" s="3176">
        <f t="shared" si="162"/>
        <v>0</v>
      </c>
      <c r="GR63" s="3177">
        <f t="shared" si="163"/>
        <v>0</v>
      </c>
      <c r="GS63" s="3177">
        <f t="shared" si="164"/>
        <v>0</v>
      </c>
      <c r="GT63" s="3178">
        <f t="shared" si="165"/>
        <v>0</v>
      </c>
      <c r="GU63" s="3179"/>
      <c r="GV63" s="3178">
        <f t="shared" si="166"/>
        <v>0</v>
      </c>
      <c r="GW63" s="3177">
        <f t="shared" si="167"/>
        <v>0</v>
      </c>
      <c r="GX63" s="3180"/>
      <c r="GY63" s="3177">
        <f t="shared" si="168"/>
        <v>0</v>
      </c>
      <c r="GZ63" s="2593"/>
      <c r="HA63" s="277"/>
      <c r="HB63" s="277"/>
      <c r="HC63" s="277"/>
      <c r="HD63" s="277"/>
      <c r="HE63" s="277"/>
      <c r="HF63" s="277"/>
      <c r="HG63" s="277"/>
      <c r="HH63" s="277"/>
      <c r="HI63" s="277"/>
      <c r="HJ63" s="277"/>
      <c r="HK63" s="277"/>
      <c r="HL63" s="277"/>
      <c r="HM63" s="277"/>
      <c r="HN63" s="277"/>
      <c r="HO63" s="277"/>
    </row>
    <row r="64" spans="1:223" s="749" customFormat="1" ht="18" customHeight="1" x14ac:dyDescent="0.3">
      <c r="A64" s="755"/>
      <c r="B64" s="805">
        <f>SUMIFS('3a Staff Plan'!$T$129:$T$305,'3a Staff Plan'!$DF$129:$DF$305,1,'3a Staff Plan'!$DA$129:$DA$305,1,'3a Staff Plan'!$J$129:$J$305,$FA64)</f>
        <v>0</v>
      </c>
      <c r="C64" s="805">
        <f>SUMIFS('3a Staff Plan'!$U$129:$U$305,'3a Staff Plan'!$DF$129:$DF$305,1,'3a Staff Plan'!$DA$129:$DA$305,1,'3a Staff Plan'!$J$129:$J$305,$FA64)</f>
        <v>0</v>
      </c>
      <c r="D64" s="805">
        <f>SUMIFS('3a Staff Plan'!$Z$129:$Z$305,'3a Staff Plan'!$DF$129:$DF$305,1,'3a Staff Plan'!$DA$129:$DA$305,1,'3a Staff Plan'!$J$129:$J$305,$FA64)</f>
        <v>0</v>
      </c>
      <c r="E64" s="805">
        <f>SUMIFS('3a Staff Plan'!$Y$129:$Y$305,'3a Staff Plan'!$DF$129:$DF$305,1,'3a Staff Plan'!$DA$129:$DA$305,1,'3a Staff Plan'!$J$129:$J$305,$FA64)</f>
        <v>0</v>
      </c>
      <c r="F64" s="805">
        <f>SUMIFS('3a Staff Plan'!$X$129:$X$305,'3a Staff Plan'!$DF$129:$DF$305,1,'3a Staff Plan'!$DA$129:$DA$305,1,'3a Staff Plan'!$AG$129:$AG$305,1,'3a Staff Plan'!$J$129:$J$305,$FA64)</f>
        <v>0</v>
      </c>
      <c r="G64" s="805">
        <f>IF($G$24=0,0,SUMIFS('3a Staff Plan'!$W$129:$W$305,'3a Staff Plan'!$DF$129:$DF$305,1,'3a Staff Plan'!$DA$129:$DA$305,1,'3a Staff Plan'!$J$129:$J$305,$FA64))</f>
        <v>0</v>
      </c>
      <c r="H64" s="795">
        <f t="shared" si="52"/>
        <v>0</v>
      </c>
      <c r="I64" s="805">
        <f>SUMIFS('3a Staff Plan'!$V$129:$V$305,'3a Staff Plan'!$DF$129:$DF$305,1,'3a Staff Plan'!$DA$129:$DA$305,1,'3a Staff Plan'!$J$129:$J$305,$FA64)</f>
        <v>0</v>
      </c>
      <c r="J64" s="805">
        <f>SUMIFS('3a Staff Plan'!$AB$129:$AB$305,'3a Staff Plan'!$DF$129:$DF$305,1,'3a Staff Plan'!$DA$129:$DA$305,1,'3a Staff Plan'!$J$129:$J$305,$FA64)</f>
        <v>0</v>
      </c>
      <c r="K64" s="805">
        <f>SUMIFS('3a Staff Plan'!$AA$129:$AA$305,'3a Staff Plan'!$DF$129:$DF$305,1,'3a Staff Plan'!$DA$129:$DA$305,1,'3a Staff Plan'!$AG$129:$AG$305,1,'3a Staff Plan'!$J$129:$J$305,$FA64)</f>
        <v>0</v>
      </c>
      <c r="L64" s="755"/>
      <c r="M64" s="805">
        <f>SUMIFS('3b Activity Plan'!$T$173:$T$365,'3b Activity Plan'!$CY$173:$CY$365,1,'3b Activity Plan'!$CT$173:$CT$365,1,'3b Activity Plan'!$J$173:$J$365,$FA64)</f>
        <v>0</v>
      </c>
      <c r="N64" s="805">
        <f>SUMIFS('3b Activity Plan'!$U$173:$U$365,'3b Activity Plan'!$CY$173:$CY$365,1,'3b Activity Plan'!$CT$173:$CT$365,1,'3b Activity Plan'!$J$173:$J$365,$FA64)</f>
        <v>0</v>
      </c>
      <c r="O64" s="805">
        <f>SUMIFS('3b Activity Plan'!$Z$173:$Z$365,'3b Activity Plan'!$CY$173:$CY$365,1,'3b Activity Plan'!$CT$173:$CT$365,1,'3b Activity Plan'!$J$173:$J$365,$FA64)</f>
        <v>0</v>
      </c>
      <c r="P64" s="805">
        <f>SUMIFS('3b Activity Plan'!$Y$173:$Y$365,'3b Activity Plan'!$CY$173:$CY$365,1,'3b Activity Plan'!$CT$173:$CT$365,1,'3b Activity Plan'!$J$173:$J$365,$FA64)</f>
        <v>0</v>
      </c>
      <c r="Q64" s="805">
        <f>SUMIFS('3b Activity Plan'!$X$173:$X$365,'3b Activity Plan'!$CY$173:$CY$365,1,'3b Activity Plan'!$CT$173:$CT$365,1,'3b Activity Plan'!$J$173:$J$365,$FA64)</f>
        <v>0</v>
      </c>
      <c r="R64" s="805">
        <f>IF($R$24=0,0,SUMIFS('3b Activity Plan'!$W$173:$W$365,'3b Activity Plan'!$CY$173:$CY$365,1,'3b Activity Plan'!$CT$173:$CT$365,1,'3b Activity Plan'!$J$173:$J$365,$FA64))</f>
        <v>0</v>
      </c>
      <c r="S64" s="795">
        <f t="shared" si="53"/>
        <v>0</v>
      </c>
      <c r="T64" s="805">
        <f>SUMIFS('3b Activity Plan'!$V$173:$V$365,'3b Activity Plan'!$CY$173:$CY$365,1,'3b Activity Plan'!$CT$173:$CT$365,1,'3b Activity Plan'!$J$173:$J$365,$FA64)</f>
        <v>0</v>
      </c>
      <c r="U64" s="805">
        <f>SUMIFS('3b Activity Plan'!$AB$173:$AB$365,'3b Activity Plan'!$CY$173:$CY$365,1,'3b Activity Plan'!$CT$173:$CT$365,1,'3b Activity Plan'!$J$173:$J$365,$FA64)</f>
        <v>0</v>
      </c>
      <c r="V64" s="805">
        <f>SUMIFS('3b Activity Plan'!$AA$173:$AA$365,'3b Activity Plan'!$CY$173:$CY$365,1,'3b Activity Plan'!$CT$173:$CT$365,1,'3b Activity Plan'!$J$173:$J$365,$FA64)</f>
        <v>0</v>
      </c>
      <c r="W64" s="755"/>
      <c r="X64" s="2641">
        <f>SUMIFS('3b Activity Plan'!$FU$173:$FU$365,'3b Activity Plan'!$J$173:$J$365,$FA64)</f>
        <v>0</v>
      </c>
      <c r="Y64" s="2641">
        <f>SUMIFS('3b Activity Plan'!$FW$173:$FW$365,'3b Activity Plan'!$J$173:$J$365,$FA64)</f>
        <v>0</v>
      </c>
      <c r="Z64" s="2639">
        <f t="shared" si="132"/>
        <v>0</v>
      </c>
      <c r="AA64" s="755"/>
      <c r="AB64" s="761">
        <f>_xlfn.MINIFS('3a Staff Plan'!$EB$129:$EB$304,'3a Staff Plan'!$DF$129:$DF$304,1,'3a Staff Plan'!$J$129:$J$304,FA64)</f>
        <v>0</v>
      </c>
      <c r="AC64" s="761">
        <f>_xlfn.MAXIFS('3a Staff Plan'!$EC$129:$EC$304,'3a Staff Plan'!$DF$129:$DF$304,1,'3a Staff Plan'!$J$129:$J$304,FA64)</f>
        <v>0</v>
      </c>
      <c r="AD64" s="755"/>
      <c r="AE64" s="761">
        <f>_xlfn.MINIFS('3b Activity Plan'!$GN$173:$GN$365,'3b Activity Plan'!$CY$173:$CY$365,1,'3b Activity Plan'!$J$173:$J$365,$FA64)</f>
        <v>0</v>
      </c>
      <c r="AF64" s="761">
        <f>_xlfn.MAXIFS('3b Activity Plan'!$GO$173:$GO$365,'3b Activity Plan'!$CY$173:$CY$365,1,'3b Activity Plan'!$J$173:$J$365,$FA64)</f>
        <v>0</v>
      </c>
      <c r="AG64" s="755"/>
      <c r="AH64" s="761">
        <f t="shared" si="54"/>
        <v>0</v>
      </c>
      <c r="AI64" s="761">
        <f t="shared" si="55"/>
        <v>0</v>
      </c>
      <c r="AJ64" s="755"/>
      <c r="AK64" s="761">
        <f t="shared" si="56"/>
        <v>0</v>
      </c>
      <c r="AL64" s="761">
        <f t="shared" si="57"/>
        <v>0</v>
      </c>
      <c r="AM64" s="776">
        <f t="shared" si="58"/>
        <v>0</v>
      </c>
      <c r="AN64" s="755"/>
      <c r="AO64" s="748">
        <f t="shared" si="59"/>
        <v>0</v>
      </c>
      <c r="AP64" s="748">
        <f t="shared" si="60"/>
        <v>0</v>
      </c>
      <c r="AQ64" s="748">
        <f t="shared" si="61"/>
        <v>0</v>
      </c>
      <c r="AR64" s="748">
        <f t="shared" si="62"/>
        <v>0</v>
      </c>
      <c r="AS64" s="748">
        <f t="shared" si="63"/>
        <v>0</v>
      </c>
      <c r="AT64" s="748">
        <f t="shared" si="64"/>
        <v>0</v>
      </c>
      <c r="AU64" s="748">
        <f t="shared" si="65"/>
        <v>0</v>
      </c>
      <c r="AV64" s="748">
        <f>IFERROR(INDEX('IPCS Data'!$R$8:$R$109,MATCH(EJ64,'IPCS Data'!$O$8:$O$109,0)),0)</f>
        <v>0</v>
      </c>
      <c r="AW64" s="755"/>
      <c r="AX64" s="499">
        <f>IFERROR(INDEX('IPCS Data'!$P$18:$P$110,MATCH(EK64,'IPCS Data'!$Q$18:$Q$110,0)),0)</f>
        <v>0</v>
      </c>
      <c r="AY64" s="1950" t="str">
        <f t="shared" si="110"/>
        <v/>
      </c>
      <c r="AZ64" s="755"/>
      <c r="BA64" s="753" t="str">
        <f>IFERROR(IF(MATCH(EJ64,'IPCS Data'!$O$8:$O$110,0)&gt;=25,"L","N"),"N")</f>
        <v>N</v>
      </c>
      <c r="BB64" s="774"/>
      <c r="BC64" s="753" t="str">
        <f t="shared" si="111"/>
        <v>N</v>
      </c>
      <c r="BD64" s="753" t="str">
        <f t="shared" si="39"/>
        <v>Non-Labor</v>
      </c>
      <c r="BE64" s="755"/>
      <c r="BF64" s="753" t="str">
        <f t="shared" si="112"/>
        <v>B23672.05</v>
      </c>
      <c r="BG64" s="753" t="str">
        <f t="shared" si="140"/>
        <v>0.0.0</v>
      </c>
      <c r="BH64" s="753">
        <f t="shared" si="66"/>
        <v>0</v>
      </c>
      <c r="BI64" s="753">
        <f t="shared" si="145"/>
        <v>0</v>
      </c>
      <c r="BJ64" s="753">
        <f t="shared" si="113"/>
        <v>0</v>
      </c>
      <c r="BK64" s="753">
        <f t="shared" si="40"/>
        <v>0</v>
      </c>
      <c r="BL64" s="753" t="b">
        <f t="shared" si="131"/>
        <v>1</v>
      </c>
      <c r="BM64" s="755"/>
      <c r="BN64" s="719">
        <f t="shared" si="67"/>
        <v>0</v>
      </c>
      <c r="BO64" s="719">
        <f t="shared" si="68"/>
        <v>110</v>
      </c>
      <c r="BP64" s="755"/>
      <c r="BQ64" s="719">
        <f>IF(AND((COUNTIFS('3a Staff Plan'!$J$129:$J$305,FA64)*$B$22)+(COUNTIFS('3b Activity Plan'!$J$173:$J$365,FA64)*$M$22)=0,FB64&gt;0),1,0)</f>
        <v>0</v>
      </c>
      <c r="BR64" s="719">
        <f t="shared" si="114"/>
        <v>0</v>
      </c>
      <c r="BS64" s="719">
        <f t="shared" si="69"/>
        <v>0</v>
      </c>
      <c r="BT64" s="719">
        <f t="shared" si="70"/>
        <v>0</v>
      </c>
      <c r="BU64" s="719">
        <f t="shared" si="71"/>
        <v>0</v>
      </c>
      <c r="BV64" s="719">
        <f t="shared" si="72"/>
        <v>0</v>
      </c>
      <c r="BW64" s="719">
        <f t="shared" si="73"/>
        <v>0</v>
      </c>
      <c r="BX64" s="719">
        <f t="shared" si="74"/>
        <v>0</v>
      </c>
      <c r="BY64" s="719">
        <f t="shared" si="75"/>
        <v>0</v>
      </c>
      <c r="BZ64" s="719">
        <f t="shared" si="115"/>
        <v>0</v>
      </c>
      <c r="CA64" s="719">
        <f t="shared" si="116"/>
        <v>0</v>
      </c>
      <c r="CB64" s="719">
        <f t="shared" si="76"/>
        <v>0</v>
      </c>
      <c r="CC64" s="719"/>
      <c r="CD64" s="719"/>
      <c r="CE64" s="719">
        <f t="shared" si="77"/>
        <v>0</v>
      </c>
      <c r="CF64" s="719">
        <f t="shared" si="117"/>
        <v>0</v>
      </c>
      <c r="CG64" s="719">
        <f t="shared" si="118"/>
        <v>0</v>
      </c>
      <c r="CH64" s="719">
        <f t="shared" si="119"/>
        <v>0</v>
      </c>
      <c r="CI64" s="719">
        <f t="shared" si="120"/>
        <v>0</v>
      </c>
      <c r="CJ64" s="719">
        <f t="shared" si="121"/>
        <v>0</v>
      </c>
      <c r="CK64" s="719">
        <f t="shared" si="122"/>
        <v>0</v>
      </c>
      <c r="CL64" s="719">
        <f t="shared" si="123"/>
        <v>0</v>
      </c>
      <c r="CM64" s="719">
        <f t="shared" si="124"/>
        <v>0</v>
      </c>
      <c r="CN64" s="719">
        <f t="shared" si="125"/>
        <v>0</v>
      </c>
      <c r="CO64" s="719">
        <f t="shared" si="42"/>
        <v>0</v>
      </c>
      <c r="CP64" s="719">
        <f t="shared" si="141"/>
        <v>0</v>
      </c>
      <c r="CQ64" s="719">
        <f t="shared" si="126"/>
        <v>31</v>
      </c>
      <c r="CR64" s="719">
        <f t="shared" si="127"/>
        <v>0</v>
      </c>
      <c r="CS64" s="2526"/>
      <c r="CT64" s="2527">
        <f t="shared" si="128"/>
        <v>36</v>
      </c>
      <c r="CU64" s="2527">
        <f t="shared" si="146"/>
        <v>0</v>
      </c>
      <c r="CV64" s="2527">
        <f t="shared" si="147"/>
        <v>0</v>
      </c>
      <c r="CW64" s="2527">
        <f t="shared" si="43"/>
        <v>0</v>
      </c>
      <c r="CX64" s="755"/>
      <c r="CY64" s="2537"/>
      <c r="CZ64" s="499">
        <f t="shared" si="49"/>
        <v>0</v>
      </c>
      <c r="DA64" s="1107">
        <f t="shared" si="50"/>
        <v>0</v>
      </c>
      <c r="DB64" s="2537"/>
      <c r="DC64" s="499">
        <f t="shared" si="79"/>
        <v>0</v>
      </c>
      <c r="DD64" s="1107">
        <f t="shared" si="80"/>
        <v>0</v>
      </c>
      <c r="DE64" s="2537"/>
      <c r="DF64" s="499">
        <f t="shared" si="81"/>
        <v>0</v>
      </c>
      <c r="DG64" s="1107">
        <f t="shared" si="82"/>
        <v>0</v>
      </c>
      <c r="DH64" s="2537"/>
      <c r="DI64" s="499">
        <f t="shared" si="83"/>
        <v>0</v>
      </c>
      <c r="DJ64" s="1107">
        <f t="shared" si="84"/>
        <v>0</v>
      </c>
      <c r="DK64" s="2537"/>
      <c r="DL64" s="499">
        <f t="shared" si="85"/>
        <v>0</v>
      </c>
      <c r="DM64" s="1107">
        <f t="shared" si="86"/>
        <v>0</v>
      </c>
      <c r="DN64" s="2537"/>
      <c r="DO64" s="499">
        <f t="shared" si="87"/>
        <v>0</v>
      </c>
      <c r="DP64" s="1107">
        <f t="shared" si="88"/>
        <v>0</v>
      </c>
      <c r="DQ64" s="2537"/>
      <c r="DR64" s="2559"/>
      <c r="DS64" s="499">
        <f t="shared" si="148"/>
        <v>0</v>
      </c>
      <c r="DT64" s="1106">
        <f t="shared" si="149"/>
        <v>0</v>
      </c>
      <c r="DU64" s="2537"/>
      <c r="DV64" s="2559"/>
      <c r="DW64" s="2312">
        <f t="shared" si="150"/>
        <v>0</v>
      </c>
      <c r="DX64" s="1106">
        <f t="shared" si="151"/>
        <v>0</v>
      </c>
      <c r="DY64" s="2572"/>
      <c r="DZ64" s="2537"/>
      <c r="EA64" s="2537"/>
      <c r="EB64" s="2577" t="str">
        <f t="shared" si="133"/>
        <v>05</v>
      </c>
      <c r="EC64" s="2570"/>
      <c r="ED64" s="436">
        <f>IFERROR(INDEX('IPCS Data'!$H$8:$H$30,MATCH(EE64,'IPCS Data'!$I$8:$I$30,0)),0)</f>
        <v>0</v>
      </c>
      <c r="EE64" s="437"/>
      <c r="EF64" s="2570"/>
      <c r="EG64" s="499">
        <f>IFERROR(INDEX('IPCS Data'!$L$8:$L$27,MATCH(EH64,'IPCS Data'!$M$8:$M$27,0)),0)</f>
        <v>0</v>
      </c>
      <c r="EH64" s="437"/>
      <c r="EI64" s="2578" t="s">
        <v>5</v>
      </c>
      <c r="EJ64" s="748">
        <f>IFERROR(INDEX('IPCS Data'!$O$8:$O$110,MATCH(EK64,'IPCS Data'!$Q$8:$Q$110,0)),0)</f>
        <v>0</v>
      </c>
      <c r="EK64" s="437"/>
      <c r="EL64" s="2578"/>
      <c r="EM64" s="840">
        <f t="shared" si="89"/>
        <v>0</v>
      </c>
      <c r="EN64" s="841"/>
      <c r="EO64" s="2537"/>
      <c r="EP64" s="842">
        <f t="shared" si="90"/>
        <v>0</v>
      </c>
      <c r="EQ64" s="843"/>
      <c r="ER64" s="2537"/>
      <c r="ES64" s="840">
        <f t="shared" si="91"/>
        <v>0</v>
      </c>
      <c r="ET64" s="843"/>
      <c r="EU64" s="2537"/>
      <c r="EV64" s="1497"/>
      <c r="EW64" s="1683"/>
      <c r="EX64" s="2562">
        <f t="shared" si="92"/>
        <v>31</v>
      </c>
      <c r="EY64" s="2533"/>
      <c r="EZ64" s="2561"/>
      <c r="FA64" s="1324">
        <f t="shared" si="152"/>
        <v>0</v>
      </c>
      <c r="FB64" s="2629">
        <f t="shared" si="93"/>
        <v>0</v>
      </c>
      <c r="FC64" s="274"/>
      <c r="FD64" s="2626">
        <f t="shared" si="153"/>
        <v>0</v>
      </c>
      <c r="FE64" s="2626">
        <f t="shared" si="154"/>
        <v>0</v>
      </c>
      <c r="FF64" s="274"/>
      <c r="FG64" s="2616">
        <f t="shared" si="94"/>
        <v>0</v>
      </c>
      <c r="FH64" s="2616">
        <f t="shared" si="95"/>
        <v>0</v>
      </c>
      <c r="FI64" s="2616">
        <f t="shared" si="96"/>
        <v>0</v>
      </c>
      <c r="FJ64" s="2610" t="s">
        <v>5</v>
      </c>
      <c r="FK64" s="2616">
        <f t="shared" si="97"/>
        <v>0</v>
      </c>
      <c r="FL64" s="2616">
        <f t="shared" si="98"/>
        <v>0</v>
      </c>
      <c r="FM64" s="2616">
        <f t="shared" si="99"/>
        <v>0</v>
      </c>
      <c r="FN64" s="2622">
        <f t="shared" si="100"/>
        <v>0</v>
      </c>
      <c r="FO64" s="2615">
        <f t="shared" si="101"/>
        <v>0</v>
      </c>
      <c r="FP64" s="2624">
        <f t="shared" si="102"/>
        <v>0</v>
      </c>
      <c r="FQ64" s="2622">
        <f t="shared" si="103"/>
        <v>0</v>
      </c>
      <c r="FR64" s="2624">
        <f t="shared" si="104"/>
        <v>0</v>
      </c>
      <c r="FS64" s="2611" t="s">
        <v>5</v>
      </c>
      <c r="FT64" s="2616">
        <f t="shared" si="105"/>
        <v>0</v>
      </c>
      <c r="FU64" s="2622">
        <f t="shared" si="129"/>
        <v>0</v>
      </c>
      <c r="FV64" s="2616">
        <f t="shared" si="106"/>
        <v>0</v>
      </c>
      <c r="FW64" s="2612" t="s">
        <v>5</v>
      </c>
      <c r="FX64" s="2616">
        <f t="shared" si="51"/>
        <v>0</v>
      </c>
      <c r="FY64" s="2616">
        <f t="shared" si="107"/>
        <v>0</v>
      </c>
      <c r="FZ64" s="2613" t="s">
        <v>5</v>
      </c>
      <c r="GA64" s="2616">
        <f t="shared" si="48"/>
        <v>0</v>
      </c>
      <c r="GB64" s="2619">
        <f t="shared" si="142"/>
        <v>0</v>
      </c>
      <c r="GC64" s="2620">
        <f t="shared" si="108"/>
        <v>0</v>
      </c>
      <c r="GD64" s="2614"/>
      <c r="GE64" s="3195">
        <f t="shared" si="143"/>
        <v>0</v>
      </c>
      <c r="GF64" s="3195">
        <f t="shared" si="144"/>
        <v>0</v>
      </c>
      <c r="GG64" s="3193" t="str">
        <f t="shared" si="18"/>
        <v>X</v>
      </c>
      <c r="GH64" s="2531"/>
      <c r="GI64" s="3189" t="str">
        <f t="shared" si="155"/>
        <v/>
      </c>
      <c r="GJ64" s="2598"/>
      <c r="GK64" s="3173">
        <f t="shared" si="156"/>
        <v>0</v>
      </c>
      <c r="GL64" s="3173">
        <f t="shared" si="157"/>
        <v>0</v>
      </c>
      <c r="GM64" s="3173">
        <f t="shared" si="158"/>
        <v>0</v>
      </c>
      <c r="GN64" s="3174">
        <f t="shared" si="159"/>
        <v>0</v>
      </c>
      <c r="GO64" s="3174">
        <f t="shared" si="160"/>
        <v>0</v>
      </c>
      <c r="GP64" s="3175">
        <f t="shared" si="161"/>
        <v>0</v>
      </c>
      <c r="GQ64" s="3176">
        <f t="shared" si="162"/>
        <v>0</v>
      </c>
      <c r="GR64" s="3177">
        <f t="shared" si="163"/>
        <v>0</v>
      </c>
      <c r="GS64" s="3177">
        <f t="shared" si="164"/>
        <v>0</v>
      </c>
      <c r="GT64" s="3178">
        <f t="shared" si="165"/>
        <v>0</v>
      </c>
      <c r="GU64" s="3179"/>
      <c r="GV64" s="3178">
        <f t="shared" si="166"/>
        <v>0</v>
      </c>
      <c r="GW64" s="3177">
        <f t="shared" si="167"/>
        <v>0</v>
      </c>
      <c r="GX64" s="3180"/>
      <c r="GY64" s="3177">
        <f t="shared" si="168"/>
        <v>0</v>
      </c>
      <c r="GZ64" s="2593"/>
      <c r="HA64" s="277"/>
      <c r="HB64" s="277"/>
      <c r="HC64" s="277"/>
      <c r="HD64" s="277"/>
      <c r="HE64" s="277"/>
      <c r="HF64" s="277"/>
      <c r="HG64" s="277"/>
      <c r="HH64" s="277"/>
      <c r="HI64" s="277"/>
      <c r="HJ64" s="277"/>
      <c r="HK64" s="277"/>
      <c r="HL64" s="277"/>
      <c r="HM64" s="277"/>
      <c r="HN64" s="277"/>
      <c r="HO64" s="277"/>
    </row>
    <row r="65" spans="1:223" s="749" customFormat="1" ht="18" customHeight="1" x14ac:dyDescent="0.3">
      <c r="A65" s="755"/>
      <c r="B65" s="805">
        <f>SUMIFS('3a Staff Plan'!$T$129:$T$305,'3a Staff Plan'!$DF$129:$DF$305,1,'3a Staff Plan'!$DA$129:$DA$305,1,'3a Staff Plan'!$J$129:$J$305,$FA65)</f>
        <v>0</v>
      </c>
      <c r="C65" s="805">
        <f>SUMIFS('3a Staff Plan'!$U$129:$U$305,'3a Staff Plan'!$DF$129:$DF$305,1,'3a Staff Plan'!$DA$129:$DA$305,1,'3a Staff Plan'!$J$129:$J$305,$FA65)</f>
        <v>0</v>
      </c>
      <c r="D65" s="805">
        <f>SUMIFS('3a Staff Plan'!$Z$129:$Z$305,'3a Staff Plan'!$DF$129:$DF$305,1,'3a Staff Plan'!$DA$129:$DA$305,1,'3a Staff Plan'!$J$129:$J$305,$FA65)</f>
        <v>0</v>
      </c>
      <c r="E65" s="805">
        <f>SUMIFS('3a Staff Plan'!$Y$129:$Y$305,'3a Staff Plan'!$DF$129:$DF$305,1,'3a Staff Plan'!$DA$129:$DA$305,1,'3a Staff Plan'!$J$129:$J$305,$FA65)</f>
        <v>0</v>
      </c>
      <c r="F65" s="805">
        <f>SUMIFS('3a Staff Plan'!$X$129:$X$305,'3a Staff Plan'!$DF$129:$DF$305,1,'3a Staff Plan'!$DA$129:$DA$305,1,'3a Staff Plan'!$AG$129:$AG$305,1,'3a Staff Plan'!$J$129:$J$305,$FA65)</f>
        <v>0</v>
      </c>
      <c r="G65" s="805">
        <f>IF($G$24=0,0,SUMIFS('3a Staff Plan'!$W$129:$W$305,'3a Staff Plan'!$DF$129:$DF$305,1,'3a Staff Plan'!$DA$129:$DA$305,1,'3a Staff Plan'!$J$129:$J$305,$FA65))</f>
        <v>0</v>
      </c>
      <c r="H65" s="795">
        <f t="shared" si="52"/>
        <v>0</v>
      </c>
      <c r="I65" s="805">
        <f>SUMIFS('3a Staff Plan'!$V$129:$V$305,'3a Staff Plan'!$DF$129:$DF$305,1,'3a Staff Plan'!$DA$129:$DA$305,1,'3a Staff Plan'!$J$129:$J$305,$FA65)</f>
        <v>0</v>
      </c>
      <c r="J65" s="805">
        <f>SUMIFS('3a Staff Plan'!$AB$129:$AB$305,'3a Staff Plan'!$DF$129:$DF$305,1,'3a Staff Plan'!$DA$129:$DA$305,1,'3a Staff Plan'!$J$129:$J$305,$FA65)</f>
        <v>0</v>
      </c>
      <c r="K65" s="805">
        <f>SUMIFS('3a Staff Plan'!$AA$129:$AA$305,'3a Staff Plan'!$DF$129:$DF$305,1,'3a Staff Plan'!$DA$129:$DA$305,1,'3a Staff Plan'!$AG$129:$AG$305,1,'3a Staff Plan'!$J$129:$J$305,$FA65)</f>
        <v>0</v>
      </c>
      <c r="L65" s="755"/>
      <c r="M65" s="805">
        <f>SUMIFS('3b Activity Plan'!$T$173:$T$365,'3b Activity Plan'!$CY$173:$CY$365,1,'3b Activity Plan'!$CT$173:$CT$365,1,'3b Activity Plan'!$J$173:$J$365,$FA65)</f>
        <v>0</v>
      </c>
      <c r="N65" s="805">
        <f>SUMIFS('3b Activity Plan'!$U$173:$U$365,'3b Activity Plan'!$CY$173:$CY$365,1,'3b Activity Plan'!$CT$173:$CT$365,1,'3b Activity Plan'!$J$173:$J$365,$FA65)</f>
        <v>0</v>
      </c>
      <c r="O65" s="805">
        <f>SUMIFS('3b Activity Plan'!$Z$173:$Z$365,'3b Activity Plan'!$CY$173:$CY$365,1,'3b Activity Plan'!$CT$173:$CT$365,1,'3b Activity Plan'!$J$173:$J$365,$FA65)</f>
        <v>0</v>
      </c>
      <c r="P65" s="805">
        <f>SUMIFS('3b Activity Plan'!$Y$173:$Y$365,'3b Activity Plan'!$CY$173:$CY$365,1,'3b Activity Plan'!$CT$173:$CT$365,1,'3b Activity Plan'!$J$173:$J$365,$FA65)</f>
        <v>0</v>
      </c>
      <c r="Q65" s="805">
        <f>SUMIFS('3b Activity Plan'!$X$173:$X$365,'3b Activity Plan'!$CY$173:$CY$365,1,'3b Activity Plan'!$CT$173:$CT$365,1,'3b Activity Plan'!$J$173:$J$365,$FA65)</f>
        <v>0</v>
      </c>
      <c r="R65" s="805">
        <f>IF($R$24=0,0,SUMIFS('3b Activity Plan'!$W$173:$W$365,'3b Activity Plan'!$CY$173:$CY$365,1,'3b Activity Plan'!$CT$173:$CT$365,1,'3b Activity Plan'!$J$173:$J$365,$FA65))</f>
        <v>0</v>
      </c>
      <c r="S65" s="795">
        <f t="shared" si="53"/>
        <v>0</v>
      </c>
      <c r="T65" s="805">
        <f>SUMIFS('3b Activity Plan'!$V$173:$V$365,'3b Activity Plan'!$CY$173:$CY$365,1,'3b Activity Plan'!$CT$173:$CT$365,1,'3b Activity Plan'!$J$173:$J$365,$FA65)</f>
        <v>0</v>
      </c>
      <c r="U65" s="805">
        <f>SUMIFS('3b Activity Plan'!$AB$173:$AB$365,'3b Activity Plan'!$CY$173:$CY$365,1,'3b Activity Plan'!$CT$173:$CT$365,1,'3b Activity Plan'!$J$173:$J$365,$FA65)</f>
        <v>0</v>
      </c>
      <c r="V65" s="805">
        <f>SUMIFS('3b Activity Plan'!$AA$173:$AA$365,'3b Activity Plan'!$CY$173:$CY$365,1,'3b Activity Plan'!$CT$173:$CT$365,1,'3b Activity Plan'!$J$173:$J$365,$FA65)</f>
        <v>0</v>
      </c>
      <c r="W65" s="755"/>
      <c r="X65" s="2641">
        <f>SUMIFS('3b Activity Plan'!$FU$173:$FU$365,'3b Activity Plan'!$J$173:$J$365,$FA65)</f>
        <v>0</v>
      </c>
      <c r="Y65" s="2641">
        <f>SUMIFS('3b Activity Plan'!$FW$173:$FW$365,'3b Activity Plan'!$J$173:$J$365,$FA65)</f>
        <v>0</v>
      </c>
      <c r="Z65" s="2639">
        <f t="shared" si="132"/>
        <v>0</v>
      </c>
      <c r="AA65" s="755"/>
      <c r="AB65" s="761">
        <f>_xlfn.MINIFS('3a Staff Plan'!$EB$129:$EB$304,'3a Staff Plan'!$DF$129:$DF$304,1,'3a Staff Plan'!$J$129:$J$304,FA65)</f>
        <v>0</v>
      </c>
      <c r="AC65" s="761">
        <f>_xlfn.MAXIFS('3a Staff Plan'!$EC$129:$EC$304,'3a Staff Plan'!$DF$129:$DF$304,1,'3a Staff Plan'!$J$129:$J$304,FA65)</f>
        <v>0</v>
      </c>
      <c r="AD65" s="755"/>
      <c r="AE65" s="761">
        <f>_xlfn.MINIFS('3b Activity Plan'!$GN$173:$GN$365,'3b Activity Plan'!$CY$173:$CY$365,1,'3b Activity Plan'!$J$173:$J$365,$FA65)</f>
        <v>0</v>
      </c>
      <c r="AF65" s="761">
        <f>_xlfn.MAXIFS('3b Activity Plan'!$GO$173:$GO$365,'3b Activity Plan'!$CY$173:$CY$365,1,'3b Activity Plan'!$J$173:$J$365,$FA65)</f>
        <v>0</v>
      </c>
      <c r="AG65" s="755"/>
      <c r="AH65" s="761">
        <f t="shared" si="54"/>
        <v>0</v>
      </c>
      <c r="AI65" s="761">
        <f t="shared" si="55"/>
        <v>0</v>
      </c>
      <c r="AJ65" s="755"/>
      <c r="AK65" s="761">
        <f t="shared" si="56"/>
        <v>0</v>
      </c>
      <c r="AL65" s="761">
        <f t="shared" si="57"/>
        <v>0</v>
      </c>
      <c r="AM65" s="776">
        <f t="shared" si="58"/>
        <v>0</v>
      </c>
      <c r="AN65" s="755"/>
      <c r="AO65" s="748">
        <f t="shared" si="59"/>
        <v>0</v>
      </c>
      <c r="AP65" s="748">
        <f t="shared" si="60"/>
        <v>0</v>
      </c>
      <c r="AQ65" s="748">
        <f t="shared" si="61"/>
        <v>0</v>
      </c>
      <c r="AR65" s="748">
        <f t="shared" si="62"/>
        <v>0</v>
      </c>
      <c r="AS65" s="748">
        <f t="shared" si="63"/>
        <v>0</v>
      </c>
      <c r="AT65" s="748">
        <f t="shared" si="64"/>
        <v>0</v>
      </c>
      <c r="AU65" s="748">
        <f t="shared" si="65"/>
        <v>0</v>
      </c>
      <c r="AV65" s="748">
        <f>IFERROR(INDEX('IPCS Data'!$R$8:$R$109,MATCH(EJ65,'IPCS Data'!$O$8:$O$109,0)),0)</f>
        <v>0</v>
      </c>
      <c r="AW65" s="755"/>
      <c r="AX65" s="499">
        <f>IFERROR(INDEX('IPCS Data'!$P$18:$P$110,MATCH(EK65,'IPCS Data'!$Q$18:$Q$110,0)),0)</f>
        <v>0</v>
      </c>
      <c r="AY65" s="1950" t="str">
        <f t="shared" si="110"/>
        <v/>
      </c>
      <c r="AZ65" s="755"/>
      <c r="BA65" s="753" t="str">
        <f>IFERROR(IF(MATCH(EJ65,'IPCS Data'!$O$8:$O$110,0)&gt;=25,"L","N"),"N")</f>
        <v>N</v>
      </c>
      <c r="BB65" s="774"/>
      <c r="BC65" s="753" t="str">
        <f t="shared" si="111"/>
        <v>N</v>
      </c>
      <c r="BD65" s="753" t="str">
        <f t="shared" si="39"/>
        <v>Non-Labor</v>
      </c>
      <c r="BE65" s="755"/>
      <c r="BF65" s="753" t="str">
        <f t="shared" si="112"/>
        <v>B23672.05</v>
      </c>
      <c r="BG65" s="753" t="str">
        <f t="shared" si="140"/>
        <v>0.0.0</v>
      </c>
      <c r="BH65" s="753">
        <f t="shared" si="66"/>
        <v>0</v>
      </c>
      <c r="BI65" s="753">
        <f t="shared" si="145"/>
        <v>0</v>
      </c>
      <c r="BJ65" s="753">
        <f t="shared" si="113"/>
        <v>0</v>
      </c>
      <c r="BK65" s="753">
        <f t="shared" si="40"/>
        <v>0</v>
      </c>
      <c r="BL65" s="753" t="b">
        <f t="shared" si="131"/>
        <v>1</v>
      </c>
      <c r="BM65" s="755"/>
      <c r="BN65" s="719">
        <f t="shared" si="67"/>
        <v>0</v>
      </c>
      <c r="BO65" s="719">
        <f t="shared" si="68"/>
        <v>110</v>
      </c>
      <c r="BP65" s="755"/>
      <c r="BQ65" s="719">
        <f>IF(AND((COUNTIFS('3a Staff Plan'!$J$129:$J$305,FA65)*$B$22)+(COUNTIFS('3b Activity Plan'!$J$173:$J$365,FA65)*$M$22)=0,FB65&gt;0),1,0)</f>
        <v>0</v>
      </c>
      <c r="BR65" s="719">
        <f t="shared" si="114"/>
        <v>0</v>
      </c>
      <c r="BS65" s="719">
        <f t="shared" si="69"/>
        <v>0</v>
      </c>
      <c r="BT65" s="719">
        <f t="shared" si="70"/>
        <v>0</v>
      </c>
      <c r="BU65" s="719">
        <f t="shared" si="71"/>
        <v>0</v>
      </c>
      <c r="BV65" s="719">
        <f t="shared" si="72"/>
        <v>0</v>
      </c>
      <c r="BW65" s="719">
        <f t="shared" si="73"/>
        <v>0</v>
      </c>
      <c r="BX65" s="719">
        <f t="shared" si="74"/>
        <v>0</v>
      </c>
      <c r="BY65" s="719">
        <f t="shared" si="75"/>
        <v>0</v>
      </c>
      <c r="BZ65" s="719">
        <f t="shared" si="115"/>
        <v>0</v>
      </c>
      <c r="CA65" s="719">
        <f t="shared" si="116"/>
        <v>0</v>
      </c>
      <c r="CB65" s="719">
        <f t="shared" si="76"/>
        <v>0</v>
      </c>
      <c r="CC65" s="719"/>
      <c r="CD65" s="719"/>
      <c r="CE65" s="719">
        <f t="shared" si="77"/>
        <v>0</v>
      </c>
      <c r="CF65" s="719">
        <f t="shared" si="117"/>
        <v>0</v>
      </c>
      <c r="CG65" s="719">
        <f t="shared" si="118"/>
        <v>0</v>
      </c>
      <c r="CH65" s="719">
        <f t="shared" si="119"/>
        <v>0</v>
      </c>
      <c r="CI65" s="719">
        <f t="shared" si="120"/>
        <v>0</v>
      </c>
      <c r="CJ65" s="719">
        <f t="shared" si="121"/>
        <v>0</v>
      </c>
      <c r="CK65" s="719">
        <f t="shared" si="122"/>
        <v>0</v>
      </c>
      <c r="CL65" s="719">
        <f t="shared" si="123"/>
        <v>0</v>
      </c>
      <c r="CM65" s="719">
        <f t="shared" si="124"/>
        <v>0</v>
      </c>
      <c r="CN65" s="719">
        <f t="shared" si="125"/>
        <v>0</v>
      </c>
      <c r="CO65" s="719">
        <f t="shared" si="42"/>
        <v>0</v>
      </c>
      <c r="CP65" s="719">
        <f t="shared" si="141"/>
        <v>0</v>
      </c>
      <c r="CQ65" s="719">
        <f t="shared" si="126"/>
        <v>32</v>
      </c>
      <c r="CR65" s="719">
        <f t="shared" si="127"/>
        <v>0</v>
      </c>
      <c r="CS65" s="2526"/>
      <c r="CT65" s="2527">
        <f t="shared" si="128"/>
        <v>37</v>
      </c>
      <c r="CU65" s="2527">
        <f t="shared" si="146"/>
        <v>0</v>
      </c>
      <c r="CV65" s="2527">
        <f t="shared" si="147"/>
        <v>0</v>
      </c>
      <c r="CW65" s="2527">
        <f t="shared" si="43"/>
        <v>0</v>
      </c>
      <c r="CX65" s="755"/>
      <c r="CY65" s="2537"/>
      <c r="CZ65" s="499">
        <f t="shared" ref="CZ65:CZ94" si="169">IFERROR(INDEX(CZ$6:CZ$15,MATCH(DA65,DA$6:DA$15,0)),0)</f>
        <v>0</v>
      </c>
      <c r="DA65" s="1107">
        <f t="shared" ref="DA65:DA94" si="170">AO65</f>
        <v>0</v>
      </c>
      <c r="DB65" s="2537"/>
      <c r="DC65" s="499">
        <f t="shared" si="79"/>
        <v>0</v>
      </c>
      <c r="DD65" s="1107">
        <f t="shared" si="80"/>
        <v>0</v>
      </c>
      <c r="DE65" s="2537"/>
      <c r="DF65" s="499">
        <f t="shared" si="81"/>
        <v>0</v>
      </c>
      <c r="DG65" s="1107">
        <f t="shared" si="82"/>
        <v>0</v>
      </c>
      <c r="DH65" s="2537"/>
      <c r="DI65" s="499">
        <f t="shared" si="83"/>
        <v>0</v>
      </c>
      <c r="DJ65" s="1107">
        <f t="shared" si="84"/>
        <v>0</v>
      </c>
      <c r="DK65" s="2537"/>
      <c r="DL65" s="499">
        <f t="shared" si="85"/>
        <v>0</v>
      </c>
      <c r="DM65" s="1107">
        <f t="shared" si="86"/>
        <v>0</v>
      </c>
      <c r="DN65" s="2537"/>
      <c r="DO65" s="499">
        <f t="shared" si="87"/>
        <v>0</v>
      </c>
      <c r="DP65" s="1107">
        <f t="shared" si="88"/>
        <v>0</v>
      </c>
      <c r="DQ65" s="2537"/>
      <c r="DR65" s="2559"/>
      <c r="DS65" s="499">
        <f t="shared" si="148"/>
        <v>0</v>
      </c>
      <c r="DT65" s="1106">
        <f t="shared" si="149"/>
        <v>0</v>
      </c>
      <c r="DU65" s="2537"/>
      <c r="DV65" s="2559"/>
      <c r="DW65" s="2312">
        <f t="shared" si="150"/>
        <v>0</v>
      </c>
      <c r="DX65" s="1106">
        <f t="shared" si="151"/>
        <v>0</v>
      </c>
      <c r="DY65" s="2572"/>
      <c r="DZ65" s="2537"/>
      <c r="EA65" s="2537"/>
      <c r="EB65" s="2577" t="str">
        <f t="shared" si="133"/>
        <v>05</v>
      </c>
      <c r="EC65" s="2570"/>
      <c r="ED65" s="436">
        <f>IFERROR(INDEX('IPCS Data'!$H$8:$H$30,MATCH(EE65,'IPCS Data'!$I$8:$I$30,0)),0)</f>
        <v>0</v>
      </c>
      <c r="EE65" s="437"/>
      <c r="EF65" s="2570"/>
      <c r="EG65" s="499">
        <f>IFERROR(INDEX('IPCS Data'!$L$8:$L$27,MATCH(EH65,'IPCS Data'!$M$8:$M$27,0)),0)</f>
        <v>0</v>
      </c>
      <c r="EH65" s="437"/>
      <c r="EI65" s="2578" t="s">
        <v>5</v>
      </c>
      <c r="EJ65" s="748">
        <f>IFERROR(INDEX('IPCS Data'!$O$8:$O$110,MATCH(EK65,'IPCS Data'!$Q$8:$Q$110,0)),0)</f>
        <v>0</v>
      </c>
      <c r="EK65" s="437"/>
      <c r="EL65" s="2578"/>
      <c r="EM65" s="840">
        <f t="shared" si="89"/>
        <v>0</v>
      </c>
      <c r="EN65" s="841"/>
      <c r="EO65" s="2537"/>
      <c r="EP65" s="842">
        <f t="shared" si="90"/>
        <v>0</v>
      </c>
      <c r="EQ65" s="843"/>
      <c r="ER65" s="2537"/>
      <c r="ES65" s="840">
        <f t="shared" si="91"/>
        <v>0</v>
      </c>
      <c r="ET65" s="843"/>
      <c r="EU65" s="2537"/>
      <c r="EV65" s="1497"/>
      <c r="EW65" s="1683"/>
      <c r="EX65" s="2562">
        <f t="shared" si="92"/>
        <v>32</v>
      </c>
      <c r="EY65" s="2533"/>
      <c r="EZ65" s="2561"/>
      <c r="FA65" s="1324">
        <f t="shared" si="152"/>
        <v>0</v>
      </c>
      <c r="FB65" s="2629">
        <f t="shared" si="93"/>
        <v>0</v>
      </c>
      <c r="FC65" s="274"/>
      <c r="FD65" s="2626">
        <f t="shared" si="153"/>
        <v>0</v>
      </c>
      <c r="FE65" s="2626">
        <f t="shared" si="154"/>
        <v>0</v>
      </c>
      <c r="FF65" s="274"/>
      <c r="FG65" s="2616">
        <f t="shared" si="94"/>
        <v>0</v>
      </c>
      <c r="FH65" s="2616">
        <f t="shared" si="95"/>
        <v>0</v>
      </c>
      <c r="FI65" s="2616">
        <f t="shared" si="96"/>
        <v>0</v>
      </c>
      <c r="FJ65" s="2610" t="s">
        <v>5</v>
      </c>
      <c r="FK65" s="2616">
        <f t="shared" si="97"/>
        <v>0</v>
      </c>
      <c r="FL65" s="2616">
        <f t="shared" si="98"/>
        <v>0</v>
      </c>
      <c r="FM65" s="2616">
        <f t="shared" si="99"/>
        <v>0</v>
      </c>
      <c r="FN65" s="2622">
        <f t="shared" si="100"/>
        <v>0</v>
      </c>
      <c r="FO65" s="2615">
        <f t="shared" si="101"/>
        <v>0</v>
      </c>
      <c r="FP65" s="2624">
        <f t="shared" si="102"/>
        <v>0</v>
      </c>
      <c r="FQ65" s="2622">
        <f t="shared" si="103"/>
        <v>0</v>
      </c>
      <c r="FR65" s="2624">
        <f t="shared" si="104"/>
        <v>0</v>
      </c>
      <c r="FS65" s="2611" t="s">
        <v>5</v>
      </c>
      <c r="FT65" s="2616">
        <f t="shared" si="105"/>
        <v>0</v>
      </c>
      <c r="FU65" s="2622">
        <f t="shared" si="129"/>
        <v>0</v>
      </c>
      <c r="FV65" s="2616">
        <f t="shared" si="106"/>
        <v>0</v>
      </c>
      <c r="FW65" s="2612" t="s">
        <v>5</v>
      </c>
      <c r="FX65" s="2616">
        <f t="shared" ref="FX65:FX94" si="171">FM65+FT65</f>
        <v>0</v>
      </c>
      <c r="FY65" s="2616">
        <f t="shared" si="107"/>
        <v>0</v>
      </c>
      <c r="FZ65" s="2613" t="s">
        <v>5</v>
      </c>
      <c r="GA65" s="2616">
        <f t="shared" si="48"/>
        <v>0</v>
      </c>
      <c r="GB65" s="2619">
        <f t="shared" si="142"/>
        <v>0</v>
      </c>
      <c r="GC65" s="2620">
        <f t="shared" si="108"/>
        <v>0</v>
      </c>
      <c r="GD65" s="2614"/>
      <c r="GE65" s="3195">
        <f t="shared" si="143"/>
        <v>0</v>
      </c>
      <c r="GF65" s="3195">
        <f t="shared" si="144"/>
        <v>0</v>
      </c>
      <c r="GG65" s="3193" t="str">
        <f t="shared" si="18"/>
        <v>X</v>
      </c>
      <c r="GH65" s="2531"/>
      <c r="GI65" s="3189" t="str">
        <f t="shared" si="155"/>
        <v/>
      </c>
      <c r="GJ65" s="2598"/>
      <c r="GK65" s="3173">
        <f t="shared" si="156"/>
        <v>0</v>
      </c>
      <c r="GL65" s="3173">
        <f t="shared" si="157"/>
        <v>0</v>
      </c>
      <c r="GM65" s="3173">
        <f t="shared" si="158"/>
        <v>0</v>
      </c>
      <c r="GN65" s="3174">
        <f t="shared" si="159"/>
        <v>0</v>
      </c>
      <c r="GO65" s="3174">
        <f t="shared" si="160"/>
        <v>0</v>
      </c>
      <c r="GP65" s="3175">
        <f t="shared" si="161"/>
        <v>0</v>
      </c>
      <c r="GQ65" s="3176">
        <f t="shared" si="162"/>
        <v>0</v>
      </c>
      <c r="GR65" s="3177">
        <f t="shared" si="163"/>
        <v>0</v>
      </c>
      <c r="GS65" s="3177">
        <f t="shared" si="164"/>
        <v>0</v>
      </c>
      <c r="GT65" s="3178">
        <f t="shared" si="165"/>
        <v>0</v>
      </c>
      <c r="GU65" s="3179"/>
      <c r="GV65" s="3178">
        <f t="shared" si="166"/>
        <v>0</v>
      </c>
      <c r="GW65" s="3177">
        <f t="shared" si="167"/>
        <v>0</v>
      </c>
      <c r="GX65" s="3180"/>
      <c r="GY65" s="3177">
        <f t="shared" si="168"/>
        <v>0</v>
      </c>
      <c r="GZ65" s="2593"/>
      <c r="HA65" s="277"/>
      <c r="HB65" s="277"/>
      <c r="HC65" s="277"/>
      <c r="HD65" s="277"/>
      <c r="HE65" s="277"/>
      <c r="HF65" s="277"/>
      <c r="HG65" s="277"/>
      <c r="HH65" s="277"/>
      <c r="HI65" s="277"/>
      <c r="HJ65" s="277"/>
      <c r="HK65" s="277"/>
      <c r="HL65" s="277"/>
      <c r="HM65" s="277"/>
      <c r="HN65" s="277"/>
      <c r="HO65" s="277"/>
    </row>
    <row r="66" spans="1:223" s="749" customFormat="1" ht="18" customHeight="1" x14ac:dyDescent="0.3">
      <c r="A66" s="755"/>
      <c r="B66" s="805">
        <f>SUMIFS('3a Staff Plan'!$T$129:$T$305,'3a Staff Plan'!$DF$129:$DF$305,1,'3a Staff Plan'!$DA$129:$DA$305,1,'3a Staff Plan'!$J$129:$J$305,$FA66)</f>
        <v>0</v>
      </c>
      <c r="C66" s="805">
        <f>SUMIFS('3a Staff Plan'!$U$129:$U$305,'3a Staff Plan'!$DF$129:$DF$305,1,'3a Staff Plan'!$DA$129:$DA$305,1,'3a Staff Plan'!$J$129:$J$305,$FA66)</f>
        <v>0</v>
      </c>
      <c r="D66" s="805">
        <f>SUMIFS('3a Staff Plan'!$Z$129:$Z$305,'3a Staff Plan'!$DF$129:$DF$305,1,'3a Staff Plan'!$DA$129:$DA$305,1,'3a Staff Plan'!$J$129:$J$305,$FA66)</f>
        <v>0</v>
      </c>
      <c r="E66" s="805">
        <f>SUMIFS('3a Staff Plan'!$Y$129:$Y$305,'3a Staff Plan'!$DF$129:$DF$305,1,'3a Staff Plan'!$DA$129:$DA$305,1,'3a Staff Plan'!$J$129:$J$305,$FA66)</f>
        <v>0</v>
      </c>
      <c r="F66" s="805">
        <f>SUMIFS('3a Staff Plan'!$X$129:$X$305,'3a Staff Plan'!$DF$129:$DF$305,1,'3a Staff Plan'!$DA$129:$DA$305,1,'3a Staff Plan'!$AG$129:$AG$305,1,'3a Staff Plan'!$J$129:$J$305,$FA66)</f>
        <v>0</v>
      </c>
      <c r="G66" s="805">
        <f>IF($G$24=0,0,SUMIFS('3a Staff Plan'!$W$129:$W$305,'3a Staff Plan'!$DF$129:$DF$305,1,'3a Staff Plan'!$DA$129:$DA$305,1,'3a Staff Plan'!$J$129:$J$305,$FA66))</f>
        <v>0</v>
      </c>
      <c r="H66" s="795">
        <f t="shared" ref="H66:H94" si="172">IFERROR(-F66*H$31/SUM(F$34:F$95),0)</f>
        <v>0</v>
      </c>
      <c r="I66" s="805">
        <f>SUMIFS('3a Staff Plan'!$V$129:$V$305,'3a Staff Plan'!$DF$129:$DF$305,1,'3a Staff Plan'!$DA$129:$DA$305,1,'3a Staff Plan'!$J$129:$J$305,$FA66)</f>
        <v>0</v>
      </c>
      <c r="J66" s="805">
        <f>SUMIFS('3a Staff Plan'!$AB$129:$AB$305,'3a Staff Plan'!$DF$129:$DF$305,1,'3a Staff Plan'!$DA$129:$DA$305,1,'3a Staff Plan'!$J$129:$J$305,$FA66)</f>
        <v>0</v>
      </c>
      <c r="K66" s="805">
        <f>SUMIFS('3a Staff Plan'!$AA$129:$AA$305,'3a Staff Plan'!$DF$129:$DF$305,1,'3a Staff Plan'!$DA$129:$DA$305,1,'3a Staff Plan'!$AG$129:$AG$305,1,'3a Staff Plan'!$J$129:$J$305,$FA66)</f>
        <v>0</v>
      </c>
      <c r="L66" s="755"/>
      <c r="M66" s="805">
        <f>SUMIFS('3b Activity Plan'!$T$173:$T$365,'3b Activity Plan'!$CY$173:$CY$365,1,'3b Activity Plan'!$CT$173:$CT$365,1,'3b Activity Plan'!$J$173:$J$365,$FA66)</f>
        <v>0</v>
      </c>
      <c r="N66" s="805">
        <f>SUMIFS('3b Activity Plan'!$U$173:$U$365,'3b Activity Plan'!$CY$173:$CY$365,1,'3b Activity Plan'!$CT$173:$CT$365,1,'3b Activity Plan'!$J$173:$J$365,$FA66)</f>
        <v>0</v>
      </c>
      <c r="O66" s="805">
        <f>SUMIFS('3b Activity Plan'!$Z$173:$Z$365,'3b Activity Plan'!$CY$173:$CY$365,1,'3b Activity Plan'!$CT$173:$CT$365,1,'3b Activity Plan'!$J$173:$J$365,$FA66)</f>
        <v>0</v>
      </c>
      <c r="P66" s="805">
        <f>SUMIFS('3b Activity Plan'!$Y$173:$Y$365,'3b Activity Plan'!$CY$173:$CY$365,1,'3b Activity Plan'!$CT$173:$CT$365,1,'3b Activity Plan'!$J$173:$J$365,$FA66)</f>
        <v>0</v>
      </c>
      <c r="Q66" s="805">
        <f>SUMIFS('3b Activity Plan'!$X$173:$X$365,'3b Activity Plan'!$CY$173:$CY$365,1,'3b Activity Plan'!$CT$173:$CT$365,1,'3b Activity Plan'!$J$173:$J$365,$FA66)</f>
        <v>0</v>
      </c>
      <c r="R66" s="805">
        <f>IF($R$24=0,0,SUMIFS('3b Activity Plan'!$W$173:$W$365,'3b Activity Plan'!$CY$173:$CY$365,1,'3b Activity Plan'!$CT$173:$CT$365,1,'3b Activity Plan'!$J$173:$J$365,$FA66))</f>
        <v>0</v>
      </c>
      <c r="S66" s="795">
        <f t="shared" ref="S66:S94" si="173">IFERROR(-Q66*S$31/SUM(Q$34:Q$95),0)</f>
        <v>0</v>
      </c>
      <c r="T66" s="805">
        <f>SUMIFS('3b Activity Plan'!$V$173:$V$365,'3b Activity Plan'!$CY$173:$CY$365,1,'3b Activity Plan'!$CT$173:$CT$365,1,'3b Activity Plan'!$J$173:$J$365,$FA66)</f>
        <v>0</v>
      </c>
      <c r="U66" s="805">
        <f>SUMIFS('3b Activity Plan'!$AB$173:$AB$365,'3b Activity Plan'!$CY$173:$CY$365,1,'3b Activity Plan'!$CT$173:$CT$365,1,'3b Activity Plan'!$J$173:$J$365,$FA66)</f>
        <v>0</v>
      </c>
      <c r="V66" s="805">
        <f>SUMIFS('3b Activity Plan'!$AA$173:$AA$365,'3b Activity Plan'!$CY$173:$CY$365,1,'3b Activity Plan'!$CT$173:$CT$365,1,'3b Activity Plan'!$J$173:$J$365,$FA66)</f>
        <v>0</v>
      </c>
      <c r="W66" s="755"/>
      <c r="X66" s="2641">
        <f>SUMIFS('3b Activity Plan'!$FU$173:$FU$365,'3b Activity Plan'!$J$173:$J$365,$FA66)</f>
        <v>0</v>
      </c>
      <c r="Y66" s="2641">
        <f>SUMIFS('3b Activity Plan'!$FW$173:$FW$365,'3b Activity Plan'!$J$173:$J$365,$FA66)</f>
        <v>0</v>
      </c>
      <c r="Z66" s="2639">
        <f t="shared" si="132"/>
        <v>0</v>
      </c>
      <c r="AA66" s="755"/>
      <c r="AB66" s="761">
        <f>_xlfn.MINIFS('3a Staff Plan'!$EB$129:$EB$304,'3a Staff Plan'!$DF$129:$DF$304,1,'3a Staff Plan'!$J$129:$J$304,FA66)</f>
        <v>0</v>
      </c>
      <c r="AC66" s="761">
        <f>_xlfn.MAXIFS('3a Staff Plan'!$EC$129:$EC$304,'3a Staff Plan'!$DF$129:$DF$304,1,'3a Staff Plan'!$J$129:$J$304,FA66)</f>
        <v>0</v>
      </c>
      <c r="AD66" s="755"/>
      <c r="AE66" s="761">
        <f>_xlfn.MINIFS('3b Activity Plan'!$GN$173:$GN$365,'3b Activity Plan'!$CY$173:$CY$365,1,'3b Activity Plan'!$J$173:$J$365,$FA66)</f>
        <v>0</v>
      </c>
      <c r="AF66" s="761">
        <f>_xlfn.MAXIFS('3b Activity Plan'!$GO$173:$GO$365,'3b Activity Plan'!$CY$173:$CY$365,1,'3b Activity Plan'!$J$173:$J$365,$FA66)</f>
        <v>0</v>
      </c>
      <c r="AG66" s="755"/>
      <c r="AH66" s="761">
        <f t="shared" ref="AH66:AH94" si="174">IF($FA66=0,0,CHOOSE($AH$22,AB66,AE66,IF($AB$26=0,AE66,IF($AE$26=0,AB66,MIN(AB66,AE66)))))</f>
        <v>0</v>
      </c>
      <c r="AI66" s="761">
        <f t="shared" ref="AI66:AI94" si="175">IF($FB66=0,0,CHOOSE($AH$22,AC66,AF66,IF(AC66=0,AF66,IF(AF66=0,AC66,MAX(AC66,AF66)))))</f>
        <v>0</v>
      </c>
      <c r="AJ66" s="755"/>
      <c r="AK66" s="761">
        <f t="shared" ref="AK66:AK94" si="176">IF(AND($CP66=1,AH66=0),$AH$26,AH66)</f>
        <v>0</v>
      </c>
      <c r="AL66" s="761">
        <f t="shared" ref="AL66:AL94" si="177">IF(AND($CP66=1,AI66=0),$AI$26,AI66)</f>
        <v>0</v>
      </c>
      <c r="AM66" s="776">
        <f t="shared" ref="AM66:AM94" si="178">IF(AND($CP66=1,AH66=0),1,0)</f>
        <v>0</v>
      </c>
      <c r="AN66" s="755"/>
      <c r="AO66" s="748">
        <f t="shared" ref="AO66:AO94" si="179">IF(OR($ED66="B",$ED66="H",$ED66="C"),$DA$9,0)</f>
        <v>0</v>
      </c>
      <c r="AP66" s="748">
        <f t="shared" ref="AP66:AP94" si="180">IF(OR($ED66="B",$ED66="H",$ED66="C"),$DD$9,0)</f>
        <v>0</v>
      </c>
      <c r="AQ66" s="748">
        <f t="shared" ref="AQ66:AQ94" si="181">IF(OR($ED66="A",$ED66="G"),$DG$13,0)</f>
        <v>0</v>
      </c>
      <c r="AR66" s="748">
        <f t="shared" ref="AR66:AR94" si="182">IF(OR($ED66="A",$ED66="G"),$DJ$11,0)</f>
        <v>0</v>
      </c>
      <c r="AS66" s="748">
        <f t="shared" ref="AS66:AS94" si="183">IF(OR($ED66="A",$ED66="G"),$DM$12,0)</f>
        <v>0</v>
      </c>
      <c r="AT66" s="748">
        <f t="shared" ref="AT66:AT94" si="184">IF(OR($ED66="A",$ED66="G"),IF($EG$11=1,$DP$12,$DP$11),0)</f>
        <v>0</v>
      </c>
      <c r="AU66" s="748">
        <f t="shared" ref="AU66:AU94" si="185">IF($CP66=0,0,$DT$8)</f>
        <v>0</v>
      </c>
      <c r="AV66" s="748">
        <f>IFERROR(INDEX('IPCS Data'!$R$8:$R$109,MATCH(EJ66,'IPCS Data'!$O$8:$O$109,0)),0)</f>
        <v>0</v>
      </c>
      <c r="AW66" s="755"/>
      <c r="AX66" s="499">
        <f>IFERROR(INDEX('IPCS Data'!$P$18:$P$110,MATCH(EK66,'IPCS Data'!$Q$18:$Q$110,0)),0)</f>
        <v>0</v>
      </c>
      <c r="AY66" s="1950" t="str">
        <f t="shared" si="110"/>
        <v/>
      </c>
      <c r="AZ66" s="755"/>
      <c r="BA66" s="753" t="str">
        <f>IFERROR(IF(MATCH(EJ66,'IPCS Data'!$O$8:$O$110,0)&gt;=25,"L","N"),"N")</f>
        <v>N</v>
      </c>
      <c r="BB66" s="774"/>
      <c r="BC66" s="753" t="str">
        <f t="shared" si="111"/>
        <v>N</v>
      </c>
      <c r="BD66" s="753" t="str">
        <f t="shared" si="39"/>
        <v>Non-Labor</v>
      </c>
      <c r="BE66" s="755"/>
      <c r="BF66" s="753" t="str">
        <f t="shared" si="112"/>
        <v>B23672.05</v>
      </c>
      <c r="BG66" s="753" t="str">
        <f t="shared" ref="BG66" si="186">ED66&amp;"."&amp;EG66&amp;"."&amp;EJ66</f>
        <v>0.0.0</v>
      </c>
      <c r="BH66" s="753">
        <f t="shared" ref="BH66:BH94" si="187">IF(CP66=0,0,CHOOSE($EA$8-3,BG66,BG66&amp;"."&amp;BK66,BG66&amp;"."&amp;EM66&amp;"."&amp;BK66,BG66&amp;"."&amp;EM66&amp;"."&amp;EP66&amp;"."&amp;BK66,BG66&amp;"."&amp;EM66&amp;"."&amp;EP66&amp;"."&amp;ES66&amp;"."&amp;BK66))</f>
        <v>0</v>
      </c>
      <c r="BI66" s="753">
        <f t="shared" si="145"/>
        <v>0</v>
      </c>
      <c r="BJ66" s="753">
        <f t="shared" si="113"/>
        <v>0</v>
      </c>
      <c r="BK66" s="753">
        <f t="shared" si="40"/>
        <v>0</v>
      </c>
      <c r="BL66" s="753" t="b">
        <f t="shared" si="131"/>
        <v>1</v>
      </c>
      <c r="BM66" s="755"/>
      <c r="BN66" s="719">
        <f t="shared" ref="BN66:BN94" si="188">IFERROR(INDEX($BN$6:$BN$26,MATCH(ED66,$BM$6:$BM$26,0)),$BN$27)</f>
        <v>0</v>
      </c>
      <c r="BO66" s="719">
        <f t="shared" ref="BO66:BO94" si="189">IFERROR(INDEX($BO$6:$BO$26,MATCH(ED66,$BM$6:$BM$26,0)),$BO$27)</f>
        <v>110</v>
      </c>
      <c r="BP66" s="755"/>
      <c r="BQ66" s="719">
        <f>IF(AND((COUNTIFS('3a Staff Plan'!$J$129:$J$305,FA66)*$B$22)+(COUNTIFS('3b Activity Plan'!$J$173:$J$365,FA66)*$M$22)=0,FB66&gt;0),1,0)</f>
        <v>0</v>
      </c>
      <c r="BR66" s="719">
        <f t="shared" si="114"/>
        <v>0</v>
      </c>
      <c r="BS66" s="719">
        <f t="shared" ref="BS66:BS94" si="190">IF(AND(CP66=1,(FG66+FX66)=0),1,0)</f>
        <v>0</v>
      </c>
      <c r="BT66" s="719">
        <f t="shared" ref="BT66:BT94" si="191">IF(EM66=0,0,IF(ISERROR(MATCH(EM66,$EM$100:$EM$139,0)),1,0))</f>
        <v>0</v>
      </c>
      <c r="BU66" s="719">
        <f t="shared" ref="BU66:BU94" si="192">IF(AND(BA66&lt;&gt;BC66,ED66&lt;&gt;"C"),1,0)</f>
        <v>0</v>
      </c>
      <c r="BV66" s="719">
        <f t="shared" ref="BV66:BV94" si="193">IF(IF(FA66=0,0,COUNTIFS($FA$34:$FA$95,FA66))&gt;1,1,0)</f>
        <v>0</v>
      </c>
      <c r="BW66" s="719">
        <f t="shared" ref="BW66:BW94" si="194">IF(IF(FB66=0,0,COUNTIFS($FB$34:$FB$95,FB66))&gt;1,1,0)</f>
        <v>0</v>
      </c>
      <c r="BX66" s="719">
        <f t="shared" ref="BX66:BX94" si="195">IF(IF(EV66=0,0,COUNTIFS($EV$34:$EV$95,EV66))&gt;1,1,0)</f>
        <v>0</v>
      </c>
      <c r="BY66" s="719">
        <f t="shared" ref="BY66:BY94" si="196">IF(IF(EW66=0,0,COUNTIFS($AY$34:$AY$95,AY66))&gt;1,1,0)</f>
        <v>0</v>
      </c>
      <c r="BZ66" s="719">
        <f t="shared" si="115"/>
        <v>0</v>
      </c>
      <c r="CA66" s="719">
        <f t="shared" si="116"/>
        <v>0</v>
      </c>
      <c r="CB66" s="719">
        <f t="shared" ref="CB66:CB94" si="197">1-IF(CP66=0,1,CHOOSE($EA$8-3,AND(ED66&gt;0,EG66&gt;0,EJ66&gt;0),AND(ED66&gt;0,EG66&gt;0,EJ66&gt;0,EV66&gt;0),AND(ED66&gt;0,EG66&gt;0,EJ66&gt;0,EM66&gt;0,EV66&gt;0),AND(ED66&gt;0,EG66&gt;0,EJ66&gt;0,EM66&gt;0,EP66&gt;0,EV66&gt;0),AND(ED66&gt;0,EG66&gt;0,EJ66&gt;0,EM66&gt;0,EP66&gt;0,ES66&gt;0,EV66&gt;0))*1)</f>
        <v>0</v>
      </c>
      <c r="CC66" s="719"/>
      <c r="CD66" s="719"/>
      <c r="CE66" s="719">
        <f t="shared" ref="CE66:CE94" si="198">IF(NOT(ISERROR(FIND(".",EV66))),1,0)</f>
        <v>0</v>
      </c>
      <c r="CF66" s="719">
        <f t="shared" si="117"/>
        <v>0</v>
      </c>
      <c r="CG66" s="719">
        <f t="shared" si="118"/>
        <v>0</v>
      </c>
      <c r="CH66" s="719">
        <f t="shared" si="119"/>
        <v>0</v>
      </c>
      <c r="CI66" s="719">
        <f t="shared" si="120"/>
        <v>0</v>
      </c>
      <c r="CJ66" s="719">
        <f t="shared" si="121"/>
        <v>0</v>
      </c>
      <c r="CK66" s="719">
        <f t="shared" si="122"/>
        <v>0</v>
      </c>
      <c r="CL66" s="719">
        <f t="shared" si="123"/>
        <v>0</v>
      </c>
      <c r="CM66" s="719">
        <f t="shared" si="124"/>
        <v>0</v>
      </c>
      <c r="CN66" s="719">
        <f t="shared" si="125"/>
        <v>0</v>
      </c>
      <c r="CO66" s="719">
        <f t="shared" si="42"/>
        <v>0</v>
      </c>
      <c r="CP66" s="719">
        <f t="shared" ref="CP66" si="199">IF(FB66&gt;0,1,0)</f>
        <v>0</v>
      </c>
      <c r="CQ66" s="719">
        <f t="shared" si="126"/>
        <v>33</v>
      </c>
      <c r="CR66" s="719">
        <f t="shared" si="127"/>
        <v>0</v>
      </c>
      <c r="CS66" s="2526"/>
      <c r="CT66" s="2527">
        <f t="shared" si="128"/>
        <v>38</v>
      </c>
      <c r="CU66" s="2527">
        <f t="shared" si="146"/>
        <v>0</v>
      </c>
      <c r="CV66" s="2527">
        <f t="shared" si="147"/>
        <v>0</v>
      </c>
      <c r="CW66" s="2527">
        <f t="shared" si="43"/>
        <v>0</v>
      </c>
      <c r="CX66" s="755"/>
      <c r="CY66" s="2537"/>
      <c r="CZ66" s="499">
        <f t="shared" si="169"/>
        <v>0</v>
      </c>
      <c r="DA66" s="1107">
        <f t="shared" si="170"/>
        <v>0</v>
      </c>
      <c r="DB66" s="2537"/>
      <c r="DC66" s="499">
        <f t="shared" ref="DC66:DC94" si="200">IFERROR(INDEX(DC$6:DC$15,MATCH(DD66,DD$6:DD$15,0)),0)</f>
        <v>0</v>
      </c>
      <c r="DD66" s="1107">
        <f t="shared" ref="DD66:DD94" si="201">AP66</f>
        <v>0</v>
      </c>
      <c r="DE66" s="2537"/>
      <c r="DF66" s="499">
        <f t="shared" ref="DF66:DF94" si="202">IFERROR(INDEX(DF$6:DF$15,MATCH(DG66,DG$6:DG$15,0)),0)</f>
        <v>0</v>
      </c>
      <c r="DG66" s="1107">
        <f t="shared" ref="DG66:DG94" si="203">AQ66</f>
        <v>0</v>
      </c>
      <c r="DH66" s="2537"/>
      <c r="DI66" s="499">
        <f t="shared" ref="DI66:DI94" si="204">IFERROR(INDEX(DI$6:DI$15,MATCH(DJ66,DJ$6:DJ$15,0)),0)</f>
        <v>0</v>
      </c>
      <c r="DJ66" s="1107">
        <f t="shared" ref="DJ66:DJ94" si="205">AR66</f>
        <v>0</v>
      </c>
      <c r="DK66" s="2537"/>
      <c r="DL66" s="499">
        <f t="shared" ref="DL66:DL94" si="206">IFERROR(INDEX(DL$6:DL$15,MATCH(DM66,DM$6:DM$15,0)),0)</f>
        <v>0</v>
      </c>
      <c r="DM66" s="1107">
        <f t="shared" ref="DM66:DM94" si="207">AS66</f>
        <v>0</v>
      </c>
      <c r="DN66" s="2537"/>
      <c r="DO66" s="499">
        <f t="shared" ref="DO66:DO94" si="208">IFERROR(INDEX(DO$6:DO$15,MATCH(DP66,DP$6:DP$15,0)),0)</f>
        <v>0</v>
      </c>
      <c r="DP66" s="1107">
        <f t="shared" ref="DP66:DP94" si="209">AT66</f>
        <v>0</v>
      </c>
      <c r="DQ66" s="2537"/>
      <c r="DR66" s="2559"/>
      <c r="DS66" s="499">
        <f t="shared" si="148"/>
        <v>0</v>
      </c>
      <c r="DT66" s="1106">
        <f t="shared" si="149"/>
        <v>0</v>
      </c>
      <c r="DU66" s="2537"/>
      <c r="DV66" s="2559"/>
      <c r="DW66" s="2312">
        <f t="shared" si="150"/>
        <v>0</v>
      </c>
      <c r="DX66" s="1106">
        <f t="shared" si="151"/>
        <v>0</v>
      </c>
      <c r="DY66" s="2572"/>
      <c r="DZ66" s="2537"/>
      <c r="EA66" s="2537"/>
      <c r="EB66" s="2577" t="str">
        <f t="shared" ref="EB66:EB94" si="210">TEXT($EB$16,"00")</f>
        <v>05</v>
      </c>
      <c r="EC66" s="2570"/>
      <c r="ED66" s="436">
        <f>IFERROR(INDEX('IPCS Data'!$H$8:$H$30,MATCH(EE66,'IPCS Data'!$I$8:$I$30,0)),0)</f>
        <v>0</v>
      </c>
      <c r="EE66" s="437"/>
      <c r="EF66" s="2570"/>
      <c r="EG66" s="499">
        <f>IFERROR(INDEX('IPCS Data'!$L$8:$L$27,MATCH(EH66,'IPCS Data'!$M$8:$M$27,0)),0)</f>
        <v>0</v>
      </c>
      <c r="EH66" s="437"/>
      <c r="EI66" s="2578" t="s">
        <v>5</v>
      </c>
      <c r="EJ66" s="748">
        <f>IFERROR(INDEX('IPCS Data'!$O$8:$O$110,MATCH(EK66,'IPCS Data'!$Q$8:$Q$110,0)),0)</f>
        <v>0</v>
      </c>
      <c r="EK66" s="437"/>
      <c r="EL66" s="2578"/>
      <c r="EM66" s="840">
        <f t="shared" si="89"/>
        <v>0</v>
      </c>
      <c r="EN66" s="841"/>
      <c r="EO66" s="2537"/>
      <c r="EP66" s="842">
        <f t="shared" si="90"/>
        <v>0</v>
      </c>
      <c r="EQ66" s="843"/>
      <c r="ER66" s="2537"/>
      <c r="ES66" s="840">
        <f t="shared" si="91"/>
        <v>0</v>
      </c>
      <c r="ET66" s="843"/>
      <c r="EU66" s="2537"/>
      <c r="EV66" s="1497"/>
      <c r="EW66" s="1683"/>
      <c r="EX66" s="2562">
        <f t="shared" ref="EX66:EX94" si="211">CQ66</f>
        <v>33</v>
      </c>
      <c r="EY66" s="2533"/>
      <c r="EZ66" s="2561"/>
      <c r="FA66" s="1324">
        <f t="shared" si="152"/>
        <v>0</v>
      </c>
      <c r="FB66" s="2629">
        <f t="shared" ref="FB66:FB94" si="212">IF($EA$8=4,AX66,EW66)</f>
        <v>0</v>
      </c>
      <c r="FC66" s="274"/>
      <c r="FD66" s="2626">
        <f t="shared" si="153"/>
        <v>0</v>
      </c>
      <c r="FE66" s="2626">
        <f t="shared" si="154"/>
        <v>0</v>
      </c>
      <c r="FF66" s="274"/>
      <c r="FG66" s="2616">
        <f t="shared" ref="FG66:FG94" si="213">IF(ED66="C",0,(C66*$B$22)+(N66*$M$22)+FH66)</f>
        <v>0</v>
      </c>
      <c r="FH66" s="2616">
        <f t="shared" ref="FH66:FH94" si="214">IF(ED66="C",0,(B66*$B$22)+(M66*$M$22))</f>
        <v>0</v>
      </c>
      <c r="FI66" s="2616">
        <f t="shared" ref="FI66:FI94" si="215">FG66-FH66</f>
        <v>0</v>
      </c>
      <c r="FJ66" s="2610" t="s">
        <v>5</v>
      </c>
      <c r="FK66" s="2616">
        <f t="shared" ref="FK66:FK94" si="216">IF(ED66="C",0,(D66*$B$22)+(O66*$M$22))</f>
        <v>0</v>
      </c>
      <c r="FL66" s="2616">
        <f t="shared" ref="FL66:FL94" si="217">FM66-FK66</f>
        <v>0</v>
      </c>
      <c r="FM66" s="2616">
        <f t="shared" ref="FM66:FM94" si="218">IF(ED66="C",0,(E66*$B$22)+(P66*$M$22))</f>
        <v>0</v>
      </c>
      <c r="FN66" s="2622">
        <f t="shared" ref="FN66:FN94" si="219">IFERROR(FO66/FK66,0)</f>
        <v>0</v>
      </c>
      <c r="FO66" s="2615">
        <f t="shared" ref="FO66:FO94" si="220">IF(ED66="C",0,((F66+H66)*$B$22)+((Q66+S66)*$M$22))</f>
        <v>0</v>
      </c>
      <c r="FP66" s="2624">
        <f t="shared" ref="FP66:FP94" si="221">IFERROR(FM66/FG66,0)</f>
        <v>0</v>
      </c>
      <c r="FQ66" s="2622">
        <f t="shared" ref="FQ66:FQ94" si="222">IFERROR(FO66/FM66,0)</f>
        <v>0</v>
      </c>
      <c r="FR66" s="2624">
        <f t="shared" ref="FR66:FR94" si="223">IFERROR(FO66/FH66,0)</f>
        <v>0</v>
      </c>
      <c r="FS66" s="2611" t="s">
        <v>5</v>
      </c>
      <c r="FT66" s="2616">
        <f t="shared" ref="FT66:FT94" si="224">(J66*$B$22)+(U66*$M$22)+IF(ED66="C",(E66*$B$22)+(P66*$M$22),0)</f>
        <v>0</v>
      </c>
      <c r="FU66" s="2622">
        <f t="shared" si="129"/>
        <v>0</v>
      </c>
      <c r="FV66" s="2616">
        <f t="shared" ref="FV66:FV94" si="225">(K66*$B$22)+(V66*$M$22)+IF(ED66="C",((F66+H66)*$B$22)+((Q66+S66)*$M$22),0)</f>
        <v>0</v>
      </c>
      <c r="FW66" s="2612" t="s">
        <v>5</v>
      </c>
      <c r="FX66" s="2616">
        <f t="shared" si="171"/>
        <v>0</v>
      </c>
      <c r="FY66" s="2616">
        <f t="shared" ref="FY66:FY94" si="226">FO66+FV66</f>
        <v>0</v>
      </c>
      <c r="FZ66" s="2613" t="s">
        <v>5</v>
      </c>
      <c r="GA66" s="2616">
        <f t="shared" si="48"/>
        <v>0</v>
      </c>
      <c r="GB66" s="2619">
        <f t="shared" ref="GB66" si="227">IFERROR(GA66/FY66,0)</f>
        <v>0</v>
      </c>
      <c r="GC66" s="2620">
        <f t="shared" ref="GC66:GC94" si="228">IFERROR(GA66/FH66,0)</f>
        <v>0</v>
      </c>
      <c r="GD66" s="2614"/>
      <c r="GE66" s="3195">
        <f t="shared" si="143"/>
        <v>0</v>
      </c>
      <c r="GF66" s="3195">
        <f t="shared" si="144"/>
        <v>0</v>
      </c>
      <c r="GG66" s="3193" t="str">
        <f t="shared" si="18"/>
        <v>X</v>
      </c>
      <c r="GH66" s="2531"/>
      <c r="GI66" s="3189" t="str">
        <f t="shared" si="155"/>
        <v/>
      </c>
      <c r="GJ66" s="2598"/>
      <c r="GK66" s="3173">
        <f t="shared" si="156"/>
        <v>0</v>
      </c>
      <c r="GL66" s="3173">
        <f t="shared" si="157"/>
        <v>0</v>
      </c>
      <c r="GM66" s="3173">
        <f t="shared" si="158"/>
        <v>0</v>
      </c>
      <c r="GN66" s="3174">
        <f t="shared" si="159"/>
        <v>0</v>
      </c>
      <c r="GO66" s="3174">
        <f t="shared" si="160"/>
        <v>0</v>
      </c>
      <c r="GP66" s="3175">
        <f t="shared" si="161"/>
        <v>0</v>
      </c>
      <c r="GQ66" s="3176">
        <f t="shared" si="162"/>
        <v>0</v>
      </c>
      <c r="GR66" s="3177">
        <f t="shared" si="163"/>
        <v>0</v>
      </c>
      <c r="GS66" s="3177">
        <f t="shared" si="164"/>
        <v>0</v>
      </c>
      <c r="GT66" s="3178">
        <f t="shared" si="165"/>
        <v>0</v>
      </c>
      <c r="GU66" s="3179"/>
      <c r="GV66" s="3178">
        <f t="shared" si="166"/>
        <v>0</v>
      </c>
      <c r="GW66" s="3177">
        <f t="shared" si="167"/>
        <v>0</v>
      </c>
      <c r="GX66" s="3180"/>
      <c r="GY66" s="3177">
        <f t="shared" si="168"/>
        <v>0</v>
      </c>
      <c r="GZ66" s="2593"/>
      <c r="HA66" s="277"/>
      <c r="HB66" s="277"/>
      <c r="HC66" s="277"/>
      <c r="HD66" s="277"/>
      <c r="HE66" s="277"/>
      <c r="HF66" s="277"/>
      <c r="HG66" s="277"/>
      <c r="HH66" s="277"/>
      <c r="HI66" s="277"/>
      <c r="HJ66" s="277"/>
      <c r="HK66" s="277"/>
      <c r="HL66" s="277"/>
      <c r="HM66" s="277"/>
      <c r="HN66" s="277"/>
      <c r="HO66" s="277"/>
    </row>
    <row r="67" spans="1:223" s="272" customFormat="1" ht="18" customHeight="1" x14ac:dyDescent="0.3">
      <c r="A67" s="755"/>
      <c r="B67" s="805">
        <f>SUMIFS('3a Staff Plan'!$T$129:$T$305,'3a Staff Plan'!$DF$129:$DF$305,1,'3a Staff Plan'!$DA$129:$DA$305,1,'3a Staff Plan'!$J$129:$J$305,$FA67)</f>
        <v>0</v>
      </c>
      <c r="C67" s="805">
        <f>SUMIFS('3a Staff Plan'!$U$129:$U$305,'3a Staff Plan'!$DF$129:$DF$305,1,'3a Staff Plan'!$DA$129:$DA$305,1,'3a Staff Plan'!$J$129:$J$305,$FA67)</f>
        <v>0</v>
      </c>
      <c r="D67" s="805">
        <f>SUMIFS('3a Staff Plan'!$Z$129:$Z$305,'3a Staff Plan'!$DF$129:$DF$305,1,'3a Staff Plan'!$DA$129:$DA$305,1,'3a Staff Plan'!$J$129:$J$305,$FA67)</f>
        <v>0</v>
      </c>
      <c r="E67" s="805">
        <f>SUMIFS('3a Staff Plan'!$Y$129:$Y$305,'3a Staff Plan'!$DF$129:$DF$305,1,'3a Staff Plan'!$DA$129:$DA$305,1,'3a Staff Plan'!$J$129:$J$305,$FA67)</f>
        <v>0</v>
      </c>
      <c r="F67" s="805">
        <f>SUMIFS('3a Staff Plan'!$X$129:$X$305,'3a Staff Plan'!$DF$129:$DF$305,1,'3a Staff Plan'!$DA$129:$DA$305,1,'3a Staff Plan'!$AG$129:$AG$305,1,'3a Staff Plan'!$J$129:$J$305,$FA67)</f>
        <v>0</v>
      </c>
      <c r="G67" s="805">
        <f>IF($G$24=0,0,SUMIFS('3a Staff Plan'!$W$129:$W$305,'3a Staff Plan'!$DF$129:$DF$305,1,'3a Staff Plan'!$DA$129:$DA$305,1,'3a Staff Plan'!$J$129:$J$305,$FA67))</f>
        <v>0</v>
      </c>
      <c r="H67" s="795">
        <f t="shared" si="172"/>
        <v>0</v>
      </c>
      <c r="I67" s="805">
        <f>SUMIFS('3a Staff Plan'!$V$129:$V$305,'3a Staff Plan'!$DF$129:$DF$305,1,'3a Staff Plan'!$DA$129:$DA$305,1,'3a Staff Plan'!$J$129:$J$305,$FA67)</f>
        <v>0</v>
      </c>
      <c r="J67" s="805">
        <f>SUMIFS('3a Staff Plan'!$AB$129:$AB$305,'3a Staff Plan'!$DF$129:$DF$305,1,'3a Staff Plan'!$DA$129:$DA$305,1,'3a Staff Plan'!$J$129:$J$305,$FA67)</f>
        <v>0</v>
      </c>
      <c r="K67" s="805">
        <f>SUMIFS('3a Staff Plan'!$AA$129:$AA$305,'3a Staff Plan'!$DF$129:$DF$305,1,'3a Staff Plan'!$DA$129:$DA$305,1,'3a Staff Plan'!$AG$129:$AG$305,1,'3a Staff Plan'!$J$129:$J$305,$FA67)</f>
        <v>0</v>
      </c>
      <c r="L67" s="755"/>
      <c r="M67" s="805">
        <f>SUMIFS('3b Activity Plan'!$T$173:$T$365,'3b Activity Plan'!$CY$173:$CY$365,1,'3b Activity Plan'!$CT$173:$CT$365,1,'3b Activity Plan'!$J$173:$J$365,$FA67)</f>
        <v>0</v>
      </c>
      <c r="N67" s="805">
        <f>SUMIFS('3b Activity Plan'!$U$173:$U$365,'3b Activity Plan'!$CY$173:$CY$365,1,'3b Activity Plan'!$CT$173:$CT$365,1,'3b Activity Plan'!$J$173:$J$365,$FA67)</f>
        <v>0</v>
      </c>
      <c r="O67" s="805">
        <f>SUMIFS('3b Activity Plan'!$Z$173:$Z$365,'3b Activity Plan'!$CY$173:$CY$365,1,'3b Activity Plan'!$CT$173:$CT$365,1,'3b Activity Plan'!$J$173:$J$365,$FA67)</f>
        <v>0</v>
      </c>
      <c r="P67" s="805">
        <f>SUMIFS('3b Activity Plan'!$Y$173:$Y$365,'3b Activity Plan'!$CY$173:$CY$365,1,'3b Activity Plan'!$CT$173:$CT$365,1,'3b Activity Plan'!$J$173:$J$365,$FA67)</f>
        <v>0</v>
      </c>
      <c r="Q67" s="805">
        <f>SUMIFS('3b Activity Plan'!$X$173:$X$365,'3b Activity Plan'!$CY$173:$CY$365,1,'3b Activity Plan'!$CT$173:$CT$365,1,'3b Activity Plan'!$J$173:$J$365,$FA67)</f>
        <v>0</v>
      </c>
      <c r="R67" s="805">
        <f>IF($R$24=0,0,SUMIFS('3b Activity Plan'!$W$173:$W$365,'3b Activity Plan'!$CY$173:$CY$365,1,'3b Activity Plan'!$CT$173:$CT$365,1,'3b Activity Plan'!$J$173:$J$365,$FA67))</f>
        <v>0</v>
      </c>
      <c r="S67" s="795">
        <f t="shared" si="173"/>
        <v>0</v>
      </c>
      <c r="T67" s="805">
        <f>SUMIFS('3b Activity Plan'!$V$173:$V$365,'3b Activity Plan'!$CY$173:$CY$365,1,'3b Activity Plan'!$CT$173:$CT$365,1,'3b Activity Plan'!$J$173:$J$365,$FA67)</f>
        <v>0</v>
      </c>
      <c r="U67" s="805">
        <f>SUMIFS('3b Activity Plan'!$AB$173:$AB$365,'3b Activity Plan'!$CY$173:$CY$365,1,'3b Activity Plan'!$CT$173:$CT$365,1,'3b Activity Plan'!$J$173:$J$365,$FA67)</f>
        <v>0</v>
      </c>
      <c r="V67" s="805">
        <f>SUMIFS('3b Activity Plan'!$AA$173:$AA$365,'3b Activity Plan'!$CY$173:$CY$365,1,'3b Activity Plan'!$CT$173:$CT$365,1,'3b Activity Plan'!$J$173:$J$365,$FA67)</f>
        <v>0</v>
      </c>
      <c r="W67" s="755"/>
      <c r="X67" s="2641">
        <f>SUMIFS('3b Activity Plan'!$FU$173:$FU$365,'3b Activity Plan'!$J$173:$J$365,$FA67)</f>
        <v>0</v>
      </c>
      <c r="Y67" s="2641">
        <f>SUMIFS('3b Activity Plan'!$FW$173:$FW$365,'3b Activity Plan'!$J$173:$J$365,$FA67)</f>
        <v>0</v>
      </c>
      <c r="Z67" s="2639">
        <f t="shared" si="132"/>
        <v>0</v>
      </c>
      <c r="AA67" s="755"/>
      <c r="AB67" s="761">
        <f>_xlfn.MINIFS('3a Staff Plan'!$EB$129:$EB$304,'3a Staff Plan'!$DF$129:$DF$304,1,'3a Staff Plan'!$J$129:$J$304,FA67)</f>
        <v>0</v>
      </c>
      <c r="AC67" s="761">
        <f>_xlfn.MAXIFS('3a Staff Plan'!$EC$129:$EC$304,'3a Staff Plan'!$DF$129:$DF$304,1,'3a Staff Plan'!$J$129:$J$304,FA67)</f>
        <v>0</v>
      </c>
      <c r="AD67" s="755"/>
      <c r="AE67" s="761">
        <f>_xlfn.MINIFS('3b Activity Plan'!$GN$173:$GN$365,'3b Activity Plan'!$CY$173:$CY$365,1,'3b Activity Plan'!$J$173:$J$365,$FA67)</f>
        <v>0</v>
      </c>
      <c r="AF67" s="761">
        <f>_xlfn.MAXIFS('3b Activity Plan'!$GO$173:$GO$365,'3b Activity Plan'!$CY$173:$CY$365,1,'3b Activity Plan'!$J$173:$J$365,$FA67)</f>
        <v>0</v>
      </c>
      <c r="AG67" s="755"/>
      <c r="AH67" s="761">
        <f t="shared" si="174"/>
        <v>0</v>
      </c>
      <c r="AI67" s="761">
        <f t="shared" si="175"/>
        <v>0</v>
      </c>
      <c r="AJ67" s="755"/>
      <c r="AK67" s="761">
        <f t="shared" si="176"/>
        <v>0</v>
      </c>
      <c r="AL67" s="761">
        <f t="shared" si="177"/>
        <v>0</v>
      </c>
      <c r="AM67" s="776">
        <f t="shared" si="178"/>
        <v>0</v>
      </c>
      <c r="AN67" s="755"/>
      <c r="AO67" s="748">
        <f t="shared" si="179"/>
        <v>0</v>
      </c>
      <c r="AP67" s="748">
        <f t="shared" si="180"/>
        <v>0</v>
      </c>
      <c r="AQ67" s="748">
        <f t="shared" si="181"/>
        <v>0</v>
      </c>
      <c r="AR67" s="748">
        <f t="shared" si="182"/>
        <v>0</v>
      </c>
      <c r="AS67" s="748">
        <f t="shared" si="183"/>
        <v>0</v>
      </c>
      <c r="AT67" s="748">
        <f t="shared" si="184"/>
        <v>0</v>
      </c>
      <c r="AU67" s="748">
        <f t="shared" si="185"/>
        <v>0</v>
      </c>
      <c r="AV67" s="748">
        <f>IFERROR(INDEX('IPCS Data'!$R$8:$R$109,MATCH(EJ67,'IPCS Data'!$O$8:$O$109,0)),0)</f>
        <v>0</v>
      </c>
      <c r="AW67" s="755"/>
      <c r="AX67" s="499">
        <f>IFERROR(INDEX('IPCS Data'!$P$18:$P$110,MATCH(EK67,'IPCS Data'!$Q$18:$Q$110,0)),0)</f>
        <v>0</v>
      </c>
      <c r="AY67" s="1950" t="str">
        <f t="shared" si="110"/>
        <v/>
      </c>
      <c r="AZ67" s="755"/>
      <c r="BA67" s="753" t="str">
        <f>IFERROR(IF(MATCH(EJ67,'IPCS Data'!$O$8:$O$110,0)&gt;=25,"L","N"),"N")</f>
        <v>N</v>
      </c>
      <c r="BB67" s="774"/>
      <c r="BC67" s="753" t="str">
        <f t="shared" si="111"/>
        <v>N</v>
      </c>
      <c r="BD67" s="753" t="str">
        <f t="shared" si="39"/>
        <v>Non-Labor</v>
      </c>
      <c r="BE67" s="755"/>
      <c r="BF67" s="753" t="str">
        <f t="shared" si="112"/>
        <v>B23672.05</v>
      </c>
      <c r="BG67" s="753" t="str">
        <f t="shared" ref="BG67:BG94" si="229">ED67&amp;"."&amp;EG67&amp;"."&amp;EJ67</f>
        <v>0.0.0</v>
      </c>
      <c r="BH67" s="753">
        <f t="shared" si="187"/>
        <v>0</v>
      </c>
      <c r="BI67" s="753">
        <f t="shared" si="145"/>
        <v>0</v>
      </c>
      <c r="BJ67" s="753">
        <f t="shared" si="113"/>
        <v>0</v>
      </c>
      <c r="BK67" s="753">
        <f t="shared" si="40"/>
        <v>0</v>
      </c>
      <c r="BL67" s="753" t="b">
        <f t="shared" si="131"/>
        <v>1</v>
      </c>
      <c r="BM67" s="755"/>
      <c r="BN67" s="719">
        <f t="shared" si="188"/>
        <v>0</v>
      </c>
      <c r="BO67" s="719">
        <f t="shared" si="189"/>
        <v>110</v>
      </c>
      <c r="BP67" s="755"/>
      <c r="BQ67" s="719">
        <f>IF(AND((COUNTIFS('3a Staff Plan'!$J$129:$J$305,FA67)*$B$22)+(COUNTIFS('3b Activity Plan'!$J$173:$J$365,FA67)*$M$22)=0,FB67&gt;0),1,0)</f>
        <v>0</v>
      </c>
      <c r="BR67" s="719">
        <f t="shared" si="114"/>
        <v>0</v>
      </c>
      <c r="BS67" s="719">
        <f t="shared" si="190"/>
        <v>0</v>
      </c>
      <c r="BT67" s="719">
        <f t="shared" si="191"/>
        <v>0</v>
      </c>
      <c r="BU67" s="719">
        <f t="shared" si="192"/>
        <v>0</v>
      </c>
      <c r="BV67" s="719">
        <f t="shared" si="193"/>
        <v>0</v>
      </c>
      <c r="BW67" s="719">
        <f t="shared" si="194"/>
        <v>0</v>
      </c>
      <c r="BX67" s="719">
        <f t="shared" si="195"/>
        <v>0</v>
      </c>
      <c r="BY67" s="719">
        <f t="shared" si="196"/>
        <v>0</v>
      </c>
      <c r="BZ67" s="719">
        <f t="shared" si="115"/>
        <v>0</v>
      </c>
      <c r="CA67" s="719">
        <f t="shared" si="116"/>
        <v>0</v>
      </c>
      <c r="CB67" s="719">
        <f t="shared" si="197"/>
        <v>0</v>
      </c>
      <c r="CC67" s="719"/>
      <c r="CD67" s="719"/>
      <c r="CE67" s="719">
        <f t="shared" si="198"/>
        <v>0</v>
      </c>
      <c r="CF67" s="719">
        <f t="shared" si="117"/>
        <v>0</v>
      </c>
      <c r="CG67" s="719">
        <f t="shared" si="118"/>
        <v>0</v>
      </c>
      <c r="CH67" s="719">
        <f t="shared" si="119"/>
        <v>0</v>
      </c>
      <c r="CI67" s="719">
        <f t="shared" si="120"/>
        <v>0</v>
      </c>
      <c r="CJ67" s="719">
        <f t="shared" si="121"/>
        <v>0</v>
      </c>
      <c r="CK67" s="719">
        <f t="shared" si="122"/>
        <v>0</v>
      </c>
      <c r="CL67" s="719">
        <f t="shared" si="123"/>
        <v>0</v>
      </c>
      <c r="CM67" s="719">
        <f t="shared" si="124"/>
        <v>0</v>
      </c>
      <c r="CN67" s="719">
        <f t="shared" si="125"/>
        <v>0</v>
      </c>
      <c r="CO67" s="719">
        <f t="shared" si="42"/>
        <v>0</v>
      </c>
      <c r="CP67" s="719">
        <f t="shared" si="78"/>
        <v>0</v>
      </c>
      <c r="CQ67" s="719">
        <f t="shared" si="126"/>
        <v>34</v>
      </c>
      <c r="CR67" s="719">
        <f t="shared" si="127"/>
        <v>0</v>
      </c>
      <c r="CS67" s="2526"/>
      <c r="CT67" s="2527">
        <f t="shared" si="128"/>
        <v>39</v>
      </c>
      <c r="CU67" s="2527">
        <f t="shared" si="146"/>
        <v>0</v>
      </c>
      <c r="CV67" s="2527">
        <f t="shared" si="147"/>
        <v>0</v>
      </c>
      <c r="CW67" s="2527">
        <f t="shared" si="43"/>
        <v>0</v>
      </c>
      <c r="CX67" s="755"/>
      <c r="CY67" s="2537"/>
      <c r="CZ67" s="499">
        <f t="shared" si="169"/>
        <v>0</v>
      </c>
      <c r="DA67" s="1107">
        <f t="shared" si="170"/>
        <v>0</v>
      </c>
      <c r="DB67" s="2537"/>
      <c r="DC67" s="499">
        <f t="shared" si="200"/>
        <v>0</v>
      </c>
      <c r="DD67" s="1107">
        <f t="shared" si="201"/>
        <v>0</v>
      </c>
      <c r="DE67" s="2537"/>
      <c r="DF67" s="499">
        <f t="shared" si="202"/>
        <v>0</v>
      </c>
      <c r="DG67" s="1107">
        <f t="shared" si="203"/>
        <v>0</v>
      </c>
      <c r="DH67" s="2537"/>
      <c r="DI67" s="499">
        <f t="shared" si="204"/>
        <v>0</v>
      </c>
      <c r="DJ67" s="1107">
        <f t="shared" si="205"/>
        <v>0</v>
      </c>
      <c r="DK67" s="2537"/>
      <c r="DL67" s="499">
        <f t="shared" si="206"/>
        <v>0</v>
      </c>
      <c r="DM67" s="1107">
        <f t="shared" si="207"/>
        <v>0</v>
      </c>
      <c r="DN67" s="2537"/>
      <c r="DO67" s="499">
        <f t="shared" si="208"/>
        <v>0</v>
      </c>
      <c r="DP67" s="1107">
        <f t="shared" si="209"/>
        <v>0</v>
      </c>
      <c r="DQ67" s="2537"/>
      <c r="DR67" s="2559"/>
      <c r="DS67" s="499">
        <f t="shared" si="148"/>
        <v>0</v>
      </c>
      <c r="DT67" s="1106">
        <f t="shared" si="149"/>
        <v>0</v>
      </c>
      <c r="DU67" s="2537"/>
      <c r="DV67" s="2559"/>
      <c r="DW67" s="2312">
        <f t="shared" si="150"/>
        <v>0</v>
      </c>
      <c r="DX67" s="1106">
        <f t="shared" si="151"/>
        <v>0</v>
      </c>
      <c r="DY67" s="2572"/>
      <c r="DZ67" s="2537"/>
      <c r="EA67" s="2537"/>
      <c r="EB67" s="2577" t="str">
        <f t="shared" si="210"/>
        <v>05</v>
      </c>
      <c r="EC67" s="2570"/>
      <c r="ED67" s="436">
        <f>IFERROR(INDEX('IPCS Data'!$H$8:$H$30,MATCH(EE67,'IPCS Data'!$I$8:$I$30,0)),0)</f>
        <v>0</v>
      </c>
      <c r="EE67" s="437"/>
      <c r="EF67" s="2570"/>
      <c r="EG67" s="499">
        <f>IFERROR(INDEX('IPCS Data'!$L$8:$L$27,MATCH(EH67,'IPCS Data'!$M$8:$M$27,0)),0)</f>
        <v>0</v>
      </c>
      <c r="EH67" s="437"/>
      <c r="EI67" s="2578" t="s">
        <v>5</v>
      </c>
      <c r="EJ67" s="748">
        <f>IFERROR(INDEX('IPCS Data'!$O$8:$O$110,MATCH(EK67,'IPCS Data'!$Q$8:$Q$110,0)),0)</f>
        <v>0</v>
      </c>
      <c r="EK67" s="437"/>
      <c r="EL67" s="2578"/>
      <c r="EM67" s="840">
        <f t="shared" ref="EM67:EM94" si="230">IFERROR(INDEX($EM$100:$EM$139,MATCH(EN67,$EN$100:$EN$139,0)),0)</f>
        <v>0</v>
      </c>
      <c r="EN67" s="841"/>
      <c r="EO67" s="2537"/>
      <c r="EP67" s="842">
        <f t="shared" ref="EP67:EP94" si="231">IFERROR(INDEX($EP$100:$EP$139,MATCH(EQ67,$EQ$100:$EQ$139,0)),0)</f>
        <v>0</v>
      </c>
      <c r="EQ67" s="843"/>
      <c r="ER67" s="2537"/>
      <c r="ES67" s="840">
        <f t="shared" ref="ES67:ES94" si="232">IFERROR(INDEX($ES$100:$ES$139,MATCH(ET67,$ET$100:$ET$139,0)),0)</f>
        <v>0</v>
      </c>
      <c r="ET67" s="843"/>
      <c r="EU67" s="2537"/>
      <c r="EV67" s="1497"/>
      <c r="EW67" s="1683"/>
      <c r="EX67" s="2562">
        <f t="shared" si="211"/>
        <v>34</v>
      </c>
      <c r="EY67" s="2533"/>
      <c r="EZ67" s="2561"/>
      <c r="FA67" s="1324">
        <f t="shared" si="152"/>
        <v>0</v>
      </c>
      <c r="FB67" s="2629">
        <f t="shared" si="212"/>
        <v>0</v>
      </c>
      <c r="FC67" s="274"/>
      <c r="FD67" s="2626">
        <f t="shared" si="153"/>
        <v>0</v>
      </c>
      <c r="FE67" s="2626">
        <f t="shared" si="154"/>
        <v>0</v>
      </c>
      <c r="FF67" s="274"/>
      <c r="FG67" s="2616">
        <f t="shared" si="213"/>
        <v>0</v>
      </c>
      <c r="FH67" s="2616">
        <f t="shared" si="214"/>
        <v>0</v>
      </c>
      <c r="FI67" s="2616">
        <f t="shared" si="215"/>
        <v>0</v>
      </c>
      <c r="FJ67" s="2610" t="s">
        <v>5</v>
      </c>
      <c r="FK67" s="2616">
        <f t="shared" si="216"/>
        <v>0</v>
      </c>
      <c r="FL67" s="2616">
        <f t="shared" si="217"/>
        <v>0</v>
      </c>
      <c r="FM67" s="2616">
        <f t="shared" si="218"/>
        <v>0</v>
      </c>
      <c r="FN67" s="2622">
        <f t="shared" si="219"/>
        <v>0</v>
      </c>
      <c r="FO67" s="2615">
        <f t="shared" si="220"/>
        <v>0</v>
      </c>
      <c r="FP67" s="2624">
        <f t="shared" si="221"/>
        <v>0</v>
      </c>
      <c r="FQ67" s="2622">
        <f t="shared" si="222"/>
        <v>0</v>
      </c>
      <c r="FR67" s="2624">
        <f t="shared" si="223"/>
        <v>0</v>
      </c>
      <c r="FS67" s="2611" t="s">
        <v>5</v>
      </c>
      <c r="FT67" s="2616">
        <f t="shared" si="224"/>
        <v>0</v>
      </c>
      <c r="FU67" s="2622">
        <f t="shared" si="129"/>
        <v>0</v>
      </c>
      <c r="FV67" s="2616">
        <f t="shared" si="225"/>
        <v>0</v>
      </c>
      <c r="FW67" s="2612" t="s">
        <v>5</v>
      </c>
      <c r="FX67" s="2616">
        <f t="shared" si="171"/>
        <v>0</v>
      </c>
      <c r="FY67" s="2616">
        <f t="shared" si="226"/>
        <v>0</v>
      </c>
      <c r="FZ67" s="2613" t="s">
        <v>5</v>
      </c>
      <c r="GA67" s="2616">
        <f t="shared" si="48"/>
        <v>0</v>
      </c>
      <c r="GB67" s="2619">
        <f t="shared" ref="GB67:GB71" si="233">IFERROR(GA67/FY67,0)</f>
        <v>0</v>
      </c>
      <c r="GC67" s="2620">
        <f t="shared" si="228"/>
        <v>0</v>
      </c>
      <c r="GD67" s="2614"/>
      <c r="GE67" s="3195">
        <f t="shared" si="143"/>
        <v>0</v>
      </c>
      <c r="GF67" s="3195">
        <f t="shared" si="144"/>
        <v>0</v>
      </c>
      <c r="GG67" s="3193" t="str">
        <f t="shared" si="18"/>
        <v>X</v>
      </c>
      <c r="GH67" s="2531"/>
      <c r="GI67" s="3189" t="str">
        <f t="shared" si="155"/>
        <v/>
      </c>
      <c r="GJ67" s="2598"/>
      <c r="GK67" s="3173">
        <f t="shared" si="156"/>
        <v>0</v>
      </c>
      <c r="GL67" s="3173">
        <f t="shared" si="157"/>
        <v>0</v>
      </c>
      <c r="GM67" s="3173">
        <f t="shared" si="158"/>
        <v>0</v>
      </c>
      <c r="GN67" s="3174">
        <f t="shared" si="159"/>
        <v>0</v>
      </c>
      <c r="GO67" s="3174">
        <f t="shared" si="160"/>
        <v>0</v>
      </c>
      <c r="GP67" s="3175">
        <f t="shared" si="161"/>
        <v>0</v>
      </c>
      <c r="GQ67" s="3176">
        <f t="shared" si="162"/>
        <v>0</v>
      </c>
      <c r="GR67" s="3177">
        <f t="shared" si="163"/>
        <v>0</v>
      </c>
      <c r="GS67" s="3177">
        <f t="shared" si="164"/>
        <v>0</v>
      </c>
      <c r="GT67" s="3178">
        <f t="shared" si="165"/>
        <v>0</v>
      </c>
      <c r="GU67" s="3179"/>
      <c r="GV67" s="3178">
        <f t="shared" si="166"/>
        <v>0</v>
      </c>
      <c r="GW67" s="3177">
        <f t="shared" si="167"/>
        <v>0</v>
      </c>
      <c r="GX67" s="3180"/>
      <c r="GY67" s="3177">
        <f t="shared" si="168"/>
        <v>0</v>
      </c>
      <c r="GZ67" s="2593"/>
      <c r="HA67" s="277"/>
      <c r="HB67" s="277"/>
      <c r="HC67" s="277"/>
      <c r="HD67" s="277"/>
      <c r="HE67" s="277"/>
      <c r="HF67" s="277"/>
      <c r="HG67" s="277"/>
      <c r="HH67" s="277"/>
      <c r="HI67" s="277"/>
      <c r="HJ67" s="277"/>
      <c r="HK67" s="277"/>
      <c r="HL67" s="277"/>
      <c r="HM67" s="277"/>
      <c r="HN67" s="277"/>
      <c r="HO67" s="277"/>
    </row>
    <row r="68" spans="1:223" s="272" customFormat="1" ht="18" customHeight="1" x14ac:dyDescent="0.3">
      <c r="A68" s="755"/>
      <c r="B68" s="805">
        <f>SUMIFS('3a Staff Plan'!$T$129:$T$305,'3a Staff Plan'!$DF$129:$DF$305,1,'3a Staff Plan'!$DA$129:$DA$305,1,'3a Staff Plan'!$J$129:$J$305,$FA68)</f>
        <v>0</v>
      </c>
      <c r="C68" s="805">
        <f>SUMIFS('3a Staff Plan'!$U$129:$U$305,'3a Staff Plan'!$DF$129:$DF$305,1,'3a Staff Plan'!$DA$129:$DA$305,1,'3a Staff Plan'!$J$129:$J$305,$FA68)</f>
        <v>0</v>
      </c>
      <c r="D68" s="805">
        <f>SUMIFS('3a Staff Plan'!$Z$129:$Z$305,'3a Staff Plan'!$DF$129:$DF$305,1,'3a Staff Plan'!$DA$129:$DA$305,1,'3a Staff Plan'!$J$129:$J$305,$FA68)</f>
        <v>0</v>
      </c>
      <c r="E68" s="805">
        <f>SUMIFS('3a Staff Plan'!$Y$129:$Y$305,'3a Staff Plan'!$DF$129:$DF$305,1,'3a Staff Plan'!$DA$129:$DA$305,1,'3a Staff Plan'!$J$129:$J$305,$FA68)</f>
        <v>0</v>
      </c>
      <c r="F68" s="805">
        <f>SUMIFS('3a Staff Plan'!$X$129:$X$305,'3a Staff Plan'!$DF$129:$DF$305,1,'3a Staff Plan'!$DA$129:$DA$305,1,'3a Staff Plan'!$AG$129:$AG$305,1,'3a Staff Plan'!$J$129:$J$305,$FA68)</f>
        <v>0</v>
      </c>
      <c r="G68" s="805">
        <f>IF($G$24=0,0,SUMIFS('3a Staff Plan'!$W$129:$W$305,'3a Staff Plan'!$DF$129:$DF$305,1,'3a Staff Plan'!$DA$129:$DA$305,1,'3a Staff Plan'!$J$129:$J$305,$FA68))</f>
        <v>0</v>
      </c>
      <c r="H68" s="795">
        <f t="shared" si="172"/>
        <v>0</v>
      </c>
      <c r="I68" s="805">
        <f>SUMIFS('3a Staff Plan'!$V$129:$V$305,'3a Staff Plan'!$DF$129:$DF$305,1,'3a Staff Plan'!$DA$129:$DA$305,1,'3a Staff Plan'!$J$129:$J$305,$FA68)</f>
        <v>0</v>
      </c>
      <c r="J68" s="805">
        <f>SUMIFS('3a Staff Plan'!$AB$129:$AB$305,'3a Staff Plan'!$DF$129:$DF$305,1,'3a Staff Plan'!$DA$129:$DA$305,1,'3a Staff Plan'!$J$129:$J$305,$FA68)</f>
        <v>0</v>
      </c>
      <c r="K68" s="805">
        <f>SUMIFS('3a Staff Plan'!$AA$129:$AA$305,'3a Staff Plan'!$DF$129:$DF$305,1,'3a Staff Plan'!$DA$129:$DA$305,1,'3a Staff Plan'!$AG$129:$AG$305,1,'3a Staff Plan'!$J$129:$J$305,$FA68)</f>
        <v>0</v>
      </c>
      <c r="L68" s="755"/>
      <c r="M68" s="805">
        <f>SUMIFS('3b Activity Plan'!$T$173:$T$365,'3b Activity Plan'!$CY$173:$CY$365,1,'3b Activity Plan'!$CT$173:$CT$365,1,'3b Activity Plan'!$J$173:$J$365,$FA68)</f>
        <v>0</v>
      </c>
      <c r="N68" s="805">
        <f>SUMIFS('3b Activity Plan'!$U$173:$U$365,'3b Activity Plan'!$CY$173:$CY$365,1,'3b Activity Plan'!$CT$173:$CT$365,1,'3b Activity Plan'!$J$173:$J$365,$FA68)</f>
        <v>0</v>
      </c>
      <c r="O68" s="805">
        <f>SUMIFS('3b Activity Plan'!$Z$173:$Z$365,'3b Activity Plan'!$CY$173:$CY$365,1,'3b Activity Plan'!$CT$173:$CT$365,1,'3b Activity Plan'!$J$173:$J$365,$FA68)</f>
        <v>0</v>
      </c>
      <c r="P68" s="805">
        <f>SUMIFS('3b Activity Plan'!$Y$173:$Y$365,'3b Activity Plan'!$CY$173:$CY$365,1,'3b Activity Plan'!$CT$173:$CT$365,1,'3b Activity Plan'!$J$173:$J$365,$FA68)</f>
        <v>0</v>
      </c>
      <c r="Q68" s="805">
        <f>SUMIFS('3b Activity Plan'!$X$173:$X$365,'3b Activity Plan'!$CY$173:$CY$365,1,'3b Activity Plan'!$CT$173:$CT$365,1,'3b Activity Plan'!$J$173:$J$365,$FA68)</f>
        <v>0</v>
      </c>
      <c r="R68" s="805">
        <f>IF($R$24=0,0,SUMIFS('3b Activity Plan'!$W$173:$W$365,'3b Activity Plan'!$CY$173:$CY$365,1,'3b Activity Plan'!$CT$173:$CT$365,1,'3b Activity Plan'!$J$173:$J$365,$FA68))</f>
        <v>0</v>
      </c>
      <c r="S68" s="795">
        <f t="shared" si="173"/>
        <v>0</v>
      </c>
      <c r="T68" s="805">
        <f>SUMIFS('3b Activity Plan'!$V$173:$V$365,'3b Activity Plan'!$CY$173:$CY$365,1,'3b Activity Plan'!$CT$173:$CT$365,1,'3b Activity Plan'!$J$173:$J$365,$FA68)</f>
        <v>0</v>
      </c>
      <c r="U68" s="805">
        <f>SUMIFS('3b Activity Plan'!$AB$173:$AB$365,'3b Activity Plan'!$CY$173:$CY$365,1,'3b Activity Plan'!$CT$173:$CT$365,1,'3b Activity Plan'!$J$173:$J$365,$FA68)</f>
        <v>0</v>
      </c>
      <c r="V68" s="805">
        <f>SUMIFS('3b Activity Plan'!$AA$173:$AA$365,'3b Activity Plan'!$CY$173:$CY$365,1,'3b Activity Plan'!$CT$173:$CT$365,1,'3b Activity Plan'!$J$173:$J$365,$FA68)</f>
        <v>0</v>
      </c>
      <c r="W68" s="755"/>
      <c r="X68" s="2641">
        <f>SUMIFS('3b Activity Plan'!$FU$173:$FU$365,'3b Activity Plan'!$J$173:$J$365,$FA68)</f>
        <v>0</v>
      </c>
      <c r="Y68" s="2641">
        <f>SUMIFS('3b Activity Plan'!$FW$173:$FW$365,'3b Activity Plan'!$J$173:$J$365,$FA68)</f>
        <v>0</v>
      </c>
      <c r="Z68" s="2639">
        <f t="shared" si="132"/>
        <v>0</v>
      </c>
      <c r="AA68" s="755"/>
      <c r="AB68" s="761">
        <f>_xlfn.MINIFS('3a Staff Plan'!$EB$129:$EB$304,'3a Staff Plan'!$DF$129:$DF$304,1,'3a Staff Plan'!$J$129:$J$304,FA68)</f>
        <v>0</v>
      </c>
      <c r="AC68" s="761">
        <f>_xlfn.MAXIFS('3a Staff Plan'!$EC$129:$EC$304,'3a Staff Plan'!$DF$129:$DF$304,1,'3a Staff Plan'!$J$129:$J$304,FA68)</f>
        <v>0</v>
      </c>
      <c r="AD68" s="755"/>
      <c r="AE68" s="761">
        <f>_xlfn.MINIFS('3b Activity Plan'!$GN$173:$GN$365,'3b Activity Plan'!$CY$173:$CY$365,1,'3b Activity Plan'!$J$173:$J$365,$FA68)</f>
        <v>0</v>
      </c>
      <c r="AF68" s="761">
        <f>_xlfn.MAXIFS('3b Activity Plan'!$GO$173:$GO$365,'3b Activity Plan'!$CY$173:$CY$365,1,'3b Activity Plan'!$J$173:$J$365,$FA68)</f>
        <v>0</v>
      </c>
      <c r="AG68" s="755"/>
      <c r="AH68" s="761">
        <f t="shared" si="174"/>
        <v>0</v>
      </c>
      <c r="AI68" s="761">
        <f t="shared" si="175"/>
        <v>0</v>
      </c>
      <c r="AJ68" s="755"/>
      <c r="AK68" s="761">
        <f t="shared" si="176"/>
        <v>0</v>
      </c>
      <c r="AL68" s="761">
        <f t="shared" si="177"/>
        <v>0</v>
      </c>
      <c r="AM68" s="776">
        <f t="shared" si="178"/>
        <v>0</v>
      </c>
      <c r="AN68" s="755"/>
      <c r="AO68" s="748">
        <f t="shared" si="179"/>
        <v>0</v>
      </c>
      <c r="AP68" s="748">
        <f t="shared" si="180"/>
        <v>0</v>
      </c>
      <c r="AQ68" s="748">
        <f t="shared" si="181"/>
        <v>0</v>
      </c>
      <c r="AR68" s="748">
        <f t="shared" si="182"/>
        <v>0</v>
      </c>
      <c r="AS68" s="748">
        <f t="shared" si="183"/>
        <v>0</v>
      </c>
      <c r="AT68" s="748">
        <f t="shared" si="184"/>
        <v>0</v>
      </c>
      <c r="AU68" s="748">
        <f t="shared" si="185"/>
        <v>0</v>
      </c>
      <c r="AV68" s="748">
        <f>IFERROR(INDEX('IPCS Data'!$R$8:$R$109,MATCH(EJ68,'IPCS Data'!$O$8:$O$109,0)),0)</f>
        <v>0</v>
      </c>
      <c r="AW68" s="755"/>
      <c r="AX68" s="499">
        <f>IFERROR(INDEX('IPCS Data'!$P$18:$P$110,MATCH(EK68,'IPCS Data'!$Q$18:$Q$110,0)),0)</f>
        <v>0</v>
      </c>
      <c r="AY68" s="1950" t="str">
        <f t="shared" si="110"/>
        <v/>
      </c>
      <c r="AZ68" s="755"/>
      <c r="BA68" s="753" t="str">
        <f>IFERROR(IF(MATCH(EJ68,'IPCS Data'!$O$8:$O$110,0)&gt;=25,"L","N"),"N")</f>
        <v>N</v>
      </c>
      <c r="BB68" s="774"/>
      <c r="BC68" s="753" t="str">
        <f t="shared" si="111"/>
        <v>N</v>
      </c>
      <c r="BD68" s="753" t="str">
        <f t="shared" si="39"/>
        <v>Non-Labor</v>
      </c>
      <c r="BE68" s="755"/>
      <c r="BF68" s="753" t="str">
        <f t="shared" si="112"/>
        <v>B23672.05</v>
      </c>
      <c r="BG68" s="753" t="str">
        <f t="shared" si="229"/>
        <v>0.0.0</v>
      </c>
      <c r="BH68" s="753">
        <f t="shared" si="187"/>
        <v>0</v>
      </c>
      <c r="BI68" s="753">
        <f t="shared" si="145"/>
        <v>0</v>
      </c>
      <c r="BJ68" s="753">
        <f t="shared" si="113"/>
        <v>0</v>
      </c>
      <c r="BK68" s="753">
        <f t="shared" si="40"/>
        <v>0</v>
      </c>
      <c r="BL68" s="753" t="b">
        <f t="shared" si="131"/>
        <v>1</v>
      </c>
      <c r="BM68" s="755"/>
      <c r="BN68" s="719">
        <f t="shared" si="188"/>
        <v>0</v>
      </c>
      <c r="BO68" s="719">
        <f t="shared" si="189"/>
        <v>110</v>
      </c>
      <c r="BP68" s="755"/>
      <c r="BQ68" s="719">
        <f>IF(AND((COUNTIFS('3a Staff Plan'!$J$129:$J$305,FA68)*$B$22)+(COUNTIFS('3b Activity Plan'!$J$173:$J$365,FA68)*$M$22)=0,FB68&gt;0),1,0)</f>
        <v>0</v>
      </c>
      <c r="BR68" s="719">
        <f t="shared" si="114"/>
        <v>0</v>
      </c>
      <c r="BS68" s="719">
        <f t="shared" si="190"/>
        <v>0</v>
      </c>
      <c r="BT68" s="719">
        <f t="shared" si="191"/>
        <v>0</v>
      </c>
      <c r="BU68" s="719">
        <f t="shared" si="192"/>
        <v>0</v>
      </c>
      <c r="BV68" s="719">
        <f t="shared" si="193"/>
        <v>0</v>
      </c>
      <c r="BW68" s="719">
        <f t="shared" si="194"/>
        <v>0</v>
      </c>
      <c r="BX68" s="719">
        <f t="shared" si="195"/>
        <v>0</v>
      </c>
      <c r="BY68" s="719">
        <f t="shared" si="196"/>
        <v>0</v>
      </c>
      <c r="BZ68" s="719">
        <f t="shared" si="115"/>
        <v>0</v>
      </c>
      <c r="CA68" s="719">
        <f t="shared" si="116"/>
        <v>0</v>
      </c>
      <c r="CB68" s="719">
        <f t="shared" si="197"/>
        <v>0</v>
      </c>
      <c r="CC68" s="719"/>
      <c r="CD68" s="719"/>
      <c r="CE68" s="719">
        <f t="shared" si="198"/>
        <v>0</v>
      </c>
      <c r="CF68" s="719">
        <f t="shared" si="117"/>
        <v>0</v>
      </c>
      <c r="CG68" s="719">
        <f t="shared" si="118"/>
        <v>0</v>
      </c>
      <c r="CH68" s="719">
        <f t="shared" si="119"/>
        <v>0</v>
      </c>
      <c r="CI68" s="719">
        <f t="shared" si="120"/>
        <v>0</v>
      </c>
      <c r="CJ68" s="719">
        <f t="shared" si="121"/>
        <v>0</v>
      </c>
      <c r="CK68" s="719">
        <f t="shared" si="122"/>
        <v>0</v>
      </c>
      <c r="CL68" s="719">
        <f t="shared" si="123"/>
        <v>0</v>
      </c>
      <c r="CM68" s="719">
        <f t="shared" si="124"/>
        <v>0</v>
      </c>
      <c r="CN68" s="719">
        <f t="shared" si="125"/>
        <v>0</v>
      </c>
      <c r="CO68" s="719">
        <f t="shared" si="42"/>
        <v>0</v>
      </c>
      <c r="CP68" s="719">
        <f t="shared" si="78"/>
        <v>0</v>
      </c>
      <c r="CQ68" s="719">
        <f t="shared" si="126"/>
        <v>35</v>
      </c>
      <c r="CR68" s="719">
        <f t="shared" si="127"/>
        <v>0</v>
      </c>
      <c r="CS68" s="2526"/>
      <c r="CT68" s="2527">
        <f t="shared" si="128"/>
        <v>40</v>
      </c>
      <c r="CU68" s="2527">
        <f t="shared" si="146"/>
        <v>0</v>
      </c>
      <c r="CV68" s="2527">
        <f t="shared" si="147"/>
        <v>0</v>
      </c>
      <c r="CW68" s="2527">
        <f t="shared" si="43"/>
        <v>0</v>
      </c>
      <c r="CX68" s="755"/>
      <c r="CY68" s="2537"/>
      <c r="CZ68" s="499">
        <f t="shared" si="169"/>
        <v>0</v>
      </c>
      <c r="DA68" s="1107">
        <f t="shared" si="170"/>
        <v>0</v>
      </c>
      <c r="DB68" s="2537"/>
      <c r="DC68" s="499">
        <f t="shared" si="200"/>
        <v>0</v>
      </c>
      <c r="DD68" s="1107">
        <f t="shared" si="201"/>
        <v>0</v>
      </c>
      <c r="DE68" s="2537"/>
      <c r="DF68" s="499">
        <f t="shared" si="202"/>
        <v>0</v>
      </c>
      <c r="DG68" s="1107">
        <f t="shared" si="203"/>
        <v>0</v>
      </c>
      <c r="DH68" s="2537"/>
      <c r="DI68" s="499">
        <f t="shared" si="204"/>
        <v>0</v>
      </c>
      <c r="DJ68" s="1107">
        <f t="shared" si="205"/>
        <v>0</v>
      </c>
      <c r="DK68" s="2537"/>
      <c r="DL68" s="499">
        <f t="shared" si="206"/>
        <v>0</v>
      </c>
      <c r="DM68" s="1107">
        <f t="shared" si="207"/>
        <v>0</v>
      </c>
      <c r="DN68" s="2537"/>
      <c r="DO68" s="499">
        <f t="shared" si="208"/>
        <v>0</v>
      </c>
      <c r="DP68" s="1107">
        <f t="shared" si="209"/>
        <v>0</v>
      </c>
      <c r="DQ68" s="2537"/>
      <c r="DR68" s="2559"/>
      <c r="DS68" s="499">
        <f t="shared" si="148"/>
        <v>0</v>
      </c>
      <c r="DT68" s="1106">
        <f t="shared" si="149"/>
        <v>0</v>
      </c>
      <c r="DU68" s="2537"/>
      <c r="DV68" s="2559"/>
      <c r="DW68" s="2312">
        <f t="shared" si="150"/>
        <v>0</v>
      </c>
      <c r="DX68" s="1106">
        <f t="shared" si="151"/>
        <v>0</v>
      </c>
      <c r="DY68" s="2572"/>
      <c r="DZ68" s="2537"/>
      <c r="EA68" s="2537"/>
      <c r="EB68" s="2577" t="str">
        <f t="shared" si="210"/>
        <v>05</v>
      </c>
      <c r="EC68" s="2570"/>
      <c r="ED68" s="436">
        <f>IFERROR(INDEX('IPCS Data'!$H$8:$H$30,MATCH(EE68,'IPCS Data'!$I$8:$I$30,0)),0)</f>
        <v>0</v>
      </c>
      <c r="EE68" s="437"/>
      <c r="EF68" s="2570"/>
      <c r="EG68" s="499">
        <f>IFERROR(INDEX('IPCS Data'!$L$8:$L$27,MATCH(EH68,'IPCS Data'!$M$8:$M$27,0)),0)</f>
        <v>0</v>
      </c>
      <c r="EH68" s="437"/>
      <c r="EI68" s="2578" t="s">
        <v>5</v>
      </c>
      <c r="EJ68" s="748">
        <f>IFERROR(INDEX('IPCS Data'!$O$8:$O$110,MATCH(EK68,'IPCS Data'!$Q$8:$Q$110,0)),0)</f>
        <v>0</v>
      </c>
      <c r="EK68" s="437"/>
      <c r="EL68" s="2578"/>
      <c r="EM68" s="840">
        <f t="shared" si="230"/>
        <v>0</v>
      </c>
      <c r="EN68" s="841"/>
      <c r="EO68" s="2537"/>
      <c r="EP68" s="842">
        <f t="shared" si="231"/>
        <v>0</v>
      </c>
      <c r="EQ68" s="843"/>
      <c r="ER68" s="2537"/>
      <c r="ES68" s="840">
        <f t="shared" si="232"/>
        <v>0</v>
      </c>
      <c r="ET68" s="843"/>
      <c r="EU68" s="2537"/>
      <c r="EV68" s="1497"/>
      <c r="EW68" s="1683"/>
      <c r="EX68" s="2562">
        <f t="shared" si="211"/>
        <v>35</v>
      </c>
      <c r="EY68" s="2533"/>
      <c r="EZ68" s="2561"/>
      <c r="FA68" s="1324">
        <f t="shared" si="152"/>
        <v>0</v>
      </c>
      <c r="FB68" s="2629">
        <f t="shared" si="212"/>
        <v>0</v>
      </c>
      <c r="FC68" s="274"/>
      <c r="FD68" s="2626">
        <f t="shared" si="153"/>
        <v>0</v>
      </c>
      <c r="FE68" s="2626">
        <f t="shared" si="154"/>
        <v>0</v>
      </c>
      <c r="FF68" s="274"/>
      <c r="FG68" s="2616">
        <f t="shared" si="213"/>
        <v>0</v>
      </c>
      <c r="FH68" s="2616">
        <f t="shared" si="214"/>
        <v>0</v>
      </c>
      <c r="FI68" s="2616">
        <f t="shared" si="215"/>
        <v>0</v>
      </c>
      <c r="FJ68" s="2610" t="s">
        <v>5</v>
      </c>
      <c r="FK68" s="2616">
        <f t="shared" si="216"/>
        <v>0</v>
      </c>
      <c r="FL68" s="2616">
        <f t="shared" si="217"/>
        <v>0</v>
      </c>
      <c r="FM68" s="2616">
        <f t="shared" si="218"/>
        <v>0</v>
      </c>
      <c r="FN68" s="2622">
        <f t="shared" si="219"/>
        <v>0</v>
      </c>
      <c r="FO68" s="2615">
        <f t="shared" si="220"/>
        <v>0</v>
      </c>
      <c r="FP68" s="2624">
        <f t="shared" si="221"/>
        <v>0</v>
      </c>
      <c r="FQ68" s="2622">
        <f t="shared" si="222"/>
        <v>0</v>
      </c>
      <c r="FR68" s="2624">
        <f t="shared" si="223"/>
        <v>0</v>
      </c>
      <c r="FS68" s="2611" t="s">
        <v>5</v>
      </c>
      <c r="FT68" s="2616">
        <f t="shared" si="224"/>
        <v>0</v>
      </c>
      <c r="FU68" s="2622">
        <f t="shared" si="129"/>
        <v>0</v>
      </c>
      <c r="FV68" s="2616">
        <f t="shared" si="225"/>
        <v>0</v>
      </c>
      <c r="FW68" s="2612" t="s">
        <v>5</v>
      </c>
      <c r="FX68" s="2616">
        <f t="shared" si="171"/>
        <v>0</v>
      </c>
      <c r="FY68" s="2616">
        <f t="shared" si="226"/>
        <v>0</v>
      </c>
      <c r="FZ68" s="2613" t="s">
        <v>5</v>
      </c>
      <c r="GA68" s="2616">
        <f t="shared" si="48"/>
        <v>0</v>
      </c>
      <c r="GB68" s="2619">
        <f t="shared" si="233"/>
        <v>0</v>
      </c>
      <c r="GC68" s="2620">
        <f t="shared" si="228"/>
        <v>0</v>
      </c>
      <c r="GD68" s="2614"/>
      <c r="GE68" s="3195">
        <f t="shared" si="143"/>
        <v>0</v>
      </c>
      <c r="GF68" s="3195">
        <f t="shared" si="144"/>
        <v>0</v>
      </c>
      <c r="GG68" s="3193" t="str">
        <f t="shared" si="18"/>
        <v>X</v>
      </c>
      <c r="GH68" s="2531"/>
      <c r="GI68" s="3189" t="str">
        <f t="shared" si="155"/>
        <v/>
      </c>
      <c r="GJ68" s="2598"/>
      <c r="GK68" s="3173">
        <f t="shared" si="156"/>
        <v>0</v>
      </c>
      <c r="GL68" s="3173">
        <f t="shared" si="157"/>
        <v>0</v>
      </c>
      <c r="GM68" s="3173">
        <f t="shared" si="158"/>
        <v>0</v>
      </c>
      <c r="GN68" s="3174">
        <f t="shared" si="159"/>
        <v>0</v>
      </c>
      <c r="GO68" s="3174">
        <f t="shared" si="160"/>
        <v>0</v>
      </c>
      <c r="GP68" s="3175">
        <f t="shared" si="161"/>
        <v>0</v>
      </c>
      <c r="GQ68" s="3176">
        <f t="shared" si="162"/>
        <v>0</v>
      </c>
      <c r="GR68" s="3177">
        <f t="shared" si="163"/>
        <v>0</v>
      </c>
      <c r="GS68" s="3177">
        <f t="shared" si="164"/>
        <v>0</v>
      </c>
      <c r="GT68" s="3178">
        <f t="shared" si="165"/>
        <v>0</v>
      </c>
      <c r="GU68" s="3179"/>
      <c r="GV68" s="3178">
        <f t="shared" si="166"/>
        <v>0</v>
      </c>
      <c r="GW68" s="3177">
        <f t="shared" si="167"/>
        <v>0</v>
      </c>
      <c r="GX68" s="3180"/>
      <c r="GY68" s="3177">
        <f t="shared" si="168"/>
        <v>0</v>
      </c>
      <c r="GZ68" s="2593"/>
      <c r="HA68" s="277"/>
      <c r="HB68" s="277"/>
      <c r="HC68" s="277"/>
      <c r="HD68" s="277"/>
      <c r="HE68" s="277"/>
      <c r="HF68" s="277"/>
      <c r="HG68" s="277"/>
      <c r="HH68" s="277"/>
      <c r="HI68" s="277"/>
      <c r="HJ68" s="277"/>
      <c r="HK68" s="277"/>
      <c r="HL68" s="277"/>
      <c r="HM68" s="277"/>
      <c r="HN68" s="277"/>
      <c r="HO68" s="277"/>
    </row>
    <row r="69" spans="1:223" s="272" customFormat="1" ht="18" customHeight="1" x14ac:dyDescent="0.3">
      <c r="A69" s="755"/>
      <c r="B69" s="805">
        <f>SUMIFS('3a Staff Plan'!$T$129:$T$305,'3a Staff Plan'!$DF$129:$DF$305,1,'3a Staff Plan'!$DA$129:$DA$305,1,'3a Staff Plan'!$J$129:$J$305,$FA69)</f>
        <v>0</v>
      </c>
      <c r="C69" s="805">
        <f>SUMIFS('3a Staff Plan'!$U$129:$U$305,'3a Staff Plan'!$DF$129:$DF$305,1,'3a Staff Plan'!$DA$129:$DA$305,1,'3a Staff Plan'!$J$129:$J$305,$FA69)</f>
        <v>0</v>
      </c>
      <c r="D69" s="805">
        <f>SUMIFS('3a Staff Plan'!$Z$129:$Z$305,'3a Staff Plan'!$DF$129:$DF$305,1,'3a Staff Plan'!$DA$129:$DA$305,1,'3a Staff Plan'!$J$129:$J$305,$FA69)</f>
        <v>0</v>
      </c>
      <c r="E69" s="805">
        <f>SUMIFS('3a Staff Plan'!$Y$129:$Y$305,'3a Staff Plan'!$DF$129:$DF$305,1,'3a Staff Plan'!$DA$129:$DA$305,1,'3a Staff Plan'!$J$129:$J$305,$FA69)</f>
        <v>0</v>
      </c>
      <c r="F69" s="805">
        <f>SUMIFS('3a Staff Plan'!$X$129:$X$305,'3a Staff Plan'!$DF$129:$DF$305,1,'3a Staff Plan'!$DA$129:$DA$305,1,'3a Staff Plan'!$AG$129:$AG$305,1,'3a Staff Plan'!$J$129:$J$305,$FA69)</f>
        <v>0</v>
      </c>
      <c r="G69" s="805">
        <f>IF($G$24=0,0,SUMIFS('3a Staff Plan'!$W$129:$W$305,'3a Staff Plan'!$DF$129:$DF$305,1,'3a Staff Plan'!$DA$129:$DA$305,1,'3a Staff Plan'!$J$129:$J$305,$FA69))</f>
        <v>0</v>
      </c>
      <c r="H69" s="795">
        <f t="shared" si="172"/>
        <v>0</v>
      </c>
      <c r="I69" s="805">
        <f>SUMIFS('3a Staff Plan'!$V$129:$V$305,'3a Staff Plan'!$DF$129:$DF$305,1,'3a Staff Plan'!$DA$129:$DA$305,1,'3a Staff Plan'!$J$129:$J$305,$FA69)</f>
        <v>0</v>
      </c>
      <c r="J69" s="805">
        <f>SUMIFS('3a Staff Plan'!$AB$129:$AB$305,'3a Staff Plan'!$DF$129:$DF$305,1,'3a Staff Plan'!$DA$129:$DA$305,1,'3a Staff Plan'!$J$129:$J$305,$FA69)</f>
        <v>0</v>
      </c>
      <c r="K69" s="805">
        <f>SUMIFS('3a Staff Plan'!$AA$129:$AA$305,'3a Staff Plan'!$DF$129:$DF$305,1,'3a Staff Plan'!$DA$129:$DA$305,1,'3a Staff Plan'!$AG$129:$AG$305,1,'3a Staff Plan'!$J$129:$J$305,$FA69)</f>
        <v>0</v>
      </c>
      <c r="L69" s="755"/>
      <c r="M69" s="805">
        <f>SUMIFS('3b Activity Plan'!$T$173:$T$365,'3b Activity Plan'!$CY$173:$CY$365,1,'3b Activity Plan'!$CT$173:$CT$365,1,'3b Activity Plan'!$J$173:$J$365,$FA69)</f>
        <v>0</v>
      </c>
      <c r="N69" s="805">
        <f>SUMIFS('3b Activity Plan'!$U$173:$U$365,'3b Activity Plan'!$CY$173:$CY$365,1,'3b Activity Plan'!$CT$173:$CT$365,1,'3b Activity Plan'!$J$173:$J$365,$FA69)</f>
        <v>0</v>
      </c>
      <c r="O69" s="805">
        <f>SUMIFS('3b Activity Plan'!$Z$173:$Z$365,'3b Activity Plan'!$CY$173:$CY$365,1,'3b Activity Plan'!$CT$173:$CT$365,1,'3b Activity Plan'!$J$173:$J$365,$FA69)</f>
        <v>0</v>
      </c>
      <c r="P69" s="805">
        <f>SUMIFS('3b Activity Plan'!$Y$173:$Y$365,'3b Activity Plan'!$CY$173:$CY$365,1,'3b Activity Plan'!$CT$173:$CT$365,1,'3b Activity Plan'!$J$173:$J$365,$FA69)</f>
        <v>0</v>
      </c>
      <c r="Q69" s="805">
        <f>SUMIFS('3b Activity Plan'!$X$173:$X$365,'3b Activity Plan'!$CY$173:$CY$365,1,'3b Activity Plan'!$CT$173:$CT$365,1,'3b Activity Plan'!$J$173:$J$365,$FA69)</f>
        <v>0</v>
      </c>
      <c r="R69" s="805">
        <f>IF($R$24=0,0,SUMIFS('3b Activity Plan'!$W$173:$W$365,'3b Activity Plan'!$CY$173:$CY$365,1,'3b Activity Plan'!$CT$173:$CT$365,1,'3b Activity Plan'!$J$173:$J$365,$FA69))</f>
        <v>0</v>
      </c>
      <c r="S69" s="795">
        <f t="shared" si="173"/>
        <v>0</v>
      </c>
      <c r="T69" s="805">
        <f>SUMIFS('3b Activity Plan'!$V$173:$V$365,'3b Activity Plan'!$CY$173:$CY$365,1,'3b Activity Plan'!$CT$173:$CT$365,1,'3b Activity Plan'!$J$173:$J$365,$FA69)</f>
        <v>0</v>
      </c>
      <c r="U69" s="805">
        <f>SUMIFS('3b Activity Plan'!$AB$173:$AB$365,'3b Activity Plan'!$CY$173:$CY$365,1,'3b Activity Plan'!$CT$173:$CT$365,1,'3b Activity Plan'!$J$173:$J$365,$FA69)</f>
        <v>0</v>
      </c>
      <c r="V69" s="805">
        <f>SUMIFS('3b Activity Plan'!$AA$173:$AA$365,'3b Activity Plan'!$CY$173:$CY$365,1,'3b Activity Plan'!$CT$173:$CT$365,1,'3b Activity Plan'!$J$173:$J$365,$FA69)</f>
        <v>0</v>
      </c>
      <c r="W69" s="755"/>
      <c r="X69" s="2641">
        <f>SUMIFS('3b Activity Plan'!$FU$173:$FU$365,'3b Activity Plan'!$J$173:$J$365,$FA69)</f>
        <v>0</v>
      </c>
      <c r="Y69" s="2641">
        <f>SUMIFS('3b Activity Plan'!$FW$173:$FW$365,'3b Activity Plan'!$J$173:$J$365,$FA69)</f>
        <v>0</v>
      </c>
      <c r="Z69" s="2639">
        <f t="shared" si="132"/>
        <v>0</v>
      </c>
      <c r="AA69" s="755"/>
      <c r="AB69" s="761">
        <f>_xlfn.MINIFS('3a Staff Plan'!$EB$129:$EB$304,'3a Staff Plan'!$DF$129:$DF$304,1,'3a Staff Plan'!$J$129:$J$304,FA69)</f>
        <v>0</v>
      </c>
      <c r="AC69" s="761">
        <f>_xlfn.MAXIFS('3a Staff Plan'!$EC$129:$EC$304,'3a Staff Plan'!$DF$129:$DF$304,1,'3a Staff Plan'!$J$129:$J$304,FA69)</f>
        <v>0</v>
      </c>
      <c r="AD69" s="755"/>
      <c r="AE69" s="761">
        <f>_xlfn.MINIFS('3b Activity Plan'!$GN$173:$GN$365,'3b Activity Plan'!$CY$173:$CY$365,1,'3b Activity Plan'!$J$173:$J$365,$FA69)</f>
        <v>0</v>
      </c>
      <c r="AF69" s="761">
        <f>_xlfn.MAXIFS('3b Activity Plan'!$GO$173:$GO$365,'3b Activity Plan'!$CY$173:$CY$365,1,'3b Activity Plan'!$J$173:$J$365,$FA69)</f>
        <v>0</v>
      </c>
      <c r="AG69" s="755"/>
      <c r="AH69" s="761">
        <f t="shared" si="174"/>
        <v>0</v>
      </c>
      <c r="AI69" s="761">
        <f t="shared" si="175"/>
        <v>0</v>
      </c>
      <c r="AJ69" s="755"/>
      <c r="AK69" s="761">
        <f t="shared" si="176"/>
        <v>0</v>
      </c>
      <c r="AL69" s="761">
        <f t="shared" si="177"/>
        <v>0</v>
      </c>
      <c r="AM69" s="776">
        <f t="shared" si="178"/>
        <v>0</v>
      </c>
      <c r="AN69" s="755"/>
      <c r="AO69" s="748">
        <f t="shared" si="179"/>
        <v>0</v>
      </c>
      <c r="AP69" s="748">
        <f t="shared" si="180"/>
        <v>0</v>
      </c>
      <c r="AQ69" s="748">
        <f t="shared" si="181"/>
        <v>0</v>
      </c>
      <c r="AR69" s="748">
        <f t="shared" si="182"/>
        <v>0</v>
      </c>
      <c r="AS69" s="748">
        <f t="shared" si="183"/>
        <v>0</v>
      </c>
      <c r="AT69" s="748">
        <f t="shared" si="184"/>
        <v>0</v>
      </c>
      <c r="AU69" s="748">
        <f t="shared" si="185"/>
        <v>0</v>
      </c>
      <c r="AV69" s="748">
        <f>IFERROR(INDEX('IPCS Data'!$R$8:$R$109,MATCH(EJ69,'IPCS Data'!$O$8:$O$109,0)),0)</f>
        <v>0</v>
      </c>
      <c r="AW69" s="755"/>
      <c r="AX69" s="499">
        <f>IFERROR(INDEX('IPCS Data'!$P$18:$P$110,MATCH(EK69,'IPCS Data'!$Q$18:$Q$110,0)),0)</f>
        <v>0</v>
      </c>
      <c r="AY69" s="1950" t="str">
        <f t="shared" si="110"/>
        <v/>
      </c>
      <c r="AZ69" s="755"/>
      <c r="BA69" s="753" t="str">
        <f>IFERROR(IF(MATCH(EJ69,'IPCS Data'!$O$8:$O$110,0)&gt;=25,"L","N"),"N")</f>
        <v>N</v>
      </c>
      <c r="BB69" s="774"/>
      <c r="BC69" s="753" t="str">
        <f t="shared" si="111"/>
        <v>N</v>
      </c>
      <c r="BD69" s="753" t="str">
        <f t="shared" si="39"/>
        <v>Non-Labor</v>
      </c>
      <c r="BE69" s="755"/>
      <c r="BF69" s="753" t="str">
        <f t="shared" si="112"/>
        <v>B23672.05</v>
      </c>
      <c r="BG69" s="753" t="str">
        <f t="shared" si="229"/>
        <v>0.0.0</v>
      </c>
      <c r="BH69" s="753">
        <f t="shared" si="187"/>
        <v>0</v>
      </c>
      <c r="BI69" s="753">
        <f t="shared" si="145"/>
        <v>0</v>
      </c>
      <c r="BJ69" s="753">
        <f t="shared" si="113"/>
        <v>0</v>
      </c>
      <c r="BK69" s="753">
        <f t="shared" si="40"/>
        <v>0</v>
      </c>
      <c r="BL69" s="753" t="b">
        <f t="shared" si="131"/>
        <v>1</v>
      </c>
      <c r="BM69" s="755"/>
      <c r="BN69" s="719">
        <f t="shared" si="188"/>
        <v>0</v>
      </c>
      <c r="BO69" s="719">
        <f t="shared" si="189"/>
        <v>110</v>
      </c>
      <c r="BP69" s="755"/>
      <c r="BQ69" s="719">
        <f>IF(AND((COUNTIFS('3a Staff Plan'!$J$129:$J$305,FA69)*$B$22)+(COUNTIFS('3b Activity Plan'!$J$173:$J$365,FA69)*$M$22)=0,FB69&gt;0),1,0)</f>
        <v>0</v>
      </c>
      <c r="BR69" s="719">
        <f t="shared" si="114"/>
        <v>0</v>
      </c>
      <c r="BS69" s="719">
        <f t="shared" si="190"/>
        <v>0</v>
      </c>
      <c r="BT69" s="719">
        <f t="shared" si="191"/>
        <v>0</v>
      </c>
      <c r="BU69" s="719">
        <f t="shared" si="192"/>
        <v>0</v>
      </c>
      <c r="BV69" s="719">
        <f t="shared" si="193"/>
        <v>0</v>
      </c>
      <c r="BW69" s="719">
        <f t="shared" si="194"/>
        <v>0</v>
      </c>
      <c r="BX69" s="719">
        <f t="shared" si="195"/>
        <v>0</v>
      </c>
      <c r="BY69" s="719">
        <f t="shared" si="196"/>
        <v>0</v>
      </c>
      <c r="BZ69" s="719">
        <f t="shared" si="115"/>
        <v>0</v>
      </c>
      <c r="CA69" s="719">
        <f t="shared" si="116"/>
        <v>0</v>
      </c>
      <c r="CB69" s="719">
        <f t="shared" si="197"/>
        <v>0</v>
      </c>
      <c r="CC69" s="719"/>
      <c r="CD69" s="719"/>
      <c r="CE69" s="719">
        <f t="shared" si="198"/>
        <v>0</v>
      </c>
      <c r="CF69" s="719">
        <f t="shared" si="117"/>
        <v>0</v>
      </c>
      <c r="CG69" s="719">
        <f t="shared" si="118"/>
        <v>0</v>
      </c>
      <c r="CH69" s="719">
        <f t="shared" si="119"/>
        <v>0</v>
      </c>
      <c r="CI69" s="719">
        <f t="shared" si="120"/>
        <v>0</v>
      </c>
      <c r="CJ69" s="719">
        <f t="shared" si="121"/>
        <v>0</v>
      </c>
      <c r="CK69" s="719">
        <f t="shared" si="122"/>
        <v>0</v>
      </c>
      <c r="CL69" s="719">
        <f t="shared" si="123"/>
        <v>0</v>
      </c>
      <c r="CM69" s="719">
        <f t="shared" si="124"/>
        <v>0</v>
      </c>
      <c r="CN69" s="719">
        <f t="shared" si="125"/>
        <v>0</v>
      </c>
      <c r="CO69" s="719">
        <f t="shared" si="42"/>
        <v>0</v>
      </c>
      <c r="CP69" s="719">
        <f t="shared" si="78"/>
        <v>0</v>
      </c>
      <c r="CQ69" s="719">
        <f t="shared" si="126"/>
        <v>36</v>
      </c>
      <c r="CR69" s="719">
        <f t="shared" si="127"/>
        <v>0</v>
      </c>
      <c r="CS69" s="2526"/>
      <c r="CT69" s="2527">
        <f t="shared" si="128"/>
        <v>41</v>
      </c>
      <c r="CU69" s="2527">
        <f t="shared" si="146"/>
        <v>0</v>
      </c>
      <c r="CV69" s="2527">
        <f t="shared" si="147"/>
        <v>0</v>
      </c>
      <c r="CW69" s="2527">
        <f t="shared" si="43"/>
        <v>0</v>
      </c>
      <c r="CX69" s="755"/>
      <c r="CY69" s="2537"/>
      <c r="CZ69" s="499">
        <f t="shared" si="169"/>
        <v>0</v>
      </c>
      <c r="DA69" s="1107">
        <f t="shared" si="170"/>
        <v>0</v>
      </c>
      <c r="DB69" s="2537"/>
      <c r="DC69" s="499">
        <f t="shared" si="200"/>
        <v>0</v>
      </c>
      <c r="DD69" s="1107">
        <f t="shared" si="201"/>
        <v>0</v>
      </c>
      <c r="DE69" s="2537"/>
      <c r="DF69" s="499">
        <f t="shared" si="202"/>
        <v>0</v>
      </c>
      <c r="DG69" s="1107">
        <f t="shared" si="203"/>
        <v>0</v>
      </c>
      <c r="DH69" s="2537"/>
      <c r="DI69" s="499">
        <f t="shared" si="204"/>
        <v>0</v>
      </c>
      <c r="DJ69" s="1107">
        <f t="shared" si="205"/>
        <v>0</v>
      </c>
      <c r="DK69" s="2537"/>
      <c r="DL69" s="499">
        <f t="shared" si="206"/>
        <v>0</v>
      </c>
      <c r="DM69" s="1107">
        <f t="shared" si="207"/>
        <v>0</v>
      </c>
      <c r="DN69" s="2537"/>
      <c r="DO69" s="499">
        <f t="shared" si="208"/>
        <v>0</v>
      </c>
      <c r="DP69" s="1107">
        <f t="shared" si="209"/>
        <v>0</v>
      </c>
      <c r="DQ69" s="2537"/>
      <c r="DR69" s="2559"/>
      <c r="DS69" s="499">
        <f t="shared" si="148"/>
        <v>0</v>
      </c>
      <c r="DT69" s="1106">
        <f t="shared" si="149"/>
        <v>0</v>
      </c>
      <c r="DU69" s="2537"/>
      <c r="DV69" s="2559"/>
      <c r="DW69" s="2312">
        <f t="shared" si="150"/>
        <v>0</v>
      </c>
      <c r="DX69" s="1106">
        <f t="shared" si="151"/>
        <v>0</v>
      </c>
      <c r="DY69" s="2572"/>
      <c r="DZ69" s="2537"/>
      <c r="EA69" s="2537"/>
      <c r="EB69" s="2577" t="str">
        <f t="shared" si="210"/>
        <v>05</v>
      </c>
      <c r="EC69" s="2570"/>
      <c r="ED69" s="436">
        <f>IFERROR(INDEX('IPCS Data'!$H$8:$H$30,MATCH(EE69,'IPCS Data'!$I$8:$I$30,0)),0)</f>
        <v>0</v>
      </c>
      <c r="EE69" s="437"/>
      <c r="EF69" s="2570"/>
      <c r="EG69" s="499">
        <f>IFERROR(INDEX('IPCS Data'!$L$8:$L$27,MATCH(EH69,'IPCS Data'!$M$8:$M$27,0)),0)</f>
        <v>0</v>
      </c>
      <c r="EH69" s="437"/>
      <c r="EI69" s="2578" t="s">
        <v>5</v>
      </c>
      <c r="EJ69" s="748">
        <f>IFERROR(INDEX('IPCS Data'!$O$8:$O$110,MATCH(EK69,'IPCS Data'!$Q$8:$Q$110,0)),0)</f>
        <v>0</v>
      </c>
      <c r="EK69" s="437"/>
      <c r="EL69" s="2578"/>
      <c r="EM69" s="840">
        <f t="shared" si="230"/>
        <v>0</v>
      </c>
      <c r="EN69" s="841"/>
      <c r="EO69" s="2537"/>
      <c r="EP69" s="842">
        <f t="shared" si="231"/>
        <v>0</v>
      </c>
      <c r="EQ69" s="843"/>
      <c r="ER69" s="2537"/>
      <c r="ES69" s="840">
        <f t="shared" si="232"/>
        <v>0</v>
      </c>
      <c r="ET69" s="843"/>
      <c r="EU69" s="2537"/>
      <c r="EV69" s="1497"/>
      <c r="EW69" s="1683"/>
      <c r="EX69" s="2562">
        <f t="shared" si="211"/>
        <v>36</v>
      </c>
      <c r="EY69" s="2533"/>
      <c r="EZ69" s="2561"/>
      <c r="FA69" s="1324">
        <f t="shared" si="152"/>
        <v>0</v>
      </c>
      <c r="FB69" s="2629">
        <f t="shared" si="212"/>
        <v>0</v>
      </c>
      <c r="FC69" s="274"/>
      <c r="FD69" s="2626">
        <f t="shared" si="153"/>
        <v>0</v>
      </c>
      <c r="FE69" s="2626">
        <f t="shared" si="154"/>
        <v>0</v>
      </c>
      <c r="FF69" s="274"/>
      <c r="FG69" s="2616">
        <f t="shared" si="213"/>
        <v>0</v>
      </c>
      <c r="FH69" s="2616">
        <f t="shared" si="214"/>
        <v>0</v>
      </c>
      <c r="FI69" s="2616">
        <f t="shared" si="215"/>
        <v>0</v>
      </c>
      <c r="FJ69" s="2610" t="s">
        <v>5</v>
      </c>
      <c r="FK69" s="2616">
        <f t="shared" si="216"/>
        <v>0</v>
      </c>
      <c r="FL69" s="2616">
        <f t="shared" si="217"/>
        <v>0</v>
      </c>
      <c r="FM69" s="2616">
        <f t="shared" si="218"/>
        <v>0</v>
      </c>
      <c r="FN69" s="2622">
        <f t="shared" si="219"/>
        <v>0</v>
      </c>
      <c r="FO69" s="2615">
        <f t="shared" si="220"/>
        <v>0</v>
      </c>
      <c r="FP69" s="2624">
        <f t="shared" si="221"/>
        <v>0</v>
      </c>
      <c r="FQ69" s="2622">
        <f t="shared" si="222"/>
        <v>0</v>
      </c>
      <c r="FR69" s="2624">
        <f t="shared" si="223"/>
        <v>0</v>
      </c>
      <c r="FS69" s="2611" t="s">
        <v>5</v>
      </c>
      <c r="FT69" s="2616">
        <f t="shared" si="224"/>
        <v>0</v>
      </c>
      <c r="FU69" s="2622">
        <f t="shared" si="129"/>
        <v>0</v>
      </c>
      <c r="FV69" s="2616">
        <f t="shared" si="225"/>
        <v>0</v>
      </c>
      <c r="FW69" s="2612" t="s">
        <v>5</v>
      </c>
      <c r="FX69" s="2616">
        <f t="shared" si="171"/>
        <v>0</v>
      </c>
      <c r="FY69" s="2616">
        <f t="shared" si="226"/>
        <v>0</v>
      </c>
      <c r="FZ69" s="2613" t="s">
        <v>5</v>
      </c>
      <c r="GA69" s="2616">
        <f t="shared" si="48"/>
        <v>0</v>
      </c>
      <c r="GB69" s="2619">
        <f t="shared" si="233"/>
        <v>0</v>
      </c>
      <c r="GC69" s="2620">
        <f t="shared" si="228"/>
        <v>0</v>
      </c>
      <c r="GD69" s="2614"/>
      <c r="GE69" s="3195">
        <f t="shared" si="143"/>
        <v>0</v>
      </c>
      <c r="GF69" s="3195">
        <f t="shared" si="144"/>
        <v>0</v>
      </c>
      <c r="GG69" s="3193" t="str">
        <f t="shared" si="18"/>
        <v>X</v>
      </c>
      <c r="GH69" s="2531"/>
      <c r="GI69" s="3189" t="str">
        <f t="shared" si="155"/>
        <v/>
      </c>
      <c r="GJ69" s="2598"/>
      <c r="GK69" s="3173">
        <f t="shared" si="156"/>
        <v>0</v>
      </c>
      <c r="GL69" s="3173">
        <f t="shared" si="157"/>
        <v>0</v>
      </c>
      <c r="GM69" s="3173">
        <f t="shared" si="158"/>
        <v>0</v>
      </c>
      <c r="GN69" s="3174">
        <f t="shared" si="159"/>
        <v>0</v>
      </c>
      <c r="GO69" s="3174">
        <f t="shared" si="160"/>
        <v>0</v>
      </c>
      <c r="GP69" s="3175">
        <f t="shared" si="161"/>
        <v>0</v>
      </c>
      <c r="GQ69" s="3176">
        <f t="shared" si="162"/>
        <v>0</v>
      </c>
      <c r="GR69" s="3177">
        <f t="shared" si="163"/>
        <v>0</v>
      </c>
      <c r="GS69" s="3177">
        <f t="shared" si="164"/>
        <v>0</v>
      </c>
      <c r="GT69" s="3178">
        <f t="shared" si="165"/>
        <v>0</v>
      </c>
      <c r="GU69" s="3179"/>
      <c r="GV69" s="3178">
        <f t="shared" si="166"/>
        <v>0</v>
      </c>
      <c r="GW69" s="3177">
        <f t="shared" si="167"/>
        <v>0</v>
      </c>
      <c r="GX69" s="3180"/>
      <c r="GY69" s="3177">
        <f t="shared" si="168"/>
        <v>0</v>
      </c>
      <c r="GZ69" s="2593"/>
      <c r="HA69" s="277"/>
      <c r="HB69" s="277"/>
      <c r="HC69" s="277"/>
      <c r="HD69" s="277"/>
      <c r="HE69" s="277"/>
      <c r="HF69" s="277"/>
      <c r="HG69" s="277"/>
      <c r="HH69" s="277"/>
      <c r="HI69" s="277"/>
      <c r="HJ69" s="277"/>
      <c r="HK69" s="277"/>
      <c r="HL69" s="277"/>
      <c r="HM69" s="277"/>
      <c r="HN69" s="277"/>
      <c r="HO69" s="277"/>
    </row>
    <row r="70" spans="1:223" s="272" customFormat="1" ht="18" customHeight="1" x14ac:dyDescent="0.3">
      <c r="A70" s="755"/>
      <c r="B70" s="805">
        <f>SUMIFS('3a Staff Plan'!$T$129:$T$305,'3a Staff Plan'!$DF$129:$DF$305,1,'3a Staff Plan'!$DA$129:$DA$305,1,'3a Staff Plan'!$J$129:$J$305,$FA70)</f>
        <v>0</v>
      </c>
      <c r="C70" s="805">
        <f>SUMIFS('3a Staff Plan'!$U$129:$U$305,'3a Staff Plan'!$DF$129:$DF$305,1,'3a Staff Plan'!$DA$129:$DA$305,1,'3a Staff Plan'!$J$129:$J$305,$FA70)</f>
        <v>0</v>
      </c>
      <c r="D70" s="805">
        <f>SUMIFS('3a Staff Plan'!$Z$129:$Z$305,'3a Staff Plan'!$DF$129:$DF$305,1,'3a Staff Plan'!$DA$129:$DA$305,1,'3a Staff Plan'!$J$129:$J$305,$FA70)</f>
        <v>0</v>
      </c>
      <c r="E70" s="805">
        <f>SUMIFS('3a Staff Plan'!$Y$129:$Y$305,'3a Staff Plan'!$DF$129:$DF$305,1,'3a Staff Plan'!$DA$129:$DA$305,1,'3a Staff Plan'!$J$129:$J$305,$FA70)</f>
        <v>0</v>
      </c>
      <c r="F70" s="805">
        <f>SUMIFS('3a Staff Plan'!$X$129:$X$305,'3a Staff Plan'!$DF$129:$DF$305,1,'3a Staff Plan'!$DA$129:$DA$305,1,'3a Staff Plan'!$AG$129:$AG$305,1,'3a Staff Plan'!$J$129:$J$305,$FA70)</f>
        <v>0</v>
      </c>
      <c r="G70" s="805">
        <f>IF($G$24=0,0,SUMIFS('3a Staff Plan'!$W$129:$W$305,'3a Staff Plan'!$DF$129:$DF$305,1,'3a Staff Plan'!$DA$129:$DA$305,1,'3a Staff Plan'!$J$129:$J$305,$FA70))</f>
        <v>0</v>
      </c>
      <c r="H70" s="795">
        <f t="shared" si="172"/>
        <v>0</v>
      </c>
      <c r="I70" s="805">
        <f>SUMIFS('3a Staff Plan'!$V$129:$V$305,'3a Staff Plan'!$DF$129:$DF$305,1,'3a Staff Plan'!$DA$129:$DA$305,1,'3a Staff Plan'!$J$129:$J$305,$FA70)</f>
        <v>0</v>
      </c>
      <c r="J70" s="805">
        <f>SUMIFS('3a Staff Plan'!$AB$129:$AB$305,'3a Staff Plan'!$DF$129:$DF$305,1,'3a Staff Plan'!$DA$129:$DA$305,1,'3a Staff Plan'!$J$129:$J$305,$FA70)</f>
        <v>0</v>
      </c>
      <c r="K70" s="805">
        <f>SUMIFS('3a Staff Plan'!$AA$129:$AA$305,'3a Staff Plan'!$DF$129:$DF$305,1,'3a Staff Plan'!$DA$129:$DA$305,1,'3a Staff Plan'!$AG$129:$AG$305,1,'3a Staff Plan'!$J$129:$J$305,$FA70)</f>
        <v>0</v>
      </c>
      <c r="L70" s="755"/>
      <c r="M70" s="805">
        <f>SUMIFS('3b Activity Plan'!$T$173:$T$365,'3b Activity Plan'!$CY$173:$CY$365,1,'3b Activity Plan'!$CT$173:$CT$365,1,'3b Activity Plan'!$J$173:$J$365,$FA70)</f>
        <v>0</v>
      </c>
      <c r="N70" s="805">
        <f>SUMIFS('3b Activity Plan'!$U$173:$U$365,'3b Activity Plan'!$CY$173:$CY$365,1,'3b Activity Plan'!$CT$173:$CT$365,1,'3b Activity Plan'!$J$173:$J$365,$FA70)</f>
        <v>0</v>
      </c>
      <c r="O70" s="805">
        <f>SUMIFS('3b Activity Plan'!$Z$173:$Z$365,'3b Activity Plan'!$CY$173:$CY$365,1,'3b Activity Plan'!$CT$173:$CT$365,1,'3b Activity Plan'!$J$173:$J$365,$FA70)</f>
        <v>0</v>
      </c>
      <c r="P70" s="805">
        <f>SUMIFS('3b Activity Plan'!$Y$173:$Y$365,'3b Activity Plan'!$CY$173:$CY$365,1,'3b Activity Plan'!$CT$173:$CT$365,1,'3b Activity Plan'!$J$173:$J$365,$FA70)</f>
        <v>0</v>
      </c>
      <c r="Q70" s="805">
        <f>SUMIFS('3b Activity Plan'!$X$173:$X$365,'3b Activity Plan'!$CY$173:$CY$365,1,'3b Activity Plan'!$CT$173:$CT$365,1,'3b Activity Plan'!$J$173:$J$365,$FA70)</f>
        <v>0</v>
      </c>
      <c r="R70" s="805">
        <f>IF($R$24=0,0,SUMIFS('3b Activity Plan'!$W$173:$W$365,'3b Activity Plan'!$CY$173:$CY$365,1,'3b Activity Plan'!$CT$173:$CT$365,1,'3b Activity Plan'!$J$173:$J$365,$FA70))</f>
        <v>0</v>
      </c>
      <c r="S70" s="795">
        <f t="shared" si="173"/>
        <v>0</v>
      </c>
      <c r="T70" s="805">
        <f>SUMIFS('3b Activity Plan'!$V$173:$V$365,'3b Activity Plan'!$CY$173:$CY$365,1,'3b Activity Plan'!$CT$173:$CT$365,1,'3b Activity Plan'!$J$173:$J$365,$FA70)</f>
        <v>0</v>
      </c>
      <c r="U70" s="805">
        <f>SUMIFS('3b Activity Plan'!$AB$173:$AB$365,'3b Activity Plan'!$CY$173:$CY$365,1,'3b Activity Plan'!$CT$173:$CT$365,1,'3b Activity Plan'!$J$173:$J$365,$FA70)</f>
        <v>0</v>
      </c>
      <c r="V70" s="805">
        <f>SUMIFS('3b Activity Plan'!$AA$173:$AA$365,'3b Activity Plan'!$CY$173:$CY$365,1,'3b Activity Plan'!$CT$173:$CT$365,1,'3b Activity Plan'!$J$173:$J$365,$FA70)</f>
        <v>0</v>
      </c>
      <c r="W70" s="755"/>
      <c r="X70" s="2641">
        <f>SUMIFS('3b Activity Plan'!$FU$173:$FU$365,'3b Activity Plan'!$J$173:$J$365,$FA70)</f>
        <v>0</v>
      </c>
      <c r="Y70" s="2641">
        <f>SUMIFS('3b Activity Plan'!$FW$173:$FW$365,'3b Activity Plan'!$J$173:$J$365,$FA70)</f>
        <v>0</v>
      </c>
      <c r="Z70" s="2639">
        <f t="shared" si="132"/>
        <v>0</v>
      </c>
      <c r="AA70" s="755"/>
      <c r="AB70" s="761">
        <f>_xlfn.MINIFS('3a Staff Plan'!$EB$129:$EB$304,'3a Staff Plan'!$DF$129:$DF$304,1,'3a Staff Plan'!$J$129:$J$304,FA70)</f>
        <v>0</v>
      </c>
      <c r="AC70" s="761">
        <f>_xlfn.MAXIFS('3a Staff Plan'!$EC$129:$EC$304,'3a Staff Plan'!$DF$129:$DF$304,1,'3a Staff Plan'!$J$129:$J$304,FA70)</f>
        <v>0</v>
      </c>
      <c r="AD70" s="755"/>
      <c r="AE70" s="761">
        <f>_xlfn.MINIFS('3b Activity Plan'!$GN$173:$GN$365,'3b Activity Plan'!$CY$173:$CY$365,1,'3b Activity Plan'!$J$173:$J$365,$FA70)</f>
        <v>0</v>
      </c>
      <c r="AF70" s="761">
        <f>_xlfn.MAXIFS('3b Activity Plan'!$GO$173:$GO$365,'3b Activity Plan'!$CY$173:$CY$365,1,'3b Activity Plan'!$J$173:$J$365,$FA70)</f>
        <v>0</v>
      </c>
      <c r="AG70" s="755"/>
      <c r="AH70" s="761">
        <f t="shared" si="174"/>
        <v>0</v>
      </c>
      <c r="AI70" s="761">
        <f t="shared" si="175"/>
        <v>0</v>
      </c>
      <c r="AJ70" s="755"/>
      <c r="AK70" s="761">
        <f t="shared" si="176"/>
        <v>0</v>
      </c>
      <c r="AL70" s="761">
        <f t="shared" si="177"/>
        <v>0</v>
      </c>
      <c r="AM70" s="776">
        <f t="shared" si="178"/>
        <v>0</v>
      </c>
      <c r="AN70" s="755"/>
      <c r="AO70" s="748">
        <f t="shared" si="179"/>
        <v>0</v>
      </c>
      <c r="AP70" s="748">
        <f t="shared" si="180"/>
        <v>0</v>
      </c>
      <c r="AQ70" s="748">
        <f t="shared" si="181"/>
        <v>0</v>
      </c>
      <c r="AR70" s="748">
        <f t="shared" si="182"/>
        <v>0</v>
      </c>
      <c r="AS70" s="748">
        <f t="shared" si="183"/>
        <v>0</v>
      </c>
      <c r="AT70" s="748">
        <f t="shared" si="184"/>
        <v>0</v>
      </c>
      <c r="AU70" s="748">
        <f t="shared" si="185"/>
        <v>0</v>
      </c>
      <c r="AV70" s="748">
        <f>IFERROR(INDEX('IPCS Data'!$R$8:$R$109,MATCH(EJ70,'IPCS Data'!$O$8:$O$109,0)),0)</f>
        <v>0</v>
      </c>
      <c r="AW70" s="755"/>
      <c r="AX70" s="499">
        <f>IFERROR(INDEX('IPCS Data'!$P$18:$P$110,MATCH(EK70,'IPCS Data'!$Q$18:$Q$110,0)),0)</f>
        <v>0</v>
      </c>
      <c r="AY70" s="1950" t="str">
        <f t="shared" si="110"/>
        <v/>
      </c>
      <c r="AZ70" s="755"/>
      <c r="BA70" s="753" t="str">
        <f>IFERROR(IF(MATCH(EJ70,'IPCS Data'!$O$8:$O$110,0)&gt;=25,"L","N"),"N")</f>
        <v>N</v>
      </c>
      <c r="BB70" s="774"/>
      <c r="BC70" s="753" t="str">
        <f t="shared" si="111"/>
        <v>N</v>
      </c>
      <c r="BD70" s="753" t="str">
        <f t="shared" si="39"/>
        <v>Non-Labor</v>
      </c>
      <c r="BE70" s="755"/>
      <c r="BF70" s="753" t="str">
        <f t="shared" si="112"/>
        <v>B23672.05</v>
      </c>
      <c r="BG70" s="753" t="str">
        <f t="shared" si="229"/>
        <v>0.0.0</v>
      </c>
      <c r="BH70" s="753">
        <f t="shared" si="187"/>
        <v>0</v>
      </c>
      <c r="BI70" s="753">
        <f t="shared" si="145"/>
        <v>0</v>
      </c>
      <c r="BJ70" s="753">
        <f t="shared" si="113"/>
        <v>0</v>
      </c>
      <c r="BK70" s="753">
        <f t="shared" si="40"/>
        <v>0</v>
      </c>
      <c r="BL70" s="753" t="b">
        <f t="shared" si="131"/>
        <v>1</v>
      </c>
      <c r="BM70" s="755"/>
      <c r="BN70" s="719">
        <f t="shared" si="188"/>
        <v>0</v>
      </c>
      <c r="BO70" s="719">
        <f t="shared" si="189"/>
        <v>110</v>
      </c>
      <c r="BP70" s="755"/>
      <c r="BQ70" s="719">
        <f>IF(AND((COUNTIFS('3a Staff Plan'!$J$129:$J$305,FA70)*$B$22)+(COUNTIFS('3b Activity Plan'!$J$173:$J$365,FA70)*$M$22)=0,FB70&gt;0),1,0)</f>
        <v>0</v>
      </c>
      <c r="BR70" s="719">
        <f t="shared" si="114"/>
        <v>0</v>
      </c>
      <c r="BS70" s="719">
        <f t="shared" si="190"/>
        <v>0</v>
      </c>
      <c r="BT70" s="719">
        <f t="shared" si="191"/>
        <v>0</v>
      </c>
      <c r="BU70" s="719">
        <f t="shared" si="192"/>
        <v>0</v>
      </c>
      <c r="BV70" s="719">
        <f t="shared" si="193"/>
        <v>0</v>
      </c>
      <c r="BW70" s="719">
        <f t="shared" si="194"/>
        <v>0</v>
      </c>
      <c r="BX70" s="719">
        <f t="shared" si="195"/>
        <v>0</v>
      </c>
      <c r="BY70" s="719">
        <f t="shared" si="196"/>
        <v>0</v>
      </c>
      <c r="BZ70" s="719">
        <f t="shared" si="115"/>
        <v>0</v>
      </c>
      <c r="CA70" s="719">
        <f t="shared" si="116"/>
        <v>0</v>
      </c>
      <c r="CB70" s="719">
        <f t="shared" si="197"/>
        <v>0</v>
      </c>
      <c r="CC70" s="719"/>
      <c r="CD70" s="719"/>
      <c r="CE70" s="719">
        <f t="shared" si="198"/>
        <v>0</v>
      </c>
      <c r="CF70" s="719">
        <f t="shared" si="117"/>
        <v>0</v>
      </c>
      <c r="CG70" s="719">
        <f t="shared" si="118"/>
        <v>0</v>
      </c>
      <c r="CH70" s="719">
        <f t="shared" si="119"/>
        <v>0</v>
      </c>
      <c r="CI70" s="719">
        <f t="shared" si="120"/>
        <v>0</v>
      </c>
      <c r="CJ70" s="719">
        <f t="shared" si="121"/>
        <v>0</v>
      </c>
      <c r="CK70" s="719">
        <f t="shared" si="122"/>
        <v>0</v>
      </c>
      <c r="CL70" s="719">
        <f t="shared" si="123"/>
        <v>0</v>
      </c>
      <c r="CM70" s="719">
        <f t="shared" si="124"/>
        <v>0</v>
      </c>
      <c r="CN70" s="719">
        <f t="shared" si="125"/>
        <v>0</v>
      </c>
      <c r="CO70" s="719">
        <f t="shared" si="42"/>
        <v>0</v>
      </c>
      <c r="CP70" s="719">
        <f t="shared" si="78"/>
        <v>0</v>
      </c>
      <c r="CQ70" s="719">
        <f t="shared" si="126"/>
        <v>37</v>
      </c>
      <c r="CR70" s="719">
        <f t="shared" si="127"/>
        <v>0</v>
      </c>
      <c r="CS70" s="2526"/>
      <c r="CT70" s="2527">
        <f t="shared" si="128"/>
        <v>42</v>
      </c>
      <c r="CU70" s="2527">
        <f t="shared" si="146"/>
        <v>0</v>
      </c>
      <c r="CV70" s="2527">
        <f t="shared" si="147"/>
        <v>0</v>
      </c>
      <c r="CW70" s="2527">
        <f t="shared" si="43"/>
        <v>0</v>
      </c>
      <c r="CX70" s="755"/>
      <c r="CY70" s="2537"/>
      <c r="CZ70" s="499">
        <f t="shared" si="169"/>
        <v>0</v>
      </c>
      <c r="DA70" s="1107">
        <f t="shared" si="170"/>
        <v>0</v>
      </c>
      <c r="DB70" s="2537"/>
      <c r="DC70" s="499">
        <f t="shared" si="200"/>
        <v>0</v>
      </c>
      <c r="DD70" s="1107">
        <f t="shared" si="201"/>
        <v>0</v>
      </c>
      <c r="DE70" s="2537"/>
      <c r="DF70" s="499">
        <f t="shared" si="202"/>
        <v>0</v>
      </c>
      <c r="DG70" s="1107">
        <f t="shared" si="203"/>
        <v>0</v>
      </c>
      <c r="DH70" s="2537"/>
      <c r="DI70" s="499">
        <f t="shared" si="204"/>
        <v>0</v>
      </c>
      <c r="DJ70" s="1107">
        <f t="shared" si="205"/>
        <v>0</v>
      </c>
      <c r="DK70" s="2537"/>
      <c r="DL70" s="499">
        <f t="shared" si="206"/>
        <v>0</v>
      </c>
      <c r="DM70" s="1107">
        <f t="shared" si="207"/>
        <v>0</v>
      </c>
      <c r="DN70" s="2537"/>
      <c r="DO70" s="499">
        <f t="shared" si="208"/>
        <v>0</v>
      </c>
      <c r="DP70" s="1107">
        <f t="shared" si="209"/>
        <v>0</v>
      </c>
      <c r="DQ70" s="2537"/>
      <c r="DR70" s="2559"/>
      <c r="DS70" s="499">
        <f t="shared" si="148"/>
        <v>0</v>
      </c>
      <c r="DT70" s="1106">
        <f t="shared" si="149"/>
        <v>0</v>
      </c>
      <c r="DU70" s="2537"/>
      <c r="DV70" s="2559"/>
      <c r="DW70" s="2312">
        <f t="shared" si="150"/>
        <v>0</v>
      </c>
      <c r="DX70" s="1106">
        <f t="shared" si="151"/>
        <v>0</v>
      </c>
      <c r="DY70" s="2572"/>
      <c r="DZ70" s="2537"/>
      <c r="EA70" s="2537"/>
      <c r="EB70" s="2577" t="str">
        <f t="shared" si="210"/>
        <v>05</v>
      </c>
      <c r="EC70" s="2570"/>
      <c r="ED70" s="436">
        <f>IFERROR(INDEX('IPCS Data'!$H$8:$H$30,MATCH(EE70,'IPCS Data'!$I$8:$I$30,0)),0)</f>
        <v>0</v>
      </c>
      <c r="EE70" s="437"/>
      <c r="EF70" s="2570"/>
      <c r="EG70" s="499">
        <f>IFERROR(INDEX('IPCS Data'!$L$8:$L$27,MATCH(EH70,'IPCS Data'!$M$8:$M$27,0)),0)</f>
        <v>0</v>
      </c>
      <c r="EH70" s="437"/>
      <c r="EI70" s="2578" t="s">
        <v>5</v>
      </c>
      <c r="EJ70" s="748">
        <f>IFERROR(INDEX('IPCS Data'!$O$8:$O$110,MATCH(EK70,'IPCS Data'!$Q$8:$Q$110,0)),0)</f>
        <v>0</v>
      </c>
      <c r="EK70" s="437"/>
      <c r="EL70" s="2578"/>
      <c r="EM70" s="840">
        <f t="shared" si="230"/>
        <v>0</v>
      </c>
      <c r="EN70" s="841"/>
      <c r="EO70" s="2537"/>
      <c r="EP70" s="842">
        <f t="shared" si="231"/>
        <v>0</v>
      </c>
      <c r="EQ70" s="843"/>
      <c r="ER70" s="2537"/>
      <c r="ES70" s="840">
        <f t="shared" si="232"/>
        <v>0</v>
      </c>
      <c r="ET70" s="843"/>
      <c r="EU70" s="2537"/>
      <c r="EV70" s="1497"/>
      <c r="EW70" s="1683"/>
      <c r="EX70" s="2562">
        <f t="shared" si="211"/>
        <v>37</v>
      </c>
      <c r="EY70" s="2533"/>
      <c r="EZ70" s="2561"/>
      <c r="FA70" s="1324">
        <f t="shared" si="152"/>
        <v>0</v>
      </c>
      <c r="FB70" s="2629">
        <f t="shared" si="212"/>
        <v>0</v>
      </c>
      <c r="FC70" s="274"/>
      <c r="FD70" s="2626">
        <f t="shared" si="153"/>
        <v>0</v>
      </c>
      <c r="FE70" s="2626">
        <f t="shared" si="154"/>
        <v>0</v>
      </c>
      <c r="FF70" s="274"/>
      <c r="FG70" s="2616">
        <f t="shared" si="213"/>
        <v>0</v>
      </c>
      <c r="FH70" s="2616">
        <f t="shared" si="214"/>
        <v>0</v>
      </c>
      <c r="FI70" s="2616">
        <f t="shared" si="215"/>
        <v>0</v>
      </c>
      <c r="FJ70" s="2610" t="s">
        <v>5</v>
      </c>
      <c r="FK70" s="2616">
        <f t="shared" si="216"/>
        <v>0</v>
      </c>
      <c r="FL70" s="2616">
        <f t="shared" si="217"/>
        <v>0</v>
      </c>
      <c r="FM70" s="2616">
        <f t="shared" si="218"/>
        <v>0</v>
      </c>
      <c r="FN70" s="2622">
        <f t="shared" si="219"/>
        <v>0</v>
      </c>
      <c r="FO70" s="2615">
        <f t="shared" si="220"/>
        <v>0</v>
      </c>
      <c r="FP70" s="2624">
        <f t="shared" si="221"/>
        <v>0</v>
      </c>
      <c r="FQ70" s="2622">
        <f t="shared" si="222"/>
        <v>0</v>
      </c>
      <c r="FR70" s="2624">
        <f t="shared" si="223"/>
        <v>0</v>
      </c>
      <c r="FS70" s="2611" t="s">
        <v>5</v>
      </c>
      <c r="FT70" s="2616">
        <f t="shared" si="224"/>
        <v>0</v>
      </c>
      <c r="FU70" s="2622">
        <f t="shared" si="129"/>
        <v>0</v>
      </c>
      <c r="FV70" s="2616">
        <f t="shared" si="225"/>
        <v>0</v>
      </c>
      <c r="FW70" s="2612" t="s">
        <v>5</v>
      </c>
      <c r="FX70" s="2616">
        <f t="shared" si="171"/>
        <v>0</v>
      </c>
      <c r="FY70" s="2616">
        <f t="shared" si="226"/>
        <v>0</v>
      </c>
      <c r="FZ70" s="2613" t="s">
        <v>5</v>
      </c>
      <c r="GA70" s="2616">
        <f t="shared" si="48"/>
        <v>0</v>
      </c>
      <c r="GB70" s="2619">
        <f t="shared" si="233"/>
        <v>0</v>
      </c>
      <c r="GC70" s="2620">
        <f t="shared" si="228"/>
        <v>0</v>
      </c>
      <c r="GD70" s="2614"/>
      <c r="GE70" s="3195">
        <f t="shared" si="143"/>
        <v>0</v>
      </c>
      <c r="GF70" s="3195">
        <f t="shared" si="144"/>
        <v>0</v>
      </c>
      <c r="GG70" s="3193" t="str">
        <f t="shared" si="18"/>
        <v>X</v>
      </c>
      <c r="GH70" s="2531"/>
      <c r="GI70" s="3189" t="str">
        <f t="shared" si="155"/>
        <v/>
      </c>
      <c r="GJ70" s="2598"/>
      <c r="GK70" s="3173">
        <f t="shared" si="156"/>
        <v>0</v>
      </c>
      <c r="GL70" s="3173">
        <f t="shared" si="157"/>
        <v>0</v>
      </c>
      <c r="GM70" s="3173">
        <f t="shared" si="158"/>
        <v>0</v>
      </c>
      <c r="GN70" s="3174">
        <f t="shared" si="159"/>
        <v>0</v>
      </c>
      <c r="GO70" s="3174">
        <f t="shared" si="160"/>
        <v>0</v>
      </c>
      <c r="GP70" s="3175">
        <f t="shared" si="161"/>
        <v>0</v>
      </c>
      <c r="GQ70" s="3176">
        <f t="shared" si="162"/>
        <v>0</v>
      </c>
      <c r="GR70" s="3177">
        <f t="shared" si="163"/>
        <v>0</v>
      </c>
      <c r="GS70" s="3177">
        <f t="shared" si="164"/>
        <v>0</v>
      </c>
      <c r="GT70" s="3178">
        <f t="shared" si="165"/>
        <v>0</v>
      </c>
      <c r="GU70" s="3179"/>
      <c r="GV70" s="3178">
        <f t="shared" si="166"/>
        <v>0</v>
      </c>
      <c r="GW70" s="3177">
        <f t="shared" si="167"/>
        <v>0</v>
      </c>
      <c r="GX70" s="3180"/>
      <c r="GY70" s="3177">
        <f t="shared" si="168"/>
        <v>0</v>
      </c>
      <c r="GZ70" s="2593"/>
      <c r="HA70" s="277"/>
      <c r="HB70" s="277"/>
      <c r="HC70" s="277"/>
      <c r="HD70" s="277"/>
      <c r="HE70" s="277"/>
      <c r="HF70" s="277"/>
      <c r="HG70" s="277"/>
      <c r="HH70" s="277"/>
      <c r="HI70" s="277"/>
      <c r="HJ70" s="277"/>
      <c r="HK70" s="277"/>
      <c r="HL70" s="277"/>
      <c r="HM70" s="277"/>
      <c r="HN70" s="277"/>
      <c r="HO70" s="277"/>
    </row>
    <row r="71" spans="1:223" s="272" customFormat="1" ht="18" customHeight="1" x14ac:dyDescent="0.3">
      <c r="A71" s="755"/>
      <c r="B71" s="805">
        <f>SUMIFS('3a Staff Plan'!$T$129:$T$305,'3a Staff Plan'!$DF$129:$DF$305,1,'3a Staff Plan'!$DA$129:$DA$305,1,'3a Staff Plan'!$J$129:$J$305,$FA71)</f>
        <v>0</v>
      </c>
      <c r="C71" s="805">
        <f>SUMIFS('3a Staff Plan'!$U$129:$U$305,'3a Staff Plan'!$DF$129:$DF$305,1,'3a Staff Plan'!$DA$129:$DA$305,1,'3a Staff Plan'!$J$129:$J$305,$FA71)</f>
        <v>0</v>
      </c>
      <c r="D71" s="805">
        <f>SUMIFS('3a Staff Plan'!$Z$129:$Z$305,'3a Staff Plan'!$DF$129:$DF$305,1,'3a Staff Plan'!$DA$129:$DA$305,1,'3a Staff Plan'!$J$129:$J$305,$FA71)</f>
        <v>0</v>
      </c>
      <c r="E71" s="805">
        <f>SUMIFS('3a Staff Plan'!$Y$129:$Y$305,'3a Staff Plan'!$DF$129:$DF$305,1,'3a Staff Plan'!$DA$129:$DA$305,1,'3a Staff Plan'!$J$129:$J$305,$FA71)</f>
        <v>0</v>
      </c>
      <c r="F71" s="805">
        <f>SUMIFS('3a Staff Plan'!$X$129:$X$305,'3a Staff Plan'!$DF$129:$DF$305,1,'3a Staff Plan'!$DA$129:$DA$305,1,'3a Staff Plan'!$AG$129:$AG$305,1,'3a Staff Plan'!$J$129:$J$305,$FA71)</f>
        <v>0</v>
      </c>
      <c r="G71" s="805">
        <f>IF($G$24=0,0,SUMIFS('3a Staff Plan'!$W$129:$W$305,'3a Staff Plan'!$DF$129:$DF$305,1,'3a Staff Plan'!$DA$129:$DA$305,1,'3a Staff Plan'!$J$129:$J$305,$FA71))</f>
        <v>0</v>
      </c>
      <c r="H71" s="795">
        <f t="shared" si="172"/>
        <v>0</v>
      </c>
      <c r="I71" s="805">
        <f>SUMIFS('3a Staff Plan'!$V$129:$V$305,'3a Staff Plan'!$DF$129:$DF$305,1,'3a Staff Plan'!$DA$129:$DA$305,1,'3a Staff Plan'!$J$129:$J$305,$FA71)</f>
        <v>0</v>
      </c>
      <c r="J71" s="805">
        <f>SUMIFS('3a Staff Plan'!$AB$129:$AB$305,'3a Staff Plan'!$DF$129:$DF$305,1,'3a Staff Plan'!$DA$129:$DA$305,1,'3a Staff Plan'!$J$129:$J$305,$FA71)</f>
        <v>0</v>
      </c>
      <c r="K71" s="805">
        <f>SUMIFS('3a Staff Plan'!$AA$129:$AA$305,'3a Staff Plan'!$DF$129:$DF$305,1,'3a Staff Plan'!$DA$129:$DA$305,1,'3a Staff Plan'!$AG$129:$AG$305,1,'3a Staff Plan'!$J$129:$J$305,$FA71)</f>
        <v>0</v>
      </c>
      <c r="L71" s="755"/>
      <c r="M71" s="805">
        <f>SUMIFS('3b Activity Plan'!$T$173:$T$365,'3b Activity Plan'!$CY$173:$CY$365,1,'3b Activity Plan'!$CT$173:$CT$365,1,'3b Activity Plan'!$J$173:$J$365,$FA71)</f>
        <v>0</v>
      </c>
      <c r="N71" s="805">
        <f>SUMIFS('3b Activity Plan'!$U$173:$U$365,'3b Activity Plan'!$CY$173:$CY$365,1,'3b Activity Plan'!$CT$173:$CT$365,1,'3b Activity Plan'!$J$173:$J$365,$FA71)</f>
        <v>0</v>
      </c>
      <c r="O71" s="805">
        <f>SUMIFS('3b Activity Plan'!$Z$173:$Z$365,'3b Activity Plan'!$CY$173:$CY$365,1,'3b Activity Plan'!$CT$173:$CT$365,1,'3b Activity Plan'!$J$173:$J$365,$FA71)</f>
        <v>0</v>
      </c>
      <c r="P71" s="805">
        <f>SUMIFS('3b Activity Plan'!$Y$173:$Y$365,'3b Activity Plan'!$CY$173:$CY$365,1,'3b Activity Plan'!$CT$173:$CT$365,1,'3b Activity Plan'!$J$173:$J$365,$FA71)</f>
        <v>0</v>
      </c>
      <c r="Q71" s="805">
        <f>SUMIFS('3b Activity Plan'!$X$173:$X$365,'3b Activity Plan'!$CY$173:$CY$365,1,'3b Activity Plan'!$CT$173:$CT$365,1,'3b Activity Plan'!$J$173:$J$365,$FA71)</f>
        <v>0</v>
      </c>
      <c r="R71" s="805">
        <f>IF($R$24=0,0,SUMIFS('3b Activity Plan'!$W$173:$W$365,'3b Activity Plan'!$CY$173:$CY$365,1,'3b Activity Plan'!$CT$173:$CT$365,1,'3b Activity Plan'!$J$173:$J$365,$FA71))</f>
        <v>0</v>
      </c>
      <c r="S71" s="795">
        <f t="shared" si="173"/>
        <v>0</v>
      </c>
      <c r="T71" s="805">
        <f>SUMIFS('3b Activity Plan'!$V$173:$V$365,'3b Activity Plan'!$CY$173:$CY$365,1,'3b Activity Plan'!$CT$173:$CT$365,1,'3b Activity Plan'!$J$173:$J$365,$FA71)</f>
        <v>0</v>
      </c>
      <c r="U71" s="805">
        <f>SUMIFS('3b Activity Plan'!$AB$173:$AB$365,'3b Activity Plan'!$CY$173:$CY$365,1,'3b Activity Plan'!$CT$173:$CT$365,1,'3b Activity Plan'!$J$173:$J$365,$FA71)</f>
        <v>0</v>
      </c>
      <c r="V71" s="805">
        <f>SUMIFS('3b Activity Plan'!$AA$173:$AA$365,'3b Activity Plan'!$CY$173:$CY$365,1,'3b Activity Plan'!$CT$173:$CT$365,1,'3b Activity Plan'!$J$173:$J$365,$FA71)</f>
        <v>0</v>
      </c>
      <c r="W71" s="755"/>
      <c r="X71" s="2641">
        <f>SUMIFS('3b Activity Plan'!$FU$173:$FU$365,'3b Activity Plan'!$J$173:$J$365,$FA71)</f>
        <v>0</v>
      </c>
      <c r="Y71" s="2641">
        <f>SUMIFS('3b Activity Plan'!$FW$173:$FW$365,'3b Activity Plan'!$J$173:$J$365,$FA71)</f>
        <v>0</v>
      </c>
      <c r="Z71" s="2639">
        <f t="shared" si="132"/>
        <v>0</v>
      </c>
      <c r="AA71" s="755"/>
      <c r="AB71" s="761">
        <f>_xlfn.MINIFS('3a Staff Plan'!$EB$129:$EB$304,'3a Staff Plan'!$DF$129:$DF$304,1,'3a Staff Plan'!$J$129:$J$304,FA71)</f>
        <v>0</v>
      </c>
      <c r="AC71" s="761">
        <f>_xlfn.MAXIFS('3a Staff Plan'!$EC$129:$EC$304,'3a Staff Plan'!$DF$129:$DF$304,1,'3a Staff Plan'!$J$129:$J$304,FA71)</f>
        <v>0</v>
      </c>
      <c r="AD71" s="755"/>
      <c r="AE71" s="761">
        <f>_xlfn.MINIFS('3b Activity Plan'!$GN$173:$GN$365,'3b Activity Plan'!$CY$173:$CY$365,1,'3b Activity Plan'!$J$173:$J$365,$FA71)</f>
        <v>0</v>
      </c>
      <c r="AF71" s="761">
        <f>_xlfn.MAXIFS('3b Activity Plan'!$GO$173:$GO$365,'3b Activity Plan'!$CY$173:$CY$365,1,'3b Activity Plan'!$J$173:$J$365,$FA71)</f>
        <v>0</v>
      </c>
      <c r="AG71" s="755"/>
      <c r="AH71" s="761">
        <f t="shared" si="174"/>
        <v>0</v>
      </c>
      <c r="AI71" s="761">
        <f t="shared" si="175"/>
        <v>0</v>
      </c>
      <c r="AJ71" s="755"/>
      <c r="AK71" s="761">
        <f t="shared" si="176"/>
        <v>0</v>
      </c>
      <c r="AL71" s="761">
        <f t="shared" si="177"/>
        <v>0</v>
      </c>
      <c r="AM71" s="776">
        <f t="shared" si="178"/>
        <v>0</v>
      </c>
      <c r="AN71" s="755"/>
      <c r="AO71" s="748">
        <f t="shared" si="179"/>
        <v>0</v>
      </c>
      <c r="AP71" s="748">
        <f t="shared" si="180"/>
        <v>0</v>
      </c>
      <c r="AQ71" s="748">
        <f t="shared" si="181"/>
        <v>0</v>
      </c>
      <c r="AR71" s="748">
        <f t="shared" si="182"/>
        <v>0</v>
      </c>
      <c r="AS71" s="748">
        <f t="shared" si="183"/>
        <v>0</v>
      </c>
      <c r="AT71" s="748">
        <f t="shared" si="184"/>
        <v>0</v>
      </c>
      <c r="AU71" s="748">
        <f t="shared" si="185"/>
        <v>0</v>
      </c>
      <c r="AV71" s="748">
        <f>IFERROR(INDEX('IPCS Data'!$R$8:$R$109,MATCH(EJ71,'IPCS Data'!$O$8:$O$109,0)),0)</f>
        <v>0</v>
      </c>
      <c r="AW71" s="755"/>
      <c r="AX71" s="499">
        <f>IFERROR(INDEX('IPCS Data'!$P$18:$P$110,MATCH(EK71,'IPCS Data'!$Q$18:$Q$110,0)),0)</f>
        <v>0</v>
      </c>
      <c r="AY71" s="1950" t="str">
        <f t="shared" si="110"/>
        <v/>
      </c>
      <c r="AZ71" s="755"/>
      <c r="BA71" s="753" t="str">
        <f>IFERROR(IF(MATCH(EJ71,'IPCS Data'!$O$8:$O$110,0)&gt;=25,"L","N"),"N")</f>
        <v>N</v>
      </c>
      <c r="BB71" s="774"/>
      <c r="BC71" s="753" t="str">
        <f t="shared" si="111"/>
        <v>N</v>
      </c>
      <c r="BD71" s="753" t="str">
        <f t="shared" si="39"/>
        <v>Non-Labor</v>
      </c>
      <c r="BE71" s="755"/>
      <c r="BF71" s="753" t="str">
        <f t="shared" si="112"/>
        <v>B23672.05</v>
      </c>
      <c r="BG71" s="753" t="str">
        <f t="shared" si="229"/>
        <v>0.0.0</v>
      </c>
      <c r="BH71" s="753">
        <f t="shared" si="187"/>
        <v>0</v>
      </c>
      <c r="BI71" s="753">
        <f t="shared" si="145"/>
        <v>0</v>
      </c>
      <c r="BJ71" s="753">
        <f t="shared" si="113"/>
        <v>0</v>
      </c>
      <c r="BK71" s="753">
        <f t="shared" si="40"/>
        <v>0</v>
      </c>
      <c r="BL71" s="753" t="b">
        <f t="shared" si="131"/>
        <v>1</v>
      </c>
      <c r="BM71" s="755"/>
      <c r="BN71" s="719">
        <f t="shared" si="188"/>
        <v>0</v>
      </c>
      <c r="BO71" s="719">
        <f t="shared" si="189"/>
        <v>110</v>
      </c>
      <c r="BP71" s="755"/>
      <c r="BQ71" s="719">
        <f>IF(AND((COUNTIFS('3a Staff Plan'!$J$129:$J$305,FA71)*$B$22)+(COUNTIFS('3b Activity Plan'!$J$173:$J$365,FA71)*$M$22)=0,FB71&gt;0),1,0)</f>
        <v>0</v>
      </c>
      <c r="BR71" s="719">
        <f t="shared" si="114"/>
        <v>0</v>
      </c>
      <c r="BS71" s="719">
        <f t="shared" si="190"/>
        <v>0</v>
      </c>
      <c r="BT71" s="719">
        <f t="shared" si="191"/>
        <v>0</v>
      </c>
      <c r="BU71" s="719">
        <f t="shared" si="192"/>
        <v>0</v>
      </c>
      <c r="BV71" s="719">
        <f t="shared" si="193"/>
        <v>0</v>
      </c>
      <c r="BW71" s="719">
        <f t="shared" si="194"/>
        <v>0</v>
      </c>
      <c r="BX71" s="719">
        <f t="shared" si="195"/>
        <v>0</v>
      </c>
      <c r="BY71" s="719">
        <f t="shared" si="196"/>
        <v>0</v>
      </c>
      <c r="BZ71" s="719">
        <f t="shared" si="115"/>
        <v>0</v>
      </c>
      <c r="CA71" s="719">
        <f t="shared" si="116"/>
        <v>0</v>
      </c>
      <c r="CB71" s="719">
        <f t="shared" si="197"/>
        <v>0</v>
      </c>
      <c r="CC71" s="719"/>
      <c r="CD71" s="719"/>
      <c r="CE71" s="719">
        <f t="shared" si="198"/>
        <v>0</v>
      </c>
      <c r="CF71" s="719">
        <f t="shared" si="117"/>
        <v>0</v>
      </c>
      <c r="CG71" s="719">
        <f t="shared" si="118"/>
        <v>0</v>
      </c>
      <c r="CH71" s="719">
        <f t="shared" si="119"/>
        <v>0</v>
      </c>
      <c r="CI71" s="719">
        <f t="shared" si="120"/>
        <v>0</v>
      </c>
      <c r="CJ71" s="719">
        <f t="shared" si="121"/>
        <v>0</v>
      </c>
      <c r="CK71" s="719">
        <f t="shared" si="122"/>
        <v>0</v>
      </c>
      <c r="CL71" s="719">
        <f t="shared" si="123"/>
        <v>0</v>
      </c>
      <c r="CM71" s="719">
        <f t="shared" si="124"/>
        <v>0</v>
      </c>
      <c r="CN71" s="719">
        <f t="shared" si="125"/>
        <v>0</v>
      </c>
      <c r="CO71" s="719">
        <f t="shared" si="42"/>
        <v>0</v>
      </c>
      <c r="CP71" s="719">
        <f t="shared" si="78"/>
        <v>0</v>
      </c>
      <c r="CQ71" s="719">
        <f t="shared" si="126"/>
        <v>38</v>
      </c>
      <c r="CR71" s="719">
        <f t="shared" si="127"/>
        <v>0</v>
      </c>
      <c r="CS71" s="2526"/>
      <c r="CT71" s="2527">
        <f t="shared" si="128"/>
        <v>43</v>
      </c>
      <c r="CU71" s="2527">
        <f t="shared" si="146"/>
        <v>0</v>
      </c>
      <c r="CV71" s="2527">
        <f t="shared" si="147"/>
        <v>0</v>
      </c>
      <c r="CW71" s="2527">
        <f t="shared" si="43"/>
        <v>0</v>
      </c>
      <c r="CX71" s="755"/>
      <c r="CY71" s="2537"/>
      <c r="CZ71" s="499">
        <f t="shared" si="169"/>
        <v>0</v>
      </c>
      <c r="DA71" s="1107">
        <f t="shared" si="170"/>
        <v>0</v>
      </c>
      <c r="DB71" s="2537"/>
      <c r="DC71" s="499">
        <f t="shared" si="200"/>
        <v>0</v>
      </c>
      <c r="DD71" s="1107">
        <f t="shared" si="201"/>
        <v>0</v>
      </c>
      <c r="DE71" s="2537"/>
      <c r="DF71" s="499">
        <f t="shared" si="202"/>
        <v>0</v>
      </c>
      <c r="DG71" s="1107">
        <f t="shared" si="203"/>
        <v>0</v>
      </c>
      <c r="DH71" s="2537"/>
      <c r="DI71" s="499">
        <f t="shared" si="204"/>
        <v>0</v>
      </c>
      <c r="DJ71" s="1107">
        <f t="shared" si="205"/>
        <v>0</v>
      </c>
      <c r="DK71" s="2537"/>
      <c r="DL71" s="499">
        <f t="shared" si="206"/>
        <v>0</v>
      </c>
      <c r="DM71" s="1107">
        <f t="shared" si="207"/>
        <v>0</v>
      </c>
      <c r="DN71" s="2537"/>
      <c r="DO71" s="499">
        <f t="shared" si="208"/>
        <v>0</v>
      </c>
      <c r="DP71" s="1107">
        <f t="shared" si="209"/>
        <v>0</v>
      </c>
      <c r="DQ71" s="2537"/>
      <c r="DR71" s="2559"/>
      <c r="DS71" s="499">
        <f t="shared" si="148"/>
        <v>0</v>
      </c>
      <c r="DT71" s="1106">
        <f t="shared" si="149"/>
        <v>0</v>
      </c>
      <c r="DU71" s="2537"/>
      <c r="DV71" s="2559"/>
      <c r="DW71" s="2312">
        <f t="shared" si="150"/>
        <v>0</v>
      </c>
      <c r="DX71" s="1106">
        <f t="shared" si="151"/>
        <v>0</v>
      </c>
      <c r="DY71" s="2572"/>
      <c r="DZ71" s="2537"/>
      <c r="EA71" s="2537"/>
      <c r="EB71" s="2577" t="str">
        <f t="shared" si="210"/>
        <v>05</v>
      </c>
      <c r="EC71" s="2570"/>
      <c r="ED71" s="436">
        <f>IFERROR(INDEX('IPCS Data'!$H$8:$H$30,MATCH(EE71,'IPCS Data'!$I$8:$I$30,0)),0)</f>
        <v>0</v>
      </c>
      <c r="EE71" s="437"/>
      <c r="EF71" s="2570"/>
      <c r="EG71" s="499">
        <f>IFERROR(INDEX('IPCS Data'!$L$8:$L$27,MATCH(EH71,'IPCS Data'!$M$8:$M$27,0)),0)</f>
        <v>0</v>
      </c>
      <c r="EH71" s="437"/>
      <c r="EI71" s="2578" t="s">
        <v>5</v>
      </c>
      <c r="EJ71" s="748">
        <f>IFERROR(INDEX('IPCS Data'!$O$8:$O$110,MATCH(EK71,'IPCS Data'!$Q$8:$Q$110,0)),0)</f>
        <v>0</v>
      </c>
      <c r="EK71" s="437"/>
      <c r="EL71" s="2578"/>
      <c r="EM71" s="840">
        <f t="shared" si="230"/>
        <v>0</v>
      </c>
      <c r="EN71" s="841"/>
      <c r="EO71" s="2537"/>
      <c r="EP71" s="842">
        <f t="shared" si="231"/>
        <v>0</v>
      </c>
      <c r="EQ71" s="843"/>
      <c r="ER71" s="2537"/>
      <c r="ES71" s="840">
        <f t="shared" si="232"/>
        <v>0</v>
      </c>
      <c r="ET71" s="843"/>
      <c r="EU71" s="2537"/>
      <c r="EV71" s="1497"/>
      <c r="EW71" s="1683"/>
      <c r="EX71" s="2562">
        <f t="shared" si="211"/>
        <v>38</v>
      </c>
      <c r="EY71" s="2533"/>
      <c r="EZ71" s="2561"/>
      <c r="FA71" s="1324">
        <f t="shared" si="152"/>
        <v>0</v>
      </c>
      <c r="FB71" s="2629">
        <f t="shared" si="212"/>
        <v>0</v>
      </c>
      <c r="FC71" s="274"/>
      <c r="FD71" s="2626">
        <f t="shared" si="153"/>
        <v>0</v>
      </c>
      <c r="FE71" s="2626">
        <f t="shared" si="154"/>
        <v>0</v>
      </c>
      <c r="FF71" s="274"/>
      <c r="FG71" s="2616">
        <f t="shared" si="213"/>
        <v>0</v>
      </c>
      <c r="FH71" s="2616">
        <f t="shared" si="214"/>
        <v>0</v>
      </c>
      <c r="FI71" s="2616">
        <f t="shared" si="215"/>
        <v>0</v>
      </c>
      <c r="FJ71" s="2610" t="s">
        <v>5</v>
      </c>
      <c r="FK71" s="2616">
        <f t="shared" si="216"/>
        <v>0</v>
      </c>
      <c r="FL71" s="2616">
        <f t="shared" si="217"/>
        <v>0</v>
      </c>
      <c r="FM71" s="2616">
        <f t="shared" si="218"/>
        <v>0</v>
      </c>
      <c r="FN71" s="2622">
        <f t="shared" si="219"/>
        <v>0</v>
      </c>
      <c r="FO71" s="2615">
        <f t="shared" si="220"/>
        <v>0</v>
      </c>
      <c r="FP71" s="2624">
        <f t="shared" si="221"/>
        <v>0</v>
      </c>
      <c r="FQ71" s="2622">
        <f t="shared" si="222"/>
        <v>0</v>
      </c>
      <c r="FR71" s="2624">
        <f t="shared" si="223"/>
        <v>0</v>
      </c>
      <c r="FS71" s="2611" t="s">
        <v>5</v>
      </c>
      <c r="FT71" s="2616">
        <f t="shared" si="224"/>
        <v>0</v>
      </c>
      <c r="FU71" s="2622">
        <f t="shared" si="129"/>
        <v>0</v>
      </c>
      <c r="FV71" s="2616">
        <f t="shared" si="225"/>
        <v>0</v>
      </c>
      <c r="FW71" s="2612" t="s">
        <v>5</v>
      </c>
      <c r="FX71" s="2616">
        <f t="shared" si="171"/>
        <v>0</v>
      </c>
      <c r="FY71" s="2616">
        <f t="shared" si="226"/>
        <v>0</v>
      </c>
      <c r="FZ71" s="2613" t="s">
        <v>5</v>
      </c>
      <c r="GA71" s="2616">
        <f t="shared" si="48"/>
        <v>0</v>
      </c>
      <c r="GB71" s="2619">
        <f t="shared" si="233"/>
        <v>0</v>
      </c>
      <c r="GC71" s="2620">
        <f t="shared" si="228"/>
        <v>0</v>
      </c>
      <c r="GD71" s="2614"/>
      <c r="GE71" s="3195">
        <f t="shared" si="143"/>
        <v>0</v>
      </c>
      <c r="GF71" s="3195">
        <f t="shared" si="144"/>
        <v>0</v>
      </c>
      <c r="GG71" s="3193" t="str">
        <f t="shared" si="18"/>
        <v>X</v>
      </c>
      <c r="GH71" s="2531"/>
      <c r="GI71" s="3189" t="str">
        <f t="shared" si="155"/>
        <v/>
      </c>
      <c r="GJ71" s="2598"/>
      <c r="GK71" s="3173">
        <f t="shared" si="156"/>
        <v>0</v>
      </c>
      <c r="GL71" s="3173">
        <f t="shared" si="157"/>
        <v>0</v>
      </c>
      <c r="GM71" s="3173">
        <f t="shared" si="158"/>
        <v>0</v>
      </c>
      <c r="GN71" s="3174">
        <f t="shared" si="159"/>
        <v>0</v>
      </c>
      <c r="GO71" s="3174">
        <f t="shared" si="160"/>
        <v>0</v>
      </c>
      <c r="GP71" s="3175">
        <f t="shared" si="161"/>
        <v>0</v>
      </c>
      <c r="GQ71" s="3176">
        <f t="shared" si="162"/>
        <v>0</v>
      </c>
      <c r="GR71" s="3177">
        <f t="shared" si="163"/>
        <v>0</v>
      </c>
      <c r="GS71" s="3177">
        <f t="shared" si="164"/>
        <v>0</v>
      </c>
      <c r="GT71" s="3178">
        <f t="shared" si="165"/>
        <v>0</v>
      </c>
      <c r="GU71" s="3179"/>
      <c r="GV71" s="3178">
        <f t="shared" si="166"/>
        <v>0</v>
      </c>
      <c r="GW71" s="3177">
        <f t="shared" si="167"/>
        <v>0</v>
      </c>
      <c r="GX71" s="3180"/>
      <c r="GY71" s="3177">
        <f t="shared" si="168"/>
        <v>0</v>
      </c>
      <c r="GZ71" s="2593"/>
      <c r="HA71" s="277"/>
      <c r="HB71" s="277"/>
      <c r="HC71" s="277"/>
      <c r="HD71" s="277"/>
      <c r="HE71" s="277"/>
      <c r="HF71" s="277"/>
      <c r="HG71" s="277"/>
      <c r="HH71" s="277"/>
      <c r="HI71" s="277"/>
      <c r="HJ71" s="277"/>
      <c r="HK71" s="277"/>
      <c r="HL71" s="277"/>
      <c r="HM71" s="277"/>
      <c r="HN71" s="277"/>
      <c r="HO71" s="277"/>
    </row>
    <row r="72" spans="1:223" s="749" customFormat="1" ht="18" customHeight="1" x14ac:dyDescent="0.3">
      <c r="A72" s="755"/>
      <c r="B72" s="805">
        <f>SUMIFS('3a Staff Plan'!$T$129:$T$305,'3a Staff Plan'!$DF$129:$DF$305,1,'3a Staff Plan'!$DA$129:$DA$305,1,'3a Staff Plan'!$J$129:$J$305,$FA72)</f>
        <v>0</v>
      </c>
      <c r="C72" s="805">
        <f>SUMIFS('3a Staff Plan'!$U$129:$U$305,'3a Staff Plan'!$DF$129:$DF$305,1,'3a Staff Plan'!$DA$129:$DA$305,1,'3a Staff Plan'!$J$129:$J$305,$FA72)</f>
        <v>0</v>
      </c>
      <c r="D72" s="805">
        <f>SUMIFS('3a Staff Plan'!$Z$129:$Z$305,'3a Staff Plan'!$DF$129:$DF$305,1,'3a Staff Plan'!$DA$129:$DA$305,1,'3a Staff Plan'!$J$129:$J$305,$FA72)</f>
        <v>0</v>
      </c>
      <c r="E72" s="805">
        <f>SUMIFS('3a Staff Plan'!$Y$129:$Y$305,'3a Staff Plan'!$DF$129:$DF$305,1,'3a Staff Plan'!$DA$129:$DA$305,1,'3a Staff Plan'!$J$129:$J$305,$FA72)</f>
        <v>0</v>
      </c>
      <c r="F72" s="805">
        <f>SUMIFS('3a Staff Plan'!$X$129:$X$305,'3a Staff Plan'!$DF$129:$DF$305,1,'3a Staff Plan'!$DA$129:$DA$305,1,'3a Staff Plan'!$AG$129:$AG$305,1,'3a Staff Plan'!$J$129:$J$305,$FA72)</f>
        <v>0</v>
      </c>
      <c r="G72" s="805">
        <f>IF($G$24=0,0,SUMIFS('3a Staff Plan'!$W$129:$W$305,'3a Staff Plan'!$DF$129:$DF$305,1,'3a Staff Plan'!$DA$129:$DA$305,1,'3a Staff Plan'!$J$129:$J$305,$FA72))</f>
        <v>0</v>
      </c>
      <c r="H72" s="795">
        <f t="shared" si="172"/>
        <v>0</v>
      </c>
      <c r="I72" s="805">
        <f>SUMIFS('3a Staff Plan'!$V$129:$V$305,'3a Staff Plan'!$DF$129:$DF$305,1,'3a Staff Plan'!$DA$129:$DA$305,1,'3a Staff Plan'!$J$129:$J$305,$FA72)</f>
        <v>0</v>
      </c>
      <c r="J72" s="805">
        <f>SUMIFS('3a Staff Plan'!$AB$129:$AB$305,'3a Staff Plan'!$DF$129:$DF$305,1,'3a Staff Plan'!$DA$129:$DA$305,1,'3a Staff Plan'!$J$129:$J$305,$FA72)</f>
        <v>0</v>
      </c>
      <c r="K72" s="805">
        <f>SUMIFS('3a Staff Plan'!$AA$129:$AA$305,'3a Staff Plan'!$DF$129:$DF$305,1,'3a Staff Plan'!$DA$129:$DA$305,1,'3a Staff Plan'!$AG$129:$AG$305,1,'3a Staff Plan'!$J$129:$J$305,$FA72)</f>
        <v>0</v>
      </c>
      <c r="L72" s="755"/>
      <c r="M72" s="805">
        <f>SUMIFS('3b Activity Plan'!$T$173:$T$365,'3b Activity Plan'!$CY$173:$CY$365,1,'3b Activity Plan'!$CT$173:$CT$365,1,'3b Activity Plan'!$J$173:$J$365,$FA72)</f>
        <v>0</v>
      </c>
      <c r="N72" s="805">
        <f>SUMIFS('3b Activity Plan'!$U$173:$U$365,'3b Activity Plan'!$CY$173:$CY$365,1,'3b Activity Plan'!$CT$173:$CT$365,1,'3b Activity Plan'!$J$173:$J$365,$FA72)</f>
        <v>0</v>
      </c>
      <c r="O72" s="805">
        <f>SUMIFS('3b Activity Plan'!$Z$173:$Z$365,'3b Activity Plan'!$CY$173:$CY$365,1,'3b Activity Plan'!$CT$173:$CT$365,1,'3b Activity Plan'!$J$173:$J$365,$FA72)</f>
        <v>0</v>
      </c>
      <c r="P72" s="805">
        <f>SUMIFS('3b Activity Plan'!$Y$173:$Y$365,'3b Activity Plan'!$CY$173:$CY$365,1,'3b Activity Plan'!$CT$173:$CT$365,1,'3b Activity Plan'!$J$173:$J$365,$FA72)</f>
        <v>0</v>
      </c>
      <c r="Q72" s="805">
        <f>SUMIFS('3b Activity Plan'!$X$173:$X$365,'3b Activity Plan'!$CY$173:$CY$365,1,'3b Activity Plan'!$CT$173:$CT$365,1,'3b Activity Plan'!$J$173:$J$365,$FA72)</f>
        <v>0</v>
      </c>
      <c r="R72" s="805">
        <f>IF($R$24=0,0,SUMIFS('3b Activity Plan'!$W$173:$W$365,'3b Activity Plan'!$CY$173:$CY$365,1,'3b Activity Plan'!$CT$173:$CT$365,1,'3b Activity Plan'!$J$173:$J$365,$FA72))</f>
        <v>0</v>
      </c>
      <c r="S72" s="795">
        <f t="shared" si="173"/>
        <v>0</v>
      </c>
      <c r="T72" s="805">
        <f>SUMIFS('3b Activity Plan'!$V$173:$V$365,'3b Activity Plan'!$CY$173:$CY$365,1,'3b Activity Plan'!$CT$173:$CT$365,1,'3b Activity Plan'!$J$173:$J$365,$FA72)</f>
        <v>0</v>
      </c>
      <c r="U72" s="805">
        <f>SUMIFS('3b Activity Plan'!$AB$173:$AB$365,'3b Activity Plan'!$CY$173:$CY$365,1,'3b Activity Plan'!$CT$173:$CT$365,1,'3b Activity Plan'!$J$173:$J$365,$FA72)</f>
        <v>0</v>
      </c>
      <c r="V72" s="805">
        <f>SUMIFS('3b Activity Plan'!$AA$173:$AA$365,'3b Activity Plan'!$CY$173:$CY$365,1,'3b Activity Plan'!$CT$173:$CT$365,1,'3b Activity Plan'!$J$173:$J$365,$FA72)</f>
        <v>0</v>
      </c>
      <c r="W72" s="755"/>
      <c r="X72" s="2641">
        <f>SUMIFS('3b Activity Plan'!$FU$173:$FU$365,'3b Activity Plan'!$J$173:$J$365,$FA72)</f>
        <v>0</v>
      </c>
      <c r="Y72" s="2641">
        <f>SUMIFS('3b Activity Plan'!$FW$173:$FW$365,'3b Activity Plan'!$J$173:$J$365,$FA72)</f>
        <v>0</v>
      </c>
      <c r="Z72" s="2639">
        <f t="shared" si="132"/>
        <v>0</v>
      </c>
      <c r="AA72" s="755"/>
      <c r="AB72" s="761">
        <f>_xlfn.MINIFS('3a Staff Plan'!$EB$129:$EB$304,'3a Staff Plan'!$DF$129:$DF$304,1,'3a Staff Plan'!$J$129:$J$304,FA72)</f>
        <v>0</v>
      </c>
      <c r="AC72" s="761">
        <f>_xlfn.MAXIFS('3a Staff Plan'!$EC$129:$EC$304,'3a Staff Plan'!$DF$129:$DF$304,1,'3a Staff Plan'!$J$129:$J$304,FA72)</f>
        <v>0</v>
      </c>
      <c r="AD72" s="755"/>
      <c r="AE72" s="761">
        <f>_xlfn.MINIFS('3b Activity Plan'!$GN$173:$GN$365,'3b Activity Plan'!$CY$173:$CY$365,1,'3b Activity Plan'!$J$173:$J$365,$FA72)</f>
        <v>0</v>
      </c>
      <c r="AF72" s="761">
        <f>_xlfn.MAXIFS('3b Activity Plan'!$GO$173:$GO$365,'3b Activity Plan'!$CY$173:$CY$365,1,'3b Activity Plan'!$J$173:$J$365,$FA72)</f>
        <v>0</v>
      </c>
      <c r="AG72" s="755"/>
      <c r="AH72" s="761">
        <f t="shared" si="174"/>
        <v>0</v>
      </c>
      <c r="AI72" s="761">
        <f t="shared" si="175"/>
        <v>0</v>
      </c>
      <c r="AJ72" s="755"/>
      <c r="AK72" s="761">
        <f t="shared" si="176"/>
        <v>0</v>
      </c>
      <c r="AL72" s="761">
        <f t="shared" si="177"/>
        <v>0</v>
      </c>
      <c r="AM72" s="776">
        <f t="shared" si="178"/>
        <v>0</v>
      </c>
      <c r="AN72" s="755"/>
      <c r="AO72" s="748">
        <f t="shared" si="179"/>
        <v>0</v>
      </c>
      <c r="AP72" s="748">
        <f t="shared" si="180"/>
        <v>0</v>
      </c>
      <c r="AQ72" s="748">
        <f t="shared" si="181"/>
        <v>0</v>
      </c>
      <c r="AR72" s="748">
        <f t="shared" si="182"/>
        <v>0</v>
      </c>
      <c r="AS72" s="748">
        <f t="shared" si="183"/>
        <v>0</v>
      </c>
      <c r="AT72" s="748">
        <f t="shared" si="184"/>
        <v>0</v>
      </c>
      <c r="AU72" s="748">
        <f t="shared" si="185"/>
        <v>0</v>
      </c>
      <c r="AV72" s="748">
        <f>IFERROR(INDEX('IPCS Data'!$R$8:$R$109,MATCH(EJ72,'IPCS Data'!$O$8:$O$109,0)),0)</f>
        <v>0</v>
      </c>
      <c r="AW72" s="755"/>
      <c r="AX72" s="499">
        <f>IFERROR(INDEX('IPCS Data'!$P$18:$P$110,MATCH(EK72,'IPCS Data'!$Q$18:$Q$110,0)),0)</f>
        <v>0</v>
      </c>
      <c r="AY72" s="1950" t="str">
        <f t="shared" si="110"/>
        <v/>
      </c>
      <c r="AZ72" s="755"/>
      <c r="BA72" s="753" t="str">
        <f>IFERROR(IF(MATCH(EJ72,'IPCS Data'!$O$8:$O$110,0)&gt;=25,"L","N"),"N")</f>
        <v>N</v>
      </c>
      <c r="BB72" s="774"/>
      <c r="BC72" s="753" t="str">
        <f t="shared" si="111"/>
        <v>N</v>
      </c>
      <c r="BD72" s="753" t="str">
        <f t="shared" si="39"/>
        <v>Non-Labor</v>
      </c>
      <c r="BE72" s="755"/>
      <c r="BF72" s="753" t="str">
        <f t="shared" si="112"/>
        <v>B23672.05</v>
      </c>
      <c r="BG72" s="753" t="str">
        <f t="shared" si="229"/>
        <v>0.0.0</v>
      </c>
      <c r="BH72" s="753">
        <f t="shared" si="187"/>
        <v>0</v>
      </c>
      <c r="BI72" s="753">
        <f t="shared" si="145"/>
        <v>0</v>
      </c>
      <c r="BJ72" s="753">
        <f t="shared" si="113"/>
        <v>0</v>
      </c>
      <c r="BK72" s="753">
        <f t="shared" si="40"/>
        <v>0</v>
      </c>
      <c r="BL72" s="753" t="b">
        <f t="shared" si="131"/>
        <v>1</v>
      </c>
      <c r="BM72" s="755"/>
      <c r="BN72" s="719">
        <f t="shared" si="188"/>
        <v>0</v>
      </c>
      <c r="BO72" s="719">
        <f t="shared" si="189"/>
        <v>110</v>
      </c>
      <c r="BP72" s="755"/>
      <c r="BQ72" s="719">
        <f>IF(AND((COUNTIFS('3a Staff Plan'!$J$129:$J$305,FA72)*$B$22)+(COUNTIFS('3b Activity Plan'!$J$173:$J$365,FA72)*$M$22)=0,FB72&gt;0),1,0)</f>
        <v>0</v>
      </c>
      <c r="BR72" s="719">
        <f t="shared" si="114"/>
        <v>0</v>
      </c>
      <c r="BS72" s="719">
        <f t="shared" si="190"/>
        <v>0</v>
      </c>
      <c r="BT72" s="719">
        <f t="shared" si="191"/>
        <v>0</v>
      </c>
      <c r="BU72" s="719">
        <f t="shared" si="192"/>
        <v>0</v>
      </c>
      <c r="BV72" s="719">
        <f t="shared" si="193"/>
        <v>0</v>
      </c>
      <c r="BW72" s="719">
        <f t="shared" si="194"/>
        <v>0</v>
      </c>
      <c r="BX72" s="719">
        <f t="shared" si="195"/>
        <v>0</v>
      </c>
      <c r="BY72" s="719">
        <f t="shared" si="196"/>
        <v>0</v>
      </c>
      <c r="BZ72" s="719">
        <f t="shared" si="115"/>
        <v>0</v>
      </c>
      <c r="CA72" s="719">
        <f t="shared" si="116"/>
        <v>0</v>
      </c>
      <c r="CB72" s="719">
        <f t="shared" si="197"/>
        <v>0</v>
      </c>
      <c r="CC72" s="719"/>
      <c r="CD72" s="719"/>
      <c r="CE72" s="719">
        <f t="shared" si="198"/>
        <v>0</v>
      </c>
      <c r="CF72" s="719">
        <f t="shared" si="117"/>
        <v>0</v>
      </c>
      <c r="CG72" s="719">
        <f t="shared" si="118"/>
        <v>0</v>
      </c>
      <c r="CH72" s="719">
        <f t="shared" si="119"/>
        <v>0</v>
      </c>
      <c r="CI72" s="719">
        <f t="shared" si="120"/>
        <v>0</v>
      </c>
      <c r="CJ72" s="719">
        <f t="shared" si="121"/>
        <v>0</v>
      </c>
      <c r="CK72" s="719">
        <f t="shared" si="122"/>
        <v>0</v>
      </c>
      <c r="CL72" s="719">
        <f t="shared" si="123"/>
        <v>0</v>
      </c>
      <c r="CM72" s="719">
        <f t="shared" si="124"/>
        <v>0</v>
      </c>
      <c r="CN72" s="719">
        <f t="shared" si="125"/>
        <v>0</v>
      </c>
      <c r="CO72" s="719">
        <f t="shared" si="42"/>
        <v>0</v>
      </c>
      <c r="CP72" s="719">
        <f t="shared" si="78"/>
        <v>0</v>
      </c>
      <c r="CQ72" s="719">
        <f t="shared" si="126"/>
        <v>39</v>
      </c>
      <c r="CR72" s="719">
        <f t="shared" si="127"/>
        <v>0</v>
      </c>
      <c r="CS72" s="2526"/>
      <c r="CT72" s="2527">
        <f t="shared" si="128"/>
        <v>44</v>
      </c>
      <c r="CU72" s="2527">
        <f t="shared" si="146"/>
        <v>0</v>
      </c>
      <c r="CV72" s="2527">
        <f t="shared" si="147"/>
        <v>0</v>
      </c>
      <c r="CW72" s="2527">
        <f t="shared" si="43"/>
        <v>0</v>
      </c>
      <c r="CX72" s="755"/>
      <c r="CY72" s="2537"/>
      <c r="CZ72" s="499">
        <f t="shared" si="169"/>
        <v>0</v>
      </c>
      <c r="DA72" s="1107">
        <f t="shared" si="170"/>
        <v>0</v>
      </c>
      <c r="DB72" s="2537"/>
      <c r="DC72" s="499">
        <f t="shared" si="200"/>
        <v>0</v>
      </c>
      <c r="DD72" s="1107">
        <f t="shared" si="201"/>
        <v>0</v>
      </c>
      <c r="DE72" s="2537"/>
      <c r="DF72" s="499">
        <f t="shared" si="202"/>
        <v>0</v>
      </c>
      <c r="DG72" s="1107">
        <f t="shared" si="203"/>
        <v>0</v>
      </c>
      <c r="DH72" s="2537"/>
      <c r="DI72" s="499">
        <f t="shared" si="204"/>
        <v>0</v>
      </c>
      <c r="DJ72" s="1107">
        <f t="shared" si="205"/>
        <v>0</v>
      </c>
      <c r="DK72" s="2537"/>
      <c r="DL72" s="499">
        <f t="shared" si="206"/>
        <v>0</v>
      </c>
      <c r="DM72" s="1107">
        <f t="shared" si="207"/>
        <v>0</v>
      </c>
      <c r="DN72" s="2537"/>
      <c r="DO72" s="499">
        <f t="shared" si="208"/>
        <v>0</v>
      </c>
      <c r="DP72" s="1107">
        <f t="shared" si="209"/>
        <v>0</v>
      </c>
      <c r="DQ72" s="2537"/>
      <c r="DR72" s="2559"/>
      <c r="DS72" s="499">
        <f t="shared" si="148"/>
        <v>0</v>
      </c>
      <c r="DT72" s="1106">
        <f t="shared" si="149"/>
        <v>0</v>
      </c>
      <c r="DU72" s="2537"/>
      <c r="DV72" s="2559"/>
      <c r="DW72" s="2312">
        <f t="shared" si="150"/>
        <v>0</v>
      </c>
      <c r="DX72" s="1106">
        <f t="shared" si="151"/>
        <v>0</v>
      </c>
      <c r="DY72" s="2572"/>
      <c r="DZ72" s="2537"/>
      <c r="EA72" s="2537"/>
      <c r="EB72" s="2577" t="str">
        <f t="shared" si="210"/>
        <v>05</v>
      </c>
      <c r="EC72" s="2570"/>
      <c r="ED72" s="436">
        <f>IFERROR(INDEX('IPCS Data'!$H$8:$H$30,MATCH(EE72,'IPCS Data'!$I$8:$I$30,0)),0)</f>
        <v>0</v>
      </c>
      <c r="EE72" s="437"/>
      <c r="EF72" s="2570"/>
      <c r="EG72" s="499">
        <f>IFERROR(INDEX('IPCS Data'!$L$8:$L$27,MATCH(EH72,'IPCS Data'!$M$8:$M$27,0)),0)</f>
        <v>0</v>
      </c>
      <c r="EH72" s="437"/>
      <c r="EI72" s="2578" t="s">
        <v>5</v>
      </c>
      <c r="EJ72" s="748">
        <f>IFERROR(INDEX('IPCS Data'!$O$8:$O$110,MATCH(EK72,'IPCS Data'!$Q$8:$Q$110,0)),0)</f>
        <v>0</v>
      </c>
      <c r="EK72" s="437"/>
      <c r="EL72" s="2578"/>
      <c r="EM72" s="840">
        <f t="shared" si="230"/>
        <v>0</v>
      </c>
      <c r="EN72" s="841"/>
      <c r="EO72" s="2537"/>
      <c r="EP72" s="842">
        <f t="shared" si="231"/>
        <v>0</v>
      </c>
      <c r="EQ72" s="843"/>
      <c r="ER72" s="2537"/>
      <c r="ES72" s="840">
        <f t="shared" si="232"/>
        <v>0</v>
      </c>
      <c r="ET72" s="843"/>
      <c r="EU72" s="2537"/>
      <c r="EV72" s="1497"/>
      <c r="EW72" s="1683"/>
      <c r="EX72" s="2562">
        <f t="shared" si="211"/>
        <v>39</v>
      </c>
      <c r="EY72" s="2533"/>
      <c r="EZ72" s="2561"/>
      <c r="FA72" s="1324">
        <f t="shared" si="152"/>
        <v>0</v>
      </c>
      <c r="FB72" s="2629">
        <f t="shared" si="212"/>
        <v>0</v>
      </c>
      <c r="FC72" s="274"/>
      <c r="FD72" s="2626">
        <f t="shared" si="153"/>
        <v>0</v>
      </c>
      <c r="FE72" s="2626">
        <f t="shared" si="154"/>
        <v>0</v>
      </c>
      <c r="FF72" s="274"/>
      <c r="FG72" s="2616">
        <f t="shared" si="213"/>
        <v>0</v>
      </c>
      <c r="FH72" s="2616">
        <f t="shared" si="214"/>
        <v>0</v>
      </c>
      <c r="FI72" s="2616">
        <f t="shared" si="215"/>
        <v>0</v>
      </c>
      <c r="FJ72" s="2610" t="s">
        <v>5</v>
      </c>
      <c r="FK72" s="2616">
        <f t="shared" si="216"/>
        <v>0</v>
      </c>
      <c r="FL72" s="2616">
        <f t="shared" si="217"/>
        <v>0</v>
      </c>
      <c r="FM72" s="2616">
        <f t="shared" si="218"/>
        <v>0</v>
      </c>
      <c r="FN72" s="2622">
        <f t="shared" si="219"/>
        <v>0</v>
      </c>
      <c r="FO72" s="2615">
        <f t="shared" si="220"/>
        <v>0</v>
      </c>
      <c r="FP72" s="2624">
        <f t="shared" si="221"/>
        <v>0</v>
      </c>
      <c r="FQ72" s="2622">
        <f t="shared" si="222"/>
        <v>0</v>
      </c>
      <c r="FR72" s="2624">
        <f t="shared" si="223"/>
        <v>0</v>
      </c>
      <c r="FS72" s="2611" t="s">
        <v>5</v>
      </c>
      <c r="FT72" s="2616">
        <f t="shared" si="224"/>
        <v>0</v>
      </c>
      <c r="FU72" s="2622">
        <f t="shared" si="129"/>
        <v>0</v>
      </c>
      <c r="FV72" s="2616">
        <f t="shared" si="225"/>
        <v>0</v>
      </c>
      <c r="FW72" s="2612" t="s">
        <v>5</v>
      </c>
      <c r="FX72" s="2616">
        <f t="shared" si="171"/>
        <v>0</v>
      </c>
      <c r="FY72" s="2616">
        <f t="shared" si="226"/>
        <v>0</v>
      </c>
      <c r="FZ72" s="2613" t="s">
        <v>5</v>
      </c>
      <c r="GA72" s="2616">
        <f t="shared" si="48"/>
        <v>0</v>
      </c>
      <c r="GB72" s="2619">
        <f t="shared" ref="GB72:GB83" si="234">IFERROR(GA72/FY72,0)</f>
        <v>0</v>
      </c>
      <c r="GC72" s="2620">
        <f t="shared" si="228"/>
        <v>0</v>
      </c>
      <c r="GD72" s="2614"/>
      <c r="GE72" s="3195">
        <f t="shared" si="143"/>
        <v>0</v>
      </c>
      <c r="GF72" s="3195">
        <f t="shared" si="144"/>
        <v>0</v>
      </c>
      <c r="GG72" s="3193" t="str">
        <f t="shared" si="18"/>
        <v>X</v>
      </c>
      <c r="GH72" s="2531"/>
      <c r="GI72" s="3189" t="str">
        <f t="shared" si="155"/>
        <v/>
      </c>
      <c r="GJ72" s="2598"/>
      <c r="GK72" s="3173">
        <f t="shared" si="156"/>
        <v>0</v>
      </c>
      <c r="GL72" s="3173">
        <f t="shared" si="157"/>
        <v>0</v>
      </c>
      <c r="GM72" s="3173">
        <f t="shared" si="158"/>
        <v>0</v>
      </c>
      <c r="GN72" s="3174">
        <f t="shared" si="159"/>
        <v>0</v>
      </c>
      <c r="GO72" s="3174">
        <f t="shared" si="160"/>
        <v>0</v>
      </c>
      <c r="GP72" s="3175">
        <f t="shared" si="161"/>
        <v>0</v>
      </c>
      <c r="GQ72" s="3176">
        <f t="shared" si="162"/>
        <v>0</v>
      </c>
      <c r="GR72" s="3177">
        <f t="shared" si="163"/>
        <v>0</v>
      </c>
      <c r="GS72" s="3177">
        <f t="shared" si="164"/>
        <v>0</v>
      </c>
      <c r="GT72" s="3178">
        <f t="shared" si="165"/>
        <v>0</v>
      </c>
      <c r="GU72" s="3179"/>
      <c r="GV72" s="3178">
        <f t="shared" si="166"/>
        <v>0</v>
      </c>
      <c r="GW72" s="3177">
        <f t="shared" si="167"/>
        <v>0</v>
      </c>
      <c r="GX72" s="3180"/>
      <c r="GY72" s="3177">
        <f t="shared" si="168"/>
        <v>0</v>
      </c>
      <c r="GZ72" s="2593"/>
      <c r="HA72" s="277"/>
      <c r="HB72" s="277"/>
      <c r="HC72" s="277"/>
      <c r="HD72" s="277"/>
      <c r="HE72" s="277"/>
      <c r="HF72" s="277"/>
      <c r="HG72" s="277"/>
      <c r="HH72" s="277"/>
      <c r="HI72" s="277"/>
      <c r="HJ72" s="277"/>
      <c r="HK72" s="277"/>
      <c r="HL72" s="277"/>
      <c r="HM72" s="277"/>
      <c r="HN72" s="277"/>
      <c r="HO72" s="277"/>
    </row>
    <row r="73" spans="1:223" s="749" customFormat="1" ht="18" customHeight="1" x14ac:dyDescent="0.3">
      <c r="A73" s="755"/>
      <c r="B73" s="805">
        <f>SUMIFS('3a Staff Plan'!$T$129:$T$305,'3a Staff Plan'!$DF$129:$DF$305,1,'3a Staff Plan'!$DA$129:$DA$305,1,'3a Staff Plan'!$J$129:$J$305,$FA73)</f>
        <v>0</v>
      </c>
      <c r="C73" s="805">
        <f>SUMIFS('3a Staff Plan'!$U$129:$U$305,'3a Staff Plan'!$DF$129:$DF$305,1,'3a Staff Plan'!$DA$129:$DA$305,1,'3a Staff Plan'!$J$129:$J$305,$FA73)</f>
        <v>0</v>
      </c>
      <c r="D73" s="805">
        <f>SUMIFS('3a Staff Plan'!$Z$129:$Z$305,'3a Staff Plan'!$DF$129:$DF$305,1,'3a Staff Plan'!$DA$129:$DA$305,1,'3a Staff Plan'!$J$129:$J$305,$FA73)</f>
        <v>0</v>
      </c>
      <c r="E73" s="805">
        <f>SUMIFS('3a Staff Plan'!$Y$129:$Y$305,'3a Staff Plan'!$DF$129:$DF$305,1,'3a Staff Plan'!$DA$129:$DA$305,1,'3a Staff Plan'!$J$129:$J$305,$FA73)</f>
        <v>0</v>
      </c>
      <c r="F73" s="805">
        <f>SUMIFS('3a Staff Plan'!$X$129:$X$305,'3a Staff Plan'!$DF$129:$DF$305,1,'3a Staff Plan'!$DA$129:$DA$305,1,'3a Staff Plan'!$AG$129:$AG$305,1,'3a Staff Plan'!$J$129:$J$305,$FA73)</f>
        <v>0</v>
      </c>
      <c r="G73" s="805">
        <f>IF($G$24=0,0,SUMIFS('3a Staff Plan'!$W$129:$W$305,'3a Staff Plan'!$DF$129:$DF$305,1,'3a Staff Plan'!$DA$129:$DA$305,1,'3a Staff Plan'!$J$129:$J$305,$FA73))</f>
        <v>0</v>
      </c>
      <c r="H73" s="795">
        <f t="shared" si="172"/>
        <v>0</v>
      </c>
      <c r="I73" s="805">
        <f>SUMIFS('3a Staff Plan'!$V$129:$V$305,'3a Staff Plan'!$DF$129:$DF$305,1,'3a Staff Plan'!$DA$129:$DA$305,1,'3a Staff Plan'!$J$129:$J$305,$FA73)</f>
        <v>0</v>
      </c>
      <c r="J73" s="805">
        <f>SUMIFS('3a Staff Plan'!$AB$129:$AB$305,'3a Staff Plan'!$DF$129:$DF$305,1,'3a Staff Plan'!$DA$129:$DA$305,1,'3a Staff Plan'!$J$129:$J$305,$FA73)</f>
        <v>0</v>
      </c>
      <c r="K73" s="805">
        <f>SUMIFS('3a Staff Plan'!$AA$129:$AA$305,'3a Staff Plan'!$DF$129:$DF$305,1,'3a Staff Plan'!$DA$129:$DA$305,1,'3a Staff Plan'!$AG$129:$AG$305,1,'3a Staff Plan'!$J$129:$J$305,$FA73)</f>
        <v>0</v>
      </c>
      <c r="L73" s="755"/>
      <c r="M73" s="805">
        <f>SUMIFS('3b Activity Plan'!$T$173:$T$365,'3b Activity Plan'!$CY$173:$CY$365,1,'3b Activity Plan'!$CT$173:$CT$365,1,'3b Activity Plan'!$J$173:$J$365,$FA73)</f>
        <v>0</v>
      </c>
      <c r="N73" s="805">
        <f>SUMIFS('3b Activity Plan'!$U$173:$U$365,'3b Activity Plan'!$CY$173:$CY$365,1,'3b Activity Plan'!$CT$173:$CT$365,1,'3b Activity Plan'!$J$173:$J$365,$FA73)</f>
        <v>0</v>
      </c>
      <c r="O73" s="805">
        <f>SUMIFS('3b Activity Plan'!$Z$173:$Z$365,'3b Activity Plan'!$CY$173:$CY$365,1,'3b Activity Plan'!$CT$173:$CT$365,1,'3b Activity Plan'!$J$173:$J$365,$FA73)</f>
        <v>0</v>
      </c>
      <c r="P73" s="805">
        <f>SUMIFS('3b Activity Plan'!$Y$173:$Y$365,'3b Activity Plan'!$CY$173:$CY$365,1,'3b Activity Plan'!$CT$173:$CT$365,1,'3b Activity Plan'!$J$173:$J$365,$FA73)</f>
        <v>0</v>
      </c>
      <c r="Q73" s="805">
        <f>SUMIFS('3b Activity Plan'!$X$173:$X$365,'3b Activity Plan'!$CY$173:$CY$365,1,'3b Activity Plan'!$CT$173:$CT$365,1,'3b Activity Plan'!$J$173:$J$365,$FA73)</f>
        <v>0</v>
      </c>
      <c r="R73" s="805">
        <f>IF($R$24=0,0,SUMIFS('3b Activity Plan'!$W$173:$W$365,'3b Activity Plan'!$CY$173:$CY$365,1,'3b Activity Plan'!$CT$173:$CT$365,1,'3b Activity Plan'!$J$173:$J$365,$FA73))</f>
        <v>0</v>
      </c>
      <c r="S73" s="795">
        <f t="shared" si="173"/>
        <v>0</v>
      </c>
      <c r="T73" s="805">
        <f>SUMIFS('3b Activity Plan'!$V$173:$V$365,'3b Activity Plan'!$CY$173:$CY$365,1,'3b Activity Plan'!$CT$173:$CT$365,1,'3b Activity Plan'!$J$173:$J$365,$FA73)</f>
        <v>0</v>
      </c>
      <c r="U73" s="805">
        <f>SUMIFS('3b Activity Plan'!$AB$173:$AB$365,'3b Activity Plan'!$CY$173:$CY$365,1,'3b Activity Plan'!$CT$173:$CT$365,1,'3b Activity Plan'!$J$173:$J$365,$FA73)</f>
        <v>0</v>
      </c>
      <c r="V73" s="805">
        <f>SUMIFS('3b Activity Plan'!$AA$173:$AA$365,'3b Activity Plan'!$CY$173:$CY$365,1,'3b Activity Plan'!$CT$173:$CT$365,1,'3b Activity Plan'!$J$173:$J$365,$FA73)</f>
        <v>0</v>
      </c>
      <c r="W73" s="755"/>
      <c r="X73" s="2641">
        <f>SUMIFS('3b Activity Plan'!$FU$173:$FU$365,'3b Activity Plan'!$J$173:$J$365,$FA73)</f>
        <v>0</v>
      </c>
      <c r="Y73" s="2641">
        <f>SUMIFS('3b Activity Plan'!$FW$173:$FW$365,'3b Activity Plan'!$J$173:$J$365,$FA73)</f>
        <v>0</v>
      </c>
      <c r="Z73" s="2639">
        <f t="shared" si="132"/>
        <v>0</v>
      </c>
      <c r="AA73" s="755"/>
      <c r="AB73" s="761">
        <f>_xlfn.MINIFS('3a Staff Plan'!$EB$129:$EB$304,'3a Staff Plan'!$DF$129:$DF$304,1,'3a Staff Plan'!$J$129:$J$304,FA73)</f>
        <v>0</v>
      </c>
      <c r="AC73" s="761">
        <f>_xlfn.MAXIFS('3a Staff Plan'!$EC$129:$EC$304,'3a Staff Plan'!$DF$129:$DF$304,1,'3a Staff Plan'!$J$129:$J$304,FA73)</f>
        <v>0</v>
      </c>
      <c r="AD73" s="755"/>
      <c r="AE73" s="761">
        <f>_xlfn.MINIFS('3b Activity Plan'!$GN$173:$GN$365,'3b Activity Plan'!$CY$173:$CY$365,1,'3b Activity Plan'!$J$173:$J$365,$FA73)</f>
        <v>0</v>
      </c>
      <c r="AF73" s="761">
        <f>_xlfn.MAXIFS('3b Activity Plan'!$GO$173:$GO$365,'3b Activity Plan'!$CY$173:$CY$365,1,'3b Activity Plan'!$J$173:$J$365,$FA73)</f>
        <v>0</v>
      </c>
      <c r="AG73" s="755"/>
      <c r="AH73" s="761">
        <f t="shared" si="174"/>
        <v>0</v>
      </c>
      <c r="AI73" s="761">
        <f t="shared" si="175"/>
        <v>0</v>
      </c>
      <c r="AJ73" s="755"/>
      <c r="AK73" s="761">
        <f t="shared" si="176"/>
        <v>0</v>
      </c>
      <c r="AL73" s="761">
        <f t="shared" si="177"/>
        <v>0</v>
      </c>
      <c r="AM73" s="776">
        <f t="shared" si="178"/>
        <v>0</v>
      </c>
      <c r="AN73" s="755"/>
      <c r="AO73" s="748">
        <f t="shared" si="179"/>
        <v>0</v>
      </c>
      <c r="AP73" s="748">
        <f t="shared" si="180"/>
        <v>0</v>
      </c>
      <c r="AQ73" s="748">
        <f t="shared" si="181"/>
        <v>0</v>
      </c>
      <c r="AR73" s="748">
        <f t="shared" si="182"/>
        <v>0</v>
      </c>
      <c r="AS73" s="748">
        <f t="shared" si="183"/>
        <v>0</v>
      </c>
      <c r="AT73" s="748">
        <f t="shared" si="184"/>
        <v>0</v>
      </c>
      <c r="AU73" s="748">
        <f t="shared" si="185"/>
        <v>0</v>
      </c>
      <c r="AV73" s="748">
        <f>IFERROR(INDEX('IPCS Data'!$R$8:$R$109,MATCH(EJ73,'IPCS Data'!$O$8:$O$109,0)),0)</f>
        <v>0</v>
      </c>
      <c r="AW73" s="755"/>
      <c r="AX73" s="499">
        <f>IFERROR(INDEX('IPCS Data'!$P$18:$P$110,MATCH(EK73,'IPCS Data'!$Q$18:$Q$110,0)),0)</f>
        <v>0</v>
      </c>
      <c r="AY73" s="1950" t="str">
        <f t="shared" si="110"/>
        <v/>
      </c>
      <c r="AZ73" s="755"/>
      <c r="BA73" s="753" t="str">
        <f>IFERROR(IF(MATCH(EJ73,'IPCS Data'!$O$8:$O$110,0)&gt;=25,"L","N"),"N")</f>
        <v>N</v>
      </c>
      <c r="BB73" s="774"/>
      <c r="BC73" s="753" t="str">
        <f t="shared" si="111"/>
        <v>N</v>
      </c>
      <c r="BD73" s="753" t="str">
        <f t="shared" si="39"/>
        <v>Non-Labor</v>
      </c>
      <c r="BE73" s="755"/>
      <c r="BF73" s="753" t="str">
        <f t="shared" si="112"/>
        <v>B23672.05</v>
      </c>
      <c r="BG73" s="753" t="str">
        <f t="shared" si="229"/>
        <v>0.0.0</v>
      </c>
      <c r="BH73" s="753">
        <f t="shared" si="187"/>
        <v>0</v>
      </c>
      <c r="BI73" s="753">
        <f t="shared" si="145"/>
        <v>0</v>
      </c>
      <c r="BJ73" s="753">
        <f t="shared" si="113"/>
        <v>0</v>
      </c>
      <c r="BK73" s="753">
        <f t="shared" si="40"/>
        <v>0</v>
      </c>
      <c r="BL73" s="753" t="b">
        <f t="shared" si="131"/>
        <v>1</v>
      </c>
      <c r="BM73" s="755"/>
      <c r="BN73" s="719">
        <f t="shared" si="188"/>
        <v>0</v>
      </c>
      <c r="BO73" s="719">
        <f t="shared" si="189"/>
        <v>110</v>
      </c>
      <c r="BP73" s="755"/>
      <c r="BQ73" s="719">
        <f>IF(AND((COUNTIFS('3a Staff Plan'!$J$129:$J$305,FA73)*$B$22)+(COUNTIFS('3b Activity Plan'!$J$173:$J$365,FA73)*$M$22)=0,FB73&gt;0),1,0)</f>
        <v>0</v>
      </c>
      <c r="BR73" s="719">
        <f t="shared" si="114"/>
        <v>0</v>
      </c>
      <c r="BS73" s="719">
        <f t="shared" si="190"/>
        <v>0</v>
      </c>
      <c r="BT73" s="719">
        <f t="shared" si="191"/>
        <v>0</v>
      </c>
      <c r="BU73" s="719">
        <f t="shared" si="192"/>
        <v>0</v>
      </c>
      <c r="BV73" s="719">
        <f t="shared" si="193"/>
        <v>0</v>
      </c>
      <c r="BW73" s="719">
        <f t="shared" si="194"/>
        <v>0</v>
      </c>
      <c r="BX73" s="719">
        <f t="shared" si="195"/>
        <v>0</v>
      </c>
      <c r="BY73" s="719">
        <f t="shared" si="196"/>
        <v>0</v>
      </c>
      <c r="BZ73" s="719">
        <f t="shared" si="115"/>
        <v>0</v>
      </c>
      <c r="CA73" s="719">
        <f t="shared" si="116"/>
        <v>0</v>
      </c>
      <c r="CB73" s="719">
        <f t="shared" si="197"/>
        <v>0</v>
      </c>
      <c r="CC73" s="719"/>
      <c r="CD73" s="719"/>
      <c r="CE73" s="719">
        <f t="shared" si="198"/>
        <v>0</v>
      </c>
      <c r="CF73" s="719">
        <f t="shared" si="117"/>
        <v>0</v>
      </c>
      <c r="CG73" s="719">
        <f t="shared" si="118"/>
        <v>0</v>
      </c>
      <c r="CH73" s="719">
        <f t="shared" si="119"/>
        <v>0</v>
      </c>
      <c r="CI73" s="719">
        <f t="shared" si="120"/>
        <v>0</v>
      </c>
      <c r="CJ73" s="719">
        <f t="shared" si="121"/>
        <v>0</v>
      </c>
      <c r="CK73" s="719">
        <f t="shared" si="122"/>
        <v>0</v>
      </c>
      <c r="CL73" s="719">
        <f t="shared" si="123"/>
        <v>0</v>
      </c>
      <c r="CM73" s="719">
        <f t="shared" si="124"/>
        <v>0</v>
      </c>
      <c r="CN73" s="719">
        <f t="shared" si="125"/>
        <v>0</v>
      </c>
      <c r="CO73" s="719">
        <f t="shared" si="42"/>
        <v>0</v>
      </c>
      <c r="CP73" s="719">
        <f t="shared" si="78"/>
        <v>0</v>
      </c>
      <c r="CQ73" s="719">
        <f t="shared" si="126"/>
        <v>40</v>
      </c>
      <c r="CR73" s="719">
        <f t="shared" si="127"/>
        <v>0</v>
      </c>
      <c r="CS73" s="2526"/>
      <c r="CT73" s="2527">
        <f t="shared" si="128"/>
        <v>45</v>
      </c>
      <c r="CU73" s="2527">
        <f t="shared" si="146"/>
        <v>0</v>
      </c>
      <c r="CV73" s="2527">
        <f t="shared" si="147"/>
        <v>0</v>
      </c>
      <c r="CW73" s="2527">
        <f t="shared" si="43"/>
        <v>0</v>
      </c>
      <c r="CX73" s="755"/>
      <c r="CY73" s="2537"/>
      <c r="CZ73" s="499">
        <f t="shared" si="169"/>
        <v>0</v>
      </c>
      <c r="DA73" s="1107">
        <f t="shared" si="170"/>
        <v>0</v>
      </c>
      <c r="DB73" s="2537"/>
      <c r="DC73" s="499">
        <f t="shared" si="200"/>
        <v>0</v>
      </c>
      <c r="DD73" s="1107">
        <f t="shared" si="201"/>
        <v>0</v>
      </c>
      <c r="DE73" s="2537"/>
      <c r="DF73" s="499">
        <f t="shared" si="202"/>
        <v>0</v>
      </c>
      <c r="DG73" s="1107">
        <f t="shared" si="203"/>
        <v>0</v>
      </c>
      <c r="DH73" s="2537"/>
      <c r="DI73" s="499">
        <f t="shared" si="204"/>
        <v>0</v>
      </c>
      <c r="DJ73" s="1107">
        <f t="shared" si="205"/>
        <v>0</v>
      </c>
      <c r="DK73" s="2537"/>
      <c r="DL73" s="499">
        <f t="shared" si="206"/>
        <v>0</v>
      </c>
      <c r="DM73" s="1107">
        <f t="shared" si="207"/>
        <v>0</v>
      </c>
      <c r="DN73" s="2537"/>
      <c r="DO73" s="499">
        <f t="shared" si="208"/>
        <v>0</v>
      </c>
      <c r="DP73" s="1107">
        <f t="shared" si="209"/>
        <v>0</v>
      </c>
      <c r="DQ73" s="2537"/>
      <c r="DR73" s="2559"/>
      <c r="DS73" s="499">
        <f t="shared" si="148"/>
        <v>0</v>
      </c>
      <c r="DT73" s="1106">
        <f t="shared" si="149"/>
        <v>0</v>
      </c>
      <c r="DU73" s="2537"/>
      <c r="DV73" s="2559"/>
      <c r="DW73" s="2312">
        <f t="shared" si="150"/>
        <v>0</v>
      </c>
      <c r="DX73" s="1106">
        <f t="shared" si="151"/>
        <v>0</v>
      </c>
      <c r="DY73" s="2572"/>
      <c r="DZ73" s="2537"/>
      <c r="EA73" s="2537"/>
      <c r="EB73" s="2577" t="str">
        <f t="shared" si="210"/>
        <v>05</v>
      </c>
      <c r="EC73" s="2570"/>
      <c r="ED73" s="436">
        <f>IFERROR(INDEX('IPCS Data'!$H$8:$H$30,MATCH(EE73,'IPCS Data'!$I$8:$I$30,0)),0)</f>
        <v>0</v>
      </c>
      <c r="EE73" s="437"/>
      <c r="EF73" s="2570"/>
      <c r="EG73" s="499">
        <f>IFERROR(INDEX('IPCS Data'!$L$8:$L$27,MATCH(EH73,'IPCS Data'!$M$8:$M$27,0)),0)</f>
        <v>0</v>
      </c>
      <c r="EH73" s="437"/>
      <c r="EI73" s="2578" t="s">
        <v>5</v>
      </c>
      <c r="EJ73" s="748">
        <f>IFERROR(INDEX('IPCS Data'!$O$8:$O$110,MATCH(EK73,'IPCS Data'!$Q$8:$Q$110,0)),0)</f>
        <v>0</v>
      </c>
      <c r="EK73" s="437"/>
      <c r="EL73" s="2578"/>
      <c r="EM73" s="840">
        <f t="shared" si="230"/>
        <v>0</v>
      </c>
      <c r="EN73" s="841"/>
      <c r="EO73" s="2537"/>
      <c r="EP73" s="842">
        <f t="shared" si="231"/>
        <v>0</v>
      </c>
      <c r="EQ73" s="843"/>
      <c r="ER73" s="2537"/>
      <c r="ES73" s="840">
        <f t="shared" si="232"/>
        <v>0</v>
      </c>
      <c r="ET73" s="843"/>
      <c r="EU73" s="2537"/>
      <c r="EV73" s="1497"/>
      <c r="EW73" s="1683"/>
      <c r="EX73" s="2562">
        <f t="shared" si="211"/>
        <v>40</v>
      </c>
      <c r="EY73" s="2533"/>
      <c r="EZ73" s="2561"/>
      <c r="FA73" s="1324">
        <f t="shared" si="152"/>
        <v>0</v>
      </c>
      <c r="FB73" s="2629">
        <f t="shared" si="212"/>
        <v>0</v>
      </c>
      <c r="FC73" s="274"/>
      <c r="FD73" s="2626">
        <f t="shared" si="153"/>
        <v>0</v>
      </c>
      <c r="FE73" s="2626">
        <f t="shared" si="154"/>
        <v>0</v>
      </c>
      <c r="FF73" s="274"/>
      <c r="FG73" s="2616">
        <f t="shared" si="213"/>
        <v>0</v>
      </c>
      <c r="FH73" s="2616">
        <f t="shared" si="214"/>
        <v>0</v>
      </c>
      <c r="FI73" s="2616">
        <f t="shared" si="215"/>
        <v>0</v>
      </c>
      <c r="FJ73" s="2610" t="s">
        <v>5</v>
      </c>
      <c r="FK73" s="2616">
        <f t="shared" si="216"/>
        <v>0</v>
      </c>
      <c r="FL73" s="2616">
        <f t="shared" si="217"/>
        <v>0</v>
      </c>
      <c r="FM73" s="2616">
        <f t="shared" si="218"/>
        <v>0</v>
      </c>
      <c r="FN73" s="2622">
        <f t="shared" si="219"/>
        <v>0</v>
      </c>
      <c r="FO73" s="2615">
        <f t="shared" si="220"/>
        <v>0</v>
      </c>
      <c r="FP73" s="2624">
        <f t="shared" si="221"/>
        <v>0</v>
      </c>
      <c r="FQ73" s="2622">
        <f t="shared" si="222"/>
        <v>0</v>
      </c>
      <c r="FR73" s="2624">
        <f t="shared" si="223"/>
        <v>0</v>
      </c>
      <c r="FS73" s="2611" t="s">
        <v>5</v>
      </c>
      <c r="FT73" s="2616">
        <f t="shared" si="224"/>
        <v>0</v>
      </c>
      <c r="FU73" s="2622">
        <f t="shared" si="129"/>
        <v>0</v>
      </c>
      <c r="FV73" s="2616">
        <f t="shared" si="225"/>
        <v>0</v>
      </c>
      <c r="FW73" s="2612" t="s">
        <v>5</v>
      </c>
      <c r="FX73" s="2616">
        <f t="shared" si="171"/>
        <v>0</v>
      </c>
      <c r="FY73" s="2616">
        <f t="shared" si="226"/>
        <v>0</v>
      </c>
      <c r="FZ73" s="2613" t="s">
        <v>5</v>
      </c>
      <c r="GA73" s="2616">
        <f t="shared" si="48"/>
        <v>0</v>
      </c>
      <c r="GB73" s="2619">
        <f t="shared" si="234"/>
        <v>0</v>
      </c>
      <c r="GC73" s="2620">
        <f t="shared" si="228"/>
        <v>0</v>
      </c>
      <c r="GD73" s="2614"/>
      <c r="GE73" s="3195">
        <f t="shared" si="143"/>
        <v>0</v>
      </c>
      <c r="GF73" s="3195">
        <f t="shared" si="144"/>
        <v>0</v>
      </c>
      <c r="GG73" s="3193" t="str">
        <f t="shared" si="18"/>
        <v>X</v>
      </c>
      <c r="GH73" s="2531"/>
      <c r="GI73" s="3189" t="str">
        <f t="shared" si="155"/>
        <v/>
      </c>
      <c r="GJ73" s="2598"/>
      <c r="GK73" s="3173">
        <f t="shared" si="156"/>
        <v>0</v>
      </c>
      <c r="GL73" s="3173">
        <f t="shared" si="157"/>
        <v>0</v>
      </c>
      <c r="GM73" s="3173">
        <f t="shared" si="158"/>
        <v>0</v>
      </c>
      <c r="GN73" s="3174">
        <f t="shared" si="159"/>
        <v>0</v>
      </c>
      <c r="GO73" s="3174">
        <f t="shared" si="160"/>
        <v>0</v>
      </c>
      <c r="GP73" s="3175">
        <f t="shared" si="161"/>
        <v>0</v>
      </c>
      <c r="GQ73" s="3176">
        <f t="shared" si="162"/>
        <v>0</v>
      </c>
      <c r="GR73" s="3177">
        <f t="shared" si="163"/>
        <v>0</v>
      </c>
      <c r="GS73" s="3177">
        <f t="shared" si="164"/>
        <v>0</v>
      </c>
      <c r="GT73" s="3178">
        <f t="shared" si="165"/>
        <v>0</v>
      </c>
      <c r="GU73" s="3179"/>
      <c r="GV73" s="3178">
        <f t="shared" si="166"/>
        <v>0</v>
      </c>
      <c r="GW73" s="3177">
        <f t="shared" si="167"/>
        <v>0</v>
      </c>
      <c r="GX73" s="3180"/>
      <c r="GY73" s="3177">
        <f t="shared" si="168"/>
        <v>0</v>
      </c>
      <c r="GZ73" s="2593"/>
      <c r="HA73" s="277"/>
      <c r="HB73" s="277"/>
      <c r="HC73" s="277"/>
      <c r="HD73" s="277"/>
      <c r="HE73" s="277"/>
      <c r="HF73" s="277"/>
      <c r="HG73" s="277"/>
      <c r="HH73" s="277"/>
      <c r="HI73" s="277"/>
      <c r="HJ73" s="277"/>
      <c r="HK73" s="277"/>
      <c r="HL73" s="277"/>
      <c r="HM73" s="277"/>
      <c r="HN73" s="277"/>
      <c r="HO73" s="277"/>
    </row>
    <row r="74" spans="1:223" s="749" customFormat="1" ht="18" customHeight="1" x14ac:dyDescent="0.3">
      <c r="A74" s="755"/>
      <c r="B74" s="805">
        <f>SUMIFS('3a Staff Plan'!$T$129:$T$305,'3a Staff Plan'!$DF$129:$DF$305,1,'3a Staff Plan'!$DA$129:$DA$305,1,'3a Staff Plan'!$J$129:$J$305,$FA74)</f>
        <v>0</v>
      </c>
      <c r="C74" s="805">
        <f>SUMIFS('3a Staff Plan'!$U$129:$U$305,'3a Staff Plan'!$DF$129:$DF$305,1,'3a Staff Plan'!$DA$129:$DA$305,1,'3a Staff Plan'!$J$129:$J$305,$FA74)</f>
        <v>0</v>
      </c>
      <c r="D74" s="805">
        <f>SUMIFS('3a Staff Plan'!$Z$129:$Z$305,'3a Staff Plan'!$DF$129:$DF$305,1,'3a Staff Plan'!$DA$129:$DA$305,1,'3a Staff Plan'!$J$129:$J$305,$FA74)</f>
        <v>0</v>
      </c>
      <c r="E74" s="805">
        <f>SUMIFS('3a Staff Plan'!$Y$129:$Y$305,'3a Staff Plan'!$DF$129:$DF$305,1,'3a Staff Plan'!$DA$129:$DA$305,1,'3a Staff Plan'!$J$129:$J$305,$FA74)</f>
        <v>0</v>
      </c>
      <c r="F74" s="805">
        <f>SUMIFS('3a Staff Plan'!$X$129:$X$305,'3a Staff Plan'!$DF$129:$DF$305,1,'3a Staff Plan'!$DA$129:$DA$305,1,'3a Staff Plan'!$AG$129:$AG$305,1,'3a Staff Plan'!$J$129:$J$305,$FA74)</f>
        <v>0</v>
      </c>
      <c r="G74" s="805">
        <f>IF($G$24=0,0,SUMIFS('3a Staff Plan'!$W$129:$W$305,'3a Staff Plan'!$DF$129:$DF$305,1,'3a Staff Plan'!$DA$129:$DA$305,1,'3a Staff Plan'!$J$129:$J$305,$FA74))</f>
        <v>0</v>
      </c>
      <c r="H74" s="795">
        <f t="shared" si="172"/>
        <v>0</v>
      </c>
      <c r="I74" s="805">
        <f>SUMIFS('3a Staff Plan'!$V$129:$V$305,'3a Staff Plan'!$DF$129:$DF$305,1,'3a Staff Plan'!$DA$129:$DA$305,1,'3a Staff Plan'!$J$129:$J$305,$FA74)</f>
        <v>0</v>
      </c>
      <c r="J74" s="805">
        <f>SUMIFS('3a Staff Plan'!$AB$129:$AB$305,'3a Staff Plan'!$DF$129:$DF$305,1,'3a Staff Plan'!$DA$129:$DA$305,1,'3a Staff Plan'!$J$129:$J$305,$FA74)</f>
        <v>0</v>
      </c>
      <c r="K74" s="805">
        <f>SUMIFS('3a Staff Plan'!$AA$129:$AA$305,'3a Staff Plan'!$DF$129:$DF$305,1,'3a Staff Plan'!$DA$129:$DA$305,1,'3a Staff Plan'!$AG$129:$AG$305,1,'3a Staff Plan'!$J$129:$J$305,$FA74)</f>
        <v>0</v>
      </c>
      <c r="L74" s="755"/>
      <c r="M74" s="805">
        <f>SUMIFS('3b Activity Plan'!$T$173:$T$365,'3b Activity Plan'!$CY$173:$CY$365,1,'3b Activity Plan'!$CT$173:$CT$365,1,'3b Activity Plan'!$J$173:$J$365,$FA74)</f>
        <v>0</v>
      </c>
      <c r="N74" s="805">
        <f>SUMIFS('3b Activity Plan'!$U$173:$U$365,'3b Activity Plan'!$CY$173:$CY$365,1,'3b Activity Plan'!$CT$173:$CT$365,1,'3b Activity Plan'!$J$173:$J$365,$FA74)</f>
        <v>0</v>
      </c>
      <c r="O74" s="805">
        <f>SUMIFS('3b Activity Plan'!$Z$173:$Z$365,'3b Activity Plan'!$CY$173:$CY$365,1,'3b Activity Plan'!$CT$173:$CT$365,1,'3b Activity Plan'!$J$173:$J$365,$FA74)</f>
        <v>0</v>
      </c>
      <c r="P74" s="805">
        <f>SUMIFS('3b Activity Plan'!$Y$173:$Y$365,'3b Activity Plan'!$CY$173:$CY$365,1,'3b Activity Plan'!$CT$173:$CT$365,1,'3b Activity Plan'!$J$173:$J$365,$FA74)</f>
        <v>0</v>
      </c>
      <c r="Q74" s="805">
        <f>SUMIFS('3b Activity Plan'!$X$173:$X$365,'3b Activity Plan'!$CY$173:$CY$365,1,'3b Activity Plan'!$CT$173:$CT$365,1,'3b Activity Plan'!$J$173:$J$365,$FA74)</f>
        <v>0</v>
      </c>
      <c r="R74" s="805">
        <f>IF($R$24=0,0,SUMIFS('3b Activity Plan'!$W$173:$W$365,'3b Activity Plan'!$CY$173:$CY$365,1,'3b Activity Plan'!$CT$173:$CT$365,1,'3b Activity Plan'!$J$173:$J$365,$FA74))</f>
        <v>0</v>
      </c>
      <c r="S74" s="795">
        <f t="shared" si="173"/>
        <v>0</v>
      </c>
      <c r="T74" s="805">
        <f>SUMIFS('3b Activity Plan'!$V$173:$V$365,'3b Activity Plan'!$CY$173:$CY$365,1,'3b Activity Plan'!$CT$173:$CT$365,1,'3b Activity Plan'!$J$173:$J$365,$FA74)</f>
        <v>0</v>
      </c>
      <c r="U74" s="805">
        <f>SUMIFS('3b Activity Plan'!$AB$173:$AB$365,'3b Activity Plan'!$CY$173:$CY$365,1,'3b Activity Plan'!$CT$173:$CT$365,1,'3b Activity Plan'!$J$173:$J$365,$FA74)</f>
        <v>0</v>
      </c>
      <c r="V74" s="805">
        <f>SUMIFS('3b Activity Plan'!$AA$173:$AA$365,'3b Activity Plan'!$CY$173:$CY$365,1,'3b Activity Plan'!$CT$173:$CT$365,1,'3b Activity Plan'!$J$173:$J$365,$FA74)</f>
        <v>0</v>
      </c>
      <c r="W74" s="755"/>
      <c r="X74" s="2641">
        <f>SUMIFS('3b Activity Plan'!$FU$173:$FU$365,'3b Activity Plan'!$J$173:$J$365,$FA74)</f>
        <v>0</v>
      </c>
      <c r="Y74" s="2641">
        <f>SUMIFS('3b Activity Plan'!$FW$173:$FW$365,'3b Activity Plan'!$J$173:$J$365,$FA74)</f>
        <v>0</v>
      </c>
      <c r="Z74" s="2639">
        <f t="shared" si="132"/>
        <v>0</v>
      </c>
      <c r="AA74" s="755"/>
      <c r="AB74" s="761">
        <f>_xlfn.MINIFS('3a Staff Plan'!$EB$129:$EB$304,'3a Staff Plan'!$DF$129:$DF$304,1,'3a Staff Plan'!$J$129:$J$304,FA74)</f>
        <v>0</v>
      </c>
      <c r="AC74" s="761">
        <f>_xlfn.MAXIFS('3a Staff Plan'!$EC$129:$EC$304,'3a Staff Plan'!$DF$129:$DF$304,1,'3a Staff Plan'!$J$129:$J$304,FA74)</f>
        <v>0</v>
      </c>
      <c r="AD74" s="755"/>
      <c r="AE74" s="761">
        <f>_xlfn.MINIFS('3b Activity Plan'!$GN$173:$GN$365,'3b Activity Plan'!$CY$173:$CY$365,1,'3b Activity Plan'!$J$173:$J$365,$FA74)</f>
        <v>0</v>
      </c>
      <c r="AF74" s="761">
        <f>_xlfn.MAXIFS('3b Activity Plan'!$GO$173:$GO$365,'3b Activity Plan'!$CY$173:$CY$365,1,'3b Activity Plan'!$J$173:$J$365,$FA74)</f>
        <v>0</v>
      </c>
      <c r="AG74" s="755"/>
      <c r="AH74" s="761">
        <f t="shared" si="174"/>
        <v>0</v>
      </c>
      <c r="AI74" s="761">
        <f t="shared" si="175"/>
        <v>0</v>
      </c>
      <c r="AJ74" s="755"/>
      <c r="AK74" s="761">
        <f t="shared" si="176"/>
        <v>0</v>
      </c>
      <c r="AL74" s="761">
        <f t="shared" si="177"/>
        <v>0</v>
      </c>
      <c r="AM74" s="776">
        <f t="shared" si="178"/>
        <v>0</v>
      </c>
      <c r="AN74" s="755"/>
      <c r="AO74" s="748">
        <f t="shared" si="179"/>
        <v>0</v>
      </c>
      <c r="AP74" s="748">
        <f t="shared" si="180"/>
        <v>0</v>
      </c>
      <c r="AQ74" s="748">
        <f t="shared" si="181"/>
        <v>0</v>
      </c>
      <c r="AR74" s="748">
        <f t="shared" si="182"/>
        <v>0</v>
      </c>
      <c r="AS74" s="748">
        <f t="shared" si="183"/>
        <v>0</v>
      </c>
      <c r="AT74" s="748">
        <f t="shared" si="184"/>
        <v>0</v>
      </c>
      <c r="AU74" s="748">
        <f t="shared" si="185"/>
        <v>0</v>
      </c>
      <c r="AV74" s="748">
        <f>IFERROR(INDEX('IPCS Data'!$R$8:$R$109,MATCH(EJ74,'IPCS Data'!$O$8:$O$109,0)),0)</f>
        <v>0</v>
      </c>
      <c r="AW74" s="755"/>
      <c r="AX74" s="499">
        <f>IFERROR(INDEX('IPCS Data'!$P$18:$P$110,MATCH(EK74,'IPCS Data'!$Q$18:$Q$110,0)),0)</f>
        <v>0</v>
      </c>
      <c r="AY74" s="1950" t="str">
        <f t="shared" si="110"/>
        <v/>
      </c>
      <c r="AZ74" s="755"/>
      <c r="BA74" s="753" t="str">
        <f>IFERROR(IF(MATCH(EJ74,'IPCS Data'!$O$8:$O$110,0)&gt;=25,"L","N"),"N")</f>
        <v>N</v>
      </c>
      <c r="BB74" s="774"/>
      <c r="BC74" s="753" t="str">
        <f t="shared" si="111"/>
        <v>N</v>
      </c>
      <c r="BD74" s="753" t="str">
        <f t="shared" si="39"/>
        <v>Non-Labor</v>
      </c>
      <c r="BE74" s="755"/>
      <c r="BF74" s="753" t="str">
        <f t="shared" si="112"/>
        <v>B23672.05</v>
      </c>
      <c r="BG74" s="753" t="str">
        <f t="shared" si="229"/>
        <v>0.0.0</v>
      </c>
      <c r="BH74" s="753">
        <f t="shared" si="187"/>
        <v>0</v>
      </c>
      <c r="BI74" s="753">
        <f t="shared" si="145"/>
        <v>0</v>
      </c>
      <c r="BJ74" s="753">
        <f t="shared" si="113"/>
        <v>0</v>
      </c>
      <c r="BK74" s="753">
        <f t="shared" si="40"/>
        <v>0</v>
      </c>
      <c r="BL74" s="753" t="b">
        <f t="shared" si="131"/>
        <v>1</v>
      </c>
      <c r="BM74" s="755"/>
      <c r="BN74" s="719">
        <f t="shared" si="188"/>
        <v>0</v>
      </c>
      <c r="BO74" s="719">
        <f t="shared" si="189"/>
        <v>110</v>
      </c>
      <c r="BP74" s="755"/>
      <c r="BQ74" s="719">
        <f>IF(AND((COUNTIFS('3a Staff Plan'!$J$129:$J$305,FA74)*$B$22)+(COUNTIFS('3b Activity Plan'!$J$173:$J$365,FA74)*$M$22)=0,FB74&gt;0),1,0)</f>
        <v>0</v>
      </c>
      <c r="BR74" s="719">
        <f t="shared" si="114"/>
        <v>0</v>
      </c>
      <c r="BS74" s="719">
        <f t="shared" si="190"/>
        <v>0</v>
      </c>
      <c r="BT74" s="719">
        <f t="shared" si="191"/>
        <v>0</v>
      </c>
      <c r="BU74" s="719">
        <f t="shared" si="192"/>
        <v>0</v>
      </c>
      <c r="BV74" s="719">
        <f t="shared" si="193"/>
        <v>0</v>
      </c>
      <c r="BW74" s="719">
        <f t="shared" si="194"/>
        <v>0</v>
      </c>
      <c r="BX74" s="719">
        <f t="shared" si="195"/>
        <v>0</v>
      </c>
      <c r="BY74" s="719">
        <f t="shared" si="196"/>
        <v>0</v>
      </c>
      <c r="BZ74" s="719">
        <f t="shared" si="115"/>
        <v>0</v>
      </c>
      <c r="CA74" s="719">
        <f t="shared" si="116"/>
        <v>0</v>
      </c>
      <c r="CB74" s="719">
        <f t="shared" si="197"/>
        <v>0</v>
      </c>
      <c r="CC74" s="719"/>
      <c r="CD74" s="719"/>
      <c r="CE74" s="719">
        <f t="shared" si="198"/>
        <v>0</v>
      </c>
      <c r="CF74" s="719">
        <f t="shared" si="117"/>
        <v>0</v>
      </c>
      <c r="CG74" s="719">
        <f t="shared" si="118"/>
        <v>0</v>
      </c>
      <c r="CH74" s="719">
        <f t="shared" si="119"/>
        <v>0</v>
      </c>
      <c r="CI74" s="719">
        <f t="shared" si="120"/>
        <v>0</v>
      </c>
      <c r="CJ74" s="719">
        <f t="shared" si="121"/>
        <v>0</v>
      </c>
      <c r="CK74" s="719">
        <f t="shared" si="122"/>
        <v>0</v>
      </c>
      <c r="CL74" s="719">
        <f t="shared" si="123"/>
        <v>0</v>
      </c>
      <c r="CM74" s="719">
        <f t="shared" si="124"/>
        <v>0</v>
      </c>
      <c r="CN74" s="719">
        <f t="shared" si="125"/>
        <v>0</v>
      </c>
      <c r="CO74" s="719">
        <f t="shared" si="42"/>
        <v>0</v>
      </c>
      <c r="CP74" s="719">
        <f t="shared" si="78"/>
        <v>0</v>
      </c>
      <c r="CQ74" s="719">
        <f t="shared" si="126"/>
        <v>41</v>
      </c>
      <c r="CR74" s="719">
        <f t="shared" si="127"/>
        <v>0</v>
      </c>
      <c r="CS74" s="2526"/>
      <c r="CT74" s="2527">
        <f t="shared" si="128"/>
        <v>46</v>
      </c>
      <c r="CU74" s="2527">
        <f t="shared" si="146"/>
        <v>0</v>
      </c>
      <c r="CV74" s="2527">
        <f t="shared" si="147"/>
        <v>0</v>
      </c>
      <c r="CW74" s="2527">
        <f t="shared" si="43"/>
        <v>0</v>
      </c>
      <c r="CX74" s="755"/>
      <c r="CY74" s="2537"/>
      <c r="CZ74" s="499">
        <f t="shared" si="169"/>
        <v>0</v>
      </c>
      <c r="DA74" s="1107">
        <f t="shared" si="170"/>
        <v>0</v>
      </c>
      <c r="DB74" s="2537"/>
      <c r="DC74" s="499">
        <f t="shared" si="200"/>
        <v>0</v>
      </c>
      <c r="DD74" s="1107">
        <f t="shared" si="201"/>
        <v>0</v>
      </c>
      <c r="DE74" s="2537"/>
      <c r="DF74" s="499">
        <f t="shared" si="202"/>
        <v>0</v>
      </c>
      <c r="DG74" s="1107">
        <f t="shared" si="203"/>
        <v>0</v>
      </c>
      <c r="DH74" s="2537"/>
      <c r="DI74" s="499">
        <f t="shared" si="204"/>
        <v>0</v>
      </c>
      <c r="DJ74" s="1107">
        <f t="shared" si="205"/>
        <v>0</v>
      </c>
      <c r="DK74" s="2537"/>
      <c r="DL74" s="499">
        <f t="shared" si="206"/>
        <v>0</v>
      </c>
      <c r="DM74" s="1107">
        <f t="shared" si="207"/>
        <v>0</v>
      </c>
      <c r="DN74" s="2537"/>
      <c r="DO74" s="499">
        <f t="shared" si="208"/>
        <v>0</v>
      </c>
      <c r="DP74" s="1107">
        <f t="shared" si="209"/>
        <v>0</v>
      </c>
      <c r="DQ74" s="2537"/>
      <c r="DR74" s="2559"/>
      <c r="DS74" s="499">
        <f t="shared" si="148"/>
        <v>0</v>
      </c>
      <c r="DT74" s="1106">
        <f t="shared" si="149"/>
        <v>0</v>
      </c>
      <c r="DU74" s="2537"/>
      <c r="DV74" s="2559"/>
      <c r="DW74" s="2312">
        <f t="shared" si="150"/>
        <v>0</v>
      </c>
      <c r="DX74" s="1106">
        <f t="shared" si="151"/>
        <v>0</v>
      </c>
      <c r="DY74" s="2572"/>
      <c r="DZ74" s="2537"/>
      <c r="EA74" s="2537"/>
      <c r="EB74" s="2577" t="str">
        <f t="shared" si="210"/>
        <v>05</v>
      </c>
      <c r="EC74" s="2570"/>
      <c r="ED74" s="436">
        <f>IFERROR(INDEX('IPCS Data'!$H$8:$H$30,MATCH(EE74,'IPCS Data'!$I$8:$I$30,0)),0)</f>
        <v>0</v>
      </c>
      <c r="EE74" s="437"/>
      <c r="EF74" s="2570"/>
      <c r="EG74" s="499">
        <f>IFERROR(INDEX('IPCS Data'!$L$8:$L$27,MATCH(EH74,'IPCS Data'!$M$8:$M$27,0)),0)</f>
        <v>0</v>
      </c>
      <c r="EH74" s="437"/>
      <c r="EI74" s="2578" t="s">
        <v>5</v>
      </c>
      <c r="EJ74" s="748">
        <f>IFERROR(INDEX('IPCS Data'!$O$8:$O$110,MATCH(EK74,'IPCS Data'!$Q$8:$Q$110,0)),0)</f>
        <v>0</v>
      </c>
      <c r="EK74" s="437"/>
      <c r="EL74" s="2578"/>
      <c r="EM74" s="840">
        <f t="shared" si="230"/>
        <v>0</v>
      </c>
      <c r="EN74" s="841"/>
      <c r="EO74" s="2537"/>
      <c r="EP74" s="842">
        <f t="shared" si="231"/>
        <v>0</v>
      </c>
      <c r="EQ74" s="843"/>
      <c r="ER74" s="2537"/>
      <c r="ES74" s="840">
        <f t="shared" si="232"/>
        <v>0</v>
      </c>
      <c r="ET74" s="843"/>
      <c r="EU74" s="2537"/>
      <c r="EV74" s="1497"/>
      <c r="EW74" s="1683"/>
      <c r="EX74" s="2562">
        <f t="shared" si="211"/>
        <v>41</v>
      </c>
      <c r="EY74" s="2533"/>
      <c r="EZ74" s="2561"/>
      <c r="FA74" s="1324">
        <f t="shared" si="152"/>
        <v>0</v>
      </c>
      <c r="FB74" s="2629">
        <f t="shared" si="212"/>
        <v>0</v>
      </c>
      <c r="FC74" s="274"/>
      <c r="FD74" s="2626">
        <f t="shared" si="153"/>
        <v>0</v>
      </c>
      <c r="FE74" s="2626">
        <f t="shared" si="154"/>
        <v>0</v>
      </c>
      <c r="FF74" s="274"/>
      <c r="FG74" s="2616">
        <f t="shared" si="213"/>
        <v>0</v>
      </c>
      <c r="FH74" s="2616">
        <f t="shared" si="214"/>
        <v>0</v>
      </c>
      <c r="FI74" s="2616">
        <f t="shared" si="215"/>
        <v>0</v>
      </c>
      <c r="FJ74" s="2610" t="s">
        <v>5</v>
      </c>
      <c r="FK74" s="2616">
        <f t="shared" si="216"/>
        <v>0</v>
      </c>
      <c r="FL74" s="2616">
        <f t="shared" si="217"/>
        <v>0</v>
      </c>
      <c r="FM74" s="2616">
        <f t="shared" si="218"/>
        <v>0</v>
      </c>
      <c r="FN74" s="2622">
        <f t="shared" si="219"/>
        <v>0</v>
      </c>
      <c r="FO74" s="2615">
        <f t="shared" si="220"/>
        <v>0</v>
      </c>
      <c r="FP74" s="2624">
        <f t="shared" si="221"/>
        <v>0</v>
      </c>
      <c r="FQ74" s="2622">
        <f t="shared" si="222"/>
        <v>0</v>
      </c>
      <c r="FR74" s="2624">
        <f t="shared" si="223"/>
        <v>0</v>
      </c>
      <c r="FS74" s="2611" t="s">
        <v>5</v>
      </c>
      <c r="FT74" s="2616">
        <f t="shared" si="224"/>
        <v>0</v>
      </c>
      <c r="FU74" s="2622">
        <f t="shared" si="129"/>
        <v>0</v>
      </c>
      <c r="FV74" s="2616">
        <f t="shared" si="225"/>
        <v>0</v>
      </c>
      <c r="FW74" s="2612" t="s">
        <v>5</v>
      </c>
      <c r="FX74" s="2616">
        <f t="shared" si="171"/>
        <v>0</v>
      </c>
      <c r="FY74" s="2616">
        <f t="shared" si="226"/>
        <v>0</v>
      </c>
      <c r="FZ74" s="2613" t="s">
        <v>5</v>
      </c>
      <c r="GA74" s="2616">
        <f t="shared" si="48"/>
        <v>0</v>
      </c>
      <c r="GB74" s="2619">
        <f t="shared" si="234"/>
        <v>0</v>
      </c>
      <c r="GC74" s="2620">
        <f t="shared" si="228"/>
        <v>0</v>
      </c>
      <c r="GD74" s="2614"/>
      <c r="GE74" s="3195">
        <f t="shared" si="143"/>
        <v>0</v>
      </c>
      <c r="GF74" s="3195">
        <f t="shared" si="144"/>
        <v>0</v>
      </c>
      <c r="GG74" s="3193" t="str">
        <f t="shared" si="18"/>
        <v>X</v>
      </c>
      <c r="GH74" s="2531"/>
      <c r="GI74" s="3189" t="str">
        <f t="shared" si="155"/>
        <v/>
      </c>
      <c r="GJ74" s="2598"/>
      <c r="GK74" s="3173">
        <f t="shared" si="156"/>
        <v>0</v>
      </c>
      <c r="GL74" s="3173">
        <f t="shared" si="157"/>
        <v>0</v>
      </c>
      <c r="GM74" s="3173">
        <f t="shared" si="158"/>
        <v>0</v>
      </c>
      <c r="GN74" s="3174">
        <f t="shared" si="159"/>
        <v>0</v>
      </c>
      <c r="GO74" s="3174">
        <f t="shared" si="160"/>
        <v>0</v>
      </c>
      <c r="GP74" s="3175">
        <f t="shared" si="161"/>
        <v>0</v>
      </c>
      <c r="GQ74" s="3176">
        <f t="shared" si="162"/>
        <v>0</v>
      </c>
      <c r="GR74" s="3177">
        <f t="shared" si="163"/>
        <v>0</v>
      </c>
      <c r="GS74" s="3177">
        <f t="shared" si="164"/>
        <v>0</v>
      </c>
      <c r="GT74" s="3178">
        <f t="shared" si="165"/>
        <v>0</v>
      </c>
      <c r="GU74" s="3179"/>
      <c r="GV74" s="3178">
        <f t="shared" si="166"/>
        <v>0</v>
      </c>
      <c r="GW74" s="3177">
        <f t="shared" si="167"/>
        <v>0</v>
      </c>
      <c r="GX74" s="3180"/>
      <c r="GY74" s="3177">
        <f t="shared" si="168"/>
        <v>0</v>
      </c>
      <c r="GZ74" s="2593"/>
      <c r="HA74" s="277"/>
      <c r="HB74" s="277"/>
      <c r="HC74" s="277"/>
      <c r="HD74" s="277"/>
      <c r="HE74" s="277"/>
      <c r="HF74" s="277"/>
      <c r="HG74" s="277"/>
      <c r="HH74" s="277"/>
      <c r="HI74" s="277"/>
      <c r="HJ74" s="277"/>
      <c r="HK74" s="277"/>
      <c r="HL74" s="277"/>
      <c r="HM74" s="277"/>
      <c r="HN74" s="277"/>
      <c r="HO74" s="277"/>
    </row>
    <row r="75" spans="1:223" s="749" customFormat="1" ht="18" customHeight="1" x14ac:dyDescent="0.3">
      <c r="A75" s="755"/>
      <c r="B75" s="805">
        <f>SUMIFS('3a Staff Plan'!$T$129:$T$305,'3a Staff Plan'!$DF$129:$DF$305,1,'3a Staff Plan'!$DA$129:$DA$305,1,'3a Staff Plan'!$J$129:$J$305,$FA75)</f>
        <v>0</v>
      </c>
      <c r="C75" s="805">
        <f>SUMIFS('3a Staff Plan'!$U$129:$U$305,'3a Staff Plan'!$DF$129:$DF$305,1,'3a Staff Plan'!$DA$129:$DA$305,1,'3a Staff Plan'!$J$129:$J$305,$FA75)</f>
        <v>0</v>
      </c>
      <c r="D75" s="805">
        <f>SUMIFS('3a Staff Plan'!$Z$129:$Z$305,'3a Staff Plan'!$DF$129:$DF$305,1,'3a Staff Plan'!$DA$129:$DA$305,1,'3a Staff Plan'!$J$129:$J$305,$FA75)</f>
        <v>0</v>
      </c>
      <c r="E75" s="805">
        <f>SUMIFS('3a Staff Plan'!$Y$129:$Y$305,'3a Staff Plan'!$DF$129:$DF$305,1,'3a Staff Plan'!$DA$129:$DA$305,1,'3a Staff Plan'!$J$129:$J$305,$FA75)</f>
        <v>0</v>
      </c>
      <c r="F75" s="805">
        <f>SUMIFS('3a Staff Plan'!$X$129:$X$305,'3a Staff Plan'!$DF$129:$DF$305,1,'3a Staff Plan'!$DA$129:$DA$305,1,'3a Staff Plan'!$AG$129:$AG$305,1,'3a Staff Plan'!$J$129:$J$305,$FA75)</f>
        <v>0</v>
      </c>
      <c r="G75" s="805">
        <f>IF($G$24=0,0,SUMIFS('3a Staff Plan'!$W$129:$W$305,'3a Staff Plan'!$DF$129:$DF$305,1,'3a Staff Plan'!$DA$129:$DA$305,1,'3a Staff Plan'!$J$129:$J$305,$FA75))</f>
        <v>0</v>
      </c>
      <c r="H75" s="795">
        <f t="shared" si="172"/>
        <v>0</v>
      </c>
      <c r="I75" s="805">
        <f>SUMIFS('3a Staff Plan'!$V$129:$V$305,'3a Staff Plan'!$DF$129:$DF$305,1,'3a Staff Plan'!$DA$129:$DA$305,1,'3a Staff Plan'!$J$129:$J$305,$FA75)</f>
        <v>0</v>
      </c>
      <c r="J75" s="805">
        <f>SUMIFS('3a Staff Plan'!$AB$129:$AB$305,'3a Staff Plan'!$DF$129:$DF$305,1,'3a Staff Plan'!$DA$129:$DA$305,1,'3a Staff Plan'!$J$129:$J$305,$FA75)</f>
        <v>0</v>
      </c>
      <c r="K75" s="805">
        <f>SUMIFS('3a Staff Plan'!$AA$129:$AA$305,'3a Staff Plan'!$DF$129:$DF$305,1,'3a Staff Plan'!$DA$129:$DA$305,1,'3a Staff Plan'!$AG$129:$AG$305,1,'3a Staff Plan'!$J$129:$J$305,$FA75)</f>
        <v>0</v>
      </c>
      <c r="L75" s="755"/>
      <c r="M75" s="805">
        <f>SUMIFS('3b Activity Plan'!$T$173:$T$365,'3b Activity Plan'!$CY$173:$CY$365,1,'3b Activity Plan'!$CT$173:$CT$365,1,'3b Activity Plan'!$J$173:$J$365,$FA75)</f>
        <v>0</v>
      </c>
      <c r="N75" s="805">
        <f>SUMIFS('3b Activity Plan'!$U$173:$U$365,'3b Activity Plan'!$CY$173:$CY$365,1,'3b Activity Plan'!$CT$173:$CT$365,1,'3b Activity Plan'!$J$173:$J$365,$FA75)</f>
        <v>0</v>
      </c>
      <c r="O75" s="805">
        <f>SUMIFS('3b Activity Plan'!$Z$173:$Z$365,'3b Activity Plan'!$CY$173:$CY$365,1,'3b Activity Plan'!$CT$173:$CT$365,1,'3b Activity Plan'!$J$173:$J$365,$FA75)</f>
        <v>0</v>
      </c>
      <c r="P75" s="805">
        <f>SUMIFS('3b Activity Plan'!$Y$173:$Y$365,'3b Activity Plan'!$CY$173:$CY$365,1,'3b Activity Plan'!$CT$173:$CT$365,1,'3b Activity Plan'!$J$173:$J$365,$FA75)</f>
        <v>0</v>
      </c>
      <c r="Q75" s="805">
        <f>SUMIFS('3b Activity Plan'!$X$173:$X$365,'3b Activity Plan'!$CY$173:$CY$365,1,'3b Activity Plan'!$CT$173:$CT$365,1,'3b Activity Plan'!$J$173:$J$365,$FA75)</f>
        <v>0</v>
      </c>
      <c r="R75" s="805">
        <f>IF($R$24=0,0,SUMIFS('3b Activity Plan'!$W$173:$W$365,'3b Activity Plan'!$CY$173:$CY$365,1,'3b Activity Plan'!$CT$173:$CT$365,1,'3b Activity Plan'!$J$173:$J$365,$FA75))</f>
        <v>0</v>
      </c>
      <c r="S75" s="795">
        <f t="shared" si="173"/>
        <v>0</v>
      </c>
      <c r="T75" s="805">
        <f>SUMIFS('3b Activity Plan'!$V$173:$V$365,'3b Activity Plan'!$CY$173:$CY$365,1,'3b Activity Plan'!$CT$173:$CT$365,1,'3b Activity Plan'!$J$173:$J$365,$FA75)</f>
        <v>0</v>
      </c>
      <c r="U75" s="805">
        <f>SUMIFS('3b Activity Plan'!$AB$173:$AB$365,'3b Activity Plan'!$CY$173:$CY$365,1,'3b Activity Plan'!$CT$173:$CT$365,1,'3b Activity Plan'!$J$173:$J$365,$FA75)</f>
        <v>0</v>
      </c>
      <c r="V75" s="805">
        <f>SUMIFS('3b Activity Plan'!$AA$173:$AA$365,'3b Activity Plan'!$CY$173:$CY$365,1,'3b Activity Plan'!$CT$173:$CT$365,1,'3b Activity Plan'!$J$173:$J$365,$FA75)</f>
        <v>0</v>
      </c>
      <c r="W75" s="755"/>
      <c r="X75" s="2641">
        <f>SUMIFS('3b Activity Plan'!$FU$173:$FU$365,'3b Activity Plan'!$J$173:$J$365,$FA75)</f>
        <v>0</v>
      </c>
      <c r="Y75" s="2641">
        <f>SUMIFS('3b Activity Plan'!$FW$173:$FW$365,'3b Activity Plan'!$J$173:$J$365,$FA75)</f>
        <v>0</v>
      </c>
      <c r="Z75" s="2639">
        <f t="shared" si="132"/>
        <v>0</v>
      </c>
      <c r="AA75" s="755"/>
      <c r="AB75" s="761">
        <f>_xlfn.MINIFS('3a Staff Plan'!$EB$129:$EB$304,'3a Staff Plan'!$DF$129:$DF$304,1,'3a Staff Plan'!$J$129:$J$304,FA75)</f>
        <v>0</v>
      </c>
      <c r="AC75" s="761">
        <f>_xlfn.MAXIFS('3a Staff Plan'!$EC$129:$EC$304,'3a Staff Plan'!$DF$129:$DF$304,1,'3a Staff Plan'!$J$129:$J$304,FA75)</f>
        <v>0</v>
      </c>
      <c r="AD75" s="755"/>
      <c r="AE75" s="761">
        <f>_xlfn.MINIFS('3b Activity Plan'!$GN$173:$GN$365,'3b Activity Plan'!$CY$173:$CY$365,1,'3b Activity Plan'!$J$173:$J$365,$FA75)</f>
        <v>0</v>
      </c>
      <c r="AF75" s="761">
        <f>_xlfn.MAXIFS('3b Activity Plan'!$GO$173:$GO$365,'3b Activity Plan'!$CY$173:$CY$365,1,'3b Activity Plan'!$J$173:$J$365,$FA75)</f>
        <v>0</v>
      </c>
      <c r="AG75" s="755"/>
      <c r="AH75" s="761">
        <f t="shared" si="174"/>
        <v>0</v>
      </c>
      <c r="AI75" s="761">
        <f t="shared" si="175"/>
        <v>0</v>
      </c>
      <c r="AJ75" s="755"/>
      <c r="AK75" s="761">
        <f t="shared" si="176"/>
        <v>0</v>
      </c>
      <c r="AL75" s="761">
        <f t="shared" si="177"/>
        <v>0</v>
      </c>
      <c r="AM75" s="776">
        <f t="shared" si="178"/>
        <v>0</v>
      </c>
      <c r="AN75" s="755"/>
      <c r="AO75" s="748">
        <f t="shared" si="179"/>
        <v>0</v>
      </c>
      <c r="AP75" s="748">
        <f t="shared" si="180"/>
        <v>0</v>
      </c>
      <c r="AQ75" s="748">
        <f t="shared" si="181"/>
        <v>0</v>
      </c>
      <c r="AR75" s="748">
        <f t="shared" si="182"/>
        <v>0</v>
      </c>
      <c r="AS75" s="748">
        <f t="shared" si="183"/>
        <v>0</v>
      </c>
      <c r="AT75" s="748">
        <f t="shared" si="184"/>
        <v>0</v>
      </c>
      <c r="AU75" s="748">
        <f t="shared" si="185"/>
        <v>0</v>
      </c>
      <c r="AV75" s="748">
        <f>IFERROR(INDEX('IPCS Data'!$R$8:$R$109,MATCH(EJ75,'IPCS Data'!$O$8:$O$109,0)),0)</f>
        <v>0</v>
      </c>
      <c r="AW75" s="755"/>
      <c r="AX75" s="499">
        <f>IFERROR(INDEX('IPCS Data'!$P$18:$P$110,MATCH(EK75,'IPCS Data'!$Q$18:$Q$110,0)),0)</f>
        <v>0</v>
      </c>
      <c r="AY75" s="1950" t="str">
        <f t="shared" si="110"/>
        <v/>
      </c>
      <c r="AZ75" s="755"/>
      <c r="BA75" s="753" t="str">
        <f>IFERROR(IF(MATCH(EJ75,'IPCS Data'!$O$8:$O$110,0)&gt;=25,"L","N"),"N")</f>
        <v>N</v>
      </c>
      <c r="BB75" s="774"/>
      <c r="BC75" s="753" t="str">
        <f t="shared" si="111"/>
        <v>N</v>
      </c>
      <c r="BD75" s="753" t="str">
        <f t="shared" si="39"/>
        <v>Non-Labor</v>
      </c>
      <c r="BE75" s="755"/>
      <c r="BF75" s="753" t="str">
        <f t="shared" si="112"/>
        <v>B23672.05</v>
      </c>
      <c r="BG75" s="753" t="str">
        <f t="shared" si="229"/>
        <v>0.0.0</v>
      </c>
      <c r="BH75" s="753">
        <f t="shared" si="187"/>
        <v>0</v>
      </c>
      <c r="BI75" s="753">
        <f t="shared" si="145"/>
        <v>0</v>
      </c>
      <c r="BJ75" s="753">
        <f t="shared" si="113"/>
        <v>0</v>
      </c>
      <c r="BK75" s="753">
        <f t="shared" si="40"/>
        <v>0</v>
      </c>
      <c r="BL75" s="753" t="b">
        <f t="shared" si="131"/>
        <v>1</v>
      </c>
      <c r="BM75" s="755"/>
      <c r="BN75" s="719">
        <f t="shared" si="188"/>
        <v>0</v>
      </c>
      <c r="BO75" s="719">
        <f t="shared" si="189"/>
        <v>110</v>
      </c>
      <c r="BP75" s="755"/>
      <c r="BQ75" s="719">
        <f>IF(AND((COUNTIFS('3a Staff Plan'!$J$129:$J$305,FA75)*$B$22)+(COUNTIFS('3b Activity Plan'!$J$173:$J$365,FA75)*$M$22)=0,FB75&gt;0),1,0)</f>
        <v>0</v>
      </c>
      <c r="BR75" s="719">
        <f t="shared" si="114"/>
        <v>0</v>
      </c>
      <c r="BS75" s="719">
        <f t="shared" si="190"/>
        <v>0</v>
      </c>
      <c r="BT75" s="719">
        <f t="shared" si="191"/>
        <v>0</v>
      </c>
      <c r="BU75" s="719">
        <f t="shared" si="192"/>
        <v>0</v>
      </c>
      <c r="BV75" s="719">
        <f t="shared" si="193"/>
        <v>0</v>
      </c>
      <c r="BW75" s="719">
        <f t="shared" si="194"/>
        <v>0</v>
      </c>
      <c r="BX75" s="719">
        <f t="shared" si="195"/>
        <v>0</v>
      </c>
      <c r="BY75" s="719">
        <f t="shared" si="196"/>
        <v>0</v>
      </c>
      <c r="BZ75" s="719">
        <f t="shared" si="115"/>
        <v>0</v>
      </c>
      <c r="CA75" s="719">
        <f t="shared" si="116"/>
        <v>0</v>
      </c>
      <c r="CB75" s="719">
        <f t="shared" si="197"/>
        <v>0</v>
      </c>
      <c r="CC75" s="719"/>
      <c r="CD75" s="719"/>
      <c r="CE75" s="719">
        <f t="shared" si="198"/>
        <v>0</v>
      </c>
      <c r="CF75" s="719">
        <f t="shared" si="117"/>
        <v>0</v>
      </c>
      <c r="CG75" s="719">
        <f t="shared" si="118"/>
        <v>0</v>
      </c>
      <c r="CH75" s="719">
        <f t="shared" si="119"/>
        <v>0</v>
      </c>
      <c r="CI75" s="719">
        <f t="shared" si="120"/>
        <v>0</v>
      </c>
      <c r="CJ75" s="719">
        <f t="shared" si="121"/>
        <v>0</v>
      </c>
      <c r="CK75" s="719">
        <f t="shared" si="122"/>
        <v>0</v>
      </c>
      <c r="CL75" s="719">
        <f t="shared" si="123"/>
        <v>0</v>
      </c>
      <c r="CM75" s="719">
        <f t="shared" si="124"/>
        <v>0</v>
      </c>
      <c r="CN75" s="719">
        <f t="shared" si="125"/>
        <v>0</v>
      </c>
      <c r="CO75" s="719">
        <f t="shared" si="42"/>
        <v>0</v>
      </c>
      <c r="CP75" s="719">
        <f t="shared" si="78"/>
        <v>0</v>
      </c>
      <c r="CQ75" s="719">
        <f t="shared" si="126"/>
        <v>42</v>
      </c>
      <c r="CR75" s="719">
        <f t="shared" si="127"/>
        <v>0</v>
      </c>
      <c r="CS75" s="2526"/>
      <c r="CT75" s="2527">
        <f t="shared" si="128"/>
        <v>47</v>
      </c>
      <c r="CU75" s="2527">
        <f t="shared" si="146"/>
        <v>0</v>
      </c>
      <c r="CV75" s="2527">
        <f t="shared" si="147"/>
        <v>0</v>
      </c>
      <c r="CW75" s="2527">
        <f t="shared" si="43"/>
        <v>0</v>
      </c>
      <c r="CX75" s="755"/>
      <c r="CY75" s="2537"/>
      <c r="CZ75" s="499">
        <f t="shared" si="169"/>
        <v>0</v>
      </c>
      <c r="DA75" s="1107">
        <f t="shared" si="170"/>
        <v>0</v>
      </c>
      <c r="DB75" s="2537"/>
      <c r="DC75" s="499">
        <f t="shared" si="200"/>
        <v>0</v>
      </c>
      <c r="DD75" s="1107">
        <f t="shared" si="201"/>
        <v>0</v>
      </c>
      <c r="DE75" s="2537"/>
      <c r="DF75" s="499">
        <f t="shared" si="202"/>
        <v>0</v>
      </c>
      <c r="DG75" s="1107">
        <f t="shared" si="203"/>
        <v>0</v>
      </c>
      <c r="DH75" s="2537"/>
      <c r="DI75" s="499">
        <f t="shared" si="204"/>
        <v>0</v>
      </c>
      <c r="DJ75" s="1107">
        <f t="shared" si="205"/>
        <v>0</v>
      </c>
      <c r="DK75" s="2537"/>
      <c r="DL75" s="499">
        <f t="shared" si="206"/>
        <v>0</v>
      </c>
      <c r="DM75" s="1107">
        <f t="shared" si="207"/>
        <v>0</v>
      </c>
      <c r="DN75" s="2537"/>
      <c r="DO75" s="499">
        <f t="shared" si="208"/>
        <v>0</v>
      </c>
      <c r="DP75" s="1107">
        <f t="shared" si="209"/>
        <v>0</v>
      </c>
      <c r="DQ75" s="2537"/>
      <c r="DR75" s="2559"/>
      <c r="DS75" s="499">
        <f t="shared" si="148"/>
        <v>0</v>
      </c>
      <c r="DT75" s="1106">
        <f t="shared" si="149"/>
        <v>0</v>
      </c>
      <c r="DU75" s="2537"/>
      <c r="DV75" s="2559"/>
      <c r="DW75" s="2312">
        <f t="shared" si="150"/>
        <v>0</v>
      </c>
      <c r="DX75" s="1106">
        <f t="shared" si="151"/>
        <v>0</v>
      </c>
      <c r="DY75" s="2572"/>
      <c r="DZ75" s="2537"/>
      <c r="EA75" s="2537"/>
      <c r="EB75" s="2577" t="str">
        <f t="shared" si="210"/>
        <v>05</v>
      </c>
      <c r="EC75" s="2570"/>
      <c r="ED75" s="436">
        <f>IFERROR(INDEX('IPCS Data'!$H$8:$H$30,MATCH(EE75,'IPCS Data'!$I$8:$I$30,0)),0)</f>
        <v>0</v>
      </c>
      <c r="EE75" s="437"/>
      <c r="EF75" s="2570"/>
      <c r="EG75" s="499">
        <f>IFERROR(INDEX('IPCS Data'!$L$8:$L$27,MATCH(EH75,'IPCS Data'!$M$8:$M$27,0)),0)</f>
        <v>0</v>
      </c>
      <c r="EH75" s="437"/>
      <c r="EI75" s="2578" t="s">
        <v>5</v>
      </c>
      <c r="EJ75" s="748">
        <f>IFERROR(INDEX('IPCS Data'!$O$8:$O$110,MATCH(EK75,'IPCS Data'!$Q$8:$Q$110,0)),0)</f>
        <v>0</v>
      </c>
      <c r="EK75" s="437"/>
      <c r="EL75" s="2578"/>
      <c r="EM75" s="840">
        <f t="shared" si="230"/>
        <v>0</v>
      </c>
      <c r="EN75" s="841"/>
      <c r="EO75" s="2537"/>
      <c r="EP75" s="842">
        <f t="shared" si="231"/>
        <v>0</v>
      </c>
      <c r="EQ75" s="843"/>
      <c r="ER75" s="2537"/>
      <c r="ES75" s="840">
        <f t="shared" si="232"/>
        <v>0</v>
      </c>
      <c r="ET75" s="843"/>
      <c r="EU75" s="2537"/>
      <c r="EV75" s="1497"/>
      <c r="EW75" s="1683"/>
      <c r="EX75" s="2562">
        <f t="shared" si="211"/>
        <v>42</v>
      </c>
      <c r="EY75" s="2533"/>
      <c r="EZ75" s="2561"/>
      <c r="FA75" s="1324">
        <f t="shared" si="152"/>
        <v>0</v>
      </c>
      <c r="FB75" s="2629">
        <f t="shared" si="212"/>
        <v>0</v>
      </c>
      <c r="FC75" s="274"/>
      <c r="FD75" s="2626">
        <f t="shared" si="153"/>
        <v>0</v>
      </c>
      <c r="FE75" s="2626">
        <f t="shared" si="154"/>
        <v>0</v>
      </c>
      <c r="FF75" s="274"/>
      <c r="FG75" s="2616">
        <f t="shared" si="213"/>
        <v>0</v>
      </c>
      <c r="FH75" s="2616">
        <f t="shared" si="214"/>
        <v>0</v>
      </c>
      <c r="FI75" s="2616">
        <f t="shared" si="215"/>
        <v>0</v>
      </c>
      <c r="FJ75" s="2610" t="s">
        <v>5</v>
      </c>
      <c r="FK75" s="2616">
        <f t="shared" si="216"/>
        <v>0</v>
      </c>
      <c r="FL75" s="2616">
        <f t="shared" si="217"/>
        <v>0</v>
      </c>
      <c r="FM75" s="2616">
        <f t="shared" si="218"/>
        <v>0</v>
      </c>
      <c r="FN75" s="2622">
        <f t="shared" si="219"/>
        <v>0</v>
      </c>
      <c r="FO75" s="2615">
        <f t="shared" si="220"/>
        <v>0</v>
      </c>
      <c r="FP75" s="2624">
        <f t="shared" si="221"/>
        <v>0</v>
      </c>
      <c r="FQ75" s="2622">
        <f t="shared" si="222"/>
        <v>0</v>
      </c>
      <c r="FR75" s="2624">
        <f t="shared" si="223"/>
        <v>0</v>
      </c>
      <c r="FS75" s="2611" t="s">
        <v>5</v>
      </c>
      <c r="FT75" s="2616">
        <f t="shared" si="224"/>
        <v>0</v>
      </c>
      <c r="FU75" s="2622">
        <f t="shared" si="129"/>
        <v>0</v>
      </c>
      <c r="FV75" s="2616">
        <f t="shared" si="225"/>
        <v>0</v>
      </c>
      <c r="FW75" s="2612" t="s">
        <v>5</v>
      </c>
      <c r="FX75" s="2616">
        <f t="shared" si="171"/>
        <v>0</v>
      </c>
      <c r="FY75" s="2616">
        <f t="shared" si="226"/>
        <v>0</v>
      </c>
      <c r="FZ75" s="2613" t="s">
        <v>5</v>
      </c>
      <c r="GA75" s="2616">
        <f t="shared" si="48"/>
        <v>0</v>
      </c>
      <c r="GB75" s="2619">
        <f t="shared" si="234"/>
        <v>0</v>
      </c>
      <c r="GC75" s="2620">
        <f t="shared" si="228"/>
        <v>0</v>
      </c>
      <c r="GD75" s="2614"/>
      <c r="GE75" s="3195">
        <f t="shared" si="143"/>
        <v>0</v>
      </c>
      <c r="GF75" s="3195">
        <f t="shared" si="144"/>
        <v>0</v>
      </c>
      <c r="GG75" s="3193" t="str">
        <f t="shared" si="18"/>
        <v>X</v>
      </c>
      <c r="GH75" s="2531"/>
      <c r="GI75" s="3189" t="str">
        <f t="shared" si="155"/>
        <v/>
      </c>
      <c r="GJ75" s="2598"/>
      <c r="GK75" s="3173">
        <f t="shared" si="156"/>
        <v>0</v>
      </c>
      <c r="GL75" s="3173">
        <f t="shared" si="157"/>
        <v>0</v>
      </c>
      <c r="GM75" s="3173">
        <f t="shared" si="158"/>
        <v>0</v>
      </c>
      <c r="GN75" s="3174">
        <f t="shared" si="159"/>
        <v>0</v>
      </c>
      <c r="GO75" s="3174">
        <f t="shared" si="160"/>
        <v>0</v>
      </c>
      <c r="GP75" s="3175">
        <f t="shared" si="161"/>
        <v>0</v>
      </c>
      <c r="GQ75" s="3176">
        <f t="shared" si="162"/>
        <v>0</v>
      </c>
      <c r="GR75" s="3177">
        <f t="shared" si="163"/>
        <v>0</v>
      </c>
      <c r="GS75" s="3177">
        <f t="shared" si="164"/>
        <v>0</v>
      </c>
      <c r="GT75" s="3178">
        <f t="shared" si="165"/>
        <v>0</v>
      </c>
      <c r="GU75" s="3179"/>
      <c r="GV75" s="3178">
        <f t="shared" si="166"/>
        <v>0</v>
      </c>
      <c r="GW75" s="3177">
        <f t="shared" si="167"/>
        <v>0</v>
      </c>
      <c r="GX75" s="3180"/>
      <c r="GY75" s="3177">
        <f t="shared" si="168"/>
        <v>0</v>
      </c>
      <c r="GZ75" s="2593"/>
      <c r="HA75" s="277"/>
      <c r="HB75" s="277"/>
      <c r="HC75" s="277"/>
      <c r="HD75" s="277"/>
      <c r="HE75" s="277"/>
      <c r="HF75" s="277"/>
      <c r="HG75" s="277"/>
      <c r="HH75" s="277"/>
      <c r="HI75" s="277"/>
      <c r="HJ75" s="277"/>
      <c r="HK75" s="277"/>
      <c r="HL75" s="277"/>
      <c r="HM75" s="277"/>
      <c r="HN75" s="277"/>
      <c r="HO75" s="277"/>
    </row>
    <row r="76" spans="1:223" s="749" customFormat="1" ht="18" customHeight="1" x14ac:dyDescent="0.3">
      <c r="A76" s="755"/>
      <c r="B76" s="805">
        <f>SUMIFS('3a Staff Plan'!$T$129:$T$305,'3a Staff Plan'!$DF$129:$DF$305,1,'3a Staff Plan'!$DA$129:$DA$305,1,'3a Staff Plan'!$J$129:$J$305,$FA76)</f>
        <v>0</v>
      </c>
      <c r="C76" s="805">
        <f>SUMIFS('3a Staff Plan'!$U$129:$U$305,'3a Staff Plan'!$DF$129:$DF$305,1,'3a Staff Plan'!$DA$129:$DA$305,1,'3a Staff Plan'!$J$129:$J$305,$FA76)</f>
        <v>0</v>
      </c>
      <c r="D76" s="805">
        <f>SUMIFS('3a Staff Plan'!$Z$129:$Z$305,'3a Staff Plan'!$DF$129:$DF$305,1,'3a Staff Plan'!$DA$129:$DA$305,1,'3a Staff Plan'!$J$129:$J$305,$FA76)</f>
        <v>0</v>
      </c>
      <c r="E76" s="805">
        <f>SUMIFS('3a Staff Plan'!$Y$129:$Y$305,'3a Staff Plan'!$DF$129:$DF$305,1,'3a Staff Plan'!$DA$129:$DA$305,1,'3a Staff Plan'!$J$129:$J$305,$FA76)</f>
        <v>0</v>
      </c>
      <c r="F76" s="805">
        <f>SUMIFS('3a Staff Plan'!$X$129:$X$305,'3a Staff Plan'!$DF$129:$DF$305,1,'3a Staff Plan'!$DA$129:$DA$305,1,'3a Staff Plan'!$AG$129:$AG$305,1,'3a Staff Plan'!$J$129:$J$305,$FA76)</f>
        <v>0</v>
      </c>
      <c r="G76" s="805">
        <f>IF($G$24=0,0,SUMIFS('3a Staff Plan'!$W$129:$W$305,'3a Staff Plan'!$DF$129:$DF$305,1,'3a Staff Plan'!$DA$129:$DA$305,1,'3a Staff Plan'!$J$129:$J$305,$FA76))</f>
        <v>0</v>
      </c>
      <c r="H76" s="795">
        <f t="shared" si="172"/>
        <v>0</v>
      </c>
      <c r="I76" s="805">
        <f>SUMIFS('3a Staff Plan'!$V$129:$V$305,'3a Staff Plan'!$DF$129:$DF$305,1,'3a Staff Plan'!$DA$129:$DA$305,1,'3a Staff Plan'!$J$129:$J$305,$FA76)</f>
        <v>0</v>
      </c>
      <c r="J76" s="805">
        <f>SUMIFS('3a Staff Plan'!$AB$129:$AB$305,'3a Staff Plan'!$DF$129:$DF$305,1,'3a Staff Plan'!$DA$129:$DA$305,1,'3a Staff Plan'!$J$129:$J$305,$FA76)</f>
        <v>0</v>
      </c>
      <c r="K76" s="805">
        <f>SUMIFS('3a Staff Plan'!$AA$129:$AA$305,'3a Staff Plan'!$DF$129:$DF$305,1,'3a Staff Plan'!$DA$129:$DA$305,1,'3a Staff Plan'!$AG$129:$AG$305,1,'3a Staff Plan'!$J$129:$J$305,$FA76)</f>
        <v>0</v>
      </c>
      <c r="L76" s="755"/>
      <c r="M76" s="805">
        <f>SUMIFS('3b Activity Plan'!$T$173:$T$365,'3b Activity Plan'!$CY$173:$CY$365,1,'3b Activity Plan'!$CT$173:$CT$365,1,'3b Activity Plan'!$J$173:$J$365,$FA76)</f>
        <v>0</v>
      </c>
      <c r="N76" s="805">
        <f>SUMIFS('3b Activity Plan'!$U$173:$U$365,'3b Activity Plan'!$CY$173:$CY$365,1,'3b Activity Plan'!$CT$173:$CT$365,1,'3b Activity Plan'!$J$173:$J$365,$FA76)</f>
        <v>0</v>
      </c>
      <c r="O76" s="805">
        <f>SUMIFS('3b Activity Plan'!$Z$173:$Z$365,'3b Activity Plan'!$CY$173:$CY$365,1,'3b Activity Plan'!$CT$173:$CT$365,1,'3b Activity Plan'!$J$173:$J$365,$FA76)</f>
        <v>0</v>
      </c>
      <c r="P76" s="805">
        <f>SUMIFS('3b Activity Plan'!$Y$173:$Y$365,'3b Activity Plan'!$CY$173:$CY$365,1,'3b Activity Plan'!$CT$173:$CT$365,1,'3b Activity Plan'!$J$173:$J$365,$FA76)</f>
        <v>0</v>
      </c>
      <c r="Q76" s="805">
        <f>SUMIFS('3b Activity Plan'!$X$173:$X$365,'3b Activity Plan'!$CY$173:$CY$365,1,'3b Activity Plan'!$CT$173:$CT$365,1,'3b Activity Plan'!$J$173:$J$365,$FA76)</f>
        <v>0</v>
      </c>
      <c r="R76" s="805">
        <f>IF($R$24=0,0,SUMIFS('3b Activity Plan'!$W$173:$W$365,'3b Activity Plan'!$CY$173:$CY$365,1,'3b Activity Plan'!$CT$173:$CT$365,1,'3b Activity Plan'!$J$173:$J$365,$FA76))</f>
        <v>0</v>
      </c>
      <c r="S76" s="795">
        <f t="shared" si="173"/>
        <v>0</v>
      </c>
      <c r="T76" s="805">
        <f>SUMIFS('3b Activity Plan'!$V$173:$V$365,'3b Activity Plan'!$CY$173:$CY$365,1,'3b Activity Plan'!$CT$173:$CT$365,1,'3b Activity Plan'!$J$173:$J$365,$FA76)</f>
        <v>0</v>
      </c>
      <c r="U76" s="805">
        <f>SUMIFS('3b Activity Plan'!$AB$173:$AB$365,'3b Activity Plan'!$CY$173:$CY$365,1,'3b Activity Plan'!$CT$173:$CT$365,1,'3b Activity Plan'!$J$173:$J$365,$FA76)</f>
        <v>0</v>
      </c>
      <c r="V76" s="805">
        <f>SUMIFS('3b Activity Plan'!$AA$173:$AA$365,'3b Activity Plan'!$CY$173:$CY$365,1,'3b Activity Plan'!$CT$173:$CT$365,1,'3b Activity Plan'!$J$173:$J$365,$FA76)</f>
        <v>0</v>
      </c>
      <c r="W76" s="755"/>
      <c r="X76" s="2641">
        <f>SUMIFS('3b Activity Plan'!$FU$173:$FU$365,'3b Activity Plan'!$J$173:$J$365,$FA76)</f>
        <v>0</v>
      </c>
      <c r="Y76" s="2641">
        <f>SUMIFS('3b Activity Plan'!$FW$173:$FW$365,'3b Activity Plan'!$J$173:$J$365,$FA76)</f>
        <v>0</v>
      </c>
      <c r="Z76" s="2639">
        <f t="shared" si="132"/>
        <v>0</v>
      </c>
      <c r="AA76" s="755"/>
      <c r="AB76" s="761">
        <f>_xlfn.MINIFS('3a Staff Plan'!$EB$129:$EB$304,'3a Staff Plan'!$DF$129:$DF$304,1,'3a Staff Plan'!$J$129:$J$304,FA76)</f>
        <v>0</v>
      </c>
      <c r="AC76" s="761">
        <f>_xlfn.MAXIFS('3a Staff Plan'!$EC$129:$EC$304,'3a Staff Plan'!$DF$129:$DF$304,1,'3a Staff Plan'!$J$129:$J$304,FA76)</f>
        <v>0</v>
      </c>
      <c r="AD76" s="755"/>
      <c r="AE76" s="761">
        <f>_xlfn.MINIFS('3b Activity Plan'!$GN$173:$GN$365,'3b Activity Plan'!$CY$173:$CY$365,1,'3b Activity Plan'!$J$173:$J$365,$FA76)</f>
        <v>0</v>
      </c>
      <c r="AF76" s="761">
        <f>_xlfn.MAXIFS('3b Activity Plan'!$GO$173:$GO$365,'3b Activity Plan'!$CY$173:$CY$365,1,'3b Activity Plan'!$J$173:$J$365,$FA76)</f>
        <v>0</v>
      </c>
      <c r="AG76" s="755"/>
      <c r="AH76" s="761">
        <f t="shared" si="174"/>
        <v>0</v>
      </c>
      <c r="AI76" s="761">
        <f t="shared" si="175"/>
        <v>0</v>
      </c>
      <c r="AJ76" s="755"/>
      <c r="AK76" s="761">
        <f t="shared" si="176"/>
        <v>0</v>
      </c>
      <c r="AL76" s="761">
        <f t="shared" si="177"/>
        <v>0</v>
      </c>
      <c r="AM76" s="776">
        <f t="shared" si="178"/>
        <v>0</v>
      </c>
      <c r="AN76" s="755"/>
      <c r="AO76" s="748">
        <f t="shared" si="179"/>
        <v>0</v>
      </c>
      <c r="AP76" s="748">
        <f t="shared" si="180"/>
        <v>0</v>
      </c>
      <c r="AQ76" s="748">
        <f t="shared" si="181"/>
        <v>0</v>
      </c>
      <c r="AR76" s="748">
        <f t="shared" si="182"/>
        <v>0</v>
      </c>
      <c r="AS76" s="748">
        <f t="shared" si="183"/>
        <v>0</v>
      </c>
      <c r="AT76" s="748">
        <f t="shared" si="184"/>
        <v>0</v>
      </c>
      <c r="AU76" s="748">
        <f t="shared" si="185"/>
        <v>0</v>
      </c>
      <c r="AV76" s="748">
        <f>IFERROR(INDEX('IPCS Data'!$R$8:$R$109,MATCH(EJ76,'IPCS Data'!$O$8:$O$109,0)),0)</f>
        <v>0</v>
      </c>
      <c r="AW76" s="755"/>
      <c r="AX76" s="499">
        <f>IFERROR(INDEX('IPCS Data'!$P$18:$P$110,MATCH(EK76,'IPCS Data'!$Q$18:$Q$110,0)),0)</f>
        <v>0</v>
      </c>
      <c r="AY76" s="1950" t="str">
        <f t="shared" si="110"/>
        <v/>
      </c>
      <c r="AZ76" s="755"/>
      <c r="BA76" s="753" t="str">
        <f>IFERROR(IF(MATCH(EJ76,'IPCS Data'!$O$8:$O$110,0)&gt;=25,"L","N"),"N")</f>
        <v>N</v>
      </c>
      <c r="BB76" s="774"/>
      <c r="BC76" s="753" t="str">
        <f t="shared" si="111"/>
        <v>N</v>
      </c>
      <c r="BD76" s="753" t="str">
        <f t="shared" si="39"/>
        <v>Non-Labor</v>
      </c>
      <c r="BE76" s="755"/>
      <c r="BF76" s="753" t="str">
        <f t="shared" si="112"/>
        <v>B23672.05</v>
      </c>
      <c r="BG76" s="753" t="str">
        <f t="shared" si="229"/>
        <v>0.0.0</v>
      </c>
      <c r="BH76" s="753">
        <f t="shared" si="187"/>
        <v>0</v>
      </c>
      <c r="BI76" s="753">
        <f t="shared" si="145"/>
        <v>0</v>
      </c>
      <c r="BJ76" s="753">
        <f t="shared" si="113"/>
        <v>0</v>
      </c>
      <c r="BK76" s="753">
        <f t="shared" si="40"/>
        <v>0</v>
      </c>
      <c r="BL76" s="753" t="b">
        <f t="shared" si="131"/>
        <v>1</v>
      </c>
      <c r="BM76" s="755"/>
      <c r="BN76" s="719">
        <f t="shared" si="188"/>
        <v>0</v>
      </c>
      <c r="BO76" s="719">
        <f t="shared" si="189"/>
        <v>110</v>
      </c>
      <c r="BP76" s="755"/>
      <c r="BQ76" s="719">
        <f>IF(AND((COUNTIFS('3a Staff Plan'!$J$129:$J$305,FA76)*$B$22)+(COUNTIFS('3b Activity Plan'!$J$173:$J$365,FA76)*$M$22)=0,FB76&gt;0),1,0)</f>
        <v>0</v>
      </c>
      <c r="BR76" s="719">
        <f t="shared" si="114"/>
        <v>0</v>
      </c>
      <c r="BS76" s="719">
        <f t="shared" si="190"/>
        <v>0</v>
      </c>
      <c r="BT76" s="719">
        <f t="shared" si="191"/>
        <v>0</v>
      </c>
      <c r="BU76" s="719">
        <f t="shared" si="192"/>
        <v>0</v>
      </c>
      <c r="BV76" s="719">
        <f t="shared" si="193"/>
        <v>0</v>
      </c>
      <c r="BW76" s="719">
        <f t="shared" si="194"/>
        <v>0</v>
      </c>
      <c r="BX76" s="719">
        <f t="shared" si="195"/>
        <v>0</v>
      </c>
      <c r="BY76" s="719">
        <f t="shared" si="196"/>
        <v>0</v>
      </c>
      <c r="BZ76" s="719">
        <f t="shared" si="115"/>
        <v>0</v>
      </c>
      <c r="CA76" s="719">
        <f t="shared" si="116"/>
        <v>0</v>
      </c>
      <c r="CB76" s="719">
        <f t="shared" si="197"/>
        <v>0</v>
      </c>
      <c r="CC76" s="719"/>
      <c r="CD76" s="719"/>
      <c r="CE76" s="719">
        <f t="shared" si="198"/>
        <v>0</v>
      </c>
      <c r="CF76" s="719">
        <f t="shared" si="117"/>
        <v>0</v>
      </c>
      <c r="CG76" s="719">
        <f t="shared" si="118"/>
        <v>0</v>
      </c>
      <c r="CH76" s="719">
        <f t="shared" si="119"/>
        <v>0</v>
      </c>
      <c r="CI76" s="719">
        <f t="shared" si="120"/>
        <v>0</v>
      </c>
      <c r="CJ76" s="719">
        <f t="shared" si="121"/>
        <v>0</v>
      </c>
      <c r="CK76" s="719">
        <f t="shared" si="122"/>
        <v>0</v>
      </c>
      <c r="CL76" s="719">
        <f t="shared" si="123"/>
        <v>0</v>
      </c>
      <c r="CM76" s="719">
        <f t="shared" si="124"/>
        <v>0</v>
      </c>
      <c r="CN76" s="719">
        <f t="shared" si="125"/>
        <v>0</v>
      </c>
      <c r="CO76" s="719">
        <f t="shared" si="42"/>
        <v>0</v>
      </c>
      <c r="CP76" s="719">
        <f t="shared" si="78"/>
        <v>0</v>
      </c>
      <c r="CQ76" s="719">
        <f t="shared" si="126"/>
        <v>43</v>
      </c>
      <c r="CR76" s="719">
        <f t="shared" si="127"/>
        <v>0</v>
      </c>
      <c r="CS76" s="2526"/>
      <c r="CT76" s="2527">
        <f t="shared" si="128"/>
        <v>48</v>
      </c>
      <c r="CU76" s="2527">
        <f t="shared" si="146"/>
        <v>0</v>
      </c>
      <c r="CV76" s="2527">
        <f t="shared" si="147"/>
        <v>0</v>
      </c>
      <c r="CW76" s="2527">
        <f t="shared" si="43"/>
        <v>0</v>
      </c>
      <c r="CX76" s="755"/>
      <c r="CY76" s="2537"/>
      <c r="CZ76" s="499">
        <f t="shared" si="169"/>
        <v>0</v>
      </c>
      <c r="DA76" s="1107">
        <f t="shared" si="170"/>
        <v>0</v>
      </c>
      <c r="DB76" s="2537"/>
      <c r="DC76" s="499">
        <f t="shared" si="200"/>
        <v>0</v>
      </c>
      <c r="DD76" s="1107">
        <f t="shared" si="201"/>
        <v>0</v>
      </c>
      <c r="DE76" s="2537"/>
      <c r="DF76" s="499">
        <f t="shared" si="202"/>
        <v>0</v>
      </c>
      <c r="DG76" s="1107">
        <f t="shared" si="203"/>
        <v>0</v>
      </c>
      <c r="DH76" s="2537"/>
      <c r="DI76" s="499">
        <f t="shared" si="204"/>
        <v>0</v>
      </c>
      <c r="DJ76" s="1107">
        <f t="shared" si="205"/>
        <v>0</v>
      </c>
      <c r="DK76" s="2537"/>
      <c r="DL76" s="499">
        <f t="shared" si="206"/>
        <v>0</v>
      </c>
      <c r="DM76" s="1107">
        <f t="shared" si="207"/>
        <v>0</v>
      </c>
      <c r="DN76" s="2537"/>
      <c r="DO76" s="499">
        <f t="shared" si="208"/>
        <v>0</v>
      </c>
      <c r="DP76" s="1107">
        <f t="shared" si="209"/>
        <v>0</v>
      </c>
      <c r="DQ76" s="2537"/>
      <c r="DR76" s="2559"/>
      <c r="DS76" s="499">
        <f t="shared" si="148"/>
        <v>0</v>
      </c>
      <c r="DT76" s="1106">
        <f t="shared" si="149"/>
        <v>0</v>
      </c>
      <c r="DU76" s="2537"/>
      <c r="DV76" s="2559"/>
      <c r="DW76" s="2312">
        <f t="shared" si="150"/>
        <v>0</v>
      </c>
      <c r="DX76" s="1106">
        <f t="shared" si="151"/>
        <v>0</v>
      </c>
      <c r="DY76" s="2572"/>
      <c r="DZ76" s="2537"/>
      <c r="EA76" s="2537"/>
      <c r="EB76" s="2577" t="str">
        <f t="shared" si="210"/>
        <v>05</v>
      </c>
      <c r="EC76" s="2570"/>
      <c r="ED76" s="436">
        <f>IFERROR(INDEX('IPCS Data'!$H$8:$H$30,MATCH(EE76,'IPCS Data'!$I$8:$I$30,0)),0)</f>
        <v>0</v>
      </c>
      <c r="EE76" s="437"/>
      <c r="EF76" s="2570"/>
      <c r="EG76" s="499">
        <f>IFERROR(INDEX('IPCS Data'!$L$8:$L$27,MATCH(EH76,'IPCS Data'!$M$8:$M$27,0)),0)</f>
        <v>0</v>
      </c>
      <c r="EH76" s="437"/>
      <c r="EI76" s="2578" t="s">
        <v>5</v>
      </c>
      <c r="EJ76" s="748">
        <f>IFERROR(INDEX('IPCS Data'!$O$8:$O$110,MATCH(EK76,'IPCS Data'!$Q$8:$Q$110,0)),0)</f>
        <v>0</v>
      </c>
      <c r="EK76" s="437"/>
      <c r="EL76" s="2578"/>
      <c r="EM76" s="840">
        <f t="shared" si="230"/>
        <v>0</v>
      </c>
      <c r="EN76" s="841"/>
      <c r="EO76" s="2537"/>
      <c r="EP76" s="842">
        <f t="shared" si="231"/>
        <v>0</v>
      </c>
      <c r="EQ76" s="843"/>
      <c r="ER76" s="2537"/>
      <c r="ES76" s="840">
        <f t="shared" si="232"/>
        <v>0</v>
      </c>
      <c r="ET76" s="843"/>
      <c r="EU76" s="2537"/>
      <c r="EV76" s="1497"/>
      <c r="EW76" s="1683"/>
      <c r="EX76" s="2562">
        <f t="shared" si="211"/>
        <v>43</v>
      </c>
      <c r="EY76" s="2533"/>
      <c r="EZ76" s="2561"/>
      <c r="FA76" s="1324">
        <f t="shared" si="152"/>
        <v>0</v>
      </c>
      <c r="FB76" s="2629">
        <f t="shared" si="212"/>
        <v>0</v>
      </c>
      <c r="FC76" s="274"/>
      <c r="FD76" s="2626">
        <f t="shared" si="153"/>
        <v>0</v>
      </c>
      <c r="FE76" s="2626">
        <f t="shared" si="154"/>
        <v>0</v>
      </c>
      <c r="FF76" s="274"/>
      <c r="FG76" s="2616">
        <f t="shared" si="213"/>
        <v>0</v>
      </c>
      <c r="FH76" s="2616">
        <f t="shared" si="214"/>
        <v>0</v>
      </c>
      <c r="FI76" s="2616">
        <f t="shared" si="215"/>
        <v>0</v>
      </c>
      <c r="FJ76" s="2610" t="s">
        <v>5</v>
      </c>
      <c r="FK76" s="2616">
        <f t="shared" si="216"/>
        <v>0</v>
      </c>
      <c r="FL76" s="2616">
        <f t="shared" si="217"/>
        <v>0</v>
      </c>
      <c r="FM76" s="2616">
        <f t="shared" si="218"/>
        <v>0</v>
      </c>
      <c r="FN76" s="2622">
        <f t="shared" si="219"/>
        <v>0</v>
      </c>
      <c r="FO76" s="2615">
        <f t="shared" si="220"/>
        <v>0</v>
      </c>
      <c r="FP76" s="2624">
        <f t="shared" si="221"/>
        <v>0</v>
      </c>
      <c r="FQ76" s="2622">
        <f t="shared" si="222"/>
        <v>0</v>
      </c>
      <c r="FR76" s="2624">
        <f t="shared" si="223"/>
        <v>0</v>
      </c>
      <c r="FS76" s="2611" t="s">
        <v>5</v>
      </c>
      <c r="FT76" s="2616">
        <f t="shared" si="224"/>
        <v>0</v>
      </c>
      <c r="FU76" s="2622">
        <f t="shared" si="129"/>
        <v>0</v>
      </c>
      <c r="FV76" s="2616">
        <f t="shared" si="225"/>
        <v>0</v>
      </c>
      <c r="FW76" s="2612" t="s">
        <v>5</v>
      </c>
      <c r="FX76" s="2616">
        <f t="shared" si="171"/>
        <v>0</v>
      </c>
      <c r="FY76" s="2616">
        <f t="shared" si="226"/>
        <v>0</v>
      </c>
      <c r="FZ76" s="2613" t="s">
        <v>5</v>
      </c>
      <c r="GA76" s="2616">
        <f t="shared" si="48"/>
        <v>0</v>
      </c>
      <c r="GB76" s="2619">
        <f t="shared" si="234"/>
        <v>0</v>
      </c>
      <c r="GC76" s="2620">
        <f t="shared" si="228"/>
        <v>0</v>
      </c>
      <c r="GD76" s="2614"/>
      <c r="GE76" s="3195">
        <f t="shared" si="143"/>
        <v>0</v>
      </c>
      <c r="GF76" s="3195">
        <f t="shared" si="144"/>
        <v>0</v>
      </c>
      <c r="GG76" s="3193" t="str">
        <f t="shared" si="18"/>
        <v>X</v>
      </c>
      <c r="GH76" s="2531"/>
      <c r="GI76" s="3189" t="str">
        <f t="shared" si="155"/>
        <v/>
      </c>
      <c r="GJ76" s="2598"/>
      <c r="GK76" s="3173">
        <f t="shared" si="156"/>
        <v>0</v>
      </c>
      <c r="GL76" s="3173">
        <f t="shared" si="157"/>
        <v>0</v>
      </c>
      <c r="GM76" s="3173">
        <f t="shared" si="158"/>
        <v>0</v>
      </c>
      <c r="GN76" s="3174">
        <f t="shared" si="159"/>
        <v>0</v>
      </c>
      <c r="GO76" s="3174">
        <f t="shared" si="160"/>
        <v>0</v>
      </c>
      <c r="GP76" s="3175">
        <f t="shared" si="161"/>
        <v>0</v>
      </c>
      <c r="GQ76" s="3176">
        <f t="shared" si="162"/>
        <v>0</v>
      </c>
      <c r="GR76" s="3177">
        <f t="shared" si="163"/>
        <v>0</v>
      </c>
      <c r="GS76" s="3177">
        <f t="shared" si="164"/>
        <v>0</v>
      </c>
      <c r="GT76" s="3178">
        <f t="shared" si="165"/>
        <v>0</v>
      </c>
      <c r="GU76" s="3179"/>
      <c r="GV76" s="3178">
        <f t="shared" si="166"/>
        <v>0</v>
      </c>
      <c r="GW76" s="3177">
        <f t="shared" si="167"/>
        <v>0</v>
      </c>
      <c r="GX76" s="3180"/>
      <c r="GY76" s="3177">
        <f t="shared" si="168"/>
        <v>0</v>
      </c>
      <c r="GZ76" s="2593"/>
      <c r="HA76" s="277"/>
      <c r="HB76" s="277"/>
      <c r="HC76" s="277"/>
      <c r="HD76" s="277"/>
      <c r="HE76" s="277"/>
      <c r="HF76" s="277"/>
      <c r="HG76" s="277"/>
      <c r="HH76" s="277"/>
      <c r="HI76" s="277"/>
      <c r="HJ76" s="277"/>
      <c r="HK76" s="277"/>
      <c r="HL76" s="277"/>
      <c r="HM76" s="277"/>
      <c r="HN76" s="277"/>
      <c r="HO76" s="277"/>
    </row>
    <row r="77" spans="1:223" s="749" customFormat="1" ht="18" customHeight="1" x14ac:dyDescent="0.3">
      <c r="A77" s="755"/>
      <c r="B77" s="805">
        <f>SUMIFS('3a Staff Plan'!$T$129:$T$305,'3a Staff Plan'!$DF$129:$DF$305,1,'3a Staff Plan'!$DA$129:$DA$305,1,'3a Staff Plan'!$J$129:$J$305,$FA77)</f>
        <v>0</v>
      </c>
      <c r="C77" s="805">
        <f>SUMIFS('3a Staff Plan'!$U$129:$U$305,'3a Staff Plan'!$DF$129:$DF$305,1,'3a Staff Plan'!$DA$129:$DA$305,1,'3a Staff Plan'!$J$129:$J$305,$FA77)</f>
        <v>0</v>
      </c>
      <c r="D77" s="805">
        <f>SUMIFS('3a Staff Plan'!$Z$129:$Z$305,'3a Staff Plan'!$DF$129:$DF$305,1,'3a Staff Plan'!$DA$129:$DA$305,1,'3a Staff Plan'!$J$129:$J$305,$FA77)</f>
        <v>0</v>
      </c>
      <c r="E77" s="805">
        <f>SUMIFS('3a Staff Plan'!$Y$129:$Y$305,'3a Staff Plan'!$DF$129:$DF$305,1,'3a Staff Plan'!$DA$129:$DA$305,1,'3a Staff Plan'!$J$129:$J$305,$FA77)</f>
        <v>0</v>
      </c>
      <c r="F77" s="805">
        <f>SUMIFS('3a Staff Plan'!$X$129:$X$305,'3a Staff Plan'!$DF$129:$DF$305,1,'3a Staff Plan'!$DA$129:$DA$305,1,'3a Staff Plan'!$AG$129:$AG$305,1,'3a Staff Plan'!$J$129:$J$305,$FA77)</f>
        <v>0</v>
      </c>
      <c r="G77" s="805">
        <f>IF($G$24=0,0,SUMIFS('3a Staff Plan'!$W$129:$W$305,'3a Staff Plan'!$DF$129:$DF$305,1,'3a Staff Plan'!$DA$129:$DA$305,1,'3a Staff Plan'!$J$129:$J$305,$FA77))</f>
        <v>0</v>
      </c>
      <c r="H77" s="795">
        <f t="shared" si="172"/>
        <v>0</v>
      </c>
      <c r="I77" s="805">
        <f>SUMIFS('3a Staff Plan'!$V$129:$V$305,'3a Staff Plan'!$DF$129:$DF$305,1,'3a Staff Plan'!$DA$129:$DA$305,1,'3a Staff Plan'!$J$129:$J$305,$FA77)</f>
        <v>0</v>
      </c>
      <c r="J77" s="805">
        <f>SUMIFS('3a Staff Plan'!$AB$129:$AB$305,'3a Staff Plan'!$DF$129:$DF$305,1,'3a Staff Plan'!$DA$129:$DA$305,1,'3a Staff Plan'!$J$129:$J$305,$FA77)</f>
        <v>0</v>
      </c>
      <c r="K77" s="805">
        <f>SUMIFS('3a Staff Plan'!$AA$129:$AA$305,'3a Staff Plan'!$DF$129:$DF$305,1,'3a Staff Plan'!$DA$129:$DA$305,1,'3a Staff Plan'!$AG$129:$AG$305,1,'3a Staff Plan'!$J$129:$J$305,$FA77)</f>
        <v>0</v>
      </c>
      <c r="L77" s="755"/>
      <c r="M77" s="805">
        <f>SUMIFS('3b Activity Plan'!$T$173:$T$365,'3b Activity Plan'!$CY$173:$CY$365,1,'3b Activity Plan'!$CT$173:$CT$365,1,'3b Activity Plan'!$J$173:$J$365,$FA77)</f>
        <v>0</v>
      </c>
      <c r="N77" s="805">
        <f>SUMIFS('3b Activity Plan'!$U$173:$U$365,'3b Activity Plan'!$CY$173:$CY$365,1,'3b Activity Plan'!$CT$173:$CT$365,1,'3b Activity Plan'!$J$173:$J$365,$FA77)</f>
        <v>0</v>
      </c>
      <c r="O77" s="805">
        <f>SUMIFS('3b Activity Plan'!$Z$173:$Z$365,'3b Activity Plan'!$CY$173:$CY$365,1,'3b Activity Plan'!$CT$173:$CT$365,1,'3b Activity Plan'!$J$173:$J$365,$FA77)</f>
        <v>0</v>
      </c>
      <c r="P77" s="805">
        <f>SUMIFS('3b Activity Plan'!$Y$173:$Y$365,'3b Activity Plan'!$CY$173:$CY$365,1,'3b Activity Plan'!$CT$173:$CT$365,1,'3b Activity Plan'!$J$173:$J$365,$FA77)</f>
        <v>0</v>
      </c>
      <c r="Q77" s="805">
        <f>SUMIFS('3b Activity Plan'!$X$173:$X$365,'3b Activity Plan'!$CY$173:$CY$365,1,'3b Activity Plan'!$CT$173:$CT$365,1,'3b Activity Plan'!$J$173:$J$365,$FA77)</f>
        <v>0</v>
      </c>
      <c r="R77" s="805">
        <f>IF($R$24=0,0,SUMIFS('3b Activity Plan'!$W$173:$W$365,'3b Activity Plan'!$CY$173:$CY$365,1,'3b Activity Plan'!$CT$173:$CT$365,1,'3b Activity Plan'!$J$173:$J$365,$FA77))</f>
        <v>0</v>
      </c>
      <c r="S77" s="795">
        <f t="shared" si="173"/>
        <v>0</v>
      </c>
      <c r="T77" s="805">
        <f>SUMIFS('3b Activity Plan'!$V$173:$V$365,'3b Activity Plan'!$CY$173:$CY$365,1,'3b Activity Plan'!$CT$173:$CT$365,1,'3b Activity Plan'!$J$173:$J$365,$FA77)</f>
        <v>0</v>
      </c>
      <c r="U77" s="805">
        <f>SUMIFS('3b Activity Plan'!$AB$173:$AB$365,'3b Activity Plan'!$CY$173:$CY$365,1,'3b Activity Plan'!$CT$173:$CT$365,1,'3b Activity Plan'!$J$173:$J$365,$FA77)</f>
        <v>0</v>
      </c>
      <c r="V77" s="805">
        <f>SUMIFS('3b Activity Plan'!$AA$173:$AA$365,'3b Activity Plan'!$CY$173:$CY$365,1,'3b Activity Plan'!$CT$173:$CT$365,1,'3b Activity Plan'!$J$173:$J$365,$FA77)</f>
        <v>0</v>
      </c>
      <c r="W77" s="755"/>
      <c r="X77" s="2641">
        <f>SUMIFS('3b Activity Plan'!$FU$173:$FU$365,'3b Activity Plan'!$J$173:$J$365,$FA77)</f>
        <v>0</v>
      </c>
      <c r="Y77" s="2641">
        <f>SUMIFS('3b Activity Plan'!$FW$173:$FW$365,'3b Activity Plan'!$J$173:$J$365,$FA77)</f>
        <v>0</v>
      </c>
      <c r="Z77" s="2639">
        <f t="shared" si="132"/>
        <v>0</v>
      </c>
      <c r="AA77" s="755"/>
      <c r="AB77" s="761">
        <f>_xlfn.MINIFS('3a Staff Plan'!$EB$129:$EB$304,'3a Staff Plan'!$DF$129:$DF$304,1,'3a Staff Plan'!$J$129:$J$304,FA77)</f>
        <v>0</v>
      </c>
      <c r="AC77" s="761">
        <f>_xlfn.MAXIFS('3a Staff Plan'!$EC$129:$EC$304,'3a Staff Plan'!$DF$129:$DF$304,1,'3a Staff Plan'!$J$129:$J$304,FA77)</f>
        <v>0</v>
      </c>
      <c r="AD77" s="755"/>
      <c r="AE77" s="761">
        <f>_xlfn.MINIFS('3b Activity Plan'!$GN$173:$GN$365,'3b Activity Plan'!$CY$173:$CY$365,1,'3b Activity Plan'!$J$173:$J$365,$FA77)</f>
        <v>0</v>
      </c>
      <c r="AF77" s="761">
        <f>_xlfn.MAXIFS('3b Activity Plan'!$GO$173:$GO$365,'3b Activity Plan'!$CY$173:$CY$365,1,'3b Activity Plan'!$J$173:$J$365,$FA77)</f>
        <v>0</v>
      </c>
      <c r="AG77" s="755"/>
      <c r="AH77" s="761">
        <f t="shared" si="174"/>
        <v>0</v>
      </c>
      <c r="AI77" s="761">
        <f t="shared" si="175"/>
        <v>0</v>
      </c>
      <c r="AJ77" s="755"/>
      <c r="AK77" s="761">
        <f t="shared" si="176"/>
        <v>0</v>
      </c>
      <c r="AL77" s="761">
        <f t="shared" si="177"/>
        <v>0</v>
      </c>
      <c r="AM77" s="776">
        <f t="shared" si="178"/>
        <v>0</v>
      </c>
      <c r="AN77" s="755"/>
      <c r="AO77" s="748">
        <f t="shared" si="179"/>
        <v>0</v>
      </c>
      <c r="AP77" s="748">
        <f t="shared" si="180"/>
        <v>0</v>
      </c>
      <c r="AQ77" s="748">
        <f t="shared" si="181"/>
        <v>0</v>
      </c>
      <c r="AR77" s="748">
        <f t="shared" si="182"/>
        <v>0</v>
      </c>
      <c r="AS77" s="748">
        <f t="shared" si="183"/>
        <v>0</v>
      </c>
      <c r="AT77" s="748">
        <f t="shared" si="184"/>
        <v>0</v>
      </c>
      <c r="AU77" s="748">
        <f t="shared" si="185"/>
        <v>0</v>
      </c>
      <c r="AV77" s="748">
        <f>IFERROR(INDEX('IPCS Data'!$R$8:$R$109,MATCH(EJ77,'IPCS Data'!$O$8:$O$109,0)),0)</f>
        <v>0</v>
      </c>
      <c r="AW77" s="755"/>
      <c r="AX77" s="499">
        <f>IFERROR(INDEX('IPCS Data'!$P$18:$P$110,MATCH(EK77,'IPCS Data'!$Q$18:$Q$110,0)),0)</f>
        <v>0</v>
      </c>
      <c r="AY77" s="1950" t="str">
        <f t="shared" si="110"/>
        <v/>
      </c>
      <c r="AZ77" s="755"/>
      <c r="BA77" s="753" t="str">
        <f>IFERROR(IF(MATCH(EJ77,'IPCS Data'!$O$8:$O$110,0)&gt;=25,"L","N"),"N")</f>
        <v>N</v>
      </c>
      <c r="BB77" s="774"/>
      <c r="BC77" s="753" t="str">
        <f t="shared" si="111"/>
        <v>N</v>
      </c>
      <c r="BD77" s="753" t="str">
        <f t="shared" si="39"/>
        <v>Non-Labor</v>
      </c>
      <c r="BE77" s="755"/>
      <c r="BF77" s="753" t="str">
        <f t="shared" si="112"/>
        <v>B23672.05</v>
      </c>
      <c r="BG77" s="753" t="str">
        <f t="shared" si="229"/>
        <v>0.0.0</v>
      </c>
      <c r="BH77" s="753">
        <f t="shared" si="187"/>
        <v>0</v>
      </c>
      <c r="BI77" s="753">
        <f t="shared" si="145"/>
        <v>0</v>
      </c>
      <c r="BJ77" s="753">
        <f t="shared" si="113"/>
        <v>0</v>
      </c>
      <c r="BK77" s="753">
        <f t="shared" si="40"/>
        <v>0</v>
      </c>
      <c r="BL77" s="753" t="b">
        <f t="shared" si="131"/>
        <v>1</v>
      </c>
      <c r="BM77" s="755"/>
      <c r="BN77" s="719">
        <f t="shared" si="188"/>
        <v>0</v>
      </c>
      <c r="BO77" s="719">
        <f t="shared" si="189"/>
        <v>110</v>
      </c>
      <c r="BP77" s="755"/>
      <c r="BQ77" s="719">
        <f>IF(AND((COUNTIFS('3a Staff Plan'!$J$129:$J$305,FA77)*$B$22)+(COUNTIFS('3b Activity Plan'!$J$173:$J$365,FA77)*$M$22)=0,FB77&gt;0),1,0)</f>
        <v>0</v>
      </c>
      <c r="BR77" s="719">
        <f t="shared" si="114"/>
        <v>0</v>
      </c>
      <c r="BS77" s="719">
        <f t="shared" si="190"/>
        <v>0</v>
      </c>
      <c r="BT77" s="719">
        <f t="shared" si="191"/>
        <v>0</v>
      </c>
      <c r="BU77" s="719">
        <f t="shared" si="192"/>
        <v>0</v>
      </c>
      <c r="BV77" s="719">
        <f t="shared" si="193"/>
        <v>0</v>
      </c>
      <c r="BW77" s="719">
        <f t="shared" si="194"/>
        <v>0</v>
      </c>
      <c r="BX77" s="719">
        <f t="shared" si="195"/>
        <v>0</v>
      </c>
      <c r="BY77" s="719">
        <f t="shared" si="196"/>
        <v>0</v>
      </c>
      <c r="BZ77" s="719">
        <f t="shared" si="115"/>
        <v>0</v>
      </c>
      <c r="CA77" s="719">
        <f t="shared" si="116"/>
        <v>0</v>
      </c>
      <c r="CB77" s="719">
        <f t="shared" si="197"/>
        <v>0</v>
      </c>
      <c r="CC77" s="719"/>
      <c r="CD77" s="719"/>
      <c r="CE77" s="719">
        <f t="shared" si="198"/>
        <v>0</v>
      </c>
      <c r="CF77" s="719">
        <f t="shared" si="117"/>
        <v>0</v>
      </c>
      <c r="CG77" s="719">
        <f t="shared" si="118"/>
        <v>0</v>
      </c>
      <c r="CH77" s="719">
        <f t="shared" si="119"/>
        <v>0</v>
      </c>
      <c r="CI77" s="719">
        <f t="shared" si="120"/>
        <v>0</v>
      </c>
      <c r="CJ77" s="719">
        <f t="shared" si="121"/>
        <v>0</v>
      </c>
      <c r="CK77" s="719">
        <f t="shared" si="122"/>
        <v>0</v>
      </c>
      <c r="CL77" s="719">
        <f t="shared" si="123"/>
        <v>0</v>
      </c>
      <c r="CM77" s="719">
        <f t="shared" si="124"/>
        <v>0</v>
      </c>
      <c r="CN77" s="719">
        <f t="shared" si="125"/>
        <v>0</v>
      </c>
      <c r="CO77" s="719">
        <f t="shared" si="42"/>
        <v>0</v>
      </c>
      <c r="CP77" s="719">
        <f t="shared" si="78"/>
        <v>0</v>
      </c>
      <c r="CQ77" s="719">
        <f t="shared" si="126"/>
        <v>44</v>
      </c>
      <c r="CR77" s="719">
        <f t="shared" si="127"/>
        <v>0</v>
      </c>
      <c r="CS77" s="2526"/>
      <c r="CT77" s="2527">
        <f t="shared" si="128"/>
        <v>49</v>
      </c>
      <c r="CU77" s="2527">
        <f t="shared" si="146"/>
        <v>0</v>
      </c>
      <c r="CV77" s="2527">
        <f t="shared" si="147"/>
        <v>0</v>
      </c>
      <c r="CW77" s="2527">
        <f t="shared" si="43"/>
        <v>0</v>
      </c>
      <c r="CX77" s="755"/>
      <c r="CY77" s="2537"/>
      <c r="CZ77" s="499">
        <f t="shared" si="169"/>
        <v>0</v>
      </c>
      <c r="DA77" s="1107">
        <f t="shared" si="170"/>
        <v>0</v>
      </c>
      <c r="DB77" s="2537"/>
      <c r="DC77" s="499">
        <f t="shared" si="200"/>
        <v>0</v>
      </c>
      <c r="DD77" s="1107">
        <f t="shared" si="201"/>
        <v>0</v>
      </c>
      <c r="DE77" s="2537"/>
      <c r="DF77" s="499">
        <f t="shared" si="202"/>
        <v>0</v>
      </c>
      <c r="DG77" s="1107">
        <f t="shared" si="203"/>
        <v>0</v>
      </c>
      <c r="DH77" s="2537"/>
      <c r="DI77" s="499">
        <f t="shared" si="204"/>
        <v>0</v>
      </c>
      <c r="DJ77" s="1107">
        <f t="shared" si="205"/>
        <v>0</v>
      </c>
      <c r="DK77" s="2537"/>
      <c r="DL77" s="499">
        <f t="shared" si="206"/>
        <v>0</v>
      </c>
      <c r="DM77" s="1107">
        <f t="shared" si="207"/>
        <v>0</v>
      </c>
      <c r="DN77" s="2537"/>
      <c r="DO77" s="499">
        <f t="shared" si="208"/>
        <v>0</v>
      </c>
      <c r="DP77" s="1107">
        <f t="shared" si="209"/>
        <v>0</v>
      </c>
      <c r="DQ77" s="2537"/>
      <c r="DR77" s="2559"/>
      <c r="DS77" s="499">
        <f t="shared" si="148"/>
        <v>0</v>
      </c>
      <c r="DT77" s="1106">
        <f t="shared" si="149"/>
        <v>0</v>
      </c>
      <c r="DU77" s="2537"/>
      <c r="DV77" s="2559"/>
      <c r="DW77" s="2312">
        <f t="shared" si="150"/>
        <v>0</v>
      </c>
      <c r="DX77" s="1106">
        <f t="shared" si="151"/>
        <v>0</v>
      </c>
      <c r="DY77" s="2572"/>
      <c r="DZ77" s="2537"/>
      <c r="EA77" s="2537"/>
      <c r="EB77" s="2577" t="str">
        <f t="shared" si="210"/>
        <v>05</v>
      </c>
      <c r="EC77" s="2570"/>
      <c r="ED77" s="436">
        <f>IFERROR(INDEX('IPCS Data'!$H$8:$H$30,MATCH(EE77,'IPCS Data'!$I$8:$I$30,0)),0)</f>
        <v>0</v>
      </c>
      <c r="EE77" s="437"/>
      <c r="EF77" s="2570"/>
      <c r="EG77" s="499">
        <f>IFERROR(INDEX('IPCS Data'!$L$8:$L$27,MATCH(EH77,'IPCS Data'!$M$8:$M$27,0)),0)</f>
        <v>0</v>
      </c>
      <c r="EH77" s="437"/>
      <c r="EI77" s="2578" t="s">
        <v>5</v>
      </c>
      <c r="EJ77" s="748">
        <f>IFERROR(INDEX('IPCS Data'!$O$8:$O$110,MATCH(EK77,'IPCS Data'!$Q$8:$Q$110,0)),0)</f>
        <v>0</v>
      </c>
      <c r="EK77" s="437"/>
      <c r="EL77" s="2578"/>
      <c r="EM77" s="840">
        <f t="shared" si="230"/>
        <v>0</v>
      </c>
      <c r="EN77" s="841"/>
      <c r="EO77" s="2537"/>
      <c r="EP77" s="842">
        <f t="shared" si="231"/>
        <v>0</v>
      </c>
      <c r="EQ77" s="843"/>
      <c r="ER77" s="2537"/>
      <c r="ES77" s="840">
        <f t="shared" si="232"/>
        <v>0</v>
      </c>
      <c r="ET77" s="843"/>
      <c r="EU77" s="2537"/>
      <c r="EV77" s="1497"/>
      <c r="EW77" s="1683"/>
      <c r="EX77" s="2562">
        <f t="shared" si="211"/>
        <v>44</v>
      </c>
      <c r="EY77" s="2533"/>
      <c r="EZ77" s="2561"/>
      <c r="FA77" s="1324">
        <f t="shared" si="152"/>
        <v>0</v>
      </c>
      <c r="FB77" s="2629">
        <f t="shared" si="212"/>
        <v>0</v>
      </c>
      <c r="FC77" s="274"/>
      <c r="FD77" s="2626">
        <f t="shared" si="153"/>
        <v>0</v>
      </c>
      <c r="FE77" s="2626">
        <f t="shared" si="154"/>
        <v>0</v>
      </c>
      <c r="FF77" s="274"/>
      <c r="FG77" s="2616">
        <f t="shared" si="213"/>
        <v>0</v>
      </c>
      <c r="FH77" s="2616">
        <f t="shared" si="214"/>
        <v>0</v>
      </c>
      <c r="FI77" s="2616">
        <f t="shared" si="215"/>
        <v>0</v>
      </c>
      <c r="FJ77" s="2610" t="s">
        <v>5</v>
      </c>
      <c r="FK77" s="2616">
        <f t="shared" si="216"/>
        <v>0</v>
      </c>
      <c r="FL77" s="2616">
        <f t="shared" si="217"/>
        <v>0</v>
      </c>
      <c r="FM77" s="2616">
        <f t="shared" si="218"/>
        <v>0</v>
      </c>
      <c r="FN77" s="2622">
        <f t="shared" si="219"/>
        <v>0</v>
      </c>
      <c r="FO77" s="2615">
        <f t="shared" si="220"/>
        <v>0</v>
      </c>
      <c r="FP77" s="2624">
        <f t="shared" si="221"/>
        <v>0</v>
      </c>
      <c r="FQ77" s="2622">
        <f t="shared" si="222"/>
        <v>0</v>
      </c>
      <c r="FR77" s="2624">
        <f t="shared" si="223"/>
        <v>0</v>
      </c>
      <c r="FS77" s="2611" t="s">
        <v>5</v>
      </c>
      <c r="FT77" s="2616">
        <f t="shared" si="224"/>
        <v>0</v>
      </c>
      <c r="FU77" s="2622">
        <f t="shared" si="129"/>
        <v>0</v>
      </c>
      <c r="FV77" s="2616">
        <f t="shared" si="225"/>
        <v>0</v>
      </c>
      <c r="FW77" s="2612" t="s">
        <v>5</v>
      </c>
      <c r="FX77" s="2616">
        <f t="shared" si="171"/>
        <v>0</v>
      </c>
      <c r="FY77" s="2616">
        <f t="shared" si="226"/>
        <v>0</v>
      </c>
      <c r="FZ77" s="2613" t="s">
        <v>5</v>
      </c>
      <c r="GA77" s="2616">
        <f t="shared" si="48"/>
        <v>0</v>
      </c>
      <c r="GB77" s="2619">
        <f t="shared" si="234"/>
        <v>0</v>
      </c>
      <c r="GC77" s="2620">
        <f t="shared" si="228"/>
        <v>0</v>
      </c>
      <c r="GD77" s="2614"/>
      <c r="GE77" s="3195">
        <f t="shared" si="143"/>
        <v>0</v>
      </c>
      <c r="GF77" s="3195">
        <f t="shared" si="144"/>
        <v>0</v>
      </c>
      <c r="GG77" s="3193" t="str">
        <f t="shared" si="18"/>
        <v>X</v>
      </c>
      <c r="GH77" s="2531"/>
      <c r="GI77" s="3189" t="str">
        <f t="shared" si="155"/>
        <v/>
      </c>
      <c r="GJ77" s="2598"/>
      <c r="GK77" s="3173">
        <f t="shared" si="156"/>
        <v>0</v>
      </c>
      <c r="GL77" s="3173">
        <f t="shared" si="157"/>
        <v>0</v>
      </c>
      <c r="GM77" s="3173">
        <f t="shared" si="158"/>
        <v>0</v>
      </c>
      <c r="GN77" s="3174">
        <f t="shared" si="159"/>
        <v>0</v>
      </c>
      <c r="GO77" s="3174">
        <f t="shared" si="160"/>
        <v>0</v>
      </c>
      <c r="GP77" s="3175">
        <f t="shared" si="161"/>
        <v>0</v>
      </c>
      <c r="GQ77" s="3176">
        <f t="shared" si="162"/>
        <v>0</v>
      </c>
      <c r="GR77" s="3177">
        <f t="shared" si="163"/>
        <v>0</v>
      </c>
      <c r="GS77" s="3177">
        <f t="shared" si="164"/>
        <v>0</v>
      </c>
      <c r="GT77" s="3178">
        <f t="shared" si="165"/>
        <v>0</v>
      </c>
      <c r="GU77" s="3179"/>
      <c r="GV77" s="3178">
        <f t="shared" si="166"/>
        <v>0</v>
      </c>
      <c r="GW77" s="3177">
        <f t="shared" si="167"/>
        <v>0</v>
      </c>
      <c r="GX77" s="3180"/>
      <c r="GY77" s="3177">
        <f t="shared" si="168"/>
        <v>0</v>
      </c>
      <c r="GZ77" s="2593"/>
      <c r="HA77" s="277"/>
      <c r="HB77" s="277"/>
      <c r="HC77" s="277"/>
      <c r="HD77" s="277"/>
      <c r="HE77" s="277"/>
      <c r="HF77" s="277"/>
      <c r="HG77" s="277"/>
      <c r="HH77" s="277"/>
      <c r="HI77" s="277"/>
      <c r="HJ77" s="277"/>
      <c r="HK77" s="277"/>
      <c r="HL77" s="277"/>
      <c r="HM77" s="277"/>
      <c r="HN77" s="277"/>
      <c r="HO77" s="277"/>
    </row>
    <row r="78" spans="1:223" s="749" customFormat="1" ht="18" customHeight="1" x14ac:dyDescent="0.3">
      <c r="A78" s="755"/>
      <c r="B78" s="805">
        <f>SUMIFS('3a Staff Plan'!$T$129:$T$305,'3a Staff Plan'!$DF$129:$DF$305,1,'3a Staff Plan'!$DA$129:$DA$305,1,'3a Staff Plan'!$J$129:$J$305,$FA78)</f>
        <v>0</v>
      </c>
      <c r="C78" s="805">
        <f>SUMIFS('3a Staff Plan'!$U$129:$U$305,'3a Staff Plan'!$DF$129:$DF$305,1,'3a Staff Plan'!$DA$129:$DA$305,1,'3a Staff Plan'!$J$129:$J$305,$FA78)</f>
        <v>0</v>
      </c>
      <c r="D78" s="805">
        <f>SUMIFS('3a Staff Plan'!$Z$129:$Z$305,'3a Staff Plan'!$DF$129:$DF$305,1,'3a Staff Plan'!$DA$129:$DA$305,1,'3a Staff Plan'!$J$129:$J$305,$FA78)</f>
        <v>0</v>
      </c>
      <c r="E78" s="805">
        <f>SUMIFS('3a Staff Plan'!$Y$129:$Y$305,'3a Staff Plan'!$DF$129:$DF$305,1,'3a Staff Plan'!$DA$129:$DA$305,1,'3a Staff Plan'!$J$129:$J$305,$FA78)</f>
        <v>0</v>
      </c>
      <c r="F78" s="805">
        <f>SUMIFS('3a Staff Plan'!$X$129:$X$305,'3a Staff Plan'!$DF$129:$DF$305,1,'3a Staff Plan'!$DA$129:$DA$305,1,'3a Staff Plan'!$AG$129:$AG$305,1,'3a Staff Plan'!$J$129:$J$305,$FA78)</f>
        <v>0</v>
      </c>
      <c r="G78" s="805">
        <f>IF($G$24=0,0,SUMIFS('3a Staff Plan'!$W$129:$W$305,'3a Staff Plan'!$DF$129:$DF$305,1,'3a Staff Plan'!$DA$129:$DA$305,1,'3a Staff Plan'!$J$129:$J$305,$FA78))</f>
        <v>0</v>
      </c>
      <c r="H78" s="795">
        <f t="shared" si="172"/>
        <v>0</v>
      </c>
      <c r="I78" s="805">
        <f>SUMIFS('3a Staff Plan'!$V$129:$V$305,'3a Staff Plan'!$DF$129:$DF$305,1,'3a Staff Plan'!$DA$129:$DA$305,1,'3a Staff Plan'!$J$129:$J$305,$FA78)</f>
        <v>0</v>
      </c>
      <c r="J78" s="805">
        <f>SUMIFS('3a Staff Plan'!$AB$129:$AB$305,'3a Staff Plan'!$DF$129:$DF$305,1,'3a Staff Plan'!$DA$129:$DA$305,1,'3a Staff Plan'!$J$129:$J$305,$FA78)</f>
        <v>0</v>
      </c>
      <c r="K78" s="805">
        <f>SUMIFS('3a Staff Plan'!$AA$129:$AA$305,'3a Staff Plan'!$DF$129:$DF$305,1,'3a Staff Plan'!$DA$129:$DA$305,1,'3a Staff Plan'!$AG$129:$AG$305,1,'3a Staff Plan'!$J$129:$J$305,$FA78)</f>
        <v>0</v>
      </c>
      <c r="L78" s="755"/>
      <c r="M78" s="805">
        <f>SUMIFS('3b Activity Plan'!$T$173:$T$365,'3b Activity Plan'!$CY$173:$CY$365,1,'3b Activity Plan'!$CT$173:$CT$365,1,'3b Activity Plan'!$J$173:$J$365,$FA78)</f>
        <v>0</v>
      </c>
      <c r="N78" s="805">
        <f>SUMIFS('3b Activity Plan'!$U$173:$U$365,'3b Activity Plan'!$CY$173:$CY$365,1,'3b Activity Plan'!$CT$173:$CT$365,1,'3b Activity Plan'!$J$173:$J$365,$FA78)</f>
        <v>0</v>
      </c>
      <c r="O78" s="805">
        <f>SUMIFS('3b Activity Plan'!$Z$173:$Z$365,'3b Activity Plan'!$CY$173:$CY$365,1,'3b Activity Plan'!$CT$173:$CT$365,1,'3b Activity Plan'!$J$173:$J$365,$FA78)</f>
        <v>0</v>
      </c>
      <c r="P78" s="805">
        <f>SUMIFS('3b Activity Plan'!$Y$173:$Y$365,'3b Activity Plan'!$CY$173:$CY$365,1,'3b Activity Plan'!$CT$173:$CT$365,1,'3b Activity Plan'!$J$173:$J$365,$FA78)</f>
        <v>0</v>
      </c>
      <c r="Q78" s="805">
        <f>SUMIFS('3b Activity Plan'!$X$173:$X$365,'3b Activity Plan'!$CY$173:$CY$365,1,'3b Activity Plan'!$CT$173:$CT$365,1,'3b Activity Plan'!$J$173:$J$365,$FA78)</f>
        <v>0</v>
      </c>
      <c r="R78" s="805">
        <f>IF($R$24=0,0,SUMIFS('3b Activity Plan'!$W$173:$W$365,'3b Activity Plan'!$CY$173:$CY$365,1,'3b Activity Plan'!$CT$173:$CT$365,1,'3b Activity Plan'!$J$173:$J$365,$FA78))</f>
        <v>0</v>
      </c>
      <c r="S78" s="795">
        <f t="shared" si="173"/>
        <v>0</v>
      </c>
      <c r="T78" s="805">
        <f>SUMIFS('3b Activity Plan'!$V$173:$V$365,'3b Activity Plan'!$CY$173:$CY$365,1,'3b Activity Plan'!$CT$173:$CT$365,1,'3b Activity Plan'!$J$173:$J$365,$FA78)</f>
        <v>0</v>
      </c>
      <c r="U78" s="805">
        <f>SUMIFS('3b Activity Plan'!$AB$173:$AB$365,'3b Activity Plan'!$CY$173:$CY$365,1,'3b Activity Plan'!$CT$173:$CT$365,1,'3b Activity Plan'!$J$173:$J$365,$FA78)</f>
        <v>0</v>
      </c>
      <c r="V78" s="805">
        <f>SUMIFS('3b Activity Plan'!$AA$173:$AA$365,'3b Activity Plan'!$CY$173:$CY$365,1,'3b Activity Plan'!$CT$173:$CT$365,1,'3b Activity Plan'!$J$173:$J$365,$FA78)</f>
        <v>0</v>
      </c>
      <c r="W78" s="755"/>
      <c r="X78" s="2641">
        <f>SUMIFS('3b Activity Plan'!$FU$173:$FU$365,'3b Activity Plan'!$J$173:$J$365,$FA78)</f>
        <v>0</v>
      </c>
      <c r="Y78" s="2641">
        <f>SUMIFS('3b Activity Plan'!$FW$173:$FW$365,'3b Activity Plan'!$J$173:$J$365,$FA78)</f>
        <v>0</v>
      </c>
      <c r="Z78" s="2639">
        <f t="shared" si="132"/>
        <v>0</v>
      </c>
      <c r="AA78" s="755"/>
      <c r="AB78" s="761">
        <f>_xlfn.MINIFS('3a Staff Plan'!$EB$129:$EB$304,'3a Staff Plan'!$DF$129:$DF$304,1,'3a Staff Plan'!$J$129:$J$304,FA78)</f>
        <v>0</v>
      </c>
      <c r="AC78" s="761">
        <f>_xlfn.MAXIFS('3a Staff Plan'!$EC$129:$EC$304,'3a Staff Plan'!$DF$129:$DF$304,1,'3a Staff Plan'!$J$129:$J$304,FA78)</f>
        <v>0</v>
      </c>
      <c r="AD78" s="755"/>
      <c r="AE78" s="761">
        <f>_xlfn.MINIFS('3b Activity Plan'!$GN$173:$GN$365,'3b Activity Plan'!$CY$173:$CY$365,1,'3b Activity Plan'!$J$173:$J$365,$FA78)</f>
        <v>0</v>
      </c>
      <c r="AF78" s="761">
        <f>_xlfn.MAXIFS('3b Activity Plan'!$GO$173:$GO$365,'3b Activity Plan'!$CY$173:$CY$365,1,'3b Activity Plan'!$J$173:$J$365,$FA78)</f>
        <v>0</v>
      </c>
      <c r="AG78" s="755"/>
      <c r="AH78" s="761">
        <f t="shared" si="174"/>
        <v>0</v>
      </c>
      <c r="AI78" s="761">
        <f t="shared" si="175"/>
        <v>0</v>
      </c>
      <c r="AJ78" s="755"/>
      <c r="AK78" s="761">
        <f t="shared" si="176"/>
        <v>0</v>
      </c>
      <c r="AL78" s="761">
        <f t="shared" si="177"/>
        <v>0</v>
      </c>
      <c r="AM78" s="776">
        <f t="shared" si="178"/>
        <v>0</v>
      </c>
      <c r="AN78" s="755"/>
      <c r="AO78" s="748">
        <f t="shared" si="179"/>
        <v>0</v>
      </c>
      <c r="AP78" s="748">
        <f t="shared" si="180"/>
        <v>0</v>
      </c>
      <c r="AQ78" s="748">
        <f t="shared" si="181"/>
        <v>0</v>
      </c>
      <c r="AR78" s="748">
        <f t="shared" si="182"/>
        <v>0</v>
      </c>
      <c r="AS78" s="748">
        <f t="shared" si="183"/>
        <v>0</v>
      </c>
      <c r="AT78" s="748">
        <f t="shared" si="184"/>
        <v>0</v>
      </c>
      <c r="AU78" s="748">
        <f t="shared" si="185"/>
        <v>0</v>
      </c>
      <c r="AV78" s="748">
        <f>IFERROR(INDEX('IPCS Data'!$R$8:$R$109,MATCH(EJ78,'IPCS Data'!$O$8:$O$109,0)),0)</f>
        <v>0</v>
      </c>
      <c r="AW78" s="755"/>
      <c r="AX78" s="499">
        <f>IFERROR(INDEX('IPCS Data'!$P$18:$P$110,MATCH(EK78,'IPCS Data'!$Q$18:$Q$110,0)),0)</f>
        <v>0</v>
      </c>
      <c r="AY78" s="1950" t="str">
        <f t="shared" si="110"/>
        <v/>
      </c>
      <c r="AZ78" s="755"/>
      <c r="BA78" s="753" t="str">
        <f>IFERROR(IF(MATCH(EJ78,'IPCS Data'!$O$8:$O$110,0)&gt;=25,"L","N"),"N")</f>
        <v>N</v>
      </c>
      <c r="BB78" s="774"/>
      <c r="BC78" s="753" t="str">
        <f t="shared" si="111"/>
        <v>N</v>
      </c>
      <c r="BD78" s="753" t="str">
        <f t="shared" si="39"/>
        <v>Non-Labor</v>
      </c>
      <c r="BE78" s="755"/>
      <c r="BF78" s="753" t="str">
        <f t="shared" si="112"/>
        <v>B23672.05</v>
      </c>
      <c r="BG78" s="753" t="str">
        <f t="shared" si="229"/>
        <v>0.0.0</v>
      </c>
      <c r="BH78" s="753">
        <f t="shared" si="187"/>
        <v>0</v>
      </c>
      <c r="BI78" s="753">
        <f t="shared" si="145"/>
        <v>0</v>
      </c>
      <c r="BJ78" s="753">
        <f t="shared" si="113"/>
        <v>0</v>
      </c>
      <c r="BK78" s="753">
        <f t="shared" si="40"/>
        <v>0</v>
      </c>
      <c r="BL78" s="753" t="b">
        <f t="shared" si="131"/>
        <v>1</v>
      </c>
      <c r="BM78" s="755"/>
      <c r="BN78" s="719">
        <f t="shared" si="188"/>
        <v>0</v>
      </c>
      <c r="BO78" s="719">
        <f t="shared" si="189"/>
        <v>110</v>
      </c>
      <c r="BP78" s="755"/>
      <c r="BQ78" s="719">
        <f>IF(AND((COUNTIFS('3a Staff Plan'!$J$129:$J$305,FA78)*$B$22)+(COUNTIFS('3b Activity Plan'!$J$173:$J$365,FA78)*$M$22)=0,FB78&gt;0),1,0)</f>
        <v>0</v>
      </c>
      <c r="BR78" s="719">
        <f t="shared" si="114"/>
        <v>0</v>
      </c>
      <c r="BS78" s="719">
        <f t="shared" si="190"/>
        <v>0</v>
      </c>
      <c r="BT78" s="719">
        <f t="shared" si="191"/>
        <v>0</v>
      </c>
      <c r="BU78" s="719">
        <f t="shared" si="192"/>
        <v>0</v>
      </c>
      <c r="BV78" s="719">
        <f t="shared" si="193"/>
        <v>0</v>
      </c>
      <c r="BW78" s="719">
        <f t="shared" si="194"/>
        <v>0</v>
      </c>
      <c r="BX78" s="719">
        <f t="shared" si="195"/>
        <v>0</v>
      </c>
      <c r="BY78" s="719">
        <f t="shared" si="196"/>
        <v>0</v>
      </c>
      <c r="BZ78" s="719">
        <f t="shared" si="115"/>
        <v>0</v>
      </c>
      <c r="CA78" s="719">
        <f t="shared" si="116"/>
        <v>0</v>
      </c>
      <c r="CB78" s="719">
        <f t="shared" si="197"/>
        <v>0</v>
      </c>
      <c r="CC78" s="719"/>
      <c r="CD78" s="719"/>
      <c r="CE78" s="719">
        <f t="shared" si="198"/>
        <v>0</v>
      </c>
      <c r="CF78" s="719">
        <f t="shared" si="117"/>
        <v>0</v>
      </c>
      <c r="CG78" s="719">
        <f t="shared" si="118"/>
        <v>0</v>
      </c>
      <c r="CH78" s="719">
        <f t="shared" si="119"/>
        <v>0</v>
      </c>
      <c r="CI78" s="719">
        <f t="shared" si="120"/>
        <v>0</v>
      </c>
      <c r="CJ78" s="719">
        <f t="shared" si="121"/>
        <v>0</v>
      </c>
      <c r="CK78" s="719">
        <f t="shared" si="122"/>
        <v>0</v>
      </c>
      <c r="CL78" s="719">
        <f t="shared" si="123"/>
        <v>0</v>
      </c>
      <c r="CM78" s="719">
        <f t="shared" si="124"/>
        <v>0</v>
      </c>
      <c r="CN78" s="719">
        <f t="shared" si="125"/>
        <v>0</v>
      </c>
      <c r="CO78" s="719">
        <f t="shared" si="42"/>
        <v>0</v>
      </c>
      <c r="CP78" s="719">
        <f t="shared" si="78"/>
        <v>0</v>
      </c>
      <c r="CQ78" s="719">
        <f t="shared" si="126"/>
        <v>45</v>
      </c>
      <c r="CR78" s="719">
        <f t="shared" si="127"/>
        <v>0</v>
      </c>
      <c r="CS78" s="2526"/>
      <c r="CT78" s="2527">
        <f t="shared" si="128"/>
        <v>50</v>
      </c>
      <c r="CU78" s="2527">
        <f t="shared" si="146"/>
        <v>0</v>
      </c>
      <c r="CV78" s="2527">
        <f t="shared" si="147"/>
        <v>0</v>
      </c>
      <c r="CW78" s="2527">
        <f t="shared" si="43"/>
        <v>0</v>
      </c>
      <c r="CX78" s="755"/>
      <c r="CY78" s="2537"/>
      <c r="CZ78" s="499">
        <f t="shared" si="169"/>
        <v>0</v>
      </c>
      <c r="DA78" s="1107">
        <f t="shared" si="170"/>
        <v>0</v>
      </c>
      <c r="DB78" s="2537"/>
      <c r="DC78" s="499">
        <f t="shared" si="200"/>
        <v>0</v>
      </c>
      <c r="DD78" s="1107">
        <f t="shared" si="201"/>
        <v>0</v>
      </c>
      <c r="DE78" s="2537"/>
      <c r="DF78" s="499">
        <f t="shared" si="202"/>
        <v>0</v>
      </c>
      <c r="DG78" s="1107">
        <f t="shared" si="203"/>
        <v>0</v>
      </c>
      <c r="DH78" s="2537"/>
      <c r="DI78" s="499">
        <f t="shared" si="204"/>
        <v>0</v>
      </c>
      <c r="DJ78" s="1107">
        <f t="shared" si="205"/>
        <v>0</v>
      </c>
      <c r="DK78" s="2537"/>
      <c r="DL78" s="499">
        <f t="shared" si="206"/>
        <v>0</v>
      </c>
      <c r="DM78" s="1107">
        <f t="shared" si="207"/>
        <v>0</v>
      </c>
      <c r="DN78" s="2537"/>
      <c r="DO78" s="499">
        <f t="shared" si="208"/>
        <v>0</v>
      </c>
      <c r="DP78" s="1107">
        <f t="shared" si="209"/>
        <v>0</v>
      </c>
      <c r="DQ78" s="2537"/>
      <c r="DR78" s="2559"/>
      <c r="DS78" s="499">
        <f t="shared" si="148"/>
        <v>0</v>
      </c>
      <c r="DT78" s="1106">
        <f t="shared" si="149"/>
        <v>0</v>
      </c>
      <c r="DU78" s="2537"/>
      <c r="DV78" s="2559"/>
      <c r="DW78" s="2312">
        <f t="shared" si="150"/>
        <v>0</v>
      </c>
      <c r="DX78" s="1106">
        <f t="shared" si="151"/>
        <v>0</v>
      </c>
      <c r="DY78" s="2572"/>
      <c r="DZ78" s="2537"/>
      <c r="EA78" s="2537"/>
      <c r="EB78" s="2577" t="str">
        <f t="shared" si="210"/>
        <v>05</v>
      </c>
      <c r="EC78" s="2570"/>
      <c r="ED78" s="436">
        <f>IFERROR(INDEX('IPCS Data'!$H$8:$H$30,MATCH(EE78,'IPCS Data'!$I$8:$I$30,0)),0)</f>
        <v>0</v>
      </c>
      <c r="EE78" s="437"/>
      <c r="EF78" s="2570"/>
      <c r="EG78" s="499">
        <f>IFERROR(INDEX('IPCS Data'!$L$8:$L$27,MATCH(EH78,'IPCS Data'!$M$8:$M$27,0)),0)</f>
        <v>0</v>
      </c>
      <c r="EH78" s="437"/>
      <c r="EI78" s="2578" t="s">
        <v>5</v>
      </c>
      <c r="EJ78" s="748">
        <f>IFERROR(INDEX('IPCS Data'!$O$8:$O$110,MATCH(EK78,'IPCS Data'!$Q$8:$Q$110,0)),0)</f>
        <v>0</v>
      </c>
      <c r="EK78" s="437"/>
      <c r="EL78" s="2578"/>
      <c r="EM78" s="840">
        <f t="shared" si="230"/>
        <v>0</v>
      </c>
      <c r="EN78" s="841"/>
      <c r="EO78" s="2537"/>
      <c r="EP78" s="842">
        <f t="shared" si="231"/>
        <v>0</v>
      </c>
      <c r="EQ78" s="843"/>
      <c r="ER78" s="2537"/>
      <c r="ES78" s="840">
        <f t="shared" si="232"/>
        <v>0</v>
      </c>
      <c r="ET78" s="843"/>
      <c r="EU78" s="2537"/>
      <c r="EV78" s="1497"/>
      <c r="EW78" s="1683"/>
      <c r="EX78" s="2562">
        <f t="shared" si="211"/>
        <v>45</v>
      </c>
      <c r="EY78" s="2533"/>
      <c r="EZ78" s="2561"/>
      <c r="FA78" s="1324">
        <f t="shared" si="152"/>
        <v>0</v>
      </c>
      <c r="FB78" s="2629">
        <f t="shared" si="212"/>
        <v>0</v>
      </c>
      <c r="FC78" s="274"/>
      <c r="FD78" s="2626">
        <f t="shared" si="153"/>
        <v>0</v>
      </c>
      <c r="FE78" s="2626">
        <f t="shared" si="154"/>
        <v>0</v>
      </c>
      <c r="FF78" s="274"/>
      <c r="FG78" s="2616">
        <f t="shared" si="213"/>
        <v>0</v>
      </c>
      <c r="FH78" s="2616">
        <f t="shared" si="214"/>
        <v>0</v>
      </c>
      <c r="FI78" s="2616">
        <f t="shared" si="215"/>
        <v>0</v>
      </c>
      <c r="FJ78" s="2610" t="s">
        <v>5</v>
      </c>
      <c r="FK78" s="2616">
        <f t="shared" si="216"/>
        <v>0</v>
      </c>
      <c r="FL78" s="2616">
        <f t="shared" si="217"/>
        <v>0</v>
      </c>
      <c r="FM78" s="2616">
        <f t="shared" si="218"/>
        <v>0</v>
      </c>
      <c r="FN78" s="2622">
        <f t="shared" si="219"/>
        <v>0</v>
      </c>
      <c r="FO78" s="2615">
        <f t="shared" si="220"/>
        <v>0</v>
      </c>
      <c r="FP78" s="2624">
        <f t="shared" si="221"/>
        <v>0</v>
      </c>
      <c r="FQ78" s="2622">
        <f t="shared" si="222"/>
        <v>0</v>
      </c>
      <c r="FR78" s="2624">
        <f t="shared" si="223"/>
        <v>0</v>
      </c>
      <c r="FS78" s="2611" t="s">
        <v>5</v>
      </c>
      <c r="FT78" s="2616">
        <f t="shared" si="224"/>
        <v>0</v>
      </c>
      <c r="FU78" s="2622">
        <f t="shared" si="129"/>
        <v>0</v>
      </c>
      <c r="FV78" s="2616">
        <f t="shared" si="225"/>
        <v>0</v>
      </c>
      <c r="FW78" s="2612" t="s">
        <v>5</v>
      </c>
      <c r="FX78" s="2616">
        <f t="shared" si="171"/>
        <v>0</v>
      </c>
      <c r="FY78" s="2616">
        <f t="shared" si="226"/>
        <v>0</v>
      </c>
      <c r="FZ78" s="2613" t="s">
        <v>5</v>
      </c>
      <c r="GA78" s="2616">
        <f t="shared" si="48"/>
        <v>0</v>
      </c>
      <c r="GB78" s="2619">
        <f t="shared" si="234"/>
        <v>0</v>
      </c>
      <c r="GC78" s="2620">
        <f t="shared" si="228"/>
        <v>0</v>
      </c>
      <c r="GD78" s="2614"/>
      <c r="GE78" s="3195">
        <f t="shared" si="143"/>
        <v>0</v>
      </c>
      <c r="GF78" s="3195">
        <f t="shared" si="144"/>
        <v>0</v>
      </c>
      <c r="GG78" s="3193" t="str">
        <f t="shared" si="18"/>
        <v>X</v>
      </c>
      <c r="GH78" s="2531"/>
      <c r="GI78" s="3189" t="str">
        <f t="shared" si="155"/>
        <v/>
      </c>
      <c r="GJ78" s="2598"/>
      <c r="GK78" s="3173">
        <f t="shared" si="156"/>
        <v>0</v>
      </c>
      <c r="GL78" s="3173">
        <f t="shared" si="157"/>
        <v>0</v>
      </c>
      <c r="GM78" s="3173">
        <f t="shared" si="158"/>
        <v>0</v>
      </c>
      <c r="GN78" s="3174">
        <f t="shared" si="159"/>
        <v>0</v>
      </c>
      <c r="GO78" s="3174">
        <f t="shared" si="160"/>
        <v>0</v>
      </c>
      <c r="GP78" s="3175">
        <f t="shared" si="161"/>
        <v>0</v>
      </c>
      <c r="GQ78" s="3176">
        <f t="shared" si="162"/>
        <v>0</v>
      </c>
      <c r="GR78" s="3177">
        <f t="shared" si="163"/>
        <v>0</v>
      </c>
      <c r="GS78" s="3177">
        <f t="shared" si="164"/>
        <v>0</v>
      </c>
      <c r="GT78" s="3178">
        <f t="shared" si="165"/>
        <v>0</v>
      </c>
      <c r="GU78" s="3179"/>
      <c r="GV78" s="3178">
        <f t="shared" si="166"/>
        <v>0</v>
      </c>
      <c r="GW78" s="3177">
        <f t="shared" si="167"/>
        <v>0</v>
      </c>
      <c r="GX78" s="3180"/>
      <c r="GY78" s="3177">
        <f t="shared" si="168"/>
        <v>0</v>
      </c>
      <c r="GZ78" s="2593"/>
      <c r="HA78" s="277"/>
      <c r="HB78" s="277"/>
      <c r="HC78" s="277"/>
      <c r="HD78" s="277"/>
      <c r="HE78" s="277"/>
      <c r="HF78" s="277"/>
      <c r="HG78" s="277"/>
      <c r="HH78" s="277"/>
      <c r="HI78" s="277"/>
      <c r="HJ78" s="277"/>
      <c r="HK78" s="277"/>
      <c r="HL78" s="277"/>
      <c r="HM78" s="277"/>
      <c r="HN78" s="277"/>
      <c r="HO78" s="277"/>
    </row>
    <row r="79" spans="1:223" s="749" customFormat="1" ht="18" customHeight="1" x14ac:dyDescent="0.3">
      <c r="A79" s="755"/>
      <c r="B79" s="805">
        <f>SUMIFS('3a Staff Plan'!$T$129:$T$305,'3a Staff Plan'!$DF$129:$DF$305,1,'3a Staff Plan'!$DA$129:$DA$305,1,'3a Staff Plan'!$J$129:$J$305,$FA79)</f>
        <v>0</v>
      </c>
      <c r="C79" s="805">
        <f>SUMIFS('3a Staff Plan'!$U$129:$U$305,'3a Staff Plan'!$DF$129:$DF$305,1,'3a Staff Plan'!$DA$129:$DA$305,1,'3a Staff Plan'!$J$129:$J$305,$FA79)</f>
        <v>0</v>
      </c>
      <c r="D79" s="805">
        <f>SUMIFS('3a Staff Plan'!$Z$129:$Z$305,'3a Staff Plan'!$DF$129:$DF$305,1,'3a Staff Plan'!$DA$129:$DA$305,1,'3a Staff Plan'!$J$129:$J$305,$FA79)</f>
        <v>0</v>
      </c>
      <c r="E79" s="805">
        <f>SUMIFS('3a Staff Plan'!$Y$129:$Y$305,'3a Staff Plan'!$DF$129:$DF$305,1,'3a Staff Plan'!$DA$129:$DA$305,1,'3a Staff Plan'!$J$129:$J$305,$FA79)</f>
        <v>0</v>
      </c>
      <c r="F79" s="805">
        <f>SUMIFS('3a Staff Plan'!$X$129:$X$305,'3a Staff Plan'!$DF$129:$DF$305,1,'3a Staff Plan'!$DA$129:$DA$305,1,'3a Staff Plan'!$AG$129:$AG$305,1,'3a Staff Plan'!$J$129:$J$305,$FA79)</f>
        <v>0</v>
      </c>
      <c r="G79" s="805">
        <f>IF($G$24=0,0,SUMIFS('3a Staff Plan'!$W$129:$W$305,'3a Staff Plan'!$DF$129:$DF$305,1,'3a Staff Plan'!$DA$129:$DA$305,1,'3a Staff Plan'!$J$129:$J$305,$FA79))</f>
        <v>0</v>
      </c>
      <c r="H79" s="795">
        <f t="shared" si="172"/>
        <v>0</v>
      </c>
      <c r="I79" s="805">
        <f>SUMIFS('3a Staff Plan'!$V$129:$V$305,'3a Staff Plan'!$DF$129:$DF$305,1,'3a Staff Plan'!$DA$129:$DA$305,1,'3a Staff Plan'!$J$129:$J$305,$FA79)</f>
        <v>0</v>
      </c>
      <c r="J79" s="805">
        <f>SUMIFS('3a Staff Plan'!$AB$129:$AB$305,'3a Staff Plan'!$DF$129:$DF$305,1,'3a Staff Plan'!$DA$129:$DA$305,1,'3a Staff Plan'!$J$129:$J$305,$FA79)</f>
        <v>0</v>
      </c>
      <c r="K79" s="805">
        <f>SUMIFS('3a Staff Plan'!$AA$129:$AA$305,'3a Staff Plan'!$DF$129:$DF$305,1,'3a Staff Plan'!$DA$129:$DA$305,1,'3a Staff Plan'!$AG$129:$AG$305,1,'3a Staff Plan'!$J$129:$J$305,$FA79)</f>
        <v>0</v>
      </c>
      <c r="L79" s="755"/>
      <c r="M79" s="805">
        <f>SUMIFS('3b Activity Plan'!$T$173:$T$365,'3b Activity Plan'!$CY$173:$CY$365,1,'3b Activity Plan'!$CT$173:$CT$365,1,'3b Activity Plan'!$J$173:$J$365,$FA79)</f>
        <v>0</v>
      </c>
      <c r="N79" s="805">
        <f>SUMIFS('3b Activity Plan'!$U$173:$U$365,'3b Activity Plan'!$CY$173:$CY$365,1,'3b Activity Plan'!$CT$173:$CT$365,1,'3b Activity Plan'!$J$173:$J$365,$FA79)</f>
        <v>0</v>
      </c>
      <c r="O79" s="805">
        <f>SUMIFS('3b Activity Plan'!$Z$173:$Z$365,'3b Activity Plan'!$CY$173:$CY$365,1,'3b Activity Plan'!$CT$173:$CT$365,1,'3b Activity Plan'!$J$173:$J$365,$FA79)</f>
        <v>0</v>
      </c>
      <c r="P79" s="805">
        <f>SUMIFS('3b Activity Plan'!$Y$173:$Y$365,'3b Activity Plan'!$CY$173:$CY$365,1,'3b Activity Plan'!$CT$173:$CT$365,1,'3b Activity Plan'!$J$173:$J$365,$FA79)</f>
        <v>0</v>
      </c>
      <c r="Q79" s="805">
        <f>SUMIFS('3b Activity Plan'!$X$173:$X$365,'3b Activity Plan'!$CY$173:$CY$365,1,'3b Activity Plan'!$CT$173:$CT$365,1,'3b Activity Plan'!$J$173:$J$365,$FA79)</f>
        <v>0</v>
      </c>
      <c r="R79" s="805">
        <f>IF($R$24=0,0,SUMIFS('3b Activity Plan'!$W$173:$W$365,'3b Activity Plan'!$CY$173:$CY$365,1,'3b Activity Plan'!$CT$173:$CT$365,1,'3b Activity Plan'!$J$173:$J$365,$FA79))</f>
        <v>0</v>
      </c>
      <c r="S79" s="795">
        <f t="shared" si="173"/>
        <v>0</v>
      </c>
      <c r="T79" s="805">
        <f>SUMIFS('3b Activity Plan'!$V$173:$V$365,'3b Activity Plan'!$CY$173:$CY$365,1,'3b Activity Plan'!$CT$173:$CT$365,1,'3b Activity Plan'!$J$173:$J$365,$FA79)</f>
        <v>0</v>
      </c>
      <c r="U79" s="805">
        <f>SUMIFS('3b Activity Plan'!$AB$173:$AB$365,'3b Activity Plan'!$CY$173:$CY$365,1,'3b Activity Plan'!$CT$173:$CT$365,1,'3b Activity Plan'!$J$173:$J$365,$FA79)</f>
        <v>0</v>
      </c>
      <c r="V79" s="805">
        <f>SUMIFS('3b Activity Plan'!$AA$173:$AA$365,'3b Activity Plan'!$CY$173:$CY$365,1,'3b Activity Plan'!$CT$173:$CT$365,1,'3b Activity Plan'!$J$173:$J$365,$FA79)</f>
        <v>0</v>
      </c>
      <c r="W79" s="755"/>
      <c r="X79" s="2641">
        <f>SUMIFS('3b Activity Plan'!$FU$173:$FU$365,'3b Activity Plan'!$J$173:$J$365,$FA79)</f>
        <v>0</v>
      </c>
      <c r="Y79" s="2641">
        <f>SUMIFS('3b Activity Plan'!$FW$173:$FW$365,'3b Activity Plan'!$J$173:$J$365,$FA79)</f>
        <v>0</v>
      </c>
      <c r="Z79" s="2639">
        <f t="shared" si="132"/>
        <v>0</v>
      </c>
      <c r="AA79" s="755"/>
      <c r="AB79" s="761">
        <f>_xlfn.MINIFS('3a Staff Plan'!$EB$129:$EB$304,'3a Staff Plan'!$DF$129:$DF$304,1,'3a Staff Plan'!$J$129:$J$304,FA79)</f>
        <v>0</v>
      </c>
      <c r="AC79" s="761">
        <f>_xlfn.MAXIFS('3a Staff Plan'!$EC$129:$EC$304,'3a Staff Plan'!$DF$129:$DF$304,1,'3a Staff Plan'!$J$129:$J$304,FA79)</f>
        <v>0</v>
      </c>
      <c r="AD79" s="755"/>
      <c r="AE79" s="761">
        <f>_xlfn.MINIFS('3b Activity Plan'!$GN$173:$GN$365,'3b Activity Plan'!$CY$173:$CY$365,1,'3b Activity Plan'!$J$173:$J$365,$FA79)</f>
        <v>0</v>
      </c>
      <c r="AF79" s="761">
        <f>_xlfn.MAXIFS('3b Activity Plan'!$GO$173:$GO$365,'3b Activity Plan'!$CY$173:$CY$365,1,'3b Activity Plan'!$J$173:$J$365,$FA79)</f>
        <v>0</v>
      </c>
      <c r="AG79" s="755"/>
      <c r="AH79" s="761">
        <f t="shared" si="174"/>
        <v>0</v>
      </c>
      <c r="AI79" s="761">
        <f t="shared" si="175"/>
        <v>0</v>
      </c>
      <c r="AJ79" s="755"/>
      <c r="AK79" s="761">
        <f t="shared" si="176"/>
        <v>0</v>
      </c>
      <c r="AL79" s="761">
        <f t="shared" si="177"/>
        <v>0</v>
      </c>
      <c r="AM79" s="776">
        <f t="shared" si="178"/>
        <v>0</v>
      </c>
      <c r="AN79" s="755"/>
      <c r="AO79" s="748">
        <f t="shared" si="179"/>
        <v>0</v>
      </c>
      <c r="AP79" s="748">
        <f t="shared" si="180"/>
        <v>0</v>
      </c>
      <c r="AQ79" s="748">
        <f t="shared" si="181"/>
        <v>0</v>
      </c>
      <c r="AR79" s="748">
        <f t="shared" si="182"/>
        <v>0</v>
      </c>
      <c r="AS79" s="748">
        <f t="shared" si="183"/>
        <v>0</v>
      </c>
      <c r="AT79" s="748">
        <f t="shared" si="184"/>
        <v>0</v>
      </c>
      <c r="AU79" s="748">
        <f t="shared" si="185"/>
        <v>0</v>
      </c>
      <c r="AV79" s="748">
        <f>IFERROR(INDEX('IPCS Data'!$R$8:$R$109,MATCH(EJ79,'IPCS Data'!$O$8:$O$109,0)),0)</f>
        <v>0</v>
      </c>
      <c r="AW79" s="755"/>
      <c r="AX79" s="499">
        <f>IFERROR(INDEX('IPCS Data'!$P$18:$P$110,MATCH(EK79,'IPCS Data'!$Q$18:$Q$110,0)),0)</f>
        <v>0</v>
      </c>
      <c r="AY79" s="1950" t="str">
        <f t="shared" si="110"/>
        <v/>
      </c>
      <c r="AZ79" s="755"/>
      <c r="BA79" s="753" t="str">
        <f>IFERROR(IF(MATCH(EJ79,'IPCS Data'!$O$8:$O$110,0)&gt;=25,"L","N"),"N")</f>
        <v>N</v>
      </c>
      <c r="BB79" s="774"/>
      <c r="BC79" s="753" t="str">
        <f t="shared" si="111"/>
        <v>N</v>
      </c>
      <c r="BD79" s="753" t="str">
        <f t="shared" si="39"/>
        <v>Non-Labor</v>
      </c>
      <c r="BE79" s="755"/>
      <c r="BF79" s="753" t="str">
        <f t="shared" si="112"/>
        <v>B23672.05</v>
      </c>
      <c r="BG79" s="753" t="str">
        <f t="shared" si="229"/>
        <v>0.0.0</v>
      </c>
      <c r="BH79" s="753">
        <f t="shared" si="187"/>
        <v>0</v>
      </c>
      <c r="BI79" s="753">
        <f t="shared" si="145"/>
        <v>0</v>
      </c>
      <c r="BJ79" s="753">
        <f t="shared" si="113"/>
        <v>0</v>
      </c>
      <c r="BK79" s="753">
        <f t="shared" si="40"/>
        <v>0</v>
      </c>
      <c r="BL79" s="753" t="b">
        <f t="shared" si="131"/>
        <v>1</v>
      </c>
      <c r="BM79" s="755"/>
      <c r="BN79" s="719">
        <f t="shared" si="188"/>
        <v>0</v>
      </c>
      <c r="BO79" s="719">
        <f t="shared" si="189"/>
        <v>110</v>
      </c>
      <c r="BP79" s="755"/>
      <c r="BQ79" s="719">
        <f>IF(AND((COUNTIFS('3a Staff Plan'!$J$129:$J$305,FA79)*$B$22)+(COUNTIFS('3b Activity Plan'!$J$173:$J$365,FA79)*$M$22)=0,FB79&gt;0),1,0)</f>
        <v>0</v>
      </c>
      <c r="BR79" s="719">
        <f t="shared" si="114"/>
        <v>0</v>
      </c>
      <c r="BS79" s="719">
        <f t="shared" si="190"/>
        <v>0</v>
      </c>
      <c r="BT79" s="719">
        <f t="shared" si="191"/>
        <v>0</v>
      </c>
      <c r="BU79" s="719">
        <f t="shared" si="192"/>
        <v>0</v>
      </c>
      <c r="BV79" s="719">
        <f t="shared" si="193"/>
        <v>0</v>
      </c>
      <c r="BW79" s="719">
        <f t="shared" si="194"/>
        <v>0</v>
      </c>
      <c r="BX79" s="719">
        <f t="shared" si="195"/>
        <v>0</v>
      </c>
      <c r="BY79" s="719">
        <f t="shared" si="196"/>
        <v>0</v>
      </c>
      <c r="BZ79" s="719">
        <f t="shared" si="115"/>
        <v>0</v>
      </c>
      <c r="CA79" s="719">
        <f t="shared" si="116"/>
        <v>0</v>
      </c>
      <c r="CB79" s="719">
        <f t="shared" si="197"/>
        <v>0</v>
      </c>
      <c r="CC79" s="719"/>
      <c r="CD79" s="719"/>
      <c r="CE79" s="719">
        <f t="shared" si="198"/>
        <v>0</v>
      </c>
      <c r="CF79" s="719">
        <f t="shared" si="117"/>
        <v>0</v>
      </c>
      <c r="CG79" s="719">
        <f t="shared" si="118"/>
        <v>0</v>
      </c>
      <c r="CH79" s="719">
        <f t="shared" si="119"/>
        <v>0</v>
      </c>
      <c r="CI79" s="719">
        <f t="shared" si="120"/>
        <v>0</v>
      </c>
      <c r="CJ79" s="719">
        <f t="shared" si="121"/>
        <v>0</v>
      </c>
      <c r="CK79" s="719">
        <f t="shared" si="122"/>
        <v>0</v>
      </c>
      <c r="CL79" s="719">
        <f t="shared" si="123"/>
        <v>0</v>
      </c>
      <c r="CM79" s="719">
        <f t="shared" si="124"/>
        <v>0</v>
      </c>
      <c r="CN79" s="719">
        <f t="shared" si="125"/>
        <v>0</v>
      </c>
      <c r="CO79" s="719">
        <f t="shared" si="42"/>
        <v>0</v>
      </c>
      <c r="CP79" s="719">
        <f t="shared" si="78"/>
        <v>0</v>
      </c>
      <c r="CQ79" s="719">
        <f t="shared" si="126"/>
        <v>46</v>
      </c>
      <c r="CR79" s="719">
        <f t="shared" si="127"/>
        <v>0</v>
      </c>
      <c r="CS79" s="2526"/>
      <c r="CT79" s="2527">
        <f t="shared" si="128"/>
        <v>51</v>
      </c>
      <c r="CU79" s="2527">
        <f t="shared" si="146"/>
        <v>0</v>
      </c>
      <c r="CV79" s="2527">
        <f t="shared" si="147"/>
        <v>0</v>
      </c>
      <c r="CW79" s="2527">
        <f t="shared" si="43"/>
        <v>0</v>
      </c>
      <c r="CX79" s="755"/>
      <c r="CY79" s="2537"/>
      <c r="CZ79" s="499">
        <f t="shared" si="169"/>
        <v>0</v>
      </c>
      <c r="DA79" s="1107">
        <f t="shared" si="170"/>
        <v>0</v>
      </c>
      <c r="DB79" s="2537"/>
      <c r="DC79" s="499">
        <f t="shared" si="200"/>
        <v>0</v>
      </c>
      <c r="DD79" s="1107">
        <f t="shared" si="201"/>
        <v>0</v>
      </c>
      <c r="DE79" s="2537"/>
      <c r="DF79" s="499">
        <f t="shared" si="202"/>
        <v>0</v>
      </c>
      <c r="DG79" s="1107">
        <f t="shared" si="203"/>
        <v>0</v>
      </c>
      <c r="DH79" s="2537"/>
      <c r="DI79" s="499">
        <f t="shared" si="204"/>
        <v>0</v>
      </c>
      <c r="DJ79" s="1107">
        <f t="shared" si="205"/>
        <v>0</v>
      </c>
      <c r="DK79" s="2537"/>
      <c r="DL79" s="499">
        <f t="shared" si="206"/>
        <v>0</v>
      </c>
      <c r="DM79" s="1107">
        <f t="shared" si="207"/>
        <v>0</v>
      </c>
      <c r="DN79" s="2537"/>
      <c r="DO79" s="499">
        <f t="shared" si="208"/>
        <v>0</v>
      </c>
      <c r="DP79" s="1107">
        <f t="shared" si="209"/>
        <v>0</v>
      </c>
      <c r="DQ79" s="2537"/>
      <c r="DR79" s="2559"/>
      <c r="DS79" s="499">
        <f t="shared" si="148"/>
        <v>0</v>
      </c>
      <c r="DT79" s="1106">
        <f t="shared" si="149"/>
        <v>0</v>
      </c>
      <c r="DU79" s="2537"/>
      <c r="DV79" s="2559"/>
      <c r="DW79" s="2312">
        <f t="shared" si="150"/>
        <v>0</v>
      </c>
      <c r="DX79" s="1106">
        <f t="shared" si="151"/>
        <v>0</v>
      </c>
      <c r="DY79" s="2572"/>
      <c r="DZ79" s="2537"/>
      <c r="EA79" s="2537"/>
      <c r="EB79" s="2577" t="str">
        <f t="shared" si="210"/>
        <v>05</v>
      </c>
      <c r="EC79" s="2570"/>
      <c r="ED79" s="436">
        <f>IFERROR(INDEX('IPCS Data'!$H$8:$H$30,MATCH(EE79,'IPCS Data'!$I$8:$I$30,0)),0)</f>
        <v>0</v>
      </c>
      <c r="EE79" s="437"/>
      <c r="EF79" s="2570"/>
      <c r="EG79" s="499">
        <f>IFERROR(INDEX('IPCS Data'!$L$8:$L$27,MATCH(EH79,'IPCS Data'!$M$8:$M$27,0)),0)</f>
        <v>0</v>
      </c>
      <c r="EH79" s="437"/>
      <c r="EI79" s="2578" t="s">
        <v>5</v>
      </c>
      <c r="EJ79" s="748">
        <f>IFERROR(INDEX('IPCS Data'!$O$8:$O$110,MATCH(EK79,'IPCS Data'!$Q$8:$Q$110,0)),0)</f>
        <v>0</v>
      </c>
      <c r="EK79" s="437"/>
      <c r="EL79" s="2578"/>
      <c r="EM79" s="840">
        <f t="shared" si="230"/>
        <v>0</v>
      </c>
      <c r="EN79" s="841"/>
      <c r="EO79" s="2537"/>
      <c r="EP79" s="842">
        <f t="shared" si="231"/>
        <v>0</v>
      </c>
      <c r="EQ79" s="843"/>
      <c r="ER79" s="2537"/>
      <c r="ES79" s="840">
        <f t="shared" si="232"/>
        <v>0</v>
      </c>
      <c r="ET79" s="843"/>
      <c r="EU79" s="2537"/>
      <c r="EV79" s="1497"/>
      <c r="EW79" s="1683"/>
      <c r="EX79" s="2562">
        <f t="shared" si="211"/>
        <v>46</v>
      </c>
      <c r="EY79" s="2533"/>
      <c r="EZ79" s="2561"/>
      <c r="FA79" s="1324">
        <f t="shared" si="152"/>
        <v>0</v>
      </c>
      <c r="FB79" s="2629">
        <f t="shared" si="212"/>
        <v>0</v>
      </c>
      <c r="FC79" s="274"/>
      <c r="FD79" s="2626">
        <f t="shared" si="153"/>
        <v>0</v>
      </c>
      <c r="FE79" s="2626">
        <f t="shared" si="154"/>
        <v>0</v>
      </c>
      <c r="FF79" s="274"/>
      <c r="FG79" s="2616">
        <f t="shared" si="213"/>
        <v>0</v>
      </c>
      <c r="FH79" s="2616">
        <f t="shared" si="214"/>
        <v>0</v>
      </c>
      <c r="FI79" s="2616">
        <f t="shared" si="215"/>
        <v>0</v>
      </c>
      <c r="FJ79" s="2610" t="s">
        <v>5</v>
      </c>
      <c r="FK79" s="2616">
        <f t="shared" si="216"/>
        <v>0</v>
      </c>
      <c r="FL79" s="2616">
        <f t="shared" si="217"/>
        <v>0</v>
      </c>
      <c r="FM79" s="2616">
        <f t="shared" si="218"/>
        <v>0</v>
      </c>
      <c r="FN79" s="2622">
        <f t="shared" si="219"/>
        <v>0</v>
      </c>
      <c r="FO79" s="2615">
        <f t="shared" si="220"/>
        <v>0</v>
      </c>
      <c r="FP79" s="2624">
        <f t="shared" si="221"/>
        <v>0</v>
      </c>
      <c r="FQ79" s="2622">
        <f t="shared" si="222"/>
        <v>0</v>
      </c>
      <c r="FR79" s="2624">
        <f t="shared" si="223"/>
        <v>0</v>
      </c>
      <c r="FS79" s="2611" t="s">
        <v>5</v>
      </c>
      <c r="FT79" s="2616">
        <f t="shared" si="224"/>
        <v>0</v>
      </c>
      <c r="FU79" s="2622">
        <f t="shared" si="129"/>
        <v>0</v>
      </c>
      <c r="FV79" s="2616">
        <f t="shared" si="225"/>
        <v>0</v>
      </c>
      <c r="FW79" s="2612" t="s">
        <v>5</v>
      </c>
      <c r="FX79" s="2616">
        <f t="shared" si="171"/>
        <v>0</v>
      </c>
      <c r="FY79" s="2616">
        <f t="shared" si="226"/>
        <v>0</v>
      </c>
      <c r="FZ79" s="2613" t="s">
        <v>5</v>
      </c>
      <c r="GA79" s="2616">
        <f t="shared" si="48"/>
        <v>0</v>
      </c>
      <c r="GB79" s="2619">
        <f t="shared" si="234"/>
        <v>0</v>
      </c>
      <c r="GC79" s="2620">
        <f t="shared" si="228"/>
        <v>0</v>
      </c>
      <c r="GD79" s="2614"/>
      <c r="GE79" s="3195">
        <f t="shared" si="143"/>
        <v>0</v>
      </c>
      <c r="GF79" s="3195">
        <f t="shared" si="144"/>
        <v>0</v>
      </c>
      <c r="GG79" s="3193" t="str">
        <f t="shared" si="18"/>
        <v>X</v>
      </c>
      <c r="GH79" s="2531"/>
      <c r="GI79" s="3189" t="str">
        <f t="shared" si="155"/>
        <v/>
      </c>
      <c r="GJ79" s="2598"/>
      <c r="GK79" s="3173">
        <f t="shared" si="156"/>
        <v>0</v>
      </c>
      <c r="GL79" s="3173">
        <f t="shared" si="157"/>
        <v>0</v>
      </c>
      <c r="GM79" s="3173">
        <f t="shared" si="158"/>
        <v>0</v>
      </c>
      <c r="GN79" s="3174">
        <f t="shared" si="159"/>
        <v>0</v>
      </c>
      <c r="GO79" s="3174">
        <f t="shared" si="160"/>
        <v>0</v>
      </c>
      <c r="GP79" s="3175">
        <f t="shared" si="161"/>
        <v>0</v>
      </c>
      <c r="GQ79" s="3176">
        <f t="shared" si="162"/>
        <v>0</v>
      </c>
      <c r="GR79" s="3177">
        <f t="shared" si="163"/>
        <v>0</v>
      </c>
      <c r="GS79" s="3177">
        <f t="shared" si="164"/>
        <v>0</v>
      </c>
      <c r="GT79" s="3178">
        <f t="shared" si="165"/>
        <v>0</v>
      </c>
      <c r="GU79" s="3179"/>
      <c r="GV79" s="3178">
        <f t="shared" si="166"/>
        <v>0</v>
      </c>
      <c r="GW79" s="3177">
        <f t="shared" si="167"/>
        <v>0</v>
      </c>
      <c r="GX79" s="3180"/>
      <c r="GY79" s="3177">
        <f t="shared" si="168"/>
        <v>0</v>
      </c>
      <c r="GZ79" s="2593"/>
      <c r="HA79" s="277"/>
      <c r="HB79" s="277"/>
      <c r="HC79" s="277"/>
      <c r="HD79" s="277"/>
      <c r="HE79" s="277"/>
      <c r="HF79" s="277"/>
      <c r="HG79" s="277"/>
      <c r="HH79" s="277"/>
      <c r="HI79" s="277"/>
      <c r="HJ79" s="277"/>
      <c r="HK79" s="277"/>
      <c r="HL79" s="277"/>
      <c r="HM79" s="277"/>
      <c r="HN79" s="277"/>
      <c r="HO79" s="277"/>
    </row>
    <row r="80" spans="1:223" s="749" customFormat="1" ht="18" customHeight="1" x14ac:dyDescent="0.3">
      <c r="A80" s="755"/>
      <c r="B80" s="805">
        <f>SUMIFS('3a Staff Plan'!$T$129:$T$305,'3a Staff Plan'!$DF$129:$DF$305,1,'3a Staff Plan'!$DA$129:$DA$305,1,'3a Staff Plan'!$J$129:$J$305,$FA80)</f>
        <v>0</v>
      </c>
      <c r="C80" s="805">
        <f>SUMIFS('3a Staff Plan'!$U$129:$U$305,'3a Staff Plan'!$DF$129:$DF$305,1,'3a Staff Plan'!$DA$129:$DA$305,1,'3a Staff Plan'!$J$129:$J$305,$FA80)</f>
        <v>0</v>
      </c>
      <c r="D80" s="805">
        <f>SUMIFS('3a Staff Plan'!$Z$129:$Z$305,'3a Staff Plan'!$DF$129:$DF$305,1,'3a Staff Plan'!$DA$129:$DA$305,1,'3a Staff Plan'!$J$129:$J$305,$FA80)</f>
        <v>0</v>
      </c>
      <c r="E80" s="805">
        <f>SUMIFS('3a Staff Plan'!$Y$129:$Y$305,'3a Staff Plan'!$DF$129:$DF$305,1,'3a Staff Plan'!$DA$129:$DA$305,1,'3a Staff Plan'!$J$129:$J$305,$FA80)</f>
        <v>0</v>
      </c>
      <c r="F80" s="805">
        <f>SUMIFS('3a Staff Plan'!$X$129:$X$305,'3a Staff Plan'!$DF$129:$DF$305,1,'3a Staff Plan'!$DA$129:$DA$305,1,'3a Staff Plan'!$AG$129:$AG$305,1,'3a Staff Plan'!$J$129:$J$305,$FA80)</f>
        <v>0</v>
      </c>
      <c r="G80" s="805">
        <f>IF($G$24=0,0,SUMIFS('3a Staff Plan'!$W$129:$W$305,'3a Staff Plan'!$DF$129:$DF$305,1,'3a Staff Plan'!$DA$129:$DA$305,1,'3a Staff Plan'!$J$129:$J$305,$FA80))</f>
        <v>0</v>
      </c>
      <c r="H80" s="795">
        <f t="shared" si="172"/>
        <v>0</v>
      </c>
      <c r="I80" s="805">
        <f>SUMIFS('3a Staff Plan'!$V$129:$V$305,'3a Staff Plan'!$DF$129:$DF$305,1,'3a Staff Plan'!$DA$129:$DA$305,1,'3a Staff Plan'!$J$129:$J$305,$FA80)</f>
        <v>0</v>
      </c>
      <c r="J80" s="805">
        <f>SUMIFS('3a Staff Plan'!$AB$129:$AB$305,'3a Staff Plan'!$DF$129:$DF$305,1,'3a Staff Plan'!$DA$129:$DA$305,1,'3a Staff Plan'!$J$129:$J$305,$FA80)</f>
        <v>0</v>
      </c>
      <c r="K80" s="805">
        <f>SUMIFS('3a Staff Plan'!$AA$129:$AA$305,'3a Staff Plan'!$DF$129:$DF$305,1,'3a Staff Plan'!$DA$129:$DA$305,1,'3a Staff Plan'!$AG$129:$AG$305,1,'3a Staff Plan'!$J$129:$J$305,$FA80)</f>
        <v>0</v>
      </c>
      <c r="L80" s="755"/>
      <c r="M80" s="805">
        <f>SUMIFS('3b Activity Plan'!$T$173:$T$365,'3b Activity Plan'!$CY$173:$CY$365,1,'3b Activity Plan'!$CT$173:$CT$365,1,'3b Activity Plan'!$J$173:$J$365,$FA80)</f>
        <v>0</v>
      </c>
      <c r="N80" s="805">
        <f>SUMIFS('3b Activity Plan'!$U$173:$U$365,'3b Activity Plan'!$CY$173:$CY$365,1,'3b Activity Plan'!$CT$173:$CT$365,1,'3b Activity Plan'!$J$173:$J$365,$FA80)</f>
        <v>0</v>
      </c>
      <c r="O80" s="805">
        <f>SUMIFS('3b Activity Plan'!$Z$173:$Z$365,'3b Activity Plan'!$CY$173:$CY$365,1,'3b Activity Plan'!$CT$173:$CT$365,1,'3b Activity Plan'!$J$173:$J$365,$FA80)</f>
        <v>0</v>
      </c>
      <c r="P80" s="805">
        <f>SUMIFS('3b Activity Plan'!$Y$173:$Y$365,'3b Activity Plan'!$CY$173:$CY$365,1,'3b Activity Plan'!$CT$173:$CT$365,1,'3b Activity Plan'!$J$173:$J$365,$FA80)</f>
        <v>0</v>
      </c>
      <c r="Q80" s="805">
        <f>SUMIFS('3b Activity Plan'!$X$173:$X$365,'3b Activity Plan'!$CY$173:$CY$365,1,'3b Activity Plan'!$CT$173:$CT$365,1,'3b Activity Plan'!$J$173:$J$365,$FA80)</f>
        <v>0</v>
      </c>
      <c r="R80" s="805">
        <f>IF($R$24=0,0,SUMIFS('3b Activity Plan'!$W$173:$W$365,'3b Activity Plan'!$CY$173:$CY$365,1,'3b Activity Plan'!$CT$173:$CT$365,1,'3b Activity Plan'!$J$173:$J$365,$FA80))</f>
        <v>0</v>
      </c>
      <c r="S80" s="795">
        <f t="shared" si="173"/>
        <v>0</v>
      </c>
      <c r="T80" s="805">
        <f>SUMIFS('3b Activity Plan'!$V$173:$V$365,'3b Activity Plan'!$CY$173:$CY$365,1,'3b Activity Plan'!$CT$173:$CT$365,1,'3b Activity Plan'!$J$173:$J$365,$FA80)</f>
        <v>0</v>
      </c>
      <c r="U80" s="805">
        <f>SUMIFS('3b Activity Plan'!$AB$173:$AB$365,'3b Activity Plan'!$CY$173:$CY$365,1,'3b Activity Plan'!$CT$173:$CT$365,1,'3b Activity Plan'!$J$173:$J$365,$FA80)</f>
        <v>0</v>
      </c>
      <c r="V80" s="805">
        <f>SUMIFS('3b Activity Plan'!$AA$173:$AA$365,'3b Activity Plan'!$CY$173:$CY$365,1,'3b Activity Plan'!$CT$173:$CT$365,1,'3b Activity Plan'!$J$173:$J$365,$FA80)</f>
        <v>0</v>
      </c>
      <c r="W80" s="755"/>
      <c r="X80" s="2641">
        <f>SUMIFS('3b Activity Plan'!$FU$173:$FU$365,'3b Activity Plan'!$J$173:$J$365,$FA80)</f>
        <v>0</v>
      </c>
      <c r="Y80" s="2641">
        <f>SUMIFS('3b Activity Plan'!$FW$173:$FW$365,'3b Activity Plan'!$J$173:$J$365,$FA80)</f>
        <v>0</v>
      </c>
      <c r="Z80" s="2639">
        <f t="shared" si="132"/>
        <v>0</v>
      </c>
      <c r="AA80" s="755"/>
      <c r="AB80" s="761">
        <f>_xlfn.MINIFS('3a Staff Plan'!$EB$129:$EB$304,'3a Staff Plan'!$DF$129:$DF$304,1,'3a Staff Plan'!$J$129:$J$304,FA80)</f>
        <v>0</v>
      </c>
      <c r="AC80" s="761">
        <f>_xlfn.MAXIFS('3a Staff Plan'!$EC$129:$EC$304,'3a Staff Plan'!$DF$129:$DF$304,1,'3a Staff Plan'!$J$129:$J$304,FA80)</f>
        <v>0</v>
      </c>
      <c r="AD80" s="755"/>
      <c r="AE80" s="761">
        <f>_xlfn.MINIFS('3b Activity Plan'!$GN$173:$GN$365,'3b Activity Plan'!$CY$173:$CY$365,1,'3b Activity Plan'!$J$173:$J$365,$FA80)</f>
        <v>0</v>
      </c>
      <c r="AF80" s="761">
        <f>_xlfn.MAXIFS('3b Activity Plan'!$GO$173:$GO$365,'3b Activity Plan'!$CY$173:$CY$365,1,'3b Activity Plan'!$J$173:$J$365,$FA80)</f>
        <v>0</v>
      </c>
      <c r="AG80" s="755"/>
      <c r="AH80" s="761">
        <f t="shared" si="174"/>
        <v>0</v>
      </c>
      <c r="AI80" s="761">
        <f t="shared" si="175"/>
        <v>0</v>
      </c>
      <c r="AJ80" s="755"/>
      <c r="AK80" s="761">
        <f t="shared" si="176"/>
        <v>0</v>
      </c>
      <c r="AL80" s="761">
        <f t="shared" si="177"/>
        <v>0</v>
      </c>
      <c r="AM80" s="776">
        <f t="shared" si="178"/>
        <v>0</v>
      </c>
      <c r="AN80" s="755"/>
      <c r="AO80" s="748">
        <f t="shared" si="179"/>
        <v>0</v>
      </c>
      <c r="AP80" s="748">
        <f t="shared" si="180"/>
        <v>0</v>
      </c>
      <c r="AQ80" s="748">
        <f t="shared" si="181"/>
        <v>0</v>
      </c>
      <c r="AR80" s="748">
        <f t="shared" si="182"/>
        <v>0</v>
      </c>
      <c r="AS80" s="748">
        <f t="shared" si="183"/>
        <v>0</v>
      </c>
      <c r="AT80" s="748">
        <f t="shared" si="184"/>
        <v>0</v>
      </c>
      <c r="AU80" s="748">
        <f t="shared" si="185"/>
        <v>0</v>
      </c>
      <c r="AV80" s="748">
        <f>IFERROR(INDEX('IPCS Data'!$R$8:$R$109,MATCH(EJ80,'IPCS Data'!$O$8:$O$109,0)),0)</f>
        <v>0</v>
      </c>
      <c r="AW80" s="755"/>
      <c r="AX80" s="499">
        <f>IFERROR(INDEX('IPCS Data'!$P$18:$P$110,MATCH(EK80,'IPCS Data'!$Q$18:$Q$110,0)),0)</f>
        <v>0</v>
      </c>
      <c r="AY80" s="1950" t="str">
        <f t="shared" si="110"/>
        <v/>
      </c>
      <c r="AZ80" s="755"/>
      <c r="BA80" s="753" t="str">
        <f>IFERROR(IF(MATCH(EJ80,'IPCS Data'!$O$8:$O$110,0)&gt;=25,"L","N"),"N")</f>
        <v>N</v>
      </c>
      <c r="BB80" s="774"/>
      <c r="BC80" s="753" t="str">
        <f t="shared" si="111"/>
        <v>N</v>
      </c>
      <c r="BD80" s="753" t="str">
        <f t="shared" si="39"/>
        <v>Non-Labor</v>
      </c>
      <c r="BE80" s="755"/>
      <c r="BF80" s="753" t="str">
        <f t="shared" si="112"/>
        <v>B23672.05</v>
      </c>
      <c r="BG80" s="753" t="str">
        <f t="shared" si="229"/>
        <v>0.0.0</v>
      </c>
      <c r="BH80" s="753">
        <f t="shared" si="187"/>
        <v>0</v>
      </c>
      <c r="BI80" s="753">
        <f t="shared" si="145"/>
        <v>0</v>
      </c>
      <c r="BJ80" s="753">
        <f t="shared" si="113"/>
        <v>0</v>
      </c>
      <c r="BK80" s="753">
        <f t="shared" si="40"/>
        <v>0</v>
      </c>
      <c r="BL80" s="753" t="b">
        <f t="shared" si="131"/>
        <v>1</v>
      </c>
      <c r="BM80" s="755"/>
      <c r="BN80" s="719">
        <f t="shared" si="188"/>
        <v>0</v>
      </c>
      <c r="BO80" s="719">
        <f t="shared" si="189"/>
        <v>110</v>
      </c>
      <c r="BP80" s="755"/>
      <c r="BQ80" s="719">
        <f>IF(AND((COUNTIFS('3a Staff Plan'!$J$129:$J$305,FA80)*$B$22)+(COUNTIFS('3b Activity Plan'!$J$173:$J$365,FA80)*$M$22)=0,FB80&gt;0),1,0)</f>
        <v>0</v>
      </c>
      <c r="BR80" s="719">
        <f t="shared" si="114"/>
        <v>0</v>
      </c>
      <c r="BS80" s="719">
        <f t="shared" si="190"/>
        <v>0</v>
      </c>
      <c r="BT80" s="719">
        <f t="shared" si="191"/>
        <v>0</v>
      </c>
      <c r="BU80" s="719">
        <f t="shared" si="192"/>
        <v>0</v>
      </c>
      <c r="BV80" s="719">
        <f t="shared" si="193"/>
        <v>0</v>
      </c>
      <c r="BW80" s="719">
        <f t="shared" si="194"/>
        <v>0</v>
      </c>
      <c r="BX80" s="719">
        <f t="shared" si="195"/>
        <v>0</v>
      </c>
      <c r="BY80" s="719">
        <f t="shared" si="196"/>
        <v>0</v>
      </c>
      <c r="BZ80" s="719">
        <f t="shared" si="115"/>
        <v>0</v>
      </c>
      <c r="CA80" s="719">
        <f t="shared" si="116"/>
        <v>0</v>
      </c>
      <c r="CB80" s="719">
        <f t="shared" si="197"/>
        <v>0</v>
      </c>
      <c r="CC80" s="719"/>
      <c r="CD80" s="719"/>
      <c r="CE80" s="719">
        <f t="shared" si="198"/>
        <v>0</v>
      </c>
      <c r="CF80" s="719">
        <f t="shared" si="117"/>
        <v>0</v>
      </c>
      <c r="CG80" s="719">
        <f t="shared" si="118"/>
        <v>0</v>
      </c>
      <c r="CH80" s="719">
        <f t="shared" si="119"/>
        <v>0</v>
      </c>
      <c r="CI80" s="719">
        <f t="shared" si="120"/>
        <v>0</v>
      </c>
      <c r="CJ80" s="719">
        <f t="shared" si="121"/>
        <v>0</v>
      </c>
      <c r="CK80" s="719">
        <f t="shared" si="122"/>
        <v>0</v>
      </c>
      <c r="CL80" s="719">
        <f t="shared" si="123"/>
        <v>0</v>
      </c>
      <c r="CM80" s="719">
        <f t="shared" si="124"/>
        <v>0</v>
      </c>
      <c r="CN80" s="719">
        <f t="shared" si="125"/>
        <v>0</v>
      </c>
      <c r="CO80" s="719">
        <f t="shared" si="42"/>
        <v>0</v>
      </c>
      <c r="CP80" s="719">
        <f t="shared" si="78"/>
        <v>0</v>
      </c>
      <c r="CQ80" s="719">
        <f t="shared" si="126"/>
        <v>47</v>
      </c>
      <c r="CR80" s="719">
        <f t="shared" si="127"/>
        <v>0</v>
      </c>
      <c r="CS80" s="2526"/>
      <c r="CT80" s="2527">
        <f t="shared" si="128"/>
        <v>52</v>
      </c>
      <c r="CU80" s="2527">
        <f t="shared" si="146"/>
        <v>0</v>
      </c>
      <c r="CV80" s="2527">
        <f t="shared" si="147"/>
        <v>0</v>
      </c>
      <c r="CW80" s="2527">
        <f t="shared" si="43"/>
        <v>0</v>
      </c>
      <c r="CX80" s="755"/>
      <c r="CY80" s="2537"/>
      <c r="CZ80" s="499">
        <f t="shared" si="169"/>
        <v>0</v>
      </c>
      <c r="DA80" s="1107">
        <f t="shared" si="170"/>
        <v>0</v>
      </c>
      <c r="DB80" s="2537"/>
      <c r="DC80" s="499">
        <f t="shared" si="200"/>
        <v>0</v>
      </c>
      <c r="DD80" s="1107">
        <f t="shared" si="201"/>
        <v>0</v>
      </c>
      <c r="DE80" s="2537"/>
      <c r="DF80" s="499">
        <f t="shared" si="202"/>
        <v>0</v>
      </c>
      <c r="DG80" s="1107">
        <f t="shared" si="203"/>
        <v>0</v>
      </c>
      <c r="DH80" s="2537"/>
      <c r="DI80" s="499">
        <f t="shared" si="204"/>
        <v>0</v>
      </c>
      <c r="DJ80" s="1107">
        <f t="shared" si="205"/>
        <v>0</v>
      </c>
      <c r="DK80" s="2537"/>
      <c r="DL80" s="499">
        <f t="shared" si="206"/>
        <v>0</v>
      </c>
      <c r="DM80" s="1107">
        <f t="shared" si="207"/>
        <v>0</v>
      </c>
      <c r="DN80" s="2537"/>
      <c r="DO80" s="499">
        <f t="shared" si="208"/>
        <v>0</v>
      </c>
      <c r="DP80" s="1107">
        <f t="shared" si="209"/>
        <v>0</v>
      </c>
      <c r="DQ80" s="2537"/>
      <c r="DR80" s="2559"/>
      <c r="DS80" s="499">
        <f t="shared" si="148"/>
        <v>0</v>
      </c>
      <c r="DT80" s="1106">
        <f t="shared" si="149"/>
        <v>0</v>
      </c>
      <c r="DU80" s="2537"/>
      <c r="DV80" s="2559"/>
      <c r="DW80" s="2312">
        <f t="shared" si="150"/>
        <v>0</v>
      </c>
      <c r="DX80" s="1106">
        <f t="shared" si="151"/>
        <v>0</v>
      </c>
      <c r="DY80" s="2572"/>
      <c r="DZ80" s="2537"/>
      <c r="EA80" s="2537"/>
      <c r="EB80" s="2577" t="str">
        <f t="shared" si="210"/>
        <v>05</v>
      </c>
      <c r="EC80" s="2570"/>
      <c r="ED80" s="436">
        <f>IFERROR(INDEX('IPCS Data'!$H$8:$H$30,MATCH(EE80,'IPCS Data'!$I$8:$I$30,0)),0)</f>
        <v>0</v>
      </c>
      <c r="EE80" s="437"/>
      <c r="EF80" s="2570"/>
      <c r="EG80" s="499">
        <f>IFERROR(INDEX('IPCS Data'!$L$8:$L$27,MATCH(EH80,'IPCS Data'!$M$8:$M$27,0)),0)</f>
        <v>0</v>
      </c>
      <c r="EH80" s="437"/>
      <c r="EI80" s="2578" t="s">
        <v>5</v>
      </c>
      <c r="EJ80" s="748">
        <f>IFERROR(INDEX('IPCS Data'!$O$8:$O$110,MATCH(EK80,'IPCS Data'!$Q$8:$Q$110,0)),0)</f>
        <v>0</v>
      </c>
      <c r="EK80" s="437"/>
      <c r="EL80" s="2578"/>
      <c r="EM80" s="840">
        <f t="shared" si="230"/>
        <v>0</v>
      </c>
      <c r="EN80" s="841"/>
      <c r="EO80" s="2537"/>
      <c r="EP80" s="842">
        <f t="shared" si="231"/>
        <v>0</v>
      </c>
      <c r="EQ80" s="843"/>
      <c r="ER80" s="2537"/>
      <c r="ES80" s="840">
        <f t="shared" si="232"/>
        <v>0</v>
      </c>
      <c r="ET80" s="843"/>
      <c r="EU80" s="2537"/>
      <c r="EV80" s="1497"/>
      <c r="EW80" s="1683"/>
      <c r="EX80" s="2562">
        <f t="shared" si="211"/>
        <v>47</v>
      </c>
      <c r="EY80" s="2533"/>
      <c r="EZ80" s="2561"/>
      <c r="FA80" s="1324">
        <f t="shared" si="152"/>
        <v>0</v>
      </c>
      <c r="FB80" s="2629">
        <f t="shared" si="212"/>
        <v>0</v>
      </c>
      <c r="FC80" s="274"/>
      <c r="FD80" s="2626">
        <f t="shared" si="153"/>
        <v>0</v>
      </c>
      <c r="FE80" s="2626">
        <f t="shared" si="154"/>
        <v>0</v>
      </c>
      <c r="FF80" s="274"/>
      <c r="FG80" s="2616">
        <f t="shared" si="213"/>
        <v>0</v>
      </c>
      <c r="FH80" s="2616">
        <f t="shared" si="214"/>
        <v>0</v>
      </c>
      <c r="FI80" s="2616">
        <f t="shared" si="215"/>
        <v>0</v>
      </c>
      <c r="FJ80" s="2610" t="s">
        <v>5</v>
      </c>
      <c r="FK80" s="2616">
        <f t="shared" si="216"/>
        <v>0</v>
      </c>
      <c r="FL80" s="2616">
        <f t="shared" si="217"/>
        <v>0</v>
      </c>
      <c r="FM80" s="2616">
        <f t="shared" si="218"/>
        <v>0</v>
      </c>
      <c r="FN80" s="2622">
        <f t="shared" si="219"/>
        <v>0</v>
      </c>
      <c r="FO80" s="2615">
        <f t="shared" si="220"/>
        <v>0</v>
      </c>
      <c r="FP80" s="2624">
        <f t="shared" si="221"/>
        <v>0</v>
      </c>
      <c r="FQ80" s="2622">
        <f t="shared" si="222"/>
        <v>0</v>
      </c>
      <c r="FR80" s="2624">
        <f t="shared" si="223"/>
        <v>0</v>
      </c>
      <c r="FS80" s="2611" t="s">
        <v>5</v>
      </c>
      <c r="FT80" s="2616">
        <f t="shared" si="224"/>
        <v>0</v>
      </c>
      <c r="FU80" s="2622">
        <f t="shared" si="129"/>
        <v>0</v>
      </c>
      <c r="FV80" s="2616">
        <f t="shared" si="225"/>
        <v>0</v>
      </c>
      <c r="FW80" s="2612" t="s">
        <v>5</v>
      </c>
      <c r="FX80" s="2616">
        <f t="shared" si="171"/>
        <v>0</v>
      </c>
      <c r="FY80" s="2616">
        <f t="shared" si="226"/>
        <v>0</v>
      </c>
      <c r="FZ80" s="2613" t="s">
        <v>5</v>
      </c>
      <c r="GA80" s="2616">
        <f t="shared" si="48"/>
        <v>0</v>
      </c>
      <c r="GB80" s="2619">
        <f t="shared" si="234"/>
        <v>0</v>
      </c>
      <c r="GC80" s="2620">
        <f t="shared" si="228"/>
        <v>0</v>
      </c>
      <c r="GD80" s="2614"/>
      <c r="GE80" s="3195">
        <f t="shared" si="143"/>
        <v>0</v>
      </c>
      <c r="GF80" s="3195">
        <f t="shared" si="144"/>
        <v>0</v>
      </c>
      <c r="GG80" s="3193" t="str">
        <f t="shared" si="18"/>
        <v>X</v>
      </c>
      <c r="GH80" s="2531"/>
      <c r="GI80" s="3189" t="str">
        <f t="shared" si="155"/>
        <v/>
      </c>
      <c r="GJ80" s="2598"/>
      <c r="GK80" s="3173">
        <f t="shared" si="156"/>
        <v>0</v>
      </c>
      <c r="GL80" s="3173">
        <f t="shared" si="157"/>
        <v>0</v>
      </c>
      <c r="GM80" s="3173">
        <f t="shared" si="158"/>
        <v>0</v>
      </c>
      <c r="GN80" s="3174">
        <f t="shared" si="159"/>
        <v>0</v>
      </c>
      <c r="GO80" s="3174">
        <f t="shared" si="160"/>
        <v>0</v>
      </c>
      <c r="GP80" s="3175">
        <f t="shared" si="161"/>
        <v>0</v>
      </c>
      <c r="GQ80" s="3176">
        <f t="shared" si="162"/>
        <v>0</v>
      </c>
      <c r="GR80" s="3177">
        <f t="shared" si="163"/>
        <v>0</v>
      </c>
      <c r="GS80" s="3177">
        <f t="shared" si="164"/>
        <v>0</v>
      </c>
      <c r="GT80" s="3178">
        <f t="shared" si="165"/>
        <v>0</v>
      </c>
      <c r="GU80" s="3179"/>
      <c r="GV80" s="3178">
        <f t="shared" si="166"/>
        <v>0</v>
      </c>
      <c r="GW80" s="3177">
        <f t="shared" si="167"/>
        <v>0</v>
      </c>
      <c r="GX80" s="3180"/>
      <c r="GY80" s="3177">
        <f t="shared" si="168"/>
        <v>0</v>
      </c>
      <c r="GZ80" s="2593"/>
      <c r="HA80" s="277"/>
      <c r="HB80" s="277"/>
      <c r="HC80" s="277"/>
      <c r="HD80" s="277"/>
      <c r="HE80" s="277"/>
      <c r="HF80" s="277"/>
      <c r="HG80" s="277"/>
      <c r="HH80" s="277"/>
      <c r="HI80" s="277"/>
      <c r="HJ80" s="277"/>
      <c r="HK80" s="277"/>
      <c r="HL80" s="277"/>
      <c r="HM80" s="277"/>
      <c r="HN80" s="277"/>
      <c r="HO80" s="277"/>
    </row>
    <row r="81" spans="1:223" s="749" customFormat="1" ht="18" customHeight="1" x14ac:dyDescent="0.3">
      <c r="A81" s="755"/>
      <c r="B81" s="805">
        <f>SUMIFS('3a Staff Plan'!$T$129:$T$305,'3a Staff Plan'!$DF$129:$DF$305,1,'3a Staff Plan'!$DA$129:$DA$305,1,'3a Staff Plan'!$J$129:$J$305,$FA81)</f>
        <v>0</v>
      </c>
      <c r="C81" s="805">
        <f>SUMIFS('3a Staff Plan'!$U$129:$U$305,'3a Staff Plan'!$DF$129:$DF$305,1,'3a Staff Plan'!$DA$129:$DA$305,1,'3a Staff Plan'!$J$129:$J$305,$FA81)</f>
        <v>0</v>
      </c>
      <c r="D81" s="805">
        <f>SUMIFS('3a Staff Plan'!$Z$129:$Z$305,'3a Staff Plan'!$DF$129:$DF$305,1,'3a Staff Plan'!$DA$129:$DA$305,1,'3a Staff Plan'!$J$129:$J$305,$FA81)</f>
        <v>0</v>
      </c>
      <c r="E81" s="805">
        <f>SUMIFS('3a Staff Plan'!$Y$129:$Y$305,'3a Staff Plan'!$DF$129:$DF$305,1,'3a Staff Plan'!$DA$129:$DA$305,1,'3a Staff Plan'!$J$129:$J$305,$FA81)</f>
        <v>0</v>
      </c>
      <c r="F81" s="805">
        <f>SUMIFS('3a Staff Plan'!$X$129:$X$305,'3a Staff Plan'!$DF$129:$DF$305,1,'3a Staff Plan'!$DA$129:$DA$305,1,'3a Staff Plan'!$AG$129:$AG$305,1,'3a Staff Plan'!$J$129:$J$305,$FA81)</f>
        <v>0</v>
      </c>
      <c r="G81" s="805">
        <f>IF($G$24=0,0,SUMIFS('3a Staff Plan'!$W$129:$W$305,'3a Staff Plan'!$DF$129:$DF$305,1,'3a Staff Plan'!$DA$129:$DA$305,1,'3a Staff Plan'!$J$129:$J$305,$FA81))</f>
        <v>0</v>
      </c>
      <c r="H81" s="795">
        <f t="shared" si="172"/>
        <v>0</v>
      </c>
      <c r="I81" s="805">
        <f>SUMIFS('3a Staff Plan'!$V$129:$V$305,'3a Staff Plan'!$DF$129:$DF$305,1,'3a Staff Plan'!$DA$129:$DA$305,1,'3a Staff Plan'!$J$129:$J$305,$FA81)</f>
        <v>0</v>
      </c>
      <c r="J81" s="805">
        <f>SUMIFS('3a Staff Plan'!$AB$129:$AB$305,'3a Staff Plan'!$DF$129:$DF$305,1,'3a Staff Plan'!$DA$129:$DA$305,1,'3a Staff Plan'!$J$129:$J$305,$FA81)</f>
        <v>0</v>
      </c>
      <c r="K81" s="805">
        <f>SUMIFS('3a Staff Plan'!$AA$129:$AA$305,'3a Staff Plan'!$DF$129:$DF$305,1,'3a Staff Plan'!$DA$129:$DA$305,1,'3a Staff Plan'!$AG$129:$AG$305,1,'3a Staff Plan'!$J$129:$J$305,$FA81)</f>
        <v>0</v>
      </c>
      <c r="L81" s="755"/>
      <c r="M81" s="805">
        <f>SUMIFS('3b Activity Plan'!$T$173:$T$365,'3b Activity Plan'!$CY$173:$CY$365,1,'3b Activity Plan'!$CT$173:$CT$365,1,'3b Activity Plan'!$J$173:$J$365,$FA81)</f>
        <v>0</v>
      </c>
      <c r="N81" s="805">
        <f>SUMIFS('3b Activity Plan'!$U$173:$U$365,'3b Activity Plan'!$CY$173:$CY$365,1,'3b Activity Plan'!$CT$173:$CT$365,1,'3b Activity Plan'!$J$173:$J$365,$FA81)</f>
        <v>0</v>
      </c>
      <c r="O81" s="805">
        <f>SUMIFS('3b Activity Plan'!$Z$173:$Z$365,'3b Activity Plan'!$CY$173:$CY$365,1,'3b Activity Plan'!$CT$173:$CT$365,1,'3b Activity Plan'!$J$173:$J$365,$FA81)</f>
        <v>0</v>
      </c>
      <c r="P81" s="805">
        <f>SUMIFS('3b Activity Plan'!$Y$173:$Y$365,'3b Activity Plan'!$CY$173:$CY$365,1,'3b Activity Plan'!$CT$173:$CT$365,1,'3b Activity Plan'!$J$173:$J$365,$FA81)</f>
        <v>0</v>
      </c>
      <c r="Q81" s="805">
        <f>SUMIFS('3b Activity Plan'!$X$173:$X$365,'3b Activity Plan'!$CY$173:$CY$365,1,'3b Activity Plan'!$CT$173:$CT$365,1,'3b Activity Plan'!$J$173:$J$365,$FA81)</f>
        <v>0</v>
      </c>
      <c r="R81" s="805">
        <f>IF($R$24=0,0,SUMIFS('3b Activity Plan'!$W$173:$W$365,'3b Activity Plan'!$CY$173:$CY$365,1,'3b Activity Plan'!$CT$173:$CT$365,1,'3b Activity Plan'!$J$173:$J$365,$FA81))</f>
        <v>0</v>
      </c>
      <c r="S81" s="795">
        <f t="shared" si="173"/>
        <v>0</v>
      </c>
      <c r="T81" s="805">
        <f>SUMIFS('3b Activity Plan'!$V$173:$V$365,'3b Activity Plan'!$CY$173:$CY$365,1,'3b Activity Plan'!$CT$173:$CT$365,1,'3b Activity Plan'!$J$173:$J$365,$FA81)</f>
        <v>0</v>
      </c>
      <c r="U81" s="805">
        <f>SUMIFS('3b Activity Plan'!$AB$173:$AB$365,'3b Activity Plan'!$CY$173:$CY$365,1,'3b Activity Plan'!$CT$173:$CT$365,1,'3b Activity Plan'!$J$173:$J$365,$FA81)</f>
        <v>0</v>
      </c>
      <c r="V81" s="805">
        <f>SUMIFS('3b Activity Plan'!$AA$173:$AA$365,'3b Activity Plan'!$CY$173:$CY$365,1,'3b Activity Plan'!$CT$173:$CT$365,1,'3b Activity Plan'!$J$173:$J$365,$FA81)</f>
        <v>0</v>
      </c>
      <c r="W81" s="755"/>
      <c r="X81" s="2641">
        <f>SUMIFS('3b Activity Plan'!$FU$173:$FU$365,'3b Activity Plan'!$J$173:$J$365,$FA81)</f>
        <v>0</v>
      </c>
      <c r="Y81" s="2641">
        <f>SUMIFS('3b Activity Plan'!$FW$173:$FW$365,'3b Activity Plan'!$J$173:$J$365,$FA81)</f>
        <v>0</v>
      </c>
      <c r="Z81" s="2639">
        <f t="shared" si="132"/>
        <v>0</v>
      </c>
      <c r="AA81" s="755"/>
      <c r="AB81" s="761">
        <f>_xlfn.MINIFS('3a Staff Plan'!$EB$129:$EB$304,'3a Staff Plan'!$DF$129:$DF$304,1,'3a Staff Plan'!$J$129:$J$304,FA81)</f>
        <v>0</v>
      </c>
      <c r="AC81" s="761">
        <f>_xlfn.MAXIFS('3a Staff Plan'!$EC$129:$EC$304,'3a Staff Plan'!$DF$129:$DF$304,1,'3a Staff Plan'!$J$129:$J$304,FA81)</f>
        <v>0</v>
      </c>
      <c r="AD81" s="755"/>
      <c r="AE81" s="761">
        <f>_xlfn.MINIFS('3b Activity Plan'!$GN$173:$GN$365,'3b Activity Plan'!$CY$173:$CY$365,1,'3b Activity Plan'!$J$173:$J$365,$FA81)</f>
        <v>0</v>
      </c>
      <c r="AF81" s="761">
        <f>_xlfn.MAXIFS('3b Activity Plan'!$GO$173:$GO$365,'3b Activity Plan'!$CY$173:$CY$365,1,'3b Activity Plan'!$J$173:$J$365,$FA81)</f>
        <v>0</v>
      </c>
      <c r="AG81" s="755"/>
      <c r="AH81" s="761">
        <f t="shared" si="174"/>
        <v>0</v>
      </c>
      <c r="AI81" s="761">
        <f t="shared" si="175"/>
        <v>0</v>
      </c>
      <c r="AJ81" s="755"/>
      <c r="AK81" s="761">
        <f t="shared" si="176"/>
        <v>0</v>
      </c>
      <c r="AL81" s="761">
        <f t="shared" si="177"/>
        <v>0</v>
      </c>
      <c r="AM81" s="776">
        <f t="shared" si="178"/>
        <v>0</v>
      </c>
      <c r="AN81" s="755"/>
      <c r="AO81" s="748">
        <f t="shared" si="179"/>
        <v>0</v>
      </c>
      <c r="AP81" s="748">
        <f t="shared" si="180"/>
        <v>0</v>
      </c>
      <c r="AQ81" s="748">
        <f t="shared" si="181"/>
        <v>0</v>
      </c>
      <c r="AR81" s="748">
        <f t="shared" si="182"/>
        <v>0</v>
      </c>
      <c r="AS81" s="748">
        <f t="shared" si="183"/>
        <v>0</v>
      </c>
      <c r="AT81" s="748">
        <f t="shared" si="184"/>
        <v>0</v>
      </c>
      <c r="AU81" s="748">
        <f t="shared" si="185"/>
        <v>0</v>
      </c>
      <c r="AV81" s="748">
        <f>IFERROR(INDEX('IPCS Data'!$R$8:$R$109,MATCH(EJ81,'IPCS Data'!$O$8:$O$109,0)),0)</f>
        <v>0</v>
      </c>
      <c r="AW81" s="755"/>
      <c r="AX81" s="499">
        <f>IFERROR(INDEX('IPCS Data'!$P$18:$P$110,MATCH(EK81,'IPCS Data'!$Q$18:$Q$110,0)),0)</f>
        <v>0</v>
      </c>
      <c r="AY81" s="1950" t="str">
        <f t="shared" si="110"/>
        <v/>
      </c>
      <c r="AZ81" s="755"/>
      <c r="BA81" s="753" t="str">
        <f>IFERROR(IF(MATCH(EJ81,'IPCS Data'!$O$8:$O$110,0)&gt;=25,"L","N"),"N")</f>
        <v>N</v>
      </c>
      <c r="BB81" s="774"/>
      <c r="BC81" s="753" t="str">
        <f t="shared" si="111"/>
        <v>N</v>
      </c>
      <c r="BD81" s="753" t="str">
        <f t="shared" si="39"/>
        <v>Non-Labor</v>
      </c>
      <c r="BE81" s="755"/>
      <c r="BF81" s="753" t="str">
        <f t="shared" si="112"/>
        <v>B23672.05</v>
      </c>
      <c r="BG81" s="753" t="str">
        <f t="shared" si="229"/>
        <v>0.0.0</v>
      </c>
      <c r="BH81" s="753">
        <f t="shared" si="187"/>
        <v>0</v>
      </c>
      <c r="BI81" s="753">
        <f t="shared" si="145"/>
        <v>0</v>
      </c>
      <c r="BJ81" s="753">
        <f t="shared" si="113"/>
        <v>0</v>
      </c>
      <c r="BK81" s="753">
        <f t="shared" si="40"/>
        <v>0</v>
      </c>
      <c r="BL81" s="753" t="b">
        <f t="shared" si="131"/>
        <v>1</v>
      </c>
      <c r="BM81" s="755"/>
      <c r="BN81" s="719">
        <f t="shared" si="188"/>
        <v>0</v>
      </c>
      <c r="BO81" s="719">
        <f t="shared" si="189"/>
        <v>110</v>
      </c>
      <c r="BP81" s="755"/>
      <c r="BQ81" s="719">
        <f>IF(AND((COUNTIFS('3a Staff Plan'!$J$129:$J$305,FA81)*$B$22)+(COUNTIFS('3b Activity Plan'!$J$173:$J$365,FA81)*$M$22)=0,FB81&gt;0),1,0)</f>
        <v>0</v>
      </c>
      <c r="BR81" s="719">
        <f t="shared" si="114"/>
        <v>0</v>
      </c>
      <c r="BS81" s="719">
        <f t="shared" si="190"/>
        <v>0</v>
      </c>
      <c r="BT81" s="719">
        <f t="shared" si="191"/>
        <v>0</v>
      </c>
      <c r="BU81" s="719">
        <f t="shared" si="192"/>
        <v>0</v>
      </c>
      <c r="BV81" s="719">
        <f t="shared" si="193"/>
        <v>0</v>
      </c>
      <c r="BW81" s="719">
        <f t="shared" si="194"/>
        <v>0</v>
      </c>
      <c r="BX81" s="719">
        <f t="shared" si="195"/>
        <v>0</v>
      </c>
      <c r="BY81" s="719">
        <f t="shared" si="196"/>
        <v>0</v>
      </c>
      <c r="BZ81" s="719">
        <f t="shared" si="115"/>
        <v>0</v>
      </c>
      <c r="CA81" s="719">
        <f t="shared" si="116"/>
        <v>0</v>
      </c>
      <c r="CB81" s="719">
        <f t="shared" si="197"/>
        <v>0</v>
      </c>
      <c r="CC81" s="719"/>
      <c r="CD81" s="719"/>
      <c r="CE81" s="719">
        <f t="shared" si="198"/>
        <v>0</v>
      </c>
      <c r="CF81" s="719">
        <f t="shared" si="117"/>
        <v>0</v>
      </c>
      <c r="CG81" s="719">
        <f t="shared" si="118"/>
        <v>0</v>
      </c>
      <c r="CH81" s="719">
        <f t="shared" si="119"/>
        <v>0</v>
      </c>
      <c r="CI81" s="719">
        <f t="shared" si="120"/>
        <v>0</v>
      </c>
      <c r="CJ81" s="719">
        <f t="shared" si="121"/>
        <v>0</v>
      </c>
      <c r="CK81" s="719">
        <f t="shared" si="122"/>
        <v>0</v>
      </c>
      <c r="CL81" s="719">
        <f t="shared" si="123"/>
        <v>0</v>
      </c>
      <c r="CM81" s="719">
        <f t="shared" si="124"/>
        <v>0</v>
      </c>
      <c r="CN81" s="719">
        <f t="shared" si="125"/>
        <v>0</v>
      </c>
      <c r="CO81" s="719">
        <f t="shared" si="42"/>
        <v>0</v>
      </c>
      <c r="CP81" s="719">
        <f t="shared" si="78"/>
        <v>0</v>
      </c>
      <c r="CQ81" s="719">
        <f t="shared" si="126"/>
        <v>48</v>
      </c>
      <c r="CR81" s="719">
        <f t="shared" si="127"/>
        <v>0</v>
      </c>
      <c r="CS81" s="2526"/>
      <c r="CT81" s="2527">
        <f t="shared" si="128"/>
        <v>53</v>
      </c>
      <c r="CU81" s="2527">
        <f t="shared" si="146"/>
        <v>0</v>
      </c>
      <c r="CV81" s="2527">
        <f t="shared" si="147"/>
        <v>0</v>
      </c>
      <c r="CW81" s="2527">
        <f t="shared" si="43"/>
        <v>0</v>
      </c>
      <c r="CX81" s="755"/>
      <c r="CY81" s="2537"/>
      <c r="CZ81" s="499">
        <f t="shared" si="169"/>
        <v>0</v>
      </c>
      <c r="DA81" s="1107">
        <f t="shared" si="170"/>
        <v>0</v>
      </c>
      <c r="DB81" s="2537"/>
      <c r="DC81" s="499">
        <f t="shared" si="200"/>
        <v>0</v>
      </c>
      <c r="DD81" s="1107">
        <f t="shared" si="201"/>
        <v>0</v>
      </c>
      <c r="DE81" s="2537"/>
      <c r="DF81" s="499">
        <f t="shared" si="202"/>
        <v>0</v>
      </c>
      <c r="DG81" s="1107">
        <f t="shared" si="203"/>
        <v>0</v>
      </c>
      <c r="DH81" s="2537"/>
      <c r="DI81" s="499">
        <f t="shared" si="204"/>
        <v>0</v>
      </c>
      <c r="DJ81" s="1107">
        <f t="shared" si="205"/>
        <v>0</v>
      </c>
      <c r="DK81" s="2537"/>
      <c r="DL81" s="499">
        <f t="shared" si="206"/>
        <v>0</v>
      </c>
      <c r="DM81" s="1107">
        <f t="shared" si="207"/>
        <v>0</v>
      </c>
      <c r="DN81" s="2537"/>
      <c r="DO81" s="499">
        <f t="shared" si="208"/>
        <v>0</v>
      </c>
      <c r="DP81" s="1107">
        <f t="shared" si="209"/>
        <v>0</v>
      </c>
      <c r="DQ81" s="2537"/>
      <c r="DR81" s="2559"/>
      <c r="DS81" s="499">
        <f t="shared" si="148"/>
        <v>0</v>
      </c>
      <c r="DT81" s="1106">
        <f t="shared" si="149"/>
        <v>0</v>
      </c>
      <c r="DU81" s="2537"/>
      <c r="DV81" s="2559"/>
      <c r="DW81" s="2312">
        <f t="shared" si="150"/>
        <v>0</v>
      </c>
      <c r="DX81" s="1106">
        <f t="shared" si="151"/>
        <v>0</v>
      </c>
      <c r="DY81" s="2572"/>
      <c r="DZ81" s="2537"/>
      <c r="EA81" s="2537"/>
      <c r="EB81" s="2577" t="str">
        <f t="shared" si="210"/>
        <v>05</v>
      </c>
      <c r="EC81" s="2570"/>
      <c r="ED81" s="436">
        <f>IFERROR(INDEX('IPCS Data'!$H$8:$H$30,MATCH(EE81,'IPCS Data'!$I$8:$I$30,0)),0)</f>
        <v>0</v>
      </c>
      <c r="EE81" s="437"/>
      <c r="EF81" s="2570"/>
      <c r="EG81" s="499">
        <f>IFERROR(INDEX('IPCS Data'!$L$8:$L$27,MATCH(EH81,'IPCS Data'!$M$8:$M$27,0)),0)</f>
        <v>0</v>
      </c>
      <c r="EH81" s="437"/>
      <c r="EI81" s="2578" t="s">
        <v>5</v>
      </c>
      <c r="EJ81" s="748">
        <f>IFERROR(INDEX('IPCS Data'!$O$8:$O$110,MATCH(EK81,'IPCS Data'!$Q$8:$Q$110,0)),0)</f>
        <v>0</v>
      </c>
      <c r="EK81" s="437"/>
      <c r="EL81" s="2578"/>
      <c r="EM81" s="840">
        <f t="shared" si="230"/>
        <v>0</v>
      </c>
      <c r="EN81" s="841"/>
      <c r="EO81" s="2537"/>
      <c r="EP81" s="842">
        <f t="shared" si="231"/>
        <v>0</v>
      </c>
      <c r="EQ81" s="843"/>
      <c r="ER81" s="2537"/>
      <c r="ES81" s="840">
        <f t="shared" si="232"/>
        <v>0</v>
      </c>
      <c r="ET81" s="843"/>
      <c r="EU81" s="2537"/>
      <c r="EV81" s="1497"/>
      <c r="EW81" s="1683"/>
      <c r="EX81" s="2562">
        <f t="shared" si="211"/>
        <v>48</v>
      </c>
      <c r="EY81" s="2533"/>
      <c r="EZ81" s="2561"/>
      <c r="FA81" s="1324">
        <f t="shared" si="152"/>
        <v>0</v>
      </c>
      <c r="FB81" s="2629">
        <f t="shared" si="212"/>
        <v>0</v>
      </c>
      <c r="FC81" s="274"/>
      <c r="FD81" s="2626">
        <f t="shared" si="153"/>
        <v>0</v>
      </c>
      <c r="FE81" s="2626">
        <f t="shared" si="154"/>
        <v>0</v>
      </c>
      <c r="FF81" s="274"/>
      <c r="FG81" s="2616">
        <f t="shared" si="213"/>
        <v>0</v>
      </c>
      <c r="FH81" s="2616">
        <f t="shared" si="214"/>
        <v>0</v>
      </c>
      <c r="FI81" s="2616">
        <f t="shared" si="215"/>
        <v>0</v>
      </c>
      <c r="FJ81" s="2610" t="s">
        <v>5</v>
      </c>
      <c r="FK81" s="2616">
        <f t="shared" si="216"/>
        <v>0</v>
      </c>
      <c r="FL81" s="2616">
        <f t="shared" si="217"/>
        <v>0</v>
      </c>
      <c r="FM81" s="2616">
        <f t="shared" si="218"/>
        <v>0</v>
      </c>
      <c r="FN81" s="2622">
        <f t="shared" si="219"/>
        <v>0</v>
      </c>
      <c r="FO81" s="2615">
        <f t="shared" si="220"/>
        <v>0</v>
      </c>
      <c r="FP81" s="2624">
        <f t="shared" si="221"/>
        <v>0</v>
      </c>
      <c r="FQ81" s="2622">
        <f t="shared" si="222"/>
        <v>0</v>
      </c>
      <c r="FR81" s="2624">
        <f t="shared" si="223"/>
        <v>0</v>
      </c>
      <c r="FS81" s="2611" t="s">
        <v>5</v>
      </c>
      <c r="FT81" s="2616">
        <f t="shared" si="224"/>
        <v>0</v>
      </c>
      <c r="FU81" s="2622">
        <f t="shared" si="129"/>
        <v>0</v>
      </c>
      <c r="FV81" s="2616">
        <f t="shared" si="225"/>
        <v>0</v>
      </c>
      <c r="FW81" s="2612" t="s">
        <v>5</v>
      </c>
      <c r="FX81" s="2616">
        <f t="shared" si="171"/>
        <v>0</v>
      </c>
      <c r="FY81" s="2616">
        <f t="shared" si="226"/>
        <v>0</v>
      </c>
      <c r="FZ81" s="2613" t="s">
        <v>5</v>
      </c>
      <c r="GA81" s="2616">
        <f t="shared" si="48"/>
        <v>0</v>
      </c>
      <c r="GB81" s="2619">
        <f t="shared" si="234"/>
        <v>0</v>
      </c>
      <c r="GC81" s="2620">
        <f t="shared" si="228"/>
        <v>0</v>
      </c>
      <c r="GD81" s="2614"/>
      <c r="GE81" s="3195">
        <f t="shared" si="143"/>
        <v>0</v>
      </c>
      <c r="GF81" s="3195">
        <f t="shared" si="144"/>
        <v>0</v>
      </c>
      <c r="GG81" s="3193" t="str">
        <f t="shared" si="18"/>
        <v>X</v>
      </c>
      <c r="GH81" s="2531"/>
      <c r="GI81" s="3189" t="str">
        <f t="shared" si="155"/>
        <v/>
      </c>
      <c r="GJ81" s="2598"/>
      <c r="GK81" s="3173">
        <f t="shared" si="156"/>
        <v>0</v>
      </c>
      <c r="GL81" s="3173">
        <f t="shared" si="157"/>
        <v>0</v>
      </c>
      <c r="GM81" s="3173">
        <f t="shared" si="158"/>
        <v>0</v>
      </c>
      <c r="GN81" s="3174">
        <f t="shared" si="159"/>
        <v>0</v>
      </c>
      <c r="GO81" s="3174">
        <f t="shared" si="160"/>
        <v>0</v>
      </c>
      <c r="GP81" s="3175">
        <f t="shared" si="161"/>
        <v>0</v>
      </c>
      <c r="GQ81" s="3176">
        <f t="shared" si="162"/>
        <v>0</v>
      </c>
      <c r="GR81" s="3177">
        <f t="shared" si="163"/>
        <v>0</v>
      </c>
      <c r="GS81" s="3177">
        <f t="shared" si="164"/>
        <v>0</v>
      </c>
      <c r="GT81" s="3178">
        <f t="shared" si="165"/>
        <v>0</v>
      </c>
      <c r="GU81" s="3179"/>
      <c r="GV81" s="3178">
        <f t="shared" si="166"/>
        <v>0</v>
      </c>
      <c r="GW81" s="3177">
        <f t="shared" si="167"/>
        <v>0</v>
      </c>
      <c r="GX81" s="3180"/>
      <c r="GY81" s="3177">
        <f t="shared" si="168"/>
        <v>0</v>
      </c>
      <c r="GZ81" s="2593"/>
      <c r="HA81" s="277"/>
      <c r="HB81" s="277"/>
      <c r="HC81" s="277"/>
      <c r="HD81" s="277"/>
      <c r="HE81" s="277"/>
      <c r="HF81" s="277"/>
      <c r="HG81" s="277"/>
      <c r="HH81" s="277"/>
      <c r="HI81" s="277"/>
      <c r="HJ81" s="277"/>
      <c r="HK81" s="277"/>
      <c r="HL81" s="277"/>
      <c r="HM81" s="277"/>
      <c r="HN81" s="277"/>
      <c r="HO81" s="277"/>
    </row>
    <row r="82" spans="1:223" s="749" customFormat="1" ht="18" customHeight="1" x14ac:dyDescent="0.3">
      <c r="A82" s="755"/>
      <c r="B82" s="805">
        <f>SUMIFS('3a Staff Plan'!$T$129:$T$305,'3a Staff Plan'!$DF$129:$DF$305,1,'3a Staff Plan'!$DA$129:$DA$305,1,'3a Staff Plan'!$J$129:$J$305,$FA82)</f>
        <v>0</v>
      </c>
      <c r="C82" s="805">
        <f>SUMIFS('3a Staff Plan'!$U$129:$U$305,'3a Staff Plan'!$DF$129:$DF$305,1,'3a Staff Plan'!$DA$129:$DA$305,1,'3a Staff Plan'!$J$129:$J$305,$FA82)</f>
        <v>0</v>
      </c>
      <c r="D82" s="805">
        <f>SUMIFS('3a Staff Plan'!$Z$129:$Z$305,'3a Staff Plan'!$DF$129:$DF$305,1,'3a Staff Plan'!$DA$129:$DA$305,1,'3a Staff Plan'!$J$129:$J$305,$FA82)</f>
        <v>0</v>
      </c>
      <c r="E82" s="805">
        <f>SUMIFS('3a Staff Plan'!$Y$129:$Y$305,'3a Staff Plan'!$DF$129:$DF$305,1,'3a Staff Plan'!$DA$129:$DA$305,1,'3a Staff Plan'!$J$129:$J$305,$FA82)</f>
        <v>0</v>
      </c>
      <c r="F82" s="805">
        <f>SUMIFS('3a Staff Plan'!$X$129:$X$305,'3a Staff Plan'!$DF$129:$DF$305,1,'3a Staff Plan'!$DA$129:$DA$305,1,'3a Staff Plan'!$AG$129:$AG$305,1,'3a Staff Plan'!$J$129:$J$305,$FA82)</f>
        <v>0</v>
      </c>
      <c r="G82" s="805">
        <f>IF($G$24=0,0,SUMIFS('3a Staff Plan'!$W$129:$W$305,'3a Staff Plan'!$DF$129:$DF$305,1,'3a Staff Plan'!$DA$129:$DA$305,1,'3a Staff Plan'!$J$129:$J$305,$FA82))</f>
        <v>0</v>
      </c>
      <c r="H82" s="795">
        <f t="shared" si="172"/>
        <v>0</v>
      </c>
      <c r="I82" s="805">
        <f>SUMIFS('3a Staff Plan'!$V$129:$V$305,'3a Staff Plan'!$DF$129:$DF$305,1,'3a Staff Plan'!$DA$129:$DA$305,1,'3a Staff Plan'!$J$129:$J$305,$FA82)</f>
        <v>0</v>
      </c>
      <c r="J82" s="805">
        <f>SUMIFS('3a Staff Plan'!$AB$129:$AB$305,'3a Staff Plan'!$DF$129:$DF$305,1,'3a Staff Plan'!$DA$129:$DA$305,1,'3a Staff Plan'!$J$129:$J$305,$FA82)</f>
        <v>0</v>
      </c>
      <c r="K82" s="805">
        <f>SUMIFS('3a Staff Plan'!$AA$129:$AA$305,'3a Staff Plan'!$DF$129:$DF$305,1,'3a Staff Plan'!$DA$129:$DA$305,1,'3a Staff Plan'!$AG$129:$AG$305,1,'3a Staff Plan'!$J$129:$J$305,$FA82)</f>
        <v>0</v>
      </c>
      <c r="L82" s="755"/>
      <c r="M82" s="805">
        <f>SUMIFS('3b Activity Plan'!$T$173:$T$365,'3b Activity Plan'!$CY$173:$CY$365,1,'3b Activity Plan'!$CT$173:$CT$365,1,'3b Activity Plan'!$J$173:$J$365,$FA82)</f>
        <v>0</v>
      </c>
      <c r="N82" s="805">
        <f>SUMIFS('3b Activity Plan'!$U$173:$U$365,'3b Activity Plan'!$CY$173:$CY$365,1,'3b Activity Plan'!$CT$173:$CT$365,1,'3b Activity Plan'!$J$173:$J$365,$FA82)</f>
        <v>0</v>
      </c>
      <c r="O82" s="805">
        <f>SUMIFS('3b Activity Plan'!$Z$173:$Z$365,'3b Activity Plan'!$CY$173:$CY$365,1,'3b Activity Plan'!$CT$173:$CT$365,1,'3b Activity Plan'!$J$173:$J$365,$FA82)</f>
        <v>0</v>
      </c>
      <c r="P82" s="805">
        <f>SUMIFS('3b Activity Plan'!$Y$173:$Y$365,'3b Activity Plan'!$CY$173:$CY$365,1,'3b Activity Plan'!$CT$173:$CT$365,1,'3b Activity Plan'!$J$173:$J$365,$FA82)</f>
        <v>0</v>
      </c>
      <c r="Q82" s="805">
        <f>SUMIFS('3b Activity Plan'!$X$173:$X$365,'3b Activity Plan'!$CY$173:$CY$365,1,'3b Activity Plan'!$CT$173:$CT$365,1,'3b Activity Plan'!$J$173:$J$365,$FA82)</f>
        <v>0</v>
      </c>
      <c r="R82" s="805">
        <f>IF($R$24=0,0,SUMIFS('3b Activity Plan'!$W$173:$W$365,'3b Activity Plan'!$CY$173:$CY$365,1,'3b Activity Plan'!$CT$173:$CT$365,1,'3b Activity Plan'!$J$173:$J$365,$FA82))</f>
        <v>0</v>
      </c>
      <c r="S82" s="795">
        <f t="shared" si="173"/>
        <v>0</v>
      </c>
      <c r="T82" s="805">
        <f>SUMIFS('3b Activity Plan'!$V$173:$V$365,'3b Activity Plan'!$CY$173:$CY$365,1,'3b Activity Plan'!$CT$173:$CT$365,1,'3b Activity Plan'!$J$173:$J$365,$FA82)</f>
        <v>0</v>
      </c>
      <c r="U82" s="805">
        <f>SUMIFS('3b Activity Plan'!$AB$173:$AB$365,'3b Activity Plan'!$CY$173:$CY$365,1,'3b Activity Plan'!$CT$173:$CT$365,1,'3b Activity Plan'!$J$173:$J$365,$FA82)</f>
        <v>0</v>
      </c>
      <c r="V82" s="805">
        <f>SUMIFS('3b Activity Plan'!$AA$173:$AA$365,'3b Activity Plan'!$CY$173:$CY$365,1,'3b Activity Plan'!$CT$173:$CT$365,1,'3b Activity Plan'!$J$173:$J$365,$FA82)</f>
        <v>0</v>
      </c>
      <c r="W82" s="755"/>
      <c r="X82" s="2641">
        <f>SUMIFS('3b Activity Plan'!$FU$173:$FU$365,'3b Activity Plan'!$J$173:$J$365,$FA82)</f>
        <v>0</v>
      </c>
      <c r="Y82" s="2641">
        <f>SUMIFS('3b Activity Plan'!$FW$173:$FW$365,'3b Activity Plan'!$J$173:$J$365,$FA82)</f>
        <v>0</v>
      </c>
      <c r="Z82" s="2639">
        <f t="shared" si="132"/>
        <v>0</v>
      </c>
      <c r="AA82" s="755"/>
      <c r="AB82" s="761">
        <f>_xlfn.MINIFS('3a Staff Plan'!$EB$129:$EB$304,'3a Staff Plan'!$DF$129:$DF$304,1,'3a Staff Plan'!$J$129:$J$304,FA82)</f>
        <v>0</v>
      </c>
      <c r="AC82" s="761">
        <f>_xlfn.MAXIFS('3a Staff Plan'!$EC$129:$EC$304,'3a Staff Plan'!$DF$129:$DF$304,1,'3a Staff Plan'!$J$129:$J$304,FA82)</f>
        <v>0</v>
      </c>
      <c r="AD82" s="755"/>
      <c r="AE82" s="761">
        <f>_xlfn.MINIFS('3b Activity Plan'!$GN$173:$GN$365,'3b Activity Plan'!$CY$173:$CY$365,1,'3b Activity Plan'!$J$173:$J$365,$FA82)</f>
        <v>0</v>
      </c>
      <c r="AF82" s="761">
        <f>_xlfn.MAXIFS('3b Activity Plan'!$GO$173:$GO$365,'3b Activity Plan'!$CY$173:$CY$365,1,'3b Activity Plan'!$J$173:$J$365,$FA82)</f>
        <v>0</v>
      </c>
      <c r="AG82" s="755"/>
      <c r="AH82" s="761">
        <f t="shared" si="174"/>
        <v>0</v>
      </c>
      <c r="AI82" s="761">
        <f t="shared" si="175"/>
        <v>0</v>
      </c>
      <c r="AJ82" s="755"/>
      <c r="AK82" s="761">
        <f t="shared" si="176"/>
        <v>0</v>
      </c>
      <c r="AL82" s="761">
        <f t="shared" si="177"/>
        <v>0</v>
      </c>
      <c r="AM82" s="776">
        <f t="shared" si="178"/>
        <v>0</v>
      </c>
      <c r="AN82" s="755"/>
      <c r="AO82" s="748">
        <f t="shared" si="179"/>
        <v>0</v>
      </c>
      <c r="AP82" s="748">
        <f t="shared" si="180"/>
        <v>0</v>
      </c>
      <c r="AQ82" s="748">
        <f t="shared" si="181"/>
        <v>0</v>
      </c>
      <c r="AR82" s="748">
        <f t="shared" si="182"/>
        <v>0</v>
      </c>
      <c r="AS82" s="748">
        <f t="shared" si="183"/>
        <v>0</v>
      </c>
      <c r="AT82" s="748">
        <f t="shared" si="184"/>
        <v>0</v>
      </c>
      <c r="AU82" s="748">
        <f t="shared" si="185"/>
        <v>0</v>
      </c>
      <c r="AV82" s="748">
        <f>IFERROR(INDEX('IPCS Data'!$R$8:$R$109,MATCH(EJ82,'IPCS Data'!$O$8:$O$109,0)),0)</f>
        <v>0</v>
      </c>
      <c r="AW82" s="755"/>
      <c r="AX82" s="499">
        <f>IFERROR(INDEX('IPCS Data'!$P$18:$P$110,MATCH(EK82,'IPCS Data'!$Q$18:$Q$110,0)),0)</f>
        <v>0</v>
      </c>
      <c r="AY82" s="1950" t="str">
        <f t="shared" si="110"/>
        <v/>
      </c>
      <c r="AZ82" s="755"/>
      <c r="BA82" s="753" t="str">
        <f>IFERROR(IF(MATCH(EJ82,'IPCS Data'!$O$8:$O$110,0)&gt;=25,"L","N"),"N")</f>
        <v>N</v>
      </c>
      <c r="BB82" s="774"/>
      <c r="BC82" s="753" t="str">
        <f t="shared" si="111"/>
        <v>N</v>
      </c>
      <c r="BD82" s="753" t="str">
        <f t="shared" si="39"/>
        <v>Non-Labor</v>
      </c>
      <c r="BE82" s="755"/>
      <c r="BF82" s="753" t="str">
        <f t="shared" si="112"/>
        <v>B23672.05</v>
      </c>
      <c r="BG82" s="753" t="str">
        <f t="shared" si="229"/>
        <v>0.0.0</v>
      </c>
      <c r="BH82" s="753">
        <f t="shared" si="187"/>
        <v>0</v>
      </c>
      <c r="BI82" s="753">
        <f t="shared" si="145"/>
        <v>0</v>
      </c>
      <c r="BJ82" s="753">
        <f t="shared" si="113"/>
        <v>0</v>
      </c>
      <c r="BK82" s="753">
        <f t="shared" si="40"/>
        <v>0</v>
      </c>
      <c r="BL82" s="753" t="b">
        <f t="shared" si="131"/>
        <v>1</v>
      </c>
      <c r="BM82" s="755"/>
      <c r="BN82" s="719">
        <f t="shared" si="188"/>
        <v>0</v>
      </c>
      <c r="BO82" s="719">
        <f t="shared" si="189"/>
        <v>110</v>
      </c>
      <c r="BP82" s="755"/>
      <c r="BQ82" s="719">
        <f>IF(AND((COUNTIFS('3a Staff Plan'!$J$129:$J$305,FA82)*$B$22)+(COUNTIFS('3b Activity Plan'!$J$173:$J$365,FA82)*$M$22)=0,FB82&gt;0),1,0)</f>
        <v>0</v>
      </c>
      <c r="BR82" s="719">
        <f t="shared" si="114"/>
        <v>0</v>
      </c>
      <c r="BS82" s="719">
        <f t="shared" si="190"/>
        <v>0</v>
      </c>
      <c r="BT82" s="719">
        <f t="shared" si="191"/>
        <v>0</v>
      </c>
      <c r="BU82" s="719">
        <f t="shared" si="192"/>
        <v>0</v>
      </c>
      <c r="BV82" s="719">
        <f t="shared" si="193"/>
        <v>0</v>
      </c>
      <c r="BW82" s="719">
        <f t="shared" si="194"/>
        <v>0</v>
      </c>
      <c r="BX82" s="719">
        <f t="shared" si="195"/>
        <v>0</v>
      </c>
      <c r="BY82" s="719">
        <f t="shared" si="196"/>
        <v>0</v>
      </c>
      <c r="BZ82" s="719">
        <f t="shared" si="115"/>
        <v>0</v>
      </c>
      <c r="CA82" s="719">
        <f t="shared" si="116"/>
        <v>0</v>
      </c>
      <c r="CB82" s="719">
        <f t="shared" si="197"/>
        <v>0</v>
      </c>
      <c r="CC82" s="719"/>
      <c r="CD82" s="719"/>
      <c r="CE82" s="719">
        <f t="shared" si="198"/>
        <v>0</v>
      </c>
      <c r="CF82" s="719">
        <f t="shared" si="117"/>
        <v>0</v>
      </c>
      <c r="CG82" s="719">
        <f t="shared" si="118"/>
        <v>0</v>
      </c>
      <c r="CH82" s="719">
        <f t="shared" si="119"/>
        <v>0</v>
      </c>
      <c r="CI82" s="719">
        <f t="shared" si="120"/>
        <v>0</v>
      </c>
      <c r="CJ82" s="719">
        <f t="shared" si="121"/>
        <v>0</v>
      </c>
      <c r="CK82" s="719">
        <f t="shared" si="122"/>
        <v>0</v>
      </c>
      <c r="CL82" s="719">
        <f t="shared" si="123"/>
        <v>0</v>
      </c>
      <c r="CM82" s="719">
        <f t="shared" si="124"/>
        <v>0</v>
      </c>
      <c r="CN82" s="719">
        <f t="shared" si="125"/>
        <v>0</v>
      </c>
      <c r="CO82" s="719">
        <f t="shared" si="42"/>
        <v>0</v>
      </c>
      <c r="CP82" s="719">
        <f t="shared" si="78"/>
        <v>0</v>
      </c>
      <c r="CQ82" s="719">
        <f t="shared" si="126"/>
        <v>49</v>
      </c>
      <c r="CR82" s="719">
        <f t="shared" si="127"/>
        <v>0</v>
      </c>
      <c r="CS82" s="2526"/>
      <c r="CT82" s="2527">
        <f t="shared" si="128"/>
        <v>54</v>
      </c>
      <c r="CU82" s="2527">
        <f t="shared" si="146"/>
        <v>0</v>
      </c>
      <c r="CV82" s="2527">
        <f t="shared" si="147"/>
        <v>0</v>
      </c>
      <c r="CW82" s="2527">
        <f t="shared" si="43"/>
        <v>0</v>
      </c>
      <c r="CX82" s="755"/>
      <c r="CY82" s="2537"/>
      <c r="CZ82" s="499">
        <f t="shared" si="169"/>
        <v>0</v>
      </c>
      <c r="DA82" s="1107">
        <f t="shared" si="170"/>
        <v>0</v>
      </c>
      <c r="DB82" s="2537"/>
      <c r="DC82" s="499">
        <f t="shared" si="200"/>
        <v>0</v>
      </c>
      <c r="DD82" s="1107">
        <f t="shared" si="201"/>
        <v>0</v>
      </c>
      <c r="DE82" s="2537"/>
      <c r="DF82" s="499">
        <f t="shared" si="202"/>
        <v>0</v>
      </c>
      <c r="DG82" s="1107">
        <f t="shared" si="203"/>
        <v>0</v>
      </c>
      <c r="DH82" s="2537"/>
      <c r="DI82" s="499">
        <f t="shared" si="204"/>
        <v>0</v>
      </c>
      <c r="DJ82" s="1107">
        <f t="shared" si="205"/>
        <v>0</v>
      </c>
      <c r="DK82" s="2537"/>
      <c r="DL82" s="499">
        <f t="shared" si="206"/>
        <v>0</v>
      </c>
      <c r="DM82" s="1107">
        <f t="shared" si="207"/>
        <v>0</v>
      </c>
      <c r="DN82" s="2537"/>
      <c r="DO82" s="499">
        <f t="shared" si="208"/>
        <v>0</v>
      </c>
      <c r="DP82" s="1107">
        <f t="shared" si="209"/>
        <v>0</v>
      </c>
      <c r="DQ82" s="2537"/>
      <c r="DR82" s="2559"/>
      <c r="DS82" s="499">
        <f t="shared" si="148"/>
        <v>0</v>
      </c>
      <c r="DT82" s="1106">
        <f t="shared" si="149"/>
        <v>0</v>
      </c>
      <c r="DU82" s="2537"/>
      <c r="DV82" s="2559"/>
      <c r="DW82" s="2312">
        <f t="shared" si="150"/>
        <v>0</v>
      </c>
      <c r="DX82" s="1106">
        <f t="shared" si="151"/>
        <v>0</v>
      </c>
      <c r="DY82" s="2572"/>
      <c r="DZ82" s="2537"/>
      <c r="EA82" s="2537"/>
      <c r="EB82" s="2577" t="str">
        <f t="shared" si="210"/>
        <v>05</v>
      </c>
      <c r="EC82" s="2570"/>
      <c r="ED82" s="436">
        <f>IFERROR(INDEX('IPCS Data'!$H$8:$H$30,MATCH(EE82,'IPCS Data'!$I$8:$I$30,0)),0)</f>
        <v>0</v>
      </c>
      <c r="EE82" s="437"/>
      <c r="EF82" s="2570"/>
      <c r="EG82" s="499">
        <f>IFERROR(INDEX('IPCS Data'!$L$8:$L$27,MATCH(EH82,'IPCS Data'!$M$8:$M$27,0)),0)</f>
        <v>0</v>
      </c>
      <c r="EH82" s="437"/>
      <c r="EI82" s="2578" t="s">
        <v>5</v>
      </c>
      <c r="EJ82" s="748">
        <f>IFERROR(INDEX('IPCS Data'!$O$8:$O$110,MATCH(EK82,'IPCS Data'!$Q$8:$Q$110,0)),0)</f>
        <v>0</v>
      </c>
      <c r="EK82" s="437"/>
      <c r="EL82" s="2578"/>
      <c r="EM82" s="840">
        <f t="shared" si="230"/>
        <v>0</v>
      </c>
      <c r="EN82" s="841"/>
      <c r="EO82" s="2537"/>
      <c r="EP82" s="842">
        <f t="shared" si="231"/>
        <v>0</v>
      </c>
      <c r="EQ82" s="843"/>
      <c r="ER82" s="2537"/>
      <c r="ES82" s="840">
        <f t="shared" si="232"/>
        <v>0</v>
      </c>
      <c r="ET82" s="843"/>
      <c r="EU82" s="2537"/>
      <c r="EV82" s="1497"/>
      <c r="EW82" s="1683"/>
      <c r="EX82" s="2562">
        <f t="shared" si="211"/>
        <v>49</v>
      </c>
      <c r="EY82" s="2533"/>
      <c r="EZ82" s="2561"/>
      <c r="FA82" s="1324">
        <f t="shared" si="152"/>
        <v>0</v>
      </c>
      <c r="FB82" s="2629">
        <f t="shared" si="212"/>
        <v>0</v>
      </c>
      <c r="FC82" s="274"/>
      <c r="FD82" s="2626">
        <f t="shared" si="153"/>
        <v>0</v>
      </c>
      <c r="FE82" s="2626">
        <f t="shared" si="154"/>
        <v>0</v>
      </c>
      <c r="FF82" s="274"/>
      <c r="FG82" s="2616">
        <f t="shared" si="213"/>
        <v>0</v>
      </c>
      <c r="FH82" s="2616">
        <f t="shared" si="214"/>
        <v>0</v>
      </c>
      <c r="FI82" s="2616">
        <f t="shared" si="215"/>
        <v>0</v>
      </c>
      <c r="FJ82" s="2610" t="s">
        <v>5</v>
      </c>
      <c r="FK82" s="2616">
        <f t="shared" si="216"/>
        <v>0</v>
      </c>
      <c r="FL82" s="2616">
        <f t="shared" si="217"/>
        <v>0</v>
      </c>
      <c r="FM82" s="2616">
        <f t="shared" si="218"/>
        <v>0</v>
      </c>
      <c r="FN82" s="2622">
        <f t="shared" si="219"/>
        <v>0</v>
      </c>
      <c r="FO82" s="2615">
        <f t="shared" si="220"/>
        <v>0</v>
      </c>
      <c r="FP82" s="2624">
        <f t="shared" si="221"/>
        <v>0</v>
      </c>
      <c r="FQ82" s="2622">
        <f t="shared" si="222"/>
        <v>0</v>
      </c>
      <c r="FR82" s="2624">
        <f t="shared" si="223"/>
        <v>0</v>
      </c>
      <c r="FS82" s="2611" t="s">
        <v>5</v>
      </c>
      <c r="FT82" s="2616">
        <f t="shared" si="224"/>
        <v>0</v>
      </c>
      <c r="FU82" s="2622">
        <f t="shared" si="129"/>
        <v>0</v>
      </c>
      <c r="FV82" s="2616">
        <f t="shared" si="225"/>
        <v>0</v>
      </c>
      <c r="FW82" s="2612" t="s">
        <v>5</v>
      </c>
      <c r="FX82" s="2616">
        <f t="shared" si="171"/>
        <v>0</v>
      </c>
      <c r="FY82" s="2616">
        <f t="shared" si="226"/>
        <v>0</v>
      </c>
      <c r="FZ82" s="2613" t="s">
        <v>5</v>
      </c>
      <c r="GA82" s="2616">
        <f t="shared" si="48"/>
        <v>0</v>
      </c>
      <c r="GB82" s="2619">
        <f t="shared" si="234"/>
        <v>0</v>
      </c>
      <c r="GC82" s="2620">
        <f t="shared" si="228"/>
        <v>0</v>
      </c>
      <c r="GD82" s="2614"/>
      <c r="GE82" s="3195">
        <f t="shared" si="143"/>
        <v>0</v>
      </c>
      <c r="GF82" s="3195">
        <f t="shared" si="144"/>
        <v>0</v>
      </c>
      <c r="GG82" s="3193" t="str">
        <f t="shared" si="18"/>
        <v>X</v>
      </c>
      <c r="GH82" s="2531"/>
      <c r="GI82" s="3189" t="str">
        <f t="shared" si="155"/>
        <v/>
      </c>
      <c r="GJ82" s="2598"/>
      <c r="GK82" s="3173">
        <f t="shared" si="156"/>
        <v>0</v>
      </c>
      <c r="GL82" s="3173">
        <f t="shared" si="157"/>
        <v>0</v>
      </c>
      <c r="GM82" s="3173">
        <f t="shared" si="158"/>
        <v>0</v>
      </c>
      <c r="GN82" s="3174">
        <f t="shared" si="159"/>
        <v>0</v>
      </c>
      <c r="GO82" s="3174">
        <f t="shared" si="160"/>
        <v>0</v>
      </c>
      <c r="GP82" s="3175">
        <f t="shared" si="161"/>
        <v>0</v>
      </c>
      <c r="GQ82" s="3176">
        <f t="shared" si="162"/>
        <v>0</v>
      </c>
      <c r="GR82" s="3177">
        <f t="shared" si="163"/>
        <v>0</v>
      </c>
      <c r="GS82" s="3177">
        <f t="shared" si="164"/>
        <v>0</v>
      </c>
      <c r="GT82" s="3178">
        <f t="shared" si="165"/>
        <v>0</v>
      </c>
      <c r="GU82" s="3179"/>
      <c r="GV82" s="3178">
        <f t="shared" si="166"/>
        <v>0</v>
      </c>
      <c r="GW82" s="3177">
        <f t="shared" si="167"/>
        <v>0</v>
      </c>
      <c r="GX82" s="3180"/>
      <c r="GY82" s="3177">
        <f t="shared" si="168"/>
        <v>0</v>
      </c>
      <c r="GZ82" s="2593"/>
      <c r="HA82" s="277"/>
      <c r="HB82" s="277"/>
      <c r="HC82" s="277"/>
      <c r="HD82" s="277"/>
      <c r="HE82" s="277"/>
      <c r="HF82" s="277"/>
      <c r="HG82" s="277"/>
      <c r="HH82" s="277"/>
      <c r="HI82" s="277"/>
      <c r="HJ82" s="277"/>
      <c r="HK82" s="277"/>
      <c r="HL82" s="277"/>
      <c r="HM82" s="277"/>
      <c r="HN82" s="277"/>
      <c r="HO82" s="277"/>
    </row>
    <row r="83" spans="1:223" s="749" customFormat="1" ht="18" customHeight="1" x14ac:dyDescent="0.3">
      <c r="A83" s="755"/>
      <c r="B83" s="805">
        <f>SUMIFS('3a Staff Plan'!$T$129:$T$305,'3a Staff Plan'!$DF$129:$DF$305,1,'3a Staff Plan'!$DA$129:$DA$305,1,'3a Staff Plan'!$J$129:$J$305,$FA83)</f>
        <v>0</v>
      </c>
      <c r="C83" s="805">
        <f>SUMIFS('3a Staff Plan'!$U$129:$U$305,'3a Staff Plan'!$DF$129:$DF$305,1,'3a Staff Plan'!$DA$129:$DA$305,1,'3a Staff Plan'!$J$129:$J$305,$FA83)</f>
        <v>0</v>
      </c>
      <c r="D83" s="805">
        <f>SUMIFS('3a Staff Plan'!$Z$129:$Z$305,'3a Staff Plan'!$DF$129:$DF$305,1,'3a Staff Plan'!$DA$129:$DA$305,1,'3a Staff Plan'!$J$129:$J$305,$FA83)</f>
        <v>0</v>
      </c>
      <c r="E83" s="805">
        <f>SUMIFS('3a Staff Plan'!$Y$129:$Y$305,'3a Staff Plan'!$DF$129:$DF$305,1,'3a Staff Plan'!$DA$129:$DA$305,1,'3a Staff Plan'!$J$129:$J$305,$FA83)</f>
        <v>0</v>
      </c>
      <c r="F83" s="805">
        <f>SUMIFS('3a Staff Plan'!$X$129:$X$305,'3a Staff Plan'!$DF$129:$DF$305,1,'3a Staff Plan'!$DA$129:$DA$305,1,'3a Staff Plan'!$AG$129:$AG$305,1,'3a Staff Plan'!$J$129:$J$305,$FA83)</f>
        <v>0</v>
      </c>
      <c r="G83" s="805">
        <f>IF($G$24=0,0,SUMIFS('3a Staff Plan'!$W$129:$W$305,'3a Staff Plan'!$DF$129:$DF$305,1,'3a Staff Plan'!$DA$129:$DA$305,1,'3a Staff Plan'!$J$129:$J$305,$FA83))</f>
        <v>0</v>
      </c>
      <c r="H83" s="795">
        <f t="shared" si="172"/>
        <v>0</v>
      </c>
      <c r="I83" s="805">
        <f>SUMIFS('3a Staff Plan'!$V$129:$V$305,'3a Staff Plan'!$DF$129:$DF$305,1,'3a Staff Plan'!$DA$129:$DA$305,1,'3a Staff Plan'!$J$129:$J$305,$FA83)</f>
        <v>0</v>
      </c>
      <c r="J83" s="805">
        <f>SUMIFS('3a Staff Plan'!$AB$129:$AB$305,'3a Staff Plan'!$DF$129:$DF$305,1,'3a Staff Plan'!$DA$129:$DA$305,1,'3a Staff Plan'!$J$129:$J$305,$FA83)</f>
        <v>0</v>
      </c>
      <c r="K83" s="805">
        <f>SUMIFS('3a Staff Plan'!$AA$129:$AA$305,'3a Staff Plan'!$DF$129:$DF$305,1,'3a Staff Plan'!$DA$129:$DA$305,1,'3a Staff Plan'!$AG$129:$AG$305,1,'3a Staff Plan'!$J$129:$J$305,$FA83)</f>
        <v>0</v>
      </c>
      <c r="L83" s="755"/>
      <c r="M83" s="805">
        <f>SUMIFS('3b Activity Plan'!$T$173:$T$365,'3b Activity Plan'!$CY$173:$CY$365,1,'3b Activity Plan'!$CT$173:$CT$365,1,'3b Activity Plan'!$J$173:$J$365,$FA83)</f>
        <v>0</v>
      </c>
      <c r="N83" s="805">
        <f>SUMIFS('3b Activity Plan'!$U$173:$U$365,'3b Activity Plan'!$CY$173:$CY$365,1,'3b Activity Plan'!$CT$173:$CT$365,1,'3b Activity Plan'!$J$173:$J$365,$FA83)</f>
        <v>0</v>
      </c>
      <c r="O83" s="805">
        <f>SUMIFS('3b Activity Plan'!$Z$173:$Z$365,'3b Activity Plan'!$CY$173:$CY$365,1,'3b Activity Plan'!$CT$173:$CT$365,1,'3b Activity Plan'!$J$173:$J$365,$FA83)</f>
        <v>0</v>
      </c>
      <c r="P83" s="805">
        <f>SUMIFS('3b Activity Plan'!$Y$173:$Y$365,'3b Activity Plan'!$CY$173:$CY$365,1,'3b Activity Plan'!$CT$173:$CT$365,1,'3b Activity Plan'!$J$173:$J$365,$FA83)</f>
        <v>0</v>
      </c>
      <c r="Q83" s="805">
        <f>SUMIFS('3b Activity Plan'!$X$173:$X$365,'3b Activity Plan'!$CY$173:$CY$365,1,'3b Activity Plan'!$CT$173:$CT$365,1,'3b Activity Plan'!$J$173:$J$365,$FA83)</f>
        <v>0</v>
      </c>
      <c r="R83" s="805">
        <f>IF($R$24=0,0,SUMIFS('3b Activity Plan'!$W$173:$W$365,'3b Activity Plan'!$CY$173:$CY$365,1,'3b Activity Plan'!$CT$173:$CT$365,1,'3b Activity Plan'!$J$173:$J$365,$FA83))</f>
        <v>0</v>
      </c>
      <c r="S83" s="795">
        <f t="shared" si="173"/>
        <v>0</v>
      </c>
      <c r="T83" s="805">
        <f>SUMIFS('3b Activity Plan'!$V$173:$V$365,'3b Activity Plan'!$CY$173:$CY$365,1,'3b Activity Plan'!$CT$173:$CT$365,1,'3b Activity Plan'!$J$173:$J$365,$FA83)</f>
        <v>0</v>
      </c>
      <c r="U83" s="805">
        <f>SUMIFS('3b Activity Plan'!$AB$173:$AB$365,'3b Activity Plan'!$CY$173:$CY$365,1,'3b Activity Plan'!$CT$173:$CT$365,1,'3b Activity Plan'!$J$173:$J$365,$FA83)</f>
        <v>0</v>
      </c>
      <c r="V83" s="805">
        <f>SUMIFS('3b Activity Plan'!$AA$173:$AA$365,'3b Activity Plan'!$CY$173:$CY$365,1,'3b Activity Plan'!$CT$173:$CT$365,1,'3b Activity Plan'!$J$173:$J$365,$FA83)</f>
        <v>0</v>
      </c>
      <c r="W83" s="755"/>
      <c r="X83" s="2641">
        <f>SUMIFS('3b Activity Plan'!$FU$173:$FU$365,'3b Activity Plan'!$J$173:$J$365,$FA83)</f>
        <v>0</v>
      </c>
      <c r="Y83" s="2641">
        <f>SUMIFS('3b Activity Plan'!$FW$173:$FW$365,'3b Activity Plan'!$J$173:$J$365,$FA83)</f>
        <v>0</v>
      </c>
      <c r="Z83" s="2639">
        <f t="shared" si="132"/>
        <v>0</v>
      </c>
      <c r="AA83" s="755"/>
      <c r="AB83" s="761">
        <f>_xlfn.MINIFS('3a Staff Plan'!$EB$129:$EB$304,'3a Staff Plan'!$DF$129:$DF$304,1,'3a Staff Plan'!$J$129:$J$304,FA83)</f>
        <v>0</v>
      </c>
      <c r="AC83" s="761">
        <f>_xlfn.MAXIFS('3a Staff Plan'!$EC$129:$EC$304,'3a Staff Plan'!$DF$129:$DF$304,1,'3a Staff Plan'!$J$129:$J$304,FA83)</f>
        <v>0</v>
      </c>
      <c r="AD83" s="755"/>
      <c r="AE83" s="761">
        <f>_xlfn.MINIFS('3b Activity Plan'!$GN$173:$GN$365,'3b Activity Plan'!$CY$173:$CY$365,1,'3b Activity Plan'!$J$173:$J$365,$FA83)</f>
        <v>0</v>
      </c>
      <c r="AF83" s="761">
        <f>_xlfn.MAXIFS('3b Activity Plan'!$GO$173:$GO$365,'3b Activity Plan'!$CY$173:$CY$365,1,'3b Activity Plan'!$J$173:$J$365,$FA83)</f>
        <v>0</v>
      </c>
      <c r="AG83" s="755"/>
      <c r="AH83" s="761">
        <f t="shared" si="174"/>
        <v>0</v>
      </c>
      <c r="AI83" s="761">
        <f t="shared" si="175"/>
        <v>0</v>
      </c>
      <c r="AJ83" s="755"/>
      <c r="AK83" s="761">
        <f t="shared" si="176"/>
        <v>0</v>
      </c>
      <c r="AL83" s="761">
        <f t="shared" si="177"/>
        <v>0</v>
      </c>
      <c r="AM83" s="776">
        <f t="shared" si="178"/>
        <v>0</v>
      </c>
      <c r="AN83" s="755"/>
      <c r="AO83" s="748">
        <f t="shared" si="179"/>
        <v>0</v>
      </c>
      <c r="AP83" s="748">
        <f t="shared" si="180"/>
        <v>0</v>
      </c>
      <c r="AQ83" s="748">
        <f t="shared" si="181"/>
        <v>0</v>
      </c>
      <c r="AR83" s="748">
        <f t="shared" si="182"/>
        <v>0</v>
      </c>
      <c r="AS83" s="748">
        <f t="shared" si="183"/>
        <v>0</v>
      </c>
      <c r="AT83" s="748">
        <f t="shared" si="184"/>
        <v>0</v>
      </c>
      <c r="AU83" s="748">
        <f t="shared" si="185"/>
        <v>0</v>
      </c>
      <c r="AV83" s="748">
        <f>IFERROR(INDEX('IPCS Data'!$R$8:$R$109,MATCH(EJ83,'IPCS Data'!$O$8:$O$109,0)),0)</f>
        <v>0</v>
      </c>
      <c r="AW83" s="755"/>
      <c r="AX83" s="499">
        <f>IFERROR(INDEX('IPCS Data'!$P$18:$P$110,MATCH(EK83,'IPCS Data'!$Q$18:$Q$110,0)),0)</f>
        <v>0</v>
      </c>
      <c r="AY83" s="1950" t="str">
        <f t="shared" si="110"/>
        <v/>
      </c>
      <c r="AZ83" s="755"/>
      <c r="BA83" s="753" t="str">
        <f>IFERROR(IF(MATCH(EJ83,'IPCS Data'!$O$8:$O$110,0)&gt;=25,"L","N"),"N")</f>
        <v>N</v>
      </c>
      <c r="BB83" s="774"/>
      <c r="BC83" s="753" t="str">
        <f t="shared" si="111"/>
        <v>N</v>
      </c>
      <c r="BD83" s="753" t="str">
        <f t="shared" si="39"/>
        <v>Non-Labor</v>
      </c>
      <c r="BE83" s="755"/>
      <c r="BF83" s="753" t="str">
        <f t="shared" si="112"/>
        <v>B23672.05</v>
      </c>
      <c r="BG83" s="753" t="str">
        <f t="shared" si="229"/>
        <v>0.0.0</v>
      </c>
      <c r="BH83" s="753">
        <f t="shared" si="187"/>
        <v>0</v>
      </c>
      <c r="BI83" s="753">
        <f t="shared" si="145"/>
        <v>0</v>
      </c>
      <c r="BJ83" s="753">
        <f t="shared" si="113"/>
        <v>0</v>
      </c>
      <c r="BK83" s="753">
        <f t="shared" si="40"/>
        <v>0</v>
      </c>
      <c r="BL83" s="753" t="b">
        <f t="shared" si="131"/>
        <v>1</v>
      </c>
      <c r="BM83" s="755"/>
      <c r="BN83" s="719">
        <f t="shared" si="188"/>
        <v>0</v>
      </c>
      <c r="BO83" s="719">
        <f t="shared" si="189"/>
        <v>110</v>
      </c>
      <c r="BP83" s="755"/>
      <c r="BQ83" s="719">
        <f>IF(AND((COUNTIFS('3a Staff Plan'!$J$129:$J$305,FA83)*$B$22)+(COUNTIFS('3b Activity Plan'!$J$173:$J$365,FA83)*$M$22)=0,FB83&gt;0),1,0)</f>
        <v>0</v>
      </c>
      <c r="BR83" s="719">
        <f t="shared" si="114"/>
        <v>0</v>
      </c>
      <c r="BS83" s="719">
        <f t="shared" si="190"/>
        <v>0</v>
      </c>
      <c r="BT83" s="719">
        <f t="shared" si="191"/>
        <v>0</v>
      </c>
      <c r="BU83" s="719">
        <f t="shared" si="192"/>
        <v>0</v>
      </c>
      <c r="BV83" s="719">
        <f t="shared" si="193"/>
        <v>0</v>
      </c>
      <c r="BW83" s="719">
        <f t="shared" si="194"/>
        <v>0</v>
      </c>
      <c r="BX83" s="719">
        <f t="shared" si="195"/>
        <v>0</v>
      </c>
      <c r="BY83" s="719">
        <f t="shared" si="196"/>
        <v>0</v>
      </c>
      <c r="BZ83" s="719">
        <f t="shared" si="115"/>
        <v>0</v>
      </c>
      <c r="CA83" s="719">
        <f t="shared" si="116"/>
        <v>0</v>
      </c>
      <c r="CB83" s="719">
        <f t="shared" si="197"/>
        <v>0</v>
      </c>
      <c r="CC83" s="719"/>
      <c r="CD83" s="719"/>
      <c r="CE83" s="719">
        <f t="shared" si="198"/>
        <v>0</v>
      </c>
      <c r="CF83" s="719">
        <f t="shared" si="117"/>
        <v>0</v>
      </c>
      <c r="CG83" s="719">
        <f t="shared" si="118"/>
        <v>0</v>
      </c>
      <c r="CH83" s="719">
        <f t="shared" si="119"/>
        <v>0</v>
      </c>
      <c r="CI83" s="719">
        <f t="shared" si="120"/>
        <v>0</v>
      </c>
      <c r="CJ83" s="719">
        <f t="shared" si="121"/>
        <v>0</v>
      </c>
      <c r="CK83" s="719">
        <f t="shared" si="122"/>
        <v>0</v>
      </c>
      <c r="CL83" s="719">
        <f t="shared" si="123"/>
        <v>0</v>
      </c>
      <c r="CM83" s="719">
        <f t="shared" si="124"/>
        <v>0</v>
      </c>
      <c r="CN83" s="719">
        <f t="shared" si="125"/>
        <v>0</v>
      </c>
      <c r="CO83" s="719">
        <f t="shared" si="42"/>
        <v>0</v>
      </c>
      <c r="CP83" s="719">
        <f t="shared" si="78"/>
        <v>0</v>
      </c>
      <c r="CQ83" s="719">
        <f t="shared" si="126"/>
        <v>50</v>
      </c>
      <c r="CR83" s="719">
        <f t="shared" si="127"/>
        <v>0</v>
      </c>
      <c r="CS83" s="2526"/>
      <c r="CT83" s="2527">
        <f t="shared" si="128"/>
        <v>55</v>
      </c>
      <c r="CU83" s="2527">
        <f t="shared" si="146"/>
        <v>0</v>
      </c>
      <c r="CV83" s="2527">
        <f t="shared" si="147"/>
        <v>0</v>
      </c>
      <c r="CW83" s="2527">
        <f t="shared" si="43"/>
        <v>0</v>
      </c>
      <c r="CX83" s="755"/>
      <c r="CY83" s="2537"/>
      <c r="CZ83" s="499">
        <f t="shared" si="169"/>
        <v>0</v>
      </c>
      <c r="DA83" s="1107">
        <f t="shared" si="170"/>
        <v>0</v>
      </c>
      <c r="DB83" s="2537"/>
      <c r="DC83" s="499">
        <f t="shared" si="200"/>
        <v>0</v>
      </c>
      <c r="DD83" s="1107">
        <f t="shared" si="201"/>
        <v>0</v>
      </c>
      <c r="DE83" s="2537"/>
      <c r="DF83" s="499">
        <f t="shared" si="202"/>
        <v>0</v>
      </c>
      <c r="DG83" s="1107">
        <f t="shared" si="203"/>
        <v>0</v>
      </c>
      <c r="DH83" s="2537"/>
      <c r="DI83" s="499">
        <f t="shared" si="204"/>
        <v>0</v>
      </c>
      <c r="DJ83" s="1107">
        <f t="shared" si="205"/>
        <v>0</v>
      </c>
      <c r="DK83" s="2537"/>
      <c r="DL83" s="499">
        <f t="shared" si="206"/>
        <v>0</v>
      </c>
      <c r="DM83" s="1107">
        <f t="shared" si="207"/>
        <v>0</v>
      </c>
      <c r="DN83" s="2537"/>
      <c r="DO83" s="499">
        <f t="shared" si="208"/>
        <v>0</v>
      </c>
      <c r="DP83" s="1107">
        <f t="shared" si="209"/>
        <v>0</v>
      </c>
      <c r="DQ83" s="2537"/>
      <c r="DR83" s="2559"/>
      <c r="DS83" s="499">
        <f t="shared" si="148"/>
        <v>0</v>
      </c>
      <c r="DT83" s="1106">
        <f t="shared" si="149"/>
        <v>0</v>
      </c>
      <c r="DU83" s="2537"/>
      <c r="DV83" s="2559"/>
      <c r="DW83" s="2312">
        <f t="shared" si="150"/>
        <v>0</v>
      </c>
      <c r="DX83" s="1106">
        <f t="shared" si="151"/>
        <v>0</v>
      </c>
      <c r="DY83" s="2572"/>
      <c r="DZ83" s="2537"/>
      <c r="EA83" s="2537"/>
      <c r="EB83" s="2577" t="str">
        <f t="shared" si="210"/>
        <v>05</v>
      </c>
      <c r="EC83" s="2570"/>
      <c r="ED83" s="436">
        <f>IFERROR(INDEX('IPCS Data'!$H$8:$H$30,MATCH(EE83,'IPCS Data'!$I$8:$I$30,0)),0)</f>
        <v>0</v>
      </c>
      <c r="EE83" s="437"/>
      <c r="EF83" s="2570"/>
      <c r="EG83" s="499">
        <f>IFERROR(INDEX('IPCS Data'!$L$8:$L$27,MATCH(EH83,'IPCS Data'!$M$8:$M$27,0)),0)</f>
        <v>0</v>
      </c>
      <c r="EH83" s="437"/>
      <c r="EI83" s="2578" t="s">
        <v>5</v>
      </c>
      <c r="EJ83" s="748">
        <f>IFERROR(INDEX('IPCS Data'!$O$8:$O$110,MATCH(EK83,'IPCS Data'!$Q$8:$Q$110,0)),0)</f>
        <v>0</v>
      </c>
      <c r="EK83" s="437"/>
      <c r="EL83" s="2578"/>
      <c r="EM83" s="840">
        <f t="shared" si="230"/>
        <v>0</v>
      </c>
      <c r="EN83" s="841"/>
      <c r="EO83" s="2537"/>
      <c r="EP83" s="842">
        <f t="shared" si="231"/>
        <v>0</v>
      </c>
      <c r="EQ83" s="843"/>
      <c r="ER83" s="2537"/>
      <c r="ES83" s="840">
        <f t="shared" si="232"/>
        <v>0</v>
      </c>
      <c r="ET83" s="843"/>
      <c r="EU83" s="2537"/>
      <c r="EV83" s="1497"/>
      <c r="EW83" s="1683"/>
      <c r="EX83" s="2562">
        <f t="shared" si="211"/>
        <v>50</v>
      </c>
      <c r="EY83" s="2533"/>
      <c r="EZ83" s="2561"/>
      <c r="FA83" s="1324">
        <f t="shared" si="152"/>
        <v>0</v>
      </c>
      <c r="FB83" s="2629">
        <f t="shared" si="212"/>
        <v>0</v>
      </c>
      <c r="FC83" s="274"/>
      <c r="FD83" s="2626">
        <f t="shared" si="153"/>
        <v>0</v>
      </c>
      <c r="FE83" s="2626">
        <f t="shared" si="154"/>
        <v>0</v>
      </c>
      <c r="FF83" s="274"/>
      <c r="FG83" s="2616">
        <f t="shared" si="213"/>
        <v>0</v>
      </c>
      <c r="FH83" s="2616">
        <f t="shared" si="214"/>
        <v>0</v>
      </c>
      <c r="FI83" s="2616">
        <f t="shared" si="215"/>
        <v>0</v>
      </c>
      <c r="FJ83" s="2610" t="s">
        <v>5</v>
      </c>
      <c r="FK83" s="2616">
        <f t="shared" si="216"/>
        <v>0</v>
      </c>
      <c r="FL83" s="2616">
        <f t="shared" si="217"/>
        <v>0</v>
      </c>
      <c r="FM83" s="2616">
        <f t="shared" si="218"/>
        <v>0</v>
      </c>
      <c r="FN83" s="2622">
        <f t="shared" si="219"/>
        <v>0</v>
      </c>
      <c r="FO83" s="2615">
        <f t="shared" si="220"/>
        <v>0</v>
      </c>
      <c r="FP83" s="2624">
        <f t="shared" si="221"/>
        <v>0</v>
      </c>
      <c r="FQ83" s="2622">
        <f t="shared" si="222"/>
        <v>0</v>
      </c>
      <c r="FR83" s="2624">
        <f t="shared" si="223"/>
        <v>0</v>
      </c>
      <c r="FS83" s="2611" t="s">
        <v>5</v>
      </c>
      <c r="FT83" s="2616">
        <f t="shared" si="224"/>
        <v>0</v>
      </c>
      <c r="FU83" s="2622">
        <f t="shared" si="129"/>
        <v>0</v>
      </c>
      <c r="FV83" s="2616">
        <f t="shared" si="225"/>
        <v>0</v>
      </c>
      <c r="FW83" s="2612" t="s">
        <v>5</v>
      </c>
      <c r="FX83" s="2616">
        <f t="shared" si="171"/>
        <v>0</v>
      </c>
      <c r="FY83" s="2616">
        <f t="shared" si="226"/>
        <v>0</v>
      </c>
      <c r="FZ83" s="2613" t="s">
        <v>5</v>
      </c>
      <c r="GA83" s="2616">
        <f t="shared" si="48"/>
        <v>0</v>
      </c>
      <c r="GB83" s="2619">
        <f t="shared" si="234"/>
        <v>0</v>
      </c>
      <c r="GC83" s="2620">
        <f t="shared" si="228"/>
        <v>0</v>
      </c>
      <c r="GD83" s="2614"/>
      <c r="GE83" s="3195">
        <f t="shared" si="143"/>
        <v>0</v>
      </c>
      <c r="GF83" s="3195">
        <f t="shared" si="144"/>
        <v>0</v>
      </c>
      <c r="GG83" s="3193" t="str">
        <f t="shared" si="18"/>
        <v>X</v>
      </c>
      <c r="GH83" s="2531"/>
      <c r="GI83" s="3189" t="str">
        <f t="shared" si="155"/>
        <v/>
      </c>
      <c r="GJ83" s="2598"/>
      <c r="GK83" s="3173">
        <f t="shared" si="156"/>
        <v>0</v>
      </c>
      <c r="GL83" s="3173">
        <f t="shared" si="157"/>
        <v>0</v>
      </c>
      <c r="GM83" s="3173">
        <f t="shared" si="158"/>
        <v>0</v>
      </c>
      <c r="GN83" s="3174">
        <f t="shared" si="159"/>
        <v>0</v>
      </c>
      <c r="GO83" s="3174">
        <f t="shared" si="160"/>
        <v>0</v>
      </c>
      <c r="GP83" s="3175">
        <f t="shared" si="161"/>
        <v>0</v>
      </c>
      <c r="GQ83" s="3176">
        <f t="shared" si="162"/>
        <v>0</v>
      </c>
      <c r="GR83" s="3177">
        <f t="shared" si="163"/>
        <v>0</v>
      </c>
      <c r="GS83" s="3177">
        <f t="shared" si="164"/>
        <v>0</v>
      </c>
      <c r="GT83" s="3178">
        <f t="shared" si="165"/>
        <v>0</v>
      </c>
      <c r="GU83" s="3179"/>
      <c r="GV83" s="3178">
        <f t="shared" si="166"/>
        <v>0</v>
      </c>
      <c r="GW83" s="3177">
        <f t="shared" si="167"/>
        <v>0</v>
      </c>
      <c r="GX83" s="3180"/>
      <c r="GY83" s="3177">
        <f t="shared" si="168"/>
        <v>0</v>
      </c>
      <c r="GZ83" s="2593"/>
      <c r="HA83" s="277"/>
      <c r="HB83" s="277"/>
      <c r="HC83" s="277"/>
      <c r="HD83" s="277"/>
      <c r="HE83" s="277"/>
      <c r="HF83" s="277"/>
      <c r="HG83" s="277"/>
      <c r="HH83" s="277"/>
      <c r="HI83" s="277"/>
      <c r="HJ83" s="277"/>
      <c r="HK83" s="277"/>
      <c r="HL83" s="277"/>
      <c r="HM83" s="277"/>
      <c r="HN83" s="277"/>
      <c r="HO83" s="277"/>
    </row>
    <row r="84" spans="1:223" s="749" customFormat="1" ht="18" customHeight="1" x14ac:dyDescent="0.3">
      <c r="A84" s="755"/>
      <c r="B84" s="805">
        <f>SUMIFS('3a Staff Plan'!$T$129:$T$305,'3a Staff Plan'!$DF$129:$DF$305,1,'3a Staff Plan'!$DA$129:$DA$305,1,'3a Staff Plan'!$J$129:$J$305,$FA84)</f>
        <v>0</v>
      </c>
      <c r="C84" s="805">
        <f>SUMIFS('3a Staff Plan'!$U$129:$U$305,'3a Staff Plan'!$DF$129:$DF$305,1,'3a Staff Plan'!$DA$129:$DA$305,1,'3a Staff Plan'!$J$129:$J$305,$FA84)</f>
        <v>0</v>
      </c>
      <c r="D84" s="805">
        <f>SUMIFS('3a Staff Plan'!$Z$129:$Z$305,'3a Staff Plan'!$DF$129:$DF$305,1,'3a Staff Plan'!$DA$129:$DA$305,1,'3a Staff Plan'!$J$129:$J$305,$FA84)</f>
        <v>0</v>
      </c>
      <c r="E84" s="805">
        <f>SUMIFS('3a Staff Plan'!$Y$129:$Y$305,'3a Staff Plan'!$DF$129:$DF$305,1,'3a Staff Plan'!$DA$129:$DA$305,1,'3a Staff Plan'!$J$129:$J$305,$FA84)</f>
        <v>0</v>
      </c>
      <c r="F84" s="805">
        <f>SUMIFS('3a Staff Plan'!$X$129:$X$305,'3a Staff Plan'!$DF$129:$DF$305,1,'3a Staff Plan'!$DA$129:$DA$305,1,'3a Staff Plan'!$AG$129:$AG$305,1,'3a Staff Plan'!$J$129:$J$305,$FA84)</f>
        <v>0</v>
      </c>
      <c r="G84" s="805">
        <f>IF($G$24=0,0,SUMIFS('3a Staff Plan'!$W$129:$W$305,'3a Staff Plan'!$DF$129:$DF$305,1,'3a Staff Plan'!$DA$129:$DA$305,1,'3a Staff Plan'!$J$129:$J$305,$FA84))</f>
        <v>0</v>
      </c>
      <c r="H84" s="795">
        <f t="shared" si="172"/>
        <v>0</v>
      </c>
      <c r="I84" s="805">
        <f>SUMIFS('3a Staff Plan'!$V$129:$V$305,'3a Staff Plan'!$DF$129:$DF$305,1,'3a Staff Plan'!$DA$129:$DA$305,1,'3a Staff Plan'!$J$129:$J$305,$FA84)</f>
        <v>0</v>
      </c>
      <c r="J84" s="805">
        <f>SUMIFS('3a Staff Plan'!$AB$129:$AB$305,'3a Staff Plan'!$DF$129:$DF$305,1,'3a Staff Plan'!$DA$129:$DA$305,1,'3a Staff Plan'!$J$129:$J$305,$FA84)</f>
        <v>0</v>
      </c>
      <c r="K84" s="805">
        <f>SUMIFS('3a Staff Plan'!$AA$129:$AA$305,'3a Staff Plan'!$DF$129:$DF$305,1,'3a Staff Plan'!$DA$129:$DA$305,1,'3a Staff Plan'!$AG$129:$AG$305,1,'3a Staff Plan'!$J$129:$J$305,$FA84)</f>
        <v>0</v>
      </c>
      <c r="L84" s="755"/>
      <c r="M84" s="805">
        <f>SUMIFS('3b Activity Plan'!$T$173:$T$365,'3b Activity Plan'!$CY$173:$CY$365,1,'3b Activity Plan'!$CT$173:$CT$365,1,'3b Activity Plan'!$J$173:$J$365,$FA84)</f>
        <v>0</v>
      </c>
      <c r="N84" s="805">
        <f>SUMIFS('3b Activity Plan'!$U$173:$U$365,'3b Activity Plan'!$CY$173:$CY$365,1,'3b Activity Plan'!$CT$173:$CT$365,1,'3b Activity Plan'!$J$173:$J$365,$FA84)</f>
        <v>0</v>
      </c>
      <c r="O84" s="805">
        <f>SUMIFS('3b Activity Plan'!$Z$173:$Z$365,'3b Activity Plan'!$CY$173:$CY$365,1,'3b Activity Plan'!$CT$173:$CT$365,1,'3b Activity Plan'!$J$173:$J$365,$FA84)</f>
        <v>0</v>
      </c>
      <c r="P84" s="805">
        <f>SUMIFS('3b Activity Plan'!$Y$173:$Y$365,'3b Activity Plan'!$CY$173:$CY$365,1,'3b Activity Plan'!$CT$173:$CT$365,1,'3b Activity Plan'!$J$173:$J$365,$FA84)</f>
        <v>0</v>
      </c>
      <c r="Q84" s="805">
        <f>SUMIFS('3b Activity Plan'!$X$173:$X$365,'3b Activity Plan'!$CY$173:$CY$365,1,'3b Activity Plan'!$CT$173:$CT$365,1,'3b Activity Plan'!$J$173:$J$365,$FA84)</f>
        <v>0</v>
      </c>
      <c r="R84" s="805">
        <f>IF($R$24=0,0,SUMIFS('3b Activity Plan'!$W$173:$W$365,'3b Activity Plan'!$CY$173:$CY$365,1,'3b Activity Plan'!$CT$173:$CT$365,1,'3b Activity Plan'!$J$173:$J$365,$FA84))</f>
        <v>0</v>
      </c>
      <c r="S84" s="795">
        <f t="shared" si="173"/>
        <v>0</v>
      </c>
      <c r="T84" s="805">
        <f>SUMIFS('3b Activity Plan'!$V$173:$V$365,'3b Activity Plan'!$CY$173:$CY$365,1,'3b Activity Plan'!$CT$173:$CT$365,1,'3b Activity Plan'!$J$173:$J$365,$FA84)</f>
        <v>0</v>
      </c>
      <c r="U84" s="805">
        <f>SUMIFS('3b Activity Plan'!$AB$173:$AB$365,'3b Activity Plan'!$CY$173:$CY$365,1,'3b Activity Plan'!$CT$173:$CT$365,1,'3b Activity Plan'!$J$173:$J$365,$FA84)</f>
        <v>0</v>
      </c>
      <c r="V84" s="805">
        <f>SUMIFS('3b Activity Plan'!$AA$173:$AA$365,'3b Activity Plan'!$CY$173:$CY$365,1,'3b Activity Plan'!$CT$173:$CT$365,1,'3b Activity Plan'!$J$173:$J$365,$FA84)</f>
        <v>0</v>
      </c>
      <c r="W84" s="755"/>
      <c r="X84" s="2641">
        <f>SUMIFS('3b Activity Plan'!$FU$173:$FU$365,'3b Activity Plan'!$J$173:$J$365,$FA84)</f>
        <v>0</v>
      </c>
      <c r="Y84" s="2641">
        <f>SUMIFS('3b Activity Plan'!$FW$173:$FW$365,'3b Activity Plan'!$J$173:$J$365,$FA84)</f>
        <v>0</v>
      </c>
      <c r="Z84" s="2639">
        <f t="shared" si="132"/>
        <v>0</v>
      </c>
      <c r="AA84" s="755"/>
      <c r="AB84" s="761">
        <f>_xlfn.MINIFS('3a Staff Plan'!$EB$129:$EB$304,'3a Staff Plan'!$DF$129:$DF$304,1,'3a Staff Plan'!$J$129:$J$304,FA84)</f>
        <v>0</v>
      </c>
      <c r="AC84" s="761">
        <f>_xlfn.MAXIFS('3a Staff Plan'!$EC$129:$EC$304,'3a Staff Plan'!$DF$129:$DF$304,1,'3a Staff Plan'!$J$129:$J$304,FA84)</f>
        <v>0</v>
      </c>
      <c r="AD84" s="755"/>
      <c r="AE84" s="761">
        <f>_xlfn.MINIFS('3b Activity Plan'!$GN$173:$GN$365,'3b Activity Plan'!$CY$173:$CY$365,1,'3b Activity Plan'!$J$173:$J$365,$FA84)</f>
        <v>0</v>
      </c>
      <c r="AF84" s="761">
        <f>_xlfn.MAXIFS('3b Activity Plan'!$GO$173:$GO$365,'3b Activity Plan'!$CY$173:$CY$365,1,'3b Activity Plan'!$J$173:$J$365,$FA84)</f>
        <v>0</v>
      </c>
      <c r="AG84" s="755"/>
      <c r="AH84" s="761">
        <f t="shared" si="174"/>
        <v>0</v>
      </c>
      <c r="AI84" s="761">
        <f t="shared" si="175"/>
        <v>0</v>
      </c>
      <c r="AJ84" s="755"/>
      <c r="AK84" s="761">
        <f t="shared" si="176"/>
        <v>0</v>
      </c>
      <c r="AL84" s="761">
        <f t="shared" si="177"/>
        <v>0</v>
      </c>
      <c r="AM84" s="776">
        <f t="shared" si="178"/>
        <v>0</v>
      </c>
      <c r="AN84" s="755"/>
      <c r="AO84" s="748">
        <f t="shared" si="179"/>
        <v>0</v>
      </c>
      <c r="AP84" s="748">
        <f t="shared" si="180"/>
        <v>0</v>
      </c>
      <c r="AQ84" s="748">
        <f t="shared" si="181"/>
        <v>0</v>
      </c>
      <c r="AR84" s="748">
        <f t="shared" si="182"/>
        <v>0</v>
      </c>
      <c r="AS84" s="748">
        <f t="shared" si="183"/>
        <v>0</v>
      </c>
      <c r="AT84" s="748">
        <f t="shared" si="184"/>
        <v>0</v>
      </c>
      <c r="AU84" s="748">
        <f t="shared" si="185"/>
        <v>0</v>
      </c>
      <c r="AV84" s="748">
        <f>IFERROR(INDEX('IPCS Data'!$R$8:$R$109,MATCH(EJ84,'IPCS Data'!$O$8:$O$109,0)),0)</f>
        <v>0</v>
      </c>
      <c r="AW84" s="755"/>
      <c r="AX84" s="499">
        <f>IFERROR(INDEX('IPCS Data'!$P$18:$P$110,MATCH(EK84,'IPCS Data'!$Q$18:$Q$110,0)),0)</f>
        <v>0</v>
      </c>
      <c r="AY84" s="1950" t="str">
        <f t="shared" si="110"/>
        <v/>
      </c>
      <c r="AZ84" s="755"/>
      <c r="BA84" s="753" t="str">
        <f>IFERROR(IF(MATCH(EJ84,'IPCS Data'!$O$8:$O$110,0)&gt;=25,"L","N"),"N")</f>
        <v>N</v>
      </c>
      <c r="BB84" s="774"/>
      <c r="BC84" s="753" t="str">
        <f t="shared" si="111"/>
        <v>N</v>
      </c>
      <c r="BD84" s="753" t="str">
        <f t="shared" si="39"/>
        <v>Non-Labor</v>
      </c>
      <c r="BE84" s="755"/>
      <c r="BF84" s="753" t="str">
        <f t="shared" si="112"/>
        <v>B23672.05</v>
      </c>
      <c r="BG84" s="753" t="str">
        <f t="shared" si="229"/>
        <v>0.0.0</v>
      </c>
      <c r="BH84" s="753">
        <f t="shared" si="187"/>
        <v>0</v>
      </c>
      <c r="BI84" s="753">
        <f t="shared" si="145"/>
        <v>0</v>
      </c>
      <c r="BJ84" s="753">
        <f t="shared" si="113"/>
        <v>0</v>
      </c>
      <c r="BK84" s="753">
        <f t="shared" si="40"/>
        <v>0</v>
      </c>
      <c r="BL84" s="753" t="b">
        <f t="shared" si="131"/>
        <v>1</v>
      </c>
      <c r="BM84" s="755"/>
      <c r="BN84" s="719">
        <f t="shared" si="188"/>
        <v>0</v>
      </c>
      <c r="BO84" s="719">
        <f t="shared" si="189"/>
        <v>110</v>
      </c>
      <c r="BP84" s="755"/>
      <c r="BQ84" s="719">
        <f>IF(AND((COUNTIFS('3a Staff Plan'!$J$129:$J$305,FA84)*$B$22)+(COUNTIFS('3b Activity Plan'!$J$173:$J$365,FA84)*$M$22)=0,FB84&gt;0),1,0)</f>
        <v>0</v>
      </c>
      <c r="BR84" s="719">
        <f t="shared" si="114"/>
        <v>0</v>
      </c>
      <c r="BS84" s="719">
        <f t="shared" si="190"/>
        <v>0</v>
      </c>
      <c r="BT84" s="719">
        <f t="shared" si="191"/>
        <v>0</v>
      </c>
      <c r="BU84" s="719">
        <f t="shared" si="192"/>
        <v>0</v>
      </c>
      <c r="BV84" s="719">
        <f t="shared" si="193"/>
        <v>0</v>
      </c>
      <c r="BW84" s="719">
        <f t="shared" si="194"/>
        <v>0</v>
      </c>
      <c r="BX84" s="719">
        <f t="shared" si="195"/>
        <v>0</v>
      </c>
      <c r="BY84" s="719">
        <f t="shared" si="196"/>
        <v>0</v>
      </c>
      <c r="BZ84" s="719">
        <f t="shared" si="115"/>
        <v>0</v>
      </c>
      <c r="CA84" s="719">
        <f t="shared" si="116"/>
        <v>0</v>
      </c>
      <c r="CB84" s="719">
        <f t="shared" si="197"/>
        <v>0</v>
      </c>
      <c r="CC84" s="719"/>
      <c r="CD84" s="719"/>
      <c r="CE84" s="719">
        <f t="shared" si="198"/>
        <v>0</v>
      </c>
      <c r="CF84" s="719">
        <f t="shared" si="117"/>
        <v>0</v>
      </c>
      <c r="CG84" s="719">
        <f t="shared" si="118"/>
        <v>0</v>
      </c>
      <c r="CH84" s="719">
        <f t="shared" si="119"/>
        <v>0</v>
      </c>
      <c r="CI84" s="719">
        <f t="shared" si="120"/>
        <v>0</v>
      </c>
      <c r="CJ84" s="719">
        <f t="shared" si="121"/>
        <v>0</v>
      </c>
      <c r="CK84" s="719">
        <f t="shared" si="122"/>
        <v>0</v>
      </c>
      <c r="CL84" s="719">
        <f t="shared" si="123"/>
        <v>0</v>
      </c>
      <c r="CM84" s="719">
        <f t="shared" si="124"/>
        <v>0</v>
      </c>
      <c r="CN84" s="719">
        <f t="shared" si="125"/>
        <v>0</v>
      </c>
      <c r="CO84" s="719">
        <f t="shared" si="42"/>
        <v>0</v>
      </c>
      <c r="CP84" s="719">
        <f t="shared" ref="CP84:CP94" si="235">IF(FB84&gt;0,1,0)</f>
        <v>0</v>
      </c>
      <c r="CQ84" s="719">
        <f t="shared" si="126"/>
        <v>51</v>
      </c>
      <c r="CR84" s="719">
        <f t="shared" si="127"/>
        <v>0</v>
      </c>
      <c r="CS84" s="2526"/>
      <c r="CT84" s="2527">
        <f t="shared" si="128"/>
        <v>56</v>
      </c>
      <c r="CU84" s="2527">
        <f t="shared" si="146"/>
        <v>0</v>
      </c>
      <c r="CV84" s="2527">
        <f t="shared" si="147"/>
        <v>0</v>
      </c>
      <c r="CW84" s="2527">
        <f t="shared" si="43"/>
        <v>0</v>
      </c>
      <c r="CX84" s="755"/>
      <c r="CY84" s="2537"/>
      <c r="CZ84" s="499">
        <f t="shared" si="169"/>
        <v>0</v>
      </c>
      <c r="DA84" s="1107">
        <f t="shared" si="170"/>
        <v>0</v>
      </c>
      <c r="DB84" s="2537"/>
      <c r="DC84" s="499">
        <f t="shared" si="200"/>
        <v>0</v>
      </c>
      <c r="DD84" s="1107">
        <f t="shared" si="201"/>
        <v>0</v>
      </c>
      <c r="DE84" s="2537"/>
      <c r="DF84" s="499">
        <f t="shared" si="202"/>
        <v>0</v>
      </c>
      <c r="DG84" s="1107">
        <f t="shared" si="203"/>
        <v>0</v>
      </c>
      <c r="DH84" s="2537"/>
      <c r="DI84" s="499">
        <f t="shared" si="204"/>
        <v>0</v>
      </c>
      <c r="DJ84" s="1107">
        <f t="shared" si="205"/>
        <v>0</v>
      </c>
      <c r="DK84" s="2537"/>
      <c r="DL84" s="499">
        <f t="shared" si="206"/>
        <v>0</v>
      </c>
      <c r="DM84" s="1107">
        <f t="shared" si="207"/>
        <v>0</v>
      </c>
      <c r="DN84" s="2537"/>
      <c r="DO84" s="499">
        <f t="shared" si="208"/>
        <v>0</v>
      </c>
      <c r="DP84" s="1107">
        <f t="shared" si="209"/>
        <v>0</v>
      </c>
      <c r="DQ84" s="2537"/>
      <c r="DR84" s="2559"/>
      <c r="DS84" s="499">
        <f t="shared" si="148"/>
        <v>0</v>
      </c>
      <c r="DT84" s="1106">
        <f t="shared" si="149"/>
        <v>0</v>
      </c>
      <c r="DU84" s="2537"/>
      <c r="DV84" s="2559"/>
      <c r="DW84" s="2312">
        <f t="shared" si="150"/>
        <v>0</v>
      </c>
      <c r="DX84" s="1106">
        <f t="shared" si="151"/>
        <v>0</v>
      </c>
      <c r="DY84" s="2572"/>
      <c r="DZ84" s="2537"/>
      <c r="EA84" s="2537"/>
      <c r="EB84" s="2577" t="str">
        <f t="shared" si="210"/>
        <v>05</v>
      </c>
      <c r="EC84" s="2570"/>
      <c r="ED84" s="436">
        <f>IFERROR(INDEX('IPCS Data'!$H$8:$H$30,MATCH(EE84,'IPCS Data'!$I$8:$I$30,0)),0)</f>
        <v>0</v>
      </c>
      <c r="EE84" s="437"/>
      <c r="EF84" s="2570"/>
      <c r="EG84" s="499">
        <f>IFERROR(INDEX('IPCS Data'!$L$8:$L$27,MATCH(EH84,'IPCS Data'!$M$8:$M$27,0)),0)</f>
        <v>0</v>
      </c>
      <c r="EH84" s="437"/>
      <c r="EI84" s="2578" t="s">
        <v>5</v>
      </c>
      <c r="EJ84" s="748">
        <f>IFERROR(INDEX('IPCS Data'!$O$8:$O$110,MATCH(EK84,'IPCS Data'!$Q$8:$Q$110,0)),0)</f>
        <v>0</v>
      </c>
      <c r="EK84" s="437"/>
      <c r="EL84" s="2578"/>
      <c r="EM84" s="840">
        <f t="shared" si="230"/>
        <v>0</v>
      </c>
      <c r="EN84" s="841"/>
      <c r="EO84" s="2537"/>
      <c r="EP84" s="842">
        <f t="shared" si="231"/>
        <v>0</v>
      </c>
      <c r="EQ84" s="843"/>
      <c r="ER84" s="2537"/>
      <c r="ES84" s="840">
        <f t="shared" si="232"/>
        <v>0</v>
      </c>
      <c r="ET84" s="843"/>
      <c r="EU84" s="2537"/>
      <c r="EV84" s="1497"/>
      <c r="EW84" s="1683"/>
      <c r="EX84" s="2562">
        <f t="shared" si="211"/>
        <v>51</v>
      </c>
      <c r="EY84" s="2533"/>
      <c r="EZ84" s="2561"/>
      <c r="FA84" s="1324">
        <f t="shared" si="152"/>
        <v>0</v>
      </c>
      <c r="FB84" s="2629">
        <f t="shared" si="212"/>
        <v>0</v>
      </c>
      <c r="FC84" s="274"/>
      <c r="FD84" s="2626">
        <f t="shared" si="153"/>
        <v>0</v>
      </c>
      <c r="FE84" s="2626">
        <f t="shared" si="154"/>
        <v>0</v>
      </c>
      <c r="FF84" s="274"/>
      <c r="FG84" s="2616">
        <f t="shared" si="213"/>
        <v>0</v>
      </c>
      <c r="FH84" s="2616">
        <f t="shared" si="214"/>
        <v>0</v>
      </c>
      <c r="FI84" s="2616">
        <f t="shared" si="215"/>
        <v>0</v>
      </c>
      <c r="FJ84" s="2610" t="s">
        <v>5</v>
      </c>
      <c r="FK84" s="2616">
        <f t="shared" si="216"/>
        <v>0</v>
      </c>
      <c r="FL84" s="2616">
        <f t="shared" si="217"/>
        <v>0</v>
      </c>
      <c r="FM84" s="2616">
        <f t="shared" si="218"/>
        <v>0</v>
      </c>
      <c r="FN84" s="2622">
        <f t="shared" si="219"/>
        <v>0</v>
      </c>
      <c r="FO84" s="2615">
        <f t="shared" si="220"/>
        <v>0</v>
      </c>
      <c r="FP84" s="2624">
        <f t="shared" si="221"/>
        <v>0</v>
      </c>
      <c r="FQ84" s="2622">
        <f t="shared" si="222"/>
        <v>0</v>
      </c>
      <c r="FR84" s="2624">
        <f t="shared" si="223"/>
        <v>0</v>
      </c>
      <c r="FS84" s="2611" t="s">
        <v>5</v>
      </c>
      <c r="FT84" s="2616">
        <f t="shared" si="224"/>
        <v>0</v>
      </c>
      <c r="FU84" s="2622">
        <f t="shared" si="129"/>
        <v>0</v>
      </c>
      <c r="FV84" s="2616">
        <f t="shared" si="225"/>
        <v>0</v>
      </c>
      <c r="FW84" s="2612" t="s">
        <v>5</v>
      </c>
      <c r="FX84" s="2616">
        <f t="shared" si="171"/>
        <v>0</v>
      </c>
      <c r="FY84" s="2616">
        <f t="shared" si="226"/>
        <v>0</v>
      </c>
      <c r="FZ84" s="2613" t="s">
        <v>5</v>
      </c>
      <c r="GA84" s="2616">
        <f t="shared" si="48"/>
        <v>0</v>
      </c>
      <c r="GB84" s="2619">
        <f t="shared" ref="GB84:GB94" si="236">IFERROR(GA84/FY84,0)</f>
        <v>0</v>
      </c>
      <c r="GC84" s="2620">
        <f t="shared" si="228"/>
        <v>0</v>
      </c>
      <c r="GD84" s="2614"/>
      <c r="GE84" s="3195">
        <f t="shared" si="143"/>
        <v>0</v>
      </c>
      <c r="GF84" s="3195">
        <f t="shared" si="144"/>
        <v>0</v>
      </c>
      <c r="GG84" s="3193" t="str">
        <f t="shared" si="18"/>
        <v>X</v>
      </c>
      <c r="GH84" s="2531"/>
      <c r="GI84" s="3189" t="str">
        <f t="shared" si="155"/>
        <v/>
      </c>
      <c r="GJ84" s="2598"/>
      <c r="GK84" s="3173">
        <f t="shared" si="156"/>
        <v>0</v>
      </c>
      <c r="GL84" s="3173">
        <f t="shared" si="157"/>
        <v>0</v>
      </c>
      <c r="GM84" s="3173">
        <f t="shared" si="158"/>
        <v>0</v>
      </c>
      <c r="GN84" s="3174">
        <f t="shared" si="159"/>
        <v>0</v>
      </c>
      <c r="GO84" s="3174">
        <f t="shared" si="160"/>
        <v>0</v>
      </c>
      <c r="GP84" s="3175">
        <f t="shared" si="161"/>
        <v>0</v>
      </c>
      <c r="GQ84" s="3176">
        <f t="shared" si="162"/>
        <v>0</v>
      </c>
      <c r="GR84" s="3177">
        <f t="shared" si="163"/>
        <v>0</v>
      </c>
      <c r="GS84" s="3177">
        <f t="shared" si="164"/>
        <v>0</v>
      </c>
      <c r="GT84" s="3178">
        <f t="shared" si="165"/>
        <v>0</v>
      </c>
      <c r="GU84" s="3179"/>
      <c r="GV84" s="3178">
        <f t="shared" si="166"/>
        <v>0</v>
      </c>
      <c r="GW84" s="3177">
        <f t="shared" si="167"/>
        <v>0</v>
      </c>
      <c r="GX84" s="3180"/>
      <c r="GY84" s="3177">
        <f t="shared" si="168"/>
        <v>0</v>
      </c>
      <c r="GZ84" s="2593"/>
      <c r="HA84" s="277"/>
      <c r="HB84" s="277"/>
      <c r="HC84" s="277"/>
      <c r="HD84" s="277"/>
      <c r="HE84" s="277"/>
      <c r="HF84" s="277"/>
      <c r="HG84" s="277"/>
      <c r="HH84" s="277"/>
      <c r="HI84" s="277"/>
      <c r="HJ84" s="277"/>
      <c r="HK84" s="277"/>
      <c r="HL84" s="277"/>
      <c r="HM84" s="277"/>
      <c r="HN84" s="277"/>
      <c r="HO84" s="277"/>
    </row>
    <row r="85" spans="1:223" s="749" customFormat="1" ht="18" customHeight="1" x14ac:dyDescent="0.3">
      <c r="A85" s="755"/>
      <c r="B85" s="805">
        <f>SUMIFS('3a Staff Plan'!$T$129:$T$305,'3a Staff Plan'!$DF$129:$DF$305,1,'3a Staff Plan'!$DA$129:$DA$305,1,'3a Staff Plan'!$J$129:$J$305,$FA85)</f>
        <v>0</v>
      </c>
      <c r="C85" s="805">
        <f>SUMIFS('3a Staff Plan'!$U$129:$U$305,'3a Staff Plan'!$DF$129:$DF$305,1,'3a Staff Plan'!$DA$129:$DA$305,1,'3a Staff Plan'!$J$129:$J$305,$FA85)</f>
        <v>0</v>
      </c>
      <c r="D85" s="805">
        <f>SUMIFS('3a Staff Plan'!$Z$129:$Z$305,'3a Staff Plan'!$DF$129:$DF$305,1,'3a Staff Plan'!$DA$129:$DA$305,1,'3a Staff Plan'!$J$129:$J$305,$FA85)</f>
        <v>0</v>
      </c>
      <c r="E85" s="805">
        <f>SUMIFS('3a Staff Plan'!$Y$129:$Y$305,'3a Staff Plan'!$DF$129:$DF$305,1,'3a Staff Plan'!$DA$129:$DA$305,1,'3a Staff Plan'!$J$129:$J$305,$FA85)</f>
        <v>0</v>
      </c>
      <c r="F85" s="805">
        <f>SUMIFS('3a Staff Plan'!$X$129:$X$305,'3a Staff Plan'!$DF$129:$DF$305,1,'3a Staff Plan'!$DA$129:$DA$305,1,'3a Staff Plan'!$AG$129:$AG$305,1,'3a Staff Plan'!$J$129:$J$305,$FA85)</f>
        <v>0</v>
      </c>
      <c r="G85" s="805">
        <f>IF($G$24=0,0,SUMIFS('3a Staff Plan'!$W$129:$W$305,'3a Staff Plan'!$DF$129:$DF$305,1,'3a Staff Plan'!$DA$129:$DA$305,1,'3a Staff Plan'!$J$129:$J$305,$FA85))</f>
        <v>0</v>
      </c>
      <c r="H85" s="795">
        <f t="shared" si="172"/>
        <v>0</v>
      </c>
      <c r="I85" s="805">
        <f>SUMIFS('3a Staff Plan'!$V$129:$V$305,'3a Staff Plan'!$DF$129:$DF$305,1,'3a Staff Plan'!$DA$129:$DA$305,1,'3a Staff Plan'!$J$129:$J$305,$FA85)</f>
        <v>0</v>
      </c>
      <c r="J85" s="805">
        <f>SUMIFS('3a Staff Plan'!$AB$129:$AB$305,'3a Staff Plan'!$DF$129:$DF$305,1,'3a Staff Plan'!$DA$129:$DA$305,1,'3a Staff Plan'!$J$129:$J$305,$FA85)</f>
        <v>0</v>
      </c>
      <c r="K85" s="805">
        <f>SUMIFS('3a Staff Plan'!$AA$129:$AA$305,'3a Staff Plan'!$DF$129:$DF$305,1,'3a Staff Plan'!$DA$129:$DA$305,1,'3a Staff Plan'!$AG$129:$AG$305,1,'3a Staff Plan'!$J$129:$J$305,$FA85)</f>
        <v>0</v>
      </c>
      <c r="L85" s="755"/>
      <c r="M85" s="805">
        <f>SUMIFS('3b Activity Plan'!$T$173:$T$365,'3b Activity Plan'!$CY$173:$CY$365,1,'3b Activity Plan'!$CT$173:$CT$365,1,'3b Activity Plan'!$J$173:$J$365,$FA85)</f>
        <v>0</v>
      </c>
      <c r="N85" s="805">
        <f>SUMIFS('3b Activity Plan'!$U$173:$U$365,'3b Activity Plan'!$CY$173:$CY$365,1,'3b Activity Plan'!$CT$173:$CT$365,1,'3b Activity Plan'!$J$173:$J$365,$FA85)</f>
        <v>0</v>
      </c>
      <c r="O85" s="805">
        <f>SUMIFS('3b Activity Plan'!$Z$173:$Z$365,'3b Activity Plan'!$CY$173:$CY$365,1,'3b Activity Plan'!$CT$173:$CT$365,1,'3b Activity Plan'!$J$173:$J$365,$FA85)</f>
        <v>0</v>
      </c>
      <c r="P85" s="805">
        <f>SUMIFS('3b Activity Plan'!$Y$173:$Y$365,'3b Activity Plan'!$CY$173:$CY$365,1,'3b Activity Plan'!$CT$173:$CT$365,1,'3b Activity Plan'!$J$173:$J$365,$FA85)</f>
        <v>0</v>
      </c>
      <c r="Q85" s="805">
        <f>SUMIFS('3b Activity Plan'!$X$173:$X$365,'3b Activity Plan'!$CY$173:$CY$365,1,'3b Activity Plan'!$CT$173:$CT$365,1,'3b Activity Plan'!$J$173:$J$365,$FA85)</f>
        <v>0</v>
      </c>
      <c r="R85" s="805">
        <f>IF($R$24=0,0,SUMIFS('3b Activity Plan'!$W$173:$W$365,'3b Activity Plan'!$CY$173:$CY$365,1,'3b Activity Plan'!$CT$173:$CT$365,1,'3b Activity Plan'!$J$173:$J$365,$FA85))</f>
        <v>0</v>
      </c>
      <c r="S85" s="795">
        <f t="shared" si="173"/>
        <v>0</v>
      </c>
      <c r="T85" s="805">
        <f>SUMIFS('3b Activity Plan'!$V$173:$V$365,'3b Activity Plan'!$CY$173:$CY$365,1,'3b Activity Plan'!$CT$173:$CT$365,1,'3b Activity Plan'!$J$173:$J$365,$FA85)</f>
        <v>0</v>
      </c>
      <c r="U85" s="805">
        <f>SUMIFS('3b Activity Plan'!$AB$173:$AB$365,'3b Activity Plan'!$CY$173:$CY$365,1,'3b Activity Plan'!$CT$173:$CT$365,1,'3b Activity Plan'!$J$173:$J$365,$FA85)</f>
        <v>0</v>
      </c>
      <c r="V85" s="805">
        <f>SUMIFS('3b Activity Plan'!$AA$173:$AA$365,'3b Activity Plan'!$CY$173:$CY$365,1,'3b Activity Plan'!$CT$173:$CT$365,1,'3b Activity Plan'!$J$173:$J$365,$FA85)</f>
        <v>0</v>
      </c>
      <c r="W85" s="755"/>
      <c r="X85" s="2641">
        <f>SUMIFS('3b Activity Plan'!$FU$173:$FU$365,'3b Activity Plan'!$J$173:$J$365,$FA85)</f>
        <v>0</v>
      </c>
      <c r="Y85" s="2641">
        <f>SUMIFS('3b Activity Plan'!$FW$173:$FW$365,'3b Activity Plan'!$J$173:$J$365,$FA85)</f>
        <v>0</v>
      </c>
      <c r="Z85" s="2639">
        <f t="shared" si="132"/>
        <v>0</v>
      </c>
      <c r="AA85" s="755"/>
      <c r="AB85" s="761">
        <f>_xlfn.MINIFS('3a Staff Plan'!$EB$129:$EB$304,'3a Staff Plan'!$DF$129:$DF$304,1,'3a Staff Plan'!$J$129:$J$304,FA85)</f>
        <v>0</v>
      </c>
      <c r="AC85" s="761">
        <f>_xlfn.MAXIFS('3a Staff Plan'!$EC$129:$EC$304,'3a Staff Plan'!$DF$129:$DF$304,1,'3a Staff Plan'!$J$129:$J$304,FA85)</f>
        <v>0</v>
      </c>
      <c r="AD85" s="755"/>
      <c r="AE85" s="761">
        <f>_xlfn.MINIFS('3b Activity Plan'!$GN$173:$GN$365,'3b Activity Plan'!$CY$173:$CY$365,1,'3b Activity Plan'!$J$173:$J$365,$FA85)</f>
        <v>0</v>
      </c>
      <c r="AF85" s="761">
        <f>_xlfn.MAXIFS('3b Activity Plan'!$GO$173:$GO$365,'3b Activity Plan'!$CY$173:$CY$365,1,'3b Activity Plan'!$J$173:$J$365,$FA85)</f>
        <v>0</v>
      </c>
      <c r="AG85" s="755"/>
      <c r="AH85" s="761">
        <f t="shared" si="174"/>
        <v>0</v>
      </c>
      <c r="AI85" s="761">
        <f t="shared" si="175"/>
        <v>0</v>
      </c>
      <c r="AJ85" s="755"/>
      <c r="AK85" s="761">
        <f t="shared" si="176"/>
        <v>0</v>
      </c>
      <c r="AL85" s="761">
        <f t="shared" si="177"/>
        <v>0</v>
      </c>
      <c r="AM85" s="776">
        <f t="shared" si="178"/>
        <v>0</v>
      </c>
      <c r="AN85" s="755"/>
      <c r="AO85" s="748">
        <f t="shared" si="179"/>
        <v>0</v>
      </c>
      <c r="AP85" s="748">
        <f t="shared" si="180"/>
        <v>0</v>
      </c>
      <c r="AQ85" s="748">
        <f t="shared" si="181"/>
        <v>0</v>
      </c>
      <c r="AR85" s="748">
        <f t="shared" si="182"/>
        <v>0</v>
      </c>
      <c r="AS85" s="748">
        <f t="shared" si="183"/>
        <v>0</v>
      </c>
      <c r="AT85" s="748">
        <f t="shared" si="184"/>
        <v>0</v>
      </c>
      <c r="AU85" s="748">
        <f t="shared" si="185"/>
        <v>0</v>
      </c>
      <c r="AV85" s="748">
        <f>IFERROR(INDEX('IPCS Data'!$R$8:$R$109,MATCH(EJ85,'IPCS Data'!$O$8:$O$109,0)),0)</f>
        <v>0</v>
      </c>
      <c r="AW85" s="755"/>
      <c r="AX85" s="499">
        <f>IFERROR(INDEX('IPCS Data'!$P$18:$P$110,MATCH(EK85,'IPCS Data'!$Q$18:$Q$110,0)),0)</f>
        <v>0</v>
      </c>
      <c r="AY85" s="1950" t="str">
        <f t="shared" si="110"/>
        <v/>
      </c>
      <c r="AZ85" s="755"/>
      <c r="BA85" s="753" t="str">
        <f>IFERROR(IF(MATCH(EJ85,'IPCS Data'!$O$8:$O$110,0)&gt;=25,"L","N"),"N")</f>
        <v>N</v>
      </c>
      <c r="BB85" s="774"/>
      <c r="BC85" s="753" t="str">
        <f t="shared" si="111"/>
        <v>N</v>
      </c>
      <c r="BD85" s="753" t="str">
        <f t="shared" si="39"/>
        <v>Non-Labor</v>
      </c>
      <c r="BE85" s="755"/>
      <c r="BF85" s="753" t="str">
        <f t="shared" si="112"/>
        <v>B23672.05</v>
      </c>
      <c r="BG85" s="753" t="str">
        <f t="shared" si="229"/>
        <v>0.0.0</v>
      </c>
      <c r="BH85" s="753">
        <f t="shared" si="187"/>
        <v>0</v>
      </c>
      <c r="BI85" s="753">
        <f t="shared" si="145"/>
        <v>0</v>
      </c>
      <c r="BJ85" s="753">
        <f t="shared" si="113"/>
        <v>0</v>
      </c>
      <c r="BK85" s="753">
        <f t="shared" si="40"/>
        <v>0</v>
      </c>
      <c r="BL85" s="753" t="b">
        <f t="shared" si="131"/>
        <v>1</v>
      </c>
      <c r="BM85" s="755"/>
      <c r="BN85" s="719">
        <f t="shared" si="188"/>
        <v>0</v>
      </c>
      <c r="BO85" s="719">
        <f t="shared" si="189"/>
        <v>110</v>
      </c>
      <c r="BP85" s="755"/>
      <c r="BQ85" s="719">
        <f>IF(AND((COUNTIFS('3a Staff Plan'!$J$129:$J$305,FA85)*$B$22)+(COUNTIFS('3b Activity Plan'!$J$173:$J$365,FA85)*$M$22)=0,FB85&gt;0),1,0)</f>
        <v>0</v>
      </c>
      <c r="BR85" s="719">
        <f t="shared" si="114"/>
        <v>0</v>
      </c>
      <c r="BS85" s="719">
        <f t="shared" si="190"/>
        <v>0</v>
      </c>
      <c r="BT85" s="719">
        <f t="shared" si="191"/>
        <v>0</v>
      </c>
      <c r="BU85" s="719">
        <f t="shared" si="192"/>
        <v>0</v>
      </c>
      <c r="BV85" s="719">
        <f t="shared" si="193"/>
        <v>0</v>
      </c>
      <c r="BW85" s="719">
        <f t="shared" si="194"/>
        <v>0</v>
      </c>
      <c r="BX85" s="719">
        <f t="shared" si="195"/>
        <v>0</v>
      </c>
      <c r="BY85" s="719">
        <f t="shared" si="196"/>
        <v>0</v>
      </c>
      <c r="BZ85" s="719">
        <f t="shared" si="115"/>
        <v>0</v>
      </c>
      <c r="CA85" s="719">
        <f t="shared" si="116"/>
        <v>0</v>
      </c>
      <c r="CB85" s="719">
        <f t="shared" si="197"/>
        <v>0</v>
      </c>
      <c r="CC85" s="719"/>
      <c r="CD85" s="719"/>
      <c r="CE85" s="719">
        <f t="shared" si="198"/>
        <v>0</v>
      </c>
      <c r="CF85" s="719">
        <f t="shared" si="117"/>
        <v>0</v>
      </c>
      <c r="CG85" s="719">
        <f t="shared" si="118"/>
        <v>0</v>
      </c>
      <c r="CH85" s="719">
        <f t="shared" si="119"/>
        <v>0</v>
      </c>
      <c r="CI85" s="719">
        <f t="shared" si="120"/>
        <v>0</v>
      </c>
      <c r="CJ85" s="719">
        <f t="shared" si="121"/>
        <v>0</v>
      </c>
      <c r="CK85" s="719">
        <f t="shared" si="122"/>
        <v>0</v>
      </c>
      <c r="CL85" s="719">
        <f t="shared" si="123"/>
        <v>0</v>
      </c>
      <c r="CM85" s="719">
        <f t="shared" si="124"/>
        <v>0</v>
      </c>
      <c r="CN85" s="719">
        <f t="shared" si="125"/>
        <v>0</v>
      </c>
      <c r="CO85" s="719">
        <f t="shared" si="42"/>
        <v>0</v>
      </c>
      <c r="CP85" s="719">
        <f t="shared" si="235"/>
        <v>0</v>
      </c>
      <c r="CQ85" s="719">
        <f t="shared" si="126"/>
        <v>52</v>
      </c>
      <c r="CR85" s="719">
        <f t="shared" si="127"/>
        <v>0</v>
      </c>
      <c r="CS85" s="2526"/>
      <c r="CT85" s="2527">
        <f t="shared" si="128"/>
        <v>57</v>
      </c>
      <c r="CU85" s="2527">
        <f t="shared" si="146"/>
        <v>0</v>
      </c>
      <c r="CV85" s="2527">
        <f t="shared" si="147"/>
        <v>0</v>
      </c>
      <c r="CW85" s="2527">
        <f t="shared" si="43"/>
        <v>0</v>
      </c>
      <c r="CX85" s="755"/>
      <c r="CY85" s="2537"/>
      <c r="CZ85" s="499">
        <f t="shared" si="169"/>
        <v>0</v>
      </c>
      <c r="DA85" s="1107">
        <f t="shared" si="170"/>
        <v>0</v>
      </c>
      <c r="DB85" s="2537"/>
      <c r="DC85" s="499">
        <f t="shared" si="200"/>
        <v>0</v>
      </c>
      <c r="DD85" s="1107">
        <f t="shared" si="201"/>
        <v>0</v>
      </c>
      <c r="DE85" s="2537"/>
      <c r="DF85" s="499">
        <f t="shared" si="202"/>
        <v>0</v>
      </c>
      <c r="DG85" s="1107">
        <f t="shared" si="203"/>
        <v>0</v>
      </c>
      <c r="DH85" s="2537"/>
      <c r="DI85" s="499">
        <f t="shared" si="204"/>
        <v>0</v>
      </c>
      <c r="DJ85" s="1107">
        <f t="shared" si="205"/>
        <v>0</v>
      </c>
      <c r="DK85" s="2537"/>
      <c r="DL85" s="499">
        <f t="shared" si="206"/>
        <v>0</v>
      </c>
      <c r="DM85" s="1107">
        <f t="shared" si="207"/>
        <v>0</v>
      </c>
      <c r="DN85" s="2537"/>
      <c r="DO85" s="499">
        <f t="shared" si="208"/>
        <v>0</v>
      </c>
      <c r="DP85" s="1107">
        <f t="shared" si="209"/>
        <v>0</v>
      </c>
      <c r="DQ85" s="2537"/>
      <c r="DR85" s="2559"/>
      <c r="DS85" s="499">
        <f t="shared" si="148"/>
        <v>0</v>
      </c>
      <c r="DT85" s="1106">
        <f t="shared" si="149"/>
        <v>0</v>
      </c>
      <c r="DU85" s="2537"/>
      <c r="DV85" s="2559"/>
      <c r="DW85" s="2312">
        <f t="shared" si="150"/>
        <v>0</v>
      </c>
      <c r="DX85" s="1106">
        <f t="shared" si="151"/>
        <v>0</v>
      </c>
      <c r="DY85" s="2572"/>
      <c r="DZ85" s="2537"/>
      <c r="EA85" s="2537"/>
      <c r="EB85" s="2577" t="str">
        <f t="shared" si="210"/>
        <v>05</v>
      </c>
      <c r="EC85" s="2570"/>
      <c r="ED85" s="436">
        <f>IFERROR(INDEX('IPCS Data'!$H$8:$H$30,MATCH(EE85,'IPCS Data'!$I$8:$I$30,0)),0)</f>
        <v>0</v>
      </c>
      <c r="EE85" s="437"/>
      <c r="EF85" s="2570"/>
      <c r="EG85" s="499">
        <f>IFERROR(INDEX('IPCS Data'!$L$8:$L$27,MATCH(EH85,'IPCS Data'!$M$8:$M$27,0)),0)</f>
        <v>0</v>
      </c>
      <c r="EH85" s="437"/>
      <c r="EI85" s="2578" t="s">
        <v>5</v>
      </c>
      <c r="EJ85" s="748">
        <f>IFERROR(INDEX('IPCS Data'!$O$8:$O$110,MATCH(EK85,'IPCS Data'!$Q$8:$Q$110,0)),0)</f>
        <v>0</v>
      </c>
      <c r="EK85" s="437"/>
      <c r="EL85" s="2578"/>
      <c r="EM85" s="840">
        <f t="shared" si="230"/>
        <v>0</v>
      </c>
      <c r="EN85" s="841"/>
      <c r="EO85" s="2537"/>
      <c r="EP85" s="842">
        <f t="shared" si="231"/>
        <v>0</v>
      </c>
      <c r="EQ85" s="843"/>
      <c r="ER85" s="2537"/>
      <c r="ES85" s="840">
        <f t="shared" si="232"/>
        <v>0</v>
      </c>
      <c r="ET85" s="843"/>
      <c r="EU85" s="2537"/>
      <c r="EV85" s="1497"/>
      <c r="EW85" s="1683"/>
      <c r="EX85" s="2562">
        <f t="shared" si="211"/>
        <v>52</v>
      </c>
      <c r="EY85" s="2533"/>
      <c r="EZ85" s="2561"/>
      <c r="FA85" s="1324">
        <f t="shared" si="152"/>
        <v>0</v>
      </c>
      <c r="FB85" s="2629">
        <f t="shared" si="212"/>
        <v>0</v>
      </c>
      <c r="FC85" s="274"/>
      <c r="FD85" s="2626">
        <f t="shared" si="153"/>
        <v>0</v>
      </c>
      <c r="FE85" s="2626">
        <f t="shared" si="154"/>
        <v>0</v>
      </c>
      <c r="FF85" s="274"/>
      <c r="FG85" s="2616">
        <f t="shared" si="213"/>
        <v>0</v>
      </c>
      <c r="FH85" s="2616">
        <f t="shared" si="214"/>
        <v>0</v>
      </c>
      <c r="FI85" s="2616">
        <f t="shared" si="215"/>
        <v>0</v>
      </c>
      <c r="FJ85" s="2610" t="s">
        <v>5</v>
      </c>
      <c r="FK85" s="2616">
        <f t="shared" si="216"/>
        <v>0</v>
      </c>
      <c r="FL85" s="2616">
        <f t="shared" si="217"/>
        <v>0</v>
      </c>
      <c r="FM85" s="2616">
        <f t="shared" si="218"/>
        <v>0</v>
      </c>
      <c r="FN85" s="2622">
        <f t="shared" si="219"/>
        <v>0</v>
      </c>
      <c r="FO85" s="2615">
        <f t="shared" si="220"/>
        <v>0</v>
      </c>
      <c r="FP85" s="2624">
        <f t="shared" si="221"/>
        <v>0</v>
      </c>
      <c r="FQ85" s="2622">
        <f t="shared" si="222"/>
        <v>0</v>
      </c>
      <c r="FR85" s="2624">
        <f t="shared" si="223"/>
        <v>0</v>
      </c>
      <c r="FS85" s="2611" t="s">
        <v>5</v>
      </c>
      <c r="FT85" s="2616">
        <f t="shared" si="224"/>
        <v>0</v>
      </c>
      <c r="FU85" s="2622">
        <f t="shared" si="129"/>
        <v>0</v>
      </c>
      <c r="FV85" s="2616">
        <f t="shared" si="225"/>
        <v>0</v>
      </c>
      <c r="FW85" s="2612" t="s">
        <v>5</v>
      </c>
      <c r="FX85" s="2616">
        <f t="shared" si="171"/>
        <v>0</v>
      </c>
      <c r="FY85" s="2616">
        <f t="shared" si="226"/>
        <v>0</v>
      </c>
      <c r="FZ85" s="2613" t="s">
        <v>5</v>
      </c>
      <c r="GA85" s="2616">
        <f t="shared" si="48"/>
        <v>0</v>
      </c>
      <c r="GB85" s="2619">
        <f t="shared" si="236"/>
        <v>0</v>
      </c>
      <c r="GC85" s="2620">
        <f t="shared" si="228"/>
        <v>0</v>
      </c>
      <c r="GD85" s="2614"/>
      <c r="GE85" s="3195">
        <f t="shared" si="143"/>
        <v>0</v>
      </c>
      <c r="GF85" s="3195">
        <f t="shared" si="144"/>
        <v>0</v>
      </c>
      <c r="GG85" s="3193" t="str">
        <f t="shared" si="18"/>
        <v>X</v>
      </c>
      <c r="GH85" s="2531"/>
      <c r="GI85" s="3189" t="str">
        <f t="shared" si="155"/>
        <v/>
      </c>
      <c r="GJ85" s="2598"/>
      <c r="GK85" s="3173">
        <f t="shared" si="156"/>
        <v>0</v>
      </c>
      <c r="GL85" s="3173">
        <f t="shared" si="157"/>
        <v>0</v>
      </c>
      <c r="GM85" s="3173">
        <f t="shared" si="158"/>
        <v>0</v>
      </c>
      <c r="GN85" s="3174">
        <f t="shared" si="159"/>
        <v>0</v>
      </c>
      <c r="GO85" s="3174">
        <f t="shared" si="160"/>
        <v>0</v>
      </c>
      <c r="GP85" s="3175">
        <f t="shared" si="161"/>
        <v>0</v>
      </c>
      <c r="GQ85" s="3176">
        <f t="shared" si="162"/>
        <v>0</v>
      </c>
      <c r="GR85" s="3177">
        <f t="shared" si="163"/>
        <v>0</v>
      </c>
      <c r="GS85" s="3177">
        <f t="shared" si="164"/>
        <v>0</v>
      </c>
      <c r="GT85" s="3178">
        <f t="shared" si="165"/>
        <v>0</v>
      </c>
      <c r="GU85" s="3179"/>
      <c r="GV85" s="3178">
        <f t="shared" si="166"/>
        <v>0</v>
      </c>
      <c r="GW85" s="3177">
        <f t="shared" si="167"/>
        <v>0</v>
      </c>
      <c r="GX85" s="3180"/>
      <c r="GY85" s="3177">
        <f t="shared" si="168"/>
        <v>0</v>
      </c>
      <c r="GZ85" s="2593"/>
      <c r="HA85" s="277"/>
      <c r="HB85" s="277"/>
      <c r="HC85" s="277"/>
      <c r="HD85" s="277"/>
      <c r="HE85" s="277"/>
      <c r="HF85" s="277"/>
      <c r="HG85" s="277"/>
      <c r="HH85" s="277"/>
      <c r="HI85" s="277"/>
      <c r="HJ85" s="277"/>
      <c r="HK85" s="277"/>
      <c r="HL85" s="277"/>
      <c r="HM85" s="277"/>
      <c r="HN85" s="277"/>
      <c r="HO85" s="277"/>
    </row>
    <row r="86" spans="1:223" s="749" customFormat="1" ht="18" customHeight="1" x14ac:dyDescent="0.3">
      <c r="A86" s="755"/>
      <c r="B86" s="805">
        <f>SUMIFS('3a Staff Plan'!$T$129:$T$305,'3a Staff Plan'!$DF$129:$DF$305,1,'3a Staff Plan'!$DA$129:$DA$305,1,'3a Staff Plan'!$J$129:$J$305,$FA86)</f>
        <v>0</v>
      </c>
      <c r="C86" s="805">
        <f>SUMIFS('3a Staff Plan'!$U$129:$U$305,'3a Staff Plan'!$DF$129:$DF$305,1,'3a Staff Plan'!$DA$129:$DA$305,1,'3a Staff Plan'!$J$129:$J$305,$FA86)</f>
        <v>0</v>
      </c>
      <c r="D86" s="805">
        <f>SUMIFS('3a Staff Plan'!$Z$129:$Z$305,'3a Staff Plan'!$DF$129:$DF$305,1,'3a Staff Plan'!$DA$129:$DA$305,1,'3a Staff Plan'!$J$129:$J$305,$FA86)</f>
        <v>0</v>
      </c>
      <c r="E86" s="805">
        <f>SUMIFS('3a Staff Plan'!$Y$129:$Y$305,'3a Staff Plan'!$DF$129:$DF$305,1,'3a Staff Plan'!$DA$129:$DA$305,1,'3a Staff Plan'!$J$129:$J$305,$FA86)</f>
        <v>0</v>
      </c>
      <c r="F86" s="805">
        <f>SUMIFS('3a Staff Plan'!$X$129:$X$305,'3a Staff Plan'!$DF$129:$DF$305,1,'3a Staff Plan'!$DA$129:$DA$305,1,'3a Staff Plan'!$AG$129:$AG$305,1,'3a Staff Plan'!$J$129:$J$305,$FA86)</f>
        <v>0</v>
      </c>
      <c r="G86" s="805">
        <f>IF($G$24=0,0,SUMIFS('3a Staff Plan'!$W$129:$W$305,'3a Staff Plan'!$DF$129:$DF$305,1,'3a Staff Plan'!$DA$129:$DA$305,1,'3a Staff Plan'!$J$129:$J$305,$FA86))</f>
        <v>0</v>
      </c>
      <c r="H86" s="795">
        <f t="shared" si="172"/>
        <v>0</v>
      </c>
      <c r="I86" s="805">
        <f>SUMIFS('3a Staff Plan'!$V$129:$V$305,'3a Staff Plan'!$DF$129:$DF$305,1,'3a Staff Plan'!$DA$129:$DA$305,1,'3a Staff Plan'!$J$129:$J$305,$FA86)</f>
        <v>0</v>
      </c>
      <c r="J86" s="805">
        <f>SUMIFS('3a Staff Plan'!$AB$129:$AB$305,'3a Staff Plan'!$DF$129:$DF$305,1,'3a Staff Plan'!$DA$129:$DA$305,1,'3a Staff Plan'!$J$129:$J$305,$FA86)</f>
        <v>0</v>
      </c>
      <c r="K86" s="805">
        <f>SUMIFS('3a Staff Plan'!$AA$129:$AA$305,'3a Staff Plan'!$DF$129:$DF$305,1,'3a Staff Plan'!$DA$129:$DA$305,1,'3a Staff Plan'!$AG$129:$AG$305,1,'3a Staff Plan'!$J$129:$J$305,$FA86)</f>
        <v>0</v>
      </c>
      <c r="L86" s="755"/>
      <c r="M86" s="805">
        <f>SUMIFS('3b Activity Plan'!$T$173:$T$365,'3b Activity Plan'!$CY$173:$CY$365,1,'3b Activity Plan'!$CT$173:$CT$365,1,'3b Activity Plan'!$J$173:$J$365,$FA86)</f>
        <v>0</v>
      </c>
      <c r="N86" s="805">
        <f>SUMIFS('3b Activity Plan'!$U$173:$U$365,'3b Activity Plan'!$CY$173:$CY$365,1,'3b Activity Plan'!$CT$173:$CT$365,1,'3b Activity Plan'!$J$173:$J$365,$FA86)</f>
        <v>0</v>
      </c>
      <c r="O86" s="805">
        <f>SUMIFS('3b Activity Plan'!$Z$173:$Z$365,'3b Activity Plan'!$CY$173:$CY$365,1,'3b Activity Plan'!$CT$173:$CT$365,1,'3b Activity Plan'!$J$173:$J$365,$FA86)</f>
        <v>0</v>
      </c>
      <c r="P86" s="805">
        <f>SUMIFS('3b Activity Plan'!$Y$173:$Y$365,'3b Activity Plan'!$CY$173:$CY$365,1,'3b Activity Plan'!$CT$173:$CT$365,1,'3b Activity Plan'!$J$173:$J$365,$FA86)</f>
        <v>0</v>
      </c>
      <c r="Q86" s="805">
        <f>SUMIFS('3b Activity Plan'!$X$173:$X$365,'3b Activity Plan'!$CY$173:$CY$365,1,'3b Activity Plan'!$CT$173:$CT$365,1,'3b Activity Plan'!$J$173:$J$365,$FA86)</f>
        <v>0</v>
      </c>
      <c r="R86" s="805">
        <f>IF($R$24=0,0,SUMIFS('3b Activity Plan'!$W$173:$W$365,'3b Activity Plan'!$CY$173:$CY$365,1,'3b Activity Plan'!$CT$173:$CT$365,1,'3b Activity Plan'!$J$173:$J$365,$FA86))</f>
        <v>0</v>
      </c>
      <c r="S86" s="795">
        <f t="shared" si="173"/>
        <v>0</v>
      </c>
      <c r="T86" s="805">
        <f>SUMIFS('3b Activity Plan'!$V$173:$V$365,'3b Activity Plan'!$CY$173:$CY$365,1,'3b Activity Plan'!$CT$173:$CT$365,1,'3b Activity Plan'!$J$173:$J$365,$FA86)</f>
        <v>0</v>
      </c>
      <c r="U86" s="805">
        <f>SUMIFS('3b Activity Plan'!$AB$173:$AB$365,'3b Activity Plan'!$CY$173:$CY$365,1,'3b Activity Plan'!$CT$173:$CT$365,1,'3b Activity Plan'!$J$173:$J$365,$FA86)</f>
        <v>0</v>
      </c>
      <c r="V86" s="805">
        <f>SUMIFS('3b Activity Plan'!$AA$173:$AA$365,'3b Activity Plan'!$CY$173:$CY$365,1,'3b Activity Plan'!$CT$173:$CT$365,1,'3b Activity Plan'!$J$173:$J$365,$FA86)</f>
        <v>0</v>
      </c>
      <c r="W86" s="755"/>
      <c r="X86" s="2641">
        <f>SUMIFS('3b Activity Plan'!$FU$173:$FU$365,'3b Activity Plan'!$J$173:$J$365,$FA86)</f>
        <v>0</v>
      </c>
      <c r="Y86" s="2641">
        <f>SUMIFS('3b Activity Plan'!$FW$173:$FW$365,'3b Activity Plan'!$J$173:$J$365,$FA86)</f>
        <v>0</v>
      </c>
      <c r="Z86" s="2639">
        <f t="shared" si="132"/>
        <v>0</v>
      </c>
      <c r="AA86" s="755"/>
      <c r="AB86" s="761">
        <f>_xlfn.MINIFS('3a Staff Plan'!$EB$129:$EB$304,'3a Staff Plan'!$DF$129:$DF$304,1,'3a Staff Plan'!$J$129:$J$304,FA86)</f>
        <v>0</v>
      </c>
      <c r="AC86" s="761">
        <f>_xlfn.MAXIFS('3a Staff Plan'!$EC$129:$EC$304,'3a Staff Plan'!$DF$129:$DF$304,1,'3a Staff Plan'!$J$129:$J$304,FA86)</f>
        <v>0</v>
      </c>
      <c r="AD86" s="755"/>
      <c r="AE86" s="761">
        <f>_xlfn.MINIFS('3b Activity Plan'!$GN$173:$GN$365,'3b Activity Plan'!$CY$173:$CY$365,1,'3b Activity Plan'!$J$173:$J$365,$FA86)</f>
        <v>0</v>
      </c>
      <c r="AF86" s="761">
        <f>_xlfn.MAXIFS('3b Activity Plan'!$GO$173:$GO$365,'3b Activity Plan'!$CY$173:$CY$365,1,'3b Activity Plan'!$J$173:$J$365,$FA86)</f>
        <v>0</v>
      </c>
      <c r="AG86" s="755"/>
      <c r="AH86" s="761">
        <f t="shared" si="174"/>
        <v>0</v>
      </c>
      <c r="AI86" s="761">
        <f t="shared" si="175"/>
        <v>0</v>
      </c>
      <c r="AJ86" s="755"/>
      <c r="AK86" s="761">
        <f t="shared" si="176"/>
        <v>0</v>
      </c>
      <c r="AL86" s="761">
        <f t="shared" si="177"/>
        <v>0</v>
      </c>
      <c r="AM86" s="776">
        <f t="shared" si="178"/>
        <v>0</v>
      </c>
      <c r="AN86" s="755"/>
      <c r="AO86" s="748">
        <f t="shared" si="179"/>
        <v>0</v>
      </c>
      <c r="AP86" s="748">
        <f t="shared" si="180"/>
        <v>0</v>
      </c>
      <c r="AQ86" s="748">
        <f t="shared" si="181"/>
        <v>0</v>
      </c>
      <c r="AR86" s="748">
        <f t="shared" si="182"/>
        <v>0</v>
      </c>
      <c r="AS86" s="748">
        <f t="shared" si="183"/>
        <v>0</v>
      </c>
      <c r="AT86" s="748">
        <f t="shared" si="184"/>
        <v>0</v>
      </c>
      <c r="AU86" s="748">
        <f t="shared" si="185"/>
        <v>0</v>
      </c>
      <c r="AV86" s="748">
        <f>IFERROR(INDEX('IPCS Data'!$R$8:$R$109,MATCH(EJ86,'IPCS Data'!$O$8:$O$109,0)),0)</f>
        <v>0</v>
      </c>
      <c r="AW86" s="755"/>
      <c r="AX86" s="499">
        <f>IFERROR(INDEX('IPCS Data'!$P$18:$P$110,MATCH(EK86,'IPCS Data'!$Q$18:$Q$110,0)),0)</f>
        <v>0</v>
      </c>
      <c r="AY86" s="1950" t="str">
        <f t="shared" si="110"/>
        <v/>
      </c>
      <c r="AZ86" s="755"/>
      <c r="BA86" s="753" t="str">
        <f>IFERROR(IF(MATCH(EJ86,'IPCS Data'!$O$8:$O$110,0)&gt;=25,"L","N"),"N")</f>
        <v>N</v>
      </c>
      <c r="BB86" s="774"/>
      <c r="BC86" s="753" t="str">
        <f t="shared" si="111"/>
        <v>N</v>
      </c>
      <c r="BD86" s="753" t="str">
        <f t="shared" si="39"/>
        <v>Non-Labor</v>
      </c>
      <c r="BE86" s="755"/>
      <c r="BF86" s="753" t="str">
        <f t="shared" si="112"/>
        <v>B23672.05</v>
      </c>
      <c r="BG86" s="753" t="str">
        <f t="shared" si="229"/>
        <v>0.0.0</v>
      </c>
      <c r="BH86" s="753">
        <f t="shared" si="187"/>
        <v>0</v>
      </c>
      <c r="BI86" s="753">
        <f t="shared" si="145"/>
        <v>0</v>
      </c>
      <c r="BJ86" s="753">
        <f t="shared" si="113"/>
        <v>0</v>
      </c>
      <c r="BK86" s="753">
        <f t="shared" si="40"/>
        <v>0</v>
      </c>
      <c r="BL86" s="753" t="b">
        <f t="shared" si="131"/>
        <v>1</v>
      </c>
      <c r="BM86" s="755"/>
      <c r="BN86" s="719">
        <f t="shared" si="188"/>
        <v>0</v>
      </c>
      <c r="BO86" s="719">
        <f t="shared" si="189"/>
        <v>110</v>
      </c>
      <c r="BP86" s="755"/>
      <c r="BQ86" s="719">
        <f>IF(AND((COUNTIFS('3a Staff Plan'!$J$129:$J$305,FA86)*$B$22)+(COUNTIFS('3b Activity Plan'!$J$173:$J$365,FA86)*$M$22)=0,FB86&gt;0),1,0)</f>
        <v>0</v>
      </c>
      <c r="BR86" s="719">
        <f t="shared" si="114"/>
        <v>0</v>
      </c>
      <c r="BS86" s="719">
        <f t="shared" si="190"/>
        <v>0</v>
      </c>
      <c r="BT86" s="719">
        <f t="shared" si="191"/>
        <v>0</v>
      </c>
      <c r="BU86" s="719">
        <f t="shared" si="192"/>
        <v>0</v>
      </c>
      <c r="BV86" s="719">
        <f t="shared" si="193"/>
        <v>0</v>
      </c>
      <c r="BW86" s="719">
        <f t="shared" si="194"/>
        <v>0</v>
      </c>
      <c r="BX86" s="719">
        <f t="shared" si="195"/>
        <v>0</v>
      </c>
      <c r="BY86" s="719">
        <f t="shared" si="196"/>
        <v>0</v>
      </c>
      <c r="BZ86" s="719">
        <f t="shared" si="115"/>
        <v>0</v>
      </c>
      <c r="CA86" s="719">
        <f t="shared" si="116"/>
        <v>0</v>
      </c>
      <c r="CB86" s="719">
        <f t="shared" si="197"/>
        <v>0</v>
      </c>
      <c r="CC86" s="719"/>
      <c r="CD86" s="719"/>
      <c r="CE86" s="719">
        <f t="shared" si="198"/>
        <v>0</v>
      </c>
      <c r="CF86" s="719">
        <f t="shared" si="117"/>
        <v>0</v>
      </c>
      <c r="CG86" s="719">
        <f t="shared" si="118"/>
        <v>0</v>
      </c>
      <c r="CH86" s="719">
        <f t="shared" si="119"/>
        <v>0</v>
      </c>
      <c r="CI86" s="719">
        <f t="shared" si="120"/>
        <v>0</v>
      </c>
      <c r="CJ86" s="719">
        <f t="shared" si="121"/>
        <v>0</v>
      </c>
      <c r="CK86" s="719">
        <f t="shared" si="122"/>
        <v>0</v>
      </c>
      <c r="CL86" s="719">
        <f t="shared" si="123"/>
        <v>0</v>
      </c>
      <c r="CM86" s="719">
        <f t="shared" si="124"/>
        <v>0</v>
      </c>
      <c r="CN86" s="719">
        <f t="shared" si="125"/>
        <v>0</v>
      </c>
      <c r="CO86" s="719">
        <f t="shared" si="42"/>
        <v>0</v>
      </c>
      <c r="CP86" s="719">
        <f t="shared" si="235"/>
        <v>0</v>
      </c>
      <c r="CQ86" s="719">
        <f t="shared" si="126"/>
        <v>53</v>
      </c>
      <c r="CR86" s="719">
        <f t="shared" si="127"/>
        <v>0</v>
      </c>
      <c r="CS86" s="2526"/>
      <c r="CT86" s="2527">
        <f t="shared" si="128"/>
        <v>58</v>
      </c>
      <c r="CU86" s="2527">
        <f t="shared" si="146"/>
        <v>0</v>
      </c>
      <c r="CV86" s="2527">
        <f t="shared" si="147"/>
        <v>0</v>
      </c>
      <c r="CW86" s="2527">
        <f t="shared" si="43"/>
        <v>0</v>
      </c>
      <c r="CX86" s="755"/>
      <c r="CY86" s="2537"/>
      <c r="CZ86" s="499">
        <f t="shared" si="169"/>
        <v>0</v>
      </c>
      <c r="DA86" s="1107">
        <f t="shared" si="170"/>
        <v>0</v>
      </c>
      <c r="DB86" s="2537"/>
      <c r="DC86" s="499">
        <f t="shared" si="200"/>
        <v>0</v>
      </c>
      <c r="DD86" s="1107">
        <f t="shared" si="201"/>
        <v>0</v>
      </c>
      <c r="DE86" s="2537"/>
      <c r="DF86" s="499">
        <f t="shared" si="202"/>
        <v>0</v>
      </c>
      <c r="DG86" s="1107">
        <f t="shared" si="203"/>
        <v>0</v>
      </c>
      <c r="DH86" s="2537"/>
      <c r="DI86" s="499">
        <f t="shared" si="204"/>
        <v>0</v>
      </c>
      <c r="DJ86" s="1107">
        <f t="shared" si="205"/>
        <v>0</v>
      </c>
      <c r="DK86" s="2537"/>
      <c r="DL86" s="499">
        <f t="shared" si="206"/>
        <v>0</v>
      </c>
      <c r="DM86" s="1107">
        <f t="shared" si="207"/>
        <v>0</v>
      </c>
      <c r="DN86" s="2537"/>
      <c r="DO86" s="499">
        <f t="shared" si="208"/>
        <v>0</v>
      </c>
      <c r="DP86" s="1107">
        <f t="shared" si="209"/>
        <v>0</v>
      </c>
      <c r="DQ86" s="2537"/>
      <c r="DR86" s="2559"/>
      <c r="DS86" s="499">
        <f t="shared" si="148"/>
        <v>0</v>
      </c>
      <c r="DT86" s="1106">
        <f t="shared" si="149"/>
        <v>0</v>
      </c>
      <c r="DU86" s="2537"/>
      <c r="DV86" s="2559"/>
      <c r="DW86" s="2312">
        <f t="shared" si="150"/>
        <v>0</v>
      </c>
      <c r="DX86" s="1106">
        <f t="shared" si="151"/>
        <v>0</v>
      </c>
      <c r="DY86" s="2572"/>
      <c r="DZ86" s="2537"/>
      <c r="EA86" s="2537"/>
      <c r="EB86" s="2577" t="str">
        <f t="shared" si="210"/>
        <v>05</v>
      </c>
      <c r="EC86" s="2570"/>
      <c r="ED86" s="436">
        <f>IFERROR(INDEX('IPCS Data'!$H$8:$H$30,MATCH(EE86,'IPCS Data'!$I$8:$I$30,0)),0)</f>
        <v>0</v>
      </c>
      <c r="EE86" s="437"/>
      <c r="EF86" s="2570"/>
      <c r="EG86" s="499">
        <f>IFERROR(INDEX('IPCS Data'!$L$8:$L$27,MATCH(EH86,'IPCS Data'!$M$8:$M$27,0)),0)</f>
        <v>0</v>
      </c>
      <c r="EH86" s="437"/>
      <c r="EI86" s="2578" t="s">
        <v>5</v>
      </c>
      <c r="EJ86" s="748">
        <f>IFERROR(INDEX('IPCS Data'!$O$8:$O$110,MATCH(EK86,'IPCS Data'!$Q$8:$Q$110,0)),0)</f>
        <v>0</v>
      </c>
      <c r="EK86" s="437"/>
      <c r="EL86" s="2578"/>
      <c r="EM86" s="840">
        <f t="shared" si="230"/>
        <v>0</v>
      </c>
      <c r="EN86" s="841"/>
      <c r="EO86" s="2537"/>
      <c r="EP86" s="842">
        <f t="shared" si="231"/>
        <v>0</v>
      </c>
      <c r="EQ86" s="843"/>
      <c r="ER86" s="2537"/>
      <c r="ES86" s="840">
        <f t="shared" si="232"/>
        <v>0</v>
      </c>
      <c r="ET86" s="843"/>
      <c r="EU86" s="2537"/>
      <c r="EV86" s="1497"/>
      <c r="EW86" s="1683"/>
      <c r="EX86" s="2562">
        <f t="shared" si="211"/>
        <v>53</v>
      </c>
      <c r="EY86" s="2533"/>
      <c r="EZ86" s="2561"/>
      <c r="FA86" s="1324">
        <f t="shared" si="152"/>
        <v>0</v>
      </c>
      <c r="FB86" s="2629">
        <f t="shared" si="212"/>
        <v>0</v>
      </c>
      <c r="FC86" s="274"/>
      <c r="FD86" s="2626">
        <f t="shared" si="153"/>
        <v>0</v>
      </c>
      <c r="FE86" s="2626">
        <f t="shared" si="154"/>
        <v>0</v>
      </c>
      <c r="FF86" s="274"/>
      <c r="FG86" s="2616">
        <f t="shared" si="213"/>
        <v>0</v>
      </c>
      <c r="FH86" s="2616">
        <f t="shared" si="214"/>
        <v>0</v>
      </c>
      <c r="FI86" s="2616">
        <f t="shared" si="215"/>
        <v>0</v>
      </c>
      <c r="FJ86" s="2610" t="s">
        <v>5</v>
      </c>
      <c r="FK86" s="2616">
        <f t="shared" si="216"/>
        <v>0</v>
      </c>
      <c r="FL86" s="2616">
        <f t="shared" si="217"/>
        <v>0</v>
      </c>
      <c r="FM86" s="2616">
        <f t="shared" si="218"/>
        <v>0</v>
      </c>
      <c r="FN86" s="2622">
        <f t="shared" si="219"/>
        <v>0</v>
      </c>
      <c r="FO86" s="2615">
        <f t="shared" si="220"/>
        <v>0</v>
      </c>
      <c r="FP86" s="2624">
        <f t="shared" si="221"/>
        <v>0</v>
      </c>
      <c r="FQ86" s="2622">
        <f t="shared" si="222"/>
        <v>0</v>
      </c>
      <c r="FR86" s="2624">
        <f t="shared" si="223"/>
        <v>0</v>
      </c>
      <c r="FS86" s="2611" t="s">
        <v>5</v>
      </c>
      <c r="FT86" s="2616">
        <f t="shared" si="224"/>
        <v>0</v>
      </c>
      <c r="FU86" s="2622">
        <f t="shared" si="129"/>
        <v>0</v>
      </c>
      <c r="FV86" s="2616">
        <f t="shared" si="225"/>
        <v>0</v>
      </c>
      <c r="FW86" s="2612" t="s">
        <v>5</v>
      </c>
      <c r="FX86" s="2616">
        <f t="shared" si="171"/>
        <v>0</v>
      </c>
      <c r="FY86" s="2616">
        <f t="shared" si="226"/>
        <v>0</v>
      </c>
      <c r="FZ86" s="2613" t="s">
        <v>5</v>
      </c>
      <c r="GA86" s="2616">
        <f t="shared" si="48"/>
        <v>0</v>
      </c>
      <c r="GB86" s="2619">
        <f t="shared" si="236"/>
        <v>0</v>
      </c>
      <c r="GC86" s="2620">
        <f t="shared" si="228"/>
        <v>0</v>
      </c>
      <c r="GD86" s="2614"/>
      <c r="GE86" s="3195">
        <f t="shared" si="143"/>
        <v>0</v>
      </c>
      <c r="GF86" s="3195">
        <f t="shared" si="144"/>
        <v>0</v>
      </c>
      <c r="GG86" s="3193" t="str">
        <f t="shared" si="18"/>
        <v>X</v>
      </c>
      <c r="GH86" s="2531"/>
      <c r="GI86" s="3189" t="str">
        <f t="shared" si="155"/>
        <v/>
      </c>
      <c r="GJ86" s="2598"/>
      <c r="GK86" s="3173">
        <f t="shared" si="156"/>
        <v>0</v>
      </c>
      <c r="GL86" s="3173">
        <f t="shared" si="157"/>
        <v>0</v>
      </c>
      <c r="GM86" s="3173">
        <f t="shared" si="158"/>
        <v>0</v>
      </c>
      <c r="GN86" s="3174">
        <f t="shared" si="159"/>
        <v>0</v>
      </c>
      <c r="GO86" s="3174">
        <f t="shared" si="160"/>
        <v>0</v>
      </c>
      <c r="GP86" s="3175">
        <f t="shared" si="161"/>
        <v>0</v>
      </c>
      <c r="GQ86" s="3176">
        <f t="shared" si="162"/>
        <v>0</v>
      </c>
      <c r="GR86" s="3177">
        <f t="shared" si="163"/>
        <v>0</v>
      </c>
      <c r="GS86" s="3177">
        <f t="shared" si="164"/>
        <v>0</v>
      </c>
      <c r="GT86" s="3178">
        <f t="shared" si="165"/>
        <v>0</v>
      </c>
      <c r="GU86" s="3179"/>
      <c r="GV86" s="3178">
        <f t="shared" si="166"/>
        <v>0</v>
      </c>
      <c r="GW86" s="3177">
        <f t="shared" si="167"/>
        <v>0</v>
      </c>
      <c r="GX86" s="3180"/>
      <c r="GY86" s="3177">
        <f t="shared" si="168"/>
        <v>0</v>
      </c>
      <c r="GZ86" s="2593"/>
      <c r="HA86" s="277"/>
      <c r="HB86" s="277"/>
      <c r="HC86" s="277"/>
      <c r="HD86" s="277"/>
      <c r="HE86" s="277"/>
      <c r="HF86" s="277"/>
      <c r="HG86" s="277"/>
      <c r="HH86" s="277"/>
      <c r="HI86" s="277"/>
      <c r="HJ86" s="277"/>
      <c r="HK86" s="277"/>
      <c r="HL86" s="277"/>
      <c r="HM86" s="277"/>
      <c r="HN86" s="277"/>
      <c r="HO86" s="277"/>
    </row>
    <row r="87" spans="1:223" s="749" customFormat="1" ht="18" customHeight="1" x14ac:dyDescent="0.3">
      <c r="A87" s="755"/>
      <c r="B87" s="805">
        <f>SUMIFS('3a Staff Plan'!$T$129:$T$305,'3a Staff Plan'!$DF$129:$DF$305,1,'3a Staff Plan'!$DA$129:$DA$305,1,'3a Staff Plan'!$J$129:$J$305,$FA87)</f>
        <v>0</v>
      </c>
      <c r="C87" s="805">
        <f>SUMIFS('3a Staff Plan'!$U$129:$U$305,'3a Staff Plan'!$DF$129:$DF$305,1,'3a Staff Plan'!$DA$129:$DA$305,1,'3a Staff Plan'!$J$129:$J$305,$FA87)</f>
        <v>0</v>
      </c>
      <c r="D87" s="805">
        <f>SUMIFS('3a Staff Plan'!$Z$129:$Z$305,'3a Staff Plan'!$DF$129:$DF$305,1,'3a Staff Plan'!$DA$129:$DA$305,1,'3a Staff Plan'!$J$129:$J$305,$FA87)</f>
        <v>0</v>
      </c>
      <c r="E87" s="805">
        <f>SUMIFS('3a Staff Plan'!$Y$129:$Y$305,'3a Staff Plan'!$DF$129:$DF$305,1,'3a Staff Plan'!$DA$129:$DA$305,1,'3a Staff Plan'!$J$129:$J$305,$FA87)</f>
        <v>0</v>
      </c>
      <c r="F87" s="805">
        <f>SUMIFS('3a Staff Plan'!$X$129:$X$305,'3a Staff Plan'!$DF$129:$DF$305,1,'3a Staff Plan'!$DA$129:$DA$305,1,'3a Staff Plan'!$AG$129:$AG$305,1,'3a Staff Plan'!$J$129:$J$305,$FA87)</f>
        <v>0</v>
      </c>
      <c r="G87" s="805">
        <f>IF($G$24=0,0,SUMIFS('3a Staff Plan'!$W$129:$W$305,'3a Staff Plan'!$DF$129:$DF$305,1,'3a Staff Plan'!$DA$129:$DA$305,1,'3a Staff Plan'!$J$129:$J$305,$FA87))</f>
        <v>0</v>
      </c>
      <c r="H87" s="795">
        <f t="shared" si="172"/>
        <v>0</v>
      </c>
      <c r="I87" s="805">
        <f>SUMIFS('3a Staff Plan'!$V$129:$V$305,'3a Staff Plan'!$DF$129:$DF$305,1,'3a Staff Plan'!$DA$129:$DA$305,1,'3a Staff Plan'!$J$129:$J$305,$FA87)</f>
        <v>0</v>
      </c>
      <c r="J87" s="805">
        <f>SUMIFS('3a Staff Plan'!$AB$129:$AB$305,'3a Staff Plan'!$DF$129:$DF$305,1,'3a Staff Plan'!$DA$129:$DA$305,1,'3a Staff Plan'!$J$129:$J$305,$FA87)</f>
        <v>0</v>
      </c>
      <c r="K87" s="805">
        <f>SUMIFS('3a Staff Plan'!$AA$129:$AA$305,'3a Staff Plan'!$DF$129:$DF$305,1,'3a Staff Plan'!$DA$129:$DA$305,1,'3a Staff Plan'!$AG$129:$AG$305,1,'3a Staff Plan'!$J$129:$J$305,$FA87)</f>
        <v>0</v>
      </c>
      <c r="L87" s="755"/>
      <c r="M87" s="805">
        <f>SUMIFS('3b Activity Plan'!$T$173:$T$365,'3b Activity Plan'!$CY$173:$CY$365,1,'3b Activity Plan'!$CT$173:$CT$365,1,'3b Activity Plan'!$J$173:$J$365,$FA87)</f>
        <v>0</v>
      </c>
      <c r="N87" s="805">
        <f>SUMIFS('3b Activity Plan'!$U$173:$U$365,'3b Activity Plan'!$CY$173:$CY$365,1,'3b Activity Plan'!$CT$173:$CT$365,1,'3b Activity Plan'!$J$173:$J$365,$FA87)</f>
        <v>0</v>
      </c>
      <c r="O87" s="805">
        <f>SUMIFS('3b Activity Plan'!$Z$173:$Z$365,'3b Activity Plan'!$CY$173:$CY$365,1,'3b Activity Plan'!$CT$173:$CT$365,1,'3b Activity Plan'!$J$173:$J$365,$FA87)</f>
        <v>0</v>
      </c>
      <c r="P87" s="805">
        <f>SUMIFS('3b Activity Plan'!$Y$173:$Y$365,'3b Activity Plan'!$CY$173:$CY$365,1,'3b Activity Plan'!$CT$173:$CT$365,1,'3b Activity Plan'!$J$173:$J$365,$FA87)</f>
        <v>0</v>
      </c>
      <c r="Q87" s="805">
        <f>SUMIFS('3b Activity Plan'!$X$173:$X$365,'3b Activity Plan'!$CY$173:$CY$365,1,'3b Activity Plan'!$CT$173:$CT$365,1,'3b Activity Plan'!$J$173:$J$365,$FA87)</f>
        <v>0</v>
      </c>
      <c r="R87" s="805">
        <f>IF($R$24=0,0,SUMIFS('3b Activity Plan'!$W$173:$W$365,'3b Activity Plan'!$CY$173:$CY$365,1,'3b Activity Plan'!$CT$173:$CT$365,1,'3b Activity Plan'!$J$173:$J$365,$FA87))</f>
        <v>0</v>
      </c>
      <c r="S87" s="795">
        <f t="shared" si="173"/>
        <v>0</v>
      </c>
      <c r="T87" s="805">
        <f>SUMIFS('3b Activity Plan'!$V$173:$V$365,'3b Activity Plan'!$CY$173:$CY$365,1,'3b Activity Plan'!$CT$173:$CT$365,1,'3b Activity Plan'!$J$173:$J$365,$FA87)</f>
        <v>0</v>
      </c>
      <c r="U87" s="805">
        <f>SUMIFS('3b Activity Plan'!$AB$173:$AB$365,'3b Activity Plan'!$CY$173:$CY$365,1,'3b Activity Plan'!$CT$173:$CT$365,1,'3b Activity Plan'!$J$173:$J$365,$FA87)</f>
        <v>0</v>
      </c>
      <c r="V87" s="805">
        <f>SUMIFS('3b Activity Plan'!$AA$173:$AA$365,'3b Activity Plan'!$CY$173:$CY$365,1,'3b Activity Plan'!$CT$173:$CT$365,1,'3b Activity Plan'!$J$173:$J$365,$FA87)</f>
        <v>0</v>
      </c>
      <c r="W87" s="755"/>
      <c r="X87" s="2641">
        <f>SUMIFS('3b Activity Plan'!$FU$173:$FU$365,'3b Activity Plan'!$J$173:$J$365,$FA87)</f>
        <v>0</v>
      </c>
      <c r="Y87" s="2641">
        <f>SUMIFS('3b Activity Plan'!$FW$173:$FW$365,'3b Activity Plan'!$J$173:$J$365,$FA87)</f>
        <v>0</v>
      </c>
      <c r="Z87" s="2639">
        <f t="shared" si="132"/>
        <v>0</v>
      </c>
      <c r="AA87" s="755"/>
      <c r="AB87" s="761">
        <f>_xlfn.MINIFS('3a Staff Plan'!$EB$129:$EB$304,'3a Staff Plan'!$DF$129:$DF$304,1,'3a Staff Plan'!$J$129:$J$304,FA87)</f>
        <v>0</v>
      </c>
      <c r="AC87" s="761">
        <f>_xlfn.MAXIFS('3a Staff Plan'!$EC$129:$EC$304,'3a Staff Plan'!$DF$129:$DF$304,1,'3a Staff Plan'!$J$129:$J$304,FA87)</f>
        <v>0</v>
      </c>
      <c r="AD87" s="755"/>
      <c r="AE87" s="761">
        <f>_xlfn.MINIFS('3b Activity Plan'!$GN$173:$GN$365,'3b Activity Plan'!$CY$173:$CY$365,1,'3b Activity Plan'!$J$173:$J$365,$FA87)</f>
        <v>0</v>
      </c>
      <c r="AF87" s="761">
        <f>_xlfn.MAXIFS('3b Activity Plan'!$GO$173:$GO$365,'3b Activity Plan'!$CY$173:$CY$365,1,'3b Activity Plan'!$J$173:$J$365,$FA87)</f>
        <v>0</v>
      </c>
      <c r="AG87" s="755"/>
      <c r="AH87" s="761">
        <f t="shared" si="174"/>
        <v>0</v>
      </c>
      <c r="AI87" s="761">
        <f t="shared" si="175"/>
        <v>0</v>
      </c>
      <c r="AJ87" s="755"/>
      <c r="AK87" s="761">
        <f t="shared" si="176"/>
        <v>0</v>
      </c>
      <c r="AL87" s="761">
        <f t="shared" si="177"/>
        <v>0</v>
      </c>
      <c r="AM87" s="776">
        <f t="shared" si="178"/>
        <v>0</v>
      </c>
      <c r="AN87" s="755"/>
      <c r="AO87" s="748">
        <f t="shared" si="179"/>
        <v>0</v>
      </c>
      <c r="AP87" s="748">
        <f t="shared" si="180"/>
        <v>0</v>
      </c>
      <c r="AQ87" s="748">
        <f t="shared" si="181"/>
        <v>0</v>
      </c>
      <c r="AR87" s="748">
        <f t="shared" si="182"/>
        <v>0</v>
      </c>
      <c r="AS87" s="748">
        <f t="shared" si="183"/>
        <v>0</v>
      </c>
      <c r="AT87" s="748">
        <f t="shared" si="184"/>
        <v>0</v>
      </c>
      <c r="AU87" s="748">
        <f t="shared" si="185"/>
        <v>0</v>
      </c>
      <c r="AV87" s="748">
        <f>IFERROR(INDEX('IPCS Data'!$R$8:$R$109,MATCH(EJ87,'IPCS Data'!$O$8:$O$109,0)),0)</f>
        <v>0</v>
      </c>
      <c r="AW87" s="755"/>
      <c r="AX87" s="499">
        <f>IFERROR(INDEX('IPCS Data'!$P$18:$P$110,MATCH(EK87,'IPCS Data'!$Q$18:$Q$110,0)),0)</f>
        <v>0</v>
      </c>
      <c r="AY87" s="1950" t="str">
        <f t="shared" si="110"/>
        <v/>
      </c>
      <c r="AZ87" s="755"/>
      <c r="BA87" s="753" t="str">
        <f>IFERROR(IF(MATCH(EJ87,'IPCS Data'!$O$8:$O$110,0)&gt;=25,"L","N"),"N")</f>
        <v>N</v>
      </c>
      <c r="BB87" s="774"/>
      <c r="BC87" s="753" t="str">
        <f t="shared" si="111"/>
        <v>N</v>
      </c>
      <c r="BD87" s="753" t="str">
        <f t="shared" si="39"/>
        <v>Non-Labor</v>
      </c>
      <c r="BE87" s="755"/>
      <c r="BF87" s="753" t="str">
        <f t="shared" si="112"/>
        <v>B23672.05</v>
      </c>
      <c r="BG87" s="753" t="str">
        <f t="shared" si="229"/>
        <v>0.0.0</v>
      </c>
      <c r="BH87" s="753">
        <f t="shared" si="187"/>
        <v>0</v>
      </c>
      <c r="BI87" s="753">
        <f t="shared" si="145"/>
        <v>0</v>
      </c>
      <c r="BJ87" s="753">
        <f t="shared" si="113"/>
        <v>0</v>
      </c>
      <c r="BK87" s="753">
        <f t="shared" si="40"/>
        <v>0</v>
      </c>
      <c r="BL87" s="753" t="b">
        <f t="shared" si="131"/>
        <v>1</v>
      </c>
      <c r="BM87" s="755"/>
      <c r="BN87" s="719">
        <f t="shared" si="188"/>
        <v>0</v>
      </c>
      <c r="BO87" s="719">
        <f t="shared" si="189"/>
        <v>110</v>
      </c>
      <c r="BP87" s="755"/>
      <c r="BQ87" s="719">
        <f>IF(AND((COUNTIFS('3a Staff Plan'!$J$129:$J$305,FA87)*$B$22)+(COUNTIFS('3b Activity Plan'!$J$173:$J$365,FA87)*$M$22)=0,FB87&gt;0),1,0)</f>
        <v>0</v>
      </c>
      <c r="BR87" s="719">
        <f t="shared" si="114"/>
        <v>0</v>
      </c>
      <c r="BS87" s="719">
        <f t="shared" si="190"/>
        <v>0</v>
      </c>
      <c r="BT87" s="719">
        <f t="shared" si="191"/>
        <v>0</v>
      </c>
      <c r="BU87" s="719">
        <f t="shared" si="192"/>
        <v>0</v>
      </c>
      <c r="BV87" s="719">
        <f t="shared" si="193"/>
        <v>0</v>
      </c>
      <c r="BW87" s="719">
        <f t="shared" si="194"/>
        <v>0</v>
      </c>
      <c r="BX87" s="719">
        <f t="shared" si="195"/>
        <v>0</v>
      </c>
      <c r="BY87" s="719">
        <f t="shared" si="196"/>
        <v>0</v>
      </c>
      <c r="BZ87" s="719">
        <f t="shared" si="115"/>
        <v>0</v>
      </c>
      <c r="CA87" s="719">
        <f t="shared" si="116"/>
        <v>0</v>
      </c>
      <c r="CB87" s="719">
        <f t="shared" si="197"/>
        <v>0</v>
      </c>
      <c r="CC87" s="719"/>
      <c r="CD87" s="719"/>
      <c r="CE87" s="719">
        <f t="shared" si="198"/>
        <v>0</v>
      </c>
      <c r="CF87" s="719">
        <f t="shared" si="117"/>
        <v>0</v>
      </c>
      <c r="CG87" s="719">
        <f t="shared" si="118"/>
        <v>0</v>
      </c>
      <c r="CH87" s="719">
        <f t="shared" si="119"/>
        <v>0</v>
      </c>
      <c r="CI87" s="719">
        <f t="shared" si="120"/>
        <v>0</v>
      </c>
      <c r="CJ87" s="719">
        <f t="shared" si="121"/>
        <v>0</v>
      </c>
      <c r="CK87" s="719">
        <f t="shared" si="122"/>
        <v>0</v>
      </c>
      <c r="CL87" s="719">
        <f t="shared" si="123"/>
        <v>0</v>
      </c>
      <c r="CM87" s="719">
        <f t="shared" si="124"/>
        <v>0</v>
      </c>
      <c r="CN87" s="719">
        <f t="shared" si="125"/>
        <v>0</v>
      </c>
      <c r="CO87" s="719">
        <f t="shared" si="42"/>
        <v>0</v>
      </c>
      <c r="CP87" s="719">
        <f t="shared" si="235"/>
        <v>0</v>
      </c>
      <c r="CQ87" s="719">
        <f t="shared" si="126"/>
        <v>54</v>
      </c>
      <c r="CR87" s="719">
        <f t="shared" si="127"/>
        <v>0</v>
      </c>
      <c r="CS87" s="2526"/>
      <c r="CT87" s="2527">
        <f t="shared" si="128"/>
        <v>59</v>
      </c>
      <c r="CU87" s="2527">
        <f t="shared" si="146"/>
        <v>0</v>
      </c>
      <c r="CV87" s="2527">
        <f t="shared" si="147"/>
        <v>0</v>
      </c>
      <c r="CW87" s="2527">
        <f t="shared" si="43"/>
        <v>0</v>
      </c>
      <c r="CX87" s="755"/>
      <c r="CY87" s="2537"/>
      <c r="CZ87" s="499">
        <f t="shared" si="169"/>
        <v>0</v>
      </c>
      <c r="DA87" s="1107">
        <f t="shared" si="170"/>
        <v>0</v>
      </c>
      <c r="DB87" s="2537"/>
      <c r="DC87" s="499">
        <f t="shared" si="200"/>
        <v>0</v>
      </c>
      <c r="DD87" s="1107">
        <f t="shared" si="201"/>
        <v>0</v>
      </c>
      <c r="DE87" s="2537"/>
      <c r="DF87" s="499">
        <f t="shared" si="202"/>
        <v>0</v>
      </c>
      <c r="DG87" s="1107">
        <f t="shared" si="203"/>
        <v>0</v>
      </c>
      <c r="DH87" s="2537"/>
      <c r="DI87" s="499">
        <f t="shared" si="204"/>
        <v>0</v>
      </c>
      <c r="DJ87" s="1107">
        <f t="shared" si="205"/>
        <v>0</v>
      </c>
      <c r="DK87" s="2537"/>
      <c r="DL87" s="499">
        <f t="shared" si="206"/>
        <v>0</v>
      </c>
      <c r="DM87" s="1107">
        <f t="shared" si="207"/>
        <v>0</v>
      </c>
      <c r="DN87" s="2537"/>
      <c r="DO87" s="499">
        <f t="shared" si="208"/>
        <v>0</v>
      </c>
      <c r="DP87" s="1107">
        <f t="shared" si="209"/>
        <v>0</v>
      </c>
      <c r="DQ87" s="2537"/>
      <c r="DR87" s="2559"/>
      <c r="DS87" s="499">
        <f t="shared" si="148"/>
        <v>0</v>
      </c>
      <c r="DT87" s="1106">
        <f t="shared" si="149"/>
        <v>0</v>
      </c>
      <c r="DU87" s="2537"/>
      <c r="DV87" s="2559"/>
      <c r="DW87" s="2312">
        <f t="shared" si="150"/>
        <v>0</v>
      </c>
      <c r="DX87" s="1106">
        <f t="shared" si="151"/>
        <v>0</v>
      </c>
      <c r="DY87" s="2572"/>
      <c r="DZ87" s="2537"/>
      <c r="EA87" s="2537"/>
      <c r="EB87" s="2577" t="str">
        <f t="shared" si="210"/>
        <v>05</v>
      </c>
      <c r="EC87" s="2570"/>
      <c r="ED87" s="436">
        <f>IFERROR(INDEX('IPCS Data'!$H$8:$H$30,MATCH(EE87,'IPCS Data'!$I$8:$I$30,0)),0)</f>
        <v>0</v>
      </c>
      <c r="EE87" s="437"/>
      <c r="EF87" s="2570"/>
      <c r="EG87" s="499">
        <f>IFERROR(INDEX('IPCS Data'!$L$8:$L$27,MATCH(EH87,'IPCS Data'!$M$8:$M$27,0)),0)</f>
        <v>0</v>
      </c>
      <c r="EH87" s="437"/>
      <c r="EI87" s="2578" t="s">
        <v>5</v>
      </c>
      <c r="EJ87" s="748">
        <f>IFERROR(INDEX('IPCS Data'!$O$8:$O$110,MATCH(EK87,'IPCS Data'!$Q$8:$Q$110,0)),0)</f>
        <v>0</v>
      </c>
      <c r="EK87" s="437"/>
      <c r="EL87" s="2578"/>
      <c r="EM87" s="840">
        <f t="shared" si="230"/>
        <v>0</v>
      </c>
      <c r="EN87" s="841"/>
      <c r="EO87" s="2537"/>
      <c r="EP87" s="842">
        <f t="shared" si="231"/>
        <v>0</v>
      </c>
      <c r="EQ87" s="843"/>
      <c r="ER87" s="2537"/>
      <c r="ES87" s="840">
        <f t="shared" si="232"/>
        <v>0</v>
      </c>
      <c r="ET87" s="843"/>
      <c r="EU87" s="2537"/>
      <c r="EV87" s="1497"/>
      <c r="EW87" s="1683"/>
      <c r="EX87" s="2562">
        <f t="shared" si="211"/>
        <v>54</v>
      </c>
      <c r="EY87" s="2533"/>
      <c r="EZ87" s="2561"/>
      <c r="FA87" s="1324">
        <f t="shared" si="152"/>
        <v>0</v>
      </c>
      <c r="FB87" s="2629">
        <f t="shared" si="212"/>
        <v>0</v>
      </c>
      <c r="FC87" s="274"/>
      <c r="FD87" s="2626">
        <f t="shared" si="153"/>
        <v>0</v>
      </c>
      <c r="FE87" s="2626">
        <f t="shared" si="154"/>
        <v>0</v>
      </c>
      <c r="FF87" s="274"/>
      <c r="FG87" s="2616">
        <f t="shared" si="213"/>
        <v>0</v>
      </c>
      <c r="FH87" s="2616">
        <f t="shared" si="214"/>
        <v>0</v>
      </c>
      <c r="FI87" s="2616">
        <f t="shared" si="215"/>
        <v>0</v>
      </c>
      <c r="FJ87" s="2610" t="s">
        <v>5</v>
      </c>
      <c r="FK87" s="2616">
        <f t="shared" si="216"/>
        <v>0</v>
      </c>
      <c r="FL87" s="2616">
        <f t="shared" si="217"/>
        <v>0</v>
      </c>
      <c r="FM87" s="2616">
        <f t="shared" si="218"/>
        <v>0</v>
      </c>
      <c r="FN87" s="2622">
        <f t="shared" si="219"/>
        <v>0</v>
      </c>
      <c r="FO87" s="2615">
        <f t="shared" si="220"/>
        <v>0</v>
      </c>
      <c r="FP87" s="2624">
        <f t="shared" si="221"/>
        <v>0</v>
      </c>
      <c r="FQ87" s="2622">
        <f t="shared" si="222"/>
        <v>0</v>
      </c>
      <c r="FR87" s="2624">
        <f t="shared" si="223"/>
        <v>0</v>
      </c>
      <c r="FS87" s="2611" t="s">
        <v>5</v>
      </c>
      <c r="FT87" s="2616">
        <f t="shared" si="224"/>
        <v>0</v>
      </c>
      <c r="FU87" s="2622">
        <f t="shared" si="129"/>
        <v>0</v>
      </c>
      <c r="FV87" s="2616">
        <f t="shared" si="225"/>
        <v>0</v>
      </c>
      <c r="FW87" s="2612" t="s">
        <v>5</v>
      </c>
      <c r="FX87" s="2616">
        <f t="shared" si="171"/>
        <v>0</v>
      </c>
      <c r="FY87" s="2616">
        <f t="shared" si="226"/>
        <v>0</v>
      </c>
      <c r="FZ87" s="2613" t="s">
        <v>5</v>
      </c>
      <c r="GA87" s="2616">
        <f t="shared" si="48"/>
        <v>0</v>
      </c>
      <c r="GB87" s="2619">
        <f t="shared" si="236"/>
        <v>0</v>
      </c>
      <c r="GC87" s="2620">
        <f t="shared" si="228"/>
        <v>0</v>
      </c>
      <c r="GD87" s="2614"/>
      <c r="GE87" s="3195">
        <f t="shared" si="143"/>
        <v>0</v>
      </c>
      <c r="GF87" s="3195">
        <f t="shared" si="144"/>
        <v>0</v>
      </c>
      <c r="GG87" s="3193" t="str">
        <f t="shared" si="18"/>
        <v>X</v>
      </c>
      <c r="GH87" s="2531"/>
      <c r="GI87" s="3189" t="str">
        <f t="shared" si="155"/>
        <v/>
      </c>
      <c r="GJ87" s="2598"/>
      <c r="GK87" s="3173">
        <f t="shared" si="156"/>
        <v>0</v>
      </c>
      <c r="GL87" s="3173">
        <f t="shared" si="157"/>
        <v>0</v>
      </c>
      <c r="GM87" s="3173">
        <f t="shared" si="158"/>
        <v>0</v>
      </c>
      <c r="GN87" s="3174">
        <f t="shared" si="159"/>
        <v>0</v>
      </c>
      <c r="GO87" s="3174">
        <f t="shared" si="160"/>
        <v>0</v>
      </c>
      <c r="GP87" s="3175">
        <f t="shared" si="161"/>
        <v>0</v>
      </c>
      <c r="GQ87" s="3176">
        <f t="shared" si="162"/>
        <v>0</v>
      </c>
      <c r="GR87" s="3177">
        <f t="shared" si="163"/>
        <v>0</v>
      </c>
      <c r="GS87" s="3177">
        <f t="shared" si="164"/>
        <v>0</v>
      </c>
      <c r="GT87" s="3178">
        <f t="shared" si="165"/>
        <v>0</v>
      </c>
      <c r="GU87" s="3179"/>
      <c r="GV87" s="3178">
        <f t="shared" si="166"/>
        <v>0</v>
      </c>
      <c r="GW87" s="3177">
        <f t="shared" si="167"/>
        <v>0</v>
      </c>
      <c r="GX87" s="3180"/>
      <c r="GY87" s="3177">
        <f t="shared" si="168"/>
        <v>0</v>
      </c>
      <c r="GZ87" s="2593"/>
      <c r="HA87" s="277"/>
      <c r="HB87" s="277"/>
      <c r="HC87" s="277"/>
      <c r="HD87" s="277"/>
      <c r="HE87" s="277"/>
      <c r="HF87" s="277"/>
      <c r="HG87" s="277"/>
      <c r="HH87" s="277"/>
      <c r="HI87" s="277"/>
      <c r="HJ87" s="277"/>
      <c r="HK87" s="277"/>
      <c r="HL87" s="277"/>
      <c r="HM87" s="277"/>
      <c r="HN87" s="277"/>
      <c r="HO87" s="277"/>
    </row>
    <row r="88" spans="1:223" s="749" customFormat="1" ht="18" customHeight="1" x14ac:dyDescent="0.3">
      <c r="A88" s="755"/>
      <c r="B88" s="805">
        <f>SUMIFS('3a Staff Plan'!$T$129:$T$305,'3a Staff Plan'!$DF$129:$DF$305,1,'3a Staff Plan'!$DA$129:$DA$305,1,'3a Staff Plan'!$J$129:$J$305,$FA88)</f>
        <v>0</v>
      </c>
      <c r="C88" s="805">
        <f>SUMIFS('3a Staff Plan'!$U$129:$U$305,'3a Staff Plan'!$DF$129:$DF$305,1,'3a Staff Plan'!$DA$129:$DA$305,1,'3a Staff Plan'!$J$129:$J$305,$FA88)</f>
        <v>0</v>
      </c>
      <c r="D88" s="805">
        <f>SUMIFS('3a Staff Plan'!$Z$129:$Z$305,'3a Staff Plan'!$DF$129:$DF$305,1,'3a Staff Plan'!$DA$129:$DA$305,1,'3a Staff Plan'!$J$129:$J$305,$FA88)</f>
        <v>0</v>
      </c>
      <c r="E88" s="805">
        <f>SUMIFS('3a Staff Plan'!$Y$129:$Y$305,'3a Staff Plan'!$DF$129:$DF$305,1,'3a Staff Plan'!$DA$129:$DA$305,1,'3a Staff Plan'!$J$129:$J$305,$FA88)</f>
        <v>0</v>
      </c>
      <c r="F88" s="805">
        <f>SUMIFS('3a Staff Plan'!$X$129:$X$305,'3a Staff Plan'!$DF$129:$DF$305,1,'3a Staff Plan'!$DA$129:$DA$305,1,'3a Staff Plan'!$AG$129:$AG$305,1,'3a Staff Plan'!$J$129:$J$305,$FA88)</f>
        <v>0</v>
      </c>
      <c r="G88" s="805">
        <f>IF($G$24=0,0,SUMIFS('3a Staff Plan'!$W$129:$W$305,'3a Staff Plan'!$DF$129:$DF$305,1,'3a Staff Plan'!$DA$129:$DA$305,1,'3a Staff Plan'!$J$129:$J$305,$FA88))</f>
        <v>0</v>
      </c>
      <c r="H88" s="795">
        <f t="shared" si="172"/>
        <v>0</v>
      </c>
      <c r="I88" s="805">
        <f>SUMIFS('3a Staff Plan'!$V$129:$V$305,'3a Staff Plan'!$DF$129:$DF$305,1,'3a Staff Plan'!$DA$129:$DA$305,1,'3a Staff Plan'!$J$129:$J$305,$FA88)</f>
        <v>0</v>
      </c>
      <c r="J88" s="805">
        <f>SUMIFS('3a Staff Plan'!$AB$129:$AB$305,'3a Staff Plan'!$DF$129:$DF$305,1,'3a Staff Plan'!$DA$129:$DA$305,1,'3a Staff Plan'!$J$129:$J$305,$FA88)</f>
        <v>0</v>
      </c>
      <c r="K88" s="805">
        <f>SUMIFS('3a Staff Plan'!$AA$129:$AA$305,'3a Staff Plan'!$DF$129:$DF$305,1,'3a Staff Plan'!$DA$129:$DA$305,1,'3a Staff Plan'!$AG$129:$AG$305,1,'3a Staff Plan'!$J$129:$J$305,$FA88)</f>
        <v>0</v>
      </c>
      <c r="L88" s="755"/>
      <c r="M88" s="805">
        <f>SUMIFS('3b Activity Plan'!$T$173:$T$365,'3b Activity Plan'!$CY$173:$CY$365,1,'3b Activity Plan'!$CT$173:$CT$365,1,'3b Activity Plan'!$J$173:$J$365,$FA88)</f>
        <v>0</v>
      </c>
      <c r="N88" s="805">
        <f>SUMIFS('3b Activity Plan'!$U$173:$U$365,'3b Activity Plan'!$CY$173:$CY$365,1,'3b Activity Plan'!$CT$173:$CT$365,1,'3b Activity Plan'!$J$173:$J$365,$FA88)</f>
        <v>0</v>
      </c>
      <c r="O88" s="805">
        <f>SUMIFS('3b Activity Plan'!$Z$173:$Z$365,'3b Activity Plan'!$CY$173:$CY$365,1,'3b Activity Plan'!$CT$173:$CT$365,1,'3b Activity Plan'!$J$173:$J$365,$FA88)</f>
        <v>0</v>
      </c>
      <c r="P88" s="805">
        <f>SUMIFS('3b Activity Plan'!$Y$173:$Y$365,'3b Activity Plan'!$CY$173:$CY$365,1,'3b Activity Plan'!$CT$173:$CT$365,1,'3b Activity Plan'!$J$173:$J$365,$FA88)</f>
        <v>0</v>
      </c>
      <c r="Q88" s="805">
        <f>SUMIFS('3b Activity Plan'!$X$173:$X$365,'3b Activity Plan'!$CY$173:$CY$365,1,'3b Activity Plan'!$CT$173:$CT$365,1,'3b Activity Plan'!$J$173:$J$365,$FA88)</f>
        <v>0</v>
      </c>
      <c r="R88" s="805">
        <f>IF($R$24=0,0,SUMIFS('3b Activity Plan'!$W$173:$W$365,'3b Activity Plan'!$CY$173:$CY$365,1,'3b Activity Plan'!$CT$173:$CT$365,1,'3b Activity Plan'!$J$173:$J$365,$FA88))</f>
        <v>0</v>
      </c>
      <c r="S88" s="795">
        <f t="shared" si="173"/>
        <v>0</v>
      </c>
      <c r="T88" s="805">
        <f>SUMIFS('3b Activity Plan'!$V$173:$V$365,'3b Activity Plan'!$CY$173:$CY$365,1,'3b Activity Plan'!$CT$173:$CT$365,1,'3b Activity Plan'!$J$173:$J$365,$FA88)</f>
        <v>0</v>
      </c>
      <c r="U88" s="805">
        <f>SUMIFS('3b Activity Plan'!$AB$173:$AB$365,'3b Activity Plan'!$CY$173:$CY$365,1,'3b Activity Plan'!$CT$173:$CT$365,1,'3b Activity Plan'!$J$173:$J$365,$FA88)</f>
        <v>0</v>
      </c>
      <c r="V88" s="805">
        <f>SUMIFS('3b Activity Plan'!$AA$173:$AA$365,'3b Activity Plan'!$CY$173:$CY$365,1,'3b Activity Plan'!$CT$173:$CT$365,1,'3b Activity Plan'!$J$173:$J$365,$FA88)</f>
        <v>0</v>
      </c>
      <c r="W88" s="755"/>
      <c r="X88" s="2641">
        <f>SUMIFS('3b Activity Plan'!$FU$173:$FU$365,'3b Activity Plan'!$J$173:$J$365,$FA88)</f>
        <v>0</v>
      </c>
      <c r="Y88" s="2641">
        <f>SUMIFS('3b Activity Plan'!$FW$173:$FW$365,'3b Activity Plan'!$J$173:$J$365,$FA88)</f>
        <v>0</v>
      </c>
      <c r="Z88" s="2639">
        <f t="shared" si="132"/>
        <v>0</v>
      </c>
      <c r="AA88" s="755"/>
      <c r="AB88" s="761">
        <f>_xlfn.MINIFS('3a Staff Plan'!$EB$129:$EB$304,'3a Staff Plan'!$DF$129:$DF$304,1,'3a Staff Plan'!$J$129:$J$304,FA88)</f>
        <v>0</v>
      </c>
      <c r="AC88" s="761">
        <f>_xlfn.MAXIFS('3a Staff Plan'!$EC$129:$EC$304,'3a Staff Plan'!$DF$129:$DF$304,1,'3a Staff Plan'!$J$129:$J$304,FA88)</f>
        <v>0</v>
      </c>
      <c r="AD88" s="755"/>
      <c r="AE88" s="761">
        <f>_xlfn.MINIFS('3b Activity Plan'!$GN$173:$GN$365,'3b Activity Plan'!$CY$173:$CY$365,1,'3b Activity Plan'!$J$173:$J$365,$FA88)</f>
        <v>0</v>
      </c>
      <c r="AF88" s="761">
        <f>_xlfn.MAXIFS('3b Activity Plan'!$GO$173:$GO$365,'3b Activity Plan'!$CY$173:$CY$365,1,'3b Activity Plan'!$J$173:$J$365,$FA88)</f>
        <v>0</v>
      </c>
      <c r="AG88" s="755"/>
      <c r="AH88" s="761">
        <f t="shared" si="174"/>
        <v>0</v>
      </c>
      <c r="AI88" s="761">
        <f t="shared" si="175"/>
        <v>0</v>
      </c>
      <c r="AJ88" s="755"/>
      <c r="AK88" s="761">
        <f t="shared" si="176"/>
        <v>0</v>
      </c>
      <c r="AL88" s="761">
        <f t="shared" si="177"/>
        <v>0</v>
      </c>
      <c r="AM88" s="776">
        <f t="shared" si="178"/>
        <v>0</v>
      </c>
      <c r="AN88" s="755"/>
      <c r="AO88" s="748">
        <f t="shared" si="179"/>
        <v>0</v>
      </c>
      <c r="AP88" s="748">
        <f t="shared" si="180"/>
        <v>0</v>
      </c>
      <c r="AQ88" s="748">
        <f t="shared" si="181"/>
        <v>0</v>
      </c>
      <c r="AR88" s="748">
        <f t="shared" si="182"/>
        <v>0</v>
      </c>
      <c r="AS88" s="748">
        <f t="shared" si="183"/>
        <v>0</v>
      </c>
      <c r="AT88" s="748">
        <f t="shared" si="184"/>
        <v>0</v>
      </c>
      <c r="AU88" s="748">
        <f t="shared" si="185"/>
        <v>0</v>
      </c>
      <c r="AV88" s="748">
        <f>IFERROR(INDEX('IPCS Data'!$R$8:$R$109,MATCH(EJ88,'IPCS Data'!$O$8:$O$109,0)),0)</f>
        <v>0</v>
      </c>
      <c r="AW88" s="755"/>
      <c r="AX88" s="499">
        <f>IFERROR(INDEX('IPCS Data'!$P$18:$P$110,MATCH(EK88,'IPCS Data'!$Q$18:$Q$110,0)),0)</f>
        <v>0</v>
      </c>
      <c r="AY88" s="1950" t="str">
        <f t="shared" si="110"/>
        <v/>
      </c>
      <c r="AZ88" s="755"/>
      <c r="BA88" s="753" t="str">
        <f>IFERROR(IF(MATCH(EJ88,'IPCS Data'!$O$8:$O$110,0)&gt;=25,"L","N"),"N")</f>
        <v>N</v>
      </c>
      <c r="BB88" s="774"/>
      <c r="BC88" s="753" t="str">
        <f t="shared" si="111"/>
        <v>N</v>
      </c>
      <c r="BD88" s="753" t="str">
        <f t="shared" si="39"/>
        <v>Non-Labor</v>
      </c>
      <c r="BE88" s="755"/>
      <c r="BF88" s="753" t="str">
        <f t="shared" si="112"/>
        <v>B23672.05</v>
      </c>
      <c r="BG88" s="753" t="str">
        <f t="shared" si="229"/>
        <v>0.0.0</v>
      </c>
      <c r="BH88" s="753">
        <f t="shared" si="187"/>
        <v>0</v>
      </c>
      <c r="BI88" s="753">
        <f t="shared" si="145"/>
        <v>0</v>
      </c>
      <c r="BJ88" s="753">
        <f t="shared" si="113"/>
        <v>0</v>
      </c>
      <c r="BK88" s="753">
        <f t="shared" si="40"/>
        <v>0</v>
      </c>
      <c r="BL88" s="753" t="b">
        <f t="shared" si="131"/>
        <v>1</v>
      </c>
      <c r="BM88" s="755"/>
      <c r="BN88" s="719">
        <f t="shared" si="188"/>
        <v>0</v>
      </c>
      <c r="BO88" s="719">
        <f t="shared" si="189"/>
        <v>110</v>
      </c>
      <c r="BP88" s="755"/>
      <c r="BQ88" s="719">
        <f>IF(AND((COUNTIFS('3a Staff Plan'!$J$129:$J$305,FA88)*$B$22)+(COUNTIFS('3b Activity Plan'!$J$173:$J$365,FA88)*$M$22)=0,FB88&gt;0),1,0)</f>
        <v>0</v>
      </c>
      <c r="BR88" s="719">
        <f t="shared" si="114"/>
        <v>0</v>
      </c>
      <c r="BS88" s="719">
        <f t="shared" si="190"/>
        <v>0</v>
      </c>
      <c r="BT88" s="719">
        <f t="shared" si="191"/>
        <v>0</v>
      </c>
      <c r="BU88" s="719">
        <f t="shared" si="192"/>
        <v>0</v>
      </c>
      <c r="BV88" s="719">
        <f t="shared" si="193"/>
        <v>0</v>
      </c>
      <c r="BW88" s="719">
        <f t="shared" si="194"/>
        <v>0</v>
      </c>
      <c r="BX88" s="719">
        <f t="shared" si="195"/>
        <v>0</v>
      </c>
      <c r="BY88" s="719">
        <f t="shared" si="196"/>
        <v>0</v>
      </c>
      <c r="BZ88" s="719">
        <f t="shared" si="115"/>
        <v>0</v>
      </c>
      <c r="CA88" s="719">
        <f t="shared" si="116"/>
        <v>0</v>
      </c>
      <c r="CB88" s="719">
        <f t="shared" si="197"/>
        <v>0</v>
      </c>
      <c r="CC88" s="719"/>
      <c r="CD88" s="719"/>
      <c r="CE88" s="719">
        <f t="shared" si="198"/>
        <v>0</v>
      </c>
      <c r="CF88" s="719">
        <f t="shared" si="117"/>
        <v>0</v>
      </c>
      <c r="CG88" s="719">
        <f t="shared" si="118"/>
        <v>0</v>
      </c>
      <c r="CH88" s="719">
        <f t="shared" si="119"/>
        <v>0</v>
      </c>
      <c r="CI88" s="719">
        <f t="shared" si="120"/>
        <v>0</v>
      </c>
      <c r="CJ88" s="719">
        <f t="shared" si="121"/>
        <v>0</v>
      </c>
      <c r="CK88" s="719">
        <f t="shared" si="122"/>
        <v>0</v>
      </c>
      <c r="CL88" s="719">
        <f t="shared" si="123"/>
        <v>0</v>
      </c>
      <c r="CM88" s="719">
        <f t="shared" si="124"/>
        <v>0</v>
      </c>
      <c r="CN88" s="719">
        <f t="shared" si="125"/>
        <v>0</v>
      </c>
      <c r="CO88" s="719">
        <f t="shared" si="42"/>
        <v>0</v>
      </c>
      <c r="CP88" s="719">
        <f t="shared" si="235"/>
        <v>0</v>
      </c>
      <c r="CQ88" s="719">
        <f t="shared" si="126"/>
        <v>55</v>
      </c>
      <c r="CR88" s="719">
        <f t="shared" si="127"/>
        <v>0</v>
      </c>
      <c r="CS88" s="2526"/>
      <c r="CT88" s="2527">
        <f t="shared" si="128"/>
        <v>60</v>
      </c>
      <c r="CU88" s="2527">
        <f t="shared" si="146"/>
        <v>0</v>
      </c>
      <c r="CV88" s="2527">
        <f t="shared" si="147"/>
        <v>0</v>
      </c>
      <c r="CW88" s="2527">
        <f t="shared" si="43"/>
        <v>0</v>
      </c>
      <c r="CX88" s="755"/>
      <c r="CY88" s="2537"/>
      <c r="CZ88" s="499">
        <f t="shared" si="169"/>
        <v>0</v>
      </c>
      <c r="DA88" s="1107">
        <f t="shared" si="170"/>
        <v>0</v>
      </c>
      <c r="DB88" s="2537"/>
      <c r="DC88" s="499">
        <f t="shared" si="200"/>
        <v>0</v>
      </c>
      <c r="DD88" s="1107">
        <f t="shared" si="201"/>
        <v>0</v>
      </c>
      <c r="DE88" s="2537"/>
      <c r="DF88" s="499">
        <f t="shared" si="202"/>
        <v>0</v>
      </c>
      <c r="DG88" s="1107">
        <f t="shared" si="203"/>
        <v>0</v>
      </c>
      <c r="DH88" s="2537"/>
      <c r="DI88" s="499">
        <f t="shared" si="204"/>
        <v>0</v>
      </c>
      <c r="DJ88" s="1107">
        <f t="shared" si="205"/>
        <v>0</v>
      </c>
      <c r="DK88" s="2537"/>
      <c r="DL88" s="499">
        <f t="shared" si="206"/>
        <v>0</v>
      </c>
      <c r="DM88" s="1107">
        <f t="shared" si="207"/>
        <v>0</v>
      </c>
      <c r="DN88" s="2537"/>
      <c r="DO88" s="499">
        <f t="shared" si="208"/>
        <v>0</v>
      </c>
      <c r="DP88" s="1107">
        <f t="shared" si="209"/>
        <v>0</v>
      </c>
      <c r="DQ88" s="2537"/>
      <c r="DR88" s="2559"/>
      <c r="DS88" s="499">
        <f t="shared" si="148"/>
        <v>0</v>
      </c>
      <c r="DT88" s="1106">
        <f t="shared" si="149"/>
        <v>0</v>
      </c>
      <c r="DU88" s="2537"/>
      <c r="DV88" s="2559"/>
      <c r="DW88" s="2312">
        <f t="shared" si="150"/>
        <v>0</v>
      </c>
      <c r="DX88" s="1106">
        <f t="shared" si="151"/>
        <v>0</v>
      </c>
      <c r="DY88" s="2572"/>
      <c r="DZ88" s="2537"/>
      <c r="EA88" s="2537"/>
      <c r="EB88" s="2577" t="str">
        <f t="shared" si="210"/>
        <v>05</v>
      </c>
      <c r="EC88" s="2570"/>
      <c r="ED88" s="436">
        <f>IFERROR(INDEX('IPCS Data'!$H$8:$H$30,MATCH(EE88,'IPCS Data'!$I$8:$I$30,0)),0)</f>
        <v>0</v>
      </c>
      <c r="EE88" s="437"/>
      <c r="EF88" s="2570"/>
      <c r="EG88" s="499">
        <f>IFERROR(INDEX('IPCS Data'!$L$8:$L$27,MATCH(EH88,'IPCS Data'!$M$8:$M$27,0)),0)</f>
        <v>0</v>
      </c>
      <c r="EH88" s="437"/>
      <c r="EI88" s="2578" t="s">
        <v>5</v>
      </c>
      <c r="EJ88" s="748">
        <f>IFERROR(INDEX('IPCS Data'!$O$8:$O$110,MATCH(EK88,'IPCS Data'!$Q$8:$Q$110,0)),0)</f>
        <v>0</v>
      </c>
      <c r="EK88" s="437"/>
      <c r="EL88" s="2578"/>
      <c r="EM88" s="840">
        <f t="shared" si="230"/>
        <v>0</v>
      </c>
      <c r="EN88" s="841"/>
      <c r="EO88" s="2537"/>
      <c r="EP88" s="842">
        <f t="shared" si="231"/>
        <v>0</v>
      </c>
      <c r="EQ88" s="843"/>
      <c r="ER88" s="2537"/>
      <c r="ES88" s="840">
        <f t="shared" si="232"/>
        <v>0</v>
      </c>
      <c r="ET88" s="843"/>
      <c r="EU88" s="2537"/>
      <c r="EV88" s="1497"/>
      <c r="EW88" s="1683"/>
      <c r="EX88" s="2562">
        <f t="shared" si="211"/>
        <v>55</v>
      </c>
      <c r="EY88" s="2533"/>
      <c r="EZ88" s="2561"/>
      <c r="FA88" s="1324">
        <f t="shared" si="152"/>
        <v>0</v>
      </c>
      <c r="FB88" s="2629">
        <f t="shared" si="212"/>
        <v>0</v>
      </c>
      <c r="FC88" s="274"/>
      <c r="FD88" s="2626">
        <f t="shared" si="153"/>
        <v>0</v>
      </c>
      <c r="FE88" s="2626">
        <f t="shared" si="154"/>
        <v>0</v>
      </c>
      <c r="FF88" s="274"/>
      <c r="FG88" s="2616">
        <f t="shared" si="213"/>
        <v>0</v>
      </c>
      <c r="FH88" s="2616">
        <f t="shared" si="214"/>
        <v>0</v>
      </c>
      <c r="FI88" s="2616">
        <f t="shared" si="215"/>
        <v>0</v>
      </c>
      <c r="FJ88" s="2610" t="s">
        <v>5</v>
      </c>
      <c r="FK88" s="2616">
        <f t="shared" si="216"/>
        <v>0</v>
      </c>
      <c r="FL88" s="2616">
        <f t="shared" si="217"/>
        <v>0</v>
      </c>
      <c r="FM88" s="2616">
        <f t="shared" si="218"/>
        <v>0</v>
      </c>
      <c r="FN88" s="2622">
        <f t="shared" si="219"/>
        <v>0</v>
      </c>
      <c r="FO88" s="2615">
        <f t="shared" si="220"/>
        <v>0</v>
      </c>
      <c r="FP88" s="2624">
        <f t="shared" si="221"/>
        <v>0</v>
      </c>
      <c r="FQ88" s="2622">
        <f t="shared" si="222"/>
        <v>0</v>
      </c>
      <c r="FR88" s="2624">
        <f t="shared" si="223"/>
        <v>0</v>
      </c>
      <c r="FS88" s="2611" t="s">
        <v>5</v>
      </c>
      <c r="FT88" s="2616">
        <f t="shared" si="224"/>
        <v>0</v>
      </c>
      <c r="FU88" s="2622">
        <f t="shared" si="129"/>
        <v>0</v>
      </c>
      <c r="FV88" s="2616">
        <f t="shared" si="225"/>
        <v>0</v>
      </c>
      <c r="FW88" s="2612" t="s">
        <v>5</v>
      </c>
      <c r="FX88" s="2616">
        <f t="shared" si="171"/>
        <v>0</v>
      </c>
      <c r="FY88" s="2616">
        <f t="shared" si="226"/>
        <v>0</v>
      </c>
      <c r="FZ88" s="2613" t="s">
        <v>5</v>
      </c>
      <c r="GA88" s="2616">
        <f t="shared" si="48"/>
        <v>0</v>
      </c>
      <c r="GB88" s="2619">
        <f t="shared" si="236"/>
        <v>0</v>
      </c>
      <c r="GC88" s="2620">
        <f t="shared" si="228"/>
        <v>0</v>
      </c>
      <c r="GD88" s="2614"/>
      <c r="GE88" s="3195">
        <f t="shared" si="143"/>
        <v>0</v>
      </c>
      <c r="GF88" s="3195">
        <f t="shared" si="144"/>
        <v>0</v>
      </c>
      <c r="GG88" s="3193" t="str">
        <f t="shared" si="18"/>
        <v>X</v>
      </c>
      <c r="GH88" s="2531"/>
      <c r="GI88" s="3189" t="str">
        <f t="shared" si="155"/>
        <v/>
      </c>
      <c r="GJ88" s="2598"/>
      <c r="GK88" s="3173">
        <f t="shared" si="156"/>
        <v>0</v>
      </c>
      <c r="GL88" s="3173">
        <f t="shared" si="157"/>
        <v>0</v>
      </c>
      <c r="GM88" s="3173">
        <f t="shared" si="158"/>
        <v>0</v>
      </c>
      <c r="GN88" s="3174">
        <f t="shared" si="159"/>
        <v>0</v>
      </c>
      <c r="GO88" s="3174">
        <f t="shared" si="160"/>
        <v>0</v>
      </c>
      <c r="GP88" s="3175">
        <f t="shared" si="161"/>
        <v>0</v>
      </c>
      <c r="GQ88" s="3176">
        <f t="shared" si="162"/>
        <v>0</v>
      </c>
      <c r="GR88" s="3177">
        <f t="shared" si="163"/>
        <v>0</v>
      </c>
      <c r="GS88" s="3177">
        <f t="shared" si="164"/>
        <v>0</v>
      </c>
      <c r="GT88" s="3178">
        <f t="shared" si="165"/>
        <v>0</v>
      </c>
      <c r="GU88" s="3179"/>
      <c r="GV88" s="3178">
        <f t="shared" si="166"/>
        <v>0</v>
      </c>
      <c r="GW88" s="3177">
        <f t="shared" si="167"/>
        <v>0</v>
      </c>
      <c r="GX88" s="3180"/>
      <c r="GY88" s="3177">
        <f t="shared" si="168"/>
        <v>0</v>
      </c>
      <c r="GZ88" s="2593"/>
      <c r="HA88" s="277"/>
      <c r="HB88" s="277"/>
      <c r="HC88" s="277"/>
      <c r="HD88" s="277"/>
      <c r="HE88" s="277"/>
      <c r="HF88" s="277"/>
      <c r="HG88" s="277"/>
      <c r="HH88" s="277"/>
      <c r="HI88" s="277"/>
      <c r="HJ88" s="277"/>
      <c r="HK88" s="277"/>
      <c r="HL88" s="277"/>
      <c r="HM88" s="277"/>
      <c r="HN88" s="277"/>
      <c r="HO88" s="277"/>
    </row>
    <row r="89" spans="1:223" s="749" customFormat="1" ht="18" customHeight="1" x14ac:dyDescent="0.3">
      <c r="A89" s="755"/>
      <c r="B89" s="805">
        <f>SUMIFS('3a Staff Plan'!$T$129:$T$305,'3a Staff Plan'!$DF$129:$DF$305,1,'3a Staff Plan'!$DA$129:$DA$305,1,'3a Staff Plan'!$J$129:$J$305,$FA89)</f>
        <v>0</v>
      </c>
      <c r="C89" s="805">
        <f>SUMIFS('3a Staff Plan'!$U$129:$U$305,'3a Staff Plan'!$DF$129:$DF$305,1,'3a Staff Plan'!$DA$129:$DA$305,1,'3a Staff Plan'!$J$129:$J$305,$FA89)</f>
        <v>0</v>
      </c>
      <c r="D89" s="805">
        <f>SUMIFS('3a Staff Plan'!$Z$129:$Z$305,'3a Staff Plan'!$DF$129:$DF$305,1,'3a Staff Plan'!$DA$129:$DA$305,1,'3a Staff Plan'!$J$129:$J$305,$FA89)</f>
        <v>0</v>
      </c>
      <c r="E89" s="805">
        <f>SUMIFS('3a Staff Plan'!$Y$129:$Y$305,'3a Staff Plan'!$DF$129:$DF$305,1,'3a Staff Plan'!$DA$129:$DA$305,1,'3a Staff Plan'!$J$129:$J$305,$FA89)</f>
        <v>0</v>
      </c>
      <c r="F89" s="805">
        <f>SUMIFS('3a Staff Plan'!$X$129:$X$305,'3a Staff Plan'!$DF$129:$DF$305,1,'3a Staff Plan'!$DA$129:$DA$305,1,'3a Staff Plan'!$AG$129:$AG$305,1,'3a Staff Plan'!$J$129:$J$305,$FA89)</f>
        <v>0</v>
      </c>
      <c r="G89" s="805">
        <f>IF($G$24=0,0,SUMIFS('3a Staff Plan'!$W$129:$W$305,'3a Staff Plan'!$DF$129:$DF$305,1,'3a Staff Plan'!$DA$129:$DA$305,1,'3a Staff Plan'!$J$129:$J$305,$FA89))</f>
        <v>0</v>
      </c>
      <c r="H89" s="795">
        <f t="shared" si="172"/>
        <v>0</v>
      </c>
      <c r="I89" s="805">
        <f>SUMIFS('3a Staff Plan'!$V$129:$V$305,'3a Staff Plan'!$DF$129:$DF$305,1,'3a Staff Plan'!$DA$129:$DA$305,1,'3a Staff Plan'!$J$129:$J$305,$FA89)</f>
        <v>0</v>
      </c>
      <c r="J89" s="805">
        <f>SUMIFS('3a Staff Plan'!$AB$129:$AB$305,'3a Staff Plan'!$DF$129:$DF$305,1,'3a Staff Plan'!$DA$129:$DA$305,1,'3a Staff Plan'!$J$129:$J$305,$FA89)</f>
        <v>0</v>
      </c>
      <c r="K89" s="805">
        <f>SUMIFS('3a Staff Plan'!$AA$129:$AA$305,'3a Staff Plan'!$DF$129:$DF$305,1,'3a Staff Plan'!$DA$129:$DA$305,1,'3a Staff Plan'!$AG$129:$AG$305,1,'3a Staff Plan'!$J$129:$J$305,$FA89)</f>
        <v>0</v>
      </c>
      <c r="L89" s="755"/>
      <c r="M89" s="805">
        <f>SUMIFS('3b Activity Plan'!$T$173:$T$365,'3b Activity Plan'!$CY$173:$CY$365,1,'3b Activity Plan'!$CT$173:$CT$365,1,'3b Activity Plan'!$J$173:$J$365,$FA89)</f>
        <v>0</v>
      </c>
      <c r="N89" s="805">
        <f>SUMIFS('3b Activity Plan'!$U$173:$U$365,'3b Activity Plan'!$CY$173:$CY$365,1,'3b Activity Plan'!$CT$173:$CT$365,1,'3b Activity Plan'!$J$173:$J$365,$FA89)</f>
        <v>0</v>
      </c>
      <c r="O89" s="805">
        <f>SUMIFS('3b Activity Plan'!$Z$173:$Z$365,'3b Activity Plan'!$CY$173:$CY$365,1,'3b Activity Plan'!$CT$173:$CT$365,1,'3b Activity Plan'!$J$173:$J$365,$FA89)</f>
        <v>0</v>
      </c>
      <c r="P89" s="805">
        <f>SUMIFS('3b Activity Plan'!$Y$173:$Y$365,'3b Activity Plan'!$CY$173:$CY$365,1,'3b Activity Plan'!$CT$173:$CT$365,1,'3b Activity Plan'!$J$173:$J$365,$FA89)</f>
        <v>0</v>
      </c>
      <c r="Q89" s="805">
        <f>SUMIFS('3b Activity Plan'!$X$173:$X$365,'3b Activity Plan'!$CY$173:$CY$365,1,'3b Activity Plan'!$CT$173:$CT$365,1,'3b Activity Plan'!$J$173:$J$365,$FA89)</f>
        <v>0</v>
      </c>
      <c r="R89" s="805">
        <f>IF($R$24=0,0,SUMIFS('3b Activity Plan'!$W$173:$W$365,'3b Activity Plan'!$CY$173:$CY$365,1,'3b Activity Plan'!$CT$173:$CT$365,1,'3b Activity Plan'!$J$173:$J$365,$FA89))</f>
        <v>0</v>
      </c>
      <c r="S89" s="795">
        <f t="shared" si="173"/>
        <v>0</v>
      </c>
      <c r="T89" s="805">
        <f>SUMIFS('3b Activity Plan'!$V$173:$V$365,'3b Activity Plan'!$CY$173:$CY$365,1,'3b Activity Plan'!$CT$173:$CT$365,1,'3b Activity Plan'!$J$173:$J$365,$FA89)</f>
        <v>0</v>
      </c>
      <c r="U89" s="805">
        <f>SUMIFS('3b Activity Plan'!$AB$173:$AB$365,'3b Activity Plan'!$CY$173:$CY$365,1,'3b Activity Plan'!$CT$173:$CT$365,1,'3b Activity Plan'!$J$173:$J$365,$FA89)</f>
        <v>0</v>
      </c>
      <c r="V89" s="805">
        <f>SUMIFS('3b Activity Plan'!$AA$173:$AA$365,'3b Activity Plan'!$CY$173:$CY$365,1,'3b Activity Plan'!$CT$173:$CT$365,1,'3b Activity Plan'!$J$173:$J$365,$FA89)</f>
        <v>0</v>
      </c>
      <c r="W89" s="755"/>
      <c r="X89" s="2641">
        <f>SUMIFS('3b Activity Plan'!$FU$173:$FU$365,'3b Activity Plan'!$J$173:$J$365,$FA89)</f>
        <v>0</v>
      </c>
      <c r="Y89" s="2641">
        <f>SUMIFS('3b Activity Plan'!$FW$173:$FW$365,'3b Activity Plan'!$J$173:$J$365,$FA89)</f>
        <v>0</v>
      </c>
      <c r="Z89" s="2639">
        <f t="shared" si="132"/>
        <v>0</v>
      </c>
      <c r="AA89" s="755"/>
      <c r="AB89" s="761">
        <f>_xlfn.MINIFS('3a Staff Plan'!$EB$129:$EB$304,'3a Staff Plan'!$DF$129:$DF$304,1,'3a Staff Plan'!$J$129:$J$304,FA89)</f>
        <v>0</v>
      </c>
      <c r="AC89" s="761">
        <f>_xlfn.MAXIFS('3a Staff Plan'!$EC$129:$EC$304,'3a Staff Plan'!$DF$129:$DF$304,1,'3a Staff Plan'!$J$129:$J$304,FA89)</f>
        <v>0</v>
      </c>
      <c r="AD89" s="755"/>
      <c r="AE89" s="761">
        <f>_xlfn.MINIFS('3b Activity Plan'!$GN$173:$GN$365,'3b Activity Plan'!$CY$173:$CY$365,1,'3b Activity Plan'!$J$173:$J$365,$FA89)</f>
        <v>0</v>
      </c>
      <c r="AF89" s="761">
        <f>_xlfn.MAXIFS('3b Activity Plan'!$GO$173:$GO$365,'3b Activity Plan'!$CY$173:$CY$365,1,'3b Activity Plan'!$J$173:$J$365,$FA89)</f>
        <v>0</v>
      </c>
      <c r="AG89" s="755"/>
      <c r="AH89" s="761">
        <f t="shared" si="174"/>
        <v>0</v>
      </c>
      <c r="AI89" s="761">
        <f t="shared" si="175"/>
        <v>0</v>
      </c>
      <c r="AJ89" s="755"/>
      <c r="AK89" s="761">
        <f t="shared" si="176"/>
        <v>0</v>
      </c>
      <c r="AL89" s="761">
        <f t="shared" si="177"/>
        <v>0</v>
      </c>
      <c r="AM89" s="776">
        <f t="shared" si="178"/>
        <v>0</v>
      </c>
      <c r="AN89" s="755"/>
      <c r="AO89" s="748">
        <f t="shared" si="179"/>
        <v>0</v>
      </c>
      <c r="AP89" s="748">
        <f t="shared" si="180"/>
        <v>0</v>
      </c>
      <c r="AQ89" s="748">
        <f t="shared" si="181"/>
        <v>0</v>
      </c>
      <c r="AR89" s="748">
        <f t="shared" si="182"/>
        <v>0</v>
      </c>
      <c r="AS89" s="748">
        <f t="shared" si="183"/>
        <v>0</v>
      </c>
      <c r="AT89" s="748">
        <f t="shared" si="184"/>
        <v>0</v>
      </c>
      <c r="AU89" s="748">
        <f t="shared" si="185"/>
        <v>0</v>
      </c>
      <c r="AV89" s="748">
        <f>IFERROR(INDEX('IPCS Data'!$R$8:$R$109,MATCH(EJ89,'IPCS Data'!$O$8:$O$109,0)),0)</f>
        <v>0</v>
      </c>
      <c r="AW89" s="755"/>
      <c r="AX89" s="499">
        <f>IFERROR(INDEX('IPCS Data'!$P$18:$P$110,MATCH(EK89,'IPCS Data'!$Q$18:$Q$110,0)),0)</f>
        <v>0</v>
      </c>
      <c r="AY89" s="1950" t="str">
        <f t="shared" si="110"/>
        <v/>
      </c>
      <c r="AZ89" s="755"/>
      <c r="BA89" s="753" t="str">
        <f>IFERROR(IF(MATCH(EJ89,'IPCS Data'!$O$8:$O$110,0)&gt;=25,"L","N"),"N")</f>
        <v>N</v>
      </c>
      <c r="BB89" s="774"/>
      <c r="BC89" s="753" t="str">
        <f t="shared" si="111"/>
        <v>N</v>
      </c>
      <c r="BD89" s="753" t="str">
        <f t="shared" si="39"/>
        <v>Non-Labor</v>
      </c>
      <c r="BE89" s="755"/>
      <c r="BF89" s="753" t="str">
        <f t="shared" si="112"/>
        <v>B23672.05</v>
      </c>
      <c r="BG89" s="753" t="str">
        <f t="shared" si="229"/>
        <v>0.0.0</v>
      </c>
      <c r="BH89" s="753">
        <f t="shared" si="187"/>
        <v>0</v>
      </c>
      <c r="BI89" s="753">
        <f t="shared" si="145"/>
        <v>0</v>
      </c>
      <c r="BJ89" s="753">
        <f t="shared" si="113"/>
        <v>0</v>
      </c>
      <c r="BK89" s="753">
        <f t="shared" si="40"/>
        <v>0</v>
      </c>
      <c r="BL89" s="753" t="b">
        <f t="shared" si="131"/>
        <v>1</v>
      </c>
      <c r="BM89" s="755"/>
      <c r="BN89" s="719">
        <f t="shared" si="188"/>
        <v>0</v>
      </c>
      <c r="BO89" s="719">
        <f t="shared" si="189"/>
        <v>110</v>
      </c>
      <c r="BP89" s="755"/>
      <c r="BQ89" s="719">
        <f>IF(AND((COUNTIFS('3a Staff Plan'!$J$129:$J$305,FA89)*$B$22)+(COUNTIFS('3b Activity Plan'!$J$173:$J$365,FA89)*$M$22)=0,FB89&gt;0),1,0)</f>
        <v>0</v>
      </c>
      <c r="BR89" s="719">
        <f t="shared" si="114"/>
        <v>0</v>
      </c>
      <c r="BS89" s="719">
        <f t="shared" si="190"/>
        <v>0</v>
      </c>
      <c r="BT89" s="719">
        <f t="shared" si="191"/>
        <v>0</v>
      </c>
      <c r="BU89" s="719">
        <f t="shared" si="192"/>
        <v>0</v>
      </c>
      <c r="BV89" s="719">
        <f t="shared" si="193"/>
        <v>0</v>
      </c>
      <c r="BW89" s="719">
        <f t="shared" si="194"/>
        <v>0</v>
      </c>
      <c r="BX89" s="719">
        <f t="shared" si="195"/>
        <v>0</v>
      </c>
      <c r="BY89" s="719">
        <f t="shared" si="196"/>
        <v>0</v>
      </c>
      <c r="BZ89" s="719">
        <f t="shared" si="115"/>
        <v>0</v>
      </c>
      <c r="CA89" s="719">
        <f t="shared" si="116"/>
        <v>0</v>
      </c>
      <c r="CB89" s="719">
        <f t="shared" si="197"/>
        <v>0</v>
      </c>
      <c r="CC89" s="719"/>
      <c r="CD89" s="719"/>
      <c r="CE89" s="719">
        <f t="shared" si="198"/>
        <v>0</v>
      </c>
      <c r="CF89" s="719">
        <f t="shared" si="117"/>
        <v>0</v>
      </c>
      <c r="CG89" s="719">
        <f t="shared" si="118"/>
        <v>0</v>
      </c>
      <c r="CH89" s="719">
        <f t="shared" si="119"/>
        <v>0</v>
      </c>
      <c r="CI89" s="719">
        <f t="shared" si="120"/>
        <v>0</v>
      </c>
      <c r="CJ89" s="719">
        <f t="shared" si="121"/>
        <v>0</v>
      </c>
      <c r="CK89" s="719">
        <f t="shared" si="122"/>
        <v>0</v>
      </c>
      <c r="CL89" s="719">
        <f t="shared" si="123"/>
        <v>0</v>
      </c>
      <c r="CM89" s="719">
        <f t="shared" si="124"/>
        <v>0</v>
      </c>
      <c r="CN89" s="719">
        <f t="shared" si="125"/>
        <v>0</v>
      </c>
      <c r="CO89" s="719">
        <f t="shared" si="42"/>
        <v>0</v>
      </c>
      <c r="CP89" s="719">
        <f t="shared" si="235"/>
        <v>0</v>
      </c>
      <c r="CQ89" s="719">
        <f t="shared" si="126"/>
        <v>56</v>
      </c>
      <c r="CR89" s="719">
        <f t="shared" si="127"/>
        <v>0</v>
      </c>
      <c r="CS89" s="2526"/>
      <c r="CT89" s="2527">
        <f t="shared" si="128"/>
        <v>61</v>
      </c>
      <c r="CU89" s="2527">
        <f t="shared" si="146"/>
        <v>0</v>
      </c>
      <c r="CV89" s="2527">
        <f t="shared" si="147"/>
        <v>0</v>
      </c>
      <c r="CW89" s="2527">
        <f t="shared" si="43"/>
        <v>0</v>
      </c>
      <c r="CX89" s="755"/>
      <c r="CY89" s="2537"/>
      <c r="CZ89" s="499">
        <f t="shared" si="169"/>
        <v>0</v>
      </c>
      <c r="DA89" s="1107">
        <f t="shared" si="170"/>
        <v>0</v>
      </c>
      <c r="DB89" s="2537"/>
      <c r="DC89" s="499">
        <f t="shared" si="200"/>
        <v>0</v>
      </c>
      <c r="DD89" s="1107">
        <f t="shared" si="201"/>
        <v>0</v>
      </c>
      <c r="DE89" s="2537"/>
      <c r="DF89" s="499">
        <f t="shared" si="202"/>
        <v>0</v>
      </c>
      <c r="DG89" s="1107">
        <f t="shared" si="203"/>
        <v>0</v>
      </c>
      <c r="DH89" s="2537"/>
      <c r="DI89" s="499">
        <f t="shared" si="204"/>
        <v>0</v>
      </c>
      <c r="DJ89" s="1107">
        <f t="shared" si="205"/>
        <v>0</v>
      </c>
      <c r="DK89" s="2537"/>
      <c r="DL89" s="499">
        <f t="shared" si="206"/>
        <v>0</v>
      </c>
      <c r="DM89" s="1107">
        <f t="shared" si="207"/>
        <v>0</v>
      </c>
      <c r="DN89" s="2537"/>
      <c r="DO89" s="499">
        <f t="shared" si="208"/>
        <v>0</v>
      </c>
      <c r="DP89" s="1107">
        <f t="shared" si="209"/>
        <v>0</v>
      </c>
      <c r="DQ89" s="2537"/>
      <c r="DR89" s="2559"/>
      <c r="DS89" s="499">
        <f t="shared" si="148"/>
        <v>0</v>
      </c>
      <c r="DT89" s="1106">
        <f t="shared" si="149"/>
        <v>0</v>
      </c>
      <c r="DU89" s="2537"/>
      <c r="DV89" s="2559"/>
      <c r="DW89" s="2312">
        <f t="shared" si="150"/>
        <v>0</v>
      </c>
      <c r="DX89" s="1106">
        <f t="shared" si="151"/>
        <v>0</v>
      </c>
      <c r="DY89" s="2572"/>
      <c r="DZ89" s="2537"/>
      <c r="EA89" s="2537"/>
      <c r="EB89" s="2577" t="str">
        <f t="shared" si="210"/>
        <v>05</v>
      </c>
      <c r="EC89" s="2570"/>
      <c r="ED89" s="436">
        <f>IFERROR(INDEX('IPCS Data'!$H$8:$H$30,MATCH(EE89,'IPCS Data'!$I$8:$I$30,0)),0)</f>
        <v>0</v>
      </c>
      <c r="EE89" s="437"/>
      <c r="EF89" s="2570"/>
      <c r="EG89" s="499">
        <f>IFERROR(INDEX('IPCS Data'!$L$8:$L$27,MATCH(EH89,'IPCS Data'!$M$8:$M$27,0)),0)</f>
        <v>0</v>
      </c>
      <c r="EH89" s="437"/>
      <c r="EI89" s="2578" t="s">
        <v>5</v>
      </c>
      <c r="EJ89" s="748">
        <f>IFERROR(INDEX('IPCS Data'!$O$8:$O$110,MATCH(EK89,'IPCS Data'!$Q$8:$Q$110,0)),0)</f>
        <v>0</v>
      </c>
      <c r="EK89" s="437"/>
      <c r="EL89" s="2578"/>
      <c r="EM89" s="840">
        <f t="shared" si="230"/>
        <v>0</v>
      </c>
      <c r="EN89" s="841"/>
      <c r="EO89" s="2537"/>
      <c r="EP89" s="842">
        <f t="shared" si="231"/>
        <v>0</v>
      </c>
      <c r="EQ89" s="843"/>
      <c r="ER89" s="2537"/>
      <c r="ES89" s="840">
        <f t="shared" si="232"/>
        <v>0</v>
      </c>
      <c r="ET89" s="843"/>
      <c r="EU89" s="2537"/>
      <c r="EV89" s="1497"/>
      <c r="EW89" s="1683"/>
      <c r="EX89" s="2562">
        <f t="shared" si="211"/>
        <v>56</v>
      </c>
      <c r="EY89" s="2533"/>
      <c r="EZ89" s="2561"/>
      <c r="FA89" s="1324">
        <f t="shared" si="152"/>
        <v>0</v>
      </c>
      <c r="FB89" s="2629">
        <f t="shared" si="212"/>
        <v>0</v>
      </c>
      <c r="FC89" s="274"/>
      <c r="FD89" s="2626">
        <f t="shared" si="153"/>
        <v>0</v>
      </c>
      <c r="FE89" s="2626">
        <f t="shared" si="154"/>
        <v>0</v>
      </c>
      <c r="FF89" s="274"/>
      <c r="FG89" s="2616">
        <f t="shared" si="213"/>
        <v>0</v>
      </c>
      <c r="FH89" s="2616">
        <f t="shared" si="214"/>
        <v>0</v>
      </c>
      <c r="FI89" s="2616">
        <f t="shared" si="215"/>
        <v>0</v>
      </c>
      <c r="FJ89" s="2610" t="s">
        <v>5</v>
      </c>
      <c r="FK89" s="2616">
        <f t="shared" si="216"/>
        <v>0</v>
      </c>
      <c r="FL89" s="2616">
        <f t="shared" si="217"/>
        <v>0</v>
      </c>
      <c r="FM89" s="2616">
        <f t="shared" si="218"/>
        <v>0</v>
      </c>
      <c r="FN89" s="2622">
        <f t="shared" si="219"/>
        <v>0</v>
      </c>
      <c r="FO89" s="2615">
        <f t="shared" si="220"/>
        <v>0</v>
      </c>
      <c r="FP89" s="2624">
        <f t="shared" si="221"/>
        <v>0</v>
      </c>
      <c r="FQ89" s="2622">
        <f t="shared" si="222"/>
        <v>0</v>
      </c>
      <c r="FR89" s="2624">
        <f t="shared" si="223"/>
        <v>0</v>
      </c>
      <c r="FS89" s="2611" t="s">
        <v>5</v>
      </c>
      <c r="FT89" s="2616">
        <f t="shared" si="224"/>
        <v>0</v>
      </c>
      <c r="FU89" s="2622">
        <f t="shared" si="129"/>
        <v>0</v>
      </c>
      <c r="FV89" s="2616">
        <f t="shared" si="225"/>
        <v>0</v>
      </c>
      <c r="FW89" s="2612" t="s">
        <v>5</v>
      </c>
      <c r="FX89" s="2616">
        <f t="shared" si="171"/>
        <v>0</v>
      </c>
      <c r="FY89" s="2616">
        <f t="shared" si="226"/>
        <v>0</v>
      </c>
      <c r="FZ89" s="2613" t="s">
        <v>5</v>
      </c>
      <c r="GA89" s="2616">
        <f t="shared" si="48"/>
        <v>0</v>
      </c>
      <c r="GB89" s="2619">
        <f t="shared" si="236"/>
        <v>0</v>
      </c>
      <c r="GC89" s="2620">
        <f t="shared" si="228"/>
        <v>0</v>
      </c>
      <c r="GD89" s="2614"/>
      <c r="GE89" s="3195">
        <f t="shared" si="143"/>
        <v>0</v>
      </c>
      <c r="GF89" s="3195">
        <f t="shared" si="144"/>
        <v>0</v>
      </c>
      <c r="GG89" s="3193" t="str">
        <f t="shared" si="18"/>
        <v>X</v>
      </c>
      <c r="GH89" s="2531"/>
      <c r="GI89" s="3189" t="str">
        <f t="shared" si="155"/>
        <v/>
      </c>
      <c r="GJ89" s="2598"/>
      <c r="GK89" s="3173">
        <f t="shared" si="156"/>
        <v>0</v>
      </c>
      <c r="GL89" s="3173">
        <f t="shared" si="157"/>
        <v>0</v>
      </c>
      <c r="GM89" s="3173">
        <f t="shared" si="158"/>
        <v>0</v>
      </c>
      <c r="GN89" s="3174">
        <f t="shared" si="159"/>
        <v>0</v>
      </c>
      <c r="GO89" s="3174">
        <f t="shared" si="160"/>
        <v>0</v>
      </c>
      <c r="GP89" s="3175">
        <f t="shared" si="161"/>
        <v>0</v>
      </c>
      <c r="GQ89" s="3176">
        <f t="shared" si="162"/>
        <v>0</v>
      </c>
      <c r="GR89" s="3177">
        <f t="shared" si="163"/>
        <v>0</v>
      </c>
      <c r="GS89" s="3177">
        <f t="shared" si="164"/>
        <v>0</v>
      </c>
      <c r="GT89" s="3178">
        <f t="shared" si="165"/>
        <v>0</v>
      </c>
      <c r="GU89" s="3179"/>
      <c r="GV89" s="3178">
        <f t="shared" si="166"/>
        <v>0</v>
      </c>
      <c r="GW89" s="3177">
        <f t="shared" si="167"/>
        <v>0</v>
      </c>
      <c r="GX89" s="3180"/>
      <c r="GY89" s="3177">
        <f t="shared" si="168"/>
        <v>0</v>
      </c>
      <c r="GZ89" s="2593"/>
      <c r="HA89" s="277"/>
      <c r="HB89" s="277"/>
      <c r="HC89" s="277"/>
      <c r="HD89" s="277"/>
      <c r="HE89" s="277"/>
      <c r="HF89" s="277"/>
      <c r="HG89" s="277"/>
      <c r="HH89" s="277"/>
      <c r="HI89" s="277"/>
      <c r="HJ89" s="277"/>
      <c r="HK89" s="277"/>
      <c r="HL89" s="277"/>
      <c r="HM89" s="277"/>
      <c r="HN89" s="277"/>
      <c r="HO89" s="277"/>
    </row>
    <row r="90" spans="1:223" s="749" customFormat="1" ht="18" customHeight="1" x14ac:dyDescent="0.3">
      <c r="A90" s="755"/>
      <c r="B90" s="805">
        <f>SUMIFS('3a Staff Plan'!$T$129:$T$305,'3a Staff Plan'!$DF$129:$DF$305,1,'3a Staff Plan'!$DA$129:$DA$305,1,'3a Staff Plan'!$J$129:$J$305,$FA90)</f>
        <v>0</v>
      </c>
      <c r="C90" s="805">
        <f>SUMIFS('3a Staff Plan'!$U$129:$U$305,'3a Staff Plan'!$DF$129:$DF$305,1,'3a Staff Plan'!$DA$129:$DA$305,1,'3a Staff Plan'!$J$129:$J$305,$FA90)</f>
        <v>0</v>
      </c>
      <c r="D90" s="805">
        <f>SUMIFS('3a Staff Plan'!$Z$129:$Z$305,'3a Staff Plan'!$DF$129:$DF$305,1,'3a Staff Plan'!$DA$129:$DA$305,1,'3a Staff Plan'!$J$129:$J$305,$FA90)</f>
        <v>0</v>
      </c>
      <c r="E90" s="805">
        <f>SUMIFS('3a Staff Plan'!$Y$129:$Y$305,'3a Staff Plan'!$DF$129:$DF$305,1,'3a Staff Plan'!$DA$129:$DA$305,1,'3a Staff Plan'!$J$129:$J$305,$FA90)</f>
        <v>0</v>
      </c>
      <c r="F90" s="805">
        <f>SUMIFS('3a Staff Plan'!$X$129:$X$305,'3a Staff Plan'!$DF$129:$DF$305,1,'3a Staff Plan'!$DA$129:$DA$305,1,'3a Staff Plan'!$AG$129:$AG$305,1,'3a Staff Plan'!$J$129:$J$305,$FA90)</f>
        <v>0</v>
      </c>
      <c r="G90" s="805">
        <f>IF($G$24=0,0,SUMIFS('3a Staff Plan'!$W$129:$W$305,'3a Staff Plan'!$DF$129:$DF$305,1,'3a Staff Plan'!$DA$129:$DA$305,1,'3a Staff Plan'!$J$129:$J$305,$FA90))</f>
        <v>0</v>
      </c>
      <c r="H90" s="795">
        <f t="shared" si="172"/>
        <v>0</v>
      </c>
      <c r="I90" s="805">
        <f>SUMIFS('3a Staff Plan'!$V$129:$V$305,'3a Staff Plan'!$DF$129:$DF$305,1,'3a Staff Plan'!$DA$129:$DA$305,1,'3a Staff Plan'!$J$129:$J$305,$FA90)</f>
        <v>0</v>
      </c>
      <c r="J90" s="805">
        <f>SUMIFS('3a Staff Plan'!$AB$129:$AB$305,'3a Staff Plan'!$DF$129:$DF$305,1,'3a Staff Plan'!$DA$129:$DA$305,1,'3a Staff Plan'!$J$129:$J$305,$FA90)</f>
        <v>0</v>
      </c>
      <c r="K90" s="805">
        <f>SUMIFS('3a Staff Plan'!$AA$129:$AA$305,'3a Staff Plan'!$DF$129:$DF$305,1,'3a Staff Plan'!$DA$129:$DA$305,1,'3a Staff Plan'!$AG$129:$AG$305,1,'3a Staff Plan'!$J$129:$J$305,$FA90)</f>
        <v>0</v>
      </c>
      <c r="L90" s="755"/>
      <c r="M90" s="805">
        <f>SUMIFS('3b Activity Plan'!$T$173:$T$365,'3b Activity Plan'!$CY$173:$CY$365,1,'3b Activity Plan'!$CT$173:$CT$365,1,'3b Activity Plan'!$J$173:$J$365,$FA90)</f>
        <v>0</v>
      </c>
      <c r="N90" s="805">
        <f>SUMIFS('3b Activity Plan'!$U$173:$U$365,'3b Activity Plan'!$CY$173:$CY$365,1,'3b Activity Plan'!$CT$173:$CT$365,1,'3b Activity Plan'!$J$173:$J$365,$FA90)</f>
        <v>0</v>
      </c>
      <c r="O90" s="805">
        <f>SUMIFS('3b Activity Plan'!$Z$173:$Z$365,'3b Activity Plan'!$CY$173:$CY$365,1,'3b Activity Plan'!$CT$173:$CT$365,1,'3b Activity Plan'!$J$173:$J$365,$FA90)</f>
        <v>0</v>
      </c>
      <c r="P90" s="805">
        <f>SUMIFS('3b Activity Plan'!$Y$173:$Y$365,'3b Activity Plan'!$CY$173:$CY$365,1,'3b Activity Plan'!$CT$173:$CT$365,1,'3b Activity Plan'!$J$173:$J$365,$FA90)</f>
        <v>0</v>
      </c>
      <c r="Q90" s="805">
        <f>SUMIFS('3b Activity Plan'!$X$173:$X$365,'3b Activity Plan'!$CY$173:$CY$365,1,'3b Activity Plan'!$CT$173:$CT$365,1,'3b Activity Plan'!$J$173:$J$365,$FA90)</f>
        <v>0</v>
      </c>
      <c r="R90" s="805">
        <f>IF($R$24=0,0,SUMIFS('3b Activity Plan'!$W$173:$W$365,'3b Activity Plan'!$CY$173:$CY$365,1,'3b Activity Plan'!$CT$173:$CT$365,1,'3b Activity Plan'!$J$173:$J$365,$FA90))</f>
        <v>0</v>
      </c>
      <c r="S90" s="795">
        <f t="shared" si="173"/>
        <v>0</v>
      </c>
      <c r="T90" s="805">
        <f>SUMIFS('3b Activity Plan'!$V$173:$V$365,'3b Activity Plan'!$CY$173:$CY$365,1,'3b Activity Plan'!$CT$173:$CT$365,1,'3b Activity Plan'!$J$173:$J$365,$FA90)</f>
        <v>0</v>
      </c>
      <c r="U90" s="805">
        <f>SUMIFS('3b Activity Plan'!$AB$173:$AB$365,'3b Activity Plan'!$CY$173:$CY$365,1,'3b Activity Plan'!$CT$173:$CT$365,1,'3b Activity Plan'!$J$173:$J$365,$FA90)</f>
        <v>0</v>
      </c>
      <c r="V90" s="805">
        <f>SUMIFS('3b Activity Plan'!$AA$173:$AA$365,'3b Activity Plan'!$CY$173:$CY$365,1,'3b Activity Plan'!$CT$173:$CT$365,1,'3b Activity Plan'!$J$173:$J$365,$FA90)</f>
        <v>0</v>
      </c>
      <c r="W90" s="755"/>
      <c r="X90" s="2641">
        <f>SUMIFS('3b Activity Plan'!$FU$173:$FU$365,'3b Activity Plan'!$J$173:$J$365,$FA90)</f>
        <v>0</v>
      </c>
      <c r="Y90" s="2641">
        <f>SUMIFS('3b Activity Plan'!$FW$173:$FW$365,'3b Activity Plan'!$J$173:$J$365,$FA90)</f>
        <v>0</v>
      </c>
      <c r="Z90" s="2639">
        <f t="shared" si="132"/>
        <v>0</v>
      </c>
      <c r="AA90" s="755"/>
      <c r="AB90" s="761">
        <f>_xlfn.MINIFS('3a Staff Plan'!$EB$129:$EB$304,'3a Staff Plan'!$DF$129:$DF$304,1,'3a Staff Plan'!$J$129:$J$304,FA90)</f>
        <v>0</v>
      </c>
      <c r="AC90" s="761">
        <f>_xlfn.MAXIFS('3a Staff Plan'!$EC$129:$EC$304,'3a Staff Plan'!$DF$129:$DF$304,1,'3a Staff Plan'!$J$129:$J$304,FA90)</f>
        <v>0</v>
      </c>
      <c r="AD90" s="755"/>
      <c r="AE90" s="761">
        <f>_xlfn.MINIFS('3b Activity Plan'!$GN$173:$GN$365,'3b Activity Plan'!$CY$173:$CY$365,1,'3b Activity Plan'!$J$173:$J$365,$FA90)</f>
        <v>0</v>
      </c>
      <c r="AF90" s="761">
        <f>_xlfn.MAXIFS('3b Activity Plan'!$GO$173:$GO$365,'3b Activity Plan'!$CY$173:$CY$365,1,'3b Activity Plan'!$J$173:$J$365,$FA90)</f>
        <v>0</v>
      </c>
      <c r="AG90" s="755"/>
      <c r="AH90" s="761">
        <f t="shared" si="174"/>
        <v>0</v>
      </c>
      <c r="AI90" s="761">
        <f t="shared" si="175"/>
        <v>0</v>
      </c>
      <c r="AJ90" s="755"/>
      <c r="AK90" s="761">
        <f t="shared" si="176"/>
        <v>0</v>
      </c>
      <c r="AL90" s="761">
        <f t="shared" si="177"/>
        <v>0</v>
      </c>
      <c r="AM90" s="776">
        <f t="shared" si="178"/>
        <v>0</v>
      </c>
      <c r="AN90" s="755"/>
      <c r="AO90" s="748">
        <f t="shared" si="179"/>
        <v>0</v>
      </c>
      <c r="AP90" s="748">
        <f t="shared" si="180"/>
        <v>0</v>
      </c>
      <c r="AQ90" s="748">
        <f t="shared" si="181"/>
        <v>0</v>
      </c>
      <c r="AR90" s="748">
        <f t="shared" si="182"/>
        <v>0</v>
      </c>
      <c r="AS90" s="748">
        <f t="shared" si="183"/>
        <v>0</v>
      </c>
      <c r="AT90" s="748">
        <f t="shared" si="184"/>
        <v>0</v>
      </c>
      <c r="AU90" s="748">
        <f t="shared" si="185"/>
        <v>0</v>
      </c>
      <c r="AV90" s="748">
        <f>IFERROR(INDEX('IPCS Data'!$R$8:$R$109,MATCH(EJ90,'IPCS Data'!$O$8:$O$109,0)),0)</f>
        <v>0</v>
      </c>
      <c r="AW90" s="755"/>
      <c r="AX90" s="499">
        <f>IFERROR(INDEX('IPCS Data'!$P$18:$P$110,MATCH(EK90,'IPCS Data'!$Q$18:$Q$110,0)),0)</f>
        <v>0</v>
      </c>
      <c r="AY90" s="1950" t="str">
        <f t="shared" si="110"/>
        <v/>
      </c>
      <c r="AZ90" s="755"/>
      <c r="BA90" s="753" t="str">
        <f>IFERROR(IF(MATCH(EJ90,'IPCS Data'!$O$8:$O$110,0)&gt;=25,"L","N"),"N")</f>
        <v>N</v>
      </c>
      <c r="BB90" s="774"/>
      <c r="BC90" s="753" t="str">
        <f t="shared" si="111"/>
        <v>N</v>
      </c>
      <c r="BD90" s="753" t="str">
        <f t="shared" si="39"/>
        <v>Non-Labor</v>
      </c>
      <c r="BE90" s="755"/>
      <c r="BF90" s="753" t="str">
        <f t="shared" si="112"/>
        <v>B23672.05</v>
      </c>
      <c r="BG90" s="753" t="str">
        <f t="shared" si="229"/>
        <v>0.0.0</v>
      </c>
      <c r="BH90" s="753">
        <f t="shared" si="187"/>
        <v>0</v>
      </c>
      <c r="BI90" s="753">
        <f t="shared" si="145"/>
        <v>0</v>
      </c>
      <c r="BJ90" s="753">
        <f t="shared" si="113"/>
        <v>0</v>
      </c>
      <c r="BK90" s="753">
        <f t="shared" si="40"/>
        <v>0</v>
      </c>
      <c r="BL90" s="753" t="b">
        <f t="shared" si="131"/>
        <v>1</v>
      </c>
      <c r="BM90" s="755"/>
      <c r="BN90" s="719">
        <f t="shared" si="188"/>
        <v>0</v>
      </c>
      <c r="BO90" s="719">
        <f t="shared" si="189"/>
        <v>110</v>
      </c>
      <c r="BP90" s="755"/>
      <c r="BQ90" s="719">
        <f>IF(AND((COUNTIFS('3a Staff Plan'!$J$129:$J$305,FA90)*$B$22)+(COUNTIFS('3b Activity Plan'!$J$173:$J$365,FA90)*$M$22)=0,FB90&gt;0),1,0)</f>
        <v>0</v>
      </c>
      <c r="BR90" s="719">
        <f t="shared" si="114"/>
        <v>0</v>
      </c>
      <c r="BS90" s="719">
        <f t="shared" si="190"/>
        <v>0</v>
      </c>
      <c r="BT90" s="719">
        <f t="shared" si="191"/>
        <v>0</v>
      </c>
      <c r="BU90" s="719">
        <f t="shared" si="192"/>
        <v>0</v>
      </c>
      <c r="BV90" s="719">
        <f t="shared" si="193"/>
        <v>0</v>
      </c>
      <c r="BW90" s="719">
        <f t="shared" si="194"/>
        <v>0</v>
      </c>
      <c r="BX90" s="719">
        <f t="shared" si="195"/>
        <v>0</v>
      </c>
      <c r="BY90" s="719">
        <f t="shared" si="196"/>
        <v>0</v>
      </c>
      <c r="BZ90" s="719">
        <f t="shared" si="115"/>
        <v>0</v>
      </c>
      <c r="CA90" s="719">
        <f t="shared" si="116"/>
        <v>0</v>
      </c>
      <c r="CB90" s="719">
        <f t="shared" si="197"/>
        <v>0</v>
      </c>
      <c r="CC90" s="719"/>
      <c r="CD90" s="719"/>
      <c r="CE90" s="719">
        <f t="shared" si="198"/>
        <v>0</v>
      </c>
      <c r="CF90" s="719">
        <f t="shared" si="117"/>
        <v>0</v>
      </c>
      <c r="CG90" s="719">
        <f t="shared" si="118"/>
        <v>0</v>
      </c>
      <c r="CH90" s="719">
        <f t="shared" si="119"/>
        <v>0</v>
      </c>
      <c r="CI90" s="719">
        <f t="shared" si="120"/>
        <v>0</v>
      </c>
      <c r="CJ90" s="719">
        <f t="shared" si="121"/>
        <v>0</v>
      </c>
      <c r="CK90" s="719">
        <f t="shared" si="122"/>
        <v>0</v>
      </c>
      <c r="CL90" s="719">
        <f t="shared" si="123"/>
        <v>0</v>
      </c>
      <c r="CM90" s="719">
        <f t="shared" si="124"/>
        <v>0</v>
      </c>
      <c r="CN90" s="719">
        <f t="shared" si="125"/>
        <v>0</v>
      </c>
      <c r="CO90" s="719">
        <f t="shared" si="42"/>
        <v>0</v>
      </c>
      <c r="CP90" s="719">
        <f t="shared" si="235"/>
        <v>0</v>
      </c>
      <c r="CQ90" s="719">
        <f t="shared" si="126"/>
        <v>57</v>
      </c>
      <c r="CR90" s="719">
        <f t="shared" si="127"/>
        <v>0</v>
      </c>
      <c r="CS90" s="2526"/>
      <c r="CT90" s="2527">
        <f t="shared" si="128"/>
        <v>62</v>
      </c>
      <c r="CU90" s="2527">
        <f t="shared" si="146"/>
        <v>0</v>
      </c>
      <c r="CV90" s="2527">
        <f t="shared" si="147"/>
        <v>0</v>
      </c>
      <c r="CW90" s="2527">
        <f t="shared" si="43"/>
        <v>0</v>
      </c>
      <c r="CX90" s="755"/>
      <c r="CY90" s="2537"/>
      <c r="CZ90" s="499">
        <f t="shared" si="169"/>
        <v>0</v>
      </c>
      <c r="DA90" s="1107">
        <f t="shared" si="170"/>
        <v>0</v>
      </c>
      <c r="DB90" s="2537"/>
      <c r="DC90" s="499">
        <f t="shared" si="200"/>
        <v>0</v>
      </c>
      <c r="DD90" s="1107">
        <f t="shared" si="201"/>
        <v>0</v>
      </c>
      <c r="DE90" s="2537"/>
      <c r="DF90" s="499">
        <f t="shared" si="202"/>
        <v>0</v>
      </c>
      <c r="DG90" s="1107">
        <f t="shared" si="203"/>
        <v>0</v>
      </c>
      <c r="DH90" s="2537"/>
      <c r="DI90" s="499">
        <f t="shared" si="204"/>
        <v>0</v>
      </c>
      <c r="DJ90" s="1107">
        <f t="shared" si="205"/>
        <v>0</v>
      </c>
      <c r="DK90" s="2537"/>
      <c r="DL90" s="499">
        <f t="shared" si="206"/>
        <v>0</v>
      </c>
      <c r="DM90" s="1107">
        <f t="shared" si="207"/>
        <v>0</v>
      </c>
      <c r="DN90" s="2537"/>
      <c r="DO90" s="499">
        <f t="shared" si="208"/>
        <v>0</v>
      </c>
      <c r="DP90" s="1107">
        <f t="shared" si="209"/>
        <v>0</v>
      </c>
      <c r="DQ90" s="2537"/>
      <c r="DR90" s="2559"/>
      <c r="DS90" s="499">
        <f t="shared" si="148"/>
        <v>0</v>
      </c>
      <c r="DT90" s="1106">
        <f t="shared" si="149"/>
        <v>0</v>
      </c>
      <c r="DU90" s="2537"/>
      <c r="DV90" s="2559"/>
      <c r="DW90" s="2312">
        <f t="shared" si="150"/>
        <v>0</v>
      </c>
      <c r="DX90" s="1106">
        <f t="shared" si="151"/>
        <v>0</v>
      </c>
      <c r="DY90" s="2572"/>
      <c r="DZ90" s="2537"/>
      <c r="EA90" s="2537"/>
      <c r="EB90" s="2577" t="str">
        <f t="shared" si="210"/>
        <v>05</v>
      </c>
      <c r="EC90" s="2570"/>
      <c r="ED90" s="436">
        <f>IFERROR(INDEX('IPCS Data'!$H$8:$H$30,MATCH(EE90,'IPCS Data'!$I$8:$I$30,0)),0)</f>
        <v>0</v>
      </c>
      <c r="EE90" s="437"/>
      <c r="EF90" s="2570"/>
      <c r="EG90" s="499">
        <f>IFERROR(INDEX('IPCS Data'!$L$8:$L$27,MATCH(EH90,'IPCS Data'!$M$8:$M$27,0)),0)</f>
        <v>0</v>
      </c>
      <c r="EH90" s="437"/>
      <c r="EI90" s="2578" t="s">
        <v>5</v>
      </c>
      <c r="EJ90" s="748">
        <f>IFERROR(INDEX('IPCS Data'!$O$8:$O$110,MATCH(EK90,'IPCS Data'!$Q$8:$Q$110,0)),0)</f>
        <v>0</v>
      </c>
      <c r="EK90" s="437"/>
      <c r="EL90" s="2578"/>
      <c r="EM90" s="840">
        <f t="shared" si="230"/>
        <v>0</v>
      </c>
      <c r="EN90" s="841"/>
      <c r="EO90" s="2537"/>
      <c r="EP90" s="842">
        <f t="shared" si="231"/>
        <v>0</v>
      </c>
      <c r="EQ90" s="843"/>
      <c r="ER90" s="2537"/>
      <c r="ES90" s="840">
        <f t="shared" si="232"/>
        <v>0</v>
      </c>
      <c r="ET90" s="843"/>
      <c r="EU90" s="2537"/>
      <c r="EV90" s="1497"/>
      <c r="EW90" s="1683"/>
      <c r="EX90" s="2562">
        <f t="shared" si="211"/>
        <v>57</v>
      </c>
      <c r="EY90" s="2533"/>
      <c r="EZ90" s="2561"/>
      <c r="FA90" s="1324">
        <f t="shared" si="152"/>
        <v>0</v>
      </c>
      <c r="FB90" s="2629">
        <f t="shared" si="212"/>
        <v>0</v>
      </c>
      <c r="FC90" s="274"/>
      <c r="FD90" s="2626">
        <f t="shared" si="153"/>
        <v>0</v>
      </c>
      <c r="FE90" s="2626">
        <f t="shared" si="154"/>
        <v>0</v>
      </c>
      <c r="FF90" s="274"/>
      <c r="FG90" s="2616">
        <f t="shared" si="213"/>
        <v>0</v>
      </c>
      <c r="FH90" s="2616">
        <f t="shared" si="214"/>
        <v>0</v>
      </c>
      <c r="FI90" s="2616">
        <f t="shared" si="215"/>
        <v>0</v>
      </c>
      <c r="FJ90" s="2610" t="s">
        <v>5</v>
      </c>
      <c r="FK90" s="2616">
        <f t="shared" si="216"/>
        <v>0</v>
      </c>
      <c r="FL90" s="2616">
        <f t="shared" si="217"/>
        <v>0</v>
      </c>
      <c r="FM90" s="2616">
        <f t="shared" si="218"/>
        <v>0</v>
      </c>
      <c r="FN90" s="2622">
        <f t="shared" si="219"/>
        <v>0</v>
      </c>
      <c r="FO90" s="2615">
        <f t="shared" si="220"/>
        <v>0</v>
      </c>
      <c r="FP90" s="2624">
        <f t="shared" si="221"/>
        <v>0</v>
      </c>
      <c r="FQ90" s="2622">
        <f t="shared" si="222"/>
        <v>0</v>
      </c>
      <c r="FR90" s="2624">
        <f t="shared" si="223"/>
        <v>0</v>
      </c>
      <c r="FS90" s="2611" t="s">
        <v>5</v>
      </c>
      <c r="FT90" s="2616">
        <f t="shared" si="224"/>
        <v>0</v>
      </c>
      <c r="FU90" s="2622">
        <f t="shared" si="129"/>
        <v>0</v>
      </c>
      <c r="FV90" s="2616">
        <f t="shared" si="225"/>
        <v>0</v>
      </c>
      <c r="FW90" s="2612" t="s">
        <v>5</v>
      </c>
      <c r="FX90" s="2616">
        <f t="shared" si="171"/>
        <v>0</v>
      </c>
      <c r="FY90" s="2616">
        <f t="shared" si="226"/>
        <v>0</v>
      </c>
      <c r="FZ90" s="2613" t="s">
        <v>5</v>
      </c>
      <c r="GA90" s="2616">
        <f t="shared" si="48"/>
        <v>0</v>
      </c>
      <c r="GB90" s="2619">
        <f t="shared" si="236"/>
        <v>0</v>
      </c>
      <c r="GC90" s="2620">
        <f t="shared" si="228"/>
        <v>0</v>
      </c>
      <c r="GD90" s="2614"/>
      <c r="GE90" s="3195">
        <f t="shared" si="143"/>
        <v>0</v>
      </c>
      <c r="GF90" s="3195">
        <f t="shared" si="144"/>
        <v>0</v>
      </c>
      <c r="GG90" s="3193" t="str">
        <f t="shared" si="18"/>
        <v>X</v>
      </c>
      <c r="GH90" s="2531"/>
      <c r="GI90" s="3189" t="str">
        <f t="shared" si="155"/>
        <v/>
      </c>
      <c r="GJ90" s="2598"/>
      <c r="GK90" s="3173">
        <f t="shared" si="156"/>
        <v>0</v>
      </c>
      <c r="GL90" s="3173">
        <f t="shared" si="157"/>
        <v>0</v>
      </c>
      <c r="GM90" s="3173">
        <f t="shared" si="158"/>
        <v>0</v>
      </c>
      <c r="GN90" s="3174">
        <f t="shared" si="159"/>
        <v>0</v>
      </c>
      <c r="GO90" s="3174">
        <f t="shared" si="160"/>
        <v>0</v>
      </c>
      <c r="GP90" s="3175">
        <f t="shared" si="161"/>
        <v>0</v>
      </c>
      <c r="GQ90" s="3176">
        <f t="shared" si="162"/>
        <v>0</v>
      </c>
      <c r="GR90" s="3177">
        <f t="shared" si="163"/>
        <v>0</v>
      </c>
      <c r="GS90" s="3177">
        <f t="shared" si="164"/>
        <v>0</v>
      </c>
      <c r="GT90" s="3178">
        <f t="shared" si="165"/>
        <v>0</v>
      </c>
      <c r="GU90" s="3179"/>
      <c r="GV90" s="3178">
        <f t="shared" si="166"/>
        <v>0</v>
      </c>
      <c r="GW90" s="3177">
        <f t="shared" si="167"/>
        <v>0</v>
      </c>
      <c r="GX90" s="3180"/>
      <c r="GY90" s="3177">
        <f t="shared" si="168"/>
        <v>0</v>
      </c>
      <c r="GZ90" s="2593"/>
      <c r="HA90" s="277"/>
      <c r="HB90" s="277"/>
      <c r="HC90" s="277"/>
      <c r="HD90" s="277"/>
      <c r="HE90" s="277"/>
      <c r="HF90" s="277"/>
      <c r="HG90" s="277"/>
      <c r="HH90" s="277"/>
      <c r="HI90" s="277"/>
      <c r="HJ90" s="277"/>
      <c r="HK90" s="277"/>
      <c r="HL90" s="277"/>
      <c r="HM90" s="277"/>
      <c r="HN90" s="277"/>
      <c r="HO90" s="277"/>
    </row>
    <row r="91" spans="1:223" s="749" customFormat="1" ht="18" customHeight="1" x14ac:dyDescent="0.3">
      <c r="A91" s="755"/>
      <c r="B91" s="805">
        <f>SUMIFS('3a Staff Plan'!$T$129:$T$305,'3a Staff Plan'!$DF$129:$DF$305,1,'3a Staff Plan'!$DA$129:$DA$305,1,'3a Staff Plan'!$J$129:$J$305,$FA91)</f>
        <v>0</v>
      </c>
      <c r="C91" s="805">
        <f>SUMIFS('3a Staff Plan'!$U$129:$U$305,'3a Staff Plan'!$DF$129:$DF$305,1,'3a Staff Plan'!$DA$129:$DA$305,1,'3a Staff Plan'!$J$129:$J$305,$FA91)</f>
        <v>0</v>
      </c>
      <c r="D91" s="805">
        <f>SUMIFS('3a Staff Plan'!$Z$129:$Z$305,'3a Staff Plan'!$DF$129:$DF$305,1,'3a Staff Plan'!$DA$129:$DA$305,1,'3a Staff Plan'!$J$129:$J$305,$FA91)</f>
        <v>0</v>
      </c>
      <c r="E91" s="805">
        <f>SUMIFS('3a Staff Plan'!$Y$129:$Y$305,'3a Staff Plan'!$DF$129:$DF$305,1,'3a Staff Plan'!$DA$129:$DA$305,1,'3a Staff Plan'!$J$129:$J$305,$FA91)</f>
        <v>0</v>
      </c>
      <c r="F91" s="805">
        <f>SUMIFS('3a Staff Plan'!$X$129:$X$305,'3a Staff Plan'!$DF$129:$DF$305,1,'3a Staff Plan'!$DA$129:$DA$305,1,'3a Staff Plan'!$AG$129:$AG$305,1,'3a Staff Plan'!$J$129:$J$305,$FA91)</f>
        <v>0</v>
      </c>
      <c r="G91" s="805">
        <f>IF($G$24=0,0,SUMIFS('3a Staff Plan'!$W$129:$W$305,'3a Staff Plan'!$DF$129:$DF$305,1,'3a Staff Plan'!$DA$129:$DA$305,1,'3a Staff Plan'!$J$129:$J$305,$FA91))</f>
        <v>0</v>
      </c>
      <c r="H91" s="795">
        <f t="shared" si="172"/>
        <v>0</v>
      </c>
      <c r="I91" s="805">
        <f>SUMIFS('3a Staff Plan'!$V$129:$V$305,'3a Staff Plan'!$DF$129:$DF$305,1,'3a Staff Plan'!$DA$129:$DA$305,1,'3a Staff Plan'!$J$129:$J$305,$FA91)</f>
        <v>0</v>
      </c>
      <c r="J91" s="805">
        <f>SUMIFS('3a Staff Plan'!$AB$129:$AB$305,'3a Staff Plan'!$DF$129:$DF$305,1,'3a Staff Plan'!$DA$129:$DA$305,1,'3a Staff Plan'!$J$129:$J$305,$FA91)</f>
        <v>0</v>
      </c>
      <c r="K91" s="805">
        <f>SUMIFS('3a Staff Plan'!$AA$129:$AA$305,'3a Staff Plan'!$DF$129:$DF$305,1,'3a Staff Plan'!$DA$129:$DA$305,1,'3a Staff Plan'!$AG$129:$AG$305,1,'3a Staff Plan'!$J$129:$J$305,$FA91)</f>
        <v>0</v>
      </c>
      <c r="L91" s="755"/>
      <c r="M91" s="805">
        <f>SUMIFS('3b Activity Plan'!$T$173:$T$365,'3b Activity Plan'!$CY$173:$CY$365,1,'3b Activity Plan'!$CT$173:$CT$365,1,'3b Activity Plan'!$J$173:$J$365,$FA91)</f>
        <v>0</v>
      </c>
      <c r="N91" s="805">
        <f>SUMIFS('3b Activity Plan'!$U$173:$U$365,'3b Activity Plan'!$CY$173:$CY$365,1,'3b Activity Plan'!$CT$173:$CT$365,1,'3b Activity Plan'!$J$173:$J$365,$FA91)</f>
        <v>0</v>
      </c>
      <c r="O91" s="805">
        <f>SUMIFS('3b Activity Plan'!$Z$173:$Z$365,'3b Activity Plan'!$CY$173:$CY$365,1,'3b Activity Plan'!$CT$173:$CT$365,1,'3b Activity Plan'!$J$173:$J$365,$FA91)</f>
        <v>0</v>
      </c>
      <c r="P91" s="805">
        <f>SUMIFS('3b Activity Plan'!$Y$173:$Y$365,'3b Activity Plan'!$CY$173:$CY$365,1,'3b Activity Plan'!$CT$173:$CT$365,1,'3b Activity Plan'!$J$173:$J$365,$FA91)</f>
        <v>0</v>
      </c>
      <c r="Q91" s="805">
        <f>SUMIFS('3b Activity Plan'!$X$173:$X$365,'3b Activity Plan'!$CY$173:$CY$365,1,'3b Activity Plan'!$CT$173:$CT$365,1,'3b Activity Plan'!$J$173:$J$365,$FA91)</f>
        <v>0</v>
      </c>
      <c r="R91" s="805">
        <f>IF($R$24=0,0,SUMIFS('3b Activity Plan'!$W$173:$W$365,'3b Activity Plan'!$CY$173:$CY$365,1,'3b Activity Plan'!$CT$173:$CT$365,1,'3b Activity Plan'!$J$173:$J$365,$FA91))</f>
        <v>0</v>
      </c>
      <c r="S91" s="795">
        <f t="shared" si="173"/>
        <v>0</v>
      </c>
      <c r="T91" s="805">
        <f>SUMIFS('3b Activity Plan'!$V$173:$V$365,'3b Activity Plan'!$CY$173:$CY$365,1,'3b Activity Plan'!$CT$173:$CT$365,1,'3b Activity Plan'!$J$173:$J$365,$FA91)</f>
        <v>0</v>
      </c>
      <c r="U91" s="805">
        <f>SUMIFS('3b Activity Plan'!$AB$173:$AB$365,'3b Activity Plan'!$CY$173:$CY$365,1,'3b Activity Plan'!$CT$173:$CT$365,1,'3b Activity Plan'!$J$173:$J$365,$FA91)</f>
        <v>0</v>
      </c>
      <c r="V91" s="805">
        <f>SUMIFS('3b Activity Plan'!$AA$173:$AA$365,'3b Activity Plan'!$CY$173:$CY$365,1,'3b Activity Plan'!$CT$173:$CT$365,1,'3b Activity Plan'!$J$173:$J$365,$FA91)</f>
        <v>0</v>
      </c>
      <c r="W91" s="755"/>
      <c r="X91" s="2641">
        <f>SUMIFS('3b Activity Plan'!$FU$173:$FU$365,'3b Activity Plan'!$J$173:$J$365,$FA91)</f>
        <v>0</v>
      </c>
      <c r="Y91" s="2641">
        <f>SUMIFS('3b Activity Plan'!$FW$173:$FW$365,'3b Activity Plan'!$J$173:$J$365,$FA91)</f>
        <v>0</v>
      </c>
      <c r="Z91" s="2639">
        <f t="shared" si="132"/>
        <v>0</v>
      </c>
      <c r="AA91" s="755"/>
      <c r="AB91" s="761">
        <f>_xlfn.MINIFS('3a Staff Plan'!$EB$129:$EB$304,'3a Staff Plan'!$DF$129:$DF$304,1,'3a Staff Plan'!$J$129:$J$304,FA91)</f>
        <v>0</v>
      </c>
      <c r="AC91" s="761">
        <f>_xlfn.MAXIFS('3a Staff Plan'!$EC$129:$EC$304,'3a Staff Plan'!$DF$129:$DF$304,1,'3a Staff Plan'!$J$129:$J$304,FA91)</f>
        <v>0</v>
      </c>
      <c r="AD91" s="755"/>
      <c r="AE91" s="761">
        <f>_xlfn.MINIFS('3b Activity Plan'!$GN$173:$GN$365,'3b Activity Plan'!$CY$173:$CY$365,1,'3b Activity Plan'!$J$173:$J$365,$FA91)</f>
        <v>0</v>
      </c>
      <c r="AF91" s="761">
        <f>_xlfn.MAXIFS('3b Activity Plan'!$GO$173:$GO$365,'3b Activity Plan'!$CY$173:$CY$365,1,'3b Activity Plan'!$J$173:$J$365,$FA91)</f>
        <v>0</v>
      </c>
      <c r="AG91" s="755"/>
      <c r="AH91" s="761">
        <f t="shared" si="174"/>
        <v>0</v>
      </c>
      <c r="AI91" s="761">
        <f t="shared" si="175"/>
        <v>0</v>
      </c>
      <c r="AJ91" s="755"/>
      <c r="AK91" s="761">
        <f t="shared" si="176"/>
        <v>0</v>
      </c>
      <c r="AL91" s="761">
        <f t="shared" si="177"/>
        <v>0</v>
      </c>
      <c r="AM91" s="776">
        <f t="shared" si="178"/>
        <v>0</v>
      </c>
      <c r="AN91" s="755"/>
      <c r="AO91" s="748">
        <f t="shared" si="179"/>
        <v>0</v>
      </c>
      <c r="AP91" s="748">
        <f t="shared" si="180"/>
        <v>0</v>
      </c>
      <c r="AQ91" s="748">
        <f t="shared" si="181"/>
        <v>0</v>
      </c>
      <c r="AR91" s="748">
        <f t="shared" si="182"/>
        <v>0</v>
      </c>
      <c r="AS91" s="748">
        <f t="shared" si="183"/>
        <v>0</v>
      </c>
      <c r="AT91" s="748">
        <f t="shared" si="184"/>
        <v>0</v>
      </c>
      <c r="AU91" s="748">
        <f t="shared" si="185"/>
        <v>0</v>
      </c>
      <c r="AV91" s="748">
        <f>IFERROR(INDEX('IPCS Data'!$R$8:$R$109,MATCH(EJ91,'IPCS Data'!$O$8:$O$109,0)),0)</f>
        <v>0</v>
      </c>
      <c r="AW91" s="755"/>
      <c r="AX91" s="499">
        <f>IFERROR(INDEX('IPCS Data'!$P$18:$P$110,MATCH(EK91,'IPCS Data'!$Q$18:$Q$110,0)),0)</f>
        <v>0</v>
      </c>
      <c r="AY91" s="1950" t="str">
        <f t="shared" si="110"/>
        <v/>
      </c>
      <c r="AZ91" s="755"/>
      <c r="BA91" s="753" t="str">
        <f>IFERROR(IF(MATCH(EJ91,'IPCS Data'!$O$8:$O$110,0)&gt;=25,"L","N"),"N")</f>
        <v>N</v>
      </c>
      <c r="BB91" s="774"/>
      <c r="BC91" s="753" t="str">
        <f t="shared" si="111"/>
        <v>N</v>
      </c>
      <c r="BD91" s="753" t="str">
        <f t="shared" si="39"/>
        <v>Non-Labor</v>
      </c>
      <c r="BE91" s="755"/>
      <c r="BF91" s="753" t="str">
        <f t="shared" si="112"/>
        <v>B23672.05</v>
      </c>
      <c r="BG91" s="753" t="str">
        <f t="shared" si="229"/>
        <v>0.0.0</v>
      </c>
      <c r="BH91" s="753">
        <f t="shared" si="187"/>
        <v>0</v>
      </c>
      <c r="BI91" s="753">
        <f t="shared" si="145"/>
        <v>0</v>
      </c>
      <c r="BJ91" s="753">
        <f t="shared" si="113"/>
        <v>0</v>
      </c>
      <c r="BK91" s="753">
        <f t="shared" si="40"/>
        <v>0</v>
      </c>
      <c r="BL91" s="753" t="b">
        <f t="shared" si="131"/>
        <v>1</v>
      </c>
      <c r="BM91" s="755"/>
      <c r="BN91" s="719">
        <f t="shared" si="188"/>
        <v>0</v>
      </c>
      <c r="BO91" s="719">
        <f t="shared" si="189"/>
        <v>110</v>
      </c>
      <c r="BP91" s="755"/>
      <c r="BQ91" s="719">
        <f>IF(AND((COUNTIFS('3a Staff Plan'!$J$129:$J$305,FA91)*$B$22)+(COUNTIFS('3b Activity Plan'!$J$173:$J$365,FA91)*$M$22)=0,FB91&gt;0),1,0)</f>
        <v>0</v>
      </c>
      <c r="BR91" s="719">
        <f t="shared" si="114"/>
        <v>0</v>
      </c>
      <c r="BS91" s="719">
        <f t="shared" si="190"/>
        <v>0</v>
      </c>
      <c r="BT91" s="719">
        <f t="shared" si="191"/>
        <v>0</v>
      </c>
      <c r="BU91" s="719">
        <f t="shared" si="192"/>
        <v>0</v>
      </c>
      <c r="BV91" s="719">
        <f t="shared" si="193"/>
        <v>0</v>
      </c>
      <c r="BW91" s="719">
        <f t="shared" si="194"/>
        <v>0</v>
      </c>
      <c r="BX91" s="719">
        <f t="shared" si="195"/>
        <v>0</v>
      </c>
      <c r="BY91" s="719">
        <f t="shared" si="196"/>
        <v>0</v>
      </c>
      <c r="BZ91" s="719">
        <f t="shared" si="115"/>
        <v>0</v>
      </c>
      <c r="CA91" s="719">
        <f t="shared" si="116"/>
        <v>0</v>
      </c>
      <c r="CB91" s="719">
        <f t="shared" si="197"/>
        <v>0</v>
      </c>
      <c r="CC91" s="719"/>
      <c r="CD91" s="719"/>
      <c r="CE91" s="719">
        <f t="shared" si="198"/>
        <v>0</v>
      </c>
      <c r="CF91" s="719">
        <f t="shared" si="117"/>
        <v>0</v>
      </c>
      <c r="CG91" s="719">
        <f t="shared" si="118"/>
        <v>0</v>
      </c>
      <c r="CH91" s="719">
        <f t="shared" si="119"/>
        <v>0</v>
      </c>
      <c r="CI91" s="719">
        <f t="shared" si="120"/>
        <v>0</v>
      </c>
      <c r="CJ91" s="719">
        <f t="shared" si="121"/>
        <v>0</v>
      </c>
      <c r="CK91" s="719">
        <f t="shared" si="122"/>
        <v>0</v>
      </c>
      <c r="CL91" s="719">
        <f t="shared" si="123"/>
        <v>0</v>
      </c>
      <c r="CM91" s="719">
        <f t="shared" si="124"/>
        <v>0</v>
      </c>
      <c r="CN91" s="719">
        <f t="shared" si="125"/>
        <v>0</v>
      </c>
      <c r="CO91" s="719">
        <f t="shared" si="42"/>
        <v>0</v>
      </c>
      <c r="CP91" s="719">
        <f t="shared" si="235"/>
        <v>0</v>
      </c>
      <c r="CQ91" s="719">
        <f t="shared" si="126"/>
        <v>58</v>
      </c>
      <c r="CR91" s="719">
        <f t="shared" si="127"/>
        <v>0</v>
      </c>
      <c r="CS91" s="2526"/>
      <c r="CT91" s="2527">
        <f t="shared" si="128"/>
        <v>63</v>
      </c>
      <c r="CU91" s="2527">
        <f t="shared" si="146"/>
        <v>0</v>
      </c>
      <c r="CV91" s="2527">
        <f t="shared" si="147"/>
        <v>0</v>
      </c>
      <c r="CW91" s="2527">
        <f t="shared" si="43"/>
        <v>0</v>
      </c>
      <c r="CX91" s="755"/>
      <c r="CY91" s="2537"/>
      <c r="CZ91" s="499">
        <f t="shared" si="169"/>
        <v>0</v>
      </c>
      <c r="DA91" s="1107">
        <f t="shared" si="170"/>
        <v>0</v>
      </c>
      <c r="DB91" s="2537"/>
      <c r="DC91" s="499">
        <f t="shared" si="200"/>
        <v>0</v>
      </c>
      <c r="DD91" s="1107">
        <f t="shared" si="201"/>
        <v>0</v>
      </c>
      <c r="DE91" s="2537"/>
      <c r="DF91" s="499">
        <f t="shared" si="202"/>
        <v>0</v>
      </c>
      <c r="DG91" s="1107">
        <f t="shared" si="203"/>
        <v>0</v>
      </c>
      <c r="DH91" s="2537"/>
      <c r="DI91" s="499">
        <f t="shared" si="204"/>
        <v>0</v>
      </c>
      <c r="DJ91" s="1107">
        <f t="shared" si="205"/>
        <v>0</v>
      </c>
      <c r="DK91" s="2537"/>
      <c r="DL91" s="499">
        <f t="shared" si="206"/>
        <v>0</v>
      </c>
      <c r="DM91" s="1107">
        <f t="shared" si="207"/>
        <v>0</v>
      </c>
      <c r="DN91" s="2537"/>
      <c r="DO91" s="499">
        <f t="shared" si="208"/>
        <v>0</v>
      </c>
      <c r="DP91" s="1107">
        <f t="shared" si="209"/>
        <v>0</v>
      </c>
      <c r="DQ91" s="2537"/>
      <c r="DR91" s="2559"/>
      <c r="DS91" s="499">
        <f t="shared" si="148"/>
        <v>0</v>
      </c>
      <c r="DT91" s="1106">
        <f t="shared" si="149"/>
        <v>0</v>
      </c>
      <c r="DU91" s="2537"/>
      <c r="DV91" s="2559"/>
      <c r="DW91" s="2312">
        <f t="shared" si="150"/>
        <v>0</v>
      </c>
      <c r="DX91" s="1106">
        <f t="shared" si="151"/>
        <v>0</v>
      </c>
      <c r="DY91" s="2572"/>
      <c r="DZ91" s="2537"/>
      <c r="EA91" s="2537"/>
      <c r="EB91" s="2577" t="str">
        <f t="shared" si="210"/>
        <v>05</v>
      </c>
      <c r="EC91" s="2570"/>
      <c r="ED91" s="436">
        <f>IFERROR(INDEX('IPCS Data'!$H$8:$H$30,MATCH(EE91,'IPCS Data'!$I$8:$I$30,0)),0)</f>
        <v>0</v>
      </c>
      <c r="EE91" s="437"/>
      <c r="EF91" s="2570"/>
      <c r="EG91" s="499">
        <f>IFERROR(INDEX('IPCS Data'!$L$8:$L$27,MATCH(EH91,'IPCS Data'!$M$8:$M$27,0)),0)</f>
        <v>0</v>
      </c>
      <c r="EH91" s="437"/>
      <c r="EI91" s="2578" t="s">
        <v>5</v>
      </c>
      <c r="EJ91" s="748">
        <f>IFERROR(INDEX('IPCS Data'!$O$8:$O$110,MATCH(EK91,'IPCS Data'!$Q$8:$Q$110,0)),0)</f>
        <v>0</v>
      </c>
      <c r="EK91" s="437"/>
      <c r="EL91" s="2578"/>
      <c r="EM91" s="840">
        <f t="shared" si="230"/>
        <v>0</v>
      </c>
      <c r="EN91" s="841"/>
      <c r="EO91" s="2537"/>
      <c r="EP91" s="842">
        <f t="shared" si="231"/>
        <v>0</v>
      </c>
      <c r="EQ91" s="843"/>
      <c r="ER91" s="2537"/>
      <c r="ES91" s="840">
        <f t="shared" si="232"/>
        <v>0</v>
      </c>
      <c r="ET91" s="843"/>
      <c r="EU91" s="2537"/>
      <c r="EV91" s="1497"/>
      <c r="EW91" s="1683"/>
      <c r="EX91" s="2562">
        <f t="shared" si="211"/>
        <v>58</v>
      </c>
      <c r="EY91" s="2533"/>
      <c r="EZ91" s="2561"/>
      <c r="FA91" s="1324">
        <f t="shared" si="152"/>
        <v>0</v>
      </c>
      <c r="FB91" s="2629">
        <f t="shared" si="212"/>
        <v>0</v>
      </c>
      <c r="FC91" s="274"/>
      <c r="FD91" s="2626">
        <f t="shared" si="153"/>
        <v>0</v>
      </c>
      <c r="FE91" s="2626">
        <f t="shared" si="154"/>
        <v>0</v>
      </c>
      <c r="FF91" s="274"/>
      <c r="FG91" s="2616">
        <f t="shared" si="213"/>
        <v>0</v>
      </c>
      <c r="FH91" s="2616">
        <f t="shared" si="214"/>
        <v>0</v>
      </c>
      <c r="FI91" s="2616">
        <f t="shared" si="215"/>
        <v>0</v>
      </c>
      <c r="FJ91" s="2610" t="s">
        <v>5</v>
      </c>
      <c r="FK91" s="2616">
        <f t="shared" si="216"/>
        <v>0</v>
      </c>
      <c r="FL91" s="2616">
        <f t="shared" si="217"/>
        <v>0</v>
      </c>
      <c r="FM91" s="2616">
        <f t="shared" si="218"/>
        <v>0</v>
      </c>
      <c r="FN91" s="2622">
        <f t="shared" si="219"/>
        <v>0</v>
      </c>
      <c r="FO91" s="2615">
        <f t="shared" si="220"/>
        <v>0</v>
      </c>
      <c r="FP91" s="2624">
        <f t="shared" si="221"/>
        <v>0</v>
      </c>
      <c r="FQ91" s="2622">
        <f t="shared" si="222"/>
        <v>0</v>
      </c>
      <c r="FR91" s="2624">
        <f t="shared" si="223"/>
        <v>0</v>
      </c>
      <c r="FS91" s="2611" t="s">
        <v>5</v>
      </c>
      <c r="FT91" s="2616">
        <f t="shared" si="224"/>
        <v>0</v>
      </c>
      <c r="FU91" s="2622">
        <f t="shared" si="129"/>
        <v>0</v>
      </c>
      <c r="FV91" s="2616">
        <f t="shared" si="225"/>
        <v>0</v>
      </c>
      <c r="FW91" s="2612" t="s">
        <v>5</v>
      </c>
      <c r="FX91" s="2616">
        <f t="shared" si="171"/>
        <v>0</v>
      </c>
      <c r="FY91" s="2616">
        <f t="shared" si="226"/>
        <v>0</v>
      </c>
      <c r="FZ91" s="2613" t="s">
        <v>5</v>
      </c>
      <c r="GA91" s="2616">
        <f t="shared" si="48"/>
        <v>0</v>
      </c>
      <c r="GB91" s="2619">
        <f t="shared" si="236"/>
        <v>0</v>
      </c>
      <c r="GC91" s="2620">
        <f t="shared" si="228"/>
        <v>0</v>
      </c>
      <c r="GD91" s="2614"/>
      <c r="GE91" s="3195">
        <f t="shared" si="143"/>
        <v>0</v>
      </c>
      <c r="GF91" s="3195">
        <f t="shared" si="144"/>
        <v>0</v>
      </c>
      <c r="GG91" s="3193" t="str">
        <f t="shared" si="18"/>
        <v>X</v>
      </c>
      <c r="GH91" s="2531"/>
      <c r="GI91" s="3189" t="str">
        <f t="shared" si="155"/>
        <v/>
      </c>
      <c r="GJ91" s="2598"/>
      <c r="GK91" s="3173">
        <f t="shared" si="156"/>
        <v>0</v>
      </c>
      <c r="GL91" s="3173">
        <f t="shared" si="157"/>
        <v>0</v>
      </c>
      <c r="GM91" s="3173">
        <f t="shared" si="158"/>
        <v>0</v>
      </c>
      <c r="GN91" s="3174">
        <f t="shared" si="159"/>
        <v>0</v>
      </c>
      <c r="GO91" s="3174">
        <f t="shared" si="160"/>
        <v>0</v>
      </c>
      <c r="GP91" s="3175">
        <f t="shared" si="161"/>
        <v>0</v>
      </c>
      <c r="GQ91" s="3176">
        <f t="shared" si="162"/>
        <v>0</v>
      </c>
      <c r="GR91" s="3177">
        <f t="shared" si="163"/>
        <v>0</v>
      </c>
      <c r="GS91" s="3177">
        <f t="shared" si="164"/>
        <v>0</v>
      </c>
      <c r="GT91" s="3178">
        <f t="shared" si="165"/>
        <v>0</v>
      </c>
      <c r="GU91" s="3179"/>
      <c r="GV91" s="3178">
        <f t="shared" si="166"/>
        <v>0</v>
      </c>
      <c r="GW91" s="3177">
        <f t="shared" si="167"/>
        <v>0</v>
      </c>
      <c r="GX91" s="3180"/>
      <c r="GY91" s="3177">
        <f t="shared" si="168"/>
        <v>0</v>
      </c>
      <c r="GZ91" s="2593"/>
      <c r="HA91" s="277"/>
      <c r="HB91" s="277"/>
      <c r="HC91" s="277"/>
      <c r="HD91" s="277"/>
      <c r="HE91" s="277"/>
      <c r="HF91" s="277"/>
      <c r="HG91" s="277"/>
      <c r="HH91" s="277"/>
      <c r="HI91" s="277"/>
      <c r="HJ91" s="277"/>
      <c r="HK91" s="277"/>
      <c r="HL91" s="277"/>
      <c r="HM91" s="277"/>
      <c r="HN91" s="277"/>
      <c r="HO91" s="277"/>
    </row>
    <row r="92" spans="1:223" s="749" customFormat="1" ht="18" customHeight="1" x14ac:dyDescent="0.3">
      <c r="A92" s="755"/>
      <c r="B92" s="805">
        <f>SUMIFS('3a Staff Plan'!$T$129:$T$305,'3a Staff Plan'!$DF$129:$DF$305,1,'3a Staff Plan'!$DA$129:$DA$305,1,'3a Staff Plan'!$J$129:$J$305,$FA92)</f>
        <v>0</v>
      </c>
      <c r="C92" s="805">
        <f>SUMIFS('3a Staff Plan'!$U$129:$U$305,'3a Staff Plan'!$DF$129:$DF$305,1,'3a Staff Plan'!$DA$129:$DA$305,1,'3a Staff Plan'!$J$129:$J$305,$FA92)</f>
        <v>0</v>
      </c>
      <c r="D92" s="805">
        <f>SUMIFS('3a Staff Plan'!$Z$129:$Z$305,'3a Staff Plan'!$DF$129:$DF$305,1,'3a Staff Plan'!$DA$129:$DA$305,1,'3a Staff Plan'!$J$129:$J$305,$FA92)</f>
        <v>0</v>
      </c>
      <c r="E92" s="805">
        <f>SUMIFS('3a Staff Plan'!$Y$129:$Y$305,'3a Staff Plan'!$DF$129:$DF$305,1,'3a Staff Plan'!$DA$129:$DA$305,1,'3a Staff Plan'!$J$129:$J$305,$FA92)</f>
        <v>0</v>
      </c>
      <c r="F92" s="805">
        <f>SUMIFS('3a Staff Plan'!$X$129:$X$305,'3a Staff Plan'!$DF$129:$DF$305,1,'3a Staff Plan'!$DA$129:$DA$305,1,'3a Staff Plan'!$AG$129:$AG$305,1,'3a Staff Plan'!$J$129:$J$305,$FA92)</f>
        <v>0</v>
      </c>
      <c r="G92" s="805">
        <f>IF($G$24=0,0,SUMIFS('3a Staff Plan'!$W$129:$W$305,'3a Staff Plan'!$DF$129:$DF$305,1,'3a Staff Plan'!$DA$129:$DA$305,1,'3a Staff Plan'!$J$129:$J$305,$FA92))</f>
        <v>0</v>
      </c>
      <c r="H92" s="795">
        <f t="shared" si="172"/>
        <v>0</v>
      </c>
      <c r="I92" s="805">
        <f>SUMIFS('3a Staff Plan'!$V$129:$V$305,'3a Staff Plan'!$DF$129:$DF$305,1,'3a Staff Plan'!$DA$129:$DA$305,1,'3a Staff Plan'!$J$129:$J$305,$FA92)</f>
        <v>0</v>
      </c>
      <c r="J92" s="805">
        <f>SUMIFS('3a Staff Plan'!$AB$129:$AB$305,'3a Staff Plan'!$DF$129:$DF$305,1,'3a Staff Plan'!$DA$129:$DA$305,1,'3a Staff Plan'!$J$129:$J$305,$FA92)</f>
        <v>0</v>
      </c>
      <c r="K92" s="805">
        <f>SUMIFS('3a Staff Plan'!$AA$129:$AA$305,'3a Staff Plan'!$DF$129:$DF$305,1,'3a Staff Plan'!$DA$129:$DA$305,1,'3a Staff Plan'!$AG$129:$AG$305,1,'3a Staff Plan'!$J$129:$J$305,$FA92)</f>
        <v>0</v>
      </c>
      <c r="L92" s="755"/>
      <c r="M92" s="805">
        <f>SUMIFS('3b Activity Plan'!$T$173:$T$365,'3b Activity Plan'!$CY$173:$CY$365,1,'3b Activity Plan'!$CT$173:$CT$365,1,'3b Activity Plan'!$J$173:$J$365,$FA92)</f>
        <v>0</v>
      </c>
      <c r="N92" s="805">
        <f>SUMIFS('3b Activity Plan'!$U$173:$U$365,'3b Activity Plan'!$CY$173:$CY$365,1,'3b Activity Plan'!$CT$173:$CT$365,1,'3b Activity Plan'!$J$173:$J$365,$FA92)</f>
        <v>0</v>
      </c>
      <c r="O92" s="805">
        <f>SUMIFS('3b Activity Plan'!$Z$173:$Z$365,'3b Activity Plan'!$CY$173:$CY$365,1,'3b Activity Plan'!$CT$173:$CT$365,1,'3b Activity Plan'!$J$173:$J$365,$FA92)</f>
        <v>0</v>
      </c>
      <c r="P92" s="805">
        <f>SUMIFS('3b Activity Plan'!$Y$173:$Y$365,'3b Activity Plan'!$CY$173:$CY$365,1,'3b Activity Plan'!$CT$173:$CT$365,1,'3b Activity Plan'!$J$173:$J$365,$FA92)</f>
        <v>0</v>
      </c>
      <c r="Q92" s="805">
        <f>SUMIFS('3b Activity Plan'!$X$173:$X$365,'3b Activity Plan'!$CY$173:$CY$365,1,'3b Activity Plan'!$CT$173:$CT$365,1,'3b Activity Plan'!$J$173:$J$365,$FA92)</f>
        <v>0</v>
      </c>
      <c r="R92" s="805">
        <f>IF($R$24=0,0,SUMIFS('3b Activity Plan'!$W$173:$W$365,'3b Activity Plan'!$CY$173:$CY$365,1,'3b Activity Plan'!$CT$173:$CT$365,1,'3b Activity Plan'!$J$173:$J$365,$FA92))</f>
        <v>0</v>
      </c>
      <c r="S92" s="795">
        <f t="shared" si="173"/>
        <v>0</v>
      </c>
      <c r="T92" s="805">
        <f>SUMIFS('3b Activity Plan'!$V$173:$V$365,'3b Activity Plan'!$CY$173:$CY$365,1,'3b Activity Plan'!$CT$173:$CT$365,1,'3b Activity Plan'!$J$173:$J$365,$FA92)</f>
        <v>0</v>
      </c>
      <c r="U92" s="805">
        <f>SUMIFS('3b Activity Plan'!$AB$173:$AB$365,'3b Activity Plan'!$CY$173:$CY$365,1,'3b Activity Plan'!$CT$173:$CT$365,1,'3b Activity Plan'!$J$173:$J$365,$FA92)</f>
        <v>0</v>
      </c>
      <c r="V92" s="805">
        <f>SUMIFS('3b Activity Plan'!$AA$173:$AA$365,'3b Activity Plan'!$CY$173:$CY$365,1,'3b Activity Plan'!$CT$173:$CT$365,1,'3b Activity Plan'!$J$173:$J$365,$FA92)</f>
        <v>0</v>
      </c>
      <c r="W92" s="755"/>
      <c r="X92" s="2641">
        <f>SUMIFS('3b Activity Plan'!$FU$173:$FU$365,'3b Activity Plan'!$J$173:$J$365,$FA92)</f>
        <v>0</v>
      </c>
      <c r="Y92" s="2641">
        <f>SUMIFS('3b Activity Plan'!$FW$173:$FW$365,'3b Activity Plan'!$J$173:$J$365,$FA92)</f>
        <v>0</v>
      </c>
      <c r="Z92" s="2639">
        <f t="shared" si="132"/>
        <v>0</v>
      </c>
      <c r="AA92" s="755"/>
      <c r="AB92" s="761">
        <f>_xlfn.MINIFS('3a Staff Plan'!$EB$129:$EB$304,'3a Staff Plan'!$DF$129:$DF$304,1,'3a Staff Plan'!$J$129:$J$304,FA92)</f>
        <v>0</v>
      </c>
      <c r="AC92" s="761">
        <f>_xlfn.MAXIFS('3a Staff Plan'!$EC$129:$EC$304,'3a Staff Plan'!$DF$129:$DF$304,1,'3a Staff Plan'!$J$129:$J$304,FA92)</f>
        <v>0</v>
      </c>
      <c r="AD92" s="755"/>
      <c r="AE92" s="761">
        <f>_xlfn.MINIFS('3b Activity Plan'!$GN$173:$GN$365,'3b Activity Plan'!$CY$173:$CY$365,1,'3b Activity Plan'!$J$173:$J$365,$FA92)</f>
        <v>0</v>
      </c>
      <c r="AF92" s="761">
        <f>_xlfn.MAXIFS('3b Activity Plan'!$GO$173:$GO$365,'3b Activity Plan'!$CY$173:$CY$365,1,'3b Activity Plan'!$J$173:$J$365,$FA92)</f>
        <v>0</v>
      </c>
      <c r="AG92" s="755"/>
      <c r="AH92" s="761">
        <f t="shared" si="174"/>
        <v>0</v>
      </c>
      <c r="AI92" s="761">
        <f t="shared" si="175"/>
        <v>0</v>
      </c>
      <c r="AJ92" s="755"/>
      <c r="AK92" s="761">
        <f t="shared" si="176"/>
        <v>0</v>
      </c>
      <c r="AL92" s="761">
        <f t="shared" si="177"/>
        <v>0</v>
      </c>
      <c r="AM92" s="776">
        <f t="shared" si="178"/>
        <v>0</v>
      </c>
      <c r="AN92" s="755"/>
      <c r="AO92" s="748">
        <f t="shared" si="179"/>
        <v>0</v>
      </c>
      <c r="AP92" s="748">
        <f t="shared" si="180"/>
        <v>0</v>
      </c>
      <c r="AQ92" s="748">
        <f t="shared" si="181"/>
        <v>0</v>
      </c>
      <c r="AR92" s="748">
        <f t="shared" si="182"/>
        <v>0</v>
      </c>
      <c r="AS92" s="748">
        <f t="shared" si="183"/>
        <v>0</v>
      </c>
      <c r="AT92" s="748">
        <f t="shared" si="184"/>
        <v>0</v>
      </c>
      <c r="AU92" s="748">
        <f t="shared" si="185"/>
        <v>0</v>
      </c>
      <c r="AV92" s="748">
        <f>IFERROR(INDEX('IPCS Data'!$R$8:$R$109,MATCH(EJ92,'IPCS Data'!$O$8:$O$109,0)),0)</f>
        <v>0</v>
      </c>
      <c r="AW92" s="755"/>
      <c r="AX92" s="499">
        <f>IFERROR(INDEX('IPCS Data'!$P$18:$P$110,MATCH(EK92,'IPCS Data'!$Q$18:$Q$110,0)),0)</f>
        <v>0</v>
      </c>
      <c r="AY92" s="1950" t="str">
        <f t="shared" si="110"/>
        <v/>
      </c>
      <c r="AZ92" s="755"/>
      <c r="BA92" s="753" t="str">
        <f>IFERROR(IF(MATCH(EJ92,'IPCS Data'!$O$8:$O$110,0)&gt;=25,"L","N"),"N")</f>
        <v>N</v>
      </c>
      <c r="BB92" s="774"/>
      <c r="BC92" s="753" t="str">
        <f t="shared" si="111"/>
        <v>N</v>
      </c>
      <c r="BD92" s="753" t="str">
        <f t="shared" si="39"/>
        <v>Non-Labor</v>
      </c>
      <c r="BE92" s="755"/>
      <c r="BF92" s="753" t="str">
        <f t="shared" si="112"/>
        <v>B23672.05</v>
      </c>
      <c r="BG92" s="753" t="str">
        <f t="shared" si="229"/>
        <v>0.0.0</v>
      </c>
      <c r="BH92" s="753">
        <f t="shared" si="187"/>
        <v>0</v>
      </c>
      <c r="BI92" s="753">
        <f t="shared" si="145"/>
        <v>0</v>
      </c>
      <c r="BJ92" s="753">
        <f t="shared" si="113"/>
        <v>0</v>
      </c>
      <c r="BK92" s="753">
        <f t="shared" si="40"/>
        <v>0</v>
      </c>
      <c r="BL92" s="753" t="b">
        <f t="shared" si="131"/>
        <v>1</v>
      </c>
      <c r="BM92" s="755"/>
      <c r="BN92" s="719">
        <f t="shared" si="188"/>
        <v>0</v>
      </c>
      <c r="BO92" s="719">
        <f t="shared" si="189"/>
        <v>110</v>
      </c>
      <c r="BP92" s="755"/>
      <c r="BQ92" s="719">
        <f>IF(AND((COUNTIFS('3a Staff Plan'!$J$129:$J$305,FA92)*$B$22)+(COUNTIFS('3b Activity Plan'!$J$173:$J$365,FA92)*$M$22)=0,FB92&gt;0),1,0)</f>
        <v>0</v>
      </c>
      <c r="BR92" s="719">
        <f t="shared" si="114"/>
        <v>0</v>
      </c>
      <c r="BS92" s="719">
        <f t="shared" si="190"/>
        <v>0</v>
      </c>
      <c r="BT92" s="719">
        <f t="shared" si="191"/>
        <v>0</v>
      </c>
      <c r="BU92" s="719">
        <f t="shared" si="192"/>
        <v>0</v>
      </c>
      <c r="BV92" s="719">
        <f t="shared" si="193"/>
        <v>0</v>
      </c>
      <c r="BW92" s="719">
        <f t="shared" si="194"/>
        <v>0</v>
      </c>
      <c r="BX92" s="719">
        <f t="shared" si="195"/>
        <v>0</v>
      </c>
      <c r="BY92" s="719">
        <f t="shared" si="196"/>
        <v>0</v>
      </c>
      <c r="BZ92" s="719">
        <f t="shared" si="115"/>
        <v>0</v>
      </c>
      <c r="CA92" s="719">
        <f t="shared" si="116"/>
        <v>0</v>
      </c>
      <c r="CB92" s="719">
        <f t="shared" si="197"/>
        <v>0</v>
      </c>
      <c r="CC92" s="719"/>
      <c r="CD92" s="719"/>
      <c r="CE92" s="719">
        <f t="shared" si="198"/>
        <v>0</v>
      </c>
      <c r="CF92" s="719">
        <f t="shared" si="117"/>
        <v>0</v>
      </c>
      <c r="CG92" s="719">
        <f t="shared" si="118"/>
        <v>0</v>
      </c>
      <c r="CH92" s="719">
        <f t="shared" si="119"/>
        <v>0</v>
      </c>
      <c r="CI92" s="719">
        <f t="shared" si="120"/>
        <v>0</v>
      </c>
      <c r="CJ92" s="719">
        <f t="shared" si="121"/>
        <v>0</v>
      </c>
      <c r="CK92" s="719">
        <f t="shared" si="122"/>
        <v>0</v>
      </c>
      <c r="CL92" s="719">
        <f t="shared" si="123"/>
        <v>0</v>
      </c>
      <c r="CM92" s="719">
        <f t="shared" si="124"/>
        <v>0</v>
      </c>
      <c r="CN92" s="719">
        <f t="shared" si="125"/>
        <v>0</v>
      </c>
      <c r="CO92" s="719">
        <f t="shared" si="42"/>
        <v>0</v>
      </c>
      <c r="CP92" s="719">
        <f t="shared" si="235"/>
        <v>0</v>
      </c>
      <c r="CQ92" s="719">
        <f t="shared" si="126"/>
        <v>59</v>
      </c>
      <c r="CR92" s="719">
        <f t="shared" si="127"/>
        <v>0</v>
      </c>
      <c r="CS92" s="2526"/>
      <c r="CT92" s="2527">
        <f t="shared" si="128"/>
        <v>64</v>
      </c>
      <c r="CU92" s="2527">
        <f t="shared" si="146"/>
        <v>0</v>
      </c>
      <c r="CV92" s="2527">
        <f t="shared" si="147"/>
        <v>0</v>
      </c>
      <c r="CW92" s="2527">
        <f t="shared" si="43"/>
        <v>0</v>
      </c>
      <c r="CX92" s="755"/>
      <c r="CY92" s="2537"/>
      <c r="CZ92" s="499">
        <f t="shared" si="169"/>
        <v>0</v>
      </c>
      <c r="DA92" s="1107">
        <f t="shared" si="170"/>
        <v>0</v>
      </c>
      <c r="DB92" s="2537"/>
      <c r="DC92" s="499">
        <f t="shared" si="200"/>
        <v>0</v>
      </c>
      <c r="DD92" s="1107">
        <f t="shared" si="201"/>
        <v>0</v>
      </c>
      <c r="DE92" s="2537"/>
      <c r="DF92" s="499">
        <f t="shared" si="202"/>
        <v>0</v>
      </c>
      <c r="DG92" s="1107">
        <f t="shared" si="203"/>
        <v>0</v>
      </c>
      <c r="DH92" s="2537"/>
      <c r="DI92" s="499">
        <f t="shared" si="204"/>
        <v>0</v>
      </c>
      <c r="DJ92" s="1107">
        <f t="shared" si="205"/>
        <v>0</v>
      </c>
      <c r="DK92" s="2537"/>
      <c r="DL92" s="499">
        <f t="shared" si="206"/>
        <v>0</v>
      </c>
      <c r="DM92" s="1107">
        <f t="shared" si="207"/>
        <v>0</v>
      </c>
      <c r="DN92" s="2537"/>
      <c r="DO92" s="499">
        <f t="shared" si="208"/>
        <v>0</v>
      </c>
      <c r="DP92" s="1107">
        <f t="shared" si="209"/>
        <v>0</v>
      </c>
      <c r="DQ92" s="2537"/>
      <c r="DR92" s="2559"/>
      <c r="DS92" s="499">
        <f t="shared" si="148"/>
        <v>0</v>
      </c>
      <c r="DT92" s="1106">
        <f t="shared" si="149"/>
        <v>0</v>
      </c>
      <c r="DU92" s="2537"/>
      <c r="DV92" s="2559"/>
      <c r="DW92" s="2312">
        <f t="shared" si="150"/>
        <v>0</v>
      </c>
      <c r="DX92" s="1106">
        <f t="shared" si="151"/>
        <v>0</v>
      </c>
      <c r="DY92" s="2572"/>
      <c r="DZ92" s="2537"/>
      <c r="EA92" s="2537"/>
      <c r="EB92" s="2577" t="str">
        <f t="shared" si="210"/>
        <v>05</v>
      </c>
      <c r="EC92" s="2570"/>
      <c r="ED92" s="436">
        <f>IFERROR(INDEX('IPCS Data'!$H$8:$H$30,MATCH(EE92,'IPCS Data'!$I$8:$I$30,0)),0)</f>
        <v>0</v>
      </c>
      <c r="EE92" s="437"/>
      <c r="EF92" s="2570"/>
      <c r="EG92" s="499">
        <f>IFERROR(INDEX('IPCS Data'!$L$8:$L$27,MATCH(EH92,'IPCS Data'!$M$8:$M$27,0)),0)</f>
        <v>0</v>
      </c>
      <c r="EH92" s="437"/>
      <c r="EI92" s="2578" t="s">
        <v>5</v>
      </c>
      <c r="EJ92" s="748">
        <f>IFERROR(INDEX('IPCS Data'!$O$8:$O$110,MATCH(EK92,'IPCS Data'!$Q$8:$Q$110,0)),0)</f>
        <v>0</v>
      </c>
      <c r="EK92" s="437"/>
      <c r="EL92" s="2578"/>
      <c r="EM92" s="840">
        <f t="shared" si="230"/>
        <v>0</v>
      </c>
      <c r="EN92" s="841"/>
      <c r="EO92" s="2537"/>
      <c r="EP92" s="842">
        <f t="shared" si="231"/>
        <v>0</v>
      </c>
      <c r="EQ92" s="843"/>
      <c r="ER92" s="2537"/>
      <c r="ES92" s="840">
        <f t="shared" si="232"/>
        <v>0</v>
      </c>
      <c r="ET92" s="843"/>
      <c r="EU92" s="2537"/>
      <c r="EV92" s="1497"/>
      <c r="EW92" s="1683"/>
      <c r="EX92" s="2562">
        <f t="shared" si="211"/>
        <v>59</v>
      </c>
      <c r="EY92" s="2533"/>
      <c r="EZ92" s="2561"/>
      <c r="FA92" s="1324">
        <f t="shared" si="152"/>
        <v>0</v>
      </c>
      <c r="FB92" s="2629">
        <f t="shared" si="212"/>
        <v>0</v>
      </c>
      <c r="FC92" s="274"/>
      <c r="FD92" s="2626">
        <f t="shared" si="153"/>
        <v>0</v>
      </c>
      <c r="FE92" s="2626">
        <f t="shared" si="154"/>
        <v>0</v>
      </c>
      <c r="FF92" s="274"/>
      <c r="FG92" s="2616">
        <f t="shared" si="213"/>
        <v>0</v>
      </c>
      <c r="FH92" s="2616">
        <f t="shared" si="214"/>
        <v>0</v>
      </c>
      <c r="FI92" s="2616">
        <f t="shared" si="215"/>
        <v>0</v>
      </c>
      <c r="FJ92" s="2610" t="s">
        <v>5</v>
      </c>
      <c r="FK92" s="2616">
        <f t="shared" si="216"/>
        <v>0</v>
      </c>
      <c r="FL92" s="2616">
        <f t="shared" si="217"/>
        <v>0</v>
      </c>
      <c r="FM92" s="2616">
        <f t="shared" si="218"/>
        <v>0</v>
      </c>
      <c r="FN92" s="2622">
        <f t="shared" si="219"/>
        <v>0</v>
      </c>
      <c r="FO92" s="2615">
        <f t="shared" si="220"/>
        <v>0</v>
      </c>
      <c r="FP92" s="2624">
        <f t="shared" si="221"/>
        <v>0</v>
      </c>
      <c r="FQ92" s="2622">
        <f t="shared" si="222"/>
        <v>0</v>
      </c>
      <c r="FR92" s="2624">
        <f t="shared" si="223"/>
        <v>0</v>
      </c>
      <c r="FS92" s="2611" t="s">
        <v>5</v>
      </c>
      <c r="FT92" s="2616">
        <f t="shared" si="224"/>
        <v>0</v>
      </c>
      <c r="FU92" s="2622">
        <f t="shared" si="129"/>
        <v>0</v>
      </c>
      <c r="FV92" s="2616">
        <f t="shared" si="225"/>
        <v>0</v>
      </c>
      <c r="FW92" s="2612" t="s">
        <v>5</v>
      </c>
      <c r="FX92" s="2616">
        <f t="shared" si="171"/>
        <v>0</v>
      </c>
      <c r="FY92" s="2616">
        <f t="shared" si="226"/>
        <v>0</v>
      </c>
      <c r="FZ92" s="2613" t="s">
        <v>5</v>
      </c>
      <c r="GA92" s="2616">
        <f t="shared" si="48"/>
        <v>0</v>
      </c>
      <c r="GB92" s="2619">
        <f t="shared" si="236"/>
        <v>0</v>
      </c>
      <c r="GC92" s="2620">
        <f t="shared" si="228"/>
        <v>0</v>
      </c>
      <c r="GD92" s="2614"/>
      <c r="GE92" s="3195">
        <f t="shared" si="143"/>
        <v>0</v>
      </c>
      <c r="GF92" s="3195">
        <f t="shared" si="144"/>
        <v>0</v>
      </c>
      <c r="GG92" s="3193" t="str">
        <f t="shared" si="18"/>
        <v>X</v>
      </c>
      <c r="GH92" s="2531"/>
      <c r="GI92" s="3189" t="str">
        <f t="shared" si="155"/>
        <v/>
      </c>
      <c r="GJ92" s="2598"/>
      <c r="GK92" s="3173">
        <f t="shared" si="156"/>
        <v>0</v>
      </c>
      <c r="GL92" s="3173">
        <f t="shared" si="157"/>
        <v>0</v>
      </c>
      <c r="GM92" s="3173">
        <f t="shared" si="158"/>
        <v>0</v>
      </c>
      <c r="GN92" s="3174">
        <f t="shared" si="159"/>
        <v>0</v>
      </c>
      <c r="GO92" s="3174">
        <f t="shared" si="160"/>
        <v>0</v>
      </c>
      <c r="GP92" s="3175">
        <f t="shared" si="161"/>
        <v>0</v>
      </c>
      <c r="GQ92" s="3176">
        <f t="shared" si="162"/>
        <v>0</v>
      </c>
      <c r="GR92" s="3177">
        <f t="shared" si="163"/>
        <v>0</v>
      </c>
      <c r="GS92" s="3177">
        <f t="shared" si="164"/>
        <v>0</v>
      </c>
      <c r="GT92" s="3178">
        <f t="shared" si="165"/>
        <v>0</v>
      </c>
      <c r="GU92" s="3179"/>
      <c r="GV92" s="3178">
        <f t="shared" si="166"/>
        <v>0</v>
      </c>
      <c r="GW92" s="3177">
        <f t="shared" si="167"/>
        <v>0</v>
      </c>
      <c r="GX92" s="3180"/>
      <c r="GY92" s="3177">
        <f t="shared" si="168"/>
        <v>0</v>
      </c>
      <c r="GZ92" s="2593"/>
      <c r="HA92" s="277"/>
      <c r="HB92" s="277"/>
      <c r="HC92" s="277"/>
      <c r="HD92" s="277"/>
      <c r="HE92" s="277"/>
      <c r="HF92" s="277"/>
      <c r="HG92" s="277"/>
      <c r="HH92" s="277"/>
      <c r="HI92" s="277"/>
      <c r="HJ92" s="277"/>
      <c r="HK92" s="277"/>
      <c r="HL92" s="277"/>
      <c r="HM92" s="277"/>
      <c r="HN92" s="277"/>
      <c r="HO92" s="277"/>
    </row>
    <row r="93" spans="1:223" s="749" customFormat="1" ht="18" customHeight="1" x14ac:dyDescent="0.3">
      <c r="A93" s="755"/>
      <c r="B93" s="805">
        <f>SUMIFS('3a Staff Plan'!$T$129:$T$305,'3a Staff Plan'!$DF$129:$DF$305,1,'3a Staff Plan'!$DA$129:$DA$305,1,'3a Staff Plan'!$J$129:$J$305,$FA93)</f>
        <v>0</v>
      </c>
      <c r="C93" s="805">
        <f>SUMIFS('3a Staff Plan'!$U$129:$U$305,'3a Staff Plan'!$DF$129:$DF$305,1,'3a Staff Plan'!$DA$129:$DA$305,1,'3a Staff Plan'!$J$129:$J$305,$FA93)</f>
        <v>0</v>
      </c>
      <c r="D93" s="805">
        <f>SUMIFS('3a Staff Plan'!$Z$129:$Z$305,'3a Staff Plan'!$DF$129:$DF$305,1,'3a Staff Plan'!$DA$129:$DA$305,1,'3a Staff Plan'!$J$129:$J$305,$FA93)</f>
        <v>0</v>
      </c>
      <c r="E93" s="805">
        <f>SUMIFS('3a Staff Plan'!$Y$129:$Y$305,'3a Staff Plan'!$DF$129:$DF$305,1,'3a Staff Plan'!$DA$129:$DA$305,1,'3a Staff Plan'!$J$129:$J$305,$FA93)</f>
        <v>0</v>
      </c>
      <c r="F93" s="805">
        <f>SUMIFS('3a Staff Plan'!$X$129:$X$305,'3a Staff Plan'!$DF$129:$DF$305,1,'3a Staff Plan'!$DA$129:$DA$305,1,'3a Staff Plan'!$AG$129:$AG$305,1,'3a Staff Plan'!$J$129:$J$305,$FA93)</f>
        <v>0</v>
      </c>
      <c r="G93" s="805">
        <f>IF($G$24=0,0,SUMIFS('3a Staff Plan'!$W$129:$W$305,'3a Staff Plan'!$DF$129:$DF$305,1,'3a Staff Plan'!$DA$129:$DA$305,1,'3a Staff Plan'!$J$129:$J$305,$FA93))</f>
        <v>0</v>
      </c>
      <c r="H93" s="795">
        <f t="shared" si="172"/>
        <v>0</v>
      </c>
      <c r="I93" s="805">
        <f>SUMIFS('3a Staff Plan'!$V$129:$V$305,'3a Staff Plan'!$DF$129:$DF$305,1,'3a Staff Plan'!$DA$129:$DA$305,1,'3a Staff Plan'!$J$129:$J$305,$FA93)</f>
        <v>0</v>
      </c>
      <c r="J93" s="805">
        <f>SUMIFS('3a Staff Plan'!$AB$129:$AB$305,'3a Staff Plan'!$DF$129:$DF$305,1,'3a Staff Plan'!$DA$129:$DA$305,1,'3a Staff Plan'!$J$129:$J$305,$FA93)</f>
        <v>0</v>
      </c>
      <c r="K93" s="805">
        <f>SUMIFS('3a Staff Plan'!$AA$129:$AA$305,'3a Staff Plan'!$DF$129:$DF$305,1,'3a Staff Plan'!$DA$129:$DA$305,1,'3a Staff Plan'!$AG$129:$AG$305,1,'3a Staff Plan'!$J$129:$J$305,$FA93)</f>
        <v>0</v>
      </c>
      <c r="L93" s="755"/>
      <c r="M93" s="805">
        <f>SUMIFS('3b Activity Plan'!$T$173:$T$365,'3b Activity Plan'!$CY$173:$CY$365,1,'3b Activity Plan'!$CT$173:$CT$365,1,'3b Activity Plan'!$J$173:$J$365,$FA93)</f>
        <v>0</v>
      </c>
      <c r="N93" s="805">
        <f>SUMIFS('3b Activity Plan'!$U$173:$U$365,'3b Activity Plan'!$CY$173:$CY$365,1,'3b Activity Plan'!$CT$173:$CT$365,1,'3b Activity Plan'!$J$173:$J$365,$FA93)</f>
        <v>0</v>
      </c>
      <c r="O93" s="805">
        <f>SUMIFS('3b Activity Plan'!$Z$173:$Z$365,'3b Activity Plan'!$CY$173:$CY$365,1,'3b Activity Plan'!$CT$173:$CT$365,1,'3b Activity Plan'!$J$173:$J$365,$FA93)</f>
        <v>0</v>
      </c>
      <c r="P93" s="805">
        <f>SUMIFS('3b Activity Plan'!$Y$173:$Y$365,'3b Activity Plan'!$CY$173:$CY$365,1,'3b Activity Plan'!$CT$173:$CT$365,1,'3b Activity Plan'!$J$173:$J$365,$FA93)</f>
        <v>0</v>
      </c>
      <c r="Q93" s="805">
        <f>SUMIFS('3b Activity Plan'!$X$173:$X$365,'3b Activity Plan'!$CY$173:$CY$365,1,'3b Activity Plan'!$CT$173:$CT$365,1,'3b Activity Plan'!$J$173:$J$365,$FA93)</f>
        <v>0</v>
      </c>
      <c r="R93" s="805">
        <f>IF($R$24=0,0,SUMIFS('3b Activity Plan'!$W$173:$W$365,'3b Activity Plan'!$CY$173:$CY$365,1,'3b Activity Plan'!$CT$173:$CT$365,1,'3b Activity Plan'!$J$173:$J$365,$FA93))</f>
        <v>0</v>
      </c>
      <c r="S93" s="795">
        <f t="shared" si="173"/>
        <v>0</v>
      </c>
      <c r="T93" s="805">
        <f>SUMIFS('3b Activity Plan'!$V$173:$V$365,'3b Activity Plan'!$CY$173:$CY$365,1,'3b Activity Plan'!$CT$173:$CT$365,1,'3b Activity Plan'!$J$173:$J$365,$FA93)</f>
        <v>0</v>
      </c>
      <c r="U93" s="805">
        <f>SUMIFS('3b Activity Plan'!$AB$173:$AB$365,'3b Activity Plan'!$CY$173:$CY$365,1,'3b Activity Plan'!$CT$173:$CT$365,1,'3b Activity Plan'!$J$173:$J$365,$FA93)</f>
        <v>0</v>
      </c>
      <c r="V93" s="805">
        <f>SUMIFS('3b Activity Plan'!$AA$173:$AA$365,'3b Activity Plan'!$CY$173:$CY$365,1,'3b Activity Plan'!$CT$173:$CT$365,1,'3b Activity Plan'!$J$173:$J$365,$FA93)</f>
        <v>0</v>
      </c>
      <c r="W93" s="755"/>
      <c r="X93" s="2641">
        <f>SUMIFS('3b Activity Plan'!$FU$173:$FU$365,'3b Activity Plan'!$J$173:$J$365,$FA93)</f>
        <v>0</v>
      </c>
      <c r="Y93" s="2641">
        <f>SUMIFS('3b Activity Plan'!$FW$173:$FW$365,'3b Activity Plan'!$J$173:$J$365,$FA93)</f>
        <v>0</v>
      </c>
      <c r="Z93" s="2639">
        <f t="shared" si="132"/>
        <v>0</v>
      </c>
      <c r="AA93" s="755"/>
      <c r="AB93" s="761">
        <f>_xlfn.MINIFS('3a Staff Plan'!$EB$129:$EB$304,'3a Staff Plan'!$DF$129:$DF$304,1,'3a Staff Plan'!$J$129:$J$304,FA93)</f>
        <v>0</v>
      </c>
      <c r="AC93" s="761">
        <f>_xlfn.MAXIFS('3a Staff Plan'!$EC$129:$EC$304,'3a Staff Plan'!$DF$129:$DF$304,1,'3a Staff Plan'!$J$129:$J$304,FA93)</f>
        <v>0</v>
      </c>
      <c r="AD93" s="755"/>
      <c r="AE93" s="761">
        <f>_xlfn.MINIFS('3b Activity Plan'!$GN$173:$GN$365,'3b Activity Plan'!$CY$173:$CY$365,1,'3b Activity Plan'!$J$173:$J$365,$FA93)</f>
        <v>0</v>
      </c>
      <c r="AF93" s="761">
        <f>_xlfn.MAXIFS('3b Activity Plan'!$GO$173:$GO$365,'3b Activity Plan'!$CY$173:$CY$365,1,'3b Activity Plan'!$J$173:$J$365,$FA93)</f>
        <v>0</v>
      </c>
      <c r="AG93" s="755"/>
      <c r="AH93" s="761">
        <f t="shared" si="174"/>
        <v>0</v>
      </c>
      <c r="AI93" s="761">
        <f t="shared" si="175"/>
        <v>0</v>
      </c>
      <c r="AJ93" s="755"/>
      <c r="AK93" s="761">
        <f t="shared" si="176"/>
        <v>0</v>
      </c>
      <c r="AL93" s="761">
        <f t="shared" si="177"/>
        <v>0</v>
      </c>
      <c r="AM93" s="776">
        <f t="shared" si="178"/>
        <v>0</v>
      </c>
      <c r="AN93" s="755"/>
      <c r="AO93" s="748">
        <f t="shared" si="179"/>
        <v>0</v>
      </c>
      <c r="AP93" s="748">
        <f t="shared" si="180"/>
        <v>0</v>
      </c>
      <c r="AQ93" s="748">
        <f t="shared" si="181"/>
        <v>0</v>
      </c>
      <c r="AR93" s="748">
        <f t="shared" si="182"/>
        <v>0</v>
      </c>
      <c r="AS93" s="748">
        <f t="shared" si="183"/>
        <v>0</v>
      </c>
      <c r="AT93" s="748">
        <f t="shared" si="184"/>
        <v>0</v>
      </c>
      <c r="AU93" s="748">
        <f t="shared" si="185"/>
        <v>0</v>
      </c>
      <c r="AV93" s="748">
        <f>IFERROR(INDEX('IPCS Data'!$R$8:$R$109,MATCH(EJ93,'IPCS Data'!$O$8:$O$109,0)),0)</f>
        <v>0</v>
      </c>
      <c r="AW93" s="755"/>
      <c r="AX93" s="499">
        <f>IFERROR(INDEX('IPCS Data'!$P$18:$P$110,MATCH(EK93,'IPCS Data'!$Q$18:$Q$110,0)),0)</f>
        <v>0</v>
      </c>
      <c r="AY93" s="1950" t="str">
        <f t="shared" si="110"/>
        <v/>
      </c>
      <c r="AZ93" s="755"/>
      <c r="BA93" s="753" t="str">
        <f>IFERROR(IF(MATCH(EJ93,'IPCS Data'!$O$8:$O$110,0)&gt;=25,"L","N"),"N")</f>
        <v>N</v>
      </c>
      <c r="BB93" s="774"/>
      <c r="BC93" s="753" t="str">
        <f t="shared" si="111"/>
        <v>N</v>
      </c>
      <c r="BD93" s="753" t="str">
        <f t="shared" ref="BD93:BD94" si="237">IF(BC93="L","Labor","Non-Labor")</f>
        <v>Non-Labor</v>
      </c>
      <c r="BE93" s="755"/>
      <c r="BF93" s="753" t="str">
        <f t="shared" si="112"/>
        <v>B23672.05</v>
      </c>
      <c r="BG93" s="753" t="str">
        <f t="shared" si="229"/>
        <v>0.0.0</v>
      </c>
      <c r="BH93" s="753">
        <f t="shared" si="187"/>
        <v>0</v>
      </c>
      <c r="BI93" s="753">
        <f t="shared" ref="BI93:BI94" si="238">IF($EG$8=1,BH93,TEXT(EB93,"00")&amp;"."&amp;BH93)</f>
        <v>0</v>
      </c>
      <c r="BJ93" s="753">
        <f t="shared" si="113"/>
        <v>0</v>
      </c>
      <c r="BK93" s="753">
        <f t="shared" ref="BK93:BK94" si="239">IF($EA$8=4,EJ93,EV93)</f>
        <v>0</v>
      </c>
      <c r="BL93" s="753" t="b">
        <f t="shared" si="131"/>
        <v>1</v>
      </c>
      <c r="BM93" s="755"/>
      <c r="BN93" s="719">
        <f t="shared" si="188"/>
        <v>0</v>
      </c>
      <c r="BO93" s="719">
        <f t="shared" si="189"/>
        <v>110</v>
      </c>
      <c r="BP93" s="755"/>
      <c r="BQ93" s="719">
        <f>IF(AND((COUNTIFS('3a Staff Plan'!$J$129:$J$305,FA93)*$B$22)+(COUNTIFS('3b Activity Plan'!$J$173:$J$365,FA93)*$M$22)=0,FB93&gt;0),1,0)</f>
        <v>0</v>
      </c>
      <c r="BR93" s="719">
        <f t="shared" si="114"/>
        <v>0</v>
      </c>
      <c r="BS93" s="719">
        <f t="shared" si="190"/>
        <v>0</v>
      </c>
      <c r="BT93" s="719">
        <f t="shared" si="191"/>
        <v>0</v>
      </c>
      <c r="BU93" s="719">
        <f t="shared" si="192"/>
        <v>0</v>
      </c>
      <c r="BV93" s="719">
        <f t="shared" si="193"/>
        <v>0</v>
      </c>
      <c r="BW93" s="719">
        <f t="shared" si="194"/>
        <v>0</v>
      </c>
      <c r="BX93" s="719">
        <f t="shared" si="195"/>
        <v>0</v>
      </c>
      <c r="BY93" s="719">
        <f t="shared" si="196"/>
        <v>0</v>
      </c>
      <c r="BZ93" s="719">
        <f t="shared" si="115"/>
        <v>0</v>
      </c>
      <c r="CA93" s="719">
        <f t="shared" si="116"/>
        <v>0</v>
      </c>
      <c r="CB93" s="719">
        <f t="shared" si="197"/>
        <v>0</v>
      </c>
      <c r="CC93" s="719"/>
      <c r="CD93" s="719"/>
      <c r="CE93" s="719">
        <f t="shared" si="198"/>
        <v>0</v>
      </c>
      <c r="CF93" s="719">
        <f t="shared" si="117"/>
        <v>0</v>
      </c>
      <c r="CG93" s="719">
        <f t="shared" si="118"/>
        <v>0</v>
      </c>
      <c r="CH93" s="719">
        <f t="shared" si="119"/>
        <v>0</v>
      </c>
      <c r="CI93" s="719">
        <f t="shared" si="120"/>
        <v>0</v>
      </c>
      <c r="CJ93" s="719">
        <f t="shared" si="121"/>
        <v>0</v>
      </c>
      <c r="CK93" s="719">
        <f t="shared" si="122"/>
        <v>0</v>
      </c>
      <c r="CL93" s="719">
        <f t="shared" si="123"/>
        <v>0</v>
      </c>
      <c r="CM93" s="719">
        <f t="shared" si="124"/>
        <v>0</v>
      </c>
      <c r="CN93" s="719">
        <f t="shared" si="125"/>
        <v>0</v>
      </c>
      <c r="CO93" s="719">
        <f t="shared" si="42"/>
        <v>0</v>
      </c>
      <c r="CP93" s="719">
        <f t="shared" si="235"/>
        <v>0</v>
      </c>
      <c r="CQ93" s="719">
        <f t="shared" si="126"/>
        <v>60</v>
      </c>
      <c r="CR93" s="719">
        <f t="shared" si="127"/>
        <v>0</v>
      </c>
      <c r="CS93" s="2526"/>
      <c r="CT93" s="2527">
        <f t="shared" si="128"/>
        <v>65</v>
      </c>
      <c r="CU93" s="2527">
        <f t="shared" si="146"/>
        <v>0</v>
      </c>
      <c r="CV93" s="2527">
        <f t="shared" si="147"/>
        <v>0</v>
      </c>
      <c r="CW93" s="2527">
        <f t="shared" si="43"/>
        <v>0</v>
      </c>
      <c r="CX93" s="755"/>
      <c r="CY93" s="2537"/>
      <c r="CZ93" s="499">
        <f t="shared" si="169"/>
        <v>0</v>
      </c>
      <c r="DA93" s="1107">
        <f t="shared" si="170"/>
        <v>0</v>
      </c>
      <c r="DB93" s="2537"/>
      <c r="DC93" s="499">
        <f t="shared" si="200"/>
        <v>0</v>
      </c>
      <c r="DD93" s="1107">
        <f t="shared" si="201"/>
        <v>0</v>
      </c>
      <c r="DE93" s="2537"/>
      <c r="DF93" s="499">
        <f t="shared" si="202"/>
        <v>0</v>
      </c>
      <c r="DG93" s="1107">
        <f t="shared" si="203"/>
        <v>0</v>
      </c>
      <c r="DH93" s="2537"/>
      <c r="DI93" s="499">
        <f t="shared" si="204"/>
        <v>0</v>
      </c>
      <c r="DJ93" s="1107">
        <f t="shared" si="205"/>
        <v>0</v>
      </c>
      <c r="DK93" s="2537"/>
      <c r="DL93" s="499">
        <f t="shared" si="206"/>
        <v>0</v>
      </c>
      <c r="DM93" s="1107">
        <f t="shared" si="207"/>
        <v>0</v>
      </c>
      <c r="DN93" s="2537"/>
      <c r="DO93" s="499">
        <f t="shared" si="208"/>
        <v>0</v>
      </c>
      <c r="DP93" s="1107">
        <f t="shared" si="209"/>
        <v>0</v>
      </c>
      <c r="DQ93" s="2537"/>
      <c r="DR93" s="2559"/>
      <c r="DS93" s="499">
        <f t="shared" ref="DS93:DS94" si="240">IFERROR(INDEX(DS$6:DS$15,MATCH(DT93,DT$6:DT$15,0)),0)</f>
        <v>0</v>
      </c>
      <c r="DT93" s="1106">
        <f t="shared" si="149"/>
        <v>0</v>
      </c>
      <c r="DU93" s="2537"/>
      <c r="DV93" s="2559"/>
      <c r="DW93" s="2312">
        <f t="shared" ref="DW93:DW94" si="241">IFERROR(INDEX(DW$6:DW$15,MATCH(DX93,DX$6:DX$15,0)),0)</f>
        <v>0</v>
      </c>
      <c r="DX93" s="1106">
        <f t="shared" si="151"/>
        <v>0</v>
      </c>
      <c r="DY93" s="2572"/>
      <c r="DZ93" s="2537"/>
      <c r="EA93" s="2537"/>
      <c r="EB93" s="2577" t="str">
        <f t="shared" si="210"/>
        <v>05</v>
      </c>
      <c r="EC93" s="2570"/>
      <c r="ED93" s="436">
        <f>IFERROR(INDEX('IPCS Data'!$H$8:$H$30,MATCH(EE93,'IPCS Data'!$I$8:$I$30,0)),0)</f>
        <v>0</v>
      </c>
      <c r="EE93" s="437"/>
      <c r="EF93" s="2570"/>
      <c r="EG93" s="499">
        <f>IFERROR(INDEX('IPCS Data'!$L$8:$L$27,MATCH(EH93,'IPCS Data'!$M$8:$M$27,0)),0)</f>
        <v>0</v>
      </c>
      <c r="EH93" s="437"/>
      <c r="EI93" s="2578" t="s">
        <v>5</v>
      </c>
      <c r="EJ93" s="748">
        <f>IFERROR(INDEX('IPCS Data'!$O$8:$O$110,MATCH(EK93,'IPCS Data'!$Q$8:$Q$110,0)),0)</f>
        <v>0</v>
      </c>
      <c r="EK93" s="437"/>
      <c r="EL93" s="2578"/>
      <c r="EM93" s="840">
        <f t="shared" si="230"/>
        <v>0</v>
      </c>
      <c r="EN93" s="841"/>
      <c r="EO93" s="2537"/>
      <c r="EP93" s="842">
        <f t="shared" si="231"/>
        <v>0</v>
      </c>
      <c r="EQ93" s="843"/>
      <c r="ER93" s="2537"/>
      <c r="ES93" s="840">
        <f t="shared" si="232"/>
        <v>0</v>
      </c>
      <c r="ET93" s="843"/>
      <c r="EU93" s="2537"/>
      <c r="EV93" s="1497"/>
      <c r="EW93" s="1683"/>
      <c r="EX93" s="2562">
        <f t="shared" si="211"/>
        <v>60</v>
      </c>
      <c r="EY93" s="2533"/>
      <c r="EZ93" s="2561"/>
      <c r="FA93" s="1324">
        <f t="shared" si="152"/>
        <v>0</v>
      </c>
      <c r="FB93" s="2629">
        <f t="shared" si="212"/>
        <v>0</v>
      </c>
      <c r="FC93" s="274"/>
      <c r="FD93" s="2626">
        <f t="shared" si="153"/>
        <v>0</v>
      </c>
      <c r="FE93" s="2626">
        <f t="shared" si="154"/>
        <v>0</v>
      </c>
      <c r="FF93" s="274"/>
      <c r="FG93" s="2616">
        <f t="shared" si="213"/>
        <v>0</v>
      </c>
      <c r="FH93" s="2616">
        <f t="shared" si="214"/>
        <v>0</v>
      </c>
      <c r="FI93" s="2616">
        <f t="shared" si="215"/>
        <v>0</v>
      </c>
      <c r="FJ93" s="2610" t="s">
        <v>5</v>
      </c>
      <c r="FK93" s="2616">
        <f t="shared" si="216"/>
        <v>0</v>
      </c>
      <c r="FL93" s="2616">
        <f t="shared" si="217"/>
        <v>0</v>
      </c>
      <c r="FM93" s="2616">
        <f t="shared" si="218"/>
        <v>0</v>
      </c>
      <c r="FN93" s="2622">
        <f t="shared" si="219"/>
        <v>0</v>
      </c>
      <c r="FO93" s="2615">
        <f t="shared" si="220"/>
        <v>0</v>
      </c>
      <c r="FP93" s="2624">
        <f t="shared" si="221"/>
        <v>0</v>
      </c>
      <c r="FQ93" s="2622">
        <f t="shared" si="222"/>
        <v>0</v>
      </c>
      <c r="FR93" s="2624">
        <f t="shared" si="223"/>
        <v>0</v>
      </c>
      <c r="FS93" s="2611" t="s">
        <v>5</v>
      </c>
      <c r="FT93" s="2616">
        <f t="shared" si="224"/>
        <v>0</v>
      </c>
      <c r="FU93" s="2622">
        <f t="shared" si="129"/>
        <v>0</v>
      </c>
      <c r="FV93" s="2616">
        <f t="shared" si="225"/>
        <v>0</v>
      </c>
      <c r="FW93" s="2612" t="s">
        <v>5</v>
      </c>
      <c r="FX93" s="2616">
        <f t="shared" si="171"/>
        <v>0</v>
      </c>
      <c r="FY93" s="2616">
        <f t="shared" si="226"/>
        <v>0</v>
      </c>
      <c r="FZ93" s="2613" t="s">
        <v>5</v>
      </c>
      <c r="GA93" s="2616">
        <f t="shared" si="48"/>
        <v>0</v>
      </c>
      <c r="GB93" s="2619">
        <f t="shared" si="236"/>
        <v>0</v>
      </c>
      <c r="GC93" s="2620">
        <f t="shared" si="228"/>
        <v>0</v>
      </c>
      <c r="GD93" s="2614"/>
      <c r="GE93" s="3195">
        <f t="shared" ref="GE93:GE94" si="242">$FA93</f>
        <v>0</v>
      </c>
      <c r="GF93" s="3195">
        <f t="shared" ref="GF93:GF94" si="243">FB93</f>
        <v>0</v>
      </c>
      <c r="GG93" s="3193" t="str">
        <f t="shared" si="18"/>
        <v>X</v>
      </c>
      <c r="GH93" s="2531"/>
      <c r="GI93" s="3189" t="str">
        <f t="shared" si="155"/>
        <v/>
      </c>
      <c r="GJ93" s="2598"/>
      <c r="GK93" s="3173">
        <f t="shared" si="156"/>
        <v>0</v>
      </c>
      <c r="GL93" s="3173">
        <f t="shared" si="157"/>
        <v>0</v>
      </c>
      <c r="GM93" s="3173">
        <f t="shared" si="158"/>
        <v>0</v>
      </c>
      <c r="GN93" s="3174">
        <f t="shared" si="159"/>
        <v>0</v>
      </c>
      <c r="GO93" s="3174">
        <f t="shared" si="160"/>
        <v>0</v>
      </c>
      <c r="GP93" s="3175">
        <f t="shared" si="161"/>
        <v>0</v>
      </c>
      <c r="GQ93" s="3176">
        <f t="shared" si="162"/>
        <v>0</v>
      </c>
      <c r="GR93" s="3177">
        <f t="shared" si="163"/>
        <v>0</v>
      </c>
      <c r="GS93" s="3177">
        <f t="shared" si="164"/>
        <v>0</v>
      </c>
      <c r="GT93" s="3178">
        <f t="shared" si="165"/>
        <v>0</v>
      </c>
      <c r="GU93" s="3179"/>
      <c r="GV93" s="3178">
        <f t="shared" si="166"/>
        <v>0</v>
      </c>
      <c r="GW93" s="3177">
        <f t="shared" si="167"/>
        <v>0</v>
      </c>
      <c r="GX93" s="3180"/>
      <c r="GY93" s="3177">
        <f t="shared" si="168"/>
        <v>0</v>
      </c>
      <c r="GZ93" s="2593"/>
      <c r="HA93" s="277"/>
      <c r="HB93" s="277"/>
      <c r="HC93" s="277"/>
      <c r="HD93" s="277"/>
      <c r="HE93" s="277"/>
      <c r="HF93" s="277"/>
      <c r="HG93" s="277"/>
      <c r="HH93" s="277"/>
      <c r="HI93" s="277"/>
      <c r="HJ93" s="277"/>
      <c r="HK93" s="277"/>
      <c r="HL93" s="277"/>
      <c r="HM93" s="277"/>
      <c r="HN93" s="277"/>
      <c r="HO93" s="277"/>
    </row>
    <row r="94" spans="1:223" s="749" customFormat="1" ht="18" customHeight="1" x14ac:dyDescent="0.3">
      <c r="A94" s="755"/>
      <c r="B94" s="805">
        <f>SUMIFS('3a Staff Plan'!$T$129:$T$305,'3a Staff Plan'!$DF$129:$DF$305,1,'3a Staff Plan'!$DA$129:$DA$305,1,'3a Staff Plan'!$J$129:$J$305,$FA94)</f>
        <v>0</v>
      </c>
      <c r="C94" s="805">
        <f>SUMIFS('3a Staff Plan'!$U$129:$U$305,'3a Staff Plan'!$DF$129:$DF$305,1,'3a Staff Plan'!$DA$129:$DA$305,1,'3a Staff Plan'!$J$129:$J$305,$FA94)</f>
        <v>0</v>
      </c>
      <c r="D94" s="805">
        <f>SUMIFS('3a Staff Plan'!$Z$129:$Z$305,'3a Staff Plan'!$DF$129:$DF$305,1,'3a Staff Plan'!$DA$129:$DA$305,1,'3a Staff Plan'!$J$129:$J$305,$FA94)</f>
        <v>0</v>
      </c>
      <c r="E94" s="805">
        <f>SUMIFS('3a Staff Plan'!$Y$129:$Y$305,'3a Staff Plan'!$DF$129:$DF$305,1,'3a Staff Plan'!$DA$129:$DA$305,1,'3a Staff Plan'!$J$129:$J$305,$FA94)</f>
        <v>0</v>
      </c>
      <c r="F94" s="805">
        <f>SUMIFS('3a Staff Plan'!$X$129:$X$305,'3a Staff Plan'!$DF$129:$DF$305,1,'3a Staff Plan'!$DA$129:$DA$305,1,'3a Staff Plan'!$AG$129:$AG$305,1,'3a Staff Plan'!$J$129:$J$305,$FA94)</f>
        <v>0</v>
      </c>
      <c r="G94" s="805">
        <f>IF($G$24=0,0,SUMIFS('3a Staff Plan'!$W$129:$W$305,'3a Staff Plan'!$DF$129:$DF$305,1,'3a Staff Plan'!$DA$129:$DA$305,1,'3a Staff Plan'!$J$129:$J$305,$FA94))</f>
        <v>0</v>
      </c>
      <c r="H94" s="795">
        <f t="shared" si="172"/>
        <v>0</v>
      </c>
      <c r="I94" s="805">
        <f>SUMIFS('3a Staff Plan'!$V$129:$V$305,'3a Staff Plan'!$DF$129:$DF$305,1,'3a Staff Plan'!$DA$129:$DA$305,1,'3a Staff Plan'!$J$129:$J$305,$FA94)</f>
        <v>0</v>
      </c>
      <c r="J94" s="805">
        <f>SUMIFS('3a Staff Plan'!$AB$129:$AB$305,'3a Staff Plan'!$DF$129:$DF$305,1,'3a Staff Plan'!$DA$129:$DA$305,1,'3a Staff Plan'!$J$129:$J$305,$FA94)</f>
        <v>0</v>
      </c>
      <c r="K94" s="805">
        <f>SUMIFS('3a Staff Plan'!$AA$129:$AA$305,'3a Staff Plan'!$DF$129:$DF$305,1,'3a Staff Plan'!$DA$129:$DA$305,1,'3a Staff Plan'!$AG$129:$AG$305,1,'3a Staff Plan'!$J$129:$J$305,$FA94)</f>
        <v>0</v>
      </c>
      <c r="L94" s="755"/>
      <c r="M94" s="805">
        <f>SUMIFS('3b Activity Plan'!$T$173:$T$365,'3b Activity Plan'!$CY$173:$CY$365,1,'3b Activity Plan'!$CT$173:$CT$365,1,'3b Activity Plan'!$J$173:$J$365,$FA94)</f>
        <v>0</v>
      </c>
      <c r="N94" s="805">
        <f>SUMIFS('3b Activity Plan'!$U$173:$U$365,'3b Activity Plan'!$CY$173:$CY$365,1,'3b Activity Plan'!$CT$173:$CT$365,1,'3b Activity Plan'!$J$173:$J$365,$FA94)</f>
        <v>0</v>
      </c>
      <c r="O94" s="805">
        <f>SUMIFS('3b Activity Plan'!$Z$173:$Z$365,'3b Activity Plan'!$CY$173:$CY$365,1,'3b Activity Plan'!$CT$173:$CT$365,1,'3b Activity Plan'!$J$173:$J$365,$FA94)</f>
        <v>0</v>
      </c>
      <c r="P94" s="805">
        <f>SUMIFS('3b Activity Plan'!$Y$173:$Y$365,'3b Activity Plan'!$CY$173:$CY$365,1,'3b Activity Plan'!$CT$173:$CT$365,1,'3b Activity Plan'!$J$173:$J$365,$FA94)</f>
        <v>0</v>
      </c>
      <c r="Q94" s="805">
        <f>SUMIFS('3b Activity Plan'!$X$173:$X$365,'3b Activity Plan'!$CY$173:$CY$365,1,'3b Activity Plan'!$CT$173:$CT$365,1,'3b Activity Plan'!$J$173:$J$365,$FA94)</f>
        <v>0</v>
      </c>
      <c r="R94" s="805">
        <f>IF($R$24=0,0,SUMIFS('3b Activity Plan'!$W$173:$W$365,'3b Activity Plan'!$CY$173:$CY$365,1,'3b Activity Plan'!$CT$173:$CT$365,1,'3b Activity Plan'!$J$173:$J$365,$FA94))</f>
        <v>0</v>
      </c>
      <c r="S94" s="795">
        <f t="shared" si="173"/>
        <v>0</v>
      </c>
      <c r="T94" s="805">
        <f>SUMIFS('3b Activity Plan'!$V$173:$V$365,'3b Activity Plan'!$CY$173:$CY$365,1,'3b Activity Plan'!$CT$173:$CT$365,1,'3b Activity Plan'!$J$173:$J$365,$FA94)</f>
        <v>0</v>
      </c>
      <c r="U94" s="805">
        <f>SUMIFS('3b Activity Plan'!$AB$173:$AB$365,'3b Activity Plan'!$CY$173:$CY$365,1,'3b Activity Plan'!$CT$173:$CT$365,1,'3b Activity Plan'!$J$173:$J$365,$FA94)</f>
        <v>0</v>
      </c>
      <c r="V94" s="805">
        <f>SUMIFS('3b Activity Plan'!$AA$173:$AA$365,'3b Activity Plan'!$CY$173:$CY$365,1,'3b Activity Plan'!$CT$173:$CT$365,1,'3b Activity Plan'!$J$173:$J$365,$FA94)</f>
        <v>0</v>
      </c>
      <c r="W94" s="755"/>
      <c r="X94" s="2641">
        <f>SUMIFS('3b Activity Plan'!$FU$173:$FU$365,'3b Activity Plan'!$J$173:$J$365,$FA94)</f>
        <v>0</v>
      </c>
      <c r="Y94" s="2641">
        <f>SUMIFS('3b Activity Plan'!$FW$173:$FW$365,'3b Activity Plan'!$J$173:$J$365,$FA94)</f>
        <v>0</v>
      </c>
      <c r="Z94" s="2639">
        <f t="shared" si="132"/>
        <v>0</v>
      </c>
      <c r="AA94" s="755"/>
      <c r="AB94" s="761">
        <f>_xlfn.MINIFS('3a Staff Plan'!$EB$129:$EB$304,'3a Staff Plan'!$DF$129:$DF$304,1,'3a Staff Plan'!$J$129:$J$304,FA94)</f>
        <v>0</v>
      </c>
      <c r="AC94" s="761">
        <f>_xlfn.MAXIFS('3a Staff Plan'!$EC$129:$EC$304,'3a Staff Plan'!$DF$129:$DF$304,1,'3a Staff Plan'!$J$129:$J$304,FA94)</f>
        <v>0</v>
      </c>
      <c r="AD94" s="755"/>
      <c r="AE94" s="761">
        <f>_xlfn.MINIFS('3b Activity Plan'!$GN$173:$GN$365,'3b Activity Plan'!$CY$173:$CY$365,1,'3b Activity Plan'!$J$173:$J$365,$FA94)</f>
        <v>0</v>
      </c>
      <c r="AF94" s="761">
        <f>_xlfn.MAXIFS('3b Activity Plan'!$GO$173:$GO$365,'3b Activity Plan'!$CY$173:$CY$365,1,'3b Activity Plan'!$J$173:$J$365,$FA94)</f>
        <v>0</v>
      </c>
      <c r="AG94" s="755"/>
      <c r="AH94" s="761">
        <f t="shared" si="174"/>
        <v>0</v>
      </c>
      <c r="AI94" s="761">
        <f t="shared" si="175"/>
        <v>0</v>
      </c>
      <c r="AJ94" s="755"/>
      <c r="AK94" s="761">
        <f t="shared" si="176"/>
        <v>0</v>
      </c>
      <c r="AL94" s="761">
        <f t="shared" si="177"/>
        <v>0</v>
      </c>
      <c r="AM94" s="776">
        <f t="shared" si="178"/>
        <v>0</v>
      </c>
      <c r="AN94" s="755"/>
      <c r="AO94" s="748">
        <f t="shared" si="179"/>
        <v>0</v>
      </c>
      <c r="AP94" s="748">
        <f t="shared" si="180"/>
        <v>0</v>
      </c>
      <c r="AQ94" s="748">
        <f t="shared" si="181"/>
        <v>0</v>
      </c>
      <c r="AR94" s="748">
        <f t="shared" si="182"/>
        <v>0</v>
      </c>
      <c r="AS94" s="748">
        <f t="shared" si="183"/>
        <v>0</v>
      </c>
      <c r="AT94" s="748">
        <f t="shared" si="184"/>
        <v>0</v>
      </c>
      <c r="AU94" s="748">
        <f t="shared" si="185"/>
        <v>0</v>
      </c>
      <c r="AV94" s="748">
        <f>IFERROR(INDEX('IPCS Data'!$R$8:$R$109,MATCH(EJ94,'IPCS Data'!$O$8:$O$109,0)),0)</f>
        <v>0</v>
      </c>
      <c r="AW94" s="755"/>
      <c r="AX94" s="499">
        <f>IFERROR(INDEX('IPCS Data'!$P$18:$P$110,MATCH(EK94,'IPCS Data'!$Q$18:$Q$110,0)),0)</f>
        <v>0</v>
      </c>
      <c r="AY94" s="1950" t="str">
        <f t="shared" si="110"/>
        <v/>
      </c>
      <c r="AZ94" s="755"/>
      <c r="BA94" s="753" t="str">
        <f>IFERROR(IF(MATCH(EJ94,'IPCS Data'!$O$8:$O$110,0)&gt;=25,"L","N"),"N")</f>
        <v>N</v>
      </c>
      <c r="BB94" s="774"/>
      <c r="BC94" s="753" t="str">
        <f t="shared" si="111"/>
        <v>N</v>
      </c>
      <c r="BD94" s="753" t="str">
        <f t="shared" si="237"/>
        <v>Non-Labor</v>
      </c>
      <c r="BE94" s="755"/>
      <c r="BF94" s="753" t="str">
        <f t="shared" si="112"/>
        <v>B23672.05</v>
      </c>
      <c r="BG94" s="753" t="str">
        <f t="shared" si="229"/>
        <v>0.0.0</v>
      </c>
      <c r="BH94" s="753">
        <f t="shared" si="187"/>
        <v>0</v>
      </c>
      <c r="BI94" s="753">
        <f t="shared" si="238"/>
        <v>0</v>
      </c>
      <c r="BJ94" s="753">
        <f t="shared" si="113"/>
        <v>0</v>
      </c>
      <c r="BK94" s="753">
        <f t="shared" si="239"/>
        <v>0</v>
      </c>
      <c r="BL94" s="753" t="b">
        <f t="shared" si="131"/>
        <v>1</v>
      </c>
      <c r="BM94" s="755"/>
      <c r="BN94" s="719">
        <f t="shared" si="188"/>
        <v>0</v>
      </c>
      <c r="BO94" s="719">
        <f t="shared" si="189"/>
        <v>110</v>
      </c>
      <c r="BP94" s="755"/>
      <c r="BQ94" s="719">
        <f>IF(AND((COUNTIFS('3a Staff Plan'!$J$129:$J$305,FA94)*$B$22)+(COUNTIFS('3b Activity Plan'!$J$173:$J$365,FA94)*$M$22)=0,FB94&gt;0),1,0)</f>
        <v>0</v>
      </c>
      <c r="BR94" s="719">
        <f t="shared" si="114"/>
        <v>0</v>
      </c>
      <c r="BS94" s="719">
        <f t="shared" si="190"/>
        <v>0</v>
      </c>
      <c r="BT94" s="719">
        <f t="shared" si="191"/>
        <v>0</v>
      </c>
      <c r="BU94" s="719">
        <f t="shared" si="192"/>
        <v>0</v>
      </c>
      <c r="BV94" s="719">
        <f t="shared" si="193"/>
        <v>0</v>
      </c>
      <c r="BW94" s="719">
        <f t="shared" si="194"/>
        <v>0</v>
      </c>
      <c r="BX94" s="719">
        <f t="shared" si="195"/>
        <v>0</v>
      </c>
      <c r="BY94" s="719">
        <f t="shared" si="196"/>
        <v>0</v>
      </c>
      <c r="BZ94" s="719">
        <f t="shared" si="115"/>
        <v>0</v>
      </c>
      <c r="CA94" s="719">
        <f t="shared" si="116"/>
        <v>0</v>
      </c>
      <c r="CB94" s="719">
        <f t="shared" si="197"/>
        <v>0</v>
      </c>
      <c r="CC94" s="719"/>
      <c r="CD94" s="719"/>
      <c r="CE94" s="719">
        <f t="shared" si="198"/>
        <v>0</v>
      </c>
      <c r="CF94" s="719">
        <f t="shared" si="117"/>
        <v>0</v>
      </c>
      <c r="CG94" s="719">
        <f t="shared" si="118"/>
        <v>0</v>
      </c>
      <c r="CH94" s="719">
        <f t="shared" si="119"/>
        <v>0</v>
      </c>
      <c r="CI94" s="719">
        <f t="shared" si="120"/>
        <v>0</v>
      </c>
      <c r="CJ94" s="719">
        <f t="shared" si="121"/>
        <v>0</v>
      </c>
      <c r="CK94" s="719">
        <f t="shared" si="122"/>
        <v>0</v>
      </c>
      <c r="CL94" s="719">
        <f t="shared" si="123"/>
        <v>0</v>
      </c>
      <c r="CM94" s="719">
        <f t="shared" si="124"/>
        <v>0</v>
      </c>
      <c r="CN94" s="719">
        <f t="shared" si="125"/>
        <v>0</v>
      </c>
      <c r="CO94" s="719">
        <f t="shared" ref="CO94" si="244">IF(AND(CP94=1,EG94&lt;&gt;"PN"),1,0)</f>
        <v>0</v>
      </c>
      <c r="CP94" s="719">
        <f t="shared" si="235"/>
        <v>0</v>
      </c>
      <c r="CQ94" s="719">
        <f t="shared" si="126"/>
        <v>61</v>
      </c>
      <c r="CR94" s="719">
        <f t="shared" si="127"/>
        <v>0</v>
      </c>
      <c r="CS94" s="2526"/>
      <c r="CT94" s="2527">
        <f t="shared" si="128"/>
        <v>66</v>
      </c>
      <c r="CU94" s="2527">
        <f t="shared" si="146"/>
        <v>0</v>
      </c>
      <c r="CV94" s="2527">
        <f t="shared" si="147"/>
        <v>0</v>
      </c>
      <c r="CW94" s="2527">
        <f t="shared" ref="CW94" si="245">IF(GG94="X",0,FA94)</f>
        <v>0</v>
      </c>
      <c r="CX94" s="755"/>
      <c r="CY94" s="2537"/>
      <c r="CZ94" s="499">
        <f t="shared" si="169"/>
        <v>0</v>
      </c>
      <c r="DA94" s="1107">
        <f t="shared" si="170"/>
        <v>0</v>
      </c>
      <c r="DB94" s="2537"/>
      <c r="DC94" s="499">
        <f t="shared" si="200"/>
        <v>0</v>
      </c>
      <c r="DD94" s="1107">
        <f t="shared" si="201"/>
        <v>0</v>
      </c>
      <c r="DE94" s="2537"/>
      <c r="DF94" s="499">
        <f t="shared" si="202"/>
        <v>0</v>
      </c>
      <c r="DG94" s="1107">
        <f t="shared" si="203"/>
        <v>0</v>
      </c>
      <c r="DH94" s="2537"/>
      <c r="DI94" s="499">
        <f t="shared" si="204"/>
        <v>0</v>
      </c>
      <c r="DJ94" s="1107">
        <f t="shared" si="205"/>
        <v>0</v>
      </c>
      <c r="DK94" s="2537"/>
      <c r="DL94" s="499">
        <f t="shared" si="206"/>
        <v>0</v>
      </c>
      <c r="DM94" s="1107">
        <f t="shared" si="207"/>
        <v>0</v>
      </c>
      <c r="DN94" s="2537"/>
      <c r="DO94" s="499">
        <f t="shared" si="208"/>
        <v>0</v>
      </c>
      <c r="DP94" s="1107">
        <f t="shared" si="209"/>
        <v>0</v>
      </c>
      <c r="DQ94" s="2537"/>
      <c r="DR94" s="2559"/>
      <c r="DS94" s="499">
        <f t="shared" si="240"/>
        <v>0</v>
      </c>
      <c r="DT94" s="1106">
        <f t="shared" si="149"/>
        <v>0</v>
      </c>
      <c r="DU94" s="2537"/>
      <c r="DV94" s="2559"/>
      <c r="DW94" s="2312">
        <f t="shared" si="241"/>
        <v>0</v>
      </c>
      <c r="DX94" s="1106">
        <f t="shared" si="151"/>
        <v>0</v>
      </c>
      <c r="DY94" s="2572"/>
      <c r="DZ94" s="2537"/>
      <c r="EA94" s="2537"/>
      <c r="EB94" s="2577" t="str">
        <f t="shared" si="210"/>
        <v>05</v>
      </c>
      <c r="EC94" s="2570"/>
      <c r="ED94" s="1114">
        <f>IFERROR(INDEX('IPCS Data'!$H$8:$H$30,MATCH(EE94,'IPCS Data'!$I$8:$I$30,0)),0)</f>
        <v>0</v>
      </c>
      <c r="EE94" s="1121"/>
      <c r="EF94" s="2570"/>
      <c r="EG94" s="1122">
        <f>IFERROR(INDEX('IPCS Data'!$L$8:$L$27,MATCH(EH94,'IPCS Data'!$M$8:$M$27,0)),0)</f>
        <v>0</v>
      </c>
      <c r="EH94" s="1121"/>
      <c r="EI94" s="2578" t="s">
        <v>5</v>
      </c>
      <c r="EJ94" s="237">
        <f>IFERROR(INDEX('IPCS Data'!$O$8:$O$110,MATCH(EK94,'IPCS Data'!$Q$8:$Q$110,0)),0)</f>
        <v>0</v>
      </c>
      <c r="EK94" s="1121"/>
      <c r="EL94" s="2578"/>
      <c r="EM94" s="840">
        <f t="shared" si="230"/>
        <v>0</v>
      </c>
      <c r="EN94" s="841"/>
      <c r="EO94" s="2537"/>
      <c r="EP94" s="842">
        <f t="shared" si="231"/>
        <v>0</v>
      </c>
      <c r="EQ94" s="1117"/>
      <c r="ER94" s="2537"/>
      <c r="ES94" s="840">
        <f t="shared" si="232"/>
        <v>0</v>
      </c>
      <c r="ET94" s="1117"/>
      <c r="EU94" s="2537"/>
      <c r="EV94" s="1498"/>
      <c r="EW94" s="1684"/>
      <c r="EX94" s="2562">
        <f t="shared" si="211"/>
        <v>61</v>
      </c>
      <c r="EY94" s="2533"/>
      <c r="EZ94" s="2561"/>
      <c r="FA94" s="1324">
        <f t="shared" si="152"/>
        <v>0</v>
      </c>
      <c r="FB94" s="2629">
        <f t="shared" si="212"/>
        <v>0</v>
      </c>
      <c r="FC94" s="274"/>
      <c r="FD94" s="2627">
        <f t="shared" si="153"/>
        <v>0</v>
      </c>
      <c r="FE94" s="2627">
        <f t="shared" si="154"/>
        <v>0</v>
      </c>
      <c r="FF94" s="274"/>
      <c r="FG94" s="2616">
        <f t="shared" si="213"/>
        <v>0</v>
      </c>
      <c r="FH94" s="2616">
        <f t="shared" si="214"/>
        <v>0</v>
      </c>
      <c r="FI94" s="2616">
        <f t="shared" si="215"/>
        <v>0</v>
      </c>
      <c r="FJ94" s="2610" t="s">
        <v>5</v>
      </c>
      <c r="FK94" s="2616">
        <f t="shared" si="216"/>
        <v>0</v>
      </c>
      <c r="FL94" s="2616">
        <f t="shared" si="217"/>
        <v>0</v>
      </c>
      <c r="FM94" s="2616">
        <f t="shared" si="218"/>
        <v>0</v>
      </c>
      <c r="FN94" s="2622">
        <f t="shared" si="219"/>
        <v>0</v>
      </c>
      <c r="FO94" s="2615">
        <f t="shared" si="220"/>
        <v>0</v>
      </c>
      <c r="FP94" s="2624">
        <f t="shared" si="221"/>
        <v>0</v>
      </c>
      <c r="FQ94" s="2622">
        <f t="shared" si="222"/>
        <v>0</v>
      </c>
      <c r="FR94" s="2624">
        <f t="shared" si="223"/>
        <v>0</v>
      </c>
      <c r="FS94" s="2611" t="s">
        <v>5</v>
      </c>
      <c r="FT94" s="2616">
        <f t="shared" si="224"/>
        <v>0</v>
      </c>
      <c r="FU94" s="2622">
        <f t="shared" si="129"/>
        <v>0</v>
      </c>
      <c r="FV94" s="2616">
        <f t="shared" si="225"/>
        <v>0</v>
      </c>
      <c r="FW94" s="2612" t="s">
        <v>5</v>
      </c>
      <c r="FX94" s="2616">
        <f t="shared" si="171"/>
        <v>0</v>
      </c>
      <c r="FY94" s="2616">
        <f t="shared" si="226"/>
        <v>0</v>
      </c>
      <c r="FZ94" s="2613" t="s">
        <v>5</v>
      </c>
      <c r="GA94" s="2616">
        <f t="shared" si="48"/>
        <v>0</v>
      </c>
      <c r="GB94" s="2619">
        <f t="shared" si="236"/>
        <v>0</v>
      </c>
      <c r="GC94" s="2620">
        <f t="shared" si="228"/>
        <v>0</v>
      </c>
      <c r="GD94" s="2614"/>
      <c r="GE94" s="3196">
        <f t="shared" si="242"/>
        <v>0</v>
      </c>
      <c r="GF94" s="3196">
        <f t="shared" si="243"/>
        <v>0</v>
      </c>
      <c r="GG94" s="3193" t="str">
        <f t="shared" ref="GG94" si="246">IF(CP94=0,"X","")</f>
        <v>X</v>
      </c>
      <c r="GH94" s="2531"/>
      <c r="GI94" s="3189" t="str">
        <f t="shared" si="155"/>
        <v/>
      </c>
      <c r="GJ94" s="2599"/>
      <c r="GK94" s="3181">
        <f t="shared" si="156"/>
        <v>0</v>
      </c>
      <c r="GL94" s="3181">
        <f t="shared" si="157"/>
        <v>0</v>
      </c>
      <c r="GM94" s="3181">
        <f t="shared" si="158"/>
        <v>0</v>
      </c>
      <c r="GN94" s="3182">
        <f t="shared" si="159"/>
        <v>0</v>
      </c>
      <c r="GO94" s="3182">
        <f t="shared" si="160"/>
        <v>0</v>
      </c>
      <c r="GP94" s="3183">
        <f t="shared" si="161"/>
        <v>0</v>
      </c>
      <c r="GQ94" s="3184">
        <f t="shared" si="162"/>
        <v>0</v>
      </c>
      <c r="GR94" s="3185">
        <f t="shared" si="163"/>
        <v>0</v>
      </c>
      <c r="GS94" s="3185">
        <f t="shared" si="164"/>
        <v>0</v>
      </c>
      <c r="GT94" s="3186">
        <f t="shared" si="165"/>
        <v>0</v>
      </c>
      <c r="GU94" s="3187"/>
      <c r="GV94" s="3186">
        <f t="shared" si="166"/>
        <v>0</v>
      </c>
      <c r="GW94" s="3185">
        <f t="shared" si="167"/>
        <v>0</v>
      </c>
      <c r="GX94" s="3188"/>
      <c r="GY94" s="3185">
        <f t="shared" si="168"/>
        <v>0</v>
      </c>
      <c r="GZ94" s="2594"/>
      <c r="HA94" s="277"/>
      <c r="HB94" s="277"/>
      <c r="HC94" s="277"/>
      <c r="HD94" s="277"/>
      <c r="HE94" s="277"/>
      <c r="HF94" s="277"/>
      <c r="HG94" s="277"/>
      <c r="HH94" s="277"/>
      <c r="HI94" s="277"/>
      <c r="HJ94" s="277"/>
      <c r="HK94" s="277"/>
      <c r="HL94" s="277"/>
      <c r="HM94" s="277"/>
      <c r="HN94" s="277"/>
      <c r="HO94" s="277"/>
    </row>
    <row r="95" spans="1:223" s="749" customFormat="1" ht="18" customHeight="1" x14ac:dyDescent="0.3">
      <c r="A95" s="755"/>
      <c r="B95" s="1138"/>
      <c r="C95" s="1138"/>
      <c r="D95" s="1138"/>
      <c r="E95" s="1138"/>
      <c r="F95" s="1138"/>
      <c r="G95" s="1138"/>
      <c r="H95" s="1138"/>
      <c r="I95" s="1138"/>
      <c r="J95" s="1138"/>
      <c r="K95" s="1138"/>
      <c r="L95" s="755"/>
      <c r="M95" s="1138"/>
      <c r="N95" s="1138"/>
      <c r="O95" s="1138"/>
      <c r="P95" s="1138"/>
      <c r="Q95" s="1138"/>
      <c r="R95" s="1138"/>
      <c r="S95" s="1138"/>
      <c r="T95" s="1138"/>
      <c r="U95" s="1138"/>
      <c r="V95" s="1138"/>
      <c r="W95" s="1138"/>
      <c r="X95" s="1138"/>
      <c r="Y95" s="1138"/>
      <c r="Z95" s="1138"/>
      <c r="AA95" s="755"/>
      <c r="AB95" s="1137"/>
      <c r="AC95" s="1137"/>
      <c r="AD95" s="755"/>
      <c r="AE95" s="1137"/>
      <c r="AF95" s="1137"/>
      <c r="AG95" s="755"/>
      <c r="AH95" s="1137"/>
      <c r="AI95" s="1137"/>
      <c r="AJ95" s="755"/>
      <c r="AK95" s="1137"/>
      <c r="AL95" s="1137"/>
      <c r="AM95" s="1137"/>
      <c r="AN95" s="755"/>
      <c r="AO95" s="755"/>
      <c r="AP95" s="755"/>
      <c r="AQ95" s="755"/>
      <c r="AR95" s="755"/>
      <c r="AS95" s="755"/>
      <c r="AT95" s="755"/>
      <c r="AU95" s="755"/>
      <c r="AV95" s="755"/>
      <c r="AW95" s="755"/>
      <c r="AX95" s="755"/>
      <c r="AY95" s="755"/>
      <c r="AZ95" s="755"/>
      <c r="BA95" s="1136"/>
      <c r="BB95" s="1136"/>
      <c r="BC95" s="1136"/>
      <c r="BD95" s="1136"/>
      <c r="BE95" s="755"/>
      <c r="BF95" s="1136"/>
      <c r="BG95" s="1136"/>
      <c r="BH95" s="1136">
        <v>0</v>
      </c>
      <c r="BI95" s="1136">
        <v>0</v>
      </c>
      <c r="BJ95" s="1136">
        <v>0</v>
      </c>
      <c r="BK95" s="1136"/>
      <c r="BL95" s="1136"/>
      <c r="BM95" s="755"/>
      <c r="BN95" s="755"/>
      <c r="BO95" s="755"/>
      <c r="BP95" s="755"/>
      <c r="BQ95" s="1135"/>
      <c r="BR95" s="1135"/>
      <c r="BS95" s="1135"/>
      <c r="BT95" s="1135"/>
      <c r="BU95" s="1135"/>
      <c r="BV95" s="1135"/>
      <c r="BW95" s="1135"/>
      <c r="BX95" s="1135"/>
      <c r="BY95" s="1135"/>
      <c r="BZ95" s="1135"/>
      <c r="CA95" s="1135"/>
      <c r="CB95" s="1135"/>
      <c r="CC95" s="1135"/>
      <c r="CD95" s="1135"/>
      <c r="CE95" s="1135"/>
      <c r="CF95" s="1135"/>
      <c r="CG95" s="1135"/>
      <c r="CH95" s="1135"/>
      <c r="CI95" s="1135"/>
      <c r="CJ95" s="1135"/>
      <c r="CK95" s="1135"/>
      <c r="CL95" s="1135"/>
      <c r="CM95" s="1135"/>
      <c r="CN95" s="1135"/>
      <c r="CO95" s="1135"/>
      <c r="CP95" s="1135"/>
      <c r="CQ95" s="1135"/>
      <c r="CR95" s="1135"/>
      <c r="CS95" s="1135"/>
      <c r="CT95" s="1135"/>
      <c r="CU95" s="1135"/>
      <c r="CV95" s="1135"/>
      <c r="CW95" s="1135"/>
      <c r="CX95" s="755"/>
      <c r="CY95" s="2537"/>
      <c r="CZ95" s="1123"/>
      <c r="DA95" s="1132" t="s">
        <v>1040</v>
      </c>
      <c r="DB95" s="1124"/>
      <c r="DC95" s="1124"/>
      <c r="DD95" s="1124"/>
      <c r="DE95" s="1124"/>
      <c r="DF95" s="1124"/>
      <c r="DG95" s="1124"/>
      <c r="DH95" s="1124"/>
      <c r="DI95" s="1124"/>
      <c r="DJ95" s="1124"/>
      <c r="DK95" s="1124"/>
      <c r="DL95" s="1124"/>
      <c r="DM95" s="1124"/>
      <c r="DN95" s="1124"/>
      <c r="DO95" s="1124"/>
      <c r="DP95" s="1124"/>
      <c r="DQ95" s="1124"/>
      <c r="DR95" s="1124"/>
      <c r="DS95" s="1124"/>
      <c r="DT95" s="1124"/>
      <c r="DU95" s="1124"/>
      <c r="DV95" s="1124"/>
      <c r="DW95" s="1124"/>
      <c r="DX95" s="1134"/>
      <c r="DY95" s="868"/>
      <c r="DZ95" s="2537"/>
      <c r="EA95" s="2537"/>
      <c r="EB95" s="2574"/>
      <c r="EC95" s="2570"/>
      <c r="ED95" s="1123"/>
      <c r="EE95" s="1132" t="s">
        <v>1167</v>
      </c>
      <c r="EF95" s="1125"/>
      <c r="EG95" s="1126"/>
      <c r="EH95" s="1124"/>
      <c r="EI95" s="1127"/>
      <c r="EJ95" s="1126"/>
      <c r="EK95" s="1124"/>
      <c r="EL95" s="1127"/>
      <c r="EM95" s="1128"/>
      <c r="EN95" s="1129"/>
      <c r="EO95" s="1130"/>
      <c r="EP95" s="1128"/>
      <c r="EQ95" s="1129"/>
      <c r="ER95" s="1130"/>
      <c r="ES95" s="1128"/>
      <c r="ET95" s="1129"/>
      <c r="EU95" s="1130"/>
      <c r="EV95" s="1131"/>
      <c r="EW95" s="1201"/>
      <c r="EX95" s="2562"/>
      <c r="EY95" s="2533"/>
      <c r="EZ95" s="2564"/>
      <c r="FA95" s="1133" t="s">
        <v>1166</v>
      </c>
      <c r="FB95" s="1232"/>
      <c r="FC95" s="274"/>
      <c r="FD95" s="1123"/>
      <c r="FE95" s="1124"/>
      <c r="FF95" s="1124"/>
      <c r="FG95" s="1124"/>
      <c r="FH95" s="1124"/>
      <c r="FI95" s="1124"/>
      <c r="FJ95" s="1125"/>
      <c r="FK95" s="1132" t="s">
        <v>1165</v>
      </c>
      <c r="FL95" s="1124"/>
      <c r="FM95" s="1124"/>
      <c r="FN95" s="1124"/>
      <c r="FO95" s="1124"/>
      <c r="FP95" s="1124"/>
      <c r="FQ95" s="1124"/>
      <c r="FR95" s="1124"/>
      <c r="FS95" s="1124"/>
      <c r="FT95" s="1124"/>
      <c r="FU95" s="1124"/>
      <c r="FV95" s="1124"/>
      <c r="FW95" s="1124"/>
      <c r="FX95" s="1124"/>
      <c r="FY95" s="1124"/>
      <c r="FZ95" s="1124"/>
      <c r="GA95" s="1124"/>
      <c r="GB95" s="1124"/>
      <c r="GC95" s="1124"/>
      <c r="GD95" s="1124"/>
      <c r="GE95" s="1124"/>
      <c r="GF95" s="1134"/>
      <c r="GG95" s="1134"/>
      <c r="GH95" s="2564"/>
      <c r="GI95" s="2564"/>
      <c r="GJ95" s="1123"/>
      <c r="GK95" s="1124"/>
      <c r="GL95" s="1124"/>
      <c r="GM95" s="1132" t="s">
        <v>1165</v>
      </c>
      <c r="GN95" s="1124"/>
      <c r="GO95" s="1124"/>
      <c r="GP95" s="1126"/>
      <c r="GQ95" s="1124"/>
      <c r="GR95" s="1124"/>
      <c r="GS95" s="1124"/>
      <c r="GT95" s="1124"/>
      <c r="GU95" s="1124"/>
      <c r="GV95" s="1124"/>
      <c r="GW95" s="1124"/>
      <c r="GX95" s="1124"/>
      <c r="GY95" s="1124"/>
      <c r="GZ95" s="1134"/>
      <c r="HA95" s="2533"/>
      <c r="HB95" s="2533"/>
    </row>
    <row r="96" spans="1:223" x14ac:dyDescent="0.3">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5"/>
      <c r="AK96" s="755"/>
      <c r="AL96" s="755"/>
      <c r="AM96" s="755"/>
      <c r="AN96" s="755"/>
      <c r="AO96" s="755"/>
      <c r="AP96" s="755"/>
      <c r="AQ96" s="755"/>
      <c r="AR96" s="755"/>
      <c r="AS96" s="755"/>
      <c r="AT96" s="755"/>
      <c r="AU96" s="755"/>
      <c r="AV96" s="755"/>
      <c r="AW96" s="755"/>
      <c r="AX96" s="755"/>
      <c r="AY96" s="755"/>
      <c r="AZ96" s="755"/>
      <c r="BA96" s="755"/>
      <c r="BB96" s="755"/>
      <c r="BC96" s="755"/>
      <c r="BD96" s="755"/>
      <c r="BE96" s="755"/>
      <c r="BF96" s="755"/>
      <c r="BG96" s="755"/>
      <c r="BH96" s="755"/>
      <c r="BI96" s="755"/>
      <c r="BJ96" s="755"/>
      <c r="BK96" s="755"/>
      <c r="BL96" s="755"/>
      <c r="BM96" s="755"/>
      <c r="BN96" s="755"/>
      <c r="BO96" s="755"/>
      <c r="BP96" s="755"/>
      <c r="BQ96" s="755"/>
      <c r="BR96" s="755"/>
      <c r="BS96" s="755"/>
      <c r="BT96" s="755"/>
      <c r="BU96" s="755"/>
      <c r="BV96" s="755"/>
      <c r="BW96" s="755"/>
      <c r="BX96" s="755"/>
      <c r="BY96" s="755"/>
      <c r="BZ96" s="755"/>
      <c r="CA96" s="755"/>
      <c r="CB96" s="755"/>
      <c r="CC96" s="755"/>
      <c r="CD96" s="755"/>
      <c r="CE96" s="755"/>
      <c r="CF96" s="755"/>
      <c r="CG96" s="755"/>
      <c r="CH96" s="755"/>
      <c r="CI96" s="755"/>
      <c r="CJ96" s="755"/>
      <c r="CK96" s="755"/>
      <c r="CL96" s="755"/>
      <c r="CM96" s="755"/>
      <c r="CN96" s="755"/>
      <c r="CO96" s="755"/>
      <c r="CP96" s="755"/>
      <c r="CQ96" s="755"/>
      <c r="CR96" s="755"/>
      <c r="CS96" s="755"/>
      <c r="CT96" s="755"/>
      <c r="CU96" s="755"/>
      <c r="CV96" s="755"/>
      <c r="CW96" s="755"/>
      <c r="CX96" s="755"/>
      <c r="CY96" s="868"/>
      <c r="CZ96" s="868"/>
      <c r="DA96" s="868"/>
      <c r="DB96" s="868"/>
      <c r="DC96" s="868"/>
      <c r="DD96" s="868"/>
      <c r="DE96" s="868"/>
      <c r="DF96" s="868"/>
      <c r="DG96" s="868"/>
      <c r="DH96" s="868"/>
      <c r="DI96" s="868"/>
      <c r="DJ96" s="868"/>
      <c r="DK96" s="868"/>
      <c r="DL96" s="868"/>
      <c r="DM96" s="868"/>
      <c r="DN96" s="868"/>
      <c r="DO96" s="868"/>
      <c r="DP96" s="868"/>
      <c r="DQ96" s="868"/>
      <c r="DR96" s="868"/>
      <c r="DS96" s="868"/>
      <c r="DT96" s="868"/>
      <c r="DU96" s="868"/>
      <c r="DV96" s="868"/>
      <c r="DW96" s="868"/>
      <c r="DX96" s="868"/>
      <c r="DY96" s="868"/>
      <c r="DZ96" s="868"/>
      <c r="EA96" s="868"/>
      <c r="EB96" s="868"/>
      <c r="EC96" s="868"/>
      <c r="ED96" s="2584" t="s">
        <v>4229</v>
      </c>
      <c r="EE96" s="868"/>
      <c r="EF96" s="868"/>
      <c r="EG96" s="868"/>
      <c r="EH96" s="868"/>
      <c r="EI96" s="868"/>
      <c r="EJ96" s="868"/>
      <c r="EK96" s="868"/>
      <c r="EL96" s="868"/>
      <c r="EM96" s="868"/>
      <c r="EN96" s="868"/>
      <c r="EO96" s="868"/>
      <c r="EP96" s="868"/>
      <c r="EQ96" s="868"/>
      <c r="ER96" s="868"/>
      <c r="ES96" s="868"/>
      <c r="ET96" s="868"/>
      <c r="EU96" s="868"/>
      <c r="EV96" s="868"/>
      <c r="EW96" s="868"/>
      <c r="EX96" s="868"/>
      <c r="EY96" s="868"/>
      <c r="EZ96" s="868"/>
      <c r="FA96" s="2584" t="s">
        <v>2840</v>
      </c>
      <c r="FB96" s="277"/>
      <c r="FC96" s="277"/>
      <c r="FD96" s="868"/>
      <c r="FE96" s="868"/>
      <c r="FF96" s="277"/>
      <c r="FG96" s="277"/>
      <c r="FH96" s="277"/>
      <c r="FI96" s="277"/>
      <c r="FJ96" s="2585"/>
      <c r="FK96" s="2564"/>
      <c r="FL96" s="2564"/>
      <c r="FM96" s="2564"/>
      <c r="FN96" s="2564"/>
      <c r="FO96" s="2564"/>
      <c r="FP96" s="2564"/>
      <c r="FQ96" s="2564"/>
      <c r="FR96" s="2564"/>
      <c r="FS96" s="2564"/>
      <c r="FT96" s="2564"/>
      <c r="FU96" s="2564"/>
      <c r="FV96" s="2564"/>
      <c r="FW96" s="2564"/>
      <c r="FX96" s="2564"/>
      <c r="FY96" s="2564"/>
      <c r="FZ96" s="2564"/>
      <c r="GA96" s="2564"/>
      <c r="GB96" s="2564"/>
      <c r="GC96" s="2564"/>
      <c r="GD96" s="2564"/>
      <c r="GE96" s="2564"/>
      <c r="GF96" s="2564"/>
      <c r="GG96" s="2564"/>
      <c r="GH96" s="2533"/>
      <c r="GI96" s="2533"/>
      <c r="GJ96" s="2533"/>
      <c r="GK96" s="2533"/>
      <c r="GL96" s="2533"/>
      <c r="GM96" s="2533"/>
      <c r="GN96" s="2533"/>
      <c r="GO96" s="2533"/>
      <c r="GP96" s="2533"/>
      <c r="GQ96" s="2533"/>
      <c r="GR96" s="2533"/>
      <c r="GS96" s="2533"/>
      <c r="GT96" s="2533"/>
      <c r="GU96" s="2533"/>
      <c r="GV96" s="2533"/>
      <c r="GW96" s="2533"/>
      <c r="GX96" s="2533"/>
      <c r="GY96" s="2533"/>
      <c r="GZ96" s="2533"/>
      <c r="HA96" s="2533"/>
      <c r="HB96" s="2533"/>
    </row>
    <row r="97" spans="72:210" ht="15" thickBot="1" x14ac:dyDescent="0.35">
      <c r="BT97" s="755"/>
      <c r="BU97" s="755"/>
      <c r="BV97" s="755"/>
      <c r="BW97" s="755"/>
      <c r="BX97" s="755"/>
      <c r="BY97" s="755"/>
      <c r="BZ97" s="755"/>
      <c r="CA97" s="755"/>
      <c r="CB97" s="755"/>
      <c r="CC97" s="755"/>
      <c r="CD97" s="755"/>
      <c r="CE97" s="755"/>
      <c r="CF97" s="755"/>
      <c r="CG97" s="755"/>
      <c r="CH97" s="755"/>
      <c r="CI97" s="755"/>
      <c r="CJ97" s="755"/>
      <c r="CK97" s="755"/>
      <c r="CL97" s="755"/>
      <c r="CM97" s="755"/>
      <c r="CN97" s="755"/>
      <c r="CO97" s="755"/>
      <c r="CP97" s="755"/>
      <c r="CQ97" s="755"/>
      <c r="CR97" s="755"/>
      <c r="CS97" s="755"/>
      <c r="CT97" s="755"/>
      <c r="CU97" s="755"/>
      <c r="CV97" s="755"/>
      <c r="CW97" s="755"/>
      <c r="CX97" s="755"/>
      <c r="CZ97" s="745"/>
      <c r="DA97" s="745"/>
      <c r="DB97" s="745"/>
      <c r="DC97" s="745"/>
      <c r="DD97" s="745"/>
      <c r="DE97" s="745"/>
      <c r="DF97" s="745"/>
      <c r="DG97" s="745"/>
      <c r="DH97" s="745"/>
      <c r="DI97" s="745"/>
      <c r="DJ97" s="745"/>
      <c r="DK97" s="745"/>
      <c r="DL97" s="745"/>
      <c r="DM97" s="745"/>
      <c r="DN97" s="745"/>
      <c r="DO97" s="745"/>
      <c r="DP97" s="745"/>
      <c r="DQ97" s="270"/>
      <c r="DR97" s="745"/>
      <c r="DS97" s="745"/>
      <c r="DT97" s="745"/>
      <c r="DU97" s="745"/>
      <c r="DV97" s="745"/>
      <c r="DW97" s="745"/>
      <c r="DX97" s="745"/>
      <c r="DY97" s="2537"/>
      <c r="DZ97" s="2537"/>
      <c r="EA97" s="270"/>
      <c r="EB97" s="270"/>
      <c r="EC97" s="745"/>
      <c r="ED97" s="745"/>
      <c r="EE97" s="270"/>
      <c r="EF97" s="745"/>
      <c r="EG97" s="745"/>
      <c r="EH97" s="270"/>
      <c r="EI97" s="745"/>
      <c r="EJ97" s="745"/>
      <c r="EK97" s="270"/>
      <c r="EL97" s="270"/>
      <c r="EM97" s="270"/>
      <c r="EN97" s="270"/>
      <c r="EO97" s="270"/>
      <c r="EP97" s="745"/>
      <c r="EQ97" s="745"/>
      <c r="ER97" s="745"/>
      <c r="ES97" s="745"/>
      <c r="ET97" s="745"/>
      <c r="EU97" s="745"/>
      <c r="EV97" s="745"/>
      <c r="EW97" s="745"/>
      <c r="EX97" s="2565"/>
      <c r="EY97" s="2565"/>
      <c r="EZ97" s="2565"/>
      <c r="FA97" s="756"/>
      <c r="FD97" s="745"/>
      <c r="FE97" s="745"/>
      <c r="FJ97" s="267"/>
      <c r="GD97" s="756"/>
      <c r="GH97" s="274"/>
      <c r="GI97" s="274"/>
      <c r="HA97" s="2533"/>
      <c r="HB97" s="2533"/>
    </row>
    <row r="98" spans="72:210" s="749" customFormat="1" ht="33.75" customHeight="1" thickBot="1" x14ac:dyDescent="0.35">
      <c r="BT98" s="755"/>
      <c r="BU98" s="755"/>
      <c r="BV98" s="755"/>
      <c r="BW98" s="755"/>
      <c r="BX98" s="755"/>
      <c r="BY98" s="755"/>
      <c r="BZ98" s="755"/>
      <c r="CA98" s="755"/>
      <c r="CB98" s="755"/>
      <c r="CC98" s="755"/>
      <c r="CD98" s="755"/>
      <c r="CE98" s="755"/>
      <c r="CF98" s="755"/>
      <c r="CG98" s="755"/>
      <c r="CH98" s="755"/>
      <c r="CI98" s="755"/>
      <c r="CJ98" s="755"/>
      <c r="CK98" s="755"/>
      <c r="CL98" s="755"/>
      <c r="CM98" s="755"/>
      <c r="CN98" s="755"/>
      <c r="CO98" s="755"/>
      <c r="CP98" s="755"/>
      <c r="CQ98" s="755"/>
      <c r="CR98" s="755"/>
      <c r="CS98" s="755"/>
      <c r="CT98" s="755"/>
      <c r="CU98" s="755"/>
      <c r="CV98" s="755"/>
      <c r="CW98" s="755"/>
      <c r="CX98" s="755"/>
      <c r="CZ98" s="1356"/>
      <c r="DA98" s="1356"/>
      <c r="DB98" s="1356"/>
      <c r="DC98" s="1356"/>
      <c r="DD98" s="1356"/>
      <c r="DE98" s="1356"/>
      <c r="DF98" s="1356"/>
      <c r="DG98" s="1356"/>
      <c r="DH98" s="1356"/>
      <c r="DI98" s="1356"/>
      <c r="DJ98" s="1356"/>
      <c r="DK98" s="1356"/>
      <c r="DL98" s="1356"/>
      <c r="DM98" s="1356"/>
      <c r="DN98" s="1356"/>
      <c r="DO98" s="1356"/>
      <c r="DP98" s="1356"/>
      <c r="DQ98" s="1356"/>
      <c r="DR98" s="1356"/>
      <c r="DS98" s="1356"/>
      <c r="DT98" s="1356"/>
      <c r="DU98" s="1356"/>
      <c r="DV98" s="1356"/>
      <c r="DW98" s="1356"/>
      <c r="DX98" s="1356"/>
      <c r="DY98" s="2537"/>
      <c r="DZ98" s="2537"/>
      <c r="EA98" s="1356"/>
      <c r="EB98" s="1356"/>
      <c r="EC98" s="1356"/>
      <c r="ED98" s="1486" t="s">
        <v>1553</v>
      </c>
      <c r="EE98" s="1487"/>
      <c r="EF98" s="1356"/>
      <c r="EG98" s="1486" t="s">
        <v>1656</v>
      </c>
      <c r="EH98" s="1487"/>
      <c r="EI98" s="1356"/>
      <c r="EJ98" s="1486" t="s">
        <v>1551</v>
      </c>
      <c r="EK98" s="1487"/>
      <c r="EL98" s="1356"/>
      <c r="EM98" s="1486" t="str">
        <f>IF($EA$8&gt;5,"Define Level 5 Codes Here","Not Used")</f>
        <v>Define Level 5 Codes Here</v>
      </c>
      <c r="EN98" s="1487"/>
      <c r="EO98" s="1356"/>
      <c r="EP98" s="1486" t="str">
        <f>IF($EA$8&gt;6,"Define Level 6 Codes Here","Not Used")</f>
        <v>Not Used</v>
      </c>
      <c r="EQ98" s="1487"/>
      <c r="ER98" s="1356"/>
      <c r="ES98" s="1486" t="str">
        <f>IF($EA$8&gt;7,"Define Level 7 Codes Here","Not Used")</f>
        <v>Not Used</v>
      </c>
      <c r="ET98" s="1487"/>
      <c r="EU98" s="1356"/>
      <c r="EV98" s="1798" t="str">
        <f>IF($EA$8&gt;4,"Level "&amp;EA8&amp;" codes entered directly in table above","Not Used")</f>
        <v>Level 6 codes entered directly in table above</v>
      </c>
      <c r="EW98" s="1487"/>
      <c r="EX98" s="1356"/>
      <c r="EY98" s="1356"/>
      <c r="EZ98" s="1356"/>
      <c r="FA98" s="1356"/>
      <c r="FD98" s="1356"/>
      <c r="FE98" s="1356"/>
      <c r="FJ98" s="267"/>
      <c r="GD98" s="1356"/>
      <c r="GH98" s="274"/>
      <c r="GI98" s="274"/>
      <c r="GP98" s="223"/>
      <c r="HA98" s="274"/>
      <c r="HB98" s="274"/>
    </row>
    <row r="99" spans="72:210" ht="15" customHeight="1" x14ac:dyDescent="0.3">
      <c r="BT99" s="755"/>
      <c r="BU99" s="755"/>
      <c r="BV99" s="755"/>
      <c r="BW99" s="755"/>
      <c r="BX99" s="755"/>
      <c r="BY99" s="755"/>
      <c r="BZ99" s="755"/>
      <c r="CA99" s="755"/>
      <c r="CB99" s="755"/>
      <c r="CC99" s="755"/>
      <c r="CD99" s="755"/>
      <c r="CE99" s="755"/>
      <c r="CF99" s="755"/>
      <c r="CG99" s="755"/>
      <c r="CH99" s="755"/>
      <c r="CI99" s="755"/>
      <c r="CJ99" s="755"/>
      <c r="CK99" s="755"/>
      <c r="CL99" s="755"/>
      <c r="CM99" s="755"/>
      <c r="CN99" s="755"/>
      <c r="CO99" s="755"/>
      <c r="CP99" s="755"/>
      <c r="CQ99" s="755"/>
      <c r="CR99" s="755"/>
      <c r="CS99" s="755"/>
      <c r="CT99" s="755"/>
      <c r="CU99" s="755"/>
      <c r="CV99" s="755"/>
      <c r="CW99" s="755"/>
      <c r="CX99" s="755"/>
      <c r="CZ99" s="745"/>
      <c r="DA99" s="745"/>
      <c r="DB99" s="745"/>
      <c r="DC99" s="745"/>
      <c r="DD99" s="745"/>
      <c r="DE99" s="745"/>
      <c r="DF99" s="745"/>
      <c r="DG99" s="745"/>
      <c r="DH99" s="745"/>
      <c r="DI99" s="745"/>
      <c r="DJ99" s="745"/>
      <c r="DK99" s="745"/>
      <c r="DL99" s="745"/>
      <c r="DM99" s="745"/>
      <c r="DN99" s="745"/>
      <c r="DO99" s="745"/>
      <c r="DP99" s="745"/>
      <c r="DQ99" s="270"/>
      <c r="DR99" s="745"/>
      <c r="DS99" s="745"/>
      <c r="DT99" s="745"/>
      <c r="DU99" s="745"/>
      <c r="DV99" s="745"/>
      <c r="DW99" s="745"/>
      <c r="DX99" s="745"/>
      <c r="DY99" s="745"/>
      <c r="DZ99" s="745"/>
      <c r="EA99" s="270"/>
      <c r="EB99" s="270"/>
      <c r="EC99" s="745"/>
      <c r="ED99" s="4008" t="s">
        <v>1554</v>
      </c>
      <c r="EE99" s="4009"/>
      <c r="EF99" s="745"/>
      <c r="EG99" s="4008" t="s">
        <v>1552</v>
      </c>
      <c r="EH99" s="4009"/>
      <c r="EI99" s="745"/>
      <c r="EJ99" s="4008" t="s">
        <v>1747</v>
      </c>
      <c r="EK99" s="4009"/>
      <c r="EL99" s="270"/>
      <c r="EM99" s="1481" t="s">
        <v>624</v>
      </c>
      <c r="EN99" s="1482" t="s">
        <v>16</v>
      </c>
      <c r="EO99" s="270"/>
      <c r="EP99" s="1481" t="s">
        <v>624</v>
      </c>
      <c r="EQ99" s="1482" t="s">
        <v>16</v>
      </c>
      <c r="ER99" s="745"/>
      <c r="ES99" s="1481" t="s">
        <v>624</v>
      </c>
      <c r="ET99" s="1482" t="s">
        <v>16</v>
      </c>
      <c r="EU99" s="745"/>
      <c r="EV99" s="1661"/>
      <c r="EW99" s="3991" t="str">
        <f>IF($EA$8&gt;4,"Control Account Path ID codes and names are entered directly into the yellow cells in the table above","For Level 4 Path ID structures, this part of the above table is not used")</f>
        <v>Control Account Path ID codes and names are entered directly into the yellow cells in the table above</v>
      </c>
      <c r="FD99" s="745"/>
      <c r="FE99" s="745"/>
      <c r="HA99" s="274"/>
      <c r="HB99" s="274"/>
    </row>
    <row r="100" spans="72:210" x14ac:dyDescent="0.3">
      <c r="BT100" s="755"/>
      <c r="BU100" s="755"/>
      <c r="BV100" s="755"/>
      <c r="BW100" s="755"/>
      <c r="BX100" s="755"/>
      <c r="BY100" s="755"/>
      <c r="BZ100" s="755"/>
      <c r="CA100" s="755"/>
      <c r="CB100" s="755"/>
      <c r="CC100" s="755"/>
      <c r="CD100" s="755"/>
      <c r="CE100" s="755"/>
      <c r="CF100" s="755"/>
      <c r="CG100" s="755"/>
      <c r="CH100" s="755"/>
      <c r="CI100" s="755"/>
      <c r="CJ100" s="755"/>
      <c r="CK100" s="755"/>
      <c r="CL100" s="755"/>
      <c r="CM100" s="755"/>
      <c r="CN100" s="755"/>
      <c r="CO100" s="755"/>
      <c r="CP100" s="755"/>
      <c r="CQ100" s="755"/>
      <c r="CR100" s="755"/>
      <c r="CS100" s="755"/>
      <c r="CT100" s="755"/>
      <c r="CU100" s="755"/>
      <c r="CV100" s="755"/>
      <c r="CW100" s="755"/>
      <c r="CX100" s="755"/>
      <c r="CZ100" s="745"/>
      <c r="DA100" s="745"/>
      <c r="DB100" s="745"/>
      <c r="DC100" s="745"/>
      <c r="DD100" s="745"/>
      <c r="DE100" s="745"/>
      <c r="DF100" s="745"/>
      <c r="DG100" s="745"/>
      <c r="DH100" s="745"/>
      <c r="DI100" s="745"/>
      <c r="DJ100" s="745"/>
      <c r="DK100" s="745"/>
      <c r="DL100" s="745"/>
      <c r="DM100" s="745"/>
      <c r="DN100" s="745"/>
      <c r="DO100" s="745"/>
      <c r="DP100" s="745"/>
      <c r="DQ100" s="270"/>
      <c r="DR100" s="745"/>
      <c r="DS100" s="745"/>
      <c r="DT100" s="745"/>
      <c r="DU100" s="745"/>
      <c r="DV100" s="745"/>
      <c r="DW100" s="745"/>
      <c r="DX100" s="745"/>
      <c r="DY100" s="745"/>
      <c r="DZ100" s="745"/>
      <c r="EA100" s="270"/>
      <c r="EB100" s="270"/>
      <c r="EC100" s="745"/>
      <c r="ED100" s="4010"/>
      <c r="EE100" s="4011"/>
      <c r="EF100" s="745"/>
      <c r="EG100" s="4010"/>
      <c r="EH100" s="4011"/>
      <c r="EI100" s="745"/>
      <c r="EJ100" s="4010"/>
      <c r="EK100" s="4011"/>
      <c r="EL100" s="1485"/>
      <c r="EM100" s="1488" t="s">
        <v>963</v>
      </c>
      <c r="EN100" s="1491" t="s">
        <v>4358</v>
      </c>
      <c r="EO100" s="1492"/>
      <c r="EP100" s="1489"/>
      <c r="EQ100" s="1493"/>
      <c r="ER100" s="1492"/>
      <c r="ES100" s="1488"/>
      <c r="ET100" s="1491"/>
      <c r="EU100" s="745"/>
      <c r="EV100" s="1659"/>
      <c r="EW100" s="3992"/>
      <c r="FD100" s="745"/>
      <c r="FE100" s="745"/>
      <c r="HA100" s="274"/>
      <c r="HB100" s="274"/>
    </row>
    <row r="101" spans="72:210" x14ac:dyDescent="0.3">
      <c r="BT101" s="755"/>
      <c r="BU101" s="755"/>
      <c r="BV101" s="755"/>
      <c r="BW101" s="755"/>
      <c r="BX101" s="755"/>
      <c r="BY101" s="755"/>
      <c r="BZ101" s="755"/>
      <c r="CA101" s="755"/>
      <c r="CB101" s="755"/>
      <c r="CC101" s="755"/>
      <c r="CD101" s="755"/>
      <c r="CE101" s="755"/>
      <c r="CF101" s="755"/>
      <c r="CG101" s="755"/>
      <c r="CH101" s="755"/>
      <c r="CI101" s="755"/>
      <c r="CJ101" s="755"/>
      <c r="CK101" s="755"/>
      <c r="CL101" s="755"/>
      <c r="CM101" s="755"/>
      <c r="CN101" s="755"/>
      <c r="CO101" s="755"/>
      <c r="CP101" s="755"/>
      <c r="CQ101" s="755"/>
      <c r="CR101" s="755"/>
      <c r="CS101" s="755"/>
      <c r="CT101" s="755"/>
      <c r="CU101" s="755"/>
      <c r="CV101" s="755"/>
      <c r="CW101" s="755"/>
      <c r="CX101" s="755"/>
      <c r="CZ101" s="745"/>
      <c r="DA101" s="745"/>
      <c r="DB101" s="745"/>
      <c r="DC101" s="745"/>
      <c r="DD101" s="745"/>
      <c r="DE101" s="745"/>
      <c r="DF101" s="745"/>
      <c r="DG101" s="745"/>
      <c r="DH101" s="745"/>
      <c r="DI101" s="745"/>
      <c r="DJ101" s="745"/>
      <c r="DK101" s="745"/>
      <c r="DL101" s="745"/>
      <c r="DM101" s="745"/>
      <c r="DN101" s="745"/>
      <c r="DO101" s="745"/>
      <c r="DP101" s="745"/>
      <c r="DQ101" s="270"/>
      <c r="DR101" s="745"/>
      <c r="DS101" s="745"/>
      <c r="DT101" s="745"/>
      <c r="DU101" s="745"/>
      <c r="DV101" s="745"/>
      <c r="DW101" s="745"/>
      <c r="DX101" s="745"/>
      <c r="DY101" s="745"/>
      <c r="DZ101" s="745"/>
      <c r="EA101" s="270"/>
      <c r="EB101" s="270"/>
      <c r="EC101" s="745"/>
      <c r="ED101" s="4012"/>
      <c r="EE101" s="4013"/>
      <c r="EF101" s="745"/>
      <c r="EG101" s="4012"/>
      <c r="EH101" s="4013"/>
      <c r="EI101" s="745"/>
      <c r="EJ101" s="4012"/>
      <c r="EK101" s="4013"/>
      <c r="EL101" s="1484"/>
      <c r="EM101" s="1489" t="s">
        <v>1010</v>
      </c>
      <c r="EN101" s="1493" t="s">
        <v>4359</v>
      </c>
      <c r="EO101" s="1492"/>
      <c r="EP101" s="1489"/>
      <c r="EQ101" s="1493"/>
      <c r="ER101" s="1492"/>
      <c r="ES101" s="1489"/>
      <c r="ET101" s="1493"/>
      <c r="EU101" s="745"/>
      <c r="EV101" s="1660"/>
      <c r="EW101" s="3993"/>
      <c r="FD101" s="745"/>
      <c r="FE101" s="745"/>
      <c r="HA101" s="274"/>
      <c r="HB101" s="274"/>
    </row>
    <row r="102" spans="72:210" x14ac:dyDescent="0.3">
      <c r="BT102" s="755"/>
      <c r="BU102" s="755"/>
      <c r="BV102" s="755"/>
      <c r="BW102" s="755"/>
      <c r="BX102" s="755"/>
      <c r="BY102" s="755"/>
      <c r="BZ102" s="755"/>
      <c r="CA102" s="755"/>
      <c r="CB102" s="755"/>
      <c r="CC102" s="755"/>
      <c r="CD102" s="755"/>
      <c r="CE102" s="755"/>
      <c r="CF102" s="755"/>
      <c r="CG102" s="755"/>
      <c r="CH102" s="755"/>
      <c r="CI102" s="755"/>
      <c r="CJ102" s="755"/>
      <c r="CK102" s="755"/>
      <c r="CL102" s="755"/>
      <c r="CM102" s="755"/>
      <c r="CN102" s="755"/>
      <c r="CO102" s="755"/>
      <c r="CP102" s="755"/>
      <c r="CQ102" s="755"/>
      <c r="CR102" s="755"/>
      <c r="CS102" s="755"/>
      <c r="CT102" s="755"/>
      <c r="CU102" s="755"/>
      <c r="CV102" s="755"/>
      <c r="CW102" s="755"/>
      <c r="CX102" s="755"/>
      <c r="EL102" s="1485"/>
      <c r="EM102" s="1489" t="s">
        <v>4360</v>
      </c>
      <c r="EN102" s="1493" t="s">
        <v>4361</v>
      </c>
      <c r="EO102" s="1494"/>
      <c r="EP102" s="1489"/>
      <c r="EQ102" s="1493"/>
      <c r="ER102" s="1494"/>
      <c r="ES102" s="1489"/>
      <c r="ET102" s="1493"/>
      <c r="EV102" s="986"/>
      <c r="HA102" s="274"/>
      <c r="HB102" s="274"/>
    </row>
    <row r="103" spans="72:210" ht="15" customHeight="1" thickBot="1" x14ac:dyDescent="0.35">
      <c r="BT103" s="755"/>
      <c r="BU103" s="755"/>
      <c r="BV103" s="755"/>
      <c r="BW103" s="755"/>
      <c r="BX103" s="755"/>
      <c r="BY103" s="755"/>
      <c r="BZ103" s="755"/>
      <c r="CA103" s="755"/>
      <c r="CB103" s="755"/>
      <c r="CC103" s="755"/>
      <c r="CD103" s="755"/>
      <c r="CE103" s="755"/>
      <c r="CF103" s="755"/>
      <c r="CG103" s="755"/>
      <c r="CH103" s="755"/>
      <c r="CI103" s="755"/>
      <c r="CJ103" s="755"/>
      <c r="CK103" s="755"/>
      <c r="CL103" s="755"/>
      <c r="CM103" s="755"/>
      <c r="CN103" s="755"/>
      <c r="CO103" s="755"/>
      <c r="CP103" s="755"/>
      <c r="CQ103" s="755"/>
      <c r="CR103" s="755"/>
      <c r="CS103" s="755"/>
      <c r="CT103" s="755"/>
      <c r="CU103" s="755"/>
      <c r="CV103" s="755"/>
      <c r="CW103" s="755"/>
      <c r="CX103" s="755"/>
      <c r="EL103" s="1485"/>
      <c r="EM103" s="1489" t="s">
        <v>4362</v>
      </c>
      <c r="EN103" s="1493" t="s">
        <v>4363</v>
      </c>
      <c r="EO103" s="1494"/>
      <c r="EP103" s="1489"/>
      <c r="EQ103" s="1493"/>
      <c r="ER103" s="1494"/>
      <c r="ES103" s="1489"/>
      <c r="ET103" s="1493"/>
      <c r="EV103" s="986"/>
      <c r="HA103" s="274"/>
      <c r="HB103" s="274"/>
    </row>
    <row r="104" spans="72:210" ht="15" customHeight="1" x14ac:dyDescent="0.3">
      <c r="BT104" s="755"/>
      <c r="BU104" s="755"/>
      <c r="BV104" s="755"/>
      <c r="BW104" s="755"/>
      <c r="BX104" s="755"/>
      <c r="BY104" s="755"/>
      <c r="BZ104" s="755"/>
      <c r="CA104" s="755"/>
      <c r="CB104" s="755"/>
      <c r="CC104" s="755"/>
      <c r="CD104" s="755"/>
      <c r="CE104" s="755"/>
      <c r="CF104" s="755"/>
      <c r="CG104" s="755"/>
      <c r="CH104" s="755"/>
      <c r="CI104" s="755"/>
      <c r="CJ104" s="755"/>
      <c r="CK104" s="755"/>
      <c r="CL104" s="755"/>
      <c r="CM104" s="755"/>
      <c r="CN104" s="755"/>
      <c r="CO104" s="755"/>
      <c r="CP104" s="755"/>
      <c r="CQ104" s="755"/>
      <c r="CR104" s="755"/>
      <c r="CS104" s="755"/>
      <c r="CT104" s="755"/>
      <c r="CU104" s="755"/>
      <c r="CV104" s="755"/>
      <c r="CW104" s="755"/>
      <c r="CX104" s="755"/>
      <c r="ED104" s="4018" t="s">
        <v>2141</v>
      </c>
      <c r="EE104" s="4019"/>
      <c r="EF104" s="4019"/>
      <c r="EG104" s="4019"/>
      <c r="EH104" s="4019"/>
      <c r="EI104" s="4019"/>
      <c r="EJ104" s="4019"/>
      <c r="EK104" s="4020"/>
      <c r="EL104" s="1485"/>
      <c r="EM104" s="1489" t="s">
        <v>826</v>
      </c>
      <c r="EN104" s="1493" t="s">
        <v>4364</v>
      </c>
      <c r="EO104" s="1494"/>
      <c r="EP104" s="1489"/>
      <c r="EQ104" s="1493"/>
      <c r="ER104" s="1494"/>
      <c r="ES104" s="1489"/>
      <c r="ET104" s="1493"/>
      <c r="EV104" s="986"/>
      <c r="HA104" s="274"/>
      <c r="HB104" s="274"/>
    </row>
    <row r="105" spans="72:210" ht="18" customHeight="1" thickBot="1" x14ac:dyDescent="0.35">
      <c r="BT105" s="755"/>
      <c r="BU105" s="755"/>
      <c r="BV105" s="755"/>
      <c r="BW105" s="755"/>
      <c r="BX105" s="755"/>
      <c r="BY105" s="755"/>
      <c r="BZ105" s="755"/>
      <c r="CA105" s="755"/>
      <c r="CB105" s="755"/>
      <c r="CC105" s="755"/>
      <c r="CD105" s="755"/>
      <c r="CE105" s="755"/>
      <c r="CF105" s="755"/>
      <c r="CG105" s="755"/>
      <c r="CH105" s="755"/>
      <c r="CI105" s="755"/>
      <c r="CJ105" s="755"/>
      <c r="CK105" s="755"/>
      <c r="CL105" s="755"/>
      <c r="CM105" s="755"/>
      <c r="CN105" s="755"/>
      <c r="CO105" s="755"/>
      <c r="CP105" s="755"/>
      <c r="CQ105" s="755"/>
      <c r="CR105" s="755"/>
      <c r="CS105" s="755"/>
      <c r="CT105" s="755"/>
      <c r="CU105" s="755"/>
      <c r="CV105" s="755"/>
      <c r="CW105" s="755"/>
      <c r="CX105" s="755"/>
      <c r="ED105" s="4021"/>
      <c r="EE105" s="4022"/>
      <c r="EF105" s="4022"/>
      <c r="EG105" s="4022"/>
      <c r="EH105" s="4022"/>
      <c r="EI105" s="4022"/>
      <c r="EJ105" s="4022"/>
      <c r="EK105" s="4023"/>
      <c r="EL105" s="1485"/>
      <c r="EM105" s="1489" t="s">
        <v>4365</v>
      </c>
      <c r="EN105" s="1493" t="s">
        <v>4366</v>
      </c>
      <c r="EO105" s="1494"/>
      <c r="EP105" s="1489"/>
      <c r="EQ105" s="1493"/>
      <c r="ER105" s="1494"/>
      <c r="ES105" s="1489"/>
      <c r="ET105" s="1493"/>
      <c r="EV105" s="986"/>
      <c r="HA105" s="274"/>
      <c r="HB105" s="274"/>
    </row>
    <row r="106" spans="72:210" x14ac:dyDescent="0.3">
      <c r="BT106" s="755"/>
      <c r="BU106" s="755"/>
      <c r="BV106" s="755"/>
      <c r="BW106" s="755"/>
      <c r="BX106" s="755"/>
      <c r="BY106" s="755"/>
      <c r="BZ106" s="755"/>
      <c r="CA106" s="755"/>
      <c r="CB106" s="755"/>
      <c r="CC106" s="755"/>
      <c r="CD106" s="755"/>
      <c r="CE106" s="755"/>
      <c r="CF106" s="755"/>
      <c r="CG106" s="755"/>
      <c r="CH106" s="755"/>
      <c r="CI106" s="755"/>
      <c r="CJ106" s="755"/>
      <c r="CK106" s="755"/>
      <c r="CL106" s="755"/>
      <c r="CM106" s="755"/>
      <c r="CN106" s="755"/>
      <c r="CO106" s="755"/>
      <c r="CP106" s="755"/>
      <c r="CQ106" s="755"/>
      <c r="CR106" s="755"/>
      <c r="CS106" s="755"/>
      <c r="CT106" s="755"/>
      <c r="CU106" s="755"/>
      <c r="CV106" s="755"/>
      <c r="CW106" s="755"/>
      <c r="CX106" s="755"/>
      <c r="ED106" s="1730">
        <f ca="1">SUM(ED107:ED120)</f>
        <v>1</v>
      </c>
      <c r="EE106" s="1731" t="s">
        <v>2489</v>
      </c>
      <c r="EF106" s="4003" t="s">
        <v>1743</v>
      </c>
      <c r="EG106" s="4004"/>
      <c r="EH106" s="4004"/>
      <c r="EI106" s="4004"/>
      <c r="EJ106" s="4004"/>
      <c r="EK106" s="4005"/>
      <c r="EL106" s="1485"/>
      <c r="EM106" s="1489" t="s">
        <v>4367</v>
      </c>
      <c r="EN106" s="1493" t="s">
        <v>4368</v>
      </c>
      <c r="EO106" s="1494"/>
      <c r="EP106" s="1489"/>
      <c r="EQ106" s="1493"/>
      <c r="ER106" s="1494"/>
      <c r="ES106" s="1489"/>
      <c r="ET106" s="1493"/>
      <c r="EV106" s="986"/>
      <c r="HA106" s="274"/>
      <c r="HB106" s="274"/>
    </row>
    <row r="107" spans="72:210" x14ac:dyDescent="0.3">
      <c r="BT107" s="755"/>
      <c r="BU107" s="755"/>
      <c r="BV107" s="755"/>
      <c r="BW107" s="755"/>
      <c r="BX107" s="755"/>
      <c r="BY107" s="755"/>
      <c r="BZ107" s="755"/>
      <c r="CA107" s="755"/>
      <c r="CB107" s="755"/>
      <c r="CC107" s="755"/>
      <c r="CD107" s="755"/>
      <c r="CE107" s="755"/>
      <c r="CF107" s="755"/>
      <c r="CG107" s="755"/>
      <c r="CH107" s="755"/>
      <c r="CI107" s="755"/>
      <c r="CJ107" s="755"/>
      <c r="CK107" s="755"/>
      <c r="CL107" s="755"/>
      <c r="CM107" s="755"/>
      <c r="CN107" s="755"/>
      <c r="CO107" s="755"/>
      <c r="CP107" s="755"/>
      <c r="CQ107" s="755"/>
      <c r="CR107" s="755"/>
      <c r="CS107" s="755"/>
      <c r="CT107" s="755"/>
      <c r="CU107" s="755"/>
      <c r="CV107" s="755"/>
      <c r="CW107" s="755"/>
      <c r="CX107" s="755"/>
      <c r="ED107" s="1732">
        <f>IF(AND(CR27&gt;0,'1 Setup'!I39=0),1,0)</f>
        <v>0</v>
      </c>
      <c r="EE107" s="1733" t="s">
        <v>1741</v>
      </c>
      <c r="EF107" s="1734" t="s">
        <v>1728</v>
      </c>
      <c r="EG107" s="1735"/>
      <c r="EH107" s="1735"/>
      <c r="EI107" s="399"/>
      <c r="EJ107" s="399"/>
      <c r="EK107" s="1675"/>
      <c r="EL107" s="1485"/>
      <c r="EM107" s="1489" t="s">
        <v>4369</v>
      </c>
      <c r="EN107" s="1493" t="s">
        <v>4370</v>
      </c>
      <c r="EO107" s="1494"/>
      <c r="EP107" s="1489"/>
      <c r="EQ107" s="1493"/>
      <c r="ER107" s="1494"/>
      <c r="ES107" s="1489"/>
      <c r="ET107" s="1493"/>
      <c r="EV107" s="986"/>
      <c r="HA107" s="274"/>
      <c r="HB107" s="274"/>
    </row>
    <row r="108" spans="72:210" x14ac:dyDescent="0.3">
      <c r="BT108" s="755"/>
      <c r="BU108" s="755"/>
      <c r="BV108" s="755"/>
      <c r="BW108" s="755"/>
      <c r="BX108" s="755"/>
      <c r="BY108" s="755"/>
      <c r="BZ108" s="755"/>
      <c r="CA108" s="755"/>
      <c r="CB108" s="755"/>
      <c r="CC108" s="755"/>
      <c r="CD108" s="755"/>
      <c r="CE108" s="755"/>
      <c r="CF108" s="755"/>
      <c r="CG108" s="755"/>
      <c r="CH108" s="755"/>
      <c r="CI108" s="755"/>
      <c r="CJ108" s="755"/>
      <c r="CK108" s="755"/>
      <c r="CL108" s="755"/>
      <c r="CM108" s="755"/>
      <c r="CN108" s="755"/>
      <c r="CO108" s="755"/>
      <c r="CP108" s="755"/>
      <c r="CQ108" s="755"/>
      <c r="CR108" s="755"/>
      <c r="CS108" s="755"/>
      <c r="CT108" s="755"/>
      <c r="CU108" s="755"/>
      <c r="CV108" s="755"/>
      <c r="CW108" s="755"/>
      <c r="CX108" s="755"/>
      <c r="ED108" s="1736">
        <f>IF(AND(CR27&gt;0,EA17=0),1,0)</f>
        <v>0</v>
      </c>
      <c r="EE108" s="1737" t="s">
        <v>1741</v>
      </c>
      <c r="EF108" s="1738" t="s">
        <v>2488</v>
      </c>
      <c r="EG108" s="1739"/>
      <c r="EH108" s="1739"/>
      <c r="EI108" s="1676"/>
      <c r="EJ108" s="1676"/>
      <c r="EK108" s="1677"/>
      <c r="EM108" s="1489"/>
      <c r="EN108" s="1493"/>
      <c r="EO108" s="1494"/>
      <c r="EP108" s="1489"/>
      <c r="EQ108" s="1493"/>
      <c r="ER108" s="1494"/>
      <c r="ES108" s="1489"/>
      <c r="ET108" s="1493"/>
      <c r="EV108" s="986"/>
      <c r="HA108" s="274"/>
      <c r="HB108" s="274"/>
    </row>
    <row r="109" spans="72:210" x14ac:dyDescent="0.3">
      <c r="BT109" s="755"/>
      <c r="BU109" s="755"/>
      <c r="BV109" s="755"/>
      <c r="BW109" s="755"/>
      <c r="BX109" s="755"/>
      <c r="BY109" s="755"/>
      <c r="BZ109" s="755"/>
      <c r="CA109" s="755"/>
      <c r="CB109" s="755"/>
      <c r="CC109" s="755"/>
      <c r="CD109" s="755"/>
      <c r="CE109" s="755"/>
      <c r="CF109" s="755"/>
      <c r="CG109" s="755"/>
      <c r="CH109" s="755"/>
      <c r="CI109" s="755"/>
      <c r="CJ109" s="755"/>
      <c r="CK109" s="755"/>
      <c r="CL109" s="755"/>
      <c r="CM109" s="755"/>
      <c r="CN109" s="755"/>
      <c r="CO109" s="755"/>
      <c r="CP109" s="755"/>
      <c r="CQ109" s="755"/>
      <c r="CR109" s="755"/>
      <c r="CS109" s="755"/>
      <c r="CT109" s="755"/>
      <c r="CU109" s="755"/>
      <c r="CV109" s="755"/>
      <c r="CW109" s="755"/>
      <c r="CX109" s="755"/>
      <c r="ED109" s="1736">
        <f>IF('5  Control Accounts'!$BV$27&gt;0,1,0)</f>
        <v>0</v>
      </c>
      <c r="EE109" s="1737" t="s">
        <v>1742</v>
      </c>
      <c r="EF109" s="1738" t="s">
        <v>2275</v>
      </c>
      <c r="EG109" s="1739"/>
      <c r="EH109" s="1739"/>
      <c r="EI109" s="1676"/>
      <c r="EJ109" s="1676"/>
      <c r="EK109" s="1677"/>
      <c r="EM109" s="1489"/>
      <c r="EN109" s="1493"/>
      <c r="EO109" s="1494"/>
      <c r="EP109" s="1489"/>
      <c r="EQ109" s="1493"/>
      <c r="ER109" s="1494"/>
      <c r="ES109" s="1489"/>
      <c r="ET109" s="1493"/>
      <c r="EV109" s="986"/>
      <c r="HA109" s="274"/>
      <c r="HB109" s="274"/>
    </row>
    <row r="110" spans="72:210" x14ac:dyDescent="0.3">
      <c r="BT110" s="755"/>
      <c r="BU110" s="755"/>
      <c r="BV110" s="755"/>
      <c r="BW110" s="755"/>
      <c r="BX110" s="755"/>
      <c r="BY110" s="755"/>
      <c r="BZ110" s="755"/>
      <c r="CA110" s="755"/>
      <c r="CB110" s="755"/>
      <c r="CC110" s="755"/>
      <c r="CD110" s="755"/>
      <c r="CE110" s="755"/>
      <c r="CF110" s="755"/>
      <c r="CG110" s="755"/>
      <c r="CH110" s="755"/>
      <c r="CI110" s="755"/>
      <c r="CJ110" s="755"/>
      <c r="CK110" s="755"/>
      <c r="CL110" s="755"/>
      <c r="CM110" s="755"/>
      <c r="CN110" s="755"/>
      <c r="CO110" s="755"/>
      <c r="CP110" s="755"/>
      <c r="CQ110" s="755"/>
      <c r="CR110" s="755"/>
      <c r="CS110" s="755"/>
      <c r="CT110" s="755"/>
      <c r="CU110" s="755"/>
      <c r="CV110" s="755"/>
      <c r="CW110" s="755"/>
      <c r="CX110" s="755"/>
      <c r="ED110" s="1736">
        <f>IF($CB$27&gt;0,1,0)</f>
        <v>0</v>
      </c>
      <c r="EE110" s="1737" t="s">
        <v>1742</v>
      </c>
      <c r="EF110" s="1738" t="s">
        <v>1985</v>
      </c>
      <c r="EG110" s="1739"/>
      <c r="EH110" s="1739"/>
      <c r="EI110" s="1676"/>
      <c r="EJ110" s="1676"/>
      <c r="EK110" s="1677"/>
      <c r="EM110" s="1489"/>
      <c r="EN110" s="1493"/>
      <c r="EO110" s="1494"/>
      <c r="EP110" s="1489"/>
      <c r="EQ110" s="1493"/>
      <c r="ER110" s="1494"/>
      <c r="ES110" s="1489"/>
      <c r="ET110" s="1493"/>
      <c r="EV110" s="986"/>
      <c r="HA110" s="274"/>
      <c r="HB110" s="274"/>
    </row>
    <row r="111" spans="72:210" x14ac:dyDescent="0.3">
      <c r="BT111" s="755"/>
      <c r="BU111" s="755"/>
      <c r="BV111" s="755"/>
      <c r="BW111" s="755"/>
      <c r="BX111" s="755"/>
      <c r="BY111" s="755"/>
      <c r="BZ111" s="755"/>
      <c r="CA111" s="755"/>
      <c r="CB111" s="755"/>
      <c r="CC111" s="755"/>
      <c r="CD111" s="755"/>
      <c r="CE111" s="755"/>
      <c r="CF111" s="755"/>
      <c r="CG111" s="755"/>
      <c r="CH111" s="755"/>
      <c r="CI111" s="755"/>
      <c r="CJ111" s="755"/>
      <c r="CK111" s="755"/>
      <c r="CL111" s="755"/>
      <c r="CM111" s="755"/>
      <c r="CN111" s="755"/>
      <c r="CO111" s="755"/>
      <c r="CP111" s="755"/>
      <c r="CQ111" s="755"/>
      <c r="CR111" s="755"/>
      <c r="CS111" s="755"/>
      <c r="CT111" s="755"/>
      <c r="CU111" s="755"/>
      <c r="CV111" s="755"/>
      <c r="CW111" s="755"/>
      <c r="CX111" s="755"/>
      <c r="ED111" s="1736">
        <f ca="1">IFERROR(IF(FX16+FY16&gt;1,1,0),0)</f>
        <v>0</v>
      </c>
      <c r="EE111" s="1737" t="s">
        <v>1742</v>
      </c>
      <c r="EF111" s="1738" t="s">
        <v>4186</v>
      </c>
      <c r="EG111" s="1739"/>
      <c r="EH111" s="1739"/>
      <c r="EI111" s="1676"/>
      <c r="EJ111" s="1676"/>
      <c r="EK111" s="1677"/>
      <c r="EM111" s="1489"/>
      <c r="EN111" s="1493"/>
      <c r="EO111" s="1494"/>
      <c r="EP111" s="1489"/>
      <c r="EQ111" s="1493"/>
      <c r="ER111" s="1494"/>
      <c r="ES111" s="1489"/>
      <c r="ET111" s="1493"/>
      <c r="EV111" s="986"/>
    </row>
    <row r="112" spans="72:210" x14ac:dyDescent="0.3">
      <c r="BT112" s="755"/>
      <c r="BU112" s="755"/>
      <c r="BV112" s="755"/>
      <c r="BW112" s="755"/>
      <c r="BX112" s="755"/>
      <c r="BY112" s="755"/>
      <c r="BZ112" s="755"/>
      <c r="CA112" s="755"/>
      <c r="CB112" s="755"/>
      <c r="CC112" s="755"/>
      <c r="CD112" s="755"/>
      <c r="CE112" s="755"/>
      <c r="CF112" s="755"/>
      <c r="CG112" s="755"/>
      <c r="CH112" s="755"/>
      <c r="CI112" s="755"/>
      <c r="CJ112" s="755"/>
      <c r="CK112" s="755"/>
      <c r="CL112" s="755"/>
      <c r="CM112" s="755"/>
      <c r="CN112" s="755"/>
      <c r="CO112" s="755"/>
      <c r="CP112" s="755"/>
      <c r="CQ112" s="755"/>
      <c r="CR112" s="755"/>
      <c r="CS112" s="755"/>
      <c r="CT112" s="755"/>
      <c r="CU112" s="755"/>
      <c r="CV112" s="755"/>
      <c r="CW112" s="755"/>
      <c r="CX112" s="755"/>
      <c r="ED112" s="1740">
        <f>IF(AND($DW$14,CR27&gt;0,'3b Activity Plan'!GT170&lt;5,'3a Staff Plan'!EG126&lt;5),1,0)</f>
        <v>0</v>
      </c>
      <c r="EE112" s="1741" t="s">
        <v>1862</v>
      </c>
      <c r="EF112" s="1742" t="s">
        <v>2278</v>
      </c>
      <c r="EG112" s="1743"/>
      <c r="EH112" s="1743"/>
      <c r="EI112" s="1728"/>
      <c r="EJ112" s="1728"/>
      <c r="EK112" s="1729"/>
      <c r="EM112" s="1489"/>
      <c r="EN112" s="1493"/>
      <c r="EO112" s="1494"/>
      <c r="EP112" s="1489"/>
      <c r="EQ112" s="1493"/>
      <c r="ER112" s="1494"/>
      <c r="ES112" s="1489"/>
      <c r="ET112" s="1493"/>
      <c r="EV112" s="986"/>
    </row>
    <row r="113" spans="72:198" x14ac:dyDescent="0.3">
      <c r="BT113" s="755"/>
      <c r="BU113" s="755"/>
      <c r="BV113" s="755"/>
      <c r="BW113" s="755"/>
      <c r="BX113" s="755"/>
      <c r="BY113" s="755"/>
      <c r="BZ113" s="755"/>
      <c r="CA113" s="755"/>
      <c r="CB113" s="755"/>
      <c r="CC113" s="755"/>
      <c r="CD113" s="755"/>
      <c r="CE113" s="755"/>
      <c r="CF113" s="755"/>
      <c r="CG113" s="755"/>
      <c r="CH113" s="755"/>
      <c r="CI113" s="755"/>
      <c r="CJ113" s="755"/>
      <c r="CK113" s="755"/>
      <c r="CL113" s="755"/>
      <c r="CM113" s="755"/>
      <c r="CN113" s="755"/>
      <c r="CO113" s="755"/>
      <c r="CP113" s="755"/>
      <c r="CQ113" s="755"/>
      <c r="CR113" s="755"/>
      <c r="CS113" s="755"/>
      <c r="CT113" s="755"/>
      <c r="CU113" s="755"/>
      <c r="CV113" s="755"/>
      <c r="CW113" s="755"/>
      <c r="CX113" s="755"/>
      <c r="ED113" s="1736">
        <f>IF($EA$8&lt;6,"",IF($BT$27&gt;0,1,0))</f>
        <v>0</v>
      </c>
      <c r="EE113" s="1737" t="str">
        <f>IF($EA$8&gt;5,"5 Control Accounts Tab","")</f>
        <v>5 Control Accounts Tab</v>
      </c>
      <c r="EF113" s="1738" t="str">
        <f>IF($EA$8&gt;5,"An L5 code has been entered directly (not drawn from the L5 picklist","")</f>
        <v>An L5 code has been entered directly (not drawn from the L5 picklist</v>
      </c>
      <c r="EG113" s="1739"/>
      <c r="EH113" s="1739"/>
      <c r="EI113" s="1676"/>
      <c r="EJ113" s="1676"/>
      <c r="EK113" s="1677"/>
      <c r="EM113" s="1489"/>
      <c r="EN113" s="1493"/>
      <c r="EO113" s="1494"/>
      <c r="EP113" s="1489"/>
      <c r="EQ113" s="1493"/>
      <c r="ER113" s="1494"/>
      <c r="ES113" s="1489"/>
      <c r="ET113" s="1493"/>
      <c r="EV113" s="986"/>
    </row>
    <row r="114" spans="72:198" x14ac:dyDescent="0.3">
      <c r="BT114" s="755"/>
      <c r="BU114" s="755"/>
      <c r="BV114" s="755"/>
      <c r="BW114" s="755"/>
      <c r="BX114" s="755"/>
      <c r="BY114" s="755"/>
      <c r="BZ114" s="755"/>
      <c r="CA114" s="755"/>
      <c r="CB114" s="755"/>
      <c r="CC114" s="755"/>
      <c r="CD114" s="755"/>
      <c r="CE114" s="755"/>
      <c r="CF114" s="755"/>
      <c r="CG114" s="755"/>
      <c r="CH114" s="755"/>
      <c r="CI114" s="755"/>
      <c r="CJ114" s="755"/>
      <c r="CK114" s="755"/>
      <c r="CL114" s="755"/>
      <c r="CM114" s="755"/>
      <c r="CN114" s="755"/>
      <c r="CO114" s="755"/>
      <c r="CP114" s="755"/>
      <c r="CQ114" s="755"/>
      <c r="CR114" s="755"/>
      <c r="CS114" s="755"/>
      <c r="CT114" s="755"/>
      <c r="CU114" s="755"/>
      <c r="CV114" s="755"/>
      <c r="CW114" s="755"/>
      <c r="CX114" s="755"/>
      <c r="ED114" s="1736">
        <f>IF(CE27+CJ27&gt;0,1,0)</f>
        <v>0</v>
      </c>
      <c r="EE114" s="1737" t="str">
        <f t="shared" ref="EE114:EE116" si="247">IF($EA$8&gt;5,"5 Control Accounts Tab","")</f>
        <v>5 Control Accounts Tab</v>
      </c>
      <c r="EF114" s="1738" t="s">
        <v>4097</v>
      </c>
      <c r="EG114" s="1739"/>
      <c r="EH114" s="1739"/>
      <c r="EI114" s="1676"/>
      <c r="EJ114" s="1676"/>
      <c r="EK114" s="1677"/>
      <c r="EM114" s="1489"/>
      <c r="EN114" s="1493"/>
      <c r="EO114" s="1494"/>
      <c r="EP114" s="1489"/>
      <c r="EQ114" s="1493"/>
      <c r="ER114" s="1494"/>
      <c r="ES114" s="1489"/>
      <c r="ET114" s="1493"/>
      <c r="EV114" s="986"/>
    </row>
    <row r="115" spans="72:198" x14ac:dyDescent="0.3">
      <c r="BT115" s="755"/>
      <c r="BU115" s="755"/>
      <c r="BV115" s="755"/>
      <c r="BW115" s="755"/>
      <c r="BX115" s="755"/>
      <c r="BY115" s="755"/>
      <c r="BZ115" s="755"/>
      <c r="CA115" s="755"/>
      <c r="CB115" s="755"/>
      <c r="CC115" s="755"/>
      <c r="CD115" s="755"/>
      <c r="CE115" s="755"/>
      <c r="CF115" s="755"/>
      <c r="CG115" s="755"/>
      <c r="CH115" s="755"/>
      <c r="CI115" s="755"/>
      <c r="CJ115" s="755"/>
      <c r="CK115" s="755"/>
      <c r="CL115" s="755"/>
      <c r="CM115" s="755"/>
      <c r="CN115" s="755"/>
      <c r="CO115" s="755"/>
      <c r="CP115" s="755"/>
      <c r="CQ115" s="755"/>
      <c r="CR115" s="755"/>
      <c r="CS115" s="755"/>
      <c r="CT115" s="755"/>
      <c r="CU115" s="755"/>
      <c r="CV115" s="755"/>
      <c r="CW115" s="755"/>
      <c r="CX115" s="755"/>
      <c r="ED115" s="1736">
        <f>IF(CP27&lt;&gt;CR27,1,0)</f>
        <v>0</v>
      </c>
      <c r="EE115" s="1737" t="str">
        <f t="shared" si="247"/>
        <v>5 Control Accounts Tab</v>
      </c>
      <c r="EF115" s="1738" t="s">
        <v>2217</v>
      </c>
      <c r="EG115" s="1739"/>
      <c r="EH115" s="1739"/>
      <c r="EI115" s="1676"/>
      <c r="EJ115" s="1676"/>
      <c r="EK115" s="1677"/>
      <c r="EM115" s="1489"/>
      <c r="EN115" s="1493"/>
      <c r="EO115" s="1494"/>
      <c r="EP115" s="1489"/>
      <c r="EQ115" s="1493"/>
      <c r="ER115" s="1494"/>
      <c r="ES115" s="1489"/>
      <c r="ET115" s="1493"/>
      <c r="EV115" s="986"/>
    </row>
    <row r="116" spans="72:198" x14ac:dyDescent="0.3">
      <c r="BT116" s="755"/>
      <c r="BU116" s="755"/>
      <c r="BV116" s="755"/>
      <c r="BW116" s="755"/>
      <c r="BX116" s="755"/>
      <c r="BY116" s="755"/>
      <c r="BZ116" s="755"/>
      <c r="CA116" s="755"/>
      <c r="CB116" s="755"/>
      <c r="CC116" s="755"/>
      <c r="CD116" s="755"/>
      <c r="CE116" s="755"/>
      <c r="CF116" s="755"/>
      <c r="CG116" s="755"/>
      <c r="CH116" s="755"/>
      <c r="CI116" s="755"/>
      <c r="CJ116" s="755"/>
      <c r="CK116" s="755"/>
      <c r="CL116" s="755"/>
      <c r="CM116" s="755"/>
      <c r="CN116" s="755"/>
      <c r="CO116" s="755"/>
      <c r="CP116" s="755"/>
      <c r="CQ116" s="755"/>
      <c r="CR116" s="755"/>
      <c r="CS116" s="755"/>
      <c r="CT116" s="755"/>
      <c r="CU116" s="755"/>
      <c r="CV116" s="755"/>
      <c r="CW116" s="755"/>
      <c r="CX116" s="755"/>
      <c r="ED116" s="1736">
        <f>IF($BU$27&gt;0,1,0)</f>
        <v>0</v>
      </c>
      <c r="EE116" s="1737" t="str">
        <f t="shared" si="247"/>
        <v>5 Control Accounts Tab</v>
      </c>
      <c r="EF116" s="1738" t="s">
        <v>2218</v>
      </c>
      <c r="EG116" s="1739"/>
      <c r="EH116" s="1739"/>
      <c r="EI116" s="1676"/>
      <c r="EJ116" s="1676"/>
      <c r="EK116" s="1677"/>
      <c r="EM116" s="1489"/>
      <c r="EN116" s="1493"/>
      <c r="EO116" s="1494"/>
      <c r="EP116" s="1489"/>
      <c r="EQ116" s="1493"/>
      <c r="ER116" s="1494"/>
      <c r="ES116" s="1489"/>
      <c r="ET116" s="1493"/>
      <c r="EV116" s="986"/>
    </row>
    <row r="117" spans="72:198" x14ac:dyDescent="0.3">
      <c r="BT117" s="755"/>
      <c r="BU117" s="755"/>
      <c r="BV117" s="755"/>
      <c r="BW117" s="755"/>
      <c r="BX117" s="755"/>
      <c r="BY117" s="755"/>
      <c r="BZ117" s="755"/>
      <c r="CA117" s="755"/>
      <c r="CB117" s="755"/>
      <c r="CC117" s="755"/>
      <c r="CD117" s="755"/>
      <c r="CE117" s="755"/>
      <c r="CF117" s="755"/>
      <c r="CG117" s="755"/>
      <c r="CH117" s="755"/>
      <c r="CI117" s="755"/>
      <c r="CJ117" s="755"/>
      <c r="CK117" s="755"/>
      <c r="CL117" s="755"/>
      <c r="CM117" s="755"/>
      <c r="CN117" s="755"/>
      <c r="CO117" s="755"/>
      <c r="CP117" s="755"/>
      <c r="CQ117" s="755"/>
      <c r="CR117" s="755"/>
      <c r="CS117" s="755"/>
      <c r="CT117" s="755"/>
      <c r="CU117" s="755"/>
      <c r="CV117" s="755"/>
      <c r="CW117" s="755"/>
      <c r="CX117" s="755"/>
      <c r="ED117" s="1736">
        <f>IF(AND($EB$6="B",ImportChangeHeaders!AF2=0),1,0)</f>
        <v>0</v>
      </c>
      <c r="EE117" s="1737" t="s">
        <v>2841</v>
      </c>
      <c r="EF117" s="1738" t="s">
        <v>2842</v>
      </c>
      <c r="EG117" s="1739"/>
      <c r="EH117" s="1739"/>
      <c r="EI117" s="1676"/>
      <c r="EJ117" s="1676"/>
      <c r="EK117" s="1677"/>
      <c r="EM117" s="1489"/>
      <c r="EN117" s="1493"/>
      <c r="EO117" s="1494"/>
      <c r="EP117" s="1489"/>
      <c r="EQ117" s="1493"/>
      <c r="ER117" s="1494"/>
      <c r="ES117" s="1489"/>
      <c r="ET117" s="1493"/>
      <c r="EV117" s="986"/>
    </row>
    <row r="118" spans="72:198" x14ac:dyDescent="0.3">
      <c r="BT118" s="755"/>
      <c r="BU118" s="755"/>
      <c r="BV118" s="755"/>
      <c r="BW118" s="755"/>
      <c r="BX118" s="755"/>
      <c r="BY118" s="755"/>
      <c r="BZ118" s="755"/>
      <c r="CA118" s="755"/>
      <c r="CB118" s="755"/>
      <c r="CC118" s="755"/>
      <c r="CD118" s="755"/>
      <c r="CE118" s="755"/>
      <c r="CF118" s="755"/>
      <c r="CG118" s="755"/>
      <c r="CH118" s="755"/>
      <c r="CI118" s="755"/>
      <c r="CJ118" s="755"/>
      <c r="CK118" s="755"/>
      <c r="CL118" s="755"/>
      <c r="CM118" s="755"/>
      <c r="CN118" s="755"/>
      <c r="CO118" s="755"/>
      <c r="CP118" s="755"/>
      <c r="CQ118" s="755"/>
      <c r="CR118" s="755"/>
      <c r="CS118" s="755"/>
      <c r="CT118" s="755"/>
      <c r="CU118" s="755"/>
      <c r="CV118" s="755"/>
      <c r="CW118" s="755"/>
      <c r="CX118" s="755"/>
      <c r="ED118" s="1736">
        <f>IF(AND($EB$6="B",ISERROR(ImportChangeHeaders!D2)),1,0)</f>
        <v>1</v>
      </c>
      <c r="EE118" s="1737" t="s">
        <v>2264</v>
      </c>
      <c r="EF118" s="1738" t="s">
        <v>4103</v>
      </c>
      <c r="EG118" s="1739"/>
      <c r="EH118" s="1739"/>
      <c r="EI118" s="1676"/>
      <c r="EJ118" s="1676"/>
      <c r="EK118" s="1677"/>
      <c r="EM118" s="1489"/>
      <c r="EN118" s="1493"/>
      <c r="EO118" s="1494"/>
      <c r="EP118" s="1489"/>
      <c r="EQ118" s="1493"/>
      <c r="ER118" s="1494"/>
      <c r="ES118" s="1489"/>
      <c r="ET118" s="1493"/>
      <c r="EV118" s="986"/>
    </row>
    <row r="119" spans="72:198" s="749" customFormat="1" x14ac:dyDescent="0.3">
      <c r="BT119" s="755"/>
      <c r="BU119" s="755"/>
      <c r="BV119" s="755"/>
      <c r="BW119" s="755"/>
      <c r="BX119" s="755"/>
      <c r="BY119" s="755"/>
      <c r="BZ119" s="755"/>
      <c r="CA119" s="755"/>
      <c r="CB119" s="755"/>
      <c r="CC119" s="755"/>
      <c r="CD119" s="755"/>
      <c r="CE119" s="755"/>
      <c r="CF119" s="755"/>
      <c r="CG119" s="755"/>
      <c r="CH119" s="755"/>
      <c r="CI119" s="755"/>
      <c r="CJ119" s="755"/>
      <c r="CK119" s="755"/>
      <c r="CL119" s="755"/>
      <c r="CM119" s="755"/>
      <c r="CN119" s="755"/>
      <c r="CO119" s="755"/>
      <c r="CP119" s="755"/>
      <c r="CQ119" s="755"/>
      <c r="CR119" s="755"/>
      <c r="CS119" s="755"/>
      <c r="CT119" s="755"/>
      <c r="CU119" s="755"/>
      <c r="CV119" s="755"/>
      <c r="CW119" s="755"/>
      <c r="CX119" s="755"/>
      <c r="ED119" s="1736">
        <f>IF('Change Log'!AM25&gt;0,1,0)</f>
        <v>0</v>
      </c>
      <c r="EE119" s="1737" t="s">
        <v>2264</v>
      </c>
      <c r="EF119" s="1738" t="s">
        <v>4126</v>
      </c>
      <c r="EG119" s="1739"/>
      <c r="EH119" s="1739"/>
      <c r="EI119" s="1676"/>
      <c r="EJ119" s="1676"/>
      <c r="EK119" s="1677"/>
      <c r="EM119" s="1668"/>
      <c r="EN119" s="1669"/>
      <c r="EO119" s="1494"/>
      <c r="EP119" s="1668"/>
      <c r="EQ119" s="1669"/>
      <c r="ER119" s="1494"/>
      <c r="ES119" s="1668"/>
      <c r="ET119" s="1669"/>
      <c r="EV119" s="986"/>
      <c r="EX119" s="1356"/>
      <c r="EY119" s="1356"/>
      <c r="EZ119" s="1356"/>
      <c r="FA119" s="1356"/>
      <c r="GD119" s="1356"/>
      <c r="GP119" s="223"/>
    </row>
    <row r="120" spans="72:198" s="749" customFormat="1" x14ac:dyDescent="0.3">
      <c r="BT120" s="755"/>
      <c r="BU120" s="755"/>
      <c r="BV120" s="755"/>
      <c r="BW120" s="755"/>
      <c r="BX120" s="755"/>
      <c r="BY120" s="755"/>
      <c r="BZ120" s="755"/>
      <c r="CA120" s="755"/>
      <c r="CB120" s="755"/>
      <c r="CC120" s="755"/>
      <c r="CD120" s="755"/>
      <c r="CE120" s="755"/>
      <c r="CF120" s="755"/>
      <c r="CG120" s="755"/>
      <c r="CH120" s="755"/>
      <c r="CI120" s="755"/>
      <c r="CJ120" s="755"/>
      <c r="CK120" s="755"/>
      <c r="CL120" s="755"/>
      <c r="CM120" s="755"/>
      <c r="CN120" s="755"/>
      <c r="CO120" s="755"/>
      <c r="CP120" s="755"/>
      <c r="CQ120" s="755"/>
      <c r="CR120" s="755"/>
      <c r="CS120" s="755"/>
      <c r="CT120" s="755"/>
      <c r="CU120" s="755"/>
      <c r="CV120" s="755"/>
      <c r="CW120" s="755"/>
      <c r="CX120" s="755"/>
      <c r="ED120" s="1736">
        <f>IF(AND(EB29="CH",OR(EA8&lt;&gt;6,CO27&gt;0)),1,0)</f>
        <v>0</v>
      </c>
      <c r="EE120" s="1737" t="s">
        <v>2264</v>
      </c>
      <c r="EF120" s="1738" t="s">
        <v>4127</v>
      </c>
      <c r="EG120" s="1739"/>
      <c r="EH120" s="1739"/>
      <c r="EI120" s="1676"/>
      <c r="EJ120" s="1676"/>
      <c r="EK120" s="1677"/>
      <c r="EM120" s="1668"/>
      <c r="EN120" s="1669"/>
      <c r="EO120" s="1494"/>
      <c r="EP120" s="1668"/>
      <c r="EQ120" s="1669"/>
      <c r="ER120" s="1494"/>
      <c r="ES120" s="1668"/>
      <c r="ET120" s="1669"/>
      <c r="EV120" s="986"/>
      <c r="EX120" s="1356"/>
      <c r="EY120" s="1356"/>
      <c r="EZ120" s="1356"/>
      <c r="FA120" s="1356"/>
      <c r="GD120" s="1356"/>
      <c r="GP120" s="223"/>
    </row>
    <row r="121" spans="72:198" s="749" customFormat="1" x14ac:dyDescent="0.3">
      <c r="BT121" s="755"/>
      <c r="BU121" s="755"/>
      <c r="BV121" s="755"/>
      <c r="BW121" s="755"/>
      <c r="BX121" s="755"/>
      <c r="BY121" s="755"/>
      <c r="BZ121" s="755"/>
      <c r="CA121" s="755"/>
      <c r="CB121" s="755"/>
      <c r="CC121" s="755"/>
      <c r="CD121" s="755"/>
      <c r="CE121" s="755"/>
      <c r="CF121" s="755"/>
      <c r="CG121" s="755"/>
      <c r="CH121" s="755"/>
      <c r="CI121" s="755"/>
      <c r="CJ121" s="755"/>
      <c r="CK121" s="755"/>
      <c r="CL121" s="755"/>
      <c r="CM121" s="755"/>
      <c r="CN121" s="755"/>
      <c r="CO121" s="755"/>
      <c r="CP121" s="755"/>
      <c r="CQ121" s="755"/>
      <c r="CR121" s="755"/>
      <c r="CS121" s="755"/>
      <c r="CT121" s="755"/>
      <c r="CU121" s="755"/>
      <c r="CV121" s="755"/>
      <c r="CW121" s="755"/>
      <c r="CX121" s="755"/>
      <c r="EM121" s="1668"/>
      <c r="EN121" s="1669"/>
      <c r="EO121" s="1494"/>
      <c r="EP121" s="1668"/>
      <c r="EQ121" s="1669"/>
      <c r="ER121" s="1494"/>
      <c r="ES121" s="1668"/>
      <c r="ET121" s="1669"/>
      <c r="EV121" s="986"/>
      <c r="EX121" s="1356"/>
      <c r="EY121" s="1356"/>
      <c r="EZ121" s="1356"/>
      <c r="FA121" s="1356"/>
      <c r="GD121" s="1356"/>
      <c r="GP121" s="223"/>
    </row>
    <row r="122" spans="72:198" s="749" customFormat="1" x14ac:dyDescent="0.3">
      <c r="BT122" s="755"/>
      <c r="BU122" s="755"/>
      <c r="BV122" s="755"/>
      <c r="BW122" s="755"/>
      <c r="BX122" s="755"/>
      <c r="BY122" s="755"/>
      <c r="BZ122" s="755"/>
      <c r="CA122" s="755"/>
      <c r="CB122" s="755"/>
      <c r="CC122" s="755"/>
      <c r="CD122" s="755"/>
      <c r="CE122" s="755"/>
      <c r="CF122" s="755"/>
      <c r="CG122" s="755"/>
      <c r="CH122" s="755"/>
      <c r="CI122" s="755"/>
      <c r="CJ122" s="755"/>
      <c r="CK122" s="755"/>
      <c r="CL122" s="755"/>
      <c r="CM122" s="755"/>
      <c r="CN122" s="755"/>
      <c r="CO122" s="755"/>
      <c r="CP122" s="755"/>
      <c r="CQ122" s="755"/>
      <c r="CR122" s="755"/>
      <c r="CS122" s="755"/>
      <c r="CT122" s="755"/>
      <c r="CU122" s="755"/>
      <c r="CV122" s="755"/>
      <c r="CW122" s="755"/>
      <c r="CX122" s="755"/>
      <c r="EM122" s="1668"/>
      <c r="EN122" s="1669"/>
      <c r="EO122" s="1494"/>
      <c r="EP122" s="1668"/>
      <c r="EQ122" s="1669"/>
      <c r="ER122" s="1494"/>
      <c r="ES122" s="1668"/>
      <c r="ET122" s="1669"/>
      <c r="EV122" s="986"/>
      <c r="EX122" s="1356"/>
      <c r="EY122" s="1356"/>
      <c r="EZ122" s="1356"/>
      <c r="FA122" s="1356"/>
      <c r="GD122" s="1356"/>
      <c r="GP122" s="223"/>
    </row>
    <row r="123" spans="72:198" s="749" customFormat="1" x14ac:dyDescent="0.3">
      <c r="BT123" s="755"/>
      <c r="BU123" s="755"/>
      <c r="BV123" s="755"/>
      <c r="BW123" s="755"/>
      <c r="BX123" s="755"/>
      <c r="BY123" s="755"/>
      <c r="BZ123" s="755"/>
      <c r="CA123" s="755"/>
      <c r="CB123" s="755"/>
      <c r="CC123" s="755"/>
      <c r="CD123" s="755"/>
      <c r="CE123" s="755"/>
      <c r="CF123" s="755"/>
      <c r="CG123" s="755"/>
      <c r="CH123" s="755"/>
      <c r="CI123" s="755"/>
      <c r="CJ123" s="755"/>
      <c r="CK123" s="755"/>
      <c r="CL123" s="755"/>
      <c r="CM123" s="755"/>
      <c r="CN123" s="755"/>
      <c r="CO123" s="755"/>
      <c r="CP123" s="755"/>
      <c r="CQ123" s="755"/>
      <c r="CR123" s="755"/>
      <c r="CS123" s="755"/>
      <c r="CT123" s="755"/>
      <c r="CU123" s="755"/>
      <c r="CV123" s="755"/>
      <c r="CW123" s="755"/>
      <c r="CX123" s="755"/>
      <c r="EM123" s="1668"/>
      <c r="EN123" s="1669"/>
      <c r="EO123" s="1494"/>
      <c r="EP123" s="1668"/>
      <c r="EQ123" s="1669"/>
      <c r="ER123" s="1494"/>
      <c r="ES123" s="1668"/>
      <c r="ET123" s="1669"/>
      <c r="EV123" s="986"/>
      <c r="EX123" s="1356"/>
      <c r="EY123" s="1356"/>
      <c r="EZ123" s="1356"/>
      <c r="FA123" s="1356"/>
      <c r="GD123" s="1356"/>
      <c r="GP123" s="223"/>
    </row>
    <row r="124" spans="72:198" s="749" customFormat="1" x14ac:dyDescent="0.3">
      <c r="BT124" s="755"/>
      <c r="BU124" s="755"/>
      <c r="BV124" s="755"/>
      <c r="BW124" s="755"/>
      <c r="BX124" s="755"/>
      <c r="BY124" s="755"/>
      <c r="BZ124" s="755"/>
      <c r="CA124" s="755"/>
      <c r="CB124" s="755"/>
      <c r="CC124" s="755"/>
      <c r="CD124" s="755"/>
      <c r="CE124" s="755"/>
      <c r="CF124" s="755"/>
      <c r="CG124" s="755"/>
      <c r="CH124" s="755"/>
      <c r="CI124" s="755"/>
      <c r="CJ124" s="755"/>
      <c r="CK124" s="755"/>
      <c r="CL124" s="755"/>
      <c r="CM124" s="755"/>
      <c r="CN124" s="755"/>
      <c r="CO124" s="755"/>
      <c r="CP124" s="755"/>
      <c r="CQ124" s="755"/>
      <c r="CR124" s="755"/>
      <c r="CS124" s="755"/>
      <c r="CT124" s="755"/>
      <c r="CU124" s="755"/>
      <c r="CV124" s="755"/>
      <c r="CW124" s="755"/>
      <c r="CX124" s="755"/>
      <c r="EM124" s="1668"/>
      <c r="EN124" s="1669"/>
      <c r="EO124" s="1494"/>
      <c r="EP124" s="1668"/>
      <c r="EQ124" s="1669"/>
      <c r="ER124" s="1494"/>
      <c r="ES124" s="1668"/>
      <c r="ET124" s="1669"/>
      <c r="EV124" s="986"/>
      <c r="EX124" s="1356"/>
      <c r="EY124" s="1356"/>
      <c r="EZ124" s="1356"/>
      <c r="FA124" s="1356"/>
      <c r="GD124" s="1356"/>
      <c r="GP124" s="223"/>
    </row>
    <row r="125" spans="72:198" s="749" customFormat="1" x14ac:dyDescent="0.3">
      <c r="BT125" s="755"/>
      <c r="BU125" s="755"/>
      <c r="BV125" s="755"/>
      <c r="BW125" s="755"/>
      <c r="BX125" s="755"/>
      <c r="BY125" s="755"/>
      <c r="BZ125" s="755"/>
      <c r="CA125" s="755"/>
      <c r="CB125" s="755"/>
      <c r="CC125" s="755"/>
      <c r="CD125" s="755"/>
      <c r="CE125" s="755"/>
      <c r="CF125" s="755"/>
      <c r="CG125" s="755"/>
      <c r="CH125" s="755"/>
      <c r="CI125" s="755"/>
      <c r="CJ125" s="755"/>
      <c r="CK125" s="755"/>
      <c r="CL125" s="755"/>
      <c r="CM125" s="755"/>
      <c r="CN125" s="755"/>
      <c r="CO125" s="755"/>
      <c r="CP125" s="755"/>
      <c r="CQ125" s="755"/>
      <c r="CR125" s="755"/>
      <c r="CS125" s="755"/>
      <c r="CT125" s="755"/>
      <c r="CU125" s="755"/>
      <c r="CV125" s="755"/>
      <c r="CW125" s="755"/>
      <c r="CX125" s="755"/>
      <c r="EM125" s="1668"/>
      <c r="EN125" s="1669"/>
      <c r="EO125" s="1494"/>
      <c r="EP125" s="1668"/>
      <c r="EQ125" s="1669"/>
      <c r="ER125" s="1494"/>
      <c r="ES125" s="1668"/>
      <c r="ET125" s="1669"/>
      <c r="EV125" s="986"/>
      <c r="EX125" s="1356"/>
      <c r="EY125" s="1356"/>
      <c r="EZ125" s="1356"/>
      <c r="FA125" s="1356"/>
      <c r="GD125" s="1356"/>
      <c r="GP125" s="223"/>
    </row>
    <row r="126" spans="72:198" s="749" customFormat="1" ht="15" thickBot="1" x14ac:dyDescent="0.35">
      <c r="BT126" s="755"/>
      <c r="BU126" s="755"/>
      <c r="BV126" s="755"/>
      <c r="BW126" s="755"/>
      <c r="BX126" s="755"/>
      <c r="BY126" s="755"/>
      <c r="BZ126" s="755"/>
      <c r="CA126" s="755"/>
      <c r="CB126" s="755"/>
      <c r="CC126" s="755"/>
      <c r="CD126" s="755"/>
      <c r="CE126" s="755"/>
      <c r="CF126" s="755"/>
      <c r="CG126" s="755"/>
      <c r="CH126" s="755"/>
      <c r="CI126" s="755"/>
      <c r="CJ126" s="755"/>
      <c r="CK126" s="755"/>
      <c r="CL126" s="755"/>
      <c r="CM126" s="755"/>
      <c r="CN126" s="755"/>
      <c r="CO126" s="755"/>
      <c r="CP126" s="755"/>
      <c r="CQ126" s="755"/>
      <c r="CR126" s="755"/>
      <c r="CS126" s="755"/>
      <c r="CT126" s="755"/>
      <c r="CU126" s="755"/>
      <c r="CV126" s="755"/>
      <c r="CW126" s="755"/>
      <c r="CX126" s="755"/>
      <c r="EM126" s="1668"/>
      <c r="EN126" s="1669"/>
      <c r="EO126" s="1494"/>
      <c r="EP126" s="1668"/>
      <c r="EQ126" s="1669"/>
      <c r="ER126" s="1494"/>
      <c r="ES126" s="1668"/>
      <c r="ET126" s="1669"/>
      <c r="EV126" s="986"/>
      <c r="EX126" s="1356"/>
      <c r="EY126" s="1356"/>
      <c r="EZ126" s="1356"/>
      <c r="FA126" s="1356"/>
      <c r="GD126" s="1356"/>
      <c r="GP126" s="223"/>
    </row>
    <row r="127" spans="72:198" s="749" customFormat="1" x14ac:dyDescent="0.3">
      <c r="BT127" s="755"/>
      <c r="BU127" s="755"/>
      <c r="BV127" s="755"/>
      <c r="BW127" s="755"/>
      <c r="BX127" s="755"/>
      <c r="BY127" s="755"/>
      <c r="BZ127" s="755"/>
      <c r="CA127" s="755"/>
      <c r="CB127" s="755"/>
      <c r="CC127" s="755"/>
      <c r="CD127" s="755"/>
      <c r="CE127" s="755"/>
      <c r="CF127" s="755"/>
      <c r="CG127" s="755"/>
      <c r="CH127" s="755"/>
      <c r="CI127" s="755"/>
      <c r="CJ127" s="755"/>
      <c r="CK127" s="755"/>
      <c r="CL127" s="755"/>
      <c r="CM127" s="755"/>
      <c r="CN127" s="755"/>
      <c r="CO127" s="755"/>
      <c r="CP127" s="755"/>
      <c r="CQ127" s="755"/>
      <c r="CR127" s="755"/>
      <c r="CS127" s="755"/>
      <c r="CT127" s="755"/>
      <c r="CU127" s="755"/>
      <c r="CV127" s="755"/>
      <c r="CW127" s="755"/>
      <c r="CX127" s="755"/>
      <c r="ED127" s="1730">
        <f ca="1">SUM(ED128:ED135)</f>
        <v>0</v>
      </c>
      <c r="EE127" s="1731" t="s">
        <v>2489</v>
      </c>
      <c r="EF127" s="4003" t="s">
        <v>1861</v>
      </c>
      <c r="EG127" s="4004"/>
      <c r="EH127" s="4004"/>
      <c r="EI127" s="4004"/>
      <c r="EJ127" s="4004"/>
      <c r="EK127" s="4005"/>
      <c r="EM127" s="1668"/>
      <c r="EN127" s="1669"/>
      <c r="EO127" s="1494"/>
      <c r="EP127" s="1668"/>
      <c r="EQ127" s="1669"/>
      <c r="ER127" s="1494"/>
      <c r="ES127" s="1668"/>
      <c r="ET127" s="1669"/>
      <c r="EV127" s="986"/>
      <c r="EX127" s="1356"/>
      <c r="EY127" s="1356"/>
      <c r="EZ127" s="1356"/>
      <c r="FA127" s="1356"/>
      <c r="GD127" s="1356"/>
      <c r="GP127" s="223"/>
    </row>
    <row r="128" spans="72:198" s="749" customFormat="1" x14ac:dyDescent="0.3">
      <c r="BT128" s="755"/>
      <c r="BU128" s="755"/>
      <c r="BV128" s="755"/>
      <c r="BW128" s="755"/>
      <c r="BX128" s="755"/>
      <c r="BY128" s="755"/>
      <c r="BZ128" s="755"/>
      <c r="CA128" s="755"/>
      <c r="CB128" s="755"/>
      <c r="CC128" s="755"/>
      <c r="CD128" s="755"/>
      <c r="CE128" s="755"/>
      <c r="CF128" s="755"/>
      <c r="CG128" s="755"/>
      <c r="CH128" s="755"/>
      <c r="CI128" s="755"/>
      <c r="CJ128" s="755"/>
      <c r="CK128" s="755"/>
      <c r="CL128" s="755"/>
      <c r="CM128" s="755"/>
      <c r="CN128" s="755"/>
      <c r="CO128" s="755"/>
      <c r="CP128" s="755"/>
      <c r="CQ128" s="755"/>
      <c r="CR128" s="755"/>
      <c r="CS128" s="755"/>
      <c r="CT128" s="755"/>
      <c r="CU128" s="755"/>
      <c r="CV128" s="755"/>
      <c r="CW128" s="755"/>
      <c r="CX128" s="755"/>
      <c r="ED128" s="1732">
        <f>IF($CA$27&gt;0,1,0)</f>
        <v>0</v>
      </c>
      <c r="EE128" s="1733" t="s">
        <v>1742</v>
      </c>
      <c r="EF128" s="1734" t="s">
        <v>1983</v>
      </c>
      <c r="EG128" s="1735"/>
      <c r="EH128" s="399"/>
      <c r="EI128" s="399"/>
      <c r="EJ128" s="399"/>
      <c r="EK128" s="1675"/>
      <c r="EM128" s="1668"/>
      <c r="EN128" s="1669"/>
      <c r="EO128" s="1494"/>
      <c r="EP128" s="1668"/>
      <c r="EQ128" s="1669"/>
      <c r="ER128" s="1494"/>
      <c r="ES128" s="1668"/>
      <c r="ET128" s="1669"/>
      <c r="EV128" s="986"/>
      <c r="EX128" s="1356"/>
      <c r="EY128" s="1356"/>
      <c r="EZ128" s="1356"/>
      <c r="FA128" s="1356"/>
      <c r="GD128" s="1356"/>
      <c r="GP128" s="223"/>
    </row>
    <row r="129" spans="72:198" s="749" customFormat="1" x14ac:dyDescent="0.3">
      <c r="BT129" s="755"/>
      <c r="BU129" s="755"/>
      <c r="BV129" s="755"/>
      <c r="BW129" s="755"/>
      <c r="BX129" s="755"/>
      <c r="BY129" s="755"/>
      <c r="BZ129" s="755"/>
      <c r="CA129" s="755"/>
      <c r="CB129" s="755"/>
      <c r="CC129" s="755"/>
      <c r="CD129" s="755"/>
      <c r="CE129" s="755"/>
      <c r="CF129" s="755"/>
      <c r="CG129" s="755"/>
      <c r="CH129" s="755"/>
      <c r="CI129" s="755"/>
      <c r="CJ129" s="755"/>
      <c r="CK129" s="755"/>
      <c r="CL129" s="755"/>
      <c r="CM129" s="755"/>
      <c r="CN129" s="755"/>
      <c r="CO129" s="755"/>
      <c r="CP129" s="755"/>
      <c r="CQ129" s="755"/>
      <c r="CR129" s="755"/>
      <c r="CS129" s="755"/>
      <c r="CT129" s="755"/>
      <c r="CU129" s="755"/>
      <c r="CV129" s="755"/>
      <c r="CW129" s="755"/>
      <c r="CX129" s="755"/>
      <c r="ED129" s="1736">
        <f>IF($BS$27&gt;0,1,0)</f>
        <v>0</v>
      </c>
      <c r="EE129" s="1737" t="s">
        <v>1742</v>
      </c>
      <c r="EF129" s="1738" t="s">
        <v>2277</v>
      </c>
      <c r="EG129" s="1739"/>
      <c r="EH129" s="1676"/>
      <c r="EI129" s="1676"/>
      <c r="EJ129" s="1676"/>
      <c r="EK129" s="1677"/>
      <c r="EM129" s="1668"/>
      <c r="EN129" s="1669"/>
      <c r="EO129" s="1494"/>
      <c r="EP129" s="1668"/>
      <c r="EQ129" s="1669"/>
      <c r="ER129" s="1494"/>
      <c r="ES129" s="1668"/>
      <c r="ET129" s="1669"/>
      <c r="EV129" s="986"/>
      <c r="EX129" s="1356"/>
      <c r="EY129" s="1356"/>
      <c r="EZ129" s="1356"/>
      <c r="FA129" s="1356"/>
      <c r="GD129" s="1356"/>
      <c r="GP129" s="223"/>
    </row>
    <row r="130" spans="72:198" s="749" customFormat="1" x14ac:dyDescent="0.3">
      <c r="BT130" s="755"/>
      <c r="BU130" s="755"/>
      <c r="BV130" s="755"/>
      <c r="BW130" s="755"/>
      <c r="BX130" s="755"/>
      <c r="BY130" s="755"/>
      <c r="BZ130" s="755"/>
      <c r="CA130" s="755"/>
      <c r="CB130" s="755"/>
      <c r="CC130" s="755"/>
      <c r="CD130" s="755"/>
      <c r="CE130" s="755"/>
      <c r="CF130" s="755"/>
      <c r="CG130" s="755"/>
      <c r="CH130" s="755"/>
      <c r="CI130" s="755"/>
      <c r="CJ130" s="755"/>
      <c r="CK130" s="755"/>
      <c r="CL130" s="755"/>
      <c r="CM130" s="755"/>
      <c r="CN130" s="755"/>
      <c r="CO130" s="755"/>
      <c r="CP130" s="755"/>
      <c r="CQ130" s="755"/>
      <c r="CR130" s="755"/>
      <c r="CS130" s="755"/>
      <c r="CT130" s="755"/>
      <c r="CU130" s="755"/>
      <c r="CV130" s="755"/>
      <c r="CW130" s="755"/>
      <c r="CX130" s="755"/>
      <c r="ED130" s="1736">
        <f>IF($BW$27&gt;0,1,0)</f>
        <v>0</v>
      </c>
      <c r="EE130" s="1737" t="s">
        <v>1742</v>
      </c>
      <c r="EF130" s="1738" t="s">
        <v>2276</v>
      </c>
      <c r="EG130" s="1739"/>
      <c r="EH130" s="1676"/>
      <c r="EI130" s="1676"/>
      <c r="EJ130" s="1676"/>
      <c r="EK130" s="1677"/>
      <c r="EM130" s="1668"/>
      <c r="EN130" s="1669"/>
      <c r="EO130" s="1494"/>
      <c r="EP130" s="1668"/>
      <c r="EQ130" s="1669"/>
      <c r="ER130" s="1494"/>
      <c r="ES130" s="1668"/>
      <c r="ET130" s="1669"/>
      <c r="EV130" s="986"/>
      <c r="EX130" s="1356"/>
      <c r="EY130" s="1356"/>
      <c r="EZ130" s="1356"/>
      <c r="FA130" s="1356"/>
      <c r="GD130" s="1356"/>
      <c r="GP130" s="223"/>
    </row>
    <row r="131" spans="72:198" s="749" customFormat="1" x14ac:dyDescent="0.3">
      <c r="BT131" s="755"/>
      <c r="BU131" s="755"/>
      <c r="BV131" s="755"/>
      <c r="BW131" s="755"/>
      <c r="BX131" s="755"/>
      <c r="BY131" s="755"/>
      <c r="BZ131" s="755"/>
      <c r="CA131" s="755"/>
      <c r="CB131" s="755"/>
      <c r="CC131" s="755"/>
      <c r="CD131" s="755"/>
      <c r="CE131" s="755"/>
      <c r="CF131" s="755"/>
      <c r="CG131" s="755"/>
      <c r="CH131" s="755"/>
      <c r="CI131" s="755"/>
      <c r="CJ131" s="755"/>
      <c r="CK131" s="755"/>
      <c r="CL131" s="755"/>
      <c r="CM131" s="755"/>
      <c r="CN131" s="755"/>
      <c r="CO131" s="755"/>
      <c r="CP131" s="755"/>
      <c r="CQ131" s="755"/>
      <c r="CR131" s="755"/>
      <c r="CS131" s="755"/>
      <c r="CT131" s="755"/>
      <c r="CU131" s="755"/>
      <c r="CV131" s="755"/>
      <c r="CW131" s="755"/>
      <c r="CX131" s="755"/>
      <c r="ED131" s="1736">
        <f>IF($BZ$27&gt;0,1,0)</f>
        <v>0</v>
      </c>
      <c r="EE131" s="1737" t="s">
        <v>1742</v>
      </c>
      <c r="EF131" s="1738" t="s">
        <v>2279</v>
      </c>
      <c r="EG131" s="1739"/>
      <c r="EH131" s="1676"/>
      <c r="EI131" s="1676"/>
      <c r="EJ131" s="1676"/>
      <c r="EK131" s="1677"/>
      <c r="EM131" s="1668"/>
      <c r="EN131" s="1669"/>
      <c r="EO131" s="1494"/>
      <c r="EP131" s="1668"/>
      <c r="EQ131" s="1669"/>
      <c r="ER131" s="1494"/>
      <c r="ES131" s="1668"/>
      <c r="ET131" s="1669"/>
      <c r="EV131" s="986"/>
      <c r="EX131" s="1356"/>
      <c r="EY131" s="1356"/>
      <c r="EZ131" s="1356"/>
      <c r="FA131" s="1356"/>
      <c r="GD131" s="1356"/>
      <c r="GP131" s="223"/>
    </row>
    <row r="132" spans="72:198" s="749" customFormat="1" x14ac:dyDescent="0.3">
      <c r="BT132" s="755"/>
      <c r="BU132" s="755"/>
      <c r="BV132" s="755"/>
      <c r="BW132" s="755"/>
      <c r="BX132" s="755"/>
      <c r="BY132" s="755"/>
      <c r="BZ132" s="755"/>
      <c r="CA132" s="755"/>
      <c r="CB132" s="755"/>
      <c r="CC132" s="755"/>
      <c r="CD132" s="755"/>
      <c r="CE132" s="755"/>
      <c r="CF132" s="755"/>
      <c r="CG132" s="755"/>
      <c r="CH132" s="755"/>
      <c r="CI132" s="755"/>
      <c r="CJ132" s="755"/>
      <c r="CK132" s="755"/>
      <c r="CL132" s="755"/>
      <c r="CM132" s="755"/>
      <c r="CN132" s="755"/>
      <c r="CO132" s="755"/>
      <c r="CP132" s="755"/>
      <c r="CQ132" s="755"/>
      <c r="CR132" s="755"/>
      <c r="CS132" s="755"/>
      <c r="CT132" s="755"/>
      <c r="CU132" s="755"/>
      <c r="CV132" s="755"/>
      <c r="CW132" s="755"/>
      <c r="CX132" s="755"/>
      <c r="ED132" s="1736">
        <f>IF('3b Activity Plan'!$FT$171&gt;0,1,0)</f>
        <v>0</v>
      </c>
      <c r="EE132" s="1737" t="s">
        <v>1730</v>
      </c>
      <c r="EF132" s="1738" t="s">
        <v>1984</v>
      </c>
      <c r="EG132" s="1739"/>
      <c r="EH132" s="1676"/>
      <c r="EI132" s="1676"/>
      <c r="EJ132" s="1676"/>
      <c r="EK132" s="1677"/>
      <c r="EM132" s="1668"/>
      <c r="EN132" s="1669"/>
      <c r="EO132" s="1494"/>
      <c r="EP132" s="1668"/>
      <c r="EQ132" s="1669"/>
      <c r="ER132" s="1494"/>
      <c r="ES132" s="1668"/>
      <c r="ET132" s="1669"/>
      <c r="EV132" s="986"/>
      <c r="EX132" s="1356"/>
      <c r="EY132" s="1356"/>
      <c r="EZ132" s="1356"/>
      <c r="FA132" s="1356"/>
      <c r="GD132" s="1356"/>
      <c r="GP132" s="223"/>
    </row>
    <row r="133" spans="72:198" s="749" customFormat="1" x14ac:dyDescent="0.3">
      <c r="BT133" s="755"/>
      <c r="BU133" s="755"/>
      <c r="BV133" s="755"/>
      <c r="BW133" s="755"/>
      <c r="BX133" s="755"/>
      <c r="BY133" s="755"/>
      <c r="BZ133" s="755"/>
      <c r="CA133" s="755"/>
      <c r="CB133" s="755"/>
      <c r="CC133" s="755"/>
      <c r="CD133" s="755"/>
      <c r="CE133" s="755"/>
      <c r="CF133" s="755"/>
      <c r="CG133" s="755"/>
      <c r="CH133" s="755"/>
      <c r="CI133" s="755"/>
      <c r="CJ133" s="755"/>
      <c r="CK133" s="755"/>
      <c r="CL133" s="755"/>
      <c r="CM133" s="755"/>
      <c r="CN133" s="755"/>
      <c r="CO133" s="755"/>
      <c r="CP133" s="755"/>
      <c r="CQ133" s="755"/>
      <c r="CR133" s="755"/>
      <c r="CS133" s="755"/>
      <c r="CT133" s="755"/>
      <c r="CU133" s="755"/>
      <c r="CV133" s="755"/>
      <c r="CW133" s="755"/>
      <c r="CX133" s="755"/>
      <c r="ED133" s="1736">
        <f ca="1">IFERROR(IF('3a Staff Plan'!DI119+'3b Activity Plan'!AK163&gt;0,1,0),0)</f>
        <v>0</v>
      </c>
      <c r="EE133" s="1737" t="s">
        <v>1862</v>
      </c>
      <c r="EF133" s="1738" t="s">
        <v>1864</v>
      </c>
      <c r="EG133" s="1739"/>
      <c r="EH133" s="1739"/>
      <c r="EI133" s="1676"/>
      <c r="EJ133" s="1676"/>
      <c r="EK133" s="1677"/>
      <c r="EM133" s="1668"/>
      <c r="EN133" s="1669"/>
      <c r="EO133" s="1494"/>
      <c r="EP133" s="1668"/>
      <c r="EQ133" s="1669"/>
      <c r="ER133" s="1494"/>
      <c r="ES133" s="1668"/>
      <c r="ET133" s="1669"/>
      <c r="EV133" s="986"/>
      <c r="EX133" s="1356"/>
      <c r="EY133" s="1356"/>
      <c r="EZ133" s="1356"/>
      <c r="FA133" s="1356"/>
      <c r="GD133" s="1356"/>
      <c r="GP133" s="223"/>
    </row>
    <row r="134" spans="72:198" s="749" customFormat="1" x14ac:dyDescent="0.3">
      <c r="BT134" s="755"/>
      <c r="BU134" s="755"/>
      <c r="BV134" s="755"/>
      <c r="BW134" s="755"/>
      <c r="BX134" s="755"/>
      <c r="BY134" s="755"/>
      <c r="BZ134" s="755"/>
      <c r="CA134" s="755"/>
      <c r="CB134" s="755"/>
      <c r="CC134" s="755"/>
      <c r="CD134" s="755"/>
      <c r="CE134" s="755"/>
      <c r="CF134" s="755"/>
      <c r="CG134" s="755"/>
      <c r="CH134" s="755"/>
      <c r="CI134" s="755"/>
      <c r="CJ134" s="755"/>
      <c r="CK134" s="755"/>
      <c r="CL134" s="755"/>
      <c r="CM134" s="755"/>
      <c r="CN134" s="755"/>
      <c r="CO134" s="755"/>
      <c r="CP134" s="755"/>
      <c r="CQ134" s="755"/>
      <c r="CR134" s="755"/>
      <c r="CS134" s="755"/>
      <c r="CT134" s="755"/>
      <c r="CU134" s="755"/>
      <c r="CV134" s="755"/>
      <c r="CW134" s="755"/>
      <c r="CX134" s="755"/>
      <c r="ED134" s="2512">
        <f>IFERROR(IF(AND('1 Setup'!G3="B",SUM('4 Sign-off'!T123:X123)&gt;0),1,0),0)</f>
        <v>0</v>
      </c>
      <c r="EE134" s="1737" t="s">
        <v>2536</v>
      </c>
      <c r="EF134" s="1738" t="s">
        <v>2800</v>
      </c>
      <c r="EG134" s="1739"/>
      <c r="EH134" s="1739"/>
      <c r="EI134" s="1676"/>
      <c r="EJ134" s="1676"/>
      <c r="EK134" s="1677"/>
      <c r="EM134" s="1668"/>
      <c r="EN134" s="1669"/>
      <c r="EO134" s="1494"/>
      <c r="EP134" s="1668"/>
      <c r="EQ134" s="1669"/>
      <c r="ER134" s="1494"/>
      <c r="ES134" s="1668"/>
      <c r="ET134" s="1669"/>
      <c r="EV134" s="986"/>
      <c r="EX134" s="1356"/>
      <c r="EY134" s="1356"/>
      <c r="EZ134" s="1356"/>
      <c r="FA134" s="1356"/>
      <c r="GD134" s="1356"/>
      <c r="GP134" s="223"/>
    </row>
    <row r="135" spans="72:198" s="749" customFormat="1" x14ac:dyDescent="0.3">
      <c r="BT135" s="755"/>
      <c r="BU135" s="755"/>
      <c r="BV135" s="755"/>
      <c r="BW135" s="755"/>
      <c r="BX135" s="755"/>
      <c r="BY135" s="755"/>
      <c r="BZ135" s="755"/>
      <c r="CA135" s="755"/>
      <c r="CB135" s="755"/>
      <c r="CC135" s="755"/>
      <c r="CD135" s="755"/>
      <c r="CE135" s="755"/>
      <c r="CF135" s="755"/>
      <c r="CG135" s="755"/>
      <c r="CH135" s="755"/>
      <c r="CI135" s="755"/>
      <c r="CJ135" s="755"/>
      <c r="CK135" s="755"/>
      <c r="CL135" s="755"/>
      <c r="CM135" s="755"/>
      <c r="CN135" s="755"/>
      <c r="CO135" s="755"/>
      <c r="CP135" s="755"/>
      <c r="CQ135" s="755"/>
      <c r="CR135" s="755"/>
      <c r="CS135" s="755"/>
      <c r="CT135" s="755"/>
      <c r="CU135" s="755"/>
      <c r="CV135" s="755"/>
      <c r="CW135" s="755"/>
      <c r="CX135" s="755"/>
      <c r="ED135" s="1736">
        <f>IF(AND(CR27&gt;0,'1 Setup'!T4='1 Setup'!X4),1,0)</f>
        <v>0</v>
      </c>
      <c r="EE135" s="1737" t="s">
        <v>1741</v>
      </c>
      <c r="EF135" s="1738" t="s">
        <v>3453</v>
      </c>
      <c r="EG135" s="1739"/>
      <c r="EH135" s="1739"/>
      <c r="EI135" s="1676"/>
      <c r="EJ135" s="1676"/>
      <c r="EK135" s="1677"/>
      <c r="EM135" s="1668"/>
      <c r="EN135" s="1669"/>
      <c r="EO135" s="1494"/>
      <c r="EP135" s="1668"/>
      <c r="EQ135" s="1669"/>
      <c r="ER135" s="1494"/>
      <c r="ES135" s="1668"/>
      <c r="ET135" s="1669"/>
      <c r="EV135" s="986"/>
      <c r="EX135" s="1356"/>
      <c r="EY135" s="1356"/>
      <c r="EZ135" s="1356"/>
      <c r="FA135" s="1356"/>
      <c r="GD135" s="1356"/>
      <c r="GP135" s="223"/>
    </row>
    <row r="136" spans="72:198" s="749" customFormat="1" x14ac:dyDescent="0.3">
      <c r="BT136" s="755"/>
      <c r="BU136" s="755"/>
      <c r="BV136" s="755"/>
      <c r="BW136" s="755"/>
      <c r="BX136" s="755"/>
      <c r="BY136" s="755"/>
      <c r="BZ136" s="755"/>
      <c r="CA136" s="755"/>
      <c r="CB136" s="755"/>
      <c r="CC136" s="755"/>
      <c r="CD136" s="755"/>
      <c r="CE136" s="755"/>
      <c r="CF136" s="755"/>
      <c r="CG136" s="755"/>
      <c r="CH136" s="755"/>
      <c r="CI136" s="755"/>
      <c r="CJ136" s="755"/>
      <c r="CK136" s="755"/>
      <c r="CL136" s="755"/>
      <c r="CM136" s="755"/>
      <c r="CN136" s="755"/>
      <c r="CO136" s="755"/>
      <c r="CP136" s="755"/>
      <c r="CQ136" s="755"/>
      <c r="CR136" s="755"/>
      <c r="CS136" s="755"/>
      <c r="CT136" s="755"/>
      <c r="CU136" s="755"/>
      <c r="CV136" s="755"/>
      <c r="CW136" s="755"/>
      <c r="CX136" s="755"/>
      <c r="EM136" s="1668"/>
      <c r="EN136" s="1669"/>
      <c r="EO136" s="1494"/>
      <c r="EP136" s="1668"/>
      <c r="EQ136" s="1669"/>
      <c r="ER136" s="1494"/>
      <c r="ES136" s="1668"/>
      <c r="ET136" s="1669"/>
      <c r="EV136" s="986"/>
      <c r="EX136" s="1356"/>
      <c r="EY136" s="1356"/>
      <c r="EZ136" s="1356"/>
      <c r="FA136" s="1356"/>
      <c r="GD136" s="1356"/>
      <c r="GP136" s="223"/>
    </row>
    <row r="137" spans="72:198" s="749" customFormat="1" x14ac:dyDescent="0.3">
      <c r="BT137" s="755"/>
      <c r="BU137" s="755"/>
      <c r="BV137" s="755"/>
      <c r="BW137" s="755"/>
      <c r="BX137" s="755"/>
      <c r="BY137" s="755"/>
      <c r="BZ137" s="755"/>
      <c r="CA137" s="755"/>
      <c r="CB137" s="755"/>
      <c r="CC137" s="755"/>
      <c r="CD137" s="755"/>
      <c r="CE137" s="755"/>
      <c r="CF137" s="755"/>
      <c r="CG137" s="755"/>
      <c r="CH137" s="755"/>
      <c r="CI137" s="755"/>
      <c r="CJ137" s="755"/>
      <c r="CK137" s="755"/>
      <c r="CL137" s="755"/>
      <c r="CM137" s="755"/>
      <c r="CN137" s="755"/>
      <c r="CO137" s="755"/>
      <c r="CP137" s="755"/>
      <c r="CQ137" s="755"/>
      <c r="CR137" s="755"/>
      <c r="CS137" s="755"/>
      <c r="CT137" s="755"/>
      <c r="CU137" s="755"/>
      <c r="CV137" s="755"/>
      <c r="CW137" s="755"/>
      <c r="CX137" s="755"/>
      <c r="EM137" s="1668"/>
      <c r="EN137" s="1669"/>
      <c r="EO137" s="1494"/>
      <c r="EP137" s="1668"/>
      <c r="EQ137" s="1669"/>
      <c r="ER137" s="1494"/>
      <c r="ES137" s="1668"/>
      <c r="ET137" s="1669"/>
      <c r="EV137" s="986"/>
      <c r="EX137" s="1356"/>
      <c r="EY137" s="1356"/>
      <c r="EZ137" s="1356"/>
      <c r="FA137" s="1356"/>
      <c r="GD137" s="1356"/>
      <c r="GP137" s="223"/>
    </row>
    <row r="138" spans="72:198" s="749" customFormat="1" x14ac:dyDescent="0.3">
      <c r="BT138" s="755"/>
      <c r="BU138" s="755"/>
      <c r="BV138" s="755"/>
      <c r="BW138" s="755"/>
      <c r="BX138" s="755"/>
      <c r="BY138" s="755"/>
      <c r="BZ138" s="755"/>
      <c r="CA138" s="755"/>
      <c r="CB138" s="755"/>
      <c r="CC138" s="755"/>
      <c r="CD138" s="755"/>
      <c r="CE138" s="755"/>
      <c r="CF138" s="755"/>
      <c r="CG138" s="755"/>
      <c r="CH138" s="755"/>
      <c r="CI138" s="755"/>
      <c r="CJ138" s="755"/>
      <c r="CK138" s="755"/>
      <c r="CL138" s="755"/>
      <c r="CM138" s="755"/>
      <c r="CN138" s="755"/>
      <c r="CO138" s="755"/>
      <c r="CP138" s="755"/>
      <c r="CQ138" s="755"/>
      <c r="CR138" s="755"/>
      <c r="CS138" s="755"/>
      <c r="CT138" s="755"/>
      <c r="CU138" s="755"/>
      <c r="CV138" s="755"/>
      <c r="CW138" s="755"/>
      <c r="CX138" s="755"/>
      <c r="EM138" s="1668"/>
      <c r="EN138" s="1669"/>
      <c r="EO138" s="1494"/>
      <c r="EP138" s="1668"/>
      <c r="EQ138" s="1669"/>
      <c r="ER138" s="1494"/>
      <c r="ES138" s="1668"/>
      <c r="ET138" s="1669"/>
      <c r="EV138" s="986"/>
      <c r="EX138" s="1356"/>
      <c r="EY138" s="1356"/>
      <c r="EZ138" s="1356"/>
      <c r="FA138" s="1356"/>
      <c r="GD138" s="1356"/>
      <c r="GP138" s="223"/>
    </row>
    <row r="139" spans="72:198" ht="15" thickBot="1" x14ac:dyDescent="0.35">
      <c r="BT139" s="755"/>
      <c r="BU139" s="755"/>
      <c r="BV139" s="755"/>
      <c r="BW139" s="755"/>
      <c r="BX139" s="755"/>
      <c r="BY139" s="755"/>
      <c r="BZ139" s="755"/>
      <c r="CA139" s="755"/>
      <c r="CB139" s="755"/>
      <c r="CC139" s="755"/>
      <c r="CD139" s="755"/>
      <c r="CE139" s="755"/>
      <c r="CF139" s="755"/>
      <c r="CG139" s="755"/>
      <c r="CH139" s="755"/>
      <c r="CI139" s="755"/>
      <c r="CJ139" s="755"/>
      <c r="CK139" s="755"/>
      <c r="CL139" s="755"/>
      <c r="CM139" s="755"/>
      <c r="CN139" s="755"/>
      <c r="CO139" s="755"/>
      <c r="CP139" s="755"/>
      <c r="CQ139" s="755"/>
      <c r="CR139" s="755"/>
      <c r="CS139" s="755"/>
      <c r="CT139" s="755"/>
      <c r="CU139" s="755"/>
      <c r="CV139" s="755"/>
      <c r="CW139" s="755"/>
      <c r="CX139" s="755"/>
      <c r="EM139" s="1490"/>
      <c r="EN139" s="1495"/>
      <c r="EO139" s="1494"/>
      <c r="EP139" s="1490"/>
      <c r="EQ139" s="1495"/>
      <c r="ER139" s="1494"/>
      <c r="ES139" s="1490"/>
      <c r="ET139" s="1495"/>
      <c r="EV139" s="986"/>
    </row>
    <row r="140" spans="72:198" x14ac:dyDescent="0.3">
      <c r="BT140" s="755"/>
      <c r="BU140" s="755"/>
      <c r="BV140" s="755"/>
      <c r="BW140" s="755"/>
      <c r="BX140" s="755"/>
      <c r="BY140" s="755"/>
      <c r="BZ140" s="755"/>
      <c r="CA140" s="755"/>
      <c r="CB140" s="755"/>
      <c r="CC140" s="755"/>
      <c r="CD140" s="755"/>
      <c r="CE140" s="755"/>
      <c r="CF140" s="755"/>
      <c r="CG140" s="755"/>
      <c r="CH140" s="755"/>
      <c r="CI140" s="755"/>
      <c r="CJ140" s="755"/>
      <c r="CK140" s="755"/>
      <c r="CL140" s="755"/>
      <c r="CM140" s="755"/>
      <c r="CN140" s="755"/>
      <c r="CO140" s="755"/>
      <c r="CP140" s="755"/>
      <c r="CQ140" s="755"/>
      <c r="CR140" s="755"/>
      <c r="CS140" s="755"/>
      <c r="CT140" s="755"/>
      <c r="CU140" s="755"/>
      <c r="CV140" s="755"/>
      <c r="CW140" s="755"/>
      <c r="CX140" s="755"/>
      <c r="EM140" s="4016" t="s">
        <v>1744</v>
      </c>
      <c r="EN140" s="4016"/>
      <c r="EP140" s="4016" t="s">
        <v>1744</v>
      </c>
      <c r="EQ140" s="4016"/>
      <c r="ES140" s="4016" t="s">
        <v>1744</v>
      </c>
      <c r="ET140" s="4016"/>
    </row>
    <row r="141" spans="72:198" x14ac:dyDescent="0.3">
      <c r="BT141" s="755"/>
      <c r="BU141" s="755"/>
      <c r="BV141" s="755"/>
      <c r="BW141" s="755"/>
      <c r="BX141" s="755"/>
      <c r="BY141" s="755"/>
      <c r="BZ141" s="755"/>
      <c r="CA141" s="755"/>
      <c r="CB141" s="755"/>
      <c r="CC141" s="755"/>
      <c r="CD141" s="755"/>
      <c r="CE141" s="755"/>
      <c r="CF141" s="755"/>
      <c r="CG141" s="755"/>
      <c r="CH141" s="755"/>
      <c r="CI141" s="755"/>
      <c r="CJ141" s="755"/>
      <c r="CK141" s="755"/>
      <c r="CL141" s="755"/>
      <c r="CM141" s="755"/>
      <c r="CN141" s="755"/>
      <c r="CO141" s="755"/>
      <c r="CP141" s="755"/>
      <c r="CQ141" s="755"/>
      <c r="CR141" s="755"/>
      <c r="CS141" s="755"/>
      <c r="CT141" s="755"/>
      <c r="CU141" s="755"/>
      <c r="CV141" s="755"/>
      <c r="CW141" s="755"/>
      <c r="CX141" s="755"/>
      <c r="EM141" s="4017"/>
      <c r="EN141" s="4017"/>
      <c r="EP141" s="4017"/>
      <c r="EQ141" s="4017"/>
      <c r="ES141" s="4017"/>
      <c r="ET141" s="4017"/>
    </row>
    <row r="142" spans="72:198" x14ac:dyDescent="0.3">
      <c r="BT142" s="755"/>
      <c r="BU142" s="755"/>
      <c r="BV142" s="755"/>
      <c r="BW142" s="755"/>
      <c r="BX142" s="755"/>
      <c r="BY142" s="755"/>
      <c r="BZ142" s="755"/>
      <c r="CA142" s="755"/>
      <c r="CB142" s="755"/>
      <c r="CC142" s="755"/>
      <c r="CD142" s="755"/>
      <c r="CE142" s="755"/>
      <c r="CF142" s="755"/>
      <c r="CG142" s="755"/>
      <c r="CH142" s="755"/>
      <c r="CI142" s="755"/>
      <c r="CJ142" s="755"/>
      <c r="CK142" s="755"/>
      <c r="CL142" s="755"/>
      <c r="CM142" s="755"/>
      <c r="CN142" s="755"/>
      <c r="CO142" s="755"/>
      <c r="CP142" s="755"/>
      <c r="CQ142" s="755"/>
      <c r="CR142" s="755"/>
      <c r="CS142" s="755"/>
      <c r="CT142" s="755"/>
      <c r="CU142" s="755"/>
      <c r="CV142" s="755"/>
      <c r="CW142" s="755"/>
      <c r="CX142" s="755"/>
    </row>
  </sheetData>
  <mergeCells count="168">
    <mergeCell ref="GI24:GI27"/>
    <mergeCell ref="GG21:GG28"/>
    <mergeCell ref="CC19:CC26"/>
    <mergeCell ref="CD19:CD26"/>
    <mergeCell ref="CF21:CF26"/>
    <mergeCell ref="CG21:CG26"/>
    <mergeCell ref="CH21:CH26"/>
    <mergeCell ref="CI21:CI26"/>
    <mergeCell ref="CE27:CI27"/>
    <mergeCell ref="CJ21:CJ26"/>
    <mergeCell ref="CK21:CK26"/>
    <mergeCell ref="CL21:CL26"/>
    <mergeCell ref="CM21:CM26"/>
    <mergeCell ref="CN21:CN26"/>
    <mergeCell ref="CJ27:CN27"/>
    <mergeCell ref="FA20:FB20"/>
    <mergeCell ref="GA25:GA26"/>
    <mergeCell ref="GB25:GB26"/>
    <mergeCell ref="FV25:FV26"/>
    <mergeCell ref="GC25:GC26"/>
    <mergeCell ref="FD22:FE22"/>
    <mergeCell ref="FT22:FV22"/>
    <mergeCell ref="FT25:FT26"/>
    <mergeCell ref="FU25:FU26"/>
    <mergeCell ref="GK21:GS23"/>
    <mergeCell ref="CT21:CT26"/>
    <mergeCell ref="FU20:FY20"/>
    <mergeCell ref="FR20:FT20"/>
    <mergeCell ref="AK22:AL23"/>
    <mergeCell ref="F25:F26"/>
    <mergeCell ref="Q25:Q26"/>
    <mergeCell ref="BU21:BU26"/>
    <mergeCell ref="FH25:FH26"/>
    <mergeCell ref="FG25:FG26"/>
    <mergeCell ref="FA21:FB25"/>
    <mergeCell ref="FQ25:FQ26"/>
    <mergeCell ref="FP25:FP26"/>
    <mergeCell ref="FO25:FO26"/>
    <mergeCell ref="EQ22:EQ24"/>
    <mergeCell ref="O25:O26"/>
    <mergeCell ref="P25:P26"/>
    <mergeCell ref="U25:U26"/>
    <mergeCell ref="V25:V26"/>
    <mergeCell ref="AP26:AP27"/>
    <mergeCell ref="AQ26:AQ27"/>
    <mergeCell ref="AR26:AR27"/>
    <mergeCell ref="AS26:AS27"/>
    <mergeCell ref="BA27:BA28"/>
    <mergeCell ref="BH27:BH28"/>
    <mergeCell ref="BC27:BD28"/>
    <mergeCell ref="CB21:CB26"/>
    <mergeCell ref="DI25:DJ25"/>
    <mergeCell ref="CQ21:CQ26"/>
    <mergeCell ref="BY21:BY26"/>
    <mergeCell ref="BS21:BS26"/>
    <mergeCell ref="DX26:DX27"/>
    <mergeCell ref="BV21:BV26"/>
    <mergeCell ref="CA21:CA26"/>
    <mergeCell ref="CZ25:DA25"/>
    <mergeCell ref="DF26:DF27"/>
    <mergeCell ref="BG27:BG28"/>
    <mergeCell ref="BF27:BF28"/>
    <mergeCell ref="BK27:BK28"/>
    <mergeCell ref="BJ27:BJ28"/>
    <mergeCell ref="BI27:BI28"/>
    <mergeCell ref="DD26:DD27"/>
    <mergeCell ref="DC26:DC27"/>
    <mergeCell ref="DC25:DD25"/>
    <mergeCell ref="DL26:DL27"/>
    <mergeCell ref="DO26:DO27"/>
    <mergeCell ref="DI26:DI27"/>
    <mergeCell ref="BQ21:BQ26"/>
    <mergeCell ref="FX25:FX26"/>
    <mergeCell ref="FR25:FR26"/>
    <mergeCell ref="FY25:FY26"/>
    <mergeCell ref="DF25:DG25"/>
    <mergeCell ref="DO25:DP25"/>
    <mergeCell ref="FK25:FK26"/>
    <mergeCell ref="DG26:DG27"/>
    <mergeCell ref="AE27:AE28"/>
    <mergeCell ref="AF27:AF28"/>
    <mergeCell ref="AX26:AX27"/>
    <mergeCell ref="AI27:AI28"/>
    <mergeCell ref="AH27:AH28"/>
    <mergeCell ref="AV26:AV27"/>
    <mergeCell ref="AY26:AY27"/>
    <mergeCell ref="FI25:FI26"/>
    <mergeCell ref="FN25:FN26"/>
    <mergeCell ref="FM25:FM26"/>
    <mergeCell ref="ED21:EM25"/>
    <mergeCell ref="BR21:BR26"/>
    <mergeCell ref="CE21:CE26"/>
    <mergeCell ref="DA26:DA27"/>
    <mergeCell ref="CZ26:CZ27"/>
    <mergeCell ref="BT21:BT26"/>
    <mergeCell ref="CR21:CR26"/>
    <mergeCell ref="AC27:AC28"/>
    <mergeCell ref="AL27:AL28"/>
    <mergeCell ref="AU26:AU27"/>
    <mergeCell ref="B25:B26"/>
    <mergeCell ref="C25:C26"/>
    <mergeCell ref="D25:D26"/>
    <mergeCell ref="E25:E26"/>
    <mergeCell ref="J25:J26"/>
    <mergeCell ref="K25:K26"/>
    <mergeCell ref="M25:M26"/>
    <mergeCell ref="I25:I26"/>
    <mergeCell ref="G25:G26"/>
    <mergeCell ref="AB27:AB28"/>
    <mergeCell ref="AK27:AK28"/>
    <mergeCell ref="N25:N26"/>
    <mergeCell ref="R25:R26"/>
    <mergeCell ref="T25:T26"/>
    <mergeCell ref="AO26:AO27"/>
    <mergeCell ref="AT26:AT27"/>
    <mergeCell ref="FL25:FL26"/>
    <mergeCell ref="DM26:DM27"/>
    <mergeCell ref="DL25:DM25"/>
    <mergeCell ref="FA27:FA28"/>
    <mergeCell ref="DT26:DT27"/>
    <mergeCell ref="DS25:DT25"/>
    <mergeCell ref="BX21:BX26"/>
    <mergeCell ref="BZ21:BZ26"/>
    <mergeCell ref="FB27:FB28"/>
    <mergeCell ref="CP21:CP26"/>
    <mergeCell ref="CO21:CO26"/>
    <mergeCell ref="EM140:EN141"/>
    <mergeCell ref="EP140:EQ141"/>
    <mergeCell ref="ES140:ET141"/>
    <mergeCell ref="ED104:EK105"/>
    <mergeCell ref="DJ26:DJ27"/>
    <mergeCell ref="EF106:EK106"/>
    <mergeCell ref="BL27:BL28"/>
    <mergeCell ref="BW21:BW26"/>
    <mergeCell ref="EN23:EN25"/>
    <mergeCell ref="CU21:CU26"/>
    <mergeCell ref="CV21:CV26"/>
    <mergeCell ref="BN30:BN33"/>
    <mergeCell ref="BO30:BO33"/>
    <mergeCell ref="EW99:EW101"/>
    <mergeCell ref="DS22:DT24"/>
    <mergeCell ref="DW22:DX24"/>
    <mergeCell ref="DS26:DS27"/>
    <mergeCell ref="DW26:DW27"/>
    <mergeCell ref="EW22:EW23"/>
    <mergeCell ref="EA30:EA31"/>
    <mergeCell ref="EF127:EK127"/>
    <mergeCell ref="DP26:DP27"/>
    <mergeCell ref="EJ99:EK101"/>
    <mergeCell ref="EG99:EH101"/>
    <mergeCell ref="ED99:EE101"/>
    <mergeCell ref="EA23:EA24"/>
    <mergeCell ref="ET22:ET24"/>
    <mergeCell ref="GS25:GS27"/>
    <mergeCell ref="GT25:GT27"/>
    <mergeCell ref="GU25:GU27"/>
    <mergeCell ref="GV25:GV27"/>
    <mergeCell ref="GW25:GW27"/>
    <mergeCell ref="GX25:GX27"/>
    <mergeCell ref="GY25:GY27"/>
    <mergeCell ref="GK25:GK27"/>
    <mergeCell ref="GL25:GL27"/>
    <mergeCell ref="GM25:GM27"/>
    <mergeCell ref="GN25:GN27"/>
    <mergeCell ref="GO25:GO27"/>
    <mergeCell ref="GP25:GP27"/>
    <mergeCell ref="GQ25:GQ27"/>
    <mergeCell ref="GR25:GR27"/>
  </mergeCells>
  <conditionalFormatting sqref="EM27:EN27">
    <cfRule type="expression" dxfId="307" priority="900">
      <formula>($EA$8&gt;5)</formula>
    </cfRule>
  </conditionalFormatting>
  <conditionalFormatting sqref="EW24">
    <cfRule type="expression" dxfId="306" priority="891">
      <formula>($EA$8=2)</formula>
    </cfRule>
  </conditionalFormatting>
  <conditionalFormatting sqref="EK27">
    <cfRule type="expression" dxfId="305" priority="890">
      <formula>($EA$8&lt;4)</formula>
    </cfRule>
  </conditionalFormatting>
  <conditionalFormatting sqref="DX29 EJ94 EJ52 EG29:EG33 DJ30:DJ33 DM30:DM33 DG30:DG33 DD30:DD33 DP30:DP33">
    <cfRule type="expression" dxfId="304" priority="879">
      <formula>($EA$8&lt;3)</formula>
    </cfRule>
  </conditionalFormatting>
  <conditionalFormatting sqref="EV27:EW27">
    <cfRule type="expression" dxfId="303" priority="869">
      <formula>($EA$8&gt;4)</formula>
    </cfRule>
  </conditionalFormatting>
  <conditionalFormatting sqref="EK33">
    <cfRule type="expression" dxfId="302" priority="836">
      <formula>($EA$8&lt;4)</formula>
    </cfRule>
  </conditionalFormatting>
  <conditionalFormatting sqref="EV29:EW33">
    <cfRule type="expression" dxfId="301" priority="829">
      <formula>($EA$8&lt;5)</formula>
    </cfRule>
  </conditionalFormatting>
  <conditionalFormatting sqref="EN34:EN94">
    <cfRule type="expression" dxfId="300" priority="843">
      <formula>($EA$8&gt;5)</formula>
    </cfRule>
  </conditionalFormatting>
  <conditionalFormatting sqref="DW34:DW51 DS34:DS51 DW53:DW94 DS53:DS94">
    <cfRule type="expression" dxfId="299" priority="618">
      <formula>ISBLANK(DS34)</formula>
    </cfRule>
    <cfRule type="expression" dxfId="298" priority="814">
      <formula>($EA$8&lt;3)</formula>
    </cfRule>
  </conditionalFormatting>
  <conditionalFormatting sqref="DW34:DW51 DW53:DW94">
    <cfRule type="expression" dxfId="297" priority="813">
      <formula>(DW34=0)</formula>
    </cfRule>
  </conditionalFormatting>
  <conditionalFormatting sqref="DX33">
    <cfRule type="expression" dxfId="296" priority="812">
      <formula>($EA$8&lt;3)</formula>
    </cfRule>
  </conditionalFormatting>
  <conditionalFormatting sqref="DT29:DT32">
    <cfRule type="expression" dxfId="295" priority="744">
      <formula>($EA$8&lt;3)</formula>
    </cfRule>
  </conditionalFormatting>
  <conditionalFormatting sqref="DT33">
    <cfRule type="expression" dxfId="294" priority="742">
      <formula>($EA$8&lt;3)</formula>
    </cfRule>
  </conditionalFormatting>
  <conditionalFormatting sqref="DJ29">
    <cfRule type="expression" dxfId="293" priority="737">
      <formula>($EA$8&lt;3)</formula>
    </cfRule>
  </conditionalFormatting>
  <conditionalFormatting sqref="DG29">
    <cfRule type="expression" dxfId="292" priority="734">
      <formula>($EA$8&lt;3)</formula>
    </cfRule>
  </conditionalFormatting>
  <conditionalFormatting sqref="DP29">
    <cfRule type="expression" dxfId="291" priority="731">
      <formula>($EA$8&lt;3)</formula>
    </cfRule>
  </conditionalFormatting>
  <conditionalFormatting sqref="DM29">
    <cfRule type="expression" dxfId="290" priority="728">
      <formula>($EA$8&lt;3)</formula>
    </cfRule>
  </conditionalFormatting>
  <conditionalFormatting sqref="DA33">
    <cfRule type="expression" dxfId="289" priority="723">
      <formula>($EA$8&lt;3)</formula>
    </cfRule>
  </conditionalFormatting>
  <conditionalFormatting sqref="DS34:DS51 DS53:DS94">
    <cfRule type="expression" dxfId="288" priority="718">
      <formula>($FB34=0)</formula>
    </cfRule>
  </conditionalFormatting>
  <conditionalFormatting sqref="DO34:DO51 DL34:DL51 DI34:DI51 DF34:DF51 DC34:DC51 CZ34:CZ51 DO53:DO94 DL53:DL94 DI53:DI94 DF53:DF94 DC53:DC94 CZ53:CZ94">
    <cfRule type="expression" dxfId="287" priority="621">
      <formula>ISBLANK(CZ34)</formula>
    </cfRule>
    <cfRule type="cellIs" dxfId="286" priority="700" operator="equal">
      <formula>0</formula>
    </cfRule>
  </conditionalFormatting>
  <conditionalFormatting sqref="FA29:FB33">
    <cfRule type="expression" dxfId="285" priority="688">
      <formula>($CP29=0)</formula>
    </cfRule>
  </conditionalFormatting>
  <conditionalFormatting sqref="EM31 EM29:EN30 EM32:EN33">
    <cfRule type="expression" dxfId="284" priority="684">
      <formula>($EA$8&gt;5)</formula>
    </cfRule>
  </conditionalFormatting>
  <conditionalFormatting sqref="DP34:DP51 DP53:DP94">
    <cfRule type="cellIs" dxfId="283" priority="661" operator="equal">
      <formula>0</formula>
    </cfRule>
    <cfRule type="expression" dxfId="282" priority="681">
      <formula>(DP34&lt;&gt;AT34)</formula>
    </cfRule>
  </conditionalFormatting>
  <conditionalFormatting sqref="DM34:DM51 DM53:DM94">
    <cfRule type="cellIs" dxfId="281" priority="662" operator="equal">
      <formula>0</formula>
    </cfRule>
    <cfRule type="expression" dxfId="280" priority="674">
      <formula>(DM34&lt;&gt;AS34)</formula>
    </cfRule>
  </conditionalFormatting>
  <conditionalFormatting sqref="DJ34:DJ51 DJ53:DJ94">
    <cfRule type="cellIs" dxfId="279" priority="663" operator="equal">
      <formula>0</formula>
    </cfRule>
    <cfRule type="expression" dxfId="278" priority="673">
      <formula>(DJ34&lt;&gt;AR34)</formula>
    </cfRule>
  </conditionalFormatting>
  <conditionalFormatting sqref="DG34:DG51 DG53:DG94">
    <cfRule type="cellIs" dxfId="277" priority="664" operator="equal">
      <formula>0</formula>
    </cfRule>
    <cfRule type="expression" dxfId="276" priority="672">
      <formula>(DG34&lt;&gt;AQ34)</formula>
    </cfRule>
  </conditionalFormatting>
  <conditionalFormatting sqref="DD34:DD51 DD53:DD94">
    <cfRule type="cellIs" dxfId="275" priority="665" operator="equal">
      <formula>0</formula>
    </cfRule>
    <cfRule type="expression" dxfId="274" priority="671">
      <formula>(DD34&lt;&gt;AP34)</formula>
    </cfRule>
  </conditionalFormatting>
  <conditionalFormatting sqref="DA34:DA51 DA53:DA94">
    <cfRule type="cellIs" dxfId="273" priority="666" operator="equal">
      <formula>0</formula>
    </cfRule>
    <cfRule type="expression" dxfId="272" priority="670">
      <formula>(DA34&lt;&gt;AO34)</formula>
    </cfRule>
  </conditionalFormatting>
  <conditionalFormatting sqref="AV29:AV32">
    <cfRule type="expression" dxfId="271" priority="668">
      <formula>($EA$8&lt;3)</formula>
    </cfRule>
  </conditionalFormatting>
  <conditionalFormatting sqref="DD29">
    <cfRule type="expression" dxfId="270" priority="647">
      <formula>($EA$8&lt;3)</formula>
    </cfRule>
  </conditionalFormatting>
  <conditionalFormatting sqref="DA31:DA32">
    <cfRule type="expression" dxfId="269" priority="646">
      <formula>($EA$8&lt;3)</formula>
    </cfRule>
  </conditionalFormatting>
  <conditionalFormatting sqref="DA29">
    <cfRule type="expression" dxfId="268" priority="645">
      <formula>($EA$8&lt;3)</formula>
    </cfRule>
  </conditionalFormatting>
  <conditionalFormatting sqref="EP27:EQ27">
    <cfRule type="expression" dxfId="267" priority="641">
      <formula>($EA$8&gt;6)</formula>
    </cfRule>
  </conditionalFormatting>
  <conditionalFormatting sqref="EQ34:EQ51 EQ53:EQ94">
    <cfRule type="expression" dxfId="266" priority="640">
      <formula>($EA$8&gt;6)</formula>
    </cfRule>
  </conditionalFormatting>
  <conditionalFormatting sqref="EQ22:EQ24">
    <cfRule type="expression" dxfId="265" priority="637">
      <formula>($EA$8&gt;6)</formula>
    </cfRule>
  </conditionalFormatting>
  <conditionalFormatting sqref="EP29:EQ30 EP31 EP32:EQ33">
    <cfRule type="expression" dxfId="264" priority="636">
      <formula>($EA$8&gt;6)</formula>
    </cfRule>
  </conditionalFormatting>
  <conditionalFormatting sqref="ES27:ET27">
    <cfRule type="expression" dxfId="263" priority="635">
      <formula>($EA$8&gt;7)</formula>
    </cfRule>
  </conditionalFormatting>
  <conditionalFormatting sqref="ET34:ET51 ET53:ET94">
    <cfRule type="expression" dxfId="262" priority="634">
      <formula>($EA$8&gt;7)</formula>
    </cfRule>
  </conditionalFormatting>
  <conditionalFormatting sqref="ET22:ET24">
    <cfRule type="expression" dxfId="261" priority="631">
      <formula>($EA$8&gt;7)</formula>
    </cfRule>
  </conditionalFormatting>
  <conditionalFormatting sqref="ES29:ET30 ES31 ES32:ET33">
    <cfRule type="expression" dxfId="260" priority="630">
      <formula>($EA$8&gt;7)</formula>
    </cfRule>
  </conditionalFormatting>
  <conditionalFormatting sqref="FA47:FA53 FA29:FB51 FA53:FB94 GK29:GP94 GV29:GW94 GY29:GY94 GR29:GT94">
    <cfRule type="expression" dxfId="259" priority="89">
      <formula>ISBLANK(FA29)</formula>
    </cfRule>
  </conditionalFormatting>
  <conditionalFormatting sqref="EB30:EB33">
    <cfRule type="expression" dxfId="258" priority="691">
      <formula>($EG$8=2)</formula>
    </cfRule>
  </conditionalFormatting>
  <conditionalFormatting sqref="EB34:EB51 EB53:EB95">
    <cfRule type="expression" dxfId="257" priority="690">
      <formula>AND($EG$8=2,CP34=1)</formula>
    </cfRule>
  </conditionalFormatting>
  <conditionalFormatting sqref="DC30:DC32">
    <cfRule type="expression" dxfId="256" priority="571">
      <formula>ISBLANK(DC30)</formula>
    </cfRule>
    <cfRule type="cellIs" dxfId="255" priority="572" operator="equal">
      <formula>0</formula>
    </cfRule>
  </conditionalFormatting>
  <conditionalFormatting sqref="DA30">
    <cfRule type="expression" dxfId="254" priority="368">
      <formula>($EA$8&lt;3)</formula>
    </cfRule>
  </conditionalFormatting>
  <conditionalFormatting sqref="DX30">
    <cfRule type="expression" dxfId="253" priority="367">
      <formula>($EA$8&lt;3)</formula>
    </cfRule>
  </conditionalFormatting>
  <conditionalFormatting sqref="EM100:EN139">
    <cfRule type="expression" dxfId="252" priority="360">
      <formula>($EA$8&gt;5)</formula>
    </cfRule>
  </conditionalFormatting>
  <conditionalFormatting sqref="EP100:EQ139">
    <cfRule type="expression" dxfId="251" priority="359">
      <formula>($EA$8&gt;6)</formula>
    </cfRule>
  </conditionalFormatting>
  <conditionalFormatting sqref="ES100:ET139">
    <cfRule type="expression" dxfId="250" priority="358">
      <formula>($EA$8&gt;7)</formula>
    </cfRule>
  </conditionalFormatting>
  <conditionalFormatting sqref="EM98:EN98">
    <cfRule type="expression" dxfId="249" priority="357">
      <formula>($EA$8&gt;5)</formula>
    </cfRule>
  </conditionalFormatting>
  <conditionalFormatting sqref="EP98:EQ98">
    <cfRule type="expression" dxfId="248" priority="356">
      <formula>($EA$8&gt;6)</formula>
    </cfRule>
  </conditionalFormatting>
  <conditionalFormatting sqref="ES98:ET98">
    <cfRule type="expression" dxfId="247" priority="355">
      <formula>($EA$8&gt;7)</formula>
    </cfRule>
  </conditionalFormatting>
  <conditionalFormatting sqref="AV52">
    <cfRule type="expression" dxfId="246" priority="347">
      <formula>($EA$8&lt;3)</formula>
    </cfRule>
  </conditionalFormatting>
  <conditionalFormatting sqref="ED52">
    <cfRule type="expression" dxfId="245" priority="288">
      <formula>ISBLANK(ED52)</formula>
    </cfRule>
    <cfRule type="expression" dxfId="244" priority="346">
      <formula>(EE52=0)</formula>
    </cfRule>
  </conditionalFormatting>
  <conditionalFormatting sqref="EM52">
    <cfRule type="expression" dxfId="243" priority="285">
      <formula>ISBLANK(EM52)</formula>
    </cfRule>
    <cfRule type="expression" dxfId="242" priority="337">
      <formula>AND($EA$8&gt;5,EN52&gt;0)</formula>
    </cfRule>
    <cfRule type="expression" dxfId="241" priority="338">
      <formula>($EA$8&gt;5)</formula>
    </cfRule>
  </conditionalFormatting>
  <conditionalFormatting sqref="EJ52">
    <cfRule type="expression" dxfId="240" priority="286">
      <formula>ISBLANK(EJ52)</formula>
    </cfRule>
    <cfRule type="expression" dxfId="239" priority="344">
      <formula>(EK52=0)</formula>
    </cfRule>
  </conditionalFormatting>
  <conditionalFormatting sqref="EG52">
    <cfRule type="expression" dxfId="238" priority="287">
      <formula>ISBLANK(EG52)</formula>
    </cfRule>
    <cfRule type="expression" dxfId="237" priority="343">
      <formula>($EA$8&lt;3)</formula>
    </cfRule>
  </conditionalFormatting>
  <conditionalFormatting sqref="EG52">
    <cfRule type="expression" dxfId="236" priority="342">
      <formula>(EH52=0)</formula>
    </cfRule>
  </conditionalFormatting>
  <conditionalFormatting sqref="DW52">
    <cfRule type="expression" dxfId="235" priority="289">
      <formula>ISBLANK(DW52)</formula>
    </cfRule>
    <cfRule type="expression" dxfId="234" priority="335">
      <formula>($EA$8&lt;3)</formula>
    </cfRule>
  </conditionalFormatting>
  <conditionalFormatting sqref="DW52">
    <cfRule type="expression" dxfId="233" priority="334">
      <formula>(DW52=0)</formula>
    </cfRule>
  </conditionalFormatting>
  <conditionalFormatting sqref="DS52">
    <cfRule type="expression" dxfId="232" priority="290">
      <formula>ISBLANK(DS52)</formula>
    </cfRule>
    <cfRule type="expression" dxfId="231" priority="330">
      <formula>($EA$8&lt;3)</formula>
    </cfRule>
  </conditionalFormatting>
  <conditionalFormatting sqref="DS52">
    <cfRule type="expression" dxfId="230" priority="329">
      <formula>($FB52=0)</formula>
    </cfRule>
  </conditionalFormatting>
  <conditionalFormatting sqref="DO52">
    <cfRule type="expression" dxfId="229" priority="292">
      <formula>ISBLANK(DO52)</formula>
    </cfRule>
    <cfRule type="cellIs" dxfId="228" priority="328" operator="equal">
      <formula>0</formula>
    </cfRule>
  </conditionalFormatting>
  <conditionalFormatting sqref="DP52">
    <cfRule type="cellIs" dxfId="227" priority="307" operator="equal">
      <formula>0</formula>
    </cfRule>
    <cfRule type="expression" dxfId="226" priority="324">
      <formula>(DP52&lt;&gt;AT52)</formula>
    </cfRule>
  </conditionalFormatting>
  <conditionalFormatting sqref="DL52">
    <cfRule type="expression" dxfId="225" priority="293">
      <formula>ISBLANK(DL52)</formula>
    </cfRule>
    <cfRule type="cellIs" dxfId="224" priority="323" operator="equal">
      <formula>0</formula>
    </cfRule>
  </conditionalFormatting>
  <conditionalFormatting sqref="DI52">
    <cfRule type="expression" dxfId="223" priority="294">
      <formula>ISBLANK(DI52)</formula>
    </cfRule>
    <cfRule type="cellIs" dxfId="222" priority="322" operator="equal">
      <formula>0</formula>
    </cfRule>
  </conditionalFormatting>
  <conditionalFormatting sqref="DF52">
    <cfRule type="expression" dxfId="221" priority="295">
      <formula>ISBLANK(DF52)</formula>
    </cfRule>
    <cfRule type="cellIs" dxfId="220" priority="321" operator="equal">
      <formula>0</formula>
    </cfRule>
  </conditionalFormatting>
  <conditionalFormatting sqref="DC52">
    <cfRule type="expression" dxfId="219" priority="297">
      <formula>ISBLANK(DC52)</formula>
    </cfRule>
    <cfRule type="cellIs" dxfId="218" priority="320" operator="equal">
      <formula>0</formula>
    </cfRule>
  </conditionalFormatting>
  <conditionalFormatting sqref="CZ52">
    <cfRule type="expression" dxfId="217" priority="298">
      <formula>ISBLANK(CZ52)</formula>
    </cfRule>
    <cfRule type="cellIs" dxfId="216" priority="319" operator="equal">
      <formula>0</formula>
    </cfRule>
  </conditionalFormatting>
  <conditionalFormatting sqref="DM52">
    <cfRule type="cellIs" dxfId="215" priority="308" operator="equal">
      <formula>0</formula>
    </cfRule>
    <cfRule type="expression" dxfId="214" priority="317">
      <formula>(DM52&lt;&gt;AS52)</formula>
    </cfRule>
  </conditionalFormatting>
  <conditionalFormatting sqref="DJ52">
    <cfRule type="cellIs" dxfId="213" priority="309" operator="equal">
      <formula>0</formula>
    </cfRule>
    <cfRule type="expression" dxfId="212" priority="316">
      <formula>(DJ52&lt;&gt;AR52)</formula>
    </cfRule>
  </conditionalFormatting>
  <conditionalFormatting sqref="DG52">
    <cfRule type="cellIs" dxfId="211" priority="310" operator="equal">
      <formula>0</formula>
    </cfRule>
    <cfRule type="expression" dxfId="210" priority="315">
      <formula>(DG52&lt;&gt;AQ52)</formula>
    </cfRule>
  </conditionalFormatting>
  <conditionalFormatting sqref="DD52">
    <cfRule type="cellIs" dxfId="209" priority="311" operator="equal">
      <formula>0</formula>
    </cfRule>
    <cfRule type="expression" dxfId="208" priority="314">
      <formula>(DD52&lt;&gt;AP52)</formula>
    </cfRule>
  </conditionalFormatting>
  <conditionalFormatting sqref="DA52">
    <cfRule type="cellIs" dxfId="207" priority="312" operator="equal">
      <formula>0</formula>
    </cfRule>
    <cfRule type="expression" dxfId="206" priority="313">
      <formula>(DA52&lt;&gt;AO52)</formula>
    </cfRule>
  </conditionalFormatting>
  <conditionalFormatting sqref="EQ52">
    <cfRule type="expression" dxfId="205" priority="304">
      <formula>($EA$8&gt;6)</formula>
    </cfRule>
  </conditionalFormatting>
  <conditionalFormatting sqref="ET52">
    <cfRule type="expression" dxfId="204" priority="301">
      <formula>($EA$8&gt;7)</formula>
    </cfRule>
  </conditionalFormatting>
  <conditionalFormatting sqref="FA52:FB52">
    <cfRule type="expression" dxfId="203" priority="277">
      <formula>ISBLANK(FA52)</formula>
    </cfRule>
  </conditionalFormatting>
  <conditionalFormatting sqref="EB52">
    <cfRule type="expression" dxfId="202" priority="327">
      <formula>AND($EG$8=2,CP52=1)</formula>
    </cfRule>
  </conditionalFormatting>
  <conditionalFormatting sqref="EV52 EW34:EW94">
    <cfRule type="expression" dxfId="201" priority="257">
      <formula>($EA$8&gt;4)</formula>
    </cfRule>
  </conditionalFormatting>
  <conditionalFormatting sqref="EW52">
    <cfRule type="expression" dxfId="200" priority="256">
      <formula>($EA$8&gt;4)</formula>
    </cfRule>
  </conditionalFormatting>
  <conditionalFormatting sqref="ED34:ED94">
    <cfRule type="expression" dxfId="199" priority="254">
      <formula>ISBLANK(ED34)</formula>
    </cfRule>
    <cfRule type="expression" dxfId="198" priority="617">
      <formula>(EE34=0)</formula>
    </cfRule>
    <cfRule type="expression" dxfId="197" priority="844">
      <formula>AND($CP34=1,ED34=0)</formula>
    </cfRule>
  </conditionalFormatting>
  <conditionalFormatting sqref="AX29:AX32">
    <cfRule type="expression" dxfId="196" priority="251">
      <formula>($EA$8&lt;3)</formula>
    </cfRule>
  </conditionalFormatting>
  <conditionalFormatting sqref="EV55">
    <cfRule type="expression" dxfId="195" priority="240">
      <formula>($EA$8&gt;4)</formula>
    </cfRule>
  </conditionalFormatting>
  <conditionalFormatting sqref="EW55">
    <cfRule type="expression" dxfId="194" priority="239">
      <formula>($EA$8&gt;4)</formula>
    </cfRule>
  </conditionalFormatting>
  <conditionalFormatting sqref="ED107:EK117">
    <cfRule type="expression" dxfId="193" priority="229">
      <formula>($ED107=1)</formula>
    </cfRule>
  </conditionalFormatting>
  <conditionalFormatting sqref="EE129:EK129">
    <cfRule type="expression" dxfId="192" priority="207">
      <formula>($ED$129=1)</formula>
    </cfRule>
  </conditionalFormatting>
  <conditionalFormatting sqref="ED128:EK135">
    <cfRule type="expression" dxfId="191" priority="204">
      <formula>($ED128=1)</formula>
    </cfRule>
  </conditionalFormatting>
  <conditionalFormatting sqref="EA16:EB16">
    <cfRule type="expression" dxfId="190" priority="196">
      <formula>ISBLANK(EA16)</formula>
    </cfRule>
  </conditionalFormatting>
  <conditionalFormatting sqref="EB34:EB95">
    <cfRule type="expression" dxfId="189" priority="12367">
      <formula>(EB34&lt;&gt;$EB$16)</formula>
    </cfRule>
  </conditionalFormatting>
  <conditionalFormatting sqref="EA29:EB29">
    <cfRule type="expression" dxfId="188" priority="195">
      <formula>ISBLANK(EA29)</formula>
    </cfRule>
  </conditionalFormatting>
  <conditionalFormatting sqref="EA17">
    <cfRule type="expression" dxfId="187" priority="143">
      <formula>ISBLANK(EA17)</formula>
    </cfRule>
  </conditionalFormatting>
  <conditionalFormatting sqref="EK34:EK95">
    <cfRule type="expression" dxfId="186" priority="99">
      <formula>(BU34=1)</formula>
    </cfRule>
  </conditionalFormatting>
  <conditionalFormatting sqref="AY29:AY32">
    <cfRule type="expression" dxfId="185" priority="98">
      <formula>($EA$8&lt;3)</formula>
    </cfRule>
  </conditionalFormatting>
  <conditionalFormatting sqref="FU20">
    <cfRule type="expression" dxfId="184" priority="94">
      <formula>($ED$106&gt;0)</formula>
    </cfRule>
  </conditionalFormatting>
  <conditionalFormatting sqref="FG29:FI29 FD29:FE29">
    <cfRule type="expression" dxfId="183" priority="93">
      <formula>($CP29=1)</formula>
    </cfRule>
  </conditionalFormatting>
  <conditionalFormatting sqref="FT30:GA30 FD30:FE30">
    <cfRule type="expression" dxfId="182" priority="92">
      <formula>($CP30=1)</formula>
    </cfRule>
  </conditionalFormatting>
  <conditionalFormatting sqref="FT33 FX33 GA33 FD33:FE33">
    <cfRule type="expression" dxfId="181" priority="91">
      <formula>($CP33=1)</formula>
    </cfRule>
  </conditionalFormatting>
  <conditionalFormatting sqref="EG11">
    <cfRule type="expression" dxfId="180" priority="79">
      <formula>NOT(_xlfn.ISFORMULA(EG11))</formula>
    </cfRule>
  </conditionalFormatting>
  <conditionalFormatting sqref="GZ29:GZ94">
    <cfRule type="expression" dxfId="179" priority="33">
      <formula>TRUE</formula>
    </cfRule>
  </conditionalFormatting>
  <conditionalFormatting sqref="FD34:GD94">
    <cfRule type="expression" dxfId="178" priority="32">
      <formula>($CP34=0)</formula>
    </cfRule>
  </conditionalFormatting>
  <conditionalFormatting sqref="EG34:EG94">
    <cfRule type="expression" dxfId="177" priority="14012">
      <formula>ISBLANK(EG34)</formula>
    </cfRule>
    <cfRule type="expression" dxfId="176" priority="14013">
      <formula>(EH34=0)</formula>
    </cfRule>
    <cfRule type="expression" dxfId="175" priority="14014">
      <formula>AND(CP34=1,EG34=0)</formula>
    </cfRule>
    <cfRule type="expression" dxfId="174" priority="14015">
      <formula>($EA$8&lt;3)</formula>
    </cfRule>
  </conditionalFormatting>
  <conditionalFormatting sqref="EJ34:EJ94">
    <cfRule type="expression" dxfId="173" priority="14016">
      <formula>ISBLANK(EJ34)</formula>
    </cfRule>
    <cfRule type="expression" dxfId="172" priority="14017">
      <formula>(EK34=0)</formula>
    </cfRule>
    <cfRule type="expression" dxfId="171" priority="14018">
      <formula>AND(CP34=1,EJ34=0)</formula>
    </cfRule>
  </conditionalFormatting>
  <conditionalFormatting sqref="EP34:EP94">
    <cfRule type="expression" dxfId="170" priority="14019">
      <formula>ISBLANK(EP34)</formula>
    </cfRule>
    <cfRule type="expression" dxfId="169" priority="14020">
      <formula>AND(EP34=0,CB34=1,CP34=1,$EA$8&gt;6)</formula>
    </cfRule>
    <cfRule type="expression" dxfId="168" priority="14021">
      <formula>AND($EA$8&gt;6,EQ34&gt;0)</formula>
    </cfRule>
    <cfRule type="expression" dxfId="167" priority="14022">
      <formula>($EA$8&gt;6)</formula>
    </cfRule>
  </conditionalFormatting>
  <conditionalFormatting sqref="ES34:ES94">
    <cfRule type="expression" dxfId="166" priority="14023">
      <formula>ISBLANK(ES34)</formula>
    </cfRule>
    <cfRule type="expression" dxfId="165" priority="14024">
      <formula>AND(ES34=0,CB34=1,CP34=1,$EA$8&gt;7)</formula>
    </cfRule>
    <cfRule type="expression" dxfId="164" priority="14025">
      <formula>AND($EA$8&gt;7,ET34&gt;0)</formula>
    </cfRule>
    <cfRule type="expression" dxfId="163" priority="14026">
      <formula>($EA$8&gt;7)</formula>
    </cfRule>
  </conditionalFormatting>
  <conditionalFormatting sqref="FG29:FI29 FK29:FR29 FT30:FV30 FV31:FV32 FT33 FX33 FX29:FY30 FY32 GC29 GA29:GA30 GA32:GA33 FT29">
    <cfRule type="containsBlanks" dxfId="162" priority="24">
      <formula>LEN(TRIM(FG29))=0</formula>
    </cfRule>
  </conditionalFormatting>
  <conditionalFormatting sqref="ED118:EK120">
    <cfRule type="expression" dxfId="161" priority="23">
      <formula>($ED118=1)</formula>
    </cfRule>
  </conditionalFormatting>
  <conditionalFormatting sqref="EK31">
    <cfRule type="expression" dxfId="160" priority="19">
      <formula>($EA$8&lt;5)</formula>
    </cfRule>
  </conditionalFormatting>
  <conditionalFormatting sqref="EE31">
    <cfRule type="expression" dxfId="159" priority="18">
      <formula>($EA$8&lt;5)</formula>
    </cfRule>
  </conditionalFormatting>
  <conditionalFormatting sqref="GG34:GG94">
    <cfRule type="expression" dxfId="158" priority="17">
      <formula>(CP34=0)</formula>
    </cfRule>
  </conditionalFormatting>
  <conditionalFormatting sqref="GE29:GF33">
    <cfRule type="expression" dxfId="157" priority="16">
      <formula>($GG29="X")</formula>
    </cfRule>
  </conditionalFormatting>
  <conditionalFormatting sqref="GE34:GF94">
    <cfRule type="expression" dxfId="156" priority="15">
      <formula>AND($CP34=1,$GG34="X")</formula>
    </cfRule>
  </conditionalFormatting>
  <conditionalFormatting sqref="EQ31">
    <cfRule type="expression" dxfId="155" priority="14">
      <formula>($EA$8&gt;6)</formula>
    </cfRule>
  </conditionalFormatting>
  <conditionalFormatting sqref="ET31">
    <cfRule type="expression" dxfId="154" priority="13">
      <formula>($EA$8&gt;7)</formula>
    </cfRule>
  </conditionalFormatting>
  <conditionalFormatting sqref="EV34:EV94">
    <cfRule type="expression" dxfId="153" priority="14219">
      <formula>(SUM(CE34:CI34)&gt;0)</formula>
    </cfRule>
    <cfRule type="expression" dxfId="152" priority="14220">
      <formula>($BX34=1)</formula>
    </cfRule>
    <cfRule type="expression" dxfId="151" priority="14221">
      <formula>AND($EA$8&gt;4,ISBLANK(EV34),CP34=1)</formula>
    </cfRule>
    <cfRule type="expression" dxfId="150" priority="14222">
      <formula>($EA$8&gt;4)</formula>
    </cfRule>
  </conditionalFormatting>
  <conditionalFormatting sqref="FA34:FA94">
    <cfRule type="expression" dxfId="149" priority="642">
      <formula>($BQ34=1)</formula>
    </cfRule>
    <cfRule type="expression" dxfId="148" priority="14269">
      <formula>($CA34=1)</formula>
    </cfRule>
    <cfRule type="expression" dxfId="147" priority="14294">
      <formula>($CP34=1)</formula>
    </cfRule>
  </conditionalFormatting>
  <conditionalFormatting sqref="DT34:DT94">
    <cfRule type="expression" dxfId="146" priority="14271">
      <formula>(CP34=0)</formula>
    </cfRule>
    <cfRule type="expression" dxfId="145" priority="14272">
      <formula>(DT34&lt;&gt;AU34)</formula>
    </cfRule>
  </conditionalFormatting>
  <conditionalFormatting sqref="DX34:DX94">
    <cfRule type="expression" dxfId="144" priority="14273">
      <formula>(CP34=0)</formula>
    </cfRule>
    <cfRule type="expression" dxfId="143" priority="14274">
      <formula>(DX34&lt;&gt;AV34)</formula>
    </cfRule>
  </conditionalFormatting>
  <conditionalFormatting sqref="EM34:EM94">
    <cfRule type="expression" dxfId="142" priority="12">
      <formula>ISBLANK(EM34)</formula>
    </cfRule>
    <cfRule type="expression" dxfId="141" priority="14296">
      <formula>(SUM($CJ34:$CN34)&gt;0)</formula>
    </cfRule>
    <cfRule type="expression" dxfId="140" priority="14297">
      <formula>AND(EM34=0,CP34=1,CB34=1,$EA$8&gt;5)</formula>
    </cfRule>
    <cfRule type="expression" dxfId="139" priority="14298">
      <formula>($BT34=1)</formula>
    </cfRule>
    <cfRule type="expression" dxfId="138" priority="14299">
      <formula>AND($EA$8&gt;5,EN34&gt;0)</formula>
    </cfRule>
    <cfRule type="expression" dxfId="137" priority="14300">
      <formula>($EA$8&gt;5)</formula>
    </cfRule>
  </conditionalFormatting>
  <conditionalFormatting sqref="FB34:FB94">
    <cfRule type="expression" dxfId="136" priority="14301">
      <formula>AND($EA$8&lt;&gt;4,FB34&lt;&gt;EW34)</formula>
    </cfRule>
    <cfRule type="expression" dxfId="135" priority="14302">
      <formula>AND($EA$8=4,FB34&lt;&gt;AX34)</formula>
    </cfRule>
    <cfRule type="expression" dxfId="134" priority="14303">
      <formula>(BW34=1)</formula>
    </cfRule>
    <cfRule type="expression" dxfId="133" priority="14304">
      <formula>(CP34=1)</formula>
    </cfRule>
  </conditionalFormatting>
  <conditionalFormatting sqref="ED104:EK105">
    <cfRule type="expression" dxfId="132" priority="14322">
      <formula>($ED$106&gt;0)</formula>
    </cfRule>
    <cfRule type="expression" dxfId="131" priority="14323">
      <formula>($ED$127&gt;0)</formula>
    </cfRule>
  </conditionalFormatting>
  <conditionalFormatting sqref="EN22">
    <cfRule type="expression" dxfId="130" priority="14324">
      <formula>($ED$106&gt;0)</formula>
    </cfRule>
    <cfRule type="expression" dxfId="129" priority="14325">
      <formula>($ED$127&gt;0)</formula>
    </cfRule>
  </conditionalFormatting>
  <conditionalFormatting sqref="EN23:EN25">
    <cfRule type="expression" dxfId="128" priority="14326">
      <formula>($ED$106&gt;0)</formula>
    </cfRule>
    <cfRule type="expression" dxfId="127" priority="14327">
      <formula>($ED$127&gt;0)</formula>
    </cfRule>
  </conditionalFormatting>
  <conditionalFormatting sqref="EN31">
    <cfRule type="expression" dxfId="126" priority="8">
      <formula>($EA$8&gt;5)</formula>
    </cfRule>
  </conditionalFormatting>
  <conditionalFormatting sqref="FK29:FR29">
    <cfRule type="expression" dxfId="125" priority="7">
      <formula>($CP29=1)</formula>
    </cfRule>
  </conditionalFormatting>
  <conditionalFormatting sqref="FX29:GA29 GC29">
    <cfRule type="expression" dxfId="124" priority="6">
      <formula>($CP29=1)</formula>
    </cfRule>
  </conditionalFormatting>
  <conditionalFormatting sqref="FT31 FX31 GA31 FD31:FE31">
    <cfRule type="expression" dxfId="123" priority="5">
      <formula>($CP31=1)</formula>
    </cfRule>
  </conditionalFormatting>
  <conditionalFormatting sqref="FV32 FY32 GA32 FD32:FE32">
    <cfRule type="expression" dxfId="122" priority="4">
      <formula>($CP32=1)</formula>
    </cfRule>
  </conditionalFormatting>
  <conditionalFormatting sqref="FX27">
    <cfRule type="expression" dxfId="121" priority="14328">
      <formula>(ABS($FX$16)&gt;1)</formula>
    </cfRule>
  </conditionalFormatting>
  <conditionalFormatting sqref="FY27">
    <cfRule type="expression" dxfId="120" priority="14329">
      <formula>(ABS($FY$16)&gt;1)</formula>
    </cfRule>
  </conditionalFormatting>
  <conditionalFormatting sqref="FX27:FY27 GA27:GC27 FX22:FY22 GA22:GC22 FD22 FD27:FE27 FU20 FZ20:GC20 FD20:FR20">
    <cfRule type="expression" dxfId="119" priority="14330">
      <formula>($EB$6="F")</formula>
    </cfRule>
    <cfRule type="expression" dxfId="118" priority="14331">
      <formula>($EB$6="B")</formula>
    </cfRule>
  </conditionalFormatting>
  <conditionalFormatting sqref="GJ24:GZ27">
    <cfRule type="expression" dxfId="117" priority="14352">
      <formula>($EB$6&lt;&gt;"F")</formula>
    </cfRule>
  </conditionalFormatting>
  <conditionalFormatting sqref="GK29:GY94">
    <cfRule type="expression" dxfId="116" priority="14353">
      <formula>OR($CV29=0,$EB$6&lt;&gt;"F")</formula>
    </cfRule>
  </conditionalFormatting>
  <conditionalFormatting sqref="FA34:FA94">
    <cfRule type="expression" dxfId="115" priority="14354">
      <formula>($BV34=1)</formula>
    </cfRule>
    <cfRule type="expression" dxfId="114" priority="14355">
      <formula>AND($BS34=1,$EB$6&lt;&gt;"F")</formula>
    </cfRule>
    <cfRule type="expression" dxfId="113" priority="14356">
      <formula>(FB34=0)</formula>
    </cfRule>
  </conditionalFormatting>
  <conditionalFormatting sqref="FX6:FY6">
    <cfRule type="expression" dxfId="112" priority="14357">
      <formula>($EB$6&lt;&gt;"F")</formula>
    </cfRule>
  </conditionalFormatting>
  <conditionalFormatting sqref="FX8:FY8">
    <cfRule type="expression" dxfId="111" priority="14358">
      <formula>($EB$6&lt;&gt;"E")</formula>
    </cfRule>
  </conditionalFormatting>
  <conditionalFormatting sqref="FX7:FY7">
    <cfRule type="expression" dxfId="110" priority="14359">
      <formula>($EB$6&lt;&gt;"B")</formula>
    </cfRule>
  </conditionalFormatting>
  <dataValidations count="21">
    <dataValidation type="list" allowBlank="1" showInputMessage="1" showErrorMessage="1" sqref="EW24" xr:uid="{00000000-0002-0000-0C00-000000000000}">
      <formula1>$EB$8:$EB$13</formula1>
    </dataValidation>
    <dataValidation type="custom" allowBlank="1" showInputMessage="1" showErrorMessage="1" sqref="DO29 EQ32 ET32 EW32 EK30 EN32 EE29:EE30 EE33 EF29:EG33 EU31:EU33 ER31:ER33 EO31:EO33 EK33 EL29:EL33 EI29:EI33 EG34:EG94 DO34:DO94 DS29:DS94 DF29:DF94 DI29:DI94 CZ29:CZ94 ED33:ED94 DC29:DC94 EJ31:EJ94 DL29:DL94 DW29:DW94" xr:uid="{00000000-0002-0000-0C00-000001000000}">
      <formula1>""""""</formula1>
    </dataValidation>
    <dataValidation type="custom" allowBlank="1" showInputMessage="1" showErrorMessage="1" error="Enter these names in the yellow fields on the left" sqref="FB29:FB32" xr:uid="{00000000-0002-0000-0C00-000002000000}">
      <formula1>""""""</formula1>
    </dataValidation>
    <dataValidation type="custom" allowBlank="1" showInputMessage="1" showErrorMessage="1" error="Please enter an 8 digit project number" sqref="EA17" xr:uid="{00000000-0002-0000-0C00-000003000000}">
      <formula1>(LEN(EA17)=8)</formula1>
    </dataValidation>
    <dataValidation type="custom" allowBlank="1" showInputMessage="1" showErrorMessage="1" error="Do not enter here!_x000a_Project number is entered on the Setup tab" sqref="EA29:EB29" xr:uid="{00000000-0002-0000-0C00-000004000000}">
      <formula1>""""""</formula1>
    </dataValidation>
    <dataValidation allowBlank="1" showInputMessage="1" showErrorMessage="1" error="Do not enter here!_x000a_Project number is entered in the yellow box above." sqref="EA16:EB16" xr:uid="{00000000-0002-0000-0C00-000005000000}"/>
    <dataValidation type="custom" allowBlank="1" showInputMessage="1" showErrorMessage="1" error="Enter Project Number on the Setup tab." sqref="FA26" xr:uid="{00000000-0002-0000-0C00-00000B000000}">
      <formula1>""""""</formula1>
    </dataValidation>
    <dataValidation type="list" allowBlank="1" showInputMessage="1" showErrorMessage="1" sqref="DA30 DA33 DM30:DM33 DJ30:DJ33 DD30:DD33 DG30:DG33" xr:uid="{00000000-0002-0000-0C00-00000C000000}">
      <formula1>#REF!</formula1>
    </dataValidation>
    <dataValidation type="list" allowBlank="1" showInputMessage="1" showErrorMessage="1" sqref="DX29:DX33" xr:uid="{2DF9A39E-1C47-464A-B0B9-A7BA63A92541}">
      <formula1>$DX$7:$DX$11</formula1>
    </dataValidation>
    <dataValidation type="list" allowBlank="1" showInputMessage="1" showErrorMessage="1" sqref="DT29:DT33" xr:uid="{25E40D50-98D9-4611-8B27-C7BB596B057C}">
      <formula1>$DT$7:$DT$10</formula1>
    </dataValidation>
    <dataValidation type="list" allowBlank="1" showInputMessage="1" showErrorMessage="1" sqref="DP29" xr:uid="{F9AE44BE-EDE3-4B6A-A2E0-1180090A93CF}">
      <formula1>$DP$7:$DP$12</formula1>
    </dataValidation>
    <dataValidation type="list" allowBlank="1" showInputMessage="1" showErrorMessage="1" sqref="DM29" xr:uid="{FE03FDD6-A187-40F7-8D1F-58F425EF385B}">
      <formula1>$DM$7:$DM$12</formula1>
    </dataValidation>
    <dataValidation type="list" allowBlank="1" showInputMessage="1" showErrorMessage="1" sqref="DJ29" xr:uid="{3ECFD33D-AEC5-40D4-B6EB-05596474D680}">
      <formula1>$DJ$7:$DJ$11</formula1>
    </dataValidation>
    <dataValidation type="list" allowBlank="1" showInputMessage="1" showErrorMessage="1" sqref="DG29" xr:uid="{68F9AF2B-AFED-451C-A924-82D4B4EB427F}">
      <formula1>$DG$7:$DG$14</formula1>
    </dataValidation>
    <dataValidation allowBlank="1" showInputMessage="1" showErrorMessage="1" error="Enter these names in the yellow fields on the left" sqref="FB33:FB94 FA29:FA94 GE29:GF94" xr:uid="{00000000-0002-0000-0C00-000006000000}"/>
    <dataValidation type="list" allowBlank="1" showInputMessage="1" showErrorMessage="1" sqref="EQ34:EQ94" xr:uid="{00000000-0002-0000-0C00-000007000000}">
      <formula1>OFFSET($EQ$100:$EQ$139,0,0,COUNTA($EQ$100:$EQ$139))</formula1>
    </dataValidation>
    <dataValidation type="list" allowBlank="1" showInputMessage="1" showErrorMessage="1" sqref="ET34:ET94" xr:uid="{00000000-0002-0000-0C00-000008000000}">
      <formula1>OFFSET($ET$100:$ET$139,0,0,COUNTA($ET$100:$ET$139))</formula1>
    </dataValidation>
    <dataValidation type="list" allowBlank="1" showInputMessage="1" showErrorMessage="1" sqref="EN34:EN94" xr:uid="{00000000-0002-0000-0C00-000009000000}">
      <formula1>OFFSET($EN$100:$EN$139,0,0,COUNTA($EN$100:$EN$139))</formula1>
    </dataValidation>
    <dataValidation type="custom" allowBlank="1" showInputMessage="1" showErrorMessage="1" error="Do not enter ID codes directly.  Instead enter them into the picklist (below) and then select the appropriate description using the yellow dropdown box." sqref="ES34:ES94 EP34:EP94 EM34:EM94" xr:uid="{00000000-0002-0000-0C00-00000A000000}">
      <formula1>""""""</formula1>
    </dataValidation>
    <dataValidation type="list" allowBlank="1" showInputMessage="1" showErrorMessage="1" sqref="GG29:GG94" xr:uid="{7395694E-EB4F-4C5D-ABDB-F0B790E98552}">
      <formula1>$GG$15:$GG$16</formula1>
    </dataValidation>
    <dataValidation type="list" allowBlank="1" showInputMessage="1" showErrorMessage="1" sqref="DX34:DX94 DA34:DA94 DD34:DD94 DG34:DG94 DJ34:DJ94 DM34:DM94 DP34:DP94 DT34:DT94" xr:uid="{74135561-27B4-4BFC-8596-4D78DC915242}">
      <formula1>OFFSET(DA$7,0,0,COUNTA(DA$6:DA$15),1)</formula1>
    </dataValidation>
  </dataValidations>
  <pageMargins left="0.7" right="0.7" top="0.75" bottom="0.75" header="0.3" footer="0.3"/>
  <pageSetup paperSize="9" orientation="portrait"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16389" r:id="rId4" name="Drop Down 5">
              <controlPr defaultSize="0" autoLine="0" autoPict="0">
                <anchor moveWithCells="1">
                  <from>
                    <xdr:col>103</xdr:col>
                    <xdr:colOff>152400</xdr:colOff>
                    <xdr:row>19</xdr:row>
                    <xdr:rowOff>182880</xdr:rowOff>
                  </from>
                  <to>
                    <xdr:col>107</xdr:col>
                    <xdr:colOff>350520</xdr:colOff>
                    <xdr:row>19</xdr:row>
                    <xdr:rowOff>426720</xdr:rowOff>
                  </to>
                </anchor>
              </controlPr>
            </control>
          </mc:Choice>
        </mc:AlternateContent>
        <mc:AlternateContent xmlns:mc="http://schemas.openxmlformats.org/markup-compatibility/2006">
          <mc:Choice Requires="x14">
            <control shapeId="16393" r:id="rId5" name="Drop Down 9">
              <controlPr defaultSize="0" autoLine="0" autoPict="0">
                <anchor moveWithCells="1">
                  <from>
                    <xdr:col>109</xdr:col>
                    <xdr:colOff>114300</xdr:colOff>
                    <xdr:row>22</xdr:row>
                    <xdr:rowOff>83820</xdr:rowOff>
                  </from>
                  <to>
                    <xdr:col>114</xdr:col>
                    <xdr:colOff>22860</xdr:colOff>
                    <xdr:row>23</xdr:row>
                    <xdr:rowOff>213360</xdr:rowOff>
                  </to>
                </anchor>
              </controlPr>
            </control>
          </mc:Choice>
        </mc:AlternateContent>
        <mc:AlternateContent xmlns:mc="http://schemas.openxmlformats.org/markup-compatibility/2006">
          <mc:Choice Requires="x14">
            <control shapeId="16395" r:id="rId6" name="Drop Down 11">
              <controlPr defaultSize="0" autoLine="0" autoPict="0">
                <anchor moveWithCells="1">
                  <from>
                    <xdr:col>130</xdr:col>
                    <xdr:colOff>76200</xdr:colOff>
                    <xdr:row>19</xdr:row>
                    <xdr:rowOff>213360</xdr:rowOff>
                  </from>
                  <to>
                    <xdr:col>134</xdr:col>
                    <xdr:colOff>632460</xdr:colOff>
                    <xdr:row>19</xdr:row>
                    <xdr:rowOff>403860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C00-00000D000000}">
          <x14:formula1>
            <xm:f>OFFSET('IPCS Data'!$E$7:$E$15,0,0,COUNTA('IPCS Data'!$E$7:$E$15))</xm:f>
          </x14:formula1>
          <xm:sqref>EB95</xm:sqref>
        </x14:dataValidation>
        <x14:dataValidation type="list" allowBlank="1" showInputMessage="1" showErrorMessage="1" xr:uid="{00000000-0002-0000-0C00-00000F000000}">
          <x14:formula1>
            <xm:f>'IPCS Data'!$I$9:$I$30</xm:f>
          </x14:formula1>
          <xm:sqref>EE34:EE94</xm:sqref>
        </x14:dataValidation>
        <x14:dataValidation type="list" allowBlank="1" showInputMessage="1" showErrorMessage="1" xr:uid="{00000000-0002-0000-0C00-000010000000}">
          <x14:formula1>
            <xm:f>OFFSET('IPCS Data'!$Q$9:$Q$109,$BN34,0,$BO34)</xm:f>
          </x14:formula1>
          <xm:sqref>EK34:EK94</xm:sqref>
        </x14:dataValidation>
        <x14:dataValidation type="list" allowBlank="1" showInputMessage="1" showErrorMessage="1" xr:uid="{00000000-0002-0000-0C00-000011000000}">
          <x14:formula1>
            <xm:f>'IPCS Data'!$E$7:$E$18</xm:f>
          </x14:formula1>
          <xm:sqref>EB34:EB94</xm:sqref>
        </x14:dataValidation>
        <x14:dataValidation type="list" allowBlank="1" showInputMessage="1" showErrorMessage="1" xr:uid="{00000000-0002-0000-0C00-00000E000000}">
          <x14:formula1>
            <xm:f>'IPCS Data'!$M$8:$M$19</xm:f>
          </x14:formula1>
          <xm:sqref>EH29:EH94</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pageSetUpPr fitToPage="1"/>
  </sheetPr>
  <dimension ref="A1:CS63"/>
  <sheetViews>
    <sheetView showGridLines="0" topLeftCell="AW13" zoomScaleNormal="100" workbookViewId="0">
      <selection activeCell="BQ27" sqref="BQ27"/>
    </sheetView>
  </sheetViews>
  <sheetFormatPr defaultColWidth="9.109375" defaultRowHeight="14.4" x14ac:dyDescent="0.3"/>
  <cols>
    <col min="1" max="1" width="3.5546875" style="20" hidden="1" customWidth="1"/>
    <col min="2" max="11" width="9.109375" style="20" hidden="1" customWidth="1"/>
    <col min="12" max="12" width="5.6640625" style="20" hidden="1" customWidth="1"/>
    <col min="13" max="22" width="9.109375" style="20" hidden="1" customWidth="1"/>
    <col min="23" max="23" width="5" style="20" hidden="1" customWidth="1"/>
    <col min="24" max="34" width="9.109375" style="20" hidden="1" customWidth="1"/>
    <col min="35" max="36" width="4.44140625" style="20" hidden="1" customWidth="1"/>
    <col min="37" max="37" width="9.44140625" style="20" hidden="1" customWidth="1"/>
    <col min="38" max="44" width="3.5546875" style="20" hidden="1" customWidth="1"/>
    <col min="45" max="45" width="9.109375" style="20" hidden="1" customWidth="1"/>
    <col min="46" max="46" width="2.33203125" customWidth="1"/>
    <col min="47" max="47" width="5.33203125" style="1356" customWidth="1"/>
    <col min="48" max="48" width="24.5546875" style="20" customWidth="1"/>
    <col min="49" max="49" width="0.6640625" style="20" customWidth="1"/>
    <col min="50" max="50" width="6.6640625" style="20" customWidth="1"/>
    <col min="51" max="51" width="6.6640625" customWidth="1"/>
    <col min="52" max="56" width="9.6640625" style="20" customWidth="1"/>
    <col min="57" max="58" width="0.88671875" style="20" customWidth="1"/>
    <col min="59" max="59" width="10.6640625" style="20" customWidth="1"/>
    <col min="60" max="60" width="0.6640625" style="20" customWidth="1"/>
    <col min="61" max="61" width="11.6640625" style="20" customWidth="1"/>
    <col min="62" max="62" width="0.33203125" style="20" customWidth="1"/>
    <col min="63" max="63" width="11.33203125" style="20" customWidth="1"/>
    <col min="64" max="64" width="9.6640625" style="20" customWidth="1"/>
    <col min="65" max="68" width="5.33203125" style="20" customWidth="1"/>
    <col min="69" max="69" width="7.33203125" style="20" customWidth="1"/>
    <col min="70" max="70" width="37.33203125" style="20" customWidth="1"/>
    <col min="71" max="71" width="9.6640625" style="20" customWidth="1"/>
    <col min="72" max="72" width="8.44140625" style="20" customWidth="1"/>
    <col min="73" max="73" width="27.109375" style="20" customWidth="1"/>
    <col min="74" max="74" width="16.6640625" style="20" customWidth="1"/>
    <col min="75" max="75" width="4" style="20" customWidth="1"/>
    <col min="76" max="76" width="9" style="13" customWidth="1"/>
    <col min="77" max="77" width="12.109375" style="13" customWidth="1"/>
    <col min="78" max="78" width="25.88671875" style="20" customWidth="1"/>
    <col min="79" max="79" width="87.109375" style="20" customWidth="1"/>
    <col min="80" max="80" width="13.5546875" style="20" customWidth="1"/>
    <col min="81" max="81" width="1.109375" style="20" customWidth="1"/>
    <col min="82" max="82" width="15" style="20" customWidth="1"/>
    <col min="83" max="83" width="13.88671875" style="20" customWidth="1"/>
    <col min="84" max="84" width="15" style="20" customWidth="1"/>
    <col min="85" max="85" width="12.5546875" style="20" customWidth="1"/>
    <col min="86" max="86" width="4" style="20" customWidth="1"/>
    <col min="87" max="16384" width="9.109375" style="20"/>
  </cols>
  <sheetData>
    <row r="1" spans="1:93" ht="13.2" hidden="1" x14ac:dyDescent="0.25">
      <c r="J1" s="290"/>
      <c r="K1" s="290"/>
      <c r="L1" s="290"/>
      <c r="M1" s="290"/>
      <c r="N1" s="290"/>
      <c r="O1" s="290"/>
      <c r="P1" s="290"/>
      <c r="Q1" s="290"/>
      <c r="R1" s="290"/>
      <c r="S1" s="290"/>
      <c r="T1" s="290"/>
      <c r="U1" s="290"/>
      <c r="V1" s="290"/>
      <c r="W1" s="290"/>
      <c r="X1" s="290"/>
      <c r="Y1" s="290"/>
      <c r="Z1" s="290"/>
      <c r="AA1" s="290"/>
      <c r="AB1" s="290"/>
      <c r="AC1" s="290"/>
      <c r="AD1" s="290"/>
      <c r="AE1" s="290"/>
      <c r="AF1" s="290"/>
      <c r="AG1" s="290"/>
      <c r="AH1" s="290"/>
      <c r="AI1" s="290"/>
      <c r="AJ1" s="290"/>
      <c r="AK1" s="290"/>
      <c r="AL1" s="290"/>
      <c r="AM1" s="290"/>
      <c r="AN1" s="290"/>
      <c r="AO1" s="290"/>
      <c r="AP1" s="290"/>
      <c r="AQ1" s="290"/>
      <c r="AR1" s="290"/>
      <c r="AS1" s="290"/>
      <c r="AT1" s="290"/>
      <c r="AU1" s="290"/>
      <c r="AV1" s="290"/>
      <c r="AW1" s="290"/>
      <c r="AX1" s="290"/>
      <c r="AY1" s="290"/>
      <c r="AZ1" s="290"/>
      <c r="BA1" s="290"/>
      <c r="BB1" s="290"/>
      <c r="BC1" s="290"/>
      <c r="BD1" s="290"/>
      <c r="BE1" s="290"/>
      <c r="BF1" s="290"/>
      <c r="BG1" s="290"/>
      <c r="BH1" s="290"/>
      <c r="BI1" s="290"/>
      <c r="BJ1" s="290"/>
      <c r="BK1" s="290"/>
      <c r="BL1" s="290"/>
      <c r="BM1" s="290"/>
      <c r="BN1" s="290"/>
      <c r="BO1" s="290"/>
      <c r="BP1" s="290"/>
      <c r="BQ1" s="290"/>
      <c r="BR1" s="290"/>
      <c r="BS1" s="290"/>
      <c r="BT1" s="290"/>
      <c r="BU1" s="290"/>
      <c r="BV1" s="290"/>
      <c r="BW1" s="290"/>
      <c r="BX1" s="290"/>
      <c r="BY1" s="290"/>
      <c r="BZ1" s="290"/>
      <c r="CA1" s="290"/>
      <c r="CB1" s="290"/>
      <c r="CC1" s="290"/>
      <c r="CD1" s="290"/>
      <c r="CE1" s="290"/>
      <c r="CF1" s="290"/>
      <c r="CG1" s="290"/>
      <c r="CH1" s="290"/>
      <c r="CI1" s="290"/>
      <c r="CJ1" s="290"/>
      <c r="CK1" s="290"/>
      <c r="CL1" s="290"/>
      <c r="CM1" s="290"/>
      <c r="CN1" s="290"/>
    </row>
    <row r="2" spans="1:93" ht="13.2" hidden="1" x14ac:dyDescent="0.25">
      <c r="J2" s="290"/>
      <c r="K2" s="290"/>
      <c r="L2" s="290"/>
      <c r="M2" s="290"/>
      <c r="N2" s="290"/>
      <c r="O2" s="290"/>
      <c r="P2" s="290"/>
      <c r="Q2" s="290"/>
      <c r="R2" s="290"/>
      <c r="S2" s="290"/>
      <c r="T2" s="290"/>
      <c r="U2" s="290"/>
      <c r="V2" s="290"/>
      <c r="W2" s="290"/>
      <c r="X2" s="290"/>
      <c r="Y2" s="290"/>
      <c r="Z2" s="290"/>
      <c r="AA2" s="290"/>
      <c r="AB2" s="290"/>
      <c r="AC2" s="290"/>
      <c r="AD2" s="290"/>
      <c r="AE2" s="290"/>
      <c r="AF2" s="290"/>
      <c r="AG2" s="290"/>
      <c r="AH2" s="290"/>
      <c r="AI2" s="290"/>
      <c r="AJ2" s="290"/>
      <c r="AK2" s="290"/>
      <c r="AL2" s="290"/>
      <c r="AM2" s="290"/>
      <c r="AN2" s="290"/>
      <c r="AO2" s="290"/>
      <c r="AP2" s="290"/>
      <c r="AQ2" s="290"/>
      <c r="AR2" s="290"/>
      <c r="AS2" s="290"/>
      <c r="AT2" s="290"/>
      <c r="AU2" s="290"/>
      <c r="AV2" s="290"/>
      <c r="AW2" s="290"/>
      <c r="AX2" s="290"/>
      <c r="AY2" s="290"/>
      <c r="AZ2" s="290"/>
      <c r="BA2" s="290"/>
      <c r="BB2" s="290"/>
      <c r="BC2" s="290"/>
      <c r="BD2" s="290"/>
      <c r="BE2" s="290"/>
      <c r="BF2" s="290"/>
      <c r="BG2" s="290"/>
      <c r="BH2" s="290"/>
      <c r="BI2" s="290"/>
      <c r="BJ2" s="290"/>
      <c r="BK2" s="290"/>
      <c r="BL2" s="290"/>
      <c r="BM2" s="290"/>
      <c r="BN2" s="290"/>
      <c r="BO2" s="290"/>
      <c r="BP2" s="290"/>
      <c r="BQ2" s="290"/>
      <c r="BR2" s="290"/>
      <c r="BS2" s="290"/>
      <c r="BT2" s="290"/>
      <c r="BU2" s="290"/>
      <c r="BV2" s="290"/>
      <c r="BW2" s="290"/>
      <c r="BX2" s="290"/>
      <c r="BY2" s="290"/>
      <c r="BZ2" s="290"/>
      <c r="CA2" s="290"/>
      <c r="CB2" s="290"/>
      <c r="CC2" s="290"/>
      <c r="CD2" s="290"/>
      <c r="CE2" s="290"/>
      <c r="CF2" s="290"/>
      <c r="CG2" s="290"/>
      <c r="CH2" s="290"/>
      <c r="CI2" s="290"/>
      <c r="CJ2" s="290"/>
      <c r="CK2" s="290"/>
      <c r="CL2" s="290"/>
      <c r="CM2" s="290"/>
      <c r="CN2" s="290"/>
    </row>
    <row r="3" spans="1:93" ht="13.2" hidden="1" x14ac:dyDescent="0.25">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0"/>
      <c r="AT3" s="290"/>
      <c r="AU3" s="290"/>
      <c r="AV3" s="290"/>
      <c r="AW3" s="290"/>
      <c r="AX3" s="290"/>
      <c r="AY3" s="290"/>
      <c r="AZ3" s="290"/>
      <c r="BA3" s="290"/>
      <c r="BB3" s="290"/>
      <c r="BC3" s="290"/>
      <c r="BD3" s="290"/>
      <c r="BE3" s="290"/>
      <c r="BF3" s="290"/>
      <c r="BG3" s="290"/>
      <c r="BH3" s="290"/>
      <c r="BI3" s="290"/>
      <c r="BJ3" s="290"/>
      <c r="BK3" s="290"/>
      <c r="BL3" s="290"/>
      <c r="BM3" s="290"/>
      <c r="BN3" s="290"/>
      <c r="BO3" s="290"/>
      <c r="BP3" s="290"/>
      <c r="BQ3" s="290"/>
      <c r="BR3" s="290"/>
      <c r="BS3" s="290"/>
      <c r="BT3" s="290"/>
      <c r="BU3" s="256" t="s">
        <v>2647</v>
      </c>
      <c r="BV3" s="290"/>
      <c r="BW3" s="290"/>
      <c r="BX3" s="290"/>
      <c r="BY3" s="290"/>
      <c r="BZ3" s="290"/>
      <c r="CA3" s="290"/>
      <c r="CB3" s="290"/>
      <c r="CC3" s="290"/>
      <c r="CD3" s="290"/>
      <c r="CE3" s="290"/>
      <c r="CF3" s="290"/>
      <c r="CG3" s="290"/>
      <c r="CH3" s="290"/>
      <c r="CI3" s="290"/>
      <c r="CJ3" s="290"/>
      <c r="CK3" s="290"/>
      <c r="CL3" s="290"/>
      <c r="CM3" s="290"/>
      <c r="CN3" s="290"/>
    </row>
    <row r="4" spans="1:93" ht="13.2" hidden="1" x14ac:dyDescent="0.25">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0"/>
      <c r="BL4" s="290"/>
      <c r="BM4" s="290"/>
      <c r="BN4" s="290"/>
      <c r="BO4" s="290"/>
      <c r="BP4" s="290"/>
      <c r="BQ4" s="290"/>
      <c r="BR4" s="290"/>
      <c r="BS4" s="290"/>
      <c r="BT4" s="290"/>
      <c r="BU4" s="256" t="s">
        <v>2648</v>
      </c>
      <c r="BV4" s="290"/>
      <c r="BW4" s="290"/>
      <c r="BX4" s="290"/>
      <c r="BY4" s="290"/>
      <c r="BZ4" s="290"/>
      <c r="CA4" s="290"/>
      <c r="CB4" s="290"/>
      <c r="CC4" s="290"/>
      <c r="CD4" s="290"/>
      <c r="CE4" s="290"/>
      <c r="CF4" s="290"/>
      <c r="CG4" s="290"/>
      <c r="CH4" s="290"/>
      <c r="CI4" s="290"/>
      <c r="CJ4" s="290"/>
      <c r="CK4" s="290"/>
      <c r="CL4" s="290"/>
      <c r="CM4" s="290"/>
      <c r="CN4" s="290"/>
    </row>
    <row r="5" spans="1:93" ht="13.2" hidden="1" x14ac:dyDescent="0.25">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0"/>
      <c r="BL5" s="290"/>
      <c r="BM5" s="290"/>
      <c r="BN5" s="290"/>
      <c r="BO5" s="290"/>
      <c r="BP5" s="290"/>
      <c r="BQ5" s="290"/>
      <c r="BR5" s="290"/>
      <c r="BS5" s="290"/>
      <c r="BT5" s="290"/>
      <c r="BU5" s="256" t="s">
        <v>2649</v>
      </c>
      <c r="BV5" s="290"/>
      <c r="BW5" s="290"/>
      <c r="BX5" s="290"/>
      <c r="BY5" s="290"/>
      <c r="BZ5" s="290"/>
      <c r="CA5" s="290"/>
      <c r="CB5" s="290"/>
      <c r="CC5" s="290"/>
      <c r="CD5" s="290"/>
      <c r="CE5" s="290"/>
      <c r="CF5" s="290"/>
      <c r="CG5" s="290"/>
      <c r="CH5" s="290"/>
      <c r="CI5" s="290"/>
      <c r="CJ5" s="290"/>
      <c r="CK5" s="290"/>
      <c r="CL5" s="290"/>
      <c r="CM5" s="290"/>
      <c r="CN5" s="290"/>
    </row>
    <row r="6" spans="1:93" ht="13.2" hidden="1" x14ac:dyDescent="0.25">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56" t="s">
        <v>2650</v>
      </c>
      <c r="BV6" s="290"/>
      <c r="BW6" s="290"/>
      <c r="BX6" s="290"/>
      <c r="BY6" s="290"/>
      <c r="BZ6" s="290"/>
      <c r="CA6" s="290"/>
      <c r="CB6" s="290"/>
      <c r="CC6" s="290"/>
      <c r="CD6" s="290"/>
      <c r="CE6" s="290"/>
      <c r="CF6" s="290"/>
      <c r="CG6" s="290"/>
      <c r="CH6" s="290"/>
      <c r="CI6" s="290"/>
      <c r="CJ6" s="290"/>
      <c r="CK6" s="290"/>
      <c r="CL6" s="290"/>
      <c r="CM6" s="290"/>
      <c r="CN6" s="290"/>
    </row>
    <row r="7" spans="1:93" ht="13.2" hidden="1" x14ac:dyDescent="0.25">
      <c r="J7" s="290"/>
      <c r="K7" s="290"/>
      <c r="L7" s="290"/>
      <c r="M7" s="290"/>
      <c r="N7" s="290"/>
      <c r="O7" s="290"/>
      <c r="P7" s="290"/>
      <c r="Q7" s="290"/>
      <c r="R7" s="290"/>
      <c r="S7" s="290"/>
      <c r="T7" s="290"/>
      <c r="U7" s="290"/>
      <c r="V7" s="290"/>
      <c r="W7" s="290"/>
      <c r="X7" s="290"/>
      <c r="Y7" s="290"/>
      <c r="Z7" s="290"/>
      <c r="AA7" s="290"/>
      <c r="AB7" s="290"/>
      <c r="AC7" s="290"/>
      <c r="AD7" s="290"/>
      <c r="AE7" s="290"/>
      <c r="AF7" s="290"/>
      <c r="AG7" s="290"/>
      <c r="AH7" s="290"/>
      <c r="AI7" s="290"/>
      <c r="AJ7" s="290"/>
      <c r="AK7" s="290"/>
      <c r="AL7" s="290"/>
      <c r="AM7" s="290"/>
      <c r="AN7" s="290"/>
      <c r="AO7" s="290"/>
      <c r="AP7" s="290"/>
      <c r="AQ7" s="290"/>
      <c r="AR7" s="290"/>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290"/>
      <c r="BQ7" s="290"/>
      <c r="BR7" s="290"/>
      <c r="BS7" s="290"/>
      <c r="BT7" s="290"/>
      <c r="BU7" s="256" t="s">
        <v>2651</v>
      </c>
      <c r="BV7" s="290"/>
      <c r="BW7" s="290"/>
      <c r="BX7" s="290"/>
      <c r="BY7" s="290"/>
      <c r="BZ7" s="290"/>
      <c r="CA7" s="290"/>
      <c r="CB7" s="290"/>
      <c r="CC7" s="290"/>
      <c r="CD7" s="290"/>
      <c r="CE7" s="290"/>
      <c r="CF7" s="290"/>
      <c r="CG7" s="290"/>
      <c r="CH7" s="290"/>
      <c r="CI7" s="290"/>
      <c r="CJ7" s="290"/>
      <c r="CK7" s="290"/>
      <c r="CL7" s="290"/>
      <c r="CM7" s="290"/>
      <c r="CN7" s="290"/>
    </row>
    <row r="8" spans="1:93" ht="13.2" hidden="1" x14ac:dyDescent="0.25">
      <c r="J8" s="290"/>
      <c r="K8" s="290"/>
      <c r="L8" s="290"/>
      <c r="M8" s="290"/>
      <c r="N8" s="290"/>
      <c r="O8" s="290"/>
      <c r="P8" s="290"/>
      <c r="Q8" s="290"/>
      <c r="R8" s="290"/>
      <c r="S8" s="290"/>
      <c r="T8" s="290"/>
      <c r="U8" s="290"/>
      <c r="V8" s="290"/>
      <c r="W8" s="290"/>
      <c r="X8" s="290"/>
      <c r="Y8" s="290"/>
      <c r="Z8" s="290"/>
      <c r="AA8" s="290"/>
      <c r="AB8" s="290"/>
      <c r="AC8" s="290"/>
      <c r="AD8" s="290"/>
      <c r="AE8" s="290"/>
      <c r="AF8" s="290"/>
      <c r="AG8" s="290"/>
      <c r="AH8" s="290"/>
      <c r="AI8" s="290"/>
      <c r="AJ8" s="290"/>
      <c r="AK8" s="290"/>
      <c r="AL8" s="290"/>
      <c r="AM8" s="290"/>
      <c r="AN8" s="290"/>
      <c r="AO8" s="290"/>
      <c r="AP8" s="290"/>
      <c r="AQ8" s="290"/>
      <c r="AR8" s="290"/>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290"/>
      <c r="BQ8" s="290"/>
      <c r="BR8" s="290"/>
      <c r="BS8" s="290"/>
      <c r="BT8" s="256" t="s">
        <v>2642</v>
      </c>
      <c r="BU8" s="256" t="s">
        <v>2652</v>
      </c>
      <c r="BV8" s="290"/>
      <c r="BW8" s="290"/>
      <c r="BX8" s="290"/>
      <c r="BY8" s="290"/>
      <c r="BZ8" s="290"/>
      <c r="CA8" s="290"/>
      <c r="CB8" s="290"/>
      <c r="CC8" s="290"/>
      <c r="CD8" s="290"/>
      <c r="CE8" s="290"/>
      <c r="CF8" s="290"/>
      <c r="CG8" s="290"/>
      <c r="CH8" s="290"/>
      <c r="CI8" s="290"/>
      <c r="CJ8" s="290"/>
      <c r="CK8" s="290"/>
      <c r="CL8" s="290"/>
      <c r="CM8" s="290"/>
      <c r="CN8" s="290"/>
    </row>
    <row r="9" spans="1:93" ht="13.2" hidden="1" x14ac:dyDescent="0.25">
      <c r="J9" s="290"/>
      <c r="K9" s="290"/>
      <c r="L9" s="290"/>
      <c r="M9" s="290"/>
      <c r="N9" s="290"/>
      <c r="O9" s="290"/>
      <c r="P9" s="290"/>
      <c r="Q9" s="290"/>
      <c r="R9" s="290"/>
      <c r="S9" s="290"/>
      <c r="T9" s="290"/>
      <c r="U9" s="290"/>
      <c r="V9" s="290"/>
      <c r="W9" s="290"/>
      <c r="X9" s="290"/>
      <c r="Y9" s="290"/>
      <c r="Z9" s="290"/>
      <c r="AA9" s="290"/>
      <c r="AB9" s="290"/>
      <c r="AC9" s="290"/>
      <c r="AD9" s="290"/>
      <c r="AE9" s="290"/>
      <c r="AF9" s="290"/>
      <c r="AG9" s="290"/>
      <c r="AH9" s="290"/>
      <c r="AI9" s="290"/>
      <c r="AJ9" s="290"/>
      <c r="AK9" s="290"/>
      <c r="AL9" s="290"/>
      <c r="AM9" s="290"/>
      <c r="AN9" s="290"/>
      <c r="AO9" s="290"/>
      <c r="AP9" s="290"/>
      <c r="AQ9" s="290"/>
      <c r="AR9" s="290"/>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290"/>
      <c r="BQ9" s="290"/>
      <c r="BR9" s="290"/>
      <c r="BS9" s="290"/>
      <c r="BT9" s="256" t="s">
        <v>2658</v>
      </c>
      <c r="BU9" s="256" t="s">
        <v>2653</v>
      </c>
      <c r="BV9" s="290"/>
      <c r="BW9" s="290"/>
      <c r="BX9" s="290"/>
      <c r="BY9" s="290"/>
      <c r="BZ9" s="290"/>
      <c r="CA9" s="290"/>
      <c r="CB9" s="290"/>
      <c r="CC9" s="290"/>
      <c r="CD9" s="290"/>
      <c r="CE9" s="290"/>
      <c r="CF9" s="290"/>
      <c r="CG9" s="290"/>
      <c r="CH9" s="290"/>
      <c r="CI9" s="290"/>
      <c r="CJ9" s="290"/>
      <c r="CK9" s="290"/>
      <c r="CL9" s="290"/>
      <c r="CM9" s="290"/>
      <c r="CN9" s="290"/>
    </row>
    <row r="10" spans="1:93" ht="15.9" hidden="1" customHeight="1" x14ac:dyDescent="0.25">
      <c r="A10" s="290"/>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90"/>
      <c r="AA10" s="290"/>
      <c r="AB10" s="290"/>
      <c r="AC10" s="290"/>
      <c r="AD10" s="290"/>
      <c r="AE10" s="290"/>
      <c r="AF10" s="290"/>
      <c r="AG10" s="290"/>
      <c r="AH10" s="290"/>
      <c r="AI10" s="290"/>
      <c r="AJ10" s="290"/>
      <c r="AK10" s="290"/>
      <c r="AL10" s="290"/>
      <c r="AM10" s="290"/>
      <c r="AN10" s="290"/>
      <c r="AO10" s="290"/>
      <c r="AP10" s="290"/>
      <c r="AQ10" s="290"/>
      <c r="AR10" s="290"/>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290"/>
      <c r="BQ10" s="290"/>
      <c r="BR10" s="290"/>
      <c r="BS10" s="290"/>
      <c r="BT10" s="290"/>
      <c r="BU10" s="256" t="s">
        <v>2654</v>
      </c>
      <c r="BV10" s="290"/>
      <c r="BW10" s="290"/>
      <c r="BX10" s="290"/>
      <c r="BY10" s="290"/>
      <c r="BZ10" s="290"/>
      <c r="CA10" s="290"/>
      <c r="CB10" s="290"/>
      <c r="CC10" s="290"/>
      <c r="CD10" s="290"/>
      <c r="CE10" s="290"/>
      <c r="CF10" s="290"/>
      <c r="CG10" s="290"/>
      <c r="CH10" s="290"/>
      <c r="CI10" s="290"/>
      <c r="CJ10" s="290"/>
      <c r="CK10" s="290"/>
      <c r="CL10" s="290"/>
      <c r="CM10" s="290"/>
      <c r="CN10" s="290"/>
      <c r="CO10" s="325"/>
    </row>
    <row r="11" spans="1:93" ht="15.9" hidden="1" customHeight="1" x14ac:dyDescent="0.25">
      <c r="A11" s="290"/>
      <c r="B11" s="290"/>
      <c r="C11" s="290"/>
      <c r="D11" s="290"/>
      <c r="E11" s="290"/>
      <c r="F11" s="290"/>
      <c r="G11" s="290"/>
      <c r="H11" s="290"/>
      <c r="I11" s="290"/>
      <c r="J11" s="290"/>
      <c r="K11" s="290"/>
      <c r="L11" s="290"/>
      <c r="M11" s="290"/>
      <c r="N11" s="290"/>
      <c r="O11" s="290"/>
      <c r="P11" s="290"/>
      <c r="Q11" s="290"/>
      <c r="R11" s="290"/>
      <c r="S11" s="290"/>
      <c r="T11" s="290"/>
      <c r="U11" s="290"/>
      <c r="V11" s="290"/>
      <c r="W11" s="290"/>
      <c r="X11" s="290"/>
      <c r="Y11" s="290"/>
      <c r="Z11" s="290"/>
      <c r="AA11" s="290"/>
      <c r="AB11" s="290"/>
      <c r="AC11" s="290"/>
      <c r="AD11" s="290"/>
      <c r="AE11" s="290"/>
      <c r="AF11" s="290"/>
      <c r="AG11" s="290"/>
      <c r="AH11" s="290"/>
      <c r="AI11" s="290"/>
      <c r="AJ11" s="290"/>
      <c r="AK11" s="290"/>
      <c r="AL11" s="290"/>
      <c r="AM11" s="290"/>
      <c r="AN11" s="290"/>
      <c r="AO11" s="290"/>
      <c r="AP11" s="290"/>
      <c r="AQ11" s="290"/>
      <c r="AR11" s="290"/>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290"/>
      <c r="BQ11" s="290"/>
      <c r="BR11" s="290"/>
      <c r="BS11" s="290"/>
      <c r="BT11" s="290"/>
      <c r="BU11" s="290"/>
      <c r="BV11" s="290"/>
      <c r="BW11" s="290"/>
      <c r="BX11" s="290"/>
      <c r="BY11" s="290"/>
      <c r="BZ11" s="290"/>
      <c r="CA11" s="290"/>
      <c r="CB11" s="290"/>
      <c r="CC11" s="290"/>
      <c r="CD11" s="290"/>
      <c r="CE11" s="290"/>
      <c r="CF11" s="290"/>
      <c r="CG11" s="290"/>
      <c r="CH11" s="290"/>
      <c r="CI11" s="290"/>
      <c r="CJ11" s="290"/>
      <c r="CK11" s="290"/>
      <c r="CL11" s="290"/>
      <c r="CM11" s="290"/>
      <c r="CN11" s="290"/>
      <c r="CO11" s="325"/>
    </row>
    <row r="12" spans="1:93" ht="15.9" hidden="1" customHeight="1" x14ac:dyDescent="0.25">
      <c r="A12" s="290"/>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290"/>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290"/>
      <c r="BW12" s="290"/>
      <c r="BX12" s="290"/>
      <c r="BY12" s="290"/>
      <c r="BZ12" s="290"/>
      <c r="CA12" s="290"/>
      <c r="CB12" s="290"/>
      <c r="CC12" s="290"/>
      <c r="CD12" s="290"/>
      <c r="CE12" s="290"/>
      <c r="CF12" s="290"/>
      <c r="CG12" s="290"/>
      <c r="CH12" s="290"/>
      <c r="CI12" s="290"/>
      <c r="CJ12" s="290"/>
      <c r="CK12" s="290"/>
      <c r="CL12" s="290"/>
      <c r="CM12" s="290"/>
      <c r="CN12" s="290"/>
      <c r="CO12" s="325"/>
    </row>
    <row r="13" spans="1:93" ht="15.9" customHeight="1" x14ac:dyDescent="0.3">
      <c r="A13" s="290"/>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290"/>
      <c r="AS13" s="290"/>
      <c r="AT13" s="760"/>
      <c r="AU13" s="760"/>
      <c r="AV13" s="1120"/>
      <c r="AW13" s="1120"/>
      <c r="AX13" s="1120"/>
      <c r="AY13" s="1120"/>
      <c r="AZ13" s="1120"/>
      <c r="BA13" s="1120"/>
      <c r="BB13" s="1120"/>
      <c r="BC13" s="1120"/>
      <c r="BD13" s="1120"/>
      <c r="BE13" s="1120"/>
      <c r="BF13" s="1120"/>
      <c r="BG13" s="760"/>
      <c r="BH13" s="760"/>
      <c r="BI13" s="760"/>
      <c r="BJ13" s="760"/>
      <c r="BK13" s="1120"/>
      <c r="BL13" s="1120"/>
      <c r="BM13" s="760"/>
      <c r="BN13" s="760"/>
      <c r="BO13" s="760"/>
      <c r="BP13" s="760"/>
      <c r="BQ13" s="760"/>
      <c r="BR13" s="760"/>
      <c r="BS13" s="760"/>
      <c r="BT13" s="760"/>
      <c r="BU13" s="760"/>
      <c r="BV13" s="1574"/>
      <c r="BW13" s="1574"/>
      <c r="BX13" s="1583"/>
      <c r="BY13" s="1583"/>
      <c r="BZ13" s="1574"/>
      <c r="CA13" s="1574"/>
      <c r="CB13" s="1574"/>
      <c r="CC13" s="1574"/>
      <c r="CD13" s="1574"/>
      <c r="CE13" s="1574"/>
      <c r="CF13" s="1574"/>
      <c r="CG13" s="1574"/>
      <c r="CH13" s="1574"/>
      <c r="CI13" s="1574"/>
      <c r="CJ13" s="1574"/>
      <c r="CK13" s="1574"/>
      <c r="CL13" s="1574"/>
      <c r="CM13" s="1574"/>
      <c r="CN13" s="1574"/>
      <c r="CO13" s="325"/>
    </row>
    <row r="14" spans="1:93" ht="19.350000000000001" customHeight="1" thickBot="1" x14ac:dyDescent="0.35">
      <c r="A14" s="290"/>
      <c r="B14" s="290"/>
      <c r="C14" s="290"/>
      <c r="D14" s="290"/>
      <c r="E14" s="290"/>
      <c r="F14" s="290"/>
      <c r="G14" s="290"/>
      <c r="H14" s="290"/>
      <c r="I14" s="290"/>
      <c r="J14" s="290"/>
      <c r="K14" s="290"/>
      <c r="L14" s="290"/>
      <c r="M14" s="290"/>
      <c r="N14" s="290"/>
      <c r="O14" s="290"/>
      <c r="P14" s="290"/>
      <c r="Q14" s="290"/>
      <c r="R14" s="290"/>
      <c r="S14" s="290"/>
      <c r="T14" s="290"/>
      <c r="U14" s="290"/>
      <c r="V14" s="290"/>
      <c r="W14" s="290"/>
      <c r="X14" s="290"/>
      <c r="Y14" s="290"/>
      <c r="Z14" s="290"/>
      <c r="AA14" s="290"/>
      <c r="AB14" s="290"/>
      <c r="AC14" s="290"/>
      <c r="AD14" s="290"/>
      <c r="AE14" s="308" t="s">
        <v>2681</v>
      </c>
      <c r="AF14" s="537">
        <f>'1 Setup'!L2</f>
        <v>3</v>
      </c>
      <c r="AG14" s="290"/>
      <c r="AH14" s="290"/>
      <c r="AI14" s="290"/>
      <c r="AJ14" s="290"/>
      <c r="AK14" s="290"/>
      <c r="AL14" s="290"/>
      <c r="AM14" s="290"/>
      <c r="AN14" s="290"/>
      <c r="AO14" s="290"/>
      <c r="AP14" s="290"/>
      <c r="AQ14" s="290"/>
      <c r="AR14" s="290"/>
      <c r="AS14" s="290"/>
      <c r="AT14" s="760"/>
      <c r="AU14" s="4072" t="s">
        <v>2725</v>
      </c>
      <c r="AV14" s="4072"/>
      <c r="AW14" s="4072"/>
      <c r="AX14" s="4072"/>
      <c r="AY14" s="4072"/>
      <c r="AZ14" s="4072"/>
      <c r="BA14" s="4072"/>
      <c r="BB14" s="4072"/>
      <c r="BC14" s="4072"/>
      <c r="BD14" s="1120"/>
      <c r="BE14" s="1120"/>
      <c r="BF14" s="1120"/>
      <c r="BG14" s="760"/>
      <c r="BH14" s="760"/>
      <c r="BI14" s="2138" t="s">
        <v>2677</v>
      </c>
      <c r="BJ14" s="4075" t="s">
        <v>2676</v>
      </c>
      <c r="BK14" s="4076"/>
      <c r="BL14" s="1120"/>
      <c r="BM14" s="760"/>
      <c r="BN14" s="760"/>
      <c r="BO14" s="760"/>
      <c r="BP14" s="760"/>
      <c r="BQ14" s="4072" t="s">
        <v>2711</v>
      </c>
      <c r="BR14" s="4072"/>
      <c r="BS14" s="4072"/>
      <c r="BT14" s="4072"/>
      <c r="BU14" s="4072"/>
      <c r="BV14" s="1574"/>
      <c r="BW14" s="4072" t="s">
        <v>2667</v>
      </c>
      <c r="BX14" s="4072"/>
      <c r="BY14" s="4072"/>
      <c r="BZ14" s="4072"/>
      <c r="CA14" s="1574"/>
      <c r="CB14" s="1574"/>
      <c r="CC14" s="1574"/>
      <c r="CD14" s="1574"/>
      <c r="CE14" s="1574"/>
      <c r="CF14" s="1574"/>
      <c r="CG14" s="1574"/>
      <c r="CH14" s="1574"/>
      <c r="CI14" s="1574"/>
      <c r="CJ14" s="1574"/>
      <c r="CK14" s="1574"/>
      <c r="CL14" s="1574"/>
      <c r="CM14" s="1574"/>
      <c r="CN14" s="1574"/>
      <c r="CO14" s="325"/>
    </row>
    <row r="15" spans="1:93" ht="15.9" customHeight="1" x14ac:dyDescent="0.3">
      <c r="A15" s="290"/>
      <c r="B15" s="290"/>
      <c r="C15" s="290"/>
      <c r="D15" s="290"/>
      <c r="E15" s="290"/>
      <c r="F15" s="290"/>
      <c r="G15" s="290"/>
      <c r="H15" s="290"/>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310" t="s">
        <v>93</v>
      </c>
      <c r="AG15" s="310" t="s">
        <v>117</v>
      </c>
      <c r="AH15" s="290"/>
      <c r="AI15" s="290"/>
      <c r="AJ15" s="290"/>
      <c r="AK15" s="290"/>
      <c r="AL15" s="290"/>
      <c r="AM15" s="290"/>
      <c r="AN15" s="290"/>
      <c r="AO15" s="290"/>
      <c r="AP15" s="290"/>
      <c r="AQ15" s="290"/>
      <c r="AR15" s="290"/>
      <c r="AS15" s="290"/>
      <c r="AT15" s="760"/>
      <c r="AU15" s="4072"/>
      <c r="AV15" s="4072"/>
      <c r="AW15" s="4072"/>
      <c r="AX15" s="4072"/>
      <c r="AY15" s="4072"/>
      <c r="AZ15" s="4072"/>
      <c r="BA15" s="4072"/>
      <c r="BB15" s="4072"/>
      <c r="BC15" s="4072"/>
      <c r="BD15" s="4083" t="s">
        <v>2680</v>
      </c>
      <c r="BE15" s="4083"/>
      <c r="BF15" s="4083"/>
      <c r="BG15" s="4083"/>
      <c r="BH15" s="760"/>
      <c r="BI15" s="4077">
        <f ca="1">BI18+BI21+BI25</f>
        <v>73862.781824999998</v>
      </c>
      <c r="BJ15" s="4079">
        <f ca="1">BJ18+BJ21+BJ25</f>
        <v>73862.781824999998</v>
      </c>
      <c r="BK15" s="4080"/>
      <c r="BL15" s="2382" t="str">
        <f>'1 Setup'!I60</f>
        <v>GBP</v>
      </c>
      <c r="BM15" s="760"/>
      <c r="BN15" s="760"/>
      <c r="BO15" s="760"/>
      <c r="BP15" s="760"/>
      <c r="BQ15" s="4072"/>
      <c r="BR15" s="4072"/>
      <c r="BS15" s="4072"/>
      <c r="BT15" s="4072"/>
      <c r="BU15" s="4072"/>
      <c r="BV15" s="1574"/>
      <c r="BW15" s="4072"/>
      <c r="BX15" s="4072"/>
      <c r="BY15" s="4072"/>
      <c r="BZ15" s="4072"/>
      <c r="CA15" s="1575"/>
      <c r="CB15" s="1575"/>
      <c r="CC15" s="1575"/>
      <c r="CD15" s="1575"/>
      <c r="CE15" s="1575"/>
      <c r="CF15" s="1575"/>
      <c r="CG15" s="1575"/>
      <c r="CH15" s="1575"/>
      <c r="CI15" s="1574"/>
      <c r="CJ15" s="1574"/>
      <c r="CK15" s="1574"/>
      <c r="CL15" s="1574"/>
      <c r="CM15" s="1574"/>
      <c r="CN15" s="1574"/>
      <c r="CO15" s="325"/>
    </row>
    <row r="16" spans="1:93" ht="15.9" customHeight="1" thickBot="1" x14ac:dyDescent="0.55000000000000004">
      <c r="A16" s="290"/>
      <c r="B16" s="290"/>
      <c r="C16" s="290"/>
      <c r="D16" s="290"/>
      <c r="E16" s="290"/>
      <c r="F16" s="290"/>
      <c r="G16" s="290"/>
      <c r="H16" s="290"/>
      <c r="I16" s="290"/>
      <c r="J16" s="290"/>
      <c r="K16" s="290"/>
      <c r="L16" s="290"/>
      <c r="M16" s="290"/>
      <c r="N16" s="290"/>
      <c r="O16" s="290"/>
      <c r="P16" s="290"/>
      <c r="Q16" s="290"/>
      <c r="R16" s="290"/>
      <c r="S16" s="290"/>
      <c r="T16" s="290"/>
      <c r="U16" s="290"/>
      <c r="V16" s="290"/>
      <c r="W16" s="290"/>
      <c r="X16" s="290"/>
      <c r="Y16" s="290"/>
      <c r="Z16" s="290"/>
      <c r="AA16" s="290"/>
      <c r="AB16" s="290"/>
      <c r="AC16" s="290"/>
      <c r="AD16" s="290"/>
      <c r="AE16" s="308" t="s">
        <v>2683</v>
      </c>
      <c r="AF16" s="1003">
        <f ca="1">CHOOSE($AF$14,AF17+AF18,AF17,AF18)</f>
        <v>68492.781824999998</v>
      </c>
      <c r="AG16" s="1003">
        <f>CHOOSE($AF$14,AG17+AG18,AG17,AG18)</f>
        <v>5370</v>
      </c>
      <c r="AH16" s="290"/>
      <c r="AI16" s="290"/>
      <c r="AJ16" s="290"/>
      <c r="AK16" s="290"/>
      <c r="AL16" s="290"/>
      <c r="AM16" s="290"/>
      <c r="AN16" s="290"/>
      <c r="AO16" s="290"/>
      <c r="AP16" s="290"/>
      <c r="AQ16" s="290"/>
      <c r="AR16" s="290"/>
      <c r="AS16" s="290"/>
      <c r="AT16" s="760"/>
      <c r="AU16" s="2336" t="s">
        <v>2726</v>
      </c>
      <c r="AV16" s="1120"/>
      <c r="AW16" s="1120"/>
      <c r="AX16" s="1575"/>
      <c r="AY16" s="1575"/>
      <c r="AZ16" s="1575"/>
      <c r="BA16" s="1575"/>
      <c r="BB16" s="1575"/>
      <c r="BC16" s="1575"/>
      <c r="BD16" s="4083"/>
      <c r="BE16" s="4083"/>
      <c r="BF16" s="4083"/>
      <c r="BG16" s="4083"/>
      <c r="BH16" s="760"/>
      <c r="BI16" s="4078"/>
      <c r="BJ16" s="4081"/>
      <c r="BK16" s="4082"/>
      <c r="BL16" s="2383" t="s">
        <v>2723</v>
      </c>
      <c r="BM16" s="760"/>
      <c r="BN16" s="760"/>
      <c r="BO16" s="760"/>
      <c r="BP16" s="760"/>
      <c r="BQ16" s="2336" t="s">
        <v>2662</v>
      </c>
      <c r="BR16" s="760"/>
      <c r="BS16" s="760"/>
      <c r="BT16" s="760"/>
      <c r="BU16" s="760"/>
      <c r="BV16" s="1574"/>
      <c r="BW16" s="1584" t="s">
        <v>2668</v>
      </c>
      <c r="BX16" s="1585"/>
      <c r="BY16" s="1585"/>
      <c r="BZ16" s="1575"/>
      <c r="CA16" s="1575"/>
      <c r="CB16" s="1575"/>
      <c r="CC16" s="1575"/>
      <c r="CD16" s="1575"/>
      <c r="CE16" s="1575"/>
      <c r="CF16" s="1586"/>
      <c r="CG16" s="1586"/>
      <c r="CH16" s="1575"/>
      <c r="CI16" s="1574"/>
      <c r="CJ16" s="1574"/>
      <c r="CK16" s="1574"/>
      <c r="CL16" s="1574"/>
      <c r="CM16" s="1574"/>
      <c r="CN16" s="1574"/>
      <c r="CO16" s="325"/>
    </row>
    <row r="17" spans="1:93" ht="15.9" customHeight="1" thickBot="1" x14ac:dyDescent="0.55000000000000004">
      <c r="A17" s="290"/>
      <c r="B17" s="290"/>
      <c r="C17" s="290"/>
      <c r="D17" s="290"/>
      <c r="E17" s="290"/>
      <c r="F17" s="290"/>
      <c r="G17" s="290"/>
      <c r="H17" s="290"/>
      <c r="I17" s="290"/>
      <c r="J17" s="290"/>
      <c r="K17" s="290"/>
      <c r="L17" s="290"/>
      <c r="M17" s="290"/>
      <c r="N17" s="290"/>
      <c r="O17" s="290"/>
      <c r="P17" s="290"/>
      <c r="Q17" s="290"/>
      <c r="R17" s="290"/>
      <c r="S17" s="290"/>
      <c r="T17" s="290"/>
      <c r="U17" s="290"/>
      <c r="V17" s="290"/>
      <c r="W17" s="290"/>
      <c r="X17" s="290"/>
      <c r="Y17" s="290"/>
      <c r="Z17" s="290"/>
      <c r="AA17" s="290"/>
      <c r="AB17" s="290"/>
      <c r="AC17" s="290"/>
      <c r="AD17" s="290"/>
      <c r="AE17" s="308" t="s">
        <v>2682</v>
      </c>
      <c r="AF17" s="1003">
        <f>SUMIFS('3a Staff Plan'!$X$129:$X$305,'3a Staff Plan'!$AG$129:$AG$305,1,'3a Staff Plan'!$DB$129:$DB$305,1)*(1+'3a Staff Plan'!Q119)</f>
        <v>0</v>
      </c>
      <c r="AG17" s="1003">
        <f>SUMIFS('3a Staff Plan'!$AA$129:$AA$305,'3a Staff Plan'!$AG$129:$AG$305,1,'3a Staff Plan'!$DB$129:$DB$305,1)+'3a Staff Plan'!DP120</f>
        <v>0</v>
      </c>
      <c r="AH17" s="290"/>
      <c r="AI17" s="290"/>
      <c r="AJ17" s="290"/>
      <c r="AK17" s="290"/>
      <c r="AL17" s="290"/>
      <c r="AM17" s="290"/>
      <c r="AN17" s="290"/>
      <c r="AO17" s="290"/>
      <c r="AP17" s="290"/>
      <c r="AQ17" s="290"/>
      <c r="AR17" s="290"/>
      <c r="AS17" s="290"/>
      <c r="AT17" s="760"/>
      <c r="AU17" s="2336" t="s">
        <v>2720</v>
      </c>
      <c r="AV17" s="1120"/>
      <c r="AW17" s="1120"/>
      <c r="AX17" s="1575"/>
      <c r="AY17" s="1575"/>
      <c r="AZ17" s="1575"/>
      <c r="BA17" s="1575"/>
      <c r="BB17" s="1575"/>
      <c r="BC17" s="1575"/>
      <c r="BD17" s="1575"/>
      <c r="BE17" s="1575"/>
      <c r="BF17" s="1575"/>
      <c r="BG17" s="760"/>
      <c r="BH17" s="760"/>
      <c r="BI17" s="760"/>
      <c r="BJ17" s="760"/>
      <c r="BK17" s="1575"/>
      <c r="BL17" s="1575"/>
      <c r="BM17" s="760"/>
      <c r="BN17" s="760"/>
      <c r="BO17" s="760"/>
      <c r="BP17" s="760"/>
      <c r="BQ17" s="2336" t="s">
        <v>2666</v>
      </c>
      <c r="BR17" s="760"/>
      <c r="BS17" s="760"/>
      <c r="BT17" s="760"/>
      <c r="BU17" s="760"/>
      <c r="BV17" s="1574"/>
      <c r="BW17" s="1584"/>
      <c r="BX17" s="1585"/>
      <c r="BY17" s="1585"/>
      <c r="BZ17" s="1575"/>
      <c r="CA17" s="1575"/>
      <c r="CB17" s="1575"/>
      <c r="CC17" s="1575"/>
      <c r="CD17" s="1575"/>
      <c r="CE17" s="1575"/>
      <c r="CF17" s="1586"/>
      <c r="CG17" s="1586"/>
      <c r="CH17" s="1575"/>
      <c r="CI17" s="1574"/>
      <c r="CJ17" s="1574"/>
      <c r="CK17" s="1574"/>
      <c r="CL17" s="1574"/>
      <c r="CM17" s="1574"/>
      <c r="CN17" s="1574"/>
      <c r="CO17" s="325"/>
    </row>
    <row r="18" spans="1:93" ht="15.9" customHeight="1" thickTop="1" x14ac:dyDescent="0.3">
      <c r="A18" s="290"/>
      <c r="B18" s="290"/>
      <c r="C18" s="290"/>
      <c r="D18" s="290"/>
      <c r="E18" s="290"/>
      <c r="F18" s="290"/>
      <c r="G18" s="290"/>
      <c r="H18" s="290"/>
      <c r="I18" s="290"/>
      <c r="J18" s="290"/>
      <c r="K18" s="290"/>
      <c r="L18" s="290"/>
      <c r="M18" s="290"/>
      <c r="N18" s="290"/>
      <c r="O18" s="290"/>
      <c r="P18" s="290"/>
      <c r="Q18" s="290"/>
      <c r="R18" s="290"/>
      <c r="S18" s="290"/>
      <c r="T18" s="290"/>
      <c r="U18" s="290"/>
      <c r="V18" s="290"/>
      <c r="W18" s="290"/>
      <c r="X18" s="290"/>
      <c r="Y18" s="290"/>
      <c r="Z18" s="290"/>
      <c r="AA18" s="290"/>
      <c r="AB18" s="290"/>
      <c r="AC18" s="290"/>
      <c r="AD18" s="290"/>
      <c r="AE18" s="308" t="s">
        <v>2684</v>
      </c>
      <c r="AF18" s="1003">
        <f ca="1">SUMIFS('3b Activity Plan'!$X$173:$X$365,'3b Activity Plan'!$AH$173:$AH$365,1,'3b Activity Plan'!$CU$173:$CU$365,1)*(1+'3b Activity Plan'!Q163)</f>
        <v>68492.781824999998</v>
      </c>
      <c r="AG18" s="1003">
        <f>SUMIFS('3b Activity Plan'!$AA$173:$AA$365,'3b Activity Plan'!$AH$173:$AH$365,1,'3b Activity Plan'!$CU$173:$CU$365,1)+'3b Activity Plan'!CZ164</f>
        <v>5370</v>
      </c>
      <c r="AH18" s="290"/>
      <c r="AI18" s="290"/>
      <c r="AJ18" s="290"/>
      <c r="AK18" s="290"/>
      <c r="AL18" s="290"/>
      <c r="AM18" s="290"/>
      <c r="AN18" s="290"/>
      <c r="AO18" s="290"/>
      <c r="AP18" s="290"/>
      <c r="AQ18" s="290"/>
      <c r="AR18" s="290"/>
      <c r="AS18" s="290"/>
      <c r="AT18" s="760"/>
      <c r="AU18" s="2336" t="s">
        <v>2724</v>
      </c>
      <c r="AV18" s="1120"/>
      <c r="AW18" s="1120"/>
      <c r="AX18" s="1576"/>
      <c r="AY18" s="1576"/>
      <c r="AZ18" s="1576"/>
      <c r="BA18" s="1576"/>
      <c r="BB18" s="1576"/>
      <c r="BC18" s="1576"/>
      <c r="BD18" s="1576"/>
      <c r="BE18" s="1576"/>
      <c r="BF18" s="1576"/>
      <c r="BG18" s="2376" t="s">
        <v>2679</v>
      </c>
      <c r="BH18" s="760"/>
      <c r="BI18" s="1284">
        <f ca="1">AF16+AG16</f>
        <v>73862.781824999998</v>
      </c>
      <c r="BJ18" s="4073">
        <f ca="1">BI18</f>
        <v>73862.781824999998</v>
      </c>
      <c r="BK18" s="4074"/>
      <c r="BL18" s="2381" t="s">
        <v>2722</v>
      </c>
      <c r="BM18" s="760"/>
      <c r="BN18" s="760"/>
      <c r="BO18" s="760"/>
      <c r="BP18" s="760"/>
      <c r="BQ18" s="2336" t="s">
        <v>2712</v>
      </c>
      <c r="BR18" s="760"/>
      <c r="BS18" s="760"/>
      <c r="BT18" s="760"/>
      <c r="BU18" s="760"/>
      <c r="BV18" s="1574"/>
      <c r="BW18" s="327"/>
      <c r="BX18" s="353"/>
      <c r="BY18" s="353"/>
      <c r="BZ18" s="354"/>
      <c r="CA18" s="354"/>
      <c r="CB18" s="355"/>
      <c r="CC18" s="355"/>
      <c r="CD18" s="355"/>
      <c r="CE18" s="354"/>
      <c r="CF18" s="356"/>
      <c r="CG18" s="356"/>
      <c r="CH18" s="328"/>
      <c r="CI18" s="1574"/>
      <c r="CJ18" s="1574"/>
      <c r="CK18" s="1574"/>
      <c r="CL18" s="1574"/>
      <c r="CM18" s="1574"/>
      <c r="CN18" s="1574"/>
      <c r="CO18" s="325"/>
    </row>
    <row r="19" spans="1:93" ht="15.9" customHeight="1" thickBot="1" x14ac:dyDescent="0.35">
      <c r="A19" s="290"/>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760"/>
      <c r="AU19" s="760"/>
      <c r="AV19" s="1120"/>
      <c r="AW19" s="1120"/>
      <c r="AX19" s="1576"/>
      <c r="AY19" s="1576"/>
      <c r="AZ19" s="1576"/>
      <c r="BA19" s="1576" t="s">
        <v>16</v>
      </c>
      <c r="BB19" s="1576"/>
      <c r="BC19" s="1576"/>
      <c r="BD19" s="1576"/>
      <c r="BE19" s="1576"/>
      <c r="BF19" s="1576"/>
      <c r="BG19" s="760"/>
      <c r="BH19" s="760"/>
      <c r="BI19" s="760"/>
      <c r="BJ19" s="760"/>
      <c r="BK19" s="1576"/>
      <c r="BL19" s="1576"/>
      <c r="BM19" s="760"/>
      <c r="BN19" s="760"/>
      <c r="BO19" s="760"/>
      <c r="BP19" s="760"/>
      <c r="BQ19" s="2336" t="s">
        <v>2660</v>
      </c>
      <c r="BR19" s="760"/>
      <c r="BS19" s="760"/>
      <c r="BT19" s="760"/>
      <c r="BU19" s="760"/>
      <c r="BV19" s="1574"/>
      <c r="BW19" s="329"/>
      <c r="BY19" s="352"/>
      <c r="BZ19" s="352"/>
      <c r="CA19" s="33"/>
      <c r="CB19" s="34"/>
      <c r="CC19" s="34"/>
      <c r="CD19" s="34"/>
      <c r="CF19" s="352"/>
      <c r="CG19" s="352"/>
      <c r="CH19" s="330"/>
      <c r="CI19" s="1574"/>
      <c r="CJ19" s="1574"/>
      <c r="CK19" s="1574"/>
      <c r="CL19" s="1574"/>
      <c r="CM19" s="1574"/>
      <c r="CN19" s="1574"/>
      <c r="CO19" s="325"/>
    </row>
    <row r="20" spans="1:93" ht="15.9" customHeight="1" thickBot="1" x14ac:dyDescent="0.35">
      <c r="A20" s="290"/>
      <c r="B20" s="290"/>
      <c r="C20" s="290"/>
      <c r="D20" s="290"/>
      <c r="E20" s="290"/>
      <c r="F20" s="290"/>
      <c r="G20" s="290"/>
      <c r="H20" s="290"/>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c r="AT20" s="760"/>
      <c r="AU20" s="4095" t="s">
        <v>2678</v>
      </c>
      <c r="AV20" s="4096"/>
      <c r="AW20" s="1120"/>
      <c r="AX20" s="4084"/>
      <c r="AY20" s="4085"/>
      <c r="AZ20" s="4085"/>
      <c r="BA20" s="4085"/>
      <c r="BB20" s="4085"/>
      <c r="BC20" s="4085"/>
      <c r="BD20" s="4085"/>
      <c r="BE20" s="4085"/>
      <c r="BF20" s="4085"/>
      <c r="BG20" s="4086"/>
      <c r="BH20" s="760"/>
      <c r="BI20" s="2138" t="s">
        <v>2677</v>
      </c>
      <c r="BJ20" s="4075" t="s">
        <v>2676</v>
      </c>
      <c r="BK20" s="4076"/>
      <c r="BL20" s="1576"/>
      <c r="BM20" s="760"/>
      <c r="BN20" s="760"/>
      <c r="BO20" s="760"/>
      <c r="BP20" s="760"/>
      <c r="BQ20" s="2336" t="s">
        <v>2661</v>
      </c>
      <c r="BR20" s="760"/>
      <c r="BS20" s="760"/>
      <c r="BT20" s="760"/>
      <c r="BU20" s="760"/>
      <c r="BV20" s="1574"/>
      <c r="BW20" s="329"/>
      <c r="BX20" s="352"/>
      <c r="BY20" s="352"/>
      <c r="BZ20" s="32" t="s">
        <v>24</v>
      </c>
      <c r="CA20" s="33" t="str">
        <f>'1 Setup'!I41</f>
        <v>WORCESTERSHIRE COUNTY COUNCIL</v>
      </c>
      <c r="CB20" s="34"/>
      <c r="CC20" s="34"/>
      <c r="CD20" s="34"/>
      <c r="CE20" s="4116" t="s">
        <v>20</v>
      </c>
      <c r="CF20" s="4116"/>
      <c r="CG20" s="4116"/>
      <c r="CH20" s="330"/>
      <c r="CI20" s="1574"/>
      <c r="CJ20" s="1574"/>
      <c r="CK20" s="1574"/>
      <c r="CL20" s="1574"/>
      <c r="CM20" s="1574"/>
      <c r="CN20" s="1574"/>
      <c r="CO20" s="325"/>
    </row>
    <row r="21" spans="1:93" ht="15" customHeight="1" thickBot="1" x14ac:dyDescent="0.35">
      <c r="A21" s="290"/>
      <c r="B21" s="290"/>
      <c r="C21" s="290"/>
      <c r="D21" s="290"/>
      <c r="E21" s="290"/>
      <c r="F21" s="290"/>
      <c r="G21" s="290"/>
      <c r="H21" s="290"/>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4099" t="s">
        <v>4120</v>
      </c>
      <c r="AN21" s="4099" t="s">
        <v>4121</v>
      </c>
      <c r="AO21" s="4099" t="s">
        <v>4125</v>
      </c>
      <c r="AP21" s="4099" t="s">
        <v>4122</v>
      </c>
      <c r="AQ21" s="4099" t="s">
        <v>4123</v>
      </c>
      <c r="AR21" s="4099" t="s">
        <v>4124</v>
      </c>
      <c r="AS21" s="290"/>
      <c r="AT21" s="760"/>
      <c r="AU21" s="4097"/>
      <c r="AV21" s="4098"/>
      <c r="AW21" s="1574"/>
      <c r="AX21" s="4087"/>
      <c r="AY21" s="4088"/>
      <c r="AZ21" s="4088"/>
      <c r="BA21" s="4088"/>
      <c r="BB21" s="4088"/>
      <c r="BC21" s="4088"/>
      <c r="BD21" s="4088"/>
      <c r="BE21" s="4088"/>
      <c r="BF21" s="4088"/>
      <c r="BG21" s="4089"/>
      <c r="BH21" s="760"/>
      <c r="BI21" s="2384">
        <v>0</v>
      </c>
      <c r="BJ21" s="4131">
        <v>0</v>
      </c>
      <c r="BK21" s="4132"/>
      <c r="BL21" s="2381" t="s">
        <v>2152</v>
      </c>
      <c r="BM21" s="1574"/>
      <c r="BN21" s="1574"/>
      <c r="BO21" s="1574"/>
      <c r="BP21" s="1574"/>
      <c r="BQ21" s="2336" t="s">
        <v>2664</v>
      </c>
      <c r="BR21" s="1574"/>
      <c r="BS21" s="1574"/>
      <c r="BT21" s="1574"/>
      <c r="BU21" s="1574"/>
      <c r="BV21" s="1574"/>
      <c r="BW21" s="329"/>
      <c r="BY21" s="352"/>
      <c r="BZ21" s="32" t="s">
        <v>25</v>
      </c>
      <c r="CA21" s="33" t="str">
        <f>'1 Setup'!I39</f>
        <v>Client PM's, Secondments &amp; Construction Support</v>
      </c>
      <c r="CE21" s="4116"/>
      <c r="CF21" s="4116"/>
      <c r="CG21" s="4116"/>
      <c r="CH21" s="330"/>
      <c r="CI21" s="1574"/>
      <c r="CJ21" s="1574"/>
      <c r="CK21" s="1574"/>
      <c r="CL21" s="1574"/>
      <c r="CM21" s="1574"/>
      <c r="CN21" s="1574"/>
      <c r="CO21" s="325"/>
    </row>
    <row r="22" spans="1:93" ht="23.25" customHeight="1" x14ac:dyDescent="0.3">
      <c r="A22" s="290"/>
      <c r="B22" s="1571">
        <f>'2 Staff List'!$AL$51</f>
        <v>0</v>
      </c>
      <c r="C22" s="706"/>
      <c r="D22" s="706"/>
      <c r="E22" s="1572" t="s">
        <v>475</v>
      </c>
      <c r="F22" s="706"/>
      <c r="G22" s="706"/>
      <c r="H22" s="706"/>
      <c r="I22" s="706"/>
      <c r="J22" s="707"/>
      <c r="K22" s="2359"/>
      <c r="L22" s="290"/>
      <c r="M22" s="1571">
        <f>'2 Staff List'!$V$51</f>
        <v>1</v>
      </c>
      <c r="N22" s="1563"/>
      <c r="O22" s="1563"/>
      <c r="P22" s="1564" t="s">
        <v>611</v>
      </c>
      <c r="Q22" s="1563"/>
      <c r="R22" s="1563"/>
      <c r="S22" s="1563"/>
      <c r="T22" s="1563"/>
      <c r="U22" s="1565"/>
      <c r="V22" s="2356"/>
      <c r="W22" s="290"/>
      <c r="X22" s="1573"/>
      <c r="Y22" s="698"/>
      <c r="Z22" s="699" t="s">
        <v>474</v>
      </c>
      <c r="AA22" s="698"/>
      <c r="AB22" s="698"/>
      <c r="AC22" s="698"/>
      <c r="AD22" s="698"/>
      <c r="AE22" s="698"/>
      <c r="AF22" s="700"/>
      <c r="AG22" s="2360"/>
      <c r="AH22" s="290"/>
      <c r="AI22" s="4099" t="s">
        <v>2671</v>
      </c>
      <c r="AJ22" s="4099" t="s">
        <v>2672</v>
      </c>
      <c r="AK22" s="2365"/>
      <c r="AL22" s="2789"/>
      <c r="AM22" s="4100"/>
      <c r="AN22" s="4100"/>
      <c r="AO22" s="4100"/>
      <c r="AP22" s="4100"/>
      <c r="AQ22" s="4100"/>
      <c r="AR22" s="4100"/>
      <c r="AS22" s="290"/>
      <c r="AT22" s="760"/>
      <c r="AU22" s="760"/>
      <c r="AV22" s="1574"/>
      <c r="AW22" s="1574"/>
      <c r="AX22" s="1574"/>
      <c r="AY22" s="1574"/>
      <c r="AZ22" s="1574"/>
      <c r="BA22" s="1574"/>
      <c r="BB22" s="1574"/>
      <c r="BC22" s="1574"/>
      <c r="BD22" s="1574"/>
      <c r="BE22" s="1574"/>
      <c r="BF22" s="1574"/>
      <c r="BG22" s="1581"/>
      <c r="BH22" s="760"/>
      <c r="BI22" s="1581"/>
      <c r="BJ22" s="1581"/>
      <c r="BK22" s="1576"/>
      <c r="BL22" s="1576"/>
      <c r="BM22" s="1581"/>
      <c r="BN22" s="1581"/>
      <c r="BO22" s="1581"/>
      <c r="BP22" s="1581"/>
      <c r="BQ22" s="2350" t="s">
        <v>2665</v>
      </c>
      <c r="BR22" s="1574"/>
      <c r="BS22" s="1574"/>
      <c r="BT22" s="1574"/>
      <c r="BU22" s="1581"/>
      <c r="BV22" s="1574"/>
      <c r="BW22" s="329"/>
      <c r="BX22" s="352"/>
      <c r="BY22" s="352"/>
      <c r="BZ22" s="32" t="s">
        <v>26</v>
      </c>
      <c r="CA22" s="33" t="str">
        <f>'5  Control Accounts'!EA17</f>
        <v>B2367205</v>
      </c>
      <c r="CE22" s="4116"/>
      <c r="CF22" s="4116"/>
      <c r="CG22" s="4116"/>
      <c r="CH22" s="330"/>
      <c r="CI22" s="1574"/>
      <c r="CJ22" s="1574"/>
      <c r="CK22" s="1574"/>
      <c r="CL22" s="1574"/>
      <c r="CM22" s="1574"/>
      <c r="CN22" s="1574"/>
      <c r="CO22" s="325"/>
    </row>
    <row r="23" spans="1:93" ht="13.5" customHeight="1" x14ac:dyDescent="0.3">
      <c r="A23" s="290"/>
      <c r="B23" s="4112" t="s">
        <v>1</v>
      </c>
      <c r="C23" s="4113"/>
      <c r="D23" s="708"/>
      <c r="E23" s="709" t="s">
        <v>93</v>
      </c>
      <c r="F23" s="710"/>
      <c r="G23" s="4128" t="s">
        <v>117</v>
      </c>
      <c r="H23" s="4113"/>
      <c r="I23" s="4114" t="s">
        <v>119</v>
      </c>
      <c r="J23" s="4114" t="s">
        <v>30</v>
      </c>
      <c r="K23" s="4114" t="s">
        <v>2312</v>
      </c>
      <c r="L23" s="290"/>
      <c r="M23" s="4125" t="s">
        <v>1</v>
      </c>
      <c r="N23" s="4126"/>
      <c r="O23" s="1566"/>
      <c r="P23" s="1567" t="s">
        <v>93</v>
      </c>
      <c r="Q23" s="1568"/>
      <c r="R23" s="4127" t="s">
        <v>117</v>
      </c>
      <c r="S23" s="4126"/>
      <c r="T23" s="4110" t="s">
        <v>119</v>
      </c>
      <c r="U23" s="4110" t="s">
        <v>30</v>
      </c>
      <c r="V23" s="4110" t="s">
        <v>2312</v>
      </c>
      <c r="W23" s="290"/>
      <c r="X23" s="4107" t="s">
        <v>1</v>
      </c>
      <c r="Y23" s="4108"/>
      <c r="Z23" s="701"/>
      <c r="AA23" s="702" t="s">
        <v>93</v>
      </c>
      <c r="AB23" s="703"/>
      <c r="AC23" s="4109" t="s">
        <v>117</v>
      </c>
      <c r="AD23" s="4108"/>
      <c r="AE23" s="4105" t="s">
        <v>119</v>
      </c>
      <c r="AF23" s="4105" t="s">
        <v>30</v>
      </c>
      <c r="AG23" s="4105" t="s">
        <v>2312</v>
      </c>
      <c r="AH23" s="290"/>
      <c r="AI23" s="4099"/>
      <c r="AJ23" s="4099"/>
      <c r="AK23" s="2365"/>
      <c r="AL23" s="2789"/>
      <c r="AM23" s="4100"/>
      <c r="AN23" s="4100"/>
      <c r="AO23" s="4100"/>
      <c r="AP23" s="4100"/>
      <c r="AQ23" s="4100"/>
      <c r="AR23" s="4100"/>
      <c r="AS23" s="290"/>
      <c r="AT23" s="760"/>
      <c r="AU23" s="760"/>
      <c r="AV23" s="1574"/>
      <c r="AW23" s="1574"/>
      <c r="AX23" s="4123" t="s">
        <v>1</v>
      </c>
      <c r="AY23" s="4124"/>
      <c r="AZ23" s="344"/>
      <c r="BA23" s="345" t="s">
        <v>93</v>
      </c>
      <c r="BB23" s="346"/>
      <c r="BC23" s="4123" t="s">
        <v>117</v>
      </c>
      <c r="BD23" s="4124"/>
      <c r="BE23" s="1576"/>
      <c r="BF23" s="1576"/>
      <c r="BG23" s="1581"/>
      <c r="BH23" s="760"/>
      <c r="BI23" s="4092" t="s">
        <v>2675</v>
      </c>
      <c r="BJ23" s="4093"/>
      <c r="BK23" s="4094"/>
      <c r="BL23" s="1576"/>
      <c r="BM23" s="1581"/>
      <c r="BN23" s="1581"/>
      <c r="BO23" s="1581"/>
      <c r="BP23" s="1581"/>
      <c r="BQ23" s="1574"/>
      <c r="BR23" s="1574"/>
      <c r="BS23" s="1574"/>
      <c r="BT23" s="1574"/>
      <c r="BU23" s="1581"/>
      <c r="BV23" s="1574"/>
      <c r="BW23" s="329"/>
      <c r="BX23" s="35"/>
      <c r="CE23" s="34"/>
      <c r="CF23" s="34"/>
      <c r="CG23" s="34"/>
      <c r="CH23" s="330"/>
      <c r="CI23" s="1574"/>
      <c r="CJ23" s="1574"/>
      <c r="CK23" s="1574"/>
      <c r="CL23" s="1574"/>
      <c r="CM23" s="1574"/>
      <c r="CN23" s="1574"/>
      <c r="CO23" s="325"/>
    </row>
    <row r="24" spans="1:93" ht="24" customHeight="1" thickBot="1" x14ac:dyDescent="0.35">
      <c r="A24" s="290"/>
      <c r="B24" s="711" t="s">
        <v>133</v>
      </c>
      <c r="C24" s="711" t="s">
        <v>139</v>
      </c>
      <c r="D24" s="712" t="s">
        <v>1383</v>
      </c>
      <c r="E24" s="712" t="s">
        <v>140</v>
      </c>
      <c r="F24" s="712" t="s">
        <v>31</v>
      </c>
      <c r="G24" s="712" t="s">
        <v>39</v>
      </c>
      <c r="H24" s="712" t="s">
        <v>31</v>
      </c>
      <c r="I24" s="4115"/>
      <c r="J24" s="4115"/>
      <c r="K24" s="4115"/>
      <c r="L24" s="290"/>
      <c r="M24" s="1569" t="s">
        <v>133</v>
      </c>
      <c r="N24" s="1569" t="s">
        <v>139</v>
      </c>
      <c r="O24" s="1570" t="s">
        <v>1383</v>
      </c>
      <c r="P24" s="1570" t="s">
        <v>140</v>
      </c>
      <c r="Q24" s="1570" t="s">
        <v>31</v>
      </c>
      <c r="R24" s="1570" t="s">
        <v>39</v>
      </c>
      <c r="S24" s="1570" t="s">
        <v>31</v>
      </c>
      <c r="T24" s="4111"/>
      <c r="U24" s="4111"/>
      <c r="V24" s="4111"/>
      <c r="W24" s="290"/>
      <c r="X24" s="704" t="s">
        <v>133</v>
      </c>
      <c r="Y24" s="704" t="s">
        <v>139</v>
      </c>
      <c r="Z24" s="705" t="s">
        <v>1383</v>
      </c>
      <c r="AA24" s="705" t="s">
        <v>140</v>
      </c>
      <c r="AB24" s="705" t="s">
        <v>31</v>
      </c>
      <c r="AC24" s="705" t="s">
        <v>39</v>
      </c>
      <c r="AD24" s="705" t="s">
        <v>31</v>
      </c>
      <c r="AE24" s="4106"/>
      <c r="AF24" s="4106"/>
      <c r="AG24" s="4106"/>
      <c r="AH24" s="290"/>
      <c r="AI24" s="4099"/>
      <c r="AJ24" s="4099"/>
      <c r="AK24" s="2365"/>
      <c r="AL24" s="2789"/>
      <c r="AM24" s="4101"/>
      <c r="AN24" s="4101"/>
      <c r="AO24" s="4101"/>
      <c r="AP24" s="4101"/>
      <c r="AQ24" s="4101"/>
      <c r="AR24" s="4101"/>
      <c r="AS24" s="290"/>
      <c r="AT24" s="760"/>
      <c r="AU24" s="760"/>
      <c r="AV24" s="1574"/>
      <c r="AW24" s="1574"/>
      <c r="AX24" s="350" t="s">
        <v>133</v>
      </c>
      <c r="AY24" s="350" t="s">
        <v>139</v>
      </c>
      <c r="AZ24" s="351" t="s">
        <v>229</v>
      </c>
      <c r="BA24" s="351" t="s">
        <v>1403</v>
      </c>
      <c r="BB24" s="351" t="s">
        <v>31</v>
      </c>
      <c r="BC24" s="351" t="s">
        <v>39</v>
      </c>
      <c r="BD24" s="351" t="s">
        <v>31</v>
      </c>
      <c r="BE24" s="1576"/>
      <c r="BF24" s="1576"/>
      <c r="BG24" s="1581"/>
      <c r="BH24" s="760"/>
      <c r="BI24" s="2375" t="s">
        <v>2674</v>
      </c>
      <c r="BJ24" s="4129" t="s">
        <v>2721</v>
      </c>
      <c r="BK24" s="4130"/>
      <c r="BL24" s="1576"/>
      <c r="BM24" s="1581"/>
      <c r="BN24" s="1581"/>
      <c r="BO24" s="1581"/>
      <c r="BP24" s="1581"/>
      <c r="BQ24" s="1574"/>
      <c r="BR24" s="1574"/>
      <c r="BS24" s="1574"/>
      <c r="BT24" s="1574"/>
      <c r="BU24" s="1581"/>
      <c r="BV24" s="1574"/>
      <c r="BW24" s="329"/>
      <c r="BX24" s="4117" t="s">
        <v>18</v>
      </c>
      <c r="BY24" s="4118"/>
      <c r="BZ24" s="4118"/>
      <c r="CA24" s="4118"/>
      <c r="CB24" s="4119"/>
      <c r="CC24" s="31"/>
      <c r="CD24" s="4120" t="s">
        <v>138</v>
      </c>
      <c r="CE24" s="4121"/>
      <c r="CF24" s="4121"/>
      <c r="CG24" s="4122"/>
      <c r="CH24" s="330"/>
      <c r="CI24" s="1574"/>
      <c r="CJ24" s="1574"/>
      <c r="CK24" s="1574"/>
      <c r="CL24" s="1574"/>
      <c r="CM24" s="1574"/>
      <c r="CN24" s="1574"/>
      <c r="CO24" s="325"/>
    </row>
    <row r="25" spans="1:93" s="21" customFormat="1" ht="26.25" customHeight="1" thickBot="1" x14ac:dyDescent="0.35">
      <c r="A25" s="347"/>
      <c r="B25" s="349">
        <f>SUMIFS('3a Staff Plan'!$T$129:$T$305,'3a Staff Plan'!$F$129:$F$305,"Approved")</f>
        <v>0</v>
      </c>
      <c r="C25" s="349">
        <f>SUMIFS('3a Staff Plan'!$U$129:$U$305,'3a Staff Plan'!$F$129:$F$305,"Approved")</f>
        <v>0</v>
      </c>
      <c r="D25" s="349">
        <f>SUMIFS('3a Staff Plan'!$Z$129:$Z$305,'3a Staff Plan'!$F$129:$F$305,"Approved")</f>
        <v>0</v>
      </c>
      <c r="E25" s="349">
        <f>SUMIFS('3a Staff Plan'!$Y$129:$Y$305,'3a Staff Plan'!$F$129:$F$305,"Approved")</f>
        <v>0</v>
      </c>
      <c r="F25" s="349">
        <f>SUMIFS('3a Staff Plan'!$X$129:$X$305,'3a Staff Plan'!$F$129:$F$305,"Approved")</f>
        <v>0</v>
      </c>
      <c r="G25" s="349">
        <f>SUMIFS('3a Staff Plan'!$AB$129:$AB$305,'3a Staff Plan'!$F$129:$F$305,"Approved")</f>
        <v>0</v>
      </c>
      <c r="H25" s="349">
        <f>SUMIFS('3a Staff Plan'!$AA$129:$AA$305,'3a Staff Plan'!$F$129:$F$305,"Approved")</f>
        <v>0</v>
      </c>
      <c r="I25" s="349">
        <f>F25+H25</f>
        <v>0</v>
      </c>
      <c r="J25" s="349">
        <f>I25-G25-E25</f>
        <v>0</v>
      </c>
      <c r="K25" s="2357"/>
      <c r="L25" s="347"/>
      <c r="M25" s="349">
        <f>SUMIFS('3b Activity Plan'!$T$173:$T$365,'3b Activity Plan'!$E$173:$E$365,"&gt;0")</f>
        <v>1363</v>
      </c>
      <c r="N25" s="349">
        <f>SUMIFS('3b Activity Plan'!$U$173:$U$365,'3b Activity Plan'!$F$173:$F$365,"Approved")</f>
        <v>0</v>
      </c>
      <c r="O25" s="349">
        <f>SUMIFS('3b Activity Plan'!$Z$173:$Z$365,'3b Activity Plan'!$F$173:$F$365,"Approved")</f>
        <v>0</v>
      </c>
      <c r="P25" s="349">
        <f>SUMIFS('3b Activity Plan'!$Y$173:$Y$365,'3b Activity Plan'!$F$173:$F$365,"Approved")</f>
        <v>0</v>
      </c>
      <c r="Q25" s="349">
        <f>SUMIFS('3b Activity Plan'!$X$173:$X$365,'3b Activity Plan'!$F$173:$F$365,"Approved")</f>
        <v>0</v>
      </c>
      <c r="R25" s="349">
        <f>SUMIFS('3b Activity Plan'!$AB$173:$AB$365,'3b Activity Plan'!$F$173:$F$365,"Approved")</f>
        <v>0</v>
      </c>
      <c r="S25" s="349">
        <f>SUMIFS('3b Activity Plan'!$AA$173:$AA$365,'3b Activity Plan'!$F$173:$F$365,"Approved")</f>
        <v>0</v>
      </c>
      <c r="T25" s="349">
        <f>Q25+S25</f>
        <v>0</v>
      </c>
      <c r="U25" s="349">
        <f>T25-R25-P25</f>
        <v>0</v>
      </c>
      <c r="V25" s="2357"/>
      <c r="W25" s="347"/>
      <c r="X25" s="349">
        <f t="shared" ref="X25:AF25" si="0">(B25*$B$22)+(M25*$M$22)</f>
        <v>1363</v>
      </c>
      <c r="Y25" s="349">
        <f t="shared" si="0"/>
        <v>0</v>
      </c>
      <c r="Z25" s="349">
        <f t="shared" si="0"/>
        <v>0</v>
      </c>
      <c r="AA25" s="349">
        <f t="shared" si="0"/>
        <v>0</v>
      </c>
      <c r="AB25" s="349">
        <f t="shared" si="0"/>
        <v>0</v>
      </c>
      <c r="AC25" s="349">
        <f t="shared" si="0"/>
        <v>0</v>
      </c>
      <c r="AD25" s="349">
        <f t="shared" si="0"/>
        <v>0</v>
      </c>
      <c r="AE25" s="349">
        <f t="shared" si="0"/>
        <v>0</v>
      </c>
      <c r="AF25" s="349">
        <f t="shared" si="0"/>
        <v>0</v>
      </c>
      <c r="AG25" s="2357"/>
      <c r="AH25" s="347"/>
      <c r="AI25" s="4099"/>
      <c r="AJ25" s="4099"/>
      <c r="AK25" s="691">
        <f>SUM(AK27:AK40)</f>
        <v>0</v>
      </c>
      <c r="AL25" s="2789"/>
      <c r="AM25" s="4102">
        <f>SUM(AM27:AR40)</f>
        <v>0</v>
      </c>
      <c r="AN25" s="4103"/>
      <c r="AO25" s="4103"/>
      <c r="AP25" s="4103"/>
      <c r="AQ25" s="4103"/>
      <c r="AR25" s="4104"/>
      <c r="AS25" s="347"/>
      <c r="AT25" s="1577"/>
      <c r="AU25" s="2370" t="s">
        <v>2673</v>
      </c>
      <c r="AV25" s="2371" t="s">
        <v>1191</v>
      </c>
      <c r="AW25" s="1574"/>
      <c r="AX25" s="322">
        <f t="shared" ref="AX25:BD25" si="1">X25</f>
        <v>1363</v>
      </c>
      <c r="AY25" s="322">
        <f t="shared" si="1"/>
        <v>0</v>
      </c>
      <c r="AZ25" s="322">
        <f t="shared" si="1"/>
        <v>0</v>
      </c>
      <c r="BA25" s="322">
        <f t="shared" si="1"/>
        <v>0</v>
      </c>
      <c r="BB25" s="323">
        <f t="shared" si="1"/>
        <v>0</v>
      </c>
      <c r="BC25" s="323">
        <f t="shared" si="1"/>
        <v>0</v>
      </c>
      <c r="BD25" s="322">
        <f t="shared" si="1"/>
        <v>0</v>
      </c>
      <c r="BE25" s="1576"/>
      <c r="BF25" s="1576"/>
      <c r="BG25" s="1581"/>
      <c r="BH25" s="760"/>
      <c r="BI25" s="2385">
        <f>SUM(BI27:BI40)</f>
        <v>0</v>
      </c>
      <c r="BJ25" s="4090">
        <f>AK25</f>
        <v>0</v>
      </c>
      <c r="BK25" s="4091"/>
      <c r="BL25" s="2381" t="s">
        <v>2403</v>
      </c>
      <c r="BM25" s="1581"/>
      <c r="BN25" s="1581"/>
      <c r="BO25" s="1581"/>
      <c r="BP25" s="1581"/>
      <c r="BQ25" s="2326" t="s">
        <v>1402</v>
      </c>
      <c r="BR25" s="2326" t="s">
        <v>19</v>
      </c>
      <c r="BS25" s="2326" t="s">
        <v>2626</v>
      </c>
      <c r="BT25" s="2326" t="s">
        <v>146</v>
      </c>
      <c r="BU25" s="2326" t="s">
        <v>2670</v>
      </c>
      <c r="BV25" s="1577"/>
      <c r="BW25" s="331"/>
      <c r="BX25" s="28" t="s">
        <v>1402</v>
      </c>
      <c r="BY25" s="30" t="s">
        <v>2626</v>
      </c>
      <c r="BZ25" s="30" t="s">
        <v>19</v>
      </c>
      <c r="CA25" s="30" t="s">
        <v>16</v>
      </c>
      <c r="CB25" s="29" t="s">
        <v>17</v>
      </c>
      <c r="CC25" s="320"/>
      <c r="CD25" s="332" t="s">
        <v>21</v>
      </c>
      <c r="CE25" s="332" t="s">
        <v>23</v>
      </c>
      <c r="CF25" s="2353" t="s">
        <v>2669</v>
      </c>
      <c r="CG25" s="332" t="s">
        <v>22</v>
      </c>
      <c r="CH25" s="333"/>
      <c r="CI25" s="1577"/>
      <c r="CJ25" s="1577"/>
      <c r="CK25" s="1577"/>
      <c r="CL25" s="1577"/>
      <c r="CM25" s="1577"/>
      <c r="CN25" s="1577"/>
      <c r="CO25" s="324"/>
    </row>
    <row r="26" spans="1:93" s="21" customFormat="1" ht="6" customHeight="1" x14ac:dyDescent="0.3">
      <c r="A26" s="347"/>
      <c r="B26" s="347"/>
      <c r="C26" s="347"/>
      <c r="D26" s="347"/>
      <c r="E26" s="347"/>
      <c r="F26" s="347"/>
      <c r="G26" s="347"/>
      <c r="H26" s="347"/>
      <c r="I26" s="347"/>
      <c r="J26" s="347"/>
      <c r="K26" s="347"/>
      <c r="L26" s="347"/>
      <c r="M26" s="347"/>
      <c r="N26" s="347"/>
      <c r="O26" s="347"/>
      <c r="P26" s="347"/>
      <c r="Q26" s="347"/>
      <c r="R26" s="347"/>
      <c r="S26" s="347"/>
      <c r="T26" s="347"/>
      <c r="U26" s="347"/>
      <c r="V26" s="347"/>
      <c r="W26" s="347"/>
      <c r="X26" s="347"/>
      <c r="Y26" s="347"/>
      <c r="Z26" s="347"/>
      <c r="AA26" s="347"/>
      <c r="AB26" s="347"/>
      <c r="AC26" s="347"/>
      <c r="AD26" s="347"/>
      <c r="AE26" s="347"/>
      <c r="AF26" s="347"/>
      <c r="AG26" s="347"/>
      <c r="AH26" s="347"/>
      <c r="AI26" s="347"/>
      <c r="AJ26" s="347"/>
      <c r="AK26" s="347"/>
      <c r="AL26" s="2789"/>
      <c r="AM26" s="290"/>
      <c r="AN26" s="290"/>
      <c r="AO26" s="290"/>
      <c r="AP26" s="290"/>
      <c r="AQ26" s="290"/>
      <c r="AR26" s="290"/>
      <c r="AS26" s="347"/>
      <c r="AT26" s="1577"/>
      <c r="AU26" s="1577"/>
      <c r="AV26" s="1574"/>
      <c r="AW26" s="1574"/>
      <c r="AX26" s="1577"/>
      <c r="AY26" s="1577"/>
      <c r="AZ26" s="1581"/>
      <c r="BA26" s="1581"/>
      <c r="BB26" s="1581"/>
      <c r="BC26" s="1581"/>
      <c r="BD26" s="1581"/>
      <c r="BE26" s="1576"/>
      <c r="BF26" s="1576"/>
      <c r="BG26" s="1581"/>
      <c r="BH26" s="760"/>
      <c r="BI26" s="1581"/>
      <c r="BJ26" s="1581"/>
      <c r="BK26" s="1576"/>
      <c r="BL26" s="1576"/>
      <c r="BM26" s="1581"/>
      <c r="BN26" s="1581"/>
      <c r="BO26" s="1581"/>
      <c r="BP26" s="1581"/>
      <c r="BQ26" s="1582" t="s">
        <v>1424</v>
      </c>
      <c r="BR26" s="1582"/>
      <c r="BS26" s="1582"/>
      <c r="BT26" s="1582"/>
      <c r="BU26" s="1581"/>
      <c r="BV26" s="1577"/>
      <c r="BW26" s="331"/>
      <c r="BX26" s="1226" t="s">
        <v>1195</v>
      </c>
      <c r="BY26" s="319"/>
      <c r="BZ26" s="37"/>
      <c r="CA26" s="37"/>
      <c r="CB26" s="38"/>
      <c r="CC26" s="320"/>
      <c r="CD26" s="320"/>
      <c r="CE26" s="320"/>
      <c r="CF26" s="320"/>
      <c r="CG26" s="320"/>
      <c r="CH26" s="333"/>
      <c r="CI26" s="1577"/>
      <c r="CJ26" s="1577"/>
      <c r="CK26" s="1577"/>
      <c r="CL26" s="1577"/>
      <c r="CM26" s="1577"/>
      <c r="CN26" s="1577"/>
      <c r="CO26" s="324"/>
    </row>
    <row r="27" spans="1:93" s="21" customFormat="1" ht="20.100000000000001" customHeight="1" x14ac:dyDescent="0.3">
      <c r="A27" s="347"/>
      <c r="B27" s="348">
        <f>SUMIFS('3a Staff Plan'!$T$129:$T$305,'3a Staff Plan'!$E$129:$E$305,$BQ27)</f>
        <v>0</v>
      </c>
      <c r="C27" s="348">
        <f>SUMIFS('3a Staff Plan'!$U$129:$U$305,'3a Staff Plan'!$E$129:$E$305,$BQ27)</f>
        <v>0</v>
      </c>
      <c r="D27" s="348">
        <f>SUMIFS('3a Staff Plan'!$Z$129:$Z$305,'3a Staff Plan'!$E$129:$E$305,$BQ27)</f>
        <v>0</v>
      </c>
      <c r="E27" s="348">
        <f>SUMIFS('3a Staff Plan'!$Y$129:$Y$305,'3a Staff Plan'!$E$129:$E$305,$BQ27)</f>
        <v>0</v>
      </c>
      <c r="F27" s="348">
        <f>SUMIFS('3a Staff Plan'!$X$129:$X$305,'3a Staff Plan'!$AG$129:$AG$305,1,'3a Staff Plan'!$E$129:$E$305,$BQ27)</f>
        <v>0</v>
      </c>
      <c r="G27" s="348">
        <f>SUMIFS('3a Staff Plan'!$AB$129:$AB$305,'3a Staff Plan'!$E$129:$E$305,$BQ27)</f>
        <v>0</v>
      </c>
      <c r="H27" s="348">
        <f>SUMIFS('3a Staff Plan'!$AA$129:$AA$305,'3a Staff Plan'!$AG$129:$AG$305,1,'3a Staff Plan'!$E$129:$E$305,$BQ27)</f>
        <v>0</v>
      </c>
      <c r="I27" s="348">
        <f>F27+H27</f>
        <v>0</v>
      </c>
      <c r="J27" s="348">
        <f>I27-G27-E27</f>
        <v>0</v>
      </c>
      <c r="K27" s="2358">
        <f>IFERROR(INDEX('3a Staff Plan'!$F$129:$F$305,MATCH(BQ27,'3a Staff Plan'!$E$129:$E$305,0)),0)</f>
        <v>0</v>
      </c>
      <c r="L27" s="347"/>
      <c r="M27" s="348">
        <f>SUMIFS('3b Activity Plan'!$T$173:$T$365,'3b Activity Plan'!$E$173:$E$365,$BQ27)</f>
        <v>0</v>
      </c>
      <c r="N27" s="348">
        <f>SUMIFS('3b Activity Plan'!$U$173:$U$365,'3b Activity Plan'!$E$173:$E$365,$BQ27)</f>
        <v>0</v>
      </c>
      <c r="O27" s="348">
        <f>SUMIFS('3b Activity Plan'!$Z$173:$Z$365,'3b Activity Plan'!$E$173:$E$365,$BQ27)</f>
        <v>0</v>
      </c>
      <c r="P27" s="348">
        <f>SUMIFS('3b Activity Plan'!$Y$173:$Y$365,'3b Activity Plan'!$E$173:$E$365,$BQ27)</f>
        <v>0</v>
      </c>
      <c r="Q27" s="348">
        <f>SUMIFS('3b Activity Plan'!$X$173:$X$365,'3b Activity Plan'!$AH$173:$AH$365,1,'3b Activity Plan'!$E$173:$E$365,$BQ27)</f>
        <v>0</v>
      </c>
      <c r="R27" s="348">
        <f>SUMIFS('3b Activity Plan'!$AB$173:$AB$365,'3b Activity Plan'!$E$173:$E$365,$BQ27)</f>
        <v>0</v>
      </c>
      <c r="S27" s="348">
        <f>SUMIFS('3b Activity Plan'!$AA$173:$AA$365,'3b Activity Plan'!$AH$173:$AH$365,1,'3b Activity Plan'!$E$173:$E$365,$BQ27)</f>
        <v>0</v>
      </c>
      <c r="T27" s="348">
        <f>Q27+S27</f>
        <v>0</v>
      </c>
      <c r="U27" s="348">
        <f>T27-R27-P27</f>
        <v>0</v>
      </c>
      <c r="V27" s="2358">
        <f>IFERROR(INDEX('3b Activity Plan'!$F$173:$F$365,MATCH(BQ27,'3b Activity Plan'!$E$173:$E$365,0)),0)</f>
        <v>0</v>
      </c>
      <c r="W27" s="347"/>
      <c r="X27" s="348">
        <f t="shared" ref="X27:X39" si="2">(B27*$B$22)+(M27*$M$22)</f>
        <v>0</v>
      </c>
      <c r="Y27" s="348">
        <f t="shared" ref="Y27:Y39" si="3">(C27*$B$22)+(N27*$M$22)</f>
        <v>0</v>
      </c>
      <c r="Z27" s="348">
        <f t="shared" ref="Z27:Z39" si="4">(D27*$B$22)+(O27*$M$22)</f>
        <v>0</v>
      </c>
      <c r="AA27" s="348">
        <f t="shared" ref="AA27:AA39" si="5">(E27*$B$22)+(P27*$M$22)</f>
        <v>0</v>
      </c>
      <c r="AB27" s="348">
        <f t="shared" ref="AB27:AB39" si="6">(F27*$B$22)+(Q27*$M$22)</f>
        <v>0</v>
      </c>
      <c r="AC27" s="348">
        <f t="shared" ref="AC27:AC39" si="7">(G27*$B$22)+(R27*$M$22)</f>
        <v>0</v>
      </c>
      <c r="AD27" s="348">
        <f t="shared" ref="AD27:AD39" si="8">(H27*$B$22)+(S27*$M$22)</f>
        <v>0</v>
      </c>
      <c r="AE27" s="348">
        <f t="shared" ref="AE27:AE39" si="9">(I27*$B$22)+(T27*$M$22)</f>
        <v>0</v>
      </c>
      <c r="AF27" s="348">
        <f t="shared" ref="AF27:AF39" si="10">(J27*$B$22)+(U27*$M$22)</f>
        <v>0</v>
      </c>
      <c r="AG27" s="2358">
        <f>IF($M$22=1,V27,K27)</f>
        <v>0</v>
      </c>
      <c r="AH27" s="347"/>
      <c r="AI27" s="537">
        <f t="shared" ref="AI27:AI39" si="11">IF(AND(BQ27&gt;0,OR(BG27="Pend w FC",BG27="Approved")),1,0)</f>
        <v>0</v>
      </c>
      <c r="AJ27" s="537">
        <f t="shared" ref="AJ27:AJ39" si="12">IF(AND(BG27="Approved",BQ27&gt;0),1,0)</f>
        <v>0</v>
      </c>
      <c r="AK27" s="1003">
        <f>IF(ISBLANK(BK27),BI27,BK27)</f>
        <v>0</v>
      </c>
      <c r="AL27" s="2789"/>
      <c r="AM27" s="3220">
        <f>IF(AND(NOT(ISBLANK($BQ27)),$BQ27=0),1,0)</f>
        <v>0</v>
      </c>
      <c r="AN27" s="3220">
        <f>IF(NOT(ISERROR(FIND("&amp;",$BQ27))),1,0)</f>
        <v>0</v>
      </c>
      <c r="AO27" s="3220">
        <f>IF(NOT(ISERROR(FIND("#",$BQ27))),1,0)</f>
        <v>0</v>
      </c>
      <c r="AP27" s="3220">
        <f>IF(NOT(ISERROR(FIND("!",$BQ27))),1,0)</f>
        <v>0</v>
      </c>
      <c r="AQ27" s="3220">
        <f t="shared" ref="AQ27:AQ39" si="13">IF(NOT(ISERROR(FIND(".",$BQ27))),1,0)</f>
        <v>0</v>
      </c>
      <c r="AR27" s="3220">
        <f>IF(NOT(ISERROR(FIND(":",$BQ27))),1,0)</f>
        <v>0</v>
      </c>
      <c r="AS27" s="347"/>
      <c r="AT27" s="1577"/>
      <c r="AU27" s="2363">
        <f>BQ27</f>
        <v>0</v>
      </c>
      <c r="AV27" s="2367">
        <f>BR27</f>
        <v>0</v>
      </c>
      <c r="AW27" s="1574"/>
      <c r="AX27" s="2362">
        <f t="shared" ref="AX27:AX39" si="14">X27</f>
        <v>0</v>
      </c>
      <c r="AY27" s="2362">
        <f t="shared" ref="AY27:AY39" si="15">Y27</f>
        <v>0</v>
      </c>
      <c r="AZ27" s="2362">
        <f t="shared" ref="AZ27:AZ39" si="16">Z27</f>
        <v>0</v>
      </c>
      <c r="BA27" s="2362">
        <f t="shared" ref="BA27:BA39" si="17">AA27</f>
        <v>0</v>
      </c>
      <c r="BB27" s="2361">
        <f t="shared" ref="BB27:BB39" si="18">AB27</f>
        <v>0</v>
      </c>
      <c r="BC27" s="2361">
        <f t="shared" ref="BC27:BC39" si="19">AC27</f>
        <v>0</v>
      </c>
      <c r="BD27" s="2361">
        <f t="shared" ref="BD27:BD39" si="20">AD27</f>
        <v>0</v>
      </c>
      <c r="BE27" s="1576"/>
      <c r="BF27" s="1576"/>
      <c r="BG27" s="2363">
        <f t="shared" ref="BG27:BG39" si="21">AG27</f>
        <v>0</v>
      </c>
      <c r="BH27" s="760"/>
      <c r="BI27" s="2374">
        <f>IF(BG27="Approved",BB27+BD27,0)</f>
        <v>0</v>
      </c>
      <c r="BJ27" s="2368">
        <f t="shared" ref="BJ27:BJ39" si="22">IF(BG27="Approved",TEXT(BB27+BD27,"#,###"),IF(BG27="Pend w FC","?????",IF(BQ27&gt;0,"-------",0)))</f>
        <v>0</v>
      </c>
      <c r="BK27" s="2373"/>
      <c r="BL27" s="1576"/>
      <c r="BM27" s="1581"/>
      <c r="BN27" s="1581"/>
      <c r="BO27" s="1581"/>
      <c r="BP27" s="1581"/>
      <c r="BQ27" s="2301"/>
      <c r="BR27" s="2328"/>
      <c r="BS27" s="2327"/>
      <c r="BT27" s="2325"/>
      <c r="BU27" s="2332"/>
      <c r="BV27" s="1577"/>
      <c r="BW27" s="331"/>
      <c r="BX27" s="2330">
        <f>BQ27</f>
        <v>0</v>
      </c>
      <c r="BY27" s="2331">
        <f>BS27</f>
        <v>0</v>
      </c>
      <c r="BZ27" s="2329">
        <f>BR27</f>
        <v>0</v>
      </c>
      <c r="CA27" s="342"/>
      <c r="CB27" s="343"/>
      <c r="CC27" s="320"/>
      <c r="CD27" s="335"/>
      <c r="CE27" s="2354"/>
      <c r="CF27" s="336"/>
      <c r="CG27" s="2355"/>
      <c r="CH27" s="333"/>
      <c r="CI27" s="1577"/>
      <c r="CJ27" s="1577"/>
      <c r="CK27" s="1577"/>
      <c r="CL27" s="1577"/>
      <c r="CM27" s="1577"/>
      <c r="CN27" s="1577"/>
      <c r="CO27" s="324"/>
    </row>
    <row r="28" spans="1:93" s="21" customFormat="1" ht="20.100000000000001" customHeight="1" x14ac:dyDescent="0.3">
      <c r="A28" s="347"/>
      <c r="B28" s="348">
        <f>SUMIFS('3a Staff Plan'!$T$129:$T$305,'3a Staff Plan'!$E$129:$E$305,$BQ28)</f>
        <v>0</v>
      </c>
      <c r="C28" s="348">
        <f>SUMIFS('3a Staff Plan'!$U$129:$U$305,'3a Staff Plan'!$E$129:$E$305,$BQ28)</f>
        <v>0</v>
      </c>
      <c r="D28" s="348">
        <f>SUMIFS('3a Staff Plan'!$Z$129:$Z$305,'3a Staff Plan'!$E$129:$E$305,$BQ28)</f>
        <v>0</v>
      </c>
      <c r="E28" s="348">
        <f>SUMIFS('3a Staff Plan'!$Y$129:$Y$305,'3a Staff Plan'!$E$129:$E$305,$BQ28)</f>
        <v>0</v>
      </c>
      <c r="F28" s="348">
        <f>SUMIFS('3a Staff Plan'!$X$129:$X$305,'3a Staff Plan'!$AG$129:$AG$305,1,'3a Staff Plan'!$E$129:$E$305,$BQ28)</f>
        <v>0</v>
      </c>
      <c r="G28" s="348">
        <f>SUMIFS('3a Staff Plan'!$AB$129:$AB$305,'3a Staff Plan'!$E$129:$E$305,$BQ28)</f>
        <v>0</v>
      </c>
      <c r="H28" s="348">
        <f>SUMIFS('3a Staff Plan'!$AA$129:$AA$305,'3a Staff Plan'!$AG$129:$AG$305,1,'3a Staff Plan'!$E$129:$E$305,$BQ28)</f>
        <v>0</v>
      </c>
      <c r="I28" s="348">
        <f t="shared" ref="I28:I39" si="23">F28+H28</f>
        <v>0</v>
      </c>
      <c r="J28" s="348">
        <f t="shared" ref="J28:J39" si="24">I28-G28-E28</f>
        <v>0</v>
      </c>
      <c r="K28" s="2358">
        <f>IFERROR(INDEX('3a Staff Plan'!$F$129:$F$305,MATCH(BQ28,'3a Staff Plan'!$E$129:$E$305,0)),0)</f>
        <v>0</v>
      </c>
      <c r="L28" s="347"/>
      <c r="M28" s="348">
        <f>SUMIFS('3b Activity Plan'!$T$173:$T$365,'3b Activity Plan'!$E$173:$E$365,$BQ28)</f>
        <v>0</v>
      </c>
      <c r="N28" s="348">
        <f>SUMIFS('3b Activity Plan'!$U$173:$U$365,'3b Activity Plan'!$E$173:$E$365,$BQ28)</f>
        <v>0</v>
      </c>
      <c r="O28" s="348">
        <f>SUMIFS('3b Activity Plan'!$Z$173:$Z$365,'3b Activity Plan'!$E$173:$E$365,$BQ28)</f>
        <v>0</v>
      </c>
      <c r="P28" s="348">
        <f>SUMIFS('3b Activity Plan'!$Y$173:$Y$365,'3b Activity Plan'!$E$173:$E$365,$BQ28)</f>
        <v>0</v>
      </c>
      <c r="Q28" s="348">
        <f>SUMIFS('3b Activity Plan'!$X$173:$X$365,'3b Activity Plan'!$AH$173:$AH$365,1,'3b Activity Plan'!$E$173:$E$365,$BQ28)</f>
        <v>0</v>
      </c>
      <c r="R28" s="348">
        <f>SUMIFS('3b Activity Plan'!$AB$173:$AB$365,'3b Activity Plan'!$E$173:$E$365,$BQ28)</f>
        <v>0</v>
      </c>
      <c r="S28" s="348">
        <f>SUMIFS('3b Activity Plan'!$AA$173:$AA$365,'3b Activity Plan'!$AH$173:$AH$365,1,'3b Activity Plan'!$E$173:$E$365,$BQ28)</f>
        <v>0</v>
      </c>
      <c r="T28" s="348">
        <f t="shared" ref="T28:T39" si="25">Q28+S28</f>
        <v>0</v>
      </c>
      <c r="U28" s="348">
        <f t="shared" ref="U28:U39" si="26">T28-R28-P28</f>
        <v>0</v>
      </c>
      <c r="V28" s="2358">
        <f>IFERROR(INDEX('3b Activity Plan'!$F$173:$F$365,MATCH(BQ28,'3b Activity Plan'!$E$173:$E$365,0)),0)</f>
        <v>0</v>
      </c>
      <c r="W28" s="347"/>
      <c r="X28" s="348">
        <f t="shared" si="2"/>
        <v>0</v>
      </c>
      <c r="Y28" s="348">
        <f t="shared" si="3"/>
        <v>0</v>
      </c>
      <c r="Z28" s="348">
        <f t="shared" si="4"/>
        <v>0</v>
      </c>
      <c r="AA28" s="348">
        <f t="shared" si="5"/>
        <v>0</v>
      </c>
      <c r="AB28" s="348">
        <f t="shared" si="6"/>
        <v>0</v>
      </c>
      <c r="AC28" s="348">
        <f t="shared" si="7"/>
        <v>0</v>
      </c>
      <c r="AD28" s="348">
        <f t="shared" si="8"/>
        <v>0</v>
      </c>
      <c r="AE28" s="348">
        <f t="shared" si="9"/>
        <v>0</v>
      </c>
      <c r="AF28" s="348">
        <f t="shared" si="10"/>
        <v>0</v>
      </c>
      <c r="AG28" s="2358">
        <f t="shared" ref="AG28:AG39" si="27">IF($M$22=1,V28,K28)</f>
        <v>0</v>
      </c>
      <c r="AH28" s="347"/>
      <c r="AI28" s="537">
        <f t="shared" si="11"/>
        <v>0</v>
      </c>
      <c r="AJ28" s="537">
        <f t="shared" si="12"/>
        <v>0</v>
      </c>
      <c r="AK28" s="1003">
        <f t="shared" ref="AK28:AK39" si="28">IF(ISBLANK(BK28),BI28,BK28)</f>
        <v>0</v>
      </c>
      <c r="AL28" s="2789"/>
      <c r="AM28" s="3220">
        <f t="shared" ref="AM28:AM39" si="29">IF(AND(NOT(ISBLANK($BQ28)),$BQ28=0),1,0)</f>
        <v>0</v>
      </c>
      <c r="AN28" s="3220">
        <f t="shared" ref="AN28:AN39" si="30">IF(NOT(ISERROR(FIND("&amp;",$BQ28))),1,0)</f>
        <v>0</v>
      </c>
      <c r="AO28" s="3220">
        <f t="shared" ref="AO28:AO39" si="31">IF(NOT(ISERROR(FIND("#",$BQ28))),1,0)</f>
        <v>0</v>
      </c>
      <c r="AP28" s="3220">
        <f t="shared" ref="AP28:AP39" si="32">IF(NOT(ISERROR(FIND("!",$BQ28))),1,0)</f>
        <v>0</v>
      </c>
      <c r="AQ28" s="3220">
        <f t="shared" si="13"/>
        <v>0</v>
      </c>
      <c r="AR28" s="3220">
        <f t="shared" ref="AR28:AR39" si="33">IF(NOT(ISERROR(FIND(":",$BQ28))),1,0)</f>
        <v>0</v>
      </c>
      <c r="AS28" s="347"/>
      <c r="AT28" s="1577"/>
      <c r="AU28" s="2363">
        <f t="shared" ref="AU28:AU39" si="34">BQ28</f>
        <v>0</v>
      </c>
      <c r="AV28" s="2367">
        <f t="shared" ref="AV28:AV39" si="35">BR28</f>
        <v>0</v>
      </c>
      <c r="AW28" s="1574"/>
      <c r="AX28" s="2362">
        <f t="shared" si="14"/>
        <v>0</v>
      </c>
      <c r="AY28" s="2362">
        <f t="shared" si="15"/>
        <v>0</v>
      </c>
      <c r="AZ28" s="2362">
        <f t="shared" si="16"/>
        <v>0</v>
      </c>
      <c r="BA28" s="2362">
        <f t="shared" si="17"/>
        <v>0</v>
      </c>
      <c r="BB28" s="2361">
        <f t="shared" si="18"/>
        <v>0</v>
      </c>
      <c r="BC28" s="2361">
        <f t="shared" si="19"/>
        <v>0</v>
      </c>
      <c r="BD28" s="2361">
        <f t="shared" si="20"/>
        <v>0</v>
      </c>
      <c r="BE28" s="1576"/>
      <c r="BF28" s="1576"/>
      <c r="BG28" s="2363">
        <f t="shared" si="21"/>
        <v>0</v>
      </c>
      <c r="BH28" s="760"/>
      <c r="BI28" s="2374">
        <f t="shared" ref="BI28:BI39" si="36">IF(BG28="Approved",BB28+BD28,0)</f>
        <v>0</v>
      </c>
      <c r="BJ28" s="2368">
        <f t="shared" si="22"/>
        <v>0</v>
      </c>
      <c r="BK28" s="2373"/>
      <c r="BL28" s="1576"/>
      <c r="BM28" s="1581"/>
      <c r="BN28" s="1581"/>
      <c r="BO28" s="1581"/>
      <c r="BP28" s="1581"/>
      <c r="BQ28" s="2302"/>
      <c r="BR28" s="2328"/>
      <c r="BS28" s="2327"/>
      <c r="BT28" s="2325"/>
      <c r="BU28" s="2332"/>
      <c r="BV28" s="1577"/>
      <c r="BW28" s="331"/>
      <c r="BX28" s="2330">
        <f t="shared" ref="BX28:BX39" si="37">BQ28</f>
        <v>0</v>
      </c>
      <c r="BY28" s="2331">
        <f t="shared" ref="BY28:BY39" si="38">BS28</f>
        <v>0</v>
      </c>
      <c r="BZ28" s="2329">
        <f t="shared" ref="BZ28:BZ39" si="39">BR28</f>
        <v>0</v>
      </c>
      <c r="CA28" s="342"/>
      <c r="CB28" s="343"/>
      <c r="CC28" s="320"/>
      <c r="CD28" s="335"/>
      <c r="CE28" s="2354"/>
      <c r="CF28" s="336"/>
      <c r="CG28" s="2355"/>
      <c r="CH28" s="333"/>
      <c r="CI28" s="1577"/>
      <c r="CJ28" s="1577"/>
      <c r="CK28" s="1577"/>
      <c r="CL28" s="1577"/>
      <c r="CM28" s="1577"/>
      <c r="CN28" s="1577"/>
      <c r="CO28" s="324"/>
    </row>
    <row r="29" spans="1:93" s="21" customFormat="1" ht="20.100000000000001" customHeight="1" x14ac:dyDescent="0.3">
      <c r="A29" s="347"/>
      <c r="B29" s="348">
        <f>SUMIFS('3a Staff Plan'!$T$129:$T$305,'3a Staff Plan'!$E$129:$E$305,$BQ29)</f>
        <v>0</v>
      </c>
      <c r="C29" s="348">
        <f>SUMIFS('3a Staff Plan'!$U$129:$U$305,'3a Staff Plan'!$E$129:$E$305,$BQ29)</f>
        <v>0</v>
      </c>
      <c r="D29" s="348">
        <f>SUMIFS('3a Staff Plan'!$Z$129:$Z$305,'3a Staff Plan'!$E$129:$E$305,$BQ29)</f>
        <v>0</v>
      </c>
      <c r="E29" s="348">
        <f>SUMIFS('3a Staff Plan'!$Y$129:$Y$305,'3a Staff Plan'!$E$129:$E$305,$BQ29)</f>
        <v>0</v>
      </c>
      <c r="F29" s="348">
        <f>SUMIFS('3a Staff Plan'!$X$129:$X$305,'3a Staff Plan'!$AG$129:$AG$305,1,'3a Staff Plan'!$E$129:$E$305,$BQ29)</f>
        <v>0</v>
      </c>
      <c r="G29" s="348">
        <f>SUMIFS('3a Staff Plan'!$AB$129:$AB$305,'3a Staff Plan'!$E$129:$E$305,$BQ29)</f>
        <v>0</v>
      </c>
      <c r="H29" s="348">
        <f>SUMIFS('3a Staff Plan'!$AA$129:$AA$305,'3a Staff Plan'!$AG$129:$AG$305,1,'3a Staff Plan'!$E$129:$E$305,$BQ29)</f>
        <v>0</v>
      </c>
      <c r="I29" s="348">
        <f t="shared" si="23"/>
        <v>0</v>
      </c>
      <c r="J29" s="348">
        <f t="shared" si="24"/>
        <v>0</v>
      </c>
      <c r="K29" s="2358">
        <f>IFERROR(INDEX('3a Staff Plan'!$F$129:$F$305,MATCH(BQ29,'3a Staff Plan'!$E$129:$E$305,0)),0)</f>
        <v>0</v>
      </c>
      <c r="L29" s="347"/>
      <c r="M29" s="348">
        <f>SUMIFS('3b Activity Plan'!$T$173:$T$365,'3b Activity Plan'!$E$173:$E$365,$BQ29)</f>
        <v>0</v>
      </c>
      <c r="N29" s="348">
        <f>SUMIFS('3b Activity Plan'!$U$173:$U$365,'3b Activity Plan'!$E$173:$E$365,$BQ29)</f>
        <v>0</v>
      </c>
      <c r="O29" s="348">
        <f>SUMIFS('3b Activity Plan'!$Z$173:$Z$365,'3b Activity Plan'!$E$173:$E$365,$BQ29)</f>
        <v>0</v>
      </c>
      <c r="P29" s="348">
        <f>SUMIFS('3b Activity Plan'!$Y$173:$Y$365,'3b Activity Plan'!$E$173:$E$365,$BQ29)</f>
        <v>0</v>
      </c>
      <c r="Q29" s="348">
        <f>SUMIFS('3b Activity Plan'!$X$173:$X$365,'3b Activity Plan'!$AH$173:$AH$365,1,'3b Activity Plan'!$E$173:$E$365,$BQ29)</f>
        <v>0</v>
      </c>
      <c r="R29" s="348">
        <f>SUMIFS('3b Activity Plan'!$AB$173:$AB$365,'3b Activity Plan'!$E$173:$E$365,$BQ29)</f>
        <v>0</v>
      </c>
      <c r="S29" s="348">
        <f>SUMIFS('3b Activity Plan'!$AA$173:$AA$365,'3b Activity Plan'!$AH$173:$AH$365,1,'3b Activity Plan'!$E$173:$E$365,$BQ29)</f>
        <v>0</v>
      </c>
      <c r="T29" s="348">
        <f t="shared" si="25"/>
        <v>0</v>
      </c>
      <c r="U29" s="348">
        <f t="shared" si="26"/>
        <v>0</v>
      </c>
      <c r="V29" s="2358">
        <f>IFERROR(INDEX('3b Activity Plan'!$F$173:$F$365,MATCH(BQ29,'3b Activity Plan'!$E$173:$E$365,0)),0)</f>
        <v>0</v>
      </c>
      <c r="W29" s="347"/>
      <c r="X29" s="348">
        <f t="shared" si="2"/>
        <v>0</v>
      </c>
      <c r="Y29" s="348">
        <f t="shared" si="3"/>
        <v>0</v>
      </c>
      <c r="Z29" s="348">
        <f t="shared" si="4"/>
        <v>0</v>
      </c>
      <c r="AA29" s="348">
        <f t="shared" si="5"/>
        <v>0</v>
      </c>
      <c r="AB29" s="348">
        <f t="shared" si="6"/>
        <v>0</v>
      </c>
      <c r="AC29" s="348">
        <f t="shared" si="7"/>
        <v>0</v>
      </c>
      <c r="AD29" s="348">
        <f t="shared" si="8"/>
        <v>0</v>
      </c>
      <c r="AE29" s="348">
        <f t="shared" si="9"/>
        <v>0</v>
      </c>
      <c r="AF29" s="348">
        <f t="shared" si="10"/>
        <v>0</v>
      </c>
      <c r="AG29" s="2358">
        <f t="shared" si="27"/>
        <v>0</v>
      </c>
      <c r="AH29" s="347"/>
      <c r="AI29" s="537">
        <f t="shared" si="11"/>
        <v>0</v>
      </c>
      <c r="AJ29" s="537">
        <f t="shared" si="12"/>
        <v>0</v>
      </c>
      <c r="AK29" s="1003">
        <f t="shared" si="28"/>
        <v>0</v>
      </c>
      <c r="AL29" s="2789"/>
      <c r="AM29" s="3220">
        <f t="shared" si="29"/>
        <v>0</v>
      </c>
      <c r="AN29" s="3220">
        <f t="shared" si="30"/>
        <v>0</v>
      </c>
      <c r="AO29" s="3220">
        <f t="shared" si="31"/>
        <v>0</v>
      </c>
      <c r="AP29" s="3220">
        <f t="shared" si="32"/>
        <v>0</v>
      </c>
      <c r="AQ29" s="3220">
        <f t="shared" si="13"/>
        <v>0</v>
      </c>
      <c r="AR29" s="3220">
        <f t="shared" si="33"/>
        <v>0</v>
      </c>
      <c r="AS29" s="347"/>
      <c r="AT29" s="1577"/>
      <c r="AU29" s="2363">
        <f t="shared" si="34"/>
        <v>0</v>
      </c>
      <c r="AV29" s="2367">
        <f t="shared" si="35"/>
        <v>0</v>
      </c>
      <c r="AW29" s="1574"/>
      <c r="AX29" s="2362">
        <f t="shared" si="14"/>
        <v>0</v>
      </c>
      <c r="AY29" s="2362">
        <f t="shared" si="15"/>
        <v>0</v>
      </c>
      <c r="AZ29" s="2362">
        <f t="shared" si="16"/>
        <v>0</v>
      </c>
      <c r="BA29" s="2362">
        <f t="shared" si="17"/>
        <v>0</v>
      </c>
      <c r="BB29" s="2361">
        <f t="shared" si="18"/>
        <v>0</v>
      </c>
      <c r="BC29" s="2361">
        <f t="shared" si="19"/>
        <v>0</v>
      </c>
      <c r="BD29" s="2361">
        <f t="shared" si="20"/>
        <v>0</v>
      </c>
      <c r="BE29" s="1576"/>
      <c r="BF29" s="1576"/>
      <c r="BG29" s="2363">
        <f t="shared" si="21"/>
        <v>0</v>
      </c>
      <c r="BH29" s="760"/>
      <c r="BI29" s="2374">
        <f t="shared" si="36"/>
        <v>0</v>
      </c>
      <c r="BJ29" s="2368">
        <f t="shared" si="22"/>
        <v>0</v>
      </c>
      <c r="BK29" s="2373"/>
      <c r="BL29" s="1576"/>
      <c r="BM29" s="1581"/>
      <c r="BN29" s="1581"/>
      <c r="BO29" s="1581"/>
      <c r="BP29" s="1581"/>
      <c r="BQ29" s="2302"/>
      <c r="BR29" s="2328"/>
      <c r="BS29" s="2327"/>
      <c r="BT29" s="2325"/>
      <c r="BU29" s="2332"/>
      <c r="BV29" s="1577"/>
      <c r="BW29" s="331"/>
      <c r="BX29" s="2330">
        <f t="shared" si="37"/>
        <v>0</v>
      </c>
      <c r="BY29" s="2331">
        <f t="shared" si="38"/>
        <v>0</v>
      </c>
      <c r="BZ29" s="2329">
        <f t="shared" si="39"/>
        <v>0</v>
      </c>
      <c r="CA29" s="342"/>
      <c r="CB29" s="343"/>
      <c r="CC29" s="320"/>
      <c r="CD29" s="335"/>
      <c r="CE29" s="2354"/>
      <c r="CF29" s="336"/>
      <c r="CG29" s="2355"/>
      <c r="CH29" s="333"/>
      <c r="CI29" s="1577"/>
      <c r="CJ29" s="1577"/>
      <c r="CK29" s="1577"/>
      <c r="CL29" s="1577"/>
      <c r="CM29" s="1577"/>
      <c r="CN29" s="1577"/>
      <c r="CO29" s="324"/>
    </row>
    <row r="30" spans="1:93" s="21" customFormat="1" ht="20.100000000000001" customHeight="1" x14ac:dyDescent="0.3">
      <c r="A30" s="347"/>
      <c r="B30" s="348">
        <f>SUMIFS('3a Staff Plan'!$T$129:$T$305,'3a Staff Plan'!$E$129:$E$305,$BQ30)</f>
        <v>0</v>
      </c>
      <c r="C30" s="348">
        <f>SUMIFS('3a Staff Plan'!$U$129:$U$305,'3a Staff Plan'!$E$129:$E$305,$BQ30)</f>
        <v>0</v>
      </c>
      <c r="D30" s="348">
        <f>SUMIFS('3a Staff Plan'!$Z$129:$Z$305,'3a Staff Plan'!$E$129:$E$305,$BQ30)</f>
        <v>0</v>
      </c>
      <c r="E30" s="348">
        <f>SUMIFS('3a Staff Plan'!$Y$129:$Y$305,'3a Staff Plan'!$E$129:$E$305,$BQ30)</f>
        <v>0</v>
      </c>
      <c r="F30" s="348">
        <f>SUMIFS('3a Staff Plan'!$X$129:$X$305,'3a Staff Plan'!$AG$129:$AG$305,1,'3a Staff Plan'!$E$129:$E$305,$BQ30)</f>
        <v>0</v>
      </c>
      <c r="G30" s="348">
        <f>SUMIFS('3a Staff Plan'!$AB$129:$AB$305,'3a Staff Plan'!$E$129:$E$305,$BQ30)</f>
        <v>0</v>
      </c>
      <c r="H30" s="348">
        <f>SUMIFS('3a Staff Plan'!$AA$129:$AA$305,'3a Staff Plan'!$AG$129:$AG$305,1,'3a Staff Plan'!$E$129:$E$305,$BQ30)</f>
        <v>0</v>
      </c>
      <c r="I30" s="348">
        <f t="shared" si="23"/>
        <v>0</v>
      </c>
      <c r="J30" s="348">
        <f t="shared" si="24"/>
        <v>0</v>
      </c>
      <c r="K30" s="2358">
        <f>IFERROR(INDEX('3a Staff Plan'!$F$129:$F$305,MATCH(BQ30,'3a Staff Plan'!$E$129:$E$305,0)),0)</f>
        <v>0</v>
      </c>
      <c r="L30" s="347"/>
      <c r="M30" s="348">
        <f>SUMIFS('3b Activity Plan'!$T$173:$T$365,'3b Activity Plan'!$E$173:$E$365,$BQ30)</f>
        <v>0</v>
      </c>
      <c r="N30" s="348">
        <f>SUMIFS('3b Activity Plan'!$U$173:$U$365,'3b Activity Plan'!$E$173:$E$365,$BQ30)</f>
        <v>0</v>
      </c>
      <c r="O30" s="348">
        <f>SUMIFS('3b Activity Plan'!$Z$173:$Z$365,'3b Activity Plan'!$E$173:$E$365,$BQ30)</f>
        <v>0</v>
      </c>
      <c r="P30" s="348">
        <f>SUMIFS('3b Activity Plan'!$Y$173:$Y$365,'3b Activity Plan'!$E$173:$E$365,$BQ30)</f>
        <v>0</v>
      </c>
      <c r="Q30" s="348">
        <f>SUMIFS('3b Activity Plan'!$X$173:$X$365,'3b Activity Plan'!$AH$173:$AH$365,1,'3b Activity Plan'!$E$173:$E$365,$BQ30)</f>
        <v>0</v>
      </c>
      <c r="R30" s="348">
        <f>SUMIFS('3b Activity Plan'!$AB$173:$AB$365,'3b Activity Plan'!$E$173:$E$365,$BQ30)</f>
        <v>0</v>
      </c>
      <c r="S30" s="348">
        <f>SUMIFS('3b Activity Plan'!$AA$173:$AA$365,'3b Activity Plan'!$AH$173:$AH$365,1,'3b Activity Plan'!$E$173:$E$365,$BQ30)</f>
        <v>0</v>
      </c>
      <c r="T30" s="348">
        <f t="shared" si="25"/>
        <v>0</v>
      </c>
      <c r="U30" s="348">
        <f t="shared" si="26"/>
        <v>0</v>
      </c>
      <c r="V30" s="2358">
        <f>IFERROR(INDEX('3b Activity Plan'!$F$173:$F$365,MATCH(BQ30,'3b Activity Plan'!$E$173:$E$365,0)),0)</f>
        <v>0</v>
      </c>
      <c r="W30" s="347"/>
      <c r="X30" s="348">
        <f t="shared" si="2"/>
        <v>0</v>
      </c>
      <c r="Y30" s="348">
        <f t="shared" si="3"/>
        <v>0</v>
      </c>
      <c r="Z30" s="348">
        <f t="shared" si="4"/>
        <v>0</v>
      </c>
      <c r="AA30" s="348">
        <f t="shared" si="5"/>
        <v>0</v>
      </c>
      <c r="AB30" s="348">
        <f t="shared" si="6"/>
        <v>0</v>
      </c>
      <c r="AC30" s="348">
        <f t="shared" si="7"/>
        <v>0</v>
      </c>
      <c r="AD30" s="348">
        <f t="shared" si="8"/>
        <v>0</v>
      </c>
      <c r="AE30" s="348">
        <f t="shared" si="9"/>
        <v>0</v>
      </c>
      <c r="AF30" s="348">
        <f t="shared" si="10"/>
        <v>0</v>
      </c>
      <c r="AG30" s="2358">
        <f t="shared" si="27"/>
        <v>0</v>
      </c>
      <c r="AH30" s="347"/>
      <c r="AI30" s="537">
        <f t="shared" si="11"/>
        <v>0</v>
      </c>
      <c r="AJ30" s="537">
        <f t="shared" si="12"/>
        <v>0</v>
      </c>
      <c r="AK30" s="1003">
        <f t="shared" si="28"/>
        <v>0</v>
      </c>
      <c r="AL30" s="2789"/>
      <c r="AM30" s="3220">
        <f t="shared" si="29"/>
        <v>0</v>
      </c>
      <c r="AN30" s="3220">
        <f t="shared" si="30"/>
        <v>0</v>
      </c>
      <c r="AO30" s="3220">
        <f t="shared" si="31"/>
        <v>0</v>
      </c>
      <c r="AP30" s="3220">
        <f t="shared" si="32"/>
        <v>0</v>
      </c>
      <c r="AQ30" s="3220">
        <f t="shared" si="13"/>
        <v>0</v>
      </c>
      <c r="AR30" s="3220">
        <f t="shared" si="33"/>
        <v>0</v>
      </c>
      <c r="AS30" s="347"/>
      <c r="AT30" s="1577"/>
      <c r="AU30" s="2363">
        <f t="shared" si="34"/>
        <v>0</v>
      </c>
      <c r="AV30" s="2367">
        <f t="shared" si="35"/>
        <v>0</v>
      </c>
      <c r="AW30" s="1574"/>
      <c r="AX30" s="2362">
        <f t="shared" si="14"/>
        <v>0</v>
      </c>
      <c r="AY30" s="2362">
        <f t="shared" si="15"/>
        <v>0</v>
      </c>
      <c r="AZ30" s="2362">
        <f t="shared" si="16"/>
        <v>0</v>
      </c>
      <c r="BA30" s="2362">
        <f t="shared" si="17"/>
        <v>0</v>
      </c>
      <c r="BB30" s="2361">
        <f t="shared" si="18"/>
        <v>0</v>
      </c>
      <c r="BC30" s="2361">
        <f t="shared" si="19"/>
        <v>0</v>
      </c>
      <c r="BD30" s="2361">
        <f t="shared" si="20"/>
        <v>0</v>
      </c>
      <c r="BE30" s="1576"/>
      <c r="BF30" s="1576"/>
      <c r="BG30" s="2363">
        <f t="shared" si="21"/>
        <v>0</v>
      </c>
      <c r="BH30" s="760"/>
      <c r="BI30" s="2374">
        <f t="shared" si="36"/>
        <v>0</v>
      </c>
      <c r="BJ30" s="2368">
        <f t="shared" si="22"/>
        <v>0</v>
      </c>
      <c r="BK30" s="2373"/>
      <c r="BL30" s="1576"/>
      <c r="BM30" s="1581"/>
      <c r="BN30" s="1581"/>
      <c r="BO30" s="1581"/>
      <c r="BP30" s="1581"/>
      <c r="BQ30" s="2302"/>
      <c r="BR30" s="2328"/>
      <c r="BS30" s="2327"/>
      <c r="BT30" s="2325"/>
      <c r="BU30" s="2332"/>
      <c r="BV30" s="1577"/>
      <c r="BW30" s="331"/>
      <c r="BX30" s="2330">
        <f t="shared" si="37"/>
        <v>0</v>
      </c>
      <c r="BY30" s="2331">
        <f t="shared" si="38"/>
        <v>0</v>
      </c>
      <c r="BZ30" s="2329">
        <f t="shared" si="39"/>
        <v>0</v>
      </c>
      <c r="CA30" s="334"/>
      <c r="CB30" s="343"/>
      <c r="CC30" s="320"/>
      <c r="CD30" s="335"/>
      <c r="CE30" s="2354"/>
      <c r="CF30" s="336"/>
      <c r="CG30" s="2355"/>
      <c r="CH30" s="333"/>
      <c r="CI30" s="1577"/>
      <c r="CJ30" s="1577"/>
      <c r="CK30" s="1577"/>
      <c r="CL30" s="1577"/>
      <c r="CM30" s="1577"/>
      <c r="CN30" s="1577"/>
      <c r="CO30" s="324"/>
    </row>
    <row r="31" spans="1:93" s="21" customFormat="1" ht="20.100000000000001" customHeight="1" x14ac:dyDescent="0.3">
      <c r="A31" s="347"/>
      <c r="B31" s="348">
        <f>SUMIFS('3a Staff Plan'!$T$129:$T$305,'3a Staff Plan'!$E$129:$E$305,$BQ31)</f>
        <v>0</v>
      </c>
      <c r="C31" s="348">
        <f>SUMIFS('3a Staff Plan'!$U$129:$U$305,'3a Staff Plan'!$E$129:$E$305,$BQ31)</f>
        <v>0</v>
      </c>
      <c r="D31" s="348">
        <f>SUMIFS('3a Staff Plan'!$Z$129:$Z$305,'3a Staff Plan'!$E$129:$E$305,$BQ31)</f>
        <v>0</v>
      </c>
      <c r="E31" s="348">
        <f>SUMIFS('3a Staff Plan'!$Y$129:$Y$305,'3a Staff Plan'!$E$129:$E$305,$BQ31)</f>
        <v>0</v>
      </c>
      <c r="F31" s="348">
        <f>SUMIFS('3a Staff Plan'!$X$129:$X$305,'3a Staff Plan'!$AG$129:$AG$305,1,'3a Staff Plan'!$E$129:$E$305,$BQ31)</f>
        <v>0</v>
      </c>
      <c r="G31" s="348">
        <f>SUMIFS('3a Staff Plan'!$AB$129:$AB$305,'3a Staff Plan'!$E$129:$E$305,$BQ31)</f>
        <v>0</v>
      </c>
      <c r="H31" s="348">
        <f>SUMIFS('3a Staff Plan'!$AA$129:$AA$305,'3a Staff Plan'!$AG$129:$AG$305,1,'3a Staff Plan'!$E$129:$E$305,$BQ31)</f>
        <v>0</v>
      </c>
      <c r="I31" s="348">
        <f t="shared" si="23"/>
        <v>0</v>
      </c>
      <c r="J31" s="348">
        <f t="shared" si="24"/>
        <v>0</v>
      </c>
      <c r="K31" s="2358">
        <f>IFERROR(INDEX('3a Staff Plan'!$F$129:$F$305,MATCH(BQ31,'3a Staff Plan'!$E$129:$E$305,0)),0)</f>
        <v>0</v>
      </c>
      <c r="L31" s="347"/>
      <c r="M31" s="348">
        <f>SUMIFS('3b Activity Plan'!$T$173:$T$365,'3b Activity Plan'!$E$173:$E$365,$BQ31)</f>
        <v>0</v>
      </c>
      <c r="N31" s="348">
        <f>SUMIFS('3b Activity Plan'!$U$173:$U$365,'3b Activity Plan'!$E$173:$E$365,$BQ31)</f>
        <v>0</v>
      </c>
      <c r="O31" s="348">
        <f>SUMIFS('3b Activity Plan'!$Z$173:$Z$365,'3b Activity Plan'!$E$173:$E$365,$BQ31)</f>
        <v>0</v>
      </c>
      <c r="P31" s="348">
        <f>SUMIFS('3b Activity Plan'!$Y$173:$Y$365,'3b Activity Plan'!$E$173:$E$365,$BQ31)</f>
        <v>0</v>
      </c>
      <c r="Q31" s="348">
        <f>SUMIFS('3b Activity Plan'!$X$173:$X$365,'3b Activity Plan'!$AH$173:$AH$365,1,'3b Activity Plan'!$E$173:$E$365,$BQ31)</f>
        <v>0</v>
      </c>
      <c r="R31" s="348">
        <f>SUMIFS('3b Activity Plan'!$AB$173:$AB$365,'3b Activity Plan'!$E$173:$E$365,$BQ31)</f>
        <v>0</v>
      </c>
      <c r="S31" s="348">
        <f>SUMIFS('3b Activity Plan'!$AA$173:$AA$365,'3b Activity Plan'!$AH$173:$AH$365,1,'3b Activity Plan'!$E$173:$E$365,$BQ31)</f>
        <v>0</v>
      </c>
      <c r="T31" s="348">
        <f t="shared" si="25"/>
        <v>0</v>
      </c>
      <c r="U31" s="348">
        <f t="shared" si="26"/>
        <v>0</v>
      </c>
      <c r="V31" s="2358">
        <f>IFERROR(INDEX('3b Activity Plan'!$F$173:$F$365,MATCH(BQ31,'3b Activity Plan'!$E$173:$E$365,0)),0)</f>
        <v>0</v>
      </c>
      <c r="W31" s="347"/>
      <c r="X31" s="348">
        <f t="shared" si="2"/>
        <v>0</v>
      </c>
      <c r="Y31" s="348">
        <f t="shared" si="3"/>
        <v>0</v>
      </c>
      <c r="Z31" s="348">
        <f t="shared" si="4"/>
        <v>0</v>
      </c>
      <c r="AA31" s="348">
        <f t="shared" si="5"/>
        <v>0</v>
      </c>
      <c r="AB31" s="348">
        <f t="shared" si="6"/>
        <v>0</v>
      </c>
      <c r="AC31" s="348">
        <f t="shared" si="7"/>
        <v>0</v>
      </c>
      <c r="AD31" s="348">
        <f t="shared" si="8"/>
        <v>0</v>
      </c>
      <c r="AE31" s="348">
        <f t="shared" si="9"/>
        <v>0</v>
      </c>
      <c r="AF31" s="348">
        <f t="shared" si="10"/>
        <v>0</v>
      </c>
      <c r="AG31" s="2358">
        <f t="shared" si="27"/>
        <v>0</v>
      </c>
      <c r="AH31" s="347"/>
      <c r="AI31" s="537">
        <f t="shared" si="11"/>
        <v>0</v>
      </c>
      <c r="AJ31" s="537">
        <f t="shared" si="12"/>
        <v>0</v>
      </c>
      <c r="AK31" s="1003">
        <f t="shared" si="28"/>
        <v>0</v>
      </c>
      <c r="AL31" s="2789"/>
      <c r="AM31" s="3220">
        <f t="shared" si="29"/>
        <v>0</v>
      </c>
      <c r="AN31" s="3220">
        <f t="shared" si="30"/>
        <v>0</v>
      </c>
      <c r="AO31" s="3220">
        <f t="shared" si="31"/>
        <v>0</v>
      </c>
      <c r="AP31" s="3220">
        <f t="shared" si="32"/>
        <v>0</v>
      </c>
      <c r="AQ31" s="3220">
        <f t="shared" si="13"/>
        <v>0</v>
      </c>
      <c r="AR31" s="3220">
        <f t="shared" si="33"/>
        <v>0</v>
      </c>
      <c r="AS31" s="347"/>
      <c r="AT31" s="1577"/>
      <c r="AU31" s="2363">
        <f t="shared" si="34"/>
        <v>0</v>
      </c>
      <c r="AV31" s="2367">
        <f t="shared" si="35"/>
        <v>0</v>
      </c>
      <c r="AW31" s="1574"/>
      <c r="AX31" s="2362">
        <f t="shared" si="14"/>
        <v>0</v>
      </c>
      <c r="AY31" s="2362">
        <f t="shared" si="15"/>
        <v>0</v>
      </c>
      <c r="AZ31" s="2362">
        <f t="shared" si="16"/>
        <v>0</v>
      </c>
      <c r="BA31" s="2362">
        <f t="shared" si="17"/>
        <v>0</v>
      </c>
      <c r="BB31" s="2361">
        <f t="shared" si="18"/>
        <v>0</v>
      </c>
      <c r="BC31" s="2361">
        <f t="shared" si="19"/>
        <v>0</v>
      </c>
      <c r="BD31" s="2361">
        <f t="shared" si="20"/>
        <v>0</v>
      </c>
      <c r="BE31" s="1576"/>
      <c r="BF31" s="1576"/>
      <c r="BG31" s="2363">
        <f t="shared" si="21"/>
        <v>0</v>
      </c>
      <c r="BH31" s="760"/>
      <c r="BI31" s="2374">
        <f t="shared" si="36"/>
        <v>0</v>
      </c>
      <c r="BJ31" s="2368">
        <f t="shared" si="22"/>
        <v>0</v>
      </c>
      <c r="BK31" s="2373"/>
      <c r="BL31" s="1576"/>
      <c r="BM31" s="1581"/>
      <c r="BN31" s="1581"/>
      <c r="BO31" s="1581"/>
      <c r="BP31" s="1581"/>
      <c r="BQ31" s="2302"/>
      <c r="BR31" s="2328"/>
      <c r="BS31" s="2327"/>
      <c r="BT31" s="2325"/>
      <c r="BU31" s="2332"/>
      <c r="BV31" s="1577"/>
      <c r="BW31" s="331"/>
      <c r="BX31" s="2330">
        <f t="shared" si="37"/>
        <v>0</v>
      </c>
      <c r="BY31" s="2331">
        <f t="shared" si="38"/>
        <v>0</v>
      </c>
      <c r="BZ31" s="2329">
        <f t="shared" si="39"/>
        <v>0</v>
      </c>
      <c r="CA31" s="334"/>
      <c r="CB31" s="343"/>
      <c r="CC31" s="320"/>
      <c r="CD31" s="335"/>
      <c r="CE31" s="2354"/>
      <c r="CF31" s="336"/>
      <c r="CG31" s="2355"/>
      <c r="CH31" s="333"/>
      <c r="CI31" s="1577"/>
      <c r="CJ31" s="1577"/>
      <c r="CK31" s="1577"/>
      <c r="CL31" s="1577"/>
      <c r="CM31" s="1577"/>
      <c r="CN31" s="1577"/>
      <c r="CO31" s="324"/>
    </row>
    <row r="32" spans="1:93" s="21" customFormat="1" ht="20.100000000000001" customHeight="1" x14ac:dyDescent="0.3">
      <c r="A32" s="347"/>
      <c r="B32" s="348">
        <f>SUMIFS('3a Staff Plan'!$T$129:$T$305,'3a Staff Plan'!$E$129:$E$305,$BQ32)</f>
        <v>0</v>
      </c>
      <c r="C32" s="348">
        <f>SUMIFS('3a Staff Plan'!$U$129:$U$305,'3a Staff Plan'!$E$129:$E$305,$BQ32)</f>
        <v>0</v>
      </c>
      <c r="D32" s="348">
        <f>SUMIFS('3a Staff Plan'!$Z$129:$Z$305,'3a Staff Plan'!$E$129:$E$305,$BQ32)</f>
        <v>0</v>
      </c>
      <c r="E32" s="348">
        <f>SUMIFS('3a Staff Plan'!$Y$129:$Y$305,'3a Staff Plan'!$E$129:$E$305,$BQ32)</f>
        <v>0</v>
      </c>
      <c r="F32" s="348">
        <f>SUMIFS('3a Staff Plan'!$X$129:$X$305,'3a Staff Plan'!$AG$129:$AG$305,1,'3a Staff Plan'!$E$129:$E$305,$BQ32)</f>
        <v>0</v>
      </c>
      <c r="G32" s="348">
        <f>SUMIFS('3a Staff Plan'!$AB$129:$AB$305,'3a Staff Plan'!$E$129:$E$305,$BQ32)</f>
        <v>0</v>
      </c>
      <c r="H32" s="348">
        <f>SUMIFS('3a Staff Plan'!$AA$129:$AA$305,'3a Staff Plan'!$AG$129:$AG$305,1,'3a Staff Plan'!$E$129:$E$305,$BQ32)</f>
        <v>0</v>
      </c>
      <c r="I32" s="348">
        <f t="shared" si="23"/>
        <v>0</v>
      </c>
      <c r="J32" s="348">
        <f t="shared" si="24"/>
        <v>0</v>
      </c>
      <c r="K32" s="2358">
        <f>IFERROR(INDEX('3a Staff Plan'!$F$129:$F$305,MATCH(BQ32,'3a Staff Plan'!$E$129:$E$305,0)),0)</f>
        <v>0</v>
      </c>
      <c r="L32" s="347"/>
      <c r="M32" s="348">
        <f>SUMIFS('3b Activity Plan'!$T$173:$T$365,'3b Activity Plan'!$E$173:$E$365,$BQ32)</f>
        <v>0</v>
      </c>
      <c r="N32" s="348">
        <f>SUMIFS('3b Activity Plan'!$U$173:$U$365,'3b Activity Plan'!$E$173:$E$365,$BQ32)</f>
        <v>0</v>
      </c>
      <c r="O32" s="348">
        <f>SUMIFS('3b Activity Plan'!$Z$173:$Z$365,'3b Activity Plan'!$E$173:$E$365,$BQ32)</f>
        <v>0</v>
      </c>
      <c r="P32" s="348">
        <f>SUMIFS('3b Activity Plan'!$Y$173:$Y$365,'3b Activity Plan'!$E$173:$E$365,$BQ32)</f>
        <v>0</v>
      </c>
      <c r="Q32" s="348">
        <f>SUMIFS('3b Activity Plan'!$X$173:$X$365,'3b Activity Plan'!$AH$173:$AH$365,1,'3b Activity Plan'!$E$173:$E$365,$BQ32)</f>
        <v>0</v>
      </c>
      <c r="R32" s="348">
        <f>SUMIFS('3b Activity Plan'!$AB$173:$AB$365,'3b Activity Plan'!$E$173:$E$365,$BQ32)</f>
        <v>0</v>
      </c>
      <c r="S32" s="348">
        <f>SUMIFS('3b Activity Plan'!$AA$173:$AA$365,'3b Activity Plan'!$AH$173:$AH$365,1,'3b Activity Plan'!$E$173:$E$365,$BQ32)</f>
        <v>0</v>
      </c>
      <c r="T32" s="348">
        <f t="shared" si="25"/>
        <v>0</v>
      </c>
      <c r="U32" s="348">
        <f t="shared" si="26"/>
        <v>0</v>
      </c>
      <c r="V32" s="2358">
        <f>IFERROR(INDEX('3b Activity Plan'!$F$173:$F$365,MATCH(BQ32,'3b Activity Plan'!$E$173:$E$365,0)),0)</f>
        <v>0</v>
      </c>
      <c r="W32" s="347"/>
      <c r="X32" s="348">
        <f t="shared" si="2"/>
        <v>0</v>
      </c>
      <c r="Y32" s="348">
        <f t="shared" si="3"/>
        <v>0</v>
      </c>
      <c r="Z32" s="348">
        <f t="shared" si="4"/>
        <v>0</v>
      </c>
      <c r="AA32" s="348">
        <f t="shared" si="5"/>
        <v>0</v>
      </c>
      <c r="AB32" s="348">
        <f t="shared" si="6"/>
        <v>0</v>
      </c>
      <c r="AC32" s="348">
        <f t="shared" si="7"/>
        <v>0</v>
      </c>
      <c r="AD32" s="348">
        <f t="shared" si="8"/>
        <v>0</v>
      </c>
      <c r="AE32" s="348">
        <f t="shared" si="9"/>
        <v>0</v>
      </c>
      <c r="AF32" s="348">
        <f t="shared" si="10"/>
        <v>0</v>
      </c>
      <c r="AG32" s="2358">
        <f t="shared" si="27"/>
        <v>0</v>
      </c>
      <c r="AH32" s="347"/>
      <c r="AI32" s="537">
        <f t="shared" si="11"/>
        <v>0</v>
      </c>
      <c r="AJ32" s="537">
        <f t="shared" si="12"/>
        <v>0</v>
      </c>
      <c r="AK32" s="1003">
        <f t="shared" si="28"/>
        <v>0</v>
      </c>
      <c r="AL32" s="2789"/>
      <c r="AM32" s="3220">
        <f t="shared" si="29"/>
        <v>0</v>
      </c>
      <c r="AN32" s="3220">
        <f t="shared" si="30"/>
        <v>0</v>
      </c>
      <c r="AO32" s="3220">
        <f t="shared" si="31"/>
        <v>0</v>
      </c>
      <c r="AP32" s="3220">
        <f t="shared" si="32"/>
        <v>0</v>
      </c>
      <c r="AQ32" s="3220">
        <f t="shared" si="13"/>
        <v>0</v>
      </c>
      <c r="AR32" s="3220">
        <f t="shared" si="33"/>
        <v>0</v>
      </c>
      <c r="AS32" s="347"/>
      <c r="AT32" s="1577"/>
      <c r="AU32" s="2363">
        <f t="shared" si="34"/>
        <v>0</v>
      </c>
      <c r="AV32" s="2367">
        <f t="shared" si="35"/>
        <v>0</v>
      </c>
      <c r="AW32" s="1574"/>
      <c r="AX32" s="2362">
        <f t="shared" si="14"/>
        <v>0</v>
      </c>
      <c r="AY32" s="2362">
        <f t="shared" si="15"/>
        <v>0</v>
      </c>
      <c r="AZ32" s="2362">
        <f t="shared" si="16"/>
        <v>0</v>
      </c>
      <c r="BA32" s="2362">
        <f t="shared" si="17"/>
        <v>0</v>
      </c>
      <c r="BB32" s="2361">
        <f t="shared" si="18"/>
        <v>0</v>
      </c>
      <c r="BC32" s="2361">
        <f t="shared" si="19"/>
        <v>0</v>
      </c>
      <c r="BD32" s="2361">
        <f t="shared" si="20"/>
        <v>0</v>
      </c>
      <c r="BE32" s="1576"/>
      <c r="BF32" s="1576"/>
      <c r="BG32" s="2363">
        <f t="shared" si="21"/>
        <v>0</v>
      </c>
      <c r="BH32" s="760"/>
      <c r="BI32" s="2374">
        <f t="shared" si="36"/>
        <v>0</v>
      </c>
      <c r="BJ32" s="2368">
        <f t="shared" si="22"/>
        <v>0</v>
      </c>
      <c r="BK32" s="2373"/>
      <c r="BL32" s="1576"/>
      <c r="BM32" s="1581"/>
      <c r="BN32" s="1581"/>
      <c r="BO32" s="1581"/>
      <c r="BP32" s="1581"/>
      <c r="BQ32" s="2302"/>
      <c r="BR32" s="2328"/>
      <c r="BS32" s="2327"/>
      <c r="BT32" s="2325"/>
      <c r="BU32" s="2332"/>
      <c r="BV32" s="1577"/>
      <c r="BW32" s="331"/>
      <c r="BX32" s="2330">
        <f t="shared" si="37"/>
        <v>0</v>
      </c>
      <c r="BY32" s="2331">
        <f t="shared" si="38"/>
        <v>0</v>
      </c>
      <c r="BZ32" s="2329">
        <f t="shared" si="39"/>
        <v>0</v>
      </c>
      <c r="CA32" s="334"/>
      <c r="CB32" s="343"/>
      <c r="CC32" s="320"/>
      <c r="CD32" s="337"/>
      <c r="CE32" s="2354"/>
      <c r="CF32" s="336"/>
      <c r="CG32" s="2355"/>
      <c r="CH32" s="333"/>
      <c r="CI32" s="1577"/>
      <c r="CJ32" s="1577"/>
      <c r="CK32" s="1577"/>
      <c r="CL32" s="1577"/>
      <c r="CM32" s="1577"/>
      <c r="CN32" s="1577"/>
      <c r="CO32" s="324"/>
    </row>
    <row r="33" spans="1:97" s="21" customFormat="1" ht="20.100000000000001" customHeight="1" x14ac:dyDescent="0.3">
      <c r="A33" s="347"/>
      <c r="B33" s="348">
        <f>SUMIFS('3a Staff Plan'!$T$129:$T$305,'3a Staff Plan'!$E$129:$E$305,$BQ33)</f>
        <v>0</v>
      </c>
      <c r="C33" s="348">
        <f>SUMIFS('3a Staff Plan'!$U$129:$U$305,'3a Staff Plan'!$E$129:$E$305,$BQ33)</f>
        <v>0</v>
      </c>
      <c r="D33" s="348">
        <f>SUMIFS('3a Staff Plan'!$Z$129:$Z$305,'3a Staff Plan'!$E$129:$E$305,$BQ33)</f>
        <v>0</v>
      </c>
      <c r="E33" s="348">
        <f>SUMIFS('3a Staff Plan'!$Y$129:$Y$305,'3a Staff Plan'!$E$129:$E$305,$BQ33)</f>
        <v>0</v>
      </c>
      <c r="F33" s="348">
        <f>SUMIFS('3a Staff Plan'!$X$129:$X$305,'3a Staff Plan'!$AG$129:$AG$305,1,'3a Staff Plan'!$E$129:$E$305,$BQ33)</f>
        <v>0</v>
      </c>
      <c r="G33" s="348">
        <f>SUMIFS('3a Staff Plan'!$AB$129:$AB$305,'3a Staff Plan'!$E$129:$E$305,$BQ33)</f>
        <v>0</v>
      </c>
      <c r="H33" s="348">
        <f>SUMIFS('3a Staff Plan'!$AA$129:$AA$305,'3a Staff Plan'!$AG$129:$AG$305,1,'3a Staff Plan'!$E$129:$E$305,$BQ33)</f>
        <v>0</v>
      </c>
      <c r="I33" s="348">
        <f t="shared" si="23"/>
        <v>0</v>
      </c>
      <c r="J33" s="348">
        <f t="shared" si="24"/>
        <v>0</v>
      </c>
      <c r="K33" s="2358">
        <f>IFERROR(INDEX('3a Staff Plan'!$F$129:$F$305,MATCH(BQ33,'3a Staff Plan'!$E$129:$E$305,0)),0)</f>
        <v>0</v>
      </c>
      <c r="L33" s="347"/>
      <c r="M33" s="348">
        <f>SUMIFS('3b Activity Plan'!$T$173:$T$365,'3b Activity Plan'!$E$173:$E$365,$BQ33)</f>
        <v>0</v>
      </c>
      <c r="N33" s="348">
        <f>SUMIFS('3b Activity Plan'!$U$173:$U$365,'3b Activity Plan'!$E$173:$E$365,$BQ33)</f>
        <v>0</v>
      </c>
      <c r="O33" s="348">
        <f>SUMIFS('3b Activity Plan'!$Z$173:$Z$365,'3b Activity Plan'!$E$173:$E$365,$BQ33)</f>
        <v>0</v>
      </c>
      <c r="P33" s="348">
        <f>SUMIFS('3b Activity Plan'!$Y$173:$Y$365,'3b Activity Plan'!$E$173:$E$365,$BQ33)</f>
        <v>0</v>
      </c>
      <c r="Q33" s="348">
        <f>SUMIFS('3b Activity Plan'!$X$173:$X$365,'3b Activity Plan'!$AH$173:$AH$365,1,'3b Activity Plan'!$E$173:$E$365,$BQ33)</f>
        <v>0</v>
      </c>
      <c r="R33" s="348">
        <f>SUMIFS('3b Activity Plan'!$AB$173:$AB$365,'3b Activity Plan'!$E$173:$E$365,$BQ33)</f>
        <v>0</v>
      </c>
      <c r="S33" s="348">
        <f>SUMIFS('3b Activity Plan'!$AA$173:$AA$365,'3b Activity Plan'!$AH$173:$AH$365,1,'3b Activity Plan'!$E$173:$E$365,$BQ33)</f>
        <v>0</v>
      </c>
      <c r="T33" s="348">
        <f t="shared" si="25"/>
        <v>0</v>
      </c>
      <c r="U33" s="348">
        <f t="shared" si="26"/>
        <v>0</v>
      </c>
      <c r="V33" s="2358">
        <f>IFERROR(INDEX('3b Activity Plan'!$F$173:$F$365,MATCH(BQ33,'3b Activity Plan'!$E$173:$E$365,0)),0)</f>
        <v>0</v>
      </c>
      <c r="W33" s="347"/>
      <c r="X33" s="348">
        <f t="shared" si="2"/>
        <v>0</v>
      </c>
      <c r="Y33" s="348">
        <f t="shared" si="3"/>
        <v>0</v>
      </c>
      <c r="Z33" s="348">
        <f t="shared" si="4"/>
        <v>0</v>
      </c>
      <c r="AA33" s="348">
        <f t="shared" si="5"/>
        <v>0</v>
      </c>
      <c r="AB33" s="348">
        <f t="shared" si="6"/>
        <v>0</v>
      </c>
      <c r="AC33" s="348">
        <f t="shared" si="7"/>
        <v>0</v>
      </c>
      <c r="AD33" s="348">
        <f t="shared" si="8"/>
        <v>0</v>
      </c>
      <c r="AE33" s="348">
        <f t="shared" si="9"/>
        <v>0</v>
      </c>
      <c r="AF33" s="348">
        <f t="shared" si="10"/>
        <v>0</v>
      </c>
      <c r="AG33" s="2358">
        <f t="shared" si="27"/>
        <v>0</v>
      </c>
      <c r="AH33" s="347"/>
      <c r="AI33" s="537">
        <f t="shared" si="11"/>
        <v>0</v>
      </c>
      <c r="AJ33" s="537">
        <f t="shared" si="12"/>
        <v>0</v>
      </c>
      <c r="AK33" s="1003">
        <f t="shared" si="28"/>
        <v>0</v>
      </c>
      <c r="AL33" s="2789"/>
      <c r="AM33" s="3220">
        <f t="shared" si="29"/>
        <v>0</v>
      </c>
      <c r="AN33" s="3220">
        <f t="shared" si="30"/>
        <v>0</v>
      </c>
      <c r="AO33" s="3220">
        <f t="shared" si="31"/>
        <v>0</v>
      </c>
      <c r="AP33" s="3220">
        <f t="shared" si="32"/>
        <v>0</v>
      </c>
      <c r="AQ33" s="3220">
        <f t="shared" si="13"/>
        <v>0</v>
      </c>
      <c r="AR33" s="3220">
        <f t="shared" si="33"/>
        <v>0</v>
      </c>
      <c r="AS33" s="347"/>
      <c r="AT33" s="1577"/>
      <c r="AU33" s="2363">
        <f t="shared" si="34"/>
        <v>0</v>
      </c>
      <c r="AV33" s="2367">
        <f t="shared" si="35"/>
        <v>0</v>
      </c>
      <c r="AW33" s="1574"/>
      <c r="AX33" s="2362">
        <f t="shared" si="14"/>
        <v>0</v>
      </c>
      <c r="AY33" s="2362">
        <f t="shared" si="15"/>
        <v>0</v>
      </c>
      <c r="AZ33" s="2362">
        <f t="shared" si="16"/>
        <v>0</v>
      </c>
      <c r="BA33" s="2362">
        <f t="shared" si="17"/>
        <v>0</v>
      </c>
      <c r="BB33" s="2361">
        <f t="shared" si="18"/>
        <v>0</v>
      </c>
      <c r="BC33" s="2361">
        <f t="shared" si="19"/>
        <v>0</v>
      </c>
      <c r="BD33" s="2361">
        <f t="shared" si="20"/>
        <v>0</v>
      </c>
      <c r="BE33" s="1576"/>
      <c r="BF33" s="1576"/>
      <c r="BG33" s="2363">
        <f t="shared" si="21"/>
        <v>0</v>
      </c>
      <c r="BH33" s="760"/>
      <c r="BI33" s="2374">
        <f t="shared" si="36"/>
        <v>0</v>
      </c>
      <c r="BJ33" s="2368">
        <f t="shared" si="22"/>
        <v>0</v>
      </c>
      <c r="BK33" s="2373"/>
      <c r="BL33" s="1576"/>
      <c r="BM33" s="1581"/>
      <c r="BN33" s="1581"/>
      <c r="BO33" s="1581"/>
      <c r="BP33" s="1581"/>
      <c r="BQ33" s="2302"/>
      <c r="BR33" s="2328"/>
      <c r="BS33" s="2327"/>
      <c r="BT33" s="2325"/>
      <c r="BU33" s="2332"/>
      <c r="BV33" s="1577"/>
      <c r="BW33" s="331"/>
      <c r="BX33" s="2330">
        <f t="shared" si="37"/>
        <v>0</v>
      </c>
      <c r="BY33" s="2331">
        <f t="shared" si="38"/>
        <v>0</v>
      </c>
      <c r="BZ33" s="2329">
        <f t="shared" si="39"/>
        <v>0</v>
      </c>
      <c r="CA33" s="334"/>
      <c r="CB33" s="343"/>
      <c r="CC33" s="320"/>
      <c r="CD33" s="337"/>
      <c r="CE33" s="2354"/>
      <c r="CF33" s="336"/>
      <c r="CG33" s="2355"/>
      <c r="CH33" s="333"/>
      <c r="CI33" s="1577"/>
      <c r="CJ33" s="1577"/>
      <c r="CK33" s="1577"/>
      <c r="CL33" s="1577"/>
      <c r="CM33" s="1577"/>
      <c r="CN33" s="1577"/>
      <c r="CO33" s="324"/>
    </row>
    <row r="34" spans="1:97" s="21" customFormat="1" ht="20.100000000000001" customHeight="1" x14ac:dyDescent="0.3">
      <c r="A34" s="347"/>
      <c r="B34" s="348">
        <f>SUMIFS('3a Staff Plan'!$T$129:$T$305,'3a Staff Plan'!$E$129:$E$305,$BQ34)</f>
        <v>0</v>
      </c>
      <c r="C34" s="348">
        <f>SUMIFS('3a Staff Plan'!$U$129:$U$305,'3a Staff Plan'!$E$129:$E$305,$BQ34)</f>
        <v>0</v>
      </c>
      <c r="D34" s="348">
        <f>SUMIFS('3a Staff Plan'!$Z$129:$Z$305,'3a Staff Plan'!$E$129:$E$305,$BQ34)</f>
        <v>0</v>
      </c>
      <c r="E34" s="348">
        <f>SUMIFS('3a Staff Plan'!$Y$129:$Y$305,'3a Staff Plan'!$E$129:$E$305,$BQ34)</f>
        <v>0</v>
      </c>
      <c r="F34" s="348">
        <f>SUMIFS('3a Staff Plan'!$X$129:$X$305,'3a Staff Plan'!$AG$129:$AG$305,1,'3a Staff Plan'!$E$129:$E$305,$BQ34)</f>
        <v>0</v>
      </c>
      <c r="G34" s="348">
        <f>SUMIFS('3a Staff Plan'!$AB$129:$AB$305,'3a Staff Plan'!$E$129:$E$305,$BQ34)</f>
        <v>0</v>
      </c>
      <c r="H34" s="348">
        <f>SUMIFS('3a Staff Plan'!$AA$129:$AA$305,'3a Staff Plan'!$AG$129:$AG$305,1,'3a Staff Plan'!$E$129:$E$305,$BQ34)</f>
        <v>0</v>
      </c>
      <c r="I34" s="348">
        <f t="shared" si="23"/>
        <v>0</v>
      </c>
      <c r="J34" s="348">
        <f t="shared" si="24"/>
        <v>0</v>
      </c>
      <c r="K34" s="2358">
        <f>IFERROR(INDEX('3a Staff Plan'!$F$129:$F$305,MATCH(BQ34,'3a Staff Plan'!$E$129:$E$305,0)),0)</f>
        <v>0</v>
      </c>
      <c r="L34" s="347"/>
      <c r="M34" s="348">
        <f>SUMIFS('3b Activity Plan'!$T$173:$T$365,'3b Activity Plan'!$E$173:$E$365,$BQ34)</f>
        <v>0</v>
      </c>
      <c r="N34" s="348">
        <f>SUMIFS('3b Activity Plan'!$U$173:$U$365,'3b Activity Plan'!$E$173:$E$365,$BQ34)</f>
        <v>0</v>
      </c>
      <c r="O34" s="348">
        <f>SUMIFS('3b Activity Plan'!$Z$173:$Z$365,'3b Activity Plan'!$E$173:$E$365,$BQ34)</f>
        <v>0</v>
      </c>
      <c r="P34" s="348">
        <f>SUMIFS('3b Activity Plan'!$Y$173:$Y$365,'3b Activity Plan'!$E$173:$E$365,$BQ34)</f>
        <v>0</v>
      </c>
      <c r="Q34" s="348">
        <f>SUMIFS('3b Activity Plan'!$X$173:$X$365,'3b Activity Plan'!$AH$173:$AH$365,1,'3b Activity Plan'!$E$173:$E$365,$BQ34)</f>
        <v>0</v>
      </c>
      <c r="R34" s="348">
        <f>SUMIFS('3b Activity Plan'!$AB$173:$AB$365,'3b Activity Plan'!$E$173:$E$365,$BQ34)</f>
        <v>0</v>
      </c>
      <c r="S34" s="348">
        <f>SUMIFS('3b Activity Plan'!$AA$173:$AA$365,'3b Activity Plan'!$AH$173:$AH$365,1,'3b Activity Plan'!$E$173:$E$365,$BQ34)</f>
        <v>0</v>
      </c>
      <c r="T34" s="348">
        <f t="shared" si="25"/>
        <v>0</v>
      </c>
      <c r="U34" s="348">
        <f t="shared" si="26"/>
        <v>0</v>
      </c>
      <c r="V34" s="2358">
        <f>IFERROR(INDEX('3b Activity Plan'!$F$173:$F$365,MATCH(BQ34,'3b Activity Plan'!$E$173:$E$365,0)),0)</f>
        <v>0</v>
      </c>
      <c r="W34" s="347"/>
      <c r="X34" s="348">
        <f t="shared" si="2"/>
        <v>0</v>
      </c>
      <c r="Y34" s="348">
        <f t="shared" si="3"/>
        <v>0</v>
      </c>
      <c r="Z34" s="348">
        <f t="shared" si="4"/>
        <v>0</v>
      </c>
      <c r="AA34" s="348">
        <f t="shared" si="5"/>
        <v>0</v>
      </c>
      <c r="AB34" s="348">
        <f t="shared" si="6"/>
        <v>0</v>
      </c>
      <c r="AC34" s="348">
        <f t="shared" si="7"/>
        <v>0</v>
      </c>
      <c r="AD34" s="348">
        <f t="shared" si="8"/>
        <v>0</v>
      </c>
      <c r="AE34" s="348">
        <f t="shared" si="9"/>
        <v>0</v>
      </c>
      <c r="AF34" s="348">
        <f t="shared" si="10"/>
        <v>0</v>
      </c>
      <c r="AG34" s="2358">
        <f t="shared" si="27"/>
        <v>0</v>
      </c>
      <c r="AH34" s="347"/>
      <c r="AI34" s="537">
        <f t="shared" si="11"/>
        <v>0</v>
      </c>
      <c r="AJ34" s="537">
        <f t="shared" si="12"/>
        <v>0</v>
      </c>
      <c r="AK34" s="1003">
        <f t="shared" si="28"/>
        <v>0</v>
      </c>
      <c r="AL34" s="2789"/>
      <c r="AM34" s="3220">
        <f t="shared" si="29"/>
        <v>0</v>
      </c>
      <c r="AN34" s="3220">
        <f t="shared" si="30"/>
        <v>0</v>
      </c>
      <c r="AO34" s="3220">
        <f t="shared" si="31"/>
        <v>0</v>
      </c>
      <c r="AP34" s="3220">
        <f t="shared" si="32"/>
        <v>0</v>
      </c>
      <c r="AQ34" s="3220">
        <f t="shared" si="13"/>
        <v>0</v>
      </c>
      <c r="AR34" s="3220">
        <f t="shared" si="33"/>
        <v>0</v>
      </c>
      <c r="AS34" s="347"/>
      <c r="AT34" s="1577"/>
      <c r="AU34" s="2363">
        <f t="shared" si="34"/>
        <v>0</v>
      </c>
      <c r="AV34" s="2367">
        <f t="shared" si="35"/>
        <v>0</v>
      </c>
      <c r="AW34" s="1574"/>
      <c r="AX34" s="2362">
        <f t="shared" si="14"/>
        <v>0</v>
      </c>
      <c r="AY34" s="2362">
        <f t="shared" si="15"/>
        <v>0</v>
      </c>
      <c r="AZ34" s="2362">
        <f t="shared" si="16"/>
        <v>0</v>
      </c>
      <c r="BA34" s="2362">
        <f t="shared" si="17"/>
        <v>0</v>
      </c>
      <c r="BB34" s="2361">
        <f t="shared" si="18"/>
        <v>0</v>
      </c>
      <c r="BC34" s="2361">
        <f t="shared" si="19"/>
        <v>0</v>
      </c>
      <c r="BD34" s="2361">
        <f t="shared" si="20"/>
        <v>0</v>
      </c>
      <c r="BE34" s="1576"/>
      <c r="BF34" s="1576"/>
      <c r="BG34" s="2363">
        <f t="shared" si="21"/>
        <v>0</v>
      </c>
      <c r="BH34" s="760"/>
      <c r="BI34" s="2374">
        <f t="shared" si="36"/>
        <v>0</v>
      </c>
      <c r="BJ34" s="2368">
        <f t="shared" si="22"/>
        <v>0</v>
      </c>
      <c r="BK34" s="2373"/>
      <c r="BL34" s="1576"/>
      <c r="BM34" s="1581"/>
      <c r="BN34" s="1581"/>
      <c r="BO34" s="1581"/>
      <c r="BP34" s="1581"/>
      <c r="BQ34" s="2302"/>
      <c r="BR34" s="2328"/>
      <c r="BS34" s="2327"/>
      <c r="BT34" s="2325"/>
      <c r="BU34" s="2332"/>
      <c r="BV34" s="1577"/>
      <c r="BW34" s="331"/>
      <c r="BX34" s="2330">
        <f t="shared" si="37"/>
        <v>0</v>
      </c>
      <c r="BY34" s="2331">
        <f t="shared" si="38"/>
        <v>0</v>
      </c>
      <c r="BZ34" s="2329">
        <f t="shared" si="39"/>
        <v>0</v>
      </c>
      <c r="CA34" s="334"/>
      <c r="CB34" s="343"/>
      <c r="CC34" s="320"/>
      <c r="CD34" s="337"/>
      <c r="CE34" s="2354"/>
      <c r="CF34" s="336"/>
      <c r="CG34" s="2355"/>
      <c r="CH34" s="333"/>
      <c r="CI34" s="1577"/>
      <c r="CJ34" s="1577"/>
      <c r="CK34" s="1577"/>
      <c r="CL34" s="1577"/>
      <c r="CM34" s="1577"/>
      <c r="CN34" s="1577"/>
      <c r="CO34" s="324"/>
    </row>
    <row r="35" spans="1:97" s="21" customFormat="1" ht="20.100000000000001" customHeight="1" x14ac:dyDescent="0.3">
      <c r="A35" s="347"/>
      <c r="B35" s="348">
        <f>SUMIFS('3a Staff Plan'!$T$129:$T$305,'3a Staff Plan'!$E$129:$E$305,$BQ35)</f>
        <v>0</v>
      </c>
      <c r="C35" s="348">
        <f>SUMIFS('3a Staff Plan'!$U$129:$U$305,'3a Staff Plan'!$E$129:$E$305,$BQ35)</f>
        <v>0</v>
      </c>
      <c r="D35" s="348">
        <f>SUMIFS('3a Staff Plan'!$Z$129:$Z$305,'3a Staff Plan'!$E$129:$E$305,$BQ35)</f>
        <v>0</v>
      </c>
      <c r="E35" s="348">
        <f>SUMIFS('3a Staff Plan'!$Y$129:$Y$305,'3a Staff Plan'!$E$129:$E$305,$BQ35)</f>
        <v>0</v>
      </c>
      <c r="F35" s="348">
        <f>SUMIFS('3a Staff Plan'!$X$129:$X$305,'3a Staff Plan'!$AG$129:$AG$305,1,'3a Staff Plan'!$E$129:$E$305,$BQ35)</f>
        <v>0</v>
      </c>
      <c r="G35" s="348">
        <f>SUMIFS('3a Staff Plan'!$AB$129:$AB$305,'3a Staff Plan'!$E$129:$E$305,$BQ35)</f>
        <v>0</v>
      </c>
      <c r="H35" s="348">
        <f>SUMIFS('3a Staff Plan'!$AA$129:$AA$305,'3a Staff Plan'!$AG$129:$AG$305,1,'3a Staff Plan'!$E$129:$E$305,$BQ35)</f>
        <v>0</v>
      </c>
      <c r="I35" s="348">
        <f t="shared" si="23"/>
        <v>0</v>
      </c>
      <c r="J35" s="348">
        <f t="shared" si="24"/>
        <v>0</v>
      </c>
      <c r="K35" s="2358">
        <f>IFERROR(INDEX('3a Staff Plan'!$F$129:$F$305,MATCH(BQ35,'3a Staff Plan'!$E$129:$E$305,0)),0)</f>
        <v>0</v>
      </c>
      <c r="L35" s="347"/>
      <c r="M35" s="348">
        <f>SUMIFS('3b Activity Plan'!$T$173:$T$365,'3b Activity Plan'!$E$173:$E$365,$BQ35)</f>
        <v>0</v>
      </c>
      <c r="N35" s="348">
        <f>SUMIFS('3b Activity Plan'!$U$173:$U$365,'3b Activity Plan'!$E$173:$E$365,$BQ35)</f>
        <v>0</v>
      </c>
      <c r="O35" s="348">
        <f>SUMIFS('3b Activity Plan'!$Z$173:$Z$365,'3b Activity Plan'!$E$173:$E$365,$BQ35)</f>
        <v>0</v>
      </c>
      <c r="P35" s="348">
        <f>SUMIFS('3b Activity Plan'!$Y$173:$Y$365,'3b Activity Plan'!$E$173:$E$365,$BQ35)</f>
        <v>0</v>
      </c>
      <c r="Q35" s="348">
        <f>SUMIFS('3b Activity Plan'!$X$173:$X$365,'3b Activity Plan'!$AH$173:$AH$365,1,'3b Activity Plan'!$E$173:$E$365,$BQ35)</f>
        <v>0</v>
      </c>
      <c r="R35" s="348">
        <f>SUMIFS('3b Activity Plan'!$AB$173:$AB$365,'3b Activity Plan'!$E$173:$E$365,$BQ35)</f>
        <v>0</v>
      </c>
      <c r="S35" s="348">
        <f>SUMIFS('3b Activity Plan'!$AA$173:$AA$365,'3b Activity Plan'!$AH$173:$AH$365,1,'3b Activity Plan'!$E$173:$E$365,$BQ35)</f>
        <v>0</v>
      </c>
      <c r="T35" s="348">
        <f t="shared" si="25"/>
        <v>0</v>
      </c>
      <c r="U35" s="348">
        <f t="shared" si="26"/>
        <v>0</v>
      </c>
      <c r="V35" s="2358">
        <f>IFERROR(INDEX('3b Activity Plan'!$F$173:$F$365,MATCH(BQ35,'3b Activity Plan'!$E$173:$E$365,0)),0)</f>
        <v>0</v>
      </c>
      <c r="W35" s="347"/>
      <c r="X35" s="348">
        <f t="shared" si="2"/>
        <v>0</v>
      </c>
      <c r="Y35" s="348">
        <f t="shared" si="3"/>
        <v>0</v>
      </c>
      <c r="Z35" s="348">
        <f t="shared" si="4"/>
        <v>0</v>
      </c>
      <c r="AA35" s="348">
        <f t="shared" si="5"/>
        <v>0</v>
      </c>
      <c r="AB35" s="348">
        <f t="shared" si="6"/>
        <v>0</v>
      </c>
      <c r="AC35" s="348">
        <f t="shared" si="7"/>
        <v>0</v>
      </c>
      <c r="AD35" s="348">
        <f t="shared" si="8"/>
        <v>0</v>
      </c>
      <c r="AE35" s="348">
        <f t="shared" si="9"/>
        <v>0</v>
      </c>
      <c r="AF35" s="348">
        <f t="shared" si="10"/>
        <v>0</v>
      </c>
      <c r="AG35" s="2358">
        <f t="shared" si="27"/>
        <v>0</v>
      </c>
      <c r="AH35" s="347"/>
      <c r="AI35" s="537">
        <f t="shared" si="11"/>
        <v>0</v>
      </c>
      <c r="AJ35" s="537">
        <f t="shared" si="12"/>
        <v>0</v>
      </c>
      <c r="AK35" s="1003">
        <f t="shared" si="28"/>
        <v>0</v>
      </c>
      <c r="AL35" s="2789"/>
      <c r="AM35" s="3220">
        <f t="shared" si="29"/>
        <v>0</v>
      </c>
      <c r="AN35" s="3220">
        <f t="shared" si="30"/>
        <v>0</v>
      </c>
      <c r="AO35" s="3220">
        <f t="shared" si="31"/>
        <v>0</v>
      </c>
      <c r="AP35" s="3220">
        <f t="shared" si="32"/>
        <v>0</v>
      </c>
      <c r="AQ35" s="3220">
        <f t="shared" si="13"/>
        <v>0</v>
      </c>
      <c r="AR35" s="3220">
        <f t="shared" si="33"/>
        <v>0</v>
      </c>
      <c r="AS35" s="347"/>
      <c r="AT35" s="1577"/>
      <c r="AU35" s="2363">
        <f t="shared" si="34"/>
        <v>0</v>
      </c>
      <c r="AV35" s="2367">
        <f t="shared" si="35"/>
        <v>0</v>
      </c>
      <c r="AW35" s="1574"/>
      <c r="AX35" s="2362">
        <f t="shared" si="14"/>
        <v>0</v>
      </c>
      <c r="AY35" s="2362">
        <f t="shared" si="15"/>
        <v>0</v>
      </c>
      <c r="AZ35" s="2362">
        <f t="shared" si="16"/>
        <v>0</v>
      </c>
      <c r="BA35" s="2362">
        <f t="shared" si="17"/>
        <v>0</v>
      </c>
      <c r="BB35" s="2361">
        <f t="shared" si="18"/>
        <v>0</v>
      </c>
      <c r="BC35" s="2361">
        <f t="shared" si="19"/>
        <v>0</v>
      </c>
      <c r="BD35" s="2361">
        <f t="shared" si="20"/>
        <v>0</v>
      </c>
      <c r="BE35" s="1576"/>
      <c r="BF35" s="1576"/>
      <c r="BG35" s="2363">
        <f t="shared" si="21"/>
        <v>0</v>
      </c>
      <c r="BH35" s="760"/>
      <c r="BI35" s="2374">
        <f t="shared" si="36"/>
        <v>0</v>
      </c>
      <c r="BJ35" s="2368">
        <f t="shared" si="22"/>
        <v>0</v>
      </c>
      <c r="BK35" s="2373"/>
      <c r="BL35" s="1576"/>
      <c r="BM35" s="1581"/>
      <c r="BN35" s="1581"/>
      <c r="BO35" s="1581"/>
      <c r="BP35" s="1581"/>
      <c r="BQ35" s="2302"/>
      <c r="BR35" s="2328"/>
      <c r="BS35" s="2327"/>
      <c r="BT35" s="2325"/>
      <c r="BU35" s="2332"/>
      <c r="BV35" s="1577"/>
      <c r="BW35" s="331"/>
      <c r="BX35" s="2330">
        <f t="shared" si="37"/>
        <v>0</v>
      </c>
      <c r="BY35" s="2331">
        <f t="shared" si="38"/>
        <v>0</v>
      </c>
      <c r="BZ35" s="2329">
        <f t="shared" si="39"/>
        <v>0</v>
      </c>
      <c r="CA35" s="334"/>
      <c r="CB35" s="343"/>
      <c r="CC35" s="320"/>
      <c r="CD35" s="337"/>
      <c r="CE35" s="2354"/>
      <c r="CF35" s="336"/>
      <c r="CG35" s="2355"/>
      <c r="CH35" s="333"/>
      <c r="CI35" s="1577"/>
      <c r="CJ35" s="1577"/>
      <c r="CK35" s="1577"/>
      <c r="CL35" s="1577"/>
      <c r="CM35" s="1577"/>
      <c r="CN35" s="1577"/>
      <c r="CO35" s="324"/>
    </row>
    <row r="36" spans="1:97" s="21" customFormat="1" ht="20.100000000000001" customHeight="1" x14ac:dyDescent="0.3">
      <c r="A36" s="347"/>
      <c r="B36" s="348">
        <f>SUMIFS('3a Staff Plan'!$T$129:$T$305,'3a Staff Plan'!$E$129:$E$305,$BQ36)</f>
        <v>0</v>
      </c>
      <c r="C36" s="348">
        <f>SUMIFS('3a Staff Plan'!$U$129:$U$305,'3a Staff Plan'!$E$129:$E$305,$BQ36)</f>
        <v>0</v>
      </c>
      <c r="D36" s="348">
        <f>SUMIFS('3a Staff Plan'!$Z$129:$Z$305,'3a Staff Plan'!$E$129:$E$305,$BQ36)</f>
        <v>0</v>
      </c>
      <c r="E36" s="348">
        <f>SUMIFS('3a Staff Plan'!$Y$129:$Y$305,'3a Staff Plan'!$E$129:$E$305,$BQ36)</f>
        <v>0</v>
      </c>
      <c r="F36" s="348">
        <f>SUMIFS('3a Staff Plan'!$X$129:$X$305,'3a Staff Plan'!$AG$129:$AG$305,1,'3a Staff Plan'!$E$129:$E$305,$BQ36)</f>
        <v>0</v>
      </c>
      <c r="G36" s="348">
        <f>SUMIFS('3a Staff Plan'!$AB$129:$AB$305,'3a Staff Plan'!$E$129:$E$305,$BQ36)</f>
        <v>0</v>
      </c>
      <c r="H36" s="348">
        <f>SUMIFS('3a Staff Plan'!$AA$129:$AA$305,'3a Staff Plan'!$AG$129:$AG$305,1,'3a Staff Plan'!$E$129:$E$305,$BQ36)</f>
        <v>0</v>
      </c>
      <c r="I36" s="348">
        <f t="shared" si="23"/>
        <v>0</v>
      </c>
      <c r="J36" s="348">
        <f t="shared" si="24"/>
        <v>0</v>
      </c>
      <c r="K36" s="2358">
        <f>IFERROR(INDEX('3a Staff Plan'!$F$129:$F$305,MATCH(BQ36,'3a Staff Plan'!$E$129:$E$305,0)),0)</f>
        <v>0</v>
      </c>
      <c r="L36" s="347"/>
      <c r="M36" s="348">
        <f>SUMIFS('3b Activity Plan'!$T$173:$T$365,'3b Activity Plan'!$E$173:$E$365,$BQ36)</f>
        <v>0</v>
      </c>
      <c r="N36" s="348">
        <f>SUMIFS('3b Activity Plan'!$U$173:$U$365,'3b Activity Plan'!$E$173:$E$365,$BQ36)</f>
        <v>0</v>
      </c>
      <c r="O36" s="348">
        <f>SUMIFS('3b Activity Plan'!$Z$173:$Z$365,'3b Activity Plan'!$E$173:$E$365,$BQ36)</f>
        <v>0</v>
      </c>
      <c r="P36" s="348">
        <f>SUMIFS('3b Activity Plan'!$Y$173:$Y$365,'3b Activity Plan'!$E$173:$E$365,$BQ36)</f>
        <v>0</v>
      </c>
      <c r="Q36" s="348">
        <f>SUMIFS('3b Activity Plan'!$X$173:$X$365,'3b Activity Plan'!$AH$173:$AH$365,1,'3b Activity Plan'!$E$173:$E$365,$BQ36)</f>
        <v>0</v>
      </c>
      <c r="R36" s="348">
        <f>SUMIFS('3b Activity Plan'!$AB$173:$AB$365,'3b Activity Plan'!$E$173:$E$365,$BQ36)</f>
        <v>0</v>
      </c>
      <c r="S36" s="348">
        <f>SUMIFS('3b Activity Plan'!$AA$173:$AA$365,'3b Activity Plan'!$AH$173:$AH$365,1,'3b Activity Plan'!$E$173:$E$365,$BQ36)</f>
        <v>0</v>
      </c>
      <c r="T36" s="348">
        <f t="shared" si="25"/>
        <v>0</v>
      </c>
      <c r="U36" s="348">
        <f t="shared" si="26"/>
        <v>0</v>
      </c>
      <c r="V36" s="2358">
        <f>IFERROR(INDEX('3b Activity Plan'!$F$173:$F$365,MATCH(BQ36,'3b Activity Plan'!$E$173:$E$365,0)),0)</f>
        <v>0</v>
      </c>
      <c r="W36" s="347"/>
      <c r="X36" s="348">
        <f t="shared" si="2"/>
        <v>0</v>
      </c>
      <c r="Y36" s="348">
        <f t="shared" si="3"/>
        <v>0</v>
      </c>
      <c r="Z36" s="348">
        <f t="shared" si="4"/>
        <v>0</v>
      </c>
      <c r="AA36" s="348">
        <f t="shared" si="5"/>
        <v>0</v>
      </c>
      <c r="AB36" s="348">
        <f t="shared" si="6"/>
        <v>0</v>
      </c>
      <c r="AC36" s="348">
        <f t="shared" si="7"/>
        <v>0</v>
      </c>
      <c r="AD36" s="348">
        <f t="shared" si="8"/>
        <v>0</v>
      </c>
      <c r="AE36" s="348">
        <f t="shared" si="9"/>
        <v>0</v>
      </c>
      <c r="AF36" s="348">
        <f t="shared" si="10"/>
        <v>0</v>
      </c>
      <c r="AG36" s="2358">
        <f t="shared" si="27"/>
        <v>0</v>
      </c>
      <c r="AH36" s="347"/>
      <c r="AI36" s="537">
        <f t="shared" si="11"/>
        <v>0</v>
      </c>
      <c r="AJ36" s="537">
        <f t="shared" si="12"/>
        <v>0</v>
      </c>
      <c r="AK36" s="1003">
        <f t="shared" si="28"/>
        <v>0</v>
      </c>
      <c r="AL36" s="2789"/>
      <c r="AM36" s="3220">
        <f t="shared" si="29"/>
        <v>0</v>
      </c>
      <c r="AN36" s="3220">
        <f t="shared" si="30"/>
        <v>0</v>
      </c>
      <c r="AO36" s="3220">
        <f t="shared" si="31"/>
        <v>0</v>
      </c>
      <c r="AP36" s="3220">
        <f t="shared" si="32"/>
        <v>0</v>
      </c>
      <c r="AQ36" s="3220">
        <f t="shared" si="13"/>
        <v>0</v>
      </c>
      <c r="AR36" s="3220">
        <f t="shared" si="33"/>
        <v>0</v>
      </c>
      <c r="AS36" s="347"/>
      <c r="AT36" s="1577"/>
      <c r="AU36" s="2363">
        <f t="shared" si="34"/>
        <v>0</v>
      </c>
      <c r="AV36" s="2367">
        <f t="shared" si="35"/>
        <v>0</v>
      </c>
      <c r="AW36" s="1574"/>
      <c r="AX36" s="2362">
        <f t="shared" si="14"/>
        <v>0</v>
      </c>
      <c r="AY36" s="2362">
        <f t="shared" si="15"/>
        <v>0</v>
      </c>
      <c r="AZ36" s="2362">
        <f t="shared" si="16"/>
        <v>0</v>
      </c>
      <c r="BA36" s="2362">
        <f t="shared" si="17"/>
        <v>0</v>
      </c>
      <c r="BB36" s="2361">
        <f t="shared" si="18"/>
        <v>0</v>
      </c>
      <c r="BC36" s="2361">
        <f t="shared" si="19"/>
        <v>0</v>
      </c>
      <c r="BD36" s="2361">
        <f t="shared" si="20"/>
        <v>0</v>
      </c>
      <c r="BE36" s="1576"/>
      <c r="BF36" s="1576"/>
      <c r="BG36" s="2363">
        <f t="shared" si="21"/>
        <v>0</v>
      </c>
      <c r="BH36" s="760"/>
      <c r="BI36" s="2374">
        <f t="shared" si="36"/>
        <v>0</v>
      </c>
      <c r="BJ36" s="2368">
        <f t="shared" si="22"/>
        <v>0</v>
      </c>
      <c r="BK36" s="2373"/>
      <c r="BL36" s="1576"/>
      <c r="BM36" s="1581"/>
      <c r="BN36" s="1581"/>
      <c r="BO36" s="1581"/>
      <c r="BP36" s="1581"/>
      <c r="BQ36" s="2302"/>
      <c r="BR36" s="2328"/>
      <c r="BS36" s="2327"/>
      <c r="BT36" s="2325"/>
      <c r="BU36" s="2332"/>
      <c r="BV36" s="1577"/>
      <c r="BW36" s="331"/>
      <c r="BX36" s="2330">
        <f t="shared" si="37"/>
        <v>0</v>
      </c>
      <c r="BY36" s="2331">
        <f t="shared" si="38"/>
        <v>0</v>
      </c>
      <c r="BZ36" s="2329">
        <f t="shared" si="39"/>
        <v>0</v>
      </c>
      <c r="CA36" s="334"/>
      <c r="CB36" s="343"/>
      <c r="CC36" s="320"/>
      <c r="CD36" s="337"/>
      <c r="CE36" s="2354"/>
      <c r="CF36" s="336"/>
      <c r="CG36" s="2355"/>
      <c r="CH36" s="333"/>
      <c r="CI36" s="1577"/>
      <c r="CJ36" s="1577"/>
      <c r="CK36" s="1577"/>
      <c r="CL36" s="1577"/>
      <c r="CM36" s="1577"/>
      <c r="CN36" s="1577"/>
      <c r="CO36" s="324"/>
    </row>
    <row r="37" spans="1:97" s="21" customFormat="1" ht="20.100000000000001" customHeight="1" x14ac:dyDescent="0.3">
      <c r="A37" s="347"/>
      <c r="B37" s="348">
        <f>SUMIFS('3a Staff Plan'!$T$129:$T$305,'3a Staff Plan'!$E$129:$E$305,$BQ37)</f>
        <v>0</v>
      </c>
      <c r="C37" s="348">
        <f>SUMIFS('3a Staff Plan'!$U$129:$U$305,'3a Staff Plan'!$E$129:$E$305,$BQ37)</f>
        <v>0</v>
      </c>
      <c r="D37" s="348">
        <f>SUMIFS('3a Staff Plan'!$Z$129:$Z$305,'3a Staff Plan'!$E$129:$E$305,$BQ37)</f>
        <v>0</v>
      </c>
      <c r="E37" s="348">
        <f>SUMIFS('3a Staff Plan'!$Y$129:$Y$305,'3a Staff Plan'!$E$129:$E$305,$BQ37)</f>
        <v>0</v>
      </c>
      <c r="F37" s="348">
        <f>SUMIFS('3a Staff Plan'!$X$129:$X$305,'3a Staff Plan'!$AG$129:$AG$305,1,'3a Staff Plan'!$E$129:$E$305,$BQ37)</f>
        <v>0</v>
      </c>
      <c r="G37" s="348">
        <f>SUMIFS('3a Staff Plan'!$AB$129:$AB$305,'3a Staff Plan'!$E$129:$E$305,$BQ37)</f>
        <v>0</v>
      </c>
      <c r="H37" s="348">
        <f>SUMIFS('3a Staff Plan'!$AA$129:$AA$305,'3a Staff Plan'!$AG$129:$AG$305,1,'3a Staff Plan'!$E$129:$E$305,$BQ37)</f>
        <v>0</v>
      </c>
      <c r="I37" s="348">
        <f t="shared" si="23"/>
        <v>0</v>
      </c>
      <c r="J37" s="348">
        <f t="shared" si="24"/>
        <v>0</v>
      </c>
      <c r="K37" s="2358">
        <f>IFERROR(INDEX('3a Staff Plan'!$F$129:$F$305,MATCH(BQ37,'3a Staff Plan'!$E$129:$E$305,0)),0)</f>
        <v>0</v>
      </c>
      <c r="L37" s="347"/>
      <c r="M37" s="348">
        <f>SUMIFS('3b Activity Plan'!$T$173:$T$365,'3b Activity Plan'!$E$173:$E$365,$BQ37)</f>
        <v>0</v>
      </c>
      <c r="N37" s="348">
        <f>SUMIFS('3b Activity Plan'!$U$173:$U$365,'3b Activity Plan'!$E$173:$E$365,$BQ37)</f>
        <v>0</v>
      </c>
      <c r="O37" s="348">
        <f>SUMIFS('3b Activity Plan'!$Z$173:$Z$365,'3b Activity Plan'!$E$173:$E$365,$BQ37)</f>
        <v>0</v>
      </c>
      <c r="P37" s="348">
        <f>SUMIFS('3b Activity Plan'!$Y$173:$Y$365,'3b Activity Plan'!$E$173:$E$365,$BQ37)</f>
        <v>0</v>
      </c>
      <c r="Q37" s="348">
        <f>SUMIFS('3b Activity Plan'!$X$173:$X$365,'3b Activity Plan'!$AH$173:$AH$365,1,'3b Activity Plan'!$E$173:$E$365,$BQ37)</f>
        <v>0</v>
      </c>
      <c r="R37" s="348">
        <f>SUMIFS('3b Activity Plan'!$AB$173:$AB$365,'3b Activity Plan'!$E$173:$E$365,$BQ37)</f>
        <v>0</v>
      </c>
      <c r="S37" s="348">
        <f>SUMIFS('3b Activity Plan'!$AA$173:$AA$365,'3b Activity Plan'!$AH$173:$AH$365,1,'3b Activity Plan'!$E$173:$E$365,$BQ37)</f>
        <v>0</v>
      </c>
      <c r="T37" s="348">
        <f t="shared" si="25"/>
        <v>0</v>
      </c>
      <c r="U37" s="348">
        <f t="shared" si="26"/>
        <v>0</v>
      </c>
      <c r="V37" s="2358">
        <f>IFERROR(INDEX('3b Activity Plan'!$F$173:$F$365,MATCH(BQ37,'3b Activity Plan'!$E$173:$E$365,0)),0)</f>
        <v>0</v>
      </c>
      <c r="W37" s="347"/>
      <c r="X37" s="348">
        <f t="shared" si="2"/>
        <v>0</v>
      </c>
      <c r="Y37" s="348">
        <f t="shared" si="3"/>
        <v>0</v>
      </c>
      <c r="Z37" s="348">
        <f t="shared" si="4"/>
        <v>0</v>
      </c>
      <c r="AA37" s="348">
        <f t="shared" si="5"/>
        <v>0</v>
      </c>
      <c r="AB37" s="348">
        <f t="shared" si="6"/>
        <v>0</v>
      </c>
      <c r="AC37" s="348">
        <f t="shared" si="7"/>
        <v>0</v>
      </c>
      <c r="AD37" s="348">
        <f t="shared" si="8"/>
        <v>0</v>
      </c>
      <c r="AE37" s="348">
        <f t="shared" si="9"/>
        <v>0</v>
      </c>
      <c r="AF37" s="348">
        <f t="shared" si="10"/>
        <v>0</v>
      </c>
      <c r="AG37" s="2358">
        <f t="shared" si="27"/>
        <v>0</v>
      </c>
      <c r="AH37" s="347"/>
      <c r="AI37" s="537">
        <f t="shared" si="11"/>
        <v>0</v>
      </c>
      <c r="AJ37" s="537">
        <f t="shared" si="12"/>
        <v>0</v>
      </c>
      <c r="AK37" s="1003">
        <f t="shared" si="28"/>
        <v>0</v>
      </c>
      <c r="AL37" s="2789"/>
      <c r="AM37" s="3220">
        <f t="shared" si="29"/>
        <v>0</v>
      </c>
      <c r="AN37" s="3220">
        <f t="shared" si="30"/>
        <v>0</v>
      </c>
      <c r="AO37" s="3220">
        <f t="shared" si="31"/>
        <v>0</v>
      </c>
      <c r="AP37" s="3220">
        <f t="shared" si="32"/>
        <v>0</v>
      </c>
      <c r="AQ37" s="3220">
        <f t="shared" si="13"/>
        <v>0</v>
      </c>
      <c r="AR37" s="3220">
        <f t="shared" si="33"/>
        <v>0</v>
      </c>
      <c r="AS37" s="347"/>
      <c r="AT37" s="1577"/>
      <c r="AU37" s="2363">
        <f t="shared" si="34"/>
        <v>0</v>
      </c>
      <c r="AV37" s="2367">
        <f t="shared" si="35"/>
        <v>0</v>
      </c>
      <c r="AW37" s="1574"/>
      <c r="AX37" s="2362">
        <f t="shared" si="14"/>
        <v>0</v>
      </c>
      <c r="AY37" s="2362">
        <f t="shared" si="15"/>
        <v>0</v>
      </c>
      <c r="AZ37" s="2362">
        <f t="shared" si="16"/>
        <v>0</v>
      </c>
      <c r="BA37" s="2362">
        <f t="shared" si="17"/>
        <v>0</v>
      </c>
      <c r="BB37" s="2361">
        <f t="shared" si="18"/>
        <v>0</v>
      </c>
      <c r="BC37" s="2361">
        <f t="shared" si="19"/>
        <v>0</v>
      </c>
      <c r="BD37" s="2361">
        <f t="shared" si="20"/>
        <v>0</v>
      </c>
      <c r="BE37" s="1576"/>
      <c r="BF37" s="1576"/>
      <c r="BG37" s="2363">
        <f t="shared" si="21"/>
        <v>0</v>
      </c>
      <c r="BH37" s="760"/>
      <c r="BI37" s="2374">
        <f t="shared" si="36"/>
        <v>0</v>
      </c>
      <c r="BJ37" s="2368">
        <f t="shared" si="22"/>
        <v>0</v>
      </c>
      <c r="BK37" s="2373"/>
      <c r="BL37" s="1576"/>
      <c r="BM37" s="1581"/>
      <c r="BN37" s="1581"/>
      <c r="BO37" s="1581"/>
      <c r="BP37" s="1581"/>
      <c r="BQ37" s="2302"/>
      <c r="BR37" s="2328"/>
      <c r="BS37" s="2327"/>
      <c r="BT37" s="2325"/>
      <c r="BU37" s="2332"/>
      <c r="BV37" s="1577"/>
      <c r="BW37" s="331"/>
      <c r="BX37" s="2330">
        <f t="shared" si="37"/>
        <v>0</v>
      </c>
      <c r="BY37" s="2331">
        <f t="shared" si="38"/>
        <v>0</v>
      </c>
      <c r="BZ37" s="2329">
        <f t="shared" si="39"/>
        <v>0</v>
      </c>
      <c r="CA37" s="334"/>
      <c r="CB37" s="343"/>
      <c r="CC37" s="320"/>
      <c r="CD37" s="337"/>
      <c r="CE37" s="2354"/>
      <c r="CF37" s="336"/>
      <c r="CG37" s="2355"/>
      <c r="CH37" s="333"/>
      <c r="CI37" s="1577"/>
      <c r="CJ37" s="1577"/>
      <c r="CK37" s="1577"/>
      <c r="CL37" s="1577"/>
      <c r="CM37" s="1577"/>
      <c r="CN37" s="1577"/>
      <c r="CO37" s="324"/>
    </row>
    <row r="38" spans="1:97" s="21" customFormat="1" ht="20.100000000000001" customHeight="1" x14ac:dyDescent="0.3">
      <c r="A38" s="347"/>
      <c r="B38" s="348">
        <f>SUMIFS('3a Staff Plan'!$T$129:$T$305,'3a Staff Plan'!$E$129:$E$305,$BQ38)</f>
        <v>0</v>
      </c>
      <c r="C38" s="348">
        <f>SUMIFS('3a Staff Plan'!$U$129:$U$305,'3a Staff Plan'!$E$129:$E$305,$BQ38)</f>
        <v>0</v>
      </c>
      <c r="D38" s="348">
        <f>SUMIFS('3a Staff Plan'!$Z$129:$Z$305,'3a Staff Plan'!$E$129:$E$305,$BQ38)</f>
        <v>0</v>
      </c>
      <c r="E38" s="348">
        <f>SUMIFS('3a Staff Plan'!$Y$129:$Y$305,'3a Staff Plan'!$E$129:$E$305,$BQ38)</f>
        <v>0</v>
      </c>
      <c r="F38" s="348">
        <f>SUMIFS('3a Staff Plan'!$X$129:$X$305,'3a Staff Plan'!$AG$129:$AG$305,1,'3a Staff Plan'!$E$129:$E$305,$BQ38)</f>
        <v>0</v>
      </c>
      <c r="G38" s="348">
        <f>SUMIFS('3a Staff Plan'!$AB$129:$AB$305,'3a Staff Plan'!$E$129:$E$305,$BQ38)</f>
        <v>0</v>
      </c>
      <c r="H38" s="348">
        <f>SUMIFS('3a Staff Plan'!$AA$129:$AA$305,'3a Staff Plan'!$AG$129:$AG$305,1,'3a Staff Plan'!$E$129:$E$305,$BQ38)</f>
        <v>0</v>
      </c>
      <c r="I38" s="348">
        <f t="shared" si="23"/>
        <v>0</v>
      </c>
      <c r="J38" s="348">
        <f t="shared" si="24"/>
        <v>0</v>
      </c>
      <c r="K38" s="2358">
        <f>IFERROR(INDEX('3a Staff Plan'!$F$129:$F$305,MATCH(BQ38,'3a Staff Plan'!$E$129:$E$305,0)),0)</f>
        <v>0</v>
      </c>
      <c r="L38" s="347"/>
      <c r="M38" s="348">
        <f>SUMIFS('3b Activity Plan'!$T$173:$T$365,'3b Activity Plan'!$E$173:$E$365,$BQ38)</f>
        <v>0</v>
      </c>
      <c r="N38" s="348">
        <f>SUMIFS('3b Activity Plan'!$U$173:$U$365,'3b Activity Plan'!$E$173:$E$365,$BQ38)</f>
        <v>0</v>
      </c>
      <c r="O38" s="348">
        <f>SUMIFS('3b Activity Plan'!$Z$173:$Z$365,'3b Activity Plan'!$E$173:$E$365,$BQ38)</f>
        <v>0</v>
      </c>
      <c r="P38" s="348">
        <f>SUMIFS('3b Activity Plan'!$Y$173:$Y$365,'3b Activity Plan'!$E$173:$E$365,$BQ38)</f>
        <v>0</v>
      </c>
      <c r="Q38" s="348">
        <f>SUMIFS('3b Activity Plan'!$X$173:$X$365,'3b Activity Plan'!$AH$173:$AH$365,1,'3b Activity Plan'!$E$173:$E$365,$BQ38)</f>
        <v>0</v>
      </c>
      <c r="R38" s="348">
        <f>SUMIFS('3b Activity Plan'!$AB$173:$AB$365,'3b Activity Plan'!$E$173:$E$365,$BQ38)</f>
        <v>0</v>
      </c>
      <c r="S38" s="348">
        <f>SUMIFS('3b Activity Plan'!$AA$173:$AA$365,'3b Activity Plan'!$AH$173:$AH$365,1,'3b Activity Plan'!$E$173:$E$365,$BQ38)</f>
        <v>0</v>
      </c>
      <c r="T38" s="348">
        <f t="shared" si="25"/>
        <v>0</v>
      </c>
      <c r="U38" s="348">
        <f t="shared" si="26"/>
        <v>0</v>
      </c>
      <c r="V38" s="2358">
        <f>IFERROR(INDEX('3b Activity Plan'!$F$173:$F$365,MATCH(BQ38,'3b Activity Plan'!$E$173:$E$365,0)),0)</f>
        <v>0</v>
      </c>
      <c r="W38" s="347"/>
      <c r="X38" s="348">
        <f t="shared" si="2"/>
        <v>0</v>
      </c>
      <c r="Y38" s="348">
        <f t="shared" si="3"/>
        <v>0</v>
      </c>
      <c r="Z38" s="348">
        <f t="shared" si="4"/>
        <v>0</v>
      </c>
      <c r="AA38" s="348">
        <f t="shared" si="5"/>
        <v>0</v>
      </c>
      <c r="AB38" s="348">
        <f t="shared" si="6"/>
        <v>0</v>
      </c>
      <c r="AC38" s="348">
        <f t="shared" si="7"/>
        <v>0</v>
      </c>
      <c r="AD38" s="348">
        <f t="shared" si="8"/>
        <v>0</v>
      </c>
      <c r="AE38" s="348">
        <f t="shared" si="9"/>
        <v>0</v>
      </c>
      <c r="AF38" s="348">
        <f t="shared" si="10"/>
        <v>0</v>
      </c>
      <c r="AG38" s="2358">
        <f t="shared" si="27"/>
        <v>0</v>
      </c>
      <c r="AH38" s="347"/>
      <c r="AI38" s="537">
        <f t="shared" si="11"/>
        <v>0</v>
      </c>
      <c r="AJ38" s="537">
        <f t="shared" si="12"/>
        <v>0</v>
      </c>
      <c r="AK38" s="1003">
        <f t="shared" si="28"/>
        <v>0</v>
      </c>
      <c r="AL38" s="2789"/>
      <c r="AM38" s="3220">
        <f t="shared" si="29"/>
        <v>0</v>
      </c>
      <c r="AN38" s="3220">
        <f t="shared" si="30"/>
        <v>0</v>
      </c>
      <c r="AO38" s="3220">
        <f t="shared" si="31"/>
        <v>0</v>
      </c>
      <c r="AP38" s="3220">
        <f t="shared" si="32"/>
        <v>0</v>
      </c>
      <c r="AQ38" s="3220">
        <f t="shared" si="13"/>
        <v>0</v>
      </c>
      <c r="AR38" s="3220">
        <f t="shared" si="33"/>
        <v>0</v>
      </c>
      <c r="AS38" s="347"/>
      <c r="AT38" s="1577"/>
      <c r="AU38" s="2363">
        <f t="shared" si="34"/>
        <v>0</v>
      </c>
      <c r="AV38" s="2367">
        <f t="shared" si="35"/>
        <v>0</v>
      </c>
      <c r="AW38" s="1574"/>
      <c r="AX38" s="2362">
        <f t="shared" si="14"/>
        <v>0</v>
      </c>
      <c r="AY38" s="2362">
        <f t="shared" si="15"/>
        <v>0</v>
      </c>
      <c r="AZ38" s="2362">
        <f t="shared" si="16"/>
        <v>0</v>
      </c>
      <c r="BA38" s="2362">
        <f t="shared" si="17"/>
        <v>0</v>
      </c>
      <c r="BB38" s="2361">
        <f t="shared" si="18"/>
        <v>0</v>
      </c>
      <c r="BC38" s="2361">
        <f t="shared" si="19"/>
        <v>0</v>
      </c>
      <c r="BD38" s="2361">
        <f t="shared" si="20"/>
        <v>0</v>
      </c>
      <c r="BE38" s="1576"/>
      <c r="BF38" s="1576"/>
      <c r="BG38" s="2363">
        <f t="shared" si="21"/>
        <v>0</v>
      </c>
      <c r="BH38" s="760"/>
      <c r="BI38" s="2374">
        <f t="shared" si="36"/>
        <v>0</v>
      </c>
      <c r="BJ38" s="2368">
        <f t="shared" si="22"/>
        <v>0</v>
      </c>
      <c r="BK38" s="2373"/>
      <c r="BL38" s="1576"/>
      <c r="BM38" s="1581"/>
      <c r="BN38" s="1581"/>
      <c r="BO38" s="1581"/>
      <c r="BP38" s="1581"/>
      <c r="BQ38" s="2302"/>
      <c r="BR38" s="2328"/>
      <c r="BS38" s="2327"/>
      <c r="BT38" s="2325"/>
      <c r="BU38" s="2332"/>
      <c r="BV38" s="1577"/>
      <c r="BW38" s="331"/>
      <c r="BX38" s="2330">
        <f t="shared" si="37"/>
        <v>0</v>
      </c>
      <c r="BY38" s="2331">
        <f t="shared" si="38"/>
        <v>0</v>
      </c>
      <c r="BZ38" s="2329">
        <f t="shared" si="39"/>
        <v>0</v>
      </c>
      <c r="CA38" s="334"/>
      <c r="CB38" s="343"/>
      <c r="CC38" s="320"/>
      <c r="CD38" s="337"/>
      <c r="CE38" s="2354"/>
      <c r="CF38" s="336"/>
      <c r="CG38" s="2355"/>
      <c r="CH38" s="333"/>
      <c r="CI38" s="1577"/>
      <c r="CJ38" s="1577"/>
      <c r="CK38" s="1577"/>
      <c r="CL38" s="1577"/>
      <c r="CM38" s="1577"/>
      <c r="CN38" s="1577"/>
      <c r="CO38" s="324"/>
    </row>
    <row r="39" spans="1:97" s="21" customFormat="1" ht="20.100000000000001" customHeight="1" thickBot="1" x14ac:dyDescent="0.35">
      <c r="A39" s="347"/>
      <c r="B39" s="348">
        <f>SUMIFS('3a Staff Plan'!$T$129:$T$305,'3a Staff Plan'!$E$129:$E$305,$BQ39)</f>
        <v>0</v>
      </c>
      <c r="C39" s="348">
        <f>SUMIFS('3a Staff Plan'!$U$129:$U$305,'3a Staff Plan'!$E$129:$E$305,$BQ39)</f>
        <v>0</v>
      </c>
      <c r="D39" s="348">
        <f>SUMIFS('3a Staff Plan'!$Z$129:$Z$305,'3a Staff Plan'!$E$129:$E$305,$BQ39)</f>
        <v>0</v>
      </c>
      <c r="E39" s="348">
        <f>SUMIFS('3a Staff Plan'!$Y$129:$Y$305,'3a Staff Plan'!$E$129:$E$305,$BQ39)</f>
        <v>0</v>
      </c>
      <c r="F39" s="348">
        <f>SUMIFS('3a Staff Plan'!$X$129:$X$305,'3a Staff Plan'!$AG$129:$AG$305,1,'3a Staff Plan'!$E$129:$E$305,$BQ39)</f>
        <v>0</v>
      </c>
      <c r="G39" s="348">
        <f>SUMIFS('3a Staff Plan'!$AB$129:$AB$305,'3a Staff Plan'!$E$129:$E$305,$BQ39)</f>
        <v>0</v>
      </c>
      <c r="H39" s="348">
        <f>SUMIFS('3a Staff Plan'!$AA$129:$AA$305,'3a Staff Plan'!$AG$129:$AG$305,1,'3a Staff Plan'!$E$129:$E$305,$BQ39)</f>
        <v>0</v>
      </c>
      <c r="I39" s="348">
        <f t="shared" si="23"/>
        <v>0</v>
      </c>
      <c r="J39" s="348">
        <f t="shared" si="24"/>
        <v>0</v>
      </c>
      <c r="K39" s="2358">
        <f>IFERROR(INDEX('3a Staff Plan'!$F$129:$F$305,MATCH(BQ39,'3a Staff Plan'!$E$129:$E$305,0)),0)</f>
        <v>0</v>
      </c>
      <c r="L39" s="347"/>
      <c r="M39" s="348">
        <f>SUMIFS('3b Activity Plan'!$T$173:$T$365,'3b Activity Plan'!$E$173:$E$365,$BQ39)</f>
        <v>0</v>
      </c>
      <c r="N39" s="348">
        <f>SUMIFS('3b Activity Plan'!$U$173:$U$365,'3b Activity Plan'!$E$173:$E$365,$BQ39)</f>
        <v>0</v>
      </c>
      <c r="O39" s="348">
        <f>SUMIFS('3b Activity Plan'!$Z$173:$Z$365,'3b Activity Plan'!$E$173:$E$365,$BQ39)</f>
        <v>0</v>
      </c>
      <c r="P39" s="348">
        <f>SUMIFS('3b Activity Plan'!$Y$173:$Y$365,'3b Activity Plan'!$E$173:$E$365,$BQ39)</f>
        <v>0</v>
      </c>
      <c r="Q39" s="348">
        <f>SUMIFS('3b Activity Plan'!$X$173:$X$365,'3b Activity Plan'!$AH$173:$AH$365,1,'3b Activity Plan'!$E$173:$E$365,$BQ39)</f>
        <v>0</v>
      </c>
      <c r="R39" s="348">
        <f>SUMIFS('3b Activity Plan'!$AB$173:$AB$365,'3b Activity Plan'!$E$173:$E$365,$BQ39)</f>
        <v>0</v>
      </c>
      <c r="S39" s="348">
        <f>SUMIFS('3b Activity Plan'!$AA$173:$AA$365,'3b Activity Plan'!$AH$173:$AH$365,1,'3b Activity Plan'!$E$173:$E$365,$BQ39)</f>
        <v>0</v>
      </c>
      <c r="T39" s="348">
        <f t="shared" si="25"/>
        <v>0</v>
      </c>
      <c r="U39" s="348">
        <f t="shared" si="26"/>
        <v>0</v>
      </c>
      <c r="V39" s="2358">
        <f>IFERROR(INDEX('3b Activity Plan'!$F$173:$F$365,MATCH(BQ39,'3b Activity Plan'!$E$173:$E$365,0)),0)</f>
        <v>0</v>
      </c>
      <c r="W39" s="347"/>
      <c r="X39" s="348">
        <f t="shared" si="2"/>
        <v>0</v>
      </c>
      <c r="Y39" s="348">
        <f t="shared" si="3"/>
        <v>0</v>
      </c>
      <c r="Z39" s="348">
        <f t="shared" si="4"/>
        <v>0</v>
      </c>
      <c r="AA39" s="348">
        <f t="shared" si="5"/>
        <v>0</v>
      </c>
      <c r="AB39" s="348">
        <f t="shared" si="6"/>
        <v>0</v>
      </c>
      <c r="AC39" s="348">
        <f t="shared" si="7"/>
        <v>0</v>
      </c>
      <c r="AD39" s="348">
        <f t="shared" si="8"/>
        <v>0</v>
      </c>
      <c r="AE39" s="348">
        <f t="shared" si="9"/>
        <v>0</v>
      </c>
      <c r="AF39" s="348">
        <f t="shared" si="10"/>
        <v>0</v>
      </c>
      <c r="AG39" s="2358">
        <f t="shared" si="27"/>
        <v>0</v>
      </c>
      <c r="AH39" s="347"/>
      <c r="AI39" s="537">
        <f t="shared" si="11"/>
        <v>0</v>
      </c>
      <c r="AJ39" s="537">
        <f t="shared" si="12"/>
        <v>0</v>
      </c>
      <c r="AK39" s="1003">
        <f t="shared" si="28"/>
        <v>0</v>
      </c>
      <c r="AL39" s="2789"/>
      <c r="AM39" s="3220">
        <f t="shared" si="29"/>
        <v>0</v>
      </c>
      <c r="AN39" s="3220">
        <f t="shared" si="30"/>
        <v>0</v>
      </c>
      <c r="AO39" s="3220">
        <f t="shared" si="31"/>
        <v>0</v>
      </c>
      <c r="AP39" s="3220">
        <f t="shared" si="32"/>
        <v>0</v>
      </c>
      <c r="AQ39" s="3220">
        <f t="shared" si="13"/>
        <v>0</v>
      </c>
      <c r="AR39" s="3220">
        <f t="shared" si="33"/>
        <v>0</v>
      </c>
      <c r="AS39" s="347"/>
      <c r="AT39" s="1577"/>
      <c r="AU39" s="2363">
        <f t="shared" si="34"/>
        <v>0</v>
      </c>
      <c r="AV39" s="2367">
        <f t="shared" si="35"/>
        <v>0</v>
      </c>
      <c r="AW39" s="1574"/>
      <c r="AX39" s="2364">
        <f t="shared" si="14"/>
        <v>0</v>
      </c>
      <c r="AY39" s="2364">
        <f t="shared" si="15"/>
        <v>0</v>
      </c>
      <c r="AZ39" s="2364">
        <f t="shared" si="16"/>
        <v>0</v>
      </c>
      <c r="BA39" s="2364">
        <f t="shared" si="17"/>
        <v>0</v>
      </c>
      <c r="BB39" s="2364">
        <f t="shared" si="18"/>
        <v>0</v>
      </c>
      <c r="BC39" s="2364">
        <f t="shared" si="19"/>
        <v>0</v>
      </c>
      <c r="BD39" s="2364">
        <f t="shared" si="20"/>
        <v>0</v>
      </c>
      <c r="BE39" s="1576"/>
      <c r="BF39" s="1576"/>
      <c r="BG39" s="2363">
        <f t="shared" si="21"/>
        <v>0</v>
      </c>
      <c r="BH39" s="760"/>
      <c r="BI39" s="2374">
        <f t="shared" si="36"/>
        <v>0</v>
      </c>
      <c r="BJ39" s="2368">
        <f t="shared" si="22"/>
        <v>0</v>
      </c>
      <c r="BK39" s="2373"/>
      <c r="BL39" s="1576"/>
      <c r="BM39" s="1581"/>
      <c r="BN39" s="1581"/>
      <c r="BO39" s="1581"/>
      <c r="BP39" s="1581"/>
      <c r="BQ39" s="2340"/>
      <c r="BR39" s="2341"/>
      <c r="BS39" s="2342"/>
      <c r="BT39" s="2343"/>
      <c r="BU39" s="2341"/>
      <c r="BV39" s="1577"/>
      <c r="BW39" s="331"/>
      <c r="BX39" s="2330">
        <f t="shared" si="37"/>
        <v>0</v>
      </c>
      <c r="BY39" s="2331">
        <f t="shared" si="38"/>
        <v>0</v>
      </c>
      <c r="BZ39" s="2329">
        <f t="shared" si="39"/>
        <v>0</v>
      </c>
      <c r="CA39" s="334"/>
      <c r="CB39" s="343"/>
      <c r="CC39" s="320"/>
      <c r="CD39" s="337"/>
      <c r="CE39" s="2354"/>
      <c r="CF39" s="336"/>
      <c r="CG39" s="2355"/>
      <c r="CH39" s="333"/>
      <c r="CI39" s="1577"/>
      <c r="CJ39" s="1577"/>
      <c r="CK39" s="1577"/>
      <c r="CL39" s="1577"/>
      <c r="CM39" s="1577"/>
      <c r="CN39" s="1577"/>
      <c r="CO39" s="324"/>
    </row>
    <row r="40" spans="1:97" s="21" customFormat="1" ht="20.25" customHeight="1" thickTop="1" thickBot="1" x14ac:dyDescent="0.3">
      <c r="A40" s="347"/>
      <c r="B40" s="347"/>
      <c r="C40" s="347"/>
      <c r="D40" s="347"/>
      <c r="E40" s="347"/>
      <c r="F40" s="347"/>
      <c r="G40" s="347"/>
      <c r="H40" s="347"/>
      <c r="I40" s="347"/>
      <c r="J40" s="347"/>
      <c r="K40" s="347"/>
      <c r="L40" s="347"/>
      <c r="M40" s="347"/>
      <c r="N40" s="347"/>
      <c r="O40" s="347"/>
      <c r="P40" s="347"/>
      <c r="Q40" s="347"/>
      <c r="R40" s="347"/>
      <c r="S40" s="347"/>
      <c r="T40" s="347"/>
      <c r="U40" s="347"/>
      <c r="V40" s="347"/>
      <c r="W40" s="347"/>
      <c r="X40" s="347"/>
      <c r="Y40" s="347"/>
      <c r="Z40" s="347"/>
      <c r="AA40" s="347"/>
      <c r="AB40" s="347"/>
      <c r="AC40" s="347"/>
      <c r="AD40" s="347"/>
      <c r="AE40" s="347"/>
      <c r="AF40" s="347"/>
      <c r="AG40" s="347"/>
      <c r="AH40" s="347"/>
      <c r="AI40" s="347"/>
      <c r="AJ40" s="347"/>
      <c r="AK40" s="347"/>
      <c r="AL40" s="347"/>
      <c r="AM40" s="3221"/>
      <c r="AN40" s="3222"/>
      <c r="AO40" s="3222"/>
      <c r="AP40" s="3222"/>
      <c r="AQ40" s="3222"/>
      <c r="AR40" s="3223"/>
      <c r="AS40" s="347"/>
      <c r="AT40" s="1577"/>
      <c r="AU40" s="2369" t="s">
        <v>1194</v>
      </c>
      <c r="AV40" s="2344"/>
      <c r="AW40" s="2344"/>
      <c r="AX40" s="2344"/>
      <c r="AY40" s="2344"/>
      <c r="AZ40" s="2345"/>
      <c r="BA40" s="2345"/>
      <c r="BB40" s="2345"/>
      <c r="BC40" s="2345"/>
      <c r="BD40" s="2345"/>
      <c r="BE40" s="2345"/>
      <c r="BF40" s="2345"/>
      <c r="BG40" s="2345"/>
      <c r="BH40" s="2345"/>
      <c r="BI40" s="2345"/>
      <c r="BJ40" s="2345"/>
      <c r="BK40" s="2372"/>
      <c r="BL40" s="1576"/>
      <c r="BM40" s="1577"/>
      <c r="BN40" s="1577"/>
      <c r="BO40" s="1577"/>
      <c r="BP40" s="1577"/>
      <c r="BQ40" s="2366" t="s">
        <v>1194</v>
      </c>
      <c r="BR40" s="2337"/>
      <c r="BS40" s="2338"/>
      <c r="BT40" s="2338"/>
      <c r="BU40" s="2339"/>
      <c r="BV40" s="1577"/>
      <c r="BW40" s="338"/>
      <c r="BX40" s="339"/>
      <c r="BY40" s="339"/>
      <c r="BZ40" s="340"/>
      <c r="CA40" s="340"/>
      <c r="CB40" s="340"/>
      <c r="CC40" s="340"/>
      <c r="CD40" s="340"/>
      <c r="CE40" s="340"/>
      <c r="CF40" s="340"/>
      <c r="CG40" s="340"/>
      <c r="CH40" s="341"/>
      <c r="CI40" s="1577"/>
      <c r="CJ40" s="1577"/>
      <c r="CK40" s="1577"/>
      <c r="CL40" s="1577"/>
      <c r="CM40" s="1577"/>
      <c r="CN40" s="1577"/>
      <c r="CO40" s="324"/>
    </row>
    <row r="41" spans="1:97" s="21" customFormat="1" ht="18" customHeight="1" thickTop="1" x14ac:dyDescent="0.25">
      <c r="A41" s="347"/>
      <c r="B41" s="347"/>
      <c r="C41" s="347"/>
      <c r="D41" s="347"/>
      <c r="E41" s="347"/>
      <c r="F41" s="347"/>
      <c r="G41" s="347"/>
      <c r="H41" s="347"/>
      <c r="I41" s="347"/>
      <c r="J41" s="347"/>
      <c r="K41" s="347"/>
      <c r="L41" s="347"/>
      <c r="M41" s="347"/>
      <c r="N41" s="347"/>
      <c r="O41" s="347"/>
      <c r="P41" s="347"/>
      <c r="Q41" s="347"/>
      <c r="R41" s="347"/>
      <c r="S41" s="347"/>
      <c r="T41" s="347"/>
      <c r="U41" s="347"/>
      <c r="V41" s="347"/>
      <c r="W41" s="347"/>
      <c r="X41" s="347"/>
      <c r="Y41" s="347"/>
      <c r="Z41" s="347"/>
      <c r="AA41" s="347"/>
      <c r="AB41" s="347"/>
      <c r="AC41" s="347"/>
      <c r="AD41" s="347"/>
      <c r="AE41" s="347"/>
      <c r="AF41" s="347"/>
      <c r="AG41" s="347"/>
      <c r="AH41" s="347"/>
      <c r="AI41" s="347"/>
      <c r="AJ41" s="347"/>
      <c r="AK41" s="347"/>
      <c r="AL41" s="347"/>
      <c r="AM41" s="347"/>
      <c r="AN41" s="347"/>
      <c r="AO41" s="347"/>
      <c r="AP41" s="347"/>
      <c r="AQ41" s="347"/>
      <c r="AR41" s="347"/>
      <c r="AS41" s="347"/>
      <c r="AT41" s="1577"/>
      <c r="AU41" s="1577"/>
      <c r="AV41" s="1574"/>
      <c r="AW41" s="1574"/>
      <c r="AX41" s="1574"/>
      <c r="AY41" s="1577"/>
      <c r="AZ41" s="1577"/>
      <c r="BA41" s="1577"/>
      <c r="BB41" s="1577"/>
      <c r="BC41" s="1577"/>
      <c r="BD41" s="1577"/>
      <c r="BE41" s="1577"/>
      <c r="BF41" s="1577"/>
      <c r="BG41" s="1577"/>
      <c r="BH41" s="1577"/>
      <c r="BI41" s="1577"/>
      <c r="BJ41" s="1577"/>
      <c r="BK41" s="1576"/>
      <c r="BL41" s="1576"/>
      <c r="BM41" s="1577"/>
      <c r="BN41" s="1577"/>
      <c r="BO41" s="1577"/>
      <c r="BP41" s="1577"/>
      <c r="BQ41" s="1577"/>
      <c r="BR41" s="1577"/>
      <c r="BS41" s="1577"/>
      <c r="BT41" s="1577"/>
      <c r="BU41" s="1577"/>
      <c r="BV41" s="1577"/>
      <c r="BW41" s="1577"/>
      <c r="BX41" s="1578"/>
      <c r="BY41" s="1578"/>
      <c r="BZ41" s="1577"/>
      <c r="CA41" s="1577"/>
      <c r="CB41" s="1577"/>
      <c r="CC41" s="1577"/>
      <c r="CD41" s="1577"/>
      <c r="CE41" s="1577"/>
      <c r="CF41" s="1577"/>
      <c r="CG41" s="1577"/>
      <c r="CH41" s="1577"/>
      <c r="CI41" s="1577"/>
      <c r="CJ41" s="1577"/>
      <c r="CK41" s="1577"/>
      <c r="CL41" s="1577"/>
      <c r="CM41" s="1577"/>
      <c r="CN41" s="1577"/>
      <c r="CO41" s="324"/>
      <c r="CP41" s="324"/>
      <c r="CQ41" s="324"/>
      <c r="CR41" s="324"/>
      <c r="CS41" s="324"/>
    </row>
    <row r="42" spans="1:97" s="21" customFormat="1" ht="56.25" customHeight="1" x14ac:dyDescent="0.25">
      <c r="AT42" s="1577"/>
      <c r="AU42" s="1577"/>
      <c r="AV42" s="1574"/>
      <c r="AW42" s="1574"/>
      <c r="AX42" s="1574"/>
      <c r="AY42" s="1577"/>
      <c r="AZ42" s="1577"/>
      <c r="BA42" s="1577"/>
      <c r="BB42" s="1577"/>
      <c r="BC42" s="1577"/>
      <c r="BD42" s="1577"/>
      <c r="BE42" s="1577"/>
      <c r="BF42" s="1577"/>
      <c r="BG42" s="1577"/>
      <c r="BH42" s="1577"/>
      <c r="BI42" s="1577"/>
      <c r="BJ42" s="1577"/>
      <c r="BK42" s="1577"/>
      <c r="BL42" s="1577"/>
      <c r="BM42" s="1577"/>
      <c r="BN42" s="1577"/>
      <c r="BO42" s="1577"/>
      <c r="BP42" s="1577"/>
      <c r="BQ42" s="1577"/>
      <c r="BR42" s="1577"/>
      <c r="BS42" s="1577"/>
      <c r="BT42" s="1577"/>
      <c r="BU42" s="1577"/>
      <c r="BV42" s="1577"/>
      <c r="BW42" s="1577"/>
      <c r="BX42" s="1579"/>
      <c r="BY42" s="1579"/>
      <c r="BZ42" s="1580"/>
      <c r="CA42" s="1580"/>
      <c r="CB42" s="1580"/>
      <c r="CC42" s="1580"/>
      <c r="CD42" s="1580"/>
      <c r="CE42" s="1580"/>
      <c r="CF42" s="1580"/>
      <c r="CG42" s="1580"/>
      <c r="CH42" s="1577"/>
      <c r="CI42" s="1577"/>
      <c r="CJ42" s="1577"/>
      <c r="CK42" s="1577"/>
      <c r="CL42" s="1577"/>
      <c r="CM42" s="1577"/>
      <c r="CN42" s="1577"/>
      <c r="CO42" s="324"/>
      <c r="CP42" s="324"/>
      <c r="CQ42" s="324"/>
      <c r="CR42" s="324"/>
      <c r="CS42" s="324"/>
    </row>
    <row r="43" spans="1:97" s="21" customFormat="1" ht="18" customHeight="1" x14ac:dyDescent="0.3">
      <c r="AT43" s="1577"/>
      <c r="AU43" s="1577"/>
      <c r="AV43" s="1577"/>
      <c r="AW43" s="1577"/>
      <c r="AX43" s="1577"/>
      <c r="AY43" s="1577"/>
      <c r="AZ43" s="1577"/>
      <c r="BA43" s="1577"/>
      <c r="BB43" s="1577"/>
      <c r="BC43" s="1577"/>
      <c r="BD43" s="1577"/>
      <c r="BE43" s="1577"/>
      <c r="BF43" s="1577"/>
      <c r="BG43" s="1577"/>
      <c r="BH43" s="1577"/>
      <c r="BI43" s="1577"/>
      <c r="BJ43" s="1577"/>
      <c r="BK43" s="1577"/>
      <c r="BL43" s="1577"/>
      <c r="BM43" s="1577"/>
      <c r="BN43" s="1577"/>
      <c r="BO43" s="1577"/>
      <c r="BP43" s="1577"/>
      <c r="BQ43" s="1577"/>
      <c r="BR43" s="1577"/>
      <c r="BS43" s="1577"/>
      <c r="BT43" s="1577"/>
      <c r="BU43" s="1577"/>
      <c r="BV43" s="1577"/>
      <c r="BW43" s="1577"/>
      <c r="BX43" s="1578"/>
      <c r="BY43" s="1578"/>
      <c r="BZ43" s="1577"/>
      <c r="CA43" s="1577"/>
      <c r="CB43" s="1577"/>
      <c r="CC43" s="1577"/>
      <c r="CD43" s="1577"/>
      <c r="CE43" s="1577"/>
      <c r="CF43" s="1577"/>
      <c r="CG43" s="1577"/>
      <c r="CH43" s="1577"/>
      <c r="CI43" s="1577"/>
      <c r="CJ43" s="1577"/>
      <c r="CK43" s="1577"/>
      <c r="CL43" s="1577"/>
      <c r="CM43" s="1577"/>
      <c r="CN43" s="1577"/>
      <c r="CO43" s="324"/>
      <c r="CP43" s="324"/>
      <c r="CQ43" s="324"/>
      <c r="CR43" s="324"/>
      <c r="CS43" s="324"/>
    </row>
    <row r="44" spans="1:97" s="21" customFormat="1" ht="18" customHeight="1" x14ac:dyDescent="0.3">
      <c r="AT44" s="1577"/>
      <c r="AU44" s="1577"/>
      <c r="AV44" s="1577"/>
      <c r="AW44" s="1577"/>
      <c r="AX44" s="1577"/>
      <c r="AY44" s="1577"/>
      <c r="AZ44" s="1577"/>
      <c r="BA44" s="1577"/>
      <c r="BB44" s="1577"/>
      <c r="BC44" s="1577"/>
      <c r="BD44" s="1577"/>
      <c r="BE44" s="1577"/>
      <c r="BF44" s="1577"/>
      <c r="BG44" s="1577"/>
      <c r="BH44" s="1577"/>
      <c r="BI44" s="1577"/>
      <c r="BJ44" s="1577"/>
      <c r="BK44" s="1577"/>
      <c r="BL44" s="1577"/>
      <c r="BM44" s="1577"/>
      <c r="BN44" s="1577"/>
      <c r="BO44" s="1577"/>
      <c r="BP44" s="1577"/>
      <c r="BQ44" s="1577"/>
      <c r="BR44" s="1577"/>
      <c r="BS44" s="1577"/>
      <c r="BT44" s="1577"/>
      <c r="BU44" s="1577"/>
      <c r="BV44" s="1577"/>
      <c r="BW44" s="1577"/>
      <c r="BX44" s="1578"/>
      <c r="BY44" s="1578"/>
      <c r="BZ44" s="1577"/>
      <c r="CA44" s="1577"/>
      <c r="CB44" s="1577"/>
      <c r="CC44" s="1577"/>
      <c r="CD44" s="1577"/>
      <c r="CE44" s="1577"/>
      <c r="CF44" s="1577"/>
      <c r="CG44" s="1577"/>
      <c r="CH44" s="1577"/>
      <c r="CI44" s="1577"/>
      <c r="CJ44" s="1577"/>
      <c r="CK44" s="1577"/>
      <c r="CL44" s="1577"/>
      <c r="CM44" s="1577"/>
      <c r="CN44" s="1577"/>
      <c r="CO44" s="324"/>
      <c r="CP44" s="324"/>
      <c r="CQ44" s="324"/>
      <c r="CR44" s="324"/>
      <c r="CS44" s="324"/>
    </row>
    <row r="45" spans="1:97" s="21" customFormat="1" ht="18" customHeight="1" x14ac:dyDescent="0.3">
      <c r="AT45" s="324"/>
      <c r="AU45" s="324"/>
      <c r="AV45" s="324"/>
      <c r="AW45" s="324"/>
      <c r="AX45" s="324"/>
      <c r="AY45" s="324"/>
      <c r="AZ45" s="324"/>
      <c r="BA45" s="324"/>
      <c r="BB45" s="324"/>
      <c r="BC45" s="324"/>
      <c r="BD45" s="324"/>
      <c r="BE45" s="324"/>
      <c r="BF45" s="324"/>
      <c r="BG45" s="324"/>
      <c r="BH45" s="324"/>
      <c r="BI45" s="324"/>
      <c r="BJ45" s="324"/>
      <c r="BK45" s="324"/>
      <c r="BL45" s="324"/>
      <c r="BM45" s="324"/>
      <c r="BN45" s="324"/>
      <c r="BO45" s="324"/>
      <c r="BP45" s="324"/>
      <c r="BQ45" s="324"/>
      <c r="BR45" s="324"/>
      <c r="BS45" s="324"/>
      <c r="BT45" s="324"/>
      <c r="BU45" s="324"/>
      <c r="BV45" s="324"/>
      <c r="BW45" s="324"/>
      <c r="BX45" s="326"/>
      <c r="BY45" s="326"/>
      <c r="BZ45" s="324"/>
      <c r="CA45" s="324"/>
      <c r="CB45" s="324"/>
      <c r="CC45" s="324"/>
      <c r="CD45" s="324"/>
      <c r="CE45" s="324"/>
      <c r="CF45" s="324"/>
      <c r="CG45" s="324"/>
      <c r="CH45" s="324"/>
      <c r="CI45" s="324"/>
      <c r="CJ45" s="324"/>
      <c r="CK45" s="324"/>
      <c r="CL45" s="324"/>
      <c r="CM45" s="324"/>
      <c r="CN45" s="324"/>
      <c r="CO45" s="324"/>
      <c r="CP45" s="324"/>
      <c r="CQ45" s="324"/>
      <c r="CR45" s="324"/>
      <c r="CS45" s="324"/>
    </row>
    <row r="46" spans="1:97" s="21" customFormat="1" ht="18" customHeight="1" x14ac:dyDescent="0.3">
      <c r="AT46" s="324"/>
      <c r="AU46" s="324"/>
      <c r="AV46" s="324"/>
      <c r="AW46" s="324"/>
      <c r="AX46" s="324"/>
      <c r="AY46" s="324"/>
      <c r="AZ46" s="324"/>
      <c r="BA46" s="324"/>
      <c r="BB46" s="324"/>
      <c r="BC46" s="324"/>
      <c r="BD46" s="324"/>
      <c r="BE46" s="324"/>
      <c r="BF46" s="324"/>
      <c r="BG46" s="324"/>
      <c r="BH46" s="324"/>
      <c r="BI46" s="324"/>
      <c r="BJ46" s="324"/>
      <c r="BK46" s="324"/>
      <c r="BL46" s="324"/>
      <c r="BM46" s="324"/>
      <c r="BN46" s="324"/>
      <c r="BO46" s="324"/>
      <c r="BP46" s="324"/>
      <c r="BQ46" s="324"/>
      <c r="BR46" s="324"/>
      <c r="BS46" s="324"/>
      <c r="BT46" s="324"/>
      <c r="BU46" s="324"/>
      <c r="BV46" s="324"/>
      <c r="BW46" s="324"/>
      <c r="BX46" s="326"/>
      <c r="BY46" s="326"/>
      <c r="BZ46" s="324"/>
      <c r="CA46" s="324"/>
      <c r="CB46" s="324"/>
      <c r="CC46" s="324"/>
      <c r="CD46" s="324"/>
      <c r="CE46" s="324"/>
      <c r="CF46" s="324"/>
      <c r="CG46" s="324"/>
      <c r="CH46" s="324"/>
      <c r="CI46" s="324"/>
      <c r="CJ46" s="324"/>
      <c r="CK46" s="324"/>
      <c r="CL46" s="324"/>
      <c r="CM46" s="324"/>
      <c r="CN46" s="324"/>
      <c r="CO46" s="324"/>
      <c r="CP46" s="324"/>
      <c r="CQ46" s="324"/>
      <c r="CR46" s="324"/>
      <c r="CS46" s="324"/>
    </row>
    <row r="47" spans="1:97" s="21" customFormat="1" ht="18" customHeight="1" x14ac:dyDescent="0.3">
      <c r="AT47" s="324"/>
      <c r="AU47" s="324"/>
      <c r="AV47" s="324"/>
      <c r="AW47" s="324"/>
      <c r="AX47" s="324"/>
      <c r="AY47" s="324"/>
      <c r="AZ47" s="324"/>
      <c r="BA47" s="324"/>
      <c r="BB47" s="324"/>
      <c r="BC47" s="324"/>
      <c r="BD47" s="324"/>
      <c r="BE47" s="324"/>
      <c r="BF47" s="324"/>
      <c r="BG47" s="324"/>
      <c r="BH47" s="324"/>
      <c r="BI47" s="324"/>
      <c r="BJ47" s="324"/>
      <c r="BK47" s="324"/>
      <c r="BL47" s="324"/>
      <c r="BM47" s="324"/>
      <c r="BN47" s="324"/>
      <c r="BO47" s="324"/>
      <c r="BP47" s="324"/>
      <c r="BQ47" s="324"/>
      <c r="BR47" s="324"/>
      <c r="BS47" s="324"/>
      <c r="BT47" s="324"/>
      <c r="BU47" s="324"/>
      <c r="BV47" s="324"/>
      <c r="BW47" s="324"/>
      <c r="BX47" s="326"/>
      <c r="BY47" s="326"/>
      <c r="BZ47" s="324"/>
      <c r="CA47" s="324"/>
      <c r="CB47" s="324"/>
      <c r="CC47" s="324"/>
      <c r="CD47" s="324"/>
      <c r="CE47" s="324"/>
      <c r="CF47" s="324"/>
      <c r="CG47" s="324"/>
      <c r="CH47" s="324"/>
      <c r="CI47" s="324"/>
      <c r="CJ47" s="324"/>
      <c r="CK47" s="324"/>
      <c r="CL47" s="324"/>
      <c r="CM47" s="324"/>
      <c r="CN47" s="324"/>
      <c r="CO47" s="324"/>
      <c r="CP47" s="324"/>
      <c r="CQ47" s="324"/>
      <c r="CR47" s="324"/>
      <c r="CS47" s="324"/>
    </row>
    <row r="48" spans="1:97" s="21" customFormat="1" ht="18" customHeight="1" x14ac:dyDescent="0.3">
      <c r="BX48" s="15"/>
      <c r="BY48" s="15"/>
    </row>
    <row r="49" spans="76:77" s="21" customFormat="1" ht="18" customHeight="1" x14ac:dyDescent="0.3">
      <c r="BX49" s="15"/>
      <c r="BY49" s="15"/>
    </row>
    <row r="50" spans="76:77" s="21" customFormat="1" ht="18" customHeight="1" x14ac:dyDescent="0.3">
      <c r="BX50" s="15"/>
      <c r="BY50" s="15"/>
    </row>
    <row r="51" spans="76:77" s="21" customFormat="1" ht="18" customHeight="1" x14ac:dyDescent="0.3">
      <c r="BX51" s="15"/>
      <c r="BY51" s="15"/>
    </row>
    <row r="52" spans="76:77" s="21" customFormat="1" ht="18" customHeight="1" x14ac:dyDescent="0.3">
      <c r="BX52" s="15"/>
      <c r="BY52" s="15"/>
    </row>
    <row r="53" spans="76:77" s="21" customFormat="1" ht="18" customHeight="1" x14ac:dyDescent="0.3">
      <c r="BX53" s="15"/>
      <c r="BY53" s="15"/>
    </row>
    <row r="54" spans="76:77" s="21" customFormat="1" ht="18" customHeight="1" x14ac:dyDescent="0.3">
      <c r="BX54" s="15"/>
      <c r="BY54" s="15"/>
    </row>
    <row r="55" spans="76:77" s="21" customFormat="1" ht="18" customHeight="1" x14ac:dyDescent="0.3">
      <c r="BX55" s="15"/>
      <c r="BY55" s="15"/>
    </row>
    <row r="56" spans="76:77" s="21" customFormat="1" ht="18" customHeight="1" x14ac:dyDescent="0.3">
      <c r="BX56" s="15"/>
      <c r="BY56" s="15"/>
    </row>
    <row r="57" spans="76:77" s="21" customFormat="1" ht="18" customHeight="1" x14ac:dyDescent="0.3">
      <c r="BX57" s="15"/>
      <c r="BY57" s="15"/>
    </row>
    <row r="58" spans="76:77" s="21" customFormat="1" ht="18" customHeight="1" x14ac:dyDescent="0.3">
      <c r="BX58" s="15"/>
      <c r="BY58" s="15"/>
    </row>
    <row r="59" spans="76:77" s="21" customFormat="1" ht="18" customHeight="1" x14ac:dyDescent="0.3">
      <c r="BX59" s="15"/>
      <c r="BY59" s="15"/>
    </row>
    <row r="60" spans="76:77" s="21" customFormat="1" ht="18" customHeight="1" x14ac:dyDescent="0.3">
      <c r="BX60" s="15"/>
      <c r="BY60" s="15"/>
    </row>
    <row r="61" spans="76:77" s="21" customFormat="1" ht="18" customHeight="1" x14ac:dyDescent="0.3">
      <c r="BX61" s="15"/>
      <c r="BY61" s="15"/>
    </row>
    <row r="62" spans="76:77" s="21" customFormat="1" ht="18" customHeight="1" x14ac:dyDescent="0.3">
      <c r="BX62" s="15"/>
      <c r="BY62" s="15"/>
    </row>
    <row r="63" spans="76:77" s="21" customFormat="1" ht="18" customHeight="1" x14ac:dyDescent="0.3">
      <c r="BX63" s="15"/>
      <c r="BY63" s="15"/>
    </row>
  </sheetData>
  <mergeCells count="44">
    <mergeCell ref="B23:C23"/>
    <mergeCell ref="K23:K24"/>
    <mergeCell ref="CE20:CG22"/>
    <mergeCell ref="BX24:CB24"/>
    <mergeCell ref="CD24:CG24"/>
    <mergeCell ref="BC23:BD23"/>
    <mergeCell ref="M23:N23"/>
    <mergeCell ref="R23:S23"/>
    <mergeCell ref="T23:T24"/>
    <mergeCell ref="G23:H23"/>
    <mergeCell ref="I23:I24"/>
    <mergeCell ref="J23:J24"/>
    <mergeCell ref="BJ24:BK24"/>
    <mergeCell ref="BJ21:BK21"/>
    <mergeCell ref="U23:U24"/>
    <mergeCell ref="AX23:AY23"/>
    <mergeCell ref="X23:Y23"/>
    <mergeCell ref="AC23:AD23"/>
    <mergeCell ref="AE23:AE24"/>
    <mergeCell ref="AF23:AF24"/>
    <mergeCell ref="V23:V24"/>
    <mergeCell ref="AG23:AG24"/>
    <mergeCell ref="AI22:AI25"/>
    <mergeCell ref="AJ22:AJ25"/>
    <mergeCell ref="AM21:AM24"/>
    <mergeCell ref="AN21:AN24"/>
    <mergeCell ref="AP21:AP24"/>
    <mergeCell ref="AQ21:AQ24"/>
    <mergeCell ref="AO21:AO24"/>
    <mergeCell ref="AM25:AR25"/>
    <mergeCell ref="AR21:AR24"/>
    <mergeCell ref="BD15:BG16"/>
    <mergeCell ref="AX20:BG21"/>
    <mergeCell ref="AU14:BC15"/>
    <mergeCell ref="BJ25:BK25"/>
    <mergeCell ref="BI23:BK23"/>
    <mergeCell ref="AU20:AV21"/>
    <mergeCell ref="BJ20:BK20"/>
    <mergeCell ref="BQ14:BU15"/>
    <mergeCell ref="BW14:BZ15"/>
    <mergeCell ref="BJ18:BK18"/>
    <mergeCell ref="BJ14:BK14"/>
    <mergeCell ref="BI15:BI16"/>
    <mergeCell ref="BJ15:BK16"/>
  </mergeCells>
  <conditionalFormatting sqref="AX27:BD39">
    <cfRule type="expression" dxfId="109" priority="2">
      <formula>ISBLANK(AX27)</formula>
    </cfRule>
  </conditionalFormatting>
  <conditionalFormatting sqref="BR27:BU39">
    <cfRule type="expression" dxfId="108" priority="10">
      <formula>AND($BQ27&gt;0,ISBLANK(BR27))</formula>
    </cfRule>
  </conditionalFormatting>
  <conditionalFormatting sqref="BG27:BG39 BI27:BI39">
    <cfRule type="expression" dxfId="107" priority="6">
      <formula>(BG27="Option")</formula>
    </cfRule>
    <cfRule type="expression" dxfId="106" priority="7">
      <formula>(BG27="Pend w FC")</formula>
    </cfRule>
    <cfRule type="expression" dxfId="105" priority="8">
      <formula>(BG27="Pending")</formula>
    </cfRule>
    <cfRule type="expression" dxfId="104" priority="9">
      <formula>(BG27="Approved")</formula>
    </cfRule>
  </conditionalFormatting>
  <conditionalFormatting sqref="BJ27:BK39">
    <cfRule type="expression" dxfId="103" priority="3">
      <formula>($BG27="Pend w FC")</formula>
    </cfRule>
  </conditionalFormatting>
  <conditionalFormatting sqref="AX27:BD39 BI27:BK39">
    <cfRule type="expression" dxfId="102" priority="27">
      <formula>($BQ27=0)</formula>
    </cfRule>
  </conditionalFormatting>
  <conditionalFormatting sqref="BQ27:BQ39">
    <cfRule type="expression" dxfId="101" priority="1">
      <formula>(SUM($AM27:$AR27)&gt;0)</formula>
    </cfRule>
  </conditionalFormatting>
  <dataValidations count="3">
    <dataValidation type="custom" allowBlank="1" showInputMessage="1" showErrorMessage="1" sqref="BQ26:BT26" xr:uid="{00000000-0002-0000-0D00-000000000000}">
      <formula1>""""""</formula1>
    </dataValidation>
    <dataValidation type="list" allowBlank="1" showInputMessage="1" showErrorMessage="1" sqref="BU27:BU39" xr:uid="{00000000-0002-0000-0D00-000001000000}">
      <formula1>$BU$3:$BU$10</formula1>
    </dataValidation>
    <dataValidation type="list" allowBlank="1" showInputMessage="1" showErrorMessage="1" sqref="BT27:BT39" xr:uid="{00000000-0002-0000-0D00-000002000000}">
      <formula1>$BT$8:$BT$9</formula1>
    </dataValidation>
  </dataValidations>
  <printOptions horizontalCentered="1" verticalCentered="1"/>
  <pageMargins left="0.31496062992125984" right="0.31496062992125984" top="0.35433070866141736" bottom="0.35433070866141736" header="0.31496062992125984" footer="0.31496062992125984"/>
  <pageSetup paperSize="9" scale="67" fitToHeight="4" orientation="landscape"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S882"/>
  <sheetViews>
    <sheetView showGridLines="0" topLeftCell="A400" zoomScaleNormal="100" zoomScaleSheetLayoutView="100" workbookViewId="0">
      <selection activeCell="F318" sqref="F318"/>
    </sheetView>
  </sheetViews>
  <sheetFormatPr defaultColWidth="9.109375" defaultRowHeight="13.2" x14ac:dyDescent="0.25"/>
  <cols>
    <col min="1" max="1" width="2.44140625" style="746" customWidth="1"/>
    <col min="2" max="2" width="1.6640625" style="746" customWidth="1"/>
    <col min="3" max="3" width="3.33203125" style="746" customWidth="1"/>
    <col min="4" max="4" width="4.33203125" style="746" customWidth="1"/>
    <col min="5" max="5" width="6.6640625" style="746" customWidth="1"/>
    <col min="6" max="6" width="80" style="746" customWidth="1"/>
    <col min="7" max="7" width="3.88671875" style="746" customWidth="1"/>
    <col min="8" max="8" width="4.88671875" style="746" customWidth="1"/>
    <col min="9" max="9" width="13.33203125" style="746" customWidth="1"/>
    <col min="10" max="10" width="5.109375" style="746" customWidth="1"/>
    <col min="11" max="11" width="12.6640625" style="746" customWidth="1"/>
    <col min="12" max="17" width="9.109375" style="746"/>
    <col min="18" max="18" width="57.33203125" style="746" customWidth="1"/>
    <col min="19" max="16384" width="9.109375" style="746"/>
  </cols>
  <sheetData>
    <row r="1" spans="1:19" ht="6" customHeight="1" x14ac:dyDescent="0.25">
      <c r="A1" s="1311"/>
      <c r="B1" s="1311"/>
      <c r="C1" s="1311"/>
      <c r="D1" s="1311"/>
      <c r="E1" s="1311"/>
      <c r="F1" s="1311"/>
      <c r="G1" s="1311"/>
      <c r="H1" s="1311"/>
      <c r="I1" s="1311"/>
      <c r="J1" s="1311"/>
      <c r="K1" s="1311"/>
      <c r="L1" s="1311"/>
      <c r="M1" s="1311"/>
      <c r="N1" s="1311"/>
      <c r="O1" s="1311"/>
      <c r="P1" s="1311"/>
      <c r="Q1" s="1311"/>
      <c r="R1" s="1311"/>
      <c r="S1" s="1311"/>
    </row>
    <row r="2" spans="1:19" ht="6.75" customHeight="1" x14ac:dyDescent="0.25">
      <c r="A2" s="1311"/>
      <c r="H2" s="1311"/>
      <c r="I2" s="1311"/>
      <c r="J2" s="1311"/>
      <c r="K2" s="1311"/>
      <c r="L2" s="1311"/>
      <c r="M2" s="1311"/>
      <c r="N2" s="1311"/>
      <c r="O2" s="1311"/>
      <c r="P2" s="1311"/>
      <c r="Q2" s="1311"/>
      <c r="R2" s="1311"/>
      <c r="S2" s="1311"/>
    </row>
    <row r="3" spans="1:19" ht="42" customHeight="1" x14ac:dyDescent="0.6">
      <c r="A3" s="1311"/>
      <c r="F3" s="3348" t="s">
        <v>4312</v>
      </c>
      <c r="H3" s="1311"/>
      <c r="I3" s="1311"/>
      <c r="J3" s="1311"/>
      <c r="K3" s="1311"/>
      <c r="L3" s="1311"/>
      <c r="M3" s="1311"/>
      <c r="N3" s="1311"/>
      <c r="O3" s="1311"/>
      <c r="P3" s="1311"/>
      <c r="Q3" s="1311"/>
      <c r="R3" s="1311"/>
      <c r="S3" s="1311"/>
    </row>
    <row r="4" spans="1:19" ht="20.25" customHeight="1" thickBot="1" x14ac:dyDescent="0.3">
      <c r="A4" s="1311"/>
      <c r="C4" s="1306" t="s">
        <v>2849</v>
      </c>
      <c r="D4" s="1294"/>
      <c r="E4" s="1294"/>
      <c r="F4" s="1294"/>
      <c r="H4" s="1311"/>
      <c r="I4" s="1311"/>
      <c r="J4" s="1311"/>
      <c r="K4" s="1311"/>
      <c r="L4" s="1311"/>
      <c r="M4" s="1311"/>
      <c r="N4" s="1311"/>
      <c r="O4" s="1311"/>
      <c r="P4" s="1311"/>
      <c r="Q4" s="1311"/>
      <c r="R4" s="1311"/>
      <c r="S4" s="1311"/>
    </row>
    <row r="5" spans="1:19" ht="15" customHeight="1" x14ac:dyDescent="0.25">
      <c r="A5" s="1311"/>
      <c r="C5" s="1308"/>
      <c r="D5" s="1309"/>
      <c r="E5" s="1309"/>
      <c r="F5" s="1310" t="str">
        <f>Overview!O4</f>
        <v>Version: 2.05</v>
      </c>
      <c r="H5" s="1311"/>
      <c r="I5" s="1311"/>
      <c r="J5" s="1311"/>
      <c r="K5" s="1311"/>
      <c r="L5" s="1630"/>
      <c r="M5" s="1311"/>
      <c r="N5" s="1311"/>
      <c r="O5" s="1311"/>
      <c r="P5" s="1311"/>
      <c r="Q5" s="1311"/>
      <c r="R5" s="1311"/>
      <c r="S5" s="1311"/>
    </row>
    <row r="6" spans="1:19" ht="15" customHeight="1" x14ac:dyDescent="0.25">
      <c r="A6" s="1311"/>
      <c r="C6" s="1306"/>
      <c r="D6" s="1294"/>
      <c r="E6" s="1294"/>
      <c r="F6" s="1307" t="str">
        <f>Overview!O5</f>
        <v>Issued: 25-Nov-2019</v>
      </c>
      <c r="H6" s="1311"/>
      <c r="I6" s="1311"/>
      <c r="J6" s="1311"/>
      <c r="K6" s="1311"/>
      <c r="L6" s="1630"/>
      <c r="M6" s="1311"/>
      <c r="N6" s="1311"/>
      <c r="O6" s="1311"/>
      <c r="P6" s="1311"/>
      <c r="Q6" s="1311"/>
      <c r="R6" s="1311"/>
      <c r="S6" s="1311"/>
    </row>
    <row r="7" spans="1:19" ht="15" customHeight="1" x14ac:dyDescent="0.25">
      <c r="A7" s="1311"/>
      <c r="C7" s="1306"/>
      <c r="D7" s="1294"/>
      <c r="E7" s="1294"/>
      <c r="F7" s="1307"/>
      <c r="H7" s="1311"/>
      <c r="I7" s="1311"/>
      <c r="J7" s="1311"/>
      <c r="K7" s="1311"/>
      <c r="L7" s="1630"/>
      <c r="M7" s="1311"/>
      <c r="N7" s="1311"/>
      <c r="O7" s="1311"/>
      <c r="P7" s="1311"/>
      <c r="Q7" s="1311"/>
      <c r="R7" s="1311"/>
      <c r="S7" s="1311"/>
    </row>
    <row r="8" spans="1:19" ht="19.95" customHeight="1" x14ac:dyDescent="0.25">
      <c r="A8" s="1311"/>
      <c r="H8" s="1311"/>
      <c r="I8" s="1311"/>
      <c r="J8" s="1311"/>
      <c r="K8" s="1311"/>
      <c r="L8" s="1630"/>
      <c r="M8" s="1311"/>
      <c r="N8" s="1311"/>
      <c r="O8" s="1311"/>
      <c r="P8" s="1311"/>
      <c r="Q8" s="1311"/>
      <c r="R8" s="1311"/>
      <c r="S8" s="1311"/>
    </row>
    <row r="9" spans="1:19" ht="48" customHeight="1" x14ac:dyDescent="0.25">
      <c r="A9" s="1311"/>
      <c r="H9" s="1311"/>
      <c r="I9" s="1311"/>
      <c r="J9" s="1311"/>
      <c r="K9" s="1311"/>
      <c r="L9" s="1630"/>
      <c r="M9" s="1311"/>
      <c r="N9" s="1311"/>
      <c r="O9" s="1311"/>
      <c r="P9" s="1311"/>
      <c r="Q9" s="1311"/>
      <c r="R9" s="1311"/>
      <c r="S9" s="1311"/>
    </row>
    <row r="10" spans="1:19" ht="48" customHeight="1" x14ac:dyDescent="0.25">
      <c r="A10" s="1311"/>
      <c r="H10" s="1311"/>
      <c r="I10" s="1311"/>
      <c r="J10" s="1311"/>
      <c r="K10" s="1311"/>
      <c r="L10" s="1311"/>
      <c r="M10" s="1311"/>
      <c r="N10" s="1311"/>
      <c r="O10" s="1311"/>
      <c r="P10" s="1311"/>
      <c r="Q10" s="1311"/>
      <c r="R10" s="1311"/>
      <c r="S10" s="1311"/>
    </row>
    <row r="11" spans="1:19" ht="48" customHeight="1" x14ac:dyDescent="0.25">
      <c r="A11" s="1311"/>
      <c r="H11" s="1311"/>
      <c r="I11" s="1311"/>
      <c r="J11" s="1311"/>
      <c r="K11" s="1311"/>
      <c r="L11" s="1311"/>
      <c r="M11" s="1311"/>
      <c r="N11" s="1311"/>
      <c r="O11" s="1311"/>
      <c r="P11" s="1311"/>
      <c r="Q11" s="1311"/>
      <c r="R11" s="1311"/>
      <c r="S11" s="1311"/>
    </row>
    <row r="12" spans="1:19" ht="60.75" customHeight="1" x14ac:dyDescent="0.75">
      <c r="A12" s="1311"/>
      <c r="C12" s="1249"/>
      <c r="D12" s="379"/>
      <c r="F12" s="1432" t="s">
        <v>1408</v>
      </c>
      <c r="H12" s="1311"/>
      <c r="I12" s="1311"/>
      <c r="J12" s="1311"/>
      <c r="K12" s="1311"/>
      <c r="L12" s="1311"/>
      <c r="M12" s="1311"/>
      <c r="N12" s="1311"/>
      <c r="O12" s="1311"/>
      <c r="P12" s="1311"/>
      <c r="Q12" s="1311"/>
      <c r="R12" s="1311"/>
      <c r="S12" s="1311"/>
    </row>
    <row r="13" spans="1:19" s="1292" customFormat="1" ht="24" customHeight="1" x14ac:dyDescent="0.25">
      <c r="A13" s="1311"/>
      <c r="C13" s="1293"/>
      <c r="F13" s="867"/>
      <c r="H13" s="1312"/>
      <c r="I13" s="1312"/>
      <c r="J13" s="1312"/>
      <c r="K13" s="1312"/>
      <c r="L13" s="1312"/>
      <c r="M13" s="1312"/>
      <c r="N13" s="1312"/>
      <c r="O13" s="1312"/>
      <c r="P13" s="1312"/>
      <c r="Q13" s="1312"/>
      <c r="R13" s="1312"/>
      <c r="S13" s="1312"/>
    </row>
    <row r="14" spans="1:19" s="1292" customFormat="1" ht="24" customHeight="1" x14ac:dyDescent="0.25">
      <c r="A14" s="1311"/>
      <c r="C14" s="1293"/>
      <c r="F14" s="867"/>
      <c r="H14" s="1312"/>
      <c r="I14" s="1312"/>
      <c r="J14" s="1312"/>
      <c r="K14" s="1312"/>
      <c r="L14" s="1312"/>
      <c r="M14" s="1312"/>
      <c r="N14" s="1312"/>
      <c r="O14" s="1312"/>
      <c r="P14" s="1312"/>
      <c r="Q14" s="1312"/>
      <c r="R14" s="1312"/>
      <c r="S14" s="1312"/>
    </row>
    <row r="15" spans="1:19" s="1292" customFormat="1" ht="24" customHeight="1" x14ac:dyDescent="0.25">
      <c r="A15" s="1311"/>
      <c r="C15" s="1293"/>
      <c r="F15" s="867"/>
      <c r="H15" s="1312"/>
      <c r="I15" s="3287" t="s">
        <v>4257</v>
      </c>
      <c r="J15" s="1312"/>
      <c r="K15" s="1312"/>
      <c r="L15" s="1312"/>
      <c r="M15" s="1312"/>
      <c r="N15" s="1312"/>
      <c r="O15" s="1312"/>
      <c r="P15" s="1312"/>
      <c r="Q15" s="1312"/>
      <c r="R15" s="1312"/>
      <c r="S15" s="1312"/>
    </row>
    <row r="16" spans="1:19" s="1292" customFormat="1" ht="24" customHeight="1" x14ac:dyDescent="0.25">
      <c r="A16" s="1311"/>
      <c r="C16" s="1293"/>
      <c r="F16" s="867"/>
      <c r="H16" s="1312"/>
      <c r="I16" s="4169" t="s">
        <v>4258</v>
      </c>
      <c r="J16" s="4170"/>
      <c r="K16" s="4170"/>
      <c r="L16" s="4170"/>
      <c r="M16" s="4170"/>
      <c r="N16" s="4170"/>
      <c r="O16" s="4170"/>
      <c r="P16" s="4170"/>
      <c r="Q16" s="1312"/>
      <c r="R16" s="1312"/>
      <c r="S16" s="1312"/>
    </row>
    <row r="17" spans="1:19" s="1292" customFormat="1" ht="24" customHeight="1" x14ac:dyDescent="0.25">
      <c r="A17" s="1311"/>
      <c r="C17" s="1293"/>
      <c r="F17" s="867"/>
      <c r="H17" s="1312"/>
      <c r="I17" s="1631" t="s">
        <v>1686</v>
      </c>
      <c r="J17" s="1311"/>
      <c r="K17" s="1631" t="s">
        <v>1687</v>
      </c>
      <c r="L17" s="1312"/>
      <c r="M17" s="1312"/>
      <c r="N17" s="1312"/>
      <c r="O17" s="1312"/>
      <c r="P17" s="1312"/>
      <c r="Q17" s="1312"/>
      <c r="R17" s="1312"/>
      <c r="S17" s="1312"/>
    </row>
    <row r="18" spans="1:19" s="1292" customFormat="1" ht="24" customHeight="1" x14ac:dyDescent="0.25">
      <c r="A18" s="1311"/>
      <c r="C18" s="1293"/>
      <c r="F18" s="867"/>
      <c r="H18" s="1312"/>
      <c r="I18" s="440">
        <f>'2 Staff List'!DW43</f>
        <v>24594.5291</v>
      </c>
      <c r="J18" s="1311"/>
      <c r="K18" s="1629">
        <v>12</v>
      </c>
      <c r="L18" s="1312"/>
      <c r="M18" s="1312"/>
      <c r="N18" s="1312"/>
      <c r="O18" s="1312"/>
      <c r="P18" s="1312"/>
      <c r="Q18" s="1312"/>
      <c r="R18" s="1312"/>
      <c r="S18" s="1312"/>
    </row>
    <row r="19" spans="1:19" s="1292" customFormat="1" ht="24" customHeight="1" x14ac:dyDescent="0.25">
      <c r="A19" s="1311"/>
      <c r="C19" s="1293"/>
      <c r="F19" s="867"/>
      <c r="H19" s="1312"/>
      <c r="I19" s="1630" t="s">
        <v>2353</v>
      </c>
      <c r="J19" s="1311"/>
      <c r="K19" s="1630"/>
      <c r="L19" s="1312"/>
      <c r="M19" s="1312"/>
      <c r="N19" s="1312"/>
      <c r="O19" s="1312"/>
      <c r="P19" s="1312"/>
      <c r="Q19" s="1312"/>
      <c r="R19" s="1312"/>
      <c r="S19" s="1312"/>
    </row>
    <row r="20" spans="1:19" s="1292" customFormat="1" ht="24" customHeight="1" x14ac:dyDescent="0.25">
      <c r="A20" s="1311"/>
      <c r="C20" s="1293"/>
      <c r="F20" s="867"/>
      <c r="H20" s="1312"/>
      <c r="I20" s="1630" t="s">
        <v>2352</v>
      </c>
      <c r="J20" s="1311"/>
      <c r="K20" s="1630"/>
      <c r="L20" s="1312"/>
      <c r="M20" s="1312"/>
      <c r="N20" s="1312"/>
      <c r="O20" s="1312"/>
      <c r="P20" s="1312"/>
      <c r="Q20" s="1312"/>
      <c r="R20" s="1312"/>
      <c r="S20" s="1312"/>
    </row>
    <row r="21" spans="1:19" s="1292" customFormat="1" ht="24" customHeight="1" x14ac:dyDescent="0.25">
      <c r="A21" s="1311"/>
      <c r="C21" s="1293"/>
      <c r="F21" s="867"/>
      <c r="H21" s="1312"/>
      <c r="I21" s="1631" t="s">
        <v>1688</v>
      </c>
      <c r="J21" s="1311"/>
      <c r="K21" s="1631" t="s">
        <v>1689</v>
      </c>
      <c r="L21" s="1312"/>
      <c r="M21" s="1312"/>
      <c r="N21" s="1312"/>
      <c r="O21" s="1312"/>
      <c r="P21" s="1312"/>
      <c r="Q21" s="1312"/>
      <c r="R21" s="1312"/>
      <c r="S21" s="1312"/>
    </row>
    <row r="22" spans="1:19" s="1292" customFormat="1" ht="24" customHeight="1" x14ac:dyDescent="0.25">
      <c r="A22" s="1311"/>
      <c r="C22" s="1293"/>
      <c r="F22" s="867"/>
      <c r="H22" s="1312"/>
      <c r="I22" s="1633">
        <f>IFERROR(K18/'2 Staff List'!DW43,0)</f>
        <v>4.8791338720935299E-4</v>
      </c>
      <c r="J22" s="1311"/>
      <c r="K22" s="452"/>
      <c r="L22" s="1312"/>
      <c r="M22" s="1312"/>
      <c r="N22" s="1312"/>
      <c r="O22" s="1312"/>
      <c r="P22" s="1312"/>
      <c r="Q22" s="1312"/>
      <c r="R22" s="1312"/>
      <c r="S22" s="1312"/>
    </row>
    <row r="23" spans="1:19" s="1292" customFormat="1" ht="24" customHeight="1" x14ac:dyDescent="0.25">
      <c r="A23" s="1311"/>
      <c r="C23" s="1293"/>
      <c r="F23" s="867"/>
      <c r="H23" s="1312"/>
      <c r="I23" s="1674" t="s">
        <v>2354</v>
      </c>
      <c r="J23" s="1311"/>
      <c r="K23" s="1311"/>
      <c r="L23" s="1312"/>
      <c r="M23" s="1312"/>
      <c r="N23" s="1312"/>
      <c r="O23" s="1312"/>
      <c r="P23" s="1312"/>
      <c r="Q23" s="1312"/>
      <c r="R23" s="1312"/>
      <c r="S23" s="1312"/>
    </row>
    <row r="24" spans="1:19" s="1292" customFormat="1" ht="24" customHeight="1" x14ac:dyDescent="0.25">
      <c r="A24" s="1311"/>
      <c r="C24" s="1293"/>
      <c r="F24" s="867"/>
      <c r="H24" s="1312"/>
      <c r="I24" s="1312"/>
      <c r="J24" s="1312"/>
      <c r="K24" s="1312"/>
      <c r="L24" s="1312"/>
      <c r="M24" s="1312"/>
      <c r="N24" s="1312"/>
      <c r="O24" s="1312"/>
      <c r="P24" s="1312"/>
      <c r="Q24" s="1312"/>
      <c r="R24" s="1312"/>
      <c r="S24" s="1312"/>
    </row>
    <row r="25" spans="1:19" s="1292" customFormat="1" ht="24" customHeight="1" x14ac:dyDescent="0.25">
      <c r="A25" s="1311"/>
      <c r="C25" s="1293"/>
      <c r="F25" s="867"/>
      <c r="H25" s="1312"/>
      <c r="I25" s="1312"/>
      <c r="J25" s="1312"/>
      <c r="K25" s="1312"/>
      <c r="L25" s="1312"/>
      <c r="M25" s="1312"/>
      <c r="N25" s="1312"/>
      <c r="O25" s="1312"/>
      <c r="P25" s="1312"/>
      <c r="Q25" s="1312"/>
      <c r="R25" s="1312"/>
      <c r="S25" s="1312"/>
    </row>
    <row r="26" spans="1:19" s="1292" customFormat="1" ht="24" customHeight="1" x14ac:dyDescent="0.25">
      <c r="A26" s="1311"/>
      <c r="C26" s="1293"/>
      <c r="F26" s="867"/>
      <c r="H26" s="1312"/>
      <c r="I26" s="1312"/>
      <c r="J26" s="1312"/>
      <c r="K26" s="1312"/>
      <c r="L26" s="1312"/>
      <c r="M26" s="1312"/>
      <c r="N26" s="1312"/>
      <c r="O26" s="1312"/>
      <c r="P26" s="1312"/>
      <c r="Q26" s="1312"/>
      <c r="R26" s="1312"/>
      <c r="S26" s="1312"/>
    </row>
    <row r="27" spans="1:19" s="1292" customFormat="1" ht="24" customHeight="1" x14ac:dyDescent="0.25">
      <c r="A27" s="1311"/>
      <c r="C27" s="1293"/>
      <c r="F27" s="867"/>
      <c r="H27" s="1312"/>
      <c r="I27" s="1312"/>
      <c r="J27" s="1312"/>
      <c r="K27" s="1312"/>
      <c r="L27" s="1312"/>
      <c r="M27" s="1312"/>
      <c r="N27" s="1312"/>
      <c r="O27" s="1312"/>
      <c r="P27" s="1312"/>
      <c r="Q27" s="1312"/>
      <c r="R27" s="1312"/>
      <c r="S27" s="1312"/>
    </row>
    <row r="28" spans="1:19" s="1292" customFormat="1" ht="24" customHeight="1" x14ac:dyDescent="0.25">
      <c r="A28" s="1311"/>
      <c r="C28" s="1293"/>
      <c r="F28" s="867"/>
      <c r="H28" s="1312"/>
      <c r="I28" s="1312"/>
      <c r="J28" s="1312"/>
      <c r="K28" s="1312"/>
      <c r="L28" s="1312"/>
      <c r="M28" s="1312"/>
      <c r="N28" s="1312"/>
      <c r="O28" s="1312"/>
      <c r="P28" s="1312"/>
      <c r="Q28" s="1312"/>
      <c r="R28" s="1312"/>
      <c r="S28" s="1312"/>
    </row>
    <row r="29" spans="1:19" s="1292" customFormat="1" ht="24" customHeight="1" x14ac:dyDescent="0.25">
      <c r="A29" s="1311"/>
      <c r="C29" s="1293"/>
      <c r="F29" s="867"/>
      <c r="H29" s="1312"/>
      <c r="I29" s="1312"/>
      <c r="J29" s="1312"/>
      <c r="K29" s="1312"/>
      <c r="L29" s="1312"/>
      <c r="M29" s="1312"/>
      <c r="N29" s="1312"/>
      <c r="O29" s="1312"/>
      <c r="P29" s="1312"/>
      <c r="Q29" s="1312"/>
      <c r="R29" s="1312"/>
      <c r="S29" s="1312"/>
    </row>
    <row r="30" spans="1:19" s="1292" customFormat="1" ht="24" customHeight="1" x14ac:dyDescent="0.25">
      <c r="A30" s="1311"/>
      <c r="C30" s="1293"/>
      <c r="F30" s="867"/>
      <c r="H30" s="1312"/>
      <c r="I30" s="1312"/>
      <c r="J30" s="1312"/>
      <c r="K30" s="1312"/>
      <c r="L30" s="1312"/>
      <c r="M30" s="1312"/>
      <c r="N30" s="1312"/>
      <c r="O30" s="1312"/>
      <c r="P30" s="1312"/>
      <c r="Q30" s="1312"/>
      <c r="R30" s="1312"/>
      <c r="S30" s="1312"/>
    </row>
    <row r="31" spans="1:19" s="1292" customFormat="1" ht="24" customHeight="1" x14ac:dyDescent="0.25">
      <c r="A31" s="1311"/>
      <c r="C31" s="1293"/>
      <c r="F31" s="867"/>
      <c r="H31" s="1312"/>
      <c r="I31" s="1312"/>
      <c r="J31" s="1312"/>
      <c r="K31" s="1312"/>
      <c r="L31" s="1312"/>
      <c r="M31" s="1312"/>
      <c r="N31" s="1312"/>
      <c r="O31" s="1312"/>
      <c r="P31" s="1312"/>
      <c r="Q31" s="1312"/>
      <c r="R31" s="1312"/>
      <c r="S31" s="1312"/>
    </row>
    <row r="32" spans="1:19" s="1292" customFormat="1" ht="24" customHeight="1" x14ac:dyDescent="0.25">
      <c r="A32" s="1311"/>
      <c r="C32" s="1293"/>
      <c r="F32" s="867"/>
      <c r="H32" s="1312"/>
      <c r="I32" s="1312"/>
      <c r="J32" s="1312"/>
      <c r="K32" s="1312"/>
      <c r="L32" s="1312"/>
      <c r="M32" s="1312"/>
      <c r="N32" s="1312"/>
      <c r="O32" s="1312"/>
      <c r="P32" s="1312"/>
      <c r="Q32" s="1312"/>
      <c r="R32" s="1312"/>
      <c r="S32" s="1312"/>
    </row>
    <row r="33" spans="1:19" s="1292" customFormat="1" ht="24" customHeight="1" x14ac:dyDescent="0.25">
      <c r="A33" s="1311"/>
      <c r="C33" s="1293"/>
      <c r="F33" s="867"/>
      <c r="H33" s="1312"/>
      <c r="I33" s="1312"/>
      <c r="J33" s="1312"/>
      <c r="K33" s="1312"/>
      <c r="L33" s="1312"/>
      <c r="M33" s="1312"/>
      <c r="N33" s="1312"/>
      <c r="O33" s="1312"/>
      <c r="P33" s="1312"/>
      <c r="Q33" s="1312"/>
      <c r="R33" s="1312"/>
      <c r="S33" s="1312"/>
    </row>
    <row r="34" spans="1:19" s="1292" customFormat="1" ht="24" customHeight="1" x14ac:dyDescent="0.25">
      <c r="A34" s="1311"/>
      <c r="C34" s="1293"/>
      <c r="F34" s="867"/>
      <c r="H34" s="1312"/>
      <c r="I34" s="1312"/>
      <c r="J34" s="1312"/>
      <c r="K34" s="1312"/>
      <c r="L34" s="1312"/>
      <c r="M34" s="1312"/>
      <c r="N34" s="1312"/>
      <c r="O34" s="1312"/>
      <c r="P34" s="1312"/>
      <c r="Q34" s="1312"/>
      <c r="R34" s="1312"/>
      <c r="S34" s="1312"/>
    </row>
    <row r="35" spans="1:19" s="1292" customFormat="1" ht="24" customHeight="1" x14ac:dyDescent="0.25">
      <c r="A35" s="1311"/>
      <c r="C35" s="1293"/>
      <c r="F35" s="867"/>
      <c r="H35" s="1312"/>
      <c r="I35" s="1312"/>
      <c r="J35" s="1312"/>
      <c r="K35" s="1312"/>
      <c r="L35" s="1312"/>
      <c r="M35" s="1312"/>
      <c r="N35" s="1312"/>
      <c r="O35" s="1312"/>
      <c r="P35" s="1312"/>
      <c r="Q35" s="1312"/>
      <c r="R35" s="1312"/>
      <c r="S35" s="1312"/>
    </row>
    <row r="36" spans="1:19" s="1292" customFormat="1" ht="24" customHeight="1" x14ac:dyDescent="0.25">
      <c r="A36" s="1311"/>
      <c r="C36" s="1293"/>
      <c r="F36" s="867"/>
      <c r="H36" s="1312"/>
      <c r="I36" s="1312"/>
      <c r="J36" s="1312"/>
      <c r="K36" s="1312"/>
      <c r="L36" s="1312"/>
      <c r="M36" s="1312"/>
      <c r="N36" s="1312"/>
      <c r="O36" s="1312"/>
      <c r="P36" s="1312"/>
      <c r="Q36" s="1312"/>
      <c r="R36" s="1312"/>
      <c r="S36" s="1312"/>
    </row>
    <row r="37" spans="1:19" s="1292" customFormat="1" ht="24" customHeight="1" x14ac:dyDescent="0.25">
      <c r="A37" s="1311"/>
      <c r="C37" s="1293"/>
      <c r="F37" s="867"/>
      <c r="H37" s="1312"/>
      <c r="I37" s="1312"/>
      <c r="J37" s="1312"/>
      <c r="K37" s="1312"/>
      <c r="L37" s="1312"/>
      <c r="M37" s="1312"/>
      <c r="N37" s="1312"/>
      <c r="O37" s="1312"/>
      <c r="P37" s="1312"/>
      <c r="Q37" s="1312"/>
      <c r="R37" s="1312"/>
      <c r="S37" s="1312"/>
    </row>
    <row r="38" spans="1:19" s="1292" customFormat="1" ht="24" customHeight="1" x14ac:dyDescent="0.25">
      <c r="A38" s="1311"/>
      <c r="C38" s="1293"/>
      <c r="F38" s="867"/>
      <c r="H38" s="1312"/>
      <c r="I38" s="1312"/>
      <c r="J38" s="1312"/>
      <c r="K38" s="1312"/>
      <c r="L38" s="1312"/>
      <c r="M38" s="1312"/>
      <c r="N38" s="1312"/>
      <c r="O38" s="1312"/>
      <c r="P38" s="1312"/>
      <c r="Q38" s="1312"/>
      <c r="R38" s="1312"/>
      <c r="S38" s="1312"/>
    </row>
    <row r="39" spans="1:19" s="1292" customFormat="1" ht="24" customHeight="1" x14ac:dyDescent="0.25">
      <c r="A39" s="1311"/>
      <c r="C39" s="1293"/>
      <c r="F39" s="867"/>
      <c r="H39" s="1312"/>
      <c r="I39" s="1312"/>
      <c r="J39" s="1312"/>
      <c r="K39" s="1312"/>
      <c r="L39" s="1312"/>
      <c r="M39" s="1312"/>
      <c r="N39" s="1312"/>
      <c r="O39" s="1312"/>
      <c r="P39" s="1312"/>
      <c r="Q39" s="1312"/>
      <c r="R39" s="1312"/>
      <c r="S39" s="1312"/>
    </row>
    <row r="40" spans="1:19" s="1292" customFormat="1" ht="24" customHeight="1" x14ac:dyDescent="0.25">
      <c r="A40" s="1311"/>
      <c r="C40" s="1293"/>
      <c r="F40" s="867"/>
      <c r="H40" s="1312"/>
      <c r="I40" s="1312"/>
      <c r="J40" s="1312"/>
      <c r="K40" s="1312"/>
      <c r="L40" s="1312"/>
      <c r="M40" s="1312"/>
      <c r="N40" s="1312"/>
      <c r="O40" s="1312"/>
      <c r="P40" s="1312"/>
      <c r="Q40" s="1312"/>
      <c r="R40" s="1312"/>
      <c r="S40" s="1312"/>
    </row>
    <row r="41" spans="1:19" s="1292" customFormat="1" ht="24" customHeight="1" x14ac:dyDescent="0.25">
      <c r="A41" s="1311"/>
      <c r="C41" s="1293"/>
      <c r="F41" s="867"/>
      <c r="H41" s="1312"/>
      <c r="I41" s="1312"/>
      <c r="J41" s="1312"/>
      <c r="K41" s="1312"/>
      <c r="L41" s="1312"/>
      <c r="M41" s="1312"/>
      <c r="N41" s="1312"/>
      <c r="O41" s="1312"/>
      <c r="P41" s="1312"/>
      <c r="Q41" s="1312"/>
      <c r="R41" s="1312"/>
      <c r="S41" s="1312"/>
    </row>
    <row r="42" spans="1:19" ht="30" customHeight="1" x14ac:dyDescent="0.25">
      <c r="A42" s="1311"/>
      <c r="D42" s="39"/>
      <c r="E42" s="39"/>
      <c r="F42" s="1296"/>
      <c r="H42" s="1311"/>
      <c r="I42" s="1311"/>
      <c r="J42" s="1311"/>
      <c r="K42" s="1311"/>
      <c r="L42" s="1311"/>
      <c r="M42" s="1311"/>
      <c r="N42" s="1311"/>
      <c r="O42" s="1311"/>
      <c r="P42" s="1311"/>
      <c r="Q42" s="1311"/>
      <c r="R42" s="1311"/>
      <c r="S42" s="1311"/>
    </row>
    <row r="43" spans="1:19" ht="6" customHeight="1" x14ac:dyDescent="0.25">
      <c r="A43" s="1311"/>
      <c r="C43" s="205"/>
      <c r="D43" s="207"/>
      <c r="E43" s="39"/>
      <c r="F43" s="1296"/>
      <c r="H43" s="1311"/>
      <c r="I43" s="1311"/>
      <c r="J43" s="1311"/>
      <c r="K43" s="1311"/>
      <c r="L43" s="1311"/>
      <c r="M43" s="1311"/>
      <c r="N43" s="1311"/>
      <c r="O43" s="1311"/>
      <c r="P43" s="1311"/>
      <c r="Q43" s="1311"/>
      <c r="R43" s="1311"/>
      <c r="S43" s="1311"/>
    </row>
    <row r="44" spans="1:19" s="747" customFormat="1" ht="39.9" customHeight="1" x14ac:dyDescent="0.25">
      <c r="A44" s="1311"/>
      <c r="C44" s="1437"/>
      <c r="D44" s="1438" t="s">
        <v>1670</v>
      </c>
      <c r="E44" s="1439"/>
      <c r="F44" s="1440"/>
      <c r="H44" s="1314"/>
      <c r="I44" s="1314"/>
      <c r="J44" s="1314"/>
      <c r="K44" s="1314"/>
      <c r="L44" s="1314"/>
      <c r="M44" s="1314"/>
      <c r="N44" s="1314"/>
      <c r="O44" s="1314"/>
      <c r="P44" s="1314"/>
      <c r="Q44" s="1314"/>
      <c r="R44" s="1314"/>
      <c r="S44" s="1314"/>
    </row>
    <row r="45" spans="1:19" ht="15.75" customHeight="1" x14ac:dyDescent="0.25">
      <c r="A45" s="1311"/>
      <c r="C45" s="1248"/>
      <c r="D45" s="39"/>
      <c r="E45" s="1315"/>
      <c r="F45" s="1296"/>
      <c r="H45" s="1311"/>
      <c r="I45" s="1311"/>
      <c r="J45" s="1311"/>
      <c r="K45" s="1311"/>
      <c r="L45" s="1311"/>
      <c r="M45" s="1311"/>
      <c r="N45" s="1311"/>
      <c r="O45" s="1311"/>
      <c r="P45" s="1311"/>
      <c r="Q45" s="1311"/>
      <c r="R45" s="1311"/>
      <c r="S45" s="1311"/>
    </row>
    <row r="46" spans="1:19" ht="15.75" customHeight="1" x14ac:dyDescent="0.25">
      <c r="A46" s="1311"/>
      <c r="C46" s="1248"/>
      <c r="D46" s="206" t="s">
        <v>1461</v>
      </c>
      <c r="E46" s="1315"/>
      <c r="F46" s="1296"/>
      <c r="H46" s="1311"/>
      <c r="I46" s="1311"/>
      <c r="J46" s="1311"/>
      <c r="K46" s="1311"/>
      <c r="L46" s="1311"/>
      <c r="M46" s="1311"/>
      <c r="N46" s="1311"/>
      <c r="O46" s="1311"/>
      <c r="P46" s="1311"/>
      <c r="Q46" s="1311"/>
      <c r="R46" s="1311"/>
      <c r="S46" s="1311"/>
    </row>
    <row r="47" spans="1:19" ht="28.5" customHeight="1" x14ac:dyDescent="0.25">
      <c r="A47" s="1311"/>
      <c r="C47" s="1248"/>
      <c r="D47" s="1416" t="s">
        <v>1462</v>
      </c>
      <c r="E47" s="3364" t="s">
        <v>1615</v>
      </c>
      <c r="F47" s="3364"/>
      <c r="H47" s="1311"/>
      <c r="I47" s="1311"/>
      <c r="J47" s="1311"/>
      <c r="K47" s="1311"/>
      <c r="L47" s="1311"/>
      <c r="M47" s="1311"/>
      <c r="N47" s="1311"/>
      <c r="O47" s="1311"/>
      <c r="P47" s="1311"/>
      <c r="Q47" s="1311"/>
      <c r="R47" s="1311"/>
      <c r="S47" s="1311"/>
    </row>
    <row r="48" spans="1:19" ht="27.75" customHeight="1" x14ac:dyDescent="0.25">
      <c r="A48" s="1311"/>
      <c r="C48" s="1248"/>
      <c r="D48" s="1416" t="s">
        <v>1462</v>
      </c>
      <c r="E48" s="3364" t="s">
        <v>500</v>
      </c>
      <c r="F48" s="3364"/>
      <c r="H48" s="1311"/>
      <c r="I48" s="1311"/>
      <c r="J48" s="1311"/>
      <c r="K48" s="1311"/>
      <c r="L48" s="1311"/>
      <c r="M48" s="1311"/>
      <c r="N48" s="1311"/>
      <c r="O48" s="1311"/>
      <c r="P48" s="1311"/>
      <c r="Q48" s="1311"/>
      <c r="R48" s="1311"/>
      <c r="S48" s="1311"/>
    </row>
    <row r="49" spans="1:19" ht="12" customHeight="1" x14ac:dyDescent="0.25">
      <c r="A49" s="1311"/>
      <c r="C49" s="1248"/>
      <c r="D49" s="1416" t="s">
        <v>1462</v>
      </c>
      <c r="E49" s="4150" t="s">
        <v>1405</v>
      </c>
      <c r="F49" s="4150"/>
      <c r="H49" s="1311"/>
      <c r="I49" s="1311"/>
      <c r="J49" s="1311"/>
      <c r="K49" s="1311"/>
      <c r="L49" s="1311"/>
      <c r="M49" s="1311"/>
      <c r="N49" s="1311"/>
      <c r="O49" s="1311"/>
      <c r="P49" s="1311"/>
      <c r="Q49" s="1311"/>
      <c r="R49" s="1311"/>
      <c r="S49" s="1311"/>
    </row>
    <row r="50" spans="1:19" ht="23.25" customHeight="1" x14ac:dyDescent="0.25">
      <c r="A50" s="1311"/>
      <c r="C50" s="1248"/>
      <c r="D50" s="39"/>
      <c r="E50" s="1315"/>
      <c r="F50" s="1296"/>
      <c r="H50" s="1311"/>
      <c r="I50" s="1311"/>
      <c r="J50" s="1311"/>
      <c r="K50" s="1311"/>
      <c r="L50" s="1311"/>
      <c r="M50" s="1311"/>
      <c r="N50" s="1311"/>
      <c r="O50" s="1311"/>
      <c r="P50" s="1311"/>
      <c r="Q50" s="1311"/>
      <c r="R50" s="1311"/>
      <c r="S50" s="1311"/>
    </row>
    <row r="51" spans="1:19" ht="15" customHeight="1" x14ac:dyDescent="0.25">
      <c r="A51" s="1311"/>
      <c r="C51" s="39"/>
      <c r="D51" s="207">
        <v>0.1</v>
      </c>
      <c r="E51" s="206" t="s">
        <v>527</v>
      </c>
      <c r="F51" s="1296"/>
      <c r="H51" s="1311"/>
      <c r="I51" s="1311"/>
      <c r="J51" s="1311"/>
      <c r="K51" s="1311"/>
      <c r="L51" s="1311"/>
      <c r="M51" s="1311"/>
      <c r="N51" s="1311"/>
      <c r="O51" s="1311"/>
      <c r="P51" s="1311"/>
      <c r="Q51" s="1311"/>
      <c r="R51" s="1311"/>
      <c r="S51" s="1311"/>
    </row>
    <row r="52" spans="1:19" s="39" customFormat="1" ht="15.9" customHeight="1" x14ac:dyDescent="0.25">
      <c r="A52" s="1311"/>
      <c r="C52" s="205"/>
      <c r="D52" s="207"/>
      <c r="E52" s="39" t="s">
        <v>796</v>
      </c>
      <c r="F52" s="1305" t="s">
        <v>866</v>
      </c>
      <c r="H52" s="1313"/>
      <c r="I52" s="1313"/>
      <c r="J52" s="1313"/>
      <c r="K52" s="1313"/>
      <c r="L52" s="1313"/>
      <c r="M52" s="1313"/>
      <c r="N52" s="1313"/>
      <c r="O52" s="1313"/>
      <c r="P52" s="1313"/>
      <c r="Q52" s="1313"/>
      <c r="R52" s="1313"/>
      <c r="S52" s="1313"/>
    </row>
    <row r="53" spans="1:19" s="39" customFormat="1" ht="27.9" customHeight="1" x14ac:dyDescent="0.25">
      <c r="A53" s="1311"/>
      <c r="C53" s="205"/>
      <c r="D53" s="207"/>
      <c r="E53" s="39" t="s">
        <v>797</v>
      </c>
      <c r="F53" s="1296" t="s">
        <v>808</v>
      </c>
      <c r="H53" s="1313"/>
      <c r="I53" s="1313"/>
      <c r="J53" s="1313"/>
      <c r="K53" s="1313"/>
      <c r="L53" s="1313"/>
      <c r="M53" s="1313"/>
      <c r="N53" s="1313"/>
      <c r="O53" s="1313"/>
      <c r="P53" s="1313"/>
      <c r="Q53" s="1313"/>
      <c r="R53" s="1313"/>
      <c r="S53" s="1313"/>
    </row>
    <row r="54" spans="1:19" s="39" customFormat="1" ht="42" customHeight="1" x14ac:dyDescent="0.25">
      <c r="A54" s="1311"/>
      <c r="C54" s="205"/>
      <c r="D54" s="207"/>
      <c r="E54" s="39" t="s">
        <v>798</v>
      </c>
      <c r="F54" s="1296" t="s">
        <v>799</v>
      </c>
      <c r="H54" s="1313"/>
      <c r="I54" s="1313"/>
      <c r="J54" s="1313"/>
      <c r="K54" s="1313"/>
      <c r="L54" s="1313"/>
      <c r="M54" s="1313"/>
      <c r="N54" s="1313"/>
      <c r="O54" s="1313"/>
      <c r="P54" s="1313"/>
      <c r="Q54" s="1313"/>
      <c r="R54" s="1313"/>
      <c r="S54" s="1313"/>
    </row>
    <row r="55" spans="1:19" s="39" customFormat="1" ht="15.9" customHeight="1" x14ac:dyDescent="0.25">
      <c r="A55" s="1311"/>
      <c r="C55" s="205"/>
      <c r="D55" s="207"/>
      <c r="E55" s="39" t="s">
        <v>800</v>
      </c>
      <c r="F55" s="1296" t="s">
        <v>1242</v>
      </c>
      <c r="H55" s="1313"/>
      <c r="I55" s="1313"/>
      <c r="J55" s="1313"/>
      <c r="K55" s="1313"/>
      <c r="L55" s="1313"/>
      <c r="M55" s="1313"/>
      <c r="N55" s="1313"/>
      <c r="O55" s="1313"/>
      <c r="P55" s="1313"/>
      <c r="Q55" s="1313"/>
      <c r="R55" s="1313"/>
      <c r="S55" s="1313"/>
    </row>
    <row r="56" spans="1:19" ht="9.9" customHeight="1" x14ac:dyDescent="0.25">
      <c r="A56" s="1311"/>
      <c r="C56" s="205"/>
      <c r="D56" s="207"/>
      <c r="E56" s="39"/>
      <c r="F56" s="1296"/>
      <c r="H56" s="1311"/>
      <c r="I56" s="1311"/>
      <c r="J56" s="1311"/>
      <c r="K56" s="1311"/>
      <c r="L56" s="1311"/>
      <c r="M56" s="1311"/>
      <c r="N56" s="1311"/>
      <c r="O56" s="1311"/>
      <c r="P56" s="1311"/>
      <c r="Q56" s="1311"/>
      <c r="R56" s="1311"/>
      <c r="S56" s="1311"/>
    </row>
    <row r="57" spans="1:19" ht="15" customHeight="1" x14ac:dyDescent="0.25">
      <c r="A57" s="1311"/>
      <c r="C57" s="39"/>
      <c r="D57" s="1098">
        <v>0.2</v>
      </c>
      <c r="E57" s="1251" t="s">
        <v>918</v>
      </c>
      <c r="F57" s="1297"/>
      <c r="H57" s="1311"/>
      <c r="I57" s="1311"/>
      <c r="J57" s="1311"/>
      <c r="K57" s="1311"/>
      <c r="L57" s="1311"/>
      <c r="M57" s="1311"/>
      <c r="N57" s="1311"/>
      <c r="O57" s="1311"/>
      <c r="P57" s="1311"/>
      <c r="Q57" s="1311"/>
      <c r="R57" s="1311"/>
      <c r="S57" s="1311"/>
    </row>
    <row r="58" spans="1:19" s="39" customFormat="1" ht="42" customHeight="1" x14ac:dyDescent="0.25">
      <c r="A58" s="1311"/>
      <c r="C58" s="205"/>
      <c r="D58" s="207"/>
      <c r="E58" s="39" t="s">
        <v>855</v>
      </c>
      <c r="F58" s="1296" t="s">
        <v>1234</v>
      </c>
      <c r="H58" s="1313"/>
      <c r="I58" s="1313"/>
      <c r="J58" s="1313"/>
      <c r="K58" s="1313"/>
      <c r="L58" s="1313"/>
      <c r="M58" s="1313"/>
      <c r="N58" s="1313"/>
      <c r="O58" s="1313"/>
      <c r="P58" s="1313"/>
      <c r="Q58" s="1313"/>
      <c r="R58" s="1313"/>
      <c r="S58" s="1313"/>
    </row>
    <row r="59" spans="1:19" ht="26.1" customHeight="1" x14ac:dyDescent="0.25">
      <c r="A59" s="1311"/>
      <c r="C59" s="205"/>
      <c r="D59" s="207"/>
      <c r="E59" s="39" t="s">
        <v>856</v>
      </c>
      <c r="F59" s="1296" t="s">
        <v>1183</v>
      </c>
      <c r="H59" s="1311"/>
      <c r="I59" s="1311"/>
      <c r="J59" s="1311"/>
      <c r="K59" s="1311"/>
      <c r="L59" s="1311"/>
      <c r="M59" s="1311"/>
      <c r="N59" s="1311"/>
      <c r="O59" s="1311"/>
      <c r="P59" s="1311"/>
      <c r="Q59" s="1311"/>
      <c r="R59" s="1311"/>
      <c r="S59" s="1311"/>
    </row>
    <row r="60" spans="1:19" ht="15" customHeight="1" x14ac:dyDescent="0.25">
      <c r="A60" s="1311"/>
      <c r="C60" s="205"/>
      <c r="D60" s="207"/>
      <c r="E60" s="39" t="s">
        <v>869</v>
      </c>
      <c r="F60" s="1296" t="s">
        <v>1243</v>
      </c>
      <c r="H60" s="1311"/>
      <c r="I60" s="1311"/>
      <c r="J60" s="1311"/>
      <c r="K60" s="1311"/>
      <c r="L60" s="1311"/>
      <c r="M60" s="1311"/>
      <c r="N60" s="1311"/>
      <c r="O60" s="1311"/>
      <c r="P60" s="1311"/>
      <c r="Q60" s="1311"/>
      <c r="R60" s="1311"/>
      <c r="S60" s="1311"/>
    </row>
    <row r="61" spans="1:19" ht="11.25" customHeight="1" x14ac:dyDescent="0.25">
      <c r="A61" s="1311"/>
      <c r="C61" s="205"/>
      <c r="D61" s="207"/>
      <c r="E61" s="39"/>
      <c r="F61" s="1296"/>
      <c r="H61" s="1311"/>
      <c r="I61" s="1311"/>
      <c r="J61" s="1311"/>
      <c r="K61" s="1311"/>
      <c r="L61" s="1311"/>
      <c r="M61" s="1311"/>
      <c r="N61" s="1311"/>
      <c r="O61" s="1311"/>
      <c r="P61" s="1311"/>
      <c r="Q61" s="1311"/>
      <c r="R61" s="1311"/>
      <c r="S61" s="1311"/>
    </row>
    <row r="62" spans="1:19" ht="15" customHeight="1" x14ac:dyDescent="0.25">
      <c r="A62" s="1311"/>
      <c r="C62" s="39"/>
      <c r="D62" s="207">
        <v>0.3</v>
      </c>
      <c r="E62" s="206" t="s">
        <v>921</v>
      </c>
      <c r="F62" s="1296"/>
      <c r="H62" s="1311"/>
      <c r="I62" s="1311"/>
      <c r="J62" s="1311"/>
      <c r="K62" s="1311"/>
      <c r="L62" s="1311"/>
      <c r="M62" s="1311"/>
      <c r="N62" s="1311"/>
      <c r="O62" s="1311"/>
      <c r="P62" s="1311"/>
      <c r="Q62" s="1311"/>
      <c r="R62" s="1311"/>
      <c r="S62" s="1311"/>
    </row>
    <row r="63" spans="1:19" ht="15" customHeight="1" x14ac:dyDescent="0.25">
      <c r="A63" s="1311"/>
      <c r="C63" s="205"/>
      <c r="D63" s="998"/>
      <c r="E63" s="39"/>
      <c r="F63" s="1298"/>
      <c r="H63" s="1311"/>
      <c r="I63" s="1311"/>
      <c r="J63" s="1311"/>
      <c r="K63" s="1311"/>
      <c r="L63" s="1311"/>
      <c r="M63" s="1311"/>
      <c r="N63" s="1311"/>
      <c r="O63" s="1311"/>
      <c r="P63" s="1311"/>
      <c r="Q63" s="1311"/>
      <c r="R63" s="1311"/>
      <c r="S63" s="1311"/>
    </row>
    <row r="64" spans="1:19" ht="15" customHeight="1" x14ac:dyDescent="0.25">
      <c r="A64" s="1311"/>
      <c r="C64" s="205"/>
      <c r="D64" s="207"/>
      <c r="F64" s="1295"/>
      <c r="H64" s="1311"/>
      <c r="I64" s="1311"/>
      <c r="J64" s="1311"/>
      <c r="K64" s="1311"/>
      <c r="L64" s="1311"/>
      <c r="M64" s="1311"/>
      <c r="N64" s="1311"/>
      <c r="O64" s="1311"/>
      <c r="P64" s="1311"/>
      <c r="Q64" s="1311"/>
      <c r="R64" s="1311"/>
      <c r="S64" s="1311"/>
    </row>
    <row r="65" spans="1:19" ht="15" customHeight="1" x14ac:dyDescent="0.25">
      <c r="A65" s="1311"/>
      <c r="C65" s="205"/>
      <c r="D65" s="207"/>
      <c r="F65" s="1295"/>
      <c r="H65" s="1311"/>
      <c r="I65" s="1311"/>
      <c r="J65" s="1311"/>
      <c r="K65" s="1311"/>
      <c r="L65" s="1311"/>
      <c r="M65" s="1311"/>
      <c r="N65" s="1311"/>
      <c r="O65" s="1311"/>
      <c r="P65" s="1311"/>
      <c r="Q65" s="1311"/>
      <c r="R65" s="1311"/>
      <c r="S65" s="1311"/>
    </row>
    <row r="66" spans="1:19" ht="15" customHeight="1" x14ac:dyDescent="0.25">
      <c r="A66" s="1311"/>
      <c r="C66" s="205"/>
      <c r="D66" s="207"/>
      <c r="F66" s="1295"/>
      <c r="H66" s="1311"/>
      <c r="I66" s="1311"/>
      <c r="J66" s="1311"/>
      <c r="K66" s="1311"/>
      <c r="L66" s="1311"/>
      <c r="M66" s="1311"/>
      <c r="N66" s="1311"/>
      <c r="O66" s="1311"/>
      <c r="P66" s="1311"/>
      <c r="Q66" s="1311"/>
      <c r="R66" s="1311"/>
      <c r="S66" s="1311"/>
    </row>
    <row r="67" spans="1:19" ht="15" customHeight="1" x14ac:dyDescent="0.25">
      <c r="A67" s="1311"/>
      <c r="C67" s="205"/>
      <c r="D67" s="207"/>
      <c r="F67" s="1295"/>
      <c r="H67" s="1311"/>
      <c r="I67" s="1311"/>
      <c r="J67" s="1311"/>
      <c r="K67" s="1311"/>
      <c r="L67" s="1311"/>
      <c r="M67" s="1311"/>
      <c r="N67" s="1311"/>
      <c r="O67" s="1311"/>
      <c r="P67" s="1311"/>
      <c r="Q67" s="1311"/>
      <c r="R67" s="1311"/>
      <c r="S67" s="1311"/>
    </row>
    <row r="68" spans="1:19" ht="15" customHeight="1" x14ac:dyDescent="0.25">
      <c r="A68" s="1311"/>
      <c r="C68" s="205"/>
      <c r="D68" s="207"/>
      <c r="F68" s="1295"/>
      <c r="H68" s="1311"/>
      <c r="I68" s="1311"/>
      <c r="J68" s="1311"/>
      <c r="K68" s="1311"/>
      <c r="L68" s="1311"/>
      <c r="M68" s="1311"/>
      <c r="N68" s="1311"/>
      <c r="O68" s="1311"/>
      <c r="P68" s="1311"/>
      <c r="Q68" s="1311"/>
      <c r="R68" s="1311"/>
      <c r="S68" s="1311"/>
    </row>
    <row r="69" spans="1:19" ht="15" customHeight="1" x14ac:dyDescent="0.25">
      <c r="A69" s="1311"/>
      <c r="C69" s="205"/>
      <c r="D69" s="998"/>
      <c r="E69" s="39"/>
      <c r="F69" s="1298"/>
      <c r="H69" s="1311"/>
      <c r="I69" s="1311"/>
      <c r="J69" s="1311"/>
      <c r="K69" s="1311"/>
      <c r="L69" s="1311"/>
      <c r="M69" s="1311"/>
      <c r="N69" s="1311"/>
      <c r="O69" s="1311"/>
      <c r="P69" s="1311"/>
      <c r="Q69" s="1311"/>
      <c r="R69" s="1311"/>
      <c r="S69" s="1311"/>
    </row>
    <row r="70" spans="1:19" ht="15" customHeight="1" x14ac:dyDescent="0.25">
      <c r="A70" s="1311"/>
      <c r="C70" s="205"/>
      <c r="D70" s="207"/>
      <c r="F70" s="1295"/>
      <c r="H70" s="1311"/>
      <c r="I70" s="1311"/>
      <c r="J70" s="1311"/>
      <c r="K70" s="1311"/>
      <c r="L70" s="1311"/>
      <c r="M70" s="1311"/>
      <c r="N70" s="1311"/>
      <c r="O70" s="1311"/>
      <c r="P70" s="1311"/>
      <c r="Q70" s="1311"/>
      <c r="R70" s="1311"/>
      <c r="S70" s="1311"/>
    </row>
    <row r="71" spans="1:19" ht="15" customHeight="1" x14ac:dyDescent="0.25">
      <c r="A71" s="1311"/>
      <c r="C71" s="205"/>
      <c r="D71" s="207"/>
      <c r="F71" s="1295"/>
      <c r="H71" s="1311"/>
      <c r="I71" s="1311"/>
      <c r="J71" s="1311"/>
      <c r="K71" s="1311"/>
      <c r="L71" s="1311"/>
      <c r="M71" s="1311"/>
      <c r="N71" s="1311"/>
      <c r="O71" s="1311"/>
      <c r="P71" s="1311"/>
      <c r="Q71" s="1311"/>
      <c r="R71" s="1311"/>
      <c r="S71" s="1311"/>
    </row>
    <row r="72" spans="1:19" ht="15" customHeight="1" x14ac:dyDescent="0.25">
      <c r="A72" s="1311"/>
      <c r="C72" s="205"/>
      <c r="D72" s="207"/>
      <c r="F72" s="1298"/>
      <c r="H72" s="1311"/>
      <c r="I72" s="1311"/>
      <c r="J72" s="1311"/>
      <c r="K72" s="1311"/>
      <c r="L72" s="1311"/>
      <c r="M72" s="1311"/>
      <c r="N72" s="1311"/>
      <c r="O72" s="1311"/>
      <c r="P72" s="1311"/>
      <c r="Q72" s="1311"/>
      <c r="R72" s="1311"/>
      <c r="S72" s="1311"/>
    </row>
    <row r="73" spans="1:19" ht="15" customHeight="1" x14ac:dyDescent="0.25">
      <c r="A73" s="1311"/>
      <c r="C73" s="205"/>
      <c r="D73" s="207"/>
      <c r="F73" s="1295"/>
      <c r="H73" s="1311"/>
      <c r="I73" s="1311"/>
      <c r="J73" s="1311"/>
      <c r="K73" s="1311"/>
      <c r="L73" s="1311"/>
      <c r="M73" s="1311"/>
      <c r="N73" s="1311"/>
      <c r="O73" s="1311"/>
      <c r="P73" s="1311"/>
      <c r="Q73" s="1311"/>
      <c r="R73" s="1311"/>
      <c r="S73" s="1311"/>
    </row>
    <row r="74" spans="1:19" ht="15" customHeight="1" x14ac:dyDescent="0.25">
      <c r="A74" s="1311"/>
      <c r="C74" s="205"/>
      <c r="D74" s="207"/>
      <c r="F74" s="1295"/>
      <c r="H74" s="1311"/>
      <c r="I74" s="1311"/>
      <c r="J74" s="1311"/>
      <c r="K74" s="1311"/>
      <c r="L74" s="1311"/>
      <c r="M74" s="1311"/>
      <c r="N74" s="1311"/>
      <c r="O74" s="1311"/>
      <c r="P74" s="1311"/>
      <c r="Q74" s="1311"/>
      <c r="R74" s="1311"/>
      <c r="S74" s="1311"/>
    </row>
    <row r="75" spans="1:19" ht="15" customHeight="1" x14ac:dyDescent="0.25">
      <c r="A75" s="1311"/>
      <c r="C75" s="205"/>
      <c r="D75" s="207"/>
      <c r="F75" s="1295"/>
      <c r="H75" s="1311"/>
      <c r="I75" s="1311"/>
      <c r="J75" s="1311"/>
      <c r="K75" s="1311"/>
      <c r="L75" s="1311"/>
      <c r="M75" s="1311"/>
      <c r="N75" s="1311"/>
      <c r="O75" s="1311"/>
      <c r="P75" s="1311"/>
      <c r="Q75" s="1311"/>
      <c r="R75" s="1311"/>
      <c r="S75" s="1311"/>
    </row>
    <row r="76" spans="1:19" ht="18.75" customHeight="1" x14ac:dyDescent="0.25">
      <c r="A76" s="1311"/>
      <c r="C76" s="205"/>
      <c r="D76" s="998"/>
      <c r="E76" s="39"/>
      <c r="F76" s="1298"/>
      <c r="H76" s="1311"/>
      <c r="I76" s="1311"/>
      <c r="J76" s="1311"/>
      <c r="K76" s="1311"/>
      <c r="L76" s="1311"/>
      <c r="M76" s="1311"/>
      <c r="N76" s="1311"/>
      <c r="O76" s="1311"/>
      <c r="P76" s="1311"/>
      <c r="Q76" s="1311"/>
      <c r="R76" s="1311"/>
      <c r="S76" s="1311"/>
    </row>
    <row r="77" spans="1:19" ht="7.5" customHeight="1" x14ac:dyDescent="0.25">
      <c r="A77" s="1311"/>
      <c r="C77" s="205"/>
      <c r="D77" s="998"/>
      <c r="E77" s="39"/>
      <c r="F77" s="1298"/>
      <c r="H77" s="1311"/>
      <c r="I77" s="1311"/>
      <c r="J77" s="1311"/>
      <c r="K77" s="1311"/>
      <c r="L77" s="1311"/>
      <c r="M77" s="1311"/>
      <c r="N77" s="1311"/>
      <c r="O77" s="1311"/>
      <c r="P77" s="1311"/>
      <c r="Q77" s="1311"/>
      <c r="R77" s="1311"/>
      <c r="S77" s="1311"/>
    </row>
    <row r="78" spans="1:19" ht="15" customHeight="1" x14ac:dyDescent="0.25">
      <c r="A78" s="1311"/>
      <c r="C78" s="1417"/>
      <c r="D78" s="1418"/>
      <c r="E78" s="1419"/>
      <c r="F78" s="1420"/>
      <c r="H78" s="1311"/>
      <c r="I78" s="1311"/>
      <c r="J78" s="1311"/>
      <c r="K78" s="1311"/>
      <c r="L78" s="1311"/>
      <c r="M78" s="1311"/>
      <c r="N78" s="1311"/>
      <c r="O78" s="1311"/>
      <c r="P78" s="1311"/>
      <c r="Q78" s="1311"/>
      <c r="R78" s="1311"/>
      <c r="S78" s="1311"/>
    </row>
    <row r="79" spans="1:19" ht="15.9" customHeight="1" x14ac:dyDescent="0.25">
      <c r="A79" s="1311"/>
      <c r="C79" s="1421"/>
      <c r="D79" s="1422">
        <v>0.4</v>
      </c>
      <c r="E79" s="1423" t="s">
        <v>1422</v>
      </c>
      <c r="F79" s="1424"/>
      <c r="H79" s="1311"/>
      <c r="I79" s="1311"/>
      <c r="J79" s="1311"/>
      <c r="K79" s="1311"/>
      <c r="L79" s="1311"/>
      <c r="M79" s="1311"/>
      <c r="N79" s="1311"/>
      <c r="O79" s="1311"/>
      <c r="P79" s="1311"/>
      <c r="Q79" s="1311"/>
      <c r="R79" s="1311"/>
      <c r="S79" s="1311"/>
    </row>
    <row r="80" spans="1:19" ht="26.1" customHeight="1" x14ac:dyDescent="0.25">
      <c r="A80" s="1311"/>
      <c r="C80" s="1425"/>
      <c r="D80" s="1426"/>
      <c r="E80" s="1427" t="s">
        <v>801</v>
      </c>
      <c r="F80" s="1424" t="s">
        <v>1458</v>
      </c>
      <c r="H80" s="1311"/>
      <c r="I80" s="1311"/>
      <c r="J80" s="1311"/>
      <c r="K80" s="1311"/>
      <c r="L80" s="1311"/>
      <c r="M80" s="1311"/>
      <c r="N80" s="1311"/>
      <c r="O80" s="1311"/>
      <c r="P80" s="1311"/>
      <c r="Q80" s="1311"/>
      <c r="R80" s="1311"/>
      <c r="S80" s="1311"/>
    </row>
    <row r="81" spans="1:19" ht="42" customHeight="1" x14ac:dyDescent="0.25">
      <c r="A81" s="1311"/>
      <c r="C81" s="1425"/>
      <c r="D81" s="1426"/>
      <c r="E81" s="1427" t="s">
        <v>803</v>
      </c>
      <c r="F81" s="1424" t="s">
        <v>757</v>
      </c>
      <c r="H81" s="1311"/>
      <c r="I81" s="1311"/>
      <c r="J81" s="1311"/>
      <c r="K81" s="1311"/>
      <c r="L81" s="1311"/>
      <c r="M81" s="1311"/>
      <c r="N81" s="1311"/>
      <c r="O81" s="1311"/>
      <c r="P81" s="1311"/>
      <c r="Q81" s="1311"/>
      <c r="R81" s="1311"/>
      <c r="S81" s="1311"/>
    </row>
    <row r="82" spans="1:19" ht="27.9" customHeight="1" x14ac:dyDescent="0.25">
      <c r="A82" s="1311"/>
      <c r="C82" s="1425"/>
      <c r="D82" s="1426"/>
      <c r="E82" s="1427" t="s">
        <v>804</v>
      </c>
      <c r="F82" s="1424" t="s">
        <v>756</v>
      </c>
      <c r="H82" s="1311"/>
      <c r="I82" s="1311"/>
      <c r="J82" s="1311"/>
      <c r="K82" s="1311"/>
      <c r="L82" s="1311"/>
      <c r="M82" s="1311"/>
      <c r="N82" s="1311"/>
      <c r="O82" s="1311"/>
      <c r="P82" s="1311"/>
      <c r="Q82" s="1311"/>
      <c r="R82" s="1311"/>
      <c r="S82" s="1311"/>
    </row>
    <row r="83" spans="1:19" ht="27.9" customHeight="1" x14ac:dyDescent="0.25">
      <c r="A83" s="1311"/>
      <c r="C83" s="1425"/>
      <c r="D83" s="1426"/>
      <c r="E83" s="1427" t="s">
        <v>805</v>
      </c>
      <c r="F83" s="1424" t="s">
        <v>758</v>
      </c>
      <c r="H83" s="1311"/>
      <c r="I83" s="1311"/>
      <c r="J83" s="1311"/>
      <c r="K83" s="1311"/>
      <c r="L83" s="1311"/>
      <c r="M83" s="1311"/>
      <c r="N83" s="1311"/>
      <c r="O83" s="1311"/>
      <c r="P83" s="1311"/>
      <c r="Q83" s="1311"/>
      <c r="R83" s="1311"/>
      <c r="S83" s="1311"/>
    </row>
    <row r="84" spans="1:19" ht="42" customHeight="1" x14ac:dyDescent="0.25">
      <c r="A84" s="1311"/>
      <c r="C84" s="1425"/>
      <c r="D84" s="1426"/>
      <c r="E84" s="1427" t="s">
        <v>857</v>
      </c>
      <c r="F84" s="1424" t="s">
        <v>759</v>
      </c>
      <c r="H84" s="1311"/>
      <c r="I84" s="1311"/>
      <c r="J84" s="1311"/>
      <c r="K84" s="1311"/>
      <c r="L84" s="1311"/>
      <c r="M84" s="1311"/>
      <c r="N84" s="1311"/>
      <c r="O84" s="1311"/>
      <c r="P84" s="1311"/>
      <c r="Q84" s="1311"/>
      <c r="R84" s="1311"/>
      <c r="S84" s="1311"/>
    </row>
    <row r="85" spans="1:19" ht="27.9" customHeight="1" x14ac:dyDescent="0.25">
      <c r="A85" s="1311"/>
      <c r="C85" s="1425"/>
      <c r="D85" s="1426"/>
      <c r="E85" s="1427" t="s">
        <v>858</v>
      </c>
      <c r="F85" s="1424" t="s">
        <v>1419</v>
      </c>
      <c r="H85" s="1311"/>
      <c r="I85" s="1311"/>
      <c r="J85" s="1311"/>
      <c r="K85" s="1311"/>
      <c r="L85" s="1311"/>
      <c r="M85" s="1311"/>
      <c r="N85" s="1311"/>
      <c r="O85" s="1311"/>
      <c r="P85" s="1311"/>
      <c r="Q85" s="1311"/>
      <c r="R85" s="1311"/>
      <c r="S85" s="1311"/>
    </row>
    <row r="86" spans="1:19" ht="27.9" customHeight="1" x14ac:dyDescent="0.25">
      <c r="A86" s="1311"/>
      <c r="C86" s="1425"/>
      <c r="D86" s="1426"/>
      <c r="E86" s="1427" t="s">
        <v>859</v>
      </c>
      <c r="F86" s="1424" t="s">
        <v>1420</v>
      </c>
      <c r="H86" s="1311"/>
      <c r="I86" s="1311"/>
      <c r="J86" s="1311"/>
      <c r="K86" s="1311"/>
      <c r="L86" s="1311"/>
      <c r="M86" s="1311"/>
      <c r="N86" s="1311"/>
      <c r="O86" s="1311"/>
      <c r="P86" s="1311"/>
      <c r="Q86" s="1311"/>
      <c r="R86" s="1311"/>
      <c r="S86" s="1311"/>
    </row>
    <row r="87" spans="1:19" ht="27.9" customHeight="1" x14ac:dyDescent="0.25">
      <c r="A87" s="1311"/>
      <c r="C87" s="1425"/>
      <c r="D87" s="1426"/>
      <c r="E87" s="1427" t="s">
        <v>860</v>
      </c>
      <c r="F87" s="1424" t="s">
        <v>1421</v>
      </c>
      <c r="H87" s="1311"/>
      <c r="I87" s="1311"/>
      <c r="J87" s="1311"/>
      <c r="K87" s="1311"/>
      <c r="L87" s="1311"/>
      <c r="M87" s="1311"/>
      <c r="N87" s="1311"/>
      <c r="O87" s="1311"/>
      <c r="P87" s="1311"/>
      <c r="Q87" s="1311"/>
      <c r="R87" s="1311"/>
      <c r="S87" s="1311"/>
    </row>
    <row r="88" spans="1:19" ht="27.9" customHeight="1" x14ac:dyDescent="0.25">
      <c r="A88" s="1311"/>
      <c r="C88" s="1425"/>
      <c r="D88" s="1426"/>
      <c r="E88" s="1427" t="s">
        <v>861</v>
      </c>
      <c r="F88" s="1424" t="s">
        <v>1616</v>
      </c>
      <c r="H88" s="1311"/>
      <c r="I88" s="1311"/>
      <c r="J88" s="1311"/>
      <c r="K88" s="1311"/>
      <c r="L88" s="1311"/>
      <c r="M88" s="1311"/>
      <c r="N88" s="1311"/>
      <c r="O88" s="1311"/>
      <c r="P88" s="1311"/>
      <c r="Q88" s="1311"/>
      <c r="R88" s="1311"/>
      <c r="S88" s="1311"/>
    </row>
    <row r="89" spans="1:19" ht="40.5" customHeight="1" x14ac:dyDescent="0.25">
      <c r="A89" s="1311"/>
      <c r="C89" s="1425"/>
      <c r="D89" s="1426"/>
      <c r="E89" s="1427" t="s">
        <v>1704</v>
      </c>
      <c r="F89" s="1424" t="s">
        <v>1705</v>
      </c>
      <c r="H89" s="1311"/>
      <c r="I89" s="1311"/>
      <c r="J89" s="1311"/>
      <c r="K89" s="1311"/>
      <c r="L89" s="1311"/>
      <c r="M89" s="1311"/>
      <c r="N89" s="1311"/>
      <c r="O89" s="1311"/>
      <c r="P89" s="1311"/>
      <c r="Q89" s="1311"/>
      <c r="R89" s="1311"/>
      <c r="S89" s="1311"/>
    </row>
    <row r="90" spans="1:19" ht="9" customHeight="1" x14ac:dyDescent="0.25">
      <c r="A90" s="1311"/>
      <c r="C90" s="1428"/>
      <c r="D90" s="1429"/>
      <c r="E90" s="1430"/>
      <c r="F90" s="1431"/>
      <c r="H90" s="1311"/>
      <c r="I90" s="1311"/>
      <c r="J90" s="1311"/>
      <c r="K90" s="1311"/>
      <c r="L90" s="1311"/>
      <c r="M90" s="1311"/>
      <c r="N90" s="1311"/>
      <c r="O90" s="1311"/>
      <c r="P90" s="1311"/>
      <c r="Q90" s="1311"/>
      <c r="R90" s="1311"/>
      <c r="S90" s="1311"/>
    </row>
    <row r="91" spans="1:19" ht="9.9" customHeight="1" x14ac:dyDescent="0.25">
      <c r="A91" s="1311"/>
      <c r="C91" s="205"/>
      <c r="D91" s="207"/>
      <c r="E91" s="39"/>
      <c r="F91" s="1296"/>
      <c r="H91" s="1311"/>
      <c r="I91" s="1311"/>
      <c r="J91" s="1311"/>
      <c r="K91" s="1311"/>
      <c r="L91" s="1311"/>
      <c r="M91" s="1311"/>
      <c r="N91" s="1311"/>
      <c r="O91" s="1311"/>
      <c r="P91" s="1311"/>
      <c r="Q91" s="1311"/>
      <c r="R91" s="1311"/>
      <c r="S91" s="1311"/>
    </row>
    <row r="92" spans="1:19" ht="30" customHeight="1" x14ac:dyDescent="0.25">
      <c r="A92" s="1311"/>
      <c r="C92" s="39"/>
      <c r="D92" s="207">
        <v>0.5</v>
      </c>
      <c r="E92" s="4163" t="s">
        <v>1169</v>
      </c>
      <c r="F92" s="4163"/>
      <c r="H92" s="1311"/>
      <c r="I92" s="1311"/>
      <c r="J92" s="1311"/>
      <c r="K92" s="1311"/>
      <c r="L92" s="1311"/>
      <c r="M92" s="1311"/>
      <c r="N92" s="1311"/>
      <c r="O92" s="1311"/>
      <c r="P92" s="1311"/>
      <c r="Q92" s="1311"/>
      <c r="R92" s="1311"/>
      <c r="S92" s="1311"/>
    </row>
    <row r="93" spans="1:19" ht="27.9" customHeight="1" x14ac:dyDescent="0.25">
      <c r="A93" s="1311"/>
      <c r="C93" s="205"/>
      <c r="D93" s="207"/>
      <c r="E93" s="39" t="s">
        <v>807</v>
      </c>
      <c r="F93" s="1296" t="s">
        <v>1170</v>
      </c>
      <c r="H93" s="1311"/>
      <c r="I93" s="1311"/>
      <c r="J93" s="1311"/>
      <c r="K93" s="1311"/>
      <c r="L93" s="1311"/>
      <c r="M93" s="1311"/>
      <c r="N93" s="1311"/>
      <c r="O93" s="1311"/>
      <c r="P93" s="1311"/>
      <c r="Q93" s="1311"/>
      <c r="R93" s="1311"/>
      <c r="S93" s="1311"/>
    </row>
    <row r="94" spans="1:19" ht="27.9" customHeight="1" x14ac:dyDescent="0.25">
      <c r="A94" s="1311"/>
      <c r="C94" s="205"/>
      <c r="D94" s="207"/>
      <c r="E94" s="39" t="s">
        <v>812</v>
      </c>
      <c r="F94" s="1296" t="s">
        <v>802</v>
      </c>
      <c r="H94" s="1311"/>
      <c r="I94" s="1311"/>
      <c r="J94" s="1311"/>
      <c r="K94" s="1311"/>
      <c r="L94" s="1311"/>
      <c r="M94" s="1311"/>
      <c r="N94" s="1311"/>
      <c r="O94" s="1311"/>
      <c r="P94" s="1311"/>
      <c r="Q94" s="1311"/>
      <c r="R94" s="1311"/>
      <c r="S94" s="1311"/>
    </row>
    <row r="95" spans="1:19" ht="27.9" customHeight="1" x14ac:dyDescent="0.25">
      <c r="A95" s="1311"/>
      <c r="C95" s="205"/>
      <c r="D95" s="207"/>
      <c r="E95" s="39" t="s">
        <v>813</v>
      </c>
      <c r="F95" s="1296" t="s">
        <v>1244</v>
      </c>
      <c r="H95" s="1311"/>
      <c r="I95" s="1311"/>
      <c r="J95" s="1311"/>
      <c r="K95" s="1311"/>
      <c r="L95" s="1311"/>
      <c r="M95" s="1311"/>
      <c r="N95" s="1311"/>
      <c r="O95" s="1311"/>
      <c r="P95" s="1311"/>
      <c r="Q95" s="1311"/>
      <c r="R95" s="1311"/>
      <c r="S95" s="1311"/>
    </row>
    <row r="96" spans="1:19" ht="32.4" customHeight="1" x14ac:dyDescent="0.25">
      <c r="A96" s="1311"/>
      <c r="C96" s="205"/>
      <c r="D96" s="207"/>
      <c r="E96" s="39" t="s">
        <v>862</v>
      </c>
      <c r="F96" s="1296" t="s">
        <v>809</v>
      </c>
      <c r="H96" s="1311"/>
      <c r="I96" s="1311"/>
      <c r="J96" s="1311"/>
      <c r="K96" s="1311"/>
      <c r="L96" s="1311"/>
      <c r="M96" s="1311"/>
      <c r="N96" s="1311"/>
      <c r="O96" s="1311"/>
      <c r="P96" s="1311"/>
      <c r="Q96" s="1311"/>
      <c r="R96" s="1311"/>
      <c r="S96" s="1311"/>
    </row>
    <row r="97" spans="1:19" ht="9.9" customHeight="1" x14ac:dyDescent="0.25">
      <c r="A97" s="1311"/>
      <c r="C97" s="205"/>
      <c r="D97" s="207"/>
      <c r="E97" s="39"/>
      <c r="F97" s="1296"/>
      <c r="H97" s="1311"/>
      <c r="I97" s="1311"/>
      <c r="J97" s="1311"/>
      <c r="K97" s="1311"/>
      <c r="L97" s="1311"/>
      <c r="M97" s="1311"/>
      <c r="N97" s="1311"/>
      <c r="O97" s="1311"/>
      <c r="P97" s="1311"/>
      <c r="Q97" s="1311"/>
      <c r="R97" s="1311"/>
      <c r="S97" s="1311"/>
    </row>
    <row r="98" spans="1:19" ht="15.9" customHeight="1" x14ac:dyDescent="0.25">
      <c r="A98" s="1311"/>
      <c r="C98" s="39"/>
      <c r="D98" s="207">
        <v>0.6</v>
      </c>
      <c r="E98" s="206" t="s">
        <v>806</v>
      </c>
      <c r="F98" s="1296"/>
      <c r="H98" s="1311"/>
      <c r="I98" s="1311"/>
      <c r="J98" s="1311"/>
      <c r="K98" s="1311"/>
      <c r="L98" s="1311"/>
      <c r="M98" s="1311"/>
      <c r="N98" s="1311"/>
      <c r="O98" s="1311"/>
      <c r="P98" s="1311"/>
      <c r="Q98" s="1311"/>
      <c r="R98" s="1311"/>
      <c r="S98" s="1311"/>
    </row>
    <row r="99" spans="1:19" ht="27.9" customHeight="1" x14ac:dyDescent="0.25">
      <c r="A99" s="1311"/>
      <c r="C99" s="205"/>
      <c r="D99" s="207"/>
      <c r="E99" s="39" t="s">
        <v>863</v>
      </c>
      <c r="F99" s="1296" t="s">
        <v>810</v>
      </c>
      <c r="H99" s="1311"/>
      <c r="I99" s="1311"/>
      <c r="J99" s="1311"/>
      <c r="K99" s="1311"/>
      <c r="L99" s="1311"/>
      <c r="M99" s="1311"/>
      <c r="N99" s="1311"/>
      <c r="O99" s="1311"/>
      <c r="P99" s="1311"/>
      <c r="Q99" s="1311"/>
      <c r="R99" s="1311"/>
      <c r="S99" s="1311"/>
    </row>
    <row r="100" spans="1:19" ht="27.9" customHeight="1" x14ac:dyDescent="0.25">
      <c r="A100" s="1311"/>
      <c r="C100" s="205"/>
      <c r="D100" s="207"/>
      <c r="E100" s="39" t="s">
        <v>864</v>
      </c>
      <c r="F100" s="1296" t="s">
        <v>811</v>
      </c>
      <c r="H100" s="1311"/>
      <c r="I100" s="1311"/>
      <c r="J100" s="1311"/>
      <c r="K100" s="1311"/>
      <c r="L100" s="1311"/>
      <c r="M100" s="1311"/>
      <c r="N100" s="1311"/>
      <c r="O100" s="1311"/>
      <c r="P100" s="1311"/>
      <c r="Q100" s="1311"/>
      <c r="R100" s="1311"/>
      <c r="S100" s="1311"/>
    </row>
    <row r="101" spans="1:19" ht="27.9" customHeight="1" x14ac:dyDescent="0.25">
      <c r="A101" s="1311"/>
      <c r="C101" s="205"/>
      <c r="D101" s="207"/>
      <c r="E101" s="39" t="s">
        <v>865</v>
      </c>
      <c r="F101" s="1296" t="s">
        <v>843</v>
      </c>
      <c r="H101" s="1311"/>
      <c r="I101" s="1311"/>
      <c r="J101" s="1311"/>
      <c r="K101" s="1311"/>
      <c r="L101" s="1311"/>
      <c r="M101" s="1311"/>
      <c r="N101" s="1311"/>
      <c r="O101" s="1311"/>
      <c r="P101" s="1311"/>
      <c r="Q101" s="1311"/>
      <c r="R101" s="1311"/>
      <c r="S101" s="1311"/>
    </row>
    <row r="102" spans="1:19" ht="9.9" customHeight="1" x14ac:dyDescent="0.25">
      <c r="A102" s="1311"/>
      <c r="C102" s="205"/>
      <c r="D102" s="207"/>
      <c r="E102" s="39"/>
      <c r="F102" s="1296"/>
      <c r="H102" s="1311"/>
      <c r="I102" s="1311"/>
      <c r="J102" s="1311"/>
      <c r="K102" s="1311"/>
      <c r="L102" s="1311"/>
      <c r="M102" s="1311"/>
      <c r="N102" s="1311"/>
      <c r="O102" s="1311"/>
      <c r="P102" s="1311"/>
      <c r="Q102" s="1311"/>
      <c r="R102" s="1311"/>
      <c r="S102" s="1311"/>
    </row>
    <row r="103" spans="1:19" ht="15.9" customHeight="1" x14ac:dyDescent="0.25">
      <c r="A103" s="1311"/>
      <c r="C103" s="39"/>
      <c r="D103" s="207">
        <v>0.7</v>
      </c>
      <c r="E103" s="206" t="s">
        <v>1254</v>
      </c>
      <c r="F103" s="1296"/>
      <c r="H103" s="1311"/>
      <c r="I103" s="1311"/>
      <c r="J103" s="1311"/>
      <c r="K103" s="1311"/>
      <c r="L103" s="1311"/>
      <c r="M103" s="1311"/>
      <c r="N103" s="1311"/>
      <c r="O103" s="1311"/>
      <c r="P103" s="1311"/>
      <c r="Q103" s="1311"/>
      <c r="R103" s="1311"/>
      <c r="S103" s="1311"/>
    </row>
    <row r="104" spans="1:19" ht="15.9" customHeight="1" x14ac:dyDescent="0.25">
      <c r="A104" s="1311"/>
      <c r="C104" s="205"/>
      <c r="D104" s="207"/>
      <c r="E104" s="39" t="s">
        <v>1255</v>
      </c>
      <c r="F104" s="1296" t="s">
        <v>1256</v>
      </c>
      <c r="H104" s="1311"/>
      <c r="I104" s="1311"/>
      <c r="J104" s="1311"/>
      <c r="K104" s="1311"/>
      <c r="L104" s="1311"/>
      <c r="M104" s="1311"/>
      <c r="N104" s="1311"/>
      <c r="O104" s="1311"/>
      <c r="P104" s="1311"/>
      <c r="Q104" s="1311"/>
      <c r="R104" s="1311"/>
      <c r="S104" s="1311"/>
    </row>
    <row r="105" spans="1:19" ht="15.9" customHeight="1" x14ac:dyDescent="0.25">
      <c r="A105" s="1311"/>
      <c r="C105" s="205"/>
      <c r="D105" s="207"/>
      <c r="E105" s="39" t="s">
        <v>1257</v>
      </c>
      <c r="F105" s="1296" t="s">
        <v>1258</v>
      </c>
      <c r="H105" s="1311"/>
      <c r="I105" s="1311"/>
      <c r="J105" s="1311"/>
      <c r="K105" s="1311"/>
      <c r="L105" s="1311"/>
      <c r="M105" s="1311"/>
      <c r="N105" s="1311"/>
      <c r="O105" s="1311"/>
      <c r="P105" s="1311"/>
      <c r="Q105" s="1311"/>
      <c r="R105" s="1311"/>
      <c r="S105" s="1311"/>
    </row>
    <row r="106" spans="1:19" ht="15.9" customHeight="1" x14ac:dyDescent="0.25">
      <c r="A106" s="1311"/>
      <c r="C106" s="205"/>
      <c r="D106" s="207"/>
      <c r="E106" s="39"/>
      <c r="F106" s="1296"/>
      <c r="H106" s="1311"/>
      <c r="I106" s="1311"/>
      <c r="J106" s="1311"/>
      <c r="K106" s="1311"/>
      <c r="L106" s="1311"/>
      <c r="M106" s="1311"/>
      <c r="N106" s="1311"/>
      <c r="O106" s="1311"/>
      <c r="P106" s="1311"/>
      <c r="Q106" s="1311"/>
      <c r="R106" s="1311"/>
      <c r="S106" s="1311"/>
    </row>
    <row r="107" spans="1:19" ht="3.75" customHeight="1" x14ac:dyDescent="0.25">
      <c r="A107" s="1311"/>
      <c r="C107" s="39"/>
      <c r="D107" s="39"/>
      <c r="E107" s="39"/>
      <c r="F107" s="1296"/>
      <c r="H107" s="1311"/>
      <c r="I107" s="1311"/>
      <c r="J107" s="1311"/>
      <c r="K107" s="1311"/>
      <c r="L107" s="1311"/>
      <c r="M107" s="1311"/>
      <c r="N107" s="1311"/>
      <c r="O107" s="1311"/>
      <c r="P107" s="1311"/>
      <c r="Q107" s="1311"/>
      <c r="R107" s="1311"/>
      <c r="S107" s="1311"/>
    </row>
    <row r="108" spans="1:19" s="747" customFormat="1" ht="39.9" customHeight="1" x14ac:dyDescent="0.25">
      <c r="A108" s="1311"/>
      <c r="C108" s="4147" t="s">
        <v>1235</v>
      </c>
      <c r="D108" s="4148"/>
      <c r="E108" s="4148"/>
      <c r="F108" s="4149"/>
      <c r="H108" s="1314"/>
      <c r="I108" s="1314"/>
      <c r="J108" s="1314"/>
      <c r="K108" s="1314"/>
      <c r="L108" s="1314"/>
      <c r="M108" s="1314"/>
      <c r="N108" s="1314"/>
      <c r="O108" s="1314"/>
      <c r="P108" s="1314"/>
      <c r="Q108" s="1314"/>
      <c r="R108" s="1314"/>
      <c r="S108" s="1314"/>
    </row>
    <row r="109" spans="1:19" s="747" customFormat="1" ht="15" customHeight="1" x14ac:dyDescent="0.25">
      <c r="A109" s="1311"/>
      <c r="C109" s="1433"/>
      <c r="D109" s="1433"/>
      <c r="E109" s="1433"/>
      <c r="F109" s="1433"/>
      <c r="H109" s="1314"/>
      <c r="I109" s="1314"/>
      <c r="J109" s="1314"/>
      <c r="K109" s="1314"/>
      <c r="L109" s="1314"/>
      <c r="M109" s="1314"/>
      <c r="N109" s="1314"/>
      <c r="O109" s="1314"/>
      <c r="P109" s="1314"/>
      <c r="Q109" s="1314"/>
      <c r="R109" s="1314"/>
      <c r="S109" s="1314"/>
    </row>
    <row r="110" spans="1:19" ht="34.35" customHeight="1" x14ac:dyDescent="0.25">
      <c r="A110" s="1311"/>
      <c r="C110" s="1248"/>
      <c r="D110" s="4143" t="s">
        <v>2473</v>
      </c>
      <c r="E110" s="4144"/>
      <c r="F110" s="4145"/>
      <c r="H110" s="1311"/>
      <c r="I110" s="1311"/>
      <c r="J110" s="1311"/>
      <c r="K110" s="1311"/>
      <c r="L110" s="1311"/>
      <c r="M110" s="1311"/>
      <c r="N110" s="1311"/>
      <c r="O110" s="1311"/>
      <c r="P110" s="1311"/>
      <c r="Q110" s="1311"/>
      <c r="R110" s="1311"/>
      <c r="S110" s="1311"/>
    </row>
    <row r="111" spans="1:19" ht="19.95" customHeight="1" x14ac:dyDescent="0.25">
      <c r="A111" s="1311"/>
      <c r="C111" s="1248"/>
      <c r="D111" s="4134" t="s">
        <v>3406</v>
      </c>
      <c r="E111" s="4135"/>
      <c r="F111" s="4136"/>
      <c r="H111" s="1311"/>
      <c r="I111" s="1311"/>
      <c r="J111" s="1311"/>
      <c r="K111" s="1311"/>
      <c r="L111" s="1311"/>
      <c r="M111" s="1311"/>
      <c r="N111" s="1311"/>
      <c r="O111" s="1311"/>
      <c r="P111" s="1311"/>
      <c r="Q111" s="1311"/>
      <c r="R111" s="1311"/>
      <c r="S111" s="1311"/>
    </row>
    <row r="112" spans="1:19" ht="9" customHeight="1" x14ac:dyDescent="0.25">
      <c r="A112" s="1311"/>
      <c r="C112" s="1248"/>
      <c r="D112" s="39"/>
      <c r="E112" s="39"/>
      <c r="F112" s="1296"/>
      <c r="H112" s="1311"/>
      <c r="I112" s="1311"/>
      <c r="J112" s="1311"/>
      <c r="K112" s="1311"/>
      <c r="L112" s="1311"/>
      <c r="M112" s="1311"/>
      <c r="N112" s="1311"/>
      <c r="O112" s="1311"/>
      <c r="P112" s="1311"/>
      <c r="Q112" s="1311"/>
      <c r="R112" s="1311"/>
      <c r="S112" s="1311"/>
    </row>
    <row r="113" spans="1:19" ht="19.5" customHeight="1" x14ac:dyDescent="0.25">
      <c r="A113" s="1311"/>
      <c r="C113" s="380"/>
      <c r="D113" s="381" t="s">
        <v>331</v>
      </c>
      <c r="E113" s="379"/>
      <c r="F113" s="1296"/>
      <c r="H113" s="1311"/>
      <c r="I113" s="1311"/>
      <c r="J113" s="1311"/>
      <c r="K113" s="1311"/>
      <c r="L113" s="1311"/>
      <c r="M113" s="1311"/>
      <c r="N113" s="1311"/>
      <c r="O113" s="1311"/>
      <c r="P113" s="1311"/>
      <c r="Q113" s="1311"/>
      <c r="R113" s="1311"/>
      <c r="S113" s="1311"/>
    </row>
    <row r="114" spans="1:19" ht="15" customHeight="1" x14ac:dyDescent="0.25">
      <c r="A114" s="1311"/>
      <c r="C114" s="39"/>
      <c r="D114" s="1102">
        <v>1.1000000000000001</v>
      </c>
      <c r="E114" s="1103" t="s">
        <v>2813</v>
      </c>
      <c r="F114" s="1299"/>
      <c r="H114" s="1311"/>
      <c r="I114" s="1311"/>
      <c r="J114" s="1311"/>
      <c r="K114" s="1311"/>
      <c r="L114" s="1311"/>
      <c r="M114" s="1311"/>
      <c r="N114" s="1311"/>
      <c r="O114" s="1311"/>
      <c r="P114" s="1311"/>
      <c r="Q114" s="1311"/>
      <c r="R114" s="1311"/>
      <c r="S114" s="1311"/>
    </row>
    <row r="115" spans="1:19" ht="15" customHeight="1" x14ac:dyDescent="0.25">
      <c r="A115" s="1311"/>
      <c r="C115" s="39"/>
      <c r="D115" s="207"/>
      <c r="E115" s="1097" t="s">
        <v>12</v>
      </c>
      <c r="F115" s="1297" t="s">
        <v>814</v>
      </c>
      <c r="H115" s="1311"/>
      <c r="I115" s="1311"/>
      <c r="J115" s="1311"/>
      <c r="K115" s="1311"/>
      <c r="L115" s="1311"/>
      <c r="M115" s="1311"/>
      <c r="N115" s="1311"/>
      <c r="O115" s="1311"/>
      <c r="P115" s="1311"/>
      <c r="Q115" s="1311"/>
      <c r="R115" s="1311"/>
      <c r="S115" s="1311"/>
    </row>
    <row r="116" spans="1:19" ht="5.25" customHeight="1" x14ac:dyDescent="0.25">
      <c r="A116" s="1311"/>
      <c r="F116" s="1295"/>
      <c r="H116" s="1311"/>
      <c r="I116" s="1311"/>
      <c r="J116" s="1311"/>
      <c r="K116" s="1311"/>
      <c r="L116" s="1311"/>
      <c r="M116" s="1311"/>
      <c r="N116" s="1311"/>
      <c r="O116" s="1311"/>
      <c r="P116" s="1311"/>
      <c r="Q116" s="1311"/>
      <c r="R116" s="1311"/>
      <c r="S116" s="1311"/>
    </row>
    <row r="117" spans="1:19" ht="15" customHeight="1" x14ac:dyDescent="0.25">
      <c r="A117" s="1311"/>
      <c r="C117" s="39"/>
      <c r="D117" s="1102">
        <v>1.2</v>
      </c>
      <c r="E117" s="1103" t="s">
        <v>2814</v>
      </c>
      <c r="F117" s="1297"/>
      <c r="H117" s="1311"/>
      <c r="I117" s="1311"/>
      <c r="J117" s="1311"/>
      <c r="K117" s="1311"/>
      <c r="L117" s="1311"/>
      <c r="M117" s="1311"/>
      <c r="N117" s="1311"/>
      <c r="O117" s="1311"/>
      <c r="P117" s="1311"/>
      <c r="Q117" s="1311"/>
      <c r="R117" s="1311"/>
      <c r="S117" s="1311"/>
    </row>
    <row r="118" spans="1:19" ht="15" customHeight="1" x14ac:dyDescent="0.25">
      <c r="A118" s="1311"/>
      <c r="C118" s="39"/>
      <c r="D118" s="1098"/>
      <c r="E118" s="1097" t="s">
        <v>32</v>
      </c>
      <c r="F118" s="1297" t="s">
        <v>3403</v>
      </c>
      <c r="H118" s="1311"/>
      <c r="I118" s="1311"/>
      <c r="J118" s="1311"/>
      <c r="K118" s="1311"/>
      <c r="L118" s="1311"/>
      <c r="M118" s="1311"/>
      <c r="N118" s="1311"/>
      <c r="O118" s="1311"/>
      <c r="P118" s="1311"/>
      <c r="Q118" s="1311"/>
      <c r="R118" s="1311"/>
      <c r="S118" s="1311"/>
    </row>
    <row r="119" spans="1:19" ht="15" customHeight="1" x14ac:dyDescent="0.25">
      <c r="A119" s="1311"/>
      <c r="C119" s="39"/>
      <c r="D119" s="207"/>
      <c r="E119" s="39" t="s">
        <v>33</v>
      </c>
      <c r="F119" s="1296" t="s">
        <v>499</v>
      </c>
      <c r="H119" s="1311"/>
      <c r="I119" s="1311"/>
      <c r="J119" s="1311"/>
      <c r="K119" s="1311"/>
      <c r="L119" s="1311"/>
      <c r="M119" s="1311"/>
      <c r="N119" s="1311"/>
      <c r="O119" s="1311"/>
      <c r="P119" s="1311"/>
      <c r="Q119" s="1311"/>
      <c r="R119" s="1311"/>
      <c r="S119" s="1311"/>
    </row>
    <row r="120" spans="1:19" ht="30" customHeight="1" x14ac:dyDescent="0.25">
      <c r="A120" s="1311"/>
      <c r="C120" s="39"/>
      <c r="D120" s="207"/>
      <c r="E120" s="39" t="s">
        <v>89</v>
      </c>
      <c r="F120" s="1296" t="s">
        <v>3404</v>
      </c>
      <c r="H120" s="1311"/>
      <c r="I120" s="1311"/>
      <c r="J120" s="1311"/>
      <c r="K120" s="1311"/>
      <c r="L120" s="1311"/>
      <c r="M120" s="1311"/>
      <c r="N120" s="1311"/>
      <c r="O120" s="1311"/>
      <c r="P120" s="1311"/>
      <c r="Q120" s="1311"/>
      <c r="R120" s="1311"/>
      <c r="S120" s="1311"/>
    </row>
    <row r="121" spans="1:19" ht="5.25" customHeight="1" x14ac:dyDescent="0.25">
      <c r="A121" s="1311"/>
      <c r="F121" s="1295"/>
      <c r="H121" s="1311"/>
      <c r="I121" s="1311"/>
      <c r="J121" s="1311"/>
      <c r="K121" s="1311"/>
      <c r="L121" s="1311"/>
      <c r="M121" s="1311"/>
      <c r="N121" s="1311"/>
      <c r="O121" s="1311"/>
      <c r="P121" s="1311"/>
      <c r="Q121" s="1311"/>
      <c r="R121" s="1311"/>
      <c r="S121" s="1311"/>
    </row>
    <row r="122" spans="1:19" ht="15" customHeight="1" x14ac:dyDescent="0.25">
      <c r="A122" s="1311"/>
      <c r="C122" s="39"/>
      <c r="D122" s="207">
        <v>1.3</v>
      </c>
      <c r="E122" s="206" t="s">
        <v>2870</v>
      </c>
      <c r="F122" s="1296"/>
      <c r="H122" s="1311"/>
      <c r="I122" s="1311"/>
      <c r="J122" s="1311"/>
      <c r="K122" s="1311"/>
      <c r="L122" s="1311"/>
      <c r="M122" s="1311"/>
      <c r="N122" s="1311"/>
      <c r="O122" s="1311"/>
      <c r="P122" s="1311"/>
      <c r="Q122" s="1311"/>
      <c r="R122" s="1311"/>
      <c r="S122" s="1311"/>
    </row>
    <row r="123" spans="1:19" ht="27.9" customHeight="1" x14ac:dyDescent="0.25">
      <c r="A123" s="1311"/>
      <c r="C123" s="39"/>
      <c r="D123" s="207"/>
      <c r="E123" s="39" t="s">
        <v>334</v>
      </c>
      <c r="F123" s="1296" t="s">
        <v>3405</v>
      </c>
      <c r="H123" s="1311"/>
      <c r="I123" s="1311"/>
      <c r="J123" s="1311"/>
      <c r="K123" s="1311"/>
      <c r="L123" s="1311"/>
      <c r="M123" s="1311"/>
      <c r="N123" s="1311"/>
      <c r="O123" s="1311"/>
      <c r="P123" s="1311"/>
      <c r="Q123" s="1311"/>
      <c r="R123" s="1311"/>
      <c r="S123" s="1311"/>
    </row>
    <row r="124" spans="1:19" ht="15" customHeight="1" x14ac:dyDescent="0.25">
      <c r="A124" s="1311"/>
      <c r="C124" s="39"/>
      <c r="D124" s="207"/>
      <c r="E124" s="39" t="s">
        <v>335</v>
      </c>
      <c r="F124" s="1296" t="s">
        <v>4209</v>
      </c>
      <c r="H124" s="1311"/>
      <c r="I124" s="1311"/>
      <c r="J124" s="1311"/>
      <c r="K124" s="1311"/>
      <c r="L124" s="1311"/>
      <c r="M124" s="1311"/>
      <c r="N124" s="1311"/>
      <c r="O124" s="1311"/>
      <c r="P124" s="1311"/>
      <c r="Q124" s="1311"/>
      <c r="R124" s="1311"/>
      <c r="S124" s="1311"/>
    </row>
    <row r="125" spans="1:19" ht="15" customHeight="1" x14ac:dyDescent="0.25">
      <c r="A125" s="1311"/>
      <c r="C125" s="39"/>
      <c r="D125" s="207"/>
      <c r="E125" s="39" t="s">
        <v>336</v>
      </c>
      <c r="F125" s="1296" t="s">
        <v>815</v>
      </c>
      <c r="H125" s="1311"/>
      <c r="I125" s="1311"/>
      <c r="J125" s="1311"/>
      <c r="K125" s="1311"/>
      <c r="L125" s="1311"/>
      <c r="M125" s="1311"/>
      <c r="N125" s="1311"/>
      <c r="O125" s="1311"/>
      <c r="P125" s="1311"/>
      <c r="Q125" s="1311"/>
      <c r="R125" s="1311"/>
      <c r="S125" s="1311"/>
    </row>
    <row r="126" spans="1:19" ht="5.25" customHeight="1" x14ac:dyDescent="0.25">
      <c r="A126" s="1311"/>
      <c r="F126" s="1295"/>
      <c r="H126" s="1311"/>
      <c r="I126" s="1311"/>
      <c r="J126" s="1311"/>
      <c r="K126" s="1311"/>
      <c r="L126" s="1311"/>
      <c r="M126" s="1311"/>
      <c r="N126" s="1311"/>
      <c r="O126" s="1311"/>
      <c r="P126" s="1311"/>
      <c r="Q126" s="1311"/>
      <c r="R126" s="1311"/>
      <c r="S126" s="1311"/>
    </row>
    <row r="127" spans="1:19" ht="15" customHeight="1" x14ac:dyDescent="0.25">
      <c r="A127" s="1311"/>
      <c r="C127" s="39"/>
      <c r="D127" s="1102">
        <v>1.4</v>
      </c>
      <c r="E127" s="1103" t="s">
        <v>2815</v>
      </c>
      <c r="F127" s="1299"/>
      <c r="H127" s="1311"/>
      <c r="I127" s="1311"/>
      <c r="J127" s="1311"/>
      <c r="K127" s="1311"/>
      <c r="L127" s="1311"/>
      <c r="M127" s="1311"/>
      <c r="N127" s="1311"/>
      <c r="O127" s="1311"/>
      <c r="P127" s="1311"/>
      <c r="Q127" s="1311"/>
      <c r="R127" s="1311"/>
      <c r="S127" s="1311"/>
    </row>
    <row r="128" spans="1:19" ht="15" customHeight="1" x14ac:dyDescent="0.25">
      <c r="A128" s="1311"/>
      <c r="C128" s="39"/>
      <c r="D128" s="207"/>
      <c r="E128" s="1097" t="s">
        <v>337</v>
      </c>
      <c r="F128" s="1297" t="s">
        <v>890</v>
      </c>
      <c r="H128" s="1311"/>
      <c r="I128" s="1311"/>
      <c r="J128" s="1311"/>
      <c r="K128" s="1311"/>
      <c r="L128" s="1311"/>
      <c r="M128" s="1311"/>
      <c r="N128" s="1311"/>
      <c r="O128" s="1311"/>
      <c r="P128" s="1311"/>
      <c r="Q128" s="1311"/>
      <c r="R128" s="1311"/>
      <c r="S128" s="1311"/>
    </row>
    <row r="129" spans="1:19" ht="42" customHeight="1" x14ac:dyDescent="0.25">
      <c r="A129" s="1311"/>
      <c r="C129" s="39"/>
      <c r="D129" s="207"/>
      <c r="E129" s="39" t="s">
        <v>338</v>
      </c>
      <c r="F129" s="1296" t="s">
        <v>1567</v>
      </c>
      <c r="H129" s="1311"/>
      <c r="I129" s="1311"/>
      <c r="J129" s="1311"/>
      <c r="K129" s="1311"/>
      <c r="L129" s="1311"/>
      <c r="M129" s="1311"/>
      <c r="N129" s="1311"/>
      <c r="O129" s="1311"/>
      <c r="P129" s="1311"/>
      <c r="Q129" s="1311"/>
      <c r="R129" s="1311"/>
      <c r="S129" s="1311"/>
    </row>
    <row r="130" spans="1:19" ht="27.9" customHeight="1" x14ac:dyDescent="0.25">
      <c r="A130" s="1311"/>
      <c r="C130" s="39"/>
      <c r="D130" s="207"/>
      <c r="E130" s="39" t="s">
        <v>1376</v>
      </c>
      <c r="F130" s="1296" t="s">
        <v>1568</v>
      </c>
      <c r="H130" s="1311"/>
      <c r="I130" s="1311"/>
      <c r="J130" s="1311"/>
      <c r="K130" s="1311"/>
      <c r="L130" s="1311"/>
      <c r="M130" s="1311"/>
      <c r="N130" s="1311"/>
      <c r="O130" s="1311"/>
      <c r="P130" s="1311"/>
      <c r="Q130" s="1311"/>
      <c r="R130" s="1311"/>
      <c r="S130" s="1311"/>
    </row>
    <row r="131" spans="1:19" ht="5.25" customHeight="1" x14ac:dyDescent="0.25">
      <c r="A131" s="1311"/>
      <c r="F131" s="1295"/>
      <c r="H131" s="1311"/>
      <c r="I131" s="1311"/>
      <c r="J131" s="1311"/>
      <c r="K131" s="1311"/>
      <c r="L131" s="1311"/>
      <c r="M131" s="1311"/>
      <c r="N131" s="1311"/>
      <c r="O131" s="1311"/>
      <c r="P131" s="1311"/>
      <c r="Q131" s="1311"/>
      <c r="R131" s="1311"/>
      <c r="S131" s="1311"/>
    </row>
    <row r="132" spans="1:19" ht="15" customHeight="1" x14ac:dyDescent="0.25">
      <c r="A132" s="1311"/>
      <c r="C132" s="39"/>
      <c r="D132" s="1102">
        <v>1.5</v>
      </c>
      <c r="E132" s="1103" t="s">
        <v>894</v>
      </c>
      <c r="F132" s="1296"/>
      <c r="H132" s="1311"/>
      <c r="I132" s="1311"/>
      <c r="J132" s="1311"/>
      <c r="K132" s="1311"/>
      <c r="L132" s="1311"/>
      <c r="M132" s="1311"/>
      <c r="N132" s="1311"/>
      <c r="O132" s="1311"/>
      <c r="P132" s="1311"/>
      <c r="Q132" s="1311"/>
      <c r="R132" s="1311"/>
      <c r="S132" s="1311"/>
    </row>
    <row r="133" spans="1:19" ht="42" customHeight="1" x14ac:dyDescent="0.25">
      <c r="A133" s="1311"/>
      <c r="C133" s="39"/>
      <c r="D133" s="207"/>
      <c r="E133" s="39" t="s">
        <v>339</v>
      </c>
      <c r="F133" s="1296" t="s">
        <v>1569</v>
      </c>
      <c r="H133" s="1311"/>
      <c r="I133" s="1311"/>
      <c r="J133" s="1311"/>
      <c r="K133" s="1311"/>
      <c r="L133" s="1311"/>
      <c r="M133" s="1311"/>
      <c r="N133" s="1311"/>
      <c r="O133" s="1311"/>
      <c r="P133" s="1311"/>
      <c r="Q133" s="1311"/>
      <c r="R133" s="1311"/>
      <c r="S133" s="1311"/>
    </row>
    <row r="134" spans="1:19" ht="17.399999999999999" customHeight="1" x14ac:dyDescent="0.25">
      <c r="A134" s="1311"/>
      <c r="C134" s="39"/>
      <c r="D134" s="207"/>
      <c r="E134" s="1097" t="s">
        <v>340</v>
      </c>
      <c r="F134" s="1297" t="s">
        <v>889</v>
      </c>
      <c r="H134" s="1311"/>
      <c r="I134" s="1311"/>
      <c r="J134" s="1311"/>
      <c r="K134" s="1311"/>
      <c r="L134" s="1311"/>
      <c r="M134" s="1311"/>
      <c r="N134" s="1311"/>
      <c r="O134" s="1311"/>
      <c r="P134" s="1311"/>
      <c r="Q134" s="1311"/>
      <c r="R134" s="1311"/>
      <c r="S134" s="1311"/>
    </row>
    <row r="135" spans="1:19" ht="27.9" customHeight="1" x14ac:dyDescent="0.25">
      <c r="A135" s="1311"/>
      <c r="C135" s="39"/>
      <c r="D135" s="207"/>
      <c r="E135" s="1097" t="s">
        <v>341</v>
      </c>
      <c r="F135" s="1297" t="s">
        <v>919</v>
      </c>
      <c r="H135" s="1311"/>
      <c r="I135" s="1311"/>
      <c r="J135" s="1311"/>
      <c r="K135" s="1311"/>
      <c r="L135" s="1311"/>
      <c r="M135" s="1311"/>
      <c r="N135" s="1311"/>
      <c r="O135" s="1311"/>
      <c r="P135" s="1311"/>
      <c r="Q135" s="1311"/>
      <c r="R135" s="1311"/>
      <c r="S135" s="1311"/>
    </row>
    <row r="136" spans="1:19" ht="27.9" customHeight="1" x14ac:dyDescent="0.25">
      <c r="A136" s="1311"/>
      <c r="C136" s="39"/>
      <c r="D136" s="207"/>
      <c r="E136" s="39" t="s">
        <v>867</v>
      </c>
      <c r="F136" s="1296" t="s">
        <v>1674</v>
      </c>
      <c r="H136" s="1311"/>
      <c r="I136" s="1311"/>
      <c r="J136" s="1311"/>
      <c r="K136" s="1311"/>
      <c r="L136" s="1311"/>
      <c r="M136" s="1311"/>
      <c r="N136" s="1311"/>
      <c r="O136" s="1311"/>
      <c r="P136" s="1311"/>
      <c r="Q136" s="1311"/>
      <c r="R136" s="1311"/>
      <c r="S136" s="1311"/>
    </row>
    <row r="137" spans="1:19" ht="27.9" customHeight="1" x14ac:dyDescent="0.25">
      <c r="A137" s="1311"/>
      <c r="C137" s="39"/>
      <c r="D137" s="207"/>
      <c r="E137" s="39" t="s">
        <v>868</v>
      </c>
      <c r="F137" s="1296" t="s">
        <v>3411</v>
      </c>
      <c r="H137" s="1311"/>
      <c r="I137" s="1311"/>
      <c r="J137" s="1311"/>
      <c r="K137" s="1311"/>
      <c r="L137" s="1311"/>
      <c r="M137" s="1311"/>
      <c r="N137" s="1311"/>
      <c r="O137" s="1311"/>
      <c r="P137" s="1311"/>
      <c r="Q137" s="1311"/>
      <c r="R137" s="1311"/>
      <c r="S137" s="1311"/>
    </row>
    <row r="138" spans="1:19" ht="5.25" customHeight="1" x14ac:dyDescent="0.25">
      <c r="A138" s="1311"/>
      <c r="F138" s="1295"/>
      <c r="H138" s="1311"/>
      <c r="I138" s="1311"/>
      <c r="J138" s="1311"/>
      <c r="K138" s="1311"/>
      <c r="L138" s="1311"/>
      <c r="M138" s="1311"/>
      <c r="N138" s="1311"/>
      <c r="O138" s="1311"/>
      <c r="P138" s="1311"/>
      <c r="Q138" s="1311"/>
      <c r="R138" s="1311"/>
      <c r="S138" s="1311"/>
    </row>
    <row r="139" spans="1:19" ht="15" customHeight="1" x14ac:dyDescent="0.25">
      <c r="A139" s="1311"/>
      <c r="C139" s="39"/>
      <c r="D139" s="207">
        <v>1.6</v>
      </c>
      <c r="E139" s="206" t="s">
        <v>2816</v>
      </c>
      <c r="F139" s="1296"/>
      <c r="H139" s="1311"/>
      <c r="I139" s="1311"/>
      <c r="J139" s="1311"/>
      <c r="K139" s="1311"/>
      <c r="L139" s="1311"/>
      <c r="M139" s="1311"/>
      <c r="N139" s="1311"/>
      <c r="O139" s="1311"/>
      <c r="P139" s="1311"/>
      <c r="Q139" s="1311"/>
      <c r="R139" s="1311"/>
      <c r="S139" s="1311"/>
    </row>
    <row r="140" spans="1:19" ht="15.9" customHeight="1" x14ac:dyDescent="0.25">
      <c r="A140" s="1311"/>
      <c r="C140" s="39"/>
      <c r="D140" s="207"/>
      <c r="E140" s="39" t="s">
        <v>342</v>
      </c>
      <c r="F140" s="1296" t="s">
        <v>1525</v>
      </c>
      <c r="H140" s="1311"/>
      <c r="I140" s="1311"/>
      <c r="J140" s="1311"/>
      <c r="K140" s="1311"/>
      <c r="L140" s="1311"/>
      <c r="M140" s="1311"/>
      <c r="N140" s="1311"/>
      <c r="O140" s="1311"/>
      <c r="P140" s="1311"/>
      <c r="Q140" s="1311"/>
      <c r="R140" s="1311"/>
      <c r="S140" s="1311"/>
    </row>
    <row r="141" spans="1:19" ht="27.9" customHeight="1" x14ac:dyDescent="0.25">
      <c r="A141" s="1311"/>
      <c r="C141" s="39"/>
      <c r="D141" s="207"/>
      <c r="E141" s="39" t="s">
        <v>816</v>
      </c>
      <c r="F141" s="1296" t="s">
        <v>3412</v>
      </c>
      <c r="H141" s="1311"/>
      <c r="I141" s="1311"/>
      <c r="J141" s="1311"/>
      <c r="K141" s="1311"/>
      <c r="L141" s="1311"/>
      <c r="M141" s="1311"/>
      <c r="N141" s="1311"/>
      <c r="O141" s="1311"/>
      <c r="P141" s="1311"/>
      <c r="Q141" s="1311"/>
      <c r="R141" s="1311"/>
      <c r="S141" s="1311"/>
    </row>
    <row r="142" spans="1:19" ht="27.9" customHeight="1" x14ac:dyDescent="0.25">
      <c r="A142" s="1311"/>
      <c r="C142" s="39"/>
      <c r="D142" s="207"/>
      <c r="E142" s="39" t="s">
        <v>888</v>
      </c>
      <c r="F142" s="1296" t="s">
        <v>3413</v>
      </c>
      <c r="H142" s="1311"/>
      <c r="I142" s="1311"/>
      <c r="J142" s="1311"/>
      <c r="K142" s="1311"/>
      <c r="L142" s="1311"/>
      <c r="M142" s="1311"/>
      <c r="N142" s="1311"/>
      <c r="O142" s="1311"/>
      <c r="P142" s="1311"/>
      <c r="Q142" s="1311"/>
      <c r="R142" s="1311"/>
      <c r="S142" s="1311"/>
    </row>
    <row r="143" spans="1:19" ht="5.25" customHeight="1" x14ac:dyDescent="0.25">
      <c r="A143" s="1311"/>
      <c r="F143" s="1295"/>
      <c r="H143" s="1311"/>
      <c r="I143" s="1311"/>
      <c r="J143" s="1311"/>
      <c r="K143" s="1311"/>
      <c r="L143" s="1311"/>
      <c r="M143" s="1311"/>
      <c r="N143" s="1311"/>
      <c r="O143" s="1311"/>
      <c r="P143" s="1311"/>
      <c r="Q143" s="1311"/>
      <c r="R143" s="1311"/>
      <c r="S143" s="1311"/>
    </row>
    <row r="144" spans="1:19" ht="15" customHeight="1" x14ac:dyDescent="0.25">
      <c r="A144" s="1311"/>
      <c r="C144" s="39"/>
      <c r="D144" s="1588">
        <v>1.7</v>
      </c>
      <c r="E144" s="206" t="s">
        <v>3414</v>
      </c>
      <c r="F144" s="1296"/>
      <c r="H144" s="1311"/>
      <c r="I144" s="1311"/>
      <c r="J144" s="1311"/>
      <c r="K144" s="1311"/>
      <c r="L144" s="1311"/>
      <c r="M144" s="1311"/>
      <c r="N144" s="1311"/>
      <c r="O144" s="1311"/>
      <c r="P144" s="1311"/>
      <c r="Q144" s="1311"/>
      <c r="R144" s="1311"/>
      <c r="S144" s="1311"/>
    </row>
    <row r="145" spans="1:19" ht="15.9" customHeight="1" x14ac:dyDescent="0.25">
      <c r="A145" s="1311"/>
      <c r="C145" s="39"/>
      <c r="D145" s="1588"/>
      <c r="E145" s="39" t="s">
        <v>1630</v>
      </c>
      <c r="F145" s="1296" t="s">
        <v>1631</v>
      </c>
      <c r="H145" s="1311"/>
      <c r="I145" s="1311"/>
      <c r="J145" s="1311"/>
      <c r="K145" s="1311"/>
      <c r="L145" s="1311"/>
      <c r="M145" s="1311"/>
      <c r="N145" s="1311"/>
      <c r="O145" s="1311"/>
      <c r="P145" s="1311"/>
      <c r="Q145" s="1311"/>
      <c r="R145" s="1311"/>
      <c r="S145" s="1311"/>
    </row>
    <row r="146" spans="1:19" ht="13.95" customHeight="1" x14ac:dyDescent="0.25">
      <c r="A146" s="1311"/>
      <c r="C146" s="39"/>
      <c r="D146" s="1899"/>
      <c r="E146" s="39"/>
      <c r="F146" s="1296"/>
      <c r="H146" s="1311"/>
      <c r="I146" s="1311"/>
      <c r="J146" s="1311"/>
      <c r="K146" s="1311"/>
      <c r="L146" s="1311"/>
      <c r="M146" s="1311"/>
      <c r="N146" s="1311"/>
      <c r="O146" s="1311"/>
      <c r="P146" s="1311"/>
      <c r="Q146" s="1311"/>
      <c r="R146" s="1311"/>
      <c r="S146" s="1311"/>
    </row>
    <row r="147" spans="1:19" ht="19.5" customHeight="1" x14ac:dyDescent="0.25">
      <c r="A147" s="1311"/>
      <c r="C147" s="380"/>
      <c r="D147" s="381" t="s">
        <v>2199</v>
      </c>
      <c r="E147" s="379"/>
      <c r="F147" s="1296"/>
      <c r="H147" s="1311"/>
      <c r="I147" s="1311"/>
      <c r="J147" s="1311"/>
      <c r="K147" s="1311"/>
      <c r="L147" s="1311"/>
      <c r="M147" s="1311"/>
      <c r="N147" s="1311"/>
      <c r="O147" s="1311"/>
      <c r="P147" s="1311"/>
      <c r="Q147" s="1311"/>
      <c r="R147" s="1311"/>
      <c r="S147" s="1311"/>
    </row>
    <row r="148" spans="1:19" ht="15" customHeight="1" x14ac:dyDescent="0.25">
      <c r="A148" s="1311"/>
      <c r="C148" s="39"/>
      <c r="D148" s="1102">
        <v>1.8</v>
      </c>
      <c r="E148" s="1103" t="s">
        <v>2200</v>
      </c>
      <c r="F148" s="1299"/>
      <c r="H148" s="1311"/>
      <c r="I148" s="1311"/>
      <c r="J148" s="1311"/>
      <c r="K148" s="1311"/>
      <c r="L148" s="1311"/>
      <c r="M148" s="1311"/>
      <c r="N148" s="1311"/>
      <c r="O148" s="1311"/>
      <c r="P148" s="1311"/>
      <c r="Q148" s="1311"/>
      <c r="R148" s="1311"/>
      <c r="S148" s="1311"/>
    </row>
    <row r="149" spans="1:19" ht="42" customHeight="1" x14ac:dyDescent="0.25">
      <c r="A149" s="1311"/>
      <c r="C149" s="39"/>
      <c r="D149" s="1899"/>
      <c r="E149" s="39" t="s">
        <v>2108</v>
      </c>
      <c r="F149" s="1296" t="s">
        <v>3415</v>
      </c>
      <c r="H149" s="1311"/>
      <c r="I149" s="1311"/>
      <c r="J149" s="1311"/>
      <c r="K149" s="1311"/>
      <c r="L149" s="1311"/>
      <c r="M149" s="1311"/>
      <c r="N149" s="1311"/>
      <c r="O149" s="1311"/>
      <c r="P149" s="1311"/>
      <c r="Q149" s="1311"/>
      <c r="R149" s="1311"/>
      <c r="S149" s="1311"/>
    </row>
    <row r="150" spans="1:19" ht="15" customHeight="1" x14ac:dyDescent="0.25">
      <c r="A150" s="1311"/>
      <c r="C150" s="39"/>
      <c r="D150" s="207"/>
      <c r="E150" s="39"/>
      <c r="F150" s="1296"/>
      <c r="H150" s="1311"/>
      <c r="I150" s="1311"/>
      <c r="J150" s="1311"/>
      <c r="K150" s="1311"/>
      <c r="L150" s="1311"/>
      <c r="M150" s="1311"/>
      <c r="N150" s="1311"/>
      <c r="O150" s="1311"/>
      <c r="P150" s="1311"/>
      <c r="Q150" s="1311"/>
      <c r="R150" s="1311"/>
      <c r="S150" s="1311"/>
    </row>
    <row r="151" spans="1:19" ht="22.5" customHeight="1" x14ac:dyDescent="0.25">
      <c r="A151" s="1311"/>
      <c r="C151" s="380"/>
      <c r="D151" s="381" t="s">
        <v>2104</v>
      </c>
      <c r="E151" s="379"/>
      <c r="F151" s="1296"/>
      <c r="H151" s="1311"/>
      <c r="I151" s="1311"/>
      <c r="J151" s="1311"/>
      <c r="K151" s="1311"/>
      <c r="L151" s="1311"/>
      <c r="M151" s="1311"/>
      <c r="N151" s="1311"/>
      <c r="O151" s="1311"/>
      <c r="P151" s="1311"/>
      <c r="Q151" s="1311"/>
      <c r="R151" s="1311"/>
      <c r="S151" s="1311"/>
    </row>
    <row r="152" spans="1:19" ht="15" customHeight="1" x14ac:dyDescent="0.25">
      <c r="A152" s="1311"/>
      <c r="C152" s="39"/>
      <c r="D152" s="205">
        <v>1</v>
      </c>
      <c r="E152" s="206" t="s">
        <v>1377</v>
      </c>
      <c r="F152" s="1296"/>
      <c r="H152" s="1311"/>
      <c r="I152" s="1311"/>
      <c r="J152" s="1311"/>
      <c r="K152" s="1311"/>
      <c r="L152" s="1311"/>
      <c r="M152" s="1311"/>
      <c r="N152" s="1311"/>
      <c r="O152" s="1311"/>
      <c r="P152" s="1311"/>
      <c r="Q152" s="1311"/>
      <c r="R152" s="1311"/>
      <c r="S152" s="1311"/>
    </row>
    <row r="153" spans="1:19" ht="15" customHeight="1" x14ac:dyDescent="0.25">
      <c r="A153" s="1311"/>
      <c r="C153" s="39"/>
      <c r="D153" s="207"/>
      <c r="E153" s="207">
        <v>1.1000000000000001</v>
      </c>
      <c r="F153" s="1296" t="s">
        <v>1387</v>
      </c>
      <c r="H153" s="1311"/>
      <c r="I153" s="1311"/>
      <c r="J153" s="1311"/>
      <c r="K153" s="1311"/>
      <c r="L153" s="1311"/>
      <c r="M153" s="1311"/>
      <c r="N153" s="1311"/>
      <c r="O153" s="1311"/>
      <c r="P153" s="1311"/>
      <c r="Q153" s="1311"/>
      <c r="R153" s="1311"/>
      <c r="S153" s="1311"/>
    </row>
    <row r="154" spans="1:19" ht="15" customHeight="1" x14ac:dyDescent="0.25">
      <c r="A154" s="1311"/>
      <c r="C154" s="39"/>
      <c r="D154" s="207"/>
      <c r="E154" s="207">
        <v>1.2</v>
      </c>
      <c r="F154" s="1296" t="s">
        <v>1388</v>
      </c>
      <c r="H154" s="1311"/>
      <c r="I154" s="1311"/>
      <c r="J154" s="1311"/>
      <c r="K154" s="1311"/>
      <c r="L154" s="1311"/>
      <c r="M154" s="1311"/>
      <c r="N154" s="1311"/>
      <c r="O154" s="1311"/>
      <c r="P154" s="1311"/>
      <c r="Q154" s="1311"/>
      <c r="R154" s="1311"/>
      <c r="S154" s="1311"/>
    </row>
    <row r="155" spans="1:19" ht="15" customHeight="1" x14ac:dyDescent="0.25">
      <c r="A155" s="1311"/>
      <c r="C155" s="39"/>
      <c r="D155" s="207"/>
      <c r="E155" s="207">
        <v>1.3</v>
      </c>
      <c r="F155" s="1296" t="s">
        <v>1389</v>
      </c>
      <c r="H155" s="1311"/>
      <c r="I155" s="1311"/>
      <c r="J155" s="1311"/>
      <c r="K155" s="1311"/>
      <c r="L155" s="1311"/>
      <c r="M155" s="1311"/>
      <c r="N155" s="1311"/>
      <c r="O155" s="1311"/>
      <c r="P155" s="1311"/>
      <c r="Q155" s="1311"/>
      <c r="R155" s="1311"/>
      <c r="S155" s="1311"/>
    </row>
    <row r="156" spans="1:19" ht="15" customHeight="1" x14ac:dyDescent="0.25">
      <c r="A156" s="1311"/>
      <c r="C156" s="39"/>
      <c r="D156" s="207"/>
      <c r="E156" s="207">
        <v>1.4</v>
      </c>
      <c r="F156" s="1296" t="s">
        <v>1392</v>
      </c>
      <c r="H156" s="1311"/>
      <c r="I156" s="1311"/>
      <c r="J156" s="1311"/>
      <c r="K156" s="1311"/>
      <c r="L156" s="1311"/>
      <c r="M156" s="1311"/>
      <c r="N156" s="1311"/>
      <c r="O156" s="1311"/>
      <c r="P156" s="1311"/>
      <c r="Q156" s="1311"/>
      <c r="R156" s="1311"/>
      <c r="S156" s="1311"/>
    </row>
    <row r="157" spans="1:19" ht="15" customHeight="1" x14ac:dyDescent="0.25">
      <c r="A157" s="1311"/>
      <c r="C157" s="39"/>
      <c r="D157" s="207"/>
      <c r="E157" s="39"/>
      <c r="F157" s="1296"/>
      <c r="H157" s="1311"/>
      <c r="I157" s="1311"/>
      <c r="J157" s="1311"/>
      <c r="K157" s="1311"/>
      <c r="L157" s="1311"/>
      <c r="M157" s="1311"/>
      <c r="N157" s="1311"/>
      <c r="O157" s="1311"/>
      <c r="P157" s="1311"/>
      <c r="Q157" s="1311"/>
      <c r="R157" s="1311"/>
      <c r="S157" s="1311"/>
    </row>
    <row r="158" spans="1:19" ht="15" customHeight="1" x14ac:dyDescent="0.25">
      <c r="A158" s="1311"/>
      <c r="C158" s="39"/>
      <c r="D158" s="205">
        <v>2</v>
      </c>
      <c r="E158" s="206" t="s">
        <v>1526</v>
      </c>
      <c r="F158" s="1296"/>
      <c r="H158" s="1311"/>
      <c r="I158" s="1311"/>
      <c r="J158" s="1311"/>
      <c r="K158" s="1311"/>
      <c r="L158" s="1311"/>
      <c r="M158" s="1311"/>
      <c r="N158" s="1311"/>
      <c r="O158" s="1311"/>
      <c r="P158" s="1311"/>
      <c r="Q158" s="1311"/>
      <c r="R158" s="1311"/>
      <c r="S158" s="1311"/>
    </row>
    <row r="159" spans="1:19" ht="15" customHeight="1" x14ac:dyDescent="0.25">
      <c r="A159" s="1311"/>
      <c r="C159" s="39"/>
      <c r="D159" s="205"/>
      <c r="E159" s="207">
        <v>2.1</v>
      </c>
      <c r="F159" s="1296" t="s">
        <v>1390</v>
      </c>
      <c r="H159" s="1311"/>
      <c r="I159" s="1311"/>
      <c r="J159" s="1311"/>
      <c r="K159" s="1311"/>
      <c r="L159" s="1311"/>
      <c r="M159" s="1311"/>
      <c r="N159" s="1311"/>
      <c r="O159" s="1311"/>
      <c r="P159" s="1311"/>
      <c r="Q159" s="1311"/>
      <c r="R159" s="1311"/>
      <c r="S159" s="1311"/>
    </row>
    <row r="160" spans="1:19" ht="15" customHeight="1" x14ac:dyDescent="0.25">
      <c r="A160" s="1311"/>
      <c r="C160" s="39"/>
      <c r="D160" s="205"/>
      <c r="E160" s="207">
        <v>2.2000000000000002</v>
      </c>
      <c r="F160" s="1296" t="s">
        <v>1391</v>
      </c>
      <c r="H160" s="1311"/>
      <c r="I160" s="1311"/>
      <c r="J160" s="1311"/>
      <c r="K160" s="1311"/>
      <c r="L160" s="1311"/>
      <c r="M160" s="1311"/>
      <c r="N160" s="1311"/>
      <c r="O160" s="1311"/>
      <c r="P160" s="1311"/>
      <c r="Q160" s="1311"/>
      <c r="R160" s="1311"/>
      <c r="S160" s="1311"/>
    </row>
    <row r="161" spans="1:19" ht="15" customHeight="1" x14ac:dyDescent="0.25">
      <c r="A161" s="1311"/>
      <c r="C161" s="39"/>
      <c r="D161" s="205"/>
      <c r="E161" s="207">
        <v>2.2999999999999998</v>
      </c>
      <c r="F161" s="1296" t="s">
        <v>1393</v>
      </c>
      <c r="H161" s="1311"/>
      <c r="I161" s="1311"/>
      <c r="J161" s="1311"/>
      <c r="K161" s="1311"/>
      <c r="L161" s="1311"/>
      <c r="M161" s="1311"/>
      <c r="N161" s="1311"/>
      <c r="O161" s="1311"/>
      <c r="P161" s="1311"/>
      <c r="Q161" s="1311"/>
      <c r="R161" s="1311"/>
      <c r="S161" s="1311"/>
    </row>
    <row r="162" spans="1:19" ht="27.9" customHeight="1" x14ac:dyDescent="0.25">
      <c r="A162" s="1311"/>
      <c r="C162" s="39"/>
      <c r="D162" s="205"/>
      <c r="E162" s="207">
        <v>2.4</v>
      </c>
      <c r="F162" s="1296" t="s">
        <v>3416</v>
      </c>
      <c r="H162" s="1311"/>
      <c r="I162" s="1311"/>
      <c r="J162" s="1311"/>
      <c r="K162" s="1311"/>
      <c r="L162" s="1311"/>
      <c r="M162" s="1311"/>
      <c r="N162" s="1311"/>
      <c r="O162" s="1311"/>
      <c r="P162" s="1311"/>
      <c r="Q162" s="1311"/>
      <c r="R162" s="1311"/>
      <c r="S162" s="1311"/>
    </row>
    <row r="163" spans="1:19" ht="15" customHeight="1" x14ac:dyDescent="0.25">
      <c r="A163" s="1311"/>
      <c r="C163" s="39"/>
      <c r="D163" s="205"/>
      <c r="E163" s="206"/>
      <c r="F163" s="1296"/>
      <c r="H163" s="1311"/>
      <c r="I163" s="1311"/>
      <c r="J163" s="1311"/>
      <c r="K163" s="1311"/>
      <c r="L163" s="1311"/>
      <c r="M163" s="1311"/>
      <c r="N163" s="1311"/>
      <c r="O163" s="1311"/>
      <c r="P163" s="1311"/>
      <c r="Q163" s="1311"/>
      <c r="R163" s="1311"/>
      <c r="S163" s="1311"/>
    </row>
    <row r="164" spans="1:19" ht="15" customHeight="1" x14ac:dyDescent="0.25">
      <c r="A164" s="1311"/>
      <c r="C164" s="39"/>
      <c r="D164" s="205">
        <v>3</v>
      </c>
      <c r="E164" s="206" t="s">
        <v>1527</v>
      </c>
      <c r="F164" s="1296"/>
      <c r="H164" s="1311"/>
      <c r="I164" s="1311"/>
      <c r="J164" s="1311"/>
      <c r="K164" s="1311"/>
      <c r="L164" s="1311"/>
      <c r="M164" s="1311"/>
      <c r="N164" s="1311"/>
      <c r="O164" s="1311"/>
      <c r="P164" s="1311"/>
      <c r="Q164" s="1311"/>
      <c r="R164" s="1311"/>
      <c r="S164" s="1311"/>
    </row>
    <row r="165" spans="1:19" ht="27.9" customHeight="1" x14ac:dyDescent="0.25">
      <c r="A165" s="1311"/>
      <c r="C165" s="39"/>
      <c r="D165" s="205"/>
      <c r="E165" s="207">
        <v>3.1</v>
      </c>
      <c r="F165" s="1296" t="s">
        <v>1394</v>
      </c>
      <c r="H165" s="1311"/>
      <c r="I165" s="1311"/>
      <c r="J165" s="1311"/>
      <c r="K165" s="1311"/>
      <c r="L165" s="1311"/>
      <c r="M165" s="1311"/>
      <c r="N165" s="1311"/>
      <c r="O165" s="1311"/>
      <c r="P165" s="1311"/>
      <c r="Q165" s="1311"/>
      <c r="R165" s="1311"/>
      <c r="S165" s="1311"/>
    </row>
    <row r="166" spans="1:19" ht="18" customHeight="1" x14ac:dyDescent="0.25">
      <c r="A166" s="1311"/>
      <c r="C166" s="39"/>
      <c r="D166" s="207"/>
      <c r="E166" s="207">
        <v>3.2</v>
      </c>
      <c r="F166" s="1296" t="s">
        <v>1395</v>
      </c>
      <c r="H166" s="1311"/>
      <c r="I166" s="1311"/>
      <c r="J166" s="1311"/>
      <c r="K166" s="1311"/>
      <c r="L166" s="1311"/>
      <c r="M166" s="1311"/>
      <c r="N166" s="1311"/>
      <c r="O166" s="1311"/>
      <c r="P166" s="1311"/>
      <c r="Q166" s="1311"/>
      <c r="R166" s="1311"/>
      <c r="S166" s="1311"/>
    </row>
    <row r="167" spans="1:19" ht="27.9" customHeight="1" x14ac:dyDescent="0.25">
      <c r="A167" s="1311"/>
      <c r="C167" s="39"/>
      <c r="D167" s="207"/>
      <c r="E167" s="207">
        <v>3.4</v>
      </c>
      <c r="F167" s="1296" t="s">
        <v>1529</v>
      </c>
      <c r="H167" s="1311"/>
      <c r="I167" s="1311"/>
      <c r="J167" s="1311"/>
      <c r="K167" s="1311"/>
      <c r="L167" s="1311"/>
      <c r="M167" s="1311"/>
      <c r="N167" s="1311"/>
      <c r="O167" s="1311"/>
      <c r="P167" s="1311"/>
      <c r="Q167" s="1311"/>
      <c r="R167" s="1311"/>
      <c r="S167" s="1311"/>
    </row>
    <row r="168" spans="1:19" ht="15.75" customHeight="1" x14ac:dyDescent="0.25">
      <c r="A168" s="1311"/>
      <c r="C168" s="39"/>
      <c r="D168" s="207"/>
      <c r="E168" s="207">
        <v>3.5</v>
      </c>
      <c r="F168" s="1296" t="s">
        <v>1530</v>
      </c>
      <c r="H168" s="1311"/>
      <c r="I168" s="1311"/>
      <c r="J168" s="1311"/>
      <c r="K168" s="1311"/>
      <c r="L168" s="1311"/>
      <c r="M168" s="1311"/>
      <c r="N168" s="1311"/>
      <c r="O168" s="1311"/>
      <c r="P168" s="1311"/>
      <c r="Q168" s="1311"/>
      <c r="R168" s="1311"/>
      <c r="S168" s="1311"/>
    </row>
    <row r="169" spans="1:19" ht="15" customHeight="1" x14ac:dyDescent="0.25">
      <c r="A169" s="1311"/>
      <c r="C169" s="39"/>
      <c r="D169" s="207"/>
      <c r="E169" s="39"/>
      <c r="F169" s="1296"/>
      <c r="H169" s="1311"/>
      <c r="I169" s="1311"/>
      <c r="J169" s="1311"/>
      <c r="K169" s="1311"/>
      <c r="L169" s="1311"/>
      <c r="M169" s="1311"/>
      <c r="N169" s="1311"/>
      <c r="O169" s="1311"/>
      <c r="P169" s="1311"/>
      <c r="Q169" s="1311"/>
      <c r="R169" s="1311"/>
      <c r="S169" s="1311"/>
    </row>
    <row r="170" spans="1:19" ht="15" customHeight="1" x14ac:dyDescent="0.25">
      <c r="A170" s="1311"/>
      <c r="C170" s="39"/>
      <c r="D170" s="205">
        <v>4</v>
      </c>
      <c r="E170" s="206" t="s">
        <v>1528</v>
      </c>
      <c r="F170" s="1296"/>
      <c r="H170" s="1311"/>
      <c r="I170" s="1311"/>
      <c r="J170" s="1311"/>
      <c r="K170" s="1311"/>
      <c r="L170" s="1311"/>
      <c r="M170" s="1311"/>
      <c r="N170" s="1311"/>
      <c r="O170" s="1311"/>
      <c r="P170" s="1311"/>
      <c r="Q170" s="1311"/>
      <c r="R170" s="1311"/>
      <c r="S170" s="1311"/>
    </row>
    <row r="171" spans="1:19" ht="15.9" customHeight="1" x14ac:dyDescent="0.25">
      <c r="A171" s="1311"/>
      <c r="C171" s="39"/>
      <c r="D171" s="205"/>
      <c r="E171" s="207">
        <v>4.0999999999999996</v>
      </c>
      <c r="F171" s="1296" t="s">
        <v>1531</v>
      </c>
      <c r="H171" s="1311"/>
      <c r="I171" s="1311"/>
      <c r="J171" s="1311"/>
      <c r="K171" s="1311"/>
      <c r="L171" s="1311"/>
      <c r="M171" s="1311"/>
      <c r="N171" s="1311"/>
      <c r="O171" s="1311"/>
      <c r="P171" s="1311"/>
      <c r="Q171" s="1311"/>
      <c r="R171" s="1311"/>
      <c r="S171" s="1311"/>
    </row>
    <row r="172" spans="1:19" ht="27.9" customHeight="1" x14ac:dyDescent="0.25">
      <c r="A172" s="1311"/>
      <c r="C172" s="39"/>
      <c r="D172" s="207"/>
      <c r="E172" s="1524">
        <v>4.2</v>
      </c>
      <c r="F172" s="1296" t="s">
        <v>1532</v>
      </c>
      <c r="H172" s="1311"/>
      <c r="I172" s="1311"/>
      <c r="J172" s="1311"/>
      <c r="K172" s="1311"/>
      <c r="L172" s="1311"/>
      <c r="M172" s="1311"/>
      <c r="N172" s="1311"/>
      <c r="O172" s="1311"/>
      <c r="P172" s="1311"/>
      <c r="Q172" s="1311"/>
      <c r="R172" s="1311"/>
      <c r="S172" s="1311"/>
    </row>
    <row r="173" spans="1:19" ht="15.9" customHeight="1" x14ac:dyDescent="0.25">
      <c r="A173" s="1311"/>
      <c r="C173" s="39"/>
      <c r="D173" s="207"/>
      <c r="E173" s="207">
        <v>4.3</v>
      </c>
      <c r="F173" s="1296" t="s">
        <v>1533</v>
      </c>
      <c r="H173" s="1311"/>
      <c r="I173" s="1311"/>
      <c r="J173" s="1311"/>
      <c r="K173" s="1311"/>
      <c r="L173" s="1311"/>
      <c r="M173" s="1311"/>
      <c r="N173" s="1311"/>
      <c r="O173" s="1311"/>
      <c r="P173" s="1311"/>
      <c r="Q173" s="1311"/>
      <c r="R173" s="1311"/>
      <c r="S173" s="1311"/>
    </row>
    <row r="174" spans="1:19" ht="15" customHeight="1" x14ac:dyDescent="0.25">
      <c r="A174" s="1311"/>
      <c r="C174" s="39"/>
      <c r="D174" s="207"/>
      <c r="E174" s="207"/>
      <c r="F174" s="1296"/>
      <c r="H174" s="1311"/>
      <c r="I174" s="1311"/>
      <c r="J174" s="1311"/>
      <c r="K174" s="1311"/>
      <c r="L174" s="1311"/>
      <c r="M174" s="1311"/>
      <c r="N174" s="1311"/>
      <c r="O174" s="1311"/>
      <c r="P174" s="1311"/>
      <c r="Q174" s="1311"/>
      <c r="R174" s="1311"/>
      <c r="S174" s="1311"/>
    </row>
    <row r="175" spans="1:19" ht="15" customHeight="1" x14ac:dyDescent="0.25">
      <c r="A175" s="1311"/>
      <c r="C175" s="39"/>
      <c r="D175" s="205">
        <v>5</v>
      </c>
      <c r="E175" s="206" t="s">
        <v>1384</v>
      </c>
      <c r="F175" s="1296"/>
      <c r="H175" s="1311"/>
      <c r="I175" s="1311"/>
      <c r="J175" s="1311"/>
      <c r="K175" s="1311"/>
      <c r="L175" s="1311"/>
      <c r="M175" s="1311"/>
      <c r="N175" s="1311"/>
      <c r="O175" s="1311"/>
      <c r="P175" s="1311"/>
      <c r="Q175" s="1311"/>
      <c r="R175" s="1311"/>
      <c r="S175" s="1311"/>
    </row>
    <row r="176" spans="1:19" ht="27.9" customHeight="1" x14ac:dyDescent="0.25">
      <c r="A176" s="1311"/>
      <c r="C176" s="39"/>
      <c r="D176" s="207"/>
      <c r="E176" s="207">
        <v>5.0999999999999996</v>
      </c>
      <c r="F176" s="1296" t="s">
        <v>1534</v>
      </c>
      <c r="H176" s="1311"/>
      <c r="I176" s="1311"/>
      <c r="J176" s="1311"/>
      <c r="K176" s="1311"/>
      <c r="L176" s="1311"/>
      <c r="M176" s="1311"/>
      <c r="N176" s="1311"/>
      <c r="O176" s="1311"/>
      <c r="P176" s="1311"/>
      <c r="Q176" s="1311"/>
      <c r="R176" s="1311"/>
      <c r="S176" s="1311"/>
    </row>
    <row r="177" spans="1:19" ht="27.9" customHeight="1" x14ac:dyDescent="0.25">
      <c r="A177" s="1311"/>
      <c r="C177" s="39"/>
      <c r="D177" s="207"/>
      <c r="E177" s="207">
        <v>5.2</v>
      </c>
      <c r="F177" s="1296" t="s">
        <v>1535</v>
      </c>
      <c r="H177" s="1311"/>
      <c r="I177" s="1311"/>
      <c r="J177" s="1311"/>
      <c r="K177" s="1311"/>
      <c r="L177" s="1311"/>
      <c r="M177" s="1311"/>
      <c r="N177" s="1311"/>
      <c r="O177" s="1311"/>
      <c r="P177" s="1311"/>
      <c r="Q177" s="1311"/>
      <c r="R177" s="1311"/>
      <c r="S177" s="1311"/>
    </row>
    <row r="178" spans="1:19" ht="15" customHeight="1" x14ac:dyDescent="0.25">
      <c r="A178" s="1311"/>
      <c r="C178" s="39"/>
      <c r="D178" s="1793"/>
      <c r="E178" s="1793"/>
      <c r="F178" s="1296"/>
      <c r="H178" s="1311"/>
      <c r="I178" s="1311"/>
      <c r="J178" s="1311"/>
      <c r="K178" s="1311"/>
      <c r="L178" s="1311"/>
      <c r="M178" s="1311"/>
      <c r="N178" s="1311"/>
      <c r="O178" s="1311"/>
      <c r="P178" s="1311"/>
      <c r="Q178" s="1311"/>
      <c r="R178" s="1311"/>
      <c r="S178" s="1311"/>
    </row>
    <row r="179" spans="1:19" ht="15" customHeight="1" x14ac:dyDescent="0.25">
      <c r="A179" s="1311"/>
      <c r="C179" s="39"/>
      <c r="D179" s="205">
        <v>6</v>
      </c>
      <c r="E179" s="206" t="s">
        <v>2351</v>
      </c>
      <c r="F179" s="1296"/>
      <c r="H179" s="1311"/>
      <c r="I179" s="1311"/>
      <c r="J179" s="1311"/>
      <c r="K179" s="1311"/>
      <c r="L179" s="1311"/>
      <c r="M179" s="1311"/>
      <c r="N179" s="1311"/>
      <c r="O179" s="1311"/>
      <c r="P179" s="1311"/>
      <c r="Q179" s="1311"/>
      <c r="R179" s="1311"/>
      <c r="S179" s="1311"/>
    </row>
    <row r="180" spans="1:19" ht="19.350000000000001" customHeight="1" x14ac:dyDescent="0.25">
      <c r="A180" s="1311"/>
      <c r="C180" s="39"/>
      <c r="D180" s="1793"/>
      <c r="E180" s="1793">
        <v>6.1</v>
      </c>
      <c r="F180" s="1296" t="s">
        <v>2101</v>
      </c>
      <c r="H180" s="1311"/>
      <c r="I180" s="1311"/>
      <c r="J180" s="1311"/>
      <c r="K180" s="1311"/>
      <c r="L180" s="1311"/>
      <c r="M180" s="1311"/>
      <c r="N180" s="1311"/>
      <c r="O180" s="1311"/>
      <c r="P180" s="1311"/>
      <c r="Q180" s="1311"/>
      <c r="R180" s="1311"/>
      <c r="S180" s="1311"/>
    </row>
    <row r="181" spans="1:19" ht="27.9" customHeight="1" x14ac:dyDescent="0.25">
      <c r="A181" s="1311"/>
      <c r="C181" s="39"/>
      <c r="D181" s="1793"/>
      <c r="E181" s="1793">
        <v>6.2</v>
      </c>
      <c r="F181" s="1296" t="s">
        <v>2102</v>
      </c>
      <c r="H181" s="1311"/>
      <c r="I181" s="1311"/>
      <c r="J181" s="1311"/>
      <c r="K181" s="1311"/>
      <c r="L181" s="1311"/>
      <c r="M181" s="1311"/>
      <c r="N181" s="1311"/>
      <c r="O181" s="1311"/>
      <c r="P181" s="1311"/>
      <c r="Q181" s="1311"/>
      <c r="R181" s="1311"/>
      <c r="S181" s="1311"/>
    </row>
    <row r="182" spans="1:19" ht="27.9" customHeight="1" x14ac:dyDescent="0.25">
      <c r="A182" s="1311"/>
      <c r="C182" s="39"/>
      <c r="D182" s="1793"/>
      <c r="E182" s="1793">
        <v>6.3</v>
      </c>
      <c r="F182" s="1296" t="s">
        <v>2103</v>
      </c>
      <c r="H182" s="1311"/>
      <c r="I182" s="1311"/>
      <c r="J182" s="1311"/>
      <c r="K182" s="1311"/>
      <c r="L182" s="1311"/>
      <c r="M182" s="1311"/>
      <c r="N182" s="1311"/>
      <c r="O182" s="1311"/>
      <c r="P182" s="1311"/>
      <c r="Q182" s="1311"/>
      <c r="R182" s="1311"/>
      <c r="S182" s="1311"/>
    </row>
    <row r="183" spans="1:19" ht="11.4" customHeight="1" x14ac:dyDescent="0.25">
      <c r="A183" s="1311"/>
      <c r="C183" s="39"/>
      <c r="D183" s="207"/>
      <c r="E183" s="207"/>
      <c r="F183" s="1296"/>
      <c r="H183" s="1311"/>
      <c r="I183" s="1311"/>
      <c r="J183" s="1311"/>
      <c r="K183" s="1311"/>
      <c r="L183" s="1311"/>
      <c r="M183" s="1311"/>
      <c r="N183" s="1311"/>
      <c r="O183" s="1311"/>
      <c r="P183" s="1311"/>
      <c r="Q183" s="1311"/>
      <c r="R183" s="1311"/>
      <c r="S183" s="1311"/>
    </row>
    <row r="184" spans="1:19" ht="15" customHeight="1" x14ac:dyDescent="0.25">
      <c r="A184" s="1311"/>
      <c r="C184" s="39"/>
      <c r="D184" s="205">
        <v>7</v>
      </c>
      <c r="E184" s="206" t="s">
        <v>1385</v>
      </c>
      <c r="F184" s="1296"/>
      <c r="H184" s="1311"/>
      <c r="I184" s="1311"/>
      <c r="J184" s="1311"/>
      <c r="K184" s="1311"/>
      <c r="L184" s="1311"/>
      <c r="M184" s="1311"/>
      <c r="N184" s="1311"/>
      <c r="O184" s="1311"/>
      <c r="P184" s="1311"/>
      <c r="Q184" s="1311"/>
      <c r="R184" s="1311"/>
      <c r="S184" s="1311"/>
    </row>
    <row r="185" spans="1:19" ht="27.9" customHeight="1" x14ac:dyDescent="0.25">
      <c r="A185" s="1311"/>
      <c r="C185" s="39"/>
      <c r="D185" s="207"/>
      <c r="E185" s="207">
        <v>7.1</v>
      </c>
      <c r="F185" s="1296" t="s">
        <v>1396</v>
      </c>
      <c r="H185" s="1311"/>
      <c r="I185" s="1311"/>
      <c r="J185" s="1311"/>
      <c r="K185" s="1311"/>
      <c r="L185" s="1311"/>
      <c r="M185" s="1311"/>
      <c r="N185" s="1311"/>
      <c r="O185" s="1311"/>
      <c r="P185" s="1311"/>
      <c r="Q185" s="1311"/>
      <c r="R185" s="1311"/>
      <c r="S185" s="1311"/>
    </row>
    <row r="186" spans="1:19" ht="27.9" customHeight="1" x14ac:dyDescent="0.25">
      <c r="A186" s="1311"/>
      <c r="C186" s="39"/>
      <c r="D186" s="207"/>
      <c r="E186" s="1793">
        <v>7.1</v>
      </c>
      <c r="F186" s="1296" t="s">
        <v>2818</v>
      </c>
      <c r="H186" s="1311"/>
      <c r="I186" s="1311"/>
      <c r="J186" s="1311"/>
      <c r="K186" s="1311"/>
      <c r="L186" s="1311"/>
      <c r="M186" s="1311"/>
      <c r="N186" s="1311"/>
      <c r="O186" s="1311"/>
      <c r="P186" s="1311"/>
      <c r="Q186" s="1311"/>
      <c r="R186" s="1311"/>
      <c r="S186" s="1311"/>
    </row>
    <row r="187" spans="1:19" ht="27.9" customHeight="1" x14ac:dyDescent="0.25">
      <c r="A187" s="1311"/>
      <c r="C187" s="39"/>
      <c r="D187" s="207"/>
      <c r="E187" s="1793">
        <v>7.1</v>
      </c>
      <c r="F187" s="1296" t="s">
        <v>2817</v>
      </c>
      <c r="H187" s="1311"/>
      <c r="I187" s="1311"/>
      <c r="J187" s="1311"/>
      <c r="K187" s="1311"/>
      <c r="L187" s="1311"/>
      <c r="M187" s="1311"/>
      <c r="N187" s="1311"/>
      <c r="O187" s="1311"/>
      <c r="P187" s="1311"/>
      <c r="Q187" s="1311"/>
      <c r="R187" s="1311"/>
      <c r="S187" s="1311"/>
    </row>
    <row r="188" spans="1:19" ht="27.9" customHeight="1" x14ac:dyDescent="0.25">
      <c r="A188" s="1311"/>
      <c r="C188" s="39"/>
      <c r="D188" s="207"/>
      <c r="E188" s="1793">
        <v>7.1</v>
      </c>
      <c r="F188" s="1296" t="s">
        <v>1657</v>
      </c>
      <c r="H188" s="1311"/>
      <c r="I188" s="1311"/>
      <c r="J188" s="1311"/>
      <c r="K188" s="1311"/>
      <c r="L188" s="1311"/>
      <c r="M188" s="1311"/>
      <c r="N188" s="1311"/>
      <c r="O188" s="1311"/>
      <c r="P188" s="1311"/>
      <c r="Q188" s="1311"/>
      <c r="R188" s="1311"/>
      <c r="S188" s="1311"/>
    </row>
    <row r="189" spans="1:19" ht="15" customHeight="1" x14ac:dyDescent="0.25">
      <c r="A189" s="1311"/>
      <c r="C189" s="39"/>
      <c r="D189" s="207"/>
      <c r="E189" s="39"/>
      <c r="F189" s="1296"/>
      <c r="H189" s="1311"/>
      <c r="I189" s="1311"/>
      <c r="J189" s="1311"/>
      <c r="K189" s="1311"/>
      <c r="L189" s="1311"/>
      <c r="M189" s="1311"/>
      <c r="N189" s="1311"/>
      <c r="O189" s="1311"/>
      <c r="P189" s="1311"/>
      <c r="Q189" s="1311"/>
      <c r="R189" s="1311"/>
      <c r="S189" s="1311"/>
    </row>
    <row r="190" spans="1:19" ht="15" customHeight="1" x14ac:dyDescent="0.25">
      <c r="A190" s="1311"/>
      <c r="C190" s="39"/>
      <c r="D190" s="205">
        <v>8</v>
      </c>
      <c r="E190" s="206" t="s">
        <v>1386</v>
      </c>
      <c r="F190" s="1296"/>
      <c r="H190" s="1311"/>
      <c r="I190" s="1311"/>
      <c r="J190" s="1311"/>
      <c r="K190" s="1311"/>
      <c r="L190" s="1311"/>
      <c r="M190" s="1311"/>
      <c r="N190" s="1311"/>
      <c r="O190" s="1311"/>
      <c r="P190" s="1311"/>
      <c r="Q190" s="1311"/>
      <c r="R190" s="1311"/>
      <c r="S190" s="1311"/>
    </row>
    <row r="191" spans="1:19" ht="27.9" customHeight="1" x14ac:dyDescent="0.25">
      <c r="A191" s="1311"/>
      <c r="C191" s="39"/>
      <c r="D191" s="207"/>
      <c r="E191" s="207">
        <v>8.1</v>
      </c>
      <c r="F191" s="1296" t="s">
        <v>1397</v>
      </c>
      <c r="H191" s="1311"/>
      <c r="I191" s="1311"/>
      <c r="J191" s="1311"/>
      <c r="K191" s="1311"/>
      <c r="L191" s="1311"/>
      <c r="M191" s="1311"/>
      <c r="N191" s="1311"/>
      <c r="O191" s="1311"/>
      <c r="P191" s="1311"/>
      <c r="Q191" s="1311"/>
      <c r="R191" s="1311"/>
      <c r="S191" s="1311"/>
    </row>
    <row r="192" spans="1:19" ht="15" customHeight="1" x14ac:dyDescent="0.25">
      <c r="A192" s="1311"/>
      <c r="C192" s="39"/>
      <c r="D192" s="207"/>
      <c r="E192" s="39"/>
      <c r="F192" s="1296"/>
      <c r="H192" s="1311"/>
      <c r="I192" s="1311"/>
      <c r="J192" s="1311"/>
      <c r="K192" s="1311"/>
      <c r="L192" s="1311"/>
      <c r="M192" s="1311"/>
      <c r="N192" s="1311"/>
      <c r="O192" s="1311"/>
      <c r="P192" s="1311"/>
      <c r="Q192" s="1311"/>
      <c r="R192" s="1311"/>
      <c r="S192" s="1311"/>
    </row>
    <row r="193" spans="1:19" ht="15" customHeight="1" x14ac:dyDescent="0.25">
      <c r="A193" s="1311"/>
      <c r="C193" s="39"/>
      <c r="D193" s="205">
        <v>9</v>
      </c>
      <c r="E193" s="206" t="s">
        <v>2361</v>
      </c>
      <c r="F193" s="1296"/>
      <c r="H193" s="1311"/>
      <c r="I193" s="1311"/>
      <c r="J193" s="1311"/>
      <c r="K193" s="1311"/>
      <c r="L193" s="1311"/>
      <c r="M193" s="1311"/>
      <c r="N193" s="1311"/>
      <c r="O193" s="1311"/>
      <c r="P193" s="1311"/>
      <c r="Q193" s="1311"/>
      <c r="R193" s="1311"/>
      <c r="S193" s="1311"/>
    </row>
    <row r="194" spans="1:19" ht="27.9" customHeight="1" x14ac:dyDescent="0.25">
      <c r="A194" s="1311"/>
      <c r="C194" s="39"/>
      <c r="D194" s="207"/>
      <c r="E194" s="207">
        <v>9.1</v>
      </c>
      <c r="F194" s="1296" t="s">
        <v>1654</v>
      </c>
      <c r="H194" s="1311"/>
      <c r="I194" s="1311"/>
      <c r="J194" s="1311"/>
      <c r="K194" s="1311"/>
      <c r="L194" s="1311"/>
      <c r="M194" s="1311"/>
      <c r="N194" s="1311"/>
      <c r="O194" s="1311"/>
      <c r="P194" s="1311"/>
      <c r="Q194" s="1311"/>
      <c r="R194" s="1311"/>
      <c r="S194" s="1311"/>
    </row>
    <row r="195" spans="1:19" ht="27.9" customHeight="1" x14ac:dyDescent="0.25">
      <c r="A195" s="1311"/>
      <c r="C195" s="39"/>
      <c r="D195" s="207"/>
      <c r="E195" s="1793">
        <v>9.1</v>
      </c>
      <c r="F195" s="1296" t="s">
        <v>1655</v>
      </c>
      <c r="H195" s="1311"/>
      <c r="I195" s="1311"/>
      <c r="J195" s="1311"/>
      <c r="K195" s="1311"/>
      <c r="L195" s="1311"/>
      <c r="M195" s="1311"/>
      <c r="N195" s="1311"/>
      <c r="O195" s="1311"/>
      <c r="P195" s="1311"/>
      <c r="Q195" s="1311"/>
      <c r="R195" s="1311"/>
      <c r="S195" s="1311"/>
    </row>
    <row r="196" spans="1:19" ht="27.9" customHeight="1" x14ac:dyDescent="0.25">
      <c r="A196" s="1311"/>
      <c r="C196" s="39"/>
      <c r="D196" s="207"/>
      <c r="E196" s="1793">
        <v>9.1</v>
      </c>
      <c r="F196" s="1296" t="s">
        <v>2819</v>
      </c>
      <c r="H196" s="1311"/>
      <c r="I196" s="1311"/>
      <c r="J196" s="1311"/>
      <c r="K196" s="1311"/>
      <c r="L196" s="1311"/>
      <c r="M196" s="1311"/>
      <c r="N196" s="1311"/>
      <c r="O196" s="1311"/>
      <c r="P196" s="1311"/>
      <c r="Q196" s="1311"/>
      <c r="R196" s="1311"/>
      <c r="S196" s="1311"/>
    </row>
    <row r="197" spans="1:19" ht="27.9" customHeight="1" x14ac:dyDescent="0.25">
      <c r="A197" s="1311"/>
      <c r="C197" s="39"/>
      <c r="D197" s="207"/>
      <c r="E197" s="1793">
        <v>9.1</v>
      </c>
      <c r="F197" s="1296" t="s">
        <v>2820</v>
      </c>
      <c r="H197" s="1311"/>
      <c r="I197" s="1311"/>
      <c r="J197" s="1311"/>
      <c r="K197" s="1311"/>
      <c r="L197" s="1311"/>
      <c r="M197" s="1311"/>
      <c r="N197" s="1311"/>
      <c r="O197" s="1311"/>
      <c r="P197" s="1311"/>
      <c r="Q197" s="1311"/>
      <c r="R197" s="1311"/>
      <c r="S197" s="1311"/>
    </row>
    <row r="198" spans="1:19" ht="15" customHeight="1" x14ac:dyDescent="0.25">
      <c r="A198" s="1311"/>
      <c r="C198" s="39"/>
      <c r="D198" s="207"/>
      <c r="E198" s="1793">
        <v>9.1</v>
      </c>
      <c r="F198" s="1296" t="s">
        <v>1658</v>
      </c>
      <c r="H198" s="1311"/>
      <c r="I198" s="1311"/>
      <c r="J198" s="1311"/>
      <c r="K198" s="1311"/>
      <c r="L198" s="1311"/>
      <c r="M198" s="1311"/>
      <c r="N198" s="1311"/>
      <c r="O198" s="1311"/>
      <c r="P198" s="1311"/>
      <c r="Q198" s="1311"/>
      <c r="R198" s="1311"/>
      <c r="S198" s="1311"/>
    </row>
    <row r="199" spans="1:19" ht="15" customHeight="1" x14ac:dyDescent="0.25">
      <c r="A199" s="1311"/>
      <c r="C199" s="39"/>
      <c r="D199" s="207"/>
      <c r="E199" s="39"/>
      <c r="F199" s="1296"/>
      <c r="H199" s="1311"/>
      <c r="I199" s="1311"/>
      <c r="J199" s="1311"/>
      <c r="K199" s="1311"/>
      <c r="L199" s="1311"/>
      <c r="M199" s="1311"/>
      <c r="N199" s="1311"/>
      <c r="O199" s="1311"/>
      <c r="P199" s="1311"/>
      <c r="Q199" s="1311"/>
      <c r="R199" s="1311"/>
      <c r="S199" s="1311"/>
    </row>
    <row r="200" spans="1:19" ht="15" customHeight="1" x14ac:dyDescent="0.25">
      <c r="A200" s="1311"/>
      <c r="C200" s="39"/>
      <c r="D200" s="205">
        <v>10</v>
      </c>
      <c r="E200" s="206" t="s">
        <v>2812</v>
      </c>
      <c r="F200" s="1296"/>
      <c r="H200" s="1311"/>
      <c r="I200" s="1311"/>
      <c r="J200" s="1311"/>
      <c r="K200" s="1311"/>
      <c r="L200" s="1311"/>
      <c r="M200" s="1311"/>
      <c r="N200" s="1311"/>
      <c r="O200" s="1311"/>
      <c r="P200" s="1311"/>
      <c r="Q200" s="1311"/>
      <c r="R200" s="1311"/>
      <c r="S200" s="1311"/>
    </row>
    <row r="201" spans="1:19" ht="27.9" customHeight="1" x14ac:dyDescent="0.25">
      <c r="A201" s="1311"/>
      <c r="C201" s="39"/>
      <c r="D201" s="207"/>
      <c r="E201" s="207">
        <v>10.1</v>
      </c>
      <c r="F201" s="1296" t="s">
        <v>3417</v>
      </c>
      <c r="H201" s="1311"/>
      <c r="I201" s="1311"/>
      <c r="J201" s="1311"/>
      <c r="K201" s="1311"/>
      <c r="L201" s="1311"/>
      <c r="M201" s="1311"/>
      <c r="N201" s="1311"/>
      <c r="O201" s="1311"/>
      <c r="P201" s="1311"/>
      <c r="Q201" s="1311"/>
      <c r="R201" s="1311"/>
      <c r="S201" s="1311"/>
    </row>
    <row r="202" spans="1:19" ht="27.9" customHeight="1" x14ac:dyDescent="0.25">
      <c r="A202" s="1311"/>
      <c r="C202" s="39"/>
      <c r="D202" s="207"/>
      <c r="E202" s="1793">
        <v>10.199999999999999</v>
      </c>
      <c r="F202" s="1296" t="s">
        <v>1399</v>
      </c>
      <c r="H202" s="1311"/>
      <c r="I202" s="1311"/>
      <c r="J202" s="1311"/>
      <c r="K202" s="1311"/>
      <c r="L202" s="1311"/>
      <c r="M202" s="1311"/>
      <c r="N202" s="1311"/>
      <c r="O202" s="1311"/>
      <c r="P202" s="1311"/>
      <c r="Q202" s="1311"/>
      <c r="R202" s="1311"/>
      <c r="S202" s="1311"/>
    </row>
    <row r="203" spans="1:19" ht="27.9" customHeight="1" x14ac:dyDescent="0.25">
      <c r="A203" s="1311"/>
      <c r="C203" s="39"/>
      <c r="D203" s="207"/>
      <c r="E203" s="1793">
        <v>10.3</v>
      </c>
      <c r="F203" s="1296" t="s">
        <v>1675</v>
      </c>
      <c r="H203" s="1311"/>
      <c r="I203" s="1311"/>
      <c r="J203" s="1311"/>
      <c r="K203" s="1311"/>
      <c r="L203" s="1311"/>
      <c r="M203" s="1311"/>
      <c r="N203" s="1311"/>
      <c r="O203" s="1311"/>
      <c r="P203" s="1311"/>
      <c r="Q203" s="1311"/>
      <c r="R203" s="1311"/>
      <c r="S203" s="1311"/>
    </row>
    <row r="204" spans="1:19" ht="15.75" customHeight="1" x14ac:dyDescent="0.25">
      <c r="A204" s="1311"/>
      <c r="C204" s="39"/>
      <c r="D204" s="1445"/>
      <c r="E204" s="1445"/>
      <c r="F204" s="1296"/>
      <c r="H204" s="1311"/>
      <c r="I204" s="1311"/>
      <c r="J204" s="1311"/>
      <c r="K204" s="1311"/>
      <c r="L204" s="1311"/>
      <c r="M204" s="1311"/>
      <c r="N204" s="1311"/>
      <c r="O204" s="1311"/>
      <c r="P204" s="1311"/>
      <c r="Q204" s="1311"/>
      <c r="R204" s="1311"/>
      <c r="S204" s="1311"/>
    </row>
    <row r="205" spans="1:19" ht="19.5" customHeight="1" x14ac:dyDescent="0.25">
      <c r="A205" s="1311"/>
      <c r="C205" s="39"/>
      <c r="D205" s="1448" t="s">
        <v>1542</v>
      </c>
      <c r="E205" s="39"/>
      <c r="F205" s="1296"/>
      <c r="H205" s="1311"/>
      <c r="I205" s="1311"/>
      <c r="J205" s="1311"/>
      <c r="K205" s="1311"/>
      <c r="L205" s="1311"/>
      <c r="M205" s="1311"/>
      <c r="N205" s="1311"/>
      <c r="O205" s="1311"/>
      <c r="P205" s="1311"/>
      <c r="Q205" s="1311"/>
      <c r="R205" s="1311"/>
      <c r="S205" s="1311"/>
    </row>
    <row r="206" spans="1:19" ht="15" customHeight="1" x14ac:dyDescent="0.25">
      <c r="A206" s="1311"/>
      <c r="C206" s="39"/>
      <c r="D206" s="205">
        <v>11</v>
      </c>
      <c r="E206" s="206" t="s">
        <v>1398</v>
      </c>
      <c r="F206" s="1296"/>
      <c r="H206" s="1311"/>
      <c r="I206" s="1311"/>
      <c r="J206" s="1311"/>
      <c r="K206" s="1311"/>
      <c r="L206" s="1311"/>
      <c r="M206" s="1311"/>
      <c r="N206" s="1311"/>
      <c r="O206" s="1311"/>
      <c r="P206" s="1311"/>
      <c r="Q206" s="1311"/>
      <c r="R206" s="1311"/>
      <c r="S206" s="1311"/>
    </row>
    <row r="207" spans="1:19" ht="27.9" customHeight="1" x14ac:dyDescent="0.25">
      <c r="A207" s="1311"/>
      <c r="C207" s="39"/>
      <c r="D207" s="207"/>
      <c r="E207" s="207">
        <v>11.1</v>
      </c>
      <c r="F207" s="1296" t="s">
        <v>3418</v>
      </c>
      <c r="H207" s="1311"/>
      <c r="I207" s="1311"/>
      <c r="J207" s="1311"/>
      <c r="K207" s="1311"/>
      <c r="L207" s="1311"/>
      <c r="M207" s="1311"/>
      <c r="N207" s="1311"/>
      <c r="O207" s="1311"/>
      <c r="P207" s="1311"/>
      <c r="Q207" s="1311"/>
      <c r="R207" s="1311"/>
      <c r="S207" s="1311"/>
    </row>
    <row r="208" spans="1:19" ht="15" customHeight="1" x14ac:dyDescent="0.25">
      <c r="A208" s="1311"/>
      <c r="C208" s="39"/>
      <c r="D208" s="207"/>
      <c r="E208" s="207">
        <v>11.2</v>
      </c>
      <c r="F208" s="1296" t="s">
        <v>1400</v>
      </c>
      <c r="H208" s="1311"/>
      <c r="I208" s="1311"/>
      <c r="J208" s="1311"/>
      <c r="K208" s="1311"/>
      <c r="L208" s="1311"/>
      <c r="M208" s="1311"/>
      <c r="N208" s="1311"/>
      <c r="O208" s="1311"/>
      <c r="P208" s="1311"/>
      <c r="Q208" s="1311"/>
      <c r="R208" s="1311"/>
      <c r="S208" s="1311"/>
    </row>
    <row r="209" spans="1:19" ht="42" customHeight="1" x14ac:dyDescent="0.25">
      <c r="A209" s="1311"/>
      <c r="C209" s="39"/>
      <c r="D209" s="207"/>
      <c r="E209" s="1793">
        <v>11.3</v>
      </c>
      <c r="F209" s="1296" t="s">
        <v>3419</v>
      </c>
      <c r="H209" s="1311"/>
      <c r="I209" s="1311"/>
      <c r="J209" s="1311"/>
      <c r="K209" s="1311"/>
      <c r="L209" s="1311"/>
      <c r="M209" s="1311"/>
      <c r="N209" s="1311"/>
      <c r="O209" s="1311"/>
      <c r="P209" s="1311"/>
      <c r="Q209" s="1311"/>
      <c r="R209" s="1311"/>
      <c r="S209" s="1311"/>
    </row>
    <row r="210" spans="1:19" ht="42" customHeight="1" x14ac:dyDescent="0.25">
      <c r="A210" s="1311"/>
      <c r="C210" s="39"/>
      <c r="D210" s="1622"/>
      <c r="E210" s="1793">
        <v>11.4</v>
      </c>
      <c r="F210" s="1296" t="s">
        <v>1676</v>
      </c>
      <c r="H210" s="1311"/>
      <c r="I210" s="1311"/>
      <c r="J210" s="1311"/>
      <c r="K210" s="1311"/>
      <c r="L210" s="1311"/>
      <c r="M210" s="1311"/>
      <c r="N210" s="1311"/>
      <c r="O210" s="1311"/>
      <c r="P210" s="1311"/>
      <c r="Q210" s="1311"/>
      <c r="R210" s="1311"/>
      <c r="S210" s="1311"/>
    </row>
    <row r="211" spans="1:19" ht="12" customHeight="1" x14ac:dyDescent="0.25">
      <c r="A211" s="1311"/>
      <c r="C211" s="39"/>
      <c r="D211" s="1445"/>
      <c r="E211" s="1445"/>
      <c r="F211" s="1296"/>
      <c r="H211" s="1311"/>
      <c r="I211" s="1311"/>
      <c r="J211" s="1311"/>
      <c r="K211" s="1311"/>
      <c r="L211" s="1311"/>
      <c r="M211" s="1311"/>
      <c r="N211" s="1311"/>
      <c r="O211" s="1311"/>
      <c r="P211" s="1311"/>
      <c r="Q211" s="1311"/>
      <c r="R211" s="1311"/>
      <c r="S211" s="1311"/>
    </row>
    <row r="212" spans="1:19" ht="15" customHeight="1" x14ac:dyDescent="0.25">
      <c r="A212" s="1311"/>
      <c r="C212" s="39"/>
      <c r="D212" s="205">
        <v>12</v>
      </c>
      <c r="E212" s="206" t="s">
        <v>1479</v>
      </c>
      <c r="F212" s="1296"/>
      <c r="H212" s="1311"/>
      <c r="I212" s="1311"/>
      <c r="J212" s="1311"/>
      <c r="K212" s="1311"/>
      <c r="L212" s="1311"/>
      <c r="M212" s="1311"/>
      <c r="N212" s="1311"/>
      <c r="O212" s="1311"/>
      <c r="P212" s="1311"/>
      <c r="Q212" s="1311"/>
      <c r="R212" s="1311"/>
      <c r="S212" s="1311"/>
    </row>
    <row r="213" spans="1:19" ht="27.9" customHeight="1" x14ac:dyDescent="0.25">
      <c r="A213" s="1311"/>
      <c r="C213" s="39"/>
      <c r="D213" s="1445"/>
      <c r="E213" s="1445">
        <v>12.1</v>
      </c>
      <c r="F213" s="1296" t="s">
        <v>1677</v>
      </c>
      <c r="H213" s="1311"/>
      <c r="I213" s="1311"/>
      <c r="J213" s="1311"/>
      <c r="K213" s="1311"/>
      <c r="L213" s="1311"/>
      <c r="M213" s="1311"/>
      <c r="N213" s="1311"/>
      <c r="O213" s="1311"/>
      <c r="P213" s="1311"/>
      <c r="Q213" s="1311"/>
      <c r="R213" s="1311"/>
      <c r="S213" s="1311"/>
    </row>
    <row r="214" spans="1:19" ht="15" customHeight="1" x14ac:dyDescent="0.25">
      <c r="A214" s="1311"/>
      <c r="C214" s="39"/>
      <c r="D214" s="1445"/>
      <c r="E214" s="1445">
        <v>12.2</v>
      </c>
      <c r="F214" s="1296" t="s">
        <v>1480</v>
      </c>
      <c r="H214" s="1311"/>
      <c r="I214" s="1311"/>
      <c r="J214" s="1311"/>
      <c r="K214" s="1311"/>
      <c r="L214" s="1311"/>
      <c r="M214" s="1311"/>
      <c r="N214" s="1311"/>
      <c r="O214" s="1311"/>
      <c r="P214" s="1311"/>
      <c r="Q214" s="1311"/>
      <c r="R214" s="1311"/>
      <c r="S214" s="1311"/>
    </row>
    <row r="215" spans="1:19" ht="15" customHeight="1" x14ac:dyDescent="0.25">
      <c r="A215" s="1311"/>
      <c r="C215" s="39"/>
      <c r="D215" s="1445"/>
      <c r="E215" s="1793">
        <v>12.3</v>
      </c>
      <c r="F215" s="1296" t="s">
        <v>1482</v>
      </c>
      <c r="H215" s="1311"/>
      <c r="I215" s="1311"/>
      <c r="J215" s="1311"/>
      <c r="K215" s="1311"/>
      <c r="L215" s="1311"/>
      <c r="M215" s="1311"/>
      <c r="N215" s="1311"/>
      <c r="O215" s="1311"/>
      <c r="P215" s="1311"/>
      <c r="Q215" s="1311"/>
      <c r="R215" s="1311"/>
      <c r="S215" s="1311"/>
    </row>
    <row r="216" spans="1:19" ht="27" customHeight="1" x14ac:dyDescent="0.25">
      <c r="A216" s="1311"/>
      <c r="C216" s="39"/>
      <c r="D216" s="1445"/>
      <c r="E216" s="1793">
        <v>12.4</v>
      </c>
      <c r="F216" s="1296" t="s">
        <v>1481</v>
      </c>
      <c r="H216" s="1311"/>
      <c r="I216" s="1311"/>
      <c r="J216" s="1311"/>
      <c r="K216" s="1311"/>
      <c r="L216" s="1311"/>
      <c r="M216" s="1311"/>
      <c r="N216" s="1311"/>
      <c r="O216" s="1311"/>
      <c r="P216" s="1311"/>
      <c r="Q216" s="1311"/>
      <c r="R216" s="1311"/>
      <c r="S216" s="1311"/>
    </row>
    <row r="217" spans="1:19" ht="15" customHeight="1" x14ac:dyDescent="0.25">
      <c r="A217" s="1311"/>
      <c r="C217" s="39"/>
      <c r="D217" s="1445"/>
      <c r="E217" s="1793">
        <v>12.5</v>
      </c>
      <c r="F217" s="1296" t="s">
        <v>1483</v>
      </c>
      <c r="H217" s="1311"/>
      <c r="I217" s="1311"/>
      <c r="J217" s="1311"/>
      <c r="K217" s="1311"/>
      <c r="L217" s="1311"/>
      <c r="M217" s="1311"/>
      <c r="N217" s="1311"/>
      <c r="O217" s="1311"/>
      <c r="P217" s="1311"/>
      <c r="Q217" s="1311"/>
      <c r="R217" s="1311"/>
      <c r="S217" s="1311"/>
    </row>
    <row r="218" spans="1:19" ht="42" customHeight="1" x14ac:dyDescent="0.25">
      <c r="A218" s="1311"/>
      <c r="C218" s="39"/>
      <c r="D218" s="1445"/>
      <c r="E218" s="1793">
        <v>12.6</v>
      </c>
      <c r="F218" s="1296" t="s">
        <v>1678</v>
      </c>
      <c r="H218" s="1311"/>
      <c r="I218" s="1311"/>
      <c r="J218" s="1311"/>
      <c r="K218" s="1311"/>
      <c r="L218" s="1311"/>
      <c r="M218" s="1311"/>
      <c r="N218" s="1311"/>
      <c r="O218" s="1311"/>
      <c r="P218" s="1311"/>
      <c r="Q218" s="1311"/>
      <c r="R218" s="1311"/>
      <c r="S218" s="1311"/>
    </row>
    <row r="219" spans="1:19" ht="15" customHeight="1" x14ac:dyDescent="0.25">
      <c r="A219" s="1311"/>
      <c r="C219" s="39"/>
      <c r="D219" s="1445"/>
      <c r="E219" s="1793">
        <v>12.7</v>
      </c>
      <c r="F219" s="1296" t="s">
        <v>1484</v>
      </c>
      <c r="H219" s="1311"/>
      <c r="I219" s="1311"/>
      <c r="J219" s="1311"/>
      <c r="K219" s="1311"/>
      <c r="L219" s="1311"/>
      <c r="M219" s="1311"/>
      <c r="N219" s="1311"/>
      <c r="O219" s="1311"/>
      <c r="P219" s="1311"/>
      <c r="Q219" s="1311"/>
      <c r="R219" s="1311"/>
      <c r="S219" s="1311"/>
    </row>
    <row r="220" spans="1:19" ht="12" customHeight="1" x14ac:dyDescent="0.25">
      <c r="A220" s="1311"/>
      <c r="C220" s="39"/>
      <c r="D220" s="1527"/>
      <c r="E220" s="1527"/>
      <c r="F220" s="1296"/>
      <c r="H220" s="1311"/>
      <c r="I220" s="1311"/>
      <c r="J220" s="1311"/>
      <c r="K220" s="1311"/>
      <c r="L220" s="1311"/>
      <c r="M220" s="1311"/>
      <c r="N220" s="1311"/>
      <c r="O220" s="1311"/>
      <c r="P220" s="1311"/>
      <c r="Q220" s="1311"/>
      <c r="R220" s="1311"/>
      <c r="S220" s="1311"/>
    </row>
    <row r="221" spans="1:19" ht="15" customHeight="1" x14ac:dyDescent="0.25">
      <c r="A221" s="1311"/>
      <c r="C221" s="39"/>
      <c r="D221" s="205">
        <v>13</v>
      </c>
      <c r="E221" s="206" t="s">
        <v>1543</v>
      </c>
      <c r="F221" s="1296"/>
      <c r="H221" s="1311"/>
      <c r="I221" s="1311"/>
      <c r="J221" s="1311"/>
      <c r="K221" s="1311"/>
      <c r="L221" s="1311"/>
      <c r="M221" s="1311"/>
      <c r="N221" s="1311"/>
      <c r="O221" s="1311"/>
      <c r="P221" s="1311"/>
      <c r="Q221" s="1311"/>
      <c r="R221" s="1311"/>
      <c r="S221" s="1311"/>
    </row>
    <row r="222" spans="1:19" ht="27.9" customHeight="1" x14ac:dyDescent="0.25">
      <c r="A222" s="1311"/>
      <c r="C222" s="39"/>
      <c r="D222" s="1527"/>
      <c r="E222" s="1527">
        <v>13.1</v>
      </c>
      <c r="F222" s="1296" t="s">
        <v>1544</v>
      </c>
      <c r="H222" s="1311"/>
      <c r="I222" s="1311"/>
      <c r="J222" s="1311"/>
      <c r="K222" s="1311"/>
      <c r="L222" s="1311"/>
      <c r="M222" s="1311"/>
      <c r="N222" s="1311"/>
      <c r="O222" s="1311"/>
      <c r="P222" s="1311"/>
      <c r="Q222" s="1311"/>
      <c r="R222" s="1311"/>
      <c r="S222" s="1311"/>
    </row>
    <row r="223" spans="1:19" ht="42" customHeight="1" x14ac:dyDescent="0.25">
      <c r="A223" s="1311"/>
      <c r="C223" s="39"/>
      <c r="D223" s="1527"/>
      <c r="E223" s="1527">
        <v>13.2</v>
      </c>
      <c r="F223" s="1296" t="s">
        <v>1545</v>
      </c>
      <c r="H223" s="1311"/>
      <c r="I223" s="1311"/>
      <c r="J223" s="1311"/>
      <c r="K223" s="1311"/>
      <c r="L223" s="1311"/>
      <c r="M223" s="1311"/>
      <c r="N223" s="1311"/>
      <c r="O223" s="1311"/>
      <c r="P223" s="1311"/>
      <c r="Q223" s="1311"/>
      <c r="R223" s="1311"/>
      <c r="S223" s="1311"/>
    </row>
    <row r="224" spans="1:19" ht="55.5" customHeight="1" x14ac:dyDescent="0.25">
      <c r="A224" s="1311"/>
      <c r="C224" s="39"/>
      <c r="D224" s="1527"/>
      <c r="E224" s="1793">
        <v>13.3</v>
      </c>
      <c r="F224" s="1296" t="s">
        <v>1679</v>
      </c>
      <c r="H224" s="1311"/>
      <c r="I224" s="1311"/>
      <c r="J224" s="1311"/>
      <c r="K224" s="1311"/>
      <c r="L224" s="1311"/>
      <c r="M224" s="1311"/>
      <c r="N224" s="1311"/>
      <c r="O224" s="1311"/>
      <c r="P224" s="1311"/>
      <c r="Q224" s="1311"/>
      <c r="R224" s="1311"/>
      <c r="S224" s="1311"/>
    </row>
    <row r="225" spans="1:19" ht="27.9" customHeight="1" x14ac:dyDescent="0.25">
      <c r="A225" s="1311"/>
      <c r="C225" s="39"/>
      <c r="D225" s="1527"/>
      <c r="E225" s="1793">
        <v>13.4</v>
      </c>
      <c r="F225" s="1296" t="s">
        <v>1546</v>
      </c>
      <c r="H225" s="1311"/>
      <c r="I225" s="1311"/>
      <c r="J225" s="1311"/>
      <c r="K225" s="1311"/>
      <c r="L225" s="1311"/>
      <c r="M225" s="1311"/>
      <c r="N225" s="1311"/>
      <c r="O225" s="1311"/>
      <c r="P225" s="1311"/>
      <c r="Q225" s="1311"/>
      <c r="R225" s="1311"/>
      <c r="S225" s="1311"/>
    </row>
    <row r="226" spans="1:19" ht="15.9" customHeight="1" x14ac:dyDescent="0.25">
      <c r="A226" s="1311"/>
      <c r="C226" s="39"/>
      <c r="D226" s="1527"/>
      <c r="E226" s="1793">
        <v>13.5</v>
      </c>
      <c r="F226" s="1296" t="s">
        <v>1547</v>
      </c>
      <c r="H226" s="1311"/>
      <c r="I226" s="1311"/>
      <c r="J226" s="1311"/>
      <c r="K226" s="1311"/>
      <c r="L226" s="1311"/>
      <c r="M226" s="1311"/>
      <c r="N226" s="1311"/>
      <c r="O226" s="1311"/>
      <c r="P226" s="1311"/>
      <c r="Q226" s="1311"/>
      <c r="R226" s="1311"/>
      <c r="S226" s="1311"/>
    </row>
    <row r="227" spans="1:19" ht="27" customHeight="1" x14ac:dyDescent="0.25">
      <c r="A227" s="1311"/>
      <c r="C227" s="39"/>
      <c r="D227" s="1527"/>
      <c r="E227" s="1793">
        <v>13.6</v>
      </c>
      <c r="F227" s="1296" t="s">
        <v>1548</v>
      </c>
      <c r="H227" s="1311"/>
      <c r="I227" s="1311"/>
      <c r="J227" s="1311"/>
      <c r="K227" s="1311"/>
      <c r="L227" s="1311"/>
      <c r="M227" s="1311"/>
      <c r="N227" s="1311"/>
      <c r="O227" s="1311"/>
      <c r="P227" s="1311"/>
      <c r="Q227" s="1311"/>
      <c r="R227" s="1311"/>
      <c r="S227" s="1311"/>
    </row>
    <row r="228" spans="1:19" ht="15" customHeight="1" x14ac:dyDescent="0.25">
      <c r="A228" s="1311"/>
      <c r="C228" s="39"/>
      <c r="D228" s="1527"/>
      <c r="E228" s="1527"/>
      <c r="F228" s="1296"/>
      <c r="H228" s="1311"/>
      <c r="I228" s="1311"/>
      <c r="J228" s="1311"/>
      <c r="K228" s="1311"/>
      <c r="L228" s="1311"/>
      <c r="M228" s="1311"/>
      <c r="N228" s="1311"/>
      <c r="O228" s="1311"/>
      <c r="P228" s="1311"/>
      <c r="Q228" s="1311"/>
      <c r="R228" s="1311"/>
      <c r="S228" s="1311"/>
    </row>
    <row r="229" spans="1:19" ht="15" customHeight="1" x14ac:dyDescent="0.25">
      <c r="A229" s="1311"/>
      <c r="C229" s="39"/>
      <c r="D229" s="205">
        <v>14</v>
      </c>
      <c r="E229" s="206" t="s">
        <v>2824</v>
      </c>
      <c r="F229" s="1296"/>
      <c r="H229" s="1311"/>
      <c r="I229" s="1311"/>
      <c r="J229" s="1311"/>
      <c r="K229" s="1311"/>
      <c r="L229" s="1311"/>
      <c r="M229" s="1311"/>
      <c r="N229" s="1311"/>
      <c r="O229" s="1311"/>
      <c r="P229" s="1311"/>
      <c r="Q229" s="1311"/>
      <c r="R229" s="1311"/>
      <c r="S229" s="1311"/>
    </row>
    <row r="230" spans="1:19" ht="18.600000000000001" customHeight="1" x14ac:dyDescent="0.25">
      <c r="A230" s="1311"/>
      <c r="C230" s="39"/>
      <c r="D230" s="2522"/>
      <c r="E230" s="2522">
        <v>14.1</v>
      </c>
      <c r="F230" s="1296" t="s">
        <v>2821</v>
      </c>
      <c r="H230" s="1311"/>
      <c r="I230" s="1311"/>
      <c r="J230" s="1311"/>
      <c r="K230" s="1311"/>
      <c r="L230" s="1311"/>
      <c r="M230" s="1311"/>
      <c r="N230" s="1311"/>
      <c r="O230" s="1311"/>
      <c r="P230" s="1311"/>
      <c r="Q230" s="1311"/>
      <c r="R230" s="1311"/>
      <c r="S230" s="1311"/>
    </row>
    <row r="231" spans="1:19" ht="18.600000000000001" customHeight="1" x14ac:dyDescent="0.25">
      <c r="A231" s="1311"/>
      <c r="C231" s="39"/>
      <c r="D231" s="2522"/>
      <c r="E231" s="2522">
        <v>14.2</v>
      </c>
      <c r="F231" s="1296" t="s">
        <v>2822</v>
      </c>
      <c r="H231" s="1311"/>
      <c r="I231" s="1311"/>
      <c r="J231" s="1311"/>
      <c r="K231" s="1311"/>
      <c r="L231" s="1311"/>
      <c r="M231" s="1311"/>
      <c r="N231" s="1311"/>
      <c r="O231" s="1311"/>
      <c r="P231" s="1311"/>
      <c r="Q231" s="1311"/>
      <c r="R231" s="1311"/>
      <c r="S231" s="1311"/>
    </row>
    <row r="232" spans="1:19" ht="27.9" customHeight="1" x14ac:dyDescent="0.25">
      <c r="A232" s="1311"/>
      <c r="C232" s="39"/>
      <c r="D232" s="2522"/>
      <c r="E232" s="2522">
        <v>14.3</v>
      </c>
      <c r="F232" s="1296" t="s">
        <v>2823</v>
      </c>
      <c r="H232" s="1311"/>
      <c r="I232" s="1311"/>
      <c r="J232" s="1311"/>
      <c r="K232" s="1311"/>
      <c r="L232" s="1311"/>
      <c r="M232" s="1311"/>
      <c r="N232" s="1311"/>
      <c r="O232" s="1311"/>
      <c r="P232" s="1311"/>
      <c r="Q232" s="1311"/>
      <c r="R232" s="1311"/>
      <c r="S232" s="1311"/>
    </row>
    <row r="233" spans="1:19" ht="15" customHeight="1" x14ac:dyDescent="0.25">
      <c r="A233" s="1311"/>
      <c r="C233" s="39"/>
      <c r="D233" s="2522"/>
      <c r="E233" s="2522"/>
      <c r="F233" s="1296"/>
      <c r="H233" s="1311"/>
      <c r="I233" s="1311"/>
      <c r="J233" s="1311"/>
      <c r="K233" s="1311"/>
      <c r="L233" s="1311"/>
      <c r="M233" s="1311"/>
      <c r="N233" s="1311"/>
      <c r="O233" s="1311"/>
      <c r="P233" s="1311"/>
      <c r="Q233" s="1311"/>
      <c r="R233" s="1311"/>
      <c r="S233" s="1311"/>
    </row>
    <row r="234" spans="1:19" ht="24" customHeight="1" x14ac:dyDescent="0.25">
      <c r="A234" s="1311"/>
      <c r="C234" s="39"/>
      <c r="D234" s="207"/>
      <c r="E234" s="39"/>
      <c r="F234" s="1296"/>
      <c r="H234" s="1311"/>
      <c r="I234" s="1311"/>
      <c r="J234" s="1311"/>
      <c r="K234" s="1311"/>
      <c r="L234" s="1311"/>
      <c r="M234" s="1311"/>
      <c r="N234" s="1311"/>
      <c r="O234" s="1311"/>
      <c r="P234" s="1311"/>
      <c r="Q234" s="1311"/>
      <c r="R234" s="1311"/>
      <c r="S234" s="1311"/>
    </row>
    <row r="235" spans="1:19" ht="3.75" customHeight="1" x14ac:dyDescent="0.25">
      <c r="A235" s="1311"/>
      <c r="C235" s="39"/>
      <c r="D235" s="207"/>
      <c r="E235" s="39"/>
      <c r="F235" s="1296"/>
      <c r="H235" s="1311"/>
      <c r="I235" s="1311"/>
      <c r="J235" s="1311"/>
      <c r="K235" s="1311"/>
      <c r="L235" s="1311"/>
      <c r="M235" s="1311"/>
      <c r="N235" s="1311"/>
      <c r="O235" s="1311"/>
      <c r="P235" s="1311"/>
      <c r="Q235" s="1311"/>
      <c r="R235" s="1311"/>
      <c r="S235" s="1311"/>
    </row>
    <row r="236" spans="1:19" s="747" customFormat="1" ht="39.9" customHeight="1" x14ac:dyDescent="0.25">
      <c r="A236" s="1311"/>
      <c r="C236" s="4147" t="s">
        <v>1464</v>
      </c>
      <c r="D236" s="4148"/>
      <c r="E236" s="4148"/>
      <c r="F236" s="4149"/>
      <c r="H236" s="1314"/>
      <c r="I236" s="1314"/>
      <c r="J236" s="1314"/>
      <c r="K236" s="1314"/>
      <c r="L236" s="1314"/>
      <c r="M236" s="1314"/>
      <c r="N236" s="1314"/>
      <c r="O236" s="1314"/>
      <c r="P236" s="1314"/>
      <c r="Q236" s="1314"/>
      <c r="R236" s="1314"/>
      <c r="S236" s="1314"/>
    </row>
    <row r="237" spans="1:19" ht="13.35" customHeight="1" x14ac:dyDescent="0.25">
      <c r="A237" s="1311"/>
      <c r="C237" s="1248"/>
      <c r="D237" s="39"/>
      <c r="E237" s="39"/>
      <c r="F237" s="1296"/>
      <c r="H237" s="1311"/>
      <c r="I237" s="1311"/>
      <c r="J237" s="1311"/>
      <c r="K237" s="1311"/>
      <c r="L237" s="1311"/>
      <c r="M237" s="1311"/>
      <c r="N237" s="1311"/>
      <c r="O237" s="1311"/>
      <c r="P237" s="1311"/>
      <c r="Q237" s="1311"/>
      <c r="R237" s="1311"/>
      <c r="S237" s="1311"/>
    </row>
    <row r="238" spans="1:19" ht="32.4" customHeight="1" x14ac:dyDescent="0.25">
      <c r="A238" s="1311"/>
      <c r="C238" s="1248"/>
      <c r="D238" s="4143" t="s">
        <v>1236</v>
      </c>
      <c r="E238" s="4144"/>
      <c r="F238" s="4145"/>
      <c r="H238" s="1311"/>
      <c r="I238" s="1311"/>
      <c r="J238" s="1311"/>
      <c r="K238" s="1311"/>
      <c r="L238" s="1311"/>
      <c r="M238" s="1311"/>
      <c r="N238" s="1311"/>
      <c r="O238" s="1311"/>
      <c r="P238" s="1311"/>
      <c r="Q238" s="1311"/>
      <c r="R238" s="1311"/>
      <c r="S238" s="1311"/>
    </row>
    <row r="239" spans="1:19" ht="32.4" customHeight="1" x14ac:dyDescent="0.25">
      <c r="A239" s="1311"/>
      <c r="C239" s="1248"/>
      <c r="D239" s="4134" t="s">
        <v>2472</v>
      </c>
      <c r="E239" s="4135"/>
      <c r="F239" s="4136"/>
      <c r="H239" s="1311"/>
      <c r="I239" s="1311"/>
      <c r="J239" s="1311"/>
      <c r="K239" s="1311"/>
      <c r="L239" s="1311"/>
      <c r="M239" s="1311"/>
      <c r="N239" s="1311"/>
      <c r="O239" s="1311"/>
      <c r="P239" s="1311"/>
      <c r="Q239" s="1311"/>
      <c r="R239" s="1311"/>
      <c r="S239" s="1311"/>
    </row>
    <row r="240" spans="1:19" ht="10.5" customHeight="1" x14ac:dyDescent="0.25">
      <c r="A240" s="1311"/>
      <c r="C240" s="1248"/>
      <c r="D240" s="39"/>
      <c r="E240" s="39"/>
      <c r="F240" s="1296"/>
      <c r="H240" s="1311"/>
      <c r="I240" s="1311"/>
      <c r="J240" s="1311"/>
      <c r="K240" s="1311"/>
      <c r="L240" s="1311"/>
      <c r="M240" s="1311"/>
      <c r="N240" s="1311"/>
      <c r="O240" s="1311"/>
      <c r="P240" s="1311"/>
      <c r="Q240" s="1311"/>
      <c r="R240" s="1311"/>
      <c r="S240" s="1311"/>
    </row>
    <row r="241" spans="1:19" ht="19.5" customHeight="1" x14ac:dyDescent="0.25">
      <c r="A241" s="1311"/>
      <c r="C241" s="380"/>
      <c r="D241" s="381" t="s">
        <v>1032</v>
      </c>
      <c r="E241" s="379"/>
      <c r="F241" s="1296"/>
      <c r="H241" s="1311"/>
      <c r="I241" s="1311"/>
      <c r="J241" s="1311"/>
      <c r="K241" s="1311"/>
      <c r="L241" s="1311"/>
      <c r="M241" s="1311"/>
      <c r="N241" s="1311"/>
      <c r="O241" s="1311"/>
      <c r="P241" s="1311"/>
      <c r="Q241" s="1311"/>
      <c r="R241" s="1311"/>
      <c r="S241" s="1311"/>
    </row>
    <row r="242" spans="1:19" ht="15" customHeight="1" x14ac:dyDescent="0.25">
      <c r="A242" s="1311"/>
      <c r="C242" s="39"/>
      <c r="D242" s="207">
        <v>2.1</v>
      </c>
      <c r="E242" s="206" t="s">
        <v>871</v>
      </c>
      <c r="F242" s="1296"/>
      <c r="H242" s="1311"/>
      <c r="I242" s="1311"/>
      <c r="J242" s="1311"/>
      <c r="K242" s="1311"/>
      <c r="L242" s="1311"/>
      <c r="M242" s="1311"/>
      <c r="N242" s="1311"/>
      <c r="O242" s="1311"/>
      <c r="P242" s="1311"/>
      <c r="Q242" s="1311"/>
      <c r="R242" s="1311"/>
      <c r="S242" s="1311"/>
    </row>
    <row r="243" spans="1:19" ht="27.9" customHeight="1" x14ac:dyDescent="0.25">
      <c r="A243" s="1311"/>
      <c r="C243" s="39"/>
      <c r="D243" s="207"/>
      <c r="E243" s="39" t="s">
        <v>891</v>
      </c>
      <c r="F243" s="1296" t="s">
        <v>501</v>
      </c>
      <c r="H243" s="1311"/>
      <c r="I243" s="1311"/>
      <c r="J243" s="1311"/>
      <c r="K243" s="1311"/>
      <c r="L243" s="1311"/>
      <c r="M243" s="1311"/>
      <c r="N243" s="1311"/>
      <c r="O243" s="1311"/>
      <c r="P243" s="1311"/>
      <c r="Q243" s="1311"/>
      <c r="R243" s="1311"/>
      <c r="S243" s="1311"/>
    </row>
    <row r="244" spans="1:19" ht="54.75" customHeight="1" x14ac:dyDescent="0.25">
      <c r="A244" s="1311"/>
      <c r="C244" s="39"/>
      <c r="D244" s="39"/>
      <c r="E244" s="1097" t="s">
        <v>892</v>
      </c>
      <c r="F244" s="1296" t="s">
        <v>895</v>
      </c>
      <c r="H244" s="1311"/>
      <c r="I244" s="1311"/>
      <c r="J244" s="1311"/>
      <c r="K244" s="1311"/>
      <c r="L244" s="1311"/>
      <c r="M244" s="1311"/>
      <c r="N244" s="1311"/>
      <c r="O244" s="1311"/>
      <c r="P244" s="1311"/>
      <c r="Q244" s="1311"/>
      <c r="R244" s="1311"/>
      <c r="S244" s="1311"/>
    </row>
    <row r="245" spans="1:19" ht="27.9" customHeight="1" x14ac:dyDescent="0.25">
      <c r="A245" s="1311"/>
      <c r="C245" s="39"/>
      <c r="D245" s="39"/>
      <c r="E245" s="39" t="s">
        <v>893</v>
      </c>
      <c r="F245" s="1296" t="s">
        <v>870</v>
      </c>
      <c r="H245" s="1311"/>
      <c r="I245" s="1311"/>
      <c r="J245" s="1311"/>
      <c r="K245" s="1311"/>
      <c r="L245" s="1311"/>
      <c r="M245" s="1311"/>
      <c r="N245" s="1311"/>
      <c r="O245" s="1311"/>
      <c r="P245" s="1311"/>
      <c r="Q245" s="1311"/>
      <c r="R245" s="1311"/>
      <c r="S245" s="1311"/>
    </row>
    <row r="246" spans="1:19" ht="54.75" customHeight="1" x14ac:dyDescent="0.25">
      <c r="A246" s="1311"/>
      <c r="C246" s="39"/>
      <c r="D246" s="39"/>
      <c r="E246" s="39" t="s">
        <v>1057</v>
      </c>
      <c r="F246" s="1296" t="s">
        <v>1379</v>
      </c>
      <c r="H246" s="1311"/>
      <c r="I246" s="1311"/>
      <c r="J246" s="1311"/>
      <c r="K246" s="1311"/>
      <c r="L246" s="1311"/>
      <c r="M246" s="1311"/>
      <c r="N246" s="1311"/>
      <c r="O246" s="1311"/>
      <c r="P246" s="1311"/>
      <c r="Q246" s="1311"/>
      <c r="R246" s="1311"/>
      <c r="S246" s="1311"/>
    </row>
    <row r="247" spans="1:19" ht="42" customHeight="1" x14ac:dyDescent="0.25">
      <c r="A247" s="1311"/>
      <c r="C247" s="39"/>
      <c r="D247" s="39"/>
      <c r="E247" s="39" t="s">
        <v>1058</v>
      </c>
      <c r="F247" s="1296" t="s">
        <v>504</v>
      </c>
      <c r="H247" s="1311"/>
      <c r="I247" s="1311"/>
      <c r="J247" s="1311"/>
      <c r="K247" s="1311"/>
      <c r="L247" s="1311"/>
      <c r="M247" s="1311"/>
      <c r="N247" s="1311"/>
      <c r="O247" s="1311"/>
      <c r="P247" s="1311"/>
      <c r="Q247" s="1311"/>
      <c r="R247" s="1311"/>
      <c r="S247" s="1311"/>
    </row>
    <row r="248" spans="1:19" ht="42" customHeight="1" x14ac:dyDescent="0.25">
      <c r="A248" s="1311"/>
      <c r="C248" s="39"/>
      <c r="D248" s="39"/>
      <c r="E248" s="39" t="s">
        <v>1059</v>
      </c>
      <c r="F248" s="1296" t="s">
        <v>3420</v>
      </c>
      <c r="H248" s="1311"/>
      <c r="I248" s="1311"/>
      <c r="J248" s="1311"/>
      <c r="K248" s="1311"/>
      <c r="L248" s="1311"/>
      <c r="M248" s="1311"/>
      <c r="N248" s="1311"/>
      <c r="O248" s="1311"/>
      <c r="P248" s="1311"/>
      <c r="Q248" s="1311"/>
      <c r="R248" s="1311"/>
      <c r="S248" s="1311"/>
    </row>
    <row r="249" spans="1:19" ht="29.4" customHeight="1" x14ac:dyDescent="0.25">
      <c r="A249" s="1311"/>
      <c r="C249" s="39"/>
      <c r="D249" s="39"/>
      <c r="E249" s="39" t="s">
        <v>1060</v>
      </c>
      <c r="F249" s="1296" t="s">
        <v>3421</v>
      </c>
      <c r="H249" s="1311"/>
      <c r="I249" s="1311"/>
      <c r="J249" s="1311"/>
      <c r="K249" s="1311"/>
      <c r="L249" s="1311"/>
      <c r="M249" s="1311"/>
      <c r="N249" s="1311"/>
      <c r="O249" s="1311"/>
      <c r="P249" s="1311"/>
      <c r="Q249" s="1311"/>
      <c r="R249" s="1311"/>
      <c r="S249" s="1311"/>
    </row>
    <row r="250" spans="1:19" ht="27.9" customHeight="1" x14ac:dyDescent="0.25">
      <c r="A250" s="1311"/>
      <c r="C250" s="39"/>
      <c r="D250" s="39"/>
      <c r="E250" s="39"/>
      <c r="F250" s="1296" t="s">
        <v>3422</v>
      </c>
      <c r="H250" s="1311"/>
      <c r="I250" s="1311"/>
      <c r="J250" s="1311"/>
      <c r="K250" s="1311"/>
      <c r="L250" s="1311"/>
      <c r="M250" s="1311"/>
      <c r="N250" s="1311"/>
      <c r="O250" s="1311"/>
      <c r="P250" s="1311"/>
      <c r="Q250" s="1311"/>
      <c r="R250" s="1311"/>
      <c r="S250" s="1311"/>
    </row>
    <row r="251" spans="1:19" ht="18" customHeight="1" x14ac:dyDescent="0.25">
      <c r="A251" s="1311"/>
      <c r="C251" s="39"/>
      <c r="D251" s="39"/>
      <c r="E251" s="39"/>
      <c r="F251" s="1296" t="s">
        <v>3423</v>
      </c>
      <c r="H251" s="1311"/>
      <c r="I251" s="1311"/>
      <c r="J251" s="1311"/>
      <c r="K251" s="1311"/>
      <c r="L251" s="1311"/>
      <c r="M251" s="1311"/>
      <c r="N251" s="1311"/>
      <c r="O251" s="1311"/>
      <c r="P251" s="1311"/>
      <c r="Q251" s="1311"/>
      <c r="R251" s="1311"/>
      <c r="S251" s="1311"/>
    </row>
    <row r="252" spans="1:19" ht="27.9" customHeight="1" x14ac:dyDescent="0.25">
      <c r="A252" s="1311"/>
      <c r="C252" s="39"/>
      <c r="D252" s="39"/>
      <c r="E252" s="39" t="s">
        <v>1061</v>
      </c>
      <c r="F252" s="1296" t="s">
        <v>1184</v>
      </c>
      <c r="H252" s="1311"/>
      <c r="I252" s="1311"/>
      <c r="J252" s="1311"/>
      <c r="K252" s="1311"/>
      <c r="L252" s="1311"/>
      <c r="M252" s="1311"/>
      <c r="N252" s="1311"/>
      <c r="O252" s="1311"/>
      <c r="P252" s="1311"/>
      <c r="Q252" s="1311"/>
      <c r="R252" s="1311"/>
      <c r="S252" s="1311"/>
    </row>
    <row r="253" spans="1:19" ht="40.5" customHeight="1" x14ac:dyDescent="0.25">
      <c r="A253" s="1311"/>
      <c r="C253" s="39"/>
      <c r="D253" s="39"/>
      <c r="E253" s="39" t="s">
        <v>1380</v>
      </c>
      <c r="F253" s="1296" t="s">
        <v>1613</v>
      </c>
      <c r="H253" s="1311"/>
      <c r="I253" s="1311"/>
      <c r="J253" s="1311"/>
      <c r="K253" s="1311"/>
      <c r="L253" s="1311"/>
      <c r="M253" s="1311"/>
      <c r="N253" s="1311"/>
      <c r="O253" s="1311"/>
      <c r="P253" s="1311"/>
      <c r="Q253" s="1311"/>
      <c r="R253" s="1311"/>
      <c r="S253" s="1311"/>
    </row>
    <row r="254" spans="1:19" ht="66.75" customHeight="1" x14ac:dyDescent="0.25">
      <c r="A254" s="1311"/>
      <c r="C254" s="39"/>
      <c r="D254" s="39"/>
      <c r="E254" s="39" t="s">
        <v>1612</v>
      </c>
      <c r="F254" s="1296" t="s">
        <v>1712</v>
      </c>
      <c r="H254" s="1311"/>
      <c r="I254" s="1311"/>
      <c r="J254" s="1311"/>
      <c r="K254" s="1311"/>
      <c r="L254" s="1311"/>
      <c r="M254" s="1311"/>
      <c r="N254" s="1311"/>
      <c r="O254" s="1311"/>
      <c r="P254" s="1311"/>
      <c r="Q254" s="1311"/>
      <c r="R254" s="1311"/>
      <c r="S254" s="1311"/>
    </row>
    <row r="255" spans="1:19" ht="5.25" customHeight="1" x14ac:dyDescent="0.25">
      <c r="A255" s="1311"/>
      <c r="F255" s="1295"/>
      <c r="H255" s="1311"/>
      <c r="I255" s="1311"/>
      <c r="J255" s="1311"/>
      <c r="K255" s="1311"/>
      <c r="L255" s="1311"/>
      <c r="M255" s="1311"/>
      <c r="N255" s="1311"/>
      <c r="O255" s="1311"/>
      <c r="P255" s="1311"/>
      <c r="Q255" s="1311"/>
      <c r="R255" s="1311"/>
      <c r="S255" s="1311"/>
    </row>
    <row r="256" spans="1:19" ht="15" customHeight="1" x14ac:dyDescent="0.25">
      <c r="A256" s="1311"/>
      <c r="C256" s="39"/>
      <c r="D256" s="207">
        <v>2.2000000000000002</v>
      </c>
      <c r="E256" s="206" t="s">
        <v>3407</v>
      </c>
      <c r="F256" s="1296"/>
      <c r="H256" s="1311"/>
      <c r="I256" s="1311"/>
      <c r="J256" s="1311"/>
      <c r="K256" s="1311"/>
      <c r="L256" s="1311"/>
      <c r="M256" s="1311"/>
      <c r="N256" s="1311"/>
      <c r="O256" s="1311"/>
      <c r="P256" s="1311"/>
      <c r="Q256" s="1311"/>
      <c r="R256" s="1311"/>
      <c r="S256" s="1311"/>
    </row>
    <row r="257" spans="1:19" ht="27.9" customHeight="1" x14ac:dyDescent="0.25">
      <c r="A257" s="1311"/>
      <c r="C257" s="39"/>
      <c r="D257" s="207"/>
      <c r="E257" s="39" t="s">
        <v>7</v>
      </c>
      <c r="F257" s="1296" t="s">
        <v>3424</v>
      </c>
      <c r="H257" s="1311"/>
      <c r="I257" s="1311"/>
      <c r="J257" s="1311"/>
      <c r="K257" s="1311"/>
      <c r="L257" s="1311"/>
      <c r="M257" s="1311"/>
      <c r="N257" s="1311"/>
      <c r="O257" s="1311"/>
      <c r="P257" s="1311"/>
      <c r="Q257" s="1311"/>
      <c r="R257" s="1311"/>
      <c r="S257" s="1311"/>
    </row>
    <row r="258" spans="1:19" ht="15" customHeight="1" x14ac:dyDescent="0.25">
      <c r="A258" s="1311"/>
      <c r="C258" s="39"/>
      <c r="D258" s="207"/>
      <c r="E258" s="39" t="s">
        <v>8</v>
      </c>
      <c r="F258" s="1296" t="s">
        <v>1180</v>
      </c>
      <c r="H258" s="1311"/>
      <c r="I258" s="1311"/>
      <c r="J258" s="1311"/>
      <c r="K258" s="1311"/>
      <c r="L258" s="1311"/>
      <c r="M258" s="1311"/>
      <c r="N258" s="1311"/>
      <c r="O258" s="1311"/>
      <c r="P258" s="1311"/>
      <c r="Q258" s="1311"/>
      <c r="R258" s="1311"/>
      <c r="S258" s="1311"/>
    </row>
    <row r="259" spans="1:19" ht="42" customHeight="1" x14ac:dyDescent="0.25">
      <c r="A259" s="1311"/>
      <c r="C259" s="39"/>
      <c r="D259" s="207"/>
      <c r="E259" s="39" t="s">
        <v>34</v>
      </c>
      <c r="F259" s="1296" t="s">
        <v>1181</v>
      </c>
      <c r="H259" s="1311"/>
      <c r="I259" s="1311"/>
      <c r="J259" s="1311"/>
      <c r="K259" s="1311"/>
      <c r="L259" s="1311"/>
      <c r="M259" s="1311"/>
      <c r="N259" s="1311"/>
      <c r="O259" s="1311"/>
      <c r="P259" s="1311"/>
      <c r="Q259" s="1311"/>
      <c r="R259" s="1311"/>
      <c r="S259" s="1311"/>
    </row>
    <row r="260" spans="1:19" ht="27.9" customHeight="1" x14ac:dyDescent="0.25">
      <c r="A260" s="1311"/>
      <c r="C260" s="39"/>
      <c r="D260" s="207"/>
      <c r="E260" s="39"/>
      <c r="F260" s="1296" t="s">
        <v>1182</v>
      </c>
      <c r="H260" s="1311"/>
      <c r="I260" s="1311"/>
      <c r="J260" s="1311"/>
      <c r="K260" s="1311"/>
      <c r="L260" s="1311"/>
      <c r="M260" s="1311"/>
      <c r="N260" s="1311"/>
      <c r="O260" s="1311"/>
      <c r="P260" s="1311"/>
      <c r="Q260" s="1311"/>
      <c r="R260" s="1311"/>
      <c r="S260" s="1311"/>
    </row>
    <row r="261" spans="1:19" ht="5.25" customHeight="1" x14ac:dyDescent="0.25">
      <c r="A261" s="1311"/>
      <c r="F261" s="1295"/>
      <c r="H261" s="1311"/>
      <c r="I261" s="1311"/>
      <c r="J261" s="1311"/>
      <c r="K261" s="1311"/>
      <c r="L261" s="1311"/>
      <c r="M261" s="1311"/>
      <c r="N261" s="1311"/>
      <c r="O261" s="1311"/>
      <c r="P261" s="1311"/>
      <c r="Q261" s="1311"/>
      <c r="R261" s="1311"/>
      <c r="S261" s="1311"/>
    </row>
    <row r="262" spans="1:19" ht="15" customHeight="1" x14ac:dyDescent="0.25">
      <c r="A262" s="1311"/>
      <c r="C262" s="39"/>
      <c r="D262" s="207">
        <v>2.2999999999999998</v>
      </c>
      <c r="E262" s="206" t="s">
        <v>343</v>
      </c>
      <c r="F262" s="1296"/>
      <c r="H262" s="1311"/>
      <c r="I262" s="1311"/>
      <c r="J262" s="1311"/>
      <c r="K262" s="1311"/>
      <c r="L262" s="1311"/>
      <c r="M262" s="1311"/>
      <c r="N262" s="1311"/>
      <c r="O262" s="1311"/>
      <c r="P262" s="1311"/>
      <c r="Q262" s="1311"/>
      <c r="R262" s="1311"/>
      <c r="S262" s="1311"/>
    </row>
    <row r="263" spans="1:19" ht="42" customHeight="1" x14ac:dyDescent="0.25">
      <c r="A263" s="1311"/>
      <c r="C263" s="39"/>
      <c r="D263" s="207"/>
      <c r="E263" s="1097" t="s">
        <v>35</v>
      </c>
      <c r="F263" s="1296" t="s">
        <v>872</v>
      </c>
      <c r="H263" s="1311"/>
      <c r="I263" s="1311"/>
      <c r="J263" s="1311"/>
      <c r="K263" s="1311"/>
      <c r="L263" s="1311"/>
      <c r="M263" s="1311"/>
      <c r="N263" s="1311"/>
      <c r="O263" s="1311"/>
      <c r="P263" s="1311"/>
      <c r="Q263" s="1311"/>
      <c r="R263" s="1311"/>
      <c r="S263" s="1311"/>
    </row>
    <row r="264" spans="1:19" ht="32.4" customHeight="1" x14ac:dyDescent="0.25">
      <c r="A264" s="1311"/>
      <c r="C264" s="39"/>
      <c r="D264" s="39"/>
      <c r="E264" s="39" t="s">
        <v>63</v>
      </c>
      <c r="F264" s="1296" t="s">
        <v>3425</v>
      </c>
      <c r="H264" s="1311"/>
      <c r="I264" s="1311"/>
      <c r="J264" s="1311"/>
      <c r="K264" s="1311"/>
      <c r="L264" s="1311"/>
      <c r="M264" s="1311"/>
      <c r="N264" s="1311"/>
      <c r="O264" s="1311"/>
      <c r="P264" s="1311"/>
      <c r="Q264" s="1311"/>
      <c r="R264" s="1311"/>
      <c r="S264" s="1311"/>
    </row>
    <row r="265" spans="1:19" ht="28.95" customHeight="1" x14ac:dyDescent="0.25">
      <c r="A265" s="1311"/>
      <c r="C265" s="39"/>
      <c r="D265" s="39"/>
      <c r="E265" s="1097" t="s">
        <v>64</v>
      </c>
      <c r="F265" s="1296" t="s">
        <v>3426</v>
      </c>
      <c r="H265" s="1311"/>
      <c r="I265" s="1311"/>
      <c r="J265" s="1311"/>
      <c r="K265" s="1311"/>
      <c r="L265" s="1311"/>
      <c r="M265" s="1311"/>
      <c r="N265" s="1311"/>
      <c r="O265" s="1311"/>
      <c r="P265" s="1311"/>
      <c r="Q265" s="1311"/>
      <c r="R265" s="1311"/>
      <c r="S265" s="1311"/>
    </row>
    <row r="266" spans="1:19" ht="17.399999999999999" customHeight="1" x14ac:dyDescent="0.25">
      <c r="A266" s="1311"/>
      <c r="C266" s="39"/>
      <c r="D266" s="39"/>
      <c r="E266" s="1097"/>
      <c r="F266" s="1296" t="s">
        <v>3427</v>
      </c>
      <c r="H266" s="1311"/>
      <c r="I266" s="1311"/>
      <c r="J266" s="1311"/>
      <c r="K266" s="1311"/>
      <c r="L266" s="1311"/>
      <c r="M266" s="1311"/>
      <c r="N266" s="1311"/>
      <c r="O266" s="1311"/>
      <c r="P266" s="1311"/>
      <c r="Q266" s="1311"/>
      <c r="R266" s="1311"/>
      <c r="S266" s="1311"/>
    </row>
    <row r="267" spans="1:19" ht="43.95" customHeight="1" x14ac:dyDescent="0.25">
      <c r="A267" s="1311"/>
      <c r="C267" s="39"/>
      <c r="D267" s="39"/>
      <c r="E267" s="1097"/>
      <c r="F267" s="1296" t="s">
        <v>3431</v>
      </c>
      <c r="H267" s="1311"/>
      <c r="I267" s="1311"/>
      <c r="J267" s="1311"/>
      <c r="K267" s="1311"/>
      <c r="L267" s="1311"/>
      <c r="M267" s="1311"/>
      <c r="N267" s="1311"/>
      <c r="O267" s="1311"/>
      <c r="P267" s="1311"/>
      <c r="Q267" s="1311"/>
      <c r="R267" s="1311"/>
      <c r="S267" s="1311"/>
    </row>
    <row r="268" spans="1:19" ht="30" customHeight="1" x14ac:dyDescent="0.25">
      <c r="A268" s="1311"/>
      <c r="C268" s="39"/>
      <c r="D268" s="39"/>
      <c r="E268" s="1097"/>
      <c r="F268" s="1296" t="s">
        <v>3428</v>
      </c>
      <c r="H268" s="1311"/>
      <c r="I268" s="1311"/>
      <c r="J268" s="1311"/>
      <c r="K268" s="1311"/>
      <c r="L268" s="1311"/>
      <c r="M268" s="1311"/>
      <c r="N268" s="1311"/>
      <c r="O268" s="1311"/>
      <c r="P268" s="1311"/>
      <c r="Q268" s="1311"/>
      <c r="R268" s="1311"/>
      <c r="S268" s="1311"/>
    </row>
    <row r="269" spans="1:19" ht="30" customHeight="1" x14ac:dyDescent="0.25">
      <c r="A269" s="1311"/>
      <c r="C269" s="39"/>
      <c r="D269" s="39"/>
      <c r="E269" s="1097"/>
      <c r="F269" s="1296" t="s">
        <v>1459</v>
      </c>
      <c r="H269" s="1311"/>
      <c r="I269" s="1311"/>
      <c r="J269" s="1311"/>
      <c r="K269" s="1311"/>
      <c r="L269" s="1311"/>
      <c r="M269" s="1311"/>
      <c r="N269" s="1311"/>
      <c r="O269" s="1311"/>
      <c r="P269" s="1311"/>
      <c r="Q269" s="1311"/>
      <c r="R269" s="1311"/>
      <c r="S269" s="1311"/>
    </row>
    <row r="270" spans="1:19" ht="41.4" customHeight="1" x14ac:dyDescent="0.25">
      <c r="A270" s="1311"/>
      <c r="C270" s="39"/>
      <c r="D270" s="39"/>
      <c r="E270" s="1097"/>
      <c r="F270" s="1296" t="s">
        <v>3429</v>
      </c>
      <c r="H270" s="1311"/>
      <c r="I270" s="1311"/>
      <c r="J270" s="1311"/>
      <c r="K270" s="1311"/>
      <c r="L270" s="1311"/>
      <c r="M270" s="1311"/>
      <c r="N270" s="1311"/>
      <c r="O270" s="1311"/>
      <c r="P270" s="1311"/>
      <c r="Q270" s="1311"/>
      <c r="R270" s="1311"/>
      <c r="S270" s="1311"/>
    </row>
    <row r="271" spans="1:19" ht="42.6" customHeight="1" x14ac:dyDescent="0.25">
      <c r="A271" s="1311"/>
      <c r="C271" s="39"/>
      <c r="D271" s="39"/>
      <c r="E271" s="1097"/>
      <c r="F271" s="1296" t="s">
        <v>3430</v>
      </c>
      <c r="H271" s="1311"/>
      <c r="I271" s="1311"/>
      <c r="J271" s="1311"/>
      <c r="K271" s="1311"/>
      <c r="L271" s="1311"/>
      <c r="M271" s="1311"/>
      <c r="N271" s="1311"/>
      <c r="O271" s="1311"/>
      <c r="P271" s="1311"/>
      <c r="Q271" s="1311"/>
      <c r="R271" s="1311"/>
      <c r="S271" s="1311"/>
    </row>
    <row r="272" spans="1:19" ht="59.4" customHeight="1" x14ac:dyDescent="0.25">
      <c r="A272" s="1311"/>
      <c r="C272" s="39"/>
      <c r="D272" s="39"/>
      <c r="E272" s="1097"/>
      <c r="F272" s="1296" t="s">
        <v>3432</v>
      </c>
      <c r="H272" s="1311"/>
      <c r="I272" s="1311"/>
      <c r="J272" s="1311"/>
      <c r="K272" s="1311"/>
      <c r="L272" s="1311"/>
      <c r="M272" s="1311"/>
      <c r="N272" s="1311"/>
      <c r="O272" s="1311"/>
      <c r="P272" s="1311"/>
      <c r="Q272" s="1311"/>
      <c r="R272" s="1311"/>
      <c r="S272" s="1311"/>
    </row>
    <row r="273" spans="1:19" ht="44.4" customHeight="1" x14ac:dyDescent="0.25">
      <c r="A273" s="1311"/>
      <c r="C273" s="39"/>
      <c r="D273" s="39"/>
      <c r="E273" s="1097"/>
      <c r="F273" s="1296" t="s">
        <v>3433</v>
      </c>
      <c r="H273" s="1311"/>
      <c r="I273" s="1311"/>
      <c r="J273" s="1311"/>
      <c r="K273" s="1311"/>
      <c r="L273" s="1311"/>
      <c r="M273" s="1311"/>
      <c r="N273" s="1311"/>
      <c r="O273" s="1311"/>
      <c r="P273" s="1311"/>
      <c r="Q273" s="1311"/>
      <c r="R273" s="1311"/>
      <c r="S273" s="1311"/>
    </row>
    <row r="274" spans="1:19" ht="31.95" customHeight="1" x14ac:dyDescent="0.25">
      <c r="A274" s="1311"/>
      <c r="C274" s="39"/>
      <c r="D274" s="39"/>
      <c r="E274" s="1097"/>
      <c r="F274" s="1296" t="s">
        <v>3434</v>
      </c>
      <c r="H274" s="1311"/>
      <c r="I274" s="1311"/>
      <c r="J274" s="1311"/>
      <c r="K274" s="1311"/>
      <c r="L274" s="1311"/>
      <c r="M274" s="1311"/>
      <c r="N274" s="1311"/>
      <c r="O274" s="1311"/>
      <c r="P274" s="1311"/>
      <c r="Q274" s="1311"/>
      <c r="R274" s="1311"/>
      <c r="S274" s="1311"/>
    </row>
    <row r="275" spans="1:19" ht="60" customHeight="1" x14ac:dyDescent="0.25">
      <c r="A275" s="1311"/>
      <c r="C275" s="39"/>
      <c r="D275" s="39"/>
      <c r="E275" s="1097"/>
      <c r="F275" s="1296" t="s">
        <v>3435</v>
      </c>
      <c r="H275" s="1311"/>
      <c r="I275" s="1311"/>
      <c r="J275" s="1311"/>
      <c r="K275" s="1311"/>
      <c r="L275" s="1311"/>
      <c r="M275" s="1311"/>
      <c r="N275" s="1311"/>
      <c r="O275" s="1311"/>
      <c r="P275" s="1311"/>
      <c r="Q275" s="1311"/>
      <c r="R275" s="1311"/>
      <c r="S275" s="1311"/>
    </row>
    <row r="276" spans="1:19" ht="27.9" customHeight="1" x14ac:dyDescent="0.25">
      <c r="A276" s="1311"/>
      <c r="C276" s="39"/>
      <c r="D276" s="39"/>
      <c r="E276" s="39" t="s">
        <v>344</v>
      </c>
      <c r="F276" s="1296" t="s">
        <v>502</v>
      </c>
      <c r="H276" s="1311"/>
      <c r="I276" s="1311"/>
      <c r="J276" s="1311"/>
      <c r="K276" s="1311"/>
      <c r="L276" s="1311"/>
      <c r="M276" s="1311"/>
      <c r="N276" s="1311"/>
      <c r="O276" s="1311"/>
      <c r="P276" s="1311"/>
      <c r="Q276" s="1311"/>
      <c r="R276" s="1311"/>
      <c r="S276" s="1311"/>
    </row>
    <row r="277" spans="1:19" ht="27.9" customHeight="1" x14ac:dyDescent="0.25">
      <c r="A277" s="1311"/>
      <c r="C277" s="39"/>
      <c r="D277" s="39"/>
      <c r="E277" s="39" t="s">
        <v>3443</v>
      </c>
      <c r="F277" s="1296" t="s">
        <v>503</v>
      </c>
      <c r="H277" s="1311"/>
      <c r="I277" s="1311"/>
      <c r="J277" s="1311"/>
      <c r="K277" s="1311"/>
      <c r="L277" s="1311"/>
      <c r="M277" s="1311"/>
      <c r="N277" s="1311"/>
      <c r="O277" s="1311"/>
      <c r="P277" s="1311"/>
      <c r="Q277" s="1311"/>
      <c r="R277" s="1311"/>
      <c r="S277" s="1311"/>
    </row>
    <row r="278" spans="1:19" ht="5.25" customHeight="1" x14ac:dyDescent="0.25">
      <c r="A278" s="1311"/>
      <c r="F278" s="1295"/>
      <c r="H278" s="1311"/>
      <c r="I278" s="1311"/>
      <c r="J278" s="1311"/>
      <c r="K278" s="1311"/>
      <c r="L278" s="1311"/>
      <c r="M278" s="1311"/>
      <c r="N278" s="1311"/>
      <c r="O278" s="1311"/>
      <c r="P278" s="1311"/>
      <c r="Q278" s="1311"/>
      <c r="R278" s="1311"/>
      <c r="S278" s="1311"/>
    </row>
    <row r="279" spans="1:19" ht="15" customHeight="1" x14ac:dyDescent="0.25">
      <c r="A279" s="1311"/>
      <c r="C279" s="39"/>
      <c r="D279" s="207">
        <v>2.4</v>
      </c>
      <c r="E279" s="206" t="s">
        <v>2809</v>
      </c>
      <c r="F279" s="1296"/>
      <c r="H279" s="1311"/>
      <c r="I279" s="1311"/>
      <c r="J279" s="1311"/>
      <c r="K279" s="1311"/>
      <c r="L279" s="1311"/>
      <c r="M279" s="1311"/>
      <c r="N279" s="1311"/>
      <c r="O279" s="1311"/>
      <c r="P279" s="1311"/>
      <c r="Q279" s="1311"/>
      <c r="R279" s="1311"/>
      <c r="S279" s="1311"/>
    </row>
    <row r="280" spans="1:19" ht="27.9" customHeight="1" x14ac:dyDescent="0.25">
      <c r="A280" s="1311"/>
      <c r="C280" s="39"/>
      <c r="D280" s="207"/>
      <c r="E280" s="39" t="s">
        <v>36</v>
      </c>
      <c r="F280" s="1296" t="s">
        <v>659</v>
      </c>
      <c r="H280" s="1311"/>
      <c r="I280" s="1311"/>
      <c r="J280" s="1311"/>
      <c r="K280" s="1311"/>
      <c r="L280" s="1311"/>
      <c r="M280" s="1311"/>
      <c r="N280" s="1311"/>
      <c r="O280" s="1311"/>
      <c r="P280" s="1311"/>
      <c r="Q280" s="1311"/>
      <c r="R280" s="1311"/>
      <c r="S280" s="1311"/>
    </row>
    <row r="281" spans="1:19" ht="27.9" customHeight="1" x14ac:dyDescent="0.25">
      <c r="A281" s="1311"/>
      <c r="C281" s="39"/>
      <c r="D281" s="39"/>
      <c r="E281" s="39" t="s">
        <v>65</v>
      </c>
      <c r="F281" s="1296" t="s">
        <v>505</v>
      </c>
      <c r="H281" s="1311"/>
      <c r="I281" s="1311"/>
      <c r="J281" s="1311"/>
      <c r="K281" s="1311"/>
      <c r="L281" s="1311"/>
      <c r="M281" s="1311"/>
      <c r="N281" s="1311"/>
      <c r="O281" s="1311"/>
      <c r="P281" s="1311"/>
      <c r="Q281" s="1311"/>
      <c r="R281" s="1311"/>
      <c r="S281" s="1311"/>
    </row>
    <row r="282" spans="1:19" ht="27.9" customHeight="1" x14ac:dyDescent="0.25">
      <c r="A282" s="1311"/>
      <c r="C282" s="39"/>
      <c r="D282" s="39"/>
      <c r="E282" s="39" t="s">
        <v>66</v>
      </c>
      <c r="F282" s="1296" t="s">
        <v>506</v>
      </c>
      <c r="H282" s="1311"/>
      <c r="I282" s="1311"/>
      <c r="J282" s="1311"/>
      <c r="K282" s="1311"/>
      <c r="L282" s="1311"/>
      <c r="M282" s="1311"/>
      <c r="N282" s="1311"/>
      <c r="O282" s="1311"/>
      <c r="P282" s="1311"/>
      <c r="Q282" s="1311"/>
      <c r="R282" s="1311"/>
      <c r="S282" s="1311"/>
    </row>
    <row r="283" spans="1:19" ht="5.25" customHeight="1" x14ac:dyDescent="0.25">
      <c r="A283" s="1311"/>
      <c r="F283" s="1295"/>
      <c r="H283" s="1311"/>
      <c r="I283" s="1311"/>
      <c r="J283" s="1311"/>
      <c r="K283" s="1311"/>
      <c r="L283" s="1311"/>
      <c r="M283" s="1311"/>
      <c r="N283" s="1311"/>
      <c r="O283" s="1311"/>
      <c r="P283" s="1311"/>
      <c r="Q283" s="1311"/>
      <c r="R283" s="1311"/>
      <c r="S283" s="1311"/>
    </row>
    <row r="284" spans="1:19" ht="15" customHeight="1" x14ac:dyDescent="0.25">
      <c r="A284" s="1311"/>
      <c r="C284" s="39"/>
      <c r="D284" s="207">
        <v>2.5</v>
      </c>
      <c r="E284" s="206" t="s">
        <v>2810</v>
      </c>
      <c r="F284" s="1296"/>
      <c r="H284" s="1311"/>
      <c r="I284" s="1311"/>
      <c r="J284" s="1311"/>
      <c r="K284" s="1311"/>
      <c r="L284" s="1311"/>
      <c r="M284" s="1311"/>
      <c r="N284" s="1311"/>
      <c r="O284" s="1311"/>
      <c r="P284" s="1311"/>
      <c r="Q284" s="1311"/>
      <c r="R284" s="1311"/>
      <c r="S284" s="1311"/>
    </row>
    <row r="285" spans="1:19" ht="15" customHeight="1" x14ac:dyDescent="0.25">
      <c r="A285" s="1311"/>
      <c r="C285" s="39"/>
      <c r="D285" s="207"/>
      <c r="E285" s="39" t="s">
        <v>507</v>
      </c>
      <c r="F285" s="1296" t="s">
        <v>3437</v>
      </c>
      <c r="H285" s="1311"/>
      <c r="I285" s="1311"/>
      <c r="J285" s="1311"/>
      <c r="K285" s="1311"/>
      <c r="L285" s="1311"/>
      <c r="M285" s="1311"/>
      <c r="N285" s="1311"/>
      <c r="O285" s="1311"/>
      <c r="P285" s="1311"/>
      <c r="Q285" s="1311"/>
      <c r="R285" s="1311"/>
      <c r="S285" s="1311"/>
    </row>
    <row r="286" spans="1:19" ht="15" customHeight="1" x14ac:dyDescent="0.25">
      <c r="A286" s="1311"/>
      <c r="C286" s="39"/>
      <c r="D286" s="207"/>
      <c r="E286" s="39" t="s">
        <v>508</v>
      </c>
      <c r="F286" s="1296" t="s">
        <v>1171</v>
      </c>
      <c r="H286" s="1311"/>
      <c r="I286" s="1311"/>
      <c r="J286" s="1311"/>
      <c r="K286" s="1311"/>
      <c r="L286" s="1311"/>
      <c r="M286" s="1311"/>
      <c r="N286" s="1311"/>
      <c r="O286" s="1311"/>
      <c r="P286" s="1311"/>
      <c r="Q286" s="1311"/>
      <c r="R286" s="1311"/>
      <c r="S286" s="1311"/>
    </row>
    <row r="287" spans="1:19" ht="27.9" customHeight="1" x14ac:dyDescent="0.25">
      <c r="A287" s="1311"/>
      <c r="C287" s="39"/>
      <c r="D287" s="207"/>
      <c r="E287" s="39" t="s">
        <v>509</v>
      </c>
      <c r="F287" s="1296" t="s">
        <v>3438</v>
      </c>
      <c r="H287" s="1311"/>
      <c r="I287" s="1311"/>
      <c r="J287" s="1311"/>
      <c r="K287" s="1311"/>
      <c r="L287" s="1311"/>
      <c r="M287" s="1311"/>
      <c r="N287" s="1311"/>
      <c r="O287" s="1311"/>
      <c r="P287" s="1311"/>
      <c r="Q287" s="1311"/>
      <c r="R287" s="1311"/>
      <c r="S287" s="1311"/>
    </row>
    <row r="288" spans="1:19" ht="42" customHeight="1" x14ac:dyDescent="0.25">
      <c r="A288" s="1311"/>
      <c r="C288" s="39"/>
      <c r="D288" s="207"/>
      <c r="E288" s="39" t="s">
        <v>3444</v>
      </c>
      <c r="F288" s="1296" t="s">
        <v>1172</v>
      </c>
      <c r="H288" s="1311"/>
      <c r="I288" s="1311"/>
      <c r="J288" s="1311"/>
      <c r="K288" s="1311"/>
      <c r="L288" s="1311"/>
      <c r="M288" s="1311"/>
      <c r="N288" s="1311"/>
      <c r="O288" s="1311"/>
      <c r="P288" s="1311"/>
      <c r="Q288" s="1311"/>
      <c r="R288" s="1311"/>
      <c r="S288" s="1311"/>
    </row>
    <row r="289" spans="1:19" ht="27.9" customHeight="1" x14ac:dyDescent="0.25">
      <c r="A289" s="1311"/>
      <c r="C289" s="39"/>
      <c r="D289" s="207"/>
      <c r="E289" s="39" t="s">
        <v>3445</v>
      </c>
      <c r="F289" s="1296" t="s">
        <v>3439</v>
      </c>
      <c r="H289" s="1311"/>
      <c r="I289" s="1311"/>
      <c r="J289" s="1311"/>
      <c r="K289" s="1311"/>
      <c r="L289" s="1311"/>
      <c r="M289" s="1311"/>
      <c r="N289" s="1311"/>
      <c r="O289" s="1311"/>
      <c r="P289" s="1311"/>
      <c r="Q289" s="1311"/>
      <c r="R289" s="1311"/>
      <c r="S289" s="1311"/>
    </row>
    <row r="290" spans="1:19" ht="42" customHeight="1" x14ac:dyDescent="0.25">
      <c r="A290" s="1311"/>
      <c r="C290" s="39"/>
      <c r="D290" s="207"/>
      <c r="E290" s="39" t="s">
        <v>3446</v>
      </c>
      <c r="F290" s="1296" t="s">
        <v>3440</v>
      </c>
      <c r="H290" s="1311"/>
      <c r="I290" s="1311"/>
      <c r="J290" s="1311"/>
      <c r="K290" s="1311"/>
      <c r="L290" s="1311"/>
      <c r="M290" s="1311"/>
      <c r="N290" s="1311"/>
      <c r="O290" s="1311"/>
      <c r="P290" s="1311"/>
      <c r="Q290" s="1311"/>
      <c r="R290" s="1311"/>
      <c r="S290" s="1311"/>
    </row>
    <row r="291" spans="1:19" ht="31.35" customHeight="1" x14ac:dyDescent="0.25">
      <c r="A291" s="1311"/>
      <c r="C291" s="39"/>
      <c r="D291" s="2796"/>
      <c r="E291" s="39" t="s">
        <v>3447</v>
      </c>
      <c r="F291" s="1296" t="s">
        <v>3442</v>
      </c>
      <c r="H291" s="1311"/>
      <c r="I291" s="1311"/>
      <c r="J291" s="1311"/>
      <c r="K291" s="1311"/>
      <c r="L291" s="1311"/>
      <c r="M291" s="1311"/>
      <c r="N291" s="1311"/>
      <c r="O291" s="1311"/>
      <c r="P291" s="1311"/>
      <c r="Q291" s="1311"/>
      <c r="R291" s="1311"/>
      <c r="S291" s="1311"/>
    </row>
    <row r="292" spans="1:19" ht="5.25" customHeight="1" x14ac:dyDescent="0.25">
      <c r="A292" s="1311"/>
      <c r="F292" s="1295"/>
      <c r="H292" s="1311"/>
      <c r="I292" s="1311"/>
      <c r="J292" s="1311"/>
      <c r="K292" s="1311"/>
      <c r="L292" s="1311"/>
      <c r="M292" s="1311"/>
      <c r="N292" s="1311"/>
      <c r="O292" s="1311"/>
      <c r="P292" s="1311"/>
      <c r="Q292" s="1311"/>
      <c r="R292" s="1311"/>
      <c r="S292" s="1311"/>
    </row>
    <row r="293" spans="1:19" ht="15" customHeight="1" x14ac:dyDescent="0.25">
      <c r="A293" s="1311"/>
      <c r="C293" s="39"/>
      <c r="D293" s="207">
        <v>2.6</v>
      </c>
      <c r="E293" s="206" t="s">
        <v>2811</v>
      </c>
      <c r="F293" s="1296"/>
      <c r="H293" s="1311"/>
      <c r="I293" s="1311"/>
      <c r="J293" s="1311"/>
      <c r="K293" s="1311"/>
      <c r="L293" s="1311"/>
      <c r="M293" s="1311"/>
      <c r="N293" s="1311"/>
      <c r="O293" s="1311"/>
      <c r="P293" s="1311"/>
      <c r="Q293" s="1311"/>
      <c r="R293" s="1311"/>
      <c r="S293" s="1311"/>
    </row>
    <row r="294" spans="1:19" ht="30.6" customHeight="1" x14ac:dyDescent="0.25">
      <c r="A294" s="1311"/>
      <c r="C294" s="39"/>
      <c r="D294" s="207"/>
      <c r="E294" s="39" t="s">
        <v>37</v>
      </c>
      <c r="F294" s="1296" t="s">
        <v>3441</v>
      </c>
      <c r="H294" s="1311"/>
      <c r="I294" s="1311"/>
      <c r="J294" s="1311"/>
      <c r="K294" s="1311"/>
      <c r="L294" s="1311"/>
      <c r="M294" s="1311"/>
      <c r="N294" s="1311"/>
      <c r="O294" s="1311"/>
      <c r="P294" s="1311"/>
      <c r="Q294" s="1311"/>
      <c r="R294" s="1311"/>
      <c r="S294" s="1311"/>
    </row>
    <row r="295" spans="1:19" ht="43.35" customHeight="1" x14ac:dyDescent="0.25">
      <c r="A295" s="1311"/>
      <c r="C295" s="39"/>
      <c r="D295" s="207"/>
      <c r="E295" s="39" t="s">
        <v>345</v>
      </c>
      <c r="F295" s="1296" t="s">
        <v>2078</v>
      </c>
      <c r="H295" s="1311"/>
      <c r="I295" s="1311"/>
      <c r="J295" s="1311"/>
      <c r="K295" s="1311"/>
      <c r="L295" s="1311"/>
      <c r="M295" s="1311"/>
      <c r="N295" s="1311"/>
      <c r="O295" s="1311"/>
      <c r="P295" s="1311"/>
      <c r="Q295" s="1311"/>
      <c r="R295" s="1311"/>
      <c r="S295" s="1311"/>
    </row>
    <row r="296" spans="1:19" ht="42.6" customHeight="1" x14ac:dyDescent="0.25">
      <c r="A296" s="1311"/>
      <c r="C296" s="39"/>
      <c r="D296" s="207"/>
      <c r="E296" s="39" t="s">
        <v>510</v>
      </c>
      <c r="F296" s="1296" t="s">
        <v>2079</v>
      </c>
      <c r="H296" s="1311"/>
      <c r="I296" s="1311"/>
      <c r="J296" s="1311"/>
      <c r="K296" s="1311"/>
      <c r="L296" s="1311"/>
      <c r="M296" s="1311"/>
      <c r="N296" s="1311"/>
      <c r="O296" s="1311"/>
      <c r="P296" s="1311"/>
      <c r="Q296" s="1311"/>
      <c r="R296" s="1311"/>
      <c r="S296" s="1311"/>
    </row>
    <row r="297" spans="1:19" ht="42.6" customHeight="1" x14ac:dyDescent="0.25">
      <c r="A297" s="1311"/>
      <c r="C297" s="39"/>
      <c r="D297" s="207"/>
      <c r="E297" s="39" t="s">
        <v>511</v>
      </c>
      <c r="F297" s="1296" t="s">
        <v>2080</v>
      </c>
      <c r="H297" s="1311"/>
      <c r="I297" s="1311"/>
      <c r="J297" s="1311"/>
      <c r="K297" s="1311"/>
      <c r="L297" s="1311"/>
      <c r="M297" s="1311"/>
      <c r="N297" s="1311"/>
      <c r="O297" s="1311"/>
      <c r="P297" s="1311"/>
      <c r="Q297" s="1311"/>
      <c r="R297" s="1311"/>
      <c r="S297" s="1311"/>
    </row>
    <row r="298" spans="1:19" ht="15" customHeight="1" x14ac:dyDescent="0.25">
      <c r="A298" s="1311"/>
      <c r="C298" s="39"/>
      <c r="D298" s="742" t="s">
        <v>3448</v>
      </c>
      <c r="E298" s="206" t="s">
        <v>1684</v>
      </c>
      <c r="F298" s="1296"/>
      <c r="H298" s="1311"/>
      <c r="I298" s="1311"/>
      <c r="J298" s="1311"/>
      <c r="K298" s="1311"/>
      <c r="L298" s="1311"/>
      <c r="M298" s="1311"/>
      <c r="N298" s="1311"/>
      <c r="O298" s="1311"/>
      <c r="P298" s="1311"/>
      <c r="Q298" s="1311"/>
      <c r="R298" s="1311"/>
      <c r="S298" s="1311"/>
    </row>
    <row r="299" spans="1:19" ht="36.6" customHeight="1" x14ac:dyDescent="0.25">
      <c r="A299" s="1311"/>
      <c r="C299" s="39"/>
      <c r="D299" s="1624"/>
      <c r="E299" s="39" t="s">
        <v>512</v>
      </c>
      <c r="F299" s="1296" t="s">
        <v>1690</v>
      </c>
      <c r="H299" s="1311"/>
      <c r="I299" s="1311"/>
      <c r="J299" s="1311"/>
      <c r="K299" s="1311"/>
      <c r="L299" s="1311"/>
      <c r="M299" s="1311"/>
      <c r="N299" s="1311"/>
      <c r="O299" s="1311"/>
      <c r="P299" s="1311"/>
      <c r="Q299" s="1311"/>
      <c r="R299" s="1311"/>
      <c r="S299" s="1311"/>
    </row>
    <row r="300" spans="1:19" ht="16.5" customHeight="1" x14ac:dyDescent="0.25">
      <c r="A300" s="1311"/>
      <c r="C300" s="39"/>
      <c r="D300" s="1624"/>
      <c r="E300" s="39" t="s">
        <v>514</v>
      </c>
      <c r="F300" s="1296" t="s">
        <v>1683</v>
      </c>
      <c r="H300" s="1311"/>
      <c r="I300" s="1311"/>
      <c r="J300" s="1311"/>
      <c r="K300" s="1311"/>
      <c r="L300" s="1311"/>
      <c r="M300" s="1311"/>
      <c r="N300" s="1311"/>
      <c r="O300" s="1311"/>
      <c r="P300" s="1311"/>
      <c r="Q300" s="1311"/>
      <c r="R300" s="1311"/>
      <c r="S300" s="1311"/>
    </row>
    <row r="301" spans="1:19" ht="41.25" customHeight="1" x14ac:dyDescent="0.25">
      <c r="A301" s="1311"/>
      <c r="C301" s="39"/>
      <c r="D301" s="1624"/>
      <c r="E301" s="39" t="s">
        <v>515</v>
      </c>
      <c r="F301" s="1296" t="s">
        <v>1685</v>
      </c>
      <c r="H301" s="1311"/>
      <c r="I301" s="1311"/>
      <c r="J301" s="1311"/>
      <c r="K301" s="1311"/>
      <c r="L301" s="1311"/>
      <c r="M301" s="1311"/>
      <c r="N301" s="1311"/>
      <c r="O301" s="1311"/>
      <c r="P301" s="1311"/>
      <c r="Q301" s="1311"/>
      <c r="R301" s="1311"/>
      <c r="S301" s="1311"/>
    </row>
    <row r="302" spans="1:19" ht="16.5" customHeight="1" x14ac:dyDescent="0.25">
      <c r="A302" s="1311"/>
      <c r="C302" s="39"/>
      <c r="D302" s="1624"/>
      <c r="E302" s="39" t="s">
        <v>1173</v>
      </c>
      <c r="F302" s="1296" t="s">
        <v>1695</v>
      </c>
      <c r="H302" s="1311"/>
      <c r="I302" s="1311"/>
      <c r="J302" s="1311"/>
      <c r="K302" s="1311"/>
      <c r="L302" s="1311"/>
      <c r="M302" s="1311"/>
      <c r="N302" s="1311"/>
      <c r="O302" s="1311"/>
      <c r="P302" s="1311"/>
      <c r="Q302" s="1311"/>
      <c r="R302" s="1311"/>
      <c r="S302" s="1311"/>
    </row>
    <row r="303" spans="1:19" ht="18.75" customHeight="1" x14ac:dyDescent="0.25">
      <c r="A303" s="1311"/>
      <c r="C303" s="39"/>
      <c r="D303" s="1632"/>
      <c r="E303" s="39"/>
      <c r="F303" s="1296" t="s">
        <v>1709</v>
      </c>
      <c r="H303" s="1311"/>
      <c r="I303" s="1311"/>
      <c r="J303" s="1311"/>
      <c r="K303" s="1311"/>
      <c r="L303" s="1311"/>
      <c r="M303" s="1311"/>
      <c r="N303" s="1311"/>
      <c r="O303" s="1311"/>
      <c r="P303" s="1311"/>
      <c r="Q303" s="1311"/>
      <c r="R303" s="1311"/>
      <c r="S303" s="1311"/>
    </row>
    <row r="304" spans="1:19" ht="18.75" customHeight="1" x14ac:dyDescent="0.25">
      <c r="A304" s="1311"/>
      <c r="C304" s="39"/>
      <c r="D304" s="1772"/>
      <c r="E304" s="4150" t="s">
        <v>3449</v>
      </c>
      <c r="F304" s="3364" t="s">
        <v>1738</v>
      </c>
      <c r="H304" s="1311"/>
      <c r="I304" s="1311"/>
      <c r="J304" s="1311"/>
      <c r="K304" s="1311"/>
      <c r="L304" s="1311"/>
      <c r="M304" s="1311"/>
      <c r="N304" s="1311"/>
      <c r="O304" s="1311"/>
      <c r="P304" s="1311"/>
      <c r="Q304" s="1311"/>
      <c r="R304" s="1311"/>
      <c r="S304" s="1311"/>
    </row>
    <row r="305" spans="1:19" ht="24" customHeight="1" x14ac:dyDescent="0.25">
      <c r="A305" s="1311"/>
      <c r="C305" s="39"/>
      <c r="D305" s="1624"/>
      <c r="E305" s="4150"/>
      <c r="F305" s="3364"/>
      <c r="H305" s="1311"/>
      <c r="I305" s="1311"/>
      <c r="J305" s="1311"/>
      <c r="K305" s="1311"/>
      <c r="L305" s="1311"/>
      <c r="M305" s="1311"/>
      <c r="N305" s="1311"/>
      <c r="O305" s="1311"/>
      <c r="P305" s="1311"/>
      <c r="Q305" s="1311"/>
      <c r="R305" s="1311"/>
      <c r="S305" s="1311"/>
    </row>
    <row r="306" spans="1:19" ht="16.5" customHeight="1" x14ac:dyDescent="0.25">
      <c r="A306" s="1311"/>
      <c r="C306" s="39"/>
      <c r="D306" s="1624"/>
      <c r="E306" s="39" t="s">
        <v>3450</v>
      </c>
      <c r="F306" s="1296" t="s">
        <v>1696</v>
      </c>
      <c r="H306" s="1311"/>
      <c r="I306" s="1311"/>
      <c r="J306" s="1311"/>
      <c r="K306" s="1311"/>
      <c r="L306" s="1311"/>
      <c r="M306" s="1311"/>
      <c r="N306" s="1311"/>
      <c r="O306" s="1311"/>
      <c r="P306" s="1311"/>
      <c r="Q306" s="1311"/>
      <c r="R306" s="1311"/>
      <c r="S306" s="1311"/>
    </row>
    <row r="307" spans="1:19" ht="40.5" customHeight="1" x14ac:dyDescent="0.25">
      <c r="A307" s="1311"/>
      <c r="E307" s="39" t="s">
        <v>3451</v>
      </c>
      <c r="F307" s="1296" t="s">
        <v>1692</v>
      </c>
      <c r="H307" s="1311"/>
      <c r="I307" s="1311"/>
      <c r="J307" s="1311"/>
      <c r="K307" s="1311"/>
      <c r="L307" s="1311"/>
      <c r="M307" s="1311"/>
      <c r="N307" s="1311"/>
      <c r="O307" s="1311"/>
      <c r="P307" s="1311"/>
      <c r="Q307" s="1311"/>
      <c r="R307" s="1311"/>
      <c r="S307" s="1311"/>
    </row>
    <row r="308" spans="1:19" ht="43.5" customHeight="1" x14ac:dyDescent="0.25">
      <c r="A308" s="1311"/>
      <c r="C308" s="39"/>
      <c r="D308" s="1624"/>
      <c r="E308" s="39" t="s">
        <v>3452</v>
      </c>
      <c r="F308" s="1296" t="s">
        <v>1693</v>
      </c>
      <c r="H308" s="1311"/>
      <c r="I308" s="1311"/>
      <c r="J308" s="1311"/>
      <c r="K308" s="1311"/>
      <c r="L308" s="1630"/>
      <c r="M308" s="1311"/>
      <c r="N308" s="1311"/>
      <c r="O308" s="1311"/>
      <c r="P308" s="1311"/>
      <c r="Q308" s="1311"/>
      <c r="R308" s="1311"/>
      <c r="S308" s="1311"/>
    </row>
    <row r="309" spans="1:19" ht="19.5" customHeight="1" x14ac:dyDescent="0.25">
      <c r="A309" s="1311"/>
      <c r="C309" s="39"/>
      <c r="D309" s="207"/>
      <c r="E309" s="39"/>
      <c r="F309" s="1296"/>
      <c r="H309" s="1311"/>
      <c r="I309" s="1311"/>
      <c r="J309" s="1311"/>
      <c r="K309" s="1311"/>
      <c r="L309" s="1311"/>
      <c r="M309" s="1311"/>
      <c r="N309" s="1311"/>
      <c r="O309" s="1311"/>
      <c r="P309" s="1311"/>
      <c r="Q309" s="1311"/>
      <c r="R309" s="1311"/>
      <c r="S309" s="1311"/>
    </row>
    <row r="310" spans="1:19" ht="5.25" customHeight="1" x14ac:dyDescent="0.25">
      <c r="A310" s="1311"/>
      <c r="C310" s="39"/>
      <c r="D310" s="207"/>
      <c r="E310" s="39"/>
      <c r="F310" s="1296"/>
      <c r="H310" s="1311"/>
      <c r="I310" s="1311"/>
      <c r="J310" s="1311"/>
      <c r="K310" s="1311"/>
      <c r="L310" s="1311"/>
      <c r="M310" s="1311"/>
      <c r="N310" s="1311"/>
      <c r="O310" s="1311"/>
      <c r="P310" s="1311"/>
      <c r="Q310" s="1311"/>
      <c r="R310" s="1311"/>
      <c r="S310" s="1311"/>
    </row>
    <row r="311" spans="1:19" s="747" customFormat="1" ht="39.9" customHeight="1" x14ac:dyDescent="0.25">
      <c r="A311" s="1311"/>
      <c r="C311" s="4147" t="s">
        <v>1238</v>
      </c>
      <c r="D311" s="4148"/>
      <c r="E311" s="4148"/>
      <c r="F311" s="4149"/>
      <c r="H311" s="1314"/>
      <c r="I311" s="1314"/>
      <c r="J311" s="1314"/>
      <c r="K311" s="1314"/>
      <c r="L311" s="1314"/>
      <c r="M311" s="1314"/>
      <c r="N311" s="1314"/>
      <c r="O311" s="1314"/>
      <c r="P311" s="1314"/>
      <c r="Q311" s="1314"/>
      <c r="R311" s="1314"/>
      <c r="S311" s="1314"/>
    </row>
    <row r="312" spans="1:19" ht="15.6" customHeight="1" x14ac:dyDescent="0.25">
      <c r="A312" s="1311"/>
      <c r="C312" s="1248"/>
      <c r="D312" s="39"/>
      <c r="E312" s="39"/>
      <c r="F312" s="1296"/>
      <c r="H312" s="1311"/>
      <c r="I312" s="1311"/>
      <c r="J312" s="1311"/>
      <c r="K312" s="1311"/>
      <c r="L312" s="1311"/>
      <c r="M312" s="1311"/>
      <c r="N312" s="1311"/>
      <c r="O312" s="1311"/>
      <c r="P312" s="1311"/>
      <c r="Q312" s="1311"/>
      <c r="R312" s="1311"/>
      <c r="S312" s="1311"/>
    </row>
    <row r="313" spans="1:19" ht="35.4" customHeight="1" x14ac:dyDescent="0.25">
      <c r="A313" s="1311"/>
      <c r="C313" s="1248"/>
      <c r="D313" s="4143" t="s">
        <v>2469</v>
      </c>
      <c r="E313" s="4144"/>
      <c r="F313" s="4145"/>
      <c r="H313" s="1311"/>
      <c r="I313" s="1311"/>
      <c r="J313" s="1311"/>
      <c r="K313" s="1311"/>
      <c r="L313" s="1311"/>
      <c r="M313" s="1311"/>
      <c r="N313" s="1311"/>
      <c r="O313" s="1311"/>
      <c r="P313" s="1311"/>
      <c r="Q313" s="1311"/>
      <c r="R313" s="1311"/>
      <c r="S313" s="1311"/>
    </row>
    <row r="314" spans="1:19" s="747" customFormat="1" ht="30" customHeight="1" x14ac:dyDescent="0.25">
      <c r="A314" s="1311"/>
      <c r="C314" s="1250"/>
      <c r="D314" s="4160" t="s">
        <v>2470</v>
      </c>
      <c r="E314" s="4161"/>
      <c r="F314" s="4162"/>
      <c r="H314" s="1314"/>
      <c r="I314" s="1314"/>
      <c r="J314" s="1314"/>
      <c r="K314" s="1314"/>
      <c r="L314" s="1314"/>
      <c r="M314" s="1314"/>
      <c r="N314" s="1314"/>
      <c r="O314" s="1314"/>
      <c r="P314" s="1314"/>
      <c r="Q314" s="1314"/>
      <c r="R314" s="1314"/>
      <c r="S314" s="1314"/>
    </row>
    <row r="315" spans="1:19" ht="31.95" customHeight="1" x14ac:dyDescent="0.25">
      <c r="A315" s="1311"/>
      <c r="C315" s="1248"/>
      <c r="D315" s="4134" t="s">
        <v>2471</v>
      </c>
      <c r="E315" s="4135"/>
      <c r="F315" s="4136"/>
      <c r="H315" s="1311"/>
      <c r="I315" s="1311"/>
      <c r="J315" s="1311"/>
      <c r="K315" s="1311"/>
      <c r="L315" s="1311"/>
      <c r="M315" s="1311"/>
      <c r="N315" s="1311"/>
      <c r="O315" s="1311"/>
      <c r="P315" s="1311"/>
      <c r="Q315" s="1311"/>
      <c r="R315" s="1311"/>
      <c r="S315" s="1311"/>
    </row>
    <row r="316" spans="1:19" ht="11.25" customHeight="1" x14ac:dyDescent="0.25">
      <c r="A316" s="1311"/>
      <c r="C316" s="1248"/>
      <c r="D316" s="39"/>
      <c r="E316" s="39"/>
      <c r="F316" s="1296"/>
      <c r="H316" s="1311"/>
      <c r="I316" s="1311"/>
      <c r="J316" s="1311"/>
      <c r="K316" s="1311"/>
      <c r="L316" s="1311"/>
      <c r="M316" s="1311"/>
      <c r="N316" s="1311"/>
      <c r="O316" s="1311"/>
      <c r="P316" s="1311"/>
      <c r="Q316" s="1311"/>
      <c r="R316" s="1311"/>
      <c r="S316" s="1311"/>
    </row>
    <row r="317" spans="1:19" ht="19.5" customHeight="1" x14ac:dyDescent="0.25">
      <c r="A317" s="1311"/>
      <c r="C317" s="380">
        <v>3</v>
      </c>
      <c r="D317" s="381" t="s">
        <v>1237</v>
      </c>
      <c r="E317" s="379"/>
      <c r="F317" s="1296"/>
      <c r="H317" s="1311"/>
      <c r="I317" s="1311"/>
      <c r="J317" s="1311"/>
      <c r="K317" s="1311"/>
      <c r="L317" s="1311"/>
      <c r="M317" s="1311"/>
      <c r="N317" s="1311"/>
      <c r="O317" s="1311"/>
      <c r="P317" s="1311"/>
      <c r="Q317" s="1311"/>
      <c r="R317" s="1311"/>
      <c r="S317" s="1311"/>
    </row>
    <row r="318" spans="1:19" ht="19.5" customHeight="1" x14ac:dyDescent="0.25">
      <c r="A318" s="1311"/>
      <c r="C318" s="380"/>
      <c r="D318" s="381" t="s">
        <v>1066</v>
      </c>
      <c r="E318" s="379"/>
      <c r="F318" s="1296"/>
      <c r="H318" s="1311"/>
      <c r="I318" s="1311"/>
      <c r="J318" s="1311"/>
      <c r="K318" s="1311"/>
      <c r="L318" s="1311"/>
      <c r="M318" s="1311"/>
      <c r="N318" s="1311"/>
      <c r="O318" s="1311"/>
      <c r="P318" s="1311"/>
      <c r="Q318" s="1311"/>
      <c r="R318" s="1311"/>
      <c r="S318" s="1311"/>
    </row>
    <row r="319" spans="1:19" ht="15" customHeight="1" x14ac:dyDescent="0.25">
      <c r="A319" s="1311"/>
      <c r="C319" s="39"/>
      <c r="D319" s="207">
        <v>3.1</v>
      </c>
      <c r="E319" s="206" t="s">
        <v>497</v>
      </c>
      <c r="F319" s="1296"/>
      <c r="H319" s="1311"/>
      <c r="I319" s="1311"/>
      <c r="J319" s="1311"/>
      <c r="K319" s="1311"/>
      <c r="L319" s="1311"/>
      <c r="M319" s="1311"/>
      <c r="N319" s="1311"/>
      <c r="O319" s="1311"/>
      <c r="P319" s="1311"/>
      <c r="Q319" s="1311"/>
      <c r="R319" s="1311"/>
      <c r="S319" s="1311"/>
    </row>
    <row r="320" spans="1:19" ht="15" customHeight="1" x14ac:dyDescent="0.25">
      <c r="A320" s="1311"/>
      <c r="C320" s="39"/>
      <c r="D320" s="207"/>
      <c r="E320" s="39" t="s">
        <v>158</v>
      </c>
      <c r="F320" s="1296" t="s">
        <v>873</v>
      </c>
      <c r="H320" s="1311"/>
      <c r="I320" s="1311"/>
      <c r="J320" s="1311"/>
      <c r="K320" s="1311"/>
      <c r="L320" s="1311"/>
      <c r="M320" s="1311"/>
      <c r="N320" s="1311"/>
      <c r="O320" s="1311"/>
      <c r="P320" s="1311"/>
      <c r="Q320" s="1311"/>
      <c r="R320" s="1311"/>
      <c r="S320" s="1311"/>
    </row>
    <row r="321" spans="1:19" ht="42" customHeight="1" x14ac:dyDescent="0.25">
      <c r="A321" s="1311"/>
      <c r="C321" s="39"/>
      <c r="D321" s="207"/>
      <c r="E321" s="39" t="s">
        <v>159</v>
      </c>
      <c r="F321" s="1296" t="s">
        <v>922</v>
      </c>
      <c r="H321" s="1311"/>
      <c r="I321" s="1311"/>
      <c r="J321" s="1311"/>
      <c r="K321" s="1311"/>
      <c r="L321" s="1311"/>
      <c r="M321" s="1311"/>
      <c r="N321" s="1311"/>
      <c r="O321" s="1311"/>
      <c r="P321" s="1311"/>
      <c r="Q321" s="1311"/>
      <c r="R321" s="1311"/>
      <c r="S321" s="1311"/>
    </row>
    <row r="322" spans="1:19" ht="27.9" customHeight="1" x14ac:dyDescent="0.25">
      <c r="A322" s="1311"/>
      <c r="C322" s="39"/>
      <c r="D322" s="207"/>
      <c r="E322" s="39" t="s">
        <v>160</v>
      </c>
      <c r="F322" s="1296" t="s">
        <v>874</v>
      </c>
      <c r="H322" s="1311"/>
      <c r="I322" s="1311"/>
      <c r="J322" s="1311"/>
      <c r="K322" s="1311"/>
      <c r="L322" s="1311"/>
      <c r="M322" s="1311"/>
      <c r="N322" s="1311"/>
      <c r="O322" s="1311"/>
      <c r="P322" s="1311"/>
      <c r="Q322" s="1311"/>
      <c r="R322" s="1311"/>
      <c r="S322" s="1311"/>
    </row>
    <row r="323" spans="1:19" ht="5.25" customHeight="1" x14ac:dyDescent="0.25">
      <c r="A323" s="1311"/>
      <c r="F323" s="1295"/>
      <c r="H323" s="1311"/>
      <c r="I323" s="1311"/>
      <c r="J323" s="1311"/>
      <c r="K323" s="1311"/>
      <c r="L323" s="1311"/>
      <c r="M323" s="1311"/>
      <c r="N323" s="1311"/>
      <c r="O323" s="1311"/>
      <c r="P323" s="1311"/>
      <c r="Q323" s="1311"/>
      <c r="R323" s="1311"/>
      <c r="S323" s="1311"/>
    </row>
    <row r="324" spans="1:19" ht="15" customHeight="1" x14ac:dyDescent="0.25">
      <c r="A324" s="1311"/>
      <c r="C324" s="39"/>
      <c r="D324" s="207">
        <v>3.2</v>
      </c>
      <c r="E324" s="206" t="s">
        <v>498</v>
      </c>
      <c r="F324" s="1296"/>
      <c r="H324" s="1311"/>
      <c r="I324" s="1311"/>
      <c r="J324" s="1311"/>
      <c r="K324" s="1311"/>
      <c r="L324" s="1311"/>
      <c r="M324" s="1311"/>
      <c r="N324" s="1311"/>
      <c r="O324" s="1311"/>
      <c r="P324" s="1311"/>
      <c r="Q324" s="1311"/>
      <c r="R324" s="1311"/>
      <c r="S324" s="1311"/>
    </row>
    <row r="325" spans="1:19" ht="27.9" customHeight="1" x14ac:dyDescent="0.25">
      <c r="A325" s="1311"/>
      <c r="C325" s="39"/>
      <c r="D325" s="207"/>
      <c r="E325" s="39" t="s">
        <v>161</v>
      </c>
      <c r="F325" s="1296" t="s">
        <v>1185</v>
      </c>
      <c r="H325" s="1311"/>
      <c r="I325" s="1311"/>
      <c r="J325" s="1311"/>
      <c r="K325" s="1311"/>
      <c r="L325" s="1311"/>
      <c r="M325" s="1311"/>
      <c r="N325" s="1311"/>
      <c r="O325" s="1311"/>
      <c r="P325" s="1311"/>
      <c r="Q325" s="1311"/>
      <c r="R325" s="1311"/>
      <c r="S325" s="1311"/>
    </row>
    <row r="326" spans="1:19" ht="27.9" customHeight="1" x14ac:dyDescent="0.25">
      <c r="A326" s="1311"/>
      <c r="C326" s="39"/>
      <c r="D326" s="207"/>
      <c r="E326" s="39" t="s">
        <v>162</v>
      </c>
      <c r="F326" s="1296" t="s">
        <v>1186</v>
      </c>
      <c r="H326" s="1311"/>
      <c r="I326" s="1311"/>
      <c r="J326" s="1311"/>
      <c r="K326" s="1311"/>
      <c r="L326" s="1311"/>
      <c r="M326" s="1311"/>
      <c r="N326" s="1311"/>
      <c r="O326" s="1311"/>
      <c r="P326" s="1311"/>
      <c r="Q326" s="1311"/>
      <c r="R326" s="1311"/>
      <c r="S326" s="1311"/>
    </row>
    <row r="327" spans="1:19" ht="15" customHeight="1" x14ac:dyDescent="0.25">
      <c r="A327" s="1311"/>
      <c r="C327" s="39"/>
      <c r="D327" s="207"/>
      <c r="E327" s="39" t="s">
        <v>163</v>
      </c>
      <c r="F327" s="1296" t="s">
        <v>923</v>
      </c>
      <c r="H327" s="1311"/>
      <c r="I327" s="1311"/>
      <c r="J327" s="1311"/>
      <c r="K327" s="1311"/>
      <c r="L327" s="1311"/>
      <c r="M327" s="1311"/>
      <c r="N327" s="1311"/>
      <c r="O327" s="1311"/>
      <c r="P327" s="1311"/>
      <c r="Q327" s="1311"/>
      <c r="R327" s="1311"/>
      <c r="S327" s="1311"/>
    </row>
    <row r="328" spans="1:19" ht="27.9" customHeight="1" x14ac:dyDescent="0.25">
      <c r="A328" s="1311"/>
      <c r="C328" s="39"/>
      <c r="D328" s="207"/>
      <c r="E328" s="39" t="s">
        <v>164</v>
      </c>
      <c r="F328" s="1296" t="s">
        <v>1187</v>
      </c>
      <c r="H328" s="1311"/>
      <c r="I328" s="1311"/>
      <c r="J328" s="1311"/>
      <c r="K328" s="1311"/>
      <c r="L328" s="1311"/>
      <c r="M328" s="1311"/>
      <c r="N328" s="1311"/>
      <c r="O328" s="1311"/>
      <c r="P328" s="1311"/>
      <c r="Q328" s="1311"/>
      <c r="R328" s="1311"/>
      <c r="S328" s="1311"/>
    </row>
    <row r="329" spans="1:19" ht="13.95" customHeight="1" x14ac:dyDescent="0.25">
      <c r="A329" s="1311"/>
      <c r="F329" s="1295"/>
      <c r="H329" s="1311"/>
      <c r="I329" s="1311"/>
      <c r="J329" s="1311"/>
      <c r="K329" s="1311"/>
      <c r="L329" s="1311"/>
      <c r="M329" s="1311"/>
      <c r="N329" s="1311"/>
      <c r="O329" s="1311"/>
      <c r="P329" s="1311"/>
      <c r="Q329" s="1311"/>
      <c r="R329" s="1311"/>
      <c r="S329" s="1311"/>
    </row>
    <row r="330" spans="1:19" ht="19.5" customHeight="1" x14ac:dyDescent="0.25">
      <c r="A330" s="1311"/>
      <c r="C330" s="380"/>
      <c r="D330" s="381" t="s">
        <v>1065</v>
      </c>
      <c r="E330" s="379"/>
      <c r="F330" s="1296"/>
      <c r="H330" s="1311"/>
      <c r="I330" s="1311"/>
      <c r="J330" s="1311"/>
      <c r="K330" s="1311"/>
      <c r="L330" s="1311"/>
      <c r="M330" s="1311"/>
      <c r="N330" s="1311"/>
      <c r="O330" s="1311"/>
      <c r="P330" s="1311"/>
      <c r="Q330" s="1311"/>
      <c r="R330" s="1311"/>
      <c r="S330" s="1311"/>
    </row>
    <row r="331" spans="1:19" ht="15" customHeight="1" x14ac:dyDescent="0.25">
      <c r="A331" s="1311"/>
      <c r="C331" s="39"/>
      <c r="D331" s="207">
        <v>3.4</v>
      </c>
      <c r="E331" s="206" t="s">
        <v>1469</v>
      </c>
      <c r="F331" s="1296"/>
      <c r="H331" s="1311"/>
      <c r="I331" s="1311"/>
      <c r="J331" s="1311"/>
      <c r="K331" s="1311"/>
      <c r="L331" s="1311"/>
      <c r="M331" s="1311"/>
      <c r="N331" s="1311"/>
      <c r="O331" s="1311"/>
      <c r="P331" s="1311"/>
      <c r="Q331" s="1311"/>
      <c r="R331" s="1311"/>
      <c r="S331" s="1311"/>
    </row>
    <row r="332" spans="1:19" ht="28.95" customHeight="1" x14ac:dyDescent="0.25">
      <c r="A332" s="1311"/>
      <c r="C332" s="39"/>
      <c r="D332" s="207"/>
      <c r="E332" s="39" t="s">
        <v>177</v>
      </c>
      <c r="F332" s="1296" t="s">
        <v>3455</v>
      </c>
      <c r="H332" s="1311"/>
      <c r="I332" s="1311"/>
      <c r="J332" s="1311"/>
      <c r="K332" s="1311"/>
      <c r="L332" s="1311"/>
      <c r="M332" s="1311"/>
      <c r="N332" s="1311"/>
      <c r="O332" s="1311"/>
      <c r="P332" s="1311"/>
      <c r="Q332" s="1311"/>
      <c r="R332" s="1311"/>
      <c r="S332" s="1311"/>
    </row>
    <row r="333" spans="1:19" ht="27.9" customHeight="1" x14ac:dyDescent="0.25">
      <c r="A333" s="1311"/>
      <c r="C333" s="39"/>
      <c r="D333" s="207"/>
      <c r="E333" s="39" t="s">
        <v>886</v>
      </c>
      <c r="F333" s="1296" t="s">
        <v>3454</v>
      </c>
      <c r="H333" s="1311"/>
      <c r="I333" s="1311"/>
      <c r="J333" s="1311"/>
      <c r="K333" s="1311"/>
      <c r="L333" s="1311"/>
      <c r="M333" s="1311"/>
      <c r="N333" s="1311"/>
      <c r="O333" s="1311"/>
      <c r="P333" s="1311"/>
      <c r="Q333" s="1311"/>
      <c r="R333" s="1311"/>
      <c r="S333" s="1311"/>
    </row>
    <row r="334" spans="1:19" ht="27.9" customHeight="1" x14ac:dyDescent="0.25">
      <c r="A334" s="1311"/>
      <c r="C334" s="39"/>
      <c r="D334" s="207"/>
      <c r="E334" s="1097" t="s">
        <v>896</v>
      </c>
      <c r="F334" s="1297" t="s">
        <v>924</v>
      </c>
      <c r="H334" s="1311"/>
      <c r="I334" s="1311"/>
      <c r="J334" s="1311"/>
      <c r="K334" s="1311"/>
      <c r="L334" s="1311"/>
      <c r="M334" s="1311"/>
      <c r="N334" s="1311"/>
      <c r="O334" s="1311"/>
      <c r="P334" s="1311"/>
      <c r="Q334" s="1311"/>
      <c r="R334" s="1311"/>
      <c r="S334" s="1311"/>
    </row>
    <row r="335" spans="1:19" ht="15" customHeight="1" x14ac:dyDescent="0.25">
      <c r="A335" s="1311"/>
      <c r="C335" s="39"/>
      <c r="D335" s="207"/>
      <c r="E335" s="1097" t="s">
        <v>897</v>
      </c>
      <c r="F335" s="1297" t="s">
        <v>875</v>
      </c>
      <c r="H335" s="1311"/>
      <c r="I335" s="1311"/>
      <c r="J335" s="1311"/>
      <c r="K335" s="1311"/>
      <c r="L335" s="1311"/>
      <c r="M335" s="1311"/>
      <c r="N335" s="1311"/>
      <c r="O335" s="1311"/>
      <c r="P335" s="1311"/>
      <c r="Q335" s="1311"/>
      <c r="R335" s="1311"/>
      <c r="S335" s="1311"/>
    </row>
    <row r="336" spans="1:19" ht="15" customHeight="1" x14ac:dyDescent="0.25">
      <c r="A336" s="1311"/>
      <c r="C336" s="39"/>
      <c r="D336" s="207"/>
      <c r="E336" s="39"/>
      <c r="F336" s="1300" t="s">
        <v>876</v>
      </c>
      <c r="H336" s="1311"/>
      <c r="I336" s="1311"/>
      <c r="J336" s="1311"/>
      <c r="K336" s="1311"/>
      <c r="L336" s="1311"/>
      <c r="M336" s="1311"/>
      <c r="N336" s="1311"/>
      <c r="O336" s="1311"/>
      <c r="P336" s="1311"/>
      <c r="Q336" s="1311"/>
      <c r="R336" s="1311"/>
      <c r="S336" s="1311"/>
    </row>
    <row r="337" spans="1:19" ht="15" customHeight="1" x14ac:dyDescent="0.25">
      <c r="A337" s="1311"/>
      <c r="C337" s="39"/>
      <c r="D337" s="207"/>
      <c r="E337" s="39"/>
      <c r="F337" s="1300" t="s">
        <v>877</v>
      </c>
      <c r="H337" s="1311"/>
      <c r="I337" s="1311"/>
      <c r="J337" s="1311"/>
      <c r="K337" s="1311"/>
      <c r="L337" s="1311"/>
      <c r="M337" s="1311"/>
      <c r="N337" s="1311"/>
      <c r="O337" s="1311"/>
      <c r="P337" s="1311"/>
      <c r="Q337" s="1311"/>
      <c r="R337" s="1311"/>
      <c r="S337" s="1311"/>
    </row>
    <row r="338" spans="1:19" ht="27.9" customHeight="1" x14ac:dyDescent="0.25">
      <c r="A338" s="1311"/>
      <c r="C338" s="39"/>
      <c r="D338" s="207"/>
      <c r="E338" s="39"/>
      <c r="F338" s="1300" t="s">
        <v>878</v>
      </c>
      <c r="H338" s="1311"/>
      <c r="I338" s="1311"/>
      <c r="J338" s="1311"/>
      <c r="K338" s="1311"/>
      <c r="L338" s="1311"/>
      <c r="M338" s="1311"/>
      <c r="N338" s="1311"/>
      <c r="O338" s="1311"/>
      <c r="P338" s="1311"/>
      <c r="Q338" s="1311"/>
      <c r="R338" s="1311"/>
      <c r="S338" s="1311"/>
    </row>
    <row r="339" spans="1:19" ht="34.35" customHeight="1" x14ac:dyDescent="0.25">
      <c r="A339" s="1311"/>
      <c r="C339" s="39"/>
      <c r="D339" s="207"/>
      <c r="E339" s="39"/>
      <c r="F339" s="1300" t="s">
        <v>879</v>
      </c>
      <c r="H339" s="1311"/>
      <c r="I339" s="1311"/>
      <c r="J339" s="1311"/>
      <c r="K339" s="1311"/>
      <c r="L339" s="1311"/>
      <c r="M339" s="1311"/>
      <c r="N339" s="1311"/>
      <c r="O339" s="1311"/>
      <c r="P339" s="1311"/>
      <c r="Q339" s="1311"/>
      <c r="R339" s="1311"/>
      <c r="S339" s="1311"/>
    </row>
    <row r="340" spans="1:19" ht="42" customHeight="1" x14ac:dyDescent="0.25">
      <c r="A340" s="1311"/>
      <c r="C340" s="39"/>
      <c r="D340" s="1673"/>
      <c r="E340" s="39"/>
      <c r="F340" s="1300" t="s">
        <v>1732</v>
      </c>
      <c r="H340" s="1311"/>
      <c r="I340" s="1311"/>
      <c r="J340" s="1311"/>
      <c r="K340" s="1311"/>
      <c r="L340" s="1311"/>
      <c r="M340" s="1311"/>
      <c r="N340" s="1311"/>
      <c r="O340" s="1311"/>
      <c r="P340" s="1311"/>
      <c r="Q340" s="1311"/>
      <c r="R340" s="1311"/>
      <c r="S340" s="1311"/>
    </row>
    <row r="341" spans="1:19" ht="21.6" customHeight="1" x14ac:dyDescent="0.25">
      <c r="A341" s="1311"/>
      <c r="C341" s="39"/>
      <c r="D341" s="207"/>
      <c r="E341" s="39"/>
      <c r="F341" s="1300" t="s">
        <v>517</v>
      </c>
      <c r="H341" s="1311"/>
      <c r="I341" s="1311"/>
      <c r="J341" s="1311"/>
      <c r="K341" s="1311"/>
      <c r="L341" s="1311"/>
      <c r="M341" s="1311"/>
      <c r="N341" s="1311"/>
      <c r="O341" s="1311"/>
      <c r="P341" s="1311"/>
      <c r="Q341" s="1311"/>
      <c r="R341" s="1311"/>
      <c r="S341" s="1311"/>
    </row>
    <row r="342" spans="1:19" ht="15" customHeight="1" x14ac:dyDescent="0.25">
      <c r="A342" s="1311"/>
      <c r="C342" s="39"/>
      <c r="D342" s="207"/>
      <c r="E342" s="1097" t="s">
        <v>898</v>
      </c>
      <c r="F342" s="1297" t="s">
        <v>880</v>
      </c>
      <c r="H342" s="1311"/>
      <c r="I342" s="1311"/>
      <c r="J342" s="1311"/>
      <c r="K342" s="1311"/>
      <c r="L342" s="1311"/>
      <c r="M342" s="1311"/>
      <c r="N342" s="1311"/>
      <c r="O342" s="1311"/>
      <c r="P342" s="1311"/>
      <c r="Q342" s="1311"/>
      <c r="R342" s="1311"/>
      <c r="S342" s="1311"/>
    </row>
    <row r="343" spans="1:19" ht="15" customHeight="1" x14ac:dyDescent="0.25">
      <c r="A343" s="1311"/>
      <c r="C343" s="39"/>
      <c r="D343" s="207"/>
      <c r="E343" s="39"/>
      <c r="F343" s="1300" t="s">
        <v>881</v>
      </c>
      <c r="H343" s="1311"/>
      <c r="I343" s="1311"/>
      <c r="J343" s="1311"/>
      <c r="K343" s="1311"/>
      <c r="L343" s="1311"/>
      <c r="M343" s="1311"/>
      <c r="N343" s="1311"/>
      <c r="O343" s="1311"/>
      <c r="P343" s="1311"/>
      <c r="Q343" s="1311"/>
      <c r="R343" s="1311"/>
      <c r="S343" s="1311"/>
    </row>
    <row r="344" spans="1:19" ht="27.9" customHeight="1" x14ac:dyDescent="0.25">
      <c r="A344" s="1311"/>
      <c r="C344" s="39"/>
      <c r="D344" s="207"/>
      <c r="E344" s="39"/>
      <c r="F344" s="1300" t="s">
        <v>882</v>
      </c>
      <c r="H344" s="1311"/>
      <c r="I344" s="1311"/>
      <c r="J344" s="1311"/>
      <c r="K344" s="1311"/>
      <c r="L344" s="1311"/>
      <c r="M344" s="1311"/>
      <c r="N344" s="1311"/>
      <c r="O344" s="1311"/>
      <c r="P344" s="1311"/>
      <c r="Q344" s="1311"/>
      <c r="R344" s="1311"/>
      <c r="S344" s="1311"/>
    </row>
    <row r="345" spans="1:19" ht="27.9" customHeight="1" x14ac:dyDescent="0.25">
      <c r="A345" s="1311"/>
      <c r="C345" s="39"/>
      <c r="D345" s="207"/>
      <c r="E345" s="39"/>
      <c r="F345" s="1300" t="s">
        <v>883</v>
      </c>
      <c r="H345" s="1311"/>
      <c r="I345" s="1311"/>
      <c r="J345" s="1311"/>
      <c r="K345" s="1311"/>
      <c r="L345" s="1311"/>
      <c r="M345" s="1311"/>
      <c r="N345" s="1311"/>
      <c r="O345" s="1311"/>
      <c r="P345" s="1311"/>
      <c r="Q345" s="1311"/>
      <c r="R345" s="1311"/>
      <c r="S345" s="1311"/>
    </row>
    <row r="346" spans="1:19" ht="15" customHeight="1" x14ac:dyDescent="0.25">
      <c r="A346" s="1311"/>
      <c r="C346" s="39"/>
      <c r="D346" s="1673"/>
      <c r="E346" s="39"/>
      <c r="F346" s="1300" t="s">
        <v>1733</v>
      </c>
      <c r="H346" s="1311"/>
      <c r="I346" s="1311"/>
      <c r="J346" s="1311"/>
      <c r="K346" s="1311"/>
      <c r="L346" s="1311"/>
      <c r="M346" s="1311"/>
      <c r="N346" s="1311"/>
      <c r="O346" s="1311"/>
      <c r="P346" s="1311"/>
      <c r="Q346" s="1311"/>
      <c r="R346" s="1311"/>
      <c r="S346" s="1311"/>
    </row>
    <row r="347" spans="1:19" ht="15" customHeight="1" x14ac:dyDescent="0.25">
      <c r="A347" s="1311"/>
      <c r="C347" s="39"/>
      <c r="D347" s="207"/>
      <c r="E347" s="39"/>
      <c r="F347" s="1300" t="s">
        <v>516</v>
      </c>
      <c r="H347" s="1311"/>
      <c r="I347" s="1311"/>
      <c r="J347" s="1311"/>
      <c r="K347" s="1311"/>
      <c r="L347" s="1311"/>
      <c r="M347" s="1311"/>
      <c r="N347" s="1311"/>
      <c r="O347" s="1311"/>
      <c r="P347" s="1311"/>
      <c r="Q347" s="1311"/>
      <c r="R347" s="1311"/>
      <c r="S347" s="1311"/>
    </row>
    <row r="348" spans="1:19" ht="34.35" customHeight="1" x14ac:dyDescent="0.25">
      <c r="A348" s="1311"/>
      <c r="C348" s="39"/>
      <c r="D348" s="207"/>
      <c r="E348" s="39" t="s">
        <v>1188</v>
      </c>
      <c r="F348" s="1296" t="s">
        <v>165</v>
      </c>
      <c r="H348" s="1311"/>
      <c r="I348" s="1311"/>
      <c r="J348" s="1311"/>
      <c r="K348" s="1311"/>
      <c r="L348" s="1311"/>
      <c r="M348" s="1311"/>
      <c r="N348" s="1311"/>
      <c r="O348" s="1311"/>
      <c r="P348" s="1311"/>
      <c r="Q348" s="1311"/>
      <c r="R348" s="1311"/>
      <c r="S348" s="1311"/>
    </row>
    <row r="349" spans="1:19" ht="20.399999999999999" customHeight="1" x14ac:dyDescent="0.25">
      <c r="A349" s="1311"/>
      <c r="C349" s="39"/>
      <c r="D349" s="207"/>
      <c r="E349" s="39" t="s">
        <v>1378</v>
      </c>
      <c r="F349" s="1296" t="s">
        <v>1735</v>
      </c>
      <c r="H349" s="1311"/>
      <c r="I349" s="1311"/>
      <c r="J349" s="1311"/>
      <c r="K349" s="1311"/>
      <c r="L349" s="1311"/>
      <c r="M349" s="1311"/>
      <c r="N349" s="1311"/>
      <c r="O349" s="1311"/>
      <c r="P349" s="1311"/>
      <c r="Q349" s="1311"/>
      <c r="R349" s="1311"/>
      <c r="S349" s="1311"/>
    </row>
    <row r="350" spans="1:19" ht="78.75" customHeight="1" x14ac:dyDescent="0.25">
      <c r="A350" s="1311"/>
      <c r="C350" s="39"/>
      <c r="D350" s="1673"/>
      <c r="E350" s="39" t="s">
        <v>1734</v>
      </c>
      <c r="F350" s="1296" t="s">
        <v>1736</v>
      </c>
      <c r="H350" s="1311"/>
      <c r="I350" s="1311"/>
      <c r="J350" s="1311"/>
      <c r="K350" s="1311"/>
      <c r="L350" s="1311"/>
      <c r="M350" s="1311"/>
      <c r="N350" s="1311"/>
      <c r="O350" s="1311"/>
      <c r="P350" s="1311"/>
      <c r="Q350" s="1311"/>
      <c r="R350" s="1311"/>
      <c r="S350" s="1311"/>
    </row>
    <row r="351" spans="1:19" ht="5.25" customHeight="1" x14ac:dyDescent="0.25">
      <c r="A351" s="1311"/>
      <c r="F351" s="1295"/>
      <c r="H351" s="1311"/>
      <c r="I351" s="1311"/>
      <c r="J351" s="1311"/>
      <c r="K351" s="1311"/>
      <c r="L351" s="1311"/>
      <c r="M351" s="1311"/>
      <c r="N351" s="1311"/>
      <c r="O351" s="1311"/>
      <c r="P351" s="1311"/>
      <c r="Q351" s="1311"/>
      <c r="R351" s="1311"/>
      <c r="S351" s="1311"/>
    </row>
    <row r="352" spans="1:19" ht="15" customHeight="1" x14ac:dyDescent="0.25">
      <c r="A352" s="1311"/>
      <c r="C352" s="39"/>
      <c r="D352" s="742" t="s">
        <v>1329</v>
      </c>
      <c r="E352" s="206" t="s">
        <v>528</v>
      </c>
      <c r="F352" s="1296"/>
      <c r="H352" s="1311"/>
      <c r="I352" s="1311"/>
      <c r="J352" s="1311"/>
      <c r="K352" s="1311"/>
      <c r="L352" s="1311"/>
      <c r="M352" s="1311"/>
      <c r="N352" s="1311"/>
      <c r="O352" s="1311"/>
      <c r="P352" s="1311"/>
      <c r="Q352" s="1311"/>
      <c r="R352" s="1311"/>
      <c r="S352" s="1311"/>
    </row>
    <row r="353" spans="1:19" ht="15" customHeight="1" x14ac:dyDescent="0.25">
      <c r="A353" s="1311"/>
      <c r="C353" s="39"/>
      <c r="D353" s="207"/>
      <c r="E353" s="1097" t="s">
        <v>178</v>
      </c>
      <c r="F353" s="1297" t="s">
        <v>925</v>
      </c>
      <c r="H353" s="1311"/>
      <c r="I353" s="1311"/>
      <c r="J353" s="1311"/>
      <c r="K353" s="1311"/>
      <c r="L353" s="1311"/>
      <c r="M353" s="1311"/>
      <c r="N353" s="1311"/>
      <c r="O353" s="1311"/>
      <c r="P353" s="1311"/>
      <c r="Q353" s="1311"/>
      <c r="R353" s="1311"/>
      <c r="S353" s="1311"/>
    </row>
    <row r="354" spans="1:19" ht="27.9" customHeight="1" x14ac:dyDescent="0.25">
      <c r="A354" s="1311"/>
      <c r="C354" s="39"/>
      <c r="D354" s="207"/>
      <c r="E354" s="1097" t="s">
        <v>179</v>
      </c>
      <c r="F354" s="1297" t="s">
        <v>3456</v>
      </c>
      <c r="H354" s="1311"/>
      <c r="I354" s="1311"/>
      <c r="J354" s="1311"/>
      <c r="K354" s="1311"/>
      <c r="L354" s="1311"/>
      <c r="M354" s="1311"/>
      <c r="N354" s="1311"/>
      <c r="O354" s="1311"/>
      <c r="P354" s="1311"/>
      <c r="Q354" s="1311"/>
      <c r="R354" s="1311"/>
      <c r="S354" s="1311"/>
    </row>
    <row r="355" spans="1:19" ht="15" customHeight="1" x14ac:dyDescent="0.25">
      <c r="A355" s="1311"/>
      <c r="C355" s="39"/>
      <c r="D355" s="207"/>
      <c r="E355" s="39" t="s">
        <v>1330</v>
      </c>
      <c r="F355" s="1296" t="s">
        <v>904</v>
      </c>
      <c r="H355" s="1311"/>
      <c r="I355" s="1311"/>
      <c r="J355" s="1311"/>
      <c r="K355" s="1311"/>
      <c r="L355" s="1311"/>
      <c r="M355" s="1311"/>
      <c r="N355" s="1311"/>
      <c r="O355" s="1311"/>
      <c r="P355" s="1311"/>
      <c r="Q355" s="1311"/>
      <c r="R355" s="1311"/>
      <c r="S355" s="1311"/>
    </row>
    <row r="356" spans="1:19" ht="27.9" customHeight="1" x14ac:dyDescent="0.25">
      <c r="A356" s="1311"/>
      <c r="C356" s="39"/>
      <c r="D356" s="207"/>
      <c r="E356" s="39" t="s">
        <v>1331</v>
      </c>
      <c r="F356" s="1296" t="s">
        <v>2491</v>
      </c>
      <c r="H356" s="1311"/>
      <c r="I356" s="1311"/>
      <c r="J356" s="1311"/>
      <c r="K356" s="1311"/>
      <c r="L356" s="1311"/>
      <c r="M356" s="1311"/>
      <c r="N356" s="1311"/>
      <c r="O356" s="1311"/>
      <c r="P356" s="1311"/>
      <c r="Q356" s="1311"/>
      <c r="R356" s="1311"/>
      <c r="S356" s="1311"/>
    </row>
    <row r="357" spans="1:19" ht="27.9" customHeight="1" x14ac:dyDescent="0.25">
      <c r="A357" s="1311"/>
      <c r="C357" s="39"/>
      <c r="D357" s="207"/>
      <c r="E357" s="39" t="s">
        <v>1332</v>
      </c>
      <c r="F357" s="1296" t="s">
        <v>2490</v>
      </c>
      <c r="H357" s="1311"/>
      <c r="I357" s="1311"/>
      <c r="J357" s="1311"/>
      <c r="K357" s="1311"/>
      <c r="L357" s="1311"/>
      <c r="M357" s="1311"/>
      <c r="N357" s="1311"/>
      <c r="O357" s="1311"/>
      <c r="P357" s="1311"/>
      <c r="Q357" s="1311"/>
      <c r="R357" s="1311"/>
      <c r="S357" s="1311"/>
    </row>
    <row r="358" spans="1:19" ht="5.25" customHeight="1" x14ac:dyDescent="0.25">
      <c r="A358" s="1311"/>
      <c r="F358" s="1295"/>
      <c r="H358" s="1311"/>
      <c r="I358" s="1311"/>
      <c r="J358" s="1311"/>
      <c r="K358" s="1311"/>
      <c r="L358" s="1311"/>
      <c r="M358" s="1311"/>
      <c r="N358" s="1311"/>
      <c r="O358" s="1311"/>
      <c r="P358" s="1311"/>
      <c r="Q358" s="1311"/>
      <c r="R358" s="1311"/>
      <c r="S358" s="1311"/>
    </row>
    <row r="359" spans="1:19" ht="15" customHeight="1" x14ac:dyDescent="0.25">
      <c r="A359" s="1311"/>
      <c r="C359" s="39"/>
      <c r="D359" s="207">
        <v>3.6</v>
      </c>
      <c r="E359" s="206" t="s">
        <v>884</v>
      </c>
      <c r="F359" s="1296"/>
      <c r="H359" s="1311"/>
      <c r="I359" s="1311"/>
      <c r="J359" s="1311"/>
      <c r="K359" s="1311"/>
      <c r="L359" s="1311"/>
      <c r="M359" s="1311"/>
      <c r="N359" s="1311"/>
      <c r="O359" s="1311"/>
      <c r="P359" s="1311"/>
      <c r="Q359" s="1311"/>
      <c r="R359" s="1311"/>
      <c r="S359" s="1311"/>
    </row>
    <row r="360" spans="1:19" ht="15" customHeight="1" x14ac:dyDescent="0.25">
      <c r="A360" s="1311"/>
      <c r="C360" s="39"/>
      <c r="D360" s="207"/>
      <c r="E360" s="39" t="s">
        <v>180</v>
      </c>
      <c r="F360" s="1296" t="s">
        <v>885</v>
      </c>
      <c r="H360" s="1311"/>
      <c r="I360" s="1311"/>
      <c r="J360" s="1311"/>
      <c r="K360" s="1311"/>
      <c r="L360" s="1311"/>
      <c r="M360" s="1311"/>
      <c r="N360" s="1311"/>
      <c r="O360" s="1311"/>
      <c r="P360" s="1311"/>
      <c r="Q360" s="1311"/>
      <c r="R360" s="1311"/>
      <c r="S360" s="1311"/>
    </row>
    <row r="361" spans="1:19" ht="15" customHeight="1" x14ac:dyDescent="0.25">
      <c r="A361" s="1311"/>
      <c r="C361" s="39"/>
      <c r="D361" s="207"/>
      <c r="E361" s="39" t="s">
        <v>181</v>
      </c>
      <c r="F361" s="1296" t="s">
        <v>1447</v>
      </c>
      <c r="H361" s="1311"/>
      <c r="I361" s="1311"/>
      <c r="J361" s="1311"/>
      <c r="K361" s="1311"/>
      <c r="L361" s="1311"/>
      <c r="M361" s="1311"/>
      <c r="N361" s="1311"/>
      <c r="O361" s="1311"/>
      <c r="P361" s="1311"/>
      <c r="Q361" s="1311"/>
      <c r="R361" s="1311"/>
      <c r="S361" s="1311"/>
    </row>
    <row r="362" spans="1:19" ht="5.25" customHeight="1" x14ac:dyDescent="0.25">
      <c r="A362" s="1311"/>
      <c r="F362" s="1295"/>
      <c r="H362" s="1311"/>
      <c r="I362" s="1311"/>
      <c r="J362" s="1311"/>
      <c r="K362" s="1311"/>
      <c r="L362" s="1311"/>
      <c r="M362" s="1311"/>
      <c r="N362" s="1311"/>
      <c r="O362" s="1311"/>
      <c r="P362" s="1311"/>
      <c r="Q362" s="1311"/>
      <c r="R362" s="1311"/>
      <c r="S362" s="1311"/>
    </row>
    <row r="363" spans="1:19" ht="15" customHeight="1" x14ac:dyDescent="0.25">
      <c r="A363" s="1311"/>
      <c r="C363" s="39"/>
      <c r="D363" s="207">
        <v>3.7</v>
      </c>
      <c r="E363" s="206" t="s">
        <v>887</v>
      </c>
      <c r="F363" s="1296"/>
      <c r="H363" s="1311"/>
      <c r="I363" s="1311"/>
      <c r="J363" s="1311"/>
      <c r="K363" s="1311"/>
      <c r="L363" s="1311"/>
      <c r="M363" s="1311"/>
      <c r="N363" s="1311"/>
      <c r="O363" s="1311"/>
      <c r="P363" s="1311"/>
      <c r="Q363" s="1311"/>
      <c r="R363" s="1311"/>
      <c r="S363" s="1311"/>
    </row>
    <row r="364" spans="1:19" ht="27.9" customHeight="1" x14ac:dyDescent="0.25">
      <c r="A364" s="1311"/>
      <c r="C364" s="39"/>
      <c r="D364" s="207"/>
      <c r="E364" s="39" t="s">
        <v>183</v>
      </c>
      <c r="F364" s="1296" t="s">
        <v>1448</v>
      </c>
      <c r="H364" s="1311"/>
      <c r="I364" s="1311"/>
      <c r="J364" s="1311"/>
      <c r="K364" s="1311"/>
      <c r="L364" s="1311"/>
      <c r="M364" s="1311"/>
      <c r="N364" s="1311"/>
      <c r="O364" s="1311"/>
      <c r="P364" s="1311"/>
      <c r="Q364" s="1311"/>
      <c r="R364" s="1311"/>
      <c r="S364" s="1311"/>
    </row>
    <row r="365" spans="1:19" ht="27.9" customHeight="1" x14ac:dyDescent="0.25">
      <c r="A365" s="1311"/>
      <c r="C365" s="39"/>
      <c r="D365" s="207"/>
      <c r="E365" s="39" t="s">
        <v>1450</v>
      </c>
      <c r="F365" s="1296" t="s">
        <v>1449</v>
      </c>
      <c r="H365" s="1311"/>
      <c r="I365" s="1311"/>
      <c r="J365" s="1311"/>
      <c r="K365" s="1311"/>
      <c r="L365" s="1311"/>
      <c r="M365" s="1311"/>
      <c r="N365" s="1311"/>
      <c r="O365" s="1311"/>
      <c r="P365" s="1311"/>
      <c r="Q365" s="1311"/>
      <c r="R365" s="1311"/>
      <c r="S365" s="1311"/>
    </row>
    <row r="366" spans="1:19" ht="5.25" customHeight="1" x14ac:dyDescent="0.25">
      <c r="A366" s="1311"/>
      <c r="F366" s="1295"/>
      <c r="H366" s="1311"/>
      <c r="I366" s="1311"/>
      <c r="J366" s="1311"/>
      <c r="K366" s="1311"/>
      <c r="L366" s="1311"/>
      <c r="M366" s="1311"/>
      <c r="N366" s="1311"/>
      <c r="O366" s="1311"/>
      <c r="P366" s="1311"/>
      <c r="Q366" s="1311"/>
      <c r="R366" s="1311"/>
      <c r="S366" s="1311"/>
    </row>
    <row r="367" spans="1:19" ht="15" customHeight="1" x14ac:dyDescent="0.25">
      <c r="A367" s="1311"/>
      <c r="C367" s="39"/>
      <c r="D367" s="207">
        <v>3.8</v>
      </c>
      <c r="E367" s="206" t="s">
        <v>3457</v>
      </c>
      <c r="F367" s="1296"/>
      <c r="H367" s="1311"/>
      <c r="I367" s="1311"/>
      <c r="J367" s="1311"/>
      <c r="K367" s="1311"/>
      <c r="L367" s="1311"/>
      <c r="M367" s="1311"/>
      <c r="N367" s="1311"/>
      <c r="O367" s="1311"/>
      <c r="P367" s="1311"/>
      <c r="Q367" s="1311"/>
      <c r="R367" s="1311"/>
      <c r="S367" s="1311"/>
    </row>
    <row r="368" spans="1:19" ht="27.9" customHeight="1" x14ac:dyDescent="0.25">
      <c r="A368" s="1311"/>
      <c r="C368" s="39"/>
      <c r="D368" s="207"/>
      <c r="E368" s="39" t="s">
        <v>185</v>
      </c>
      <c r="F368" s="1296" t="s">
        <v>3458</v>
      </c>
      <c r="H368" s="1311"/>
      <c r="I368" s="1311"/>
      <c r="J368" s="1311"/>
      <c r="K368" s="1311"/>
      <c r="L368" s="1311"/>
      <c r="M368" s="1311"/>
      <c r="N368" s="1311"/>
      <c r="O368" s="1311"/>
      <c r="P368" s="1311"/>
      <c r="Q368" s="1311"/>
      <c r="R368" s="1311"/>
      <c r="S368" s="1311"/>
    </row>
    <row r="369" spans="1:19" ht="20.399999999999999" customHeight="1" x14ac:dyDescent="0.25">
      <c r="A369" s="1311"/>
      <c r="C369" s="39"/>
      <c r="D369" s="207"/>
      <c r="E369" s="39" t="s">
        <v>899</v>
      </c>
      <c r="F369" s="1296" t="s">
        <v>519</v>
      </c>
      <c r="H369" s="1311"/>
      <c r="I369" s="1311"/>
      <c r="J369" s="1311"/>
      <c r="K369" s="1311"/>
      <c r="L369" s="1311"/>
      <c r="M369" s="1311"/>
      <c r="N369" s="1311"/>
      <c r="O369" s="1311"/>
      <c r="P369" s="1311"/>
      <c r="Q369" s="1311"/>
      <c r="R369" s="1311"/>
      <c r="S369" s="1311"/>
    </row>
    <row r="370" spans="1:19" ht="5.25" customHeight="1" x14ac:dyDescent="0.25">
      <c r="A370" s="1311"/>
      <c r="F370" s="1295"/>
      <c r="H370" s="1311"/>
      <c r="I370" s="1311"/>
      <c r="J370" s="1311"/>
      <c r="K370" s="1311"/>
      <c r="L370" s="1311"/>
      <c r="M370" s="1311"/>
      <c r="N370" s="1311"/>
      <c r="O370" s="1311"/>
      <c r="P370" s="1311"/>
      <c r="Q370" s="1311"/>
      <c r="R370" s="1311"/>
      <c r="S370" s="1311"/>
    </row>
    <row r="371" spans="1:19" ht="15" customHeight="1" x14ac:dyDescent="0.25">
      <c r="A371" s="1311"/>
      <c r="C371" s="39"/>
      <c r="D371" s="742" t="s">
        <v>900</v>
      </c>
      <c r="E371" s="206" t="s">
        <v>3459</v>
      </c>
      <c r="F371" s="1296"/>
      <c r="H371" s="1311"/>
      <c r="I371" s="1311"/>
      <c r="J371" s="1311"/>
      <c r="K371" s="1311"/>
      <c r="L371" s="1311"/>
      <c r="M371" s="1311"/>
      <c r="N371" s="1311"/>
      <c r="O371" s="1311"/>
      <c r="P371" s="1311"/>
      <c r="Q371" s="1311"/>
      <c r="R371" s="1311"/>
      <c r="S371" s="1311"/>
    </row>
    <row r="372" spans="1:19" ht="27.9" customHeight="1" x14ac:dyDescent="0.25">
      <c r="A372" s="1311"/>
      <c r="C372" s="39"/>
      <c r="D372" s="207"/>
      <c r="E372" s="39" t="s">
        <v>518</v>
      </c>
      <c r="F372" s="1296" t="s">
        <v>1326</v>
      </c>
      <c r="H372" s="1311"/>
      <c r="I372" s="1311"/>
      <c r="J372" s="1311"/>
      <c r="K372" s="1311"/>
      <c r="L372" s="1311"/>
      <c r="M372" s="1311"/>
      <c r="N372" s="1311"/>
      <c r="O372" s="1311"/>
      <c r="P372" s="1311"/>
      <c r="Q372" s="1311"/>
      <c r="R372" s="1311"/>
      <c r="S372" s="1311"/>
    </row>
    <row r="373" spans="1:19" ht="5.25" customHeight="1" x14ac:dyDescent="0.25">
      <c r="A373" s="1311"/>
      <c r="F373" s="1295"/>
      <c r="H373" s="1311"/>
      <c r="I373" s="1311"/>
      <c r="J373" s="1311"/>
      <c r="K373" s="1311"/>
      <c r="L373" s="1311"/>
      <c r="M373" s="1311"/>
      <c r="N373" s="1311"/>
      <c r="O373" s="1311"/>
      <c r="P373" s="1311"/>
      <c r="Q373" s="1311"/>
      <c r="R373" s="1311"/>
      <c r="S373" s="1311"/>
    </row>
    <row r="374" spans="1:19" ht="15" customHeight="1" x14ac:dyDescent="0.25">
      <c r="A374" s="1311"/>
      <c r="C374" s="39"/>
      <c r="D374" s="742" t="s">
        <v>520</v>
      </c>
      <c r="E374" s="206" t="s">
        <v>120</v>
      </c>
      <c r="F374" s="1296"/>
      <c r="H374" s="1311"/>
      <c r="I374" s="1311"/>
      <c r="J374" s="1311"/>
      <c r="K374" s="1311"/>
      <c r="L374" s="1311"/>
      <c r="M374" s="1311"/>
      <c r="N374" s="1311"/>
      <c r="O374" s="1311"/>
      <c r="P374" s="1311"/>
      <c r="Q374" s="1311"/>
      <c r="R374" s="1311"/>
      <c r="S374" s="1311"/>
    </row>
    <row r="375" spans="1:19" ht="15" customHeight="1" x14ac:dyDescent="0.25">
      <c r="A375" s="1311"/>
      <c r="C375" s="39"/>
      <c r="D375" s="207"/>
      <c r="E375" s="39" t="s">
        <v>521</v>
      </c>
      <c r="F375" s="1296" t="s">
        <v>522</v>
      </c>
      <c r="H375" s="1311"/>
      <c r="I375" s="1311"/>
      <c r="J375" s="1311"/>
      <c r="K375" s="1311"/>
      <c r="L375" s="1311"/>
      <c r="M375" s="1311"/>
      <c r="N375" s="1311"/>
      <c r="O375" s="1311"/>
      <c r="P375" s="1311"/>
      <c r="Q375" s="1311"/>
      <c r="R375" s="1311"/>
      <c r="S375" s="1311"/>
    </row>
    <row r="376" spans="1:19" ht="42" customHeight="1" x14ac:dyDescent="0.25">
      <c r="A376" s="1311"/>
      <c r="C376" s="39"/>
      <c r="D376" s="207"/>
      <c r="E376" s="39" t="s">
        <v>901</v>
      </c>
      <c r="F376" s="1296" t="s">
        <v>1327</v>
      </c>
      <c r="H376" s="1311"/>
      <c r="I376" s="1311"/>
      <c r="J376" s="1311"/>
      <c r="K376" s="1311"/>
      <c r="L376" s="1311"/>
      <c r="M376" s="1311"/>
      <c r="N376" s="1311"/>
      <c r="O376" s="1311"/>
      <c r="P376" s="1311"/>
      <c r="Q376" s="1311"/>
      <c r="R376" s="1311"/>
      <c r="S376" s="1311"/>
    </row>
    <row r="377" spans="1:19" x14ac:dyDescent="0.25">
      <c r="A377" s="1311"/>
      <c r="F377" s="1295"/>
      <c r="H377" s="1311"/>
      <c r="I377" s="1311"/>
      <c r="J377" s="1311"/>
      <c r="K377" s="1311"/>
      <c r="L377" s="1311"/>
      <c r="M377" s="1311"/>
      <c r="N377" s="1311"/>
      <c r="O377" s="1311"/>
      <c r="P377" s="1311"/>
      <c r="Q377" s="1311"/>
      <c r="R377" s="1311"/>
      <c r="S377" s="1311"/>
    </row>
    <row r="378" spans="1:19" ht="5.25" customHeight="1" x14ac:dyDescent="0.25">
      <c r="A378" s="1311"/>
      <c r="F378" s="1295"/>
      <c r="H378" s="1311"/>
      <c r="I378" s="1311"/>
      <c r="J378" s="1311"/>
      <c r="K378" s="1311"/>
      <c r="L378" s="1311"/>
      <c r="M378" s="1311"/>
      <c r="N378" s="1311"/>
      <c r="O378" s="1311"/>
      <c r="P378" s="1311"/>
      <c r="Q378" s="1311"/>
      <c r="R378" s="1311"/>
      <c r="S378" s="1311"/>
    </row>
    <row r="379" spans="1:19" ht="19.5" customHeight="1" x14ac:dyDescent="0.25">
      <c r="A379" s="1311"/>
      <c r="C379" s="380"/>
      <c r="D379" s="381" t="s">
        <v>1063</v>
      </c>
      <c r="E379" s="379"/>
      <c r="F379" s="1296"/>
      <c r="H379" s="1311"/>
      <c r="I379" s="1311"/>
      <c r="J379" s="1311"/>
      <c r="K379" s="1311"/>
      <c r="L379" s="1311"/>
      <c r="M379" s="1311"/>
      <c r="N379" s="1311"/>
      <c r="O379" s="1311"/>
      <c r="P379" s="1311"/>
      <c r="Q379" s="1311"/>
      <c r="R379" s="1311"/>
      <c r="S379" s="1311"/>
    </row>
    <row r="380" spans="1:19" ht="16.5" customHeight="1" x14ac:dyDescent="0.25">
      <c r="A380" s="1311"/>
      <c r="C380" s="39"/>
      <c r="D380" s="742" t="s">
        <v>523</v>
      </c>
      <c r="E380" s="206" t="s">
        <v>1328</v>
      </c>
      <c r="F380" s="1296"/>
      <c r="H380" s="1311"/>
      <c r="I380" s="1311"/>
      <c r="J380" s="1311"/>
      <c r="K380" s="1311"/>
      <c r="L380" s="1311"/>
      <c r="M380" s="1311"/>
      <c r="N380" s="1311"/>
      <c r="O380" s="1311"/>
      <c r="P380" s="1311"/>
      <c r="Q380" s="1311"/>
      <c r="R380" s="1311"/>
      <c r="S380" s="1311"/>
    </row>
    <row r="381" spans="1:19" ht="15" customHeight="1" x14ac:dyDescent="0.25">
      <c r="A381" s="1311"/>
      <c r="C381" s="39"/>
      <c r="D381" s="207"/>
      <c r="E381" s="1097" t="s">
        <v>524</v>
      </c>
      <c r="F381" s="1297" t="s">
        <v>3460</v>
      </c>
      <c r="H381" s="1311"/>
      <c r="I381" s="1311"/>
      <c r="J381" s="1311"/>
      <c r="K381" s="1311"/>
      <c r="L381" s="1311"/>
      <c r="M381" s="1311"/>
      <c r="N381" s="1311"/>
      <c r="O381" s="1311"/>
      <c r="P381" s="1311"/>
      <c r="Q381" s="1311"/>
      <c r="R381" s="1311"/>
      <c r="S381" s="1311"/>
    </row>
    <row r="382" spans="1:19" ht="27.9" customHeight="1" x14ac:dyDescent="0.25">
      <c r="A382" s="1311"/>
      <c r="C382" s="39"/>
      <c r="D382" s="207"/>
      <c r="E382" s="1097" t="s">
        <v>525</v>
      </c>
      <c r="F382" s="1297" t="s">
        <v>3461</v>
      </c>
      <c r="H382" s="1311"/>
      <c r="I382" s="1311"/>
      <c r="J382" s="1311"/>
      <c r="K382" s="1311"/>
      <c r="L382" s="1311"/>
      <c r="M382" s="1311"/>
      <c r="N382" s="1311"/>
      <c r="O382" s="1311"/>
      <c r="P382" s="1311"/>
      <c r="Q382" s="1311"/>
      <c r="R382" s="1311"/>
      <c r="S382" s="1311"/>
    </row>
    <row r="383" spans="1:19" ht="30" customHeight="1" x14ac:dyDescent="0.25">
      <c r="A383" s="1311"/>
      <c r="C383" s="39"/>
      <c r="D383" s="742"/>
      <c r="E383" s="39" t="s">
        <v>902</v>
      </c>
      <c r="F383" s="1296" t="s">
        <v>526</v>
      </c>
      <c r="H383" s="1311"/>
      <c r="I383" s="1311"/>
      <c r="J383" s="1311"/>
      <c r="K383" s="1311"/>
      <c r="L383" s="1311"/>
      <c r="M383" s="1311"/>
      <c r="N383" s="1311"/>
      <c r="O383" s="1311"/>
      <c r="P383" s="1311"/>
      <c r="Q383" s="1311"/>
      <c r="R383" s="1311"/>
      <c r="S383" s="1311"/>
    </row>
    <row r="384" spans="1:19" ht="28.35" customHeight="1" x14ac:dyDescent="0.25">
      <c r="A384" s="1311"/>
      <c r="C384" s="39"/>
      <c r="D384" s="207"/>
      <c r="E384" s="39" t="s">
        <v>903</v>
      </c>
      <c r="F384" s="1296" t="s">
        <v>3464</v>
      </c>
      <c r="H384" s="1311"/>
      <c r="I384" s="1311"/>
      <c r="J384" s="1311"/>
      <c r="K384" s="1311"/>
      <c r="L384" s="1311"/>
      <c r="M384" s="1311"/>
      <c r="N384" s="1311"/>
      <c r="O384" s="1311"/>
      <c r="P384" s="1311"/>
      <c r="Q384" s="1311"/>
      <c r="R384" s="1311"/>
      <c r="S384" s="1311"/>
    </row>
    <row r="385" spans="1:19" ht="27.9" customHeight="1" x14ac:dyDescent="0.25">
      <c r="A385" s="1311"/>
      <c r="C385" s="39"/>
      <c r="D385" s="207"/>
      <c r="E385" s="39" t="s">
        <v>3463</v>
      </c>
      <c r="F385" s="1296" t="s">
        <v>3465</v>
      </c>
      <c r="H385" s="1311"/>
      <c r="I385" s="1311"/>
      <c r="J385" s="1311"/>
      <c r="K385" s="1311"/>
      <c r="L385" s="1311"/>
      <c r="M385" s="1311"/>
      <c r="N385" s="1311"/>
      <c r="O385" s="1311"/>
      <c r="P385" s="1311"/>
      <c r="Q385" s="1311"/>
      <c r="R385" s="1311"/>
      <c r="S385" s="1311"/>
    </row>
    <row r="386" spans="1:19" ht="27.9" customHeight="1" x14ac:dyDescent="0.25">
      <c r="A386" s="1311"/>
      <c r="C386" s="39"/>
      <c r="D386" s="2818"/>
      <c r="E386" s="39" t="s">
        <v>3466</v>
      </c>
      <c r="F386" s="1296" t="s">
        <v>1336</v>
      </c>
      <c r="H386" s="1311"/>
      <c r="I386" s="1311"/>
      <c r="J386" s="1311"/>
      <c r="K386" s="1311"/>
      <c r="L386" s="1311"/>
      <c r="M386" s="1311"/>
      <c r="N386" s="1311"/>
      <c r="O386" s="1311"/>
      <c r="P386" s="1311"/>
      <c r="Q386" s="1311"/>
      <c r="R386" s="1311"/>
      <c r="S386" s="1311"/>
    </row>
    <row r="387" spans="1:19" ht="8.4" customHeight="1" x14ac:dyDescent="0.25">
      <c r="A387" s="1311"/>
      <c r="F387" s="1295"/>
      <c r="H387" s="1311"/>
      <c r="I387" s="1311"/>
      <c r="J387" s="1311"/>
      <c r="K387" s="1311"/>
      <c r="L387" s="1311"/>
      <c r="M387" s="1311"/>
      <c r="N387" s="1311"/>
      <c r="O387" s="1311"/>
      <c r="P387" s="1311"/>
      <c r="Q387" s="1311"/>
      <c r="R387" s="1311"/>
      <c r="S387" s="1311"/>
    </row>
    <row r="388" spans="1:19" ht="16.5" customHeight="1" x14ac:dyDescent="0.25">
      <c r="A388" s="1311"/>
      <c r="C388" s="39"/>
      <c r="D388" s="742" t="s">
        <v>530</v>
      </c>
      <c r="E388" s="206" t="s">
        <v>1333</v>
      </c>
      <c r="F388" s="1296"/>
      <c r="H388" s="1311"/>
      <c r="I388" s="1311"/>
      <c r="J388" s="1311"/>
      <c r="K388" s="1311"/>
      <c r="L388" s="1311"/>
      <c r="M388" s="1311"/>
      <c r="N388" s="1311"/>
      <c r="O388" s="1311"/>
      <c r="P388" s="1311"/>
      <c r="Q388" s="1311"/>
      <c r="R388" s="1311"/>
      <c r="S388" s="1311"/>
    </row>
    <row r="389" spans="1:19" ht="27.9" customHeight="1" x14ac:dyDescent="0.25">
      <c r="A389" s="1311"/>
      <c r="C389" s="39"/>
      <c r="D389" s="207"/>
      <c r="E389" s="1097" t="s">
        <v>531</v>
      </c>
      <c r="F389" s="1297" t="s">
        <v>1053</v>
      </c>
      <c r="H389" s="1311"/>
      <c r="I389" s="1311"/>
      <c r="J389" s="1311"/>
      <c r="K389" s="1311"/>
      <c r="L389" s="1311"/>
      <c r="M389" s="1311"/>
      <c r="N389" s="1311"/>
      <c r="O389" s="1311"/>
      <c r="P389" s="1311"/>
      <c r="Q389" s="1311"/>
      <c r="R389" s="1311"/>
      <c r="S389" s="1311"/>
    </row>
    <row r="390" spans="1:19" ht="15" customHeight="1" x14ac:dyDescent="0.25">
      <c r="A390" s="1311"/>
      <c r="C390" s="39"/>
      <c r="D390" s="207"/>
      <c r="E390" s="39" t="s">
        <v>532</v>
      </c>
      <c r="F390" s="1296" t="s">
        <v>1334</v>
      </c>
      <c r="H390" s="1311"/>
      <c r="I390" s="1311"/>
      <c r="J390" s="1311"/>
      <c r="K390" s="1311"/>
      <c r="L390" s="1311"/>
      <c r="M390" s="1311"/>
      <c r="N390" s="1311"/>
      <c r="O390" s="1311"/>
      <c r="P390" s="1311"/>
      <c r="Q390" s="1311"/>
      <c r="R390" s="1311"/>
      <c r="S390" s="1311"/>
    </row>
    <row r="391" spans="1:19" ht="15" customHeight="1" x14ac:dyDescent="0.25">
      <c r="A391" s="1311"/>
      <c r="C391" s="39"/>
      <c r="D391" s="207"/>
      <c r="E391" s="1097" t="s">
        <v>533</v>
      </c>
      <c r="F391" s="1297" t="s">
        <v>1335</v>
      </c>
      <c r="H391" s="1311"/>
      <c r="I391" s="1311"/>
      <c r="J391" s="1311"/>
      <c r="K391" s="1311"/>
      <c r="L391" s="1311"/>
      <c r="M391" s="1311"/>
      <c r="N391" s="1311"/>
      <c r="O391" s="1311"/>
      <c r="P391" s="1311"/>
      <c r="Q391" s="1311"/>
      <c r="R391" s="1311"/>
      <c r="S391" s="1311"/>
    </row>
    <row r="392" spans="1:19" ht="42" customHeight="1" x14ac:dyDescent="0.25">
      <c r="A392" s="1311"/>
      <c r="C392" s="39"/>
      <c r="D392" s="207"/>
      <c r="E392" s="1097" t="s">
        <v>1451</v>
      </c>
      <c r="F392" s="1363" t="s">
        <v>1452</v>
      </c>
      <c r="H392" s="1311"/>
      <c r="I392" s="1311"/>
      <c r="J392" s="1311"/>
      <c r="K392" s="1311"/>
      <c r="L392" s="1311"/>
      <c r="M392" s="1311"/>
      <c r="N392" s="1311"/>
      <c r="O392" s="1311"/>
      <c r="P392" s="1311"/>
      <c r="Q392" s="1311"/>
      <c r="R392" s="1311"/>
      <c r="S392" s="1311"/>
    </row>
    <row r="393" spans="1:19" ht="7.95" customHeight="1" x14ac:dyDescent="0.25">
      <c r="A393" s="1311"/>
      <c r="C393" s="39"/>
      <c r="D393" s="207"/>
      <c r="E393" s="1097"/>
      <c r="F393" s="1297"/>
      <c r="H393" s="1311"/>
      <c r="I393" s="1311"/>
      <c r="J393" s="1311"/>
      <c r="K393" s="1311"/>
      <c r="L393" s="1311"/>
      <c r="M393" s="1311"/>
      <c r="N393" s="1311"/>
      <c r="O393" s="1311"/>
      <c r="P393" s="1311"/>
      <c r="Q393" s="1311"/>
      <c r="R393" s="1311"/>
      <c r="S393" s="1311"/>
    </row>
    <row r="394" spans="1:19" ht="15" customHeight="1" x14ac:dyDescent="0.25">
      <c r="A394" s="1311"/>
      <c r="F394" s="1295"/>
      <c r="H394" s="1311"/>
      <c r="I394" s="1311"/>
      <c r="J394" s="1311"/>
      <c r="K394" s="1311"/>
      <c r="L394" s="1311"/>
      <c r="M394" s="1311"/>
      <c r="N394" s="1311"/>
      <c r="O394" s="1311"/>
      <c r="P394" s="1311"/>
      <c r="Q394" s="1311"/>
      <c r="R394" s="1311"/>
      <c r="S394" s="1311"/>
    </row>
    <row r="395" spans="1:19" ht="19.5" customHeight="1" x14ac:dyDescent="0.25">
      <c r="A395" s="1311"/>
      <c r="C395" s="380"/>
      <c r="D395" s="381" t="s">
        <v>1064</v>
      </c>
      <c r="E395" s="379"/>
      <c r="F395" s="1296"/>
      <c r="H395" s="1311"/>
      <c r="I395" s="1311"/>
      <c r="J395" s="1311"/>
      <c r="K395" s="1311"/>
      <c r="L395" s="1311"/>
      <c r="M395" s="1311"/>
      <c r="N395" s="1311"/>
      <c r="O395" s="1311"/>
      <c r="P395" s="1311"/>
      <c r="Q395" s="1311"/>
      <c r="R395" s="1311"/>
      <c r="S395" s="1311"/>
    </row>
    <row r="396" spans="1:19" ht="15" customHeight="1" x14ac:dyDescent="0.25">
      <c r="A396" s="1311"/>
      <c r="C396" s="39"/>
      <c r="D396" s="742" t="s">
        <v>534</v>
      </c>
      <c r="E396" s="206" t="s">
        <v>1328</v>
      </c>
      <c r="F396" s="1296"/>
      <c r="H396" s="1311"/>
      <c r="I396" s="1311"/>
      <c r="J396" s="1311"/>
      <c r="K396" s="1311"/>
      <c r="L396" s="1311"/>
      <c r="M396" s="1311"/>
      <c r="N396" s="1311"/>
      <c r="O396" s="1311"/>
      <c r="P396" s="1311"/>
      <c r="Q396" s="1311"/>
      <c r="R396" s="1311"/>
      <c r="S396" s="1311"/>
    </row>
    <row r="397" spans="1:19" ht="15" customHeight="1" x14ac:dyDescent="0.25">
      <c r="A397" s="1311"/>
      <c r="C397" s="39"/>
      <c r="D397" s="207"/>
      <c r="E397" s="1097" t="s">
        <v>535</v>
      </c>
      <c r="F397" s="1297" t="s">
        <v>1337</v>
      </c>
      <c r="H397" s="1311"/>
      <c r="I397" s="1311"/>
      <c r="J397" s="1311"/>
      <c r="K397" s="1311"/>
      <c r="L397" s="1311"/>
      <c r="M397" s="1311"/>
      <c r="N397" s="1311"/>
      <c r="O397" s="1311"/>
      <c r="P397" s="1311"/>
      <c r="Q397" s="1311"/>
      <c r="R397" s="1311"/>
      <c r="S397" s="1311"/>
    </row>
    <row r="398" spans="1:19" ht="27.9" customHeight="1" x14ac:dyDescent="0.25">
      <c r="A398" s="1311"/>
      <c r="C398" s="39"/>
      <c r="D398" s="207"/>
      <c r="E398" s="1104" t="s">
        <v>536</v>
      </c>
      <c r="F398" s="1296" t="s">
        <v>526</v>
      </c>
      <c r="H398" s="1311"/>
      <c r="I398" s="1311"/>
      <c r="J398" s="1311"/>
      <c r="K398" s="1311"/>
      <c r="L398" s="1311"/>
      <c r="M398" s="1311"/>
      <c r="N398" s="1311"/>
      <c r="O398" s="1311"/>
      <c r="P398" s="1311"/>
      <c r="Q398" s="1311"/>
      <c r="R398" s="1311"/>
      <c r="S398" s="1311"/>
    </row>
    <row r="399" spans="1:19" ht="21" customHeight="1" x14ac:dyDescent="0.25">
      <c r="A399" s="1311"/>
      <c r="C399" s="39"/>
      <c r="D399" s="207"/>
      <c r="E399" s="1104" t="s">
        <v>537</v>
      </c>
      <c r="F399" s="1296" t="s">
        <v>3462</v>
      </c>
      <c r="H399" s="1311"/>
      <c r="I399" s="1311"/>
      <c r="J399" s="1311"/>
      <c r="K399" s="1311"/>
      <c r="L399" s="1311"/>
      <c r="M399" s="1311"/>
      <c r="N399" s="1311"/>
      <c r="O399" s="1311"/>
      <c r="P399" s="1311"/>
      <c r="Q399" s="1311"/>
      <c r="R399" s="1311"/>
      <c r="S399" s="1311"/>
    </row>
    <row r="400" spans="1:19" ht="31.95" customHeight="1" x14ac:dyDescent="0.25">
      <c r="A400" s="1311"/>
      <c r="C400" s="39"/>
      <c r="D400" s="207"/>
      <c r="E400" s="1104" t="s">
        <v>906</v>
      </c>
      <c r="F400" s="1296" t="s">
        <v>1336</v>
      </c>
      <c r="H400" s="1311"/>
      <c r="I400" s="1311"/>
      <c r="J400" s="1311"/>
      <c r="K400" s="1311"/>
      <c r="L400" s="1311"/>
      <c r="M400" s="1311"/>
      <c r="N400" s="1311"/>
      <c r="O400" s="1311"/>
      <c r="P400" s="1311"/>
      <c r="Q400" s="1311"/>
      <c r="R400" s="1311"/>
      <c r="S400" s="1311"/>
    </row>
    <row r="401" spans="1:19" ht="42" customHeight="1" x14ac:dyDescent="0.25">
      <c r="A401" s="1311"/>
      <c r="C401" s="39"/>
      <c r="D401" s="207"/>
      <c r="E401" s="1097" t="s">
        <v>1453</v>
      </c>
      <c r="F401" s="1363" t="s">
        <v>1452</v>
      </c>
      <c r="H401" s="1311"/>
      <c r="I401" s="1311"/>
      <c r="J401" s="1311"/>
      <c r="K401" s="1311"/>
      <c r="L401" s="1311"/>
      <c r="M401" s="1311"/>
      <c r="N401" s="1311"/>
      <c r="O401" s="1311"/>
      <c r="P401" s="1311"/>
      <c r="Q401" s="1311"/>
      <c r="R401" s="1311"/>
      <c r="S401" s="1311"/>
    </row>
    <row r="402" spans="1:19" ht="9.6" customHeight="1" x14ac:dyDescent="0.25">
      <c r="A402" s="1311"/>
      <c r="F402" s="1295"/>
      <c r="H402" s="1311"/>
      <c r="I402" s="1311"/>
      <c r="J402" s="1311"/>
      <c r="K402" s="1311"/>
      <c r="L402" s="1311"/>
      <c r="M402" s="1311"/>
      <c r="N402" s="1311"/>
      <c r="O402" s="1311"/>
      <c r="P402" s="1311"/>
      <c r="Q402" s="1311"/>
      <c r="R402" s="1311"/>
      <c r="S402" s="1311"/>
    </row>
    <row r="403" spans="1:19" ht="15" customHeight="1" x14ac:dyDescent="0.25">
      <c r="A403" s="1311"/>
      <c r="C403" s="39"/>
      <c r="D403" s="742" t="s">
        <v>539</v>
      </c>
      <c r="E403" s="206" t="s">
        <v>1338</v>
      </c>
      <c r="F403" s="1296"/>
      <c r="H403" s="1311"/>
      <c r="I403" s="1311"/>
      <c r="J403" s="1311"/>
      <c r="K403" s="1311"/>
      <c r="L403" s="1311"/>
      <c r="M403" s="1311"/>
      <c r="N403" s="1311"/>
      <c r="O403" s="1311"/>
      <c r="P403" s="1311"/>
      <c r="Q403" s="1311"/>
      <c r="R403" s="1311"/>
      <c r="S403" s="1311"/>
    </row>
    <row r="404" spans="1:19" ht="27.9" customHeight="1" x14ac:dyDescent="0.25">
      <c r="A404" s="1311"/>
      <c r="C404" s="39"/>
      <c r="D404" s="207"/>
      <c r="E404" s="1097" t="s">
        <v>540</v>
      </c>
      <c r="F404" s="1297" t="s">
        <v>1340</v>
      </c>
      <c r="H404" s="1311"/>
      <c r="I404" s="1311"/>
      <c r="J404" s="1311"/>
      <c r="K404" s="1311"/>
      <c r="L404" s="1311"/>
      <c r="M404" s="1311"/>
      <c r="N404" s="1311"/>
      <c r="O404" s="1311"/>
      <c r="P404" s="1311"/>
      <c r="Q404" s="1311"/>
      <c r="R404" s="1311"/>
      <c r="S404" s="1311"/>
    </row>
    <row r="405" spans="1:19" ht="15" customHeight="1" x14ac:dyDescent="0.25">
      <c r="A405" s="1311"/>
      <c r="C405" s="39"/>
      <c r="D405" s="207"/>
      <c r="E405" s="39" t="s">
        <v>541</v>
      </c>
      <c r="F405" s="1296" t="s">
        <v>1463</v>
      </c>
      <c r="H405" s="1311"/>
      <c r="I405" s="1311"/>
      <c r="J405" s="1311"/>
      <c r="K405" s="1311"/>
      <c r="L405" s="1311"/>
      <c r="M405" s="1311"/>
      <c r="N405" s="1311"/>
      <c r="O405" s="1311"/>
      <c r="P405" s="1311"/>
      <c r="Q405" s="1311"/>
      <c r="R405" s="1311"/>
      <c r="S405" s="1311"/>
    </row>
    <row r="406" spans="1:19" ht="27.9" customHeight="1" x14ac:dyDescent="0.25">
      <c r="A406" s="1311"/>
      <c r="C406" s="39"/>
      <c r="D406" s="207"/>
      <c r="E406" s="39" t="s">
        <v>542</v>
      </c>
      <c r="F406" s="1296" t="s">
        <v>1341</v>
      </c>
      <c r="H406" s="1311"/>
      <c r="I406" s="1311"/>
      <c r="J406" s="1311"/>
      <c r="K406" s="1311"/>
      <c r="L406" s="1311"/>
      <c r="M406" s="1311"/>
      <c r="N406" s="1311"/>
      <c r="O406" s="1311"/>
      <c r="P406" s="1311"/>
      <c r="Q406" s="1311"/>
      <c r="R406" s="1311"/>
      <c r="S406" s="1311"/>
    </row>
    <row r="407" spans="1:19" ht="27.9" customHeight="1" x14ac:dyDescent="0.25">
      <c r="A407" s="1311"/>
      <c r="C407" s="39"/>
      <c r="D407" s="207"/>
      <c r="E407" s="39" t="s">
        <v>543</v>
      </c>
      <c r="F407" s="1296" t="s">
        <v>1342</v>
      </c>
      <c r="H407" s="1311"/>
      <c r="I407" s="1311"/>
      <c r="J407" s="1311"/>
      <c r="K407" s="1311"/>
      <c r="L407" s="1311"/>
      <c r="M407" s="1311"/>
      <c r="N407" s="1311"/>
      <c r="O407" s="1311"/>
      <c r="P407" s="1311"/>
      <c r="Q407" s="1311"/>
      <c r="R407" s="1311"/>
      <c r="S407" s="1311"/>
    </row>
    <row r="408" spans="1:19" ht="27.9" customHeight="1" x14ac:dyDescent="0.25">
      <c r="A408" s="1311"/>
      <c r="C408" s="39"/>
      <c r="D408" s="207"/>
      <c r="E408" s="39" t="s">
        <v>544</v>
      </c>
      <c r="F408" s="1296" t="s">
        <v>1054</v>
      </c>
      <c r="H408" s="1311"/>
      <c r="I408" s="1311"/>
      <c r="J408" s="1311"/>
      <c r="K408" s="1311"/>
      <c r="L408" s="1311"/>
      <c r="M408" s="1311"/>
      <c r="N408" s="1311"/>
      <c r="O408" s="1311"/>
      <c r="P408" s="1311"/>
      <c r="Q408" s="1311"/>
      <c r="R408" s="1311"/>
      <c r="S408" s="1311"/>
    </row>
    <row r="409" spans="1:19" ht="5.25" customHeight="1" x14ac:dyDescent="0.25">
      <c r="A409" s="1311"/>
      <c r="F409" s="1295"/>
      <c r="H409" s="1311"/>
      <c r="I409" s="1311"/>
      <c r="J409" s="1311"/>
      <c r="K409" s="1311"/>
      <c r="L409" s="1311"/>
      <c r="M409" s="1311"/>
      <c r="N409" s="1311"/>
      <c r="O409" s="1311"/>
      <c r="P409" s="1311"/>
      <c r="Q409" s="1311"/>
      <c r="R409" s="1311"/>
      <c r="S409" s="1311"/>
    </row>
    <row r="410" spans="1:19" ht="15" customHeight="1" x14ac:dyDescent="0.25">
      <c r="A410" s="1311"/>
      <c r="C410" s="39"/>
      <c r="D410" s="742" t="s">
        <v>545</v>
      </c>
      <c r="E410" s="206" t="s">
        <v>1343</v>
      </c>
      <c r="F410" s="1296"/>
      <c r="H410" s="1311"/>
      <c r="I410" s="1311"/>
      <c r="J410" s="1311"/>
      <c r="K410" s="1311"/>
      <c r="L410" s="1311"/>
      <c r="M410" s="1311"/>
      <c r="N410" s="1311"/>
      <c r="O410" s="1311"/>
      <c r="P410" s="1311"/>
      <c r="Q410" s="1311"/>
      <c r="R410" s="1311"/>
      <c r="S410" s="1311"/>
    </row>
    <row r="411" spans="1:19" ht="15" customHeight="1" x14ac:dyDescent="0.25">
      <c r="A411" s="1311"/>
      <c r="C411" s="39"/>
      <c r="D411" s="207"/>
      <c r="E411" s="1097" t="s">
        <v>546</v>
      </c>
      <c r="F411" s="1297" t="s">
        <v>554</v>
      </c>
      <c r="H411" s="1311"/>
      <c r="I411" s="1311"/>
      <c r="J411" s="1311"/>
      <c r="K411" s="1311"/>
      <c r="L411" s="1311"/>
      <c r="M411" s="1311"/>
      <c r="N411" s="1311"/>
      <c r="O411" s="1311"/>
      <c r="P411" s="1311"/>
      <c r="Q411" s="1311"/>
      <c r="R411" s="1311"/>
      <c r="S411" s="1311"/>
    </row>
    <row r="412" spans="1:19" ht="15" customHeight="1" x14ac:dyDescent="0.25">
      <c r="A412" s="1311"/>
      <c r="C412" s="39"/>
      <c r="D412" s="207"/>
      <c r="E412" s="1097" t="s">
        <v>547</v>
      </c>
      <c r="F412" s="1297" t="s">
        <v>555</v>
      </c>
      <c r="H412" s="1311"/>
      <c r="I412" s="1311"/>
      <c r="J412" s="1311"/>
      <c r="K412" s="1311"/>
      <c r="L412" s="1311"/>
      <c r="M412" s="1311"/>
      <c r="N412" s="1311"/>
      <c r="O412" s="1311"/>
      <c r="P412" s="1311"/>
      <c r="Q412" s="1311"/>
      <c r="R412" s="1311"/>
      <c r="S412" s="1311"/>
    </row>
    <row r="413" spans="1:19" ht="27.9" customHeight="1" x14ac:dyDescent="0.25">
      <c r="A413" s="1311"/>
      <c r="C413" s="39"/>
      <c r="D413" s="207"/>
      <c r="E413" s="1104" t="s">
        <v>548</v>
      </c>
      <c r="F413" s="1296" t="s">
        <v>166</v>
      </c>
      <c r="H413" s="1311"/>
      <c r="I413" s="1311"/>
      <c r="J413" s="1311"/>
      <c r="K413" s="1311"/>
      <c r="L413" s="1311"/>
      <c r="M413" s="1311"/>
      <c r="N413" s="1311"/>
      <c r="O413" s="1311"/>
      <c r="P413" s="1311"/>
      <c r="Q413" s="1311"/>
      <c r="R413" s="1311"/>
      <c r="S413" s="1311"/>
    </row>
    <row r="414" spans="1:19" ht="27.9" customHeight="1" x14ac:dyDescent="0.25">
      <c r="A414" s="1311"/>
      <c r="C414" s="39"/>
      <c r="D414" s="207"/>
      <c r="E414" s="1104" t="s">
        <v>549</v>
      </c>
      <c r="F414" s="1296" t="s">
        <v>905</v>
      </c>
      <c r="H414" s="1311"/>
      <c r="I414" s="1311"/>
      <c r="J414" s="1311"/>
      <c r="K414" s="1311"/>
      <c r="L414" s="1311"/>
      <c r="M414" s="1311"/>
      <c r="N414" s="1311"/>
      <c r="O414" s="1311"/>
      <c r="P414" s="1311"/>
      <c r="Q414" s="1311"/>
      <c r="R414" s="1311"/>
      <c r="S414" s="1311"/>
    </row>
    <row r="415" spans="1:19" ht="27.9" customHeight="1" x14ac:dyDescent="0.25">
      <c r="A415" s="1311"/>
      <c r="C415" s="39"/>
      <c r="D415" s="207"/>
      <c r="E415" s="1104" t="s">
        <v>550</v>
      </c>
      <c r="F415" s="1296" t="s">
        <v>186</v>
      </c>
      <c r="H415" s="1311"/>
      <c r="I415" s="1311"/>
      <c r="J415" s="1311"/>
      <c r="K415" s="1311"/>
      <c r="L415" s="1311"/>
      <c r="M415" s="1311"/>
      <c r="N415" s="1311"/>
      <c r="O415" s="1311"/>
      <c r="P415" s="1311"/>
      <c r="Q415" s="1311"/>
      <c r="R415" s="1311"/>
      <c r="S415" s="1311"/>
    </row>
    <row r="416" spans="1:19" ht="27.9" customHeight="1" x14ac:dyDescent="0.25">
      <c r="A416" s="1311"/>
      <c r="C416" s="39"/>
      <c r="D416" s="207"/>
      <c r="E416" s="1104" t="s">
        <v>552</v>
      </c>
      <c r="F416" s="1296" t="s">
        <v>165</v>
      </c>
      <c r="H416" s="1311"/>
      <c r="I416" s="1311"/>
      <c r="J416" s="1311"/>
      <c r="K416" s="1311"/>
      <c r="L416" s="1311"/>
      <c r="M416" s="1311"/>
      <c r="N416" s="1311"/>
      <c r="O416" s="1311"/>
      <c r="P416" s="1311"/>
      <c r="Q416" s="1311"/>
      <c r="R416" s="1311"/>
      <c r="S416" s="1311"/>
    </row>
    <row r="417" spans="1:19" ht="27.9" customHeight="1" x14ac:dyDescent="0.25">
      <c r="A417" s="1311"/>
      <c r="C417" s="39"/>
      <c r="D417" s="207"/>
      <c r="E417" s="1104" t="s">
        <v>553</v>
      </c>
      <c r="F417" s="1296" t="s">
        <v>167</v>
      </c>
      <c r="H417" s="1311"/>
      <c r="I417" s="1311"/>
      <c r="J417" s="1311"/>
      <c r="K417" s="1311"/>
      <c r="L417" s="1311"/>
      <c r="M417" s="1311"/>
      <c r="N417" s="1311"/>
      <c r="O417" s="1311"/>
      <c r="P417" s="1311"/>
      <c r="Q417" s="1311"/>
      <c r="R417" s="1311"/>
      <c r="S417" s="1311"/>
    </row>
    <row r="418" spans="1:19" ht="27.9" customHeight="1" x14ac:dyDescent="0.25">
      <c r="A418" s="1311"/>
      <c r="C418" s="39"/>
      <c r="D418" s="2648"/>
      <c r="E418" s="1104" t="s">
        <v>2855</v>
      </c>
      <c r="F418" s="1296" t="s">
        <v>2856</v>
      </c>
      <c r="H418" s="1311"/>
      <c r="I418" s="1311"/>
      <c r="J418" s="1311"/>
      <c r="K418" s="1311"/>
      <c r="L418" s="1311"/>
      <c r="M418" s="1311"/>
      <c r="N418" s="1311"/>
      <c r="O418" s="1311"/>
      <c r="P418" s="1311"/>
      <c r="Q418" s="1311"/>
      <c r="R418" s="1311"/>
      <c r="S418" s="1311"/>
    </row>
    <row r="419" spans="1:19" ht="5.25" customHeight="1" x14ac:dyDescent="0.25">
      <c r="A419" s="1311"/>
      <c r="F419" s="1295"/>
      <c r="H419" s="1311"/>
      <c r="I419" s="1311"/>
      <c r="J419" s="1311"/>
      <c r="K419" s="1311"/>
      <c r="L419" s="1311"/>
      <c r="M419" s="1311"/>
      <c r="N419" s="1311"/>
      <c r="O419" s="1311"/>
      <c r="P419" s="1311"/>
      <c r="Q419" s="1311"/>
      <c r="R419" s="1311"/>
      <c r="S419" s="1311"/>
    </row>
    <row r="420" spans="1:19" ht="15" customHeight="1" x14ac:dyDescent="0.25">
      <c r="A420" s="1311"/>
      <c r="C420" s="39"/>
      <c r="D420" s="742" t="s">
        <v>556</v>
      </c>
      <c r="E420" s="206" t="s">
        <v>1344</v>
      </c>
      <c r="F420" s="1296"/>
      <c r="H420" s="1311"/>
      <c r="I420" s="1311"/>
      <c r="J420" s="1311"/>
      <c r="K420" s="1311"/>
      <c r="L420" s="1311"/>
      <c r="M420" s="1311"/>
      <c r="N420" s="1311"/>
      <c r="O420" s="1311"/>
      <c r="P420" s="1311"/>
      <c r="Q420" s="1311"/>
      <c r="R420" s="1311"/>
      <c r="S420" s="1311"/>
    </row>
    <row r="421" spans="1:19" ht="27.9" customHeight="1" x14ac:dyDescent="0.25">
      <c r="A421" s="1311"/>
      <c r="C421" s="39"/>
      <c r="D421" s="207"/>
      <c r="E421" s="1097" t="s">
        <v>557</v>
      </c>
      <c r="F421" s="1297" t="s">
        <v>927</v>
      </c>
      <c r="H421" s="1311"/>
      <c r="I421" s="1311"/>
      <c r="J421" s="1311"/>
      <c r="K421" s="1311"/>
      <c r="L421" s="1311"/>
      <c r="M421" s="1311"/>
      <c r="N421" s="1311"/>
      <c r="O421" s="1311"/>
      <c r="P421" s="1311"/>
      <c r="Q421" s="1311"/>
      <c r="R421" s="1311"/>
      <c r="S421" s="1311"/>
    </row>
    <row r="422" spans="1:19" ht="42" customHeight="1" x14ac:dyDescent="0.25">
      <c r="A422" s="1311"/>
      <c r="C422" s="39"/>
      <c r="D422" s="207"/>
      <c r="E422" s="39" t="s">
        <v>558</v>
      </c>
      <c r="F422" s="1296" t="s">
        <v>907</v>
      </c>
      <c r="H422" s="1311"/>
      <c r="I422" s="1311"/>
      <c r="J422" s="1311"/>
      <c r="K422" s="1311"/>
      <c r="L422" s="1311"/>
      <c r="M422" s="1311"/>
      <c r="N422" s="1311"/>
      <c r="O422" s="1311"/>
      <c r="P422" s="1311"/>
      <c r="Q422" s="1311"/>
      <c r="R422" s="1311"/>
      <c r="S422" s="1311"/>
    </row>
    <row r="423" spans="1:19" ht="27.9" customHeight="1" x14ac:dyDescent="0.25">
      <c r="A423" s="1311"/>
      <c r="C423" s="39"/>
      <c r="D423" s="207"/>
      <c r="E423" s="39" t="s">
        <v>559</v>
      </c>
      <c r="F423" s="1296" t="s">
        <v>182</v>
      </c>
      <c r="H423" s="1311"/>
      <c r="I423" s="1311"/>
      <c r="J423" s="1311"/>
      <c r="K423" s="1311"/>
      <c r="L423" s="1311"/>
      <c r="M423" s="1311"/>
      <c r="N423" s="1311"/>
      <c r="O423" s="1311"/>
      <c r="P423" s="1311"/>
      <c r="Q423" s="1311"/>
      <c r="R423" s="1311"/>
      <c r="S423" s="1311"/>
    </row>
    <row r="424" spans="1:19" ht="27.9" customHeight="1" x14ac:dyDescent="0.25">
      <c r="A424" s="1311"/>
      <c r="C424" s="39"/>
      <c r="D424" s="207"/>
      <c r="E424" s="39" t="s">
        <v>560</v>
      </c>
      <c r="F424" s="1296" t="s">
        <v>184</v>
      </c>
      <c r="H424" s="1311"/>
      <c r="I424" s="1311"/>
      <c r="J424" s="1311"/>
      <c r="K424" s="1311"/>
      <c r="L424" s="1311"/>
      <c r="M424" s="1311"/>
      <c r="N424" s="1311"/>
      <c r="O424" s="1311"/>
      <c r="P424" s="1311"/>
      <c r="Q424" s="1311"/>
      <c r="R424" s="1311"/>
      <c r="S424" s="1311"/>
    </row>
    <row r="425" spans="1:19" ht="27.9" customHeight="1" x14ac:dyDescent="0.25">
      <c r="A425" s="1311"/>
      <c r="C425" s="39"/>
      <c r="D425" s="207"/>
      <c r="E425" s="39" t="s">
        <v>561</v>
      </c>
      <c r="F425" s="1296" t="s">
        <v>908</v>
      </c>
      <c r="H425" s="1311"/>
      <c r="I425" s="1311"/>
      <c r="J425" s="1311"/>
      <c r="K425" s="1311"/>
      <c r="L425" s="1311"/>
      <c r="M425" s="1311"/>
      <c r="N425" s="1311"/>
      <c r="O425" s="1311"/>
      <c r="P425" s="1311"/>
      <c r="Q425" s="1311"/>
      <c r="R425" s="1311"/>
      <c r="S425" s="1311"/>
    </row>
    <row r="426" spans="1:19" ht="27.9" customHeight="1" x14ac:dyDescent="0.25">
      <c r="A426" s="1311"/>
      <c r="C426" s="39"/>
      <c r="D426" s="207"/>
      <c r="E426" s="39" t="s">
        <v>594</v>
      </c>
      <c r="F426" s="1296" t="s">
        <v>1345</v>
      </c>
      <c r="H426" s="1311"/>
      <c r="I426" s="1311"/>
      <c r="J426" s="1311"/>
      <c r="K426" s="1311"/>
      <c r="L426" s="1311"/>
      <c r="M426" s="1311"/>
      <c r="N426" s="1311"/>
      <c r="O426" s="1311"/>
      <c r="P426" s="1311"/>
      <c r="Q426" s="1311"/>
      <c r="R426" s="1311"/>
      <c r="S426" s="1311"/>
    </row>
    <row r="427" spans="1:19" ht="42" customHeight="1" x14ac:dyDescent="0.25">
      <c r="A427" s="1311"/>
      <c r="C427" s="39"/>
      <c r="D427" s="207"/>
      <c r="E427" s="39" t="s">
        <v>595</v>
      </c>
      <c r="F427" s="1296" t="s">
        <v>1346</v>
      </c>
      <c r="H427" s="1311"/>
      <c r="I427" s="1311"/>
      <c r="J427" s="1311"/>
      <c r="K427" s="1311"/>
      <c r="L427" s="1311"/>
      <c r="M427" s="1311"/>
      <c r="N427" s="1311"/>
      <c r="O427" s="1311"/>
      <c r="P427" s="1311"/>
      <c r="Q427" s="1311"/>
      <c r="R427" s="1311"/>
      <c r="S427" s="1311"/>
    </row>
    <row r="428" spans="1:19" ht="5.25" customHeight="1" x14ac:dyDescent="0.25">
      <c r="A428" s="1311"/>
      <c r="F428" s="1295"/>
      <c r="H428" s="1311"/>
      <c r="I428" s="1311"/>
      <c r="J428" s="1311"/>
      <c r="K428" s="1311"/>
      <c r="L428" s="1311"/>
      <c r="M428" s="1311"/>
      <c r="N428" s="1311"/>
      <c r="O428" s="1311"/>
      <c r="P428" s="1311"/>
      <c r="Q428" s="1311"/>
      <c r="R428" s="1311"/>
      <c r="S428" s="1311"/>
    </row>
    <row r="429" spans="1:19" ht="15" customHeight="1" x14ac:dyDescent="0.25">
      <c r="A429" s="1311"/>
      <c r="C429" s="39"/>
      <c r="D429" s="742" t="s">
        <v>562</v>
      </c>
      <c r="E429" s="206" t="s">
        <v>1347</v>
      </c>
      <c r="F429" s="1296"/>
      <c r="H429" s="1311"/>
      <c r="I429" s="1311"/>
      <c r="J429" s="1311"/>
      <c r="K429" s="1311"/>
      <c r="L429" s="1311"/>
      <c r="M429" s="1311"/>
      <c r="N429" s="1311"/>
      <c r="O429" s="1311"/>
      <c r="P429" s="1311"/>
      <c r="Q429" s="1311"/>
      <c r="R429" s="1311"/>
      <c r="S429" s="1311"/>
    </row>
    <row r="430" spans="1:19" ht="42" customHeight="1" x14ac:dyDescent="0.25">
      <c r="A430" s="1311"/>
      <c r="C430" s="39"/>
      <c r="D430" s="207"/>
      <c r="E430" s="39" t="s">
        <v>563</v>
      </c>
      <c r="F430" s="1296" t="s">
        <v>910</v>
      </c>
      <c r="H430" s="1311"/>
      <c r="I430" s="1311"/>
      <c r="J430" s="1311"/>
      <c r="K430" s="1311"/>
      <c r="L430" s="1311"/>
      <c r="M430" s="1311"/>
      <c r="N430" s="1311"/>
      <c r="O430" s="1311"/>
      <c r="P430" s="1311"/>
      <c r="Q430" s="1311"/>
      <c r="R430" s="1311"/>
      <c r="S430" s="1311"/>
    </row>
    <row r="431" spans="1:19" ht="27.9" customHeight="1" x14ac:dyDescent="0.25">
      <c r="A431" s="1311"/>
      <c r="C431" s="39"/>
      <c r="D431" s="207"/>
      <c r="E431" s="39" t="s">
        <v>564</v>
      </c>
      <c r="F431" s="1296" t="s">
        <v>928</v>
      </c>
      <c r="H431" s="1311"/>
      <c r="I431" s="1311"/>
      <c r="J431" s="1311"/>
      <c r="K431" s="1311"/>
      <c r="L431" s="1311"/>
      <c r="M431" s="1311"/>
      <c r="N431" s="1311"/>
      <c r="O431" s="1311"/>
      <c r="P431" s="1311"/>
      <c r="Q431" s="1311"/>
      <c r="R431" s="1311"/>
      <c r="S431" s="1311"/>
    </row>
    <row r="432" spans="1:19" ht="27.9" customHeight="1" x14ac:dyDescent="0.25">
      <c r="A432" s="1311"/>
      <c r="C432" s="39"/>
      <c r="D432" s="207"/>
      <c r="E432" s="1097" t="s">
        <v>565</v>
      </c>
      <c r="F432" s="1297" t="s">
        <v>570</v>
      </c>
      <c r="H432" s="1311"/>
      <c r="I432" s="1311"/>
      <c r="J432" s="1311"/>
      <c r="K432" s="1311"/>
      <c r="L432" s="1311"/>
      <c r="M432" s="1311"/>
      <c r="N432" s="1311"/>
      <c r="O432" s="1311"/>
      <c r="P432" s="1311"/>
      <c r="Q432" s="1311"/>
      <c r="R432" s="1311"/>
      <c r="S432" s="1311"/>
    </row>
    <row r="433" spans="1:19" ht="27.9" customHeight="1" x14ac:dyDescent="0.25">
      <c r="A433" s="1311"/>
      <c r="C433" s="39"/>
      <c r="D433" s="207"/>
      <c r="E433" s="39" t="s">
        <v>566</v>
      </c>
      <c r="F433" s="1296" t="s">
        <v>909</v>
      </c>
      <c r="H433" s="1311"/>
      <c r="I433" s="1311"/>
      <c r="J433" s="1311"/>
      <c r="K433" s="1311"/>
      <c r="L433" s="1311"/>
      <c r="M433" s="1311"/>
      <c r="N433" s="1311"/>
      <c r="O433" s="1311"/>
      <c r="P433" s="1311"/>
      <c r="Q433" s="1311"/>
      <c r="R433" s="1311"/>
      <c r="S433" s="1311"/>
    </row>
    <row r="434" spans="1:19" ht="42" customHeight="1" x14ac:dyDescent="0.25">
      <c r="A434" s="1311"/>
      <c r="C434" s="39"/>
      <c r="D434" s="207"/>
      <c r="E434" s="1097" t="s">
        <v>567</v>
      </c>
      <c r="F434" s="1297" t="s">
        <v>911</v>
      </c>
      <c r="H434" s="1311"/>
      <c r="I434" s="1311"/>
      <c r="J434" s="1311"/>
      <c r="K434" s="1311"/>
      <c r="L434" s="1311"/>
      <c r="M434" s="1311"/>
      <c r="N434" s="1311"/>
      <c r="O434" s="1311"/>
      <c r="P434" s="1311"/>
      <c r="Q434" s="1311"/>
      <c r="R434" s="1311"/>
      <c r="S434" s="1311"/>
    </row>
    <row r="435" spans="1:19" ht="27.9" customHeight="1" x14ac:dyDescent="0.25">
      <c r="A435" s="1311"/>
      <c r="C435" s="39"/>
      <c r="D435" s="207"/>
      <c r="E435" s="1097" t="s">
        <v>568</v>
      </c>
      <c r="F435" s="1297" t="s">
        <v>912</v>
      </c>
      <c r="H435" s="1311"/>
      <c r="I435" s="1311"/>
      <c r="J435" s="1311"/>
      <c r="K435" s="1311"/>
      <c r="L435" s="1311"/>
      <c r="M435" s="1311"/>
      <c r="N435" s="1311"/>
      <c r="O435" s="1311"/>
      <c r="P435" s="1311"/>
      <c r="Q435" s="1311"/>
      <c r="R435" s="1311"/>
      <c r="S435" s="1311"/>
    </row>
    <row r="436" spans="1:19" ht="15" customHeight="1" x14ac:dyDescent="0.25">
      <c r="A436" s="1311"/>
      <c r="C436" s="39"/>
      <c r="D436" s="207"/>
      <c r="E436" s="39" t="s">
        <v>569</v>
      </c>
      <c r="F436" s="1296" t="s">
        <v>913</v>
      </c>
      <c r="H436" s="1311"/>
      <c r="I436" s="1311"/>
      <c r="J436" s="1311"/>
      <c r="K436" s="1311"/>
      <c r="L436" s="1311"/>
      <c r="M436" s="1311"/>
      <c r="N436" s="1311"/>
      <c r="O436" s="1311"/>
      <c r="P436" s="1311"/>
      <c r="Q436" s="1311"/>
      <c r="R436" s="1311"/>
      <c r="S436" s="1311"/>
    </row>
    <row r="437" spans="1:19" ht="12" customHeight="1" x14ac:dyDescent="0.25">
      <c r="A437" s="1311"/>
      <c r="F437" s="1295"/>
      <c r="H437" s="1311"/>
      <c r="I437" s="1311"/>
      <c r="J437" s="1311"/>
      <c r="K437" s="1311"/>
      <c r="L437" s="1311"/>
      <c r="M437" s="1311"/>
      <c r="N437" s="1311"/>
      <c r="O437" s="1311"/>
      <c r="P437" s="1311"/>
      <c r="Q437" s="1311"/>
      <c r="R437" s="1311"/>
      <c r="S437" s="1311"/>
    </row>
    <row r="438" spans="1:19" ht="28.5" customHeight="1" x14ac:dyDescent="0.25">
      <c r="A438" s="1311"/>
      <c r="C438" s="380"/>
      <c r="D438" s="1434" t="s">
        <v>1425</v>
      </c>
      <c r="E438" s="379"/>
      <c r="F438" s="1296"/>
      <c r="H438" s="1311"/>
      <c r="I438" s="1311"/>
      <c r="J438" s="1311"/>
      <c r="K438" s="1311"/>
      <c r="L438" s="1311"/>
      <c r="M438" s="1311"/>
      <c r="N438" s="1311"/>
      <c r="O438" s="1311"/>
      <c r="P438" s="1311"/>
      <c r="Q438" s="1311"/>
      <c r="R438" s="1311"/>
      <c r="S438" s="1311"/>
    </row>
    <row r="439" spans="1:19" ht="20.25" customHeight="1" x14ac:dyDescent="0.25">
      <c r="A439" s="1311"/>
      <c r="C439" s="1248"/>
      <c r="D439" s="4146" t="s">
        <v>1430</v>
      </c>
      <c r="E439" s="4146"/>
      <c r="F439" s="4146"/>
      <c r="H439" s="1311"/>
      <c r="I439" s="1311"/>
      <c r="J439" s="1311"/>
      <c r="K439" s="1311"/>
      <c r="L439" s="1311"/>
      <c r="M439" s="1311"/>
      <c r="N439" s="1311"/>
      <c r="O439" s="1311"/>
      <c r="P439" s="1311"/>
      <c r="Q439" s="1311"/>
      <c r="R439" s="1311"/>
      <c r="S439" s="1311"/>
    </row>
    <row r="440" spans="1:19" ht="19.5" customHeight="1" x14ac:dyDescent="0.25">
      <c r="A440" s="1311"/>
      <c r="C440" s="380"/>
      <c r="D440" s="381" t="s">
        <v>1426</v>
      </c>
      <c r="E440" s="379"/>
      <c r="F440" s="1296"/>
      <c r="H440" s="1311"/>
      <c r="I440" s="1311"/>
      <c r="J440" s="1311"/>
      <c r="K440" s="1311"/>
      <c r="L440" s="1311"/>
      <c r="M440" s="1311"/>
      <c r="N440" s="1311"/>
      <c r="O440" s="1311"/>
      <c r="P440" s="1311"/>
      <c r="Q440" s="1311"/>
      <c r="R440" s="1311"/>
      <c r="S440" s="1311"/>
    </row>
    <row r="441" spans="1:19" ht="27.75" customHeight="1" x14ac:dyDescent="0.25">
      <c r="A441" s="1311"/>
      <c r="C441" s="39"/>
      <c r="D441" s="742" t="s">
        <v>572</v>
      </c>
      <c r="E441" s="4163" t="s">
        <v>571</v>
      </c>
      <c r="F441" s="4163"/>
      <c r="H441" s="1311"/>
      <c r="I441" s="1311"/>
      <c r="J441" s="1311"/>
      <c r="K441" s="1311"/>
      <c r="L441" s="1311"/>
      <c r="M441" s="1311"/>
      <c r="N441" s="1311"/>
      <c r="O441" s="1311"/>
      <c r="P441" s="1311"/>
      <c r="Q441" s="1311"/>
      <c r="R441" s="1311"/>
      <c r="S441" s="1311"/>
    </row>
    <row r="442" spans="1:19" ht="42" customHeight="1" x14ac:dyDescent="0.25">
      <c r="A442" s="1311"/>
      <c r="C442" s="39"/>
      <c r="D442" s="207"/>
      <c r="E442" s="39" t="s">
        <v>573</v>
      </c>
      <c r="F442" s="1296" t="s">
        <v>1427</v>
      </c>
      <c r="H442" s="1311"/>
      <c r="I442" s="1311"/>
      <c r="J442" s="1311"/>
      <c r="K442" s="1311"/>
      <c r="L442" s="1311"/>
      <c r="M442" s="1311"/>
      <c r="N442" s="1311"/>
      <c r="O442" s="1311"/>
      <c r="P442" s="1311"/>
      <c r="Q442" s="1311"/>
      <c r="R442" s="1311"/>
      <c r="S442" s="1311"/>
    </row>
    <row r="443" spans="1:19" ht="27.9" customHeight="1" x14ac:dyDescent="0.25">
      <c r="A443" s="1311"/>
      <c r="C443" s="39"/>
      <c r="D443" s="207"/>
      <c r="E443" s="39" t="s">
        <v>574</v>
      </c>
      <c r="F443" s="1296" t="s">
        <v>1428</v>
      </c>
      <c r="H443" s="1311"/>
      <c r="I443" s="1311"/>
      <c r="J443" s="1311"/>
      <c r="K443" s="1311"/>
      <c r="L443" s="1311"/>
      <c r="M443" s="1311"/>
      <c r="N443" s="1311"/>
      <c r="O443" s="1311"/>
      <c r="P443" s="1311"/>
      <c r="Q443" s="1311"/>
      <c r="R443" s="1311"/>
      <c r="S443" s="1311"/>
    </row>
    <row r="444" spans="1:19" ht="27.9" customHeight="1" x14ac:dyDescent="0.25">
      <c r="A444" s="1311"/>
      <c r="C444" s="39"/>
      <c r="D444" s="207"/>
      <c r="E444" s="39" t="s">
        <v>575</v>
      </c>
      <c r="F444" s="1296" t="s">
        <v>915</v>
      </c>
      <c r="H444" s="1311"/>
      <c r="I444" s="1311"/>
      <c r="J444" s="1311"/>
      <c r="K444" s="1311"/>
      <c r="L444" s="1311"/>
      <c r="M444" s="1311"/>
      <c r="N444" s="1311"/>
      <c r="O444" s="1311"/>
      <c r="P444" s="1311"/>
      <c r="Q444" s="1311"/>
      <c r="R444" s="1311"/>
      <c r="S444" s="1311"/>
    </row>
    <row r="445" spans="1:19" ht="42" customHeight="1" x14ac:dyDescent="0.25">
      <c r="A445" s="1311"/>
      <c r="C445" s="39"/>
      <c r="D445" s="207"/>
      <c r="E445" s="39" t="s">
        <v>576</v>
      </c>
      <c r="F445" s="1300" t="s">
        <v>929</v>
      </c>
      <c r="H445" s="1311"/>
      <c r="I445" s="1311"/>
      <c r="J445" s="1311"/>
      <c r="K445" s="1311"/>
      <c r="L445" s="1311"/>
      <c r="M445" s="1311"/>
      <c r="N445" s="1311"/>
      <c r="O445" s="1311"/>
      <c r="P445" s="1311"/>
      <c r="Q445" s="1311"/>
      <c r="R445" s="1311"/>
      <c r="S445" s="1311"/>
    </row>
    <row r="446" spans="1:19" ht="42" customHeight="1" x14ac:dyDescent="0.25">
      <c r="A446" s="1311"/>
      <c r="C446" s="39"/>
      <c r="D446" s="207"/>
      <c r="E446" s="39" t="s">
        <v>577</v>
      </c>
      <c r="F446" s="1296" t="s">
        <v>1429</v>
      </c>
      <c r="H446" s="1311"/>
      <c r="I446" s="1311"/>
      <c r="J446" s="1311"/>
      <c r="K446" s="1311"/>
      <c r="L446" s="1311"/>
      <c r="M446" s="1311"/>
      <c r="N446" s="1311"/>
      <c r="O446" s="1311"/>
      <c r="P446" s="1311"/>
      <c r="Q446" s="1311"/>
      <c r="R446" s="1311"/>
      <c r="S446" s="1311"/>
    </row>
    <row r="447" spans="1:19" ht="42" customHeight="1" x14ac:dyDescent="0.25">
      <c r="A447" s="1311"/>
      <c r="C447" s="39"/>
      <c r="D447" s="207"/>
      <c r="E447" s="39" t="s">
        <v>914</v>
      </c>
      <c r="F447" s="1296" t="s">
        <v>916</v>
      </c>
      <c r="H447" s="1311"/>
      <c r="I447" s="1311"/>
      <c r="J447" s="1311"/>
      <c r="K447" s="1311"/>
      <c r="L447" s="1311"/>
      <c r="M447" s="1311"/>
      <c r="N447" s="1311"/>
      <c r="O447" s="1311"/>
      <c r="P447" s="1311"/>
      <c r="Q447" s="1311"/>
      <c r="R447" s="1311"/>
      <c r="S447" s="1311"/>
    </row>
    <row r="448" spans="1:19" ht="27.9" customHeight="1" x14ac:dyDescent="0.25">
      <c r="A448" s="1311"/>
      <c r="C448" s="39"/>
      <c r="D448" s="207"/>
      <c r="E448" s="39" t="s">
        <v>1067</v>
      </c>
      <c r="F448" s="1296" t="s">
        <v>1068</v>
      </c>
      <c r="H448" s="1311"/>
      <c r="I448" s="1311"/>
      <c r="J448" s="1311"/>
      <c r="K448" s="1311"/>
      <c r="L448" s="1311"/>
      <c r="M448" s="1311"/>
      <c r="N448" s="1311"/>
      <c r="O448" s="1311"/>
      <c r="P448" s="1311"/>
      <c r="Q448" s="1311"/>
      <c r="R448" s="1311"/>
      <c r="S448" s="1311"/>
    </row>
    <row r="449" spans="1:19" ht="15" customHeight="1" x14ac:dyDescent="0.25">
      <c r="A449" s="1311"/>
      <c r="F449" s="1295"/>
      <c r="H449" s="1311"/>
      <c r="I449" s="1311"/>
      <c r="J449" s="1311"/>
      <c r="K449" s="1311"/>
      <c r="L449" s="1311"/>
      <c r="M449" s="1311"/>
      <c r="N449" s="1311"/>
      <c r="O449" s="1311"/>
      <c r="P449" s="1311"/>
      <c r="Q449" s="1311"/>
      <c r="R449" s="1311"/>
      <c r="S449" s="1311"/>
    </row>
    <row r="450" spans="1:19" ht="27.75" customHeight="1" x14ac:dyDescent="0.25">
      <c r="A450" s="1311"/>
      <c r="C450" s="380"/>
      <c r="D450" s="1434" t="s">
        <v>1465</v>
      </c>
      <c r="E450" s="379"/>
      <c r="F450" s="1296"/>
      <c r="H450" s="1311"/>
      <c r="I450" s="1311"/>
      <c r="J450" s="1311"/>
      <c r="K450" s="1311"/>
      <c r="L450" s="1311"/>
      <c r="M450" s="1311"/>
      <c r="N450" s="1311"/>
      <c r="O450" s="1311"/>
      <c r="P450" s="1311"/>
      <c r="Q450" s="1311"/>
      <c r="R450" s="1311"/>
      <c r="S450" s="1311"/>
    </row>
    <row r="451" spans="1:19" ht="29.25" customHeight="1" x14ac:dyDescent="0.25">
      <c r="A451" s="1311"/>
      <c r="C451" s="1248"/>
      <c r="D451" s="4146" t="s">
        <v>1431</v>
      </c>
      <c r="E451" s="4146"/>
      <c r="F451" s="4146"/>
      <c r="H451" s="1311"/>
      <c r="I451" s="1311"/>
      <c r="J451" s="1311"/>
      <c r="K451" s="1311"/>
      <c r="L451" s="1311"/>
      <c r="M451" s="1311"/>
      <c r="N451" s="1311"/>
      <c r="O451" s="1311"/>
      <c r="P451" s="1311"/>
      <c r="Q451" s="1311"/>
      <c r="R451" s="1311"/>
      <c r="S451" s="1311"/>
    </row>
    <row r="452" spans="1:19" ht="29.25" customHeight="1" x14ac:dyDescent="0.25">
      <c r="A452" s="1311"/>
      <c r="C452" s="1248"/>
      <c r="D452" s="4146" t="s">
        <v>1438</v>
      </c>
      <c r="E452" s="4146"/>
      <c r="F452" s="4146"/>
      <c r="H452" s="1311"/>
      <c r="I452" s="1311"/>
      <c r="J452" s="1311"/>
      <c r="K452" s="1311"/>
      <c r="L452" s="1311"/>
      <c r="M452" s="1311"/>
      <c r="N452" s="1311"/>
      <c r="O452" s="1311"/>
      <c r="P452" s="1311"/>
      <c r="Q452" s="1311"/>
      <c r="R452" s="1311"/>
      <c r="S452" s="1311"/>
    </row>
    <row r="453" spans="1:19" ht="19.5" customHeight="1" x14ac:dyDescent="0.25">
      <c r="A453" s="1311"/>
      <c r="C453" s="380"/>
      <c r="D453" s="381" t="s">
        <v>1245</v>
      </c>
      <c r="E453" s="379"/>
      <c r="F453" s="1296"/>
      <c r="H453" s="1311"/>
      <c r="I453" s="1311"/>
      <c r="J453" s="1311"/>
      <c r="K453" s="1311"/>
      <c r="L453" s="1311"/>
      <c r="M453" s="1311"/>
      <c r="N453" s="1311"/>
      <c r="O453" s="1311"/>
      <c r="P453" s="1311"/>
      <c r="Q453" s="1311"/>
      <c r="R453" s="1311"/>
      <c r="S453" s="1311"/>
    </row>
    <row r="454" spans="1:19" ht="30.75" customHeight="1" x14ac:dyDescent="0.25">
      <c r="A454" s="1311"/>
      <c r="C454" s="39"/>
      <c r="D454" s="742" t="s">
        <v>1070</v>
      </c>
      <c r="E454" s="4163" t="s">
        <v>1406</v>
      </c>
      <c r="F454" s="4163"/>
      <c r="H454" s="1311"/>
      <c r="I454" s="1311"/>
      <c r="J454" s="1311"/>
      <c r="K454" s="1311"/>
      <c r="L454" s="1311"/>
      <c r="M454" s="1311"/>
      <c r="N454" s="1311"/>
      <c r="O454" s="1311"/>
      <c r="P454" s="1311"/>
      <c r="Q454" s="1311"/>
      <c r="R454" s="1311"/>
      <c r="S454" s="1311"/>
    </row>
    <row r="455" spans="1:19" ht="15" customHeight="1" x14ac:dyDescent="0.25">
      <c r="A455" s="1311"/>
      <c r="C455" s="39"/>
      <c r="D455" s="207"/>
      <c r="E455" s="39" t="s">
        <v>1071</v>
      </c>
      <c r="F455" s="1296" t="s">
        <v>1069</v>
      </c>
      <c r="H455" s="1311"/>
      <c r="I455" s="1311"/>
      <c r="J455" s="1311"/>
      <c r="K455" s="1311"/>
      <c r="L455" s="1311"/>
      <c r="M455" s="1311"/>
      <c r="N455" s="1311"/>
      <c r="O455" s="1311"/>
      <c r="P455" s="1311"/>
      <c r="Q455" s="1311"/>
      <c r="R455" s="1311"/>
      <c r="S455" s="1311"/>
    </row>
    <row r="456" spans="1:19" ht="42" customHeight="1" x14ac:dyDescent="0.25">
      <c r="A456" s="1311"/>
      <c r="C456" s="39"/>
      <c r="D456" s="207"/>
      <c r="E456" s="39" t="s">
        <v>1074</v>
      </c>
      <c r="F456" s="1300" t="s">
        <v>1432</v>
      </c>
      <c r="H456" s="1311"/>
      <c r="I456" s="1311"/>
      <c r="J456" s="1311"/>
      <c r="K456" s="1311"/>
      <c r="L456" s="1311"/>
      <c r="M456" s="1311"/>
      <c r="N456" s="1311"/>
      <c r="O456" s="1311"/>
      <c r="P456" s="1311"/>
      <c r="Q456" s="1311"/>
      <c r="R456" s="1311"/>
      <c r="S456" s="1311"/>
    </row>
    <row r="457" spans="1:19" ht="42" customHeight="1" x14ac:dyDescent="0.25">
      <c r="A457" s="1311"/>
      <c r="C457" s="39"/>
      <c r="D457" s="207"/>
      <c r="E457" s="39" t="s">
        <v>1075</v>
      </c>
      <c r="F457" s="1300" t="s">
        <v>1436</v>
      </c>
      <c r="H457" s="1311"/>
      <c r="I457" s="1311"/>
      <c r="J457" s="1311"/>
      <c r="K457" s="1311"/>
      <c r="L457" s="1311"/>
      <c r="M457" s="1311"/>
      <c r="N457" s="1311"/>
      <c r="O457" s="1311"/>
      <c r="P457" s="1311"/>
      <c r="Q457" s="1311"/>
      <c r="R457" s="1311"/>
      <c r="S457" s="1311"/>
    </row>
    <row r="458" spans="1:19" ht="15" customHeight="1" x14ac:dyDescent="0.25">
      <c r="A458" s="1311"/>
      <c r="C458" s="39"/>
      <c r="D458" s="207"/>
      <c r="E458" s="39" t="s">
        <v>1076</v>
      </c>
      <c r="F458" s="1300" t="s">
        <v>1433</v>
      </c>
      <c r="H458" s="1311"/>
      <c r="I458" s="1311"/>
      <c r="J458" s="1311"/>
      <c r="K458" s="1311"/>
      <c r="L458" s="1311"/>
      <c r="M458" s="1311"/>
      <c r="N458" s="1311"/>
      <c r="O458" s="1311"/>
      <c r="P458" s="1311"/>
      <c r="Q458" s="1311"/>
      <c r="R458" s="1311"/>
      <c r="S458" s="1311"/>
    </row>
    <row r="459" spans="1:19" ht="15" customHeight="1" x14ac:dyDescent="0.25">
      <c r="A459" s="1311"/>
      <c r="C459" s="39"/>
      <c r="D459" s="207"/>
      <c r="E459" s="39" t="s">
        <v>1077</v>
      </c>
      <c r="F459" s="1300" t="s">
        <v>1437</v>
      </c>
      <c r="H459" s="1311"/>
      <c r="I459" s="1311"/>
      <c r="J459" s="1311"/>
      <c r="K459" s="1311"/>
      <c r="L459" s="1311"/>
      <c r="M459" s="1311"/>
      <c r="N459" s="1311"/>
      <c r="O459" s="1311"/>
      <c r="P459" s="1311"/>
      <c r="Q459" s="1311"/>
      <c r="R459" s="1311"/>
      <c r="S459" s="1311"/>
    </row>
    <row r="460" spans="1:19" ht="27.9" customHeight="1" x14ac:dyDescent="0.25">
      <c r="A460" s="1311"/>
      <c r="C460" s="39"/>
      <c r="D460" s="207"/>
      <c r="E460" s="39" t="s">
        <v>1078</v>
      </c>
      <c r="F460" s="1300" t="s">
        <v>1434</v>
      </c>
      <c r="H460" s="1311"/>
      <c r="I460" s="1311"/>
      <c r="J460" s="1311"/>
      <c r="K460" s="1311"/>
      <c r="L460" s="1311"/>
      <c r="M460" s="1311"/>
      <c r="N460" s="1311"/>
      <c r="O460" s="1311"/>
      <c r="P460" s="1311"/>
      <c r="Q460" s="1311"/>
      <c r="R460" s="1311"/>
      <c r="S460" s="1311"/>
    </row>
    <row r="461" spans="1:19" ht="20.399999999999999" customHeight="1" x14ac:dyDescent="0.25">
      <c r="A461" s="1311"/>
      <c r="C461" s="39"/>
      <c r="D461" s="207"/>
      <c r="E461" s="39" t="s">
        <v>1407</v>
      </c>
      <c r="F461" s="1300" t="s">
        <v>1072</v>
      </c>
      <c r="H461" s="1311"/>
      <c r="I461" s="1311"/>
      <c r="J461" s="1311"/>
      <c r="K461" s="1311"/>
      <c r="L461" s="1311"/>
      <c r="M461" s="1311"/>
      <c r="N461" s="1311"/>
      <c r="O461" s="1311"/>
      <c r="P461" s="1311"/>
      <c r="Q461" s="1311"/>
      <c r="R461" s="1311"/>
      <c r="S461" s="1311"/>
    </row>
    <row r="462" spans="1:19" ht="27.9" customHeight="1" x14ac:dyDescent="0.25">
      <c r="A462" s="1311"/>
      <c r="C462" s="39"/>
      <c r="D462" s="207"/>
      <c r="E462" s="39" t="s">
        <v>1435</v>
      </c>
      <c r="F462" s="1300" t="s">
        <v>1073</v>
      </c>
      <c r="H462" s="1311"/>
      <c r="I462" s="1311"/>
      <c r="J462" s="1311"/>
      <c r="K462" s="1311"/>
      <c r="L462" s="1311"/>
      <c r="M462" s="1311"/>
      <c r="N462" s="1311"/>
      <c r="O462" s="1311"/>
      <c r="P462" s="1311"/>
      <c r="Q462" s="1311"/>
      <c r="R462" s="1311"/>
      <c r="S462" s="1311"/>
    </row>
    <row r="463" spans="1:19" ht="20.25" customHeight="1" x14ac:dyDescent="0.25">
      <c r="A463" s="1311"/>
      <c r="C463" s="39"/>
      <c r="D463" s="207"/>
      <c r="E463" s="39"/>
      <c r="F463" s="1300"/>
      <c r="H463" s="1311"/>
      <c r="I463" s="1311"/>
      <c r="J463" s="1311"/>
      <c r="K463" s="1311"/>
      <c r="L463" s="1311"/>
      <c r="M463" s="1311"/>
      <c r="N463" s="1311"/>
      <c r="O463" s="1311"/>
      <c r="P463" s="1311"/>
      <c r="Q463" s="1311"/>
      <c r="R463" s="1311"/>
      <c r="S463" s="1311"/>
    </row>
    <row r="464" spans="1:19" ht="4.5" customHeight="1" x14ac:dyDescent="0.25">
      <c r="A464" s="1311"/>
      <c r="C464" s="39"/>
      <c r="D464" s="207"/>
      <c r="E464" s="39"/>
      <c r="F464" s="1300"/>
      <c r="H464" s="1311"/>
      <c r="I464" s="1311"/>
      <c r="J464" s="1311"/>
      <c r="K464" s="1311"/>
      <c r="L464" s="1311"/>
      <c r="M464" s="1311"/>
      <c r="N464" s="1311"/>
      <c r="O464" s="1311"/>
      <c r="P464" s="1311"/>
      <c r="Q464" s="1311"/>
      <c r="R464" s="1311"/>
      <c r="S464" s="1311"/>
    </row>
    <row r="465" spans="1:19" s="747" customFormat="1" ht="39.9" customHeight="1" x14ac:dyDescent="0.25">
      <c r="A465" s="1311"/>
      <c r="C465" s="4147" t="s">
        <v>1466</v>
      </c>
      <c r="D465" s="4148"/>
      <c r="E465" s="4148"/>
      <c r="F465" s="4149"/>
      <c r="H465" s="1314"/>
      <c r="I465" s="1314"/>
      <c r="J465" s="1314"/>
      <c r="K465" s="1314"/>
      <c r="L465" s="1314"/>
      <c r="M465" s="1314"/>
      <c r="N465" s="1314"/>
      <c r="O465" s="1314"/>
      <c r="P465" s="1314"/>
      <c r="Q465" s="1314"/>
      <c r="R465" s="1314"/>
      <c r="S465" s="1314"/>
    </row>
    <row r="466" spans="1:19" ht="12" customHeight="1" x14ac:dyDescent="0.25">
      <c r="A466" s="1311"/>
      <c r="C466" s="1248"/>
      <c r="D466" s="39"/>
      <c r="E466" s="39"/>
      <c r="F466" s="1296"/>
      <c r="H466" s="1311"/>
      <c r="I466" s="1311"/>
      <c r="J466" s="1311"/>
      <c r="K466" s="1311"/>
      <c r="L466" s="1311"/>
      <c r="M466" s="1311"/>
      <c r="N466" s="1311"/>
      <c r="O466" s="1311"/>
      <c r="P466" s="1311"/>
      <c r="Q466" s="1311"/>
      <c r="R466" s="1311"/>
      <c r="S466" s="1311"/>
    </row>
    <row r="467" spans="1:19" ht="33.6" customHeight="1" x14ac:dyDescent="0.25">
      <c r="A467" s="1311"/>
      <c r="C467" s="1248"/>
      <c r="D467" s="4143" t="s">
        <v>2458</v>
      </c>
      <c r="E467" s="4144"/>
      <c r="F467" s="4145"/>
      <c r="H467" s="1311"/>
      <c r="I467" s="1311"/>
      <c r="J467" s="1311"/>
      <c r="K467" s="1311"/>
      <c r="L467" s="1311"/>
      <c r="M467" s="1311"/>
      <c r="N467" s="1311"/>
      <c r="O467" s="1311"/>
      <c r="P467" s="1311"/>
      <c r="Q467" s="1311"/>
      <c r="R467" s="1311"/>
      <c r="S467" s="1311"/>
    </row>
    <row r="468" spans="1:19" s="747" customFormat="1" ht="31.35" customHeight="1" x14ac:dyDescent="0.25">
      <c r="A468" s="1311"/>
      <c r="C468" s="1250"/>
      <c r="D468" s="4134" t="s">
        <v>2457</v>
      </c>
      <c r="E468" s="4135"/>
      <c r="F468" s="4136"/>
      <c r="H468" s="1314"/>
      <c r="I468" s="1314"/>
      <c r="J468" s="1314"/>
      <c r="K468" s="1314"/>
      <c r="L468" s="1314"/>
      <c r="M468" s="1314"/>
      <c r="N468" s="1314"/>
      <c r="O468" s="1314"/>
      <c r="P468" s="1314"/>
      <c r="Q468" s="1314"/>
      <c r="R468" s="1314"/>
      <c r="S468" s="1314"/>
    </row>
    <row r="469" spans="1:19" ht="10.35" customHeight="1" x14ac:dyDescent="0.25">
      <c r="A469" s="1311"/>
      <c r="C469" s="1248"/>
      <c r="D469" s="39"/>
      <c r="E469" s="39"/>
      <c r="F469" s="1296"/>
      <c r="H469" s="1311"/>
      <c r="I469" s="1311"/>
      <c r="J469" s="1311"/>
      <c r="K469" s="1311"/>
      <c r="L469" s="1311"/>
      <c r="M469" s="1311"/>
      <c r="N469" s="1311"/>
      <c r="O469" s="1311"/>
      <c r="P469" s="1311"/>
      <c r="Q469" s="1311"/>
      <c r="R469" s="1311"/>
      <c r="S469" s="1311"/>
    </row>
    <row r="470" spans="1:19" ht="19.5" customHeight="1" x14ac:dyDescent="0.25">
      <c r="A470" s="1311"/>
      <c r="C470" s="380"/>
      <c r="D470" s="381" t="s">
        <v>331</v>
      </c>
      <c r="E470" s="379"/>
      <c r="F470" s="1296"/>
      <c r="H470" s="1311"/>
      <c r="I470" s="1311"/>
      <c r="J470" s="1311"/>
      <c r="K470" s="1311"/>
      <c r="L470" s="1311"/>
      <c r="M470" s="1311"/>
      <c r="N470" s="1311"/>
      <c r="O470" s="1311"/>
      <c r="P470" s="1311"/>
      <c r="Q470" s="1311"/>
      <c r="R470" s="1311"/>
      <c r="S470" s="1311"/>
    </row>
    <row r="471" spans="1:19" ht="15" customHeight="1" x14ac:dyDescent="0.25">
      <c r="A471" s="1311"/>
      <c r="C471" s="39"/>
      <c r="D471" s="207">
        <v>4.0999999999999996</v>
      </c>
      <c r="E471" s="206" t="s">
        <v>2459</v>
      </c>
      <c r="F471" s="1296"/>
      <c r="H471" s="1311"/>
      <c r="I471" s="1311"/>
      <c r="J471" s="1311"/>
      <c r="K471" s="1311"/>
      <c r="L471" s="1311"/>
      <c r="M471" s="1311"/>
      <c r="N471" s="1311"/>
      <c r="O471" s="1311"/>
      <c r="P471" s="1311"/>
      <c r="Q471" s="1311"/>
      <c r="R471" s="1311"/>
      <c r="S471" s="1311"/>
    </row>
    <row r="472" spans="1:19" ht="19.95" customHeight="1" x14ac:dyDescent="0.25">
      <c r="A472" s="1311"/>
      <c r="C472" s="39"/>
      <c r="D472" s="207"/>
      <c r="E472" s="1097" t="s">
        <v>68</v>
      </c>
      <c r="F472" s="1297" t="s">
        <v>3467</v>
      </c>
      <c r="H472" s="1311"/>
      <c r="I472" s="1311"/>
      <c r="J472" s="1311"/>
      <c r="K472" s="1311"/>
      <c r="L472" s="1311"/>
      <c r="M472" s="1311"/>
      <c r="N472" s="1311"/>
      <c r="O472" s="1311"/>
      <c r="P472" s="1311"/>
      <c r="Q472" s="1311"/>
      <c r="R472" s="1311"/>
      <c r="S472" s="1311"/>
    </row>
    <row r="473" spans="1:19" ht="5.25" customHeight="1" x14ac:dyDescent="0.25">
      <c r="A473" s="1311"/>
      <c r="F473" s="1295"/>
      <c r="H473" s="1311"/>
      <c r="I473" s="1311"/>
      <c r="J473" s="1311"/>
      <c r="K473" s="1311"/>
      <c r="L473" s="1311"/>
      <c r="M473" s="1311"/>
      <c r="N473" s="1311"/>
      <c r="O473" s="1311"/>
      <c r="P473" s="1311"/>
      <c r="Q473" s="1311"/>
      <c r="R473" s="1311"/>
      <c r="S473" s="1311"/>
    </row>
    <row r="474" spans="1:19" ht="19.5" customHeight="1" x14ac:dyDescent="0.25">
      <c r="A474" s="1311"/>
      <c r="C474" s="380"/>
      <c r="D474" s="381" t="s">
        <v>1349</v>
      </c>
      <c r="E474" s="379"/>
      <c r="F474" s="1296"/>
      <c r="H474" s="1311"/>
      <c r="I474" s="1311"/>
      <c r="J474" s="1311"/>
      <c r="K474" s="1311"/>
      <c r="L474" s="1311"/>
      <c r="M474" s="1311"/>
      <c r="N474" s="1311"/>
      <c r="O474" s="1311"/>
      <c r="P474" s="1311"/>
      <c r="Q474" s="1311"/>
      <c r="R474" s="1311"/>
      <c r="S474" s="1311"/>
    </row>
    <row r="475" spans="1:19" ht="15" customHeight="1" x14ac:dyDescent="0.25">
      <c r="A475" s="1311"/>
      <c r="C475" s="39"/>
      <c r="D475" s="207">
        <v>4.2</v>
      </c>
      <c r="E475" s="206" t="s">
        <v>1348</v>
      </c>
      <c r="F475" s="1296"/>
      <c r="H475" s="1311"/>
      <c r="I475" s="1311"/>
      <c r="J475" s="1311"/>
      <c r="K475" s="1311"/>
      <c r="L475" s="1311"/>
      <c r="M475" s="1311"/>
      <c r="N475" s="1311"/>
      <c r="O475" s="1311"/>
      <c r="P475" s="1311"/>
      <c r="Q475" s="1311"/>
      <c r="R475" s="1311"/>
      <c r="S475" s="1311"/>
    </row>
    <row r="476" spans="1:19" ht="27.9" customHeight="1" x14ac:dyDescent="0.25">
      <c r="A476" s="1311"/>
      <c r="C476" s="39"/>
      <c r="D476" s="207"/>
      <c r="E476" s="39" t="s">
        <v>69</v>
      </c>
      <c r="F476" s="1296" t="s">
        <v>1350</v>
      </c>
      <c r="H476" s="1311"/>
      <c r="I476" s="1311"/>
      <c r="J476" s="1311"/>
      <c r="K476" s="1311"/>
      <c r="L476" s="1311"/>
      <c r="M476" s="1311"/>
      <c r="N476" s="1311"/>
      <c r="O476" s="1311"/>
      <c r="P476" s="1311"/>
      <c r="Q476" s="1311"/>
      <c r="R476" s="1311"/>
      <c r="S476" s="1311"/>
    </row>
    <row r="477" spans="1:19" ht="27.9" customHeight="1" x14ac:dyDescent="0.25">
      <c r="A477" s="1311"/>
      <c r="C477" s="39"/>
      <c r="D477" s="207"/>
      <c r="E477" s="39" t="s">
        <v>70</v>
      </c>
      <c r="F477" s="1296" t="s">
        <v>1357</v>
      </c>
      <c r="H477" s="1311"/>
      <c r="I477" s="1311"/>
      <c r="J477" s="1311"/>
      <c r="K477" s="1311"/>
      <c r="L477" s="1311"/>
      <c r="M477" s="1311"/>
      <c r="N477" s="1311"/>
      <c r="O477" s="1311"/>
      <c r="P477" s="1311"/>
      <c r="Q477" s="1311"/>
      <c r="R477" s="1311"/>
      <c r="S477" s="1311"/>
    </row>
    <row r="478" spans="1:19" ht="27.9" customHeight="1" x14ac:dyDescent="0.25">
      <c r="A478" s="1311"/>
      <c r="C478" s="39"/>
      <c r="D478" s="207"/>
      <c r="E478" s="39" t="s">
        <v>71</v>
      </c>
      <c r="F478" s="1296" t="s">
        <v>1351</v>
      </c>
      <c r="H478" s="1311"/>
      <c r="I478" s="1311"/>
      <c r="J478" s="1311"/>
      <c r="K478" s="1311"/>
      <c r="L478" s="1311"/>
      <c r="M478" s="1311"/>
      <c r="N478" s="1311"/>
      <c r="O478" s="1311"/>
      <c r="P478" s="1311"/>
      <c r="Q478" s="1311"/>
      <c r="R478" s="1311"/>
      <c r="S478" s="1311"/>
    </row>
    <row r="479" spans="1:19" ht="5.25" customHeight="1" x14ac:dyDescent="0.25">
      <c r="A479" s="1311"/>
      <c r="F479" s="1295"/>
      <c r="H479" s="1311"/>
      <c r="I479" s="1311"/>
      <c r="J479" s="1311"/>
      <c r="K479" s="1311"/>
      <c r="L479" s="1311"/>
      <c r="M479" s="1311"/>
      <c r="N479" s="1311"/>
      <c r="O479" s="1311"/>
      <c r="P479" s="1311"/>
      <c r="Q479" s="1311"/>
      <c r="R479" s="1311"/>
      <c r="S479" s="1311"/>
    </row>
    <row r="480" spans="1:19" ht="19.5" customHeight="1" x14ac:dyDescent="0.25">
      <c r="A480" s="1311"/>
      <c r="C480" s="380"/>
      <c r="D480" s="381" t="s">
        <v>331</v>
      </c>
      <c r="E480" s="379"/>
      <c r="F480" s="1296"/>
      <c r="H480" s="1311"/>
      <c r="I480" s="1311"/>
      <c r="J480" s="1311"/>
      <c r="K480" s="1311"/>
      <c r="L480" s="1311"/>
      <c r="M480" s="1311"/>
      <c r="N480" s="1311"/>
      <c r="O480" s="1311"/>
      <c r="P480" s="1311"/>
      <c r="Q480" s="1311"/>
      <c r="R480" s="1311"/>
      <c r="S480" s="1311"/>
    </row>
    <row r="481" spans="1:19" ht="15" customHeight="1" x14ac:dyDescent="0.25">
      <c r="A481" s="1311"/>
      <c r="C481" s="39"/>
      <c r="D481" s="207">
        <v>4.3</v>
      </c>
      <c r="E481" s="206" t="s">
        <v>1353</v>
      </c>
      <c r="F481" s="1296"/>
      <c r="H481" s="1311"/>
      <c r="I481" s="1311"/>
      <c r="J481" s="1311"/>
      <c r="K481" s="1311"/>
      <c r="L481" s="1311"/>
      <c r="M481" s="1311"/>
      <c r="N481" s="1311"/>
      <c r="O481" s="1311"/>
      <c r="P481" s="1311"/>
      <c r="Q481" s="1311"/>
      <c r="R481" s="1311"/>
      <c r="S481" s="1311"/>
    </row>
    <row r="482" spans="1:19" ht="15" customHeight="1" x14ac:dyDescent="0.25">
      <c r="A482" s="1311"/>
      <c r="C482" s="39"/>
      <c r="D482" s="207"/>
      <c r="E482" s="39" t="s">
        <v>72</v>
      </c>
      <c r="F482" s="1296" t="s">
        <v>1354</v>
      </c>
      <c r="H482" s="1311"/>
      <c r="I482" s="1311"/>
      <c r="J482" s="1311"/>
      <c r="K482" s="1311"/>
      <c r="L482" s="1311"/>
      <c r="M482" s="1311"/>
      <c r="N482" s="1311"/>
      <c r="O482" s="1311"/>
      <c r="P482" s="1311"/>
      <c r="Q482" s="1311"/>
      <c r="R482" s="1311"/>
      <c r="S482" s="1311"/>
    </row>
    <row r="483" spans="1:19" ht="27.9" customHeight="1" x14ac:dyDescent="0.25">
      <c r="A483" s="1311"/>
      <c r="C483" s="39"/>
      <c r="D483" s="207"/>
      <c r="E483" s="39" t="s">
        <v>73</v>
      </c>
      <c r="F483" s="1296" t="s">
        <v>1358</v>
      </c>
      <c r="H483" s="1311"/>
      <c r="I483" s="1311"/>
      <c r="J483" s="1311"/>
      <c r="K483" s="1311"/>
      <c r="L483" s="1311"/>
      <c r="M483" s="1311"/>
      <c r="N483" s="1311"/>
      <c r="O483" s="1311"/>
      <c r="P483" s="1311"/>
      <c r="Q483" s="1311"/>
      <c r="R483" s="1311"/>
      <c r="S483" s="1311"/>
    </row>
    <row r="484" spans="1:19" ht="5.25" customHeight="1" x14ac:dyDescent="0.25">
      <c r="A484" s="1311"/>
      <c r="F484" s="1295"/>
      <c r="H484" s="1311"/>
      <c r="I484" s="1311"/>
      <c r="J484" s="1311"/>
      <c r="K484" s="1311"/>
      <c r="L484" s="1311"/>
      <c r="M484" s="1311"/>
      <c r="N484" s="1311"/>
      <c r="O484" s="1311"/>
      <c r="P484" s="1311"/>
      <c r="Q484" s="1311"/>
      <c r="R484" s="1311"/>
      <c r="S484" s="1311"/>
    </row>
    <row r="485" spans="1:19" ht="19.5" customHeight="1" x14ac:dyDescent="0.25">
      <c r="A485" s="1311"/>
      <c r="C485" s="380"/>
      <c r="D485" s="381" t="s">
        <v>1032</v>
      </c>
      <c r="E485" s="379"/>
      <c r="F485" s="1296"/>
      <c r="H485" s="1311"/>
      <c r="I485" s="1311"/>
      <c r="J485" s="1311"/>
      <c r="K485" s="1311"/>
      <c r="L485" s="1311"/>
      <c r="M485" s="1311"/>
      <c r="N485" s="1311"/>
      <c r="O485" s="1311"/>
      <c r="P485" s="1311"/>
      <c r="Q485" s="1311"/>
      <c r="R485" s="1311"/>
      <c r="S485" s="1311"/>
    </row>
    <row r="486" spans="1:19" ht="15" customHeight="1" x14ac:dyDescent="0.25">
      <c r="A486" s="1311"/>
      <c r="C486" s="39"/>
      <c r="D486" s="207">
        <v>4.4000000000000004</v>
      </c>
      <c r="E486" s="206" t="s">
        <v>1355</v>
      </c>
      <c r="F486" s="1296"/>
      <c r="H486" s="1311"/>
      <c r="I486" s="1311"/>
      <c r="J486" s="1311"/>
      <c r="K486" s="1311"/>
      <c r="L486" s="1311"/>
      <c r="M486" s="1311"/>
      <c r="N486" s="1311"/>
      <c r="O486" s="1311"/>
      <c r="P486" s="1311"/>
      <c r="Q486" s="1311"/>
      <c r="R486" s="1311"/>
      <c r="S486" s="1311"/>
    </row>
    <row r="487" spans="1:19" ht="27.9" customHeight="1" x14ac:dyDescent="0.25">
      <c r="A487" s="1311"/>
      <c r="C487" s="39"/>
      <c r="D487" s="207"/>
      <c r="E487" s="39" t="s">
        <v>199</v>
      </c>
      <c r="F487" s="1296" t="s">
        <v>1352</v>
      </c>
      <c r="H487" s="1311"/>
      <c r="I487" s="1311"/>
      <c r="J487" s="1311"/>
      <c r="K487" s="1311"/>
      <c r="L487" s="1311"/>
      <c r="M487" s="1311"/>
      <c r="N487" s="1311"/>
      <c r="O487" s="1311"/>
      <c r="P487" s="1311"/>
      <c r="Q487" s="1311"/>
      <c r="R487" s="1311"/>
      <c r="S487" s="1311"/>
    </row>
    <row r="488" spans="1:19" ht="27.9" customHeight="1" x14ac:dyDescent="0.25">
      <c r="A488" s="1311"/>
      <c r="C488" s="39"/>
      <c r="D488" s="207"/>
      <c r="E488" s="39" t="s">
        <v>200</v>
      </c>
      <c r="F488" s="1296" t="s">
        <v>1716</v>
      </c>
      <c r="H488" s="1311"/>
      <c r="I488" s="1311"/>
      <c r="J488" s="1311"/>
      <c r="K488" s="1311"/>
      <c r="L488" s="1311"/>
      <c r="M488" s="1311"/>
      <c r="N488" s="1311"/>
      <c r="O488" s="1311"/>
      <c r="P488" s="1311"/>
      <c r="Q488" s="1311"/>
      <c r="R488" s="1311"/>
      <c r="S488" s="1311"/>
    </row>
    <row r="489" spans="1:19" ht="5.25" customHeight="1" x14ac:dyDescent="0.25">
      <c r="A489" s="1311"/>
      <c r="F489" s="1295"/>
      <c r="H489" s="1311"/>
      <c r="I489" s="1311"/>
      <c r="J489" s="1311"/>
      <c r="K489" s="1311"/>
      <c r="L489" s="1311"/>
      <c r="M489" s="1311"/>
      <c r="N489" s="1311"/>
      <c r="O489" s="1311"/>
      <c r="P489" s="1311"/>
      <c r="Q489" s="1311"/>
      <c r="R489" s="1311"/>
      <c r="S489" s="1311"/>
    </row>
    <row r="490" spans="1:19" ht="19.5" customHeight="1" x14ac:dyDescent="0.25">
      <c r="A490" s="1311"/>
      <c r="C490" s="380"/>
      <c r="D490" s="381" t="s">
        <v>1239</v>
      </c>
      <c r="E490" s="379"/>
      <c r="F490" s="1296"/>
      <c r="H490" s="1311"/>
      <c r="I490" s="1311"/>
      <c r="J490" s="1311"/>
      <c r="K490" s="1311"/>
      <c r="L490" s="1311"/>
      <c r="M490" s="1311"/>
      <c r="N490" s="1311"/>
      <c r="O490" s="1311"/>
      <c r="P490" s="1311"/>
      <c r="Q490" s="1311"/>
      <c r="R490" s="1311"/>
      <c r="S490" s="1311"/>
    </row>
    <row r="491" spans="1:19" ht="15" customHeight="1" x14ac:dyDescent="0.25">
      <c r="A491" s="1311"/>
      <c r="C491" s="39"/>
      <c r="D491" s="207">
        <v>4.5</v>
      </c>
      <c r="E491" s="206" t="s">
        <v>2460</v>
      </c>
      <c r="F491" s="1296"/>
      <c r="H491" s="1311"/>
      <c r="I491" s="1311"/>
      <c r="J491" s="1311"/>
      <c r="K491" s="1311"/>
      <c r="L491" s="1311"/>
      <c r="M491" s="1311"/>
      <c r="N491" s="1311"/>
      <c r="O491" s="1311"/>
      <c r="P491" s="1311"/>
      <c r="Q491" s="1311"/>
      <c r="R491" s="1311"/>
      <c r="S491" s="1311"/>
    </row>
    <row r="492" spans="1:19" ht="15" customHeight="1" x14ac:dyDescent="0.25">
      <c r="A492" s="1311"/>
      <c r="C492" s="39"/>
      <c r="D492" s="207"/>
      <c r="E492" s="1097" t="s">
        <v>201</v>
      </c>
      <c r="F492" s="1297" t="s">
        <v>3468</v>
      </c>
      <c r="H492" s="1311"/>
      <c r="I492" s="1311"/>
      <c r="J492" s="1311"/>
      <c r="K492" s="1311"/>
      <c r="L492" s="1311"/>
      <c r="M492" s="1311"/>
      <c r="N492" s="1311"/>
      <c r="O492" s="1311"/>
      <c r="P492" s="1311"/>
      <c r="Q492" s="1311"/>
      <c r="R492" s="1311"/>
      <c r="S492" s="1311"/>
    </row>
    <row r="493" spans="1:19" ht="15" customHeight="1" x14ac:dyDescent="0.25">
      <c r="A493" s="1311"/>
      <c r="C493" s="39"/>
      <c r="D493" s="207"/>
      <c r="E493" s="1097" t="s">
        <v>202</v>
      </c>
      <c r="F493" s="1297" t="s">
        <v>3469</v>
      </c>
      <c r="H493" s="1311"/>
      <c r="I493" s="1311"/>
      <c r="J493" s="1311"/>
      <c r="K493" s="1311"/>
      <c r="L493" s="1311"/>
      <c r="M493" s="1311"/>
      <c r="N493" s="1311"/>
      <c r="O493" s="1311"/>
      <c r="P493" s="1311"/>
      <c r="Q493" s="1311"/>
      <c r="R493" s="1311"/>
      <c r="S493" s="1311"/>
    </row>
    <row r="494" spans="1:19" ht="15" customHeight="1" x14ac:dyDescent="0.25">
      <c r="A494" s="1311"/>
      <c r="C494" s="39"/>
      <c r="D494" s="207"/>
      <c r="E494" s="1097" t="s">
        <v>203</v>
      </c>
      <c r="F494" s="1297" t="s">
        <v>1356</v>
      </c>
      <c r="H494" s="1311"/>
      <c r="I494" s="1311"/>
      <c r="J494" s="1311"/>
      <c r="K494" s="1311"/>
      <c r="L494" s="1311"/>
      <c r="M494" s="1311"/>
      <c r="N494" s="1311"/>
      <c r="O494" s="1311"/>
      <c r="P494" s="1311"/>
      <c r="Q494" s="1311"/>
      <c r="R494" s="1311"/>
      <c r="S494" s="1311"/>
    </row>
    <row r="495" spans="1:19" ht="15" customHeight="1" x14ac:dyDescent="0.25">
      <c r="A495" s="1311"/>
      <c r="C495" s="39"/>
      <c r="D495" s="2081"/>
      <c r="E495" s="1097" t="s">
        <v>204</v>
      </c>
      <c r="F495" s="1297" t="s">
        <v>2461</v>
      </c>
      <c r="H495" s="1311"/>
      <c r="I495" s="1311"/>
      <c r="J495" s="1311"/>
      <c r="K495" s="1311"/>
      <c r="L495" s="1311"/>
      <c r="M495" s="1311"/>
      <c r="N495" s="1311"/>
      <c r="O495" s="1311"/>
      <c r="P495" s="1311"/>
      <c r="Q495" s="1311"/>
      <c r="R495" s="1311"/>
      <c r="S495" s="1311"/>
    </row>
    <row r="496" spans="1:19" ht="15" hidden="1" customHeight="1" x14ac:dyDescent="0.25">
      <c r="A496" s="1311"/>
      <c r="C496" s="39"/>
      <c r="D496" s="207"/>
      <c r="E496" s="1097" t="s">
        <v>205</v>
      </c>
      <c r="F496" s="1297" t="s">
        <v>1359</v>
      </c>
      <c r="H496" s="1311"/>
      <c r="I496" s="1311"/>
      <c r="J496" s="1311"/>
      <c r="K496" s="1311"/>
      <c r="L496" s="1311"/>
      <c r="M496" s="1311"/>
      <c r="N496" s="1311"/>
      <c r="O496" s="1311"/>
      <c r="P496" s="1311"/>
      <c r="Q496" s="1311"/>
      <c r="R496" s="1311"/>
      <c r="S496" s="1311"/>
    </row>
    <row r="497" spans="1:19" ht="15" customHeight="1" x14ac:dyDescent="0.25">
      <c r="A497" s="1311"/>
      <c r="D497" s="1275"/>
      <c r="E497" s="1275"/>
      <c r="F497" s="1301"/>
      <c r="H497" s="1311"/>
      <c r="I497" s="1311"/>
      <c r="J497" s="1311"/>
      <c r="K497" s="1311"/>
      <c r="L497" s="1311"/>
      <c r="M497" s="1311"/>
      <c r="N497" s="1311"/>
      <c r="O497" s="1311"/>
      <c r="P497" s="1311"/>
      <c r="Q497" s="1311"/>
      <c r="R497" s="1311"/>
      <c r="S497" s="1311"/>
    </row>
    <row r="498" spans="1:19" ht="30" customHeight="1" x14ac:dyDescent="0.25">
      <c r="A498" s="1311"/>
      <c r="C498" s="39"/>
      <c r="D498" s="2088" t="s">
        <v>2468</v>
      </c>
      <c r="F498" s="1296"/>
      <c r="H498" s="1311"/>
      <c r="I498" s="1311"/>
      <c r="J498" s="1311"/>
      <c r="K498" s="1311"/>
      <c r="L498" s="1311"/>
      <c r="M498" s="1311"/>
      <c r="N498" s="1311"/>
      <c r="O498" s="1311"/>
      <c r="P498" s="1311"/>
      <c r="Q498" s="1311"/>
      <c r="R498" s="1311"/>
      <c r="S498" s="1311"/>
    </row>
    <row r="499" spans="1:19" s="39" customFormat="1" ht="18.75" customHeight="1" x14ac:dyDescent="0.25">
      <c r="A499" s="1311"/>
      <c r="D499" s="998">
        <v>4.5999999999999996</v>
      </c>
      <c r="E499" s="1435" t="s">
        <v>346</v>
      </c>
      <c r="F499" s="1296"/>
      <c r="H499" s="1313"/>
      <c r="I499" s="1313"/>
      <c r="J499" s="1313"/>
      <c r="K499" s="1313"/>
      <c r="L499" s="1313"/>
      <c r="M499" s="1313"/>
      <c r="N499" s="1313"/>
      <c r="O499" s="1313"/>
      <c r="P499" s="1313"/>
      <c r="Q499" s="1313"/>
      <c r="R499" s="1313"/>
      <c r="S499" s="1313"/>
    </row>
    <row r="500" spans="1:19" ht="27.9" customHeight="1" x14ac:dyDescent="0.25">
      <c r="A500" s="1311"/>
      <c r="C500" s="39"/>
      <c r="D500" s="207"/>
      <c r="E500" s="39" t="s">
        <v>206</v>
      </c>
      <c r="F500" s="1296" t="s">
        <v>2462</v>
      </c>
      <c r="H500" s="1311"/>
      <c r="I500" s="1311"/>
      <c r="J500" s="1311"/>
      <c r="K500" s="1311"/>
      <c r="L500" s="1311"/>
      <c r="M500" s="1311"/>
      <c r="N500" s="1311"/>
      <c r="O500" s="1311"/>
      <c r="P500" s="1311"/>
      <c r="Q500" s="1311"/>
      <c r="R500" s="1311"/>
      <c r="S500" s="1311"/>
    </row>
    <row r="501" spans="1:19" ht="42" customHeight="1" x14ac:dyDescent="0.25">
      <c r="A501" s="1311"/>
      <c r="C501" s="39"/>
      <c r="D501" s="207"/>
      <c r="E501" s="39" t="s">
        <v>207</v>
      </c>
      <c r="F501" s="1296" t="s">
        <v>453</v>
      </c>
      <c r="H501" s="1311"/>
      <c r="I501" s="1311"/>
      <c r="J501" s="1311"/>
      <c r="K501" s="1311"/>
      <c r="L501" s="1311"/>
      <c r="M501" s="1311"/>
      <c r="N501" s="1311"/>
      <c r="O501" s="1311"/>
      <c r="P501" s="1311"/>
      <c r="Q501" s="1311"/>
      <c r="R501" s="1311"/>
      <c r="S501" s="1311"/>
    </row>
    <row r="502" spans="1:19" ht="27.9" customHeight="1" x14ac:dyDescent="0.25">
      <c r="A502" s="1311"/>
      <c r="C502" s="39"/>
      <c r="D502" s="207"/>
      <c r="E502" s="39" t="s">
        <v>208</v>
      </c>
      <c r="F502" s="1296" t="s">
        <v>3470</v>
      </c>
      <c r="H502" s="1311"/>
      <c r="I502" s="1311"/>
      <c r="J502" s="1311"/>
      <c r="K502" s="1311"/>
      <c r="L502" s="1311"/>
      <c r="M502" s="1311"/>
      <c r="N502" s="1311"/>
      <c r="O502" s="1311"/>
      <c r="P502" s="1311"/>
      <c r="Q502" s="1311"/>
      <c r="R502" s="1311"/>
      <c r="S502" s="1311"/>
    </row>
    <row r="503" spans="1:19" ht="42" customHeight="1" x14ac:dyDescent="0.25">
      <c r="A503" s="1311"/>
      <c r="C503" s="39"/>
      <c r="D503" s="207"/>
      <c r="E503" s="39" t="s">
        <v>209</v>
      </c>
      <c r="F503" s="1296" t="s">
        <v>1240</v>
      </c>
      <c r="H503" s="1311"/>
      <c r="I503" s="1311"/>
      <c r="J503" s="1311"/>
      <c r="K503" s="1311"/>
      <c r="L503" s="1311"/>
      <c r="M503" s="1311"/>
      <c r="N503" s="1311"/>
      <c r="O503" s="1311"/>
      <c r="P503" s="1311"/>
      <c r="Q503" s="1311"/>
      <c r="R503" s="1311"/>
      <c r="S503" s="1311"/>
    </row>
    <row r="504" spans="1:19" ht="27.9" customHeight="1" x14ac:dyDescent="0.25">
      <c r="A504" s="1311"/>
      <c r="C504" s="39"/>
      <c r="D504" s="207"/>
      <c r="E504" s="39" t="s">
        <v>210</v>
      </c>
      <c r="F504" s="1296" t="s">
        <v>1055</v>
      </c>
      <c r="H504" s="1311"/>
      <c r="I504" s="1311"/>
      <c r="J504" s="1311"/>
      <c r="K504" s="1311"/>
      <c r="L504" s="1311"/>
      <c r="M504" s="1311"/>
      <c r="N504" s="1311"/>
      <c r="O504" s="1311"/>
      <c r="P504" s="1311"/>
      <c r="Q504" s="1311"/>
      <c r="R504" s="1311"/>
      <c r="S504" s="1311"/>
    </row>
    <row r="505" spans="1:19" ht="33" customHeight="1" x14ac:dyDescent="0.25">
      <c r="A505" s="1311"/>
      <c r="C505" s="39"/>
      <c r="D505" s="207"/>
      <c r="E505" s="39" t="s">
        <v>211</v>
      </c>
      <c r="F505" s="1302" t="s">
        <v>3471</v>
      </c>
      <c r="H505" s="1311"/>
      <c r="I505" s="1311"/>
      <c r="J505" s="1311"/>
      <c r="K505" s="1311"/>
      <c r="L505" s="1311"/>
      <c r="M505" s="1311"/>
      <c r="N505" s="1311"/>
      <c r="O505" s="1311"/>
      <c r="P505" s="1311"/>
      <c r="Q505" s="1311"/>
      <c r="R505" s="1311"/>
      <c r="S505" s="1311"/>
    </row>
    <row r="506" spans="1:19" ht="15" customHeight="1" x14ac:dyDescent="0.25">
      <c r="A506" s="1311"/>
      <c r="C506" s="39"/>
      <c r="D506" s="207"/>
      <c r="E506" s="39" t="s">
        <v>212</v>
      </c>
      <c r="F506" s="1296" t="s">
        <v>2467</v>
      </c>
      <c r="H506" s="1311"/>
      <c r="I506" s="1311"/>
      <c r="J506" s="1311"/>
      <c r="K506" s="1311"/>
      <c r="L506" s="1311"/>
      <c r="M506" s="1311"/>
      <c r="N506" s="1311"/>
      <c r="O506" s="1311"/>
      <c r="P506" s="1311"/>
      <c r="Q506" s="1311"/>
      <c r="R506" s="1311"/>
      <c r="S506" s="1311"/>
    </row>
    <row r="507" spans="1:19" ht="5.25" customHeight="1" x14ac:dyDescent="0.25">
      <c r="A507" s="1311"/>
      <c r="F507" s="1295"/>
      <c r="H507" s="1311"/>
      <c r="I507" s="1311"/>
      <c r="J507" s="1311"/>
      <c r="K507" s="1311"/>
      <c r="L507" s="1311"/>
      <c r="M507" s="1311"/>
      <c r="N507" s="1311"/>
      <c r="O507" s="1311"/>
      <c r="P507" s="1311"/>
      <c r="Q507" s="1311"/>
      <c r="R507" s="1311"/>
      <c r="S507" s="1311"/>
    </row>
    <row r="508" spans="1:19" ht="15" customHeight="1" x14ac:dyDescent="0.3">
      <c r="A508" s="1311"/>
      <c r="C508" s="39"/>
      <c r="D508" s="1276">
        <v>4.7</v>
      </c>
      <c r="E508" s="1436" t="s">
        <v>155</v>
      </c>
      <c r="F508" s="1296"/>
      <c r="H508" s="1311"/>
      <c r="I508" s="1311"/>
      <c r="J508" s="1311"/>
      <c r="K508" s="1311"/>
      <c r="L508" s="1311"/>
      <c r="M508" s="1311"/>
      <c r="N508" s="1311"/>
      <c r="O508" s="1311"/>
      <c r="P508" s="1311"/>
      <c r="Q508" s="1311"/>
      <c r="R508" s="1311"/>
      <c r="S508" s="1311"/>
    </row>
    <row r="509" spans="1:19" ht="27.9" customHeight="1" x14ac:dyDescent="0.25">
      <c r="A509" s="1311"/>
      <c r="C509" s="39"/>
      <c r="D509" s="207"/>
      <c r="E509" s="39" t="s">
        <v>213</v>
      </c>
      <c r="F509" s="1296" t="s">
        <v>1361</v>
      </c>
      <c r="H509" s="1311"/>
      <c r="I509" s="1311"/>
      <c r="J509" s="1311"/>
      <c r="K509" s="1311"/>
      <c r="L509" s="1311"/>
      <c r="M509" s="1311"/>
      <c r="N509" s="1311"/>
      <c r="O509" s="1311"/>
      <c r="P509" s="1311"/>
      <c r="Q509" s="1311"/>
      <c r="R509" s="1311"/>
      <c r="S509" s="1311"/>
    </row>
    <row r="510" spans="1:19" ht="15" customHeight="1" x14ac:dyDescent="0.25">
      <c r="A510" s="1311"/>
      <c r="C510" s="39"/>
      <c r="D510" s="207"/>
      <c r="E510" s="39" t="s">
        <v>214</v>
      </c>
      <c r="F510" s="1296" t="s">
        <v>1360</v>
      </c>
      <c r="H510" s="1311"/>
      <c r="I510" s="1311"/>
      <c r="J510" s="1311"/>
      <c r="K510" s="1311"/>
      <c r="L510" s="1311"/>
      <c r="M510" s="1311"/>
      <c r="N510" s="1311"/>
      <c r="O510" s="1311"/>
      <c r="P510" s="1311"/>
      <c r="Q510" s="1311"/>
      <c r="R510" s="1311"/>
      <c r="S510" s="1311"/>
    </row>
    <row r="511" spans="1:19" ht="15" customHeight="1" x14ac:dyDescent="0.25">
      <c r="A511" s="1311"/>
      <c r="C511" s="39"/>
      <c r="D511" s="207"/>
      <c r="E511" s="39" t="s">
        <v>215</v>
      </c>
      <c r="F511" s="1296" t="s">
        <v>1363</v>
      </c>
      <c r="H511" s="1311"/>
      <c r="I511" s="1311"/>
      <c r="J511" s="1311"/>
      <c r="K511" s="1311"/>
      <c r="L511" s="1311"/>
      <c r="M511" s="1311"/>
      <c r="N511" s="1311"/>
      <c r="O511" s="1311"/>
      <c r="P511" s="1311"/>
      <c r="Q511" s="1311"/>
      <c r="R511" s="1311"/>
      <c r="S511" s="1311"/>
    </row>
    <row r="512" spans="1:19" ht="27.9" customHeight="1" x14ac:dyDescent="0.25">
      <c r="A512" s="1311"/>
      <c r="C512" s="39"/>
      <c r="D512" s="207"/>
      <c r="E512" s="39" t="s">
        <v>603</v>
      </c>
      <c r="F512" s="1296" t="s">
        <v>1364</v>
      </c>
      <c r="H512" s="1311"/>
      <c r="I512" s="1311"/>
      <c r="J512" s="1311"/>
      <c r="K512" s="1311"/>
      <c r="L512" s="1311"/>
      <c r="M512" s="1311"/>
      <c r="N512" s="1311"/>
      <c r="O512" s="1311"/>
      <c r="P512" s="1311"/>
      <c r="Q512" s="1311"/>
      <c r="R512" s="1311"/>
      <c r="S512" s="1311"/>
    </row>
    <row r="513" spans="1:19" ht="5.25" customHeight="1" x14ac:dyDescent="0.25">
      <c r="A513" s="1311"/>
      <c r="F513" s="1295"/>
      <c r="H513" s="1311"/>
      <c r="I513" s="1311"/>
      <c r="J513" s="1311"/>
      <c r="K513" s="1311"/>
      <c r="L513" s="1311"/>
      <c r="M513" s="1311"/>
      <c r="N513" s="1311"/>
      <c r="O513" s="1311"/>
      <c r="P513" s="1311"/>
      <c r="Q513" s="1311"/>
      <c r="R513" s="1311"/>
      <c r="S513" s="1311"/>
    </row>
    <row r="514" spans="1:19" ht="15" customHeight="1" x14ac:dyDescent="0.3">
      <c r="A514" s="1311"/>
      <c r="C514" s="39"/>
      <c r="D514" s="1276">
        <v>4.8</v>
      </c>
      <c r="E514" s="1436" t="s">
        <v>30</v>
      </c>
      <c r="F514" s="1296"/>
      <c r="H514" s="1311"/>
      <c r="I514" s="1311"/>
      <c r="J514" s="1311"/>
      <c r="K514" s="1311"/>
      <c r="L514" s="1311"/>
      <c r="M514" s="1311"/>
      <c r="N514" s="1311"/>
      <c r="O514" s="1311"/>
      <c r="P514" s="1311"/>
      <c r="Q514" s="1311"/>
      <c r="R514" s="1311"/>
      <c r="S514" s="1311"/>
    </row>
    <row r="515" spans="1:19" ht="15" customHeight="1" x14ac:dyDescent="0.25">
      <c r="A515" s="1311"/>
      <c r="C515" s="39"/>
      <c r="D515" s="207"/>
      <c r="E515" s="39" t="s">
        <v>216</v>
      </c>
      <c r="F515" s="1296" t="s">
        <v>1362</v>
      </c>
      <c r="H515" s="1311"/>
      <c r="I515" s="1311"/>
      <c r="J515" s="1311"/>
      <c r="K515" s="1311"/>
      <c r="L515" s="1311"/>
      <c r="M515" s="1311"/>
      <c r="N515" s="1311"/>
      <c r="O515" s="1311"/>
      <c r="P515" s="1311"/>
      <c r="Q515" s="1311"/>
      <c r="R515" s="1311"/>
      <c r="S515" s="1311"/>
    </row>
    <row r="516" spans="1:19" ht="27.9" customHeight="1" x14ac:dyDescent="0.25">
      <c r="A516" s="1311"/>
      <c r="C516" s="39"/>
      <c r="D516" s="207"/>
      <c r="E516" s="39" t="s">
        <v>217</v>
      </c>
      <c r="F516" s="1296" t="s">
        <v>3472</v>
      </c>
      <c r="H516" s="1311"/>
      <c r="I516" s="1311"/>
      <c r="J516" s="1311"/>
      <c r="K516" s="1311"/>
      <c r="L516" s="1311"/>
      <c r="M516" s="1311"/>
      <c r="N516" s="1311"/>
      <c r="O516" s="1311"/>
      <c r="P516" s="1311"/>
      <c r="Q516" s="1311"/>
      <c r="R516" s="1311"/>
      <c r="S516" s="1311"/>
    </row>
    <row r="517" spans="1:19" ht="15" customHeight="1" x14ac:dyDescent="0.25">
      <c r="A517" s="1311"/>
      <c r="C517" s="39"/>
      <c r="D517" s="207"/>
      <c r="E517" s="39" t="s">
        <v>218</v>
      </c>
      <c r="F517" s="1296" t="s">
        <v>3473</v>
      </c>
      <c r="H517" s="1311"/>
      <c r="I517" s="1311"/>
      <c r="J517" s="1311"/>
      <c r="K517" s="1311"/>
      <c r="L517" s="1311"/>
      <c r="M517" s="1311"/>
      <c r="N517" s="1311"/>
      <c r="O517" s="1311"/>
      <c r="P517" s="1311"/>
      <c r="Q517" s="1311"/>
      <c r="R517" s="1311"/>
      <c r="S517" s="1311"/>
    </row>
    <row r="518" spans="1:19" ht="27.9" customHeight="1" x14ac:dyDescent="0.25">
      <c r="A518" s="1311"/>
      <c r="C518" s="39"/>
      <c r="D518" s="207"/>
      <c r="E518" s="39" t="s">
        <v>219</v>
      </c>
      <c r="F518" s="1296" t="s">
        <v>3474</v>
      </c>
      <c r="H518" s="1311"/>
      <c r="I518" s="1311"/>
      <c r="J518" s="1311"/>
      <c r="K518" s="1311"/>
      <c r="L518" s="1311"/>
      <c r="M518" s="1311"/>
      <c r="N518" s="1311"/>
      <c r="O518" s="1311"/>
      <c r="P518" s="1311"/>
      <c r="Q518" s="1311"/>
      <c r="R518" s="1311"/>
      <c r="S518" s="1311"/>
    </row>
    <row r="519" spans="1:19" ht="5.25" customHeight="1" x14ac:dyDescent="0.25">
      <c r="A519" s="1311"/>
      <c r="F519" s="1295"/>
      <c r="H519" s="1311"/>
      <c r="I519" s="1311"/>
      <c r="J519" s="1311"/>
      <c r="K519" s="1311"/>
      <c r="L519" s="1311"/>
      <c r="M519" s="1311"/>
      <c r="N519" s="1311"/>
      <c r="O519" s="1311"/>
      <c r="P519" s="1311"/>
      <c r="Q519" s="1311"/>
      <c r="R519" s="1311"/>
      <c r="S519" s="1311"/>
    </row>
    <row r="520" spans="1:19" ht="15" customHeight="1" x14ac:dyDescent="0.3">
      <c r="A520" s="1311"/>
      <c r="C520" s="39"/>
      <c r="D520" s="1276">
        <v>4.9000000000000004</v>
      </c>
      <c r="E520" s="1436" t="s">
        <v>1365</v>
      </c>
      <c r="F520" s="1296"/>
      <c r="H520" s="1311"/>
      <c r="I520" s="1311"/>
      <c r="J520" s="1311"/>
      <c r="K520" s="1311"/>
      <c r="L520" s="1311"/>
      <c r="M520" s="1311"/>
      <c r="N520" s="1311"/>
      <c r="O520" s="1311"/>
      <c r="P520" s="1311"/>
      <c r="Q520" s="1311"/>
      <c r="R520" s="1311"/>
      <c r="S520" s="1311"/>
    </row>
    <row r="521" spans="1:19" ht="15" customHeight="1" x14ac:dyDescent="0.25">
      <c r="A521" s="1311"/>
      <c r="C521" s="39"/>
      <c r="D521" s="207"/>
      <c r="E521" s="39" t="s">
        <v>607</v>
      </c>
      <c r="F521" s="1296" t="s">
        <v>1366</v>
      </c>
      <c r="H521" s="1311"/>
      <c r="I521" s="1311"/>
      <c r="J521" s="1311"/>
      <c r="K521" s="1311"/>
      <c r="L521" s="1311"/>
      <c r="M521" s="1311"/>
      <c r="N521" s="1311"/>
      <c r="O521" s="1311"/>
      <c r="P521" s="1311"/>
      <c r="Q521" s="1311"/>
      <c r="R521" s="1311"/>
      <c r="S521" s="1311"/>
    </row>
    <row r="522" spans="1:19" ht="27.9" customHeight="1" x14ac:dyDescent="0.25">
      <c r="A522" s="1311"/>
      <c r="C522" s="39"/>
      <c r="D522" s="207"/>
      <c r="E522" s="39" t="s">
        <v>615</v>
      </c>
      <c r="F522" s="1296" t="s">
        <v>3475</v>
      </c>
      <c r="H522" s="1311"/>
      <c r="I522" s="1311"/>
      <c r="J522" s="1311"/>
      <c r="K522" s="1311"/>
      <c r="L522" s="1311"/>
      <c r="M522" s="1311"/>
      <c r="N522" s="1311"/>
      <c r="O522" s="1311"/>
      <c r="P522" s="1311"/>
      <c r="Q522" s="1311"/>
      <c r="R522" s="1311"/>
      <c r="S522" s="1311"/>
    </row>
    <row r="523" spans="1:19" ht="27.9" customHeight="1" x14ac:dyDescent="0.25">
      <c r="A523" s="1311"/>
      <c r="C523" s="39"/>
      <c r="D523" s="207"/>
      <c r="E523" s="39" t="s">
        <v>616</v>
      </c>
      <c r="F523" s="1296" t="s">
        <v>1367</v>
      </c>
      <c r="H523" s="1311"/>
      <c r="I523" s="1311"/>
      <c r="J523" s="1311"/>
      <c r="K523" s="1311"/>
      <c r="L523" s="1311"/>
      <c r="M523" s="1311"/>
      <c r="N523" s="1311"/>
      <c r="O523" s="1311"/>
      <c r="P523" s="1311"/>
      <c r="Q523" s="1311"/>
      <c r="R523" s="1311"/>
      <c r="S523" s="1311"/>
    </row>
    <row r="524" spans="1:19" ht="27.9" customHeight="1" x14ac:dyDescent="0.25">
      <c r="A524" s="1311"/>
      <c r="C524" s="39"/>
      <c r="D524" s="207"/>
      <c r="E524" s="39" t="s">
        <v>617</v>
      </c>
      <c r="F524" s="1296" t="s">
        <v>1401</v>
      </c>
      <c r="H524" s="1311"/>
      <c r="I524" s="1311"/>
      <c r="J524" s="1311"/>
      <c r="K524" s="1311"/>
      <c r="L524" s="1311"/>
      <c r="M524" s="1311"/>
      <c r="N524" s="1311"/>
      <c r="O524" s="1311"/>
      <c r="P524" s="1311"/>
      <c r="Q524" s="1311"/>
      <c r="R524" s="1311"/>
      <c r="S524" s="1311"/>
    </row>
    <row r="525" spans="1:19" ht="5.25" customHeight="1" x14ac:dyDescent="0.25">
      <c r="A525" s="1311"/>
      <c r="F525" s="1295"/>
      <c r="H525" s="1311"/>
      <c r="I525" s="1311"/>
      <c r="J525" s="1311"/>
      <c r="K525" s="1311"/>
      <c r="L525" s="1311"/>
      <c r="M525" s="1311"/>
      <c r="N525" s="1311"/>
      <c r="O525" s="1311"/>
      <c r="P525" s="1311"/>
      <c r="Q525" s="1311"/>
      <c r="R525" s="1311"/>
      <c r="S525" s="1311"/>
    </row>
    <row r="526" spans="1:19" ht="15" customHeight="1" x14ac:dyDescent="0.3">
      <c r="A526" s="1311"/>
      <c r="C526" s="39"/>
      <c r="D526" s="1277" t="s">
        <v>1373</v>
      </c>
      <c r="E526" s="1436" t="s">
        <v>3476</v>
      </c>
      <c r="F526" s="1296"/>
      <c r="H526" s="1311"/>
      <c r="I526" s="1311"/>
      <c r="J526" s="1311"/>
      <c r="K526" s="1311"/>
      <c r="L526" s="1311"/>
      <c r="M526" s="1311"/>
      <c r="N526" s="1311"/>
      <c r="O526" s="1311"/>
      <c r="P526" s="1311"/>
      <c r="Q526" s="1311"/>
      <c r="R526" s="1311"/>
      <c r="S526" s="1311"/>
    </row>
    <row r="527" spans="1:19" ht="27.9" customHeight="1" x14ac:dyDescent="0.25">
      <c r="A527" s="1311"/>
      <c r="C527" s="39"/>
      <c r="D527" s="207"/>
      <c r="E527" s="39" t="s">
        <v>1368</v>
      </c>
      <c r="F527" s="1296" t="s">
        <v>1664</v>
      </c>
      <c r="H527" s="1311"/>
      <c r="I527" s="1311"/>
      <c r="J527" s="1311"/>
      <c r="K527" s="1311"/>
      <c r="L527" s="1311"/>
      <c r="M527" s="1311"/>
      <c r="N527" s="1311"/>
      <c r="O527" s="1311"/>
      <c r="P527" s="1311"/>
      <c r="Q527" s="1311"/>
      <c r="R527" s="1311"/>
      <c r="S527" s="1311"/>
    </row>
    <row r="528" spans="1:19" ht="27.9" customHeight="1" x14ac:dyDescent="0.25">
      <c r="A528" s="1311"/>
      <c r="C528" s="39"/>
      <c r="D528" s="1621"/>
      <c r="E528" s="39" t="s">
        <v>1369</v>
      </c>
      <c r="F528" s="1296" t="s">
        <v>2465</v>
      </c>
      <c r="H528" s="1311"/>
      <c r="I528" s="1311"/>
      <c r="J528" s="1311"/>
      <c r="K528" s="1311"/>
      <c r="L528" s="1311"/>
      <c r="M528" s="1311"/>
      <c r="N528" s="1311"/>
      <c r="O528" s="1311"/>
      <c r="P528" s="1311"/>
      <c r="Q528" s="1311"/>
      <c r="R528" s="1311"/>
      <c r="S528" s="1311"/>
    </row>
    <row r="529" spans="1:19" ht="27.75" customHeight="1" x14ac:dyDescent="0.25">
      <c r="A529" s="1311"/>
      <c r="C529" s="39"/>
      <c r="D529" s="207"/>
      <c r="E529" s="39" t="s">
        <v>1370</v>
      </c>
      <c r="F529" s="1296" t="s">
        <v>1666</v>
      </c>
      <c r="H529" s="1311"/>
      <c r="I529" s="1311"/>
      <c r="J529" s="1311"/>
      <c r="K529" s="1311"/>
      <c r="L529" s="1311"/>
      <c r="M529" s="1311"/>
      <c r="N529" s="1311"/>
      <c r="O529" s="1311"/>
      <c r="P529" s="1311"/>
      <c r="Q529" s="1311"/>
      <c r="R529" s="1311"/>
      <c r="S529" s="1311"/>
    </row>
    <row r="530" spans="1:19" ht="27.9" customHeight="1" x14ac:dyDescent="0.25">
      <c r="A530" s="1311"/>
      <c r="C530" s="39"/>
      <c r="D530" s="207"/>
      <c r="E530" s="39" t="s">
        <v>1371</v>
      </c>
      <c r="F530" s="1296" t="s">
        <v>2466</v>
      </c>
      <c r="H530" s="1311"/>
      <c r="I530" s="1311"/>
      <c r="J530" s="1311"/>
      <c r="K530" s="1311"/>
      <c r="L530" s="1311"/>
      <c r="M530" s="1311"/>
      <c r="N530" s="1311"/>
      <c r="O530" s="1311"/>
      <c r="P530" s="1311"/>
      <c r="Q530" s="1311"/>
      <c r="R530" s="1311"/>
      <c r="S530" s="1311"/>
    </row>
    <row r="531" spans="1:19" ht="27.9" customHeight="1" x14ac:dyDescent="0.25">
      <c r="A531" s="1311"/>
      <c r="C531" s="39"/>
      <c r="D531" s="1621"/>
      <c r="E531" s="39" t="s">
        <v>1372</v>
      </c>
      <c r="F531" s="1296" t="s">
        <v>1667</v>
      </c>
      <c r="H531" s="1311"/>
      <c r="I531" s="1311"/>
      <c r="J531" s="1311"/>
      <c r="K531" s="1311"/>
      <c r="L531" s="1311"/>
      <c r="M531" s="1311"/>
      <c r="N531" s="1311"/>
      <c r="O531" s="1311"/>
      <c r="P531" s="1311"/>
      <c r="Q531" s="1311"/>
      <c r="R531" s="1311"/>
      <c r="S531" s="1311"/>
    </row>
    <row r="532" spans="1:19" ht="55.35" customHeight="1" x14ac:dyDescent="0.25">
      <c r="A532" s="1311"/>
      <c r="C532" s="39"/>
      <c r="D532" s="207"/>
      <c r="E532" s="39" t="s">
        <v>1668</v>
      </c>
      <c r="F532" s="1296" t="s">
        <v>2463</v>
      </c>
      <c r="H532" s="1311"/>
      <c r="I532" s="1311"/>
      <c r="J532" s="1311"/>
      <c r="K532" s="1311"/>
      <c r="L532" s="1311"/>
      <c r="M532" s="1311"/>
      <c r="N532" s="1311"/>
      <c r="O532" s="1311"/>
      <c r="P532" s="1311"/>
      <c r="Q532" s="1311"/>
      <c r="R532" s="1311"/>
      <c r="S532" s="1311"/>
    </row>
    <row r="533" spans="1:19" ht="42" customHeight="1" x14ac:dyDescent="0.25">
      <c r="A533" s="1311"/>
      <c r="C533" s="39"/>
      <c r="D533" s="207"/>
      <c r="E533" s="39" t="s">
        <v>1669</v>
      </c>
      <c r="F533" s="1296" t="s">
        <v>2464</v>
      </c>
      <c r="H533" s="1311"/>
      <c r="I533" s="1311"/>
      <c r="J533" s="1311"/>
      <c r="K533" s="1311"/>
      <c r="L533" s="1311"/>
      <c r="M533" s="1311"/>
      <c r="N533" s="1311"/>
      <c r="O533" s="1311"/>
      <c r="P533" s="1311"/>
      <c r="Q533" s="1311"/>
      <c r="R533" s="1311"/>
      <c r="S533" s="1311"/>
    </row>
    <row r="534" spans="1:19" ht="6" customHeight="1" x14ac:dyDescent="0.25">
      <c r="A534" s="1311"/>
      <c r="C534" s="39"/>
      <c r="D534" s="207"/>
      <c r="E534" s="39"/>
      <c r="F534" s="1300"/>
      <c r="H534" s="1311"/>
      <c r="I534" s="1311"/>
      <c r="J534" s="1311"/>
      <c r="K534" s="1311"/>
      <c r="L534" s="1311"/>
      <c r="M534" s="1311"/>
      <c r="N534" s="1311"/>
      <c r="O534" s="1311"/>
      <c r="P534" s="1311"/>
      <c r="Q534" s="1311"/>
      <c r="R534" s="1311"/>
      <c r="S534" s="1311"/>
    </row>
    <row r="535" spans="1:19" ht="39.9" customHeight="1" x14ac:dyDescent="0.25">
      <c r="A535" s="1311"/>
      <c r="C535" s="4140" t="s">
        <v>1467</v>
      </c>
      <c r="D535" s="4141"/>
      <c r="E535" s="4141"/>
      <c r="F535" s="4142"/>
      <c r="H535" s="1311"/>
      <c r="I535" s="1311"/>
      <c r="J535" s="1311"/>
      <c r="K535" s="1311"/>
      <c r="L535" s="1311"/>
      <c r="M535" s="1311"/>
      <c r="N535" s="1311"/>
      <c r="O535" s="1311"/>
      <c r="P535" s="1311"/>
      <c r="Q535" s="1311"/>
      <c r="R535" s="1311"/>
      <c r="S535" s="1311"/>
    </row>
    <row r="536" spans="1:19" ht="13.35" customHeight="1" x14ac:dyDescent="0.25">
      <c r="A536" s="1311"/>
      <c r="C536" s="1248"/>
      <c r="D536" s="39"/>
      <c r="E536" s="39"/>
      <c r="F536" s="1296"/>
      <c r="H536" s="1311"/>
      <c r="I536" s="1311"/>
      <c r="J536" s="1311"/>
      <c r="K536" s="1311"/>
      <c r="L536" s="1311"/>
      <c r="M536" s="1311"/>
      <c r="N536" s="1311"/>
      <c r="O536" s="1311"/>
      <c r="P536" s="1311"/>
      <c r="Q536" s="1311"/>
      <c r="R536" s="1311"/>
      <c r="S536" s="1311"/>
    </row>
    <row r="537" spans="1:19" s="747" customFormat="1" ht="24.6" customHeight="1" x14ac:dyDescent="0.25">
      <c r="A537" s="1311"/>
      <c r="C537" s="1250"/>
      <c r="D537" s="4143" t="s">
        <v>2455</v>
      </c>
      <c r="E537" s="4144"/>
      <c r="F537" s="4145"/>
      <c r="H537" s="1314"/>
      <c r="I537" s="1314"/>
      <c r="J537" s="1314"/>
      <c r="K537" s="1314"/>
      <c r="L537" s="1314"/>
      <c r="M537" s="1314"/>
      <c r="N537" s="1314"/>
      <c r="O537" s="1314"/>
      <c r="P537" s="1314"/>
      <c r="Q537" s="1314"/>
      <c r="R537" s="1314"/>
      <c r="S537" s="1314"/>
    </row>
    <row r="538" spans="1:19" s="747" customFormat="1" ht="32.4" customHeight="1" x14ac:dyDescent="0.25">
      <c r="A538" s="1311"/>
      <c r="D538" s="4134" t="s">
        <v>2454</v>
      </c>
      <c r="E538" s="4135"/>
      <c r="F538" s="4136"/>
      <c r="H538" s="1314"/>
      <c r="I538" s="1314"/>
      <c r="J538" s="1314"/>
      <c r="K538" s="1314"/>
      <c r="L538" s="1314"/>
      <c r="M538" s="1314"/>
      <c r="N538" s="1314"/>
      <c r="O538" s="1314"/>
      <c r="P538" s="1314"/>
      <c r="Q538" s="1314"/>
      <c r="R538" s="1314"/>
      <c r="S538" s="1314"/>
    </row>
    <row r="539" spans="1:19" ht="8.25" customHeight="1" x14ac:dyDescent="0.25">
      <c r="A539" s="1311"/>
      <c r="C539" s="1248"/>
      <c r="D539" s="39"/>
      <c r="E539" s="39"/>
      <c r="F539" s="1296"/>
      <c r="H539" s="1311"/>
      <c r="I539" s="1311"/>
      <c r="J539" s="1311"/>
      <c r="K539" s="1311"/>
      <c r="L539" s="1311"/>
      <c r="M539" s="1311"/>
      <c r="N539" s="1311"/>
      <c r="O539" s="1311"/>
      <c r="P539" s="1311"/>
      <c r="Q539" s="1311"/>
      <c r="R539" s="1311"/>
      <c r="S539" s="1311"/>
    </row>
    <row r="540" spans="1:19" ht="19.5" customHeight="1" x14ac:dyDescent="0.25">
      <c r="A540" s="1311"/>
      <c r="C540" s="380"/>
      <c r="D540" s="381" t="s">
        <v>331</v>
      </c>
      <c r="E540" s="379"/>
      <c r="F540" s="1296"/>
      <c r="H540" s="1311"/>
      <c r="I540" s="1311"/>
      <c r="J540" s="1311"/>
      <c r="K540" s="1311"/>
      <c r="L540" s="1311"/>
      <c r="M540" s="1311"/>
      <c r="N540" s="1311"/>
      <c r="O540" s="1311"/>
      <c r="P540" s="1311"/>
      <c r="Q540" s="1311"/>
      <c r="R540" s="1311"/>
      <c r="S540" s="1311"/>
    </row>
    <row r="541" spans="1:19" ht="15" customHeight="1" x14ac:dyDescent="0.25">
      <c r="A541" s="1311"/>
      <c r="C541" s="39"/>
      <c r="D541" s="207">
        <v>5.0999999999999996</v>
      </c>
      <c r="E541" s="1251" t="s">
        <v>1315</v>
      </c>
      <c r="F541" s="1296"/>
      <c r="H541" s="1311"/>
      <c r="I541" s="1311"/>
      <c r="J541" s="1311"/>
      <c r="K541" s="1311"/>
      <c r="L541" s="1311"/>
      <c r="M541" s="1311"/>
      <c r="N541" s="1311"/>
      <c r="O541" s="1311"/>
      <c r="P541" s="1311"/>
      <c r="Q541" s="1311"/>
      <c r="R541" s="1311"/>
      <c r="S541" s="1311"/>
    </row>
    <row r="542" spans="1:19" ht="42" customHeight="1" x14ac:dyDescent="0.25">
      <c r="A542" s="1311"/>
      <c r="C542" s="39"/>
      <c r="D542" s="207"/>
      <c r="E542" s="39" t="s">
        <v>148</v>
      </c>
      <c r="F542" s="1296" t="s">
        <v>1754</v>
      </c>
      <c r="H542" s="1311"/>
      <c r="I542" s="1311"/>
      <c r="J542" s="1311"/>
      <c r="K542" s="1311"/>
      <c r="L542" s="1311"/>
      <c r="M542" s="1311"/>
      <c r="N542" s="1311"/>
      <c r="O542" s="1311"/>
      <c r="P542" s="1311"/>
      <c r="Q542" s="1311"/>
      <c r="R542" s="1311"/>
      <c r="S542" s="1311"/>
    </row>
    <row r="543" spans="1:19" ht="27.9" customHeight="1" x14ac:dyDescent="0.25">
      <c r="A543" s="1311"/>
      <c r="C543" s="39"/>
      <c r="D543" s="207"/>
      <c r="E543" s="39" t="s">
        <v>149</v>
      </c>
      <c r="F543" s="1296" t="s">
        <v>1756</v>
      </c>
      <c r="H543" s="1311"/>
      <c r="I543" s="1311"/>
      <c r="J543" s="1311"/>
      <c r="K543" s="1311"/>
      <c r="L543" s="1311"/>
      <c r="M543" s="1311"/>
      <c r="N543" s="1311"/>
      <c r="O543" s="1311"/>
      <c r="P543" s="1311"/>
      <c r="Q543" s="1311"/>
      <c r="R543" s="1311"/>
      <c r="S543" s="1311"/>
    </row>
    <row r="544" spans="1:19" ht="42" customHeight="1" x14ac:dyDescent="0.25">
      <c r="A544" s="1311"/>
      <c r="C544" s="39"/>
      <c r="D544" s="207"/>
      <c r="E544" s="39" t="s">
        <v>172</v>
      </c>
      <c r="F544" s="1296" t="s">
        <v>1755</v>
      </c>
      <c r="H544" s="1311"/>
      <c r="I544" s="1311"/>
      <c r="J544" s="1311"/>
      <c r="K544" s="1311"/>
      <c r="L544" s="1311"/>
      <c r="M544" s="1311"/>
      <c r="N544" s="1311"/>
      <c r="O544" s="1311"/>
      <c r="P544" s="1311"/>
      <c r="Q544" s="1311"/>
      <c r="R544" s="1311"/>
      <c r="S544" s="1311"/>
    </row>
    <row r="545" spans="1:19" ht="5.25" customHeight="1" x14ac:dyDescent="0.25">
      <c r="A545" s="1311"/>
      <c r="F545" s="1295"/>
      <c r="H545" s="1311"/>
      <c r="I545" s="1311"/>
      <c r="J545" s="1311"/>
      <c r="K545" s="1311"/>
      <c r="L545" s="1311"/>
      <c r="M545" s="1311"/>
      <c r="N545" s="1311"/>
      <c r="O545" s="1311"/>
      <c r="P545" s="1311"/>
      <c r="Q545" s="1311"/>
      <c r="R545" s="1311"/>
      <c r="S545" s="1311"/>
    </row>
    <row r="546" spans="1:19" ht="19.5" customHeight="1" x14ac:dyDescent="0.25">
      <c r="A546" s="1311"/>
      <c r="C546" s="380"/>
      <c r="D546" s="381" t="s">
        <v>1241</v>
      </c>
      <c r="E546" s="379"/>
      <c r="F546" s="1296"/>
      <c r="H546" s="1311"/>
      <c r="I546" s="1311"/>
      <c r="J546" s="1311"/>
      <c r="K546" s="1311"/>
      <c r="L546" s="1311"/>
      <c r="M546" s="1311"/>
      <c r="N546" s="1311"/>
      <c r="O546" s="1311"/>
      <c r="P546" s="1311"/>
      <c r="Q546" s="1311"/>
      <c r="R546" s="1311"/>
      <c r="S546" s="1311"/>
    </row>
    <row r="547" spans="1:19" ht="15" customHeight="1" x14ac:dyDescent="0.25">
      <c r="A547" s="1311"/>
      <c r="D547" s="207">
        <v>5.2</v>
      </c>
      <c r="E547" s="1251" t="s">
        <v>3477</v>
      </c>
      <c r="F547" s="1296"/>
      <c r="H547" s="1311"/>
      <c r="I547" s="1311"/>
      <c r="J547" s="1311"/>
      <c r="K547" s="1311"/>
      <c r="L547" s="1311"/>
      <c r="M547" s="1311"/>
      <c r="N547" s="1311"/>
      <c r="O547" s="1311"/>
      <c r="P547" s="1311"/>
      <c r="Q547" s="1311"/>
      <c r="R547" s="1311"/>
      <c r="S547" s="1311"/>
    </row>
    <row r="548" spans="1:19" ht="42" customHeight="1" x14ac:dyDescent="0.25">
      <c r="A548" s="1311"/>
      <c r="D548" s="207"/>
      <c r="E548" s="39" t="s">
        <v>173</v>
      </c>
      <c r="F548" s="1303" t="s">
        <v>917</v>
      </c>
      <c r="H548" s="1311"/>
      <c r="I548" s="1311"/>
      <c r="J548" s="1311"/>
      <c r="K548" s="1311"/>
      <c r="L548" s="1311"/>
      <c r="M548" s="1311"/>
      <c r="N548" s="1311"/>
      <c r="O548" s="1311"/>
      <c r="P548" s="1311"/>
      <c r="Q548" s="1311"/>
      <c r="R548" s="1311"/>
      <c r="S548" s="1311"/>
    </row>
    <row r="549" spans="1:19" ht="15" customHeight="1" x14ac:dyDescent="0.25">
      <c r="A549" s="1311"/>
      <c r="D549" s="207"/>
      <c r="E549" s="39" t="s">
        <v>174</v>
      </c>
      <c r="F549" s="1296" t="s">
        <v>1259</v>
      </c>
      <c r="H549" s="1311"/>
      <c r="I549" s="1311"/>
      <c r="J549" s="1311"/>
      <c r="K549" s="1311"/>
      <c r="L549" s="1311"/>
      <c r="M549" s="1311"/>
      <c r="N549" s="1311"/>
      <c r="O549" s="1311"/>
      <c r="P549" s="1311"/>
      <c r="Q549" s="1311"/>
      <c r="R549" s="1311"/>
      <c r="S549" s="1311"/>
    </row>
    <row r="550" spans="1:19" ht="30" customHeight="1" x14ac:dyDescent="0.25">
      <c r="A550" s="1311"/>
      <c r="D550" s="207"/>
      <c r="E550" s="39" t="s">
        <v>175</v>
      </c>
      <c r="F550" s="1296" t="s">
        <v>1325</v>
      </c>
      <c r="H550" s="1311"/>
      <c r="I550" s="1311"/>
      <c r="J550" s="1311"/>
      <c r="K550" s="1311"/>
      <c r="L550" s="1311"/>
      <c r="M550" s="1311"/>
      <c r="N550" s="1311"/>
      <c r="O550" s="1311"/>
      <c r="P550" s="1311"/>
      <c r="Q550" s="1311"/>
      <c r="R550" s="1311"/>
      <c r="S550" s="1311"/>
    </row>
    <row r="551" spans="1:19" ht="13.5" customHeight="1" x14ac:dyDescent="0.25">
      <c r="A551" s="1311"/>
      <c r="D551" s="207"/>
      <c r="E551" s="1097" t="s">
        <v>220</v>
      </c>
      <c r="F551" s="1363" t="s">
        <v>1770</v>
      </c>
      <c r="H551" s="1313"/>
      <c r="I551" s="1311"/>
      <c r="J551" s="1311"/>
      <c r="K551" s="1311"/>
      <c r="L551" s="1311"/>
      <c r="M551" s="1311"/>
      <c r="N551" s="1311"/>
      <c r="O551" s="1311"/>
      <c r="P551" s="1311"/>
      <c r="Q551" s="1311"/>
      <c r="R551" s="1311"/>
      <c r="S551" s="1311"/>
    </row>
    <row r="552" spans="1:19" ht="27.75" customHeight="1" x14ac:dyDescent="0.25">
      <c r="A552" s="1311"/>
      <c r="D552" s="1681"/>
      <c r="E552" s="1097"/>
      <c r="F552" s="1685" t="s">
        <v>1757</v>
      </c>
      <c r="H552" s="1313"/>
      <c r="I552" s="1311"/>
      <c r="J552" s="1311"/>
      <c r="K552" s="1311"/>
      <c r="L552" s="1311"/>
      <c r="M552" s="1311"/>
      <c r="N552" s="1311"/>
      <c r="O552" s="1311"/>
      <c r="P552" s="1311"/>
      <c r="Q552" s="1311"/>
      <c r="R552" s="1311"/>
      <c r="S552" s="1311"/>
    </row>
    <row r="553" spans="1:19" ht="41.25" customHeight="1" x14ac:dyDescent="0.25">
      <c r="A553" s="1311"/>
      <c r="D553" s="1543"/>
      <c r="E553" s="1097"/>
      <c r="F553" s="1685" t="s">
        <v>1771</v>
      </c>
      <c r="H553" s="1313"/>
      <c r="I553" s="1311"/>
      <c r="J553" s="1311"/>
      <c r="K553" s="1311"/>
      <c r="L553" s="1311"/>
      <c r="M553" s="1311"/>
      <c r="N553" s="1311"/>
      <c r="O553" s="1311"/>
      <c r="P553" s="1311"/>
      <c r="Q553" s="1311"/>
      <c r="R553" s="1311"/>
      <c r="S553" s="1311"/>
    </row>
    <row r="554" spans="1:19" ht="18" customHeight="1" x14ac:dyDescent="0.25">
      <c r="A554" s="1311"/>
      <c r="D554" s="1681"/>
      <c r="E554" s="1097"/>
      <c r="F554" s="1685" t="s">
        <v>1766</v>
      </c>
      <c r="H554" s="1313"/>
      <c r="I554" s="1311"/>
      <c r="J554" s="1311"/>
      <c r="K554" s="1311"/>
      <c r="L554" s="1311"/>
      <c r="M554" s="1311"/>
      <c r="N554" s="1311"/>
      <c r="O554" s="1311"/>
      <c r="P554" s="1311"/>
      <c r="Q554" s="1311"/>
      <c r="R554" s="1311"/>
      <c r="S554" s="1311"/>
    </row>
    <row r="555" spans="1:19" ht="46.5" customHeight="1" x14ac:dyDescent="0.25">
      <c r="A555" s="1311"/>
      <c r="D555" s="1681"/>
      <c r="E555" s="1097"/>
      <c r="F555" s="1685" t="s">
        <v>1758</v>
      </c>
      <c r="H555" s="1313"/>
      <c r="I555" s="1311"/>
      <c r="J555" s="1311"/>
      <c r="K555" s="1311"/>
      <c r="L555" s="1311"/>
      <c r="M555" s="1311"/>
      <c r="N555" s="1311"/>
      <c r="O555" s="1311"/>
      <c r="P555" s="1311"/>
      <c r="Q555" s="1311"/>
      <c r="R555" s="1311"/>
      <c r="S555" s="1311"/>
    </row>
    <row r="556" spans="1:19" ht="15" customHeight="1" x14ac:dyDescent="0.25">
      <c r="A556" s="1311"/>
      <c r="D556" s="1681"/>
      <c r="E556" s="1097" t="s">
        <v>221</v>
      </c>
      <c r="F556" s="1363" t="s">
        <v>1772</v>
      </c>
      <c r="H556" s="1313"/>
      <c r="I556" s="1311"/>
      <c r="J556" s="1311"/>
      <c r="K556" s="1311"/>
      <c r="L556" s="1311"/>
      <c r="M556" s="1311"/>
      <c r="N556" s="1311"/>
      <c r="O556" s="1311"/>
      <c r="P556" s="1311"/>
      <c r="Q556" s="1311"/>
      <c r="R556" s="1311"/>
      <c r="S556" s="1311"/>
    </row>
    <row r="557" spans="1:19" ht="39.75" customHeight="1" x14ac:dyDescent="0.25">
      <c r="A557" s="1311"/>
      <c r="D557" s="207"/>
      <c r="E557" s="1097"/>
      <c r="F557" s="1685" t="s">
        <v>1760</v>
      </c>
      <c r="H557" s="1311"/>
      <c r="I557" s="1311"/>
      <c r="J557" s="1311"/>
      <c r="K557" s="1311"/>
      <c r="L557" s="1311"/>
      <c r="M557" s="1311"/>
      <c r="N557" s="1311"/>
      <c r="O557" s="1311"/>
      <c r="P557" s="1311"/>
      <c r="Q557" s="1311"/>
      <c r="R557" s="1311"/>
      <c r="S557" s="1311"/>
    </row>
    <row r="558" spans="1:19" ht="41.25" customHeight="1" x14ac:dyDescent="0.25">
      <c r="A558" s="1311"/>
      <c r="D558" s="1681"/>
      <c r="E558" s="1097"/>
      <c r="F558" s="1685" t="s">
        <v>1761</v>
      </c>
      <c r="H558" s="1311"/>
      <c r="I558" s="1311"/>
      <c r="J558" s="1311"/>
      <c r="K558" s="1311"/>
      <c r="L558" s="1311"/>
      <c r="M558" s="1311"/>
      <c r="N558" s="1311"/>
      <c r="O558" s="1311"/>
      <c r="P558" s="1311"/>
      <c r="Q558" s="1311"/>
      <c r="R558" s="1311"/>
      <c r="S558" s="1311"/>
    </row>
    <row r="559" spans="1:19" ht="31.5" customHeight="1" x14ac:dyDescent="0.25">
      <c r="A559" s="1311"/>
      <c r="D559" s="1681"/>
      <c r="E559" s="1097"/>
      <c r="F559" s="1685" t="s">
        <v>1773</v>
      </c>
      <c r="H559" s="1311"/>
      <c r="I559" s="1311"/>
      <c r="J559" s="1311"/>
      <c r="K559" s="1311"/>
      <c r="L559" s="1311"/>
      <c r="M559" s="1311"/>
      <c r="N559" s="1311"/>
      <c r="O559" s="1311"/>
      <c r="P559" s="1311"/>
      <c r="Q559" s="1311"/>
      <c r="R559" s="1311"/>
      <c r="S559" s="1311"/>
    </row>
    <row r="560" spans="1:19" ht="68.25" customHeight="1" x14ac:dyDescent="0.25">
      <c r="A560" s="1311"/>
      <c r="D560" s="1681"/>
      <c r="E560" s="1097" t="s">
        <v>222</v>
      </c>
      <c r="F560" s="1685" t="s">
        <v>1779</v>
      </c>
      <c r="H560" s="1313"/>
      <c r="I560" s="1311"/>
      <c r="J560" s="1311"/>
      <c r="K560" s="1311"/>
      <c r="L560" s="1311"/>
      <c r="M560" s="1311"/>
      <c r="N560" s="1311"/>
      <c r="O560" s="1311"/>
      <c r="P560" s="1311"/>
      <c r="Q560" s="1311"/>
      <c r="R560" s="1311"/>
      <c r="S560" s="1311"/>
    </row>
    <row r="561" spans="1:19" ht="15" customHeight="1" x14ac:dyDescent="0.25">
      <c r="A561" s="1311"/>
      <c r="D561" s="1681"/>
      <c r="E561" s="1097" t="s">
        <v>223</v>
      </c>
      <c r="F561" s="1363" t="s">
        <v>1759</v>
      </c>
      <c r="H561" s="1313"/>
      <c r="I561" s="1311"/>
      <c r="J561" s="1311"/>
      <c r="K561" s="1311"/>
      <c r="L561" s="1311"/>
      <c r="M561" s="1311"/>
      <c r="N561" s="1311"/>
      <c r="O561" s="1311"/>
      <c r="P561" s="1311"/>
      <c r="Q561" s="1311"/>
      <c r="R561" s="1311"/>
      <c r="S561" s="1311"/>
    </row>
    <row r="562" spans="1:19" ht="31.95" customHeight="1" x14ac:dyDescent="0.25">
      <c r="A562" s="1311"/>
      <c r="D562" s="1681"/>
      <c r="E562" s="1097"/>
      <c r="F562" s="1685" t="s">
        <v>1762</v>
      </c>
      <c r="H562" s="1311"/>
      <c r="I562" s="1311"/>
      <c r="J562" s="1311"/>
      <c r="K562" s="1311"/>
      <c r="L562" s="1311"/>
      <c r="M562" s="1311"/>
      <c r="N562" s="1311"/>
      <c r="O562" s="1311"/>
      <c r="P562" s="1311"/>
      <c r="Q562" s="1311"/>
      <c r="R562" s="1311"/>
      <c r="S562" s="1311"/>
    </row>
    <row r="563" spans="1:19" ht="42" customHeight="1" x14ac:dyDescent="0.25">
      <c r="A563" s="1311"/>
      <c r="D563" s="1681"/>
      <c r="E563" s="1097"/>
      <c r="F563" s="1685" t="s">
        <v>1763</v>
      </c>
      <c r="H563" s="1311"/>
      <c r="I563" s="1311"/>
      <c r="J563" s="1311"/>
      <c r="K563" s="1311"/>
      <c r="L563" s="1311"/>
      <c r="M563" s="1311"/>
      <c r="N563" s="1311"/>
      <c r="O563" s="1311"/>
      <c r="P563" s="1311"/>
      <c r="Q563" s="1311"/>
      <c r="R563" s="1311"/>
      <c r="S563" s="1311"/>
    </row>
    <row r="564" spans="1:19" ht="27.9" customHeight="1" x14ac:dyDescent="0.25">
      <c r="A564" s="1311"/>
      <c r="D564" s="207"/>
      <c r="E564" s="39" t="s">
        <v>224</v>
      </c>
      <c r="F564" s="1296" t="s">
        <v>1764</v>
      </c>
      <c r="H564" s="1311"/>
      <c r="I564" s="1311"/>
      <c r="J564" s="1311"/>
      <c r="K564" s="1311"/>
      <c r="L564" s="1311"/>
      <c r="M564" s="1311"/>
      <c r="N564" s="1311"/>
      <c r="O564" s="1311"/>
      <c r="P564" s="1311"/>
      <c r="Q564" s="1311"/>
      <c r="R564" s="1311"/>
      <c r="S564" s="1311"/>
    </row>
    <row r="565" spans="1:19" ht="42.75" customHeight="1" x14ac:dyDescent="0.25">
      <c r="A565" s="1311"/>
      <c r="D565" s="207"/>
      <c r="E565" s="39" t="s">
        <v>225</v>
      </c>
      <c r="F565" s="1296" t="s">
        <v>1765</v>
      </c>
      <c r="H565" s="1311"/>
      <c r="I565" s="1311"/>
      <c r="J565" s="1311"/>
      <c r="K565" s="1311"/>
      <c r="L565" s="1311"/>
      <c r="M565" s="1311"/>
      <c r="N565" s="1311"/>
      <c r="O565" s="1311"/>
      <c r="P565" s="1311"/>
      <c r="Q565" s="1311"/>
      <c r="R565" s="1311"/>
      <c r="S565" s="1311"/>
    </row>
    <row r="566" spans="1:19" ht="57" customHeight="1" x14ac:dyDescent="0.25">
      <c r="A566" s="1311"/>
      <c r="D566" s="1681"/>
      <c r="E566" s="39" t="s">
        <v>226</v>
      </c>
      <c r="F566" s="1296" t="s">
        <v>1767</v>
      </c>
      <c r="H566" s="1311"/>
      <c r="I566" s="1311"/>
      <c r="J566" s="1311"/>
      <c r="K566" s="1311"/>
      <c r="L566" s="1311"/>
      <c r="M566" s="1311"/>
      <c r="N566" s="1311"/>
      <c r="O566" s="1311"/>
      <c r="P566" s="1311"/>
      <c r="Q566" s="1311"/>
      <c r="R566" s="1311"/>
      <c r="S566" s="1311"/>
    </row>
    <row r="567" spans="1:19" ht="57" customHeight="1" x14ac:dyDescent="0.25">
      <c r="A567" s="1311"/>
      <c r="D567" s="1681"/>
      <c r="E567" s="39" t="s">
        <v>227</v>
      </c>
      <c r="F567" s="1296" t="s">
        <v>1768</v>
      </c>
      <c r="H567" s="1311"/>
      <c r="I567" s="1311"/>
      <c r="J567" s="1311"/>
      <c r="K567" s="1311"/>
      <c r="L567" s="1311"/>
      <c r="M567" s="1311"/>
      <c r="N567" s="1311"/>
      <c r="O567" s="1311"/>
      <c r="P567" s="1311"/>
      <c r="Q567" s="1311"/>
      <c r="R567" s="1311"/>
      <c r="S567" s="1311"/>
    </row>
    <row r="568" spans="1:19" ht="40.35" customHeight="1" x14ac:dyDescent="0.25">
      <c r="A568" s="1311"/>
      <c r="D568" s="1807"/>
      <c r="E568" s="39" t="s">
        <v>228</v>
      </c>
      <c r="F568" s="1296" t="s">
        <v>2110</v>
      </c>
      <c r="H568" s="1311"/>
      <c r="I568" s="1311"/>
      <c r="J568" s="1311"/>
      <c r="K568" s="1311"/>
      <c r="L568" s="1311"/>
      <c r="M568" s="1311"/>
      <c r="N568" s="1311"/>
      <c r="O568" s="1311"/>
      <c r="P568" s="1311"/>
      <c r="Q568" s="1311"/>
      <c r="R568" s="1311"/>
      <c r="S568" s="1311"/>
    </row>
    <row r="569" spans="1:19" ht="27" customHeight="1" x14ac:dyDescent="0.25">
      <c r="A569" s="1311"/>
      <c r="D569" s="1807"/>
      <c r="E569" s="39"/>
      <c r="F569" s="1296" t="s">
        <v>2111</v>
      </c>
      <c r="H569" s="1311"/>
      <c r="I569" s="1311"/>
      <c r="J569" s="1311"/>
      <c r="K569" s="1311"/>
      <c r="L569" s="1311"/>
      <c r="M569" s="1311"/>
      <c r="N569" s="1311"/>
      <c r="O569" s="1311"/>
      <c r="P569" s="1311"/>
      <c r="Q569" s="1311"/>
      <c r="R569" s="1311"/>
      <c r="S569" s="1311"/>
    </row>
    <row r="570" spans="1:19" ht="15" customHeight="1" x14ac:dyDescent="0.25">
      <c r="A570" s="1311"/>
      <c r="D570" s="1807"/>
      <c r="E570" s="39"/>
      <c r="F570" s="1296" t="s">
        <v>2112</v>
      </c>
      <c r="H570" s="1311"/>
      <c r="I570" s="1311"/>
      <c r="J570" s="1311"/>
      <c r="K570" s="1311"/>
      <c r="L570" s="1311"/>
      <c r="M570" s="1311"/>
      <c r="N570" s="1311"/>
      <c r="O570" s="1311"/>
      <c r="P570" s="1311"/>
      <c r="Q570" s="1311"/>
      <c r="R570" s="1311"/>
      <c r="S570" s="1311"/>
    </row>
    <row r="571" spans="1:19" ht="9" customHeight="1" x14ac:dyDescent="0.25">
      <c r="A571" s="1311"/>
      <c r="F571" s="1295"/>
      <c r="H571" s="1311"/>
      <c r="I571" s="1311"/>
      <c r="J571" s="1311"/>
      <c r="K571" s="1311"/>
      <c r="L571" s="1311"/>
      <c r="M571" s="1311"/>
      <c r="N571" s="1311"/>
      <c r="O571" s="1311"/>
      <c r="P571" s="1311"/>
      <c r="Q571" s="1311"/>
      <c r="R571" s="1311"/>
      <c r="S571" s="1311"/>
    </row>
    <row r="572" spans="1:19" ht="15" customHeight="1" x14ac:dyDescent="0.25">
      <c r="A572" s="1311"/>
      <c r="C572" s="39"/>
      <c r="D572" s="207">
        <v>5.4</v>
      </c>
      <c r="E572" s="206" t="s">
        <v>1260</v>
      </c>
      <c r="F572" s="1296"/>
      <c r="H572" s="1311"/>
      <c r="I572" s="1311"/>
      <c r="J572" s="1311"/>
      <c r="K572" s="1311"/>
      <c r="L572" s="1311"/>
      <c r="M572" s="1311"/>
      <c r="N572" s="1311"/>
      <c r="O572" s="1311"/>
      <c r="P572" s="1311"/>
      <c r="Q572" s="1311"/>
      <c r="R572" s="1311"/>
      <c r="S572" s="1311"/>
    </row>
    <row r="573" spans="1:19" ht="27.9" customHeight="1" x14ac:dyDescent="0.25">
      <c r="A573" s="1311"/>
      <c r="C573" s="39"/>
      <c r="D573" s="207"/>
      <c r="E573" s="39" t="s">
        <v>652</v>
      </c>
      <c r="F573" s="1296" t="s">
        <v>3478</v>
      </c>
      <c r="H573" s="1311"/>
      <c r="I573" s="1311"/>
      <c r="J573" s="1311"/>
      <c r="K573" s="1311"/>
      <c r="L573" s="1311"/>
      <c r="M573" s="1311"/>
      <c r="N573" s="1311"/>
      <c r="O573" s="1311"/>
      <c r="P573" s="1311"/>
      <c r="Q573" s="1311"/>
      <c r="R573" s="1311"/>
      <c r="S573" s="1311"/>
    </row>
    <row r="574" spans="1:19" ht="5.25" customHeight="1" x14ac:dyDescent="0.25">
      <c r="A574" s="1311"/>
      <c r="F574" s="1295"/>
      <c r="H574" s="1311"/>
      <c r="I574" s="1311"/>
      <c r="J574" s="1311"/>
      <c r="K574" s="1311"/>
      <c r="L574" s="1311"/>
      <c r="M574" s="1311"/>
      <c r="N574" s="1311"/>
      <c r="O574" s="1311"/>
      <c r="P574" s="1311"/>
      <c r="Q574" s="1311"/>
      <c r="R574" s="1311"/>
      <c r="S574" s="1311"/>
    </row>
    <row r="575" spans="1:19" ht="15" customHeight="1" x14ac:dyDescent="0.25">
      <c r="A575" s="1311"/>
      <c r="D575" s="207">
        <v>5.5</v>
      </c>
      <c r="E575" s="789" t="s">
        <v>4225</v>
      </c>
      <c r="F575" s="1296"/>
      <c r="H575" s="1311"/>
      <c r="I575" s="1311"/>
      <c r="J575" s="1311"/>
      <c r="K575" s="1311"/>
      <c r="L575" s="1311"/>
      <c r="M575" s="1311"/>
      <c r="N575" s="1311"/>
      <c r="O575" s="1311"/>
      <c r="P575" s="1311"/>
      <c r="Q575" s="1311"/>
      <c r="R575" s="1311"/>
      <c r="S575" s="1311"/>
    </row>
    <row r="576" spans="1:19" ht="27.9" customHeight="1" x14ac:dyDescent="0.25">
      <c r="A576" s="1311"/>
      <c r="C576" s="39"/>
      <c r="D576" s="207"/>
      <c r="E576" s="39" t="s">
        <v>1262</v>
      </c>
      <c r="F576" s="1296" t="s">
        <v>1536</v>
      </c>
      <c r="H576" s="1311"/>
      <c r="I576" s="1311"/>
      <c r="J576" s="1311"/>
      <c r="K576" s="1311"/>
      <c r="L576" s="1311"/>
      <c r="M576" s="1311"/>
      <c r="N576" s="1311"/>
      <c r="O576" s="1311"/>
      <c r="P576" s="1311"/>
      <c r="Q576" s="1311"/>
      <c r="R576" s="1311"/>
      <c r="S576" s="1311"/>
    </row>
    <row r="577" spans="1:19" ht="20.399999999999999" customHeight="1" x14ac:dyDescent="0.25">
      <c r="A577" s="1311"/>
      <c r="C577" s="39"/>
      <c r="D577" s="207"/>
      <c r="E577" s="39" t="s">
        <v>1263</v>
      </c>
      <c r="F577" s="1302" t="s">
        <v>3479</v>
      </c>
      <c r="H577" s="1311"/>
      <c r="I577" s="1311"/>
      <c r="J577" s="1311"/>
      <c r="K577" s="1311"/>
      <c r="L577" s="1311"/>
      <c r="M577" s="1311"/>
      <c r="N577" s="1311"/>
      <c r="O577" s="1311"/>
      <c r="P577" s="1311"/>
      <c r="Q577" s="1311"/>
      <c r="R577" s="1311"/>
      <c r="S577" s="1311"/>
    </row>
    <row r="578" spans="1:19" ht="19.2" customHeight="1" x14ac:dyDescent="0.25">
      <c r="A578" s="1311"/>
      <c r="C578" s="39"/>
      <c r="D578" s="207"/>
      <c r="E578" s="39" t="s">
        <v>1316</v>
      </c>
      <c r="F578" s="1302" t="s">
        <v>4226</v>
      </c>
      <c r="H578" s="1311"/>
      <c r="I578" s="1311"/>
      <c r="J578" s="1311"/>
      <c r="K578" s="1311"/>
      <c r="L578" s="1311"/>
      <c r="M578" s="1311"/>
      <c r="N578" s="1311"/>
      <c r="O578" s="1311"/>
      <c r="P578" s="1311"/>
      <c r="Q578" s="1311"/>
      <c r="R578" s="1311"/>
      <c r="S578" s="1311"/>
    </row>
    <row r="579" spans="1:19" ht="18" customHeight="1" x14ac:dyDescent="0.25">
      <c r="A579" s="1311"/>
      <c r="C579" s="39"/>
      <c r="D579" s="207"/>
      <c r="E579" s="39" t="s">
        <v>1317</v>
      </c>
      <c r="F579" s="1302" t="s">
        <v>3480</v>
      </c>
      <c r="H579" s="1311"/>
      <c r="I579" s="1311"/>
      <c r="J579" s="1311"/>
      <c r="K579" s="1311"/>
      <c r="L579" s="1311"/>
      <c r="M579" s="1311"/>
      <c r="N579" s="1311"/>
      <c r="O579" s="1311"/>
      <c r="P579" s="1311"/>
      <c r="Q579" s="1311"/>
      <c r="R579" s="1311"/>
      <c r="S579" s="1311"/>
    </row>
    <row r="580" spans="1:19" ht="41.25" customHeight="1" x14ac:dyDescent="0.25">
      <c r="A580" s="1311"/>
      <c r="C580" s="39"/>
      <c r="D580" s="207"/>
      <c r="E580" s="39" t="s">
        <v>1318</v>
      </c>
      <c r="F580" s="1302" t="s">
        <v>1671</v>
      </c>
      <c r="H580" s="1311"/>
      <c r="I580" s="1311"/>
      <c r="J580" s="1311"/>
      <c r="K580" s="1311"/>
      <c r="L580" s="1311"/>
      <c r="M580" s="1311"/>
      <c r="N580" s="1311"/>
      <c r="O580" s="1311"/>
      <c r="P580" s="1311"/>
      <c r="Q580" s="1311"/>
      <c r="R580" s="1311"/>
      <c r="S580" s="1311"/>
    </row>
    <row r="581" spans="1:19" ht="5.25" customHeight="1" x14ac:dyDescent="0.25">
      <c r="A581" s="1311"/>
      <c r="F581" s="1295"/>
      <c r="H581" s="1311"/>
      <c r="I581" s="1311"/>
      <c r="J581" s="1311"/>
      <c r="K581" s="1311"/>
      <c r="L581" s="1311"/>
      <c r="M581" s="1311"/>
      <c r="N581" s="1311"/>
      <c r="O581" s="1311"/>
      <c r="P581" s="1311"/>
      <c r="Q581" s="1311"/>
      <c r="R581" s="1311"/>
      <c r="S581" s="1311"/>
    </row>
    <row r="582" spans="1:19" ht="15" customHeight="1" x14ac:dyDescent="0.25">
      <c r="A582" s="1311"/>
      <c r="C582" s="39"/>
      <c r="D582" s="207">
        <v>5.6</v>
      </c>
      <c r="E582" s="206" t="s">
        <v>1277</v>
      </c>
      <c r="F582" s="1296"/>
      <c r="H582" s="1311"/>
      <c r="I582" s="1311"/>
      <c r="J582" s="1311"/>
      <c r="K582" s="1311"/>
      <c r="L582" s="1311"/>
      <c r="M582" s="1311"/>
      <c r="N582" s="1311"/>
      <c r="O582" s="1311"/>
      <c r="P582" s="1311"/>
      <c r="Q582" s="1311"/>
      <c r="R582" s="1311"/>
      <c r="S582" s="1311"/>
    </row>
    <row r="583" spans="1:19" ht="42" customHeight="1" x14ac:dyDescent="0.25">
      <c r="A583" s="1311"/>
      <c r="C583" s="39"/>
      <c r="D583" s="207"/>
      <c r="E583" s="39" t="s">
        <v>1264</v>
      </c>
      <c r="F583" s="1296" t="s">
        <v>1282</v>
      </c>
      <c r="H583" s="1311"/>
      <c r="I583" s="1311"/>
      <c r="J583" s="1311"/>
      <c r="K583" s="1311"/>
      <c r="L583" s="1311"/>
      <c r="M583" s="1311"/>
      <c r="N583" s="1311"/>
      <c r="O583" s="1311"/>
      <c r="P583" s="1311"/>
      <c r="Q583" s="1311"/>
      <c r="R583" s="1311"/>
      <c r="S583" s="1311"/>
    </row>
    <row r="584" spans="1:19" ht="27.9" customHeight="1" x14ac:dyDescent="0.25">
      <c r="A584" s="1311"/>
      <c r="C584" s="39"/>
      <c r="D584" s="207"/>
      <c r="E584" s="39" t="s">
        <v>1265</v>
      </c>
      <c r="F584" s="1296" t="s">
        <v>1283</v>
      </c>
      <c r="H584" s="1311"/>
      <c r="I584" s="1311"/>
      <c r="J584" s="1311"/>
      <c r="K584" s="1311"/>
      <c r="L584" s="1311"/>
      <c r="M584" s="1311"/>
      <c r="N584" s="1311"/>
      <c r="O584" s="1311"/>
      <c r="P584" s="1311"/>
      <c r="Q584" s="1311"/>
      <c r="R584" s="1311"/>
      <c r="S584" s="1311"/>
    </row>
    <row r="585" spans="1:19" ht="5.25" customHeight="1" x14ac:dyDescent="0.25">
      <c r="A585" s="1311"/>
      <c r="F585" s="1295"/>
      <c r="H585" s="1311"/>
      <c r="I585" s="1311"/>
      <c r="J585" s="1311"/>
      <c r="K585" s="1311"/>
      <c r="L585" s="1311"/>
      <c r="M585" s="1311"/>
      <c r="N585" s="1311"/>
      <c r="O585" s="1311"/>
      <c r="P585" s="1311"/>
      <c r="Q585" s="1311"/>
      <c r="R585" s="1311"/>
      <c r="S585" s="1311"/>
    </row>
    <row r="586" spans="1:19" ht="19.5" customHeight="1" x14ac:dyDescent="0.25">
      <c r="A586" s="1311"/>
      <c r="C586" s="380"/>
      <c r="D586" s="381" t="s">
        <v>1271</v>
      </c>
      <c r="E586" s="379"/>
      <c r="F586" s="1296"/>
      <c r="H586" s="1311"/>
      <c r="I586" s="1311"/>
      <c r="J586" s="1311"/>
      <c r="K586" s="1311"/>
      <c r="L586" s="1311"/>
      <c r="M586" s="1311"/>
      <c r="N586" s="1311"/>
      <c r="O586" s="1311"/>
      <c r="P586" s="1311"/>
      <c r="Q586" s="1311"/>
      <c r="R586" s="1311"/>
      <c r="S586" s="1311"/>
    </row>
    <row r="587" spans="1:19" ht="15" customHeight="1" x14ac:dyDescent="0.25">
      <c r="A587" s="1311"/>
      <c r="C587" s="39"/>
      <c r="D587" s="207">
        <v>5.7</v>
      </c>
      <c r="E587" s="1251" t="s">
        <v>1261</v>
      </c>
      <c r="F587" s="1296"/>
      <c r="H587" s="1311"/>
      <c r="I587" s="1311"/>
      <c r="J587" s="1311"/>
      <c r="K587" s="1311"/>
      <c r="L587" s="1311"/>
      <c r="M587" s="1311"/>
      <c r="N587" s="1311"/>
      <c r="O587" s="1311"/>
      <c r="P587" s="1311"/>
      <c r="Q587" s="1311"/>
      <c r="R587" s="1311"/>
      <c r="S587" s="1311"/>
    </row>
    <row r="588" spans="1:19" ht="31.35" customHeight="1" x14ac:dyDescent="0.25">
      <c r="A588" s="1311"/>
      <c r="C588" s="39"/>
      <c r="D588" s="207"/>
      <c r="E588" s="1097" t="s">
        <v>1278</v>
      </c>
      <c r="F588" s="1297" t="s">
        <v>3481</v>
      </c>
      <c r="H588" s="1311"/>
      <c r="I588" s="1311"/>
      <c r="J588" s="1311"/>
      <c r="K588" s="1311"/>
      <c r="L588" s="1311"/>
      <c r="M588" s="1311"/>
      <c r="N588" s="1311"/>
      <c r="O588" s="1311"/>
      <c r="P588" s="1311"/>
      <c r="Q588" s="1311"/>
      <c r="R588" s="1311"/>
      <c r="S588" s="1311"/>
    </row>
    <row r="589" spans="1:19" ht="27.9" customHeight="1" x14ac:dyDescent="0.25">
      <c r="A589" s="1311"/>
      <c r="C589" s="39"/>
      <c r="D589" s="207"/>
      <c r="E589" s="39" t="s">
        <v>1279</v>
      </c>
      <c r="F589" s="1296" t="s">
        <v>1266</v>
      </c>
      <c r="H589" s="1311"/>
      <c r="I589" s="1311"/>
      <c r="J589" s="1311"/>
      <c r="K589" s="1311"/>
      <c r="L589" s="1311"/>
      <c r="M589" s="1311"/>
      <c r="N589" s="1311"/>
      <c r="O589" s="1311"/>
      <c r="P589" s="1311"/>
      <c r="Q589" s="1311"/>
      <c r="R589" s="1311"/>
      <c r="S589" s="1311"/>
    </row>
    <row r="590" spans="1:19" ht="27.9" customHeight="1" x14ac:dyDescent="0.25">
      <c r="A590" s="1311"/>
      <c r="C590" s="39"/>
      <c r="D590" s="207"/>
      <c r="E590" s="39" t="s">
        <v>1280</v>
      </c>
      <c r="F590" s="1296" t="s">
        <v>1267</v>
      </c>
      <c r="H590" s="1311"/>
      <c r="I590" s="1311"/>
      <c r="J590" s="1311"/>
      <c r="K590" s="1311"/>
      <c r="L590" s="1311"/>
      <c r="M590" s="1311"/>
      <c r="N590" s="1311"/>
      <c r="O590" s="1311"/>
      <c r="P590" s="1311"/>
      <c r="Q590" s="1311"/>
      <c r="R590" s="1311"/>
      <c r="S590" s="1311"/>
    </row>
    <row r="591" spans="1:19" ht="15" customHeight="1" x14ac:dyDescent="0.25">
      <c r="A591" s="1311"/>
      <c r="C591" s="39"/>
      <c r="D591" s="207"/>
      <c r="E591" s="39" t="s">
        <v>1281</v>
      </c>
      <c r="F591" s="1296" t="s">
        <v>1269</v>
      </c>
      <c r="H591" s="1311"/>
      <c r="I591" s="1311"/>
      <c r="J591" s="1311"/>
      <c r="K591" s="1311"/>
      <c r="L591" s="1311"/>
      <c r="M591" s="1311"/>
      <c r="N591" s="1311"/>
      <c r="O591" s="1311"/>
      <c r="P591" s="1311"/>
      <c r="Q591" s="1311"/>
      <c r="R591" s="1311"/>
      <c r="S591" s="1311"/>
    </row>
    <row r="592" spans="1:19" ht="15" customHeight="1" x14ac:dyDescent="0.25">
      <c r="A592" s="1311"/>
      <c r="C592" s="39"/>
      <c r="D592" s="2818"/>
      <c r="E592" s="39" t="s">
        <v>1319</v>
      </c>
      <c r="F592" s="1296" t="s">
        <v>3482</v>
      </c>
      <c r="H592" s="1311"/>
      <c r="I592" s="1311"/>
      <c r="J592" s="1311"/>
      <c r="K592" s="1311"/>
      <c r="L592" s="1311"/>
      <c r="M592" s="1311"/>
      <c r="N592" s="1311"/>
      <c r="O592" s="1311"/>
      <c r="P592" s="1311"/>
      <c r="Q592" s="1311"/>
      <c r="R592" s="1311"/>
      <c r="S592" s="1311"/>
    </row>
    <row r="593" spans="1:19" ht="15" customHeight="1" x14ac:dyDescent="0.25">
      <c r="A593" s="1311"/>
      <c r="C593" s="39"/>
      <c r="D593" s="207"/>
      <c r="E593" s="39" t="s">
        <v>1320</v>
      </c>
      <c r="F593" s="1296" t="s">
        <v>1268</v>
      </c>
      <c r="H593" s="1311"/>
      <c r="I593" s="1311"/>
      <c r="J593" s="1311"/>
      <c r="K593" s="1311"/>
      <c r="L593" s="1311"/>
      <c r="M593" s="1311"/>
      <c r="N593" s="1311"/>
      <c r="O593" s="1311"/>
      <c r="P593" s="1311"/>
      <c r="Q593" s="1311"/>
      <c r="R593" s="1311"/>
      <c r="S593" s="1311"/>
    </row>
    <row r="594" spans="1:19" ht="27.9" customHeight="1" x14ac:dyDescent="0.25">
      <c r="A594" s="1311"/>
      <c r="C594" s="39"/>
      <c r="D594" s="207"/>
      <c r="E594" s="39" t="s">
        <v>3483</v>
      </c>
      <c r="F594" s="1296" t="s">
        <v>1270</v>
      </c>
      <c r="H594" s="1311"/>
      <c r="I594" s="1311"/>
      <c r="J594" s="1311"/>
      <c r="K594" s="1311"/>
      <c r="L594" s="1311"/>
      <c r="M594" s="1311"/>
      <c r="N594" s="1311"/>
      <c r="O594" s="1311"/>
      <c r="P594" s="1311"/>
      <c r="Q594" s="1311"/>
      <c r="R594" s="1311"/>
      <c r="S594" s="1311"/>
    </row>
    <row r="595" spans="1:19" ht="5.25" customHeight="1" x14ac:dyDescent="0.25">
      <c r="A595" s="1311"/>
      <c r="F595" s="1295"/>
      <c r="H595" s="1311"/>
      <c r="I595" s="1311"/>
      <c r="J595" s="1311"/>
      <c r="K595" s="1311"/>
      <c r="L595" s="1311"/>
      <c r="M595" s="1311"/>
      <c r="N595" s="1311"/>
      <c r="O595" s="1311"/>
      <c r="P595" s="1311"/>
      <c r="Q595" s="1311"/>
      <c r="R595" s="1311"/>
      <c r="S595" s="1311"/>
    </row>
    <row r="596" spans="1:19" ht="19.5" customHeight="1" x14ac:dyDescent="0.25">
      <c r="A596" s="1311"/>
      <c r="C596" s="380"/>
      <c r="D596" s="381" t="s">
        <v>1276</v>
      </c>
      <c r="E596" s="379"/>
      <c r="F596" s="1296"/>
      <c r="H596" s="1311"/>
      <c r="I596" s="1311"/>
      <c r="J596" s="1311"/>
      <c r="K596" s="1311"/>
      <c r="L596" s="1311"/>
      <c r="M596" s="1311"/>
      <c r="N596" s="1311"/>
      <c r="O596" s="1311"/>
      <c r="P596" s="1311"/>
      <c r="Q596" s="1311"/>
      <c r="R596" s="1311"/>
      <c r="S596" s="1311"/>
    </row>
    <row r="597" spans="1:19" ht="15" customHeight="1" x14ac:dyDescent="0.25">
      <c r="A597" s="1311"/>
      <c r="C597" s="39"/>
      <c r="D597" s="1098">
        <v>5.8</v>
      </c>
      <c r="E597" s="1251" t="s">
        <v>1485</v>
      </c>
      <c r="F597" s="1296"/>
      <c r="H597" s="1311"/>
      <c r="I597" s="1311"/>
      <c r="J597" s="1311"/>
      <c r="K597" s="1311"/>
      <c r="L597" s="1311"/>
      <c r="M597" s="1311"/>
      <c r="N597" s="1311"/>
      <c r="O597" s="1311"/>
      <c r="P597" s="1311"/>
      <c r="Q597" s="1311"/>
      <c r="R597" s="1311"/>
      <c r="S597" s="1311"/>
    </row>
    <row r="598" spans="1:19" ht="27.9" customHeight="1" x14ac:dyDescent="0.25">
      <c r="A598" s="1311"/>
      <c r="C598" s="39"/>
      <c r="D598" s="207"/>
      <c r="E598" s="39" t="s">
        <v>1321</v>
      </c>
      <c r="F598" s="1296" t="s">
        <v>1272</v>
      </c>
      <c r="H598" s="1311"/>
      <c r="I598" s="1311"/>
      <c r="J598" s="1311"/>
      <c r="K598" s="1311"/>
      <c r="L598" s="1311"/>
      <c r="M598" s="1311"/>
      <c r="N598" s="1311"/>
      <c r="O598" s="1311"/>
      <c r="P598" s="1311"/>
      <c r="Q598" s="1311"/>
      <c r="R598" s="1311"/>
      <c r="S598" s="1311"/>
    </row>
    <row r="599" spans="1:19" ht="42" customHeight="1" x14ac:dyDescent="0.25">
      <c r="A599" s="1311"/>
      <c r="C599" s="39"/>
      <c r="D599" s="207"/>
      <c r="E599" s="39" t="s">
        <v>1322</v>
      </c>
      <c r="F599" s="1296" t="s">
        <v>1273</v>
      </c>
      <c r="H599" s="1311"/>
      <c r="I599" s="1311"/>
      <c r="J599" s="1311"/>
      <c r="K599" s="1311"/>
      <c r="L599" s="1311"/>
      <c r="M599" s="1311"/>
      <c r="N599" s="1311"/>
      <c r="O599" s="1311"/>
      <c r="P599" s="1311"/>
      <c r="Q599" s="1311"/>
      <c r="R599" s="1311"/>
      <c r="S599" s="1311"/>
    </row>
    <row r="600" spans="1:19" ht="27.9" customHeight="1" x14ac:dyDescent="0.25">
      <c r="A600" s="1311"/>
      <c r="C600" s="39"/>
      <c r="D600" s="207"/>
      <c r="E600" s="39" t="s">
        <v>1323</v>
      </c>
      <c r="F600" s="1296" t="s">
        <v>1274</v>
      </c>
      <c r="H600" s="1311"/>
      <c r="I600" s="1311"/>
      <c r="J600" s="1311"/>
      <c r="K600" s="1311"/>
      <c r="L600" s="1311"/>
      <c r="M600" s="1311"/>
      <c r="N600" s="1311"/>
      <c r="O600" s="1311"/>
      <c r="P600" s="1311"/>
      <c r="Q600" s="1311"/>
      <c r="R600" s="1311"/>
      <c r="S600" s="1311"/>
    </row>
    <row r="601" spans="1:19" ht="15" customHeight="1" x14ac:dyDescent="0.25">
      <c r="A601" s="1311"/>
      <c r="C601" s="39"/>
      <c r="D601" s="207"/>
      <c r="E601" s="39" t="s">
        <v>1324</v>
      </c>
      <c r="F601" s="1296" t="s">
        <v>1275</v>
      </c>
      <c r="H601" s="1311"/>
      <c r="I601" s="1311"/>
      <c r="J601" s="1311"/>
      <c r="K601" s="1311"/>
      <c r="L601" s="1311"/>
      <c r="M601" s="1311"/>
      <c r="N601" s="1311"/>
      <c r="O601" s="1311"/>
      <c r="P601" s="1311"/>
      <c r="Q601" s="1311"/>
      <c r="R601" s="1311"/>
      <c r="S601" s="1311"/>
    </row>
    <row r="602" spans="1:19" ht="27.75" customHeight="1" x14ac:dyDescent="0.25">
      <c r="A602" s="1311"/>
      <c r="C602" s="39"/>
      <c r="D602" s="1449"/>
      <c r="E602" s="1097" t="s">
        <v>1486</v>
      </c>
      <c r="F602" s="1297" t="s">
        <v>1487</v>
      </c>
      <c r="H602" s="1311"/>
      <c r="I602" s="1311"/>
      <c r="J602" s="1311"/>
      <c r="K602" s="1311"/>
      <c r="L602" s="1311"/>
      <c r="M602" s="1311"/>
      <c r="N602" s="1311"/>
      <c r="O602" s="1311"/>
      <c r="P602" s="1311"/>
      <c r="Q602" s="1311"/>
      <c r="R602" s="1311"/>
      <c r="S602" s="1311"/>
    </row>
    <row r="603" spans="1:19" ht="15" customHeight="1" x14ac:dyDescent="0.25">
      <c r="A603" s="1311"/>
      <c r="C603" s="39"/>
      <c r="D603" s="207"/>
      <c r="E603" s="39"/>
      <c r="F603" s="1296"/>
      <c r="H603" s="1311"/>
      <c r="I603" s="1311"/>
      <c r="J603" s="1311"/>
      <c r="K603" s="1311"/>
      <c r="L603" s="1311"/>
      <c r="M603" s="1311"/>
      <c r="N603" s="1311"/>
      <c r="O603" s="1311"/>
      <c r="P603" s="1311"/>
      <c r="Q603" s="1311"/>
      <c r="R603" s="1311"/>
      <c r="S603" s="1311"/>
    </row>
    <row r="604" spans="1:19" ht="3" customHeight="1" x14ac:dyDescent="0.25">
      <c r="A604" s="1311"/>
      <c r="F604" s="1295"/>
      <c r="H604" s="1311"/>
      <c r="I604" s="1311"/>
      <c r="J604" s="1311"/>
      <c r="K604" s="1311"/>
      <c r="L604" s="1311"/>
      <c r="M604" s="1311"/>
      <c r="N604" s="1311"/>
      <c r="O604" s="1311"/>
      <c r="P604" s="1311"/>
      <c r="Q604" s="1311"/>
      <c r="R604" s="1311"/>
      <c r="S604" s="1311"/>
    </row>
    <row r="605" spans="1:19" ht="39.9" customHeight="1" x14ac:dyDescent="0.25">
      <c r="A605" s="1311"/>
      <c r="C605" s="4171" t="s">
        <v>1468</v>
      </c>
      <c r="D605" s="4172"/>
      <c r="E605" s="4172"/>
      <c r="F605" s="4173"/>
      <c r="H605" s="1311"/>
      <c r="I605" s="1311"/>
      <c r="J605" s="1311"/>
      <c r="K605" s="1311"/>
      <c r="L605" s="1311"/>
      <c r="M605" s="1311"/>
      <c r="N605" s="1311"/>
      <c r="O605" s="1311"/>
      <c r="P605" s="1311"/>
      <c r="Q605" s="1311"/>
      <c r="R605" s="1311"/>
      <c r="S605" s="1311"/>
    </row>
    <row r="606" spans="1:19" ht="16.350000000000001" customHeight="1" x14ac:dyDescent="0.25">
      <c r="A606" s="1311"/>
      <c r="C606" s="1248"/>
      <c r="D606" s="39"/>
      <c r="E606" s="39"/>
      <c r="F606" s="1296"/>
      <c r="H606" s="1311"/>
      <c r="I606" s="1311"/>
      <c r="J606" s="1311"/>
      <c r="K606" s="1311"/>
      <c r="L606" s="1311"/>
      <c r="M606" s="1311"/>
      <c r="N606" s="1311"/>
      <c r="O606" s="1311"/>
      <c r="P606" s="1311"/>
      <c r="Q606" s="1311"/>
      <c r="R606" s="1311"/>
      <c r="S606" s="1311"/>
    </row>
    <row r="607" spans="1:19" ht="21.6" customHeight="1" x14ac:dyDescent="0.25">
      <c r="A607" s="1311"/>
      <c r="C607" s="1248"/>
      <c r="D607" s="4164" t="s">
        <v>2437</v>
      </c>
      <c r="E607" s="4165"/>
      <c r="F607" s="4166"/>
      <c r="H607" s="1311"/>
      <c r="I607" s="1311"/>
      <c r="J607" s="1311"/>
      <c r="K607" s="1311"/>
      <c r="L607" s="1311"/>
      <c r="M607" s="1311"/>
      <c r="N607" s="1311"/>
      <c r="O607" s="1311"/>
      <c r="P607" s="1311"/>
      <c r="Q607" s="1311"/>
      <c r="R607" s="1311"/>
      <c r="S607" s="1311"/>
    </row>
    <row r="608" spans="1:19" s="747" customFormat="1" ht="37.35" customHeight="1" x14ac:dyDescent="0.25">
      <c r="A608" s="1311"/>
      <c r="C608" s="1250"/>
      <c r="D608" s="4151" t="s">
        <v>2438</v>
      </c>
      <c r="E608" s="4152"/>
      <c r="F608" s="4153"/>
      <c r="H608" s="1314"/>
      <c r="I608" s="1314"/>
      <c r="J608" s="1314"/>
      <c r="K608" s="1314"/>
      <c r="L608" s="1314"/>
      <c r="M608" s="1314"/>
      <c r="N608" s="1314"/>
      <c r="O608" s="1314"/>
      <c r="P608" s="1314"/>
      <c r="Q608" s="1314"/>
      <c r="R608" s="1314"/>
      <c r="S608" s="1314"/>
    </row>
    <row r="609" spans="1:19" ht="15.6" customHeight="1" x14ac:dyDescent="0.25">
      <c r="A609" s="1311"/>
      <c r="C609" s="1248"/>
      <c r="D609" s="4159"/>
      <c r="E609" s="4159"/>
      <c r="F609" s="4159"/>
      <c r="H609" s="1311"/>
      <c r="I609" s="1311"/>
      <c r="J609" s="1311"/>
      <c r="K609" s="1311"/>
      <c r="L609" s="1311"/>
      <c r="M609" s="1311"/>
      <c r="N609" s="1311"/>
      <c r="O609" s="1311"/>
      <c r="P609" s="1311"/>
      <c r="Q609" s="1311"/>
      <c r="R609" s="1311"/>
      <c r="S609" s="1311"/>
    </row>
    <row r="610" spans="1:19" ht="25.95" customHeight="1" x14ac:dyDescent="0.25">
      <c r="A610" s="1311"/>
      <c r="C610" s="380"/>
      <c r="D610" s="4158" t="s">
        <v>2435</v>
      </c>
      <c r="E610" s="4158"/>
      <c r="F610" s="4158"/>
      <c r="H610" s="1311"/>
      <c r="I610" s="1311"/>
      <c r="J610" s="1311"/>
      <c r="K610" s="1311"/>
      <c r="L610" s="1311"/>
      <c r="M610" s="1311"/>
      <c r="N610" s="1311"/>
      <c r="O610" s="1311"/>
      <c r="P610" s="1311"/>
      <c r="Q610" s="1311"/>
      <c r="R610" s="1311"/>
      <c r="S610" s="1311"/>
    </row>
    <row r="611" spans="1:19" ht="15" customHeight="1" x14ac:dyDescent="0.25">
      <c r="A611" s="1311"/>
      <c r="C611" s="39"/>
      <c r="D611" s="1102">
        <v>6.1</v>
      </c>
      <c r="E611" s="1103" t="s">
        <v>193</v>
      </c>
      <c r="F611" s="1296"/>
      <c r="H611" s="1311"/>
      <c r="I611" s="1311"/>
      <c r="J611" s="1311"/>
      <c r="K611" s="1311"/>
      <c r="L611" s="1311"/>
      <c r="M611" s="1311"/>
      <c r="N611" s="1311"/>
      <c r="O611" s="1311"/>
      <c r="P611" s="1311"/>
      <c r="Q611" s="1311"/>
      <c r="R611" s="1311"/>
      <c r="S611" s="1311"/>
    </row>
    <row r="612" spans="1:19" ht="15" customHeight="1" x14ac:dyDescent="0.25">
      <c r="A612" s="1311"/>
      <c r="C612" s="39"/>
      <c r="D612" s="207"/>
      <c r="E612" s="39" t="s">
        <v>150</v>
      </c>
      <c r="F612" s="1299" t="s">
        <v>1284</v>
      </c>
      <c r="H612" s="1311"/>
      <c r="I612" s="1311"/>
      <c r="J612" s="1311"/>
      <c r="K612" s="1311"/>
      <c r="L612" s="1311"/>
      <c r="M612" s="1311"/>
      <c r="N612" s="1311"/>
      <c r="O612" s="1311"/>
      <c r="P612" s="1311"/>
      <c r="Q612" s="1311"/>
      <c r="R612" s="1311"/>
      <c r="S612" s="1311"/>
    </row>
    <row r="613" spans="1:19" ht="5.25" customHeight="1" x14ac:dyDescent="0.25">
      <c r="A613" s="1311"/>
      <c r="F613" s="1295"/>
      <c r="H613" s="1311"/>
      <c r="I613" s="1311"/>
      <c r="J613" s="1311"/>
      <c r="K613" s="1311"/>
      <c r="L613" s="1311"/>
      <c r="M613" s="1311"/>
      <c r="N613" s="1311"/>
      <c r="O613" s="1311"/>
      <c r="P613" s="1311"/>
      <c r="Q613" s="1311"/>
      <c r="R613" s="1311"/>
      <c r="S613" s="1311"/>
    </row>
    <row r="614" spans="1:19" ht="15" customHeight="1" x14ac:dyDescent="0.25">
      <c r="A614" s="1311"/>
      <c r="C614" s="39"/>
      <c r="D614" s="1102">
        <v>6.2</v>
      </c>
      <c r="E614" s="1103" t="s">
        <v>1285</v>
      </c>
      <c r="F614" s="1296"/>
      <c r="H614" s="1311"/>
      <c r="I614" s="1311"/>
      <c r="J614" s="1311"/>
      <c r="K614" s="1311"/>
      <c r="L614" s="1311"/>
      <c r="M614" s="1311"/>
      <c r="N614" s="1311"/>
      <c r="O614" s="1311"/>
      <c r="P614" s="1311"/>
      <c r="Q614" s="1311"/>
      <c r="R614" s="1311"/>
      <c r="S614" s="1311"/>
    </row>
    <row r="615" spans="1:19" ht="42" customHeight="1" x14ac:dyDescent="0.25">
      <c r="A615" s="1311"/>
      <c r="C615" s="39"/>
      <c r="D615" s="207"/>
      <c r="E615" s="39" t="s">
        <v>151</v>
      </c>
      <c r="F615" s="1299" t="s">
        <v>1440</v>
      </c>
      <c r="H615" s="1311"/>
      <c r="I615" s="1311"/>
      <c r="J615" s="1311"/>
      <c r="K615" s="1311"/>
      <c r="L615" s="1311"/>
      <c r="M615" s="1311"/>
      <c r="N615" s="1311"/>
      <c r="O615" s="1311"/>
      <c r="P615" s="1311"/>
      <c r="Q615" s="1311"/>
      <c r="R615" s="1311"/>
      <c r="S615" s="1311"/>
    </row>
    <row r="616" spans="1:19" ht="5.25" customHeight="1" x14ac:dyDescent="0.25">
      <c r="A616" s="1311"/>
      <c r="F616" s="1295"/>
      <c r="H616" s="1311"/>
      <c r="I616" s="1311"/>
      <c r="J616" s="1311"/>
      <c r="K616" s="1311"/>
      <c r="L616" s="1311"/>
      <c r="M616" s="1311"/>
      <c r="N616" s="1311"/>
      <c r="O616" s="1311"/>
      <c r="P616" s="1311"/>
      <c r="Q616" s="1311"/>
      <c r="R616" s="1311"/>
      <c r="S616" s="1311"/>
    </row>
    <row r="617" spans="1:19" ht="15" customHeight="1" x14ac:dyDescent="0.25">
      <c r="A617" s="1311"/>
      <c r="C617" s="39"/>
      <c r="D617" s="1102">
        <v>6.3</v>
      </c>
      <c r="E617" s="1103" t="s">
        <v>2440</v>
      </c>
      <c r="F617" s="1296"/>
      <c r="H617" s="1311"/>
      <c r="I617" s="1311"/>
      <c r="J617" s="1311"/>
      <c r="K617" s="1311"/>
      <c r="L617" s="1311"/>
      <c r="M617" s="1311"/>
      <c r="N617" s="1311"/>
      <c r="O617" s="1311"/>
      <c r="P617" s="1311"/>
      <c r="Q617" s="1311"/>
      <c r="R617" s="1311"/>
      <c r="S617" s="1311"/>
    </row>
    <row r="618" spans="1:19" ht="15" customHeight="1" x14ac:dyDescent="0.25">
      <c r="A618" s="1311"/>
      <c r="C618" s="39"/>
      <c r="D618" s="207"/>
      <c r="E618" s="39" t="s">
        <v>596</v>
      </c>
      <c r="F618" s="1299" t="s">
        <v>1409</v>
      </c>
      <c r="H618" s="1311"/>
      <c r="I618" s="1311"/>
      <c r="J618" s="1311"/>
      <c r="K618" s="1311"/>
      <c r="L618" s="1311"/>
      <c r="M618" s="1311"/>
      <c r="N618" s="1311"/>
      <c r="O618" s="1311"/>
      <c r="P618" s="1311"/>
      <c r="Q618" s="1311"/>
      <c r="R618" s="1311"/>
      <c r="S618" s="1311"/>
    </row>
    <row r="619" spans="1:19" ht="15" customHeight="1" x14ac:dyDescent="0.25">
      <c r="A619" s="1311"/>
      <c r="C619" s="39"/>
      <c r="D619" s="207"/>
      <c r="E619" s="39" t="s">
        <v>597</v>
      </c>
      <c r="F619" s="1299" t="s">
        <v>1410</v>
      </c>
      <c r="H619" s="1311"/>
      <c r="I619" s="1311"/>
      <c r="J619" s="1311"/>
      <c r="K619" s="1311"/>
      <c r="L619" s="1311"/>
      <c r="M619" s="1311"/>
      <c r="N619" s="1311"/>
      <c r="O619" s="1311"/>
      <c r="P619" s="1311"/>
      <c r="Q619" s="1311"/>
      <c r="R619" s="1311"/>
      <c r="S619" s="1311"/>
    </row>
    <row r="620" spans="1:19" ht="15" customHeight="1" x14ac:dyDescent="0.25">
      <c r="A620" s="1311"/>
      <c r="C620" s="39"/>
      <c r="D620" s="207"/>
      <c r="E620" s="39" t="s">
        <v>598</v>
      </c>
      <c r="F620" s="1299" t="s">
        <v>1411</v>
      </c>
      <c r="H620" s="1311"/>
      <c r="I620" s="1311"/>
      <c r="J620" s="1311"/>
      <c r="K620" s="1311"/>
      <c r="L620" s="1311"/>
      <c r="M620" s="1311"/>
      <c r="N620" s="1311"/>
      <c r="O620" s="1311"/>
      <c r="P620" s="1311"/>
      <c r="Q620" s="1311"/>
      <c r="R620" s="1311"/>
      <c r="S620" s="1311"/>
    </row>
    <row r="621" spans="1:19" ht="15" customHeight="1" x14ac:dyDescent="0.25">
      <c r="A621" s="1311"/>
      <c r="C621" s="39"/>
      <c r="D621" s="207"/>
      <c r="E621" s="39" t="s">
        <v>599</v>
      </c>
      <c r="F621" s="1299" t="s">
        <v>1412</v>
      </c>
      <c r="H621" s="1311"/>
      <c r="I621" s="1311"/>
      <c r="J621" s="1311"/>
      <c r="K621" s="1311"/>
      <c r="L621" s="1311"/>
      <c r="M621" s="1311"/>
      <c r="N621" s="1311"/>
      <c r="O621" s="1311"/>
      <c r="P621" s="1311"/>
      <c r="Q621" s="1311"/>
      <c r="R621" s="1311"/>
      <c r="S621" s="1311"/>
    </row>
    <row r="622" spans="1:19" ht="15" customHeight="1" x14ac:dyDescent="0.25">
      <c r="A622" s="1311"/>
      <c r="C622" s="39"/>
      <c r="D622" s="207"/>
      <c r="E622" s="39"/>
      <c r="F622" s="1299"/>
      <c r="H622" s="1311"/>
      <c r="I622" s="1311"/>
      <c r="J622" s="1311"/>
      <c r="K622" s="1311"/>
      <c r="L622" s="1311"/>
      <c r="M622" s="1311"/>
      <c r="N622" s="1311"/>
      <c r="O622" s="1311"/>
      <c r="P622" s="1311"/>
      <c r="Q622" s="1311"/>
      <c r="R622" s="1311"/>
      <c r="S622" s="1311"/>
    </row>
    <row r="623" spans="1:19" ht="19.5" customHeight="1" x14ac:dyDescent="0.25">
      <c r="A623" s="1311"/>
      <c r="C623" s="380"/>
      <c r="D623" s="381" t="s">
        <v>2439</v>
      </c>
      <c r="E623" s="1154"/>
      <c r="F623" s="1304"/>
      <c r="H623" s="1311"/>
      <c r="I623" s="1311"/>
      <c r="J623" s="1311"/>
      <c r="K623" s="1311"/>
      <c r="L623" s="1311"/>
      <c r="M623" s="1311"/>
      <c r="N623" s="1311"/>
      <c r="O623" s="1311"/>
      <c r="P623" s="1311"/>
      <c r="Q623" s="1311"/>
      <c r="R623" s="1311"/>
      <c r="S623" s="1311"/>
    </row>
    <row r="624" spans="1:19" ht="15" customHeight="1" x14ac:dyDescent="0.25">
      <c r="A624" s="1311"/>
      <c r="C624" s="39"/>
      <c r="D624" s="1102">
        <v>6.4</v>
      </c>
      <c r="E624" s="1103" t="s">
        <v>1439</v>
      </c>
      <c r="F624" s="1296"/>
      <c r="H624" s="1311"/>
      <c r="I624" s="1311"/>
      <c r="J624" s="1311"/>
      <c r="K624" s="1311"/>
      <c r="L624" s="1311"/>
      <c r="M624" s="1311"/>
      <c r="N624" s="1311"/>
      <c r="O624" s="1311"/>
      <c r="P624" s="1311"/>
      <c r="Q624" s="1311"/>
      <c r="R624" s="1311"/>
      <c r="S624" s="1311"/>
    </row>
    <row r="625" spans="1:19" ht="27.9" customHeight="1" x14ac:dyDescent="0.25">
      <c r="A625" s="1311"/>
      <c r="C625" s="39"/>
      <c r="D625" s="207"/>
      <c r="E625" s="39" t="s">
        <v>1286</v>
      </c>
      <c r="F625" s="1297" t="s">
        <v>2445</v>
      </c>
      <c r="H625" s="1311"/>
      <c r="I625" s="1311"/>
      <c r="J625" s="1311"/>
      <c r="K625" s="1311"/>
      <c r="L625" s="1311"/>
      <c r="M625" s="1311"/>
      <c r="N625" s="1311"/>
      <c r="O625" s="1311"/>
      <c r="P625" s="1311"/>
      <c r="Q625" s="1311"/>
      <c r="R625" s="1311"/>
      <c r="S625" s="1311"/>
    </row>
    <row r="626" spans="1:19" ht="27.9" customHeight="1" x14ac:dyDescent="0.25">
      <c r="A626" s="1311"/>
      <c r="C626" s="39"/>
      <c r="D626" s="207"/>
      <c r="E626" s="39" t="s">
        <v>1441</v>
      </c>
      <c r="F626" s="1299" t="s">
        <v>3484</v>
      </c>
      <c r="H626" s="1311"/>
      <c r="I626" s="1311"/>
      <c r="J626" s="1311"/>
      <c r="K626" s="1311"/>
      <c r="L626" s="1311"/>
      <c r="M626" s="1311"/>
      <c r="N626" s="1311"/>
      <c r="O626" s="1311"/>
      <c r="P626" s="1311"/>
      <c r="Q626" s="1311"/>
      <c r="R626" s="1311"/>
      <c r="S626" s="1311"/>
    </row>
    <row r="627" spans="1:19" ht="42" customHeight="1" x14ac:dyDescent="0.25">
      <c r="A627" s="1311"/>
      <c r="C627" s="39"/>
      <c r="D627" s="207"/>
      <c r="E627" s="39" t="s">
        <v>1442</v>
      </c>
      <c r="F627" s="1299" t="s">
        <v>2442</v>
      </c>
      <c r="H627" s="1311"/>
      <c r="I627" s="1311"/>
      <c r="J627" s="1311"/>
      <c r="K627" s="1311"/>
      <c r="L627" s="1311"/>
      <c r="M627" s="1311"/>
      <c r="N627" s="1311"/>
      <c r="O627" s="1311"/>
      <c r="P627" s="1311"/>
      <c r="Q627" s="1311"/>
      <c r="R627" s="1311"/>
      <c r="S627" s="1311"/>
    </row>
    <row r="628" spans="1:19" ht="42" customHeight="1" x14ac:dyDescent="0.25">
      <c r="A628" s="1311"/>
      <c r="C628" s="39"/>
      <c r="D628" s="207"/>
      <c r="E628" s="39" t="s">
        <v>1443</v>
      </c>
      <c r="F628" s="1299" t="s">
        <v>2443</v>
      </c>
      <c r="H628" s="1311"/>
      <c r="I628" s="1311"/>
      <c r="J628" s="1311"/>
      <c r="K628" s="1311"/>
      <c r="L628" s="1311"/>
      <c r="M628" s="1311"/>
      <c r="N628" s="1311"/>
      <c r="O628" s="1311"/>
      <c r="P628" s="1311"/>
      <c r="Q628" s="1311"/>
      <c r="R628" s="1311"/>
      <c r="S628" s="1311"/>
    </row>
    <row r="629" spans="1:19" ht="15" customHeight="1" x14ac:dyDescent="0.25">
      <c r="A629" s="1311"/>
      <c r="C629" s="39"/>
      <c r="D629" s="207"/>
      <c r="E629" s="39" t="s">
        <v>1460</v>
      </c>
      <c r="F629" s="1299" t="s">
        <v>3485</v>
      </c>
      <c r="H629" s="1311"/>
      <c r="I629" s="1311"/>
      <c r="J629" s="1311"/>
      <c r="K629" s="1311"/>
      <c r="L629" s="1311"/>
      <c r="M629" s="1311"/>
      <c r="N629" s="1311"/>
      <c r="O629" s="1311"/>
      <c r="P629" s="1311"/>
      <c r="Q629" s="1311"/>
      <c r="R629" s="1311"/>
      <c r="S629" s="1311"/>
    </row>
    <row r="630" spans="1:19" ht="15" customHeight="1" x14ac:dyDescent="0.25">
      <c r="A630" s="1311"/>
      <c r="C630" s="39"/>
      <c r="D630" s="207"/>
      <c r="E630" s="39"/>
      <c r="F630" s="1299"/>
      <c r="H630" s="1311"/>
      <c r="I630" s="1311"/>
      <c r="J630" s="1311"/>
      <c r="K630" s="1311"/>
      <c r="L630" s="1311"/>
      <c r="M630" s="1311"/>
      <c r="N630" s="1311"/>
      <c r="O630" s="1311"/>
      <c r="P630" s="1311"/>
      <c r="Q630" s="1311"/>
      <c r="R630" s="1311"/>
      <c r="S630" s="1311"/>
    </row>
    <row r="631" spans="1:19" ht="22.95" customHeight="1" x14ac:dyDescent="0.25">
      <c r="A631" s="1311"/>
      <c r="C631" s="380"/>
      <c r="D631" s="381" t="s">
        <v>2444</v>
      </c>
      <c r="E631" s="1154"/>
      <c r="F631" s="1304"/>
      <c r="H631" s="1311"/>
      <c r="I631" s="1311"/>
      <c r="J631" s="1311"/>
      <c r="K631" s="1311"/>
      <c r="L631" s="1311"/>
      <c r="M631" s="1311"/>
      <c r="N631" s="1311"/>
      <c r="O631" s="1311"/>
      <c r="P631" s="1311"/>
      <c r="Q631" s="1311"/>
      <c r="R631" s="1311"/>
      <c r="S631" s="1311"/>
    </row>
    <row r="632" spans="1:19" ht="15" customHeight="1" x14ac:dyDescent="0.25">
      <c r="A632" s="1311"/>
      <c r="C632" s="39"/>
      <c r="D632" s="1102">
        <v>6.5</v>
      </c>
      <c r="E632" s="1103" t="s">
        <v>2446</v>
      </c>
      <c r="F632" s="1296"/>
      <c r="H632" s="1311"/>
      <c r="I632" s="1311"/>
      <c r="J632" s="1311"/>
      <c r="K632" s="1311"/>
      <c r="L632" s="1311"/>
      <c r="M632" s="1311"/>
      <c r="N632" s="1311"/>
      <c r="O632" s="1311"/>
      <c r="P632" s="1311"/>
      <c r="Q632" s="1311"/>
      <c r="R632" s="1311"/>
      <c r="S632" s="1311"/>
    </row>
    <row r="633" spans="1:19" ht="31.95" customHeight="1" x14ac:dyDescent="0.25">
      <c r="A633" s="1311"/>
      <c r="C633" s="39"/>
      <c r="D633" s="2081"/>
      <c r="E633" s="39" t="s">
        <v>1287</v>
      </c>
      <c r="F633" s="1297" t="s">
        <v>3486</v>
      </c>
      <c r="H633" s="1311"/>
      <c r="I633" s="1311"/>
      <c r="J633" s="1311"/>
      <c r="K633" s="1311"/>
      <c r="L633" s="1311"/>
      <c r="M633" s="1311"/>
      <c r="N633" s="1311"/>
      <c r="O633" s="1311"/>
      <c r="P633" s="1311"/>
      <c r="Q633" s="1311"/>
      <c r="R633" s="1311"/>
      <c r="S633" s="1311"/>
    </row>
    <row r="634" spans="1:19" ht="15" customHeight="1" x14ac:dyDescent="0.25">
      <c r="A634" s="1311"/>
      <c r="C634" s="39"/>
      <c r="D634" s="1102">
        <v>6.6</v>
      </c>
      <c r="E634" s="1103" t="s">
        <v>2311</v>
      </c>
      <c r="F634" s="1296"/>
      <c r="H634" s="1311"/>
      <c r="I634" s="1311"/>
      <c r="J634" s="1311"/>
      <c r="K634" s="1311"/>
      <c r="L634" s="1311"/>
      <c r="M634" s="1311"/>
      <c r="N634" s="1311"/>
      <c r="O634" s="1311"/>
      <c r="P634" s="1311"/>
      <c r="Q634" s="1311"/>
      <c r="R634" s="1311"/>
      <c r="S634" s="1311"/>
    </row>
    <row r="635" spans="1:19" ht="42.6" customHeight="1" x14ac:dyDescent="0.25">
      <c r="A635" s="1311"/>
      <c r="C635" s="39"/>
      <c r="D635" s="2081"/>
      <c r="E635" s="39" t="s">
        <v>1288</v>
      </c>
      <c r="F635" s="1297" t="s">
        <v>2447</v>
      </c>
      <c r="H635" s="1311"/>
      <c r="I635" s="1311"/>
      <c r="J635" s="1311"/>
      <c r="K635" s="1311"/>
      <c r="L635" s="1311"/>
      <c r="M635" s="1311"/>
      <c r="N635" s="1311"/>
      <c r="O635" s="1311"/>
      <c r="P635" s="1311"/>
      <c r="Q635" s="1311"/>
      <c r="R635" s="1311"/>
      <c r="S635" s="1311"/>
    </row>
    <row r="636" spans="1:19" ht="15" customHeight="1" x14ac:dyDescent="0.25">
      <c r="A636" s="1311"/>
      <c r="C636" s="39"/>
      <c r="D636" s="1102">
        <v>6.7</v>
      </c>
      <c r="E636" s="1103" t="s">
        <v>2449</v>
      </c>
      <c r="F636" s="1296"/>
      <c r="H636" s="1311"/>
      <c r="I636" s="1311"/>
      <c r="J636" s="1311"/>
      <c r="K636" s="1311"/>
      <c r="L636" s="1311"/>
      <c r="M636" s="1311"/>
      <c r="N636" s="1311"/>
      <c r="O636" s="1311"/>
      <c r="P636" s="1311"/>
      <c r="Q636" s="1311"/>
      <c r="R636" s="1311"/>
      <c r="S636" s="1311"/>
    </row>
    <row r="637" spans="1:19" ht="17.399999999999999" customHeight="1" x14ac:dyDescent="0.25">
      <c r="A637" s="1311"/>
      <c r="C637" s="39"/>
      <c r="D637" s="1102"/>
      <c r="E637" s="1104" t="s">
        <v>1444</v>
      </c>
      <c r="F637" s="1296" t="s">
        <v>2448</v>
      </c>
      <c r="H637" s="1311"/>
      <c r="I637" s="1311"/>
      <c r="J637" s="1311"/>
      <c r="K637" s="1311"/>
      <c r="L637" s="1311"/>
      <c r="M637" s="1311"/>
      <c r="N637" s="1311"/>
      <c r="O637" s="1311"/>
      <c r="P637" s="1311"/>
      <c r="Q637" s="1311"/>
      <c r="R637" s="1311"/>
      <c r="S637" s="1311"/>
    </row>
    <row r="638" spans="1:19" ht="29.25" customHeight="1" x14ac:dyDescent="0.25">
      <c r="A638" s="1311"/>
      <c r="C638" s="39"/>
      <c r="D638" s="207"/>
      <c r="E638" s="1104" t="s">
        <v>1445</v>
      </c>
      <c r="F638" s="1299" t="s">
        <v>1472</v>
      </c>
      <c r="H638" s="1311"/>
      <c r="I638" s="1311"/>
      <c r="J638" s="1311"/>
      <c r="K638" s="1311"/>
      <c r="L638" s="1311"/>
      <c r="M638" s="1311"/>
      <c r="N638" s="1311"/>
      <c r="O638" s="1311"/>
      <c r="P638" s="1311"/>
      <c r="Q638" s="1311"/>
      <c r="R638" s="1311"/>
      <c r="S638" s="1311"/>
    </row>
    <row r="639" spans="1:19" ht="16.5" customHeight="1" x14ac:dyDescent="0.25">
      <c r="A639" s="1311"/>
      <c r="C639" s="39"/>
      <c r="D639" s="207"/>
      <c r="E639" s="1104" t="s">
        <v>1446</v>
      </c>
      <c r="F639" s="1299" t="s">
        <v>1473</v>
      </c>
      <c r="H639" s="1311"/>
      <c r="I639" s="1311"/>
      <c r="J639" s="1311"/>
      <c r="K639" s="1311"/>
      <c r="L639" s="1311"/>
      <c r="M639" s="1311"/>
      <c r="N639" s="1311"/>
      <c r="O639" s="1311"/>
      <c r="P639" s="1311"/>
      <c r="Q639" s="1311"/>
      <c r="R639" s="1311"/>
      <c r="S639" s="1311"/>
    </row>
    <row r="640" spans="1:19" ht="5.25" customHeight="1" x14ac:dyDescent="0.25">
      <c r="A640" s="1311"/>
      <c r="F640" s="1295"/>
      <c r="H640" s="1311"/>
      <c r="I640" s="1311"/>
      <c r="J640" s="1311"/>
      <c r="K640" s="1311"/>
      <c r="L640" s="1311"/>
      <c r="M640" s="1311"/>
      <c r="N640" s="1311"/>
      <c r="O640" s="1311"/>
      <c r="P640" s="1311"/>
      <c r="Q640" s="1311"/>
      <c r="R640" s="1311"/>
      <c r="S640" s="1311"/>
    </row>
    <row r="641" spans="1:19" ht="15" customHeight="1" x14ac:dyDescent="0.25">
      <c r="A641" s="1311"/>
      <c r="C641" s="39"/>
      <c r="D641" s="1102">
        <v>6.8</v>
      </c>
      <c r="E641" s="1103" t="s">
        <v>1474</v>
      </c>
      <c r="F641" s="1296"/>
      <c r="H641" s="1311"/>
      <c r="I641" s="1311"/>
      <c r="J641" s="1311"/>
      <c r="K641" s="1311"/>
      <c r="L641" s="1311"/>
      <c r="M641" s="1311"/>
      <c r="N641" s="1311"/>
      <c r="O641" s="1311"/>
      <c r="P641" s="1311"/>
      <c r="Q641" s="1311"/>
      <c r="R641" s="1311"/>
      <c r="S641" s="1311"/>
    </row>
    <row r="642" spans="1:19" ht="29.25" customHeight="1" x14ac:dyDescent="0.25">
      <c r="A642" s="1311"/>
      <c r="C642" s="39"/>
      <c r="D642" s="1444"/>
      <c r="E642" s="39" t="s">
        <v>2450</v>
      </c>
      <c r="F642" s="1299" t="s">
        <v>2436</v>
      </c>
      <c r="H642" s="1311"/>
      <c r="I642" s="1311"/>
      <c r="J642" s="1311"/>
      <c r="K642" s="1311"/>
      <c r="L642" s="1311"/>
      <c r="M642" s="1311"/>
      <c r="N642" s="1311"/>
      <c r="O642" s="1311"/>
      <c r="P642" s="1311"/>
      <c r="Q642" s="1311"/>
      <c r="R642" s="1311"/>
      <c r="S642" s="1311"/>
    </row>
    <row r="643" spans="1:19" ht="57.6" customHeight="1" x14ac:dyDescent="0.25">
      <c r="A643" s="1311"/>
      <c r="C643" s="39"/>
      <c r="D643" s="1444"/>
      <c r="E643" s="39" t="s">
        <v>2451</v>
      </c>
      <c r="F643" s="1299" t="s">
        <v>1475</v>
      </c>
      <c r="H643" s="1311"/>
      <c r="I643" s="1311"/>
      <c r="J643" s="1311"/>
      <c r="K643" s="1311"/>
      <c r="L643" s="1311"/>
      <c r="M643" s="1311"/>
      <c r="N643" s="1311"/>
      <c r="O643" s="1311"/>
      <c r="P643" s="1311"/>
      <c r="Q643" s="1311"/>
      <c r="R643" s="1311"/>
      <c r="S643" s="1311"/>
    </row>
    <row r="644" spans="1:19" ht="68.400000000000006" customHeight="1" x14ac:dyDescent="0.25">
      <c r="A644" s="1311"/>
      <c r="C644" s="39"/>
      <c r="D644" s="1444"/>
      <c r="E644" s="39" t="s">
        <v>2452</v>
      </c>
      <c r="F644" s="1299" t="s">
        <v>2453</v>
      </c>
      <c r="H644" s="1311"/>
      <c r="I644" s="1311"/>
      <c r="J644" s="1311"/>
      <c r="K644" s="1311"/>
      <c r="L644" s="1311"/>
      <c r="M644" s="1311"/>
      <c r="N644" s="1311"/>
      <c r="O644" s="1311"/>
      <c r="P644" s="1311"/>
      <c r="Q644" s="1311"/>
      <c r="R644" s="1311"/>
      <c r="S644" s="1311"/>
    </row>
    <row r="645" spans="1:19" ht="15" customHeight="1" x14ac:dyDescent="0.25">
      <c r="A645" s="1311"/>
      <c r="C645" s="39"/>
      <c r="D645" s="207"/>
      <c r="E645" s="39"/>
      <c r="F645" s="1299"/>
      <c r="H645" s="1311"/>
      <c r="I645" s="1311"/>
      <c r="J645" s="1311"/>
      <c r="K645" s="1311"/>
      <c r="L645" s="1311"/>
      <c r="M645" s="1311"/>
      <c r="N645" s="1311"/>
      <c r="O645" s="1311"/>
      <c r="P645" s="1311"/>
      <c r="Q645" s="1311"/>
      <c r="R645" s="1311"/>
      <c r="S645" s="1311"/>
    </row>
    <row r="646" spans="1:19" ht="3.75" customHeight="1" x14ac:dyDescent="0.25">
      <c r="A646" s="1311"/>
      <c r="C646" s="39"/>
      <c r="D646" s="207"/>
      <c r="E646" s="39"/>
      <c r="F646" s="564"/>
      <c r="H646" s="1311"/>
      <c r="I646" s="1311"/>
      <c r="J646" s="1311"/>
      <c r="K646" s="1311"/>
      <c r="L646" s="1311"/>
      <c r="M646" s="1311"/>
      <c r="N646" s="1311"/>
      <c r="O646" s="1311"/>
      <c r="P646" s="1311"/>
      <c r="Q646" s="1311"/>
      <c r="R646" s="1311"/>
      <c r="S646" s="1311"/>
    </row>
    <row r="647" spans="1:19" ht="39.9" customHeight="1" x14ac:dyDescent="0.25">
      <c r="A647" s="1311"/>
      <c r="C647" s="4140" t="s">
        <v>2689</v>
      </c>
      <c r="D647" s="4141"/>
      <c r="E647" s="4141"/>
      <c r="F647" s="4142"/>
      <c r="H647" s="1311"/>
      <c r="I647" s="1311"/>
      <c r="J647" s="1311"/>
      <c r="K647" s="1311"/>
      <c r="L647" s="1311"/>
      <c r="M647" s="1311"/>
      <c r="N647" s="1311"/>
      <c r="O647" s="1311"/>
      <c r="P647" s="1311"/>
      <c r="Q647" s="1311"/>
      <c r="R647" s="1311"/>
      <c r="S647" s="1311"/>
    </row>
    <row r="648" spans="1:19" ht="13.35" customHeight="1" x14ac:dyDescent="0.25">
      <c r="A648" s="1311"/>
      <c r="C648" s="1248"/>
      <c r="D648" s="39"/>
      <c r="E648" s="39"/>
      <c r="F648" s="1296"/>
      <c r="H648" s="1311"/>
      <c r="I648" s="1311"/>
      <c r="J648" s="1311"/>
      <c r="K648" s="1311"/>
      <c r="L648" s="1311"/>
      <c r="M648" s="1311"/>
      <c r="N648" s="1311"/>
      <c r="O648" s="1311"/>
      <c r="P648" s="1311"/>
      <c r="Q648" s="1311"/>
      <c r="R648" s="1311"/>
      <c r="S648" s="1311"/>
    </row>
    <row r="649" spans="1:19" ht="51.6" customHeight="1" x14ac:dyDescent="0.25">
      <c r="A649" s="1311"/>
      <c r="C649" s="1248"/>
      <c r="D649" s="4155" t="s">
        <v>2434</v>
      </c>
      <c r="E649" s="4167"/>
      <c r="F649" s="4168"/>
      <c r="H649" s="1311"/>
      <c r="I649" s="1311"/>
      <c r="J649" s="1311"/>
      <c r="K649" s="1311"/>
      <c r="L649" s="1311"/>
      <c r="M649" s="1311"/>
      <c r="N649" s="1311"/>
      <c r="O649" s="1311"/>
      <c r="P649" s="1311"/>
      <c r="Q649" s="1311"/>
      <c r="R649" s="1311"/>
      <c r="S649" s="1311"/>
    </row>
    <row r="650" spans="1:19" ht="11.25" customHeight="1" x14ac:dyDescent="0.25">
      <c r="A650" s="1311"/>
      <c r="C650" s="1248"/>
      <c r="D650" s="39"/>
      <c r="E650" s="39"/>
      <c r="F650" s="1296"/>
      <c r="H650" s="1311"/>
      <c r="I650" s="1311"/>
      <c r="J650" s="1311"/>
      <c r="K650" s="1311"/>
      <c r="L650" s="1311"/>
      <c r="M650" s="1311"/>
      <c r="N650" s="1311"/>
      <c r="O650" s="1311"/>
      <c r="P650" s="1311"/>
      <c r="Q650" s="1311"/>
      <c r="R650" s="1311"/>
      <c r="S650" s="1311"/>
    </row>
    <row r="651" spans="1:19" ht="11.25" customHeight="1" x14ac:dyDescent="0.25">
      <c r="A651" s="1311"/>
      <c r="C651" s="1248"/>
      <c r="D651" s="39"/>
      <c r="E651" s="39"/>
      <c r="F651" s="1296"/>
      <c r="H651" s="1311"/>
      <c r="I651" s="1311"/>
      <c r="J651" s="1311"/>
      <c r="K651" s="1311"/>
      <c r="L651" s="1311"/>
      <c r="M651" s="1311"/>
      <c r="N651" s="1311"/>
      <c r="O651" s="1311"/>
      <c r="P651" s="1311"/>
      <c r="Q651" s="1311"/>
      <c r="R651" s="1311"/>
      <c r="S651" s="1311"/>
    </row>
    <row r="652" spans="1:19" ht="20.25" customHeight="1" x14ac:dyDescent="0.25">
      <c r="A652" s="1311"/>
      <c r="C652" s="1248"/>
      <c r="D652" s="1529">
        <v>7.1</v>
      </c>
      <c r="E652" s="206" t="s">
        <v>1558</v>
      </c>
      <c r="F652" s="1296"/>
      <c r="H652" s="1311"/>
      <c r="I652" s="1311"/>
      <c r="J652" s="1311"/>
      <c r="K652" s="1311"/>
      <c r="L652" s="1311"/>
      <c r="M652" s="1311"/>
      <c r="N652" s="1311"/>
      <c r="O652" s="1311"/>
      <c r="P652" s="1311"/>
      <c r="Q652" s="1311"/>
      <c r="R652" s="1311"/>
      <c r="S652" s="1311"/>
    </row>
    <row r="653" spans="1:19" ht="16.5" customHeight="1" x14ac:dyDescent="0.25">
      <c r="A653" s="1311"/>
      <c r="C653" s="1248"/>
      <c r="E653" s="3364" t="s">
        <v>3487</v>
      </c>
      <c r="F653" s="3364"/>
      <c r="H653" s="1311"/>
      <c r="I653" s="1311"/>
      <c r="J653" s="1311"/>
      <c r="K653" s="1311"/>
      <c r="L653" s="1311"/>
      <c r="M653" s="1311"/>
      <c r="N653" s="1311"/>
      <c r="O653" s="1311"/>
      <c r="P653" s="1311"/>
      <c r="Q653" s="1311"/>
      <c r="R653" s="1311"/>
      <c r="S653" s="1311"/>
    </row>
    <row r="654" spans="1:19" ht="8.25" customHeight="1" x14ac:dyDescent="0.25">
      <c r="A654" s="1311"/>
      <c r="C654" s="1248"/>
      <c r="D654" s="39"/>
      <c r="E654" s="39"/>
      <c r="F654" s="1296"/>
      <c r="H654" s="1311"/>
      <c r="I654" s="1311"/>
      <c r="J654" s="1311"/>
      <c r="K654" s="1311"/>
      <c r="L654" s="1311"/>
      <c r="M654" s="1311"/>
      <c r="N654" s="1311"/>
      <c r="O654" s="1311"/>
      <c r="P654" s="1311"/>
      <c r="Q654" s="1311"/>
      <c r="R654" s="1311"/>
      <c r="S654" s="1311"/>
    </row>
    <row r="655" spans="1:19" ht="46.95" customHeight="1" x14ac:dyDescent="0.25">
      <c r="A655" s="1311"/>
      <c r="C655" s="39"/>
      <c r="D655" s="207">
        <v>7.2</v>
      </c>
      <c r="E655" s="4154" t="s">
        <v>3488</v>
      </c>
      <c r="F655" s="4154"/>
      <c r="H655" s="1311"/>
      <c r="I655" s="1311"/>
      <c r="J655" s="1311"/>
      <c r="K655" s="1311"/>
      <c r="L655" s="1311"/>
      <c r="M655" s="1311"/>
      <c r="N655" s="1311"/>
      <c r="O655" s="1311"/>
      <c r="P655" s="1311"/>
      <c r="Q655" s="1311"/>
      <c r="R655" s="1311"/>
      <c r="S655" s="1311"/>
    </row>
    <row r="656" spans="1:19" ht="16.5" customHeight="1" x14ac:dyDescent="0.25">
      <c r="A656" s="1311"/>
      <c r="C656" s="380"/>
      <c r="D656" s="381" t="s">
        <v>331</v>
      </c>
      <c r="E656" s="379"/>
      <c r="F656" s="1296"/>
      <c r="H656" s="1311"/>
      <c r="I656" s="1311"/>
      <c r="J656" s="1311"/>
      <c r="K656" s="1311"/>
      <c r="L656" s="1311"/>
      <c r="M656" s="1311"/>
      <c r="N656" s="1311"/>
      <c r="O656" s="1311"/>
      <c r="P656" s="1311"/>
      <c r="Q656" s="1311"/>
      <c r="R656" s="1311"/>
      <c r="S656" s="1311"/>
    </row>
    <row r="657" spans="1:19" ht="16.5" customHeight="1" x14ac:dyDescent="0.25">
      <c r="A657" s="1311"/>
      <c r="C657" s="380"/>
      <c r="D657" s="381"/>
      <c r="E657" s="39" t="s">
        <v>1038</v>
      </c>
      <c r="F657" s="1296" t="s">
        <v>1559</v>
      </c>
      <c r="H657" s="1311"/>
      <c r="I657" s="1311"/>
      <c r="J657" s="1311"/>
      <c r="K657" s="1311"/>
      <c r="L657" s="1311"/>
      <c r="M657" s="1311"/>
      <c r="N657" s="1311"/>
      <c r="O657" s="1311"/>
      <c r="P657" s="1311"/>
      <c r="Q657" s="1311"/>
      <c r="R657" s="1311"/>
      <c r="S657" s="1311"/>
    </row>
    <row r="658" spans="1:19" ht="18.75" customHeight="1" x14ac:dyDescent="0.25">
      <c r="A658" s="1311"/>
      <c r="C658" s="39"/>
      <c r="D658" s="207"/>
      <c r="E658" s="39" t="s">
        <v>1039</v>
      </c>
      <c r="F658" s="1296" t="s">
        <v>1537</v>
      </c>
      <c r="H658" s="1311"/>
      <c r="I658" s="1311"/>
      <c r="J658" s="1311"/>
      <c r="K658" s="1311"/>
      <c r="L658" s="1311"/>
      <c r="M658" s="1311"/>
      <c r="N658" s="1311"/>
      <c r="O658" s="1311"/>
      <c r="P658" s="1311"/>
      <c r="Q658" s="1311"/>
      <c r="R658" s="1311"/>
      <c r="S658" s="1311"/>
    </row>
    <row r="659" spans="1:19" ht="16.5" customHeight="1" x14ac:dyDescent="0.25">
      <c r="A659" s="1311"/>
      <c r="C659" s="380"/>
      <c r="D659" s="381" t="s">
        <v>1252</v>
      </c>
      <c r="E659" s="379"/>
      <c r="F659" s="1296"/>
      <c r="H659" s="1311"/>
      <c r="I659" s="1311"/>
      <c r="J659" s="1311"/>
      <c r="K659" s="1311"/>
      <c r="L659" s="1311"/>
      <c r="M659" s="1311"/>
      <c r="N659" s="1311"/>
      <c r="O659" s="1311"/>
      <c r="P659" s="1311"/>
      <c r="Q659" s="1311"/>
      <c r="R659" s="1311"/>
      <c r="S659" s="1311"/>
    </row>
    <row r="660" spans="1:19" ht="42" customHeight="1" x14ac:dyDescent="0.25">
      <c r="A660" s="1311"/>
      <c r="C660" s="39"/>
      <c r="D660" s="207"/>
      <c r="E660" s="39" t="s">
        <v>1538</v>
      </c>
      <c r="F660" s="1296" t="s">
        <v>1253</v>
      </c>
      <c r="H660" s="1311"/>
      <c r="I660" s="1311"/>
      <c r="J660" s="1311"/>
      <c r="K660" s="1311"/>
      <c r="L660" s="1311"/>
      <c r="M660" s="1311"/>
      <c r="N660" s="1311"/>
      <c r="O660" s="1311"/>
      <c r="P660" s="1311"/>
      <c r="Q660" s="1311"/>
      <c r="R660" s="1311"/>
      <c r="S660" s="1311"/>
    </row>
    <row r="661" spans="1:19" ht="18" customHeight="1" x14ac:dyDescent="0.25">
      <c r="A661" s="1311"/>
      <c r="C661" s="380"/>
      <c r="D661" s="381" t="s">
        <v>1241</v>
      </c>
      <c r="E661" s="379"/>
      <c r="F661" s="1296"/>
      <c r="H661" s="1311"/>
      <c r="I661" s="1311"/>
      <c r="J661" s="1311"/>
      <c r="K661" s="1311"/>
      <c r="L661" s="1311"/>
      <c r="M661" s="1311"/>
      <c r="N661" s="1311"/>
      <c r="O661" s="1311"/>
      <c r="P661" s="1311"/>
      <c r="Q661" s="1311"/>
      <c r="R661" s="1311"/>
      <c r="S661" s="1311"/>
    </row>
    <row r="662" spans="1:19" s="39" customFormat="1" ht="27.9" customHeight="1" x14ac:dyDescent="0.25">
      <c r="A662" s="1311"/>
      <c r="D662" s="207"/>
      <c r="E662" s="39" t="s">
        <v>1539</v>
      </c>
      <c r="F662" s="1296" t="s">
        <v>1246</v>
      </c>
      <c r="H662" s="1313"/>
      <c r="I662" s="1313"/>
      <c r="J662" s="1313"/>
      <c r="K662" s="1313"/>
      <c r="L662" s="1313"/>
      <c r="M662" s="1313"/>
      <c r="N662" s="1313"/>
      <c r="O662" s="1313"/>
      <c r="P662" s="1313"/>
      <c r="Q662" s="1313"/>
      <c r="R662" s="1313"/>
      <c r="S662" s="1313"/>
    </row>
    <row r="663" spans="1:19" s="39" customFormat="1" ht="15" customHeight="1" x14ac:dyDescent="0.25">
      <c r="A663" s="1311"/>
      <c r="D663" s="207"/>
      <c r="E663" s="39" t="s">
        <v>1540</v>
      </c>
      <c r="F663" s="1296" t="s">
        <v>1247</v>
      </c>
      <c r="H663" s="1313"/>
      <c r="I663" s="1313"/>
      <c r="J663" s="1313"/>
      <c r="K663" s="1313"/>
      <c r="L663" s="1313"/>
      <c r="M663" s="1313"/>
      <c r="N663" s="1313"/>
      <c r="O663" s="1313"/>
      <c r="P663" s="1313"/>
      <c r="Q663" s="1313"/>
      <c r="R663" s="1313"/>
      <c r="S663" s="1313"/>
    </row>
    <row r="664" spans="1:19" ht="5.25" customHeight="1" x14ac:dyDescent="0.25">
      <c r="A664" s="1311"/>
      <c r="F664" s="1295"/>
      <c r="H664" s="1311"/>
      <c r="I664" s="1311"/>
      <c r="J664" s="1311"/>
      <c r="K664" s="1311"/>
      <c r="L664" s="1311"/>
      <c r="M664" s="1311"/>
      <c r="N664" s="1311"/>
      <c r="O664" s="1311"/>
      <c r="P664" s="1311"/>
      <c r="Q664" s="1311"/>
      <c r="R664" s="1311"/>
      <c r="S664" s="1311"/>
    </row>
    <row r="665" spans="1:19" ht="15" customHeight="1" x14ac:dyDescent="0.25">
      <c r="A665" s="1311"/>
      <c r="C665" s="39"/>
      <c r="D665" s="1835"/>
      <c r="E665" s="39"/>
      <c r="F665" s="1296"/>
      <c r="H665" s="1311"/>
      <c r="I665" s="1311"/>
      <c r="J665" s="1311"/>
      <c r="K665" s="1311"/>
      <c r="L665" s="1311"/>
      <c r="M665" s="1311"/>
      <c r="N665" s="1311"/>
      <c r="O665" s="1311"/>
      <c r="P665" s="1311"/>
      <c r="Q665" s="1311"/>
      <c r="R665" s="1311"/>
      <c r="S665" s="1311"/>
    </row>
    <row r="666" spans="1:19" ht="4.95" customHeight="1" x14ac:dyDescent="0.25">
      <c r="A666" s="1311"/>
      <c r="C666" s="39"/>
      <c r="D666" s="207"/>
      <c r="E666" s="39"/>
      <c r="F666" s="1296"/>
      <c r="H666" s="1311"/>
      <c r="I666" s="1311"/>
      <c r="J666" s="1311"/>
      <c r="K666" s="1311"/>
      <c r="L666" s="1311"/>
      <c r="M666" s="1311"/>
      <c r="N666" s="1311"/>
      <c r="O666" s="1311"/>
      <c r="P666" s="1311"/>
      <c r="Q666" s="1311"/>
      <c r="R666" s="1311"/>
      <c r="S666" s="1311"/>
    </row>
    <row r="667" spans="1:19" s="747" customFormat="1" ht="39.9" customHeight="1" x14ac:dyDescent="0.25">
      <c r="A667" s="1311"/>
      <c r="C667" s="4140" t="s">
        <v>2239</v>
      </c>
      <c r="D667" s="4141"/>
      <c r="E667" s="4141"/>
      <c r="F667" s="4142"/>
      <c r="H667" s="1314"/>
      <c r="I667" s="1314"/>
      <c r="J667" s="1314"/>
      <c r="K667" s="1314"/>
      <c r="L667" s="1314"/>
      <c r="M667" s="1314"/>
      <c r="N667" s="1314"/>
      <c r="O667" s="1314"/>
      <c r="P667" s="1314"/>
      <c r="Q667" s="1314"/>
      <c r="R667" s="1314"/>
      <c r="S667" s="1314"/>
    </row>
    <row r="668" spans="1:19" ht="14.4" customHeight="1" x14ac:dyDescent="0.25">
      <c r="A668" s="1311"/>
      <c r="F668" s="1295"/>
      <c r="H668" s="1311"/>
      <c r="I668" s="1311"/>
      <c r="J668" s="1311"/>
      <c r="K668" s="1311"/>
      <c r="L668" s="1311"/>
      <c r="M668" s="1311"/>
      <c r="N668" s="1311"/>
      <c r="O668" s="1311"/>
      <c r="P668" s="1311"/>
      <c r="Q668" s="1311"/>
      <c r="R668" s="1311"/>
      <c r="S668" s="1311"/>
    </row>
    <row r="669" spans="1:19" s="2085" customFormat="1" ht="38.4" customHeight="1" x14ac:dyDescent="0.25">
      <c r="A669" s="1311"/>
      <c r="C669" s="2087"/>
      <c r="D669" s="4155" t="s">
        <v>2690</v>
      </c>
      <c r="E669" s="4156"/>
      <c r="F669" s="4157"/>
      <c r="H669" s="2086"/>
      <c r="I669" s="2086"/>
      <c r="J669" s="2086"/>
      <c r="K669" s="2086"/>
      <c r="L669" s="2086"/>
      <c r="M669" s="2086"/>
      <c r="N669" s="2086"/>
      <c r="O669" s="2086"/>
      <c r="P669" s="2086"/>
      <c r="Q669" s="2086"/>
      <c r="R669" s="2086"/>
      <c r="S669" s="2086"/>
    </row>
    <row r="670" spans="1:19" ht="18" customHeight="1" x14ac:dyDescent="0.25">
      <c r="A670" s="1311"/>
      <c r="C670" s="1154"/>
      <c r="D670" s="1102"/>
      <c r="E670" s="1104"/>
      <c r="F670" s="1299"/>
      <c r="H670" s="1311"/>
      <c r="I670" s="1311"/>
      <c r="J670" s="1311"/>
      <c r="K670" s="1311"/>
      <c r="L670" s="1311"/>
      <c r="M670" s="1311"/>
      <c r="N670" s="1311"/>
      <c r="O670" s="1311"/>
      <c r="P670" s="1311"/>
      <c r="Q670" s="1311"/>
      <c r="R670" s="1311"/>
      <c r="S670" s="1311"/>
    </row>
    <row r="671" spans="1:19" ht="18.600000000000001" customHeight="1" x14ac:dyDescent="0.25">
      <c r="A671" s="1311"/>
      <c r="C671" s="380"/>
      <c r="D671" s="1102">
        <v>8.1</v>
      </c>
      <c r="E671" s="1103" t="s">
        <v>2441</v>
      </c>
      <c r="F671" s="1296"/>
      <c r="H671" s="1311"/>
      <c r="I671" s="1311"/>
      <c r="J671" s="1311"/>
      <c r="K671" s="1311"/>
      <c r="L671" s="1311"/>
      <c r="M671" s="1311"/>
      <c r="N671" s="1311"/>
      <c r="O671" s="1311"/>
      <c r="P671" s="1311"/>
      <c r="Q671" s="1311"/>
      <c r="R671" s="1311"/>
      <c r="S671" s="1311"/>
    </row>
    <row r="672" spans="1:19" ht="84" customHeight="1" x14ac:dyDescent="0.25">
      <c r="A672" s="1311"/>
      <c r="C672" s="1154"/>
      <c r="D672" s="1102"/>
      <c r="E672" s="1104" t="s">
        <v>653</v>
      </c>
      <c r="F672" s="1299" t="s">
        <v>2425</v>
      </c>
      <c r="H672" s="1311"/>
      <c r="I672" s="1311"/>
      <c r="J672" s="1311"/>
      <c r="K672" s="1311"/>
      <c r="L672" s="1311"/>
      <c r="M672" s="1311"/>
      <c r="N672" s="1311"/>
      <c r="O672" s="1311"/>
      <c r="P672" s="1311"/>
      <c r="Q672" s="1311"/>
      <c r="R672" s="1311"/>
      <c r="S672" s="1311"/>
    </row>
    <row r="673" spans="1:19" ht="112.35" customHeight="1" x14ac:dyDescent="0.25">
      <c r="A673" s="1311"/>
      <c r="C673" s="1154"/>
      <c r="D673" s="1102"/>
      <c r="E673" s="1104" t="s">
        <v>2333</v>
      </c>
      <c r="F673" s="1299" t="s">
        <v>2426</v>
      </c>
      <c r="H673" s="1311"/>
      <c r="I673" s="1311"/>
      <c r="J673" s="1311"/>
      <c r="K673" s="1311"/>
      <c r="L673" s="1311"/>
      <c r="M673" s="1311"/>
      <c r="N673" s="1311"/>
      <c r="O673" s="1311"/>
      <c r="P673" s="1311"/>
      <c r="Q673" s="1311"/>
      <c r="R673" s="1311"/>
      <c r="S673" s="1311"/>
    </row>
    <row r="674" spans="1:19" ht="79.95" customHeight="1" x14ac:dyDescent="0.25">
      <c r="A674" s="1311"/>
      <c r="C674" s="1154"/>
      <c r="D674" s="1102"/>
      <c r="E674" s="1104" t="s">
        <v>2343</v>
      </c>
      <c r="F674" s="1299" t="s">
        <v>2427</v>
      </c>
      <c r="H674" s="1311"/>
      <c r="I674" s="1311"/>
      <c r="J674" s="1311"/>
      <c r="K674" s="1311"/>
      <c r="L674" s="1311"/>
      <c r="M674" s="1311"/>
      <c r="N674" s="1311"/>
      <c r="O674" s="1311"/>
      <c r="P674" s="1311"/>
      <c r="Q674" s="1311"/>
      <c r="R674" s="1311"/>
      <c r="S674" s="1311"/>
    </row>
    <row r="675" spans="1:19" ht="112.35" customHeight="1" x14ac:dyDescent="0.25">
      <c r="A675" s="1311"/>
      <c r="C675" s="1154"/>
      <c r="D675" s="1102"/>
      <c r="E675" s="1104" t="s">
        <v>2344</v>
      </c>
      <c r="F675" s="1299" t="s">
        <v>2385</v>
      </c>
      <c r="H675" s="1311"/>
      <c r="I675" s="1311"/>
      <c r="J675" s="1311"/>
      <c r="K675" s="1311"/>
      <c r="L675" s="1311"/>
      <c r="M675" s="1311"/>
      <c r="N675" s="1311"/>
      <c r="O675" s="1311"/>
      <c r="P675" s="1311"/>
      <c r="Q675" s="1311"/>
      <c r="R675" s="1311"/>
      <c r="S675" s="1311"/>
    </row>
    <row r="676" spans="1:19" ht="16.350000000000001" customHeight="1" x14ac:dyDescent="0.25">
      <c r="A676" s="1311"/>
      <c r="C676" s="1154"/>
      <c r="D676" s="1102"/>
      <c r="E676" s="1104"/>
      <c r="F676" s="1299"/>
      <c r="H676" s="1311"/>
      <c r="I676" s="1311"/>
      <c r="J676" s="1311"/>
      <c r="K676" s="1311"/>
      <c r="L676" s="1311"/>
      <c r="M676" s="1311"/>
      <c r="N676" s="1311"/>
      <c r="O676" s="1311"/>
      <c r="P676" s="1311"/>
      <c r="Q676" s="1311"/>
      <c r="R676" s="1311"/>
      <c r="S676" s="1311"/>
    </row>
    <row r="677" spans="1:19" ht="18.600000000000001" customHeight="1" x14ac:dyDescent="0.25">
      <c r="A677" s="1311"/>
      <c r="C677" s="380"/>
      <c r="D677" s="381" t="s">
        <v>2229</v>
      </c>
      <c r="E677" s="379"/>
      <c r="F677" s="1296"/>
      <c r="H677" s="1311"/>
      <c r="I677" s="1311"/>
      <c r="J677" s="1311"/>
      <c r="K677" s="1311"/>
      <c r="L677" s="1311"/>
      <c r="M677" s="1311"/>
      <c r="N677" s="1311"/>
      <c r="O677" s="1311"/>
      <c r="P677" s="1311"/>
      <c r="Q677" s="1311"/>
      <c r="R677" s="1311"/>
      <c r="S677" s="1311"/>
    </row>
    <row r="678" spans="1:19" ht="15" customHeight="1" x14ac:dyDescent="0.25">
      <c r="A678" s="1311"/>
      <c r="C678" s="1154"/>
      <c r="D678" s="1778" t="s">
        <v>654</v>
      </c>
      <c r="E678" s="1103" t="s">
        <v>2413</v>
      </c>
      <c r="F678" s="1299"/>
      <c r="H678" s="1311"/>
      <c r="I678" s="1311"/>
      <c r="J678" s="1311"/>
      <c r="K678" s="1311"/>
      <c r="L678" s="1311"/>
      <c r="M678" s="1311"/>
      <c r="N678" s="1311"/>
      <c r="O678" s="1311"/>
      <c r="P678" s="1311"/>
      <c r="Q678" s="1311"/>
      <c r="R678" s="1311"/>
      <c r="S678" s="1311"/>
    </row>
    <row r="679" spans="1:19" ht="29.4" customHeight="1" x14ac:dyDescent="0.25">
      <c r="A679" s="1311"/>
      <c r="C679" s="1154"/>
      <c r="D679" s="1102"/>
      <c r="E679" s="1778" t="s">
        <v>2230</v>
      </c>
      <c r="F679" s="1297" t="s">
        <v>2406</v>
      </c>
      <c r="H679" s="1311"/>
      <c r="I679" s="1311"/>
      <c r="J679" s="1311"/>
      <c r="K679" s="1311"/>
      <c r="L679" s="1311"/>
      <c r="M679" s="1311"/>
      <c r="N679" s="1311"/>
      <c r="O679" s="1311"/>
      <c r="P679" s="1311"/>
      <c r="Q679" s="1311"/>
      <c r="R679" s="1311"/>
      <c r="S679" s="1311"/>
    </row>
    <row r="680" spans="1:19" ht="15" customHeight="1" x14ac:dyDescent="0.25">
      <c r="A680" s="1311"/>
      <c r="C680" s="1154"/>
      <c r="D680" s="1778" t="s">
        <v>655</v>
      </c>
      <c r="E680" s="1103" t="s">
        <v>2404</v>
      </c>
      <c r="F680" s="1299"/>
      <c r="H680" s="1311"/>
      <c r="I680" s="1311"/>
      <c r="J680" s="1311"/>
      <c r="K680" s="1311"/>
      <c r="L680" s="1311"/>
      <c r="M680" s="1311"/>
      <c r="N680" s="1311"/>
      <c r="O680" s="1311"/>
      <c r="P680" s="1311"/>
      <c r="Q680" s="1311"/>
      <c r="R680" s="1311"/>
      <c r="S680" s="1311"/>
    </row>
    <row r="681" spans="1:19" ht="30" customHeight="1" x14ac:dyDescent="0.25">
      <c r="A681" s="1311"/>
      <c r="C681" s="1154"/>
      <c r="D681" s="1102"/>
      <c r="E681" s="1778" t="s">
        <v>2231</v>
      </c>
      <c r="F681" s="1297" t="s">
        <v>2405</v>
      </c>
      <c r="H681" s="1311"/>
      <c r="I681" s="1311"/>
      <c r="J681" s="1311"/>
      <c r="K681" s="1311"/>
      <c r="L681" s="1311"/>
      <c r="M681" s="1311"/>
      <c r="N681" s="1311"/>
      <c r="O681" s="1311"/>
      <c r="P681" s="1311"/>
      <c r="Q681" s="1311"/>
      <c r="R681" s="1311"/>
      <c r="S681" s="1311"/>
    </row>
    <row r="682" spans="1:19" ht="28.35" customHeight="1" x14ac:dyDescent="0.25">
      <c r="A682" s="1311"/>
      <c r="C682" s="1154"/>
      <c r="D682" s="1102"/>
      <c r="E682" s="1778" t="s">
        <v>2232</v>
      </c>
      <c r="F682" s="1299" t="s">
        <v>2064</v>
      </c>
      <c r="H682" s="1311"/>
      <c r="I682" s="1311"/>
      <c r="J682" s="1311"/>
      <c r="K682" s="1311"/>
      <c r="L682" s="1311"/>
      <c r="M682" s="1311"/>
      <c r="N682" s="1311"/>
      <c r="O682" s="1311"/>
      <c r="P682" s="1311"/>
      <c r="Q682" s="1311"/>
      <c r="R682" s="1311"/>
      <c r="S682" s="1311"/>
    </row>
    <row r="683" spans="1:19" ht="15.6" customHeight="1" x14ac:dyDescent="0.25">
      <c r="A683" s="1311"/>
      <c r="C683" s="1154"/>
      <c r="D683" s="1102"/>
      <c r="E683" s="1778" t="s">
        <v>2407</v>
      </c>
      <c r="F683" s="1299" t="s">
        <v>2065</v>
      </c>
      <c r="H683" s="1311"/>
      <c r="I683" s="1311"/>
      <c r="J683" s="1311"/>
      <c r="K683" s="1311"/>
      <c r="L683" s="1311"/>
      <c r="M683" s="1311"/>
      <c r="N683" s="1311"/>
      <c r="O683" s="1311"/>
      <c r="P683" s="1311"/>
      <c r="Q683" s="1311"/>
      <c r="R683" s="1311"/>
      <c r="S683" s="1311"/>
    </row>
    <row r="684" spans="1:19" ht="15.6" customHeight="1" x14ac:dyDescent="0.25">
      <c r="A684" s="1311"/>
      <c r="C684" s="1154"/>
      <c r="D684" s="1102"/>
      <c r="E684" s="1778" t="s">
        <v>2408</v>
      </c>
      <c r="F684" s="1299" t="s">
        <v>2066</v>
      </c>
      <c r="H684" s="1311"/>
      <c r="I684" s="1311"/>
      <c r="J684" s="1311"/>
      <c r="K684" s="1311"/>
      <c r="L684" s="1311"/>
      <c r="M684" s="1311"/>
      <c r="N684" s="1311"/>
      <c r="O684" s="1311"/>
      <c r="P684" s="1311"/>
      <c r="Q684" s="1311"/>
      <c r="R684" s="1311"/>
      <c r="S684" s="1311"/>
    </row>
    <row r="685" spans="1:19" ht="15" customHeight="1" x14ac:dyDescent="0.25">
      <c r="A685" s="1311"/>
      <c r="C685" s="1154"/>
      <c r="D685" s="1778" t="s">
        <v>2125</v>
      </c>
      <c r="E685" s="1103" t="s">
        <v>2062</v>
      </c>
      <c r="F685" s="1299"/>
      <c r="H685" s="1311"/>
      <c r="I685" s="1311"/>
      <c r="J685" s="1311"/>
      <c r="K685" s="1311"/>
      <c r="L685" s="1311"/>
      <c r="M685" s="1311"/>
      <c r="N685" s="1311"/>
      <c r="O685" s="1311"/>
      <c r="P685" s="1311"/>
      <c r="Q685" s="1311"/>
      <c r="R685" s="1311"/>
      <c r="S685" s="1311"/>
    </row>
    <row r="686" spans="1:19" ht="18" customHeight="1" x14ac:dyDescent="0.25">
      <c r="A686" s="1311"/>
      <c r="C686" s="1154"/>
      <c r="D686" s="1102"/>
      <c r="E686" s="1778" t="s">
        <v>2233</v>
      </c>
      <c r="F686" s="1297" t="s">
        <v>2374</v>
      </c>
      <c r="H686" s="1311"/>
      <c r="I686" s="1311"/>
      <c r="J686" s="1311"/>
      <c r="K686" s="1311"/>
      <c r="L686" s="1311"/>
      <c r="M686" s="1311"/>
      <c r="N686" s="1311"/>
      <c r="O686" s="1311"/>
      <c r="P686" s="1311"/>
      <c r="Q686" s="1311"/>
      <c r="R686" s="1311"/>
      <c r="S686" s="1311"/>
    </row>
    <row r="687" spans="1:19" ht="28.35" customHeight="1" x14ac:dyDescent="0.25">
      <c r="A687" s="1311"/>
      <c r="C687" s="1154"/>
      <c r="D687" s="1102"/>
      <c r="E687" s="1778" t="s">
        <v>2234</v>
      </c>
      <c r="F687" s="1299" t="s">
        <v>2067</v>
      </c>
      <c r="H687" s="1311"/>
      <c r="I687" s="1311"/>
      <c r="J687" s="1311"/>
      <c r="K687" s="1311"/>
      <c r="L687" s="1311"/>
      <c r="M687" s="1311"/>
      <c r="N687" s="1311"/>
      <c r="O687" s="1311"/>
      <c r="P687" s="1311"/>
      <c r="Q687" s="1311"/>
      <c r="R687" s="1311"/>
      <c r="S687" s="1311"/>
    </row>
    <row r="688" spans="1:19" ht="15" customHeight="1" x14ac:dyDescent="0.25">
      <c r="A688" s="1311"/>
      <c r="C688" s="1154"/>
      <c r="D688" s="1778" t="s">
        <v>2126</v>
      </c>
      <c r="E688" s="1103" t="s">
        <v>2063</v>
      </c>
      <c r="F688" s="1299"/>
      <c r="H688" s="1311"/>
      <c r="I688" s="1311"/>
      <c r="J688" s="1311"/>
      <c r="K688" s="1311"/>
      <c r="L688" s="1311"/>
      <c r="M688" s="1311"/>
      <c r="N688" s="1311"/>
      <c r="O688" s="1311"/>
      <c r="P688" s="1311"/>
      <c r="Q688" s="1311"/>
      <c r="R688" s="1311"/>
      <c r="S688" s="1311"/>
    </row>
    <row r="689" spans="1:19" ht="28.35" customHeight="1" x14ac:dyDescent="0.25">
      <c r="A689" s="1311"/>
      <c r="C689" s="1154"/>
      <c r="D689" s="1102"/>
      <c r="E689" s="1778" t="s">
        <v>2235</v>
      </c>
      <c r="F689" s="1297" t="s">
        <v>2691</v>
      </c>
      <c r="H689" s="1311"/>
      <c r="I689" s="1311"/>
      <c r="J689" s="1311"/>
      <c r="K689" s="1311"/>
      <c r="L689" s="1311"/>
      <c r="M689" s="1311"/>
      <c r="N689" s="1311"/>
      <c r="O689" s="1311"/>
      <c r="P689" s="1311"/>
      <c r="Q689" s="1311"/>
      <c r="R689" s="1311"/>
      <c r="S689" s="1311"/>
    </row>
    <row r="690" spans="1:19" ht="57.6" customHeight="1" x14ac:dyDescent="0.25">
      <c r="A690" s="1311"/>
      <c r="C690" s="1154"/>
      <c r="D690" s="1102"/>
      <c r="E690" s="1778" t="s">
        <v>2409</v>
      </c>
      <c r="F690" s="1299" t="s">
        <v>2376</v>
      </c>
      <c r="H690" s="1311"/>
      <c r="I690" s="1311"/>
      <c r="J690" s="1311"/>
      <c r="K690" s="1311"/>
      <c r="L690" s="1311"/>
      <c r="M690" s="1311"/>
      <c r="N690" s="1311"/>
      <c r="O690" s="1311"/>
      <c r="P690" s="1311"/>
      <c r="Q690" s="1311"/>
      <c r="R690" s="1311"/>
      <c r="S690" s="1311"/>
    </row>
    <row r="691" spans="1:19" ht="15" customHeight="1" x14ac:dyDescent="0.25">
      <c r="A691" s="1311"/>
      <c r="C691" s="1154"/>
      <c r="D691" s="1778" t="s">
        <v>2127</v>
      </c>
      <c r="E691" s="1103" t="s">
        <v>2377</v>
      </c>
      <c r="F691" s="1299"/>
      <c r="H691" s="1311"/>
      <c r="I691" s="1311"/>
      <c r="J691" s="1311"/>
      <c r="K691" s="1311"/>
      <c r="L691" s="1311"/>
      <c r="M691" s="1311"/>
      <c r="N691" s="1311"/>
      <c r="O691" s="1311"/>
      <c r="P691" s="1311"/>
      <c r="Q691" s="1311"/>
      <c r="R691" s="1311"/>
      <c r="S691" s="1311"/>
    </row>
    <row r="692" spans="1:19" ht="33.6" customHeight="1" x14ac:dyDescent="0.25">
      <c r="A692" s="1311"/>
      <c r="C692" s="1154"/>
      <c r="D692" s="1102"/>
      <c r="E692" s="1778" t="s">
        <v>2236</v>
      </c>
      <c r="F692" s="1297" t="s">
        <v>2373</v>
      </c>
      <c r="H692" s="1311"/>
      <c r="I692" s="1311"/>
      <c r="J692" s="1311"/>
      <c r="K692" s="1311"/>
      <c r="L692" s="1311"/>
      <c r="M692" s="1311"/>
      <c r="N692" s="1311"/>
      <c r="O692" s="1311"/>
      <c r="P692" s="1311"/>
      <c r="Q692" s="1311"/>
      <c r="R692" s="1311"/>
      <c r="S692" s="1311"/>
    </row>
    <row r="693" spans="1:19" ht="15" customHeight="1" x14ac:dyDescent="0.25">
      <c r="A693" s="1311"/>
      <c r="C693" s="1154"/>
      <c r="D693" s="1778" t="s">
        <v>2128</v>
      </c>
      <c r="E693" s="1103" t="s">
        <v>4227</v>
      </c>
      <c r="F693" s="1299"/>
      <c r="H693" s="1311"/>
      <c r="I693" s="1311"/>
      <c r="J693" s="1311"/>
      <c r="K693" s="1311"/>
      <c r="L693" s="1311"/>
      <c r="M693" s="1311"/>
      <c r="N693" s="1311"/>
      <c r="O693" s="1311"/>
      <c r="P693" s="1311"/>
      <c r="Q693" s="1311"/>
      <c r="R693" s="1311"/>
      <c r="S693" s="1311"/>
    </row>
    <row r="694" spans="1:19" ht="21.6" customHeight="1" x14ac:dyDescent="0.25">
      <c r="A694" s="1311"/>
      <c r="C694" s="1154"/>
      <c r="D694" s="1102"/>
      <c r="E694" s="1778" t="s">
        <v>2237</v>
      </c>
      <c r="F694" s="1299" t="s">
        <v>2378</v>
      </c>
      <c r="H694" s="1311"/>
      <c r="I694" s="1311"/>
      <c r="J694" s="1311"/>
      <c r="K694" s="1311"/>
      <c r="L694" s="1311"/>
      <c r="M694" s="1311"/>
      <c r="N694" s="1311"/>
      <c r="O694" s="1311"/>
      <c r="P694" s="1311"/>
      <c r="Q694" s="1311"/>
      <c r="R694" s="1311"/>
      <c r="S694" s="1311"/>
    </row>
    <row r="695" spans="1:19" ht="15" customHeight="1" x14ac:dyDescent="0.25">
      <c r="A695" s="1311"/>
      <c r="C695" s="1154"/>
      <c r="D695" s="1778" t="s">
        <v>2380</v>
      </c>
      <c r="E695" s="1103" t="s">
        <v>2379</v>
      </c>
      <c r="F695" s="1299"/>
      <c r="H695" s="1311"/>
      <c r="I695" s="1311"/>
      <c r="J695" s="1311"/>
      <c r="K695" s="1311"/>
      <c r="L695" s="1311"/>
      <c r="M695" s="1311"/>
      <c r="N695" s="1311"/>
      <c r="O695" s="1311"/>
      <c r="P695" s="1311"/>
      <c r="Q695" s="1311"/>
      <c r="R695" s="1311"/>
      <c r="S695" s="1311"/>
    </row>
    <row r="696" spans="1:19" ht="19.350000000000001" customHeight="1" x14ac:dyDescent="0.25">
      <c r="A696" s="1311"/>
      <c r="C696" s="1154"/>
      <c r="D696" s="1102"/>
      <c r="E696" s="1778" t="s">
        <v>2383</v>
      </c>
      <c r="F696" s="1299" t="s">
        <v>2378</v>
      </c>
      <c r="H696" s="1311"/>
      <c r="I696" s="1311"/>
      <c r="J696" s="1311"/>
      <c r="K696" s="1311"/>
      <c r="L696" s="1311"/>
      <c r="M696" s="1311"/>
      <c r="N696" s="1311"/>
      <c r="O696" s="1311"/>
      <c r="P696" s="1311"/>
      <c r="Q696" s="1311"/>
      <c r="R696" s="1311"/>
      <c r="S696" s="1311"/>
    </row>
    <row r="697" spans="1:19" ht="15" customHeight="1" x14ac:dyDescent="0.25">
      <c r="A697" s="1311"/>
      <c r="C697" s="1154"/>
      <c r="D697" s="1778" t="s">
        <v>2410</v>
      </c>
      <c r="E697" s="1103" t="s">
        <v>2381</v>
      </c>
      <c r="F697" s="1299"/>
      <c r="H697" s="1311"/>
      <c r="I697" s="1311"/>
      <c r="J697" s="1311"/>
      <c r="K697" s="1311"/>
      <c r="L697" s="1311"/>
      <c r="M697" s="1311"/>
      <c r="N697" s="1311"/>
      <c r="O697" s="1311"/>
      <c r="P697" s="1311"/>
      <c r="Q697" s="1311"/>
      <c r="R697" s="1311"/>
      <c r="S697" s="1311"/>
    </row>
    <row r="698" spans="1:19" ht="27.6" customHeight="1" x14ac:dyDescent="0.25">
      <c r="A698" s="1311"/>
      <c r="C698" s="1154"/>
      <c r="D698" s="1102"/>
      <c r="E698" s="1778" t="s">
        <v>2411</v>
      </c>
      <c r="F698" s="1299" t="s">
        <v>2382</v>
      </c>
      <c r="H698" s="1311"/>
      <c r="I698" s="1311"/>
      <c r="J698" s="1311"/>
      <c r="K698" s="1311"/>
      <c r="L698" s="1311"/>
      <c r="M698" s="1311"/>
      <c r="N698" s="1311"/>
      <c r="O698" s="1311"/>
      <c r="P698" s="1311"/>
      <c r="Q698" s="1311"/>
      <c r="R698" s="1311"/>
      <c r="S698" s="1311"/>
    </row>
    <row r="699" spans="1:19" ht="28.35" customHeight="1" x14ac:dyDescent="0.25">
      <c r="A699" s="1311"/>
      <c r="C699" s="1154"/>
      <c r="D699" s="1102"/>
      <c r="E699" s="1778" t="s">
        <v>2412</v>
      </c>
      <c r="F699" s="1299" t="s">
        <v>2384</v>
      </c>
      <c r="H699" s="1311"/>
      <c r="I699" s="1311"/>
      <c r="J699" s="1311"/>
      <c r="K699" s="1311"/>
      <c r="L699" s="1311"/>
      <c r="M699" s="1311"/>
      <c r="N699" s="1311"/>
      <c r="O699" s="1311"/>
      <c r="P699" s="1311"/>
      <c r="Q699" s="1311"/>
      <c r="R699" s="1311"/>
      <c r="S699" s="1311"/>
    </row>
    <row r="700" spans="1:19" ht="15.6" customHeight="1" x14ac:dyDescent="0.25">
      <c r="A700" s="1311"/>
      <c r="H700" s="1311"/>
      <c r="I700" s="1311"/>
      <c r="J700" s="1311"/>
      <c r="K700" s="1311"/>
      <c r="L700" s="1311"/>
      <c r="M700" s="1311"/>
      <c r="N700" s="1311"/>
      <c r="O700" s="1311"/>
      <c r="P700" s="1311"/>
      <c r="Q700" s="1311"/>
      <c r="R700" s="1311"/>
      <c r="S700" s="1311"/>
    </row>
    <row r="701" spans="1:19" ht="19.95" customHeight="1" x14ac:dyDescent="0.25">
      <c r="A701" s="1311"/>
      <c r="C701" s="380"/>
      <c r="D701" s="381" t="s">
        <v>2238</v>
      </c>
      <c r="E701" s="379"/>
      <c r="F701" s="1296"/>
      <c r="H701" s="1311"/>
      <c r="I701" s="1311"/>
      <c r="J701" s="1311"/>
      <c r="K701" s="1311"/>
      <c r="L701" s="1311"/>
      <c r="M701" s="1311"/>
      <c r="N701" s="1311"/>
      <c r="O701" s="1311"/>
      <c r="P701" s="1311"/>
      <c r="Q701" s="1311"/>
      <c r="R701" s="1311"/>
      <c r="S701" s="1311"/>
    </row>
    <row r="702" spans="1:19" ht="15" customHeight="1" x14ac:dyDescent="0.25">
      <c r="A702" s="1311"/>
      <c r="C702" s="1154"/>
      <c r="D702" s="1778" t="s">
        <v>1456</v>
      </c>
      <c r="E702" s="1103" t="s">
        <v>2413</v>
      </c>
      <c r="F702" s="1299"/>
      <c r="H702" s="1311"/>
      <c r="I702" s="1311"/>
      <c r="J702" s="1311"/>
      <c r="K702" s="1311"/>
      <c r="L702" s="1311"/>
      <c r="M702" s="1311"/>
      <c r="N702" s="1311"/>
      <c r="O702" s="1311"/>
      <c r="P702" s="1311"/>
      <c r="Q702" s="1311"/>
      <c r="R702" s="1311"/>
      <c r="S702" s="1311"/>
    </row>
    <row r="703" spans="1:19" ht="29.4" customHeight="1" x14ac:dyDescent="0.25">
      <c r="A703" s="1311"/>
      <c r="C703" s="1154"/>
      <c r="D703" s="1102"/>
      <c r="E703" s="1778" t="s">
        <v>2129</v>
      </c>
      <c r="F703" s="1297" t="s">
        <v>2406</v>
      </c>
      <c r="H703" s="1311"/>
      <c r="I703" s="1311"/>
      <c r="J703" s="1311"/>
      <c r="K703" s="1311"/>
      <c r="L703" s="1311"/>
      <c r="M703" s="1311"/>
      <c r="N703" s="1311"/>
      <c r="O703" s="1311"/>
      <c r="P703" s="1311"/>
      <c r="Q703" s="1311"/>
      <c r="R703" s="1311"/>
      <c r="S703" s="1311"/>
    </row>
    <row r="704" spans="1:19" ht="15" customHeight="1" x14ac:dyDescent="0.25">
      <c r="A704" s="1311"/>
      <c r="C704" s="1154"/>
      <c r="D704" s="1778" t="s">
        <v>1457</v>
      </c>
      <c r="E704" s="1103" t="s">
        <v>2404</v>
      </c>
      <c r="F704" s="1299"/>
      <c r="H704" s="1311"/>
      <c r="I704" s="1311"/>
      <c r="J704" s="1311"/>
      <c r="K704" s="1311"/>
      <c r="L704" s="1311"/>
      <c r="M704" s="1311"/>
      <c r="N704" s="1311"/>
      <c r="O704" s="1311"/>
      <c r="P704" s="1311"/>
      <c r="Q704" s="1311"/>
      <c r="R704" s="1311"/>
      <c r="S704" s="1311"/>
    </row>
    <row r="705" spans="1:19" ht="28.35" customHeight="1" x14ac:dyDescent="0.25">
      <c r="A705" s="1311"/>
      <c r="C705" s="1154"/>
      <c r="D705" s="1102"/>
      <c r="E705" s="1778" t="s">
        <v>2130</v>
      </c>
      <c r="F705" s="1297" t="s">
        <v>2405</v>
      </c>
      <c r="H705" s="1311"/>
      <c r="I705" s="1311"/>
      <c r="J705" s="1311"/>
      <c r="K705" s="1311"/>
      <c r="L705" s="1311"/>
      <c r="M705" s="1311"/>
      <c r="N705" s="1311"/>
      <c r="O705" s="1311"/>
      <c r="P705" s="1311"/>
      <c r="Q705" s="1311"/>
      <c r="R705" s="1311"/>
      <c r="S705" s="1311"/>
    </row>
    <row r="706" spans="1:19" ht="28.35" customHeight="1" x14ac:dyDescent="0.25">
      <c r="A706" s="1311"/>
      <c r="C706" s="1154"/>
      <c r="D706" s="1102"/>
      <c r="E706" s="1778" t="s">
        <v>2131</v>
      </c>
      <c r="F706" s="1299" t="s">
        <v>2386</v>
      </c>
      <c r="H706" s="1311"/>
      <c r="I706" s="1311"/>
      <c r="J706" s="1311"/>
      <c r="K706" s="1311"/>
      <c r="L706" s="1311"/>
      <c r="M706" s="1311"/>
      <c r="N706" s="1311"/>
      <c r="O706" s="1311"/>
      <c r="P706" s="1311"/>
      <c r="Q706" s="1311"/>
      <c r="R706" s="1311"/>
      <c r="S706" s="1311"/>
    </row>
    <row r="707" spans="1:19" ht="55.35" customHeight="1" x14ac:dyDescent="0.25">
      <c r="A707" s="1311"/>
      <c r="C707" s="1154"/>
      <c r="D707" s="1102"/>
      <c r="E707" s="1778" t="s">
        <v>2240</v>
      </c>
      <c r="F707" s="1299" t="s">
        <v>2388</v>
      </c>
      <c r="H707" s="1311"/>
      <c r="I707" s="1311"/>
      <c r="J707" s="1311"/>
      <c r="K707" s="1311"/>
      <c r="L707" s="1311"/>
      <c r="M707" s="1311"/>
      <c r="N707" s="1311"/>
      <c r="O707" s="1311"/>
      <c r="P707" s="1311"/>
      <c r="Q707" s="1311"/>
      <c r="R707" s="1311"/>
      <c r="S707" s="1311"/>
    </row>
    <row r="708" spans="1:19" ht="15.6" customHeight="1" x14ac:dyDescent="0.25">
      <c r="A708" s="1311"/>
      <c r="C708" s="1154"/>
      <c r="D708" s="1102"/>
      <c r="E708" s="1778" t="s">
        <v>2241</v>
      </c>
      <c r="F708" s="1299" t="s">
        <v>2065</v>
      </c>
      <c r="H708" s="1311"/>
      <c r="I708" s="1311"/>
      <c r="J708" s="1311"/>
      <c r="K708" s="1311"/>
      <c r="L708" s="1311"/>
      <c r="M708" s="1311"/>
      <c r="N708" s="1311"/>
      <c r="O708" s="1311"/>
      <c r="P708" s="1311"/>
      <c r="Q708" s="1311"/>
      <c r="R708" s="1311"/>
      <c r="S708" s="1311"/>
    </row>
    <row r="709" spans="1:19" ht="22.95" customHeight="1" x14ac:dyDescent="0.25">
      <c r="A709" s="1311"/>
      <c r="C709" s="1154"/>
      <c r="D709" s="1102"/>
      <c r="E709" s="1778" t="s">
        <v>2414</v>
      </c>
      <c r="F709" s="1299" t="s">
        <v>2066</v>
      </c>
      <c r="H709" s="1311"/>
      <c r="I709" s="1311"/>
      <c r="J709" s="1311"/>
      <c r="K709" s="1311"/>
      <c r="L709" s="1311"/>
      <c r="M709" s="1311"/>
      <c r="N709" s="1311"/>
      <c r="O709" s="1311"/>
      <c r="P709" s="1311"/>
      <c r="Q709" s="1311"/>
      <c r="R709" s="1311"/>
      <c r="S709" s="1311"/>
    </row>
    <row r="710" spans="1:19" ht="15" customHeight="1" x14ac:dyDescent="0.25">
      <c r="A710" s="1311"/>
      <c r="C710" s="1154"/>
      <c r="D710" s="1778" t="s">
        <v>1621</v>
      </c>
      <c r="E710" s="1103" t="s">
        <v>2423</v>
      </c>
      <c r="F710" s="1299"/>
      <c r="H710" s="1311"/>
      <c r="I710" s="1311"/>
      <c r="J710" s="1311"/>
      <c r="K710" s="1311"/>
      <c r="L710" s="1311"/>
      <c r="M710" s="1311"/>
      <c r="N710" s="1311"/>
      <c r="O710" s="1311"/>
      <c r="P710" s="1311"/>
      <c r="Q710" s="1311"/>
      <c r="R710" s="1311"/>
      <c r="S710" s="1311"/>
    </row>
    <row r="711" spans="1:19" ht="28.35" customHeight="1" x14ac:dyDescent="0.25">
      <c r="A711" s="1311"/>
      <c r="C711" s="1154"/>
      <c r="D711" s="1102"/>
      <c r="E711" s="1778" t="s">
        <v>2132</v>
      </c>
      <c r="F711" s="1297" t="s">
        <v>2076</v>
      </c>
      <c r="H711" s="1311"/>
      <c r="I711" s="1311"/>
      <c r="J711" s="1311"/>
      <c r="K711" s="1311"/>
      <c r="L711" s="1311"/>
      <c r="M711" s="1311"/>
      <c r="N711" s="1311"/>
      <c r="O711" s="1311"/>
      <c r="P711" s="1311"/>
      <c r="Q711" s="1311"/>
      <c r="R711" s="1311"/>
      <c r="S711" s="1311"/>
    </row>
    <row r="712" spans="1:19" ht="40.950000000000003" customHeight="1" x14ac:dyDescent="0.25">
      <c r="A712" s="1311"/>
      <c r="C712" s="1154"/>
      <c r="D712" s="1102"/>
      <c r="E712" s="1778" t="s">
        <v>2133</v>
      </c>
      <c r="F712" s="1299" t="s">
        <v>2121</v>
      </c>
      <c r="H712" s="1311"/>
      <c r="I712" s="1311"/>
      <c r="J712" s="1311"/>
      <c r="K712" s="1311"/>
      <c r="L712" s="1311"/>
      <c r="M712" s="1311"/>
      <c r="N712" s="1311"/>
      <c r="O712" s="1311"/>
      <c r="P712" s="1311"/>
      <c r="Q712" s="1311"/>
      <c r="R712" s="1311"/>
      <c r="S712" s="1311"/>
    </row>
    <row r="713" spans="1:19" ht="15.6" customHeight="1" x14ac:dyDescent="0.25">
      <c r="A713" s="1311"/>
      <c r="C713" s="1154"/>
      <c r="D713" s="1102"/>
      <c r="E713" s="1778" t="s">
        <v>2415</v>
      </c>
      <c r="F713" s="1299" t="s">
        <v>2069</v>
      </c>
      <c r="H713" s="1311"/>
      <c r="I713" s="1311"/>
      <c r="J713" s="1311"/>
      <c r="K713" s="1311"/>
      <c r="L713" s="1311"/>
      <c r="M713" s="1311"/>
      <c r="N713" s="1311"/>
      <c r="O713" s="1311"/>
      <c r="P713" s="1311"/>
      <c r="Q713" s="1311"/>
      <c r="R713" s="1311"/>
      <c r="S713" s="1311"/>
    </row>
    <row r="714" spans="1:19" ht="32.4" customHeight="1" x14ac:dyDescent="0.25">
      <c r="A714" s="1311"/>
      <c r="C714" s="1154"/>
      <c r="D714" s="1102"/>
      <c r="E714" s="1778" t="s">
        <v>2416</v>
      </c>
      <c r="F714" s="1299" t="s">
        <v>2067</v>
      </c>
      <c r="H714" s="1311"/>
      <c r="I714" s="1311"/>
      <c r="J714" s="1311"/>
      <c r="K714" s="1311"/>
      <c r="L714" s="1311"/>
      <c r="M714" s="1311"/>
      <c r="N714" s="1311"/>
      <c r="O714" s="1311"/>
      <c r="P714" s="1311"/>
      <c r="Q714" s="1311"/>
      <c r="R714" s="1311"/>
      <c r="S714" s="1311"/>
    </row>
    <row r="715" spans="1:19" ht="15" customHeight="1" x14ac:dyDescent="0.25">
      <c r="A715" s="1311"/>
      <c r="C715" s="1154"/>
      <c r="D715" s="1778" t="s">
        <v>2242</v>
      </c>
      <c r="E715" s="1103" t="s">
        <v>2070</v>
      </c>
      <c r="F715" s="1299"/>
      <c r="H715" s="1311"/>
      <c r="I715" s="1311"/>
      <c r="J715" s="1311"/>
      <c r="K715" s="1311"/>
      <c r="L715" s="1311"/>
      <c r="M715" s="1311"/>
      <c r="N715" s="1311"/>
      <c r="O715" s="1311"/>
      <c r="P715" s="1311"/>
      <c r="Q715" s="1311"/>
      <c r="R715" s="1311"/>
      <c r="S715" s="1311"/>
    </row>
    <row r="716" spans="1:19" ht="43.35" customHeight="1" x14ac:dyDescent="0.25">
      <c r="A716" s="1311"/>
      <c r="C716" s="1154"/>
      <c r="D716" s="1102"/>
      <c r="E716" s="1778" t="s">
        <v>2243</v>
      </c>
      <c r="F716" s="1299" t="s">
        <v>2077</v>
      </c>
      <c r="H716" s="1311"/>
      <c r="I716" s="1311"/>
      <c r="J716" s="1311"/>
      <c r="K716" s="1311"/>
      <c r="L716" s="1311"/>
      <c r="M716" s="1311"/>
      <c r="N716" s="1311"/>
      <c r="O716" s="1311"/>
      <c r="P716" s="1311"/>
      <c r="Q716" s="1311"/>
      <c r="R716" s="1311"/>
      <c r="S716" s="1311"/>
    </row>
    <row r="717" spans="1:19" ht="28.95" customHeight="1" x14ac:dyDescent="0.25">
      <c r="A717" s="1311"/>
      <c r="C717" s="1154"/>
      <c r="D717" s="1102"/>
      <c r="E717" s="1778" t="s">
        <v>2244</v>
      </c>
      <c r="F717" s="1299" t="s">
        <v>2424</v>
      </c>
      <c r="H717" s="1311"/>
      <c r="I717" s="1311"/>
      <c r="J717" s="1311"/>
      <c r="K717" s="1311"/>
      <c r="L717" s="1311"/>
      <c r="M717" s="1311"/>
      <c r="N717" s="1311"/>
      <c r="O717" s="1311"/>
      <c r="P717" s="1311"/>
      <c r="Q717" s="1311"/>
      <c r="R717" s="1311"/>
      <c r="S717" s="1311"/>
    </row>
    <row r="718" spans="1:19" ht="15" customHeight="1" x14ac:dyDescent="0.25">
      <c r="A718" s="1311"/>
      <c r="C718" s="1154"/>
      <c r="D718" s="1778" t="s">
        <v>2245</v>
      </c>
      <c r="E718" s="1103" t="s">
        <v>2071</v>
      </c>
      <c r="F718" s="1299"/>
      <c r="H718" s="1311"/>
      <c r="I718" s="1311"/>
      <c r="J718" s="1311"/>
      <c r="K718" s="1311"/>
      <c r="L718" s="1311"/>
      <c r="M718" s="1311"/>
      <c r="N718" s="1311"/>
      <c r="O718" s="1311"/>
      <c r="P718" s="1311"/>
      <c r="Q718" s="1311"/>
      <c r="R718" s="1311"/>
      <c r="S718" s="1311"/>
    </row>
    <row r="719" spans="1:19" ht="28.35" customHeight="1" x14ac:dyDescent="0.25">
      <c r="A719" s="1311"/>
      <c r="C719" s="1154"/>
      <c r="D719" s="1102"/>
      <c r="E719" s="1778" t="s">
        <v>2246</v>
      </c>
      <c r="F719" s="1299" t="s">
        <v>2072</v>
      </c>
      <c r="H719" s="1311"/>
      <c r="I719" s="1311"/>
      <c r="J719" s="1311"/>
      <c r="K719" s="1311"/>
      <c r="L719" s="1311"/>
      <c r="M719" s="1311"/>
      <c r="N719" s="1311"/>
      <c r="O719" s="1311"/>
      <c r="P719" s="1311"/>
      <c r="Q719" s="1311"/>
      <c r="R719" s="1311"/>
      <c r="S719" s="1311"/>
    </row>
    <row r="720" spans="1:19" ht="28.95" customHeight="1" x14ac:dyDescent="0.25">
      <c r="A720" s="1311"/>
      <c r="C720" s="1154"/>
      <c r="D720" s="1102"/>
      <c r="E720" s="1778" t="s">
        <v>2247</v>
      </c>
      <c r="F720" s="1297" t="s">
        <v>2073</v>
      </c>
      <c r="H720" s="1311"/>
      <c r="I720" s="1311"/>
      <c r="J720" s="1311"/>
      <c r="K720" s="1311"/>
      <c r="L720" s="1311"/>
      <c r="M720" s="1311"/>
      <c r="N720" s="1311"/>
      <c r="O720" s="1311"/>
      <c r="P720" s="1311"/>
      <c r="Q720" s="1311"/>
      <c r="R720" s="1311"/>
      <c r="S720" s="1311"/>
    </row>
    <row r="721" spans="1:19" ht="41.4" customHeight="1" x14ac:dyDescent="0.25">
      <c r="A721" s="1311"/>
      <c r="C721" s="1154"/>
      <c r="D721" s="1102"/>
      <c r="E721" s="1778" t="s">
        <v>2417</v>
      </c>
      <c r="F721" s="1299" t="s">
        <v>2389</v>
      </c>
      <c r="H721" s="1311"/>
      <c r="I721" s="1311"/>
      <c r="J721" s="1311"/>
      <c r="K721" s="1311"/>
      <c r="L721" s="1311"/>
      <c r="M721" s="1311"/>
      <c r="N721" s="1311"/>
      <c r="O721" s="1311"/>
      <c r="P721" s="1311"/>
      <c r="Q721" s="1311"/>
      <c r="R721" s="1311"/>
      <c r="S721" s="1311"/>
    </row>
    <row r="722" spans="1:19" ht="28.95" customHeight="1" x14ac:dyDescent="0.25">
      <c r="A722" s="1311"/>
      <c r="C722" s="1154"/>
      <c r="D722" s="1102"/>
      <c r="E722" s="1778" t="s">
        <v>2418</v>
      </c>
      <c r="F722" s="1297" t="s">
        <v>2387</v>
      </c>
      <c r="H722" s="1311"/>
      <c r="I722" s="1311"/>
      <c r="J722" s="1311"/>
      <c r="K722" s="1311"/>
      <c r="L722" s="1311"/>
      <c r="M722" s="1311"/>
      <c r="N722" s="1311"/>
      <c r="O722" s="1311"/>
      <c r="P722" s="1311"/>
      <c r="Q722" s="1311"/>
      <c r="R722" s="1311"/>
      <c r="S722" s="1311"/>
    </row>
    <row r="723" spans="1:19" ht="15" customHeight="1" x14ac:dyDescent="0.25">
      <c r="A723" s="1311"/>
      <c r="C723" s="1154"/>
      <c r="D723" s="1778" t="s">
        <v>2248</v>
      </c>
      <c r="E723" s="1103" t="s">
        <v>2063</v>
      </c>
      <c r="F723" s="1299"/>
      <c r="H723" s="1311"/>
      <c r="I723" s="1311"/>
      <c r="J723" s="1311"/>
      <c r="K723" s="1311"/>
      <c r="L723" s="1311"/>
      <c r="M723" s="1311"/>
      <c r="N723" s="1311"/>
      <c r="O723" s="1311"/>
      <c r="P723" s="1311"/>
      <c r="Q723" s="1311"/>
      <c r="R723" s="1311"/>
      <c r="S723" s="1311"/>
    </row>
    <row r="724" spans="1:19" ht="30" customHeight="1" x14ac:dyDescent="0.25">
      <c r="A724" s="1311"/>
      <c r="C724" s="1154"/>
      <c r="D724" s="1102"/>
      <c r="E724" s="1778" t="s">
        <v>2249</v>
      </c>
      <c r="F724" s="1297" t="s">
        <v>2375</v>
      </c>
      <c r="H724" s="1311"/>
      <c r="I724" s="1311"/>
      <c r="J724" s="1311"/>
      <c r="K724" s="1311"/>
      <c r="L724" s="1311"/>
      <c r="M724" s="1311"/>
      <c r="N724" s="1311"/>
      <c r="O724" s="1311"/>
      <c r="P724" s="1311"/>
      <c r="Q724" s="1311"/>
      <c r="R724" s="1311"/>
      <c r="S724" s="1311"/>
    </row>
    <row r="725" spans="1:19" ht="19.350000000000001" customHeight="1" x14ac:dyDescent="0.25">
      <c r="A725" s="1311"/>
      <c r="C725" s="1154"/>
      <c r="D725" s="1102"/>
      <c r="E725" s="1778" t="s">
        <v>2419</v>
      </c>
      <c r="F725" s="1299" t="s">
        <v>2074</v>
      </c>
      <c r="H725" s="1311"/>
      <c r="I725" s="1311"/>
      <c r="J725" s="1311"/>
      <c r="K725" s="1311"/>
      <c r="L725" s="1311"/>
      <c r="M725" s="1311"/>
      <c r="N725" s="1311"/>
      <c r="O725" s="1311"/>
      <c r="P725" s="1311"/>
      <c r="Q725" s="1311"/>
      <c r="R725" s="1311"/>
      <c r="S725" s="1311"/>
    </row>
    <row r="726" spans="1:19" ht="15" customHeight="1" x14ac:dyDescent="0.25">
      <c r="A726" s="1311"/>
      <c r="C726" s="1154"/>
      <c r="D726" s="1778" t="s">
        <v>2250</v>
      </c>
      <c r="E726" s="1103" t="s">
        <v>2377</v>
      </c>
      <c r="F726" s="1299"/>
      <c r="H726" s="1311"/>
      <c r="I726" s="1311"/>
      <c r="J726" s="1311"/>
      <c r="K726" s="1311"/>
      <c r="L726" s="1311"/>
      <c r="M726" s="1311"/>
      <c r="N726" s="1311"/>
      <c r="O726" s="1311"/>
      <c r="P726" s="1311"/>
      <c r="Q726" s="1311"/>
      <c r="R726" s="1311"/>
      <c r="S726" s="1311"/>
    </row>
    <row r="727" spans="1:19" ht="32.4" customHeight="1" x14ac:dyDescent="0.25">
      <c r="A727" s="1311"/>
      <c r="C727" s="1154"/>
      <c r="D727" s="1102"/>
      <c r="E727" s="1778" t="s">
        <v>2251</v>
      </c>
      <c r="F727" s="1297" t="s">
        <v>2373</v>
      </c>
      <c r="H727" s="1311"/>
      <c r="I727" s="1311"/>
      <c r="J727" s="1311"/>
      <c r="K727" s="1311"/>
      <c r="L727" s="1311"/>
      <c r="M727" s="1311"/>
      <c r="N727" s="1311"/>
      <c r="O727" s="1311"/>
      <c r="P727" s="1311"/>
      <c r="Q727" s="1311"/>
      <c r="R727" s="1311"/>
      <c r="S727" s="1311"/>
    </row>
    <row r="728" spans="1:19" ht="15" customHeight="1" x14ac:dyDescent="0.25">
      <c r="A728" s="1311"/>
      <c r="C728" s="1154"/>
      <c r="D728" s="1778" t="s">
        <v>2252</v>
      </c>
      <c r="E728" s="1103" t="s">
        <v>4227</v>
      </c>
      <c r="F728" s="1299"/>
      <c r="H728" s="1311"/>
      <c r="I728" s="1311"/>
      <c r="J728" s="1311"/>
      <c r="K728" s="1311"/>
      <c r="L728" s="1311"/>
      <c r="M728" s="1311"/>
      <c r="N728" s="1311"/>
      <c r="O728" s="1311"/>
      <c r="P728" s="1311"/>
      <c r="Q728" s="1311"/>
      <c r="R728" s="1311"/>
      <c r="S728" s="1311"/>
    </row>
    <row r="729" spans="1:19" ht="18" customHeight="1" x14ac:dyDescent="0.25">
      <c r="A729" s="1311"/>
      <c r="C729" s="1154"/>
      <c r="D729" s="1102"/>
      <c r="E729" s="1778" t="s">
        <v>2253</v>
      </c>
      <c r="F729" s="1299" t="s">
        <v>2378</v>
      </c>
      <c r="H729" s="1311"/>
      <c r="I729" s="1311"/>
      <c r="J729" s="1311"/>
      <c r="K729" s="1311"/>
      <c r="L729" s="1311"/>
      <c r="M729" s="1311"/>
      <c r="N729" s="1311"/>
      <c r="O729" s="1311"/>
      <c r="P729" s="1311"/>
      <c r="Q729" s="1311"/>
      <c r="R729" s="1311"/>
      <c r="S729" s="1311"/>
    </row>
    <row r="730" spans="1:19" ht="15" customHeight="1" x14ac:dyDescent="0.25">
      <c r="A730" s="1311"/>
      <c r="C730" s="1154"/>
      <c r="D730" s="1778" t="s">
        <v>2390</v>
      </c>
      <c r="E730" s="1103" t="s">
        <v>2379</v>
      </c>
      <c r="F730" s="1299"/>
      <c r="H730" s="1311"/>
      <c r="I730" s="1311"/>
      <c r="J730" s="1311"/>
      <c r="K730" s="1311"/>
      <c r="L730" s="1311"/>
      <c r="M730" s="1311"/>
      <c r="N730" s="1311"/>
      <c r="O730" s="1311"/>
      <c r="P730" s="1311"/>
      <c r="Q730" s="1311"/>
      <c r="R730" s="1311"/>
      <c r="S730" s="1311"/>
    </row>
    <row r="731" spans="1:19" ht="19.350000000000001" customHeight="1" x14ac:dyDescent="0.25">
      <c r="A731" s="1311"/>
      <c r="C731" s="1154"/>
      <c r="D731" s="1102"/>
      <c r="E731" s="1778" t="s">
        <v>2391</v>
      </c>
      <c r="F731" s="1299" t="s">
        <v>2378</v>
      </c>
      <c r="H731" s="1311"/>
      <c r="I731" s="1311"/>
      <c r="J731" s="1311"/>
      <c r="K731" s="1311"/>
      <c r="L731" s="1311"/>
      <c r="M731" s="1311"/>
      <c r="N731" s="1311"/>
      <c r="O731" s="1311"/>
      <c r="P731" s="1311"/>
      <c r="Q731" s="1311"/>
      <c r="R731" s="1311"/>
      <c r="S731" s="1311"/>
    </row>
    <row r="732" spans="1:19" ht="15" customHeight="1" x14ac:dyDescent="0.25">
      <c r="A732" s="1311"/>
      <c r="C732" s="1154"/>
      <c r="D732" s="1778" t="s">
        <v>2420</v>
      </c>
      <c r="E732" s="1103" t="s">
        <v>2381</v>
      </c>
      <c r="F732" s="1299"/>
      <c r="H732" s="1311"/>
      <c r="I732" s="1311"/>
      <c r="J732" s="1311"/>
      <c r="K732" s="1311"/>
      <c r="L732" s="1311"/>
      <c r="M732" s="1311"/>
      <c r="N732" s="1311"/>
      <c r="O732" s="1311"/>
      <c r="P732" s="1311"/>
      <c r="Q732" s="1311"/>
      <c r="R732" s="1311"/>
      <c r="S732" s="1311"/>
    </row>
    <row r="733" spans="1:19" ht="27.6" customHeight="1" x14ac:dyDescent="0.25">
      <c r="A733" s="1311"/>
      <c r="C733" s="1154"/>
      <c r="D733" s="1102"/>
      <c r="E733" s="1778" t="s">
        <v>2421</v>
      </c>
      <c r="F733" s="1299" t="s">
        <v>2382</v>
      </c>
      <c r="H733" s="1311"/>
      <c r="I733" s="1311"/>
      <c r="J733" s="1311"/>
      <c r="K733" s="1311"/>
      <c r="L733" s="1311"/>
      <c r="M733" s="1311"/>
      <c r="N733" s="1311"/>
      <c r="O733" s="1311"/>
      <c r="P733" s="1311"/>
      <c r="Q733" s="1311"/>
      <c r="R733" s="1311"/>
      <c r="S733" s="1311"/>
    </row>
    <row r="734" spans="1:19" ht="28.35" customHeight="1" x14ac:dyDescent="0.25">
      <c r="A734" s="1311"/>
      <c r="C734" s="1154"/>
      <c r="D734" s="1102"/>
      <c r="E734" s="1778" t="s">
        <v>2422</v>
      </c>
      <c r="F734" s="1299" t="s">
        <v>2384</v>
      </c>
      <c r="H734" s="1311"/>
      <c r="I734" s="1311"/>
      <c r="J734" s="1311"/>
      <c r="K734" s="1311"/>
      <c r="L734" s="1311"/>
      <c r="M734" s="1311"/>
      <c r="N734" s="1311"/>
      <c r="O734" s="1311"/>
      <c r="P734" s="1311"/>
      <c r="Q734" s="1311"/>
      <c r="R734" s="1311"/>
      <c r="S734" s="1311"/>
    </row>
    <row r="735" spans="1:19" ht="11.4" customHeight="1" x14ac:dyDescent="0.25">
      <c r="A735" s="1311"/>
      <c r="C735" s="1154"/>
      <c r="D735" s="1102"/>
      <c r="E735" s="1778"/>
      <c r="F735" s="1299"/>
      <c r="H735" s="1311"/>
      <c r="I735" s="1311"/>
      <c r="J735" s="1311"/>
      <c r="K735" s="1311"/>
      <c r="L735" s="1311"/>
      <c r="M735" s="1311"/>
      <c r="N735" s="1311"/>
      <c r="O735" s="1311"/>
      <c r="P735" s="1311"/>
      <c r="Q735" s="1311"/>
      <c r="R735" s="1311"/>
      <c r="S735" s="1311"/>
    </row>
    <row r="736" spans="1:19" ht="18.75" customHeight="1" x14ac:dyDescent="0.25">
      <c r="A736" s="1311"/>
      <c r="D736" s="381" t="s">
        <v>2692</v>
      </c>
      <c r="F736" s="1295"/>
      <c r="H736" s="1311"/>
      <c r="I736" s="1311"/>
      <c r="J736" s="1311"/>
      <c r="K736" s="1311"/>
      <c r="L736" s="1311"/>
      <c r="M736" s="1311"/>
      <c r="N736" s="1311"/>
      <c r="O736" s="1311"/>
      <c r="P736" s="1311"/>
      <c r="Q736" s="1311"/>
      <c r="R736" s="1311"/>
      <c r="S736" s="1311"/>
    </row>
    <row r="737" spans="1:19" ht="33" customHeight="1" x14ac:dyDescent="0.25">
      <c r="A737" s="1311"/>
      <c r="C737" s="1154"/>
      <c r="D737" s="1102"/>
      <c r="E737" s="1104" t="s">
        <v>656</v>
      </c>
      <c r="F737" s="1299" t="s">
        <v>2693</v>
      </c>
      <c r="H737" s="1311"/>
      <c r="I737" s="1311"/>
      <c r="J737" s="1311"/>
      <c r="K737" s="1311"/>
      <c r="L737" s="1311"/>
      <c r="M737" s="1311"/>
      <c r="N737" s="1311"/>
      <c r="O737" s="1311"/>
      <c r="P737" s="1311"/>
      <c r="Q737" s="1311"/>
      <c r="R737" s="1311"/>
      <c r="S737" s="1311"/>
    </row>
    <row r="738" spans="1:19" ht="33" customHeight="1" x14ac:dyDescent="0.25">
      <c r="A738" s="1311"/>
      <c r="C738" s="1154"/>
      <c r="D738" s="1102"/>
      <c r="E738" s="1104" t="s">
        <v>1251</v>
      </c>
      <c r="F738" s="1299" t="s">
        <v>2694</v>
      </c>
      <c r="H738" s="1311"/>
      <c r="I738" s="1311"/>
      <c r="J738" s="1311"/>
      <c r="K738" s="1311"/>
      <c r="L738" s="1311"/>
      <c r="M738" s="1311"/>
      <c r="N738" s="1311"/>
      <c r="O738" s="1311"/>
      <c r="P738" s="1311"/>
      <c r="Q738" s="1311"/>
      <c r="R738" s="1311"/>
      <c r="S738" s="1311"/>
    </row>
    <row r="739" spans="1:19" ht="11.4" customHeight="1" x14ac:dyDescent="0.25">
      <c r="A739" s="1311"/>
      <c r="C739" s="1154"/>
      <c r="D739" s="1102"/>
      <c r="E739" s="1778"/>
      <c r="F739" s="1299"/>
      <c r="H739" s="1311"/>
      <c r="I739" s="1311"/>
      <c r="J739" s="1311"/>
      <c r="K739" s="1311"/>
      <c r="L739" s="1311"/>
      <c r="M739" s="1311"/>
      <c r="N739" s="1311"/>
      <c r="O739" s="1311"/>
      <c r="P739" s="1311"/>
      <c r="Q739" s="1311"/>
      <c r="R739" s="1311"/>
      <c r="S739" s="1311"/>
    </row>
    <row r="740" spans="1:19" ht="18.75" customHeight="1" x14ac:dyDescent="0.25">
      <c r="A740" s="1311"/>
      <c r="D740" s="381" t="s">
        <v>2254</v>
      </c>
      <c r="F740" s="1295"/>
      <c r="H740" s="1311"/>
      <c r="I740" s="1311"/>
      <c r="J740" s="1311"/>
      <c r="K740" s="1311"/>
      <c r="L740" s="1311"/>
      <c r="M740" s="1311"/>
      <c r="N740" s="1311"/>
      <c r="O740" s="1311"/>
      <c r="P740" s="1311"/>
      <c r="Q740" s="1311"/>
      <c r="R740" s="1311"/>
      <c r="S740" s="1311"/>
    </row>
    <row r="741" spans="1:19" ht="29.4" customHeight="1" x14ac:dyDescent="0.25">
      <c r="A741" s="1311"/>
      <c r="C741" s="1154"/>
      <c r="D741" s="1102"/>
      <c r="E741" s="1104" t="s">
        <v>657</v>
      </c>
      <c r="F741" s="1299" t="s">
        <v>2345</v>
      </c>
      <c r="H741" s="1311"/>
      <c r="I741" s="1311"/>
      <c r="J741" s="1311"/>
      <c r="K741" s="1311"/>
      <c r="L741" s="1311"/>
      <c r="M741" s="1311"/>
      <c r="N741" s="1311"/>
      <c r="O741" s="1311"/>
      <c r="P741" s="1311"/>
      <c r="Q741" s="1311"/>
      <c r="R741" s="1311"/>
      <c r="S741" s="1311"/>
    </row>
    <row r="742" spans="1:19" x14ac:dyDescent="0.25">
      <c r="A742" s="1311"/>
      <c r="H742" s="1311"/>
      <c r="I742" s="1311"/>
      <c r="J742" s="1311"/>
      <c r="K742" s="1311"/>
      <c r="L742" s="1311"/>
      <c r="M742" s="1311"/>
      <c r="N742" s="1311"/>
      <c r="O742" s="1311"/>
      <c r="P742" s="1311"/>
      <c r="Q742" s="1311"/>
      <c r="R742" s="1311"/>
      <c r="S742" s="1311"/>
    </row>
    <row r="743" spans="1:19" ht="18.75" customHeight="1" x14ac:dyDescent="0.25">
      <c r="A743" s="1311"/>
      <c r="D743" s="381" t="s">
        <v>2255</v>
      </c>
      <c r="F743" s="1295"/>
      <c r="H743" s="1311"/>
      <c r="I743" s="1311"/>
      <c r="J743" s="1311"/>
      <c r="K743" s="1311"/>
      <c r="L743" s="1311"/>
      <c r="M743" s="1311"/>
      <c r="N743" s="1311"/>
      <c r="O743" s="1311"/>
      <c r="P743" s="1311"/>
      <c r="Q743" s="1311"/>
      <c r="R743" s="1311"/>
      <c r="S743" s="1311"/>
    </row>
    <row r="744" spans="1:19" ht="32.4" customHeight="1" x14ac:dyDescent="0.25">
      <c r="A744" s="1311"/>
      <c r="C744" s="1154"/>
      <c r="D744" s="1102"/>
      <c r="E744" s="1104" t="s">
        <v>2257</v>
      </c>
      <c r="F744" s="1299" t="s">
        <v>2696</v>
      </c>
      <c r="H744" s="1311"/>
      <c r="I744" s="1311"/>
      <c r="J744" s="1311"/>
      <c r="K744" s="1311"/>
      <c r="L744" s="1311"/>
      <c r="M744" s="1311"/>
      <c r="N744" s="1311"/>
      <c r="O744" s="1311"/>
      <c r="P744" s="1311"/>
      <c r="Q744" s="1311"/>
      <c r="R744" s="1311"/>
      <c r="S744" s="1311"/>
    </row>
    <row r="745" spans="1:19" ht="70.349999999999994" customHeight="1" x14ac:dyDescent="0.25">
      <c r="A745" s="1311"/>
      <c r="C745" s="1154"/>
      <c r="D745" s="1102"/>
      <c r="E745" s="1104" t="s">
        <v>2695</v>
      </c>
      <c r="F745" s="1299" t="s">
        <v>2854</v>
      </c>
      <c r="H745" s="1311"/>
      <c r="I745" s="1311"/>
      <c r="J745" s="1311"/>
      <c r="K745" s="1311"/>
      <c r="L745" s="1311"/>
      <c r="M745" s="1311"/>
      <c r="N745" s="1311"/>
      <c r="O745" s="1311"/>
      <c r="P745" s="1311"/>
      <c r="Q745" s="1311"/>
      <c r="R745" s="1311"/>
      <c r="S745" s="1311"/>
    </row>
    <row r="746" spans="1:19" ht="48" customHeight="1" x14ac:dyDescent="0.25">
      <c r="A746" s="1311"/>
      <c r="C746" s="1154"/>
      <c r="D746" s="1102"/>
      <c r="E746" s="1104" t="s">
        <v>2697</v>
      </c>
      <c r="F746" s="1299" t="s">
        <v>2852</v>
      </c>
      <c r="H746" s="1311"/>
      <c r="I746" s="1311"/>
      <c r="J746" s="1311"/>
      <c r="K746" s="1311"/>
      <c r="L746" s="1311"/>
      <c r="M746" s="1311"/>
      <c r="N746" s="1311"/>
      <c r="O746" s="1311"/>
      <c r="P746" s="1311"/>
      <c r="Q746" s="1311"/>
      <c r="R746" s="1311"/>
      <c r="S746" s="1311"/>
    </row>
    <row r="747" spans="1:19" ht="42" customHeight="1" x14ac:dyDescent="0.25">
      <c r="A747" s="1311"/>
      <c r="C747" s="1154"/>
      <c r="D747" s="1102"/>
      <c r="E747" s="1104" t="s">
        <v>2698</v>
      </c>
      <c r="F747" s="1299" t="s">
        <v>2853</v>
      </c>
      <c r="H747" s="1311"/>
      <c r="I747" s="1311"/>
      <c r="J747" s="1311"/>
      <c r="K747" s="1311"/>
      <c r="L747" s="1311"/>
      <c r="M747" s="1311"/>
      <c r="N747" s="1311"/>
      <c r="O747" s="1311"/>
      <c r="P747" s="1311"/>
      <c r="Q747" s="1311"/>
      <c r="R747" s="1311"/>
      <c r="S747" s="1311"/>
    </row>
    <row r="748" spans="1:19" ht="15" customHeight="1" x14ac:dyDescent="0.25">
      <c r="A748" s="1311"/>
      <c r="C748" s="39"/>
      <c r="D748" s="1835"/>
      <c r="E748" s="39"/>
      <c r="F748" s="1296"/>
      <c r="H748" s="1311"/>
      <c r="I748" s="1311"/>
      <c r="J748" s="1311"/>
      <c r="K748" s="1311"/>
      <c r="L748" s="1311"/>
      <c r="M748" s="1311"/>
      <c r="N748" s="1311"/>
      <c r="O748" s="1311"/>
      <c r="P748" s="1311"/>
      <c r="Q748" s="1311"/>
      <c r="R748" s="1311"/>
      <c r="S748" s="1311"/>
    </row>
    <row r="749" spans="1:19" ht="5.4" customHeight="1" x14ac:dyDescent="0.25">
      <c r="A749" s="1311"/>
      <c r="C749" s="39"/>
      <c r="D749" s="207"/>
      <c r="E749" s="39"/>
      <c r="F749" s="1296"/>
      <c r="H749" s="1311"/>
      <c r="I749" s="1311"/>
      <c r="J749" s="1311"/>
      <c r="K749" s="1311"/>
      <c r="L749" s="1311"/>
      <c r="M749" s="1311"/>
      <c r="N749" s="1311"/>
      <c r="O749" s="1311"/>
      <c r="P749" s="1311"/>
      <c r="Q749" s="1311"/>
      <c r="R749" s="1311"/>
      <c r="S749" s="1311"/>
    </row>
    <row r="750" spans="1:19" s="747" customFormat="1" ht="39.9" customHeight="1" x14ac:dyDescent="0.25">
      <c r="A750" s="1311"/>
      <c r="C750" s="4140" t="s">
        <v>2474</v>
      </c>
      <c r="D750" s="4141"/>
      <c r="E750" s="4141"/>
      <c r="F750" s="4142"/>
      <c r="H750" s="1314"/>
      <c r="I750" s="1314"/>
      <c r="J750" s="1314"/>
      <c r="K750" s="1314"/>
      <c r="L750" s="1314"/>
      <c r="M750" s="1314"/>
      <c r="N750" s="1314"/>
      <c r="O750" s="1314"/>
      <c r="P750" s="1314"/>
      <c r="Q750" s="1314"/>
      <c r="R750" s="1314"/>
      <c r="S750" s="1314"/>
    </row>
    <row r="751" spans="1:19" ht="14.4" customHeight="1" x14ac:dyDescent="0.25">
      <c r="A751" s="1311"/>
      <c r="C751" s="1248"/>
      <c r="D751" s="39"/>
      <c r="E751" s="39"/>
      <c r="F751" s="1296"/>
      <c r="H751" s="1311"/>
      <c r="I751" s="1311"/>
      <c r="J751" s="1311"/>
      <c r="K751" s="1311"/>
      <c r="L751" s="1311"/>
      <c r="M751" s="1311"/>
      <c r="N751" s="1311"/>
      <c r="O751" s="1311"/>
      <c r="P751" s="1311"/>
      <c r="Q751" s="1311"/>
      <c r="R751" s="1311"/>
      <c r="S751" s="1311"/>
    </row>
    <row r="752" spans="1:19" s="2085" customFormat="1" ht="23.4" customHeight="1" x14ac:dyDescent="0.25">
      <c r="A752" s="1311"/>
      <c r="C752" s="2084"/>
      <c r="D752" s="4143" t="s">
        <v>2475</v>
      </c>
      <c r="E752" s="4144"/>
      <c r="F752" s="4145"/>
      <c r="H752" s="2086"/>
      <c r="I752" s="2086"/>
      <c r="J752" s="2086"/>
      <c r="K752" s="2086"/>
      <c r="L752" s="2086"/>
      <c r="M752" s="2086"/>
      <c r="N752" s="2086"/>
      <c r="O752" s="2086"/>
      <c r="P752" s="2086"/>
      <c r="Q752" s="2086"/>
      <c r="R752" s="2086"/>
      <c r="S752" s="2086"/>
    </row>
    <row r="753" spans="1:19" s="2085" customFormat="1" ht="19.350000000000001" customHeight="1" x14ac:dyDescent="0.25">
      <c r="A753" s="1311"/>
      <c r="C753" s="2084"/>
      <c r="D753" s="4137" t="s">
        <v>2256</v>
      </c>
      <c r="E753" s="4138"/>
      <c r="F753" s="4139"/>
      <c r="H753" s="2086"/>
      <c r="I753" s="2086"/>
      <c r="J753" s="2086"/>
      <c r="K753" s="2086"/>
      <c r="L753" s="2086"/>
      <c r="M753" s="2086"/>
      <c r="N753" s="2086"/>
      <c r="O753" s="2086"/>
      <c r="P753" s="2086"/>
      <c r="Q753" s="2086"/>
      <c r="R753" s="2086"/>
      <c r="S753" s="2086"/>
    </row>
    <row r="754" spans="1:19" s="747" customFormat="1" ht="30" customHeight="1" x14ac:dyDescent="0.25">
      <c r="A754" s="1311"/>
      <c r="C754" s="1250"/>
      <c r="D754" s="4160" t="s">
        <v>2431</v>
      </c>
      <c r="E754" s="4161"/>
      <c r="F754" s="4162"/>
      <c r="H754" s="1314"/>
      <c r="I754" s="1314"/>
      <c r="J754" s="1314"/>
      <c r="K754" s="1314"/>
      <c r="L754" s="1314"/>
      <c r="M754" s="1314"/>
      <c r="N754" s="1314"/>
      <c r="O754" s="1314"/>
      <c r="P754" s="1314"/>
      <c r="Q754" s="1314"/>
      <c r="R754" s="1314"/>
      <c r="S754" s="1314"/>
    </row>
    <row r="755" spans="1:19" s="747" customFormat="1" ht="30" customHeight="1" x14ac:dyDescent="0.25">
      <c r="A755" s="1311"/>
      <c r="C755" s="1250"/>
      <c r="D755" s="4160" t="s">
        <v>2432</v>
      </c>
      <c r="E755" s="4161"/>
      <c r="F755" s="4162"/>
      <c r="H755" s="1314"/>
      <c r="I755" s="1314"/>
      <c r="J755" s="1314"/>
      <c r="K755" s="1314"/>
      <c r="L755" s="1314"/>
      <c r="M755" s="1314"/>
      <c r="N755" s="1314"/>
      <c r="O755" s="1314"/>
      <c r="P755" s="1314"/>
      <c r="Q755" s="1314"/>
      <c r="R755" s="1314"/>
      <c r="S755" s="1314"/>
    </row>
    <row r="756" spans="1:19" s="747" customFormat="1" ht="46.35" customHeight="1" x14ac:dyDescent="0.25">
      <c r="A756" s="1311"/>
      <c r="C756" s="1250"/>
      <c r="D756" s="4160" t="s">
        <v>2433</v>
      </c>
      <c r="E756" s="4161"/>
      <c r="F756" s="4162"/>
      <c r="H756" s="1314"/>
      <c r="I756" s="1314"/>
      <c r="J756" s="1314"/>
      <c r="K756" s="1314"/>
      <c r="L756" s="1314"/>
      <c r="M756" s="1314"/>
      <c r="N756" s="1314"/>
      <c r="O756" s="1314"/>
      <c r="P756" s="1314"/>
      <c r="Q756" s="1314"/>
      <c r="R756" s="1314"/>
      <c r="S756" s="1314"/>
    </row>
    <row r="757" spans="1:19" s="747" customFormat="1" ht="45" customHeight="1" x14ac:dyDescent="0.25">
      <c r="A757" s="1311"/>
      <c r="C757" s="1250"/>
      <c r="D757" s="4134" t="s">
        <v>2456</v>
      </c>
      <c r="E757" s="4135"/>
      <c r="F757" s="4136"/>
      <c r="H757" s="1314"/>
      <c r="I757" s="1314"/>
      <c r="J757" s="1314"/>
      <c r="K757" s="1314"/>
      <c r="L757" s="1314"/>
      <c r="M757" s="1314"/>
      <c r="N757" s="1314"/>
      <c r="O757" s="1314"/>
      <c r="P757" s="1314"/>
      <c r="Q757" s="1314"/>
      <c r="R757" s="1314"/>
      <c r="S757" s="1314"/>
    </row>
    <row r="758" spans="1:19" ht="15" customHeight="1" x14ac:dyDescent="0.25">
      <c r="A758" s="1311"/>
      <c r="C758" s="1248"/>
      <c r="D758" s="39"/>
      <c r="E758" s="39"/>
      <c r="F758" s="1296"/>
      <c r="H758" s="1311"/>
      <c r="I758" s="1311"/>
      <c r="J758" s="1311"/>
      <c r="K758" s="1311"/>
      <c r="L758" s="1311"/>
      <c r="M758" s="1311"/>
      <c r="N758" s="1311"/>
      <c r="O758" s="1311"/>
      <c r="P758" s="1311"/>
      <c r="Q758" s="1311"/>
      <c r="R758" s="1311"/>
      <c r="S758" s="1311"/>
    </row>
    <row r="759" spans="1:19" ht="19.5" customHeight="1" x14ac:dyDescent="0.25">
      <c r="A759" s="1311"/>
      <c r="C759" s="380"/>
      <c r="D759" s="381" t="s">
        <v>1312</v>
      </c>
      <c r="E759" s="379"/>
      <c r="F759" s="1296"/>
      <c r="H759" s="1311"/>
      <c r="I759" s="1311"/>
      <c r="J759" s="1311"/>
      <c r="K759" s="1311"/>
      <c r="L759" s="1311"/>
      <c r="M759" s="1311"/>
      <c r="N759" s="1311"/>
      <c r="O759" s="1311"/>
      <c r="P759" s="1311"/>
      <c r="Q759" s="1311"/>
      <c r="R759" s="1311"/>
      <c r="S759" s="1311"/>
    </row>
    <row r="760" spans="1:19" ht="15" customHeight="1" x14ac:dyDescent="0.25">
      <c r="A760" s="1311"/>
      <c r="C760" s="39"/>
      <c r="D760" s="207">
        <v>9.1</v>
      </c>
      <c r="E760" s="206" t="s">
        <v>1248</v>
      </c>
      <c r="F760" s="1296"/>
      <c r="H760" s="1311"/>
      <c r="I760" s="1311"/>
      <c r="J760" s="1311"/>
      <c r="K760" s="1311"/>
      <c r="L760" s="1311"/>
      <c r="M760" s="1311"/>
      <c r="N760" s="1311"/>
      <c r="O760" s="1311"/>
      <c r="P760" s="1311"/>
      <c r="Q760" s="1311"/>
      <c r="R760" s="1311"/>
      <c r="S760" s="1311"/>
    </row>
    <row r="761" spans="1:19" ht="42" customHeight="1" x14ac:dyDescent="0.25">
      <c r="A761" s="1311"/>
      <c r="C761" s="39"/>
      <c r="D761" s="207"/>
      <c r="E761" s="39" t="s">
        <v>2393</v>
      </c>
      <c r="F761" s="1441" t="s">
        <v>2392</v>
      </c>
      <c r="H761" s="1311"/>
      <c r="I761" s="1311"/>
      <c r="J761" s="1311"/>
      <c r="K761" s="1311"/>
      <c r="L761" s="1311"/>
      <c r="M761" s="1311"/>
      <c r="N761" s="1311"/>
      <c r="O761" s="1311"/>
      <c r="P761" s="1311"/>
      <c r="Q761" s="1311"/>
      <c r="R761" s="1311"/>
      <c r="S761" s="1311"/>
    </row>
    <row r="762" spans="1:19" ht="27.9" customHeight="1" x14ac:dyDescent="0.25">
      <c r="A762" s="1311"/>
      <c r="C762" s="39"/>
      <c r="D762" s="1557"/>
      <c r="E762" s="39" t="s">
        <v>1035</v>
      </c>
      <c r="F762" s="1296" t="s">
        <v>2258</v>
      </c>
      <c r="H762" s="1311"/>
      <c r="I762" s="1311"/>
      <c r="J762" s="1311"/>
      <c r="K762" s="1311"/>
      <c r="L762" s="1311"/>
      <c r="M762" s="1311"/>
      <c r="N762" s="1311"/>
      <c r="O762" s="1311"/>
      <c r="P762" s="1311"/>
      <c r="Q762" s="1311"/>
      <c r="R762" s="1311"/>
      <c r="S762" s="1311"/>
    </row>
    <row r="763" spans="1:19" ht="27.9" customHeight="1" x14ac:dyDescent="0.25">
      <c r="A763" s="1311"/>
      <c r="C763" s="39"/>
      <c r="D763" s="207"/>
      <c r="E763" s="39" t="s">
        <v>1036</v>
      </c>
      <c r="F763" s="1296" t="s">
        <v>1249</v>
      </c>
      <c r="H763" s="1311"/>
      <c r="I763" s="1311"/>
      <c r="J763" s="1311"/>
      <c r="K763" s="1311"/>
      <c r="L763" s="1311"/>
      <c r="M763" s="1311"/>
      <c r="N763" s="1311"/>
      <c r="O763" s="1311"/>
      <c r="P763" s="1311"/>
      <c r="Q763" s="1311"/>
      <c r="R763" s="1311"/>
      <c r="S763" s="1311"/>
    </row>
    <row r="764" spans="1:19" ht="27.9" customHeight="1" x14ac:dyDescent="0.25">
      <c r="A764" s="1311"/>
      <c r="C764" s="39"/>
      <c r="D764" s="207"/>
      <c r="E764" s="39" t="s">
        <v>2057</v>
      </c>
      <c r="F764" s="1296" t="s">
        <v>347</v>
      </c>
      <c r="H764" s="1311"/>
      <c r="I764" s="1311"/>
      <c r="J764" s="1311"/>
      <c r="K764" s="1311"/>
      <c r="L764" s="1311"/>
      <c r="M764" s="1311"/>
      <c r="N764" s="1311"/>
      <c r="O764" s="1311"/>
      <c r="P764" s="1311"/>
      <c r="Q764" s="1311"/>
      <c r="R764" s="1311"/>
      <c r="S764" s="1311"/>
    </row>
    <row r="765" spans="1:19" ht="27.9" customHeight="1" x14ac:dyDescent="0.25">
      <c r="A765" s="1311"/>
      <c r="C765" s="39"/>
      <c r="D765" s="207"/>
      <c r="E765" s="39" t="s">
        <v>2058</v>
      </c>
      <c r="F765" s="1296" t="s">
        <v>1250</v>
      </c>
      <c r="H765" s="1311"/>
      <c r="I765" s="1311"/>
      <c r="J765" s="1311"/>
      <c r="K765" s="1311"/>
      <c r="L765" s="1311"/>
      <c r="M765" s="1311"/>
      <c r="N765" s="1311"/>
      <c r="O765" s="1311"/>
      <c r="P765" s="1311"/>
      <c r="Q765" s="1311"/>
      <c r="R765" s="1311"/>
      <c r="S765" s="1311"/>
    </row>
    <row r="766" spans="1:19" ht="28.95" customHeight="1" x14ac:dyDescent="0.25">
      <c r="A766" s="1311"/>
      <c r="C766" s="39"/>
      <c r="D766" s="207"/>
      <c r="E766" s="39" t="s">
        <v>2134</v>
      </c>
      <c r="F766" s="1296" t="s">
        <v>2265</v>
      </c>
      <c r="H766" s="1311"/>
      <c r="I766" s="1311"/>
      <c r="J766" s="1311"/>
      <c r="K766" s="1311"/>
      <c r="L766" s="1311"/>
      <c r="M766" s="1311"/>
      <c r="N766" s="1311"/>
      <c r="O766" s="1311"/>
      <c r="P766" s="1311"/>
      <c r="Q766" s="1311"/>
      <c r="R766" s="1311"/>
      <c r="S766" s="1311"/>
    </row>
    <row r="767" spans="1:19" ht="27.9" customHeight="1" x14ac:dyDescent="0.25">
      <c r="A767" s="1311"/>
      <c r="C767" s="39"/>
      <c r="D767" s="207"/>
      <c r="E767" s="39" t="s">
        <v>2135</v>
      </c>
      <c r="F767" s="1296" t="s">
        <v>2346</v>
      </c>
      <c r="H767" s="1311"/>
      <c r="I767" s="1311"/>
      <c r="J767" s="1311"/>
      <c r="K767" s="1311"/>
      <c r="L767" s="1311"/>
      <c r="M767" s="1311"/>
      <c r="N767" s="1311"/>
      <c r="O767" s="1311"/>
      <c r="P767" s="1311"/>
      <c r="Q767" s="1311"/>
      <c r="R767" s="1311"/>
      <c r="S767" s="1311"/>
    </row>
    <row r="768" spans="1:19" ht="27.9" customHeight="1" x14ac:dyDescent="0.25">
      <c r="A768" s="1311"/>
      <c r="C768" s="39"/>
      <c r="D768" s="207"/>
      <c r="E768" s="39" t="s">
        <v>2136</v>
      </c>
      <c r="F768" s="1296" t="s">
        <v>2347</v>
      </c>
      <c r="H768" s="1311"/>
      <c r="I768" s="1311"/>
      <c r="J768" s="1311"/>
      <c r="K768" s="1311"/>
      <c r="L768" s="1311"/>
      <c r="M768" s="1311"/>
      <c r="N768" s="1311"/>
      <c r="O768" s="1311"/>
      <c r="P768" s="1311"/>
      <c r="Q768" s="1311"/>
      <c r="R768" s="1311"/>
      <c r="S768" s="1311"/>
    </row>
    <row r="769" spans="1:19" ht="42" customHeight="1" x14ac:dyDescent="0.25">
      <c r="A769" s="1311"/>
      <c r="C769" s="39"/>
      <c r="D769" s="207"/>
      <c r="E769" s="39" t="s">
        <v>2137</v>
      </c>
      <c r="F769" s="1296" t="s">
        <v>2348</v>
      </c>
      <c r="H769" s="1311"/>
      <c r="I769" s="1311"/>
      <c r="J769" s="1311"/>
      <c r="K769" s="1311"/>
      <c r="L769" s="1311"/>
      <c r="M769" s="1311"/>
      <c r="N769" s="1311"/>
      <c r="O769" s="1311"/>
      <c r="P769" s="1311"/>
      <c r="Q769" s="1311"/>
      <c r="R769" s="1311"/>
      <c r="S769" s="1311"/>
    </row>
    <row r="770" spans="1:19" ht="7.5" customHeight="1" x14ac:dyDescent="0.25">
      <c r="A770" s="1311"/>
      <c r="F770" s="1295"/>
      <c r="H770" s="1311"/>
      <c r="I770" s="1311"/>
      <c r="J770" s="1311"/>
      <c r="K770" s="1311"/>
      <c r="L770" s="1311"/>
      <c r="M770" s="1311"/>
      <c r="N770" s="1311"/>
      <c r="O770" s="1311"/>
      <c r="P770" s="1311"/>
      <c r="Q770" s="1311"/>
      <c r="R770" s="1311"/>
      <c r="S770" s="1311"/>
    </row>
    <row r="771" spans="1:19" ht="15" customHeight="1" x14ac:dyDescent="0.25">
      <c r="A771" s="1311"/>
      <c r="C771" s="39"/>
      <c r="D771" s="207">
        <v>9.1999999999999993</v>
      </c>
      <c r="E771" s="206" t="s">
        <v>2262</v>
      </c>
      <c r="F771" s="1296"/>
      <c r="H771" s="1311"/>
      <c r="I771" s="1311"/>
      <c r="J771" s="1311"/>
      <c r="K771" s="1311"/>
      <c r="L771" s="1311"/>
      <c r="M771" s="1311"/>
      <c r="N771" s="1311"/>
      <c r="O771" s="1311"/>
      <c r="P771" s="1311"/>
      <c r="Q771" s="1311"/>
      <c r="R771" s="1311"/>
      <c r="S771" s="1311"/>
    </row>
    <row r="772" spans="1:19" ht="17.399999999999999" customHeight="1" x14ac:dyDescent="0.25">
      <c r="A772" s="1311"/>
      <c r="C772" s="39"/>
      <c r="D772" s="207"/>
      <c r="E772" s="39" t="s">
        <v>1037</v>
      </c>
      <c r="F772" s="1296" t="s">
        <v>2263</v>
      </c>
      <c r="H772" s="1311"/>
      <c r="I772" s="1311"/>
      <c r="J772" s="1311"/>
      <c r="K772" s="1311"/>
      <c r="L772" s="1311"/>
      <c r="M772" s="1311"/>
      <c r="N772" s="1311"/>
      <c r="O772" s="1311"/>
      <c r="P772" s="1311"/>
      <c r="Q772" s="1311"/>
      <c r="R772" s="1311"/>
      <c r="S772" s="1311"/>
    </row>
    <row r="773" spans="1:19" ht="15" customHeight="1" x14ac:dyDescent="0.25">
      <c r="A773" s="1311"/>
      <c r="C773" s="39"/>
      <c r="D773" s="207"/>
      <c r="E773" s="1413"/>
      <c r="F773" s="4133" t="s">
        <v>2349</v>
      </c>
      <c r="H773" s="1311"/>
      <c r="I773" s="1311"/>
      <c r="J773" s="1311"/>
      <c r="K773" s="1311"/>
      <c r="L773" s="1311"/>
      <c r="M773" s="1311"/>
      <c r="N773" s="1311"/>
      <c r="O773" s="1311"/>
      <c r="P773" s="1311"/>
      <c r="Q773" s="1311"/>
      <c r="R773" s="1311"/>
      <c r="S773" s="1311"/>
    </row>
    <row r="774" spans="1:19" ht="10.35" customHeight="1" x14ac:dyDescent="0.25">
      <c r="A774" s="1311"/>
      <c r="C774" s="39"/>
      <c r="D774" s="207"/>
      <c r="E774" s="1414"/>
      <c r="F774" s="4133"/>
      <c r="H774" s="1311"/>
      <c r="I774" s="1311"/>
      <c r="J774" s="1311"/>
      <c r="K774" s="1311"/>
      <c r="L774" s="1311"/>
      <c r="M774" s="1311"/>
      <c r="N774" s="1311"/>
      <c r="O774" s="1311"/>
      <c r="P774" s="1311"/>
      <c r="Q774" s="1311"/>
      <c r="R774" s="1311"/>
      <c r="S774" s="1311"/>
    </row>
    <row r="775" spans="1:19" ht="15" customHeight="1" x14ac:dyDescent="0.25">
      <c r="A775" s="1311"/>
      <c r="C775" s="39"/>
      <c r="D775" s="207"/>
      <c r="E775" s="1945" t="s">
        <v>3386</v>
      </c>
      <c r="F775" s="4133" t="s">
        <v>3489</v>
      </c>
      <c r="H775" s="1311"/>
      <c r="I775" s="1311"/>
      <c r="J775" s="1311"/>
      <c r="K775" s="1311"/>
      <c r="L775" s="1311"/>
      <c r="M775" s="1311"/>
      <c r="N775" s="1311"/>
      <c r="O775" s="1311"/>
      <c r="P775" s="1311"/>
      <c r="Q775" s="1311"/>
      <c r="R775" s="1311"/>
      <c r="S775" s="1311"/>
    </row>
    <row r="776" spans="1:19" ht="9.6" customHeight="1" x14ac:dyDescent="0.25">
      <c r="A776" s="1311"/>
      <c r="C776" s="39"/>
      <c r="D776" s="207"/>
      <c r="E776" s="39"/>
      <c r="F776" s="4133"/>
      <c r="H776" s="1311"/>
      <c r="I776" s="1311"/>
      <c r="J776" s="1311"/>
      <c r="K776" s="1311"/>
      <c r="L776" s="1311"/>
      <c r="M776" s="1311"/>
      <c r="N776" s="1311"/>
      <c r="O776" s="1311"/>
      <c r="P776" s="1311"/>
      <c r="Q776" s="1311"/>
      <c r="R776" s="1311"/>
      <c r="S776" s="1311"/>
    </row>
    <row r="777" spans="1:19" ht="15" customHeight="1" x14ac:dyDescent="0.25">
      <c r="A777" s="1311"/>
      <c r="C777" s="39"/>
      <c r="D777" s="207"/>
      <c r="E777" s="1415" t="s">
        <v>361</v>
      </c>
      <c r="F777" s="4133" t="s">
        <v>2584</v>
      </c>
      <c r="H777" s="1311"/>
      <c r="I777" s="1311"/>
      <c r="J777" s="1311"/>
      <c r="K777" s="1311"/>
      <c r="L777" s="1311"/>
      <c r="M777" s="1311"/>
      <c r="N777" s="1311"/>
      <c r="O777" s="1311"/>
      <c r="P777" s="1311"/>
      <c r="Q777" s="1311"/>
      <c r="R777" s="1311"/>
      <c r="S777" s="1311"/>
    </row>
    <row r="778" spans="1:19" ht="30.6" customHeight="1" x14ac:dyDescent="0.25">
      <c r="A778" s="1311"/>
      <c r="C778" s="39"/>
      <c r="D778" s="207"/>
      <c r="E778" s="39"/>
      <c r="F778" s="4133"/>
      <c r="H778" s="1311"/>
      <c r="I778" s="1311"/>
      <c r="J778" s="1311"/>
      <c r="K778" s="1311"/>
      <c r="L778" s="1311"/>
      <c r="M778" s="1311"/>
      <c r="N778" s="1311"/>
      <c r="O778" s="1311"/>
      <c r="P778" s="1311"/>
      <c r="Q778" s="1311"/>
      <c r="R778" s="1311"/>
      <c r="S778" s="1311"/>
    </row>
    <row r="779" spans="1:19" ht="15" customHeight="1" x14ac:dyDescent="0.25">
      <c r="A779" s="1311"/>
      <c r="C779" s="39"/>
      <c r="D779" s="2278"/>
      <c r="E779" s="1415" t="s">
        <v>2581</v>
      </c>
      <c r="F779" s="4133" t="s">
        <v>2582</v>
      </c>
      <c r="H779" s="1311"/>
      <c r="I779" s="1311"/>
      <c r="J779" s="1311"/>
      <c r="K779" s="1311"/>
      <c r="L779" s="1311"/>
      <c r="M779" s="1311"/>
      <c r="N779" s="1311"/>
      <c r="O779" s="1311"/>
      <c r="P779" s="1311"/>
      <c r="Q779" s="1311"/>
      <c r="R779" s="1311"/>
      <c r="S779" s="1311"/>
    </row>
    <row r="780" spans="1:19" ht="30" customHeight="1" x14ac:dyDescent="0.25">
      <c r="A780" s="1311"/>
      <c r="C780" s="39"/>
      <c r="D780" s="2278"/>
      <c r="E780" s="39"/>
      <c r="F780" s="4133"/>
      <c r="H780" s="1311"/>
      <c r="I780" s="1311"/>
      <c r="J780" s="1311"/>
      <c r="K780" s="1311"/>
      <c r="L780" s="1311"/>
      <c r="M780" s="1311"/>
      <c r="N780" s="1311"/>
      <c r="O780" s="1311"/>
      <c r="P780" s="1311"/>
      <c r="Q780" s="1311"/>
      <c r="R780" s="1311"/>
      <c r="S780" s="1311"/>
    </row>
    <row r="781" spans="1:19" ht="15" customHeight="1" x14ac:dyDescent="0.25">
      <c r="A781" s="1311"/>
      <c r="C781" s="39"/>
      <c r="D781" s="207"/>
      <c r="E781" s="1944" t="s">
        <v>2165</v>
      </c>
      <c r="F781" s="4133" t="s">
        <v>2585</v>
      </c>
      <c r="H781" s="1311"/>
      <c r="I781" s="1311"/>
      <c r="J781" s="1311"/>
      <c r="K781" s="1311"/>
      <c r="L781" s="1311"/>
      <c r="M781" s="1311"/>
      <c r="N781" s="1311"/>
      <c r="O781" s="1311"/>
      <c r="P781" s="1311"/>
      <c r="Q781" s="1311"/>
      <c r="R781" s="1311"/>
      <c r="S781" s="1311"/>
    </row>
    <row r="782" spans="1:19" ht="31.95" customHeight="1" x14ac:dyDescent="0.25">
      <c r="A782" s="1311"/>
      <c r="C782" s="39"/>
      <c r="D782" s="207"/>
      <c r="E782" s="39"/>
      <c r="F782" s="4133"/>
      <c r="H782" s="1311"/>
      <c r="I782" s="1311"/>
      <c r="J782" s="1311"/>
      <c r="K782" s="1311"/>
      <c r="L782" s="1311"/>
      <c r="M782" s="1311"/>
      <c r="N782" s="1311"/>
      <c r="O782" s="1311"/>
      <c r="P782" s="1311"/>
      <c r="Q782" s="1311"/>
      <c r="R782" s="1311"/>
      <c r="S782" s="1311"/>
    </row>
    <row r="783" spans="1:19" ht="42" customHeight="1" x14ac:dyDescent="0.25">
      <c r="A783" s="1311"/>
      <c r="C783" s="39"/>
      <c r="D783" s="1940"/>
      <c r="E783" s="39" t="s">
        <v>2068</v>
      </c>
      <c r="F783" s="1296" t="s">
        <v>2583</v>
      </c>
      <c r="H783" s="1311"/>
      <c r="I783" s="1311"/>
      <c r="J783" s="1311"/>
      <c r="K783" s="1311"/>
      <c r="L783" s="1311"/>
      <c r="M783" s="1311"/>
      <c r="N783" s="1311"/>
      <c r="O783" s="1311"/>
      <c r="P783" s="1311"/>
      <c r="Q783" s="1311"/>
      <c r="R783" s="1311"/>
      <c r="S783" s="1311"/>
    </row>
    <row r="784" spans="1:19" ht="15" customHeight="1" x14ac:dyDescent="0.25">
      <c r="A784" s="1311"/>
      <c r="F784" s="1295"/>
      <c r="H784" s="1311"/>
      <c r="I784" s="1311"/>
      <c r="J784" s="1311"/>
      <c r="K784" s="1311"/>
      <c r="L784" s="1311"/>
      <c r="M784" s="1311"/>
      <c r="N784" s="1311"/>
      <c r="O784" s="1311"/>
      <c r="P784" s="1311"/>
      <c r="Q784" s="1311"/>
      <c r="R784" s="1311"/>
      <c r="S784" s="1311"/>
    </row>
    <row r="785" spans="1:19" ht="15" customHeight="1" x14ac:dyDescent="0.25">
      <c r="A785" s="1311"/>
      <c r="C785" s="39"/>
      <c r="D785" s="1943">
        <v>9.3000000000000007</v>
      </c>
      <c r="E785" s="206" t="s">
        <v>2266</v>
      </c>
      <c r="F785" s="1296"/>
      <c r="H785" s="1311"/>
      <c r="I785" s="1311"/>
      <c r="J785" s="1311"/>
      <c r="K785" s="1311"/>
      <c r="L785" s="1311"/>
      <c r="M785" s="1311"/>
      <c r="N785" s="1311"/>
      <c r="O785" s="1311"/>
      <c r="P785" s="1311"/>
      <c r="Q785" s="1311"/>
      <c r="R785" s="1311"/>
      <c r="S785" s="1311"/>
    </row>
    <row r="786" spans="1:19" ht="33" customHeight="1" x14ac:dyDescent="0.25">
      <c r="A786" s="1311"/>
      <c r="C786" s="39"/>
      <c r="D786" s="1943"/>
      <c r="E786" s="39" t="s">
        <v>2059</v>
      </c>
      <c r="F786" s="1296" t="s">
        <v>2394</v>
      </c>
      <c r="H786" s="1311"/>
      <c r="I786" s="1311"/>
      <c r="J786" s="1311"/>
      <c r="K786" s="1311"/>
      <c r="L786" s="1311"/>
      <c r="M786" s="1311"/>
      <c r="N786" s="1311"/>
      <c r="O786" s="1311"/>
      <c r="P786" s="1311"/>
      <c r="Q786" s="1311"/>
      <c r="R786" s="1311"/>
      <c r="S786" s="1311"/>
    </row>
    <row r="787" spans="1:19" ht="30" customHeight="1" x14ac:dyDescent="0.25">
      <c r="A787" s="1311"/>
      <c r="C787" s="39"/>
      <c r="D787" s="1943"/>
      <c r="E787" s="39" t="s">
        <v>2060</v>
      </c>
      <c r="F787" s="1296" t="s">
        <v>2395</v>
      </c>
      <c r="H787" s="1311"/>
      <c r="I787" s="1311"/>
      <c r="J787" s="1311"/>
      <c r="K787" s="1311"/>
      <c r="L787" s="1311"/>
      <c r="M787" s="1311"/>
      <c r="N787" s="1311"/>
      <c r="O787" s="1311"/>
      <c r="P787" s="1311"/>
      <c r="Q787" s="1311"/>
      <c r="R787" s="1311"/>
      <c r="S787" s="1311"/>
    </row>
    <row r="788" spans="1:19" ht="41.4" customHeight="1" x14ac:dyDescent="0.25">
      <c r="A788" s="1311"/>
      <c r="C788" s="39"/>
      <c r="D788" s="1943"/>
      <c r="E788" s="39" t="s">
        <v>2267</v>
      </c>
      <c r="F788" s="1296" t="s">
        <v>2396</v>
      </c>
      <c r="H788" s="1311"/>
      <c r="I788" s="1311"/>
      <c r="J788" s="1311"/>
      <c r="K788" s="1311"/>
      <c r="L788" s="1311"/>
      <c r="M788" s="1311"/>
      <c r="N788" s="1311"/>
      <c r="O788" s="1311"/>
      <c r="P788" s="1311"/>
      <c r="Q788" s="1311"/>
      <c r="R788" s="1311"/>
      <c r="S788" s="1311"/>
    </row>
    <row r="789" spans="1:19" ht="15" customHeight="1" x14ac:dyDescent="0.25">
      <c r="A789" s="1311"/>
      <c r="F789" s="1295"/>
      <c r="H789" s="1311"/>
      <c r="I789" s="1311"/>
      <c r="J789" s="1311"/>
      <c r="K789" s="1311"/>
      <c r="L789" s="1311"/>
      <c r="M789" s="1311"/>
      <c r="N789" s="1311"/>
      <c r="O789" s="1311"/>
      <c r="P789" s="1311"/>
      <c r="Q789" s="1311"/>
      <c r="R789" s="1311"/>
      <c r="S789" s="1311"/>
    </row>
    <row r="790" spans="1:19" ht="18.75" customHeight="1" x14ac:dyDescent="0.25">
      <c r="A790" s="1311"/>
      <c r="D790" s="381" t="s">
        <v>2259</v>
      </c>
      <c r="F790" s="1295"/>
      <c r="H790" s="1311"/>
      <c r="I790" s="1311"/>
      <c r="J790" s="1311"/>
      <c r="K790" s="1311"/>
      <c r="L790" s="1311"/>
      <c r="M790" s="1311"/>
      <c r="N790" s="1311"/>
      <c r="O790" s="1311"/>
      <c r="P790" s="1311"/>
      <c r="Q790" s="1311"/>
      <c r="R790" s="1311"/>
      <c r="S790" s="1311"/>
    </row>
    <row r="791" spans="1:19" ht="15" customHeight="1" x14ac:dyDescent="0.25">
      <c r="A791" s="1311"/>
      <c r="D791" s="1559">
        <v>9.4</v>
      </c>
      <c r="E791" s="206" t="s">
        <v>2260</v>
      </c>
      <c r="F791" s="1295"/>
      <c r="H791" s="1311"/>
      <c r="I791" s="1311"/>
      <c r="J791" s="1311"/>
      <c r="K791" s="1311"/>
      <c r="L791" s="1311"/>
      <c r="M791" s="1311"/>
      <c r="N791" s="1311"/>
      <c r="O791" s="1311"/>
      <c r="P791" s="1311"/>
      <c r="Q791" s="1311"/>
      <c r="R791" s="1311"/>
      <c r="S791" s="1311"/>
    </row>
    <row r="792" spans="1:19" ht="17.399999999999999" customHeight="1" x14ac:dyDescent="0.25">
      <c r="A792" s="1311"/>
      <c r="E792" s="39" t="s">
        <v>2061</v>
      </c>
      <c r="F792" s="1296" t="s">
        <v>2261</v>
      </c>
      <c r="H792" s="1311"/>
      <c r="I792" s="1311"/>
      <c r="J792" s="1311"/>
      <c r="K792" s="1311"/>
      <c r="L792" s="1311"/>
      <c r="M792" s="1311"/>
      <c r="N792" s="1311"/>
      <c r="O792" s="1311"/>
      <c r="P792" s="1311"/>
      <c r="Q792" s="1311"/>
      <c r="R792" s="1311"/>
      <c r="S792" s="1311"/>
    </row>
    <row r="793" spans="1:19" ht="30.75" customHeight="1" x14ac:dyDescent="0.25">
      <c r="A793" s="1311"/>
      <c r="E793" s="39" t="s">
        <v>2268</v>
      </c>
      <c r="F793" s="1296" t="s">
        <v>2350</v>
      </c>
      <c r="H793" s="1311"/>
      <c r="I793" s="1311"/>
      <c r="J793" s="1311"/>
      <c r="K793" s="1311"/>
      <c r="L793" s="1311"/>
      <c r="M793" s="1311"/>
      <c r="N793" s="1311"/>
      <c r="O793" s="1311"/>
      <c r="P793" s="1311"/>
      <c r="Q793" s="1311"/>
      <c r="R793" s="1311"/>
      <c r="S793" s="1311"/>
    </row>
    <row r="794" spans="1:19" ht="12" customHeight="1" x14ac:dyDescent="0.25">
      <c r="A794" s="1311"/>
      <c r="F794" s="1295"/>
      <c r="H794" s="1311"/>
      <c r="I794" s="1311"/>
      <c r="J794" s="1311"/>
      <c r="K794" s="1311"/>
      <c r="L794" s="1311"/>
      <c r="M794" s="1311"/>
      <c r="N794" s="1311"/>
      <c r="O794" s="1311"/>
      <c r="P794" s="1311"/>
      <c r="Q794" s="1311"/>
      <c r="R794" s="1311"/>
      <c r="S794" s="1311"/>
    </row>
    <row r="795" spans="1:19" ht="18.75" customHeight="1" x14ac:dyDescent="0.25">
      <c r="A795" s="1311"/>
      <c r="D795" s="381" t="s">
        <v>2699</v>
      </c>
      <c r="F795" s="1295"/>
      <c r="H795" s="1311"/>
      <c r="I795" s="1311"/>
      <c r="J795" s="1311"/>
      <c r="K795" s="1311"/>
      <c r="L795" s="1311"/>
      <c r="M795" s="1311"/>
      <c r="N795" s="1311"/>
      <c r="O795" s="1311"/>
      <c r="P795" s="1311"/>
      <c r="Q795" s="1311"/>
      <c r="R795" s="1311"/>
      <c r="S795" s="1311"/>
    </row>
    <row r="796" spans="1:19" ht="15" customHeight="1" x14ac:dyDescent="0.25">
      <c r="A796" s="1311"/>
      <c r="D796" s="207">
        <v>9.5</v>
      </c>
      <c r="E796" s="206" t="s">
        <v>2700</v>
      </c>
      <c r="F796" s="1295"/>
      <c r="H796" s="1311"/>
      <c r="I796" s="1311"/>
      <c r="J796" s="1311"/>
      <c r="K796" s="1311"/>
      <c r="L796" s="1311"/>
      <c r="M796" s="1311"/>
      <c r="N796" s="1311"/>
      <c r="O796" s="1311"/>
      <c r="P796" s="1311"/>
      <c r="Q796" s="1311"/>
      <c r="R796" s="1311"/>
      <c r="S796" s="1311"/>
    </row>
    <row r="797" spans="1:19" ht="30" customHeight="1" x14ac:dyDescent="0.25">
      <c r="A797" s="1311"/>
      <c r="E797" s="39" t="s">
        <v>2075</v>
      </c>
      <c r="F797" s="1296" t="s">
        <v>2704</v>
      </c>
      <c r="H797" s="1311"/>
      <c r="I797" s="1311"/>
      <c r="J797" s="1311"/>
      <c r="K797" s="1311"/>
      <c r="L797" s="1311"/>
      <c r="M797" s="1311"/>
      <c r="N797" s="1311"/>
      <c r="O797" s="1311"/>
      <c r="P797" s="1311"/>
      <c r="Q797" s="1311"/>
      <c r="R797" s="1311"/>
      <c r="S797" s="1311"/>
    </row>
    <row r="798" spans="1:19" ht="15" customHeight="1" x14ac:dyDescent="0.25">
      <c r="A798" s="1311"/>
      <c r="D798" s="207">
        <v>9.6</v>
      </c>
      <c r="E798" s="206" t="s">
        <v>2703</v>
      </c>
      <c r="F798" s="1295"/>
      <c r="H798" s="1311"/>
      <c r="I798" s="1311"/>
      <c r="J798" s="1311"/>
      <c r="K798" s="1311"/>
      <c r="L798" s="1311"/>
      <c r="M798" s="1311"/>
      <c r="N798" s="1311"/>
      <c r="O798" s="1311"/>
      <c r="P798" s="1311"/>
      <c r="Q798" s="1311"/>
      <c r="R798" s="1311"/>
      <c r="S798" s="1311"/>
    </row>
    <row r="799" spans="1:19" ht="16.350000000000001" customHeight="1" x14ac:dyDescent="0.25">
      <c r="A799" s="1311"/>
      <c r="E799" s="39" t="s">
        <v>2269</v>
      </c>
      <c r="F799" s="1296" t="s">
        <v>2701</v>
      </c>
      <c r="H799" s="1311"/>
      <c r="I799" s="1311"/>
      <c r="J799" s="1311"/>
      <c r="K799" s="1311"/>
      <c r="L799" s="1311"/>
      <c r="M799" s="1311"/>
      <c r="N799" s="1311"/>
      <c r="O799" s="1311"/>
      <c r="P799" s="1311"/>
      <c r="Q799" s="1311"/>
      <c r="R799" s="1311"/>
      <c r="S799" s="1311"/>
    </row>
    <row r="800" spans="1:19" ht="15.6" customHeight="1" x14ac:dyDescent="0.25">
      <c r="A800" s="1311"/>
      <c r="E800" s="39" t="s">
        <v>2397</v>
      </c>
      <c r="F800" s="1296" t="s">
        <v>2702</v>
      </c>
      <c r="H800" s="1946"/>
      <c r="I800" s="1311"/>
      <c r="J800" s="1311"/>
      <c r="K800" s="1311"/>
      <c r="L800" s="1311"/>
      <c r="M800" s="1311"/>
      <c r="N800" s="1311"/>
      <c r="O800" s="1311"/>
      <c r="P800" s="1311"/>
      <c r="Q800" s="1311"/>
      <c r="R800" s="1311"/>
      <c r="S800" s="1311"/>
    </row>
    <row r="801" spans="1:19" ht="15.6" customHeight="1" x14ac:dyDescent="0.25">
      <c r="A801" s="1311"/>
      <c r="E801" s="39" t="s">
        <v>2705</v>
      </c>
      <c r="F801" s="1296" t="s">
        <v>2706</v>
      </c>
      <c r="H801" s="1946"/>
      <c r="I801" s="1311"/>
      <c r="J801" s="1311"/>
      <c r="K801" s="1311"/>
      <c r="L801" s="1311"/>
      <c r="M801" s="1311"/>
      <c r="N801" s="1311"/>
      <c r="O801" s="1311"/>
      <c r="P801" s="1311"/>
      <c r="Q801" s="1311"/>
      <c r="R801" s="1311"/>
      <c r="S801" s="1311"/>
    </row>
    <row r="802" spans="1:19" ht="15.6" customHeight="1" x14ac:dyDescent="0.25">
      <c r="A802" s="1311"/>
      <c r="E802" s="39" t="s">
        <v>2707</v>
      </c>
      <c r="F802" s="1296" t="s">
        <v>2709</v>
      </c>
      <c r="H802" s="1946"/>
      <c r="I802" s="1311"/>
      <c r="J802" s="1311"/>
      <c r="K802" s="1311"/>
      <c r="L802" s="1311"/>
      <c r="M802" s="1311"/>
      <c r="N802" s="1311"/>
      <c r="O802" s="1311"/>
      <c r="P802" s="1311"/>
      <c r="Q802" s="1311"/>
      <c r="R802" s="1311"/>
      <c r="S802" s="1311"/>
    </row>
    <row r="803" spans="1:19" ht="15.6" customHeight="1" x14ac:dyDescent="0.25">
      <c r="A803" s="1311"/>
      <c r="E803" s="39" t="s">
        <v>2710</v>
      </c>
      <c r="F803" s="1296" t="s">
        <v>2708</v>
      </c>
      <c r="H803" s="1946"/>
      <c r="I803" s="1311"/>
      <c r="J803" s="1311"/>
      <c r="K803" s="1311"/>
      <c r="L803" s="1311"/>
      <c r="M803" s="1311"/>
      <c r="N803" s="1311"/>
      <c r="O803" s="1311"/>
      <c r="P803" s="1311"/>
      <c r="Q803" s="1311"/>
      <c r="R803" s="1311"/>
      <c r="S803" s="1311"/>
    </row>
    <row r="804" spans="1:19" ht="12.6" customHeight="1" x14ac:dyDescent="0.25">
      <c r="A804" s="1311"/>
      <c r="E804" s="39"/>
      <c r="F804" s="1296"/>
      <c r="H804" s="1311"/>
      <c r="I804" s="1311"/>
      <c r="J804" s="1311"/>
      <c r="K804" s="1311"/>
      <c r="L804" s="1311"/>
      <c r="M804" s="1311"/>
      <c r="N804" s="1311"/>
      <c r="O804" s="1311"/>
      <c r="P804" s="1311"/>
      <c r="Q804" s="1311"/>
      <c r="R804" s="1311"/>
      <c r="S804" s="1311"/>
    </row>
    <row r="805" spans="1:19" ht="18.75" customHeight="1" x14ac:dyDescent="0.25">
      <c r="A805" s="1311"/>
      <c r="D805" s="381" t="s">
        <v>2264</v>
      </c>
      <c r="F805" s="1295"/>
      <c r="H805" s="1311"/>
      <c r="I805" s="1311"/>
      <c r="J805" s="1311"/>
      <c r="K805" s="1311"/>
      <c r="L805" s="1311"/>
      <c r="M805" s="1311"/>
      <c r="N805" s="1311"/>
      <c r="O805" s="1311"/>
      <c r="P805" s="1311"/>
      <c r="Q805" s="1311"/>
      <c r="R805" s="1311"/>
      <c r="S805" s="1311"/>
    </row>
    <row r="806" spans="1:19" ht="15" customHeight="1" x14ac:dyDescent="0.25">
      <c r="A806" s="1311"/>
      <c r="C806" s="39"/>
      <c r="D806" s="207">
        <v>9.6999999999999993</v>
      </c>
      <c r="E806" s="206" t="s">
        <v>176</v>
      </c>
      <c r="F806" s="1296"/>
      <c r="H806" s="1311"/>
      <c r="I806" s="1311"/>
      <c r="J806" s="1311"/>
      <c r="K806" s="1311"/>
      <c r="L806" s="1311"/>
      <c r="M806" s="1311"/>
      <c r="N806" s="1311"/>
      <c r="O806" s="1311"/>
      <c r="P806" s="1311"/>
      <c r="Q806" s="1311"/>
      <c r="R806" s="1311"/>
      <c r="S806" s="1311"/>
    </row>
    <row r="807" spans="1:19" ht="15" customHeight="1" x14ac:dyDescent="0.25">
      <c r="A807" s="1311"/>
      <c r="C807" s="39"/>
      <c r="D807" s="207"/>
      <c r="E807" s="39" t="s">
        <v>2270</v>
      </c>
      <c r="F807" s="1296" t="s">
        <v>2273</v>
      </c>
      <c r="H807" s="1311"/>
      <c r="I807" s="1311"/>
      <c r="J807" s="1311"/>
      <c r="K807" s="1311"/>
      <c r="L807" s="1311"/>
      <c r="M807" s="1311"/>
      <c r="N807" s="1311"/>
      <c r="O807" s="1311"/>
      <c r="P807" s="1311"/>
      <c r="Q807" s="1311"/>
      <c r="R807" s="1311"/>
      <c r="S807" s="1311"/>
    </row>
    <row r="808" spans="1:19" ht="28.35" customHeight="1" x14ac:dyDescent="0.25">
      <c r="A808" s="1311"/>
      <c r="C808" s="39"/>
      <c r="D808" s="207"/>
      <c r="E808" s="39" t="s">
        <v>2271</v>
      </c>
      <c r="F808" s="1296" t="s">
        <v>2274</v>
      </c>
      <c r="H808" s="1311"/>
      <c r="I808" s="1311"/>
      <c r="J808" s="1311"/>
      <c r="K808" s="1311"/>
      <c r="L808" s="1311"/>
      <c r="M808" s="1311"/>
      <c r="N808" s="1311"/>
      <c r="O808" s="1311"/>
      <c r="P808" s="1311"/>
      <c r="Q808" s="1311"/>
      <c r="R808" s="1311"/>
      <c r="S808" s="1311"/>
    </row>
    <row r="809" spans="1:19" ht="19.350000000000001" customHeight="1" x14ac:dyDescent="0.25">
      <c r="A809" s="1311"/>
      <c r="C809" s="39"/>
      <c r="D809" s="207"/>
      <c r="E809" s="39" t="s">
        <v>2272</v>
      </c>
      <c r="F809" s="1296" t="s">
        <v>2398</v>
      </c>
      <c r="H809" s="1311"/>
      <c r="I809" s="1311"/>
      <c r="J809" s="1311"/>
      <c r="K809" s="1311"/>
      <c r="L809" s="1311"/>
      <c r="M809" s="1311"/>
      <c r="N809" s="1311"/>
      <c r="O809" s="1311"/>
      <c r="P809" s="1311"/>
      <c r="Q809" s="1311"/>
      <c r="R809" s="1311"/>
      <c r="S809" s="1311"/>
    </row>
    <row r="810" spans="1:19" ht="15" customHeight="1" x14ac:dyDescent="0.25">
      <c r="A810" s="1311"/>
      <c r="C810" s="39"/>
      <c r="D810" s="2380">
        <v>9.8000000000000007</v>
      </c>
      <c r="E810" s="206" t="s">
        <v>2713</v>
      </c>
      <c r="F810" s="1296"/>
      <c r="H810" s="1311"/>
      <c r="I810" s="1311"/>
      <c r="J810" s="1311"/>
      <c r="K810" s="1311"/>
      <c r="L810" s="1311"/>
      <c r="M810" s="1311"/>
      <c r="N810" s="1311"/>
      <c r="O810" s="1311"/>
      <c r="P810" s="1311"/>
      <c r="Q810" s="1311"/>
      <c r="R810" s="1311"/>
      <c r="S810" s="1311"/>
    </row>
    <row r="811" spans="1:19" ht="20.399999999999999" customHeight="1" x14ac:dyDescent="0.25">
      <c r="A811" s="1311"/>
      <c r="C811" s="39"/>
      <c r="D811" s="2380"/>
      <c r="E811" s="39" t="s">
        <v>2714</v>
      </c>
      <c r="F811" s="1296" t="s">
        <v>2715</v>
      </c>
      <c r="H811" s="1311"/>
      <c r="I811" s="1311"/>
      <c r="J811" s="1311"/>
      <c r="K811" s="1311"/>
      <c r="L811" s="1311"/>
      <c r="M811" s="1311"/>
      <c r="N811" s="1311"/>
      <c r="O811" s="1311"/>
      <c r="P811" s="1311"/>
      <c r="Q811" s="1311"/>
      <c r="R811" s="1311"/>
      <c r="S811" s="1311"/>
    </row>
    <row r="812" spans="1:19" ht="15" customHeight="1" x14ac:dyDescent="0.25">
      <c r="A812" s="1311"/>
      <c r="C812" s="39"/>
      <c r="D812" s="2380">
        <v>9.9</v>
      </c>
      <c r="E812" s="206" t="s">
        <v>2727</v>
      </c>
      <c r="F812" s="1296"/>
      <c r="H812" s="1311"/>
      <c r="I812" s="1311"/>
      <c r="J812" s="1311"/>
      <c r="K812" s="1311"/>
      <c r="L812" s="1311"/>
      <c r="M812" s="1311"/>
      <c r="N812" s="1311"/>
      <c r="O812" s="1311"/>
      <c r="P812" s="1311"/>
      <c r="Q812" s="1311"/>
      <c r="R812" s="1311"/>
      <c r="S812" s="1311"/>
    </row>
    <row r="813" spans="1:19" ht="15" customHeight="1" x14ac:dyDescent="0.25">
      <c r="A813" s="1311"/>
      <c r="C813" s="39"/>
      <c r="D813" s="2380"/>
      <c r="E813" s="39" t="s">
        <v>2716</v>
      </c>
      <c r="F813" s="1296" t="s">
        <v>2717</v>
      </c>
      <c r="H813" s="1311"/>
      <c r="I813" s="1311"/>
      <c r="J813" s="1311"/>
      <c r="K813" s="1311"/>
      <c r="L813" s="1311"/>
      <c r="M813" s="1311"/>
      <c r="N813" s="1311"/>
      <c r="O813" s="1311"/>
      <c r="P813" s="1311"/>
      <c r="Q813" s="1311"/>
      <c r="R813" s="1311"/>
      <c r="S813" s="1311"/>
    </row>
    <row r="814" spans="1:19" ht="43.95" customHeight="1" x14ac:dyDescent="0.25">
      <c r="A814" s="1311"/>
      <c r="C814" s="39"/>
      <c r="D814" s="2380"/>
      <c r="E814" s="39" t="s">
        <v>2718</v>
      </c>
      <c r="F814" s="1296" t="s">
        <v>2728</v>
      </c>
      <c r="H814" s="1311"/>
      <c r="I814" s="1311"/>
      <c r="J814" s="1311"/>
      <c r="K814" s="1311"/>
      <c r="L814" s="1311"/>
      <c r="M814" s="1311"/>
      <c r="N814" s="1311"/>
      <c r="O814" s="1311"/>
      <c r="P814" s="1311"/>
      <c r="Q814" s="1311"/>
      <c r="R814" s="1311"/>
      <c r="S814" s="1311"/>
    </row>
    <row r="815" spans="1:19" ht="31.35" customHeight="1" x14ac:dyDescent="0.25">
      <c r="A815" s="1311"/>
      <c r="C815" s="39"/>
      <c r="D815" s="2380"/>
      <c r="E815" s="39" t="s">
        <v>2719</v>
      </c>
      <c r="F815" s="1296" t="s">
        <v>2729</v>
      </c>
      <c r="H815" s="1311"/>
      <c r="I815" s="1311"/>
      <c r="J815" s="1311"/>
      <c r="K815" s="1311"/>
      <c r="L815" s="1311"/>
      <c r="M815" s="1311"/>
      <c r="N815" s="1311"/>
      <c r="O815" s="1311"/>
      <c r="P815" s="1311"/>
      <c r="Q815" s="1311"/>
      <c r="R815" s="1311"/>
      <c r="S815" s="1311"/>
    </row>
    <row r="816" spans="1:19" ht="15" customHeight="1" x14ac:dyDescent="0.25">
      <c r="A816" s="1311"/>
      <c r="C816" s="39"/>
      <c r="D816" s="2380"/>
      <c r="E816" s="39"/>
      <c r="F816" s="1296"/>
      <c r="H816" s="1311"/>
      <c r="I816" s="1311"/>
      <c r="J816" s="1311"/>
      <c r="K816" s="1311"/>
      <c r="L816" s="1311"/>
      <c r="M816" s="1311"/>
      <c r="N816" s="1311"/>
      <c r="O816" s="1311"/>
      <c r="P816" s="1311"/>
      <c r="Q816" s="1311"/>
      <c r="R816" s="1311"/>
      <c r="S816" s="1311"/>
    </row>
    <row r="817" spans="1:19" ht="15" customHeight="1" x14ac:dyDescent="0.25">
      <c r="A817" s="1311"/>
      <c r="C817" s="39"/>
      <c r="D817" s="207"/>
      <c r="E817" s="39"/>
      <c r="F817" s="1296"/>
      <c r="H817" s="1311"/>
      <c r="I817" s="1311"/>
      <c r="J817" s="1311"/>
      <c r="K817" s="1311"/>
      <c r="L817" s="1311"/>
      <c r="M817" s="1311"/>
      <c r="N817" s="1311"/>
      <c r="O817" s="1311"/>
      <c r="P817" s="1311"/>
      <c r="Q817" s="1311"/>
      <c r="R817" s="1311"/>
      <c r="S817" s="1311"/>
    </row>
    <row r="818" spans="1:19" ht="15" customHeight="1" x14ac:dyDescent="0.25">
      <c r="A818" s="1311"/>
      <c r="B818" s="1311"/>
      <c r="C818" s="1311"/>
      <c r="D818" s="1311"/>
      <c r="E818" s="1311"/>
      <c r="F818" s="1311"/>
      <c r="G818" s="1311"/>
      <c r="H818" s="1311"/>
      <c r="I818" s="1311"/>
      <c r="J818" s="1311"/>
      <c r="K818" s="1311"/>
      <c r="L818" s="1311"/>
      <c r="M818" s="1311"/>
      <c r="N818" s="1311"/>
      <c r="O818" s="1311"/>
      <c r="P818" s="1311"/>
      <c r="Q818" s="1311"/>
      <c r="R818" s="1311"/>
      <c r="S818" s="1311"/>
    </row>
    <row r="819" spans="1:19" x14ac:dyDescent="0.25">
      <c r="A819" s="1311"/>
      <c r="B819" s="1311"/>
      <c r="C819" s="1311"/>
      <c r="D819" s="1311"/>
      <c r="E819" s="1311"/>
      <c r="F819" s="1311"/>
      <c r="G819" s="1311"/>
      <c r="H819" s="1311"/>
      <c r="I819" s="1311"/>
      <c r="J819" s="1311"/>
      <c r="K819" s="1311"/>
      <c r="L819" s="1311"/>
      <c r="M819" s="1311"/>
      <c r="N819" s="1311"/>
      <c r="O819" s="1311"/>
      <c r="P819" s="1311"/>
      <c r="Q819" s="1311"/>
      <c r="R819" s="1311"/>
      <c r="S819" s="1311"/>
    </row>
    <row r="820" spans="1:19" x14ac:dyDescent="0.25">
      <c r="A820" s="1311"/>
      <c r="B820" s="1311"/>
      <c r="C820" s="1311"/>
      <c r="D820" s="1311"/>
      <c r="E820" s="1311"/>
      <c r="F820" s="1311"/>
      <c r="G820" s="1311"/>
      <c r="H820" s="1311"/>
      <c r="I820" s="1311"/>
      <c r="J820" s="1311"/>
      <c r="K820" s="1311"/>
      <c r="L820" s="1311"/>
      <c r="M820" s="1311"/>
      <c r="N820" s="1311"/>
      <c r="O820" s="1311"/>
      <c r="P820" s="1311"/>
      <c r="Q820" s="1311"/>
      <c r="R820" s="1311"/>
      <c r="S820" s="1311"/>
    </row>
    <row r="821" spans="1:19" x14ac:dyDescent="0.25">
      <c r="A821" s="1311"/>
      <c r="B821" s="1311"/>
      <c r="C821" s="1311"/>
      <c r="D821" s="1311"/>
      <c r="E821" s="1311"/>
      <c r="F821" s="1311"/>
      <c r="G821" s="1311"/>
      <c r="H821" s="1311"/>
      <c r="I821" s="1311"/>
      <c r="J821" s="1311"/>
      <c r="K821" s="1311"/>
      <c r="L821" s="1311"/>
      <c r="M821" s="1311"/>
      <c r="N821" s="1311"/>
      <c r="O821" s="1311"/>
      <c r="P821" s="1311"/>
      <c r="Q821" s="1311"/>
      <c r="R821" s="1311"/>
      <c r="S821" s="1311"/>
    </row>
    <row r="879" spans="2:19" ht="29.4" customHeight="1" x14ac:dyDescent="0.25">
      <c r="C879" s="1154"/>
      <c r="D879" s="1102"/>
      <c r="E879" s="1104"/>
      <c r="F879" s="1299"/>
      <c r="H879" s="1311"/>
      <c r="I879" s="1311"/>
      <c r="J879" s="1311"/>
      <c r="K879" s="1311"/>
      <c r="L879" s="1311"/>
      <c r="M879" s="1311"/>
      <c r="N879" s="1311"/>
      <c r="O879" s="1311"/>
      <c r="P879" s="1311"/>
      <c r="Q879" s="1311"/>
      <c r="R879" s="1311"/>
      <c r="S879" s="1311"/>
    </row>
    <row r="880" spans="2:19" x14ac:dyDescent="0.25">
      <c r="B880" s="1311"/>
      <c r="C880" s="1311"/>
      <c r="D880" s="1311"/>
      <c r="E880" s="1311"/>
      <c r="F880" s="1311"/>
      <c r="G880" s="1311"/>
      <c r="H880" s="1311"/>
      <c r="I880" s="1311"/>
      <c r="J880" s="1311"/>
      <c r="K880" s="1311"/>
      <c r="L880" s="1311"/>
      <c r="M880" s="1311"/>
      <c r="N880" s="1311"/>
      <c r="O880" s="1311"/>
      <c r="P880" s="1311"/>
      <c r="Q880" s="1311"/>
      <c r="R880" s="1311"/>
      <c r="S880" s="1311"/>
    </row>
    <row r="881" spans="2:19" x14ac:dyDescent="0.25">
      <c r="B881" s="1311"/>
      <c r="C881" s="1311"/>
      <c r="D881" s="1311"/>
      <c r="E881" s="1311"/>
      <c r="F881" s="1311"/>
      <c r="G881" s="1311"/>
      <c r="H881" s="1311"/>
      <c r="I881" s="1311"/>
      <c r="J881" s="1311"/>
      <c r="K881" s="1311"/>
      <c r="L881" s="1311"/>
      <c r="M881" s="1311"/>
      <c r="N881" s="1311"/>
      <c r="O881" s="1311"/>
      <c r="P881" s="1311"/>
      <c r="Q881" s="1311"/>
      <c r="R881" s="1311"/>
      <c r="S881" s="1311"/>
    </row>
    <row r="882" spans="2:19" x14ac:dyDescent="0.25">
      <c r="B882" s="1311"/>
      <c r="C882" s="1311"/>
      <c r="D882" s="1311"/>
      <c r="E882" s="1311"/>
      <c r="F882" s="1311"/>
      <c r="G882" s="1311"/>
      <c r="H882" s="1311"/>
      <c r="I882" s="1311"/>
      <c r="J882" s="1311"/>
      <c r="K882" s="1311"/>
      <c r="L882" s="1311"/>
      <c r="M882" s="1311"/>
      <c r="N882" s="1311"/>
      <c r="O882" s="1311"/>
      <c r="P882" s="1311"/>
      <c r="Q882" s="1311"/>
      <c r="R882" s="1311"/>
      <c r="S882" s="1311"/>
    </row>
  </sheetData>
  <mergeCells count="51">
    <mergeCell ref="I16:P16"/>
    <mergeCell ref="F781:F782"/>
    <mergeCell ref="E47:F47"/>
    <mergeCell ref="E48:F48"/>
    <mergeCell ref="E49:F49"/>
    <mergeCell ref="C108:F108"/>
    <mergeCell ref="C236:F236"/>
    <mergeCell ref="E92:F92"/>
    <mergeCell ref="D110:F110"/>
    <mergeCell ref="D755:F755"/>
    <mergeCell ref="D756:F756"/>
    <mergeCell ref="D537:F537"/>
    <mergeCell ref="D538:F538"/>
    <mergeCell ref="D752:F752"/>
    <mergeCell ref="F773:F774"/>
    <mergeCell ref="C605:F605"/>
    <mergeCell ref="F777:F778"/>
    <mergeCell ref="F775:F776"/>
    <mergeCell ref="D757:F757"/>
    <mergeCell ref="D754:F754"/>
    <mergeCell ref="C750:F750"/>
    <mergeCell ref="E655:F655"/>
    <mergeCell ref="D669:F669"/>
    <mergeCell ref="C647:F647"/>
    <mergeCell ref="D313:F313"/>
    <mergeCell ref="C667:F667"/>
    <mergeCell ref="D610:F610"/>
    <mergeCell ref="D609:F609"/>
    <mergeCell ref="E653:F653"/>
    <mergeCell ref="D314:F314"/>
    <mergeCell ref="D315:F315"/>
    <mergeCell ref="E441:F441"/>
    <mergeCell ref="E454:F454"/>
    <mergeCell ref="D607:F607"/>
    <mergeCell ref="D649:F649"/>
    <mergeCell ref="F779:F780"/>
    <mergeCell ref="D111:F111"/>
    <mergeCell ref="D753:F753"/>
    <mergeCell ref="C535:F535"/>
    <mergeCell ref="D238:F238"/>
    <mergeCell ref="D239:F239"/>
    <mergeCell ref="D439:F439"/>
    <mergeCell ref="D451:F451"/>
    <mergeCell ref="D452:F452"/>
    <mergeCell ref="D467:F467"/>
    <mergeCell ref="D468:F468"/>
    <mergeCell ref="C311:F311"/>
    <mergeCell ref="C465:F465"/>
    <mergeCell ref="F304:F305"/>
    <mergeCell ref="E304:E305"/>
    <mergeCell ref="D608:F608"/>
  </mergeCells>
  <hyperlinks>
    <hyperlink ref="F52" r:id="rId1" display="Pricing Tool Homepage (JacobsConnect)" xr:uid="{00000000-0004-0000-0E00-000000000000}"/>
    <hyperlink ref="F52" r:id="rId2" xr:uid="{00000000-0004-0000-0E00-000001000000}"/>
  </hyperlinks>
  <pageMargins left="0.51181102362204722" right="0.31496062992125984" top="0.55118110236220474" bottom="0.55118110236220474" header="0.31496062992125984" footer="0.31496062992125984"/>
  <pageSetup paperSize="9" scale="98" fitToHeight="50" orientation="portrait" r:id="rId3"/>
  <headerFooter>
    <oddFooter>&amp;CPricing Tool User Guide&amp;RPage &amp;P</oddFooter>
  </headerFooter>
  <rowBreaks count="11" manualBreakCount="11">
    <brk id="12" min="1" max="5" man="1"/>
    <brk id="42" min="1" max="5" man="1"/>
    <brk id="106" min="1" max="5" man="1"/>
    <brk id="234" min="1" max="5" man="1"/>
    <brk id="309" min="1" max="5" man="1"/>
    <brk id="463" min="1" max="5" man="1"/>
    <brk id="533" min="1" max="5" man="1"/>
    <brk id="603" min="1" max="5" man="1"/>
    <brk id="645" min="1" max="5" man="1"/>
    <brk id="665" min="1" max="5" man="1"/>
    <brk id="748" min="1" max="5" man="1"/>
  </rowBreaks>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tabColor rgb="FF003397"/>
  </sheetPr>
  <dimension ref="A1:AB34"/>
  <sheetViews>
    <sheetView workbookViewId="0">
      <selection activeCell="AA12" sqref="AA12"/>
    </sheetView>
  </sheetViews>
  <sheetFormatPr defaultRowHeight="14.4" x14ac:dyDescent="0.3"/>
  <cols>
    <col min="1" max="1" width="12.6640625" customWidth="1"/>
    <col min="2" max="2" width="19.33203125" customWidth="1"/>
    <col min="3" max="3" width="12.6640625" customWidth="1"/>
    <col min="4" max="4" width="16.6640625" customWidth="1"/>
    <col min="5" max="7" width="12.6640625" customWidth="1"/>
    <col min="8" max="8" width="12.6640625" style="745" customWidth="1"/>
    <col min="9" max="9" width="14.109375" customWidth="1"/>
    <col min="10" max="12" width="12.6640625" style="745" customWidth="1"/>
    <col min="13" max="23" width="12.6640625" customWidth="1"/>
    <col min="24" max="25" width="12.6640625" style="745" customWidth="1"/>
    <col min="26" max="27" width="13.33203125" customWidth="1"/>
    <col min="28" max="28" width="34.5546875" customWidth="1"/>
  </cols>
  <sheetData>
    <row r="1" spans="1:28" ht="30" customHeight="1" x14ac:dyDescent="0.3">
      <c r="A1" s="1037" t="s">
        <v>578</v>
      </c>
      <c r="B1" s="1037" t="s">
        <v>298</v>
      </c>
      <c r="C1" s="2352" t="s">
        <v>299</v>
      </c>
      <c r="D1" s="1037" t="s">
        <v>579</v>
      </c>
      <c r="E1" s="1037" t="s">
        <v>580</v>
      </c>
      <c r="F1" s="1037" t="s">
        <v>581</v>
      </c>
      <c r="G1" s="1037" t="s">
        <v>582</v>
      </c>
      <c r="H1" s="1037" t="s">
        <v>817</v>
      </c>
      <c r="I1" s="1037" t="s">
        <v>192</v>
      </c>
      <c r="J1" s="1037" t="s">
        <v>837</v>
      </c>
      <c r="K1" s="2352" t="s">
        <v>359</v>
      </c>
      <c r="L1" s="2656" t="s">
        <v>668</v>
      </c>
      <c r="M1" s="1037" t="s">
        <v>168</v>
      </c>
      <c r="N1" s="1037" t="s">
        <v>190</v>
      </c>
      <c r="O1" s="1037" t="s">
        <v>191</v>
      </c>
      <c r="P1" s="2352" t="s">
        <v>303</v>
      </c>
      <c r="Q1" s="2352" t="s">
        <v>157</v>
      </c>
      <c r="R1" s="2352" t="s">
        <v>583</v>
      </c>
      <c r="S1" s="2352" t="s">
        <v>195</v>
      </c>
      <c r="T1" s="2352" t="s">
        <v>193</v>
      </c>
      <c r="U1" s="2352" t="s">
        <v>194</v>
      </c>
      <c r="V1" s="2352" t="s">
        <v>196</v>
      </c>
      <c r="W1" s="2352" t="s">
        <v>197</v>
      </c>
      <c r="X1" s="1037" t="s">
        <v>1056</v>
      </c>
      <c r="Y1" s="1037" t="s">
        <v>1192</v>
      </c>
      <c r="Z1" s="1037" t="s">
        <v>3325</v>
      </c>
      <c r="AA1" s="1037" t="s">
        <v>3326</v>
      </c>
      <c r="AB1" s="1037" t="s">
        <v>3327</v>
      </c>
    </row>
    <row r="2" spans="1:28" ht="21" customHeight="1" x14ac:dyDescent="0.3">
      <c r="A2" s="1245" t="str">
        <f>TEXT('5  Control Accounts'!EA16,"General")</f>
        <v>B23672</v>
      </c>
      <c r="B2" s="1665" t="str">
        <f>'1 Setup'!I39</f>
        <v>Client PM's, Secondments &amp; Construction Support</v>
      </c>
      <c r="C2" s="1246"/>
      <c r="D2" s="1443" t="str">
        <f>IFERROR(INDEX('IPCS Data'!$W$7:$W$26,MATCH('1 Setup'!$I$55,'IPCS Data'!$T$7:$T$26,0)),0)</f>
        <v>PRJ-BD EU/UK</v>
      </c>
      <c r="E2" s="1254" t="s">
        <v>111</v>
      </c>
      <c r="F2" s="1254" t="s">
        <v>370</v>
      </c>
      <c r="G2" s="1254" t="s">
        <v>370</v>
      </c>
      <c r="H2" s="1406" t="str">
        <f>IF('2 Staff List'!GQ62,"Y","")</f>
        <v>Y</v>
      </c>
      <c r="I2" s="1443" t="str">
        <f>IFERROR(INDEX('IPCS Data'!$V$7:$V$26,MATCH('1 Setup'!$I$55,'IPCS Data'!$T$7:$T$26,0)),0)</f>
        <v>JACOBS.BIAF</v>
      </c>
      <c r="J2" s="1443" t="str">
        <f>IFERROR(INDEX('IPCS Data'!$X$7:$X$26,MATCH('1 Setup'!$I$55,'IPCS Data'!$T$7:$T$26,0)),0)</f>
        <v>BD-EU/UK</v>
      </c>
      <c r="K2" s="1246"/>
      <c r="L2" s="1665" t="str">
        <f>'1 Setup'!T4</f>
        <v>BIE Highways</v>
      </c>
      <c r="M2" s="1245" t="str">
        <f>'1 Setup'!I60</f>
        <v>GBP</v>
      </c>
      <c r="N2" s="1406" t="str">
        <f>IF('5  Control Accounts'!AH26=0,TEXT(0,"0"),TEXT('5  Control Accounts'!AH26,"DD/MMM/YYYY"))</f>
        <v>10/Jan/2020</v>
      </c>
      <c r="O2" s="1406" t="str">
        <f>IF('5  Control Accounts'!AI26=0,TEXT(0,"0"),TEXT('5  Control Accounts'!AI26,"DD/MMM/YYYY"))</f>
        <v>02/Apr/2020</v>
      </c>
      <c r="P2" s="1246"/>
      <c r="Q2" s="1246"/>
      <c r="R2" s="1246"/>
      <c r="S2" s="1246"/>
      <c r="T2" s="1246"/>
      <c r="U2" s="1246"/>
      <c r="V2" s="1246"/>
      <c r="W2" s="1246"/>
      <c r="X2" s="1406" t="str">
        <f>TEXT('1 Setup'!R39,"General")</f>
        <v>Client PM's, Secondments &amp; Construction Support</v>
      </c>
      <c r="Y2" s="3293" t="str">
        <f>TEXT(IF(J2="Training","TRAINING","PRODUCTION"),"General")</f>
        <v>PRODUCTION</v>
      </c>
      <c r="Z2" s="2705"/>
      <c r="AA2" s="2705"/>
      <c r="AB2" s="2758" t="str">
        <f>'IPCS Data'!AE7</f>
        <v>Monthly Global Exchange Rate Table</v>
      </c>
    </row>
    <row r="3" spans="1:28" ht="37.35" customHeight="1" x14ac:dyDescent="0.3">
      <c r="B3" s="738" t="s">
        <v>2885</v>
      </c>
      <c r="C3" s="738"/>
      <c r="E3" s="738" t="s">
        <v>1313</v>
      </c>
      <c r="F3" s="738" t="s">
        <v>1313</v>
      </c>
      <c r="G3" s="738" t="s">
        <v>1313</v>
      </c>
      <c r="H3" s="738" t="s">
        <v>1726</v>
      </c>
      <c r="I3" s="772"/>
      <c r="J3" s="772"/>
      <c r="K3" s="772"/>
      <c r="L3" s="738"/>
      <c r="N3" s="738" t="s">
        <v>2881</v>
      </c>
      <c r="O3" s="738" t="s">
        <v>2882</v>
      </c>
      <c r="P3" s="738"/>
      <c r="Q3" s="738"/>
      <c r="R3" s="738"/>
      <c r="S3" s="738"/>
      <c r="T3" s="738"/>
      <c r="U3" s="738"/>
      <c r="V3" s="738"/>
      <c r="W3" s="738"/>
      <c r="X3" s="738" t="s">
        <v>3370</v>
      </c>
      <c r="Y3" s="738" t="s">
        <v>1313</v>
      </c>
    </row>
    <row r="4" spans="1:28" ht="16.2" customHeight="1" x14ac:dyDescent="0.3">
      <c r="A4" s="1900"/>
      <c r="B4" s="1901"/>
      <c r="C4" s="1900"/>
      <c r="D4" s="1900"/>
      <c r="E4" s="1900"/>
      <c r="F4" s="1901"/>
      <c r="G4" s="1901"/>
      <c r="H4" s="1901"/>
      <c r="I4" s="1900"/>
      <c r="J4" s="1900"/>
      <c r="K4" s="1900"/>
      <c r="L4" s="1901"/>
      <c r="M4" s="1900"/>
      <c r="N4" s="1901"/>
      <c r="O4" s="1901"/>
      <c r="X4" s="1901"/>
      <c r="Y4" s="738" t="s">
        <v>1193</v>
      </c>
    </row>
    <row r="5" spans="1:28" ht="16.2" customHeight="1" x14ac:dyDescent="0.3">
      <c r="B5" s="1356"/>
      <c r="C5" s="1356"/>
      <c r="D5" s="1356"/>
      <c r="E5" s="1356"/>
      <c r="F5" s="1356"/>
      <c r="I5" s="772"/>
      <c r="J5" s="743"/>
      <c r="Y5" s="738" t="s">
        <v>3392</v>
      </c>
    </row>
    <row r="6" spans="1:28" ht="16.2" customHeight="1" x14ac:dyDescent="0.3">
      <c r="B6" s="1356"/>
      <c r="C6" s="1356"/>
      <c r="D6" s="1356"/>
      <c r="E6" s="1356"/>
      <c r="F6" s="1356"/>
      <c r="G6" s="835"/>
      <c r="H6" s="835"/>
      <c r="I6" s="772"/>
      <c r="J6" s="743"/>
      <c r="Y6" s="738" t="s">
        <v>3390</v>
      </c>
    </row>
    <row r="7" spans="1:28" s="1356" customFormat="1" ht="16.2" customHeight="1" x14ac:dyDescent="0.3">
      <c r="G7" s="835"/>
      <c r="H7" s="835"/>
      <c r="I7" s="2655"/>
      <c r="J7" s="2655"/>
      <c r="Y7" s="738" t="s">
        <v>1680</v>
      </c>
    </row>
    <row r="8" spans="1:28" s="1670" customFormat="1" ht="16.2" customHeight="1" x14ac:dyDescent="0.3">
      <c r="B8" s="1356"/>
      <c r="C8" s="1356"/>
      <c r="D8" s="1356"/>
      <c r="E8" s="1356"/>
      <c r="F8" s="1356"/>
      <c r="G8" s="835"/>
      <c r="H8" s="835"/>
      <c r="I8" s="2655"/>
      <c r="J8" s="2655"/>
      <c r="K8" s="747"/>
      <c r="L8" s="747"/>
      <c r="M8" s="750"/>
      <c r="Y8" s="738" t="s">
        <v>3391</v>
      </c>
    </row>
    <row r="9" spans="1:28" s="1670" customFormat="1" ht="16.2" customHeight="1" x14ac:dyDescent="0.3">
      <c r="B9" s="1356"/>
      <c r="C9" s="1356"/>
      <c r="D9" s="1356"/>
      <c r="E9" s="1356"/>
      <c r="F9" s="1356"/>
      <c r="G9" s="747"/>
      <c r="H9" s="747"/>
      <c r="I9" s="2655"/>
      <c r="J9" s="2655"/>
      <c r="K9" s="747"/>
      <c r="L9" s="747"/>
      <c r="M9" s="750"/>
    </row>
    <row r="10" spans="1:28" s="1670" customFormat="1" ht="16.2" customHeight="1" x14ac:dyDescent="0.3">
      <c r="B10" s="1356"/>
      <c r="C10" s="1356"/>
      <c r="D10" s="1356"/>
      <c r="E10" s="1356"/>
      <c r="F10" s="1356"/>
      <c r="G10" s="747"/>
      <c r="H10" s="747"/>
      <c r="I10" s="747"/>
      <c r="J10" s="747"/>
      <c r="K10" s="747"/>
      <c r="L10" s="747"/>
      <c r="M10" s="750"/>
    </row>
    <row r="11" spans="1:28" s="1670" customFormat="1" ht="16.2" customHeight="1" x14ac:dyDescent="0.3">
      <c r="B11" s="1356"/>
      <c r="C11" s="1356"/>
      <c r="D11" s="1356"/>
      <c r="E11" s="1356"/>
      <c r="F11" s="1356"/>
      <c r="G11" s="747"/>
      <c r="H11" s="747"/>
      <c r="I11" s="747"/>
      <c r="J11" s="747"/>
      <c r="K11" s="747"/>
      <c r="L11" s="747"/>
      <c r="M11" s="750"/>
    </row>
    <row r="12" spans="1:28" s="1670" customFormat="1" ht="16.2" customHeight="1" x14ac:dyDescent="0.3">
      <c r="B12" s="1356"/>
      <c r="C12" s="1356"/>
      <c r="D12" s="1356"/>
      <c r="E12" s="1356"/>
      <c r="F12" s="1356"/>
      <c r="G12" s="747"/>
      <c r="H12" s="747"/>
      <c r="I12" s="747"/>
      <c r="J12" s="747"/>
      <c r="K12" s="747"/>
      <c r="L12" s="747"/>
      <c r="M12" s="750"/>
    </row>
    <row r="13" spans="1:28" s="1670" customFormat="1" ht="16.2" customHeight="1" x14ac:dyDescent="0.3">
      <c r="B13" s="1356"/>
      <c r="C13" s="1356"/>
      <c r="D13" s="1356"/>
      <c r="E13" s="1356"/>
      <c r="F13" s="1356"/>
      <c r="G13" s="747"/>
      <c r="H13" s="747"/>
      <c r="I13" s="747"/>
      <c r="J13" s="747"/>
      <c r="K13" s="747"/>
      <c r="L13" s="747"/>
      <c r="M13" s="750"/>
    </row>
    <row r="14" spans="1:28" s="1670" customFormat="1" ht="16.2" customHeight="1" x14ac:dyDescent="0.3">
      <c r="B14" s="1356"/>
      <c r="C14" s="1356"/>
      <c r="D14" s="1356"/>
      <c r="E14" s="1356"/>
      <c r="F14" s="1356"/>
      <c r="G14" s="747"/>
      <c r="H14" s="747"/>
      <c r="I14" s="747"/>
      <c r="J14" s="747"/>
      <c r="K14" s="747"/>
      <c r="L14" s="747"/>
      <c r="M14" s="750"/>
    </row>
    <row r="15" spans="1:28" s="1670" customFormat="1" ht="16.2" customHeight="1" x14ac:dyDescent="0.3">
      <c r="B15" s="1356"/>
      <c r="C15" s="1356"/>
      <c r="D15" s="1356"/>
      <c r="E15" s="1356"/>
      <c r="F15" s="1356"/>
      <c r="G15" s="747"/>
      <c r="H15" s="747"/>
      <c r="I15" s="747"/>
      <c r="J15" s="747"/>
      <c r="K15" s="747"/>
      <c r="L15" s="747"/>
      <c r="M15" s="750"/>
    </row>
    <row r="16" spans="1:28" s="1670" customFormat="1" ht="16.2" customHeight="1" x14ac:dyDescent="0.3">
      <c r="B16" s="1356"/>
      <c r="C16" s="1356"/>
      <c r="D16" s="1356"/>
      <c r="E16" s="1356"/>
      <c r="F16" s="1356"/>
      <c r="G16" s="747"/>
      <c r="H16" s="747"/>
      <c r="I16" s="747"/>
      <c r="J16" s="747"/>
      <c r="K16" s="747"/>
      <c r="L16" s="747"/>
      <c r="M16" s="750"/>
    </row>
    <row r="17" spans="2:13" s="1670" customFormat="1" ht="18" customHeight="1" x14ac:dyDescent="0.3">
      <c r="B17" s="1356"/>
      <c r="C17" s="1356"/>
      <c r="D17" s="1356"/>
      <c r="E17" s="1356"/>
      <c r="F17" s="1356"/>
      <c r="G17" s="747"/>
      <c r="H17" s="747"/>
      <c r="I17" s="747"/>
      <c r="J17" s="747"/>
      <c r="K17" s="747"/>
      <c r="L17" s="747"/>
      <c r="M17" s="750"/>
    </row>
    <row r="18" spans="2:13" s="1670" customFormat="1" ht="18" customHeight="1" x14ac:dyDescent="0.3">
      <c r="G18" s="747"/>
      <c r="H18" s="747"/>
      <c r="I18" s="747"/>
      <c r="J18" s="747"/>
      <c r="K18" s="747"/>
      <c r="L18" s="747"/>
      <c r="M18" s="750"/>
    </row>
    <row r="19" spans="2:13" s="1670" customFormat="1" ht="18" customHeight="1" x14ac:dyDescent="0.3">
      <c r="B19" s="835"/>
      <c r="C19" s="747"/>
      <c r="D19" s="743"/>
      <c r="E19" s="747"/>
      <c r="F19" s="743"/>
      <c r="G19" s="747"/>
      <c r="H19" s="747"/>
      <c r="I19" s="747"/>
      <c r="J19" s="747"/>
      <c r="K19" s="747"/>
      <c r="L19" s="747"/>
      <c r="M19" s="750"/>
    </row>
    <row r="20" spans="2:13" s="1670" customFormat="1" ht="18" customHeight="1" x14ac:dyDescent="0.3">
      <c r="B20" s="835"/>
      <c r="C20" s="747"/>
      <c r="D20" s="743"/>
      <c r="E20" s="747"/>
      <c r="F20" s="743"/>
      <c r="G20" s="747"/>
      <c r="H20" s="747"/>
      <c r="I20" s="747"/>
      <c r="J20" s="747"/>
      <c r="K20" s="747"/>
      <c r="L20" s="747"/>
      <c r="M20" s="750"/>
    </row>
    <row r="21" spans="2:13" s="1670" customFormat="1" ht="18" customHeight="1" x14ac:dyDescent="0.3">
      <c r="B21" s="835"/>
      <c r="C21" s="747"/>
      <c r="D21" s="743"/>
      <c r="E21" s="747"/>
      <c r="F21" s="743"/>
      <c r="G21" s="747"/>
      <c r="H21" s="747"/>
      <c r="I21" s="747"/>
      <c r="J21" s="747"/>
      <c r="K21" s="747"/>
      <c r="L21" s="747"/>
      <c r="M21" s="750"/>
    </row>
    <row r="22" spans="2:13" s="1670" customFormat="1" ht="18" customHeight="1" x14ac:dyDescent="0.3">
      <c r="B22" s="835"/>
      <c r="C22" s="747"/>
      <c r="D22" s="743"/>
      <c r="E22" s="747"/>
      <c r="F22" s="743"/>
      <c r="G22" s="747"/>
      <c r="H22" s="747"/>
      <c r="I22" s="747"/>
      <c r="J22" s="747"/>
      <c r="K22" s="747"/>
      <c r="L22" s="747"/>
      <c r="M22" s="750"/>
    </row>
    <row r="23" spans="2:13" s="1670" customFormat="1" ht="18" customHeight="1" x14ac:dyDescent="0.3">
      <c r="B23" s="835"/>
      <c r="C23" s="747"/>
      <c r="D23" s="743"/>
      <c r="E23" s="747"/>
      <c r="F23" s="743"/>
      <c r="G23" s="747"/>
      <c r="H23" s="747"/>
      <c r="I23" s="747"/>
      <c r="J23" s="747"/>
      <c r="K23" s="747"/>
      <c r="L23" s="747"/>
      <c r="M23" s="750"/>
    </row>
    <row r="24" spans="2:13" s="1670" customFormat="1" ht="18" customHeight="1" x14ac:dyDescent="0.3">
      <c r="B24" s="835"/>
      <c r="C24" s="747"/>
      <c r="D24" s="743"/>
      <c r="E24" s="747"/>
      <c r="F24" s="743"/>
      <c r="G24" s="747"/>
      <c r="H24" s="747"/>
      <c r="I24" s="747"/>
      <c r="J24" s="747"/>
      <c r="K24" s="747"/>
      <c r="L24" s="747"/>
      <c r="M24" s="750"/>
    </row>
    <row r="25" spans="2:13" s="1670" customFormat="1" ht="18" customHeight="1" x14ac:dyDescent="0.3">
      <c r="B25" s="835"/>
      <c r="C25" s="747"/>
      <c r="D25" s="743"/>
      <c r="E25" s="747"/>
      <c r="F25" s="743"/>
      <c r="G25" s="747"/>
      <c r="H25" s="747"/>
      <c r="I25" s="747"/>
      <c r="J25" s="747"/>
      <c r="K25" s="747"/>
      <c r="L25" s="747"/>
      <c r="M25" s="750"/>
    </row>
    <row r="26" spans="2:13" s="1670" customFormat="1" ht="18" customHeight="1" x14ac:dyDescent="0.3">
      <c r="B26" s="835"/>
      <c r="C26" s="747"/>
      <c r="D26" s="743"/>
      <c r="E26" s="747"/>
      <c r="F26" s="743"/>
      <c r="G26" s="747"/>
      <c r="H26" s="747"/>
      <c r="I26" s="747"/>
      <c r="J26" s="747"/>
      <c r="K26" s="747"/>
      <c r="L26" s="747"/>
      <c r="M26" s="750"/>
    </row>
    <row r="27" spans="2:13" s="1670" customFormat="1" ht="18" customHeight="1" x14ac:dyDescent="0.3">
      <c r="B27" s="835"/>
      <c r="C27" s="747"/>
      <c r="D27" s="743"/>
      <c r="E27" s="747"/>
      <c r="F27" s="743"/>
      <c r="G27" s="747"/>
      <c r="H27" s="747"/>
      <c r="I27" s="747"/>
      <c r="J27" s="747"/>
      <c r="K27" s="747"/>
      <c r="L27" s="747"/>
      <c r="M27" s="750"/>
    </row>
    <row r="28" spans="2:13" s="1670" customFormat="1" ht="18" customHeight="1" x14ac:dyDescent="0.3">
      <c r="B28" s="835"/>
      <c r="C28" s="747"/>
      <c r="D28" s="743"/>
      <c r="E28" s="747"/>
      <c r="F28" s="743"/>
      <c r="G28" s="747"/>
      <c r="H28" s="747"/>
      <c r="I28" s="747"/>
      <c r="J28" s="747"/>
      <c r="K28" s="747"/>
      <c r="L28" s="747"/>
      <c r="M28" s="750"/>
    </row>
    <row r="29" spans="2:13" s="1670" customFormat="1" ht="18" customHeight="1" x14ac:dyDescent="0.3">
      <c r="B29" s="835"/>
      <c r="C29" s="747"/>
      <c r="D29" s="743"/>
      <c r="E29" s="747"/>
      <c r="F29" s="743"/>
      <c r="G29" s="747"/>
      <c r="H29" s="747"/>
      <c r="I29" s="747"/>
      <c r="J29" s="747"/>
      <c r="K29" s="747"/>
      <c r="L29" s="747"/>
      <c r="M29" s="750"/>
    </row>
    <row r="30" spans="2:13" s="1670" customFormat="1" ht="18" customHeight="1" x14ac:dyDescent="0.3">
      <c r="B30" s="835"/>
      <c r="C30" s="747"/>
      <c r="D30" s="743"/>
      <c r="E30" s="747"/>
      <c r="F30" s="743"/>
      <c r="G30" s="747"/>
      <c r="H30" s="747"/>
      <c r="I30" s="747"/>
      <c r="J30" s="747"/>
      <c r="K30" s="747"/>
      <c r="L30" s="747"/>
      <c r="M30" s="750"/>
    </row>
    <row r="31" spans="2:13" x14ac:dyDescent="0.3">
      <c r="B31" s="835"/>
      <c r="C31" s="746"/>
      <c r="D31" s="743"/>
      <c r="E31" s="746"/>
      <c r="F31" s="743"/>
      <c r="G31" s="746"/>
      <c r="H31" s="746"/>
      <c r="I31" s="746"/>
      <c r="J31" s="746"/>
      <c r="K31" s="746"/>
      <c r="L31" s="746"/>
      <c r="M31" s="749"/>
    </row>
    <row r="32" spans="2:13" x14ac:dyDescent="0.3">
      <c r="B32" s="835"/>
      <c r="C32" s="746"/>
      <c r="D32" s="743"/>
      <c r="E32" s="746"/>
      <c r="F32" s="743"/>
      <c r="G32" s="746"/>
      <c r="H32" s="746"/>
      <c r="I32" s="746"/>
      <c r="J32" s="746"/>
      <c r="K32" s="746"/>
      <c r="L32" s="746"/>
      <c r="M32" s="749"/>
    </row>
    <row r="33" spans="2:13" x14ac:dyDescent="0.3">
      <c r="B33" s="835"/>
      <c r="C33" s="749"/>
      <c r="D33" s="743"/>
      <c r="E33" s="749"/>
      <c r="F33" s="743"/>
      <c r="G33" s="749"/>
      <c r="H33" s="749"/>
      <c r="I33" s="749"/>
      <c r="J33" s="749"/>
      <c r="K33" s="749"/>
      <c r="L33" s="749"/>
      <c r="M33" s="749"/>
    </row>
    <row r="34" spans="2:13" x14ac:dyDescent="0.3">
      <c r="B34" s="835"/>
      <c r="D34" s="743"/>
      <c r="E34" s="745"/>
      <c r="F34" s="743"/>
    </row>
  </sheetData>
  <conditionalFormatting sqref="A2">
    <cfRule type="expression" dxfId="100" priority="23">
      <formula>(A2="")</formula>
    </cfRule>
  </conditionalFormatting>
  <conditionalFormatting sqref="L2:O2">
    <cfRule type="expression" dxfId="99" priority="22">
      <formula>OR(L2=0,L2="")</formula>
    </cfRule>
  </conditionalFormatting>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003397"/>
  </sheetPr>
  <dimension ref="A1:W126"/>
  <sheetViews>
    <sheetView showGridLines="0" workbookViewId="0">
      <selection activeCell="R21" sqref="R21"/>
    </sheetView>
  </sheetViews>
  <sheetFormatPr defaultColWidth="9.109375" defaultRowHeight="14.4" x14ac:dyDescent="0.3"/>
  <cols>
    <col min="1" max="1" width="28.33203125" style="272" customWidth="1"/>
    <col min="2" max="2" width="28.44140625" style="272" customWidth="1"/>
    <col min="3" max="3" width="8.6640625" style="272" customWidth="1"/>
    <col min="4" max="4" width="9.6640625" style="272" customWidth="1"/>
    <col min="5" max="5" width="9.6640625" style="749" customWidth="1"/>
    <col min="6" max="10" width="9.6640625" style="272" customWidth="1"/>
    <col min="11" max="11" width="8.88671875"/>
    <col min="12" max="12" width="9.109375" style="270"/>
    <col min="13" max="13" width="9.6640625" style="749" customWidth="1"/>
    <col min="14" max="14" width="9.109375" style="745"/>
    <col min="15" max="16" width="8.88671875"/>
    <col min="17" max="17" width="9.109375" style="745"/>
    <col min="18" max="23" width="8.88671875" customWidth="1"/>
    <col min="24" max="16384" width="9.109375" style="272"/>
  </cols>
  <sheetData>
    <row r="1" spans="1:18" ht="50.25" customHeight="1" x14ac:dyDescent="0.3">
      <c r="A1" s="1247" t="s">
        <v>100</v>
      </c>
      <c r="B1" s="1247" t="s">
        <v>9</v>
      </c>
      <c r="C1" s="1247" t="s">
        <v>584</v>
      </c>
      <c r="D1" s="1247" t="s">
        <v>585</v>
      </c>
      <c r="E1" s="1247" t="s">
        <v>586</v>
      </c>
      <c r="F1" s="1247" t="s">
        <v>587</v>
      </c>
      <c r="G1" s="1247" t="s">
        <v>588</v>
      </c>
      <c r="H1" s="1247" t="s">
        <v>589</v>
      </c>
      <c r="I1" s="1247" t="s">
        <v>590</v>
      </c>
      <c r="J1" s="1247" t="s">
        <v>591</v>
      </c>
      <c r="K1" s="1247" t="s">
        <v>592</v>
      </c>
      <c r="L1" s="1247" t="s">
        <v>593</v>
      </c>
      <c r="M1" s="1247" t="s">
        <v>1051</v>
      </c>
      <c r="N1" s="1247" t="s">
        <v>1052</v>
      </c>
      <c r="P1" s="1002" t="s">
        <v>1168</v>
      </c>
      <c r="Q1" s="1002" t="s">
        <v>747</v>
      </c>
    </row>
    <row r="2" spans="1:18" s="18" customFormat="1" ht="15.9" customHeight="1" x14ac:dyDescent="0.3">
      <c r="A2" s="1471" t="str">
        <f>IF(P2=0,TEXT(0,"0"),'5  Control Accounts'!$BF29&amp;"."&amp;'5  Control Accounts'!BH29)</f>
        <v>0</v>
      </c>
      <c r="B2" s="1471" t="str">
        <f>IF(P2=0,TEXT(0,"0"),TEXT('5  Control Accounts'!FB29,"General"))</f>
        <v>0</v>
      </c>
      <c r="C2" s="1471" t="str">
        <f>IF(P2=0,TEXT(0,"0"),"N")</f>
        <v>0</v>
      </c>
      <c r="D2" s="1472" t="str">
        <f>"0"</f>
        <v>0</v>
      </c>
      <c r="E2" s="1473" t="str">
        <f>IF(P2=0,"0",TEXT('5  Control Accounts'!BD29,"General"))</f>
        <v>0</v>
      </c>
      <c r="F2" s="1471" t="str">
        <f>TEXT('5  Control Accounts'!DF29,"0")</f>
        <v>JHM10</v>
      </c>
      <c r="G2" s="1471" t="str">
        <f>TEXT('5  Control Accounts'!DI29,"0")</f>
        <v>JRM7</v>
      </c>
      <c r="H2" s="1471" t="str">
        <f>TEXT('5  Control Accounts'!CZ29,"0")</f>
        <v>0</v>
      </c>
      <c r="I2" s="1471" t="str">
        <f>TEXT('5  Control Accounts'!DL29,"0")</f>
        <v>CHM07</v>
      </c>
      <c r="J2" s="1471" t="str">
        <f>TEXT('5  Control Accounts'!DO29,"0")</f>
        <v>CRM7</v>
      </c>
      <c r="K2" s="1471" t="str">
        <f>TEXT('5  Control Accounts'!DC29,"0")</f>
        <v>0</v>
      </c>
      <c r="L2" s="1471" t="str">
        <f>TEXT('5  Control Accounts'!DS29,"0")</f>
        <v>PLN</v>
      </c>
      <c r="M2" s="1471" t="str">
        <f>TEXT('5  Control Accounts'!FQ29,"0.00")</f>
        <v>0.00</v>
      </c>
      <c r="N2" s="1471" t="str">
        <f>"0"</f>
        <v>0</v>
      </c>
      <c r="P2" s="1003">
        <f>'5  Control Accounts'!CP29</f>
        <v>0</v>
      </c>
      <c r="Q2" s="1003" t="s">
        <v>141</v>
      </c>
      <c r="R2" s="745"/>
    </row>
    <row r="3" spans="1:18" s="750" customFormat="1" ht="15.9" customHeight="1" x14ac:dyDescent="0.3">
      <c r="A3" s="1474" t="str">
        <f>IF(P3=0,TEXT(0,"0"),'5  Control Accounts'!$BF30&amp;"."&amp;'5  Control Accounts'!BH30)</f>
        <v>0</v>
      </c>
      <c r="B3" s="1474" t="str">
        <f>IF(P3=0,TEXT(0,"0"),TEXT('5  Control Accounts'!FB30,"General"))</f>
        <v>0</v>
      </c>
      <c r="C3" s="1474" t="str">
        <f>IF(P3=0,TEXT(0,"0"),"N")</f>
        <v>0</v>
      </c>
      <c r="D3" s="1475" t="str">
        <f t="shared" ref="D3:D65" si="0">"0"</f>
        <v>0</v>
      </c>
      <c r="E3" s="1474" t="str">
        <f>IF(P3=0,"0",TEXT('5  Control Accounts'!BD30,"General"))</f>
        <v>0</v>
      </c>
      <c r="F3" s="1474" t="str">
        <f>TEXT('5  Control Accounts'!DF30,"0")</f>
        <v>0</v>
      </c>
      <c r="G3" s="1474" t="str">
        <f>TEXT('5  Control Accounts'!DI30,"0")</f>
        <v>0</v>
      </c>
      <c r="H3" s="1474" t="str">
        <f>TEXT('5  Control Accounts'!CZ30,"0")</f>
        <v>JCM4</v>
      </c>
      <c r="I3" s="1474" t="str">
        <f>TEXT('5  Control Accounts'!DL30,"0")</f>
        <v>0</v>
      </c>
      <c r="J3" s="1474" t="str">
        <f>TEXT('5  Control Accounts'!DO30,"0")</f>
        <v>0</v>
      </c>
      <c r="K3" s="1474" t="str">
        <f>TEXT('5  Control Accounts'!DC30,"0")</f>
        <v>CCM4</v>
      </c>
      <c r="L3" s="1474" t="str">
        <f>TEXT('5  Control Accounts'!DS30,"0")</f>
        <v>PLN</v>
      </c>
      <c r="M3" s="1474" t="str">
        <f>"0"</f>
        <v>0</v>
      </c>
      <c r="N3" s="1474" t="str">
        <f>TEXT('5  Control Accounts'!FU30,"0.00")</f>
        <v>0.00</v>
      </c>
      <c r="P3" s="1003">
        <f>'5  Control Accounts'!CP30</f>
        <v>0</v>
      </c>
      <c r="Q3" s="1003" t="s">
        <v>142</v>
      </c>
      <c r="R3" s="1356"/>
    </row>
    <row r="4" spans="1:18" s="18" customFormat="1" ht="15.9" customHeight="1" x14ac:dyDescent="0.3">
      <c r="A4" s="1474" t="str">
        <f>IF(P4=0,TEXT(0,"0"),'5  Control Accounts'!$BF31&amp;"."&amp;'5  Control Accounts'!BH31)</f>
        <v>0</v>
      </c>
      <c r="B4" s="1474" t="str">
        <f>IF(P4=0,TEXT(0,"0"),TEXT('5  Control Accounts'!FB31,"General"))</f>
        <v>0</v>
      </c>
      <c r="C4" s="1474" t="str">
        <f t="shared" ref="C4:C66" si="1">IF(P4=0,TEXT(0,"0"),"N")</f>
        <v>0</v>
      </c>
      <c r="D4" s="1475" t="str">
        <f t="shared" si="0"/>
        <v>0</v>
      </c>
      <c r="E4" s="1474" t="str">
        <f>IF(P4=0,"0",TEXT('5  Control Accounts'!BD31,"General"))</f>
        <v>0</v>
      </c>
      <c r="F4" s="1474" t="str">
        <f>TEXT('5  Control Accounts'!DF31,"0")</f>
        <v>0</v>
      </c>
      <c r="G4" s="1474" t="str">
        <f>TEXT('5  Control Accounts'!DI31,"0")</f>
        <v>0</v>
      </c>
      <c r="H4" s="1474" t="str">
        <f>TEXT('5  Control Accounts'!CZ31,"0")</f>
        <v>0</v>
      </c>
      <c r="I4" s="1474" t="str">
        <f>TEXT('5  Control Accounts'!DL31,"0")</f>
        <v>0</v>
      </c>
      <c r="J4" s="1474" t="str">
        <f>TEXT('5  Control Accounts'!DO31,"0")</f>
        <v>0</v>
      </c>
      <c r="K4" s="1474" t="str">
        <f>TEXT('5  Control Accounts'!DC31,"0")</f>
        <v>CCM4</v>
      </c>
      <c r="L4" s="1474" t="str">
        <f>TEXT('5  Control Accounts'!DS31,"0")</f>
        <v>PLN</v>
      </c>
      <c r="M4" s="1474" t="str">
        <f t="shared" ref="M4:N6" si="2">"0"</f>
        <v>0</v>
      </c>
      <c r="N4" s="1474" t="str">
        <f>"0"</f>
        <v>0</v>
      </c>
      <c r="P4" s="1003">
        <f>'5  Control Accounts'!CP31</f>
        <v>0</v>
      </c>
      <c r="Q4" s="1003" t="s">
        <v>143</v>
      </c>
      <c r="R4" s="745"/>
    </row>
    <row r="5" spans="1:18" s="18" customFormat="1" ht="15.9" customHeight="1" x14ac:dyDescent="0.3">
      <c r="A5" s="1474" t="str">
        <f>IF(P5=0,TEXT(0,"0"),'5  Control Accounts'!$BF32&amp;"."&amp;'5  Control Accounts'!BH32)</f>
        <v>0</v>
      </c>
      <c r="B5" s="1473" t="str">
        <f>IF(P5=0,TEXT(0,"0"),TEXT('5  Control Accounts'!FB32,"General"))</f>
        <v>0</v>
      </c>
      <c r="C5" s="1474" t="str">
        <f t="shared" si="1"/>
        <v>0</v>
      </c>
      <c r="D5" s="1475" t="str">
        <f t="shared" si="0"/>
        <v>0</v>
      </c>
      <c r="E5" s="1474" t="str">
        <f>IF(P5=0,"0",TEXT('5  Control Accounts'!BD32,"General"))</f>
        <v>0</v>
      </c>
      <c r="F5" s="1473" t="str">
        <f>TEXT('5  Control Accounts'!DF32,"0")</f>
        <v>0</v>
      </c>
      <c r="G5" s="1473" t="str">
        <f>TEXT('5  Control Accounts'!DI32,"0")</f>
        <v>0</v>
      </c>
      <c r="H5" s="1474" t="str">
        <f>TEXT('5  Control Accounts'!CZ32,"0")</f>
        <v>0</v>
      </c>
      <c r="I5" s="1474" t="str">
        <f>TEXT('5  Control Accounts'!DL32,"0")</f>
        <v>0</v>
      </c>
      <c r="J5" s="1473" t="str">
        <f>TEXT('5  Control Accounts'!DO32,"0")</f>
        <v>0</v>
      </c>
      <c r="K5" s="1473" t="str">
        <f>TEXT('5  Control Accounts'!DC32,"0")</f>
        <v>CCM4</v>
      </c>
      <c r="L5" s="1473" t="str">
        <f>TEXT('5  Control Accounts'!DS32,"0")</f>
        <v>PLN</v>
      </c>
      <c r="M5" s="1473" t="str">
        <f t="shared" si="2"/>
        <v>0</v>
      </c>
      <c r="N5" s="1473" t="str">
        <f t="shared" si="2"/>
        <v>0</v>
      </c>
      <c r="P5" s="1003">
        <f>'5  Control Accounts'!CP32</f>
        <v>0</v>
      </c>
      <c r="Q5" s="1003" t="s">
        <v>144</v>
      </c>
      <c r="R5" s="745"/>
    </row>
    <row r="6" spans="1:18" s="18" customFormat="1" ht="15.9" customHeight="1" thickBot="1" x14ac:dyDescent="0.35">
      <c r="A6" s="1476" t="str">
        <f>IF(P6=0,TEXT(0,"0"),'5  Control Accounts'!$BF33&amp;"."&amp;'5  Control Accounts'!BH33)</f>
        <v>B23672.05.B.PN.CMP.C.C</v>
      </c>
      <c r="B6" s="1476" t="str">
        <f>IF(P6=0,TEXT(0,"0"),TEXT('5  Control Accounts'!FB33,"General"))</f>
        <v>PC ALLOCATION</v>
      </c>
      <c r="C6" s="1476" t="str">
        <f t="shared" si="1"/>
        <v>N</v>
      </c>
      <c r="D6" s="1477" t="str">
        <f t="shared" si="0"/>
        <v>0</v>
      </c>
      <c r="E6" s="1476" t="str">
        <f>IF(P6=0,"0",TEXT('5  Control Accounts'!BD33,"General"))</f>
        <v>Non-Labor</v>
      </c>
      <c r="F6" s="1476" t="str">
        <f>TEXT('5  Control Accounts'!DF33,"0")</f>
        <v>0</v>
      </c>
      <c r="G6" s="1476" t="str">
        <f>TEXT('5  Control Accounts'!DI33,"0")</f>
        <v>0</v>
      </c>
      <c r="H6" s="1476" t="str">
        <f>TEXT('5  Control Accounts'!CZ33,"0")</f>
        <v>JCM4</v>
      </c>
      <c r="I6" s="1476" t="str">
        <f>TEXT('5  Control Accounts'!DL33,"0")</f>
        <v>0</v>
      </c>
      <c r="J6" s="1476" t="str">
        <f>TEXT('5  Control Accounts'!DO33,"0")</f>
        <v>0</v>
      </c>
      <c r="K6" s="1476" t="str">
        <f>TEXT('5  Control Accounts'!DC33,"0")</f>
        <v>0</v>
      </c>
      <c r="L6" s="1476" t="str">
        <f>TEXT('5  Control Accounts'!DS33,"0")</f>
        <v>PCT</v>
      </c>
      <c r="M6" s="1476" t="str">
        <f t="shared" si="2"/>
        <v>0</v>
      </c>
      <c r="N6" s="1476" t="str">
        <f t="shared" si="2"/>
        <v>0</v>
      </c>
      <c r="P6" s="1005">
        <f>'5  Control Accounts'!CP33</f>
        <v>1</v>
      </c>
      <c r="Q6" s="1005" t="s">
        <v>145</v>
      </c>
    </row>
    <row r="7" spans="1:18" s="18" customFormat="1" ht="15.9" customHeight="1" thickTop="1" x14ac:dyDescent="0.3">
      <c r="A7" s="961" t="str">
        <f ca="1">IF(P7=0,TEXT(0,"0"),OFFSET('5  Control Accounts'!$BF$33,Q7,0)&amp;"."&amp;OFFSET('5  Control Accounts'!$BH$33,Q7,0))</f>
        <v>0</v>
      </c>
      <c r="B7" s="961" t="str">
        <f ca="1">IF(P7=0,TEXT(0,"0"),TEXT(OFFSET('5  Control Accounts'!$FB$33,Q7,0),"General"))</f>
        <v>0</v>
      </c>
      <c r="C7" s="961" t="str">
        <f t="shared" ca="1" si="1"/>
        <v>0</v>
      </c>
      <c r="D7" s="1405" t="str">
        <f t="shared" si="0"/>
        <v>0</v>
      </c>
      <c r="E7" s="961" t="str">
        <f ca="1">IF(P7=0,TEXT(0,"0"),TEXT(OFFSET('5  Control Accounts'!$BD$33,Q7,0),"General"))</f>
        <v>0</v>
      </c>
      <c r="F7" s="961" t="str">
        <f ca="1">TEXT(OFFSET('5  Control Accounts'!$DF$33,Q7,0),"0")</f>
        <v>0</v>
      </c>
      <c r="G7" s="961" t="str">
        <f ca="1">TEXT(OFFSET('5  Control Accounts'!$DI$33,Q7,0),"0")</f>
        <v>0</v>
      </c>
      <c r="H7" s="961" t="str">
        <f ca="1">TEXT(OFFSET('5  Control Accounts'!$CZ$33,Q7,0),"0")</f>
        <v>0</v>
      </c>
      <c r="I7" s="961" t="str">
        <f ca="1">TEXT(OFFSET('5  Control Accounts'!$DL$33,Q7,0),"0")</f>
        <v>0</v>
      </c>
      <c r="J7" s="961" t="str">
        <f ca="1">TEXT(OFFSET('5  Control Accounts'!$DO$33,Q7,0),"0")</f>
        <v>0</v>
      </c>
      <c r="K7" s="961" t="str">
        <f ca="1">TEXT(OFFSET('5  Control Accounts'!$DC$33,Q7,0),"0")</f>
        <v>0</v>
      </c>
      <c r="L7" s="961" t="str">
        <f ca="1">TEXT(OFFSET('5  Control Accounts'!$DS$33,Q7,0),"0")</f>
        <v>0</v>
      </c>
      <c r="M7" s="961" t="str">
        <f ca="1">TEXT(OFFSET('5  Control Accounts'!$FQ$33,Q7,0),"0.00")</f>
        <v>0.00</v>
      </c>
      <c r="N7" s="961" t="str">
        <f ca="1">TEXT(OFFSET('5  Control Accounts'!$FU$33,Q7,0),"0.00")</f>
        <v>0.00</v>
      </c>
      <c r="P7" s="1004">
        <f ca="1">OFFSET('5  Control Accounts'!$CP$33,Q7,0)</f>
        <v>0</v>
      </c>
      <c r="Q7" s="1004">
        <v>1</v>
      </c>
    </row>
    <row r="8" spans="1:18" s="18" customFormat="1" ht="15.9" customHeight="1" x14ac:dyDescent="0.3">
      <c r="A8" s="961" t="str">
        <f ca="1">IF(P8=0,TEXT(0,"0"),OFFSET('5  Control Accounts'!$BF$33,Q8,0)&amp;"."&amp;OFFSET('5  Control Accounts'!$BH$33,Q8,0))</f>
        <v>0</v>
      </c>
      <c r="B8" s="961" t="str">
        <f ca="1">IF(P8=0,TEXT(0,"0"),TEXT(OFFSET('5  Control Accounts'!$FB$33,Q8,0),"General"))</f>
        <v>0</v>
      </c>
      <c r="C8" s="961" t="str">
        <f t="shared" ca="1" si="1"/>
        <v>0</v>
      </c>
      <c r="D8" s="1405" t="str">
        <f t="shared" si="0"/>
        <v>0</v>
      </c>
      <c r="E8" s="961" t="str">
        <f ca="1">IF(P8=0,TEXT(0,"0"),TEXT(OFFSET('5  Control Accounts'!$BD$33,Q8,0),"General"))</f>
        <v>0</v>
      </c>
      <c r="F8" s="961" t="str">
        <f ca="1">TEXT(OFFSET('5  Control Accounts'!$DF$33,Q8,0),"0")</f>
        <v>0</v>
      </c>
      <c r="G8" s="961" t="str">
        <f ca="1">TEXT(OFFSET('5  Control Accounts'!$DI$33,Q8,0),"0")</f>
        <v>0</v>
      </c>
      <c r="H8" s="961" t="str">
        <f ca="1">TEXT(OFFSET('5  Control Accounts'!$CZ$33,Q8,0),"0")</f>
        <v>0</v>
      </c>
      <c r="I8" s="961" t="str">
        <f ca="1">TEXT(OFFSET('5  Control Accounts'!$DL$33,Q8,0),"0")</f>
        <v>0</v>
      </c>
      <c r="J8" s="961" t="str">
        <f ca="1">TEXT(OFFSET('5  Control Accounts'!$DO$33,Q8,0),"0")</f>
        <v>0</v>
      </c>
      <c r="K8" s="961" t="str">
        <f ca="1">TEXT(OFFSET('5  Control Accounts'!$DC$33,Q8,0),"0")</f>
        <v>0</v>
      </c>
      <c r="L8" s="961" t="str">
        <f ca="1">TEXT(OFFSET('5  Control Accounts'!$DS$33,Q8,0),"0")</f>
        <v>0</v>
      </c>
      <c r="M8" s="961" t="str">
        <f ca="1">TEXT(OFFSET('5  Control Accounts'!$FQ$33,Q8,0),"0.00")</f>
        <v>0.00</v>
      </c>
      <c r="N8" s="961" t="str">
        <f ca="1">TEXT(OFFSET('5  Control Accounts'!$FU$33,Q8,0),"0.00")</f>
        <v>0.00</v>
      </c>
      <c r="P8" s="537">
        <f ca="1">OFFSET('5  Control Accounts'!$CP$33,Q8,0)</f>
        <v>0</v>
      </c>
      <c r="Q8" s="537">
        <v>2</v>
      </c>
    </row>
    <row r="9" spans="1:18" s="18" customFormat="1" ht="15.9" customHeight="1" x14ac:dyDescent="0.3">
      <c r="A9" s="961" t="str">
        <f ca="1">IF(P9=0,TEXT(0,"0"),OFFSET('5  Control Accounts'!$BF$33,Q9,0)&amp;"."&amp;OFFSET('5  Control Accounts'!$BH$33,Q9,0))</f>
        <v>0</v>
      </c>
      <c r="B9" s="961" t="str">
        <f ca="1">IF(P9=0,TEXT(0,"0"),TEXT(OFFSET('5  Control Accounts'!$FB$33,Q9,0),"General"))</f>
        <v>0</v>
      </c>
      <c r="C9" s="961" t="str">
        <f t="shared" ca="1" si="1"/>
        <v>0</v>
      </c>
      <c r="D9" s="1405" t="str">
        <f t="shared" si="0"/>
        <v>0</v>
      </c>
      <c r="E9" s="961" t="str">
        <f ca="1">IF(P9=0,TEXT(0,"0"),TEXT(OFFSET('5  Control Accounts'!$BD$33,Q9,0),"General"))</f>
        <v>0</v>
      </c>
      <c r="F9" s="961" t="str">
        <f ca="1">TEXT(OFFSET('5  Control Accounts'!$DF$33,Q9,0),"0")</f>
        <v>0</v>
      </c>
      <c r="G9" s="961" t="str">
        <f ca="1">TEXT(OFFSET('5  Control Accounts'!$DI$33,Q9,0),"0")</f>
        <v>0</v>
      </c>
      <c r="H9" s="961" t="str">
        <f ca="1">TEXT(OFFSET('5  Control Accounts'!$CZ$33,Q9,0),"0")</f>
        <v>0</v>
      </c>
      <c r="I9" s="961" t="str">
        <f ca="1">TEXT(OFFSET('5  Control Accounts'!$DL$33,Q9,0),"0")</f>
        <v>0</v>
      </c>
      <c r="J9" s="961" t="str">
        <f ca="1">TEXT(OFFSET('5  Control Accounts'!$DO$33,Q9,0),"0")</f>
        <v>0</v>
      </c>
      <c r="K9" s="961" t="str">
        <f ca="1">TEXT(OFFSET('5  Control Accounts'!$DC$33,Q9,0),"0")</f>
        <v>0</v>
      </c>
      <c r="L9" s="961" t="str">
        <f ca="1">TEXT(OFFSET('5  Control Accounts'!$DS$33,Q9,0),"0")</f>
        <v>0</v>
      </c>
      <c r="M9" s="961" t="str">
        <f ca="1">TEXT(OFFSET('5  Control Accounts'!$FQ$33,Q9,0),"0.00")</f>
        <v>0.00</v>
      </c>
      <c r="N9" s="961" t="str">
        <f ca="1">TEXT(OFFSET('5  Control Accounts'!$FU$33,Q9,0),"0.00")</f>
        <v>0.00</v>
      </c>
      <c r="P9" s="537">
        <f ca="1">OFFSET('5  Control Accounts'!$CP$33,Q9,0)</f>
        <v>0</v>
      </c>
      <c r="Q9" s="537">
        <v>3</v>
      </c>
    </row>
    <row r="10" spans="1:18" s="18" customFormat="1" ht="15.9" customHeight="1" x14ac:dyDescent="0.3">
      <c r="A10" s="961" t="str">
        <f ca="1">IF(P10=0,TEXT(0,"0"),OFFSET('5  Control Accounts'!$BF$33,Q10,0)&amp;"."&amp;OFFSET('5  Control Accounts'!$BH$33,Q10,0))</f>
        <v>0</v>
      </c>
      <c r="B10" s="961" t="str">
        <f ca="1">IF(P10=0,TEXT(0,"0"),TEXT(OFFSET('5  Control Accounts'!$FB$33,Q10,0),"General"))</f>
        <v>0</v>
      </c>
      <c r="C10" s="961" t="str">
        <f t="shared" ca="1" si="1"/>
        <v>0</v>
      </c>
      <c r="D10" s="1405" t="str">
        <f t="shared" si="0"/>
        <v>0</v>
      </c>
      <c r="E10" s="961" t="str">
        <f ca="1">IF(P10=0,TEXT(0,"0"),TEXT(OFFSET('5  Control Accounts'!$BD$33,Q10,0),"General"))</f>
        <v>0</v>
      </c>
      <c r="F10" s="961" t="str">
        <f ca="1">TEXT(OFFSET('5  Control Accounts'!$DF$33,Q10,0),"0")</f>
        <v>0</v>
      </c>
      <c r="G10" s="961" t="str">
        <f ca="1">TEXT(OFFSET('5  Control Accounts'!$DI$33,Q10,0),"0")</f>
        <v>0</v>
      </c>
      <c r="H10" s="961" t="str">
        <f ca="1">TEXT(OFFSET('5  Control Accounts'!$CZ$33,Q10,0),"0")</f>
        <v>0</v>
      </c>
      <c r="I10" s="961" t="str">
        <f ca="1">TEXT(OFFSET('5  Control Accounts'!$DL$33,Q10,0),"0")</f>
        <v>0</v>
      </c>
      <c r="J10" s="961" t="str">
        <f ca="1">TEXT(OFFSET('5  Control Accounts'!$DO$33,Q10,0),"0")</f>
        <v>0</v>
      </c>
      <c r="K10" s="961" t="str">
        <f ca="1">TEXT(OFFSET('5  Control Accounts'!$DC$33,Q10,0),"0")</f>
        <v>0</v>
      </c>
      <c r="L10" s="961" t="str">
        <f ca="1">TEXT(OFFSET('5  Control Accounts'!$DS$33,Q10,0),"0")</f>
        <v>0</v>
      </c>
      <c r="M10" s="961" t="str">
        <f ca="1">TEXT(OFFSET('5  Control Accounts'!$FQ$33,Q10,0),"0.00")</f>
        <v>0.00</v>
      </c>
      <c r="N10" s="961" t="str">
        <f ca="1">TEXT(OFFSET('5  Control Accounts'!$FU$33,Q10,0),"0.00")</f>
        <v>0.00</v>
      </c>
      <c r="P10" s="537">
        <f ca="1">OFFSET('5  Control Accounts'!$CP$33,Q10,0)</f>
        <v>0</v>
      </c>
      <c r="Q10" s="537">
        <v>4</v>
      </c>
    </row>
    <row r="11" spans="1:18" s="18" customFormat="1" ht="15.9" customHeight="1" x14ac:dyDescent="0.3">
      <c r="A11" s="961" t="str">
        <f ca="1">IF(P11=0,TEXT(0,"0"),OFFSET('5  Control Accounts'!$BF$33,Q11,0)&amp;"."&amp;OFFSET('5  Control Accounts'!$BH$33,Q11,0))</f>
        <v>0</v>
      </c>
      <c r="B11" s="961" t="str">
        <f ca="1">IF(P11=0,TEXT(0,"0"),TEXT(OFFSET('5  Control Accounts'!$FB$33,Q11,0),"General"))</f>
        <v>0</v>
      </c>
      <c r="C11" s="961" t="str">
        <f t="shared" ca="1" si="1"/>
        <v>0</v>
      </c>
      <c r="D11" s="1405" t="str">
        <f t="shared" si="0"/>
        <v>0</v>
      </c>
      <c r="E11" s="961" t="str">
        <f ca="1">IF(P11=0,TEXT(0,"0"),TEXT(OFFSET('5  Control Accounts'!$BD$33,Q11,0),"General"))</f>
        <v>0</v>
      </c>
      <c r="F11" s="961" t="str">
        <f ca="1">TEXT(OFFSET('5  Control Accounts'!$DF$33,Q11,0),"0")</f>
        <v>0</v>
      </c>
      <c r="G11" s="961" t="str">
        <f ca="1">TEXT(OFFSET('5  Control Accounts'!$DI$33,Q11,0),"0")</f>
        <v>0</v>
      </c>
      <c r="H11" s="961" t="str">
        <f ca="1">TEXT(OFFSET('5  Control Accounts'!$CZ$33,Q11,0),"0")</f>
        <v>0</v>
      </c>
      <c r="I11" s="961" t="str">
        <f ca="1">TEXT(OFFSET('5  Control Accounts'!$DL$33,Q11,0),"0")</f>
        <v>0</v>
      </c>
      <c r="J11" s="961" t="str">
        <f ca="1">TEXT(OFFSET('5  Control Accounts'!$DO$33,Q11,0),"0")</f>
        <v>0</v>
      </c>
      <c r="K11" s="961" t="str">
        <f ca="1">TEXT(OFFSET('5  Control Accounts'!$DC$33,Q11,0),"0")</f>
        <v>0</v>
      </c>
      <c r="L11" s="961" t="str">
        <f ca="1">TEXT(OFFSET('5  Control Accounts'!$DS$33,Q11,0),"0")</f>
        <v>0</v>
      </c>
      <c r="M11" s="961" t="str">
        <f ca="1">TEXT(OFFSET('5  Control Accounts'!$FQ$33,Q11,0),"0.00")</f>
        <v>0.00</v>
      </c>
      <c r="N11" s="961" t="str">
        <f ca="1">TEXT(OFFSET('5  Control Accounts'!$FU$33,Q11,0),"0.00")</f>
        <v>0.00</v>
      </c>
      <c r="P11" s="537">
        <f ca="1">OFFSET('5  Control Accounts'!$CP$33,Q11,0)</f>
        <v>0</v>
      </c>
      <c r="Q11" s="537">
        <v>5</v>
      </c>
    </row>
    <row r="12" spans="1:18" s="18" customFormat="1" ht="15.9" customHeight="1" x14ac:dyDescent="0.3">
      <c r="A12" s="961" t="str">
        <f ca="1">IF(P12=0,TEXT(0,"0"),OFFSET('5  Control Accounts'!$BF$33,Q12,0)&amp;"."&amp;OFFSET('5  Control Accounts'!$BH$33,Q12,0))</f>
        <v>0</v>
      </c>
      <c r="B12" s="961" t="str">
        <f ca="1">IF(P12=0,TEXT(0,"0"),TEXT(OFFSET('5  Control Accounts'!$FB$33,Q12,0),"General"))</f>
        <v>0</v>
      </c>
      <c r="C12" s="961" t="str">
        <f t="shared" ca="1" si="1"/>
        <v>0</v>
      </c>
      <c r="D12" s="1405" t="str">
        <f t="shared" si="0"/>
        <v>0</v>
      </c>
      <c r="E12" s="961" t="str">
        <f ca="1">IF(P12=0,TEXT(0,"0"),TEXT(OFFSET('5  Control Accounts'!$BD$33,Q12,0),"General"))</f>
        <v>0</v>
      </c>
      <c r="F12" s="961" t="str">
        <f ca="1">TEXT(OFFSET('5  Control Accounts'!$DF$33,Q12,0),"0")</f>
        <v>0</v>
      </c>
      <c r="G12" s="961" t="str">
        <f ca="1">TEXT(OFFSET('5  Control Accounts'!$DI$33,Q12,0),"0")</f>
        <v>0</v>
      </c>
      <c r="H12" s="961" t="str">
        <f ca="1">TEXT(OFFSET('5  Control Accounts'!$CZ$33,Q12,0),"0")</f>
        <v>0</v>
      </c>
      <c r="I12" s="961" t="str">
        <f ca="1">TEXT(OFFSET('5  Control Accounts'!$DL$33,Q12,0),"0")</f>
        <v>0</v>
      </c>
      <c r="J12" s="961" t="str">
        <f ca="1">TEXT(OFFSET('5  Control Accounts'!$DO$33,Q12,0),"0")</f>
        <v>0</v>
      </c>
      <c r="K12" s="961" t="str">
        <f ca="1">TEXT(OFFSET('5  Control Accounts'!$DC$33,Q12,0),"0")</f>
        <v>0</v>
      </c>
      <c r="L12" s="961" t="str">
        <f ca="1">TEXT(OFFSET('5  Control Accounts'!$DS$33,Q12,0),"0")</f>
        <v>0</v>
      </c>
      <c r="M12" s="961" t="str">
        <f ca="1">TEXT(OFFSET('5  Control Accounts'!$FQ$33,Q12,0),"0.00")</f>
        <v>0.00</v>
      </c>
      <c r="N12" s="961" t="str">
        <f ca="1">TEXT(OFFSET('5  Control Accounts'!$FU$33,Q12,0),"0.00")</f>
        <v>0.00</v>
      </c>
      <c r="P12" s="537">
        <f ca="1">OFFSET('5  Control Accounts'!$CP$33,Q12,0)</f>
        <v>0</v>
      </c>
      <c r="Q12" s="537">
        <v>6</v>
      </c>
    </row>
    <row r="13" spans="1:18" s="18" customFormat="1" ht="15.9" customHeight="1" x14ac:dyDescent="0.3">
      <c r="A13" s="961" t="str">
        <f ca="1">IF(P13=0,TEXT(0,"0"),OFFSET('5  Control Accounts'!$BF$33,Q13,0)&amp;"."&amp;OFFSET('5  Control Accounts'!$BH$33,Q13,0))</f>
        <v>0</v>
      </c>
      <c r="B13" s="961" t="str">
        <f ca="1">IF(P13=0,TEXT(0,"0"),TEXT(OFFSET('5  Control Accounts'!$FB$33,Q13,0),"General"))</f>
        <v>0</v>
      </c>
      <c r="C13" s="961" t="str">
        <f t="shared" ca="1" si="1"/>
        <v>0</v>
      </c>
      <c r="D13" s="1405" t="str">
        <f t="shared" si="0"/>
        <v>0</v>
      </c>
      <c r="E13" s="961" t="str">
        <f ca="1">IF(P13=0,TEXT(0,"0"),TEXT(OFFSET('5  Control Accounts'!$BD$33,Q13,0),"General"))</f>
        <v>0</v>
      </c>
      <c r="F13" s="961" t="str">
        <f ca="1">TEXT(OFFSET('5  Control Accounts'!$DF$33,Q13,0),"0")</f>
        <v>0</v>
      </c>
      <c r="G13" s="961" t="str">
        <f ca="1">TEXT(OFFSET('5  Control Accounts'!$DI$33,Q13,0),"0")</f>
        <v>0</v>
      </c>
      <c r="H13" s="961" t="str">
        <f ca="1">TEXT(OFFSET('5  Control Accounts'!$CZ$33,Q13,0),"0")</f>
        <v>0</v>
      </c>
      <c r="I13" s="961" t="str">
        <f ca="1">TEXT(OFFSET('5  Control Accounts'!$DL$33,Q13,0),"0")</f>
        <v>0</v>
      </c>
      <c r="J13" s="961" t="str">
        <f ca="1">TEXT(OFFSET('5  Control Accounts'!$DO$33,Q13,0),"0")</f>
        <v>0</v>
      </c>
      <c r="K13" s="961" t="str">
        <f ca="1">TEXT(OFFSET('5  Control Accounts'!$DC$33,Q13,0),"0")</f>
        <v>0</v>
      </c>
      <c r="L13" s="961" t="str">
        <f ca="1">TEXT(OFFSET('5  Control Accounts'!$DS$33,Q13,0),"0")</f>
        <v>0</v>
      </c>
      <c r="M13" s="961" t="str">
        <f ca="1">TEXT(OFFSET('5  Control Accounts'!$FQ$33,Q13,0),"0.00")</f>
        <v>0.00</v>
      </c>
      <c r="N13" s="961" t="str">
        <f ca="1">TEXT(OFFSET('5  Control Accounts'!$FU$33,Q13,0),"0.00")</f>
        <v>0.00</v>
      </c>
      <c r="P13" s="537">
        <f ca="1">OFFSET('5  Control Accounts'!$CP$33,Q13,0)</f>
        <v>0</v>
      </c>
      <c r="Q13" s="537">
        <v>7</v>
      </c>
    </row>
    <row r="14" spans="1:18" s="18" customFormat="1" ht="15.9" customHeight="1" x14ac:dyDescent="0.3">
      <c r="A14" s="961" t="str">
        <f ca="1">IF(P14=0,TEXT(0,"0"),OFFSET('5  Control Accounts'!$BF$33,Q14,0)&amp;"."&amp;OFFSET('5  Control Accounts'!$BH$33,Q14,0))</f>
        <v>0</v>
      </c>
      <c r="B14" s="961" t="str">
        <f ca="1">IF(P14=0,TEXT(0,"0"),TEXT(OFFSET('5  Control Accounts'!$FB$33,Q14,0),"General"))</f>
        <v>0</v>
      </c>
      <c r="C14" s="961" t="str">
        <f t="shared" ca="1" si="1"/>
        <v>0</v>
      </c>
      <c r="D14" s="1405" t="str">
        <f t="shared" si="0"/>
        <v>0</v>
      </c>
      <c r="E14" s="961" t="str">
        <f ca="1">IF(P14=0,TEXT(0,"0"),TEXT(OFFSET('5  Control Accounts'!$BD$33,Q14,0),"General"))</f>
        <v>0</v>
      </c>
      <c r="F14" s="961" t="str">
        <f ca="1">TEXT(OFFSET('5  Control Accounts'!$DF$33,Q14,0),"0")</f>
        <v>0</v>
      </c>
      <c r="G14" s="961" t="str">
        <f ca="1">TEXT(OFFSET('5  Control Accounts'!$DI$33,Q14,0),"0")</f>
        <v>0</v>
      </c>
      <c r="H14" s="961" t="str">
        <f ca="1">TEXT(OFFSET('5  Control Accounts'!$CZ$33,Q14,0),"0")</f>
        <v>0</v>
      </c>
      <c r="I14" s="961" t="str">
        <f ca="1">TEXT(OFFSET('5  Control Accounts'!$DL$33,Q14,0),"0")</f>
        <v>0</v>
      </c>
      <c r="J14" s="961" t="str">
        <f ca="1">TEXT(OFFSET('5  Control Accounts'!$DO$33,Q14,0),"0")</f>
        <v>0</v>
      </c>
      <c r="K14" s="961" t="str">
        <f ca="1">TEXT(OFFSET('5  Control Accounts'!$DC$33,Q14,0),"0")</f>
        <v>0</v>
      </c>
      <c r="L14" s="961" t="str">
        <f ca="1">TEXT(OFFSET('5  Control Accounts'!$DS$33,Q14,0),"0")</f>
        <v>0</v>
      </c>
      <c r="M14" s="961" t="str">
        <f ca="1">TEXT(OFFSET('5  Control Accounts'!$FQ$33,Q14,0),"0.00")</f>
        <v>0.00</v>
      </c>
      <c r="N14" s="961" t="str">
        <f ca="1">TEXT(OFFSET('5  Control Accounts'!$FU$33,Q14,0),"0.00")</f>
        <v>0.00</v>
      </c>
      <c r="P14" s="537">
        <f ca="1">OFFSET('5  Control Accounts'!$CP$33,Q14,0)</f>
        <v>0</v>
      </c>
      <c r="Q14" s="537">
        <v>8</v>
      </c>
    </row>
    <row r="15" spans="1:18" s="18" customFormat="1" ht="15.9" customHeight="1" x14ac:dyDescent="0.3">
      <c r="A15" s="961" t="str">
        <f ca="1">IF(P15=0,TEXT(0,"0"),OFFSET('5  Control Accounts'!$BF$33,Q15,0)&amp;"."&amp;OFFSET('5  Control Accounts'!$BH$33,Q15,0))</f>
        <v>0</v>
      </c>
      <c r="B15" s="961" t="str">
        <f ca="1">IF(P15=0,TEXT(0,"0"),TEXT(OFFSET('5  Control Accounts'!$FB$33,Q15,0),"General"))</f>
        <v>0</v>
      </c>
      <c r="C15" s="961" t="str">
        <f t="shared" ca="1" si="1"/>
        <v>0</v>
      </c>
      <c r="D15" s="1405" t="str">
        <f t="shared" si="0"/>
        <v>0</v>
      </c>
      <c r="E15" s="961" t="str">
        <f ca="1">IF(P15=0,TEXT(0,"0"),TEXT(OFFSET('5  Control Accounts'!$BD$33,Q15,0),"General"))</f>
        <v>0</v>
      </c>
      <c r="F15" s="961" t="str">
        <f ca="1">TEXT(OFFSET('5  Control Accounts'!$DF$33,Q15,0),"0")</f>
        <v>0</v>
      </c>
      <c r="G15" s="961" t="str">
        <f ca="1">TEXT(OFFSET('5  Control Accounts'!$DI$33,Q15,0),"0")</f>
        <v>0</v>
      </c>
      <c r="H15" s="961" t="str">
        <f ca="1">TEXT(OFFSET('5  Control Accounts'!$CZ$33,Q15,0),"0")</f>
        <v>0</v>
      </c>
      <c r="I15" s="961" t="str">
        <f ca="1">TEXT(OFFSET('5  Control Accounts'!$DL$33,Q15,0),"0")</f>
        <v>0</v>
      </c>
      <c r="J15" s="961" t="str">
        <f ca="1">TEXT(OFFSET('5  Control Accounts'!$DO$33,Q15,0),"0")</f>
        <v>0</v>
      </c>
      <c r="K15" s="961" t="str">
        <f ca="1">TEXT(OFFSET('5  Control Accounts'!$DC$33,Q15,0),"0")</f>
        <v>0</v>
      </c>
      <c r="L15" s="961" t="str">
        <f ca="1">TEXT(OFFSET('5  Control Accounts'!$DS$33,Q15,0),"0")</f>
        <v>0</v>
      </c>
      <c r="M15" s="961" t="str">
        <f ca="1">TEXT(OFFSET('5  Control Accounts'!$FQ$33,Q15,0),"0.00")</f>
        <v>0.00</v>
      </c>
      <c r="N15" s="961" t="str">
        <f ca="1">TEXT(OFFSET('5  Control Accounts'!$FU$33,Q15,0),"0.00")</f>
        <v>0.00</v>
      </c>
      <c r="P15" s="537">
        <f ca="1">OFFSET('5  Control Accounts'!$CP$33,Q15,0)</f>
        <v>0</v>
      </c>
      <c r="Q15" s="537">
        <v>9</v>
      </c>
    </row>
    <row r="16" spans="1:18" s="18" customFormat="1" ht="15.9" customHeight="1" x14ac:dyDescent="0.3">
      <c r="A16" s="961" t="str">
        <f ca="1">IF(P16=0,TEXT(0,"0"),OFFSET('5  Control Accounts'!$BF$33,Q16,0)&amp;"."&amp;OFFSET('5  Control Accounts'!$BH$33,Q16,0))</f>
        <v>0</v>
      </c>
      <c r="B16" s="961" t="str">
        <f ca="1">IF(P16=0,TEXT(0,"0"),TEXT(OFFSET('5  Control Accounts'!$FB$33,Q16,0),"General"))</f>
        <v>0</v>
      </c>
      <c r="C16" s="961" t="str">
        <f t="shared" ca="1" si="1"/>
        <v>0</v>
      </c>
      <c r="D16" s="1405" t="str">
        <f t="shared" si="0"/>
        <v>0</v>
      </c>
      <c r="E16" s="961" t="str">
        <f ca="1">IF(P16=0,TEXT(0,"0"),TEXT(OFFSET('5  Control Accounts'!$BD$33,Q16,0),"General"))</f>
        <v>0</v>
      </c>
      <c r="F16" s="961" t="str">
        <f ca="1">TEXT(OFFSET('5  Control Accounts'!$DF$33,Q16,0),"0")</f>
        <v>0</v>
      </c>
      <c r="G16" s="961" t="str">
        <f ca="1">TEXT(OFFSET('5  Control Accounts'!$DI$33,Q16,0),"0")</f>
        <v>0</v>
      </c>
      <c r="H16" s="961" t="str">
        <f ca="1">TEXT(OFFSET('5  Control Accounts'!$CZ$33,Q16,0),"0")</f>
        <v>0</v>
      </c>
      <c r="I16" s="961" t="str">
        <f ca="1">TEXT(OFFSET('5  Control Accounts'!$DL$33,Q16,0),"0")</f>
        <v>0</v>
      </c>
      <c r="J16" s="961" t="str">
        <f ca="1">TEXT(OFFSET('5  Control Accounts'!$DO$33,Q16,0),"0")</f>
        <v>0</v>
      </c>
      <c r="K16" s="961" t="str">
        <f ca="1">TEXT(OFFSET('5  Control Accounts'!$DC$33,Q16,0),"0")</f>
        <v>0</v>
      </c>
      <c r="L16" s="961" t="str">
        <f ca="1">TEXT(OFFSET('5  Control Accounts'!$DS$33,Q16,0),"0")</f>
        <v>0</v>
      </c>
      <c r="M16" s="961" t="str">
        <f ca="1">TEXT(OFFSET('5  Control Accounts'!$FQ$33,Q16,0),"0.00")</f>
        <v>0.00</v>
      </c>
      <c r="N16" s="961" t="str">
        <f ca="1">TEXT(OFFSET('5  Control Accounts'!$FU$33,Q16,0),"0.00")</f>
        <v>0.00</v>
      </c>
      <c r="P16" s="537">
        <f ca="1">OFFSET('5  Control Accounts'!$CP$33,Q16,0)</f>
        <v>0</v>
      </c>
      <c r="Q16" s="537">
        <v>10</v>
      </c>
    </row>
    <row r="17" spans="1:17" s="18" customFormat="1" ht="15.9" customHeight="1" x14ac:dyDescent="0.3">
      <c r="A17" s="961" t="str">
        <f ca="1">IF(P17=0,TEXT(0,"0"),OFFSET('5  Control Accounts'!$BF$33,Q17,0)&amp;"."&amp;OFFSET('5  Control Accounts'!$BH$33,Q17,0))</f>
        <v>0</v>
      </c>
      <c r="B17" s="961" t="str">
        <f ca="1">IF(P17=0,TEXT(0,"0"),TEXT(OFFSET('5  Control Accounts'!$FB$33,Q17,0),"General"))</f>
        <v>0</v>
      </c>
      <c r="C17" s="961" t="str">
        <f t="shared" ca="1" si="1"/>
        <v>0</v>
      </c>
      <c r="D17" s="1405" t="str">
        <f t="shared" si="0"/>
        <v>0</v>
      </c>
      <c r="E17" s="961" t="str">
        <f ca="1">IF(P17=0,TEXT(0,"0"),TEXT(OFFSET('5  Control Accounts'!$BD$33,Q17,0),"General"))</f>
        <v>0</v>
      </c>
      <c r="F17" s="961" t="str">
        <f ca="1">TEXT(OFFSET('5  Control Accounts'!$DF$33,Q17,0),"0")</f>
        <v>0</v>
      </c>
      <c r="G17" s="961" t="str">
        <f ca="1">TEXT(OFFSET('5  Control Accounts'!$DI$33,Q17,0),"0")</f>
        <v>0</v>
      </c>
      <c r="H17" s="961" t="str">
        <f ca="1">TEXT(OFFSET('5  Control Accounts'!$CZ$33,Q17,0),"0")</f>
        <v>0</v>
      </c>
      <c r="I17" s="961" t="str">
        <f ca="1">TEXT(OFFSET('5  Control Accounts'!$DL$33,Q17,0),"0")</f>
        <v>0</v>
      </c>
      <c r="J17" s="961" t="str">
        <f ca="1">TEXT(OFFSET('5  Control Accounts'!$DO$33,Q17,0),"0")</f>
        <v>0</v>
      </c>
      <c r="K17" s="961" t="str">
        <f ca="1">TEXT(OFFSET('5  Control Accounts'!$DC$33,Q17,0),"0")</f>
        <v>0</v>
      </c>
      <c r="L17" s="961" t="str">
        <f ca="1">TEXT(OFFSET('5  Control Accounts'!$DS$33,Q17,0),"0")</f>
        <v>0</v>
      </c>
      <c r="M17" s="961" t="str">
        <f ca="1">TEXT(OFFSET('5  Control Accounts'!$FQ$33,Q17,0),"0.00")</f>
        <v>0.00</v>
      </c>
      <c r="N17" s="961" t="str">
        <f ca="1">TEXT(OFFSET('5  Control Accounts'!$FU$33,Q17,0),"0.00")</f>
        <v>0.00</v>
      </c>
      <c r="P17" s="537">
        <f ca="1">OFFSET('5  Control Accounts'!$CP$33,Q17,0)</f>
        <v>0</v>
      </c>
      <c r="Q17" s="537">
        <v>11</v>
      </c>
    </row>
    <row r="18" spans="1:17" s="18" customFormat="1" ht="15.9" customHeight="1" x14ac:dyDescent="0.3">
      <c r="A18" s="961" t="str">
        <f ca="1">IF(P18=0,TEXT(0,"0"),OFFSET('5  Control Accounts'!$BF$33,Q18,0)&amp;"."&amp;OFFSET('5  Control Accounts'!$BH$33,Q18,0))</f>
        <v>0</v>
      </c>
      <c r="B18" s="961" t="str">
        <f ca="1">IF(P18=0,TEXT(0,"0"),TEXT(OFFSET('5  Control Accounts'!$FB$33,Q18,0),"General"))</f>
        <v>0</v>
      </c>
      <c r="C18" s="961" t="str">
        <f t="shared" ca="1" si="1"/>
        <v>0</v>
      </c>
      <c r="D18" s="1405" t="str">
        <f t="shared" si="0"/>
        <v>0</v>
      </c>
      <c r="E18" s="961" t="str">
        <f ca="1">IF(P18=0,TEXT(0,"0"),TEXT(OFFSET('5  Control Accounts'!$BD$33,Q18,0),"General"))</f>
        <v>0</v>
      </c>
      <c r="F18" s="961" t="str">
        <f ca="1">TEXT(OFFSET('5  Control Accounts'!$DF$33,Q18,0),"0")</f>
        <v>0</v>
      </c>
      <c r="G18" s="961" t="str">
        <f ca="1">TEXT(OFFSET('5  Control Accounts'!$DI$33,Q18,0),"0")</f>
        <v>0</v>
      </c>
      <c r="H18" s="961" t="str">
        <f ca="1">TEXT(OFFSET('5  Control Accounts'!$CZ$33,Q18,0),"0")</f>
        <v>0</v>
      </c>
      <c r="I18" s="961" t="str">
        <f ca="1">TEXT(OFFSET('5  Control Accounts'!$DL$33,Q18,0),"0")</f>
        <v>0</v>
      </c>
      <c r="J18" s="961" t="str">
        <f ca="1">TEXT(OFFSET('5  Control Accounts'!$DO$33,Q18,0),"0")</f>
        <v>0</v>
      </c>
      <c r="K18" s="961" t="str">
        <f ca="1">TEXT(OFFSET('5  Control Accounts'!$DC$33,Q18,0),"0")</f>
        <v>0</v>
      </c>
      <c r="L18" s="961" t="str">
        <f ca="1">TEXT(OFFSET('5  Control Accounts'!$DS$33,Q18,0),"0")</f>
        <v>0</v>
      </c>
      <c r="M18" s="961" t="str">
        <f ca="1">TEXT(OFFSET('5  Control Accounts'!$FQ$33,Q18,0),"0.00")</f>
        <v>0.00</v>
      </c>
      <c r="N18" s="961" t="str">
        <f ca="1">TEXT(OFFSET('5  Control Accounts'!$FU$33,Q18,0),"0.00")</f>
        <v>0.00</v>
      </c>
      <c r="P18" s="537">
        <f ca="1">OFFSET('5  Control Accounts'!$CP$33,Q18,0)</f>
        <v>0</v>
      </c>
      <c r="Q18" s="537">
        <v>12</v>
      </c>
    </row>
    <row r="19" spans="1:17" s="18" customFormat="1" ht="15.9" customHeight="1" x14ac:dyDescent="0.3">
      <c r="A19" s="961" t="str">
        <f ca="1">IF(P19=0,TEXT(0,"0"),OFFSET('5  Control Accounts'!$BF$33,Q19,0)&amp;"."&amp;OFFSET('5  Control Accounts'!$BH$33,Q19,0))</f>
        <v>0</v>
      </c>
      <c r="B19" s="961" t="str">
        <f ca="1">IF(P19=0,TEXT(0,"0"),TEXT(OFFSET('5  Control Accounts'!$FB$33,Q19,0),"General"))</f>
        <v>0</v>
      </c>
      <c r="C19" s="961" t="str">
        <f t="shared" ca="1" si="1"/>
        <v>0</v>
      </c>
      <c r="D19" s="1405" t="str">
        <f t="shared" si="0"/>
        <v>0</v>
      </c>
      <c r="E19" s="961" t="str">
        <f ca="1">IF(P19=0,TEXT(0,"0"),TEXT(OFFSET('5  Control Accounts'!$BD$33,Q19,0),"General"))</f>
        <v>0</v>
      </c>
      <c r="F19" s="961" t="str">
        <f ca="1">TEXT(OFFSET('5  Control Accounts'!$DF$33,Q19,0),"0")</f>
        <v>0</v>
      </c>
      <c r="G19" s="961" t="str">
        <f ca="1">TEXT(OFFSET('5  Control Accounts'!$DI$33,Q19,0),"0")</f>
        <v>0</v>
      </c>
      <c r="H19" s="961" t="str">
        <f ca="1">TEXT(OFFSET('5  Control Accounts'!$CZ$33,Q19,0),"0")</f>
        <v>0</v>
      </c>
      <c r="I19" s="961" t="str">
        <f ca="1">TEXT(OFFSET('5  Control Accounts'!$DL$33,Q19,0),"0")</f>
        <v>0</v>
      </c>
      <c r="J19" s="961" t="str">
        <f ca="1">TEXT(OFFSET('5  Control Accounts'!$DO$33,Q19,0),"0")</f>
        <v>0</v>
      </c>
      <c r="K19" s="961" t="str">
        <f ca="1">TEXT(OFFSET('5  Control Accounts'!$DC$33,Q19,0),"0")</f>
        <v>0</v>
      </c>
      <c r="L19" s="961" t="str">
        <f ca="1">TEXT(OFFSET('5  Control Accounts'!$DS$33,Q19,0),"0")</f>
        <v>0</v>
      </c>
      <c r="M19" s="961" t="str">
        <f ca="1">TEXT(OFFSET('5  Control Accounts'!$FQ$33,Q19,0),"0.00")</f>
        <v>0.00</v>
      </c>
      <c r="N19" s="961" t="str">
        <f ca="1">TEXT(OFFSET('5  Control Accounts'!$FU$33,Q19,0),"0.00")</f>
        <v>0.00</v>
      </c>
      <c r="P19" s="537">
        <f ca="1">OFFSET('5  Control Accounts'!$CP$33,Q19,0)</f>
        <v>0</v>
      </c>
      <c r="Q19" s="537">
        <v>13</v>
      </c>
    </row>
    <row r="20" spans="1:17" s="18" customFormat="1" ht="15.9" customHeight="1" x14ac:dyDescent="0.3">
      <c r="A20" s="961" t="str">
        <f ca="1">IF(P20=0,TEXT(0,"0"),OFFSET('5  Control Accounts'!$BF$33,Q20,0)&amp;"."&amp;OFFSET('5  Control Accounts'!$BH$33,Q20,0))</f>
        <v>0</v>
      </c>
      <c r="B20" s="961" t="str">
        <f ca="1">IF(P20=0,TEXT(0,"0"),TEXT(OFFSET('5  Control Accounts'!$FB$33,Q20,0),"General"))</f>
        <v>0</v>
      </c>
      <c r="C20" s="961" t="str">
        <f t="shared" ca="1" si="1"/>
        <v>0</v>
      </c>
      <c r="D20" s="1405" t="str">
        <f t="shared" si="0"/>
        <v>0</v>
      </c>
      <c r="E20" s="961" t="str">
        <f ca="1">IF(P20=0,TEXT(0,"0"),TEXT(OFFSET('5  Control Accounts'!$BD$33,Q20,0),"General"))</f>
        <v>0</v>
      </c>
      <c r="F20" s="961" t="str">
        <f ca="1">TEXT(OFFSET('5  Control Accounts'!$DF$33,Q20,0),"0")</f>
        <v>0</v>
      </c>
      <c r="G20" s="961" t="str">
        <f ca="1">TEXT(OFFSET('5  Control Accounts'!$DI$33,Q20,0),"0")</f>
        <v>0</v>
      </c>
      <c r="H20" s="961" t="str">
        <f ca="1">TEXT(OFFSET('5  Control Accounts'!$CZ$33,Q20,0),"0")</f>
        <v>0</v>
      </c>
      <c r="I20" s="961" t="str">
        <f ca="1">TEXT(OFFSET('5  Control Accounts'!$DL$33,Q20,0),"0")</f>
        <v>0</v>
      </c>
      <c r="J20" s="961" t="str">
        <f ca="1">TEXT(OFFSET('5  Control Accounts'!$DO$33,Q20,0),"0")</f>
        <v>0</v>
      </c>
      <c r="K20" s="961" t="str">
        <f ca="1">TEXT(OFFSET('5  Control Accounts'!$DC$33,Q20,0),"0")</f>
        <v>0</v>
      </c>
      <c r="L20" s="961" t="str">
        <f ca="1">TEXT(OFFSET('5  Control Accounts'!$DS$33,Q20,0),"0")</f>
        <v>0</v>
      </c>
      <c r="M20" s="961" t="str">
        <f ca="1">TEXT(OFFSET('5  Control Accounts'!$FQ$33,Q20,0),"0.00")</f>
        <v>0.00</v>
      </c>
      <c r="N20" s="961" t="str">
        <f ca="1">TEXT(OFFSET('5  Control Accounts'!$FU$33,Q20,0),"0.00")</f>
        <v>0.00</v>
      </c>
      <c r="P20" s="537">
        <f ca="1">OFFSET('5  Control Accounts'!$CP$33,Q20,0)</f>
        <v>0</v>
      </c>
      <c r="Q20" s="537">
        <v>14</v>
      </c>
    </row>
    <row r="21" spans="1:17" s="18" customFormat="1" ht="15.9" customHeight="1" x14ac:dyDescent="0.3">
      <c r="A21" s="961" t="str">
        <f ca="1">IF(P21=0,TEXT(0,"0"),OFFSET('5  Control Accounts'!$BF$33,Q21,0)&amp;"."&amp;OFFSET('5  Control Accounts'!$BH$33,Q21,0))</f>
        <v>0</v>
      </c>
      <c r="B21" s="961" t="str">
        <f ca="1">IF(P21=0,TEXT(0,"0"),TEXT(OFFSET('5  Control Accounts'!$FB$33,Q21,0),"General"))</f>
        <v>0</v>
      </c>
      <c r="C21" s="961" t="str">
        <f t="shared" ca="1" si="1"/>
        <v>0</v>
      </c>
      <c r="D21" s="1405" t="str">
        <f t="shared" si="0"/>
        <v>0</v>
      </c>
      <c r="E21" s="961" t="str">
        <f ca="1">IF(P21=0,TEXT(0,"0"),TEXT(OFFSET('5  Control Accounts'!$BD$33,Q21,0),"General"))</f>
        <v>0</v>
      </c>
      <c r="F21" s="961" t="str">
        <f ca="1">TEXT(OFFSET('5  Control Accounts'!$DF$33,Q21,0),"0")</f>
        <v>0</v>
      </c>
      <c r="G21" s="961" t="str">
        <f ca="1">TEXT(OFFSET('5  Control Accounts'!$DI$33,Q21,0),"0")</f>
        <v>0</v>
      </c>
      <c r="H21" s="961" t="str">
        <f ca="1">TEXT(OFFSET('5  Control Accounts'!$CZ$33,Q21,0),"0")</f>
        <v>0</v>
      </c>
      <c r="I21" s="961" t="str">
        <f ca="1">TEXT(OFFSET('5  Control Accounts'!$DL$33,Q21,0),"0")</f>
        <v>0</v>
      </c>
      <c r="J21" s="961" t="str">
        <f ca="1">TEXT(OFFSET('5  Control Accounts'!$DO$33,Q21,0),"0")</f>
        <v>0</v>
      </c>
      <c r="K21" s="961" t="str">
        <f ca="1">TEXT(OFFSET('5  Control Accounts'!$DC$33,Q21,0),"0")</f>
        <v>0</v>
      </c>
      <c r="L21" s="961" t="str">
        <f ca="1">TEXT(OFFSET('5  Control Accounts'!$DS$33,Q21,0),"0")</f>
        <v>0</v>
      </c>
      <c r="M21" s="961" t="str">
        <f ca="1">TEXT(OFFSET('5  Control Accounts'!$FQ$33,Q21,0),"0.00")</f>
        <v>0.00</v>
      </c>
      <c r="N21" s="961" t="str">
        <f ca="1">TEXT(OFFSET('5  Control Accounts'!$FU$33,Q21,0),"0.00")</f>
        <v>0.00</v>
      </c>
      <c r="P21" s="537">
        <f ca="1">OFFSET('5  Control Accounts'!$CP$33,Q21,0)</f>
        <v>0</v>
      </c>
      <c r="Q21" s="537">
        <v>15</v>
      </c>
    </row>
    <row r="22" spans="1:17" s="18" customFormat="1" ht="15.9" customHeight="1" x14ac:dyDescent="0.3">
      <c r="A22" s="961" t="str">
        <f ca="1">IF(P22=0,TEXT(0,"0"),OFFSET('5  Control Accounts'!$BF$33,Q22,0)&amp;"."&amp;OFFSET('5  Control Accounts'!$BH$33,Q22,0))</f>
        <v>0</v>
      </c>
      <c r="B22" s="961" t="str">
        <f ca="1">IF(P22=0,TEXT(0,"0"),TEXT(OFFSET('5  Control Accounts'!$FB$33,Q22,0),"General"))</f>
        <v>0</v>
      </c>
      <c r="C22" s="961" t="str">
        <f t="shared" ca="1" si="1"/>
        <v>0</v>
      </c>
      <c r="D22" s="1405" t="str">
        <f t="shared" si="0"/>
        <v>0</v>
      </c>
      <c r="E22" s="961" t="str">
        <f ca="1">IF(P22=0,TEXT(0,"0"),TEXT(OFFSET('5  Control Accounts'!$BD$33,Q22,0),"General"))</f>
        <v>0</v>
      </c>
      <c r="F22" s="961" t="str">
        <f ca="1">TEXT(OFFSET('5  Control Accounts'!$DF$33,Q22,0),"0")</f>
        <v>0</v>
      </c>
      <c r="G22" s="961" t="str">
        <f ca="1">TEXT(OFFSET('5  Control Accounts'!$DI$33,Q22,0),"0")</f>
        <v>0</v>
      </c>
      <c r="H22" s="961" t="str">
        <f ca="1">TEXT(OFFSET('5  Control Accounts'!$CZ$33,Q22,0),"0")</f>
        <v>0</v>
      </c>
      <c r="I22" s="961" t="str">
        <f ca="1">TEXT(OFFSET('5  Control Accounts'!$DL$33,Q22,0),"0")</f>
        <v>0</v>
      </c>
      <c r="J22" s="961" t="str">
        <f ca="1">TEXT(OFFSET('5  Control Accounts'!$DO$33,Q22,0),"0")</f>
        <v>0</v>
      </c>
      <c r="K22" s="961" t="str">
        <f ca="1">TEXT(OFFSET('5  Control Accounts'!$DC$33,Q22,0),"0")</f>
        <v>0</v>
      </c>
      <c r="L22" s="961" t="str">
        <f ca="1">TEXT(OFFSET('5  Control Accounts'!$DS$33,Q22,0),"0")</f>
        <v>0</v>
      </c>
      <c r="M22" s="961" t="str">
        <f ca="1">TEXT(OFFSET('5  Control Accounts'!$FQ$33,Q22,0),"0.00")</f>
        <v>0.00</v>
      </c>
      <c r="N22" s="961" t="str">
        <f ca="1">TEXT(OFFSET('5  Control Accounts'!$FU$33,Q22,0),"0.00")</f>
        <v>0.00</v>
      </c>
      <c r="P22" s="537">
        <f ca="1">OFFSET('5  Control Accounts'!$CP$33,Q22,0)</f>
        <v>0</v>
      </c>
      <c r="Q22" s="537">
        <v>16</v>
      </c>
    </row>
    <row r="23" spans="1:17" s="18" customFormat="1" ht="15.9" customHeight="1" x14ac:dyDescent="0.3">
      <c r="A23" s="961" t="str">
        <f ca="1">IF(P23=0,TEXT(0,"0"),OFFSET('5  Control Accounts'!$BF$33,Q23,0)&amp;"."&amp;OFFSET('5  Control Accounts'!$BH$33,Q23,0))</f>
        <v>0</v>
      </c>
      <c r="B23" s="961" t="str">
        <f ca="1">IF(P23=0,TEXT(0,"0"),TEXT(OFFSET('5  Control Accounts'!$FB$33,Q23,0),"General"))</f>
        <v>0</v>
      </c>
      <c r="C23" s="961" t="str">
        <f t="shared" ca="1" si="1"/>
        <v>0</v>
      </c>
      <c r="D23" s="1405" t="str">
        <f t="shared" si="0"/>
        <v>0</v>
      </c>
      <c r="E23" s="961" t="str">
        <f ca="1">IF(P23=0,TEXT(0,"0"),TEXT(OFFSET('5  Control Accounts'!$BD$33,Q23,0),"General"))</f>
        <v>0</v>
      </c>
      <c r="F23" s="961" t="str">
        <f ca="1">TEXT(OFFSET('5  Control Accounts'!$DF$33,Q23,0),"0")</f>
        <v>0</v>
      </c>
      <c r="G23" s="961" t="str">
        <f ca="1">TEXT(OFFSET('5  Control Accounts'!$DI$33,Q23,0),"0")</f>
        <v>0</v>
      </c>
      <c r="H23" s="961" t="str">
        <f ca="1">TEXT(OFFSET('5  Control Accounts'!$CZ$33,Q23,0),"0")</f>
        <v>0</v>
      </c>
      <c r="I23" s="961" t="str">
        <f ca="1">TEXT(OFFSET('5  Control Accounts'!$DL$33,Q23,0),"0")</f>
        <v>0</v>
      </c>
      <c r="J23" s="961" t="str">
        <f ca="1">TEXT(OFFSET('5  Control Accounts'!$DO$33,Q23,0),"0")</f>
        <v>0</v>
      </c>
      <c r="K23" s="961" t="str">
        <f ca="1">TEXT(OFFSET('5  Control Accounts'!$DC$33,Q23,0),"0")</f>
        <v>0</v>
      </c>
      <c r="L23" s="961" t="str">
        <f ca="1">TEXT(OFFSET('5  Control Accounts'!$DS$33,Q23,0),"0")</f>
        <v>0</v>
      </c>
      <c r="M23" s="961" t="str">
        <f ca="1">TEXT(OFFSET('5  Control Accounts'!$FQ$33,Q23,0),"0.00")</f>
        <v>0.00</v>
      </c>
      <c r="N23" s="961" t="str">
        <f ca="1">TEXT(OFFSET('5  Control Accounts'!$FU$33,Q23,0),"0.00")</f>
        <v>0.00</v>
      </c>
      <c r="P23" s="537">
        <f ca="1">OFFSET('5  Control Accounts'!$CP$33,Q23,0)</f>
        <v>0</v>
      </c>
      <c r="Q23" s="537">
        <v>17</v>
      </c>
    </row>
    <row r="24" spans="1:17" s="18" customFormat="1" ht="15.9" customHeight="1" x14ac:dyDescent="0.3">
      <c r="A24" s="961" t="str">
        <f ca="1">IF(P24=0,TEXT(0,"0"),OFFSET('5  Control Accounts'!$BF$33,Q24,0)&amp;"."&amp;OFFSET('5  Control Accounts'!$BH$33,Q24,0))</f>
        <v>0</v>
      </c>
      <c r="B24" s="961" t="str">
        <f ca="1">IF(P24=0,TEXT(0,"0"),TEXT(OFFSET('5  Control Accounts'!$FB$33,Q24,0),"General"))</f>
        <v>0</v>
      </c>
      <c r="C24" s="961" t="str">
        <f t="shared" ca="1" si="1"/>
        <v>0</v>
      </c>
      <c r="D24" s="1405" t="str">
        <f t="shared" si="0"/>
        <v>0</v>
      </c>
      <c r="E24" s="961" t="str">
        <f ca="1">IF(P24=0,TEXT(0,"0"),TEXT(OFFSET('5  Control Accounts'!$BD$33,Q24,0),"General"))</f>
        <v>0</v>
      </c>
      <c r="F24" s="961" t="str">
        <f ca="1">TEXT(OFFSET('5  Control Accounts'!$DF$33,Q24,0),"0")</f>
        <v>0</v>
      </c>
      <c r="G24" s="961" t="str">
        <f ca="1">TEXT(OFFSET('5  Control Accounts'!$DI$33,Q24,0),"0")</f>
        <v>0</v>
      </c>
      <c r="H24" s="961" t="str">
        <f ca="1">TEXT(OFFSET('5  Control Accounts'!$CZ$33,Q24,0),"0")</f>
        <v>0</v>
      </c>
      <c r="I24" s="961" t="str">
        <f ca="1">TEXT(OFFSET('5  Control Accounts'!$DL$33,Q24,0),"0")</f>
        <v>0</v>
      </c>
      <c r="J24" s="961" t="str">
        <f ca="1">TEXT(OFFSET('5  Control Accounts'!$DO$33,Q24,0),"0")</f>
        <v>0</v>
      </c>
      <c r="K24" s="961" t="str">
        <f ca="1">TEXT(OFFSET('5  Control Accounts'!$DC$33,Q24,0),"0")</f>
        <v>0</v>
      </c>
      <c r="L24" s="961" t="str">
        <f ca="1">TEXT(OFFSET('5  Control Accounts'!$DS$33,Q24,0),"0")</f>
        <v>0</v>
      </c>
      <c r="M24" s="961" t="str">
        <f ca="1">TEXT(OFFSET('5  Control Accounts'!$FQ$33,Q24,0),"0.00")</f>
        <v>0.00</v>
      </c>
      <c r="N24" s="961" t="str">
        <f ca="1">TEXT(OFFSET('5  Control Accounts'!$FU$33,Q24,0),"0.00")</f>
        <v>0.00</v>
      </c>
      <c r="P24" s="537">
        <f ca="1">OFFSET('5  Control Accounts'!$CP$33,Q24,0)</f>
        <v>0</v>
      </c>
      <c r="Q24" s="537">
        <v>18</v>
      </c>
    </row>
    <row r="25" spans="1:17" s="18" customFormat="1" ht="15.9" customHeight="1" x14ac:dyDescent="0.3">
      <c r="A25" s="961" t="str">
        <f ca="1">IF(P25=0,TEXT(0,"0"),OFFSET('5  Control Accounts'!$BF$33,Q25,0)&amp;"."&amp;OFFSET('5  Control Accounts'!$BH$33,Q25,0))</f>
        <v>0</v>
      </c>
      <c r="B25" s="961" t="str">
        <f ca="1">IF(P25=0,TEXT(0,"0"),TEXT(OFFSET('5  Control Accounts'!$FB$33,Q25,0),"General"))</f>
        <v>0</v>
      </c>
      <c r="C25" s="961" t="str">
        <f t="shared" ca="1" si="1"/>
        <v>0</v>
      </c>
      <c r="D25" s="1405" t="str">
        <f t="shared" si="0"/>
        <v>0</v>
      </c>
      <c r="E25" s="961" t="str">
        <f ca="1">IF(P25=0,TEXT(0,"0"),TEXT(OFFSET('5  Control Accounts'!$BD$33,Q25,0),"General"))</f>
        <v>0</v>
      </c>
      <c r="F25" s="961" t="str">
        <f ca="1">TEXT(OFFSET('5  Control Accounts'!$DF$33,Q25,0),"0")</f>
        <v>0</v>
      </c>
      <c r="G25" s="961" t="str">
        <f ca="1">TEXT(OFFSET('5  Control Accounts'!$DI$33,Q25,0),"0")</f>
        <v>0</v>
      </c>
      <c r="H25" s="961" t="str">
        <f ca="1">TEXT(OFFSET('5  Control Accounts'!$CZ$33,Q25,0),"0")</f>
        <v>0</v>
      </c>
      <c r="I25" s="961" t="str">
        <f ca="1">TEXT(OFFSET('5  Control Accounts'!$DL$33,Q25,0),"0")</f>
        <v>0</v>
      </c>
      <c r="J25" s="961" t="str">
        <f ca="1">TEXT(OFFSET('5  Control Accounts'!$DO$33,Q25,0),"0")</f>
        <v>0</v>
      </c>
      <c r="K25" s="961" t="str">
        <f ca="1">TEXT(OFFSET('5  Control Accounts'!$DC$33,Q25,0),"0")</f>
        <v>0</v>
      </c>
      <c r="L25" s="961" t="str">
        <f ca="1">TEXT(OFFSET('5  Control Accounts'!$DS$33,Q25,0),"0")</f>
        <v>0</v>
      </c>
      <c r="M25" s="961" t="str">
        <f ca="1">TEXT(OFFSET('5  Control Accounts'!$FQ$33,Q25,0),"0.00")</f>
        <v>0.00</v>
      </c>
      <c r="N25" s="961" t="str">
        <f ca="1">TEXT(OFFSET('5  Control Accounts'!$FU$33,Q25,0),"0.00")</f>
        <v>0.00</v>
      </c>
      <c r="P25" s="537">
        <f ca="1">OFFSET('5  Control Accounts'!$CP$33,Q25,0)</f>
        <v>0</v>
      </c>
      <c r="Q25" s="537">
        <v>19</v>
      </c>
    </row>
    <row r="26" spans="1:17" s="18" customFormat="1" ht="15.9" customHeight="1" x14ac:dyDescent="0.3">
      <c r="A26" s="961" t="str">
        <f ca="1">IF(P26=0,TEXT(0,"0"),OFFSET('5  Control Accounts'!$BF$33,Q26,0)&amp;"."&amp;OFFSET('5  Control Accounts'!$BH$33,Q26,0))</f>
        <v>0</v>
      </c>
      <c r="B26" s="961" t="str">
        <f ca="1">IF(P26=0,TEXT(0,"0"),TEXT(OFFSET('5  Control Accounts'!$FB$33,Q26,0),"General"))</f>
        <v>0</v>
      </c>
      <c r="C26" s="961" t="str">
        <f t="shared" ca="1" si="1"/>
        <v>0</v>
      </c>
      <c r="D26" s="1405" t="str">
        <f t="shared" si="0"/>
        <v>0</v>
      </c>
      <c r="E26" s="961" t="str">
        <f ca="1">IF(P26=0,TEXT(0,"0"),TEXT(OFFSET('5  Control Accounts'!$BD$33,Q26,0),"General"))</f>
        <v>0</v>
      </c>
      <c r="F26" s="961" t="str">
        <f ca="1">TEXT(OFFSET('5  Control Accounts'!$DF$33,Q26,0),"0")</f>
        <v>0</v>
      </c>
      <c r="G26" s="961" t="str">
        <f ca="1">TEXT(OFFSET('5  Control Accounts'!$DI$33,Q26,0),"0")</f>
        <v>0</v>
      </c>
      <c r="H26" s="961" t="str">
        <f ca="1">TEXT(OFFSET('5  Control Accounts'!$CZ$33,Q26,0),"0")</f>
        <v>0</v>
      </c>
      <c r="I26" s="961" t="str">
        <f ca="1">TEXT(OFFSET('5  Control Accounts'!$DL$33,Q26,0),"0")</f>
        <v>0</v>
      </c>
      <c r="J26" s="961" t="str">
        <f ca="1">TEXT(OFFSET('5  Control Accounts'!$DO$33,Q26,0),"0")</f>
        <v>0</v>
      </c>
      <c r="K26" s="961" t="str">
        <f ca="1">TEXT(OFFSET('5  Control Accounts'!$DC$33,Q26,0),"0")</f>
        <v>0</v>
      </c>
      <c r="L26" s="961" t="str">
        <f ca="1">TEXT(OFFSET('5  Control Accounts'!$DS$33,Q26,0),"0")</f>
        <v>0</v>
      </c>
      <c r="M26" s="961" t="str">
        <f ca="1">TEXT(OFFSET('5  Control Accounts'!$FQ$33,Q26,0),"0.00")</f>
        <v>0.00</v>
      </c>
      <c r="N26" s="961" t="str">
        <f ca="1">TEXT(OFFSET('5  Control Accounts'!$FU$33,Q26,0),"0.00")</f>
        <v>0.00</v>
      </c>
      <c r="P26" s="537">
        <f ca="1">OFFSET('5  Control Accounts'!$CP$33,Q26,0)</f>
        <v>0</v>
      </c>
      <c r="Q26" s="537">
        <v>20</v>
      </c>
    </row>
    <row r="27" spans="1:17" s="18" customFormat="1" ht="15.9" customHeight="1" x14ac:dyDescent="0.3">
      <c r="A27" s="961" t="str">
        <f ca="1">IF(P27=0,TEXT(0,"0"),OFFSET('5  Control Accounts'!$BF$33,Q27,0)&amp;"."&amp;OFFSET('5  Control Accounts'!$BH$33,Q27,0))</f>
        <v>0</v>
      </c>
      <c r="B27" s="961" t="str">
        <f ca="1">IF(P27=0,TEXT(0,"0"),TEXT(OFFSET('5  Control Accounts'!$FB$33,Q27,0),"General"))</f>
        <v>0</v>
      </c>
      <c r="C27" s="961" t="str">
        <f t="shared" ca="1" si="1"/>
        <v>0</v>
      </c>
      <c r="D27" s="1405" t="str">
        <f t="shared" si="0"/>
        <v>0</v>
      </c>
      <c r="E27" s="961" t="str">
        <f ca="1">IF(P27=0,TEXT(0,"0"),TEXT(OFFSET('5  Control Accounts'!$BD$33,Q27,0),"General"))</f>
        <v>0</v>
      </c>
      <c r="F27" s="961" t="str">
        <f ca="1">TEXT(OFFSET('5  Control Accounts'!$DF$33,Q27,0),"0")</f>
        <v>0</v>
      </c>
      <c r="G27" s="961" t="str">
        <f ca="1">TEXT(OFFSET('5  Control Accounts'!$DI$33,Q27,0),"0")</f>
        <v>0</v>
      </c>
      <c r="H27" s="961" t="str">
        <f ca="1">TEXT(OFFSET('5  Control Accounts'!$CZ$33,Q27,0),"0")</f>
        <v>0</v>
      </c>
      <c r="I27" s="961" t="str">
        <f ca="1">TEXT(OFFSET('5  Control Accounts'!$DL$33,Q27,0),"0")</f>
        <v>0</v>
      </c>
      <c r="J27" s="961" t="str">
        <f ca="1">TEXT(OFFSET('5  Control Accounts'!$DO$33,Q27,0),"0")</f>
        <v>0</v>
      </c>
      <c r="K27" s="961" t="str">
        <f ca="1">TEXT(OFFSET('5  Control Accounts'!$DC$33,Q27,0),"0")</f>
        <v>0</v>
      </c>
      <c r="L27" s="961" t="str">
        <f ca="1">TEXT(OFFSET('5  Control Accounts'!$DS$33,Q27,0),"0")</f>
        <v>0</v>
      </c>
      <c r="M27" s="961" t="str">
        <f ca="1">TEXT(OFFSET('5  Control Accounts'!$FQ$33,Q27,0),"0.00")</f>
        <v>0.00</v>
      </c>
      <c r="N27" s="961" t="str">
        <f ca="1">TEXT(OFFSET('5  Control Accounts'!$FU$33,Q27,0),"0.00")</f>
        <v>0.00</v>
      </c>
      <c r="P27" s="537">
        <f ca="1">OFFSET('5  Control Accounts'!$CP$33,Q27,0)</f>
        <v>0</v>
      </c>
      <c r="Q27" s="537">
        <v>21</v>
      </c>
    </row>
    <row r="28" spans="1:17" s="18" customFormat="1" ht="15.9" customHeight="1" x14ac:dyDescent="0.3">
      <c r="A28" s="961" t="str">
        <f ca="1">IF(P28=0,TEXT(0,"0"),OFFSET('5  Control Accounts'!$BF$33,Q28,0)&amp;"."&amp;OFFSET('5  Control Accounts'!$BH$33,Q28,0))</f>
        <v>0</v>
      </c>
      <c r="B28" s="961" t="str">
        <f ca="1">IF(P28=0,TEXT(0,"0"),TEXT(OFFSET('5  Control Accounts'!$FB$33,Q28,0),"General"))</f>
        <v>0</v>
      </c>
      <c r="C28" s="961" t="str">
        <f t="shared" ca="1" si="1"/>
        <v>0</v>
      </c>
      <c r="D28" s="1405" t="str">
        <f t="shared" si="0"/>
        <v>0</v>
      </c>
      <c r="E28" s="961" t="str">
        <f ca="1">IF(P28=0,TEXT(0,"0"),TEXT(OFFSET('5  Control Accounts'!$BD$33,Q28,0),"General"))</f>
        <v>0</v>
      </c>
      <c r="F28" s="961" t="str">
        <f ca="1">TEXT(OFFSET('5  Control Accounts'!$DF$33,Q28,0),"0")</f>
        <v>0</v>
      </c>
      <c r="G28" s="961" t="str">
        <f ca="1">TEXT(OFFSET('5  Control Accounts'!$DI$33,Q28,0),"0")</f>
        <v>0</v>
      </c>
      <c r="H28" s="961" t="str">
        <f ca="1">TEXT(OFFSET('5  Control Accounts'!$CZ$33,Q28,0),"0")</f>
        <v>0</v>
      </c>
      <c r="I28" s="961" t="str">
        <f ca="1">TEXT(OFFSET('5  Control Accounts'!$DL$33,Q28,0),"0")</f>
        <v>0</v>
      </c>
      <c r="J28" s="961" t="str">
        <f ca="1">TEXT(OFFSET('5  Control Accounts'!$DO$33,Q28,0),"0")</f>
        <v>0</v>
      </c>
      <c r="K28" s="961" t="str">
        <f ca="1">TEXT(OFFSET('5  Control Accounts'!$DC$33,Q28,0),"0")</f>
        <v>0</v>
      </c>
      <c r="L28" s="961" t="str">
        <f ca="1">TEXT(OFFSET('5  Control Accounts'!$DS$33,Q28,0),"0")</f>
        <v>0</v>
      </c>
      <c r="M28" s="961" t="str">
        <f ca="1">TEXT(OFFSET('5  Control Accounts'!$FQ$33,Q28,0),"0.00")</f>
        <v>0.00</v>
      </c>
      <c r="N28" s="961" t="str">
        <f ca="1">TEXT(OFFSET('5  Control Accounts'!$FU$33,Q28,0),"0.00")</f>
        <v>0.00</v>
      </c>
      <c r="P28" s="537">
        <f ca="1">OFFSET('5  Control Accounts'!$CP$33,Q28,0)</f>
        <v>0</v>
      </c>
      <c r="Q28" s="537">
        <v>22</v>
      </c>
    </row>
    <row r="29" spans="1:17" s="18" customFormat="1" ht="15.9" customHeight="1" x14ac:dyDescent="0.3">
      <c r="A29" s="961" t="str">
        <f ca="1">IF(P29=0,TEXT(0,"0"),OFFSET('5  Control Accounts'!$BF$33,Q29,0)&amp;"."&amp;OFFSET('5  Control Accounts'!$BH$33,Q29,0))</f>
        <v>0</v>
      </c>
      <c r="B29" s="961" t="str">
        <f ca="1">IF(P29=0,TEXT(0,"0"),TEXT(OFFSET('5  Control Accounts'!$FB$33,Q29,0),"General"))</f>
        <v>0</v>
      </c>
      <c r="C29" s="961" t="str">
        <f t="shared" ca="1" si="1"/>
        <v>0</v>
      </c>
      <c r="D29" s="1405" t="str">
        <f t="shared" si="0"/>
        <v>0</v>
      </c>
      <c r="E29" s="961" t="str">
        <f ca="1">IF(P29=0,TEXT(0,"0"),TEXT(OFFSET('5  Control Accounts'!$BD$33,Q29,0),"General"))</f>
        <v>0</v>
      </c>
      <c r="F29" s="961" t="str">
        <f ca="1">TEXT(OFFSET('5  Control Accounts'!$DF$33,Q29,0),"0")</f>
        <v>0</v>
      </c>
      <c r="G29" s="961" t="str">
        <f ca="1">TEXT(OFFSET('5  Control Accounts'!$DI$33,Q29,0),"0")</f>
        <v>0</v>
      </c>
      <c r="H29" s="961" t="str">
        <f ca="1">TEXT(OFFSET('5  Control Accounts'!$CZ$33,Q29,0),"0")</f>
        <v>0</v>
      </c>
      <c r="I29" s="961" t="str">
        <f ca="1">TEXT(OFFSET('5  Control Accounts'!$DL$33,Q29,0),"0")</f>
        <v>0</v>
      </c>
      <c r="J29" s="961" t="str">
        <f ca="1">TEXT(OFFSET('5  Control Accounts'!$DO$33,Q29,0),"0")</f>
        <v>0</v>
      </c>
      <c r="K29" s="961" t="str">
        <f ca="1">TEXT(OFFSET('5  Control Accounts'!$DC$33,Q29,0),"0")</f>
        <v>0</v>
      </c>
      <c r="L29" s="961" t="str">
        <f ca="1">TEXT(OFFSET('5  Control Accounts'!$DS$33,Q29,0),"0")</f>
        <v>0</v>
      </c>
      <c r="M29" s="961" t="str">
        <f ca="1">TEXT(OFFSET('5  Control Accounts'!$FQ$33,Q29,0),"0.00")</f>
        <v>0.00</v>
      </c>
      <c r="N29" s="961" t="str">
        <f ca="1">TEXT(OFFSET('5  Control Accounts'!$FU$33,Q29,0),"0.00")</f>
        <v>0.00</v>
      </c>
      <c r="P29" s="537">
        <f ca="1">OFFSET('5  Control Accounts'!$CP$33,Q29,0)</f>
        <v>0</v>
      </c>
      <c r="Q29" s="537">
        <v>23</v>
      </c>
    </row>
    <row r="30" spans="1:17" s="18" customFormat="1" ht="15.9" customHeight="1" x14ac:dyDescent="0.3">
      <c r="A30" s="961" t="str">
        <f ca="1">IF(P30=0,TEXT(0,"0"),OFFSET('5  Control Accounts'!$BF$33,Q30,0)&amp;"."&amp;OFFSET('5  Control Accounts'!$BH$33,Q30,0))</f>
        <v>0</v>
      </c>
      <c r="B30" s="961" t="str">
        <f ca="1">IF(P30=0,TEXT(0,"0"),TEXT(OFFSET('5  Control Accounts'!$FB$33,Q30,0),"General"))</f>
        <v>0</v>
      </c>
      <c r="C30" s="961" t="str">
        <f t="shared" ca="1" si="1"/>
        <v>0</v>
      </c>
      <c r="D30" s="1405" t="str">
        <f t="shared" si="0"/>
        <v>0</v>
      </c>
      <c r="E30" s="961" t="str">
        <f ca="1">IF(P30=0,TEXT(0,"0"),TEXT(OFFSET('5  Control Accounts'!$BD$33,Q30,0),"General"))</f>
        <v>0</v>
      </c>
      <c r="F30" s="961" t="str">
        <f ca="1">TEXT(OFFSET('5  Control Accounts'!$DF$33,Q30,0),"0")</f>
        <v>0</v>
      </c>
      <c r="G30" s="961" t="str">
        <f ca="1">TEXT(OFFSET('5  Control Accounts'!$DI$33,Q30,0),"0")</f>
        <v>0</v>
      </c>
      <c r="H30" s="961" t="str">
        <f ca="1">TEXT(OFFSET('5  Control Accounts'!$CZ$33,Q30,0),"0")</f>
        <v>0</v>
      </c>
      <c r="I30" s="961" t="str">
        <f ca="1">TEXT(OFFSET('5  Control Accounts'!$DL$33,Q30,0),"0")</f>
        <v>0</v>
      </c>
      <c r="J30" s="961" t="str">
        <f ca="1">TEXT(OFFSET('5  Control Accounts'!$DO$33,Q30,0),"0")</f>
        <v>0</v>
      </c>
      <c r="K30" s="961" t="str">
        <f ca="1">TEXT(OFFSET('5  Control Accounts'!$DC$33,Q30,0),"0")</f>
        <v>0</v>
      </c>
      <c r="L30" s="961" t="str">
        <f ca="1">TEXT(OFFSET('5  Control Accounts'!$DS$33,Q30,0),"0")</f>
        <v>0</v>
      </c>
      <c r="M30" s="961" t="str">
        <f ca="1">TEXT(OFFSET('5  Control Accounts'!$FQ$33,Q30,0),"0.00")</f>
        <v>0.00</v>
      </c>
      <c r="N30" s="961" t="str">
        <f ca="1">TEXT(OFFSET('5  Control Accounts'!$FU$33,Q30,0),"0.00")</f>
        <v>0.00</v>
      </c>
      <c r="P30" s="537">
        <f ca="1">OFFSET('5  Control Accounts'!$CP$33,Q30,0)</f>
        <v>0</v>
      </c>
      <c r="Q30" s="537">
        <v>24</v>
      </c>
    </row>
    <row r="31" spans="1:17" s="18" customFormat="1" ht="15.9" customHeight="1" x14ac:dyDescent="0.3">
      <c r="A31" s="961" t="str">
        <f ca="1">IF(P31=0,TEXT(0,"0"),OFFSET('5  Control Accounts'!$BF$33,Q31,0)&amp;"."&amp;OFFSET('5  Control Accounts'!$BH$33,Q31,0))</f>
        <v>0</v>
      </c>
      <c r="B31" s="961" t="str">
        <f ca="1">IF(P31=0,TEXT(0,"0"),TEXT(OFFSET('5  Control Accounts'!$FB$33,Q31,0),"General"))</f>
        <v>0</v>
      </c>
      <c r="C31" s="961" t="str">
        <f t="shared" ca="1" si="1"/>
        <v>0</v>
      </c>
      <c r="D31" s="1405" t="str">
        <f t="shared" si="0"/>
        <v>0</v>
      </c>
      <c r="E31" s="961" t="str">
        <f ca="1">IF(P31=0,TEXT(0,"0"),TEXT(OFFSET('5  Control Accounts'!$BD$33,Q31,0),"General"))</f>
        <v>0</v>
      </c>
      <c r="F31" s="961" t="str">
        <f ca="1">TEXT(OFFSET('5  Control Accounts'!$DF$33,Q31,0),"0")</f>
        <v>0</v>
      </c>
      <c r="G31" s="961" t="str">
        <f ca="1">TEXT(OFFSET('5  Control Accounts'!$DI$33,Q31,0),"0")</f>
        <v>0</v>
      </c>
      <c r="H31" s="961" t="str">
        <f ca="1">TEXT(OFFSET('5  Control Accounts'!$CZ$33,Q31,0),"0")</f>
        <v>0</v>
      </c>
      <c r="I31" s="961" t="str">
        <f ca="1">TEXT(OFFSET('5  Control Accounts'!$DL$33,Q31,0),"0")</f>
        <v>0</v>
      </c>
      <c r="J31" s="961" t="str">
        <f ca="1">TEXT(OFFSET('5  Control Accounts'!$DO$33,Q31,0),"0")</f>
        <v>0</v>
      </c>
      <c r="K31" s="961" t="str">
        <f ca="1">TEXT(OFFSET('5  Control Accounts'!$DC$33,Q31,0),"0")</f>
        <v>0</v>
      </c>
      <c r="L31" s="961" t="str">
        <f ca="1">TEXT(OFFSET('5  Control Accounts'!$DS$33,Q31,0),"0")</f>
        <v>0</v>
      </c>
      <c r="M31" s="961" t="str">
        <f ca="1">TEXT(OFFSET('5  Control Accounts'!$FQ$33,Q31,0),"0.00")</f>
        <v>0.00</v>
      </c>
      <c r="N31" s="961" t="str">
        <f ca="1">TEXT(OFFSET('5  Control Accounts'!$FU$33,Q31,0),"0.00")</f>
        <v>0.00</v>
      </c>
      <c r="P31" s="537">
        <f ca="1">OFFSET('5  Control Accounts'!$CP$33,Q31,0)</f>
        <v>0</v>
      </c>
      <c r="Q31" s="537">
        <v>25</v>
      </c>
    </row>
    <row r="32" spans="1:17" s="18" customFormat="1" ht="15.9" customHeight="1" x14ac:dyDescent="0.3">
      <c r="A32" s="961" t="str">
        <f ca="1">IF(P32=0,TEXT(0,"0"),OFFSET('5  Control Accounts'!$BF$33,Q32,0)&amp;"."&amp;OFFSET('5  Control Accounts'!$BH$33,Q32,0))</f>
        <v>0</v>
      </c>
      <c r="B32" s="961" t="str">
        <f ca="1">IF(P32=0,TEXT(0,"0"),TEXT(OFFSET('5  Control Accounts'!$FB$33,Q32,0),"General"))</f>
        <v>0</v>
      </c>
      <c r="C32" s="961" t="str">
        <f t="shared" ca="1" si="1"/>
        <v>0</v>
      </c>
      <c r="D32" s="1405" t="str">
        <f t="shared" si="0"/>
        <v>0</v>
      </c>
      <c r="E32" s="961" t="str">
        <f ca="1">IF(P32=0,TEXT(0,"0"),TEXT(OFFSET('5  Control Accounts'!$BD$33,Q32,0),"General"))</f>
        <v>0</v>
      </c>
      <c r="F32" s="961" t="str">
        <f ca="1">TEXT(OFFSET('5  Control Accounts'!$DF$33,Q32,0),"0")</f>
        <v>0</v>
      </c>
      <c r="G32" s="961" t="str">
        <f ca="1">TEXT(OFFSET('5  Control Accounts'!$DI$33,Q32,0),"0")</f>
        <v>0</v>
      </c>
      <c r="H32" s="961" t="str">
        <f ca="1">TEXT(OFFSET('5  Control Accounts'!$CZ$33,Q32,0),"0")</f>
        <v>0</v>
      </c>
      <c r="I32" s="961" t="str">
        <f ca="1">TEXT(OFFSET('5  Control Accounts'!$DL$33,Q32,0),"0")</f>
        <v>0</v>
      </c>
      <c r="J32" s="961" t="str">
        <f ca="1">TEXT(OFFSET('5  Control Accounts'!$DO$33,Q32,0),"0")</f>
        <v>0</v>
      </c>
      <c r="K32" s="961" t="str">
        <f ca="1">TEXT(OFFSET('5  Control Accounts'!$DC$33,Q32,0),"0")</f>
        <v>0</v>
      </c>
      <c r="L32" s="961" t="str">
        <f ca="1">TEXT(OFFSET('5  Control Accounts'!$DS$33,Q32,0),"0")</f>
        <v>0</v>
      </c>
      <c r="M32" s="961" t="str">
        <f ca="1">TEXT(OFFSET('5  Control Accounts'!$FQ$33,Q32,0),"0.00")</f>
        <v>0.00</v>
      </c>
      <c r="N32" s="961" t="str">
        <f ca="1">TEXT(OFFSET('5  Control Accounts'!$FU$33,Q32,0),"0.00")</f>
        <v>0.00</v>
      </c>
      <c r="P32" s="537">
        <f ca="1">OFFSET('5  Control Accounts'!$CP$33,Q32,0)</f>
        <v>0</v>
      </c>
      <c r="Q32" s="537">
        <v>26</v>
      </c>
    </row>
    <row r="33" spans="1:17" s="750" customFormat="1" ht="15.9" customHeight="1" x14ac:dyDescent="0.3">
      <c r="A33" s="961" t="str">
        <f ca="1">IF(P33=0,TEXT(0,"0"),OFFSET('5  Control Accounts'!$BF$33,Q33,0)&amp;"."&amp;OFFSET('5  Control Accounts'!$BH$33,Q33,0))</f>
        <v>0</v>
      </c>
      <c r="B33" s="961" t="str">
        <f ca="1">IF(P33=0,TEXT(0,"0"),TEXT(OFFSET('5  Control Accounts'!$FB$33,Q33,0),"General"))</f>
        <v>0</v>
      </c>
      <c r="C33" s="961" t="str">
        <f t="shared" ca="1" si="1"/>
        <v>0</v>
      </c>
      <c r="D33" s="1405" t="str">
        <f t="shared" si="0"/>
        <v>0</v>
      </c>
      <c r="E33" s="961" t="str">
        <f ca="1">IF(P33=0,TEXT(0,"0"),TEXT(OFFSET('5  Control Accounts'!$BD$33,Q33,0),"General"))</f>
        <v>0</v>
      </c>
      <c r="F33" s="961" t="str">
        <f ca="1">TEXT(OFFSET('5  Control Accounts'!$DF$33,Q33,0),"0")</f>
        <v>0</v>
      </c>
      <c r="G33" s="961" t="str">
        <f ca="1">TEXT(OFFSET('5  Control Accounts'!$DI$33,Q33,0),"0")</f>
        <v>0</v>
      </c>
      <c r="H33" s="961" t="str">
        <f ca="1">TEXT(OFFSET('5  Control Accounts'!$CZ$33,Q33,0),"0")</f>
        <v>0</v>
      </c>
      <c r="I33" s="961" t="str">
        <f ca="1">TEXT(OFFSET('5  Control Accounts'!$DL$33,Q33,0),"0")</f>
        <v>0</v>
      </c>
      <c r="J33" s="961" t="str">
        <f ca="1">TEXT(OFFSET('5  Control Accounts'!$DO$33,Q33,0),"0")</f>
        <v>0</v>
      </c>
      <c r="K33" s="961" t="str">
        <f ca="1">TEXT(OFFSET('5  Control Accounts'!$DC$33,Q33,0),"0")</f>
        <v>0</v>
      </c>
      <c r="L33" s="961" t="str">
        <f ca="1">TEXT(OFFSET('5  Control Accounts'!$DS$33,Q33,0),"0")</f>
        <v>0</v>
      </c>
      <c r="M33" s="961" t="str">
        <f ca="1">TEXT(OFFSET('5  Control Accounts'!$FQ$33,Q33,0),"0.00")</f>
        <v>0.00</v>
      </c>
      <c r="N33" s="961" t="str">
        <f ca="1">TEXT(OFFSET('5  Control Accounts'!$FU$33,Q33,0),"0.00")</f>
        <v>0.00</v>
      </c>
      <c r="P33" s="537">
        <f ca="1">OFFSET('5  Control Accounts'!$CP$33,Q33,0)</f>
        <v>0</v>
      </c>
      <c r="Q33" s="537">
        <v>27</v>
      </c>
    </row>
    <row r="34" spans="1:17" s="750" customFormat="1" ht="15.9" customHeight="1" x14ac:dyDescent="0.3">
      <c r="A34" s="961" t="str">
        <f ca="1">IF(P34=0,TEXT(0,"0"),OFFSET('5  Control Accounts'!$BF$33,Q34,0)&amp;"."&amp;OFFSET('5  Control Accounts'!$BH$33,Q34,0))</f>
        <v>0</v>
      </c>
      <c r="B34" s="961" t="str">
        <f ca="1">IF(P34=0,TEXT(0,"0"),TEXT(OFFSET('5  Control Accounts'!$FB$33,Q34,0),"General"))</f>
        <v>0</v>
      </c>
      <c r="C34" s="961" t="str">
        <f t="shared" ca="1" si="1"/>
        <v>0</v>
      </c>
      <c r="D34" s="1405" t="str">
        <f t="shared" si="0"/>
        <v>0</v>
      </c>
      <c r="E34" s="961" t="str">
        <f ca="1">IF(P34=0,TEXT(0,"0"),TEXT(OFFSET('5  Control Accounts'!$BD$33,Q34,0),"General"))</f>
        <v>0</v>
      </c>
      <c r="F34" s="961" t="str">
        <f ca="1">TEXT(OFFSET('5  Control Accounts'!$DF$33,Q34,0),"0")</f>
        <v>0</v>
      </c>
      <c r="G34" s="961" t="str">
        <f ca="1">TEXT(OFFSET('5  Control Accounts'!$DI$33,Q34,0),"0")</f>
        <v>0</v>
      </c>
      <c r="H34" s="961" t="str">
        <f ca="1">TEXT(OFFSET('5  Control Accounts'!$CZ$33,Q34,0),"0")</f>
        <v>0</v>
      </c>
      <c r="I34" s="961" t="str">
        <f ca="1">TEXT(OFFSET('5  Control Accounts'!$DL$33,Q34,0),"0")</f>
        <v>0</v>
      </c>
      <c r="J34" s="961" t="str">
        <f ca="1">TEXT(OFFSET('5  Control Accounts'!$DO$33,Q34,0),"0")</f>
        <v>0</v>
      </c>
      <c r="K34" s="961" t="str">
        <f ca="1">TEXT(OFFSET('5  Control Accounts'!$DC$33,Q34,0),"0")</f>
        <v>0</v>
      </c>
      <c r="L34" s="961" t="str">
        <f ca="1">TEXT(OFFSET('5  Control Accounts'!$DS$33,Q34,0),"0")</f>
        <v>0</v>
      </c>
      <c r="M34" s="961" t="str">
        <f ca="1">TEXT(OFFSET('5  Control Accounts'!$FQ$33,Q34,0),"0.00")</f>
        <v>0.00</v>
      </c>
      <c r="N34" s="961" t="str">
        <f ca="1">TEXT(OFFSET('5  Control Accounts'!$FU$33,Q34,0),"0.00")</f>
        <v>0.00</v>
      </c>
      <c r="P34" s="537">
        <f ca="1">OFFSET('5  Control Accounts'!$CP$33,Q34,0)</f>
        <v>0</v>
      </c>
      <c r="Q34" s="537">
        <v>28</v>
      </c>
    </row>
    <row r="35" spans="1:17" s="750" customFormat="1" ht="15.9" customHeight="1" x14ac:dyDescent="0.3">
      <c r="A35" s="961" t="str">
        <f ca="1">IF(P35=0,TEXT(0,"0"),OFFSET('5  Control Accounts'!$BF$33,Q35,0)&amp;"."&amp;OFFSET('5  Control Accounts'!$BH$33,Q35,0))</f>
        <v>0</v>
      </c>
      <c r="B35" s="961" t="str">
        <f ca="1">IF(P35=0,TEXT(0,"0"),TEXT(OFFSET('5  Control Accounts'!$FB$33,Q35,0),"General"))</f>
        <v>0</v>
      </c>
      <c r="C35" s="961" t="str">
        <f t="shared" ca="1" si="1"/>
        <v>0</v>
      </c>
      <c r="D35" s="1405" t="str">
        <f t="shared" si="0"/>
        <v>0</v>
      </c>
      <c r="E35" s="961" t="str">
        <f ca="1">IF(P35=0,TEXT(0,"0"),TEXT(OFFSET('5  Control Accounts'!$BD$33,Q35,0),"General"))</f>
        <v>0</v>
      </c>
      <c r="F35" s="961" t="str">
        <f ca="1">TEXT(OFFSET('5  Control Accounts'!$DF$33,Q35,0),"0")</f>
        <v>0</v>
      </c>
      <c r="G35" s="961" t="str">
        <f ca="1">TEXT(OFFSET('5  Control Accounts'!$DI$33,Q35,0),"0")</f>
        <v>0</v>
      </c>
      <c r="H35" s="961" t="str">
        <f ca="1">TEXT(OFFSET('5  Control Accounts'!$CZ$33,Q35,0),"0")</f>
        <v>0</v>
      </c>
      <c r="I35" s="961" t="str">
        <f ca="1">TEXT(OFFSET('5  Control Accounts'!$DL$33,Q35,0),"0")</f>
        <v>0</v>
      </c>
      <c r="J35" s="961" t="str">
        <f ca="1">TEXT(OFFSET('5  Control Accounts'!$DO$33,Q35,0),"0")</f>
        <v>0</v>
      </c>
      <c r="K35" s="961" t="str">
        <f ca="1">TEXT(OFFSET('5  Control Accounts'!$DC$33,Q35,0),"0")</f>
        <v>0</v>
      </c>
      <c r="L35" s="961" t="str">
        <f ca="1">TEXT(OFFSET('5  Control Accounts'!$DS$33,Q35,0),"0")</f>
        <v>0</v>
      </c>
      <c r="M35" s="961" t="str">
        <f ca="1">TEXT(OFFSET('5  Control Accounts'!$FQ$33,Q35,0),"0.00")</f>
        <v>0.00</v>
      </c>
      <c r="N35" s="961" t="str">
        <f ca="1">TEXT(OFFSET('5  Control Accounts'!$FU$33,Q35,0),"0.00")</f>
        <v>0.00</v>
      </c>
      <c r="P35" s="537">
        <f ca="1">OFFSET('5  Control Accounts'!$CP$33,Q35,0)</f>
        <v>0</v>
      </c>
      <c r="Q35" s="537">
        <v>29</v>
      </c>
    </row>
    <row r="36" spans="1:17" s="750" customFormat="1" ht="15.9" customHeight="1" x14ac:dyDescent="0.3">
      <c r="A36" s="961" t="str">
        <f ca="1">IF(P36=0,TEXT(0,"0"),OFFSET('5  Control Accounts'!$BF$33,Q36,0)&amp;"."&amp;OFFSET('5  Control Accounts'!$BH$33,Q36,0))</f>
        <v>0</v>
      </c>
      <c r="B36" s="961" t="str">
        <f ca="1">IF(P36=0,TEXT(0,"0"),TEXT(OFFSET('5  Control Accounts'!$FB$33,Q36,0),"General"))</f>
        <v>0</v>
      </c>
      <c r="C36" s="961" t="str">
        <f t="shared" ca="1" si="1"/>
        <v>0</v>
      </c>
      <c r="D36" s="1405" t="str">
        <f t="shared" si="0"/>
        <v>0</v>
      </c>
      <c r="E36" s="961" t="str">
        <f ca="1">IF(P36=0,TEXT(0,"0"),TEXT(OFFSET('5  Control Accounts'!$BD$33,Q36,0),"General"))</f>
        <v>0</v>
      </c>
      <c r="F36" s="961" t="str">
        <f ca="1">TEXT(OFFSET('5  Control Accounts'!$DF$33,Q36,0),"0")</f>
        <v>0</v>
      </c>
      <c r="G36" s="961" t="str">
        <f ca="1">TEXT(OFFSET('5  Control Accounts'!$DI$33,Q36,0),"0")</f>
        <v>0</v>
      </c>
      <c r="H36" s="961" t="str">
        <f ca="1">TEXT(OFFSET('5  Control Accounts'!$CZ$33,Q36,0),"0")</f>
        <v>0</v>
      </c>
      <c r="I36" s="961" t="str">
        <f ca="1">TEXT(OFFSET('5  Control Accounts'!$DL$33,Q36,0),"0")</f>
        <v>0</v>
      </c>
      <c r="J36" s="961" t="str">
        <f ca="1">TEXT(OFFSET('5  Control Accounts'!$DO$33,Q36,0),"0")</f>
        <v>0</v>
      </c>
      <c r="K36" s="961" t="str">
        <f ca="1">TEXT(OFFSET('5  Control Accounts'!$DC$33,Q36,0),"0")</f>
        <v>0</v>
      </c>
      <c r="L36" s="961" t="str">
        <f ca="1">TEXT(OFFSET('5  Control Accounts'!$DS$33,Q36,0),"0")</f>
        <v>0</v>
      </c>
      <c r="M36" s="961" t="str">
        <f ca="1">TEXT(OFFSET('5  Control Accounts'!$FQ$33,Q36,0),"0.00")</f>
        <v>0.00</v>
      </c>
      <c r="N36" s="961" t="str">
        <f ca="1">TEXT(OFFSET('5  Control Accounts'!$FU$33,Q36,0),"0.00")</f>
        <v>0.00</v>
      </c>
      <c r="P36" s="537">
        <f ca="1">OFFSET('5  Control Accounts'!$CP$33,Q36,0)</f>
        <v>0</v>
      </c>
      <c r="Q36" s="537">
        <v>30</v>
      </c>
    </row>
    <row r="37" spans="1:17" s="750" customFormat="1" ht="15.9" customHeight="1" x14ac:dyDescent="0.3">
      <c r="A37" s="961" t="str">
        <f ca="1">IF(P37=0,TEXT(0,"0"),OFFSET('5  Control Accounts'!$BF$33,Q37,0)&amp;"."&amp;OFFSET('5  Control Accounts'!$BH$33,Q37,0))</f>
        <v>0</v>
      </c>
      <c r="B37" s="961" t="str">
        <f ca="1">IF(P37=0,TEXT(0,"0"),TEXT(OFFSET('5  Control Accounts'!$FB$33,Q37,0),"General"))</f>
        <v>0</v>
      </c>
      <c r="C37" s="961" t="str">
        <f t="shared" ca="1" si="1"/>
        <v>0</v>
      </c>
      <c r="D37" s="1405" t="str">
        <f t="shared" si="0"/>
        <v>0</v>
      </c>
      <c r="E37" s="961" t="str">
        <f ca="1">IF(P37=0,TEXT(0,"0"),TEXT(OFFSET('5  Control Accounts'!$BD$33,Q37,0),"General"))</f>
        <v>0</v>
      </c>
      <c r="F37" s="961" t="str">
        <f ca="1">TEXT(OFFSET('5  Control Accounts'!$DF$33,Q37,0),"0")</f>
        <v>0</v>
      </c>
      <c r="G37" s="961" t="str">
        <f ca="1">TEXT(OFFSET('5  Control Accounts'!$DI$33,Q37,0),"0")</f>
        <v>0</v>
      </c>
      <c r="H37" s="961" t="str">
        <f ca="1">TEXT(OFFSET('5  Control Accounts'!$CZ$33,Q37,0),"0")</f>
        <v>0</v>
      </c>
      <c r="I37" s="961" t="str">
        <f ca="1">TEXT(OFFSET('5  Control Accounts'!$DL$33,Q37,0),"0")</f>
        <v>0</v>
      </c>
      <c r="J37" s="961" t="str">
        <f ca="1">TEXT(OFFSET('5  Control Accounts'!$DO$33,Q37,0),"0")</f>
        <v>0</v>
      </c>
      <c r="K37" s="961" t="str">
        <f ca="1">TEXT(OFFSET('5  Control Accounts'!$DC$33,Q37,0),"0")</f>
        <v>0</v>
      </c>
      <c r="L37" s="961" t="str">
        <f ca="1">TEXT(OFFSET('5  Control Accounts'!$DS$33,Q37,0),"0")</f>
        <v>0</v>
      </c>
      <c r="M37" s="961" t="str">
        <f ca="1">TEXT(OFFSET('5  Control Accounts'!$FQ$33,Q37,0),"0.00")</f>
        <v>0.00</v>
      </c>
      <c r="N37" s="961" t="str">
        <f ca="1">TEXT(OFFSET('5  Control Accounts'!$FU$33,Q37,0),"0.00")</f>
        <v>0.00</v>
      </c>
      <c r="P37" s="537">
        <f ca="1">OFFSET('5  Control Accounts'!$CP$33,Q37,0)</f>
        <v>0</v>
      </c>
      <c r="Q37" s="537">
        <v>31</v>
      </c>
    </row>
    <row r="38" spans="1:17" s="750" customFormat="1" ht="15.9" customHeight="1" x14ac:dyDescent="0.3">
      <c r="A38" s="961" t="str">
        <f ca="1">IF(P38=0,TEXT(0,"0"),OFFSET('5  Control Accounts'!$BF$33,Q38,0)&amp;"."&amp;OFFSET('5  Control Accounts'!$BH$33,Q38,0))</f>
        <v>0</v>
      </c>
      <c r="B38" s="961" t="str">
        <f ca="1">IF(P38=0,TEXT(0,"0"),TEXT(OFFSET('5  Control Accounts'!$FB$33,Q38,0),"General"))</f>
        <v>0</v>
      </c>
      <c r="C38" s="961" t="str">
        <f t="shared" ca="1" si="1"/>
        <v>0</v>
      </c>
      <c r="D38" s="1405" t="str">
        <f t="shared" si="0"/>
        <v>0</v>
      </c>
      <c r="E38" s="961" t="str">
        <f ca="1">IF(P38=0,TEXT(0,"0"),TEXT(OFFSET('5  Control Accounts'!$BD$33,Q38,0),"General"))</f>
        <v>0</v>
      </c>
      <c r="F38" s="961" t="str">
        <f ca="1">TEXT(OFFSET('5  Control Accounts'!$DF$33,Q38,0),"0")</f>
        <v>0</v>
      </c>
      <c r="G38" s="961" t="str">
        <f ca="1">TEXT(OFFSET('5  Control Accounts'!$DI$33,Q38,0),"0")</f>
        <v>0</v>
      </c>
      <c r="H38" s="961" t="str">
        <f ca="1">TEXT(OFFSET('5  Control Accounts'!$CZ$33,Q38,0),"0")</f>
        <v>0</v>
      </c>
      <c r="I38" s="961" t="str">
        <f ca="1">TEXT(OFFSET('5  Control Accounts'!$DL$33,Q38,0),"0")</f>
        <v>0</v>
      </c>
      <c r="J38" s="961" t="str">
        <f ca="1">TEXT(OFFSET('5  Control Accounts'!$DO$33,Q38,0),"0")</f>
        <v>0</v>
      </c>
      <c r="K38" s="961" t="str">
        <f ca="1">TEXT(OFFSET('5  Control Accounts'!$DC$33,Q38,0),"0")</f>
        <v>0</v>
      </c>
      <c r="L38" s="961" t="str">
        <f ca="1">TEXT(OFFSET('5  Control Accounts'!$DS$33,Q38,0),"0")</f>
        <v>0</v>
      </c>
      <c r="M38" s="961" t="str">
        <f ca="1">TEXT(OFFSET('5  Control Accounts'!$FQ$33,Q38,0),"0.00")</f>
        <v>0.00</v>
      </c>
      <c r="N38" s="961" t="str">
        <f ca="1">TEXT(OFFSET('5  Control Accounts'!$FU$33,Q38,0),"0.00")</f>
        <v>0.00</v>
      </c>
      <c r="P38" s="537">
        <f ca="1">OFFSET('5  Control Accounts'!$CP$33,Q38,0)</f>
        <v>0</v>
      </c>
      <c r="Q38" s="537">
        <v>32</v>
      </c>
    </row>
    <row r="39" spans="1:17" s="750" customFormat="1" ht="15.9" customHeight="1" x14ac:dyDescent="0.3">
      <c r="A39" s="961" t="str">
        <f ca="1">IF(P39=0,TEXT(0,"0"),OFFSET('5  Control Accounts'!$BF$33,Q39,0)&amp;"."&amp;OFFSET('5  Control Accounts'!$BH$33,Q39,0))</f>
        <v>0</v>
      </c>
      <c r="B39" s="961" t="str">
        <f ca="1">IF(P39=0,TEXT(0,"0"),TEXT(OFFSET('5  Control Accounts'!$FB$33,Q39,0),"General"))</f>
        <v>0</v>
      </c>
      <c r="C39" s="961" t="str">
        <f t="shared" ca="1" si="1"/>
        <v>0</v>
      </c>
      <c r="D39" s="1405" t="str">
        <f t="shared" si="0"/>
        <v>0</v>
      </c>
      <c r="E39" s="961" t="str">
        <f ca="1">IF(P39=0,TEXT(0,"0"),TEXT(OFFSET('5  Control Accounts'!$BD$33,Q39,0),"General"))</f>
        <v>0</v>
      </c>
      <c r="F39" s="961" t="str">
        <f ca="1">TEXT(OFFSET('5  Control Accounts'!$DF$33,Q39,0),"0")</f>
        <v>0</v>
      </c>
      <c r="G39" s="961" t="str">
        <f ca="1">TEXT(OFFSET('5  Control Accounts'!$DI$33,Q39,0),"0")</f>
        <v>0</v>
      </c>
      <c r="H39" s="961" t="str">
        <f ca="1">TEXT(OFFSET('5  Control Accounts'!$CZ$33,Q39,0),"0")</f>
        <v>0</v>
      </c>
      <c r="I39" s="961" t="str">
        <f ca="1">TEXT(OFFSET('5  Control Accounts'!$DL$33,Q39,0),"0")</f>
        <v>0</v>
      </c>
      <c r="J39" s="961" t="str">
        <f ca="1">TEXT(OFFSET('5  Control Accounts'!$DO$33,Q39,0),"0")</f>
        <v>0</v>
      </c>
      <c r="K39" s="961" t="str">
        <f ca="1">TEXT(OFFSET('5  Control Accounts'!$DC$33,Q39,0),"0")</f>
        <v>0</v>
      </c>
      <c r="L39" s="961" t="str">
        <f ca="1">TEXT(OFFSET('5  Control Accounts'!$DS$33,Q39,0),"0")</f>
        <v>0</v>
      </c>
      <c r="M39" s="961" t="str">
        <f ca="1">TEXT(OFFSET('5  Control Accounts'!$FQ$33,Q39,0),"0.00")</f>
        <v>0.00</v>
      </c>
      <c r="N39" s="961" t="str">
        <f ca="1">TEXT(OFFSET('5  Control Accounts'!$FU$33,Q39,0),"0.00")</f>
        <v>0.00</v>
      </c>
      <c r="P39" s="537">
        <f ca="1">OFFSET('5  Control Accounts'!$CP$33,Q39,0)</f>
        <v>0</v>
      </c>
      <c r="Q39" s="537">
        <v>33</v>
      </c>
    </row>
    <row r="40" spans="1:17" s="750" customFormat="1" ht="15.9" customHeight="1" x14ac:dyDescent="0.3">
      <c r="A40" s="961" t="str">
        <f ca="1">IF(P40=0,TEXT(0,"0"),OFFSET('5  Control Accounts'!$BF$33,Q40,0)&amp;"."&amp;OFFSET('5  Control Accounts'!$BH$33,Q40,0))</f>
        <v>0</v>
      </c>
      <c r="B40" s="961" t="str">
        <f ca="1">IF(P40=0,TEXT(0,"0"),TEXT(OFFSET('5  Control Accounts'!$FB$33,Q40,0),"General"))</f>
        <v>0</v>
      </c>
      <c r="C40" s="961" t="str">
        <f t="shared" ca="1" si="1"/>
        <v>0</v>
      </c>
      <c r="D40" s="1405" t="str">
        <f t="shared" si="0"/>
        <v>0</v>
      </c>
      <c r="E40" s="961" t="str">
        <f ca="1">IF(P40=0,TEXT(0,"0"),TEXT(OFFSET('5  Control Accounts'!$BD$33,Q40,0),"General"))</f>
        <v>0</v>
      </c>
      <c r="F40" s="961" t="str">
        <f ca="1">TEXT(OFFSET('5  Control Accounts'!$DF$33,Q40,0),"0")</f>
        <v>0</v>
      </c>
      <c r="G40" s="961" t="str">
        <f ca="1">TEXT(OFFSET('5  Control Accounts'!$DI$33,Q40,0),"0")</f>
        <v>0</v>
      </c>
      <c r="H40" s="961" t="str">
        <f ca="1">TEXT(OFFSET('5  Control Accounts'!$CZ$33,Q40,0),"0")</f>
        <v>0</v>
      </c>
      <c r="I40" s="961" t="str">
        <f ca="1">TEXT(OFFSET('5  Control Accounts'!$DL$33,Q40,0),"0")</f>
        <v>0</v>
      </c>
      <c r="J40" s="961" t="str">
        <f ca="1">TEXT(OFFSET('5  Control Accounts'!$DO$33,Q40,0),"0")</f>
        <v>0</v>
      </c>
      <c r="K40" s="961" t="str">
        <f ca="1">TEXT(OFFSET('5  Control Accounts'!$DC$33,Q40,0),"0")</f>
        <v>0</v>
      </c>
      <c r="L40" s="961" t="str">
        <f ca="1">TEXT(OFFSET('5  Control Accounts'!$DS$33,Q40,0),"0")</f>
        <v>0</v>
      </c>
      <c r="M40" s="961" t="str">
        <f ca="1">TEXT(OFFSET('5  Control Accounts'!$FQ$33,Q40,0),"0.00")</f>
        <v>0.00</v>
      </c>
      <c r="N40" s="961" t="str">
        <f ca="1">TEXT(OFFSET('5  Control Accounts'!$FU$33,Q40,0),"0.00")</f>
        <v>0.00</v>
      </c>
      <c r="P40" s="537">
        <f ca="1">OFFSET('5  Control Accounts'!$CP$33,Q40,0)</f>
        <v>0</v>
      </c>
      <c r="Q40" s="537">
        <v>34</v>
      </c>
    </row>
    <row r="41" spans="1:17" s="750" customFormat="1" ht="15.9" customHeight="1" x14ac:dyDescent="0.3">
      <c r="A41" s="961" t="str">
        <f ca="1">IF(P41=0,TEXT(0,"0"),OFFSET('5  Control Accounts'!$BF$33,Q41,0)&amp;"."&amp;OFFSET('5  Control Accounts'!$BH$33,Q41,0))</f>
        <v>0</v>
      </c>
      <c r="B41" s="961" t="str">
        <f ca="1">IF(P41=0,TEXT(0,"0"),TEXT(OFFSET('5  Control Accounts'!$FB$33,Q41,0),"General"))</f>
        <v>0</v>
      </c>
      <c r="C41" s="961" t="str">
        <f t="shared" ca="1" si="1"/>
        <v>0</v>
      </c>
      <c r="D41" s="1405" t="str">
        <f t="shared" si="0"/>
        <v>0</v>
      </c>
      <c r="E41" s="961" t="str">
        <f ca="1">IF(P41=0,TEXT(0,"0"),TEXT(OFFSET('5  Control Accounts'!$BD$33,Q41,0),"General"))</f>
        <v>0</v>
      </c>
      <c r="F41" s="961" t="str">
        <f ca="1">TEXT(OFFSET('5  Control Accounts'!$DF$33,Q41,0),"0")</f>
        <v>0</v>
      </c>
      <c r="G41" s="961" t="str">
        <f ca="1">TEXT(OFFSET('5  Control Accounts'!$DI$33,Q41,0),"0")</f>
        <v>0</v>
      </c>
      <c r="H41" s="961" t="str">
        <f ca="1">TEXT(OFFSET('5  Control Accounts'!$CZ$33,Q41,0),"0")</f>
        <v>0</v>
      </c>
      <c r="I41" s="961" t="str">
        <f ca="1">TEXT(OFFSET('5  Control Accounts'!$DL$33,Q41,0),"0")</f>
        <v>0</v>
      </c>
      <c r="J41" s="961" t="str">
        <f ca="1">TEXT(OFFSET('5  Control Accounts'!$DO$33,Q41,0),"0")</f>
        <v>0</v>
      </c>
      <c r="K41" s="961" t="str">
        <f ca="1">TEXT(OFFSET('5  Control Accounts'!$DC$33,Q41,0),"0")</f>
        <v>0</v>
      </c>
      <c r="L41" s="961" t="str">
        <f ca="1">TEXT(OFFSET('5  Control Accounts'!$DS$33,Q41,0),"0")</f>
        <v>0</v>
      </c>
      <c r="M41" s="961" t="str">
        <f ca="1">TEXT(OFFSET('5  Control Accounts'!$FQ$33,Q41,0),"0.00")</f>
        <v>0.00</v>
      </c>
      <c r="N41" s="961" t="str">
        <f ca="1">TEXT(OFFSET('5  Control Accounts'!$FU$33,Q41,0),"0.00")</f>
        <v>0.00</v>
      </c>
      <c r="P41" s="537">
        <f ca="1">OFFSET('5  Control Accounts'!$CP$33,Q41,0)</f>
        <v>0</v>
      </c>
      <c r="Q41" s="537">
        <v>35</v>
      </c>
    </row>
    <row r="42" spans="1:17" s="750" customFormat="1" ht="15.9" customHeight="1" x14ac:dyDescent="0.3">
      <c r="A42" s="961" t="str">
        <f ca="1">IF(P42=0,TEXT(0,"0"),OFFSET('5  Control Accounts'!$BF$33,Q42,0)&amp;"."&amp;OFFSET('5  Control Accounts'!$BH$33,Q42,0))</f>
        <v>0</v>
      </c>
      <c r="B42" s="961" t="str">
        <f ca="1">IF(P42=0,TEXT(0,"0"),TEXT(OFFSET('5  Control Accounts'!$FB$33,Q42,0),"General"))</f>
        <v>0</v>
      </c>
      <c r="C42" s="961" t="str">
        <f t="shared" ca="1" si="1"/>
        <v>0</v>
      </c>
      <c r="D42" s="1405" t="str">
        <f t="shared" si="0"/>
        <v>0</v>
      </c>
      <c r="E42" s="961" t="str">
        <f ca="1">IF(P42=0,TEXT(0,"0"),TEXT(OFFSET('5  Control Accounts'!$BD$33,Q42,0),"General"))</f>
        <v>0</v>
      </c>
      <c r="F42" s="961" t="str">
        <f ca="1">TEXT(OFFSET('5  Control Accounts'!$DF$33,Q42,0),"0")</f>
        <v>0</v>
      </c>
      <c r="G42" s="961" t="str">
        <f ca="1">TEXT(OFFSET('5  Control Accounts'!$DI$33,Q42,0),"0")</f>
        <v>0</v>
      </c>
      <c r="H42" s="961" t="str">
        <f ca="1">TEXT(OFFSET('5  Control Accounts'!$CZ$33,Q42,0),"0")</f>
        <v>0</v>
      </c>
      <c r="I42" s="961" t="str">
        <f ca="1">TEXT(OFFSET('5  Control Accounts'!$DL$33,Q42,0),"0")</f>
        <v>0</v>
      </c>
      <c r="J42" s="961" t="str">
        <f ca="1">TEXT(OFFSET('5  Control Accounts'!$DO$33,Q42,0),"0")</f>
        <v>0</v>
      </c>
      <c r="K42" s="961" t="str">
        <f ca="1">TEXT(OFFSET('5  Control Accounts'!$DC$33,Q42,0),"0")</f>
        <v>0</v>
      </c>
      <c r="L42" s="961" t="str">
        <f ca="1">TEXT(OFFSET('5  Control Accounts'!$DS$33,Q42,0),"0")</f>
        <v>0</v>
      </c>
      <c r="M42" s="961" t="str">
        <f ca="1">TEXT(OFFSET('5  Control Accounts'!$FQ$33,Q42,0),"0.00")</f>
        <v>0.00</v>
      </c>
      <c r="N42" s="961" t="str">
        <f ca="1">TEXT(OFFSET('5  Control Accounts'!$FU$33,Q42,0),"0.00")</f>
        <v>0.00</v>
      </c>
      <c r="P42" s="537">
        <f ca="1">OFFSET('5  Control Accounts'!$CP$33,Q42,0)</f>
        <v>0</v>
      </c>
      <c r="Q42" s="537">
        <v>36</v>
      </c>
    </row>
    <row r="43" spans="1:17" s="750" customFormat="1" ht="15.9" customHeight="1" x14ac:dyDescent="0.3">
      <c r="A43" s="961" t="str">
        <f ca="1">IF(P43=0,TEXT(0,"0"),OFFSET('5  Control Accounts'!$BF$33,Q43,0)&amp;"."&amp;OFFSET('5  Control Accounts'!$BH$33,Q43,0))</f>
        <v>0</v>
      </c>
      <c r="B43" s="961" t="str">
        <f ca="1">IF(P43=0,TEXT(0,"0"),TEXT(OFFSET('5  Control Accounts'!$FB$33,Q43,0),"General"))</f>
        <v>0</v>
      </c>
      <c r="C43" s="961" t="str">
        <f t="shared" ca="1" si="1"/>
        <v>0</v>
      </c>
      <c r="D43" s="1405" t="str">
        <f t="shared" si="0"/>
        <v>0</v>
      </c>
      <c r="E43" s="961" t="str">
        <f ca="1">IF(P43=0,TEXT(0,"0"),TEXT(OFFSET('5  Control Accounts'!$BD$33,Q43,0),"General"))</f>
        <v>0</v>
      </c>
      <c r="F43" s="961" t="str">
        <f ca="1">TEXT(OFFSET('5  Control Accounts'!$DF$33,Q43,0),"0")</f>
        <v>0</v>
      </c>
      <c r="G43" s="961" t="str">
        <f ca="1">TEXT(OFFSET('5  Control Accounts'!$DI$33,Q43,0),"0")</f>
        <v>0</v>
      </c>
      <c r="H43" s="961" t="str">
        <f ca="1">TEXT(OFFSET('5  Control Accounts'!$CZ$33,Q43,0),"0")</f>
        <v>0</v>
      </c>
      <c r="I43" s="961" t="str">
        <f ca="1">TEXT(OFFSET('5  Control Accounts'!$DL$33,Q43,0),"0")</f>
        <v>0</v>
      </c>
      <c r="J43" s="961" t="str">
        <f ca="1">TEXT(OFFSET('5  Control Accounts'!$DO$33,Q43,0),"0")</f>
        <v>0</v>
      </c>
      <c r="K43" s="961" t="str">
        <f ca="1">TEXT(OFFSET('5  Control Accounts'!$DC$33,Q43,0),"0")</f>
        <v>0</v>
      </c>
      <c r="L43" s="961" t="str">
        <f ca="1">TEXT(OFFSET('5  Control Accounts'!$DS$33,Q43,0),"0")</f>
        <v>0</v>
      </c>
      <c r="M43" s="961" t="str">
        <f ca="1">TEXT(OFFSET('5  Control Accounts'!$FQ$33,Q43,0),"0.00")</f>
        <v>0.00</v>
      </c>
      <c r="N43" s="961" t="str">
        <f ca="1">TEXT(OFFSET('5  Control Accounts'!$FU$33,Q43,0),"0.00")</f>
        <v>0.00</v>
      </c>
      <c r="P43" s="537">
        <f ca="1">OFFSET('5  Control Accounts'!$CP$33,Q43,0)</f>
        <v>0</v>
      </c>
      <c r="Q43" s="537">
        <v>37</v>
      </c>
    </row>
    <row r="44" spans="1:17" s="750" customFormat="1" ht="15.9" customHeight="1" x14ac:dyDescent="0.3">
      <c r="A44" s="961" t="str">
        <f ca="1">IF(P44=0,TEXT(0,"0"),OFFSET('5  Control Accounts'!$BF$33,Q44,0)&amp;"."&amp;OFFSET('5  Control Accounts'!$BH$33,Q44,0))</f>
        <v>0</v>
      </c>
      <c r="B44" s="961" t="str">
        <f ca="1">IF(P44=0,TEXT(0,"0"),TEXT(OFFSET('5  Control Accounts'!$FB$33,Q44,0),"General"))</f>
        <v>0</v>
      </c>
      <c r="C44" s="961" t="str">
        <f t="shared" ca="1" si="1"/>
        <v>0</v>
      </c>
      <c r="D44" s="1405" t="str">
        <f t="shared" si="0"/>
        <v>0</v>
      </c>
      <c r="E44" s="961" t="str">
        <f ca="1">IF(P44=0,TEXT(0,"0"),TEXT(OFFSET('5  Control Accounts'!$BD$33,Q44,0),"General"))</f>
        <v>0</v>
      </c>
      <c r="F44" s="961" t="str">
        <f ca="1">TEXT(OFFSET('5  Control Accounts'!$DF$33,Q44,0),"0")</f>
        <v>0</v>
      </c>
      <c r="G44" s="961" t="str">
        <f ca="1">TEXT(OFFSET('5  Control Accounts'!$DI$33,Q44,0),"0")</f>
        <v>0</v>
      </c>
      <c r="H44" s="961" t="str">
        <f ca="1">TEXT(OFFSET('5  Control Accounts'!$CZ$33,Q44,0),"0")</f>
        <v>0</v>
      </c>
      <c r="I44" s="961" t="str">
        <f ca="1">TEXT(OFFSET('5  Control Accounts'!$DL$33,Q44,0),"0")</f>
        <v>0</v>
      </c>
      <c r="J44" s="961" t="str">
        <f ca="1">TEXT(OFFSET('5  Control Accounts'!$DO$33,Q44,0),"0")</f>
        <v>0</v>
      </c>
      <c r="K44" s="961" t="str">
        <f ca="1">TEXT(OFFSET('5  Control Accounts'!$DC$33,Q44,0),"0")</f>
        <v>0</v>
      </c>
      <c r="L44" s="961" t="str">
        <f ca="1">TEXT(OFFSET('5  Control Accounts'!$DS$33,Q44,0),"0")</f>
        <v>0</v>
      </c>
      <c r="M44" s="961" t="str">
        <f ca="1">TEXT(OFFSET('5  Control Accounts'!$FQ$33,Q44,0),"0.00")</f>
        <v>0.00</v>
      </c>
      <c r="N44" s="961" t="str">
        <f ca="1">TEXT(OFFSET('5  Control Accounts'!$FU$33,Q44,0),"0.00")</f>
        <v>0.00</v>
      </c>
      <c r="P44" s="537">
        <f ca="1">OFFSET('5  Control Accounts'!$CP$33,Q44,0)</f>
        <v>0</v>
      </c>
      <c r="Q44" s="537">
        <v>38</v>
      </c>
    </row>
    <row r="45" spans="1:17" s="750" customFormat="1" ht="15.9" customHeight="1" x14ac:dyDescent="0.3">
      <c r="A45" s="961" t="str">
        <f ca="1">IF(P45=0,TEXT(0,"0"),OFFSET('5  Control Accounts'!$BF$33,Q45,0)&amp;"."&amp;OFFSET('5  Control Accounts'!$BH$33,Q45,0))</f>
        <v>0</v>
      </c>
      <c r="B45" s="961" t="str">
        <f ca="1">IF(P45=0,TEXT(0,"0"),TEXT(OFFSET('5  Control Accounts'!$FB$33,Q45,0),"General"))</f>
        <v>0</v>
      </c>
      <c r="C45" s="961" t="str">
        <f t="shared" ca="1" si="1"/>
        <v>0</v>
      </c>
      <c r="D45" s="1405" t="str">
        <f t="shared" si="0"/>
        <v>0</v>
      </c>
      <c r="E45" s="961" t="str">
        <f ca="1">IF(P45=0,TEXT(0,"0"),TEXT(OFFSET('5  Control Accounts'!$BD$33,Q45,0),"General"))</f>
        <v>0</v>
      </c>
      <c r="F45" s="961" t="str">
        <f ca="1">TEXT(OFFSET('5  Control Accounts'!$DF$33,Q45,0),"0")</f>
        <v>0</v>
      </c>
      <c r="G45" s="961" t="str">
        <f ca="1">TEXT(OFFSET('5  Control Accounts'!$DI$33,Q45,0),"0")</f>
        <v>0</v>
      </c>
      <c r="H45" s="961" t="str">
        <f ca="1">TEXT(OFFSET('5  Control Accounts'!$CZ$33,Q45,0),"0")</f>
        <v>0</v>
      </c>
      <c r="I45" s="961" t="str">
        <f ca="1">TEXT(OFFSET('5  Control Accounts'!$DL$33,Q45,0),"0")</f>
        <v>0</v>
      </c>
      <c r="J45" s="961" t="str">
        <f ca="1">TEXT(OFFSET('5  Control Accounts'!$DO$33,Q45,0),"0")</f>
        <v>0</v>
      </c>
      <c r="K45" s="961" t="str">
        <f ca="1">TEXT(OFFSET('5  Control Accounts'!$DC$33,Q45,0),"0")</f>
        <v>0</v>
      </c>
      <c r="L45" s="961" t="str">
        <f ca="1">TEXT(OFFSET('5  Control Accounts'!$DS$33,Q45,0),"0")</f>
        <v>0</v>
      </c>
      <c r="M45" s="961" t="str">
        <f ca="1">TEXT(OFFSET('5  Control Accounts'!$FQ$33,Q45,0),"0.00")</f>
        <v>0.00</v>
      </c>
      <c r="N45" s="961" t="str">
        <f ca="1">TEXT(OFFSET('5  Control Accounts'!$FU$33,Q45,0),"0.00")</f>
        <v>0.00</v>
      </c>
      <c r="P45" s="537">
        <f ca="1">OFFSET('5  Control Accounts'!$CP$33,Q45,0)</f>
        <v>0</v>
      </c>
      <c r="Q45" s="537">
        <v>39</v>
      </c>
    </row>
    <row r="46" spans="1:17" s="750" customFormat="1" ht="15.9" customHeight="1" x14ac:dyDescent="0.3">
      <c r="A46" s="961" t="str">
        <f ca="1">IF(P46=0,TEXT(0,"0"),OFFSET('5  Control Accounts'!$BF$33,Q46,0)&amp;"."&amp;OFFSET('5  Control Accounts'!$BH$33,Q46,0))</f>
        <v>0</v>
      </c>
      <c r="B46" s="961" t="str">
        <f ca="1">IF(P46=0,TEXT(0,"0"),TEXT(OFFSET('5  Control Accounts'!$FB$33,Q46,0),"General"))</f>
        <v>0</v>
      </c>
      <c r="C46" s="961" t="str">
        <f t="shared" ca="1" si="1"/>
        <v>0</v>
      </c>
      <c r="D46" s="1405" t="str">
        <f t="shared" si="0"/>
        <v>0</v>
      </c>
      <c r="E46" s="961" t="str">
        <f ca="1">IF(P46=0,TEXT(0,"0"),TEXT(OFFSET('5  Control Accounts'!$BD$33,Q46,0),"General"))</f>
        <v>0</v>
      </c>
      <c r="F46" s="961" t="str">
        <f ca="1">TEXT(OFFSET('5  Control Accounts'!$DF$33,Q46,0),"0")</f>
        <v>0</v>
      </c>
      <c r="G46" s="961" t="str">
        <f ca="1">TEXT(OFFSET('5  Control Accounts'!$DI$33,Q46,0),"0")</f>
        <v>0</v>
      </c>
      <c r="H46" s="961" t="str">
        <f ca="1">TEXT(OFFSET('5  Control Accounts'!$CZ$33,Q46,0),"0")</f>
        <v>0</v>
      </c>
      <c r="I46" s="961" t="str">
        <f ca="1">TEXT(OFFSET('5  Control Accounts'!$DL$33,Q46,0),"0")</f>
        <v>0</v>
      </c>
      <c r="J46" s="961" t="str">
        <f ca="1">TEXT(OFFSET('5  Control Accounts'!$DO$33,Q46,0),"0")</f>
        <v>0</v>
      </c>
      <c r="K46" s="961" t="str">
        <f ca="1">TEXT(OFFSET('5  Control Accounts'!$DC$33,Q46,0),"0")</f>
        <v>0</v>
      </c>
      <c r="L46" s="961" t="str">
        <f ca="1">TEXT(OFFSET('5  Control Accounts'!$DS$33,Q46,0),"0")</f>
        <v>0</v>
      </c>
      <c r="M46" s="961" t="str">
        <f ca="1">TEXT(OFFSET('5  Control Accounts'!$FQ$33,Q46,0),"0.00")</f>
        <v>0.00</v>
      </c>
      <c r="N46" s="961" t="str">
        <f ca="1">TEXT(OFFSET('5  Control Accounts'!$FU$33,Q46,0),"0.00")</f>
        <v>0.00</v>
      </c>
      <c r="P46" s="537">
        <f ca="1">OFFSET('5  Control Accounts'!$CP$33,Q46,0)</f>
        <v>0</v>
      </c>
      <c r="Q46" s="537">
        <v>40</v>
      </c>
    </row>
    <row r="47" spans="1:17" s="750" customFormat="1" ht="15.9" customHeight="1" x14ac:dyDescent="0.3">
      <c r="A47" s="961" t="str">
        <f ca="1">IF(P47=0,TEXT(0,"0"),OFFSET('5  Control Accounts'!$BF$33,Q47,0)&amp;"."&amp;OFFSET('5  Control Accounts'!$BH$33,Q47,0))</f>
        <v>0</v>
      </c>
      <c r="B47" s="961" t="str">
        <f ca="1">IF(P47=0,TEXT(0,"0"),TEXT(OFFSET('5  Control Accounts'!$FB$33,Q47,0),"General"))</f>
        <v>0</v>
      </c>
      <c r="C47" s="961" t="str">
        <f t="shared" ca="1" si="1"/>
        <v>0</v>
      </c>
      <c r="D47" s="1405" t="str">
        <f t="shared" si="0"/>
        <v>0</v>
      </c>
      <c r="E47" s="961" t="str">
        <f ca="1">IF(P47=0,TEXT(0,"0"),TEXT(OFFSET('5  Control Accounts'!$BD$33,Q47,0),"General"))</f>
        <v>0</v>
      </c>
      <c r="F47" s="961" t="str">
        <f ca="1">TEXT(OFFSET('5  Control Accounts'!$DF$33,Q47,0),"0")</f>
        <v>0</v>
      </c>
      <c r="G47" s="961" t="str">
        <f ca="1">TEXT(OFFSET('5  Control Accounts'!$DI$33,Q47,0),"0")</f>
        <v>0</v>
      </c>
      <c r="H47" s="961" t="str">
        <f ca="1">TEXT(OFFSET('5  Control Accounts'!$CZ$33,Q47,0),"0")</f>
        <v>0</v>
      </c>
      <c r="I47" s="961" t="str">
        <f ca="1">TEXT(OFFSET('5  Control Accounts'!$DL$33,Q47,0),"0")</f>
        <v>0</v>
      </c>
      <c r="J47" s="961" t="str">
        <f ca="1">TEXT(OFFSET('5  Control Accounts'!$DO$33,Q47,0),"0")</f>
        <v>0</v>
      </c>
      <c r="K47" s="961" t="str">
        <f ca="1">TEXT(OFFSET('5  Control Accounts'!$DC$33,Q47,0),"0")</f>
        <v>0</v>
      </c>
      <c r="L47" s="961" t="str">
        <f ca="1">TEXT(OFFSET('5  Control Accounts'!$DS$33,Q47,0),"0")</f>
        <v>0</v>
      </c>
      <c r="M47" s="961" t="str">
        <f ca="1">TEXT(OFFSET('5  Control Accounts'!$FQ$33,Q47,0),"0.00")</f>
        <v>0.00</v>
      </c>
      <c r="N47" s="961" t="str">
        <f ca="1">TEXT(OFFSET('5  Control Accounts'!$FU$33,Q47,0),"0.00")</f>
        <v>0.00</v>
      </c>
      <c r="P47" s="537">
        <f ca="1">OFFSET('5  Control Accounts'!$CP$33,Q47,0)</f>
        <v>0</v>
      </c>
      <c r="Q47" s="537">
        <v>41</v>
      </c>
    </row>
    <row r="48" spans="1:17" s="750" customFormat="1" ht="15.9" customHeight="1" x14ac:dyDescent="0.3">
      <c r="A48" s="961" t="str">
        <f ca="1">IF(P48=0,TEXT(0,"0"),OFFSET('5  Control Accounts'!$BF$33,Q48,0)&amp;"."&amp;OFFSET('5  Control Accounts'!$BH$33,Q48,0))</f>
        <v>0</v>
      </c>
      <c r="B48" s="961" t="str">
        <f ca="1">IF(P48=0,TEXT(0,"0"),TEXT(OFFSET('5  Control Accounts'!$FB$33,Q48,0),"General"))</f>
        <v>0</v>
      </c>
      <c r="C48" s="961" t="str">
        <f t="shared" ca="1" si="1"/>
        <v>0</v>
      </c>
      <c r="D48" s="1405" t="str">
        <f t="shared" si="0"/>
        <v>0</v>
      </c>
      <c r="E48" s="961" t="str">
        <f ca="1">IF(P48=0,TEXT(0,"0"),TEXT(OFFSET('5  Control Accounts'!$BD$33,Q48,0),"General"))</f>
        <v>0</v>
      </c>
      <c r="F48" s="961" t="str">
        <f ca="1">TEXT(OFFSET('5  Control Accounts'!$DF$33,Q48,0),"0")</f>
        <v>0</v>
      </c>
      <c r="G48" s="961" t="str">
        <f ca="1">TEXT(OFFSET('5  Control Accounts'!$DI$33,Q48,0),"0")</f>
        <v>0</v>
      </c>
      <c r="H48" s="961" t="str">
        <f ca="1">TEXT(OFFSET('5  Control Accounts'!$CZ$33,Q48,0),"0")</f>
        <v>0</v>
      </c>
      <c r="I48" s="961" t="str">
        <f ca="1">TEXT(OFFSET('5  Control Accounts'!$DL$33,Q48,0),"0")</f>
        <v>0</v>
      </c>
      <c r="J48" s="961" t="str">
        <f ca="1">TEXT(OFFSET('5  Control Accounts'!$DO$33,Q48,0),"0")</f>
        <v>0</v>
      </c>
      <c r="K48" s="961" t="str">
        <f ca="1">TEXT(OFFSET('5  Control Accounts'!$DC$33,Q48,0),"0")</f>
        <v>0</v>
      </c>
      <c r="L48" s="961" t="str">
        <f ca="1">TEXT(OFFSET('5  Control Accounts'!$DS$33,Q48,0),"0")</f>
        <v>0</v>
      </c>
      <c r="M48" s="961" t="str">
        <f ca="1">TEXT(OFFSET('5  Control Accounts'!$FQ$33,Q48,0),"0.00")</f>
        <v>0.00</v>
      </c>
      <c r="N48" s="961" t="str">
        <f ca="1">TEXT(OFFSET('5  Control Accounts'!$FU$33,Q48,0),"0.00")</f>
        <v>0.00</v>
      </c>
      <c r="P48" s="537">
        <f ca="1">OFFSET('5  Control Accounts'!$CP$33,Q48,0)</f>
        <v>0</v>
      </c>
      <c r="Q48" s="537">
        <v>42</v>
      </c>
    </row>
    <row r="49" spans="1:17" s="750" customFormat="1" ht="15.9" customHeight="1" x14ac:dyDescent="0.3">
      <c r="A49" s="961" t="str">
        <f ca="1">IF(P49=0,TEXT(0,"0"),OFFSET('5  Control Accounts'!$BF$33,Q49,0)&amp;"."&amp;OFFSET('5  Control Accounts'!$BH$33,Q49,0))</f>
        <v>0</v>
      </c>
      <c r="B49" s="961" t="str">
        <f ca="1">IF(P49=0,TEXT(0,"0"),TEXT(OFFSET('5  Control Accounts'!$FB$33,Q49,0),"General"))</f>
        <v>0</v>
      </c>
      <c r="C49" s="961" t="str">
        <f t="shared" ca="1" si="1"/>
        <v>0</v>
      </c>
      <c r="D49" s="1405" t="str">
        <f t="shared" si="0"/>
        <v>0</v>
      </c>
      <c r="E49" s="961" t="str">
        <f ca="1">IF(P49=0,TEXT(0,"0"),TEXT(OFFSET('5  Control Accounts'!$BD$33,Q49,0),"General"))</f>
        <v>0</v>
      </c>
      <c r="F49" s="961" t="str">
        <f ca="1">TEXT(OFFSET('5  Control Accounts'!$DF$33,Q49,0),"0")</f>
        <v>0</v>
      </c>
      <c r="G49" s="961" t="str">
        <f ca="1">TEXT(OFFSET('5  Control Accounts'!$DI$33,Q49,0),"0")</f>
        <v>0</v>
      </c>
      <c r="H49" s="961" t="str">
        <f ca="1">TEXT(OFFSET('5  Control Accounts'!$CZ$33,Q49,0),"0")</f>
        <v>0</v>
      </c>
      <c r="I49" s="961" t="str">
        <f ca="1">TEXT(OFFSET('5  Control Accounts'!$DL$33,Q49,0),"0")</f>
        <v>0</v>
      </c>
      <c r="J49" s="961" t="str">
        <f ca="1">TEXT(OFFSET('5  Control Accounts'!$DO$33,Q49,0),"0")</f>
        <v>0</v>
      </c>
      <c r="K49" s="961" t="str">
        <f ca="1">TEXT(OFFSET('5  Control Accounts'!$DC$33,Q49,0),"0")</f>
        <v>0</v>
      </c>
      <c r="L49" s="961" t="str">
        <f ca="1">TEXT(OFFSET('5  Control Accounts'!$DS$33,Q49,0),"0")</f>
        <v>0</v>
      </c>
      <c r="M49" s="961" t="str">
        <f ca="1">TEXT(OFFSET('5  Control Accounts'!$FQ$33,Q49,0),"0.00")</f>
        <v>0.00</v>
      </c>
      <c r="N49" s="961" t="str">
        <f ca="1">TEXT(OFFSET('5  Control Accounts'!$FU$33,Q49,0),"0.00")</f>
        <v>0.00</v>
      </c>
      <c r="P49" s="537">
        <f ca="1">OFFSET('5  Control Accounts'!$CP$33,Q49,0)</f>
        <v>0</v>
      </c>
      <c r="Q49" s="537">
        <v>43</v>
      </c>
    </row>
    <row r="50" spans="1:17" s="750" customFormat="1" ht="15.9" customHeight="1" x14ac:dyDescent="0.3">
      <c r="A50" s="961" t="str">
        <f ca="1">IF(P50=0,TEXT(0,"0"),OFFSET('5  Control Accounts'!$BF$33,Q50,0)&amp;"."&amp;OFFSET('5  Control Accounts'!$BH$33,Q50,0))</f>
        <v>0</v>
      </c>
      <c r="B50" s="961" t="str">
        <f ca="1">IF(P50=0,TEXT(0,"0"),TEXT(OFFSET('5  Control Accounts'!$FB$33,Q50,0),"General"))</f>
        <v>0</v>
      </c>
      <c r="C50" s="961" t="str">
        <f t="shared" ca="1" si="1"/>
        <v>0</v>
      </c>
      <c r="D50" s="1405" t="str">
        <f t="shared" si="0"/>
        <v>0</v>
      </c>
      <c r="E50" s="961" t="str">
        <f ca="1">IF(P50=0,TEXT(0,"0"),TEXT(OFFSET('5  Control Accounts'!$BD$33,Q50,0),"General"))</f>
        <v>0</v>
      </c>
      <c r="F50" s="961" t="str">
        <f ca="1">TEXT(OFFSET('5  Control Accounts'!$DF$33,Q50,0),"0")</f>
        <v>0</v>
      </c>
      <c r="G50" s="961" t="str">
        <f ca="1">TEXT(OFFSET('5  Control Accounts'!$DI$33,Q50,0),"0")</f>
        <v>0</v>
      </c>
      <c r="H50" s="961" t="str">
        <f ca="1">TEXT(OFFSET('5  Control Accounts'!$CZ$33,Q50,0),"0")</f>
        <v>0</v>
      </c>
      <c r="I50" s="961" t="str">
        <f ca="1">TEXT(OFFSET('5  Control Accounts'!$DL$33,Q50,0),"0")</f>
        <v>0</v>
      </c>
      <c r="J50" s="961" t="str">
        <f ca="1">TEXT(OFFSET('5  Control Accounts'!$DO$33,Q50,0),"0")</f>
        <v>0</v>
      </c>
      <c r="K50" s="961" t="str">
        <f ca="1">TEXT(OFFSET('5  Control Accounts'!$DC$33,Q50,0),"0")</f>
        <v>0</v>
      </c>
      <c r="L50" s="961" t="str">
        <f ca="1">TEXT(OFFSET('5  Control Accounts'!$DS$33,Q50,0),"0")</f>
        <v>0</v>
      </c>
      <c r="M50" s="961" t="str">
        <f ca="1">TEXT(OFFSET('5  Control Accounts'!$FQ$33,Q50,0),"0.00")</f>
        <v>0.00</v>
      </c>
      <c r="N50" s="961" t="str">
        <f ca="1">TEXT(OFFSET('5  Control Accounts'!$FU$33,Q50,0),"0.00")</f>
        <v>0.00</v>
      </c>
      <c r="P50" s="537">
        <f ca="1">OFFSET('5  Control Accounts'!$CP$33,Q50,0)</f>
        <v>0</v>
      </c>
      <c r="Q50" s="537">
        <v>44</v>
      </c>
    </row>
    <row r="51" spans="1:17" s="750" customFormat="1" ht="15.9" customHeight="1" x14ac:dyDescent="0.3">
      <c r="A51" s="961" t="str">
        <f ca="1">IF(P51=0,TEXT(0,"0"),OFFSET('5  Control Accounts'!$BF$33,Q51,0)&amp;"."&amp;OFFSET('5  Control Accounts'!$BH$33,Q51,0))</f>
        <v>0</v>
      </c>
      <c r="B51" s="961" t="str">
        <f ca="1">IF(P51=0,TEXT(0,"0"),TEXT(OFFSET('5  Control Accounts'!$FB$33,Q51,0),"General"))</f>
        <v>0</v>
      </c>
      <c r="C51" s="961" t="str">
        <f t="shared" ca="1" si="1"/>
        <v>0</v>
      </c>
      <c r="D51" s="1405" t="str">
        <f t="shared" si="0"/>
        <v>0</v>
      </c>
      <c r="E51" s="961" t="str">
        <f ca="1">IF(P51=0,TEXT(0,"0"),TEXT(OFFSET('5  Control Accounts'!$BD$33,Q51,0),"General"))</f>
        <v>0</v>
      </c>
      <c r="F51" s="961" t="str">
        <f ca="1">TEXT(OFFSET('5  Control Accounts'!$DF$33,Q51,0),"0")</f>
        <v>0</v>
      </c>
      <c r="G51" s="961" t="str">
        <f ca="1">TEXT(OFFSET('5  Control Accounts'!$DI$33,Q51,0),"0")</f>
        <v>0</v>
      </c>
      <c r="H51" s="961" t="str">
        <f ca="1">TEXT(OFFSET('5  Control Accounts'!$CZ$33,Q51,0),"0")</f>
        <v>0</v>
      </c>
      <c r="I51" s="961" t="str">
        <f ca="1">TEXT(OFFSET('5  Control Accounts'!$DL$33,Q51,0),"0")</f>
        <v>0</v>
      </c>
      <c r="J51" s="961" t="str">
        <f ca="1">TEXT(OFFSET('5  Control Accounts'!$DO$33,Q51,0),"0")</f>
        <v>0</v>
      </c>
      <c r="K51" s="961" t="str">
        <f ca="1">TEXT(OFFSET('5  Control Accounts'!$DC$33,Q51,0),"0")</f>
        <v>0</v>
      </c>
      <c r="L51" s="961" t="str">
        <f ca="1">TEXT(OFFSET('5  Control Accounts'!$DS$33,Q51,0),"0")</f>
        <v>0</v>
      </c>
      <c r="M51" s="961" t="str">
        <f ca="1">TEXT(OFFSET('5  Control Accounts'!$FQ$33,Q51,0),"0.00")</f>
        <v>0.00</v>
      </c>
      <c r="N51" s="961" t="str">
        <f ca="1">TEXT(OFFSET('5  Control Accounts'!$FU$33,Q51,0),"0.00")</f>
        <v>0.00</v>
      </c>
      <c r="P51" s="537">
        <f ca="1">OFFSET('5  Control Accounts'!$CP$33,Q51,0)</f>
        <v>0</v>
      </c>
      <c r="Q51" s="537">
        <v>45</v>
      </c>
    </row>
    <row r="52" spans="1:17" s="750" customFormat="1" ht="15.9" customHeight="1" x14ac:dyDescent="0.3">
      <c r="A52" s="961" t="str">
        <f ca="1">IF(P52=0,TEXT(0,"0"),OFFSET('5  Control Accounts'!$BF$33,Q52,0)&amp;"."&amp;OFFSET('5  Control Accounts'!$BH$33,Q52,0))</f>
        <v>0</v>
      </c>
      <c r="B52" s="961" t="str">
        <f ca="1">IF(P52=0,TEXT(0,"0"),TEXT(OFFSET('5  Control Accounts'!$FB$33,Q52,0),"General"))</f>
        <v>0</v>
      </c>
      <c r="C52" s="961" t="str">
        <f t="shared" ca="1" si="1"/>
        <v>0</v>
      </c>
      <c r="D52" s="1405" t="str">
        <f t="shared" si="0"/>
        <v>0</v>
      </c>
      <c r="E52" s="961" t="str">
        <f ca="1">IF(P52=0,TEXT(0,"0"),TEXT(OFFSET('5  Control Accounts'!$BD$33,Q52,0),"General"))</f>
        <v>0</v>
      </c>
      <c r="F52" s="961" t="str">
        <f ca="1">TEXT(OFFSET('5  Control Accounts'!$DF$33,Q52,0),"0")</f>
        <v>0</v>
      </c>
      <c r="G52" s="961" t="str">
        <f ca="1">TEXT(OFFSET('5  Control Accounts'!$DI$33,Q52,0),"0")</f>
        <v>0</v>
      </c>
      <c r="H52" s="961" t="str">
        <f ca="1">TEXT(OFFSET('5  Control Accounts'!$CZ$33,Q52,0),"0")</f>
        <v>0</v>
      </c>
      <c r="I52" s="961" t="str">
        <f ca="1">TEXT(OFFSET('5  Control Accounts'!$DL$33,Q52,0),"0")</f>
        <v>0</v>
      </c>
      <c r="J52" s="961" t="str">
        <f ca="1">TEXT(OFFSET('5  Control Accounts'!$DO$33,Q52,0),"0")</f>
        <v>0</v>
      </c>
      <c r="K52" s="961" t="str">
        <f ca="1">TEXT(OFFSET('5  Control Accounts'!$DC$33,Q52,0),"0")</f>
        <v>0</v>
      </c>
      <c r="L52" s="961" t="str">
        <f ca="1">TEXT(OFFSET('5  Control Accounts'!$DS$33,Q52,0),"0")</f>
        <v>0</v>
      </c>
      <c r="M52" s="961" t="str">
        <f ca="1">TEXT(OFFSET('5  Control Accounts'!$FQ$33,Q52,0),"0.00")</f>
        <v>0.00</v>
      </c>
      <c r="N52" s="961" t="str">
        <f ca="1">TEXT(OFFSET('5  Control Accounts'!$FU$33,Q52,0),"0.00")</f>
        <v>0.00</v>
      </c>
      <c r="P52" s="537">
        <f ca="1">OFFSET('5  Control Accounts'!$CP$33,Q52,0)</f>
        <v>0</v>
      </c>
      <c r="Q52" s="537">
        <v>46</v>
      </c>
    </row>
    <row r="53" spans="1:17" s="750" customFormat="1" ht="15.9" customHeight="1" x14ac:dyDescent="0.3">
      <c r="A53" s="961" t="str">
        <f ca="1">IF(P53=0,TEXT(0,"0"),OFFSET('5  Control Accounts'!$BF$33,Q53,0)&amp;"."&amp;OFFSET('5  Control Accounts'!$BH$33,Q53,0))</f>
        <v>0</v>
      </c>
      <c r="B53" s="961" t="str">
        <f ca="1">IF(P53=0,TEXT(0,"0"),TEXT(OFFSET('5  Control Accounts'!$FB$33,Q53,0),"General"))</f>
        <v>0</v>
      </c>
      <c r="C53" s="961" t="str">
        <f t="shared" ca="1" si="1"/>
        <v>0</v>
      </c>
      <c r="D53" s="1405" t="str">
        <f t="shared" si="0"/>
        <v>0</v>
      </c>
      <c r="E53" s="961" t="str">
        <f ca="1">IF(P53=0,TEXT(0,"0"),TEXT(OFFSET('5  Control Accounts'!$BD$33,Q53,0),"General"))</f>
        <v>0</v>
      </c>
      <c r="F53" s="961" t="str">
        <f ca="1">TEXT(OFFSET('5  Control Accounts'!$DF$33,Q53,0),"0")</f>
        <v>0</v>
      </c>
      <c r="G53" s="961" t="str">
        <f ca="1">TEXT(OFFSET('5  Control Accounts'!$DI$33,Q53,0),"0")</f>
        <v>0</v>
      </c>
      <c r="H53" s="961" t="str">
        <f ca="1">TEXT(OFFSET('5  Control Accounts'!$CZ$33,Q53,0),"0")</f>
        <v>0</v>
      </c>
      <c r="I53" s="961" t="str">
        <f ca="1">TEXT(OFFSET('5  Control Accounts'!$DL$33,Q53,0),"0")</f>
        <v>0</v>
      </c>
      <c r="J53" s="961" t="str">
        <f ca="1">TEXT(OFFSET('5  Control Accounts'!$DO$33,Q53,0),"0")</f>
        <v>0</v>
      </c>
      <c r="K53" s="961" t="str">
        <f ca="1">TEXT(OFFSET('5  Control Accounts'!$DC$33,Q53,0),"0")</f>
        <v>0</v>
      </c>
      <c r="L53" s="961" t="str">
        <f ca="1">TEXT(OFFSET('5  Control Accounts'!$DS$33,Q53,0),"0")</f>
        <v>0</v>
      </c>
      <c r="M53" s="961" t="str">
        <f ca="1">TEXT(OFFSET('5  Control Accounts'!$FQ$33,Q53,0),"0.00")</f>
        <v>0.00</v>
      </c>
      <c r="N53" s="961" t="str">
        <f ca="1">TEXT(OFFSET('5  Control Accounts'!$FU$33,Q53,0),"0.00")</f>
        <v>0.00</v>
      </c>
      <c r="P53" s="537">
        <f ca="1">OFFSET('5  Control Accounts'!$CP$33,Q53,0)</f>
        <v>0</v>
      </c>
      <c r="Q53" s="537">
        <v>47</v>
      </c>
    </row>
    <row r="54" spans="1:17" s="750" customFormat="1" ht="15.9" customHeight="1" x14ac:dyDescent="0.3">
      <c r="A54" s="961" t="str">
        <f ca="1">IF(P54=0,TEXT(0,"0"),OFFSET('5  Control Accounts'!$BF$33,Q54,0)&amp;"."&amp;OFFSET('5  Control Accounts'!$BH$33,Q54,0))</f>
        <v>0</v>
      </c>
      <c r="B54" s="961" t="str">
        <f ca="1">IF(P54=0,TEXT(0,"0"),TEXT(OFFSET('5  Control Accounts'!$FB$33,Q54,0),"General"))</f>
        <v>0</v>
      </c>
      <c r="C54" s="961" t="str">
        <f t="shared" ca="1" si="1"/>
        <v>0</v>
      </c>
      <c r="D54" s="1405" t="str">
        <f t="shared" si="0"/>
        <v>0</v>
      </c>
      <c r="E54" s="961" t="str">
        <f ca="1">IF(P54=0,TEXT(0,"0"),TEXT(OFFSET('5  Control Accounts'!$BD$33,Q54,0),"General"))</f>
        <v>0</v>
      </c>
      <c r="F54" s="961" t="str">
        <f ca="1">TEXT(OFFSET('5  Control Accounts'!$DF$33,Q54,0),"0")</f>
        <v>0</v>
      </c>
      <c r="G54" s="961" t="str">
        <f ca="1">TEXT(OFFSET('5  Control Accounts'!$DI$33,Q54,0),"0")</f>
        <v>0</v>
      </c>
      <c r="H54" s="961" t="str">
        <f ca="1">TEXT(OFFSET('5  Control Accounts'!$CZ$33,Q54,0),"0")</f>
        <v>0</v>
      </c>
      <c r="I54" s="961" t="str">
        <f ca="1">TEXT(OFFSET('5  Control Accounts'!$DL$33,Q54,0),"0")</f>
        <v>0</v>
      </c>
      <c r="J54" s="961" t="str">
        <f ca="1">TEXT(OFFSET('5  Control Accounts'!$DO$33,Q54,0),"0")</f>
        <v>0</v>
      </c>
      <c r="K54" s="961" t="str">
        <f ca="1">TEXT(OFFSET('5  Control Accounts'!$DC$33,Q54,0),"0")</f>
        <v>0</v>
      </c>
      <c r="L54" s="961" t="str">
        <f ca="1">TEXT(OFFSET('5  Control Accounts'!$DS$33,Q54,0),"0")</f>
        <v>0</v>
      </c>
      <c r="M54" s="961" t="str">
        <f ca="1">TEXT(OFFSET('5  Control Accounts'!$FQ$33,Q54,0),"0.00")</f>
        <v>0.00</v>
      </c>
      <c r="N54" s="961" t="str">
        <f ca="1">TEXT(OFFSET('5  Control Accounts'!$FU$33,Q54,0),"0.00")</f>
        <v>0.00</v>
      </c>
      <c r="P54" s="537">
        <f ca="1">OFFSET('5  Control Accounts'!$CP$33,Q54,0)</f>
        <v>0</v>
      </c>
      <c r="Q54" s="537">
        <v>48</v>
      </c>
    </row>
    <row r="55" spans="1:17" s="750" customFormat="1" ht="15.9" customHeight="1" x14ac:dyDescent="0.3">
      <c r="A55" s="961" t="str">
        <f ca="1">IF(P55=0,TEXT(0,"0"),OFFSET('5  Control Accounts'!$BF$33,Q55,0)&amp;"."&amp;OFFSET('5  Control Accounts'!$BH$33,Q55,0))</f>
        <v>0</v>
      </c>
      <c r="B55" s="961" t="str">
        <f ca="1">IF(P55=0,TEXT(0,"0"),TEXT(OFFSET('5  Control Accounts'!$FB$33,Q55,0),"General"))</f>
        <v>0</v>
      </c>
      <c r="C55" s="961" t="str">
        <f t="shared" ca="1" si="1"/>
        <v>0</v>
      </c>
      <c r="D55" s="1405" t="str">
        <f t="shared" si="0"/>
        <v>0</v>
      </c>
      <c r="E55" s="961" t="str">
        <f ca="1">IF(P55=0,TEXT(0,"0"),TEXT(OFFSET('5  Control Accounts'!$BD$33,Q55,0),"General"))</f>
        <v>0</v>
      </c>
      <c r="F55" s="961" t="str">
        <f ca="1">TEXT(OFFSET('5  Control Accounts'!$DF$33,Q55,0),"0")</f>
        <v>0</v>
      </c>
      <c r="G55" s="961" t="str">
        <f ca="1">TEXT(OFFSET('5  Control Accounts'!$DI$33,Q55,0),"0")</f>
        <v>0</v>
      </c>
      <c r="H55" s="961" t="str">
        <f ca="1">TEXT(OFFSET('5  Control Accounts'!$CZ$33,Q55,0),"0")</f>
        <v>0</v>
      </c>
      <c r="I55" s="961" t="str">
        <f ca="1">TEXT(OFFSET('5  Control Accounts'!$DL$33,Q55,0),"0")</f>
        <v>0</v>
      </c>
      <c r="J55" s="961" t="str">
        <f ca="1">TEXT(OFFSET('5  Control Accounts'!$DO$33,Q55,0),"0")</f>
        <v>0</v>
      </c>
      <c r="K55" s="961" t="str">
        <f ca="1">TEXT(OFFSET('5  Control Accounts'!$DC$33,Q55,0),"0")</f>
        <v>0</v>
      </c>
      <c r="L55" s="961" t="str">
        <f ca="1">TEXT(OFFSET('5  Control Accounts'!$DS$33,Q55,0),"0")</f>
        <v>0</v>
      </c>
      <c r="M55" s="961" t="str">
        <f ca="1">TEXT(OFFSET('5  Control Accounts'!$FQ$33,Q55,0),"0.00")</f>
        <v>0.00</v>
      </c>
      <c r="N55" s="961" t="str">
        <f ca="1">TEXT(OFFSET('5  Control Accounts'!$FU$33,Q55,0),"0.00")</f>
        <v>0.00</v>
      </c>
      <c r="P55" s="537">
        <f ca="1">OFFSET('5  Control Accounts'!$CP$33,Q55,0)</f>
        <v>0</v>
      </c>
      <c r="Q55" s="537">
        <v>49</v>
      </c>
    </row>
    <row r="56" spans="1:17" s="750" customFormat="1" ht="15.9" customHeight="1" x14ac:dyDescent="0.3">
      <c r="A56" s="961" t="str">
        <f ca="1">IF(P56=0,TEXT(0,"0"),OFFSET('5  Control Accounts'!$BF$33,Q56,0)&amp;"."&amp;OFFSET('5  Control Accounts'!$BH$33,Q56,0))</f>
        <v>0</v>
      </c>
      <c r="B56" s="961" t="str">
        <f ca="1">IF(P56=0,TEXT(0,"0"),TEXT(OFFSET('5  Control Accounts'!$FB$33,Q56,0),"General"))</f>
        <v>0</v>
      </c>
      <c r="C56" s="961" t="str">
        <f t="shared" ca="1" si="1"/>
        <v>0</v>
      </c>
      <c r="D56" s="1405" t="str">
        <f t="shared" si="0"/>
        <v>0</v>
      </c>
      <c r="E56" s="961" t="str">
        <f ca="1">IF(P56=0,TEXT(0,"0"),TEXT(OFFSET('5  Control Accounts'!$BD$33,Q56,0),"General"))</f>
        <v>0</v>
      </c>
      <c r="F56" s="961" t="str">
        <f ca="1">TEXT(OFFSET('5  Control Accounts'!$DF$33,Q56,0),"0")</f>
        <v>0</v>
      </c>
      <c r="G56" s="961" t="str">
        <f ca="1">TEXT(OFFSET('5  Control Accounts'!$DI$33,Q56,0),"0")</f>
        <v>0</v>
      </c>
      <c r="H56" s="961" t="str">
        <f ca="1">TEXT(OFFSET('5  Control Accounts'!$CZ$33,Q56,0),"0")</f>
        <v>0</v>
      </c>
      <c r="I56" s="961" t="str">
        <f ca="1">TEXT(OFFSET('5  Control Accounts'!$DL$33,Q56,0),"0")</f>
        <v>0</v>
      </c>
      <c r="J56" s="961" t="str">
        <f ca="1">TEXT(OFFSET('5  Control Accounts'!$DO$33,Q56,0),"0")</f>
        <v>0</v>
      </c>
      <c r="K56" s="961" t="str">
        <f ca="1">TEXT(OFFSET('5  Control Accounts'!$DC$33,Q56,0),"0")</f>
        <v>0</v>
      </c>
      <c r="L56" s="961" t="str">
        <f ca="1">TEXT(OFFSET('5  Control Accounts'!$DS$33,Q56,0),"0")</f>
        <v>0</v>
      </c>
      <c r="M56" s="961" t="str">
        <f ca="1">TEXT(OFFSET('5  Control Accounts'!$FQ$33,Q56,0),"0.00")</f>
        <v>0.00</v>
      </c>
      <c r="N56" s="961" t="str">
        <f ca="1">TEXT(OFFSET('5  Control Accounts'!$FU$33,Q56,0),"0.00")</f>
        <v>0.00</v>
      </c>
      <c r="P56" s="537">
        <f ca="1">OFFSET('5  Control Accounts'!$CP$33,Q56,0)</f>
        <v>0</v>
      </c>
      <c r="Q56" s="537">
        <v>50</v>
      </c>
    </row>
    <row r="57" spans="1:17" s="750" customFormat="1" ht="15.9" customHeight="1" x14ac:dyDescent="0.3">
      <c r="A57" s="961" t="str">
        <f ca="1">IF(P57=0,TEXT(0,"0"),OFFSET('5  Control Accounts'!$BF$33,Q57,0)&amp;"."&amp;OFFSET('5  Control Accounts'!$BH$33,Q57,0))</f>
        <v>0</v>
      </c>
      <c r="B57" s="961" t="str">
        <f ca="1">IF(P57=0,TEXT(0,"0"),TEXT(OFFSET('5  Control Accounts'!$FB$33,Q57,0),"General"))</f>
        <v>0</v>
      </c>
      <c r="C57" s="961" t="str">
        <f t="shared" ca="1" si="1"/>
        <v>0</v>
      </c>
      <c r="D57" s="1405" t="str">
        <f t="shared" si="0"/>
        <v>0</v>
      </c>
      <c r="E57" s="961" t="str">
        <f ca="1">IF(P57=0,TEXT(0,"0"),TEXT(OFFSET('5  Control Accounts'!$BD$33,Q57,0),"General"))</f>
        <v>0</v>
      </c>
      <c r="F57" s="961" t="str">
        <f ca="1">TEXT(OFFSET('5  Control Accounts'!$DF$33,Q57,0),"0")</f>
        <v>0</v>
      </c>
      <c r="G57" s="961" t="str">
        <f ca="1">TEXT(OFFSET('5  Control Accounts'!$DI$33,Q57,0),"0")</f>
        <v>0</v>
      </c>
      <c r="H57" s="961" t="str">
        <f ca="1">TEXT(OFFSET('5  Control Accounts'!$CZ$33,Q57,0),"0")</f>
        <v>0</v>
      </c>
      <c r="I57" s="961" t="str">
        <f ca="1">TEXT(OFFSET('5  Control Accounts'!$DL$33,Q57,0),"0")</f>
        <v>0</v>
      </c>
      <c r="J57" s="961" t="str">
        <f ca="1">TEXT(OFFSET('5  Control Accounts'!$DO$33,Q57,0),"0")</f>
        <v>0</v>
      </c>
      <c r="K57" s="961" t="str">
        <f ca="1">TEXT(OFFSET('5  Control Accounts'!$DC$33,Q57,0),"0")</f>
        <v>0</v>
      </c>
      <c r="L57" s="961" t="str">
        <f ca="1">TEXT(OFFSET('5  Control Accounts'!$DS$33,Q57,0),"0")</f>
        <v>0</v>
      </c>
      <c r="M57" s="961" t="str">
        <f ca="1">TEXT(OFFSET('5  Control Accounts'!$FQ$33,Q57,0),"0.00")</f>
        <v>0.00</v>
      </c>
      <c r="N57" s="961" t="str">
        <f ca="1">TEXT(OFFSET('5  Control Accounts'!$FU$33,Q57,0),"0.00")</f>
        <v>0.00</v>
      </c>
      <c r="P57" s="537">
        <f ca="1">OFFSET('5  Control Accounts'!$CP$33,Q57,0)</f>
        <v>0</v>
      </c>
      <c r="Q57" s="537">
        <v>51</v>
      </c>
    </row>
    <row r="58" spans="1:17" s="750" customFormat="1" ht="15.9" customHeight="1" x14ac:dyDescent="0.3">
      <c r="A58" s="961" t="str">
        <f ca="1">IF(P58=0,TEXT(0,"0"),OFFSET('5  Control Accounts'!$BF$33,Q58,0)&amp;"."&amp;OFFSET('5  Control Accounts'!$BH$33,Q58,0))</f>
        <v>0</v>
      </c>
      <c r="B58" s="961" t="str">
        <f ca="1">IF(P58=0,TEXT(0,"0"),TEXT(OFFSET('5  Control Accounts'!$FB$33,Q58,0),"General"))</f>
        <v>0</v>
      </c>
      <c r="C58" s="961" t="str">
        <f t="shared" ca="1" si="1"/>
        <v>0</v>
      </c>
      <c r="D58" s="1405" t="str">
        <f t="shared" si="0"/>
        <v>0</v>
      </c>
      <c r="E58" s="961" t="str">
        <f ca="1">IF(P58=0,TEXT(0,"0"),TEXT(OFFSET('5  Control Accounts'!$BD$33,Q58,0),"General"))</f>
        <v>0</v>
      </c>
      <c r="F58" s="961" t="str">
        <f ca="1">TEXT(OFFSET('5  Control Accounts'!$DF$33,Q58,0),"0")</f>
        <v>0</v>
      </c>
      <c r="G58" s="961" t="str">
        <f ca="1">TEXT(OFFSET('5  Control Accounts'!$DI$33,Q58,0),"0")</f>
        <v>0</v>
      </c>
      <c r="H58" s="961" t="str">
        <f ca="1">TEXT(OFFSET('5  Control Accounts'!$CZ$33,Q58,0),"0")</f>
        <v>0</v>
      </c>
      <c r="I58" s="961" t="str">
        <f ca="1">TEXT(OFFSET('5  Control Accounts'!$DL$33,Q58,0),"0")</f>
        <v>0</v>
      </c>
      <c r="J58" s="961" t="str">
        <f ca="1">TEXT(OFFSET('5  Control Accounts'!$DO$33,Q58,0),"0")</f>
        <v>0</v>
      </c>
      <c r="K58" s="961" t="str">
        <f ca="1">TEXT(OFFSET('5  Control Accounts'!$DC$33,Q58,0),"0")</f>
        <v>0</v>
      </c>
      <c r="L58" s="961" t="str">
        <f ca="1">TEXT(OFFSET('5  Control Accounts'!$DS$33,Q58,0),"0")</f>
        <v>0</v>
      </c>
      <c r="M58" s="961" t="str">
        <f ca="1">TEXT(OFFSET('5  Control Accounts'!$FQ$33,Q58,0),"0.00")</f>
        <v>0.00</v>
      </c>
      <c r="N58" s="961" t="str">
        <f ca="1">TEXT(OFFSET('5  Control Accounts'!$FU$33,Q58,0),"0.00")</f>
        <v>0.00</v>
      </c>
      <c r="P58" s="537">
        <f ca="1">OFFSET('5  Control Accounts'!$CP$33,Q58,0)</f>
        <v>0</v>
      </c>
      <c r="Q58" s="537">
        <v>52</v>
      </c>
    </row>
    <row r="59" spans="1:17" s="750" customFormat="1" ht="15.9" customHeight="1" x14ac:dyDescent="0.3">
      <c r="A59" s="961" t="str">
        <f ca="1">IF(P59=0,TEXT(0,"0"),OFFSET('5  Control Accounts'!$BF$33,Q59,0)&amp;"."&amp;OFFSET('5  Control Accounts'!$BH$33,Q59,0))</f>
        <v>0</v>
      </c>
      <c r="B59" s="961" t="str">
        <f ca="1">IF(P59=0,TEXT(0,"0"),TEXT(OFFSET('5  Control Accounts'!$FB$33,Q59,0),"General"))</f>
        <v>0</v>
      </c>
      <c r="C59" s="961" t="str">
        <f t="shared" ca="1" si="1"/>
        <v>0</v>
      </c>
      <c r="D59" s="1405" t="str">
        <f t="shared" si="0"/>
        <v>0</v>
      </c>
      <c r="E59" s="961" t="str">
        <f ca="1">IF(P59=0,TEXT(0,"0"),TEXT(OFFSET('5  Control Accounts'!$BD$33,Q59,0),"General"))</f>
        <v>0</v>
      </c>
      <c r="F59" s="961" t="str">
        <f ca="1">TEXT(OFFSET('5  Control Accounts'!$DF$33,Q59,0),"0")</f>
        <v>0</v>
      </c>
      <c r="G59" s="961" t="str">
        <f ca="1">TEXT(OFFSET('5  Control Accounts'!$DI$33,Q59,0),"0")</f>
        <v>0</v>
      </c>
      <c r="H59" s="961" t="str">
        <f ca="1">TEXT(OFFSET('5  Control Accounts'!$CZ$33,Q59,0),"0")</f>
        <v>0</v>
      </c>
      <c r="I59" s="961" t="str">
        <f ca="1">TEXT(OFFSET('5  Control Accounts'!$DL$33,Q59,0),"0")</f>
        <v>0</v>
      </c>
      <c r="J59" s="961" t="str">
        <f ca="1">TEXT(OFFSET('5  Control Accounts'!$DO$33,Q59,0),"0")</f>
        <v>0</v>
      </c>
      <c r="K59" s="961" t="str">
        <f ca="1">TEXT(OFFSET('5  Control Accounts'!$DC$33,Q59,0),"0")</f>
        <v>0</v>
      </c>
      <c r="L59" s="961" t="str">
        <f ca="1">TEXT(OFFSET('5  Control Accounts'!$DS$33,Q59,0),"0")</f>
        <v>0</v>
      </c>
      <c r="M59" s="961" t="str">
        <f ca="1">TEXT(OFFSET('5  Control Accounts'!$FQ$33,Q59,0),"0.00")</f>
        <v>0.00</v>
      </c>
      <c r="N59" s="961" t="str">
        <f ca="1">TEXT(OFFSET('5  Control Accounts'!$FU$33,Q59,0),"0.00")</f>
        <v>0.00</v>
      </c>
      <c r="P59" s="537">
        <f ca="1">OFFSET('5  Control Accounts'!$CP$33,Q59,0)</f>
        <v>0</v>
      </c>
      <c r="Q59" s="537">
        <v>53</v>
      </c>
    </row>
    <row r="60" spans="1:17" s="750" customFormat="1" ht="15.9" customHeight="1" x14ac:dyDescent="0.3">
      <c r="A60" s="961" t="str">
        <f ca="1">IF(P60=0,TEXT(0,"0"),OFFSET('5  Control Accounts'!$BF$33,Q60,0)&amp;"."&amp;OFFSET('5  Control Accounts'!$BH$33,Q60,0))</f>
        <v>0</v>
      </c>
      <c r="B60" s="961" t="str">
        <f ca="1">IF(P60=0,TEXT(0,"0"),TEXT(OFFSET('5  Control Accounts'!$FB$33,Q60,0),"General"))</f>
        <v>0</v>
      </c>
      <c r="C60" s="961" t="str">
        <f t="shared" ca="1" si="1"/>
        <v>0</v>
      </c>
      <c r="D60" s="1405" t="str">
        <f t="shared" si="0"/>
        <v>0</v>
      </c>
      <c r="E60" s="961" t="str">
        <f ca="1">IF(P60=0,TEXT(0,"0"),TEXT(OFFSET('5  Control Accounts'!$BD$33,Q60,0),"General"))</f>
        <v>0</v>
      </c>
      <c r="F60" s="961" t="str">
        <f ca="1">TEXT(OFFSET('5  Control Accounts'!$DF$33,Q60,0),"0")</f>
        <v>0</v>
      </c>
      <c r="G60" s="961" t="str">
        <f ca="1">TEXT(OFFSET('5  Control Accounts'!$DI$33,Q60,0),"0")</f>
        <v>0</v>
      </c>
      <c r="H60" s="961" t="str">
        <f ca="1">TEXT(OFFSET('5  Control Accounts'!$CZ$33,Q60,0),"0")</f>
        <v>0</v>
      </c>
      <c r="I60" s="961" t="str">
        <f ca="1">TEXT(OFFSET('5  Control Accounts'!$DL$33,Q60,0),"0")</f>
        <v>0</v>
      </c>
      <c r="J60" s="961" t="str">
        <f ca="1">TEXT(OFFSET('5  Control Accounts'!$DO$33,Q60,0),"0")</f>
        <v>0</v>
      </c>
      <c r="K60" s="961" t="str">
        <f ca="1">TEXT(OFFSET('5  Control Accounts'!$DC$33,Q60,0),"0")</f>
        <v>0</v>
      </c>
      <c r="L60" s="961" t="str">
        <f ca="1">TEXT(OFFSET('5  Control Accounts'!$DS$33,Q60,0),"0")</f>
        <v>0</v>
      </c>
      <c r="M60" s="961" t="str">
        <f ca="1">TEXT(OFFSET('5  Control Accounts'!$FQ$33,Q60,0),"0.00")</f>
        <v>0.00</v>
      </c>
      <c r="N60" s="961" t="str">
        <f ca="1">TEXT(OFFSET('5  Control Accounts'!$FU$33,Q60,0),"0.00")</f>
        <v>0.00</v>
      </c>
      <c r="P60" s="537">
        <f ca="1">OFFSET('5  Control Accounts'!$CP$33,Q60,0)</f>
        <v>0</v>
      </c>
      <c r="Q60" s="537">
        <v>54</v>
      </c>
    </row>
    <row r="61" spans="1:17" s="750" customFormat="1" ht="15.9" customHeight="1" x14ac:dyDescent="0.3">
      <c r="A61" s="961" t="str">
        <f ca="1">IF(P61=0,TEXT(0,"0"),OFFSET('5  Control Accounts'!$BF$33,Q61,0)&amp;"."&amp;OFFSET('5  Control Accounts'!$BH$33,Q61,0))</f>
        <v>0</v>
      </c>
      <c r="B61" s="961" t="str">
        <f ca="1">IF(P61=0,TEXT(0,"0"),TEXT(OFFSET('5  Control Accounts'!$FB$33,Q61,0),"General"))</f>
        <v>0</v>
      </c>
      <c r="C61" s="961" t="str">
        <f t="shared" ca="1" si="1"/>
        <v>0</v>
      </c>
      <c r="D61" s="1405" t="str">
        <f t="shared" si="0"/>
        <v>0</v>
      </c>
      <c r="E61" s="961" t="str">
        <f ca="1">IF(P61=0,TEXT(0,"0"),TEXT(OFFSET('5  Control Accounts'!$BD$33,Q61,0),"General"))</f>
        <v>0</v>
      </c>
      <c r="F61" s="961" t="str">
        <f ca="1">TEXT(OFFSET('5  Control Accounts'!$DF$33,Q61,0),"0")</f>
        <v>0</v>
      </c>
      <c r="G61" s="961" t="str">
        <f ca="1">TEXT(OFFSET('5  Control Accounts'!$DI$33,Q61,0),"0")</f>
        <v>0</v>
      </c>
      <c r="H61" s="961" t="str">
        <f ca="1">TEXT(OFFSET('5  Control Accounts'!$CZ$33,Q61,0),"0")</f>
        <v>0</v>
      </c>
      <c r="I61" s="961" t="str">
        <f ca="1">TEXT(OFFSET('5  Control Accounts'!$DL$33,Q61,0),"0")</f>
        <v>0</v>
      </c>
      <c r="J61" s="961" t="str">
        <f ca="1">TEXT(OFFSET('5  Control Accounts'!$DO$33,Q61,0),"0")</f>
        <v>0</v>
      </c>
      <c r="K61" s="961" t="str">
        <f ca="1">TEXT(OFFSET('5  Control Accounts'!$DC$33,Q61,0),"0")</f>
        <v>0</v>
      </c>
      <c r="L61" s="961" t="str">
        <f ca="1">TEXT(OFFSET('5  Control Accounts'!$DS$33,Q61,0),"0")</f>
        <v>0</v>
      </c>
      <c r="M61" s="961" t="str">
        <f ca="1">TEXT(OFFSET('5  Control Accounts'!$FQ$33,Q61,0),"0.00")</f>
        <v>0.00</v>
      </c>
      <c r="N61" s="961" t="str">
        <f ca="1">TEXT(OFFSET('5  Control Accounts'!$FU$33,Q61,0),"0.00")</f>
        <v>0.00</v>
      </c>
      <c r="P61" s="537">
        <f ca="1">OFFSET('5  Control Accounts'!$CP$33,Q61,0)</f>
        <v>0</v>
      </c>
      <c r="Q61" s="537">
        <v>55</v>
      </c>
    </row>
    <row r="62" spans="1:17" s="750" customFormat="1" ht="15.9" customHeight="1" x14ac:dyDescent="0.3">
      <c r="A62" s="961" t="str">
        <f ca="1">IF(P62=0,TEXT(0,"0"),OFFSET('5  Control Accounts'!$BF$33,Q62,0)&amp;"."&amp;OFFSET('5  Control Accounts'!$BH$33,Q62,0))</f>
        <v>0</v>
      </c>
      <c r="B62" s="961" t="str">
        <f ca="1">IF(P62=0,TEXT(0,"0"),TEXT(OFFSET('5  Control Accounts'!$FB$33,Q62,0),"General"))</f>
        <v>0</v>
      </c>
      <c r="C62" s="961" t="str">
        <f t="shared" ca="1" si="1"/>
        <v>0</v>
      </c>
      <c r="D62" s="1405" t="str">
        <f t="shared" si="0"/>
        <v>0</v>
      </c>
      <c r="E62" s="961" t="str">
        <f ca="1">IF(P62=0,TEXT(0,"0"),TEXT(OFFSET('5  Control Accounts'!$BD$33,Q62,0),"General"))</f>
        <v>0</v>
      </c>
      <c r="F62" s="961" t="str">
        <f ca="1">TEXT(OFFSET('5  Control Accounts'!$DF$33,Q62,0),"0")</f>
        <v>0</v>
      </c>
      <c r="G62" s="961" t="str">
        <f ca="1">TEXT(OFFSET('5  Control Accounts'!$DI$33,Q62,0),"0")</f>
        <v>0</v>
      </c>
      <c r="H62" s="961" t="str">
        <f ca="1">TEXT(OFFSET('5  Control Accounts'!$CZ$33,Q62,0),"0")</f>
        <v>0</v>
      </c>
      <c r="I62" s="961" t="str">
        <f ca="1">TEXT(OFFSET('5  Control Accounts'!$DL$33,Q62,0),"0")</f>
        <v>0</v>
      </c>
      <c r="J62" s="961" t="str">
        <f ca="1">TEXT(OFFSET('5  Control Accounts'!$DO$33,Q62,0),"0")</f>
        <v>0</v>
      </c>
      <c r="K62" s="961" t="str">
        <f ca="1">TEXT(OFFSET('5  Control Accounts'!$DC$33,Q62,0),"0")</f>
        <v>0</v>
      </c>
      <c r="L62" s="961" t="str">
        <f ca="1">TEXT(OFFSET('5  Control Accounts'!$DS$33,Q62,0),"0")</f>
        <v>0</v>
      </c>
      <c r="M62" s="961" t="str">
        <f ca="1">TEXT(OFFSET('5  Control Accounts'!$FQ$33,Q62,0),"0.00")</f>
        <v>0.00</v>
      </c>
      <c r="N62" s="961" t="str">
        <f ca="1">TEXT(OFFSET('5  Control Accounts'!$FU$33,Q62,0),"0.00")</f>
        <v>0.00</v>
      </c>
      <c r="P62" s="537">
        <f ca="1">OFFSET('5  Control Accounts'!$CP$33,Q62,0)</f>
        <v>0</v>
      </c>
      <c r="Q62" s="537">
        <v>56</v>
      </c>
    </row>
    <row r="63" spans="1:17" s="750" customFormat="1" ht="15.9" customHeight="1" x14ac:dyDescent="0.3">
      <c r="A63" s="961" t="str">
        <f ca="1">IF(P63=0,TEXT(0,"0"),OFFSET('5  Control Accounts'!$BF$33,Q63,0)&amp;"."&amp;OFFSET('5  Control Accounts'!$BH$33,Q63,0))</f>
        <v>0</v>
      </c>
      <c r="B63" s="961" t="str">
        <f ca="1">IF(P63=0,TEXT(0,"0"),TEXT(OFFSET('5  Control Accounts'!$FB$33,Q63,0),"General"))</f>
        <v>0</v>
      </c>
      <c r="C63" s="961" t="str">
        <f t="shared" ca="1" si="1"/>
        <v>0</v>
      </c>
      <c r="D63" s="1405" t="str">
        <f t="shared" si="0"/>
        <v>0</v>
      </c>
      <c r="E63" s="961" t="str">
        <f ca="1">IF(P63=0,TEXT(0,"0"),TEXT(OFFSET('5  Control Accounts'!$BD$33,Q63,0),"General"))</f>
        <v>0</v>
      </c>
      <c r="F63" s="961" t="str">
        <f ca="1">TEXT(OFFSET('5  Control Accounts'!$DF$33,Q63,0),"0")</f>
        <v>0</v>
      </c>
      <c r="G63" s="961" t="str">
        <f ca="1">TEXT(OFFSET('5  Control Accounts'!$DI$33,Q63,0),"0")</f>
        <v>0</v>
      </c>
      <c r="H63" s="961" t="str">
        <f ca="1">TEXT(OFFSET('5  Control Accounts'!$CZ$33,Q63,0),"0")</f>
        <v>0</v>
      </c>
      <c r="I63" s="961" t="str">
        <f ca="1">TEXT(OFFSET('5  Control Accounts'!$DL$33,Q63,0),"0")</f>
        <v>0</v>
      </c>
      <c r="J63" s="961" t="str">
        <f ca="1">TEXT(OFFSET('5  Control Accounts'!$DO$33,Q63,0),"0")</f>
        <v>0</v>
      </c>
      <c r="K63" s="961" t="str">
        <f ca="1">TEXT(OFFSET('5  Control Accounts'!$DC$33,Q63,0),"0")</f>
        <v>0</v>
      </c>
      <c r="L63" s="961" t="str">
        <f ca="1">TEXT(OFFSET('5  Control Accounts'!$DS$33,Q63,0),"0")</f>
        <v>0</v>
      </c>
      <c r="M63" s="961" t="str">
        <f ca="1">TEXT(OFFSET('5  Control Accounts'!$FQ$33,Q63,0),"0.00")</f>
        <v>0.00</v>
      </c>
      <c r="N63" s="961" t="str">
        <f ca="1">TEXT(OFFSET('5  Control Accounts'!$FU$33,Q63,0),"0.00")</f>
        <v>0.00</v>
      </c>
      <c r="P63" s="537">
        <f ca="1">OFFSET('5  Control Accounts'!$CP$33,Q63,0)</f>
        <v>0</v>
      </c>
      <c r="Q63" s="537">
        <v>57</v>
      </c>
    </row>
    <row r="64" spans="1:17" s="750" customFormat="1" ht="15.9" customHeight="1" x14ac:dyDescent="0.3">
      <c r="A64" s="961" t="str">
        <f ca="1">IF(P64=0,TEXT(0,"0"),OFFSET('5  Control Accounts'!$BF$33,Q64,0)&amp;"."&amp;OFFSET('5  Control Accounts'!$BH$33,Q64,0))</f>
        <v>0</v>
      </c>
      <c r="B64" s="961" t="str">
        <f ca="1">IF(P64=0,TEXT(0,"0"),TEXT(OFFSET('5  Control Accounts'!$FB$33,Q64,0),"General"))</f>
        <v>0</v>
      </c>
      <c r="C64" s="961" t="str">
        <f t="shared" ca="1" si="1"/>
        <v>0</v>
      </c>
      <c r="D64" s="1405" t="str">
        <f t="shared" si="0"/>
        <v>0</v>
      </c>
      <c r="E64" s="961" t="str">
        <f ca="1">IF(P64=0,TEXT(0,"0"),TEXT(OFFSET('5  Control Accounts'!$BD$33,Q64,0),"General"))</f>
        <v>0</v>
      </c>
      <c r="F64" s="961" t="str">
        <f ca="1">TEXT(OFFSET('5  Control Accounts'!$DF$33,Q64,0),"0")</f>
        <v>0</v>
      </c>
      <c r="G64" s="961" t="str">
        <f ca="1">TEXT(OFFSET('5  Control Accounts'!$DI$33,Q64,0),"0")</f>
        <v>0</v>
      </c>
      <c r="H64" s="961" t="str">
        <f ca="1">TEXT(OFFSET('5  Control Accounts'!$CZ$33,Q64,0),"0")</f>
        <v>0</v>
      </c>
      <c r="I64" s="961" t="str">
        <f ca="1">TEXT(OFFSET('5  Control Accounts'!$DL$33,Q64,0),"0")</f>
        <v>0</v>
      </c>
      <c r="J64" s="961" t="str">
        <f ca="1">TEXT(OFFSET('5  Control Accounts'!$DO$33,Q64,0),"0")</f>
        <v>0</v>
      </c>
      <c r="K64" s="961" t="str">
        <f ca="1">TEXT(OFFSET('5  Control Accounts'!$DC$33,Q64,0),"0")</f>
        <v>0</v>
      </c>
      <c r="L64" s="961" t="str">
        <f ca="1">TEXT(OFFSET('5  Control Accounts'!$DS$33,Q64,0),"0")</f>
        <v>0</v>
      </c>
      <c r="M64" s="961" t="str">
        <f ca="1">TEXT(OFFSET('5  Control Accounts'!$FQ$33,Q64,0),"0.00")</f>
        <v>0.00</v>
      </c>
      <c r="N64" s="961" t="str">
        <f ca="1">TEXT(OFFSET('5  Control Accounts'!$FU$33,Q64,0),"0.00")</f>
        <v>0.00</v>
      </c>
      <c r="P64" s="537">
        <f ca="1">OFFSET('5  Control Accounts'!$CP$33,Q64,0)</f>
        <v>0</v>
      </c>
      <c r="Q64" s="537">
        <v>58</v>
      </c>
    </row>
    <row r="65" spans="1:17" s="750" customFormat="1" ht="15.9" customHeight="1" x14ac:dyDescent="0.3">
      <c r="A65" s="961" t="str">
        <f ca="1">IF(P65=0,TEXT(0,"0"),OFFSET('5  Control Accounts'!$BF$33,Q65,0)&amp;"."&amp;OFFSET('5  Control Accounts'!$BH$33,Q65,0))</f>
        <v>0</v>
      </c>
      <c r="B65" s="961" t="str">
        <f ca="1">IF(P65=0,TEXT(0,"0"),TEXT(OFFSET('5  Control Accounts'!$FB$33,Q65,0),"General"))</f>
        <v>0</v>
      </c>
      <c r="C65" s="961" t="str">
        <f t="shared" ca="1" si="1"/>
        <v>0</v>
      </c>
      <c r="D65" s="1405" t="str">
        <f t="shared" si="0"/>
        <v>0</v>
      </c>
      <c r="E65" s="961" t="str">
        <f ca="1">IF(P65=0,TEXT(0,"0"),TEXT(OFFSET('5  Control Accounts'!$BD$33,Q65,0),"General"))</f>
        <v>0</v>
      </c>
      <c r="F65" s="961" t="str">
        <f ca="1">TEXT(OFFSET('5  Control Accounts'!$DF$33,Q65,0),"0")</f>
        <v>0</v>
      </c>
      <c r="G65" s="961" t="str">
        <f ca="1">TEXT(OFFSET('5  Control Accounts'!$DI$33,Q65,0),"0")</f>
        <v>0</v>
      </c>
      <c r="H65" s="961" t="str">
        <f ca="1">TEXT(OFFSET('5  Control Accounts'!$CZ$33,Q65,0),"0")</f>
        <v>0</v>
      </c>
      <c r="I65" s="961" t="str">
        <f ca="1">TEXT(OFFSET('5  Control Accounts'!$DL$33,Q65,0),"0")</f>
        <v>0</v>
      </c>
      <c r="J65" s="961" t="str">
        <f ca="1">TEXT(OFFSET('5  Control Accounts'!$DO$33,Q65,0),"0")</f>
        <v>0</v>
      </c>
      <c r="K65" s="961" t="str">
        <f ca="1">TEXT(OFFSET('5  Control Accounts'!$DC$33,Q65,0),"0")</f>
        <v>0</v>
      </c>
      <c r="L65" s="961" t="str">
        <f ca="1">TEXT(OFFSET('5  Control Accounts'!$DS$33,Q65,0),"0")</f>
        <v>0</v>
      </c>
      <c r="M65" s="961" t="str">
        <f ca="1">TEXT(OFFSET('5  Control Accounts'!$FQ$33,Q65,0),"0.00")</f>
        <v>0.00</v>
      </c>
      <c r="N65" s="961" t="str">
        <f ca="1">TEXT(OFFSET('5  Control Accounts'!$FU$33,Q65,0),"0.00")</f>
        <v>0.00</v>
      </c>
      <c r="P65" s="537">
        <f ca="1">OFFSET('5  Control Accounts'!$CP$33,Q65,0)</f>
        <v>0</v>
      </c>
      <c r="Q65" s="537">
        <v>59</v>
      </c>
    </row>
    <row r="66" spans="1:17" s="750" customFormat="1" ht="15.9" customHeight="1" x14ac:dyDescent="0.3">
      <c r="A66" s="961" t="str">
        <f ca="1">IF(P66=0,TEXT(0,"0"),OFFSET('5  Control Accounts'!$BF$33,Q66,0)&amp;"."&amp;OFFSET('5  Control Accounts'!$BH$33,Q66,0))</f>
        <v>0</v>
      </c>
      <c r="B66" s="961" t="str">
        <f ca="1">IF(P66=0,TEXT(0,"0"),TEXT(OFFSET('5  Control Accounts'!$FB$33,Q66,0),"General"))</f>
        <v>0</v>
      </c>
      <c r="C66" s="961" t="str">
        <f t="shared" ca="1" si="1"/>
        <v>0</v>
      </c>
      <c r="D66" s="1405" t="str">
        <f t="shared" ref="D66:D126" si="3">"0"</f>
        <v>0</v>
      </c>
      <c r="E66" s="961" t="str">
        <f ca="1">IF(P66=0,TEXT(0,"0"),TEXT(OFFSET('5  Control Accounts'!$BD$33,Q66,0),"General"))</f>
        <v>0</v>
      </c>
      <c r="F66" s="961" t="str">
        <f ca="1">TEXT(OFFSET('5  Control Accounts'!$DF$33,Q66,0),"0")</f>
        <v>0</v>
      </c>
      <c r="G66" s="961" t="str">
        <f ca="1">TEXT(OFFSET('5  Control Accounts'!$DI$33,Q66,0),"0")</f>
        <v>0</v>
      </c>
      <c r="H66" s="961" t="str">
        <f ca="1">TEXT(OFFSET('5  Control Accounts'!$CZ$33,Q66,0),"0")</f>
        <v>0</v>
      </c>
      <c r="I66" s="961" t="str">
        <f ca="1">TEXT(OFFSET('5  Control Accounts'!$DL$33,Q66,0),"0")</f>
        <v>0</v>
      </c>
      <c r="J66" s="961" t="str">
        <f ca="1">TEXT(OFFSET('5  Control Accounts'!$DO$33,Q66,0),"0")</f>
        <v>0</v>
      </c>
      <c r="K66" s="961" t="str">
        <f ca="1">TEXT(OFFSET('5  Control Accounts'!$DC$33,Q66,0),"0")</f>
        <v>0</v>
      </c>
      <c r="L66" s="961" t="str">
        <f ca="1">TEXT(OFFSET('5  Control Accounts'!$DS$33,Q66,0),"0")</f>
        <v>0</v>
      </c>
      <c r="M66" s="961" t="str">
        <f ca="1">TEXT(OFFSET('5  Control Accounts'!$FQ$33,Q66,0),"0.00")</f>
        <v>0.00</v>
      </c>
      <c r="N66" s="961" t="str">
        <f ca="1">TEXT(OFFSET('5  Control Accounts'!$FU$33,Q66,0),"0.00")</f>
        <v>0.00</v>
      </c>
      <c r="P66" s="537">
        <f ca="1">OFFSET('5  Control Accounts'!$CP$33,Q66,0)</f>
        <v>0</v>
      </c>
      <c r="Q66" s="537">
        <v>60</v>
      </c>
    </row>
    <row r="67" spans="1:17" s="750" customFormat="1" ht="15.9" customHeight="1" x14ac:dyDescent="0.3">
      <c r="A67" s="961" t="str">
        <f ca="1">IF(P67=0,TEXT(0,"0"),OFFSET('5  Control Accounts'!$BF$33,Q67,0)&amp;"."&amp;OFFSET('5  Control Accounts'!$BH$33,Q67,0))</f>
        <v>0</v>
      </c>
      <c r="B67" s="961" t="str">
        <f ca="1">IF(P67=0,TEXT(0,"0"),TEXT(OFFSET('5  Control Accounts'!$FB$33,Q67,0),"General"))</f>
        <v>0</v>
      </c>
      <c r="C67" s="961" t="str">
        <f t="shared" ref="C67:C126" ca="1" si="4">IF(P67=0,TEXT(0,"0"),"N")</f>
        <v>0</v>
      </c>
      <c r="D67" s="1405" t="str">
        <f t="shared" si="3"/>
        <v>0</v>
      </c>
      <c r="E67" s="961" t="str">
        <f ca="1">IF(P67=0,TEXT(0,"0"),TEXT(OFFSET('5  Control Accounts'!$BD$33,Q67,0),"General"))</f>
        <v>0</v>
      </c>
      <c r="F67" s="961" t="str">
        <f ca="1">TEXT(OFFSET('5  Control Accounts'!$DF$33,Q67,0),"0")</f>
        <v>0</v>
      </c>
      <c r="G67" s="961" t="str">
        <f ca="1">TEXT(OFFSET('5  Control Accounts'!$DI$33,Q67,0),"0")</f>
        <v>0</v>
      </c>
      <c r="H67" s="961" t="str">
        <f ca="1">TEXT(OFFSET('5  Control Accounts'!$CZ$33,Q67,0),"0")</f>
        <v>0</v>
      </c>
      <c r="I67" s="961" t="str">
        <f ca="1">TEXT(OFFSET('5  Control Accounts'!$DL$33,Q67,0),"0")</f>
        <v>0</v>
      </c>
      <c r="J67" s="961" t="str">
        <f ca="1">TEXT(OFFSET('5  Control Accounts'!$DO$33,Q67,0),"0")</f>
        <v>0</v>
      </c>
      <c r="K67" s="961" t="str">
        <f ca="1">TEXT(OFFSET('5  Control Accounts'!$DC$33,Q67,0),"0")</f>
        <v>0</v>
      </c>
      <c r="L67" s="961" t="str">
        <f ca="1">TEXT(OFFSET('5  Control Accounts'!$DS$33,Q67,0),"0")</f>
        <v>0</v>
      </c>
      <c r="M67" s="961" t="str">
        <f ca="1">TEXT(OFFSET('5  Control Accounts'!$FQ$33,Q67,0),"0.00")</f>
        <v>0.00</v>
      </c>
      <c r="N67" s="961" t="str">
        <f ca="1">TEXT(OFFSET('5  Control Accounts'!$FU$33,Q67,0),"0.00")</f>
        <v>0.00</v>
      </c>
      <c r="P67" s="537">
        <f ca="1">OFFSET('5  Control Accounts'!$CP$33,Q67,0)</f>
        <v>0</v>
      </c>
      <c r="Q67" s="537">
        <v>61</v>
      </c>
    </row>
    <row r="68" spans="1:17" s="750" customFormat="1" ht="15.9" customHeight="1" x14ac:dyDescent="0.3">
      <c r="A68" s="961" t="str">
        <f ca="1">IF(P68=0,TEXT(0,"0"),OFFSET('5  Control Accounts'!$BF$33,Q68,0)&amp;"."&amp;OFFSET('5  Control Accounts'!$BH$33,Q68,0))</f>
        <v>0</v>
      </c>
      <c r="B68" s="961" t="str">
        <f ca="1">IF(P68=0,TEXT(0,"0"),TEXT(OFFSET('5  Control Accounts'!$FB$33,Q68,0),"General"))</f>
        <v>0</v>
      </c>
      <c r="C68" s="961" t="str">
        <f t="shared" ca="1" si="4"/>
        <v>0</v>
      </c>
      <c r="D68" s="1405" t="str">
        <f t="shared" si="3"/>
        <v>0</v>
      </c>
      <c r="E68" s="961" t="str">
        <f ca="1">IF(P68=0,TEXT(0,"0"),TEXT(OFFSET('5  Control Accounts'!$BD$33,Q68,0),"General"))</f>
        <v>0</v>
      </c>
      <c r="F68" s="961" t="str">
        <f ca="1">TEXT(OFFSET('5  Control Accounts'!$DF$33,Q68,0),"0")</f>
        <v>0</v>
      </c>
      <c r="G68" s="961" t="str">
        <f ca="1">TEXT(OFFSET('5  Control Accounts'!$DI$33,Q68,0),"0")</f>
        <v>0</v>
      </c>
      <c r="H68" s="961" t="str">
        <f ca="1">TEXT(OFFSET('5  Control Accounts'!$CZ$33,Q68,0),"0")</f>
        <v>0</v>
      </c>
      <c r="I68" s="961" t="str">
        <f ca="1">TEXT(OFFSET('5  Control Accounts'!$DL$33,Q68,0),"0")</f>
        <v>0</v>
      </c>
      <c r="J68" s="961" t="str">
        <f ca="1">TEXT(OFFSET('5  Control Accounts'!$DO$33,Q68,0),"0")</f>
        <v>0</v>
      </c>
      <c r="K68" s="961" t="str">
        <f ca="1">TEXT(OFFSET('5  Control Accounts'!$DC$33,Q68,0),"0")</f>
        <v>0</v>
      </c>
      <c r="L68" s="961" t="str">
        <f ca="1">TEXT(OFFSET('5  Control Accounts'!$DS$33,Q68,0),"0")</f>
        <v>0</v>
      </c>
      <c r="M68" s="961" t="str">
        <f ca="1">TEXT(OFFSET('5  Control Accounts'!$FQ$33,Q68,0),"0.00")</f>
        <v>0.00</v>
      </c>
      <c r="N68" s="961" t="str">
        <f ca="1">TEXT(OFFSET('5  Control Accounts'!$FU$33,Q68,0),"0.00")</f>
        <v>0.00</v>
      </c>
      <c r="P68" s="537">
        <f ca="1">OFFSET('5  Control Accounts'!$CP$33,Q68,0)</f>
        <v>0</v>
      </c>
      <c r="Q68" s="537">
        <v>62</v>
      </c>
    </row>
    <row r="69" spans="1:17" s="750" customFormat="1" ht="15.9" customHeight="1" x14ac:dyDescent="0.3">
      <c r="A69" s="961" t="str">
        <f ca="1">IF(P69=0,TEXT(0,"0"),OFFSET('5  Control Accounts'!$BF$33,Q69,0)&amp;"."&amp;OFFSET('5  Control Accounts'!$BH$33,Q69,0))</f>
        <v>0</v>
      </c>
      <c r="B69" s="961" t="str">
        <f ca="1">IF(P69=0,TEXT(0,"0"),TEXT(OFFSET('5  Control Accounts'!$FB$33,Q69,0),"General"))</f>
        <v>0</v>
      </c>
      <c r="C69" s="961" t="str">
        <f t="shared" ca="1" si="4"/>
        <v>0</v>
      </c>
      <c r="D69" s="1405" t="str">
        <f t="shared" si="3"/>
        <v>0</v>
      </c>
      <c r="E69" s="961" t="str">
        <f ca="1">IF(P69=0,TEXT(0,"0"),TEXT(OFFSET('5  Control Accounts'!$BD$33,Q69,0),"General"))</f>
        <v>0</v>
      </c>
      <c r="F69" s="961" t="str">
        <f ca="1">TEXT(OFFSET('5  Control Accounts'!$DF$33,Q69,0),"0")</f>
        <v>0</v>
      </c>
      <c r="G69" s="961" t="str">
        <f ca="1">TEXT(OFFSET('5  Control Accounts'!$DI$33,Q69,0),"0")</f>
        <v>0</v>
      </c>
      <c r="H69" s="961" t="str">
        <f ca="1">TEXT(OFFSET('5  Control Accounts'!$CZ$33,Q69,0),"0")</f>
        <v>0</v>
      </c>
      <c r="I69" s="961" t="str">
        <f ca="1">TEXT(OFFSET('5  Control Accounts'!$DL$33,Q69,0),"0")</f>
        <v>0</v>
      </c>
      <c r="J69" s="961" t="str">
        <f ca="1">TEXT(OFFSET('5  Control Accounts'!$DO$33,Q69,0),"0")</f>
        <v>0</v>
      </c>
      <c r="K69" s="961" t="str">
        <f ca="1">TEXT(OFFSET('5  Control Accounts'!$DC$33,Q69,0),"0")</f>
        <v>0</v>
      </c>
      <c r="L69" s="961" t="str">
        <f ca="1">TEXT(OFFSET('5  Control Accounts'!$DS$33,Q69,0),"0")</f>
        <v>0</v>
      </c>
      <c r="M69" s="961" t="str">
        <f ca="1">TEXT(OFFSET('5  Control Accounts'!$FQ$33,Q69,0),"0.00")</f>
        <v>0.00</v>
      </c>
      <c r="N69" s="961" t="str">
        <f ca="1">TEXT(OFFSET('5  Control Accounts'!$FU$33,Q69,0),"0.00")</f>
        <v>0.00</v>
      </c>
      <c r="P69" s="537">
        <f ca="1">OFFSET('5  Control Accounts'!$CP$33,Q69,0)</f>
        <v>0</v>
      </c>
      <c r="Q69" s="537">
        <v>63</v>
      </c>
    </row>
    <row r="70" spans="1:17" s="750" customFormat="1" ht="15.9" customHeight="1" x14ac:dyDescent="0.3">
      <c r="A70" s="961" t="str">
        <f ca="1">IF(P70=0,TEXT(0,"0"),OFFSET('5  Control Accounts'!$BF$33,Q70,0)&amp;"."&amp;OFFSET('5  Control Accounts'!$BH$33,Q70,0))</f>
        <v>0</v>
      </c>
      <c r="B70" s="961" t="str">
        <f ca="1">IF(P70=0,TEXT(0,"0"),TEXT(OFFSET('5  Control Accounts'!$FB$33,Q70,0),"General"))</f>
        <v>0</v>
      </c>
      <c r="C70" s="961" t="str">
        <f t="shared" ca="1" si="4"/>
        <v>0</v>
      </c>
      <c r="D70" s="1405" t="str">
        <f t="shared" si="3"/>
        <v>0</v>
      </c>
      <c r="E70" s="961" t="str">
        <f ca="1">IF(P70=0,TEXT(0,"0"),TEXT(OFFSET('5  Control Accounts'!$BD$33,Q70,0),"General"))</f>
        <v>0</v>
      </c>
      <c r="F70" s="961" t="str">
        <f ca="1">TEXT(OFFSET('5  Control Accounts'!$DF$33,Q70,0),"0")</f>
        <v>0</v>
      </c>
      <c r="G70" s="961" t="str">
        <f ca="1">TEXT(OFFSET('5  Control Accounts'!$DI$33,Q70,0),"0")</f>
        <v>0</v>
      </c>
      <c r="H70" s="961" t="str">
        <f ca="1">TEXT(OFFSET('5  Control Accounts'!$CZ$33,Q70,0),"0")</f>
        <v>0</v>
      </c>
      <c r="I70" s="961" t="str">
        <f ca="1">TEXT(OFFSET('5  Control Accounts'!$DL$33,Q70,0),"0")</f>
        <v>0</v>
      </c>
      <c r="J70" s="961" t="str">
        <f ca="1">TEXT(OFFSET('5  Control Accounts'!$DO$33,Q70,0),"0")</f>
        <v>0</v>
      </c>
      <c r="K70" s="961" t="str">
        <f ca="1">TEXT(OFFSET('5  Control Accounts'!$DC$33,Q70,0),"0")</f>
        <v>0</v>
      </c>
      <c r="L70" s="961" t="str">
        <f ca="1">TEXT(OFFSET('5  Control Accounts'!$DS$33,Q70,0),"0")</f>
        <v>0</v>
      </c>
      <c r="M70" s="961" t="str">
        <f ca="1">TEXT(OFFSET('5  Control Accounts'!$FQ$33,Q70,0),"0.00")</f>
        <v>0.00</v>
      </c>
      <c r="N70" s="961" t="str">
        <f ca="1">TEXT(OFFSET('5  Control Accounts'!$FU$33,Q70,0),"0.00")</f>
        <v>0.00</v>
      </c>
      <c r="P70" s="537">
        <f ca="1">OFFSET('5  Control Accounts'!$CP$33,Q70,0)</f>
        <v>0</v>
      </c>
      <c r="Q70" s="537">
        <v>64</v>
      </c>
    </row>
    <row r="71" spans="1:17" s="750" customFormat="1" ht="15.9" customHeight="1" x14ac:dyDescent="0.3">
      <c r="A71" s="961" t="str">
        <f ca="1">IF(P71=0,TEXT(0,"0"),OFFSET('5  Control Accounts'!$BF$33,Q71,0)&amp;"."&amp;OFFSET('5  Control Accounts'!$BH$33,Q71,0))</f>
        <v>0</v>
      </c>
      <c r="B71" s="961" t="str">
        <f ca="1">IF(P71=0,TEXT(0,"0"),TEXT(OFFSET('5  Control Accounts'!$FB$33,Q71,0),"General"))</f>
        <v>0</v>
      </c>
      <c r="C71" s="961" t="str">
        <f t="shared" ca="1" si="4"/>
        <v>0</v>
      </c>
      <c r="D71" s="1405" t="str">
        <f t="shared" si="3"/>
        <v>0</v>
      </c>
      <c r="E71" s="961" t="str">
        <f ca="1">IF(P71=0,TEXT(0,"0"),TEXT(OFFSET('5  Control Accounts'!$BD$33,Q71,0),"General"))</f>
        <v>0</v>
      </c>
      <c r="F71" s="961" t="str">
        <f ca="1">TEXT(OFFSET('5  Control Accounts'!$DF$33,Q71,0),"0")</f>
        <v>0</v>
      </c>
      <c r="G71" s="961" t="str">
        <f ca="1">TEXT(OFFSET('5  Control Accounts'!$DI$33,Q71,0),"0")</f>
        <v>0</v>
      </c>
      <c r="H71" s="961" t="str">
        <f ca="1">TEXT(OFFSET('5  Control Accounts'!$CZ$33,Q71,0),"0")</f>
        <v>0</v>
      </c>
      <c r="I71" s="961" t="str">
        <f ca="1">TEXT(OFFSET('5  Control Accounts'!$DL$33,Q71,0),"0")</f>
        <v>0</v>
      </c>
      <c r="J71" s="961" t="str">
        <f ca="1">TEXT(OFFSET('5  Control Accounts'!$DO$33,Q71,0),"0")</f>
        <v>0</v>
      </c>
      <c r="K71" s="961" t="str">
        <f ca="1">TEXT(OFFSET('5  Control Accounts'!$DC$33,Q71,0),"0")</f>
        <v>0</v>
      </c>
      <c r="L71" s="961" t="str">
        <f ca="1">TEXT(OFFSET('5  Control Accounts'!$DS$33,Q71,0),"0")</f>
        <v>0</v>
      </c>
      <c r="M71" s="961" t="str">
        <f ca="1">TEXT(OFFSET('5  Control Accounts'!$FQ$33,Q71,0),"0.00")</f>
        <v>0.00</v>
      </c>
      <c r="N71" s="961" t="str">
        <f ca="1">TEXT(OFFSET('5  Control Accounts'!$FU$33,Q71,0),"0.00")</f>
        <v>0.00</v>
      </c>
      <c r="P71" s="537">
        <f ca="1">OFFSET('5  Control Accounts'!$CP$33,Q71,0)</f>
        <v>0</v>
      </c>
      <c r="Q71" s="537">
        <v>65</v>
      </c>
    </row>
    <row r="72" spans="1:17" s="750" customFormat="1" ht="15.9" customHeight="1" x14ac:dyDescent="0.3">
      <c r="A72" s="961" t="str">
        <f ca="1">IF(P72=0,TEXT(0,"0"),OFFSET('5  Control Accounts'!$BF$33,Q72,0)&amp;"."&amp;OFFSET('5  Control Accounts'!$BH$33,Q72,0))</f>
        <v>0</v>
      </c>
      <c r="B72" s="961" t="str">
        <f ca="1">IF(P72=0,TEXT(0,"0"),TEXT(OFFSET('5  Control Accounts'!$FB$33,Q72,0),"General"))</f>
        <v>0</v>
      </c>
      <c r="C72" s="961" t="str">
        <f t="shared" ca="1" si="4"/>
        <v>0</v>
      </c>
      <c r="D72" s="1405" t="str">
        <f t="shared" si="3"/>
        <v>0</v>
      </c>
      <c r="E72" s="961" t="str">
        <f ca="1">IF(P72=0,TEXT(0,"0"),TEXT(OFFSET('5  Control Accounts'!$BD$33,Q72,0),"General"))</f>
        <v>0</v>
      </c>
      <c r="F72" s="961" t="str">
        <f ca="1">TEXT(OFFSET('5  Control Accounts'!$DF$33,Q72,0),"0")</f>
        <v>0</v>
      </c>
      <c r="G72" s="961" t="str">
        <f ca="1">TEXT(OFFSET('5  Control Accounts'!$DI$33,Q72,0),"0")</f>
        <v>0</v>
      </c>
      <c r="H72" s="961" t="str">
        <f ca="1">TEXT(OFFSET('5  Control Accounts'!$CZ$33,Q72,0),"0")</f>
        <v>0</v>
      </c>
      <c r="I72" s="961" t="str">
        <f ca="1">TEXT(OFFSET('5  Control Accounts'!$DL$33,Q72,0),"0")</f>
        <v>0</v>
      </c>
      <c r="J72" s="961" t="str">
        <f ca="1">TEXT(OFFSET('5  Control Accounts'!$DO$33,Q72,0),"0")</f>
        <v>0</v>
      </c>
      <c r="K72" s="961" t="str">
        <f ca="1">TEXT(OFFSET('5  Control Accounts'!$DC$33,Q72,0),"0")</f>
        <v>0</v>
      </c>
      <c r="L72" s="961" t="str">
        <f ca="1">TEXT(OFFSET('5  Control Accounts'!$DS$33,Q72,0),"0")</f>
        <v>0</v>
      </c>
      <c r="M72" s="961" t="str">
        <f ca="1">TEXT(OFFSET('5  Control Accounts'!$FQ$33,Q72,0),"0.00")</f>
        <v>0.00</v>
      </c>
      <c r="N72" s="961" t="str">
        <f ca="1">TEXT(OFFSET('5  Control Accounts'!$FU$33,Q72,0),"0.00")</f>
        <v>0.00</v>
      </c>
      <c r="P72" s="537">
        <f ca="1">OFFSET('5  Control Accounts'!$CP$33,Q72,0)</f>
        <v>0</v>
      </c>
      <c r="Q72" s="537">
        <v>66</v>
      </c>
    </row>
    <row r="73" spans="1:17" s="750" customFormat="1" ht="15.9" customHeight="1" x14ac:dyDescent="0.3">
      <c r="A73" s="961" t="str">
        <f ca="1">IF(P73=0,TEXT(0,"0"),OFFSET('5  Control Accounts'!$BF$33,Q73,0)&amp;"."&amp;OFFSET('5  Control Accounts'!$BH$33,Q73,0))</f>
        <v>0</v>
      </c>
      <c r="B73" s="961" t="str">
        <f ca="1">IF(P73=0,TEXT(0,"0"),TEXT(OFFSET('5  Control Accounts'!$FB$33,Q73,0),"General"))</f>
        <v>0</v>
      </c>
      <c r="C73" s="961" t="str">
        <f t="shared" ca="1" si="4"/>
        <v>0</v>
      </c>
      <c r="D73" s="1405" t="str">
        <f t="shared" si="3"/>
        <v>0</v>
      </c>
      <c r="E73" s="961" t="str">
        <f ca="1">IF(P73=0,TEXT(0,"0"),TEXT(OFFSET('5  Control Accounts'!$BD$33,Q73,0),"General"))</f>
        <v>0</v>
      </c>
      <c r="F73" s="961" t="str">
        <f ca="1">TEXT(OFFSET('5  Control Accounts'!$DF$33,Q73,0),"0")</f>
        <v>0</v>
      </c>
      <c r="G73" s="961" t="str">
        <f ca="1">TEXT(OFFSET('5  Control Accounts'!$DI$33,Q73,0),"0")</f>
        <v>0</v>
      </c>
      <c r="H73" s="961" t="str">
        <f ca="1">TEXT(OFFSET('5  Control Accounts'!$CZ$33,Q73,0),"0")</f>
        <v>0</v>
      </c>
      <c r="I73" s="961" t="str">
        <f ca="1">TEXT(OFFSET('5  Control Accounts'!$DL$33,Q73,0),"0")</f>
        <v>0</v>
      </c>
      <c r="J73" s="961" t="str">
        <f ca="1">TEXT(OFFSET('5  Control Accounts'!$DO$33,Q73,0),"0")</f>
        <v>0</v>
      </c>
      <c r="K73" s="961" t="str">
        <f ca="1">TEXT(OFFSET('5  Control Accounts'!$DC$33,Q73,0),"0")</f>
        <v>0</v>
      </c>
      <c r="L73" s="961" t="str">
        <f ca="1">TEXT(OFFSET('5  Control Accounts'!$DS$33,Q73,0),"0")</f>
        <v>0</v>
      </c>
      <c r="M73" s="961" t="str">
        <f ca="1">TEXT(OFFSET('5  Control Accounts'!$FQ$33,Q73,0),"0.00")</f>
        <v>0.00</v>
      </c>
      <c r="N73" s="961" t="str">
        <f ca="1">TEXT(OFFSET('5  Control Accounts'!$FU$33,Q73,0),"0.00")</f>
        <v>0.00</v>
      </c>
      <c r="P73" s="537">
        <f ca="1">OFFSET('5  Control Accounts'!$CP$33,Q73,0)</f>
        <v>0</v>
      </c>
      <c r="Q73" s="537">
        <v>67</v>
      </c>
    </row>
    <row r="74" spans="1:17" s="750" customFormat="1" ht="15.9" customHeight="1" x14ac:dyDescent="0.3">
      <c r="A74" s="961" t="str">
        <f ca="1">IF(P74=0,TEXT(0,"0"),OFFSET('5  Control Accounts'!$BF$33,Q74,0)&amp;"."&amp;OFFSET('5  Control Accounts'!$BH$33,Q74,0))</f>
        <v>0</v>
      </c>
      <c r="B74" s="961" t="str">
        <f ca="1">IF(P74=0,TEXT(0,"0"),TEXT(OFFSET('5  Control Accounts'!$FB$33,Q74,0),"General"))</f>
        <v>0</v>
      </c>
      <c r="C74" s="961" t="str">
        <f t="shared" ca="1" si="4"/>
        <v>0</v>
      </c>
      <c r="D74" s="1405" t="str">
        <f t="shared" si="3"/>
        <v>0</v>
      </c>
      <c r="E74" s="961" t="str">
        <f ca="1">IF(P74=0,TEXT(0,"0"),TEXT(OFFSET('5  Control Accounts'!$BD$33,Q74,0),"General"))</f>
        <v>0</v>
      </c>
      <c r="F74" s="961" t="str">
        <f ca="1">TEXT(OFFSET('5  Control Accounts'!$DF$33,Q74,0),"0")</f>
        <v>0</v>
      </c>
      <c r="G74" s="961" t="str">
        <f ca="1">TEXT(OFFSET('5  Control Accounts'!$DI$33,Q74,0),"0")</f>
        <v>0</v>
      </c>
      <c r="H74" s="961" t="str">
        <f ca="1">TEXT(OFFSET('5  Control Accounts'!$CZ$33,Q74,0),"0")</f>
        <v>0</v>
      </c>
      <c r="I74" s="961" t="str">
        <f ca="1">TEXT(OFFSET('5  Control Accounts'!$DL$33,Q74,0),"0")</f>
        <v>0</v>
      </c>
      <c r="J74" s="961" t="str">
        <f ca="1">TEXT(OFFSET('5  Control Accounts'!$DO$33,Q74,0),"0")</f>
        <v>0</v>
      </c>
      <c r="K74" s="961" t="str">
        <f ca="1">TEXT(OFFSET('5  Control Accounts'!$DC$33,Q74,0),"0")</f>
        <v>0</v>
      </c>
      <c r="L74" s="961" t="str">
        <f ca="1">TEXT(OFFSET('5  Control Accounts'!$DS$33,Q74,0),"0")</f>
        <v>0</v>
      </c>
      <c r="M74" s="961" t="str">
        <f ca="1">TEXT(OFFSET('5  Control Accounts'!$FQ$33,Q74,0),"0.00")</f>
        <v>0.00</v>
      </c>
      <c r="N74" s="961" t="str">
        <f ca="1">TEXT(OFFSET('5  Control Accounts'!$FU$33,Q74,0),"0.00")</f>
        <v>0.00</v>
      </c>
      <c r="P74" s="537">
        <f ca="1">OFFSET('5  Control Accounts'!$CP$33,Q74,0)</f>
        <v>0</v>
      </c>
      <c r="Q74" s="537">
        <v>68</v>
      </c>
    </row>
    <row r="75" spans="1:17" s="750" customFormat="1" ht="15.9" customHeight="1" x14ac:dyDescent="0.3">
      <c r="A75" s="961" t="str">
        <f ca="1">IF(P75=0,TEXT(0,"0"),OFFSET('5  Control Accounts'!$BF$33,Q75,0)&amp;"."&amp;OFFSET('5  Control Accounts'!$BH$33,Q75,0))</f>
        <v>0</v>
      </c>
      <c r="B75" s="961" t="str">
        <f ca="1">IF(P75=0,TEXT(0,"0"),TEXT(OFFSET('5  Control Accounts'!$FB$33,Q75,0),"General"))</f>
        <v>0</v>
      </c>
      <c r="C75" s="961" t="str">
        <f t="shared" ca="1" si="4"/>
        <v>0</v>
      </c>
      <c r="D75" s="1405" t="str">
        <f t="shared" si="3"/>
        <v>0</v>
      </c>
      <c r="E75" s="961" t="str">
        <f ca="1">IF(P75=0,TEXT(0,"0"),TEXT(OFFSET('5  Control Accounts'!$BD$33,Q75,0),"General"))</f>
        <v>0</v>
      </c>
      <c r="F75" s="961" t="str">
        <f ca="1">TEXT(OFFSET('5  Control Accounts'!$DF$33,Q75,0),"0")</f>
        <v>0</v>
      </c>
      <c r="G75" s="961" t="str">
        <f ca="1">TEXT(OFFSET('5  Control Accounts'!$DI$33,Q75,0),"0")</f>
        <v>0</v>
      </c>
      <c r="H75" s="961" t="str">
        <f ca="1">TEXT(OFFSET('5  Control Accounts'!$CZ$33,Q75,0),"0")</f>
        <v>0</v>
      </c>
      <c r="I75" s="961" t="str">
        <f ca="1">TEXT(OFFSET('5  Control Accounts'!$DL$33,Q75,0),"0")</f>
        <v>0</v>
      </c>
      <c r="J75" s="961" t="str">
        <f ca="1">TEXT(OFFSET('5  Control Accounts'!$DO$33,Q75,0),"0")</f>
        <v>0</v>
      </c>
      <c r="K75" s="961" t="str">
        <f ca="1">TEXT(OFFSET('5  Control Accounts'!$DC$33,Q75,0),"0")</f>
        <v>0</v>
      </c>
      <c r="L75" s="961" t="str">
        <f ca="1">TEXT(OFFSET('5  Control Accounts'!$DS$33,Q75,0),"0")</f>
        <v>0</v>
      </c>
      <c r="M75" s="961" t="str">
        <f ca="1">TEXT(OFFSET('5  Control Accounts'!$FQ$33,Q75,0),"0.00")</f>
        <v>0.00</v>
      </c>
      <c r="N75" s="961" t="str">
        <f ca="1">TEXT(OFFSET('5  Control Accounts'!$FU$33,Q75,0),"0.00")</f>
        <v>0.00</v>
      </c>
      <c r="P75" s="537">
        <f ca="1">OFFSET('5  Control Accounts'!$CP$33,Q75,0)</f>
        <v>0</v>
      </c>
      <c r="Q75" s="537">
        <v>69</v>
      </c>
    </row>
    <row r="76" spans="1:17" s="750" customFormat="1" ht="15.9" customHeight="1" x14ac:dyDescent="0.3">
      <c r="A76" s="961" t="str">
        <f ca="1">IF(P76=0,TEXT(0,"0"),OFFSET('5  Control Accounts'!$BF$33,Q76,0)&amp;"."&amp;OFFSET('5  Control Accounts'!$BH$33,Q76,0))</f>
        <v>0</v>
      </c>
      <c r="B76" s="961" t="str">
        <f ca="1">IF(P76=0,TEXT(0,"0"),TEXT(OFFSET('5  Control Accounts'!$FB$33,Q76,0),"General"))</f>
        <v>0</v>
      </c>
      <c r="C76" s="961" t="str">
        <f t="shared" ca="1" si="4"/>
        <v>0</v>
      </c>
      <c r="D76" s="1405" t="str">
        <f t="shared" si="3"/>
        <v>0</v>
      </c>
      <c r="E76" s="961" t="str">
        <f ca="1">IF(P76=0,TEXT(0,"0"),TEXT(OFFSET('5  Control Accounts'!$BD$33,Q76,0),"General"))</f>
        <v>0</v>
      </c>
      <c r="F76" s="961" t="str">
        <f ca="1">TEXT(OFFSET('5  Control Accounts'!$DF$33,Q76,0),"0")</f>
        <v>0</v>
      </c>
      <c r="G76" s="961" t="str">
        <f ca="1">TEXT(OFFSET('5  Control Accounts'!$DI$33,Q76,0),"0")</f>
        <v>0</v>
      </c>
      <c r="H76" s="961" t="str">
        <f ca="1">TEXT(OFFSET('5  Control Accounts'!$CZ$33,Q76,0),"0")</f>
        <v>0</v>
      </c>
      <c r="I76" s="961" t="str">
        <f ca="1">TEXT(OFFSET('5  Control Accounts'!$DL$33,Q76,0),"0")</f>
        <v>0</v>
      </c>
      <c r="J76" s="961" t="str">
        <f ca="1">TEXT(OFFSET('5  Control Accounts'!$DO$33,Q76,0),"0")</f>
        <v>0</v>
      </c>
      <c r="K76" s="961" t="str">
        <f ca="1">TEXT(OFFSET('5  Control Accounts'!$DC$33,Q76,0),"0")</f>
        <v>0</v>
      </c>
      <c r="L76" s="961" t="str">
        <f ca="1">TEXT(OFFSET('5  Control Accounts'!$DS$33,Q76,0),"0")</f>
        <v>0</v>
      </c>
      <c r="M76" s="961" t="str">
        <f ca="1">TEXT(OFFSET('5  Control Accounts'!$FQ$33,Q76,0),"0.00")</f>
        <v>0.00</v>
      </c>
      <c r="N76" s="961" t="str">
        <f ca="1">TEXT(OFFSET('5  Control Accounts'!$FU$33,Q76,0),"0.00")</f>
        <v>0.00</v>
      </c>
      <c r="P76" s="537">
        <f ca="1">OFFSET('5  Control Accounts'!$CP$33,Q76,0)</f>
        <v>0</v>
      </c>
      <c r="Q76" s="537">
        <v>70</v>
      </c>
    </row>
    <row r="77" spans="1:17" s="750" customFormat="1" ht="15.9" customHeight="1" x14ac:dyDescent="0.3">
      <c r="A77" s="961" t="str">
        <f ca="1">IF(P77=0,TEXT(0,"0"),OFFSET('5  Control Accounts'!$BF$33,Q77,0)&amp;"."&amp;OFFSET('5  Control Accounts'!$BH$33,Q77,0))</f>
        <v>0</v>
      </c>
      <c r="B77" s="961" t="str">
        <f ca="1">IF(P77=0,TEXT(0,"0"),TEXT(OFFSET('5  Control Accounts'!$FB$33,Q77,0),"General"))</f>
        <v>0</v>
      </c>
      <c r="C77" s="961" t="str">
        <f t="shared" ca="1" si="4"/>
        <v>0</v>
      </c>
      <c r="D77" s="1405" t="str">
        <f t="shared" si="3"/>
        <v>0</v>
      </c>
      <c r="E77" s="961" t="str">
        <f ca="1">IF(P77=0,TEXT(0,"0"),TEXT(OFFSET('5  Control Accounts'!$BD$33,Q77,0),"General"))</f>
        <v>0</v>
      </c>
      <c r="F77" s="961" t="str">
        <f ca="1">TEXT(OFFSET('5  Control Accounts'!$DF$33,Q77,0),"0")</f>
        <v>0</v>
      </c>
      <c r="G77" s="961" t="str">
        <f ca="1">TEXT(OFFSET('5  Control Accounts'!$DI$33,Q77,0),"0")</f>
        <v>0</v>
      </c>
      <c r="H77" s="961" t="str">
        <f ca="1">TEXT(OFFSET('5  Control Accounts'!$CZ$33,Q77,0),"0")</f>
        <v>0</v>
      </c>
      <c r="I77" s="961" t="str">
        <f ca="1">TEXT(OFFSET('5  Control Accounts'!$DL$33,Q77,0),"0")</f>
        <v>0</v>
      </c>
      <c r="J77" s="961" t="str">
        <f ca="1">TEXT(OFFSET('5  Control Accounts'!$DO$33,Q77,0),"0")</f>
        <v>0</v>
      </c>
      <c r="K77" s="961" t="str">
        <f ca="1">TEXT(OFFSET('5  Control Accounts'!$DC$33,Q77,0),"0")</f>
        <v>0</v>
      </c>
      <c r="L77" s="961" t="str">
        <f ca="1">TEXT(OFFSET('5  Control Accounts'!$DS$33,Q77,0),"0")</f>
        <v>0</v>
      </c>
      <c r="M77" s="961" t="str">
        <f ca="1">TEXT(OFFSET('5  Control Accounts'!$FQ$33,Q77,0),"0.00")</f>
        <v>0.00</v>
      </c>
      <c r="N77" s="961" t="str">
        <f ca="1">TEXT(OFFSET('5  Control Accounts'!$FU$33,Q77,0),"0.00")</f>
        <v>0.00</v>
      </c>
      <c r="P77" s="537">
        <f ca="1">OFFSET('5  Control Accounts'!$CP$33,Q77,0)</f>
        <v>0</v>
      </c>
      <c r="Q77" s="537">
        <v>71</v>
      </c>
    </row>
    <row r="78" spans="1:17" s="750" customFormat="1" ht="15.9" customHeight="1" x14ac:dyDescent="0.3">
      <c r="A78" s="961" t="str">
        <f ca="1">IF(P78=0,TEXT(0,"0"),OFFSET('5  Control Accounts'!$BF$33,Q78,0)&amp;"."&amp;OFFSET('5  Control Accounts'!$BH$33,Q78,0))</f>
        <v>0</v>
      </c>
      <c r="B78" s="961" t="str">
        <f ca="1">IF(P78=0,TEXT(0,"0"),TEXT(OFFSET('5  Control Accounts'!$FB$33,Q78,0),"General"))</f>
        <v>0</v>
      </c>
      <c r="C78" s="961" t="str">
        <f t="shared" ca="1" si="4"/>
        <v>0</v>
      </c>
      <c r="D78" s="1405" t="str">
        <f t="shared" si="3"/>
        <v>0</v>
      </c>
      <c r="E78" s="961" t="str">
        <f ca="1">IF(P78=0,TEXT(0,"0"),TEXT(OFFSET('5  Control Accounts'!$BD$33,Q78,0),"General"))</f>
        <v>0</v>
      </c>
      <c r="F78" s="961" t="str">
        <f ca="1">TEXT(OFFSET('5  Control Accounts'!$DF$33,Q78,0),"0")</f>
        <v>0</v>
      </c>
      <c r="G78" s="961" t="str">
        <f ca="1">TEXT(OFFSET('5  Control Accounts'!$DI$33,Q78,0),"0")</f>
        <v>0</v>
      </c>
      <c r="H78" s="961" t="str">
        <f ca="1">TEXT(OFFSET('5  Control Accounts'!$CZ$33,Q78,0),"0")</f>
        <v>0</v>
      </c>
      <c r="I78" s="961" t="str">
        <f ca="1">TEXT(OFFSET('5  Control Accounts'!$DL$33,Q78,0),"0")</f>
        <v>0</v>
      </c>
      <c r="J78" s="961" t="str">
        <f ca="1">TEXT(OFFSET('5  Control Accounts'!$DO$33,Q78,0),"0")</f>
        <v>0</v>
      </c>
      <c r="K78" s="961" t="str">
        <f ca="1">TEXT(OFFSET('5  Control Accounts'!$DC$33,Q78,0),"0")</f>
        <v>0</v>
      </c>
      <c r="L78" s="961" t="str">
        <f ca="1">TEXT(OFFSET('5  Control Accounts'!$DS$33,Q78,0),"0")</f>
        <v>0</v>
      </c>
      <c r="M78" s="961" t="str">
        <f ca="1">TEXT(OFFSET('5  Control Accounts'!$FQ$33,Q78,0),"0.00")</f>
        <v>0.00</v>
      </c>
      <c r="N78" s="961" t="str">
        <f ca="1">TEXT(OFFSET('5  Control Accounts'!$FU$33,Q78,0),"0.00")</f>
        <v>0.00</v>
      </c>
      <c r="P78" s="537">
        <f ca="1">OFFSET('5  Control Accounts'!$CP$33,Q78,0)</f>
        <v>0</v>
      </c>
      <c r="Q78" s="537">
        <v>72</v>
      </c>
    </row>
    <row r="79" spans="1:17" s="750" customFormat="1" ht="15.9" customHeight="1" x14ac:dyDescent="0.3">
      <c r="A79" s="961" t="str">
        <f ca="1">IF(P79=0,TEXT(0,"0"),OFFSET('5  Control Accounts'!$BF$33,Q79,0)&amp;"."&amp;OFFSET('5  Control Accounts'!$BH$33,Q79,0))</f>
        <v>0</v>
      </c>
      <c r="B79" s="961" t="str">
        <f ca="1">IF(P79=0,TEXT(0,"0"),TEXT(OFFSET('5  Control Accounts'!$FB$33,Q79,0),"General"))</f>
        <v>0</v>
      </c>
      <c r="C79" s="961" t="str">
        <f t="shared" ca="1" si="4"/>
        <v>0</v>
      </c>
      <c r="D79" s="1405" t="str">
        <f t="shared" si="3"/>
        <v>0</v>
      </c>
      <c r="E79" s="961" t="str">
        <f ca="1">IF(P79=0,TEXT(0,"0"),TEXT(OFFSET('5  Control Accounts'!$BD$33,Q79,0),"General"))</f>
        <v>0</v>
      </c>
      <c r="F79" s="961" t="str">
        <f ca="1">TEXT(OFFSET('5  Control Accounts'!$DF$33,Q79,0),"0")</f>
        <v>0</v>
      </c>
      <c r="G79" s="961" t="str">
        <f ca="1">TEXT(OFFSET('5  Control Accounts'!$DI$33,Q79,0),"0")</f>
        <v>0</v>
      </c>
      <c r="H79" s="961" t="str">
        <f ca="1">TEXT(OFFSET('5  Control Accounts'!$CZ$33,Q79,0),"0")</f>
        <v>0</v>
      </c>
      <c r="I79" s="961" t="str">
        <f ca="1">TEXT(OFFSET('5  Control Accounts'!$DL$33,Q79,0),"0")</f>
        <v>0</v>
      </c>
      <c r="J79" s="961" t="str">
        <f ca="1">TEXT(OFFSET('5  Control Accounts'!$DO$33,Q79,0),"0")</f>
        <v>0</v>
      </c>
      <c r="K79" s="961" t="str">
        <f ca="1">TEXT(OFFSET('5  Control Accounts'!$DC$33,Q79,0),"0")</f>
        <v>0</v>
      </c>
      <c r="L79" s="961" t="str">
        <f ca="1">TEXT(OFFSET('5  Control Accounts'!$DS$33,Q79,0),"0")</f>
        <v>0</v>
      </c>
      <c r="M79" s="961" t="str">
        <f ca="1">TEXT(OFFSET('5  Control Accounts'!$FQ$33,Q79,0),"0.00")</f>
        <v>0.00</v>
      </c>
      <c r="N79" s="961" t="str">
        <f ca="1">TEXT(OFFSET('5  Control Accounts'!$FU$33,Q79,0),"0.00")</f>
        <v>0.00</v>
      </c>
      <c r="P79" s="537">
        <f ca="1">OFFSET('5  Control Accounts'!$CP$33,Q79,0)</f>
        <v>0</v>
      </c>
      <c r="Q79" s="537">
        <v>73</v>
      </c>
    </row>
    <row r="80" spans="1:17" s="750" customFormat="1" ht="15.9" customHeight="1" x14ac:dyDescent="0.3">
      <c r="A80" s="961" t="str">
        <f ca="1">IF(P80=0,TEXT(0,"0"),OFFSET('5  Control Accounts'!$BF$33,Q80,0)&amp;"."&amp;OFFSET('5  Control Accounts'!$BH$33,Q80,0))</f>
        <v>0</v>
      </c>
      <c r="B80" s="961" t="str">
        <f ca="1">IF(P80=0,TEXT(0,"0"),TEXT(OFFSET('5  Control Accounts'!$FB$33,Q80,0),"General"))</f>
        <v>0</v>
      </c>
      <c r="C80" s="961" t="str">
        <f t="shared" ca="1" si="4"/>
        <v>0</v>
      </c>
      <c r="D80" s="1405" t="str">
        <f t="shared" si="3"/>
        <v>0</v>
      </c>
      <c r="E80" s="961" t="str">
        <f ca="1">IF(P80=0,TEXT(0,"0"),TEXT(OFFSET('5  Control Accounts'!$BD$33,Q80,0),"General"))</f>
        <v>0</v>
      </c>
      <c r="F80" s="961" t="str">
        <f ca="1">TEXT(OFFSET('5  Control Accounts'!$DF$33,Q80,0),"0")</f>
        <v>0</v>
      </c>
      <c r="G80" s="961" t="str">
        <f ca="1">TEXT(OFFSET('5  Control Accounts'!$DI$33,Q80,0),"0")</f>
        <v>0</v>
      </c>
      <c r="H80" s="961" t="str">
        <f ca="1">TEXT(OFFSET('5  Control Accounts'!$CZ$33,Q80,0),"0")</f>
        <v>0</v>
      </c>
      <c r="I80" s="961" t="str">
        <f ca="1">TEXT(OFFSET('5  Control Accounts'!$DL$33,Q80,0),"0")</f>
        <v>0</v>
      </c>
      <c r="J80" s="961" t="str">
        <f ca="1">TEXT(OFFSET('5  Control Accounts'!$DO$33,Q80,0),"0")</f>
        <v>0</v>
      </c>
      <c r="K80" s="961" t="str">
        <f ca="1">TEXT(OFFSET('5  Control Accounts'!$DC$33,Q80,0),"0")</f>
        <v>0</v>
      </c>
      <c r="L80" s="961" t="str">
        <f ca="1">TEXT(OFFSET('5  Control Accounts'!$DS$33,Q80,0),"0")</f>
        <v>0</v>
      </c>
      <c r="M80" s="961" t="str">
        <f ca="1">TEXT(OFFSET('5  Control Accounts'!$FQ$33,Q80,0),"0.00")</f>
        <v>0.00</v>
      </c>
      <c r="N80" s="961" t="str">
        <f ca="1">TEXT(OFFSET('5  Control Accounts'!$FU$33,Q80,0),"0.00")</f>
        <v>0.00</v>
      </c>
      <c r="P80" s="537">
        <f ca="1">OFFSET('5  Control Accounts'!$CP$33,Q80,0)</f>
        <v>0</v>
      </c>
      <c r="Q80" s="537">
        <v>74</v>
      </c>
    </row>
    <row r="81" spans="1:17" s="750" customFormat="1" ht="15.9" customHeight="1" x14ac:dyDescent="0.3">
      <c r="A81" s="961" t="str">
        <f ca="1">IF(P81=0,TEXT(0,"0"),OFFSET('5  Control Accounts'!$BF$33,Q81,0)&amp;"."&amp;OFFSET('5  Control Accounts'!$BH$33,Q81,0))</f>
        <v>0</v>
      </c>
      <c r="B81" s="961" t="str">
        <f ca="1">IF(P81=0,TEXT(0,"0"),TEXT(OFFSET('5  Control Accounts'!$FB$33,Q81,0),"General"))</f>
        <v>0</v>
      </c>
      <c r="C81" s="961" t="str">
        <f t="shared" ca="1" si="4"/>
        <v>0</v>
      </c>
      <c r="D81" s="1405" t="str">
        <f t="shared" si="3"/>
        <v>0</v>
      </c>
      <c r="E81" s="961" t="str">
        <f ca="1">IF(P81=0,TEXT(0,"0"),TEXT(OFFSET('5  Control Accounts'!$BD$33,Q81,0),"General"))</f>
        <v>0</v>
      </c>
      <c r="F81" s="961" t="str">
        <f ca="1">TEXT(OFFSET('5  Control Accounts'!$DF$33,Q81,0),"0")</f>
        <v>0</v>
      </c>
      <c r="G81" s="961" t="str">
        <f ca="1">TEXT(OFFSET('5  Control Accounts'!$DI$33,Q81,0),"0")</f>
        <v>0</v>
      </c>
      <c r="H81" s="961" t="str">
        <f ca="1">TEXT(OFFSET('5  Control Accounts'!$CZ$33,Q81,0),"0")</f>
        <v>0</v>
      </c>
      <c r="I81" s="961" t="str">
        <f ca="1">TEXT(OFFSET('5  Control Accounts'!$DL$33,Q81,0),"0")</f>
        <v>0</v>
      </c>
      <c r="J81" s="961" t="str">
        <f ca="1">TEXT(OFFSET('5  Control Accounts'!$DO$33,Q81,0),"0")</f>
        <v>0</v>
      </c>
      <c r="K81" s="961" t="str">
        <f ca="1">TEXT(OFFSET('5  Control Accounts'!$DC$33,Q81,0),"0")</f>
        <v>0</v>
      </c>
      <c r="L81" s="961" t="str">
        <f ca="1">TEXT(OFFSET('5  Control Accounts'!$DS$33,Q81,0),"0")</f>
        <v>0</v>
      </c>
      <c r="M81" s="961" t="str">
        <f ca="1">TEXT(OFFSET('5  Control Accounts'!$FQ$33,Q81,0),"0.00")</f>
        <v>0.00</v>
      </c>
      <c r="N81" s="961" t="str">
        <f ca="1">TEXT(OFFSET('5  Control Accounts'!$FU$33,Q81,0),"0.00")</f>
        <v>0.00</v>
      </c>
      <c r="P81" s="537">
        <f ca="1">OFFSET('5  Control Accounts'!$CP$33,Q81,0)</f>
        <v>0</v>
      </c>
      <c r="Q81" s="537">
        <v>75</v>
      </c>
    </row>
    <row r="82" spans="1:17" s="750" customFormat="1" ht="15.9" customHeight="1" x14ac:dyDescent="0.3">
      <c r="A82" s="961" t="str">
        <f ca="1">IF(P82=0,TEXT(0,"0"),OFFSET('5  Control Accounts'!$BF$33,Q82,0)&amp;"."&amp;OFFSET('5  Control Accounts'!$BH$33,Q82,0))</f>
        <v>0</v>
      </c>
      <c r="B82" s="961" t="str">
        <f ca="1">IF(P82=0,TEXT(0,"0"),TEXT(OFFSET('5  Control Accounts'!$FB$33,Q82,0),"General"))</f>
        <v>0</v>
      </c>
      <c r="C82" s="961" t="str">
        <f t="shared" ca="1" si="4"/>
        <v>0</v>
      </c>
      <c r="D82" s="1405" t="str">
        <f t="shared" si="3"/>
        <v>0</v>
      </c>
      <c r="E82" s="961" t="str">
        <f ca="1">IF(P82=0,TEXT(0,"0"),TEXT(OFFSET('5  Control Accounts'!$BD$33,Q82,0),"General"))</f>
        <v>0</v>
      </c>
      <c r="F82" s="961" t="str">
        <f ca="1">TEXT(OFFSET('5  Control Accounts'!$DF$33,Q82,0),"0")</f>
        <v>0</v>
      </c>
      <c r="G82" s="961" t="str">
        <f ca="1">TEXT(OFFSET('5  Control Accounts'!$DI$33,Q82,0),"0")</f>
        <v>0</v>
      </c>
      <c r="H82" s="961" t="str">
        <f ca="1">TEXT(OFFSET('5  Control Accounts'!$CZ$33,Q82,0),"0")</f>
        <v>0</v>
      </c>
      <c r="I82" s="961" t="str">
        <f ca="1">TEXT(OFFSET('5  Control Accounts'!$DL$33,Q82,0),"0")</f>
        <v>0</v>
      </c>
      <c r="J82" s="961" t="str">
        <f ca="1">TEXT(OFFSET('5  Control Accounts'!$DO$33,Q82,0),"0")</f>
        <v>0</v>
      </c>
      <c r="K82" s="961" t="str">
        <f ca="1">TEXT(OFFSET('5  Control Accounts'!$DC$33,Q82,0),"0")</f>
        <v>0</v>
      </c>
      <c r="L82" s="961" t="str">
        <f ca="1">TEXT(OFFSET('5  Control Accounts'!$DS$33,Q82,0),"0")</f>
        <v>0</v>
      </c>
      <c r="M82" s="961" t="str">
        <f ca="1">TEXT(OFFSET('5  Control Accounts'!$FQ$33,Q82,0),"0.00")</f>
        <v>0.00</v>
      </c>
      <c r="N82" s="961" t="str">
        <f ca="1">TEXT(OFFSET('5  Control Accounts'!$FU$33,Q82,0),"0.00")</f>
        <v>0.00</v>
      </c>
      <c r="P82" s="537">
        <f ca="1">OFFSET('5  Control Accounts'!$CP$33,Q82,0)</f>
        <v>0</v>
      </c>
      <c r="Q82" s="537">
        <v>76</v>
      </c>
    </row>
    <row r="83" spans="1:17" s="750" customFormat="1" ht="15.9" customHeight="1" x14ac:dyDescent="0.3">
      <c r="A83" s="961" t="str">
        <f ca="1">IF(P83=0,TEXT(0,"0"),OFFSET('5  Control Accounts'!$BF$33,Q83,0)&amp;"."&amp;OFFSET('5  Control Accounts'!$BH$33,Q83,0))</f>
        <v>0</v>
      </c>
      <c r="B83" s="961" t="str">
        <f ca="1">IF(P83=0,TEXT(0,"0"),TEXT(OFFSET('5  Control Accounts'!$FB$33,Q83,0),"General"))</f>
        <v>0</v>
      </c>
      <c r="C83" s="961" t="str">
        <f t="shared" ca="1" si="4"/>
        <v>0</v>
      </c>
      <c r="D83" s="1405" t="str">
        <f t="shared" si="3"/>
        <v>0</v>
      </c>
      <c r="E83" s="961" t="str">
        <f ca="1">IF(P83=0,TEXT(0,"0"),TEXT(OFFSET('5  Control Accounts'!$BD$33,Q83,0),"General"))</f>
        <v>0</v>
      </c>
      <c r="F83" s="961" t="str">
        <f ca="1">TEXT(OFFSET('5  Control Accounts'!$DF$33,Q83,0),"0")</f>
        <v>0</v>
      </c>
      <c r="G83" s="961" t="str">
        <f ca="1">TEXT(OFFSET('5  Control Accounts'!$DI$33,Q83,0),"0")</f>
        <v>0</v>
      </c>
      <c r="H83" s="961" t="str">
        <f ca="1">TEXT(OFFSET('5  Control Accounts'!$CZ$33,Q83,0),"0")</f>
        <v>0</v>
      </c>
      <c r="I83" s="961" t="str">
        <f ca="1">TEXT(OFFSET('5  Control Accounts'!$DL$33,Q83,0),"0")</f>
        <v>0</v>
      </c>
      <c r="J83" s="961" t="str">
        <f ca="1">TEXT(OFFSET('5  Control Accounts'!$DO$33,Q83,0),"0")</f>
        <v>0</v>
      </c>
      <c r="K83" s="961" t="str">
        <f ca="1">TEXT(OFFSET('5  Control Accounts'!$DC$33,Q83,0),"0")</f>
        <v>0</v>
      </c>
      <c r="L83" s="961" t="str">
        <f ca="1">TEXT(OFFSET('5  Control Accounts'!$DS$33,Q83,0),"0")</f>
        <v>0</v>
      </c>
      <c r="M83" s="961" t="str">
        <f ca="1">TEXT(OFFSET('5  Control Accounts'!$FQ$33,Q83,0),"0.00")</f>
        <v>0.00</v>
      </c>
      <c r="N83" s="961" t="str">
        <f ca="1">TEXT(OFFSET('5  Control Accounts'!$FU$33,Q83,0),"0.00")</f>
        <v>0.00</v>
      </c>
      <c r="P83" s="537">
        <f ca="1">OFFSET('5  Control Accounts'!$CP$33,Q83,0)</f>
        <v>0</v>
      </c>
      <c r="Q83" s="537">
        <v>77</v>
      </c>
    </row>
    <row r="84" spans="1:17" s="750" customFormat="1" ht="15.9" customHeight="1" x14ac:dyDescent="0.3">
      <c r="A84" s="961" t="str">
        <f ca="1">IF(P84=0,TEXT(0,"0"),OFFSET('5  Control Accounts'!$BF$33,Q84,0)&amp;"."&amp;OFFSET('5  Control Accounts'!$BH$33,Q84,0))</f>
        <v>0</v>
      </c>
      <c r="B84" s="961" t="str">
        <f ca="1">IF(P84=0,TEXT(0,"0"),TEXT(OFFSET('5  Control Accounts'!$FB$33,Q84,0),"General"))</f>
        <v>0</v>
      </c>
      <c r="C84" s="961" t="str">
        <f t="shared" ca="1" si="4"/>
        <v>0</v>
      </c>
      <c r="D84" s="1405" t="str">
        <f t="shared" si="3"/>
        <v>0</v>
      </c>
      <c r="E84" s="961" t="str">
        <f ca="1">IF(P84=0,TEXT(0,"0"),TEXT(OFFSET('5  Control Accounts'!$BD$33,Q84,0),"General"))</f>
        <v>0</v>
      </c>
      <c r="F84" s="961" t="str">
        <f ca="1">TEXT(OFFSET('5  Control Accounts'!$DF$33,Q84,0),"0")</f>
        <v>0</v>
      </c>
      <c r="G84" s="961" t="str">
        <f ca="1">TEXT(OFFSET('5  Control Accounts'!$DI$33,Q84,0),"0")</f>
        <v>0</v>
      </c>
      <c r="H84" s="961" t="str">
        <f ca="1">TEXT(OFFSET('5  Control Accounts'!$CZ$33,Q84,0),"0")</f>
        <v>0</v>
      </c>
      <c r="I84" s="961" t="str">
        <f ca="1">TEXT(OFFSET('5  Control Accounts'!$DL$33,Q84,0),"0")</f>
        <v>0</v>
      </c>
      <c r="J84" s="961" t="str">
        <f ca="1">TEXT(OFFSET('5  Control Accounts'!$DO$33,Q84,0),"0")</f>
        <v>0</v>
      </c>
      <c r="K84" s="961" t="str">
        <f ca="1">TEXT(OFFSET('5  Control Accounts'!$DC$33,Q84,0),"0")</f>
        <v>0</v>
      </c>
      <c r="L84" s="961" t="str">
        <f ca="1">TEXT(OFFSET('5  Control Accounts'!$DS$33,Q84,0),"0")</f>
        <v>0</v>
      </c>
      <c r="M84" s="961" t="str">
        <f ca="1">TEXT(OFFSET('5  Control Accounts'!$FQ$33,Q84,0),"0.00")</f>
        <v>0.00</v>
      </c>
      <c r="N84" s="961" t="str">
        <f ca="1">TEXT(OFFSET('5  Control Accounts'!$FU$33,Q84,0),"0.00")</f>
        <v>0.00</v>
      </c>
      <c r="P84" s="537">
        <f ca="1">OFFSET('5  Control Accounts'!$CP$33,Q84,0)</f>
        <v>0</v>
      </c>
      <c r="Q84" s="537">
        <v>78</v>
      </c>
    </row>
    <row r="85" spans="1:17" s="750" customFormat="1" ht="15.9" customHeight="1" x14ac:dyDescent="0.3">
      <c r="A85" s="961" t="str">
        <f ca="1">IF(P85=0,TEXT(0,"0"),OFFSET('5  Control Accounts'!$BF$33,Q85,0)&amp;"."&amp;OFFSET('5  Control Accounts'!$BH$33,Q85,0))</f>
        <v>0</v>
      </c>
      <c r="B85" s="961" t="str">
        <f ca="1">IF(P85=0,TEXT(0,"0"),TEXT(OFFSET('5  Control Accounts'!$FB$33,Q85,0),"General"))</f>
        <v>0</v>
      </c>
      <c r="C85" s="961" t="str">
        <f t="shared" ca="1" si="4"/>
        <v>0</v>
      </c>
      <c r="D85" s="1405" t="str">
        <f t="shared" si="3"/>
        <v>0</v>
      </c>
      <c r="E85" s="961" t="str">
        <f ca="1">IF(P85=0,TEXT(0,"0"),TEXT(OFFSET('5  Control Accounts'!$BD$33,Q85,0),"General"))</f>
        <v>0</v>
      </c>
      <c r="F85" s="961" t="str">
        <f ca="1">TEXT(OFFSET('5  Control Accounts'!$DF$33,Q85,0),"0")</f>
        <v>0</v>
      </c>
      <c r="G85" s="961" t="str">
        <f ca="1">TEXT(OFFSET('5  Control Accounts'!$DI$33,Q85,0),"0")</f>
        <v>0</v>
      </c>
      <c r="H85" s="961" t="str">
        <f ca="1">TEXT(OFFSET('5  Control Accounts'!$CZ$33,Q85,0),"0")</f>
        <v>0</v>
      </c>
      <c r="I85" s="961" t="str">
        <f ca="1">TEXT(OFFSET('5  Control Accounts'!$DL$33,Q85,0),"0")</f>
        <v>0</v>
      </c>
      <c r="J85" s="961" t="str">
        <f ca="1">TEXT(OFFSET('5  Control Accounts'!$DO$33,Q85,0),"0")</f>
        <v>0</v>
      </c>
      <c r="K85" s="961" t="str">
        <f ca="1">TEXT(OFFSET('5  Control Accounts'!$DC$33,Q85,0),"0")</f>
        <v>0</v>
      </c>
      <c r="L85" s="961" t="str">
        <f ca="1">TEXT(OFFSET('5  Control Accounts'!$DS$33,Q85,0),"0")</f>
        <v>0</v>
      </c>
      <c r="M85" s="961" t="str">
        <f ca="1">TEXT(OFFSET('5  Control Accounts'!$FQ$33,Q85,0),"0.00")</f>
        <v>0.00</v>
      </c>
      <c r="N85" s="961" t="str">
        <f ca="1">TEXT(OFFSET('5  Control Accounts'!$FU$33,Q85,0),"0.00")</f>
        <v>0.00</v>
      </c>
      <c r="P85" s="537">
        <f ca="1">OFFSET('5  Control Accounts'!$CP$33,Q85,0)</f>
        <v>0</v>
      </c>
      <c r="Q85" s="537">
        <v>79</v>
      </c>
    </row>
    <row r="86" spans="1:17" s="750" customFormat="1" ht="15.9" customHeight="1" x14ac:dyDescent="0.3">
      <c r="A86" s="961" t="str">
        <f ca="1">IF(P86=0,TEXT(0,"0"),OFFSET('5  Control Accounts'!$BF$33,Q86,0)&amp;"."&amp;OFFSET('5  Control Accounts'!$BH$33,Q86,0))</f>
        <v>0</v>
      </c>
      <c r="B86" s="961" t="str">
        <f ca="1">IF(P86=0,TEXT(0,"0"),TEXT(OFFSET('5  Control Accounts'!$FB$33,Q86,0),"General"))</f>
        <v>0</v>
      </c>
      <c r="C86" s="961" t="str">
        <f t="shared" ca="1" si="4"/>
        <v>0</v>
      </c>
      <c r="D86" s="1405" t="str">
        <f t="shared" si="3"/>
        <v>0</v>
      </c>
      <c r="E86" s="961" t="str">
        <f ca="1">IF(P86=0,TEXT(0,"0"),TEXT(OFFSET('5  Control Accounts'!$BD$33,Q86,0),"General"))</f>
        <v>0</v>
      </c>
      <c r="F86" s="961" t="str">
        <f ca="1">TEXT(OFFSET('5  Control Accounts'!$DF$33,Q86,0),"0")</f>
        <v>0</v>
      </c>
      <c r="G86" s="961" t="str">
        <f ca="1">TEXT(OFFSET('5  Control Accounts'!$DI$33,Q86,0),"0")</f>
        <v>0</v>
      </c>
      <c r="H86" s="961" t="str">
        <f ca="1">TEXT(OFFSET('5  Control Accounts'!$CZ$33,Q86,0),"0")</f>
        <v>0</v>
      </c>
      <c r="I86" s="961" t="str">
        <f ca="1">TEXT(OFFSET('5  Control Accounts'!$DL$33,Q86,0),"0")</f>
        <v>0</v>
      </c>
      <c r="J86" s="961" t="str">
        <f ca="1">TEXT(OFFSET('5  Control Accounts'!$DO$33,Q86,0),"0")</f>
        <v>0</v>
      </c>
      <c r="K86" s="961" t="str">
        <f ca="1">TEXT(OFFSET('5  Control Accounts'!$DC$33,Q86,0),"0")</f>
        <v>0</v>
      </c>
      <c r="L86" s="961" t="str">
        <f ca="1">TEXT(OFFSET('5  Control Accounts'!$DS$33,Q86,0),"0")</f>
        <v>0</v>
      </c>
      <c r="M86" s="961" t="str">
        <f ca="1">TEXT(OFFSET('5  Control Accounts'!$FQ$33,Q86,0),"0.00")</f>
        <v>0.00</v>
      </c>
      <c r="N86" s="961" t="str">
        <f ca="1">TEXT(OFFSET('5  Control Accounts'!$FU$33,Q86,0),"0.00")</f>
        <v>0.00</v>
      </c>
      <c r="P86" s="537">
        <f ca="1">OFFSET('5  Control Accounts'!$CP$33,Q86,0)</f>
        <v>0</v>
      </c>
      <c r="Q86" s="537">
        <v>80</v>
      </c>
    </row>
    <row r="87" spans="1:17" s="750" customFormat="1" ht="15.9" customHeight="1" x14ac:dyDescent="0.3">
      <c r="A87" s="961" t="str">
        <f ca="1">IF(P87=0,TEXT(0,"0"),OFFSET('5  Control Accounts'!$BF$33,Q87,0)&amp;"."&amp;OFFSET('5  Control Accounts'!$BH$33,Q87,0))</f>
        <v>0</v>
      </c>
      <c r="B87" s="961" t="str">
        <f ca="1">IF(P87=0,TEXT(0,"0"),TEXT(OFFSET('5  Control Accounts'!$FB$33,Q87,0),"General"))</f>
        <v>0</v>
      </c>
      <c r="C87" s="961" t="str">
        <f t="shared" ca="1" si="4"/>
        <v>0</v>
      </c>
      <c r="D87" s="1405" t="str">
        <f t="shared" si="3"/>
        <v>0</v>
      </c>
      <c r="E87" s="961" t="str">
        <f ca="1">IF(P87=0,TEXT(0,"0"),TEXT(OFFSET('5  Control Accounts'!$BD$33,Q87,0),"General"))</f>
        <v>0</v>
      </c>
      <c r="F87" s="961" t="str">
        <f ca="1">TEXT(OFFSET('5  Control Accounts'!$DF$33,Q87,0),"0")</f>
        <v>0</v>
      </c>
      <c r="G87" s="961" t="str">
        <f ca="1">TEXT(OFFSET('5  Control Accounts'!$DI$33,Q87,0),"0")</f>
        <v>0</v>
      </c>
      <c r="H87" s="961" t="str">
        <f ca="1">TEXT(OFFSET('5  Control Accounts'!$CZ$33,Q87,0),"0")</f>
        <v>0</v>
      </c>
      <c r="I87" s="961" t="str">
        <f ca="1">TEXT(OFFSET('5  Control Accounts'!$DL$33,Q87,0),"0")</f>
        <v>0</v>
      </c>
      <c r="J87" s="961" t="str">
        <f ca="1">TEXT(OFFSET('5  Control Accounts'!$DO$33,Q87,0),"0")</f>
        <v>0</v>
      </c>
      <c r="K87" s="961" t="str">
        <f ca="1">TEXT(OFFSET('5  Control Accounts'!$DC$33,Q87,0),"0")</f>
        <v>0</v>
      </c>
      <c r="L87" s="961" t="str">
        <f ca="1">TEXT(OFFSET('5  Control Accounts'!$DS$33,Q87,0),"0")</f>
        <v>0</v>
      </c>
      <c r="M87" s="961" t="str">
        <f ca="1">TEXT(OFFSET('5  Control Accounts'!$FQ$33,Q87,0),"0.00")</f>
        <v>0.00</v>
      </c>
      <c r="N87" s="961" t="str">
        <f ca="1">TEXT(OFFSET('5  Control Accounts'!$FU$33,Q87,0),"0.00")</f>
        <v>0.00</v>
      </c>
      <c r="P87" s="537">
        <f ca="1">OFFSET('5  Control Accounts'!$CP$33,Q87,0)</f>
        <v>0</v>
      </c>
      <c r="Q87" s="537">
        <v>81</v>
      </c>
    </row>
    <row r="88" spans="1:17" s="750" customFormat="1" ht="15.9" customHeight="1" x14ac:dyDescent="0.3">
      <c r="A88" s="961" t="str">
        <f ca="1">IF(P88=0,TEXT(0,"0"),OFFSET('5  Control Accounts'!$BF$33,Q88,0)&amp;"."&amp;OFFSET('5  Control Accounts'!$BH$33,Q88,0))</f>
        <v>0</v>
      </c>
      <c r="B88" s="961" t="str">
        <f ca="1">IF(P88=0,TEXT(0,"0"),TEXT(OFFSET('5  Control Accounts'!$FB$33,Q88,0),"General"))</f>
        <v>0</v>
      </c>
      <c r="C88" s="961" t="str">
        <f t="shared" ca="1" si="4"/>
        <v>0</v>
      </c>
      <c r="D88" s="1405" t="str">
        <f t="shared" si="3"/>
        <v>0</v>
      </c>
      <c r="E88" s="961" t="str">
        <f ca="1">IF(P88=0,TEXT(0,"0"),TEXT(OFFSET('5  Control Accounts'!$BD$33,Q88,0),"General"))</f>
        <v>0</v>
      </c>
      <c r="F88" s="961" t="str">
        <f ca="1">TEXT(OFFSET('5  Control Accounts'!$DF$33,Q88,0),"0")</f>
        <v>0</v>
      </c>
      <c r="G88" s="961" t="str">
        <f ca="1">TEXT(OFFSET('5  Control Accounts'!$DI$33,Q88,0),"0")</f>
        <v>0</v>
      </c>
      <c r="H88" s="961" t="str">
        <f ca="1">TEXT(OFFSET('5  Control Accounts'!$CZ$33,Q88,0),"0")</f>
        <v>0</v>
      </c>
      <c r="I88" s="961" t="str">
        <f ca="1">TEXT(OFFSET('5  Control Accounts'!$DL$33,Q88,0),"0")</f>
        <v>0</v>
      </c>
      <c r="J88" s="961" t="str">
        <f ca="1">TEXT(OFFSET('5  Control Accounts'!$DO$33,Q88,0),"0")</f>
        <v>0</v>
      </c>
      <c r="K88" s="961" t="str">
        <f ca="1">TEXT(OFFSET('5  Control Accounts'!$DC$33,Q88,0),"0")</f>
        <v>0</v>
      </c>
      <c r="L88" s="961" t="str">
        <f ca="1">TEXT(OFFSET('5  Control Accounts'!$DS$33,Q88,0),"0")</f>
        <v>0</v>
      </c>
      <c r="M88" s="961" t="str">
        <f ca="1">TEXT(OFFSET('5  Control Accounts'!$FQ$33,Q88,0),"0.00")</f>
        <v>0.00</v>
      </c>
      <c r="N88" s="961" t="str">
        <f ca="1">TEXT(OFFSET('5  Control Accounts'!$FU$33,Q88,0),"0.00")</f>
        <v>0.00</v>
      </c>
      <c r="P88" s="537">
        <f ca="1">OFFSET('5  Control Accounts'!$CP$33,Q88,0)</f>
        <v>0</v>
      </c>
      <c r="Q88" s="537">
        <v>82</v>
      </c>
    </row>
    <row r="89" spans="1:17" s="750" customFormat="1" ht="15.9" customHeight="1" x14ac:dyDescent="0.3">
      <c r="A89" s="961" t="str">
        <f ca="1">IF(P89=0,TEXT(0,"0"),OFFSET('5  Control Accounts'!$BF$33,Q89,0)&amp;"."&amp;OFFSET('5  Control Accounts'!$BH$33,Q89,0))</f>
        <v>0</v>
      </c>
      <c r="B89" s="961" t="str">
        <f ca="1">IF(P89=0,TEXT(0,"0"),TEXT(OFFSET('5  Control Accounts'!$FB$33,Q89,0),"General"))</f>
        <v>0</v>
      </c>
      <c r="C89" s="961" t="str">
        <f t="shared" ca="1" si="4"/>
        <v>0</v>
      </c>
      <c r="D89" s="1405" t="str">
        <f t="shared" si="3"/>
        <v>0</v>
      </c>
      <c r="E89" s="961" t="str">
        <f ca="1">IF(P89=0,TEXT(0,"0"),TEXT(OFFSET('5  Control Accounts'!$BD$33,Q89,0),"General"))</f>
        <v>0</v>
      </c>
      <c r="F89" s="961" t="str">
        <f ca="1">TEXT(OFFSET('5  Control Accounts'!$DF$33,Q89,0),"0")</f>
        <v>0</v>
      </c>
      <c r="G89" s="961" t="str">
        <f ca="1">TEXT(OFFSET('5  Control Accounts'!$DI$33,Q89,0),"0")</f>
        <v>0</v>
      </c>
      <c r="H89" s="961" t="str">
        <f ca="1">TEXT(OFFSET('5  Control Accounts'!$CZ$33,Q89,0),"0")</f>
        <v>0</v>
      </c>
      <c r="I89" s="961" t="str">
        <f ca="1">TEXT(OFFSET('5  Control Accounts'!$DL$33,Q89,0),"0")</f>
        <v>0</v>
      </c>
      <c r="J89" s="961" t="str">
        <f ca="1">TEXT(OFFSET('5  Control Accounts'!$DO$33,Q89,0),"0")</f>
        <v>0</v>
      </c>
      <c r="K89" s="961" t="str">
        <f ca="1">TEXT(OFFSET('5  Control Accounts'!$DC$33,Q89,0),"0")</f>
        <v>0</v>
      </c>
      <c r="L89" s="961" t="str">
        <f ca="1">TEXT(OFFSET('5  Control Accounts'!$DS$33,Q89,0),"0")</f>
        <v>0</v>
      </c>
      <c r="M89" s="961" t="str">
        <f ca="1">TEXT(OFFSET('5  Control Accounts'!$FQ$33,Q89,0),"0.00")</f>
        <v>0.00</v>
      </c>
      <c r="N89" s="961" t="str">
        <f ca="1">TEXT(OFFSET('5  Control Accounts'!$FU$33,Q89,0),"0.00")</f>
        <v>0.00</v>
      </c>
      <c r="P89" s="537">
        <f ca="1">OFFSET('5  Control Accounts'!$CP$33,Q89,0)</f>
        <v>0</v>
      </c>
      <c r="Q89" s="537">
        <v>83</v>
      </c>
    </row>
    <row r="90" spans="1:17" s="750" customFormat="1" ht="15.9" customHeight="1" x14ac:dyDescent="0.3">
      <c r="A90" s="961" t="str">
        <f ca="1">IF(P90=0,TEXT(0,"0"),OFFSET('5  Control Accounts'!$BF$33,Q90,0)&amp;"."&amp;OFFSET('5  Control Accounts'!$BH$33,Q90,0))</f>
        <v>0</v>
      </c>
      <c r="B90" s="961" t="str">
        <f ca="1">IF(P90=0,TEXT(0,"0"),TEXT(OFFSET('5  Control Accounts'!$FB$33,Q90,0),"General"))</f>
        <v>0</v>
      </c>
      <c r="C90" s="961" t="str">
        <f t="shared" ca="1" si="4"/>
        <v>0</v>
      </c>
      <c r="D90" s="1405" t="str">
        <f t="shared" si="3"/>
        <v>0</v>
      </c>
      <c r="E90" s="961" t="str">
        <f ca="1">IF(P90=0,TEXT(0,"0"),TEXT(OFFSET('5  Control Accounts'!$BD$33,Q90,0),"General"))</f>
        <v>0</v>
      </c>
      <c r="F90" s="961" t="str">
        <f ca="1">TEXT(OFFSET('5  Control Accounts'!$DF$33,Q90,0),"0")</f>
        <v>0</v>
      </c>
      <c r="G90" s="961" t="str">
        <f ca="1">TEXT(OFFSET('5  Control Accounts'!$DI$33,Q90,0),"0")</f>
        <v>0</v>
      </c>
      <c r="H90" s="961" t="str">
        <f ca="1">TEXT(OFFSET('5  Control Accounts'!$CZ$33,Q90,0),"0")</f>
        <v>0</v>
      </c>
      <c r="I90" s="961" t="str">
        <f ca="1">TEXT(OFFSET('5  Control Accounts'!$DL$33,Q90,0),"0")</f>
        <v>0</v>
      </c>
      <c r="J90" s="961" t="str">
        <f ca="1">TEXT(OFFSET('5  Control Accounts'!$DO$33,Q90,0),"0")</f>
        <v>0</v>
      </c>
      <c r="K90" s="961" t="str">
        <f ca="1">TEXT(OFFSET('5  Control Accounts'!$DC$33,Q90,0),"0")</f>
        <v>0</v>
      </c>
      <c r="L90" s="961" t="str">
        <f ca="1">TEXT(OFFSET('5  Control Accounts'!$DS$33,Q90,0),"0")</f>
        <v>0</v>
      </c>
      <c r="M90" s="961" t="str">
        <f ca="1">TEXT(OFFSET('5  Control Accounts'!$FQ$33,Q90,0),"0.00")</f>
        <v>0.00</v>
      </c>
      <c r="N90" s="961" t="str">
        <f ca="1">TEXT(OFFSET('5  Control Accounts'!$FU$33,Q90,0),"0.00")</f>
        <v>0.00</v>
      </c>
      <c r="P90" s="537">
        <f ca="1">OFFSET('5  Control Accounts'!$CP$33,Q90,0)</f>
        <v>0</v>
      </c>
      <c r="Q90" s="537">
        <v>84</v>
      </c>
    </row>
    <row r="91" spans="1:17" s="750" customFormat="1" ht="15.9" customHeight="1" x14ac:dyDescent="0.3">
      <c r="A91" s="961" t="str">
        <f ca="1">IF(P91=0,TEXT(0,"0"),OFFSET('5  Control Accounts'!$BF$33,Q91,0)&amp;"."&amp;OFFSET('5  Control Accounts'!$BH$33,Q91,0))</f>
        <v>0</v>
      </c>
      <c r="B91" s="961" t="str">
        <f ca="1">IF(P91=0,TEXT(0,"0"),TEXT(OFFSET('5  Control Accounts'!$FB$33,Q91,0),"General"))</f>
        <v>0</v>
      </c>
      <c r="C91" s="961" t="str">
        <f t="shared" ca="1" si="4"/>
        <v>0</v>
      </c>
      <c r="D91" s="1405" t="str">
        <f t="shared" si="3"/>
        <v>0</v>
      </c>
      <c r="E91" s="961" t="str">
        <f ca="1">IF(P91=0,TEXT(0,"0"),TEXT(OFFSET('5  Control Accounts'!$BD$33,Q91,0),"General"))</f>
        <v>0</v>
      </c>
      <c r="F91" s="961" t="str">
        <f ca="1">TEXT(OFFSET('5  Control Accounts'!$DF$33,Q91,0),"0")</f>
        <v>0</v>
      </c>
      <c r="G91" s="961" t="str">
        <f ca="1">TEXT(OFFSET('5  Control Accounts'!$DI$33,Q91,0),"0")</f>
        <v>0</v>
      </c>
      <c r="H91" s="961" t="str">
        <f ca="1">TEXT(OFFSET('5  Control Accounts'!$CZ$33,Q91,0),"0")</f>
        <v>0</v>
      </c>
      <c r="I91" s="961" t="str">
        <f ca="1">TEXT(OFFSET('5  Control Accounts'!$DL$33,Q91,0),"0")</f>
        <v>0</v>
      </c>
      <c r="J91" s="961" t="str">
        <f ca="1">TEXT(OFFSET('5  Control Accounts'!$DO$33,Q91,0),"0")</f>
        <v>0</v>
      </c>
      <c r="K91" s="961" t="str">
        <f ca="1">TEXT(OFFSET('5  Control Accounts'!$DC$33,Q91,0),"0")</f>
        <v>0</v>
      </c>
      <c r="L91" s="961" t="str">
        <f ca="1">TEXT(OFFSET('5  Control Accounts'!$DS$33,Q91,0),"0")</f>
        <v>0</v>
      </c>
      <c r="M91" s="961" t="str">
        <f ca="1">TEXT(OFFSET('5  Control Accounts'!$FQ$33,Q91,0),"0.00")</f>
        <v>0.00</v>
      </c>
      <c r="N91" s="961" t="str">
        <f ca="1">TEXT(OFFSET('5  Control Accounts'!$FU$33,Q91,0),"0.00")</f>
        <v>0.00</v>
      </c>
      <c r="P91" s="537">
        <f ca="1">OFFSET('5  Control Accounts'!$CP$33,Q91,0)</f>
        <v>0</v>
      </c>
      <c r="Q91" s="537">
        <v>85</v>
      </c>
    </row>
    <row r="92" spans="1:17" s="750" customFormat="1" ht="15.9" customHeight="1" x14ac:dyDescent="0.3">
      <c r="A92" s="961" t="str">
        <f ca="1">IF(P92=0,TEXT(0,"0"),OFFSET('5  Control Accounts'!$BF$33,Q92,0)&amp;"."&amp;OFFSET('5  Control Accounts'!$BH$33,Q92,0))</f>
        <v>0</v>
      </c>
      <c r="B92" s="961" t="str">
        <f ca="1">IF(P92=0,TEXT(0,"0"),TEXT(OFFSET('5  Control Accounts'!$FB$33,Q92,0),"General"))</f>
        <v>0</v>
      </c>
      <c r="C92" s="961" t="str">
        <f t="shared" ca="1" si="4"/>
        <v>0</v>
      </c>
      <c r="D92" s="1405" t="str">
        <f t="shared" si="3"/>
        <v>0</v>
      </c>
      <c r="E92" s="961" t="str">
        <f ca="1">IF(P92=0,TEXT(0,"0"),TEXT(OFFSET('5  Control Accounts'!$BD$33,Q92,0),"General"))</f>
        <v>0</v>
      </c>
      <c r="F92" s="961" t="str">
        <f ca="1">TEXT(OFFSET('5  Control Accounts'!$DF$33,Q92,0),"0")</f>
        <v>0</v>
      </c>
      <c r="G92" s="961" t="str">
        <f ca="1">TEXT(OFFSET('5  Control Accounts'!$DI$33,Q92,0),"0")</f>
        <v>0</v>
      </c>
      <c r="H92" s="961" t="str">
        <f ca="1">TEXT(OFFSET('5  Control Accounts'!$CZ$33,Q92,0),"0")</f>
        <v>0</v>
      </c>
      <c r="I92" s="961" t="str">
        <f ca="1">TEXT(OFFSET('5  Control Accounts'!$DL$33,Q92,0),"0")</f>
        <v>0</v>
      </c>
      <c r="J92" s="961" t="str">
        <f ca="1">TEXT(OFFSET('5  Control Accounts'!$DO$33,Q92,0),"0")</f>
        <v>0</v>
      </c>
      <c r="K92" s="961" t="str">
        <f ca="1">TEXT(OFFSET('5  Control Accounts'!$DC$33,Q92,0),"0")</f>
        <v>0</v>
      </c>
      <c r="L92" s="961" t="str">
        <f ca="1">TEXT(OFFSET('5  Control Accounts'!$DS$33,Q92,0),"0")</f>
        <v>0</v>
      </c>
      <c r="M92" s="961" t="str">
        <f ca="1">TEXT(OFFSET('5  Control Accounts'!$FQ$33,Q92,0),"0.00")</f>
        <v>0.00</v>
      </c>
      <c r="N92" s="961" t="str">
        <f ca="1">TEXT(OFFSET('5  Control Accounts'!$FU$33,Q92,0),"0.00")</f>
        <v>0.00</v>
      </c>
      <c r="P92" s="537">
        <f ca="1">OFFSET('5  Control Accounts'!$CP$33,Q92,0)</f>
        <v>0</v>
      </c>
      <c r="Q92" s="537">
        <v>86</v>
      </c>
    </row>
    <row r="93" spans="1:17" s="750" customFormat="1" ht="15.9" customHeight="1" x14ac:dyDescent="0.3">
      <c r="A93" s="961" t="str">
        <f ca="1">IF(P93=0,TEXT(0,"0"),OFFSET('5  Control Accounts'!$BF$33,Q93,0)&amp;"."&amp;OFFSET('5  Control Accounts'!$BH$33,Q93,0))</f>
        <v>0</v>
      </c>
      <c r="B93" s="961" t="str">
        <f ca="1">IF(P93=0,TEXT(0,"0"),TEXT(OFFSET('5  Control Accounts'!$FB$33,Q93,0),"General"))</f>
        <v>0</v>
      </c>
      <c r="C93" s="961" t="str">
        <f t="shared" ca="1" si="4"/>
        <v>0</v>
      </c>
      <c r="D93" s="1405" t="str">
        <f t="shared" si="3"/>
        <v>0</v>
      </c>
      <c r="E93" s="961" t="str">
        <f ca="1">IF(P93=0,TEXT(0,"0"),TEXT(OFFSET('5  Control Accounts'!$BD$33,Q93,0),"General"))</f>
        <v>0</v>
      </c>
      <c r="F93" s="961" t="str">
        <f ca="1">TEXT(OFFSET('5  Control Accounts'!$DF$33,Q93,0),"0")</f>
        <v>0</v>
      </c>
      <c r="G93" s="961" t="str">
        <f ca="1">TEXT(OFFSET('5  Control Accounts'!$DI$33,Q93,0),"0")</f>
        <v>0</v>
      </c>
      <c r="H93" s="961" t="str">
        <f ca="1">TEXT(OFFSET('5  Control Accounts'!$CZ$33,Q93,0),"0")</f>
        <v>0</v>
      </c>
      <c r="I93" s="961" t="str">
        <f ca="1">TEXT(OFFSET('5  Control Accounts'!$DL$33,Q93,0),"0")</f>
        <v>0</v>
      </c>
      <c r="J93" s="961" t="str">
        <f ca="1">TEXT(OFFSET('5  Control Accounts'!$DO$33,Q93,0),"0")</f>
        <v>0</v>
      </c>
      <c r="K93" s="961" t="str">
        <f ca="1">TEXT(OFFSET('5  Control Accounts'!$DC$33,Q93,0),"0")</f>
        <v>0</v>
      </c>
      <c r="L93" s="961" t="str">
        <f ca="1">TEXT(OFFSET('5  Control Accounts'!$DS$33,Q93,0),"0")</f>
        <v>0</v>
      </c>
      <c r="M93" s="961" t="str">
        <f ca="1">TEXT(OFFSET('5  Control Accounts'!$FQ$33,Q93,0),"0.00")</f>
        <v>0.00</v>
      </c>
      <c r="N93" s="961" t="str">
        <f ca="1">TEXT(OFFSET('5  Control Accounts'!$FU$33,Q93,0),"0.00")</f>
        <v>0.00</v>
      </c>
      <c r="P93" s="537">
        <f ca="1">OFFSET('5  Control Accounts'!$CP$33,Q93,0)</f>
        <v>0</v>
      </c>
      <c r="Q93" s="537">
        <v>87</v>
      </c>
    </row>
    <row r="94" spans="1:17" s="750" customFormat="1" ht="15.9" customHeight="1" x14ac:dyDescent="0.3">
      <c r="A94" s="961" t="str">
        <f ca="1">IF(P94=0,TEXT(0,"0"),OFFSET('5  Control Accounts'!$BF$33,Q94,0)&amp;"."&amp;OFFSET('5  Control Accounts'!$BH$33,Q94,0))</f>
        <v>0</v>
      </c>
      <c r="B94" s="961" t="str">
        <f ca="1">IF(P94=0,TEXT(0,"0"),TEXT(OFFSET('5  Control Accounts'!$FB$33,Q94,0),"General"))</f>
        <v>0</v>
      </c>
      <c r="C94" s="961" t="str">
        <f t="shared" ca="1" si="4"/>
        <v>0</v>
      </c>
      <c r="D94" s="1405" t="str">
        <f t="shared" si="3"/>
        <v>0</v>
      </c>
      <c r="E94" s="961" t="str">
        <f ca="1">IF(P94=0,TEXT(0,"0"),TEXT(OFFSET('5  Control Accounts'!$BD$33,Q94,0),"General"))</f>
        <v>0</v>
      </c>
      <c r="F94" s="961" t="str">
        <f ca="1">TEXT(OFFSET('5  Control Accounts'!$DF$33,Q94,0),"0")</f>
        <v>0</v>
      </c>
      <c r="G94" s="961" t="str">
        <f ca="1">TEXT(OFFSET('5  Control Accounts'!$DI$33,Q94,0),"0")</f>
        <v>0</v>
      </c>
      <c r="H94" s="961" t="str">
        <f ca="1">TEXT(OFFSET('5  Control Accounts'!$CZ$33,Q94,0),"0")</f>
        <v>0</v>
      </c>
      <c r="I94" s="961" t="str">
        <f ca="1">TEXT(OFFSET('5  Control Accounts'!$DL$33,Q94,0),"0")</f>
        <v>0</v>
      </c>
      <c r="J94" s="961" t="str">
        <f ca="1">TEXT(OFFSET('5  Control Accounts'!$DO$33,Q94,0),"0")</f>
        <v>0</v>
      </c>
      <c r="K94" s="961" t="str">
        <f ca="1">TEXT(OFFSET('5  Control Accounts'!$DC$33,Q94,0),"0")</f>
        <v>0</v>
      </c>
      <c r="L94" s="961" t="str">
        <f ca="1">TEXT(OFFSET('5  Control Accounts'!$DS$33,Q94,0),"0")</f>
        <v>0</v>
      </c>
      <c r="M94" s="961" t="str">
        <f ca="1">TEXT(OFFSET('5  Control Accounts'!$FQ$33,Q94,0),"0.00")</f>
        <v>0.00</v>
      </c>
      <c r="N94" s="961" t="str">
        <f ca="1">TEXT(OFFSET('5  Control Accounts'!$FU$33,Q94,0),"0.00")</f>
        <v>0.00</v>
      </c>
      <c r="P94" s="537">
        <f ca="1">OFFSET('5  Control Accounts'!$CP$33,Q94,0)</f>
        <v>0</v>
      </c>
      <c r="Q94" s="537">
        <v>88</v>
      </c>
    </row>
    <row r="95" spans="1:17" s="750" customFormat="1" ht="15.9" customHeight="1" x14ac:dyDescent="0.3">
      <c r="A95" s="961" t="str">
        <f ca="1">IF(P95=0,TEXT(0,"0"),OFFSET('5  Control Accounts'!$BF$33,Q95,0)&amp;"."&amp;OFFSET('5  Control Accounts'!$BH$33,Q95,0))</f>
        <v>0</v>
      </c>
      <c r="B95" s="961" t="str">
        <f ca="1">IF(P95=0,TEXT(0,"0"),TEXT(OFFSET('5  Control Accounts'!$FB$33,Q95,0),"General"))</f>
        <v>0</v>
      </c>
      <c r="C95" s="961" t="str">
        <f t="shared" ca="1" si="4"/>
        <v>0</v>
      </c>
      <c r="D95" s="1405" t="str">
        <f t="shared" si="3"/>
        <v>0</v>
      </c>
      <c r="E95" s="961" t="str">
        <f ca="1">IF(P95=0,TEXT(0,"0"),TEXT(OFFSET('5  Control Accounts'!$BD$33,Q95,0),"General"))</f>
        <v>0</v>
      </c>
      <c r="F95" s="961" t="str">
        <f ca="1">TEXT(OFFSET('5  Control Accounts'!$DF$33,Q95,0),"0")</f>
        <v>0</v>
      </c>
      <c r="G95" s="961" t="str">
        <f ca="1">TEXT(OFFSET('5  Control Accounts'!$DI$33,Q95,0),"0")</f>
        <v>0</v>
      </c>
      <c r="H95" s="961" t="str">
        <f ca="1">TEXT(OFFSET('5  Control Accounts'!$CZ$33,Q95,0),"0")</f>
        <v>0</v>
      </c>
      <c r="I95" s="961" t="str">
        <f ca="1">TEXT(OFFSET('5  Control Accounts'!$DL$33,Q95,0),"0")</f>
        <v>0</v>
      </c>
      <c r="J95" s="961" t="str">
        <f ca="1">TEXT(OFFSET('5  Control Accounts'!$DO$33,Q95,0),"0")</f>
        <v>0</v>
      </c>
      <c r="K95" s="961" t="str">
        <f ca="1">TEXT(OFFSET('5  Control Accounts'!$DC$33,Q95,0),"0")</f>
        <v>0</v>
      </c>
      <c r="L95" s="961" t="str">
        <f ca="1">TEXT(OFFSET('5  Control Accounts'!$DS$33,Q95,0),"0")</f>
        <v>0</v>
      </c>
      <c r="M95" s="961" t="str">
        <f ca="1">TEXT(OFFSET('5  Control Accounts'!$FQ$33,Q95,0),"0.00")</f>
        <v>0.00</v>
      </c>
      <c r="N95" s="961" t="str">
        <f ca="1">TEXT(OFFSET('5  Control Accounts'!$FU$33,Q95,0),"0.00")</f>
        <v>0.00</v>
      </c>
      <c r="P95" s="537">
        <f ca="1">OFFSET('5  Control Accounts'!$CP$33,Q95,0)</f>
        <v>0</v>
      </c>
      <c r="Q95" s="537">
        <v>89</v>
      </c>
    </row>
    <row r="96" spans="1:17" s="750" customFormat="1" ht="15.9" customHeight="1" x14ac:dyDescent="0.3">
      <c r="A96" s="961" t="str">
        <f ca="1">IF(P96=0,TEXT(0,"0"),OFFSET('5  Control Accounts'!$BF$33,Q96,0)&amp;"."&amp;OFFSET('5  Control Accounts'!$BH$33,Q96,0))</f>
        <v>0</v>
      </c>
      <c r="B96" s="961" t="str">
        <f ca="1">IF(P96=0,TEXT(0,"0"),TEXT(OFFSET('5  Control Accounts'!$FB$33,Q96,0),"General"))</f>
        <v>0</v>
      </c>
      <c r="C96" s="961" t="str">
        <f t="shared" ca="1" si="4"/>
        <v>0</v>
      </c>
      <c r="D96" s="1405" t="str">
        <f t="shared" si="3"/>
        <v>0</v>
      </c>
      <c r="E96" s="961" t="str">
        <f ca="1">IF(P96=0,TEXT(0,"0"),TEXT(OFFSET('5  Control Accounts'!$BD$33,Q96,0),"General"))</f>
        <v>0</v>
      </c>
      <c r="F96" s="961" t="str">
        <f ca="1">TEXT(OFFSET('5  Control Accounts'!$DF$33,Q96,0),"0")</f>
        <v>0</v>
      </c>
      <c r="G96" s="961" t="str">
        <f ca="1">TEXT(OFFSET('5  Control Accounts'!$DI$33,Q96,0),"0")</f>
        <v>0</v>
      </c>
      <c r="H96" s="961" t="str">
        <f ca="1">TEXT(OFFSET('5  Control Accounts'!$CZ$33,Q96,0),"0")</f>
        <v>0</v>
      </c>
      <c r="I96" s="961" t="str">
        <f ca="1">TEXT(OFFSET('5  Control Accounts'!$DL$33,Q96,0),"0")</f>
        <v>0</v>
      </c>
      <c r="J96" s="961" t="str">
        <f ca="1">TEXT(OFFSET('5  Control Accounts'!$DO$33,Q96,0),"0")</f>
        <v>0</v>
      </c>
      <c r="K96" s="961" t="str">
        <f ca="1">TEXT(OFFSET('5  Control Accounts'!$DC$33,Q96,0),"0")</f>
        <v>0</v>
      </c>
      <c r="L96" s="961" t="str">
        <f ca="1">TEXT(OFFSET('5  Control Accounts'!$DS$33,Q96,0),"0")</f>
        <v>0</v>
      </c>
      <c r="M96" s="961" t="str">
        <f ca="1">TEXT(OFFSET('5  Control Accounts'!$FQ$33,Q96,0),"0.00")</f>
        <v>0.00</v>
      </c>
      <c r="N96" s="961" t="str">
        <f ca="1">TEXT(OFFSET('5  Control Accounts'!$FU$33,Q96,0),"0.00")</f>
        <v>0.00</v>
      </c>
      <c r="P96" s="537">
        <f ca="1">OFFSET('5  Control Accounts'!$CP$33,Q96,0)</f>
        <v>0</v>
      </c>
      <c r="Q96" s="537">
        <v>90</v>
      </c>
    </row>
    <row r="97" spans="1:17" s="750" customFormat="1" ht="15.9" customHeight="1" x14ac:dyDescent="0.3">
      <c r="A97" s="961" t="str">
        <f ca="1">IF(P97=0,TEXT(0,"0"),OFFSET('5  Control Accounts'!$BF$33,Q97,0)&amp;"."&amp;OFFSET('5  Control Accounts'!$BH$33,Q97,0))</f>
        <v>0</v>
      </c>
      <c r="B97" s="961" t="str">
        <f ca="1">IF(P97=0,TEXT(0,"0"),TEXT(OFFSET('5  Control Accounts'!$FB$33,Q97,0),"General"))</f>
        <v>0</v>
      </c>
      <c r="C97" s="961" t="str">
        <f t="shared" ca="1" si="4"/>
        <v>0</v>
      </c>
      <c r="D97" s="1405" t="str">
        <f t="shared" si="3"/>
        <v>0</v>
      </c>
      <c r="E97" s="961" t="str">
        <f ca="1">IF(P97=0,TEXT(0,"0"),TEXT(OFFSET('5  Control Accounts'!$BD$33,Q97,0),"General"))</f>
        <v>0</v>
      </c>
      <c r="F97" s="961" t="str">
        <f ca="1">TEXT(OFFSET('5  Control Accounts'!$DF$33,Q97,0),"0")</f>
        <v>0</v>
      </c>
      <c r="G97" s="961" t="str">
        <f ca="1">TEXT(OFFSET('5  Control Accounts'!$DI$33,Q97,0),"0")</f>
        <v>0</v>
      </c>
      <c r="H97" s="961" t="str">
        <f ca="1">TEXT(OFFSET('5  Control Accounts'!$CZ$33,Q97,0),"0")</f>
        <v>0</v>
      </c>
      <c r="I97" s="961" t="str">
        <f ca="1">TEXT(OFFSET('5  Control Accounts'!$DL$33,Q97,0),"0")</f>
        <v>0</v>
      </c>
      <c r="J97" s="961" t="str">
        <f ca="1">TEXT(OFFSET('5  Control Accounts'!$DO$33,Q97,0),"0")</f>
        <v>0</v>
      </c>
      <c r="K97" s="961" t="str">
        <f ca="1">TEXT(OFFSET('5  Control Accounts'!$DC$33,Q97,0),"0")</f>
        <v>0</v>
      </c>
      <c r="L97" s="961" t="str">
        <f ca="1">TEXT(OFFSET('5  Control Accounts'!$DS$33,Q97,0),"0")</f>
        <v>0</v>
      </c>
      <c r="M97" s="961" t="str">
        <f ca="1">TEXT(OFFSET('5  Control Accounts'!$FQ$33,Q97,0),"0.00")</f>
        <v>0.00</v>
      </c>
      <c r="N97" s="961" t="str">
        <f ca="1">TEXT(OFFSET('5  Control Accounts'!$FU$33,Q97,0),"0.00")</f>
        <v>0.00</v>
      </c>
      <c r="P97" s="537">
        <f ca="1">OFFSET('5  Control Accounts'!$CP$33,Q97,0)</f>
        <v>0</v>
      </c>
      <c r="Q97" s="537">
        <v>91</v>
      </c>
    </row>
    <row r="98" spans="1:17" s="750" customFormat="1" ht="15.9" customHeight="1" x14ac:dyDescent="0.3">
      <c r="A98" s="961" t="str">
        <f ca="1">IF(P98=0,TEXT(0,"0"),OFFSET('5  Control Accounts'!$BF$33,Q98,0)&amp;"."&amp;OFFSET('5  Control Accounts'!$BH$33,Q98,0))</f>
        <v>0</v>
      </c>
      <c r="B98" s="961" t="str">
        <f ca="1">IF(P98=0,TEXT(0,"0"),TEXT(OFFSET('5  Control Accounts'!$FB$33,Q98,0),"General"))</f>
        <v>0</v>
      </c>
      <c r="C98" s="961" t="str">
        <f t="shared" ca="1" si="4"/>
        <v>0</v>
      </c>
      <c r="D98" s="1405" t="str">
        <f t="shared" si="3"/>
        <v>0</v>
      </c>
      <c r="E98" s="961" t="str">
        <f ca="1">IF(P98=0,TEXT(0,"0"),TEXT(OFFSET('5  Control Accounts'!$BD$33,Q98,0),"General"))</f>
        <v>0</v>
      </c>
      <c r="F98" s="961" t="str">
        <f ca="1">TEXT(OFFSET('5  Control Accounts'!$DF$33,Q98,0),"0")</f>
        <v>0</v>
      </c>
      <c r="G98" s="961" t="str">
        <f ca="1">TEXT(OFFSET('5  Control Accounts'!$DI$33,Q98,0),"0")</f>
        <v>0</v>
      </c>
      <c r="H98" s="961" t="str">
        <f ca="1">TEXT(OFFSET('5  Control Accounts'!$CZ$33,Q98,0),"0")</f>
        <v>0</v>
      </c>
      <c r="I98" s="961" t="str">
        <f ca="1">TEXT(OFFSET('5  Control Accounts'!$DL$33,Q98,0),"0")</f>
        <v>0</v>
      </c>
      <c r="J98" s="961" t="str">
        <f ca="1">TEXT(OFFSET('5  Control Accounts'!$DO$33,Q98,0),"0")</f>
        <v>0</v>
      </c>
      <c r="K98" s="961" t="str">
        <f ca="1">TEXT(OFFSET('5  Control Accounts'!$DC$33,Q98,0),"0")</f>
        <v>0</v>
      </c>
      <c r="L98" s="961" t="str">
        <f ca="1">TEXT(OFFSET('5  Control Accounts'!$DS$33,Q98,0),"0")</f>
        <v>0</v>
      </c>
      <c r="M98" s="961" t="str">
        <f ca="1">TEXT(OFFSET('5  Control Accounts'!$FQ$33,Q98,0),"0.00")</f>
        <v>0.00</v>
      </c>
      <c r="N98" s="961" t="str">
        <f ca="1">TEXT(OFFSET('5  Control Accounts'!$FU$33,Q98,0),"0.00")</f>
        <v>0.00</v>
      </c>
      <c r="P98" s="537">
        <f ca="1">OFFSET('5  Control Accounts'!$CP$33,Q98,0)</f>
        <v>0</v>
      </c>
      <c r="Q98" s="537">
        <v>92</v>
      </c>
    </row>
    <row r="99" spans="1:17" s="750" customFormat="1" ht="15.9" customHeight="1" x14ac:dyDescent="0.3">
      <c r="A99" s="961" t="str">
        <f ca="1">IF(P99=0,TEXT(0,"0"),OFFSET('5  Control Accounts'!$BF$33,Q99,0)&amp;"."&amp;OFFSET('5  Control Accounts'!$BH$33,Q99,0))</f>
        <v>0</v>
      </c>
      <c r="B99" s="961" t="str">
        <f ca="1">IF(P99=0,TEXT(0,"0"),TEXT(OFFSET('5  Control Accounts'!$FB$33,Q99,0),"General"))</f>
        <v>0</v>
      </c>
      <c r="C99" s="961" t="str">
        <f t="shared" ca="1" si="4"/>
        <v>0</v>
      </c>
      <c r="D99" s="1405" t="str">
        <f t="shared" si="3"/>
        <v>0</v>
      </c>
      <c r="E99" s="961" t="str">
        <f ca="1">IF(P99=0,TEXT(0,"0"),TEXT(OFFSET('5  Control Accounts'!$BD$33,Q99,0),"General"))</f>
        <v>0</v>
      </c>
      <c r="F99" s="961" t="str">
        <f ca="1">TEXT(OFFSET('5  Control Accounts'!$DF$33,Q99,0),"0")</f>
        <v>0</v>
      </c>
      <c r="G99" s="961" t="str">
        <f ca="1">TEXT(OFFSET('5  Control Accounts'!$DI$33,Q99,0),"0")</f>
        <v>0</v>
      </c>
      <c r="H99" s="961" t="str">
        <f ca="1">TEXT(OFFSET('5  Control Accounts'!$CZ$33,Q99,0),"0")</f>
        <v>0</v>
      </c>
      <c r="I99" s="961" t="str">
        <f ca="1">TEXT(OFFSET('5  Control Accounts'!$DL$33,Q99,0),"0")</f>
        <v>0</v>
      </c>
      <c r="J99" s="961" t="str">
        <f ca="1">TEXT(OFFSET('5  Control Accounts'!$DO$33,Q99,0),"0")</f>
        <v>0</v>
      </c>
      <c r="K99" s="961" t="str">
        <f ca="1">TEXT(OFFSET('5  Control Accounts'!$DC$33,Q99,0),"0")</f>
        <v>0</v>
      </c>
      <c r="L99" s="961" t="str">
        <f ca="1">TEXT(OFFSET('5  Control Accounts'!$DS$33,Q99,0),"0")</f>
        <v>0</v>
      </c>
      <c r="M99" s="961" t="str">
        <f ca="1">TEXT(OFFSET('5  Control Accounts'!$FQ$33,Q99,0),"0.00")</f>
        <v>0.00</v>
      </c>
      <c r="N99" s="961" t="str">
        <f ca="1">TEXT(OFFSET('5  Control Accounts'!$FU$33,Q99,0),"0.00")</f>
        <v>0.00</v>
      </c>
      <c r="P99" s="537">
        <f ca="1">OFFSET('5  Control Accounts'!$CP$33,Q99,0)</f>
        <v>0</v>
      </c>
      <c r="Q99" s="537">
        <v>93</v>
      </c>
    </row>
    <row r="100" spans="1:17" s="750" customFormat="1" ht="15.9" customHeight="1" x14ac:dyDescent="0.3">
      <c r="A100" s="961" t="str">
        <f ca="1">IF(P100=0,TEXT(0,"0"),OFFSET('5  Control Accounts'!$BF$33,Q100,0)&amp;"."&amp;OFFSET('5  Control Accounts'!$BH$33,Q100,0))</f>
        <v>0</v>
      </c>
      <c r="B100" s="961" t="str">
        <f ca="1">IF(P100=0,TEXT(0,"0"),TEXT(OFFSET('5  Control Accounts'!$FB$33,Q100,0),"General"))</f>
        <v>0</v>
      </c>
      <c r="C100" s="961" t="str">
        <f t="shared" ca="1" si="4"/>
        <v>0</v>
      </c>
      <c r="D100" s="1405" t="str">
        <f t="shared" si="3"/>
        <v>0</v>
      </c>
      <c r="E100" s="961" t="str">
        <f ca="1">IF(P100=0,TEXT(0,"0"),TEXT(OFFSET('5  Control Accounts'!$BD$33,Q100,0),"General"))</f>
        <v>0</v>
      </c>
      <c r="F100" s="961" t="str">
        <f ca="1">TEXT(OFFSET('5  Control Accounts'!$DF$33,Q100,0),"0")</f>
        <v>0</v>
      </c>
      <c r="G100" s="961" t="str">
        <f ca="1">TEXT(OFFSET('5  Control Accounts'!$DI$33,Q100,0),"0")</f>
        <v>0</v>
      </c>
      <c r="H100" s="961" t="str">
        <f ca="1">TEXT(OFFSET('5  Control Accounts'!$CZ$33,Q100,0),"0")</f>
        <v>0</v>
      </c>
      <c r="I100" s="961" t="str">
        <f ca="1">TEXT(OFFSET('5  Control Accounts'!$DL$33,Q100,0),"0")</f>
        <v>0</v>
      </c>
      <c r="J100" s="961" t="str">
        <f ca="1">TEXT(OFFSET('5  Control Accounts'!$DO$33,Q100,0),"0")</f>
        <v>0</v>
      </c>
      <c r="K100" s="961" t="str">
        <f ca="1">TEXT(OFFSET('5  Control Accounts'!$DC$33,Q100,0),"0")</f>
        <v>0</v>
      </c>
      <c r="L100" s="961" t="str">
        <f ca="1">TEXT(OFFSET('5  Control Accounts'!$DS$33,Q100,0),"0")</f>
        <v>0</v>
      </c>
      <c r="M100" s="961" t="str">
        <f ca="1">TEXT(OFFSET('5  Control Accounts'!$FQ$33,Q100,0),"0.00")</f>
        <v>0.00</v>
      </c>
      <c r="N100" s="961" t="str">
        <f ca="1">TEXT(OFFSET('5  Control Accounts'!$FU$33,Q100,0),"0.00")</f>
        <v>0.00</v>
      </c>
      <c r="P100" s="537">
        <f ca="1">OFFSET('5  Control Accounts'!$CP$33,Q100,0)</f>
        <v>0</v>
      </c>
      <c r="Q100" s="537">
        <v>94</v>
      </c>
    </row>
    <row r="101" spans="1:17" s="750" customFormat="1" ht="15.9" customHeight="1" x14ac:dyDescent="0.3">
      <c r="A101" s="961" t="str">
        <f ca="1">IF(P101=0,TEXT(0,"0"),OFFSET('5  Control Accounts'!$BF$33,Q101,0)&amp;"."&amp;OFFSET('5  Control Accounts'!$BH$33,Q101,0))</f>
        <v>0</v>
      </c>
      <c r="B101" s="961" t="str">
        <f ca="1">IF(P101=0,TEXT(0,"0"),TEXT(OFFSET('5  Control Accounts'!$FB$33,Q101,0),"General"))</f>
        <v>0</v>
      </c>
      <c r="C101" s="961" t="str">
        <f t="shared" ca="1" si="4"/>
        <v>0</v>
      </c>
      <c r="D101" s="1405" t="str">
        <f t="shared" si="3"/>
        <v>0</v>
      </c>
      <c r="E101" s="961" t="str">
        <f ca="1">IF(P101=0,TEXT(0,"0"),TEXT(OFFSET('5  Control Accounts'!$BD$33,Q101,0),"General"))</f>
        <v>0</v>
      </c>
      <c r="F101" s="961" t="str">
        <f ca="1">TEXT(OFFSET('5  Control Accounts'!$DF$33,Q101,0),"0")</f>
        <v>0</v>
      </c>
      <c r="G101" s="961" t="str">
        <f ca="1">TEXT(OFFSET('5  Control Accounts'!$DI$33,Q101,0),"0")</f>
        <v>0</v>
      </c>
      <c r="H101" s="961" t="str">
        <f ca="1">TEXT(OFFSET('5  Control Accounts'!$CZ$33,Q101,0),"0")</f>
        <v>0</v>
      </c>
      <c r="I101" s="961" t="str">
        <f ca="1">TEXT(OFFSET('5  Control Accounts'!$DL$33,Q101,0),"0")</f>
        <v>0</v>
      </c>
      <c r="J101" s="961" t="str">
        <f ca="1">TEXT(OFFSET('5  Control Accounts'!$DO$33,Q101,0),"0")</f>
        <v>0</v>
      </c>
      <c r="K101" s="961" t="str">
        <f ca="1">TEXT(OFFSET('5  Control Accounts'!$DC$33,Q101,0),"0")</f>
        <v>0</v>
      </c>
      <c r="L101" s="961" t="str">
        <f ca="1">TEXT(OFFSET('5  Control Accounts'!$DS$33,Q101,0),"0")</f>
        <v>0</v>
      </c>
      <c r="M101" s="961" t="str">
        <f ca="1">TEXT(OFFSET('5  Control Accounts'!$FQ$33,Q101,0),"0.00")</f>
        <v>0.00</v>
      </c>
      <c r="N101" s="961" t="str">
        <f ca="1">TEXT(OFFSET('5  Control Accounts'!$FU$33,Q101,0),"0.00")</f>
        <v>0.00</v>
      </c>
      <c r="P101" s="537">
        <f ca="1">OFFSET('5  Control Accounts'!$CP$33,Q101,0)</f>
        <v>0</v>
      </c>
      <c r="Q101" s="537">
        <v>95</v>
      </c>
    </row>
    <row r="102" spans="1:17" s="750" customFormat="1" ht="15.9" customHeight="1" x14ac:dyDescent="0.3">
      <c r="A102" s="961" t="str">
        <f ca="1">IF(P102=0,TEXT(0,"0"),OFFSET('5  Control Accounts'!$BF$33,Q102,0)&amp;"."&amp;OFFSET('5  Control Accounts'!$BH$33,Q102,0))</f>
        <v>0</v>
      </c>
      <c r="B102" s="961" t="str">
        <f ca="1">IF(P102=0,TEXT(0,"0"),TEXT(OFFSET('5  Control Accounts'!$FB$33,Q102,0),"General"))</f>
        <v>0</v>
      </c>
      <c r="C102" s="961" t="str">
        <f t="shared" ca="1" si="4"/>
        <v>0</v>
      </c>
      <c r="D102" s="1405" t="str">
        <f t="shared" si="3"/>
        <v>0</v>
      </c>
      <c r="E102" s="961" t="str">
        <f ca="1">IF(P102=0,TEXT(0,"0"),TEXT(OFFSET('5  Control Accounts'!$BD$33,Q102,0),"General"))</f>
        <v>0</v>
      </c>
      <c r="F102" s="961" t="str">
        <f ca="1">TEXT(OFFSET('5  Control Accounts'!$DF$33,Q102,0),"0")</f>
        <v>0</v>
      </c>
      <c r="G102" s="961" t="str">
        <f ca="1">TEXT(OFFSET('5  Control Accounts'!$DI$33,Q102,0),"0")</f>
        <v>0</v>
      </c>
      <c r="H102" s="961" t="str">
        <f ca="1">TEXT(OFFSET('5  Control Accounts'!$CZ$33,Q102,0),"0")</f>
        <v>0</v>
      </c>
      <c r="I102" s="961" t="str">
        <f ca="1">TEXT(OFFSET('5  Control Accounts'!$DL$33,Q102,0),"0")</f>
        <v>0</v>
      </c>
      <c r="J102" s="961" t="str">
        <f ca="1">TEXT(OFFSET('5  Control Accounts'!$DO$33,Q102,0),"0")</f>
        <v>0</v>
      </c>
      <c r="K102" s="961" t="str">
        <f ca="1">TEXT(OFFSET('5  Control Accounts'!$DC$33,Q102,0),"0")</f>
        <v>0</v>
      </c>
      <c r="L102" s="961" t="str">
        <f ca="1">TEXT(OFFSET('5  Control Accounts'!$DS$33,Q102,0),"0")</f>
        <v>0</v>
      </c>
      <c r="M102" s="961" t="str">
        <f ca="1">TEXT(OFFSET('5  Control Accounts'!$FQ$33,Q102,0),"0.00")</f>
        <v>0.00</v>
      </c>
      <c r="N102" s="961" t="str">
        <f ca="1">TEXT(OFFSET('5  Control Accounts'!$FU$33,Q102,0),"0.00")</f>
        <v>0.00</v>
      </c>
      <c r="P102" s="537">
        <f ca="1">OFFSET('5  Control Accounts'!$CP$33,Q102,0)</f>
        <v>0</v>
      </c>
      <c r="Q102" s="537">
        <v>96</v>
      </c>
    </row>
    <row r="103" spans="1:17" s="750" customFormat="1" ht="15.9" customHeight="1" x14ac:dyDescent="0.3">
      <c r="A103" s="961" t="str">
        <f ca="1">IF(P103=0,TEXT(0,"0"),OFFSET('5  Control Accounts'!$BF$33,Q103,0)&amp;"."&amp;OFFSET('5  Control Accounts'!$BH$33,Q103,0))</f>
        <v>0</v>
      </c>
      <c r="B103" s="961" t="str">
        <f ca="1">IF(P103=0,TEXT(0,"0"),TEXT(OFFSET('5  Control Accounts'!$FB$33,Q103,0),"General"))</f>
        <v>0</v>
      </c>
      <c r="C103" s="961" t="str">
        <f t="shared" ca="1" si="4"/>
        <v>0</v>
      </c>
      <c r="D103" s="1405" t="str">
        <f t="shared" si="3"/>
        <v>0</v>
      </c>
      <c r="E103" s="961" t="str">
        <f ca="1">IF(P103=0,TEXT(0,"0"),TEXT(OFFSET('5  Control Accounts'!$BD$33,Q103,0),"General"))</f>
        <v>0</v>
      </c>
      <c r="F103" s="961" t="str">
        <f ca="1">TEXT(OFFSET('5  Control Accounts'!$DF$33,Q103,0),"0")</f>
        <v>0</v>
      </c>
      <c r="G103" s="961" t="str">
        <f ca="1">TEXT(OFFSET('5  Control Accounts'!$DI$33,Q103,0),"0")</f>
        <v>0</v>
      </c>
      <c r="H103" s="961" t="str">
        <f ca="1">TEXT(OFFSET('5  Control Accounts'!$CZ$33,Q103,0),"0")</f>
        <v>0</v>
      </c>
      <c r="I103" s="961" t="str">
        <f ca="1">TEXT(OFFSET('5  Control Accounts'!$DL$33,Q103,0),"0")</f>
        <v>0</v>
      </c>
      <c r="J103" s="961" t="str">
        <f ca="1">TEXT(OFFSET('5  Control Accounts'!$DO$33,Q103,0),"0")</f>
        <v>0</v>
      </c>
      <c r="K103" s="961" t="str">
        <f ca="1">TEXT(OFFSET('5  Control Accounts'!$DC$33,Q103,0),"0")</f>
        <v>0</v>
      </c>
      <c r="L103" s="961" t="str">
        <f ca="1">TEXT(OFFSET('5  Control Accounts'!$DS$33,Q103,0),"0")</f>
        <v>0</v>
      </c>
      <c r="M103" s="961" t="str">
        <f ca="1">TEXT(OFFSET('5  Control Accounts'!$FQ$33,Q103,0),"0.00")</f>
        <v>0.00</v>
      </c>
      <c r="N103" s="961" t="str">
        <f ca="1">TEXT(OFFSET('5  Control Accounts'!$FU$33,Q103,0),"0.00")</f>
        <v>0.00</v>
      </c>
      <c r="P103" s="537">
        <f ca="1">OFFSET('5  Control Accounts'!$CP$33,Q103,0)</f>
        <v>0</v>
      </c>
      <c r="Q103" s="537">
        <v>97</v>
      </c>
    </row>
    <row r="104" spans="1:17" s="750" customFormat="1" ht="15.9" customHeight="1" x14ac:dyDescent="0.3">
      <c r="A104" s="961" t="str">
        <f ca="1">IF(P104=0,TEXT(0,"0"),OFFSET('5  Control Accounts'!$BF$33,Q104,0)&amp;"."&amp;OFFSET('5  Control Accounts'!$BH$33,Q104,0))</f>
        <v>0</v>
      </c>
      <c r="B104" s="961" t="str">
        <f ca="1">IF(P104=0,TEXT(0,"0"),TEXT(OFFSET('5  Control Accounts'!$FB$33,Q104,0),"General"))</f>
        <v>0</v>
      </c>
      <c r="C104" s="961" t="str">
        <f t="shared" ca="1" si="4"/>
        <v>0</v>
      </c>
      <c r="D104" s="1405" t="str">
        <f t="shared" si="3"/>
        <v>0</v>
      </c>
      <c r="E104" s="961" t="str">
        <f ca="1">IF(P104=0,TEXT(0,"0"),TEXT(OFFSET('5  Control Accounts'!$BD$33,Q104,0),"General"))</f>
        <v>0</v>
      </c>
      <c r="F104" s="961" t="str">
        <f ca="1">TEXT(OFFSET('5  Control Accounts'!$DF$33,Q104,0),"0")</f>
        <v>0</v>
      </c>
      <c r="G104" s="961" t="str">
        <f ca="1">TEXT(OFFSET('5  Control Accounts'!$DI$33,Q104,0),"0")</f>
        <v>0</v>
      </c>
      <c r="H104" s="961" t="str">
        <f ca="1">TEXT(OFFSET('5  Control Accounts'!$CZ$33,Q104,0),"0")</f>
        <v>0</v>
      </c>
      <c r="I104" s="961" t="str">
        <f ca="1">TEXT(OFFSET('5  Control Accounts'!$DL$33,Q104,0),"0")</f>
        <v>0</v>
      </c>
      <c r="J104" s="961" t="str">
        <f ca="1">TEXT(OFFSET('5  Control Accounts'!$DO$33,Q104,0),"0")</f>
        <v>0</v>
      </c>
      <c r="K104" s="961" t="str">
        <f ca="1">TEXT(OFFSET('5  Control Accounts'!$DC$33,Q104,0),"0")</f>
        <v>0</v>
      </c>
      <c r="L104" s="961" t="str">
        <f ca="1">TEXT(OFFSET('5  Control Accounts'!$DS$33,Q104,0),"0")</f>
        <v>0</v>
      </c>
      <c r="M104" s="961" t="str">
        <f ca="1">TEXT(OFFSET('5  Control Accounts'!$FQ$33,Q104,0),"0.00")</f>
        <v>0.00</v>
      </c>
      <c r="N104" s="961" t="str">
        <f ca="1">TEXT(OFFSET('5  Control Accounts'!$FU$33,Q104,0),"0.00")</f>
        <v>0.00</v>
      </c>
      <c r="P104" s="537">
        <f ca="1">OFFSET('5  Control Accounts'!$CP$33,Q104,0)</f>
        <v>0</v>
      </c>
      <c r="Q104" s="537">
        <v>98</v>
      </c>
    </row>
    <row r="105" spans="1:17" s="750" customFormat="1" ht="15.9" customHeight="1" x14ac:dyDescent="0.3">
      <c r="A105" s="961" t="str">
        <f ca="1">IF(P105=0,TEXT(0,"0"),OFFSET('5  Control Accounts'!$BF$33,Q105,0)&amp;"."&amp;OFFSET('5  Control Accounts'!$BH$33,Q105,0))</f>
        <v>0</v>
      </c>
      <c r="B105" s="961" t="str">
        <f ca="1">IF(P105=0,TEXT(0,"0"),TEXT(OFFSET('5  Control Accounts'!$FB$33,Q105,0),"General"))</f>
        <v>0</v>
      </c>
      <c r="C105" s="961" t="str">
        <f t="shared" ca="1" si="4"/>
        <v>0</v>
      </c>
      <c r="D105" s="1405" t="str">
        <f t="shared" si="3"/>
        <v>0</v>
      </c>
      <c r="E105" s="961" t="str">
        <f ca="1">IF(P105=0,TEXT(0,"0"),TEXT(OFFSET('5  Control Accounts'!$BD$33,Q105,0),"General"))</f>
        <v>0</v>
      </c>
      <c r="F105" s="961" t="str">
        <f ca="1">TEXT(OFFSET('5  Control Accounts'!$DF$33,Q105,0),"0")</f>
        <v>0</v>
      </c>
      <c r="G105" s="961" t="str">
        <f ca="1">TEXT(OFFSET('5  Control Accounts'!$DI$33,Q105,0),"0")</f>
        <v>0</v>
      </c>
      <c r="H105" s="961" t="str">
        <f ca="1">TEXT(OFFSET('5  Control Accounts'!$CZ$33,Q105,0),"0")</f>
        <v>0</v>
      </c>
      <c r="I105" s="961" t="str">
        <f ca="1">TEXT(OFFSET('5  Control Accounts'!$DL$33,Q105,0),"0")</f>
        <v>0</v>
      </c>
      <c r="J105" s="961" t="str">
        <f ca="1">TEXT(OFFSET('5  Control Accounts'!$DO$33,Q105,0),"0")</f>
        <v>0</v>
      </c>
      <c r="K105" s="961" t="str">
        <f ca="1">TEXT(OFFSET('5  Control Accounts'!$DC$33,Q105,0),"0")</f>
        <v>0</v>
      </c>
      <c r="L105" s="961" t="str">
        <f ca="1">TEXT(OFFSET('5  Control Accounts'!$DS$33,Q105,0),"0")</f>
        <v>0</v>
      </c>
      <c r="M105" s="961" t="str">
        <f ca="1">TEXT(OFFSET('5  Control Accounts'!$FQ$33,Q105,0),"0.00")</f>
        <v>0.00</v>
      </c>
      <c r="N105" s="961" t="str">
        <f ca="1">TEXT(OFFSET('5  Control Accounts'!$FU$33,Q105,0),"0.00")</f>
        <v>0.00</v>
      </c>
      <c r="P105" s="537">
        <f ca="1">OFFSET('5  Control Accounts'!$CP$33,Q105,0)</f>
        <v>0</v>
      </c>
      <c r="Q105" s="537">
        <v>99</v>
      </c>
    </row>
    <row r="106" spans="1:17" s="750" customFormat="1" ht="15.9" customHeight="1" x14ac:dyDescent="0.3">
      <c r="A106" s="961" t="str">
        <f ca="1">IF(P106=0,TEXT(0,"0"),OFFSET('5  Control Accounts'!$BF$33,Q106,0)&amp;"."&amp;OFFSET('5  Control Accounts'!$BH$33,Q106,0))</f>
        <v>0</v>
      </c>
      <c r="B106" s="961" t="str">
        <f ca="1">IF(P106=0,TEXT(0,"0"),TEXT(OFFSET('5  Control Accounts'!$FB$33,Q106,0),"General"))</f>
        <v>0</v>
      </c>
      <c r="C106" s="961" t="str">
        <f t="shared" ca="1" si="4"/>
        <v>0</v>
      </c>
      <c r="D106" s="1405" t="str">
        <f t="shared" si="3"/>
        <v>0</v>
      </c>
      <c r="E106" s="961" t="str">
        <f ca="1">IF(P106=0,TEXT(0,"0"),TEXT(OFFSET('5  Control Accounts'!$BD$33,Q106,0),"General"))</f>
        <v>0</v>
      </c>
      <c r="F106" s="961" t="str">
        <f ca="1">TEXT(OFFSET('5  Control Accounts'!$DF$33,Q106,0),"0")</f>
        <v>0</v>
      </c>
      <c r="G106" s="961" t="str">
        <f ca="1">TEXT(OFFSET('5  Control Accounts'!$DI$33,Q106,0),"0")</f>
        <v>0</v>
      </c>
      <c r="H106" s="961" t="str">
        <f ca="1">TEXT(OFFSET('5  Control Accounts'!$CZ$33,Q106,0),"0")</f>
        <v>0</v>
      </c>
      <c r="I106" s="961" t="str">
        <f ca="1">TEXT(OFFSET('5  Control Accounts'!$DL$33,Q106,0),"0")</f>
        <v>0</v>
      </c>
      <c r="J106" s="961" t="str">
        <f ca="1">TEXT(OFFSET('5  Control Accounts'!$DO$33,Q106,0),"0")</f>
        <v>0</v>
      </c>
      <c r="K106" s="961" t="str">
        <f ca="1">TEXT(OFFSET('5  Control Accounts'!$DC$33,Q106,0),"0")</f>
        <v>0</v>
      </c>
      <c r="L106" s="961" t="str">
        <f ca="1">TEXT(OFFSET('5  Control Accounts'!$DS$33,Q106,0),"0")</f>
        <v>0</v>
      </c>
      <c r="M106" s="961" t="str">
        <f ca="1">TEXT(OFFSET('5  Control Accounts'!$FQ$33,Q106,0),"0.00")</f>
        <v>0.00</v>
      </c>
      <c r="N106" s="961" t="str">
        <f ca="1">TEXT(OFFSET('5  Control Accounts'!$FU$33,Q106,0),"0.00")</f>
        <v>0.00</v>
      </c>
      <c r="P106" s="537">
        <f ca="1">OFFSET('5  Control Accounts'!$CP$33,Q106,0)</f>
        <v>0</v>
      </c>
      <c r="Q106" s="537">
        <v>100</v>
      </c>
    </row>
    <row r="107" spans="1:17" s="750" customFormat="1" ht="15.9" customHeight="1" x14ac:dyDescent="0.3">
      <c r="A107" s="961" t="str">
        <f ca="1">IF(P107=0,TEXT(0,"0"),OFFSET('5  Control Accounts'!$BF$33,Q107,0)&amp;"."&amp;OFFSET('5  Control Accounts'!$BH$33,Q107,0))</f>
        <v>0</v>
      </c>
      <c r="B107" s="961" t="str">
        <f ca="1">IF(P107=0,TEXT(0,"0"),TEXT(OFFSET('5  Control Accounts'!$FB$33,Q107,0),"General"))</f>
        <v>0</v>
      </c>
      <c r="C107" s="961" t="str">
        <f t="shared" ca="1" si="4"/>
        <v>0</v>
      </c>
      <c r="D107" s="1405" t="str">
        <f t="shared" si="3"/>
        <v>0</v>
      </c>
      <c r="E107" s="961" t="str">
        <f ca="1">IF(P107=0,TEXT(0,"0"),TEXT(OFFSET('5  Control Accounts'!$BD$33,Q107,0),"General"))</f>
        <v>0</v>
      </c>
      <c r="F107" s="961" t="str">
        <f ca="1">TEXT(OFFSET('5  Control Accounts'!$DF$33,Q107,0),"0")</f>
        <v>0</v>
      </c>
      <c r="G107" s="961" t="str">
        <f ca="1">TEXT(OFFSET('5  Control Accounts'!$DI$33,Q107,0),"0")</f>
        <v>0</v>
      </c>
      <c r="H107" s="961" t="str">
        <f ca="1">TEXT(OFFSET('5  Control Accounts'!$CZ$33,Q107,0),"0")</f>
        <v>0</v>
      </c>
      <c r="I107" s="961" t="str">
        <f ca="1">TEXT(OFFSET('5  Control Accounts'!$DL$33,Q107,0),"0")</f>
        <v>0</v>
      </c>
      <c r="J107" s="961" t="str">
        <f ca="1">TEXT(OFFSET('5  Control Accounts'!$DO$33,Q107,0),"0")</f>
        <v>0</v>
      </c>
      <c r="K107" s="961" t="str">
        <f ca="1">TEXT(OFFSET('5  Control Accounts'!$DC$33,Q107,0),"0")</f>
        <v>0</v>
      </c>
      <c r="L107" s="961" t="str">
        <f ca="1">TEXT(OFFSET('5  Control Accounts'!$DS$33,Q107,0),"0")</f>
        <v>0</v>
      </c>
      <c r="M107" s="961" t="str">
        <f ca="1">TEXT(OFFSET('5  Control Accounts'!$FQ$33,Q107,0),"0.00")</f>
        <v>0.00</v>
      </c>
      <c r="N107" s="961" t="str">
        <f ca="1">TEXT(OFFSET('5  Control Accounts'!$FU$33,Q107,0),"0.00")</f>
        <v>0.00</v>
      </c>
      <c r="P107" s="537">
        <f ca="1">OFFSET('5  Control Accounts'!$CP$33,Q107,0)</f>
        <v>0</v>
      </c>
      <c r="Q107" s="537">
        <v>101</v>
      </c>
    </row>
    <row r="108" spans="1:17" s="750" customFormat="1" ht="15.9" customHeight="1" x14ac:dyDescent="0.3">
      <c r="A108" s="961" t="str">
        <f ca="1">IF(P108=0,TEXT(0,"0"),OFFSET('5  Control Accounts'!$BF$33,Q108,0)&amp;"."&amp;OFFSET('5  Control Accounts'!$BH$33,Q108,0))</f>
        <v>0</v>
      </c>
      <c r="B108" s="961" t="str">
        <f ca="1">IF(P108=0,TEXT(0,"0"),TEXT(OFFSET('5  Control Accounts'!$FB$33,Q108,0),"General"))</f>
        <v>0</v>
      </c>
      <c r="C108" s="961" t="str">
        <f t="shared" ca="1" si="4"/>
        <v>0</v>
      </c>
      <c r="D108" s="1405" t="str">
        <f t="shared" si="3"/>
        <v>0</v>
      </c>
      <c r="E108" s="961" t="str">
        <f ca="1">IF(P108=0,TEXT(0,"0"),TEXT(OFFSET('5  Control Accounts'!$BD$33,Q108,0),"General"))</f>
        <v>0</v>
      </c>
      <c r="F108" s="961" t="str">
        <f ca="1">TEXT(OFFSET('5  Control Accounts'!$DF$33,Q108,0),"0")</f>
        <v>0</v>
      </c>
      <c r="G108" s="961" t="str">
        <f ca="1">TEXT(OFFSET('5  Control Accounts'!$DI$33,Q108,0),"0")</f>
        <v>0</v>
      </c>
      <c r="H108" s="961" t="str">
        <f ca="1">TEXT(OFFSET('5  Control Accounts'!$CZ$33,Q108,0),"0")</f>
        <v>0</v>
      </c>
      <c r="I108" s="961" t="str">
        <f ca="1">TEXT(OFFSET('5  Control Accounts'!$DL$33,Q108,0),"0")</f>
        <v>0</v>
      </c>
      <c r="J108" s="961" t="str">
        <f ca="1">TEXT(OFFSET('5  Control Accounts'!$DO$33,Q108,0),"0")</f>
        <v>0</v>
      </c>
      <c r="K108" s="961" t="str">
        <f ca="1">TEXT(OFFSET('5  Control Accounts'!$DC$33,Q108,0),"0")</f>
        <v>0</v>
      </c>
      <c r="L108" s="961" t="str">
        <f ca="1">TEXT(OFFSET('5  Control Accounts'!$DS$33,Q108,0),"0")</f>
        <v>0</v>
      </c>
      <c r="M108" s="961" t="str">
        <f ca="1">TEXT(OFFSET('5  Control Accounts'!$FQ$33,Q108,0),"0.00")</f>
        <v>0.00</v>
      </c>
      <c r="N108" s="961" t="str">
        <f ca="1">TEXT(OFFSET('5  Control Accounts'!$FU$33,Q108,0),"0.00")</f>
        <v>0.00</v>
      </c>
      <c r="P108" s="537">
        <f ca="1">OFFSET('5  Control Accounts'!$CP$33,Q108,0)</f>
        <v>0</v>
      </c>
      <c r="Q108" s="537">
        <v>102</v>
      </c>
    </row>
    <row r="109" spans="1:17" s="750" customFormat="1" ht="15.9" customHeight="1" x14ac:dyDescent="0.3">
      <c r="A109" s="961" t="str">
        <f ca="1">IF(P109=0,TEXT(0,"0"),OFFSET('5  Control Accounts'!$BF$33,Q109,0)&amp;"."&amp;OFFSET('5  Control Accounts'!$BH$33,Q109,0))</f>
        <v>0</v>
      </c>
      <c r="B109" s="961" t="str">
        <f ca="1">IF(P109=0,TEXT(0,"0"),TEXT(OFFSET('5  Control Accounts'!$FB$33,Q109,0),"General"))</f>
        <v>0</v>
      </c>
      <c r="C109" s="961" t="str">
        <f t="shared" ca="1" si="4"/>
        <v>0</v>
      </c>
      <c r="D109" s="1405" t="str">
        <f t="shared" si="3"/>
        <v>0</v>
      </c>
      <c r="E109" s="961" t="str">
        <f ca="1">IF(P109=0,TEXT(0,"0"),TEXT(OFFSET('5  Control Accounts'!$BD$33,Q109,0),"General"))</f>
        <v>0</v>
      </c>
      <c r="F109" s="961" t="str">
        <f ca="1">TEXT(OFFSET('5  Control Accounts'!$DF$33,Q109,0),"0")</f>
        <v>0</v>
      </c>
      <c r="G109" s="961" t="str">
        <f ca="1">TEXT(OFFSET('5  Control Accounts'!$DI$33,Q109,0),"0")</f>
        <v>0</v>
      </c>
      <c r="H109" s="961" t="str">
        <f ca="1">TEXT(OFFSET('5  Control Accounts'!$CZ$33,Q109,0),"0")</f>
        <v>0</v>
      </c>
      <c r="I109" s="961" t="str">
        <f ca="1">TEXT(OFFSET('5  Control Accounts'!$DL$33,Q109,0),"0")</f>
        <v>0</v>
      </c>
      <c r="J109" s="961" t="str">
        <f ca="1">TEXT(OFFSET('5  Control Accounts'!$DO$33,Q109,0),"0")</f>
        <v>0</v>
      </c>
      <c r="K109" s="961" t="str">
        <f ca="1">TEXT(OFFSET('5  Control Accounts'!$DC$33,Q109,0),"0")</f>
        <v>0</v>
      </c>
      <c r="L109" s="961" t="str">
        <f ca="1">TEXT(OFFSET('5  Control Accounts'!$DS$33,Q109,0),"0")</f>
        <v>0</v>
      </c>
      <c r="M109" s="961" t="str">
        <f ca="1">TEXT(OFFSET('5  Control Accounts'!$FQ$33,Q109,0),"0.00")</f>
        <v>0.00</v>
      </c>
      <c r="N109" s="961" t="str">
        <f ca="1">TEXT(OFFSET('5  Control Accounts'!$FU$33,Q109,0),"0.00")</f>
        <v>0.00</v>
      </c>
      <c r="P109" s="537">
        <f ca="1">OFFSET('5  Control Accounts'!$CP$33,Q109,0)</f>
        <v>0</v>
      </c>
      <c r="Q109" s="537">
        <v>103</v>
      </c>
    </row>
    <row r="110" spans="1:17" s="750" customFormat="1" ht="15.9" customHeight="1" x14ac:dyDescent="0.3">
      <c r="A110" s="961" t="str">
        <f ca="1">IF(P110=0,TEXT(0,"0"),OFFSET('5  Control Accounts'!$BF$33,Q110,0)&amp;"."&amp;OFFSET('5  Control Accounts'!$BH$33,Q110,0))</f>
        <v>0</v>
      </c>
      <c r="B110" s="961" t="str">
        <f ca="1">IF(P110=0,TEXT(0,"0"),TEXT(OFFSET('5  Control Accounts'!$FB$33,Q110,0),"General"))</f>
        <v>0</v>
      </c>
      <c r="C110" s="961" t="str">
        <f t="shared" ca="1" si="4"/>
        <v>0</v>
      </c>
      <c r="D110" s="1405" t="str">
        <f t="shared" si="3"/>
        <v>0</v>
      </c>
      <c r="E110" s="961" t="str">
        <f ca="1">IF(P110=0,TEXT(0,"0"),TEXT(OFFSET('5  Control Accounts'!$BD$33,Q110,0),"General"))</f>
        <v>0</v>
      </c>
      <c r="F110" s="961" t="str">
        <f ca="1">TEXT(OFFSET('5  Control Accounts'!$DF$33,Q110,0),"0")</f>
        <v>0</v>
      </c>
      <c r="G110" s="961" t="str">
        <f ca="1">TEXT(OFFSET('5  Control Accounts'!$DI$33,Q110,0),"0")</f>
        <v>0</v>
      </c>
      <c r="H110" s="961" t="str">
        <f ca="1">TEXT(OFFSET('5  Control Accounts'!$CZ$33,Q110,0),"0")</f>
        <v>0</v>
      </c>
      <c r="I110" s="961" t="str">
        <f ca="1">TEXT(OFFSET('5  Control Accounts'!$DL$33,Q110,0),"0")</f>
        <v>0</v>
      </c>
      <c r="J110" s="961" t="str">
        <f ca="1">TEXT(OFFSET('5  Control Accounts'!$DO$33,Q110,0),"0")</f>
        <v>0</v>
      </c>
      <c r="K110" s="961" t="str">
        <f ca="1">TEXT(OFFSET('5  Control Accounts'!$DC$33,Q110,0),"0")</f>
        <v>0</v>
      </c>
      <c r="L110" s="961" t="str">
        <f ca="1">TEXT(OFFSET('5  Control Accounts'!$DS$33,Q110,0),"0")</f>
        <v>0</v>
      </c>
      <c r="M110" s="961" t="str">
        <f ca="1">TEXT(OFFSET('5  Control Accounts'!$FQ$33,Q110,0),"0.00")</f>
        <v>0.00</v>
      </c>
      <c r="N110" s="961" t="str">
        <f ca="1">TEXT(OFFSET('5  Control Accounts'!$FU$33,Q110,0),"0.00")</f>
        <v>0.00</v>
      </c>
      <c r="P110" s="537">
        <f ca="1">OFFSET('5  Control Accounts'!$CP$33,Q110,0)</f>
        <v>0</v>
      </c>
      <c r="Q110" s="537">
        <v>104</v>
      </c>
    </row>
    <row r="111" spans="1:17" s="750" customFormat="1" ht="15.9" customHeight="1" x14ac:dyDescent="0.3">
      <c r="A111" s="961" t="str">
        <f ca="1">IF(P111=0,TEXT(0,"0"),OFFSET('5  Control Accounts'!$BF$33,Q111,0)&amp;"."&amp;OFFSET('5  Control Accounts'!$BH$33,Q111,0))</f>
        <v>0</v>
      </c>
      <c r="B111" s="961" t="str">
        <f ca="1">IF(P111=0,TEXT(0,"0"),TEXT(OFFSET('5  Control Accounts'!$FB$33,Q111,0),"General"))</f>
        <v>0</v>
      </c>
      <c r="C111" s="961" t="str">
        <f t="shared" ca="1" si="4"/>
        <v>0</v>
      </c>
      <c r="D111" s="1405" t="str">
        <f t="shared" si="3"/>
        <v>0</v>
      </c>
      <c r="E111" s="961" t="str">
        <f ca="1">IF(P111=0,TEXT(0,"0"),TEXT(OFFSET('5  Control Accounts'!$BD$33,Q111,0),"General"))</f>
        <v>0</v>
      </c>
      <c r="F111" s="961" t="str">
        <f ca="1">TEXT(OFFSET('5  Control Accounts'!$DF$33,Q111,0),"0")</f>
        <v>0</v>
      </c>
      <c r="G111" s="961" t="str">
        <f ca="1">TEXT(OFFSET('5  Control Accounts'!$DI$33,Q111,0),"0")</f>
        <v>0</v>
      </c>
      <c r="H111" s="961" t="str">
        <f ca="1">TEXT(OFFSET('5  Control Accounts'!$CZ$33,Q111,0),"0")</f>
        <v>0</v>
      </c>
      <c r="I111" s="961" t="str">
        <f ca="1">TEXT(OFFSET('5  Control Accounts'!$DL$33,Q111,0),"0")</f>
        <v>0</v>
      </c>
      <c r="J111" s="961" t="str">
        <f ca="1">TEXT(OFFSET('5  Control Accounts'!$DO$33,Q111,0),"0")</f>
        <v>0</v>
      </c>
      <c r="K111" s="961" t="str">
        <f ca="1">TEXT(OFFSET('5  Control Accounts'!$DC$33,Q111,0),"0")</f>
        <v>0</v>
      </c>
      <c r="L111" s="961" t="str">
        <f ca="1">TEXT(OFFSET('5  Control Accounts'!$DS$33,Q111,0),"0")</f>
        <v>0</v>
      </c>
      <c r="M111" s="961" t="str">
        <f ca="1">TEXT(OFFSET('5  Control Accounts'!$FQ$33,Q111,0),"0.00")</f>
        <v>0.00</v>
      </c>
      <c r="N111" s="961" t="str">
        <f ca="1">TEXT(OFFSET('5  Control Accounts'!$FU$33,Q111,0),"0.00")</f>
        <v>0.00</v>
      </c>
      <c r="P111" s="537">
        <f ca="1">OFFSET('5  Control Accounts'!$CP$33,Q111,0)</f>
        <v>0</v>
      </c>
      <c r="Q111" s="537">
        <v>105</v>
      </c>
    </row>
    <row r="112" spans="1:17" s="750" customFormat="1" ht="15.9" customHeight="1" x14ac:dyDescent="0.3">
      <c r="A112" s="961" t="str">
        <f ca="1">IF(P112=0,TEXT(0,"0"),OFFSET('5  Control Accounts'!$BF$33,Q112,0)&amp;"."&amp;OFFSET('5  Control Accounts'!$BH$33,Q112,0))</f>
        <v>0</v>
      </c>
      <c r="B112" s="961" t="str">
        <f ca="1">IF(P112=0,TEXT(0,"0"),TEXT(OFFSET('5  Control Accounts'!$FB$33,Q112,0),"General"))</f>
        <v>0</v>
      </c>
      <c r="C112" s="961" t="str">
        <f t="shared" ca="1" si="4"/>
        <v>0</v>
      </c>
      <c r="D112" s="1405" t="str">
        <f t="shared" si="3"/>
        <v>0</v>
      </c>
      <c r="E112" s="961" t="str">
        <f ca="1">IF(P112=0,TEXT(0,"0"),TEXT(OFFSET('5  Control Accounts'!$BD$33,Q112,0),"General"))</f>
        <v>0</v>
      </c>
      <c r="F112" s="961" t="str">
        <f ca="1">TEXT(OFFSET('5  Control Accounts'!$DF$33,Q112,0),"0")</f>
        <v>0</v>
      </c>
      <c r="G112" s="961" t="str">
        <f ca="1">TEXT(OFFSET('5  Control Accounts'!$DI$33,Q112,0),"0")</f>
        <v>0</v>
      </c>
      <c r="H112" s="961" t="str">
        <f ca="1">TEXT(OFFSET('5  Control Accounts'!$CZ$33,Q112,0),"0")</f>
        <v>0</v>
      </c>
      <c r="I112" s="961" t="str">
        <f ca="1">TEXT(OFFSET('5  Control Accounts'!$DL$33,Q112,0),"0")</f>
        <v>0</v>
      </c>
      <c r="J112" s="961" t="str">
        <f ca="1">TEXT(OFFSET('5  Control Accounts'!$DO$33,Q112,0),"0")</f>
        <v>0</v>
      </c>
      <c r="K112" s="961" t="str">
        <f ca="1">TEXT(OFFSET('5  Control Accounts'!$DC$33,Q112,0),"0")</f>
        <v>0</v>
      </c>
      <c r="L112" s="961" t="str">
        <f ca="1">TEXT(OFFSET('5  Control Accounts'!$DS$33,Q112,0),"0")</f>
        <v>0</v>
      </c>
      <c r="M112" s="961" t="str">
        <f ca="1">TEXT(OFFSET('5  Control Accounts'!$FQ$33,Q112,0),"0.00")</f>
        <v>0.00</v>
      </c>
      <c r="N112" s="961" t="str">
        <f ca="1">TEXT(OFFSET('5  Control Accounts'!$FU$33,Q112,0),"0.00")</f>
        <v>0.00</v>
      </c>
      <c r="P112" s="537">
        <f ca="1">OFFSET('5  Control Accounts'!$CP$33,Q112,0)</f>
        <v>0</v>
      </c>
      <c r="Q112" s="537">
        <v>106</v>
      </c>
    </row>
    <row r="113" spans="1:17" s="750" customFormat="1" ht="15.9" customHeight="1" x14ac:dyDescent="0.3">
      <c r="A113" s="961" t="str">
        <f ca="1">IF(P113=0,TEXT(0,"0"),OFFSET('5  Control Accounts'!$BF$33,Q113,0)&amp;"."&amp;OFFSET('5  Control Accounts'!$BH$33,Q113,0))</f>
        <v>0</v>
      </c>
      <c r="B113" s="961" t="str">
        <f ca="1">IF(P113=0,TEXT(0,"0"),TEXT(OFFSET('5  Control Accounts'!$FB$33,Q113,0),"General"))</f>
        <v>0</v>
      </c>
      <c r="C113" s="961" t="str">
        <f t="shared" ca="1" si="4"/>
        <v>0</v>
      </c>
      <c r="D113" s="1405" t="str">
        <f t="shared" si="3"/>
        <v>0</v>
      </c>
      <c r="E113" s="961" t="str">
        <f ca="1">IF(P113=0,TEXT(0,"0"),TEXT(OFFSET('5  Control Accounts'!$BD$33,Q113,0),"General"))</f>
        <v>0</v>
      </c>
      <c r="F113" s="961" t="str">
        <f ca="1">TEXT(OFFSET('5  Control Accounts'!$DF$33,Q113,0),"0")</f>
        <v>0</v>
      </c>
      <c r="G113" s="961" t="str">
        <f ca="1">TEXT(OFFSET('5  Control Accounts'!$DI$33,Q113,0),"0")</f>
        <v>0</v>
      </c>
      <c r="H113" s="961" t="str">
        <f ca="1">TEXT(OFFSET('5  Control Accounts'!$CZ$33,Q113,0),"0")</f>
        <v>0</v>
      </c>
      <c r="I113" s="961" t="str">
        <f ca="1">TEXT(OFFSET('5  Control Accounts'!$DL$33,Q113,0),"0")</f>
        <v>0</v>
      </c>
      <c r="J113" s="961" t="str">
        <f ca="1">TEXT(OFFSET('5  Control Accounts'!$DO$33,Q113,0),"0")</f>
        <v>0</v>
      </c>
      <c r="K113" s="961" t="str">
        <f ca="1">TEXT(OFFSET('5  Control Accounts'!$DC$33,Q113,0),"0")</f>
        <v>0</v>
      </c>
      <c r="L113" s="961" t="str">
        <f ca="1">TEXT(OFFSET('5  Control Accounts'!$DS$33,Q113,0),"0")</f>
        <v>0</v>
      </c>
      <c r="M113" s="961" t="str">
        <f ca="1">TEXT(OFFSET('5  Control Accounts'!$FQ$33,Q113,0),"0.00")</f>
        <v>0.00</v>
      </c>
      <c r="N113" s="961" t="str">
        <f ca="1">TEXT(OFFSET('5  Control Accounts'!$FU$33,Q113,0),"0.00")</f>
        <v>0.00</v>
      </c>
      <c r="P113" s="537">
        <f ca="1">OFFSET('5  Control Accounts'!$CP$33,Q113,0)</f>
        <v>0</v>
      </c>
      <c r="Q113" s="537">
        <v>107</v>
      </c>
    </row>
    <row r="114" spans="1:17" s="750" customFormat="1" ht="15.9" customHeight="1" x14ac:dyDescent="0.3">
      <c r="A114" s="961" t="str">
        <f ca="1">IF(P114=0,TEXT(0,"0"),OFFSET('5  Control Accounts'!$BF$33,Q114,0)&amp;"."&amp;OFFSET('5  Control Accounts'!$BH$33,Q114,0))</f>
        <v>0</v>
      </c>
      <c r="B114" s="961" t="str">
        <f ca="1">IF(P114=0,TEXT(0,"0"),TEXT(OFFSET('5  Control Accounts'!$FB$33,Q114,0),"General"))</f>
        <v>0</v>
      </c>
      <c r="C114" s="961" t="str">
        <f t="shared" ca="1" si="4"/>
        <v>0</v>
      </c>
      <c r="D114" s="1405" t="str">
        <f t="shared" si="3"/>
        <v>0</v>
      </c>
      <c r="E114" s="961" t="str">
        <f ca="1">IF(P114=0,TEXT(0,"0"),TEXT(OFFSET('5  Control Accounts'!$BD$33,Q114,0),"General"))</f>
        <v>0</v>
      </c>
      <c r="F114" s="961" t="str">
        <f ca="1">TEXT(OFFSET('5  Control Accounts'!$DF$33,Q114,0),"0")</f>
        <v>0</v>
      </c>
      <c r="G114" s="961" t="str">
        <f ca="1">TEXT(OFFSET('5  Control Accounts'!$DI$33,Q114,0),"0")</f>
        <v>0</v>
      </c>
      <c r="H114" s="961" t="str">
        <f ca="1">TEXT(OFFSET('5  Control Accounts'!$CZ$33,Q114,0),"0")</f>
        <v>0</v>
      </c>
      <c r="I114" s="961" t="str">
        <f ca="1">TEXT(OFFSET('5  Control Accounts'!$DL$33,Q114,0),"0")</f>
        <v>0</v>
      </c>
      <c r="J114" s="961" t="str">
        <f ca="1">TEXT(OFFSET('5  Control Accounts'!$DO$33,Q114,0),"0")</f>
        <v>0</v>
      </c>
      <c r="K114" s="961" t="str">
        <f ca="1">TEXT(OFFSET('5  Control Accounts'!$DC$33,Q114,0),"0")</f>
        <v>0</v>
      </c>
      <c r="L114" s="961" t="str">
        <f ca="1">TEXT(OFFSET('5  Control Accounts'!$DS$33,Q114,0),"0")</f>
        <v>0</v>
      </c>
      <c r="M114" s="961" t="str">
        <f ca="1">TEXT(OFFSET('5  Control Accounts'!$FQ$33,Q114,0),"0.00")</f>
        <v>0.00</v>
      </c>
      <c r="N114" s="961" t="str">
        <f ca="1">TEXT(OFFSET('5  Control Accounts'!$FU$33,Q114,0),"0.00")</f>
        <v>0.00</v>
      </c>
      <c r="P114" s="537">
        <f ca="1">OFFSET('5  Control Accounts'!$CP$33,Q114,0)</f>
        <v>0</v>
      </c>
      <c r="Q114" s="537">
        <v>108</v>
      </c>
    </row>
    <row r="115" spans="1:17" s="750" customFormat="1" ht="15.9" customHeight="1" x14ac:dyDescent="0.3">
      <c r="A115" s="961" t="str">
        <f ca="1">IF(P115=0,TEXT(0,"0"),OFFSET('5  Control Accounts'!$BF$33,Q115,0)&amp;"."&amp;OFFSET('5  Control Accounts'!$BH$33,Q115,0))</f>
        <v>0</v>
      </c>
      <c r="B115" s="961" t="str">
        <f ca="1">IF(P115=0,TEXT(0,"0"),TEXT(OFFSET('5  Control Accounts'!$FB$33,Q115,0),"General"))</f>
        <v>0</v>
      </c>
      <c r="C115" s="961" t="str">
        <f t="shared" ca="1" si="4"/>
        <v>0</v>
      </c>
      <c r="D115" s="1405" t="str">
        <f t="shared" si="3"/>
        <v>0</v>
      </c>
      <c r="E115" s="961" t="str">
        <f ca="1">IF(P115=0,TEXT(0,"0"),TEXT(OFFSET('5  Control Accounts'!$BD$33,Q115,0),"General"))</f>
        <v>0</v>
      </c>
      <c r="F115" s="961" t="str">
        <f ca="1">TEXT(OFFSET('5  Control Accounts'!$DF$33,Q115,0),"0")</f>
        <v>0</v>
      </c>
      <c r="G115" s="961" t="str">
        <f ca="1">TEXT(OFFSET('5  Control Accounts'!$DI$33,Q115,0),"0")</f>
        <v>0</v>
      </c>
      <c r="H115" s="961" t="str">
        <f ca="1">TEXT(OFFSET('5  Control Accounts'!$CZ$33,Q115,0),"0")</f>
        <v>0</v>
      </c>
      <c r="I115" s="961" t="str">
        <f ca="1">TEXT(OFFSET('5  Control Accounts'!$DL$33,Q115,0),"0")</f>
        <v>0</v>
      </c>
      <c r="J115" s="961" t="str">
        <f ca="1">TEXT(OFFSET('5  Control Accounts'!$DO$33,Q115,0),"0")</f>
        <v>0</v>
      </c>
      <c r="K115" s="961" t="str">
        <f ca="1">TEXT(OFFSET('5  Control Accounts'!$DC$33,Q115,0),"0")</f>
        <v>0</v>
      </c>
      <c r="L115" s="961" t="str">
        <f ca="1">TEXT(OFFSET('5  Control Accounts'!$DS$33,Q115,0),"0")</f>
        <v>0</v>
      </c>
      <c r="M115" s="961" t="str">
        <f ca="1">TEXT(OFFSET('5  Control Accounts'!$FQ$33,Q115,0),"0.00")</f>
        <v>0.00</v>
      </c>
      <c r="N115" s="961" t="str">
        <f ca="1">TEXT(OFFSET('5  Control Accounts'!$FU$33,Q115,0),"0.00")</f>
        <v>0.00</v>
      </c>
      <c r="P115" s="537">
        <f ca="1">OFFSET('5  Control Accounts'!$CP$33,Q115,0)</f>
        <v>0</v>
      </c>
      <c r="Q115" s="537">
        <v>109</v>
      </c>
    </row>
    <row r="116" spans="1:17" s="750" customFormat="1" ht="15.9" customHeight="1" x14ac:dyDescent="0.3">
      <c r="A116" s="961" t="str">
        <f ca="1">IF(P116=0,TEXT(0,"0"),OFFSET('5  Control Accounts'!$BF$33,Q116,0)&amp;"."&amp;OFFSET('5  Control Accounts'!$BH$33,Q116,0))</f>
        <v>0</v>
      </c>
      <c r="B116" s="961" t="str">
        <f ca="1">IF(P116=0,TEXT(0,"0"),TEXT(OFFSET('5  Control Accounts'!$FB$33,Q116,0),"General"))</f>
        <v>0</v>
      </c>
      <c r="C116" s="961" t="str">
        <f t="shared" ca="1" si="4"/>
        <v>0</v>
      </c>
      <c r="D116" s="1405" t="str">
        <f t="shared" si="3"/>
        <v>0</v>
      </c>
      <c r="E116" s="961" t="str">
        <f ca="1">IF(P116=0,TEXT(0,"0"),TEXT(OFFSET('5  Control Accounts'!$BD$33,Q116,0),"General"))</f>
        <v>0</v>
      </c>
      <c r="F116" s="961" t="str">
        <f ca="1">TEXT(OFFSET('5  Control Accounts'!$DF$33,Q116,0),"0")</f>
        <v>0</v>
      </c>
      <c r="G116" s="961" t="str">
        <f ca="1">TEXT(OFFSET('5  Control Accounts'!$DI$33,Q116,0),"0")</f>
        <v>0</v>
      </c>
      <c r="H116" s="961" t="str">
        <f ca="1">TEXT(OFFSET('5  Control Accounts'!$CZ$33,Q116,0),"0")</f>
        <v>0</v>
      </c>
      <c r="I116" s="961" t="str">
        <f ca="1">TEXT(OFFSET('5  Control Accounts'!$DL$33,Q116,0),"0")</f>
        <v>0</v>
      </c>
      <c r="J116" s="961" t="str">
        <f ca="1">TEXT(OFFSET('5  Control Accounts'!$DO$33,Q116,0),"0")</f>
        <v>0</v>
      </c>
      <c r="K116" s="961" t="str">
        <f ca="1">TEXT(OFFSET('5  Control Accounts'!$DC$33,Q116,0),"0")</f>
        <v>0</v>
      </c>
      <c r="L116" s="961" t="str">
        <f ca="1">TEXT(OFFSET('5  Control Accounts'!$DS$33,Q116,0),"0")</f>
        <v>0</v>
      </c>
      <c r="M116" s="961" t="str">
        <f ca="1">TEXT(OFFSET('5  Control Accounts'!$FQ$33,Q116,0),"0.00")</f>
        <v>0.00</v>
      </c>
      <c r="N116" s="961" t="str">
        <f ca="1">TEXT(OFFSET('5  Control Accounts'!$FU$33,Q116,0),"0.00")</f>
        <v>0.00</v>
      </c>
      <c r="P116" s="537">
        <f ca="1">OFFSET('5  Control Accounts'!$CP$33,Q116,0)</f>
        <v>0</v>
      </c>
      <c r="Q116" s="537">
        <v>110</v>
      </c>
    </row>
    <row r="117" spans="1:17" s="750" customFormat="1" ht="15.9" customHeight="1" x14ac:dyDescent="0.3">
      <c r="A117" s="961" t="str">
        <f ca="1">IF(P117=0,TEXT(0,"0"),OFFSET('5  Control Accounts'!$BF$33,Q117,0)&amp;"."&amp;OFFSET('5  Control Accounts'!$BH$33,Q117,0))</f>
        <v>0</v>
      </c>
      <c r="B117" s="961" t="str">
        <f ca="1">IF(P117=0,TEXT(0,"0"),TEXT(OFFSET('5  Control Accounts'!$FB$33,Q117,0),"General"))</f>
        <v>0</v>
      </c>
      <c r="C117" s="961" t="str">
        <f t="shared" ca="1" si="4"/>
        <v>0</v>
      </c>
      <c r="D117" s="1405" t="str">
        <f t="shared" si="3"/>
        <v>0</v>
      </c>
      <c r="E117" s="961" t="str">
        <f ca="1">IF(P117=0,TEXT(0,"0"),TEXT(OFFSET('5  Control Accounts'!$BD$33,Q117,0),"General"))</f>
        <v>0</v>
      </c>
      <c r="F117" s="961" t="str">
        <f ca="1">TEXT(OFFSET('5  Control Accounts'!$DF$33,Q117,0),"0")</f>
        <v>0</v>
      </c>
      <c r="G117" s="961" t="str">
        <f ca="1">TEXT(OFFSET('5  Control Accounts'!$DI$33,Q117,0),"0")</f>
        <v>0</v>
      </c>
      <c r="H117" s="961" t="str">
        <f ca="1">TEXT(OFFSET('5  Control Accounts'!$CZ$33,Q117,0),"0")</f>
        <v>0</v>
      </c>
      <c r="I117" s="961" t="str">
        <f ca="1">TEXT(OFFSET('5  Control Accounts'!$DL$33,Q117,0),"0")</f>
        <v>0</v>
      </c>
      <c r="J117" s="961" t="str">
        <f ca="1">TEXT(OFFSET('5  Control Accounts'!$DO$33,Q117,0),"0")</f>
        <v>0</v>
      </c>
      <c r="K117" s="961" t="str">
        <f ca="1">TEXT(OFFSET('5  Control Accounts'!$DC$33,Q117,0),"0")</f>
        <v>0</v>
      </c>
      <c r="L117" s="961" t="str">
        <f ca="1">TEXT(OFFSET('5  Control Accounts'!$DS$33,Q117,0),"0")</f>
        <v>0</v>
      </c>
      <c r="M117" s="961" t="str">
        <f ca="1">TEXT(OFFSET('5  Control Accounts'!$FQ$33,Q117,0),"0.00")</f>
        <v>0.00</v>
      </c>
      <c r="N117" s="961" t="str">
        <f ca="1">TEXT(OFFSET('5  Control Accounts'!$FU$33,Q117,0),"0.00")</f>
        <v>0.00</v>
      </c>
      <c r="P117" s="537">
        <f ca="1">OFFSET('5  Control Accounts'!$CP$33,Q117,0)</f>
        <v>0</v>
      </c>
      <c r="Q117" s="537">
        <v>111</v>
      </c>
    </row>
    <row r="118" spans="1:17" s="750" customFormat="1" ht="15.9" customHeight="1" x14ac:dyDescent="0.3">
      <c r="A118" s="961" t="str">
        <f ca="1">IF(P118=0,TEXT(0,"0"),OFFSET('5  Control Accounts'!$BF$33,Q118,0)&amp;"."&amp;OFFSET('5  Control Accounts'!$BH$33,Q118,0))</f>
        <v>0</v>
      </c>
      <c r="B118" s="961" t="str">
        <f ca="1">IF(P118=0,TEXT(0,"0"),TEXT(OFFSET('5  Control Accounts'!$FB$33,Q118,0),"General"))</f>
        <v>0</v>
      </c>
      <c r="C118" s="961" t="str">
        <f t="shared" ca="1" si="4"/>
        <v>0</v>
      </c>
      <c r="D118" s="1405" t="str">
        <f t="shared" si="3"/>
        <v>0</v>
      </c>
      <c r="E118" s="961" t="str">
        <f ca="1">IF(P118=0,TEXT(0,"0"),TEXT(OFFSET('5  Control Accounts'!$BD$33,Q118,0),"General"))</f>
        <v>0</v>
      </c>
      <c r="F118" s="961" t="str">
        <f ca="1">TEXT(OFFSET('5  Control Accounts'!$DF$33,Q118,0),"0")</f>
        <v>0</v>
      </c>
      <c r="G118" s="961" t="str">
        <f ca="1">TEXT(OFFSET('5  Control Accounts'!$DI$33,Q118,0),"0")</f>
        <v>0</v>
      </c>
      <c r="H118" s="961" t="str">
        <f ca="1">TEXT(OFFSET('5  Control Accounts'!$CZ$33,Q118,0),"0")</f>
        <v>0</v>
      </c>
      <c r="I118" s="961" t="str">
        <f ca="1">TEXT(OFFSET('5  Control Accounts'!$DL$33,Q118,0),"0")</f>
        <v>0</v>
      </c>
      <c r="J118" s="961" t="str">
        <f ca="1">TEXT(OFFSET('5  Control Accounts'!$DO$33,Q118,0),"0")</f>
        <v>0</v>
      </c>
      <c r="K118" s="961" t="str">
        <f ca="1">TEXT(OFFSET('5  Control Accounts'!$DC$33,Q118,0),"0")</f>
        <v>0</v>
      </c>
      <c r="L118" s="961" t="str">
        <f ca="1">TEXT(OFFSET('5  Control Accounts'!$DS$33,Q118,0),"0")</f>
        <v>0</v>
      </c>
      <c r="M118" s="961" t="str">
        <f ca="1">TEXT(OFFSET('5  Control Accounts'!$FQ$33,Q118,0),"0.00")</f>
        <v>0.00</v>
      </c>
      <c r="N118" s="961" t="str">
        <f ca="1">TEXT(OFFSET('5  Control Accounts'!$FU$33,Q118,0),"0.00")</f>
        <v>0.00</v>
      </c>
      <c r="P118" s="537">
        <f ca="1">OFFSET('5  Control Accounts'!$CP$33,Q118,0)</f>
        <v>0</v>
      </c>
      <c r="Q118" s="537">
        <v>112</v>
      </c>
    </row>
    <row r="119" spans="1:17" s="750" customFormat="1" ht="15.9" customHeight="1" x14ac:dyDescent="0.3">
      <c r="A119" s="961" t="str">
        <f ca="1">IF(P119=0,TEXT(0,"0"),OFFSET('5  Control Accounts'!$BF$33,Q119,0)&amp;"."&amp;OFFSET('5  Control Accounts'!$BH$33,Q119,0))</f>
        <v>0</v>
      </c>
      <c r="B119" s="961" t="str">
        <f ca="1">IF(P119=0,TEXT(0,"0"),TEXT(OFFSET('5  Control Accounts'!$FB$33,Q119,0),"General"))</f>
        <v>0</v>
      </c>
      <c r="C119" s="961" t="str">
        <f t="shared" ca="1" si="4"/>
        <v>0</v>
      </c>
      <c r="D119" s="1405" t="str">
        <f t="shared" si="3"/>
        <v>0</v>
      </c>
      <c r="E119" s="961" t="str">
        <f ca="1">IF(P119=0,TEXT(0,"0"),TEXT(OFFSET('5  Control Accounts'!$BD$33,Q119,0),"General"))</f>
        <v>0</v>
      </c>
      <c r="F119" s="961" t="str">
        <f ca="1">TEXT(OFFSET('5  Control Accounts'!$DF$33,Q119,0),"0")</f>
        <v>0</v>
      </c>
      <c r="G119" s="961" t="str">
        <f ca="1">TEXT(OFFSET('5  Control Accounts'!$DI$33,Q119,0),"0")</f>
        <v>0</v>
      </c>
      <c r="H119" s="961" t="str">
        <f ca="1">TEXT(OFFSET('5  Control Accounts'!$CZ$33,Q119,0),"0")</f>
        <v>0</v>
      </c>
      <c r="I119" s="961" t="str">
        <f ca="1">TEXT(OFFSET('5  Control Accounts'!$DL$33,Q119,0),"0")</f>
        <v>0</v>
      </c>
      <c r="J119" s="961" t="str">
        <f ca="1">TEXT(OFFSET('5  Control Accounts'!$DO$33,Q119,0),"0")</f>
        <v>0</v>
      </c>
      <c r="K119" s="961" t="str">
        <f ca="1">TEXT(OFFSET('5  Control Accounts'!$DC$33,Q119,0),"0")</f>
        <v>0</v>
      </c>
      <c r="L119" s="961" t="str">
        <f ca="1">TEXT(OFFSET('5  Control Accounts'!$DS$33,Q119,0),"0")</f>
        <v>0</v>
      </c>
      <c r="M119" s="961" t="str">
        <f ca="1">TEXT(OFFSET('5  Control Accounts'!$FQ$33,Q119,0),"0.00")</f>
        <v>0.00</v>
      </c>
      <c r="N119" s="961" t="str">
        <f ca="1">TEXT(OFFSET('5  Control Accounts'!$FU$33,Q119,0),"0.00")</f>
        <v>0.00</v>
      </c>
      <c r="P119" s="537">
        <f ca="1">OFFSET('5  Control Accounts'!$CP$33,Q119,0)</f>
        <v>0</v>
      </c>
      <c r="Q119" s="537">
        <v>113</v>
      </c>
    </row>
    <row r="120" spans="1:17" s="750" customFormat="1" ht="15.9" customHeight="1" x14ac:dyDescent="0.3">
      <c r="A120" s="961" t="str">
        <f ca="1">IF(P120=0,TEXT(0,"0"),OFFSET('5  Control Accounts'!$BF$33,Q120,0)&amp;"."&amp;OFFSET('5  Control Accounts'!$BH$33,Q120,0))</f>
        <v>0</v>
      </c>
      <c r="B120" s="961" t="str">
        <f ca="1">IF(P120=0,TEXT(0,"0"),TEXT(OFFSET('5  Control Accounts'!$FB$33,Q120,0),"General"))</f>
        <v>0</v>
      </c>
      <c r="C120" s="961" t="str">
        <f t="shared" ca="1" si="4"/>
        <v>0</v>
      </c>
      <c r="D120" s="1405" t="str">
        <f t="shared" si="3"/>
        <v>0</v>
      </c>
      <c r="E120" s="961" t="str">
        <f ca="1">IF(P120=0,TEXT(0,"0"),TEXT(OFFSET('5  Control Accounts'!$BD$33,Q120,0),"General"))</f>
        <v>0</v>
      </c>
      <c r="F120" s="961" t="str">
        <f ca="1">TEXT(OFFSET('5  Control Accounts'!$DF$33,Q120,0),"0")</f>
        <v>0</v>
      </c>
      <c r="G120" s="961" t="str">
        <f ca="1">TEXT(OFFSET('5  Control Accounts'!$DI$33,Q120,0),"0")</f>
        <v>0</v>
      </c>
      <c r="H120" s="961" t="str">
        <f ca="1">TEXT(OFFSET('5  Control Accounts'!$CZ$33,Q120,0),"0")</f>
        <v>0</v>
      </c>
      <c r="I120" s="961" t="str">
        <f ca="1">TEXT(OFFSET('5  Control Accounts'!$DL$33,Q120,0),"0")</f>
        <v>0</v>
      </c>
      <c r="J120" s="961" t="str">
        <f ca="1">TEXT(OFFSET('5  Control Accounts'!$DO$33,Q120,0),"0")</f>
        <v>0</v>
      </c>
      <c r="K120" s="961" t="str">
        <f ca="1">TEXT(OFFSET('5  Control Accounts'!$DC$33,Q120,0),"0")</f>
        <v>0</v>
      </c>
      <c r="L120" s="961" t="str">
        <f ca="1">TEXT(OFFSET('5  Control Accounts'!$DS$33,Q120,0),"0")</f>
        <v>0</v>
      </c>
      <c r="M120" s="961" t="str">
        <f ca="1">TEXT(OFFSET('5  Control Accounts'!$FQ$33,Q120,0),"0.00")</f>
        <v>0.00</v>
      </c>
      <c r="N120" s="961" t="str">
        <f ca="1">TEXT(OFFSET('5  Control Accounts'!$FU$33,Q120,0),"0.00")</f>
        <v>0.00</v>
      </c>
      <c r="P120" s="537">
        <f ca="1">OFFSET('5  Control Accounts'!$CP$33,Q120,0)</f>
        <v>0</v>
      </c>
      <c r="Q120" s="537">
        <v>114</v>
      </c>
    </row>
    <row r="121" spans="1:17" s="750" customFormat="1" ht="15.9" customHeight="1" x14ac:dyDescent="0.3">
      <c r="A121" s="961" t="str">
        <f ca="1">IF(P121=0,TEXT(0,"0"),OFFSET('5  Control Accounts'!$BF$33,Q121,0)&amp;"."&amp;OFFSET('5  Control Accounts'!$BH$33,Q121,0))</f>
        <v>0</v>
      </c>
      <c r="B121" s="961" t="str">
        <f ca="1">IF(P121=0,TEXT(0,"0"),TEXT(OFFSET('5  Control Accounts'!$FB$33,Q121,0),"General"))</f>
        <v>0</v>
      </c>
      <c r="C121" s="961" t="str">
        <f t="shared" ca="1" si="4"/>
        <v>0</v>
      </c>
      <c r="D121" s="1405" t="str">
        <f t="shared" si="3"/>
        <v>0</v>
      </c>
      <c r="E121" s="961" t="str">
        <f ca="1">IF(P121=0,TEXT(0,"0"),TEXT(OFFSET('5  Control Accounts'!$BD$33,Q121,0),"General"))</f>
        <v>0</v>
      </c>
      <c r="F121" s="961" t="str">
        <f ca="1">TEXT(OFFSET('5  Control Accounts'!$DF$33,Q121,0),"0")</f>
        <v>0</v>
      </c>
      <c r="G121" s="961" t="str">
        <f ca="1">TEXT(OFFSET('5  Control Accounts'!$DI$33,Q121,0),"0")</f>
        <v>0</v>
      </c>
      <c r="H121" s="961" t="str">
        <f ca="1">TEXT(OFFSET('5  Control Accounts'!$CZ$33,Q121,0),"0")</f>
        <v>0</v>
      </c>
      <c r="I121" s="961" t="str">
        <f ca="1">TEXT(OFFSET('5  Control Accounts'!$DL$33,Q121,0),"0")</f>
        <v>0</v>
      </c>
      <c r="J121" s="961" t="str">
        <f ca="1">TEXT(OFFSET('5  Control Accounts'!$DO$33,Q121,0),"0")</f>
        <v>0</v>
      </c>
      <c r="K121" s="961" t="str">
        <f ca="1">TEXT(OFFSET('5  Control Accounts'!$DC$33,Q121,0),"0")</f>
        <v>0</v>
      </c>
      <c r="L121" s="961" t="str">
        <f ca="1">TEXT(OFFSET('5  Control Accounts'!$DS$33,Q121,0),"0")</f>
        <v>0</v>
      </c>
      <c r="M121" s="961" t="str">
        <f ca="1">TEXT(OFFSET('5  Control Accounts'!$FQ$33,Q121,0),"0.00")</f>
        <v>0.00</v>
      </c>
      <c r="N121" s="961" t="str">
        <f ca="1">TEXT(OFFSET('5  Control Accounts'!$FU$33,Q121,0),"0.00")</f>
        <v>0.00</v>
      </c>
      <c r="P121" s="537">
        <f ca="1">OFFSET('5  Control Accounts'!$CP$33,Q121,0)</f>
        <v>0</v>
      </c>
      <c r="Q121" s="537">
        <v>115</v>
      </c>
    </row>
    <row r="122" spans="1:17" s="750" customFormat="1" ht="15.9" customHeight="1" x14ac:dyDescent="0.3">
      <c r="A122" s="961" t="str">
        <f ca="1">IF(P122=0,TEXT(0,"0"),OFFSET('5  Control Accounts'!$BF$33,Q122,0)&amp;"."&amp;OFFSET('5  Control Accounts'!$BH$33,Q122,0))</f>
        <v>0</v>
      </c>
      <c r="B122" s="961" t="str">
        <f ca="1">IF(P122=0,TEXT(0,"0"),TEXT(OFFSET('5  Control Accounts'!$FB$33,Q122,0),"General"))</f>
        <v>0</v>
      </c>
      <c r="C122" s="961" t="str">
        <f t="shared" ca="1" si="4"/>
        <v>0</v>
      </c>
      <c r="D122" s="1405" t="str">
        <f t="shared" si="3"/>
        <v>0</v>
      </c>
      <c r="E122" s="961" t="str">
        <f ca="1">IF(P122=0,TEXT(0,"0"),TEXT(OFFSET('5  Control Accounts'!$BD$33,Q122,0),"General"))</f>
        <v>0</v>
      </c>
      <c r="F122" s="961" t="str">
        <f ca="1">TEXT(OFFSET('5  Control Accounts'!$DF$33,Q122,0),"0")</f>
        <v>0</v>
      </c>
      <c r="G122" s="961" t="str">
        <f ca="1">TEXT(OFFSET('5  Control Accounts'!$DI$33,Q122,0),"0")</f>
        <v>0</v>
      </c>
      <c r="H122" s="961" t="str">
        <f ca="1">TEXT(OFFSET('5  Control Accounts'!$CZ$33,Q122,0),"0")</f>
        <v>0</v>
      </c>
      <c r="I122" s="961" t="str">
        <f ca="1">TEXT(OFFSET('5  Control Accounts'!$DL$33,Q122,0),"0")</f>
        <v>0</v>
      </c>
      <c r="J122" s="961" t="str">
        <f ca="1">TEXT(OFFSET('5  Control Accounts'!$DO$33,Q122,0),"0")</f>
        <v>0</v>
      </c>
      <c r="K122" s="961" t="str">
        <f ca="1">TEXT(OFFSET('5  Control Accounts'!$DC$33,Q122,0),"0")</f>
        <v>0</v>
      </c>
      <c r="L122" s="961" t="str">
        <f ca="1">TEXT(OFFSET('5  Control Accounts'!$DS$33,Q122,0),"0")</f>
        <v>0</v>
      </c>
      <c r="M122" s="961" t="str">
        <f ca="1">TEXT(OFFSET('5  Control Accounts'!$FQ$33,Q122,0),"0.00")</f>
        <v>0.00</v>
      </c>
      <c r="N122" s="961" t="str">
        <f ca="1">TEXT(OFFSET('5  Control Accounts'!$FU$33,Q122,0),"0.00")</f>
        <v>0.00</v>
      </c>
      <c r="P122" s="537">
        <f ca="1">OFFSET('5  Control Accounts'!$CP$33,Q122,0)</f>
        <v>0</v>
      </c>
      <c r="Q122" s="537">
        <v>116</v>
      </c>
    </row>
    <row r="123" spans="1:17" s="750" customFormat="1" ht="15.9" customHeight="1" x14ac:dyDescent="0.3">
      <c r="A123" s="961" t="str">
        <f ca="1">IF(P123=0,TEXT(0,"0"),OFFSET('5  Control Accounts'!$BF$33,Q123,0)&amp;"."&amp;OFFSET('5  Control Accounts'!$BH$33,Q123,0))</f>
        <v>0</v>
      </c>
      <c r="B123" s="961" t="str">
        <f ca="1">IF(P123=0,TEXT(0,"0"),TEXT(OFFSET('5  Control Accounts'!$FB$33,Q123,0),"General"))</f>
        <v>0</v>
      </c>
      <c r="C123" s="961" t="str">
        <f t="shared" ca="1" si="4"/>
        <v>0</v>
      </c>
      <c r="D123" s="1405" t="str">
        <f t="shared" si="3"/>
        <v>0</v>
      </c>
      <c r="E123" s="961" t="str">
        <f ca="1">IF(P123=0,TEXT(0,"0"),TEXT(OFFSET('5  Control Accounts'!$BD$33,Q123,0),"General"))</f>
        <v>0</v>
      </c>
      <c r="F123" s="961" t="str">
        <f ca="1">TEXT(OFFSET('5  Control Accounts'!$DF$33,Q123,0),"0")</f>
        <v>0</v>
      </c>
      <c r="G123" s="961" t="str">
        <f ca="1">TEXT(OFFSET('5  Control Accounts'!$DI$33,Q123,0),"0")</f>
        <v>0</v>
      </c>
      <c r="H123" s="961" t="str">
        <f ca="1">TEXT(OFFSET('5  Control Accounts'!$CZ$33,Q123,0),"0")</f>
        <v>0</v>
      </c>
      <c r="I123" s="961" t="str">
        <f ca="1">TEXT(OFFSET('5  Control Accounts'!$DL$33,Q123,0),"0")</f>
        <v>0</v>
      </c>
      <c r="J123" s="961" t="str">
        <f ca="1">TEXT(OFFSET('5  Control Accounts'!$DO$33,Q123,0),"0")</f>
        <v>0</v>
      </c>
      <c r="K123" s="961" t="str">
        <f ca="1">TEXT(OFFSET('5  Control Accounts'!$DC$33,Q123,0),"0")</f>
        <v>0</v>
      </c>
      <c r="L123" s="961" t="str">
        <f ca="1">TEXT(OFFSET('5  Control Accounts'!$DS$33,Q123,0),"0")</f>
        <v>0</v>
      </c>
      <c r="M123" s="961" t="str">
        <f ca="1">TEXT(OFFSET('5  Control Accounts'!$FQ$33,Q123,0),"0.00")</f>
        <v>0.00</v>
      </c>
      <c r="N123" s="961" t="str">
        <f ca="1">TEXT(OFFSET('5  Control Accounts'!$FU$33,Q123,0),"0.00")</f>
        <v>0.00</v>
      </c>
      <c r="P123" s="537">
        <f ca="1">OFFSET('5  Control Accounts'!$CP$33,Q123,0)</f>
        <v>0</v>
      </c>
      <c r="Q123" s="537">
        <v>117</v>
      </c>
    </row>
    <row r="124" spans="1:17" s="750" customFormat="1" ht="15.9" customHeight="1" x14ac:dyDescent="0.3">
      <c r="A124" s="961" t="str">
        <f ca="1">IF(P124=0,TEXT(0,"0"),OFFSET('5  Control Accounts'!$BF$33,Q124,0)&amp;"."&amp;OFFSET('5  Control Accounts'!$BH$33,Q124,0))</f>
        <v>0</v>
      </c>
      <c r="B124" s="961" t="str">
        <f ca="1">IF(P124=0,TEXT(0,"0"),TEXT(OFFSET('5  Control Accounts'!$FB$33,Q124,0),"General"))</f>
        <v>0</v>
      </c>
      <c r="C124" s="961" t="str">
        <f t="shared" ca="1" si="4"/>
        <v>0</v>
      </c>
      <c r="D124" s="1405" t="str">
        <f t="shared" si="3"/>
        <v>0</v>
      </c>
      <c r="E124" s="961" t="str">
        <f ca="1">IF(P124=0,TEXT(0,"0"),TEXT(OFFSET('5  Control Accounts'!$BD$33,Q124,0),"General"))</f>
        <v>0</v>
      </c>
      <c r="F124" s="961" t="str">
        <f ca="1">TEXT(OFFSET('5  Control Accounts'!$DF$33,Q124,0),"0")</f>
        <v>0</v>
      </c>
      <c r="G124" s="961" t="str">
        <f ca="1">TEXT(OFFSET('5  Control Accounts'!$DI$33,Q124,0),"0")</f>
        <v>0</v>
      </c>
      <c r="H124" s="961" t="str">
        <f ca="1">TEXT(OFFSET('5  Control Accounts'!$CZ$33,Q124,0),"0")</f>
        <v>0</v>
      </c>
      <c r="I124" s="961" t="str">
        <f ca="1">TEXT(OFFSET('5  Control Accounts'!$DL$33,Q124,0),"0")</f>
        <v>0</v>
      </c>
      <c r="J124" s="961" t="str">
        <f ca="1">TEXT(OFFSET('5  Control Accounts'!$DO$33,Q124,0),"0")</f>
        <v>0</v>
      </c>
      <c r="K124" s="961" t="str">
        <f ca="1">TEXT(OFFSET('5  Control Accounts'!$DC$33,Q124,0),"0")</f>
        <v>0</v>
      </c>
      <c r="L124" s="961" t="str">
        <f ca="1">TEXT(OFFSET('5  Control Accounts'!$DS$33,Q124,0),"0")</f>
        <v>0</v>
      </c>
      <c r="M124" s="961" t="str">
        <f ca="1">TEXT(OFFSET('5  Control Accounts'!$FQ$33,Q124,0),"0.00")</f>
        <v>0.00</v>
      </c>
      <c r="N124" s="961" t="str">
        <f ca="1">TEXT(OFFSET('5  Control Accounts'!$FU$33,Q124,0),"0.00")</f>
        <v>0.00</v>
      </c>
      <c r="P124" s="537">
        <f ca="1">OFFSET('5  Control Accounts'!$CP$33,Q124,0)</f>
        <v>0</v>
      </c>
      <c r="Q124" s="537">
        <v>118</v>
      </c>
    </row>
    <row r="125" spans="1:17" s="750" customFormat="1" ht="15.9" customHeight="1" x14ac:dyDescent="0.3">
      <c r="A125" s="961" t="str">
        <f ca="1">IF(P125=0,TEXT(0,"0"),OFFSET('5  Control Accounts'!$BF$33,Q125,0)&amp;"."&amp;OFFSET('5  Control Accounts'!$BH$33,Q125,0))</f>
        <v>0</v>
      </c>
      <c r="B125" s="961" t="str">
        <f ca="1">IF(P125=0,TEXT(0,"0"),TEXT(OFFSET('5  Control Accounts'!$FB$33,Q125,0),"General"))</f>
        <v>0</v>
      </c>
      <c r="C125" s="961" t="str">
        <f t="shared" ca="1" si="4"/>
        <v>0</v>
      </c>
      <c r="D125" s="1405" t="str">
        <f t="shared" si="3"/>
        <v>0</v>
      </c>
      <c r="E125" s="961" t="str">
        <f ca="1">IF(P125=0,TEXT(0,"0"),TEXT(OFFSET('5  Control Accounts'!$BD$33,Q125,0),"General"))</f>
        <v>0</v>
      </c>
      <c r="F125" s="961" t="str">
        <f ca="1">TEXT(OFFSET('5  Control Accounts'!$DF$33,Q125,0),"0")</f>
        <v>0</v>
      </c>
      <c r="G125" s="961" t="str">
        <f ca="1">TEXT(OFFSET('5  Control Accounts'!$DI$33,Q125,0),"0")</f>
        <v>0</v>
      </c>
      <c r="H125" s="961" t="str">
        <f ca="1">TEXT(OFFSET('5  Control Accounts'!$CZ$33,Q125,0),"0")</f>
        <v>0</v>
      </c>
      <c r="I125" s="961" t="str">
        <f ca="1">TEXT(OFFSET('5  Control Accounts'!$DL$33,Q125,0),"0")</f>
        <v>0</v>
      </c>
      <c r="J125" s="961" t="str">
        <f ca="1">TEXT(OFFSET('5  Control Accounts'!$DO$33,Q125,0),"0")</f>
        <v>0</v>
      </c>
      <c r="K125" s="961" t="str">
        <f ca="1">TEXT(OFFSET('5  Control Accounts'!$DC$33,Q125,0),"0")</f>
        <v>0</v>
      </c>
      <c r="L125" s="961" t="str">
        <f ca="1">TEXT(OFFSET('5  Control Accounts'!$DS$33,Q125,0),"0")</f>
        <v>0</v>
      </c>
      <c r="M125" s="961" t="str">
        <f ca="1">TEXT(OFFSET('5  Control Accounts'!$FQ$33,Q125,0),"0.00")</f>
        <v>0.00</v>
      </c>
      <c r="N125" s="961" t="str">
        <f ca="1">TEXT(OFFSET('5  Control Accounts'!$FU$33,Q125,0),"0.00")</f>
        <v>0.00</v>
      </c>
      <c r="P125" s="537">
        <f ca="1">OFFSET('5  Control Accounts'!$CP$33,Q125,0)</f>
        <v>0</v>
      </c>
      <c r="Q125" s="537">
        <v>119</v>
      </c>
    </row>
    <row r="126" spans="1:17" s="750" customFormat="1" ht="15.9" customHeight="1" x14ac:dyDescent="0.3">
      <c r="A126" s="961" t="str">
        <f ca="1">IF(P126=0,TEXT(0,"0"),OFFSET('5  Control Accounts'!$BF$33,Q126,0)&amp;"."&amp;OFFSET('5  Control Accounts'!$BH$33,Q126,0))</f>
        <v>0</v>
      </c>
      <c r="B126" s="961" t="str">
        <f ca="1">IF(P126=0,TEXT(0,"0"),TEXT(OFFSET('5  Control Accounts'!$FB$33,Q126,0),"General"))</f>
        <v>0</v>
      </c>
      <c r="C126" s="961" t="str">
        <f t="shared" ca="1" si="4"/>
        <v>0</v>
      </c>
      <c r="D126" s="1405" t="str">
        <f t="shared" si="3"/>
        <v>0</v>
      </c>
      <c r="E126" s="961" t="str">
        <f ca="1">IF(P126=0,TEXT(0,"0"),TEXT(OFFSET('5  Control Accounts'!$BD$33,Q126,0),"General"))</f>
        <v>0</v>
      </c>
      <c r="F126" s="961" t="str">
        <f ca="1">TEXT(OFFSET('5  Control Accounts'!$DF$33,Q126,0),"0")</f>
        <v>0</v>
      </c>
      <c r="G126" s="961" t="str">
        <f ca="1">TEXT(OFFSET('5  Control Accounts'!$DI$33,Q126,0),"0")</f>
        <v>0</v>
      </c>
      <c r="H126" s="961" t="str">
        <f ca="1">TEXT(OFFSET('5  Control Accounts'!$CZ$33,Q126,0),"0")</f>
        <v>0</v>
      </c>
      <c r="I126" s="961" t="str">
        <f ca="1">TEXT(OFFSET('5  Control Accounts'!$DL$33,Q126,0),"0")</f>
        <v>0</v>
      </c>
      <c r="J126" s="961" t="str">
        <f ca="1">TEXT(OFFSET('5  Control Accounts'!$DO$33,Q126,0),"0")</f>
        <v>0</v>
      </c>
      <c r="K126" s="961" t="str">
        <f ca="1">TEXT(OFFSET('5  Control Accounts'!$DC$33,Q126,0),"0")</f>
        <v>0</v>
      </c>
      <c r="L126" s="961" t="str">
        <f ca="1">TEXT(OFFSET('5  Control Accounts'!$DS$33,Q126,0),"0")</f>
        <v>0</v>
      </c>
      <c r="M126" s="961" t="str">
        <f ca="1">TEXT(OFFSET('5  Control Accounts'!$FQ$33,Q126,0),"0.00")</f>
        <v>0.00</v>
      </c>
      <c r="N126" s="961" t="str">
        <f ca="1">TEXT(OFFSET('5  Control Accounts'!$FU$33,Q126,0),"0.00")</f>
        <v>0.00</v>
      </c>
      <c r="P126" s="537">
        <f ca="1">OFFSET('5  Control Accounts'!$CP$33,Q126,0)</f>
        <v>0</v>
      </c>
      <c r="Q126" s="537">
        <v>120</v>
      </c>
    </row>
  </sheetData>
  <conditionalFormatting sqref="A2:A3">
    <cfRule type="duplicateValues" dxfId="98" priority="2" stopIfTrue="1"/>
  </conditionalFormatting>
  <pageMargins left="0.7" right="0.7" top="0.75" bottom="0.75" header="0.3" footer="0.3"/>
  <pageSetup paperSize="9" orientation="portrait" vertic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rgb="FF003397"/>
  </sheetPr>
  <dimension ref="A1:O414"/>
  <sheetViews>
    <sheetView showGridLines="0" workbookViewId="0">
      <selection activeCell="O155" sqref="O155"/>
    </sheetView>
  </sheetViews>
  <sheetFormatPr defaultColWidth="9.109375" defaultRowHeight="14.4" x14ac:dyDescent="0.3"/>
  <cols>
    <col min="1" max="1" width="9.5546875" style="749" customWidth="1"/>
    <col min="2" max="2" width="11.88671875" style="749" customWidth="1"/>
    <col min="3" max="3" width="20" style="749" customWidth="1"/>
    <col min="4" max="4" width="7" style="749" customWidth="1"/>
    <col min="5" max="5" width="28.88671875" style="749" customWidth="1"/>
    <col min="6" max="15" width="9.109375" style="745"/>
    <col min="16" max="16384" width="9.109375" style="749"/>
  </cols>
  <sheetData>
    <row r="1" spans="1:8" ht="30" customHeight="1" x14ac:dyDescent="0.3">
      <c r="A1" s="1247" t="s">
        <v>618</v>
      </c>
      <c r="B1" s="1247" t="s">
        <v>619</v>
      </c>
      <c r="C1" s="1247" t="s">
        <v>100</v>
      </c>
      <c r="D1" s="1247" t="s">
        <v>620</v>
      </c>
      <c r="E1" s="1247" t="s">
        <v>621</v>
      </c>
      <c r="G1" s="1002" t="s">
        <v>1168</v>
      </c>
      <c r="H1" s="1002" t="s">
        <v>747</v>
      </c>
    </row>
    <row r="2" spans="1:8" s="750" customFormat="1" ht="15.9" customHeight="1" x14ac:dyDescent="0.3">
      <c r="A2" s="1373" t="str">
        <f>"1"</f>
        <v>1</v>
      </c>
      <c r="B2" s="1326" t="str">
        <f>TEXT('5  Control Accounts'!$EA$16,"General")</f>
        <v>B23672</v>
      </c>
      <c r="C2" s="1373" t="str">
        <f>$B$2&amp;"."&amp;D2</f>
        <v>B23672.05</v>
      </c>
      <c r="D2" s="1373" t="str">
        <f>TEXT('5  Control Accounts'!EB16,"00")</f>
        <v>05</v>
      </c>
      <c r="E2" s="1373" t="str">
        <f>TEXT('IPCS Data'!F7,"General")</f>
        <v>Client PM's, Secondments &amp; Construction Support</v>
      </c>
      <c r="G2" s="1522">
        <v>1</v>
      </c>
      <c r="H2" s="1193"/>
    </row>
    <row r="3" spans="1:8" s="750" customFormat="1" ht="15.9" customHeight="1" x14ac:dyDescent="0.3">
      <c r="A3" s="1373" t="str">
        <f>IF(G3,"1","0")</f>
        <v>0</v>
      </c>
      <c r="B3" s="1326" t="str">
        <f>IF(G3=1,$B$2,"0")</f>
        <v>0</v>
      </c>
      <c r="C3" s="1373" t="str">
        <f>IF(G3,$B$2&amp;"."&amp;D3,"0")</f>
        <v>0</v>
      </c>
      <c r="D3" s="1373" t="str">
        <f>TEXT('IPCS Data'!E8,"00")</f>
        <v>00</v>
      </c>
      <c r="E3" s="1373" t="str">
        <f>TEXT('IPCS Data'!F8,"General")</f>
        <v>0</v>
      </c>
      <c r="G3" s="537">
        <f>IF(OR(ISBLANK('IPCS Data'!E8),'1 Setup'!$N$7=1),0,1)</f>
        <v>0</v>
      </c>
      <c r="H3" s="1191"/>
    </row>
    <row r="4" spans="1:8" s="750" customFormat="1" ht="15.9" customHeight="1" x14ac:dyDescent="0.3">
      <c r="A4" s="1373" t="str">
        <f t="shared" ref="A4:A10" si="0">IF(G4,"1","0")</f>
        <v>0</v>
      </c>
      <c r="B4" s="1326" t="str">
        <f t="shared" ref="B4:B10" si="1">IF(G4=1,$B$2,"0")</f>
        <v>0</v>
      </c>
      <c r="C4" s="1373" t="str">
        <f t="shared" ref="C4:C10" si="2">IF(G4,$B$2&amp;"."&amp;D4,"0")</f>
        <v>0</v>
      </c>
      <c r="D4" s="1373" t="str">
        <f>TEXT('IPCS Data'!E9,"00")</f>
        <v>00</v>
      </c>
      <c r="E4" s="1373" t="str">
        <f>TEXT('IPCS Data'!F9,"General")</f>
        <v>0</v>
      </c>
      <c r="G4" s="537">
        <f>IF(OR(ISBLANK('IPCS Data'!E9),'1 Setup'!$N$7=1),0,1)</f>
        <v>0</v>
      </c>
      <c r="H4" s="1191"/>
    </row>
    <row r="5" spans="1:8" s="750" customFormat="1" ht="15.9" customHeight="1" x14ac:dyDescent="0.3">
      <c r="A5" s="1799" t="str">
        <f t="shared" si="0"/>
        <v>0</v>
      </c>
      <c r="B5" s="1327" t="str">
        <f t="shared" si="1"/>
        <v>0</v>
      </c>
      <c r="C5" s="1799" t="str">
        <f t="shared" si="2"/>
        <v>0</v>
      </c>
      <c r="D5" s="1799" t="str">
        <f>TEXT('IPCS Data'!E10,"00")</f>
        <v>00</v>
      </c>
      <c r="E5" s="1799" t="str">
        <f>TEXT('IPCS Data'!F10,"General")</f>
        <v>0</v>
      </c>
      <c r="G5" s="537">
        <f>IF(OR(ISBLANK('IPCS Data'!E10),'1 Setup'!$N$7=1),0,1)</f>
        <v>0</v>
      </c>
      <c r="H5" s="1191"/>
    </row>
    <row r="6" spans="1:8" s="750" customFormat="1" ht="15.9" customHeight="1" x14ac:dyDescent="0.3">
      <c r="A6" s="1799" t="str">
        <f t="shared" si="0"/>
        <v>0</v>
      </c>
      <c r="B6" s="1327" t="str">
        <f t="shared" si="1"/>
        <v>0</v>
      </c>
      <c r="C6" s="1799" t="str">
        <f t="shared" si="2"/>
        <v>0</v>
      </c>
      <c r="D6" s="1799" t="str">
        <f>TEXT('IPCS Data'!E11,"00")</f>
        <v>00</v>
      </c>
      <c r="E6" s="1799" t="str">
        <f>TEXT('IPCS Data'!F11,"General")</f>
        <v>0</v>
      </c>
      <c r="G6" s="537">
        <f>IF(OR(ISBLANK('IPCS Data'!E11),'1 Setup'!$N$7=1),0,1)</f>
        <v>0</v>
      </c>
      <c r="H6" s="1191"/>
    </row>
    <row r="7" spans="1:8" s="750" customFormat="1" ht="15.9" customHeight="1" x14ac:dyDescent="0.3">
      <c r="A7" s="1799" t="str">
        <f t="shared" si="0"/>
        <v>0</v>
      </c>
      <c r="B7" s="1327" t="str">
        <f t="shared" si="1"/>
        <v>0</v>
      </c>
      <c r="C7" s="1799" t="str">
        <f t="shared" si="2"/>
        <v>0</v>
      </c>
      <c r="D7" s="1799" t="str">
        <f>TEXT('IPCS Data'!E12,"00")</f>
        <v>00</v>
      </c>
      <c r="E7" s="1799" t="str">
        <f>TEXT('IPCS Data'!F12,"General")</f>
        <v>0</v>
      </c>
      <c r="G7" s="537">
        <f>IF(OR(ISBLANK('IPCS Data'!E12),'1 Setup'!$N$7=1),0,1)</f>
        <v>0</v>
      </c>
      <c r="H7" s="1191"/>
    </row>
    <row r="8" spans="1:8" s="750" customFormat="1" ht="15.9" customHeight="1" x14ac:dyDescent="0.3">
      <c r="A8" s="1799" t="str">
        <f t="shared" si="0"/>
        <v>0</v>
      </c>
      <c r="B8" s="1327" t="str">
        <f t="shared" si="1"/>
        <v>0</v>
      </c>
      <c r="C8" s="1799" t="str">
        <f t="shared" si="2"/>
        <v>0</v>
      </c>
      <c r="D8" s="1799" t="str">
        <f>TEXT('IPCS Data'!E13,"00")</f>
        <v>00</v>
      </c>
      <c r="E8" s="1799" t="str">
        <f>TEXT('IPCS Data'!F13,"General")</f>
        <v>0</v>
      </c>
      <c r="G8" s="537">
        <f>IF(OR(ISBLANK('IPCS Data'!E13),'1 Setup'!$N$7=1),0,1)</f>
        <v>0</v>
      </c>
      <c r="H8" s="1191"/>
    </row>
    <row r="9" spans="1:8" s="750" customFormat="1" ht="15.9" customHeight="1" x14ac:dyDescent="0.3">
      <c r="A9" s="1799" t="str">
        <f t="shared" si="0"/>
        <v>0</v>
      </c>
      <c r="B9" s="1327" t="str">
        <f t="shared" si="1"/>
        <v>0</v>
      </c>
      <c r="C9" s="1799" t="str">
        <f t="shared" si="2"/>
        <v>0</v>
      </c>
      <c r="D9" s="1799" t="str">
        <f>TEXT('IPCS Data'!E14,"00")</f>
        <v>00</v>
      </c>
      <c r="E9" s="1799" t="str">
        <f>TEXT('IPCS Data'!F14,"General")</f>
        <v>0</v>
      </c>
      <c r="G9" s="537">
        <f>IF(OR(ISBLANK('IPCS Data'!E14),'1 Setup'!$N$7=1),0,1)</f>
        <v>0</v>
      </c>
      <c r="H9" s="1191"/>
    </row>
    <row r="10" spans="1:8" s="750" customFormat="1" ht="15.9" customHeight="1" x14ac:dyDescent="0.3">
      <c r="A10" s="1799" t="str">
        <f t="shared" si="0"/>
        <v>0</v>
      </c>
      <c r="B10" s="1327" t="str">
        <f t="shared" si="1"/>
        <v>0</v>
      </c>
      <c r="C10" s="1799" t="str">
        <f t="shared" si="2"/>
        <v>0</v>
      </c>
      <c r="D10" s="1799" t="str">
        <f>TEXT('IPCS Data'!E15,"00")</f>
        <v>00</v>
      </c>
      <c r="E10" s="1799" t="str">
        <f>TEXT('IPCS Data'!F15,"General")</f>
        <v>0</v>
      </c>
      <c r="G10" s="537">
        <f>IF(OR(ISBLANK('IPCS Data'!E15),'1 Setup'!$N$7=1),0,1)</f>
        <v>0</v>
      </c>
      <c r="H10" s="1191"/>
    </row>
    <row r="11" spans="1:8" s="750" customFormat="1" ht="15.9" customHeight="1" x14ac:dyDescent="0.3">
      <c r="A11" s="1799" t="str">
        <f t="shared" ref="A11:A13" si="3">IF(G11,"1","0")</f>
        <v>0</v>
      </c>
      <c r="B11" s="1327" t="str">
        <f t="shared" ref="B11:B13" si="4">IF(G11=1,$B$2,"0")</f>
        <v>0</v>
      </c>
      <c r="C11" s="1799" t="str">
        <f t="shared" ref="C11:C13" si="5">IF(G11,$B$2&amp;"."&amp;D11,"0")</f>
        <v>0</v>
      </c>
      <c r="D11" s="1799" t="str">
        <f>TEXT('IPCS Data'!E16,"00")</f>
        <v>00</v>
      </c>
      <c r="E11" s="1799" t="str">
        <f>TEXT('IPCS Data'!F16,"General")</f>
        <v>0</v>
      </c>
      <c r="G11" s="537">
        <f>IF(OR(ISBLANK('IPCS Data'!E16),'1 Setup'!$N$7=1),0,1)</f>
        <v>0</v>
      </c>
      <c r="H11" s="1191"/>
    </row>
    <row r="12" spans="1:8" s="750" customFormat="1" ht="15.9" customHeight="1" x14ac:dyDescent="0.3">
      <c r="A12" s="1799" t="str">
        <f t="shared" si="3"/>
        <v>0</v>
      </c>
      <c r="B12" s="1327" t="str">
        <f t="shared" si="4"/>
        <v>0</v>
      </c>
      <c r="C12" s="1799" t="str">
        <f t="shared" si="5"/>
        <v>0</v>
      </c>
      <c r="D12" s="1799" t="str">
        <f>TEXT('IPCS Data'!E17,"00")</f>
        <v>00</v>
      </c>
      <c r="E12" s="1799" t="str">
        <f>TEXT('IPCS Data'!F17,"General")</f>
        <v>0</v>
      </c>
      <c r="G12" s="537">
        <f>IF(OR(ISBLANK('IPCS Data'!E17),'1 Setup'!$N$7=1),0,1)</f>
        <v>0</v>
      </c>
      <c r="H12" s="1191"/>
    </row>
    <row r="13" spans="1:8" s="750" customFormat="1" ht="15.9" customHeight="1" thickBot="1" x14ac:dyDescent="0.35">
      <c r="A13" s="1374" t="str">
        <f t="shared" si="3"/>
        <v>0</v>
      </c>
      <c r="B13" s="1375" t="str">
        <f t="shared" si="4"/>
        <v>0</v>
      </c>
      <c r="C13" s="1374" t="str">
        <f t="shared" si="5"/>
        <v>0</v>
      </c>
      <c r="D13" s="1374" t="str">
        <f>TEXT('IPCS Data'!E18,"00")</f>
        <v>00</v>
      </c>
      <c r="E13" s="1374" t="str">
        <f>TEXT('IPCS Data'!F18,"General")</f>
        <v>0</v>
      </c>
      <c r="G13" s="537">
        <f>IF(OR(ISBLANK('IPCS Data'!E18),'1 Setup'!$N$7=1),0,1)</f>
        <v>0</v>
      </c>
      <c r="H13" s="1191"/>
    </row>
    <row r="14" spans="1:8" s="750" customFormat="1" ht="15.9" customHeight="1" x14ac:dyDescent="0.3">
      <c r="A14" s="1371" t="str">
        <f>IF(G14=1,TEXT(2,"0"),TEXT(0,"0"))</f>
        <v>2</v>
      </c>
      <c r="B14" s="1376" t="str">
        <f>IF(G14=1,$B$2,TEXT(0,"0"))</f>
        <v>B23672</v>
      </c>
      <c r="C14" s="1371" t="str">
        <f>IF(G14,$B$2&amp;"."&amp;D14,TEXT(0,"0"))</f>
        <v>B23672.A</v>
      </c>
      <c r="D14" s="1371" t="s">
        <v>242</v>
      </c>
      <c r="E14" s="1371" t="s">
        <v>236</v>
      </c>
      <c r="G14" s="1636">
        <v>1</v>
      </c>
      <c r="H14" s="1191"/>
    </row>
    <row r="15" spans="1:8" s="750" customFormat="1" ht="15.9" customHeight="1" x14ac:dyDescent="0.3">
      <c r="A15" s="1377" t="str">
        <f t="shared" ref="A15:A33" si="6">IF(G15=1,TEXT(2,"0"),TEXT(0,"0"))</f>
        <v>2</v>
      </c>
      <c r="B15" s="1378" t="str">
        <f t="shared" ref="B15:B33" si="7">IF(G15=1,$B$2,TEXT(0,"0"))</f>
        <v>B23672</v>
      </c>
      <c r="C15" s="1377" t="str">
        <f t="shared" ref="C15:C33" si="8">IF(G15,$B$2&amp;"."&amp;D15,TEXT(0,"0"))</f>
        <v>B23672.B</v>
      </c>
      <c r="D15" s="1377" t="s">
        <v>52</v>
      </c>
      <c r="E15" s="1377" t="s">
        <v>235</v>
      </c>
      <c r="G15" s="1636">
        <v>1</v>
      </c>
      <c r="H15" s="1191"/>
    </row>
    <row r="16" spans="1:8" s="750" customFormat="1" ht="15.9" customHeight="1" x14ac:dyDescent="0.3">
      <c r="A16" s="1377" t="str">
        <f t="shared" si="6"/>
        <v>2</v>
      </c>
      <c r="B16" s="1378" t="str">
        <f t="shared" si="7"/>
        <v>B23672</v>
      </c>
      <c r="C16" s="1377" t="str">
        <f t="shared" si="8"/>
        <v>B23672.C</v>
      </c>
      <c r="D16" s="1377" t="s">
        <v>243</v>
      </c>
      <c r="E16" s="1377" t="s">
        <v>646</v>
      </c>
      <c r="G16" s="1636">
        <v>1</v>
      </c>
      <c r="H16" s="1191"/>
    </row>
    <row r="17" spans="1:8" s="750" customFormat="1" ht="15.9" customHeight="1" x14ac:dyDescent="0.3">
      <c r="A17" s="1377" t="str">
        <f t="shared" si="6"/>
        <v>2</v>
      </c>
      <c r="B17" s="1378" t="str">
        <f t="shared" si="7"/>
        <v>B23672</v>
      </c>
      <c r="C17" s="1377" t="str">
        <f t="shared" si="8"/>
        <v>B23672.E</v>
      </c>
      <c r="D17" s="1377" t="s">
        <v>247</v>
      </c>
      <c r="E17" s="1377" t="s">
        <v>647</v>
      </c>
      <c r="G17" s="1636">
        <v>1</v>
      </c>
      <c r="H17" s="1191"/>
    </row>
    <row r="18" spans="1:8" s="750" customFormat="1" ht="15.9" customHeight="1" x14ac:dyDescent="0.3">
      <c r="A18" s="1377" t="str">
        <f t="shared" si="6"/>
        <v>2</v>
      </c>
      <c r="B18" s="1378" t="str">
        <f t="shared" si="7"/>
        <v>B23672</v>
      </c>
      <c r="C18" s="1377" t="str">
        <f t="shared" si="8"/>
        <v>B23672.F</v>
      </c>
      <c r="D18" s="1377" t="s">
        <v>249</v>
      </c>
      <c r="E18" s="1377" t="s">
        <v>259</v>
      </c>
      <c r="G18" s="1636">
        <v>1</v>
      </c>
      <c r="H18" s="1191"/>
    </row>
    <row r="19" spans="1:8" s="750" customFormat="1" ht="15.9" customHeight="1" x14ac:dyDescent="0.3">
      <c r="A19" s="1377" t="str">
        <f t="shared" si="6"/>
        <v>2</v>
      </c>
      <c r="B19" s="1378" t="str">
        <f t="shared" si="7"/>
        <v>B23672</v>
      </c>
      <c r="C19" s="1377" t="str">
        <f t="shared" si="8"/>
        <v>B23672.G</v>
      </c>
      <c r="D19" s="1377" t="s">
        <v>77</v>
      </c>
      <c r="E19" s="1377" t="s">
        <v>245</v>
      </c>
      <c r="G19" s="1636">
        <v>1</v>
      </c>
      <c r="H19" s="1191"/>
    </row>
    <row r="20" spans="1:8" s="750" customFormat="1" ht="15.9" customHeight="1" x14ac:dyDescent="0.3">
      <c r="A20" s="1377" t="str">
        <f t="shared" si="6"/>
        <v>2</v>
      </c>
      <c r="B20" s="1378" t="str">
        <f t="shared" si="7"/>
        <v>B23672</v>
      </c>
      <c r="C20" s="1377" t="str">
        <f t="shared" si="8"/>
        <v>B23672.H</v>
      </c>
      <c r="D20" s="1377" t="s">
        <v>252</v>
      </c>
      <c r="E20" s="1377" t="s">
        <v>248</v>
      </c>
      <c r="G20" s="1636">
        <v>1</v>
      </c>
      <c r="H20" s="1191"/>
    </row>
    <row r="21" spans="1:8" s="750" customFormat="1" ht="15.9" customHeight="1" x14ac:dyDescent="0.3">
      <c r="A21" s="1377" t="str">
        <f t="shared" si="6"/>
        <v>2</v>
      </c>
      <c r="B21" s="1378" t="str">
        <f t="shared" si="7"/>
        <v>B23672</v>
      </c>
      <c r="C21" s="1377" t="str">
        <f t="shared" si="8"/>
        <v>B23672.J</v>
      </c>
      <c r="D21" s="1377" t="s">
        <v>256</v>
      </c>
      <c r="E21" s="1377" t="s">
        <v>253</v>
      </c>
      <c r="G21" s="1636">
        <v>1</v>
      </c>
      <c r="H21" s="1191"/>
    </row>
    <row r="22" spans="1:8" s="750" customFormat="1" ht="15.9" customHeight="1" x14ac:dyDescent="0.3">
      <c r="A22" s="1377" t="str">
        <f t="shared" si="6"/>
        <v>2</v>
      </c>
      <c r="B22" s="1378" t="str">
        <f t="shared" si="7"/>
        <v>B23672</v>
      </c>
      <c r="C22" s="1377" t="str">
        <f t="shared" si="8"/>
        <v>B23672.K</v>
      </c>
      <c r="D22" s="1377" t="s">
        <v>258</v>
      </c>
      <c r="E22" s="1377" t="s">
        <v>251</v>
      </c>
      <c r="G22" s="1636">
        <v>1</v>
      </c>
      <c r="H22" s="1191"/>
    </row>
    <row r="23" spans="1:8" s="750" customFormat="1" ht="15.9" customHeight="1" x14ac:dyDescent="0.3">
      <c r="A23" s="1377" t="str">
        <f t="shared" si="6"/>
        <v>2</v>
      </c>
      <c r="B23" s="1378" t="str">
        <f t="shared" si="7"/>
        <v>B23672</v>
      </c>
      <c r="C23" s="1377" t="str">
        <f t="shared" si="8"/>
        <v>B23672.L</v>
      </c>
      <c r="D23" s="1377" t="s">
        <v>262</v>
      </c>
      <c r="E23" s="1377" t="s">
        <v>648</v>
      </c>
      <c r="G23" s="1636">
        <v>1</v>
      </c>
      <c r="H23" s="1191"/>
    </row>
    <row r="24" spans="1:8" s="750" customFormat="1" ht="15.9" customHeight="1" x14ac:dyDescent="0.3">
      <c r="A24" s="1377" t="str">
        <f t="shared" si="6"/>
        <v>2</v>
      </c>
      <c r="B24" s="1378" t="str">
        <f t="shared" si="7"/>
        <v>B23672</v>
      </c>
      <c r="C24" s="1377" t="str">
        <f t="shared" si="8"/>
        <v>B23672.M</v>
      </c>
      <c r="D24" s="1377" t="s">
        <v>613</v>
      </c>
      <c r="E24" s="1377" t="s">
        <v>649</v>
      </c>
      <c r="G24" s="1636">
        <v>1</v>
      </c>
      <c r="H24" s="1191"/>
    </row>
    <row r="25" spans="1:8" s="750" customFormat="1" ht="15.9" customHeight="1" x14ac:dyDescent="0.3">
      <c r="A25" s="1377" t="str">
        <f t="shared" si="6"/>
        <v>2</v>
      </c>
      <c r="B25" s="1378" t="str">
        <f t="shared" si="7"/>
        <v>B23672</v>
      </c>
      <c r="C25" s="1377" t="str">
        <f t="shared" si="8"/>
        <v>B23672.R</v>
      </c>
      <c r="D25" s="1377" t="s">
        <v>269</v>
      </c>
      <c r="E25" s="1377" t="s">
        <v>309</v>
      </c>
      <c r="G25" s="1636">
        <v>1</v>
      </c>
      <c r="H25" s="1191"/>
    </row>
    <row r="26" spans="1:8" s="750" customFormat="1" ht="15.9" customHeight="1" x14ac:dyDescent="0.3">
      <c r="A26" s="1377" t="str">
        <f t="shared" si="6"/>
        <v>2</v>
      </c>
      <c r="B26" s="1378" t="str">
        <f t="shared" si="7"/>
        <v>B23672</v>
      </c>
      <c r="C26" s="1377" t="str">
        <f t="shared" si="8"/>
        <v>B23672.T</v>
      </c>
      <c r="D26" s="1377" t="s">
        <v>458</v>
      </c>
      <c r="E26" s="1377" t="s">
        <v>263</v>
      </c>
      <c r="G26" s="1636">
        <v>1</v>
      </c>
      <c r="H26" s="1191"/>
    </row>
    <row r="27" spans="1:8" s="750" customFormat="1" ht="15.9" customHeight="1" x14ac:dyDescent="0.3">
      <c r="A27" s="1377" t="str">
        <f t="shared" ref="A27" si="9">IF(G27=1,TEXT(2,"0"),TEXT(0,"0"))</f>
        <v>2</v>
      </c>
      <c r="B27" s="1378" t="str">
        <f t="shared" ref="B27" si="10">IF(G27=1,$B$2,TEXT(0,"0"))</f>
        <v>B23672</v>
      </c>
      <c r="C27" s="1377" t="str">
        <f t="shared" ref="C27" si="11">IF(G27,$B$2&amp;"."&amp;D27,TEXT(0,"0"))</f>
        <v>B23672.U</v>
      </c>
      <c r="D27" s="1377" t="s">
        <v>640</v>
      </c>
      <c r="E27" s="1377" t="s">
        <v>265</v>
      </c>
      <c r="G27" s="1636">
        <v>1</v>
      </c>
      <c r="H27" s="1191"/>
    </row>
    <row r="28" spans="1:8" s="750" customFormat="1" ht="15.9" customHeight="1" x14ac:dyDescent="0.3">
      <c r="A28" s="1377" t="str">
        <f t="shared" si="6"/>
        <v>2</v>
      </c>
      <c r="B28" s="1378" t="str">
        <f t="shared" si="7"/>
        <v>B23672</v>
      </c>
      <c r="C28" s="1377" t="str">
        <f t="shared" si="8"/>
        <v>B23672.S</v>
      </c>
      <c r="D28" s="1377" t="s">
        <v>822</v>
      </c>
      <c r="E28" s="1377" t="s">
        <v>267</v>
      </c>
      <c r="G28" s="1636">
        <v>1</v>
      </c>
      <c r="H28" s="1191"/>
    </row>
    <row r="29" spans="1:8" s="750" customFormat="1" ht="15.9" customHeight="1" x14ac:dyDescent="0.3">
      <c r="A29" s="1377" t="str">
        <f t="shared" si="6"/>
        <v>2</v>
      </c>
      <c r="B29" s="1378" t="str">
        <f t="shared" si="7"/>
        <v>B23672</v>
      </c>
      <c r="C29" s="1377" t="str">
        <f t="shared" si="8"/>
        <v>B23672.V</v>
      </c>
      <c r="D29" s="1377" t="s">
        <v>641</v>
      </c>
      <c r="E29" s="1377" t="s">
        <v>642</v>
      </c>
      <c r="G29" s="1636">
        <v>1</v>
      </c>
      <c r="H29" s="1191"/>
    </row>
    <row r="30" spans="1:8" s="750" customFormat="1" ht="15.9" customHeight="1" x14ac:dyDescent="0.3">
      <c r="A30" s="1377" t="str">
        <f t="shared" si="6"/>
        <v>2</v>
      </c>
      <c r="B30" s="1378" t="str">
        <f t="shared" si="7"/>
        <v>B23672</v>
      </c>
      <c r="C30" s="1377" t="str">
        <f t="shared" si="8"/>
        <v>B23672.W</v>
      </c>
      <c r="D30" s="1377" t="s">
        <v>643</v>
      </c>
      <c r="E30" s="1377" t="s">
        <v>644</v>
      </c>
      <c r="G30" s="1636">
        <v>1</v>
      </c>
      <c r="H30" s="1191"/>
    </row>
    <row r="31" spans="1:8" s="750" customFormat="1" ht="15.9" customHeight="1" x14ac:dyDescent="0.3">
      <c r="A31" s="1377" t="str">
        <f t="shared" si="6"/>
        <v>2</v>
      </c>
      <c r="B31" s="1378" t="str">
        <f t="shared" si="7"/>
        <v>B23672</v>
      </c>
      <c r="C31" s="1377" t="str">
        <f t="shared" si="8"/>
        <v>B23672.X</v>
      </c>
      <c r="D31" s="1377" t="s">
        <v>271</v>
      </c>
      <c r="E31" s="1377" t="s">
        <v>272</v>
      </c>
      <c r="G31" s="1636">
        <v>1</v>
      </c>
      <c r="H31" s="1191"/>
    </row>
    <row r="32" spans="1:8" s="750" customFormat="1" ht="15.9" customHeight="1" x14ac:dyDescent="0.3">
      <c r="A32" s="1377" t="str">
        <f t="shared" si="6"/>
        <v>2</v>
      </c>
      <c r="B32" s="1378" t="str">
        <f t="shared" si="7"/>
        <v>B23672</v>
      </c>
      <c r="C32" s="1377" t="str">
        <f t="shared" si="8"/>
        <v>B23672.Y</v>
      </c>
      <c r="D32" s="1377" t="s">
        <v>111</v>
      </c>
      <c r="E32" s="1377" t="s">
        <v>645</v>
      </c>
      <c r="G32" s="1636">
        <v>1</v>
      </c>
      <c r="H32" s="1191"/>
    </row>
    <row r="33" spans="1:8" s="750" customFormat="1" ht="15.9" customHeight="1" thickBot="1" x14ac:dyDescent="0.35">
      <c r="A33" s="1372" t="str">
        <f t="shared" si="6"/>
        <v>2</v>
      </c>
      <c r="B33" s="1379" t="str">
        <f t="shared" si="7"/>
        <v>B23672</v>
      </c>
      <c r="C33" s="1372" t="str">
        <f t="shared" si="8"/>
        <v>B23672.Z</v>
      </c>
      <c r="D33" s="1372" t="s">
        <v>274</v>
      </c>
      <c r="E33" s="1372" t="s">
        <v>275</v>
      </c>
      <c r="G33" s="1636">
        <v>1</v>
      </c>
      <c r="H33" s="1191"/>
    </row>
    <row r="34" spans="1:8" s="750" customFormat="1" ht="15.9" customHeight="1" x14ac:dyDescent="0.3">
      <c r="A34" s="1380" t="str">
        <f>IF(G34=1,TEXT(3,"0"),TEXT(0,"0"))</f>
        <v>3</v>
      </c>
      <c r="B34" s="1381" t="str">
        <f>IF(G34=1,$B$2,TEXT(0,"0"))</f>
        <v>B23672</v>
      </c>
      <c r="C34" s="1380" t="str">
        <f>IF(G34,$B$2&amp;"."&amp;D34,TEXT(0,"0"))</f>
        <v>B23672.P1</v>
      </c>
      <c r="D34" s="1380" t="str">
        <f>'IPCS Data'!L8</f>
        <v>P1</v>
      </c>
      <c r="E34" s="1380" t="str">
        <f>'IPCS Data'!M8</f>
        <v>P1 - Feasibility</v>
      </c>
      <c r="G34" s="1636">
        <v>1</v>
      </c>
      <c r="H34" s="1191"/>
    </row>
    <row r="35" spans="1:8" s="750" customFormat="1" ht="15.9" customHeight="1" x14ac:dyDescent="0.3">
      <c r="A35" s="1382" t="str">
        <f t="shared" ref="A35:A51" si="12">IF(G35=1,TEXT(3,"0"),TEXT(0,"0"))</f>
        <v>3</v>
      </c>
      <c r="B35" s="1383" t="str">
        <f t="shared" ref="B35:B51" si="13">IF(G35=1,$B$2,TEXT(0,"0"))</f>
        <v>B23672</v>
      </c>
      <c r="C35" s="1382" t="str">
        <f t="shared" ref="C35:C51" si="14">IF(G35,$B$2&amp;"."&amp;D35,TEXT(0,"0"))</f>
        <v>B23672.P2</v>
      </c>
      <c r="D35" s="1382" t="str">
        <f>'IPCS Data'!L9</f>
        <v>P2</v>
      </c>
      <c r="E35" s="1382" t="str">
        <f>'IPCS Data'!M9</f>
        <v>P2 - Concept</v>
      </c>
      <c r="G35" s="1636">
        <v>1</v>
      </c>
      <c r="H35" s="1191"/>
    </row>
    <row r="36" spans="1:8" s="750" customFormat="1" ht="15.9" customHeight="1" x14ac:dyDescent="0.3">
      <c r="A36" s="1382" t="str">
        <f t="shared" si="12"/>
        <v>3</v>
      </c>
      <c r="B36" s="1383" t="str">
        <f t="shared" si="13"/>
        <v>B23672</v>
      </c>
      <c r="C36" s="1382" t="str">
        <f t="shared" si="14"/>
        <v>B23672.P3</v>
      </c>
      <c r="D36" s="1382" t="str">
        <f>'IPCS Data'!L10</f>
        <v>P3</v>
      </c>
      <c r="E36" s="1382" t="str">
        <f>'IPCS Data'!M10</f>
        <v>P3 - Preliminary Engineering</v>
      </c>
      <c r="G36" s="1636">
        <v>1</v>
      </c>
      <c r="H36" s="1191"/>
    </row>
    <row r="37" spans="1:8" s="750" customFormat="1" ht="15.9" customHeight="1" x14ac:dyDescent="0.3">
      <c r="A37" s="1382" t="str">
        <f t="shared" si="12"/>
        <v>3</v>
      </c>
      <c r="B37" s="1383" t="str">
        <f t="shared" si="13"/>
        <v>B23672</v>
      </c>
      <c r="C37" s="1382" t="str">
        <f t="shared" si="14"/>
        <v>B23672.P4</v>
      </c>
      <c r="D37" s="1382" t="str">
        <f>'IPCS Data'!L11</f>
        <v>P4</v>
      </c>
      <c r="E37" s="1382" t="str">
        <f>'IPCS Data'!M11</f>
        <v>P4 - Detail Design</v>
      </c>
      <c r="G37" s="1636">
        <v>1</v>
      </c>
      <c r="H37" s="1191"/>
    </row>
    <row r="38" spans="1:8" s="750" customFormat="1" ht="15.9" customHeight="1" x14ac:dyDescent="0.3">
      <c r="A38" s="1382" t="str">
        <f t="shared" si="12"/>
        <v>3</v>
      </c>
      <c r="B38" s="1383" t="str">
        <f t="shared" si="13"/>
        <v>B23672</v>
      </c>
      <c r="C38" s="1382" t="str">
        <f t="shared" si="14"/>
        <v>B23672.P5</v>
      </c>
      <c r="D38" s="1382" t="str">
        <f>'IPCS Data'!L12</f>
        <v>P5</v>
      </c>
      <c r="E38" s="1382" t="str">
        <f>'IPCS Data'!M12</f>
        <v>P5 - Construction</v>
      </c>
      <c r="G38" s="1636">
        <v>1</v>
      </c>
      <c r="H38" s="1191"/>
    </row>
    <row r="39" spans="1:8" s="750" customFormat="1" ht="15.9" customHeight="1" x14ac:dyDescent="0.3">
      <c r="A39" s="1382" t="str">
        <f t="shared" si="12"/>
        <v>3</v>
      </c>
      <c r="B39" s="1383" t="str">
        <f t="shared" si="13"/>
        <v>B23672</v>
      </c>
      <c r="C39" s="1382" t="str">
        <f t="shared" si="14"/>
        <v>B23672.P6</v>
      </c>
      <c r="D39" s="1382" t="str">
        <f>'IPCS Data'!L13</f>
        <v>P6</v>
      </c>
      <c r="E39" s="1382" t="str">
        <f>'IPCS Data'!M13</f>
        <v>P6 - Start-Up</v>
      </c>
      <c r="G39" s="1636">
        <v>1</v>
      </c>
      <c r="H39" s="1191"/>
    </row>
    <row r="40" spans="1:8" s="750" customFormat="1" ht="15.9" customHeight="1" x14ac:dyDescent="0.3">
      <c r="A40" s="1382" t="str">
        <f t="shared" si="12"/>
        <v>3</v>
      </c>
      <c r="B40" s="1383" t="str">
        <f t="shared" si="13"/>
        <v>B23672</v>
      </c>
      <c r="C40" s="1382" t="str">
        <f t="shared" si="14"/>
        <v>B23672.P7</v>
      </c>
      <c r="D40" s="1382" t="str">
        <f>'IPCS Data'!L14</f>
        <v>P7</v>
      </c>
      <c r="E40" s="1382" t="str">
        <f>'IPCS Data'!M14</f>
        <v>P7 - Closure</v>
      </c>
      <c r="G40" s="1636">
        <v>1</v>
      </c>
      <c r="H40" s="1191"/>
    </row>
    <row r="41" spans="1:8" s="750" customFormat="1" ht="15.9" customHeight="1" x14ac:dyDescent="0.3">
      <c r="A41" s="1382" t="str">
        <f t="shared" si="12"/>
        <v>0</v>
      </c>
      <c r="B41" s="1383" t="str">
        <f t="shared" si="13"/>
        <v>0</v>
      </c>
      <c r="C41" s="1382" t="str">
        <f t="shared" si="14"/>
        <v>0</v>
      </c>
      <c r="D41" s="1382" t="str">
        <f>'IPCS Data'!L15</f>
        <v>Others</v>
      </c>
      <c r="E41" s="1382" t="str">
        <f>'IPCS Data'!M15</f>
        <v>==============</v>
      </c>
      <c r="G41" s="1636">
        <v>0</v>
      </c>
      <c r="H41" s="1191"/>
    </row>
    <row r="42" spans="1:8" s="750" customFormat="1" ht="15.9" customHeight="1" x14ac:dyDescent="0.3">
      <c r="A42" s="1382" t="str">
        <f t="shared" si="12"/>
        <v>3</v>
      </c>
      <c r="B42" s="1383" t="str">
        <f t="shared" si="13"/>
        <v>B23672</v>
      </c>
      <c r="C42" s="1382" t="str">
        <f t="shared" si="14"/>
        <v>B23672.PN</v>
      </c>
      <c r="D42" s="1382" t="str">
        <f>'IPCS Data'!L16</f>
        <v>PN</v>
      </c>
      <c r="E42" s="1382" t="str">
        <f>'IPCS Data'!M16</f>
        <v>PN - Phase Non Related</v>
      </c>
      <c r="G42" s="1636">
        <v>1</v>
      </c>
      <c r="H42" s="1191"/>
    </row>
    <row r="43" spans="1:8" s="750" customFormat="1" ht="15.9" customHeight="1" x14ac:dyDescent="0.3">
      <c r="A43" s="1382" t="str">
        <f t="shared" si="12"/>
        <v>3</v>
      </c>
      <c r="B43" s="1383" t="str">
        <f t="shared" si="13"/>
        <v>B23672</v>
      </c>
      <c r="C43" s="1382" t="str">
        <f t="shared" si="14"/>
        <v>B23672.CS</v>
      </c>
      <c r="D43" s="1382" t="str">
        <f>'IPCS Data'!L17</f>
        <v>CS</v>
      </c>
      <c r="E43" s="1382" t="str">
        <f>'IPCS Data'!M17</f>
        <v>CS - Consulting Services</v>
      </c>
      <c r="G43" s="1636">
        <v>1</v>
      </c>
      <c r="H43" s="1191"/>
    </row>
    <row r="44" spans="1:8" s="750" customFormat="1" ht="15.9" customHeight="1" x14ac:dyDescent="0.3">
      <c r="A44" s="1382" t="str">
        <f t="shared" si="12"/>
        <v>3</v>
      </c>
      <c r="B44" s="1383" t="str">
        <f t="shared" si="13"/>
        <v>B23672</v>
      </c>
      <c r="C44" s="1382" t="str">
        <f t="shared" si="14"/>
        <v>B23672.SC</v>
      </c>
      <c r="D44" s="1382" t="str">
        <f>'IPCS Data'!L18</f>
        <v>SC</v>
      </c>
      <c r="E44" s="1382" t="str">
        <f>'IPCS Data'!M18</f>
        <v>SC - Sustainable Capital</v>
      </c>
      <c r="G44" s="1636">
        <v>1</v>
      </c>
      <c r="H44" s="1191"/>
    </row>
    <row r="45" spans="1:8" s="750" customFormat="1" ht="15.9" customHeight="1" x14ac:dyDescent="0.3">
      <c r="A45" s="1382" t="str">
        <f t="shared" si="12"/>
        <v>3</v>
      </c>
      <c r="B45" s="1383" t="str">
        <f t="shared" si="13"/>
        <v>B23672</v>
      </c>
      <c r="C45" s="1382" t="str">
        <f t="shared" si="14"/>
        <v>B23672.SM</v>
      </c>
      <c r="D45" s="1382" t="str">
        <f>'IPCS Data'!L19</f>
        <v>SM</v>
      </c>
      <c r="E45" s="1382" t="str">
        <f>'IPCS Data'!M19</f>
        <v>SM - Supply Management</v>
      </c>
      <c r="G45" s="1636">
        <v>1</v>
      </c>
      <c r="H45" s="1191"/>
    </row>
    <row r="46" spans="1:8" s="750" customFormat="1" ht="15.9" customHeight="1" x14ac:dyDescent="0.3">
      <c r="A46" s="1382" t="str">
        <f t="shared" si="12"/>
        <v>0</v>
      </c>
      <c r="B46" s="1383" t="str">
        <f t="shared" si="13"/>
        <v>0</v>
      </c>
      <c r="C46" s="1382" t="str">
        <f t="shared" si="14"/>
        <v>0</v>
      </c>
      <c r="D46" s="1382">
        <f>'IPCS Data'!L20</f>
        <v>0</v>
      </c>
      <c r="E46" s="1382">
        <f>'IPCS Data'!M20</f>
        <v>0</v>
      </c>
      <c r="G46" s="849">
        <f>IF(AND(NOT(ISERROR(MATCH(D46,'5  Control Accounts'!$EG$29:$EG$96,0))),E46&gt;0),1,0)</f>
        <v>0</v>
      </c>
      <c r="H46" s="1191"/>
    </row>
    <row r="47" spans="1:8" s="750" customFormat="1" ht="15.9" customHeight="1" x14ac:dyDescent="0.3">
      <c r="A47" s="1382" t="str">
        <f t="shared" si="12"/>
        <v>0</v>
      </c>
      <c r="B47" s="1383" t="str">
        <f t="shared" si="13"/>
        <v>0</v>
      </c>
      <c r="C47" s="1382" t="str">
        <f t="shared" si="14"/>
        <v>0</v>
      </c>
      <c r="D47" s="1382">
        <f>'IPCS Data'!L21</f>
        <v>0</v>
      </c>
      <c r="E47" s="1382">
        <f>'IPCS Data'!M21</f>
        <v>0</v>
      </c>
      <c r="G47" s="849">
        <f>IF(AND(NOT(ISERROR(MATCH(D47,'5  Control Accounts'!$EG$29:$EG$96,0))),E47&gt;0),1,0)</f>
        <v>0</v>
      </c>
      <c r="H47" s="1191"/>
    </row>
    <row r="48" spans="1:8" s="750" customFormat="1" ht="15.9" customHeight="1" x14ac:dyDescent="0.3">
      <c r="A48" s="1382" t="str">
        <f t="shared" si="12"/>
        <v>0</v>
      </c>
      <c r="B48" s="1383" t="str">
        <f t="shared" si="13"/>
        <v>0</v>
      </c>
      <c r="C48" s="1382" t="str">
        <f t="shared" si="14"/>
        <v>0</v>
      </c>
      <c r="D48" s="1382">
        <f>'IPCS Data'!L28</f>
        <v>0</v>
      </c>
      <c r="E48" s="1382">
        <f>'IPCS Data'!M28</f>
        <v>0</v>
      </c>
      <c r="G48" s="849">
        <f>IF(AND(NOT(ISERROR(MATCH(D48,'5  Control Accounts'!$EG$29:$EG$96,0))),E48&gt;0),1,0)</f>
        <v>0</v>
      </c>
      <c r="H48" s="1191"/>
    </row>
    <row r="49" spans="1:8" s="750" customFormat="1" ht="15.9" customHeight="1" x14ac:dyDescent="0.3">
      <c r="A49" s="1382" t="str">
        <f t="shared" si="12"/>
        <v>0</v>
      </c>
      <c r="B49" s="1383" t="str">
        <f t="shared" si="13"/>
        <v>0</v>
      </c>
      <c r="C49" s="1382" t="str">
        <f t="shared" si="14"/>
        <v>0</v>
      </c>
      <c r="D49" s="1382">
        <f>'IPCS Data'!L26</f>
        <v>0</v>
      </c>
      <c r="E49" s="1382">
        <f>'IPCS Data'!M26</f>
        <v>0</v>
      </c>
      <c r="G49" s="849">
        <f>IF(AND(NOT(ISERROR(MATCH(D49,'5  Control Accounts'!$EG$29:$EG$96,0))),E49&gt;0),1,0)</f>
        <v>0</v>
      </c>
      <c r="H49" s="1191"/>
    </row>
    <row r="50" spans="1:8" s="750" customFormat="1" ht="15.9" customHeight="1" x14ac:dyDescent="0.3">
      <c r="A50" s="1382" t="str">
        <f t="shared" si="12"/>
        <v>0</v>
      </c>
      <c r="B50" s="1383" t="str">
        <f t="shared" si="13"/>
        <v>0</v>
      </c>
      <c r="C50" s="1382" t="str">
        <f t="shared" si="14"/>
        <v>0</v>
      </c>
      <c r="D50" s="1382">
        <f>'IPCS Data'!L27</f>
        <v>0</v>
      </c>
      <c r="E50" s="1382">
        <f>'IPCS Data'!M27</f>
        <v>0</v>
      </c>
      <c r="G50" s="849">
        <f>IF(AND(NOT(ISERROR(MATCH(D50,'5  Control Accounts'!$EG$29:$EG$96,0))),E50&gt;0),1,0)</f>
        <v>0</v>
      </c>
      <c r="H50" s="1191"/>
    </row>
    <row r="51" spans="1:8" s="750" customFormat="1" ht="15.9" customHeight="1" thickBot="1" x14ac:dyDescent="0.35">
      <c r="A51" s="1384" t="str">
        <f t="shared" si="12"/>
        <v>0</v>
      </c>
      <c r="B51" s="1385" t="str">
        <f t="shared" si="13"/>
        <v>0</v>
      </c>
      <c r="C51" s="1384" t="str">
        <f t="shared" si="14"/>
        <v>0</v>
      </c>
      <c r="D51" s="1384">
        <f>'IPCS Data'!L25</f>
        <v>0</v>
      </c>
      <c r="E51" s="1384">
        <f>'IPCS Data'!M25</f>
        <v>0</v>
      </c>
      <c r="G51" s="849">
        <f>IF(AND(NOT(ISERROR(MATCH(D51,'5  Control Accounts'!$EG$29:$EG$96,0))),E51&gt;0),1,0)</f>
        <v>0</v>
      </c>
      <c r="H51" s="1191"/>
    </row>
    <row r="52" spans="1:8" s="750" customFormat="1" ht="15.9" customHeight="1" x14ac:dyDescent="0.3">
      <c r="A52" s="1386" t="str">
        <f>IF(G52=1,TEXT(4,"0"),TEXT(0,"0"))</f>
        <v>4</v>
      </c>
      <c r="B52" s="1387" t="str">
        <f>IF(G52=1,$B$2,TEXT(0,"0"))</f>
        <v>B23672</v>
      </c>
      <c r="C52" s="1386" t="str">
        <f>IF(G52,$B$2&amp;"."&amp;D52,TEXT(0,"0"))</f>
        <v>B23672.Y</v>
      </c>
      <c r="D52" s="1386" t="str">
        <f>'IPCS Data'!O8</f>
        <v>Y</v>
      </c>
      <c r="E52" s="1386" t="str">
        <f>'IPCS Data'!P8</f>
        <v>Suspense</v>
      </c>
      <c r="G52" s="1636">
        <v>1</v>
      </c>
      <c r="H52" s="1191"/>
    </row>
    <row r="53" spans="1:8" s="750" customFormat="1" ht="15.9" customHeight="1" x14ac:dyDescent="0.3">
      <c r="A53" s="1388" t="str">
        <f t="shared" ref="A53:A121" si="15">IF(G53=1,TEXT(4,"0"),TEXT(0,"0"))</f>
        <v>4</v>
      </c>
      <c r="B53" s="1389" t="str">
        <f t="shared" ref="B53:B121" si="16">IF(G53=1,$B$2,TEXT(0,"0"))</f>
        <v>B23672</v>
      </c>
      <c r="C53" s="1388" t="str">
        <f t="shared" ref="C53:C121" si="17">IF(G53,$B$2&amp;"."&amp;D53,TEXT(0,"0"))</f>
        <v>B23672.W</v>
      </c>
      <c r="D53" s="1388" t="str">
        <f>'IPCS Data'!O9</f>
        <v>W</v>
      </c>
      <c r="E53" s="1388" t="str">
        <f>'IPCS Data'!P9</f>
        <v>Write Up/Down</v>
      </c>
      <c r="G53" s="1636">
        <v>1</v>
      </c>
      <c r="H53" s="1191"/>
    </row>
    <row r="54" spans="1:8" s="750" customFormat="1" ht="15.9" customHeight="1" x14ac:dyDescent="0.3">
      <c r="A54" s="1388" t="str">
        <f t="shared" si="15"/>
        <v>4</v>
      </c>
      <c r="B54" s="1389" t="str">
        <f t="shared" si="16"/>
        <v>B23672</v>
      </c>
      <c r="C54" s="1388" t="str">
        <f t="shared" si="17"/>
        <v>B23672.V</v>
      </c>
      <c r="D54" s="1388" t="str">
        <f>'IPCS Data'!O10</f>
        <v>V</v>
      </c>
      <c r="E54" s="1388" t="str">
        <f>'IPCS Data'!P10</f>
        <v>Fee</v>
      </c>
      <c r="G54" s="1636">
        <v>1</v>
      </c>
      <c r="H54" s="1191"/>
    </row>
    <row r="55" spans="1:8" s="750" customFormat="1" ht="15.9" customHeight="1" x14ac:dyDescent="0.3">
      <c r="A55" s="1388" t="str">
        <f t="shared" si="15"/>
        <v>4</v>
      </c>
      <c r="B55" s="1389" t="str">
        <f t="shared" si="16"/>
        <v>B23672</v>
      </c>
      <c r="C55" s="1388" t="str">
        <f t="shared" si="17"/>
        <v>B23672.S</v>
      </c>
      <c r="D55" s="1388" t="str">
        <f>'IPCS Data'!O11</f>
        <v>S</v>
      </c>
      <c r="E55" s="1388" t="str">
        <f>'IPCS Data'!P11</f>
        <v>Contingency</v>
      </c>
      <c r="G55" s="1636">
        <v>1</v>
      </c>
      <c r="H55" s="1191"/>
    </row>
    <row r="56" spans="1:8" s="750" customFormat="1" ht="15.9" customHeight="1" x14ac:dyDescent="0.3">
      <c r="A56" s="1388" t="str">
        <f t="shared" si="15"/>
        <v>4</v>
      </c>
      <c r="B56" s="1389" t="str">
        <f t="shared" si="16"/>
        <v>B23672</v>
      </c>
      <c r="C56" s="1388" t="str">
        <f t="shared" si="17"/>
        <v>B23672.R</v>
      </c>
      <c r="D56" s="1388" t="str">
        <f>'IPCS Data'!O12</f>
        <v>R</v>
      </c>
      <c r="E56" s="1388" t="str">
        <f>'IPCS Data'!P12</f>
        <v>Cost Reserve</v>
      </c>
      <c r="G56" s="1636">
        <v>1</v>
      </c>
      <c r="H56" s="1191"/>
    </row>
    <row r="57" spans="1:8" s="750" customFormat="1" ht="15.9" customHeight="1" x14ac:dyDescent="0.3">
      <c r="A57" s="1388" t="str">
        <f t="shared" si="15"/>
        <v>4</v>
      </c>
      <c r="B57" s="1389" t="str">
        <f t="shared" si="16"/>
        <v>B23672</v>
      </c>
      <c r="C57" s="1388" t="str">
        <f t="shared" si="17"/>
        <v>B23672.X</v>
      </c>
      <c r="D57" s="1388" t="str">
        <f>'IPCS Data'!O13</f>
        <v>X</v>
      </c>
      <c r="E57" s="1388" t="str">
        <f>'IPCS Data'!P13</f>
        <v>Currency Exchange fx</v>
      </c>
      <c r="G57" s="1636">
        <v>1</v>
      </c>
      <c r="H57" s="1191"/>
    </row>
    <row r="58" spans="1:8" s="750" customFormat="1" ht="15.9" customHeight="1" x14ac:dyDescent="0.3">
      <c r="A58" s="1388" t="str">
        <f t="shared" si="15"/>
        <v>4</v>
      </c>
      <c r="B58" s="1389" t="str">
        <f t="shared" si="16"/>
        <v>B23672</v>
      </c>
      <c r="C58" s="1388" t="str">
        <f t="shared" si="17"/>
        <v>B23672.T</v>
      </c>
      <c r="D58" s="1388" t="str">
        <f>'IPCS Data'!O14</f>
        <v>T</v>
      </c>
      <c r="E58" s="1388" t="str">
        <f>'IPCS Data'!P14</f>
        <v>Taxes</v>
      </c>
      <c r="G58" s="1636">
        <v>1</v>
      </c>
      <c r="H58" s="1191"/>
    </row>
    <row r="59" spans="1:8" s="750" customFormat="1" ht="15.9" customHeight="1" x14ac:dyDescent="0.3">
      <c r="A59" s="1388" t="str">
        <f t="shared" si="15"/>
        <v>4</v>
      </c>
      <c r="B59" s="1389" t="str">
        <f t="shared" si="16"/>
        <v>B23672</v>
      </c>
      <c r="C59" s="1388" t="str">
        <f t="shared" si="17"/>
        <v>B23672.Z</v>
      </c>
      <c r="D59" s="1388" t="str">
        <f>'IPCS Data'!O15</f>
        <v>Z</v>
      </c>
      <c r="E59" s="1388" t="str">
        <f>'IPCS Data'!P15</f>
        <v>Owner's Cost</v>
      </c>
      <c r="G59" s="1636">
        <v>1</v>
      </c>
      <c r="H59" s="1191"/>
    </row>
    <row r="60" spans="1:8" s="750" customFormat="1" ht="15.9" customHeight="1" thickBot="1" x14ac:dyDescent="0.35">
      <c r="A60" s="1467" t="str">
        <f t="shared" si="15"/>
        <v>4</v>
      </c>
      <c r="B60" s="1468" t="str">
        <f t="shared" si="16"/>
        <v>B23672</v>
      </c>
      <c r="C60" s="1467" t="str">
        <f t="shared" si="17"/>
        <v>B23672.U</v>
      </c>
      <c r="D60" s="1467" t="str">
        <f>'IPCS Data'!O16</f>
        <v>U</v>
      </c>
      <c r="E60" s="1467" t="str">
        <f>'IPCS Data'!P16</f>
        <v>Other</v>
      </c>
      <c r="G60" s="1636">
        <v>1</v>
      </c>
      <c r="H60" s="1191"/>
    </row>
    <row r="61" spans="1:8" s="750" customFormat="1" ht="15.9" customHeight="1" thickTop="1" x14ac:dyDescent="0.3">
      <c r="A61" s="1386" t="str">
        <f t="shared" si="15"/>
        <v>0</v>
      </c>
      <c r="B61" s="1387" t="str">
        <f t="shared" si="16"/>
        <v>0</v>
      </c>
      <c r="C61" s="1386" t="str">
        <f t="shared" si="17"/>
        <v>0</v>
      </c>
      <c r="D61" s="1386" t="str">
        <f>'IPCS Data'!O17</f>
        <v>Pro Services Non-Labor (PSNL)</v>
      </c>
      <c r="E61" s="1386">
        <f>'IPCS Data'!P17</f>
        <v>0</v>
      </c>
      <c r="G61" s="758">
        <f>IF(AND(NOT(ISERROR(MATCH(D61,'5  Control Accounts'!$EJ$29:$EJ$96,0))),E61&gt;0),1,0)</f>
        <v>0</v>
      </c>
      <c r="H61" s="1191"/>
    </row>
    <row r="62" spans="1:8" s="750" customFormat="1" ht="15.9" customHeight="1" x14ac:dyDescent="0.3">
      <c r="A62" s="1388" t="str">
        <f t="shared" si="15"/>
        <v>4</v>
      </c>
      <c r="B62" s="1389" t="str">
        <f t="shared" si="16"/>
        <v>B23672</v>
      </c>
      <c r="C62" s="1388" t="str">
        <f t="shared" si="17"/>
        <v>B23672.GEN</v>
      </c>
      <c r="D62" s="1388" t="str">
        <f>'IPCS Data'!O18</f>
        <v>GEN</v>
      </c>
      <c r="E62" s="1388" t="str">
        <f>'IPCS Data'!P18</f>
        <v>GENERAL EXPENSE</v>
      </c>
      <c r="G62" s="1636">
        <v>1</v>
      </c>
      <c r="H62" s="1191"/>
    </row>
    <row r="63" spans="1:8" s="750" customFormat="1" ht="15.9" customHeight="1" x14ac:dyDescent="0.3">
      <c r="A63" s="1388" t="str">
        <f t="shared" si="15"/>
        <v>4</v>
      </c>
      <c r="B63" s="1389" t="str">
        <f t="shared" si="16"/>
        <v>B23672</v>
      </c>
      <c r="C63" s="1388" t="str">
        <f t="shared" si="17"/>
        <v>B23672.ODC</v>
      </c>
      <c r="D63" s="1388" t="str">
        <f>'IPCS Data'!O19</f>
        <v>ODC</v>
      </c>
      <c r="E63" s="1388" t="str">
        <f>'IPCS Data'!P19</f>
        <v>OTHER DIRECT</v>
      </c>
      <c r="G63" s="1636">
        <v>1</v>
      </c>
      <c r="H63" s="1191"/>
    </row>
    <row r="64" spans="1:8" x14ac:dyDescent="0.3">
      <c r="A64" s="1388" t="str">
        <f t="shared" si="15"/>
        <v>4</v>
      </c>
      <c r="B64" s="1389" t="str">
        <f t="shared" si="16"/>
        <v>B23672</v>
      </c>
      <c r="C64" s="1388" t="str">
        <f t="shared" si="17"/>
        <v>B23672.INS</v>
      </c>
      <c r="D64" s="1388" t="str">
        <f>'IPCS Data'!O20</f>
        <v>INS</v>
      </c>
      <c r="E64" s="1388" t="str">
        <f>'IPCS Data'!P20</f>
        <v>INSURANCE</v>
      </c>
      <c r="F64" s="750"/>
      <c r="G64" s="1636">
        <v>1</v>
      </c>
      <c r="H64" s="1192"/>
    </row>
    <row r="65" spans="1:15" x14ac:dyDescent="0.3">
      <c r="A65" s="1388" t="str">
        <f t="shared" si="15"/>
        <v>4</v>
      </c>
      <c r="B65" s="1389" t="str">
        <f t="shared" si="16"/>
        <v>B23672</v>
      </c>
      <c r="C65" s="1388" t="str">
        <f t="shared" si="17"/>
        <v>B23672.TRV</v>
      </c>
      <c r="D65" s="1388" t="str">
        <f>'IPCS Data'!O21</f>
        <v>TRV</v>
      </c>
      <c r="E65" s="1388" t="str">
        <f>'IPCS Data'!P21</f>
        <v>TRAVEL</v>
      </c>
      <c r="F65" s="750"/>
      <c r="G65" s="1636">
        <v>1</v>
      </c>
      <c r="H65" s="1192"/>
    </row>
    <row r="66" spans="1:15" x14ac:dyDescent="0.3">
      <c r="A66" s="1388" t="str">
        <f t="shared" si="15"/>
        <v>4</v>
      </c>
      <c r="B66" s="1389" t="str">
        <f t="shared" si="16"/>
        <v>B23672</v>
      </c>
      <c r="C66" s="1388" t="str">
        <f t="shared" si="17"/>
        <v>B23672.ASG</v>
      </c>
      <c r="D66" s="1388" t="str">
        <f>'IPCS Data'!O22</f>
        <v>ASG</v>
      </c>
      <c r="E66" s="1388" t="str">
        <f>'IPCS Data'!P22</f>
        <v>ASSIGNMENT &amp; PER DIEM</v>
      </c>
      <c r="F66" s="750"/>
      <c r="G66" s="1636">
        <v>1</v>
      </c>
      <c r="H66" s="1192"/>
    </row>
    <row r="67" spans="1:15" s="762" customFormat="1" x14ac:dyDescent="0.3">
      <c r="A67" s="1388" t="str">
        <f t="shared" si="15"/>
        <v>4</v>
      </c>
      <c r="B67" s="1389" t="str">
        <f t="shared" si="16"/>
        <v>B23672</v>
      </c>
      <c r="C67" s="1388" t="str">
        <f t="shared" si="17"/>
        <v>B23672.REP</v>
      </c>
      <c r="D67" s="1388" t="str">
        <f>'IPCS Data'!O23</f>
        <v>REP</v>
      </c>
      <c r="E67" s="1388" t="str">
        <f>'IPCS Data'!P23</f>
        <v>REPRODUCTION</v>
      </c>
      <c r="F67" s="750"/>
      <c r="G67" s="1636">
        <v>1</v>
      </c>
      <c r="H67" s="1192"/>
      <c r="I67" s="763"/>
      <c r="J67" s="763"/>
      <c r="K67" s="763"/>
      <c r="L67" s="763"/>
      <c r="M67" s="763"/>
      <c r="N67" s="763"/>
      <c r="O67" s="763"/>
    </row>
    <row r="68" spans="1:15" s="762" customFormat="1" x14ac:dyDescent="0.3">
      <c r="A68" s="1388" t="str">
        <f t="shared" si="15"/>
        <v>4</v>
      </c>
      <c r="B68" s="1389" t="str">
        <f t="shared" si="16"/>
        <v>B23672</v>
      </c>
      <c r="C68" s="1388" t="str">
        <f t="shared" si="17"/>
        <v>B23672.CMP</v>
      </c>
      <c r="D68" s="1388" t="str">
        <f>'IPCS Data'!O24</f>
        <v>CMP</v>
      </c>
      <c r="E68" s="1388" t="str">
        <f>'IPCS Data'!P24</f>
        <v>DISTRIBUTED COMPUTER COST</v>
      </c>
      <c r="F68" s="750"/>
      <c r="G68" s="1636">
        <v>1</v>
      </c>
      <c r="H68" s="1192"/>
      <c r="I68" s="763"/>
      <c r="J68" s="763"/>
      <c r="K68" s="763"/>
      <c r="L68" s="763"/>
      <c r="M68" s="763"/>
      <c r="N68" s="763"/>
      <c r="O68" s="763"/>
    </row>
    <row r="69" spans="1:15" s="762" customFormat="1" x14ac:dyDescent="0.3">
      <c r="A69" s="1388" t="str">
        <f t="shared" si="15"/>
        <v>4</v>
      </c>
      <c r="B69" s="1389" t="str">
        <f t="shared" si="16"/>
        <v>B23672</v>
      </c>
      <c r="C69" s="1388" t="str">
        <f t="shared" si="17"/>
        <v>B23672.SCS</v>
      </c>
      <c r="D69" s="1388" t="str">
        <f>'IPCS Data'!O25</f>
        <v>SCS</v>
      </c>
      <c r="E69" s="1388" t="str">
        <f>'IPCS Data'!P25</f>
        <v>SPECIAL COMPUTER SYS</v>
      </c>
      <c r="F69" s="750"/>
      <c r="G69" s="1636">
        <v>1</v>
      </c>
      <c r="H69" s="1192"/>
      <c r="I69" s="763"/>
      <c r="J69" s="763"/>
      <c r="K69" s="763"/>
      <c r="L69" s="763"/>
      <c r="M69" s="763"/>
      <c r="N69" s="763"/>
      <c r="O69" s="763"/>
    </row>
    <row r="70" spans="1:15" x14ac:dyDescent="0.3">
      <c r="A70" s="1388" t="str">
        <f t="shared" si="15"/>
        <v>4</v>
      </c>
      <c r="B70" s="1389" t="str">
        <f t="shared" si="16"/>
        <v>B23672</v>
      </c>
      <c r="C70" s="1388" t="str">
        <f t="shared" si="17"/>
        <v>B23672.WHA</v>
      </c>
      <c r="D70" s="1388" t="str">
        <f>'IPCS Data'!O26</f>
        <v>WHA</v>
      </c>
      <c r="E70" s="1388" t="str">
        <f>'IPCS Data'!P26</f>
        <v>WH APPORTIONMENT</v>
      </c>
      <c r="F70" s="750"/>
      <c r="G70" s="1636">
        <v>1</v>
      </c>
      <c r="H70" s="1192"/>
    </row>
    <row r="71" spans="1:15" x14ac:dyDescent="0.3">
      <c r="A71" s="1388" t="str">
        <f t="shared" ref="A71:A72" si="18">IF(G71=1,TEXT(4,"0"),TEXT(0,"0"))</f>
        <v>4</v>
      </c>
      <c r="B71" s="1389" t="str">
        <f t="shared" ref="B71:B72" si="19">IF(G71=1,$B$2,TEXT(0,"0"))</f>
        <v>B23672</v>
      </c>
      <c r="C71" s="1388" t="str">
        <f t="shared" ref="C71:C72" si="20">IF(G71,$B$2&amp;"."&amp;D71,TEXT(0,"0"))</f>
        <v>B23672.WHH</v>
      </c>
      <c r="D71" s="1388" t="str">
        <f>'IPCS Data'!O27</f>
        <v>WHH</v>
      </c>
      <c r="E71" s="1388" t="str">
        <f>'IPCS Data'!P27</f>
        <v>HOME OFFICE WH REIMBURSABLE</v>
      </c>
      <c r="F71" s="750"/>
      <c r="G71" s="1636">
        <v>1</v>
      </c>
      <c r="H71" s="1192"/>
      <c r="I71" s="1356"/>
      <c r="J71" s="1356"/>
      <c r="K71" s="1356"/>
      <c r="L71" s="1356"/>
      <c r="M71" s="1356"/>
      <c r="N71" s="1356"/>
      <c r="O71" s="1356"/>
    </row>
    <row r="72" spans="1:15" x14ac:dyDescent="0.3">
      <c r="A72" s="1388" t="str">
        <f t="shared" si="18"/>
        <v>4</v>
      </c>
      <c r="B72" s="1389" t="str">
        <f t="shared" si="19"/>
        <v>B23672</v>
      </c>
      <c r="C72" s="1388" t="str">
        <f t="shared" si="20"/>
        <v>B23672.WHC</v>
      </c>
      <c r="D72" s="1388" t="str">
        <f>'IPCS Data'!O28</f>
        <v>WHC</v>
      </c>
      <c r="E72" s="1388" t="str">
        <f>'IPCS Data'!P28</f>
        <v>CONSTRUCTION WH REIMBURSABLE</v>
      </c>
      <c r="F72" s="750"/>
      <c r="G72" s="1636">
        <v>1</v>
      </c>
      <c r="H72" s="1192"/>
      <c r="I72" s="1356"/>
      <c r="J72" s="1356"/>
      <c r="K72" s="1356"/>
      <c r="L72" s="1356"/>
      <c r="M72" s="1356"/>
      <c r="N72" s="1356"/>
      <c r="O72" s="1356"/>
    </row>
    <row r="73" spans="1:15" x14ac:dyDescent="0.3">
      <c r="A73" s="1388" t="str">
        <f t="shared" si="15"/>
        <v>4</v>
      </c>
      <c r="B73" s="1389" t="str">
        <f t="shared" si="16"/>
        <v>B23672</v>
      </c>
      <c r="C73" s="1388" t="str">
        <f t="shared" si="17"/>
        <v>B23672.DSA</v>
      </c>
      <c r="D73" s="1388" t="str">
        <f>'IPCS Data'!O29</f>
        <v>DSA</v>
      </c>
      <c r="E73" s="1388" t="str">
        <f>'IPCS Data'!P29</f>
        <v>DESIGN ALLOWANCE</v>
      </c>
      <c r="F73" s="750"/>
      <c r="G73" s="1636">
        <v>1</v>
      </c>
      <c r="H73" s="1192"/>
    </row>
    <row r="74" spans="1:15" x14ac:dyDescent="0.3">
      <c r="A74" s="1388" t="str">
        <f t="shared" si="15"/>
        <v>4</v>
      </c>
      <c r="B74" s="1389" t="str">
        <f t="shared" si="16"/>
        <v>B23672</v>
      </c>
      <c r="C74" s="1388" t="str">
        <f t="shared" si="17"/>
        <v>B23672.TPE</v>
      </c>
      <c r="D74" s="1388" t="str">
        <f>'IPCS Data'!O30</f>
        <v>TPE</v>
      </c>
      <c r="E74" s="1388" t="str">
        <f>'IPCS Data'!P30</f>
        <v>3rd PARTY SERVICES</v>
      </c>
      <c r="F74" s="750"/>
      <c r="G74" s="1636">
        <v>1</v>
      </c>
      <c r="H74" s="1192"/>
    </row>
    <row r="75" spans="1:15" x14ac:dyDescent="0.3">
      <c r="A75" s="1388" t="str">
        <f t="shared" si="15"/>
        <v>0</v>
      </c>
      <c r="B75" s="1389" t="str">
        <f t="shared" si="16"/>
        <v>0</v>
      </c>
      <c r="C75" s="1388" t="str">
        <f t="shared" si="17"/>
        <v>0</v>
      </c>
      <c r="D75" s="1388" t="str">
        <f>'IPCS Data'!O31</f>
        <v>01 Engineering &amp; Design</v>
      </c>
      <c r="E75" s="1388"/>
      <c r="F75" s="750"/>
      <c r="G75" s="758">
        <f>IF(AND(NOT(ISERROR(MATCH(D75,'5  Control Accounts'!$EJ$29:$EJ$96,0))),E75&gt;0),1,0)</f>
        <v>0</v>
      </c>
      <c r="H75" s="1192"/>
    </row>
    <row r="76" spans="1:15" x14ac:dyDescent="0.3">
      <c r="A76" s="1388" t="str">
        <f t="shared" si="15"/>
        <v>4</v>
      </c>
      <c r="B76" s="1389" t="str">
        <f t="shared" si="16"/>
        <v>B23672</v>
      </c>
      <c r="C76" s="1388" t="str">
        <f t="shared" si="17"/>
        <v>B23672.AR</v>
      </c>
      <c r="D76" s="1388" t="str">
        <f>'IPCS Data'!O32</f>
        <v>AR</v>
      </c>
      <c r="E76" s="1388" t="str">
        <f>'IPCS Data'!P32</f>
        <v>ARCHITECTURAL</v>
      </c>
      <c r="F76" s="750"/>
      <c r="G76" s="1636">
        <v>1</v>
      </c>
      <c r="H76" s="1192"/>
    </row>
    <row r="77" spans="1:15" x14ac:dyDescent="0.3">
      <c r="A77" s="1388" t="str">
        <f t="shared" si="15"/>
        <v>4</v>
      </c>
      <c r="B77" s="1389" t="str">
        <f t="shared" si="16"/>
        <v>B23672</v>
      </c>
      <c r="C77" s="1388" t="str">
        <f t="shared" si="17"/>
        <v>B23672.AU</v>
      </c>
      <c r="D77" s="1388" t="str">
        <f>'IPCS Data'!O33</f>
        <v>AU</v>
      </c>
      <c r="E77" s="1388" t="str">
        <f>'IPCS Data'!P33</f>
        <v>AUTHORITY ENGR / PERMITTING</v>
      </c>
      <c r="F77" s="750"/>
      <c r="G77" s="1636">
        <v>1</v>
      </c>
      <c r="H77" s="1192"/>
    </row>
    <row r="78" spans="1:15" x14ac:dyDescent="0.3">
      <c r="A78" s="1388" t="str">
        <f t="shared" si="15"/>
        <v>4</v>
      </c>
      <c r="B78" s="1389" t="str">
        <f t="shared" si="16"/>
        <v>B23672</v>
      </c>
      <c r="C78" s="1388" t="str">
        <f t="shared" si="17"/>
        <v>B23672.AV</v>
      </c>
      <c r="D78" s="1388" t="str">
        <f>'IPCS Data'!O34</f>
        <v>AV</v>
      </c>
      <c r="E78" s="1388" t="str">
        <f>'IPCS Data'!P34</f>
        <v>AVIATION ENGR</v>
      </c>
      <c r="F78" s="750"/>
      <c r="G78" s="1636">
        <v>1</v>
      </c>
      <c r="H78" s="1192"/>
    </row>
    <row r="79" spans="1:15" x14ac:dyDescent="0.3">
      <c r="A79" s="1388" t="str">
        <f t="shared" si="15"/>
        <v>4</v>
      </c>
      <c r="B79" s="1389" t="str">
        <f t="shared" si="16"/>
        <v>B23672</v>
      </c>
      <c r="C79" s="1388" t="str">
        <f t="shared" si="17"/>
        <v>B23672.BA</v>
      </c>
      <c r="D79" s="1388" t="str">
        <f>'IPCS Data'!O35</f>
        <v>BA</v>
      </c>
      <c r="E79" s="1388" t="str">
        <f>'IPCS Data'!P35</f>
        <v>BLDG AUTOMATION</v>
      </c>
      <c r="F79" s="750"/>
      <c r="G79" s="1636">
        <v>1</v>
      </c>
      <c r="H79" s="1192"/>
    </row>
    <row r="80" spans="1:15" x14ac:dyDescent="0.3">
      <c r="A80" s="1388" t="str">
        <f t="shared" si="15"/>
        <v>4</v>
      </c>
      <c r="B80" s="1389" t="str">
        <f t="shared" si="16"/>
        <v>B23672</v>
      </c>
      <c r="C80" s="1388" t="str">
        <f t="shared" si="17"/>
        <v>B23672.CI</v>
      </c>
      <c r="D80" s="1388" t="str">
        <f>'IPCS Data'!O36</f>
        <v>CI</v>
      </c>
      <c r="E80" s="1388" t="str">
        <f>'IPCS Data'!P36</f>
        <v xml:space="preserve">CIVIL </v>
      </c>
      <c r="F80" s="750"/>
      <c r="G80" s="1636">
        <v>1</v>
      </c>
      <c r="H80" s="1192"/>
    </row>
    <row r="81" spans="1:8" x14ac:dyDescent="0.3">
      <c r="A81" s="1388" t="str">
        <f t="shared" si="15"/>
        <v>4</v>
      </c>
      <c r="B81" s="1389" t="str">
        <f t="shared" si="16"/>
        <v>B23672</v>
      </c>
      <c r="C81" s="1388" t="str">
        <f t="shared" si="17"/>
        <v>B23672.EF</v>
      </c>
      <c r="D81" s="1388" t="str">
        <f>'IPCS Data'!O37</f>
        <v>EF</v>
      </c>
      <c r="E81" s="1388" t="str">
        <f>'IPCS Data'!P37</f>
        <v>ENERGY EFFICIENCY</v>
      </c>
      <c r="F81" s="750"/>
      <c r="G81" s="1636">
        <v>1</v>
      </c>
      <c r="H81" s="1192"/>
    </row>
    <row r="82" spans="1:8" x14ac:dyDescent="0.3">
      <c r="A82" s="1388" t="str">
        <f t="shared" si="15"/>
        <v>4</v>
      </c>
      <c r="B82" s="1389" t="str">
        <f t="shared" si="16"/>
        <v>B23672</v>
      </c>
      <c r="C82" s="1388" t="str">
        <f t="shared" si="17"/>
        <v>B23672.EL</v>
      </c>
      <c r="D82" s="1388" t="str">
        <f>'IPCS Data'!O38</f>
        <v>EL</v>
      </c>
      <c r="E82" s="1388" t="str">
        <f>'IPCS Data'!P38</f>
        <v>ELECTRICAL</v>
      </c>
      <c r="F82" s="750"/>
      <c r="G82" s="1636">
        <v>1</v>
      </c>
      <c r="H82" s="1192"/>
    </row>
    <row r="83" spans="1:8" x14ac:dyDescent="0.3">
      <c r="A83" s="1388" t="str">
        <f t="shared" si="15"/>
        <v>4</v>
      </c>
      <c r="B83" s="1389" t="str">
        <f t="shared" si="16"/>
        <v>B23672</v>
      </c>
      <c r="C83" s="1388" t="str">
        <f t="shared" si="17"/>
        <v>B23672.EQ</v>
      </c>
      <c r="D83" s="1388" t="str">
        <f>'IPCS Data'!O39</f>
        <v>EQ</v>
      </c>
      <c r="E83" s="1388" t="str">
        <f>'IPCS Data'!P39</f>
        <v>MECH EQUIP</v>
      </c>
      <c r="F83" s="750"/>
      <c r="G83" s="1636">
        <v>1</v>
      </c>
      <c r="H83" s="1192"/>
    </row>
    <row r="84" spans="1:8" x14ac:dyDescent="0.3">
      <c r="A84" s="1388" t="str">
        <f t="shared" si="15"/>
        <v>4</v>
      </c>
      <c r="B84" s="1389" t="str">
        <f t="shared" si="16"/>
        <v>B23672</v>
      </c>
      <c r="C84" s="1388" t="str">
        <f t="shared" si="17"/>
        <v>B23672.EV</v>
      </c>
      <c r="D84" s="1388" t="str">
        <f>'IPCS Data'!O40</f>
        <v>EV</v>
      </c>
      <c r="E84" s="1388" t="str">
        <f>'IPCS Data'!P40</f>
        <v>ENVIRONMENTAL</v>
      </c>
      <c r="F84" s="750"/>
      <c r="G84" s="1636">
        <v>1</v>
      </c>
      <c r="H84" s="1192"/>
    </row>
    <row r="85" spans="1:8" x14ac:dyDescent="0.3">
      <c r="A85" s="1388" t="str">
        <f t="shared" si="15"/>
        <v>4</v>
      </c>
      <c r="B85" s="1389" t="str">
        <f t="shared" si="16"/>
        <v>B23672</v>
      </c>
      <c r="C85" s="1388" t="str">
        <f t="shared" si="17"/>
        <v>B23672.FC</v>
      </c>
      <c r="D85" s="1388" t="str">
        <f>'IPCS Data'!O41</f>
        <v>FC</v>
      </c>
      <c r="E85" s="1388" t="str">
        <f>'IPCS Data'!P41</f>
        <v>FACILITIES PLANNING</v>
      </c>
      <c r="F85" s="750"/>
      <c r="G85" s="1636">
        <v>1</v>
      </c>
      <c r="H85" s="1192"/>
    </row>
    <row r="86" spans="1:8" x14ac:dyDescent="0.3">
      <c r="A86" s="1388" t="str">
        <f t="shared" si="15"/>
        <v>4</v>
      </c>
      <c r="B86" s="1389" t="str">
        <f t="shared" si="16"/>
        <v>B23672</v>
      </c>
      <c r="C86" s="1388" t="str">
        <f t="shared" si="17"/>
        <v>B23672.FP</v>
      </c>
      <c r="D86" s="1388" t="str">
        <f>'IPCS Data'!O42</f>
        <v>FP</v>
      </c>
      <c r="E86" s="1388" t="str">
        <f>'IPCS Data'!P42</f>
        <v>FIRE PROTECTION</v>
      </c>
      <c r="F86" s="750"/>
      <c r="G86" s="1636">
        <v>1</v>
      </c>
      <c r="H86" s="1192"/>
    </row>
    <row r="87" spans="1:8" x14ac:dyDescent="0.3">
      <c r="A87" s="1388" t="str">
        <f t="shared" si="15"/>
        <v>4</v>
      </c>
      <c r="B87" s="1389" t="str">
        <f t="shared" si="16"/>
        <v>B23672</v>
      </c>
      <c r="C87" s="1388" t="str">
        <f t="shared" si="17"/>
        <v>B23672.GT</v>
      </c>
      <c r="D87" s="1388" t="str">
        <f>'IPCS Data'!O43</f>
        <v>GT</v>
      </c>
      <c r="E87" s="1388" t="str">
        <f>'IPCS Data'!P43</f>
        <v>GEOTECH ENGR</v>
      </c>
      <c r="F87" s="750"/>
      <c r="G87" s="1636">
        <v>1</v>
      </c>
      <c r="H87" s="1192"/>
    </row>
    <row r="88" spans="1:8" x14ac:dyDescent="0.3">
      <c r="A88" s="1388" t="str">
        <f t="shared" si="15"/>
        <v>4</v>
      </c>
      <c r="B88" s="1389" t="str">
        <f t="shared" si="16"/>
        <v>B23672</v>
      </c>
      <c r="C88" s="1388" t="str">
        <f t="shared" si="17"/>
        <v>B23672.HE</v>
      </c>
      <c r="D88" s="1388" t="str">
        <f>'IPCS Data'!O44</f>
        <v>HE</v>
      </c>
      <c r="E88" s="1388" t="str">
        <f>'IPCS Data'!P44</f>
        <v>HYDRAULIC ENGR</v>
      </c>
      <c r="F88" s="750"/>
      <c r="G88" s="1636">
        <v>1</v>
      </c>
      <c r="H88" s="1192"/>
    </row>
    <row r="89" spans="1:8" x14ac:dyDescent="0.3">
      <c r="A89" s="1388" t="str">
        <f t="shared" si="15"/>
        <v>4</v>
      </c>
      <c r="B89" s="1389" t="str">
        <f t="shared" si="16"/>
        <v>B23672</v>
      </c>
      <c r="C89" s="1388" t="str">
        <f t="shared" si="17"/>
        <v>B23672.HV</v>
      </c>
      <c r="D89" s="1388" t="str">
        <f>'IPCS Data'!O45</f>
        <v>HV</v>
      </c>
      <c r="E89" s="1388" t="str">
        <f>'IPCS Data'!P45</f>
        <v>HVAC</v>
      </c>
      <c r="F89" s="750"/>
      <c r="G89" s="1636">
        <v>1</v>
      </c>
      <c r="H89" s="1192"/>
    </row>
    <row r="90" spans="1:8" x14ac:dyDescent="0.3">
      <c r="A90" s="1388" t="str">
        <f t="shared" si="15"/>
        <v>4</v>
      </c>
      <c r="B90" s="1389" t="str">
        <f t="shared" si="16"/>
        <v>B23672</v>
      </c>
      <c r="C90" s="1388" t="str">
        <f t="shared" si="17"/>
        <v>B23672.ID</v>
      </c>
      <c r="D90" s="1388" t="str">
        <f>'IPCS Data'!O46</f>
        <v>ID</v>
      </c>
      <c r="E90" s="1388" t="str">
        <f>'IPCS Data'!P46</f>
        <v>COMMERCIAL INT DESIGN</v>
      </c>
      <c r="F90" s="750"/>
      <c r="G90" s="1636">
        <v>1</v>
      </c>
      <c r="H90" s="1192"/>
    </row>
    <row r="91" spans="1:8" x14ac:dyDescent="0.3">
      <c r="A91" s="1388" t="str">
        <f t="shared" si="15"/>
        <v>4</v>
      </c>
      <c r="B91" s="1389" t="str">
        <f t="shared" si="16"/>
        <v>B23672</v>
      </c>
      <c r="C91" s="1388" t="str">
        <f t="shared" si="17"/>
        <v>B23672.IN</v>
      </c>
      <c r="D91" s="1388" t="str">
        <f>'IPCS Data'!O47</f>
        <v>IN</v>
      </c>
      <c r="E91" s="1388" t="str">
        <f>'IPCS Data'!P47</f>
        <v>INSTR &amp; CONTROL SYS</v>
      </c>
      <c r="F91" s="750"/>
      <c r="G91" s="1636">
        <v>1</v>
      </c>
      <c r="H91" s="1192"/>
    </row>
    <row r="92" spans="1:8" x14ac:dyDescent="0.3">
      <c r="A92" s="1388" t="str">
        <f t="shared" si="15"/>
        <v>4</v>
      </c>
      <c r="B92" s="1389" t="str">
        <f t="shared" si="16"/>
        <v>B23672</v>
      </c>
      <c r="C92" s="1388" t="str">
        <f t="shared" si="17"/>
        <v>B23672.JP</v>
      </c>
      <c r="D92" s="1388" t="str">
        <f>'IPCS Data'!O48</f>
        <v>JP</v>
      </c>
      <c r="E92" s="1388" t="str">
        <f>'IPCS Data'!P48</f>
        <v>JPRO</v>
      </c>
      <c r="F92" s="750"/>
      <c r="G92" s="1636">
        <v>1</v>
      </c>
      <c r="H92" s="1192"/>
    </row>
    <row r="93" spans="1:8" x14ac:dyDescent="0.3">
      <c r="A93" s="1388" t="str">
        <f t="shared" si="15"/>
        <v>4</v>
      </c>
      <c r="B93" s="1389" t="str">
        <f t="shared" si="16"/>
        <v>B23672</v>
      </c>
      <c r="C93" s="1388" t="str">
        <f t="shared" si="17"/>
        <v>B23672.LA</v>
      </c>
      <c r="D93" s="1388" t="str">
        <f>'IPCS Data'!O49</f>
        <v>LA</v>
      </c>
      <c r="E93" s="1388" t="str">
        <f>'IPCS Data'!P49</f>
        <v>LANDSCAPE</v>
      </c>
      <c r="F93" s="750"/>
      <c r="G93" s="1636">
        <v>1</v>
      </c>
      <c r="H93" s="1192"/>
    </row>
    <row r="94" spans="1:8" x14ac:dyDescent="0.3">
      <c r="A94" s="1388" t="str">
        <f t="shared" si="15"/>
        <v>4</v>
      </c>
      <c r="B94" s="1389" t="str">
        <f t="shared" si="16"/>
        <v>B23672</v>
      </c>
      <c r="C94" s="1388" t="str">
        <f t="shared" si="17"/>
        <v>B23672.LT</v>
      </c>
      <c r="D94" s="1388" t="str">
        <f>'IPCS Data'!O50</f>
        <v>LT</v>
      </c>
      <c r="E94" s="1388" t="str">
        <f>'IPCS Data'!P50</f>
        <v>LAB/TECHNOLOGY/ACTIVITIES</v>
      </c>
      <c r="F94" s="750"/>
      <c r="G94" s="1636">
        <v>1</v>
      </c>
      <c r="H94" s="1192"/>
    </row>
    <row r="95" spans="1:8" x14ac:dyDescent="0.3">
      <c r="A95" s="1388" t="str">
        <f t="shared" si="15"/>
        <v>4</v>
      </c>
      <c r="B95" s="1389" t="str">
        <f t="shared" si="16"/>
        <v>B23672</v>
      </c>
      <c r="C95" s="1388" t="str">
        <f t="shared" si="17"/>
        <v>B23672.MA</v>
      </c>
      <c r="D95" s="1388" t="str">
        <f>'IPCS Data'!O51</f>
        <v>MA</v>
      </c>
      <c r="E95" s="1388" t="str">
        <f>'IPCS Data'!P51</f>
        <v>MARINE</v>
      </c>
      <c r="F95" s="750"/>
      <c r="G95" s="1636">
        <v>1</v>
      </c>
      <c r="H95" s="1192"/>
    </row>
    <row r="96" spans="1:8" x14ac:dyDescent="0.3">
      <c r="A96" s="1388" t="str">
        <f t="shared" si="15"/>
        <v>4</v>
      </c>
      <c r="B96" s="1389" t="str">
        <f t="shared" si="16"/>
        <v>B23672</v>
      </c>
      <c r="C96" s="1388" t="str">
        <f t="shared" si="17"/>
        <v>B23672.MD</v>
      </c>
      <c r="D96" s="1388" t="str">
        <f>'IPCS Data'!O52</f>
        <v>MD</v>
      </c>
      <c r="E96" s="1388" t="str">
        <f>'IPCS Data'!P52</f>
        <v>MACHINE DESIGN</v>
      </c>
      <c r="F96" s="750"/>
      <c r="G96" s="1636">
        <v>1</v>
      </c>
      <c r="H96" s="1192"/>
    </row>
    <row r="97" spans="1:15" x14ac:dyDescent="0.3">
      <c r="A97" s="1388" t="str">
        <f t="shared" si="15"/>
        <v>4</v>
      </c>
      <c r="B97" s="1389" t="str">
        <f t="shared" si="16"/>
        <v>B23672</v>
      </c>
      <c r="C97" s="1388" t="str">
        <f t="shared" si="17"/>
        <v>B23672.ME</v>
      </c>
      <c r="D97" s="1388" t="str">
        <f>'IPCS Data'!O53</f>
        <v>ME</v>
      </c>
      <c r="E97" s="1388" t="str">
        <f>'IPCS Data'!P53</f>
        <v>MECH SERV</v>
      </c>
      <c r="F97" s="750"/>
      <c r="G97" s="1636">
        <v>1</v>
      </c>
      <c r="H97" s="1192"/>
    </row>
    <row r="98" spans="1:15" x14ac:dyDescent="0.3">
      <c r="A98" s="1388" t="str">
        <f t="shared" si="15"/>
        <v>4</v>
      </c>
      <c r="B98" s="1389" t="str">
        <f t="shared" si="16"/>
        <v>B23672</v>
      </c>
      <c r="C98" s="1388" t="str">
        <f t="shared" si="17"/>
        <v>B23672.MM</v>
      </c>
      <c r="D98" s="1388" t="str">
        <f>'IPCS Data'!O54</f>
        <v>MM</v>
      </c>
      <c r="E98" s="1388" t="str">
        <f>'IPCS Data'!P54</f>
        <v>MINING ENGR</v>
      </c>
      <c r="F98" s="750"/>
      <c r="G98" s="1636">
        <v>1</v>
      </c>
      <c r="H98" s="1192"/>
    </row>
    <row r="99" spans="1:15" x14ac:dyDescent="0.3">
      <c r="A99" s="1388" t="str">
        <f t="shared" si="15"/>
        <v>4</v>
      </c>
      <c r="B99" s="1389" t="str">
        <f t="shared" si="16"/>
        <v>B23672</v>
      </c>
      <c r="C99" s="1388" t="str">
        <f t="shared" si="17"/>
        <v>B23672.OE</v>
      </c>
      <c r="D99" s="1388" t="str">
        <f>'IPCS Data'!O55</f>
        <v>OE</v>
      </c>
      <c r="E99" s="1388" t="str">
        <f>'IPCS Data'!P55</f>
        <v>OTHER ENGR</v>
      </c>
      <c r="F99" s="750"/>
      <c r="G99" s="1636">
        <v>1</v>
      </c>
      <c r="H99" s="1192"/>
    </row>
    <row r="100" spans="1:15" x14ac:dyDescent="0.3">
      <c r="A100" s="1388" t="str">
        <f t="shared" si="15"/>
        <v>4</v>
      </c>
      <c r="B100" s="1389" t="str">
        <f t="shared" si="16"/>
        <v>B23672</v>
      </c>
      <c r="C100" s="1388" t="str">
        <f t="shared" si="17"/>
        <v>B23672.PI</v>
      </c>
      <c r="D100" s="1388" t="str">
        <f>'IPCS Data'!O56</f>
        <v>PI</v>
      </c>
      <c r="E100" s="1388" t="str">
        <f>'IPCS Data'!P56</f>
        <v xml:space="preserve">PIPING </v>
      </c>
      <c r="F100" s="750"/>
      <c r="G100" s="1636">
        <v>1</v>
      </c>
      <c r="H100" s="1192"/>
    </row>
    <row r="101" spans="1:15" x14ac:dyDescent="0.3">
      <c r="A101" s="1388" t="str">
        <f t="shared" si="15"/>
        <v>4</v>
      </c>
      <c r="B101" s="1389" t="str">
        <f t="shared" si="16"/>
        <v>B23672</v>
      </c>
      <c r="C101" s="1388" t="str">
        <f t="shared" si="17"/>
        <v>B23672.PK</v>
      </c>
      <c r="D101" s="1388" t="str">
        <f>'IPCS Data'!O57</f>
        <v>PK</v>
      </c>
      <c r="E101" s="1388" t="str">
        <f>'IPCS Data'!P57</f>
        <v>PACKAGING</v>
      </c>
      <c r="F101" s="750"/>
      <c r="G101" s="1636">
        <v>1</v>
      </c>
      <c r="H101" s="1192"/>
    </row>
    <row r="102" spans="1:15" x14ac:dyDescent="0.3">
      <c r="A102" s="1388" t="str">
        <f t="shared" si="15"/>
        <v>4</v>
      </c>
      <c r="B102" s="1389" t="str">
        <f t="shared" si="16"/>
        <v>B23672</v>
      </c>
      <c r="C102" s="1388" t="str">
        <f t="shared" si="17"/>
        <v>B23672.PL</v>
      </c>
      <c r="D102" s="1388" t="str">
        <f>'IPCS Data'!O58</f>
        <v>PL</v>
      </c>
      <c r="E102" s="1388" t="str">
        <f>'IPCS Data'!P58</f>
        <v>PLUMBING</v>
      </c>
      <c r="F102" s="750"/>
      <c r="G102" s="1636">
        <v>1</v>
      </c>
      <c r="H102" s="1192"/>
    </row>
    <row r="103" spans="1:15" x14ac:dyDescent="0.3">
      <c r="A103" s="1388" t="str">
        <f t="shared" si="15"/>
        <v>4</v>
      </c>
      <c r="B103" s="1389" t="str">
        <f t="shared" si="16"/>
        <v>B23672</v>
      </c>
      <c r="C103" s="1388" t="str">
        <f t="shared" si="17"/>
        <v>B23672.PN</v>
      </c>
      <c r="D103" s="1388" t="str">
        <f>'IPCS Data'!O59</f>
        <v>PN</v>
      </c>
      <c r="E103" s="1388" t="str">
        <f>'IPCS Data'!P59</f>
        <v>PIPING MECH</v>
      </c>
      <c r="F103" s="750"/>
      <c r="G103" s="1636">
        <v>1</v>
      </c>
      <c r="H103" s="1192"/>
    </row>
    <row r="104" spans="1:15" x14ac:dyDescent="0.3">
      <c r="A104" s="1388" t="str">
        <f t="shared" si="15"/>
        <v>4</v>
      </c>
      <c r="B104" s="1389" t="str">
        <f t="shared" si="16"/>
        <v>B23672</v>
      </c>
      <c r="C104" s="1388" t="str">
        <f t="shared" si="17"/>
        <v>B23672.PR</v>
      </c>
      <c r="D104" s="1388" t="str">
        <f>'IPCS Data'!O60</f>
        <v>PR</v>
      </c>
      <c r="E104" s="1388" t="str">
        <f>'IPCS Data'!P60</f>
        <v>PROCESS</v>
      </c>
      <c r="F104" s="750"/>
      <c r="G104" s="1636">
        <v>1</v>
      </c>
      <c r="H104" s="1192"/>
    </row>
    <row r="105" spans="1:15" x14ac:dyDescent="0.3">
      <c r="A105" s="1388" t="str">
        <f t="shared" si="15"/>
        <v>4</v>
      </c>
      <c r="B105" s="1389" t="str">
        <f t="shared" si="16"/>
        <v>B23672</v>
      </c>
      <c r="C105" s="1388" t="str">
        <f t="shared" si="17"/>
        <v>B23672.PT</v>
      </c>
      <c r="D105" s="1388" t="str">
        <f>'IPCS Data'!O61</f>
        <v>PT</v>
      </c>
      <c r="E105" s="1388" t="str">
        <f>'IPCS Data'!P61</f>
        <v>PROJECT TECH (DTE/DTS/EDS/CAE)</v>
      </c>
      <c r="F105" s="750"/>
      <c r="G105" s="1636">
        <v>1</v>
      </c>
      <c r="H105" s="1192"/>
    </row>
    <row r="106" spans="1:15" x14ac:dyDescent="0.3">
      <c r="A106" s="1388" t="str">
        <f t="shared" si="15"/>
        <v>4</v>
      </c>
      <c r="B106" s="1389" t="str">
        <f t="shared" si="16"/>
        <v>B23672</v>
      </c>
      <c r="C106" s="1388" t="str">
        <f t="shared" si="17"/>
        <v>B23672.RA</v>
      </c>
      <c r="D106" s="1388" t="str">
        <f>'IPCS Data'!O62</f>
        <v>RA</v>
      </c>
      <c r="E106" s="1388" t="str">
        <f>'IPCS Data'!P62</f>
        <v>RAIL</v>
      </c>
      <c r="F106" s="750"/>
      <c r="G106" s="1636">
        <v>1</v>
      </c>
      <c r="H106" s="1192"/>
    </row>
    <row r="107" spans="1:15" x14ac:dyDescent="0.3">
      <c r="A107" s="1388" t="str">
        <f t="shared" si="15"/>
        <v>4</v>
      </c>
      <c r="B107" s="1389" t="str">
        <f t="shared" si="16"/>
        <v>B23672</v>
      </c>
      <c r="C107" s="1388" t="str">
        <f t="shared" si="17"/>
        <v>B23672.SE</v>
      </c>
      <c r="D107" s="1388" t="str">
        <f>'IPCS Data'!O63</f>
        <v>SE</v>
      </c>
      <c r="E107" s="1388" t="str">
        <f>'IPCS Data'!P63</f>
        <v>PROCESS SAFETY</v>
      </c>
      <c r="F107" s="750"/>
      <c r="G107" s="1636">
        <v>1</v>
      </c>
      <c r="H107" s="1192"/>
    </row>
    <row r="108" spans="1:15" x14ac:dyDescent="0.3">
      <c r="A108" s="1388" t="str">
        <f t="shared" si="15"/>
        <v>4</v>
      </c>
      <c r="B108" s="1389" t="str">
        <f t="shared" si="16"/>
        <v>B23672</v>
      </c>
      <c r="C108" s="1388" t="str">
        <f t="shared" si="17"/>
        <v>B23672.SI</v>
      </c>
      <c r="D108" s="1388" t="str">
        <f>'IPCS Data'!O64</f>
        <v>SI</v>
      </c>
      <c r="E108" s="1388" t="str">
        <f>'IPCS Data'!P64</f>
        <v>AUTOMATION / SYS INTEGRATION</v>
      </c>
      <c r="F108" s="750"/>
      <c r="G108" s="1636">
        <v>1</v>
      </c>
      <c r="H108" s="1192"/>
    </row>
    <row r="109" spans="1:15" x14ac:dyDescent="0.3">
      <c r="A109" s="1388" t="str">
        <f t="shared" si="15"/>
        <v>4</v>
      </c>
      <c r="B109" s="1389" t="str">
        <f t="shared" si="16"/>
        <v>B23672</v>
      </c>
      <c r="C109" s="1388" t="str">
        <f t="shared" si="17"/>
        <v>B23672.ST</v>
      </c>
      <c r="D109" s="1388" t="str">
        <f>'IPCS Data'!O65</f>
        <v>ST</v>
      </c>
      <c r="E109" s="1388" t="str">
        <f>'IPCS Data'!P65</f>
        <v>STRUCTURAL</v>
      </c>
      <c r="F109" s="750"/>
      <c r="G109" s="1636">
        <v>1</v>
      </c>
      <c r="H109" s="1192"/>
    </row>
    <row r="110" spans="1:15" x14ac:dyDescent="0.3">
      <c r="A110" s="1388" t="str">
        <f t="shared" ref="A110:A111" si="21">IF(G110=1,TEXT(4,"0"),TEXT(0,"0"))</f>
        <v>4</v>
      </c>
      <c r="B110" s="1389" t="str">
        <f t="shared" ref="B110:B111" si="22">IF(G110=1,$B$2,TEXT(0,"0"))</f>
        <v>B23672</v>
      </c>
      <c r="C110" s="1388" t="str">
        <f t="shared" ref="C110:C111" si="23">IF(G110,$B$2&amp;"."&amp;D110,TEXT(0,"0"))</f>
        <v>B23672.TE</v>
      </c>
      <c r="D110" s="1388" t="str">
        <f>'IPCS Data'!O66</f>
        <v>TE</v>
      </c>
      <c r="E110" s="1388" t="str">
        <f>'IPCS Data'!P66</f>
        <v>TRANSPORT ENGR / PLANNING</v>
      </c>
      <c r="F110" s="750"/>
      <c r="G110" s="1636">
        <v>1</v>
      </c>
      <c r="H110" s="1192"/>
      <c r="I110" s="1356"/>
      <c r="J110" s="1356"/>
      <c r="K110" s="1356"/>
      <c r="L110" s="1356"/>
      <c r="M110" s="1356"/>
      <c r="N110" s="1356"/>
      <c r="O110" s="1356"/>
    </row>
    <row r="111" spans="1:15" x14ac:dyDescent="0.3">
      <c r="A111" s="1388" t="str">
        <f t="shared" si="21"/>
        <v>4</v>
      </c>
      <c r="B111" s="1389" t="str">
        <f t="shared" si="22"/>
        <v>B23672</v>
      </c>
      <c r="C111" s="1388" t="str">
        <f t="shared" si="23"/>
        <v>B23672.VD</v>
      </c>
      <c r="D111" s="1388" t="str">
        <f>'IPCS Data'!O67</f>
        <v>VD</v>
      </c>
      <c r="E111" s="1388" t="str">
        <f>'IPCS Data'!P67</f>
        <v>TELECOM DATA &amp; SECURITY</v>
      </c>
      <c r="F111" s="750"/>
      <c r="G111" s="1636">
        <v>1</v>
      </c>
      <c r="H111" s="1192"/>
      <c r="I111" s="1356"/>
      <c r="J111" s="1356"/>
      <c r="K111" s="1356"/>
      <c r="L111" s="1356"/>
      <c r="M111" s="1356"/>
      <c r="N111" s="1356"/>
      <c r="O111" s="1356"/>
    </row>
    <row r="112" spans="1:15" x14ac:dyDescent="0.3">
      <c r="A112" s="1388" t="str">
        <f t="shared" si="15"/>
        <v>0</v>
      </c>
      <c r="B112" s="1389" t="str">
        <f t="shared" si="16"/>
        <v>0</v>
      </c>
      <c r="C112" s="1388" t="str">
        <f t="shared" si="17"/>
        <v>0</v>
      </c>
      <c r="D112" s="1388" t="str">
        <f>'IPCS Data'!O68</f>
        <v>02  Procurement</v>
      </c>
      <c r="E112" s="1388"/>
      <c r="F112" s="750"/>
      <c r="G112" s="758">
        <f>IF(AND(NOT(ISERROR(MATCH(D112,'5  Control Accounts'!$EJ$29:$EJ$96,0))),E112&gt;0),1,0)</f>
        <v>0</v>
      </c>
      <c r="H112" s="1192"/>
    </row>
    <row r="113" spans="1:15" x14ac:dyDescent="0.3">
      <c r="A113" s="1388" t="str">
        <f t="shared" si="15"/>
        <v>4</v>
      </c>
      <c r="B113" s="1389" t="str">
        <f t="shared" si="16"/>
        <v>B23672</v>
      </c>
      <c r="C113" s="1388" t="str">
        <f t="shared" si="17"/>
        <v>B23672.ET</v>
      </c>
      <c r="D113" s="1388" t="str">
        <f>'IPCS Data'!O69</f>
        <v>ET</v>
      </c>
      <c r="E113" s="1388" t="str">
        <f>'IPCS Data'!P69</f>
        <v xml:space="preserve">INSPECTION / TESTING </v>
      </c>
      <c r="F113" s="750"/>
      <c r="G113" s="1636">
        <v>1</v>
      </c>
      <c r="H113" s="1192"/>
    </row>
    <row r="114" spans="1:15" x14ac:dyDescent="0.3">
      <c r="A114" s="1388" t="str">
        <f t="shared" si="15"/>
        <v>4</v>
      </c>
      <c r="B114" s="1389" t="str">
        <f t="shared" si="16"/>
        <v>B23672</v>
      </c>
      <c r="C114" s="1388" t="str">
        <f t="shared" si="17"/>
        <v>B23672.EX</v>
      </c>
      <c r="D114" s="1388" t="str">
        <f>'IPCS Data'!O70</f>
        <v>EX</v>
      </c>
      <c r="E114" s="1388" t="str">
        <f>'IPCS Data'!P70</f>
        <v>EXPEDITING</v>
      </c>
      <c r="F114" s="750"/>
      <c r="G114" s="1636">
        <v>1</v>
      </c>
      <c r="H114" s="1192"/>
    </row>
    <row r="115" spans="1:15" x14ac:dyDescent="0.3">
      <c r="A115" s="1388" t="str">
        <f t="shared" si="15"/>
        <v>4</v>
      </c>
      <c r="B115" s="1389" t="str">
        <f t="shared" si="16"/>
        <v>B23672</v>
      </c>
      <c r="C115" s="1388" t="str">
        <f t="shared" si="17"/>
        <v>B23672.LO</v>
      </c>
      <c r="D115" s="1388" t="str">
        <f>'IPCS Data'!O71</f>
        <v>LO</v>
      </c>
      <c r="E115" s="1388" t="str">
        <f>'IPCS Data'!P71</f>
        <v>SHIPPING &amp; LOGISTICS</v>
      </c>
      <c r="F115" s="750"/>
      <c r="G115" s="1636">
        <v>1</v>
      </c>
      <c r="H115" s="1192"/>
    </row>
    <row r="116" spans="1:15" x14ac:dyDescent="0.3">
      <c r="A116" s="1388" t="str">
        <f t="shared" si="15"/>
        <v>4</v>
      </c>
      <c r="B116" s="1389" t="str">
        <f t="shared" si="16"/>
        <v>B23672</v>
      </c>
      <c r="C116" s="1388" t="str">
        <f t="shared" si="17"/>
        <v>B23672.MC</v>
      </c>
      <c r="D116" s="1388" t="str">
        <f>'IPCS Data'!O72</f>
        <v>MC</v>
      </c>
      <c r="E116" s="1388" t="str">
        <f>'IPCS Data'!P72</f>
        <v>MATERIAL CONTROL</v>
      </c>
      <c r="F116" s="750"/>
      <c r="G116" s="1636">
        <v>1</v>
      </c>
      <c r="H116" s="1192"/>
    </row>
    <row r="117" spans="1:15" x14ac:dyDescent="0.3">
      <c r="A117" s="1388" t="str">
        <f t="shared" si="15"/>
        <v>4</v>
      </c>
      <c r="B117" s="1389" t="str">
        <f t="shared" si="16"/>
        <v>B23672</v>
      </c>
      <c r="C117" s="1388" t="str">
        <f t="shared" si="17"/>
        <v>B23672.OP</v>
      </c>
      <c r="D117" s="1388" t="str">
        <f>'IPCS Data'!O73</f>
        <v>OP</v>
      </c>
      <c r="E117" s="1388" t="str">
        <f>'IPCS Data'!P73</f>
        <v>OTHER PROCUREMENT</v>
      </c>
      <c r="F117" s="750"/>
      <c r="G117" s="1636">
        <v>1</v>
      </c>
      <c r="H117" s="1192"/>
    </row>
    <row r="118" spans="1:15" x14ac:dyDescent="0.3">
      <c r="A118" s="1388" t="str">
        <f t="shared" si="15"/>
        <v>4</v>
      </c>
      <c r="B118" s="1389" t="str">
        <f t="shared" si="16"/>
        <v>B23672</v>
      </c>
      <c r="C118" s="1388" t="str">
        <f t="shared" si="17"/>
        <v>B23672.PU</v>
      </c>
      <c r="D118" s="1388" t="str">
        <f>'IPCS Data'!O74</f>
        <v>PU</v>
      </c>
      <c r="E118" s="1388" t="str">
        <f>'IPCS Data'!P74</f>
        <v>PURCHASING</v>
      </c>
      <c r="F118" s="750"/>
      <c r="G118" s="1636">
        <v>1</v>
      </c>
      <c r="H118" s="1192"/>
    </row>
    <row r="119" spans="1:15" x14ac:dyDescent="0.3">
      <c r="A119" s="1388" t="str">
        <f t="shared" ref="A119" si="24">IF(G119=1,TEXT(4,"0"),TEXT(0,"0"))</f>
        <v>4</v>
      </c>
      <c r="B119" s="1389" t="str">
        <f t="shared" ref="B119" si="25">IF(G119=1,$B$2,TEXT(0,"0"))</f>
        <v>B23672</v>
      </c>
      <c r="C119" s="1388" t="str">
        <f t="shared" ref="C119" si="26">IF(G119,$B$2&amp;"."&amp;D119,TEXT(0,"0"))</f>
        <v>B23672.SM</v>
      </c>
      <c r="D119" s="1388" t="str">
        <f>'IPCS Data'!O75</f>
        <v>SM</v>
      </c>
      <c r="E119" s="1388" t="str">
        <f>'IPCS Data'!P75</f>
        <v>SUBCONTRACT MGMT</v>
      </c>
      <c r="F119" s="750"/>
      <c r="G119" s="1636">
        <v>1</v>
      </c>
      <c r="H119" s="1192"/>
      <c r="I119" s="1356"/>
      <c r="J119" s="1356"/>
      <c r="K119" s="1356"/>
      <c r="L119" s="1356"/>
      <c r="M119" s="1356"/>
      <c r="N119" s="1356"/>
      <c r="O119" s="1356"/>
    </row>
    <row r="120" spans="1:15" x14ac:dyDescent="0.3">
      <c r="A120" s="1388" t="str">
        <f t="shared" si="15"/>
        <v>0</v>
      </c>
      <c r="B120" s="1389" t="str">
        <f t="shared" si="16"/>
        <v>0</v>
      </c>
      <c r="C120" s="1388" t="str">
        <f t="shared" si="17"/>
        <v>0</v>
      </c>
      <c r="D120" s="1388" t="str">
        <f>'IPCS Data'!O76</f>
        <v>03  Construction</v>
      </c>
      <c r="E120" s="1388"/>
      <c r="F120" s="750"/>
      <c r="G120" s="758">
        <f>IF(AND(NOT(ISERROR(MATCH(D120,'5  Control Accounts'!$EJ$29:$EJ$96,0))),E120&gt;0),1,0)</f>
        <v>0</v>
      </c>
      <c r="H120" s="1192"/>
    </row>
    <row r="121" spans="1:15" x14ac:dyDescent="0.3">
      <c r="A121" s="1388" t="str">
        <f t="shared" si="15"/>
        <v>4</v>
      </c>
      <c r="B121" s="1389" t="str">
        <f t="shared" si="16"/>
        <v>B23672</v>
      </c>
      <c r="C121" s="1388" t="str">
        <f t="shared" si="17"/>
        <v>B23672.CM</v>
      </c>
      <c r="D121" s="1388" t="str">
        <f>'IPCS Data'!O77</f>
        <v>CM</v>
      </c>
      <c r="E121" s="1388" t="str">
        <f>'IPCS Data'!P77</f>
        <v>CONSTR MGMT</v>
      </c>
      <c r="F121" s="750"/>
      <c r="G121" s="1636">
        <v>1</v>
      </c>
      <c r="H121" s="1192"/>
    </row>
    <row r="122" spans="1:15" x14ac:dyDescent="0.3">
      <c r="A122" s="1388" t="str">
        <f t="shared" ref="A122:A153" si="27">IF(G122=1,TEXT(4,"0"),TEXT(0,"0"))</f>
        <v>4</v>
      </c>
      <c r="B122" s="1389" t="str">
        <f t="shared" ref="B122:B159" si="28">IF(G122=1,$B$2,TEXT(0,"0"))</f>
        <v>B23672</v>
      </c>
      <c r="C122" s="1388" t="str">
        <f t="shared" ref="C122:C159" si="29">IF(G122,$B$2&amp;"."&amp;D122,TEXT(0,"0"))</f>
        <v>B23672.CO</v>
      </c>
      <c r="D122" s="1388" t="str">
        <f>'IPCS Data'!O78</f>
        <v>CO</v>
      </c>
      <c r="E122" s="1388" t="str">
        <f>'IPCS Data'!P78</f>
        <v>COMMISSIONING &amp; START-UP</v>
      </c>
      <c r="F122" s="750"/>
      <c r="G122" s="1636">
        <v>1</v>
      </c>
      <c r="H122" s="1192"/>
    </row>
    <row r="123" spans="1:15" x14ac:dyDescent="0.3">
      <c r="A123" s="1388" t="str">
        <f t="shared" si="27"/>
        <v>4</v>
      </c>
      <c r="B123" s="1389" t="str">
        <f t="shared" si="28"/>
        <v>B23672</v>
      </c>
      <c r="C123" s="1388" t="str">
        <f t="shared" si="29"/>
        <v>B23672.FA</v>
      </c>
      <c r="D123" s="1388" t="str">
        <f>'IPCS Data'!O79</f>
        <v>FA</v>
      </c>
      <c r="E123" s="1388" t="str">
        <f>'IPCS Data'!P79</f>
        <v>FIELD ADMIN</v>
      </c>
      <c r="F123" s="750"/>
      <c r="G123" s="1636">
        <v>1</v>
      </c>
      <c r="H123" s="1192"/>
    </row>
    <row r="124" spans="1:15" x14ac:dyDescent="0.3">
      <c r="A124" s="1388" t="str">
        <f t="shared" si="27"/>
        <v>4</v>
      </c>
      <c r="B124" s="1389" t="str">
        <f t="shared" si="28"/>
        <v>B23672</v>
      </c>
      <c r="C124" s="1388" t="str">
        <f t="shared" si="29"/>
        <v>B23672.FE</v>
      </c>
      <c r="D124" s="1388" t="str">
        <f>'IPCS Data'!O80</f>
        <v>FE</v>
      </c>
      <c r="E124" s="1388" t="str">
        <f>'IPCS Data'!P80</f>
        <v>FIELD ENGR</v>
      </c>
      <c r="F124" s="750"/>
      <c r="G124" s="1636">
        <v>1</v>
      </c>
      <c r="H124" s="1192"/>
    </row>
    <row r="125" spans="1:15" x14ac:dyDescent="0.3">
      <c r="A125" s="1388" t="str">
        <f t="shared" si="27"/>
        <v>4</v>
      </c>
      <c r="B125" s="1389" t="str">
        <f t="shared" si="28"/>
        <v>B23672</v>
      </c>
      <c r="C125" s="1388" t="str">
        <f t="shared" si="29"/>
        <v>B23672.OC</v>
      </c>
      <c r="D125" s="1388" t="str">
        <f>'IPCS Data'!O81</f>
        <v>OC</v>
      </c>
      <c r="E125" s="1388" t="str">
        <f>'IPCS Data'!P81</f>
        <v>OTHER CONSTR</v>
      </c>
      <c r="F125" s="750"/>
      <c r="G125" s="1636">
        <v>1</v>
      </c>
      <c r="H125" s="1192"/>
    </row>
    <row r="126" spans="1:15" x14ac:dyDescent="0.3">
      <c r="A126" s="1388" t="str">
        <f t="shared" si="27"/>
        <v>4</v>
      </c>
      <c r="B126" s="1389" t="str">
        <f t="shared" si="28"/>
        <v>B23672</v>
      </c>
      <c r="C126" s="1388" t="str">
        <f t="shared" si="29"/>
        <v>B23672.QA</v>
      </c>
      <c r="D126" s="1388" t="str">
        <f>'IPCS Data'!O82</f>
        <v>QA</v>
      </c>
      <c r="E126" s="1388" t="str">
        <f>'IPCS Data'!P82</f>
        <v>QA/QC</v>
      </c>
      <c r="F126" s="750"/>
      <c r="G126" s="1636">
        <v>1</v>
      </c>
      <c r="H126" s="1192"/>
    </row>
    <row r="127" spans="1:15" x14ac:dyDescent="0.3">
      <c r="A127" s="1388" t="str">
        <f t="shared" si="27"/>
        <v>4</v>
      </c>
      <c r="B127" s="1389" t="str">
        <f t="shared" si="28"/>
        <v>B23672</v>
      </c>
      <c r="C127" s="1388" t="str">
        <f t="shared" si="29"/>
        <v>B23672.QS</v>
      </c>
      <c r="D127" s="1388" t="str">
        <f>'IPCS Data'!O83</f>
        <v>QS</v>
      </c>
      <c r="E127" s="1388" t="str">
        <f>'IPCS Data'!P83</f>
        <v>QUANTITY SURVEYING</v>
      </c>
      <c r="F127" s="750"/>
      <c r="G127" s="1636">
        <v>1</v>
      </c>
      <c r="H127" s="1192"/>
    </row>
    <row r="128" spans="1:15" x14ac:dyDescent="0.3">
      <c r="A128" s="1388" t="str">
        <f t="shared" si="27"/>
        <v>4</v>
      </c>
      <c r="B128" s="1389" t="str">
        <f t="shared" si="28"/>
        <v>B23672</v>
      </c>
      <c r="C128" s="1388" t="str">
        <f t="shared" si="29"/>
        <v>B23672.SU</v>
      </c>
      <c r="D128" s="1388" t="str">
        <f>'IPCS Data'!O84</f>
        <v>SU</v>
      </c>
      <c r="E128" s="1388" t="str">
        <f>'IPCS Data'!P84</f>
        <v>SUPERINTENDENT</v>
      </c>
      <c r="F128" s="750"/>
      <c r="G128" s="1636">
        <v>1</v>
      </c>
      <c r="H128" s="1192"/>
    </row>
    <row r="129" spans="1:15" x14ac:dyDescent="0.3">
      <c r="A129" s="1388" t="str">
        <f t="shared" si="27"/>
        <v>4</v>
      </c>
      <c r="B129" s="1389" t="str">
        <f t="shared" si="28"/>
        <v>B23672</v>
      </c>
      <c r="C129" s="1388" t="str">
        <f t="shared" si="29"/>
        <v>B23672.TF</v>
      </c>
      <c r="D129" s="1388" t="str">
        <f>'IPCS Data'!O85</f>
        <v>TF</v>
      </c>
      <c r="E129" s="1388" t="str">
        <f>'IPCS Data'!P85</f>
        <v>TECHNICAL FIELD SERVICES</v>
      </c>
      <c r="F129" s="750"/>
      <c r="G129" s="1636">
        <v>1</v>
      </c>
      <c r="H129" s="1192"/>
    </row>
    <row r="130" spans="1:15" x14ac:dyDescent="0.3">
      <c r="A130" s="1388" t="str">
        <f t="shared" si="27"/>
        <v>4</v>
      </c>
      <c r="B130" s="1389" t="str">
        <f t="shared" si="28"/>
        <v>B23672</v>
      </c>
      <c r="C130" s="1388" t="str">
        <f t="shared" si="29"/>
        <v>B23672.VQ</v>
      </c>
      <c r="D130" s="1388" t="str">
        <f>'IPCS Data'!O86</f>
        <v>VQ</v>
      </c>
      <c r="E130" s="1388" t="str">
        <f>'IPCS Data'!P86</f>
        <v>VALIDATION REG &amp; QUALIF</v>
      </c>
      <c r="F130" s="750"/>
      <c r="G130" s="1636">
        <v>1</v>
      </c>
      <c r="H130" s="1192"/>
    </row>
    <row r="131" spans="1:15" x14ac:dyDescent="0.3">
      <c r="A131" s="1388" t="str">
        <f t="shared" si="27"/>
        <v>0</v>
      </c>
      <c r="B131" s="1389" t="str">
        <f t="shared" si="28"/>
        <v>0</v>
      </c>
      <c r="C131" s="1388" t="str">
        <f t="shared" si="29"/>
        <v>0</v>
      </c>
      <c r="D131" s="1388" t="str">
        <f>'IPCS Data'!O87</f>
        <v>04  Project Services</v>
      </c>
      <c r="E131" s="1388">
        <f>'IPCS Data'!P87</f>
        <v>0</v>
      </c>
      <c r="F131" s="750"/>
      <c r="G131" s="758">
        <f>IF(AND(NOT(ISERROR(MATCH(D131,'5  Control Accounts'!$EJ$29:$EJ$96,0))),E131&gt;0),1,0)</f>
        <v>0</v>
      </c>
      <c r="H131" s="1192"/>
    </row>
    <row r="132" spans="1:15" x14ac:dyDescent="0.3">
      <c r="A132" s="1388" t="str">
        <f t="shared" si="27"/>
        <v>4</v>
      </c>
      <c r="B132" s="1389" t="str">
        <f t="shared" si="28"/>
        <v>B23672</v>
      </c>
      <c r="C132" s="1388" t="str">
        <f t="shared" si="29"/>
        <v>B23672.AS</v>
      </c>
      <c r="D132" s="1388" t="str">
        <f>'IPCS Data'!O88</f>
        <v>AS</v>
      </c>
      <c r="E132" s="1388" t="str">
        <f>'IPCS Data'!P88</f>
        <v>ACCOUNTING SERV</v>
      </c>
      <c r="F132" s="750"/>
      <c r="G132" s="1636">
        <v>1</v>
      </c>
      <c r="H132" s="1192"/>
    </row>
    <row r="133" spans="1:15" x14ac:dyDescent="0.3">
      <c r="A133" s="1388" t="str">
        <f t="shared" si="27"/>
        <v>4</v>
      </c>
      <c r="B133" s="1389" t="str">
        <f t="shared" si="28"/>
        <v>B23672</v>
      </c>
      <c r="C133" s="1388" t="str">
        <f t="shared" si="29"/>
        <v>B23672.BD</v>
      </c>
      <c r="D133" s="1388" t="str">
        <f>'IPCS Data'!O89</f>
        <v>BD</v>
      </c>
      <c r="E133" s="1388" t="str">
        <f>'IPCS Data'!P89</f>
        <v>BUSINESS DEV</v>
      </c>
      <c r="F133" s="750"/>
      <c r="G133" s="1636">
        <v>1</v>
      </c>
      <c r="H133" s="1192"/>
    </row>
    <row r="134" spans="1:15" x14ac:dyDescent="0.3">
      <c r="A134" s="1388" t="str">
        <f t="shared" si="27"/>
        <v>4</v>
      </c>
      <c r="B134" s="1389" t="str">
        <f t="shared" si="28"/>
        <v>B23672</v>
      </c>
      <c r="C134" s="1388" t="str">
        <f t="shared" si="29"/>
        <v>B23672.CE</v>
      </c>
      <c r="D134" s="1388" t="str">
        <f>'IPCS Data'!O90</f>
        <v>CE</v>
      </c>
      <c r="E134" s="1388" t="str">
        <f>'IPCS Data'!P90</f>
        <v>COST ENGR</v>
      </c>
      <c r="F134" s="750"/>
      <c r="G134" s="1636">
        <v>1</v>
      </c>
      <c r="H134" s="1192"/>
    </row>
    <row r="135" spans="1:15" x14ac:dyDescent="0.3">
      <c r="A135" s="1388" t="str">
        <f t="shared" si="27"/>
        <v>4</v>
      </c>
      <c r="B135" s="1389" t="str">
        <f t="shared" si="28"/>
        <v>B23672</v>
      </c>
      <c r="C135" s="1388" t="str">
        <f t="shared" si="29"/>
        <v>B23672.CN</v>
      </c>
      <c r="D135" s="1388" t="str">
        <f>'IPCS Data'!O91</f>
        <v>CN</v>
      </c>
      <c r="E135" s="1388" t="str">
        <f>'IPCS Data'!P91</f>
        <v>CONSTR HO SUPPORT</v>
      </c>
      <c r="F135" s="750"/>
      <c r="G135" s="1636">
        <v>1</v>
      </c>
      <c r="H135" s="1192"/>
    </row>
    <row r="136" spans="1:15" x14ac:dyDescent="0.3">
      <c r="A136" s="1388" t="str">
        <f t="shared" si="27"/>
        <v>4</v>
      </c>
      <c r="B136" s="1389" t="str">
        <f t="shared" si="28"/>
        <v>B23672</v>
      </c>
      <c r="C136" s="1388" t="str">
        <f t="shared" si="29"/>
        <v>B23672.DC</v>
      </c>
      <c r="D136" s="1388" t="str">
        <f>'IPCS Data'!O92</f>
        <v>DC</v>
      </c>
      <c r="E136" s="1388" t="str">
        <f>'IPCS Data'!P92</f>
        <v>DOCUMENT CONTROL</v>
      </c>
      <c r="F136" s="750"/>
      <c r="G136" s="1636">
        <v>1</v>
      </c>
      <c r="H136" s="1192"/>
    </row>
    <row r="137" spans="1:15" x14ac:dyDescent="0.3">
      <c r="A137" s="1388" t="str">
        <f t="shared" si="27"/>
        <v>4</v>
      </c>
      <c r="B137" s="1389" t="str">
        <f t="shared" si="28"/>
        <v>B23672</v>
      </c>
      <c r="C137" s="1388" t="str">
        <f t="shared" si="29"/>
        <v>B23672.ES</v>
      </c>
      <c r="D137" s="1388" t="str">
        <f>'IPCS Data'!O93</f>
        <v>ES</v>
      </c>
      <c r="E137" s="1388" t="str">
        <f>'IPCS Data'!P93</f>
        <v>ESTIMATING</v>
      </c>
      <c r="F137" s="750"/>
      <c r="G137" s="1636">
        <v>1</v>
      </c>
      <c r="H137" s="1192"/>
    </row>
    <row r="138" spans="1:15" x14ac:dyDescent="0.3">
      <c r="A138" s="1388" t="str">
        <f t="shared" si="27"/>
        <v>4</v>
      </c>
      <c r="B138" s="1389" t="str">
        <f t="shared" si="28"/>
        <v>B23672</v>
      </c>
      <c r="C138" s="1388" t="str">
        <f t="shared" si="29"/>
        <v>B23672.FS</v>
      </c>
      <c r="D138" s="1388" t="str">
        <f>'IPCS Data'!O94</f>
        <v>FS</v>
      </c>
      <c r="E138" s="1388" t="str">
        <f>'IPCS Data'!P94</f>
        <v>FACILITY SERV</v>
      </c>
      <c r="F138" s="750"/>
      <c r="G138" s="1636">
        <v>1</v>
      </c>
      <c r="H138" s="1192"/>
    </row>
    <row r="139" spans="1:15" x14ac:dyDescent="0.3">
      <c r="A139" s="1388" t="str">
        <f t="shared" si="27"/>
        <v>4</v>
      </c>
      <c r="B139" s="1389" t="str">
        <f t="shared" si="28"/>
        <v>B23672</v>
      </c>
      <c r="C139" s="1388" t="str">
        <f t="shared" si="29"/>
        <v>B23672.HR</v>
      </c>
      <c r="D139" s="1388" t="str">
        <f>'IPCS Data'!O95</f>
        <v>HR</v>
      </c>
      <c r="E139" s="1388" t="str">
        <f>'IPCS Data'!P95</f>
        <v>HUMAN RESOURCES</v>
      </c>
      <c r="F139" s="750"/>
      <c r="G139" s="1636">
        <v>1</v>
      </c>
      <c r="H139" s="1192"/>
    </row>
    <row r="140" spans="1:15" x14ac:dyDescent="0.3">
      <c r="A140" s="1388" t="str">
        <f t="shared" ref="A140" si="30">IF(G140=1,TEXT(4,"0"),TEXT(0,"0"))</f>
        <v>4</v>
      </c>
      <c r="B140" s="1389" t="str">
        <f t="shared" ref="B140" si="31">IF(G140=1,$B$2,TEXT(0,"0"))</f>
        <v>B23672</v>
      </c>
      <c r="C140" s="1388" t="str">
        <f t="shared" ref="C140" si="32">IF(G140,$B$2&amp;"."&amp;D140,TEXT(0,"0"))</f>
        <v>B23672.IM</v>
      </c>
      <c r="D140" s="1388" t="str">
        <f>'IPCS Data'!O96</f>
        <v>IM</v>
      </c>
      <c r="E140" s="1388" t="str">
        <f>'IPCS Data'!P96</f>
        <v>INFORMATION MGMT</v>
      </c>
      <c r="F140" s="750"/>
      <c r="G140" s="1636">
        <v>1</v>
      </c>
      <c r="H140" s="1192"/>
      <c r="I140" s="1356"/>
      <c r="J140" s="1356"/>
      <c r="K140" s="1356"/>
      <c r="L140" s="1356"/>
      <c r="M140" s="1356"/>
      <c r="N140" s="1356"/>
      <c r="O140" s="1356"/>
    </row>
    <row r="141" spans="1:15" x14ac:dyDescent="0.3">
      <c r="A141" s="1388" t="str">
        <f t="shared" si="27"/>
        <v>4</v>
      </c>
      <c r="B141" s="1389" t="str">
        <f t="shared" si="28"/>
        <v>B23672</v>
      </c>
      <c r="C141" s="1388" t="str">
        <f t="shared" si="29"/>
        <v>B23672.IT</v>
      </c>
      <c r="D141" s="1388" t="str">
        <f>'IPCS Data'!O97</f>
        <v>IT</v>
      </c>
      <c r="E141" s="1388" t="str">
        <f>'IPCS Data'!P97</f>
        <v>INFORMATION TECH</v>
      </c>
      <c r="F141" s="750"/>
      <c r="G141" s="1636">
        <v>1</v>
      </c>
      <c r="H141" s="1192"/>
    </row>
    <row r="142" spans="1:15" x14ac:dyDescent="0.3">
      <c r="A142" s="1388" t="str">
        <f t="shared" si="27"/>
        <v>4</v>
      </c>
      <c r="B142" s="1389" t="str">
        <f t="shared" si="28"/>
        <v>B23672</v>
      </c>
      <c r="C142" s="1388" t="str">
        <f t="shared" si="29"/>
        <v>B23672.LE</v>
      </c>
      <c r="D142" s="1388" t="str">
        <f>'IPCS Data'!O98</f>
        <v>LE</v>
      </c>
      <c r="E142" s="1388" t="str">
        <f>'IPCS Data'!P98</f>
        <v>LEGAL</v>
      </c>
      <c r="F142" s="750"/>
      <c r="G142" s="1636">
        <v>1</v>
      </c>
      <c r="H142" s="1192"/>
    </row>
    <row r="143" spans="1:15" x14ac:dyDescent="0.3">
      <c r="A143" s="1388" t="str">
        <f t="shared" si="27"/>
        <v>4</v>
      </c>
      <c r="B143" s="1389" t="str">
        <f t="shared" si="28"/>
        <v>B23672</v>
      </c>
      <c r="C143" s="1388" t="str">
        <f t="shared" si="29"/>
        <v>B23672.LS</v>
      </c>
      <c r="D143" s="1388" t="str">
        <f>'IPCS Data'!O99</f>
        <v>LS</v>
      </c>
      <c r="E143" s="1388" t="str">
        <f>'IPCS Data'!P99</f>
        <v>SURVEY / LASER / GEOMAT</v>
      </c>
      <c r="F143" s="750"/>
      <c r="G143" s="1636">
        <v>1</v>
      </c>
      <c r="H143" s="1192"/>
    </row>
    <row r="144" spans="1:15" x14ac:dyDescent="0.3">
      <c r="A144" s="1388" t="str">
        <f t="shared" si="27"/>
        <v>4</v>
      </c>
      <c r="B144" s="1389" t="str">
        <f t="shared" si="28"/>
        <v>B23672</v>
      </c>
      <c r="C144" s="1388" t="str">
        <f t="shared" si="29"/>
        <v>B23672.OM</v>
      </c>
      <c r="D144" s="1388" t="str">
        <f>'IPCS Data'!O100</f>
        <v>OM</v>
      </c>
      <c r="E144" s="1388" t="str">
        <f>'IPCS Data'!P100</f>
        <v>OPERATIONS MGMT</v>
      </c>
      <c r="F144" s="750"/>
      <c r="G144" s="1636">
        <v>1</v>
      </c>
      <c r="H144" s="1192"/>
    </row>
    <row r="145" spans="1:15" x14ac:dyDescent="0.3">
      <c r="A145" s="1388" t="str">
        <f t="shared" si="27"/>
        <v>4</v>
      </c>
      <c r="B145" s="1389" t="str">
        <f t="shared" si="28"/>
        <v>B23672</v>
      </c>
      <c r="C145" s="1388" t="str">
        <f t="shared" si="29"/>
        <v>B23672.OS</v>
      </c>
      <c r="D145" s="1388" t="str">
        <f>'IPCS Data'!O101</f>
        <v>OS</v>
      </c>
      <c r="E145" s="1388" t="str">
        <f>'IPCS Data'!P101</f>
        <v>OTHER SUPPORT</v>
      </c>
      <c r="F145" s="750"/>
      <c r="G145" s="1636">
        <v>1</v>
      </c>
      <c r="H145" s="1192"/>
    </row>
    <row r="146" spans="1:15" x14ac:dyDescent="0.3">
      <c r="A146" s="1388" t="str">
        <f t="shared" si="27"/>
        <v>4</v>
      </c>
      <c r="B146" s="1389" t="str">
        <f t="shared" si="28"/>
        <v>B23672</v>
      </c>
      <c r="C146" s="1388" t="str">
        <f t="shared" si="29"/>
        <v>B23672.PA</v>
      </c>
      <c r="D146" s="1388" t="str">
        <f>'IPCS Data'!O102</f>
        <v>PA</v>
      </c>
      <c r="E146" s="1388" t="str">
        <f>'IPCS Data'!P102</f>
        <v>PROJECT ADMIN</v>
      </c>
      <c r="F146" s="750"/>
      <c r="G146" s="1636">
        <v>1</v>
      </c>
      <c r="H146" s="1192"/>
    </row>
    <row r="147" spans="1:15" x14ac:dyDescent="0.3">
      <c r="A147" s="1388" t="str">
        <f t="shared" si="27"/>
        <v>4</v>
      </c>
      <c r="B147" s="1389" t="str">
        <f t="shared" si="28"/>
        <v>B23672</v>
      </c>
      <c r="C147" s="1388" t="str">
        <f t="shared" si="29"/>
        <v>B23672.PC</v>
      </c>
      <c r="D147" s="1388" t="str">
        <f>'IPCS Data'!O103</f>
        <v>PC</v>
      </c>
      <c r="E147" s="1388" t="str">
        <f>'IPCS Data'!P103</f>
        <v>PROJECT CONTROLS</v>
      </c>
      <c r="F147" s="750"/>
      <c r="G147" s="1636">
        <v>1</v>
      </c>
      <c r="H147" s="1192"/>
    </row>
    <row r="148" spans="1:15" x14ac:dyDescent="0.3">
      <c r="A148" s="1388" t="str">
        <f t="shared" si="27"/>
        <v>4</v>
      </c>
      <c r="B148" s="1389" t="str">
        <f t="shared" si="28"/>
        <v>B23672</v>
      </c>
      <c r="C148" s="1388" t="str">
        <f t="shared" si="29"/>
        <v>B23672.PE</v>
      </c>
      <c r="D148" s="1388" t="str">
        <f>'IPCS Data'!O104</f>
        <v>PE</v>
      </c>
      <c r="E148" s="1388" t="str">
        <f>'IPCS Data'!P104</f>
        <v>PROJECT ENGR MGMT</v>
      </c>
      <c r="F148" s="750"/>
      <c r="G148" s="1636">
        <v>1</v>
      </c>
      <c r="H148" s="1192"/>
    </row>
    <row r="149" spans="1:15" x14ac:dyDescent="0.3">
      <c r="A149" s="1388" t="str">
        <f t="shared" si="27"/>
        <v>4</v>
      </c>
      <c r="B149" s="1389" t="str">
        <f t="shared" si="28"/>
        <v>B23672</v>
      </c>
      <c r="C149" s="1388" t="str">
        <f t="shared" si="29"/>
        <v>B23672.PM</v>
      </c>
      <c r="D149" s="1388" t="str">
        <f>'IPCS Data'!O105</f>
        <v>PM</v>
      </c>
      <c r="E149" s="1388" t="str">
        <f>'IPCS Data'!P105</f>
        <v>PROJECT MGMT</v>
      </c>
      <c r="F149" s="750"/>
      <c r="G149" s="1636">
        <v>1</v>
      </c>
      <c r="H149" s="1192"/>
    </row>
    <row r="150" spans="1:15" x14ac:dyDescent="0.3">
      <c r="A150" s="1388" t="str">
        <f t="shared" si="27"/>
        <v>4</v>
      </c>
      <c r="B150" s="1389" t="str">
        <f t="shared" si="28"/>
        <v>B23672</v>
      </c>
      <c r="C150" s="1388" t="str">
        <f t="shared" si="29"/>
        <v>B23672.PS</v>
      </c>
      <c r="D150" s="1388" t="str">
        <f>'IPCS Data'!O106</f>
        <v>PS</v>
      </c>
      <c r="E150" s="1388" t="str">
        <f>'IPCS Data'!P106</f>
        <v>SCHED / PLANNING</v>
      </c>
      <c r="F150" s="750"/>
      <c r="G150" s="1636">
        <v>1</v>
      </c>
      <c r="H150" s="1192"/>
    </row>
    <row r="151" spans="1:15" x14ac:dyDescent="0.3">
      <c r="A151" s="1388" t="str">
        <f t="shared" si="27"/>
        <v>4</v>
      </c>
      <c r="B151" s="1389" t="str">
        <f t="shared" si="28"/>
        <v>B23672</v>
      </c>
      <c r="C151" s="1388" t="str">
        <f t="shared" si="29"/>
        <v>B23672.QM</v>
      </c>
      <c r="D151" s="1388" t="str">
        <f>'IPCS Data'!O107</f>
        <v>QM</v>
      </c>
      <c r="E151" s="1388" t="str">
        <f>'IPCS Data'!P107</f>
        <v>QUALITY MGMT</v>
      </c>
      <c r="F151" s="750"/>
      <c r="G151" s="1636">
        <v>1</v>
      </c>
      <c r="H151" s="1192"/>
    </row>
    <row r="152" spans="1:15" x14ac:dyDescent="0.3">
      <c r="A152" s="1388" t="str">
        <f t="shared" si="27"/>
        <v>4</v>
      </c>
      <c r="B152" s="1389" t="str">
        <f t="shared" si="28"/>
        <v>B23672</v>
      </c>
      <c r="C152" s="1388" t="str">
        <f t="shared" si="29"/>
        <v>B23672.RM</v>
      </c>
      <c r="D152" s="1388" t="str">
        <f>'IPCS Data'!O108</f>
        <v>RM</v>
      </c>
      <c r="E152" s="1388" t="str">
        <f>'IPCS Data'!P108</f>
        <v>RISK MGMT</v>
      </c>
      <c r="F152" s="750"/>
      <c r="G152" s="1636">
        <v>1</v>
      </c>
      <c r="H152" s="1192"/>
    </row>
    <row r="153" spans="1:15" x14ac:dyDescent="0.3">
      <c r="A153" s="1388" t="str">
        <f t="shared" si="27"/>
        <v>4</v>
      </c>
      <c r="B153" s="1389" t="str">
        <f t="shared" si="28"/>
        <v>B23672</v>
      </c>
      <c r="C153" s="1388" t="str">
        <f t="shared" si="29"/>
        <v>B23672.SA</v>
      </c>
      <c r="D153" s="1388" t="str">
        <f>'IPCS Data'!O109</f>
        <v>SA</v>
      </c>
      <c r="E153" s="1388" t="str">
        <f>'IPCS Data'!P109</f>
        <v>HSE MGMT</v>
      </c>
      <c r="F153" s="750"/>
      <c r="G153" s="1636">
        <v>1</v>
      </c>
      <c r="H153" s="1192"/>
    </row>
    <row r="154" spans="1:15" ht="15" thickBot="1" x14ac:dyDescent="0.35">
      <c r="A154" s="1467" t="str">
        <f t="shared" ref="A154" si="33">IF(G154=1,TEXT(4,"0"),TEXT(0,"0"))</f>
        <v>0</v>
      </c>
      <c r="B154" s="1468" t="str">
        <f t="shared" ref="B154" si="34">IF(G154=1,$B$2,TEXT(0,"0"))</f>
        <v>0</v>
      </c>
      <c r="C154" s="1467" t="str">
        <f t="shared" ref="C154" si="35">IF(G154,$B$2&amp;"."&amp;D154,TEXT(0,"0"))</f>
        <v>0</v>
      </c>
      <c r="D154" s="1467">
        <f>'IPCS Data'!O110</f>
        <v>0</v>
      </c>
      <c r="E154" s="1467">
        <f>'IPCS Data'!P110</f>
        <v>0</v>
      </c>
      <c r="F154" s="750"/>
      <c r="G154" s="3346">
        <f>IF(AND(NOT(ISERROR(MATCH(D154,'5  Control Accounts'!$EJ$29:$EJ$96,0))),E154&gt;0),1,0)</f>
        <v>0</v>
      </c>
      <c r="H154" s="3347"/>
    </row>
    <row r="155" spans="1:15" ht="15" thickTop="1" x14ac:dyDescent="0.3">
      <c r="A155" s="1390" t="str">
        <f t="shared" ref="A155:A159" si="36">IF(G155=1,TEXT(5,"0"),TEXT(0,"0"))</f>
        <v>5</v>
      </c>
      <c r="B155" s="1391" t="str">
        <f t="shared" si="28"/>
        <v>B23672</v>
      </c>
      <c r="C155" s="1390" t="str">
        <f t="shared" si="29"/>
        <v>B23672.S</v>
      </c>
      <c r="D155" s="1390" t="str">
        <f>'5  Control Accounts'!EM29</f>
        <v>S</v>
      </c>
      <c r="E155" s="1390" t="str">
        <f>'5  Control Accounts'!EN29</f>
        <v>GENERAL LABOR CONTINGENCY</v>
      </c>
      <c r="F155" s="750"/>
      <c r="G155" s="1501">
        <f>IF(AND('5  Control Accounts'!$EA$8&gt;5,D155&lt;&gt;"0"),1,0)</f>
        <v>1</v>
      </c>
      <c r="H155" s="1502" t="s">
        <v>141</v>
      </c>
      <c r="I155" s="1356"/>
      <c r="J155" s="1356"/>
      <c r="K155" s="1356"/>
      <c r="L155" s="1356"/>
      <c r="M155" s="1356"/>
      <c r="N155" s="1356"/>
      <c r="O155" s="1356"/>
    </row>
    <row r="156" spans="1:15" x14ac:dyDescent="0.3">
      <c r="A156" s="1392" t="str">
        <f t="shared" si="36"/>
        <v>5</v>
      </c>
      <c r="B156" s="1393" t="str">
        <f t="shared" si="28"/>
        <v>B23672</v>
      </c>
      <c r="C156" s="1392" t="str">
        <f t="shared" si="29"/>
        <v>B23672.S</v>
      </c>
      <c r="D156" s="1392" t="str">
        <f>'5  Control Accounts'!EM30</f>
        <v>S</v>
      </c>
      <c r="E156" s="1392" t="str">
        <f>'5  Control Accounts'!EN30</f>
        <v>GENERAL NON-LABOR CONTINGENCY</v>
      </c>
      <c r="F156" s="750"/>
      <c r="G156" s="264">
        <f>IF(AND('5  Control Accounts'!$EA$8&gt;5,D156&lt;&gt;"0"),1,0)</f>
        <v>1</v>
      </c>
      <c r="H156" s="751" t="s">
        <v>142</v>
      </c>
      <c r="I156" s="1356"/>
      <c r="J156" s="1356"/>
      <c r="K156" s="1356"/>
      <c r="L156" s="1356"/>
      <c r="M156" s="1356"/>
      <c r="N156" s="1356"/>
      <c r="O156" s="1356"/>
    </row>
    <row r="157" spans="1:15" x14ac:dyDescent="0.3">
      <c r="A157" s="1392" t="str">
        <f t="shared" si="36"/>
        <v>5</v>
      </c>
      <c r="B157" s="1393" t="str">
        <f t="shared" si="28"/>
        <v>B23672</v>
      </c>
      <c r="C157" s="1392" t="str">
        <f t="shared" si="29"/>
        <v>B23672.R</v>
      </c>
      <c r="D157" s="1392" t="str">
        <f>'5  Control Accounts'!EM31</f>
        <v>R</v>
      </c>
      <c r="E157" s="1392" t="str">
        <f>'5  Control Accounts'!EN31</f>
        <v>COST RESERVE</v>
      </c>
      <c r="F157" s="750"/>
      <c r="G157" s="264">
        <f>IF(AND('5  Control Accounts'!$EA$8&gt;5,D157&lt;&gt;"0"),1,0)</f>
        <v>1</v>
      </c>
      <c r="H157" s="751" t="s">
        <v>143</v>
      </c>
      <c r="I157" s="1356"/>
      <c r="J157" s="1356"/>
      <c r="K157" s="1356"/>
      <c r="L157" s="1356"/>
      <c r="M157" s="1356"/>
      <c r="N157" s="1356"/>
      <c r="O157" s="1356"/>
    </row>
    <row r="158" spans="1:15" x14ac:dyDescent="0.3">
      <c r="A158" s="1392" t="str">
        <f t="shared" si="36"/>
        <v>5</v>
      </c>
      <c r="B158" s="1393" t="str">
        <f t="shared" si="28"/>
        <v>B23672</v>
      </c>
      <c r="C158" s="1392" t="str">
        <f t="shared" si="29"/>
        <v>B23672.V</v>
      </c>
      <c r="D158" s="1392" t="str">
        <f>'5  Control Accounts'!EM32</f>
        <v>V</v>
      </c>
      <c r="E158" s="1392" t="str">
        <f>'5  Control Accounts'!EN32</f>
        <v>FEE</v>
      </c>
      <c r="F158" s="750"/>
      <c r="G158" s="264">
        <f>IF(AND('5  Control Accounts'!$EA$8&gt;5,D158&lt;&gt;"0"),1,0)</f>
        <v>1</v>
      </c>
      <c r="H158" s="751" t="s">
        <v>144</v>
      </c>
      <c r="I158" s="1356"/>
      <c r="J158" s="1356"/>
      <c r="K158" s="1356"/>
      <c r="L158" s="1356"/>
      <c r="M158" s="1356"/>
      <c r="N158" s="1356"/>
      <c r="O158" s="1356"/>
    </row>
    <row r="159" spans="1:15" ht="15" thickBot="1" x14ac:dyDescent="0.35">
      <c r="A159" s="1499" t="str">
        <f t="shared" si="36"/>
        <v>5</v>
      </c>
      <c r="B159" s="1500" t="str">
        <f t="shared" si="28"/>
        <v>B23672</v>
      </c>
      <c r="C159" s="1499" t="str">
        <f t="shared" si="29"/>
        <v>B23672.C</v>
      </c>
      <c r="D159" s="1499" t="str">
        <f>'5  Control Accounts'!EM33</f>
        <v>C</v>
      </c>
      <c r="E159" s="1499" t="str">
        <f>'5  Control Accounts'!EN33</f>
        <v>PC ALLOCATION</v>
      </c>
      <c r="F159" s="750"/>
      <c r="G159" s="1503">
        <f>IF(AND('5  Control Accounts'!$EA$8&gt;5,D159&lt;&gt;"0"),1,0)</f>
        <v>1</v>
      </c>
      <c r="H159" s="1504" t="s">
        <v>1491</v>
      </c>
      <c r="I159" s="1356"/>
      <c r="J159" s="1356"/>
      <c r="K159" s="1356"/>
      <c r="L159" s="1356"/>
      <c r="M159" s="1356"/>
      <c r="N159" s="1356"/>
      <c r="O159" s="1356"/>
    </row>
    <row r="160" spans="1:15" ht="15" thickTop="1" x14ac:dyDescent="0.3">
      <c r="A160" s="1390" t="str">
        <f>IF(G160=1,TEXT(5,"0"),TEXT(0,"0"))</f>
        <v>0</v>
      </c>
      <c r="B160" s="1391" t="str">
        <f>IF(G160=1,$B$2,TEXT(0,"0"))</f>
        <v>0</v>
      </c>
      <c r="C160" s="1390" t="str">
        <f>IF(G160,$B$2&amp;"."&amp;D160,TEXT(0,"0"))</f>
        <v>0</v>
      </c>
      <c r="D160" s="1678" t="str">
        <f>'5  Control Accounts'!EM100</f>
        <v>BA</v>
      </c>
      <c r="E160" s="1390" t="str">
        <f>TEXT('5  Control Accounts'!EN100,"General")</f>
        <v>BRIDGES CAPITAL</v>
      </c>
      <c r="F160" s="750"/>
      <c r="G160" s="1501">
        <f>IF(AND(NOT(ISERROR(MATCH(D160,'5  Control Accounts'!$EM$34:$EM$95,0))),'5  Control Accounts'!$EA$8&gt;5,E160&lt;&gt;"0"),1,0)</f>
        <v>0</v>
      </c>
      <c r="H160" s="1502">
        <v>1</v>
      </c>
      <c r="I160" s="1356"/>
    </row>
    <row r="161" spans="1:10" x14ac:dyDescent="0.3">
      <c r="A161" s="1392" t="str">
        <f t="shared" ref="A161:A178" si="37">IF(G161=1,TEXT(5,"0"),TEXT(0,"0"))</f>
        <v>0</v>
      </c>
      <c r="B161" s="1393" t="str">
        <f t="shared" ref="B161:B204" si="38">IF(G161=1,$B$2,TEXT(0,"0"))</f>
        <v>0</v>
      </c>
      <c r="C161" s="1392" t="str">
        <f t="shared" ref="C161:C204" si="39">IF(G161,$B$2&amp;"."&amp;D161,TEXT(0,"0"))</f>
        <v>0</v>
      </c>
      <c r="D161" s="1392" t="str">
        <f>'5  Control Accounts'!EM101</f>
        <v>BD</v>
      </c>
      <c r="E161" s="1392" t="str">
        <f>TEXT('5  Control Accounts'!EN101,"General")</f>
        <v>BRIDGES CORE SERVICE Y6</v>
      </c>
      <c r="F161" s="750"/>
      <c r="G161" s="264">
        <f>IF(AND(NOT(ISERROR(MATCH(D161,'5  Control Accounts'!$EM$34:$EM$95,0))),'5  Control Accounts'!$EA$8&gt;5,E161&lt;&gt;"0"),1,0)</f>
        <v>0</v>
      </c>
      <c r="H161" s="751">
        <v>2</v>
      </c>
      <c r="I161" s="1356"/>
      <c r="J161" s="1356"/>
    </row>
    <row r="162" spans="1:10" x14ac:dyDescent="0.3">
      <c r="A162" s="1392" t="str">
        <f t="shared" si="37"/>
        <v>0</v>
      </c>
      <c r="B162" s="1393" t="str">
        <f t="shared" si="38"/>
        <v>0</v>
      </c>
      <c r="C162" s="1392" t="str">
        <f t="shared" si="39"/>
        <v>0</v>
      </c>
      <c r="D162" s="1392" t="str">
        <f>'5  Control Accounts'!EM102</f>
        <v>DA</v>
      </c>
      <c r="E162" s="1392" t="str">
        <f>TEXT('5  Control Accounts'!EN102,"General")</f>
        <v>DC HIGHWAYS</v>
      </c>
      <c r="F162" s="750"/>
      <c r="G162" s="264">
        <f>IF(AND(NOT(ISERROR(MATCH(D162,'5  Control Accounts'!$EM$34:$EM$95,0))),'5  Control Accounts'!$EA$8&gt;5,E162&lt;&gt;"0"),1,0)</f>
        <v>0</v>
      </c>
      <c r="H162" s="751">
        <v>3</v>
      </c>
      <c r="I162" s="1356"/>
      <c r="J162" s="1356"/>
    </row>
    <row r="163" spans="1:10" x14ac:dyDescent="0.3">
      <c r="A163" s="1392" t="str">
        <f t="shared" si="37"/>
        <v>0</v>
      </c>
      <c r="B163" s="1393" t="str">
        <f t="shared" si="38"/>
        <v>0</v>
      </c>
      <c r="C163" s="1392" t="str">
        <f t="shared" si="39"/>
        <v>0</v>
      </c>
      <c r="D163" s="1392" t="str">
        <f>'5  Control Accounts'!EM103</f>
        <v>DB</v>
      </c>
      <c r="E163" s="1392" t="str">
        <f>TEXT('5  Control Accounts'!EN103,"General")</f>
        <v>DC LIGHTING</v>
      </c>
      <c r="F163" s="750"/>
      <c r="G163" s="264">
        <f>IF(AND(NOT(ISERROR(MATCH(D163,'5  Control Accounts'!$EM$34:$EM$95,0))),'5  Control Accounts'!$EA$8&gt;5,E163&lt;&gt;"0"),1,0)</f>
        <v>0</v>
      </c>
      <c r="H163" s="751">
        <v>4</v>
      </c>
      <c r="I163" s="1356"/>
      <c r="J163" s="1356"/>
    </row>
    <row r="164" spans="1:10" x14ac:dyDescent="0.3">
      <c r="A164" s="1392" t="str">
        <f t="shared" si="37"/>
        <v>0</v>
      </c>
      <c r="B164" s="1393" t="str">
        <f t="shared" si="38"/>
        <v>0</v>
      </c>
      <c r="C164" s="1392" t="str">
        <f t="shared" si="39"/>
        <v>0</v>
      </c>
      <c r="D164" s="1392" t="str">
        <f>'5  Control Accounts'!EM104</f>
        <v>DC</v>
      </c>
      <c r="E164" s="1392" t="str">
        <f>TEXT('5  Control Accounts'!EN104,"General")</f>
        <v>DC STRUCTURES</v>
      </c>
      <c r="F164" s="750"/>
      <c r="G164" s="264">
        <f>IF(AND(NOT(ISERROR(MATCH(D164,'5  Control Accounts'!$EM$34:$EM$95,0))),'5  Control Accounts'!$EA$8&gt;5,E164&lt;&gt;"0"),1,0)</f>
        <v>0</v>
      </c>
      <c r="H164" s="751">
        <v>5</v>
      </c>
      <c r="I164" s="1356"/>
      <c r="J164" s="1356"/>
    </row>
    <row r="165" spans="1:10" x14ac:dyDescent="0.3">
      <c r="A165" s="1392" t="str">
        <f t="shared" si="37"/>
        <v>0</v>
      </c>
      <c r="B165" s="1393" t="str">
        <f t="shared" si="38"/>
        <v>0</v>
      </c>
      <c r="C165" s="1392" t="str">
        <f t="shared" si="39"/>
        <v>0</v>
      </c>
      <c r="D165" s="1392" t="str">
        <f>'5  Control Accounts'!EM105</f>
        <v>HA</v>
      </c>
      <c r="E165" s="1392" t="str">
        <f>TEXT('5  Control Accounts'!EN105,"General")</f>
        <v>HIGHWAYS</v>
      </c>
      <c r="F165" s="750"/>
      <c r="G165" s="264">
        <f>IF(AND(NOT(ISERROR(MATCH(D165,'5  Control Accounts'!$EM$34:$EM$95,0))),'5  Control Accounts'!$EA$8&gt;5,E165&lt;&gt;"0"),1,0)</f>
        <v>0</v>
      </c>
      <c r="H165" s="751">
        <v>6</v>
      </c>
      <c r="I165" s="1356"/>
      <c r="J165" s="1356"/>
    </row>
    <row r="166" spans="1:10" x14ac:dyDescent="0.3">
      <c r="A166" s="1392" t="str">
        <f t="shared" si="37"/>
        <v>0</v>
      </c>
      <c r="B166" s="1393" t="str">
        <f t="shared" si="38"/>
        <v>0</v>
      </c>
      <c r="C166" s="1392" t="str">
        <f t="shared" si="39"/>
        <v>0</v>
      </c>
      <c r="D166" s="1392" t="str">
        <f>'5  Control Accounts'!EM106</f>
        <v>NA</v>
      </c>
      <c r="E166" s="1392" t="str">
        <f>TEXT('5  Control Accounts'!EN106,"General")</f>
        <v>SECONDMENTS</v>
      </c>
      <c r="F166" s="750"/>
      <c r="G166" s="264">
        <f>IF(AND(NOT(ISERROR(MATCH(D166,'5  Control Accounts'!$EM$34:$EM$95,0))),'5  Control Accounts'!$EA$8&gt;5,E166&lt;&gt;"0"),1,0)</f>
        <v>0</v>
      </c>
      <c r="H166" s="751">
        <v>7</v>
      </c>
      <c r="I166" s="1356"/>
      <c r="J166" s="1356"/>
    </row>
    <row r="167" spans="1:10" x14ac:dyDescent="0.3">
      <c r="A167" s="1392" t="str">
        <f t="shared" si="37"/>
        <v>0</v>
      </c>
      <c r="B167" s="1393" t="str">
        <f t="shared" si="38"/>
        <v>0</v>
      </c>
      <c r="C167" s="1392" t="str">
        <f t="shared" si="39"/>
        <v>0</v>
      </c>
      <c r="D167" s="1392" t="str">
        <f>'5  Control Accounts'!EM107</f>
        <v>TA</v>
      </c>
      <c r="E167" s="1392" t="str">
        <f>TEXT('5  Control Accounts'!EN107,"General")</f>
        <v>TRANSPORT PLANNING</v>
      </c>
      <c r="F167" s="750"/>
      <c r="G167" s="264">
        <f>IF(AND(NOT(ISERROR(MATCH(D167,'5  Control Accounts'!$EM$34:$EM$95,0))),'5  Control Accounts'!$EA$8&gt;5,E167&lt;&gt;"0"),1,0)</f>
        <v>0</v>
      </c>
      <c r="H167" s="751">
        <v>8</v>
      </c>
      <c r="I167" s="1356"/>
      <c r="J167" s="1356"/>
    </row>
    <row r="168" spans="1:10" x14ac:dyDescent="0.3">
      <c r="A168" s="1392" t="str">
        <f t="shared" si="37"/>
        <v>0</v>
      </c>
      <c r="B168" s="1393" t="str">
        <f t="shared" si="38"/>
        <v>0</v>
      </c>
      <c r="C168" s="1392" t="str">
        <f t="shared" si="39"/>
        <v>0</v>
      </c>
      <c r="D168" s="1392">
        <f>'5  Control Accounts'!EM108</f>
        <v>0</v>
      </c>
      <c r="E168" s="1392" t="str">
        <f>TEXT('5  Control Accounts'!EN108,"General")</f>
        <v>0</v>
      </c>
      <c r="F168" s="750"/>
      <c r="G168" s="264">
        <f>IF(AND(NOT(ISERROR(MATCH(D168,'5  Control Accounts'!$EM$34:$EM$95,0))),'5  Control Accounts'!$EA$8&gt;5,E168&lt;&gt;"0"),1,0)</f>
        <v>0</v>
      </c>
      <c r="H168" s="751">
        <v>9</v>
      </c>
      <c r="I168" s="1356"/>
      <c r="J168" s="1356"/>
    </row>
    <row r="169" spans="1:10" x14ac:dyDescent="0.3">
      <c r="A169" s="1392" t="str">
        <f t="shared" si="37"/>
        <v>0</v>
      </c>
      <c r="B169" s="1393" t="str">
        <f t="shared" si="38"/>
        <v>0</v>
      </c>
      <c r="C169" s="1392" t="str">
        <f t="shared" si="39"/>
        <v>0</v>
      </c>
      <c r="D169" s="1392">
        <f>'5  Control Accounts'!EM109</f>
        <v>0</v>
      </c>
      <c r="E169" s="1392" t="str">
        <f>TEXT('5  Control Accounts'!EN109,"General")</f>
        <v>0</v>
      </c>
      <c r="F169" s="750"/>
      <c r="G169" s="264">
        <f>IF(AND(NOT(ISERROR(MATCH(D169,'5  Control Accounts'!$EM$34:$EM$95,0))),'5  Control Accounts'!$EA$8&gt;5,E169&lt;&gt;"0"),1,0)</f>
        <v>0</v>
      </c>
      <c r="H169" s="751">
        <v>10</v>
      </c>
      <c r="I169" s="1356"/>
      <c r="J169" s="1356"/>
    </row>
    <row r="170" spans="1:10" x14ac:dyDescent="0.3">
      <c r="A170" s="1392" t="str">
        <f t="shared" si="37"/>
        <v>0</v>
      </c>
      <c r="B170" s="1393" t="str">
        <f t="shared" si="38"/>
        <v>0</v>
      </c>
      <c r="C170" s="1392" t="str">
        <f t="shared" si="39"/>
        <v>0</v>
      </c>
      <c r="D170" s="1392">
        <f>'5  Control Accounts'!EM110</f>
        <v>0</v>
      </c>
      <c r="E170" s="1392" t="str">
        <f>TEXT('5  Control Accounts'!EN110,"General")</f>
        <v>0</v>
      </c>
      <c r="F170" s="750"/>
      <c r="G170" s="264">
        <f>IF(AND(NOT(ISERROR(MATCH(D170,'5  Control Accounts'!$EM$34:$EM$95,0))),'5  Control Accounts'!$EA$8&gt;5,E170&lt;&gt;"0"),1,0)</f>
        <v>0</v>
      </c>
      <c r="H170" s="751">
        <v>11</v>
      </c>
      <c r="I170" s="1356"/>
      <c r="J170" s="1356"/>
    </row>
    <row r="171" spans="1:10" x14ac:dyDescent="0.3">
      <c r="A171" s="1392" t="str">
        <f t="shared" si="37"/>
        <v>0</v>
      </c>
      <c r="B171" s="1393" t="str">
        <f t="shared" si="38"/>
        <v>0</v>
      </c>
      <c r="C171" s="1392" t="str">
        <f t="shared" si="39"/>
        <v>0</v>
      </c>
      <c r="D171" s="1392">
        <f>'5  Control Accounts'!EM111</f>
        <v>0</v>
      </c>
      <c r="E171" s="1392" t="str">
        <f>TEXT('5  Control Accounts'!EN111,"General")</f>
        <v>0</v>
      </c>
      <c r="F171" s="750"/>
      <c r="G171" s="264">
        <f>IF(AND(NOT(ISERROR(MATCH(D171,'5  Control Accounts'!$EM$34:$EM$95,0))),'5  Control Accounts'!$EA$8&gt;5,E171&lt;&gt;"0"),1,0)</f>
        <v>0</v>
      </c>
      <c r="H171" s="751">
        <v>12</v>
      </c>
      <c r="I171" s="1356"/>
      <c r="J171" s="1356"/>
    </row>
    <row r="172" spans="1:10" x14ac:dyDescent="0.3">
      <c r="A172" s="1392" t="str">
        <f t="shared" si="37"/>
        <v>0</v>
      </c>
      <c r="B172" s="1393" t="str">
        <f t="shared" si="38"/>
        <v>0</v>
      </c>
      <c r="C172" s="1392" t="str">
        <f t="shared" si="39"/>
        <v>0</v>
      </c>
      <c r="D172" s="1392">
        <f>'5  Control Accounts'!EM112</f>
        <v>0</v>
      </c>
      <c r="E172" s="1392" t="str">
        <f>TEXT('5  Control Accounts'!EN112,"General")</f>
        <v>0</v>
      </c>
      <c r="F172" s="750"/>
      <c r="G172" s="264">
        <f>IF(AND(NOT(ISERROR(MATCH(D172,'5  Control Accounts'!$EM$34:$EM$95,0))),'5  Control Accounts'!$EA$8&gt;5,E172&lt;&gt;"0"),1,0)</f>
        <v>0</v>
      </c>
      <c r="H172" s="751">
        <v>13</v>
      </c>
      <c r="I172" s="1356"/>
    </row>
    <row r="173" spans="1:10" x14ac:dyDescent="0.3">
      <c r="A173" s="1392" t="str">
        <f t="shared" si="37"/>
        <v>0</v>
      </c>
      <c r="B173" s="1393" t="str">
        <f t="shared" si="38"/>
        <v>0</v>
      </c>
      <c r="C173" s="1392" t="str">
        <f t="shared" si="39"/>
        <v>0</v>
      </c>
      <c r="D173" s="1392">
        <f>'5  Control Accounts'!EM113</f>
        <v>0</v>
      </c>
      <c r="E173" s="1392" t="str">
        <f>TEXT('5  Control Accounts'!EN113,"General")</f>
        <v>0</v>
      </c>
      <c r="F173" s="750"/>
      <c r="G173" s="264">
        <f>IF(AND(NOT(ISERROR(MATCH(D173,'5  Control Accounts'!$EM$34:$EM$95,0))),'5  Control Accounts'!$EA$8&gt;5,E173&lt;&gt;"0"),1,0)</f>
        <v>0</v>
      </c>
      <c r="H173" s="751">
        <v>14</v>
      </c>
      <c r="I173" s="1356"/>
    </row>
    <row r="174" spans="1:10" x14ac:dyDescent="0.3">
      <c r="A174" s="1392" t="str">
        <f t="shared" si="37"/>
        <v>0</v>
      </c>
      <c r="B174" s="1393" t="str">
        <f t="shared" si="38"/>
        <v>0</v>
      </c>
      <c r="C174" s="1392" t="str">
        <f t="shared" si="39"/>
        <v>0</v>
      </c>
      <c r="D174" s="1392">
        <f>'5  Control Accounts'!EM114</f>
        <v>0</v>
      </c>
      <c r="E174" s="1392" t="str">
        <f>TEXT('5  Control Accounts'!EN114,"General")</f>
        <v>0</v>
      </c>
      <c r="F174" s="750"/>
      <c r="G174" s="264">
        <f>IF(AND(NOT(ISERROR(MATCH(D174,'5  Control Accounts'!$EM$34:$EM$95,0))),'5  Control Accounts'!$EA$8&gt;5,E174&lt;&gt;"0"),1,0)</f>
        <v>0</v>
      </c>
      <c r="H174" s="751">
        <v>15</v>
      </c>
      <c r="I174" s="1356"/>
    </row>
    <row r="175" spans="1:10" x14ac:dyDescent="0.3">
      <c r="A175" s="1392" t="str">
        <f t="shared" si="37"/>
        <v>0</v>
      </c>
      <c r="B175" s="1393" t="str">
        <f t="shared" si="38"/>
        <v>0</v>
      </c>
      <c r="C175" s="1392" t="str">
        <f t="shared" si="39"/>
        <v>0</v>
      </c>
      <c r="D175" s="1392">
        <f>'5  Control Accounts'!EM115</f>
        <v>0</v>
      </c>
      <c r="E175" s="1392" t="str">
        <f>TEXT('5  Control Accounts'!EN115,"General")</f>
        <v>0</v>
      </c>
      <c r="F175" s="750"/>
      <c r="G175" s="264">
        <f>IF(AND(NOT(ISERROR(MATCH(D175,'5  Control Accounts'!$EM$34:$EM$95,0))),'5  Control Accounts'!$EA$8&gt;5,E175&lt;&gt;"0"),1,0)</f>
        <v>0</v>
      </c>
      <c r="H175" s="751">
        <v>16</v>
      </c>
      <c r="I175" s="1356"/>
    </row>
    <row r="176" spans="1:10" x14ac:dyDescent="0.3">
      <c r="A176" s="1392" t="str">
        <f t="shared" si="37"/>
        <v>0</v>
      </c>
      <c r="B176" s="1393" t="str">
        <f t="shared" si="38"/>
        <v>0</v>
      </c>
      <c r="C176" s="1392" t="str">
        <f t="shared" si="39"/>
        <v>0</v>
      </c>
      <c r="D176" s="1392">
        <f>'5  Control Accounts'!EM116</f>
        <v>0</v>
      </c>
      <c r="E176" s="1392" t="str">
        <f>TEXT('5  Control Accounts'!EN116,"General")</f>
        <v>0</v>
      </c>
      <c r="F176" s="750"/>
      <c r="G176" s="264">
        <f>IF(AND(NOT(ISERROR(MATCH(D176,'5  Control Accounts'!$EM$34:$EM$95,0))),'5  Control Accounts'!$EA$8&gt;5,E176&lt;&gt;"0"),1,0)</f>
        <v>0</v>
      </c>
      <c r="H176" s="751">
        <v>17</v>
      </c>
      <c r="I176" s="1356"/>
    </row>
    <row r="177" spans="1:15" x14ac:dyDescent="0.3">
      <c r="A177" s="1392" t="str">
        <f t="shared" si="37"/>
        <v>0</v>
      </c>
      <c r="B177" s="1393" t="str">
        <f t="shared" si="38"/>
        <v>0</v>
      </c>
      <c r="C177" s="1392" t="str">
        <f t="shared" si="39"/>
        <v>0</v>
      </c>
      <c r="D177" s="1392">
        <f>'5  Control Accounts'!EM117</f>
        <v>0</v>
      </c>
      <c r="E177" s="1392" t="str">
        <f>TEXT('5  Control Accounts'!EN117,"General")</f>
        <v>0</v>
      </c>
      <c r="F177" s="750"/>
      <c r="G177" s="264">
        <f>IF(AND(NOT(ISERROR(MATCH(D177,'5  Control Accounts'!$EM$34:$EM$95,0))),'5  Control Accounts'!$EA$8&gt;5,E177&lt;&gt;"0"),1,0)</f>
        <v>0</v>
      </c>
      <c r="H177" s="751">
        <v>18</v>
      </c>
      <c r="I177" s="1356"/>
    </row>
    <row r="178" spans="1:15" x14ac:dyDescent="0.3">
      <c r="A178" s="1392" t="str">
        <f t="shared" si="37"/>
        <v>0</v>
      </c>
      <c r="B178" s="1393" t="str">
        <f t="shared" si="38"/>
        <v>0</v>
      </c>
      <c r="C178" s="1392" t="str">
        <f t="shared" si="39"/>
        <v>0</v>
      </c>
      <c r="D178" s="1392">
        <f>'5  Control Accounts'!EM118</f>
        <v>0</v>
      </c>
      <c r="E178" s="1392" t="str">
        <f>TEXT('5  Control Accounts'!EN118,"General")</f>
        <v>0</v>
      </c>
      <c r="F178" s="750"/>
      <c r="G178" s="264">
        <f>IF(AND(NOT(ISERROR(MATCH(D178,'5  Control Accounts'!$EM$34:$EM$95,0))),'5  Control Accounts'!$EA$8&gt;5,E178&lt;&gt;"0"),1,0)</f>
        <v>0</v>
      </c>
      <c r="H178" s="751">
        <v>19</v>
      </c>
      <c r="I178" s="1356"/>
    </row>
    <row r="179" spans="1:15" x14ac:dyDescent="0.3">
      <c r="A179" s="1392" t="str">
        <f t="shared" ref="A179:A192" si="40">IF(G179=1,TEXT(5,"0"),TEXT(0,"0"))</f>
        <v>0</v>
      </c>
      <c r="B179" s="1393" t="str">
        <f t="shared" ref="B179:B192" si="41">IF(G179=1,$B$2,TEXT(0,"0"))</f>
        <v>0</v>
      </c>
      <c r="C179" s="1392" t="str">
        <f t="shared" ref="C179:C192" si="42">IF(G179,$B$2&amp;"."&amp;D179,TEXT(0,"0"))</f>
        <v>0</v>
      </c>
      <c r="D179" s="1392">
        <f>'5  Control Accounts'!EM119</f>
        <v>0</v>
      </c>
      <c r="E179" s="1392" t="str">
        <f>TEXT('5  Control Accounts'!EN119,"General")</f>
        <v>0</v>
      </c>
      <c r="F179" s="750"/>
      <c r="G179" s="264">
        <f>IF(AND(NOT(ISERROR(MATCH(D179,'5  Control Accounts'!$EM$34:$EM$95,0))),'5  Control Accounts'!$EA$8&gt;5,E179&lt;&gt;"0"),1,0)</f>
        <v>0</v>
      </c>
      <c r="H179" s="751">
        <v>20</v>
      </c>
      <c r="I179" s="1356"/>
      <c r="J179" s="1356"/>
      <c r="K179" s="1356"/>
      <c r="L179" s="1356"/>
      <c r="M179" s="1356"/>
      <c r="N179" s="1356"/>
      <c r="O179" s="1356"/>
    </row>
    <row r="180" spans="1:15" x14ac:dyDescent="0.3">
      <c r="A180" s="1392" t="str">
        <f t="shared" si="40"/>
        <v>0</v>
      </c>
      <c r="B180" s="1393" t="str">
        <f t="shared" si="41"/>
        <v>0</v>
      </c>
      <c r="C180" s="1392" t="str">
        <f t="shared" si="42"/>
        <v>0</v>
      </c>
      <c r="D180" s="1392">
        <f>'5  Control Accounts'!EM120</f>
        <v>0</v>
      </c>
      <c r="E180" s="1392" t="str">
        <f>TEXT('5  Control Accounts'!EN120,"General")</f>
        <v>0</v>
      </c>
      <c r="F180" s="750"/>
      <c r="G180" s="264">
        <f>IF(AND(NOT(ISERROR(MATCH(D180,'5  Control Accounts'!$EM$34:$EM$95,0))),'5  Control Accounts'!$EA$8&gt;5,E180&lt;&gt;"0"),1,0)</f>
        <v>0</v>
      </c>
      <c r="H180" s="751">
        <v>21</v>
      </c>
      <c r="I180" s="1356"/>
      <c r="J180" s="1356"/>
      <c r="K180" s="1356"/>
      <c r="L180" s="1356"/>
      <c r="M180" s="1356"/>
      <c r="N180" s="1356"/>
      <c r="O180" s="1356"/>
    </row>
    <row r="181" spans="1:15" x14ac:dyDescent="0.3">
      <c r="A181" s="1392" t="str">
        <f t="shared" si="40"/>
        <v>0</v>
      </c>
      <c r="B181" s="1393" t="str">
        <f t="shared" si="41"/>
        <v>0</v>
      </c>
      <c r="C181" s="1392" t="str">
        <f t="shared" si="42"/>
        <v>0</v>
      </c>
      <c r="D181" s="1392">
        <f>'5  Control Accounts'!EM121</f>
        <v>0</v>
      </c>
      <c r="E181" s="1392" t="str">
        <f>TEXT('5  Control Accounts'!EN121,"General")</f>
        <v>0</v>
      </c>
      <c r="F181" s="750"/>
      <c r="G181" s="264">
        <f>IF(AND(NOT(ISERROR(MATCH(D181,'5  Control Accounts'!$EM$34:$EM$95,0))),'5  Control Accounts'!$EA$8&gt;5,E181&lt;&gt;"0"),1,0)</f>
        <v>0</v>
      </c>
      <c r="H181" s="751">
        <v>22</v>
      </c>
      <c r="I181" s="1356"/>
      <c r="J181" s="1356"/>
      <c r="K181" s="1356"/>
      <c r="L181" s="1356"/>
      <c r="M181" s="1356"/>
      <c r="N181" s="1356"/>
      <c r="O181" s="1356"/>
    </row>
    <row r="182" spans="1:15" x14ac:dyDescent="0.3">
      <c r="A182" s="1392" t="str">
        <f t="shared" si="40"/>
        <v>0</v>
      </c>
      <c r="B182" s="1393" t="str">
        <f t="shared" si="41"/>
        <v>0</v>
      </c>
      <c r="C182" s="1392" t="str">
        <f t="shared" si="42"/>
        <v>0</v>
      </c>
      <c r="D182" s="1392">
        <f>'5  Control Accounts'!EM122</f>
        <v>0</v>
      </c>
      <c r="E182" s="1392" t="str">
        <f>TEXT('5  Control Accounts'!EN122,"General")</f>
        <v>0</v>
      </c>
      <c r="F182" s="750"/>
      <c r="G182" s="264">
        <f>IF(AND(NOT(ISERROR(MATCH(D182,'5  Control Accounts'!$EM$34:$EM$95,0))),'5  Control Accounts'!$EA$8&gt;5,E182&lt;&gt;"0"),1,0)</f>
        <v>0</v>
      </c>
      <c r="H182" s="751">
        <v>23</v>
      </c>
      <c r="I182" s="1356"/>
      <c r="J182" s="1356"/>
      <c r="K182" s="1356"/>
      <c r="L182" s="1356"/>
      <c r="M182" s="1356"/>
      <c r="N182" s="1356"/>
      <c r="O182" s="1356"/>
    </row>
    <row r="183" spans="1:15" x14ac:dyDescent="0.3">
      <c r="A183" s="1392" t="str">
        <f t="shared" si="40"/>
        <v>0</v>
      </c>
      <c r="B183" s="1393" t="str">
        <f t="shared" si="41"/>
        <v>0</v>
      </c>
      <c r="C183" s="1392" t="str">
        <f t="shared" si="42"/>
        <v>0</v>
      </c>
      <c r="D183" s="1392">
        <f>'5  Control Accounts'!EM123</f>
        <v>0</v>
      </c>
      <c r="E183" s="1392" t="str">
        <f>TEXT('5  Control Accounts'!EN123,"General")</f>
        <v>0</v>
      </c>
      <c r="F183" s="750"/>
      <c r="G183" s="264">
        <f>IF(AND(NOT(ISERROR(MATCH(D183,'5  Control Accounts'!$EM$34:$EM$95,0))),'5  Control Accounts'!$EA$8&gt;5,E183&lt;&gt;"0"),1,0)</f>
        <v>0</v>
      </c>
      <c r="H183" s="751">
        <v>24</v>
      </c>
      <c r="I183" s="1356"/>
      <c r="J183" s="1356"/>
      <c r="K183" s="1356"/>
      <c r="L183" s="1356"/>
      <c r="M183" s="1356"/>
      <c r="N183" s="1356"/>
      <c r="O183" s="1356"/>
    </row>
    <row r="184" spans="1:15" x14ac:dyDescent="0.3">
      <c r="A184" s="1392" t="str">
        <f t="shared" si="40"/>
        <v>0</v>
      </c>
      <c r="B184" s="1393" t="str">
        <f t="shared" si="41"/>
        <v>0</v>
      </c>
      <c r="C184" s="1392" t="str">
        <f t="shared" si="42"/>
        <v>0</v>
      </c>
      <c r="D184" s="1392">
        <f>'5  Control Accounts'!EM124</f>
        <v>0</v>
      </c>
      <c r="E184" s="1392" t="str">
        <f>TEXT('5  Control Accounts'!EN124,"General")</f>
        <v>0</v>
      </c>
      <c r="F184" s="750"/>
      <c r="G184" s="264">
        <f>IF(AND(NOT(ISERROR(MATCH(D184,'5  Control Accounts'!$EM$34:$EM$95,0))),'5  Control Accounts'!$EA$8&gt;5,E184&lt;&gt;"0"),1,0)</f>
        <v>0</v>
      </c>
      <c r="H184" s="751">
        <v>25</v>
      </c>
      <c r="I184" s="1356"/>
      <c r="J184" s="1356"/>
      <c r="K184" s="1356"/>
      <c r="L184" s="1356"/>
      <c r="M184" s="1356"/>
      <c r="N184" s="1356"/>
      <c r="O184" s="1356"/>
    </row>
    <row r="185" spans="1:15" x14ac:dyDescent="0.3">
      <c r="A185" s="1392" t="str">
        <f t="shared" si="40"/>
        <v>0</v>
      </c>
      <c r="B185" s="1393" t="str">
        <f t="shared" si="41"/>
        <v>0</v>
      </c>
      <c r="C185" s="1392" t="str">
        <f t="shared" si="42"/>
        <v>0</v>
      </c>
      <c r="D185" s="1392">
        <f>'5  Control Accounts'!EM125</f>
        <v>0</v>
      </c>
      <c r="E185" s="1392" t="str">
        <f>TEXT('5  Control Accounts'!EN125,"General")</f>
        <v>0</v>
      </c>
      <c r="F185" s="750"/>
      <c r="G185" s="264">
        <f>IF(AND(NOT(ISERROR(MATCH(D185,'5  Control Accounts'!$EM$34:$EM$95,0))),'5  Control Accounts'!$EA$8&gt;5,E185&lt;&gt;"0"),1,0)</f>
        <v>0</v>
      </c>
      <c r="H185" s="751">
        <v>26</v>
      </c>
      <c r="I185" s="1356"/>
      <c r="J185" s="1356"/>
      <c r="K185" s="1356"/>
      <c r="L185" s="1356"/>
      <c r="M185" s="1356"/>
      <c r="N185" s="1356"/>
      <c r="O185" s="1356"/>
    </row>
    <row r="186" spans="1:15" x14ac:dyDescent="0.3">
      <c r="A186" s="1392" t="str">
        <f t="shared" si="40"/>
        <v>0</v>
      </c>
      <c r="B186" s="1393" t="str">
        <f t="shared" si="41"/>
        <v>0</v>
      </c>
      <c r="C186" s="1392" t="str">
        <f t="shared" si="42"/>
        <v>0</v>
      </c>
      <c r="D186" s="1392">
        <f>'5  Control Accounts'!EM126</f>
        <v>0</v>
      </c>
      <c r="E186" s="1392" t="str">
        <f>TEXT('5  Control Accounts'!EN126,"General")</f>
        <v>0</v>
      </c>
      <c r="F186" s="750"/>
      <c r="G186" s="264">
        <f>IF(AND(NOT(ISERROR(MATCH(D186,'5  Control Accounts'!$EM$34:$EM$95,0))),'5  Control Accounts'!$EA$8&gt;5,E186&lt;&gt;"0"),1,0)</f>
        <v>0</v>
      </c>
      <c r="H186" s="751">
        <v>27</v>
      </c>
      <c r="I186" s="1356"/>
      <c r="J186" s="1356"/>
      <c r="K186" s="1356"/>
      <c r="L186" s="1356"/>
      <c r="M186" s="1356"/>
      <c r="N186" s="1356"/>
      <c r="O186" s="1356"/>
    </row>
    <row r="187" spans="1:15" x14ac:dyDescent="0.3">
      <c r="A187" s="1392" t="str">
        <f t="shared" si="40"/>
        <v>0</v>
      </c>
      <c r="B187" s="1393" t="str">
        <f t="shared" si="41"/>
        <v>0</v>
      </c>
      <c r="C187" s="1392" t="str">
        <f t="shared" si="42"/>
        <v>0</v>
      </c>
      <c r="D187" s="1392">
        <f>'5  Control Accounts'!EM127</f>
        <v>0</v>
      </c>
      <c r="E187" s="1392" t="str">
        <f>TEXT('5  Control Accounts'!EN127,"General")</f>
        <v>0</v>
      </c>
      <c r="F187" s="750"/>
      <c r="G187" s="264">
        <f>IF(AND(NOT(ISERROR(MATCH(D187,'5  Control Accounts'!$EM$34:$EM$95,0))),'5  Control Accounts'!$EA$8&gt;5,E187&lt;&gt;"0"),1,0)</f>
        <v>0</v>
      </c>
      <c r="H187" s="751">
        <v>28</v>
      </c>
      <c r="I187" s="1356"/>
      <c r="J187" s="1356"/>
      <c r="K187" s="1356"/>
      <c r="L187" s="1356"/>
      <c r="M187" s="1356"/>
      <c r="N187" s="1356"/>
      <c r="O187" s="1356"/>
    </row>
    <row r="188" spans="1:15" x14ac:dyDescent="0.3">
      <c r="A188" s="1392" t="str">
        <f t="shared" si="40"/>
        <v>0</v>
      </c>
      <c r="B188" s="1393" t="str">
        <f t="shared" si="41"/>
        <v>0</v>
      </c>
      <c r="C188" s="1392" t="str">
        <f t="shared" si="42"/>
        <v>0</v>
      </c>
      <c r="D188" s="1392">
        <f>'5  Control Accounts'!EM128</f>
        <v>0</v>
      </c>
      <c r="E188" s="1392" t="str">
        <f>TEXT('5  Control Accounts'!EN128,"General")</f>
        <v>0</v>
      </c>
      <c r="F188" s="750"/>
      <c r="G188" s="264">
        <f>IF(AND(NOT(ISERROR(MATCH(D188,'5  Control Accounts'!$EM$34:$EM$95,0))),'5  Control Accounts'!$EA$8&gt;5,E188&lt;&gt;"0"),1,0)</f>
        <v>0</v>
      </c>
      <c r="H188" s="751">
        <v>29</v>
      </c>
      <c r="I188" s="1356"/>
      <c r="J188" s="1356"/>
      <c r="K188" s="1356"/>
      <c r="L188" s="1356"/>
      <c r="M188" s="1356"/>
      <c r="N188" s="1356"/>
      <c r="O188" s="1356"/>
    </row>
    <row r="189" spans="1:15" x14ac:dyDescent="0.3">
      <c r="A189" s="1392" t="str">
        <f t="shared" si="40"/>
        <v>0</v>
      </c>
      <c r="B189" s="1393" t="str">
        <f t="shared" si="41"/>
        <v>0</v>
      </c>
      <c r="C189" s="1392" t="str">
        <f t="shared" si="42"/>
        <v>0</v>
      </c>
      <c r="D189" s="1392">
        <f>'5  Control Accounts'!EM129</f>
        <v>0</v>
      </c>
      <c r="E189" s="1392" t="str">
        <f>TEXT('5  Control Accounts'!EN129,"General")</f>
        <v>0</v>
      </c>
      <c r="F189" s="750"/>
      <c r="G189" s="264">
        <f>IF(AND(NOT(ISERROR(MATCH(D189,'5  Control Accounts'!$EM$34:$EM$95,0))),'5  Control Accounts'!$EA$8&gt;5,E189&lt;&gt;"0"),1,0)</f>
        <v>0</v>
      </c>
      <c r="H189" s="751">
        <v>30</v>
      </c>
      <c r="I189" s="1356"/>
      <c r="J189" s="1356"/>
      <c r="K189" s="1356"/>
      <c r="L189" s="1356"/>
      <c r="M189" s="1356"/>
      <c r="N189" s="1356"/>
      <c r="O189" s="1356"/>
    </row>
    <row r="190" spans="1:15" x14ac:dyDescent="0.3">
      <c r="A190" s="1392" t="str">
        <f t="shared" si="40"/>
        <v>0</v>
      </c>
      <c r="B190" s="1393" t="str">
        <f t="shared" si="41"/>
        <v>0</v>
      </c>
      <c r="C190" s="1392" t="str">
        <f t="shared" si="42"/>
        <v>0</v>
      </c>
      <c r="D190" s="1392">
        <f>'5  Control Accounts'!EM130</f>
        <v>0</v>
      </c>
      <c r="E190" s="1392" t="str">
        <f>TEXT('5  Control Accounts'!EN130,"General")</f>
        <v>0</v>
      </c>
      <c r="F190" s="750"/>
      <c r="G190" s="264">
        <f>IF(AND(NOT(ISERROR(MATCH(D190,'5  Control Accounts'!$EM$34:$EM$95,0))),'5  Control Accounts'!$EA$8&gt;5,E190&lt;&gt;"0"),1,0)</f>
        <v>0</v>
      </c>
      <c r="H190" s="751">
        <v>31</v>
      </c>
      <c r="I190" s="1356"/>
      <c r="J190" s="1356"/>
      <c r="K190" s="1356"/>
      <c r="L190" s="1356"/>
      <c r="M190" s="1356"/>
      <c r="N190" s="1356"/>
      <c r="O190" s="1356"/>
    </row>
    <row r="191" spans="1:15" x14ac:dyDescent="0.3">
      <c r="A191" s="1392" t="str">
        <f t="shared" si="40"/>
        <v>0</v>
      </c>
      <c r="B191" s="1393" t="str">
        <f t="shared" si="41"/>
        <v>0</v>
      </c>
      <c r="C191" s="1392" t="str">
        <f t="shared" si="42"/>
        <v>0</v>
      </c>
      <c r="D191" s="1392">
        <f>'5  Control Accounts'!EM131</f>
        <v>0</v>
      </c>
      <c r="E191" s="1392" t="str">
        <f>TEXT('5  Control Accounts'!EN131,"General")</f>
        <v>0</v>
      </c>
      <c r="F191" s="750"/>
      <c r="G191" s="264">
        <f>IF(AND(NOT(ISERROR(MATCH(D191,'5  Control Accounts'!$EM$34:$EM$95,0))),'5  Control Accounts'!$EA$8&gt;5,E191&lt;&gt;"0"),1,0)</f>
        <v>0</v>
      </c>
      <c r="H191" s="751">
        <v>32</v>
      </c>
      <c r="I191" s="1356"/>
      <c r="J191" s="1356"/>
      <c r="K191" s="1356"/>
      <c r="L191" s="1356"/>
      <c r="M191" s="1356"/>
      <c r="N191" s="1356"/>
      <c r="O191" s="1356"/>
    </row>
    <row r="192" spans="1:15" x14ac:dyDescent="0.3">
      <c r="A192" s="1392" t="str">
        <f t="shared" si="40"/>
        <v>0</v>
      </c>
      <c r="B192" s="1393" t="str">
        <f t="shared" si="41"/>
        <v>0</v>
      </c>
      <c r="C192" s="1392" t="str">
        <f t="shared" si="42"/>
        <v>0</v>
      </c>
      <c r="D192" s="1392">
        <f>'5  Control Accounts'!EM132</f>
        <v>0</v>
      </c>
      <c r="E192" s="1392" t="str">
        <f>TEXT('5  Control Accounts'!EN132,"General")</f>
        <v>0</v>
      </c>
      <c r="F192" s="750"/>
      <c r="G192" s="264">
        <f>IF(AND(NOT(ISERROR(MATCH(D192,'5  Control Accounts'!$EM$34:$EM$95,0))),'5  Control Accounts'!$EA$8&gt;5,E192&lt;&gt;"0"),1,0)</f>
        <v>0</v>
      </c>
      <c r="H192" s="751">
        <v>33</v>
      </c>
      <c r="I192" s="1356"/>
      <c r="J192" s="1356"/>
      <c r="K192" s="1356"/>
      <c r="L192" s="1356"/>
      <c r="M192" s="1356"/>
      <c r="N192" s="1356"/>
      <c r="O192" s="1356"/>
    </row>
    <row r="193" spans="1:15" x14ac:dyDescent="0.3">
      <c r="A193" s="1392" t="str">
        <f t="shared" ref="A193:A197" si="43">IF(G193=1,TEXT(5,"0"),TEXT(0,"0"))</f>
        <v>0</v>
      </c>
      <c r="B193" s="1393" t="str">
        <f t="shared" ref="B193:B197" si="44">IF(G193=1,$B$2,TEXT(0,"0"))</f>
        <v>0</v>
      </c>
      <c r="C193" s="1392" t="str">
        <f t="shared" ref="C193:C197" si="45">IF(G193,$B$2&amp;"."&amp;D193,TEXT(0,"0"))</f>
        <v>0</v>
      </c>
      <c r="D193" s="1392">
        <f>'5  Control Accounts'!EM133</f>
        <v>0</v>
      </c>
      <c r="E193" s="1392" t="str">
        <f>TEXT('5  Control Accounts'!EN133,"General")</f>
        <v>0</v>
      </c>
      <c r="F193" s="750"/>
      <c r="G193" s="264">
        <f>IF(AND(NOT(ISERROR(MATCH(D193,'5  Control Accounts'!$EM$34:$EM$95,0))),'5  Control Accounts'!$EA$8&gt;5,E193&lt;&gt;"0"),1,0)</f>
        <v>0</v>
      </c>
      <c r="H193" s="751">
        <v>34</v>
      </c>
      <c r="I193" s="1356"/>
      <c r="J193" s="1356"/>
      <c r="K193" s="1356"/>
      <c r="L193" s="1356"/>
      <c r="M193" s="1356"/>
      <c r="N193" s="1356"/>
      <c r="O193" s="1356"/>
    </row>
    <row r="194" spans="1:15" x14ac:dyDescent="0.3">
      <c r="A194" s="1392" t="str">
        <f t="shared" si="43"/>
        <v>0</v>
      </c>
      <c r="B194" s="1393" t="str">
        <f t="shared" si="44"/>
        <v>0</v>
      </c>
      <c r="C194" s="1392" t="str">
        <f t="shared" si="45"/>
        <v>0</v>
      </c>
      <c r="D194" s="1392">
        <f>'5  Control Accounts'!EM134</f>
        <v>0</v>
      </c>
      <c r="E194" s="1392" t="str">
        <f>TEXT('5  Control Accounts'!EN134,"General")</f>
        <v>0</v>
      </c>
      <c r="F194" s="750"/>
      <c r="G194" s="264">
        <f>IF(AND(NOT(ISERROR(MATCH(D194,'5  Control Accounts'!$EM$34:$EM$95,0))),'5  Control Accounts'!$EA$8&gt;5,E194&lt;&gt;"0"),1,0)</f>
        <v>0</v>
      </c>
      <c r="H194" s="751">
        <v>35</v>
      </c>
      <c r="I194" s="1356"/>
      <c r="J194" s="1356"/>
      <c r="K194" s="1356"/>
      <c r="L194" s="1356"/>
      <c r="M194" s="1356"/>
      <c r="N194" s="1356"/>
      <c r="O194" s="1356"/>
    </row>
    <row r="195" spans="1:15" x14ac:dyDescent="0.3">
      <c r="A195" s="1392" t="str">
        <f t="shared" si="43"/>
        <v>0</v>
      </c>
      <c r="B195" s="1393" t="str">
        <f t="shared" si="44"/>
        <v>0</v>
      </c>
      <c r="C195" s="1392" t="str">
        <f t="shared" si="45"/>
        <v>0</v>
      </c>
      <c r="D195" s="1392">
        <f>'5  Control Accounts'!EM135</f>
        <v>0</v>
      </c>
      <c r="E195" s="1392" t="str">
        <f>TEXT('5  Control Accounts'!EN135,"General")</f>
        <v>0</v>
      </c>
      <c r="F195" s="750"/>
      <c r="G195" s="264">
        <f>IF(AND(NOT(ISERROR(MATCH(D195,'5  Control Accounts'!$EM$34:$EM$95,0))),'5  Control Accounts'!$EA$8&gt;5,E195&lt;&gt;"0"),1,0)</f>
        <v>0</v>
      </c>
      <c r="H195" s="751">
        <v>36</v>
      </c>
      <c r="I195" s="1356"/>
      <c r="J195" s="1356"/>
      <c r="K195" s="1356"/>
      <c r="L195" s="1356"/>
      <c r="M195" s="1356"/>
      <c r="N195" s="1356"/>
      <c r="O195" s="1356"/>
    </row>
    <row r="196" spans="1:15" x14ac:dyDescent="0.3">
      <c r="A196" s="1392" t="str">
        <f t="shared" si="43"/>
        <v>0</v>
      </c>
      <c r="B196" s="1393" t="str">
        <f t="shared" si="44"/>
        <v>0</v>
      </c>
      <c r="C196" s="1392" t="str">
        <f t="shared" si="45"/>
        <v>0</v>
      </c>
      <c r="D196" s="1392">
        <f>'5  Control Accounts'!EM136</f>
        <v>0</v>
      </c>
      <c r="E196" s="1392" t="str">
        <f>TEXT('5  Control Accounts'!EN136,"General")</f>
        <v>0</v>
      </c>
      <c r="F196" s="750"/>
      <c r="G196" s="264">
        <f>IF(AND(NOT(ISERROR(MATCH(D196,'5  Control Accounts'!$EM$34:$EM$95,0))),'5  Control Accounts'!$EA$8&gt;5,E196&lt;&gt;"0"),1,0)</f>
        <v>0</v>
      </c>
      <c r="H196" s="751">
        <v>37</v>
      </c>
      <c r="I196" s="1356"/>
      <c r="J196" s="1356"/>
      <c r="K196" s="1356"/>
      <c r="L196" s="1356"/>
      <c r="M196" s="1356"/>
      <c r="N196" s="1356"/>
      <c r="O196" s="1356"/>
    </row>
    <row r="197" spans="1:15" x14ac:dyDescent="0.3">
      <c r="A197" s="1392" t="str">
        <f t="shared" si="43"/>
        <v>0</v>
      </c>
      <c r="B197" s="1393" t="str">
        <f t="shared" si="44"/>
        <v>0</v>
      </c>
      <c r="C197" s="1392" t="str">
        <f t="shared" si="45"/>
        <v>0</v>
      </c>
      <c r="D197" s="1392">
        <f>'5  Control Accounts'!EM137</f>
        <v>0</v>
      </c>
      <c r="E197" s="1392" t="str">
        <f>TEXT('5  Control Accounts'!EN137,"General")</f>
        <v>0</v>
      </c>
      <c r="F197" s="750"/>
      <c r="G197" s="264">
        <f>IF(AND(NOT(ISERROR(MATCH(D197,'5  Control Accounts'!$EM$34:$EM$95,0))),'5  Control Accounts'!$EA$8&gt;5,E197&lt;&gt;"0"),1,0)</f>
        <v>0</v>
      </c>
      <c r="H197" s="751">
        <v>38</v>
      </c>
      <c r="I197" s="1356"/>
      <c r="J197" s="1356"/>
      <c r="K197" s="1356"/>
      <c r="L197" s="1356"/>
      <c r="M197" s="1356"/>
      <c r="N197" s="1356"/>
      <c r="O197" s="1356"/>
    </row>
    <row r="198" spans="1:15" x14ac:dyDescent="0.3">
      <c r="A198" s="1392" t="str">
        <f t="shared" ref="A198:A199" si="46">IF(G198=1,TEXT(5,"0"),TEXT(0,"0"))</f>
        <v>0</v>
      </c>
      <c r="B198" s="1393" t="str">
        <f t="shared" ref="B198:B199" si="47">IF(G198=1,$B$2,TEXT(0,"0"))</f>
        <v>0</v>
      </c>
      <c r="C198" s="1392" t="str">
        <f t="shared" ref="C198:C199" si="48">IF(G198,$B$2&amp;"."&amp;D198,TEXT(0,"0"))</f>
        <v>0</v>
      </c>
      <c r="D198" s="1392">
        <f>'5  Control Accounts'!EM138</f>
        <v>0</v>
      </c>
      <c r="E198" s="1392" t="str">
        <f>TEXT('5  Control Accounts'!EN138,"General")</f>
        <v>0</v>
      </c>
      <c r="F198" s="750"/>
      <c r="G198" s="264">
        <f>IF(AND(NOT(ISERROR(MATCH(D198,'5  Control Accounts'!$EM$34:$EM$95,0))),'5  Control Accounts'!$EA$8&gt;5,E198&lt;&gt;"0"),1,0)</f>
        <v>0</v>
      </c>
      <c r="H198" s="751">
        <v>39</v>
      </c>
      <c r="I198" s="1356"/>
      <c r="J198" s="1356"/>
      <c r="K198" s="1356"/>
      <c r="L198" s="1356"/>
      <c r="M198" s="1356"/>
      <c r="N198" s="1356"/>
      <c r="O198" s="1356"/>
    </row>
    <row r="199" spans="1:15" ht="15" thickBot="1" x14ac:dyDescent="0.35">
      <c r="A199" s="1394" t="str">
        <f t="shared" si="46"/>
        <v>0</v>
      </c>
      <c r="B199" s="1395" t="str">
        <f t="shared" si="47"/>
        <v>0</v>
      </c>
      <c r="C199" s="1394" t="str">
        <f t="shared" si="48"/>
        <v>0</v>
      </c>
      <c r="D199" s="1394">
        <f>'5  Control Accounts'!EM139</f>
        <v>0</v>
      </c>
      <c r="E199" s="1394" t="str">
        <f>TEXT('5  Control Accounts'!EN139,"General")</f>
        <v>0</v>
      </c>
      <c r="F199" s="750"/>
      <c r="G199" s="1506">
        <f>IF(AND(NOT(ISERROR(MATCH(D199,'5  Control Accounts'!$EM$34:$EM$95,0))),'5  Control Accounts'!$EA$8&gt;5,E199&lt;&gt;"0"),1,0)</f>
        <v>0</v>
      </c>
      <c r="H199" s="1507">
        <v>40</v>
      </c>
      <c r="I199" s="1356"/>
    </row>
    <row r="200" spans="1:15" x14ac:dyDescent="0.3">
      <c r="A200" s="1396" t="str">
        <f t="shared" ref="A200:A204" si="49">IF(G200=1,TEXT(6,"0"),TEXT(0,"0"))</f>
        <v>0</v>
      </c>
      <c r="B200" s="1397" t="str">
        <f t="shared" si="38"/>
        <v>0</v>
      </c>
      <c r="C200" s="1396" t="str">
        <f t="shared" si="39"/>
        <v>0</v>
      </c>
      <c r="D200" s="1396" t="str">
        <f>'5  Control Accounts'!EP29</f>
        <v>0</v>
      </c>
      <c r="E200" s="1396" t="str">
        <f>'5  Control Accounts'!EQ29</f>
        <v>GENERAL LABOR CONTINGENCY</v>
      </c>
      <c r="F200" s="750"/>
      <c r="G200" s="1505">
        <f>IF(AND('5  Control Accounts'!$EA$8&gt;6,D200&lt;&gt;"0"),1,0)</f>
        <v>0</v>
      </c>
      <c r="H200" s="1502" t="s">
        <v>141</v>
      </c>
      <c r="I200" s="1356"/>
      <c r="J200" s="1356"/>
      <c r="K200" s="1356"/>
      <c r="L200" s="1356"/>
      <c r="M200" s="1356"/>
      <c r="N200" s="1356"/>
      <c r="O200" s="1356"/>
    </row>
    <row r="201" spans="1:15" x14ac:dyDescent="0.3">
      <c r="A201" s="1396" t="str">
        <f t="shared" si="49"/>
        <v>0</v>
      </c>
      <c r="B201" s="1397" t="str">
        <f t="shared" si="38"/>
        <v>0</v>
      </c>
      <c r="C201" s="1396" t="str">
        <f t="shared" si="39"/>
        <v>0</v>
      </c>
      <c r="D201" s="1396" t="str">
        <f>'5  Control Accounts'!EP30</f>
        <v>0</v>
      </c>
      <c r="E201" s="1396" t="str">
        <f>'5  Control Accounts'!EQ30</f>
        <v>GENERAL NON-LABOR CONTINGENCY</v>
      </c>
      <c r="F201" s="750"/>
      <c r="G201" s="1194">
        <f>IF(AND('5  Control Accounts'!$EA$8&gt;6,D201&lt;&gt;"0"),1,0)</f>
        <v>0</v>
      </c>
      <c r="H201" s="751" t="s">
        <v>142</v>
      </c>
      <c r="I201" s="1356"/>
      <c r="J201" s="1356"/>
      <c r="K201" s="1356"/>
      <c r="L201" s="1356"/>
      <c r="M201" s="1356"/>
      <c r="N201" s="1356"/>
      <c r="O201" s="1356"/>
    </row>
    <row r="202" spans="1:15" x14ac:dyDescent="0.3">
      <c r="A202" s="1396" t="str">
        <f t="shared" si="49"/>
        <v>0</v>
      </c>
      <c r="B202" s="1397" t="str">
        <f t="shared" si="38"/>
        <v>0</v>
      </c>
      <c r="C202" s="1396" t="str">
        <f t="shared" si="39"/>
        <v>0</v>
      </c>
      <c r="D202" s="1396" t="str">
        <f>'5  Control Accounts'!EP31</f>
        <v>0</v>
      </c>
      <c r="E202" s="1396" t="str">
        <f>'5  Control Accounts'!EQ31</f>
        <v>COST RESERVE</v>
      </c>
      <c r="F202" s="750"/>
      <c r="G202" s="1194">
        <f>IF(AND('5  Control Accounts'!$EA$8&gt;6,D202&lt;&gt;"0"),1,0)</f>
        <v>0</v>
      </c>
      <c r="H202" s="751" t="s">
        <v>143</v>
      </c>
      <c r="I202" s="1356"/>
      <c r="J202" s="1356"/>
      <c r="K202" s="1356"/>
      <c r="L202" s="1356"/>
      <c r="M202" s="1356"/>
      <c r="N202" s="1356"/>
      <c r="O202" s="1356"/>
    </row>
    <row r="203" spans="1:15" x14ac:dyDescent="0.3">
      <c r="A203" s="1396" t="str">
        <f t="shared" si="49"/>
        <v>0</v>
      </c>
      <c r="B203" s="1397" t="str">
        <f t="shared" si="38"/>
        <v>0</v>
      </c>
      <c r="C203" s="1396" t="str">
        <f t="shared" si="39"/>
        <v>0</v>
      </c>
      <c r="D203" s="1396" t="str">
        <f>'5  Control Accounts'!EP32</f>
        <v>0</v>
      </c>
      <c r="E203" s="1396" t="str">
        <f>'5  Control Accounts'!EQ32</f>
        <v>FEE</v>
      </c>
      <c r="F203" s="750"/>
      <c r="G203" s="1194">
        <f>IF(AND('5  Control Accounts'!$EA$8&gt;6,D203&lt;&gt;"0"),1,0)</f>
        <v>0</v>
      </c>
      <c r="H203" s="751" t="s">
        <v>144</v>
      </c>
      <c r="I203" s="1356"/>
      <c r="J203" s="1356"/>
      <c r="K203" s="1356"/>
      <c r="L203" s="1356"/>
      <c r="M203" s="1356"/>
      <c r="N203" s="1356"/>
      <c r="O203" s="1356"/>
    </row>
    <row r="204" spans="1:15" ht="15" thickBot="1" x14ac:dyDescent="0.35">
      <c r="A204" s="1511" t="str">
        <f t="shared" si="49"/>
        <v>0</v>
      </c>
      <c r="B204" s="1512" t="str">
        <f t="shared" si="38"/>
        <v>0</v>
      </c>
      <c r="C204" s="1511" t="str">
        <f t="shared" si="39"/>
        <v>0</v>
      </c>
      <c r="D204" s="1511" t="str">
        <f>'5  Control Accounts'!EP33</f>
        <v>0</v>
      </c>
      <c r="E204" s="1511" t="str">
        <f>'5  Control Accounts'!EQ33</f>
        <v>PC ALLOCATION</v>
      </c>
      <c r="F204" s="750"/>
      <c r="G204" s="1508">
        <f>IF(AND('5  Control Accounts'!$EA$8&gt;6,D204&lt;&gt;"0"),1,0)</f>
        <v>0</v>
      </c>
      <c r="H204" s="1504" t="s">
        <v>1491</v>
      </c>
      <c r="I204" s="1356"/>
      <c r="J204" s="1356"/>
      <c r="K204" s="1356"/>
      <c r="L204" s="1356"/>
      <c r="M204" s="1356"/>
      <c r="N204" s="1356"/>
      <c r="O204" s="1356"/>
    </row>
    <row r="205" spans="1:15" ht="15" thickTop="1" x14ac:dyDescent="0.3">
      <c r="A205" s="1509" t="str">
        <f>IF(G205=1,TEXT(6,"0"),TEXT(0,"0"))</f>
        <v>0</v>
      </c>
      <c r="B205" s="1510" t="str">
        <f>IF(G205=1,$B$2,TEXT(0,"0"))</f>
        <v>0</v>
      </c>
      <c r="C205" s="1509" t="str">
        <f>IF(G205,$B$2&amp;"."&amp;D205,TEXT(0,"0"))</f>
        <v>0</v>
      </c>
      <c r="D205" s="1679">
        <f>'5  Control Accounts'!EP100</f>
        <v>0</v>
      </c>
      <c r="E205" s="1509" t="str">
        <f>TEXT('5  Control Accounts'!EQ100,"General")</f>
        <v>0</v>
      </c>
      <c r="F205" s="750"/>
      <c r="G205" s="1194">
        <f>IF(AND(NOT(ISERROR(MATCH(D205,'5  Control Accounts'!$EP$34:$EP$95,0))),'5  Control Accounts'!$EA$8&gt;6,E205&lt;&gt;"0"),1,0)</f>
        <v>0</v>
      </c>
      <c r="H205" s="1502">
        <v>1</v>
      </c>
      <c r="I205" s="1356"/>
    </row>
    <row r="206" spans="1:15" x14ac:dyDescent="0.3">
      <c r="A206" s="1396" t="str">
        <f t="shared" ref="A206:A223" si="50">IF(G206=1,TEXT(6,"0"),TEXT(0,"0"))</f>
        <v>0</v>
      </c>
      <c r="B206" s="1397" t="str">
        <f t="shared" ref="B206:B249" si="51">IF(G206=1,$B$2,TEXT(0,"0"))</f>
        <v>0</v>
      </c>
      <c r="C206" s="1396" t="str">
        <f t="shared" ref="C206:C249" si="52">IF(G206,$B$2&amp;"."&amp;D206,TEXT(0,"0"))</f>
        <v>0</v>
      </c>
      <c r="D206" s="1396">
        <f>'5  Control Accounts'!EP101</f>
        <v>0</v>
      </c>
      <c r="E206" s="1396" t="str">
        <f>TEXT('5  Control Accounts'!EQ101,"General")</f>
        <v>0</v>
      </c>
      <c r="F206" s="750"/>
      <c r="G206" s="1194">
        <f>IF(AND(NOT(ISERROR(MATCH(D206,'5  Control Accounts'!$EP$34:$EP$95,0))),'5  Control Accounts'!$EA$8&gt;6,E206&lt;&gt;"0"),1,0)</f>
        <v>0</v>
      </c>
      <c r="H206" s="751">
        <v>2</v>
      </c>
      <c r="I206" s="1356"/>
    </row>
    <row r="207" spans="1:15" x14ac:dyDescent="0.3">
      <c r="A207" s="1396" t="str">
        <f t="shared" si="50"/>
        <v>0</v>
      </c>
      <c r="B207" s="1397" t="str">
        <f t="shared" si="51"/>
        <v>0</v>
      </c>
      <c r="C207" s="1396" t="str">
        <f t="shared" si="52"/>
        <v>0</v>
      </c>
      <c r="D207" s="1396">
        <f>'5  Control Accounts'!EP102</f>
        <v>0</v>
      </c>
      <c r="E207" s="1396" t="str">
        <f>TEXT('5  Control Accounts'!EQ102,"General")</f>
        <v>0</v>
      </c>
      <c r="F207" s="750"/>
      <c r="G207" s="1194">
        <f>IF(AND(NOT(ISERROR(MATCH(D207,'5  Control Accounts'!$EP$34:$EP$95,0))),'5  Control Accounts'!$EA$8&gt;6,E207&lt;&gt;"0"),1,0)</f>
        <v>0</v>
      </c>
      <c r="H207" s="751">
        <v>3</v>
      </c>
      <c r="I207" s="1356"/>
    </row>
    <row r="208" spans="1:15" x14ac:dyDescent="0.3">
      <c r="A208" s="1396" t="str">
        <f t="shared" si="50"/>
        <v>0</v>
      </c>
      <c r="B208" s="1397" t="str">
        <f t="shared" si="51"/>
        <v>0</v>
      </c>
      <c r="C208" s="1396" t="str">
        <f t="shared" si="52"/>
        <v>0</v>
      </c>
      <c r="D208" s="1396">
        <f>'5  Control Accounts'!EP103</f>
        <v>0</v>
      </c>
      <c r="E208" s="1396" t="str">
        <f>TEXT('5  Control Accounts'!EQ103,"General")</f>
        <v>0</v>
      </c>
      <c r="F208" s="750"/>
      <c r="G208" s="1194">
        <f>IF(AND(NOT(ISERROR(MATCH(D208,'5  Control Accounts'!$EP$34:$EP$95,0))),'5  Control Accounts'!$EA$8&gt;6,E208&lt;&gt;"0"),1,0)</f>
        <v>0</v>
      </c>
      <c r="H208" s="751">
        <v>4</v>
      </c>
      <c r="I208" s="1356"/>
    </row>
    <row r="209" spans="1:15" x14ac:dyDescent="0.3">
      <c r="A209" s="1396" t="str">
        <f t="shared" si="50"/>
        <v>0</v>
      </c>
      <c r="B209" s="1397" t="str">
        <f t="shared" si="51"/>
        <v>0</v>
      </c>
      <c r="C209" s="1396" t="str">
        <f t="shared" si="52"/>
        <v>0</v>
      </c>
      <c r="D209" s="1396">
        <f>'5  Control Accounts'!EP104</f>
        <v>0</v>
      </c>
      <c r="E209" s="1396" t="str">
        <f>TEXT('5  Control Accounts'!EQ104,"General")</f>
        <v>0</v>
      </c>
      <c r="F209" s="750"/>
      <c r="G209" s="1194">
        <f>IF(AND(NOT(ISERROR(MATCH(D209,'5  Control Accounts'!$EP$34:$EP$95,0))),'5  Control Accounts'!$EA$8&gt;6,E209&lt;&gt;"0"),1,0)</f>
        <v>0</v>
      </c>
      <c r="H209" s="751">
        <v>5</v>
      </c>
      <c r="I209" s="1356"/>
    </row>
    <row r="210" spans="1:15" x14ac:dyDescent="0.3">
      <c r="A210" s="1396" t="str">
        <f t="shared" si="50"/>
        <v>0</v>
      </c>
      <c r="B210" s="1397" t="str">
        <f t="shared" si="51"/>
        <v>0</v>
      </c>
      <c r="C210" s="1396" t="str">
        <f t="shared" si="52"/>
        <v>0</v>
      </c>
      <c r="D210" s="1396">
        <f>'5  Control Accounts'!EP105</f>
        <v>0</v>
      </c>
      <c r="E210" s="1396" t="str">
        <f>TEXT('5  Control Accounts'!EQ105,"General")</f>
        <v>0</v>
      </c>
      <c r="F210" s="750"/>
      <c r="G210" s="1194">
        <f>IF(AND(NOT(ISERROR(MATCH(D210,'5  Control Accounts'!$EP$34:$EP$95,0))),'5  Control Accounts'!$EA$8&gt;6,E210&lt;&gt;"0"),1,0)</f>
        <v>0</v>
      </c>
      <c r="H210" s="751">
        <v>6</v>
      </c>
      <c r="I210" s="1356"/>
    </row>
    <row r="211" spans="1:15" x14ac:dyDescent="0.3">
      <c r="A211" s="1396" t="str">
        <f t="shared" si="50"/>
        <v>0</v>
      </c>
      <c r="B211" s="1397" t="str">
        <f t="shared" si="51"/>
        <v>0</v>
      </c>
      <c r="C211" s="1396" t="str">
        <f t="shared" si="52"/>
        <v>0</v>
      </c>
      <c r="D211" s="1396">
        <f>'5  Control Accounts'!EP106</f>
        <v>0</v>
      </c>
      <c r="E211" s="1396" t="str">
        <f>TEXT('5  Control Accounts'!EQ106,"General")</f>
        <v>0</v>
      </c>
      <c r="F211" s="750"/>
      <c r="G211" s="1194">
        <f>IF(AND(NOT(ISERROR(MATCH(D211,'5  Control Accounts'!$EP$34:$EP$95,0))),'5  Control Accounts'!$EA$8&gt;6,E211&lt;&gt;"0"),1,0)</f>
        <v>0</v>
      </c>
      <c r="H211" s="751">
        <v>7</v>
      </c>
      <c r="I211" s="1356"/>
    </row>
    <row r="212" spans="1:15" x14ac:dyDescent="0.3">
      <c r="A212" s="1396" t="str">
        <f t="shared" si="50"/>
        <v>0</v>
      </c>
      <c r="B212" s="1397" t="str">
        <f t="shared" si="51"/>
        <v>0</v>
      </c>
      <c r="C212" s="1396" t="str">
        <f t="shared" si="52"/>
        <v>0</v>
      </c>
      <c r="D212" s="1396">
        <f>'5  Control Accounts'!EP107</f>
        <v>0</v>
      </c>
      <c r="E212" s="1396" t="str">
        <f>TEXT('5  Control Accounts'!EQ107,"General")</f>
        <v>0</v>
      </c>
      <c r="F212" s="750"/>
      <c r="G212" s="1194">
        <f>IF(AND(NOT(ISERROR(MATCH(D212,'5  Control Accounts'!$EP$34:$EP$95,0))),'5  Control Accounts'!$EA$8&gt;6,E212&lt;&gt;"0"),1,0)</f>
        <v>0</v>
      </c>
      <c r="H212" s="751">
        <v>8</v>
      </c>
      <c r="I212" s="1356"/>
    </row>
    <row r="213" spans="1:15" x14ac:dyDescent="0.3">
      <c r="A213" s="1396" t="str">
        <f t="shared" si="50"/>
        <v>0</v>
      </c>
      <c r="B213" s="1397" t="str">
        <f t="shared" si="51"/>
        <v>0</v>
      </c>
      <c r="C213" s="1396" t="str">
        <f t="shared" si="52"/>
        <v>0</v>
      </c>
      <c r="D213" s="1396">
        <f>'5  Control Accounts'!EP108</f>
        <v>0</v>
      </c>
      <c r="E213" s="1396" t="str">
        <f>TEXT('5  Control Accounts'!EQ108,"General")</f>
        <v>0</v>
      </c>
      <c r="F213" s="750"/>
      <c r="G213" s="1194">
        <f>IF(AND(NOT(ISERROR(MATCH(D213,'5  Control Accounts'!$EP$34:$EP$95,0))),'5  Control Accounts'!$EA$8&gt;6,E213&lt;&gt;"0"),1,0)</f>
        <v>0</v>
      </c>
      <c r="H213" s="751">
        <v>9</v>
      </c>
      <c r="I213" s="1356"/>
    </row>
    <row r="214" spans="1:15" x14ac:dyDescent="0.3">
      <c r="A214" s="1396" t="str">
        <f t="shared" si="50"/>
        <v>0</v>
      </c>
      <c r="B214" s="1397" t="str">
        <f t="shared" si="51"/>
        <v>0</v>
      </c>
      <c r="C214" s="1396" t="str">
        <f t="shared" si="52"/>
        <v>0</v>
      </c>
      <c r="D214" s="1396">
        <f>'5  Control Accounts'!EP109</f>
        <v>0</v>
      </c>
      <c r="E214" s="1396" t="str">
        <f>TEXT('5  Control Accounts'!EQ109,"General")</f>
        <v>0</v>
      </c>
      <c r="F214" s="750"/>
      <c r="G214" s="1194">
        <f>IF(AND(NOT(ISERROR(MATCH(D214,'5  Control Accounts'!$EP$34:$EP$95,0))),'5  Control Accounts'!$EA$8&gt;6,E214&lt;&gt;"0"),1,0)</f>
        <v>0</v>
      </c>
      <c r="H214" s="751">
        <v>10</v>
      </c>
      <c r="I214" s="1356"/>
    </row>
    <row r="215" spans="1:15" x14ac:dyDescent="0.3">
      <c r="A215" s="1396" t="str">
        <f t="shared" si="50"/>
        <v>0</v>
      </c>
      <c r="B215" s="1397" t="str">
        <f t="shared" si="51"/>
        <v>0</v>
      </c>
      <c r="C215" s="1396" t="str">
        <f t="shared" si="52"/>
        <v>0</v>
      </c>
      <c r="D215" s="1396">
        <f>'5  Control Accounts'!EP110</f>
        <v>0</v>
      </c>
      <c r="E215" s="1396" t="str">
        <f>TEXT('5  Control Accounts'!EQ110,"General")</f>
        <v>0</v>
      </c>
      <c r="F215" s="750"/>
      <c r="G215" s="1194">
        <f>IF(AND(NOT(ISERROR(MATCH(D215,'5  Control Accounts'!$EP$34:$EP$95,0))),'5  Control Accounts'!$EA$8&gt;6,E215&lt;&gt;"0"),1,0)</f>
        <v>0</v>
      </c>
      <c r="H215" s="751">
        <v>11</v>
      </c>
      <c r="I215" s="1356"/>
    </row>
    <row r="216" spans="1:15" x14ac:dyDescent="0.3">
      <c r="A216" s="1396" t="str">
        <f t="shared" si="50"/>
        <v>0</v>
      </c>
      <c r="B216" s="1397" t="str">
        <f t="shared" si="51"/>
        <v>0</v>
      </c>
      <c r="C216" s="1396" t="str">
        <f t="shared" si="52"/>
        <v>0</v>
      </c>
      <c r="D216" s="1396">
        <f>'5  Control Accounts'!EP111</f>
        <v>0</v>
      </c>
      <c r="E216" s="1396" t="str">
        <f>TEXT('5  Control Accounts'!EQ111,"General")</f>
        <v>0</v>
      </c>
      <c r="F216" s="750"/>
      <c r="G216" s="1194">
        <f>IF(AND(NOT(ISERROR(MATCH(D216,'5  Control Accounts'!$EP$34:$EP$95,0))),'5  Control Accounts'!$EA$8&gt;6,E216&lt;&gt;"0"),1,0)</f>
        <v>0</v>
      </c>
      <c r="H216" s="751">
        <v>12</v>
      </c>
      <c r="I216" s="1356"/>
    </row>
    <row r="217" spans="1:15" x14ac:dyDescent="0.3">
      <c r="A217" s="1396" t="str">
        <f t="shared" si="50"/>
        <v>0</v>
      </c>
      <c r="B217" s="1397" t="str">
        <f t="shared" si="51"/>
        <v>0</v>
      </c>
      <c r="C217" s="1396" t="str">
        <f t="shared" si="52"/>
        <v>0</v>
      </c>
      <c r="D217" s="1396">
        <f>'5  Control Accounts'!EP112</f>
        <v>0</v>
      </c>
      <c r="E217" s="1396" t="str">
        <f>TEXT('5  Control Accounts'!EQ112,"General")</f>
        <v>0</v>
      </c>
      <c r="F217" s="750"/>
      <c r="G217" s="1194">
        <f>IF(AND(NOT(ISERROR(MATCH(D217,'5  Control Accounts'!$EP$34:$EP$95,0))),'5  Control Accounts'!$EA$8&gt;6,E217&lt;&gt;"0"),1,0)</f>
        <v>0</v>
      </c>
      <c r="H217" s="751">
        <v>13</v>
      </c>
      <c r="I217" s="1356"/>
    </row>
    <row r="218" spans="1:15" x14ac:dyDescent="0.3">
      <c r="A218" s="1396" t="str">
        <f t="shared" si="50"/>
        <v>0</v>
      </c>
      <c r="B218" s="1397" t="str">
        <f t="shared" si="51"/>
        <v>0</v>
      </c>
      <c r="C218" s="1396" t="str">
        <f t="shared" si="52"/>
        <v>0</v>
      </c>
      <c r="D218" s="1396">
        <f>'5  Control Accounts'!EP113</f>
        <v>0</v>
      </c>
      <c r="E218" s="1396" t="str">
        <f>TEXT('5  Control Accounts'!EQ113,"General")</f>
        <v>0</v>
      </c>
      <c r="F218" s="750"/>
      <c r="G218" s="1194">
        <f>IF(AND(NOT(ISERROR(MATCH(D218,'5  Control Accounts'!$EP$34:$EP$95,0))),'5  Control Accounts'!$EA$8&gt;6,E218&lt;&gt;"0"),1,0)</f>
        <v>0</v>
      </c>
      <c r="H218" s="751">
        <v>14</v>
      </c>
      <c r="I218" s="1356"/>
    </row>
    <row r="219" spans="1:15" x14ac:dyDescent="0.3">
      <c r="A219" s="1396" t="str">
        <f t="shared" si="50"/>
        <v>0</v>
      </c>
      <c r="B219" s="1397" t="str">
        <f t="shared" si="51"/>
        <v>0</v>
      </c>
      <c r="C219" s="1396" t="str">
        <f t="shared" si="52"/>
        <v>0</v>
      </c>
      <c r="D219" s="1396">
        <f>'5  Control Accounts'!EP114</f>
        <v>0</v>
      </c>
      <c r="E219" s="1396" t="str">
        <f>TEXT('5  Control Accounts'!EQ114,"General")</f>
        <v>0</v>
      </c>
      <c r="F219" s="750"/>
      <c r="G219" s="1194">
        <f>IF(AND(NOT(ISERROR(MATCH(D219,'5  Control Accounts'!$EP$34:$EP$95,0))),'5  Control Accounts'!$EA$8&gt;6,E219&lt;&gt;"0"),1,0)</f>
        <v>0</v>
      </c>
      <c r="H219" s="751">
        <v>15</v>
      </c>
      <c r="I219" s="1356"/>
    </row>
    <row r="220" spans="1:15" x14ac:dyDescent="0.3">
      <c r="A220" s="1396" t="str">
        <f t="shared" si="50"/>
        <v>0</v>
      </c>
      <c r="B220" s="1397" t="str">
        <f t="shared" si="51"/>
        <v>0</v>
      </c>
      <c r="C220" s="1396" t="str">
        <f t="shared" si="52"/>
        <v>0</v>
      </c>
      <c r="D220" s="1396">
        <f>'5  Control Accounts'!EP115</f>
        <v>0</v>
      </c>
      <c r="E220" s="1396" t="str">
        <f>TEXT('5  Control Accounts'!EQ115,"General")</f>
        <v>0</v>
      </c>
      <c r="F220" s="750"/>
      <c r="G220" s="1194">
        <f>IF(AND(NOT(ISERROR(MATCH(D220,'5  Control Accounts'!$EP$34:$EP$95,0))),'5  Control Accounts'!$EA$8&gt;6,E220&lt;&gt;"0"),1,0)</f>
        <v>0</v>
      </c>
      <c r="H220" s="751">
        <v>16</v>
      </c>
      <c r="I220" s="1356"/>
    </row>
    <row r="221" spans="1:15" x14ac:dyDescent="0.3">
      <c r="A221" s="1396" t="str">
        <f t="shared" si="50"/>
        <v>0</v>
      </c>
      <c r="B221" s="1397" t="str">
        <f t="shared" si="51"/>
        <v>0</v>
      </c>
      <c r="C221" s="1396" t="str">
        <f t="shared" si="52"/>
        <v>0</v>
      </c>
      <c r="D221" s="1396">
        <f>'5  Control Accounts'!EP116</f>
        <v>0</v>
      </c>
      <c r="E221" s="1396" t="str">
        <f>TEXT('5  Control Accounts'!EQ116,"General")</f>
        <v>0</v>
      </c>
      <c r="F221" s="750"/>
      <c r="G221" s="1194">
        <f>IF(AND(NOT(ISERROR(MATCH(D221,'5  Control Accounts'!$EP$34:$EP$95,0))),'5  Control Accounts'!$EA$8&gt;6,E221&lt;&gt;"0"),1,0)</f>
        <v>0</v>
      </c>
      <c r="H221" s="751">
        <v>17</v>
      </c>
      <c r="I221" s="1356"/>
    </row>
    <row r="222" spans="1:15" x14ac:dyDescent="0.3">
      <c r="A222" s="1396" t="str">
        <f t="shared" si="50"/>
        <v>0</v>
      </c>
      <c r="B222" s="1397" t="str">
        <f t="shared" si="51"/>
        <v>0</v>
      </c>
      <c r="C222" s="1396" t="str">
        <f t="shared" si="52"/>
        <v>0</v>
      </c>
      <c r="D222" s="1396">
        <f>'5  Control Accounts'!EP117</f>
        <v>0</v>
      </c>
      <c r="E222" s="1396" t="str">
        <f>TEXT('5  Control Accounts'!EQ117,"General")</f>
        <v>0</v>
      </c>
      <c r="F222" s="750"/>
      <c r="G222" s="1194">
        <f>IF(AND(NOT(ISERROR(MATCH(D222,'5  Control Accounts'!$EP$34:$EP$95,0))),'5  Control Accounts'!$EA$8&gt;6,E222&lt;&gt;"0"),1,0)</f>
        <v>0</v>
      </c>
      <c r="H222" s="751">
        <v>18</v>
      </c>
      <c r="I222" s="1356"/>
    </row>
    <row r="223" spans="1:15" x14ac:dyDescent="0.3">
      <c r="A223" s="1396" t="str">
        <f t="shared" si="50"/>
        <v>0</v>
      </c>
      <c r="B223" s="1397" t="str">
        <f t="shared" si="51"/>
        <v>0</v>
      </c>
      <c r="C223" s="1396" t="str">
        <f t="shared" si="52"/>
        <v>0</v>
      </c>
      <c r="D223" s="1396">
        <f>'5  Control Accounts'!EP118</f>
        <v>0</v>
      </c>
      <c r="E223" s="1396" t="str">
        <f>TEXT('5  Control Accounts'!EQ118,"General")</f>
        <v>0</v>
      </c>
      <c r="F223" s="750"/>
      <c r="G223" s="1194">
        <f>IF(AND(NOT(ISERROR(MATCH(D223,'5  Control Accounts'!$EP$34:$EP$95,0))),'5  Control Accounts'!$EA$8&gt;6,E223&lt;&gt;"0"),1,0)</f>
        <v>0</v>
      </c>
      <c r="H223" s="751">
        <v>19</v>
      </c>
      <c r="I223" s="1356"/>
    </row>
    <row r="224" spans="1:15" x14ac:dyDescent="0.3">
      <c r="A224" s="1396" t="str">
        <f t="shared" ref="A224:A243" si="53">IF(G224=1,TEXT(6,"0"),TEXT(0,"0"))</f>
        <v>0</v>
      </c>
      <c r="B224" s="1397" t="str">
        <f t="shared" ref="B224:B243" si="54">IF(G224=1,$B$2,TEXT(0,"0"))</f>
        <v>0</v>
      </c>
      <c r="C224" s="1396" t="str">
        <f t="shared" ref="C224:C243" si="55">IF(G224,$B$2&amp;"."&amp;D224,TEXT(0,"0"))</f>
        <v>0</v>
      </c>
      <c r="D224" s="1396">
        <f>'5  Control Accounts'!EP119</f>
        <v>0</v>
      </c>
      <c r="E224" s="1396" t="str">
        <f>TEXT('5  Control Accounts'!EQ119,"General")</f>
        <v>0</v>
      </c>
      <c r="F224" s="750"/>
      <c r="G224" s="1194">
        <f>IF(AND(NOT(ISERROR(MATCH(D224,'5  Control Accounts'!$EP$34:$EP$95,0))),'5  Control Accounts'!$EA$8&gt;6,E224&lt;&gt;"0"),1,0)</f>
        <v>0</v>
      </c>
      <c r="H224" s="751">
        <v>20</v>
      </c>
      <c r="I224" s="1356"/>
      <c r="J224" s="1356"/>
      <c r="K224" s="1356"/>
      <c r="L224" s="1356"/>
      <c r="M224" s="1356"/>
      <c r="N224" s="1356"/>
      <c r="O224" s="1356"/>
    </row>
    <row r="225" spans="1:15" x14ac:dyDescent="0.3">
      <c r="A225" s="1396" t="str">
        <f t="shared" si="53"/>
        <v>0</v>
      </c>
      <c r="B225" s="1397" t="str">
        <f t="shared" si="54"/>
        <v>0</v>
      </c>
      <c r="C225" s="1396" t="str">
        <f t="shared" si="55"/>
        <v>0</v>
      </c>
      <c r="D225" s="1396">
        <f>'5  Control Accounts'!EP120</f>
        <v>0</v>
      </c>
      <c r="E225" s="1396" t="str">
        <f>TEXT('5  Control Accounts'!EQ120,"General")</f>
        <v>0</v>
      </c>
      <c r="F225" s="750"/>
      <c r="G225" s="1194">
        <f>IF(AND(NOT(ISERROR(MATCH(D225,'5  Control Accounts'!$EP$34:$EP$95,0))),'5  Control Accounts'!$EA$8&gt;6,E225&lt;&gt;"0"),1,0)</f>
        <v>0</v>
      </c>
      <c r="H225" s="751">
        <v>21</v>
      </c>
      <c r="I225" s="1356"/>
      <c r="J225" s="1356"/>
      <c r="K225" s="1356"/>
      <c r="L225" s="1356"/>
      <c r="M225" s="1356"/>
      <c r="N225" s="1356"/>
      <c r="O225" s="1356"/>
    </row>
    <row r="226" spans="1:15" x14ac:dyDescent="0.3">
      <c r="A226" s="1396" t="str">
        <f t="shared" si="53"/>
        <v>0</v>
      </c>
      <c r="B226" s="1397" t="str">
        <f t="shared" si="54"/>
        <v>0</v>
      </c>
      <c r="C226" s="1396" t="str">
        <f t="shared" si="55"/>
        <v>0</v>
      </c>
      <c r="D226" s="1396">
        <f>'5  Control Accounts'!EP121</f>
        <v>0</v>
      </c>
      <c r="E226" s="1396" t="str">
        <f>TEXT('5  Control Accounts'!EQ121,"General")</f>
        <v>0</v>
      </c>
      <c r="F226" s="750"/>
      <c r="G226" s="1194">
        <f>IF(AND(NOT(ISERROR(MATCH(D226,'5  Control Accounts'!$EP$34:$EP$95,0))),'5  Control Accounts'!$EA$8&gt;6,E226&lt;&gt;"0"),1,0)</f>
        <v>0</v>
      </c>
      <c r="H226" s="751">
        <v>22</v>
      </c>
      <c r="I226" s="1356"/>
      <c r="J226" s="1356"/>
      <c r="K226" s="1356"/>
      <c r="L226" s="1356"/>
      <c r="M226" s="1356"/>
      <c r="N226" s="1356"/>
      <c r="O226" s="1356"/>
    </row>
    <row r="227" spans="1:15" x14ac:dyDescent="0.3">
      <c r="A227" s="1396" t="str">
        <f t="shared" si="53"/>
        <v>0</v>
      </c>
      <c r="B227" s="1397" t="str">
        <f t="shared" si="54"/>
        <v>0</v>
      </c>
      <c r="C227" s="1396" t="str">
        <f t="shared" si="55"/>
        <v>0</v>
      </c>
      <c r="D227" s="1396">
        <f>'5  Control Accounts'!EP122</f>
        <v>0</v>
      </c>
      <c r="E227" s="1396" t="str">
        <f>TEXT('5  Control Accounts'!EQ122,"General")</f>
        <v>0</v>
      </c>
      <c r="F227" s="750"/>
      <c r="G227" s="1194">
        <f>IF(AND(NOT(ISERROR(MATCH(D227,'5  Control Accounts'!$EP$34:$EP$95,0))),'5  Control Accounts'!$EA$8&gt;6,E227&lt;&gt;"0"),1,0)</f>
        <v>0</v>
      </c>
      <c r="H227" s="751">
        <v>23</v>
      </c>
      <c r="I227" s="1356"/>
      <c r="J227" s="1356"/>
      <c r="K227" s="1356"/>
      <c r="L227" s="1356"/>
      <c r="M227" s="1356"/>
      <c r="N227" s="1356"/>
      <c r="O227" s="1356"/>
    </row>
    <row r="228" spans="1:15" x14ac:dyDescent="0.3">
      <c r="A228" s="1396" t="str">
        <f t="shared" si="53"/>
        <v>0</v>
      </c>
      <c r="B228" s="1397" t="str">
        <f t="shared" si="54"/>
        <v>0</v>
      </c>
      <c r="C228" s="1396" t="str">
        <f t="shared" si="55"/>
        <v>0</v>
      </c>
      <c r="D228" s="1396">
        <f>'5  Control Accounts'!EP123</f>
        <v>0</v>
      </c>
      <c r="E228" s="1396" t="str">
        <f>TEXT('5  Control Accounts'!EQ123,"General")</f>
        <v>0</v>
      </c>
      <c r="F228" s="750"/>
      <c r="G228" s="1194">
        <f>IF(AND(NOT(ISERROR(MATCH(D228,'5  Control Accounts'!$EP$34:$EP$95,0))),'5  Control Accounts'!$EA$8&gt;6,E228&lt;&gt;"0"),1,0)</f>
        <v>0</v>
      </c>
      <c r="H228" s="751">
        <v>24</v>
      </c>
      <c r="I228" s="1356"/>
      <c r="J228" s="1356"/>
      <c r="K228" s="1356"/>
      <c r="L228" s="1356"/>
      <c r="M228" s="1356"/>
      <c r="N228" s="1356"/>
      <c r="O228" s="1356"/>
    </row>
    <row r="229" spans="1:15" x14ac:dyDescent="0.3">
      <c r="A229" s="1396" t="str">
        <f t="shared" si="53"/>
        <v>0</v>
      </c>
      <c r="B229" s="1397" t="str">
        <f t="shared" si="54"/>
        <v>0</v>
      </c>
      <c r="C229" s="1396" t="str">
        <f t="shared" si="55"/>
        <v>0</v>
      </c>
      <c r="D229" s="1396">
        <f>'5  Control Accounts'!EP124</f>
        <v>0</v>
      </c>
      <c r="E229" s="1396" t="str">
        <f>TEXT('5  Control Accounts'!EQ124,"General")</f>
        <v>0</v>
      </c>
      <c r="F229" s="750"/>
      <c r="G229" s="1194">
        <f>IF(AND(NOT(ISERROR(MATCH(D229,'5  Control Accounts'!$EP$34:$EP$95,0))),'5  Control Accounts'!$EA$8&gt;6,E229&lt;&gt;"0"),1,0)</f>
        <v>0</v>
      </c>
      <c r="H229" s="751">
        <v>25</v>
      </c>
      <c r="I229" s="1356"/>
      <c r="J229" s="1356"/>
      <c r="K229" s="1356"/>
      <c r="L229" s="1356"/>
      <c r="M229" s="1356"/>
      <c r="N229" s="1356"/>
      <c r="O229" s="1356"/>
    </row>
    <row r="230" spans="1:15" x14ac:dyDescent="0.3">
      <c r="A230" s="1396" t="str">
        <f t="shared" si="53"/>
        <v>0</v>
      </c>
      <c r="B230" s="1397" t="str">
        <f t="shared" si="54"/>
        <v>0</v>
      </c>
      <c r="C230" s="1396" t="str">
        <f t="shared" si="55"/>
        <v>0</v>
      </c>
      <c r="D230" s="1396">
        <f>'5  Control Accounts'!EP125</f>
        <v>0</v>
      </c>
      <c r="E230" s="1396" t="str">
        <f>TEXT('5  Control Accounts'!EQ125,"General")</f>
        <v>0</v>
      </c>
      <c r="F230" s="750"/>
      <c r="G230" s="1194">
        <f>IF(AND(NOT(ISERROR(MATCH(D230,'5  Control Accounts'!$EP$34:$EP$95,0))),'5  Control Accounts'!$EA$8&gt;6,E230&lt;&gt;"0"),1,0)</f>
        <v>0</v>
      </c>
      <c r="H230" s="751">
        <v>26</v>
      </c>
      <c r="I230" s="1356"/>
      <c r="J230" s="1356"/>
      <c r="K230" s="1356"/>
      <c r="L230" s="1356"/>
      <c r="M230" s="1356"/>
      <c r="N230" s="1356"/>
      <c r="O230" s="1356"/>
    </row>
    <row r="231" spans="1:15" x14ac:dyDescent="0.3">
      <c r="A231" s="1396" t="str">
        <f t="shared" si="53"/>
        <v>0</v>
      </c>
      <c r="B231" s="1397" t="str">
        <f t="shared" si="54"/>
        <v>0</v>
      </c>
      <c r="C231" s="1396" t="str">
        <f t="shared" si="55"/>
        <v>0</v>
      </c>
      <c r="D231" s="1396">
        <f>'5  Control Accounts'!EP126</f>
        <v>0</v>
      </c>
      <c r="E231" s="1396" t="str">
        <f>TEXT('5  Control Accounts'!EQ126,"General")</f>
        <v>0</v>
      </c>
      <c r="F231" s="750"/>
      <c r="G231" s="1194">
        <f>IF(AND(NOT(ISERROR(MATCH(D231,'5  Control Accounts'!$EP$34:$EP$95,0))),'5  Control Accounts'!$EA$8&gt;6,E231&lt;&gt;"0"),1,0)</f>
        <v>0</v>
      </c>
      <c r="H231" s="751">
        <v>27</v>
      </c>
      <c r="I231" s="1356"/>
      <c r="J231" s="1356"/>
      <c r="K231" s="1356"/>
      <c r="L231" s="1356"/>
      <c r="M231" s="1356"/>
      <c r="N231" s="1356"/>
      <c r="O231" s="1356"/>
    </row>
    <row r="232" spans="1:15" x14ac:dyDescent="0.3">
      <c r="A232" s="1396" t="str">
        <f t="shared" si="53"/>
        <v>0</v>
      </c>
      <c r="B232" s="1397" t="str">
        <f t="shared" si="54"/>
        <v>0</v>
      </c>
      <c r="C232" s="1396" t="str">
        <f t="shared" si="55"/>
        <v>0</v>
      </c>
      <c r="D232" s="1396">
        <f>'5  Control Accounts'!EP127</f>
        <v>0</v>
      </c>
      <c r="E232" s="1396" t="str">
        <f>TEXT('5  Control Accounts'!EQ127,"General")</f>
        <v>0</v>
      </c>
      <c r="F232" s="750"/>
      <c r="G232" s="1194">
        <f>IF(AND(NOT(ISERROR(MATCH(D232,'5  Control Accounts'!$EP$34:$EP$95,0))),'5  Control Accounts'!$EA$8&gt;6,E232&lt;&gt;"0"),1,0)</f>
        <v>0</v>
      </c>
      <c r="H232" s="751">
        <v>28</v>
      </c>
      <c r="I232" s="1356"/>
      <c r="J232" s="1356"/>
      <c r="K232" s="1356"/>
      <c r="L232" s="1356"/>
      <c r="M232" s="1356"/>
      <c r="N232" s="1356"/>
      <c r="O232" s="1356"/>
    </row>
    <row r="233" spans="1:15" x14ac:dyDescent="0.3">
      <c r="A233" s="1396" t="str">
        <f t="shared" si="53"/>
        <v>0</v>
      </c>
      <c r="B233" s="1397" t="str">
        <f t="shared" si="54"/>
        <v>0</v>
      </c>
      <c r="C233" s="1396" t="str">
        <f t="shared" si="55"/>
        <v>0</v>
      </c>
      <c r="D233" s="1396">
        <f>'5  Control Accounts'!EP128</f>
        <v>0</v>
      </c>
      <c r="E233" s="1396" t="str">
        <f>TEXT('5  Control Accounts'!EQ128,"General")</f>
        <v>0</v>
      </c>
      <c r="F233" s="750"/>
      <c r="G233" s="1194">
        <f>IF(AND(NOT(ISERROR(MATCH(D233,'5  Control Accounts'!$EP$34:$EP$95,0))),'5  Control Accounts'!$EA$8&gt;6,E233&lt;&gt;"0"),1,0)</f>
        <v>0</v>
      </c>
      <c r="H233" s="751">
        <v>29</v>
      </c>
      <c r="I233" s="1356"/>
      <c r="J233" s="1356"/>
      <c r="K233" s="1356"/>
      <c r="L233" s="1356"/>
      <c r="M233" s="1356"/>
      <c r="N233" s="1356"/>
      <c r="O233" s="1356"/>
    </row>
    <row r="234" spans="1:15" x14ac:dyDescent="0.3">
      <c r="A234" s="1396" t="str">
        <f t="shared" si="53"/>
        <v>0</v>
      </c>
      <c r="B234" s="1397" t="str">
        <f t="shared" si="54"/>
        <v>0</v>
      </c>
      <c r="C234" s="1396" t="str">
        <f t="shared" si="55"/>
        <v>0</v>
      </c>
      <c r="D234" s="1396">
        <f>'5  Control Accounts'!EP129</f>
        <v>0</v>
      </c>
      <c r="E234" s="1396" t="str">
        <f>TEXT('5  Control Accounts'!EQ129,"General")</f>
        <v>0</v>
      </c>
      <c r="F234" s="750"/>
      <c r="G234" s="1194">
        <f>IF(AND(NOT(ISERROR(MATCH(D234,'5  Control Accounts'!$EP$34:$EP$95,0))),'5  Control Accounts'!$EA$8&gt;6,E234&lt;&gt;"0"),1,0)</f>
        <v>0</v>
      </c>
      <c r="H234" s="751">
        <v>30</v>
      </c>
      <c r="I234" s="1356"/>
      <c r="J234" s="1356"/>
      <c r="K234" s="1356"/>
      <c r="L234" s="1356"/>
      <c r="M234" s="1356"/>
      <c r="N234" s="1356"/>
      <c r="O234" s="1356"/>
    </row>
    <row r="235" spans="1:15" x14ac:dyDescent="0.3">
      <c r="A235" s="1396" t="str">
        <f t="shared" si="53"/>
        <v>0</v>
      </c>
      <c r="B235" s="1397" t="str">
        <f t="shared" si="54"/>
        <v>0</v>
      </c>
      <c r="C235" s="1396" t="str">
        <f t="shared" si="55"/>
        <v>0</v>
      </c>
      <c r="D235" s="1396">
        <f>'5  Control Accounts'!EP130</f>
        <v>0</v>
      </c>
      <c r="E235" s="1396" t="str">
        <f>TEXT('5  Control Accounts'!EQ130,"General")</f>
        <v>0</v>
      </c>
      <c r="F235" s="750"/>
      <c r="G235" s="1194">
        <f>IF(AND(NOT(ISERROR(MATCH(D235,'5  Control Accounts'!$EP$34:$EP$95,0))),'5  Control Accounts'!$EA$8&gt;6,E235&lt;&gt;"0"),1,0)</f>
        <v>0</v>
      </c>
      <c r="H235" s="751">
        <v>31</v>
      </c>
      <c r="I235" s="1356"/>
      <c r="J235" s="1356"/>
      <c r="K235" s="1356"/>
      <c r="L235" s="1356"/>
      <c r="M235" s="1356"/>
      <c r="N235" s="1356"/>
      <c r="O235" s="1356"/>
    </row>
    <row r="236" spans="1:15" x14ac:dyDescent="0.3">
      <c r="A236" s="1396" t="str">
        <f t="shared" si="53"/>
        <v>0</v>
      </c>
      <c r="B236" s="1397" t="str">
        <f t="shared" si="54"/>
        <v>0</v>
      </c>
      <c r="C236" s="1396" t="str">
        <f t="shared" si="55"/>
        <v>0</v>
      </c>
      <c r="D236" s="1396">
        <f>'5  Control Accounts'!EP131</f>
        <v>0</v>
      </c>
      <c r="E236" s="1396" t="str">
        <f>TEXT('5  Control Accounts'!EQ131,"General")</f>
        <v>0</v>
      </c>
      <c r="F236" s="750"/>
      <c r="G236" s="1194">
        <f>IF(AND(NOT(ISERROR(MATCH(D236,'5  Control Accounts'!$EP$34:$EP$95,0))),'5  Control Accounts'!$EA$8&gt;6,E236&lt;&gt;"0"),1,0)</f>
        <v>0</v>
      </c>
      <c r="H236" s="751">
        <v>32</v>
      </c>
      <c r="I236" s="1356"/>
      <c r="J236" s="1356"/>
      <c r="K236" s="1356"/>
      <c r="L236" s="1356"/>
      <c r="M236" s="1356"/>
      <c r="N236" s="1356"/>
      <c r="O236" s="1356"/>
    </row>
    <row r="237" spans="1:15" x14ac:dyDescent="0.3">
      <c r="A237" s="1396" t="str">
        <f t="shared" si="53"/>
        <v>0</v>
      </c>
      <c r="B237" s="1397" t="str">
        <f t="shared" si="54"/>
        <v>0</v>
      </c>
      <c r="C237" s="1396" t="str">
        <f t="shared" si="55"/>
        <v>0</v>
      </c>
      <c r="D237" s="1396">
        <f>'5  Control Accounts'!EP132</f>
        <v>0</v>
      </c>
      <c r="E237" s="1396" t="str">
        <f>TEXT('5  Control Accounts'!EQ132,"General")</f>
        <v>0</v>
      </c>
      <c r="F237" s="750"/>
      <c r="G237" s="1194">
        <f>IF(AND(NOT(ISERROR(MATCH(D237,'5  Control Accounts'!$EP$34:$EP$95,0))),'5  Control Accounts'!$EA$8&gt;6,E237&lt;&gt;"0"),1,0)</f>
        <v>0</v>
      </c>
      <c r="H237" s="751">
        <v>33</v>
      </c>
      <c r="I237" s="1356"/>
      <c r="J237" s="1356"/>
      <c r="K237" s="1356"/>
      <c r="L237" s="1356"/>
      <c r="M237" s="1356"/>
      <c r="N237" s="1356"/>
      <c r="O237" s="1356"/>
    </row>
    <row r="238" spans="1:15" x14ac:dyDescent="0.3">
      <c r="A238" s="1396" t="str">
        <f t="shared" si="53"/>
        <v>0</v>
      </c>
      <c r="B238" s="1397" t="str">
        <f t="shared" si="54"/>
        <v>0</v>
      </c>
      <c r="C238" s="1396" t="str">
        <f t="shared" si="55"/>
        <v>0</v>
      </c>
      <c r="D238" s="1396">
        <f>'5  Control Accounts'!EP133</f>
        <v>0</v>
      </c>
      <c r="E238" s="1396" t="str">
        <f>TEXT('5  Control Accounts'!EQ133,"General")</f>
        <v>0</v>
      </c>
      <c r="F238" s="750"/>
      <c r="G238" s="1194">
        <f>IF(AND(NOT(ISERROR(MATCH(D238,'5  Control Accounts'!$EP$34:$EP$95,0))),'5  Control Accounts'!$EA$8&gt;6,E238&lt;&gt;"0"),1,0)</f>
        <v>0</v>
      </c>
      <c r="H238" s="751">
        <v>34</v>
      </c>
      <c r="I238" s="1356"/>
      <c r="J238" s="1356"/>
      <c r="K238" s="1356"/>
      <c r="L238" s="1356"/>
      <c r="M238" s="1356"/>
      <c r="N238" s="1356"/>
      <c r="O238" s="1356"/>
    </row>
    <row r="239" spans="1:15" x14ac:dyDescent="0.3">
      <c r="A239" s="1396" t="str">
        <f t="shared" si="53"/>
        <v>0</v>
      </c>
      <c r="B239" s="1397" t="str">
        <f t="shared" si="54"/>
        <v>0</v>
      </c>
      <c r="C239" s="1396" t="str">
        <f t="shared" si="55"/>
        <v>0</v>
      </c>
      <c r="D239" s="1396">
        <f>'5  Control Accounts'!EP134</f>
        <v>0</v>
      </c>
      <c r="E239" s="1396" t="str">
        <f>TEXT('5  Control Accounts'!EQ134,"General")</f>
        <v>0</v>
      </c>
      <c r="F239" s="750"/>
      <c r="G239" s="1194">
        <f>IF(AND(NOT(ISERROR(MATCH(D239,'5  Control Accounts'!$EP$34:$EP$95,0))),'5  Control Accounts'!$EA$8&gt;6,E239&lt;&gt;"0"),1,0)</f>
        <v>0</v>
      </c>
      <c r="H239" s="751">
        <v>35</v>
      </c>
      <c r="I239" s="1356"/>
      <c r="J239" s="1356"/>
      <c r="K239" s="1356"/>
      <c r="L239" s="1356"/>
      <c r="M239" s="1356"/>
      <c r="N239" s="1356"/>
      <c r="O239" s="1356"/>
    </row>
    <row r="240" spans="1:15" x14ac:dyDescent="0.3">
      <c r="A240" s="1396" t="str">
        <f t="shared" si="53"/>
        <v>0</v>
      </c>
      <c r="B240" s="1397" t="str">
        <f t="shared" si="54"/>
        <v>0</v>
      </c>
      <c r="C240" s="1396" t="str">
        <f t="shared" si="55"/>
        <v>0</v>
      </c>
      <c r="D240" s="1396">
        <f>'5  Control Accounts'!EP135</f>
        <v>0</v>
      </c>
      <c r="E240" s="1396" t="str">
        <f>TEXT('5  Control Accounts'!EQ135,"General")</f>
        <v>0</v>
      </c>
      <c r="F240" s="750"/>
      <c r="G240" s="1194">
        <f>IF(AND(NOT(ISERROR(MATCH(D240,'5  Control Accounts'!$EP$34:$EP$95,0))),'5  Control Accounts'!$EA$8&gt;6,E240&lt;&gt;"0"),1,0)</f>
        <v>0</v>
      </c>
      <c r="H240" s="751">
        <v>36</v>
      </c>
      <c r="I240" s="1356"/>
      <c r="J240" s="1356"/>
      <c r="K240" s="1356"/>
      <c r="L240" s="1356"/>
      <c r="M240" s="1356"/>
      <c r="N240" s="1356"/>
      <c r="O240" s="1356"/>
    </row>
    <row r="241" spans="1:15" x14ac:dyDescent="0.3">
      <c r="A241" s="1396" t="str">
        <f t="shared" si="53"/>
        <v>0</v>
      </c>
      <c r="B241" s="1397" t="str">
        <f t="shared" si="54"/>
        <v>0</v>
      </c>
      <c r="C241" s="1396" t="str">
        <f t="shared" si="55"/>
        <v>0</v>
      </c>
      <c r="D241" s="1396">
        <f>'5  Control Accounts'!EP136</f>
        <v>0</v>
      </c>
      <c r="E241" s="1396" t="str">
        <f>TEXT('5  Control Accounts'!EQ136,"General")</f>
        <v>0</v>
      </c>
      <c r="F241" s="750"/>
      <c r="G241" s="1194">
        <f>IF(AND(NOT(ISERROR(MATCH(D241,'5  Control Accounts'!$EP$34:$EP$95,0))),'5  Control Accounts'!$EA$8&gt;6,E241&lt;&gt;"0"),1,0)</f>
        <v>0</v>
      </c>
      <c r="H241" s="751">
        <v>37</v>
      </c>
      <c r="I241" s="1356"/>
      <c r="J241" s="1356"/>
      <c r="K241" s="1356"/>
      <c r="L241" s="1356"/>
      <c r="M241" s="1356"/>
      <c r="N241" s="1356"/>
      <c r="O241" s="1356"/>
    </row>
    <row r="242" spans="1:15" x14ac:dyDescent="0.3">
      <c r="A242" s="1396" t="str">
        <f t="shared" si="53"/>
        <v>0</v>
      </c>
      <c r="B242" s="1397" t="str">
        <f t="shared" si="54"/>
        <v>0</v>
      </c>
      <c r="C242" s="1396" t="str">
        <f t="shared" si="55"/>
        <v>0</v>
      </c>
      <c r="D242" s="1396">
        <f>'5  Control Accounts'!EP137</f>
        <v>0</v>
      </c>
      <c r="E242" s="1396" t="str">
        <f>TEXT('5  Control Accounts'!EQ137,"General")</f>
        <v>0</v>
      </c>
      <c r="F242" s="750"/>
      <c r="G242" s="1194">
        <f>IF(AND(NOT(ISERROR(MATCH(D242,'5  Control Accounts'!$EP$34:$EP$95,0))),'5  Control Accounts'!$EA$8&gt;6,E242&lt;&gt;"0"),1,0)</f>
        <v>0</v>
      </c>
      <c r="H242" s="751">
        <v>38</v>
      </c>
      <c r="I242" s="1356"/>
      <c r="J242" s="1356"/>
      <c r="K242" s="1356"/>
      <c r="L242" s="1356"/>
      <c r="M242" s="1356"/>
      <c r="N242" s="1356"/>
      <c r="O242" s="1356"/>
    </row>
    <row r="243" spans="1:15" x14ac:dyDescent="0.3">
      <c r="A243" s="1396" t="str">
        <f t="shared" si="53"/>
        <v>0</v>
      </c>
      <c r="B243" s="1397" t="str">
        <f t="shared" si="54"/>
        <v>0</v>
      </c>
      <c r="C243" s="1396" t="str">
        <f t="shared" si="55"/>
        <v>0</v>
      </c>
      <c r="D243" s="1396">
        <f>'5  Control Accounts'!EP138</f>
        <v>0</v>
      </c>
      <c r="E243" s="1396" t="str">
        <f>TEXT('5  Control Accounts'!EQ138,"General")</f>
        <v>0</v>
      </c>
      <c r="F243" s="750"/>
      <c r="G243" s="1194">
        <f>IF(AND(NOT(ISERROR(MATCH(D243,'5  Control Accounts'!$EP$34:$EP$95,0))),'5  Control Accounts'!$EA$8&gt;6,E243&lt;&gt;"0"),1,0)</f>
        <v>0</v>
      </c>
      <c r="H243" s="751">
        <v>39</v>
      </c>
      <c r="I243" s="1356"/>
      <c r="J243" s="1356"/>
      <c r="K243" s="1356"/>
      <c r="L243" s="1356"/>
      <c r="M243" s="1356"/>
      <c r="N243" s="1356"/>
      <c r="O243" s="1356"/>
    </row>
    <row r="244" spans="1:15" ht="15" thickBot="1" x14ac:dyDescent="0.35">
      <c r="A244" s="1398" t="str">
        <f t="shared" ref="A244" si="56">IF(G244=1,TEXT(6,"0"),TEXT(0,"0"))</f>
        <v>0</v>
      </c>
      <c r="B244" s="1399" t="str">
        <f t="shared" ref="B244" si="57">IF(G244=1,$B$2,TEXT(0,"0"))</f>
        <v>0</v>
      </c>
      <c r="C244" s="1398" t="str">
        <f t="shared" ref="C244" si="58">IF(G244,$B$2&amp;"."&amp;D244,TEXT(0,"0"))</f>
        <v>0</v>
      </c>
      <c r="D244" s="1398">
        <f>'5  Control Accounts'!EP139</f>
        <v>0</v>
      </c>
      <c r="E244" s="1398" t="str">
        <f>TEXT('5  Control Accounts'!EQ139,"General")</f>
        <v>0</v>
      </c>
      <c r="F244" s="750"/>
      <c r="G244" s="1518">
        <f>IF(AND(NOT(ISERROR(MATCH(D244,'5  Control Accounts'!$EP$34:$EP$95,0))),'5  Control Accounts'!$EA$8&gt;6,E244&lt;&gt;"0"),1,0)</f>
        <v>0</v>
      </c>
      <c r="H244" s="1507">
        <v>40</v>
      </c>
      <c r="I244" s="1356"/>
    </row>
    <row r="245" spans="1:15" x14ac:dyDescent="0.3">
      <c r="A245" s="1371" t="str">
        <f t="shared" ref="A245:A249" si="59">IF(G245=1,TEXT(7,"0"),TEXT(0,"0"))</f>
        <v>0</v>
      </c>
      <c r="B245" s="1376" t="str">
        <f t="shared" si="51"/>
        <v>0</v>
      </c>
      <c r="C245" s="1371" t="str">
        <f t="shared" si="52"/>
        <v>0</v>
      </c>
      <c r="D245" s="1371" t="str">
        <f>'5  Control Accounts'!ES29</f>
        <v>0</v>
      </c>
      <c r="E245" s="1371" t="str">
        <f>'5  Control Accounts'!ET29</f>
        <v>GENERAL LABOR CONTINGENCY</v>
      </c>
      <c r="F245" s="750"/>
      <c r="G245" s="850">
        <f>IF(AND('5  Control Accounts'!$EA$8&gt;7,D245&lt;&gt;"0"),1,0)</f>
        <v>0</v>
      </c>
      <c r="H245" s="1502" t="s">
        <v>141</v>
      </c>
      <c r="I245" s="1356"/>
      <c r="J245" s="1356"/>
      <c r="K245" s="1356"/>
      <c r="L245" s="1356"/>
      <c r="M245" s="1356"/>
      <c r="N245" s="1356"/>
      <c r="O245" s="1356"/>
    </row>
    <row r="246" spans="1:15" x14ac:dyDescent="0.3">
      <c r="A246" s="1371" t="str">
        <f t="shared" si="59"/>
        <v>0</v>
      </c>
      <c r="B246" s="1376" t="str">
        <f t="shared" si="51"/>
        <v>0</v>
      </c>
      <c r="C246" s="1371" t="str">
        <f t="shared" si="52"/>
        <v>0</v>
      </c>
      <c r="D246" s="1371" t="str">
        <f>'5  Control Accounts'!ES30</f>
        <v>0</v>
      </c>
      <c r="E246" s="1371" t="str">
        <f>'5  Control Accounts'!ET30</f>
        <v>GENERAL NON-LABOR CONTINGENCY</v>
      </c>
      <c r="F246" s="750"/>
      <c r="G246" s="850">
        <f>IF(AND('5  Control Accounts'!$EA$8&gt;7,D246&lt;&gt;"0"),1,0)</f>
        <v>0</v>
      </c>
      <c r="H246" s="751" t="s">
        <v>142</v>
      </c>
      <c r="I246" s="1356"/>
      <c r="J246" s="1356"/>
      <c r="K246" s="1356"/>
      <c r="L246" s="1356"/>
      <c r="M246" s="1356"/>
      <c r="N246" s="1356"/>
      <c r="O246" s="1356"/>
    </row>
    <row r="247" spans="1:15" x14ac:dyDescent="0.3">
      <c r="A247" s="1371" t="str">
        <f t="shared" si="59"/>
        <v>0</v>
      </c>
      <c r="B247" s="1376" t="str">
        <f t="shared" si="51"/>
        <v>0</v>
      </c>
      <c r="C247" s="1371" t="str">
        <f t="shared" si="52"/>
        <v>0</v>
      </c>
      <c r="D247" s="1371" t="str">
        <f>'5  Control Accounts'!ES31</f>
        <v>0</v>
      </c>
      <c r="E247" s="1371" t="str">
        <f>'5  Control Accounts'!ET31</f>
        <v>COST RESERVE</v>
      </c>
      <c r="F247" s="750"/>
      <c r="G247" s="850">
        <f>IF(AND('5  Control Accounts'!$EA$8&gt;7,D247&lt;&gt;"0"),1,0)</f>
        <v>0</v>
      </c>
      <c r="H247" s="751" t="s">
        <v>143</v>
      </c>
      <c r="I247" s="1356"/>
      <c r="J247" s="1356"/>
      <c r="K247" s="1356"/>
      <c r="L247" s="1356"/>
      <c r="M247" s="1356"/>
      <c r="N247" s="1356"/>
      <c r="O247" s="1356"/>
    </row>
    <row r="248" spans="1:15" x14ac:dyDescent="0.3">
      <c r="A248" s="1371" t="str">
        <f t="shared" si="59"/>
        <v>0</v>
      </c>
      <c r="B248" s="1376" t="str">
        <f t="shared" si="51"/>
        <v>0</v>
      </c>
      <c r="C248" s="1371" t="str">
        <f t="shared" si="52"/>
        <v>0</v>
      </c>
      <c r="D248" s="1371" t="str">
        <f>'5  Control Accounts'!ES32</f>
        <v>0</v>
      </c>
      <c r="E248" s="1371" t="str">
        <f>'5  Control Accounts'!ET32</f>
        <v>FEE</v>
      </c>
      <c r="F248" s="750"/>
      <c r="G248" s="850">
        <f>IF(AND('5  Control Accounts'!$EA$8&gt;7,D248&lt;&gt;"0"),1,0)</f>
        <v>0</v>
      </c>
      <c r="H248" s="751" t="s">
        <v>144</v>
      </c>
      <c r="I248" s="1356"/>
      <c r="J248" s="1356"/>
      <c r="K248" s="1356"/>
      <c r="L248" s="1356"/>
      <c r="M248" s="1356"/>
      <c r="N248" s="1356"/>
      <c r="O248" s="1356"/>
    </row>
    <row r="249" spans="1:15" ht="15" thickBot="1" x14ac:dyDescent="0.35">
      <c r="A249" s="1515" t="str">
        <f t="shared" si="59"/>
        <v>0</v>
      </c>
      <c r="B249" s="1516" t="str">
        <f t="shared" si="51"/>
        <v>0</v>
      </c>
      <c r="C249" s="1515" t="str">
        <f t="shared" si="52"/>
        <v>0</v>
      </c>
      <c r="D249" s="1515" t="str">
        <f>'5  Control Accounts'!ES33</f>
        <v>0</v>
      </c>
      <c r="E249" s="1515" t="str">
        <f>'5  Control Accounts'!ET33</f>
        <v>PC ALLOCATION</v>
      </c>
      <c r="F249" s="750"/>
      <c r="G249" s="1517">
        <f>IF(AND('5  Control Accounts'!$EA$8&gt;7,D249&lt;&gt;"0"),1,0)</f>
        <v>0</v>
      </c>
      <c r="H249" s="1504" t="s">
        <v>1491</v>
      </c>
      <c r="I249" s="1356"/>
      <c r="J249" s="1356"/>
      <c r="K249" s="1356"/>
      <c r="L249" s="1356"/>
      <c r="M249" s="1356"/>
      <c r="N249" s="1356"/>
      <c r="O249" s="1356"/>
    </row>
    <row r="250" spans="1:15" ht="15" thickTop="1" x14ac:dyDescent="0.3">
      <c r="A250" s="1371" t="str">
        <f>IF(G250=1,TEXT(7,"0"),TEXT(0,"0"))</f>
        <v>0</v>
      </c>
      <c r="B250" s="1376" t="str">
        <f>IF(G250=1,$B$2,TEXT(0,"0"))</f>
        <v>0</v>
      </c>
      <c r="C250" s="1371" t="str">
        <f>IF(G250,$B$2&amp;"."&amp;D250,TEXT(0,"0"))</f>
        <v>0</v>
      </c>
      <c r="D250" s="1680">
        <f>'5  Control Accounts'!ES100</f>
        <v>0</v>
      </c>
      <c r="E250" s="1371" t="str">
        <f>TEXT('5  Control Accounts'!ET100,"General")</f>
        <v>0</v>
      </c>
      <c r="F250" s="750"/>
      <c r="G250" s="850">
        <f>IF(AND(NOT(ISERROR(MATCH(D250,'5  Control Accounts'!$ES$34:$ES$95,0))),'5  Control Accounts'!$EA$8&gt;7,E250&lt;&gt;"0"),1,0)</f>
        <v>0</v>
      </c>
      <c r="H250" s="1502">
        <v>1</v>
      </c>
      <c r="I250" s="1356"/>
    </row>
    <row r="251" spans="1:15" x14ac:dyDescent="0.3">
      <c r="A251" s="1371" t="str">
        <f t="shared" ref="A251:A268" si="60">IF(G251=1,TEXT(7,"0"),TEXT(0,"0"))</f>
        <v>0</v>
      </c>
      <c r="B251" s="1376" t="str">
        <f t="shared" ref="B251:B268" si="61">IF(G251=1,$B$2,TEXT(0,"0"))</f>
        <v>0</v>
      </c>
      <c r="C251" s="1371" t="str">
        <f t="shared" ref="C251:C268" si="62">IF(G251,$B$2&amp;"."&amp;D251,TEXT(0,"0"))</f>
        <v>0</v>
      </c>
      <c r="D251" s="1371">
        <f>'5  Control Accounts'!ES101</f>
        <v>0</v>
      </c>
      <c r="E251" s="1371" t="str">
        <f>TEXT('5  Control Accounts'!ET101,"General")</f>
        <v>0</v>
      </c>
      <c r="F251" s="750"/>
      <c r="G251" s="850">
        <f>IF(AND(NOT(ISERROR(MATCH(D251,'5  Control Accounts'!$ES$34:$ES$95,0))),'5  Control Accounts'!$EA$8&gt;7,E251&lt;&gt;"0"),1,0)</f>
        <v>0</v>
      </c>
      <c r="H251" s="751">
        <v>2</v>
      </c>
      <c r="I251" s="1356"/>
    </row>
    <row r="252" spans="1:15" x14ac:dyDescent="0.3">
      <c r="A252" s="1371" t="str">
        <f t="shared" si="60"/>
        <v>0</v>
      </c>
      <c r="B252" s="1376" t="str">
        <f t="shared" si="61"/>
        <v>0</v>
      </c>
      <c r="C252" s="1371" t="str">
        <f t="shared" si="62"/>
        <v>0</v>
      </c>
      <c r="D252" s="1371">
        <f>'5  Control Accounts'!ES102</f>
        <v>0</v>
      </c>
      <c r="E252" s="1371" t="str">
        <f>TEXT('5  Control Accounts'!ET102,"General")</f>
        <v>0</v>
      </c>
      <c r="F252" s="750"/>
      <c r="G252" s="850">
        <f>IF(AND(NOT(ISERROR(MATCH(D252,'5  Control Accounts'!$ES$34:$ES$95,0))),'5  Control Accounts'!$EA$8&gt;7,E252&lt;&gt;"0"),1,0)</f>
        <v>0</v>
      </c>
      <c r="H252" s="751">
        <v>3</v>
      </c>
      <c r="I252" s="1356"/>
    </row>
    <row r="253" spans="1:15" x14ac:dyDescent="0.3">
      <c r="A253" s="1371" t="str">
        <f t="shared" si="60"/>
        <v>0</v>
      </c>
      <c r="B253" s="1376" t="str">
        <f t="shared" si="61"/>
        <v>0</v>
      </c>
      <c r="C253" s="1371" t="str">
        <f t="shared" si="62"/>
        <v>0</v>
      </c>
      <c r="D253" s="1371">
        <f>'5  Control Accounts'!ES103</f>
        <v>0</v>
      </c>
      <c r="E253" s="1371" t="str">
        <f>TEXT('5  Control Accounts'!ET103,"General")</f>
        <v>0</v>
      </c>
      <c r="F253" s="750"/>
      <c r="G253" s="850">
        <f>IF(AND(NOT(ISERROR(MATCH(D253,'5  Control Accounts'!$ES$34:$ES$95,0))),'5  Control Accounts'!$EA$8&gt;7,E253&lt;&gt;"0"),1,0)</f>
        <v>0</v>
      </c>
      <c r="H253" s="751">
        <v>4</v>
      </c>
      <c r="I253" s="1356"/>
    </row>
    <row r="254" spans="1:15" x14ac:dyDescent="0.3">
      <c r="A254" s="1371" t="str">
        <f t="shared" si="60"/>
        <v>0</v>
      </c>
      <c r="B254" s="1376" t="str">
        <f t="shared" si="61"/>
        <v>0</v>
      </c>
      <c r="C254" s="1371" t="str">
        <f t="shared" si="62"/>
        <v>0</v>
      </c>
      <c r="D254" s="1371">
        <f>'5  Control Accounts'!ES104</f>
        <v>0</v>
      </c>
      <c r="E254" s="1371" t="str">
        <f>TEXT('5  Control Accounts'!ET104,"General")</f>
        <v>0</v>
      </c>
      <c r="F254" s="750"/>
      <c r="G254" s="850">
        <f>IF(AND(NOT(ISERROR(MATCH(D254,'5  Control Accounts'!$ES$34:$ES$95,0))),'5  Control Accounts'!$EA$8&gt;7,E254&lt;&gt;"0"),1,0)</f>
        <v>0</v>
      </c>
      <c r="H254" s="751">
        <v>5</v>
      </c>
      <c r="I254" s="1356"/>
    </row>
    <row r="255" spans="1:15" x14ac:dyDescent="0.3">
      <c r="A255" s="1371" t="str">
        <f t="shared" si="60"/>
        <v>0</v>
      </c>
      <c r="B255" s="1376" t="str">
        <f t="shared" si="61"/>
        <v>0</v>
      </c>
      <c r="C255" s="1371" t="str">
        <f t="shared" si="62"/>
        <v>0</v>
      </c>
      <c r="D255" s="1371">
        <f>'5  Control Accounts'!ES105</f>
        <v>0</v>
      </c>
      <c r="E255" s="1371" t="str">
        <f>TEXT('5  Control Accounts'!ET105,"General")</f>
        <v>0</v>
      </c>
      <c r="F255" s="750"/>
      <c r="G255" s="850">
        <f>IF(AND(NOT(ISERROR(MATCH(D255,'5  Control Accounts'!$ES$34:$ES$95,0))),'5  Control Accounts'!$EA$8&gt;7,E255&lt;&gt;"0"),1,0)</f>
        <v>0</v>
      </c>
      <c r="H255" s="751">
        <v>6</v>
      </c>
      <c r="I255" s="1356"/>
    </row>
    <row r="256" spans="1:15" x14ac:dyDescent="0.3">
      <c r="A256" s="1371" t="str">
        <f t="shared" si="60"/>
        <v>0</v>
      </c>
      <c r="B256" s="1376" t="str">
        <f t="shared" si="61"/>
        <v>0</v>
      </c>
      <c r="C256" s="1371" t="str">
        <f t="shared" si="62"/>
        <v>0</v>
      </c>
      <c r="D256" s="1371">
        <f>'5  Control Accounts'!ES106</f>
        <v>0</v>
      </c>
      <c r="E256" s="1371" t="str">
        <f>TEXT('5  Control Accounts'!ET106,"General")</f>
        <v>0</v>
      </c>
      <c r="F256" s="750"/>
      <c r="G256" s="850">
        <f>IF(AND(NOT(ISERROR(MATCH(D256,'5  Control Accounts'!$ES$34:$ES$95,0))),'5  Control Accounts'!$EA$8&gt;7,E256&lt;&gt;"0"),1,0)</f>
        <v>0</v>
      </c>
      <c r="H256" s="751">
        <v>7</v>
      </c>
      <c r="I256" s="1356"/>
    </row>
    <row r="257" spans="1:15" x14ac:dyDescent="0.3">
      <c r="A257" s="1371" t="str">
        <f t="shared" si="60"/>
        <v>0</v>
      </c>
      <c r="B257" s="1376" t="str">
        <f t="shared" si="61"/>
        <v>0</v>
      </c>
      <c r="C257" s="1371" t="str">
        <f t="shared" si="62"/>
        <v>0</v>
      </c>
      <c r="D257" s="1371">
        <f>'5  Control Accounts'!ES107</f>
        <v>0</v>
      </c>
      <c r="E257" s="1371" t="str">
        <f>TEXT('5  Control Accounts'!ET107,"General")</f>
        <v>0</v>
      </c>
      <c r="F257" s="750"/>
      <c r="G257" s="850">
        <f>IF(AND(NOT(ISERROR(MATCH(D257,'5  Control Accounts'!$ES$34:$ES$95,0))),'5  Control Accounts'!$EA$8&gt;7,E257&lt;&gt;"0"),1,0)</f>
        <v>0</v>
      </c>
      <c r="H257" s="751">
        <v>8</v>
      </c>
      <c r="I257" s="1356"/>
    </row>
    <row r="258" spans="1:15" x14ac:dyDescent="0.3">
      <c r="A258" s="1371" t="str">
        <f t="shared" si="60"/>
        <v>0</v>
      </c>
      <c r="B258" s="1376" t="str">
        <f t="shared" si="61"/>
        <v>0</v>
      </c>
      <c r="C258" s="1371" t="str">
        <f t="shared" si="62"/>
        <v>0</v>
      </c>
      <c r="D258" s="1371">
        <f>'5  Control Accounts'!ES108</f>
        <v>0</v>
      </c>
      <c r="E258" s="1371" t="str">
        <f>TEXT('5  Control Accounts'!ET108,"General")</f>
        <v>0</v>
      </c>
      <c r="F258" s="750"/>
      <c r="G258" s="850">
        <f>IF(AND(NOT(ISERROR(MATCH(D258,'5  Control Accounts'!$ES$34:$ES$95,0))),'5  Control Accounts'!$EA$8&gt;7,E258&lt;&gt;"0"),1,0)</f>
        <v>0</v>
      </c>
      <c r="H258" s="751">
        <v>9</v>
      </c>
      <c r="I258" s="1356"/>
    </row>
    <row r="259" spans="1:15" x14ac:dyDescent="0.3">
      <c r="A259" s="1371" t="str">
        <f t="shared" si="60"/>
        <v>0</v>
      </c>
      <c r="B259" s="1376" t="str">
        <f t="shared" si="61"/>
        <v>0</v>
      </c>
      <c r="C259" s="1371" t="str">
        <f t="shared" si="62"/>
        <v>0</v>
      </c>
      <c r="D259" s="1371">
        <f>'5  Control Accounts'!ES109</f>
        <v>0</v>
      </c>
      <c r="E259" s="1371" t="str">
        <f>TEXT('5  Control Accounts'!ET109,"General")</f>
        <v>0</v>
      </c>
      <c r="F259" s="750"/>
      <c r="G259" s="850">
        <f>IF(AND(NOT(ISERROR(MATCH(D259,'5  Control Accounts'!$ES$34:$ES$95,0))),'5  Control Accounts'!$EA$8&gt;7,E259&lt;&gt;"0"),1,0)</f>
        <v>0</v>
      </c>
      <c r="H259" s="751">
        <v>10</v>
      </c>
      <c r="I259" s="1356"/>
    </row>
    <row r="260" spans="1:15" x14ac:dyDescent="0.3">
      <c r="A260" s="1371" t="str">
        <f t="shared" si="60"/>
        <v>0</v>
      </c>
      <c r="B260" s="1376" t="str">
        <f t="shared" si="61"/>
        <v>0</v>
      </c>
      <c r="C260" s="1371" t="str">
        <f t="shared" si="62"/>
        <v>0</v>
      </c>
      <c r="D260" s="1371">
        <f>'5  Control Accounts'!ES110</f>
        <v>0</v>
      </c>
      <c r="E260" s="1371" t="str">
        <f>TEXT('5  Control Accounts'!ET110,"General")</f>
        <v>0</v>
      </c>
      <c r="F260" s="750"/>
      <c r="G260" s="850">
        <f>IF(AND(NOT(ISERROR(MATCH(D260,'5  Control Accounts'!$ES$34:$ES$95,0))),'5  Control Accounts'!$EA$8&gt;7,E260&lt;&gt;"0"),1,0)</f>
        <v>0</v>
      </c>
      <c r="H260" s="751">
        <v>11</v>
      </c>
      <c r="I260" s="1356"/>
    </row>
    <row r="261" spans="1:15" x14ac:dyDescent="0.3">
      <c r="A261" s="1371" t="str">
        <f t="shared" si="60"/>
        <v>0</v>
      </c>
      <c r="B261" s="1376" t="str">
        <f t="shared" si="61"/>
        <v>0</v>
      </c>
      <c r="C261" s="1371" t="str">
        <f t="shared" si="62"/>
        <v>0</v>
      </c>
      <c r="D261" s="1371">
        <f>'5  Control Accounts'!ES111</f>
        <v>0</v>
      </c>
      <c r="E261" s="1371" t="str">
        <f>TEXT('5  Control Accounts'!ET111,"General")</f>
        <v>0</v>
      </c>
      <c r="F261" s="750"/>
      <c r="G261" s="850">
        <f>IF(AND(NOT(ISERROR(MATCH(D261,'5  Control Accounts'!$ES$34:$ES$95,0))),'5  Control Accounts'!$EA$8&gt;7,E261&lt;&gt;"0"),1,0)</f>
        <v>0</v>
      </c>
      <c r="H261" s="751">
        <v>12</v>
      </c>
      <c r="I261" s="1356"/>
    </row>
    <row r="262" spans="1:15" x14ac:dyDescent="0.3">
      <c r="A262" s="1371" t="str">
        <f t="shared" si="60"/>
        <v>0</v>
      </c>
      <c r="B262" s="1376" t="str">
        <f t="shared" si="61"/>
        <v>0</v>
      </c>
      <c r="C262" s="1371" t="str">
        <f t="shared" si="62"/>
        <v>0</v>
      </c>
      <c r="D262" s="1371">
        <f>'5  Control Accounts'!ES112</f>
        <v>0</v>
      </c>
      <c r="E262" s="1371" t="str">
        <f>TEXT('5  Control Accounts'!ET112,"General")</f>
        <v>0</v>
      </c>
      <c r="F262" s="750"/>
      <c r="G262" s="850">
        <f>IF(AND(NOT(ISERROR(MATCH(D262,'5  Control Accounts'!$ES$34:$ES$95,0))),'5  Control Accounts'!$EA$8&gt;7,E262&lt;&gt;"0"),1,0)</f>
        <v>0</v>
      </c>
      <c r="H262" s="751">
        <v>13</v>
      </c>
      <c r="I262" s="1356"/>
    </row>
    <row r="263" spans="1:15" x14ac:dyDescent="0.3">
      <c r="A263" s="1371" t="str">
        <f t="shared" si="60"/>
        <v>0</v>
      </c>
      <c r="B263" s="1376" t="str">
        <f t="shared" si="61"/>
        <v>0</v>
      </c>
      <c r="C263" s="1371" t="str">
        <f t="shared" si="62"/>
        <v>0</v>
      </c>
      <c r="D263" s="1371">
        <f>'5  Control Accounts'!ES113</f>
        <v>0</v>
      </c>
      <c r="E263" s="1371" t="str">
        <f>TEXT('5  Control Accounts'!ET113,"General")</f>
        <v>0</v>
      </c>
      <c r="F263" s="750"/>
      <c r="G263" s="850">
        <f>IF(AND(NOT(ISERROR(MATCH(D263,'5  Control Accounts'!$ES$34:$ES$95,0))),'5  Control Accounts'!$EA$8&gt;7,E263&lt;&gt;"0"),1,0)</f>
        <v>0</v>
      </c>
      <c r="H263" s="751">
        <v>14</v>
      </c>
      <c r="I263" s="1356"/>
    </row>
    <row r="264" spans="1:15" x14ac:dyDescent="0.3">
      <c r="A264" s="1371" t="str">
        <f t="shared" si="60"/>
        <v>0</v>
      </c>
      <c r="B264" s="1376" t="str">
        <f t="shared" si="61"/>
        <v>0</v>
      </c>
      <c r="C264" s="1371" t="str">
        <f t="shared" si="62"/>
        <v>0</v>
      </c>
      <c r="D264" s="1371">
        <f>'5  Control Accounts'!ES114</f>
        <v>0</v>
      </c>
      <c r="E264" s="1371" t="str">
        <f>TEXT('5  Control Accounts'!ET114,"General")</f>
        <v>0</v>
      </c>
      <c r="F264" s="750"/>
      <c r="G264" s="850">
        <f>IF(AND(NOT(ISERROR(MATCH(D264,'5  Control Accounts'!$ES$34:$ES$95,0))),'5  Control Accounts'!$EA$8&gt;7,E264&lt;&gt;"0"),1,0)</f>
        <v>0</v>
      </c>
      <c r="H264" s="751">
        <v>15</v>
      </c>
      <c r="I264" s="1356"/>
    </row>
    <row r="265" spans="1:15" x14ac:dyDescent="0.3">
      <c r="A265" s="1371" t="str">
        <f t="shared" si="60"/>
        <v>0</v>
      </c>
      <c r="B265" s="1376" t="str">
        <f t="shared" si="61"/>
        <v>0</v>
      </c>
      <c r="C265" s="1371" t="str">
        <f t="shared" si="62"/>
        <v>0</v>
      </c>
      <c r="D265" s="1371">
        <f>'5  Control Accounts'!ES115</f>
        <v>0</v>
      </c>
      <c r="E265" s="1371" t="str">
        <f>TEXT('5  Control Accounts'!ET115,"General")</f>
        <v>0</v>
      </c>
      <c r="F265" s="750"/>
      <c r="G265" s="850">
        <f>IF(AND(NOT(ISERROR(MATCH(D265,'5  Control Accounts'!$ES$34:$ES$95,0))),'5  Control Accounts'!$EA$8&gt;7,E265&lt;&gt;"0"),1,0)</f>
        <v>0</v>
      </c>
      <c r="H265" s="751">
        <v>16</v>
      </c>
      <c r="I265" s="1356"/>
    </row>
    <row r="266" spans="1:15" x14ac:dyDescent="0.3">
      <c r="A266" s="1371" t="str">
        <f t="shared" si="60"/>
        <v>0</v>
      </c>
      <c r="B266" s="1376" t="str">
        <f t="shared" si="61"/>
        <v>0</v>
      </c>
      <c r="C266" s="1371" t="str">
        <f t="shared" si="62"/>
        <v>0</v>
      </c>
      <c r="D266" s="1371">
        <f>'5  Control Accounts'!ES116</f>
        <v>0</v>
      </c>
      <c r="E266" s="1371" t="str">
        <f>TEXT('5  Control Accounts'!ET116,"General")</f>
        <v>0</v>
      </c>
      <c r="F266" s="750"/>
      <c r="G266" s="850">
        <f>IF(AND(NOT(ISERROR(MATCH(D266,'5  Control Accounts'!$ES$34:$ES$95,0))),'5  Control Accounts'!$EA$8&gt;7,E266&lt;&gt;"0"),1,0)</f>
        <v>0</v>
      </c>
      <c r="H266" s="751">
        <v>17</v>
      </c>
      <c r="I266" s="1356"/>
    </row>
    <row r="267" spans="1:15" x14ac:dyDescent="0.3">
      <c r="A267" s="1371" t="str">
        <f t="shared" si="60"/>
        <v>0</v>
      </c>
      <c r="B267" s="1376" t="str">
        <f t="shared" si="61"/>
        <v>0</v>
      </c>
      <c r="C267" s="1371" t="str">
        <f t="shared" si="62"/>
        <v>0</v>
      </c>
      <c r="D267" s="1371">
        <f>'5  Control Accounts'!ES117</f>
        <v>0</v>
      </c>
      <c r="E267" s="1371" t="str">
        <f>TEXT('5  Control Accounts'!ET117,"General")</f>
        <v>0</v>
      </c>
      <c r="F267" s="750"/>
      <c r="G267" s="850">
        <f>IF(AND(NOT(ISERROR(MATCH(D267,'5  Control Accounts'!$ES$34:$ES$95,0))),'5  Control Accounts'!$EA$8&gt;7,E267&lt;&gt;"0"),1,0)</f>
        <v>0</v>
      </c>
      <c r="H267" s="751">
        <v>18</v>
      </c>
      <c r="I267" s="1356"/>
    </row>
    <row r="268" spans="1:15" x14ac:dyDescent="0.3">
      <c r="A268" s="1371" t="str">
        <f t="shared" si="60"/>
        <v>0</v>
      </c>
      <c r="B268" s="1376" t="str">
        <f t="shared" si="61"/>
        <v>0</v>
      </c>
      <c r="C268" s="1371" t="str">
        <f t="shared" si="62"/>
        <v>0</v>
      </c>
      <c r="D268" s="1371">
        <f>'5  Control Accounts'!ES118</f>
        <v>0</v>
      </c>
      <c r="E268" s="1371" t="str">
        <f>TEXT('5  Control Accounts'!ET118,"General")</f>
        <v>0</v>
      </c>
      <c r="F268" s="750"/>
      <c r="G268" s="850">
        <f>IF(AND(NOT(ISERROR(MATCH(D268,'5  Control Accounts'!$ES$34:$ES$95,0))),'5  Control Accounts'!$EA$8&gt;7,E268&lt;&gt;"0"),1,0)</f>
        <v>0</v>
      </c>
      <c r="H268" s="751">
        <v>19</v>
      </c>
      <c r="I268" s="1356"/>
    </row>
    <row r="269" spans="1:15" x14ac:dyDescent="0.3">
      <c r="A269" s="1371" t="str">
        <f t="shared" ref="A269:A288" si="63">IF(G269=1,TEXT(7,"0"),TEXT(0,"0"))</f>
        <v>0</v>
      </c>
      <c r="B269" s="1376" t="str">
        <f t="shared" ref="B269:B288" si="64">IF(G269=1,$B$2,TEXT(0,"0"))</f>
        <v>0</v>
      </c>
      <c r="C269" s="1371" t="str">
        <f t="shared" ref="C269:C288" si="65">IF(G269,$B$2&amp;"."&amp;D269,TEXT(0,"0"))</f>
        <v>0</v>
      </c>
      <c r="D269" s="1371">
        <f>'5  Control Accounts'!ES119</f>
        <v>0</v>
      </c>
      <c r="E269" s="1371" t="str">
        <f>TEXT('5  Control Accounts'!ET119,"General")</f>
        <v>0</v>
      </c>
      <c r="F269" s="750"/>
      <c r="G269" s="850">
        <f>IF(AND(NOT(ISERROR(MATCH(D269,'5  Control Accounts'!$ES$34:$ES$95,0))),'5  Control Accounts'!$EA$8&gt;7,E269&lt;&gt;"0"),1,0)</f>
        <v>0</v>
      </c>
      <c r="H269" s="751">
        <v>20</v>
      </c>
      <c r="I269" s="1356"/>
      <c r="J269" s="1356"/>
      <c r="K269" s="1356"/>
      <c r="L269" s="1356"/>
      <c r="M269" s="1356"/>
      <c r="N269" s="1356"/>
      <c r="O269" s="1356"/>
    </row>
    <row r="270" spans="1:15" x14ac:dyDescent="0.3">
      <c r="A270" s="1371" t="str">
        <f t="shared" si="63"/>
        <v>0</v>
      </c>
      <c r="B270" s="1376" t="str">
        <f t="shared" si="64"/>
        <v>0</v>
      </c>
      <c r="C270" s="1371" t="str">
        <f t="shared" si="65"/>
        <v>0</v>
      </c>
      <c r="D270" s="1371">
        <f>'5  Control Accounts'!ES120</f>
        <v>0</v>
      </c>
      <c r="E270" s="1371" t="str">
        <f>TEXT('5  Control Accounts'!ET120,"General")</f>
        <v>0</v>
      </c>
      <c r="F270" s="750"/>
      <c r="G270" s="850">
        <f>IF(AND(NOT(ISERROR(MATCH(D270,'5  Control Accounts'!$ES$34:$ES$95,0))),'5  Control Accounts'!$EA$8&gt;7,E270&lt;&gt;"0"),1,0)</f>
        <v>0</v>
      </c>
      <c r="H270" s="751">
        <v>21</v>
      </c>
      <c r="I270" s="1356"/>
      <c r="J270" s="1356"/>
      <c r="K270" s="1356"/>
      <c r="L270" s="1356"/>
      <c r="M270" s="1356"/>
      <c r="N270" s="1356"/>
      <c r="O270" s="1356"/>
    </row>
    <row r="271" spans="1:15" x14ac:dyDescent="0.3">
      <c r="A271" s="1371" t="str">
        <f t="shared" si="63"/>
        <v>0</v>
      </c>
      <c r="B271" s="1376" t="str">
        <f t="shared" si="64"/>
        <v>0</v>
      </c>
      <c r="C271" s="1371" t="str">
        <f t="shared" si="65"/>
        <v>0</v>
      </c>
      <c r="D271" s="1371">
        <f>'5  Control Accounts'!ES121</f>
        <v>0</v>
      </c>
      <c r="E271" s="1371" t="str">
        <f>TEXT('5  Control Accounts'!ET121,"General")</f>
        <v>0</v>
      </c>
      <c r="F271" s="750"/>
      <c r="G271" s="850">
        <f>IF(AND(NOT(ISERROR(MATCH(D271,'5  Control Accounts'!$ES$34:$ES$95,0))),'5  Control Accounts'!$EA$8&gt;7,E271&lt;&gt;"0"),1,0)</f>
        <v>0</v>
      </c>
      <c r="H271" s="751">
        <v>22</v>
      </c>
      <c r="I271" s="1356"/>
      <c r="J271" s="1356"/>
      <c r="K271" s="1356"/>
      <c r="L271" s="1356"/>
      <c r="M271" s="1356"/>
      <c r="N271" s="1356"/>
      <c r="O271" s="1356"/>
    </row>
    <row r="272" spans="1:15" x14ac:dyDescent="0.3">
      <c r="A272" s="1371" t="str">
        <f t="shared" si="63"/>
        <v>0</v>
      </c>
      <c r="B272" s="1376" t="str">
        <f t="shared" si="64"/>
        <v>0</v>
      </c>
      <c r="C272" s="1371" t="str">
        <f t="shared" si="65"/>
        <v>0</v>
      </c>
      <c r="D272" s="1371">
        <f>'5  Control Accounts'!ES122</f>
        <v>0</v>
      </c>
      <c r="E272" s="1371" t="str">
        <f>TEXT('5  Control Accounts'!ET122,"General")</f>
        <v>0</v>
      </c>
      <c r="F272" s="750"/>
      <c r="G272" s="850">
        <f>IF(AND(NOT(ISERROR(MATCH(D272,'5  Control Accounts'!$ES$34:$ES$95,0))),'5  Control Accounts'!$EA$8&gt;7,E272&lt;&gt;"0"),1,0)</f>
        <v>0</v>
      </c>
      <c r="H272" s="751">
        <v>23</v>
      </c>
      <c r="I272" s="1356"/>
      <c r="J272" s="1356"/>
      <c r="K272" s="1356"/>
      <c r="L272" s="1356"/>
      <c r="M272" s="1356"/>
      <c r="N272" s="1356"/>
      <c r="O272" s="1356"/>
    </row>
    <row r="273" spans="1:15" x14ac:dyDescent="0.3">
      <c r="A273" s="1371" t="str">
        <f t="shared" si="63"/>
        <v>0</v>
      </c>
      <c r="B273" s="1376" t="str">
        <f t="shared" si="64"/>
        <v>0</v>
      </c>
      <c r="C273" s="1371" t="str">
        <f t="shared" si="65"/>
        <v>0</v>
      </c>
      <c r="D273" s="1371">
        <f>'5  Control Accounts'!ES123</f>
        <v>0</v>
      </c>
      <c r="E273" s="1371" t="str">
        <f>TEXT('5  Control Accounts'!ET123,"General")</f>
        <v>0</v>
      </c>
      <c r="F273" s="750"/>
      <c r="G273" s="850">
        <f>IF(AND(NOT(ISERROR(MATCH(D273,'5  Control Accounts'!$ES$34:$ES$95,0))),'5  Control Accounts'!$EA$8&gt;7,E273&lt;&gt;"0"),1,0)</f>
        <v>0</v>
      </c>
      <c r="H273" s="751">
        <v>24</v>
      </c>
      <c r="I273" s="1356"/>
      <c r="J273" s="1356"/>
      <c r="K273" s="1356"/>
      <c r="L273" s="1356"/>
      <c r="M273" s="1356"/>
      <c r="N273" s="1356"/>
      <c r="O273" s="1356"/>
    </row>
    <row r="274" spans="1:15" x14ac:dyDescent="0.3">
      <c r="A274" s="1371" t="str">
        <f t="shared" si="63"/>
        <v>0</v>
      </c>
      <c r="B274" s="1376" t="str">
        <f t="shared" si="64"/>
        <v>0</v>
      </c>
      <c r="C274" s="1371" t="str">
        <f t="shared" si="65"/>
        <v>0</v>
      </c>
      <c r="D274" s="1371">
        <f>'5  Control Accounts'!ES124</f>
        <v>0</v>
      </c>
      <c r="E274" s="1371" t="str">
        <f>TEXT('5  Control Accounts'!ET124,"General")</f>
        <v>0</v>
      </c>
      <c r="F274" s="750"/>
      <c r="G274" s="850">
        <f>IF(AND(NOT(ISERROR(MATCH(D274,'5  Control Accounts'!$ES$34:$ES$95,0))),'5  Control Accounts'!$EA$8&gt;7,E274&lt;&gt;"0"),1,0)</f>
        <v>0</v>
      </c>
      <c r="H274" s="751">
        <v>25</v>
      </c>
      <c r="I274" s="1356"/>
      <c r="J274" s="1356"/>
      <c r="K274" s="1356"/>
      <c r="L274" s="1356"/>
      <c r="M274" s="1356"/>
      <c r="N274" s="1356"/>
      <c r="O274" s="1356"/>
    </row>
    <row r="275" spans="1:15" x14ac:dyDescent="0.3">
      <c r="A275" s="1371" t="str">
        <f t="shared" si="63"/>
        <v>0</v>
      </c>
      <c r="B275" s="1376" t="str">
        <f t="shared" si="64"/>
        <v>0</v>
      </c>
      <c r="C275" s="1371" t="str">
        <f t="shared" si="65"/>
        <v>0</v>
      </c>
      <c r="D275" s="1371">
        <f>'5  Control Accounts'!ES125</f>
        <v>0</v>
      </c>
      <c r="E275" s="1371" t="str">
        <f>TEXT('5  Control Accounts'!ET125,"General")</f>
        <v>0</v>
      </c>
      <c r="F275" s="750"/>
      <c r="G275" s="850">
        <f>IF(AND(NOT(ISERROR(MATCH(D275,'5  Control Accounts'!$ES$34:$ES$95,0))),'5  Control Accounts'!$EA$8&gt;7,E275&lt;&gt;"0"),1,0)</f>
        <v>0</v>
      </c>
      <c r="H275" s="751">
        <v>26</v>
      </c>
      <c r="I275" s="1356"/>
      <c r="J275" s="1356"/>
      <c r="K275" s="1356"/>
      <c r="L275" s="1356"/>
      <c r="M275" s="1356"/>
      <c r="N275" s="1356"/>
      <c r="O275" s="1356"/>
    </row>
    <row r="276" spans="1:15" x14ac:dyDescent="0.3">
      <c r="A276" s="1371" t="str">
        <f t="shared" si="63"/>
        <v>0</v>
      </c>
      <c r="B276" s="1376" t="str">
        <f t="shared" si="64"/>
        <v>0</v>
      </c>
      <c r="C276" s="1371" t="str">
        <f t="shared" si="65"/>
        <v>0</v>
      </c>
      <c r="D276" s="1371">
        <f>'5  Control Accounts'!ES126</f>
        <v>0</v>
      </c>
      <c r="E276" s="1371" t="str">
        <f>TEXT('5  Control Accounts'!ET126,"General")</f>
        <v>0</v>
      </c>
      <c r="F276" s="750"/>
      <c r="G276" s="850">
        <f>IF(AND(NOT(ISERROR(MATCH(D276,'5  Control Accounts'!$ES$34:$ES$95,0))),'5  Control Accounts'!$EA$8&gt;7,E276&lt;&gt;"0"),1,0)</f>
        <v>0</v>
      </c>
      <c r="H276" s="751">
        <v>27</v>
      </c>
      <c r="I276" s="1356"/>
      <c r="J276" s="1356"/>
      <c r="K276" s="1356"/>
      <c r="L276" s="1356"/>
      <c r="M276" s="1356"/>
      <c r="N276" s="1356"/>
      <c r="O276" s="1356"/>
    </row>
    <row r="277" spans="1:15" x14ac:dyDescent="0.3">
      <c r="A277" s="1371" t="str">
        <f t="shared" si="63"/>
        <v>0</v>
      </c>
      <c r="B277" s="1376" t="str">
        <f t="shared" si="64"/>
        <v>0</v>
      </c>
      <c r="C277" s="1371" t="str">
        <f t="shared" si="65"/>
        <v>0</v>
      </c>
      <c r="D277" s="1371">
        <f>'5  Control Accounts'!ES127</f>
        <v>0</v>
      </c>
      <c r="E277" s="1371" t="str">
        <f>TEXT('5  Control Accounts'!ET127,"General")</f>
        <v>0</v>
      </c>
      <c r="F277" s="750"/>
      <c r="G277" s="850">
        <f>IF(AND(NOT(ISERROR(MATCH(D277,'5  Control Accounts'!$ES$34:$ES$95,0))),'5  Control Accounts'!$EA$8&gt;7,E277&lt;&gt;"0"),1,0)</f>
        <v>0</v>
      </c>
      <c r="H277" s="751">
        <v>28</v>
      </c>
      <c r="I277" s="1356"/>
      <c r="J277" s="1356"/>
      <c r="K277" s="1356"/>
      <c r="L277" s="1356"/>
      <c r="M277" s="1356"/>
      <c r="N277" s="1356"/>
      <c r="O277" s="1356"/>
    </row>
    <row r="278" spans="1:15" x14ac:dyDescent="0.3">
      <c r="A278" s="1371" t="str">
        <f t="shared" si="63"/>
        <v>0</v>
      </c>
      <c r="B278" s="1376" t="str">
        <f t="shared" si="64"/>
        <v>0</v>
      </c>
      <c r="C278" s="1371" t="str">
        <f t="shared" si="65"/>
        <v>0</v>
      </c>
      <c r="D278" s="1371">
        <f>'5  Control Accounts'!ES128</f>
        <v>0</v>
      </c>
      <c r="E278" s="1371" t="str">
        <f>TEXT('5  Control Accounts'!ET128,"General")</f>
        <v>0</v>
      </c>
      <c r="F278" s="750"/>
      <c r="G278" s="850">
        <f>IF(AND(NOT(ISERROR(MATCH(D278,'5  Control Accounts'!$ES$34:$ES$95,0))),'5  Control Accounts'!$EA$8&gt;7,E278&lt;&gt;"0"),1,0)</f>
        <v>0</v>
      </c>
      <c r="H278" s="751">
        <v>29</v>
      </c>
      <c r="I278" s="1356"/>
      <c r="J278" s="1356"/>
      <c r="K278" s="1356"/>
      <c r="L278" s="1356"/>
      <c r="M278" s="1356"/>
      <c r="N278" s="1356"/>
      <c r="O278" s="1356"/>
    </row>
    <row r="279" spans="1:15" x14ac:dyDescent="0.3">
      <c r="A279" s="1371" t="str">
        <f t="shared" si="63"/>
        <v>0</v>
      </c>
      <c r="B279" s="1376" t="str">
        <f t="shared" si="64"/>
        <v>0</v>
      </c>
      <c r="C279" s="1371" t="str">
        <f t="shared" si="65"/>
        <v>0</v>
      </c>
      <c r="D279" s="1371">
        <f>'5  Control Accounts'!ES129</f>
        <v>0</v>
      </c>
      <c r="E279" s="1371" t="str">
        <f>TEXT('5  Control Accounts'!ET129,"General")</f>
        <v>0</v>
      </c>
      <c r="F279" s="750"/>
      <c r="G279" s="850">
        <f>IF(AND(NOT(ISERROR(MATCH(D279,'5  Control Accounts'!$ES$34:$ES$95,0))),'5  Control Accounts'!$EA$8&gt;7,E279&lt;&gt;"0"),1,0)</f>
        <v>0</v>
      </c>
      <c r="H279" s="751">
        <v>30</v>
      </c>
      <c r="I279" s="1356"/>
      <c r="J279" s="1356"/>
      <c r="K279" s="1356"/>
      <c r="L279" s="1356"/>
      <c r="M279" s="1356"/>
      <c r="N279" s="1356"/>
      <c r="O279" s="1356"/>
    </row>
    <row r="280" spans="1:15" x14ac:dyDescent="0.3">
      <c r="A280" s="1371" t="str">
        <f t="shared" si="63"/>
        <v>0</v>
      </c>
      <c r="B280" s="1376" t="str">
        <f t="shared" si="64"/>
        <v>0</v>
      </c>
      <c r="C280" s="1371" t="str">
        <f t="shared" si="65"/>
        <v>0</v>
      </c>
      <c r="D280" s="1371">
        <f>'5  Control Accounts'!ES130</f>
        <v>0</v>
      </c>
      <c r="E280" s="1371" t="str">
        <f>TEXT('5  Control Accounts'!ET130,"General")</f>
        <v>0</v>
      </c>
      <c r="F280" s="750"/>
      <c r="G280" s="850">
        <f>IF(AND(NOT(ISERROR(MATCH(D280,'5  Control Accounts'!$ES$34:$ES$95,0))),'5  Control Accounts'!$EA$8&gt;7,E280&lt;&gt;"0"),1,0)</f>
        <v>0</v>
      </c>
      <c r="H280" s="751">
        <v>31</v>
      </c>
      <c r="I280" s="1356"/>
      <c r="J280" s="1356"/>
      <c r="K280" s="1356"/>
      <c r="L280" s="1356"/>
      <c r="M280" s="1356"/>
      <c r="N280" s="1356"/>
      <c r="O280" s="1356"/>
    </row>
    <row r="281" spans="1:15" x14ac:dyDescent="0.3">
      <c r="A281" s="1371" t="str">
        <f t="shared" si="63"/>
        <v>0</v>
      </c>
      <c r="B281" s="1376" t="str">
        <f t="shared" si="64"/>
        <v>0</v>
      </c>
      <c r="C281" s="1371" t="str">
        <f t="shared" si="65"/>
        <v>0</v>
      </c>
      <c r="D281" s="1371">
        <f>'5  Control Accounts'!ES131</f>
        <v>0</v>
      </c>
      <c r="E281" s="1371" t="str">
        <f>TEXT('5  Control Accounts'!ET131,"General")</f>
        <v>0</v>
      </c>
      <c r="F281" s="750"/>
      <c r="G281" s="850">
        <f>IF(AND(NOT(ISERROR(MATCH(D281,'5  Control Accounts'!$ES$34:$ES$95,0))),'5  Control Accounts'!$EA$8&gt;7,E281&lt;&gt;"0"),1,0)</f>
        <v>0</v>
      </c>
      <c r="H281" s="751">
        <v>32</v>
      </c>
      <c r="I281" s="1356"/>
      <c r="J281" s="1356"/>
      <c r="K281" s="1356"/>
      <c r="L281" s="1356"/>
      <c r="M281" s="1356"/>
      <c r="N281" s="1356"/>
      <c r="O281" s="1356"/>
    </row>
    <row r="282" spans="1:15" x14ac:dyDescent="0.3">
      <c r="A282" s="1371" t="str">
        <f t="shared" si="63"/>
        <v>0</v>
      </c>
      <c r="B282" s="1376" t="str">
        <f t="shared" si="64"/>
        <v>0</v>
      </c>
      <c r="C282" s="1371" t="str">
        <f t="shared" si="65"/>
        <v>0</v>
      </c>
      <c r="D282" s="1371">
        <f>'5  Control Accounts'!ES132</f>
        <v>0</v>
      </c>
      <c r="E282" s="1371" t="str">
        <f>TEXT('5  Control Accounts'!ET132,"General")</f>
        <v>0</v>
      </c>
      <c r="F282" s="750"/>
      <c r="G282" s="850">
        <f>IF(AND(NOT(ISERROR(MATCH(D282,'5  Control Accounts'!$ES$34:$ES$95,0))),'5  Control Accounts'!$EA$8&gt;7,E282&lt;&gt;"0"),1,0)</f>
        <v>0</v>
      </c>
      <c r="H282" s="751">
        <v>33</v>
      </c>
      <c r="I282" s="1356"/>
      <c r="J282" s="1356"/>
      <c r="K282" s="1356"/>
      <c r="L282" s="1356"/>
      <c r="M282" s="1356"/>
      <c r="N282" s="1356"/>
      <c r="O282" s="1356"/>
    </row>
    <row r="283" spans="1:15" x14ac:dyDescent="0.3">
      <c r="A283" s="1371" t="str">
        <f t="shared" si="63"/>
        <v>0</v>
      </c>
      <c r="B283" s="1376" t="str">
        <f t="shared" si="64"/>
        <v>0</v>
      </c>
      <c r="C283" s="1371" t="str">
        <f t="shared" si="65"/>
        <v>0</v>
      </c>
      <c r="D283" s="1371">
        <f>'5  Control Accounts'!ES133</f>
        <v>0</v>
      </c>
      <c r="E283" s="1371" t="str">
        <f>TEXT('5  Control Accounts'!ET133,"General")</f>
        <v>0</v>
      </c>
      <c r="F283" s="750"/>
      <c r="G283" s="850">
        <f>IF(AND(NOT(ISERROR(MATCH(D283,'5  Control Accounts'!$ES$34:$ES$95,0))),'5  Control Accounts'!$EA$8&gt;7,E283&lt;&gt;"0"),1,0)</f>
        <v>0</v>
      </c>
      <c r="H283" s="751">
        <v>34</v>
      </c>
      <c r="I283" s="1356"/>
      <c r="J283" s="1356"/>
      <c r="K283" s="1356"/>
      <c r="L283" s="1356"/>
      <c r="M283" s="1356"/>
      <c r="N283" s="1356"/>
      <c r="O283" s="1356"/>
    </row>
    <row r="284" spans="1:15" x14ac:dyDescent="0.3">
      <c r="A284" s="1371" t="str">
        <f t="shared" si="63"/>
        <v>0</v>
      </c>
      <c r="B284" s="1376" t="str">
        <f t="shared" si="64"/>
        <v>0</v>
      </c>
      <c r="C284" s="1371" t="str">
        <f t="shared" si="65"/>
        <v>0</v>
      </c>
      <c r="D284" s="1371">
        <f>'5  Control Accounts'!ES134</f>
        <v>0</v>
      </c>
      <c r="E284" s="1371" t="str">
        <f>TEXT('5  Control Accounts'!ET134,"General")</f>
        <v>0</v>
      </c>
      <c r="F284" s="750"/>
      <c r="G284" s="850">
        <f>IF(AND(NOT(ISERROR(MATCH(D284,'5  Control Accounts'!$ES$34:$ES$95,0))),'5  Control Accounts'!$EA$8&gt;7,E284&lt;&gt;"0"),1,0)</f>
        <v>0</v>
      </c>
      <c r="H284" s="751">
        <v>35</v>
      </c>
      <c r="I284" s="1356"/>
      <c r="J284" s="1356"/>
      <c r="K284" s="1356"/>
      <c r="L284" s="1356"/>
      <c r="M284" s="1356"/>
      <c r="N284" s="1356"/>
      <c r="O284" s="1356"/>
    </row>
    <row r="285" spans="1:15" x14ac:dyDescent="0.3">
      <c r="A285" s="1371" t="str">
        <f t="shared" si="63"/>
        <v>0</v>
      </c>
      <c r="B285" s="1376" t="str">
        <f t="shared" si="64"/>
        <v>0</v>
      </c>
      <c r="C285" s="1371" t="str">
        <f t="shared" si="65"/>
        <v>0</v>
      </c>
      <c r="D285" s="1371">
        <f>'5  Control Accounts'!ES135</f>
        <v>0</v>
      </c>
      <c r="E285" s="1371" t="str">
        <f>TEXT('5  Control Accounts'!ET135,"General")</f>
        <v>0</v>
      </c>
      <c r="F285" s="750"/>
      <c r="G285" s="850">
        <f>IF(AND(NOT(ISERROR(MATCH(D285,'5  Control Accounts'!$ES$34:$ES$95,0))),'5  Control Accounts'!$EA$8&gt;7,E285&lt;&gt;"0"),1,0)</f>
        <v>0</v>
      </c>
      <c r="H285" s="751">
        <v>36</v>
      </c>
      <c r="I285" s="1356"/>
      <c r="J285" s="1356"/>
      <c r="K285" s="1356"/>
      <c r="L285" s="1356"/>
      <c r="M285" s="1356"/>
      <c r="N285" s="1356"/>
      <c r="O285" s="1356"/>
    </row>
    <row r="286" spans="1:15" x14ac:dyDescent="0.3">
      <c r="A286" s="1371" t="str">
        <f t="shared" si="63"/>
        <v>0</v>
      </c>
      <c r="B286" s="1376" t="str">
        <f t="shared" si="64"/>
        <v>0</v>
      </c>
      <c r="C286" s="1371" t="str">
        <f t="shared" si="65"/>
        <v>0</v>
      </c>
      <c r="D286" s="1371">
        <f>'5  Control Accounts'!ES136</f>
        <v>0</v>
      </c>
      <c r="E286" s="1371" t="str">
        <f>TEXT('5  Control Accounts'!ET136,"General")</f>
        <v>0</v>
      </c>
      <c r="F286" s="750"/>
      <c r="G286" s="850">
        <f>IF(AND(NOT(ISERROR(MATCH(D286,'5  Control Accounts'!$ES$34:$ES$95,0))),'5  Control Accounts'!$EA$8&gt;7,E286&lt;&gt;"0"),1,0)</f>
        <v>0</v>
      </c>
      <c r="H286" s="751">
        <v>37</v>
      </c>
      <c r="I286" s="1356"/>
      <c r="J286" s="1356"/>
      <c r="K286" s="1356"/>
      <c r="L286" s="1356"/>
      <c r="M286" s="1356"/>
      <c r="N286" s="1356"/>
      <c r="O286" s="1356"/>
    </row>
    <row r="287" spans="1:15" x14ac:dyDescent="0.3">
      <c r="A287" s="1371" t="str">
        <f t="shared" si="63"/>
        <v>0</v>
      </c>
      <c r="B287" s="1376" t="str">
        <f t="shared" si="64"/>
        <v>0</v>
      </c>
      <c r="C287" s="1371" t="str">
        <f t="shared" si="65"/>
        <v>0</v>
      </c>
      <c r="D287" s="1371">
        <f>'5  Control Accounts'!ES137</f>
        <v>0</v>
      </c>
      <c r="E287" s="1371" t="str">
        <f>TEXT('5  Control Accounts'!ET137,"General")</f>
        <v>0</v>
      </c>
      <c r="F287" s="750"/>
      <c r="G287" s="850">
        <f>IF(AND(NOT(ISERROR(MATCH(D287,'5  Control Accounts'!$ES$34:$ES$95,0))),'5  Control Accounts'!$EA$8&gt;7,E287&lt;&gt;"0"),1,0)</f>
        <v>0</v>
      </c>
      <c r="H287" s="751">
        <v>38</v>
      </c>
      <c r="I287" s="1356"/>
      <c r="J287" s="1356"/>
      <c r="K287" s="1356"/>
      <c r="L287" s="1356"/>
      <c r="M287" s="1356"/>
      <c r="N287" s="1356"/>
      <c r="O287" s="1356"/>
    </row>
    <row r="288" spans="1:15" x14ac:dyDescent="0.3">
      <c r="A288" s="1371" t="str">
        <f t="shared" si="63"/>
        <v>0</v>
      </c>
      <c r="B288" s="1376" t="str">
        <f t="shared" si="64"/>
        <v>0</v>
      </c>
      <c r="C288" s="1371" t="str">
        <f t="shared" si="65"/>
        <v>0</v>
      </c>
      <c r="D288" s="1371">
        <f>'5  Control Accounts'!ES138</f>
        <v>0</v>
      </c>
      <c r="E288" s="1371" t="str">
        <f>TEXT('5  Control Accounts'!ET138,"General")</f>
        <v>0</v>
      </c>
      <c r="F288" s="750"/>
      <c r="G288" s="850">
        <f>IF(AND(NOT(ISERROR(MATCH(D288,'5  Control Accounts'!$ES$34:$ES$95,0))),'5  Control Accounts'!$EA$8&gt;7,E288&lt;&gt;"0"),1,0)</f>
        <v>0</v>
      </c>
      <c r="H288" s="751">
        <v>39</v>
      </c>
      <c r="I288" s="1356"/>
      <c r="J288" s="1356"/>
      <c r="K288" s="1356"/>
      <c r="L288" s="1356"/>
      <c r="M288" s="1356"/>
      <c r="N288" s="1356"/>
      <c r="O288" s="1356"/>
    </row>
    <row r="289" spans="1:15" ht="15" thickBot="1" x14ac:dyDescent="0.35">
      <c r="A289" s="1372" t="str">
        <f t="shared" ref="A289" si="66">IF(G289=1,TEXT(7,"0"),TEXT(0,"0"))</f>
        <v>0</v>
      </c>
      <c r="B289" s="1379" t="str">
        <f t="shared" ref="B289" si="67">IF(G289=1,$B$2,TEXT(0,"0"))</f>
        <v>0</v>
      </c>
      <c r="C289" s="1372" t="str">
        <f t="shared" ref="C289" si="68">IF(G289,$B$2&amp;"."&amp;D289,TEXT(0,"0"))</f>
        <v>0</v>
      </c>
      <c r="D289" s="1372">
        <f>'5  Control Accounts'!ES139</f>
        <v>0</v>
      </c>
      <c r="E289" s="1372" t="str">
        <f>TEXT('5  Control Accounts'!ET139,"General")</f>
        <v>0</v>
      </c>
      <c r="F289" s="750"/>
      <c r="G289" s="1519">
        <f>IF(AND(NOT(ISERROR(MATCH(D289,'5  Control Accounts'!$ES$34:$ES$95,0))),'5  Control Accounts'!$EA$8&gt;7,E289&lt;&gt;"0"),1,0)</f>
        <v>0</v>
      </c>
      <c r="H289" s="1507">
        <v>40</v>
      </c>
      <c r="I289" s="1356"/>
    </row>
    <row r="290" spans="1:15" x14ac:dyDescent="0.3">
      <c r="A290" s="1367" t="str">
        <f ca="1">IF(G290=1,TEXT('5  Control Accounts'!$EA$8,"0"),TEXT(0,"0"))</f>
        <v>0</v>
      </c>
      <c r="B290" s="1368" t="str">
        <f t="shared" ref="B290:B353" ca="1" si="69">IF(G290=1,$B$2,TEXT(0,"General"))</f>
        <v>0</v>
      </c>
      <c r="C290" s="1367" t="str">
        <f t="shared" ref="C290:C353" ca="1" si="70">IF(G290,$B$2&amp;"."&amp;D290,TEXT(0,"General"))</f>
        <v>0</v>
      </c>
      <c r="D290" s="1367" t="str">
        <f ca="1">TEXT(OFFSET('5  Control Accounts'!$BK$34,H290-1,0),"General")</f>
        <v>S</v>
      </c>
      <c r="E290" s="1367" t="str">
        <f ca="1">OFFSET('5  Control Accounts'!$EW$34,H290-1,TEXT(0,"0"))</f>
        <v>GENERAL LABOR CONTINGENCY</v>
      </c>
      <c r="F290" s="750"/>
      <c r="G290" s="851">
        <f ca="1">OFFSET('5  Control Accounts'!$CP$34,H290-1,0)</f>
        <v>0</v>
      </c>
      <c r="H290" s="751">
        <v>-4</v>
      </c>
      <c r="I290" s="1356"/>
      <c r="J290" s="1356"/>
      <c r="K290" s="1356"/>
      <c r="L290" s="1356"/>
      <c r="M290" s="1356"/>
      <c r="N290" s="1356"/>
      <c r="O290" s="1356"/>
    </row>
    <row r="291" spans="1:15" x14ac:dyDescent="0.3">
      <c r="A291" s="1367" t="str">
        <f ca="1">IF(G291=1,TEXT('5  Control Accounts'!$EA$8,"0"),TEXT(0,"0"))</f>
        <v>0</v>
      </c>
      <c r="B291" s="1368" t="str">
        <f t="shared" ca="1" si="69"/>
        <v>0</v>
      </c>
      <c r="C291" s="1367" t="str">
        <f t="shared" ca="1" si="70"/>
        <v>0</v>
      </c>
      <c r="D291" s="1367" t="str">
        <f ca="1">TEXT(OFFSET('5  Control Accounts'!$BK$34,H291-1,0),"General")</f>
        <v>S</v>
      </c>
      <c r="E291" s="1367" t="str">
        <f ca="1">OFFSET('5  Control Accounts'!$EW$34,H291-1,TEXT(0,"0"))</f>
        <v>GENERAL NON-LABOR CONTINGENCY</v>
      </c>
      <c r="F291" s="750"/>
      <c r="G291" s="851">
        <f ca="1">OFFSET('5  Control Accounts'!$CP$34,H291-1,0)</f>
        <v>0</v>
      </c>
      <c r="H291" s="751">
        <v>-3</v>
      </c>
      <c r="I291" s="1356"/>
      <c r="J291" s="1356"/>
      <c r="K291" s="1356"/>
      <c r="L291" s="1356"/>
      <c r="M291" s="1356"/>
      <c r="N291" s="1356"/>
      <c r="O291" s="1356"/>
    </row>
    <row r="292" spans="1:15" x14ac:dyDescent="0.3">
      <c r="A292" s="1367" t="str">
        <f ca="1">IF(G292=1,TEXT('5  Control Accounts'!$EA$8,"0"),TEXT(0,"0"))</f>
        <v>0</v>
      </c>
      <c r="B292" s="1368" t="str">
        <f t="shared" ca="1" si="69"/>
        <v>0</v>
      </c>
      <c r="C292" s="1367" t="str">
        <f t="shared" ca="1" si="70"/>
        <v>0</v>
      </c>
      <c r="D292" s="1367" t="str">
        <f ca="1">TEXT(OFFSET('5  Control Accounts'!$BK$34,H292-1,0),"General")</f>
        <v>R</v>
      </c>
      <c r="E292" s="1367" t="str">
        <f ca="1">OFFSET('5  Control Accounts'!$EW$34,H292-1,TEXT(0,"0"))</f>
        <v>COST RESERVE</v>
      </c>
      <c r="F292" s="750"/>
      <c r="G292" s="851">
        <f ca="1">OFFSET('5  Control Accounts'!$CP$34,H292-1,0)</f>
        <v>0</v>
      </c>
      <c r="H292" s="751">
        <v>-2</v>
      </c>
      <c r="I292" s="1356"/>
      <c r="J292" s="1356"/>
      <c r="K292" s="1356"/>
      <c r="L292" s="1356"/>
      <c r="M292" s="1356"/>
      <c r="N292" s="1356"/>
      <c r="O292" s="1356"/>
    </row>
    <row r="293" spans="1:15" x14ac:dyDescent="0.3">
      <c r="A293" s="1367" t="str">
        <f ca="1">IF(G293=1,TEXT('5  Control Accounts'!$EA$8,"0"),TEXT(0,"0"))</f>
        <v>0</v>
      </c>
      <c r="B293" s="1368" t="str">
        <f t="shared" ca="1" si="69"/>
        <v>0</v>
      </c>
      <c r="C293" s="1367" t="str">
        <f t="shared" ca="1" si="70"/>
        <v>0</v>
      </c>
      <c r="D293" s="1367" t="str">
        <f ca="1">TEXT(OFFSET('5  Control Accounts'!$BK$34,H293-1,0),"General")</f>
        <v>V</v>
      </c>
      <c r="E293" s="1367" t="str">
        <f ca="1">OFFSET('5  Control Accounts'!$EW$34,H293-1,TEXT(0,"0"))</f>
        <v>FEE</v>
      </c>
      <c r="F293" s="750"/>
      <c r="G293" s="851">
        <f ca="1">OFFSET('5  Control Accounts'!$CP$34,H293-1,0)</f>
        <v>0</v>
      </c>
      <c r="H293" s="751">
        <v>-1</v>
      </c>
      <c r="I293" s="1356"/>
      <c r="J293" s="1356"/>
      <c r="K293" s="1356"/>
      <c r="L293" s="1356"/>
      <c r="M293" s="1356"/>
      <c r="N293" s="1356"/>
      <c r="O293" s="1356"/>
    </row>
    <row r="294" spans="1:15" ht="15" thickBot="1" x14ac:dyDescent="0.35">
      <c r="A294" s="1469" t="str">
        <f ca="1">IF(G294=1,TEXT('5  Control Accounts'!$EA$8,"0"),TEXT(0,"0"))</f>
        <v>6</v>
      </c>
      <c r="B294" s="1470" t="str">
        <f t="shared" ca="1" si="69"/>
        <v>B23672</v>
      </c>
      <c r="C294" s="1469" t="str">
        <f t="shared" ca="1" si="70"/>
        <v>B23672.C</v>
      </c>
      <c r="D294" s="1469" t="str">
        <f ca="1">TEXT(OFFSET('5  Control Accounts'!$BK$34,H294-1,0),"General")</f>
        <v>C</v>
      </c>
      <c r="E294" s="1469" t="str">
        <f ca="1">OFFSET('5  Control Accounts'!$EW$34,H294-1,TEXT(0,"0"))</f>
        <v>PC ALLOCATION</v>
      </c>
      <c r="F294" s="750"/>
      <c r="G294" s="1514">
        <f ca="1">OFFSET('5  Control Accounts'!$CP$34,H294-1,0)</f>
        <v>1</v>
      </c>
      <c r="H294" s="1504">
        <v>0</v>
      </c>
      <c r="I294" s="1356"/>
      <c r="J294" s="1356"/>
      <c r="K294" s="1356"/>
      <c r="L294" s="1356"/>
      <c r="M294" s="1356"/>
      <c r="N294" s="1356"/>
      <c r="O294" s="1356"/>
    </row>
    <row r="295" spans="1:15" ht="15" thickTop="1" x14ac:dyDescent="0.3">
      <c r="A295" s="1367" t="str">
        <f ca="1">IF(G295=1,TEXT('5  Control Accounts'!$EA$8,"0"),TEXT(0,"0"))</f>
        <v>0</v>
      </c>
      <c r="B295" s="1368" t="str">
        <f t="shared" ca="1" si="69"/>
        <v>0</v>
      </c>
      <c r="C295" s="1367" t="str">
        <f t="shared" ca="1" si="70"/>
        <v>0</v>
      </c>
      <c r="D295" s="1367">
        <f ca="1">OFFSET('5  Control Accounts'!$EV$34,H295-1,0)</f>
        <v>0</v>
      </c>
      <c r="E295" s="1367">
        <f ca="1">OFFSET('5  Control Accounts'!$EW$34,H295-1,TEXT(0,"0"))</f>
        <v>0</v>
      </c>
      <c r="F295" s="750"/>
      <c r="G295" s="1513">
        <f ca="1">IF('5  Control Accounts'!$EA$8=4,0,OFFSET('5  Control Accounts'!$CP$34,H295-1,0))</f>
        <v>0</v>
      </c>
      <c r="H295" s="1502">
        <v>1</v>
      </c>
    </row>
    <row r="296" spans="1:15" x14ac:dyDescent="0.3">
      <c r="A296" s="1369" t="str">
        <f ca="1">IF(G296=1,TEXT('5  Control Accounts'!$EA$8,"0"),TEXT(0,"0"))</f>
        <v>0</v>
      </c>
      <c r="B296" s="1370" t="str">
        <f t="shared" ca="1" si="69"/>
        <v>0</v>
      </c>
      <c r="C296" s="1369" t="str">
        <f t="shared" ca="1" si="70"/>
        <v>0</v>
      </c>
      <c r="D296" s="1369">
        <f ca="1">OFFSET('5  Control Accounts'!$EV$34,H296-1,0)</f>
        <v>0</v>
      </c>
      <c r="E296" s="1369">
        <f ca="1">OFFSET('5  Control Accounts'!$EW$34,H296-1,TEXT(0,"0"))</f>
        <v>0</v>
      </c>
      <c r="F296" s="750"/>
      <c r="G296" s="851">
        <f ca="1">IF('5  Control Accounts'!$EA$8=4,0,OFFSET('5  Control Accounts'!$CP$34,H296-1,0))</f>
        <v>0</v>
      </c>
      <c r="H296" s="751">
        <v>2</v>
      </c>
    </row>
    <row r="297" spans="1:15" x14ac:dyDescent="0.3">
      <c r="A297" s="1369" t="str">
        <f ca="1">IF(G297=1,TEXT('5  Control Accounts'!$EA$8,"0"),TEXT(0,"0"))</f>
        <v>0</v>
      </c>
      <c r="B297" s="1370" t="str">
        <f t="shared" ca="1" si="69"/>
        <v>0</v>
      </c>
      <c r="C297" s="1369" t="str">
        <f t="shared" ca="1" si="70"/>
        <v>0</v>
      </c>
      <c r="D297" s="1369">
        <f ca="1">OFFSET('5  Control Accounts'!$EV$34,H297-1,0)</f>
        <v>0</v>
      </c>
      <c r="E297" s="1369">
        <f ca="1">OFFSET('5  Control Accounts'!$EW$34,H297-1,TEXT(0,"0"))</f>
        <v>0</v>
      </c>
      <c r="F297" s="750"/>
      <c r="G297" s="851">
        <f ca="1">IF('5  Control Accounts'!$EA$8=4,0,OFFSET('5  Control Accounts'!$CP$34,H297-1,0))</f>
        <v>0</v>
      </c>
      <c r="H297" s="751">
        <v>3</v>
      </c>
    </row>
    <row r="298" spans="1:15" x14ac:dyDescent="0.3">
      <c r="A298" s="1369" t="str">
        <f ca="1">IF(G298=1,TEXT('5  Control Accounts'!$EA$8,"0"),TEXT(0,"0"))</f>
        <v>0</v>
      </c>
      <c r="B298" s="1370" t="str">
        <f t="shared" ca="1" si="69"/>
        <v>0</v>
      </c>
      <c r="C298" s="1369" t="str">
        <f t="shared" ca="1" si="70"/>
        <v>0</v>
      </c>
      <c r="D298" s="1369">
        <f ca="1">OFFSET('5  Control Accounts'!$EV$34,H298-1,0)</f>
        <v>0</v>
      </c>
      <c r="E298" s="1369">
        <f ca="1">OFFSET('5  Control Accounts'!$EW$34,H298-1,TEXT(0,"0"))</f>
        <v>0</v>
      </c>
      <c r="F298" s="750"/>
      <c r="G298" s="851">
        <f ca="1">IF('5  Control Accounts'!$EA$8=4,0,OFFSET('5  Control Accounts'!$CP$34,H298-1,0))</f>
        <v>0</v>
      </c>
      <c r="H298" s="751">
        <v>4</v>
      </c>
    </row>
    <row r="299" spans="1:15" x14ac:dyDescent="0.3">
      <c r="A299" s="1369" t="str">
        <f ca="1">IF(G299=1,TEXT('5  Control Accounts'!$EA$8,"0"),TEXT(0,"0"))</f>
        <v>0</v>
      </c>
      <c r="B299" s="1370" t="str">
        <f t="shared" ca="1" si="69"/>
        <v>0</v>
      </c>
      <c r="C299" s="1369" t="str">
        <f t="shared" ca="1" si="70"/>
        <v>0</v>
      </c>
      <c r="D299" s="1369">
        <f ca="1">OFFSET('5  Control Accounts'!$EV$34,H299-1,0)</f>
        <v>0</v>
      </c>
      <c r="E299" s="1369">
        <f ca="1">OFFSET('5  Control Accounts'!$EW$34,H299-1,TEXT(0,"0"))</f>
        <v>0</v>
      </c>
      <c r="F299" s="750"/>
      <c r="G299" s="851">
        <f ca="1">IF('5  Control Accounts'!$EA$8=4,0,OFFSET('5  Control Accounts'!$CP$34,H299-1,0))</f>
        <v>0</v>
      </c>
      <c r="H299" s="751">
        <v>5</v>
      </c>
    </row>
    <row r="300" spans="1:15" x14ac:dyDescent="0.3">
      <c r="A300" s="1369" t="str">
        <f ca="1">IF(G300=1,TEXT('5  Control Accounts'!$EA$8,"0"),TEXT(0,"0"))</f>
        <v>0</v>
      </c>
      <c r="B300" s="1370" t="str">
        <f t="shared" ca="1" si="69"/>
        <v>0</v>
      </c>
      <c r="C300" s="1369" t="str">
        <f t="shared" ca="1" si="70"/>
        <v>0</v>
      </c>
      <c r="D300" s="1369">
        <f ca="1">OFFSET('5  Control Accounts'!$EV$34,H300-1,0)</f>
        <v>0</v>
      </c>
      <c r="E300" s="1369">
        <f ca="1">OFFSET('5  Control Accounts'!$EW$34,H300-1,TEXT(0,"0"))</f>
        <v>0</v>
      </c>
      <c r="F300" s="750"/>
      <c r="G300" s="851">
        <f ca="1">IF('5  Control Accounts'!$EA$8=4,0,OFFSET('5  Control Accounts'!$CP$34,H300-1,0))</f>
        <v>0</v>
      </c>
      <c r="H300" s="751">
        <v>6</v>
      </c>
    </row>
    <row r="301" spans="1:15" x14ac:dyDescent="0.3">
      <c r="A301" s="1369" t="str">
        <f ca="1">IF(G301=1,TEXT('5  Control Accounts'!$EA$8,"0"),TEXT(0,"0"))</f>
        <v>0</v>
      </c>
      <c r="B301" s="1370" t="str">
        <f t="shared" ca="1" si="69"/>
        <v>0</v>
      </c>
      <c r="C301" s="1369" t="str">
        <f t="shared" ca="1" si="70"/>
        <v>0</v>
      </c>
      <c r="D301" s="1369">
        <f ca="1">OFFSET('5  Control Accounts'!$EV$34,H301-1,0)</f>
        <v>0</v>
      </c>
      <c r="E301" s="1369">
        <f ca="1">OFFSET('5  Control Accounts'!$EW$34,H301-1,TEXT(0,"0"))</f>
        <v>0</v>
      </c>
      <c r="F301" s="750"/>
      <c r="G301" s="851">
        <f ca="1">IF('5  Control Accounts'!$EA$8=4,0,OFFSET('5  Control Accounts'!$CP$34,H301-1,0))</f>
        <v>0</v>
      </c>
      <c r="H301" s="751">
        <v>7</v>
      </c>
    </row>
    <row r="302" spans="1:15" x14ac:dyDescent="0.3">
      <c r="A302" s="1369" t="str">
        <f ca="1">IF(G302=1,TEXT('5  Control Accounts'!$EA$8,"0"),TEXT(0,"0"))</f>
        <v>0</v>
      </c>
      <c r="B302" s="1370" t="str">
        <f t="shared" ca="1" si="69"/>
        <v>0</v>
      </c>
      <c r="C302" s="1369" t="str">
        <f t="shared" ca="1" si="70"/>
        <v>0</v>
      </c>
      <c r="D302" s="1369">
        <f ca="1">OFFSET('5  Control Accounts'!$EV$34,H302-1,0)</f>
        <v>0</v>
      </c>
      <c r="E302" s="1369">
        <f ca="1">OFFSET('5  Control Accounts'!$EW$34,H302-1,TEXT(0,"0"))</f>
        <v>0</v>
      </c>
      <c r="F302" s="750"/>
      <c r="G302" s="851">
        <f ca="1">IF('5  Control Accounts'!$EA$8=4,0,OFFSET('5  Control Accounts'!$CP$34,H302-1,0))</f>
        <v>0</v>
      </c>
      <c r="H302" s="751">
        <v>8</v>
      </c>
    </row>
    <row r="303" spans="1:15" x14ac:dyDescent="0.3">
      <c r="A303" s="1369" t="str">
        <f ca="1">IF(G303=1,TEXT('5  Control Accounts'!$EA$8,"0"),TEXT(0,"0"))</f>
        <v>0</v>
      </c>
      <c r="B303" s="1370" t="str">
        <f t="shared" ca="1" si="69"/>
        <v>0</v>
      </c>
      <c r="C303" s="1369" t="str">
        <f t="shared" ca="1" si="70"/>
        <v>0</v>
      </c>
      <c r="D303" s="1369">
        <f ca="1">OFFSET('5  Control Accounts'!$EV$34,H303-1,0)</f>
        <v>0</v>
      </c>
      <c r="E303" s="1369">
        <f ca="1">OFFSET('5  Control Accounts'!$EW$34,H303-1,TEXT(0,"0"))</f>
        <v>0</v>
      </c>
      <c r="F303" s="750"/>
      <c r="G303" s="851">
        <f ca="1">IF('5  Control Accounts'!$EA$8=4,0,OFFSET('5  Control Accounts'!$CP$34,H303-1,0))</f>
        <v>0</v>
      </c>
      <c r="H303" s="751">
        <v>9</v>
      </c>
    </row>
    <row r="304" spans="1:15" x14ac:dyDescent="0.3">
      <c r="A304" s="1369" t="str">
        <f ca="1">IF(G304=1,TEXT('5  Control Accounts'!$EA$8,"0"),TEXT(0,"0"))</f>
        <v>0</v>
      </c>
      <c r="B304" s="1370" t="str">
        <f t="shared" ca="1" si="69"/>
        <v>0</v>
      </c>
      <c r="C304" s="1369" t="str">
        <f t="shared" ca="1" si="70"/>
        <v>0</v>
      </c>
      <c r="D304" s="1369">
        <f ca="1">OFFSET('5  Control Accounts'!$EV$34,H304-1,0)</f>
        <v>0</v>
      </c>
      <c r="E304" s="1369">
        <f ca="1">OFFSET('5  Control Accounts'!$EW$34,H304-1,TEXT(0,"0"))</f>
        <v>0</v>
      </c>
      <c r="F304" s="750"/>
      <c r="G304" s="851">
        <f ca="1">IF('5  Control Accounts'!$EA$8=4,0,OFFSET('5  Control Accounts'!$CP$34,H304-1,0))</f>
        <v>0</v>
      </c>
      <c r="H304" s="751">
        <v>10</v>
      </c>
    </row>
    <row r="305" spans="1:8" x14ac:dyDescent="0.3">
      <c r="A305" s="1369" t="str">
        <f ca="1">IF(G305=1,TEXT('5  Control Accounts'!$EA$8,"0"),TEXT(0,"0"))</f>
        <v>0</v>
      </c>
      <c r="B305" s="1370" t="str">
        <f t="shared" ca="1" si="69"/>
        <v>0</v>
      </c>
      <c r="C305" s="1369" t="str">
        <f t="shared" ca="1" si="70"/>
        <v>0</v>
      </c>
      <c r="D305" s="1369">
        <f ca="1">OFFSET('5  Control Accounts'!$EV$34,H305-1,0)</f>
        <v>0</v>
      </c>
      <c r="E305" s="1369">
        <f ca="1">OFFSET('5  Control Accounts'!$EW$34,H305-1,TEXT(0,"0"))</f>
        <v>0</v>
      </c>
      <c r="F305" s="750"/>
      <c r="G305" s="851">
        <f ca="1">IF('5  Control Accounts'!$EA$8=4,0,OFFSET('5  Control Accounts'!$CP$34,H305-1,0))</f>
        <v>0</v>
      </c>
      <c r="H305" s="751">
        <v>11</v>
      </c>
    </row>
    <row r="306" spans="1:8" x14ac:dyDescent="0.3">
      <c r="A306" s="1369" t="str">
        <f ca="1">IF(G306=1,TEXT('5  Control Accounts'!$EA$8,"0"),TEXT(0,"0"))</f>
        <v>0</v>
      </c>
      <c r="B306" s="1370" t="str">
        <f t="shared" ca="1" si="69"/>
        <v>0</v>
      </c>
      <c r="C306" s="1369" t="str">
        <f t="shared" ca="1" si="70"/>
        <v>0</v>
      </c>
      <c r="D306" s="1369">
        <f ca="1">OFFSET('5  Control Accounts'!$EV$34,H306-1,0)</f>
        <v>0</v>
      </c>
      <c r="E306" s="1369">
        <f ca="1">OFFSET('5  Control Accounts'!$EW$34,H306-1,TEXT(0,"0"))</f>
        <v>0</v>
      </c>
      <c r="F306" s="750"/>
      <c r="G306" s="851">
        <f ca="1">IF('5  Control Accounts'!$EA$8=4,0,OFFSET('5  Control Accounts'!$CP$34,H306-1,0))</f>
        <v>0</v>
      </c>
      <c r="H306" s="751">
        <v>12</v>
      </c>
    </row>
    <row r="307" spans="1:8" x14ac:dyDescent="0.3">
      <c r="A307" s="1369" t="str">
        <f ca="1">IF(G307=1,TEXT('5  Control Accounts'!$EA$8,"0"),TEXT(0,"0"))</f>
        <v>0</v>
      </c>
      <c r="B307" s="1370" t="str">
        <f t="shared" ca="1" si="69"/>
        <v>0</v>
      </c>
      <c r="C307" s="1369" t="str">
        <f t="shared" ca="1" si="70"/>
        <v>0</v>
      </c>
      <c r="D307" s="1369">
        <f ca="1">OFFSET('5  Control Accounts'!$EV$34,H307-1,0)</f>
        <v>0</v>
      </c>
      <c r="E307" s="1369">
        <f ca="1">OFFSET('5  Control Accounts'!$EW$34,H307-1,TEXT(0,"0"))</f>
        <v>0</v>
      </c>
      <c r="F307" s="750"/>
      <c r="G307" s="851">
        <f ca="1">IF('5  Control Accounts'!$EA$8=4,0,OFFSET('5  Control Accounts'!$CP$34,H307-1,0))</f>
        <v>0</v>
      </c>
      <c r="H307" s="751">
        <v>13</v>
      </c>
    </row>
    <row r="308" spans="1:8" x14ac:dyDescent="0.3">
      <c r="A308" s="1369" t="str">
        <f ca="1">IF(G308=1,TEXT('5  Control Accounts'!$EA$8,"0"),TEXT(0,"0"))</f>
        <v>0</v>
      </c>
      <c r="B308" s="1370" t="str">
        <f t="shared" ca="1" si="69"/>
        <v>0</v>
      </c>
      <c r="C308" s="1369" t="str">
        <f t="shared" ca="1" si="70"/>
        <v>0</v>
      </c>
      <c r="D308" s="1369">
        <f ca="1">OFFSET('5  Control Accounts'!$EV$34,H308-1,0)</f>
        <v>0</v>
      </c>
      <c r="E308" s="1369">
        <f ca="1">OFFSET('5  Control Accounts'!$EW$34,H308-1,TEXT(0,"0"))</f>
        <v>0</v>
      </c>
      <c r="F308" s="750"/>
      <c r="G308" s="851">
        <f ca="1">IF('5  Control Accounts'!$EA$8=4,0,OFFSET('5  Control Accounts'!$CP$34,H308-1,0))</f>
        <v>0</v>
      </c>
      <c r="H308" s="751">
        <v>14</v>
      </c>
    </row>
    <row r="309" spans="1:8" x14ac:dyDescent="0.3">
      <c r="A309" s="1369" t="str">
        <f ca="1">IF(G309=1,TEXT('5  Control Accounts'!$EA$8,"0"),TEXT(0,"0"))</f>
        <v>0</v>
      </c>
      <c r="B309" s="1370" t="str">
        <f t="shared" ca="1" si="69"/>
        <v>0</v>
      </c>
      <c r="C309" s="1369" t="str">
        <f t="shared" ca="1" si="70"/>
        <v>0</v>
      </c>
      <c r="D309" s="1369">
        <f ca="1">OFFSET('5  Control Accounts'!$EV$34,H309-1,0)</f>
        <v>0</v>
      </c>
      <c r="E309" s="1369">
        <f ca="1">OFFSET('5  Control Accounts'!$EW$34,H309-1,TEXT(0,"0"))</f>
        <v>0</v>
      </c>
      <c r="F309" s="750"/>
      <c r="G309" s="851">
        <f ca="1">IF('5  Control Accounts'!$EA$8=4,0,OFFSET('5  Control Accounts'!$CP$34,H309-1,0))</f>
        <v>0</v>
      </c>
      <c r="H309" s="751">
        <v>15</v>
      </c>
    </row>
    <row r="310" spans="1:8" x14ac:dyDescent="0.3">
      <c r="A310" s="1369" t="str">
        <f ca="1">IF(G310=1,TEXT('5  Control Accounts'!$EA$8,"0"),TEXT(0,"0"))</f>
        <v>0</v>
      </c>
      <c r="B310" s="1370" t="str">
        <f t="shared" ca="1" si="69"/>
        <v>0</v>
      </c>
      <c r="C310" s="1369" t="str">
        <f t="shared" ca="1" si="70"/>
        <v>0</v>
      </c>
      <c r="D310" s="1369">
        <f ca="1">OFFSET('5  Control Accounts'!$EV$34,H310-1,0)</f>
        <v>0</v>
      </c>
      <c r="E310" s="1369">
        <f ca="1">OFFSET('5  Control Accounts'!$EW$34,H310-1,TEXT(0,"0"))</f>
        <v>0</v>
      </c>
      <c r="F310" s="750"/>
      <c r="G310" s="851">
        <f ca="1">IF('5  Control Accounts'!$EA$8=4,0,OFFSET('5  Control Accounts'!$CP$34,H310-1,0))</f>
        <v>0</v>
      </c>
      <c r="H310" s="751">
        <v>16</v>
      </c>
    </row>
    <row r="311" spans="1:8" x14ac:dyDescent="0.3">
      <c r="A311" s="1369" t="str">
        <f ca="1">IF(G311=1,TEXT('5  Control Accounts'!$EA$8,"0"),TEXT(0,"0"))</f>
        <v>0</v>
      </c>
      <c r="B311" s="1370" t="str">
        <f t="shared" ca="1" si="69"/>
        <v>0</v>
      </c>
      <c r="C311" s="1369" t="str">
        <f t="shared" ca="1" si="70"/>
        <v>0</v>
      </c>
      <c r="D311" s="1369">
        <f ca="1">OFFSET('5  Control Accounts'!$EV$34,H311-1,0)</f>
        <v>0</v>
      </c>
      <c r="E311" s="1369">
        <f ca="1">OFFSET('5  Control Accounts'!$EW$34,H311-1,TEXT(0,"0"))</f>
        <v>0</v>
      </c>
      <c r="F311" s="750"/>
      <c r="G311" s="851">
        <f ca="1">IF('5  Control Accounts'!$EA$8=4,0,OFFSET('5  Control Accounts'!$CP$34,H311-1,0))</f>
        <v>0</v>
      </c>
      <c r="H311" s="751">
        <v>17</v>
      </c>
    </row>
    <row r="312" spans="1:8" x14ac:dyDescent="0.3">
      <c r="A312" s="1369" t="str">
        <f ca="1">IF(G312=1,TEXT('5  Control Accounts'!$EA$8,"0"),TEXT(0,"0"))</f>
        <v>0</v>
      </c>
      <c r="B312" s="1370" t="str">
        <f t="shared" ca="1" si="69"/>
        <v>0</v>
      </c>
      <c r="C312" s="1369" t="str">
        <f t="shared" ca="1" si="70"/>
        <v>0</v>
      </c>
      <c r="D312" s="1369">
        <f ca="1">OFFSET('5  Control Accounts'!$EV$34,H312-1,0)</f>
        <v>0</v>
      </c>
      <c r="E312" s="1369">
        <f ca="1">OFFSET('5  Control Accounts'!$EW$34,H312-1,TEXT(0,"0"))</f>
        <v>0</v>
      </c>
      <c r="F312" s="750"/>
      <c r="G312" s="851">
        <f ca="1">IF('5  Control Accounts'!$EA$8=4,0,OFFSET('5  Control Accounts'!$CP$34,H312-1,0))</f>
        <v>0</v>
      </c>
      <c r="H312" s="751">
        <v>18</v>
      </c>
    </row>
    <row r="313" spans="1:8" x14ac:dyDescent="0.3">
      <c r="A313" s="1369" t="str">
        <f ca="1">IF(G313=1,TEXT('5  Control Accounts'!$EA$8,"0"),TEXT(0,"0"))</f>
        <v>0</v>
      </c>
      <c r="B313" s="1370" t="str">
        <f t="shared" ca="1" si="69"/>
        <v>0</v>
      </c>
      <c r="C313" s="1369" t="str">
        <f t="shared" ca="1" si="70"/>
        <v>0</v>
      </c>
      <c r="D313" s="1369">
        <f ca="1">OFFSET('5  Control Accounts'!$EV$34,H313-1,0)</f>
        <v>0</v>
      </c>
      <c r="E313" s="1369">
        <f ca="1">OFFSET('5  Control Accounts'!$EW$34,H313-1,TEXT(0,"0"))</f>
        <v>0</v>
      </c>
      <c r="F313" s="750"/>
      <c r="G313" s="851">
        <f ca="1">IF('5  Control Accounts'!$EA$8=4,0,OFFSET('5  Control Accounts'!$CP$34,H313-1,0))</f>
        <v>0</v>
      </c>
      <c r="H313" s="751">
        <v>19</v>
      </c>
    </row>
    <row r="314" spans="1:8" x14ac:dyDescent="0.3">
      <c r="A314" s="1369" t="str">
        <f ca="1">IF(G314=1,TEXT('5  Control Accounts'!$EA$8,"0"),TEXT(0,"0"))</f>
        <v>0</v>
      </c>
      <c r="B314" s="1370" t="str">
        <f t="shared" ca="1" si="69"/>
        <v>0</v>
      </c>
      <c r="C314" s="1369" t="str">
        <f t="shared" ca="1" si="70"/>
        <v>0</v>
      </c>
      <c r="D314" s="1369">
        <f ca="1">OFFSET('5  Control Accounts'!$EV$34,H314-1,0)</f>
        <v>0</v>
      </c>
      <c r="E314" s="1369">
        <f ca="1">OFFSET('5  Control Accounts'!$EW$34,H314-1,TEXT(0,"0"))</f>
        <v>0</v>
      </c>
      <c r="F314" s="750"/>
      <c r="G314" s="851">
        <f ca="1">IF('5  Control Accounts'!$EA$8=4,0,OFFSET('5  Control Accounts'!$CP$34,H314-1,0))</f>
        <v>0</v>
      </c>
      <c r="H314" s="751">
        <v>20</v>
      </c>
    </row>
    <row r="315" spans="1:8" x14ac:dyDescent="0.3">
      <c r="A315" s="1369" t="str">
        <f ca="1">IF(G315=1,TEXT('5  Control Accounts'!$EA$8,"0"),TEXT(0,"0"))</f>
        <v>0</v>
      </c>
      <c r="B315" s="1370" t="str">
        <f t="shared" ca="1" si="69"/>
        <v>0</v>
      </c>
      <c r="C315" s="1369" t="str">
        <f t="shared" ca="1" si="70"/>
        <v>0</v>
      </c>
      <c r="D315" s="1369">
        <f ca="1">OFFSET('5  Control Accounts'!$EV$34,H315-1,0)</f>
        <v>0</v>
      </c>
      <c r="E315" s="1369">
        <f ca="1">OFFSET('5  Control Accounts'!$EW$34,H315-1,TEXT(0,"0"))</f>
        <v>0</v>
      </c>
      <c r="F315" s="750"/>
      <c r="G315" s="851">
        <f ca="1">IF('5  Control Accounts'!$EA$8=4,0,OFFSET('5  Control Accounts'!$CP$34,H315-1,0))</f>
        <v>0</v>
      </c>
      <c r="H315" s="751">
        <v>21</v>
      </c>
    </row>
    <row r="316" spans="1:8" x14ac:dyDescent="0.3">
      <c r="A316" s="1369" t="str">
        <f ca="1">IF(G316=1,TEXT('5  Control Accounts'!$EA$8,"0"),TEXT(0,"0"))</f>
        <v>0</v>
      </c>
      <c r="B316" s="1370" t="str">
        <f t="shared" ca="1" si="69"/>
        <v>0</v>
      </c>
      <c r="C316" s="1369" t="str">
        <f t="shared" ca="1" si="70"/>
        <v>0</v>
      </c>
      <c r="D316" s="1369">
        <f ca="1">OFFSET('5  Control Accounts'!$EV$34,H316-1,0)</f>
        <v>0</v>
      </c>
      <c r="E316" s="1369">
        <f ca="1">OFFSET('5  Control Accounts'!$EW$34,H316-1,TEXT(0,"0"))</f>
        <v>0</v>
      </c>
      <c r="F316" s="750"/>
      <c r="G316" s="851">
        <f ca="1">IF('5  Control Accounts'!$EA$8=4,0,OFFSET('5  Control Accounts'!$CP$34,H316-1,0))</f>
        <v>0</v>
      </c>
      <c r="H316" s="751">
        <v>22</v>
      </c>
    </row>
    <row r="317" spans="1:8" x14ac:dyDescent="0.3">
      <c r="A317" s="1369" t="str">
        <f ca="1">IF(G317=1,TEXT('5  Control Accounts'!$EA$8,"0"),TEXT(0,"0"))</f>
        <v>0</v>
      </c>
      <c r="B317" s="1370" t="str">
        <f t="shared" ca="1" si="69"/>
        <v>0</v>
      </c>
      <c r="C317" s="1369" t="str">
        <f t="shared" ca="1" si="70"/>
        <v>0</v>
      </c>
      <c r="D317" s="1369">
        <f ca="1">OFFSET('5  Control Accounts'!$EV$34,H317-1,0)</f>
        <v>0</v>
      </c>
      <c r="E317" s="1369">
        <f ca="1">OFFSET('5  Control Accounts'!$EW$34,H317-1,TEXT(0,"0"))</f>
        <v>0</v>
      </c>
      <c r="F317" s="750"/>
      <c r="G317" s="851">
        <f ca="1">IF('5  Control Accounts'!$EA$8=4,0,OFFSET('5  Control Accounts'!$CP$34,H317-1,0))</f>
        <v>0</v>
      </c>
      <c r="H317" s="751">
        <v>23</v>
      </c>
    </row>
    <row r="318" spans="1:8" x14ac:dyDescent="0.3">
      <c r="A318" s="1369" t="str">
        <f ca="1">IF(G318=1,TEXT('5  Control Accounts'!$EA$8,"0"),TEXT(0,"0"))</f>
        <v>0</v>
      </c>
      <c r="B318" s="1370" t="str">
        <f t="shared" ca="1" si="69"/>
        <v>0</v>
      </c>
      <c r="C318" s="1369" t="str">
        <f t="shared" ca="1" si="70"/>
        <v>0</v>
      </c>
      <c r="D318" s="1369">
        <f ca="1">OFFSET('5  Control Accounts'!$EV$34,H318-1,0)</f>
        <v>0</v>
      </c>
      <c r="E318" s="1369">
        <f ca="1">OFFSET('5  Control Accounts'!$EW$34,H318-1,TEXT(0,"0"))</f>
        <v>0</v>
      </c>
      <c r="F318" s="750"/>
      <c r="G318" s="851">
        <f ca="1">IF('5  Control Accounts'!$EA$8=4,0,OFFSET('5  Control Accounts'!$CP$34,H318-1,0))</f>
        <v>0</v>
      </c>
      <c r="H318" s="751">
        <v>24</v>
      </c>
    </row>
    <row r="319" spans="1:8" x14ac:dyDescent="0.3">
      <c r="A319" s="1369" t="str">
        <f ca="1">IF(G319=1,TEXT('5  Control Accounts'!$EA$8,"0"),TEXT(0,"0"))</f>
        <v>0</v>
      </c>
      <c r="B319" s="1370" t="str">
        <f t="shared" ca="1" si="69"/>
        <v>0</v>
      </c>
      <c r="C319" s="1369" t="str">
        <f t="shared" ca="1" si="70"/>
        <v>0</v>
      </c>
      <c r="D319" s="1369">
        <f ca="1">OFFSET('5  Control Accounts'!$EV$34,H319-1,0)</f>
        <v>0</v>
      </c>
      <c r="E319" s="1369">
        <f ca="1">OFFSET('5  Control Accounts'!$EW$34,H319-1,TEXT(0,"0"))</f>
        <v>0</v>
      </c>
      <c r="F319" s="750"/>
      <c r="G319" s="851">
        <f ca="1">IF('5  Control Accounts'!$EA$8=4,0,OFFSET('5  Control Accounts'!$CP$34,H319-1,0))</f>
        <v>0</v>
      </c>
      <c r="H319" s="751">
        <v>25</v>
      </c>
    </row>
    <row r="320" spans="1:8" x14ac:dyDescent="0.3">
      <c r="A320" s="1369" t="str">
        <f ca="1">IF(G320=1,TEXT('5  Control Accounts'!$EA$8,"0"),TEXT(0,"0"))</f>
        <v>0</v>
      </c>
      <c r="B320" s="1370" t="str">
        <f t="shared" ca="1" si="69"/>
        <v>0</v>
      </c>
      <c r="C320" s="1369" t="str">
        <f t="shared" ca="1" si="70"/>
        <v>0</v>
      </c>
      <c r="D320" s="1369">
        <f ca="1">OFFSET('5  Control Accounts'!$EV$34,H320-1,0)</f>
        <v>0</v>
      </c>
      <c r="E320" s="1369">
        <f ca="1">OFFSET('5  Control Accounts'!$EW$34,H320-1,TEXT(0,"0"))</f>
        <v>0</v>
      </c>
      <c r="F320" s="750"/>
      <c r="G320" s="851">
        <f ca="1">IF('5  Control Accounts'!$EA$8=4,0,OFFSET('5  Control Accounts'!$CP$34,H320-1,0))</f>
        <v>0</v>
      </c>
      <c r="H320" s="751">
        <v>26</v>
      </c>
    </row>
    <row r="321" spans="1:8" x14ac:dyDescent="0.3">
      <c r="A321" s="1369" t="str">
        <f ca="1">IF(G321=1,TEXT('5  Control Accounts'!$EA$8,"0"),TEXT(0,"0"))</f>
        <v>0</v>
      </c>
      <c r="B321" s="1370" t="str">
        <f t="shared" ca="1" si="69"/>
        <v>0</v>
      </c>
      <c r="C321" s="1369" t="str">
        <f t="shared" ca="1" si="70"/>
        <v>0</v>
      </c>
      <c r="D321" s="1369">
        <f ca="1">OFFSET('5  Control Accounts'!$EV$34,H321-1,0)</f>
        <v>0</v>
      </c>
      <c r="E321" s="1369">
        <f ca="1">OFFSET('5  Control Accounts'!$EW$34,H321-1,TEXT(0,"0"))</f>
        <v>0</v>
      </c>
      <c r="F321" s="750"/>
      <c r="G321" s="851">
        <f ca="1">IF('5  Control Accounts'!$EA$8=4,0,OFFSET('5  Control Accounts'!$CP$34,H321-1,0))</f>
        <v>0</v>
      </c>
      <c r="H321" s="751">
        <v>27</v>
      </c>
    </row>
    <row r="322" spans="1:8" x14ac:dyDescent="0.3">
      <c r="A322" s="1369" t="str">
        <f ca="1">IF(G322=1,TEXT('5  Control Accounts'!$EA$8,"0"),TEXT(0,"0"))</f>
        <v>0</v>
      </c>
      <c r="B322" s="1370" t="str">
        <f t="shared" ca="1" si="69"/>
        <v>0</v>
      </c>
      <c r="C322" s="1369" t="str">
        <f t="shared" ca="1" si="70"/>
        <v>0</v>
      </c>
      <c r="D322" s="1369">
        <f ca="1">OFFSET('5  Control Accounts'!$EV$34,H322-1,0)</f>
        <v>0</v>
      </c>
      <c r="E322" s="1369">
        <f ca="1">OFFSET('5  Control Accounts'!$EW$34,H322-1,TEXT(0,"0"))</f>
        <v>0</v>
      </c>
      <c r="F322" s="750"/>
      <c r="G322" s="851">
        <f ca="1">IF('5  Control Accounts'!$EA$8=4,0,OFFSET('5  Control Accounts'!$CP$34,H322-1,0))</f>
        <v>0</v>
      </c>
      <c r="H322" s="751">
        <v>28</v>
      </c>
    </row>
    <row r="323" spans="1:8" x14ac:dyDescent="0.3">
      <c r="A323" s="1369" t="str">
        <f ca="1">IF(G323=1,TEXT('5  Control Accounts'!$EA$8,"0"),TEXT(0,"0"))</f>
        <v>0</v>
      </c>
      <c r="B323" s="1370" t="str">
        <f t="shared" ca="1" si="69"/>
        <v>0</v>
      </c>
      <c r="C323" s="1369" t="str">
        <f t="shared" ca="1" si="70"/>
        <v>0</v>
      </c>
      <c r="D323" s="1369">
        <f ca="1">OFFSET('5  Control Accounts'!$EV$34,H323-1,0)</f>
        <v>0</v>
      </c>
      <c r="E323" s="1369">
        <f ca="1">OFFSET('5  Control Accounts'!$EW$34,H323-1,TEXT(0,"0"))</f>
        <v>0</v>
      </c>
      <c r="F323" s="750"/>
      <c r="G323" s="851">
        <f ca="1">IF('5  Control Accounts'!$EA$8=4,0,OFFSET('5  Control Accounts'!$CP$34,H323-1,0))</f>
        <v>0</v>
      </c>
      <c r="H323" s="751">
        <v>29</v>
      </c>
    </row>
    <row r="324" spans="1:8" x14ac:dyDescent="0.3">
      <c r="A324" s="1369" t="str">
        <f ca="1">IF(G324=1,TEXT('5  Control Accounts'!$EA$8,"0"),TEXT(0,"0"))</f>
        <v>0</v>
      </c>
      <c r="B324" s="1370" t="str">
        <f t="shared" ca="1" si="69"/>
        <v>0</v>
      </c>
      <c r="C324" s="1369" t="str">
        <f t="shared" ca="1" si="70"/>
        <v>0</v>
      </c>
      <c r="D324" s="1369">
        <f ca="1">OFFSET('5  Control Accounts'!$EV$34,H324-1,0)</f>
        <v>0</v>
      </c>
      <c r="E324" s="1369">
        <f ca="1">OFFSET('5  Control Accounts'!$EW$34,H324-1,TEXT(0,"0"))</f>
        <v>0</v>
      </c>
      <c r="F324" s="750"/>
      <c r="G324" s="851">
        <f ca="1">IF('5  Control Accounts'!$EA$8=4,0,OFFSET('5  Control Accounts'!$CP$34,H324-1,0))</f>
        <v>0</v>
      </c>
      <c r="H324" s="751">
        <v>30</v>
      </c>
    </row>
    <row r="325" spans="1:8" x14ac:dyDescent="0.3">
      <c r="A325" s="1369" t="str">
        <f ca="1">IF(G325=1,TEXT('5  Control Accounts'!$EA$8,"0"),TEXT(0,"0"))</f>
        <v>0</v>
      </c>
      <c r="B325" s="1370" t="str">
        <f t="shared" ca="1" si="69"/>
        <v>0</v>
      </c>
      <c r="C325" s="1369" t="str">
        <f t="shared" ca="1" si="70"/>
        <v>0</v>
      </c>
      <c r="D325" s="1369">
        <f ca="1">OFFSET('5  Control Accounts'!$EV$34,H325-1,0)</f>
        <v>0</v>
      </c>
      <c r="E325" s="1369">
        <f ca="1">OFFSET('5  Control Accounts'!$EW$34,H325-1,TEXT(0,"0"))</f>
        <v>0</v>
      </c>
      <c r="F325" s="750"/>
      <c r="G325" s="851">
        <f ca="1">IF('5  Control Accounts'!$EA$8=4,0,OFFSET('5  Control Accounts'!$CP$34,H325-1,0))</f>
        <v>0</v>
      </c>
      <c r="H325" s="751">
        <v>31</v>
      </c>
    </row>
    <row r="326" spans="1:8" x14ac:dyDescent="0.3">
      <c r="A326" s="1369" t="str">
        <f ca="1">IF(G326=1,TEXT('5  Control Accounts'!$EA$8,"0"),TEXT(0,"0"))</f>
        <v>0</v>
      </c>
      <c r="B326" s="1370" t="str">
        <f t="shared" ca="1" si="69"/>
        <v>0</v>
      </c>
      <c r="C326" s="1369" t="str">
        <f t="shared" ca="1" si="70"/>
        <v>0</v>
      </c>
      <c r="D326" s="1369">
        <f ca="1">OFFSET('5  Control Accounts'!$EV$34,H326-1,0)</f>
        <v>0</v>
      </c>
      <c r="E326" s="1369">
        <f ca="1">OFFSET('5  Control Accounts'!$EW$34,H326-1,TEXT(0,"0"))</f>
        <v>0</v>
      </c>
      <c r="F326" s="750"/>
      <c r="G326" s="851">
        <f ca="1">IF('5  Control Accounts'!$EA$8=4,0,OFFSET('5  Control Accounts'!$CP$34,H326-1,0))</f>
        <v>0</v>
      </c>
      <c r="H326" s="751">
        <v>32</v>
      </c>
    </row>
    <row r="327" spans="1:8" x14ac:dyDescent="0.3">
      <c r="A327" s="1369" t="str">
        <f ca="1">IF(G327=1,TEXT('5  Control Accounts'!$EA$8,"0"),TEXT(0,"0"))</f>
        <v>0</v>
      </c>
      <c r="B327" s="1370" t="str">
        <f t="shared" ca="1" si="69"/>
        <v>0</v>
      </c>
      <c r="C327" s="1369" t="str">
        <f t="shared" ca="1" si="70"/>
        <v>0</v>
      </c>
      <c r="D327" s="1369">
        <f ca="1">OFFSET('5  Control Accounts'!$EV$34,H327-1,0)</f>
        <v>0</v>
      </c>
      <c r="E327" s="1369">
        <f ca="1">OFFSET('5  Control Accounts'!$EW$34,H327-1,TEXT(0,"0"))</f>
        <v>0</v>
      </c>
      <c r="F327" s="750"/>
      <c r="G327" s="851">
        <f ca="1">IF('5  Control Accounts'!$EA$8=4,0,OFFSET('5  Control Accounts'!$CP$34,H327-1,0))</f>
        <v>0</v>
      </c>
      <c r="H327" s="751">
        <v>33</v>
      </c>
    </row>
    <row r="328" spans="1:8" x14ac:dyDescent="0.3">
      <c r="A328" s="1369" t="str">
        <f ca="1">IF(G328=1,TEXT('5  Control Accounts'!$EA$8,"0"),TEXT(0,"0"))</f>
        <v>0</v>
      </c>
      <c r="B328" s="1370" t="str">
        <f t="shared" ca="1" si="69"/>
        <v>0</v>
      </c>
      <c r="C328" s="1369" t="str">
        <f t="shared" ca="1" si="70"/>
        <v>0</v>
      </c>
      <c r="D328" s="1369">
        <f ca="1">OFFSET('5  Control Accounts'!$EV$34,H328-1,0)</f>
        <v>0</v>
      </c>
      <c r="E328" s="1369">
        <f ca="1">OFFSET('5  Control Accounts'!$EW$34,H328-1,TEXT(0,"0"))</f>
        <v>0</v>
      </c>
      <c r="F328" s="750"/>
      <c r="G328" s="851">
        <f ca="1">IF('5  Control Accounts'!$EA$8=4,0,OFFSET('5  Control Accounts'!$CP$34,H328-1,0))</f>
        <v>0</v>
      </c>
      <c r="H328" s="751">
        <v>34</v>
      </c>
    </row>
    <row r="329" spans="1:8" x14ac:dyDescent="0.3">
      <c r="A329" s="1369" t="str">
        <f ca="1">IF(G329=1,TEXT('5  Control Accounts'!$EA$8,"0"),TEXT(0,"0"))</f>
        <v>0</v>
      </c>
      <c r="B329" s="1370" t="str">
        <f t="shared" ca="1" si="69"/>
        <v>0</v>
      </c>
      <c r="C329" s="1369" t="str">
        <f t="shared" ca="1" si="70"/>
        <v>0</v>
      </c>
      <c r="D329" s="1369">
        <f ca="1">OFFSET('5  Control Accounts'!$EV$34,H329-1,0)</f>
        <v>0</v>
      </c>
      <c r="E329" s="1369">
        <f ca="1">OFFSET('5  Control Accounts'!$EW$34,H329-1,TEXT(0,"0"))</f>
        <v>0</v>
      </c>
      <c r="F329" s="750"/>
      <c r="G329" s="851">
        <f ca="1">IF('5  Control Accounts'!$EA$8=4,0,OFFSET('5  Control Accounts'!$CP$34,H329-1,0))</f>
        <v>0</v>
      </c>
      <c r="H329" s="751">
        <v>35</v>
      </c>
    </row>
    <row r="330" spans="1:8" x14ac:dyDescent="0.3">
      <c r="A330" s="1369" t="str">
        <f ca="1">IF(G330=1,TEXT('5  Control Accounts'!$EA$8,"0"),TEXT(0,"0"))</f>
        <v>0</v>
      </c>
      <c r="B330" s="1370" t="str">
        <f t="shared" ca="1" si="69"/>
        <v>0</v>
      </c>
      <c r="C330" s="1369" t="str">
        <f t="shared" ca="1" si="70"/>
        <v>0</v>
      </c>
      <c r="D330" s="1369">
        <f ca="1">OFFSET('5  Control Accounts'!$EV$34,H330-1,0)</f>
        <v>0</v>
      </c>
      <c r="E330" s="1369">
        <f ca="1">OFFSET('5  Control Accounts'!$EW$34,H330-1,TEXT(0,"0"))</f>
        <v>0</v>
      </c>
      <c r="F330" s="750"/>
      <c r="G330" s="851">
        <f ca="1">IF('5  Control Accounts'!$EA$8=4,0,OFFSET('5  Control Accounts'!$CP$34,H330-1,0))</f>
        <v>0</v>
      </c>
      <c r="H330" s="751">
        <v>36</v>
      </c>
    </row>
    <row r="331" spans="1:8" x14ac:dyDescent="0.3">
      <c r="A331" s="1369" t="str">
        <f ca="1">IF(G331=1,TEXT('5  Control Accounts'!$EA$8,"0"),TEXT(0,"0"))</f>
        <v>0</v>
      </c>
      <c r="B331" s="1370" t="str">
        <f t="shared" ca="1" si="69"/>
        <v>0</v>
      </c>
      <c r="C331" s="1369" t="str">
        <f t="shared" ca="1" si="70"/>
        <v>0</v>
      </c>
      <c r="D331" s="1369">
        <f ca="1">OFFSET('5  Control Accounts'!$EV$34,H331-1,0)</f>
        <v>0</v>
      </c>
      <c r="E331" s="1369">
        <f ca="1">OFFSET('5  Control Accounts'!$EW$34,H331-1,TEXT(0,"0"))</f>
        <v>0</v>
      </c>
      <c r="F331" s="750"/>
      <c r="G331" s="851">
        <f ca="1">IF('5  Control Accounts'!$EA$8=4,0,OFFSET('5  Control Accounts'!$CP$34,H331-1,0))</f>
        <v>0</v>
      </c>
      <c r="H331" s="751">
        <v>37</v>
      </c>
    </row>
    <row r="332" spans="1:8" x14ac:dyDescent="0.3">
      <c r="A332" s="1369" t="str">
        <f ca="1">IF(G332=1,TEXT('5  Control Accounts'!$EA$8,"0"),TEXT(0,"0"))</f>
        <v>0</v>
      </c>
      <c r="B332" s="1370" t="str">
        <f t="shared" ca="1" si="69"/>
        <v>0</v>
      </c>
      <c r="C332" s="1369" t="str">
        <f t="shared" ca="1" si="70"/>
        <v>0</v>
      </c>
      <c r="D332" s="1369">
        <f ca="1">OFFSET('5  Control Accounts'!$EV$34,H332-1,0)</f>
        <v>0</v>
      </c>
      <c r="E332" s="1369">
        <f ca="1">OFFSET('5  Control Accounts'!$EW$34,H332-1,TEXT(0,"0"))</f>
        <v>0</v>
      </c>
      <c r="F332" s="750"/>
      <c r="G332" s="851">
        <f ca="1">IF('5  Control Accounts'!$EA$8=4,0,OFFSET('5  Control Accounts'!$CP$34,H332-1,0))</f>
        <v>0</v>
      </c>
      <c r="H332" s="751">
        <v>38</v>
      </c>
    </row>
    <row r="333" spans="1:8" x14ac:dyDescent="0.3">
      <c r="A333" s="1369" t="str">
        <f ca="1">IF(G333=1,TEXT('5  Control Accounts'!$EA$8,"0"),TEXT(0,"0"))</f>
        <v>0</v>
      </c>
      <c r="B333" s="1370" t="str">
        <f t="shared" ca="1" si="69"/>
        <v>0</v>
      </c>
      <c r="C333" s="1369" t="str">
        <f t="shared" ca="1" si="70"/>
        <v>0</v>
      </c>
      <c r="D333" s="1369">
        <f ca="1">OFFSET('5  Control Accounts'!$EV$34,H333-1,0)</f>
        <v>0</v>
      </c>
      <c r="E333" s="1369">
        <f ca="1">OFFSET('5  Control Accounts'!$EW$34,H333-1,TEXT(0,"0"))</f>
        <v>0</v>
      </c>
      <c r="F333" s="750"/>
      <c r="G333" s="851">
        <f ca="1">IF('5  Control Accounts'!$EA$8=4,0,OFFSET('5  Control Accounts'!$CP$34,H333-1,0))</f>
        <v>0</v>
      </c>
      <c r="H333" s="751">
        <v>39</v>
      </c>
    </row>
    <row r="334" spans="1:8" x14ac:dyDescent="0.3">
      <c r="A334" s="1369" t="str">
        <f ca="1">IF(G334=1,TEXT('5  Control Accounts'!$EA$8,"0"),TEXT(0,"0"))</f>
        <v>0</v>
      </c>
      <c r="B334" s="1370" t="str">
        <f t="shared" ca="1" si="69"/>
        <v>0</v>
      </c>
      <c r="C334" s="1369" t="str">
        <f t="shared" ca="1" si="70"/>
        <v>0</v>
      </c>
      <c r="D334" s="1369">
        <f ca="1">OFFSET('5  Control Accounts'!$EV$34,H334-1,0)</f>
        <v>0</v>
      </c>
      <c r="E334" s="1369">
        <f ca="1">OFFSET('5  Control Accounts'!$EW$34,H334-1,TEXT(0,"0"))</f>
        <v>0</v>
      </c>
      <c r="F334" s="750"/>
      <c r="G334" s="851">
        <f ca="1">IF('5  Control Accounts'!$EA$8=4,0,OFFSET('5  Control Accounts'!$CP$34,H334-1,0))</f>
        <v>0</v>
      </c>
      <c r="H334" s="751">
        <v>40</v>
      </c>
    </row>
    <row r="335" spans="1:8" x14ac:dyDescent="0.3">
      <c r="A335" s="1369" t="str">
        <f ca="1">IF(G335=1,TEXT('5  Control Accounts'!$EA$8,"0"),TEXT(0,"0"))</f>
        <v>0</v>
      </c>
      <c r="B335" s="1370" t="str">
        <f t="shared" ca="1" si="69"/>
        <v>0</v>
      </c>
      <c r="C335" s="1369" t="str">
        <f t="shared" ca="1" si="70"/>
        <v>0</v>
      </c>
      <c r="D335" s="1369">
        <f ca="1">OFFSET('5  Control Accounts'!$EV$34,H335-1,0)</f>
        <v>0</v>
      </c>
      <c r="E335" s="1369">
        <f ca="1">OFFSET('5  Control Accounts'!$EW$34,H335-1,TEXT(0,"0"))</f>
        <v>0</v>
      </c>
      <c r="F335" s="750"/>
      <c r="G335" s="851">
        <f ca="1">IF('5  Control Accounts'!$EA$8=4,0,OFFSET('5  Control Accounts'!$CP$34,H335-1,0))</f>
        <v>0</v>
      </c>
      <c r="H335" s="751">
        <v>41</v>
      </c>
    </row>
    <row r="336" spans="1:8" x14ac:dyDescent="0.3">
      <c r="A336" s="1369" t="str">
        <f ca="1">IF(G336=1,TEXT('5  Control Accounts'!$EA$8,"0"),TEXT(0,"0"))</f>
        <v>0</v>
      </c>
      <c r="B336" s="1370" t="str">
        <f t="shared" ca="1" si="69"/>
        <v>0</v>
      </c>
      <c r="C336" s="1369" t="str">
        <f t="shared" ca="1" si="70"/>
        <v>0</v>
      </c>
      <c r="D336" s="1369">
        <f ca="1">OFFSET('5  Control Accounts'!$EV$34,H336-1,0)</f>
        <v>0</v>
      </c>
      <c r="E336" s="1369">
        <f ca="1">OFFSET('5  Control Accounts'!$EW$34,H336-1,TEXT(0,"0"))</f>
        <v>0</v>
      </c>
      <c r="F336" s="750"/>
      <c r="G336" s="851">
        <f ca="1">IF('5  Control Accounts'!$EA$8=4,0,OFFSET('5  Control Accounts'!$CP$34,H336-1,0))</f>
        <v>0</v>
      </c>
      <c r="H336" s="751">
        <v>42</v>
      </c>
    </row>
    <row r="337" spans="1:8" x14ac:dyDescent="0.3">
      <c r="A337" s="1369" t="str">
        <f ca="1">IF(G337=1,TEXT('5  Control Accounts'!$EA$8,"0"),TEXT(0,"0"))</f>
        <v>0</v>
      </c>
      <c r="B337" s="1370" t="str">
        <f t="shared" ca="1" si="69"/>
        <v>0</v>
      </c>
      <c r="C337" s="1369" t="str">
        <f t="shared" ca="1" si="70"/>
        <v>0</v>
      </c>
      <c r="D337" s="1369">
        <f ca="1">OFFSET('5  Control Accounts'!$EV$34,H337-1,0)</f>
        <v>0</v>
      </c>
      <c r="E337" s="1369">
        <f ca="1">OFFSET('5  Control Accounts'!$EW$34,H337-1,TEXT(0,"0"))</f>
        <v>0</v>
      </c>
      <c r="F337" s="750"/>
      <c r="G337" s="851">
        <f ca="1">IF('5  Control Accounts'!$EA$8=4,0,OFFSET('5  Control Accounts'!$CP$34,H337-1,0))</f>
        <v>0</v>
      </c>
      <c r="H337" s="751">
        <v>43</v>
      </c>
    </row>
    <row r="338" spans="1:8" x14ac:dyDescent="0.3">
      <c r="A338" s="1369" t="str">
        <f ca="1">IF(G338=1,TEXT('5  Control Accounts'!$EA$8,"0"),TEXT(0,"0"))</f>
        <v>0</v>
      </c>
      <c r="B338" s="1370" t="str">
        <f t="shared" ca="1" si="69"/>
        <v>0</v>
      </c>
      <c r="C338" s="1369" t="str">
        <f t="shared" ca="1" si="70"/>
        <v>0</v>
      </c>
      <c r="D338" s="1369">
        <f ca="1">OFFSET('5  Control Accounts'!$EV$34,H338-1,0)</f>
        <v>0</v>
      </c>
      <c r="E338" s="1369">
        <f ca="1">OFFSET('5  Control Accounts'!$EW$34,H338-1,TEXT(0,"0"))</f>
        <v>0</v>
      </c>
      <c r="F338" s="750"/>
      <c r="G338" s="851">
        <f ca="1">IF('5  Control Accounts'!$EA$8=4,0,OFFSET('5  Control Accounts'!$CP$34,H338-1,0))</f>
        <v>0</v>
      </c>
      <c r="H338" s="751">
        <v>44</v>
      </c>
    </row>
    <row r="339" spans="1:8" x14ac:dyDescent="0.3">
      <c r="A339" s="1369" t="str">
        <f ca="1">IF(G339=1,TEXT('5  Control Accounts'!$EA$8,"0"),TEXT(0,"0"))</f>
        <v>0</v>
      </c>
      <c r="B339" s="1370" t="str">
        <f t="shared" ca="1" si="69"/>
        <v>0</v>
      </c>
      <c r="C339" s="1369" t="str">
        <f t="shared" ca="1" si="70"/>
        <v>0</v>
      </c>
      <c r="D339" s="1369">
        <f ca="1">OFFSET('5  Control Accounts'!$EV$34,H339-1,0)</f>
        <v>0</v>
      </c>
      <c r="E339" s="1369">
        <f ca="1">OFFSET('5  Control Accounts'!$EW$34,H339-1,TEXT(0,"0"))</f>
        <v>0</v>
      </c>
      <c r="F339" s="750"/>
      <c r="G339" s="851">
        <f ca="1">IF('5  Control Accounts'!$EA$8=4,0,OFFSET('5  Control Accounts'!$CP$34,H339-1,0))</f>
        <v>0</v>
      </c>
      <c r="H339" s="751">
        <v>45</v>
      </c>
    </row>
    <row r="340" spans="1:8" x14ac:dyDescent="0.3">
      <c r="A340" s="1369" t="str">
        <f ca="1">IF(G340=1,TEXT('5  Control Accounts'!$EA$8,"0"),TEXT(0,"0"))</f>
        <v>0</v>
      </c>
      <c r="B340" s="1370" t="str">
        <f t="shared" ca="1" si="69"/>
        <v>0</v>
      </c>
      <c r="C340" s="1369" t="str">
        <f t="shared" ca="1" si="70"/>
        <v>0</v>
      </c>
      <c r="D340" s="1369">
        <f ca="1">OFFSET('5  Control Accounts'!$EV$34,H340-1,0)</f>
        <v>0</v>
      </c>
      <c r="E340" s="1369">
        <f ca="1">OFFSET('5  Control Accounts'!$EW$34,H340-1,TEXT(0,"0"))</f>
        <v>0</v>
      </c>
      <c r="F340" s="750"/>
      <c r="G340" s="851">
        <f ca="1">IF('5  Control Accounts'!$EA$8=4,0,OFFSET('5  Control Accounts'!$CP$34,H340-1,0))</f>
        <v>0</v>
      </c>
      <c r="H340" s="751">
        <v>46</v>
      </c>
    </row>
    <row r="341" spans="1:8" x14ac:dyDescent="0.3">
      <c r="A341" s="1369" t="str">
        <f ca="1">IF(G341=1,TEXT('5  Control Accounts'!$EA$8,"0"),TEXT(0,"0"))</f>
        <v>0</v>
      </c>
      <c r="B341" s="1370" t="str">
        <f t="shared" ca="1" si="69"/>
        <v>0</v>
      </c>
      <c r="C341" s="1369" t="str">
        <f t="shared" ca="1" si="70"/>
        <v>0</v>
      </c>
      <c r="D341" s="1369">
        <f ca="1">OFFSET('5  Control Accounts'!$EV$34,H341-1,0)</f>
        <v>0</v>
      </c>
      <c r="E341" s="1369">
        <f ca="1">OFFSET('5  Control Accounts'!$EW$34,H341-1,TEXT(0,"0"))</f>
        <v>0</v>
      </c>
      <c r="F341" s="750"/>
      <c r="G341" s="851">
        <f ca="1">IF('5  Control Accounts'!$EA$8=4,0,OFFSET('5  Control Accounts'!$CP$34,H341-1,0))</f>
        <v>0</v>
      </c>
      <c r="H341" s="751">
        <v>47</v>
      </c>
    </row>
    <row r="342" spans="1:8" x14ac:dyDescent="0.3">
      <c r="A342" s="1369" t="str">
        <f ca="1">IF(G342=1,TEXT('5  Control Accounts'!$EA$8,"0"),TEXT(0,"0"))</f>
        <v>0</v>
      </c>
      <c r="B342" s="1370" t="str">
        <f t="shared" ca="1" si="69"/>
        <v>0</v>
      </c>
      <c r="C342" s="1369" t="str">
        <f t="shared" ca="1" si="70"/>
        <v>0</v>
      </c>
      <c r="D342" s="1369">
        <f ca="1">OFFSET('5  Control Accounts'!$EV$34,H342-1,0)</f>
        <v>0</v>
      </c>
      <c r="E342" s="1369">
        <f ca="1">OFFSET('5  Control Accounts'!$EW$34,H342-1,TEXT(0,"0"))</f>
        <v>0</v>
      </c>
      <c r="F342" s="750"/>
      <c r="G342" s="851">
        <f ca="1">IF('5  Control Accounts'!$EA$8=4,0,OFFSET('5  Control Accounts'!$CP$34,H342-1,0))</f>
        <v>0</v>
      </c>
      <c r="H342" s="751">
        <v>48</v>
      </c>
    </row>
    <row r="343" spans="1:8" x14ac:dyDescent="0.3">
      <c r="A343" s="1369" t="str">
        <f ca="1">IF(G343=1,TEXT('5  Control Accounts'!$EA$8,"0"),TEXT(0,"0"))</f>
        <v>0</v>
      </c>
      <c r="B343" s="1370" t="str">
        <f t="shared" ca="1" si="69"/>
        <v>0</v>
      </c>
      <c r="C343" s="1369" t="str">
        <f t="shared" ca="1" si="70"/>
        <v>0</v>
      </c>
      <c r="D343" s="1369">
        <f ca="1">OFFSET('5  Control Accounts'!$EV$34,H343-1,0)</f>
        <v>0</v>
      </c>
      <c r="E343" s="1369">
        <f ca="1">OFFSET('5  Control Accounts'!$EW$34,H343-1,TEXT(0,"0"))</f>
        <v>0</v>
      </c>
      <c r="F343" s="750"/>
      <c r="G343" s="851">
        <f ca="1">IF('5  Control Accounts'!$EA$8=4,0,OFFSET('5  Control Accounts'!$CP$34,H343-1,0))</f>
        <v>0</v>
      </c>
      <c r="H343" s="751">
        <v>49</v>
      </c>
    </row>
    <row r="344" spans="1:8" x14ac:dyDescent="0.3">
      <c r="A344" s="1369" t="str">
        <f ca="1">IF(G344=1,TEXT('5  Control Accounts'!$EA$8,"0"),TEXT(0,"0"))</f>
        <v>0</v>
      </c>
      <c r="B344" s="1370" t="str">
        <f t="shared" ca="1" si="69"/>
        <v>0</v>
      </c>
      <c r="C344" s="1369" t="str">
        <f t="shared" ca="1" si="70"/>
        <v>0</v>
      </c>
      <c r="D344" s="1369">
        <f ca="1">OFFSET('5  Control Accounts'!$EV$34,H344-1,0)</f>
        <v>0</v>
      </c>
      <c r="E344" s="1369">
        <f ca="1">OFFSET('5  Control Accounts'!$EW$34,H344-1,TEXT(0,"0"))</f>
        <v>0</v>
      </c>
      <c r="F344" s="750"/>
      <c r="G344" s="851">
        <f ca="1">IF('5  Control Accounts'!$EA$8=4,0,OFFSET('5  Control Accounts'!$CP$34,H344-1,0))</f>
        <v>0</v>
      </c>
      <c r="H344" s="751">
        <v>50</v>
      </c>
    </row>
    <row r="345" spans="1:8" x14ac:dyDescent="0.3">
      <c r="A345" s="1369" t="str">
        <f ca="1">IF(G345=1,TEXT('5  Control Accounts'!$EA$8,"0"),TEXT(0,"0"))</f>
        <v>0</v>
      </c>
      <c r="B345" s="1370" t="str">
        <f t="shared" ca="1" si="69"/>
        <v>0</v>
      </c>
      <c r="C345" s="1369" t="str">
        <f t="shared" ca="1" si="70"/>
        <v>0</v>
      </c>
      <c r="D345" s="1369">
        <f ca="1">OFFSET('5  Control Accounts'!$EV$34,H345-1,0)</f>
        <v>0</v>
      </c>
      <c r="E345" s="1369">
        <f ca="1">OFFSET('5  Control Accounts'!$EW$34,H345-1,TEXT(0,"0"))</f>
        <v>0</v>
      </c>
      <c r="F345" s="750"/>
      <c r="G345" s="851">
        <f ca="1">IF('5  Control Accounts'!$EA$8=4,0,OFFSET('5  Control Accounts'!$CP$34,H345-1,0))</f>
        <v>0</v>
      </c>
      <c r="H345" s="751">
        <v>51</v>
      </c>
    </row>
    <row r="346" spans="1:8" x14ac:dyDescent="0.3">
      <c r="A346" s="1369" t="str">
        <f ca="1">IF(G346=1,TEXT('5  Control Accounts'!$EA$8,"0"),TEXT(0,"0"))</f>
        <v>0</v>
      </c>
      <c r="B346" s="1370" t="str">
        <f t="shared" ca="1" si="69"/>
        <v>0</v>
      </c>
      <c r="C346" s="1369" t="str">
        <f t="shared" ca="1" si="70"/>
        <v>0</v>
      </c>
      <c r="D346" s="1369">
        <f ca="1">OFFSET('5  Control Accounts'!$EV$34,H346-1,0)</f>
        <v>0</v>
      </c>
      <c r="E346" s="1369">
        <f ca="1">OFFSET('5  Control Accounts'!$EW$34,H346-1,TEXT(0,"0"))</f>
        <v>0</v>
      </c>
      <c r="F346" s="750"/>
      <c r="G346" s="851">
        <f ca="1">IF('5  Control Accounts'!$EA$8=4,0,OFFSET('5  Control Accounts'!$CP$34,H346-1,0))</f>
        <v>0</v>
      </c>
      <c r="H346" s="751">
        <v>52</v>
      </c>
    </row>
    <row r="347" spans="1:8" x14ac:dyDescent="0.3">
      <c r="A347" s="1369" t="str">
        <f ca="1">IF(G347=1,TEXT('5  Control Accounts'!$EA$8,"0"),TEXT(0,"0"))</f>
        <v>0</v>
      </c>
      <c r="B347" s="1370" t="str">
        <f t="shared" ca="1" si="69"/>
        <v>0</v>
      </c>
      <c r="C347" s="1369" t="str">
        <f t="shared" ca="1" si="70"/>
        <v>0</v>
      </c>
      <c r="D347" s="1369">
        <f ca="1">OFFSET('5  Control Accounts'!$EV$34,H347-1,0)</f>
        <v>0</v>
      </c>
      <c r="E347" s="1369">
        <f ca="1">OFFSET('5  Control Accounts'!$EW$34,H347-1,TEXT(0,"0"))</f>
        <v>0</v>
      </c>
      <c r="F347" s="750"/>
      <c r="G347" s="851">
        <f ca="1">IF('5  Control Accounts'!$EA$8=4,0,OFFSET('5  Control Accounts'!$CP$34,H347-1,0))</f>
        <v>0</v>
      </c>
      <c r="H347" s="751">
        <v>53</v>
      </c>
    </row>
    <row r="348" spans="1:8" x14ac:dyDescent="0.3">
      <c r="A348" s="1369" t="str">
        <f ca="1">IF(G348=1,TEXT('5  Control Accounts'!$EA$8,"0"),TEXT(0,"0"))</f>
        <v>0</v>
      </c>
      <c r="B348" s="1370" t="str">
        <f t="shared" ca="1" si="69"/>
        <v>0</v>
      </c>
      <c r="C348" s="1369" t="str">
        <f t="shared" ca="1" si="70"/>
        <v>0</v>
      </c>
      <c r="D348" s="1369">
        <f ca="1">OFFSET('5  Control Accounts'!$EV$34,H348-1,0)</f>
        <v>0</v>
      </c>
      <c r="E348" s="1369">
        <f ca="1">OFFSET('5  Control Accounts'!$EW$34,H348-1,TEXT(0,"0"))</f>
        <v>0</v>
      </c>
      <c r="F348" s="750"/>
      <c r="G348" s="851">
        <f ca="1">IF('5  Control Accounts'!$EA$8=4,0,OFFSET('5  Control Accounts'!$CP$34,H348-1,0))</f>
        <v>0</v>
      </c>
      <c r="H348" s="751">
        <v>54</v>
      </c>
    </row>
    <row r="349" spans="1:8" x14ac:dyDescent="0.3">
      <c r="A349" s="1369" t="str">
        <f ca="1">IF(G349=1,TEXT('5  Control Accounts'!$EA$8,"0"),TEXT(0,"0"))</f>
        <v>0</v>
      </c>
      <c r="B349" s="1370" t="str">
        <f t="shared" ca="1" si="69"/>
        <v>0</v>
      </c>
      <c r="C349" s="1369" t="str">
        <f t="shared" ca="1" si="70"/>
        <v>0</v>
      </c>
      <c r="D349" s="1369">
        <f ca="1">OFFSET('5  Control Accounts'!$EV$34,H349-1,0)</f>
        <v>0</v>
      </c>
      <c r="E349" s="1369">
        <f ca="1">OFFSET('5  Control Accounts'!$EW$34,H349-1,TEXT(0,"0"))</f>
        <v>0</v>
      </c>
      <c r="F349" s="750"/>
      <c r="G349" s="851">
        <f ca="1">IF('5  Control Accounts'!$EA$8=4,0,OFFSET('5  Control Accounts'!$CP$34,H349-1,0))</f>
        <v>0</v>
      </c>
      <c r="H349" s="751">
        <v>55</v>
      </c>
    </row>
    <row r="350" spans="1:8" x14ac:dyDescent="0.3">
      <c r="A350" s="1369" t="str">
        <f ca="1">IF(G350=1,TEXT('5  Control Accounts'!$EA$8,"0"),TEXT(0,"0"))</f>
        <v>0</v>
      </c>
      <c r="B350" s="1370" t="str">
        <f t="shared" ca="1" si="69"/>
        <v>0</v>
      </c>
      <c r="C350" s="1369" t="str">
        <f t="shared" ca="1" si="70"/>
        <v>0</v>
      </c>
      <c r="D350" s="1369">
        <f ca="1">OFFSET('5  Control Accounts'!$EV$34,H350-1,0)</f>
        <v>0</v>
      </c>
      <c r="E350" s="1369">
        <f ca="1">OFFSET('5  Control Accounts'!$EW$34,H350-1,TEXT(0,"0"))</f>
        <v>0</v>
      </c>
      <c r="F350" s="750"/>
      <c r="G350" s="851">
        <f ca="1">IF('5  Control Accounts'!$EA$8=4,0,OFFSET('5  Control Accounts'!$CP$34,H350-1,0))</f>
        <v>0</v>
      </c>
      <c r="H350" s="751">
        <v>56</v>
      </c>
    </row>
    <row r="351" spans="1:8" x14ac:dyDescent="0.3">
      <c r="A351" s="1369" t="str">
        <f ca="1">IF(G351=1,TEXT('5  Control Accounts'!$EA$8,"0"),TEXT(0,"0"))</f>
        <v>0</v>
      </c>
      <c r="B351" s="1370" t="str">
        <f t="shared" ca="1" si="69"/>
        <v>0</v>
      </c>
      <c r="C351" s="1369" t="str">
        <f t="shared" ca="1" si="70"/>
        <v>0</v>
      </c>
      <c r="D351" s="1369">
        <f ca="1">OFFSET('5  Control Accounts'!$EV$34,H351-1,0)</f>
        <v>0</v>
      </c>
      <c r="E351" s="1369">
        <f ca="1">OFFSET('5  Control Accounts'!$EW$34,H351-1,TEXT(0,"0"))</f>
        <v>0</v>
      </c>
      <c r="F351" s="750"/>
      <c r="G351" s="851">
        <f ca="1">IF('5  Control Accounts'!$EA$8=4,0,OFFSET('5  Control Accounts'!$CP$34,H351-1,0))</f>
        <v>0</v>
      </c>
      <c r="H351" s="751">
        <v>57</v>
      </c>
    </row>
    <row r="352" spans="1:8" x14ac:dyDescent="0.3">
      <c r="A352" s="1369" t="str">
        <f ca="1">IF(G352=1,TEXT('5  Control Accounts'!$EA$8,"0"),TEXT(0,"0"))</f>
        <v>0</v>
      </c>
      <c r="B352" s="1370" t="str">
        <f t="shared" ca="1" si="69"/>
        <v>0</v>
      </c>
      <c r="C352" s="1369" t="str">
        <f t="shared" ca="1" si="70"/>
        <v>0</v>
      </c>
      <c r="D352" s="1369">
        <f ca="1">OFFSET('5  Control Accounts'!$EV$34,H352-1,0)</f>
        <v>0</v>
      </c>
      <c r="E352" s="1369">
        <f ca="1">OFFSET('5  Control Accounts'!$EW$34,H352-1,TEXT(0,"0"))</f>
        <v>0</v>
      </c>
      <c r="F352" s="750"/>
      <c r="G352" s="851">
        <f ca="1">IF('5  Control Accounts'!$EA$8=4,0,OFFSET('5  Control Accounts'!$CP$34,H352-1,0))</f>
        <v>0</v>
      </c>
      <c r="H352" s="751">
        <v>58</v>
      </c>
    </row>
    <row r="353" spans="1:8" x14ac:dyDescent="0.3">
      <c r="A353" s="1369" t="str">
        <f ca="1">IF(G353=1,TEXT('5  Control Accounts'!$EA$8,"0"),TEXT(0,"0"))</f>
        <v>0</v>
      </c>
      <c r="B353" s="1370" t="str">
        <f t="shared" ca="1" si="69"/>
        <v>0</v>
      </c>
      <c r="C353" s="1369" t="str">
        <f t="shared" ca="1" si="70"/>
        <v>0</v>
      </c>
      <c r="D353" s="1369">
        <f ca="1">OFFSET('5  Control Accounts'!$EV$34,H353-1,0)</f>
        <v>0</v>
      </c>
      <c r="E353" s="1369">
        <f ca="1">OFFSET('5  Control Accounts'!$EW$34,H353-1,TEXT(0,"0"))</f>
        <v>0</v>
      </c>
      <c r="F353" s="750"/>
      <c r="G353" s="851">
        <f ca="1">IF('5  Control Accounts'!$EA$8=4,0,OFFSET('5  Control Accounts'!$CP$34,H353-1,0))</f>
        <v>0</v>
      </c>
      <c r="H353" s="751">
        <v>59</v>
      </c>
    </row>
    <row r="354" spans="1:8" x14ac:dyDescent="0.3">
      <c r="A354" s="1369" t="str">
        <f ca="1">IF(G354=1,TEXT('5  Control Accounts'!$EA$8,"0"),TEXT(0,"0"))</f>
        <v>0</v>
      </c>
      <c r="B354" s="1370" t="str">
        <f t="shared" ref="B354:B414" ca="1" si="71">IF(G354=1,$B$2,TEXT(0,"General"))</f>
        <v>0</v>
      </c>
      <c r="C354" s="1369" t="str">
        <f t="shared" ref="C354:C414" ca="1" si="72">IF(G354,$B$2&amp;"."&amp;D354,TEXT(0,"General"))</f>
        <v>0</v>
      </c>
      <c r="D354" s="1369">
        <f ca="1">OFFSET('5  Control Accounts'!$EV$34,H354-1,0)</f>
        <v>0</v>
      </c>
      <c r="E354" s="1369">
        <f ca="1">OFFSET('5  Control Accounts'!$EW$34,H354-1,TEXT(0,"0"))</f>
        <v>0</v>
      </c>
      <c r="F354" s="750"/>
      <c r="G354" s="851">
        <f ca="1">IF('5  Control Accounts'!$EA$8=4,0,OFFSET('5  Control Accounts'!$CP$34,H354-1,0))</f>
        <v>0</v>
      </c>
      <c r="H354" s="751">
        <v>60</v>
      </c>
    </row>
    <row r="355" spans="1:8" x14ac:dyDescent="0.3">
      <c r="A355" s="1369" t="str">
        <f ca="1">IF(G355=1,TEXT('5  Control Accounts'!$EA$8,"0"),TEXT(0,"0"))</f>
        <v>0</v>
      </c>
      <c r="B355" s="1370" t="str">
        <f t="shared" ca="1" si="71"/>
        <v>0</v>
      </c>
      <c r="C355" s="1369" t="str">
        <f t="shared" ca="1" si="72"/>
        <v>0</v>
      </c>
      <c r="D355" s="1369">
        <f ca="1">OFFSET('5  Control Accounts'!$EV$34,H355-1,0)</f>
        <v>0</v>
      </c>
      <c r="E355" s="1369">
        <f ca="1">OFFSET('5  Control Accounts'!$EW$34,H355-1,TEXT(0,"0"))</f>
        <v>0</v>
      </c>
      <c r="F355" s="750"/>
      <c r="G355" s="851">
        <f ca="1">IF('5  Control Accounts'!$EA$8=4,0,OFFSET('5  Control Accounts'!$CP$34,H355-1,0))</f>
        <v>0</v>
      </c>
      <c r="H355" s="751">
        <v>61</v>
      </c>
    </row>
    <row r="356" spans="1:8" x14ac:dyDescent="0.3">
      <c r="A356" s="1369" t="str">
        <f ca="1">IF(G356=1,TEXT('5  Control Accounts'!$EA$8,"0"),TEXT(0,"0"))</f>
        <v>0</v>
      </c>
      <c r="B356" s="1370" t="str">
        <f t="shared" ca="1" si="71"/>
        <v>0</v>
      </c>
      <c r="C356" s="1369" t="str">
        <f t="shared" ca="1" si="72"/>
        <v>0</v>
      </c>
      <c r="D356" s="1369">
        <f ca="1">OFFSET('5  Control Accounts'!$EV$34,H356-1,0)</f>
        <v>0</v>
      </c>
      <c r="E356" s="1369">
        <f ca="1">OFFSET('5  Control Accounts'!$EW$34,H356-1,TEXT(0,"0"))</f>
        <v>0</v>
      </c>
      <c r="F356" s="750"/>
      <c r="G356" s="851">
        <f ca="1">IF('5  Control Accounts'!$EA$8=4,0,OFFSET('5  Control Accounts'!$CP$34,H356-1,0))</f>
        <v>0</v>
      </c>
      <c r="H356" s="751">
        <v>62</v>
      </c>
    </row>
    <row r="357" spans="1:8" x14ac:dyDescent="0.3">
      <c r="A357" s="1369" t="str">
        <f ca="1">IF(G357=1,TEXT('5  Control Accounts'!$EA$8,"0"),TEXT(0,"0"))</f>
        <v>0</v>
      </c>
      <c r="B357" s="1370" t="str">
        <f t="shared" ca="1" si="71"/>
        <v>0</v>
      </c>
      <c r="C357" s="1369" t="str">
        <f t="shared" ca="1" si="72"/>
        <v>0</v>
      </c>
      <c r="D357" s="1369">
        <f ca="1">OFFSET('5  Control Accounts'!$EV$34,H357-1,0)</f>
        <v>0</v>
      </c>
      <c r="E357" s="1369">
        <f ca="1">OFFSET('5  Control Accounts'!$EW$34,H357-1,TEXT(0,"0"))</f>
        <v>0</v>
      </c>
      <c r="F357" s="750"/>
      <c r="G357" s="851">
        <f ca="1">IF('5  Control Accounts'!$EA$8=4,0,OFFSET('5  Control Accounts'!$CP$34,H357-1,0))</f>
        <v>0</v>
      </c>
      <c r="H357" s="751">
        <v>63</v>
      </c>
    </row>
    <row r="358" spans="1:8" x14ac:dyDescent="0.3">
      <c r="A358" s="1369" t="str">
        <f ca="1">IF(G358=1,TEXT('5  Control Accounts'!$EA$8,"0"),TEXT(0,"0"))</f>
        <v>0</v>
      </c>
      <c r="B358" s="1370" t="str">
        <f t="shared" ca="1" si="71"/>
        <v>0</v>
      </c>
      <c r="C358" s="1369" t="str">
        <f t="shared" ca="1" si="72"/>
        <v>0</v>
      </c>
      <c r="D358" s="1369">
        <f ca="1">OFFSET('5  Control Accounts'!$EV$34,H358-1,0)</f>
        <v>0</v>
      </c>
      <c r="E358" s="1369">
        <f ca="1">OFFSET('5  Control Accounts'!$EW$34,H358-1,TEXT(0,"0"))</f>
        <v>0</v>
      </c>
      <c r="F358" s="750"/>
      <c r="G358" s="851">
        <f ca="1">IF('5  Control Accounts'!$EA$8=4,0,OFFSET('5  Control Accounts'!$CP$34,H358-1,0))</f>
        <v>0</v>
      </c>
      <c r="H358" s="751">
        <v>64</v>
      </c>
    </row>
    <row r="359" spans="1:8" x14ac:dyDescent="0.3">
      <c r="A359" s="1369" t="str">
        <f ca="1">IF(G359=1,TEXT('5  Control Accounts'!$EA$8,"0"),TEXT(0,"0"))</f>
        <v>0</v>
      </c>
      <c r="B359" s="1370" t="str">
        <f t="shared" ca="1" si="71"/>
        <v>0</v>
      </c>
      <c r="C359" s="1369" t="str">
        <f t="shared" ca="1" si="72"/>
        <v>0</v>
      </c>
      <c r="D359" s="1369" t="str">
        <f ca="1">OFFSET('5  Control Accounts'!$EV$34,H359-1,0)</f>
        <v>Level 6 codes entered directly in table above</v>
      </c>
      <c r="E359" s="1369">
        <f ca="1">OFFSET('5  Control Accounts'!$EW$34,H359-1,TEXT(0,"0"))</f>
        <v>0</v>
      </c>
      <c r="F359" s="750"/>
      <c r="G359" s="851">
        <f ca="1">IF('5  Control Accounts'!$EA$8=4,0,OFFSET('5  Control Accounts'!$CP$34,H359-1,0))</f>
        <v>0</v>
      </c>
      <c r="H359" s="751">
        <v>65</v>
      </c>
    </row>
    <row r="360" spans="1:8" x14ac:dyDescent="0.3">
      <c r="A360" s="1369" t="str">
        <f ca="1">IF(G360=1,TEXT('5  Control Accounts'!$EA$8,"0"),TEXT(0,"0"))</f>
        <v>0</v>
      </c>
      <c r="B360" s="1370" t="str">
        <f t="shared" ca="1" si="71"/>
        <v>0</v>
      </c>
      <c r="C360" s="1369" t="str">
        <f t="shared" ca="1" si="72"/>
        <v>0</v>
      </c>
      <c r="D360" s="1369">
        <f ca="1">OFFSET('5  Control Accounts'!$EV$34,H360-1,0)</f>
        <v>0</v>
      </c>
      <c r="E360" s="1369" t="str">
        <f ca="1">OFFSET('5  Control Accounts'!$EW$34,H360-1,TEXT(0,"0"))</f>
        <v>Control Account Path ID codes and names are entered directly into the yellow cells in the table above</v>
      </c>
      <c r="F360" s="750"/>
      <c r="G360" s="851">
        <f ca="1">IF('5  Control Accounts'!$EA$8=4,0,OFFSET('5  Control Accounts'!$CP$34,H360-1,0))</f>
        <v>0</v>
      </c>
      <c r="H360" s="751">
        <v>66</v>
      </c>
    </row>
    <row r="361" spans="1:8" x14ac:dyDescent="0.3">
      <c r="A361" s="1369" t="str">
        <f ca="1">IF(G361=1,TEXT('5  Control Accounts'!$EA$8,"0"),TEXT(0,"0"))</f>
        <v>0</v>
      </c>
      <c r="B361" s="1370" t="str">
        <f t="shared" ca="1" si="71"/>
        <v>0</v>
      </c>
      <c r="C361" s="1369" t="str">
        <f t="shared" ca="1" si="72"/>
        <v>0</v>
      </c>
      <c r="D361" s="1369">
        <f ca="1">OFFSET('5  Control Accounts'!$EV$34,H361-1,0)</f>
        <v>0</v>
      </c>
      <c r="E361" s="1369">
        <f ca="1">OFFSET('5  Control Accounts'!$EW$34,H361-1,TEXT(0,"0"))</f>
        <v>0</v>
      </c>
      <c r="F361" s="750"/>
      <c r="G361" s="851">
        <f ca="1">IF('5  Control Accounts'!$EA$8=4,0,OFFSET('5  Control Accounts'!$CP$34,H361-1,0))</f>
        <v>0</v>
      </c>
      <c r="H361" s="751">
        <v>67</v>
      </c>
    </row>
    <row r="362" spans="1:8" x14ac:dyDescent="0.3">
      <c r="A362" s="1369" t="str">
        <f ca="1">IF(G362=1,TEXT('5  Control Accounts'!$EA$8,"0"),TEXT(0,"0"))</f>
        <v>0</v>
      </c>
      <c r="B362" s="1370" t="str">
        <f t="shared" ca="1" si="71"/>
        <v>0</v>
      </c>
      <c r="C362" s="1369" t="str">
        <f t="shared" ca="1" si="72"/>
        <v>0</v>
      </c>
      <c r="D362" s="1369">
        <f ca="1">OFFSET('5  Control Accounts'!$EV$34,H362-1,0)</f>
        <v>0</v>
      </c>
      <c r="E362" s="1369">
        <f ca="1">OFFSET('5  Control Accounts'!$EW$34,H362-1,TEXT(0,"0"))</f>
        <v>0</v>
      </c>
      <c r="F362" s="750"/>
      <c r="G362" s="851">
        <f ca="1">IF('5  Control Accounts'!$EA$8=4,0,OFFSET('5  Control Accounts'!$CP$34,H362-1,0))</f>
        <v>0</v>
      </c>
      <c r="H362" s="751">
        <v>68</v>
      </c>
    </row>
    <row r="363" spans="1:8" x14ac:dyDescent="0.3">
      <c r="A363" s="1369" t="str">
        <f ca="1">IF(G363=1,TEXT('5  Control Accounts'!$EA$8,"0"),TEXT(0,"0"))</f>
        <v>0</v>
      </c>
      <c r="B363" s="1370" t="str">
        <f t="shared" ca="1" si="71"/>
        <v>0</v>
      </c>
      <c r="C363" s="1369" t="str">
        <f t="shared" ca="1" si="72"/>
        <v>0</v>
      </c>
      <c r="D363" s="1369">
        <f ca="1">OFFSET('5  Control Accounts'!$EV$34,H363-1,0)</f>
        <v>0</v>
      </c>
      <c r="E363" s="1369">
        <f ca="1">OFFSET('5  Control Accounts'!$EW$34,H363-1,TEXT(0,"0"))</f>
        <v>0</v>
      </c>
      <c r="F363" s="750"/>
      <c r="G363" s="851">
        <f ca="1">IF('5  Control Accounts'!$EA$8=4,0,OFFSET('5  Control Accounts'!$CP$34,H363-1,0))</f>
        <v>0</v>
      </c>
      <c r="H363" s="751">
        <v>69</v>
      </c>
    </row>
    <row r="364" spans="1:8" x14ac:dyDescent="0.3">
      <c r="A364" s="1369" t="str">
        <f ca="1">IF(G364=1,TEXT('5  Control Accounts'!$EA$8,"0"),TEXT(0,"0"))</f>
        <v>0</v>
      </c>
      <c r="B364" s="1370" t="str">
        <f t="shared" ca="1" si="71"/>
        <v>0</v>
      </c>
      <c r="C364" s="1369" t="str">
        <f t="shared" ca="1" si="72"/>
        <v>0</v>
      </c>
      <c r="D364" s="1369">
        <f ca="1">OFFSET('5  Control Accounts'!$EV$34,H364-1,0)</f>
        <v>0</v>
      </c>
      <c r="E364" s="1369">
        <f ca="1">OFFSET('5  Control Accounts'!$EW$34,H364-1,TEXT(0,"0"))</f>
        <v>0</v>
      </c>
      <c r="F364" s="750"/>
      <c r="G364" s="851">
        <f ca="1">IF('5  Control Accounts'!$EA$8=4,0,OFFSET('5  Control Accounts'!$CP$34,H364-1,0))</f>
        <v>0</v>
      </c>
      <c r="H364" s="751">
        <v>70</v>
      </c>
    </row>
    <row r="365" spans="1:8" x14ac:dyDescent="0.3">
      <c r="A365" s="1369" t="str">
        <f ca="1">IF(G365=1,TEXT('5  Control Accounts'!$EA$8,"0"),TEXT(0,"0"))</f>
        <v>0</v>
      </c>
      <c r="B365" s="1370" t="str">
        <f t="shared" ca="1" si="71"/>
        <v>0</v>
      </c>
      <c r="C365" s="1369" t="str">
        <f t="shared" ca="1" si="72"/>
        <v>0</v>
      </c>
      <c r="D365" s="1369">
        <f ca="1">OFFSET('5  Control Accounts'!$EV$34,H365-1,0)</f>
        <v>0</v>
      </c>
      <c r="E365" s="1369">
        <f ca="1">OFFSET('5  Control Accounts'!$EW$34,H365-1,TEXT(0,"0"))</f>
        <v>0</v>
      </c>
      <c r="F365" s="750"/>
      <c r="G365" s="851">
        <f ca="1">IF('5  Control Accounts'!$EA$8=4,0,OFFSET('5  Control Accounts'!$CP$34,H365-1,0))</f>
        <v>0</v>
      </c>
      <c r="H365" s="751">
        <v>71</v>
      </c>
    </row>
    <row r="366" spans="1:8" x14ac:dyDescent="0.3">
      <c r="A366" s="1369" t="str">
        <f ca="1">IF(G366=1,TEXT('5  Control Accounts'!$EA$8,"0"),TEXT(0,"0"))</f>
        <v>0</v>
      </c>
      <c r="B366" s="1370" t="str">
        <f t="shared" ca="1" si="71"/>
        <v>0</v>
      </c>
      <c r="C366" s="1369" t="str">
        <f t="shared" ca="1" si="72"/>
        <v>0</v>
      </c>
      <c r="D366" s="1369">
        <f ca="1">OFFSET('5  Control Accounts'!$EV$34,H366-1,0)</f>
        <v>0</v>
      </c>
      <c r="E366" s="1369">
        <f ca="1">OFFSET('5  Control Accounts'!$EW$34,H366-1,TEXT(0,"0"))</f>
        <v>0</v>
      </c>
      <c r="F366" s="750"/>
      <c r="G366" s="851">
        <f ca="1">IF('5  Control Accounts'!$EA$8=4,0,OFFSET('5  Control Accounts'!$CP$34,H366-1,0))</f>
        <v>0</v>
      </c>
      <c r="H366" s="751">
        <v>72</v>
      </c>
    </row>
    <row r="367" spans="1:8" x14ac:dyDescent="0.3">
      <c r="A367" s="1369" t="str">
        <f ca="1">IF(G367=1,TEXT('5  Control Accounts'!$EA$8,"0"),TEXT(0,"0"))</f>
        <v>0</v>
      </c>
      <c r="B367" s="1370" t="str">
        <f t="shared" ca="1" si="71"/>
        <v>0</v>
      </c>
      <c r="C367" s="1369" t="str">
        <f t="shared" ca="1" si="72"/>
        <v>0</v>
      </c>
      <c r="D367" s="1369">
        <f ca="1">OFFSET('5  Control Accounts'!$EV$34,H367-1,0)</f>
        <v>0</v>
      </c>
      <c r="E367" s="1369">
        <f ca="1">OFFSET('5  Control Accounts'!$EW$34,H367-1,TEXT(0,"0"))</f>
        <v>0</v>
      </c>
      <c r="F367" s="750"/>
      <c r="G367" s="851">
        <f ca="1">IF('5  Control Accounts'!$EA$8=4,0,OFFSET('5  Control Accounts'!$CP$34,H367-1,0))</f>
        <v>0</v>
      </c>
      <c r="H367" s="751">
        <v>73</v>
      </c>
    </row>
    <row r="368" spans="1:8" x14ac:dyDescent="0.3">
      <c r="A368" s="1369" t="str">
        <f ca="1">IF(G368=1,TEXT('5  Control Accounts'!$EA$8,"0"),TEXT(0,"0"))</f>
        <v>0</v>
      </c>
      <c r="B368" s="1370" t="str">
        <f t="shared" ca="1" si="71"/>
        <v>0</v>
      </c>
      <c r="C368" s="1369" t="str">
        <f t="shared" ca="1" si="72"/>
        <v>0</v>
      </c>
      <c r="D368" s="1369">
        <f ca="1">OFFSET('5  Control Accounts'!$EV$34,H368-1,0)</f>
        <v>0</v>
      </c>
      <c r="E368" s="1369">
        <f ca="1">OFFSET('5  Control Accounts'!$EW$34,H368-1,TEXT(0,"0"))</f>
        <v>0</v>
      </c>
      <c r="F368" s="750"/>
      <c r="G368" s="851">
        <f ca="1">IF('5  Control Accounts'!$EA$8=4,0,OFFSET('5  Control Accounts'!$CP$34,H368-1,0))</f>
        <v>0</v>
      </c>
      <c r="H368" s="751">
        <v>74</v>
      </c>
    </row>
    <row r="369" spans="1:8" x14ac:dyDescent="0.3">
      <c r="A369" s="1369" t="str">
        <f ca="1">IF(G369=1,TEXT('5  Control Accounts'!$EA$8,"0"),TEXT(0,"0"))</f>
        <v>0</v>
      </c>
      <c r="B369" s="1370" t="str">
        <f t="shared" ca="1" si="71"/>
        <v>0</v>
      </c>
      <c r="C369" s="1369" t="str">
        <f t="shared" ca="1" si="72"/>
        <v>0</v>
      </c>
      <c r="D369" s="1369">
        <f ca="1">OFFSET('5  Control Accounts'!$EV$34,H369-1,0)</f>
        <v>0</v>
      </c>
      <c r="E369" s="1369">
        <f ca="1">OFFSET('5  Control Accounts'!$EW$34,H369-1,TEXT(0,"0"))</f>
        <v>0</v>
      </c>
      <c r="F369" s="750"/>
      <c r="G369" s="851">
        <f ca="1">IF('5  Control Accounts'!$EA$8=4,0,OFFSET('5  Control Accounts'!$CP$34,H369-1,0))</f>
        <v>0</v>
      </c>
      <c r="H369" s="751">
        <v>75</v>
      </c>
    </row>
    <row r="370" spans="1:8" x14ac:dyDescent="0.3">
      <c r="A370" s="1369" t="str">
        <f ca="1">IF(G370=1,TEXT('5  Control Accounts'!$EA$8,"0"),TEXT(0,"0"))</f>
        <v>0</v>
      </c>
      <c r="B370" s="1370" t="str">
        <f t="shared" ca="1" si="71"/>
        <v>0</v>
      </c>
      <c r="C370" s="1369" t="str">
        <f t="shared" ca="1" si="72"/>
        <v>0</v>
      </c>
      <c r="D370" s="1369">
        <f ca="1">OFFSET('5  Control Accounts'!$EV$34,H370-1,0)</f>
        <v>0</v>
      </c>
      <c r="E370" s="1369">
        <f ca="1">OFFSET('5  Control Accounts'!$EW$34,H370-1,TEXT(0,"0"))</f>
        <v>0</v>
      </c>
      <c r="F370" s="750"/>
      <c r="G370" s="851">
        <f ca="1">IF('5  Control Accounts'!$EA$8=4,0,OFFSET('5  Control Accounts'!$CP$34,H370-1,0))</f>
        <v>0</v>
      </c>
      <c r="H370" s="751">
        <v>76</v>
      </c>
    </row>
    <row r="371" spans="1:8" x14ac:dyDescent="0.3">
      <c r="A371" s="1369" t="str">
        <f ca="1">IF(G371=1,TEXT('5  Control Accounts'!$EA$8,"0"),TEXT(0,"0"))</f>
        <v>0</v>
      </c>
      <c r="B371" s="1370" t="str">
        <f t="shared" ca="1" si="71"/>
        <v>0</v>
      </c>
      <c r="C371" s="1369" t="str">
        <f t="shared" ca="1" si="72"/>
        <v>0</v>
      </c>
      <c r="D371" s="1369">
        <f ca="1">OFFSET('5  Control Accounts'!$EV$34,H371-1,0)</f>
        <v>0</v>
      </c>
      <c r="E371" s="1369">
        <f ca="1">OFFSET('5  Control Accounts'!$EW$34,H371-1,TEXT(0,"0"))</f>
        <v>0</v>
      </c>
      <c r="F371" s="750"/>
      <c r="G371" s="851">
        <f ca="1">IF('5  Control Accounts'!$EA$8=4,0,OFFSET('5  Control Accounts'!$CP$34,H371-1,0))</f>
        <v>0</v>
      </c>
      <c r="H371" s="751">
        <v>77</v>
      </c>
    </row>
    <row r="372" spans="1:8" x14ac:dyDescent="0.3">
      <c r="A372" s="1369" t="str">
        <f ca="1">IF(G372=1,TEXT('5  Control Accounts'!$EA$8,"0"),TEXT(0,"0"))</f>
        <v>0</v>
      </c>
      <c r="B372" s="1370" t="str">
        <f t="shared" ca="1" si="71"/>
        <v>0</v>
      </c>
      <c r="C372" s="1369" t="str">
        <f t="shared" ca="1" si="72"/>
        <v>0</v>
      </c>
      <c r="D372" s="1369">
        <f ca="1">OFFSET('5  Control Accounts'!$EV$34,H372-1,0)</f>
        <v>0</v>
      </c>
      <c r="E372" s="1369">
        <f ca="1">OFFSET('5  Control Accounts'!$EW$34,H372-1,TEXT(0,"0"))</f>
        <v>0</v>
      </c>
      <c r="F372" s="750"/>
      <c r="G372" s="851">
        <f ca="1">IF('5  Control Accounts'!$EA$8=4,0,OFFSET('5  Control Accounts'!$CP$34,H372-1,0))</f>
        <v>0</v>
      </c>
      <c r="H372" s="751">
        <v>78</v>
      </c>
    </row>
    <row r="373" spans="1:8" x14ac:dyDescent="0.3">
      <c r="A373" s="1369" t="str">
        <f ca="1">IF(G373=1,TEXT('5  Control Accounts'!$EA$8,"0"),TEXT(0,"0"))</f>
        <v>0</v>
      </c>
      <c r="B373" s="1370" t="str">
        <f t="shared" ca="1" si="71"/>
        <v>0</v>
      </c>
      <c r="C373" s="1369" t="str">
        <f t="shared" ca="1" si="72"/>
        <v>0</v>
      </c>
      <c r="D373" s="1369">
        <f ca="1">OFFSET('5  Control Accounts'!$EV$34,H373-1,0)</f>
        <v>0</v>
      </c>
      <c r="E373" s="1369">
        <f ca="1">OFFSET('5  Control Accounts'!$EW$34,H373-1,TEXT(0,"0"))</f>
        <v>0</v>
      </c>
      <c r="F373" s="750"/>
      <c r="G373" s="851">
        <f ca="1">IF('5  Control Accounts'!$EA$8=4,0,OFFSET('5  Control Accounts'!$CP$34,H373-1,0))</f>
        <v>0</v>
      </c>
      <c r="H373" s="751">
        <v>79</v>
      </c>
    </row>
    <row r="374" spans="1:8" x14ac:dyDescent="0.3">
      <c r="A374" s="1369" t="str">
        <f ca="1">IF(G374=1,TEXT('5  Control Accounts'!$EA$8,"0"),TEXT(0,"0"))</f>
        <v>0</v>
      </c>
      <c r="B374" s="1370" t="str">
        <f t="shared" ca="1" si="71"/>
        <v>0</v>
      </c>
      <c r="C374" s="1369" t="str">
        <f t="shared" ca="1" si="72"/>
        <v>0</v>
      </c>
      <c r="D374" s="1369">
        <f ca="1">OFFSET('5  Control Accounts'!$EV$34,H374-1,0)</f>
        <v>0</v>
      </c>
      <c r="E374" s="1369">
        <f ca="1">OFFSET('5  Control Accounts'!$EW$34,H374-1,TEXT(0,"0"))</f>
        <v>0</v>
      </c>
      <c r="F374" s="750"/>
      <c r="G374" s="851">
        <f ca="1">IF('5  Control Accounts'!$EA$8=4,0,OFFSET('5  Control Accounts'!$CP$34,H374-1,0))</f>
        <v>0</v>
      </c>
      <c r="H374" s="751">
        <v>80</v>
      </c>
    </row>
    <row r="375" spans="1:8" x14ac:dyDescent="0.3">
      <c r="A375" s="1369" t="str">
        <f ca="1">IF(G375=1,TEXT('5  Control Accounts'!$EA$8,"0"),TEXT(0,"0"))</f>
        <v>0</v>
      </c>
      <c r="B375" s="1370" t="str">
        <f t="shared" ca="1" si="71"/>
        <v>0</v>
      </c>
      <c r="C375" s="1369" t="str">
        <f t="shared" ca="1" si="72"/>
        <v>0</v>
      </c>
      <c r="D375" s="1369">
        <f ca="1">OFFSET('5  Control Accounts'!$EV$34,H375-1,0)</f>
        <v>0</v>
      </c>
      <c r="E375" s="1369">
        <f ca="1">OFFSET('5  Control Accounts'!$EW$34,H375-1,TEXT(0,"0"))</f>
        <v>0</v>
      </c>
      <c r="F375" s="750"/>
      <c r="G375" s="851">
        <f ca="1">IF('5  Control Accounts'!$EA$8=4,0,OFFSET('5  Control Accounts'!$CP$34,H375-1,0))</f>
        <v>0</v>
      </c>
      <c r="H375" s="751">
        <v>81</v>
      </c>
    </row>
    <row r="376" spans="1:8" x14ac:dyDescent="0.3">
      <c r="A376" s="1369" t="str">
        <f ca="1">IF(G376=1,TEXT('5  Control Accounts'!$EA$8,"0"),TEXT(0,"0"))</f>
        <v>0</v>
      </c>
      <c r="B376" s="1370" t="str">
        <f t="shared" ca="1" si="71"/>
        <v>0</v>
      </c>
      <c r="C376" s="1369" t="str">
        <f t="shared" ca="1" si="72"/>
        <v>0</v>
      </c>
      <c r="D376" s="1369">
        <f ca="1">OFFSET('5  Control Accounts'!$EV$34,H376-1,0)</f>
        <v>0</v>
      </c>
      <c r="E376" s="1369">
        <f ca="1">OFFSET('5  Control Accounts'!$EW$34,H376-1,TEXT(0,"0"))</f>
        <v>0</v>
      </c>
      <c r="F376" s="750"/>
      <c r="G376" s="851">
        <f ca="1">IF('5  Control Accounts'!$EA$8=4,0,OFFSET('5  Control Accounts'!$CP$34,H376-1,0))</f>
        <v>0</v>
      </c>
      <c r="H376" s="751">
        <v>82</v>
      </c>
    </row>
    <row r="377" spans="1:8" x14ac:dyDescent="0.3">
      <c r="A377" s="1369" t="str">
        <f ca="1">IF(G377=1,TEXT('5  Control Accounts'!$EA$8,"0"),TEXT(0,"0"))</f>
        <v>0</v>
      </c>
      <c r="B377" s="1370" t="str">
        <f t="shared" ca="1" si="71"/>
        <v>0</v>
      </c>
      <c r="C377" s="1369" t="str">
        <f t="shared" ca="1" si="72"/>
        <v>0</v>
      </c>
      <c r="D377" s="1369">
        <f ca="1">OFFSET('5  Control Accounts'!$EV$34,H377-1,0)</f>
        <v>0</v>
      </c>
      <c r="E377" s="1369">
        <f ca="1">OFFSET('5  Control Accounts'!$EW$34,H377-1,TEXT(0,"0"))</f>
        <v>0</v>
      </c>
      <c r="F377" s="750"/>
      <c r="G377" s="851">
        <f ca="1">IF('5  Control Accounts'!$EA$8=4,0,OFFSET('5  Control Accounts'!$CP$34,H377-1,0))</f>
        <v>0</v>
      </c>
      <c r="H377" s="751">
        <v>83</v>
      </c>
    </row>
    <row r="378" spans="1:8" x14ac:dyDescent="0.3">
      <c r="A378" s="1369" t="str">
        <f ca="1">IF(G378=1,TEXT('5  Control Accounts'!$EA$8,"0"),TEXT(0,"0"))</f>
        <v>0</v>
      </c>
      <c r="B378" s="1370" t="str">
        <f t="shared" ca="1" si="71"/>
        <v>0</v>
      </c>
      <c r="C378" s="1369" t="str">
        <f t="shared" ca="1" si="72"/>
        <v>0</v>
      </c>
      <c r="D378" s="1369">
        <f ca="1">OFFSET('5  Control Accounts'!$EV$34,H378-1,0)</f>
        <v>0</v>
      </c>
      <c r="E378" s="1369">
        <f ca="1">OFFSET('5  Control Accounts'!$EW$34,H378-1,TEXT(0,"0"))</f>
        <v>0</v>
      </c>
      <c r="F378" s="750"/>
      <c r="G378" s="851">
        <f ca="1">IF('5  Control Accounts'!$EA$8=4,0,OFFSET('5  Control Accounts'!$CP$34,H378-1,0))</f>
        <v>0</v>
      </c>
      <c r="H378" s="751">
        <v>84</v>
      </c>
    </row>
    <row r="379" spans="1:8" x14ac:dyDescent="0.3">
      <c r="A379" s="1369" t="str">
        <f ca="1">IF(G379=1,TEXT('5  Control Accounts'!$EA$8,"0"),TEXT(0,"0"))</f>
        <v>0</v>
      </c>
      <c r="B379" s="1370" t="str">
        <f t="shared" ca="1" si="71"/>
        <v>0</v>
      </c>
      <c r="C379" s="1369" t="str">
        <f t="shared" ca="1" si="72"/>
        <v>0</v>
      </c>
      <c r="D379" s="1369">
        <f ca="1">OFFSET('5  Control Accounts'!$EV$34,H379-1,0)</f>
        <v>0</v>
      </c>
      <c r="E379" s="1369">
        <f ca="1">OFFSET('5  Control Accounts'!$EW$34,H379-1,TEXT(0,"0"))</f>
        <v>0</v>
      </c>
      <c r="F379" s="750"/>
      <c r="G379" s="851">
        <f ca="1">IF('5  Control Accounts'!$EA$8=4,0,OFFSET('5  Control Accounts'!$CP$34,H379-1,0))</f>
        <v>0</v>
      </c>
      <c r="H379" s="751">
        <v>85</v>
      </c>
    </row>
    <row r="380" spans="1:8" x14ac:dyDescent="0.3">
      <c r="A380" s="1369" t="str">
        <f ca="1">IF(G380=1,TEXT('5  Control Accounts'!$EA$8,"0"),TEXT(0,"0"))</f>
        <v>0</v>
      </c>
      <c r="B380" s="1370" t="str">
        <f t="shared" ca="1" si="71"/>
        <v>0</v>
      </c>
      <c r="C380" s="1369" t="str">
        <f t="shared" ca="1" si="72"/>
        <v>0</v>
      </c>
      <c r="D380" s="1369">
        <f ca="1">OFFSET('5  Control Accounts'!$EV$34,H380-1,0)</f>
        <v>0</v>
      </c>
      <c r="E380" s="1369">
        <f ca="1">OFFSET('5  Control Accounts'!$EW$34,H380-1,TEXT(0,"0"))</f>
        <v>0</v>
      </c>
      <c r="F380" s="750"/>
      <c r="G380" s="851">
        <f ca="1">IF('5  Control Accounts'!$EA$8=4,0,OFFSET('5  Control Accounts'!$CP$34,H380-1,0))</f>
        <v>0</v>
      </c>
      <c r="H380" s="751">
        <v>86</v>
      </c>
    </row>
    <row r="381" spans="1:8" x14ac:dyDescent="0.3">
      <c r="A381" s="1369" t="str">
        <f ca="1">IF(G381=1,TEXT('5  Control Accounts'!$EA$8,"0"),TEXT(0,"0"))</f>
        <v>0</v>
      </c>
      <c r="B381" s="1370" t="str">
        <f t="shared" ca="1" si="71"/>
        <v>0</v>
      </c>
      <c r="C381" s="1369" t="str">
        <f t="shared" ca="1" si="72"/>
        <v>0</v>
      </c>
      <c r="D381" s="1369">
        <f ca="1">OFFSET('5  Control Accounts'!$EV$34,H381-1,0)</f>
        <v>0</v>
      </c>
      <c r="E381" s="1369">
        <f ca="1">OFFSET('5  Control Accounts'!$EW$34,H381-1,TEXT(0,"0"))</f>
        <v>0</v>
      </c>
      <c r="F381" s="750"/>
      <c r="G381" s="851">
        <f ca="1">IF('5  Control Accounts'!$EA$8=4,0,OFFSET('5  Control Accounts'!$CP$34,H381-1,0))</f>
        <v>0</v>
      </c>
      <c r="H381" s="751">
        <v>87</v>
      </c>
    </row>
    <row r="382" spans="1:8" x14ac:dyDescent="0.3">
      <c r="A382" s="1369" t="str">
        <f ca="1">IF(G382=1,TEXT('5  Control Accounts'!$EA$8,"0"),TEXT(0,"0"))</f>
        <v>0</v>
      </c>
      <c r="B382" s="1370" t="str">
        <f t="shared" ca="1" si="71"/>
        <v>0</v>
      </c>
      <c r="C382" s="1369" t="str">
        <f t="shared" ca="1" si="72"/>
        <v>0</v>
      </c>
      <c r="D382" s="1369">
        <f ca="1">OFFSET('5  Control Accounts'!$EV$34,H382-1,0)</f>
        <v>0</v>
      </c>
      <c r="E382" s="1369">
        <f ca="1">OFFSET('5  Control Accounts'!$EW$34,H382-1,TEXT(0,"0"))</f>
        <v>0</v>
      </c>
      <c r="F382" s="750"/>
      <c r="G382" s="851">
        <f ca="1">IF('5  Control Accounts'!$EA$8=4,0,OFFSET('5  Control Accounts'!$CP$34,H382-1,0))</f>
        <v>0</v>
      </c>
      <c r="H382" s="751">
        <v>88</v>
      </c>
    </row>
    <row r="383" spans="1:8" x14ac:dyDescent="0.3">
      <c r="A383" s="1369" t="str">
        <f ca="1">IF(G383=1,TEXT('5  Control Accounts'!$EA$8,"0"),TEXT(0,"0"))</f>
        <v>0</v>
      </c>
      <c r="B383" s="1370" t="str">
        <f t="shared" ca="1" si="71"/>
        <v>0</v>
      </c>
      <c r="C383" s="1369" t="str">
        <f t="shared" ca="1" si="72"/>
        <v>0</v>
      </c>
      <c r="D383" s="1369">
        <f ca="1">OFFSET('5  Control Accounts'!$EV$34,H383-1,0)</f>
        <v>0</v>
      </c>
      <c r="E383" s="1369">
        <f ca="1">OFFSET('5  Control Accounts'!$EW$34,H383-1,TEXT(0,"0"))</f>
        <v>0</v>
      </c>
      <c r="F383" s="750"/>
      <c r="G383" s="851">
        <f ca="1">IF('5  Control Accounts'!$EA$8=4,0,OFFSET('5  Control Accounts'!$CP$34,H383-1,0))</f>
        <v>0</v>
      </c>
      <c r="H383" s="751">
        <v>89</v>
      </c>
    </row>
    <row r="384" spans="1:8" x14ac:dyDescent="0.3">
      <c r="A384" s="1369" t="str">
        <f ca="1">IF(G384=1,TEXT('5  Control Accounts'!$EA$8,"0"),TEXT(0,"0"))</f>
        <v>0</v>
      </c>
      <c r="B384" s="1370" t="str">
        <f t="shared" ca="1" si="71"/>
        <v>0</v>
      </c>
      <c r="C384" s="1369" t="str">
        <f t="shared" ca="1" si="72"/>
        <v>0</v>
      </c>
      <c r="D384" s="1369">
        <f ca="1">OFFSET('5  Control Accounts'!$EV$34,H384-1,0)</f>
        <v>0</v>
      </c>
      <c r="E384" s="1369">
        <f ca="1">OFFSET('5  Control Accounts'!$EW$34,H384-1,TEXT(0,"0"))</f>
        <v>0</v>
      </c>
      <c r="F384" s="750"/>
      <c r="G384" s="851">
        <f ca="1">IF('5  Control Accounts'!$EA$8=4,0,OFFSET('5  Control Accounts'!$CP$34,H384-1,0))</f>
        <v>0</v>
      </c>
      <c r="H384" s="751">
        <v>90</v>
      </c>
    </row>
    <row r="385" spans="1:8" x14ac:dyDescent="0.3">
      <c r="A385" s="1369" t="str">
        <f ca="1">IF(G385=1,TEXT('5  Control Accounts'!$EA$8,"0"),TEXT(0,"0"))</f>
        <v>0</v>
      </c>
      <c r="B385" s="1370" t="str">
        <f t="shared" ca="1" si="71"/>
        <v>0</v>
      </c>
      <c r="C385" s="1369" t="str">
        <f t="shared" ca="1" si="72"/>
        <v>0</v>
      </c>
      <c r="D385" s="1369">
        <f ca="1">OFFSET('5  Control Accounts'!$EV$34,H385-1,0)</f>
        <v>0</v>
      </c>
      <c r="E385" s="1369">
        <f ca="1">OFFSET('5  Control Accounts'!$EW$34,H385-1,TEXT(0,"0"))</f>
        <v>0</v>
      </c>
      <c r="F385" s="750"/>
      <c r="G385" s="851">
        <f ca="1">IF('5  Control Accounts'!$EA$8=4,0,OFFSET('5  Control Accounts'!$CP$34,H385-1,0))</f>
        <v>0</v>
      </c>
      <c r="H385" s="751">
        <v>91</v>
      </c>
    </row>
    <row r="386" spans="1:8" x14ac:dyDescent="0.3">
      <c r="A386" s="1369" t="str">
        <f ca="1">IF(G386=1,TEXT('5  Control Accounts'!$EA$8,"0"),TEXT(0,"0"))</f>
        <v>0</v>
      </c>
      <c r="B386" s="1370" t="str">
        <f t="shared" ca="1" si="71"/>
        <v>0</v>
      </c>
      <c r="C386" s="1369" t="str">
        <f t="shared" ca="1" si="72"/>
        <v>0</v>
      </c>
      <c r="D386" s="1369">
        <f ca="1">OFFSET('5  Control Accounts'!$EV$34,H386-1,0)</f>
        <v>0</v>
      </c>
      <c r="E386" s="1369">
        <f ca="1">OFFSET('5  Control Accounts'!$EW$34,H386-1,TEXT(0,"0"))</f>
        <v>0</v>
      </c>
      <c r="F386" s="750"/>
      <c r="G386" s="851">
        <f ca="1">IF('5  Control Accounts'!$EA$8=4,0,OFFSET('5  Control Accounts'!$CP$34,H386-1,0))</f>
        <v>0</v>
      </c>
      <c r="H386" s="751">
        <v>92</v>
      </c>
    </row>
    <row r="387" spans="1:8" x14ac:dyDescent="0.3">
      <c r="A387" s="1369" t="str">
        <f ca="1">IF(G387=1,TEXT('5  Control Accounts'!$EA$8,"0"),TEXT(0,"0"))</f>
        <v>0</v>
      </c>
      <c r="B387" s="1370" t="str">
        <f t="shared" ca="1" si="71"/>
        <v>0</v>
      </c>
      <c r="C387" s="1369" t="str">
        <f t="shared" ca="1" si="72"/>
        <v>0</v>
      </c>
      <c r="D387" s="1369">
        <f ca="1">OFFSET('5  Control Accounts'!$EV$34,H387-1,0)</f>
        <v>0</v>
      </c>
      <c r="E387" s="1369">
        <f ca="1">OFFSET('5  Control Accounts'!$EW$34,H387-1,TEXT(0,"0"))</f>
        <v>0</v>
      </c>
      <c r="F387" s="750"/>
      <c r="G387" s="851">
        <f ca="1">IF('5  Control Accounts'!$EA$8=4,0,OFFSET('5  Control Accounts'!$CP$34,H387-1,0))</f>
        <v>0</v>
      </c>
      <c r="H387" s="751">
        <v>93</v>
      </c>
    </row>
    <row r="388" spans="1:8" x14ac:dyDescent="0.3">
      <c r="A388" s="1369" t="str">
        <f ca="1">IF(G388=1,TEXT('5  Control Accounts'!$EA$8,"0"),TEXT(0,"0"))</f>
        <v>0</v>
      </c>
      <c r="B388" s="1370" t="str">
        <f t="shared" ca="1" si="71"/>
        <v>0</v>
      </c>
      <c r="C388" s="1369" t="str">
        <f t="shared" ca="1" si="72"/>
        <v>0</v>
      </c>
      <c r="D388" s="1369">
        <f ca="1">OFFSET('5  Control Accounts'!$EV$34,H388-1,0)</f>
        <v>0</v>
      </c>
      <c r="E388" s="1369">
        <f ca="1">OFFSET('5  Control Accounts'!$EW$34,H388-1,TEXT(0,"0"))</f>
        <v>0</v>
      </c>
      <c r="F388" s="750"/>
      <c r="G388" s="851">
        <f ca="1">IF('5  Control Accounts'!$EA$8=4,0,OFFSET('5  Control Accounts'!$CP$34,H388-1,0))</f>
        <v>0</v>
      </c>
      <c r="H388" s="751">
        <v>94</v>
      </c>
    </row>
    <row r="389" spans="1:8" x14ac:dyDescent="0.3">
      <c r="A389" s="1369" t="str">
        <f ca="1">IF(G389=1,TEXT('5  Control Accounts'!$EA$8,"0"),TEXT(0,"0"))</f>
        <v>0</v>
      </c>
      <c r="B389" s="1370" t="str">
        <f t="shared" ca="1" si="71"/>
        <v>0</v>
      </c>
      <c r="C389" s="1369" t="str">
        <f t="shared" ca="1" si="72"/>
        <v>0</v>
      </c>
      <c r="D389" s="1369">
        <f ca="1">OFFSET('5  Control Accounts'!$EV$34,H389-1,0)</f>
        <v>0</v>
      </c>
      <c r="E389" s="1369">
        <f ca="1">OFFSET('5  Control Accounts'!$EW$34,H389-1,TEXT(0,"0"))</f>
        <v>0</v>
      </c>
      <c r="F389" s="750"/>
      <c r="G389" s="851">
        <f ca="1">IF('5  Control Accounts'!$EA$8=4,0,OFFSET('5  Control Accounts'!$CP$34,H389-1,0))</f>
        <v>0</v>
      </c>
      <c r="H389" s="751">
        <v>95</v>
      </c>
    </row>
    <row r="390" spans="1:8" x14ac:dyDescent="0.3">
      <c r="A390" s="1369" t="str">
        <f ca="1">IF(G390=1,TEXT('5  Control Accounts'!$EA$8,"0"),TEXT(0,"0"))</f>
        <v>0</v>
      </c>
      <c r="B390" s="1370" t="str">
        <f t="shared" ca="1" si="71"/>
        <v>0</v>
      </c>
      <c r="C390" s="1369" t="str">
        <f t="shared" ca="1" si="72"/>
        <v>0</v>
      </c>
      <c r="D390" s="1369">
        <f ca="1">OFFSET('5  Control Accounts'!$EV$34,H390-1,0)</f>
        <v>0</v>
      </c>
      <c r="E390" s="1369">
        <f ca="1">OFFSET('5  Control Accounts'!$EW$34,H390-1,TEXT(0,"0"))</f>
        <v>0</v>
      </c>
      <c r="F390" s="750"/>
      <c r="G390" s="851">
        <f ca="1">IF('5  Control Accounts'!$EA$8=4,0,OFFSET('5  Control Accounts'!$CP$34,H390-1,0))</f>
        <v>0</v>
      </c>
      <c r="H390" s="751">
        <v>96</v>
      </c>
    </row>
    <row r="391" spans="1:8" x14ac:dyDescent="0.3">
      <c r="A391" s="1369" t="str">
        <f ca="1">IF(G391=1,TEXT('5  Control Accounts'!$EA$8,"0"),TEXT(0,"0"))</f>
        <v>0</v>
      </c>
      <c r="B391" s="1370" t="str">
        <f t="shared" ca="1" si="71"/>
        <v>0</v>
      </c>
      <c r="C391" s="1369" t="str">
        <f t="shared" ca="1" si="72"/>
        <v>0</v>
      </c>
      <c r="D391" s="1369">
        <f ca="1">OFFSET('5  Control Accounts'!$EV$34,H391-1,0)</f>
        <v>0</v>
      </c>
      <c r="E391" s="1369">
        <f ca="1">OFFSET('5  Control Accounts'!$EW$34,H391-1,TEXT(0,"0"))</f>
        <v>0</v>
      </c>
      <c r="F391" s="750"/>
      <c r="G391" s="851">
        <f ca="1">IF('5  Control Accounts'!$EA$8=4,0,OFFSET('5  Control Accounts'!$CP$34,H391-1,0))</f>
        <v>0</v>
      </c>
      <c r="H391" s="751">
        <v>97</v>
      </c>
    </row>
    <row r="392" spans="1:8" x14ac:dyDescent="0.3">
      <c r="A392" s="1369" t="str">
        <f ca="1">IF(G392=1,TEXT('5  Control Accounts'!$EA$8,"0"),TEXT(0,"0"))</f>
        <v>0</v>
      </c>
      <c r="B392" s="1370" t="str">
        <f t="shared" ca="1" si="71"/>
        <v>0</v>
      </c>
      <c r="C392" s="1369" t="str">
        <f t="shared" ca="1" si="72"/>
        <v>0</v>
      </c>
      <c r="D392" s="1369">
        <f ca="1">OFFSET('5  Control Accounts'!$EV$34,H392-1,0)</f>
        <v>0</v>
      </c>
      <c r="E392" s="1369">
        <f ca="1">OFFSET('5  Control Accounts'!$EW$34,H392-1,TEXT(0,"0"))</f>
        <v>0</v>
      </c>
      <c r="F392" s="750"/>
      <c r="G392" s="851">
        <f ca="1">IF('5  Control Accounts'!$EA$8=4,0,OFFSET('5  Control Accounts'!$CP$34,H392-1,0))</f>
        <v>0</v>
      </c>
      <c r="H392" s="751">
        <v>98</v>
      </c>
    </row>
    <row r="393" spans="1:8" x14ac:dyDescent="0.3">
      <c r="A393" s="1369" t="str">
        <f ca="1">IF(G393=1,TEXT('5  Control Accounts'!$EA$8,"0"),TEXT(0,"0"))</f>
        <v>0</v>
      </c>
      <c r="B393" s="1370" t="str">
        <f t="shared" ca="1" si="71"/>
        <v>0</v>
      </c>
      <c r="C393" s="1369" t="str">
        <f t="shared" ca="1" si="72"/>
        <v>0</v>
      </c>
      <c r="D393" s="1369">
        <f ca="1">OFFSET('5  Control Accounts'!$EV$34,H393-1,0)</f>
        <v>0</v>
      </c>
      <c r="E393" s="1369">
        <f ca="1">OFFSET('5  Control Accounts'!$EW$34,H393-1,TEXT(0,"0"))</f>
        <v>0</v>
      </c>
      <c r="F393" s="750"/>
      <c r="G393" s="851">
        <f ca="1">IF('5  Control Accounts'!$EA$8=4,0,OFFSET('5  Control Accounts'!$CP$34,H393-1,0))</f>
        <v>0</v>
      </c>
      <c r="H393" s="751">
        <v>99</v>
      </c>
    </row>
    <row r="394" spans="1:8" x14ac:dyDescent="0.3">
      <c r="A394" s="1369" t="str">
        <f ca="1">IF(G394=1,TEXT('5  Control Accounts'!$EA$8,"0"),TEXT(0,"0"))</f>
        <v>0</v>
      </c>
      <c r="B394" s="1370" t="str">
        <f t="shared" ca="1" si="71"/>
        <v>0</v>
      </c>
      <c r="C394" s="1369" t="str">
        <f t="shared" ca="1" si="72"/>
        <v>0</v>
      </c>
      <c r="D394" s="1369">
        <f ca="1">OFFSET('5  Control Accounts'!$EV$34,H394-1,0)</f>
        <v>0</v>
      </c>
      <c r="E394" s="1369">
        <f ca="1">OFFSET('5  Control Accounts'!$EW$34,H394-1,TEXT(0,"0"))</f>
        <v>0</v>
      </c>
      <c r="F394" s="750"/>
      <c r="G394" s="851">
        <f ca="1">IF('5  Control Accounts'!$EA$8=4,0,OFFSET('5  Control Accounts'!$CP$34,H394-1,0))</f>
        <v>0</v>
      </c>
      <c r="H394" s="751">
        <v>100</v>
      </c>
    </row>
    <row r="395" spans="1:8" x14ac:dyDescent="0.3">
      <c r="A395" s="1369" t="str">
        <f ca="1">IF(G395=1,TEXT('5  Control Accounts'!$EA$8,"0"),TEXT(0,"0"))</f>
        <v>0</v>
      </c>
      <c r="B395" s="1370" t="str">
        <f t="shared" ca="1" si="71"/>
        <v>0</v>
      </c>
      <c r="C395" s="1369" t="str">
        <f t="shared" ca="1" si="72"/>
        <v>0</v>
      </c>
      <c r="D395" s="1369">
        <f ca="1">OFFSET('5  Control Accounts'!$EV$34,H395-1,0)</f>
        <v>0</v>
      </c>
      <c r="E395" s="1369">
        <f ca="1">OFFSET('5  Control Accounts'!$EW$34,H395-1,TEXT(0,"0"))</f>
        <v>0</v>
      </c>
      <c r="F395" s="750"/>
      <c r="G395" s="851">
        <f ca="1">IF('5  Control Accounts'!$EA$8=4,0,OFFSET('5  Control Accounts'!$CP$34,H395-1,0))</f>
        <v>0</v>
      </c>
      <c r="H395" s="751">
        <v>101</v>
      </c>
    </row>
    <row r="396" spans="1:8" x14ac:dyDescent="0.3">
      <c r="A396" s="1369" t="str">
        <f ca="1">IF(G396=1,TEXT('5  Control Accounts'!$EA$8,"0"),TEXT(0,"0"))</f>
        <v>0</v>
      </c>
      <c r="B396" s="1370" t="str">
        <f t="shared" ca="1" si="71"/>
        <v>0</v>
      </c>
      <c r="C396" s="1369" t="str">
        <f t="shared" ca="1" si="72"/>
        <v>0</v>
      </c>
      <c r="D396" s="1369">
        <f ca="1">OFFSET('5  Control Accounts'!$EV$34,H396-1,0)</f>
        <v>0</v>
      </c>
      <c r="E396" s="1369">
        <f ca="1">OFFSET('5  Control Accounts'!$EW$34,H396-1,TEXT(0,"0"))</f>
        <v>0</v>
      </c>
      <c r="F396" s="750"/>
      <c r="G396" s="851">
        <f ca="1">IF('5  Control Accounts'!$EA$8=4,0,OFFSET('5  Control Accounts'!$CP$34,H396-1,0))</f>
        <v>0</v>
      </c>
      <c r="H396" s="751">
        <v>102</v>
      </c>
    </row>
    <row r="397" spans="1:8" x14ac:dyDescent="0.3">
      <c r="A397" s="1369" t="str">
        <f ca="1">IF(G397=1,TEXT('5  Control Accounts'!$EA$8,"0"),TEXT(0,"0"))</f>
        <v>0</v>
      </c>
      <c r="B397" s="1370" t="str">
        <f t="shared" ca="1" si="71"/>
        <v>0</v>
      </c>
      <c r="C397" s="1369" t="str">
        <f t="shared" ca="1" si="72"/>
        <v>0</v>
      </c>
      <c r="D397" s="1369">
        <f ca="1">OFFSET('5  Control Accounts'!$EV$34,H397-1,0)</f>
        <v>0</v>
      </c>
      <c r="E397" s="1369">
        <f ca="1">OFFSET('5  Control Accounts'!$EW$34,H397-1,TEXT(0,"0"))</f>
        <v>0</v>
      </c>
      <c r="F397" s="750"/>
      <c r="G397" s="851">
        <f ca="1">IF('5  Control Accounts'!$EA$8=4,0,OFFSET('5  Control Accounts'!$CP$34,H397-1,0))</f>
        <v>0</v>
      </c>
      <c r="H397" s="751">
        <v>103</v>
      </c>
    </row>
    <row r="398" spans="1:8" x14ac:dyDescent="0.3">
      <c r="A398" s="1369" t="str">
        <f ca="1">IF(G398=1,TEXT('5  Control Accounts'!$EA$8,"0"),TEXT(0,"0"))</f>
        <v>0</v>
      </c>
      <c r="B398" s="1370" t="str">
        <f t="shared" ca="1" si="71"/>
        <v>0</v>
      </c>
      <c r="C398" s="1369" t="str">
        <f t="shared" ca="1" si="72"/>
        <v>0</v>
      </c>
      <c r="D398" s="1369">
        <f ca="1">OFFSET('5  Control Accounts'!$EV$34,H398-1,0)</f>
        <v>0</v>
      </c>
      <c r="E398" s="1369">
        <f ca="1">OFFSET('5  Control Accounts'!$EW$34,H398-1,TEXT(0,"0"))</f>
        <v>0</v>
      </c>
      <c r="F398" s="750"/>
      <c r="G398" s="851">
        <f ca="1">IF('5  Control Accounts'!$EA$8=4,0,OFFSET('5  Control Accounts'!$CP$34,H398-1,0))</f>
        <v>0</v>
      </c>
      <c r="H398" s="751">
        <v>104</v>
      </c>
    </row>
    <row r="399" spans="1:8" x14ac:dyDescent="0.3">
      <c r="A399" s="1369" t="str">
        <f ca="1">IF(G399=1,TEXT('5  Control Accounts'!$EA$8,"0"),TEXT(0,"0"))</f>
        <v>0</v>
      </c>
      <c r="B399" s="1370" t="str">
        <f t="shared" ca="1" si="71"/>
        <v>0</v>
      </c>
      <c r="C399" s="1369" t="str">
        <f t="shared" ca="1" si="72"/>
        <v>0</v>
      </c>
      <c r="D399" s="1369">
        <f ca="1">OFFSET('5  Control Accounts'!$EV$34,H399-1,0)</f>
        <v>0</v>
      </c>
      <c r="E399" s="1369">
        <f ca="1">OFFSET('5  Control Accounts'!$EW$34,H399-1,TEXT(0,"0"))</f>
        <v>0</v>
      </c>
      <c r="F399" s="750"/>
      <c r="G399" s="851">
        <f ca="1">IF('5  Control Accounts'!$EA$8=4,0,OFFSET('5  Control Accounts'!$CP$34,H399-1,0))</f>
        <v>0</v>
      </c>
      <c r="H399" s="751">
        <v>105</v>
      </c>
    </row>
    <row r="400" spans="1:8" x14ac:dyDescent="0.3">
      <c r="A400" s="1369" t="str">
        <f ca="1">IF(G400=1,TEXT('5  Control Accounts'!$EA$8,"0"),TEXT(0,"0"))</f>
        <v>0</v>
      </c>
      <c r="B400" s="1370" t="str">
        <f t="shared" ca="1" si="71"/>
        <v>0</v>
      </c>
      <c r="C400" s="1369" t="str">
        <f t="shared" ca="1" si="72"/>
        <v>0</v>
      </c>
      <c r="D400" s="1369">
        <f ca="1">OFFSET('5  Control Accounts'!$EV$34,H400-1,0)</f>
        <v>0</v>
      </c>
      <c r="E400" s="1369">
        <f ca="1">OFFSET('5  Control Accounts'!$EW$34,H400-1,TEXT(0,"0"))</f>
        <v>0</v>
      </c>
      <c r="F400" s="750"/>
      <c r="G400" s="851">
        <f ca="1">IF('5  Control Accounts'!$EA$8=4,0,OFFSET('5  Control Accounts'!$CP$34,H400-1,0))</f>
        <v>0</v>
      </c>
      <c r="H400" s="751">
        <v>106</v>
      </c>
    </row>
    <row r="401" spans="1:8" x14ac:dyDescent="0.3">
      <c r="A401" s="1369" t="str">
        <f ca="1">IF(G401=1,TEXT('5  Control Accounts'!$EA$8,"0"),TEXT(0,"0"))</f>
        <v>0</v>
      </c>
      <c r="B401" s="1370" t="str">
        <f t="shared" ca="1" si="71"/>
        <v>0</v>
      </c>
      <c r="C401" s="1369" t="str">
        <f t="shared" ca="1" si="72"/>
        <v>0</v>
      </c>
      <c r="D401" s="1369">
        <f ca="1">OFFSET('5  Control Accounts'!$EV$34,H401-1,0)</f>
        <v>0</v>
      </c>
      <c r="E401" s="1369">
        <f ca="1">OFFSET('5  Control Accounts'!$EW$34,H401-1,TEXT(0,"0"))</f>
        <v>0</v>
      </c>
      <c r="F401" s="750"/>
      <c r="G401" s="851">
        <f ca="1">IF('5  Control Accounts'!$EA$8=4,0,OFFSET('5  Control Accounts'!$CP$34,H401-1,0))</f>
        <v>0</v>
      </c>
      <c r="H401" s="751">
        <v>107</v>
      </c>
    </row>
    <row r="402" spans="1:8" x14ac:dyDescent="0.3">
      <c r="A402" s="1369" t="str">
        <f ca="1">IF(G402=1,TEXT('5  Control Accounts'!$EA$8,"0"),TEXT(0,"0"))</f>
        <v>0</v>
      </c>
      <c r="B402" s="1370" t="str">
        <f t="shared" ca="1" si="71"/>
        <v>0</v>
      </c>
      <c r="C402" s="1369" t="str">
        <f t="shared" ca="1" si="72"/>
        <v>0</v>
      </c>
      <c r="D402" s="1369">
        <f ca="1">OFFSET('5  Control Accounts'!$EV$34,H402-1,0)</f>
        <v>0</v>
      </c>
      <c r="E402" s="1369">
        <f ca="1">OFFSET('5  Control Accounts'!$EW$34,H402-1,TEXT(0,"0"))</f>
        <v>0</v>
      </c>
      <c r="F402" s="750"/>
      <c r="G402" s="851">
        <f ca="1">IF('5  Control Accounts'!$EA$8=4,0,OFFSET('5  Control Accounts'!$CP$34,H402-1,0))</f>
        <v>0</v>
      </c>
      <c r="H402" s="751">
        <v>108</v>
      </c>
    </row>
    <row r="403" spans="1:8" x14ac:dyDescent="0.3">
      <c r="A403" s="1369" t="str">
        <f ca="1">IF(G403=1,TEXT('5  Control Accounts'!$EA$8,"0"),TEXT(0,"0"))</f>
        <v>0</v>
      </c>
      <c r="B403" s="1370" t="str">
        <f t="shared" ca="1" si="71"/>
        <v>0</v>
      </c>
      <c r="C403" s="1369" t="str">
        <f t="shared" ca="1" si="72"/>
        <v>0</v>
      </c>
      <c r="D403" s="1369">
        <f ca="1">OFFSET('5  Control Accounts'!$EV$34,H403-1,0)</f>
        <v>0</v>
      </c>
      <c r="E403" s="1369">
        <f ca="1">OFFSET('5  Control Accounts'!$EW$34,H403-1,TEXT(0,"0"))</f>
        <v>0</v>
      </c>
      <c r="F403" s="750"/>
      <c r="G403" s="851">
        <f ca="1">IF('5  Control Accounts'!$EA$8=4,0,OFFSET('5  Control Accounts'!$CP$34,H403-1,0))</f>
        <v>0</v>
      </c>
      <c r="H403" s="751">
        <v>109</v>
      </c>
    </row>
    <row r="404" spans="1:8" x14ac:dyDescent="0.3">
      <c r="A404" s="1369" t="str">
        <f ca="1">IF(G404=1,TEXT('5  Control Accounts'!$EA$8,"0"),TEXT(0,"0"))</f>
        <v>0</v>
      </c>
      <c r="B404" s="1370" t="str">
        <f t="shared" ca="1" si="71"/>
        <v>0</v>
      </c>
      <c r="C404" s="1369" t="str">
        <f t="shared" ca="1" si="72"/>
        <v>0</v>
      </c>
      <c r="D404" s="1369">
        <f ca="1">OFFSET('5  Control Accounts'!$EV$34,H404-1,0)</f>
        <v>0</v>
      </c>
      <c r="E404" s="1369">
        <f ca="1">OFFSET('5  Control Accounts'!$EW$34,H404-1,TEXT(0,"0"))</f>
        <v>0</v>
      </c>
      <c r="F404" s="750"/>
      <c r="G404" s="851">
        <f ca="1">IF('5  Control Accounts'!$EA$8=4,0,OFFSET('5  Control Accounts'!$CP$34,H404-1,0))</f>
        <v>0</v>
      </c>
      <c r="H404" s="751">
        <v>110</v>
      </c>
    </row>
    <row r="405" spans="1:8" x14ac:dyDescent="0.3">
      <c r="A405" s="1369" t="str">
        <f ca="1">IF(G405=1,TEXT('5  Control Accounts'!$EA$8,"0"),TEXT(0,"0"))</f>
        <v>0</v>
      </c>
      <c r="B405" s="1370" t="str">
        <f t="shared" ca="1" si="71"/>
        <v>0</v>
      </c>
      <c r="C405" s="1369" t="str">
        <f t="shared" ca="1" si="72"/>
        <v>0</v>
      </c>
      <c r="D405" s="1369">
        <f ca="1">OFFSET('5  Control Accounts'!$EV$34,H405-1,0)</f>
        <v>0</v>
      </c>
      <c r="E405" s="1369">
        <f ca="1">OFFSET('5  Control Accounts'!$EW$34,H405-1,TEXT(0,"0"))</f>
        <v>0</v>
      </c>
      <c r="F405" s="750"/>
      <c r="G405" s="851">
        <f ca="1">IF('5  Control Accounts'!$EA$8=4,0,OFFSET('5  Control Accounts'!$CP$34,H405-1,0))</f>
        <v>0</v>
      </c>
      <c r="H405" s="751">
        <v>111</v>
      </c>
    </row>
    <row r="406" spans="1:8" x14ac:dyDescent="0.3">
      <c r="A406" s="1369" t="str">
        <f ca="1">IF(G406=1,TEXT('5  Control Accounts'!$EA$8,"0"),TEXT(0,"0"))</f>
        <v>0</v>
      </c>
      <c r="B406" s="1370" t="str">
        <f t="shared" ca="1" si="71"/>
        <v>0</v>
      </c>
      <c r="C406" s="1369" t="str">
        <f t="shared" ca="1" si="72"/>
        <v>0</v>
      </c>
      <c r="D406" s="1369">
        <f ca="1">OFFSET('5  Control Accounts'!$EV$34,H406-1,0)</f>
        <v>0</v>
      </c>
      <c r="E406" s="1369">
        <f ca="1">OFFSET('5  Control Accounts'!$EW$34,H406-1,TEXT(0,"0"))</f>
        <v>0</v>
      </c>
      <c r="F406" s="750"/>
      <c r="G406" s="851">
        <f ca="1">IF('5  Control Accounts'!$EA$8=4,0,OFFSET('5  Control Accounts'!$CP$34,H406-1,0))</f>
        <v>0</v>
      </c>
      <c r="H406" s="751">
        <v>112</v>
      </c>
    </row>
    <row r="407" spans="1:8" x14ac:dyDescent="0.3">
      <c r="A407" s="1369" t="str">
        <f ca="1">IF(G407=1,TEXT('5  Control Accounts'!$EA$8,"0"),TEXT(0,"0"))</f>
        <v>0</v>
      </c>
      <c r="B407" s="1370" t="str">
        <f t="shared" ca="1" si="71"/>
        <v>0</v>
      </c>
      <c r="C407" s="1369" t="str">
        <f t="shared" ca="1" si="72"/>
        <v>0</v>
      </c>
      <c r="D407" s="1369">
        <f ca="1">OFFSET('5  Control Accounts'!$EV$34,H407-1,0)</f>
        <v>0</v>
      </c>
      <c r="E407" s="1369">
        <f ca="1">OFFSET('5  Control Accounts'!$EW$34,H407-1,TEXT(0,"0"))</f>
        <v>0</v>
      </c>
      <c r="F407" s="750"/>
      <c r="G407" s="851">
        <f ca="1">IF('5  Control Accounts'!$EA$8=4,0,OFFSET('5  Control Accounts'!$CP$34,H407-1,0))</f>
        <v>0</v>
      </c>
      <c r="H407" s="751">
        <v>113</v>
      </c>
    </row>
    <row r="408" spans="1:8" x14ac:dyDescent="0.3">
      <c r="A408" s="1369" t="str">
        <f ca="1">IF(G408=1,TEXT('5  Control Accounts'!$EA$8,"0"),TEXT(0,"0"))</f>
        <v>0</v>
      </c>
      <c r="B408" s="1370" t="str">
        <f t="shared" ca="1" si="71"/>
        <v>0</v>
      </c>
      <c r="C408" s="1369" t="str">
        <f t="shared" ca="1" si="72"/>
        <v>0</v>
      </c>
      <c r="D408" s="1369">
        <f ca="1">OFFSET('5  Control Accounts'!$EV$34,H408-1,0)</f>
        <v>0</v>
      </c>
      <c r="E408" s="1369">
        <f ca="1">OFFSET('5  Control Accounts'!$EW$34,H408-1,TEXT(0,"0"))</f>
        <v>0</v>
      </c>
      <c r="F408" s="750"/>
      <c r="G408" s="851">
        <f ca="1">IF('5  Control Accounts'!$EA$8=4,0,OFFSET('5  Control Accounts'!$CP$34,H408-1,0))</f>
        <v>0</v>
      </c>
      <c r="H408" s="751">
        <v>114</v>
      </c>
    </row>
    <row r="409" spans="1:8" x14ac:dyDescent="0.3">
      <c r="A409" s="1369" t="str">
        <f ca="1">IF(G409=1,TEXT('5  Control Accounts'!$EA$8,"0"),TEXT(0,"0"))</f>
        <v>0</v>
      </c>
      <c r="B409" s="1370" t="str">
        <f t="shared" ca="1" si="71"/>
        <v>0</v>
      </c>
      <c r="C409" s="1369" t="str">
        <f t="shared" ca="1" si="72"/>
        <v>0</v>
      </c>
      <c r="D409" s="1369">
        <f ca="1">OFFSET('5  Control Accounts'!$EV$34,H409-1,0)</f>
        <v>0</v>
      </c>
      <c r="E409" s="1369">
        <f ca="1">OFFSET('5  Control Accounts'!$EW$34,H409-1,TEXT(0,"0"))</f>
        <v>0</v>
      </c>
      <c r="F409" s="750"/>
      <c r="G409" s="851">
        <f ca="1">IF('5  Control Accounts'!$EA$8=4,0,OFFSET('5  Control Accounts'!$CP$34,H409-1,0))</f>
        <v>0</v>
      </c>
      <c r="H409" s="751">
        <v>115</v>
      </c>
    </row>
    <row r="410" spans="1:8" x14ac:dyDescent="0.3">
      <c r="A410" s="1369" t="str">
        <f ca="1">IF(G410=1,TEXT('5  Control Accounts'!$EA$8,"0"),TEXT(0,"0"))</f>
        <v>0</v>
      </c>
      <c r="B410" s="1370" t="str">
        <f t="shared" ca="1" si="71"/>
        <v>0</v>
      </c>
      <c r="C410" s="1369" t="str">
        <f t="shared" ca="1" si="72"/>
        <v>0</v>
      </c>
      <c r="D410" s="1369">
        <f ca="1">OFFSET('5  Control Accounts'!$EV$34,H410-1,0)</f>
        <v>0</v>
      </c>
      <c r="E410" s="1369">
        <f ca="1">OFFSET('5  Control Accounts'!$EW$34,H410-1,TEXT(0,"0"))</f>
        <v>0</v>
      </c>
      <c r="F410" s="750"/>
      <c r="G410" s="851">
        <f ca="1">IF('5  Control Accounts'!$EA$8=4,0,OFFSET('5  Control Accounts'!$CP$34,H410-1,0))</f>
        <v>0</v>
      </c>
      <c r="H410" s="751">
        <v>116</v>
      </c>
    </row>
    <row r="411" spans="1:8" x14ac:dyDescent="0.3">
      <c r="A411" s="1369" t="str">
        <f ca="1">IF(G411=1,TEXT('5  Control Accounts'!$EA$8,"0"),TEXT(0,"0"))</f>
        <v>0</v>
      </c>
      <c r="B411" s="1370" t="str">
        <f t="shared" ca="1" si="71"/>
        <v>0</v>
      </c>
      <c r="C411" s="1369" t="str">
        <f t="shared" ca="1" si="72"/>
        <v>0</v>
      </c>
      <c r="D411" s="1369">
        <f ca="1">OFFSET('5  Control Accounts'!$EV$34,H411-1,0)</f>
        <v>0</v>
      </c>
      <c r="E411" s="1369">
        <f ca="1">OFFSET('5  Control Accounts'!$EW$34,H411-1,TEXT(0,"0"))</f>
        <v>0</v>
      </c>
      <c r="F411" s="750"/>
      <c r="G411" s="851">
        <f ca="1">IF('5  Control Accounts'!$EA$8=4,0,OFFSET('5  Control Accounts'!$CP$34,H411-1,0))</f>
        <v>0</v>
      </c>
      <c r="H411" s="751">
        <v>117</v>
      </c>
    </row>
    <row r="412" spans="1:8" x14ac:dyDescent="0.3">
      <c r="A412" s="1369" t="str">
        <f ca="1">IF(G412=1,TEXT('5  Control Accounts'!$EA$8,"0"),TEXT(0,"0"))</f>
        <v>0</v>
      </c>
      <c r="B412" s="1370" t="str">
        <f t="shared" ca="1" si="71"/>
        <v>0</v>
      </c>
      <c r="C412" s="1369" t="str">
        <f t="shared" ca="1" si="72"/>
        <v>0</v>
      </c>
      <c r="D412" s="1369">
        <f ca="1">OFFSET('5  Control Accounts'!$EV$34,H412-1,0)</f>
        <v>0</v>
      </c>
      <c r="E412" s="1369">
        <f ca="1">OFFSET('5  Control Accounts'!$EW$34,H412-1,TEXT(0,"0"))</f>
        <v>0</v>
      </c>
      <c r="F412" s="750"/>
      <c r="G412" s="851">
        <f ca="1">IF('5  Control Accounts'!$EA$8=4,0,OFFSET('5  Control Accounts'!$CP$34,H412-1,0))</f>
        <v>0</v>
      </c>
      <c r="H412" s="751">
        <v>118</v>
      </c>
    </row>
    <row r="413" spans="1:8" x14ac:dyDescent="0.3">
      <c r="A413" s="1369" t="str">
        <f ca="1">IF(G413=1,TEXT('5  Control Accounts'!$EA$8,"0"),TEXT(0,"0"))</f>
        <v>0</v>
      </c>
      <c r="B413" s="1370" t="str">
        <f t="shared" ca="1" si="71"/>
        <v>0</v>
      </c>
      <c r="C413" s="1369" t="str">
        <f t="shared" ca="1" si="72"/>
        <v>0</v>
      </c>
      <c r="D413" s="1369">
        <f ca="1">OFFSET('5  Control Accounts'!$EV$34,H413-1,0)</f>
        <v>0</v>
      </c>
      <c r="E413" s="1369">
        <f ca="1">OFFSET('5  Control Accounts'!$EW$34,H413-1,TEXT(0,"0"))</f>
        <v>0</v>
      </c>
      <c r="F413" s="750"/>
      <c r="G413" s="851">
        <f ca="1">IF('5  Control Accounts'!$EA$8=4,0,OFFSET('5  Control Accounts'!$CP$34,H413-1,0))</f>
        <v>0</v>
      </c>
      <c r="H413" s="751">
        <v>119</v>
      </c>
    </row>
    <row r="414" spans="1:8" x14ac:dyDescent="0.3">
      <c r="A414" s="1369" t="str">
        <f ca="1">IF(G414=1,TEXT('5  Control Accounts'!$EA$8,"0"),TEXT(0,"0"))</f>
        <v>0</v>
      </c>
      <c r="B414" s="1370" t="str">
        <f t="shared" ca="1" si="71"/>
        <v>0</v>
      </c>
      <c r="C414" s="1369" t="str">
        <f t="shared" ca="1" si="72"/>
        <v>0</v>
      </c>
      <c r="D414" s="1369">
        <f ca="1">OFFSET('5  Control Accounts'!$EV$34,H414-1,0)</f>
        <v>0</v>
      </c>
      <c r="E414" s="1369">
        <f ca="1">OFFSET('5  Control Accounts'!$EW$34,H414-1,TEXT(0,"0"))</f>
        <v>0</v>
      </c>
      <c r="F414" s="750"/>
      <c r="G414" s="851">
        <f ca="1">IF('5  Control Accounts'!$EA$8=4,0,OFFSET('5  Control Accounts'!$CP$34,H414-1,0))</f>
        <v>0</v>
      </c>
      <c r="H414" s="751">
        <v>120</v>
      </c>
    </row>
  </sheetData>
  <conditionalFormatting sqref="A2:E26 A28:E414">
    <cfRule type="expression" dxfId="97" priority="2">
      <formula>ISNONTEXT(A2)</formula>
    </cfRule>
  </conditionalFormatting>
  <conditionalFormatting sqref="A27:E27">
    <cfRule type="expression" dxfId="96" priority="1">
      <formula>ISNONTEXT(A27)</formula>
    </cfRule>
  </conditionalFormatting>
  <pageMargins left="0.7" right="0.7" top="0.75" bottom="0.75" header="0.3" footer="0.3"/>
  <pageSetup paperSize="9" orientation="portrait" vertic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rgb="FF003397"/>
  </sheetPr>
  <dimension ref="A1:X126"/>
  <sheetViews>
    <sheetView showGridLines="0" topLeftCell="C1" workbookViewId="0">
      <selection activeCell="P2" sqref="P2"/>
    </sheetView>
  </sheetViews>
  <sheetFormatPr defaultColWidth="9.109375" defaultRowHeight="14.4" x14ac:dyDescent="0.3"/>
  <cols>
    <col min="1" max="2" width="28.33203125" style="749" customWidth="1"/>
    <col min="3" max="3" width="8" style="749" customWidth="1"/>
    <col min="4" max="4" width="28.44140625" style="749" customWidth="1"/>
    <col min="5" max="5" width="12.33203125" style="749" customWidth="1"/>
    <col min="6" max="12" width="9.6640625" style="749" customWidth="1"/>
    <col min="13" max="14" width="9.109375" style="745"/>
    <col min="15" max="15" width="9.109375" style="1356"/>
    <col min="16" max="18" width="9.109375" style="745"/>
    <col min="19" max="19" width="1.44140625" style="745" customWidth="1"/>
    <col min="20" max="24" width="9.109375" style="745"/>
    <col min="25" max="16384" width="9.109375" style="749"/>
  </cols>
  <sheetData>
    <row r="1" spans="1:21" ht="30" customHeight="1" thickBot="1" x14ac:dyDescent="0.35">
      <c r="A1" s="848" t="s">
        <v>100</v>
      </c>
      <c r="B1" s="848" t="s">
        <v>101</v>
      </c>
      <c r="C1" s="848" t="s">
        <v>187</v>
      </c>
      <c r="D1" s="848" t="s">
        <v>9</v>
      </c>
      <c r="E1" s="848" t="s">
        <v>146</v>
      </c>
      <c r="F1" s="848" t="s">
        <v>188</v>
      </c>
      <c r="G1" s="848" t="s">
        <v>189</v>
      </c>
      <c r="H1" s="848" t="s">
        <v>102</v>
      </c>
      <c r="I1" s="848" t="s">
        <v>104</v>
      </c>
      <c r="J1" s="848" t="s">
        <v>54</v>
      </c>
      <c r="K1" s="848" t="s">
        <v>103</v>
      </c>
      <c r="L1" s="848" t="s">
        <v>105</v>
      </c>
      <c r="M1" s="848" t="s">
        <v>106</v>
      </c>
      <c r="N1" s="848" t="s">
        <v>107</v>
      </c>
      <c r="P1" s="2303" t="s">
        <v>2791</v>
      </c>
      <c r="Q1" s="1002" t="s">
        <v>1168</v>
      </c>
      <c r="R1" s="1002" t="s">
        <v>747</v>
      </c>
      <c r="T1" s="3295">
        <f ca="1">SUM(T2:T300)</f>
        <v>0</v>
      </c>
      <c r="U1" s="3295">
        <f ca="1">SUM(U2:U300)</f>
        <v>0</v>
      </c>
    </row>
    <row r="2" spans="1:21" s="750" customFormat="1" ht="15.9" customHeight="1" thickBot="1" x14ac:dyDescent="0.35">
      <c r="A2" s="1400" t="str">
        <f>IF(Q2=0,"0",'5  Control Accounts'!$BF29&amp;"."&amp;'5  Control Accounts'!BH29)</f>
        <v>0</v>
      </c>
      <c r="B2" s="1400" t="str">
        <f>A2</f>
        <v>0</v>
      </c>
      <c r="C2" s="1325" t="str">
        <f>IF(Q2=0,"0",TEXT('5  Control Accounts'!BK29,"General"))</f>
        <v>0</v>
      </c>
      <c r="D2" s="1325" t="str">
        <f>IF(Q2=0,"0",TEXT('5  Control Accounts'!FB29,"general"))</f>
        <v>0</v>
      </c>
      <c r="E2" s="1401" t="s">
        <v>310</v>
      </c>
      <c r="F2" s="1401" t="s">
        <v>111</v>
      </c>
      <c r="G2" s="1401" t="s">
        <v>305</v>
      </c>
      <c r="H2" s="1325" t="str">
        <f>IF(Q2=0,"0",TEXT('5  Control Accounts'!FG29,"##0.0"))</f>
        <v>0</v>
      </c>
      <c r="I2" s="1325" t="str">
        <f>IF(Q2=0,"0",TEXT('5  Control Accounts'!FH29,"##0.0"))</f>
        <v>0</v>
      </c>
      <c r="J2" s="1325" t="str">
        <f>IF($Q2=0,"0",'1 Setup'!$I$60)</f>
        <v>0</v>
      </c>
      <c r="K2" s="1325" t="str">
        <f>IF(Q2=0,"0",TEXT('5  Control Accounts'!FX29,"##0.00"))</f>
        <v>0</v>
      </c>
      <c r="L2" s="1325" t="str">
        <f>IF(Q2=0,"0",TEXT('5  Control Accounts'!FY29,"##0.00"))</f>
        <v>0</v>
      </c>
      <c r="M2" s="1401" t="str">
        <f>IF($Q2=0,"0","IMPORT")</f>
        <v>0</v>
      </c>
      <c r="N2" s="1325" t="s">
        <v>61</v>
      </c>
      <c r="O2" s="1356"/>
      <c r="P2" s="2349">
        <f>IF(NOT(ISBLANK(P3)),1,IF('1 Setup'!$G$3&lt;&gt;"E",0,IF(OR('3a Staff Plan'!C7,'3b Activity Plan'!C8),0,1)))</f>
        <v>0</v>
      </c>
      <c r="Q2" s="2347">
        <f>$P$2*'5  Control Accounts'!$CP$29</f>
        <v>0</v>
      </c>
      <c r="R2" s="1003" t="s">
        <v>141</v>
      </c>
      <c r="T2" s="1930">
        <f>VALUE(K2)</f>
        <v>0</v>
      </c>
      <c r="U2" s="1930">
        <f>VALUE(L2)</f>
        <v>0</v>
      </c>
    </row>
    <row r="3" spans="1:21" s="750" customFormat="1" ht="15.9" customHeight="1" thickBot="1" x14ac:dyDescent="0.35">
      <c r="A3" s="1465" t="str">
        <f>IF(Q3=0,"0",'5  Control Accounts'!$BF30&amp;"."&amp;'5  Control Accounts'!BH30)</f>
        <v>0</v>
      </c>
      <c r="B3" s="1466" t="str">
        <f t="shared" ref="B3:B65" si="0">A3</f>
        <v>0</v>
      </c>
      <c r="C3" s="1326" t="str">
        <f>IF(Q3=0,"0",TEXT('5  Control Accounts'!BK30,"General"))</f>
        <v>0</v>
      </c>
      <c r="D3" s="1326" t="str">
        <f>IF(Q3=0,"0",TEXT('5  Control Accounts'!FB30,"general"))</f>
        <v>0</v>
      </c>
      <c r="E3" s="1402" t="s">
        <v>310</v>
      </c>
      <c r="F3" s="1402" t="s">
        <v>111</v>
      </c>
      <c r="G3" s="1402" t="s">
        <v>305</v>
      </c>
      <c r="H3" s="1327" t="str">
        <f>"0"</f>
        <v>0</v>
      </c>
      <c r="I3" s="1326" t="str">
        <f>"0"</f>
        <v>0</v>
      </c>
      <c r="J3" s="1326" t="str">
        <f>IF($Q3=0,"0",'1 Setup'!$I$60)</f>
        <v>0</v>
      </c>
      <c r="K3" s="1326" t="str">
        <f>IF(Q3=0,"0",TEXT('5  Control Accounts'!FX30,"##0.00"))</f>
        <v>0</v>
      </c>
      <c r="L3" s="1326" t="str">
        <f>IF(Q3=0,"0",TEXT('5  Control Accounts'!FY30,"##0.00"))</f>
        <v>0</v>
      </c>
      <c r="M3" s="1402" t="str">
        <f t="shared" ref="M3:M65" si="1">IF($Q3=0,"0","IMPORT")</f>
        <v>0</v>
      </c>
      <c r="N3" s="1326" t="s">
        <v>62</v>
      </c>
      <c r="O3" s="1356"/>
      <c r="P3" s="3234"/>
      <c r="Q3" s="2347">
        <f>$P$2*'5  Control Accounts'!$CP$30</f>
        <v>0</v>
      </c>
      <c r="R3" s="1003" t="s">
        <v>142</v>
      </c>
      <c r="T3" s="1930">
        <f t="shared" ref="T3:T66" si="2">VALUE(K3)</f>
        <v>0</v>
      </c>
      <c r="U3" s="1930">
        <f t="shared" ref="U3:U66" si="3">VALUE(L3)</f>
        <v>0</v>
      </c>
    </row>
    <row r="4" spans="1:21" s="750" customFormat="1" ht="15.9" customHeight="1" x14ac:dyDescent="0.3">
      <c r="A4" s="1326" t="str">
        <f>IF(Q4=0,"0",'5  Control Accounts'!$BF31&amp;"."&amp;'5  Control Accounts'!BH31)</f>
        <v>0</v>
      </c>
      <c r="B4" s="1326" t="str">
        <f t="shared" si="0"/>
        <v>0</v>
      </c>
      <c r="C4" s="1326" t="str">
        <f>IF(Q4=0,"0",TEXT('5  Control Accounts'!BK31,"General"))</f>
        <v>0</v>
      </c>
      <c r="D4" s="1326" t="str">
        <f>IF(Q4=0,"0",TEXT('5  Control Accounts'!FB31,"general"))</f>
        <v>0</v>
      </c>
      <c r="E4" s="1402" t="s">
        <v>310</v>
      </c>
      <c r="F4" s="1402" t="s">
        <v>111</v>
      </c>
      <c r="G4" s="1402" t="s">
        <v>305</v>
      </c>
      <c r="H4" s="1327" t="str">
        <f t="shared" ref="H4:I6" si="4">"0"</f>
        <v>0</v>
      </c>
      <c r="I4" s="1326" t="str">
        <f t="shared" si="4"/>
        <v>0</v>
      </c>
      <c r="J4" s="1326" t="str">
        <f>IF($Q4=0,"0",'1 Setup'!$I$60)</f>
        <v>0</v>
      </c>
      <c r="K4" s="1326" t="str">
        <f>IF(Q4=0,"0",TEXT('5  Control Accounts'!FX31,"##0.00"))</f>
        <v>0</v>
      </c>
      <c r="L4" s="1326" t="str">
        <f>"0"</f>
        <v>0</v>
      </c>
      <c r="M4" s="1402" t="str">
        <f t="shared" si="1"/>
        <v>0</v>
      </c>
      <c r="N4" s="1326" t="s">
        <v>67</v>
      </c>
      <c r="O4" s="1356"/>
      <c r="P4" s="432" t="s">
        <v>4168</v>
      </c>
      <c r="Q4" s="1003">
        <f>$P$2*'5  Control Accounts'!$CP$31</f>
        <v>0</v>
      </c>
      <c r="R4" s="1003" t="s">
        <v>143</v>
      </c>
      <c r="T4" s="1930">
        <f t="shared" si="2"/>
        <v>0</v>
      </c>
      <c r="U4" s="1930">
        <f t="shared" si="3"/>
        <v>0</v>
      </c>
    </row>
    <row r="5" spans="1:21" s="750" customFormat="1" ht="15.9" customHeight="1" x14ac:dyDescent="0.3">
      <c r="A5" s="1326" t="str">
        <f>IF(Q5=0,"0",'5  Control Accounts'!$BF32&amp;"."&amp;'5  Control Accounts'!BH32)</f>
        <v>0</v>
      </c>
      <c r="B5" s="1327" t="str">
        <f t="shared" si="0"/>
        <v>0</v>
      </c>
      <c r="C5" s="1327" t="str">
        <f>IF(Q5=0,"0",TEXT('5  Control Accounts'!BK32,"General"))</f>
        <v>0</v>
      </c>
      <c r="D5" s="1327" t="str">
        <f>IF(Q5=0,"0",TEXT('5  Control Accounts'!FB32,"general"))</f>
        <v>0</v>
      </c>
      <c r="E5" s="1402" t="s">
        <v>310</v>
      </c>
      <c r="F5" s="1402" t="s">
        <v>111</v>
      </c>
      <c r="G5" s="1402" t="s">
        <v>305</v>
      </c>
      <c r="H5" s="1327" t="str">
        <f t="shared" si="4"/>
        <v>0</v>
      </c>
      <c r="I5" s="1327" t="str">
        <f t="shared" si="4"/>
        <v>0</v>
      </c>
      <c r="J5" s="1326" t="str">
        <f>IF($Q5=0,"0",'1 Setup'!$I$60)</f>
        <v>0</v>
      </c>
      <c r="K5" s="1326" t="str">
        <f t="shared" ref="K5" si="5">"0"</f>
        <v>0</v>
      </c>
      <c r="L5" s="1327" t="str">
        <f>IF(Q5=0,"0",TEXT('5  Control Accounts'!FY32,"##0.00"))</f>
        <v>0</v>
      </c>
      <c r="M5" s="1403" t="str">
        <f t="shared" si="1"/>
        <v>0</v>
      </c>
      <c r="N5" s="1326" t="s">
        <v>122</v>
      </c>
      <c r="O5" s="1356"/>
      <c r="Q5" s="1003">
        <f>$P$2*'5  Control Accounts'!$CP$32</f>
        <v>0</v>
      </c>
      <c r="R5" s="1003" t="s">
        <v>144</v>
      </c>
      <c r="T5" s="1930">
        <f t="shared" si="2"/>
        <v>0</v>
      </c>
      <c r="U5" s="1930">
        <f t="shared" si="3"/>
        <v>0</v>
      </c>
    </row>
    <row r="6" spans="1:21" s="750" customFormat="1" ht="15.9" customHeight="1" thickBot="1" x14ac:dyDescent="0.35">
      <c r="A6" s="1328" t="str">
        <f>IF(Q6=0,"0",'5  Control Accounts'!$BF33&amp;"."&amp;'5  Control Accounts'!BH33)</f>
        <v>0</v>
      </c>
      <c r="B6" s="1328" t="str">
        <f t="shared" si="0"/>
        <v>0</v>
      </c>
      <c r="C6" s="1328" t="str">
        <f>IF(Q6=0,"0",TEXT('5  Control Accounts'!BK33,"General"))</f>
        <v>0</v>
      </c>
      <c r="D6" s="1328" t="str">
        <f>IF(Q6=0,"0",TEXT('5  Control Accounts'!FB33,"general"))</f>
        <v>0</v>
      </c>
      <c r="E6" s="1404" t="s">
        <v>310</v>
      </c>
      <c r="F6" s="1404" t="s">
        <v>111</v>
      </c>
      <c r="G6" s="1404" t="s">
        <v>305</v>
      </c>
      <c r="H6" s="1328" t="str">
        <f t="shared" si="4"/>
        <v>0</v>
      </c>
      <c r="I6" s="1328" t="str">
        <f t="shared" si="4"/>
        <v>0</v>
      </c>
      <c r="J6" s="1328" t="str">
        <f>IF($Q6=0,"0",'1 Setup'!$I$60)</f>
        <v>0</v>
      </c>
      <c r="K6" s="1328" t="str">
        <f>IF(Q6=0,"0",TEXT('5  Control Accounts'!FX33,"##0.00"))</f>
        <v>0</v>
      </c>
      <c r="L6" s="1328" t="str">
        <f>"0"</f>
        <v>0</v>
      </c>
      <c r="M6" s="1404" t="str">
        <f t="shared" si="1"/>
        <v>0</v>
      </c>
      <c r="N6" s="1744" t="s">
        <v>136</v>
      </c>
      <c r="O6" s="1356"/>
      <c r="Q6" s="1005">
        <f>$P$2*'5  Control Accounts'!$CP$33</f>
        <v>0</v>
      </c>
      <c r="R6" s="1005" t="s">
        <v>145</v>
      </c>
      <c r="T6" s="1930">
        <f t="shared" si="2"/>
        <v>0</v>
      </c>
      <c r="U6" s="1930">
        <f t="shared" si="3"/>
        <v>0</v>
      </c>
    </row>
    <row r="7" spans="1:21" s="750" customFormat="1" ht="15.9" customHeight="1" thickTop="1" x14ac:dyDescent="0.3">
      <c r="A7" s="1366" t="str">
        <f ca="1">IF(Q7=0,"0",OFFSET('5  Control Accounts'!$BF$33,R7,0)&amp;"."&amp;OFFSET('5  Control Accounts'!$BH$33,R7,0))</f>
        <v>0</v>
      </c>
      <c r="B7" s="961" t="str">
        <f t="shared" ca="1" si="0"/>
        <v>0</v>
      </c>
      <c r="C7" s="961" t="str">
        <f ca="1">IF(Q7=0,"0",TEXT(OFFSET('5  Control Accounts'!$BK$33,R7,0),"General"))</f>
        <v>0</v>
      </c>
      <c r="D7" s="961" t="str">
        <f ca="1">IF(Q7=0,"0",TEXT(OFFSET('5  Control Accounts'!$FB$33,R7,0),"General"))</f>
        <v>0</v>
      </c>
      <c r="E7" s="1405" t="str">
        <f ca="1">IF(Q7=0,TEXT(0,"0"),"Work Package")</f>
        <v>0</v>
      </c>
      <c r="F7" s="1405" t="str">
        <f ca="1">IF(Q7=0,TEXT(0,"0"),"Y")</f>
        <v>0</v>
      </c>
      <c r="G7" s="1405" t="str">
        <f ca="1">IF(Q7=0,TEXT(0,"0"),"Open")</f>
        <v>0</v>
      </c>
      <c r="H7" s="961" t="str">
        <f ca="1">IF(Q7=0,"0",TEXT(OFFSET('5  Control Accounts'!$FG$33,R7,0),"##0.0"))</f>
        <v>0</v>
      </c>
      <c r="I7" s="961" t="str">
        <f ca="1">IF(Q7=0,"0",TEXT(OFFSET('5  Control Accounts'!$FH$33,R7,0),"##0.0"))</f>
        <v>0</v>
      </c>
      <c r="J7" s="961" t="str">
        <f ca="1">IF($Q7=0,"0",'1 Setup'!$I$60)</f>
        <v>0</v>
      </c>
      <c r="K7" s="961" t="str">
        <f ca="1">IF(Q7=0,"0",TEXT(OFFSET('5  Control Accounts'!$FX$33,R7,0),"##0.00"))</f>
        <v>0</v>
      </c>
      <c r="L7" s="961" t="str">
        <f ca="1">IF(Q7=0,"0",TEXT(OFFSET('5  Control Accounts'!$FY$33,R7,0),"##0.00"))</f>
        <v>0</v>
      </c>
      <c r="M7" s="1405" t="str">
        <f t="shared" ca="1" si="1"/>
        <v>0</v>
      </c>
      <c r="N7" s="961" t="s">
        <v>1503</v>
      </c>
      <c r="O7" s="1356"/>
      <c r="Q7" s="1004">
        <f ca="1">$P$2*OFFSET('5  Control Accounts'!$CP$33,R7,0)</f>
        <v>0</v>
      </c>
      <c r="R7" s="1004">
        <v>1</v>
      </c>
      <c r="T7" s="1930">
        <f t="shared" ca="1" si="2"/>
        <v>0</v>
      </c>
      <c r="U7" s="1930">
        <f t="shared" ca="1" si="3"/>
        <v>0</v>
      </c>
    </row>
    <row r="8" spans="1:21" s="750" customFormat="1" ht="15.9" customHeight="1" x14ac:dyDescent="0.3">
      <c r="A8" s="961" t="str">
        <f ca="1">IF(Q8=0,"0",OFFSET('5  Control Accounts'!$BF$33,R8,0)&amp;"."&amp;OFFSET('5  Control Accounts'!$BH$33,R8,0))</f>
        <v>0</v>
      </c>
      <c r="B8" s="961" t="str">
        <f t="shared" ca="1" si="0"/>
        <v>0</v>
      </c>
      <c r="C8" s="961" t="str">
        <f ca="1">IF(Q8=0,"0",TEXT(OFFSET('5  Control Accounts'!$BK$33,R8,0),"General"))</f>
        <v>0</v>
      </c>
      <c r="D8" s="961" t="str">
        <f ca="1">IF(Q8=0,"0",TEXT(OFFSET('5  Control Accounts'!$FB$33,R8,0),"General"))</f>
        <v>0</v>
      </c>
      <c r="E8" s="1405" t="str">
        <f t="shared" ref="E8:E71" ca="1" si="6">IF(Q8=0,TEXT(0,"0"),"Work Package")</f>
        <v>0</v>
      </c>
      <c r="F8" s="1405" t="str">
        <f t="shared" ref="F8:F71" ca="1" si="7">IF(Q8=0,TEXT(0,"0"),"Y")</f>
        <v>0</v>
      </c>
      <c r="G8" s="1405" t="str">
        <f t="shared" ref="G8:G71" ca="1" si="8">IF(Q8=0,TEXT(0,"0"),"Open")</f>
        <v>0</v>
      </c>
      <c r="H8" s="961" t="str">
        <f ca="1">IF(Q8=0,"0",TEXT(OFFSET('5  Control Accounts'!$FG$33,R8,0),"##0.0"))</f>
        <v>0</v>
      </c>
      <c r="I8" s="961" t="str">
        <f ca="1">IF(Q8=0,"0",TEXT(OFFSET('5  Control Accounts'!$FH$33,R8,0),"##0.0"))</f>
        <v>0</v>
      </c>
      <c r="J8" s="961" t="str">
        <f ca="1">IF($Q8=0,"0",'1 Setup'!$I$60)</f>
        <v>0</v>
      </c>
      <c r="K8" s="961" t="str">
        <f ca="1">IF(Q8=0,"0",TEXT(OFFSET('5  Control Accounts'!$FX$33,R8,0),"##0.00"))</f>
        <v>0</v>
      </c>
      <c r="L8" s="961" t="str">
        <f ca="1">IF(Q8=0,"0",TEXT(OFFSET('5  Control Accounts'!$FY$33,R8,0),"##0.00"))</f>
        <v>0</v>
      </c>
      <c r="M8" s="1405" t="str">
        <f t="shared" ca="1" si="1"/>
        <v>0</v>
      </c>
      <c r="N8" s="1326" t="s">
        <v>1504</v>
      </c>
      <c r="O8" s="1356"/>
      <c r="Q8" s="537">
        <f ca="1">$P$2*OFFSET('5  Control Accounts'!$CP$33,R8,0)</f>
        <v>0</v>
      </c>
      <c r="R8" s="537">
        <v>2</v>
      </c>
      <c r="T8" s="1930">
        <f t="shared" ca="1" si="2"/>
        <v>0</v>
      </c>
      <c r="U8" s="1930">
        <f t="shared" ca="1" si="3"/>
        <v>0</v>
      </c>
    </row>
    <row r="9" spans="1:21" s="750" customFormat="1" ht="15.9" customHeight="1" x14ac:dyDescent="0.3">
      <c r="A9" s="961" t="str">
        <f ca="1">IF(Q9=0,"0",OFFSET('5  Control Accounts'!$BF$33,R9,0)&amp;"."&amp;OFFSET('5  Control Accounts'!$BH$33,R9,0))</f>
        <v>0</v>
      </c>
      <c r="B9" s="961" t="str">
        <f t="shared" ca="1" si="0"/>
        <v>0</v>
      </c>
      <c r="C9" s="961" t="str">
        <f ca="1">IF(Q9=0,"0",TEXT(OFFSET('5  Control Accounts'!$BK$33,R9,0),"General"))</f>
        <v>0</v>
      </c>
      <c r="D9" s="961" t="str">
        <f ca="1">IF(Q9=0,"0",TEXT(OFFSET('5  Control Accounts'!$FB$33,R9,0),"General"))</f>
        <v>0</v>
      </c>
      <c r="E9" s="1405" t="str">
        <f t="shared" ca="1" si="6"/>
        <v>0</v>
      </c>
      <c r="F9" s="1405" t="str">
        <f t="shared" ca="1" si="7"/>
        <v>0</v>
      </c>
      <c r="G9" s="1405" t="str">
        <f t="shared" ca="1" si="8"/>
        <v>0</v>
      </c>
      <c r="H9" s="961" t="str">
        <f ca="1">IF(Q9=0,"0",TEXT(OFFSET('5  Control Accounts'!$FG$33,R9,0),"##0.0"))</f>
        <v>0</v>
      </c>
      <c r="I9" s="961" t="str">
        <f ca="1">IF(Q9=0,"0",TEXT(OFFSET('5  Control Accounts'!$FH$33,R9,0),"##0.0"))</f>
        <v>0</v>
      </c>
      <c r="J9" s="961" t="str">
        <f ca="1">IF($Q9=0,"0",'1 Setup'!$I$60)</f>
        <v>0</v>
      </c>
      <c r="K9" s="961" t="str">
        <f ca="1">IF(Q9=0,"0",TEXT(OFFSET('5  Control Accounts'!$FX$33,R9,0),"##0.00"))</f>
        <v>0</v>
      </c>
      <c r="L9" s="961" t="str">
        <f ca="1">IF(Q9=0,"0",TEXT(OFFSET('5  Control Accounts'!$FY$33,R9,0),"##0.00"))</f>
        <v>0</v>
      </c>
      <c r="M9" s="1405" t="str">
        <f t="shared" ca="1" si="1"/>
        <v>0</v>
      </c>
      <c r="N9" s="1326" t="s">
        <v>1865</v>
      </c>
      <c r="O9" s="1356"/>
      <c r="Q9" s="537">
        <f ca="1">$P$2*OFFSET('5  Control Accounts'!$CP$33,R9,0)</f>
        <v>0</v>
      </c>
      <c r="R9" s="537">
        <v>3</v>
      </c>
      <c r="T9" s="1930">
        <f t="shared" ca="1" si="2"/>
        <v>0</v>
      </c>
      <c r="U9" s="1930">
        <f t="shared" ca="1" si="3"/>
        <v>0</v>
      </c>
    </row>
    <row r="10" spans="1:21" s="750" customFormat="1" ht="15.9" customHeight="1" x14ac:dyDescent="0.3">
      <c r="A10" s="961" t="str">
        <f ca="1">IF(Q10=0,"0",OFFSET('5  Control Accounts'!$BF$33,R10,0)&amp;"."&amp;OFFSET('5  Control Accounts'!$BH$33,R10,0))</f>
        <v>0</v>
      </c>
      <c r="B10" s="961" t="str">
        <f t="shared" ca="1" si="0"/>
        <v>0</v>
      </c>
      <c r="C10" s="961" t="str">
        <f ca="1">IF(Q10=0,"0",TEXT(OFFSET('5  Control Accounts'!$BK$33,R10,0),"General"))</f>
        <v>0</v>
      </c>
      <c r="D10" s="961" t="str">
        <f ca="1">IF(Q10=0,"0",TEXT(OFFSET('5  Control Accounts'!$FB$33,R10,0),"General"))</f>
        <v>0</v>
      </c>
      <c r="E10" s="1405" t="str">
        <f t="shared" ca="1" si="6"/>
        <v>0</v>
      </c>
      <c r="F10" s="1405" t="str">
        <f t="shared" ca="1" si="7"/>
        <v>0</v>
      </c>
      <c r="G10" s="1405" t="str">
        <f t="shared" ca="1" si="8"/>
        <v>0</v>
      </c>
      <c r="H10" s="961" t="str">
        <f ca="1">IF(Q10=0,"0",TEXT(OFFSET('5  Control Accounts'!$FG$33,R10,0),"##0.0"))</f>
        <v>0</v>
      </c>
      <c r="I10" s="961" t="str">
        <f ca="1">IF(Q10=0,"0",TEXT(OFFSET('5  Control Accounts'!$FH$33,R10,0),"##0.0"))</f>
        <v>0</v>
      </c>
      <c r="J10" s="961" t="str">
        <f ca="1">IF($Q10=0,"0",'1 Setup'!$I$60)</f>
        <v>0</v>
      </c>
      <c r="K10" s="961" t="str">
        <f ca="1">IF(Q10=0,"0",TEXT(OFFSET('5  Control Accounts'!$FX$33,R10,0),"##0.00"))</f>
        <v>0</v>
      </c>
      <c r="L10" s="961" t="str">
        <f ca="1">IF(Q10=0,"0",TEXT(OFFSET('5  Control Accounts'!$FY$33,R10,0),"##0.00"))</f>
        <v>0</v>
      </c>
      <c r="M10" s="1405" t="str">
        <f t="shared" ca="1" si="1"/>
        <v>0</v>
      </c>
      <c r="N10" s="1326" t="s">
        <v>1866</v>
      </c>
      <c r="O10" s="1356"/>
      <c r="Q10" s="537">
        <f ca="1">$P$2*OFFSET('5  Control Accounts'!$CP$33,R10,0)</f>
        <v>0</v>
      </c>
      <c r="R10" s="537">
        <v>4</v>
      </c>
      <c r="T10" s="1930">
        <f t="shared" ca="1" si="2"/>
        <v>0</v>
      </c>
      <c r="U10" s="1930">
        <f t="shared" ca="1" si="3"/>
        <v>0</v>
      </c>
    </row>
    <row r="11" spans="1:21" s="750" customFormat="1" ht="15.9" customHeight="1" x14ac:dyDescent="0.3">
      <c r="A11" s="961" t="str">
        <f ca="1">IF(Q11=0,"0",OFFSET('5  Control Accounts'!$BF$33,R11,0)&amp;"."&amp;OFFSET('5  Control Accounts'!$BH$33,R11,0))</f>
        <v>0</v>
      </c>
      <c r="B11" s="961" t="str">
        <f t="shared" ca="1" si="0"/>
        <v>0</v>
      </c>
      <c r="C11" s="961" t="str">
        <f ca="1">IF(Q11=0,"0",TEXT(OFFSET('5  Control Accounts'!$BK$33,R11,0),"General"))</f>
        <v>0</v>
      </c>
      <c r="D11" s="961" t="str">
        <f ca="1">IF(Q11=0,"0",TEXT(OFFSET('5  Control Accounts'!$FB$33,R11,0),"General"))</f>
        <v>0</v>
      </c>
      <c r="E11" s="1405" t="str">
        <f t="shared" ca="1" si="6"/>
        <v>0</v>
      </c>
      <c r="F11" s="1405" t="str">
        <f t="shared" ca="1" si="7"/>
        <v>0</v>
      </c>
      <c r="G11" s="1405" t="str">
        <f t="shared" ca="1" si="8"/>
        <v>0</v>
      </c>
      <c r="H11" s="961" t="str">
        <f ca="1">IF(Q11=0,"0",TEXT(OFFSET('5  Control Accounts'!$FG$33,R11,0),"##0.0"))</f>
        <v>0</v>
      </c>
      <c r="I11" s="961" t="str">
        <f ca="1">IF(Q11=0,"0",TEXT(OFFSET('5  Control Accounts'!$FH$33,R11,0),"##0.0"))</f>
        <v>0</v>
      </c>
      <c r="J11" s="961" t="str">
        <f ca="1">IF($Q11=0,"0",'1 Setup'!$I$60)</f>
        <v>0</v>
      </c>
      <c r="K11" s="961" t="str">
        <f ca="1">IF(Q11=0,"0",TEXT(OFFSET('5  Control Accounts'!$FX$33,R11,0),"##0.00"))</f>
        <v>0</v>
      </c>
      <c r="L11" s="961" t="str">
        <f ca="1">IF(Q11=0,"0",TEXT(OFFSET('5  Control Accounts'!$FY$33,R11,0),"##0.00"))</f>
        <v>0</v>
      </c>
      <c r="M11" s="1405" t="str">
        <f t="shared" ca="1" si="1"/>
        <v>0</v>
      </c>
      <c r="N11" s="1326" t="s">
        <v>1867</v>
      </c>
      <c r="O11" s="1356"/>
      <c r="Q11" s="537">
        <f ca="1">$P$2*OFFSET('5  Control Accounts'!$CP$33,R11,0)</f>
        <v>0</v>
      </c>
      <c r="R11" s="537">
        <v>5</v>
      </c>
      <c r="T11" s="1930">
        <f t="shared" ca="1" si="2"/>
        <v>0</v>
      </c>
      <c r="U11" s="1930">
        <f t="shared" ca="1" si="3"/>
        <v>0</v>
      </c>
    </row>
    <row r="12" spans="1:21" s="750" customFormat="1" ht="15.9" customHeight="1" x14ac:dyDescent="0.3">
      <c r="A12" s="961" t="str">
        <f ca="1">IF(Q12=0,"0",OFFSET('5  Control Accounts'!$BF$33,R12,0)&amp;"."&amp;OFFSET('5  Control Accounts'!$BH$33,R12,0))</f>
        <v>0</v>
      </c>
      <c r="B12" s="961" t="str">
        <f t="shared" ca="1" si="0"/>
        <v>0</v>
      </c>
      <c r="C12" s="961" t="str">
        <f ca="1">IF(Q12=0,"0",TEXT(OFFSET('5  Control Accounts'!$BK$33,R12,0),"General"))</f>
        <v>0</v>
      </c>
      <c r="D12" s="961" t="str">
        <f ca="1">IF(Q12=0,"0",TEXT(OFFSET('5  Control Accounts'!$FB$33,R12,0),"General"))</f>
        <v>0</v>
      </c>
      <c r="E12" s="1405" t="str">
        <f t="shared" ca="1" si="6"/>
        <v>0</v>
      </c>
      <c r="F12" s="1405" t="str">
        <f t="shared" ca="1" si="7"/>
        <v>0</v>
      </c>
      <c r="G12" s="1405" t="str">
        <f t="shared" ca="1" si="8"/>
        <v>0</v>
      </c>
      <c r="H12" s="961" t="str">
        <f ca="1">IF(Q12=0,"0",TEXT(OFFSET('5  Control Accounts'!$FG$33,R12,0),"##0.0"))</f>
        <v>0</v>
      </c>
      <c r="I12" s="961" t="str">
        <f ca="1">IF(Q12=0,"0",TEXT(OFFSET('5  Control Accounts'!$FH$33,R12,0),"##0.0"))</f>
        <v>0</v>
      </c>
      <c r="J12" s="961" t="str">
        <f ca="1">IF($Q12=0,"0",'1 Setup'!$I$60)</f>
        <v>0</v>
      </c>
      <c r="K12" s="961" t="str">
        <f ca="1">IF(Q12=0,"0",TEXT(OFFSET('5  Control Accounts'!$FX$33,R12,0),"##0.00"))</f>
        <v>0</v>
      </c>
      <c r="L12" s="961" t="str">
        <f ca="1">IF(Q12=0,"0",TEXT(OFFSET('5  Control Accounts'!$FY$33,R12,0),"##0.00"))</f>
        <v>0</v>
      </c>
      <c r="M12" s="1405" t="str">
        <f t="shared" ca="1" si="1"/>
        <v>0</v>
      </c>
      <c r="N12" s="1326" t="s">
        <v>1868</v>
      </c>
      <c r="O12" s="1356"/>
      <c r="Q12" s="537">
        <f ca="1">$P$2*OFFSET('5  Control Accounts'!$CP$33,R12,0)</f>
        <v>0</v>
      </c>
      <c r="R12" s="537">
        <v>6</v>
      </c>
      <c r="T12" s="1930">
        <f t="shared" ca="1" si="2"/>
        <v>0</v>
      </c>
      <c r="U12" s="1930">
        <f t="shared" ca="1" si="3"/>
        <v>0</v>
      </c>
    </row>
    <row r="13" spans="1:21" s="750" customFormat="1" ht="15.9" customHeight="1" x14ac:dyDescent="0.3">
      <c r="A13" s="961" t="str">
        <f ca="1">IF(Q13=0,"0",OFFSET('5  Control Accounts'!$BF$33,R13,0)&amp;"."&amp;OFFSET('5  Control Accounts'!$BH$33,R13,0))</f>
        <v>0</v>
      </c>
      <c r="B13" s="961" t="str">
        <f t="shared" ca="1" si="0"/>
        <v>0</v>
      </c>
      <c r="C13" s="961" t="str">
        <f ca="1">IF(Q13=0,"0",TEXT(OFFSET('5  Control Accounts'!$BK$33,R13,0),"General"))</f>
        <v>0</v>
      </c>
      <c r="D13" s="961" t="str">
        <f ca="1">IF(Q13=0,"0",TEXT(OFFSET('5  Control Accounts'!$FB$33,R13,0),"General"))</f>
        <v>0</v>
      </c>
      <c r="E13" s="1405" t="str">
        <f t="shared" ca="1" si="6"/>
        <v>0</v>
      </c>
      <c r="F13" s="1405" t="str">
        <f t="shared" ca="1" si="7"/>
        <v>0</v>
      </c>
      <c r="G13" s="1405" t="str">
        <f t="shared" ca="1" si="8"/>
        <v>0</v>
      </c>
      <c r="H13" s="961" t="str">
        <f ca="1">IF(Q13=0,"0",TEXT(OFFSET('5  Control Accounts'!$FG$33,R13,0),"##0.0"))</f>
        <v>0</v>
      </c>
      <c r="I13" s="961" t="str">
        <f ca="1">IF(Q13=0,"0",TEXT(OFFSET('5  Control Accounts'!$FH$33,R13,0),"##0.0"))</f>
        <v>0</v>
      </c>
      <c r="J13" s="961" t="str">
        <f ca="1">IF($Q13=0,"0",'1 Setup'!$I$60)</f>
        <v>0</v>
      </c>
      <c r="K13" s="961" t="str">
        <f ca="1">IF(Q13=0,"0",TEXT(OFFSET('5  Control Accounts'!$FX$33,R13,0),"##0.00"))</f>
        <v>0</v>
      </c>
      <c r="L13" s="961" t="str">
        <f ca="1">IF(Q13=0,"0",TEXT(OFFSET('5  Control Accounts'!$FY$33,R13,0),"##0.00"))</f>
        <v>0</v>
      </c>
      <c r="M13" s="1405" t="str">
        <f t="shared" ca="1" si="1"/>
        <v>0</v>
      </c>
      <c r="N13" s="1326" t="s">
        <v>1869</v>
      </c>
      <c r="O13" s="1356"/>
      <c r="Q13" s="537">
        <f ca="1">$P$2*OFFSET('5  Control Accounts'!$CP$33,R13,0)</f>
        <v>0</v>
      </c>
      <c r="R13" s="537">
        <v>7</v>
      </c>
      <c r="T13" s="1930">
        <f t="shared" ca="1" si="2"/>
        <v>0</v>
      </c>
      <c r="U13" s="1930">
        <f t="shared" ca="1" si="3"/>
        <v>0</v>
      </c>
    </row>
    <row r="14" spans="1:21" s="750" customFormat="1" ht="15.9" customHeight="1" x14ac:dyDescent="0.3">
      <c r="A14" s="961" t="str">
        <f ca="1">IF(Q14=0,"0",OFFSET('5  Control Accounts'!$BF$33,R14,0)&amp;"."&amp;OFFSET('5  Control Accounts'!$BH$33,R14,0))</f>
        <v>0</v>
      </c>
      <c r="B14" s="961" t="str">
        <f t="shared" ca="1" si="0"/>
        <v>0</v>
      </c>
      <c r="C14" s="961" t="str">
        <f ca="1">IF(Q14=0,"0",TEXT(OFFSET('5  Control Accounts'!$BK$33,R14,0),"General"))</f>
        <v>0</v>
      </c>
      <c r="D14" s="961" t="str">
        <f ca="1">IF(Q14=0,"0",TEXT(OFFSET('5  Control Accounts'!$FB$33,R14,0),"General"))</f>
        <v>0</v>
      </c>
      <c r="E14" s="1405" t="str">
        <f t="shared" ca="1" si="6"/>
        <v>0</v>
      </c>
      <c r="F14" s="1405" t="str">
        <f t="shared" ca="1" si="7"/>
        <v>0</v>
      </c>
      <c r="G14" s="1405" t="str">
        <f t="shared" ca="1" si="8"/>
        <v>0</v>
      </c>
      <c r="H14" s="961" t="str">
        <f ca="1">IF(Q14=0,"0",TEXT(OFFSET('5  Control Accounts'!$FG$33,R14,0),"##0.0"))</f>
        <v>0</v>
      </c>
      <c r="I14" s="961" t="str">
        <f ca="1">IF(Q14=0,"0",TEXT(OFFSET('5  Control Accounts'!$FH$33,R14,0),"##0.0"))</f>
        <v>0</v>
      </c>
      <c r="J14" s="961" t="str">
        <f ca="1">IF($Q14=0,"0",'1 Setup'!$I$60)</f>
        <v>0</v>
      </c>
      <c r="K14" s="961" t="str">
        <f ca="1">IF(Q14=0,"0",TEXT(OFFSET('5  Control Accounts'!$FX$33,R14,0),"##0.00"))</f>
        <v>0</v>
      </c>
      <c r="L14" s="961" t="str">
        <f ca="1">IF(Q14=0,"0",TEXT(OFFSET('5  Control Accounts'!$FY$33,R14,0),"##0.00"))</f>
        <v>0</v>
      </c>
      <c r="M14" s="1405" t="str">
        <f t="shared" ca="1" si="1"/>
        <v>0</v>
      </c>
      <c r="N14" s="1326" t="s">
        <v>1870</v>
      </c>
      <c r="O14" s="1356"/>
      <c r="Q14" s="537">
        <f ca="1">$P$2*OFFSET('5  Control Accounts'!$CP$33,R14,0)</f>
        <v>0</v>
      </c>
      <c r="R14" s="537">
        <v>8</v>
      </c>
      <c r="T14" s="1930">
        <f t="shared" ca="1" si="2"/>
        <v>0</v>
      </c>
      <c r="U14" s="1930">
        <f t="shared" ca="1" si="3"/>
        <v>0</v>
      </c>
    </row>
    <row r="15" spans="1:21" s="750" customFormat="1" ht="15.9" customHeight="1" x14ac:dyDescent="0.3">
      <c r="A15" s="961" t="str">
        <f ca="1">IF(Q15=0,"0",OFFSET('5  Control Accounts'!$BF$33,R15,0)&amp;"."&amp;OFFSET('5  Control Accounts'!$BH$33,R15,0))</f>
        <v>0</v>
      </c>
      <c r="B15" s="961" t="str">
        <f t="shared" ca="1" si="0"/>
        <v>0</v>
      </c>
      <c r="C15" s="961" t="str">
        <f ca="1">IF(Q15=0,"0",TEXT(OFFSET('5  Control Accounts'!$BK$33,R15,0),"General"))</f>
        <v>0</v>
      </c>
      <c r="D15" s="961" t="str">
        <f ca="1">IF(Q15=0,"0",TEXT(OFFSET('5  Control Accounts'!$FB$33,R15,0),"General"))</f>
        <v>0</v>
      </c>
      <c r="E15" s="1405" t="str">
        <f t="shared" ca="1" si="6"/>
        <v>0</v>
      </c>
      <c r="F15" s="1405" t="str">
        <f t="shared" ca="1" si="7"/>
        <v>0</v>
      </c>
      <c r="G15" s="1405" t="str">
        <f t="shared" ca="1" si="8"/>
        <v>0</v>
      </c>
      <c r="H15" s="961" t="str">
        <f ca="1">IF(Q15=0,"0",TEXT(OFFSET('5  Control Accounts'!$FG$33,R15,0),"##0.0"))</f>
        <v>0</v>
      </c>
      <c r="I15" s="961" t="str">
        <f ca="1">IF(Q15=0,"0",TEXT(OFFSET('5  Control Accounts'!$FH$33,R15,0),"##0.0"))</f>
        <v>0</v>
      </c>
      <c r="J15" s="961" t="str">
        <f ca="1">IF($Q15=0,"0",'1 Setup'!$I$60)</f>
        <v>0</v>
      </c>
      <c r="K15" s="961" t="str">
        <f ca="1">IF(Q15=0,"0",TEXT(OFFSET('5  Control Accounts'!$FX$33,R15,0),"##0.00"))</f>
        <v>0</v>
      </c>
      <c r="L15" s="961" t="str">
        <f ca="1">IF(Q15=0,"0",TEXT(OFFSET('5  Control Accounts'!$FY$33,R15,0),"##0.00"))</f>
        <v>0</v>
      </c>
      <c r="M15" s="1405" t="str">
        <f t="shared" ca="1" si="1"/>
        <v>0</v>
      </c>
      <c r="N15" s="1326" t="s">
        <v>1871</v>
      </c>
      <c r="O15" s="1356"/>
      <c r="Q15" s="537">
        <f ca="1">$P$2*OFFSET('5  Control Accounts'!$CP$33,R15,0)</f>
        <v>0</v>
      </c>
      <c r="R15" s="537">
        <v>9</v>
      </c>
      <c r="T15" s="1930">
        <f t="shared" ca="1" si="2"/>
        <v>0</v>
      </c>
      <c r="U15" s="1930">
        <f t="shared" ca="1" si="3"/>
        <v>0</v>
      </c>
    </row>
    <row r="16" spans="1:21" s="750" customFormat="1" ht="15.9" customHeight="1" x14ac:dyDescent="0.3">
      <c r="A16" s="961" t="str">
        <f ca="1">IF(Q16=0,"0",OFFSET('5  Control Accounts'!$BF$33,R16,0)&amp;"."&amp;OFFSET('5  Control Accounts'!$BH$33,R16,0))</f>
        <v>0</v>
      </c>
      <c r="B16" s="961" t="str">
        <f t="shared" ca="1" si="0"/>
        <v>0</v>
      </c>
      <c r="C16" s="961" t="str">
        <f ca="1">IF(Q16=0,"0",TEXT(OFFSET('5  Control Accounts'!$BK$33,R16,0),"General"))</f>
        <v>0</v>
      </c>
      <c r="D16" s="961" t="str">
        <f ca="1">IF(Q16=0,"0",TEXT(OFFSET('5  Control Accounts'!$FB$33,R16,0),"General"))</f>
        <v>0</v>
      </c>
      <c r="E16" s="1405" t="str">
        <f t="shared" ca="1" si="6"/>
        <v>0</v>
      </c>
      <c r="F16" s="1405" t="str">
        <f t="shared" ca="1" si="7"/>
        <v>0</v>
      </c>
      <c r="G16" s="1405" t="str">
        <f t="shared" ca="1" si="8"/>
        <v>0</v>
      </c>
      <c r="H16" s="961" t="str">
        <f ca="1">IF(Q16=0,"0",TEXT(OFFSET('5  Control Accounts'!$FG$33,R16,0),"##0.0"))</f>
        <v>0</v>
      </c>
      <c r="I16" s="961" t="str">
        <f ca="1">IF(Q16=0,"0",TEXT(OFFSET('5  Control Accounts'!$FH$33,R16,0),"##0.0"))</f>
        <v>0</v>
      </c>
      <c r="J16" s="961" t="str">
        <f ca="1">IF($Q16=0,"0",'1 Setup'!$I$60)</f>
        <v>0</v>
      </c>
      <c r="K16" s="961" t="str">
        <f ca="1">IF(Q16=0,"0",TEXT(OFFSET('5  Control Accounts'!$FX$33,R16,0),"##0.00"))</f>
        <v>0</v>
      </c>
      <c r="L16" s="961" t="str">
        <f ca="1">IF(Q16=0,"0",TEXT(OFFSET('5  Control Accounts'!$FY$33,R16,0),"##0.00"))</f>
        <v>0</v>
      </c>
      <c r="M16" s="1405" t="str">
        <f t="shared" ca="1" si="1"/>
        <v>0</v>
      </c>
      <c r="N16" s="1326" t="s">
        <v>1872</v>
      </c>
      <c r="O16" s="1356"/>
      <c r="Q16" s="537">
        <f ca="1">$P$2*OFFSET('5  Control Accounts'!$CP$33,R16,0)</f>
        <v>0</v>
      </c>
      <c r="R16" s="537">
        <v>10</v>
      </c>
      <c r="T16" s="1930">
        <f t="shared" ca="1" si="2"/>
        <v>0</v>
      </c>
      <c r="U16" s="1930">
        <f t="shared" ca="1" si="3"/>
        <v>0</v>
      </c>
    </row>
    <row r="17" spans="1:21" s="750" customFormat="1" ht="15.9" customHeight="1" x14ac:dyDescent="0.3">
      <c r="A17" s="961" t="str">
        <f ca="1">IF(Q17=0,"0",OFFSET('5  Control Accounts'!$BF$33,R17,0)&amp;"."&amp;OFFSET('5  Control Accounts'!$BH$33,R17,0))</f>
        <v>0</v>
      </c>
      <c r="B17" s="961" t="str">
        <f t="shared" ca="1" si="0"/>
        <v>0</v>
      </c>
      <c r="C17" s="961" t="str">
        <f ca="1">IF(Q17=0,"0",TEXT(OFFSET('5  Control Accounts'!$BK$33,R17,0),"General"))</f>
        <v>0</v>
      </c>
      <c r="D17" s="961" t="str">
        <f ca="1">IF(Q17=0,"0",TEXT(OFFSET('5  Control Accounts'!$FB$33,R17,0),"General"))</f>
        <v>0</v>
      </c>
      <c r="E17" s="1405" t="str">
        <f t="shared" ca="1" si="6"/>
        <v>0</v>
      </c>
      <c r="F17" s="1405" t="str">
        <f t="shared" ca="1" si="7"/>
        <v>0</v>
      </c>
      <c r="G17" s="1405" t="str">
        <f t="shared" ca="1" si="8"/>
        <v>0</v>
      </c>
      <c r="H17" s="961" t="str">
        <f ca="1">IF(Q17=0,"0",TEXT(OFFSET('5  Control Accounts'!$FG$33,R17,0),"##0.0"))</f>
        <v>0</v>
      </c>
      <c r="I17" s="961" t="str">
        <f ca="1">IF(Q17=0,"0",TEXT(OFFSET('5  Control Accounts'!$FH$33,R17,0),"##0.0"))</f>
        <v>0</v>
      </c>
      <c r="J17" s="961" t="str">
        <f ca="1">IF($Q17=0,"0",'1 Setup'!$I$60)</f>
        <v>0</v>
      </c>
      <c r="K17" s="961" t="str">
        <f ca="1">IF(Q17=0,"0",TEXT(OFFSET('5  Control Accounts'!$FX$33,R17,0),"##0.00"))</f>
        <v>0</v>
      </c>
      <c r="L17" s="961" t="str">
        <f ca="1">IF(Q17=0,"0",TEXT(OFFSET('5  Control Accounts'!$FY$33,R17,0),"##0.00"))</f>
        <v>0</v>
      </c>
      <c r="M17" s="1405" t="str">
        <f t="shared" ca="1" si="1"/>
        <v>0</v>
      </c>
      <c r="N17" s="1326" t="s">
        <v>1873</v>
      </c>
      <c r="O17" s="1356"/>
      <c r="Q17" s="537">
        <f ca="1">$P$2*OFFSET('5  Control Accounts'!$CP$33,R17,0)</f>
        <v>0</v>
      </c>
      <c r="R17" s="537">
        <v>11</v>
      </c>
      <c r="T17" s="1930">
        <f t="shared" ca="1" si="2"/>
        <v>0</v>
      </c>
      <c r="U17" s="1930">
        <f t="shared" ca="1" si="3"/>
        <v>0</v>
      </c>
    </row>
    <row r="18" spans="1:21" s="750" customFormat="1" ht="15.9" customHeight="1" x14ac:dyDescent="0.3">
      <c r="A18" s="961" t="str">
        <f ca="1">IF(Q18=0,"0",OFFSET('5  Control Accounts'!$BF$33,R18,0)&amp;"."&amp;OFFSET('5  Control Accounts'!$BH$33,R18,0))</f>
        <v>0</v>
      </c>
      <c r="B18" s="961" t="str">
        <f t="shared" ca="1" si="0"/>
        <v>0</v>
      </c>
      <c r="C18" s="961" t="str">
        <f ca="1">IF(Q18=0,"0",TEXT(OFFSET('5  Control Accounts'!$BK$33,R18,0),"General"))</f>
        <v>0</v>
      </c>
      <c r="D18" s="961" t="str">
        <f ca="1">IF(Q18=0,"0",TEXT(OFFSET('5  Control Accounts'!$FB$33,R18,0),"General"))</f>
        <v>0</v>
      </c>
      <c r="E18" s="1405" t="str">
        <f t="shared" ca="1" si="6"/>
        <v>0</v>
      </c>
      <c r="F18" s="1405" t="str">
        <f t="shared" ca="1" si="7"/>
        <v>0</v>
      </c>
      <c r="G18" s="1405" t="str">
        <f t="shared" ca="1" si="8"/>
        <v>0</v>
      </c>
      <c r="H18" s="961" t="str">
        <f ca="1">IF(Q18=0,"0",TEXT(OFFSET('5  Control Accounts'!$FG$33,R18,0),"##0.0"))</f>
        <v>0</v>
      </c>
      <c r="I18" s="961" t="str">
        <f ca="1">IF(Q18=0,"0",TEXT(OFFSET('5  Control Accounts'!$FH$33,R18,0),"##0.0"))</f>
        <v>0</v>
      </c>
      <c r="J18" s="961" t="str">
        <f ca="1">IF($Q18=0,"0",'1 Setup'!$I$60)</f>
        <v>0</v>
      </c>
      <c r="K18" s="961" t="str">
        <f ca="1">IF(Q18=0,"0",TEXT(OFFSET('5  Control Accounts'!$FX$33,R18,0),"##0.00"))</f>
        <v>0</v>
      </c>
      <c r="L18" s="961" t="str">
        <f ca="1">IF(Q18=0,"0",TEXT(OFFSET('5  Control Accounts'!$FY$33,R18,0),"##0.00"))</f>
        <v>0</v>
      </c>
      <c r="M18" s="1405" t="str">
        <f t="shared" ca="1" si="1"/>
        <v>0</v>
      </c>
      <c r="N18" s="1326" t="s">
        <v>1874</v>
      </c>
      <c r="O18" s="1356"/>
      <c r="Q18" s="537">
        <f ca="1">$P$2*OFFSET('5  Control Accounts'!$CP$33,R18,0)</f>
        <v>0</v>
      </c>
      <c r="R18" s="537">
        <v>12</v>
      </c>
      <c r="T18" s="1930">
        <f t="shared" ca="1" si="2"/>
        <v>0</v>
      </c>
      <c r="U18" s="1930">
        <f t="shared" ca="1" si="3"/>
        <v>0</v>
      </c>
    </row>
    <row r="19" spans="1:21" s="750" customFormat="1" ht="15.9" customHeight="1" x14ac:dyDescent="0.3">
      <c r="A19" s="961" t="str">
        <f ca="1">IF(Q19=0,"0",OFFSET('5  Control Accounts'!$BF$33,R19,0)&amp;"."&amp;OFFSET('5  Control Accounts'!$BH$33,R19,0))</f>
        <v>0</v>
      </c>
      <c r="B19" s="961" t="str">
        <f t="shared" ca="1" si="0"/>
        <v>0</v>
      </c>
      <c r="C19" s="961" t="str">
        <f ca="1">IF(Q19=0,"0",TEXT(OFFSET('5  Control Accounts'!$BK$33,R19,0),"General"))</f>
        <v>0</v>
      </c>
      <c r="D19" s="961" t="str">
        <f ca="1">IF(Q19=0,"0",TEXT(OFFSET('5  Control Accounts'!$FB$33,R19,0),"General"))</f>
        <v>0</v>
      </c>
      <c r="E19" s="1405" t="str">
        <f t="shared" ca="1" si="6"/>
        <v>0</v>
      </c>
      <c r="F19" s="1405" t="str">
        <f t="shared" ca="1" si="7"/>
        <v>0</v>
      </c>
      <c r="G19" s="1405" t="str">
        <f t="shared" ca="1" si="8"/>
        <v>0</v>
      </c>
      <c r="H19" s="961" t="str">
        <f ca="1">IF(Q19=0,"0",TEXT(OFFSET('5  Control Accounts'!$FG$33,R19,0),"##0.0"))</f>
        <v>0</v>
      </c>
      <c r="I19" s="961" t="str">
        <f ca="1">IF(Q19=0,"0",TEXT(OFFSET('5  Control Accounts'!$FH$33,R19,0),"##0.0"))</f>
        <v>0</v>
      </c>
      <c r="J19" s="961" t="str">
        <f ca="1">IF($Q19=0,"0",'1 Setup'!$I$60)</f>
        <v>0</v>
      </c>
      <c r="K19" s="961" t="str">
        <f ca="1">IF(Q19=0,"0",TEXT(OFFSET('5  Control Accounts'!$FX$33,R19,0),"##0.00"))</f>
        <v>0</v>
      </c>
      <c r="L19" s="961" t="str">
        <f ca="1">IF(Q19=0,"0",TEXT(OFFSET('5  Control Accounts'!$FY$33,R19,0),"##0.00"))</f>
        <v>0</v>
      </c>
      <c r="M19" s="1405" t="str">
        <f t="shared" ca="1" si="1"/>
        <v>0</v>
      </c>
      <c r="N19" s="1326" t="s">
        <v>1875</v>
      </c>
      <c r="O19" s="1356"/>
      <c r="Q19" s="537">
        <f ca="1">$P$2*OFFSET('5  Control Accounts'!$CP$33,R19,0)</f>
        <v>0</v>
      </c>
      <c r="R19" s="537">
        <v>13</v>
      </c>
      <c r="T19" s="1930">
        <f t="shared" ca="1" si="2"/>
        <v>0</v>
      </c>
      <c r="U19" s="1930">
        <f t="shared" ca="1" si="3"/>
        <v>0</v>
      </c>
    </row>
    <row r="20" spans="1:21" s="750" customFormat="1" ht="15.9" customHeight="1" x14ac:dyDescent="0.3">
      <c r="A20" s="961" t="str">
        <f ca="1">IF(Q20=0,"0",OFFSET('5  Control Accounts'!$BF$33,R20,0)&amp;"."&amp;OFFSET('5  Control Accounts'!$BH$33,R20,0))</f>
        <v>0</v>
      </c>
      <c r="B20" s="961" t="str">
        <f t="shared" ca="1" si="0"/>
        <v>0</v>
      </c>
      <c r="C20" s="961" t="str">
        <f ca="1">IF(Q20=0,"0",TEXT(OFFSET('5  Control Accounts'!$BK$33,R20,0),"General"))</f>
        <v>0</v>
      </c>
      <c r="D20" s="961" t="str">
        <f ca="1">IF(Q20=0,"0",TEXT(OFFSET('5  Control Accounts'!$FB$33,R20,0),"General"))</f>
        <v>0</v>
      </c>
      <c r="E20" s="1405" t="str">
        <f t="shared" ca="1" si="6"/>
        <v>0</v>
      </c>
      <c r="F20" s="1405" t="str">
        <f t="shared" ca="1" si="7"/>
        <v>0</v>
      </c>
      <c r="G20" s="1405" t="str">
        <f t="shared" ca="1" si="8"/>
        <v>0</v>
      </c>
      <c r="H20" s="961" t="str">
        <f ca="1">IF(Q20=0,"0",TEXT(OFFSET('5  Control Accounts'!$FG$33,R20,0),"##0.0"))</f>
        <v>0</v>
      </c>
      <c r="I20" s="961" t="str">
        <f ca="1">IF(Q20=0,"0",TEXT(OFFSET('5  Control Accounts'!$FH$33,R20,0),"##0.0"))</f>
        <v>0</v>
      </c>
      <c r="J20" s="961" t="str">
        <f ca="1">IF($Q20=0,"0",'1 Setup'!$I$60)</f>
        <v>0</v>
      </c>
      <c r="K20" s="961" t="str">
        <f ca="1">IF(Q20=0,"0",TEXT(OFFSET('5  Control Accounts'!$FX$33,R20,0),"##0.00"))</f>
        <v>0</v>
      </c>
      <c r="L20" s="961" t="str">
        <f ca="1">IF(Q20=0,"0",TEXT(OFFSET('5  Control Accounts'!$FY$33,R20,0),"##0.00"))</f>
        <v>0</v>
      </c>
      <c r="M20" s="1405" t="str">
        <f t="shared" ca="1" si="1"/>
        <v>0</v>
      </c>
      <c r="N20" s="1326" t="s">
        <v>1876</v>
      </c>
      <c r="O20" s="1356"/>
      <c r="Q20" s="537">
        <f ca="1">$P$2*OFFSET('5  Control Accounts'!$CP$33,R20,0)</f>
        <v>0</v>
      </c>
      <c r="R20" s="537">
        <v>14</v>
      </c>
      <c r="T20" s="1930">
        <f t="shared" ca="1" si="2"/>
        <v>0</v>
      </c>
      <c r="U20" s="1930">
        <f t="shared" ca="1" si="3"/>
        <v>0</v>
      </c>
    </row>
    <row r="21" spans="1:21" s="750" customFormat="1" ht="15.9" customHeight="1" x14ac:dyDescent="0.3">
      <c r="A21" s="961" t="str">
        <f ca="1">IF(Q21=0,"0",OFFSET('5  Control Accounts'!$BF$33,R21,0)&amp;"."&amp;OFFSET('5  Control Accounts'!$BH$33,R21,0))</f>
        <v>0</v>
      </c>
      <c r="B21" s="961" t="str">
        <f t="shared" ca="1" si="0"/>
        <v>0</v>
      </c>
      <c r="C21" s="961" t="str">
        <f ca="1">IF(Q21=0,"0",TEXT(OFFSET('5  Control Accounts'!$BK$33,R21,0),"General"))</f>
        <v>0</v>
      </c>
      <c r="D21" s="961" t="str">
        <f ca="1">IF(Q21=0,"0",TEXT(OFFSET('5  Control Accounts'!$FB$33,R21,0),"General"))</f>
        <v>0</v>
      </c>
      <c r="E21" s="1405" t="str">
        <f t="shared" ca="1" si="6"/>
        <v>0</v>
      </c>
      <c r="F21" s="1405" t="str">
        <f t="shared" ca="1" si="7"/>
        <v>0</v>
      </c>
      <c r="G21" s="1405" t="str">
        <f t="shared" ca="1" si="8"/>
        <v>0</v>
      </c>
      <c r="H21" s="961" t="str">
        <f ca="1">IF(Q21=0,"0",TEXT(OFFSET('5  Control Accounts'!$FG$33,R21,0),"##0.0"))</f>
        <v>0</v>
      </c>
      <c r="I21" s="961" t="str">
        <f ca="1">IF(Q21=0,"0",TEXT(OFFSET('5  Control Accounts'!$FH$33,R21,0),"##0.0"))</f>
        <v>0</v>
      </c>
      <c r="J21" s="961" t="str">
        <f ca="1">IF($Q21=0,"0",'1 Setup'!$I$60)</f>
        <v>0</v>
      </c>
      <c r="K21" s="961" t="str">
        <f ca="1">IF(Q21=0,"0",TEXT(OFFSET('5  Control Accounts'!$FX$33,R21,0),"##0.00"))</f>
        <v>0</v>
      </c>
      <c r="L21" s="961" t="str">
        <f ca="1">IF(Q21=0,"0",TEXT(OFFSET('5  Control Accounts'!$FY$33,R21,0),"##0.00"))</f>
        <v>0</v>
      </c>
      <c r="M21" s="1405" t="str">
        <f t="shared" ca="1" si="1"/>
        <v>0</v>
      </c>
      <c r="N21" s="1326" t="s">
        <v>1877</v>
      </c>
      <c r="O21" s="1356"/>
      <c r="Q21" s="537">
        <f ca="1">$P$2*OFFSET('5  Control Accounts'!$CP$33,R21,0)</f>
        <v>0</v>
      </c>
      <c r="R21" s="537">
        <v>15</v>
      </c>
      <c r="T21" s="1930">
        <f t="shared" ca="1" si="2"/>
        <v>0</v>
      </c>
      <c r="U21" s="1930">
        <f t="shared" ca="1" si="3"/>
        <v>0</v>
      </c>
    </row>
    <row r="22" spans="1:21" s="750" customFormat="1" ht="15.9" customHeight="1" x14ac:dyDescent="0.3">
      <c r="A22" s="961" t="str">
        <f ca="1">IF(Q22=0,"0",OFFSET('5  Control Accounts'!$BF$33,R22,0)&amp;"."&amp;OFFSET('5  Control Accounts'!$BH$33,R22,0))</f>
        <v>0</v>
      </c>
      <c r="B22" s="961" t="str">
        <f t="shared" ca="1" si="0"/>
        <v>0</v>
      </c>
      <c r="C22" s="961" t="str">
        <f ca="1">IF(Q22=0,"0",TEXT(OFFSET('5  Control Accounts'!$BK$33,R22,0),"General"))</f>
        <v>0</v>
      </c>
      <c r="D22" s="961" t="str">
        <f ca="1">IF(Q22=0,"0",TEXT(OFFSET('5  Control Accounts'!$FB$33,R22,0),"General"))</f>
        <v>0</v>
      </c>
      <c r="E22" s="1405" t="str">
        <f t="shared" ca="1" si="6"/>
        <v>0</v>
      </c>
      <c r="F22" s="1405" t="str">
        <f t="shared" ca="1" si="7"/>
        <v>0</v>
      </c>
      <c r="G22" s="1405" t="str">
        <f t="shared" ca="1" si="8"/>
        <v>0</v>
      </c>
      <c r="H22" s="961" t="str">
        <f ca="1">IF(Q22=0,"0",TEXT(OFFSET('5  Control Accounts'!$FG$33,R22,0),"##0.0"))</f>
        <v>0</v>
      </c>
      <c r="I22" s="961" t="str">
        <f ca="1">IF(Q22=0,"0",TEXT(OFFSET('5  Control Accounts'!$FH$33,R22,0),"##0.0"))</f>
        <v>0</v>
      </c>
      <c r="J22" s="961" t="str">
        <f ca="1">IF($Q22=0,"0",'1 Setup'!$I$60)</f>
        <v>0</v>
      </c>
      <c r="K22" s="961" t="str">
        <f ca="1">IF(Q22=0,"0",TEXT(OFFSET('5  Control Accounts'!$FX$33,R22,0),"##0.00"))</f>
        <v>0</v>
      </c>
      <c r="L22" s="961" t="str">
        <f ca="1">IF(Q22=0,"0",TEXT(OFFSET('5  Control Accounts'!$FY$33,R22,0),"##0.00"))</f>
        <v>0</v>
      </c>
      <c r="M22" s="1405" t="str">
        <f t="shared" ca="1" si="1"/>
        <v>0</v>
      </c>
      <c r="N22" s="1326" t="s">
        <v>1878</v>
      </c>
      <c r="O22" s="1356"/>
      <c r="Q22" s="537">
        <f ca="1">$P$2*OFFSET('5  Control Accounts'!$CP$33,R22,0)</f>
        <v>0</v>
      </c>
      <c r="R22" s="537">
        <v>16</v>
      </c>
      <c r="T22" s="1930">
        <f t="shared" ca="1" si="2"/>
        <v>0</v>
      </c>
      <c r="U22" s="1930">
        <f t="shared" ca="1" si="3"/>
        <v>0</v>
      </c>
    </row>
    <row r="23" spans="1:21" s="750" customFormat="1" ht="15.9" customHeight="1" x14ac:dyDescent="0.3">
      <c r="A23" s="961" t="str">
        <f ca="1">IF(Q23=0,"0",OFFSET('5  Control Accounts'!$BF$33,R23,0)&amp;"."&amp;OFFSET('5  Control Accounts'!$BH$33,R23,0))</f>
        <v>0</v>
      </c>
      <c r="B23" s="961" t="str">
        <f t="shared" ca="1" si="0"/>
        <v>0</v>
      </c>
      <c r="C23" s="961" t="str">
        <f ca="1">IF(Q23=0,"0",TEXT(OFFSET('5  Control Accounts'!$BK$33,R23,0),"General"))</f>
        <v>0</v>
      </c>
      <c r="D23" s="961" t="str">
        <f ca="1">IF(Q23=0,"0",TEXT(OFFSET('5  Control Accounts'!$FB$33,R23,0),"General"))</f>
        <v>0</v>
      </c>
      <c r="E23" s="1405" t="str">
        <f t="shared" ca="1" si="6"/>
        <v>0</v>
      </c>
      <c r="F23" s="1405" t="str">
        <f t="shared" ca="1" si="7"/>
        <v>0</v>
      </c>
      <c r="G23" s="1405" t="str">
        <f t="shared" ca="1" si="8"/>
        <v>0</v>
      </c>
      <c r="H23" s="961" t="str">
        <f ca="1">IF(Q23=0,"0",TEXT(OFFSET('5  Control Accounts'!$FG$33,R23,0),"##0.0"))</f>
        <v>0</v>
      </c>
      <c r="I23" s="961" t="str">
        <f ca="1">IF(Q23=0,"0",TEXT(OFFSET('5  Control Accounts'!$FH$33,R23,0),"##0.0"))</f>
        <v>0</v>
      </c>
      <c r="J23" s="961" t="str">
        <f ca="1">IF($Q23=0,"0",'1 Setup'!$I$60)</f>
        <v>0</v>
      </c>
      <c r="K23" s="961" t="str">
        <f ca="1">IF(Q23=0,"0",TEXT(OFFSET('5  Control Accounts'!$FX$33,R23,0),"##0.00"))</f>
        <v>0</v>
      </c>
      <c r="L23" s="961" t="str">
        <f ca="1">IF(Q23=0,"0",TEXT(OFFSET('5  Control Accounts'!$FY$33,R23,0),"##0.00"))</f>
        <v>0</v>
      </c>
      <c r="M23" s="1405" t="str">
        <f t="shared" ca="1" si="1"/>
        <v>0</v>
      </c>
      <c r="N23" s="1326" t="s">
        <v>1879</v>
      </c>
      <c r="O23" s="1356"/>
      <c r="Q23" s="537">
        <f ca="1">$P$2*OFFSET('5  Control Accounts'!$CP$33,R23,0)</f>
        <v>0</v>
      </c>
      <c r="R23" s="537">
        <v>17</v>
      </c>
      <c r="T23" s="1930">
        <f t="shared" ca="1" si="2"/>
        <v>0</v>
      </c>
      <c r="U23" s="1930">
        <f t="shared" ca="1" si="3"/>
        <v>0</v>
      </c>
    </row>
    <row r="24" spans="1:21" s="750" customFormat="1" ht="15.9" customHeight="1" x14ac:dyDescent="0.3">
      <c r="A24" s="961" t="str">
        <f ca="1">IF(Q24=0,"0",OFFSET('5  Control Accounts'!$BF$33,R24,0)&amp;"."&amp;OFFSET('5  Control Accounts'!$BH$33,R24,0))</f>
        <v>0</v>
      </c>
      <c r="B24" s="961" t="str">
        <f t="shared" ca="1" si="0"/>
        <v>0</v>
      </c>
      <c r="C24" s="961" t="str">
        <f ca="1">IF(Q24=0,"0",TEXT(OFFSET('5  Control Accounts'!$BK$33,R24,0),"General"))</f>
        <v>0</v>
      </c>
      <c r="D24" s="961" t="str">
        <f ca="1">IF(Q24=0,"0",TEXT(OFFSET('5  Control Accounts'!$FB$33,R24,0),"General"))</f>
        <v>0</v>
      </c>
      <c r="E24" s="1405" t="str">
        <f t="shared" ca="1" si="6"/>
        <v>0</v>
      </c>
      <c r="F24" s="1405" t="str">
        <f t="shared" ca="1" si="7"/>
        <v>0</v>
      </c>
      <c r="G24" s="1405" t="str">
        <f t="shared" ca="1" si="8"/>
        <v>0</v>
      </c>
      <c r="H24" s="961" t="str">
        <f ca="1">IF(Q24=0,"0",TEXT(OFFSET('5  Control Accounts'!$FG$33,R24,0),"##0.0"))</f>
        <v>0</v>
      </c>
      <c r="I24" s="961" t="str">
        <f ca="1">IF(Q24=0,"0",TEXT(OFFSET('5  Control Accounts'!$FH$33,R24,0),"##0.0"))</f>
        <v>0</v>
      </c>
      <c r="J24" s="961" t="str">
        <f ca="1">IF($Q24=0,"0",'1 Setup'!$I$60)</f>
        <v>0</v>
      </c>
      <c r="K24" s="961" t="str">
        <f ca="1">IF(Q24=0,"0",TEXT(OFFSET('5  Control Accounts'!$FX$33,R24,0),"##0.00"))</f>
        <v>0</v>
      </c>
      <c r="L24" s="961" t="str">
        <f ca="1">IF(Q24=0,"0",TEXT(OFFSET('5  Control Accounts'!$FY$33,R24,0),"##0.00"))</f>
        <v>0</v>
      </c>
      <c r="M24" s="1405" t="str">
        <f t="shared" ca="1" si="1"/>
        <v>0</v>
      </c>
      <c r="N24" s="1326" t="s">
        <v>1880</v>
      </c>
      <c r="O24" s="1356"/>
      <c r="Q24" s="537">
        <f ca="1">$P$2*OFFSET('5  Control Accounts'!$CP$33,R24,0)</f>
        <v>0</v>
      </c>
      <c r="R24" s="537">
        <v>18</v>
      </c>
      <c r="T24" s="1930">
        <f t="shared" ca="1" si="2"/>
        <v>0</v>
      </c>
      <c r="U24" s="1930">
        <f t="shared" ca="1" si="3"/>
        <v>0</v>
      </c>
    </row>
    <row r="25" spans="1:21" s="750" customFormat="1" ht="15.9" customHeight="1" x14ac:dyDescent="0.3">
      <c r="A25" s="961" t="str">
        <f ca="1">IF(Q25=0,"0",OFFSET('5  Control Accounts'!$BF$33,R25,0)&amp;"."&amp;OFFSET('5  Control Accounts'!$BH$33,R25,0))</f>
        <v>0</v>
      </c>
      <c r="B25" s="961" t="str">
        <f t="shared" ca="1" si="0"/>
        <v>0</v>
      </c>
      <c r="C25" s="961" t="str">
        <f ca="1">IF(Q25=0,"0",TEXT(OFFSET('5  Control Accounts'!$BK$33,R25,0),"General"))</f>
        <v>0</v>
      </c>
      <c r="D25" s="961" t="str">
        <f ca="1">IF(Q25=0,"0",TEXT(OFFSET('5  Control Accounts'!$FB$33,R25,0),"General"))</f>
        <v>0</v>
      </c>
      <c r="E25" s="1405" t="str">
        <f t="shared" ca="1" si="6"/>
        <v>0</v>
      </c>
      <c r="F25" s="1405" t="str">
        <f t="shared" ca="1" si="7"/>
        <v>0</v>
      </c>
      <c r="G25" s="1405" t="str">
        <f t="shared" ca="1" si="8"/>
        <v>0</v>
      </c>
      <c r="H25" s="961" t="str">
        <f ca="1">IF(Q25=0,"0",TEXT(OFFSET('5  Control Accounts'!$FG$33,R25,0),"##0.0"))</f>
        <v>0</v>
      </c>
      <c r="I25" s="961" t="str">
        <f ca="1">IF(Q25=0,"0",TEXT(OFFSET('5  Control Accounts'!$FH$33,R25,0),"##0.0"))</f>
        <v>0</v>
      </c>
      <c r="J25" s="961" t="str">
        <f ca="1">IF($Q25=0,"0",'1 Setup'!$I$60)</f>
        <v>0</v>
      </c>
      <c r="K25" s="961" t="str">
        <f ca="1">IF(Q25=0,"0",TEXT(OFFSET('5  Control Accounts'!$FX$33,R25,0),"##0.00"))</f>
        <v>0</v>
      </c>
      <c r="L25" s="961" t="str">
        <f ca="1">IF(Q25=0,"0",TEXT(OFFSET('5  Control Accounts'!$FY$33,R25,0),"##0.00"))</f>
        <v>0</v>
      </c>
      <c r="M25" s="1405" t="str">
        <f t="shared" ca="1" si="1"/>
        <v>0</v>
      </c>
      <c r="N25" s="1326" t="s">
        <v>1881</v>
      </c>
      <c r="O25" s="1356"/>
      <c r="Q25" s="537">
        <f ca="1">$P$2*OFFSET('5  Control Accounts'!$CP$33,R25,0)</f>
        <v>0</v>
      </c>
      <c r="R25" s="537">
        <v>19</v>
      </c>
      <c r="T25" s="1930">
        <f t="shared" ca="1" si="2"/>
        <v>0</v>
      </c>
      <c r="U25" s="1930">
        <f t="shared" ca="1" si="3"/>
        <v>0</v>
      </c>
    </row>
    <row r="26" spans="1:21" s="750" customFormat="1" ht="15.9" customHeight="1" x14ac:dyDescent="0.3">
      <c r="A26" s="961" t="str">
        <f ca="1">IF(Q26=0,"0",OFFSET('5  Control Accounts'!$BF$33,R26,0)&amp;"."&amp;OFFSET('5  Control Accounts'!$BH$33,R26,0))</f>
        <v>0</v>
      </c>
      <c r="B26" s="961" t="str">
        <f t="shared" ca="1" si="0"/>
        <v>0</v>
      </c>
      <c r="C26" s="961" t="str">
        <f ca="1">IF(Q26=0,"0",TEXT(OFFSET('5  Control Accounts'!$BK$33,R26,0),"General"))</f>
        <v>0</v>
      </c>
      <c r="D26" s="961" t="str">
        <f ca="1">IF(Q26=0,"0",TEXT(OFFSET('5  Control Accounts'!$FB$33,R26,0),"General"))</f>
        <v>0</v>
      </c>
      <c r="E26" s="1405" t="str">
        <f t="shared" ca="1" si="6"/>
        <v>0</v>
      </c>
      <c r="F26" s="1405" t="str">
        <f t="shared" ca="1" si="7"/>
        <v>0</v>
      </c>
      <c r="G26" s="1405" t="str">
        <f t="shared" ca="1" si="8"/>
        <v>0</v>
      </c>
      <c r="H26" s="961" t="str">
        <f ca="1">IF(Q26=0,"0",TEXT(OFFSET('5  Control Accounts'!$FG$33,R26,0),"##0.0"))</f>
        <v>0</v>
      </c>
      <c r="I26" s="961" t="str">
        <f ca="1">IF(Q26=0,"0",TEXT(OFFSET('5  Control Accounts'!$FH$33,R26,0),"##0.0"))</f>
        <v>0</v>
      </c>
      <c r="J26" s="961" t="str">
        <f ca="1">IF($Q26=0,"0",'1 Setup'!$I$60)</f>
        <v>0</v>
      </c>
      <c r="K26" s="961" t="str">
        <f ca="1">IF(Q26=0,"0",TEXT(OFFSET('5  Control Accounts'!$FX$33,R26,0),"##0.00"))</f>
        <v>0</v>
      </c>
      <c r="L26" s="961" t="str">
        <f ca="1">IF(Q26=0,"0",TEXT(OFFSET('5  Control Accounts'!$FY$33,R26,0),"##0.00"))</f>
        <v>0</v>
      </c>
      <c r="M26" s="1405" t="str">
        <f t="shared" ca="1" si="1"/>
        <v>0</v>
      </c>
      <c r="N26" s="1326" t="s">
        <v>1882</v>
      </c>
      <c r="O26" s="1356"/>
      <c r="Q26" s="537">
        <f ca="1">$P$2*OFFSET('5  Control Accounts'!$CP$33,R26,0)</f>
        <v>0</v>
      </c>
      <c r="R26" s="537">
        <v>20</v>
      </c>
      <c r="T26" s="1930">
        <f t="shared" ca="1" si="2"/>
        <v>0</v>
      </c>
      <c r="U26" s="1930">
        <f t="shared" ca="1" si="3"/>
        <v>0</v>
      </c>
    </row>
    <row r="27" spans="1:21" s="750" customFormat="1" ht="15.9" customHeight="1" x14ac:dyDescent="0.3">
      <c r="A27" s="961" t="str">
        <f ca="1">IF(Q27=0,"0",OFFSET('5  Control Accounts'!$BF$33,R27,0)&amp;"."&amp;OFFSET('5  Control Accounts'!$BH$33,R27,0))</f>
        <v>0</v>
      </c>
      <c r="B27" s="961" t="str">
        <f t="shared" ca="1" si="0"/>
        <v>0</v>
      </c>
      <c r="C27" s="961" t="str">
        <f ca="1">IF(Q27=0,"0",TEXT(OFFSET('5  Control Accounts'!$BK$33,R27,0),"General"))</f>
        <v>0</v>
      </c>
      <c r="D27" s="961" t="str">
        <f ca="1">IF(Q27=0,"0",TEXT(OFFSET('5  Control Accounts'!$FB$33,R27,0),"General"))</f>
        <v>0</v>
      </c>
      <c r="E27" s="1405" t="str">
        <f t="shared" ca="1" si="6"/>
        <v>0</v>
      </c>
      <c r="F27" s="1405" t="str">
        <f t="shared" ca="1" si="7"/>
        <v>0</v>
      </c>
      <c r="G27" s="1405" t="str">
        <f t="shared" ca="1" si="8"/>
        <v>0</v>
      </c>
      <c r="H27" s="961" t="str">
        <f ca="1">IF(Q27=0,"0",TEXT(OFFSET('5  Control Accounts'!$FG$33,R27,0),"##0.0"))</f>
        <v>0</v>
      </c>
      <c r="I27" s="961" t="str">
        <f ca="1">IF(Q27=0,"0",TEXT(OFFSET('5  Control Accounts'!$FH$33,R27,0),"##0.0"))</f>
        <v>0</v>
      </c>
      <c r="J27" s="961" t="str">
        <f ca="1">IF($Q27=0,"0",'1 Setup'!$I$60)</f>
        <v>0</v>
      </c>
      <c r="K27" s="961" t="str">
        <f ca="1">IF(Q27=0,"0",TEXT(OFFSET('5  Control Accounts'!$FX$33,R27,0),"##0.00"))</f>
        <v>0</v>
      </c>
      <c r="L27" s="961" t="str">
        <f ca="1">IF(Q27=0,"0",TEXT(OFFSET('5  Control Accounts'!$FY$33,R27,0),"##0.00"))</f>
        <v>0</v>
      </c>
      <c r="M27" s="1405" t="str">
        <f t="shared" ca="1" si="1"/>
        <v>0</v>
      </c>
      <c r="N27" s="1326" t="s">
        <v>1883</v>
      </c>
      <c r="O27" s="1356"/>
      <c r="Q27" s="537">
        <f ca="1">$P$2*OFFSET('5  Control Accounts'!$CP$33,R27,0)</f>
        <v>0</v>
      </c>
      <c r="R27" s="537">
        <v>21</v>
      </c>
      <c r="T27" s="1930">
        <f t="shared" ca="1" si="2"/>
        <v>0</v>
      </c>
      <c r="U27" s="1930">
        <f t="shared" ca="1" si="3"/>
        <v>0</v>
      </c>
    </row>
    <row r="28" spans="1:21" s="750" customFormat="1" ht="15.9" customHeight="1" x14ac:dyDescent="0.3">
      <c r="A28" s="961" t="str">
        <f ca="1">IF(Q28=0,"0",OFFSET('5  Control Accounts'!$BF$33,R28,0)&amp;"."&amp;OFFSET('5  Control Accounts'!$BH$33,R28,0))</f>
        <v>0</v>
      </c>
      <c r="B28" s="961" t="str">
        <f t="shared" ca="1" si="0"/>
        <v>0</v>
      </c>
      <c r="C28" s="961" t="str">
        <f ca="1">IF(Q28=0,"0",TEXT(OFFSET('5  Control Accounts'!$BK$33,R28,0),"General"))</f>
        <v>0</v>
      </c>
      <c r="D28" s="961" t="str">
        <f ca="1">IF(Q28=0,"0",TEXT(OFFSET('5  Control Accounts'!$FB$33,R28,0),"General"))</f>
        <v>0</v>
      </c>
      <c r="E28" s="1405" t="str">
        <f t="shared" ca="1" si="6"/>
        <v>0</v>
      </c>
      <c r="F28" s="1405" t="str">
        <f t="shared" ca="1" si="7"/>
        <v>0</v>
      </c>
      <c r="G28" s="1405" t="str">
        <f t="shared" ca="1" si="8"/>
        <v>0</v>
      </c>
      <c r="H28" s="961" t="str">
        <f ca="1">IF(Q28=0,"0",TEXT(OFFSET('5  Control Accounts'!$FG$33,R28,0),"##0.0"))</f>
        <v>0</v>
      </c>
      <c r="I28" s="961" t="str">
        <f ca="1">IF(Q28=0,"0",TEXT(OFFSET('5  Control Accounts'!$FH$33,R28,0),"##0.0"))</f>
        <v>0</v>
      </c>
      <c r="J28" s="961" t="str">
        <f ca="1">IF($Q28=0,"0",'1 Setup'!$I$60)</f>
        <v>0</v>
      </c>
      <c r="K28" s="961" t="str">
        <f ca="1">IF(Q28=0,"0",TEXT(OFFSET('5  Control Accounts'!$FX$33,R28,0),"##0.00"))</f>
        <v>0</v>
      </c>
      <c r="L28" s="961" t="str">
        <f ca="1">IF(Q28=0,"0",TEXT(OFFSET('5  Control Accounts'!$FY$33,R28,0),"##0.00"))</f>
        <v>0</v>
      </c>
      <c r="M28" s="1405" t="str">
        <f t="shared" ca="1" si="1"/>
        <v>0</v>
      </c>
      <c r="N28" s="1326" t="s">
        <v>1884</v>
      </c>
      <c r="O28" s="1356"/>
      <c r="Q28" s="537">
        <f ca="1">$P$2*OFFSET('5  Control Accounts'!$CP$33,R28,0)</f>
        <v>0</v>
      </c>
      <c r="R28" s="537">
        <v>22</v>
      </c>
      <c r="T28" s="1930">
        <f t="shared" ca="1" si="2"/>
        <v>0</v>
      </c>
      <c r="U28" s="1930">
        <f t="shared" ca="1" si="3"/>
        <v>0</v>
      </c>
    </row>
    <row r="29" spans="1:21" s="750" customFormat="1" ht="15.9" customHeight="1" x14ac:dyDescent="0.3">
      <c r="A29" s="961" t="str">
        <f ca="1">IF(Q29=0,"0",OFFSET('5  Control Accounts'!$BF$33,R29,0)&amp;"."&amp;OFFSET('5  Control Accounts'!$BH$33,R29,0))</f>
        <v>0</v>
      </c>
      <c r="B29" s="961" t="str">
        <f t="shared" ca="1" si="0"/>
        <v>0</v>
      </c>
      <c r="C29" s="961" t="str">
        <f ca="1">IF(Q29=0,"0",TEXT(OFFSET('5  Control Accounts'!$BK$33,R29,0),"General"))</f>
        <v>0</v>
      </c>
      <c r="D29" s="961" t="str">
        <f ca="1">IF(Q29=0,"0",TEXT(OFFSET('5  Control Accounts'!$FB$33,R29,0),"General"))</f>
        <v>0</v>
      </c>
      <c r="E29" s="1405" t="str">
        <f t="shared" ca="1" si="6"/>
        <v>0</v>
      </c>
      <c r="F29" s="1405" t="str">
        <f t="shared" ca="1" si="7"/>
        <v>0</v>
      </c>
      <c r="G29" s="1405" t="str">
        <f t="shared" ca="1" si="8"/>
        <v>0</v>
      </c>
      <c r="H29" s="961" t="str">
        <f ca="1">IF(Q29=0,"0",TEXT(OFFSET('5  Control Accounts'!$FG$33,R29,0),"##0.0"))</f>
        <v>0</v>
      </c>
      <c r="I29" s="961" t="str">
        <f ca="1">IF(Q29=0,"0",TEXT(OFFSET('5  Control Accounts'!$FH$33,R29,0),"##0.0"))</f>
        <v>0</v>
      </c>
      <c r="J29" s="961" t="str">
        <f ca="1">IF($Q29=0,"0",'1 Setup'!$I$60)</f>
        <v>0</v>
      </c>
      <c r="K29" s="961" t="str">
        <f ca="1">IF(Q29=0,"0",TEXT(OFFSET('5  Control Accounts'!$FX$33,R29,0),"##0.00"))</f>
        <v>0</v>
      </c>
      <c r="L29" s="961" t="str">
        <f ca="1">IF(Q29=0,"0",TEXT(OFFSET('5  Control Accounts'!$FY$33,R29,0),"##0.00"))</f>
        <v>0</v>
      </c>
      <c r="M29" s="1405" t="str">
        <f t="shared" ca="1" si="1"/>
        <v>0</v>
      </c>
      <c r="N29" s="1326" t="s">
        <v>1885</v>
      </c>
      <c r="O29" s="1356"/>
      <c r="Q29" s="537">
        <f ca="1">$P$2*OFFSET('5  Control Accounts'!$CP$33,R29,0)</f>
        <v>0</v>
      </c>
      <c r="R29" s="537">
        <v>23</v>
      </c>
      <c r="T29" s="1930">
        <f t="shared" ca="1" si="2"/>
        <v>0</v>
      </c>
      <c r="U29" s="1930">
        <f t="shared" ca="1" si="3"/>
        <v>0</v>
      </c>
    </row>
    <row r="30" spans="1:21" s="750" customFormat="1" ht="15.9" customHeight="1" x14ac:dyDescent="0.3">
      <c r="A30" s="961" t="str">
        <f ca="1">IF(Q30=0,"0",OFFSET('5  Control Accounts'!$BF$33,R30,0)&amp;"."&amp;OFFSET('5  Control Accounts'!$BH$33,R30,0))</f>
        <v>0</v>
      </c>
      <c r="B30" s="961" t="str">
        <f t="shared" ca="1" si="0"/>
        <v>0</v>
      </c>
      <c r="C30" s="961" t="str">
        <f ca="1">IF(Q30=0,"0",TEXT(OFFSET('5  Control Accounts'!$BK$33,R30,0),"General"))</f>
        <v>0</v>
      </c>
      <c r="D30" s="961" t="str">
        <f ca="1">IF(Q30=0,"0",TEXT(OFFSET('5  Control Accounts'!$FB$33,R30,0),"General"))</f>
        <v>0</v>
      </c>
      <c r="E30" s="1405" t="str">
        <f t="shared" ca="1" si="6"/>
        <v>0</v>
      </c>
      <c r="F30" s="1405" t="str">
        <f t="shared" ca="1" si="7"/>
        <v>0</v>
      </c>
      <c r="G30" s="1405" t="str">
        <f t="shared" ca="1" si="8"/>
        <v>0</v>
      </c>
      <c r="H30" s="961" t="str">
        <f ca="1">IF(Q30=0,"0",TEXT(OFFSET('5  Control Accounts'!$FG$33,R30,0),"##0.0"))</f>
        <v>0</v>
      </c>
      <c r="I30" s="961" t="str">
        <f ca="1">IF(Q30=0,"0",TEXT(OFFSET('5  Control Accounts'!$FH$33,R30,0),"##0.0"))</f>
        <v>0</v>
      </c>
      <c r="J30" s="961" t="str">
        <f ca="1">IF($Q30=0,"0",'1 Setup'!$I$60)</f>
        <v>0</v>
      </c>
      <c r="K30" s="961" t="str">
        <f ca="1">IF(Q30=0,"0",TEXT(OFFSET('5  Control Accounts'!$FX$33,R30,0),"##0.00"))</f>
        <v>0</v>
      </c>
      <c r="L30" s="961" t="str">
        <f ca="1">IF(Q30=0,"0",TEXT(OFFSET('5  Control Accounts'!$FY$33,R30,0),"##0.00"))</f>
        <v>0</v>
      </c>
      <c r="M30" s="1405" t="str">
        <f t="shared" ca="1" si="1"/>
        <v>0</v>
      </c>
      <c r="N30" s="1326" t="s">
        <v>1886</v>
      </c>
      <c r="O30" s="1356"/>
      <c r="Q30" s="537">
        <f ca="1">$P$2*OFFSET('5  Control Accounts'!$CP$33,R30,0)</f>
        <v>0</v>
      </c>
      <c r="R30" s="537">
        <v>24</v>
      </c>
      <c r="T30" s="1930">
        <f t="shared" ca="1" si="2"/>
        <v>0</v>
      </c>
      <c r="U30" s="1930">
        <f t="shared" ca="1" si="3"/>
        <v>0</v>
      </c>
    </row>
    <row r="31" spans="1:21" s="750" customFormat="1" ht="15.9" customHeight="1" x14ac:dyDescent="0.3">
      <c r="A31" s="961" t="str">
        <f ca="1">IF(Q31=0,"0",OFFSET('5  Control Accounts'!$BF$33,R31,0)&amp;"."&amp;OFFSET('5  Control Accounts'!$BH$33,R31,0))</f>
        <v>0</v>
      </c>
      <c r="B31" s="961" t="str">
        <f t="shared" ca="1" si="0"/>
        <v>0</v>
      </c>
      <c r="C31" s="961" t="str">
        <f ca="1">IF(Q31=0,"0",TEXT(OFFSET('5  Control Accounts'!$BK$33,R31,0),"General"))</f>
        <v>0</v>
      </c>
      <c r="D31" s="961" t="str">
        <f ca="1">IF(Q31=0,"0",TEXT(OFFSET('5  Control Accounts'!$FB$33,R31,0),"General"))</f>
        <v>0</v>
      </c>
      <c r="E31" s="1405" t="str">
        <f t="shared" ca="1" si="6"/>
        <v>0</v>
      </c>
      <c r="F31" s="1405" t="str">
        <f t="shared" ca="1" si="7"/>
        <v>0</v>
      </c>
      <c r="G31" s="1405" t="str">
        <f t="shared" ca="1" si="8"/>
        <v>0</v>
      </c>
      <c r="H31" s="961" t="str">
        <f ca="1">IF(Q31=0,"0",TEXT(OFFSET('5  Control Accounts'!$FG$33,R31,0),"##0.0"))</f>
        <v>0</v>
      </c>
      <c r="I31" s="961" t="str">
        <f ca="1">IF(Q31=0,"0",TEXT(OFFSET('5  Control Accounts'!$FH$33,R31,0),"##0.0"))</f>
        <v>0</v>
      </c>
      <c r="J31" s="961" t="str">
        <f ca="1">IF($Q31=0,"0",'1 Setup'!$I$60)</f>
        <v>0</v>
      </c>
      <c r="K31" s="961" t="str">
        <f ca="1">IF(Q31=0,"0",TEXT(OFFSET('5  Control Accounts'!$FX$33,R31,0),"##0.00"))</f>
        <v>0</v>
      </c>
      <c r="L31" s="961" t="str">
        <f ca="1">IF(Q31=0,"0",TEXT(OFFSET('5  Control Accounts'!$FY$33,R31,0),"##0.00"))</f>
        <v>0</v>
      </c>
      <c r="M31" s="1405" t="str">
        <f t="shared" ca="1" si="1"/>
        <v>0</v>
      </c>
      <c r="N31" s="1326" t="s">
        <v>1887</v>
      </c>
      <c r="O31" s="1356"/>
      <c r="Q31" s="537">
        <f ca="1">$P$2*OFFSET('5  Control Accounts'!$CP$33,R31,0)</f>
        <v>0</v>
      </c>
      <c r="R31" s="537">
        <v>25</v>
      </c>
      <c r="T31" s="1930">
        <f t="shared" ca="1" si="2"/>
        <v>0</v>
      </c>
      <c r="U31" s="1930">
        <f t="shared" ca="1" si="3"/>
        <v>0</v>
      </c>
    </row>
    <row r="32" spans="1:21" s="750" customFormat="1" ht="15.9" customHeight="1" x14ac:dyDescent="0.3">
      <c r="A32" s="961" t="str">
        <f ca="1">IF(Q32=0,"0",OFFSET('5  Control Accounts'!$BF$33,R32,0)&amp;"."&amp;OFFSET('5  Control Accounts'!$BH$33,R32,0))</f>
        <v>0</v>
      </c>
      <c r="B32" s="961" t="str">
        <f t="shared" ca="1" si="0"/>
        <v>0</v>
      </c>
      <c r="C32" s="961" t="str">
        <f ca="1">IF(Q32=0,"0",TEXT(OFFSET('5  Control Accounts'!$BK$33,R32,0),"General"))</f>
        <v>0</v>
      </c>
      <c r="D32" s="961" t="str">
        <f ca="1">IF(Q32=0,"0",TEXT(OFFSET('5  Control Accounts'!$FB$33,R32,0),"General"))</f>
        <v>0</v>
      </c>
      <c r="E32" s="1405" t="str">
        <f t="shared" ca="1" si="6"/>
        <v>0</v>
      </c>
      <c r="F32" s="1405" t="str">
        <f t="shared" ca="1" si="7"/>
        <v>0</v>
      </c>
      <c r="G32" s="1405" t="str">
        <f t="shared" ca="1" si="8"/>
        <v>0</v>
      </c>
      <c r="H32" s="961" t="str">
        <f ca="1">IF(Q32=0,"0",TEXT(OFFSET('5  Control Accounts'!$FG$33,R32,0),"##0.0"))</f>
        <v>0</v>
      </c>
      <c r="I32" s="961" t="str">
        <f ca="1">IF(Q32=0,"0",TEXT(OFFSET('5  Control Accounts'!$FH$33,R32,0),"##0.0"))</f>
        <v>0</v>
      </c>
      <c r="J32" s="961" t="str">
        <f ca="1">IF($Q32=0,"0",'1 Setup'!$I$60)</f>
        <v>0</v>
      </c>
      <c r="K32" s="961" t="str">
        <f ca="1">IF(Q32=0,"0",TEXT(OFFSET('5  Control Accounts'!$FX$33,R32,0),"##0.00"))</f>
        <v>0</v>
      </c>
      <c r="L32" s="961" t="str">
        <f ca="1">IF(Q32=0,"0",TEXT(OFFSET('5  Control Accounts'!$FY$33,R32,0),"##0.00"))</f>
        <v>0</v>
      </c>
      <c r="M32" s="1405" t="str">
        <f t="shared" ca="1" si="1"/>
        <v>0</v>
      </c>
      <c r="N32" s="1326" t="s">
        <v>1888</v>
      </c>
      <c r="O32" s="1356"/>
      <c r="Q32" s="537">
        <f ca="1">$P$2*OFFSET('5  Control Accounts'!$CP$33,R32,0)</f>
        <v>0</v>
      </c>
      <c r="R32" s="537">
        <v>26</v>
      </c>
      <c r="T32" s="1930">
        <f t="shared" ca="1" si="2"/>
        <v>0</v>
      </c>
      <c r="U32" s="1930">
        <f t="shared" ca="1" si="3"/>
        <v>0</v>
      </c>
    </row>
    <row r="33" spans="1:21" s="750" customFormat="1" ht="15.9" customHeight="1" x14ac:dyDescent="0.3">
      <c r="A33" s="961" t="str">
        <f ca="1">IF(Q33=0,"0",OFFSET('5  Control Accounts'!$BF$33,R33,0)&amp;"."&amp;OFFSET('5  Control Accounts'!$BH$33,R33,0))</f>
        <v>0</v>
      </c>
      <c r="B33" s="961" t="str">
        <f t="shared" ca="1" si="0"/>
        <v>0</v>
      </c>
      <c r="C33" s="961" t="str">
        <f ca="1">IF(Q33=0,"0",TEXT(OFFSET('5  Control Accounts'!$BK$33,R33,0),"General"))</f>
        <v>0</v>
      </c>
      <c r="D33" s="961" t="str">
        <f ca="1">IF(Q33=0,"0",TEXT(OFFSET('5  Control Accounts'!$FB$33,R33,0),"General"))</f>
        <v>0</v>
      </c>
      <c r="E33" s="1405" t="str">
        <f t="shared" ca="1" si="6"/>
        <v>0</v>
      </c>
      <c r="F33" s="1405" t="str">
        <f t="shared" ca="1" si="7"/>
        <v>0</v>
      </c>
      <c r="G33" s="1405" t="str">
        <f t="shared" ca="1" si="8"/>
        <v>0</v>
      </c>
      <c r="H33" s="961" t="str">
        <f ca="1">IF(Q33=0,"0",TEXT(OFFSET('5  Control Accounts'!$FG$33,R33,0),"##0.0"))</f>
        <v>0</v>
      </c>
      <c r="I33" s="961" t="str">
        <f ca="1">IF(Q33=0,"0",TEXT(OFFSET('5  Control Accounts'!$FH$33,R33,0),"##0.0"))</f>
        <v>0</v>
      </c>
      <c r="J33" s="961" t="str">
        <f ca="1">IF($Q33=0,"0",'1 Setup'!$I$60)</f>
        <v>0</v>
      </c>
      <c r="K33" s="961" t="str">
        <f ca="1">IF(Q33=0,"0",TEXT(OFFSET('5  Control Accounts'!$FX$33,R33,0),"##0.00"))</f>
        <v>0</v>
      </c>
      <c r="L33" s="961" t="str">
        <f ca="1">IF(Q33=0,"0",TEXT(OFFSET('5  Control Accounts'!$FY$33,R33,0),"##0.00"))</f>
        <v>0</v>
      </c>
      <c r="M33" s="1405" t="str">
        <f t="shared" ca="1" si="1"/>
        <v>0</v>
      </c>
      <c r="N33" s="1326" t="s">
        <v>1889</v>
      </c>
      <c r="O33" s="1356"/>
      <c r="Q33" s="537">
        <f ca="1">$P$2*OFFSET('5  Control Accounts'!$CP$33,R33,0)</f>
        <v>0</v>
      </c>
      <c r="R33" s="537">
        <v>27</v>
      </c>
      <c r="T33" s="1930">
        <f t="shared" ca="1" si="2"/>
        <v>0</v>
      </c>
      <c r="U33" s="1930">
        <f t="shared" ca="1" si="3"/>
        <v>0</v>
      </c>
    </row>
    <row r="34" spans="1:21" s="750" customFormat="1" ht="15.9" customHeight="1" x14ac:dyDescent="0.3">
      <c r="A34" s="961" t="str">
        <f ca="1">IF(Q34=0,"0",OFFSET('5  Control Accounts'!$BF$33,R34,0)&amp;"."&amp;OFFSET('5  Control Accounts'!$BH$33,R34,0))</f>
        <v>0</v>
      </c>
      <c r="B34" s="961" t="str">
        <f t="shared" ca="1" si="0"/>
        <v>0</v>
      </c>
      <c r="C34" s="961" t="str">
        <f ca="1">IF(Q34=0,"0",TEXT(OFFSET('5  Control Accounts'!$BK$33,R34,0),"General"))</f>
        <v>0</v>
      </c>
      <c r="D34" s="961" t="str">
        <f ca="1">IF(Q34=0,"0",TEXT(OFFSET('5  Control Accounts'!$FB$33,R34,0),"General"))</f>
        <v>0</v>
      </c>
      <c r="E34" s="1405" t="str">
        <f t="shared" ca="1" si="6"/>
        <v>0</v>
      </c>
      <c r="F34" s="1405" t="str">
        <f t="shared" ca="1" si="7"/>
        <v>0</v>
      </c>
      <c r="G34" s="1405" t="str">
        <f t="shared" ca="1" si="8"/>
        <v>0</v>
      </c>
      <c r="H34" s="961" t="str">
        <f ca="1">IF(Q34=0,"0",TEXT(OFFSET('5  Control Accounts'!$FG$33,R34,0),"##0.0"))</f>
        <v>0</v>
      </c>
      <c r="I34" s="961" t="str">
        <f ca="1">IF(Q34=0,"0",TEXT(OFFSET('5  Control Accounts'!$FH$33,R34,0),"##0.0"))</f>
        <v>0</v>
      </c>
      <c r="J34" s="961" t="str">
        <f ca="1">IF($Q34=0,"0",'1 Setup'!$I$60)</f>
        <v>0</v>
      </c>
      <c r="K34" s="961" t="str">
        <f ca="1">IF(Q34=0,"0",TEXT(OFFSET('5  Control Accounts'!$FX$33,R34,0),"##0.00"))</f>
        <v>0</v>
      </c>
      <c r="L34" s="961" t="str">
        <f ca="1">IF(Q34=0,"0",TEXT(OFFSET('5  Control Accounts'!$FY$33,R34,0),"##0.00"))</f>
        <v>0</v>
      </c>
      <c r="M34" s="1405" t="str">
        <f t="shared" ca="1" si="1"/>
        <v>0</v>
      </c>
      <c r="N34" s="1326" t="s">
        <v>1890</v>
      </c>
      <c r="O34" s="1356"/>
      <c r="Q34" s="537">
        <f ca="1">$P$2*OFFSET('5  Control Accounts'!$CP$33,R34,0)</f>
        <v>0</v>
      </c>
      <c r="R34" s="537">
        <v>28</v>
      </c>
      <c r="T34" s="1930">
        <f t="shared" ca="1" si="2"/>
        <v>0</v>
      </c>
      <c r="U34" s="1930">
        <f t="shared" ca="1" si="3"/>
        <v>0</v>
      </c>
    </row>
    <row r="35" spans="1:21" s="750" customFormat="1" ht="15.9" customHeight="1" x14ac:dyDescent="0.3">
      <c r="A35" s="961" t="str">
        <f ca="1">IF(Q35=0,"0",OFFSET('5  Control Accounts'!$BF$33,R35,0)&amp;"."&amp;OFFSET('5  Control Accounts'!$BH$33,R35,0))</f>
        <v>0</v>
      </c>
      <c r="B35" s="961" t="str">
        <f t="shared" ca="1" si="0"/>
        <v>0</v>
      </c>
      <c r="C35" s="961" t="str">
        <f ca="1">IF(Q35=0,"0",TEXT(OFFSET('5  Control Accounts'!$BK$33,R35,0),"General"))</f>
        <v>0</v>
      </c>
      <c r="D35" s="961" t="str">
        <f ca="1">IF(Q35=0,"0",TEXT(OFFSET('5  Control Accounts'!$FB$33,R35,0),"General"))</f>
        <v>0</v>
      </c>
      <c r="E35" s="1405" t="str">
        <f t="shared" ca="1" si="6"/>
        <v>0</v>
      </c>
      <c r="F35" s="1405" t="str">
        <f t="shared" ca="1" si="7"/>
        <v>0</v>
      </c>
      <c r="G35" s="1405" t="str">
        <f t="shared" ca="1" si="8"/>
        <v>0</v>
      </c>
      <c r="H35" s="961" t="str">
        <f ca="1">IF(Q35=0,"0",TEXT(OFFSET('5  Control Accounts'!$FG$33,R35,0),"##0.0"))</f>
        <v>0</v>
      </c>
      <c r="I35" s="961" t="str">
        <f ca="1">IF(Q35=0,"0",TEXT(OFFSET('5  Control Accounts'!$FH$33,R35,0),"##0.0"))</f>
        <v>0</v>
      </c>
      <c r="J35" s="961" t="str">
        <f ca="1">IF($Q35=0,"0",'1 Setup'!$I$60)</f>
        <v>0</v>
      </c>
      <c r="K35" s="961" t="str">
        <f ca="1">IF(Q35=0,"0",TEXT(OFFSET('5  Control Accounts'!$FX$33,R35,0),"##0.00"))</f>
        <v>0</v>
      </c>
      <c r="L35" s="961" t="str">
        <f ca="1">IF(Q35=0,"0",TEXT(OFFSET('5  Control Accounts'!$FY$33,R35,0),"##0.00"))</f>
        <v>0</v>
      </c>
      <c r="M35" s="1405" t="str">
        <f t="shared" ca="1" si="1"/>
        <v>0</v>
      </c>
      <c r="N35" s="1326" t="s">
        <v>1891</v>
      </c>
      <c r="O35" s="1356"/>
      <c r="Q35" s="537">
        <f ca="1">$P$2*OFFSET('5  Control Accounts'!$CP$33,R35,0)</f>
        <v>0</v>
      </c>
      <c r="R35" s="537">
        <v>29</v>
      </c>
      <c r="T35" s="1930">
        <f t="shared" ca="1" si="2"/>
        <v>0</v>
      </c>
      <c r="U35" s="1930">
        <f t="shared" ca="1" si="3"/>
        <v>0</v>
      </c>
    </row>
    <row r="36" spans="1:21" s="750" customFormat="1" ht="15.9" customHeight="1" x14ac:dyDescent="0.3">
      <c r="A36" s="961" t="str">
        <f ca="1">IF(Q36=0,"0",OFFSET('5  Control Accounts'!$BF$33,R36,0)&amp;"."&amp;OFFSET('5  Control Accounts'!$BH$33,R36,0))</f>
        <v>0</v>
      </c>
      <c r="B36" s="961" t="str">
        <f t="shared" ca="1" si="0"/>
        <v>0</v>
      </c>
      <c r="C36" s="961" t="str">
        <f ca="1">IF(Q36=0,"0",TEXT(OFFSET('5  Control Accounts'!$BK$33,R36,0),"General"))</f>
        <v>0</v>
      </c>
      <c r="D36" s="961" t="str">
        <f ca="1">IF(Q36=0,"0",TEXT(OFFSET('5  Control Accounts'!$FB$33,R36,0),"General"))</f>
        <v>0</v>
      </c>
      <c r="E36" s="1405" t="str">
        <f t="shared" ca="1" si="6"/>
        <v>0</v>
      </c>
      <c r="F36" s="1405" t="str">
        <f t="shared" ca="1" si="7"/>
        <v>0</v>
      </c>
      <c r="G36" s="1405" t="str">
        <f t="shared" ca="1" si="8"/>
        <v>0</v>
      </c>
      <c r="H36" s="961" t="str">
        <f ca="1">IF(Q36=0,"0",TEXT(OFFSET('5  Control Accounts'!$FG$33,R36,0),"##0.0"))</f>
        <v>0</v>
      </c>
      <c r="I36" s="961" t="str">
        <f ca="1">IF(Q36=0,"0",TEXT(OFFSET('5  Control Accounts'!$FH$33,R36,0),"##0.0"))</f>
        <v>0</v>
      </c>
      <c r="J36" s="961" t="str">
        <f ca="1">IF($Q36=0,"0",'1 Setup'!$I$60)</f>
        <v>0</v>
      </c>
      <c r="K36" s="961" t="str">
        <f ca="1">IF(Q36=0,"0",TEXT(OFFSET('5  Control Accounts'!$FX$33,R36,0),"##0.00"))</f>
        <v>0</v>
      </c>
      <c r="L36" s="961" t="str">
        <f ca="1">IF(Q36=0,"0",TEXT(OFFSET('5  Control Accounts'!$FY$33,R36,0),"##0.00"))</f>
        <v>0</v>
      </c>
      <c r="M36" s="1405" t="str">
        <f t="shared" ca="1" si="1"/>
        <v>0</v>
      </c>
      <c r="N36" s="1326" t="s">
        <v>1892</v>
      </c>
      <c r="O36" s="1356"/>
      <c r="Q36" s="537">
        <f ca="1">$P$2*OFFSET('5  Control Accounts'!$CP$33,R36,0)</f>
        <v>0</v>
      </c>
      <c r="R36" s="537">
        <v>30</v>
      </c>
      <c r="T36" s="1930">
        <f t="shared" ca="1" si="2"/>
        <v>0</v>
      </c>
      <c r="U36" s="1930">
        <f t="shared" ca="1" si="3"/>
        <v>0</v>
      </c>
    </row>
    <row r="37" spans="1:21" s="750" customFormat="1" ht="15.9" customHeight="1" x14ac:dyDescent="0.3">
      <c r="A37" s="961" t="str">
        <f ca="1">IF(Q37=0,"0",OFFSET('5  Control Accounts'!$BF$33,R37,0)&amp;"."&amp;OFFSET('5  Control Accounts'!$BH$33,R37,0))</f>
        <v>0</v>
      </c>
      <c r="B37" s="961" t="str">
        <f t="shared" ca="1" si="0"/>
        <v>0</v>
      </c>
      <c r="C37" s="961" t="str">
        <f ca="1">IF(Q37=0,"0",TEXT(OFFSET('5  Control Accounts'!$BK$33,R37,0),"General"))</f>
        <v>0</v>
      </c>
      <c r="D37" s="961" t="str">
        <f ca="1">IF(Q37=0,"0",TEXT(OFFSET('5  Control Accounts'!$FB$33,R37,0),"General"))</f>
        <v>0</v>
      </c>
      <c r="E37" s="1405" t="str">
        <f t="shared" ca="1" si="6"/>
        <v>0</v>
      </c>
      <c r="F37" s="1405" t="str">
        <f t="shared" ca="1" si="7"/>
        <v>0</v>
      </c>
      <c r="G37" s="1405" t="str">
        <f t="shared" ca="1" si="8"/>
        <v>0</v>
      </c>
      <c r="H37" s="961" t="str">
        <f ca="1">IF(Q37=0,"0",TEXT(OFFSET('5  Control Accounts'!$FG$33,R37,0),"##0.0"))</f>
        <v>0</v>
      </c>
      <c r="I37" s="961" t="str">
        <f ca="1">IF(Q37=0,"0",TEXT(OFFSET('5  Control Accounts'!$FH$33,R37,0),"##0.0"))</f>
        <v>0</v>
      </c>
      <c r="J37" s="961" t="str">
        <f ca="1">IF($Q37=0,"0",'1 Setup'!$I$60)</f>
        <v>0</v>
      </c>
      <c r="K37" s="961" t="str">
        <f ca="1">IF(Q37=0,"0",TEXT(OFFSET('5  Control Accounts'!$FX$33,R37,0),"##0.00"))</f>
        <v>0</v>
      </c>
      <c r="L37" s="961" t="str">
        <f ca="1">IF(Q37=0,"0",TEXT(OFFSET('5  Control Accounts'!$FY$33,R37,0),"##0.00"))</f>
        <v>0</v>
      </c>
      <c r="M37" s="1405" t="str">
        <f t="shared" ca="1" si="1"/>
        <v>0</v>
      </c>
      <c r="N37" s="1326" t="s">
        <v>1893</v>
      </c>
      <c r="O37" s="1356"/>
      <c r="Q37" s="537">
        <f ca="1">$P$2*OFFSET('5  Control Accounts'!$CP$33,R37,0)</f>
        <v>0</v>
      </c>
      <c r="R37" s="537">
        <v>31</v>
      </c>
      <c r="T37" s="1930">
        <f t="shared" ca="1" si="2"/>
        <v>0</v>
      </c>
      <c r="U37" s="1930">
        <f t="shared" ca="1" si="3"/>
        <v>0</v>
      </c>
    </row>
    <row r="38" spans="1:21" s="750" customFormat="1" ht="15.9" customHeight="1" x14ac:dyDescent="0.3">
      <c r="A38" s="961" t="str">
        <f ca="1">IF(Q38=0,"0",OFFSET('5  Control Accounts'!$BF$33,R38,0)&amp;"."&amp;OFFSET('5  Control Accounts'!$BH$33,R38,0))</f>
        <v>0</v>
      </c>
      <c r="B38" s="961" t="str">
        <f t="shared" ca="1" si="0"/>
        <v>0</v>
      </c>
      <c r="C38" s="961" t="str">
        <f ca="1">IF(Q38=0,"0",TEXT(OFFSET('5  Control Accounts'!$BK$33,R38,0),"General"))</f>
        <v>0</v>
      </c>
      <c r="D38" s="961" t="str">
        <f ca="1">IF(Q38=0,"0",TEXT(OFFSET('5  Control Accounts'!$FB$33,R38,0),"General"))</f>
        <v>0</v>
      </c>
      <c r="E38" s="1405" t="str">
        <f t="shared" ca="1" si="6"/>
        <v>0</v>
      </c>
      <c r="F38" s="1405" t="str">
        <f t="shared" ca="1" si="7"/>
        <v>0</v>
      </c>
      <c r="G38" s="1405" t="str">
        <f t="shared" ca="1" si="8"/>
        <v>0</v>
      </c>
      <c r="H38" s="961" t="str">
        <f ca="1">IF(Q38=0,"0",TEXT(OFFSET('5  Control Accounts'!$FG$33,R38,0),"##0.0"))</f>
        <v>0</v>
      </c>
      <c r="I38" s="961" t="str">
        <f ca="1">IF(Q38=0,"0",TEXT(OFFSET('5  Control Accounts'!$FH$33,R38,0),"##0.0"))</f>
        <v>0</v>
      </c>
      <c r="J38" s="961" t="str">
        <f ca="1">IF($Q38=0,"0",'1 Setup'!$I$60)</f>
        <v>0</v>
      </c>
      <c r="K38" s="961" t="str">
        <f ca="1">IF(Q38=0,"0",TEXT(OFFSET('5  Control Accounts'!$FX$33,R38,0),"##0.00"))</f>
        <v>0</v>
      </c>
      <c r="L38" s="961" t="str">
        <f ca="1">IF(Q38=0,"0",TEXT(OFFSET('5  Control Accounts'!$FY$33,R38,0),"##0.00"))</f>
        <v>0</v>
      </c>
      <c r="M38" s="1405" t="str">
        <f t="shared" ca="1" si="1"/>
        <v>0</v>
      </c>
      <c r="N38" s="1326" t="s">
        <v>1894</v>
      </c>
      <c r="O38" s="1356"/>
      <c r="Q38" s="537">
        <f ca="1">$P$2*OFFSET('5  Control Accounts'!$CP$33,R38,0)</f>
        <v>0</v>
      </c>
      <c r="R38" s="537">
        <v>32</v>
      </c>
      <c r="T38" s="1930">
        <f t="shared" ca="1" si="2"/>
        <v>0</v>
      </c>
      <c r="U38" s="1930">
        <f t="shared" ca="1" si="3"/>
        <v>0</v>
      </c>
    </row>
    <row r="39" spans="1:21" s="750" customFormat="1" ht="15.9" customHeight="1" x14ac:dyDescent="0.3">
      <c r="A39" s="961" t="str">
        <f ca="1">IF(Q39=0,"0",OFFSET('5  Control Accounts'!$BF$33,R39,0)&amp;"."&amp;OFFSET('5  Control Accounts'!$BH$33,R39,0))</f>
        <v>0</v>
      </c>
      <c r="B39" s="961" t="str">
        <f t="shared" ca="1" si="0"/>
        <v>0</v>
      </c>
      <c r="C39" s="961" t="str">
        <f ca="1">IF(Q39=0,"0",TEXT(OFFSET('5  Control Accounts'!$BK$33,R39,0),"General"))</f>
        <v>0</v>
      </c>
      <c r="D39" s="961" t="str">
        <f ca="1">IF(Q39=0,"0",TEXT(OFFSET('5  Control Accounts'!$FB$33,R39,0),"General"))</f>
        <v>0</v>
      </c>
      <c r="E39" s="1405" t="str">
        <f t="shared" ca="1" si="6"/>
        <v>0</v>
      </c>
      <c r="F39" s="1405" t="str">
        <f t="shared" ca="1" si="7"/>
        <v>0</v>
      </c>
      <c r="G39" s="1405" t="str">
        <f t="shared" ca="1" si="8"/>
        <v>0</v>
      </c>
      <c r="H39" s="961" t="str">
        <f ca="1">IF(Q39=0,"0",TEXT(OFFSET('5  Control Accounts'!$FG$33,R39,0),"##0.0"))</f>
        <v>0</v>
      </c>
      <c r="I39" s="961" t="str">
        <f ca="1">IF(Q39=0,"0",TEXT(OFFSET('5  Control Accounts'!$FH$33,R39,0),"##0.0"))</f>
        <v>0</v>
      </c>
      <c r="J39" s="961" t="str">
        <f ca="1">IF($Q39=0,"0",'1 Setup'!$I$60)</f>
        <v>0</v>
      </c>
      <c r="K39" s="961" t="str">
        <f ca="1">IF(Q39=0,"0",TEXT(OFFSET('5  Control Accounts'!$FX$33,R39,0),"##0.00"))</f>
        <v>0</v>
      </c>
      <c r="L39" s="961" t="str">
        <f ca="1">IF(Q39=0,"0",TEXT(OFFSET('5  Control Accounts'!$FY$33,R39,0),"##0.00"))</f>
        <v>0</v>
      </c>
      <c r="M39" s="1405" t="str">
        <f t="shared" ca="1" si="1"/>
        <v>0</v>
      </c>
      <c r="N39" s="1326" t="s">
        <v>1895</v>
      </c>
      <c r="O39" s="1356"/>
      <c r="Q39" s="537">
        <f ca="1">$P$2*OFFSET('5  Control Accounts'!$CP$33,R39,0)</f>
        <v>0</v>
      </c>
      <c r="R39" s="537">
        <v>33</v>
      </c>
      <c r="T39" s="1930">
        <f t="shared" ca="1" si="2"/>
        <v>0</v>
      </c>
      <c r="U39" s="1930">
        <f t="shared" ca="1" si="3"/>
        <v>0</v>
      </c>
    </row>
    <row r="40" spans="1:21" s="750" customFormat="1" ht="15.9" customHeight="1" x14ac:dyDescent="0.3">
      <c r="A40" s="961" t="str">
        <f ca="1">IF(Q40=0,"0",OFFSET('5  Control Accounts'!$BF$33,R40,0)&amp;"."&amp;OFFSET('5  Control Accounts'!$BH$33,R40,0))</f>
        <v>0</v>
      </c>
      <c r="B40" s="961" t="str">
        <f t="shared" ca="1" si="0"/>
        <v>0</v>
      </c>
      <c r="C40" s="961" t="str">
        <f ca="1">IF(Q40=0,"0",TEXT(OFFSET('5  Control Accounts'!$BK$33,R40,0),"General"))</f>
        <v>0</v>
      </c>
      <c r="D40" s="961" t="str">
        <f ca="1">IF(Q40=0,"0",TEXT(OFFSET('5  Control Accounts'!$FB$33,R40,0),"General"))</f>
        <v>0</v>
      </c>
      <c r="E40" s="1405" t="str">
        <f t="shared" ca="1" si="6"/>
        <v>0</v>
      </c>
      <c r="F40" s="1405" t="str">
        <f t="shared" ca="1" si="7"/>
        <v>0</v>
      </c>
      <c r="G40" s="1405" t="str">
        <f t="shared" ca="1" si="8"/>
        <v>0</v>
      </c>
      <c r="H40" s="961" t="str">
        <f ca="1">IF(Q40=0,"0",TEXT(OFFSET('5  Control Accounts'!$FG$33,R40,0),"##0.0"))</f>
        <v>0</v>
      </c>
      <c r="I40" s="961" t="str">
        <f ca="1">IF(Q40=0,"0",TEXT(OFFSET('5  Control Accounts'!$FH$33,R40,0),"##0.0"))</f>
        <v>0</v>
      </c>
      <c r="J40" s="961" t="str">
        <f ca="1">IF($Q40=0,"0",'1 Setup'!$I$60)</f>
        <v>0</v>
      </c>
      <c r="K40" s="961" t="str">
        <f ca="1">IF(Q40=0,"0",TEXT(OFFSET('5  Control Accounts'!$FX$33,R40,0),"##0.00"))</f>
        <v>0</v>
      </c>
      <c r="L40" s="961" t="str">
        <f ca="1">IF(Q40=0,"0",TEXT(OFFSET('5  Control Accounts'!$FY$33,R40,0),"##0.00"))</f>
        <v>0</v>
      </c>
      <c r="M40" s="1405" t="str">
        <f t="shared" ca="1" si="1"/>
        <v>0</v>
      </c>
      <c r="N40" s="1326" t="s">
        <v>1896</v>
      </c>
      <c r="O40" s="1356"/>
      <c r="Q40" s="537">
        <f ca="1">$P$2*OFFSET('5  Control Accounts'!$CP$33,R40,0)</f>
        <v>0</v>
      </c>
      <c r="R40" s="537">
        <v>34</v>
      </c>
      <c r="T40" s="1930">
        <f t="shared" ca="1" si="2"/>
        <v>0</v>
      </c>
      <c r="U40" s="1930">
        <f t="shared" ca="1" si="3"/>
        <v>0</v>
      </c>
    </row>
    <row r="41" spans="1:21" s="750" customFormat="1" ht="15.9" customHeight="1" x14ac:dyDescent="0.3">
      <c r="A41" s="961" t="str">
        <f ca="1">IF(Q41=0,"0",OFFSET('5  Control Accounts'!$BF$33,R41,0)&amp;"."&amp;OFFSET('5  Control Accounts'!$BH$33,R41,0))</f>
        <v>0</v>
      </c>
      <c r="B41" s="961" t="str">
        <f t="shared" ca="1" si="0"/>
        <v>0</v>
      </c>
      <c r="C41" s="961" t="str">
        <f ca="1">IF(Q41=0,"0",TEXT(OFFSET('5  Control Accounts'!$BK$33,R41,0),"General"))</f>
        <v>0</v>
      </c>
      <c r="D41" s="961" t="str">
        <f ca="1">IF(Q41=0,"0",TEXT(OFFSET('5  Control Accounts'!$FB$33,R41,0),"General"))</f>
        <v>0</v>
      </c>
      <c r="E41" s="1405" t="str">
        <f t="shared" ca="1" si="6"/>
        <v>0</v>
      </c>
      <c r="F41" s="1405" t="str">
        <f t="shared" ca="1" si="7"/>
        <v>0</v>
      </c>
      <c r="G41" s="1405" t="str">
        <f t="shared" ca="1" si="8"/>
        <v>0</v>
      </c>
      <c r="H41" s="961" t="str">
        <f ca="1">IF(Q41=0,"0",TEXT(OFFSET('5  Control Accounts'!$FG$33,R41,0),"##0.0"))</f>
        <v>0</v>
      </c>
      <c r="I41" s="961" t="str">
        <f ca="1">IF(Q41=0,"0",TEXT(OFFSET('5  Control Accounts'!$FH$33,R41,0),"##0.0"))</f>
        <v>0</v>
      </c>
      <c r="J41" s="961" t="str">
        <f ca="1">IF($Q41=0,"0",'1 Setup'!$I$60)</f>
        <v>0</v>
      </c>
      <c r="K41" s="961" t="str">
        <f ca="1">IF(Q41=0,"0",TEXT(OFFSET('5  Control Accounts'!$FX$33,R41,0),"##0.00"))</f>
        <v>0</v>
      </c>
      <c r="L41" s="961" t="str">
        <f ca="1">IF(Q41=0,"0",TEXT(OFFSET('5  Control Accounts'!$FY$33,R41,0),"##0.00"))</f>
        <v>0</v>
      </c>
      <c r="M41" s="1405" t="str">
        <f t="shared" ca="1" si="1"/>
        <v>0</v>
      </c>
      <c r="N41" s="1326" t="s">
        <v>1897</v>
      </c>
      <c r="O41" s="1356"/>
      <c r="Q41" s="537">
        <f ca="1">$P$2*OFFSET('5  Control Accounts'!$CP$33,R41,0)</f>
        <v>0</v>
      </c>
      <c r="R41" s="537">
        <v>35</v>
      </c>
      <c r="T41" s="1930">
        <f t="shared" ca="1" si="2"/>
        <v>0</v>
      </c>
      <c r="U41" s="1930">
        <f t="shared" ca="1" si="3"/>
        <v>0</v>
      </c>
    </row>
    <row r="42" spans="1:21" s="750" customFormat="1" ht="15.9" customHeight="1" x14ac:dyDescent="0.3">
      <c r="A42" s="961" t="str">
        <f ca="1">IF(Q42=0,"0",OFFSET('5  Control Accounts'!$BF$33,R42,0)&amp;"."&amp;OFFSET('5  Control Accounts'!$BH$33,R42,0))</f>
        <v>0</v>
      </c>
      <c r="B42" s="961" t="str">
        <f t="shared" ca="1" si="0"/>
        <v>0</v>
      </c>
      <c r="C42" s="961" t="str">
        <f ca="1">IF(Q42=0,"0",TEXT(OFFSET('5  Control Accounts'!$BK$33,R42,0),"General"))</f>
        <v>0</v>
      </c>
      <c r="D42" s="961" t="str">
        <f ca="1">IF(Q42=0,"0",TEXT(OFFSET('5  Control Accounts'!$FB$33,R42,0),"General"))</f>
        <v>0</v>
      </c>
      <c r="E42" s="1405" t="str">
        <f t="shared" ca="1" si="6"/>
        <v>0</v>
      </c>
      <c r="F42" s="1405" t="str">
        <f t="shared" ca="1" si="7"/>
        <v>0</v>
      </c>
      <c r="G42" s="1405" t="str">
        <f t="shared" ca="1" si="8"/>
        <v>0</v>
      </c>
      <c r="H42" s="961" t="str">
        <f ca="1">IF(Q42=0,"0",TEXT(OFFSET('5  Control Accounts'!$FG$33,R42,0),"##0.0"))</f>
        <v>0</v>
      </c>
      <c r="I42" s="961" t="str">
        <f ca="1">IF(Q42=0,"0",TEXT(OFFSET('5  Control Accounts'!$FH$33,R42,0),"##0.0"))</f>
        <v>0</v>
      </c>
      <c r="J42" s="961" t="str">
        <f ca="1">IF($Q42=0,"0",'1 Setup'!$I$60)</f>
        <v>0</v>
      </c>
      <c r="K42" s="961" t="str">
        <f ca="1">IF(Q42=0,"0",TEXT(OFFSET('5  Control Accounts'!$FX$33,R42,0),"##0.00"))</f>
        <v>0</v>
      </c>
      <c r="L42" s="961" t="str">
        <f ca="1">IF(Q42=0,"0",TEXT(OFFSET('5  Control Accounts'!$FY$33,R42,0),"##0.00"))</f>
        <v>0</v>
      </c>
      <c r="M42" s="1405" t="str">
        <f t="shared" ca="1" si="1"/>
        <v>0</v>
      </c>
      <c r="N42" s="1326" t="s">
        <v>1898</v>
      </c>
      <c r="O42" s="1356"/>
      <c r="Q42" s="537">
        <f ca="1">$P$2*OFFSET('5  Control Accounts'!$CP$33,R42,0)</f>
        <v>0</v>
      </c>
      <c r="R42" s="537">
        <v>36</v>
      </c>
      <c r="T42" s="1930">
        <f t="shared" ca="1" si="2"/>
        <v>0</v>
      </c>
      <c r="U42" s="1930">
        <f t="shared" ca="1" si="3"/>
        <v>0</v>
      </c>
    </row>
    <row r="43" spans="1:21" s="750" customFormat="1" ht="15.9" customHeight="1" x14ac:dyDescent="0.3">
      <c r="A43" s="961" t="str">
        <f ca="1">IF(Q43=0,"0",OFFSET('5  Control Accounts'!$BF$33,R43,0)&amp;"."&amp;OFFSET('5  Control Accounts'!$BH$33,R43,0))</f>
        <v>0</v>
      </c>
      <c r="B43" s="961" t="str">
        <f t="shared" ca="1" si="0"/>
        <v>0</v>
      </c>
      <c r="C43" s="961" t="str">
        <f ca="1">IF(Q43=0,"0",TEXT(OFFSET('5  Control Accounts'!$BK$33,R43,0),"General"))</f>
        <v>0</v>
      </c>
      <c r="D43" s="961" t="str">
        <f ca="1">IF(Q43=0,"0",TEXT(OFFSET('5  Control Accounts'!$FB$33,R43,0),"General"))</f>
        <v>0</v>
      </c>
      <c r="E43" s="1405" t="str">
        <f t="shared" ca="1" si="6"/>
        <v>0</v>
      </c>
      <c r="F43" s="1405" t="str">
        <f t="shared" ca="1" si="7"/>
        <v>0</v>
      </c>
      <c r="G43" s="1405" t="str">
        <f t="shared" ca="1" si="8"/>
        <v>0</v>
      </c>
      <c r="H43" s="961" t="str">
        <f ca="1">IF(Q43=0,"0",TEXT(OFFSET('5  Control Accounts'!$FG$33,R43,0),"##0.0"))</f>
        <v>0</v>
      </c>
      <c r="I43" s="961" t="str">
        <f ca="1">IF(Q43=0,"0",TEXT(OFFSET('5  Control Accounts'!$FH$33,R43,0),"##0.0"))</f>
        <v>0</v>
      </c>
      <c r="J43" s="961" t="str">
        <f ca="1">IF($Q43=0,"0",'1 Setup'!$I$60)</f>
        <v>0</v>
      </c>
      <c r="K43" s="961" t="str">
        <f ca="1">IF(Q43=0,"0",TEXT(OFFSET('5  Control Accounts'!$FX$33,R43,0),"##0.00"))</f>
        <v>0</v>
      </c>
      <c r="L43" s="961" t="str">
        <f ca="1">IF(Q43=0,"0",TEXT(OFFSET('5  Control Accounts'!$FY$33,R43,0),"##0.00"))</f>
        <v>0</v>
      </c>
      <c r="M43" s="1405" t="str">
        <f t="shared" ca="1" si="1"/>
        <v>0</v>
      </c>
      <c r="N43" s="1326" t="s">
        <v>1899</v>
      </c>
      <c r="O43" s="1356"/>
      <c r="Q43" s="537">
        <f ca="1">$P$2*OFFSET('5  Control Accounts'!$CP$33,R43,0)</f>
        <v>0</v>
      </c>
      <c r="R43" s="537">
        <v>37</v>
      </c>
      <c r="T43" s="1930">
        <f t="shared" ca="1" si="2"/>
        <v>0</v>
      </c>
      <c r="U43" s="1930">
        <f t="shared" ca="1" si="3"/>
        <v>0</v>
      </c>
    </row>
    <row r="44" spans="1:21" s="750" customFormat="1" ht="15.9" customHeight="1" x14ac:dyDescent="0.3">
      <c r="A44" s="961" t="str">
        <f ca="1">IF(Q44=0,"0",OFFSET('5  Control Accounts'!$BF$33,R44,0)&amp;"."&amp;OFFSET('5  Control Accounts'!$BH$33,R44,0))</f>
        <v>0</v>
      </c>
      <c r="B44" s="961" t="str">
        <f t="shared" ca="1" si="0"/>
        <v>0</v>
      </c>
      <c r="C44" s="961" t="str">
        <f ca="1">IF(Q44=0,"0",TEXT(OFFSET('5  Control Accounts'!$BK$33,R44,0),"General"))</f>
        <v>0</v>
      </c>
      <c r="D44" s="961" t="str">
        <f ca="1">IF(Q44=0,"0",TEXT(OFFSET('5  Control Accounts'!$FB$33,R44,0),"General"))</f>
        <v>0</v>
      </c>
      <c r="E44" s="1405" t="str">
        <f t="shared" ca="1" si="6"/>
        <v>0</v>
      </c>
      <c r="F44" s="1405" t="str">
        <f t="shared" ca="1" si="7"/>
        <v>0</v>
      </c>
      <c r="G44" s="1405" t="str">
        <f t="shared" ca="1" si="8"/>
        <v>0</v>
      </c>
      <c r="H44" s="961" t="str">
        <f ca="1">IF(Q44=0,"0",TEXT(OFFSET('5  Control Accounts'!$FG$33,R44,0),"##0.0"))</f>
        <v>0</v>
      </c>
      <c r="I44" s="961" t="str">
        <f ca="1">IF(Q44=0,"0",TEXT(OFFSET('5  Control Accounts'!$FH$33,R44,0),"##0.0"))</f>
        <v>0</v>
      </c>
      <c r="J44" s="961" t="str">
        <f ca="1">IF($Q44=0,"0",'1 Setup'!$I$60)</f>
        <v>0</v>
      </c>
      <c r="K44" s="961" t="str">
        <f ca="1">IF(Q44=0,"0",TEXT(OFFSET('5  Control Accounts'!$FX$33,R44,0),"##0.00"))</f>
        <v>0</v>
      </c>
      <c r="L44" s="961" t="str">
        <f ca="1">IF(Q44=0,"0",TEXT(OFFSET('5  Control Accounts'!$FY$33,R44,0),"##0.00"))</f>
        <v>0</v>
      </c>
      <c r="M44" s="1405" t="str">
        <f t="shared" ca="1" si="1"/>
        <v>0</v>
      </c>
      <c r="N44" s="1326" t="s">
        <v>1900</v>
      </c>
      <c r="O44" s="1356"/>
      <c r="Q44" s="537">
        <f ca="1">$P$2*OFFSET('5  Control Accounts'!$CP$33,R44,0)</f>
        <v>0</v>
      </c>
      <c r="R44" s="537">
        <v>38</v>
      </c>
      <c r="T44" s="1930">
        <f t="shared" ca="1" si="2"/>
        <v>0</v>
      </c>
      <c r="U44" s="1930">
        <f t="shared" ca="1" si="3"/>
        <v>0</v>
      </c>
    </row>
    <row r="45" spans="1:21" s="750" customFormat="1" ht="15.9" customHeight="1" x14ac:dyDescent="0.3">
      <c r="A45" s="961" t="str">
        <f ca="1">IF(Q45=0,"0",OFFSET('5  Control Accounts'!$BF$33,R45,0)&amp;"."&amp;OFFSET('5  Control Accounts'!$BH$33,R45,0))</f>
        <v>0</v>
      </c>
      <c r="B45" s="961" t="str">
        <f t="shared" ca="1" si="0"/>
        <v>0</v>
      </c>
      <c r="C45" s="961" t="str">
        <f ca="1">IF(Q45=0,"0",TEXT(OFFSET('5  Control Accounts'!$BK$33,R45,0),"General"))</f>
        <v>0</v>
      </c>
      <c r="D45" s="961" t="str">
        <f ca="1">IF(Q45=0,"0",TEXT(OFFSET('5  Control Accounts'!$FB$33,R45,0),"General"))</f>
        <v>0</v>
      </c>
      <c r="E45" s="1405" t="str">
        <f t="shared" ca="1" si="6"/>
        <v>0</v>
      </c>
      <c r="F45" s="1405" t="str">
        <f t="shared" ca="1" si="7"/>
        <v>0</v>
      </c>
      <c r="G45" s="1405" t="str">
        <f t="shared" ca="1" si="8"/>
        <v>0</v>
      </c>
      <c r="H45" s="961" t="str">
        <f ca="1">IF(Q45=0,"0",TEXT(OFFSET('5  Control Accounts'!$FG$33,R45,0),"##0.0"))</f>
        <v>0</v>
      </c>
      <c r="I45" s="961" t="str">
        <f ca="1">IF(Q45=0,"0",TEXT(OFFSET('5  Control Accounts'!$FH$33,R45,0),"##0.0"))</f>
        <v>0</v>
      </c>
      <c r="J45" s="961" t="str">
        <f ca="1">IF($Q45=0,"0",'1 Setup'!$I$60)</f>
        <v>0</v>
      </c>
      <c r="K45" s="961" t="str">
        <f ca="1">IF(Q45=0,"0",TEXT(OFFSET('5  Control Accounts'!$FX$33,R45,0),"##0.00"))</f>
        <v>0</v>
      </c>
      <c r="L45" s="961" t="str">
        <f ca="1">IF(Q45=0,"0",TEXT(OFFSET('5  Control Accounts'!$FY$33,R45,0),"##0.00"))</f>
        <v>0</v>
      </c>
      <c r="M45" s="1405" t="str">
        <f t="shared" ca="1" si="1"/>
        <v>0</v>
      </c>
      <c r="N45" s="1326" t="s">
        <v>1901</v>
      </c>
      <c r="O45" s="1356"/>
      <c r="Q45" s="537">
        <f ca="1">$P$2*OFFSET('5  Control Accounts'!$CP$33,R45,0)</f>
        <v>0</v>
      </c>
      <c r="R45" s="537">
        <v>39</v>
      </c>
      <c r="T45" s="1930">
        <f t="shared" ca="1" si="2"/>
        <v>0</v>
      </c>
      <c r="U45" s="1930">
        <f t="shared" ca="1" si="3"/>
        <v>0</v>
      </c>
    </row>
    <row r="46" spans="1:21" s="750" customFormat="1" ht="15.9" customHeight="1" x14ac:dyDescent="0.3">
      <c r="A46" s="961" t="str">
        <f ca="1">IF(Q46=0,"0",OFFSET('5  Control Accounts'!$BF$33,R46,0)&amp;"."&amp;OFFSET('5  Control Accounts'!$BH$33,R46,0))</f>
        <v>0</v>
      </c>
      <c r="B46" s="961" t="str">
        <f t="shared" ca="1" si="0"/>
        <v>0</v>
      </c>
      <c r="C46" s="961" t="str">
        <f ca="1">IF(Q46=0,"0",TEXT(OFFSET('5  Control Accounts'!$BK$33,R46,0),"General"))</f>
        <v>0</v>
      </c>
      <c r="D46" s="961" t="str">
        <f ca="1">IF(Q46=0,"0",TEXT(OFFSET('5  Control Accounts'!$FB$33,R46,0),"General"))</f>
        <v>0</v>
      </c>
      <c r="E46" s="1405" t="str">
        <f t="shared" ca="1" si="6"/>
        <v>0</v>
      </c>
      <c r="F46" s="1405" t="str">
        <f t="shared" ca="1" si="7"/>
        <v>0</v>
      </c>
      <c r="G46" s="1405" t="str">
        <f t="shared" ca="1" si="8"/>
        <v>0</v>
      </c>
      <c r="H46" s="961" t="str">
        <f ca="1">IF(Q46=0,"0",TEXT(OFFSET('5  Control Accounts'!$FG$33,R46,0),"##0.0"))</f>
        <v>0</v>
      </c>
      <c r="I46" s="961" t="str">
        <f ca="1">IF(Q46=0,"0",TEXT(OFFSET('5  Control Accounts'!$FH$33,R46,0),"##0.0"))</f>
        <v>0</v>
      </c>
      <c r="J46" s="961" t="str">
        <f ca="1">IF($Q46=0,"0",'1 Setup'!$I$60)</f>
        <v>0</v>
      </c>
      <c r="K46" s="961" t="str">
        <f ca="1">IF(Q46=0,"0",TEXT(OFFSET('5  Control Accounts'!$FX$33,R46,0),"##0.00"))</f>
        <v>0</v>
      </c>
      <c r="L46" s="961" t="str">
        <f ca="1">IF(Q46=0,"0",TEXT(OFFSET('5  Control Accounts'!$FY$33,R46,0),"##0.00"))</f>
        <v>0</v>
      </c>
      <c r="M46" s="1405" t="str">
        <f t="shared" ca="1" si="1"/>
        <v>0</v>
      </c>
      <c r="N46" s="1326" t="s">
        <v>1902</v>
      </c>
      <c r="O46" s="1356"/>
      <c r="Q46" s="537">
        <f ca="1">$P$2*OFFSET('5  Control Accounts'!$CP$33,R46,0)</f>
        <v>0</v>
      </c>
      <c r="R46" s="537">
        <v>40</v>
      </c>
      <c r="T46" s="1930">
        <f t="shared" ca="1" si="2"/>
        <v>0</v>
      </c>
      <c r="U46" s="1930">
        <f t="shared" ca="1" si="3"/>
        <v>0</v>
      </c>
    </row>
    <row r="47" spans="1:21" s="750" customFormat="1" ht="15.9" customHeight="1" x14ac:dyDescent="0.3">
      <c r="A47" s="961" t="str">
        <f ca="1">IF(Q47=0,"0",OFFSET('5  Control Accounts'!$BF$33,R47,0)&amp;"."&amp;OFFSET('5  Control Accounts'!$BH$33,R47,0))</f>
        <v>0</v>
      </c>
      <c r="B47" s="961" t="str">
        <f t="shared" ca="1" si="0"/>
        <v>0</v>
      </c>
      <c r="C47" s="961" t="str">
        <f ca="1">IF(Q47=0,"0",TEXT(OFFSET('5  Control Accounts'!$BK$33,R47,0),"General"))</f>
        <v>0</v>
      </c>
      <c r="D47" s="961" t="str">
        <f ca="1">IF(Q47=0,"0",TEXT(OFFSET('5  Control Accounts'!$FB$33,R47,0),"General"))</f>
        <v>0</v>
      </c>
      <c r="E47" s="1405" t="str">
        <f t="shared" ca="1" si="6"/>
        <v>0</v>
      </c>
      <c r="F47" s="1405" t="str">
        <f t="shared" ca="1" si="7"/>
        <v>0</v>
      </c>
      <c r="G47" s="1405" t="str">
        <f t="shared" ca="1" si="8"/>
        <v>0</v>
      </c>
      <c r="H47" s="961" t="str">
        <f ca="1">IF(Q47=0,"0",TEXT(OFFSET('5  Control Accounts'!$FG$33,R47,0),"##0.0"))</f>
        <v>0</v>
      </c>
      <c r="I47" s="961" t="str">
        <f ca="1">IF(Q47=0,"0",TEXT(OFFSET('5  Control Accounts'!$FH$33,R47,0),"##0.0"))</f>
        <v>0</v>
      </c>
      <c r="J47" s="961" t="str">
        <f ca="1">IF($Q47=0,"0",'1 Setup'!$I$60)</f>
        <v>0</v>
      </c>
      <c r="K47" s="961" t="str">
        <f ca="1">IF(Q47=0,"0",TEXT(OFFSET('5  Control Accounts'!$FX$33,R47,0),"##0.00"))</f>
        <v>0</v>
      </c>
      <c r="L47" s="961" t="str">
        <f ca="1">IF(Q47=0,"0",TEXT(OFFSET('5  Control Accounts'!$FY$33,R47,0),"##0.00"))</f>
        <v>0</v>
      </c>
      <c r="M47" s="1405" t="str">
        <f t="shared" ca="1" si="1"/>
        <v>0</v>
      </c>
      <c r="N47" s="1326" t="s">
        <v>1903</v>
      </c>
      <c r="O47" s="1356"/>
      <c r="Q47" s="537">
        <f ca="1">$P$2*OFFSET('5  Control Accounts'!$CP$33,R47,0)</f>
        <v>0</v>
      </c>
      <c r="R47" s="537">
        <v>41</v>
      </c>
      <c r="T47" s="1930">
        <f t="shared" ca="1" si="2"/>
        <v>0</v>
      </c>
      <c r="U47" s="1930">
        <f t="shared" ca="1" si="3"/>
        <v>0</v>
      </c>
    </row>
    <row r="48" spans="1:21" s="750" customFormat="1" ht="15.9" customHeight="1" x14ac:dyDescent="0.3">
      <c r="A48" s="961" t="str">
        <f ca="1">IF(Q48=0,"0",OFFSET('5  Control Accounts'!$BF$33,R48,0)&amp;"."&amp;OFFSET('5  Control Accounts'!$BH$33,R48,0))</f>
        <v>0</v>
      </c>
      <c r="B48" s="961" t="str">
        <f t="shared" ca="1" si="0"/>
        <v>0</v>
      </c>
      <c r="C48" s="961" t="str">
        <f ca="1">IF(Q48=0,"0",TEXT(OFFSET('5  Control Accounts'!$BK$33,R48,0),"General"))</f>
        <v>0</v>
      </c>
      <c r="D48" s="961" t="str">
        <f ca="1">IF(Q48=0,"0",TEXT(OFFSET('5  Control Accounts'!$FB$33,R48,0),"General"))</f>
        <v>0</v>
      </c>
      <c r="E48" s="1405" t="str">
        <f t="shared" ca="1" si="6"/>
        <v>0</v>
      </c>
      <c r="F48" s="1405" t="str">
        <f t="shared" ca="1" si="7"/>
        <v>0</v>
      </c>
      <c r="G48" s="1405" t="str">
        <f t="shared" ca="1" si="8"/>
        <v>0</v>
      </c>
      <c r="H48" s="961" t="str">
        <f ca="1">IF(Q48=0,"0",TEXT(OFFSET('5  Control Accounts'!$FG$33,R48,0),"##0.0"))</f>
        <v>0</v>
      </c>
      <c r="I48" s="961" t="str">
        <f ca="1">IF(Q48=0,"0",TEXT(OFFSET('5  Control Accounts'!$FH$33,R48,0),"##0.0"))</f>
        <v>0</v>
      </c>
      <c r="J48" s="961" t="str">
        <f ca="1">IF($Q48=0,"0",'1 Setup'!$I$60)</f>
        <v>0</v>
      </c>
      <c r="K48" s="961" t="str">
        <f ca="1">IF(Q48=0,"0",TEXT(OFFSET('5  Control Accounts'!$FX$33,R48,0),"##0.00"))</f>
        <v>0</v>
      </c>
      <c r="L48" s="961" t="str">
        <f ca="1">IF(Q48=0,"0",TEXT(OFFSET('5  Control Accounts'!$FY$33,R48,0),"##0.00"))</f>
        <v>0</v>
      </c>
      <c r="M48" s="1405" t="str">
        <f t="shared" ca="1" si="1"/>
        <v>0</v>
      </c>
      <c r="N48" s="1326" t="s">
        <v>1904</v>
      </c>
      <c r="O48" s="1356"/>
      <c r="Q48" s="537">
        <f ca="1">$P$2*OFFSET('5  Control Accounts'!$CP$33,R48,0)</f>
        <v>0</v>
      </c>
      <c r="R48" s="537">
        <v>42</v>
      </c>
      <c r="T48" s="1930">
        <f t="shared" ca="1" si="2"/>
        <v>0</v>
      </c>
      <c r="U48" s="1930">
        <f t="shared" ca="1" si="3"/>
        <v>0</v>
      </c>
    </row>
    <row r="49" spans="1:21" s="750" customFormat="1" ht="15.9" customHeight="1" x14ac:dyDescent="0.3">
      <c r="A49" s="961" t="str">
        <f ca="1">IF(Q49=0,"0",OFFSET('5  Control Accounts'!$BF$33,R49,0)&amp;"."&amp;OFFSET('5  Control Accounts'!$BH$33,R49,0))</f>
        <v>0</v>
      </c>
      <c r="B49" s="961" t="str">
        <f t="shared" ca="1" si="0"/>
        <v>0</v>
      </c>
      <c r="C49" s="961" t="str">
        <f ca="1">IF(Q49=0,"0",TEXT(OFFSET('5  Control Accounts'!$BK$33,R49,0),"General"))</f>
        <v>0</v>
      </c>
      <c r="D49" s="961" t="str">
        <f ca="1">IF(Q49=0,"0",TEXT(OFFSET('5  Control Accounts'!$FB$33,R49,0),"General"))</f>
        <v>0</v>
      </c>
      <c r="E49" s="1405" t="str">
        <f t="shared" ca="1" si="6"/>
        <v>0</v>
      </c>
      <c r="F49" s="1405" t="str">
        <f t="shared" ca="1" si="7"/>
        <v>0</v>
      </c>
      <c r="G49" s="1405" t="str">
        <f t="shared" ca="1" si="8"/>
        <v>0</v>
      </c>
      <c r="H49" s="961" t="str">
        <f ca="1">IF(Q49=0,"0",TEXT(OFFSET('5  Control Accounts'!$FG$33,R49,0),"##0.0"))</f>
        <v>0</v>
      </c>
      <c r="I49" s="961" t="str">
        <f ca="1">IF(Q49=0,"0",TEXT(OFFSET('5  Control Accounts'!$FH$33,R49,0),"##0.0"))</f>
        <v>0</v>
      </c>
      <c r="J49" s="961" t="str">
        <f ca="1">IF($Q49=0,"0",'1 Setup'!$I$60)</f>
        <v>0</v>
      </c>
      <c r="K49" s="961" t="str">
        <f ca="1">IF(Q49=0,"0",TEXT(OFFSET('5  Control Accounts'!$FX$33,R49,0),"##0.00"))</f>
        <v>0</v>
      </c>
      <c r="L49" s="961" t="str">
        <f ca="1">IF(Q49=0,"0",TEXT(OFFSET('5  Control Accounts'!$FY$33,R49,0),"##0.00"))</f>
        <v>0</v>
      </c>
      <c r="M49" s="1405" t="str">
        <f t="shared" ca="1" si="1"/>
        <v>0</v>
      </c>
      <c r="N49" s="1326" t="s">
        <v>1905</v>
      </c>
      <c r="O49" s="1356"/>
      <c r="Q49" s="537">
        <f ca="1">$P$2*OFFSET('5  Control Accounts'!$CP$33,R49,0)</f>
        <v>0</v>
      </c>
      <c r="R49" s="537">
        <v>43</v>
      </c>
      <c r="T49" s="1930">
        <f t="shared" ca="1" si="2"/>
        <v>0</v>
      </c>
      <c r="U49" s="1930">
        <f t="shared" ca="1" si="3"/>
        <v>0</v>
      </c>
    </row>
    <row r="50" spans="1:21" s="750" customFormat="1" ht="15.9" customHeight="1" x14ac:dyDescent="0.3">
      <c r="A50" s="961" t="str">
        <f ca="1">IF(Q50=0,"0",OFFSET('5  Control Accounts'!$BF$33,R50,0)&amp;"."&amp;OFFSET('5  Control Accounts'!$BH$33,R50,0))</f>
        <v>0</v>
      </c>
      <c r="B50" s="961" t="str">
        <f t="shared" ca="1" si="0"/>
        <v>0</v>
      </c>
      <c r="C50" s="961" t="str">
        <f ca="1">IF(Q50=0,"0",TEXT(OFFSET('5  Control Accounts'!$BK$33,R50,0),"General"))</f>
        <v>0</v>
      </c>
      <c r="D50" s="961" t="str">
        <f ca="1">IF(Q50=0,"0",TEXT(OFFSET('5  Control Accounts'!$FB$33,R50,0),"General"))</f>
        <v>0</v>
      </c>
      <c r="E50" s="1405" t="str">
        <f t="shared" ca="1" si="6"/>
        <v>0</v>
      </c>
      <c r="F50" s="1405" t="str">
        <f t="shared" ca="1" si="7"/>
        <v>0</v>
      </c>
      <c r="G50" s="1405" t="str">
        <f t="shared" ca="1" si="8"/>
        <v>0</v>
      </c>
      <c r="H50" s="961" t="str">
        <f ca="1">IF(Q50=0,"0",TEXT(OFFSET('5  Control Accounts'!$FG$33,R50,0),"##0.0"))</f>
        <v>0</v>
      </c>
      <c r="I50" s="961" t="str">
        <f ca="1">IF(Q50=0,"0",TEXT(OFFSET('5  Control Accounts'!$FH$33,R50,0),"##0.0"))</f>
        <v>0</v>
      </c>
      <c r="J50" s="961" t="str">
        <f ca="1">IF($Q50=0,"0",'1 Setup'!$I$60)</f>
        <v>0</v>
      </c>
      <c r="K50" s="961" t="str">
        <f ca="1">IF(Q50=0,"0",TEXT(OFFSET('5  Control Accounts'!$FX$33,R50,0),"##0.00"))</f>
        <v>0</v>
      </c>
      <c r="L50" s="961" t="str">
        <f ca="1">IF(Q50=0,"0",TEXT(OFFSET('5  Control Accounts'!$FY$33,R50,0),"##0.00"))</f>
        <v>0</v>
      </c>
      <c r="M50" s="1405" t="str">
        <f t="shared" ca="1" si="1"/>
        <v>0</v>
      </c>
      <c r="N50" s="1326" t="s">
        <v>1906</v>
      </c>
      <c r="O50" s="1356"/>
      <c r="Q50" s="537">
        <f ca="1">$P$2*OFFSET('5  Control Accounts'!$CP$33,R50,0)</f>
        <v>0</v>
      </c>
      <c r="R50" s="537">
        <v>44</v>
      </c>
      <c r="T50" s="1930">
        <f t="shared" ca="1" si="2"/>
        <v>0</v>
      </c>
      <c r="U50" s="1930">
        <f t="shared" ca="1" si="3"/>
        <v>0</v>
      </c>
    </row>
    <row r="51" spans="1:21" s="750" customFormat="1" ht="15.9" customHeight="1" x14ac:dyDescent="0.3">
      <c r="A51" s="961" t="str">
        <f ca="1">IF(Q51=0,"0",OFFSET('5  Control Accounts'!$BF$33,R51,0)&amp;"."&amp;OFFSET('5  Control Accounts'!$BH$33,R51,0))</f>
        <v>0</v>
      </c>
      <c r="B51" s="961" t="str">
        <f t="shared" ca="1" si="0"/>
        <v>0</v>
      </c>
      <c r="C51" s="961" t="str">
        <f ca="1">IF(Q51=0,"0",TEXT(OFFSET('5  Control Accounts'!$BK$33,R51,0),"General"))</f>
        <v>0</v>
      </c>
      <c r="D51" s="961" t="str">
        <f ca="1">IF(Q51=0,"0",TEXT(OFFSET('5  Control Accounts'!$FB$33,R51,0),"General"))</f>
        <v>0</v>
      </c>
      <c r="E51" s="1405" t="str">
        <f t="shared" ca="1" si="6"/>
        <v>0</v>
      </c>
      <c r="F51" s="1405" t="str">
        <f t="shared" ca="1" si="7"/>
        <v>0</v>
      </c>
      <c r="G51" s="1405" t="str">
        <f t="shared" ca="1" si="8"/>
        <v>0</v>
      </c>
      <c r="H51" s="961" t="str">
        <f ca="1">IF(Q51=0,"0",TEXT(OFFSET('5  Control Accounts'!$FG$33,R51,0),"##0.0"))</f>
        <v>0</v>
      </c>
      <c r="I51" s="961" t="str">
        <f ca="1">IF(Q51=0,"0",TEXT(OFFSET('5  Control Accounts'!$FH$33,R51,0),"##0.0"))</f>
        <v>0</v>
      </c>
      <c r="J51" s="961" t="str">
        <f ca="1">IF($Q51=0,"0",'1 Setup'!$I$60)</f>
        <v>0</v>
      </c>
      <c r="K51" s="961" t="str">
        <f ca="1">IF(Q51=0,"0",TEXT(OFFSET('5  Control Accounts'!$FX$33,R51,0),"##0.00"))</f>
        <v>0</v>
      </c>
      <c r="L51" s="961" t="str">
        <f ca="1">IF(Q51=0,"0",TEXT(OFFSET('5  Control Accounts'!$FY$33,R51,0),"##0.00"))</f>
        <v>0</v>
      </c>
      <c r="M51" s="1405" t="str">
        <f t="shared" ca="1" si="1"/>
        <v>0</v>
      </c>
      <c r="N51" s="1326" t="s">
        <v>1907</v>
      </c>
      <c r="O51" s="1356"/>
      <c r="Q51" s="537">
        <f ca="1">$P$2*OFFSET('5  Control Accounts'!$CP$33,R51,0)</f>
        <v>0</v>
      </c>
      <c r="R51" s="537">
        <v>45</v>
      </c>
      <c r="T51" s="1930">
        <f t="shared" ca="1" si="2"/>
        <v>0</v>
      </c>
      <c r="U51" s="1930">
        <f t="shared" ca="1" si="3"/>
        <v>0</v>
      </c>
    </row>
    <row r="52" spans="1:21" s="750" customFormat="1" ht="15.9" customHeight="1" x14ac:dyDescent="0.3">
      <c r="A52" s="961" t="str">
        <f ca="1">IF(Q52=0,"0",OFFSET('5  Control Accounts'!$BF$33,R52,0)&amp;"."&amp;OFFSET('5  Control Accounts'!$BH$33,R52,0))</f>
        <v>0</v>
      </c>
      <c r="B52" s="961" t="str">
        <f t="shared" ca="1" si="0"/>
        <v>0</v>
      </c>
      <c r="C52" s="961" t="str">
        <f ca="1">IF(Q52=0,"0",TEXT(OFFSET('5  Control Accounts'!$BK$33,R52,0),"General"))</f>
        <v>0</v>
      </c>
      <c r="D52" s="961" t="str">
        <f ca="1">IF(Q52=0,"0",TEXT(OFFSET('5  Control Accounts'!$FB$33,R52,0),"General"))</f>
        <v>0</v>
      </c>
      <c r="E52" s="1405" t="str">
        <f t="shared" ca="1" si="6"/>
        <v>0</v>
      </c>
      <c r="F52" s="1405" t="str">
        <f t="shared" ca="1" si="7"/>
        <v>0</v>
      </c>
      <c r="G52" s="1405" t="str">
        <f t="shared" ca="1" si="8"/>
        <v>0</v>
      </c>
      <c r="H52" s="961" t="str">
        <f ca="1">IF(Q52=0,"0",TEXT(OFFSET('5  Control Accounts'!$FG$33,R52,0),"##0.0"))</f>
        <v>0</v>
      </c>
      <c r="I52" s="961" t="str">
        <f ca="1">IF(Q52=0,"0",TEXT(OFFSET('5  Control Accounts'!$FH$33,R52,0),"##0.0"))</f>
        <v>0</v>
      </c>
      <c r="J52" s="961" t="str">
        <f ca="1">IF($Q52=0,"0",'1 Setup'!$I$60)</f>
        <v>0</v>
      </c>
      <c r="K52" s="961" t="str">
        <f ca="1">IF(Q52=0,"0",TEXT(OFFSET('5  Control Accounts'!$FX$33,R52,0),"##0.00"))</f>
        <v>0</v>
      </c>
      <c r="L52" s="961" t="str">
        <f ca="1">IF(Q52=0,"0",TEXT(OFFSET('5  Control Accounts'!$FY$33,R52,0),"##0.00"))</f>
        <v>0</v>
      </c>
      <c r="M52" s="1405" t="str">
        <f t="shared" ca="1" si="1"/>
        <v>0</v>
      </c>
      <c r="N52" s="1326" t="s">
        <v>1908</v>
      </c>
      <c r="O52" s="1356"/>
      <c r="Q52" s="537">
        <f ca="1">$P$2*OFFSET('5  Control Accounts'!$CP$33,R52,0)</f>
        <v>0</v>
      </c>
      <c r="R52" s="537">
        <v>46</v>
      </c>
      <c r="T52" s="1930">
        <f t="shared" ca="1" si="2"/>
        <v>0</v>
      </c>
      <c r="U52" s="1930">
        <f t="shared" ca="1" si="3"/>
        <v>0</v>
      </c>
    </row>
    <row r="53" spans="1:21" s="750" customFormat="1" ht="15.9" customHeight="1" x14ac:dyDescent="0.3">
      <c r="A53" s="961" t="str">
        <f ca="1">IF(Q53=0,"0",OFFSET('5  Control Accounts'!$BF$33,R53,0)&amp;"."&amp;OFFSET('5  Control Accounts'!$BH$33,R53,0))</f>
        <v>0</v>
      </c>
      <c r="B53" s="961" t="str">
        <f t="shared" ca="1" si="0"/>
        <v>0</v>
      </c>
      <c r="C53" s="961" t="str">
        <f ca="1">IF(Q53=0,"0",TEXT(OFFSET('5  Control Accounts'!$BK$33,R53,0),"General"))</f>
        <v>0</v>
      </c>
      <c r="D53" s="961" t="str">
        <f ca="1">IF(Q53=0,"0",TEXT(OFFSET('5  Control Accounts'!$FB$33,R53,0),"General"))</f>
        <v>0</v>
      </c>
      <c r="E53" s="1405" t="str">
        <f t="shared" ca="1" si="6"/>
        <v>0</v>
      </c>
      <c r="F53" s="1405" t="str">
        <f t="shared" ca="1" si="7"/>
        <v>0</v>
      </c>
      <c r="G53" s="1405" t="str">
        <f t="shared" ca="1" si="8"/>
        <v>0</v>
      </c>
      <c r="H53" s="961" t="str">
        <f ca="1">IF(Q53=0,"0",TEXT(OFFSET('5  Control Accounts'!$FG$33,R53,0),"##0.0"))</f>
        <v>0</v>
      </c>
      <c r="I53" s="961" t="str">
        <f ca="1">IF(Q53=0,"0",TEXT(OFFSET('5  Control Accounts'!$FH$33,R53,0),"##0.0"))</f>
        <v>0</v>
      </c>
      <c r="J53" s="961" t="str">
        <f ca="1">IF($Q53=0,"0",'1 Setup'!$I$60)</f>
        <v>0</v>
      </c>
      <c r="K53" s="961" t="str">
        <f ca="1">IF(Q53=0,"0",TEXT(OFFSET('5  Control Accounts'!$FX$33,R53,0),"##0.00"))</f>
        <v>0</v>
      </c>
      <c r="L53" s="961" t="str">
        <f ca="1">IF(Q53=0,"0",TEXT(OFFSET('5  Control Accounts'!$FY$33,R53,0),"##0.00"))</f>
        <v>0</v>
      </c>
      <c r="M53" s="1405" t="str">
        <f t="shared" ca="1" si="1"/>
        <v>0</v>
      </c>
      <c r="N53" s="1326" t="s">
        <v>1909</v>
      </c>
      <c r="O53" s="1356"/>
      <c r="Q53" s="537">
        <f ca="1">$P$2*OFFSET('5  Control Accounts'!$CP$33,R53,0)</f>
        <v>0</v>
      </c>
      <c r="R53" s="537">
        <v>47</v>
      </c>
      <c r="T53" s="1930">
        <f t="shared" ca="1" si="2"/>
        <v>0</v>
      </c>
      <c r="U53" s="1930">
        <f t="shared" ca="1" si="3"/>
        <v>0</v>
      </c>
    </row>
    <row r="54" spans="1:21" s="750" customFormat="1" ht="15.9" customHeight="1" x14ac:dyDescent="0.3">
      <c r="A54" s="961" t="str">
        <f ca="1">IF(Q54=0,"0",OFFSET('5  Control Accounts'!$BF$33,R54,0)&amp;"."&amp;OFFSET('5  Control Accounts'!$BH$33,R54,0))</f>
        <v>0</v>
      </c>
      <c r="B54" s="961" t="str">
        <f t="shared" ca="1" si="0"/>
        <v>0</v>
      </c>
      <c r="C54" s="961" t="str">
        <f ca="1">IF(Q54=0,"0",TEXT(OFFSET('5  Control Accounts'!$BK$33,R54,0),"General"))</f>
        <v>0</v>
      </c>
      <c r="D54" s="961" t="str">
        <f ca="1">IF(Q54=0,"0",TEXT(OFFSET('5  Control Accounts'!$FB$33,R54,0),"General"))</f>
        <v>0</v>
      </c>
      <c r="E54" s="1405" t="str">
        <f t="shared" ca="1" si="6"/>
        <v>0</v>
      </c>
      <c r="F54" s="1405" t="str">
        <f t="shared" ca="1" si="7"/>
        <v>0</v>
      </c>
      <c r="G54" s="1405" t="str">
        <f t="shared" ca="1" si="8"/>
        <v>0</v>
      </c>
      <c r="H54" s="961" t="str">
        <f ca="1">IF(Q54=0,"0",TEXT(OFFSET('5  Control Accounts'!$FG$33,R54,0),"##0.0"))</f>
        <v>0</v>
      </c>
      <c r="I54" s="961" t="str">
        <f ca="1">IF(Q54=0,"0",TEXT(OFFSET('5  Control Accounts'!$FH$33,R54,0),"##0.0"))</f>
        <v>0</v>
      </c>
      <c r="J54" s="961" t="str">
        <f ca="1">IF($Q54=0,"0",'1 Setup'!$I$60)</f>
        <v>0</v>
      </c>
      <c r="K54" s="961" t="str">
        <f ca="1">IF(Q54=0,"0",TEXT(OFFSET('5  Control Accounts'!$FX$33,R54,0),"##0.00"))</f>
        <v>0</v>
      </c>
      <c r="L54" s="961" t="str">
        <f ca="1">IF(Q54=0,"0",TEXT(OFFSET('5  Control Accounts'!$FY$33,R54,0),"##0.00"))</f>
        <v>0</v>
      </c>
      <c r="M54" s="1405" t="str">
        <f t="shared" ca="1" si="1"/>
        <v>0</v>
      </c>
      <c r="N54" s="1326" t="s">
        <v>1910</v>
      </c>
      <c r="O54" s="1356"/>
      <c r="Q54" s="537">
        <f ca="1">$P$2*OFFSET('5  Control Accounts'!$CP$33,R54,0)</f>
        <v>0</v>
      </c>
      <c r="R54" s="537">
        <v>48</v>
      </c>
      <c r="T54" s="1930">
        <f t="shared" ca="1" si="2"/>
        <v>0</v>
      </c>
      <c r="U54" s="1930">
        <f t="shared" ca="1" si="3"/>
        <v>0</v>
      </c>
    </row>
    <row r="55" spans="1:21" s="750" customFormat="1" ht="15.9" customHeight="1" x14ac:dyDescent="0.3">
      <c r="A55" s="961" t="str">
        <f ca="1">IF(Q55=0,"0",OFFSET('5  Control Accounts'!$BF$33,R55,0)&amp;"."&amp;OFFSET('5  Control Accounts'!$BH$33,R55,0))</f>
        <v>0</v>
      </c>
      <c r="B55" s="961" t="str">
        <f t="shared" ca="1" si="0"/>
        <v>0</v>
      </c>
      <c r="C55" s="961" t="str">
        <f ca="1">IF(Q55=0,"0",TEXT(OFFSET('5  Control Accounts'!$BK$33,R55,0),"General"))</f>
        <v>0</v>
      </c>
      <c r="D55" s="961" t="str">
        <f ca="1">IF(Q55=0,"0",TEXT(OFFSET('5  Control Accounts'!$FB$33,R55,0),"General"))</f>
        <v>0</v>
      </c>
      <c r="E55" s="1405" t="str">
        <f t="shared" ca="1" si="6"/>
        <v>0</v>
      </c>
      <c r="F55" s="1405" t="str">
        <f t="shared" ca="1" si="7"/>
        <v>0</v>
      </c>
      <c r="G55" s="1405" t="str">
        <f t="shared" ca="1" si="8"/>
        <v>0</v>
      </c>
      <c r="H55" s="961" t="str">
        <f ca="1">IF(Q55=0,"0",TEXT(OFFSET('5  Control Accounts'!$FG$33,R55,0),"##0.0"))</f>
        <v>0</v>
      </c>
      <c r="I55" s="961" t="str">
        <f ca="1">IF(Q55=0,"0",TEXT(OFFSET('5  Control Accounts'!$FH$33,R55,0),"##0.0"))</f>
        <v>0</v>
      </c>
      <c r="J55" s="961" t="str">
        <f ca="1">IF($Q55=0,"0",'1 Setup'!$I$60)</f>
        <v>0</v>
      </c>
      <c r="K55" s="961" t="str">
        <f ca="1">IF(Q55=0,"0",TEXT(OFFSET('5  Control Accounts'!$FX$33,R55,0),"##0.00"))</f>
        <v>0</v>
      </c>
      <c r="L55" s="961" t="str">
        <f ca="1">IF(Q55=0,"0",TEXT(OFFSET('5  Control Accounts'!$FY$33,R55,0),"##0.00"))</f>
        <v>0</v>
      </c>
      <c r="M55" s="1405" t="str">
        <f t="shared" ca="1" si="1"/>
        <v>0</v>
      </c>
      <c r="N55" s="1326" t="s">
        <v>1911</v>
      </c>
      <c r="O55" s="1356"/>
      <c r="Q55" s="537">
        <f ca="1">$P$2*OFFSET('5  Control Accounts'!$CP$33,R55,0)</f>
        <v>0</v>
      </c>
      <c r="R55" s="537">
        <v>49</v>
      </c>
      <c r="T55" s="1930">
        <f t="shared" ca="1" si="2"/>
        <v>0</v>
      </c>
      <c r="U55" s="1930">
        <f t="shared" ca="1" si="3"/>
        <v>0</v>
      </c>
    </row>
    <row r="56" spans="1:21" s="750" customFormat="1" ht="15.9" customHeight="1" x14ac:dyDescent="0.3">
      <c r="A56" s="961" t="str">
        <f ca="1">IF(Q56=0,"0",OFFSET('5  Control Accounts'!$BF$33,R56,0)&amp;"."&amp;OFFSET('5  Control Accounts'!$BH$33,R56,0))</f>
        <v>0</v>
      </c>
      <c r="B56" s="961" t="str">
        <f t="shared" ca="1" si="0"/>
        <v>0</v>
      </c>
      <c r="C56" s="961" t="str">
        <f ca="1">IF(Q56=0,"0",TEXT(OFFSET('5  Control Accounts'!$BK$33,R56,0),"General"))</f>
        <v>0</v>
      </c>
      <c r="D56" s="961" t="str">
        <f ca="1">IF(Q56=0,"0",TEXT(OFFSET('5  Control Accounts'!$FB$33,R56,0),"General"))</f>
        <v>0</v>
      </c>
      <c r="E56" s="1405" t="str">
        <f t="shared" ca="1" si="6"/>
        <v>0</v>
      </c>
      <c r="F56" s="1405" t="str">
        <f t="shared" ca="1" si="7"/>
        <v>0</v>
      </c>
      <c r="G56" s="1405" t="str">
        <f t="shared" ca="1" si="8"/>
        <v>0</v>
      </c>
      <c r="H56" s="961" t="str">
        <f ca="1">IF(Q56=0,"0",TEXT(OFFSET('5  Control Accounts'!$FG$33,R56,0),"##0.0"))</f>
        <v>0</v>
      </c>
      <c r="I56" s="961" t="str">
        <f ca="1">IF(Q56=0,"0",TEXT(OFFSET('5  Control Accounts'!$FH$33,R56,0),"##0.0"))</f>
        <v>0</v>
      </c>
      <c r="J56" s="961" t="str">
        <f ca="1">IF($Q56=0,"0",'1 Setup'!$I$60)</f>
        <v>0</v>
      </c>
      <c r="K56" s="961" t="str">
        <f ca="1">IF(Q56=0,"0",TEXT(OFFSET('5  Control Accounts'!$FX$33,R56,0),"##0.00"))</f>
        <v>0</v>
      </c>
      <c r="L56" s="961" t="str">
        <f ca="1">IF(Q56=0,"0",TEXT(OFFSET('5  Control Accounts'!$FY$33,R56,0),"##0.00"))</f>
        <v>0</v>
      </c>
      <c r="M56" s="1405" t="str">
        <f t="shared" ca="1" si="1"/>
        <v>0</v>
      </c>
      <c r="N56" s="1326" t="s">
        <v>1912</v>
      </c>
      <c r="O56" s="1356"/>
      <c r="Q56" s="537">
        <f ca="1">$P$2*OFFSET('5  Control Accounts'!$CP$33,R56,0)</f>
        <v>0</v>
      </c>
      <c r="R56" s="537">
        <v>50</v>
      </c>
      <c r="T56" s="1930">
        <f t="shared" ca="1" si="2"/>
        <v>0</v>
      </c>
      <c r="U56" s="1930">
        <f t="shared" ca="1" si="3"/>
        <v>0</v>
      </c>
    </row>
    <row r="57" spans="1:21" s="750" customFormat="1" ht="15.9" customHeight="1" x14ac:dyDescent="0.3">
      <c r="A57" s="961" t="str">
        <f ca="1">IF(Q57=0,"0",OFFSET('5  Control Accounts'!$BF$33,R57,0)&amp;"."&amp;OFFSET('5  Control Accounts'!$BH$33,R57,0))</f>
        <v>0</v>
      </c>
      <c r="B57" s="961" t="str">
        <f t="shared" ca="1" si="0"/>
        <v>0</v>
      </c>
      <c r="C57" s="961" t="str">
        <f ca="1">IF(Q57=0,"0",TEXT(OFFSET('5  Control Accounts'!$BK$33,R57,0),"General"))</f>
        <v>0</v>
      </c>
      <c r="D57" s="961" t="str">
        <f ca="1">IF(Q57=0,"0",TEXT(OFFSET('5  Control Accounts'!$FB$33,R57,0),"General"))</f>
        <v>0</v>
      </c>
      <c r="E57" s="1405" t="str">
        <f t="shared" ca="1" si="6"/>
        <v>0</v>
      </c>
      <c r="F57" s="1405" t="str">
        <f t="shared" ca="1" si="7"/>
        <v>0</v>
      </c>
      <c r="G57" s="1405" t="str">
        <f t="shared" ca="1" si="8"/>
        <v>0</v>
      </c>
      <c r="H57" s="961" t="str">
        <f ca="1">IF(Q57=0,"0",TEXT(OFFSET('5  Control Accounts'!$FG$33,R57,0),"##0.0"))</f>
        <v>0</v>
      </c>
      <c r="I57" s="961" t="str">
        <f ca="1">IF(Q57=0,"0",TEXT(OFFSET('5  Control Accounts'!$FH$33,R57,0),"##0.0"))</f>
        <v>0</v>
      </c>
      <c r="J57" s="961" t="str">
        <f ca="1">IF($Q57=0,"0",'1 Setup'!$I$60)</f>
        <v>0</v>
      </c>
      <c r="K57" s="961" t="str">
        <f ca="1">IF(Q57=0,"0",TEXT(OFFSET('5  Control Accounts'!$FX$33,R57,0),"##0.00"))</f>
        <v>0</v>
      </c>
      <c r="L57" s="961" t="str">
        <f ca="1">IF(Q57=0,"0",TEXT(OFFSET('5  Control Accounts'!$FY$33,R57,0),"##0.00"))</f>
        <v>0</v>
      </c>
      <c r="M57" s="1405" t="str">
        <f t="shared" ca="1" si="1"/>
        <v>0</v>
      </c>
      <c r="N57" s="1326" t="s">
        <v>1913</v>
      </c>
      <c r="O57" s="1356"/>
      <c r="Q57" s="537">
        <f ca="1">$P$2*OFFSET('5  Control Accounts'!$CP$33,R57,0)</f>
        <v>0</v>
      </c>
      <c r="R57" s="537">
        <v>51</v>
      </c>
      <c r="T57" s="1930">
        <f t="shared" ca="1" si="2"/>
        <v>0</v>
      </c>
      <c r="U57" s="1930">
        <f t="shared" ca="1" si="3"/>
        <v>0</v>
      </c>
    </row>
    <row r="58" spans="1:21" s="750" customFormat="1" ht="15.9" customHeight="1" x14ac:dyDescent="0.3">
      <c r="A58" s="961" t="str">
        <f ca="1">IF(Q58=0,"0",OFFSET('5  Control Accounts'!$BF$33,R58,0)&amp;"."&amp;OFFSET('5  Control Accounts'!$BH$33,R58,0))</f>
        <v>0</v>
      </c>
      <c r="B58" s="961" t="str">
        <f t="shared" ca="1" si="0"/>
        <v>0</v>
      </c>
      <c r="C58" s="961" t="str">
        <f ca="1">IF(Q58=0,"0",TEXT(OFFSET('5  Control Accounts'!$BK$33,R58,0),"General"))</f>
        <v>0</v>
      </c>
      <c r="D58" s="961" t="str">
        <f ca="1">IF(Q58=0,"0",TEXT(OFFSET('5  Control Accounts'!$FB$33,R58,0),"General"))</f>
        <v>0</v>
      </c>
      <c r="E58" s="1405" t="str">
        <f t="shared" ca="1" si="6"/>
        <v>0</v>
      </c>
      <c r="F58" s="1405" t="str">
        <f t="shared" ca="1" si="7"/>
        <v>0</v>
      </c>
      <c r="G58" s="1405" t="str">
        <f t="shared" ca="1" si="8"/>
        <v>0</v>
      </c>
      <c r="H58" s="961" t="str">
        <f ca="1">IF(Q58=0,"0",TEXT(OFFSET('5  Control Accounts'!$FG$33,R58,0),"##0.0"))</f>
        <v>0</v>
      </c>
      <c r="I58" s="961" t="str">
        <f ca="1">IF(Q58=0,"0",TEXT(OFFSET('5  Control Accounts'!$FH$33,R58,0),"##0.0"))</f>
        <v>0</v>
      </c>
      <c r="J58" s="961" t="str">
        <f ca="1">IF($Q58=0,"0",'1 Setup'!$I$60)</f>
        <v>0</v>
      </c>
      <c r="K58" s="961" t="str">
        <f ca="1">IF(Q58=0,"0",TEXT(OFFSET('5  Control Accounts'!$FX$33,R58,0),"##0.00"))</f>
        <v>0</v>
      </c>
      <c r="L58" s="961" t="str">
        <f ca="1">IF(Q58=0,"0",TEXT(OFFSET('5  Control Accounts'!$FY$33,R58,0),"##0.00"))</f>
        <v>0</v>
      </c>
      <c r="M58" s="1405" t="str">
        <f t="shared" ca="1" si="1"/>
        <v>0</v>
      </c>
      <c r="N58" s="1326" t="s">
        <v>1914</v>
      </c>
      <c r="O58" s="1356"/>
      <c r="Q58" s="537">
        <f ca="1">$P$2*OFFSET('5  Control Accounts'!$CP$33,R58,0)</f>
        <v>0</v>
      </c>
      <c r="R58" s="537">
        <v>52</v>
      </c>
      <c r="T58" s="1930">
        <f t="shared" ca="1" si="2"/>
        <v>0</v>
      </c>
      <c r="U58" s="1930">
        <f t="shared" ca="1" si="3"/>
        <v>0</v>
      </c>
    </row>
    <row r="59" spans="1:21" s="750" customFormat="1" ht="15.9" customHeight="1" x14ac:dyDescent="0.3">
      <c r="A59" s="961" t="str">
        <f ca="1">IF(Q59=0,"0",OFFSET('5  Control Accounts'!$BF$33,R59,0)&amp;"."&amp;OFFSET('5  Control Accounts'!$BH$33,R59,0))</f>
        <v>0</v>
      </c>
      <c r="B59" s="961" t="str">
        <f t="shared" ca="1" si="0"/>
        <v>0</v>
      </c>
      <c r="C59" s="961" t="str">
        <f ca="1">IF(Q59=0,"0",TEXT(OFFSET('5  Control Accounts'!$BK$33,R59,0),"General"))</f>
        <v>0</v>
      </c>
      <c r="D59" s="961" t="str">
        <f ca="1">IF(Q59=0,"0",TEXT(OFFSET('5  Control Accounts'!$FB$33,R59,0),"General"))</f>
        <v>0</v>
      </c>
      <c r="E59" s="1405" t="str">
        <f t="shared" ca="1" si="6"/>
        <v>0</v>
      </c>
      <c r="F59" s="1405" t="str">
        <f t="shared" ca="1" si="7"/>
        <v>0</v>
      </c>
      <c r="G59" s="1405" t="str">
        <f t="shared" ca="1" si="8"/>
        <v>0</v>
      </c>
      <c r="H59" s="961" t="str">
        <f ca="1">IF(Q59=0,"0",TEXT(OFFSET('5  Control Accounts'!$FG$33,R59,0),"##0.0"))</f>
        <v>0</v>
      </c>
      <c r="I59" s="961" t="str">
        <f ca="1">IF(Q59=0,"0",TEXT(OFFSET('5  Control Accounts'!$FH$33,R59,0),"##0.0"))</f>
        <v>0</v>
      </c>
      <c r="J59" s="961" t="str">
        <f ca="1">IF($Q59=0,"0",'1 Setup'!$I$60)</f>
        <v>0</v>
      </c>
      <c r="K59" s="961" t="str">
        <f ca="1">IF(Q59=0,"0",TEXT(OFFSET('5  Control Accounts'!$FX$33,R59,0),"##0.00"))</f>
        <v>0</v>
      </c>
      <c r="L59" s="961" t="str">
        <f ca="1">IF(Q59=0,"0",TEXT(OFFSET('5  Control Accounts'!$FY$33,R59,0),"##0.00"))</f>
        <v>0</v>
      </c>
      <c r="M59" s="1405" t="str">
        <f t="shared" ca="1" si="1"/>
        <v>0</v>
      </c>
      <c r="N59" s="1326" t="s">
        <v>1915</v>
      </c>
      <c r="O59" s="1356"/>
      <c r="Q59" s="537">
        <f ca="1">$P$2*OFFSET('5  Control Accounts'!$CP$33,R59,0)</f>
        <v>0</v>
      </c>
      <c r="R59" s="537">
        <v>53</v>
      </c>
      <c r="T59" s="1930">
        <f t="shared" ca="1" si="2"/>
        <v>0</v>
      </c>
      <c r="U59" s="1930">
        <f t="shared" ca="1" si="3"/>
        <v>0</v>
      </c>
    </row>
    <row r="60" spans="1:21" s="750" customFormat="1" ht="15.9" customHeight="1" x14ac:dyDescent="0.3">
      <c r="A60" s="961" t="str">
        <f ca="1">IF(Q60=0,"0",OFFSET('5  Control Accounts'!$BF$33,R60,0)&amp;"."&amp;OFFSET('5  Control Accounts'!$BH$33,R60,0))</f>
        <v>0</v>
      </c>
      <c r="B60" s="961" t="str">
        <f t="shared" ca="1" si="0"/>
        <v>0</v>
      </c>
      <c r="C60" s="961" t="str">
        <f ca="1">IF(Q60=0,"0",TEXT(OFFSET('5  Control Accounts'!$BK$33,R60,0),"General"))</f>
        <v>0</v>
      </c>
      <c r="D60" s="961" t="str">
        <f ca="1">IF(Q60=0,"0",TEXT(OFFSET('5  Control Accounts'!$FB$33,R60,0),"General"))</f>
        <v>0</v>
      </c>
      <c r="E60" s="1405" t="str">
        <f t="shared" ca="1" si="6"/>
        <v>0</v>
      </c>
      <c r="F60" s="1405" t="str">
        <f t="shared" ca="1" si="7"/>
        <v>0</v>
      </c>
      <c r="G60" s="1405" t="str">
        <f t="shared" ca="1" si="8"/>
        <v>0</v>
      </c>
      <c r="H60" s="961" t="str">
        <f ca="1">IF(Q60=0,"0",TEXT(OFFSET('5  Control Accounts'!$FG$33,R60,0),"##0.0"))</f>
        <v>0</v>
      </c>
      <c r="I60" s="961" t="str">
        <f ca="1">IF(Q60=0,"0",TEXT(OFFSET('5  Control Accounts'!$FH$33,R60,0),"##0.0"))</f>
        <v>0</v>
      </c>
      <c r="J60" s="961" t="str">
        <f ca="1">IF($Q60=0,"0",'1 Setup'!$I$60)</f>
        <v>0</v>
      </c>
      <c r="K60" s="961" t="str">
        <f ca="1">IF(Q60=0,"0",TEXT(OFFSET('5  Control Accounts'!$FX$33,R60,0),"##0.00"))</f>
        <v>0</v>
      </c>
      <c r="L60" s="961" t="str">
        <f ca="1">IF(Q60=0,"0",TEXT(OFFSET('5  Control Accounts'!$FY$33,R60,0),"##0.00"))</f>
        <v>0</v>
      </c>
      <c r="M60" s="1405" t="str">
        <f t="shared" ca="1" si="1"/>
        <v>0</v>
      </c>
      <c r="N60" s="1326" t="s">
        <v>1916</v>
      </c>
      <c r="O60" s="1356"/>
      <c r="Q60" s="537">
        <f ca="1">$P$2*OFFSET('5  Control Accounts'!$CP$33,R60,0)</f>
        <v>0</v>
      </c>
      <c r="R60" s="537">
        <v>54</v>
      </c>
      <c r="T60" s="1930">
        <f t="shared" ca="1" si="2"/>
        <v>0</v>
      </c>
      <c r="U60" s="1930">
        <f t="shared" ca="1" si="3"/>
        <v>0</v>
      </c>
    </row>
    <row r="61" spans="1:21" s="750" customFormat="1" ht="15.9" customHeight="1" x14ac:dyDescent="0.3">
      <c r="A61" s="961" t="str">
        <f ca="1">IF(Q61=0,"0",OFFSET('5  Control Accounts'!$BF$33,R61,0)&amp;"."&amp;OFFSET('5  Control Accounts'!$BH$33,R61,0))</f>
        <v>0</v>
      </c>
      <c r="B61" s="961" t="str">
        <f t="shared" ca="1" si="0"/>
        <v>0</v>
      </c>
      <c r="C61" s="961" t="str">
        <f ca="1">IF(Q61=0,"0",TEXT(OFFSET('5  Control Accounts'!$BK$33,R61,0),"General"))</f>
        <v>0</v>
      </c>
      <c r="D61" s="961" t="str">
        <f ca="1">IF(Q61=0,"0",TEXT(OFFSET('5  Control Accounts'!$FB$33,R61,0),"General"))</f>
        <v>0</v>
      </c>
      <c r="E61" s="1405" t="str">
        <f t="shared" ca="1" si="6"/>
        <v>0</v>
      </c>
      <c r="F61" s="1405" t="str">
        <f t="shared" ca="1" si="7"/>
        <v>0</v>
      </c>
      <c r="G61" s="1405" t="str">
        <f t="shared" ca="1" si="8"/>
        <v>0</v>
      </c>
      <c r="H61" s="961" t="str">
        <f ca="1">IF(Q61=0,"0",TEXT(OFFSET('5  Control Accounts'!$FG$33,R61,0),"##0.0"))</f>
        <v>0</v>
      </c>
      <c r="I61" s="961" t="str">
        <f ca="1">IF(Q61=0,"0",TEXT(OFFSET('5  Control Accounts'!$FH$33,R61,0),"##0.0"))</f>
        <v>0</v>
      </c>
      <c r="J61" s="961" t="str">
        <f ca="1">IF($Q61=0,"0",'1 Setup'!$I$60)</f>
        <v>0</v>
      </c>
      <c r="K61" s="961" t="str">
        <f ca="1">IF(Q61=0,"0",TEXT(OFFSET('5  Control Accounts'!$FX$33,R61,0),"##0.00"))</f>
        <v>0</v>
      </c>
      <c r="L61" s="961" t="str">
        <f ca="1">IF(Q61=0,"0",TEXT(OFFSET('5  Control Accounts'!$FY$33,R61,0),"##0.00"))</f>
        <v>0</v>
      </c>
      <c r="M61" s="1405" t="str">
        <f t="shared" ca="1" si="1"/>
        <v>0</v>
      </c>
      <c r="N61" s="1326" t="s">
        <v>1917</v>
      </c>
      <c r="O61" s="1356"/>
      <c r="Q61" s="537">
        <f ca="1">$P$2*OFFSET('5  Control Accounts'!$CP$33,R61,0)</f>
        <v>0</v>
      </c>
      <c r="R61" s="537">
        <v>55</v>
      </c>
      <c r="T61" s="1930">
        <f t="shared" ca="1" si="2"/>
        <v>0</v>
      </c>
      <c r="U61" s="1930">
        <f t="shared" ca="1" si="3"/>
        <v>0</v>
      </c>
    </row>
    <row r="62" spans="1:21" s="750" customFormat="1" ht="15.9" customHeight="1" x14ac:dyDescent="0.3">
      <c r="A62" s="961" t="str">
        <f ca="1">IF(Q62=0,"0",OFFSET('5  Control Accounts'!$BF$33,R62,0)&amp;"."&amp;OFFSET('5  Control Accounts'!$BH$33,R62,0))</f>
        <v>0</v>
      </c>
      <c r="B62" s="961" t="str">
        <f t="shared" ca="1" si="0"/>
        <v>0</v>
      </c>
      <c r="C62" s="961" t="str">
        <f ca="1">IF(Q62=0,"0",TEXT(OFFSET('5  Control Accounts'!$BK$33,R62,0),"General"))</f>
        <v>0</v>
      </c>
      <c r="D62" s="961" t="str">
        <f ca="1">IF(Q62=0,"0",TEXT(OFFSET('5  Control Accounts'!$FB$33,R62,0),"General"))</f>
        <v>0</v>
      </c>
      <c r="E62" s="1405" t="str">
        <f t="shared" ca="1" si="6"/>
        <v>0</v>
      </c>
      <c r="F62" s="1405" t="str">
        <f t="shared" ca="1" si="7"/>
        <v>0</v>
      </c>
      <c r="G62" s="1405" t="str">
        <f t="shared" ca="1" si="8"/>
        <v>0</v>
      </c>
      <c r="H62" s="961" t="str">
        <f ca="1">IF(Q62=0,"0",TEXT(OFFSET('5  Control Accounts'!$FG$33,R62,0),"##0.0"))</f>
        <v>0</v>
      </c>
      <c r="I62" s="961" t="str">
        <f ca="1">IF(Q62=0,"0",TEXT(OFFSET('5  Control Accounts'!$FH$33,R62,0),"##0.0"))</f>
        <v>0</v>
      </c>
      <c r="J62" s="961" t="str">
        <f ca="1">IF($Q62=0,"0",'1 Setup'!$I$60)</f>
        <v>0</v>
      </c>
      <c r="K62" s="961" t="str">
        <f ca="1">IF(Q62=0,"0",TEXT(OFFSET('5  Control Accounts'!$FX$33,R62,0),"##0.00"))</f>
        <v>0</v>
      </c>
      <c r="L62" s="961" t="str">
        <f ca="1">IF(Q62=0,"0",TEXT(OFFSET('5  Control Accounts'!$FY$33,R62,0),"##0.00"))</f>
        <v>0</v>
      </c>
      <c r="M62" s="1405" t="str">
        <f t="shared" ca="1" si="1"/>
        <v>0</v>
      </c>
      <c r="N62" s="1326" t="s">
        <v>1918</v>
      </c>
      <c r="O62" s="1356"/>
      <c r="Q62" s="537">
        <f ca="1">$P$2*OFFSET('5  Control Accounts'!$CP$33,R62,0)</f>
        <v>0</v>
      </c>
      <c r="R62" s="537">
        <v>56</v>
      </c>
      <c r="T62" s="1930">
        <f t="shared" ca="1" si="2"/>
        <v>0</v>
      </c>
      <c r="U62" s="1930">
        <f t="shared" ca="1" si="3"/>
        <v>0</v>
      </c>
    </row>
    <row r="63" spans="1:21" s="750" customFormat="1" ht="15.9" customHeight="1" x14ac:dyDescent="0.3">
      <c r="A63" s="961" t="str">
        <f ca="1">IF(Q63=0,"0",OFFSET('5  Control Accounts'!$BF$33,R63,0)&amp;"."&amp;OFFSET('5  Control Accounts'!$BH$33,R63,0))</f>
        <v>0</v>
      </c>
      <c r="B63" s="961" t="str">
        <f t="shared" ca="1" si="0"/>
        <v>0</v>
      </c>
      <c r="C63" s="961" t="str">
        <f ca="1">IF(Q63=0,"0",TEXT(OFFSET('5  Control Accounts'!$BK$33,R63,0),"General"))</f>
        <v>0</v>
      </c>
      <c r="D63" s="961" t="str">
        <f ca="1">IF(Q63=0,"0",TEXT(OFFSET('5  Control Accounts'!$FB$33,R63,0),"General"))</f>
        <v>0</v>
      </c>
      <c r="E63" s="1405" t="str">
        <f t="shared" ca="1" si="6"/>
        <v>0</v>
      </c>
      <c r="F63" s="1405" t="str">
        <f t="shared" ca="1" si="7"/>
        <v>0</v>
      </c>
      <c r="G63" s="1405" t="str">
        <f t="shared" ca="1" si="8"/>
        <v>0</v>
      </c>
      <c r="H63" s="961" t="str">
        <f ca="1">IF(Q63=0,"0",TEXT(OFFSET('5  Control Accounts'!$FG$33,R63,0),"##0.0"))</f>
        <v>0</v>
      </c>
      <c r="I63" s="961" t="str">
        <f ca="1">IF(Q63=0,"0",TEXT(OFFSET('5  Control Accounts'!$FH$33,R63,0),"##0.0"))</f>
        <v>0</v>
      </c>
      <c r="J63" s="961" t="str">
        <f ca="1">IF($Q63=0,"0",'1 Setup'!$I$60)</f>
        <v>0</v>
      </c>
      <c r="K63" s="961" t="str">
        <f ca="1">IF(Q63=0,"0",TEXT(OFFSET('5  Control Accounts'!$FX$33,R63,0),"##0.00"))</f>
        <v>0</v>
      </c>
      <c r="L63" s="961" t="str">
        <f ca="1">IF(Q63=0,"0",TEXT(OFFSET('5  Control Accounts'!$FY$33,R63,0),"##0.00"))</f>
        <v>0</v>
      </c>
      <c r="M63" s="1405" t="str">
        <f t="shared" ca="1" si="1"/>
        <v>0</v>
      </c>
      <c r="N63" s="1326" t="s">
        <v>1919</v>
      </c>
      <c r="O63" s="1356"/>
      <c r="Q63" s="537">
        <f ca="1">$P$2*OFFSET('5  Control Accounts'!$CP$33,R63,0)</f>
        <v>0</v>
      </c>
      <c r="R63" s="537">
        <v>57</v>
      </c>
      <c r="T63" s="1930">
        <f t="shared" ca="1" si="2"/>
        <v>0</v>
      </c>
      <c r="U63" s="1930">
        <f t="shared" ca="1" si="3"/>
        <v>0</v>
      </c>
    </row>
    <row r="64" spans="1:21" s="750" customFormat="1" ht="15.9" customHeight="1" x14ac:dyDescent="0.3">
      <c r="A64" s="961" t="str">
        <f ca="1">IF(Q64=0,"0",OFFSET('5  Control Accounts'!$BF$33,R64,0)&amp;"."&amp;OFFSET('5  Control Accounts'!$BH$33,R64,0))</f>
        <v>0</v>
      </c>
      <c r="B64" s="961" t="str">
        <f t="shared" ca="1" si="0"/>
        <v>0</v>
      </c>
      <c r="C64" s="961" t="str">
        <f ca="1">IF(Q64=0,"0",TEXT(OFFSET('5  Control Accounts'!$BK$33,R64,0),"General"))</f>
        <v>0</v>
      </c>
      <c r="D64" s="961" t="str">
        <f ca="1">IF(Q64=0,"0",TEXT(OFFSET('5  Control Accounts'!$FB$33,R64,0),"General"))</f>
        <v>0</v>
      </c>
      <c r="E64" s="1405" t="str">
        <f t="shared" ca="1" si="6"/>
        <v>0</v>
      </c>
      <c r="F64" s="1405" t="str">
        <f t="shared" ca="1" si="7"/>
        <v>0</v>
      </c>
      <c r="G64" s="1405" t="str">
        <f t="shared" ca="1" si="8"/>
        <v>0</v>
      </c>
      <c r="H64" s="961" t="str">
        <f ca="1">IF(Q64=0,"0",TEXT(OFFSET('5  Control Accounts'!$FG$33,R64,0),"##0.0"))</f>
        <v>0</v>
      </c>
      <c r="I64" s="961" t="str">
        <f ca="1">IF(Q64=0,"0",TEXT(OFFSET('5  Control Accounts'!$FH$33,R64,0),"##0.0"))</f>
        <v>0</v>
      </c>
      <c r="J64" s="961" t="str">
        <f ca="1">IF($Q64=0,"0",'1 Setup'!$I$60)</f>
        <v>0</v>
      </c>
      <c r="K64" s="961" t="str">
        <f ca="1">IF(Q64=0,"0",TEXT(OFFSET('5  Control Accounts'!$FX$33,R64,0),"##0.00"))</f>
        <v>0</v>
      </c>
      <c r="L64" s="961" t="str">
        <f ca="1">IF(Q64=0,"0",TEXT(OFFSET('5  Control Accounts'!$FY$33,R64,0),"##0.00"))</f>
        <v>0</v>
      </c>
      <c r="M64" s="1405" t="str">
        <f t="shared" ca="1" si="1"/>
        <v>0</v>
      </c>
      <c r="N64" s="1326" t="s">
        <v>1920</v>
      </c>
      <c r="O64" s="1356"/>
      <c r="Q64" s="537">
        <f ca="1">$P$2*OFFSET('5  Control Accounts'!$CP$33,R64,0)</f>
        <v>0</v>
      </c>
      <c r="R64" s="537">
        <v>58</v>
      </c>
      <c r="T64" s="1930">
        <f t="shared" ca="1" si="2"/>
        <v>0</v>
      </c>
      <c r="U64" s="1930">
        <f t="shared" ca="1" si="3"/>
        <v>0</v>
      </c>
    </row>
    <row r="65" spans="1:21" s="750" customFormat="1" ht="15.9" customHeight="1" x14ac:dyDescent="0.3">
      <c r="A65" s="961" t="str">
        <f ca="1">IF(Q65=0,"0",OFFSET('5  Control Accounts'!$BF$33,R65,0)&amp;"."&amp;OFFSET('5  Control Accounts'!$BH$33,R65,0))</f>
        <v>0</v>
      </c>
      <c r="B65" s="961" t="str">
        <f t="shared" ca="1" si="0"/>
        <v>0</v>
      </c>
      <c r="C65" s="961" t="str">
        <f ca="1">IF(Q65=0,"0",TEXT(OFFSET('5  Control Accounts'!$BK$33,R65,0),"General"))</f>
        <v>0</v>
      </c>
      <c r="D65" s="961" t="str">
        <f ca="1">IF(Q65=0,"0",TEXT(OFFSET('5  Control Accounts'!$FB$33,R65,0),"General"))</f>
        <v>0</v>
      </c>
      <c r="E65" s="1405" t="str">
        <f t="shared" ca="1" si="6"/>
        <v>0</v>
      </c>
      <c r="F65" s="1405" t="str">
        <f t="shared" ca="1" si="7"/>
        <v>0</v>
      </c>
      <c r="G65" s="1405" t="str">
        <f t="shared" ca="1" si="8"/>
        <v>0</v>
      </c>
      <c r="H65" s="961" t="str">
        <f ca="1">IF(Q65=0,"0",TEXT(OFFSET('5  Control Accounts'!$FG$33,R65,0),"##0.0"))</f>
        <v>0</v>
      </c>
      <c r="I65" s="961" t="str">
        <f ca="1">IF(Q65=0,"0",TEXT(OFFSET('5  Control Accounts'!$FH$33,R65,0),"##0.0"))</f>
        <v>0</v>
      </c>
      <c r="J65" s="961" t="str">
        <f ca="1">IF($Q65=0,"0",'1 Setup'!$I$60)</f>
        <v>0</v>
      </c>
      <c r="K65" s="961" t="str">
        <f ca="1">IF(Q65=0,"0",TEXT(OFFSET('5  Control Accounts'!$FX$33,R65,0),"##0.00"))</f>
        <v>0</v>
      </c>
      <c r="L65" s="961" t="str">
        <f ca="1">IF(Q65=0,"0",TEXT(OFFSET('5  Control Accounts'!$FY$33,R65,0),"##0.00"))</f>
        <v>0</v>
      </c>
      <c r="M65" s="1405" t="str">
        <f t="shared" ca="1" si="1"/>
        <v>0</v>
      </c>
      <c r="N65" s="1326" t="s">
        <v>1921</v>
      </c>
      <c r="O65" s="1356"/>
      <c r="Q65" s="537">
        <f ca="1">$P$2*OFFSET('5  Control Accounts'!$CP$33,R65,0)</f>
        <v>0</v>
      </c>
      <c r="R65" s="537">
        <v>59</v>
      </c>
      <c r="T65" s="1930">
        <f t="shared" ca="1" si="2"/>
        <v>0</v>
      </c>
      <c r="U65" s="1930">
        <f t="shared" ca="1" si="3"/>
        <v>0</v>
      </c>
    </row>
    <row r="66" spans="1:21" s="750" customFormat="1" ht="15.9" customHeight="1" x14ac:dyDescent="0.3">
      <c r="A66" s="961" t="str">
        <f ca="1">IF(Q66=0,"0",OFFSET('5  Control Accounts'!$BF$33,R66,0)&amp;"."&amp;OFFSET('5  Control Accounts'!$BH$33,R66,0))</f>
        <v>0</v>
      </c>
      <c r="B66" s="961" t="str">
        <f t="shared" ref="B66:B126" ca="1" si="9">A66</f>
        <v>0</v>
      </c>
      <c r="C66" s="961" t="str">
        <f ca="1">IF(Q66=0,"0",TEXT(OFFSET('5  Control Accounts'!$BK$33,R66,0),"General"))</f>
        <v>0</v>
      </c>
      <c r="D66" s="961" t="str">
        <f ca="1">IF(Q66=0,"0",TEXT(OFFSET('5  Control Accounts'!$FB$33,R66,0),"General"))</f>
        <v>0</v>
      </c>
      <c r="E66" s="1405" t="str">
        <f t="shared" ca="1" si="6"/>
        <v>0</v>
      </c>
      <c r="F66" s="1405" t="str">
        <f t="shared" ca="1" si="7"/>
        <v>0</v>
      </c>
      <c r="G66" s="1405" t="str">
        <f t="shared" ca="1" si="8"/>
        <v>0</v>
      </c>
      <c r="H66" s="961" t="str">
        <f ca="1">IF(Q66=0,"0",TEXT(OFFSET('5  Control Accounts'!$FG$33,R66,0),"##0.0"))</f>
        <v>0</v>
      </c>
      <c r="I66" s="961" t="str">
        <f ca="1">IF(Q66=0,"0",TEXT(OFFSET('5  Control Accounts'!$FH$33,R66,0),"##0.0"))</f>
        <v>0</v>
      </c>
      <c r="J66" s="961" t="str">
        <f ca="1">IF($Q66=0,"0",'1 Setup'!$I$60)</f>
        <v>0</v>
      </c>
      <c r="K66" s="961" t="str">
        <f ca="1">IF(Q66=0,"0",TEXT(OFFSET('5  Control Accounts'!$FX$33,R66,0),"##0.00"))</f>
        <v>0</v>
      </c>
      <c r="L66" s="961" t="str">
        <f ca="1">IF(Q66=0,"0",TEXT(OFFSET('5  Control Accounts'!$FY$33,R66,0),"##0.00"))</f>
        <v>0</v>
      </c>
      <c r="M66" s="1405" t="str">
        <f t="shared" ref="M66:M126" ca="1" si="10">IF($Q66=0,"0","IMPORT")</f>
        <v>0</v>
      </c>
      <c r="N66" s="1326" t="s">
        <v>1922</v>
      </c>
      <c r="O66" s="1356"/>
      <c r="Q66" s="537">
        <f ca="1">$P$2*OFFSET('5  Control Accounts'!$CP$33,R66,0)</f>
        <v>0</v>
      </c>
      <c r="R66" s="537">
        <v>60</v>
      </c>
      <c r="T66" s="1930">
        <f t="shared" ca="1" si="2"/>
        <v>0</v>
      </c>
      <c r="U66" s="1930">
        <f t="shared" ca="1" si="3"/>
        <v>0</v>
      </c>
    </row>
    <row r="67" spans="1:21" s="750" customFormat="1" ht="15.9" customHeight="1" x14ac:dyDescent="0.3">
      <c r="A67" s="961" t="str">
        <f ca="1">IF(Q67=0,"0",OFFSET('5  Control Accounts'!$BF$33,R67,0)&amp;"."&amp;OFFSET('5  Control Accounts'!$BH$33,R67,0))</f>
        <v>0</v>
      </c>
      <c r="B67" s="961" t="str">
        <f t="shared" ca="1" si="9"/>
        <v>0</v>
      </c>
      <c r="C67" s="961" t="str">
        <f ca="1">IF(Q67=0,"0",TEXT(OFFSET('5  Control Accounts'!$BK$33,R67,0),"General"))</f>
        <v>0</v>
      </c>
      <c r="D67" s="961" t="str">
        <f ca="1">IF(Q67=0,"0",TEXT(OFFSET('5  Control Accounts'!$FB$33,R67,0),"General"))</f>
        <v>0</v>
      </c>
      <c r="E67" s="1405" t="str">
        <f t="shared" ca="1" si="6"/>
        <v>0</v>
      </c>
      <c r="F67" s="1405" t="str">
        <f t="shared" ca="1" si="7"/>
        <v>0</v>
      </c>
      <c r="G67" s="1405" t="str">
        <f t="shared" ca="1" si="8"/>
        <v>0</v>
      </c>
      <c r="H67" s="961" t="str">
        <f ca="1">IF(Q67=0,"0",TEXT(OFFSET('5  Control Accounts'!$FG$33,R67,0),"##0.0"))</f>
        <v>0</v>
      </c>
      <c r="I67" s="961" t="str">
        <f ca="1">IF(Q67=0,"0",TEXT(OFFSET('5  Control Accounts'!$FH$33,R67,0),"##0.0"))</f>
        <v>0</v>
      </c>
      <c r="J67" s="961" t="str">
        <f ca="1">IF($Q67=0,"0",'1 Setup'!$I$60)</f>
        <v>0</v>
      </c>
      <c r="K67" s="961" t="str">
        <f ca="1">IF(Q67=0,"0",TEXT(OFFSET('5  Control Accounts'!$FX$33,R67,0),"##0.00"))</f>
        <v>0</v>
      </c>
      <c r="L67" s="961" t="str">
        <f ca="1">IF(Q67=0,"0",TEXT(OFFSET('5  Control Accounts'!$FY$33,R67,0),"##0.00"))</f>
        <v>0</v>
      </c>
      <c r="M67" s="1405" t="str">
        <f t="shared" ca="1" si="10"/>
        <v>0</v>
      </c>
      <c r="N67" s="1326" t="s">
        <v>1923</v>
      </c>
      <c r="O67" s="1356"/>
      <c r="Q67" s="537">
        <f ca="1">$P$2*OFFSET('5  Control Accounts'!$CP$33,R67,0)</f>
        <v>0</v>
      </c>
      <c r="R67" s="537">
        <v>61</v>
      </c>
      <c r="T67" s="1930">
        <f t="shared" ref="T67:T126" ca="1" si="11">VALUE(K67)</f>
        <v>0</v>
      </c>
      <c r="U67" s="1930">
        <f t="shared" ref="U67:U126" ca="1" si="12">VALUE(L67)</f>
        <v>0</v>
      </c>
    </row>
    <row r="68" spans="1:21" s="750" customFormat="1" ht="15.9" customHeight="1" x14ac:dyDescent="0.3">
      <c r="A68" s="961" t="str">
        <f ca="1">IF(Q68=0,"0",OFFSET('5  Control Accounts'!$BF$33,R68,0)&amp;"."&amp;OFFSET('5  Control Accounts'!$BH$33,R68,0))</f>
        <v>0</v>
      </c>
      <c r="B68" s="961" t="str">
        <f t="shared" ca="1" si="9"/>
        <v>0</v>
      </c>
      <c r="C68" s="961" t="str">
        <f ca="1">IF(Q68=0,"0",TEXT(OFFSET('5  Control Accounts'!$BK$33,R68,0),"General"))</f>
        <v>0</v>
      </c>
      <c r="D68" s="961" t="str">
        <f ca="1">IF(Q68=0,"0",TEXT(OFFSET('5  Control Accounts'!$FB$33,R68,0),"General"))</f>
        <v>0</v>
      </c>
      <c r="E68" s="1405" t="str">
        <f t="shared" ca="1" si="6"/>
        <v>0</v>
      </c>
      <c r="F68" s="1405" t="str">
        <f t="shared" ca="1" si="7"/>
        <v>0</v>
      </c>
      <c r="G68" s="1405" t="str">
        <f t="shared" ca="1" si="8"/>
        <v>0</v>
      </c>
      <c r="H68" s="961" t="str">
        <f ca="1">IF(Q68=0,"0",TEXT(OFFSET('5  Control Accounts'!$FG$33,R68,0),"##0.0"))</f>
        <v>0</v>
      </c>
      <c r="I68" s="961" t="str">
        <f ca="1">IF(Q68=0,"0",TEXT(OFFSET('5  Control Accounts'!$FH$33,R68,0),"##0.0"))</f>
        <v>0</v>
      </c>
      <c r="J68" s="961" t="str">
        <f ca="1">IF($Q68=0,"0",'1 Setup'!$I$60)</f>
        <v>0</v>
      </c>
      <c r="K68" s="961" t="str">
        <f ca="1">IF(Q68=0,"0",TEXT(OFFSET('5  Control Accounts'!$FX$33,R68,0),"##0.00"))</f>
        <v>0</v>
      </c>
      <c r="L68" s="961" t="str">
        <f ca="1">IF(Q68=0,"0",TEXT(OFFSET('5  Control Accounts'!$FY$33,R68,0),"##0.00"))</f>
        <v>0</v>
      </c>
      <c r="M68" s="1405" t="str">
        <f t="shared" ca="1" si="10"/>
        <v>0</v>
      </c>
      <c r="N68" s="1326" t="s">
        <v>1924</v>
      </c>
      <c r="O68" s="1356"/>
      <c r="Q68" s="537">
        <f ca="1">$P$2*OFFSET('5  Control Accounts'!$CP$33,R68,0)</f>
        <v>0</v>
      </c>
      <c r="R68" s="537">
        <v>62</v>
      </c>
      <c r="T68" s="1930">
        <f t="shared" ca="1" si="11"/>
        <v>0</v>
      </c>
      <c r="U68" s="1930">
        <f t="shared" ca="1" si="12"/>
        <v>0</v>
      </c>
    </row>
    <row r="69" spans="1:21" s="750" customFormat="1" ht="15.9" customHeight="1" x14ac:dyDescent="0.3">
      <c r="A69" s="961" t="str">
        <f ca="1">IF(Q69=0,"0",OFFSET('5  Control Accounts'!$BF$33,R69,0)&amp;"."&amp;OFFSET('5  Control Accounts'!$BH$33,R69,0))</f>
        <v>0</v>
      </c>
      <c r="B69" s="961" t="str">
        <f t="shared" ca="1" si="9"/>
        <v>0</v>
      </c>
      <c r="C69" s="961" t="str">
        <f ca="1">IF(Q69=0,"0",TEXT(OFFSET('5  Control Accounts'!$BK$33,R69,0),"General"))</f>
        <v>0</v>
      </c>
      <c r="D69" s="961" t="str">
        <f ca="1">IF(Q69=0,"0",TEXT(OFFSET('5  Control Accounts'!$FB$33,R69,0),"General"))</f>
        <v>0</v>
      </c>
      <c r="E69" s="1405" t="str">
        <f t="shared" ca="1" si="6"/>
        <v>0</v>
      </c>
      <c r="F69" s="1405" t="str">
        <f t="shared" ca="1" si="7"/>
        <v>0</v>
      </c>
      <c r="G69" s="1405" t="str">
        <f t="shared" ca="1" si="8"/>
        <v>0</v>
      </c>
      <c r="H69" s="961" t="str">
        <f ca="1">IF(Q69=0,"0",TEXT(OFFSET('5  Control Accounts'!$FG$33,R69,0),"##0.0"))</f>
        <v>0</v>
      </c>
      <c r="I69" s="961" t="str">
        <f ca="1">IF(Q69=0,"0",TEXT(OFFSET('5  Control Accounts'!$FH$33,R69,0),"##0.0"))</f>
        <v>0</v>
      </c>
      <c r="J69" s="961" t="str">
        <f ca="1">IF($Q69=0,"0",'1 Setup'!$I$60)</f>
        <v>0</v>
      </c>
      <c r="K69" s="961" t="str">
        <f ca="1">IF(Q69=0,"0",TEXT(OFFSET('5  Control Accounts'!$FX$33,R69,0),"##0.00"))</f>
        <v>0</v>
      </c>
      <c r="L69" s="961" t="str">
        <f ca="1">IF(Q69=0,"0",TEXT(OFFSET('5  Control Accounts'!$FY$33,R69,0),"##0.00"))</f>
        <v>0</v>
      </c>
      <c r="M69" s="1405" t="str">
        <f t="shared" ca="1" si="10"/>
        <v>0</v>
      </c>
      <c r="N69" s="1326" t="s">
        <v>1925</v>
      </c>
      <c r="O69" s="1356"/>
      <c r="Q69" s="537">
        <f ca="1">$P$2*OFFSET('5  Control Accounts'!$CP$33,R69,0)</f>
        <v>0</v>
      </c>
      <c r="R69" s="537">
        <v>63</v>
      </c>
      <c r="T69" s="1930">
        <f t="shared" ca="1" si="11"/>
        <v>0</v>
      </c>
      <c r="U69" s="1930">
        <f t="shared" ca="1" si="12"/>
        <v>0</v>
      </c>
    </row>
    <row r="70" spans="1:21" s="750" customFormat="1" ht="15.9" customHeight="1" x14ac:dyDescent="0.3">
      <c r="A70" s="961" t="str">
        <f ca="1">IF(Q70=0,"0",OFFSET('5  Control Accounts'!$BF$33,R70,0)&amp;"."&amp;OFFSET('5  Control Accounts'!$BH$33,R70,0))</f>
        <v>0</v>
      </c>
      <c r="B70" s="961" t="str">
        <f t="shared" ca="1" si="9"/>
        <v>0</v>
      </c>
      <c r="C70" s="961" t="str">
        <f ca="1">IF(Q70=0,"0",TEXT(OFFSET('5  Control Accounts'!$BK$33,R70,0),"General"))</f>
        <v>0</v>
      </c>
      <c r="D70" s="961" t="str">
        <f ca="1">IF(Q70=0,"0",TEXT(OFFSET('5  Control Accounts'!$FB$33,R70,0),"General"))</f>
        <v>0</v>
      </c>
      <c r="E70" s="1405" t="str">
        <f t="shared" ca="1" si="6"/>
        <v>0</v>
      </c>
      <c r="F70" s="1405" t="str">
        <f t="shared" ca="1" si="7"/>
        <v>0</v>
      </c>
      <c r="G70" s="1405" t="str">
        <f t="shared" ca="1" si="8"/>
        <v>0</v>
      </c>
      <c r="H70" s="961" t="str">
        <f ca="1">IF(Q70=0,"0",TEXT(OFFSET('5  Control Accounts'!$FG$33,R70,0),"##0.0"))</f>
        <v>0</v>
      </c>
      <c r="I70" s="961" t="str">
        <f ca="1">IF(Q70=0,"0",TEXT(OFFSET('5  Control Accounts'!$FH$33,R70,0),"##0.0"))</f>
        <v>0</v>
      </c>
      <c r="J70" s="961" t="str">
        <f ca="1">IF($Q70=0,"0",'1 Setup'!$I$60)</f>
        <v>0</v>
      </c>
      <c r="K70" s="961" t="str">
        <f ca="1">IF(Q70=0,"0",TEXT(OFFSET('5  Control Accounts'!$FX$33,R70,0),"##0.00"))</f>
        <v>0</v>
      </c>
      <c r="L70" s="961" t="str">
        <f ca="1">IF(Q70=0,"0",TEXT(OFFSET('5  Control Accounts'!$FY$33,R70,0),"##0.00"))</f>
        <v>0</v>
      </c>
      <c r="M70" s="1405" t="str">
        <f t="shared" ca="1" si="10"/>
        <v>0</v>
      </c>
      <c r="N70" s="1326" t="s">
        <v>1926</v>
      </c>
      <c r="O70" s="1356"/>
      <c r="Q70" s="537">
        <f ca="1">$P$2*OFFSET('5  Control Accounts'!$CP$33,R70,0)</f>
        <v>0</v>
      </c>
      <c r="R70" s="537">
        <v>64</v>
      </c>
      <c r="T70" s="1930">
        <f t="shared" ca="1" si="11"/>
        <v>0</v>
      </c>
      <c r="U70" s="1930">
        <f t="shared" ca="1" si="12"/>
        <v>0</v>
      </c>
    </row>
    <row r="71" spans="1:21" s="750" customFormat="1" ht="15.9" customHeight="1" x14ac:dyDescent="0.3">
      <c r="A71" s="961" t="str">
        <f ca="1">IF(Q71=0,"0",OFFSET('5  Control Accounts'!$BF$33,R71,0)&amp;"."&amp;OFFSET('5  Control Accounts'!$BH$33,R71,0))</f>
        <v>0</v>
      </c>
      <c r="B71" s="961" t="str">
        <f t="shared" ca="1" si="9"/>
        <v>0</v>
      </c>
      <c r="C71" s="961" t="str">
        <f ca="1">IF(Q71=0,"0",TEXT(OFFSET('5  Control Accounts'!$BK$33,R71,0),"General"))</f>
        <v>0</v>
      </c>
      <c r="D71" s="961" t="str">
        <f ca="1">IF(Q71=0,"0",TEXT(OFFSET('5  Control Accounts'!$FB$33,R71,0),"General"))</f>
        <v>0</v>
      </c>
      <c r="E71" s="1405" t="str">
        <f t="shared" ca="1" si="6"/>
        <v>0</v>
      </c>
      <c r="F71" s="1405" t="str">
        <f t="shared" ca="1" si="7"/>
        <v>0</v>
      </c>
      <c r="G71" s="1405" t="str">
        <f t="shared" ca="1" si="8"/>
        <v>0</v>
      </c>
      <c r="H71" s="961" t="str">
        <f ca="1">IF(Q71=0,"0",TEXT(OFFSET('5  Control Accounts'!$FG$33,R71,0),"##0.0"))</f>
        <v>0</v>
      </c>
      <c r="I71" s="961" t="str">
        <f ca="1">IF(Q71=0,"0",TEXT(OFFSET('5  Control Accounts'!$FH$33,R71,0),"##0.0"))</f>
        <v>0</v>
      </c>
      <c r="J71" s="961" t="str">
        <f ca="1">IF($Q71=0,"0",'1 Setup'!$I$60)</f>
        <v>0</v>
      </c>
      <c r="K71" s="961" t="str">
        <f ca="1">IF(Q71=0,"0",TEXT(OFFSET('5  Control Accounts'!$FX$33,R71,0),"##0.00"))</f>
        <v>0</v>
      </c>
      <c r="L71" s="961" t="str">
        <f ca="1">IF(Q71=0,"0",TEXT(OFFSET('5  Control Accounts'!$FY$33,R71,0),"##0.00"))</f>
        <v>0</v>
      </c>
      <c r="M71" s="1405" t="str">
        <f t="shared" ca="1" si="10"/>
        <v>0</v>
      </c>
      <c r="N71" s="1326" t="s">
        <v>1927</v>
      </c>
      <c r="O71" s="1356"/>
      <c r="Q71" s="537">
        <f ca="1">$P$2*OFFSET('5  Control Accounts'!$CP$33,R71,0)</f>
        <v>0</v>
      </c>
      <c r="R71" s="537">
        <v>65</v>
      </c>
      <c r="T71" s="1930">
        <f t="shared" ca="1" si="11"/>
        <v>0</v>
      </c>
      <c r="U71" s="1930">
        <f t="shared" ca="1" si="12"/>
        <v>0</v>
      </c>
    </row>
    <row r="72" spans="1:21" s="750" customFormat="1" ht="15.9" customHeight="1" x14ac:dyDescent="0.3">
      <c r="A72" s="961" t="str">
        <f ca="1">IF(Q72=0,"0",OFFSET('5  Control Accounts'!$BF$33,R72,0)&amp;"."&amp;OFFSET('5  Control Accounts'!$BH$33,R72,0))</f>
        <v>0</v>
      </c>
      <c r="B72" s="961" t="str">
        <f t="shared" ca="1" si="9"/>
        <v>0</v>
      </c>
      <c r="C72" s="961" t="str">
        <f ca="1">IF(Q72=0,"0",TEXT(OFFSET('5  Control Accounts'!$BK$33,R72,0),"General"))</f>
        <v>0</v>
      </c>
      <c r="D72" s="961" t="str">
        <f ca="1">IF(Q72=0,"0",TEXT(OFFSET('5  Control Accounts'!$FB$33,R72,0),"General"))</f>
        <v>0</v>
      </c>
      <c r="E72" s="1405" t="str">
        <f t="shared" ref="E72:E126" ca="1" si="13">IF(Q72=0,TEXT(0,"0"),"Work Package")</f>
        <v>0</v>
      </c>
      <c r="F72" s="1405" t="str">
        <f t="shared" ref="F72:F126" ca="1" si="14">IF(Q72=0,TEXT(0,"0"),"Y")</f>
        <v>0</v>
      </c>
      <c r="G72" s="1405" t="str">
        <f t="shared" ref="G72:G126" ca="1" si="15">IF(Q72=0,TEXT(0,"0"),"Open")</f>
        <v>0</v>
      </c>
      <c r="H72" s="961" t="str">
        <f ca="1">IF(Q72=0,"0",TEXT(OFFSET('5  Control Accounts'!$FG$33,R72,0),"##0.0"))</f>
        <v>0</v>
      </c>
      <c r="I72" s="961" t="str">
        <f ca="1">IF(Q72=0,"0",TEXT(OFFSET('5  Control Accounts'!$FH$33,R72,0),"##0.0"))</f>
        <v>0</v>
      </c>
      <c r="J72" s="961" t="str">
        <f ca="1">IF($Q72=0,"0",'1 Setup'!$I$60)</f>
        <v>0</v>
      </c>
      <c r="K72" s="961" t="str">
        <f ca="1">IF(Q72=0,"0",TEXT(OFFSET('5  Control Accounts'!$FX$33,R72,0),"##0.00"))</f>
        <v>0</v>
      </c>
      <c r="L72" s="961" t="str">
        <f ca="1">IF(Q72=0,"0",TEXT(OFFSET('5  Control Accounts'!$FY$33,R72,0),"##0.00"))</f>
        <v>0</v>
      </c>
      <c r="M72" s="1405" t="str">
        <f t="shared" ca="1" si="10"/>
        <v>0</v>
      </c>
      <c r="N72" s="1326" t="s">
        <v>1928</v>
      </c>
      <c r="O72" s="1356"/>
      <c r="Q72" s="537">
        <f ca="1">$P$2*OFFSET('5  Control Accounts'!$CP$33,R72,0)</f>
        <v>0</v>
      </c>
      <c r="R72" s="537">
        <v>66</v>
      </c>
      <c r="T72" s="1930">
        <f t="shared" ca="1" si="11"/>
        <v>0</v>
      </c>
      <c r="U72" s="1930">
        <f t="shared" ca="1" si="12"/>
        <v>0</v>
      </c>
    </row>
    <row r="73" spans="1:21" s="750" customFormat="1" ht="15.9" customHeight="1" x14ac:dyDescent="0.3">
      <c r="A73" s="961" t="str">
        <f ca="1">IF(Q73=0,"0",OFFSET('5  Control Accounts'!$BF$33,R73,0)&amp;"."&amp;OFFSET('5  Control Accounts'!$BH$33,R73,0))</f>
        <v>0</v>
      </c>
      <c r="B73" s="961" t="str">
        <f t="shared" ca="1" si="9"/>
        <v>0</v>
      </c>
      <c r="C73" s="961" t="str">
        <f ca="1">IF(Q73=0,"0",TEXT(OFFSET('5  Control Accounts'!$BK$33,R73,0),"General"))</f>
        <v>0</v>
      </c>
      <c r="D73" s="961" t="str">
        <f ca="1">IF(Q73=0,"0",TEXT(OFFSET('5  Control Accounts'!$FB$33,R73,0),"General"))</f>
        <v>0</v>
      </c>
      <c r="E73" s="1405" t="str">
        <f t="shared" ca="1" si="13"/>
        <v>0</v>
      </c>
      <c r="F73" s="1405" t="str">
        <f t="shared" ca="1" si="14"/>
        <v>0</v>
      </c>
      <c r="G73" s="1405" t="str">
        <f t="shared" ca="1" si="15"/>
        <v>0</v>
      </c>
      <c r="H73" s="961" t="str">
        <f ca="1">IF(Q73=0,"0",TEXT(OFFSET('5  Control Accounts'!$FG$33,R73,0),"##0.0"))</f>
        <v>0</v>
      </c>
      <c r="I73" s="961" t="str">
        <f ca="1">IF(Q73=0,"0",TEXT(OFFSET('5  Control Accounts'!$FH$33,R73,0),"##0.0"))</f>
        <v>0</v>
      </c>
      <c r="J73" s="961" t="str">
        <f ca="1">IF($Q73=0,"0",'1 Setup'!$I$60)</f>
        <v>0</v>
      </c>
      <c r="K73" s="961" t="str">
        <f ca="1">IF(Q73=0,"0",TEXT(OFFSET('5  Control Accounts'!$FX$33,R73,0),"##0.00"))</f>
        <v>0</v>
      </c>
      <c r="L73" s="961" t="str">
        <f ca="1">IF(Q73=0,"0",TEXT(OFFSET('5  Control Accounts'!$FY$33,R73,0),"##0.00"))</f>
        <v>0</v>
      </c>
      <c r="M73" s="1405" t="str">
        <f t="shared" ca="1" si="10"/>
        <v>0</v>
      </c>
      <c r="N73" s="1326" t="s">
        <v>1929</v>
      </c>
      <c r="O73" s="1356"/>
      <c r="Q73" s="537">
        <f ca="1">$P$2*OFFSET('5  Control Accounts'!$CP$33,R73,0)</f>
        <v>0</v>
      </c>
      <c r="R73" s="537">
        <v>67</v>
      </c>
      <c r="T73" s="1930">
        <f t="shared" ca="1" si="11"/>
        <v>0</v>
      </c>
      <c r="U73" s="1930">
        <f t="shared" ca="1" si="12"/>
        <v>0</v>
      </c>
    </row>
    <row r="74" spans="1:21" s="750" customFormat="1" ht="15.9" customHeight="1" x14ac:dyDescent="0.3">
      <c r="A74" s="961" t="str">
        <f ca="1">IF(Q74=0,"0",OFFSET('5  Control Accounts'!$BF$33,R74,0)&amp;"."&amp;OFFSET('5  Control Accounts'!$BH$33,R74,0))</f>
        <v>0</v>
      </c>
      <c r="B74" s="961" t="str">
        <f t="shared" ca="1" si="9"/>
        <v>0</v>
      </c>
      <c r="C74" s="961" t="str">
        <f ca="1">IF(Q74=0,"0",TEXT(OFFSET('5  Control Accounts'!$BK$33,R74,0),"General"))</f>
        <v>0</v>
      </c>
      <c r="D74" s="961" t="str">
        <f ca="1">IF(Q74=0,"0",TEXT(OFFSET('5  Control Accounts'!$FB$33,R74,0),"General"))</f>
        <v>0</v>
      </c>
      <c r="E74" s="1405" t="str">
        <f t="shared" ca="1" si="13"/>
        <v>0</v>
      </c>
      <c r="F74" s="1405" t="str">
        <f t="shared" ca="1" si="14"/>
        <v>0</v>
      </c>
      <c r="G74" s="1405" t="str">
        <f t="shared" ca="1" si="15"/>
        <v>0</v>
      </c>
      <c r="H74" s="961" t="str">
        <f ca="1">IF(Q74=0,"0",TEXT(OFFSET('5  Control Accounts'!$FG$33,R74,0),"##0.0"))</f>
        <v>0</v>
      </c>
      <c r="I74" s="961" t="str">
        <f ca="1">IF(Q74=0,"0",TEXT(OFFSET('5  Control Accounts'!$FH$33,R74,0),"##0.0"))</f>
        <v>0</v>
      </c>
      <c r="J74" s="961" t="str">
        <f ca="1">IF($Q74=0,"0",'1 Setup'!$I$60)</f>
        <v>0</v>
      </c>
      <c r="K74" s="961" t="str">
        <f ca="1">IF(Q74=0,"0",TEXT(OFFSET('5  Control Accounts'!$FX$33,R74,0),"##0.00"))</f>
        <v>0</v>
      </c>
      <c r="L74" s="961" t="str">
        <f ca="1">IF(Q74=0,"0",TEXT(OFFSET('5  Control Accounts'!$FY$33,R74,0),"##0.00"))</f>
        <v>0</v>
      </c>
      <c r="M74" s="1405" t="str">
        <f t="shared" ca="1" si="10"/>
        <v>0</v>
      </c>
      <c r="N74" s="1326" t="s">
        <v>1930</v>
      </c>
      <c r="O74" s="1356"/>
      <c r="Q74" s="537">
        <f ca="1">$P$2*OFFSET('5  Control Accounts'!$CP$33,R74,0)</f>
        <v>0</v>
      </c>
      <c r="R74" s="537">
        <v>68</v>
      </c>
      <c r="T74" s="1930">
        <f t="shared" ca="1" si="11"/>
        <v>0</v>
      </c>
      <c r="U74" s="1930">
        <f t="shared" ca="1" si="12"/>
        <v>0</v>
      </c>
    </row>
    <row r="75" spans="1:21" s="750" customFormat="1" ht="15.9" customHeight="1" x14ac:dyDescent="0.3">
      <c r="A75" s="961" t="str">
        <f ca="1">IF(Q75=0,"0",OFFSET('5  Control Accounts'!$BF$33,R75,0)&amp;"."&amp;OFFSET('5  Control Accounts'!$BH$33,R75,0))</f>
        <v>0</v>
      </c>
      <c r="B75" s="961" t="str">
        <f t="shared" ca="1" si="9"/>
        <v>0</v>
      </c>
      <c r="C75" s="961" t="str">
        <f ca="1">IF(Q75=0,"0",TEXT(OFFSET('5  Control Accounts'!$BK$33,R75,0),"General"))</f>
        <v>0</v>
      </c>
      <c r="D75" s="961" t="str">
        <f ca="1">IF(Q75=0,"0",TEXT(OFFSET('5  Control Accounts'!$FB$33,R75,0),"General"))</f>
        <v>0</v>
      </c>
      <c r="E75" s="1405" t="str">
        <f t="shared" ca="1" si="13"/>
        <v>0</v>
      </c>
      <c r="F75" s="1405" t="str">
        <f t="shared" ca="1" si="14"/>
        <v>0</v>
      </c>
      <c r="G75" s="1405" t="str">
        <f t="shared" ca="1" si="15"/>
        <v>0</v>
      </c>
      <c r="H75" s="961" t="str">
        <f ca="1">IF(Q75=0,"0",TEXT(OFFSET('5  Control Accounts'!$FG$33,R75,0),"##0.0"))</f>
        <v>0</v>
      </c>
      <c r="I75" s="961" t="str">
        <f ca="1">IF(Q75=0,"0",TEXT(OFFSET('5  Control Accounts'!$FH$33,R75,0),"##0.0"))</f>
        <v>0</v>
      </c>
      <c r="J75" s="961" t="str">
        <f ca="1">IF($Q75=0,"0",'1 Setup'!$I$60)</f>
        <v>0</v>
      </c>
      <c r="K75" s="961" t="str">
        <f ca="1">IF(Q75=0,"0",TEXT(OFFSET('5  Control Accounts'!$FX$33,R75,0),"##0.00"))</f>
        <v>0</v>
      </c>
      <c r="L75" s="961" t="str">
        <f ca="1">IF(Q75=0,"0",TEXT(OFFSET('5  Control Accounts'!$FY$33,R75,0),"##0.00"))</f>
        <v>0</v>
      </c>
      <c r="M75" s="1405" t="str">
        <f t="shared" ca="1" si="10"/>
        <v>0</v>
      </c>
      <c r="N75" s="1326" t="s">
        <v>1931</v>
      </c>
      <c r="O75" s="1356"/>
      <c r="Q75" s="537">
        <f ca="1">$P$2*OFFSET('5  Control Accounts'!$CP$33,R75,0)</f>
        <v>0</v>
      </c>
      <c r="R75" s="537">
        <v>69</v>
      </c>
      <c r="T75" s="1930">
        <f t="shared" ca="1" si="11"/>
        <v>0</v>
      </c>
      <c r="U75" s="1930">
        <f t="shared" ca="1" si="12"/>
        <v>0</v>
      </c>
    </row>
    <row r="76" spans="1:21" s="750" customFormat="1" ht="15.9" customHeight="1" x14ac:dyDescent="0.3">
      <c r="A76" s="961" t="str">
        <f ca="1">IF(Q76=0,"0",OFFSET('5  Control Accounts'!$BF$33,R76,0)&amp;"."&amp;OFFSET('5  Control Accounts'!$BH$33,R76,0))</f>
        <v>0</v>
      </c>
      <c r="B76" s="961" t="str">
        <f t="shared" ca="1" si="9"/>
        <v>0</v>
      </c>
      <c r="C76" s="961" t="str">
        <f ca="1">IF(Q76=0,"0",TEXT(OFFSET('5  Control Accounts'!$BK$33,R76,0),"General"))</f>
        <v>0</v>
      </c>
      <c r="D76" s="961" t="str">
        <f ca="1">IF(Q76=0,"0",TEXT(OFFSET('5  Control Accounts'!$FB$33,R76,0),"General"))</f>
        <v>0</v>
      </c>
      <c r="E76" s="1405" t="str">
        <f t="shared" ca="1" si="13"/>
        <v>0</v>
      </c>
      <c r="F76" s="1405" t="str">
        <f t="shared" ca="1" si="14"/>
        <v>0</v>
      </c>
      <c r="G76" s="1405" t="str">
        <f t="shared" ca="1" si="15"/>
        <v>0</v>
      </c>
      <c r="H76" s="961" t="str">
        <f ca="1">IF(Q76=0,"0",TEXT(OFFSET('5  Control Accounts'!$FG$33,R76,0),"##0.0"))</f>
        <v>0</v>
      </c>
      <c r="I76" s="961" t="str">
        <f ca="1">IF(Q76=0,"0",TEXT(OFFSET('5  Control Accounts'!$FH$33,R76,0),"##0.0"))</f>
        <v>0</v>
      </c>
      <c r="J76" s="961" t="str">
        <f ca="1">IF($Q76=0,"0",'1 Setup'!$I$60)</f>
        <v>0</v>
      </c>
      <c r="K76" s="961" t="str">
        <f ca="1">IF(Q76=0,"0",TEXT(OFFSET('5  Control Accounts'!$FX$33,R76,0),"##0.00"))</f>
        <v>0</v>
      </c>
      <c r="L76" s="961" t="str">
        <f ca="1">IF(Q76=0,"0",TEXT(OFFSET('5  Control Accounts'!$FY$33,R76,0),"##0.00"))</f>
        <v>0</v>
      </c>
      <c r="M76" s="1405" t="str">
        <f t="shared" ca="1" si="10"/>
        <v>0</v>
      </c>
      <c r="N76" s="1326" t="s">
        <v>1932</v>
      </c>
      <c r="O76" s="1356"/>
      <c r="Q76" s="537">
        <f ca="1">$P$2*OFFSET('5  Control Accounts'!$CP$33,R76,0)</f>
        <v>0</v>
      </c>
      <c r="R76" s="537">
        <v>70</v>
      </c>
      <c r="T76" s="1930">
        <f t="shared" ca="1" si="11"/>
        <v>0</v>
      </c>
      <c r="U76" s="1930">
        <f t="shared" ca="1" si="12"/>
        <v>0</v>
      </c>
    </row>
    <row r="77" spans="1:21" s="750" customFormat="1" ht="15.9" customHeight="1" x14ac:dyDescent="0.3">
      <c r="A77" s="961" t="str">
        <f ca="1">IF(Q77=0,"0",OFFSET('5  Control Accounts'!$BF$33,R77,0)&amp;"."&amp;OFFSET('5  Control Accounts'!$BH$33,R77,0))</f>
        <v>0</v>
      </c>
      <c r="B77" s="961" t="str">
        <f t="shared" ca="1" si="9"/>
        <v>0</v>
      </c>
      <c r="C77" s="961" t="str">
        <f ca="1">IF(Q77=0,"0",TEXT(OFFSET('5  Control Accounts'!$BK$33,R77,0),"General"))</f>
        <v>0</v>
      </c>
      <c r="D77" s="961" t="str">
        <f ca="1">IF(Q77=0,"0",TEXT(OFFSET('5  Control Accounts'!$FB$33,R77,0),"General"))</f>
        <v>0</v>
      </c>
      <c r="E77" s="1405" t="str">
        <f t="shared" ca="1" si="13"/>
        <v>0</v>
      </c>
      <c r="F77" s="1405" t="str">
        <f t="shared" ca="1" si="14"/>
        <v>0</v>
      </c>
      <c r="G77" s="1405" t="str">
        <f t="shared" ca="1" si="15"/>
        <v>0</v>
      </c>
      <c r="H77" s="961" t="str">
        <f ca="1">IF(Q77=0,"0",TEXT(OFFSET('5  Control Accounts'!$FG$33,R77,0),"##0.0"))</f>
        <v>0</v>
      </c>
      <c r="I77" s="961" t="str">
        <f ca="1">IF(Q77=0,"0",TEXT(OFFSET('5  Control Accounts'!$FH$33,R77,0),"##0.0"))</f>
        <v>0</v>
      </c>
      <c r="J77" s="961" t="str">
        <f ca="1">IF($Q77=0,"0",'1 Setup'!$I$60)</f>
        <v>0</v>
      </c>
      <c r="K77" s="961" t="str">
        <f ca="1">IF(Q77=0,"0",TEXT(OFFSET('5  Control Accounts'!$FX$33,R77,0),"##0.00"))</f>
        <v>0</v>
      </c>
      <c r="L77" s="961" t="str">
        <f ca="1">IF(Q77=0,"0",TEXT(OFFSET('5  Control Accounts'!$FY$33,R77,0),"##0.00"))</f>
        <v>0</v>
      </c>
      <c r="M77" s="1405" t="str">
        <f t="shared" ca="1" si="10"/>
        <v>0</v>
      </c>
      <c r="N77" s="1326" t="s">
        <v>1933</v>
      </c>
      <c r="O77" s="1356"/>
      <c r="Q77" s="537">
        <f ca="1">$P$2*OFFSET('5  Control Accounts'!$CP$33,R77,0)</f>
        <v>0</v>
      </c>
      <c r="R77" s="537">
        <v>71</v>
      </c>
      <c r="T77" s="1930">
        <f t="shared" ca="1" si="11"/>
        <v>0</v>
      </c>
      <c r="U77" s="1930">
        <f t="shared" ca="1" si="12"/>
        <v>0</v>
      </c>
    </row>
    <row r="78" spans="1:21" s="750" customFormat="1" ht="15.9" customHeight="1" x14ac:dyDescent="0.3">
      <c r="A78" s="961" t="str">
        <f ca="1">IF(Q78=0,"0",OFFSET('5  Control Accounts'!$BF$33,R78,0)&amp;"."&amp;OFFSET('5  Control Accounts'!$BH$33,R78,0))</f>
        <v>0</v>
      </c>
      <c r="B78" s="961" t="str">
        <f t="shared" ca="1" si="9"/>
        <v>0</v>
      </c>
      <c r="C78" s="961" t="str">
        <f ca="1">IF(Q78=0,"0",TEXT(OFFSET('5  Control Accounts'!$BK$33,R78,0),"General"))</f>
        <v>0</v>
      </c>
      <c r="D78" s="961" t="str">
        <f ca="1">IF(Q78=0,"0",TEXT(OFFSET('5  Control Accounts'!$FB$33,R78,0),"General"))</f>
        <v>0</v>
      </c>
      <c r="E78" s="1405" t="str">
        <f t="shared" ca="1" si="13"/>
        <v>0</v>
      </c>
      <c r="F78" s="1405" t="str">
        <f t="shared" ca="1" si="14"/>
        <v>0</v>
      </c>
      <c r="G78" s="1405" t="str">
        <f t="shared" ca="1" si="15"/>
        <v>0</v>
      </c>
      <c r="H78" s="961" t="str">
        <f ca="1">IF(Q78=0,"0",TEXT(OFFSET('5  Control Accounts'!$FG$33,R78,0),"##0.0"))</f>
        <v>0</v>
      </c>
      <c r="I78" s="961" t="str">
        <f ca="1">IF(Q78=0,"0",TEXT(OFFSET('5  Control Accounts'!$FH$33,R78,0),"##0.0"))</f>
        <v>0</v>
      </c>
      <c r="J78" s="961" t="str">
        <f ca="1">IF($Q78=0,"0",'1 Setup'!$I$60)</f>
        <v>0</v>
      </c>
      <c r="K78" s="961" t="str">
        <f ca="1">IF(Q78=0,"0",TEXT(OFFSET('5  Control Accounts'!$FX$33,R78,0),"##0.00"))</f>
        <v>0</v>
      </c>
      <c r="L78" s="961" t="str">
        <f ca="1">IF(Q78=0,"0",TEXT(OFFSET('5  Control Accounts'!$FY$33,R78,0),"##0.00"))</f>
        <v>0</v>
      </c>
      <c r="M78" s="1405" t="str">
        <f t="shared" ca="1" si="10"/>
        <v>0</v>
      </c>
      <c r="N78" s="1326" t="s">
        <v>1934</v>
      </c>
      <c r="O78" s="1356"/>
      <c r="Q78" s="537">
        <f ca="1">$P$2*OFFSET('5  Control Accounts'!$CP$33,R78,0)</f>
        <v>0</v>
      </c>
      <c r="R78" s="537">
        <v>72</v>
      </c>
      <c r="T78" s="1930">
        <f t="shared" ca="1" si="11"/>
        <v>0</v>
      </c>
      <c r="U78" s="1930">
        <f t="shared" ca="1" si="12"/>
        <v>0</v>
      </c>
    </row>
    <row r="79" spans="1:21" s="750" customFormat="1" ht="15.9" customHeight="1" x14ac:dyDescent="0.3">
      <c r="A79" s="961" t="str">
        <f ca="1">IF(Q79=0,"0",OFFSET('5  Control Accounts'!$BF$33,R79,0)&amp;"."&amp;OFFSET('5  Control Accounts'!$BH$33,R79,0))</f>
        <v>0</v>
      </c>
      <c r="B79" s="961" t="str">
        <f t="shared" ca="1" si="9"/>
        <v>0</v>
      </c>
      <c r="C79" s="961" t="str">
        <f ca="1">IF(Q79=0,"0",TEXT(OFFSET('5  Control Accounts'!$BK$33,R79,0),"General"))</f>
        <v>0</v>
      </c>
      <c r="D79" s="961" t="str">
        <f ca="1">IF(Q79=0,"0",TEXT(OFFSET('5  Control Accounts'!$FB$33,R79,0),"General"))</f>
        <v>0</v>
      </c>
      <c r="E79" s="1405" t="str">
        <f t="shared" ca="1" si="13"/>
        <v>0</v>
      </c>
      <c r="F79" s="1405" t="str">
        <f t="shared" ca="1" si="14"/>
        <v>0</v>
      </c>
      <c r="G79" s="1405" t="str">
        <f t="shared" ca="1" si="15"/>
        <v>0</v>
      </c>
      <c r="H79" s="961" t="str">
        <f ca="1">IF(Q79=0,"0",TEXT(OFFSET('5  Control Accounts'!$FG$33,R79,0),"##0.0"))</f>
        <v>0</v>
      </c>
      <c r="I79" s="961" t="str">
        <f ca="1">IF(Q79=0,"0",TEXT(OFFSET('5  Control Accounts'!$FH$33,R79,0),"##0.0"))</f>
        <v>0</v>
      </c>
      <c r="J79" s="961" t="str">
        <f ca="1">IF($Q79=0,"0",'1 Setup'!$I$60)</f>
        <v>0</v>
      </c>
      <c r="K79" s="961" t="str">
        <f ca="1">IF(Q79=0,"0",TEXT(OFFSET('5  Control Accounts'!$FX$33,R79,0),"##0.00"))</f>
        <v>0</v>
      </c>
      <c r="L79" s="961" t="str">
        <f ca="1">IF(Q79=0,"0",TEXT(OFFSET('5  Control Accounts'!$FY$33,R79,0),"##0.00"))</f>
        <v>0</v>
      </c>
      <c r="M79" s="1405" t="str">
        <f t="shared" ca="1" si="10"/>
        <v>0</v>
      </c>
      <c r="N79" s="1326" t="s">
        <v>1935</v>
      </c>
      <c r="O79" s="1356"/>
      <c r="Q79" s="537">
        <f ca="1">$P$2*OFFSET('5  Control Accounts'!$CP$33,R79,0)</f>
        <v>0</v>
      </c>
      <c r="R79" s="537">
        <v>73</v>
      </c>
      <c r="T79" s="1930">
        <f t="shared" ca="1" si="11"/>
        <v>0</v>
      </c>
      <c r="U79" s="1930">
        <f t="shared" ca="1" si="12"/>
        <v>0</v>
      </c>
    </row>
    <row r="80" spans="1:21" s="750" customFormat="1" ht="15.9" customHeight="1" x14ac:dyDescent="0.3">
      <c r="A80" s="961" t="str">
        <f ca="1">IF(Q80=0,"0",OFFSET('5  Control Accounts'!$BF$33,R80,0)&amp;"."&amp;OFFSET('5  Control Accounts'!$BH$33,R80,0))</f>
        <v>0</v>
      </c>
      <c r="B80" s="961" t="str">
        <f t="shared" ca="1" si="9"/>
        <v>0</v>
      </c>
      <c r="C80" s="961" t="str">
        <f ca="1">IF(Q80=0,"0",TEXT(OFFSET('5  Control Accounts'!$BK$33,R80,0),"General"))</f>
        <v>0</v>
      </c>
      <c r="D80" s="961" t="str">
        <f ca="1">IF(Q80=0,"0",TEXT(OFFSET('5  Control Accounts'!$FB$33,R80,0),"General"))</f>
        <v>0</v>
      </c>
      <c r="E80" s="1405" t="str">
        <f t="shared" ca="1" si="13"/>
        <v>0</v>
      </c>
      <c r="F80" s="1405" t="str">
        <f t="shared" ca="1" si="14"/>
        <v>0</v>
      </c>
      <c r="G80" s="1405" t="str">
        <f t="shared" ca="1" si="15"/>
        <v>0</v>
      </c>
      <c r="H80" s="961" t="str">
        <f ca="1">IF(Q80=0,"0",TEXT(OFFSET('5  Control Accounts'!$FG$33,R80,0),"##0.0"))</f>
        <v>0</v>
      </c>
      <c r="I80" s="961" t="str">
        <f ca="1">IF(Q80=0,"0",TEXT(OFFSET('5  Control Accounts'!$FH$33,R80,0),"##0.0"))</f>
        <v>0</v>
      </c>
      <c r="J80" s="961" t="str">
        <f ca="1">IF($Q80=0,"0",'1 Setup'!$I$60)</f>
        <v>0</v>
      </c>
      <c r="K80" s="961" t="str">
        <f ca="1">IF(Q80=0,"0",TEXT(OFFSET('5  Control Accounts'!$FX$33,R80,0),"##0.00"))</f>
        <v>0</v>
      </c>
      <c r="L80" s="961" t="str">
        <f ca="1">IF(Q80=0,"0",TEXT(OFFSET('5  Control Accounts'!$FY$33,R80,0),"##0.00"))</f>
        <v>0</v>
      </c>
      <c r="M80" s="1405" t="str">
        <f t="shared" ca="1" si="10"/>
        <v>0</v>
      </c>
      <c r="N80" s="1326" t="s">
        <v>1936</v>
      </c>
      <c r="O80" s="1356"/>
      <c r="Q80" s="537">
        <f ca="1">$P$2*OFFSET('5  Control Accounts'!$CP$33,R80,0)</f>
        <v>0</v>
      </c>
      <c r="R80" s="537">
        <v>74</v>
      </c>
      <c r="T80" s="1930">
        <f t="shared" ca="1" si="11"/>
        <v>0</v>
      </c>
      <c r="U80" s="1930">
        <f t="shared" ca="1" si="12"/>
        <v>0</v>
      </c>
    </row>
    <row r="81" spans="1:21" s="750" customFormat="1" ht="15.9" customHeight="1" x14ac:dyDescent="0.3">
      <c r="A81" s="961" t="str">
        <f ca="1">IF(Q81=0,"0",OFFSET('5  Control Accounts'!$BF$33,R81,0)&amp;"."&amp;OFFSET('5  Control Accounts'!$BH$33,R81,0))</f>
        <v>0</v>
      </c>
      <c r="B81" s="961" t="str">
        <f t="shared" ca="1" si="9"/>
        <v>0</v>
      </c>
      <c r="C81" s="961" t="str">
        <f ca="1">IF(Q81=0,"0",TEXT(OFFSET('5  Control Accounts'!$BK$33,R81,0),"General"))</f>
        <v>0</v>
      </c>
      <c r="D81" s="961" t="str">
        <f ca="1">IF(Q81=0,"0",TEXT(OFFSET('5  Control Accounts'!$FB$33,R81,0),"General"))</f>
        <v>0</v>
      </c>
      <c r="E81" s="1405" t="str">
        <f t="shared" ca="1" si="13"/>
        <v>0</v>
      </c>
      <c r="F81" s="1405" t="str">
        <f t="shared" ca="1" si="14"/>
        <v>0</v>
      </c>
      <c r="G81" s="1405" t="str">
        <f t="shared" ca="1" si="15"/>
        <v>0</v>
      </c>
      <c r="H81" s="961" t="str">
        <f ca="1">IF(Q81=0,"0",TEXT(OFFSET('5  Control Accounts'!$FG$33,R81,0),"##0.0"))</f>
        <v>0</v>
      </c>
      <c r="I81" s="961" t="str">
        <f ca="1">IF(Q81=0,"0",TEXT(OFFSET('5  Control Accounts'!$FH$33,R81,0),"##0.0"))</f>
        <v>0</v>
      </c>
      <c r="J81" s="961" t="str">
        <f ca="1">IF($Q81=0,"0",'1 Setup'!$I$60)</f>
        <v>0</v>
      </c>
      <c r="K81" s="961" t="str">
        <f ca="1">IF(Q81=0,"0",TEXT(OFFSET('5  Control Accounts'!$FX$33,R81,0),"##0.00"))</f>
        <v>0</v>
      </c>
      <c r="L81" s="961" t="str">
        <f ca="1">IF(Q81=0,"0",TEXT(OFFSET('5  Control Accounts'!$FY$33,R81,0),"##0.00"))</f>
        <v>0</v>
      </c>
      <c r="M81" s="1405" t="str">
        <f t="shared" ca="1" si="10"/>
        <v>0</v>
      </c>
      <c r="N81" s="1326" t="s">
        <v>1937</v>
      </c>
      <c r="O81" s="1356"/>
      <c r="Q81" s="537">
        <f ca="1">$P$2*OFFSET('5  Control Accounts'!$CP$33,R81,0)</f>
        <v>0</v>
      </c>
      <c r="R81" s="537">
        <v>75</v>
      </c>
      <c r="T81" s="1930">
        <f t="shared" ca="1" si="11"/>
        <v>0</v>
      </c>
      <c r="U81" s="1930">
        <f t="shared" ca="1" si="12"/>
        <v>0</v>
      </c>
    </row>
    <row r="82" spans="1:21" s="750" customFormat="1" ht="15.9" customHeight="1" x14ac:dyDescent="0.3">
      <c r="A82" s="961" t="str">
        <f ca="1">IF(Q82=0,"0",OFFSET('5  Control Accounts'!$BF$33,R82,0)&amp;"."&amp;OFFSET('5  Control Accounts'!$BH$33,R82,0))</f>
        <v>0</v>
      </c>
      <c r="B82" s="961" t="str">
        <f t="shared" ca="1" si="9"/>
        <v>0</v>
      </c>
      <c r="C82" s="961" t="str">
        <f ca="1">IF(Q82=0,"0",TEXT(OFFSET('5  Control Accounts'!$BK$33,R82,0),"General"))</f>
        <v>0</v>
      </c>
      <c r="D82" s="961" t="str">
        <f ca="1">IF(Q82=0,"0",TEXT(OFFSET('5  Control Accounts'!$FB$33,R82,0),"General"))</f>
        <v>0</v>
      </c>
      <c r="E82" s="1405" t="str">
        <f t="shared" ca="1" si="13"/>
        <v>0</v>
      </c>
      <c r="F82" s="1405" t="str">
        <f t="shared" ca="1" si="14"/>
        <v>0</v>
      </c>
      <c r="G82" s="1405" t="str">
        <f t="shared" ca="1" si="15"/>
        <v>0</v>
      </c>
      <c r="H82" s="961" t="str">
        <f ca="1">IF(Q82=0,"0",TEXT(OFFSET('5  Control Accounts'!$FG$33,R82,0),"##0.0"))</f>
        <v>0</v>
      </c>
      <c r="I82" s="961" t="str">
        <f ca="1">IF(Q82=0,"0",TEXT(OFFSET('5  Control Accounts'!$FH$33,R82,0),"##0.0"))</f>
        <v>0</v>
      </c>
      <c r="J82" s="961" t="str">
        <f ca="1">IF($Q82=0,"0",'1 Setup'!$I$60)</f>
        <v>0</v>
      </c>
      <c r="K82" s="961" t="str">
        <f ca="1">IF(Q82=0,"0",TEXT(OFFSET('5  Control Accounts'!$FX$33,R82,0),"##0.00"))</f>
        <v>0</v>
      </c>
      <c r="L82" s="961" t="str">
        <f ca="1">IF(Q82=0,"0",TEXT(OFFSET('5  Control Accounts'!$FY$33,R82,0),"##0.00"))</f>
        <v>0</v>
      </c>
      <c r="M82" s="1405" t="str">
        <f t="shared" ca="1" si="10"/>
        <v>0</v>
      </c>
      <c r="N82" s="1326" t="s">
        <v>1938</v>
      </c>
      <c r="O82" s="1356"/>
      <c r="Q82" s="537">
        <f ca="1">$P$2*OFFSET('5  Control Accounts'!$CP$33,R82,0)</f>
        <v>0</v>
      </c>
      <c r="R82" s="537">
        <v>76</v>
      </c>
      <c r="T82" s="1930">
        <f t="shared" ca="1" si="11"/>
        <v>0</v>
      </c>
      <c r="U82" s="1930">
        <f t="shared" ca="1" si="12"/>
        <v>0</v>
      </c>
    </row>
    <row r="83" spans="1:21" s="750" customFormat="1" ht="15.9" customHeight="1" x14ac:dyDescent="0.3">
      <c r="A83" s="961" t="str">
        <f ca="1">IF(Q83=0,"0",OFFSET('5  Control Accounts'!$BF$33,R83,0)&amp;"."&amp;OFFSET('5  Control Accounts'!$BH$33,R83,0))</f>
        <v>0</v>
      </c>
      <c r="B83" s="961" t="str">
        <f t="shared" ca="1" si="9"/>
        <v>0</v>
      </c>
      <c r="C83" s="961" t="str">
        <f ca="1">IF(Q83=0,"0",TEXT(OFFSET('5  Control Accounts'!$BK$33,R83,0),"General"))</f>
        <v>0</v>
      </c>
      <c r="D83" s="961" t="str">
        <f ca="1">IF(Q83=0,"0",TEXT(OFFSET('5  Control Accounts'!$FB$33,R83,0),"General"))</f>
        <v>0</v>
      </c>
      <c r="E83" s="1405" t="str">
        <f t="shared" ca="1" si="13"/>
        <v>0</v>
      </c>
      <c r="F83" s="1405" t="str">
        <f t="shared" ca="1" si="14"/>
        <v>0</v>
      </c>
      <c r="G83" s="1405" t="str">
        <f t="shared" ca="1" si="15"/>
        <v>0</v>
      </c>
      <c r="H83" s="961" t="str">
        <f ca="1">IF(Q83=0,"0",TEXT(OFFSET('5  Control Accounts'!$FG$33,R83,0),"##0.0"))</f>
        <v>0</v>
      </c>
      <c r="I83" s="961" t="str">
        <f ca="1">IF(Q83=0,"0",TEXT(OFFSET('5  Control Accounts'!$FH$33,R83,0),"##0.0"))</f>
        <v>0</v>
      </c>
      <c r="J83" s="961" t="str">
        <f ca="1">IF($Q83=0,"0",'1 Setup'!$I$60)</f>
        <v>0</v>
      </c>
      <c r="K83" s="961" t="str">
        <f ca="1">IF(Q83=0,"0",TEXT(OFFSET('5  Control Accounts'!$FX$33,R83,0),"##0.00"))</f>
        <v>0</v>
      </c>
      <c r="L83" s="961" t="str">
        <f ca="1">IF(Q83=0,"0",TEXT(OFFSET('5  Control Accounts'!$FY$33,R83,0),"##0.00"))</f>
        <v>0</v>
      </c>
      <c r="M83" s="1405" t="str">
        <f t="shared" ca="1" si="10"/>
        <v>0</v>
      </c>
      <c r="N83" s="1326" t="s">
        <v>1939</v>
      </c>
      <c r="O83" s="1356"/>
      <c r="Q83" s="537">
        <f ca="1">$P$2*OFFSET('5  Control Accounts'!$CP$33,R83,0)</f>
        <v>0</v>
      </c>
      <c r="R83" s="537">
        <v>77</v>
      </c>
      <c r="T83" s="1930">
        <f t="shared" ca="1" si="11"/>
        <v>0</v>
      </c>
      <c r="U83" s="1930">
        <f t="shared" ca="1" si="12"/>
        <v>0</v>
      </c>
    </row>
    <row r="84" spans="1:21" s="750" customFormat="1" ht="15.9" customHeight="1" x14ac:dyDescent="0.3">
      <c r="A84" s="961" t="str">
        <f ca="1">IF(Q84=0,"0",OFFSET('5  Control Accounts'!$BF$33,R84,0)&amp;"."&amp;OFFSET('5  Control Accounts'!$BH$33,R84,0))</f>
        <v>0</v>
      </c>
      <c r="B84" s="961" t="str">
        <f t="shared" ca="1" si="9"/>
        <v>0</v>
      </c>
      <c r="C84" s="961" t="str">
        <f ca="1">IF(Q84=0,"0",TEXT(OFFSET('5  Control Accounts'!$BK$33,R84,0),"General"))</f>
        <v>0</v>
      </c>
      <c r="D84" s="961" t="str">
        <f ca="1">IF(Q84=0,"0",TEXT(OFFSET('5  Control Accounts'!$FB$33,R84,0),"General"))</f>
        <v>0</v>
      </c>
      <c r="E84" s="1405" t="str">
        <f t="shared" ca="1" si="13"/>
        <v>0</v>
      </c>
      <c r="F84" s="1405" t="str">
        <f t="shared" ca="1" si="14"/>
        <v>0</v>
      </c>
      <c r="G84" s="1405" t="str">
        <f t="shared" ca="1" si="15"/>
        <v>0</v>
      </c>
      <c r="H84" s="961" t="str">
        <f ca="1">IF(Q84=0,"0",TEXT(OFFSET('5  Control Accounts'!$FG$33,R84,0),"##0.0"))</f>
        <v>0</v>
      </c>
      <c r="I84" s="961" t="str">
        <f ca="1">IF(Q84=0,"0",TEXT(OFFSET('5  Control Accounts'!$FH$33,R84,0),"##0.0"))</f>
        <v>0</v>
      </c>
      <c r="J84" s="961" t="str">
        <f ca="1">IF($Q84=0,"0",'1 Setup'!$I$60)</f>
        <v>0</v>
      </c>
      <c r="K84" s="961" t="str">
        <f ca="1">IF(Q84=0,"0",TEXT(OFFSET('5  Control Accounts'!$FX$33,R84,0),"##0.00"))</f>
        <v>0</v>
      </c>
      <c r="L84" s="961" t="str">
        <f ca="1">IF(Q84=0,"0",TEXT(OFFSET('5  Control Accounts'!$FY$33,R84,0),"##0.00"))</f>
        <v>0</v>
      </c>
      <c r="M84" s="1405" t="str">
        <f t="shared" ca="1" si="10"/>
        <v>0</v>
      </c>
      <c r="N84" s="1326" t="s">
        <v>1940</v>
      </c>
      <c r="O84" s="1356"/>
      <c r="Q84" s="537">
        <f ca="1">$P$2*OFFSET('5  Control Accounts'!$CP$33,R84,0)</f>
        <v>0</v>
      </c>
      <c r="R84" s="537">
        <v>78</v>
      </c>
      <c r="T84" s="1930">
        <f t="shared" ca="1" si="11"/>
        <v>0</v>
      </c>
      <c r="U84" s="1930">
        <f t="shared" ca="1" si="12"/>
        <v>0</v>
      </c>
    </row>
    <row r="85" spans="1:21" s="750" customFormat="1" ht="15.9" customHeight="1" x14ac:dyDescent="0.3">
      <c r="A85" s="961" t="str">
        <f ca="1">IF(Q85=0,"0",OFFSET('5  Control Accounts'!$BF$33,R85,0)&amp;"."&amp;OFFSET('5  Control Accounts'!$BH$33,R85,0))</f>
        <v>0</v>
      </c>
      <c r="B85" s="961" t="str">
        <f t="shared" ca="1" si="9"/>
        <v>0</v>
      </c>
      <c r="C85" s="961" t="str">
        <f ca="1">IF(Q85=0,"0",TEXT(OFFSET('5  Control Accounts'!$BK$33,R85,0),"General"))</f>
        <v>0</v>
      </c>
      <c r="D85" s="961" t="str">
        <f ca="1">IF(Q85=0,"0",TEXT(OFFSET('5  Control Accounts'!$FB$33,R85,0),"General"))</f>
        <v>0</v>
      </c>
      <c r="E85" s="1405" t="str">
        <f t="shared" ca="1" si="13"/>
        <v>0</v>
      </c>
      <c r="F85" s="1405" t="str">
        <f t="shared" ca="1" si="14"/>
        <v>0</v>
      </c>
      <c r="G85" s="1405" t="str">
        <f t="shared" ca="1" si="15"/>
        <v>0</v>
      </c>
      <c r="H85" s="961" t="str">
        <f ca="1">IF(Q85=0,"0",TEXT(OFFSET('5  Control Accounts'!$FG$33,R85,0),"##0.0"))</f>
        <v>0</v>
      </c>
      <c r="I85" s="961" t="str">
        <f ca="1">IF(Q85=0,"0",TEXT(OFFSET('5  Control Accounts'!$FH$33,R85,0),"##0.0"))</f>
        <v>0</v>
      </c>
      <c r="J85" s="961" t="str">
        <f ca="1">IF($Q85=0,"0",'1 Setup'!$I$60)</f>
        <v>0</v>
      </c>
      <c r="K85" s="961" t="str">
        <f ca="1">IF(Q85=0,"0",TEXT(OFFSET('5  Control Accounts'!$FX$33,R85,0),"##0.00"))</f>
        <v>0</v>
      </c>
      <c r="L85" s="961" t="str">
        <f ca="1">IF(Q85=0,"0",TEXT(OFFSET('5  Control Accounts'!$FY$33,R85,0),"##0.00"))</f>
        <v>0</v>
      </c>
      <c r="M85" s="1405" t="str">
        <f t="shared" ca="1" si="10"/>
        <v>0</v>
      </c>
      <c r="N85" s="1326" t="s">
        <v>1941</v>
      </c>
      <c r="O85" s="1356"/>
      <c r="Q85" s="537">
        <f ca="1">$P$2*OFFSET('5  Control Accounts'!$CP$33,R85,0)</f>
        <v>0</v>
      </c>
      <c r="R85" s="537">
        <v>79</v>
      </c>
      <c r="T85" s="1930">
        <f t="shared" ca="1" si="11"/>
        <v>0</v>
      </c>
      <c r="U85" s="1930">
        <f t="shared" ca="1" si="12"/>
        <v>0</v>
      </c>
    </row>
    <row r="86" spans="1:21" s="750" customFormat="1" ht="15.9" customHeight="1" x14ac:dyDescent="0.3">
      <c r="A86" s="961" t="str">
        <f ca="1">IF(Q86=0,"0",OFFSET('5  Control Accounts'!$BF$33,R86,0)&amp;"."&amp;OFFSET('5  Control Accounts'!$BH$33,R86,0))</f>
        <v>0</v>
      </c>
      <c r="B86" s="961" t="str">
        <f t="shared" ca="1" si="9"/>
        <v>0</v>
      </c>
      <c r="C86" s="961" t="str">
        <f ca="1">IF(Q86=0,"0",TEXT(OFFSET('5  Control Accounts'!$BK$33,R86,0),"General"))</f>
        <v>0</v>
      </c>
      <c r="D86" s="961" t="str">
        <f ca="1">IF(Q86=0,"0",TEXT(OFFSET('5  Control Accounts'!$FB$33,R86,0),"General"))</f>
        <v>0</v>
      </c>
      <c r="E86" s="1405" t="str">
        <f t="shared" ca="1" si="13"/>
        <v>0</v>
      </c>
      <c r="F86" s="1405" t="str">
        <f t="shared" ca="1" si="14"/>
        <v>0</v>
      </c>
      <c r="G86" s="1405" t="str">
        <f t="shared" ca="1" si="15"/>
        <v>0</v>
      </c>
      <c r="H86" s="961" t="str">
        <f ca="1">IF(Q86=0,"0",TEXT(OFFSET('5  Control Accounts'!$FG$33,R86,0),"##0.0"))</f>
        <v>0</v>
      </c>
      <c r="I86" s="961" t="str">
        <f ca="1">IF(Q86=0,"0",TEXT(OFFSET('5  Control Accounts'!$FH$33,R86,0),"##0.0"))</f>
        <v>0</v>
      </c>
      <c r="J86" s="961" t="str">
        <f ca="1">IF($Q86=0,"0",'1 Setup'!$I$60)</f>
        <v>0</v>
      </c>
      <c r="K86" s="961" t="str">
        <f ca="1">IF(Q86=0,"0",TEXT(OFFSET('5  Control Accounts'!$FX$33,R86,0),"##0.00"))</f>
        <v>0</v>
      </c>
      <c r="L86" s="961" t="str">
        <f ca="1">IF(Q86=0,"0",TEXT(OFFSET('5  Control Accounts'!$FY$33,R86,0),"##0.00"))</f>
        <v>0</v>
      </c>
      <c r="M86" s="1405" t="str">
        <f t="shared" ca="1" si="10"/>
        <v>0</v>
      </c>
      <c r="N86" s="1326" t="s">
        <v>1942</v>
      </c>
      <c r="O86" s="1356"/>
      <c r="Q86" s="537">
        <f ca="1">$P$2*OFFSET('5  Control Accounts'!$CP$33,R86,0)</f>
        <v>0</v>
      </c>
      <c r="R86" s="537">
        <v>80</v>
      </c>
      <c r="T86" s="1930">
        <f t="shared" ca="1" si="11"/>
        <v>0</v>
      </c>
      <c r="U86" s="1930">
        <f t="shared" ca="1" si="12"/>
        <v>0</v>
      </c>
    </row>
    <row r="87" spans="1:21" s="750" customFormat="1" ht="15.9" customHeight="1" x14ac:dyDescent="0.3">
      <c r="A87" s="961" t="str">
        <f ca="1">IF(Q87=0,"0",OFFSET('5  Control Accounts'!$BF$33,R87,0)&amp;"."&amp;OFFSET('5  Control Accounts'!$BH$33,R87,0))</f>
        <v>0</v>
      </c>
      <c r="B87" s="961" t="str">
        <f t="shared" ca="1" si="9"/>
        <v>0</v>
      </c>
      <c r="C87" s="961" t="str">
        <f ca="1">IF(Q87=0,"0",TEXT(OFFSET('5  Control Accounts'!$BK$33,R87,0),"General"))</f>
        <v>0</v>
      </c>
      <c r="D87" s="961" t="str">
        <f ca="1">IF(Q87=0,"0",TEXT(OFFSET('5  Control Accounts'!$FB$33,R87,0),"General"))</f>
        <v>0</v>
      </c>
      <c r="E87" s="1405" t="str">
        <f t="shared" ca="1" si="13"/>
        <v>0</v>
      </c>
      <c r="F87" s="1405" t="str">
        <f t="shared" ca="1" si="14"/>
        <v>0</v>
      </c>
      <c r="G87" s="1405" t="str">
        <f t="shared" ca="1" si="15"/>
        <v>0</v>
      </c>
      <c r="H87" s="961" t="str">
        <f ca="1">IF(Q87=0,"0",TEXT(OFFSET('5  Control Accounts'!$FG$33,R87,0),"##0.0"))</f>
        <v>0</v>
      </c>
      <c r="I87" s="961" t="str">
        <f ca="1">IF(Q87=0,"0",TEXT(OFFSET('5  Control Accounts'!$FH$33,R87,0),"##0.0"))</f>
        <v>0</v>
      </c>
      <c r="J87" s="961" t="str">
        <f ca="1">IF($Q87=0,"0",'1 Setup'!$I$60)</f>
        <v>0</v>
      </c>
      <c r="K87" s="961" t="str">
        <f ca="1">IF(Q87=0,"0",TEXT(OFFSET('5  Control Accounts'!$FX$33,R87,0),"##0.00"))</f>
        <v>0</v>
      </c>
      <c r="L87" s="961" t="str">
        <f ca="1">IF(Q87=0,"0",TEXT(OFFSET('5  Control Accounts'!$FY$33,R87,0),"##0.00"))</f>
        <v>0</v>
      </c>
      <c r="M87" s="1405" t="str">
        <f t="shared" ca="1" si="10"/>
        <v>0</v>
      </c>
      <c r="N87" s="1326" t="s">
        <v>1943</v>
      </c>
      <c r="O87" s="1356"/>
      <c r="Q87" s="537">
        <f ca="1">$P$2*OFFSET('5  Control Accounts'!$CP$33,R87,0)</f>
        <v>0</v>
      </c>
      <c r="R87" s="537">
        <v>81</v>
      </c>
      <c r="T87" s="1930">
        <f t="shared" ca="1" si="11"/>
        <v>0</v>
      </c>
      <c r="U87" s="1930">
        <f t="shared" ca="1" si="12"/>
        <v>0</v>
      </c>
    </row>
    <row r="88" spans="1:21" s="750" customFormat="1" ht="15.9" customHeight="1" x14ac:dyDescent="0.3">
      <c r="A88" s="961" t="str">
        <f ca="1">IF(Q88=0,"0",OFFSET('5  Control Accounts'!$BF$33,R88,0)&amp;"."&amp;OFFSET('5  Control Accounts'!$BH$33,R88,0))</f>
        <v>0</v>
      </c>
      <c r="B88" s="961" t="str">
        <f t="shared" ca="1" si="9"/>
        <v>0</v>
      </c>
      <c r="C88" s="961" t="str">
        <f ca="1">IF(Q88=0,"0",TEXT(OFFSET('5  Control Accounts'!$BK$33,R88,0),"General"))</f>
        <v>0</v>
      </c>
      <c r="D88" s="961" t="str">
        <f ca="1">IF(Q88=0,"0",TEXT(OFFSET('5  Control Accounts'!$FB$33,R88,0),"General"))</f>
        <v>0</v>
      </c>
      <c r="E88" s="1405" t="str">
        <f t="shared" ca="1" si="13"/>
        <v>0</v>
      </c>
      <c r="F88" s="1405" t="str">
        <f t="shared" ca="1" si="14"/>
        <v>0</v>
      </c>
      <c r="G88" s="1405" t="str">
        <f t="shared" ca="1" si="15"/>
        <v>0</v>
      </c>
      <c r="H88" s="961" t="str">
        <f ca="1">IF(Q88=0,"0",TEXT(OFFSET('5  Control Accounts'!$FG$33,R88,0),"##0.0"))</f>
        <v>0</v>
      </c>
      <c r="I88" s="961" t="str">
        <f ca="1">IF(Q88=0,"0",TEXT(OFFSET('5  Control Accounts'!$FH$33,R88,0),"##0.0"))</f>
        <v>0</v>
      </c>
      <c r="J88" s="961" t="str">
        <f ca="1">IF($Q88=0,"0",'1 Setup'!$I$60)</f>
        <v>0</v>
      </c>
      <c r="K88" s="961" t="str">
        <f ca="1">IF(Q88=0,"0",TEXT(OFFSET('5  Control Accounts'!$FX$33,R88,0),"##0.00"))</f>
        <v>0</v>
      </c>
      <c r="L88" s="961" t="str">
        <f ca="1">IF(Q88=0,"0",TEXT(OFFSET('5  Control Accounts'!$FY$33,R88,0),"##0.00"))</f>
        <v>0</v>
      </c>
      <c r="M88" s="1405" t="str">
        <f t="shared" ca="1" si="10"/>
        <v>0</v>
      </c>
      <c r="N88" s="1326" t="s">
        <v>1944</v>
      </c>
      <c r="O88" s="1356"/>
      <c r="Q88" s="537">
        <f ca="1">$P$2*OFFSET('5  Control Accounts'!$CP$33,R88,0)</f>
        <v>0</v>
      </c>
      <c r="R88" s="537">
        <v>82</v>
      </c>
      <c r="T88" s="1930">
        <f t="shared" ca="1" si="11"/>
        <v>0</v>
      </c>
      <c r="U88" s="1930">
        <f t="shared" ca="1" si="12"/>
        <v>0</v>
      </c>
    </row>
    <row r="89" spans="1:21" s="750" customFormat="1" ht="15.9" customHeight="1" x14ac:dyDescent="0.3">
      <c r="A89" s="961" t="str">
        <f ca="1">IF(Q89=0,"0",OFFSET('5  Control Accounts'!$BF$33,R89,0)&amp;"."&amp;OFFSET('5  Control Accounts'!$BH$33,R89,0))</f>
        <v>0</v>
      </c>
      <c r="B89" s="961" t="str">
        <f t="shared" ca="1" si="9"/>
        <v>0</v>
      </c>
      <c r="C89" s="961" t="str">
        <f ca="1">IF(Q89=0,"0",TEXT(OFFSET('5  Control Accounts'!$BK$33,R89,0),"General"))</f>
        <v>0</v>
      </c>
      <c r="D89" s="961" t="str">
        <f ca="1">IF(Q89=0,"0",TEXT(OFFSET('5  Control Accounts'!$FB$33,R89,0),"General"))</f>
        <v>0</v>
      </c>
      <c r="E89" s="1405" t="str">
        <f t="shared" ca="1" si="13"/>
        <v>0</v>
      </c>
      <c r="F89" s="1405" t="str">
        <f t="shared" ca="1" si="14"/>
        <v>0</v>
      </c>
      <c r="G89" s="1405" t="str">
        <f t="shared" ca="1" si="15"/>
        <v>0</v>
      </c>
      <c r="H89" s="961" t="str">
        <f ca="1">IF(Q89=0,"0",TEXT(OFFSET('5  Control Accounts'!$FG$33,R89,0),"##0.0"))</f>
        <v>0</v>
      </c>
      <c r="I89" s="961" t="str">
        <f ca="1">IF(Q89=0,"0",TEXT(OFFSET('5  Control Accounts'!$FH$33,R89,0),"##0.0"))</f>
        <v>0</v>
      </c>
      <c r="J89" s="961" t="str">
        <f ca="1">IF($Q89=0,"0",'1 Setup'!$I$60)</f>
        <v>0</v>
      </c>
      <c r="K89" s="961" t="str">
        <f ca="1">IF(Q89=0,"0",TEXT(OFFSET('5  Control Accounts'!$FX$33,R89,0),"##0.00"))</f>
        <v>0</v>
      </c>
      <c r="L89" s="961" t="str">
        <f ca="1">IF(Q89=0,"0",TEXT(OFFSET('5  Control Accounts'!$FY$33,R89,0),"##0.00"))</f>
        <v>0</v>
      </c>
      <c r="M89" s="1405" t="str">
        <f t="shared" ca="1" si="10"/>
        <v>0</v>
      </c>
      <c r="N89" s="1326" t="s">
        <v>1945</v>
      </c>
      <c r="O89" s="1356"/>
      <c r="Q89" s="537">
        <f ca="1">$P$2*OFFSET('5  Control Accounts'!$CP$33,R89,0)</f>
        <v>0</v>
      </c>
      <c r="R89" s="537">
        <v>83</v>
      </c>
      <c r="T89" s="1930">
        <f t="shared" ca="1" si="11"/>
        <v>0</v>
      </c>
      <c r="U89" s="1930">
        <f t="shared" ca="1" si="12"/>
        <v>0</v>
      </c>
    </row>
    <row r="90" spans="1:21" s="750" customFormat="1" ht="15.9" customHeight="1" x14ac:dyDescent="0.3">
      <c r="A90" s="961" t="str">
        <f ca="1">IF(Q90=0,"0",OFFSET('5  Control Accounts'!$BF$33,R90,0)&amp;"."&amp;OFFSET('5  Control Accounts'!$BH$33,R90,0))</f>
        <v>0</v>
      </c>
      <c r="B90" s="961" t="str">
        <f t="shared" ca="1" si="9"/>
        <v>0</v>
      </c>
      <c r="C90" s="961" t="str">
        <f ca="1">IF(Q90=0,"0",TEXT(OFFSET('5  Control Accounts'!$BK$33,R90,0),"General"))</f>
        <v>0</v>
      </c>
      <c r="D90" s="961" t="str">
        <f ca="1">IF(Q90=0,"0",TEXT(OFFSET('5  Control Accounts'!$FB$33,R90,0),"General"))</f>
        <v>0</v>
      </c>
      <c r="E90" s="1405" t="str">
        <f t="shared" ca="1" si="13"/>
        <v>0</v>
      </c>
      <c r="F90" s="1405" t="str">
        <f t="shared" ca="1" si="14"/>
        <v>0</v>
      </c>
      <c r="G90" s="1405" t="str">
        <f t="shared" ca="1" si="15"/>
        <v>0</v>
      </c>
      <c r="H90" s="961" t="str">
        <f ca="1">IF(Q90=0,"0",TEXT(OFFSET('5  Control Accounts'!$FG$33,R90,0),"##0.0"))</f>
        <v>0</v>
      </c>
      <c r="I90" s="961" t="str">
        <f ca="1">IF(Q90=0,"0",TEXT(OFFSET('5  Control Accounts'!$FH$33,R90,0),"##0.0"))</f>
        <v>0</v>
      </c>
      <c r="J90" s="961" t="str">
        <f ca="1">IF($Q90=0,"0",'1 Setup'!$I$60)</f>
        <v>0</v>
      </c>
      <c r="K90" s="961" t="str">
        <f ca="1">IF(Q90=0,"0",TEXT(OFFSET('5  Control Accounts'!$FX$33,R90,0),"##0.00"))</f>
        <v>0</v>
      </c>
      <c r="L90" s="961" t="str">
        <f ca="1">IF(Q90=0,"0",TEXT(OFFSET('5  Control Accounts'!$FY$33,R90,0),"##0.00"))</f>
        <v>0</v>
      </c>
      <c r="M90" s="1405" t="str">
        <f t="shared" ca="1" si="10"/>
        <v>0</v>
      </c>
      <c r="N90" s="1326" t="s">
        <v>1946</v>
      </c>
      <c r="O90" s="1356"/>
      <c r="Q90" s="537">
        <f ca="1">$P$2*OFFSET('5  Control Accounts'!$CP$33,R90,0)</f>
        <v>0</v>
      </c>
      <c r="R90" s="537">
        <v>84</v>
      </c>
      <c r="T90" s="1930">
        <f t="shared" ca="1" si="11"/>
        <v>0</v>
      </c>
      <c r="U90" s="1930">
        <f t="shared" ca="1" si="12"/>
        <v>0</v>
      </c>
    </row>
    <row r="91" spans="1:21" s="750" customFormat="1" ht="15.9" customHeight="1" x14ac:dyDescent="0.3">
      <c r="A91" s="961" t="str">
        <f ca="1">IF(Q91=0,"0",OFFSET('5  Control Accounts'!$BF$33,R91,0)&amp;"."&amp;OFFSET('5  Control Accounts'!$BH$33,R91,0))</f>
        <v>0</v>
      </c>
      <c r="B91" s="961" t="str">
        <f t="shared" ca="1" si="9"/>
        <v>0</v>
      </c>
      <c r="C91" s="961" t="str">
        <f ca="1">IF(Q91=0,"0",TEXT(OFFSET('5  Control Accounts'!$BK$33,R91,0),"General"))</f>
        <v>0</v>
      </c>
      <c r="D91" s="961" t="str">
        <f ca="1">IF(Q91=0,"0",TEXT(OFFSET('5  Control Accounts'!$FB$33,R91,0),"General"))</f>
        <v>0</v>
      </c>
      <c r="E91" s="1405" t="str">
        <f t="shared" ca="1" si="13"/>
        <v>0</v>
      </c>
      <c r="F91" s="1405" t="str">
        <f t="shared" ca="1" si="14"/>
        <v>0</v>
      </c>
      <c r="G91" s="1405" t="str">
        <f t="shared" ca="1" si="15"/>
        <v>0</v>
      </c>
      <c r="H91" s="961" t="str">
        <f ca="1">IF(Q91=0,"0",TEXT(OFFSET('5  Control Accounts'!$FG$33,R91,0),"##0.0"))</f>
        <v>0</v>
      </c>
      <c r="I91" s="961" t="str">
        <f ca="1">IF(Q91=0,"0",TEXT(OFFSET('5  Control Accounts'!$FH$33,R91,0),"##0.0"))</f>
        <v>0</v>
      </c>
      <c r="J91" s="961" t="str">
        <f ca="1">IF($Q91=0,"0",'1 Setup'!$I$60)</f>
        <v>0</v>
      </c>
      <c r="K91" s="961" t="str">
        <f ca="1">IF(Q91=0,"0",TEXT(OFFSET('5  Control Accounts'!$FX$33,R91,0),"##0.00"))</f>
        <v>0</v>
      </c>
      <c r="L91" s="961" t="str">
        <f ca="1">IF(Q91=0,"0",TEXT(OFFSET('5  Control Accounts'!$FY$33,R91,0),"##0.00"))</f>
        <v>0</v>
      </c>
      <c r="M91" s="1405" t="str">
        <f t="shared" ca="1" si="10"/>
        <v>0</v>
      </c>
      <c r="N91" s="1326" t="s">
        <v>1947</v>
      </c>
      <c r="O91" s="1356"/>
      <c r="Q91" s="537">
        <f ca="1">$P$2*OFFSET('5  Control Accounts'!$CP$33,R91,0)</f>
        <v>0</v>
      </c>
      <c r="R91" s="537">
        <v>85</v>
      </c>
      <c r="T91" s="1930">
        <f t="shared" ca="1" si="11"/>
        <v>0</v>
      </c>
      <c r="U91" s="1930">
        <f t="shared" ca="1" si="12"/>
        <v>0</v>
      </c>
    </row>
    <row r="92" spans="1:21" s="750" customFormat="1" ht="15.9" customHeight="1" x14ac:dyDescent="0.3">
      <c r="A92" s="961" t="str">
        <f ca="1">IF(Q92=0,"0",OFFSET('5  Control Accounts'!$BF$33,R92,0)&amp;"."&amp;OFFSET('5  Control Accounts'!$BH$33,R92,0))</f>
        <v>0</v>
      </c>
      <c r="B92" s="961" t="str">
        <f t="shared" ca="1" si="9"/>
        <v>0</v>
      </c>
      <c r="C92" s="961" t="str">
        <f ca="1">IF(Q92=0,"0",TEXT(OFFSET('5  Control Accounts'!$BK$33,R92,0),"General"))</f>
        <v>0</v>
      </c>
      <c r="D92" s="961" t="str">
        <f ca="1">IF(Q92=0,"0",TEXT(OFFSET('5  Control Accounts'!$FB$33,R92,0),"General"))</f>
        <v>0</v>
      </c>
      <c r="E92" s="1405" t="str">
        <f t="shared" ca="1" si="13"/>
        <v>0</v>
      </c>
      <c r="F92" s="1405" t="str">
        <f t="shared" ca="1" si="14"/>
        <v>0</v>
      </c>
      <c r="G92" s="1405" t="str">
        <f t="shared" ca="1" si="15"/>
        <v>0</v>
      </c>
      <c r="H92" s="961" t="str">
        <f ca="1">IF(Q92=0,"0",TEXT(OFFSET('5  Control Accounts'!$FG$33,R92,0),"##0.0"))</f>
        <v>0</v>
      </c>
      <c r="I92" s="961" t="str">
        <f ca="1">IF(Q92=0,"0",TEXT(OFFSET('5  Control Accounts'!$FH$33,R92,0),"##0.0"))</f>
        <v>0</v>
      </c>
      <c r="J92" s="961" t="str">
        <f ca="1">IF($Q92=0,"0",'1 Setup'!$I$60)</f>
        <v>0</v>
      </c>
      <c r="K92" s="961" t="str">
        <f ca="1">IF(Q92=0,"0",TEXT(OFFSET('5  Control Accounts'!$FX$33,R92,0),"##0.00"))</f>
        <v>0</v>
      </c>
      <c r="L92" s="961" t="str">
        <f ca="1">IF(Q92=0,"0",TEXT(OFFSET('5  Control Accounts'!$FY$33,R92,0),"##0.00"))</f>
        <v>0</v>
      </c>
      <c r="M92" s="1405" t="str">
        <f t="shared" ca="1" si="10"/>
        <v>0</v>
      </c>
      <c r="N92" s="1326" t="s">
        <v>1948</v>
      </c>
      <c r="O92" s="1356"/>
      <c r="Q92" s="537">
        <f ca="1">$P$2*OFFSET('5  Control Accounts'!$CP$33,R92,0)</f>
        <v>0</v>
      </c>
      <c r="R92" s="537">
        <v>86</v>
      </c>
      <c r="T92" s="1930">
        <f t="shared" ca="1" si="11"/>
        <v>0</v>
      </c>
      <c r="U92" s="1930">
        <f t="shared" ca="1" si="12"/>
        <v>0</v>
      </c>
    </row>
    <row r="93" spans="1:21" s="750" customFormat="1" ht="15.9" customHeight="1" x14ac:dyDescent="0.3">
      <c r="A93" s="961" t="str">
        <f ca="1">IF(Q93=0,"0",OFFSET('5  Control Accounts'!$BF$33,R93,0)&amp;"."&amp;OFFSET('5  Control Accounts'!$BH$33,R93,0))</f>
        <v>0</v>
      </c>
      <c r="B93" s="961" t="str">
        <f t="shared" ca="1" si="9"/>
        <v>0</v>
      </c>
      <c r="C93" s="961" t="str">
        <f ca="1">IF(Q93=0,"0",TEXT(OFFSET('5  Control Accounts'!$BK$33,R93,0),"General"))</f>
        <v>0</v>
      </c>
      <c r="D93" s="961" t="str">
        <f ca="1">IF(Q93=0,"0",TEXT(OFFSET('5  Control Accounts'!$FB$33,R93,0),"General"))</f>
        <v>0</v>
      </c>
      <c r="E93" s="1405" t="str">
        <f t="shared" ca="1" si="13"/>
        <v>0</v>
      </c>
      <c r="F93" s="1405" t="str">
        <f t="shared" ca="1" si="14"/>
        <v>0</v>
      </c>
      <c r="G93" s="1405" t="str">
        <f t="shared" ca="1" si="15"/>
        <v>0</v>
      </c>
      <c r="H93" s="961" t="str">
        <f ca="1">IF(Q93=0,"0",TEXT(OFFSET('5  Control Accounts'!$FG$33,R93,0),"##0.0"))</f>
        <v>0</v>
      </c>
      <c r="I93" s="961" t="str">
        <f ca="1">IF(Q93=0,"0",TEXT(OFFSET('5  Control Accounts'!$FH$33,R93,0),"##0.0"))</f>
        <v>0</v>
      </c>
      <c r="J93" s="961" t="str">
        <f ca="1">IF($Q93=0,"0",'1 Setup'!$I$60)</f>
        <v>0</v>
      </c>
      <c r="K93" s="961" t="str">
        <f ca="1">IF(Q93=0,"0",TEXT(OFFSET('5  Control Accounts'!$FX$33,R93,0),"##0.00"))</f>
        <v>0</v>
      </c>
      <c r="L93" s="961" t="str">
        <f ca="1">IF(Q93=0,"0",TEXT(OFFSET('5  Control Accounts'!$FY$33,R93,0),"##0.00"))</f>
        <v>0</v>
      </c>
      <c r="M93" s="1405" t="str">
        <f t="shared" ca="1" si="10"/>
        <v>0</v>
      </c>
      <c r="N93" s="1326" t="s">
        <v>1949</v>
      </c>
      <c r="O93" s="1356"/>
      <c r="Q93" s="537">
        <f ca="1">$P$2*OFFSET('5  Control Accounts'!$CP$33,R93,0)</f>
        <v>0</v>
      </c>
      <c r="R93" s="537">
        <v>87</v>
      </c>
      <c r="T93" s="1930">
        <f t="shared" ca="1" si="11"/>
        <v>0</v>
      </c>
      <c r="U93" s="1930">
        <f t="shared" ca="1" si="12"/>
        <v>0</v>
      </c>
    </row>
    <row r="94" spans="1:21" s="750" customFormat="1" ht="15.9" customHeight="1" x14ac:dyDescent="0.3">
      <c r="A94" s="961" t="str">
        <f ca="1">IF(Q94=0,"0",OFFSET('5  Control Accounts'!$BF$33,R94,0)&amp;"."&amp;OFFSET('5  Control Accounts'!$BH$33,R94,0))</f>
        <v>0</v>
      </c>
      <c r="B94" s="961" t="str">
        <f t="shared" ca="1" si="9"/>
        <v>0</v>
      </c>
      <c r="C94" s="961" t="str">
        <f ca="1">IF(Q94=0,"0",TEXT(OFFSET('5  Control Accounts'!$BK$33,R94,0),"General"))</f>
        <v>0</v>
      </c>
      <c r="D94" s="961" t="str">
        <f ca="1">IF(Q94=0,"0",TEXT(OFFSET('5  Control Accounts'!$FB$33,R94,0),"General"))</f>
        <v>0</v>
      </c>
      <c r="E94" s="1405" t="str">
        <f t="shared" ca="1" si="13"/>
        <v>0</v>
      </c>
      <c r="F94" s="1405" t="str">
        <f t="shared" ca="1" si="14"/>
        <v>0</v>
      </c>
      <c r="G94" s="1405" t="str">
        <f t="shared" ca="1" si="15"/>
        <v>0</v>
      </c>
      <c r="H94" s="961" t="str">
        <f ca="1">IF(Q94=0,"0",TEXT(OFFSET('5  Control Accounts'!$FG$33,R94,0),"##0.0"))</f>
        <v>0</v>
      </c>
      <c r="I94" s="961" t="str">
        <f ca="1">IF(Q94=0,"0",TEXT(OFFSET('5  Control Accounts'!$FH$33,R94,0),"##0.0"))</f>
        <v>0</v>
      </c>
      <c r="J94" s="961" t="str">
        <f ca="1">IF($Q94=0,"0",'1 Setup'!$I$60)</f>
        <v>0</v>
      </c>
      <c r="K94" s="961" t="str">
        <f ca="1">IF(Q94=0,"0",TEXT(OFFSET('5  Control Accounts'!$FX$33,R94,0),"##0.00"))</f>
        <v>0</v>
      </c>
      <c r="L94" s="961" t="str">
        <f ca="1">IF(Q94=0,"0",TEXT(OFFSET('5  Control Accounts'!$FY$33,R94,0),"##0.00"))</f>
        <v>0</v>
      </c>
      <c r="M94" s="1405" t="str">
        <f t="shared" ca="1" si="10"/>
        <v>0</v>
      </c>
      <c r="N94" s="1326" t="s">
        <v>1950</v>
      </c>
      <c r="O94" s="1356"/>
      <c r="Q94" s="537">
        <f ca="1">$P$2*OFFSET('5  Control Accounts'!$CP$33,R94,0)</f>
        <v>0</v>
      </c>
      <c r="R94" s="537">
        <v>88</v>
      </c>
      <c r="T94" s="1930">
        <f t="shared" ca="1" si="11"/>
        <v>0</v>
      </c>
      <c r="U94" s="1930">
        <f t="shared" ca="1" si="12"/>
        <v>0</v>
      </c>
    </row>
    <row r="95" spans="1:21" s="750" customFormat="1" ht="15.9" customHeight="1" x14ac:dyDescent="0.3">
      <c r="A95" s="961" t="str">
        <f ca="1">IF(Q95=0,"0",OFFSET('5  Control Accounts'!$BF$33,R95,0)&amp;"."&amp;OFFSET('5  Control Accounts'!$BH$33,R95,0))</f>
        <v>0</v>
      </c>
      <c r="B95" s="961" t="str">
        <f t="shared" ca="1" si="9"/>
        <v>0</v>
      </c>
      <c r="C95" s="961" t="str">
        <f ca="1">IF(Q95=0,"0",TEXT(OFFSET('5  Control Accounts'!$BK$33,R95,0),"General"))</f>
        <v>0</v>
      </c>
      <c r="D95" s="961" t="str">
        <f ca="1">IF(Q95=0,"0",TEXT(OFFSET('5  Control Accounts'!$FB$33,R95,0),"General"))</f>
        <v>0</v>
      </c>
      <c r="E95" s="1405" t="str">
        <f t="shared" ca="1" si="13"/>
        <v>0</v>
      </c>
      <c r="F95" s="1405" t="str">
        <f t="shared" ca="1" si="14"/>
        <v>0</v>
      </c>
      <c r="G95" s="1405" t="str">
        <f t="shared" ca="1" si="15"/>
        <v>0</v>
      </c>
      <c r="H95" s="961" t="str">
        <f ca="1">IF(Q95=0,"0",TEXT(OFFSET('5  Control Accounts'!$FG$33,R95,0),"##0.0"))</f>
        <v>0</v>
      </c>
      <c r="I95" s="961" t="str">
        <f ca="1">IF(Q95=0,"0",TEXT(OFFSET('5  Control Accounts'!$FH$33,R95,0),"##0.0"))</f>
        <v>0</v>
      </c>
      <c r="J95" s="961" t="str">
        <f ca="1">IF($Q95=0,"0",'1 Setup'!$I$60)</f>
        <v>0</v>
      </c>
      <c r="K95" s="961" t="str">
        <f ca="1">IF(Q95=0,"0",TEXT(OFFSET('5  Control Accounts'!$FX$33,R95,0),"##0.00"))</f>
        <v>0</v>
      </c>
      <c r="L95" s="961" t="str">
        <f ca="1">IF(Q95=0,"0",TEXT(OFFSET('5  Control Accounts'!$FY$33,R95,0),"##0.00"))</f>
        <v>0</v>
      </c>
      <c r="M95" s="1405" t="str">
        <f t="shared" ca="1" si="10"/>
        <v>0</v>
      </c>
      <c r="N95" s="1326" t="s">
        <v>1951</v>
      </c>
      <c r="O95" s="1356"/>
      <c r="Q95" s="537">
        <f ca="1">$P$2*OFFSET('5  Control Accounts'!$CP$33,R95,0)</f>
        <v>0</v>
      </c>
      <c r="R95" s="537">
        <v>89</v>
      </c>
      <c r="T95" s="1930">
        <f t="shared" ca="1" si="11"/>
        <v>0</v>
      </c>
      <c r="U95" s="1930">
        <f t="shared" ca="1" si="12"/>
        <v>0</v>
      </c>
    </row>
    <row r="96" spans="1:21" s="750" customFormat="1" ht="15.9" customHeight="1" x14ac:dyDescent="0.3">
      <c r="A96" s="961" t="str">
        <f ca="1">IF(Q96=0,"0",OFFSET('5  Control Accounts'!$BF$33,R96,0)&amp;"."&amp;OFFSET('5  Control Accounts'!$BH$33,R96,0))</f>
        <v>0</v>
      </c>
      <c r="B96" s="961" t="str">
        <f t="shared" ca="1" si="9"/>
        <v>0</v>
      </c>
      <c r="C96" s="961" t="str">
        <f ca="1">IF(Q96=0,"0",TEXT(OFFSET('5  Control Accounts'!$BK$33,R96,0),"General"))</f>
        <v>0</v>
      </c>
      <c r="D96" s="961" t="str">
        <f ca="1">IF(Q96=0,"0",TEXT(OFFSET('5  Control Accounts'!$FB$33,R96,0),"General"))</f>
        <v>0</v>
      </c>
      <c r="E96" s="1405" t="str">
        <f t="shared" ca="1" si="13"/>
        <v>0</v>
      </c>
      <c r="F96" s="1405" t="str">
        <f t="shared" ca="1" si="14"/>
        <v>0</v>
      </c>
      <c r="G96" s="1405" t="str">
        <f t="shared" ca="1" si="15"/>
        <v>0</v>
      </c>
      <c r="H96" s="961" t="str">
        <f ca="1">IF(Q96=0,"0",TEXT(OFFSET('5  Control Accounts'!$FG$33,R96,0),"##0.0"))</f>
        <v>0</v>
      </c>
      <c r="I96" s="961" t="str">
        <f ca="1">IF(Q96=0,"0",TEXT(OFFSET('5  Control Accounts'!$FH$33,R96,0),"##0.0"))</f>
        <v>0</v>
      </c>
      <c r="J96" s="961" t="str">
        <f ca="1">IF($Q96=0,"0",'1 Setup'!$I$60)</f>
        <v>0</v>
      </c>
      <c r="K96" s="961" t="str">
        <f ca="1">IF(Q96=0,"0",TEXT(OFFSET('5  Control Accounts'!$FX$33,R96,0),"##0.00"))</f>
        <v>0</v>
      </c>
      <c r="L96" s="961" t="str">
        <f ca="1">IF(Q96=0,"0",TEXT(OFFSET('5  Control Accounts'!$FY$33,R96,0),"##0.00"))</f>
        <v>0</v>
      </c>
      <c r="M96" s="1405" t="str">
        <f t="shared" ca="1" si="10"/>
        <v>0</v>
      </c>
      <c r="N96" s="1326" t="s">
        <v>1952</v>
      </c>
      <c r="O96" s="1356"/>
      <c r="Q96" s="537">
        <f ca="1">$P$2*OFFSET('5  Control Accounts'!$CP$33,R96,0)</f>
        <v>0</v>
      </c>
      <c r="R96" s="537">
        <v>90</v>
      </c>
      <c r="T96" s="1930">
        <f t="shared" ca="1" si="11"/>
        <v>0</v>
      </c>
      <c r="U96" s="1930">
        <f t="shared" ca="1" si="12"/>
        <v>0</v>
      </c>
    </row>
    <row r="97" spans="1:21" s="750" customFormat="1" ht="15.9" customHeight="1" x14ac:dyDescent="0.3">
      <c r="A97" s="961" t="str">
        <f ca="1">IF(Q97=0,"0",OFFSET('5  Control Accounts'!$BF$33,R97,0)&amp;"."&amp;OFFSET('5  Control Accounts'!$BH$33,R97,0))</f>
        <v>0</v>
      </c>
      <c r="B97" s="961" t="str">
        <f t="shared" ca="1" si="9"/>
        <v>0</v>
      </c>
      <c r="C97" s="961" t="str">
        <f ca="1">IF(Q97=0,"0",TEXT(OFFSET('5  Control Accounts'!$BK$33,R97,0),"General"))</f>
        <v>0</v>
      </c>
      <c r="D97" s="961" t="str">
        <f ca="1">IF(Q97=0,"0",TEXT(OFFSET('5  Control Accounts'!$FB$33,R97,0),"General"))</f>
        <v>0</v>
      </c>
      <c r="E97" s="1405" t="str">
        <f t="shared" ca="1" si="13"/>
        <v>0</v>
      </c>
      <c r="F97" s="1405" t="str">
        <f t="shared" ca="1" si="14"/>
        <v>0</v>
      </c>
      <c r="G97" s="1405" t="str">
        <f t="shared" ca="1" si="15"/>
        <v>0</v>
      </c>
      <c r="H97" s="961" t="str">
        <f ca="1">IF(Q97=0,"0",TEXT(OFFSET('5  Control Accounts'!$FG$33,R97,0),"##0.0"))</f>
        <v>0</v>
      </c>
      <c r="I97" s="961" t="str">
        <f ca="1">IF(Q97=0,"0",TEXT(OFFSET('5  Control Accounts'!$FH$33,R97,0),"##0.0"))</f>
        <v>0</v>
      </c>
      <c r="J97" s="961" t="str">
        <f ca="1">IF($Q97=0,"0",'1 Setup'!$I$60)</f>
        <v>0</v>
      </c>
      <c r="K97" s="961" t="str">
        <f ca="1">IF(Q97=0,"0",TEXT(OFFSET('5  Control Accounts'!$FX$33,R97,0),"##0.00"))</f>
        <v>0</v>
      </c>
      <c r="L97" s="961" t="str">
        <f ca="1">IF(Q97=0,"0",TEXT(OFFSET('5  Control Accounts'!$FY$33,R97,0),"##0.00"))</f>
        <v>0</v>
      </c>
      <c r="M97" s="1405" t="str">
        <f t="shared" ca="1" si="10"/>
        <v>0</v>
      </c>
      <c r="N97" s="1326" t="s">
        <v>1953</v>
      </c>
      <c r="O97" s="1356"/>
      <c r="Q97" s="537">
        <f ca="1">$P$2*OFFSET('5  Control Accounts'!$CP$33,R97,0)</f>
        <v>0</v>
      </c>
      <c r="R97" s="537">
        <v>91</v>
      </c>
      <c r="T97" s="1930">
        <f t="shared" ca="1" si="11"/>
        <v>0</v>
      </c>
      <c r="U97" s="1930">
        <f t="shared" ca="1" si="12"/>
        <v>0</v>
      </c>
    </row>
    <row r="98" spans="1:21" s="750" customFormat="1" ht="15.9" customHeight="1" x14ac:dyDescent="0.3">
      <c r="A98" s="961" t="str">
        <f ca="1">IF(Q98=0,"0",OFFSET('5  Control Accounts'!$BF$33,R98,0)&amp;"."&amp;OFFSET('5  Control Accounts'!$BH$33,R98,0))</f>
        <v>0</v>
      </c>
      <c r="B98" s="961" t="str">
        <f t="shared" ca="1" si="9"/>
        <v>0</v>
      </c>
      <c r="C98" s="961" t="str">
        <f ca="1">IF(Q98=0,"0",TEXT(OFFSET('5  Control Accounts'!$BK$33,R98,0),"General"))</f>
        <v>0</v>
      </c>
      <c r="D98" s="961" t="str">
        <f ca="1">IF(Q98=0,"0",TEXT(OFFSET('5  Control Accounts'!$FB$33,R98,0),"General"))</f>
        <v>0</v>
      </c>
      <c r="E98" s="1405" t="str">
        <f t="shared" ca="1" si="13"/>
        <v>0</v>
      </c>
      <c r="F98" s="1405" t="str">
        <f t="shared" ca="1" si="14"/>
        <v>0</v>
      </c>
      <c r="G98" s="1405" t="str">
        <f t="shared" ca="1" si="15"/>
        <v>0</v>
      </c>
      <c r="H98" s="961" t="str">
        <f ca="1">IF(Q98=0,"0",TEXT(OFFSET('5  Control Accounts'!$FG$33,R98,0),"##0.0"))</f>
        <v>0</v>
      </c>
      <c r="I98" s="961" t="str">
        <f ca="1">IF(Q98=0,"0",TEXT(OFFSET('5  Control Accounts'!$FH$33,R98,0),"##0.0"))</f>
        <v>0</v>
      </c>
      <c r="J98" s="961" t="str">
        <f ca="1">IF($Q98=0,"0",'1 Setup'!$I$60)</f>
        <v>0</v>
      </c>
      <c r="K98" s="961" t="str">
        <f ca="1">IF(Q98=0,"0",TEXT(OFFSET('5  Control Accounts'!$FX$33,R98,0),"##0.00"))</f>
        <v>0</v>
      </c>
      <c r="L98" s="961" t="str">
        <f ca="1">IF(Q98=0,"0",TEXT(OFFSET('5  Control Accounts'!$FY$33,R98,0),"##0.00"))</f>
        <v>0</v>
      </c>
      <c r="M98" s="1405" t="str">
        <f t="shared" ca="1" si="10"/>
        <v>0</v>
      </c>
      <c r="N98" s="1326" t="s">
        <v>1954</v>
      </c>
      <c r="O98" s="1356"/>
      <c r="Q98" s="537">
        <f ca="1">$P$2*OFFSET('5  Control Accounts'!$CP$33,R98,0)</f>
        <v>0</v>
      </c>
      <c r="R98" s="537">
        <v>92</v>
      </c>
      <c r="T98" s="1930">
        <f t="shared" ca="1" si="11"/>
        <v>0</v>
      </c>
      <c r="U98" s="1930">
        <f t="shared" ca="1" si="12"/>
        <v>0</v>
      </c>
    </row>
    <row r="99" spans="1:21" s="750" customFormat="1" ht="15.9" customHeight="1" x14ac:dyDescent="0.3">
      <c r="A99" s="961" t="str">
        <f ca="1">IF(Q99=0,"0",OFFSET('5  Control Accounts'!$BF$33,R99,0)&amp;"."&amp;OFFSET('5  Control Accounts'!$BH$33,R99,0))</f>
        <v>0</v>
      </c>
      <c r="B99" s="961" t="str">
        <f t="shared" ca="1" si="9"/>
        <v>0</v>
      </c>
      <c r="C99" s="961" t="str">
        <f ca="1">IF(Q99=0,"0",TEXT(OFFSET('5  Control Accounts'!$BK$33,R99,0),"General"))</f>
        <v>0</v>
      </c>
      <c r="D99" s="961" t="str">
        <f ca="1">IF(Q99=0,"0",TEXT(OFFSET('5  Control Accounts'!$FB$33,R99,0),"General"))</f>
        <v>0</v>
      </c>
      <c r="E99" s="1405" t="str">
        <f t="shared" ca="1" si="13"/>
        <v>0</v>
      </c>
      <c r="F99" s="1405" t="str">
        <f t="shared" ca="1" si="14"/>
        <v>0</v>
      </c>
      <c r="G99" s="1405" t="str">
        <f t="shared" ca="1" si="15"/>
        <v>0</v>
      </c>
      <c r="H99" s="961" t="str">
        <f ca="1">IF(Q99=0,"0",TEXT(OFFSET('5  Control Accounts'!$FG$33,R99,0),"##0.0"))</f>
        <v>0</v>
      </c>
      <c r="I99" s="961" t="str">
        <f ca="1">IF(Q99=0,"0",TEXT(OFFSET('5  Control Accounts'!$FH$33,R99,0),"##0.0"))</f>
        <v>0</v>
      </c>
      <c r="J99" s="961" t="str">
        <f ca="1">IF($Q99=0,"0",'1 Setup'!$I$60)</f>
        <v>0</v>
      </c>
      <c r="K99" s="961" t="str">
        <f ca="1">IF(Q99=0,"0",TEXT(OFFSET('5  Control Accounts'!$FX$33,R99,0),"##0.00"))</f>
        <v>0</v>
      </c>
      <c r="L99" s="961" t="str">
        <f ca="1">IF(Q99=0,"0",TEXT(OFFSET('5  Control Accounts'!$FY$33,R99,0),"##0.00"))</f>
        <v>0</v>
      </c>
      <c r="M99" s="1405" t="str">
        <f t="shared" ca="1" si="10"/>
        <v>0</v>
      </c>
      <c r="N99" s="1326" t="s">
        <v>1955</v>
      </c>
      <c r="O99" s="1356"/>
      <c r="Q99" s="537">
        <f ca="1">$P$2*OFFSET('5  Control Accounts'!$CP$33,R99,0)</f>
        <v>0</v>
      </c>
      <c r="R99" s="537">
        <v>93</v>
      </c>
      <c r="T99" s="1930">
        <f t="shared" ca="1" si="11"/>
        <v>0</v>
      </c>
      <c r="U99" s="1930">
        <f t="shared" ca="1" si="12"/>
        <v>0</v>
      </c>
    </row>
    <row r="100" spans="1:21" s="750" customFormat="1" ht="15.9" customHeight="1" x14ac:dyDescent="0.3">
      <c r="A100" s="961" t="str">
        <f ca="1">IF(Q100=0,"0",OFFSET('5  Control Accounts'!$BF$33,R100,0)&amp;"."&amp;OFFSET('5  Control Accounts'!$BH$33,R100,0))</f>
        <v>0</v>
      </c>
      <c r="B100" s="961" t="str">
        <f t="shared" ca="1" si="9"/>
        <v>0</v>
      </c>
      <c r="C100" s="961" t="str">
        <f ca="1">IF(Q100=0,"0",TEXT(OFFSET('5  Control Accounts'!$BK$33,R100,0),"General"))</f>
        <v>0</v>
      </c>
      <c r="D100" s="961" t="str">
        <f ca="1">IF(Q100=0,"0",TEXT(OFFSET('5  Control Accounts'!$FB$33,R100,0),"General"))</f>
        <v>0</v>
      </c>
      <c r="E100" s="1405" t="str">
        <f t="shared" ca="1" si="13"/>
        <v>0</v>
      </c>
      <c r="F100" s="1405" t="str">
        <f t="shared" ca="1" si="14"/>
        <v>0</v>
      </c>
      <c r="G100" s="1405" t="str">
        <f t="shared" ca="1" si="15"/>
        <v>0</v>
      </c>
      <c r="H100" s="961" t="str">
        <f ca="1">IF(Q100=0,"0",TEXT(OFFSET('5  Control Accounts'!$FG$33,R100,0),"##0.0"))</f>
        <v>0</v>
      </c>
      <c r="I100" s="961" t="str">
        <f ca="1">IF(Q100=0,"0",TEXT(OFFSET('5  Control Accounts'!$FH$33,R100,0),"##0.0"))</f>
        <v>0</v>
      </c>
      <c r="J100" s="961" t="str">
        <f ca="1">IF($Q100=0,"0",'1 Setup'!$I$60)</f>
        <v>0</v>
      </c>
      <c r="K100" s="961" t="str">
        <f ca="1">IF(Q100=0,"0",TEXT(OFFSET('5  Control Accounts'!$FX$33,R100,0),"##0.00"))</f>
        <v>0</v>
      </c>
      <c r="L100" s="961" t="str">
        <f ca="1">IF(Q100=0,"0",TEXT(OFFSET('5  Control Accounts'!$FY$33,R100,0),"##0.00"))</f>
        <v>0</v>
      </c>
      <c r="M100" s="1405" t="str">
        <f t="shared" ca="1" si="10"/>
        <v>0</v>
      </c>
      <c r="N100" s="1326" t="s">
        <v>1956</v>
      </c>
      <c r="O100" s="1356"/>
      <c r="Q100" s="537">
        <f ca="1">$P$2*OFFSET('5  Control Accounts'!$CP$33,R100,0)</f>
        <v>0</v>
      </c>
      <c r="R100" s="537">
        <v>94</v>
      </c>
      <c r="T100" s="1930">
        <f t="shared" ca="1" si="11"/>
        <v>0</v>
      </c>
      <c r="U100" s="1930">
        <f t="shared" ca="1" si="12"/>
        <v>0</v>
      </c>
    </row>
    <row r="101" spans="1:21" s="750" customFormat="1" ht="15.9" customHeight="1" x14ac:dyDescent="0.3">
      <c r="A101" s="961" t="str">
        <f ca="1">IF(Q101=0,"0",OFFSET('5  Control Accounts'!$BF$33,R101,0)&amp;"."&amp;OFFSET('5  Control Accounts'!$BH$33,R101,0))</f>
        <v>0</v>
      </c>
      <c r="B101" s="961" t="str">
        <f t="shared" ca="1" si="9"/>
        <v>0</v>
      </c>
      <c r="C101" s="961" t="str">
        <f ca="1">IF(Q101=0,"0",TEXT(OFFSET('5  Control Accounts'!$BK$33,R101,0),"General"))</f>
        <v>0</v>
      </c>
      <c r="D101" s="961" t="str">
        <f ca="1">IF(Q101=0,"0",TEXT(OFFSET('5  Control Accounts'!$FB$33,R101,0),"General"))</f>
        <v>0</v>
      </c>
      <c r="E101" s="1405" t="str">
        <f t="shared" ca="1" si="13"/>
        <v>0</v>
      </c>
      <c r="F101" s="1405" t="str">
        <f t="shared" ca="1" si="14"/>
        <v>0</v>
      </c>
      <c r="G101" s="1405" t="str">
        <f t="shared" ca="1" si="15"/>
        <v>0</v>
      </c>
      <c r="H101" s="961" t="str">
        <f ca="1">IF(Q101=0,"0",TEXT(OFFSET('5  Control Accounts'!$FG$33,R101,0),"##0.0"))</f>
        <v>0</v>
      </c>
      <c r="I101" s="961" t="str">
        <f ca="1">IF(Q101=0,"0",TEXT(OFFSET('5  Control Accounts'!$FH$33,R101,0),"##0.0"))</f>
        <v>0</v>
      </c>
      <c r="J101" s="961" t="str">
        <f ca="1">IF($Q101=0,"0",'1 Setup'!$I$60)</f>
        <v>0</v>
      </c>
      <c r="K101" s="961" t="str">
        <f ca="1">IF(Q101=0,"0",TEXT(OFFSET('5  Control Accounts'!$FX$33,R101,0),"##0.00"))</f>
        <v>0</v>
      </c>
      <c r="L101" s="961" t="str">
        <f ca="1">IF(Q101=0,"0",TEXT(OFFSET('5  Control Accounts'!$FY$33,R101,0),"##0.00"))</f>
        <v>0</v>
      </c>
      <c r="M101" s="1405" t="str">
        <f t="shared" ca="1" si="10"/>
        <v>0</v>
      </c>
      <c r="N101" s="1326" t="s">
        <v>1957</v>
      </c>
      <c r="O101" s="1356"/>
      <c r="Q101" s="537">
        <f ca="1">$P$2*OFFSET('5  Control Accounts'!$CP$33,R101,0)</f>
        <v>0</v>
      </c>
      <c r="R101" s="537">
        <v>95</v>
      </c>
      <c r="T101" s="1930">
        <f t="shared" ca="1" si="11"/>
        <v>0</v>
      </c>
      <c r="U101" s="1930">
        <f t="shared" ca="1" si="12"/>
        <v>0</v>
      </c>
    </row>
    <row r="102" spans="1:21" s="750" customFormat="1" ht="15.9" customHeight="1" x14ac:dyDescent="0.3">
      <c r="A102" s="961" t="str">
        <f ca="1">IF(Q102=0,"0",OFFSET('5  Control Accounts'!$BF$33,R102,0)&amp;"."&amp;OFFSET('5  Control Accounts'!$BH$33,R102,0))</f>
        <v>0</v>
      </c>
      <c r="B102" s="961" t="str">
        <f t="shared" ca="1" si="9"/>
        <v>0</v>
      </c>
      <c r="C102" s="961" t="str">
        <f ca="1">IF(Q102=0,"0",TEXT(OFFSET('5  Control Accounts'!$BK$33,R102,0),"General"))</f>
        <v>0</v>
      </c>
      <c r="D102" s="961" t="str">
        <f ca="1">IF(Q102=0,"0",TEXT(OFFSET('5  Control Accounts'!$FB$33,R102,0),"General"))</f>
        <v>0</v>
      </c>
      <c r="E102" s="1405" t="str">
        <f t="shared" ca="1" si="13"/>
        <v>0</v>
      </c>
      <c r="F102" s="1405" t="str">
        <f t="shared" ca="1" si="14"/>
        <v>0</v>
      </c>
      <c r="G102" s="1405" t="str">
        <f t="shared" ca="1" si="15"/>
        <v>0</v>
      </c>
      <c r="H102" s="961" t="str">
        <f ca="1">IF(Q102=0,"0",TEXT(OFFSET('5  Control Accounts'!$FG$33,R102,0),"##0.0"))</f>
        <v>0</v>
      </c>
      <c r="I102" s="961" t="str">
        <f ca="1">IF(Q102=0,"0",TEXT(OFFSET('5  Control Accounts'!$FH$33,R102,0),"##0.0"))</f>
        <v>0</v>
      </c>
      <c r="J102" s="961" t="str">
        <f ca="1">IF($Q102=0,"0",'1 Setup'!$I$60)</f>
        <v>0</v>
      </c>
      <c r="K102" s="961" t="str">
        <f ca="1">IF(Q102=0,"0",TEXT(OFFSET('5  Control Accounts'!$FX$33,R102,0),"##0.00"))</f>
        <v>0</v>
      </c>
      <c r="L102" s="961" t="str">
        <f ca="1">IF(Q102=0,"0",TEXT(OFFSET('5  Control Accounts'!$FY$33,R102,0),"##0.00"))</f>
        <v>0</v>
      </c>
      <c r="M102" s="1405" t="str">
        <f t="shared" ca="1" si="10"/>
        <v>0</v>
      </c>
      <c r="N102" s="1326" t="s">
        <v>1958</v>
      </c>
      <c r="O102" s="1356"/>
      <c r="Q102" s="537">
        <f ca="1">$P$2*OFFSET('5  Control Accounts'!$CP$33,R102,0)</f>
        <v>0</v>
      </c>
      <c r="R102" s="537">
        <v>96</v>
      </c>
      <c r="T102" s="1930">
        <f t="shared" ca="1" si="11"/>
        <v>0</v>
      </c>
      <c r="U102" s="1930">
        <f t="shared" ca="1" si="12"/>
        <v>0</v>
      </c>
    </row>
    <row r="103" spans="1:21" s="750" customFormat="1" ht="15.9" customHeight="1" x14ac:dyDescent="0.3">
      <c r="A103" s="961" t="str">
        <f ca="1">IF(Q103=0,"0",OFFSET('5  Control Accounts'!$BF$33,R103,0)&amp;"."&amp;OFFSET('5  Control Accounts'!$BH$33,R103,0))</f>
        <v>0</v>
      </c>
      <c r="B103" s="961" t="str">
        <f t="shared" ca="1" si="9"/>
        <v>0</v>
      </c>
      <c r="C103" s="961" t="str">
        <f ca="1">IF(Q103=0,"0",TEXT(OFFSET('5  Control Accounts'!$BK$33,R103,0),"General"))</f>
        <v>0</v>
      </c>
      <c r="D103" s="961" t="str">
        <f ca="1">IF(Q103=0,"0",TEXT(OFFSET('5  Control Accounts'!$FB$33,R103,0),"General"))</f>
        <v>0</v>
      </c>
      <c r="E103" s="1405" t="str">
        <f t="shared" ca="1" si="13"/>
        <v>0</v>
      </c>
      <c r="F103" s="1405" t="str">
        <f t="shared" ca="1" si="14"/>
        <v>0</v>
      </c>
      <c r="G103" s="1405" t="str">
        <f t="shared" ca="1" si="15"/>
        <v>0</v>
      </c>
      <c r="H103" s="961" t="str">
        <f ca="1">IF(Q103=0,"0",TEXT(OFFSET('5  Control Accounts'!$FG$33,R103,0),"##0.0"))</f>
        <v>0</v>
      </c>
      <c r="I103" s="961" t="str">
        <f ca="1">IF(Q103=0,"0",TEXT(OFFSET('5  Control Accounts'!$FH$33,R103,0),"##0.0"))</f>
        <v>0</v>
      </c>
      <c r="J103" s="961" t="str">
        <f ca="1">IF($Q103=0,"0",'1 Setup'!$I$60)</f>
        <v>0</v>
      </c>
      <c r="K103" s="961" t="str">
        <f ca="1">IF(Q103=0,"0",TEXT(OFFSET('5  Control Accounts'!$FX$33,R103,0),"##0.00"))</f>
        <v>0</v>
      </c>
      <c r="L103" s="961" t="str">
        <f ca="1">IF(Q103=0,"0",TEXT(OFFSET('5  Control Accounts'!$FY$33,R103,0),"##0.00"))</f>
        <v>0</v>
      </c>
      <c r="M103" s="1405" t="str">
        <f t="shared" ca="1" si="10"/>
        <v>0</v>
      </c>
      <c r="N103" s="1326" t="s">
        <v>1959</v>
      </c>
      <c r="O103" s="1356"/>
      <c r="Q103" s="537">
        <f ca="1">$P$2*OFFSET('5  Control Accounts'!$CP$33,R103,0)</f>
        <v>0</v>
      </c>
      <c r="R103" s="537">
        <v>97</v>
      </c>
      <c r="T103" s="1930">
        <f t="shared" ca="1" si="11"/>
        <v>0</v>
      </c>
      <c r="U103" s="1930">
        <f t="shared" ca="1" si="12"/>
        <v>0</v>
      </c>
    </row>
    <row r="104" spans="1:21" s="750" customFormat="1" ht="15.9" customHeight="1" x14ac:dyDescent="0.3">
      <c r="A104" s="961" t="str">
        <f ca="1">IF(Q104=0,"0",OFFSET('5  Control Accounts'!$BF$33,R104,0)&amp;"."&amp;OFFSET('5  Control Accounts'!$BH$33,R104,0))</f>
        <v>0</v>
      </c>
      <c r="B104" s="961" t="str">
        <f t="shared" ca="1" si="9"/>
        <v>0</v>
      </c>
      <c r="C104" s="961" t="str">
        <f ca="1">IF(Q104=0,"0",TEXT(OFFSET('5  Control Accounts'!$BK$33,R104,0),"General"))</f>
        <v>0</v>
      </c>
      <c r="D104" s="961" t="str">
        <f ca="1">IF(Q104=0,"0",TEXT(OFFSET('5  Control Accounts'!$FB$33,R104,0),"General"))</f>
        <v>0</v>
      </c>
      <c r="E104" s="1405" t="str">
        <f t="shared" ca="1" si="13"/>
        <v>0</v>
      </c>
      <c r="F104" s="1405" t="str">
        <f t="shared" ca="1" si="14"/>
        <v>0</v>
      </c>
      <c r="G104" s="1405" t="str">
        <f t="shared" ca="1" si="15"/>
        <v>0</v>
      </c>
      <c r="H104" s="961" t="str">
        <f ca="1">IF(Q104=0,"0",TEXT(OFFSET('5  Control Accounts'!$FG$33,R104,0),"##0.0"))</f>
        <v>0</v>
      </c>
      <c r="I104" s="961" t="str">
        <f ca="1">IF(Q104=0,"0",TEXT(OFFSET('5  Control Accounts'!$FH$33,R104,0),"##0.0"))</f>
        <v>0</v>
      </c>
      <c r="J104" s="961" t="str">
        <f ca="1">IF($Q104=0,"0",'1 Setup'!$I$60)</f>
        <v>0</v>
      </c>
      <c r="K104" s="961" t="str">
        <f ca="1">IF(Q104=0,"0",TEXT(OFFSET('5  Control Accounts'!$FX$33,R104,0),"##0.00"))</f>
        <v>0</v>
      </c>
      <c r="L104" s="961" t="str">
        <f ca="1">IF(Q104=0,"0",TEXT(OFFSET('5  Control Accounts'!$FY$33,R104,0),"##0.00"))</f>
        <v>0</v>
      </c>
      <c r="M104" s="1405" t="str">
        <f t="shared" ca="1" si="10"/>
        <v>0</v>
      </c>
      <c r="N104" s="1326" t="s">
        <v>1960</v>
      </c>
      <c r="O104" s="1356"/>
      <c r="Q104" s="537">
        <f ca="1">$P$2*OFFSET('5  Control Accounts'!$CP$33,R104,0)</f>
        <v>0</v>
      </c>
      <c r="R104" s="537">
        <v>98</v>
      </c>
      <c r="T104" s="1930">
        <f t="shared" ca="1" si="11"/>
        <v>0</v>
      </c>
      <c r="U104" s="1930">
        <f t="shared" ca="1" si="12"/>
        <v>0</v>
      </c>
    </row>
    <row r="105" spans="1:21" s="750" customFormat="1" ht="15.9" customHeight="1" x14ac:dyDescent="0.3">
      <c r="A105" s="961" t="str">
        <f ca="1">IF(Q105=0,"0",OFFSET('5  Control Accounts'!$BF$33,R105,0)&amp;"."&amp;OFFSET('5  Control Accounts'!$BH$33,R105,0))</f>
        <v>0</v>
      </c>
      <c r="B105" s="961" t="str">
        <f t="shared" ca="1" si="9"/>
        <v>0</v>
      </c>
      <c r="C105" s="961" t="str">
        <f ca="1">IF(Q105=0,"0",TEXT(OFFSET('5  Control Accounts'!$BK$33,R105,0),"General"))</f>
        <v>0</v>
      </c>
      <c r="D105" s="961" t="str">
        <f ca="1">IF(Q105=0,"0",TEXT(OFFSET('5  Control Accounts'!$FB$33,R105,0),"General"))</f>
        <v>0</v>
      </c>
      <c r="E105" s="1405" t="str">
        <f t="shared" ca="1" si="13"/>
        <v>0</v>
      </c>
      <c r="F105" s="1405" t="str">
        <f t="shared" ca="1" si="14"/>
        <v>0</v>
      </c>
      <c r="G105" s="1405" t="str">
        <f t="shared" ca="1" si="15"/>
        <v>0</v>
      </c>
      <c r="H105" s="961" t="str">
        <f ca="1">IF(Q105=0,"0",TEXT(OFFSET('5  Control Accounts'!$FG$33,R105,0),"##0.0"))</f>
        <v>0</v>
      </c>
      <c r="I105" s="961" t="str">
        <f ca="1">IF(Q105=0,"0",TEXT(OFFSET('5  Control Accounts'!$FH$33,R105,0),"##0.0"))</f>
        <v>0</v>
      </c>
      <c r="J105" s="961" t="str">
        <f ca="1">IF($Q105=0,"0",'1 Setup'!$I$60)</f>
        <v>0</v>
      </c>
      <c r="K105" s="961" t="str">
        <f ca="1">IF(Q105=0,"0",TEXT(OFFSET('5  Control Accounts'!$FX$33,R105,0),"##0.00"))</f>
        <v>0</v>
      </c>
      <c r="L105" s="961" t="str">
        <f ca="1">IF(Q105=0,"0",TEXT(OFFSET('5  Control Accounts'!$FY$33,R105,0),"##0.00"))</f>
        <v>0</v>
      </c>
      <c r="M105" s="1405" t="str">
        <f t="shared" ca="1" si="10"/>
        <v>0</v>
      </c>
      <c r="N105" s="1326" t="s">
        <v>1961</v>
      </c>
      <c r="O105" s="1356"/>
      <c r="Q105" s="537">
        <f ca="1">$P$2*OFFSET('5  Control Accounts'!$CP$33,R105,0)</f>
        <v>0</v>
      </c>
      <c r="R105" s="537">
        <v>99</v>
      </c>
      <c r="T105" s="1930">
        <f t="shared" ca="1" si="11"/>
        <v>0</v>
      </c>
      <c r="U105" s="1930">
        <f t="shared" ca="1" si="12"/>
        <v>0</v>
      </c>
    </row>
    <row r="106" spans="1:21" s="750" customFormat="1" ht="15.9" customHeight="1" x14ac:dyDescent="0.3">
      <c r="A106" s="961" t="str">
        <f ca="1">IF(Q106=0,"0",OFFSET('5  Control Accounts'!$BF$33,R106,0)&amp;"."&amp;OFFSET('5  Control Accounts'!$BH$33,R106,0))</f>
        <v>0</v>
      </c>
      <c r="B106" s="961" t="str">
        <f t="shared" ca="1" si="9"/>
        <v>0</v>
      </c>
      <c r="C106" s="961" t="str">
        <f ca="1">IF(Q106=0,"0",TEXT(OFFSET('5  Control Accounts'!$BK$33,R106,0),"General"))</f>
        <v>0</v>
      </c>
      <c r="D106" s="961" t="str">
        <f ca="1">IF(Q106=0,"0",TEXT(OFFSET('5  Control Accounts'!$FB$33,R106,0),"General"))</f>
        <v>0</v>
      </c>
      <c r="E106" s="1405" t="str">
        <f t="shared" ca="1" si="13"/>
        <v>0</v>
      </c>
      <c r="F106" s="1405" t="str">
        <f t="shared" ca="1" si="14"/>
        <v>0</v>
      </c>
      <c r="G106" s="1405" t="str">
        <f t="shared" ca="1" si="15"/>
        <v>0</v>
      </c>
      <c r="H106" s="961" t="str">
        <f ca="1">IF(Q106=0,"0",TEXT(OFFSET('5  Control Accounts'!$FG$33,R106,0),"##0.0"))</f>
        <v>0</v>
      </c>
      <c r="I106" s="961" t="str">
        <f ca="1">IF(Q106=0,"0",TEXT(OFFSET('5  Control Accounts'!$FH$33,R106,0),"##0.0"))</f>
        <v>0</v>
      </c>
      <c r="J106" s="961" t="str">
        <f ca="1">IF($Q106=0,"0",'1 Setup'!$I$60)</f>
        <v>0</v>
      </c>
      <c r="K106" s="961" t="str">
        <f ca="1">IF(Q106=0,"0",TEXT(OFFSET('5  Control Accounts'!$FX$33,R106,0),"##0.00"))</f>
        <v>0</v>
      </c>
      <c r="L106" s="961" t="str">
        <f ca="1">IF(Q106=0,"0",TEXT(OFFSET('5  Control Accounts'!$FY$33,R106,0),"##0.00"))</f>
        <v>0</v>
      </c>
      <c r="M106" s="1405" t="str">
        <f t="shared" ca="1" si="10"/>
        <v>0</v>
      </c>
      <c r="N106" s="1326" t="s">
        <v>1962</v>
      </c>
      <c r="O106" s="1356"/>
      <c r="Q106" s="537">
        <f ca="1">$P$2*OFFSET('5  Control Accounts'!$CP$33,R106,0)</f>
        <v>0</v>
      </c>
      <c r="R106" s="537">
        <v>100</v>
      </c>
      <c r="T106" s="1930">
        <f t="shared" ca="1" si="11"/>
        <v>0</v>
      </c>
      <c r="U106" s="1930">
        <f t="shared" ca="1" si="12"/>
        <v>0</v>
      </c>
    </row>
    <row r="107" spans="1:21" s="750" customFormat="1" ht="15.9" customHeight="1" x14ac:dyDescent="0.3">
      <c r="A107" s="961" t="str">
        <f ca="1">IF(Q107=0,"0",OFFSET('5  Control Accounts'!$BF$33,R107,0)&amp;"."&amp;OFFSET('5  Control Accounts'!$BH$33,R107,0))</f>
        <v>0</v>
      </c>
      <c r="B107" s="961" t="str">
        <f t="shared" ca="1" si="9"/>
        <v>0</v>
      </c>
      <c r="C107" s="961" t="str">
        <f ca="1">IF(Q107=0,"0",TEXT(OFFSET('5  Control Accounts'!$BK$33,R107,0),"General"))</f>
        <v>0</v>
      </c>
      <c r="D107" s="961" t="str">
        <f ca="1">IF(Q107=0,"0",TEXT(OFFSET('5  Control Accounts'!$FB$33,R107,0),"General"))</f>
        <v>0</v>
      </c>
      <c r="E107" s="1405" t="str">
        <f t="shared" ca="1" si="13"/>
        <v>0</v>
      </c>
      <c r="F107" s="1405" t="str">
        <f t="shared" ca="1" si="14"/>
        <v>0</v>
      </c>
      <c r="G107" s="1405" t="str">
        <f t="shared" ca="1" si="15"/>
        <v>0</v>
      </c>
      <c r="H107" s="961" t="str">
        <f ca="1">IF(Q107=0,"0",TEXT(OFFSET('5  Control Accounts'!$FG$33,R107,0),"##0.0"))</f>
        <v>0</v>
      </c>
      <c r="I107" s="961" t="str">
        <f ca="1">IF(Q107=0,"0",TEXT(OFFSET('5  Control Accounts'!$FH$33,R107,0),"##0.0"))</f>
        <v>0</v>
      </c>
      <c r="J107" s="961" t="str">
        <f ca="1">IF($Q107=0,"0",'1 Setup'!$I$60)</f>
        <v>0</v>
      </c>
      <c r="K107" s="961" t="str">
        <f ca="1">IF(Q107=0,"0",TEXT(OFFSET('5  Control Accounts'!$FX$33,R107,0),"##0.00"))</f>
        <v>0</v>
      </c>
      <c r="L107" s="961" t="str">
        <f ca="1">IF(Q107=0,"0",TEXT(OFFSET('5  Control Accounts'!$FY$33,R107,0),"##0.00"))</f>
        <v>0</v>
      </c>
      <c r="M107" s="1405" t="str">
        <f t="shared" ca="1" si="10"/>
        <v>0</v>
      </c>
      <c r="N107" s="1326" t="s">
        <v>1963</v>
      </c>
      <c r="O107" s="1356"/>
      <c r="Q107" s="537">
        <f ca="1">$P$2*OFFSET('5  Control Accounts'!$CP$33,R107,0)</f>
        <v>0</v>
      </c>
      <c r="R107" s="537">
        <v>101</v>
      </c>
      <c r="T107" s="1930">
        <f t="shared" ca="1" si="11"/>
        <v>0</v>
      </c>
      <c r="U107" s="1930">
        <f t="shared" ca="1" si="12"/>
        <v>0</v>
      </c>
    </row>
    <row r="108" spans="1:21" s="750" customFormat="1" ht="15.9" customHeight="1" x14ac:dyDescent="0.3">
      <c r="A108" s="961" t="str">
        <f ca="1">IF(Q108=0,"0",OFFSET('5  Control Accounts'!$BF$33,R108,0)&amp;"."&amp;OFFSET('5  Control Accounts'!$BH$33,R108,0))</f>
        <v>0</v>
      </c>
      <c r="B108" s="961" t="str">
        <f t="shared" ca="1" si="9"/>
        <v>0</v>
      </c>
      <c r="C108" s="961" t="str">
        <f ca="1">IF(Q108=0,"0",TEXT(OFFSET('5  Control Accounts'!$BK$33,R108,0),"General"))</f>
        <v>0</v>
      </c>
      <c r="D108" s="961" t="str">
        <f ca="1">IF(Q108=0,"0",TEXT(OFFSET('5  Control Accounts'!$FB$33,R108,0),"General"))</f>
        <v>0</v>
      </c>
      <c r="E108" s="1405" t="str">
        <f t="shared" ca="1" si="13"/>
        <v>0</v>
      </c>
      <c r="F108" s="1405" t="str">
        <f t="shared" ca="1" si="14"/>
        <v>0</v>
      </c>
      <c r="G108" s="1405" t="str">
        <f t="shared" ca="1" si="15"/>
        <v>0</v>
      </c>
      <c r="H108" s="961" t="str">
        <f ca="1">IF(Q108=0,"0",TEXT(OFFSET('5  Control Accounts'!$FG$33,R108,0),"##0.0"))</f>
        <v>0</v>
      </c>
      <c r="I108" s="961" t="str">
        <f ca="1">IF(Q108=0,"0",TEXT(OFFSET('5  Control Accounts'!$FH$33,R108,0),"##0.0"))</f>
        <v>0</v>
      </c>
      <c r="J108" s="961" t="str">
        <f ca="1">IF($Q108=0,"0",'1 Setup'!$I$60)</f>
        <v>0</v>
      </c>
      <c r="K108" s="961" t="str">
        <f ca="1">IF(Q108=0,"0",TEXT(OFFSET('5  Control Accounts'!$FX$33,R108,0),"##0.00"))</f>
        <v>0</v>
      </c>
      <c r="L108" s="961" t="str">
        <f ca="1">IF(Q108=0,"0",TEXT(OFFSET('5  Control Accounts'!$FY$33,R108,0),"##0.00"))</f>
        <v>0</v>
      </c>
      <c r="M108" s="1405" t="str">
        <f t="shared" ca="1" si="10"/>
        <v>0</v>
      </c>
      <c r="N108" s="1326" t="s">
        <v>1964</v>
      </c>
      <c r="O108" s="1356"/>
      <c r="Q108" s="537">
        <f ca="1">$P$2*OFFSET('5  Control Accounts'!$CP$33,R108,0)</f>
        <v>0</v>
      </c>
      <c r="R108" s="537">
        <v>102</v>
      </c>
      <c r="T108" s="1930">
        <f t="shared" ca="1" si="11"/>
        <v>0</v>
      </c>
      <c r="U108" s="1930">
        <f t="shared" ca="1" si="12"/>
        <v>0</v>
      </c>
    </row>
    <row r="109" spans="1:21" s="750" customFormat="1" ht="15.9" customHeight="1" x14ac:dyDescent="0.3">
      <c r="A109" s="961" t="str">
        <f ca="1">IF(Q109=0,"0",OFFSET('5  Control Accounts'!$BF$33,R109,0)&amp;"."&amp;OFFSET('5  Control Accounts'!$BH$33,R109,0))</f>
        <v>0</v>
      </c>
      <c r="B109" s="961" t="str">
        <f t="shared" ca="1" si="9"/>
        <v>0</v>
      </c>
      <c r="C109" s="961" t="str">
        <f ca="1">IF(Q109=0,"0",TEXT(OFFSET('5  Control Accounts'!$BK$33,R109,0),"General"))</f>
        <v>0</v>
      </c>
      <c r="D109" s="961" t="str">
        <f ca="1">IF(Q109=0,"0",TEXT(OFFSET('5  Control Accounts'!$FB$33,R109,0),"General"))</f>
        <v>0</v>
      </c>
      <c r="E109" s="1405" t="str">
        <f t="shared" ca="1" si="13"/>
        <v>0</v>
      </c>
      <c r="F109" s="1405" t="str">
        <f t="shared" ca="1" si="14"/>
        <v>0</v>
      </c>
      <c r="G109" s="1405" t="str">
        <f t="shared" ca="1" si="15"/>
        <v>0</v>
      </c>
      <c r="H109" s="961" t="str">
        <f ca="1">IF(Q109=0,"0",TEXT(OFFSET('5  Control Accounts'!$FG$33,R109,0),"##0.0"))</f>
        <v>0</v>
      </c>
      <c r="I109" s="961" t="str">
        <f ca="1">IF(Q109=0,"0",TEXT(OFFSET('5  Control Accounts'!$FH$33,R109,0),"##0.0"))</f>
        <v>0</v>
      </c>
      <c r="J109" s="961" t="str">
        <f ca="1">IF($Q109=0,"0",'1 Setup'!$I$60)</f>
        <v>0</v>
      </c>
      <c r="K109" s="961" t="str">
        <f ca="1">IF(Q109=0,"0",TEXT(OFFSET('5  Control Accounts'!$FX$33,R109,0),"##0.00"))</f>
        <v>0</v>
      </c>
      <c r="L109" s="961" t="str">
        <f ca="1">IF(Q109=0,"0",TEXT(OFFSET('5  Control Accounts'!$FY$33,R109,0),"##0.00"))</f>
        <v>0</v>
      </c>
      <c r="M109" s="1405" t="str">
        <f t="shared" ca="1" si="10"/>
        <v>0</v>
      </c>
      <c r="N109" s="1326" t="s">
        <v>1965</v>
      </c>
      <c r="O109" s="1356"/>
      <c r="Q109" s="537">
        <f ca="1">$P$2*OFFSET('5  Control Accounts'!$CP$33,R109,0)</f>
        <v>0</v>
      </c>
      <c r="R109" s="537">
        <v>103</v>
      </c>
      <c r="T109" s="1930">
        <f t="shared" ca="1" si="11"/>
        <v>0</v>
      </c>
      <c r="U109" s="1930">
        <f t="shared" ca="1" si="12"/>
        <v>0</v>
      </c>
    </row>
    <row r="110" spans="1:21" s="750" customFormat="1" ht="15.9" customHeight="1" x14ac:dyDescent="0.3">
      <c r="A110" s="961" t="str">
        <f ca="1">IF(Q110=0,"0",OFFSET('5  Control Accounts'!$BF$33,R110,0)&amp;"."&amp;OFFSET('5  Control Accounts'!$BH$33,R110,0))</f>
        <v>0</v>
      </c>
      <c r="B110" s="961" t="str">
        <f t="shared" ca="1" si="9"/>
        <v>0</v>
      </c>
      <c r="C110" s="961" t="str">
        <f ca="1">IF(Q110=0,"0",TEXT(OFFSET('5  Control Accounts'!$BK$33,R110,0),"General"))</f>
        <v>0</v>
      </c>
      <c r="D110" s="961" t="str">
        <f ca="1">IF(Q110=0,"0",TEXT(OFFSET('5  Control Accounts'!$FB$33,R110,0),"General"))</f>
        <v>0</v>
      </c>
      <c r="E110" s="1405" t="str">
        <f t="shared" ca="1" si="13"/>
        <v>0</v>
      </c>
      <c r="F110" s="1405" t="str">
        <f t="shared" ca="1" si="14"/>
        <v>0</v>
      </c>
      <c r="G110" s="1405" t="str">
        <f t="shared" ca="1" si="15"/>
        <v>0</v>
      </c>
      <c r="H110" s="961" t="str">
        <f ca="1">IF(Q110=0,"0",TEXT(OFFSET('5  Control Accounts'!$FG$33,R110,0),"##0.0"))</f>
        <v>0</v>
      </c>
      <c r="I110" s="961" t="str">
        <f ca="1">IF(Q110=0,"0",TEXT(OFFSET('5  Control Accounts'!$FH$33,R110,0),"##0.0"))</f>
        <v>0</v>
      </c>
      <c r="J110" s="961" t="str">
        <f ca="1">IF($Q110=0,"0",'1 Setup'!$I$60)</f>
        <v>0</v>
      </c>
      <c r="K110" s="961" t="str">
        <f ca="1">IF(Q110=0,"0",TEXT(OFFSET('5  Control Accounts'!$FX$33,R110,0),"##0.00"))</f>
        <v>0</v>
      </c>
      <c r="L110" s="961" t="str">
        <f ca="1">IF(Q110=0,"0",TEXT(OFFSET('5  Control Accounts'!$FY$33,R110,0),"##0.00"))</f>
        <v>0</v>
      </c>
      <c r="M110" s="1405" t="str">
        <f t="shared" ca="1" si="10"/>
        <v>0</v>
      </c>
      <c r="N110" s="1326" t="s">
        <v>1966</v>
      </c>
      <c r="O110" s="1356"/>
      <c r="Q110" s="537">
        <f ca="1">$P$2*OFFSET('5  Control Accounts'!$CP$33,R110,0)</f>
        <v>0</v>
      </c>
      <c r="R110" s="537">
        <v>104</v>
      </c>
      <c r="T110" s="1930">
        <f t="shared" ca="1" si="11"/>
        <v>0</v>
      </c>
      <c r="U110" s="1930">
        <f t="shared" ca="1" si="12"/>
        <v>0</v>
      </c>
    </row>
    <row r="111" spans="1:21" s="750" customFormat="1" ht="15.9" customHeight="1" x14ac:dyDescent="0.3">
      <c r="A111" s="961" t="str">
        <f ca="1">IF(Q111=0,"0",OFFSET('5  Control Accounts'!$BF$33,R111,0)&amp;"."&amp;OFFSET('5  Control Accounts'!$BH$33,R111,0))</f>
        <v>0</v>
      </c>
      <c r="B111" s="961" t="str">
        <f t="shared" ca="1" si="9"/>
        <v>0</v>
      </c>
      <c r="C111" s="961" t="str">
        <f ca="1">IF(Q111=0,"0",TEXT(OFFSET('5  Control Accounts'!$BK$33,R111,0),"General"))</f>
        <v>0</v>
      </c>
      <c r="D111" s="961" t="str">
        <f ca="1">IF(Q111=0,"0",TEXT(OFFSET('5  Control Accounts'!$FB$33,R111,0),"General"))</f>
        <v>0</v>
      </c>
      <c r="E111" s="1405" t="str">
        <f t="shared" ca="1" si="13"/>
        <v>0</v>
      </c>
      <c r="F111" s="1405" t="str">
        <f t="shared" ca="1" si="14"/>
        <v>0</v>
      </c>
      <c r="G111" s="1405" t="str">
        <f t="shared" ca="1" si="15"/>
        <v>0</v>
      </c>
      <c r="H111" s="961" t="str">
        <f ca="1">IF(Q111=0,"0",TEXT(OFFSET('5  Control Accounts'!$FG$33,R111,0),"##0.0"))</f>
        <v>0</v>
      </c>
      <c r="I111" s="961" t="str">
        <f ca="1">IF(Q111=0,"0",TEXT(OFFSET('5  Control Accounts'!$FH$33,R111,0),"##0.0"))</f>
        <v>0</v>
      </c>
      <c r="J111" s="961" t="str">
        <f ca="1">IF($Q111=0,"0",'1 Setup'!$I$60)</f>
        <v>0</v>
      </c>
      <c r="K111" s="961" t="str">
        <f ca="1">IF(Q111=0,"0",TEXT(OFFSET('5  Control Accounts'!$FX$33,R111,0),"##0.00"))</f>
        <v>0</v>
      </c>
      <c r="L111" s="961" t="str">
        <f ca="1">IF(Q111=0,"0",TEXT(OFFSET('5  Control Accounts'!$FY$33,R111,0),"##0.00"))</f>
        <v>0</v>
      </c>
      <c r="M111" s="1405" t="str">
        <f t="shared" ca="1" si="10"/>
        <v>0</v>
      </c>
      <c r="N111" s="1326" t="s">
        <v>1967</v>
      </c>
      <c r="O111" s="1356"/>
      <c r="Q111" s="537">
        <f ca="1">$P$2*OFFSET('5  Control Accounts'!$CP$33,R111,0)</f>
        <v>0</v>
      </c>
      <c r="R111" s="537">
        <v>105</v>
      </c>
      <c r="T111" s="1930">
        <f t="shared" ca="1" si="11"/>
        <v>0</v>
      </c>
      <c r="U111" s="1930">
        <f t="shared" ca="1" si="12"/>
        <v>0</v>
      </c>
    </row>
    <row r="112" spans="1:21" s="750" customFormat="1" ht="15.9" customHeight="1" x14ac:dyDescent="0.3">
      <c r="A112" s="961" t="str">
        <f ca="1">IF(Q112=0,"0",OFFSET('5  Control Accounts'!$BF$33,R112,0)&amp;"."&amp;OFFSET('5  Control Accounts'!$BH$33,R112,0))</f>
        <v>0</v>
      </c>
      <c r="B112" s="961" t="str">
        <f t="shared" ca="1" si="9"/>
        <v>0</v>
      </c>
      <c r="C112" s="961" t="str">
        <f ca="1">IF(Q112=0,"0",TEXT(OFFSET('5  Control Accounts'!$BK$33,R112,0),"General"))</f>
        <v>0</v>
      </c>
      <c r="D112" s="961" t="str">
        <f ca="1">IF(Q112=0,"0",TEXT(OFFSET('5  Control Accounts'!$FB$33,R112,0),"General"))</f>
        <v>0</v>
      </c>
      <c r="E112" s="1405" t="str">
        <f t="shared" ca="1" si="13"/>
        <v>0</v>
      </c>
      <c r="F112" s="1405" t="str">
        <f t="shared" ca="1" si="14"/>
        <v>0</v>
      </c>
      <c r="G112" s="1405" t="str">
        <f t="shared" ca="1" si="15"/>
        <v>0</v>
      </c>
      <c r="H112" s="961" t="str">
        <f ca="1">IF(Q112=0,"0",TEXT(OFFSET('5  Control Accounts'!$FG$33,R112,0),"##0.0"))</f>
        <v>0</v>
      </c>
      <c r="I112" s="961" t="str">
        <f ca="1">IF(Q112=0,"0",TEXT(OFFSET('5  Control Accounts'!$FH$33,R112,0),"##0.0"))</f>
        <v>0</v>
      </c>
      <c r="J112" s="961" t="str">
        <f ca="1">IF($Q112=0,"0",'1 Setup'!$I$60)</f>
        <v>0</v>
      </c>
      <c r="K112" s="961" t="str">
        <f ca="1">IF(Q112=0,"0",TEXT(OFFSET('5  Control Accounts'!$FX$33,R112,0),"##0.00"))</f>
        <v>0</v>
      </c>
      <c r="L112" s="961" t="str">
        <f ca="1">IF(Q112=0,"0",TEXT(OFFSET('5  Control Accounts'!$FY$33,R112,0),"##0.00"))</f>
        <v>0</v>
      </c>
      <c r="M112" s="1405" t="str">
        <f t="shared" ca="1" si="10"/>
        <v>0</v>
      </c>
      <c r="N112" s="1326" t="s">
        <v>1968</v>
      </c>
      <c r="O112" s="1356"/>
      <c r="Q112" s="537">
        <f ca="1">$P$2*OFFSET('5  Control Accounts'!$CP$33,R112,0)</f>
        <v>0</v>
      </c>
      <c r="R112" s="537">
        <v>106</v>
      </c>
      <c r="T112" s="1930">
        <f t="shared" ca="1" si="11"/>
        <v>0</v>
      </c>
      <c r="U112" s="1930">
        <f t="shared" ca="1" si="12"/>
        <v>0</v>
      </c>
    </row>
    <row r="113" spans="1:21" s="750" customFormat="1" ht="15.9" customHeight="1" x14ac:dyDescent="0.3">
      <c r="A113" s="961" t="str">
        <f ca="1">IF(Q113=0,"0",OFFSET('5  Control Accounts'!$BF$33,R113,0)&amp;"."&amp;OFFSET('5  Control Accounts'!$BH$33,R113,0))</f>
        <v>0</v>
      </c>
      <c r="B113" s="961" t="str">
        <f t="shared" ca="1" si="9"/>
        <v>0</v>
      </c>
      <c r="C113" s="961" t="str">
        <f ca="1">IF(Q113=0,"0",TEXT(OFFSET('5  Control Accounts'!$BK$33,R113,0),"General"))</f>
        <v>0</v>
      </c>
      <c r="D113" s="961" t="str">
        <f ca="1">IF(Q113=0,"0",TEXT(OFFSET('5  Control Accounts'!$FB$33,R113,0),"General"))</f>
        <v>0</v>
      </c>
      <c r="E113" s="1405" t="str">
        <f t="shared" ca="1" si="13"/>
        <v>0</v>
      </c>
      <c r="F113" s="1405" t="str">
        <f t="shared" ca="1" si="14"/>
        <v>0</v>
      </c>
      <c r="G113" s="1405" t="str">
        <f t="shared" ca="1" si="15"/>
        <v>0</v>
      </c>
      <c r="H113" s="961" t="str">
        <f ca="1">IF(Q113=0,"0",TEXT(OFFSET('5  Control Accounts'!$FG$33,R113,0),"##0.0"))</f>
        <v>0</v>
      </c>
      <c r="I113" s="961" t="str">
        <f ca="1">IF(Q113=0,"0",TEXT(OFFSET('5  Control Accounts'!$FH$33,R113,0),"##0.0"))</f>
        <v>0</v>
      </c>
      <c r="J113" s="961" t="str">
        <f ca="1">IF($Q113=0,"0",'1 Setup'!$I$60)</f>
        <v>0</v>
      </c>
      <c r="K113" s="961" t="str">
        <f ca="1">IF(Q113=0,"0",TEXT(OFFSET('5  Control Accounts'!$FX$33,R113,0),"##0.00"))</f>
        <v>0</v>
      </c>
      <c r="L113" s="961" t="str">
        <f ca="1">IF(Q113=0,"0",TEXT(OFFSET('5  Control Accounts'!$FY$33,R113,0),"##0.00"))</f>
        <v>0</v>
      </c>
      <c r="M113" s="1405" t="str">
        <f t="shared" ca="1" si="10"/>
        <v>0</v>
      </c>
      <c r="N113" s="1326" t="s">
        <v>1969</v>
      </c>
      <c r="O113" s="1356"/>
      <c r="Q113" s="537">
        <f ca="1">$P$2*OFFSET('5  Control Accounts'!$CP$33,R113,0)</f>
        <v>0</v>
      </c>
      <c r="R113" s="537">
        <v>107</v>
      </c>
      <c r="T113" s="1930">
        <f t="shared" ca="1" si="11"/>
        <v>0</v>
      </c>
      <c r="U113" s="1930">
        <f t="shared" ca="1" si="12"/>
        <v>0</v>
      </c>
    </row>
    <row r="114" spans="1:21" s="750" customFormat="1" ht="15.9" customHeight="1" x14ac:dyDescent="0.3">
      <c r="A114" s="961" t="str">
        <f ca="1">IF(Q114=0,"0",OFFSET('5  Control Accounts'!$BF$33,R114,0)&amp;"."&amp;OFFSET('5  Control Accounts'!$BH$33,R114,0))</f>
        <v>0</v>
      </c>
      <c r="B114" s="961" t="str">
        <f t="shared" ca="1" si="9"/>
        <v>0</v>
      </c>
      <c r="C114" s="961" t="str">
        <f ca="1">IF(Q114=0,"0",TEXT(OFFSET('5  Control Accounts'!$BK$33,R114,0),"General"))</f>
        <v>0</v>
      </c>
      <c r="D114" s="961" t="str">
        <f ca="1">IF(Q114=0,"0",TEXT(OFFSET('5  Control Accounts'!$FB$33,R114,0),"General"))</f>
        <v>0</v>
      </c>
      <c r="E114" s="1405" t="str">
        <f t="shared" ca="1" si="13"/>
        <v>0</v>
      </c>
      <c r="F114" s="1405" t="str">
        <f t="shared" ca="1" si="14"/>
        <v>0</v>
      </c>
      <c r="G114" s="1405" t="str">
        <f t="shared" ca="1" si="15"/>
        <v>0</v>
      </c>
      <c r="H114" s="961" t="str">
        <f ca="1">IF(Q114=0,"0",TEXT(OFFSET('5  Control Accounts'!$FG$33,R114,0),"##0.0"))</f>
        <v>0</v>
      </c>
      <c r="I114" s="961" t="str">
        <f ca="1">IF(Q114=0,"0",TEXT(OFFSET('5  Control Accounts'!$FH$33,R114,0),"##0.0"))</f>
        <v>0</v>
      </c>
      <c r="J114" s="961" t="str">
        <f ca="1">IF($Q114=0,"0",'1 Setup'!$I$60)</f>
        <v>0</v>
      </c>
      <c r="K114" s="961" t="str">
        <f ca="1">IF(Q114=0,"0",TEXT(OFFSET('5  Control Accounts'!$FX$33,R114,0),"##0.00"))</f>
        <v>0</v>
      </c>
      <c r="L114" s="961" t="str">
        <f ca="1">IF(Q114=0,"0",TEXT(OFFSET('5  Control Accounts'!$FY$33,R114,0),"##0.00"))</f>
        <v>0</v>
      </c>
      <c r="M114" s="1405" t="str">
        <f t="shared" ca="1" si="10"/>
        <v>0</v>
      </c>
      <c r="N114" s="1326" t="s">
        <v>1970</v>
      </c>
      <c r="O114" s="1356"/>
      <c r="Q114" s="537">
        <f ca="1">$P$2*OFFSET('5  Control Accounts'!$CP$33,R114,0)</f>
        <v>0</v>
      </c>
      <c r="R114" s="537">
        <v>108</v>
      </c>
      <c r="T114" s="1930">
        <f t="shared" ca="1" si="11"/>
        <v>0</v>
      </c>
      <c r="U114" s="1930">
        <f t="shared" ca="1" si="12"/>
        <v>0</v>
      </c>
    </row>
    <row r="115" spans="1:21" s="750" customFormat="1" ht="15.9" customHeight="1" x14ac:dyDescent="0.3">
      <c r="A115" s="961" t="str">
        <f ca="1">IF(Q115=0,"0",OFFSET('5  Control Accounts'!$BF$33,R115,0)&amp;"."&amp;OFFSET('5  Control Accounts'!$BH$33,R115,0))</f>
        <v>0</v>
      </c>
      <c r="B115" s="961" t="str">
        <f t="shared" ca="1" si="9"/>
        <v>0</v>
      </c>
      <c r="C115" s="961" t="str">
        <f ca="1">IF(Q115=0,"0",TEXT(OFFSET('5  Control Accounts'!$BK$33,R115,0),"General"))</f>
        <v>0</v>
      </c>
      <c r="D115" s="961" t="str">
        <f ca="1">IF(Q115=0,"0",TEXT(OFFSET('5  Control Accounts'!$FB$33,R115,0),"General"))</f>
        <v>0</v>
      </c>
      <c r="E115" s="1405" t="str">
        <f t="shared" ca="1" si="13"/>
        <v>0</v>
      </c>
      <c r="F115" s="1405" t="str">
        <f t="shared" ca="1" si="14"/>
        <v>0</v>
      </c>
      <c r="G115" s="1405" t="str">
        <f t="shared" ca="1" si="15"/>
        <v>0</v>
      </c>
      <c r="H115" s="961" t="str">
        <f ca="1">IF(Q115=0,"0",TEXT(OFFSET('5  Control Accounts'!$FG$33,R115,0),"##0.0"))</f>
        <v>0</v>
      </c>
      <c r="I115" s="961" t="str">
        <f ca="1">IF(Q115=0,"0",TEXT(OFFSET('5  Control Accounts'!$FH$33,R115,0),"##0.0"))</f>
        <v>0</v>
      </c>
      <c r="J115" s="961" t="str">
        <f ca="1">IF($Q115=0,"0",'1 Setup'!$I$60)</f>
        <v>0</v>
      </c>
      <c r="K115" s="961" t="str">
        <f ca="1">IF(Q115=0,"0",TEXT(OFFSET('5  Control Accounts'!$FX$33,R115,0),"##0.00"))</f>
        <v>0</v>
      </c>
      <c r="L115" s="961" t="str">
        <f ca="1">IF(Q115=0,"0",TEXT(OFFSET('5  Control Accounts'!$FY$33,R115,0),"##0.00"))</f>
        <v>0</v>
      </c>
      <c r="M115" s="1405" t="str">
        <f t="shared" ca="1" si="10"/>
        <v>0</v>
      </c>
      <c r="N115" s="1326" t="s">
        <v>1971</v>
      </c>
      <c r="O115" s="1356"/>
      <c r="Q115" s="537">
        <f ca="1">$P$2*OFFSET('5  Control Accounts'!$CP$33,R115,0)</f>
        <v>0</v>
      </c>
      <c r="R115" s="537">
        <v>109</v>
      </c>
      <c r="T115" s="1930">
        <f t="shared" ca="1" si="11"/>
        <v>0</v>
      </c>
      <c r="U115" s="1930">
        <f t="shared" ca="1" si="12"/>
        <v>0</v>
      </c>
    </row>
    <row r="116" spans="1:21" s="750" customFormat="1" ht="15.9" customHeight="1" x14ac:dyDescent="0.3">
      <c r="A116" s="961" t="str">
        <f ca="1">IF(Q116=0,"0",OFFSET('5  Control Accounts'!$BF$33,R116,0)&amp;"."&amp;OFFSET('5  Control Accounts'!$BH$33,R116,0))</f>
        <v>0</v>
      </c>
      <c r="B116" s="961" t="str">
        <f t="shared" ca="1" si="9"/>
        <v>0</v>
      </c>
      <c r="C116" s="961" t="str">
        <f ca="1">IF(Q116=0,"0",TEXT(OFFSET('5  Control Accounts'!$BK$33,R116,0),"General"))</f>
        <v>0</v>
      </c>
      <c r="D116" s="961" t="str">
        <f ca="1">IF(Q116=0,"0",TEXT(OFFSET('5  Control Accounts'!$FB$33,R116,0),"General"))</f>
        <v>0</v>
      </c>
      <c r="E116" s="1405" t="str">
        <f t="shared" ca="1" si="13"/>
        <v>0</v>
      </c>
      <c r="F116" s="1405" t="str">
        <f t="shared" ca="1" si="14"/>
        <v>0</v>
      </c>
      <c r="G116" s="1405" t="str">
        <f t="shared" ca="1" si="15"/>
        <v>0</v>
      </c>
      <c r="H116" s="961" t="str">
        <f ca="1">IF(Q116=0,"0",TEXT(OFFSET('5  Control Accounts'!$FG$33,R116,0),"##0.0"))</f>
        <v>0</v>
      </c>
      <c r="I116" s="961" t="str">
        <f ca="1">IF(Q116=0,"0",TEXT(OFFSET('5  Control Accounts'!$FH$33,R116,0),"##0.0"))</f>
        <v>0</v>
      </c>
      <c r="J116" s="961" t="str">
        <f ca="1">IF($Q116=0,"0",'1 Setup'!$I$60)</f>
        <v>0</v>
      </c>
      <c r="K116" s="961" t="str">
        <f ca="1">IF(Q116=0,"0",TEXT(OFFSET('5  Control Accounts'!$FX$33,R116,0),"##0.00"))</f>
        <v>0</v>
      </c>
      <c r="L116" s="961" t="str">
        <f ca="1">IF(Q116=0,"0",TEXT(OFFSET('5  Control Accounts'!$FY$33,R116,0),"##0.00"))</f>
        <v>0</v>
      </c>
      <c r="M116" s="1405" t="str">
        <f t="shared" ca="1" si="10"/>
        <v>0</v>
      </c>
      <c r="N116" s="1326" t="s">
        <v>1972</v>
      </c>
      <c r="O116" s="1356"/>
      <c r="Q116" s="537">
        <f ca="1">$P$2*OFFSET('5  Control Accounts'!$CP$33,R116,0)</f>
        <v>0</v>
      </c>
      <c r="R116" s="537">
        <v>110</v>
      </c>
      <c r="T116" s="1930">
        <f t="shared" ca="1" si="11"/>
        <v>0</v>
      </c>
      <c r="U116" s="1930">
        <f t="shared" ca="1" si="12"/>
        <v>0</v>
      </c>
    </row>
    <row r="117" spans="1:21" s="750" customFormat="1" ht="15.9" customHeight="1" x14ac:dyDescent="0.3">
      <c r="A117" s="961" t="str">
        <f ca="1">IF(Q117=0,"0",OFFSET('5  Control Accounts'!$BF$33,R117,0)&amp;"."&amp;OFFSET('5  Control Accounts'!$BH$33,R117,0))</f>
        <v>0</v>
      </c>
      <c r="B117" s="961" t="str">
        <f t="shared" ca="1" si="9"/>
        <v>0</v>
      </c>
      <c r="C117" s="961" t="str">
        <f ca="1">IF(Q117=0,"0",TEXT(OFFSET('5  Control Accounts'!$BK$33,R117,0),"General"))</f>
        <v>0</v>
      </c>
      <c r="D117" s="961" t="str">
        <f ca="1">IF(Q117=0,"0",TEXT(OFFSET('5  Control Accounts'!$FB$33,R117,0),"General"))</f>
        <v>0</v>
      </c>
      <c r="E117" s="1405" t="str">
        <f t="shared" ca="1" si="13"/>
        <v>0</v>
      </c>
      <c r="F117" s="1405" t="str">
        <f t="shared" ca="1" si="14"/>
        <v>0</v>
      </c>
      <c r="G117" s="1405" t="str">
        <f t="shared" ca="1" si="15"/>
        <v>0</v>
      </c>
      <c r="H117" s="961" t="str">
        <f ca="1">IF(Q117=0,"0",TEXT(OFFSET('5  Control Accounts'!$FG$33,R117,0),"##0.0"))</f>
        <v>0</v>
      </c>
      <c r="I117" s="961" t="str">
        <f ca="1">IF(Q117=0,"0",TEXT(OFFSET('5  Control Accounts'!$FH$33,R117,0),"##0.0"))</f>
        <v>0</v>
      </c>
      <c r="J117" s="961" t="str">
        <f ca="1">IF($Q117=0,"0",'1 Setup'!$I$60)</f>
        <v>0</v>
      </c>
      <c r="K117" s="961" t="str">
        <f ca="1">IF(Q117=0,"0",TEXT(OFFSET('5  Control Accounts'!$FX$33,R117,0),"##0.00"))</f>
        <v>0</v>
      </c>
      <c r="L117" s="961" t="str">
        <f ca="1">IF(Q117=0,"0",TEXT(OFFSET('5  Control Accounts'!$FY$33,R117,0),"##0.00"))</f>
        <v>0</v>
      </c>
      <c r="M117" s="1405" t="str">
        <f t="shared" ca="1" si="10"/>
        <v>0</v>
      </c>
      <c r="N117" s="1326" t="s">
        <v>1973</v>
      </c>
      <c r="O117" s="1356"/>
      <c r="Q117" s="537">
        <f ca="1">$P$2*OFFSET('5  Control Accounts'!$CP$33,R117,0)</f>
        <v>0</v>
      </c>
      <c r="R117" s="537">
        <v>111</v>
      </c>
      <c r="T117" s="1930">
        <f t="shared" ca="1" si="11"/>
        <v>0</v>
      </c>
      <c r="U117" s="1930">
        <f t="shared" ca="1" si="12"/>
        <v>0</v>
      </c>
    </row>
    <row r="118" spans="1:21" s="750" customFormat="1" ht="15.9" customHeight="1" x14ac:dyDescent="0.3">
      <c r="A118" s="961" t="str">
        <f ca="1">IF(Q118=0,"0",OFFSET('5  Control Accounts'!$BF$33,R118,0)&amp;"."&amp;OFFSET('5  Control Accounts'!$BH$33,R118,0))</f>
        <v>0</v>
      </c>
      <c r="B118" s="961" t="str">
        <f t="shared" ca="1" si="9"/>
        <v>0</v>
      </c>
      <c r="C118" s="961" t="str">
        <f ca="1">IF(Q118=0,"0",TEXT(OFFSET('5  Control Accounts'!$BK$33,R118,0),"General"))</f>
        <v>0</v>
      </c>
      <c r="D118" s="961" t="str">
        <f ca="1">IF(Q118=0,"0",TEXT(OFFSET('5  Control Accounts'!$FB$33,R118,0),"General"))</f>
        <v>0</v>
      </c>
      <c r="E118" s="1405" t="str">
        <f t="shared" ca="1" si="13"/>
        <v>0</v>
      </c>
      <c r="F118" s="1405" t="str">
        <f t="shared" ca="1" si="14"/>
        <v>0</v>
      </c>
      <c r="G118" s="1405" t="str">
        <f t="shared" ca="1" si="15"/>
        <v>0</v>
      </c>
      <c r="H118" s="961" t="str">
        <f ca="1">IF(Q118=0,"0",TEXT(OFFSET('5  Control Accounts'!$FG$33,R118,0),"##0.0"))</f>
        <v>0</v>
      </c>
      <c r="I118" s="961" t="str">
        <f ca="1">IF(Q118=0,"0",TEXT(OFFSET('5  Control Accounts'!$FH$33,R118,0),"##0.0"))</f>
        <v>0</v>
      </c>
      <c r="J118" s="961" t="str">
        <f ca="1">IF($Q118=0,"0",'1 Setup'!$I$60)</f>
        <v>0</v>
      </c>
      <c r="K118" s="961" t="str">
        <f ca="1">IF(Q118=0,"0",TEXT(OFFSET('5  Control Accounts'!$FX$33,R118,0),"##0.00"))</f>
        <v>0</v>
      </c>
      <c r="L118" s="961" t="str">
        <f ca="1">IF(Q118=0,"0",TEXT(OFFSET('5  Control Accounts'!$FY$33,R118,0),"##0.00"))</f>
        <v>0</v>
      </c>
      <c r="M118" s="1405" t="str">
        <f t="shared" ca="1" si="10"/>
        <v>0</v>
      </c>
      <c r="N118" s="1326" t="s">
        <v>1974</v>
      </c>
      <c r="O118" s="1356"/>
      <c r="Q118" s="537">
        <f ca="1">$P$2*OFFSET('5  Control Accounts'!$CP$33,R118,0)</f>
        <v>0</v>
      </c>
      <c r="R118" s="537">
        <v>112</v>
      </c>
      <c r="T118" s="1930">
        <f t="shared" ca="1" si="11"/>
        <v>0</v>
      </c>
      <c r="U118" s="1930">
        <f t="shared" ca="1" si="12"/>
        <v>0</v>
      </c>
    </row>
    <row r="119" spans="1:21" s="750" customFormat="1" ht="15.9" customHeight="1" x14ac:dyDescent="0.3">
      <c r="A119" s="961" t="str">
        <f ca="1">IF(Q119=0,"0",OFFSET('5  Control Accounts'!$BF$33,R119,0)&amp;"."&amp;OFFSET('5  Control Accounts'!$BH$33,R119,0))</f>
        <v>0</v>
      </c>
      <c r="B119" s="961" t="str">
        <f t="shared" ca="1" si="9"/>
        <v>0</v>
      </c>
      <c r="C119" s="961" t="str">
        <f ca="1">IF(Q119=0,"0",TEXT(OFFSET('5  Control Accounts'!$BK$33,R119,0),"General"))</f>
        <v>0</v>
      </c>
      <c r="D119" s="961" t="str">
        <f ca="1">IF(Q119=0,"0",TEXT(OFFSET('5  Control Accounts'!$FB$33,R119,0),"General"))</f>
        <v>0</v>
      </c>
      <c r="E119" s="1405" t="str">
        <f t="shared" ca="1" si="13"/>
        <v>0</v>
      </c>
      <c r="F119" s="1405" t="str">
        <f t="shared" ca="1" si="14"/>
        <v>0</v>
      </c>
      <c r="G119" s="1405" t="str">
        <f t="shared" ca="1" si="15"/>
        <v>0</v>
      </c>
      <c r="H119" s="961" t="str">
        <f ca="1">IF(Q119=0,"0",TEXT(OFFSET('5  Control Accounts'!$FG$33,R119,0),"##0.0"))</f>
        <v>0</v>
      </c>
      <c r="I119" s="961" t="str">
        <f ca="1">IF(Q119=0,"0",TEXT(OFFSET('5  Control Accounts'!$FH$33,R119,0),"##0.0"))</f>
        <v>0</v>
      </c>
      <c r="J119" s="961" t="str">
        <f ca="1">IF($Q119=0,"0",'1 Setup'!$I$60)</f>
        <v>0</v>
      </c>
      <c r="K119" s="961" t="str">
        <f ca="1">IF(Q119=0,"0",TEXT(OFFSET('5  Control Accounts'!$FX$33,R119,0),"##0.00"))</f>
        <v>0</v>
      </c>
      <c r="L119" s="961" t="str">
        <f ca="1">IF(Q119=0,"0",TEXT(OFFSET('5  Control Accounts'!$FY$33,R119,0),"##0.00"))</f>
        <v>0</v>
      </c>
      <c r="M119" s="1405" t="str">
        <f t="shared" ca="1" si="10"/>
        <v>0</v>
      </c>
      <c r="N119" s="1326" t="s">
        <v>1975</v>
      </c>
      <c r="O119" s="1356"/>
      <c r="Q119" s="537">
        <f ca="1">$P$2*OFFSET('5  Control Accounts'!$CP$33,R119,0)</f>
        <v>0</v>
      </c>
      <c r="R119" s="537">
        <v>113</v>
      </c>
      <c r="T119" s="1930">
        <f t="shared" ca="1" si="11"/>
        <v>0</v>
      </c>
      <c r="U119" s="1930">
        <f t="shared" ca="1" si="12"/>
        <v>0</v>
      </c>
    </row>
    <row r="120" spans="1:21" s="750" customFormat="1" ht="15.9" customHeight="1" x14ac:dyDescent="0.3">
      <c r="A120" s="961" t="str">
        <f ca="1">IF(Q120=0,"0",OFFSET('5  Control Accounts'!$BF$33,R120,0)&amp;"."&amp;OFFSET('5  Control Accounts'!$BH$33,R120,0))</f>
        <v>0</v>
      </c>
      <c r="B120" s="961" t="str">
        <f t="shared" ca="1" si="9"/>
        <v>0</v>
      </c>
      <c r="C120" s="961" t="str">
        <f ca="1">IF(Q120=0,"0",TEXT(OFFSET('5  Control Accounts'!$BK$33,R120,0),"General"))</f>
        <v>0</v>
      </c>
      <c r="D120" s="961" t="str">
        <f ca="1">IF(Q120=0,"0",TEXT(OFFSET('5  Control Accounts'!$FB$33,R120,0),"General"))</f>
        <v>0</v>
      </c>
      <c r="E120" s="1405" t="str">
        <f t="shared" ca="1" si="13"/>
        <v>0</v>
      </c>
      <c r="F120" s="1405" t="str">
        <f t="shared" ca="1" si="14"/>
        <v>0</v>
      </c>
      <c r="G120" s="1405" t="str">
        <f t="shared" ca="1" si="15"/>
        <v>0</v>
      </c>
      <c r="H120" s="961" t="str">
        <f ca="1">IF(Q120=0,"0",TEXT(OFFSET('5  Control Accounts'!$FG$33,R120,0),"##0.0"))</f>
        <v>0</v>
      </c>
      <c r="I120" s="961" t="str">
        <f ca="1">IF(Q120=0,"0",TEXT(OFFSET('5  Control Accounts'!$FH$33,R120,0),"##0.0"))</f>
        <v>0</v>
      </c>
      <c r="J120" s="961" t="str">
        <f ca="1">IF($Q120=0,"0",'1 Setup'!$I$60)</f>
        <v>0</v>
      </c>
      <c r="K120" s="961" t="str">
        <f ca="1">IF(Q120=0,"0",TEXT(OFFSET('5  Control Accounts'!$FX$33,R120,0),"##0.00"))</f>
        <v>0</v>
      </c>
      <c r="L120" s="961" t="str">
        <f ca="1">IF(Q120=0,"0",TEXT(OFFSET('5  Control Accounts'!$FY$33,R120,0),"##0.00"))</f>
        <v>0</v>
      </c>
      <c r="M120" s="1405" t="str">
        <f t="shared" ca="1" si="10"/>
        <v>0</v>
      </c>
      <c r="N120" s="1326" t="s">
        <v>1976</v>
      </c>
      <c r="O120" s="1356"/>
      <c r="Q120" s="537">
        <f ca="1">$P$2*OFFSET('5  Control Accounts'!$CP$33,R120,0)</f>
        <v>0</v>
      </c>
      <c r="R120" s="537">
        <v>114</v>
      </c>
      <c r="T120" s="1930">
        <f t="shared" ca="1" si="11"/>
        <v>0</v>
      </c>
      <c r="U120" s="1930">
        <f t="shared" ca="1" si="12"/>
        <v>0</v>
      </c>
    </row>
    <row r="121" spans="1:21" s="750" customFormat="1" ht="15.9" customHeight="1" x14ac:dyDescent="0.3">
      <c r="A121" s="961" t="str">
        <f ca="1">IF(Q121=0,"0",OFFSET('5  Control Accounts'!$BF$33,R121,0)&amp;"."&amp;OFFSET('5  Control Accounts'!$BH$33,R121,0))</f>
        <v>0</v>
      </c>
      <c r="B121" s="961" t="str">
        <f t="shared" ca="1" si="9"/>
        <v>0</v>
      </c>
      <c r="C121" s="961" t="str">
        <f ca="1">IF(Q121=0,"0",TEXT(OFFSET('5  Control Accounts'!$BK$33,R121,0),"General"))</f>
        <v>0</v>
      </c>
      <c r="D121" s="961" t="str">
        <f ca="1">IF(Q121=0,"0",TEXT(OFFSET('5  Control Accounts'!$FB$33,R121,0),"General"))</f>
        <v>0</v>
      </c>
      <c r="E121" s="1405" t="str">
        <f t="shared" ca="1" si="13"/>
        <v>0</v>
      </c>
      <c r="F121" s="1405" t="str">
        <f t="shared" ca="1" si="14"/>
        <v>0</v>
      </c>
      <c r="G121" s="1405" t="str">
        <f t="shared" ca="1" si="15"/>
        <v>0</v>
      </c>
      <c r="H121" s="961" t="str">
        <f ca="1">IF(Q121=0,"0",TEXT(OFFSET('5  Control Accounts'!$FG$33,R121,0),"##0.0"))</f>
        <v>0</v>
      </c>
      <c r="I121" s="961" t="str">
        <f ca="1">IF(Q121=0,"0",TEXT(OFFSET('5  Control Accounts'!$FH$33,R121,0),"##0.0"))</f>
        <v>0</v>
      </c>
      <c r="J121" s="961" t="str">
        <f ca="1">IF($Q121=0,"0",'1 Setup'!$I$60)</f>
        <v>0</v>
      </c>
      <c r="K121" s="961" t="str">
        <f ca="1">IF(Q121=0,"0",TEXT(OFFSET('5  Control Accounts'!$FX$33,R121,0),"##0.00"))</f>
        <v>0</v>
      </c>
      <c r="L121" s="961" t="str">
        <f ca="1">IF(Q121=0,"0",TEXT(OFFSET('5  Control Accounts'!$FY$33,R121,0),"##0.00"))</f>
        <v>0</v>
      </c>
      <c r="M121" s="1405" t="str">
        <f t="shared" ca="1" si="10"/>
        <v>0</v>
      </c>
      <c r="N121" s="1326" t="s">
        <v>1977</v>
      </c>
      <c r="O121" s="1356"/>
      <c r="Q121" s="537">
        <f ca="1">$P$2*OFFSET('5  Control Accounts'!$CP$33,R121,0)</f>
        <v>0</v>
      </c>
      <c r="R121" s="537">
        <v>115</v>
      </c>
      <c r="T121" s="1930">
        <f t="shared" ca="1" si="11"/>
        <v>0</v>
      </c>
      <c r="U121" s="1930">
        <f t="shared" ca="1" si="12"/>
        <v>0</v>
      </c>
    </row>
    <row r="122" spans="1:21" s="750" customFormat="1" ht="15.9" customHeight="1" x14ac:dyDescent="0.3">
      <c r="A122" s="961" t="str">
        <f ca="1">IF(Q122=0,"0",OFFSET('5  Control Accounts'!$BF$33,R122,0)&amp;"."&amp;OFFSET('5  Control Accounts'!$BH$33,R122,0))</f>
        <v>0</v>
      </c>
      <c r="B122" s="961" t="str">
        <f t="shared" ca="1" si="9"/>
        <v>0</v>
      </c>
      <c r="C122" s="961" t="str">
        <f ca="1">IF(Q122=0,"0",TEXT(OFFSET('5  Control Accounts'!$BK$33,R122,0),"General"))</f>
        <v>0</v>
      </c>
      <c r="D122" s="961" t="str">
        <f ca="1">IF(Q122=0,"0",TEXT(OFFSET('5  Control Accounts'!$FB$33,R122,0),"General"))</f>
        <v>0</v>
      </c>
      <c r="E122" s="1405" t="str">
        <f t="shared" ca="1" si="13"/>
        <v>0</v>
      </c>
      <c r="F122" s="1405" t="str">
        <f t="shared" ca="1" si="14"/>
        <v>0</v>
      </c>
      <c r="G122" s="1405" t="str">
        <f t="shared" ca="1" si="15"/>
        <v>0</v>
      </c>
      <c r="H122" s="961" t="str">
        <f ca="1">IF(Q122=0,"0",TEXT(OFFSET('5  Control Accounts'!$FG$33,R122,0),"##0.0"))</f>
        <v>0</v>
      </c>
      <c r="I122" s="961" t="str">
        <f ca="1">IF(Q122=0,"0",TEXT(OFFSET('5  Control Accounts'!$FH$33,R122,0),"##0.0"))</f>
        <v>0</v>
      </c>
      <c r="J122" s="961" t="str">
        <f ca="1">IF($Q122=0,"0",'1 Setup'!$I$60)</f>
        <v>0</v>
      </c>
      <c r="K122" s="961" t="str">
        <f ca="1">IF(Q122=0,"0",TEXT(OFFSET('5  Control Accounts'!$FX$33,R122,0),"##0.00"))</f>
        <v>0</v>
      </c>
      <c r="L122" s="961" t="str">
        <f ca="1">IF(Q122=0,"0",TEXT(OFFSET('5  Control Accounts'!$FY$33,R122,0),"##0.00"))</f>
        <v>0</v>
      </c>
      <c r="M122" s="1405" t="str">
        <f t="shared" ca="1" si="10"/>
        <v>0</v>
      </c>
      <c r="N122" s="1326" t="s">
        <v>1978</v>
      </c>
      <c r="O122" s="1356"/>
      <c r="Q122" s="537">
        <f ca="1">$P$2*OFFSET('5  Control Accounts'!$CP$33,R122,0)</f>
        <v>0</v>
      </c>
      <c r="R122" s="537">
        <v>116</v>
      </c>
      <c r="T122" s="1930">
        <f t="shared" ca="1" si="11"/>
        <v>0</v>
      </c>
      <c r="U122" s="1930">
        <f t="shared" ca="1" si="12"/>
        <v>0</v>
      </c>
    </row>
    <row r="123" spans="1:21" s="750" customFormat="1" ht="15.9" customHeight="1" x14ac:dyDescent="0.3">
      <c r="A123" s="961" t="str">
        <f ca="1">IF(Q123=0,"0",OFFSET('5  Control Accounts'!$BF$33,R123,0)&amp;"."&amp;OFFSET('5  Control Accounts'!$BH$33,R123,0))</f>
        <v>0</v>
      </c>
      <c r="B123" s="961" t="str">
        <f t="shared" ca="1" si="9"/>
        <v>0</v>
      </c>
      <c r="C123" s="961" t="str">
        <f ca="1">IF(Q123=0,"0",TEXT(OFFSET('5  Control Accounts'!$BK$33,R123,0),"General"))</f>
        <v>0</v>
      </c>
      <c r="D123" s="961" t="str">
        <f ca="1">IF(Q123=0,"0",TEXT(OFFSET('5  Control Accounts'!$FB$33,R123,0),"General"))</f>
        <v>0</v>
      </c>
      <c r="E123" s="1405" t="str">
        <f t="shared" ca="1" si="13"/>
        <v>0</v>
      </c>
      <c r="F123" s="1405" t="str">
        <f t="shared" ca="1" si="14"/>
        <v>0</v>
      </c>
      <c r="G123" s="1405" t="str">
        <f t="shared" ca="1" si="15"/>
        <v>0</v>
      </c>
      <c r="H123" s="961" t="str">
        <f ca="1">IF(Q123=0,"0",TEXT(OFFSET('5  Control Accounts'!$FG$33,R123,0),"##0.0"))</f>
        <v>0</v>
      </c>
      <c r="I123" s="961" t="str">
        <f ca="1">IF(Q123=0,"0",TEXT(OFFSET('5  Control Accounts'!$FH$33,R123,0),"##0.0"))</f>
        <v>0</v>
      </c>
      <c r="J123" s="961" t="str">
        <f ca="1">IF($Q123=0,"0",'1 Setup'!$I$60)</f>
        <v>0</v>
      </c>
      <c r="K123" s="961" t="str">
        <f ca="1">IF(Q123=0,"0",TEXT(OFFSET('5  Control Accounts'!$FX$33,R123,0),"##0.00"))</f>
        <v>0</v>
      </c>
      <c r="L123" s="961" t="str">
        <f ca="1">IF(Q123=0,"0",TEXT(OFFSET('5  Control Accounts'!$FY$33,R123,0),"##0.00"))</f>
        <v>0</v>
      </c>
      <c r="M123" s="1405" t="str">
        <f t="shared" ca="1" si="10"/>
        <v>0</v>
      </c>
      <c r="N123" s="1326" t="s">
        <v>1979</v>
      </c>
      <c r="O123" s="1356"/>
      <c r="Q123" s="537">
        <f ca="1">$P$2*OFFSET('5  Control Accounts'!$CP$33,R123,0)</f>
        <v>0</v>
      </c>
      <c r="R123" s="537">
        <v>117</v>
      </c>
      <c r="T123" s="1930">
        <f t="shared" ca="1" si="11"/>
        <v>0</v>
      </c>
      <c r="U123" s="1930">
        <f t="shared" ca="1" si="12"/>
        <v>0</v>
      </c>
    </row>
    <row r="124" spans="1:21" s="750" customFormat="1" ht="15.9" customHeight="1" x14ac:dyDescent="0.3">
      <c r="A124" s="961" t="str">
        <f ca="1">IF(Q124=0,"0",OFFSET('5  Control Accounts'!$BF$33,R124,0)&amp;"."&amp;OFFSET('5  Control Accounts'!$BH$33,R124,0))</f>
        <v>0</v>
      </c>
      <c r="B124" s="961" t="str">
        <f t="shared" ca="1" si="9"/>
        <v>0</v>
      </c>
      <c r="C124" s="961" t="str">
        <f ca="1">IF(Q124=0,"0",TEXT(OFFSET('5  Control Accounts'!$BK$33,R124,0),"General"))</f>
        <v>0</v>
      </c>
      <c r="D124" s="961" t="str">
        <f ca="1">IF(Q124=0,"0",TEXT(OFFSET('5  Control Accounts'!$FB$33,R124,0),"General"))</f>
        <v>0</v>
      </c>
      <c r="E124" s="1405" t="str">
        <f t="shared" ca="1" si="13"/>
        <v>0</v>
      </c>
      <c r="F124" s="1405" t="str">
        <f t="shared" ca="1" si="14"/>
        <v>0</v>
      </c>
      <c r="G124" s="1405" t="str">
        <f t="shared" ca="1" si="15"/>
        <v>0</v>
      </c>
      <c r="H124" s="961" t="str">
        <f ca="1">IF(Q124=0,"0",TEXT(OFFSET('5  Control Accounts'!$FG$33,R124,0),"##0.0"))</f>
        <v>0</v>
      </c>
      <c r="I124" s="961" t="str">
        <f ca="1">IF(Q124=0,"0",TEXT(OFFSET('5  Control Accounts'!$FH$33,R124,0),"##0.0"))</f>
        <v>0</v>
      </c>
      <c r="J124" s="961" t="str">
        <f ca="1">IF($Q124=0,"0",'1 Setup'!$I$60)</f>
        <v>0</v>
      </c>
      <c r="K124" s="961" t="str">
        <f ca="1">IF(Q124=0,"0",TEXT(OFFSET('5  Control Accounts'!$FX$33,R124,0),"##0.00"))</f>
        <v>0</v>
      </c>
      <c r="L124" s="961" t="str">
        <f ca="1">IF(Q124=0,"0",TEXT(OFFSET('5  Control Accounts'!$FY$33,R124,0),"##0.00"))</f>
        <v>0</v>
      </c>
      <c r="M124" s="1405" t="str">
        <f t="shared" ca="1" si="10"/>
        <v>0</v>
      </c>
      <c r="N124" s="1326" t="s">
        <v>1980</v>
      </c>
      <c r="O124" s="1356"/>
      <c r="Q124" s="537">
        <f ca="1">$P$2*OFFSET('5  Control Accounts'!$CP$33,R124,0)</f>
        <v>0</v>
      </c>
      <c r="R124" s="537">
        <v>118</v>
      </c>
      <c r="T124" s="1930">
        <f t="shared" ca="1" si="11"/>
        <v>0</v>
      </c>
      <c r="U124" s="1930">
        <f t="shared" ca="1" si="12"/>
        <v>0</v>
      </c>
    </row>
    <row r="125" spans="1:21" s="750" customFormat="1" ht="15.9" customHeight="1" x14ac:dyDescent="0.3">
      <c r="A125" s="961" t="str">
        <f ca="1">IF(Q125=0,"0",OFFSET('5  Control Accounts'!$BF$33,R125,0)&amp;"."&amp;OFFSET('5  Control Accounts'!$BH$33,R125,0))</f>
        <v>0</v>
      </c>
      <c r="B125" s="961" t="str">
        <f t="shared" ca="1" si="9"/>
        <v>0</v>
      </c>
      <c r="C125" s="961" t="str">
        <f ca="1">IF(Q125=0,"0",TEXT(OFFSET('5  Control Accounts'!$BK$33,R125,0),"General"))</f>
        <v>0</v>
      </c>
      <c r="D125" s="961" t="str">
        <f ca="1">IF(Q125=0,"0",TEXT(OFFSET('5  Control Accounts'!$FB$33,R125,0),"General"))</f>
        <v>0</v>
      </c>
      <c r="E125" s="1405" t="str">
        <f t="shared" ca="1" si="13"/>
        <v>0</v>
      </c>
      <c r="F125" s="1405" t="str">
        <f t="shared" ca="1" si="14"/>
        <v>0</v>
      </c>
      <c r="G125" s="1405" t="str">
        <f t="shared" ca="1" si="15"/>
        <v>0</v>
      </c>
      <c r="H125" s="961" t="str">
        <f ca="1">IF(Q125=0,"0",TEXT(OFFSET('5  Control Accounts'!$FG$33,R125,0),"##0.0"))</f>
        <v>0</v>
      </c>
      <c r="I125" s="961" t="str">
        <f ca="1">IF(Q125=0,"0",TEXT(OFFSET('5  Control Accounts'!$FH$33,R125,0),"##0.0"))</f>
        <v>0</v>
      </c>
      <c r="J125" s="961" t="str">
        <f ca="1">IF($Q125=0,"0",'1 Setup'!$I$60)</f>
        <v>0</v>
      </c>
      <c r="K125" s="961" t="str">
        <f ca="1">IF(Q125=0,"0",TEXT(OFFSET('5  Control Accounts'!$FX$33,R125,0),"##0.00"))</f>
        <v>0</v>
      </c>
      <c r="L125" s="961" t="str">
        <f ca="1">IF(Q125=0,"0",TEXT(OFFSET('5  Control Accounts'!$FY$33,R125,0),"##0.00"))</f>
        <v>0</v>
      </c>
      <c r="M125" s="1405" t="str">
        <f t="shared" ca="1" si="10"/>
        <v>0</v>
      </c>
      <c r="N125" s="1326" t="s">
        <v>1981</v>
      </c>
      <c r="O125" s="1356"/>
      <c r="Q125" s="537">
        <f ca="1">$P$2*OFFSET('5  Control Accounts'!$CP$33,R125,0)</f>
        <v>0</v>
      </c>
      <c r="R125" s="537">
        <v>119</v>
      </c>
      <c r="T125" s="1930">
        <f t="shared" ca="1" si="11"/>
        <v>0</v>
      </c>
      <c r="U125" s="1930">
        <f t="shared" ca="1" si="12"/>
        <v>0</v>
      </c>
    </row>
    <row r="126" spans="1:21" s="750" customFormat="1" ht="15.9" customHeight="1" x14ac:dyDescent="0.3">
      <c r="A126" s="961" t="str">
        <f ca="1">IF(Q126=0,"0",OFFSET('5  Control Accounts'!$BF$33,R126,0)&amp;"."&amp;OFFSET('5  Control Accounts'!$BH$33,R126,0))</f>
        <v>0</v>
      </c>
      <c r="B126" s="961" t="str">
        <f t="shared" ca="1" si="9"/>
        <v>0</v>
      </c>
      <c r="C126" s="961" t="str">
        <f ca="1">IF(Q126=0,"0",TEXT(OFFSET('5  Control Accounts'!$BK$33,R126,0),"General"))</f>
        <v>0</v>
      </c>
      <c r="D126" s="961" t="str">
        <f ca="1">IF(Q126=0,"0",TEXT(OFFSET('5  Control Accounts'!$FB$33,R126,0),"General"))</f>
        <v>0</v>
      </c>
      <c r="E126" s="1405" t="str">
        <f t="shared" ca="1" si="13"/>
        <v>0</v>
      </c>
      <c r="F126" s="1405" t="str">
        <f t="shared" ca="1" si="14"/>
        <v>0</v>
      </c>
      <c r="G126" s="1405" t="str">
        <f t="shared" ca="1" si="15"/>
        <v>0</v>
      </c>
      <c r="H126" s="961" t="str">
        <f ca="1">IF(Q126=0,"0",TEXT(OFFSET('5  Control Accounts'!$FG$33,R126,0),"##0.0"))</f>
        <v>0</v>
      </c>
      <c r="I126" s="961" t="str">
        <f ca="1">IF(Q126=0,"0",TEXT(OFFSET('5  Control Accounts'!$FH$33,R126,0),"##0.0"))</f>
        <v>0</v>
      </c>
      <c r="J126" s="961" t="str">
        <f ca="1">IF($Q126=0,"0",'1 Setup'!$I$60)</f>
        <v>0</v>
      </c>
      <c r="K126" s="961" t="str">
        <f ca="1">IF(Q126=0,"0",TEXT(OFFSET('5  Control Accounts'!$FX$33,R126,0),"##0.00"))</f>
        <v>0</v>
      </c>
      <c r="L126" s="961" t="str">
        <f ca="1">IF(Q126=0,"0",TEXT(OFFSET('5  Control Accounts'!$FY$33,R126,0),"##0.00"))</f>
        <v>0</v>
      </c>
      <c r="M126" s="1405" t="str">
        <f t="shared" ca="1" si="10"/>
        <v>0</v>
      </c>
      <c r="N126" s="1326" t="s">
        <v>1982</v>
      </c>
      <c r="O126" s="1356"/>
      <c r="Q126" s="537">
        <f ca="1">$P$2*OFFSET('5  Control Accounts'!$CP$33,R126,0)</f>
        <v>0</v>
      </c>
      <c r="R126" s="537">
        <v>120</v>
      </c>
      <c r="T126" s="1930">
        <f t="shared" ca="1" si="11"/>
        <v>0</v>
      </c>
      <c r="U126" s="1930">
        <f t="shared" ca="1" si="12"/>
        <v>0</v>
      </c>
    </row>
  </sheetData>
  <conditionalFormatting sqref="B2:N126">
    <cfRule type="expression" dxfId="95" priority="2">
      <formula>ISNONTEXT(B2)</formula>
    </cfRule>
  </conditionalFormatting>
  <conditionalFormatting sqref="P3">
    <cfRule type="expression" dxfId="94" priority="1">
      <formula>NOT(ISBLANK(P3))</formula>
    </cfRule>
  </conditionalFormatting>
  <pageMargins left="0.7" right="0.7" top="0.75" bottom="0.75" header="0.3" footer="0.3"/>
  <pageSetup paperSize="9" orientation="portrait" verticalDpi="4294967293"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tabColor rgb="FF003397"/>
  </sheetPr>
  <dimension ref="A1:P126"/>
  <sheetViews>
    <sheetView showGridLines="0" workbookViewId="0">
      <selection activeCell="H15" sqref="H15"/>
    </sheetView>
  </sheetViews>
  <sheetFormatPr defaultColWidth="9.109375" defaultRowHeight="14.4" x14ac:dyDescent="0.3"/>
  <cols>
    <col min="1" max="1" width="28.33203125" style="749" customWidth="1"/>
    <col min="2" max="2" width="10" style="749" customWidth="1"/>
    <col min="3" max="3" width="28.44140625" style="749" customWidth="1"/>
    <col min="4" max="4" width="10.6640625" style="749" customWidth="1"/>
    <col min="5" max="5" width="11.33203125" style="749" customWidth="1"/>
    <col min="6" max="6" width="10.33203125" style="749" customWidth="1"/>
    <col min="7" max="7" width="9.109375" style="745"/>
    <col min="8" max="8" width="9.109375" style="1356"/>
    <col min="9" max="10" width="9.109375" style="745"/>
    <col min="11" max="11" width="2" style="745" customWidth="1"/>
    <col min="12" max="12" width="11.6640625" style="745" customWidth="1"/>
    <col min="13" max="13" width="11.44140625" style="745" customWidth="1"/>
    <col min="14" max="16" width="9.109375" style="745"/>
    <col min="17" max="16384" width="9.109375" style="749"/>
  </cols>
  <sheetData>
    <row r="1" spans="1:13" ht="50.25" customHeight="1" thickBot="1" x14ac:dyDescent="0.35">
      <c r="A1" s="848" t="s">
        <v>100</v>
      </c>
      <c r="B1" s="848" t="s">
        <v>187</v>
      </c>
      <c r="C1" s="848" t="s">
        <v>16</v>
      </c>
      <c r="D1" s="848" t="s">
        <v>744</v>
      </c>
      <c r="E1" s="848" t="s">
        <v>745</v>
      </c>
      <c r="F1" s="848" t="s">
        <v>1033</v>
      </c>
      <c r="H1" s="2501" t="s">
        <v>2791</v>
      </c>
      <c r="I1" s="1002" t="s">
        <v>1168</v>
      </c>
      <c r="J1" s="1002" t="s">
        <v>747</v>
      </c>
      <c r="L1" s="1002" t="s">
        <v>1454</v>
      </c>
      <c r="M1" s="1002" t="s">
        <v>1455</v>
      </c>
    </row>
    <row r="2" spans="1:13" s="750" customFormat="1" ht="15.9" customHeight="1" thickBot="1" x14ac:dyDescent="0.35">
      <c r="A2" s="1400" t="str">
        <f>IF(I2=0,TEXT(0,"0"),'5  Control Accounts'!$BF29&amp;"."&amp;'5  Control Accounts'!BH29)</f>
        <v>0</v>
      </c>
      <c r="B2" s="1400" t="str">
        <f>IF(I2=0,TEXT(0,"0"),TEXT('5  Control Accounts'!BK29,"General"))</f>
        <v>0</v>
      </c>
      <c r="C2" s="1325" t="str">
        <f>IF(I2=0,TEXT(0,"0"),'5  Control Accounts'!FB29)</f>
        <v>0</v>
      </c>
      <c r="D2" s="1325" t="str">
        <f>IF(L2=0,TEXT(0,"0"),TEXT(L2,"DD/MMM/YYYY"))</f>
        <v>0</v>
      </c>
      <c r="E2" s="1325" t="str">
        <f>IF(M2=0,TEXT(0,"0"),TEXT(M2,"DD/MMM/YYYY"))</f>
        <v>0</v>
      </c>
      <c r="F2" s="1325" t="str">
        <f>IF(I2=0,TEXT(0,"0"),TEXT('5  Control Accounts'!DW29,"General"))</f>
        <v>0</v>
      </c>
      <c r="H2" s="2349">
        <f>IF(NOT(ISBLANK(H3)),1,ImportOriginalBudget!P2)</f>
        <v>0</v>
      </c>
      <c r="I2" s="2347">
        <f>$H$2*'5  Control Accounts'!CP29</f>
        <v>0</v>
      </c>
      <c r="J2" s="1003" t="s">
        <v>141</v>
      </c>
      <c r="L2" s="1408">
        <f>IF(I2=0,0,'5  Control Accounts'!FD29)</f>
        <v>0</v>
      </c>
      <c r="M2" s="1408">
        <f>IF(I2=0,0,'5  Control Accounts'!FE29)</f>
        <v>0</v>
      </c>
    </row>
    <row r="3" spans="1:13" s="750" customFormat="1" ht="15.9" customHeight="1" thickBot="1" x14ac:dyDescent="0.35">
      <c r="A3" s="1466" t="str">
        <f>IF(I3=0,TEXT(0,"0"),'5  Control Accounts'!$BF30&amp;"."&amp;'5  Control Accounts'!BH30)</f>
        <v>0</v>
      </c>
      <c r="B3" s="1466" t="str">
        <f>IF(I3=0,TEXT(0,"0"),TEXT('5  Control Accounts'!BK30,"General"))</f>
        <v>0</v>
      </c>
      <c r="C3" s="1326" t="str">
        <f>IF(I3=0,TEXT(0,"0"),'5  Control Accounts'!FB30)</f>
        <v>0</v>
      </c>
      <c r="D3" s="1326" t="str">
        <f>IF(L3=0,TEXT(0,"0"),TEXT(L3,"DD/MMM/YYYY"))</f>
        <v>0</v>
      </c>
      <c r="E3" s="1326" t="str">
        <f>IF(M3=0,TEXT(0,"0"),TEXT(M3,"DD/MMM/YYYY"))</f>
        <v>0</v>
      </c>
      <c r="F3" s="1326" t="str">
        <f>IF(I3=0,TEXT(0,"0"),TEXT('5  Control Accounts'!DW30,"General"))</f>
        <v>0</v>
      </c>
      <c r="H3" s="2349"/>
      <c r="I3" s="1003">
        <f>$H$2*'5  Control Accounts'!CP30</f>
        <v>0</v>
      </c>
      <c r="J3" s="1003" t="s">
        <v>142</v>
      </c>
      <c r="L3" s="1409">
        <f>IF(I3=0,0,'5  Control Accounts'!FD30)</f>
        <v>0</v>
      </c>
      <c r="M3" s="1409">
        <f>IF(I3=0,0,'5  Control Accounts'!FE30)</f>
        <v>0</v>
      </c>
    </row>
    <row r="4" spans="1:13" s="750" customFormat="1" ht="15.9" customHeight="1" x14ac:dyDescent="0.3">
      <c r="A4" s="1326" t="str">
        <f>IF(I4=0,TEXT(0,"0"),'5  Control Accounts'!$BF31&amp;"."&amp;'5  Control Accounts'!BH31)</f>
        <v>0</v>
      </c>
      <c r="B4" s="1326" t="str">
        <f>IF(I4=0,TEXT(0,"0"),TEXT('5  Control Accounts'!BK31,"General"))</f>
        <v>0</v>
      </c>
      <c r="C4" s="1326" t="str">
        <f>IF(I4=0,TEXT(0,"0"),'5  Control Accounts'!FB31)</f>
        <v>0</v>
      </c>
      <c r="D4" s="1326" t="str">
        <f t="shared" ref="D4:D66" si="0">IF(L4=0,TEXT(0,"0"),TEXT(L4,"DD/MMM/YYYY"))</f>
        <v>0</v>
      </c>
      <c r="E4" s="1326" t="str">
        <f t="shared" ref="E4:E66" si="1">IF(M4=0,TEXT(0,"0"),TEXT(M4,"DD/MMM/YYYY"))</f>
        <v>0</v>
      </c>
      <c r="F4" s="1326" t="str">
        <f>IF(I4=0,TEXT(0,"0"),TEXT('5  Control Accounts'!DW31,"General"))</f>
        <v>0</v>
      </c>
      <c r="H4" s="432" t="s">
        <v>4168</v>
      </c>
      <c r="I4" s="1003">
        <f>$H$2*'5  Control Accounts'!CP31</f>
        <v>0</v>
      </c>
      <c r="J4" s="1003" t="s">
        <v>143</v>
      </c>
      <c r="L4" s="1409">
        <f>IF(I4=0,0,'5  Control Accounts'!FD31)</f>
        <v>0</v>
      </c>
      <c r="M4" s="1409">
        <f>IF(I4=0,0,'5  Control Accounts'!FE31)</f>
        <v>0</v>
      </c>
    </row>
    <row r="5" spans="1:13" s="750" customFormat="1" ht="15.9" customHeight="1" x14ac:dyDescent="0.3">
      <c r="A5" s="1326" t="str">
        <f>IF(I5=0,TEXT(0,"0"),'5  Control Accounts'!$BF32&amp;"."&amp;'5  Control Accounts'!BH32)</f>
        <v>0</v>
      </c>
      <c r="B5" s="1327" t="str">
        <f>IF(I5=0,TEXT(0,"0"),TEXT('5  Control Accounts'!BK32,"General"))</f>
        <v>0</v>
      </c>
      <c r="C5" s="1327" t="str">
        <f>IF(I5=0,TEXT(0,"0"),'5  Control Accounts'!FB32)</f>
        <v>0</v>
      </c>
      <c r="D5" s="1326" t="str">
        <f t="shared" si="0"/>
        <v>0</v>
      </c>
      <c r="E5" s="1326" t="str">
        <f t="shared" si="1"/>
        <v>0</v>
      </c>
      <c r="F5" s="1327" t="str">
        <f>IF(I5=0,TEXT(0,"0"),TEXT('5  Control Accounts'!DW32,"General"))</f>
        <v>0</v>
      </c>
      <c r="I5" s="1003">
        <f>$H$2*'5  Control Accounts'!CP32</f>
        <v>0</v>
      </c>
      <c r="J5" s="1003" t="s">
        <v>144</v>
      </c>
      <c r="L5" s="1409">
        <f>IF(I5=0,0,'5  Control Accounts'!FD32)</f>
        <v>0</v>
      </c>
      <c r="M5" s="1409">
        <f>IF(I5=0,0,'5  Control Accounts'!FE32)</f>
        <v>0</v>
      </c>
    </row>
    <row r="6" spans="1:13" s="750" customFormat="1" ht="15.9" customHeight="1" thickBot="1" x14ac:dyDescent="0.35">
      <c r="A6" s="1328" t="str">
        <f>IF(I6=0,TEXT(0,"0"),'5  Control Accounts'!$BF33&amp;"."&amp;'5  Control Accounts'!BH33)</f>
        <v>0</v>
      </c>
      <c r="B6" s="1328" t="str">
        <f>IF(I6=0,TEXT(0,"0"),TEXT('5  Control Accounts'!BK33,"General"))</f>
        <v>0</v>
      </c>
      <c r="C6" s="1328" t="str">
        <f>IF(I6=0,TEXT(0,"0"),'5  Control Accounts'!FB33)</f>
        <v>0</v>
      </c>
      <c r="D6" s="1407" t="str">
        <f t="shared" si="0"/>
        <v>0</v>
      </c>
      <c r="E6" s="1407" t="str">
        <f t="shared" si="1"/>
        <v>0</v>
      </c>
      <c r="F6" s="1328" t="str">
        <f>IF(I6=0,TEXT(0,"0"),TEXT('5  Control Accounts'!DW33,"General"))</f>
        <v>0</v>
      </c>
      <c r="I6" s="1005">
        <f>$H$2*'5  Control Accounts'!CP33</f>
        <v>0</v>
      </c>
      <c r="J6" s="1005" t="s">
        <v>145</v>
      </c>
      <c r="L6" s="1410">
        <f>IF(I6=0,0,'5  Control Accounts'!FD33)</f>
        <v>0</v>
      </c>
      <c r="M6" s="1410">
        <f>IF(I6=0,0,'5  Control Accounts'!FE33)</f>
        <v>0</v>
      </c>
    </row>
    <row r="7" spans="1:13" s="750" customFormat="1" ht="15.9" customHeight="1" thickTop="1" x14ac:dyDescent="0.3">
      <c r="A7" s="961" t="str">
        <f ca="1">IF(L7=0,TEXT(0,"0"),OFFSET('5  Control Accounts'!$BF$33,J7,0)&amp;"."&amp;OFFSET('5  Control Accounts'!$BH$33,J7,0))</f>
        <v>0</v>
      </c>
      <c r="B7" s="961" t="str">
        <f ca="1">IF(I7=0,"0",OFFSET('5  Control Accounts'!$BK$33,J7,0))</f>
        <v>0</v>
      </c>
      <c r="C7" s="961" t="str">
        <f ca="1">IF(I7=0,TEXT(0,"0"),OFFSET('5  Control Accounts'!$FB$33,J7,0))</f>
        <v>0</v>
      </c>
      <c r="D7" s="961" t="str">
        <f t="shared" ca="1" si="0"/>
        <v>0</v>
      </c>
      <c r="E7" s="961" t="str">
        <f t="shared" ca="1" si="1"/>
        <v>0</v>
      </c>
      <c r="F7" s="961" t="str">
        <f ca="1">IF(L7=0,TEXT(0,"0"),TEXT(OFFSET('5  Control Accounts'!$DW$33,J7,0),"General"))</f>
        <v>0</v>
      </c>
      <c r="I7" s="1004">
        <f ca="1">$H$2*OFFSET('5  Control Accounts'!$CP$33,J7,0)</f>
        <v>0</v>
      </c>
      <c r="J7" s="1004">
        <v>1</v>
      </c>
      <c r="L7" s="1411">
        <f ca="1">IF(I7=0,0,OFFSET('5  Control Accounts'!$FD$33,J7,0))</f>
        <v>0</v>
      </c>
      <c r="M7" s="1411">
        <f ca="1">IF(I7=0,0,OFFSET('5  Control Accounts'!$FE$33,J7,0))</f>
        <v>0</v>
      </c>
    </row>
    <row r="8" spans="1:13" s="750" customFormat="1" ht="15.9" customHeight="1" x14ac:dyDescent="0.3">
      <c r="A8" s="961" t="str">
        <f ca="1">IF(L8=0,TEXT(0,"0"),OFFSET('5  Control Accounts'!$BF$33,J8,0)&amp;"."&amp;OFFSET('5  Control Accounts'!$BH$33,J8,0))</f>
        <v>0</v>
      </c>
      <c r="B8" s="961" t="str">
        <f ca="1">IF(I8=0,"0",OFFSET('5  Control Accounts'!$BK$33,J8,0))</f>
        <v>0</v>
      </c>
      <c r="C8" s="961" t="str">
        <f ca="1">IF(I8=0,TEXT(0,"0"),OFFSET('5  Control Accounts'!$FB$33,J8,0))</f>
        <v>0</v>
      </c>
      <c r="D8" s="1326" t="str">
        <f t="shared" ca="1" si="0"/>
        <v>0</v>
      </c>
      <c r="E8" s="1326" t="str">
        <f t="shared" ca="1" si="1"/>
        <v>0</v>
      </c>
      <c r="F8" s="961" t="str">
        <f ca="1">IF(L8=0,TEXT(0,"0"),TEXT(OFFSET('5  Control Accounts'!$DW$33,J8,0),"General"))</f>
        <v>0</v>
      </c>
      <c r="I8" s="1004">
        <f ca="1">$H$2*OFFSET('5  Control Accounts'!$CP$33,J8,0)</f>
        <v>0</v>
      </c>
      <c r="J8" s="537">
        <v>2</v>
      </c>
      <c r="L8" s="1409">
        <f ca="1">IF(I8=0,0,OFFSET('5  Control Accounts'!$FD$33,J8,0))</f>
        <v>0</v>
      </c>
      <c r="M8" s="1409">
        <f ca="1">IF(I8=0,0,OFFSET('5  Control Accounts'!$FE$33,J8,0))</f>
        <v>0</v>
      </c>
    </row>
    <row r="9" spans="1:13" s="750" customFormat="1" ht="15.9" customHeight="1" x14ac:dyDescent="0.3">
      <c r="A9" s="961" t="str">
        <f ca="1">IF(L9=0,TEXT(0,"0"),OFFSET('5  Control Accounts'!$BF$33,J9,0)&amp;"."&amp;OFFSET('5  Control Accounts'!$BH$33,J9,0))</f>
        <v>0</v>
      </c>
      <c r="B9" s="961" t="str">
        <f ca="1">IF(I9=0,"0",OFFSET('5  Control Accounts'!$BK$33,J9,0))</f>
        <v>0</v>
      </c>
      <c r="C9" s="961" t="str">
        <f ca="1">IF(I9=0,TEXT(0,"0"),OFFSET('5  Control Accounts'!$FB$33,J9,0))</f>
        <v>0</v>
      </c>
      <c r="D9" s="1326" t="str">
        <f t="shared" ca="1" si="0"/>
        <v>0</v>
      </c>
      <c r="E9" s="1326" t="str">
        <f t="shared" ca="1" si="1"/>
        <v>0</v>
      </c>
      <c r="F9" s="961" t="str">
        <f ca="1">IF(L9=0,TEXT(0,"0"),TEXT(OFFSET('5  Control Accounts'!$DW$33,J9,0),"General"))</f>
        <v>0</v>
      </c>
      <c r="I9" s="1004">
        <f ca="1">$H$2*OFFSET('5  Control Accounts'!$CP$33,J9,0)</f>
        <v>0</v>
      </c>
      <c r="J9" s="537">
        <v>3</v>
      </c>
      <c r="L9" s="1409">
        <f ca="1">IF(I9=0,0,OFFSET('5  Control Accounts'!$FD$33,J9,0))</f>
        <v>0</v>
      </c>
      <c r="M9" s="1409">
        <f ca="1">IF(I9=0,0,OFFSET('5  Control Accounts'!$FE$33,J9,0))</f>
        <v>0</v>
      </c>
    </row>
    <row r="10" spans="1:13" s="750" customFormat="1" ht="15.9" customHeight="1" x14ac:dyDescent="0.3">
      <c r="A10" s="961" t="str">
        <f ca="1">IF(L10=0,TEXT(0,"0"),OFFSET('5  Control Accounts'!$BF$33,J10,0)&amp;"."&amp;OFFSET('5  Control Accounts'!$BH$33,J10,0))</f>
        <v>0</v>
      </c>
      <c r="B10" s="961" t="str">
        <f ca="1">IF(I10=0,"0",OFFSET('5  Control Accounts'!$BK$33,J10,0))</f>
        <v>0</v>
      </c>
      <c r="C10" s="961" t="str">
        <f ca="1">IF(I10=0,TEXT(0,"0"),OFFSET('5  Control Accounts'!$FB$33,J10,0))</f>
        <v>0</v>
      </c>
      <c r="D10" s="1326" t="str">
        <f t="shared" ca="1" si="0"/>
        <v>0</v>
      </c>
      <c r="E10" s="1326" t="str">
        <f t="shared" ca="1" si="1"/>
        <v>0</v>
      </c>
      <c r="F10" s="961" t="str">
        <f ca="1">IF(L10=0,TEXT(0,"0"),TEXT(OFFSET('5  Control Accounts'!$DW$33,J10,0),"General"))</f>
        <v>0</v>
      </c>
      <c r="I10" s="1004">
        <f ca="1">$H$2*OFFSET('5  Control Accounts'!$CP$33,J10,0)</f>
        <v>0</v>
      </c>
      <c r="J10" s="537">
        <v>4</v>
      </c>
      <c r="L10" s="1409">
        <f ca="1">IF(I10=0,0,OFFSET('5  Control Accounts'!$FD$33,J10,0))</f>
        <v>0</v>
      </c>
      <c r="M10" s="1409">
        <f ca="1">IF(I10=0,0,OFFSET('5  Control Accounts'!$FE$33,J10,0))</f>
        <v>0</v>
      </c>
    </row>
    <row r="11" spans="1:13" s="750" customFormat="1" ht="15.9" customHeight="1" x14ac:dyDescent="0.3">
      <c r="A11" s="961" t="str">
        <f ca="1">IF(L11=0,TEXT(0,"0"),OFFSET('5  Control Accounts'!$BF$33,J11,0)&amp;"."&amp;OFFSET('5  Control Accounts'!$BH$33,J11,0))</f>
        <v>0</v>
      </c>
      <c r="B11" s="961" t="str">
        <f ca="1">IF(I11=0,"0",OFFSET('5  Control Accounts'!$BK$33,J11,0))</f>
        <v>0</v>
      </c>
      <c r="C11" s="961" t="str">
        <f ca="1">IF(I11=0,TEXT(0,"0"),OFFSET('5  Control Accounts'!$FB$33,J11,0))</f>
        <v>0</v>
      </c>
      <c r="D11" s="1326" t="str">
        <f t="shared" ca="1" si="0"/>
        <v>0</v>
      </c>
      <c r="E11" s="1326" t="str">
        <f t="shared" ca="1" si="1"/>
        <v>0</v>
      </c>
      <c r="F11" s="961" t="str">
        <f ca="1">IF(L11=0,TEXT(0,"0"),TEXT(OFFSET('5  Control Accounts'!$DW$33,J11,0),"General"))</f>
        <v>0</v>
      </c>
      <c r="I11" s="1004">
        <f ca="1">$H$2*OFFSET('5  Control Accounts'!$CP$33,J11,0)</f>
        <v>0</v>
      </c>
      <c r="J11" s="537">
        <v>5</v>
      </c>
      <c r="L11" s="1409">
        <f ca="1">IF(I11=0,0,OFFSET('5  Control Accounts'!$FD$33,J11,0))</f>
        <v>0</v>
      </c>
      <c r="M11" s="1409">
        <f ca="1">IF(I11=0,0,OFFSET('5  Control Accounts'!$FE$33,J11,0))</f>
        <v>0</v>
      </c>
    </row>
    <row r="12" spans="1:13" s="750" customFormat="1" ht="15.9" customHeight="1" x14ac:dyDescent="0.3">
      <c r="A12" s="961" t="str">
        <f ca="1">IF(L12=0,TEXT(0,"0"),OFFSET('5  Control Accounts'!$BF$33,J12,0)&amp;"."&amp;OFFSET('5  Control Accounts'!$BH$33,J12,0))</f>
        <v>0</v>
      </c>
      <c r="B12" s="961" t="str">
        <f ca="1">IF(I12=0,"0",OFFSET('5  Control Accounts'!$BK$33,J12,0))</f>
        <v>0</v>
      </c>
      <c r="C12" s="961" t="str">
        <f ca="1">IF(I12=0,TEXT(0,"0"),OFFSET('5  Control Accounts'!$FB$33,J12,0))</f>
        <v>0</v>
      </c>
      <c r="D12" s="1326" t="str">
        <f t="shared" ca="1" si="0"/>
        <v>0</v>
      </c>
      <c r="E12" s="1326" t="str">
        <f t="shared" ca="1" si="1"/>
        <v>0</v>
      </c>
      <c r="F12" s="961" t="str">
        <f ca="1">IF(L12=0,TEXT(0,"0"),TEXT(OFFSET('5  Control Accounts'!$DW$33,J12,0),"General"))</f>
        <v>0</v>
      </c>
      <c r="I12" s="1004">
        <f ca="1">$H$2*OFFSET('5  Control Accounts'!$CP$33,J12,0)</f>
        <v>0</v>
      </c>
      <c r="J12" s="537">
        <v>6</v>
      </c>
      <c r="L12" s="1409">
        <f ca="1">IF(I12=0,0,OFFSET('5  Control Accounts'!$FD$33,J12,0))</f>
        <v>0</v>
      </c>
      <c r="M12" s="1409">
        <f ca="1">IF(I12=0,0,OFFSET('5  Control Accounts'!$FE$33,J12,0))</f>
        <v>0</v>
      </c>
    </row>
    <row r="13" spans="1:13" s="750" customFormat="1" ht="15.9" customHeight="1" x14ac:dyDescent="0.3">
      <c r="A13" s="961" t="str">
        <f ca="1">IF(L13=0,TEXT(0,"0"),OFFSET('5  Control Accounts'!$BF$33,J13,0)&amp;"."&amp;OFFSET('5  Control Accounts'!$BH$33,J13,0))</f>
        <v>0</v>
      </c>
      <c r="B13" s="961" t="str">
        <f ca="1">IF(I13=0,"0",OFFSET('5  Control Accounts'!$BK$33,J13,0))</f>
        <v>0</v>
      </c>
      <c r="C13" s="961" t="str">
        <f ca="1">IF(I13=0,TEXT(0,"0"),OFFSET('5  Control Accounts'!$FB$33,J13,0))</f>
        <v>0</v>
      </c>
      <c r="D13" s="1326" t="str">
        <f t="shared" ca="1" si="0"/>
        <v>0</v>
      </c>
      <c r="E13" s="1326" t="str">
        <f t="shared" ca="1" si="1"/>
        <v>0</v>
      </c>
      <c r="F13" s="961" t="str">
        <f ca="1">IF(L13=0,TEXT(0,"0"),TEXT(OFFSET('5  Control Accounts'!$DW$33,J13,0),"General"))</f>
        <v>0</v>
      </c>
      <c r="I13" s="1004">
        <f ca="1">$H$2*OFFSET('5  Control Accounts'!$CP$33,J13,0)</f>
        <v>0</v>
      </c>
      <c r="J13" s="537">
        <v>7</v>
      </c>
      <c r="L13" s="1409">
        <f ca="1">IF(I13=0,0,OFFSET('5  Control Accounts'!$FD$33,J13,0))</f>
        <v>0</v>
      </c>
      <c r="M13" s="1409">
        <f ca="1">IF(I13=0,0,OFFSET('5  Control Accounts'!$FE$33,J13,0))</f>
        <v>0</v>
      </c>
    </row>
    <row r="14" spans="1:13" s="750" customFormat="1" ht="15.9" customHeight="1" x14ac:dyDescent="0.3">
      <c r="A14" s="961" t="str">
        <f ca="1">IF(L14=0,TEXT(0,"0"),OFFSET('5  Control Accounts'!$BF$33,J14,0)&amp;"."&amp;OFFSET('5  Control Accounts'!$BH$33,J14,0))</f>
        <v>0</v>
      </c>
      <c r="B14" s="961" t="str">
        <f ca="1">IF(I14=0,"0",OFFSET('5  Control Accounts'!$BK$33,J14,0))</f>
        <v>0</v>
      </c>
      <c r="C14" s="961" t="str">
        <f ca="1">IF(I14=0,TEXT(0,"0"),OFFSET('5  Control Accounts'!$FB$33,J14,0))</f>
        <v>0</v>
      </c>
      <c r="D14" s="1326" t="str">
        <f t="shared" ca="1" si="0"/>
        <v>0</v>
      </c>
      <c r="E14" s="1326" t="str">
        <f t="shared" ca="1" si="1"/>
        <v>0</v>
      </c>
      <c r="F14" s="961" t="str">
        <f ca="1">IF(L14=0,TEXT(0,"0"),TEXT(OFFSET('5  Control Accounts'!$DW$33,J14,0),"General"))</f>
        <v>0</v>
      </c>
      <c r="I14" s="1004">
        <f ca="1">$H$2*OFFSET('5  Control Accounts'!$CP$33,J14,0)</f>
        <v>0</v>
      </c>
      <c r="J14" s="537">
        <v>8</v>
      </c>
      <c r="L14" s="1409">
        <f ca="1">IF(I14=0,0,OFFSET('5  Control Accounts'!$FD$33,J14,0))</f>
        <v>0</v>
      </c>
      <c r="M14" s="1409">
        <f ca="1">IF(I14=0,0,OFFSET('5  Control Accounts'!$FE$33,J14,0))</f>
        <v>0</v>
      </c>
    </row>
    <row r="15" spans="1:13" s="750" customFormat="1" ht="15.9" customHeight="1" x14ac:dyDescent="0.3">
      <c r="A15" s="961" t="str">
        <f ca="1">IF(L15=0,TEXT(0,"0"),OFFSET('5  Control Accounts'!$BF$33,J15,0)&amp;"."&amp;OFFSET('5  Control Accounts'!$BH$33,J15,0))</f>
        <v>0</v>
      </c>
      <c r="B15" s="961" t="str">
        <f ca="1">IF(I15=0,"0",OFFSET('5  Control Accounts'!$BK$33,J15,0))</f>
        <v>0</v>
      </c>
      <c r="C15" s="961" t="str">
        <f ca="1">IF(I15=0,TEXT(0,"0"),OFFSET('5  Control Accounts'!$FB$33,J15,0))</f>
        <v>0</v>
      </c>
      <c r="D15" s="1326" t="str">
        <f t="shared" ca="1" si="0"/>
        <v>0</v>
      </c>
      <c r="E15" s="1326" t="str">
        <f t="shared" ca="1" si="1"/>
        <v>0</v>
      </c>
      <c r="F15" s="961" t="str">
        <f ca="1">IF(L15=0,TEXT(0,"0"),TEXT(OFFSET('5  Control Accounts'!$DW$33,J15,0),"General"))</f>
        <v>0</v>
      </c>
      <c r="I15" s="1004">
        <f ca="1">$H$2*OFFSET('5  Control Accounts'!$CP$33,J15,0)</f>
        <v>0</v>
      </c>
      <c r="J15" s="537">
        <v>9</v>
      </c>
      <c r="L15" s="1409">
        <f ca="1">IF(I15=0,0,OFFSET('5  Control Accounts'!$FD$33,J15,0))</f>
        <v>0</v>
      </c>
      <c r="M15" s="1409">
        <f ca="1">IF(I15=0,0,OFFSET('5  Control Accounts'!$FE$33,J15,0))</f>
        <v>0</v>
      </c>
    </row>
    <row r="16" spans="1:13" s="750" customFormat="1" ht="15.9" customHeight="1" x14ac:dyDescent="0.3">
      <c r="A16" s="961" t="str">
        <f ca="1">IF(L16=0,TEXT(0,"0"),OFFSET('5  Control Accounts'!$BF$33,J16,0)&amp;"."&amp;OFFSET('5  Control Accounts'!$BH$33,J16,0))</f>
        <v>0</v>
      </c>
      <c r="B16" s="961" t="str">
        <f ca="1">IF(I16=0,"0",OFFSET('5  Control Accounts'!$BK$33,J16,0))</f>
        <v>0</v>
      </c>
      <c r="C16" s="961" t="str">
        <f ca="1">IF(I16=0,TEXT(0,"0"),OFFSET('5  Control Accounts'!$FB$33,J16,0))</f>
        <v>0</v>
      </c>
      <c r="D16" s="1326" t="str">
        <f t="shared" ca="1" si="0"/>
        <v>0</v>
      </c>
      <c r="E16" s="1326" t="str">
        <f t="shared" ca="1" si="1"/>
        <v>0</v>
      </c>
      <c r="F16" s="961" t="str">
        <f ca="1">IF(L16=0,TEXT(0,"0"),TEXT(OFFSET('5  Control Accounts'!$DW$33,J16,0),"General"))</f>
        <v>0</v>
      </c>
      <c r="I16" s="1004">
        <f ca="1">$H$2*OFFSET('5  Control Accounts'!$CP$33,J16,0)</f>
        <v>0</v>
      </c>
      <c r="J16" s="537">
        <v>10</v>
      </c>
      <c r="L16" s="1409">
        <f ca="1">IF(I16=0,0,OFFSET('5  Control Accounts'!$FD$33,J16,0))</f>
        <v>0</v>
      </c>
      <c r="M16" s="1409">
        <f ca="1">IF(I16=0,0,OFFSET('5  Control Accounts'!$FE$33,J16,0))</f>
        <v>0</v>
      </c>
    </row>
    <row r="17" spans="1:13" s="750" customFormat="1" ht="15.9" customHeight="1" x14ac:dyDescent="0.3">
      <c r="A17" s="961" t="str">
        <f ca="1">IF(L17=0,TEXT(0,"0"),OFFSET('5  Control Accounts'!$BF$33,J17,0)&amp;"."&amp;OFFSET('5  Control Accounts'!$BH$33,J17,0))</f>
        <v>0</v>
      </c>
      <c r="B17" s="961" t="str">
        <f ca="1">IF(I17=0,"0",OFFSET('5  Control Accounts'!$BK$33,J17,0))</f>
        <v>0</v>
      </c>
      <c r="C17" s="961" t="str">
        <f ca="1">IF(I17=0,TEXT(0,"0"),OFFSET('5  Control Accounts'!$FB$33,J17,0))</f>
        <v>0</v>
      </c>
      <c r="D17" s="1326" t="str">
        <f t="shared" ca="1" si="0"/>
        <v>0</v>
      </c>
      <c r="E17" s="1326" t="str">
        <f t="shared" ca="1" si="1"/>
        <v>0</v>
      </c>
      <c r="F17" s="961" t="str">
        <f ca="1">IF(L17=0,TEXT(0,"0"),TEXT(OFFSET('5  Control Accounts'!$DW$33,J17,0),"General"))</f>
        <v>0</v>
      </c>
      <c r="I17" s="1004">
        <f ca="1">$H$2*OFFSET('5  Control Accounts'!$CP$33,J17,0)</f>
        <v>0</v>
      </c>
      <c r="J17" s="537">
        <v>11</v>
      </c>
      <c r="L17" s="1409">
        <f ca="1">IF(I17=0,0,OFFSET('5  Control Accounts'!$FD$33,J17,0))</f>
        <v>0</v>
      </c>
      <c r="M17" s="1409">
        <f ca="1">IF(I17=0,0,OFFSET('5  Control Accounts'!$FE$33,J17,0))</f>
        <v>0</v>
      </c>
    </row>
    <row r="18" spans="1:13" s="750" customFormat="1" ht="15.9" customHeight="1" x14ac:dyDescent="0.3">
      <c r="A18" s="961" t="str">
        <f ca="1">IF(L18=0,TEXT(0,"0"),OFFSET('5  Control Accounts'!$BF$33,J18,0)&amp;"."&amp;OFFSET('5  Control Accounts'!$BH$33,J18,0))</f>
        <v>0</v>
      </c>
      <c r="B18" s="961" t="str">
        <f ca="1">IF(I18=0,"0",OFFSET('5  Control Accounts'!$BK$33,J18,0))</f>
        <v>0</v>
      </c>
      <c r="C18" s="961" t="str">
        <f ca="1">IF(I18=0,TEXT(0,"0"),OFFSET('5  Control Accounts'!$FB$33,J18,0))</f>
        <v>0</v>
      </c>
      <c r="D18" s="1326" t="str">
        <f t="shared" ca="1" si="0"/>
        <v>0</v>
      </c>
      <c r="E18" s="1326" t="str">
        <f t="shared" ca="1" si="1"/>
        <v>0</v>
      </c>
      <c r="F18" s="961" t="str">
        <f ca="1">IF(L18=0,TEXT(0,"0"),TEXT(OFFSET('5  Control Accounts'!$DW$33,J18,0),"General"))</f>
        <v>0</v>
      </c>
      <c r="I18" s="1004">
        <f ca="1">$H$2*OFFSET('5  Control Accounts'!$CP$33,J18,0)</f>
        <v>0</v>
      </c>
      <c r="J18" s="537">
        <v>12</v>
      </c>
      <c r="L18" s="1409">
        <f ca="1">IF(I18=0,0,OFFSET('5  Control Accounts'!$FD$33,J18,0))</f>
        <v>0</v>
      </c>
      <c r="M18" s="1409">
        <f ca="1">IF(I18=0,0,OFFSET('5  Control Accounts'!$FE$33,J18,0))</f>
        <v>0</v>
      </c>
    </row>
    <row r="19" spans="1:13" s="750" customFormat="1" ht="15.9" customHeight="1" x14ac:dyDescent="0.3">
      <c r="A19" s="961" t="str">
        <f ca="1">IF(L19=0,TEXT(0,"0"),OFFSET('5  Control Accounts'!$BF$33,J19,0)&amp;"."&amp;OFFSET('5  Control Accounts'!$BH$33,J19,0))</f>
        <v>0</v>
      </c>
      <c r="B19" s="961" t="str">
        <f ca="1">IF(I19=0,"0",OFFSET('5  Control Accounts'!$BK$33,J19,0))</f>
        <v>0</v>
      </c>
      <c r="C19" s="961" t="str">
        <f ca="1">IF(I19=0,TEXT(0,"0"),OFFSET('5  Control Accounts'!$FB$33,J19,0))</f>
        <v>0</v>
      </c>
      <c r="D19" s="1326" t="str">
        <f t="shared" ca="1" si="0"/>
        <v>0</v>
      </c>
      <c r="E19" s="1326" t="str">
        <f t="shared" ca="1" si="1"/>
        <v>0</v>
      </c>
      <c r="F19" s="961" t="str">
        <f ca="1">IF(L19=0,TEXT(0,"0"),TEXT(OFFSET('5  Control Accounts'!$DW$33,J19,0),"General"))</f>
        <v>0</v>
      </c>
      <c r="I19" s="1004">
        <f ca="1">$H$2*OFFSET('5  Control Accounts'!$CP$33,J19,0)</f>
        <v>0</v>
      </c>
      <c r="J19" s="537">
        <v>13</v>
      </c>
      <c r="L19" s="1409">
        <f ca="1">IF(I19=0,0,OFFSET('5  Control Accounts'!$FD$33,J19,0))</f>
        <v>0</v>
      </c>
      <c r="M19" s="1409">
        <f ca="1">IF(I19=0,0,OFFSET('5  Control Accounts'!$FE$33,J19,0))</f>
        <v>0</v>
      </c>
    </row>
    <row r="20" spans="1:13" s="750" customFormat="1" ht="15.9" customHeight="1" x14ac:dyDescent="0.3">
      <c r="A20" s="961" t="str">
        <f ca="1">IF(L20=0,TEXT(0,"0"),OFFSET('5  Control Accounts'!$BF$33,J20,0)&amp;"."&amp;OFFSET('5  Control Accounts'!$BH$33,J20,0))</f>
        <v>0</v>
      </c>
      <c r="B20" s="961" t="str">
        <f ca="1">IF(I20=0,"0",OFFSET('5  Control Accounts'!$BK$33,J20,0))</f>
        <v>0</v>
      </c>
      <c r="C20" s="961" t="str">
        <f ca="1">IF(I20=0,TEXT(0,"0"),OFFSET('5  Control Accounts'!$FB$33,J20,0))</f>
        <v>0</v>
      </c>
      <c r="D20" s="1326" t="str">
        <f t="shared" ca="1" si="0"/>
        <v>0</v>
      </c>
      <c r="E20" s="1326" t="str">
        <f t="shared" ca="1" si="1"/>
        <v>0</v>
      </c>
      <c r="F20" s="961" t="str">
        <f ca="1">IF(L20=0,TEXT(0,"0"),TEXT(OFFSET('5  Control Accounts'!$DW$33,J20,0),"General"))</f>
        <v>0</v>
      </c>
      <c r="I20" s="1004">
        <f ca="1">$H$2*OFFSET('5  Control Accounts'!$CP$33,J20,0)</f>
        <v>0</v>
      </c>
      <c r="J20" s="537">
        <v>14</v>
      </c>
      <c r="L20" s="1409">
        <f ca="1">IF(I20=0,0,OFFSET('5  Control Accounts'!$FD$33,J20,0))</f>
        <v>0</v>
      </c>
      <c r="M20" s="1409">
        <f ca="1">IF(I20=0,0,OFFSET('5  Control Accounts'!$FE$33,J20,0))</f>
        <v>0</v>
      </c>
    </row>
    <row r="21" spans="1:13" s="750" customFormat="1" ht="15.9" customHeight="1" x14ac:dyDescent="0.3">
      <c r="A21" s="961" t="str">
        <f ca="1">IF(L21=0,TEXT(0,"0"),OFFSET('5  Control Accounts'!$BF$33,J21,0)&amp;"."&amp;OFFSET('5  Control Accounts'!$BH$33,J21,0))</f>
        <v>0</v>
      </c>
      <c r="B21" s="961" t="str">
        <f ca="1">IF(I21=0,"0",OFFSET('5  Control Accounts'!$BK$33,J21,0))</f>
        <v>0</v>
      </c>
      <c r="C21" s="961" t="str">
        <f ca="1">IF(I21=0,TEXT(0,"0"),OFFSET('5  Control Accounts'!$FB$33,J21,0))</f>
        <v>0</v>
      </c>
      <c r="D21" s="1326" t="str">
        <f t="shared" ca="1" si="0"/>
        <v>0</v>
      </c>
      <c r="E21" s="1326" t="str">
        <f t="shared" ca="1" si="1"/>
        <v>0</v>
      </c>
      <c r="F21" s="961" t="str">
        <f ca="1">IF(L21=0,TEXT(0,"0"),TEXT(OFFSET('5  Control Accounts'!$DW$33,J21,0),"General"))</f>
        <v>0</v>
      </c>
      <c r="I21" s="1004">
        <f ca="1">$H$2*OFFSET('5  Control Accounts'!$CP$33,J21,0)</f>
        <v>0</v>
      </c>
      <c r="J21" s="537">
        <v>15</v>
      </c>
      <c r="L21" s="1409">
        <f ca="1">IF(I21=0,0,OFFSET('5  Control Accounts'!$FD$33,J21,0))</f>
        <v>0</v>
      </c>
      <c r="M21" s="1409">
        <f ca="1">IF(I21=0,0,OFFSET('5  Control Accounts'!$FE$33,J21,0))</f>
        <v>0</v>
      </c>
    </row>
    <row r="22" spans="1:13" s="750" customFormat="1" ht="15.9" customHeight="1" x14ac:dyDescent="0.3">
      <c r="A22" s="961" t="str">
        <f ca="1">IF(L22=0,TEXT(0,"0"),OFFSET('5  Control Accounts'!$BF$33,J22,0)&amp;"."&amp;OFFSET('5  Control Accounts'!$BH$33,J22,0))</f>
        <v>0</v>
      </c>
      <c r="B22" s="961" t="str">
        <f ca="1">IF(I22=0,"0",OFFSET('5  Control Accounts'!$BK$33,J22,0))</f>
        <v>0</v>
      </c>
      <c r="C22" s="961" t="str">
        <f ca="1">IF(I22=0,TEXT(0,"0"),OFFSET('5  Control Accounts'!$FB$33,J22,0))</f>
        <v>0</v>
      </c>
      <c r="D22" s="1326" t="str">
        <f t="shared" ca="1" si="0"/>
        <v>0</v>
      </c>
      <c r="E22" s="1326" t="str">
        <f t="shared" ca="1" si="1"/>
        <v>0</v>
      </c>
      <c r="F22" s="961" t="str">
        <f ca="1">IF(L22=0,TEXT(0,"0"),TEXT(OFFSET('5  Control Accounts'!$DW$33,J22,0),"General"))</f>
        <v>0</v>
      </c>
      <c r="I22" s="1004">
        <f ca="1">$H$2*OFFSET('5  Control Accounts'!$CP$33,J22,0)</f>
        <v>0</v>
      </c>
      <c r="J22" s="537">
        <v>16</v>
      </c>
      <c r="L22" s="1409">
        <f ca="1">IF(I22=0,0,OFFSET('5  Control Accounts'!$FD$33,J22,0))</f>
        <v>0</v>
      </c>
      <c r="M22" s="1409">
        <f ca="1">IF(I22=0,0,OFFSET('5  Control Accounts'!$FE$33,J22,0))</f>
        <v>0</v>
      </c>
    </row>
    <row r="23" spans="1:13" s="750" customFormat="1" ht="15.9" customHeight="1" x14ac:dyDescent="0.3">
      <c r="A23" s="961" t="str">
        <f ca="1">IF(L23=0,TEXT(0,"0"),OFFSET('5  Control Accounts'!$BF$33,J23,0)&amp;"."&amp;OFFSET('5  Control Accounts'!$BH$33,J23,0))</f>
        <v>0</v>
      </c>
      <c r="B23" s="961" t="str">
        <f ca="1">IF(I23=0,"0",OFFSET('5  Control Accounts'!$BK$33,J23,0))</f>
        <v>0</v>
      </c>
      <c r="C23" s="961" t="str">
        <f ca="1">IF(I23=0,TEXT(0,"0"),OFFSET('5  Control Accounts'!$FB$33,J23,0))</f>
        <v>0</v>
      </c>
      <c r="D23" s="1326" t="str">
        <f t="shared" ca="1" si="0"/>
        <v>0</v>
      </c>
      <c r="E23" s="1326" t="str">
        <f t="shared" ca="1" si="1"/>
        <v>0</v>
      </c>
      <c r="F23" s="961" t="str">
        <f ca="1">IF(L23=0,TEXT(0,"0"),TEXT(OFFSET('5  Control Accounts'!$DW$33,J23,0),"General"))</f>
        <v>0</v>
      </c>
      <c r="I23" s="1004">
        <f ca="1">$H$2*OFFSET('5  Control Accounts'!$CP$33,J23,0)</f>
        <v>0</v>
      </c>
      <c r="J23" s="537">
        <v>17</v>
      </c>
      <c r="L23" s="1409">
        <f ca="1">IF(I23=0,0,OFFSET('5  Control Accounts'!$FD$33,J23,0))</f>
        <v>0</v>
      </c>
      <c r="M23" s="1409">
        <f ca="1">IF(I23=0,0,OFFSET('5  Control Accounts'!$FE$33,J23,0))</f>
        <v>0</v>
      </c>
    </row>
    <row r="24" spans="1:13" s="750" customFormat="1" ht="15.9" customHeight="1" x14ac:dyDescent="0.3">
      <c r="A24" s="961" t="str">
        <f ca="1">IF(L24=0,TEXT(0,"0"),OFFSET('5  Control Accounts'!$BF$33,J24,0)&amp;"."&amp;OFFSET('5  Control Accounts'!$BH$33,J24,0))</f>
        <v>0</v>
      </c>
      <c r="B24" s="961" t="str">
        <f ca="1">IF(I24=0,"0",OFFSET('5  Control Accounts'!$BK$33,J24,0))</f>
        <v>0</v>
      </c>
      <c r="C24" s="961" t="str">
        <f ca="1">IF(I24=0,TEXT(0,"0"),OFFSET('5  Control Accounts'!$FB$33,J24,0))</f>
        <v>0</v>
      </c>
      <c r="D24" s="1326" t="str">
        <f t="shared" ca="1" si="0"/>
        <v>0</v>
      </c>
      <c r="E24" s="1326" t="str">
        <f t="shared" ca="1" si="1"/>
        <v>0</v>
      </c>
      <c r="F24" s="961" t="str">
        <f ca="1">IF(L24=0,TEXT(0,"0"),TEXT(OFFSET('5  Control Accounts'!$DW$33,J24,0),"General"))</f>
        <v>0</v>
      </c>
      <c r="I24" s="1004">
        <f ca="1">$H$2*OFFSET('5  Control Accounts'!$CP$33,J24,0)</f>
        <v>0</v>
      </c>
      <c r="J24" s="537">
        <v>18</v>
      </c>
      <c r="L24" s="1409">
        <f ca="1">IF(I24=0,0,OFFSET('5  Control Accounts'!$FD$33,J24,0))</f>
        <v>0</v>
      </c>
      <c r="M24" s="1409">
        <f ca="1">IF(I24=0,0,OFFSET('5  Control Accounts'!$FE$33,J24,0))</f>
        <v>0</v>
      </c>
    </row>
    <row r="25" spans="1:13" s="750" customFormat="1" ht="15.9" customHeight="1" x14ac:dyDescent="0.3">
      <c r="A25" s="961" t="str">
        <f ca="1">IF(L25=0,TEXT(0,"0"),OFFSET('5  Control Accounts'!$BF$33,J25,0)&amp;"."&amp;OFFSET('5  Control Accounts'!$BH$33,J25,0))</f>
        <v>0</v>
      </c>
      <c r="B25" s="961" t="str">
        <f ca="1">IF(I25=0,"0",OFFSET('5  Control Accounts'!$BK$33,J25,0))</f>
        <v>0</v>
      </c>
      <c r="C25" s="961" t="str">
        <f ca="1">IF(I25=0,TEXT(0,"0"),OFFSET('5  Control Accounts'!$FB$33,J25,0))</f>
        <v>0</v>
      </c>
      <c r="D25" s="1326" t="str">
        <f t="shared" ca="1" si="0"/>
        <v>0</v>
      </c>
      <c r="E25" s="1326" t="str">
        <f t="shared" ca="1" si="1"/>
        <v>0</v>
      </c>
      <c r="F25" s="961" t="str">
        <f ca="1">IF(L25=0,TEXT(0,"0"),TEXT(OFFSET('5  Control Accounts'!$DW$33,J25,0),"General"))</f>
        <v>0</v>
      </c>
      <c r="I25" s="1004">
        <f ca="1">$H$2*OFFSET('5  Control Accounts'!$CP$33,J25,0)</f>
        <v>0</v>
      </c>
      <c r="J25" s="537">
        <v>19</v>
      </c>
      <c r="L25" s="1409">
        <f ca="1">IF(I25=0,0,OFFSET('5  Control Accounts'!$FD$33,J25,0))</f>
        <v>0</v>
      </c>
      <c r="M25" s="1409">
        <f ca="1">IF(I25=0,0,OFFSET('5  Control Accounts'!$FE$33,J25,0))</f>
        <v>0</v>
      </c>
    </row>
    <row r="26" spans="1:13" s="750" customFormat="1" ht="15.9" customHeight="1" x14ac:dyDescent="0.3">
      <c r="A26" s="961" t="str">
        <f ca="1">IF(L26=0,TEXT(0,"0"),OFFSET('5  Control Accounts'!$BF$33,J26,0)&amp;"."&amp;OFFSET('5  Control Accounts'!$BH$33,J26,0))</f>
        <v>0</v>
      </c>
      <c r="B26" s="961" t="str">
        <f ca="1">IF(I26=0,"0",OFFSET('5  Control Accounts'!$BK$33,J26,0))</f>
        <v>0</v>
      </c>
      <c r="C26" s="961" t="str">
        <f ca="1">IF(I26=0,TEXT(0,"0"),OFFSET('5  Control Accounts'!$FB$33,J26,0))</f>
        <v>0</v>
      </c>
      <c r="D26" s="1326" t="str">
        <f t="shared" ca="1" si="0"/>
        <v>0</v>
      </c>
      <c r="E26" s="1326" t="str">
        <f t="shared" ca="1" si="1"/>
        <v>0</v>
      </c>
      <c r="F26" s="961" t="str">
        <f ca="1">IF(L26=0,TEXT(0,"0"),TEXT(OFFSET('5  Control Accounts'!$DW$33,J26,0),"General"))</f>
        <v>0</v>
      </c>
      <c r="I26" s="1004">
        <f ca="1">$H$2*OFFSET('5  Control Accounts'!$CP$33,J26,0)</f>
        <v>0</v>
      </c>
      <c r="J26" s="537">
        <v>20</v>
      </c>
      <c r="L26" s="1409">
        <f ca="1">IF(I26=0,0,OFFSET('5  Control Accounts'!$FD$33,J26,0))</f>
        <v>0</v>
      </c>
      <c r="M26" s="1409">
        <f ca="1">IF(I26=0,0,OFFSET('5  Control Accounts'!$FE$33,J26,0))</f>
        <v>0</v>
      </c>
    </row>
    <row r="27" spans="1:13" s="750" customFormat="1" ht="15.9" customHeight="1" x14ac:dyDescent="0.3">
      <c r="A27" s="961" t="str">
        <f ca="1">IF(L27=0,TEXT(0,"0"),OFFSET('5  Control Accounts'!$BF$33,J27,0)&amp;"."&amp;OFFSET('5  Control Accounts'!$BH$33,J27,0))</f>
        <v>0</v>
      </c>
      <c r="B27" s="961" t="str">
        <f ca="1">IF(I27=0,"0",OFFSET('5  Control Accounts'!$BK$33,J27,0))</f>
        <v>0</v>
      </c>
      <c r="C27" s="961" t="str">
        <f ca="1">IF(I27=0,TEXT(0,"0"),OFFSET('5  Control Accounts'!$FB$33,J27,0))</f>
        <v>0</v>
      </c>
      <c r="D27" s="1326" t="str">
        <f t="shared" ca="1" si="0"/>
        <v>0</v>
      </c>
      <c r="E27" s="1326" t="str">
        <f t="shared" ca="1" si="1"/>
        <v>0</v>
      </c>
      <c r="F27" s="961" t="str">
        <f ca="1">IF(L27=0,TEXT(0,"0"),TEXT(OFFSET('5  Control Accounts'!$DW$33,J27,0),"General"))</f>
        <v>0</v>
      </c>
      <c r="I27" s="1004">
        <f ca="1">$H$2*OFFSET('5  Control Accounts'!$CP$33,J27,0)</f>
        <v>0</v>
      </c>
      <c r="J27" s="537">
        <v>21</v>
      </c>
      <c r="L27" s="1409">
        <f ca="1">IF(I27=0,0,OFFSET('5  Control Accounts'!$FD$33,J27,0))</f>
        <v>0</v>
      </c>
      <c r="M27" s="1409">
        <f ca="1">IF(I27=0,0,OFFSET('5  Control Accounts'!$FE$33,J27,0))</f>
        <v>0</v>
      </c>
    </row>
    <row r="28" spans="1:13" s="750" customFormat="1" ht="15.9" customHeight="1" x14ac:dyDescent="0.3">
      <c r="A28" s="961" t="str">
        <f ca="1">IF(L28=0,TEXT(0,"0"),OFFSET('5  Control Accounts'!$BF$33,J28,0)&amp;"."&amp;OFFSET('5  Control Accounts'!$BH$33,J28,0))</f>
        <v>0</v>
      </c>
      <c r="B28" s="961" t="str">
        <f ca="1">IF(I28=0,"0",OFFSET('5  Control Accounts'!$BK$33,J28,0))</f>
        <v>0</v>
      </c>
      <c r="C28" s="961" t="str">
        <f ca="1">IF(I28=0,TEXT(0,"0"),OFFSET('5  Control Accounts'!$FB$33,J28,0))</f>
        <v>0</v>
      </c>
      <c r="D28" s="1326" t="str">
        <f t="shared" ca="1" si="0"/>
        <v>0</v>
      </c>
      <c r="E28" s="1326" t="str">
        <f t="shared" ca="1" si="1"/>
        <v>0</v>
      </c>
      <c r="F28" s="961" t="str">
        <f ca="1">IF(L28=0,TEXT(0,"0"),TEXT(OFFSET('5  Control Accounts'!$DW$33,J28,0),"General"))</f>
        <v>0</v>
      </c>
      <c r="I28" s="1004">
        <f ca="1">$H$2*OFFSET('5  Control Accounts'!$CP$33,J28,0)</f>
        <v>0</v>
      </c>
      <c r="J28" s="537">
        <v>22</v>
      </c>
      <c r="L28" s="1409">
        <f ca="1">IF(I28=0,0,OFFSET('5  Control Accounts'!$FD$33,J28,0))</f>
        <v>0</v>
      </c>
      <c r="M28" s="1409">
        <f ca="1">IF(I28=0,0,OFFSET('5  Control Accounts'!$FE$33,J28,0))</f>
        <v>0</v>
      </c>
    </row>
    <row r="29" spans="1:13" s="750" customFormat="1" ht="15.9" customHeight="1" x14ac:dyDescent="0.3">
      <c r="A29" s="961" t="str">
        <f ca="1">IF(L29=0,TEXT(0,"0"),OFFSET('5  Control Accounts'!$BF$33,J29,0)&amp;"."&amp;OFFSET('5  Control Accounts'!$BH$33,J29,0))</f>
        <v>0</v>
      </c>
      <c r="B29" s="961" t="str">
        <f ca="1">IF(I29=0,"0",OFFSET('5  Control Accounts'!$BK$33,J29,0))</f>
        <v>0</v>
      </c>
      <c r="C29" s="961" t="str">
        <f ca="1">IF(I29=0,TEXT(0,"0"),OFFSET('5  Control Accounts'!$FB$33,J29,0))</f>
        <v>0</v>
      </c>
      <c r="D29" s="1326" t="str">
        <f t="shared" ca="1" si="0"/>
        <v>0</v>
      </c>
      <c r="E29" s="1326" t="str">
        <f t="shared" ca="1" si="1"/>
        <v>0</v>
      </c>
      <c r="F29" s="961" t="str">
        <f ca="1">IF(L29=0,TEXT(0,"0"),TEXT(OFFSET('5  Control Accounts'!$DW$33,J29,0),"General"))</f>
        <v>0</v>
      </c>
      <c r="I29" s="1004">
        <f ca="1">$H$2*OFFSET('5  Control Accounts'!$CP$33,J29,0)</f>
        <v>0</v>
      </c>
      <c r="J29" s="537">
        <v>23</v>
      </c>
      <c r="L29" s="1409">
        <f ca="1">IF(I29=0,0,OFFSET('5  Control Accounts'!$FD$33,J29,0))</f>
        <v>0</v>
      </c>
      <c r="M29" s="1409">
        <f ca="1">IF(I29=0,0,OFFSET('5  Control Accounts'!$FE$33,J29,0))</f>
        <v>0</v>
      </c>
    </row>
    <row r="30" spans="1:13" s="750" customFormat="1" ht="15.9" customHeight="1" x14ac:dyDescent="0.3">
      <c r="A30" s="961" t="str">
        <f ca="1">IF(L30=0,TEXT(0,"0"),OFFSET('5  Control Accounts'!$BF$33,J30,0)&amp;"."&amp;OFFSET('5  Control Accounts'!$BH$33,J30,0))</f>
        <v>0</v>
      </c>
      <c r="B30" s="961" t="str">
        <f ca="1">IF(I30=0,"0",OFFSET('5  Control Accounts'!$BK$33,J30,0))</f>
        <v>0</v>
      </c>
      <c r="C30" s="961" t="str">
        <f ca="1">IF(I30=0,TEXT(0,"0"),OFFSET('5  Control Accounts'!$FB$33,J30,0))</f>
        <v>0</v>
      </c>
      <c r="D30" s="1326" t="str">
        <f t="shared" ca="1" si="0"/>
        <v>0</v>
      </c>
      <c r="E30" s="1326" t="str">
        <f t="shared" ca="1" si="1"/>
        <v>0</v>
      </c>
      <c r="F30" s="961" t="str">
        <f ca="1">IF(L30=0,TEXT(0,"0"),TEXT(OFFSET('5  Control Accounts'!$DW$33,J30,0),"General"))</f>
        <v>0</v>
      </c>
      <c r="I30" s="1004">
        <f ca="1">$H$2*OFFSET('5  Control Accounts'!$CP$33,J30,0)</f>
        <v>0</v>
      </c>
      <c r="J30" s="537">
        <v>24</v>
      </c>
      <c r="L30" s="1409">
        <f ca="1">IF(I30=0,0,OFFSET('5  Control Accounts'!$FD$33,J30,0))</f>
        <v>0</v>
      </c>
      <c r="M30" s="1409">
        <f ca="1">IF(I30=0,0,OFFSET('5  Control Accounts'!$FE$33,J30,0))</f>
        <v>0</v>
      </c>
    </row>
    <row r="31" spans="1:13" s="750" customFormat="1" ht="15.9" customHeight="1" x14ac:dyDescent="0.3">
      <c r="A31" s="961" t="str">
        <f ca="1">IF(L31=0,TEXT(0,"0"),OFFSET('5  Control Accounts'!$BF$33,J31,0)&amp;"."&amp;OFFSET('5  Control Accounts'!$BH$33,J31,0))</f>
        <v>0</v>
      </c>
      <c r="B31" s="961" t="str">
        <f ca="1">IF(I31=0,"0",OFFSET('5  Control Accounts'!$BK$33,J31,0))</f>
        <v>0</v>
      </c>
      <c r="C31" s="961" t="str">
        <f ca="1">IF(I31=0,TEXT(0,"0"),OFFSET('5  Control Accounts'!$FB$33,J31,0))</f>
        <v>0</v>
      </c>
      <c r="D31" s="1326" t="str">
        <f t="shared" ca="1" si="0"/>
        <v>0</v>
      </c>
      <c r="E31" s="1326" t="str">
        <f t="shared" ca="1" si="1"/>
        <v>0</v>
      </c>
      <c r="F31" s="961" t="str">
        <f ca="1">IF(L31=0,TEXT(0,"0"),TEXT(OFFSET('5  Control Accounts'!$DW$33,J31,0),"General"))</f>
        <v>0</v>
      </c>
      <c r="I31" s="1004">
        <f ca="1">$H$2*OFFSET('5  Control Accounts'!$CP$33,J31,0)</f>
        <v>0</v>
      </c>
      <c r="J31" s="537">
        <v>25</v>
      </c>
      <c r="L31" s="1409">
        <f ca="1">IF(I31=0,0,OFFSET('5  Control Accounts'!$FD$33,J31,0))</f>
        <v>0</v>
      </c>
      <c r="M31" s="1409">
        <f ca="1">IF(I31=0,0,OFFSET('5  Control Accounts'!$FE$33,J31,0))</f>
        <v>0</v>
      </c>
    </row>
    <row r="32" spans="1:13" s="750" customFormat="1" ht="15.9" customHeight="1" x14ac:dyDescent="0.3">
      <c r="A32" s="961" t="str">
        <f ca="1">IF(L32=0,TEXT(0,"0"),OFFSET('5  Control Accounts'!$BF$33,J32,0)&amp;"."&amp;OFFSET('5  Control Accounts'!$BH$33,J32,0))</f>
        <v>0</v>
      </c>
      <c r="B32" s="961" t="str">
        <f ca="1">IF(I32=0,"0",OFFSET('5  Control Accounts'!$BK$33,J32,0))</f>
        <v>0</v>
      </c>
      <c r="C32" s="961" t="str">
        <f ca="1">IF(I32=0,TEXT(0,"0"),OFFSET('5  Control Accounts'!$FB$33,J32,0))</f>
        <v>0</v>
      </c>
      <c r="D32" s="1326" t="str">
        <f t="shared" ca="1" si="0"/>
        <v>0</v>
      </c>
      <c r="E32" s="1326" t="str">
        <f t="shared" ca="1" si="1"/>
        <v>0</v>
      </c>
      <c r="F32" s="961" t="str">
        <f ca="1">IF(L32=0,TEXT(0,"0"),TEXT(OFFSET('5  Control Accounts'!$DW$33,J32,0),"General"))</f>
        <v>0</v>
      </c>
      <c r="I32" s="1004">
        <f ca="1">$H$2*OFFSET('5  Control Accounts'!$CP$33,J32,0)</f>
        <v>0</v>
      </c>
      <c r="J32" s="537">
        <v>26</v>
      </c>
      <c r="L32" s="1409">
        <f ca="1">IF(I32=0,0,OFFSET('5  Control Accounts'!$FD$33,J32,0))</f>
        <v>0</v>
      </c>
      <c r="M32" s="1409">
        <f ca="1">IF(I32=0,0,OFFSET('5  Control Accounts'!$FE$33,J32,0))</f>
        <v>0</v>
      </c>
    </row>
    <row r="33" spans="1:16" x14ac:dyDescent="0.3">
      <c r="A33" s="961" t="str">
        <f ca="1">IF(L33=0,TEXT(0,"0"),OFFSET('5  Control Accounts'!$BF$33,J33,0)&amp;"."&amp;OFFSET('5  Control Accounts'!$BH$33,J33,0))</f>
        <v>0</v>
      </c>
      <c r="B33" s="961" t="str">
        <f ca="1">IF(I33=0,"0",OFFSET('5  Control Accounts'!$BK$33,J33,0))</f>
        <v>0</v>
      </c>
      <c r="C33" s="961" t="str">
        <f ca="1">IF(I33=0,TEXT(0,"0"),OFFSET('5  Control Accounts'!$FB$33,J33,0))</f>
        <v>0</v>
      </c>
      <c r="D33" s="1326" t="str">
        <f t="shared" ca="1" si="0"/>
        <v>0</v>
      </c>
      <c r="E33" s="1326" t="str">
        <f t="shared" ca="1" si="1"/>
        <v>0</v>
      </c>
      <c r="F33" s="961" t="str">
        <f ca="1">IF(L33=0,TEXT(0,"0"),TEXT(OFFSET('5  Control Accounts'!$DW$33,J33,0),"General"))</f>
        <v>0</v>
      </c>
      <c r="G33" s="750"/>
      <c r="H33" s="750"/>
      <c r="I33" s="1004">
        <f ca="1">$H$2*OFFSET('5  Control Accounts'!$CP$33,J33,0)</f>
        <v>0</v>
      </c>
      <c r="J33" s="537">
        <v>27</v>
      </c>
      <c r="L33" s="1409">
        <f ca="1">IF(I33=0,0,OFFSET('5  Control Accounts'!$FD$33,J33,0))</f>
        <v>0</v>
      </c>
      <c r="M33" s="1409">
        <f ca="1">IF(I33=0,0,OFFSET('5  Control Accounts'!$FE$33,J33,0))</f>
        <v>0</v>
      </c>
    </row>
    <row r="34" spans="1:16" x14ac:dyDescent="0.3">
      <c r="A34" s="961" t="str">
        <f ca="1">IF(L34=0,TEXT(0,"0"),OFFSET('5  Control Accounts'!$BF$33,J34,0)&amp;"."&amp;OFFSET('5  Control Accounts'!$BH$33,J34,0))</f>
        <v>0</v>
      </c>
      <c r="B34" s="961" t="str">
        <f ca="1">IF(I34=0,"0",OFFSET('5  Control Accounts'!$BK$33,J34,0))</f>
        <v>0</v>
      </c>
      <c r="C34" s="961" t="str">
        <f ca="1">IF(I34=0,TEXT(0,"0"),OFFSET('5  Control Accounts'!$FB$33,J34,0))</f>
        <v>0</v>
      </c>
      <c r="D34" s="1326" t="str">
        <f t="shared" ca="1" si="0"/>
        <v>0</v>
      </c>
      <c r="E34" s="1326" t="str">
        <f t="shared" ca="1" si="1"/>
        <v>0</v>
      </c>
      <c r="F34" s="961" t="str">
        <f ca="1">IF(L34=0,TEXT(0,"0"),TEXT(OFFSET('5  Control Accounts'!$DW$33,J34,0),"General"))</f>
        <v>0</v>
      </c>
      <c r="G34" s="750"/>
      <c r="H34" s="750"/>
      <c r="I34" s="1004">
        <f ca="1">$H$2*OFFSET('5  Control Accounts'!$CP$33,J34,0)</f>
        <v>0</v>
      </c>
      <c r="J34" s="537">
        <v>28</v>
      </c>
      <c r="L34" s="1409">
        <f ca="1">IF(I34=0,0,OFFSET('5  Control Accounts'!$FD$33,J34,0))</f>
        <v>0</v>
      </c>
      <c r="M34" s="1409">
        <f ca="1">IF(I34=0,0,OFFSET('5  Control Accounts'!$FE$33,J34,0))</f>
        <v>0</v>
      </c>
    </row>
    <row r="35" spans="1:16" x14ac:dyDescent="0.3">
      <c r="A35" s="961" t="str">
        <f ca="1">IF(L35=0,TEXT(0,"0"),OFFSET('5  Control Accounts'!$BF$33,J35,0)&amp;"."&amp;OFFSET('5  Control Accounts'!$BH$33,J35,0))</f>
        <v>0</v>
      </c>
      <c r="B35" s="961" t="str">
        <f ca="1">IF(I35=0,"0",OFFSET('5  Control Accounts'!$BK$33,J35,0))</f>
        <v>0</v>
      </c>
      <c r="C35" s="961" t="str">
        <f ca="1">IF(I35=0,TEXT(0,"0"),OFFSET('5  Control Accounts'!$FB$33,J35,0))</f>
        <v>0</v>
      </c>
      <c r="D35" s="1326" t="str">
        <f t="shared" ca="1" si="0"/>
        <v>0</v>
      </c>
      <c r="E35" s="1326" t="str">
        <f t="shared" ca="1" si="1"/>
        <v>0</v>
      </c>
      <c r="F35" s="961" t="str">
        <f ca="1">IF(L35=0,TEXT(0,"0"),TEXT(OFFSET('5  Control Accounts'!$DW$33,J35,0),"General"))</f>
        <v>0</v>
      </c>
      <c r="G35" s="750"/>
      <c r="H35" s="750"/>
      <c r="I35" s="1004">
        <f ca="1">$H$2*OFFSET('5  Control Accounts'!$CP$33,J35,0)</f>
        <v>0</v>
      </c>
      <c r="J35" s="537">
        <v>29</v>
      </c>
      <c r="L35" s="1409">
        <f ca="1">IF(I35=0,0,OFFSET('5  Control Accounts'!$FD$33,J35,0))</f>
        <v>0</v>
      </c>
      <c r="M35" s="1409">
        <f ca="1">IF(I35=0,0,OFFSET('5  Control Accounts'!$FE$33,J35,0))</f>
        <v>0</v>
      </c>
    </row>
    <row r="36" spans="1:16" s="762" customFormat="1" x14ac:dyDescent="0.3">
      <c r="A36" s="961" t="str">
        <f ca="1">IF(L36=0,TEXT(0,"0"),OFFSET('5  Control Accounts'!$BF$33,J36,0)&amp;"."&amp;OFFSET('5  Control Accounts'!$BH$33,J36,0))</f>
        <v>0</v>
      </c>
      <c r="B36" s="961" t="str">
        <f ca="1">IF(I36=0,"0",OFFSET('5  Control Accounts'!$BK$33,J36,0))</f>
        <v>0</v>
      </c>
      <c r="C36" s="961" t="str">
        <f ca="1">IF(I36=0,TEXT(0,"0"),OFFSET('5  Control Accounts'!$FB$33,J36,0))</f>
        <v>0</v>
      </c>
      <c r="D36" s="1326" t="str">
        <f t="shared" ca="1" si="0"/>
        <v>0</v>
      </c>
      <c r="E36" s="1326" t="str">
        <f t="shared" ca="1" si="1"/>
        <v>0</v>
      </c>
      <c r="F36" s="961" t="str">
        <f ca="1">IF(L36=0,TEXT(0,"0"),TEXT(OFFSET('5  Control Accounts'!$DW$33,J36,0),"General"))</f>
        <v>0</v>
      </c>
      <c r="G36" s="750"/>
      <c r="H36" s="750"/>
      <c r="I36" s="1004">
        <f ca="1">$H$2*OFFSET('5  Control Accounts'!$CP$33,J36,0)</f>
        <v>0</v>
      </c>
      <c r="J36" s="537">
        <v>30</v>
      </c>
      <c r="K36" s="763"/>
      <c r="L36" s="1409">
        <f ca="1">IF(I36=0,0,OFFSET('5  Control Accounts'!$FD$33,J36,0))</f>
        <v>0</v>
      </c>
      <c r="M36" s="1409">
        <f ca="1">IF(I36=0,0,OFFSET('5  Control Accounts'!$FE$33,J36,0))</f>
        <v>0</v>
      </c>
      <c r="N36" s="763"/>
      <c r="O36" s="763"/>
      <c r="P36" s="763"/>
    </row>
    <row r="37" spans="1:16" s="762" customFormat="1" x14ac:dyDescent="0.3">
      <c r="A37" s="961" t="str">
        <f ca="1">IF(L37=0,TEXT(0,"0"),OFFSET('5  Control Accounts'!$BF$33,J37,0)&amp;"."&amp;OFFSET('5  Control Accounts'!$BH$33,J37,0))</f>
        <v>0</v>
      </c>
      <c r="B37" s="961" t="str">
        <f ca="1">IF(I37=0,"0",OFFSET('5  Control Accounts'!$BK$33,J37,0))</f>
        <v>0</v>
      </c>
      <c r="C37" s="961" t="str">
        <f ca="1">IF(I37=0,TEXT(0,"0"),OFFSET('5  Control Accounts'!$FB$33,J37,0))</f>
        <v>0</v>
      </c>
      <c r="D37" s="1326" t="str">
        <f t="shared" ca="1" si="0"/>
        <v>0</v>
      </c>
      <c r="E37" s="1326" t="str">
        <f t="shared" ca="1" si="1"/>
        <v>0</v>
      </c>
      <c r="F37" s="961" t="str">
        <f ca="1">IF(L37=0,TEXT(0,"0"),TEXT(OFFSET('5  Control Accounts'!$DW$33,J37,0),"General"))</f>
        <v>0</v>
      </c>
      <c r="G37" s="750"/>
      <c r="H37" s="750"/>
      <c r="I37" s="1004">
        <f ca="1">$H$2*OFFSET('5  Control Accounts'!$CP$33,J37,0)</f>
        <v>0</v>
      </c>
      <c r="J37" s="537">
        <v>31</v>
      </c>
      <c r="K37" s="763"/>
      <c r="L37" s="1409">
        <f ca="1">IF(I37=0,0,OFFSET('5  Control Accounts'!$FD$33,J37,0))</f>
        <v>0</v>
      </c>
      <c r="M37" s="1409">
        <f ca="1">IF(I37=0,0,OFFSET('5  Control Accounts'!$FE$33,J37,0))</f>
        <v>0</v>
      </c>
      <c r="N37" s="763"/>
      <c r="O37" s="763"/>
      <c r="P37" s="763"/>
    </row>
    <row r="38" spans="1:16" s="762" customFormat="1" x14ac:dyDescent="0.3">
      <c r="A38" s="961" t="str">
        <f ca="1">IF(L38=0,TEXT(0,"0"),OFFSET('5  Control Accounts'!$BF$33,J38,0)&amp;"."&amp;OFFSET('5  Control Accounts'!$BH$33,J38,0))</f>
        <v>0</v>
      </c>
      <c r="B38" s="961" t="str">
        <f ca="1">IF(I38=0,"0",OFFSET('5  Control Accounts'!$BK$33,J38,0))</f>
        <v>0</v>
      </c>
      <c r="C38" s="961" t="str">
        <f ca="1">IF(I38=0,TEXT(0,"0"),OFFSET('5  Control Accounts'!$FB$33,J38,0))</f>
        <v>0</v>
      </c>
      <c r="D38" s="1326" t="str">
        <f t="shared" ca="1" si="0"/>
        <v>0</v>
      </c>
      <c r="E38" s="1326" t="str">
        <f t="shared" ca="1" si="1"/>
        <v>0</v>
      </c>
      <c r="F38" s="961" t="str">
        <f ca="1">IF(L38=0,TEXT(0,"0"),TEXT(OFFSET('5  Control Accounts'!$DW$33,J38,0),"General"))</f>
        <v>0</v>
      </c>
      <c r="G38" s="750"/>
      <c r="H38" s="750"/>
      <c r="I38" s="1004">
        <f ca="1">$H$2*OFFSET('5  Control Accounts'!$CP$33,J38,0)</f>
        <v>0</v>
      </c>
      <c r="J38" s="537">
        <v>32</v>
      </c>
      <c r="K38" s="763"/>
      <c r="L38" s="1409">
        <f ca="1">IF(I38=0,0,OFFSET('5  Control Accounts'!$FD$33,J38,0))</f>
        <v>0</v>
      </c>
      <c r="M38" s="1409">
        <f ca="1">IF(I38=0,0,OFFSET('5  Control Accounts'!$FE$33,J38,0))</f>
        <v>0</v>
      </c>
      <c r="N38" s="763"/>
      <c r="O38" s="763"/>
      <c r="P38" s="763"/>
    </row>
    <row r="39" spans="1:16" x14ac:dyDescent="0.3">
      <c r="A39" s="961" t="str">
        <f ca="1">IF(L39=0,TEXT(0,"0"),OFFSET('5  Control Accounts'!$BF$33,J39,0)&amp;"."&amp;OFFSET('5  Control Accounts'!$BH$33,J39,0))</f>
        <v>0</v>
      </c>
      <c r="B39" s="961" t="str">
        <f ca="1">IF(I39=0,"0",OFFSET('5  Control Accounts'!$BK$33,J39,0))</f>
        <v>0</v>
      </c>
      <c r="C39" s="961" t="str">
        <f ca="1">IF(I39=0,TEXT(0,"0"),OFFSET('5  Control Accounts'!$FB$33,J39,0))</f>
        <v>0</v>
      </c>
      <c r="D39" s="1326" t="str">
        <f t="shared" ca="1" si="0"/>
        <v>0</v>
      </c>
      <c r="E39" s="1326" t="str">
        <f t="shared" ca="1" si="1"/>
        <v>0</v>
      </c>
      <c r="F39" s="961" t="str">
        <f ca="1">IF(L39=0,TEXT(0,"0"),TEXT(OFFSET('5  Control Accounts'!$DW$33,J39,0),"General"))</f>
        <v>0</v>
      </c>
      <c r="G39" s="750"/>
      <c r="H39" s="750"/>
      <c r="I39" s="1004">
        <f ca="1">$H$2*OFFSET('5  Control Accounts'!$CP$33,J39,0)</f>
        <v>0</v>
      </c>
      <c r="J39" s="537">
        <v>33</v>
      </c>
      <c r="L39" s="1409">
        <f ca="1">IF(I39=0,0,OFFSET('5  Control Accounts'!$FD$33,J39,0))</f>
        <v>0</v>
      </c>
      <c r="M39" s="1409">
        <f ca="1">IF(I39=0,0,OFFSET('5  Control Accounts'!$FE$33,J39,0))</f>
        <v>0</v>
      </c>
    </row>
    <row r="40" spans="1:16" x14ac:dyDescent="0.3">
      <c r="A40" s="961" t="str">
        <f ca="1">IF(L40=0,TEXT(0,"0"),OFFSET('5  Control Accounts'!$BF$33,J40,0)&amp;"."&amp;OFFSET('5  Control Accounts'!$BH$33,J40,0))</f>
        <v>0</v>
      </c>
      <c r="B40" s="961" t="str">
        <f ca="1">IF(I40=0,"0",OFFSET('5  Control Accounts'!$BK$33,J40,0))</f>
        <v>0</v>
      </c>
      <c r="C40" s="961" t="str">
        <f ca="1">IF(I40=0,TEXT(0,"0"),OFFSET('5  Control Accounts'!$FB$33,J40,0))</f>
        <v>0</v>
      </c>
      <c r="D40" s="1326" t="str">
        <f t="shared" ca="1" si="0"/>
        <v>0</v>
      </c>
      <c r="E40" s="1326" t="str">
        <f t="shared" ca="1" si="1"/>
        <v>0</v>
      </c>
      <c r="F40" s="961" t="str">
        <f ca="1">IF(L40=0,TEXT(0,"0"),TEXT(OFFSET('5  Control Accounts'!$DW$33,J40,0),"General"))</f>
        <v>0</v>
      </c>
      <c r="G40" s="750"/>
      <c r="H40" s="750"/>
      <c r="I40" s="1004">
        <f ca="1">$H$2*OFFSET('5  Control Accounts'!$CP$33,J40,0)</f>
        <v>0</v>
      </c>
      <c r="J40" s="537">
        <v>34</v>
      </c>
      <c r="L40" s="1409">
        <f ca="1">IF(I40=0,0,OFFSET('5  Control Accounts'!$FD$33,J40,0))</f>
        <v>0</v>
      </c>
      <c r="M40" s="1409">
        <f ca="1">IF(I40=0,0,OFFSET('5  Control Accounts'!$FE$33,J40,0))</f>
        <v>0</v>
      </c>
    </row>
    <row r="41" spans="1:16" x14ac:dyDescent="0.3">
      <c r="A41" s="961" t="str">
        <f ca="1">IF(L41=0,TEXT(0,"0"),OFFSET('5  Control Accounts'!$BF$33,J41,0)&amp;"."&amp;OFFSET('5  Control Accounts'!$BH$33,J41,0))</f>
        <v>0</v>
      </c>
      <c r="B41" s="961" t="str">
        <f ca="1">IF(I41=0,"0",OFFSET('5  Control Accounts'!$BK$33,J41,0))</f>
        <v>0</v>
      </c>
      <c r="C41" s="961" t="str">
        <f ca="1">IF(I41=0,TEXT(0,"0"),OFFSET('5  Control Accounts'!$FB$33,J41,0))</f>
        <v>0</v>
      </c>
      <c r="D41" s="1326" t="str">
        <f t="shared" ca="1" si="0"/>
        <v>0</v>
      </c>
      <c r="E41" s="1326" t="str">
        <f t="shared" ca="1" si="1"/>
        <v>0</v>
      </c>
      <c r="F41" s="961" t="str">
        <f ca="1">IF(L41=0,TEXT(0,"0"),TEXT(OFFSET('5  Control Accounts'!$DW$33,J41,0),"General"))</f>
        <v>0</v>
      </c>
      <c r="G41" s="750"/>
      <c r="H41" s="750"/>
      <c r="I41" s="1004">
        <f ca="1">$H$2*OFFSET('5  Control Accounts'!$CP$33,J41,0)</f>
        <v>0</v>
      </c>
      <c r="J41" s="537">
        <v>35</v>
      </c>
      <c r="L41" s="1409">
        <f ca="1">IF(I41=0,0,OFFSET('5  Control Accounts'!$FD$33,J41,0))</f>
        <v>0</v>
      </c>
      <c r="M41" s="1409">
        <f ca="1">IF(I41=0,0,OFFSET('5  Control Accounts'!$FE$33,J41,0))</f>
        <v>0</v>
      </c>
    </row>
    <row r="42" spans="1:16" x14ac:dyDescent="0.3">
      <c r="A42" s="961" t="str">
        <f ca="1">IF(L42=0,TEXT(0,"0"),OFFSET('5  Control Accounts'!$BF$33,J42,0)&amp;"."&amp;OFFSET('5  Control Accounts'!$BH$33,J42,0))</f>
        <v>0</v>
      </c>
      <c r="B42" s="961" t="str">
        <f ca="1">IF(I42=0,"0",OFFSET('5  Control Accounts'!$BK$33,J42,0))</f>
        <v>0</v>
      </c>
      <c r="C42" s="961" t="str">
        <f ca="1">IF(I42=0,TEXT(0,"0"),OFFSET('5  Control Accounts'!$FB$33,J42,0))</f>
        <v>0</v>
      </c>
      <c r="D42" s="1326" t="str">
        <f t="shared" ca="1" si="0"/>
        <v>0</v>
      </c>
      <c r="E42" s="1326" t="str">
        <f t="shared" ca="1" si="1"/>
        <v>0</v>
      </c>
      <c r="F42" s="961" t="str">
        <f ca="1">IF(L42=0,TEXT(0,"0"),TEXT(OFFSET('5  Control Accounts'!$DW$33,J42,0),"General"))</f>
        <v>0</v>
      </c>
      <c r="G42" s="750"/>
      <c r="H42" s="750"/>
      <c r="I42" s="1004">
        <f ca="1">$H$2*OFFSET('5  Control Accounts'!$CP$33,J42,0)</f>
        <v>0</v>
      </c>
      <c r="J42" s="537">
        <v>36</v>
      </c>
      <c r="L42" s="1409">
        <f ca="1">IF(I42=0,0,OFFSET('5  Control Accounts'!$FD$33,J42,0))</f>
        <v>0</v>
      </c>
      <c r="M42" s="1409">
        <f ca="1">IF(I42=0,0,OFFSET('5  Control Accounts'!$FE$33,J42,0))</f>
        <v>0</v>
      </c>
    </row>
    <row r="43" spans="1:16" x14ac:dyDescent="0.3">
      <c r="A43" s="961" t="str">
        <f ca="1">IF(L43=0,TEXT(0,"0"),OFFSET('5  Control Accounts'!$BF$33,J43,0)&amp;"."&amp;OFFSET('5  Control Accounts'!$BH$33,J43,0))</f>
        <v>0</v>
      </c>
      <c r="B43" s="961" t="str">
        <f ca="1">IF(I43=0,"0",OFFSET('5  Control Accounts'!$BK$33,J43,0))</f>
        <v>0</v>
      </c>
      <c r="C43" s="961" t="str">
        <f ca="1">IF(I43=0,TEXT(0,"0"),OFFSET('5  Control Accounts'!$FB$33,J43,0))</f>
        <v>0</v>
      </c>
      <c r="D43" s="1326" t="str">
        <f t="shared" ca="1" si="0"/>
        <v>0</v>
      </c>
      <c r="E43" s="1326" t="str">
        <f t="shared" ca="1" si="1"/>
        <v>0</v>
      </c>
      <c r="F43" s="961" t="str">
        <f ca="1">IF(L43=0,TEXT(0,"0"),TEXT(OFFSET('5  Control Accounts'!$DW$33,J43,0),"General"))</f>
        <v>0</v>
      </c>
      <c r="G43" s="750"/>
      <c r="H43" s="750"/>
      <c r="I43" s="1004">
        <f ca="1">$H$2*OFFSET('5  Control Accounts'!$CP$33,J43,0)</f>
        <v>0</v>
      </c>
      <c r="J43" s="537">
        <v>37</v>
      </c>
      <c r="L43" s="1409">
        <f ca="1">IF(I43=0,0,OFFSET('5  Control Accounts'!$FD$33,J43,0))</f>
        <v>0</v>
      </c>
      <c r="M43" s="1409">
        <f ca="1">IF(I43=0,0,OFFSET('5  Control Accounts'!$FE$33,J43,0))</f>
        <v>0</v>
      </c>
    </row>
    <row r="44" spans="1:16" x14ac:dyDescent="0.3">
      <c r="A44" s="961" t="str">
        <f ca="1">IF(L44=0,TEXT(0,"0"),OFFSET('5  Control Accounts'!$BF$33,J44,0)&amp;"."&amp;OFFSET('5  Control Accounts'!$BH$33,J44,0))</f>
        <v>0</v>
      </c>
      <c r="B44" s="961" t="str">
        <f ca="1">IF(I44=0,"0",OFFSET('5  Control Accounts'!$BK$33,J44,0))</f>
        <v>0</v>
      </c>
      <c r="C44" s="961" t="str">
        <f ca="1">IF(I44=0,TEXT(0,"0"),OFFSET('5  Control Accounts'!$FB$33,J44,0))</f>
        <v>0</v>
      </c>
      <c r="D44" s="1326" t="str">
        <f t="shared" ca="1" si="0"/>
        <v>0</v>
      </c>
      <c r="E44" s="1326" t="str">
        <f t="shared" ca="1" si="1"/>
        <v>0</v>
      </c>
      <c r="F44" s="961" t="str">
        <f ca="1">IF(L44=0,TEXT(0,"0"),TEXT(OFFSET('5  Control Accounts'!$DW$33,J44,0),"General"))</f>
        <v>0</v>
      </c>
      <c r="G44" s="750"/>
      <c r="H44" s="750"/>
      <c r="I44" s="1004">
        <f ca="1">$H$2*OFFSET('5  Control Accounts'!$CP$33,J44,0)</f>
        <v>0</v>
      </c>
      <c r="J44" s="537">
        <v>38</v>
      </c>
      <c r="L44" s="1409">
        <f ca="1">IF(I44=0,0,OFFSET('5  Control Accounts'!$FD$33,J44,0))</f>
        <v>0</v>
      </c>
      <c r="M44" s="1409">
        <f ca="1">IF(I44=0,0,OFFSET('5  Control Accounts'!$FE$33,J44,0))</f>
        <v>0</v>
      </c>
    </row>
    <row r="45" spans="1:16" x14ac:dyDescent="0.3">
      <c r="A45" s="961" t="str">
        <f ca="1">IF(L45=0,TEXT(0,"0"),OFFSET('5  Control Accounts'!$BF$33,J45,0)&amp;"."&amp;OFFSET('5  Control Accounts'!$BH$33,J45,0))</f>
        <v>0</v>
      </c>
      <c r="B45" s="961" t="str">
        <f ca="1">IF(I45=0,"0",OFFSET('5  Control Accounts'!$BK$33,J45,0))</f>
        <v>0</v>
      </c>
      <c r="C45" s="961" t="str">
        <f ca="1">IF(I45=0,TEXT(0,"0"),OFFSET('5  Control Accounts'!$FB$33,J45,0))</f>
        <v>0</v>
      </c>
      <c r="D45" s="1326" t="str">
        <f t="shared" ca="1" si="0"/>
        <v>0</v>
      </c>
      <c r="E45" s="1326" t="str">
        <f t="shared" ca="1" si="1"/>
        <v>0</v>
      </c>
      <c r="F45" s="961" t="str">
        <f ca="1">IF(L45=0,TEXT(0,"0"),TEXT(OFFSET('5  Control Accounts'!$DW$33,J45,0),"General"))</f>
        <v>0</v>
      </c>
      <c r="G45" s="750"/>
      <c r="H45" s="750"/>
      <c r="I45" s="1004">
        <f ca="1">$H$2*OFFSET('5  Control Accounts'!$CP$33,J45,0)</f>
        <v>0</v>
      </c>
      <c r="J45" s="537">
        <v>39</v>
      </c>
      <c r="L45" s="1409">
        <f ca="1">IF(I45=0,0,OFFSET('5  Control Accounts'!$FD$33,J45,0))</f>
        <v>0</v>
      </c>
      <c r="M45" s="1409">
        <f ca="1">IF(I45=0,0,OFFSET('5  Control Accounts'!$FE$33,J45,0))</f>
        <v>0</v>
      </c>
    </row>
    <row r="46" spans="1:16" x14ac:dyDescent="0.3">
      <c r="A46" s="961" t="str">
        <f ca="1">IF(L46=0,TEXT(0,"0"),OFFSET('5  Control Accounts'!$BF$33,J46,0)&amp;"."&amp;OFFSET('5  Control Accounts'!$BH$33,J46,0))</f>
        <v>0</v>
      </c>
      <c r="B46" s="961" t="str">
        <f ca="1">IF(I46=0,"0",OFFSET('5  Control Accounts'!$BK$33,J46,0))</f>
        <v>0</v>
      </c>
      <c r="C46" s="961" t="str">
        <f ca="1">IF(I46=0,TEXT(0,"0"),OFFSET('5  Control Accounts'!$FB$33,J46,0))</f>
        <v>0</v>
      </c>
      <c r="D46" s="1326" t="str">
        <f t="shared" ca="1" si="0"/>
        <v>0</v>
      </c>
      <c r="E46" s="1326" t="str">
        <f t="shared" ca="1" si="1"/>
        <v>0</v>
      </c>
      <c r="F46" s="961" t="str">
        <f ca="1">IF(L46=0,TEXT(0,"0"),TEXT(OFFSET('5  Control Accounts'!$DW$33,J46,0),"General"))</f>
        <v>0</v>
      </c>
      <c r="G46" s="750"/>
      <c r="H46" s="750"/>
      <c r="I46" s="1004">
        <f ca="1">$H$2*OFFSET('5  Control Accounts'!$CP$33,J46,0)</f>
        <v>0</v>
      </c>
      <c r="J46" s="537">
        <v>40</v>
      </c>
      <c r="L46" s="1409">
        <f ca="1">IF(I46=0,0,OFFSET('5  Control Accounts'!$FD$33,J46,0))</f>
        <v>0</v>
      </c>
      <c r="M46" s="1409">
        <f ca="1">IF(I46=0,0,OFFSET('5  Control Accounts'!$FE$33,J46,0))</f>
        <v>0</v>
      </c>
    </row>
    <row r="47" spans="1:16" x14ac:dyDescent="0.3">
      <c r="A47" s="961" t="str">
        <f ca="1">IF(L47=0,TEXT(0,"0"),OFFSET('5  Control Accounts'!$BF$33,J47,0)&amp;"."&amp;OFFSET('5  Control Accounts'!$BH$33,J47,0))</f>
        <v>0</v>
      </c>
      <c r="B47" s="961" t="str">
        <f ca="1">IF(I47=0,"0",OFFSET('5  Control Accounts'!$BK$33,J47,0))</f>
        <v>0</v>
      </c>
      <c r="C47" s="961" t="str">
        <f ca="1">IF(I47=0,TEXT(0,"0"),OFFSET('5  Control Accounts'!$FB$33,J47,0))</f>
        <v>0</v>
      </c>
      <c r="D47" s="1326" t="str">
        <f t="shared" ca="1" si="0"/>
        <v>0</v>
      </c>
      <c r="E47" s="1326" t="str">
        <f t="shared" ca="1" si="1"/>
        <v>0</v>
      </c>
      <c r="F47" s="961" t="str">
        <f ca="1">IF(L47=0,TEXT(0,"0"),TEXT(OFFSET('5  Control Accounts'!$DW$33,J47,0),"General"))</f>
        <v>0</v>
      </c>
      <c r="G47" s="750"/>
      <c r="H47" s="750"/>
      <c r="I47" s="1004">
        <f ca="1">$H$2*OFFSET('5  Control Accounts'!$CP$33,J47,0)</f>
        <v>0</v>
      </c>
      <c r="J47" s="537">
        <v>41</v>
      </c>
      <c r="L47" s="1409">
        <f ca="1">IF(I47=0,0,OFFSET('5  Control Accounts'!$FD$33,J47,0))</f>
        <v>0</v>
      </c>
      <c r="M47" s="1409">
        <f ca="1">IF(I47=0,0,OFFSET('5  Control Accounts'!$FE$33,J47,0))</f>
        <v>0</v>
      </c>
    </row>
    <row r="48" spans="1:16" x14ac:dyDescent="0.3">
      <c r="A48" s="961" t="str">
        <f ca="1">IF(L48=0,TEXT(0,"0"),OFFSET('5  Control Accounts'!$BF$33,J48,0)&amp;"."&amp;OFFSET('5  Control Accounts'!$BH$33,J48,0))</f>
        <v>0</v>
      </c>
      <c r="B48" s="961" t="str">
        <f ca="1">IF(I48=0,"0",OFFSET('5  Control Accounts'!$BK$33,J48,0))</f>
        <v>0</v>
      </c>
      <c r="C48" s="961" t="str">
        <f ca="1">IF(I48=0,TEXT(0,"0"),OFFSET('5  Control Accounts'!$FB$33,J48,0))</f>
        <v>0</v>
      </c>
      <c r="D48" s="1326" t="str">
        <f t="shared" ca="1" si="0"/>
        <v>0</v>
      </c>
      <c r="E48" s="1326" t="str">
        <f t="shared" ca="1" si="1"/>
        <v>0</v>
      </c>
      <c r="F48" s="961" t="str">
        <f ca="1">IF(L48=0,TEXT(0,"0"),TEXT(OFFSET('5  Control Accounts'!$DW$33,J48,0),"General"))</f>
        <v>0</v>
      </c>
      <c r="G48" s="750"/>
      <c r="H48" s="750"/>
      <c r="I48" s="1004">
        <f ca="1">$H$2*OFFSET('5  Control Accounts'!$CP$33,J48,0)</f>
        <v>0</v>
      </c>
      <c r="J48" s="537">
        <v>42</v>
      </c>
      <c r="L48" s="1409">
        <f ca="1">IF(I48=0,0,OFFSET('5  Control Accounts'!$FD$33,J48,0))</f>
        <v>0</v>
      </c>
      <c r="M48" s="1409">
        <f ca="1">IF(I48=0,0,OFFSET('5  Control Accounts'!$FE$33,J48,0))</f>
        <v>0</v>
      </c>
    </row>
    <row r="49" spans="1:13" x14ac:dyDescent="0.3">
      <c r="A49" s="961" t="str">
        <f ca="1">IF(L49=0,TEXT(0,"0"),OFFSET('5  Control Accounts'!$BF$33,J49,0)&amp;"."&amp;OFFSET('5  Control Accounts'!$BH$33,J49,0))</f>
        <v>0</v>
      </c>
      <c r="B49" s="961" t="str">
        <f ca="1">IF(I49=0,"0",OFFSET('5  Control Accounts'!$BK$33,J49,0))</f>
        <v>0</v>
      </c>
      <c r="C49" s="961" t="str">
        <f ca="1">IF(I49=0,TEXT(0,"0"),OFFSET('5  Control Accounts'!$FB$33,J49,0))</f>
        <v>0</v>
      </c>
      <c r="D49" s="1326" t="str">
        <f t="shared" ca="1" si="0"/>
        <v>0</v>
      </c>
      <c r="E49" s="1326" t="str">
        <f t="shared" ca="1" si="1"/>
        <v>0</v>
      </c>
      <c r="F49" s="961" t="str">
        <f ca="1">IF(L49=0,TEXT(0,"0"),TEXT(OFFSET('5  Control Accounts'!$DW$33,J49,0),"General"))</f>
        <v>0</v>
      </c>
      <c r="G49" s="750"/>
      <c r="H49" s="750"/>
      <c r="I49" s="1004">
        <f ca="1">$H$2*OFFSET('5  Control Accounts'!$CP$33,J49,0)</f>
        <v>0</v>
      </c>
      <c r="J49" s="537">
        <v>43</v>
      </c>
      <c r="L49" s="1409">
        <f ca="1">IF(I49=0,0,OFFSET('5  Control Accounts'!$FD$33,J49,0))</f>
        <v>0</v>
      </c>
      <c r="M49" s="1409">
        <f ca="1">IF(I49=0,0,OFFSET('5  Control Accounts'!$FE$33,J49,0))</f>
        <v>0</v>
      </c>
    </row>
    <row r="50" spans="1:13" x14ac:dyDescent="0.3">
      <c r="A50" s="961" t="str">
        <f ca="1">IF(L50=0,TEXT(0,"0"),OFFSET('5  Control Accounts'!$BF$33,J50,0)&amp;"."&amp;OFFSET('5  Control Accounts'!$BH$33,J50,0))</f>
        <v>0</v>
      </c>
      <c r="B50" s="961" t="str">
        <f ca="1">IF(I50=0,"0",OFFSET('5  Control Accounts'!$BK$33,J50,0))</f>
        <v>0</v>
      </c>
      <c r="C50" s="961" t="str">
        <f ca="1">IF(I50=0,TEXT(0,"0"),OFFSET('5  Control Accounts'!$FB$33,J50,0))</f>
        <v>0</v>
      </c>
      <c r="D50" s="1326" t="str">
        <f t="shared" ca="1" si="0"/>
        <v>0</v>
      </c>
      <c r="E50" s="1326" t="str">
        <f t="shared" ca="1" si="1"/>
        <v>0</v>
      </c>
      <c r="F50" s="961" t="str">
        <f ca="1">IF(L50=0,TEXT(0,"0"),TEXT(OFFSET('5  Control Accounts'!$DW$33,J50,0),"General"))</f>
        <v>0</v>
      </c>
      <c r="G50" s="750"/>
      <c r="H50" s="750"/>
      <c r="I50" s="1004">
        <f ca="1">$H$2*OFFSET('5  Control Accounts'!$CP$33,J50,0)</f>
        <v>0</v>
      </c>
      <c r="J50" s="537">
        <v>44</v>
      </c>
      <c r="L50" s="1409">
        <f ca="1">IF(I50=0,0,OFFSET('5  Control Accounts'!$FD$33,J50,0))</f>
        <v>0</v>
      </c>
      <c r="M50" s="1409">
        <f ca="1">IF(I50=0,0,OFFSET('5  Control Accounts'!$FE$33,J50,0))</f>
        <v>0</v>
      </c>
    </row>
    <row r="51" spans="1:13" x14ac:dyDescent="0.3">
      <c r="A51" s="961" t="str">
        <f ca="1">IF(L51=0,TEXT(0,"0"),OFFSET('5  Control Accounts'!$BF$33,J51,0)&amp;"."&amp;OFFSET('5  Control Accounts'!$BH$33,J51,0))</f>
        <v>0</v>
      </c>
      <c r="B51" s="961" t="str">
        <f ca="1">IF(I51=0,"0",OFFSET('5  Control Accounts'!$BK$33,J51,0))</f>
        <v>0</v>
      </c>
      <c r="C51" s="961" t="str">
        <f ca="1">IF(I51=0,TEXT(0,"0"),OFFSET('5  Control Accounts'!$FB$33,J51,0))</f>
        <v>0</v>
      </c>
      <c r="D51" s="1326" t="str">
        <f t="shared" ca="1" si="0"/>
        <v>0</v>
      </c>
      <c r="E51" s="1326" t="str">
        <f t="shared" ca="1" si="1"/>
        <v>0</v>
      </c>
      <c r="F51" s="961" t="str">
        <f ca="1">IF(L51=0,TEXT(0,"0"),TEXT(OFFSET('5  Control Accounts'!$DW$33,J51,0),"General"))</f>
        <v>0</v>
      </c>
      <c r="G51" s="750"/>
      <c r="H51" s="750"/>
      <c r="I51" s="1004">
        <f ca="1">$H$2*OFFSET('5  Control Accounts'!$CP$33,J51,0)</f>
        <v>0</v>
      </c>
      <c r="J51" s="537">
        <v>45</v>
      </c>
      <c r="L51" s="1409">
        <f ca="1">IF(I51=0,0,OFFSET('5  Control Accounts'!$FD$33,J51,0))</f>
        <v>0</v>
      </c>
      <c r="M51" s="1409">
        <f ca="1">IF(I51=0,0,OFFSET('5  Control Accounts'!$FE$33,J51,0))</f>
        <v>0</v>
      </c>
    </row>
    <row r="52" spans="1:13" x14ac:dyDescent="0.3">
      <c r="A52" s="961" t="str">
        <f ca="1">IF(L52=0,TEXT(0,"0"),OFFSET('5  Control Accounts'!$BF$33,J52,0)&amp;"."&amp;OFFSET('5  Control Accounts'!$BH$33,J52,0))</f>
        <v>0</v>
      </c>
      <c r="B52" s="961" t="str">
        <f ca="1">IF(I52=0,"0",OFFSET('5  Control Accounts'!$BK$33,J52,0))</f>
        <v>0</v>
      </c>
      <c r="C52" s="961" t="str">
        <f ca="1">IF(I52=0,TEXT(0,"0"),OFFSET('5  Control Accounts'!$FB$33,J52,0))</f>
        <v>0</v>
      </c>
      <c r="D52" s="1326" t="str">
        <f t="shared" ca="1" si="0"/>
        <v>0</v>
      </c>
      <c r="E52" s="1326" t="str">
        <f t="shared" ca="1" si="1"/>
        <v>0</v>
      </c>
      <c r="F52" s="961" t="str">
        <f ca="1">IF(L52=0,TEXT(0,"0"),TEXT(OFFSET('5  Control Accounts'!$DW$33,J52,0),"General"))</f>
        <v>0</v>
      </c>
      <c r="G52" s="750"/>
      <c r="H52" s="750"/>
      <c r="I52" s="1004">
        <f ca="1">$H$2*OFFSET('5  Control Accounts'!$CP$33,J52,0)</f>
        <v>0</v>
      </c>
      <c r="J52" s="537">
        <v>46</v>
      </c>
      <c r="L52" s="1409">
        <f ca="1">IF(I52=0,0,OFFSET('5  Control Accounts'!$FD$33,J52,0))</f>
        <v>0</v>
      </c>
      <c r="M52" s="1409">
        <f ca="1">IF(I52=0,0,OFFSET('5  Control Accounts'!$FE$33,J52,0))</f>
        <v>0</v>
      </c>
    </row>
    <row r="53" spans="1:13" x14ac:dyDescent="0.3">
      <c r="A53" s="961" t="str">
        <f ca="1">IF(L53=0,TEXT(0,"0"),OFFSET('5  Control Accounts'!$BF$33,J53,0)&amp;"."&amp;OFFSET('5  Control Accounts'!$BH$33,J53,0))</f>
        <v>0</v>
      </c>
      <c r="B53" s="961" t="str">
        <f ca="1">IF(I53=0,"0",OFFSET('5  Control Accounts'!$BK$33,J53,0))</f>
        <v>0</v>
      </c>
      <c r="C53" s="961" t="str">
        <f ca="1">IF(I53=0,TEXT(0,"0"),OFFSET('5  Control Accounts'!$FB$33,J53,0))</f>
        <v>0</v>
      </c>
      <c r="D53" s="1326" t="str">
        <f t="shared" ca="1" si="0"/>
        <v>0</v>
      </c>
      <c r="E53" s="1326" t="str">
        <f t="shared" ca="1" si="1"/>
        <v>0</v>
      </c>
      <c r="F53" s="961" t="str">
        <f ca="1">IF(L53=0,TEXT(0,"0"),TEXT(OFFSET('5  Control Accounts'!$DW$33,J53,0),"General"))</f>
        <v>0</v>
      </c>
      <c r="G53" s="750"/>
      <c r="H53" s="750"/>
      <c r="I53" s="1004">
        <f ca="1">$H$2*OFFSET('5  Control Accounts'!$CP$33,J53,0)</f>
        <v>0</v>
      </c>
      <c r="J53" s="537">
        <v>47</v>
      </c>
      <c r="L53" s="1409">
        <f ca="1">IF(I53=0,0,OFFSET('5  Control Accounts'!$FD$33,J53,0))</f>
        <v>0</v>
      </c>
      <c r="M53" s="1409">
        <f ca="1">IF(I53=0,0,OFFSET('5  Control Accounts'!$FE$33,J53,0))</f>
        <v>0</v>
      </c>
    </row>
    <row r="54" spans="1:13" x14ac:dyDescent="0.3">
      <c r="A54" s="961" t="str">
        <f ca="1">IF(L54=0,TEXT(0,"0"),OFFSET('5  Control Accounts'!$BF$33,J54,0)&amp;"."&amp;OFFSET('5  Control Accounts'!$BH$33,J54,0))</f>
        <v>0</v>
      </c>
      <c r="B54" s="961" t="str">
        <f ca="1">IF(I54=0,"0",OFFSET('5  Control Accounts'!$BK$33,J54,0))</f>
        <v>0</v>
      </c>
      <c r="C54" s="961" t="str">
        <f ca="1">IF(I54=0,TEXT(0,"0"),OFFSET('5  Control Accounts'!$FB$33,J54,0))</f>
        <v>0</v>
      </c>
      <c r="D54" s="1326" t="str">
        <f t="shared" ca="1" si="0"/>
        <v>0</v>
      </c>
      <c r="E54" s="1326" t="str">
        <f t="shared" ca="1" si="1"/>
        <v>0</v>
      </c>
      <c r="F54" s="961" t="str">
        <f ca="1">IF(L54=0,TEXT(0,"0"),TEXT(OFFSET('5  Control Accounts'!$DW$33,J54,0),"General"))</f>
        <v>0</v>
      </c>
      <c r="G54" s="750"/>
      <c r="H54" s="750"/>
      <c r="I54" s="1004">
        <f ca="1">$H$2*OFFSET('5  Control Accounts'!$CP$33,J54,0)</f>
        <v>0</v>
      </c>
      <c r="J54" s="537">
        <v>48</v>
      </c>
      <c r="L54" s="1409">
        <f ca="1">IF(I54=0,0,OFFSET('5  Control Accounts'!$FD$33,J54,0))</f>
        <v>0</v>
      </c>
      <c r="M54" s="1409">
        <f ca="1">IF(I54=0,0,OFFSET('5  Control Accounts'!$FE$33,J54,0))</f>
        <v>0</v>
      </c>
    </row>
    <row r="55" spans="1:13" x14ac:dyDescent="0.3">
      <c r="A55" s="961" t="str">
        <f ca="1">IF(L55=0,TEXT(0,"0"),OFFSET('5  Control Accounts'!$BF$33,J55,0)&amp;"."&amp;OFFSET('5  Control Accounts'!$BH$33,J55,0))</f>
        <v>0</v>
      </c>
      <c r="B55" s="961" t="str">
        <f ca="1">IF(I55=0,"0",OFFSET('5  Control Accounts'!$BK$33,J55,0))</f>
        <v>0</v>
      </c>
      <c r="C55" s="961" t="str">
        <f ca="1">IF(I55=0,TEXT(0,"0"),OFFSET('5  Control Accounts'!$FB$33,J55,0))</f>
        <v>0</v>
      </c>
      <c r="D55" s="1326" t="str">
        <f t="shared" ca="1" si="0"/>
        <v>0</v>
      </c>
      <c r="E55" s="1326" t="str">
        <f t="shared" ca="1" si="1"/>
        <v>0</v>
      </c>
      <c r="F55" s="961" t="str">
        <f ca="1">IF(L55=0,TEXT(0,"0"),TEXT(OFFSET('5  Control Accounts'!$DW$33,J55,0),"General"))</f>
        <v>0</v>
      </c>
      <c r="G55" s="750"/>
      <c r="H55" s="750"/>
      <c r="I55" s="1004">
        <f ca="1">$H$2*OFFSET('5  Control Accounts'!$CP$33,J55,0)</f>
        <v>0</v>
      </c>
      <c r="J55" s="537">
        <v>49</v>
      </c>
      <c r="L55" s="1409">
        <f ca="1">IF(I55=0,0,OFFSET('5  Control Accounts'!$FD$33,J55,0))</f>
        <v>0</v>
      </c>
      <c r="M55" s="1409">
        <f ca="1">IF(I55=0,0,OFFSET('5  Control Accounts'!$FE$33,J55,0))</f>
        <v>0</v>
      </c>
    </row>
    <row r="56" spans="1:13" x14ac:dyDescent="0.3">
      <c r="A56" s="961" t="str">
        <f ca="1">IF(L56=0,TEXT(0,"0"),OFFSET('5  Control Accounts'!$BF$33,J56,0)&amp;"."&amp;OFFSET('5  Control Accounts'!$BH$33,J56,0))</f>
        <v>0</v>
      </c>
      <c r="B56" s="961" t="str">
        <f ca="1">IF(I56=0,"0",OFFSET('5  Control Accounts'!$BK$33,J56,0))</f>
        <v>0</v>
      </c>
      <c r="C56" s="961" t="str">
        <f ca="1">IF(I56=0,TEXT(0,"0"),OFFSET('5  Control Accounts'!$FB$33,J56,0))</f>
        <v>0</v>
      </c>
      <c r="D56" s="1326" t="str">
        <f t="shared" ca="1" si="0"/>
        <v>0</v>
      </c>
      <c r="E56" s="1326" t="str">
        <f t="shared" ca="1" si="1"/>
        <v>0</v>
      </c>
      <c r="F56" s="961" t="str">
        <f ca="1">IF(L56=0,TEXT(0,"0"),TEXT(OFFSET('5  Control Accounts'!$DW$33,J56,0),"General"))</f>
        <v>0</v>
      </c>
      <c r="G56" s="750"/>
      <c r="H56" s="750"/>
      <c r="I56" s="1004">
        <f ca="1">$H$2*OFFSET('5  Control Accounts'!$CP$33,J56,0)</f>
        <v>0</v>
      </c>
      <c r="J56" s="537">
        <v>50</v>
      </c>
      <c r="L56" s="1409">
        <f ca="1">IF(I56=0,0,OFFSET('5  Control Accounts'!$FD$33,J56,0))</f>
        <v>0</v>
      </c>
      <c r="M56" s="1409">
        <f ca="1">IF(I56=0,0,OFFSET('5  Control Accounts'!$FE$33,J56,0))</f>
        <v>0</v>
      </c>
    </row>
    <row r="57" spans="1:13" x14ac:dyDescent="0.3">
      <c r="A57" s="961" t="str">
        <f ca="1">IF(L57=0,TEXT(0,"0"),OFFSET('5  Control Accounts'!$BF$33,J57,0)&amp;"."&amp;OFFSET('5  Control Accounts'!$BH$33,J57,0))</f>
        <v>0</v>
      </c>
      <c r="B57" s="961" t="str">
        <f ca="1">IF(I57=0,"0",OFFSET('5  Control Accounts'!$BK$33,J57,0))</f>
        <v>0</v>
      </c>
      <c r="C57" s="961" t="str">
        <f ca="1">IF(I57=0,TEXT(0,"0"),OFFSET('5  Control Accounts'!$FB$33,J57,0))</f>
        <v>0</v>
      </c>
      <c r="D57" s="1326" t="str">
        <f t="shared" ca="1" si="0"/>
        <v>0</v>
      </c>
      <c r="E57" s="1326" t="str">
        <f t="shared" ca="1" si="1"/>
        <v>0</v>
      </c>
      <c r="F57" s="961" t="str">
        <f ca="1">IF(L57=0,TEXT(0,"0"),TEXT(OFFSET('5  Control Accounts'!$DW$33,J57,0),"General"))</f>
        <v>0</v>
      </c>
      <c r="G57" s="750"/>
      <c r="H57" s="750"/>
      <c r="I57" s="1004">
        <f ca="1">$H$2*OFFSET('5  Control Accounts'!$CP$33,J57,0)</f>
        <v>0</v>
      </c>
      <c r="J57" s="537">
        <v>51</v>
      </c>
      <c r="L57" s="1409">
        <f ca="1">IF(I57=0,0,OFFSET('5  Control Accounts'!$FD$33,J57,0))</f>
        <v>0</v>
      </c>
      <c r="M57" s="1409">
        <f ca="1">IF(I57=0,0,OFFSET('5  Control Accounts'!$FE$33,J57,0))</f>
        <v>0</v>
      </c>
    </row>
    <row r="58" spans="1:13" x14ac:dyDescent="0.3">
      <c r="A58" s="961" t="str">
        <f ca="1">IF(L58=0,TEXT(0,"0"),OFFSET('5  Control Accounts'!$BF$33,J58,0)&amp;"."&amp;OFFSET('5  Control Accounts'!$BH$33,J58,0))</f>
        <v>0</v>
      </c>
      <c r="B58" s="961" t="str">
        <f ca="1">IF(I58=0,"0",OFFSET('5  Control Accounts'!$BK$33,J58,0))</f>
        <v>0</v>
      </c>
      <c r="C58" s="961" t="str">
        <f ca="1">IF(I58=0,TEXT(0,"0"),OFFSET('5  Control Accounts'!$FB$33,J58,0))</f>
        <v>0</v>
      </c>
      <c r="D58" s="1326" t="str">
        <f t="shared" ca="1" si="0"/>
        <v>0</v>
      </c>
      <c r="E58" s="1326" t="str">
        <f t="shared" ca="1" si="1"/>
        <v>0</v>
      </c>
      <c r="F58" s="961" t="str">
        <f ca="1">IF(L58=0,TEXT(0,"0"),TEXT(OFFSET('5  Control Accounts'!$DW$33,J58,0),"General"))</f>
        <v>0</v>
      </c>
      <c r="G58" s="750"/>
      <c r="H58" s="750"/>
      <c r="I58" s="1004">
        <f ca="1">$H$2*OFFSET('5  Control Accounts'!$CP$33,J58,0)</f>
        <v>0</v>
      </c>
      <c r="J58" s="537">
        <v>52</v>
      </c>
      <c r="L58" s="1409">
        <f ca="1">IF(I58=0,0,OFFSET('5  Control Accounts'!$FD$33,J58,0))</f>
        <v>0</v>
      </c>
      <c r="M58" s="1409">
        <f ca="1">IF(I58=0,0,OFFSET('5  Control Accounts'!$FE$33,J58,0))</f>
        <v>0</v>
      </c>
    </row>
    <row r="59" spans="1:13" x14ac:dyDescent="0.3">
      <c r="A59" s="961" t="str">
        <f ca="1">IF(L59=0,TEXT(0,"0"),OFFSET('5  Control Accounts'!$BF$33,J59,0)&amp;"."&amp;OFFSET('5  Control Accounts'!$BH$33,J59,0))</f>
        <v>0</v>
      </c>
      <c r="B59" s="961" t="str">
        <f ca="1">IF(I59=0,"0",OFFSET('5  Control Accounts'!$BK$33,J59,0))</f>
        <v>0</v>
      </c>
      <c r="C59" s="961" t="str">
        <f ca="1">IF(I59=0,TEXT(0,"0"),OFFSET('5  Control Accounts'!$FB$33,J59,0))</f>
        <v>0</v>
      </c>
      <c r="D59" s="1326" t="str">
        <f t="shared" ca="1" si="0"/>
        <v>0</v>
      </c>
      <c r="E59" s="1326" t="str">
        <f t="shared" ca="1" si="1"/>
        <v>0</v>
      </c>
      <c r="F59" s="961" t="str">
        <f ca="1">IF(L59=0,TEXT(0,"0"),TEXT(OFFSET('5  Control Accounts'!$DW$33,J59,0),"General"))</f>
        <v>0</v>
      </c>
      <c r="G59" s="750"/>
      <c r="H59" s="750"/>
      <c r="I59" s="1004">
        <f ca="1">$H$2*OFFSET('5  Control Accounts'!$CP$33,J59,0)</f>
        <v>0</v>
      </c>
      <c r="J59" s="537">
        <v>53</v>
      </c>
      <c r="L59" s="1409">
        <f ca="1">IF(I59=0,0,OFFSET('5  Control Accounts'!$FD$33,J59,0))</f>
        <v>0</v>
      </c>
      <c r="M59" s="1409">
        <f ca="1">IF(I59=0,0,OFFSET('5  Control Accounts'!$FE$33,J59,0))</f>
        <v>0</v>
      </c>
    </row>
    <row r="60" spans="1:13" x14ac:dyDescent="0.3">
      <c r="A60" s="961" t="str">
        <f ca="1">IF(L60=0,TEXT(0,"0"),OFFSET('5  Control Accounts'!$BF$33,J60,0)&amp;"."&amp;OFFSET('5  Control Accounts'!$BH$33,J60,0))</f>
        <v>0</v>
      </c>
      <c r="B60" s="961" t="str">
        <f ca="1">IF(I60=0,"0",OFFSET('5  Control Accounts'!$BK$33,J60,0))</f>
        <v>0</v>
      </c>
      <c r="C60" s="961" t="str">
        <f ca="1">IF(I60=0,TEXT(0,"0"),OFFSET('5  Control Accounts'!$FB$33,J60,0))</f>
        <v>0</v>
      </c>
      <c r="D60" s="1326" t="str">
        <f t="shared" ca="1" si="0"/>
        <v>0</v>
      </c>
      <c r="E60" s="1326" t="str">
        <f t="shared" ca="1" si="1"/>
        <v>0</v>
      </c>
      <c r="F60" s="961" t="str">
        <f ca="1">IF(L60=0,TEXT(0,"0"),TEXT(OFFSET('5  Control Accounts'!$DW$33,J60,0),"General"))</f>
        <v>0</v>
      </c>
      <c r="G60" s="750"/>
      <c r="H60" s="750"/>
      <c r="I60" s="1004">
        <f ca="1">$H$2*OFFSET('5  Control Accounts'!$CP$33,J60,0)</f>
        <v>0</v>
      </c>
      <c r="J60" s="537">
        <v>54</v>
      </c>
      <c r="L60" s="1409">
        <f ca="1">IF(I60=0,0,OFFSET('5  Control Accounts'!$FD$33,J60,0))</f>
        <v>0</v>
      </c>
      <c r="M60" s="1409">
        <f ca="1">IF(I60=0,0,OFFSET('5  Control Accounts'!$FE$33,J60,0))</f>
        <v>0</v>
      </c>
    </row>
    <row r="61" spans="1:13" x14ac:dyDescent="0.3">
      <c r="A61" s="961" t="str">
        <f ca="1">IF(L61=0,TEXT(0,"0"),OFFSET('5  Control Accounts'!$BF$33,J61,0)&amp;"."&amp;OFFSET('5  Control Accounts'!$BH$33,J61,0))</f>
        <v>0</v>
      </c>
      <c r="B61" s="961" t="str">
        <f ca="1">IF(I61=0,"0",OFFSET('5  Control Accounts'!$BK$33,J61,0))</f>
        <v>0</v>
      </c>
      <c r="C61" s="961" t="str">
        <f ca="1">IF(I61=0,TEXT(0,"0"),OFFSET('5  Control Accounts'!$FB$33,J61,0))</f>
        <v>0</v>
      </c>
      <c r="D61" s="1326" t="str">
        <f t="shared" ca="1" si="0"/>
        <v>0</v>
      </c>
      <c r="E61" s="1326" t="str">
        <f t="shared" ca="1" si="1"/>
        <v>0</v>
      </c>
      <c r="F61" s="961" t="str">
        <f ca="1">IF(L61=0,TEXT(0,"0"),TEXT(OFFSET('5  Control Accounts'!$DW$33,J61,0),"General"))</f>
        <v>0</v>
      </c>
      <c r="G61" s="750"/>
      <c r="H61" s="750"/>
      <c r="I61" s="1004">
        <f ca="1">$H$2*OFFSET('5  Control Accounts'!$CP$33,J61,0)</f>
        <v>0</v>
      </c>
      <c r="J61" s="537">
        <v>55</v>
      </c>
      <c r="L61" s="1409">
        <f ca="1">IF(I61=0,0,OFFSET('5  Control Accounts'!$FD$33,J61,0))</f>
        <v>0</v>
      </c>
      <c r="M61" s="1409">
        <f ca="1">IF(I61=0,0,OFFSET('5  Control Accounts'!$FE$33,J61,0))</f>
        <v>0</v>
      </c>
    </row>
    <row r="62" spans="1:13" x14ac:dyDescent="0.3">
      <c r="A62" s="961" t="str">
        <f ca="1">IF(L62=0,TEXT(0,"0"),OFFSET('5  Control Accounts'!$BF$33,J62,0)&amp;"."&amp;OFFSET('5  Control Accounts'!$BH$33,J62,0))</f>
        <v>0</v>
      </c>
      <c r="B62" s="961" t="str">
        <f ca="1">IF(I62=0,"0",OFFSET('5  Control Accounts'!$BK$33,J62,0))</f>
        <v>0</v>
      </c>
      <c r="C62" s="961" t="str">
        <f ca="1">IF(I62=0,TEXT(0,"0"),OFFSET('5  Control Accounts'!$FB$33,J62,0))</f>
        <v>0</v>
      </c>
      <c r="D62" s="1326" t="str">
        <f t="shared" ca="1" si="0"/>
        <v>0</v>
      </c>
      <c r="E62" s="1326" t="str">
        <f t="shared" ca="1" si="1"/>
        <v>0</v>
      </c>
      <c r="F62" s="961" t="str">
        <f ca="1">IF(L62=0,TEXT(0,"0"),TEXT(OFFSET('5  Control Accounts'!$DW$33,J62,0),"General"))</f>
        <v>0</v>
      </c>
      <c r="G62" s="750"/>
      <c r="H62" s="750"/>
      <c r="I62" s="1004">
        <f ca="1">$H$2*OFFSET('5  Control Accounts'!$CP$33,J62,0)</f>
        <v>0</v>
      </c>
      <c r="J62" s="537">
        <v>56</v>
      </c>
      <c r="L62" s="1409">
        <f ca="1">IF(I62=0,0,OFFSET('5  Control Accounts'!$FD$33,J62,0))</f>
        <v>0</v>
      </c>
      <c r="M62" s="1409">
        <f ca="1">IF(I62=0,0,OFFSET('5  Control Accounts'!$FE$33,J62,0))</f>
        <v>0</v>
      </c>
    </row>
    <row r="63" spans="1:13" x14ac:dyDescent="0.3">
      <c r="A63" s="961" t="str">
        <f ca="1">IF(L63=0,TEXT(0,"0"),OFFSET('5  Control Accounts'!$BF$33,J63,0)&amp;"."&amp;OFFSET('5  Control Accounts'!$BH$33,J63,0))</f>
        <v>0</v>
      </c>
      <c r="B63" s="961" t="str">
        <f ca="1">IF(I63=0,"0",OFFSET('5  Control Accounts'!$BK$33,J63,0))</f>
        <v>0</v>
      </c>
      <c r="C63" s="961" t="str">
        <f ca="1">IF(I63=0,TEXT(0,"0"),OFFSET('5  Control Accounts'!$FB$33,J63,0))</f>
        <v>0</v>
      </c>
      <c r="D63" s="1326" t="str">
        <f t="shared" ca="1" si="0"/>
        <v>0</v>
      </c>
      <c r="E63" s="1326" t="str">
        <f t="shared" ca="1" si="1"/>
        <v>0</v>
      </c>
      <c r="F63" s="961" t="str">
        <f ca="1">IF(L63=0,TEXT(0,"0"),TEXT(OFFSET('5  Control Accounts'!$DW$33,J63,0),"General"))</f>
        <v>0</v>
      </c>
      <c r="G63" s="750"/>
      <c r="H63" s="750"/>
      <c r="I63" s="1004">
        <f ca="1">$H$2*OFFSET('5  Control Accounts'!$CP$33,J63,0)</f>
        <v>0</v>
      </c>
      <c r="J63" s="537">
        <v>57</v>
      </c>
      <c r="L63" s="1409">
        <f ca="1">IF(I63=0,0,OFFSET('5  Control Accounts'!$FD$33,J63,0))</f>
        <v>0</v>
      </c>
      <c r="M63" s="1409">
        <f ca="1">IF(I63=0,0,OFFSET('5  Control Accounts'!$FE$33,J63,0))</f>
        <v>0</v>
      </c>
    </row>
    <row r="64" spans="1:13" x14ac:dyDescent="0.3">
      <c r="A64" s="961" t="str">
        <f ca="1">IF(L64=0,TEXT(0,"0"),OFFSET('5  Control Accounts'!$BF$33,J64,0)&amp;"."&amp;OFFSET('5  Control Accounts'!$BH$33,J64,0))</f>
        <v>0</v>
      </c>
      <c r="B64" s="961" t="str">
        <f ca="1">IF(I64=0,"0",OFFSET('5  Control Accounts'!$BK$33,J64,0))</f>
        <v>0</v>
      </c>
      <c r="C64" s="961" t="str">
        <f ca="1">IF(I64=0,TEXT(0,"0"),OFFSET('5  Control Accounts'!$FB$33,J64,0))</f>
        <v>0</v>
      </c>
      <c r="D64" s="1326" t="str">
        <f t="shared" ca="1" si="0"/>
        <v>0</v>
      </c>
      <c r="E64" s="1326" t="str">
        <f t="shared" ca="1" si="1"/>
        <v>0</v>
      </c>
      <c r="F64" s="961" t="str">
        <f ca="1">IF(L64=0,TEXT(0,"0"),TEXT(OFFSET('5  Control Accounts'!$DW$33,J64,0),"General"))</f>
        <v>0</v>
      </c>
      <c r="G64" s="750"/>
      <c r="H64" s="750"/>
      <c r="I64" s="1004">
        <f ca="1">$H$2*OFFSET('5  Control Accounts'!$CP$33,J64,0)</f>
        <v>0</v>
      </c>
      <c r="J64" s="537">
        <v>58</v>
      </c>
      <c r="L64" s="1409">
        <f ca="1">IF(I64=0,0,OFFSET('5  Control Accounts'!$FD$33,J64,0))</f>
        <v>0</v>
      </c>
      <c r="M64" s="1409">
        <f ca="1">IF(I64=0,0,OFFSET('5  Control Accounts'!$FE$33,J64,0))</f>
        <v>0</v>
      </c>
    </row>
    <row r="65" spans="1:13" x14ac:dyDescent="0.3">
      <c r="A65" s="961" t="str">
        <f ca="1">IF(L65=0,TEXT(0,"0"),OFFSET('5  Control Accounts'!$BF$33,J65,0)&amp;"."&amp;OFFSET('5  Control Accounts'!$BH$33,J65,0))</f>
        <v>0</v>
      </c>
      <c r="B65" s="961" t="str">
        <f ca="1">IF(I65=0,"0",OFFSET('5  Control Accounts'!$BK$33,J65,0))</f>
        <v>0</v>
      </c>
      <c r="C65" s="961" t="str">
        <f ca="1">IF(I65=0,TEXT(0,"0"),OFFSET('5  Control Accounts'!$FB$33,J65,0))</f>
        <v>0</v>
      </c>
      <c r="D65" s="1326" t="str">
        <f t="shared" ca="1" si="0"/>
        <v>0</v>
      </c>
      <c r="E65" s="1326" t="str">
        <f t="shared" ca="1" si="1"/>
        <v>0</v>
      </c>
      <c r="F65" s="961" t="str">
        <f ca="1">IF(L65=0,TEXT(0,"0"),TEXT(OFFSET('5  Control Accounts'!$DW$33,J65,0),"General"))</f>
        <v>0</v>
      </c>
      <c r="G65" s="750"/>
      <c r="H65" s="750"/>
      <c r="I65" s="1004">
        <f ca="1">$H$2*OFFSET('5  Control Accounts'!$CP$33,J65,0)</f>
        <v>0</v>
      </c>
      <c r="J65" s="537">
        <v>59</v>
      </c>
      <c r="L65" s="1409">
        <f ca="1">IF(I65=0,0,OFFSET('5  Control Accounts'!$FD$33,J65,0))</f>
        <v>0</v>
      </c>
      <c r="M65" s="1409">
        <f ca="1">IF(I65=0,0,OFFSET('5  Control Accounts'!$FE$33,J65,0))</f>
        <v>0</v>
      </c>
    </row>
    <row r="66" spans="1:13" x14ac:dyDescent="0.3">
      <c r="A66" s="961" t="str">
        <f ca="1">IF(L66=0,TEXT(0,"0"),OFFSET('5  Control Accounts'!$BF$33,J66,0)&amp;"."&amp;OFFSET('5  Control Accounts'!$BH$33,J66,0))</f>
        <v>0</v>
      </c>
      <c r="B66" s="961" t="str">
        <f ca="1">IF(I66=0,"0",OFFSET('5  Control Accounts'!$BK$33,J66,0))</f>
        <v>0</v>
      </c>
      <c r="C66" s="961" t="str">
        <f ca="1">IF(I66=0,TEXT(0,"0"),OFFSET('5  Control Accounts'!$FB$33,J66,0))</f>
        <v>0</v>
      </c>
      <c r="D66" s="1326" t="str">
        <f t="shared" ca="1" si="0"/>
        <v>0</v>
      </c>
      <c r="E66" s="1326" t="str">
        <f t="shared" ca="1" si="1"/>
        <v>0</v>
      </c>
      <c r="F66" s="961" t="str">
        <f ca="1">IF(L66=0,TEXT(0,"0"),TEXT(OFFSET('5  Control Accounts'!$DW$33,J66,0),"General"))</f>
        <v>0</v>
      </c>
      <c r="G66" s="750"/>
      <c r="H66" s="750"/>
      <c r="I66" s="1004">
        <f ca="1">$H$2*OFFSET('5  Control Accounts'!$CP$33,J66,0)</f>
        <v>0</v>
      </c>
      <c r="J66" s="537">
        <v>60</v>
      </c>
      <c r="L66" s="1409">
        <f ca="1">IF(I66=0,0,OFFSET('5  Control Accounts'!$FD$33,J66,0))</f>
        <v>0</v>
      </c>
      <c r="M66" s="1409">
        <f ca="1">IF(I66=0,0,OFFSET('5  Control Accounts'!$FE$33,J66,0))</f>
        <v>0</v>
      </c>
    </row>
    <row r="67" spans="1:13" x14ac:dyDescent="0.3">
      <c r="A67" s="961" t="str">
        <f ca="1">IF(L67=0,TEXT(0,"0"),OFFSET('5  Control Accounts'!$BF$33,J67,0)&amp;"."&amp;OFFSET('5  Control Accounts'!$BH$33,J67,0))</f>
        <v>0</v>
      </c>
      <c r="B67" s="961" t="str">
        <f ca="1">IF(I67=0,"0",OFFSET('5  Control Accounts'!$BK$33,J67,0))</f>
        <v>0</v>
      </c>
      <c r="C67" s="961" t="str">
        <f ca="1">IF(I67=0,TEXT(0,"0"),OFFSET('5  Control Accounts'!$FB$33,J67,0))</f>
        <v>0</v>
      </c>
      <c r="D67" s="1326" t="str">
        <f t="shared" ref="D67:D126" ca="1" si="2">IF(L67=0,TEXT(0,"0"),TEXT(L67,"DD/MMM/YYYY"))</f>
        <v>0</v>
      </c>
      <c r="E67" s="1326" t="str">
        <f t="shared" ref="E67:E126" ca="1" si="3">IF(M67=0,TEXT(0,"0"),TEXT(M67,"DD/MMM/YYYY"))</f>
        <v>0</v>
      </c>
      <c r="F67" s="961" t="str">
        <f ca="1">IF(L67=0,TEXT(0,"0"),TEXT(OFFSET('5  Control Accounts'!$DW$33,J67,0),"General"))</f>
        <v>0</v>
      </c>
      <c r="G67" s="750"/>
      <c r="H67" s="750"/>
      <c r="I67" s="1004">
        <f ca="1">$H$2*OFFSET('5  Control Accounts'!$CP$33,J67,0)</f>
        <v>0</v>
      </c>
      <c r="J67" s="537">
        <v>61</v>
      </c>
      <c r="L67" s="1409">
        <f ca="1">IF(I67=0,0,OFFSET('5  Control Accounts'!$FD$33,J67,0))</f>
        <v>0</v>
      </c>
      <c r="M67" s="1409">
        <f ca="1">IF(I67=0,0,OFFSET('5  Control Accounts'!$FE$33,J67,0))</f>
        <v>0</v>
      </c>
    </row>
    <row r="68" spans="1:13" x14ac:dyDescent="0.3">
      <c r="A68" s="961" t="str">
        <f ca="1">IF(L68=0,TEXT(0,"0"),OFFSET('5  Control Accounts'!$BF$33,J68,0)&amp;"."&amp;OFFSET('5  Control Accounts'!$BH$33,J68,0))</f>
        <v>0</v>
      </c>
      <c r="B68" s="961" t="str">
        <f ca="1">IF(I68=0,"0",OFFSET('5  Control Accounts'!$BK$33,J68,0))</f>
        <v>0</v>
      </c>
      <c r="C68" s="961" t="str">
        <f ca="1">IF(I68=0,TEXT(0,"0"),OFFSET('5  Control Accounts'!$FB$33,J68,0))</f>
        <v>0</v>
      </c>
      <c r="D68" s="1326" t="str">
        <f t="shared" ca="1" si="2"/>
        <v>0</v>
      </c>
      <c r="E68" s="1326" t="str">
        <f t="shared" ca="1" si="3"/>
        <v>0</v>
      </c>
      <c r="F68" s="961" t="str">
        <f ca="1">IF(L68=0,TEXT(0,"0"),TEXT(OFFSET('5  Control Accounts'!$DW$33,J68,0),"General"))</f>
        <v>0</v>
      </c>
      <c r="G68" s="750"/>
      <c r="H68" s="750"/>
      <c r="I68" s="1004">
        <f ca="1">$H$2*OFFSET('5  Control Accounts'!$CP$33,J68,0)</f>
        <v>0</v>
      </c>
      <c r="J68" s="537">
        <v>62</v>
      </c>
      <c r="L68" s="1409">
        <f ca="1">IF(I68=0,0,OFFSET('5  Control Accounts'!$FD$33,J68,0))</f>
        <v>0</v>
      </c>
      <c r="M68" s="1409">
        <f ca="1">IF(I68=0,0,OFFSET('5  Control Accounts'!$FE$33,J68,0))</f>
        <v>0</v>
      </c>
    </row>
    <row r="69" spans="1:13" x14ac:dyDescent="0.3">
      <c r="A69" s="961" t="str">
        <f ca="1">IF(L69=0,TEXT(0,"0"),OFFSET('5  Control Accounts'!$BF$33,J69,0)&amp;"."&amp;OFFSET('5  Control Accounts'!$BH$33,J69,0))</f>
        <v>0</v>
      </c>
      <c r="B69" s="961" t="str">
        <f ca="1">IF(I69=0,"0",OFFSET('5  Control Accounts'!$BK$33,J69,0))</f>
        <v>0</v>
      </c>
      <c r="C69" s="961" t="str">
        <f ca="1">IF(I69=0,TEXT(0,"0"),OFFSET('5  Control Accounts'!$FB$33,J69,0))</f>
        <v>0</v>
      </c>
      <c r="D69" s="1326" t="str">
        <f t="shared" ca="1" si="2"/>
        <v>0</v>
      </c>
      <c r="E69" s="1326" t="str">
        <f t="shared" ca="1" si="3"/>
        <v>0</v>
      </c>
      <c r="F69" s="961" t="str">
        <f ca="1">IF(L69=0,TEXT(0,"0"),TEXT(OFFSET('5  Control Accounts'!$DW$33,J69,0),"General"))</f>
        <v>0</v>
      </c>
      <c r="G69" s="750"/>
      <c r="H69" s="750"/>
      <c r="I69" s="1004">
        <f ca="1">$H$2*OFFSET('5  Control Accounts'!$CP$33,J69,0)</f>
        <v>0</v>
      </c>
      <c r="J69" s="537">
        <v>63</v>
      </c>
      <c r="L69" s="1409">
        <f ca="1">IF(I69=0,0,OFFSET('5  Control Accounts'!$FD$33,J69,0))</f>
        <v>0</v>
      </c>
      <c r="M69" s="1409">
        <f ca="1">IF(I69=0,0,OFFSET('5  Control Accounts'!$FE$33,J69,0))</f>
        <v>0</v>
      </c>
    </row>
    <row r="70" spans="1:13" x14ac:dyDescent="0.3">
      <c r="A70" s="961" t="str">
        <f ca="1">IF(L70=0,TEXT(0,"0"),OFFSET('5  Control Accounts'!$BF$33,J70,0)&amp;"."&amp;OFFSET('5  Control Accounts'!$BH$33,J70,0))</f>
        <v>0</v>
      </c>
      <c r="B70" s="961" t="str">
        <f ca="1">IF(I70=0,"0",OFFSET('5  Control Accounts'!$BK$33,J70,0))</f>
        <v>0</v>
      </c>
      <c r="C70" s="961" t="str">
        <f ca="1">IF(I70=0,TEXT(0,"0"),OFFSET('5  Control Accounts'!$FB$33,J70,0))</f>
        <v>0</v>
      </c>
      <c r="D70" s="1326" t="str">
        <f t="shared" ca="1" si="2"/>
        <v>0</v>
      </c>
      <c r="E70" s="1326" t="str">
        <f t="shared" ca="1" si="3"/>
        <v>0</v>
      </c>
      <c r="F70" s="961" t="str">
        <f ca="1">IF(L70=0,TEXT(0,"0"),TEXT(OFFSET('5  Control Accounts'!$DW$33,J70,0),"General"))</f>
        <v>0</v>
      </c>
      <c r="G70" s="750"/>
      <c r="H70" s="750"/>
      <c r="I70" s="1004">
        <f ca="1">$H$2*OFFSET('5  Control Accounts'!$CP$33,J70,0)</f>
        <v>0</v>
      </c>
      <c r="J70" s="537">
        <v>64</v>
      </c>
      <c r="L70" s="1409">
        <f ca="1">IF(I70=0,0,OFFSET('5  Control Accounts'!$FD$33,J70,0))</f>
        <v>0</v>
      </c>
      <c r="M70" s="1409">
        <f ca="1">IF(I70=0,0,OFFSET('5  Control Accounts'!$FE$33,J70,0))</f>
        <v>0</v>
      </c>
    </row>
    <row r="71" spans="1:13" x14ac:dyDescent="0.3">
      <c r="A71" s="961" t="str">
        <f ca="1">IF(L71=0,TEXT(0,"0"),OFFSET('5  Control Accounts'!$BF$33,J71,0)&amp;"."&amp;OFFSET('5  Control Accounts'!$BH$33,J71,0))</f>
        <v>0</v>
      </c>
      <c r="B71" s="961" t="str">
        <f ca="1">IF(I71=0,"0",OFFSET('5  Control Accounts'!$BK$33,J71,0))</f>
        <v>0</v>
      </c>
      <c r="C71" s="961" t="str">
        <f ca="1">IF(I71=0,TEXT(0,"0"),OFFSET('5  Control Accounts'!$FB$33,J71,0))</f>
        <v>0</v>
      </c>
      <c r="D71" s="1326" t="str">
        <f t="shared" ca="1" si="2"/>
        <v>0</v>
      </c>
      <c r="E71" s="1326" t="str">
        <f t="shared" ca="1" si="3"/>
        <v>0</v>
      </c>
      <c r="F71" s="961" t="str">
        <f ca="1">IF(L71=0,TEXT(0,"0"),TEXT(OFFSET('5  Control Accounts'!$DW$33,J71,0),"General"))</f>
        <v>0</v>
      </c>
      <c r="G71" s="750"/>
      <c r="H71" s="750"/>
      <c r="I71" s="1004">
        <f ca="1">$H$2*OFFSET('5  Control Accounts'!$CP$33,J71,0)</f>
        <v>0</v>
      </c>
      <c r="J71" s="537">
        <v>65</v>
      </c>
      <c r="L71" s="1409">
        <f ca="1">IF(I71=0,0,OFFSET('5  Control Accounts'!$FD$33,J71,0))</f>
        <v>0</v>
      </c>
      <c r="M71" s="1409">
        <f ca="1">IF(I71=0,0,OFFSET('5  Control Accounts'!$FE$33,J71,0))</f>
        <v>0</v>
      </c>
    </row>
    <row r="72" spans="1:13" x14ac:dyDescent="0.3">
      <c r="A72" s="961" t="str">
        <f ca="1">IF(L72=0,TEXT(0,"0"),OFFSET('5  Control Accounts'!$BF$33,J72,0)&amp;"."&amp;OFFSET('5  Control Accounts'!$BH$33,J72,0))</f>
        <v>0</v>
      </c>
      <c r="B72" s="961" t="str">
        <f ca="1">IF(I72=0,"0",OFFSET('5  Control Accounts'!$BK$33,J72,0))</f>
        <v>0</v>
      </c>
      <c r="C72" s="961" t="str">
        <f ca="1">IF(I72=0,TEXT(0,"0"),OFFSET('5  Control Accounts'!$FB$33,J72,0))</f>
        <v>0</v>
      </c>
      <c r="D72" s="1326" t="str">
        <f t="shared" ca="1" si="2"/>
        <v>0</v>
      </c>
      <c r="E72" s="1326" t="str">
        <f t="shared" ca="1" si="3"/>
        <v>0</v>
      </c>
      <c r="F72" s="961" t="str">
        <f ca="1">IF(L72=0,TEXT(0,"0"),TEXT(OFFSET('5  Control Accounts'!$DW$33,J72,0),"General"))</f>
        <v>0</v>
      </c>
      <c r="G72" s="750"/>
      <c r="H72" s="750"/>
      <c r="I72" s="1004">
        <f ca="1">$H$2*OFFSET('5  Control Accounts'!$CP$33,J72,0)</f>
        <v>0</v>
      </c>
      <c r="J72" s="537">
        <v>66</v>
      </c>
      <c r="L72" s="1409">
        <f ca="1">IF(I72=0,0,OFFSET('5  Control Accounts'!$FD$33,J72,0))</f>
        <v>0</v>
      </c>
      <c r="M72" s="1409">
        <f ca="1">IF(I72=0,0,OFFSET('5  Control Accounts'!$FE$33,J72,0))</f>
        <v>0</v>
      </c>
    </row>
    <row r="73" spans="1:13" x14ac:dyDescent="0.3">
      <c r="A73" s="961" t="str">
        <f ca="1">IF(L73=0,TEXT(0,"0"),OFFSET('5  Control Accounts'!$BF$33,J73,0)&amp;"."&amp;OFFSET('5  Control Accounts'!$BH$33,J73,0))</f>
        <v>0</v>
      </c>
      <c r="B73" s="961" t="str">
        <f ca="1">IF(I73=0,"0",OFFSET('5  Control Accounts'!$BK$33,J73,0))</f>
        <v>0</v>
      </c>
      <c r="C73" s="961" t="str">
        <f ca="1">IF(I73=0,TEXT(0,"0"),OFFSET('5  Control Accounts'!$FB$33,J73,0))</f>
        <v>0</v>
      </c>
      <c r="D73" s="1326" t="str">
        <f t="shared" ca="1" si="2"/>
        <v>0</v>
      </c>
      <c r="E73" s="1326" t="str">
        <f t="shared" ca="1" si="3"/>
        <v>0</v>
      </c>
      <c r="F73" s="961" t="str">
        <f ca="1">IF(L73=0,TEXT(0,"0"),TEXT(OFFSET('5  Control Accounts'!$DW$33,J73,0),"General"))</f>
        <v>0</v>
      </c>
      <c r="G73" s="750"/>
      <c r="H73" s="750"/>
      <c r="I73" s="1004">
        <f ca="1">$H$2*OFFSET('5  Control Accounts'!$CP$33,J73,0)</f>
        <v>0</v>
      </c>
      <c r="J73" s="537">
        <v>67</v>
      </c>
      <c r="L73" s="1409">
        <f ca="1">IF(I73=0,0,OFFSET('5  Control Accounts'!$FD$33,J73,0))</f>
        <v>0</v>
      </c>
      <c r="M73" s="1409">
        <f ca="1">IF(I73=0,0,OFFSET('5  Control Accounts'!$FE$33,J73,0))</f>
        <v>0</v>
      </c>
    </row>
    <row r="74" spans="1:13" x14ac:dyDescent="0.3">
      <c r="A74" s="961" t="str">
        <f ca="1">IF(L74=0,TEXT(0,"0"),OFFSET('5  Control Accounts'!$BF$33,J74,0)&amp;"."&amp;OFFSET('5  Control Accounts'!$BH$33,J74,0))</f>
        <v>0</v>
      </c>
      <c r="B74" s="961" t="str">
        <f ca="1">IF(I74=0,"0",OFFSET('5  Control Accounts'!$BK$33,J74,0))</f>
        <v>0</v>
      </c>
      <c r="C74" s="961" t="str">
        <f ca="1">IF(I74=0,TEXT(0,"0"),OFFSET('5  Control Accounts'!$FB$33,J74,0))</f>
        <v>0</v>
      </c>
      <c r="D74" s="1326" t="str">
        <f t="shared" ca="1" si="2"/>
        <v>0</v>
      </c>
      <c r="E74" s="1326" t="str">
        <f t="shared" ca="1" si="3"/>
        <v>0</v>
      </c>
      <c r="F74" s="961" t="str">
        <f ca="1">IF(L74=0,TEXT(0,"0"),TEXT(OFFSET('5  Control Accounts'!$DW$33,J74,0),"General"))</f>
        <v>0</v>
      </c>
      <c r="G74" s="750"/>
      <c r="H74" s="750"/>
      <c r="I74" s="1004">
        <f ca="1">$H$2*OFFSET('5  Control Accounts'!$CP$33,J74,0)</f>
        <v>0</v>
      </c>
      <c r="J74" s="537">
        <v>68</v>
      </c>
      <c r="L74" s="1409">
        <f ca="1">IF(I74=0,0,OFFSET('5  Control Accounts'!$FD$33,J74,0))</f>
        <v>0</v>
      </c>
      <c r="M74" s="1409">
        <f ca="1">IF(I74=0,0,OFFSET('5  Control Accounts'!$FE$33,J74,0))</f>
        <v>0</v>
      </c>
    </row>
    <row r="75" spans="1:13" x14ac:dyDescent="0.3">
      <c r="A75" s="961" t="str">
        <f ca="1">IF(L75=0,TEXT(0,"0"),OFFSET('5  Control Accounts'!$BF$33,J75,0)&amp;"."&amp;OFFSET('5  Control Accounts'!$BH$33,J75,0))</f>
        <v>0</v>
      </c>
      <c r="B75" s="961" t="str">
        <f ca="1">IF(I75=0,"0",OFFSET('5  Control Accounts'!$BK$33,J75,0))</f>
        <v>0</v>
      </c>
      <c r="C75" s="961" t="str">
        <f ca="1">IF(I75=0,TEXT(0,"0"),OFFSET('5  Control Accounts'!$FB$33,J75,0))</f>
        <v>0</v>
      </c>
      <c r="D75" s="1326" t="str">
        <f t="shared" ca="1" si="2"/>
        <v>0</v>
      </c>
      <c r="E75" s="1326" t="str">
        <f t="shared" ca="1" si="3"/>
        <v>0</v>
      </c>
      <c r="F75" s="961" t="str">
        <f ca="1">IF(L75=0,TEXT(0,"0"),TEXT(OFFSET('5  Control Accounts'!$DW$33,J75,0),"General"))</f>
        <v>0</v>
      </c>
      <c r="G75" s="750"/>
      <c r="H75" s="750"/>
      <c r="I75" s="1004">
        <f ca="1">$H$2*OFFSET('5  Control Accounts'!$CP$33,J75,0)</f>
        <v>0</v>
      </c>
      <c r="J75" s="537">
        <v>69</v>
      </c>
      <c r="L75" s="1409">
        <f ca="1">IF(I75=0,0,OFFSET('5  Control Accounts'!$FD$33,J75,0))</f>
        <v>0</v>
      </c>
      <c r="M75" s="1409">
        <f ca="1">IF(I75=0,0,OFFSET('5  Control Accounts'!$FE$33,J75,0))</f>
        <v>0</v>
      </c>
    </row>
    <row r="76" spans="1:13" x14ac:dyDescent="0.3">
      <c r="A76" s="961" t="str">
        <f ca="1">IF(L76=0,TEXT(0,"0"),OFFSET('5  Control Accounts'!$BF$33,J76,0)&amp;"."&amp;OFFSET('5  Control Accounts'!$BH$33,J76,0))</f>
        <v>0</v>
      </c>
      <c r="B76" s="961" t="str">
        <f ca="1">IF(I76=0,"0",OFFSET('5  Control Accounts'!$BK$33,J76,0))</f>
        <v>0</v>
      </c>
      <c r="C76" s="961" t="str">
        <f ca="1">IF(I76=0,TEXT(0,"0"),OFFSET('5  Control Accounts'!$FB$33,J76,0))</f>
        <v>0</v>
      </c>
      <c r="D76" s="1326" t="str">
        <f t="shared" ca="1" si="2"/>
        <v>0</v>
      </c>
      <c r="E76" s="1326" t="str">
        <f t="shared" ca="1" si="3"/>
        <v>0</v>
      </c>
      <c r="F76" s="961" t="str">
        <f ca="1">IF(L76=0,TEXT(0,"0"),TEXT(OFFSET('5  Control Accounts'!$DW$33,J76,0),"General"))</f>
        <v>0</v>
      </c>
      <c r="G76" s="750"/>
      <c r="H76" s="750"/>
      <c r="I76" s="1004">
        <f ca="1">$H$2*OFFSET('5  Control Accounts'!$CP$33,J76,0)</f>
        <v>0</v>
      </c>
      <c r="J76" s="537">
        <v>70</v>
      </c>
      <c r="L76" s="1409">
        <f ca="1">IF(I76=0,0,OFFSET('5  Control Accounts'!$FD$33,J76,0))</f>
        <v>0</v>
      </c>
      <c r="M76" s="1409">
        <f ca="1">IF(I76=0,0,OFFSET('5  Control Accounts'!$FE$33,J76,0))</f>
        <v>0</v>
      </c>
    </row>
    <row r="77" spans="1:13" x14ac:dyDescent="0.3">
      <c r="A77" s="961" t="str">
        <f ca="1">IF(L77=0,TEXT(0,"0"),OFFSET('5  Control Accounts'!$BF$33,J77,0)&amp;"."&amp;OFFSET('5  Control Accounts'!$BH$33,J77,0))</f>
        <v>0</v>
      </c>
      <c r="B77" s="961" t="str">
        <f ca="1">IF(I77=0,"0",OFFSET('5  Control Accounts'!$BK$33,J77,0))</f>
        <v>0</v>
      </c>
      <c r="C77" s="961" t="str">
        <f ca="1">IF(I77=0,TEXT(0,"0"),OFFSET('5  Control Accounts'!$FB$33,J77,0))</f>
        <v>0</v>
      </c>
      <c r="D77" s="1326" t="str">
        <f t="shared" ca="1" si="2"/>
        <v>0</v>
      </c>
      <c r="E77" s="1326" t="str">
        <f t="shared" ca="1" si="3"/>
        <v>0</v>
      </c>
      <c r="F77" s="961" t="str">
        <f ca="1">IF(L77=0,TEXT(0,"0"),TEXT(OFFSET('5  Control Accounts'!$DW$33,J77,0),"General"))</f>
        <v>0</v>
      </c>
      <c r="G77" s="750"/>
      <c r="H77" s="750"/>
      <c r="I77" s="1004">
        <f ca="1">$H$2*OFFSET('5  Control Accounts'!$CP$33,J77,0)</f>
        <v>0</v>
      </c>
      <c r="J77" s="537">
        <v>71</v>
      </c>
      <c r="L77" s="1409">
        <f ca="1">IF(I77=0,0,OFFSET('5  Control Accounts'!$FD$33,J77,0))</f>
        <v>0</v>
      </c>
      <c r="M77" s="1409">
        <f ca="1">IF(I77=0,0,OFFSET('5  Control Accounts'!$FE$33,J77,0))</f>
        <v>0</v>
      </c>
    </row>
    <row r="78" spans="1:13" x14ac:dyDescent="0.3">
      <c r="A78" s="961" t="str">
        <f ca="1">IF(L78=0,TEXT(0,"0"),OFFSET('5  Control Accounts'!$BF$33,J78,0)&amp;"."&amp;OFFSET('5  Control Accounts'!$BH$33,J78,0))</f>
        <v>0</v>
      </c>
      <c r="B78" s="961" t="str">
        <f ca="1">IF(I78=0,"0",OFFSET('5  Control Accounts'!$BK$33,J78,0))</f>
        <v>0</v>
      </c>
      <c r="C78" s="961" t="str">
        <f ca="1">IF(I78=0,TEXT(0,"0"),OFFSET('5  Control Accounts'!$FB$33,J78,0))</f>
        <v>0</v>
      </c>
      <c r="D78" s="1326" t="str">
        <f t="shared" ca="1" si="2"/>
        <v>0</v>
      </c>
      <c r="E78" s="1326" t="str">
        <f t="shared" ca="1" si="3"/>
        <v>0</v>
      </c>
      <c r="F78" s="961" t="str">
        <f ca="1">IF(L78=0,TEXT(0,"0"),TEXT(OFFSET('5  Control Accounts'!$DW$33,J78,0),"General"))</f>
        <v>0</v>
      </c>
      <c r="G78" s="750"/>
      <c r="H78" s="750"/>
      <c r="I78" s="1004">
        <f ca="1">$H$2*OFFSET('5  Control Accounts'!$CP$33,J78,0)</f>
        <v>0</v>
      </c>
      <c r="J78" s="537">
        <v>72</v>
      </c>
      <c r="L78" s="1409">
        <f ca="1">IF(I78=0,0,OFFSET('5  Control Accounts'!$FD$33,J78,0))</f>
        <v>0</v>
      </c>
      <c r="M78" s="1409">
        <f ca="1">IF(I78=0,0,OFFSET('5  Control Accounts'!$FE$33,J78,0))</f>
        <v>0</v>
      </c>
    </row>
    <row r="79" spans="1:13" x14ac:dyDescent="0.3">
      <c r="A79" s="961" t="str">
        <f ca="1">IF(L79=0,TEXT(0,"0"),OFFSET('5  Control Accounts'!$BF$33,J79,0)&amp;"."&amp;OFFSET('5  Control Accounts'!$BH$33,J79,0))</f>
        <v>0</v>
      </c>
      <c r="B79" s="961" t="str">
        <f ca="1">IF(I79=0,"0",OFFSET('5  Control Accounts'!$BK$33,J79,0))</f>
        <v>0</v>
      </c>
      <c r="C79" s="961" t="str">
        <f ca="1">IF(I79=0,TEXT(0,"0"),OFFSET('5  Control Accounts'!$FB$33,J79,0))</f>
        <v>0</v>
      </c>
      <c r="D79" s="1326" t="str">
        <f t="shared" ca="1" si="2"/>
        <v>0</v>
      </c>
      <c r="E79" s="1326" t="str">
        <f t="shared" ca="1" si="3"/>
        <v>0</v>
      </c>
      <c r="F79" s="961" t="str">
        <f ca="1">IF(L79=0,TEXT(0,"0"),TEXT(OFFSET('5  Control Accounts'!$DW$33,J79,0),"General"))</f>
        <v>0</v>
      </c>
      <c r="G79" s="750"/>
      <c r="H79" s="750"/>
      <c r="I79" s="1004">
        <f ca="1">$H$2*OFFSET('5  Control Accounts'!$CP$33,J79,0)</f>
        <v>0</v>
      </c>
      <c r="J79" s="537">
        <v>73</v>
      </c>
      <c r="L79" s="1409">
        <f ca="1">IF(I79=0,0,OFFSET('5  Control Accounts'!$FD$33,J79,0))</f>
        <v>0</v>
      </c>
      <c r="M79" s="1409">
        <f ca="1">IF(I79=0,0,OFFSET('5  Control Accounts'!$FE$33,J79,0))</f>
        <v>0</v>
      </c>
    </row>
    <row r="80" spans="1:13" x14ac:dyDescent="0.3">
      <c r="A80" s="961" t="str">
        <f ca="1">IF(L80=0,TEXT(0,"0"),OFFSET('5  Control Accounts'!$BF$33,J80,0)&amp;"."&amp;OFFSET('5  Control Accounts'!$BH$33,J80,0))</f>
        <v>0</v>
      </c>
      <c r="B80" s="961" t="str">
        <f ca="1">IF(I80=0,"0",OFFSET('5  Control Accounts'!$BK$33,J80,0))</f>
        <v>0</v>
      </c>
      <c r="C80" s="961" t="str">
        <f ca="1">IF(I80=0,TEXT(0,"0"),OFFSET('5  Control Accounts'!$FB$33,J80,0))</f>
        <v>0</v>
      </c>
      <c r="D80" s="1326" t="str">
        <f t="shared" ca="1" si="2"/>
        <v>0</v>
      </c>
      <c r="E80" s="1326" t="str">
        <f t="shared" ca="1" si="3"/>
        <v>0</v>
      </c>
      <c r="F80" s="961" t="str">
        <f ca="1">IF(L80=0,TEXT(0,"0"),TEXT(OFFSET('5  Control Accounts'!$DW$33,J80,0),"General"))</f>
        <v>0</v>
      </c>
      <c r="G80" s="750"/>
      <c r="H80" s="750"/>
      <c r="I80" s="1004">
        <f ca="1">$H$2*OFFSET('5  Control Accounts'!$CP$33,J80,0)</f>
        <v>0</v>
      </c>
      <c r="J80" s="537">
        <v>74</v>
      </c>
      <c r="L80" s="1409">
        <f ca="1">IF(I80=0,0,OFFSET('5  Control Accounts'!$FD$33,J80,0))</f>
        <v>0</v>
      </c>
      <c r="M80" s="1409">
        <f ca="1">IF(I80=0,0,OFFSET('5  Control Accounts'!$FE$33,J80,0))</f>
        <v>0</v>
      </c>
    </row>
    <row r="81" spans="1:13" x14ac:dyDescent="0.3">
      <c r="A81" s="961" t="str">
        <f ca="1">IF(L81=0,TEXT(0,"0"),OFFSET('5  Control Accounts'!$BF$33,J81,0)&amp;"."&amp;OFFSET('5  Control Accounts'!$BH$33,J81,0))</f>
        <v>0</v>
      </c>
      <c r="B81" s="961" t="str">
        <f ca="1">IF(I81=0,"0",OFFSET('5  Control Accounts'!$BK$33,J81,0))</f>
        <v>0</v>
      </c>
      <c r="C81" s="961" t="str">
        <f ca="1">IF(I81=0,TEXT(0,"0"),OFFSET('5  Control Accounts'!$FB$33,J81,0))</f>
        <v>0</v>
      </c>
      <c r="D81" s="1326" t="str">
        <f t="shared" ca="1" si="2"/>
        <v>0</v>
      </c>
      <c r="E81" s="1326" t="str">
        <f t="shared" ca="1" si="3"/>
        <v>0</v>
      </c>
      <c r="F81" s="961" t="str">
        <f ca="1">IF(L81=0,TEXT(0,"0"),TEXT(OFFSET('5  Control Accounts'!$DW$33,J81,0),"General"))</f>
        <v>0</v>
      </c>
      <c r="G81" s="750"/>
      <c r="H81" s="750"/>
      <c r="I81" s="1004">
        <f ca="1">$H$2*OFFSET('5  Control Accounts'!$CP$33,J81,0)</f>
        <v>0</v>
      </c>
      <c r="J81" s="537">
        <v>75</v>
      </c>
      <c r="L81" s="1409">
        <f ca="1">IF(I81=0,0,OFFSET('5  Control Accounts'!$FD$33,J81,0))</f>
        <v>0</v>
      </c>
      <c r="M81" s="1409">
        <f ca="1">IF(I81=0,0,OFFSET('5  Control Accounts'!$FE$33,J81,0))</f>
        <v>0</v>
      </c>
    </row>
    <row r="82" spans="1:13" x14ac:dyDescent="0.3">
      <c r="A82" s="961" t="str">
        <f ca="1">IF(L82=0,TEXT(0,"0"),OFFSET('5  Control Accounts'!$BF$33,J82,0)&amp;"."&amp;OFFSET('5  Control Accounts'!$BH$33,J82,0))</f>
        <v>0</v>
      </c>
      <c r="B82" s="961" t="str">
        <f ca="1">IF(I82=0,"0",OFFSET('5  Control Accounts'!$BK$33,J82,0))</f>
        <v>0</v>
      </c>
      <c r="C82" s="961" t="str">
        <f ca="1">IF(I82=0,TEXT(0,"0"),OFFSET('5  Control Accounts'!$FB$33,J82,0))</f>
        <v>0</v>
      </c>
      <c r="D82" s="1326" t="str">
        <f t="shared" ca="1" si="2"/>
        <v>0</v>
      </c>
      <c r="E82" s="1326" t="str">
        <f t="shared" ca="1" si="3"/>
        <v>0</v>
      </c>
      <c r="F82" s="961" t="str">
        <f ca="1">IF(L82=0,TEXT(0,"0"),TEXT(OFFSET('5  Control Accounts'!$DW$33,J82,0),"General"))</f>
        <v>0</v>
      </c>
      <c r="G82" s="750"/>
      <c r="H82" s="750"/>
      <c r="I82" s="1004">
        <f ca="1">$H$2*OFFSET('5  Control Accounts'!$CP$33,J82,0)</f>
        <v>0</v>
      </c>
      <c r="J82" s="537">
        <v>76</v>
      </c>
      <c r="L82" s="1409">
        <f ca="1">IF(I82=0,0,OFFSET('5  Control Accounts'!$FD$33,J82,0))</f>
        <v>0</v>
      </c>
      <c r="M82" s="1409">
        <f ca="1">IF(I82=0,0,OFFSET('5  Control Accounts'!$FE$33,J82,0))</f>
        <v>0</v>
      </c>
    </row>
    <row r="83" spans="1:13" x14ac:dyDescent="0.3">
      <c r="A83" s="961" t="str">
        <f ca="1">IF(L83=0,TEXT(0,"0"),OFFSET('5  Control Accounts'!$BF$33,J83,0)&amp;"."&amp;OFFSET('5  Control Accounts'!$BH$33,J83,0))</f>
        <v>0</v>
      </c>
      <c r="B83" s="961" t="str">
        <f ca="1">IF(I83=0,"0",OFFSET('5  Control Accounts'!$BK$33,J83,0))</f>
        <v>0</v>
      </c>
      <c r="C83" s="961" t="str">
        <f ca="1">IF(I83=0,TEXT(0,"0"),OFFSET('5  Control Accounts'!$FB$33,J83,0))</f>
        <v>0</v>
      </c>
      <c r="D83" s="1326" t="str">
        <f t="shared" ca="1" si="2"/>
        <v>0</v>
      </c>
      <c r="E83" s="1326" t="str">
        <f t="shared" ca="1" si="3"/>
        <v>0</v>
      </c>
      <c r="F83" s="961" t="str">
        <f ca="1">IF(L83=0,TEXT(0,"0"),TEXT(OFFSET('5  Control Accounts'!$DW$33,J83,0),"General"))</f>
        <v>0</v>
      </c>
      <c r="G83" s="750"/>
      <c r="H83" s="750"/>
      <c r="I83" s="1004">
        <f ca="1">$H$2*OFFSET('5  Control Accounts'!$CP$33,J83,0)</f>
        <v>0</v>
      </c>
      <c r="J83" s="537">
        <v>77</v>
      </c>
      <c r="L83" s="1409">
        <f ca="1">IF(I83=0,0,OFFSET('5  Control Accounts'!$FD$33,J83,0))</f>
        <v>0</v>
      </c>
      <c r="M83" s="1409">
        <f ca="1">IF(I83=0,0,OFFSET('5  Control Accounts'!$FE$33,J83,0))</f>
        <v>0</v>
      </c>
    </row>
    <row r="84" spans="1:13" x14ac:dyDescent="0.3">
      <c r="A84" s="961" t="str">
        <f ca="1">IF(L84=0,TEXT(0,"0"),OFFSET('5  Control Accounts'!$BF$33,J84,0)&amp;"."&amp;OFFSET('5  Control Accounts'!$BH$33,J84,0))</f>
        <v>0</v>
      </c>
      <c r="B84" s="961" t="str">
        <f ca="1">IF(I84=0,"0",OFFSET('5  Control Accounts'!$BK$33,J84,0))</f>
        <v>0</v>
      </c>
      <c r="C84" s="961" t="str">
        <f ca="1">IF(I84=0,TEXT(0,"0"),OFFSET('5  Control Accounts'!$FB$33,J84,0))</f>
        <v>0</v>
      </c>
      <c r="D84" s="1326" t="str">
        <f t="shared" ca="1" si="2"/>
        <v>0</v>
      </c>
      <c r="E84" s="1326" t="str">
        <f t="shared" ca="1" si="3"/>
        <v>0</v>
      </c>
      <c r="F84" s="961" t="str">
        <f ca="1">IF(L84=0,TEXT(0,"0"),TEXT(OFFSET('5  Control Accounts'!$DW$33,J84,0),"General"))</f>
        <v>0</v>
      </c>
      <c r="G84" s="750"/>
      <c r="H84" s="750"/>
      <c r="I84" s="1004">
        <f ca="1">$H$2*OFFSET('5  Control Accounts'!$CP$33,J84,0)</f>
        <v>0</v>
      </c>
      <c r="J84" s="537">
        <v>78</v>
      </c>
      <c r="L84" s="1409">
        <f ca="1">IF(I84=0,0,OFFSET('5  Control Accounts'!$FD$33,J84,0))</f>
        <v>0</v>
      </c>
      <c r="M84" s="1409">
        <f ca="1">IF(I84=0,0,OFFSET('5  Control Accounts'!$FE$33,J84,0))</f>
        <v>0</v>
      </c>
    </row>
    <row r="85" spans="1:13" x14ac:dyDescent="0.3">
      <c r="A85" s="961" t="str">
        <f ca="1">IF(L85=0,TEXT(0,"0"),OFFSET('5  Control Accounts'!$BF$33,J85,0)&amp;"."&amp;OFFSET('5  Control Accounts'!$BH$33,J85,0))</f>
        <v>0</v>
      </c>
      <c r="B85" s="961" t="str">
        <f ca="1">IF(I85=0,"0",OFFSET('5  Control Accounts'!$BK$33,J85,0))</f>
        <v>0</v>
      </c>
      <c r="C85" s="961" t="str">
        <f ca="1">IF(I85=0,TEXT(0,"0"),OFFSET('5  Control Accounts'!$FB$33,J85,0))</f>
        <v>0</v>
      </c>
      <c r="D85" s="1326" t="str">
        <f t="shared" ca="1" si="2"/>
        <v>0</v>
      </c>
      <c r="E85" s="1326" t="str">
        <f t="shared" ca="1" si="3"/>
        <v>0</v>
      </c>
      <c r="F85" s="961" t="str">
        <f ca="1">IF(L85=0,TEXT(0,"0"),TEXT(OFFSET('5  Control Accounts'!$DW$33,J85,0),"General"))</f>
        <v>0</v>
      </c>
      <c r="G85" s="750"/>
      <c r="H85" s="750"/>
      <c r="I85" s="1004">
        <f ca="1">$H$2*OFFSET('5  Control Accounts'!$CP$33,J85,0)</f>
        <v>0</v>
      </c>
      <c r="J85" s="537">
        <v>79</v>
      </c>
      <c r="L85" s="1409">
        <f ca="1">IF(I85=0,0,OFFSET('5  Control Accounts'!$FD$33,J85,0))</f>
        <v>0</v>
      </c>
      <c r="M85" s="1409">
        <f ca="1">IF(I85=0,0,OFFSET('5  Control Accounts'!$FE$33,J85,0))</f>
        <v>0</v>
      </c>
    </row>
    <row r="86" spans="1:13" x14ac:dyDescent="0.3">
      <c r="A86" s="961" t="str">
        <f ca="1">IF(L86=0,TEXT(0,"0"),OFFSET('5  Control Accounts'!$BF$33,J86,0)&amp;"."&amp;OFFSET('5  Control Accounts'!$BH$33,J86,0))</f>
        <v>0</v>
      </c>
      <c r="B86" s="961" t="str">
        <f ca="1">IF(I86=0,"0",OFFSET('5  Control Accounts'!$BK$33,J86,0))</f>
        <v>0</v>
      </c>
      <c r="C86" s="961" t="str">
        <f ca="1">IF(I86=0,TEXT(0,"0"),OFFSET('5  Control Accounts'!$FB$33,J86,0))</f>
        <v>0</v>
      </c>
      <c r="D86" s="1326" t="str">
        <f t="shared" ca="1" si="2"/>
        <v>0</v>
      </c>
      <c r="E86" s="1326" t="str">
        <f t="shared" ca="1" si="3"/>
        <v>0</v>
      </c>
      <c r="F86" s="961" t="str">
        <f ca="1">IF(L86=0,TEXT(0,"0"),TEXT(OFFSET('5  Control Accounts'!$DW$33,J86,0),"General"))</f>
        <v>0</v>
      </c>
      <c r="G86" s="750"/>
      <c r="H86" s="750"/>
      <c r="I86" s="1004">
        <f ca="1">$H$2*OFFSET('5  Control Accounts'!$CP$33,J86,0)</f>
        <v>0</v>
      </c>
      <c r="J86" s="537">
        <v>80</v>
      </c>
      <c r="L86" s="1409">
        <f ca="1">IF(I86=0,0,OFFSET('5  Control Accounts'!$FD$33,J86,0))</f>
        <v>0</v>
      </c>
      <c r="M86" s="1409">
        <f ca="1">IF(I86=0,0,OFFSET('5  Control Accounts'!$FE$33,J86,0))</f>
        <v>0</v>
      </c>
    </row>
    <row r="87" spans="1:13" x14ac:dyDescent="0.3">
      <c r="A87" s="961" t="str">
        <f ca="1">IF(L87=0,TEXT(0,"0"),OFFSET('5  Control Accounts'!$BF$33,J87,0)&amp;"."&amp;OFFSET('5  Control Accounts'!$BH$33,J87,0))</f>
        <v>0</v>
      </c>
      <c r="B87" s="961" t="str">
        <f ca="1">IF(I87=0,"0",OFFSET('5  Control Accounts'!$BK$33,J87,0))</f>
        <v>0</v>
      </c>
      <c r="C87" s="961" t="str">
        <f ca="1">IF(I87=0,TEXT(0,"0"),OFFSET('5  Control Accounts'!$FB$33,J87,0))</f>
        <v>0</v>
      </c>
      <c r="D87" s="1326" t="str">
        <f t="shared" ca="1" si="2"/>
        <v>0</v>
      </c>
      <c r="E87" s="1326" t="str">
        <f t="shared" ca="1" si="3"/>
        <v>0</v>
      </c>
      <c r="F87" s="961" t="str">
        <f ca="1">IF(L87=0,TEXT(0,"0"),TEXT(OFFSET('5  Control Accounts'!$DW$33,J87,0),"General"))</f>
        <v>0</v>
      </c>
      <c r="G87" s="750"/>
      <c r="H87" s="750"/>
      <c r="I87" s="1004">
        <f ca="1">$H$2*OFFSET('5  Control Accounts'!$CP$33,J87,0)</f>
        <v>0</v>
      </c>
      <c r="J87" s="537">
        <v>81</v>
      </c>
      <c r="L87" s="1409">
        <f ca="1">IF(I87=0,0,OFFSET('5  Control Accounts'!$FD$33,J87,0))</f>
        <v>0</v>
      </c>
      <c r="M87" s="1409">
        <f ca="1">IF(I87=0,0,OFFSET('5  Control Accounts'!$FE$33,J87,0))</f>
        <v>0</v>
      </c>
    </row>
    <row r="88" spans="1:13" x14ac:dyDescent="0.3">
      <c r="A88" s="961" t="str">
        <f ca="1">IF(L88=0,TEXT(0,"0"),OFFSET('5  Control Accounts'!$BF$33,J88,0)&amp;"."&amp;OFFSET('5  Control Accounts'!$BH$33,J88,0))</f>
        <v>0</v>
      </c>
      <c r="B88" s="961" t="str">
        <f ca="1">IF(I88=0,"0",OFFSET('5  Control Accounts'!$BK$33,J88,0))</f>
        <v>0</v>
      </c>
      <c r="C88" s="961" t="str">
        <f ca="1">IF(I88=0,TEXT(0,"0"),OFFSET('5  Control Accounts'!$FB$33,J88,0))</f>
        <v>0</v>
      </c>
      <c r="D88" s="1326" t="str">
        <f t="shared" ca="1" si="2"/>
        <v>0</v>
      </c>
      <c r="E88" s="1326" t="str">
        <f t="shared" ca="1" si="3"/>
        <v>0</v>
      </c>
      <c r="F88" s="961" t="str">
        <f ca="1">IF(L88=0,TEXT(0,"0"),TEXT(OFFSET('5  Control Accounts'!$DW$33,J88,0),"General"))</f>
        <v>0</v>
      </c>
      <c r="G88" s="750"/>
      <c r="H88" s="750"/>
      <c r="I88" s="1004">
        <f ca="1">$H$2*OFFSET('5  Control Accounts'!$CP$33,J88,0)</f>
        <v>0</v>
      </c>
      <c r="J88" s="537">
        <v>82</v>
      </c>
      <c r="L88" s="1409">
        <f ca="1">IF(I88=0,0,OFFSET('5  Control Accounts'!$FD$33,J88,0))</f>
        <v>0</v>
      </c>
      <c r="M88" s="1409">
        <f ca="1">IF(I88=0,0,OFFSET('5  Control Accounts'!$FE$33,J88,0))</f>
        <v>0</v>
      </c>
    </row>
    <row r="89" spans="1:13" x14ac:dyDescent="0.3">
      <c r="A89" s="961" t="str">
        <f ca="1">IF(L89=0,TEXT(0,"0"),OFFSET('5  Control Accounts'!$BF$33,J89,0)&amp;"."&amp;OFFSET('5  Control Accounts'!$BH$33,J89,0))</f>
        <v>0</v>
      </c>
      <c r="B89" s="961" t="str">
        <f ca="1">IF(I89=0,"0",OFFSET('5  Control Accounts'!$BK$33,J89,0))</f>
        <v>0</v>
      </c>
      <c r="C89" s="961" t="str">
        <f ca="1">IF(I89=0,TEXT(0,"0"),OFFSET('5  Control Accounts'!$FB$33,J89,0))</f>
        <v>0</v>
      </c>
      <c r="D89" s="1326" t="str">
        <f t="shared" ca="1" si="2"/>
        <v>0</v>
      </c>
      <c r="E89" s="1326" t="str">
        <f t="shared" ca="1" si="3"/>
        <v>0</v>
      </c>
      <c r="F89" s="961" t="str">
        <f ca="1">IF(L89=0,TEXT(0,"0"),TEXT(OFFSET('5  Control Accounts'!$DW$33,J89,0),"General"))</f>
        <v>0</v>
      </c>
      <c r="G89" s="750"/>
      <c r="H89" s="750"/>
      <c r="I89" s="1004">
        <f ca="1">$H$2*OFFSET('5  Control Accounts'!$CP$33,J89,0)</f>
        <v>0</v>
      </c>
      <c r="J89" s="537">
        <v>83</v>
      </c>
      <c r="L89" s="1409">
        <f ca="1">IF(I89=0,0,OFFSET('5  Control Accounts'!$FD$33,J89,0))</f>
        <v>0</v>
      </c>
      <c r="M89" s="1409">
        <f ca="1">IF(I89=0,0,OFFSET('5  Control Accounts'!$FE$33,J89,0))</f>
        <v>0</v>
      </c>
    </row>
    <row r="90" spans="1:13" x14ac:dyDescent="0.3">
      <c r="A90" s="961" t="str">
        <f ca="1">IF(L90=0,TEXT(0,"0"),OFFSET('5  Control Accounts'!$BF$33,J90,0)&amp;"."&amp;OFFSET('5  Control Accounts'!$BH$33,J90,0))</f>
        <v>0</v>
      </c>
      <c r="B90" s="961" t="str">
        <f ca="1">IF(I90=0,"0",OFFSET('5  Control Accounts'!$BK$33,J90,0))</f>
        <v>0</v>
      </c>
      <c r="C90" s="961" t="str">
        <f ca="1">IF(I90=0,TEXT(0,"0"),OFFSET('5  Control Accounts'!$FB$33,J90,0))</f>
        <v>0</v>
      </c>
      <c r="D90" s="1326" t="str">
        <f t="shared" ca="1" si="2"/>
        <v>0</v>
      </c>
      <c r="E90" s="1326" t="str">
        <f t="shared" ca="1" si="3"/>
        <v>0</v>
      </c>
      <c r="F90" s="961" t="str">
        <f ca="1">IF(L90=0,TEXT(0,"0"),TEXT(OFFSET('5  Control Accounts'!$DW$33,J90,0),"General"))</f>
        <v>0</v>
      </c>
      <c r="G90" s="750"/>
      <c r="H90" s="750"/>
      <c r="I90" s="1004">
        <f ca="1">$H$2*OFFSET('5  Control Accounts'!$CP$33,J90,0)</f>
        <v>0</v>
      </c>
      <c r="J90" s="537">
        <v>84</v>
      </c>
      <c r="L90" s="1409">
        <f ca="1">IF(I90=0,0,OFFSET('5  Control Accounts'!$FD$33,J90,0))</f>
        <v>0</v>
      </c>
      <c r="M90" s="1409">
        <f ca="1">IF(I90=0,0,OFFSET('5  Control Accounts'!$FE$33,J90,0))</f>
        <v>0</v>
      </c>
    </row>
    <row r="91" spans="1:13" x14ac:dyDescent="0.3">
      <c r="A91" s="961" t="str">
        <f ca="1">IF(L91=0,TEXT(0,"0"),OFFSET('5  Control Accounts'!$BF$33,J91,0)&amp;"."&amp;OFFSET('5  Control Accounts'!$BH$33,J91,0))</f>
        <v>0</v>
      </c>
      <c r="B91" s="961" t="str">
        <f ca="1">IF(I91=0,"0",OFFSET('5  Control Accounts'!$BK$33,J91,0))</f>
        <v>0</v>
      </c>
      <c r="C91" s="961" t="str">
        <f ca="1">IF(I91=0,TEXT(0,"0"),OFFSET('5  Control Accounts'!$FB$33,J91,0))</f>
        <v>0</v>
      </c>
      <c r="D91" s="1326" t="str">
        <f t="shared" ca="1" si="2"/>
        <v>0</v>
      </c>
      <c r="E91" s="1326" t="str">
        <f t="shared" ca="1" si="3"/>
        <v>0</v>
      </c>
      <c r="F91" s="961" t="str">
        <f ca="1">IF(L91=0,TEXT(0,"0"),TEXT(OFFSET('5  Control Accounts'!$DW$33,J91,0),"General"))</f>
        <v>0</v>
      </c>
      <c r="G91" s="750"/>
      <c r="H91" s="750"/>
      <c r="I91" s="1004">
        <f ca="1">$H$2*OFFSET('5  Control Accounts'!$CP$33,J91,0)</f>
        <v>0</v>
      </c>
      <c r="J91" s="537">
        <v>85</v>
      </c>
      <c r="L91" s="1409">
        <f ca="1">IF(I91=0,0,OFFSET('5  Control Accounts'!$FD$33,J91,0))</f>
        <v>0</v>
      </c>
      <c r="M91" s="1409">
        <f ca="1">IF(I91=0,0,OFFSET('5  Control Accounts'!$FE$33,J91,0))</f>
        <v>0</v>
      </c>
    </row>
    <row r="92" spans="1:13" x14ac:dyDescent="0.3">
      <c r="A92" s="961" t="str">
        <f ca="1">IF(L92=0,TEXT(0,"0"),OFFSET('5  Control Accounts'!$BF$33,J92,0)&amp;"."&amp;OFFSET('5  Control Accounts'!$BH$33,J92,0))</f>
        <v>0</v>
      </c>
      <c r="B92" s="961" t="str">
        <f ca="1">IF(I92=0,"0",OFFSET('5  Control Accounts'!$BK$33,J92,0))</f>
        <v>0</v>
      </c>
      <c r="C92" s="961" t="str">
        <f ca="1">IF(I92=0,TEXT(0,"0"),OFFSET('5  Control Accounts'!$FB$33,J92,0))</f>
        <v>0</v>
      </c>
      <c r="D92" s="1326" t="str">
        <f t="shared" ca="1" si="2"/>
        <v>0</v>
      </c>
      <c r="E92" s="1326" t="str">
        <f t="shared" ca="1" si="3"/>
        <v>0</v>
      </c>
      <c r="F92" s="961" t="str">
        <f ca="1">IF(L92=0,TEXT(0,"0"),TEXT(OFFSET('5  Control Accounts'!$DW$33,J92,0),"General"))</f>
        <v>0</v>
      </c>
      <c r="G92" s="750"/>
      <c r="H92" s="750"/>
      <c r="I92" s="1004">
        <f ca="1">$H$2*OFFSET('5  Control Accounts'!$CP$33,J92,0)</f>
        <v>0</v>
      </c>
      <c r="J92" s="537">
        <v>86</v>
      </c>
      <c r="L92" s="1409">
        <f ca="1">IF(I92=0,0,OFFSET('5  Control Accounts'!$FD$33,J92,0))</f>
        <v>0</v>
      </c>
      <c r="M92" s="1409">
        <f ca="1">IF(I92=0,0,OFFSET('5  Control Accounts'!$FE$33,J92,0))</f>
        <v>0</v>
      </c>
    </row>
    <row r="93" spans="1:13" x14ac:dyDescent="0.3">
      <c r="A93" s="961" t="str">
        <f ca="1">IF(L93=0,TEXT(0,"0"),OFFSET('5  Control Accounts'!$BF$33,J93,0)&amp;"."&amp;OFFSET('5  Control Accounts'!$BH$33,J93,0))</f>
        <v>0</v>
      </c>
      <c r="B93" s="961" t="str">
        <f ca="1">IF(I93=0,"0",OFFSET('5  Control Accounts'!$BK$33,J93,0))</f>
        <v>0</v>
      </c>
      <c r="C93" s="961" t="str">
        <f ca="1">IF(I93=0,TEXT(0,"0"),OFFSET('5  Control Accounts'!$FB$33,J93,0))</f>
        <v>0</v>
      </c>
      <c r="D93" s="1326" t="str">
        <f t="shared" ca="1" si="2"/>
        <v>0</v>
      </c>
      <c r="E93" s="1326" t="str">
        <f t="shared" ca="1" si="3"/>
        <v>0</v>
      </c>
      <c r="F93" s="961" t="str">
        <f ca="1">IF(L93=0,TEXT(0,"0"),TEXT(OFFSET('5  Control Accounts'!$DW$33,J93,0),"General"))</f>
        <v>0</v>
      </c>
      <c r="G93" s="750"/>
      <c r="H93" s="750"/>
      <c r="I93" s="1004">
        <f ca="1">$H$2*OFFSET('5  Control Accounts'!$CP$33,J93,0)</f>
        <v>0</v>
      </c>
      <c r="J93" s="537">
        <v>87</v>
      </c>
      <c r="L93" s="1409">
        <f ca="1">IF(I93=0,0,OFFSET('5  Control Accounts'!$FD$33,J93,0))</f>
        <v>0</v>
      </c>
      <c r="M93" s="1409">
        <f ca="1">IF(I93=0,0,OFFSET('5  Control Accounts'!$FE$33,J93,0))</f>
        <v>0</v>
      </c>
    </row>
    <row r="94" spans="1:13" x14ac:dyDescent="0.3">
      <c r="A94" s="961" t="str">
        <f ca="1">IF(L94=0,TEXT(0,"0"),OFFSET('5  Control Accounts'!$BF$33,J94,0)&amp;"."&amp;OFFSET('5  Control Accounts'!$BH$33,J94,0))</f>
        <v>0</v>
      </c>
      <c r="B94" s="961" t="str">
        <f ca="1">IF(I94=0,"0",OFFSET('5  Control Accounts'!$BK$33,J94,0))</f>
        <v>0</v>
      </c>
      <c r="C94" s="961" t="str">
        <f ca="1">IF(I94=0,TEXT(0,"0"),OFFSET('5  Control Accounts'!$FB$33,J94,0))</f>
        <v>0</v>
      </c>
      <c r="D94" s="1326" t="str">
        <f t="shared" ca="1" si="2"/>
        <v>0</v>
      </c>
      <c r="E94" s="1326" t="str">
        <f t="shared" ca="1" si="3"/>
        <v>0</v>
      </c>
      <c r="F94" s="961" t="str">
        <f ca="1">IF(L94=0,TEXT(0,"0"),TEXT(OFFSET('5  Control Accounts'!$DW$33,J94,0),"General"))</f>
        <v>0</v>
      </c>
      <c r="G94" s="750"/>
      <c r="H94" s="750"/>
      <c r="I94" s="1004">
        <f ca="1">$H$2*OFFSET('5  Control Accounts'!$CP$33,J94,0)</f>
        <v>0</v>
      </c>
      <c r="J94" s="537">
        <v>88</v>
      </c>
      <c r="L94" s="1409">
        <f ca="1">IF(I94=0,0,OFFSET('5  Control Accounts'!$FD$33,J94,0))</f>
        <v>0</v>
      </c>
      <c r="M94" s="1409">
        <f ca="1">IF(I94=0,0,OFFSET('5  Control Accounts'!$FE$33,J94,0))</f>
        <v>0</v>
      </c>
    </row>
    <row r="95" spans="1:13" x14ac:dyDescent="0.3">
      <c r="A95" s="961" t="str">
        <f ca="1">IF(L95=0,TEXT(0,"0"),OFFSET('5  Control Accounts'!$BF$33,J95,0)&amp;"."&amp;OFFSET('5  Control Accounts'!$BH$33,J95,0))</f>
        <v>0</v>
      </c>
      <c r="B95" s="961" t="str">
        <f ca="1">IF(I95=0,"0",OFFSET('5  Control Accounts'!$BK$33,J95,0))</f>
        <v>0</v>
      </c>
      <c r="C95" s="961" t="str">
        <f ca="1">IF(I95=0,TEXT(0,"0"),OFFSET('5  Control Accounts'!$FB$33,J95,0))</f>
        <v>0</v>
      </c>
      <c r="D95" s="1326" t="str">
        <f t="shared" ca="1" si="2"/>
        <v>0</v>
      </c>
      <c r="E95" s="1326" t="str">
        <f t="shared" ca="1" si="3"/>
        <v>0</v>
      </c>
      <c r="F95" s="961" t="str">
        <f ca="1">IF(L95=0,TEXT(0,"0"),TEXT(OFFSET('5  Control Accounts'!$DW$33,J95,0),"General"))</f>
        <v>0</v>
      </c>
      <c r="G95" s="750"/>
      <c r="H95" s="750"/>
      <c r="I95" s="1004">
        <f ca="1">$H$2*OFFSET('5  Control Accounts'!$CP$33,J95,0)</f>
        <v>0</v>
      </c>
      <c r="J95" s="537">
        <v>89</v>
      </c>
      <c r="L95" s="1409">
        <f ca="1">IF(I95=0,0,OFFSET('5  Control Accounts'!$FD$33,J95,0))</f>
        <v>0</v>
      </c>
      <c r="M95" s="1409">
        <f ca="1">IF(I95=0,0,OFFSET('5  Control Accounts'!$FE$33,J95,0))</f>
        <v>0</v>
      </c>
    </row>
    <row r="96" spans="1:13" x14ac:dyDescent="0.3">
      <c r="A96" s="961" t="str">
        <f ca="1">IF(L96=0,TEXT(0,"0"),OFFSET('5  Control Accounts'!$BF$33,J96,0)&amp;"."&amp;OFFSET('5  Control Accounts'!$BH$33,J96,0))</f>
        <v>0</v>
      </c>
      <c r="B96" s="961" t="str">
        <f ca="1">IF(I96=0,"0",OFFSET('5  Control Accounts'!$BK$33,J96,0))</f>
        <v>0</v>
      </c>
      <c r="C96" s="961" t="str">
        <f ca="1">IF(I96=0,TEXT(0,"0"),OFFSET('5  Control Accounts'!$FB$33,J96,0))</f>
        <v>0</v>
      </c>
      <c r="D96" s="1326" t="str">
        <f t="shared" ca="1" si="2"/>
        <v>0</v>
      </c>
      <c r="E96" s="1326" t="str">
        <f t="shared" ca="1" si="3"/>
        <v>0</v>
      </c>
      <c r="F96" s="961" t="str">
        <f ca="1">IF(L96=0,TEXT(0,"0"),TEXT(OFFSET('5  Control Accounts'!$DW$33,J96,0),"General"))</f>
        <v>0</v>
      </c>
      <c r="G96" s="750"/>
      <c r="H96" s="750"/>
      <c r="I96" s="1004">
        <f ca="1">$H$2*OFFSET('5  Control Accounts'!$CP$33,J96,0)</f>
        <v>0</v>
      </c>
      <c r="J96" s="537">
        <v>90</v>
      </c>
      <c r="L96" s="1409">
        <f ca="1">IF(I96=0,0,OFFSET('5  Control Accounts'!$FD$33,J96,0))</f>
        <v>0</v>
      </c>
      <c r="M96" s="1409">
        <f ca="1">IF(I96=0,0,OFFSET('5  Control Accounts'!$FE$33,J96,0))</f>
        <v>0</v>
      </c>
    </row>
    <row r="97" spans="1:13" x14ac:dyDescent="0.3">
      <c r="A97" s="961" t="str">
        <f ca="1">IF(L97=0,TEXT(0,"0"),OFFSET('5  Control Accounts'!$BF$33,J97,0)&amp;"."&amp;OFFSET('5  Control Accounts'!$BH$33,J97,0))</f>
        <v>0</v>
      </c>
      <c r="B97" s="961" t="str">
        <f ca="1">IF(I97=0,"0",OFFSET('5  Control Accounts'!$BK$33,J97,0))</f>
        <v>0</v>
      </c>
      <c r="C97" s="961" t="str">
        <f ca="1">IF(I97=0,TEXT(0,"0"),OFFSET('5  Control Accounts'!$FB$33,J97,0))</f>
        <v>0</v>
      </c>
      <c r="D97" s="1326" t="str">
        <f t="shared" ca="1" si="2"/>
        <v>0</v>
      </c>
      <c r="E97" s="1326" t="str">
        <f t="shared" ca="1" si="3"/>
        <v>0</v>
      </c>
      <c r="F97" s="961" t="str">
        <f ca="1">IF(L97=0,TEXT(0,"0"),TEXT(OFFSET('5  Control Accounts'!$DW$33,J97,0),"General"))</f>
        <v>0</v>
      </c>
      <c r="G97" s="750"/>
      <c r="H97" s="750"/>
      <c r="I97" s="1004">
        <f ca="1">$H$2*OFFSET('5  Control Accounts'!$CP$33,J97,0)</f>
        <v>0</v>
      </c>
      <c r="J97" s="537">
        <v>91</v>
      </c>
      <c r="L97" s="1409">
        <f ca="1">IF(I97=0,0,OFFSET('5  Control Accounts'!$FD$33,J97,0))</f>
        <v>0</v>
      </c>
      <c r="M97" s="1409">
        <f ca="1">IF(I97=0,0,OFFSET('5  Control Accounts'!$FE$33,J97,0))</f>
        <v>0</v>
      </c>
    </row>
    <row r="98" spans="1:13" x14ac:dyDescent="0.3">
      <c r="A98" s="961" t="str">
        <f ca="1">IF(L98=0,TEXT(0,"0"),OFFSET('5  Control Accounts'!$BF$33,J98,0)&amp;"."&amp;OFFSET('5  Control Accounts'!$BH$33,J98,0))</f>
        <v>0</v>
      </c>
      <c r="B98" s="961" t="str">
        <f ca="1">IF(I98=0,"0",OFFSET('5  Control Accounts'!$BK$33,J98,0))</f>
        <v>0</v>
      </c>
      <c r="C98" s="961" t="str">
        <f ca="1">IF(I98=0,TEXT(0,"0"),OFFSET('5  Control Accounts'!$FB$33,J98,0))</f>
        <v>0</v>
      </c>
      <c r="D98" s="1326" t="str">
        <f t="shared" ca="1" si="2"/>
        <v>0</v>
      </c>
      <c r="E98" s="1326" t="str">
        <f t="shared" ca="1" si="3"/>
        <v>0</v>
      </c>
      <c r="F98" s="961" t="str">
        <f ca="1">IF(L98=0,TEXT(0,"0"),TEXT(OFFSET('5  Control Accounts'!$DW$33,J98,0),"General"))</f>
        <v>0</v>
      </c>
      <c r="G98" s="750"/>
      <c r="H98" s="750"/>
      <c r="I98" s="1004">
        <f ca="1">$H$2*OFFSET('5  Control Accounts'!$CP$33,J98,0)</f>
        <v>0</v>
      </c>
      <c r="J98" s="537">
        <v>92</v>
      </c>
      <c r="L98" s="1409">
        <f ca="1">IF(I98=0,0,OFFSET('5  Control Accounts'!$FD$33,J98,0))</f>
        <v>0</v>
      </c>
      <c r="M98" s="1409">
        <f ca="1">IF(I98=0,0,OFFSET('5  Control Accounts'!$FE$33,J98,0))</f>
        <v>0</v>
      </c>
    </row>
    <row r="99" spans="1:13" x14ac:dyDescent="0.3">
      <c r="A99" s="961" t="str">
        <f ca="1">IF(L99=0,TEXT(0,"0"),OFFSET('5  Control Accounts'!$BF$33,J99,0)&amp;"."&amp;OFFSET('5  Control Accounts'!$BH$33,J99,0))</f>
        <v>0</v>
      </c>
      <c r="B99" s="961" t="str">
        <f ca="1">IF(I99=0,"0",OFFSET('5  Control Accounts'!$BK$33,J99,0))</f>
        <v>0</v>
      </c>
      <c r="C99" s="961" t="str">
        <f ca="1">IF(I99=0,TEXT(0,"0"),OFFSET('5  Control Accounts'!$FB$33,J99,0))</f>
        <v>0</v>
      </c>
      <c r="D99" s="1326" t="str">
        <f t="shared" ca="1" si="2"/>
        <v>0</v>
      </c>
      <c r="E99" s="1326" t="str">
        <f t="shared" ca="1" si="3"/>
        <v>0</v>
      </c>
      <c r="F99" s="961" t="str">
        <f ca="1">IF(L99=0,TEXT(0,"0"),TEXT(OFFSET('5  Control Accounts'!$DW$33,J99,0),"General"))</f>
        <v>0</v>
      </c>
      <c r="G99" s="750"/>
      <c r="H99" s="750"/>
      <c r="I99" s="1004">
        <f ca="1">$H$2*OFFSET('5  Control Accounts'!$CP$33,J99,0)</f>
        <v>0</v>
      </c>
      <c r="J99" s="537">
        <v>93</v>
      </c>
      <c r="L99" s="1409">
        <f ca="1">IF(I99=0,0,OFFSET('5  Control Accounts'!$FD$33,J99,0))</f>
        <v>0</v>
      </c>
      <c r="M99" s="1409">
        <f ca="1">IF(I99=0,0,OFFSET('5  Control Accounts'!$FE$33,J99,0))</f>
        <v>0</v>
      </c>
    </row>
    <row r="100" spans="1:13" x14ac:dyDescent="0.3">
      <c r="A100" s="961" t="str">
        <f ca="1">IF(L100=0,TEXT(0,"0"),OFFSET('5  Control Accounts'!$BF$33,J100,0)&amp;"."&amp;OFFSET('5  Control Accounts'!$BH$33,J100,0))</f>
        <v>0</v>
      </c>
      <c r="B100" s="961" t="str">
        <f ca="1">IF(I100=0,"0",OFFSET('5  Control Accounts'!$BK$33,J100,0))</f>
        <v>0</v>
      </c>
      <c r="C100" s="961" t="str">
        <f ca="1">IF(I100=0,TEXT(0,"0"),OFFSET('5  Control Accounts'!$FB$33,J100,0))</f>
        <v>0</v>
      </c>
      <c r="D100" s="1326" t="str">
        <f t="shared" ca="1" si="2"/>
        <v>0</v>
      </c>
      <c r="E100" s="1326" t="str">
        <f t="shared" ca="1" si="3"/>
        <v>0</v>
      </c>
      <c r="F100" s="961" t="str">
        <f ca="1">IF(L100=0,TEXT(0,"0"),TEXT(OFFSET('5  Control Accounts'!$DW$33,J100,0),"General"))</f>
        <v>0</v>
      </c>
      <c r="G100" s="750"/>
      <c r="H100" s="750"/>
      <c r="I100" s="1004">
        <f ca="1">$H$2*OFFSET('5  Control Accounts'!$CP$33,J100,0)</f>
        <v>0</v>
      </c>
      <c r="J100" s="537">
        <v>94</v>
      </c>
      <c r="L100" s="1409">
        <f ca="1">IF(I100=0,0,OFFSET('5  Control Accounts'!$FD$33,J100,0))</f>
        <v>0</v>
      </c>
      <c r="M100" s="1409">
        <f ca="1">IF(I100=0,0,OFFSET('5  Control Accounts'!$FE$33,J100,0))</f>
        <v>0</v>
      </c>
    </row>
    <row r="101" spans="1:13" x14ac:dyDescent="0.3">
      <c r="A101" s="961" t="str">
        <f ca="1">IF(L101=0,TEXT(0,"0"),OFFSET('5  Control Accounts'!$BF$33,J101,0)&amp;"."&amp;OFFSET('5  Control Accounts'!$BH$33,J101,0))</f>
        <v>0</v>
      </c>
      <c r="B101" s="961" t="str">
        <f ca="1">IF(I101=0,"0",OFFSET('5  Control Accounts'!$BK$33,J101,0))</f>
        <v>0</v>
      </c>
      <c r="C101" s="961" t="str">
        <f ca="1">IF(I101=0,TEXT(0,"0"),OFFSET('5  Control Accounts'!$FB$33,J101,0))</f>
        <v>0</v>
      </c>
      <c r="D101" s="1326" t="str">
        <f t="shared" ca="1" si="2"/>
        <v>0</v>
      </c>
      <c r="E101" s="1326" t="str">
        <f t="shared" ca="1" si="3"/>
        <v>0</v>
      </c>
      <c r="F101" s="961" t="str">
        <f ca="1">IF(L101=0,TEXT(0,"0"),TEXT(OFFSET('5  Control Accounts'!$DW$33,J101,0),"General"))</f>
        <v>0</v>
      </c>
      <c r="G101" s="750"/>
      <c r="H101" s="750"/>
      <c r="I101" s="1004">
        <f ca="1">$H$2*OFFSET('5  Control Accounts'!$CP$33,J101,0)</f>
        <v>0</v>
      </c>
      <c r="J101" s="537">
        <v>95</v>
      </c>
      <c r="L101" s="1409">
        <f ca="1">IF(I101=0,0,OFFSET('5  Control Accounts'!$FD$33,J101,0))</f>
        <v>0</v>
      </c>
      <c r="M101" s="1409">
        <f ca="1">IF(I101=0,0,OFFSET('5  Control Accounts'!$FE$33,J101,0))</f>
        <v>0</v>
      </c>
    </row>
    <row r="102" spans="1:13" x14ac:dyDescent="0.3">
      <c r="A102" s="961" t="str">
        <f ca="1">IF(L102=0,TEXT(0,"0"),OFFSET('5  Control Accounts'!$BF$33,J102,0)&amp;"."&amp;OFFSET('5  Control Accounts'!$BH$33,J102,0))</f>
        <v>0</v>
      </c>
      <c r="B102" s="961" t="str">
        <f ca="1">IF(I102=0,"0",OFFSET('5  Control Accounts'!$BK$33,J102,0))</f>
        <v>0</v>
      </c>
      <c r="C102" s="961" t="str">
        <f ca="1">IF(I102=0,TEXT(0,"0"),OFFSET('5  Control Accounts'!$FB$33,J102,0))</f>
        <v>0</v>
      </c>
      <c r="D102" s="1326" t="str">
        <f t="shared" ca="1" si="2"/>
        <v>0</v>
      </c>
      <c r="E102" s="1326" t="str">
        <f t="shared" ca="1" si="3"/>
        <v>0</v>
      </c>
      <c r="F102" s="961" t="str">
        <f ca="1">IF(L102=0,TEXT(0,"0"),TEXT(OFFSET('5  Control Accounts'!$DW$33,J102,0),"General"))</f>
        <v>0</v>
      </c>
      <c r="G102" s="750"/>
      <c r="H102" s="750"/>
      <c r="I102" s="1004">
        <f ca="1">$H$2*OFFSET('5  Control Accounts'!$CP$33,J102,0)</f>
        <v>0</v>
      </c>
      <c r="J102" s="537">
        <v>96</v>
      </c>
      <c r="L102" s="1409">
        <f ca="1">IF(I102=0,0,OFFSET('5  Control Accounts'!$FD$33,J102,0))</f>
        <v>0</v>
      </c>
      <c r="M102" s="1409">
        <f ca="1">IF(I102=0,0,OFFSET('5  Control Accounts'!$FE$33,J102,0))</f>
        <v>0</v>
      </c>
    </row>
    <row r="103" spans="1:13" x14ac:dyDescent="0.3">
      <c r="A103" s="961" t="str">
        <f ca="1">IF(L103=0,TEXT(0,"0"),OFFSET('5  Control Accounts'!$BF$33,J103,0)&amp;"."&amp;OFFSET('5  Control Accounts'!$BH$33,J103,0))</f>
        <v>0</v>
      </c>
      <c r="B103" s="961" t="str">
        <f ca="1">IF(I103=0,"0",OFFSET('5  Control Accounts'!$BK$33,J103,0))</f>
        <v>0</v>
      </c>
      <c r="C103" s="961" t="str">
        <f ca="1">IF(I103=0,TEXT(0,"0"),OFFSET('5  Control Accounts'!$FB$33,J103,0))</f>
        <v>0</v>
      </c>
      <c r="D103" s="1326" t="str">
        <f t="shared" ca="1" si="2"/>
        <v>0</v>
      </c>
      <c r="E103" s="1326" t="str">
        <f t="shared" ca="1" si="3"/>
        <v>0</v>
      </c>
      <c r="F103" s="961" t="str">
        <f ca="1">IF(L103=0,TEXT(0,"0"),TEXT(OFFSET('5  Control Accounts'!$DW$33,J103,0),"General"))</f>
        <v>0</v>
      </c>
      <c r="G103" s="750"/>
      <c r="H103" s="750"/>
      <c r="I103" s="1004">
        <f ca="1">$H$2*OFFSET('5  Control Accounts'!$CP$33,J103,0)</f>
        <v>0</v>
      </c>
      <c r="J103" s="537">
        <v>97</v>
      </c>
      <c r="L103" s="1409">
        <f ca="1">IF(I103=0,0,OFFSET('5  Control Accounts'!$FD$33,J103,0))</f>
        <v>0</v>
      </c>
      <c r="M103" s="1409">
        <f ca="1">IF(I103=0,0,OFFSET('5  Control Accounts'!$FE$33,J103,0))</f>
        <v>0</v>
      </c>
    </row>
    <row r="104" spans="1:13" x14ac:dyDescent="0.3">
      <c r="A104" s="961" t="str">
        <f ca="1">IF(L104=0,TEXT(0,"0"),OFFSET('5  Control Accounts'!$BF$33,J104,0)&amp;"."&amp;OFFSET('5  Control Accounts'!$BH$33,J104,0))</f>
        <v>0</v>
      </c>
      <c r="B104" s="961" t="str">
        <f ca="1">IF(I104=0,"0",OFFSET('5  Control Accounts'!$BK$33,J104,0))</f>
        <v>0</v>
      </c>
      <c r="C104" s="961" t="str">
        <f ca="1">IF(I104=0,TEXT(0,"0"),OFFSET('5  Control Accounts'!$FB$33,J104,0))</f>
        <v>0</v>
      </c>
      <c r="D104" s="1326" t="str">
        <f t="shared" ca="1" si="2"/>
        <v>0</v>
      </c>
      <c r="E104" s="1326" t="str">
        <f t="shared" ca="1" si="3"/>
        <v>0</v>
      </c>
      <c r="F104" s="961" t="str">
        <f ca="1">IF(L104=0,TEXT(0,"0"),TEXT(OFFSET('5  Control Accounts'!$DW$33,J104,0),"General"))</f>
        <v>0</v>
      </c>
      <c r="G104" s="750"/>
      <c r="H104" s="750"/>
      <c r="I104" s="1004">
        <f ca="1">$H$2*OFFSET('5  Control Accounts'!$CP$33,J104,0)</f>
        <v>0</v>
      </c>
      <c r="J104" s="537">
        <v>98</v>
      </c>
      <c r="L104" s="1409">
        <f ca="1">IF(I104=0,0,OFFSET('5  Control Accounts'!$FD$33,J104,0))</f>
        <v>0</v>
      </c>
      <c r="M104" s="1409">
        <f ca="1">IF(I104=0,0,OFFSET('5  Control Accounts'!$FE$33,J104,0))</f>
        <v>0</v>
      </c>
    </row>
    <row r="105" spans="1:13" x14ac:dyDescent="0.3">
      <c r="A105" s="961" t="str">
        <f ca="1">IF(L105=0,TEXT(0,"0"),OFFSET('5  Control Accounts'!$BF$33,J105,0)&amp;"."&amp;OFFSET('5  Control Accounts'!$BH$33,J105,0))</f>
        <v>0</v>
      </c>
      <c r="B105" s="961" t="str">
        <f ca="1">IF(I105=0,"0",OFFSET('5  Control Accounts'!$BK$33,J105,0))</f>
        <v>0</v>
      </c>
      <c r="C105" s="961" t="str">
        <f ca="1">IF(I105=0,TEXT(0,"0"),OFFSET('5  Control Accounts'!$FB$33,J105,0))</f>
        <v>0</v>
      </c>
      <c r="D105" s="1326" t="str">
        <f t="shared" ca="1" si="2"/>
        <v>0</v>
      </c>
      <c r="E105" s="1326" t="str">
        <f t="shared" ca="1" si="3"/>
        <v>0</v>
      </c>
      <c r="F105" s="961" t="str">
        <f ca="1">IF(L105=0,TEXT(0,"0"),TEXT(OFFSET('5  Control Accounts'!$DW$33,J105,0),"General"))</f>
        <v>0</v>
      </c>
      <c r="G105" s="750"/>
      <c r="H105" s="750"/>
      <c r="I105" s="1004">
        <f ca="1">$H$2*OFFSET('5  Control Accounts'!$CP$33,J105,0)</f>
        <v>0</v>
      </c>
      <c r="J105" s="537">
        <v>99</v>
      </c>
      <c r="L105" s="1409">
        <f ca="1">IF(I105=0,0,OFFSET('5  Control Accounts'!$FD$33,J105,0))</f>
        <v>0</v>
      </c>
      <c r="M105" s="1409">
        <f ca="1">IF(I105=0,0,OFFSET('5  Control Accounts'!$FE$33,J105,0))</f>
        <v>0</v>
      </c>
    </row>
    <row r="106" spans="1:13" x14ac:dyDescent="0.3">
      <c r="A106" s="961" t="str">
        <f ca="1">IF(L106=0,TEXT(0,"0"),OFFSET('5  Control Accounts'!$BF$33,J106,0)&amp;"."&amp;OFFSET('5  Control Accounts'!$BH$33,J106,0))</f>
        <v>0</v>
      </c>
      <c r="B106" s="961" t="str">
        <f ca="1">IF(I106=0,"0",OFFSET('5  Control Accounts'!$BK$33,J106,0))</f>
        <v>0</v>
      </c>
      <c r="C106" s="961" t="str">
        <f ca="1">IF(I106=0,TEXT(0,"0"),OFFSET('5  Control Accounts'!$FB$33,J106,0))</f>
        <v>0</v>
      </c>
      <c r="D106" s="1326" t="str">
        <f t="shared" ca="1" si="2"/>
        <v>0</v>
      </c>
      <c r="E106" s="1326" t="str">
        <f t="shared" ca="1" si="3"/>
        <v>0</v>
      </c>
      <c r="F106" s="961" t="str">
        <f ca="1">IF(L106=0,TEXT(0,"0"),TEXT(OFFSET('5  Control Accounts'!$DW$33,J106,0),"General"))</f>
        <v>0</v>
      </c>
      <c r="G106" s="750"/>
      <c r="H106" s="750"/>
      <c r="I106" s="1004">
        <f ca="1">$H$2*OFFSET('5  Control Accounts'!$CP$33,J106,0)</f>
        <v>0</v>
      </c>
      <c r="J106" s="537">
        <v>100</v>
      </c>
      <c r="L106" s="1409">
        <f ca="1">IF(I106=0,0,OFFSET('5  Control Accounts'!$FD$33,J106,0))</f>
        <v>0</v>
      </c>
      <c r="M106" s="1409">
        <f ca="1">IF(I106=0,0,OFFSET('5  Control Accounts'!$FE$33,J106,0))</f>
        <v>0</v>
      </c>
    </row>
    <row r="107" spans="1:13" x14ac:dyDescent="0.3">
      <c r="A107" s="961" t="str">
        <f ca="1">IF(L107=0,TEXT(0,"0"),OFFSET('5  Control Accounts'!$BF$33,J107,0)&amp;"."&amp;OFFSET('5  Control Accounts'!$BH$33,J107,0))</f>
        <v>0</v>
      </c>
      <c r="B107" s="961" t="str">
        <f ca="1">IF(I107=0,"0",OFFSET('5  Control Accounts'!$BK$33,J107,0))</f>
        <v>0</v>
      </c>
      <c r="C107" s="961" t="str">
        <f ca="1">IF(I107=0,TEXT(0,"0"),OFFSET('5  Control Accounts'!$FB$33,J107,0))</f>
        <v>0</v>
      </c>
      <c r="D107" s="1326" t="str">
        <f t="shared" ca="1" si="2"/>
        <v>0</v>
      </c>
      <c r="E107" s="1326" t="str">
        <f t="shared" ca="1" si="3"/>
        <v>0</v>
      </c>
      <c r="F107" s="961" t="str">
        <f ca="1">IF(L107=0,TEXT(0,"0"),TEXT(OFFSET('5  Control Accounts'!$DW$33,J107,0),"General"))</f>
        <v>0</v>
      </c>
      <c r="G107" s="750"/>
      <c r="H107" s="750"/>
      <c r="I107" s="1004">
        <f ca="1">$H$2*OFFSET('5  Control Accounts'!$CP$33,J107,0)</f>
        <v>0</v>
      </c>
      <c r="J107" s="537">
        <v>101</v>
      </c>
      <c r="L107" s="1409">
        <f ca="1">IF(I107=0,0,OFFSET('5  Control Accounts'!$FD$33,J107,0))</f>
        <v>0</v>
      </c>
      <c r="M107" s="1409">
        <f ca="1">IF(I107=0,0,OFFSET('5  Control Accounts'!$FE$33,J107,0))</f>
        <v>0</v>
      </c>
    </row>
    <row r="108" spans="1:13" x14ac:dyDescent="0.3">
      <c r="A108" s="961" t="str">
        <f ca="1">IF(L108=0,TEXT(0,"0"),OFFSET('5  Control Accounts'!$BF$33,J108,0)&amp;"."&amp;OFFSET('5  Control Accounts'!$BH$33,J108,0))</f>
        <v>0</v>
      </c>
      <c r="B108" s="961" t="str">
        <f ca="1">IF(I108=0,"0",OFFSET('5  Control Accounts'!$BK$33,J108,0))</f>
        <v>0</v>
      </c>
      <c r="C108" s="961" t="str">
        <f ca="1">IF(I108=0,TEXT(0,"0"),OFFSET('5  Control Accounts'!$FB$33,J108,0))</f>
        <v>0</v>
      </c>
      <c r="D108" s="1326" t="str">
        <f t="shared" ca="1" si="2"/>
        <v>0</v>
      </c>
      <c r="E108" s="1326" t="str">
        <f t="shared" ca="1" si="3"/>
        <v>0</v>
      </c>
      <c r="F108" s="961" t="str">
        <f ca="1">IF(L108=0,TEXT(0,"0"),TEXT(OFFSET('5  Control Accounts'!$DW$33,J108,0),"General"))</f>
        <v>0</v>
      </c>
      <c r="G108" s="750"/>
      <c r="H108" s="750"/>
      <c r="I108" s="1004">
        <f ca="1">$H$2*OFFSET('5  Control Accounts'!$CP$33,J108,0)</f>
        <v>0</v>
      </c>
      <c r="J108" s="537">
        <v>102</v>
      </c>
      <c r="L108" s="1409">
        <f ca="1">IF(I108=0,0,OFFSET('5  Control Accounts'!$FD$33,J108,0))</f>
        <v>0</v>
      </c>
      <c r="M108" s="1409">
        <f ca="1">IF(I108=0,0,OFFSET('5  Control Accounts'!$FE$33,J108,0))</f>
        <v>0</v>
      </c>
    </row>
    <row r="109" spans="1:13" x14ac:dyDescent="0.3">
      <c r="A109" s="961" t="str">
        <f ca="1">IF(L109=0,TEXT(0,"0"),OFFSET('5  Control Accounts'!$BF$33,J109,0)&amp;"."&amp;OFFSET('5  Control Accounts'!$BH$33,J109,0))</f>
        <v>0</v>
      </c>
      <c r="B109" s="961" t="str">
        <f ca="1">IF(I109=0,"0",OFFSET('5  Control Accounts'!$BK$33,J109,0))</f>
        <v>0</v>
      </c>
      <c r="C109" s="961" t="str">
        <f ca="1">IF(I109=0,TEXT(0,"0"),OFFSET('5  Control Accounts'!$FB$33,J109,0))</f>
        <v>0</v>
      </c>
      <c r="D109" s="1326" t="str">
        <f t="shared" ca="1" si="2"/>
        <v>0</v>
      </c>
      <c r="E109" s="1326" t="str">
        <f t="shared" ca="1" si="3"/>
        <v>0</v>
      </c>
      <c r="F109" s="961" t="str">
        <f ca="1">IF(L109=0,TEXT(0,"0"),TEXT(OFFSET('5  Control Accounts'!$DW$33,J109,0),"General"))</f>
        <v>0</v>
      </c>
      <c r="G109" s="750"/>
      <c r="H109" s="750"/>
      <c r="I109" s="1004">
        <f ca="1">$H$2*OFFSET('5  Control Accounts'!$CP$33,J109,0)</f>
        <v>0</v>
      </c>
      <c r="J109" s="537">
        <v>103</v>
      </c>
      <c r="L109" s="1409">
        <f ca="1">IF(I109=0,0,OFFSET('5  Control Accounts'!$FD$33,J109,0))</f>
        <v>0</v>
      </c>
      <c r="M109" s="1409">
        <f ca="1">IF(I109=0,0,OFFSET('5  Control Accounts'!$FE$33,J109,0))</f>
        <v>0</v>
      </c>
    </row>
    <row r="110" spans="1:13" x14ac:dyDescent="0.3">
      <c r="A110" s="961" t="str">
        <f ca="1">IF(L110=0,TEXT(0,"0"),OFFSET('5  Control Accounts'!$BF$33,J110,0)&amp;"."&amp;OFFSET('5  Control Accounts'!$BH$33,J110,0))</f>
        <v>0</v>
      </c>
      <c r="B110" s="961" t="str">
        <f ca="1">IF(I110=0,"0",OFFSET('5  Control Accounts'!$BK$33,J110,0))</f>
        <v>0</v>
      </c>
      <c r="C110" s="961" t="str">
        <f ca="1">IF(I110=0,TEXT(0,"0"),OFFSET('5  Control Accounts'!$FB$33,J110,0))</f>
        <v>0</v>
      </c>
      <c r="D110" s="1326" t="str">
        <f t="shared" ca="1" si="2"/>
        <v>0</v>
      </c>
      <c r="E110" s="1326" t="str">
        <f t="shared" ca="1" si="3"/>
        <v>0</v>
      </c>
      <c r="F110" s="961" t="str">
        <f ca="1">IF(L110=0,TEXT(0,"0"),TEXT(OFFSET('5  Control Accounts'!$DW$33,J110,0),"General"))</f>
        <v>0</v>
      </c>
      <c r="G110" s="750"/>
      <c r="H110" s="750"/>
      <c r="I110" s="1004">
        <f ca="1">$H$2*OFFSET('5  Control Accounts'!$CP$33,J110,0)</f>
        <v>0</v>
      </c>
      <c r="J110" s="537">
        <v>104</v>
      </c>
      <c r="L110" s="1409">
        <f ca="1">IF(I110=0,0,OFFSET('5  Control Accounts'!$FD$33,J110,0))</f>
        <v>0</v>
      </c>
      <c r="M110" s="1409">
        <f ca="1">IF(I110=0,0,OFFSET('5  Control Accounts'!$FE$33,J110,0))</f>
        <v>0</v>
      </c>
    </row>
    <row r="111" spans="1:13" x14ac:dyDescent="0.3">
      <c r="A111" s="961" t="str">
        <f ca="1">IF(L111=0,TEXT(0,"0"),OFFSET('5  Control Accounts'!$BF$33,J111,0)&amp;"."&amp;OFFSET('5  Control Accounts'!$BH$33,J111,0))</f>
        <v>0</v>
      </c>
      <c r="B111" s="961" t="str">
        <f ca="1">IF(I111=0,"0",OFFSET('5  Control Accounts'!$BK$33,J111,0))</f>
        <v>0</v>
      </c>
      <c r="C111" s="961" t="str">
        <f ca="1">IF(I111=0,TEXT(0,"0"),OFFSET('5  Control Accounts'!$FB$33,J111,0))</f>
        <v>0</v>
      </c>
      <c r="D111" s="1326" t="str">
        <f t="shared" ca="1" si="2"/>
        <v>0</v>
      </c>
      <c r="E111" s="1326" t="str">
        <f t="shared" ca="1" si="3"/>
        <v>0</v>
      </c>
      <c r="F111" s="961" t="str">
        <f ca="1">IF(L111=0,TEXT(0,"0"),TEXT(OFFSET('5  Control Accounts'!$DW$33,J111,0),"General"))</f>
        <v>0</v>
      </c>
      <c r="G111" s="750"/>
      <c r="H111" s="750"/>
      <c r="I111" s="1004">
        <f ca="1">$H$2*OFFSET('5  Control Accounts'!$CP$33,J111,0)</f>
        <v>0</v>
      </c>
      <c r="J111" s="537">
        <v>105</v>
      </c>
      <c r="L111" s="1409">
        <f ca="1">IF(I111=0,0,OFFSET('5  Control Accounts'!$FD$33,J111,0))</f>
        <v>0</v>
      </c>
      <c r="M111" s="1409">
        <f ca="1">IF(I111=0,0,OFFSET('5  Control Accounts'!$FE$33,J111,0))</f>
        <v>0</v>
      </c>
    </row>
    <row r="112" spans="1:13" x14ac:dyDescent="0.3">
      <c r="A112" s="961" t="str">
        <f ca="1">IF(L112=0,TEXT(0,"0"),OFFSET('5  Control Accounts'!$BF$33,J112,0)&amp;"."&amp;OFFSET('5  Control Accounts'!$BH$33,J112,0))</f>
        <v>0</v>
      </c>
      <c r="B112" s="961" t="str">
        <f ca="1">IF(I112=0,"0",OFFSET('5  Control Accounts'!$BK$33,J112,0))</f>
        <v>0</v>
      </c>
      <c r="C112" s="961" t="str">
        <f ca="1">IF(I112=0,TEXT(0,"0"),OFFSET('5  Control Accounts'!$FB$33,J112,0))</f>
        <v>0</v>
      </c>
      <c r="D112" s="1326" t="str">
        <f t="shared" ca="1" si="2"/>
        <v>0</v>
      </c>
      <c r="E112" s="1326" t="str">
        <f t="shared" ca="1" si="3"/>
        <v>0</v>
      </c>
      <c r="F112" s="961" t="str">
        <f ca="1">IF(L112=0,TEXT(0,"0"),TEXT(OFFSET('5  Control Accounts'!$DW$33,J112,0),"General"))</f>
        <v>0</v>
      </c>
      <c r="G112" s="750"/>
      <c r="H112" s="750"/>
      <c r="I112" s="1004">
        <f ca="1">$H$2*OFFSET('5  Control Accounts'!$CP$33,J112,0)</f>
        <v>0</v>
      </c>
      <c r="J112" s="537">
        <v>106</v>
      </c>
      <c r="L112" s="1409">
        <f ca="1">IF(I112=0,0,OFFSET('5  Control Accounts'!$FD$33,J112,0))</f>
        <v>0</v>
      </c>
      <c r="M112" s="1409">
        <f ca="1">IF(I112=0,0,OFFSET('5  Control Accounts'!$FE$33,J112,0))</f>
        <v>0</v>
      </c>
    </row>
    <row r="113" spans="1:13" x14ac:dyDescent="0.3">
      <c r="A113" s="961" t="str">
        <f ca="1">IF(L113=0,TEXT(0,"0"),OFFSET('5  Control Accounts'!$BF$33,J113,0)&amp;"."&amp;OFFSET('5  Control Accounts'!$BH$33,J113,0))</f>
        <v>0</v>
      </c>
      <c r="B113" s="961" t="str">
        <f ca="1">IF(I113=0,"0",OFFSET('5  Control Accounts'!$BK$33,J113,0))</f>
        <v>0</v>
      </c>
      <c r="C113" s="961" t="str">
        <f ca="1">IF(I113=0,TEXT(0,"0"),OFFSET('5  Control Accounts'!$FB$33,J113,0))</f>
        <v>0</v>
      </c>
      <c r="D113" s="1326" t="str">
        <f t="shared" ca="1" si="2"/>
        <v>0</v>
      </c>
      <c r="E113" s="1326" t="str">
        <f t="shared" ca="1" si="3"/>
        <v>0</v>
      </c>
      <c r="F113" s="961" t="str">
        <f ca="1">IF(L113=0,TEXT(0,"0"),TEXT(OFFSET('5  Control Accounts'!$DW$33,J113,0),"General"))</f>
        <v>0</v>
      </c>
      <c r="G113" s="750"/>
      <c r="H113" s="750"/>
      <c r="I113" s="1004">
        <f ca="1">$H$2*OFFSET('5  Control Accounts'!$CP$33,J113,0)</f>
        <v>0</v>
      </c>
      <c r="J113" s="537">
        <v>107</v>
      </c>
      <c r="L113" s="1409">
        <f ca="1">IF(I113=0,0,OFFSET('5  Control Accounts'!$FD$33,J113,0))</f>
        <v>0</v>
      </c>
      <c r="M113" s="1409">
        <f ca="1">IF(I113=0,0,OFFSET('5  Control Accounts'!$FE$33,J113,0))</f>
        <v>0</v>
      </c>
    </row>
    <row r="114" spans="1:13" x14ac:dyDescent="0.3">
      <c r="A114" s="961" t="str">
        <f ca="1">IF(L114=0,TEXT(0,"0"),OFFSET('5  Control Accounts'!$BF$33,J114,0)&amp;"."&amp;OFFSET('5  Control Accounts'!$BH$33,J114,0))</f>
        <v>0</v>
      </c>
      <c r="B114" s="961" t="str">
        <f ca="1">IF(I114=0,"0",OFFSET('5  Control Accounts'!$BK$33,J114,0))</f>
        <v>0</v>
      </c>
      <c r="C114" s="961" t="str">
        <f ca="1">IF(I114=0,TEXT(0,"0"),OFFSET('5  Control Accounts'!$FB$33,J114,0))</f>
        <v>0</v>
      </c>
      <c r="D114" s="1326" t="str">
        <f t="shared" ca="1" si="2"/>
        <v>0</v>
      </c>
      <c r="E114" s="1326" t="str">
        <f t="shared" ca="1" si="3"/>
        <v>0</v>
      </c>
      <c r="F114" s="961" t="str">
        <f ca="1">IF(L114=0,TEXT(0,"0"),TEXT(OFFSET('5  Control Accounts'!$DW$33,J114,0),"General"))</f>
        <v>0</v>
      </c>
      <c r="G114" s="750"/>
      <c r="H114" s="750"/>
      <c r="I114" s="1004">
        <f ca="1">$H$2*OFFSET('5  Control Accounts'!$CP$33,J114,0)</f>
        <v>0</v>
      </c>
      <c r="J114" s="537">
        <v>108</v>
      </c>
      <c r="L114" s="1409">
        <f ca="1">IF(I114=0,0,OFFSET('5  Control Accounts'!$FD$33,J114,0))</f>
        <v>0</v>
      </c>
      <c r="M114" s="1409">
        <f ca="1">IF(I114=0,0,OFFSET('5  Control Accounts'!$FE$33,J114,0))</f>
        <v>0</v>
      </c>
    </row>
    <row r="115" spans="1:13" x14ac:dyDescent="0.3">
      <c r="A115" s="961" t="str">
        <f ca="1">IF(L115=0,TEXT(0,"0"),OFFSET('5  Control Accounts'!$BF$33,J115,0)&amp;"."&amp;OFFSET('5  Control Accounts'!$BH$33,J115,0))</f>
        <v>0</v>
      </c>
      <c r="B115" s="961" t="str">
        <f ca="1">IF(I115=0,"0",OFFSET('5  Control Accounts'!$BK$33,J115,0))</f>
        <v>0</v>
      </c>
      <c r="C115" s="961" t="str">
        <f ca="1">IF(I115=0,TEXT(0,"0"),OFFSET('5  Control Accounts'!$FB$33,J115,0))</f>
        <v>0</v>
      </c>
      <c r="D115" s="1326" t="str">
        <f t="shared" ca="1" si="2"/>
        <v>0</v>
      </c>
      <c r="E115" s="1326" t="str">
        <f t="shared" ca="1" si="3"/>
        <v>0</v>
      </c>
      <c r="F115" s="961" t="str">
        <f ca="1">IF(L115=0,TEXT(0,"0"),TEXT(OFFSET('5  Control Accounts'!$DW$33,J115,0),"General"))</f>
        <v>0</v>
      </c>
      <c r="G115" s="750"/>
      <c r="H115" s="750"/>
      <c r="I115" s="1004">
        <f ca="1">$H$2*OFFSET('5  Control Accounts'!$CP$33,J115,0)</f>
        <v>0</v>
      </c>
      <c r="J115" s="537">
        <v>109</v>
      </c>
      <c r="L115" s="1409">
        <f ca="1">IF(I115=0,0,OFFSET('5  Control Accounts'!$FD$33,J115,0))</f>
        <v>0</v>
      </c>
      <c r="M115" s="1409">
        <f ca="1">IF(I115=0,0,OFFSET('5  Control Accounts'!$FE$33,J115,0))</f>
        <v>0</v>
      </c>
    </row>
    <row r="116" spans="1:13" x14ac:dyDescent="0.3">
      <c r="A116" s="961" t="str">
        <f ca="1">IF(L116=0,TEXT(0,"0"),OFFSET('5  Control Accounts'!$BF$33,J116,0)&amp;"."&amp;OFFSET('5  Control Accounts'!$BH$33,J116,0))</f>
        <v>0</v>
      </c>
      <c r="B116" s="961" t="str">
        <f ca="1">IF(I116=0,"0",OFFSET('5  Control Accounts'!$BK$33,J116,0))</f>
        <v>0</v>
      </c>
      <c r="C116" s="961" t="str">
        <f ca="1">IF(I116=0,TEXT(0,"0"),OFFSET('5  Control Accounts'!$FB$33,J116,0))</f>
        <v>0</v>
      </c>
      <c r="D116" s="1326" t="str">
        <f t="shared" ca="1" si="2"/>
        <v>0</v>
      </c>
      <c r="E116" s="1326" t="str">
        <f t="shared" ca="1" si="3"/>
        <v>0</v>
      </c>
      <c r="F116" s="961" t="str">
        <f ca="1">IF(L116=0,TEXT(0,"0"),TEXT(OFFSET('5  Control Accounts'!$DW$33,J116,0),"General"))</f>
        <v>0</v>
      </c>
      <c r="G116" s="750"/>
      <c r="H116" s="750"/>
      <c r="I116" s="1004">
        <f ca="1">$H$2*OFFSET('5  Control Accounts'!$CP$33,J116,0)</f>
        <v>0</v>
      </c>
      <c r="J116" s="537">
        <v>110</v>
      </c>
      <c r="L116" s="1409">
        <f ca="1">IF(I116=0,0,OFFSET('5  Control Accounts'!$FD$33,J116,0))</f>
        <v>0</v>
      </c>
      <c r="M116" s="1409">
        <f ca="1">IF(I116=0,0,OFFSET('5  Control Accounts'!$FE$33,J116,0))</f>
        <v>0</v>
      </c>
    </row>
    <row r="117" spans="1:13" x14ac:dyDescent="0.3">
      <c r="A117" s="961" t="str">
        <f ca="1">IF(L117=0,TEXT(0,"0"),OFFSET('5  Control Accounts'!$BF$33,J117,0)&amp;"."&amp;OFFSET('5  Control Accounts'!$BH$33,J117,0))</f>
        <v>0</v>
      </c>
      <c r="B117" s="961" t="str">
        <f ca="1">IF(I117=0,"0",OFFSET('5  Control Accounts'!$BK$33,J117,0))</f>
        <v>0</v>
      </c>
      <c r="C117" s="961" t="str">
        <f ca="1">IF(I117=0,TEXT(0,"0"),OFFSET('5  Control Accounts'!$FB$33,J117,0))</f>
        <v>0</v>
      </c>
      <c r="D117" s="1326" t="str">
        <f t="shared" ca="1" si="2"/>
        <v>0</v>
      </c>
      <c r="E117" s="1326" t="str">
        <f t="shared" ca="1" si="3"/>
        <v>0</v>
      </c>
      <c r="F117" s="961" t="str">
        <f ca="1">IF(L117=0,TEXT(0,"0"),TEXT(OFFSET('5  Control Accounts'!$DW$33,J117,0),"General"))</f>
        <v>0</v>
      </c>
      <c r="G117" s="750"/>
      <c r="H117" s="750"/>
      <c r="I117" s="1004">
        <f ca="1">$H$2*OFFSET('5  Control Accounts'!$CP$33,J117,0)</f>
        <v>0</v>
      </c>
      <c r="J117" s="537">
        <v>111</v>
      </c>
      <c r="L117" s="1409">
        <f ca="1">IF(I117=0,0,OFFSET('5  Control Accounts'!$FD$33,J117,0))</f>
        <v>0</v>
      </c>
      <c r="M117" s="1409">
        <f ca="1">IF(I117=0,0,OFFSET('5  Control Accounts'!$FE$33,J117,0))</f>
        <v>0</v>
      </c>
    </row>
    <row r="118" spans="1:13" x14ac:dyDescent="0.3">
      <c r="A118" s="961" t="str">
        <f ca="1">IF(L118=0,TEXT(0,"0"),OFFSET('5  Control Accounts'!$BF$33,J118,0)&amp;"."&amp;OFFSET('5  Control Accounts'!$BH$33,J118,0))</f>
        <v>0</v>
      </c>
      <c r="B118" s="961" t="str">
        <f ca="1">IF(I118=0,"0",OFFSET('5  Control Accounts'!$BK$33,J118,0))</f>
        <v>0</v>
      </c>
      <c r="C118" s="961" t="str">
        <f ca="1">IF(I118=0,TEXT(0,"0"),OFFSET('5  Control Accounts'!$FB$33,J118,0))</f>
        <v>0</v>
      </c>
      <c r="D118" s="1326" t="str">
        <f t="shared" ca="1" si="2"/>
        <v>0</v>
      </c>
      <c r="E118" s="1326" t="str">
        <f t="shared" ca="1" si="3"/>
        <v>0</v>
      </c>
      <c r="F118" s="961" t="str">
        <f ca="1">IF(L118=0,TEXT(0,"0"),TEXT(OFFSET('5  Control Accounts'!$DW$33,J118,0),"General"))</f>
        <v>0</v>
      </c>
      <c r="G118" s="750"/>
      <c r="H118" s="750"/>
      <c r="I118" s="1004">
        <f ca="1">$H$2*OFFSET('5  Control Accounts'!$CP$33,J118,0)</f>
        <v>0</v>
      </c>
      <c r="J118" s="537">
        <v>112</v>
      </c>
      <c r="L118" s="1409">
        <f ca="1">IF(I118=0,0,OFFSET('5  Control Accounts'!$FD$33,J118,0))</f>
        <v>0</v>
      </c>
      <c r="M118" s="1409">
        <f ca="1">IF(I118=0,0,OFFSET('5  Control Accounts'!$FE$33,J118,0))</f>
        <v>0</v>
      </c>
    </row>
    <row r="119" spans="1:13" x14ac:dyDescent="0.3">
      <c r="A119" s="961" t="str">
        <f ca="1">IF(L119=0,TEXT(0,"0"),OFFSET('5  Control Accounts'!$BF$33,J119,0)&amp;"."&amp;OFFSET('5  Control Accounts'!$BH$33,J119,0))</f>
        <v>0</v>
      </c>
      <c r="B119" s="961" t="str">
        <f ca="1">IF(I119=0,"0",OFFSET('5  Control Accounts'!$BK$33,J119,0))</f>
        <v>0</v>
      </c>
      <c r="C119" s="961" t="str">
        <f ca="1">IF(I119=0,TEXT(0,"0"),OFFSET('5  Control Accounts'!$FB$33,J119,0))</f>
        <v>0</v>
      </c>
      <c r="D119" s="1326" t="str">
        <f t="shared" ca="1" si="2"/>
        <v>0</v>
      </c>
      <c r="E119" s="1326" t="str">
        <f t="shared" ca="1" si="3"/>
        <v>0</v>
      </c>
      <c r="F119" s="961" t="str">
        <f ca="1">IF(L119=0,TEXT(0,"0"),TEXT(OFFSET('5  Control Accounts'!$DW$33,J119,0),"General"))</f>
        <v>0</v>
      </c>
      <c r="G119" s="750"/>
      <c r="H119" s="750"/>
      <c r="I119" s="1004">
        <f ca="1">$H$2*OFFSET('5  Control Accounts'!$CP$33,J119,0)</f>
        <v>0</v>
      </c>
      <c r="J119" s="537">
        <v>113</v>
      </c>
      <c r="L119" s="1409">
        <f ca="1">IF(I119=0,0,OFFSET('5  Control Accounts'!$FD$33,J119,0))</f>
        <v>0</v>
      </c>
      <c r="M119" s="1409">
        <f ca="1">IF(I119=0,0,OFFSET('5  Control Accounts'!$FE$33,J119,0))</f>
        <v>0</v>
      </c>
    </row>
    <row r="120" spans="1:13" x14ac:dyDescent="0.3">
      <c r="A120" s="961" t="str">
        <f ca="1">IF(L120=0,TEXT(0,"0"),OFFSET('5  Control Accounts'!$BF$33,J120,0)&amp;"."&amp;OFFSET('5  Control Accounts'!$BH$33,J120,0))</f>
        <v>0</v>
      </c>
      <c r="B120" s="961" t="str">
        <f ca="1">IF(I120=0,"0",OFFSET('5  Control Accounts'!$BK$33,J120,0))</f>
        <v>0</v>
      </c>
      <c r="C120" s="961" t="str">
        <f ca="1">IF(I120=0,TEXT(0,"0"),OFFSET('5  Control Accounts'!$FB$33,J120,0))</f>
        <v>0</v>
      </c>
      <c r="D120" s="1326" t="str">
        <f t="shared" ca="1" si="2"/>
        <v>0</v>
      </c>
      <c r="E120" s="1326" t="str">
        <f t="shared" ca="1" si="3"/>
        <v>0</v>
      </c>
      <c r="F120" s="961" t="str">
        <f ca="1">IF(L120=0,TEXT(0,"0"),TEXT(OFFSET('5  Control Accounts'!$DW$33,J120,0),"General"))</f>
        <v>0</v>
      </c>
      <c r="G120" s="750"/>
      <c r="H120" s="750"/>
      <c r="I120" s="1004">
        <f ca="1">$H$2*OFFSET('5  Control Accounts'!$CP$33,J120,0)</f>
        <v>0</v>
      </c>
      <c r="J120" s="537">
        <v>114</v>
      </c>
      <c r="L120" s="1409">
        <f ca="1">IF(I120=0,0,OFFSET('5  Control Accounts'!$FD$33,J120,0))</f>
        <v>0</v>
      </c>
      <c r="M120" s="1409">
        <f ca="1">IF(I120=0,0,OFFSET('5  Control Accounts'!$FE$33,J120,0))</f>
        <v>0</v>
      </c>
    </row>
    <row r="121" spans="1:13" x14ac:dyDescent="0.3">
      <c r="A121" s="961" t="str">
        <f ca="1">IF(L121=0,TEXT(0,"0"),OFFSET('5  Control Accounts'!$BF$33,J121,0)&amp;"."&amp;OFFSET('5  Control Accounts'!$BH$33,J121,0))</f>
        <v>0</v>
      </c>
      <c r="B121" s="961" t="str">
        <f ca="1">IF(I121=0,"0",OFFSET('5  Control Accounts'!$BK$33,J121,0))</f>
        <v>0</v>
      </c>
      <c r="C121" s="961" t="str">
        <f ca="1">IF(I121=0,TEXT(0,"0"),OFFSET('5  Control Accounts'!$FB$33,J121,0))</f>
        <v>0</v>
      </c>
      <c r="D121" s="1326" t="str">
        <f t="shared" ca="1" si="2"/>
        <v>0</v>
      </c>
      <c r="E121" s="1326" t="str">
        <f t="shared" ca="1" si="3"/>
        <v>0</v>
      </c>
      <c r="F121" s="961" t="str">
        <f ca="1">IF(L121=0,TEXT(0,"0"),TEXT(OFFSET('5  Control Accounts'!$DW$33,J121,0),"General"))</f>
        <v>0</v>
      </c>
      <c r="G121" s="750"/>
      <c r="H121" s="750"/>
      <c r="I121" s="1004">
        <f ca="1">$H$2*OFFSET('5  Control Accounts'!$CP$33,J121,0)</f>
        <v>0</v>
      </c>
      <c r="J121" s="537">
        <v>115</v>
      </c>
      <c r="L121" s="1409">
        <f ca="1">IF(I121=0,0,OFFSET('5  Control Accounts'!$FD$33,J121,0))</f>
        <v>0</v>
      </c>
      <c r="M121" s="1409">
        <f ca="1">IF(I121=0,0,OFFSET('5  Control Accounts'!$FE$33,J121,0))</f>
        <v>0</v>
      </c>
    </row>
    <row r="122" spans="1:13" x14ac:dyDescent="0.3">
      <c r="A122" s="961" t="str">
        <f ca="1">IF(L122=0,TEXT(0,"0"),OFFSET('5  Control Accounts'!$BF$33,J122,0)&amp;"."&amp;OFFSET('5  Control Accounts'!$BH$33,J122,0))</f>
        <v>0</v>
      </c>
      <c r="B122" s="961" t="str">
        <f ca="1">IF(I122=0,"0",OFFSET('5  Control Accounts'!$BK$33,J122,0))</f>
        <v>0</v>
      </c>
      <c r="C122" s="961" t="str">
        <f ca="1">IF(I122=0,TEXT(0,"0"),OFFSET('5  Control Accounts'!$FB$33,J122,0))</f>
        <v>0</v>
      </c>
      <c r="D122" s="1326" t="str">
        <f t="shared" ca="1" si="2"/>
        <v>0</v>
      </c>
      <c r="E122" s="1326" t="str">
        <f t="shared" ca="1" si="3"/>
        <v>0</v>
      </c>
      <c r="F122" s="961" t="str">
        <f ca="1">IF(L122=0,TEXT(0,"0"),TEXT(OFFSET('5  Control Accounts'!$DW$33,J122,0),"General"))</f>
        <v>0</v>
      </c>
      <c r="G122" s="750"/>
      <c r="H122" s="750"/>
      <c r="I122" s="1004">
        <f ca="1">$H$2*OFFSET('5  Control Accounts'!$CP$33,J122,0)</f>
        <v>0</v>
      </c>
      <c r="J122" s="537">
        <v>116</v>
      </c>
      <c r="L122" s="1409">
        <f ca="1">IF(I122=0,0,OFFSET('5  Control Accounts'!$FD$33,J122,0))</f>
        <v>0</v>
      </c>
      <c r="M122" s="1409">
        <f ca="1">IF(I122=0,0,OFFSET('5  Control Accounts'!$FE$33,J122,0))</f>
        <v>0</v>
      </c>
    </row>
    <row r="123" spans="1:13" x14ac:dyDescent="0.3">
      <c r="A123" s="961" t="str">
        <f ca="1">IF(L123=0,TEXT(0,"0"),OFFSET('5  Control Accounts'!$BF$33,J123,0)&amp;"."&amp;OFFSET('5  Control Accounts'!$BH$33,J123,0))</f>
        <v>0</v>
      </c>
      <c r="B123" s="961" t="str">
        <f ca="1">IF(I123=0,"0",OFFSET('5  Control Accounts'!$BK$33,J123,0))</f>
        <v>0</v>
      </c>
      <c r="C123" s="961" t="str">
        <f ca="1">IF(I123=0,TEXT(0,"0"),OFFSET('5  Control Accounts'!$FB$33,J123,0))</f>
        <v>0</v>
      </c>
      <c r="D123" s="1326" t="str">
        <f t="shared" ca="1" si="2"/>
        <v>0</v>
      </c>
      <c r="E123" s="1326" t="str">
        <f t="shared" ca="1" si="3"/>
        <v>0</v>
      </c>
      <c r="F123" s="961" t="str">
        <f ca="1">IF(L123=0,TEXT(0,"0"),TEXT(OFFSET('5  Control Accounts'!$DW$33,J123,0),"General"))</f>
        <v>0</v>
      </c>
      <c r="G123" s="750"/>
      <c r="H123" s="750"/>
      <c r="I123" s="1004">
        <f ca="1">$H$2*OFFSET('5  Control Accounts'!$CP$33,J123,0)</f>
        <v>0</v>
      </c>
      <c r="J123" s="537">
        <v>117</v>
      </c>
      <c r="L123" s="1409">
        <f ca="1">IF(I123=0,0,OFFSET('5  Control Accounts'!$FD$33,J123,0))</f>
        <v>0</v>
      </c>
      <c r="M123" s="1409">
        <f ca="1">IF(I123=0,0,OFFSET('5  Control Accounts'!$FE$33,J123,0))</f>
        <v>0</v>
      </c>
    </row>
    <row r="124" spans="1:13" x14ac:dyDescent="0.3">
      <c r="A124" s="961" t="str">
        <f ca="1">IF(L124=0,TEXT(0,"0"),OFFSET('5  Control Accounts'!$BF$33,J124,0)&amp;"."&amp;OFFSET('5  Control Accounts'!$BH$33,J124,0))</f>
        <v>0</v>
      </c>
      <c r="B124" s="961" t="str">
        <f ca="1">IF(I124=0,"0",OFFSET('5  Control Accounts'!$BK$33,J124,0))</f>
        <v>0</v>
      </c>
      <c r="C124" s="961" t="str">
        <f ca="1">IF(I124=0,TEXT(0,"0"),OFFSET('5  Control Accounts'!$FB$33,J124,0))</f>
        <v>0</v>
      </c>
      <c r="D124" s="1326" t="str">
        <f t="shared" ca="1" si="2"/>
        <v>0</v>
      </c>
      <c r="E124" s="1326" t="str">
        <f t="shared" ca="1" si="3"/>
        <v>0</v>
      </c>
      <c r="F124" s="961" t="str">
        <f ca="1">IF(L124=0,TEXT(0,"0"),TEXT(OFFSET('5  Control Accounts'!$DW$33,J124,0),"General"))</f>
        <v>0</v>
      </c>
      <c r="G124" s="750"/>
      <c r="H124" s="750"/>
      <c r="I124" s="1004">
        <f ca="1">$H$2*OFFSET('5  Control Accounts'!$CP$33,J124,0)</f>
        <v>0</v>
      </c>
      <c r="J124" s="537">
        <v>118</v>
      </c>
      <c r="L124" s="1409">
        <f ca="1">IF(I124=0,0,OFFSET('5  Control Accounts'!$FD$33,J124,0))</f>
        <v>0</v>
      </c>
      <c r="M124" s="1409">
        <f ca="1">IF(I124=0,0,OFFSET('5  Control Accounts'!$FE$33,J124,0))</f>
        <v>0</v>
      </c>
    </row>
    <row r="125" spans="1:13" x14ac:dyDescent="0.3">
      <c r="A125" s="961" t="str">
        <f ca="1">IF(L125=0,TEXT(0,"0"),OFFSET('5  Control Accounts'!$BF$33,J125,0)&amp;"."&amp;OFFSET('5  Control Accounts'!$BH$33,J125,0))</f>
        <v>0</v>
      </c>
      <c r="B125" s="961" t="str">
        <f ca="1">IF(I125=0,"0",OFFSET('5  Control Accounts'!$BK$33,J125,0))</f>
        <v>0</v>
      </c>
      <c r="C125" s="961" t="str">
        <f ca="1">IF(I125=0,TEXT(0,"0"),OFFSET('5  Control Accounts'!$FB$33,J125,0))</f>
        <v>0</v>
      </c>
      <c r="D125" s="1326" t="str">
        <f t="shared" ca="1" si="2"/>
        <v>0</v>
      </c>
      <c r="E125" s="1326" t="str">
        <f t="shared" ca="1" si="3"/>
        <v>0</v>
      </c>
      <c r="F125" s="961" t="str">
        <f ca="1">IF(L125=0,TEXT(0,"0"),TEXT(OFFSET('5  Control Accounts'!$DW$33,J125,0),"General"))</f>
        <v>0</v>
      </c>
      <c r="G125" s="750"/>
      <c r="H125" s="750"/>
      <c r="I125" s="1004">
        <f ca="1">$H$2*OFFSET('5  Control Accounts'!$CP$33,J125,0)</f>
        <v>0</v>
      </c>
      <c r="J125" s="537">
        <v>119</v>
      </c>
      <c r="L125" s="1409">
        <f ca="1">IF(I125=0,0,OFFSET('5  Control Accounts'!$FD$33,J125,0))</f>
        <v>0</v>
      </c>
      <c r="M125" s="1409">
        <f ca="1">IF(I125=0,0,OFFSET('5  Control Accounts'!$FE$33,J125,0))</f>
        <v>0</v>
      </c>
    </row>
    <row r="126" spans="1:13" x14ac:dyDescent="0.3">
      <c r="A126" s="961" t="str">
        <f ca="1">IF(L126=0,TEXT(0,"0"),OFFSET('5  Control Accounts'!$BF$33,J126,0)&amp;"."&amp;OFFSET('5  Control Accounts'!$BH$33,J126,0))</f>
        <v>0</v>
      </c>
      <c r="B126" s="961" t="str">
        <f ca="1">IF(I126=0,"0",OFFSET('5  Control Accounts'!$BK$33,J126,0))</f>
        <v>0</v>
      </c>
      <c r="C126" s="961" t="str">
        <f ca="1">IF(I126=0,TEXT(0,"0"),OFFSET('5  Control Accounts'!$FB$33,J126,0))</f>
        <v>0</v>
      </c>
      <c r="D126" s="1326" t="str">
        <f t="shared" ca="1" si="2"/>
        <v>0</v>
      </c>
      <c r="E126" s="1326" t="str">
        <f t="shared" ca="1" si="3"/>
        <v>0</v>
      </c>
      <c r="F126" s="961" t="str">
        <f ca="1">IF(L126=0,TEXT(0,"0"),TEXT(OFFSET('5  Control Accounts'!$DW$33,J126,0),"General"))</f>
        <v>0</v>
      </c>
      <c r="G126" s="750"/>
      <c r="H126" s="750"/>
      <c r="I126" s="1004">
        <f ca="1">$H$2*OFFSET('5  Control Accounts'!$CP$33,J126,0)</f>
        <v>0</v>
      </c>
      <c r="J126" s="537">
        <v>120</v>
      </c>
      <c r="L126" s="1409">
        <f ca="1">IF(I126=0,0,OFFSET('5  Control Accounts'!$FD$33,J126,0))</f>
        <v>0</v>
      </c>
      <c r="M126" s="1409">
        <f ca="1">IF(I126=0,0,OFFSET('5  Control Accounts'!$FE$33,J126,0))</f>
        <v>0</v>
      </c>
    </row>
  </sheetData>
  <conditionalFormatting sqref="A2:F126">
    <cfRule type="expression" dxfId="93" priority="2">
      <formula>ISNONTEXT(A2)</formula>
    </cfRule>
  </conditionalFormatting>
  <conditionalFormatting sqref="H3">
    <cfRule type="expression" dxfId="92" priority="1">
      <formula>NOT(ISBLANK(H3))</formula>
    </cfRule>
  </conditionalFormatting>
  <pageMargins left="0.7" right="0.7" top="0.75" bottom="0.75" header="0.3" footer="0.3"/>
  <pageSetup paperSize="9" orientation="portrait" vertic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rgb="FF003397"/>
  </sheetPr>
  <dimension ref="A1:V126"/>
  <sheetViews>
    <sheetView showGridLines="0" workbookViewId="0">
      <selection activeCell="M5" sqref="M5"/>
    </sheetView>
  </sheetViews>
  <sheetFormatPr defaultColWidth="9.109375" defaultRowHeight="14.4" x14ac:dyDescent="0.3"/>
  <cols>
    <col min="1" max="1" width="28.33203125" style="749" customWidth="1"/>
    <col min="2" max="2" width="12.109375" style="749" customWidth="1"/>
    <col min="3" max="3" width="11.33203125" style="749" customWidth="1"/>
    <col min="4" max="4" width="7.6640625" style="749" customWidth="1"/>
    <col min="5" max="5" width="10" style="749" customWidth="1"/>
    <col min="6" max="13" width="9.6640625" style="749" customWidth="1"/>
    <col min="14" max="22" width="9.109375" style="1356"/>
    <col min="23" max="16384" width="9.109375" style="749"/>
  </cols>
  <sheetData>
    <row r="1" spans="1:22" ht="35.4" customHeight="1" thickBot="1" x14ac:dyDescent="0.3">
      <c r="A1" s="848" t="s">
        <v>100</v>
      </c>
      <c r="B1" s="848" t="s">
        <v>744</v>
      </c>
      <c r="C1" s="848" t="s">
        <v>745</v>
      </c>
      <c r="D1" s="848" t="s">
        <v>2588</v>
      </c>
      <c r="E1" s="848" t="s">
        <v>2589</v>
      </c>
      <c r="F1" s="848" t="s">
        <v>2590</v>
      </c>
      <c r="G1" s="848" t="s">
        <v>2591</v>
      </c>
      <c r="H1" s="848" t="s">
        <v>2592</v>
      </c>
      <c r="I1" s="848" t="s">
        <v>2494</v>
      </c>
      <c r="J1" s="848" t="s">
        <v>2593</v>
      </c>
      <c r="K1" s="848" t="s">
        <v>2594</v>
      </c>
      <c r="L1" s="848" t="s">
        <v>2595</v>
      </c>
      <c r="M1" s="848" t="s">
        <v>2596</v>
      </c>
      <c r="N1" s="2346"/>
      <c r="O1" s="2501" t="s">
        <v>2791</v>
      </c>
      <c r="P1" s="1002" t="s">
        <v>1168</v>
      </c>
      <c r="Q1" s="1002" t="s">
        <v>747</v>
      </c>
      <c r="R1" s="2303" t="s">
        <v>2655</v>
      </c>
      <c r="S1" s="2303" t="s">
        <v>2656</v>
      </c>
      <c r="T1" s="3297">
        <f ca="1">SUM(T2:T300)</f>
        <v>0</v>
      </c>
      <c r="U1" s="3297">
        <f ca="1">SUM(U2:U300)</f>
        <v>0</v>
      </c>
      <c r="V1" s="2303" t="s">
        <v>2663</v>
      </c>
    </row>
    <row r="2" spans="1:22" s="750" customFormat="1" ht="15.9" customHeight="1" thickBot="1" x14ac:dyDescent="0.35">
      <c r="A2" s="1400" t="str">
        <f>IF(P2=0,"0",TEXT('5  Control Accounts'!$BF29&amp;"."&amp;'5  Control Accounts'!BH29,"General"))</f>
        <v>0</v>
      </c>
      <c r="B2" s="1325" t="str">
        <f t="shared" ref="B2" si="0">IF(OR(P2=0,R2=0),"0",TEXT(R2,"YYYY-MM-DD"))</f>
        <v>0</v>
      </c>
      <c r="C2" s="1325" t="str">
        <f t="shared" ref="C2" si="1">IF(OR(P2=0,S2=0),"0",TEXT(S2,"YYYY-MM-DD"))</f>
        <v>0</v>
      </c>
      <c r="D2" s="1325" t="str">
        <f>IF($P2=0,"0",'5  Control Accounts'!DW29)</f>
        <v>0</v>
      </c>
      <c r="E2" s="1325" t="str">
        <f>IF(P2=0,"0",TEXT('5  Control Accounts'!Z29,"##0.0"))</f>
        <v>0</v>
      </c>
      <c r="F2" s="1325" t="str">
        <f>IF(P2=0,"0",TEXT('5  Control Accounts'!FG29,"##0.0"))</f>
        <v>0</v>
      </c>
      <c r="G2" s="1325" t="str">
        <f>IF(P2=0,"0",TEXT('5  Control Accounts'!FH29,"##0.0"))</f>
        <v>0</v>
      </c>
      <c r="H2" s="1325" t="str">
        <f>IF(P2=0,"0",TEXT('5  Control Accounts'!FP29,"##0.00"))</f>
        <v>0</v>
      </c>
      <c r="I2" s="1325" t="str">
        <f>IF(P2=0,"0",TEXT('5  Control Accounts'!FQ29,"0.0000"))</f>
        <v>0</v>
      </c>
      <c r="J2" s="1325" t="str">
        <f>IF(P2=0,"0",TEXT('5  Control Accounts'!FR29,"##0.00"))</f>
        <v>0</v>
      </c>
      <c r="K2" s="1325" t="str">
        <f>IF(P2=0,"0",TEXT('5  Control Accounts'!FX29,"##0"))</f>
        <v>0</v>
      </c>
      <c r="L2" s="1325" t="str">
        <f>IF(P2=0,"0",TEXT('5  Control Accounts'!FU29,"0.0000"))</f>
        <v>0</v>
      </c>
      <c r="M2" s="1325" t="str">
        <f>IF(P2=0,"0",TEXT('5  Control Accounts'!FY29,"##0"))</f>
        <v>0</v>
      </c>
      <c r="N2" s="2346"/>
      <c r="O2" s="2348">
        <f>IF(NOT(ISBLANK(O3)),1,IF('1 Setup'!G3="F",1,0))</f>
        <v>0</v>
      </c>
      <c r="P2" s="2347">
        <f>$O$2*'5  Control Accounts'!$CP$29</f>
        <v>0</v>
      </c>
      <c r="Q2" s="1003" t="s">
        <v>141</v>
      </c>
      <c r="R2" s="1408">
        <f>IF($P2=0,0,'5  Control Accounts'!FD29)</f>
        <v>0</v>
      </c>
      <c r="S2" s="3296">
        <f>IF($P2=0,0,'5  Control Accounts'!FE29)</f>
        <v>0</v>
      </c>
      <c r="T2" s="1930">
        <f>VALUE(K2)</f>
        <v>0</v>
      </c>
      <c r="U2" s="1930">
        <f>VALUE(M2)</f>
        <v>0</v>
      </c>
      <c r="V2" s="1003">
        <f>IF('1 Setup'!G8&lt;5,1,0)</f>
        <v>0</v>
      </c>
    </row>
    <row r="3" spans="1:22" s="750" customFormat="1" ht="15.9" customHeight="1" thickBot="1" x14ac:dyDescent="0.35">
      <c r="A3" s="1465" t="str">
        <f>IF(P3=0,"0",TEXT('5  Control Accounts'!$BF30&amp;"."&amp;'5  Control Accounts'!BH30,"General"))</f>
        <v>0</v>
      </c>
      <c r="B3" s="1326" t="str">
        <f t="shared" ref="B3" si="2">IF(OR(P3=0,R3=0),"0",TEXT(R3,"YYYY-MM-DD"))</f>
        <v>0</v>
      </c>
      <c r="C3" s="1326" t="str">
        <f t="shared" ref="C3" si="3">IF(OR(P3=0,S3=0),"0",TEXT(S3,"YYYY-MM-DD"))</f>
        <v>0</v>
      </c>
      <c r="D3" s="1326" t="str">
        <f>IF($P3=0,"0",'5  Control Accounts'!DW30)</f>
        <v>0</v>
      </c>
      <c r="E3" s="1327" t="str">
        <f>IF(P3=0,"0",TEXT('5  Control Accounts'!Z30,"##0.0"))</f>
        <v>0</v>
      </c>
      <c r="F3" s="1327" t="str">
        <f t="shared" ref="F3:G3" si="4">"0"</f>
        <v>0</v>
      </c>
      <c r="G3" s="1326" t="str">
        <f t="shared" si="4"/>
        <v>0</v>
      </c>
      <c r="H3" s="1326" t="str">
        <f>"0"</f>
        <v>0</v>
      </c>
      <c r="I3" s="1326" t="str">
        <f>"0"</f>
        <v>0</v>
      </c>
      <c r="J3" s="1326" t="str">
        <f>"0"</f>
        <v>0</v>
      </c>
      <c r="K3" s="1326" t="str">
        <f>IF(P3=0,"0",TEXT('5  Control Accounts'!FX30,"##0"))</f>
        <v>0</v>
      </c>
      <c r="L3" s="1326" t="str">
        <f>IF(P3=0,"0",TEXT('5  Control Accounts'!FU30,"0.0000"))</f>
        <v>0</v>
      </c>
      <c r="M3" s="1326" t="str">
        <f>IF(P3=0,"0",TEXT('5  Control Accounts'!FY30,"##0"))</f>
        <v>0</v>
      </c>
      <c r="N3" s="2346"/>
      <c r="O3" s="2348"/>
      <c r="P3" s="1003">
        <f>$O$2*'5  Control Accounts'!$CP$30</f>
        <v>0</v>
      </c>
      <c r="Q3" s="1003" t="s">
        <v>142</v>
      </c>
      <c r="R3" s="1409">
        <f>IF($P3=0,0,'5  Control Accounts'!FD30)</f>
        <v>0</v>
      </c>
      <c r="S3" s="1409">
        <f>IF($P3=0,0,'5  Control Accounts'!FE30)</f>
        <v>0</v>
      </c>
      <c r="T3" s="1930">
        <f t="shared" ref="T3:T66" si="5">VALUE(K3)</f>
        <v>0</v>
      </c>
      <c r="U3" s="1930">
        <f t="shared" ref="U3:U66" si="6">VALUE(M3)</f>
        <v>0</v>
      </c>
    </row>
    <row r="4" spans="1:22" s="750" customFormat="1" ht="15.9" customHeight="1" x14ac:dyDescent="0.3">
      <c r="A4" s="1326" t="str">
        <f>IF(P4=0,"0",TEXT('5  Control Accounts'!$BF31&amp;"."&amp;'5  Control Accounts'!BH31,"General"))</f>
        <v>0</v>
      </c>
      <c r="B4" s="1326" t="str">
        <f t="shared" ref="B4:B7" si="7">IF(OR(P4=0,R4=0),"0",TEXT(R4,"YYYY-MM-DD"))</f>
        <v>0</v>
      </c>
      <c r="C4" s="1326" t="str">
        <f t="shared" ref="C4:C7" si="8">IF(OR(P4=0,S4=0),"0",TEXT(S4,"YYYY-MM-DD"))</f>
        <v>0</v>
      </c>
      <c r="D4" s="1326" t="str">
        <f>IF($P4=0,"0",'5  Control Accounts'!DW31)</f>
        <v>0</v>
      </c>
      <c r="E4" s="1327" t="str">
        <f>IF(P4=0,"0",TEXT('5  Control Accounts'!Z31,"##0.0"))</f>
        <v>0</v>
      </c>
      <c r="F4" s="1327" t="str">
        <f t="shared" ref="F4:K6" si="9">"0"</f>
        <v>0</v>
      </c>
      <c r="G4" s="1326" t="str">
        <f t="shared" si="9"/>
        <v>0</v>
      </c>
      <c r="H4" s="1326" t="str">
        <f t="shared" si="9"/>
        <v>0</v>
      </c>
      <c r="I4" s="1326" t="str">
        <f t="shared" si="9"/>
        <v>0</v>
      </c>
      <c r="J4" s="1326" t="str">
        <f t="shared" si="9"/>
        <v>0</v>
      </c>
      <c r="K4" s="1326" t="str">
        <f>IF(P4=0,"0",TEXT('5  Control Accounts'!FX31,"##0"))</f>
        <v>0</v>
      </c>
      <c r="L4" s="1326" t="str">
        <f>IF(P4=0,"0",TEXT('5  Control Accounts'!FU31,"0.0000"))</f>
        <v>0</v>
      </c>
      <c r="M4" s="1326" t="str">
        <f>"0"</f>
        <v>0</v>
      </c>
      <c r="N4" s="2346"/>
      <c r="O4" s="432" t="s">
        <v>4168</v>
      </c>
      <c r="P4" s="1003">
        <f>$O$2*'5  Control Accounts'!$CP$31</f>
        <v>0</v>
      </c>
      <c r="Q4" s="1003" t="s">
        <v>143</v>
      </c>
      <c r="R4" s="1409">
        <f>IF($P4=0,0,'5  Control Accounts'!FD31)</f>
        <v>0</v>
      </c>
      <c r="S4" s="1409">
        <f>IF($P4=0,0,'5  Control Accounts'!FE31)</f>
        <v>0</v>
      </c>
      <c r="T4" s="1930">
        <f t="shared" si="5"/>
        <v>0</v>
      </c>
      <c r="U4" s="1930">
        <f t="shared" si="6"/>
        <v>0</v>
      </c>
    </row>
    <row r="5" spans="1:22" s="750" customFormat="1" ht="15.9" customHeight="1" x14ac:dyDescent="0.3">
      <c r="A5" s="1326" t="str">
        <f>IF(P5=0,"0",TEXT('5  Control Accounts'!$BF32&amp;"."&amp;'5  Control Accounts'!BH32,"General"))</f>
        <v>0</v>
      </c>
      <c r="B5" s="1327" t="str">
        <f t="shared" si="7"/>
        <v>0</v>
      </c>
      <c r="C5" s="1327" t="str">
        <f t="shared" si="8"/>
        <v>0</v>
      </c>
      <c r="D5" s="1327" t="str">
        <f>IF($P5=0,"0",'5  Control Accounts'!DW32)</f>
        <v>0</v>
      </c>
      <c r="E5" s="1327" t="str">
        <f>IF(P5=0,"0",TEXT('5  Control Accounts'!Z32,"##0.0"))</f>
        <v>0</v>
      </c>
      <c r="F5" s="1327" t="str">
        <f t="shared" si="9"/>
        <v>0</v>
      </c>
      <c r="G5" s="1327" t="str">
        <f t="shared" si="9"/>
        <v>0</v>
      </c>
      <c r="H5" s="1327" t="str">
        <f t="shared" si="9"/>
        <v>0</v>
      </c>
      <c r="I5" s="1327" t="str">
        <f t="shared" si="9"/>
        <v>0</v>
      </c>
      <c r="J5" s="1327" t="str">
        <f t="shared" si="9"/>
        <v>0</v>
      </c>
      <c r="K5" s="1327" t="str">
        <f t="shared" si="9"/>
        <v>0</v>
      </c>
      <c r="L5" s="1327" t="str">
        <f>IF(P5=0,"0",TEXT('5  Control Accounts'!FU32,"0.0000"))</f>
        <v>0</v>
      </c>
      <c r="M5" s="1327" t="str">
        <f>IF(P5=0,"0",TEXT('5  Control Accounts'!FY32,"##0"))</f>
        <v>0</v>
      </c>
      <c r="N5" s="2346"/>
      <c r="P5" s="1003">
        <f>$O$2*'5  Control Accounts'!$CP$32</f>
        <v>0</v>
      </c>
      <c r="Q5" s="1003" t="s">
        <v>144</v>
      </c>
      <c r="R5" s="1409">
        <f>IF($P5=0,0,'5  Control Accounts'!FD32)</f>
        <v>0</v>
      </c>
      <c r="S5" s="1409">
        <f>IF($P5=0,0,'5  Control Accounts'!FE32)</f>
        <v>0</v>
      </c>
      <c r="T5" s="1930">
        <f t="shared" si="5"/>
        <v>0</v>
      </c>
      <c r="U5" s="1930">
        <f t="shared" si="6"/>
        <v>0</v>
      </c>
    </row>
    <row r="6" spans="1:22" s="750" customFormat="1" ht="15.9" customHeight="1" thickBot="1" x14ac:dyDescent="0.35">
      <c r="A6" s="1328" t="str">
        <f>IF(P6=0,"0",TEXT('5  Control Accounts'!$BF33&amp;"."&amp;'5  Control Accounts'!BH33,"General"))</f>
        <v>0</v>
      </c>
      <c r="B6" s="1328" t="str">
        <f t="shared" si="7"/>
        <v>0</v>
      </c>
      <c r="C6" s="1328" t="str">
        <f t="shared" si="8"/>
        <v>0</v>
      </c>
      <c r="D6" s="1328" t="str">
        <f>IF($P6=0,"0",'5  Control Accounts'!DW33)</f>
        <v>0</v>
      </c>
      <c r="E6" s="1407" t="str">
        <f>IF(P6=0,"0",TEXT('5  Control Accounts'!Z33,"##0.0"))</f>
        <v>0</v>
      </c>
      <c r="F6" s="1328" t="str">
        <f t="shared" si="9"/>
        <v>0</v>
      </c>
      <c r="G6" s="1328" t="str">
        <f t="shared" si="9"/>
        <v>0</v>
      </c>
      <c r="H6" s="1328" t="str">
        <f t="shared" si="9"/>
        <v>0</v>
      </c>
      <c r="I6" s="1328" t="str">
        <f t="shared" si="9"/>
        <v>0</v>
      </c>
      <c r="J6" s="1328" t="str">
        <f t="shared" si="9"/>
        <v>0</v>
      </c>
      <c r="K6" s="1407" t="str">
        <f>IF(P6=0,"0",TEXT('5  Control Accounts'!FX33,"##0"))</f>
        <v>0</v>
      </c>
      <c r="L6" s="1328" t="str">
        <f>IF(P6=0,"0",TEXT('5  Control Accounts'!FU33,"0.0000"))</f>
        <v>0</v>
      </c>
      <c r="M6" s="1328" t="str">
        <f>"0"</f>
        <v>0</v>
      </c>
      <c r="N6" s="2346"/>
      <c r="P6" s="1005">
        <f>$O$2*'5  Control Accounts'!$CP$33</f>
        <v>0</v>
      </c>
      <c r="Q6" s="1005" t="s">
        <v>145</v>
      </c>
      <c r="R6" s="1410">
        <f>IF($P6=0,0,'5  Control Accounts'!FD33)</f>
        <v>0</v>
      </c>
      <c r="S6" s="1410">
        <f>IF($P6=0,0,'5  Control Accounts'!FE33)</f>
        <v>0</v>
      </c>
      <c r="T6" s="1930">
        <f t="shared" si="5"/>
        <v>0</v>
      </c>
      <c r="U6" s="1930">
        <f t="shared" si="6"/>
        <v>0</v>
      </c>
    </row>
    <row r="7" spans="1:22" s="750" customFormat="1" ht="15.9" customHeight="1" thickTop="1" x14ac:dyDescent="0.3">
      <c r="A7" s="1366" t="str">
        <f ca="1">IF(P7=0,"0",TEXT(OFFSET('5  Control Accounts'!$BF$33,Q7,0)&amp;"."&amp;OFFSET('5  Control Accounts'!$BH$33,Q7,0),"General"))</f>
        <v>0</v>
      </c>
      <c r="B7" s="961" t="str">
        <f t="shared" ca="1" si="7"/>
        <v>0</v>
      </c>
      <c r="C7" s="961" t="str">
        <f t="shared" ca="1" si="8"/>
        <v>0</v>
      </c>
      <c r="D7" s="961" t="str">
        <f ca="1">IF($P7=0,"0",TEXT(OFFSET('5  Control Accounts'!$DW$33,Q7,0),"General"))</f>
        <v>0</v>
      </c>
      <c r="E7" s="1325" t="str">
        <f ca="1">IF($P7=0,"0",TEXT(OFFSET('5  Control Accounts'!$Z$33,Q7,0),"##0.0"))</f>
        <v>0</v>
      </c>
      <c r="F7" s="961" t="str">
        <f ca="1">IF(P7=0,"0",TEXT(OFFSET('5  Control Accounts'!$FG$33,Q7,0),"##0.0"))</f>
        <v>0</v>
      </c>
      <c r="G7" s="961" t="str">
        <f ca="1">IF(P7=0,"0",TEXT(OFFSET('5  Control Accounts'!$FH$33,$Q7,0),"##0.0"))</f>
        <v>0</v>
      </c>
      <c r="H7" s="961" t="str">
        <f ca="1">IF(P7=0,"0",TEXT(OFFSET('5  Control Accounts'!$FP$33,$Q7,0),"##0.00"))</f>
        <v>0</v>
      </c>
      <c r="I7" s="961" t="str">
        <f ca="1">IF(P7=0,"0",TEXT(OFFSET('5  Control Accounts'!$FQ$33,$Q7,0),"0.0000"))</f>
        <v>0</v>
      </c>
      <c r="J7" s="961" t="str">
        <f ca="1">IF(P7=0,"0",TEXT(OFFSET('5  Control Accounts'!$FR$33,$Q7,0),"##0.00"))</f>
        <v>0</v>
      </c>
      <c r="K7" s="961" t="str">
        <f ca="1">IF(P7=0,"0",TEXT(OFFSET('5  Control Accounts'!$FX$33,Q7,0),"##0"))</f>
        <v>0</v>
      </c>
      <c r="L7" s="961" t="str">
        <f ca="1">IF(P7=0,"0",TEXT(OFFSET('5  Control Accounts'!$FU$33,Q7,0),"0.0000"))</f>
        <v>0</v>
      </c>
      <c r="M7" s="961" t="str">
        <f ca="1">IF(P7=0,"0",TEXT(OFFSET('5  Control Accounts'!$FY$33,Q7,0),"##0"))</f>
        <v>0</v>
      </c>
      <c r="N7" s="2346"/>
      <c r="P7" s="1004">
        <f ca="1">$O$2*OFFSET('5  Control Accounts'!$CP$33,Q7,0)</f>
        <v>0</v>
      </c>
      <c r="Q7" s="1004">
        <v>1</v>
      </c>
      <c r="R7" s="1411">
        <f ca="1">IF(P7=0,0,OFFSET('5  Control Accounts'!$FD$33,Q7,0))</f>
        <v>0</v>
      </c>
      <c r="S7" s="1411">
        <f ca="1">IF(P7=0,0,OFFSET('5  Control Accounts'!$FE$33,Q7,0))</f>
        <v>0</v>
      </c>
      <c r="T7" s="1930">
        <f t="shared" ca="1" si="5"/>
        <v>0</v>
      </c>
      <c r="U7" s="1930">
        <f t="shared" ca="1" si="6"/>
        <v>0</v>
      </c>
    </row>
    <row r="8" spans="1:22" s="750" customFormat="1" ht="15.9" customHeight="1" x14ac:dyDescent="0.3">
      <c r="A8" s="961" t="str">
        <f ca="1">IF(P8=0,"0",TEXT(OFFSET('5  Control Accounts'!$BF$33,Q8,0)&amp;"."&amp;OFFSET('5  Control Accounts'!$BH$33,Q8,0),"General"))</f>
        <v>0</v>
      </c>
      <c r="B8" s="961" t="str">
        <f t="shared" ref="B8:B71" ca="1" si="10">IF(OR(P8=0,R8=0),"0",TEXT(R8,"YYYY-MM-DD"))</f>
        <v>0</v>
      </c>
      <c r="C8" s="961" t="str">
        <f t="shared" ref="C8:C71" ca="1" si="11">IF(OR(P8=0,S8=0),"0",TEXT(S8,"YYYY-MM-DD"))</f>
        <v>0</v>
      </c>
      <c r="D8" s="961" t="str">
        <f ca="1">IF($P8=0,"0",TEXT(OFFSET('5  Control Accounts'!$DW$33,Q8,0),"General"))</f>
        <v>0</v>
      </c>
      <c r="E8" s="1327" t="str">
        <f ca="1">IF($P8=0,"0",TEXT(OFFSET('5  Control Accounts'!$Z$33,Q8,0),"##0.0"))</f>
        <v>0</v>
      </c>
      <c r="F8" s="961" t="str">
        <f ca="1">IF(P8=0,"0",TEXT(OFFSET('5  Control Accounts'!$FG$33,Q8,0),"##0.0"))</f>
        <v>0</v>
      </c>
      <c r="G8" s="961" t="str">
        <f ca="1">IF(P8=0,"0",TEXT(OFFSET('5  Control Accounts'!$FH$33,$Q8,0),"##0.0"))</f>
        <v>0</v>
      </c>
      <c r="H8" s="961" t="str">
        <f ca="1">IF(P8=0,"0",TEXT(OFFSET('5  Control Accounts'!$FP$33,$Q8,0),"##0.00"))</f>
        <v>0</v>
      </c>
      <c r="I8" s="961" t="str">
        <f ca="1">IF(P8=0,"0",TEXT(OFFSET('5  Control Accounts'!$FQ$33,$Q8,0),"0.0000"))</f>
        <v>0</v>
      </c>
      <c r="J8" s="961" t="str">
        <f ca="1">IF(P8=0,"0",TEXT(OFFSET('5  Control Accounts'!$FR$33,$Q8,0),"##0.00"))</f>
        <v>0</v>
      </c>
      <c r="K8" s="961" t="str">
        <f ca="1">IF(P8=0,"0",TEXT(OFFSET('5  Control Accounts'!$FX$33,Q8,0),"##0"))</f>
        <v>0</v>
      </c>
      <c r="L8" s="961" t="str">
        <f ca="1">IF(P8=0,"0",TEXT(OFFSET('5  Control Accounts'!$FU$33,Q8,0),"0.0000"))</f>
        <v>0</v>
      </c>
      <c r="M8" s="961" t="str">
        <f ca="1">IF(P8=0,"0",TEXT(OFFSET('5  Control Accounts'!$FY$33,Q8,0),"##0"))</f>
        <v>0</v>
      </c>
      <c r="N8" s="2346"/>
      <c r="P8" s="537">
        <f ca="1">$O$2*OFFSET('5  Control Accounts'!$CP$33,Q8,0)</f>
        <v>0</v>
      </c>
      <c r="Q8" s="537">
        <v>2</v>
      </c>
      <c r="R8" s="1411">
        <f ca="1">IF(P8=0,0,OFFSET('5  Control Accounts'!$FD$33,Q8,0))</f>
        <v>0</v>
      </c>
      <c r="S8" s="1411">
        <f ca="1">IF(P8=0,0,OFFSET('5  Control Accounts'!$FE$33,Q8,0))</f>
        <v>0</v>
      </c>
      <c r="T8" s="1930">
        <f t="shared" ca="1" si="5"/>
        <v>0</v>
      </c>
      <c r="U8" s="1930">
        <f t="shared" ca="1" si="6"/>
        <v>0</v>
      </c>
    </row>
    <row r="9" spans="1:22" s="750" customFormat="1" ht="15.9" customHeight="1" x14ac:dyDescent="0.3">
      <c r="A9" s="961" t="str">
        <f ca="1">IF(P9=0,"0",TEXT(OFFSET('5  Control Accounts'!$BF$33,Q9,0)&amp;"."&amp;OFFSET('5  Control Accounts'!$BH$33,Q9,0),"General"))</f>
        <v>0</v>
      </c>
      <c r="B9" s="961" t="str">
        <f t="shared" ca="1" si="10"/>
        <v>0</v>
      </c>
      <c r="C9" s="961" t="str">
        <f t="shared" ca="1" si="11"/>
        <v>0</v>
      </c>
      <c r="D9" s="961" t="str">
        <f ca="1">IF($P9=0,"0",TEXT(OFFSET('5  Control Accounts'!$DW$33,Q9,0),"General"))</f>
        <v>0</v>
      </c>
      <c r="E9" s="1327" t="str">
        <f ca="1">IF($P9=0,"0",TEXT(OFFSET('5  Control Accounts'!$Z$33,Q9,0),"##0.0"))</f>
        <v>0</v>
      </c>
      <c r="F9" s="961" t="str">
        <f ca="1">IF(P9=0,"0",TEXT(OFFSET('5  Control Accounts'!$FG$33,Q9,0),"##0.0"))</f>
        <v>0</v>
      </c>
      <c r="G9" s="961" t="str">
        <f ca="1">IF(P9=0,"0",TEXT(OFFSET('5  Control Accounts'!$FH$33,$Q9,0),"##0.0"))</f>
        <v>0</v>
      </c>
      <c r="H9" s="961" t="str">
        <f ca="1">IF(P9=0,"0",TEXT(OFFSET('5  Control Accounts'!$FP$33,$Q9,0),"##0.00"))</f>
        <v>0</v>
      </c>
      <c r="I9" s="961" t="str">
        <f ca="1">IF(P9=0,"0",TEXT(OFFSET('5  Control Accounts'!$FQ$33,$Q9,0),"0.0000"))</f>
        <v>0</v>
      </c>
      <c r="J9" s="961" t="str">
        <f ca="1">IF(P9=0,"0",TEXT(OFFSET('5  Control Accounts'!$FR$33,$Q9,0),"##0.00"))</f>
        <v>0</v>
      </c>
      <c r="K9" s="961" t="str">
        <f ca="1">IF(P9=0,"0",TEXT(OFFSET('5  Control Accounts'!$FX$33,Q9,0),"##0"))</f>
        <v>0</v>
      </c>
      <c r="L9" s="961" t="str">
        <f ca="1">IF(P9=0,"0",TEXT(OFFSET('5  Control Accounts'!$FU$33,Q9,0),"0.0000"))</f>
        <v>0</v>
      </c>
      <c r="M9" s="961" t="str">
        <f ca="1">IF(P9=0,"0",TEXT(OFFSET('5  Control Accounts'!$FY$33,Q9,0),"##0"))</f>
        <v>0</v>
      </c>
      <c r="N9" s="2346"/>
      <c r="P9" s="537">
        <f ca="1">$O$2*OFFSET('5  Control Accounts'!$CP$33,Q9,0)</f>
        <v>0</v>
      </c>
      <c r="Q9" s="537">
        <v>3</v>
      </c>
      <c r="R9" s="1411">
        <f ca="1">IF(P9=0,0,OFFSET('5  Control Accounts'!$FD$33,Q9,0))</f>
        <v>0</v>
      </c>
      <c r="S9" s="1411">
        <f ca="1">IF(P9=0,0,OFFSET('5  Control Accounts'!$FE$33,Q9,0))</f>
        <v>0</v>
      </c>
      <c r="T9" s="1930">
        <f t="shared" ca="1" si="5"/>
        <v>0</v>
      </c>
      <c r="U9" s="1930">
        <f t="shared" ca="1" si="6"/>
        <v>0</v>
      </c>
    </row>
    <row r="10" spans="1:22" s="750" customFormat="1" ht="15.9" customHeight="1" x14ac:dyDescent="0.3">
      <c r="A10" s="961" t="str">
        <f ca="1">IF(P10=0,"0",TEXT(OFFSET('5  Control Accounts'!$BF$33,Q10,0)&amp;"."&amp;OFFSET('5  Control Accounts'!$BH$33,Q10,0),"General"))</f>
        <v>0</v>
      </c>
      <c r="B10" s="961" t="str">
        <f t="shared" ca="1" si="10"/>
        <v>0</v>
      </c>
      <c r="C10" s="961" t="str">
        <f t="shared" ca="1" si="11"/>
        <v>0</v>
      </c>
      <c r="D10" s="961" t="str">
        <f ca="1">IF($P10=0,"0",TEXT(OFFSET('5  Control Accounts'!$DW$33,Q10,0),"General"))</f>
        <v>0</v>
      </c>
      <c r="E10" s="1327" t="str">
        <f ca="1">IF($P10=0,"0",TEXT(OFFSET('5  Control Accounts'!$Z$33,Q10,0),"##0.0"))</f>
        <v>0</v>
      </c>
      <c r="F10" s="961" t="str">
        <f ca="1">IF(P10=0,"0",TEXT(OFFSET('5  Control Accounts'!$FG$33,Q10,0),"##0.0"))</f>
        <v>0</v>
      </c>
      <c r="G10" s="961" t="str">
        <f ca="1">IF(P10=0,"0",TEXT(OFFSET('5  Control Accounts'!$FH$33,$Q10,0),"##0.0"))</f>
        <v>0</v>
      </c>
      <c r="H10" s="961" t="str">
        <f ca="1">IF(P10=0,"0",TEXT(OFFSET('5  Control Accounts'!$FP$33,$Q10,0),"##0.00"))</f>
        <v>0</v>
      </c>
      <c r="I10" s="961" t="str">
        <f ca="1">IF(P10=0,"0",TEXT(OFFSET('5  Control Accounts'!$FQ$33,$Q10,0),"0.0000"))</f>
        <v>0</v>
      </c>
      <c r="J10" s="961" t="str">
        <f ca="1">IF(P10=0,"0",TEXT(OFFSET('5  Control Accounts'!$FR$33,$Q10,0),"##0.00"))</f>
        <v>0</v>
      </c>
      <c r="K10" s="961" t="str">
        <f ca="1">IF(P10=0,"0",TEXT(OFFSET('5  Control Accounts'!$FX$33,Q10,0),"##0"))</f>
        <v>0</v>
      </c>
      <c r="L10" s="961" t="str">
        <f ca="1">IF(P10=0,"0",TEXT(OFFSET('5  Control Accounts'!$FU$33,Q10,0),"0.0000"))</f>
        <v>0</v>
      </c>
      <c r="M10" s="961" t="str">
        <f ca="1">IF(P10=0,"0",TEXT(OFFSET('5  Control Accounts'!$FY$33,Q10,0),"##0"))</f>
        <v>0</v>
      </c>
      <c r="N10" s="2346"/>
      <c r="P10" s="537">
        <f ca="1">$O$2*OFFSET('5  Control Accounts'!$CP$33,Q10,0)</f>
        <v>0</v>
      </c>
      <c r="Q10" s="537">
        <v>4</v>
      </c>
      <c r="R10" s="1411">
        <f ca="1">IF(P10=0,0,OFFSET('5  Control Accounts'!$FD$33,Q10,0))</f>
        <v>0</v>
      </c>
      <c r="S10" s="1411">
        <f ca="1">IF(P10=0,0,OFFSET('5  Control Accounts'!$FE$33,Q10,0))</f>
        <v>0</v>
      </c>
      <c r="T10" s="1930">
        <f t="shared" ca="1" si="5"/>
        <v>0</v>
      </c>
      <c r="U10" s="1930">
        <f t="shared" ca="1" si="6"/>
        <v>0</v>
      </c>
    </row>
    <row r="11" spans="1:22" s="750" customFormat="1" ht="15.9" customHeight="1" x14ac:dyDescent="0.3">
      <c r="A11" s="961" t="str">
        <f ca="1">IF(P11=0,"0",TEXT(OFFSET('5  Control Accounts'!$BF$33,Q11,0)&amp;"."&amp;OFFSET('5  Control Accounts'!$BH$33,Q11,0),"General"))</f>
        <v>0</v>
      </c>
      <c r="B11" s="961" t="str">
        <f t="shared" ca="1" si="10"/>
        <v>0</v>
      </c>
      <c r="C11" s="961" t="str">
        <f t="shared" ca="1" si="11"/>
        <v>0</v>
      </c>
      <c r="D11" s="961" t="str">
        <f ca="1">IF($P11=0,"0",TEXT(OFFSET('5  Control Accounts'!$DW$33,Q11,0),"General"))</f>
        <v>0</v>
      </c>
      <c r="E11" s="1327" t="str">
        <f ca="1">IF($P11=0,"0",TEXT(OFFSET('5  Control Accounts'!$Z$33,Q11,0),"##0.0"))</f>
        <v>0</v>
      </c>
      <c r="F11" s="961" t="str">
        <f ca="1">IF(P11=0,"0",TEXT(OFFSET('5  Control Accounts'!$FG$33,Q11,0),"##0.0"))</f>
        <v>0</v>
      </c>
      <c r="G11" s="961" t="str">
        <f ca="1">IF(P11=0,"0",TEXT(OFFSET('5  Control Accounts'!$FH$33,$Q11,0),"##0.0"))</f>
        <v>0</v>
      </c>
      <c r="H11" s="961" t="str">
        <f ca="1">IF(P11=0,"0",TEXT(OFFSET('5  Control Accounts'!$FP$33,$Q11,0),"##0.00"))</f>
        <v>0</v>
      </c>
      <c r="I11" s="961" t="str">
        <f ca="1">IF(P11=0,"0",TEXT(OFFSET('5  Control Accounts'!$FQ$33,$Q11,0),"0.0000"))</f>
        <v>0</v>
      </c>
      <c r="J11" s="961" t="str">
        <f ca="1">IF(P11=0,"0",TEXT(OFFSET('5  Control Accounts'!$FR$33,$Q11,0),"##0.00"))</f>
        <v>0</v>
      </c>
      <c r="K11" s="961" t="str">
        <f ca="1">IF(P11=0,"0",TEXT(OFFSET('5  Control Accounts'!$FX$33,Q11,0),"##0"))</f>
        <v>0</v>
      </c>
      <c r="L11" s="961" t="str">
        <f ca="1">IF(P11=0,"0",TEXT(OFFSET('5  Control Accounts'!$FU$33,Q11,0),"0.0000"))</f>
        <v>0</v>
      </c>
      <c r="M11" s="961" t="str">
        <f ca="1">IF(P11=0,"0",TEXT(OFFSET('5  Control Accounts'!$FY$33,Q11,0),"##0"))</f>
        <v>0</v>
      </c>
      <c r="N11" s="2346"/>
      <c r="P11" s="537">
        <f ca="1">$O$2*OFFSET('5  Control Accounts'!$CP$33,Q11,0)</f>
        <v>0</v>
      </c>
      <c r="Q11" s="537">
        <v>5</v>
      </c>
      <c r="R11" s="1411">
        <f ca="1">IF(P11=0,0,OFFSET('5  Control Accounts'!$FD$33,Q11,0))</f>
        <v>0</v>
      </c>
      <c r="S11" s="1411">
        <f ca="1">IF(P11=0,0,OFFSET('5  Control Accounts'!$FE$33,Q11,0))</f>
        <v>0</v>
      </c>
      <c r="T11" s="1930">
        <f t="shared" ca="1" si="5"/>
        <v>0</v>
      </c>
      <c r="U11" s="1930">
        <f t="shared" ca="1" si="6"/>
        <v>0</v>
      </c>
    </row>
    <row r="12" spans="1:22" s="750" customFormat="1" ht="15.9" customHeight="1" x14ac:dyDescent="0.3">
      <c r="A12" s="961" t="str">
        <f ca="1">IF(P12=0,"0",TEXT(OFFSET('5  Control Accounts'!$BF$33,Q12,0)&amp;"."&amp;OFFSET('5  Control Accounts'!$BH$33,Q12,0),"General"))</f>
        <v>0</v>
      </c>
      <c r="B12" s="961" t="str">
        <f t="shared" ca="1" si="10"/>
        <v>0</v>
      </c>
      <c r="C12" s="961" t="str">
        <f t="shared" ca="1" si="11"/>
        <v>0</v>
      </c>
      <c r="D12" s="961" t="str">
        <f ca="1">IF($P12=0,"0",TEXT(OFFSET('5  Control Accounts'!$DW$33,Q12,0),"General"))</f>
        <v>0</v>
      </c>
      <c r="E12" s="1327" t="str">
        <f ca="1">IF($P12=0,"0",TEXT(OFFSET('5  Control Accounts'!$Z$33,Q12,0),"##0.0"))</f>
        <v>0</v>
      </c>
      <c r="F12" s="961" t="str">
        <f ca="1">IF(P12=0,"0",TEXT(OFFSET('5  Control Accounts'!$FG$33,Q12,0),"##0.0"))</f>
        <v>0</v>
      </c>
      <c r="G12" s="961" t="str">
        <f ca="1">IF(P12=0,"0",TEXT(OFFSET('5  Control Accounts'!$FH$33,$Q12,0),"##0.0"))</f>
        <v>0</v>
      </c>
      <c r="H12" s="961" t="str">
        <f ca="1">IF(P12=0,"0",TEXT(OFFSET('5  Control Accounts'!$FP$33,$Q12,0),"##0.00"))</f>
        <v>0</v>
      </c>
      <c r="I12" s="961" t="str">
        <f ca="1">IF(P12=0,"0",TEXT(OFFSET('5  Control Accounts'!$FQ$33,$Q12,0),"0.0000"))</f>
        <v>0</v>
      </c>
      <c r="J12" s="961" t="str">
        <f ca="1">IF(P12=0,"0",TEXT(OFFSET('5  Control Accounts'!$FR$33,$Q12,0),"##0.00"))</f>
        <v>0</v>
      </c>
      <c r="K12" s="961" t="str">
        <f ca="1">IF(P12=0,"0",TEXT(OFFSET('5  Control Accounts'!$FX$33,Q12,0),"##0"))</f>
        <v>0</v>
      </c>
      <c r="L12" s="961" t="str">
        <f ca="1">IF(P12=0,"0",TEXT(OFFSET('5  Control Accounts'!$FU$33,Q12,0),"0.0000"))</f>
        <v>0</v>
      </c>
      <c r="M12" s="961" t="str">
        <f ca="1">IF(P12=0,"0",TEXT(OFFSET('5  Control Accounts'!$FY$33,Q12,0),"##0"))</f>
        <v>0</v>
      </c>
      <c r="N12" s="2346"/>
      <c r="P12" s="537">
        <f ca="1">$O$2*OFFSET('5  Control Accounts'!$CP$33,Q12,0)</f>
        <v>0</v>
      </c>
      <c r="Q12" s="537">
        <v>6</v>
      </c>
      <c r="R12" s="1411">
        <f ca="1">IF(P12=0,0,OFFSET('5  Control Accounts'!$FD$33,Q12,0))</f>
        <v>0</v>
      </c>
      <c r="S12" s="1411">
        <f ca="1">IF(P12=0,0,OFFSET('5  Control Accounts'!$FE$33,Q12,0))</f>
        <v>0</v>
      </c>
      <c r="T12" s="1930">
        <f t="shared" ca="1" si="5"/>
        <v>0</v>
      </c>
      <c r="U12" s="1930">
        <f t="shared" ca="1" si="6"/>
        <v>0</v>
      </c>
    </row>
    <row r="13" spans="1:22" s="750" customFormat="1" ht="15.9" customHeight="1" x14ac:dyDescent="0.3">
      <c r="A13" s="961" t="str">
        <f ca="1">IF(P13=0,"0",TEXT(OFFSET('5  Control Accounts'!$BF$33,Q13,0)&amp;"."&amp;OFFSET('5  Control Accounts'!$BH$33,Q13,0),"General"))</f>
        <v>0</v>
      </c>
      <c r="B13" s="961" t="str">
        <f t="shared" ca="1" si="10"/>
        <v>0</v>
      </c>
      <c r="C13" s="961" t="str">
        <f t="shared" ca="1" si="11"/>
        <v>0</v>
      </c>
      <c r="D13" s="961" t="str">
        <f ca="1">IF($P13=0,"0",TEXT(OFFSET('5  Control Accounts'!$DW$33,Q13,0),"General"))</f>
        <v>0</v>
      </c>
      <c r="E13" s="1327" t="str">
        <f ca="1">IF($P13=0,"0",TEXT(OFFSET('5  Control Accounts'!$Z$33,Q13,0),"##0.0"))</f>
        <v>0</v>
      </c>
      <c r="F13" s="961" t="str">
        <f ca="1">IF(P13=0,"0",TEXT(OFFSET('5  Control Accounts'!$FG$33,Q13,0),"##0.0"))</f>
        <v>0</v>
      </c>
      <c r="G13" s="961" t="str">
        <f ca="1">IF(P13=0,"0",TEXT(OFFSET('5  Control Accounts'!$FH$33,$Q13,0),"##0.0"))</f>
        <v>0</v>
      </c>
      <c r="H13" s="961" t="str">
        <f ca="1">IF(P13=0,"0",TEXT(OFFSET('5  Control Accounts'!$FP$33,$Q13,0),"##0.00"))</f>
        <v>0</v>
      </c>
      <c r="I13" s="961" t="str">
        <f ca="1">IF(P13=0,"0",TEXT(OFFSET('5  Control Accounts'!$FQ$33,$Q13,0),"0.0000"))</f>
        <v>0</v>
      </c>
      <c r="J13" s="961" t="str">
        <f ca="1">IF(P13=0,"0",TEXT(OFFSET('5  Control Accounts'!$FR$33,$Q13,0),"##0.00"))</f>
        <v>0</v>
      </c>
      <c r="K13" s="961" t="str">
        <f ca="1">IF(P13=0,"0",TEXT(OFFSET('5  Control Accounts'!$FX$33,Q13,0),"##0"))</f>
        <v>0</v>
      </c>
      <c r="L13" s="961" t="str">
        <f ca="1">IF(P13=0,"0",TEXT(OFFSET('5  Control Accounts'!$FU$33,Q13,0),"0.0000"))</f>
        <v>0</v>
      </c>
      <c r="M13" s="961" t="str">
        <f ca="1">IF(P13=0,"0",TEXT(OFFSET('5  Control Accounts'!$FY$33,Q13,0),"##0"))</f>
        <v>0</v>
      </c>
      <c r="N13" s="2346"/>
      <c r="P13" s="537">
        <f ca="1">$O$2*OFFSET('5  Control Accounts'!$CP$33,Q13,0)</f>
        <v>0</v>
      </c>
      <c r="Q13" s="537">
        <v>7</v>
      </c>
      <c r="R13" s="1411">
        <f ca="1">IF(P13=0,0,OFFSET('5  Control Accounts'!$FD$33,Q13,0))</f>
        <v>0</v>
      </c>
      <c r="S13" s="1411">
        <f ca="1">IF(P13=0,0,OFFSET('5  Control Accounts'!$FE$33,Q13,0))</f>
        <v>0</v>
      </c>
      <c r="T13" s="1930">
        <f t="shared" ca="1" si="5"/>
        <v>0</v>
      </c>
      <c r="U13" s="1930">
        <f t="shared" ca="1" si="6"/>
        <v>0</v>
      </c>
    </row>
    <row r="14" spans="1:22" s="750" customFormat="1" ht="15.9" customHeight="1" x14ac:dyDescent="0.3">
      <c r="A14" s="961" t="str">
        <f ca="1">IF(P14=0,"0",TEXT(OFFSET('5  Control Accounts'!$BF$33,Q14,0)&amp;"."&amp;OFFSET('5  Control Accounts'!$BH$33,Q14,0),"General"))</f>
        <v>0</v>
      </c>
      <c r="B14" s="961" t="str">
        <f t="shared" ca="1" si="10"/>
        <v>0</v>
      </c>
      <c r="C14" s="961" t="str">
        <f t="shared" ca="1" si="11"/>
        <v>0</v>
      </c>
      <c r="D14" s="961" t="str">
        <f ca="1">IF($P14=0,"0",TEXT(OFFSET('5  Control Accounts'!$DW$33,Q14,0),"General"))</f>
        <v>0</v>
      </c>
      <c r="E14" s="1327" t="str">
        <f ca="1">IF($P14=0,"0",TEXT(OFFSET('5  Control Accounts'!$Z$33,Q14,0),"##0.0"))</f>
        <v>0</v>
      </c>
      <c r="F14" s="961" t="str">
        <f ca="1">IF(P14=0,"0",TEXT(OFFSET('5  Control Accounts'!$FG$33,Q14,0),"##0.0"))</f>
        <v>0</v>
      </c>
      <c r="G14" s="961" t="str">
        <f ca="1">IF(P14=0,"0",TEXT(OFFSET('5  Control Accounts'!$FH$33,$Q14,0),"##0.0"))</f>
        <v>0</v>
      </c>
      <c r="H14" s="961" t="str">
        <f ca="1">IF(P14=0,"0",TEXT(OFFSET('5  Control Accounts'!$FP$33,$Q14,0),"##0.00"))</f>
        <v>0</v>
      </c>
      <c r="I14" s="961" t="str">
        <f ca="1">IF(P14=0,"0",TEXT(OFFSET('5  Control Accounts'!$FQ$33,$Q14,0),"0.0000"))</f>
        <v>0</v>
      </c>
      <c r="J14" s="961" t="str">
        <f ca="1">IF(P14=0,"0",TEXT(OFFSET('5  Control Accounts'!$FR$33,$Q14,0),"##0.00"))</f>
        <v>0</v>
      </c>
      <c r="K14" s="961" t="str">
        <f ca="1">IF(P14=0,"0",TEXT(OFFSET('5  Control Accounts'!$FX$33,Q14,0),"##0"))</f>
        <v>0</v>
      </c>
      <c r="L14" s="961" t="str">
        <f ca="1">IF(P14=0,"0",TEXT(OFFSET('5  Control Accounts'!$FU$33,Q14,0),"0.0000"))</f>
        <v>0</v>
      </c>
      <c r="M14" s="961" t="str">
        <f ca="1">IF(P14=0,"0",TEXT(OFFSET('5  Control Accounts'!$FY$33,Q14,0),"##0"))</f>
        <v>0</v>
      </c>
      <c r="N14" s="2346"/>
      <c r="P14" s="537">
        <f ca="1">$O$2*OFFSET('5  Control Accounts'!$CP$33,Q14,0)</f>
        <v>0</v>
      </c>
      <c r="Q14" s="537">
        <v>8</v>
      </c>
      <c r="R14" s="1411">
        <f ca="1">IF(P14=0,0,OFFSET('5  Control Accounts'!$FD$33,Q14,0))</f>
        <v>0</v>
      </c>
      <c r="S14" s="1411">
        <f ca="1">IF(P14=0,0,OFFSET('5  Control Accounts'!$FE$33,Q14,0))</f>
        <v>0</v>
      </c>
      <c r="T14" s="1930">
        <f t="shared" ca="1" si="5"/>
        <v>0</v>
      </c>
      <c r="U14" s="1930">
        <f t="shared" ca="1" si="6"/>
        <v>0</v>
      </c>
    </row>
    <row r="15" spans="1:22" s="750" customFormat="1" ht="15.9" customHeight="1" x14ac:dyDescent="0.3">
      <c r="A15" s="961" t="str">
        <f ca="1">IF(P15=0,"0",TEXT(OFFSET('5  Control Accounts'!$BF$33,Q15,0)&amp;"."&amp;OFFSET('5  Control Accounts'!$BH$33,Q15,0),"General"))</f>
        <v>0</v>
      </c>
      <c r="B15" s="961" t="str">
        <f t="shared" ca="1" si="10"/>
        <v>0</v>
      </c>
      <c r="C15" s="961" t="str">
        <f t="shared" ca="1" si="11"/>
        <v>0</v>
      </c>
      <c r="D15" s="961" t="str">
        <f ca="1">IF($P15=0,"0",TEXT(OFFSET('5  Control Accounts'!$DW$33,Q15,0),"General"))</f>
        <v>0</v>
      </c>
      <c r="E15" s="1327" t="str">
        <f ca="1">IF($P15=0,"0",TEXT(OFFSET('5  Control Accounts'!$Z$33,Q15,0),"##0.0"))</f>
        <v>0</v>
      </c>
      <c r="F15" s="961" t="str">
        <f ca="1">IF(P15=0,"0",TEXT(OFFSET('5  Control Accounts'!$FG$33,Q15,0),"##0.0"))</f>
        <v>0</v>
      </c>
      <c r="G15" s="961" t="str">
        <f ca="1">IF(P15=0,"0",TEXT(OFFSET('5  Control Accounts'!$FH$33,$Q15,0),"##0.0"))</f>
        <v>0</v>
      </c>
      <c r="H15" s="961" t="str">
        <f ca="1">IF(P15=0,"0",TEXT(OFFSET('5  Control Accounts'!$FP$33,$Q15,0),"##0.00"))</f>
        <v>0</v>
      </c>
      <c r="I15" s="961" t="str">
        <f ca="1">IF(P15=0,"0",TEXT(OFFSET('5  Control Accounts'!$FQ$33,$Q15,0),"0.0000"))</f>
        <v>0</v>
      </c>
      <c r="J15" s="961" t="str">
        <f ca="1">IF(P15=0,"0",TEXT(OFFSET('5  Control Accounts'!$FR$33,$Q15,0),"##0.00"))</f>
        <v>0</v>
      </c>
      <c r="K15" s="961" t="str">
        <f ca="1">IF(P15=0,"0",TEXT(OFFSET('5  Control Accounts'!$FX$33,Q15,0),"##0"))</f>
        <v>0</v>
      </c>
      <c r="L15" s="961" t="str">
        <f ca="1">IF(P15=0,"0",TEXT(OFFSET('5  Control Accounts'!$FU$33,Q15,0),"0.0000"))</f>
        <v>0</v>
      </c>
      <c r="M15" s="961" t="str">
        <f ca="1">IF(P15=0,"0",TEXT(OFFSET('5  Control Accounts'!$FY$33,Q15,0),"##0"))</f>
        <v>0</v>
      </c>
      <c r="N15" s="2346"/>
      <c r="P15" s="537">
        <f ca="1">$O$2*OFFSET('5  Control Accounts'!$CP$33,Q15,0)</f>
        <v>0</v>
      </c>
      <c r="Q15" s="537">
        <v>9</v>
      </c>
      <c r="R15" s="1411">
        <f ca="1">IF(P15=0,0,OFFSET('5  Control Accounts'!$FD$33,Q15,0))</f>
        <v>0</v>
      </c>
      <c r="S15" s="1411">
        <f ca="1">IF(P15=0,0,OFFSET('5  Control Accounts'!$FE$33,Q15,0))</f>
        <v>0</v>
      </c>
      <c r="T15" s="1930">
        <f t="shared" ca="1" si="5"/>
        <v>0</v>
      </c>
      <c r="U15" s="1930">
        <f t="shared" ca="1" si="6"/>
        <v>0</v>
      </c>
    </row>
    <row r="16" spans="1:22" s="750" customFormat="1" ht="15.9" customHeight="1" x14ac:dyDescent="0.3">
      <c r="A16" s="961" t="str">
        <f ca="1">IF(P16=0,"0",TEXT(OFFSET('5  Control Accounts'!$BF$33,Q16,0)&amp;"."&amp;OFFSET('5  Control Accounts'!$BH$33,Q16,0),"General"))</f>
        <v>0</v>
      </c>
      <c r="B16" s="961" t="str">
        <f t="shared" ca="1" si="10"/>
        <v>0</v>
      </c>
      <c r="C16" s="961" t="str">
        <f t="shared" ca="1" si="11"/>
        <v>0</v>
      </c>
      <c r="D16" s="961" t="str">
        <f ca="1">IF($P16=0,"0",TEXT(OFFSET('5  Control Accounts'!$DW$33,Q16,0),"General"))</f>
        <v>0</v>
      </c>
      <c r="E16" s="1327" t="str">
        <f ca="1">IF($P16=0,"0",TEXT(OFFSET('5  Control Accounts'!$Z$33,Q16,0),"##0.0"))</f>
        <v>0</v>
      </c>
      <c r="F16" s="961" t="str">
        <f ca="1">IF(P16=0,"0",TEXT(OFFSET('5  Control Accounts'!$FG$33,Q16,0),"##0.0"))</f>
        <v>0</v>
      </c>
      <c r="G16" s="961" t="str">
        <f ca="1">IF(P16=0,"0",TEXT(OFFSET('5  Control Accounts'!$FH$33,$Q16,0),"##0.0"))</f>
        <v>0</v>
      </c>
      <c r="H16" s="961" t="str">
        <f ca="1">IF(P16=0,"0",TEXT(OFFSET('5  Control Accounts'!$FP$33,$Q16,0),"##0.00"))</f>
        <v>0</v>
      </c>
      <c r="I16" s="961" t="str">
        <f ca="1">IF(P16=0,"0",TEXT(OFFSET('5  Control Accounts'!$FQ$33,$Q16,0),"0.0000"))</f>
        <v>0</v>
      </c>
      <c r="J16" s="961" t="str">
        <f ca="1">IF(P16=0,"0",TEXT(OFFSET('5  Control Accounts'!$FR$33,$Q16,0),"##0.00"))</f>
        <v>0</v>
      </c>
      <c r="K16" s="961" t="str">
        <f ca="1">IF(P16=0,"0",TEXT(OFFSET('5  Control Accounts'!$FX$33,Q16,0),"##0"))</f>
        <v>0</v>
      </c>
      <c r="L16" s="961" t="str">
        <f ca="1">IF(P16=0,"0",TEXT(OFFSET('5  Control Accounts'!$FU$33,Q16,0),"0.0000"))</f>
        <v>0</v>
      </c>
      <c r="M16" s="961" t="str">
        <f ca="1">IF(P16=0,"0",TEXT(OFFSET('5  Control Accounts'!$FY$33,Q16,0),"##0"))</f>
        <v>0</v>
      </c>
      <c r="N16" s="2346"/>
      <c r="P16" s="537">
        <f ca="1">$O$2*OFFSET('5  Control Accounts'!$CP$33,Q16,0)</f>
        <v>0</v>
      </c>
      <c r="Q16" s="537">
        <v>10</v>
      </c>
      <c r="R16" s="1411">
        <f ca="1">IF(P16=0,0,OFFSET('5  Control Accounts'!$FD$33,Q16,0))</f>
        <v>0</v>
      </c>
      <c r="S16" s="1411">
        <f ca="1">IF(P16=0,0,OFFSET('5  Control Accounts'!$FE$33,Q16,0))</f>
        <v>0</v>
      </c>
      <c r="T16" s="1930">
        <f t="shared" ca="1" si="5"/>
        <v>0</v>
      </c>
      <c r="U16" s="1930">
        <f t="shared" ca="1" si="6"/>
        <v>0</v>
      </c>
    </row>
    <row r="17" spans="1:21" s="750" customFormat="1" ht="15.9" customHeight="1" x14ac:dyDescent="0.3">
      <c r="A17" s="961" t="str">
        <f ca="1">IF(P17=0,"0",TEXT(OFFSET('5  Control Accounts'!$BF$33,Q17,0)&amp;"."&amp;OFFSET('5  Control Accounts'!$BH$33,Q17,0),"General"))</f>
        <v>0</v>
      </c>
      <c r="B17" s="961" t="str">
        <f t="shared" ca="1" si="10"/>
        <v>0</v>
      </c>
      <c r="C17" s="961" t="str">
        <f t="shared" ca="1" si="11"/>
        <v>0</v>
      </c>
      <c r="D17" s="961" t="str">
        <f ca="1">IF($P17=0,"0",TEXT(OFFSET('5  Control Accounts'!$DW$33,Q17,0),"General"))</f>
        <v>0</v>
      </c>
      <c r="E17" s="1327" t="str">
        <f ca="1">IF($P17=0,"0",TEXT(OFFSET('5  Control Accounts'!$Z$33,Q17,0),"##0.0"))</f>
        <v>0</v>
      </c>
      <c r="F17" s="961" t="str">
        <f ca="1">IF(P17=0,"0",TEXT(OFFSET('5  Control Accounts'!$FG$33,Q17,0),"##0.0"))</f>
        <v>0</v>
      </c>
      <c r="G17" s="961" t="str">
        <f ca="1">IF(P17=0,"0",TEXT(OFFSET('5  Control Accounts'!$FH$33,$Q17,0),"##0.0"))</f>
        <v>0</v>
      </c>
      <c r="H17" s="961" t="str">
        <f ca="1">IF(P17=0,"0",TEXT(OFFSET('5  Control Accounts'!$FP$33,$Q17,0),"##0.00"))</f>
        <v>0</v>
      </c>
      <c r="I17" s="961" t="str">
        <f ca="1">IF(P17=0,"0",TEXT(OFFSET('5  Control Accounts'!$FQ$33,$Q17,0),"0.0000"))</f>
        <v>0</v>
      </c>
      <c r="J17" s="961" t="str">
        <f ca="1">IF(P17=0,"0",TEXT(OFFSET('5  Control Accounts'!$FR$33,$Q17,0),"##0.00"))</f>
        <v>0</v>
      </c>
      <c r="K17" s="961" t="str">
        <f ca="1">IF(P17=0,"0",TEXT(OFFSET('5  Control Accounts'!$FX$33,Q17,0),"##0"))</f>
        <v>0</v>
      </c>
      <c r="L17" s="961" t="str">
        <f ca="1">IF(P17=0,"0",TEXT(OFFSET('5  Control Accounts'!$FU$33,Q17,0),"0.0000"))</f>
        <v>0</v>
      </c>
      <c r="M17" s="961" t="str">
        <f ca="1">IF(P17=0,"0",TEXT(OFFSET('5  Control Accounts'!$FY$33,Q17,0),"##0"))</f>
        <v>0</v>
      </c>
      <c r="N17" s="2346"/>
      <c r="P17" s="537">
        <f ca="1">$O$2*OFFSET('5  Control Accounts'!$CP$33,Q17,0)</f>
        <v>0</v>
      </c>
      <c r="Q17" s="537">
        <v>11</v>
      </c>
      <c r="R17" s="1411">
        <f ca="1">IF(P17=0,0,OFFSET('5  Control Accounts'!$FD$33,Q17,0))</f>
        <v>0</v>
      </c>
      <c r="S17" s="1411">
        <f ca="1">IF(P17=0,0,OFFSET('5  Control Accounts'!$FE$33,Q17,0))</f>
        <v>0</v>
      </c>
      <c r="T17" s="1930">
        <f t="shared" ca="1" si="5"/>
        <v>0</v>
      </c>
      <c r="U17" s="1930">
        <f t="shared" ca="1" si="6"/>
        <v>0</v>
      </c>
    </row>
    <row r="18" spans="1:21" s="750" customFormat="1" ht="15.9" customHeight="1" x14ac:dyDescent="0.3">
      <c r="A18" s="961" t="str">
        <f ca="1">IF(P18=0,"0",TEXT(OFFSET('5  Control Accounts'!$BF$33,Q18,0)&amp;"."&amp;OFFSET('5  Control Accounts'!$BH$33,Q18,0),"General"))</f>
        <v>0</v>
      </c>
      <c r="B18" s="961" t="str">
        <f t="shared" ca="1" si="10"/>
        <v>0</v>
      </c>
      <c r="C18" s="961" t="str">
        <f t="shared" ca="1" si="11"/>
        <v>0</v>
      </c>
      <c r="D18" s="961" t="str">
        <f ca="1">IF($P18=0,"0",TEXT(OFFSET('5  Control Accounts'!$DW$33,Q18,0),"General"))</f>
        <v>0</v>
      </c>
      <c r="E18" s="1327" t="str">
        <f ca="1">IF($P18=0,"0",TEXT(OFFSET('5  Control Accounts'!$Z$33,Q18,0),"##0.0"))</f>
        <v>0</v>
      </c>
      <c r="F18" s="961" t="str">
        <f ca="1">IF(P18=0,"0",TEXT(OFFSET('5  Control Accounts'!$FG$33,Q18,0),"##0.0"))</f>
        <v>0</v>
      </c>
      <c r="G18" s="961" t="str">
        <f ca="1">IF(P18=0,"0",TEXT(OFFSET('5  Control Accounts'!$FH$33,$Q18,0),"##0.0"))</f>
        <v>0</v>
      </c>
      <c r="H18" s="961" t="str">
        <f ca="1">IF(P18=0,"0",TEXT(OFFSET('5  Control Accounts'!$FP$33,$Q18,0),"##0.00"))</f>
        <v>0</v>
      </c>
      <c r="I18" s="961" t="str">
        <f ca="1">IF(P18=0,"0",TEXT(OFFSET('5  Control Accounts'!$FQ$33,$Q18,0),"0.0000"))</f>
        <v>0</v>
      </c>
      <c r="J18" s="961" t="str">
        <f ca="1">IF(P18=0,"0",TEXT(OFFSET('5  Control Accounts'!$FR$33,$Q18,0),"##0.00"))</f>
        <v>0</v>
      </c>
      <c r="K18" s="961" t="str">
        <f ca="1">IF(P18=0,"0",TEXT(OFFSET('5  Control Accounts'!$FX$33,Q18,0),"##0"))</f>
        <v>0</v>
      </c>
      <c r="L18" s="961" t="str">
        <f ca="1">IF(P18=0,"0",TEXT(OFFSET('5  Control Accounts'!$FU$33,Q18,0),"0.0000"))</f>
        <v>0</v>
      </c>
      <c r="M18" s="961" t="str">
        <f ca="1">IF(P18=0,"0",TEXT(OFFSET('5  Control Accounts'!$FY$33,Q18,0),"##0"))</f>
        <v>0</v>
      </c>
      <c r="N18" s="2346"/>
      <c r="P18" s="537">
        <f ca="1">$O$2*OFFSET('5  Control Accounts'!$CP$33,Q18,0)</f>
        <v>0</v>
      </c>
      <c r="Q18" s="537">
        <v>12</v>
      </c>
      <c r="R18" s="1411">
        <f ca="1">IF(P18=0,0,OFFSET('5  Control Accounts'!$FD$33,Q18,0))</f>
        <v>0</v>
      </c>
      <c r="S18" s="1411">
        <f ca="1">IF(P18=0,0,OFFSET('5  Control Accounts'!$FE$33,Q18,0))</f>
        <v>0</v>
      </c>
      <c r="T18" s="1930">
        <f t="shared" ca="1" si="5"/>
        <v>0</v>
      </c>
      <c r="U18" s="1930">
        <f t="shared" ca="1" si="6"/>
        <v>0</v>
      </c>
    </row>
    <row r="19" spans="1:21" s="750" customFormat="1" ht="15.9" customHeight="1" x14ac:dyDescent="0.3">
      <c r="A19" s="961" t="str">
        <f ca="1">IF(P19=0,"0",TEXT(OFFSET('5  Control Accounts'!$BF$33,Q19,0)&amp;"."&amp;OFFSET('5  Control Accounts'!$BH$33,Q19,0),"General"))</f>
        <v>0</v>
      </c>
      <c r="B19" s="961" t="str">
        <f t="shared" ca="1" si="10"/>
        <v>0</v>
      </c>
      <c r="C19" s="961" t="str">
        <f t="shared" ca="1" si="11"/>
        <v>0</v>
      </c>
      <c r="D19" s="961" t="str">
        <f ca="1">IF($P19=0,"0",TEXT(OFFSET('5  Control Accounts'!$DW$33,Q19,0),"General"))</f>
        <v>0</v>
      </c>
      <c r="E19" s="1327" t="str">
        <f ca="1">IF($P19=0,"0",TEXT(OFFSET('5  Control Accounts'!$Z$33,Q19,0),"##0.0"))</f>
        <v>0</v>
      </c>
      <c r="F19" s="961" t="str">
        <f ca="1">IF(P19=0,"0",TEXT(OFFSET('5  Control Accounts'!$FG$33,Q19,0),"##0.0"))</f>
        <v>0</v>
      </c>
      <c r="G19" s="961" t="str">
        <f ca="1">IF(P19=0,"0",TEXT(OFFSET('5  Control Accounts'!$FH$33,$Q19,0),"##0.0"))</f>
        <v>0</v>
      </c>
      <c r="H19" s="961" t="str">
        <f ca="1">IF(P19=0,"0",TEXT(OFFSET('5  Control Accounts'!$FP$33,$Q19,0),"##0.00"))</f>
        <v>0</v>
      </c>
      <c r="I19" s="961" t="str">
        <f ca="1">IF(P19=0,"0",TEXT(OFFSET('5  Control Accounts'!$FQ$33,$Q19,0),"0.0000"))</f>
        <v>0</v>
      </c>
      <c r="J19" s="961" t="str">
        <f ca="1">IF(P19=0,"0",TEXT(OFFSET('5  Control Accounts'!$FR$33,$Q19,0),"##0.00"))</f>
        <v>0</v>
      </c>
      <c r="K19" s="961" t="str">
        <f ca="1">IF(P19=0,"0",TEXT(OFFSET('5  Control Accounts'!$FX$33,Q19,0),"##0"))</f>
        <v>0</v>
      </c>
      <c r="L19" s="961" t="str">
        <f ca="1">IF(P19=0,"0",TEXT(OFFSET('5  Control Accounts'!$FU$33,Q19,0),"0.0000"))</f>
        <v>0</v>
      </c>
      <c r="M19" s="961" t="str">
        <f ca="1">IF(P19=0,"0",TEXT(OFFSET('5  Control Accounts'!$FY$33,Q19,0),"##0"))</f>
        <v>0</v>
      </c>
      <c r="N19" s="2346"/>
      <c r="P19" s="537">
        <f ca="1">$O$2*OFFSET('5  Control Accounts'!$CP$33,Q19,0)</f>
        <v>0</v>
      </c>
      <c r="Q19" s="537">
        <v>13</v>
      </c>
      <c r="R19" s="1411">
        <f ca="1">IF(P19=0,0,OFFSET('5  Control Accounts'!$FD$33,Q19,0))</f>
        <v>0</v>
      </c>
      <c r="S19" s="1411">
        <f ca="1">IF(P19=0,0,OFFSET('5  Control Accounts'!$FE$33,Q19,0))</f>
        <v>0</v>
      </c>
      <c r="T19" s="1930">
        <f t="shared" ca="1" si="5"/>
        <v>0</v>
      </c>
      <c r="U19" s="1930">
        <f t="shared" ca="1" si="6"/>
        <v>0</v>
      </c>
    </row>
    <row r="20" spans="1:21" s="750" customFormat="1" ht="15.9" customHeight="1" x14ac:dyDescent="0.3">
      <c r="A20" s="961" t="str">
        <f ca="1">IF(P20=0,"0",TEXT(OFFSET('5  Control Accounts'!$BF$33,Q20,0)&amp;"."&amp;OFFSET('5  Control Accounts'!$BH$33,Q20,0),"General"))</f>
        <v>0</v>
      </c>
      <c r="B20" s="961" t="str">
        <f t="shared" ca="1" si="10"/>
        <v>0</v>
      </c>
      <c r="C20" s="961" t="str">
        <f t="shared" ca="1" si="11"/>
        <v>0</v>
      </c>
      <c r="D20" s="961" t="str">
        <f ca="1">IF($P20=0,"0",TEXT(OFFSET('5  Control Accounts'!$DW$33,Q20,0),"General"))</f>
        <v>0</v>
      </c>
      <c r="E20" s="1327" t="str">
        <f ca="1">IF($P20=0,"0",TEXT(OFFSET('5  Control Accounts'!$Z$33,Q20,0),"##0.0"))</f>
        <v>0</v>
      </c>
      <c r="F20" s="961" t="str">
        <f ca="1">IF(P20=0,"0",TEXT(OFFSET('5  Control Accounts'!$FG$33,Q20,0),"##0.0"))</f>
        <v>0</v>
      </c>
      <c r="G20" s="961" t="str">
        <f ca="1">IF(P20=0,"0",TEXT(OFFSET('5  Control Accounts'!$FH$33,$Q20,0),"##0.0"))</f>
        <v>0</v>
      </c>
      <c r="H20" s="961" t="str">
        <f ca="1">IF(P20=0,"0",TEXT(OFFSET('5  Control Accounts'!$FP$33,$Q20,0),"##0.00"))</f>
        <v>0</v>
      </c>
      <c r="I20" s="961" t="str">
        <f ca="1">IF(P20=0,"0",TEXT(OFFSET('5  Control Accounts'!$FQ$33,$Q20,0),"0.0000"))</f>
        <v>0</v>
      </c>
      <c r="J20" s="961" t="str">
        <f ca="1">IF(P20=0,"0",TEXT(OFFSET('5  Control Accounts'!$FR$33,$Q20,0),"##0.00"))</f>
        <v>0</v>
      </c>
      <c r="K20" s="961" t="str">
        <f ca="1">IF(P20=0,"0",TEXT(OFFSET('5  Control Accounts'!$FX$33,Q20,0),"##0"))</f>
        <v>0</v>
      </c>
      <c r="L20" s="961" t="str">
        <f ca="1">IF(P20=0,"0",TEXT(OFFSET('5  Control Accounts'!$FU$33,Q20,0),"0.0000"))</f>
        <v>0</v>
      </c>
      <c r="M20" s="961" t="str">
        <f ca="1">IF(P20=0,"0",TEXT(OFFSET('5  Control Accounts'!$FY$33,Q20,0),"##0"))</f>
        <v>0</v>
      </c>
      <c r="N20" s="2346"/>
      <c r="P20" s="537">
        <f ca="1">$O$2*OFFSET('5  Control Accounts'!$CP$33,Q20,0)</f>
        <v>0</v>
      </c>
      <c r="Q20" s="537">
        <v>14</v>
      </c>
      <c r="R20" s="1411">
        <f ca="1">IF(P20=0,0,OFFSET('5  Control Accounts'!$FD$33,Q20,0))</f>
        <v>0</v>
      </c>
      <c r="S20" s="1411">
        <f ca="1">IF(P20=0,0,OFFSET('5  Control Accounts'!$FE$33,Q20,0))</f>
        <v>0</v>
      </c>
      <c r="T20" s="1930">
        <f t="shared" ca="1" si="5"/>
        <v>0</v>
      </c>
      <c r="U20" s="1930">
        <f t="shared" ca="1" si="6"/>
        <v>0</v>
      </c>
    </row>
    <row r="21" spans="1:21" s="750" customFormat="1" ht="15.9" customHeight="1" x14ac:dyDescent="0.3">
      <c r="A21" s="961" t="str">
        <f ca="1">IF(P21=0,"0",TEXT(OFFSET('5  Control Accounts'!$BF$33,Q21,0)&amp;"."&amp;OFFSET('5  Control Accounts'!$BH$33,Q21,0),"General"))</f>
        <v>0</v>
      </c>
      <c r="B21" s="961" t="str">
        <f t="shared" ca="1" si="10"/>
        <v>0</v>
      </c>
      <c r="C21" s="961" t="str">
        <f t="shared" ca="1" si="11"/>
        <v>0</v>
      </c>
      <c r="D21" s="961" t="str">
        <f ca="1">IF($P21=0,"0",TEXT(OFFSET('5  Control Accounts'!$DW$33,Q21,0),"General"))</f>
        <v>0</v>
      </c>
      <c r="E21" s="1327" t="str">
        <f ca="1">IF($P21=0,"0",TEXT(OFFSET('5  Control Accounts'!$Z$33,Q21,0),"##0.0"))</f>
        <v>0</v>
      </c>
      <c r="F21" s="961" t="str">
        <f ca="1">IF(P21=0,"0",TEXT(OFFSET('5  Control Accounts'!$FG$33,Q21,0),"##0.0"))</f>
        <v>0</v>
      </c>
      <c r="G21" s="961" t="str">
        <f ca="1">IF(P21=0,"0",TEXT(OFFSET('5  Control Accounts'!$FH$33,$Q21,0),"##0.0"))</f>
        <v>0</v>
      </c>
      <c r="H21" s="961" t="str">
        <f ca="1">IF(P21=0,"0",TEXT(OFFSET('5  Control Accounts'!$FP$33,$Q21,0),"##0.00"))</f>
        <v>0</v>
      </c>
      <c r="I21" s="961" t="str">
        <f ca="1">IF(P21=0,"0",TEXT(OFFSET('5  Control Accounts'!$FQ$33,$Q21,0),"0.0000"))</f>
        <v>0</v>
      </c>
      <c r="J21" s="961" t="str">
        <f ca="1">IF(P21=0,"0",TEXT(OFFSET('5  Control Accounts'!$FR$33,$Q21,0),"##0.00"))</f>
        <v>0</v>
      </c>
      <c r="K21" s="961" t="str">
        <f ca="1">IF(P21=0,"0",TEXT(OFFSET('5  Control Accounts'!$FX$33,Q21,0),"##0"))</f>
        <v>0</v>
      </c>
      <c r="L21" s="961" t="str">
        <f ca="1">IF(P21=0,"0",TEXT(OFFSET('5  Control Accounts'!$FU$33,Q21,0),"0.0000"))</f>
        <v>0</v>
      </c>
      <c r="M21" s="961" t="str">
        <f ca="1">IF(P21=0,"0",TEXT(OFFSET('5  Control Accounts'!$FY$33,Q21,0),"##0"))</f>
        <v>0</v>
      </c>
      <c r="N21" s="2346"/>
      <c r="P21" s="537">
        <f ca="1">$O$2*OFFSET('5  Control Accounts'!$CP$33,Q21,0)</f>
        <v>0</v>
      </c>
      <c r="Q21" s="537">
        <v>15</v>
      </c>
      <c r="R21" s="1411">
        <f ca="1">IF(P21=0,0,OFFSET('5  Control Accounts'!$FD$33,Q21,0))</f>
        <v>0</v>
      </c>
      <c r="S21" s="1411">
        <f ca="1">IF(P21=0,0,OFFSET('5  Control Accounts'!$FE$33,Q21,0))</f>
        <v>0</v>
      </c>
      <c r="T21" s="1930">
        <f t="shared" ca="1" si="5"/>
        <v>0</v>
      </c>
      <c r="U21" s="1930">
        <f t="shared" ca="1" si="6"/>
        <v>0</v>
      </c>
    </row>
    <row r="22" spans="1:21" s="750" customFormat="1" ht="15.9" customHeight="1" x14ac:dyDescent="0.3">
      <c r="A22" s="961" t="str">
        <f ca="1">IF(P22=0,"0",TEXT(OFFSET('5  Control Accounts'!$BF$33,Q22,0)&amp;"."&amp;OFFSET('5  Control Accounts'!$BH$33,Q22,0),"General"))</f>
        <v>0</v>
      </c>
      <c r="B22" s="961" t="str">
        <f t="shared" ca="1" si="10"/>
        <v>0</v>
      </c>
      <c r="C22" s="961" t="str">
        <f t="shared" ca="1" si="11"/>
        <v>0</v>
      </c>
      <c r="D22" s="961" t="str">
        <f ca="1">IF($P22=0,"0",TEXT(OFFSET('5  Control Accounts'!$DW$33,Q22,0),"General"))</f>
        <v>0</v>
      </c>
      <c r="E22" s="1327" t="str">
        <f ca="1">IF($P22=0,"0",TEXT(OFFSET('5  Control Accounts'!$Z$33,Q22,0),"##0.0"))</f>
        <v>0</v>
      </c>
      <c r="F22" s="961" t="str">
        <f ca="1">IF(P22=0,"0",TEXT(OFFSET('5  Control Accounts'!$FG$33,Q22,0),"##0.0"))</f>
        <v>0</v>
      </c>
      <c r="G22" s="961" t="str">
        <f ca="1">IF(P22=0,"0",TEXT(OFFSET('5  Control Accounts'!$FH$33,$Q22,0),"##0.0"))</f>
        <v>0</v>
      </c>
      <c r="H22" s="961" t="str">
        <f ca="1">IF(P22=0,"0",TEXT(OFFSET('5  Control Accounts'!$FP$33,$Q22,0),"##0.00"))</f>
        <v>0</v>
      </c>
      <c r="I22" s="961" t="str">
        <f ca="1">IF(P22=0,"0",TEXT(OFFSET('5  Control Accounts'!$FQ$33,$Q22,0),"0.0000"))</f>
        <v>0</v>
      </c>
      <c r="J22" s="961" t="str">
        <f ca="1">IF(P22=0,"0",TEXT(OFFSET('5  Control Accounts'!$FR$33,$Q22,0),"##0.00"))</f>
        <v>0</v>
      </c>
      <c r="K22" s="961" t="str">
        <f ca="1">IF(P22=0,"0",TEXT(OFFSET('5  Control Accounts'!$FX$33,Q22,0),"##0"))</f>
        <v>0</v>
      </c>
      <c r="L22" s="961" t="str">
        <f ca="1">IF(P22=0,"0",TEXT(OFFSET('5  Control Accounts'!$FU$33,Q22,0),"0.0000"))</f>
        <v>0</v>
      </c>
      <c r="M22" s="961" t="str">
        <f ca="1">IF(P22=0,"0",TEXT(OFFSET('5  Control Accounts'!$FY$33,Q22,0),"##0"))</f>
        <v>0</v>
      </c>
      <c r="N22" s="2346"/>
      <c r="P22" s="537">
        <f ca="1">$O$2*OFFSET('5  Control Accounts'!$CP$33,Q22,0)</f>
        <v>0</v>
      </c>
      <c r="Q22" s="537">
        <v>16</v>
      </c>
      <c r="R22" s="1411">
        <f ca="1">IF(P22=0,0,OFFSET('5  Control Accounts'!$FD$33,Q22,0))</f>
        <v>0</v>
      </c>
      <c r="S22" s="1411">
        <f ca="1">IF(P22=0,0,OFFSET('5  Control Accounts'!$FE$33,Q22,0))</f>
        <v>0</v>
      </c>
      <c r="T22" s="1930">
        <f t="shared" ca="1" si="5"/>
        <v>0</v>
      </c>
      <c r="U22" s="1930">
        <f t="shared" ca="1" si="6"/>
        <v>0</v>
      </c>
    </row>
    <row r="23" spans="1:21" s="750" customFormat="1" ht="15.9" customHeight="1" x14ac:dyDescent="0.3">
      <c r="A23" s="961" t="str">
        <f ca="1">IF(P23=0,"0",TEXT(OFFSET('5  Control Accounts'!$BF$33,Q23,0)&amp;"."&amp;OFFSET('5  Control Accounts'!$BH$33,Q23,0),"General"))</f>
        <v>0</v>
      </c>
      <c r="B23" s="961" t="str">
        <f t="shared" ca="1" si="10"/>
        <v>0</v>
      </c>
      <c r="C23" s="961" t="str">
        <f t="shared" ca="1" si="11"/>
        <v>0</v>
      </c>
      <c r="D23" s="961" t="str">
        <f ca="1">IF($P23=0,"0",TEXT(OFFSET('5  Control Accounts'!$DW$33,Q23,0),"General"))</f>
        <v>0</v>
      </c>
      <c r="E23" s="1327" t="str">
        <f ca="1">IF($P23=0,"0",TEXT(OFFSET('5  Control Accounts'!$Z$33,Q23,0),"##0.0"))</f>
        <v>0</v>
      </c>
      <c r="F23" s="961" t="str">
        <f ca="1">IF(P23=0,"0",TEXT(OFFSET('5  Control Accounts'!$FG$33,Q23,0),"##0.0"))</f>
        <v>0</v>
      </c>
      <c r="G23" s="961" t="str">
        <f ca="1">IF(P23=0,"0",TEXT(OFFSET('5  Control Accounts'!$FH$33,$Q23,0),"##0.0"))</f>
        <v>0</v>
      </c>
      <c r="H23" s="961" t="str">
        <f ca="1">IF(P23=0,"0",TEXT(OFFSET('5  Control Accounts'!$FP$33,$Q23,0),"##0.00"))</f>
        <v>0</v>
      </c>
      <c r="I23" s="961" t="str">
        <f ca="1">IF(P23=0,"0",TEXT(OFFSET('5  Control Accounts'!$FQ$33,$Q23,0),"0.0000"))</f>
        <v>0</v>
      </c>
      <c r="J23" s="961" t="str">
        <f ca="1">IF(P23=0,"0",TEXT(OFFSET('5  Control Accounts'!$FR$33,$Q23,0),"##0.00"))</f>
        <v>0</v>
      </c>
      <c r="K23" s="961" t="str">
        <f ca="1">IF(P23=0,"0",TEXT(OFFSET('5  Control Accounts'!$FX$33,Q23,0),"##0"))</f>
        <v>0</v>
      </c>
      <c r="L23" s="961" t="str">
        <f ca="1">IF(P23=0,"0",TEXT(OFFSET('5  Control Accounts'!$FU$33,Q23,0),"0.0000"))</f>
        <v>0</v>
      </c>
      <c r="M23" s="961" t="str">
        <f ca="1">IF(P23=0,"0",TEXT(OFFSET('5  Control Accounts'!$FY$33,Q23,0),"##0"))</f>
        <v>0</v>
      </c>
      <c r="N23" s="2346"/>
      <c r="P23" s="537">
        <f ca="1">$O$2*OFFSET('5  Control Accounts'!$CP$33,Q23,0)</f>
        <v>0</v>
      </c>
      <c r="Q23" s="537">
        <v>17</v>
      </c>
      <c r="R23" s="1411">
        <f ca="1">IF(P23=0,0,OFFSET('5  Control Accounts'!$FD$33,Q23,0))</f>
        <v>0</v>
      </c>
      <c r="S23" s="1411">
        <f ca="1">IF(P23=0,0,OFFSET('5  Control Accounts'!$FE$33,Q23,0))</f>
        <v>0</v>
      </c>
      <c r="T23" s="1930">
        <f t="shared" ca="1" si="5"/>
        <v>0</v>
      </c>
      <c r="U23" s="1930">
        <f t="shared" ca="1" si="6"/>
        <v>0</v>
      </c>
    </row>
    <row r="24" spans="1:21" s="750" customFormat="1" ht="15.9" customHeight="1" x14ac:dyDescent="0.3">
      <c r="A24" s="961" t="str">
        <f ca="1">IF(P24=0,"0",TEXT(OFFSET('5  Control Accounts'!$BF$33,Q24,0)&amp;"."&amp;OFFSET('5  Control Accounts'!$BH$33,Q24,0),"General"))</f>
        <v>0</v>
      </c>
      <c r="B24" s="961" t="str">
        <f t="shared" ca="1" si="10"/>
        <v>0</v>
      </c>
      <c r="C24" s="961" t="str">
        <f t="shared" ca="1" si="11"/>
        <v>0</v>
      </c>
      <c r="D24" s="961" t="str">
        <f ca="1">IF($P24=0,"0",TEXT(OFFSET('5  Control Accounts'!$DW$33,Q24,0),"General"))</f>
        <v>0</v>
      </c>
      <c r="E24" s="1327" t="str">
        <f ca="1">IF($P24=0,"0",TEXT(OFFSET('5  Control Accounts'!$Z$33,Q24,0),"##0.0"))</f>
        <v>0</v>
      </c>
      <c r="F24" s="961" t="str">
        <f ca="1">IF(P24=0,"0",TEXT(OFFSET('5  Control Accounts'!$FG$33,Q24,0),"##0.0"))</f>
        <v>0</v>
      </c>
      <c r="G24" s="961" t="str">
        <f ca="1">IF(P24=0,"0",TEXT(OFFSET('5  Control Accounts'!$FH$33,$Q24,0),"##0.0"))</f>
        <v>0</v>
      </c>
      <c r="H24" s="961" t="str">
        <f ca="1">IF(P24=0,"0",TEXT(OFFSET('5  Control Accounts'!$FP$33,$Q24,0),"##0.00"))</f>
        <v>0</v>
      </c>
      <c r="I24" s="961" t="str">
        <f ca="1">IF(P24=0,"0",TEXT(OFFSET('5  Control Accounts'!$FQ$33,$Q24,0),"0.0000"))</f>
        <v>0</v>
      </c>
      <c r="J24" s="961" t="str">
        <f ca="1">IF(P24=0,"0",TEXT(OFFSET('5  Control Accounts'!$FR$33,$Q24,0),"##0.00"))</f>
        <v>0</v>
      </c>
      <c r="K24" s="961" t="str">
        <f ca="1">IF(P24=0,"0",TEXT(OFFSET('5  Control Accounts'!$FX$33,Q24,0),"##0"))</f>
        <v>0</v>
      </c>
      <c r="L24" s="961" t="str">
        <f ca="1">IF(P24=0,"0",TEXT(OFFSET('5  Control Accounts'!$FU$33,Q24,0),"0.0000"))</f>
        <v>0</v>
      </c>
      <c r="M24" s="961" t="str">
        <f ca="1">IF(P24=0,"0",TEXT(OFFSET('5  Control Accounts'!$FY$33,Q24,0),"##0"))</f>
        <v>0</v>
      </c>
      <c r="N24" s="2346"/>
      <c r="P24" s="537">
        <f ca="1">$O$2*OFFSET('5  Control Accounts'!$CP$33,Q24,0)</f>
        <v>0</v>
      </c>
      <c r="Q24" s="537">
        <v>18</v>
      </c>
      <c r="R24" s="1411">
        <f ca="1">IF(P24=0,0,OFFSET('5  Control Accounts'!$FD$33,Q24,0))</f>
        <v>0</v>
      </c>
      <c r="S24" s="1411">
        <f ca="1">IF(P24=0,0,OFFSET('5  Control Accounts'!$FE$33,Q24,0))</f>
        <v>0</v>
      </c>
      <c r="T24" s="1930">
        <f t="shared" ca="1" si="5"/>
        <v>0</v>
      </c>
      <c r="U24" s="1930">
        <f t="shared" ca="1" si="6"/>
        <v>0</v>
      </c>
    </row>
    <row r="25" spans="1:21" s="750" customFormat="1" ht="15.9" customHeight="1" x14ac:dyDescent="0.3">
      <c r="A25" s="961" t="str">
        <f ca="1">IF(P25=0,"0",TEXT(OFFSET('5  Control Accounts'!$BF$33,Q25,0)&amp;"."&amp;OFFSET('5  Control Accounts'!$BH$33,Q25,0),"General"))</f>
        <v>0</v>
      </c>
      <c r="B25" s="961" t="str">
        <f t="shared" ca="1" si="10"/>
        <v>0</v>
      </c>
      <c r="C25" s="961" t="str">
        <f t="shared" ca="1" si="11"/>
        <v>0</v>
      </c>
      <c r="D25" s="961" t="str">
        <f ca="1">IF($P25=0,"0",TEXT(OFFSET('5  Control Accounts'!$DW$33,Q25,0),"General"))</f>
        <v>0</v>
      </c>
      <c r="E25" s="1327" t="str">
        <f ca="1">IF($P25=0,"0",TEXT(OFFSET('5  Control Accounts'!$Z$33,Q25,0),"##0.0"))</f>
        <v>0</v>
      </c>
      <c r="F25" s="961" t="str">
        <f ca="1">IF(P25=0,"0",TEXT(OFFSET('5  Control Accounts'!$FG$33,Q25,0),"##0.0"))</f>
        <v>0</v>
      </c>
      <c r="G25" s="961" t="str">
        <f ca="1">IF(P25=0,"0",TEXT(OFFSET('5  Control Accounts'!$FH$33,$Q25,0),"##0.0"))</f>
        <v>0</v>
      </c>
      <c r="H25" s="961" t="str">
        <f ca="1">IF(P25=0,"0",TEXT(OFFSET('5  Control Accounts'!$FP$33,$Q25,0),"##0.00"))</f>
        <v>0</v>
      </c>
      <c r="I25" s="961" t="str">
        <f ca="1">IF(P25=0,"0",TEXT(OFFSET('5  Control Accounts'!$FQ$33,$Q25,0),"0.0000"))</f>
        <v>0</v>
      </c>
      <c r="J25" s="961" t="str">
        <f ca="1">IF(P25=0,"0",TEXT(OFFSET('5  Control Accounts'!$FR$33,$Q25,0),"##0.00"))</f>
        <v>0</v>
      </c>
      <c r="K25" s="961" t="str">
        <f ca="1">IF(P25=0,"0",TEXT(OFFSET('5  Control Accounts'!$FX$33,Q25,0),"##0"))</f>
        <v>0</v>
      </c>
      <c r="L25" s="961" t="str">
        <f ca="1">IF(P25=0,"0",TEXT(OFFSET('5  Control Accounts'!$FU$33,Q25,0),"0.0000"))</f>
        <v>0</v>
      </c>
      <c r="M25" s="961" t="str">
        <f ca="1">IF(P25=0,"0",TEXT(OFFSET('5  Control Accounts'!$FY$33,Q25,0),"##0"))</f>
        <v>0</v>
      </c>
      <c r="N25" s="2346"/>
      <c r="P25" s="537">
        <f ca="1">$O$2*OFFSET('5  Control Accounts'!$CP$33,Q25,0)</f>
        <v>0</v>
      </c>
      <c r="Q25" s="537">
        <v>19</v>
      </c>
      <c r="R25" s="1411">
        <f ca="1">IF(P25=0,0,OFFSET('5  Control Accounts'!$FD$33,Q25,0))</f>
        <v>0</v>
      </c>
      <c r="S25" s="1411">
        <f ca="1">IF(P25=0,0,OFFSET('5  Control Accounts'!$FE$33,Q25,0))</f>
        <v>0</v>
      </c>
      <c r="T25" s="1930">
        <f t="shared" ca="1" si="5"/>
        <v>0</v>
      </c>
      <c r="U25" s="1930">
        <f t="shared" ca="1" si="6"/>
        <v>0</v>
      </c>
    </row>
    <row r="26" spans="1:21" s="750" customFormat="1" ht="15.9" customHeight="1" x14ac:dyDescent="0.3">
      <c r="A26" s="961" t="str">
        <f ca="1">IF(P26=0,"0",TEXT(OFFSET('5  Control Accounts'!$BF$33,Q26,0)&amp;"."&amp;OFFSET('5  Control Accounts'!$BH$33,Q26,0),"General"))</f>
        <v>0</v>
      </c>
      <c r="B26" s="961" t="str">
        <f t="shared" ca="1" si="10"/>
        <v>0</v>
      </c>
      <c r="C26" s="961" t="str">
        <f t="shared" ca="1" si="11"/>
        <v>0</v>
      </c>
      <c r="D26" s="961" t="str">
        <f ca="1">IF($P26=0,"0",TEXT(OFFSET('5  Control Accounts'!$DW$33,Q26,0),"General"))</f>
        <v>0</v>
      </c>
      <c r="E26" s="1327" t="str">
        <f ca="1">IF($P26=0,"0",TEXT(OFFSET('5  Control Accounts'!$Z$33,Q26,0),"##0.0"))</f>
        <v>0</v>
      </c>
      <c r="F26" s="961" t="str">
        <f ca="1">IF(P26=0,"0",TEXT(OFFSET('5  Control Accounts'!$FG$33,Q26,0),"##0.0"))</f>
        <v>0</v>
      </c>
      <c r="G26" s="961" t="str">
        <f ca="1">IF(P26=0,"0",TEXT(OFFSET('5  Control Accounts'!$FH$33,$Q26,0),"##0.0"))</f>
        <v>0</v>
      </c>
      <c r="H26" s="961" t="str">
        <f ca="1">IF(P26=0,"0",TEXT(OFFSET('5  Control Accounts'!$FP$33,$Q26,0),"##0.00"))</f>
        <v>0</v>
      </c>
      <c r="I26" s="961" t="str">
        <f ca="1">IF(P26=0,"0",TEXT(OFFSET('5  Control Accounts'!$FQ$33,$Q26,0),"0.0000"))</f>
        <v>0</v>
      </c>
      <c r="J26" s="961" t="str">
        <f ca="1">IF(P26=0,"0",TEXT(OFFSET('5  Control Accounts'!$FR$33,$Q26,0),"##0.00"))</f>
        <v>0</v>
      </c>
      <c r="K26" s="961" t="str">
        <f ca="1">IF(P26=0,"0",TEXT(OFFSET('5  Control Accounts'!$FX$33,Q26,0),"##0"))</f>
        <v>0</v>
      </c>
      <c r="L26" s="961" t="str">
        <f ca="1">IF(P26=0,"0",TEXT(OFFSET('5  Control Accounts'!$FU$33,Q26,0),"0.0000"))</f>
        <v>0</v>
      </c>
      <c r="M26" s="961" t="str">
        <f ca="1">IF(P26=0,"0",TEXT(OFFSET('5  Control Accounts'!$FY$33,Q26,0),"##0"))</f>
        <v>0</v>
      </c>
      <c r="N26" s="2346"/>
      <c r="P26" s="537">
        <f ca="1">$O$2*OFFSET('5  Control Accounts'!$CP$33,Q26,0)</f>
        <v>0</v>
      </c>
      <c r="Q26" s="537">
        <v>20</v>
      </c>
      <c r="R26" s="1411">
        <f ca="1">IF(P26=0,0,OFFSET('5  Control Accounts'!$FD$33,Q26,0))</f>
        <v>0</v>
      </c>
      <c r="S26" s="1411">
        <f ca="1">IF(P26=0,0,OFFSET('5  Control Accounts'!$FE$33,Q26,0))</f>
        <v>0</v>
      </c>
      <c r="T26" s="1930">
        <f t="shared" ca="1" si="5"/>
        <v>0</v>
      </c>
      <c r="U26" s="1930">
        <f t="shared" ca="1" si="6"/>
        <v>0</v>
      </c>
    </row>
    <row r="27" spans="1:21" s="750" customFormat="1" ht="15.9" customHeight="1" x14ac:dyDescent="0.3">
      <c r="A27" s="961" t="str">
        <f ca="1">IF(P27=0,"0",TEXT(OFFSET('5  Control Accounts'!$BF$33,Q27,0)&amp;"."&amp;OFFSET('5  Control Accounts'!$BH$33,Q27,0),"General"))</f>
        <v>0</v>
      </c>
      <c r="B27" s="961" t="str">
        <f t="shared" ca="1" si="10"/>
        <v>0</v>
      </c>
      <c r="C27" s="961" t="str">
        <f t="shared" ca="1" si="11"/>
        <v>0</v>
      </c>
      <c r="D27" s="961" t="str">
        <f ca="1">IF($P27=0,"0",TEXT(OFFSET('5  Control Accounts'!$DW$33,Q27,0),"General"))</f>
        <v>0</v>
      </c>
      <c r="E27" s="1327" t="str">
        <f ca="1">IF($P27=0,"0",TEXT(OFFSET('5  Control Accounts'!$Z$33,Q27,0),"##0.0"))</f>
        <v>0</v>
      </c>
      <c r="F27" s="961" t="str">
        <f ca="1">IF(P27=0,"0",TEXT(OFFSET('5  Control Accounts'!$FG$33,Q27,0),"##0.0"))</f>
        <v>0</v>
      </c>
      <c r="G27" s="961" t="str">
        <f ca="1">IF(P27=0,"0",TEXT(OFFSET('5  Control Accounts'!$FH$33,$Q27,0),"##0.0"))</f>
        <v>0</v>
      </c>
      <c r="H27" s="961" t="str">
        <f ca="1">IF(P27=0,"0",TEXT(OFFSET('5  Control Accounts'!$FP$33,$Q27,0),"##0.00"))</f>
        <v>0</v>
      </c>
      <c r="I27" s="961" t="str">
        <f ca="1">IF(P27=0,"0",TEXT(OFFSET('5  Control Accounts'!$FQ$33,$Q27,0),"0.0000"))</f>
        <v>0</v>
      </c>
      <c r="J27" s="961" t="str">
        <f ca="1">IF(P27=0,"0",TEXT(OFFSET('5  Control Accounts'!$FR$33,$Q27,0),"##0.00"))</f>
        <v>0</v>
      </c>
      <c r="K27" s="961" t="str">
        <f ca="1">IF(P27=0,"0",TEXT(OFFSET('5  Control Accounts'!$FX$33,Q27,0),"##0"))</f>
        <v>0</v>
      </c>
      <c r="L27" s="961" t="str">
        <f ca="1">IF(P27=0,"0",TEXT(OFFSET('5  Control Accounts'!$FU$33,Q27,0),"0.0000"))</f>
        <v>0</v>
      </c>
      <c r="M27" s="961" t="str">
        <f ca="1">IF(P27=0,"0",TEXT(OFFSET('5  Control Accounts'!$FY$33,Q27,0),"##0"))</f>
        <v>0</v>
      </c>
      <c r="N27" s="2346"/>
      <c r="P27" s="537">
        <f ca="1">$O$2*OFFSET('5  Control Accounts'!$CP$33,Q27,0)</f>
        <v>0</v>
      </c>
      <c r="Q27" s="537">
        <v>21</v>
      </c>
      <c r="R27" s="1411">
        <f ca="1">IF(P27=0,0,OFFSET('5  Control Accounts'!$FD$33,Q27,0))</f>
        <v>0</v>
      </c>
      <c r="S27" s="1411">
        <f ca="1">IF(P27=0,0,OFFSET('5  Control Accounts'!$FE$33,Q27,0))</f>
        <v>0</v>
      </c>
      <c r="T27" s="1930">
        <f t="shared" ca="1" si="5"/>
        <v>0</v>
      </c>
      <c r="U27" s="1930">
        <f t="shared" ca="1" si="6"/>
        <v>0</v>
      </c>
    </row>
    <row r="28" spans="1:21" s="750" customFormat="1" ht="15.9" customHeight="1" x14ac:dyDescent="0.3">
      <c r="A28" s="961" t="str">
        <f ca="1">IF(P28=0,"0",TEXT(OFFSET('5  Control Accounts'!$BF$33,Q28,0)&amp;"."&amp;OFFSET('5  Control Accounts'!$BH$33,Q28,0),"General"))</f>
        <v>0</v>
      </c>
      <c r="B28" s="961" t="str">
        <f t="shared" ca="1" si="10"/>
        <v>0</v>
      </c>
      <c r="C28" s="961" t="str">
        <f t="shared" ca="1" si="11"/>
        <v>0</v>
      </c>
      <c r="D28" s="961" t="str">
        <f ca="1">IF($P28=0,"0",TEXT(OFFSET('5  Control Accounts'!$DW$33,Q28,0),"General"))</f>
        <v>0</v>
      </c>
      <c r="E28" s="1327" t="str">
        <f ca="1">IF($P28=0,"0",TEXT(OFFSET('5  Control Accounts'!$Z$33,Q28,0),"##0.0"))</f>
        <v>0</v>
      </c>
      <c r="F28" s="961" t="str">
        <f ca="1">IF(P28=0,"0",TEXT(OFFSET('5  Control Accounts'!$FG$33,Q28,0),"##0.0"))</f>
        <v>0</v>
      </c>
      <c r="G28" s="961" t="str">
        <f ca="1">IF(P28=0,"0",TEXT(OFFSET('5  Control Accounts'!$FH$33,$Q28,0),"##0.0"))</f>
        <v>0</v>
      </c>
      <c r="H28" s="961" t="str">
        <f ca="1">IF(P28=0,"0",TEXT(OFFSET('5  Control Accounts'!$FP$33,$Q28,0),"##0.00"))</f>
        <v>0</v>
      </c>
      <c r="I28" s="961" t="str">
        <f ca="1">IF(P28=0,"0",TEXT(OFFSET('5  Control Accounts'!$FQ$33,$Q28,0),"0.0000"))</f>
        <v>0</v>
      </c>
      <c r="J28" s="961" t="str">
        <f ca="1">IF(P28=0,"0",TEXT(OFFSET('5  Control Accounts'!$FR$33,$Q28,0),"##0.00"))</f>
        <v>0</v>
      </c>
      <c r="K28" s="961" t="str">
        <f ca="1">IF(P28=0,"0",TEXT(OFFSET('5  Control Accounts'!$FX$33,Q28,0),"##0"))</f>
        <v>0</v>
      </c>
      <c r="L28" s="961" t="str">
        <f ca="1">IF(P28=0,"0",TEXT(OFFSET('5  Control Accounts'!$FU$33,Q28,0),"0.0000"))</f>
        <v>0</v>
      </c>
      <c r="M28" s="961" t="str">
        <f ca="1">IF(P28=0,"0",TEXT(OFFSET('5  Control Accounts'!$FY$33,Q28,0),"##0"))</f>
        <v>0</v>
      </c>
      <c r="N28" s="2346"/>
      <c r="P28" s="537">
        <f ca="1">$O$2*OFFSET('5  Control Accounts'!$CP$33,Q28,0)</f>
        <v>0</v>
      </c>
      <c r="Q28" s="537">
        <v>22</v>
      </c>
      <c r="R28" s="1411">
        <f ca="1">IF(P28=0,0,OFFSET('5  Control Accounts'!$FD$33,Q28,0))</f>
        <v>0</v>
      </c>
      <c r="S28" s="1411">
        <f ca="1">IF(P28=0,0,OFFSET('5  Control Accounts'!$FE$33,Q28,0))</f>
        <v>0</v>
      </c>
      <c r="T28" s="1930">
        <f t="shared" ca="1" si="5"/>
        <v>0</v>
      </c>
      <c r="U28" s="1930">
        <f t="shared" ca="1" si="6"/>
        <v>0</v>
      </c>
    </row>
    <row r="29" spans="1:21" s="750" customFormat="1" ht="15.9" customHeight="1" x14ac:dyDescent="0.3">
      <c r="A29" s="961" t="str">
        <f ca="1">IF(P29=0,"0",TEXT(OFFSET('5  Control Accounts'!$BF$33,Q29,0)&amp;"."&amp;OFFSET('5  Control Accounts'!$BH$33,Q29,0),"General"))</f>
        <v>0</v>
      </c>
      <c r="B29" s="961" t="str">
        <f t="shared" ca="1" si="10"/>
        <v>0</v>
      </c>
      <c r="C29" s="961" t="str">
        <f t="shared" ca="1" si="11"/>
        <v>0</v>
      </c>
      <c r="D29" s="961" t="str">
        <f ca="1">IF($P29=0,"0",TEXT(OFFSET('5  Control Accounts'!$DW$33,Q29,0),"General"))</f>
        <v>0</v>
      </c>
      <c r="E29" s="1327" t="str">
        <f ca="1">IF($P29=0,"0",TEXT(OFFSET('5  Control Accounts'!$Z$33,Q29,0),"##0.0"))</f>
        <v>0</v>
      </c>
      <c r="F29" s="961" t="str">
        <f ca="1">IF(P29=0,"0",TEXT(OFFSET('5  Control Accounts'!$FG$33,Q29,0),"##0.0"))</f>
        <v>0</v>
      </c>
      <c r="G29" s="961" t="str">
        <f ca="1">IF(P29=0,"0",TEXT(OFFSET('5  Control Accounts'!$FH$33,$Q29,0),"##0.0"))</f>
        <v>0</v>
      </c>
      <c r="H29" s="961" t="str">
        <f ca="1">IF(P29=0,"0",TEXT(OFFSET('5  Control Accounts'!$FP$33,$Q29,0),"##0.00"))</f>
        <v>0</v>
      </c>
      <c r="I29" s="961" t="str">
        <f ca="1">IF(P29=0,"0",TEXT(OFFSET('5  Control Accounts'!$FQ$33,$Q29,0),"0.0000"))</f>
        <v>0</v>
      </c>
      <c r="J29" s="961" t="str">
        <f ca="1">IF(P29=0,"0",TEXT(OFFSET('5  Control Accounts'!$FR$33,$Q29,0),"##0.00"))</f>
        <v>0</v>
      </c>
      <c r="K29" s="961" t="str">
        <f ca="1">IF(P29=0,"0",TEXT(OFFSET('5  Control Accounts'!$FX$33,Q29,0),"##0"))</f>
        <v>0</v>
      </c>
      <c r="L29" s="961" t="str">
        <f ca="1">IF(P29=0,"0",TEXT(OFFSET('5  Control Accounts'!$FU$33,Q29,0),"0.0000"))</f>
        <v>0</v>
      </c>
      <c r="M29" s="961" t="str">
        <f ca="1">IF(P29=0,"0",TEXT(OFFSET('5  Control Accounts'!$FY$33,Q29,0),"##0"))</f>
        <v>0</v>
      </c>
      <c r="N29" s="2346"/>
      <c r="P29" s="537">
        <f ca="1">$O$2*OFFSET('5  Control Accounts'!$CP$33,Q29,0)</f>
        <v>0</v>
      </c>
      <c r="Q29" s="537">
        <v>23</v>
      </c>
      <c r="R29" s="1411">
        <f ca="1">IF(P29=0,0,OFFSET('5  Control Accounts'!$FD$33,Q29,0))</f>
        <v>0</v>
      </c>
      <c r="S29" s="1411">
        <f ca="1">IF(P29=0,0,OFFSET('5  Control Accounts'!$FE$33,Q29,0))</f>
        <v>0</v>
      </c>
      <c r="T29" s="1930">
        <f t="shared" ca="1" si="5"/>
        <v>0</v>
      </c>
      <c r="U29" s="1930">
        <f t="shared" ca="1" si="6"/>
        <v>0</v>
      </c>
    </row>
    <row r="30" spans="1:21" s="750" customFormat="1" ht="15.9" customHeight="1" x14ac:dyDescent="0.3">
      <c r="A30" s="961" t="str">
        <f ca="1">IF(P30=0,"0",TEXT(OFFSET('5  Control Accounts'!$BF$33,Q30,0)&amp;"."&amp;OFFSET('5  Control Accounts'!$BH$33,Q30,0),"General"))</f>
        <v>0</v>
      </c>
      <c r="B30" s="961" t="str">
        <f t="shared" ca="1" si="10"/>
        <v>0</v>
      </c>
      <c r="C30" s="961" t="str">
        <f t="shared" ca="1" si="11"/>
        <v>0</v>
      </c>
      <c r="D30" s="961" t="str">
        <f ca="1">IF($P30=0,"0",TEXT(OFFSET('5  Control Accounts'!$DW$33,Q30,0),"General"))</f>
        <v>0</v>
      </c>
      <c r="E30" s="1327" t="str">
        <f ca="1">IF($P30=0,"0",TEXT(OFFSET('5  Control Accounts'!$Z$33,Q30,0),"##0.0"))</f>
        <v>0</v>
      </c>
      <c r="F30" s="961" t="str">
        <f ca="1">IF(P30=0,"0",TEXT(OFFSET('5  Control Accounts'!$FG$33,Q30,0),"##0.0"))</f>
        <v>0</v>
      </c>
      <c r="G30" s="961" t="str">
        <f ca="1">IF(P30=0,"0",TEXT(OFFSET('5  Control Accounts'!$FH$33,$Q30,0),"##0.0"))</f>
        <v>0</v>
      </c>
      <c r="H30" s="961" t="str">
        <f ca="1">IF(P30=0,"0",TEXT(OFFSET('5  Control Accounts'!$FP$33,$Q30,0),"##0.00"))</f>
        <v>0</v>
      </c>
      <c r="I30" s="961" t="str">
        <f ca="1">IF(P30=0,"0",TEXT(OFFSET('5  Control Accounts'!$FQ$33,$Q30,0),"0.0000"))</f>
        <v>0</v>
      </c>
      <c r="J30" s="961" t="str">
        <f ca="1">IF(P30=0,"0",TEXT(OFFSET('5  Control Accounts'!$FR$33,$Q30,0),"##0.00"))</f>
        <v>0</v>
      </c>
      <c r="K30" s="961" t="str">
        <f ca="1">IF(P30=0,"0",TEXT(OFFSET('5  Control Accounts'!$FX$33,Q30,0),"##0"))</f>
        <v>0</v>
      </c>
      <c r="L30" s="961" t="str">
        <f ca="1">IF(P30=0,"0",TEXT(OFFSET('5  Control Accounts'!$FU$33,Q30,0),"0.0000"))</f>
        <v>0</v>
      </c>
      <c r="M30" s="961" t="str">
        <f ca="1">IF(P30=0,"0",TEXT(OFFSET('5  Control Accounts'!$FY$33,Q30,0),"##0"))</f>
        <v>0</v>
      </c>
      <c r="N30" s="2346"/>
      <c r="P30" s="537">
        <f ca="1">$O$2*OFFSET('5  Control Accounts'!$CP$33,Q30,0)</f>
        <v>0</v>
      </c>
      <c r="Q30" s="537">
        <v>24</v>
      </c>
      <c r="R30" s="1411">
        <f ca="1">IF(P30=0,0,OFFSET('5  Control Accounts'!$FD$33,Q30,0))</f>
        <v>0</v>
      </c>
      <c r="S30" s="1411">
        <f ca="1">IF(P30=0,0,OFFSET('5  Control Accounts'!$FE$33,Q30,0))</f>
        <v>0</v>
      </c>
      <c r="T30" s="1930">
        <f t="shared" ca="1" si="5"/>
        <v>0</v>
      </c>
      <c r="U30" s="1930">
        <f t="shared" ca="1" si="6"/>
        <v>0</v>
      </c>
    </row>
    <row r="31" spans="1:21" s="750" customFormat="1" ht="15.9" customHeight="1" x14ac:dyDescent="0.3">
      <c r="A31" s="961" t="str">
        <f ca="1">IF(P31=0,"0",TEXT(OFFSET('5  Control Accounts'!$BF$33,Q31,0)&amp;"."&amp;OFFSET('5  Control Accounts'!$BH$33,Q31,0),"General"))</f>
        <v>0</v>
      </c>
      <c r="B31" s="961" t="str">
        <f t="shared" ca="1" si="10"/>
        <v>0</v>
      </c>
      <c r="C31" s="961" t="str">
        <f t="shared" ca="1" si="11"/>
        <v>0</v>
      </c>
      <c r="D31" s="961" t="str">
        <f ca="1">IF($P31=0,"0",TEXT(OFFSET('5  Control Accounts'!$DW$33,Q31,0),"General"))</f>
        <v>0</v>
      </c>
      <c r="E31" s="1327" t="str">
        <f ca="1">IF($P31=0,"0",TEXT(OFFSET('5  Control Accounts'!$Z$33,Q31,0),"##0.0"))</f>
        <v>0</v>
      </c>
      <c r="F31" s="961" t="str">
        <f ca="1">IF(P31=0,"0",TEXT(OFFSET('5  Control Accounts'!$FG$33,Q31,0),"##0.0"))</f>
        <v>0</v>
      </c>
      <c r="G31" s="961" t="str">
        <f ca="1">IF(P31=0,"0",TEXT(OFFSET('5  Control Accounts'!$FH$33,$Q31,0),"##0.0"))</f>
        <v>0</v>
      </c>
      <c r="H31" s="961" t="str">
        <f ca="1">IF(P31=0,"0",TEXT(OFFSET('5  Control Accounts'!$FP$33,$Q31,0),"##0.00"))</f>
        <v>0</v>
      </c>
      <c r="I31" s="961" t="str">
        <f ca="1">IF(P31=0,"0",TEXT(OFFSET('5  Control Accounts'!$FQ$33,$Q31,0),"0.0000"))</f>
        <v>0</v>
      </c>
      <c r="J31" s="961" t="str">
        <f ca="1">IF(P31=0,"0",TEXT(OFFSET('5  Control Accounts'!$FR$33,$Q31,0),"##0.00"))</f>
        <v>0</v>
      </c>
      <c r="K31" s="961" t="str">
        <f ca="1">IF(P31=0,"0",TEXT(OFFSET('5  Control Accounts'!$FX$33,Q31,0),"##0"))</f>
        <v>0</v>
      </c>
      <c r="L31" s="961" t="str">
        <f ca="1">IF(P31=0,"0",TEXT(OFFSET('5  Control Accounts'!$FU$33,Q31,0),"0.0000"))</f>
        <v>0</v>
      </c>
      <c r="M31" s="961" t="str">
        <f ca="1">IF(P31=0,"0",TEXT(OFFSET('5  Control Accounts'!$FY$33,Q31,0),"##0"))</f>
        <v>0</v>
      </c>
      <c r="N31" s="2346"/>
      <c r="P31" s="537">
        <f ca="1">$O$2*OFFSET('5  Control Accounts'!$CP$33,Q31,0)</f>
        <v>0</v>
      </c>
      <c r="Q31" s="537">
        <v>25</v>
      </c>
      <c r="R31" s="1411">
        <f ca="1">IF(P31=0,0,OFFSET('5  Control Accounts'!$FD$33,Q31,0))</f>
        <v>0</v>
      </c>
      <c r="S31" s="1411">
        <f ca="1">IF(P31=0,0,OFFSET('5  Control Accounts'!$FE$33,Q31,0))</f>
        <v>0</v>
      </c>
      <c r="T31" s="1930">
        <f t="shared" ca="1" si="5"/>
        <v>0</v>
      </c>
      <c r="U31" s="1930">
        <f t="shared" ca="1" si="6"/>
        <v>0</v>
      </c>
    </row>
    <row r="32" spans="1:21" s="750" customFormat="1" ht="15.9" customHeight="1" x14ac:dyDescent="0.3">
      <c r="A32" s="961" t="str">
        <f ca="1">IF(P32=0,"0",TEXT(OFFSET('5  Control Accounts'!$BF$33,Q32,0)&amp;"."&amp;OFFSET('5  Control Accounts'!$BH$33,Q32,0),"General"))</f>
        <v>0</v>
      </c>
      <c r="B32" s="961" t="str">
        <f t="shared" ca="1" si="10"/>
        <v>0</v>
      </c>
      <c r="C32" s="961" t="str">
        <f t="shared" ca="1" si="11"/>
        <v>0</v>
      </c>
      <c r="D32" s="961" t="str">
        <f ca="1">IF($P32=0,"0",TEXT(OFFSET('5  Control Accounts'!$DW$33,Q32,0),"General"))</f>
        <v>0</v>
      </c>
      <c r="E32" s="1327" t="str">
        <f ca="1">IF($P32=0,"0",TEXT(OFFSET('5  Control Accounts'!$Z$33,Q32,0),"##0.0"))</f>
        <v>0</v>
      </c>
      <c r="F32" s="961" t="str">
        <f ca="1">IF(P32=0,"0",TEXT(OFFSET('5  Control Accounts'!$FG$33,Q32,0),"##0.0"))</f>
        <v>0</v>
      </c>
      <c r="G32" s="961" t="str">
        <f ca="1">IF(P32=0,"0",TEXT(OFFSET('5  Control Accounts'!$FH$33,$Q32,0),"##0.0"))</f>
        <v>0</v>
      </c>
      <c r="H32" s="961" t="str">
        <f ca="1">IF(P32=0,"0",TEXT(OFFSET('5  Control Accounts'!$FP$33,$Q32,0),"##0.00"))</f>
        <v>0</v>
      </c>
      <c r="I32" s="961" t="str">
        <f ca="1">IF(P32=0,"0",TEXT(OFFSET('5  Control Accounts'!$FQ$33,$Q32,0),"0.0000"))</f>
        <v>0</v>
      </c>
      <c r="J32" s="961" t="str">
        <f ca="1">IF(P32=0,"0",TEXT(OFFSET('5  Control Accounts'!$FR$33,$Q32,0),"##0.00"))</f>
        <v>0</v>
      </c>
      <c r="K32" s="961" t="str">
        <f ca="1">IF(P32=0,"0",TEXT(OFFSET('5  Control Accounts'!$FX$33,Q32,0),"##0"))</f>
        <v>0</v>
      </c>
      <c r="L32" s="961" t="str">
        <f ca="1">IF(P32=0,"0",TEXT(OFFSET('5  Control Accounts'!$FU$33,Q32,0),"0.0000"))</f>
        <v>0</v>
      </c>
      <c r="M32" s="961" t="str">
        <f ca="1">IF(P32=0,"0",TEXT(OFFSET('5  Control Accounts'!$FY$33,Q32,0),"##0"))</f>
        <v>0</v>
      </c>
      <c r="N32" s="2346"/>
      <c r="P32" s="537">
        <f ca="1">$O$2*OFFSET('5  Control Accounts'!$CP$33,Q32,0)</f>
        <v>0</v>
      </c>
      <c r="Q32" s="537">
        <v>26</v>
      </c>
      <c r="R32" s="1411">
        <f ca="1">IF(P32=0,0,OFFSET('5  Control Accounts'!$FD$33,Q32,0))</f>
        <v>0</v>
      </c>
      <c r="S32" s="1411">
        <f ca="1">IF(P32=0,0,OFFSET('5  Control Accounts'!$FE$33,Q32,0))</f>
        <v>0</v>
      </c>
      <c r="T32" s="1930">
        <f t="shared" ca="1" si="5"/>
        <v>0</v>
      </c>
      <c r="U32" s="1930">
        <f t="shared" ca="1" si="6"/>
        <v>0</v>
      </c>
    </row>
    <row r="33" spans="1:21" s="750" customFormat="1" ht="15.9" customHeight="1" x14ac:dyDescent="0.3">
      <c r="A33" s="961" t="str">
        <f ca="1">IF(P33=0,"0",TEXT(OFFSET('5  Control Accounts'!$BF$33,Q33,0)&amp;"."&amp;OFFSET('5  Control Accounts'!$BH$33,Q33,0),"General"))</f>
        <v>0</v>
      </c>
      <c r="B33" s="961" t="str">
        <f t="shared" ca="1" si="10"/>
        <v>0</v>
      </c>
      <c r="C33" s="961" t="str">
        <f t="shared" ca="1" si="11"/>
        <v>0</v>
      </c>
      <c r="D33" s="961" t="str">
        <f ca="1">IF($P33=0,"0",TEXT(OFFSET('5  Control Accounts'!$DW$33,Q33,0),"General"))</f>
        <v>0</v>
      </c>
      <c r="E33" s="1327" t="str">
        <f ca="1">IF($P33=0,"0",TEXT(OFFSET('5  Control Accounts'!$Z$33,Q33,0),"##0.0"))</f>
        <v>0</v>
      </c>
      <c r="F33" s="961" t="str">
        <f ca="1">IF(P33=0,"0",TEXT(OFFSET('5  Control Accounts'!$FG$33,Q33,0),"##0.0"))</f>
        <v>0</v>
      </c>
      <c r="G33" s="961" t="str">
        <f ca="1">IF(P33=0,"0",TEXT(OFFSET('5  Control Accounts'!$FH$33,$Q33,0),"##0.0"))</f>
        <v>0</v>
      </c>
      <c r="H33" s="961" t="str">
        <f ca="1">IF(P33=0,"0",TEXT(OFFSET('5  Control Accounts'!$FP$33,$Q33,0),"##0.00"))</f>
        <v>0</v>
      </c>
      <c r="I33" s="961" t="str">
        <f ca="1">IF(P33=0,"0",TEXT(OFFSET('5  Control Accounts'!$FQ$33,$Q33,0),"0.0000"))</f>
        <v>0</v>
      </c>
      <c r="J33" s="961" t="str">
        <f ca="1">IF(P33=0,"0",TEXT(OFFSET('5  Control Accounts'!$FR$33,$Q33,0),"##0.00"))</f>
        <v>0</v>
      </c>
      <c r="K33" s="961" t="str">
        <f ca="1">IF(P33=0,"0",TEXT(OFFSET('5  Control Accounts'!$FX$33,Q33,0),"##0"))</f>
        <v>0</v>
      </c>
      <c r="L33" s="961" t="str">
        <f ca="1">IF(P33=0,"0",TEXT(OFFSET('5  Control Accounts'!$FU$33,Q33,0),"0.0000"))</f>
        <v>0</v>
      </c>
      <c r="M33" s="961" t="str">
        <f ca="1">IF(P33=0,"0",TEXT(OFFSET('5  Control Accounts'!$FY$33,Q33,0),"##0"))</f>
        <v>0</v>
      </c>
      <c r="N33" s="2346"/>
      <c r="P33" s="537">
        <f ca="1">$O$2*OFFSET('5  Control Accounts'!$CP$33,Q33,0)</f>
        <v>0</v>
      </c>
      <c r="Q33" s="537">
        <v>27</v>
      </c>
      <c r="R33" s="1411">
        <f ca="1">IF(P33=0,0,OFFSET('5  Control Accounts'!$FD$33,Q33,0))</f>
        <v>0</v>
      </c>
      <c r="S33" s="1411">
        <f ca="1">IF(P33=0,0,OFFSET('5  Control Accounts'!$FE$33,Q33,0))</f>
        <v>0</v>
      </c>
      <c r="T33" s="1930">
        <f t="shared" ca="1" si="5"/>
        <v>0</v>
      </c>
      <c r="U33" s="1930">
        <f t="shared" ca="1" si="6"/>
        <v>0</v>
      </c>
    </row>
    <row r="34" spans="1:21" s="750" customFormat="1" ht="15.9" customHeight="1" x14ac:dyDescent="0.3">
      <c r="A34" s="961" t="str">
        <f ca="1">IF(P34=0,"0",TEXT(OFFSET('5  Control Accounts'!$BF$33,Q34,0)&amp;"."&amp;OFFSET('5  Control Accounts'!$BH$33,Q34,0),"General"))</f>
        <v>0</v>
      </c>
      <c r="B34" s="961" t="str">
        <f t="shared" ca="1" si="10"/>
        <v>0</v>
      </c>
      <c r="C34" s="961" t="str">
        <f t="shared" ca="1" si="11"/>
        <v>0</v>
      </c>
      <c r="D34" s="961" t="str">
        <f ca="1">IF($P34=0,"0",TEXT(OFFSET('5  Control Accounts'!$DW$33,Q34,0),"General"))</f>
        <v>0</v>
      </c>
      <c r="E34" s="1327" t="str">
        <f ca="1">IF($P34=0,"0",TEXT(OFFSET('5  Control Accounts'!$Z$33,Q34,0),"##0.0"))</f>
        <v>0</v>
      </c>
      <c r="F34" s="961" t="str">
        <f ca="1">IF(P34=0,"0",TEXT(OFFSET('5  Control Accounts'!$FG$33,Q34,0),"##0.0"))</f>
        <v>0</v>
      </c>
      <c r="G34" s="961" t="str">
        <f ca="1">IF(P34=0,"0",TEXT(OFFSET('5  Control Accounts'!$FH$33,$Q34,0),"##0.0"))</f>
        <v>0</v>
      </c>
      <c r="H34" s="961" t="str">
        <f ca="1">IF(P34=0,"0",TEXT(OFFSET('5  Control Accounts'!$FP$33,$Q34,0),"##0.00"))</f>
        <v>0</v>
      </c>
      <c r="I34" s="961" t="str">
        <f ca="1">IF(P34=0,"0",TEXT(OFFSET('5  Control Accounts'!$FQ$33,$Q34,0),"0.0000"))</f>
        <v>0</v>
      </c>
      <c r="J34" s="961" t="str">
        <f ca="1">IF(P34=0,"0",TEXT(OFFSET('5  Control Accounts'!$FR$33,$Q34,0),"##0.00"))</f>
        <v>0</v>
      </c>
      <c r="K34" s="961" t="str">
        <f ca="1">IF(P34=0,"0",TEXT(OFFSET('5  Control Accounts'!$FX$33,Q34,0),"##0"))</f>
        <v>0</v>
      </c>
      <c r="L34" s="961" t="str">
        <f ca="1">IF(P34=0,"0",TEXT(OFFSET('5  Control Accounts'!$FU$33,Q34,0),"0.0000"))</f>
        <v>0</v>
      </c>
      <c r="M34" s="961" t="str">
        <f ca="1">IF(P34=0,"0",TEXT(OFFSET('5  Control Accounts'!$FY$33,Q34,0),"##0"))</f>
        <v>0</v>
      </c>
      <c r="N34" s="2346"/>
      <c r="P34" s="537">
        <f ca="1">$O$2*OFFSET('5  Control Accounts'!$CP$33,Q34,0)</f>
        <v>0</v>
      </c>
      <c r="Q34" s="537">
        <v>28</v>
      </c>
      <c r="R34" s="1411">
        <f ca="1">IF(P34=0,0,OFFSET('5  Control Accounts'!$FD$33,Q34,0))</f>
        <v>0</v>
      </c>
      <c r="S34" s="1411">
        <f ca="1">IF(P34=0,0,OFFSET('5  Control Accounts'!$FE$33,Q34,0))</f>
        <v>0</v>
      </c>
      <c r="T34" s="1930">
        <f t="shared" ca="1" si="5"/>
        <v>0</v>
      </c>
      <c r="U34" s="1930">
        <f t="shared" ca="1" si="6"/>
        <v>0</v>
      </c>
    </row>
    <row r="35" spans="1:21" s="750" customFormat="1" ht="15.9" customHeight="1" x14ac:dyDescent="0.3">
      <c r="A35" s="961" t="str">
        <f ca="1">IF(P35=0,"0",TEXT(OFFSET('5  Control Accounts'!$BF$33,Q35,0)&amp;"."&amp;OFFSET('5  Control Accounts'!$BH$33,Q35,0),"General"))</f>
        <v>0</v>
      </c>
      <c r="B35" s="961" t="str">
        <f t="shared" ca="1" si="10"/>
        <v>0</v>
      </c>
      <c r="C35" s="961" t="str">
        <f t="shared" ca="1" si="11"/>
        <v>0</v>
      </c>
      <c r="D35" s="961" t="str">
        <f ca="1">IF($P35=0,"0",TEXT(OFFSET('5  Control Accounts'!$DW$33,Q35,0),"General"))</f>
        <v>0</v>
      </c>
      <c r="E35" s="1327" t="str">
        <f ca="1">IF($P35=0,"0",TEXT(OFFSET('5  Control Accounts'!$Z$33,Q35,0),"##0.0"))</f>
        <v>0</v>
      </c>
      <c r="F35" s="961" t="str">
        <f ca="1">IF(P35=0,"0",TEXT(OFFSET('5  Control Accounts'!$FG$33,Q35,0),"##0.0"))</f>
        <v>0</v>
      </c>
      <c r="G35" s="961" t="str">
        <f ca="1">IF(P35=0,"0",TEXT(OFFSET('5  Control Accounts'!$FH$33,$Q35,0),"##0.0"))</f>
        <v>0</v>
      </c>
      <c r="H35" s="961" t="str">
        <f ca="1">IF(P35=0,"0",TEXT(OFFSET('5  Control Accounts'!$FP$33,$Q35,0),"##0.00"))</f>
        <v>0</v>
      </c>
      <c r="I35" s="961" t="str">
        <f ca="1">IF(P35=0,"0",TEXT(OFFSET('5  Control Accounts'!$FQ$33,$Q35,0),"0.0000"))</f>
        <v>0</v>
      </c>
      <c r="J35" s="961" t="str">
        <f ca="1">IF(P35=0,"0",TEXT(OFFSET('5  Control Accounts'!$FR$33,$Q35,0),"##0.00"))</f>
        <v>0</v>
      </c>
      <c r="K35" s="961" t="str">
        <f ca="1">IF(P35=0,"0",TEXT(OFFSET('5  Control Accounts'!$FX$33,Q35,0),"##0"))</f>
        <v>0</v>
      </c>
      <c r="L35" s="961" t="str">
        <f ca="1">IF(P35=0,"0",TEXT(OFFSET('5  Control Accounts'!$FU$33,Q35,0),"0.0000"))</f>
        <v>0</v>
      </c>
      <c r="M35" s="961" t="str">
        <f ca="1">IF(P35=0,"0",TEXT(OFFSET('5  Control Accounts'!$FY$33,Q35,0),"##0"))</f>
        <v>0</v>
      </c>
      <c r="N35" s="2346"/>
      <c r="P35" s="537">
        <f ca="1">$O$2*OFFSET('5  Control Accounts'!$CP$33,Q35,0)</f>
        <v>0</v>
      </c>
      <c r="Q35" s="537">
        <v>29</v>
      </c>
      <c r="R35" s="1411">
        <f ca="1">IF(P35=0,0,OFFSET('5  Control Accounts'!$FD$33,Q35,0))</f>
        <v>0</v>
      </c>
      <c r="S35" s="1411">
        <f ca="1">IF(P35=0,0,OFFSET('5  Control Accounts'!$FE$33,Q35,0))</f>
        <v>0</v>
      </c>
      <c r="T35" s="1930">
        <f t="shared" ca="1" si="5"/>
        <v>0</v>
      </c>
      <c r="U35" s="1930">
        <f t="shared" ca="1" si="6"/>
        <v>0</v>
      </c>
    </row>
    <row r="36" spans="1:21" s="750" customFormat="1" ht="15.9" customHeight="1" x14ac:dyDescent="0.3">
      <c r="A36" s="961" t="str">
        <f ca="1">IF(P36=0,"0",TEXT(OFFSET('5  Control Accounts'!$BF$33,Q36,0)&amp;"."&amp;OFFSET('5  Control Accounts'!$BH$33,Q36,0),"General"))</f>
        <v>0</v>
      </c>
      <c r="B36" s="961" t="str">
        <f t="shared" ca="1" si="10"/>
        <v>0</v>
      </c>
      <c r="C36" s="961" t="str">
        <f t="shared" ca="1" si="11"/>
        <v>0</v>
      </c>
      <c r="D36" s="961" t="str">
        <f ca="1">IF($P36=0,"0",TEXT(OFFSET('5  Control Accounts'!$DW$33,Q36,0),"General"))</f>
        <v>0</v>
      </c>
      <c r="E36" s="1327" t="str">
        <f ca="1">IF($P36=0,"0",TEXT(OFFSET('5  Control Accounts'!$Z$33,Q36,0),"##0.0"))</f>
        <v>0</v>
      </c>
      <c r="F36" s="961" t="str">
        <f ca="1">IF(P36=0,"0",TEXT(OFFSET('5  Control Accounts'!$FG$33,Q36,0),"##0.0"))</f>
        <v>0</v>
      </c>
      <c r="G36" s="961" t="str">
        <f ca="1">IF(P36=0,"0",TEXT(OFFSET('5  Control Accounts'!$FH$33,$Q36,0),"##0.0"))</f>
        <v>0</v>
      </c>
      <c r="H36" s="961" t="str">
        <f ca="1">IF(P36=0,"0",TEXT(OFFSET('5  Control Accounts'!$FP$33,$Q36,0),"##0.00"))</f>
        <v>0</v>
      </c>
      <c r="I36" s="961" t="str">
        <f ca="1">IF(P36=0,"0",TEXT(OFFSET('5  Control Accounts'!$FQ$33,$Q36,0),"0.0000"))</f>
        <v>0</v>
      </c>
      <c r="J36" s="961" t="str">
        <f ca="1">IF(P36=0,"0",TEXT(OFFSET('5  Control Accounts'!$FR$33,$Q36,0),"##0.00"))</f>
        <v>0</v>
      </c>
      <c r="K36" s="961" t="str">
        <f ca="1">IF(P36=0,"0",TEXT(OFFSET('5  Control Accounts'!$FX$33,Q36,0),"##0"))</f>
        <v>0</v>
      </c>
      <c r="L36" s="961" t="str">
        <f ca="1">IF(P36=0,"0",TEXT(OFFSET('5  Control Accounts'!$FU$33,Q36,0),"0.0000"))</f>
        <v>0</v>
      </c>
      <c r="M36" s="961" t="str">
        <f ca="1">IF(P36=0,"0",TEXT(OFFSET('5  Control Accounts'!$FY$33,Q36,0),"##0"))</f>
        <v>0</v>
      </c>
      <c r="N36" s="2346"/>
      <c r="P36" s="537">
        <f ca="1">$O$2*OFFSET('5  Control Accounts'!$CP$33,Q36,0)</f>
        <v>0</v>
      </c>
      <c r="Q36" s="537">
        <v>30</v>
      </c>
      <c r="R36" s="1411">
        <f ca="1">IF(P36=0,0,OFFSET('5  Control Accounts'!$FD$33,Q36,0))</f>
        <v>0</v>
      </c>
      <c r="S36" s="1411">
        <f ca="1">IF(P36=0,0,OFFSET('5  Control Accounts'!$FE$33,Q36,0))</f>
        <v>0</v>
      </c>
      <c r="T36" s="1930">
        <f t="shared" ca="1" si="5"/>
        <v>0</v>
      </c>
      <c r="U36" s="1930">
        <f t="shared" ca="1" si="6"/>
        <v>0</v>
      </c>
    </row>
    <row r="37" spans="1:21" s="750" customFormat="1" ht="15.9" customHeight="1" x14ac:dyDescent="0.3">
      <c r="A37" s="961" t="str">
        <f ca="1">IF(P37=0,"0",TEXT(OFFSET('5  Control Accounts'!$BF$33,Q37,0)&amp;"."&amp;OFFSET('5  Control Accounts'!$BH$33,Q37,0),"General"))</f>
        <v>0</v>
      </c>
      <c r="B37" s="961" t="str">
        <f t="shared" ca="1" si="10"/>
        <v>0</v>
      </c>
      <c r="C37" s="961" t="str">
        <f t="shared" ca="1" si="11"/>
        <v>0</v>
      </c>
      <c r="D37" s="961" t="str">
        <f ca="1">IF($P37=0,"0",TEXT(OFFSET('5  Control Accounts'!$DW$33,Q37,0),"General"))</f>
        <v>0</v>
      </c>
      <c r="E37" s="1327" t="str">
        <f ca="1">IF($P37=0,"0",TEXT(OFFSET('5  Control Accounts'!$Z$33,Q37,0),"##0.0"))</f>
        <v>0</v>
      </c>
      <c r="F37" s="961" t="str">
        <f ca="1">IF(P37=0,"0",TEXT(OFFSET('5  Control Accounts'!$FG$33,Q37,0),"##0.0"))</f>
        <v>0</v>
      </c>
      <c r="G37" s="961" t="str">
        <f ca="1">IF(P37=0,"0",TEXT(OFFSET('5  Control Accounts'!$FH$33,$Q37,0),"##0.0"))</f>
        <v>0</v>
      </c>
      <c r="H37" s="961" t="str">
        <f ca="1">IF(P37=0,"0",TEXT(OFFSET('5  Control Accounts'!$FP$33,$Q37,0),"##0.00"))</f>
        <v>0</v>
      </c>
      <c r="I37" s="961" t="str">
        <f ca="1">IF(P37=0,"0",TEXT(OFFSET('5  Control Accounts'!$FQ$33,$Q37,0),"0.0000"))</f>
        <v>0</v>
      </c>
      <c r="J37" s="961" t="str">
        <f ca="1">IF(P37=0,"0",TEXT(OFFSET('5  Control Accounts'!$FR$33,$Q37,0),"##0.00"))</f>
        <v>0</v>
      </c>
      <c r="K37" s="961" t="str">
        <f ca="1">IF(P37=0,"0",TEXT(OFFSET('5  Control Accounts'!$FX$33,Q37,0),"##0"))</f>
        <v>0</v>
      </c>
      <c r="L37" s="961" t="str">
        <f ca="1">IF(P37=0,"0",TEXT(OFFSET('5  Control Accounts'!$FU$33,Q37,0),"0.0000"))</f>
        <v>0</v>
      </c>
      <c r="M37" s="961" t="str">
        <f ca="1">IF(P37=0,"0",TEXT(OFFSET('5  Control Accounts'!$FY$33,Q37,0),"##0"))</f>
        <v>0</v>
      </c>
      <c r="N37" s="2346"/>
      <c r="P37" s="537">
        <f ca="1">$O$2*OFFSET('5  Control Accounts'!$CP$33,Q37,0)</f>
        <v>0</v>
      </c>
      <c r="Q37" s="537">
        <v>31</v>
      </c>
      <c r="R37" s="1411">
        <f ca="1">IF(P37=0,0,OFFSET('5  Control Accounts'!$FD$33,Q37,0))</f>
        <v>0</v>
      </c>
      <c r="S37" s="1411">
        <f ca="1">IF(P37=0,0,OFFSET('5  Control Accounts'!$FE$33,Q37,0))</f>
        <v>0</v>
      </c>
      <c r="T37" s="1930">
        <f t="shared" ca="1" si="5"/>
        <v>0</v>
      </c>
      <c r="U37" s="1930">
        <f t="shared" ca="1" si="6"/>
        <v>0</v>
      </c>
    </row>
    <row r="38" spans="1:21" s="750" customFormat="1" ht="15.9" customHeight="1" x14ac:dyDescent="0.3">
      <c r="A38" s="961" t="str">
        <f ca="1">IF(P38=0,"0",TEXT(OFFSET('5  Control Accounts'!$BF$33,Q38,0)&amp;"."&amp;OFFSET('5  Control Accounts'!$BH$33,Q38,0),"General"))</f>
        <v>0</v>
      </c>
      <c r="B38" s="961" t="str">
        <f t="shared" ca="1" si="10"/>
        <v>0</v>
      </c>
      <c r="C38" s="961" t="str">
        <f t="shared" ca="1" si="11"/>
        <v>0</v>
      </c>
      <c r="D38" s="961" t="str">
        <f ca="1">IF($P38=0,"0",TEXT(OFFSET('5  Control Accounts'!$DW$33,Q38,0),"General"))</f>
        <v>0</v>
      </c>
      <c r="E38" s="1327" t="str">
        <f ca="1">IF($P38=0,"0",TEXT(OFFSET('5  Control Accounts'!$Z$33,Q38,0),"##0.0"))</f>
        <v>0</v>
      </c>
      <c r="F38" s="961" t="str">
        <f ca="1">IF(P38=0,"0",TEXT(OFFSET('5  Control Accounts'!$FG$33,Q38,0),"##0.0"))</f>
        <v>0</v>
      </c>
      <c r="G38" s="961" t="str">
        <f ca="1">IF(P38=0,"0",TEXT(OFFSET('5  Control Accounts'!$FH$33,$Q38,0),"##0.0"))</f>
        <v>0</v>
      </c>
      <c r="H38" s="961" t="str">
        <f ca="1">IF(P38=0,"0",TEXT(OFFSET('5  Control Accounts'!$FP$33,$Q38,0),"##0.00"))</f>
        <v>0</v>
      </c>
      <c r="I38" s="961" t="str">
        <f ca="1">IF(P38=0,"0",TEXT(OFFSET('5  Control Accounts'!$FQ$33,$Q38,0),"0.0000"))</f>
        <v>0</v>
      </c>
      <c r="J38" s="961" t="str">
        <f ca="1">IF(P38=0,"0",TEXT(OFFSET('5  Control Accounts'!$FR$33,$Q38,0),"##0.00"))</f>
        <v>0</v>
      </c>
      <c r="K38" s="961" t="str">
        <f ca="1">IF(P38=0,"0",TEXT(OFFSET('5  Control Accounts'!$FX$33,Q38,0),"##0"))</f>
        <v>0</v>
      </c>
      <c r="L38" s="961" t="str">
        <f ca="1">IF(P38=0,"0",TEXT(OFFSET('5  Control Accounts'!$FU$33,Q38,0),"0.0000"))</f>
        <v>0</v>
      </c>
      <c r="M38" s="961" t="str">
        <f ca="1">IF(P38=0,"0",TEXT(OFFSET('5  Control Accounts'!$FY$33,Q38,0),"##0"))</f>
        <v>0</v>
      </c>
      <c r="N38" s="2346"/>
      <c r="P38" s="537">
        <f ca="1">$O$2*OFFSET('5  Control Accounts'!$CP$33,Q38,0)</f>
        <v>0</v>
      </c>
      <c r="Q38" s="537">
        <v>32</v>
      </c>
      <c r="R38" s="1411">
        <f ca="1">IF(P38=0,0,OFFSET('5  Control Accounts'!$FD$33,Q38,0))</f>
        <v>0</v>
      </c>
      <c r="S38" s="1411">
        <f ca="1">IF(P38=0,0,OFFSET('5  Control Accounts'!$FE$33,Q38,0))</f>
        <v>0</v>
      </c>
      <c r="T38" s="1930">
        <f t="shared" ca="1" si="5"/>
        <v>0</v>
      </c>
      <c r="U38" s="1930">
        <f t="shared" ca="1" si="6"/>
        <v>0</v>
      </c>
    </row>
    <row r="39" spans="1:21" s="750" customFormat="1" ht="15.9" customHeight="1" x14ac:dyDescent="0.3">
      <c r="A39" s="961" t="str">
        <f ca="1">IF(P39=0,"0",TEXT(OFFSET('5  Control Accounts'!$BF$33,Q39,0)&amp;"."&amp;OFFSET('5  Control Accounts'!$BH$33,Q39,0),"General"))</f>
        <v>0</v>
      </c>
      <c r="B39" s="961" t="str">
        <f t="shared" ca="1" si="10"/>
        <v>0</v>
      </c>
      <c r="C39" s="961" t="str">
        <f t="shared" ca="1" si="11"/>
        <v>0</v>
      </c>
      <c r="D39" s="961" t="str">
        <f ca="1">IF($P39=0,"0",TEXT(OFFSET('5  Control Accounts'!$DW$33,Q39,0),"General"))</f>
        <v>0</v>
      </c>
      <c r="E39" s="1327" t="str">
        <f ca="1">IF($P39=0,"0",TEXT(OFFSET('5  Control Accounts'!$Z$33,Q39,0),"##0.0"))</f>
        <v>0</v>
      </c>
      <c r="F39" s="961" t="str">
        <f ca="1">IF(P39=0,"0",TEXT(OFFSET('5  Control Accounts'!$FG$33,Q39,0),"##0.0"))</f>
        <v>0</v>
      </c>
      <c r="G39" s="961" t="str">
        <f ca="1">IF(P39=0,"0",TEXT(OFFSET('5  Control Accounts'!$FH$33,$Q39,0),"##0.0"))</f>
        <v>0</v>
      </c>
      <c r="H39" s="961" t="str">
        <f ca="1">IF(P39=0,"0",TEXT(OFFSET('5  Control Accounts'!$FP$33,$Q39,0),"##0.00"))</f>
        <v>0</v>
      </c>
      <c r="I39" s="961" t="str">
        <f ca="1">IF(P39=0,"0",TEXT(OFFSET('5  Control Accounts'!$FQ$33,$Q39,0),"0.0000"))</f>
        <v>0</v>
      </c>
      <c r="J39" s="961" t="str">
        <f ca="1">IF(P39=0,"0",TEXT(OFFSET('5  Control Accounts'!$FR$33,$Q39,0),"##0.00"))</f>
        <v>0</v>
      </c>
      <c r="K39" s="961" t="str">
        <f ca="1">IF(P39=0,"0",TEXT(OFFSET('5  Control Accounts'!$FX$33,Q39,0),"##0"))</f>
        <v>0</v>
      </c>
      <c r="L39" s="961" t="str">
        <f ca="1">IF(P39=0,"0",TEXT(OFFSET('5  Control Accounts'!$FU$33,Q39,0),"0.0000"))</f>
        <v>0</v>
      </c>
      <c r="M39" s="961" t="str">
        <f ca="1">IF(P39=0,"0",TEXT(OFFSET('5  Control Accounts'!$FY$33,Q39,0),"##0"))</f>
        <v>0</v>
      </c>
      <c r="N39" s="2346"/>
      <c r="P39" s="537">
        <f ca="1">$O$2*OFFSET('5  Control Accounts'!$CP$33,Q39,0)</f>
        <v>0</v>
      </c>
      <c r="Q39" s="537">
        <v>33</v>
      </c>
      <c r="R39" s="1411">
        <f ca="1">IF(P39=0,0,OFFSET('5  Control Accounts'!$FD$33,Q39,0))</f>
        <v>0</v>
      </c>
      <c r="S39" s="1411">
        <f ca="1">IF(P39=0,0,OFFSET('5  Control Accounts'!$FE$33,Q39,0))</f>
        <v>0</v>
      </c>
      <c r="T39" s="1930">
        <f t="shared" ca="1" si="5"/>
        <v>0</v>
      </c>
      <c r="U39" s="1930">
        <f t="shared" ca="1" si="6"/>
        <v>0</v>
      </c>
    </row>
    <row r="40" spans="1:21" s="750" customFormat="1" ht="15.9" customHeight="1" x14ac:dyDescent="0.3">
      <c r="A40" s="961" t="str">
        <f ca="1">IF(P40=0,"0",TEXT(OFFSET('5  Control Accounts'!$BF$33,Q40,0)&amp;"."&amp;OFFSET('5  Control Accounts'!$BH$33,Q40,0),"General"))</f>
        <v>0</v>
      </c>
      <c r="B40" s="961" t="str">
        <f t="shared" ca="1" si="10"/>
        <v>0</v>
      </c>
      <c r="C40" s="961" t="str">
        <f t="shared" ca="1" si="11"/>
        <v>0</v>
      </c>
      <c r="D40" s="961" t="str">
        <f ca="1">IF($P40=0,"0",TEXT(OFFSET('5  Control Accounts'!$DW$33,Q40,0),"General"))</f>
        <v>0</v>
      </c>
      <c r="E40" s="1327" t="str">
        <f ca="1">IF($P40=0,"0",TEXT(OFFSET('5  Control Accounts'!$Z$33,Q40,0),"##0.0"))</f>
        <v>0</v>
      </c>
      <c r="F40" s="961" t="str">
        <f ca="1">IF(P40=0,"0",TEXT(OFFSET('5  Control Accounts'!$FG$33,Q40,0),"##0.0"))</f>
        <v>0</v>
      </c>
      <c r="G40" s="961" t="str">
        <f ca="1">IF(P40=0,"0",TEXT(OFFSET('5  Control Accounts'!$FH$33,$Q40,0),"##0.0"))</f>
        <v>0</v>
      </c>
      <c r="H40" s="961" t="str">
        <f ca="1">IF(P40=0,"0",TEXT(OFFSET('5  Control Accounts'!$FP$33,$Q40,0),"##0.00"))</f>
        <v>0</v>
      </c>
      <c r="I40" s="961" t="str">
        <f ca="1">IF(P40=0,"0",TEXT(OFFSET('5  Control Accounts'!$FQ$33,$Q40,0),"0.0000"))</f>
        <v>0</v>
      </c>
      <c r="J40" s="961" t="str">
        <f ca="1">IF(P40=0,"0",TEXT(OFFSET('5  Control Accounts'!$FR$33,$Q40,0),"##0.00"))</f>
        <v>0</v>
      </c>
      <c r="K40" s="961" t="str">
        <f ca="1">IF(P40=0,"0",TEXT(OFFSET('5  Control Accounts'!$FX$33,Q40,0),"##0"))</f>
        <v>0</v>
      </c>
      <c r="L40" s="961" t="str">
        <f ca="1">IF(P40=0,"0",TEXT(OFFSET('5  Control Accounts'!$FU$33,Q40,0),"0.0000"))</f>
        <v>0</v>
      </c>
      <c r="M40" s="961" t="str">
        <f ca="1">IF(P40=0,"0",TEXT(OFFSET('5  Control Accounts'!$FY$33,Q40,0),"##0"))</f>
        <v>0</v>
      </c>
      <c r="N40" s="2346"/>
      <c r="P40" s="537">
        <f ca="1">$O$2*OFFSET('5  Control Accounts'!$CP$33,Q40,0)</f>
        <v>0</v>
      </c>
      <c r="Q40" s="537">
        <v>34</v>
      </c>
      <c r="R40" s="1411">
        <f ca="1">IF(P40=0,0,OFFSET('5  Control Accounts'!$FD$33,Q40,0))</f>
        <v>0</v>
      </c>
      <c r="S40" s="1411">
        <f ca="1">IF(P40=0,0,OFFSET('5  Control Accounts'!$FE$33,Q40,0))</f>
        <v>0</v>
      </c>
      <c r="T40" s="1930">
        <f t="shared" ca="1" si="5"/>
        <v>0</v>
      </c>
      <c r="U40" s="1930">
        <f t="shared" ca="1" si="6"/>
        <v>0</v>
      </c>
    </row>
    <row r="41" spans="1:21" s="750" customFormat="1" ht="15.9" customHeight="1" x14ac:dyDescent="0.3">
      <c r="A41" s="961" t="str">
        <f ca="1">IF(P41=0,"0",TEXT(OFFSET('5  Control Accounts'!$BF$33,Q41,0)&amp;"."&amp;OFFSET('5  Control Accounts'!$BH$33,Q41,0),"General"))</f>
        <v>0</v>
      </c>
      <c r="B41" s="961" t="str">
        <f t="shared" ca="1" si="10"/>
        <v>0</v>
      </c>
      <c r="C41" s="961" t="str">
        <f t="shared" ca="1" si="11"/>
        <v>0</v>
      </c>
      <c r="D41" s="961" t="str">
        <f ca="1">IF($P41=0,"0",TEXT(OFFSET('5  Control Accounts'!$DW$33,Q41,0),"General"))</f>
        <v>0</v>
      </c>
      <c r="E41" s="1327" t="str">
        <f ca="1">IF($P41=0,"0",TEXT(OFFSET('5  Control Accounts'!$Z$33,Q41,0),"##0.0"))</f>
        <v>0</v>
      </c>
      <c r="F41" s="961" t="str">
        <f ca="1">IF(P41=0,"0",TEXT(OFFSET('5  Control Accounts'!$FG$33,Q41,0),"##0.0"))</f>
        <v>0</v>
      </c>
      <c r="G41" s="961" t="str">
        <f ca="1">IF(P41=0,"0",TEXT(OFFSET('5  Control Accounts'!$FH$33,$Q41,0),"##0.0"))</f>
        <v>0</v>
      </c>
      <c r="H41" s="961" t="str">
        <f ca="1">IF(P41=0,"0",TEXT(OFFSET('5  Control Accounts'!$FP$33,$Q41,0),"##0.00"))</f>
        <v>0</v>
      </c>
      <c r="I41" s="961" t="str">
        <f ca="1">IF(P41=0,"0",TEXT(OFFSET('5  Control Accounts'!$FQ$33,$Q41,0),"0.0000"))</f>
        <v>0</v>
      </c>
      <c r="J41" s="961" t="str">
        <f ca="1">IF(P41=0,"0",TEXT(OFFSET('5  Control Accounts'!$FR$33,$Q41,0),"##0.00"))</f>
        <v>0</v>
      </c>
      <c r="K41" s="961" t="str">
        <f ca="1">IF(P41=0,"0",TEXT(OFFSET('5  Control Accounts'!$FX$33,Q41,0),"##0"))</f>
        <v>0</v>
      </c>
      <c r="L41" s="961" t="str">
        <f ca="1">IF(P41=0,"0",TEXT(OFFSET('5  Control Accounts'!$FU$33,Q41,0),"0.0000"))</f>
        <v>0</v>
      </c>
      <c r="M41" s="961" t="str">
        <f ca="1">IF(P41=0,"0",TEXT(OFFSET('5  Control Accounts'!$FY$33,Q41,0),"##0"))</f>
        <v>0</v>
      </c>
      <c r="N41" s="2346"/>
      <c r="P41" s="537">
        <f ca="1">$O$2*OFFSET('5  Control Accounts'!$CP$33,Q41,0)</f>
        <v>0</v>
      </c>
      <c r="Q41" s="537">
        <v>35</v>
      </c>
      <c r="R41" s="1411">
        <f ca="1">IF(P41=0,0,OFFSET('5  Control Accounts'!$FD$33,Q41,0))</f>
        <v>0</v>
      </c>
      <c r="S41" s="1411">
        <f ca="1">IF(P41=0,0,OFFSET('5  Control Accounts'!$FE$33,Q41,0))</f>
        <v>0</v>
      </c>
      <c r="T41" s="1930">
        <f t="shared" ca="1" si="5"/>
        <v>0</v>
      </c>
      <c r="U41" s="1930">
        <f t="shared" ca="1" si="6"/>
        <v>0</v>
      </c>
    </row>
    <row r="42" spans="1:21" s="750" customFormat="1" ht="15.9" customHeight="1" x14ac:dyDescent="0.3">
      <c r="A42" s="961" t="str">
        <f ca="1">IF(P42=0,"0",TEXT(OFFSET('5  Control Accounts'!$BF$33,Q42,0)&amp;"."&amp;OFFSET('5  Control Accounts'!$BH$33,Q42,0),"General"))</f>
        <v>0</v>
      </c>
      <c r="B42" s="961" t="str">
        <f t="shared" ca="1" si="10"/>
        <v>0</v>
      </c>
      <c r="C42" s="961" t="str">
        <f t="shared" ca="1" si="11"/>
        <v>0</v>
      </c>
      <c r="D42" s="961" t="str">
        <f ca="1">IF($P42=0,"0",TEXT(OFFSET('5  Control Accounts'!$DW$33,Q42,0),"General"))</f>
        <v>0</v>
      </c>
      <c r="E42" s="1327" t="str">
        <f ca="1">IF($P42=0,"0",TEXT(OFFSET('5  Control Accounts'!$Z$33,Q42,0),"##0.0"))</f>
        <v>0</v>
      </c>
      <c r="F42" s="961" t="str">
        <f ca="1">IF(P42=0,"0",TEXT(OFFSET('5  Control Accounts'!$FG$33,Q42,0),"##0.0"))</f>
        <v>0</v>
      </c>
      <c r="G42" s="961" t="str">
        <f ca="1">IF(P42=0,"0",TEXT(OFFSET('5  Control Accounts'!$FH$33,$Q42,0),"##0.0"))</f>
        <v>0</v>
      </c>
      <c r="H42" s="961" t="str">
        <f ca="1">IF(P42=0,"0",TEXT(OFFSET('5  Control Accounts'!$FP$33,$Q42,0),"##0.00"))</f>
        <v>0</v>
      </c>
      <c r="I42" s="961" t="str">
        <f ca="1">IF(P42=0,"0",TEXT(OFFSET('5  Control Accounts'!$FQ$33,$Q42,0),"0.0000"))</f>
        <v>0</v>
      </c>
      <c r="J42" s="961" t="str">
        <f ca="1">IF(P42=0,"0",TEXT(OFFSET('5  Control Accounts'!$FR$33,$Q42,0),"##0.00"))</f>
        <v>0</v>
      </c>
      <c r="K42" s="961" t="str">
        <f ca="1">IF(P42=0,"0",TEXT(OFFSET('5  Control Accounts'!$FX$33,Q42,0),"##0"))</f>
        <v>0</v>
      </c>
      <c r="L42" s="961" t="str">
        <f ca="1">IF(P42=0,"0",TEXT(OFFSET('5  Control Accounts'!$FU$33,Q42,0),"0.0000"))</f>
        <v>0</v>
      </c>
      <c r="M42" s="961" t="str">
        <f ca="1">IF(P42=0,"0",TEXT(OFFSET('5  Control Accounts'!$FY$33,Q42,0),"##0"))</f>
        <v>0</v>
      </c>
      <c r="N42" s="2346"/>
      <c r="P42" s="537">
        <f ca="1">$O$2*OFFSET('5  Control Accounts'!$CP$33,Q42,0)</f>
        <v>0</v>
      </c>
      <c r="Q42" s="537">
        <v>36</v>
      </c>
      <c r="R42" s="1411">
        <f ca="1">IF(P42=0,0,OFFSET('5  Control Accounts'!$FD$33,Q42,0))</f>
        <v>0</v>
      </c>
      <c r="S42" s="1411">
        <f ca="1">IF(P42=0,0,OFFSET('5  Control Accounts'!$FE$33,Q42,0))</f>
        <v>0</v>
      </c>
      <c r="T42" s="1930">
        <f t="shared" ca="1" si="5"/>
        <v>0</v>
      </c>
      <c r="U42" s="1930">
        <f t="shared" ca="1" si="6"/>
        <v>0</v>
      </c>
    </row>
    <row r="43" spans="1:21" s="750" customFormat="1" ht="15.9" customHeight="1" x14ac:dyDescent="0.3">
      <c r="A43" s="961" t="str">
        <f ca="1">IF(P43=0,"0",TEXT(OFFSET('5  Control Accounts'!$BF$33,Q43,0)&amp;"."&amp;OFFSET('5  Control Accounts'!$BH$33,Q43,0),"General"))</f>
        <v>0</v>
      </c>
      <c r="B43" s="961" t="str">
        <f t="shared" ca="1" si="10"/>
        <v>0</v>
      </c>
      <c r="C43" s="961" t="str">
        <f t="shared" ca="1" si="11"/>
        <v>0</v>
      </c>
      <c r="D43" s="961" t="str">
        <f ca="1">IF($P43=0,"0",TEXT(OFFSET('5  Control Accounts'!$DW$33,Q43,0),"General"))</f>
        <v>0</v>
      </c>
      <c r="E43" s="1327" t="str">
        <f ca="1">IF($P43=0,"0",TEXT(OFFSET('5  Control Accounts'!$Z$33,Q43,0),"##0.0"))</f>
        <v>0</v>
      </c>
      <c r="F43" s="961" t="str">
        <f ca="1">IF(P43=0,"0",TEXT(OFFSET('5  Control Accounts'!$FG$33,Q43,0),"##0.0"))</f>
        <v>0</v>
      </c>
      <c r="G43" s="961" t="str">
        <f ca="1">IF(P43=0,"0",TEXT(OFFSET('5  Control Accounts'!$FH$33,$Q43,0),"##0.0"))</f>
        <v>0</v>
      </c>
      <c r="H43" s="961" t="str">
        <f ca="1">IF(P43=0,"0",TEXT(OFFSET('5  Control Accounts'!$FP$33,$Q43,0),"##0.00"))</f>
        <v>0</v>
      </c>
      <c r="I43" s="961" t="str">
        <f ca="1">IF(P43=0,"0",TEXT(OFFSET('5  Control Accounts'!$FQ$33,$Q43,0),"0.0000"))</f>
        <v>0</v>
      </c>
      <c r="J43" s="961" t="str">
        <f ca="1">IF(P43=0,"0",TEXT(OFFSET('5  Control Accounts'!$FR$33,$Q43,0),"##0.00"))</f>
        <v>0</v>
      </c>
      <c r="K43" s="961" t="str">
        <f ca="1">IF(P43=0,"0",TEXT(OFFSET('5  Control Accounts'!$FX$33,Q43,0),"##0"))</f>
        <v>0</v>
      </c>
      <c r="L43" s="961" t="str">
        <f ca="1">IF(P43=0,"0",TEXT(OFFSET('5  Control Accounts'!$FU$33,Q43,0),"0.0000"))</f>
        <v>0</v>
      </c>
      <c r="M43" s="961" t="str">
        <f ca="1">IF(P43=0,"0",TEXT(OFFSET('5  Control Accounts'!$FY$33,Q43,0),"##0"))</f>
        <v>0</v>
      </c>
      <c r="N43" s="2346"/>
      <c r="P43" s="537">
        <f ca="1">$O$2*OFFSET('5  Control Accounts'!$CP$33,Q43,0)</f>
        <v>0</v>
      </c>
      <c r="Q43" s="537">
        <v>37</v>
      </c>
      <c r="R43" s="1411">
        <f ca="1">IF(P43=0,0,OFFSET('5  Control Accounts'!$FD$33,Q43,0))</f>
        <v>0</v>
      </c>
      <c r="S43" s="1411">
        <f ca="1">IF(P43=0,0,OFFSET('5  Control Accounts'!$FE$33,Q43,0))</f>
        <v>0</v>
      </c>
      <c r="T43" s="1930">
        <f t="shared" ca="1" si="5"/>
        <v>0</v>
      </c>
      <c r="U43" s="1930">
        <f t="shared" ca="1" si="6"/>
        <v>0</v>
      </c>
    </row>
    <row r="44" spans="1:21" s="750" customFormat="1" ht="15.9" customHeight="1" x14ac:dyDescent="0.3">
      <c r="A44" s="961" t="str">
        <f ca="1">IF(P44=0,"0",TEXT(OFFSET('5  Control Accounts'!$BF$33,Q44,0)&amp;"."&amp;OFFSET('5  Control Accounts'!$BH$33,Q44,0),"General"))</f>
        <v>0</v>
      </c>
      <c r="B44" s="961" t="str">
        <f t="shared" ca="1" si="10"/>
        <v>0</v>
      </c>
      <c r="C44" s="961" t="str">
        <f t="shared" ca="1" si="11"/>
        <v>0</v>
      </c>
      <c r="D44" s="961" t="str">
        <f ca="1">IF($P44=0,"0",TEXT(OFFSET('5  Control Accounts'!$DW$33,Q44,0),"General"))</f>
        <v>0</v>
      </c>
      <c r="E44" s="1327" t="str">
        <f ca="1">IF($P44=0,"0",TEXT(OFFSET('5  Control Accounts'!$Z$33,Q44,0),"##0.0"))</f>
        <v>0</v>
      </c>
      <c r="F44" s="961" t="str">
        <f ca="1">IF(P44=0,"0",TEXT(OFFSET('5  Control Accounts'!$FG$33,Q44,0),"##0.0"))</f>
        <v>0</v>
      </c>
      <c r="G44" s="961" t="str">
        <f ca="1">IF(P44=0,"0",TEXT(OFFSET('5  Control Accounts'!$FH$33,$Q44,0),"##0.0"))</f>
        <v>0</v>
      </c>
      <c r="H44" s="961" t="str">
        <f ca="1">IF(P44=0,"0",TEXT(OFFSET('5  Control Accounts'!$FP$33,$Q44,0),"##0.00"))</f>
        <v>0</v>
      </c>
      <c r="I44" s="961" t="str">
        <f ca="1">IF(P44=0,"0",TEXT(OFFSET('5  Control Accounts'!$FQ$33,$Q44,0),"0.0000"))</f>
        <v>0</v>
      </c>
      <c r="J44" s="961" t="str">
        <f ca="1">IF(P44=0,"0",TEXT(OFFSET('5  Control Accounts'!$FR$33,$Q44,0),"##0.00"))</f>
        <v>0</v>
      </c>
      <c r="K44" s="961" t="str">
        <f ca="1">IF(P44=0,"0",TEXT(OFFSET('5  Control Accounts'!$FX$33,Q44,0),"##0"))</f>
        <v>0</v>
      </c>
      <c r="L44" s="961" t="str">
        <f ca="1">IF(P44=0,"0",TEXT(OFFSET('5  Control Accounts'!$FU$33,Q44,0),"0.0000"))</f>
        <v>0</v>
      </c>
      <c r="M44" s="961" t="str">
        <f ca="1">IF(P44=0,"0",TEXT(OFFSET('5  Control Accounts'!$FY$33,Q44,0),"##0"))</f>
        <v>0</v>
      </c>
      <c r="N44" s="2346"/>
      <c r="P44" s="537">
        <f ca="1">$O$2*OFFSET('5  Control Accounts'!$CP$33,Q44,0)</f>
        <v>0</v>
      </c>
      <c r="Q44" s="537">
        <v>38</v>
      </c>
      <c r="R44" s="1411">
        <f ca="1">IF(P44=0,0,OFFSET('5  Control Accounts'!$FD$33,Q44,0))</f>
        <v>0</v>
      </c>
      <c r="S44" s="1411">
        <f ca="1">IF(P44=0,0,OFFSET('5  Control Accounts'!$FE$33,Q44,0))</f>
        <v>0</v>
      </c>
      <c r="T44" s="1930">
        <f t="shared" ca="1" si="5"/>
        <v>0</v>
      </c>
      <c r="U44" s="1930">
        <f t="shared" ca="1" si="6"/>
        <v>0</v>
      </c>
    </row>
    <row r="45" spans="1:21" s="750" customFormat="1" ht="15.9" customHeight="1" x14ac:dyDescent="0.3">
      <c r="A45" s="961" t="str">
        <f ca="1">IF(P45=0,"0",TEXT(OFFSET('5  Control Accounts'!$BF$33,Q45,0)&amp;"."&amp;OFFSET('5  Control Accounts'!$BH$33,Q45,0),"General"))</f>
        <v>0</v>
      </c>
      <c r="B45" s="961" t="str">
        <f t="shared" ca="1" si="10"/>
        <v>0</v>
      </c>
      <c r="C45" s="961" t="str">
        <f t="shared" ca="1" si="11"/>
        <v>0</v>
      </c>
      <c r="D45" s="961" t="str">
        <f ca="1">IF($P45=0,"0",TEXT(OFFSET('5  Control Accounts'!$DW$33,Q45,0),"General"))</f>
        <v>0</v>
      </c>
      <c r="E45" s="1327" t="str">
        <f ca="1">IF($P45=0,"0",TEXT(OFFSET('5  Control Accounts'!$Z$33,Q45,0),"##0.0"))</f>
        <v>0</v>
      </c>
      <c r="F45" s="961" t="str">
        <f ca="1">IF(P45=0,"0",TEXT(OFFSET('5  Control Accounts'!$FG$33,Q45,0),"##0.0"))</f>
        <v>0</v>
      </c>
      <c r="G45" s="961" t="str">
        <f ca="1">IF(P45=0,"0",TEXT(OFFSET('5  Control Accounts'!$FH$33,$Q45,0),"##0.0"))</f>
        <v>0</v>
      </c>
      <c r="H45" s="961" t="str">
        <f ca="1">IF(P45=0,"0",TEXT(OFFSET('5  Control Accounts'!$FP$33,$Q45,0),"##0.00"))</f>
        <v>0</v>
      </c>
      <c r="I45" s="961" t="str">
        <f ca="1">IF(P45=0,"0",TEXT(OFFSET('5  Control Accounts'!$FQ$33,$Q45,0),"0.0000"))</f>
        <v>0</v>
      </c>
      <c r="J45" s="961" t="str">
        <f ca="1">IF(P45=0,"0",TEXT(OFFSET('5  Control Accounts'!$FR$33,$Q45,0),"##0.00"))</f>
        <v>0</v>
      </c>
      <c r="K45" s="961" t="str">
        <f ca="1">IF(P45=0,"0",TEXT(OFFSET('5  Control Accounts'!$FX$33,Q45,0),"##0"))</f>
        <v>0</v>
      </c>
      <c r="L45" s="961" t="str">
        <f ca="1">IF(P45=0,"0",TEXT(OFFSET('5  Control Accounts'!$FU$33,Q45,0),"0.0000"))</f>
        <v>0</v>
      </c>
      <c r="M45" s="961" t="str">
        <f ca="1">IF(P45=0,"0",TEXT(OFFSET('5  Control Accounts'!$FY$33,Q45,0),"##0"))</f>
        <v>0</v>
      </c>
      <c r="N45" s="2346"/>
      <c r="P45" s="537">
        <f ca="1">$O$2*OFFSET('5  Control Accounts'!$CP$33,Q45,0)</f>
        <v>0</v>
      </c>
      <c r="Q45" s="537">
        <v>39</v>
      </c>
      <c r="R45" s="1411">
        <f ca="1">IF(P45=0,0,OFFSET('5  Control Accounts'!$FD$33,Q45,0))</f>
        <v>0</v>
      </c>
      <c r="S45" s="1411">
        <f ca="1">IF(P45=0,0,OFFSET('5  Control Accounts'!$FE$33,Q45,0))</f>
        <v>0</v>
      </c>
      <c r="T45" s="1930">
        <f t="shared" ca="1" si="5"/>
        <v>0</v>
      </c>
      <c r="U45" s="1930">
        <f t="shared" ca="1" si="6"/>
        <v>0</v>
      </c>
    </row>
    <row r="46" spans="1:21" s="750" customFormat="1" ht="15.9" customHeight="1" x14ac:dyDescent="0.3">
      <c r="A46" s="961" t="str">
        <f ca="1">IF(P46=0,"0",TEXT(OFFSET('5  Control Accounts'!$BF$33,Q46,0)&amp;"."&amp;OFFSET('5  Control Accounts'!$BH$33,Q46,0),"General"))</f>
        <v>0</v>
      </c>
      <c r="B46" s="961" t="str">
        <f t="shared" ca="1" si="10"/>
        <v>0</v>
      </c>
      <c r="C46" s="961" t="str">
        <f t="shared" ca="1" si="11"/>
        <v>0</v>
      </c>
      <c r="D46" s="961" t="str">
        <f ca="1">IF($P46=0,"0",TEXT(OFFSET('5  Control Accounts'!$DW$33,Q46,0),"General"))</f>
        <v>0</v>
      </c>
      <c r="E46" s="1327" t="str">
        <f ca="1">IF($P46=0,"0",TEXT(OFFSET('5  Control Accounts'!$Z$33,Q46,0),"##0.0"))</f>
        <v>0</v>
      </c>
      <c r="F46" s="961" t="str">
        <f ca="1">IF(P46=0,"0",TEXT(OFFSET('5  Control Accounts'!$FG$33,Q46,0),"##0.0"))</f>
        <v>0</v>
      </c>
      <c r="G46" s="961" t="str">
        <f ca="1">IF(P46=0,"0",TEXT(OFFSET('5  Control Accounts'!$FH$33,$Q46,0),"##0.0"))</f>
        <v>0</v>
      </c>
      <c r="H46" s="961" t="str">
        <f ca="1">IF(P46=0,"0",TEXT(OFFSET('5  Control Accounts'!$FP$33,$Q46,0),"##0.00"))</f>
        <v>0</v>
      </c>
      <c r="I46" s="961" t="str">
        <f ca="1">IF(P46=0,"0",TEXT(OFFSET('5  Control Accounts'!$FQ$33,$Q46,0),"0.0000"))</f>
        <v>0</v>
      </c>
      <c r="J46" s="961" t="str">
        <f ca="1">IF(P46=0,"0",TEXT(OFFSET('5  Control Accounts'!$FR$33,$Q46,0),"##0.00"))</f>
        <v>0</v>
      </c>
      <c r="K46" s="961" t="str">
        <f ca="1">IF(P46=0,"0",TEXT(OFFSET('5  Control Accounts'!$FX$33,Q46,0),"##0"))</f>
        <v>0</v>
      </c>
      <c r="L46" s="961" t="str">
        <f ca="1">IF(P46=0,"0",TEXT(OFFSET('5  Control Accounts'!$FU$33,Q46,0),"0.0000"))</f>
        <v>0</v>
      </c>
      <c r="M46" s="961" t="str">
        <f ca="1">IF(P46=0,"0",TEXT(OFFSET('5  Control Accounts'!$FY$33,Q46,0),"##0"))</f>
        <v>0</v>
      </c>
      <c r="N46" s="2346"/>
      <c r="P46" s="537">
        <f ca="1">$O$2*OFFSET('5  Control Accounts'!$CP$33,Q46,0)</f>
        <v>0</v>
      </c>
      <c r="Q46" s="537">
        <v>40</v>
      </c>
      <c r="R46" s="1411">
        <f ca="1">IF(P46=0,0,OFFSET('5  Control Accounts'!$FD$33,Q46,0))</f>
        <v>0</v>
      </c>
      <c r="S46" s="1411">
        <f ca="1">IF(P46=0,0,OFFSET('5  Control Accounts'!$FE$33,Q46,0))</f>
        <v>0</v>
      </c>
      <c r="T46" s="1930">
        <f t="shared" ca="1" si="5"/>
        <v>0</v>
      </c>
      <c r="U46" s="1930">
        <f t="shared" ca="1" si="6"/>
        <v>0</v>
      </c>
    </row>
    <row r="47" spans="1:21" s="750" customFormat="1" ht="15.9" customHeight="1" x14ac:dyDescent="0.3">
      <c r="A47" s="961" t="str">
        <f ca="1">IF(P47=0,"0",TEXT(OFFSET('5  Control Accounts'!$BF$33,Q47,0)&amp;"."&amp;OFFSET('5  Control Accounts'!$BH$33,Q47,0),"General"))</f>
        <v>0</v>
      </c>
      <c r="B47" s="961" t="str">
        <f t="shared" ca="1" si="10"/>
        <v>0</v>
      </c>
      <c r="C47" s="961" t="str">
        <f t="shared" ca="1" si="11"/>
        <v>0</v>
      </c>
      <c r="D47" s="961" t="str">
        <f ca="1">IF($P47=0,"0",TEXT(OFFSET('5  Control Accounts'!$DW$33,Q47,0),"General"))</f>
        <v>0</v>
      </c>
      <c r="E47" s="1327" t="str">
        <f ca="1">IF($P47=0,"0",TEXT(OFFSET('5  Control Accounts'!$Z$33,Q47,0),"##0.0"))</f>
        <v>0</v>
      </c>
      <c r="F47" s="961" t="str">
        <f ca="1">IF(P47=0,"0",TEXT(OFFSET('5  Control Accounts'!$FG$33,Q47,0),"##0.0"))</f>
        <v>0</v>
      </c>
      <c r="G47" s="961" t="str">
        <f ca="1">IF(P47=0,"0",TEXT(OFFSET('5  Control Accounts'!$FH$33,$Q47,0),"##0.0"))</f>
        <v>0</v>
      </c>
      <c r="H47" s="961" t="str">
        <f ca="1">IF(P47=0,"0",TEXT(OFFSET('5  Control Accounts'!$FP$33,$Q47,0),"##0.00"))</f>
        <v>0</v>
      </c>
      <c r="I47" s="961" t="str">
        <f ca="1">IF(P47=0,"0",TEXT(OFFSET('5  Control Accounts'!$FQ$33,$Q47,0),"0.0000"))</f>
        <v>0</v>
      </c>
      <c r="J47" s="961" t="str">
        <f ca="1">IF(P47=0,"0",TEXT(OFFSET('5  Control Accounts'!$FR$33,$Q47,0),"##0.00"))</f>
        <v>0</v>
      </c>
      <c r="K47" s="961" t="str">
        <f ca="1">IF(P47=0,"0",TEXT(OFFSET('5  Control Accounts'!$FX$33,Q47,0),"##0"))</f>
        <v>0</v>
      </c>
      <c r="L47" s="961" t="str">
        <f ca="1">IF(P47=0,"0",TEXT(OFFSET('5  Control Accounts'!$FU$33,Q47,0),"0.0000"))</f>
        <v>0</v>
      </c>
      <c r="M47" s="961" t="str">
        <f ca="1">IF(P47=0,"0",TEXT(OFFSET('5  Control Accounts'!$FY$33,Q47,0),"##0"))</f>
        <v>0</v>
      </c>
      <c r="N47" s="2346"/>
      <c r="P47" s="537">
        <f ca="1">$O$2*OFFSET('5  Control Accounts'!$CP$33,Q47,0)</f>
        <v>0</v>
      </c>
      <c r="Q47" s="537">
        <v>41</v>
      </c>
      <c r="R47" s="1411">
        <f ca="1">IF(P47=0,0,OFFSET('5  Control Accounts'!$FD$33,Q47,0))</f>
        <v>0</v>
      </c>
      <c r="S47" s="1411">
        <f ca="1">IF(P47=0,0,OFFSET('5  Control Accounts'!$FE$33,Q47,0))</f>
        <v>0</v>
      </c>
      <c r="T47" s="1930">
        <f t="shared" ca="1" si="5"/>
        <v>0</v>
      </c>
      <c r="U47" s="1930">
        <f t="shared" ca="1" si="6"/>
        <v>0</v>
      </c>
    </row>
    <row r="48" spans="1:21" s="750" customFormat="1" ht="15.9" customHeight="1" x14ac:dyDescent="0.3">
      <c r="A48" s="961" t="str">
        <f ca="1">IF(P48=0,"0",TEXT(OFFSET('5  Control Accounts'!$BF$33,Q48,0)&amp;"."&amp;OFFSET('5  Control Accounts'!$BH$33,Q48,0),"General"))</f>
        <v>0</v>
      </c>
      <c r="B48" s="961" t="str">
        <f t="shared" ca="1" si="10"/>
        <v>0</v>
      </c>
      <c r="C48" s="961" t="str">
        <f t="shared" ca="1" si="11"/>
        <v>0</v>
      </c>
      <c r="D48" s="961" t="str">
        <f ca="1">IF($P48=0,"0",TEXT(OFFSET('5  Control Accounts'!$DW$33,Q48,0),"General"))</f>
        <v>0</v>
      </c>
      <c r="E48" s="1327" t="str">
        <f ca="1">IF($P48=0,"0",TEXT(OFFSET('5  Control Accounts'!$Z$33,Q48,0),"##0.0"))</f>
        <v>0</v>
      </c>
      <c r="F48" s="961" t="str">
        <f ca="1">IF(P48=0,"0",TEXT(OFFSET('5  Control Accounts'!$FG$33,Q48,0),"##0.0"))</f>
        <v>0</v>
      </c>
      <c r="G48" s="961" t="str">
        <f ca="1">IF(P48=0,"0",TEXT(OFFSET('5  Control Accounts'!$FH$33,$Q48,0),"##0.0"))</f>
        <v>0</v>
      </c>
      <c r="H48" s="961" t="str">
        <f ca="1">IF(P48=0,"0",TEXT(OFFSET('5  Control Accounts'!$FP$33,$Q48,0),"##0.00"))</f>
        <v>0</v>
      </c>
      <c r="I48" s="961" t="str">
        <f ca="1">IF(P48=0,"0",TEXT(OFFSET('5  Control Accounts'!$FQ$33,$Q48,0),"0.0000"))</f>
        <v>0</v>
      </c>
      <c r="J48" s="961" t="str">
        <f ca="1">IF(P48=0,"0",TEXT(OFFSET('5  Control Accounts'!$FR$33,$Q48,0),"##0.00"))</f>
        <v>0</v>
      </c>
      <c r="K48" s="961" t="str">
        <f ca="1">IF(P48=0,"0",TEXT(OFFSET('5  Control Accounts'!$FX$33,Q48,0),"##0"))</f>
        <v>0</v>
      </c>
      <c r="L48" s="961" t="str">
        <f ca="1">IF(P48=0,"0",TEXT(OFFSET('5  Control Accounts'!$FU$33,Q48,0),"0.0000"))</f>
        <v>0</v>
      </c>
      <c r="M48" s="961" t="str">
        <f ca="1">IF(P48=0,"0",TEXT(OFFSET('5  Control Accounts'!$FY$33,Q48,0),"##0"))</f>
        <v>0</v>
      </c>
      <c r="N48" s="2346"/>
      <c r="P48" s="537">
        <f ca="1">$O$2*OFFSET('5  Control Accounts'!$CP$33,Q48,0)</f>
        <v>0</v>
      </c>
      <c r="Q48" s="537">
        <v>42</v>
      </c>
      <c r="R48" s="1411">
        <f ca="1">IF(P48=0,0,OFFSET('5  Control Accounts'!$FD$33,Q48,0))</f>
        <v>0</v>
      </c>
      <c r="S48" s="1411">
        <f ca="1">IF(P48=0,0,OFFSET('5  Control Accounts'!$FE$33,Q48,0))</f>
        <v>0</v>
      </c>
      <c r="T48" s="1930">
        <f t="shared" ca="1" si="5"/>
        <v>0</v>
      </c>
      <c r="U48" s="1930">
        <f t="shared" ca="1" si="6"/>
        <v>0</v>
      </c>
    </row>
    <row r="49" spans="1:21" s="750" customFormat="1" ht="15.9" customHeight="1" x14ac:dyDescent="0.3">
      <c r="A49" s="961" t="str">
        <f ca="1">IF(P49=0,"0",TEXT(OFFSET('5  Control Accounts'!$BF$33,Q49,0)&amp;"."&amp;OFFSET('5  Control Accounts'!$BH$33,Q49,0),"General"))</f>
        <v>0</v>
      </c>
      <c r="B49" s="961" t="str">
        <f t="shared" ca="1" si="10"/>
        <v>0</v>
      </c>
      <c r="C49" s="961" t="str">
        <f t="shared" ca="1" si="11"/>
        <v>0</v>
      </c>
      <c r="D49" s="961" t="str">
        <f ca="1">IF($P49=0,"0",TEXT(OFFSET('5  Control Accounts'!$DW$33,Q49,0),"General"))</f>
        <v>0</v>
      </c>
      <c r="E49" s="1327" t="str">
        <f ca="1">IF($P49=0,"0",TEXT(OFFSET('5  Control Accounts'!$Z$33,Q49,0),"##0.0"))</f>
        <v>0</v>
      </c>
      <c r="F49" s="961" t="str">
        <f ca="1">IF(P49=0,"0",TEXT(OFFSET('5  Control Accounts'!$FG$33,Q49,0),"##0.0"))</f>
        <v>0</v>
      </c>
      <c r="G49" s="961" t="str">
        <f ca="1">IF(P49=0,"0",TEXT(OFFSET('5  Control Accounts'!$FH$33,$Q49,0),"##0.0"))</f>
        <v>0</v>
      </c>
      <c r="H49" s="961" t="str">
        <f ca="1">IF(P49=0,"0",TEXT(OFFSET('5  Control Accounts'!$FP$33,$Q49,0),"##0.00"))</f>
        <v>0</v>
      </c>
      <c r="I49" s="961" t="str">
        <f ca="1">IF(P49=0,"0",TEXT(OFFSET('5  Control Accounts'!$FQ$33,$Q49,0),"0.0000"))</f>
        <v>0</v>
      </c>
      <c r="J49" s="961" t="str">
        <f ca="1">IF(P49=0,"0",TEXT(OFFSET('5  Control Accounts'!$FR$33,$Q49,0),"##0.00"))</f>
        <v>0</v>
      </c>
      <c r="K49" s="961" t="str">
        <f ca="1">IF(P49=0,"0",TEXT(OFFSET('5  Control Accounts'!$FX$33,Q49,0),"##0"))</f>
        <v>0</v>
      </c>
      <c r="L49" s="961" t="str">
        <f ca="1">IF(P49=0,"0",TEXT(OFFSET('5  Control Accounts'!$FU$33,Q49,0),"0.0000"))</f>
        <v>0</v>
      </c>
      <c r="M49" s="961" t="str">
        <f ca="1">IF(P49=0,"0",TEXT(OFFSET('5  Control Accounts'!$FY$33,Q49,0),"##0"))</f>
        <v>0</v>
      </c>
      <c r="N49" s="2346"/>
      <c r="P49" s="537">
        <f ca="1">$O$2*OFFSET('5  Control Accounts'!$CP$33,Q49,0)</f>
        <v>0</v>
      </c>
      <c r="Q49" s="537">
        <v>43</v>
      </c>
      <c r="R49" s="1411">
        <f ca="1">IF(P49=0,0,OFFSET('5  Control Accounts'!$FD$33,Q49,0))</f>
        <v>0</v>
      </c>
      <c r="S49" s="1411">
        <f ca="1">IF(P49=0,0,OFFSET('5  Control Accounts'!$FE$33,Q49,0))</f>
        <v>0</v>
      </c>
      <c r="T49" s="1930">
        <f t="shared" ca="1" si="5"/>
        <v>0</v>
      </c>
      <c r="U49" s="1930">
        <f t="shared" ca="1" si="6"/>
        <v>0</v>
      </c>
    </row>
    <row r="50" spans="1:21" s="750" customFormat="1" ht="15.9" customHeight="1" x14ac:dyDescent="0.3">
      <c r="A50" s="961" t="str">
        <f ca="1">IF(P50=0,"0",TEXT(OFFSET('5  Control Accounts'!$BF$33,Q50,0)&amp;"."&amp;OFFSET('5  Control Accounts'!$BH$33,Q50,0),"General"))</f>
        <v>0</v>
      </c>
      <c r="B50" s="961" t="str">
        <f t="shared" ca="1" si="10"/>
        <v>0</v>
      </c>
      <c r="C50" s="961" t="str">
        <f t="shared" ca="1" si="11"/>
        <v>0</v>
      </c>
      <c r="D50" s="961" t="str">
        <f ca="1">IF($P50=0,"0",TEXT(OFFSET('5  Control Accounts'!$DW$33,Q50,0),"General"))</f>
        <v>0</v>
      </c>
      <c r="E50" s="1327" t="str">
        <f ca="1">IF($P50=0,"0",TEXT(OFFSET('5  Control Accounts'!$Z$33,Q50,0),"##0.0"))</f>
        <v>0</v>
      </c>
      <c r="F50" s="961" t="str">
        <f ca="1">IF(P50=0,"0",TEXT(OFFSET('5  Control Accounts'!$FG$33,Q50,0),"##0.0"))</f>
        <v>0</v>
      </c>
      <c r="G50" s="961" t="str">
        <f ca="1">IF(P50=0,"0",TEXT(OFFSET('5  Control Accounts'!$FH$33,$Q50,0),"##0.0"))</f>
        <v>0</v>
      </c>
      <c r="H50" s="961" t="str">
        <f ca="1">IF(P50=0,"0",TEXT(OFFSET('5  Control Accounts'!$FP$33,$Q50,0),"##0.00"))</f>
        <v>0</v>
      </c>
      <c r="I50" s="961" t="str">
        <f ca="1">IF(P50=0,"0",TEXT(OFFSET('5  Control Accounts'!$FQ$33,$Q50,0),"0.0000"))</f>
        <v>0</v>
      </c>
      <c r="J50" s="961" t="str">
        <f ca="1">IF(P50=0,"0",TEXT(OFFSET('5  Control Accounts'!$FR$33,$Q50,0),"##0.00"))</f>
        <v>0</v>
      </c>
      <c r="K50" s="961" t="str">
        <f ca="1">IF(P50=0,"0",TEXT(OFFSET('5  Control Accounts'!$FX$33,Q50,0),"##0"))</f>
        <v>0</v>
      </c>
      <c r="L50" s="961" t="str">
        <f ca="1">IF(P50=0,"0",TEXT(OFFSET('5  Control Accounts'!$FU$33,Q50,0),"0.0000"))</f>
        <v>0</v>
      </c>
      <c r="M50" s="961" t="str">
        <f ca="1">IF(P50=0,"0",TEXT(OFFSET('5  Control Accounts'!$FY$33,Q50,0),"##0"))</f>
        <v>0</v>
      </c>
      <c r="N50" s="2346"/>
      <c r="P50" s="537">
        <f ca="1">$O$2*OFFSET('5  Control Accounts'!$CP$33,Q50,0)</f>
        <v>0</v>
      </c>
      <c r="Q50" s="537">
        <v>44</v>
      </c>
      <c r="R50" s="1411">
        <f ca="1">IF(P50=0,0,OFFSET('5  Control Accounts'!$FD$33,Q50,0))</f>
        <v>0</v>
      </c>
      <c r="S50" s="1411">
        <f ca="1">IF(P50=0,0,OFFSET('5  Control Accounts'!$FE$33,Q50,0))</f>
        <v>0</v>
      </c>
      <c r="T50" s="1930">
        <f t="shared" ca="1" si="5"/>
        <v>0</v>
      </c>
      <c r="U50" s="1930">
        <f t="shared" ca="1" si="6"/>
        <v>0</v>
      </c>
    </row>
    <row r="51" spans="1:21" s="750" customFormat="1" ht="15.9" customHeight="1" x14ac:dyDescent="0.3">
      <c r="A51" s="961" t="str">
        <f ca="1">IF(P51=0,"0",TEXT(OFFSET('5  Control Accounts'!$BF$33,Q51,0)&amp;"."&amp;OFFSET('5  Control Accounts'!$BH$33,Q51,0),"General"))</f>
        <v>0</v>
      </c>
      <c r="B51" s="961" t="str">
        <f t="shared" ca="1" si="10"/>
        <v>0</v>
      </c>
      <c r="C51" s="961" t="str">
        <f t="shared" ca="1" si="11"/>
        <v>0</v>
      </c>
      <c r="D51" s="961" t="str">
        <f ca="1">IF($P51=0,"0",TEXT(OFFSET('5  Control Accounts'!$DW$33,Q51,0),"General"))</f>
        <v>0</v>
      </c>
      <c r="E51" s="1327" t="str">
        <f ca="1">IF($P51=0,"0",TEXT(OFFSET('5  Control Accounts'!$Z$33,Q51,0),"##0.0"))</f>
        <v>0</v>
      </c>
      <c r="F51" s="961" t="str">
        <f ca="1">IF(P51=0,"0",TEXT(OFFSET('5  Control Accounts'!$FG$33,Q51,0),"##0.0"))</f>
        <v>0</v>
      </c>
      <c r="G51" s="961" t="str">
        <f ca="1">IF(P51=0,"0",TEXT(OFFSET('5  Control Accounts'!$FH$33,$Q51,0),"##0.0"))</f>
        <v>0</v>
      </c>
      <c r="H51" s="961" t="str">
        <f ca="1">IF(P51=0,"0",TEXT(OFFSET('5  Control Accounts'!$FP$33,$Q51,0),"##0.00"))</f>
        <v>0</v>
      </c>
      <c r="I51" s="961" t="str">
        <f ca="1">IF(P51=0,"0",TEXT(OFFSET('5  Control Accounts'!$FQ$33,$Q51,0),"0.0000"))</f>
        <v>0</v>
      </c>
      <c r="J51" s="961" t="str">
        <f ca="1">IF(P51=0,"0",TEXT(OFFSET('5  Control Accounts'!$FR$33,$Q51,0),"##0.00"))</f>
        <v>0</v>
      </c>
      <c r="K51" s="961" t="str">
        <f ca="1">IF(P51=0,"0",TEXT(OFFSET('5  Control Accounts'!$FX$33,Q51,0),"##0"))</f>
        <v>0</v>
      </c>
      <c r="L51" s="961" t="str">
        <f ca="1">IF(P51=0,"0",TEXT(OFFSET('5  Control Accounts'!$FU$33,Q51,0),"0.0000"))</f>
        <v>0</v>
      </c>
      <c r="M51" s="961" t="str">
        <f ca="1">IF(P51=0,"0",TEXT(OFFSET('5  Control Accounts'!$FY$33,Q51,0),"##0"))</f>
        <v>0</v>
      </c>
      <c r="N51" s="2346"/>
      <c r="P51" s="537">
        <f ca="1">$O$2*OFFSET('5  Control Accounts'!$CP$33,Q51,0)</f>
        <v>0</v>
      </c>
      <c r="Q51" s="537">
        <v>45</v>
      </c>
      <c r="R51" s="1411">
        <f ca="1">IF(P51=0,0,OFFSET('5  Control Accounts'!$FD$33,Q51,0))</f>
        <v>0</v>
      </c>
      <c r="S51" s="1411">
        <f ca="1">IF(P51=0,0,OFFSET('5  Control Accounts'!$FE$33,Q51,0))</f>
        <v>0</v>
      </c>
      <c r="T51" s="1930">
        <f t="shared" ca="1" si="5"/>
        <v>0</v>
      </c>
      <c r="U51" s="1930">
        <f t="shared" ca="1" si="6"/>
        <v>0</v>
      </c>
    </row>
    <row r="52" spans="1:21" s="750" customFormat="1" ht="15.9" customHeight="1" x14ac:dyDescent="0.3">
      <c r="A52" s="961" t="str">
        <f ca="1">IF(P52=0,"0",TEXT(OFFSET('5  Control Accounts'!$BF$33,Q52,0)&amp;"."&amp;OFFSET('5  Control Accounts'!$BH$33,Q52,0),"General"))</f>
        <v>0</v>
      </c>
      <c r="B52" s="961" t="str">
        <f t="shared" ca="1" si="10"/>
        <v>0</v>
      </c>
      <c r="C52" s="961" t="str">
        <f t="shared" ca="1" si="11"/>
        <v>0</v>
      </c>
      <c r="D52" s="961" t="str">
        <f ca="1">IF($P52=0,"0",TEXT(OFFSET('5  Control Accounts'!$DW$33,Q52,0),"General"))</f>
        <v>0</v>
      </c>
      <c r="E52" s="1327" t="str">
        <f ca="1">IF($P52=0,"0",TEXT(OFFSET('5  Control Accounts'!$Z$33,Q52,0),"##0.0"))</f>
        <v>0</v>
      </c>
      <c r="F52" s="961" t="str">
        <f ca="1">IF(P52=0,"0",TEXT(OFFSET('5  Control Accounts'!$FG$33,Q52,0),"##0.0"))</f>
        <v>0</v>
      </c>
      <c r="G52" s="961" t="str">
        <f ca="1">IF(P52=0,"0",TEXT(OFFSET('5  Control Accounts'!$FH$33,$Q52,0),"##0.0"))</f>
        <v>0</v>
      </c>
      <c r="H52" s="961" t="str">
        <f ca="1">IF(P52=0,"0",TEXT(OFFSET('5  Control Accounts'!$FP$33,$Q52,0),"##0.00"))</f>
        <v>0</v>
      </c>
      <c r="I52" s="961" t="str">
        <f ca="1">IF(P52=0,"0",TEXT(OFFSET('5  Control Accounts'!$FQ$33,$Q52,0),"0.0000"))</f>
        <v>0</v>
      </c>
      <c r="J52" s="961" t="str">
        <f ca="1">IF(P52=0,"0",TEXT(OFFSET('5  Control Accounts'!$FR$33,$Q52,0),"##0.00"))</f>
        <v>0</v>
      </c>
      <c r="K52" s="961" t="str">
        <f ca="1">IF(P52=0,"0",TEXT(OFFSET('5  Control Accounts'!$FX$33,Q52,0),"##0"))</f>
        <v>0</v>
      </c>
      <c r="L52" s="961" t="str">
        <f ca="1">IF(P52=0,"0",TEXT(OFFSET('5  Control Accounts'!$FU$33,Q52,0),"0.0000"))</f>
        <v>0</v>
      </c>
      <c r="M52" s="961" t="str">
        <f ca="1">IF(P52=0,"0",TEXT(OFFSET('5  Control Accounts'!$FY$33,Q52,0),"##0"))</f>
        <v>0</v>
      </c>
      <c r="N52" s="2346"/>
      <c r="P52" s="537">
        <f ca="1">$O$2*OFFSET('5  Control Accounts'!$CP$33,Q52,0)</f>
        <v>0</v>
      </c>
      <c r="Q52" s="537">
        <v>46</v>
      </c>
      <c r="R52" s="1411">
        <f ca="1">IF(P52=0,0,OFFSET('5  Control Accounts'!$FD$33,Q52,0))</f>
        <v>0</v>
      </c>
      <c r="S52" s="1411">
        <f ca="1">IF(P52=0,0,OFFSET('5  Control Accounts'!$FE$33,Q52,0))</f>
        <v>0</v>
      </c>
      <c r="T52" s="1930">
        <f t="shared" ca="1" si="5"/>
        <v>0</v>
      </c>
      <c r="U52" s="1930">
        <f t="shared" ca="1" si="6"/>
        <v>0</v>
      </c>
    </row>
    <row r="53" spans="1:21" s="750" customFormat="1" ht="15.9" customHeight="1" x14ac:dyDescent="0.3">
      <c r="A53" s="961" t="str">
        <f ca="1">IF(P53=0,"0",TEXT(OFFSET('5  Control Accounts'!$BF$33,Q53,0)&amp;"."&amp;OFFSET('5  Control Accounts'!$BH$33,Q53,0),"General"))</f>
        <v>0</v>
      </c>
      <c r="B53" s="961" t="str">
        <f t="shared" ca="1" si="10"/>
        <v>0</v>
      </c>
      <c r="C53" s="961" t="str">
        <f t="shared" ca="1" si="11"/>
        <v>0</v>
      </c>
      <c r="D53" s="961" t="str">
        <f ca="1">IF($P53=0,"0",TEXT(OFFSET('5  Control Accounts'!$DW$33,Q53,0),"General"))</f>
        <v>0</v>
      </c>
      <c r="E53" s="1327" t="str">
        <f ca="1">IF($P53=0,"0",TEXT(OFFSET('5  Control Accounts'!$Z$33,Q53,0),"##0.0"))</f>
        <v>0</v>
      </c>
      <c r="F53" s="961" t="str">
        <f ca="1">IF(P53=0,"0",TEXT(OFFSET('5  Control Accounts'!$FG$33,Q53,0),"##0.0"))</f>
        <v>0</v>
      </c>
      <c r="G53" s="961" t="str">
        <f ca="1">IF(P53=0,"0",TEXT(OFFSET('5  Control Accounts'!$FH$33,$Q53,0),"##0.0"))</f>
        <v>0</v>
      </c>
      <c r="H53" s="961" t="str">
        <f ca="1">IF(P53=0,"0",TEXT(OFFSET('5  Control Accounts'!$FP$33,$Q53,0),"##0.00"))</f>
        <v>0</v>
      </c>
      <c r="I53" s="961" t="str">
        <f ca="1">IF(P53=0,"0",TEXT(OFFSET('5  Control Accounts'!$FQ$33,$Q53,0),"0.0000"))</f>
        <v>0</v>
      </c>
      <c r="J53" s="961" t="str">
        <f ca="1">IF(P53=0,"0",TEXT(OFFSET('5  Control Accounts'!$FR$33,$Q53,0),"##0.00"))</f>
        <v>0</v>
      </c>
      <c r="K53" s="961" t="str">
        <f ca="1">IF(P53=0,"0",TEXT(OFFSET('5  Control Accounts'!$FX$33,Q53,0),"##0"))</f>
        <v>0</v>
      </c>
      <c r="L53" s="961" t="str">
        <f ca="1">IF(P53=0,"0",TEXT(OFFSET('5  Control Accounts'!$FU$33,Q53,0),"0.0000"))</f>
        <v>0</v>
      </c>
      <c r="M53" s="961" t="str">
        <f ca="1">IF(P53=0,"0",TEXT(OFFSET('5  Control Accounts'!$FY$33,Q53,0),"##0"))</f>
        <v>0</v>
      </c>
      <c r="N53" s="2346"/>
      <c r="P53" s="537">
        <f ca="1">$O$2*OFFSET('5  Control Accounts'!$CP$33,Q53,0)</f>
        <v>0</v>
      </c>
      <c r="Q53" s="537">
        <v>47</v>
      </c>
      <c r="R53" s="1411">
        <f ca="1">IF(P53=0,0,OFFSET('5  Control Accounts'!$FD$33,Q53,0))</f>
        <v>0</v>
      </c>
      <c r="S53" s="1411">
        <f ca="1">IF(P53=0,0,OFFSET('5  Control Accounts'!$FE$33,Q53,0))</f>
        <v>0</v>
      </c>
      <c r="T53" s="1930">
        <f t="shared" ca="1" si="5"/>
        <v>0</v>
      </c>
      <c r="U53" s="1930">
        <f t="shared" ca="1" si="6"/>
        <v>0</v>
      </c>
    </row>
    <row r="54" spans="1:21" s="750" customFormat="1" ht="15.9" customHeight="1" x14ac:dyDescent="0.3">
      <c r="A54" s="961" t="str">
        <f ca="1">IF(P54=0,"0",TEXT(OFFSET('5  Control Accounts'!$BF$33,Q54,0)&amp;"."&amp;OFFSET('5  Control Accounts'!$BH$33,Q54,0),"General"))</f>
        <v>0</v>
      </c>
      <c r="B54" s="961" t="str">
        <f t="shared" ca="1" si="10"/>
        <v>0</v>
      </c>
      <c r="C54" s="961" t="str">
        <f t="shared" ca="1" si="11"/>
        <v>0</v>
      </c>
      <c r="D54" s="961" t="str">
        <f ca="1">IF($P54=0,"0",TEXT(OFFSET('5  Control Accounts'!$DW$33,Q54,0),"General"))</f>
        <v>0</v>
      </c>
      <c r="E54" s="1327" t="str">
        <f ca="1">IF($P54=0,"0",TEXT(OFFSET('5  Control Accounts'!$Z$33,Q54,0),"##0.0"))</f>
        <v>0</v>
      </c>
      <c r="F54" s="961" t="str">
        <f ca="1">IF(P54=0,"0",TEXT(OFFSET('5  Control Accounts'!$FG$33,Q54,0),"##0.0"))</f>
        <v>0</v>
      </c>
      <c r="G54" s="961" t="str">
        <f ca="1">IF(P54=0,"0",TEXT(OFFSET('5  Control Accounts'!$FH$33,$Q54,0),"##0.0"))</f>
        <v>0</v>
      </c>
      <c r="H54" s="961" t="str">
        <f ca="1">IF(P54=0,"0",TEXT(OFFSET('5  Control Accounts'!$FP$33,$Q54,0),"##0.00"))</f>
        <v>0</v>
      </c>
      <c r="I54" s="961" t="str">
        <f ca="1">IF(P54=0,"0",TEXT(OFFSET('5  Control Accounts'!$FQ$33,$Q54,0),"0.0000"))</f>
        <v>0</v>
      </c>
      <c r="J54" s="961" t="str">
        <f ca="1">IF(P54=0,"0",TEXT(OFFSET('5  Control Accounts'!$FR$33,$Q54,0),"##0.00"))</f>
        <v>0</v>
      </c>
      <c r="K54" s="961" t="str">
        <f ca="1">IF(P54=0,"0",TEXT(OFFSET('5  Control Accounts'!$FX$33,Q54,0),"##0"))</f>
        <v>0</v>
      </c>
      <c r="L54" s="961" t="str">
        <f ca="1">IF(P54=0,"0",TEXT(OFFSET('5  Control Accounts'!$FU$33,Q54,0),"0.0000"))</f>
        <v>0</v>
      </c>
      <c r="M54" s="961" t="str">
        <f ca="1">IF(P54=0,"0",TEXT(OFFSET('5  Control Accounts'!$FY$33,Q54,0),"##0"))</f>
        <v>0</v>
      </c>
      <c r="N54" s="2346"/>
      <c r="P54" s="537">
        <f ca="1">$O$2*OFFSET('5  Control Accounts'!$CP$33,Q54,0)</f>
        <v>0</v>
      </c>
      <c r="Q54" s="537">
        <v>48</v>
      </c>
      <c r="R54" s="1411">
        <f ca="1">IF(P54=0,0,OFFSET('5  Control Accounts'!$FD$33,Q54,0))</f>
        <v>0</v>
      </c>
      <c r="S54" s="1411">
        <f ca="1">IF(P54=0,0,OFFSET('5  Control Accounts'!$FE$33,Q54,0))</f>
        <v>0</v>
      </c>
      <c r="T54" s="1930">
        <f t="shared" ca="1" si="5"/>
        <v>0</v>
      </c>
      <c r="U54" s="1930">
        <f t="shared" ca="1" si="6"/>
        <v>0</v>
      </c>
    </row>
    <row r="55" spans="1:21" s="750" customFormat="1" ht="15.9" customHeight="1" x14ac:dyDescent="0.3">
      <c r="A55" s="961" t="str">
        <f ca="1">IF(P55=0,"0",TEXT(OFFSET('5  Control Accounts'!$BF$33,Q55,0)&amp;"."&amp;OFFSET('5  Control Accounts'!$BH$33,Q55,0),"General"))</f>
        <v>0</v>
      </c>
      <c r="B55" s="961" t="str">
        <f t="shared" ca="1" si="10"/>
        <v>0</v>
      </c>
      <c r="C55" s="961" t="str">
        <f t="shared" ca="1" si="11"/>
        <v>0</v>
      </c>
      <c r="D55" s="961" t="str">
        <f ca="1">IF($P55=0,"0",TEXT(OFFSET('5  Control Accounts'!$DW$33,Q55,0),"General"))</f>
        <v>0</v>
      </c>
      <c r="E55" s="1327" t="str">
        <f ca="1">IF($P55=0,"0",TEXT(OFFSET('5  Control Accounts'!$Z$33,Q55,0),"##0.0"))</f>
        <v>0</v>
      </c>
      <c r="F55" s="961" t="str">
        <f ca="1">IF(P55=0,"0",TEXT(OFFSET('5  Control Accounts'!$FG$33,Q55,0),"##0.0"))</f>
        <v>0</v>
      </c>
      <c r="G55" s="961" t="str">
        <f ca="1">IF(P55=0,"0",TEXT(OFFSET('5  Control Accounts'!$FH$33,$Q55,0),"##0.0"))</f>
        <v>0</v>
      </c>
      <c r="H55" s="961" t="str">
        <f ca="1">IF(P55=0,"0",TEXT(OFFSET('5  Control Accounts'!$FP$33,$Q55,0),"##0.00"))</f>
        <v>0</v>
      </c>
      <c r="I55" s="961" t="str">
        <f ca="1">IF(P55=0,"0",TEXT(OFFSET('5  Control Accounts'!$FQ$33,$Q55,0),"0.0000"))</f>
        <v>0</v>
      </c>
      <c r="J55" s="961" t="str">
        <f ca="1">IF(P55=0,"0",TEXT(OFFSET('5  Control Accounts'!$FR$33,$Q55,0),"##0.00"))</f>
        <v>0</v>
      </c>
      <c r="K55" s="961" t="str">
        <f ca="1">IF(P55=0,"0",TEXT(OFFSET('5  Control Accounts'!$FX$33,Q55,0),"##0"))</f>
        <v>0</v>
      </c>
      <c r="L55" s="961" t="str">
        <f ca="1">IF(P55=0,"0",TEXT(OFFSET('5  Control Accounts'!$FU$33,Q55,0),"0.0000"))</f>
        <v>0</v>
      </c>
      <c r="M55" s="961" t="str">
        <f ca="1">IF(P55=0,"0",TEXT(OFFSET('5  Control Accounts'!$FY$33,Q55,0),"##0"))</f>
        <v>0</v>
      </c>
      <c r="N55" s="2346"/>
      <c r="P55" s="537">
        <f ca="1">$O$2*OFFSET('5  Control Accounts'!$CP$33,Q55,0)</f>
        <v>0</v>
      </c>
      <c r="Q55" s="537">
        <v>49</v>
      </c>
      <c r="R55" s="1411">
        <f ca="1">IF(P55=0,0,OFFSET('5  Control Accounts'!$FD$33,Q55,0))</f>
        <v>0</v>
      </c>
      <c r="S55" s="1411">
        <f ca="1">IF(P55=0,0,OFFSET('5  Control Accounts'!$FE$33,Q55,0))</f>
        <v>0</v>
      </c>
      <c r="T55" s="1930">
        <f t="shared" ca="1" si="5"/>
        <v>0</v>
      </c>
      <c r="U55" s="1930">
        <f t="shared" ca="1" si="6"/>
        <v>0</v>
      </c>
    </row>
    <row r="56" spans="1:21" s="750" customFormat="1" ht="15.9" customHeight="1" x14ac:dyDescent="0.3">
      <c r="A56" s="961" t="str">
        <f ca="1">IF(P56=0,"0",TEXT(OFFSET('5  Control Accounts'!$BF$33,Q56,0)&amp;"."&amp;OFFSET('5  Control Accounts'!$BH$33,Q56,0),"General"))</f>
        <v>0</v>
      </c>
      <c r="B56" s="961" t="str">
        <f t="shared" ca="1" si="10"/>
        <v>0</v>
      </c>
      <c r="C56" s="961" t="str">
        <f t="shared" ca="1" si="11"/>
        <v>0</v>
      </c>
      <c r="D56" s="961" t="str">
        <f ca="1">IF($P56=0,"0",TEXT(OFFSET('5  Control Accounts'!$DW$33,Q56,0),"General"))</f>
        <v>0</v>
      </c>
      <c r="E56" s="1327" t="str">
        <f ca="1">IF($P56=0,"0",TEXT(OFFSET('5  Control Accounts'!$Z$33,Q56,0),"##0.0"))</f>
        <v>0</v>
      </c>
      <c r="F56" s="961" t="str">
        <f ca="1">IF(P56=0,"0",TEXT(OFFSET('5  Control Accounts'!$FG$33,Q56,0),"##0.0"))</f>
        <v>0</v>
      </c>
      <c r="G56" s="961" t="str">
        <f ca="1">IF(P56=0,"0",TEXT(OFFSET('5  Control Accounts'!$FH$33,$Q56,0),"##0.0"))</f>
        <v>0</v>
      </c>
      <c r="H56" s="961" t="str">
        <f ca="1">IF(P56=0,"0",TEXT(OFFSET('5  Control Accounts'!$FP$33,$Q56,0),"##0.00"))</f>
        <v>0</v>
      </c>
      <c r="I56" s="961" t="str">
        <f ca="1">IF(P56=0,"0",TEXT(OFFSET('5  Control Accounts'!$FQ$33,$Q56,0),"0.0000"))</f>
        <v>0</v>
      </c>
      <c r="J56" s="961" t="str">
        <f ca="1">IF(P56=0,"0",TEXT(OFFSET('5  Control Accounts'!$FR$33,$Q56,0),"##0.00"))</f>
        <v>0</v>
      </c>
      <c r="K56" s="961" t="str">
        <f ca="1">IF(P56=0,"0",TEXT(OFFSET('5  Control Accounts'!$FX$33,Q56,0),"##0"))</f>
        <v>0</v>
      </c>
      <c r="L56" s="961" t="str">
        <f ca="1">IF(P56=0,"0",TEXT(OFFSET('5  Control Accounts'!$FU$33,Q56,0),"0.0000"))</f>
        <v>0</v>
      </c>
      <c r="M56" s="961" t="str">
        <f ca="1">IF(P56=0,"0",TEXT(OFFSET('5  Control Accounts'!$FY$33,Q56,0),"##0"))</f>
        <v>0</v>
      </c>
      <c r="N56" s="2346"/>
      <c r="P56" s="537">
        <f ca="1">$O$2*OFFSET('5  Control Accounts'!$CP$33,Q56,0)</f>
        <v>0</v>
      </c>
      <c r="Q56" s="537">
        <v>50</v>
      </c>
      <c r="R56" s="1411">
        <f ca="1">IF(P56=0,0,OFFSET('5  Control Accounts'!$FD$33,Q56,0))</f>
        <v>0</v>
      </c>
      <c r="S56" s="1411">
        <f ca="1">IF(P56=0,0,OFFSET('5  Control Accounts'!$FE$33,Q56,0))</f>
        <v>0</v>
      </c>
      <c r="T56" s="1930">
        <f t="shared" ca="1" si="5"/>
        <v>0</v>
      </c>
      <c r="U56" s="1930">
        <f t="shared" ca="1" si="6"/>
        <v>0</v>
      </c>
    </row>
    <row r="57" spans="1:21" s="750" customFormat="1" ht="15.9" customHeight="1" x14ac:dyDescent="0.3">
      <c r="A57" s="961" t="str">
        <f ca="1">IF(P57=0,"0",TEXT(OFFSET('5  Control Accounts'!$BF$33,Q57,0)&amp;"."&amp;OFFSET('5  Control Accounts'!$BH$33,Q57,0),"General"))</f>
        <v>0</v>
      </c>
      <c r="B57" s="961" t="str">
        <f t="shared" ca="1" si="10"/>
        <v>0</v>
      </c>
      <c r="C57" s="961" t="str">
        <f t="shared" ca="1" si="11"/>
        <v>0</v>
      </c>
      <c r="D57" s="961" t="str">
        <f ca="1">IF($P57=0,"0",TEXT(OFFSET('5  Control Accounts'!$DW$33,Q57,0),"General"))</f>
        <v>0</v>
      </c>
      <c r="E57" s="1327" t="str">
        <f ca="1">IF($P57=0,"0",TEXT(OFFSET('5  Control Accounts'!$Z$33,Q57,0),"##0.0"))</f>
        <v>0</v>
      </c>
      <c r="F57" s="961" t="str">
        <f ca="1">IF(P57=0,"0",TEXT(OFFSET('5  Control Accounts'!$FG$33,Q57,0),"##0.0"))</f>
        <v>0</v>
      </c>
      <c r="G57" s="961" t="str">
        <f ca="1">IF(P57=0,"0",TEXT(OFFSET('5  Control Accounts'!$FH$33,$Q57,0),"##0.0"))</f>
        <v>0</v>
      </c>
      <c r="H57" s="961" t="str">
        <f ca="1">IF(P57=0,"0",TEXT(OFFSET('5  Control Accounts'!$FP$33,$Q57,0),"##0.00"))</f>
        <v>0</v>
      </c>
      <c r="I57" s="961" t="str">
        <f ca="1">IF(P57=0,"0",TEXT(OFFSET('5  Control Accounts'!$FQ$33,$Q57,0),"0.0000"))</f>
        <v>0</v>
      </c>
      <c r="J57" s="961" t="str">
        <f ca="1">IF(P57=0,"0",TEXT(OFFSET('5  Control Accounts'!$FR$33,$Q57,0),"##0.00"))</f>
        <v>0</v>
      </c>
      <c r="K57" s="961" t="str">
        <f ca="1">IF(P57=0,"0",TEXT(OFFSET('5  Control Accounts'!$FX$33,Q57,0),"##0"))</f>
        <v>0</v>
      </c>
      <c r="L57" s="961" t="str">
        <f ca="1">IF(P57=0,"0",TEXT(OFFSET('5  Control Accounts'!$FU$33,Q57,0),"0.0000"))</f>
        <v>0</v>
      </c>
      <c r="M57" s="961" t="str">
        <f ca="1">IF(P57=0,"0",TEXT(OFFSET('5  Control Accounts'!$FY$33,Q57,0),"##0"))</f>
        <v>0</v>
      </c>
      <c r="N57" s="2346"/>
      <c r="P57" s="537">
        <f ca="1">$O$2*OFFSET('5  Control Accounts'!$CP$33,Q57,0)</f>
        <v>0</v>
      </c>
      <c r="Q57" s="537">
        <v>51</v>
      </c>
      <c r="R57" s="1411">
        <f ca="1">IF(P57=0,0,OFFSET('5  Control Accounts'!$FD$33,Q57,0))</f>
        <v>0</v>
      </c>
      <c r="S57" s="1411">
        <f ca="1">IF(P57=0,0,OFFSET('5  Control Accounts'!$FE$33,Q57,0))</f>
        <v>0</v>
      </c>
      <c r="T57" s="1930">
        <f t="shared" ca="1" si="5"/>
        <v>0</v>
      </c>
      <c r="U57" s="1930">
        <f t="shared" ca="1" si="6"/>
        <v>0</v>
      </c>
    </row>
    <row r="58" spans="1:21" s="750" customFormat="1" ht="15.9" customHeight="1" x14ac:dyDescent="0.3">
      <c r="A58" s="961" t="str">
        <f ca="1">IF(P58=0,"0",TEXT(OFFSET('5  Control Accounts'!$BF$33,Q58,0)&amp;"."&amp;OFFSET('5  Control Accounts'!$BH$33,Q58,0),"General"))</f>
        <v>0</v>
      </c>
      <c r="B58" s="961" t="str">
        <f t="shared" ca="1" si="10"/>
        <v>0</v>
      </c>
      <c r="C58" s="961" t="str">
        <f t="shared" ca="1" si="11"/>
        <v>0</v>
      </c>
      <c r="D58" s="961" t="str">
        <f ca="1">IF($P58=0,"0",TEXT(OFFSET('5  Control Accounts'!$DW$33,Q58,0),"General"))</f>
        <v>0</v>
      </c>
      <c r="E58" s="1327" t="str">
        <f ca="1">IF($P58=0,"0",TEXT(OFFSET('5  Control Accounts'!$Z$33,Q58,0),"##0.0"))</f>
        <v>0</v>
      </c>
      <c r="F58" s="961" t="str">
        <f ca="1">IF(P58=0,"0",TEXT(OFFSET('5  Control Accounts'!$FG$33,Q58,0),"##0.0"))</f>
        <v>0</v>
      </c>
      <c r="G58" s="961" t="str">
        <f ca="1">IF(P58=0,"0",TEXT(OFFSET('5  Control Accounts'!$FH$33,$Q58,0),"##0.0"))</f>
        <v>0</v>
      </c>
      <c r="H58" s="961" t="str">
        <f ca="1">IF(P58=0,"0",TEXT(OFFSET('5  Control Accounts'!$FP$33,$Q58,0),"##0.00"))</f>
        <v>0</v>
      </c>
      <c r="I58" s="961" t="str">
        <f ca="1">IF(P58=0,"0",TEXT(OFFSET('5  Control Accounts'!$FQ$33,$Q58,0),"0.0000"))</f>
        <v>0</v>
      </c>
      <c r="J58" s="961" t="str">
        <f ca="1">IF(P58=0,"0",TEXT(OFFSET('5  Control Accounts'!$FR$33,$Q58,0),"##0.00"))</f>
        <v>0</v>
      </c>
      <c r="K58" s="961" t="str">
        <f ca="1">IF(P58=0,"0",TEXT(OFFSET('5  Control Accounts'!$FX$33,Q58,0),"##0"))</f>
        <v>0</v>
      </c>
      <c r="L58" s="961" t="str">
        <f ca="1">IF(P58=0,"0",TEXT(OFFSET('5  Control Accounts'!$FU$33,Q58,0),"0.0000"))</f>
        <v>0</v>
      </c>
      <c r="M58" s="961" t="str">
        <f ca="1">IF(P58=0,"0",TEXT(OFFSET('5  Control Accounts'!$FY$33,Q58,0),"##0"))</f>
        <v>0</v>
      </c>
      <c r="N58" s="2346"/>
      <c r="P58" s="537">
        <f ca="1">$O$2*OFFSET('5  Control Accounts'!$CP$33,Q58,0)</f>
        <v>0</v>
      </c>
      <c r="Q58" s="537">
        <v>52</v>
      </c>
      <c r="R58" s="1411">
        <f ca="1">IF(P58=0,0,OFFSET('5  Control Accounts'!$FD$33,Q58,0))</f>
        <v>0</v>
      </c>
      <c r="S58" s="1411">
        <f ca="1">IF(P58=0,0,OFFSET('5  Control Accounts'!$FE$33,Q58,0))</f>
        <v>0</v>
      </c>
      <c r="T58" s="1930">
        <f t="shared" ca="1" si="5"/>
        <v>0</v>
      </c>
      <c r="U58" s="1930">
        <f t="shared" ca="1" si="6"/>
        <v>0</v>
      </c>
    </row>
    <row r="59" spans="1:21" s="750" customFormat="1" ht="15.9" customHeight="1" x14ac:dyDescent="0.3">
      <c r="A59" s="961" t="str">
        <f ca="1">IF(P59=0,"0",TEXT(OFFSET('5  Control Accounts'!$BF$33,Q59,0)&amp;"."&amp;OFFSET('5  Control Accounts'!$BH$33,Q59,0),"General"))</f>
        <v>0</v>
      </c>
      <c r="B59" s="961" t="str">
        <f t="shared" ca="1" si="10"/>
        <v>0</v>
      </c>
      <c r="C59" s="961" t="str">
        <f t="shared" ca="1" si="11"/>
        <v>0</v>
      </c>
      <c r="D59" s="961" t="str">
        <f ca="1">IF($P59=0,"0",TEXT(OFFSET('5  Control Accounts'!$DW$33,Q59,0),"General"))</f>
        <v>0</v>
      </c>
      <c r="E59" s="1327" t="str">
        <f ca="1">IF($P59=0,"0",TEXT(OFFSET('5  Control Accounts'!$Z$33,Q59,0),"##0.0"))</f>
        <v>0</v>
      </c>
      <c r="F59" s="961" t="str">
        <f ca="1">IF(P59=0,"0",TEXT(OFFSET('5  Control Accounts'!$FG$33,Q59,0),"##0.0"))</f>
        <v>0</v>
      </c>
      <c r="G59" s="961" t="str">
        <f ca="1">IF(P59=0,"0",TEXT(OFFSET('5  Control Accounts'!$FH$33,$Q59,0),"##0.0"))</f>
        <v>0</v>
      </c>
      <c r="H59" s="961" t="str">
        <f ca="1">IF(P59=0,"0",TEXT(OFFSET('5  Control Accounts'!$FP$33,$Q59,0),"##0.00"))</f>
        <v>0</v>
      </c>
      <c r="I59" s="961" t="str">
        <f ca="1">IF(P59=0,"0",TEXT(OFFSET('5  Control Accounts'!$FQ$33,$Q59,0),"0.0000"))</f>
        <v>0</v>
      </c>
      <c r="J59" s="961" t="str">
        <f ca="1">IF(P59=0,"0",TEXT(OFFSET('5  Control Accounts'!$FR$33,$Q59,0),"##0.00"))</f>
        <v>0</v>
      </c>
      <c r="K59" s="961" t="str">
        <f ca="1">IF(P59=0,"0",TEXT(OFFSET('5  Control Accounts'!$FX$33,Q59,0),"##0"))</f>
        <v>0</v>
      </c>
      <c r="L59" s="961" t="str">
        <f ca="1">IF(P59=0,"0",TEXT(OFFSET('5  Control Accounts'!$FU$33,Q59,0),"0.0000"))</f>
        <v>0</v>
      </c>
      <c r="M59" s="961" t="str">
        <f ca="1">IF(P59=0,"0",TEXT(OFFSET('5  Control Accounts'!$FY$33,Q59,0),"##0"))</f>
        <v>0</v>
      </c>
      <c r="N59" s="2346"/>
      <c r="P59" s="537">
        <f ca="1">$O$2*OFFSET('5  Control Accounts'!$CP$33,Q59,0)</f>
        <v>0</v>
      </c>
      <c r="Q59" s="537">
        <v>53</v>
      </c>
      <c r="R59" s="1411">
        <f ca="1">IF(P59=0,0,OFFSET('5  Control Accounts'!$FD$33,Q59,0))</f>
        <v>0</v>
      </c>
      <c r="S59" s="1411">
        <f ca="1">IF(P59=0,0,OFFSET('5  Control Accounts'!$FE$33,Q59,0))</f>
        <v>0</v>
      </c>
      <c r="T59" s="1930">
        <f t="shared" ca="1" si="5"/>
        <v>0</v>
      </c>
      <c r="U59" s="1930">
        <f t="shared" ca="1" si="6"/>
        <v>0</v>
      </c>
    </row>
    <row r="60" spans="1:21" s="750" customFormat="1" ht="15.9" customHeight="1" x14ac:dyDescent="0.3">
      <c r="A60" s="961" t="str">
        <f ca="1">IF(P60=0,"0",TEXT(OFFSET('5  Control Accounts'!$BF$33,Q60,0)&amp;"."&amp;OFFSET('5  Control Accounts'!$BH$33,Q60,0),"General"))</f>
        <v>0</v>
      </c>
      <c r="B60" s="961" t="str">
        <f t="shared" ca="1" si="10"/>
        <v>0</v>
      </c>
      <c r="C60" s="961" t="str">
        <f t="shared" ca="1" si="11"/>
        <v>0</v>
      </c>
      <c r="D60" s="961" t="str">
        <f ca="1">IF($P60=0,"0",TEXT(OFFSET('5  Control Accounts'!$DW$33,Q60,0),"General"))</f>
        <v>0</v>
      </c>
      <c r="E60" s="1327" t="str">
        <f ca="1">IF($P60=0,"0",TEXT(OFFSET('5  Control Accounts'!$Z$33,Q60,0),"##0.0"))</f>
        <v>0</v>
      </c>
      <c r="F60" s="961" t="str">
        <f ca="1">IF(P60=0,"0",TEXT(OFFSET('5  Control Accounts'!$FG$33,Q60,0),"##0.0"))</f>
        <v>0</v>
      </c>
      <c r="G60" s="961" t="str">
        <f ca="1">IF(P60=0,"0",TEXT(OFFSET('5  Control Accounts'!$FH$33,$Q60,0),"##0.0"))</f>
        <v>0</v>
      </c>
      <c r="H60" s="961" t="str">
        <f ca="1">IF(P60=0,"0",TEXT(OFFSET('5  Control Accounts'!$FP$33,$Q60,0),"##0.00"))</f>
        <v>0</v>
      </c>
      <c r="I60" s="961" t="str">
        <f ca="1">IF(P60=0,"0",TEXT(OFFSET('5  Control Accounts'!$FQ$33,$Q60,0),"0.0000"))</f>
        <v>0</v>
      </c>
      <c r="J60" s="961" t="str">
        <f ca="1">IF(P60=0,"0",TEXT(OFFSET('5  Control Accounts'!$FR$33,$Q60,0),"##0.00"))</f>
        <v>0</v>
      </c>
      <c r="K60" s="961" t="str">
        <f ca="1">IF(P60=0,"0",TEXT(OFFSET('5  Control Accounts'!$FX$33,Q60,0),"##0"))</f>
        <v>0</v>
      </c>
      <c r="L60" s="961" t="str">
        <f ca="1">IF(P60=0,"0",TEXT(OFFSET('5  Control Accounts'!$FU$33,Q60,0),"0.0000"))</f>
        <v>0</v>
      </c>
      <c r="M60" s="961" t="str">
        <f ca="1">IF(P60=0,"0",TEXT(OFFSET('5  Control Accounts'!$FY$33,Q60,0),"##0"))</f>
        <v>0</v>
      </c>
      <c r="N60" s="2346"/>
      <c r="P60" s="537">
        <f ca="1">$O$2*OFFSET('5  Control Accounts'!$CP$33,Q60,0)</f>
        <v>0</v>
      </c>
      <c r="Q60" s="537">
        <v>54</v>
      </c>
      <c r="R60" s="1411">
        <f ca="1">IF(P60=0,0,OFFSET('5  Control Accounts'!$FD$33,Q60,0))</f>
        <v>0</v>
      </c>
      <c r="S60" s="1411">
        <f ca="1">IF(P60=0,0,OFFSET('5  Control Accounts'!$FE$33,Q60,0))</f>
        <v>0</v>
      </c>
      <c r="T60" s="1930">
        <f t="shared" ca="1" si="5"/>
        <v>0</v>
      </c>
      <c r="U60" s="1930">
        <f t="shared" ca="1" si="6"/>
        <v>0</v>
      </c>
    </row>
    <row r="61" spans="1:21" s="750" customFormat="1" ht="15.9" customHeight="1" x14ac:dyDescent="0.3">
      <c r="A61" s="961" t="str">
        <f ca="1">IF(P61=0,"0",TEXT(OFFSET('5  Control Accounts'!$BF$33,Q61,0)&amp;"."&amp;OFFSET('5  Control Accounts'!$BH$33,Q61,0),"General"))</f>
        <v>0</v>
      </c>
      <c r="B61" s="961" t="str">
        <f t="shared" ca="1" si="10"/>
        <v>0</v>
      </c>
      <c r="C61" s="961" t="str">
        <f t="shared" ca="1" si="11"/>
        <v>0</v>
      </c>
      <c r="D61" s="961" t="str">
        <f ca="1">IF($P61=0,"0",TEXT(OFFSET('5  Control Accounts'!$DW$33,Q61,0),"General"))</f>
        <v>0</v>
      </c>
      <c r="E61" s="1327" t="str">
        <f ca="1">IF($P61=0,"0",TEXT(OFFSET('5  Control Accounts'!$Z$33,Q61,0),"##0.0"))</f>
        <v>0</v>
      </c>
      <c r="F61" s="961" t="str">
        <f ca="1">IF(P61=0,"0",TEXT(OFFSET('5  Control Accounts'!$FG$33,Q61,0),"##0.0"))</f>
        <v>0</v>
      </c>
      <c r="G61" s="961" t="str">
        <f ca="1">IF(P61=0,"0",TEXT(OFFSET('5  Control Accounts'!$FH$33,$Q61,0),"##0.0"))</f>
        <v>0</v>
      </c>
      <c r="H61" s="961" t="str">
        <f ca="1">IF(P61=0,"0",TEXT(OFFSET('5  Control Accounts'!$FP$33,$Q61,0),"##0.00"))</f>
        <v>0</v>
      </c>
      <c r="I61" s="961" t="str">
        <f ca="1">IF(P61=0,"0",TEXT(OFFSET('5  Control Accounts'!$FQ$33,$Q61,0),"0.0000"))</f>
        <v>0</v>
      </c>
      <c r="J61" s="961" t="str">
        <f ca="1">IF(P61=0,"0",TEXT(OFFSET('5  Control Accounts'!$FR$33,$Q61,0),"##0.00"))</f>
        <v>0</v>
      </c>
      <c r="K61" s="961" t="str">
        <f ca="1">IF(P61=0,"0",TEXT(OFFSET('5  Control Accounts'!$FX$33,Q61,0),"##0"))</f>
        <v>0</v>
      </c>
      <c r="L61" s="961" t="str">
        <f ca="1">IF(P61=0,"0",TEXT(OFFSET('5  Control Accounts'!$FU$33,Q61,0),"0.0000"))</f>
        <v>0</v>
      </c>
      <c r="M61" s="961" t="str">
        <f ca="1">IF(P61=0,"0",TEXT(OFFSET('5  Control Accounts'!$FY$33,Q61,0),"##0"))</f>
        <v>0</v>
      </c>
      <c r="N61" s="2346"/>
      <c r="P61" s="537">
        <f ca="1">$O$2*OFFSET('5  Control Accounts'!$CP$33,Q61,0)</f>
        <v>0</v>
      </c>
      <c r="Q61" s="537">
        <v>55</v>
      </c>
      <c r="R61" s="1411">
        <f ca="1">IF(P61=0,0,OFFSET('5  Control Accounts'!$FD$33,Q61,0))</f>
        <v>0</v>
      </c>
      <c r="S61" s="1411">
        <f ca="1">IF(P61=0,0,OFFSET('5  Control Accounts'!$FE$33,Q61,0))</f>
        <v>0</v>
      </c>
      <c r="T61" s="1930">
        <f t="shared" ca="1" si="5"/>
        <v>0</v>
      </c>
      <c r="U61" s="1930">
        <f t="shared" ca="1" si="6"/>
        <v>0</v>
      </c>
    </row>
    <row r="62" spans="1:21" s="750" customFormat="1" ht="15.9" customHeight="1" x14ac:dyDescent="0.3">
      <c r="A62" s="961" t="str">
        <f ca="1">IF(P62=0,"0",TEXT(OFFSET('5  Control Accounts'!$BF$33,Q62,0)&amp;"."&amp;OFFSET('5  Control Accounts'!$BH$33,Q62,0),"General"))</f>
        <v>0</v>
      </c>
      <c r="B62" s="961" t="str">
        <f t="shared" ca="1" si="10"/>
        <v>0</v>
      </c>
      <c r="C62" s="961" t="str">
        <f t="shared" ca="1" si="11"/>
        <v>0</v>
      </c>
      <c r="D62" s="961" t="str">
        <f ca="1">IF($P62=0,"0",TEXT(OFFSET('5  Control Accounts'!$DW$33,Q62,0),"General"))</f>
        <v>0</v>
      </c>
      <c r="E62" s="1327" t="str">
        <f ca="1">IF($P62=0,"0",TEXT(OFFSET('5  Control Accounts'!$Z$33,Q62,0),"##0.0"))</f>
        <v>0</v>
      </c>
      <c r="F62" s="961" t="str">
        <f ca="1">IF(P62=0,"0",TEXT(OFFSET('5  Control Accounts'!$FG$33,Q62,0),"##0.0"))</f>
        <v>0</v>
      </c>
      <c r="G62" s="961" t="str">
        <f ca="1">IF(P62=0,"0",TEXT(OFFSET('5  Control Accounts'!$FH$33,$Q62,0),"##0.0"))</f>
        <v>0</v>
      </c>
      <c r="H62" s="961" t="str">
        <f ca="1">IF(P62=0,"0",TEXT(OFFSET('5  Control Accounts'!$FP$33,$Q62,0),"##0.00"))</f>
        <v>0</v>
      </c>
      <c r="I62" s="961" t="str">
        <f ca="1">IF(P62=0,"0",TEXT(OFFSET('5  Control Accounts'!$FQ$33,$Q62,0),"0.0000"))</f>
        <v>0</v>
      </c>
      <c r="J62" s="961" t="str">
        <f ca="1">IF(P62=0,"0",TEXT(OFFSET('5  Control Accounts'!$FR$33,$Q62,0),"##0.00"))</f>
        <v>0</v>
      </c>
      <c r="K62" s="961" t="str">
        <f ca="1">IF(P62=0,"0",TEXT(OFFSET('5  Control Accounts'!$FX$33,Q62,0),"##0"))</f>
        <v>0</v>
      </c>
      <c r="L62" s="961" t="str">
        <f ca="1">IF(P62=0,"0",TEXT(OFFSET('5  Control Accounts'!$FU$33,Q62,0),"0.0000"))</f>
        <v>0</v>
      </c>
      <c r="M62" s="961" t="str">
        <f ca="1">IF(P62=0,"0",TEXT(OFFSET('5  Control Accounts'!$FY$33,Q62,0),"##0"))</f>
        <v>0</v>
      </c>
      <c r="N62" s="2346"/>
      <c r="P62" s="537">
        <f ca="1">$O$2*OFFSET('5  Control Accounts'!$CP$33,Q62,0)</f>
        <v>0</v>
      </c>
      <c r="Q62" s="537">
        <v>56</v>
      </c>
      <c r="R62" s="1411">
        <f ca="1">IF(P62=0,0,OFFSET('5  Control Accounts'!$FD$33,Q62,0))</f>
        <v>0</v>
      </c>
      <c r="S62" s="1411">
        <f ca="1">IF(P62=0,0,OFFSET('5  Control Accounts'!$FE$33,Q62,0))</f>
        <v>0</v>
      </c>
      <c r="T62" s="1930">
        <f t="shared" ca="1" si="5"/>
        <v>0</v>
      </c>
      <c r="U62" s="1930">
        <f t="shared" ca="1" si="6"/>
        <v>0</v>
      </c>
    </row>
    <row r="63" spans="1:21" s="750" customFormat="1" ht="15.9" customHeight="1" x14ac:dyDescent="0.3">
      <c r="A63" s="961" t="str">
        <f ca="1">IF(P63=0,"0",TEXT(OFFSET('5  Control Accounts'!$BF$33,Q63,0)&amp;"."&amp;OFFSET('5  Control Accounts'!$BH$33,Q63,0),"General"))</f>
        <v>0</v>
      </c>
      <c r="B63" s="961" t="str">
        <f t="shared" ca="1" si="10"/>
        <v>0</v>
      </c>
      <c r="C63" s="961" t="str">
        <f t="shared" ca="1" si="11"/>
        <v>0</v>
      </c>
      <c r="D63" s="961" t="str">
        <f ca="1">IF($P63=0,"0",TEXT(OFFSET('5  Control Accounts'!$DW$33,Q63,0),"General"))</f>
        <v>0</v>
      </c>
      <c r="E63" s="1327" t="str">
        <f ca="1">IF($P63=0,"0",TEXT(OFFSET('5  Control Accounts'!$Z$33,Q63,0),"##0.0"))</f>
        <v>0</v>
      </c>
      <c r="F63" s="961" t="str">
        <f ca="1">IF(P63=0,"0",TEXT(OFFSET('5  Control Accounts'!$FG$33,Q63,0),"##0.0"))</f>
        <v>0</v>
      </c>
      <c r="G63" s="961" t="str">
        <f ca="1">IF(P63=0,"0",TEXT(OFFSET('5  Control Accounts'!$FH$33,$Q63,0),"##0.0"))</f>
        <v>0</v>
      </c>
      <c r="H63" s="961" t="str">
        <f ca="1">IF(P63=0,"0",TEXT(OFFSET('5  Control Accounts'!$FP$33,$Q63,0),"##0.00"))</f>
        <v>0</v>
      </c>
      <c r="I63" s="961" t="str">
        <f ca="1">IF(P63=0,"0",TEXT(OFFSET('5  Control Accounts'!$FQ$33,$Q63,0),"0.0000"))</f>
        <v>0</v>
      </c>
      <c r="J63" s="961" t="str">
        <f ca="1">IF(P63=0,"0",TEXT(OFFSET('5  Control Accounts'!$FR$33,$Q63,0),"##0.00"))</f>
        <v>0</v>
      </c>
      <c r="K63" s="961" t="str">
        <f ca="1">IF(P63=0,"0",TEXT(OFFSET('5  Control Accounts'!$FX$33,Q63,0),"##0"))</f>
        <v>0</v>
      </c>
      <c r="L63" s="961" t="str">
        <f ca="1">IF(P63=0,"0",TEXT(OFFSET('5  Control Accounts'!$FU$33,Q63,0),"0.0000"))</f>
        <v>0</v>
      </c>
      <c r="M63" s="961" t="str">
        <f ca="1">IF(P63=0,"0",TEXT(OFFSET('5  Control Accounts'!$FY$33,Q63,0),"##0"))</f>
        <v>0</v>
      </c>
      <c r="N63" s="2346"/>
      <c r="P63" s="537">
        <f ca="1">$O$2*OFFSET('5  Control Accounts'!$CP$33,Q63,0)</f>
        <v>0</v>
      </c>
      <c r="Q63" s="537">
        <v>57</v>
      </c>
      <c r="R63" s="1411">
        <f ca="1">IF(P63=0,0,OFFSET('5  Control Accounts'!$FD$33,Q63,0))</f>
        <v>0</v>
      </c>
      <c r="S63" s="1411">
        <f ca="1">IF(P63=0,0,OFFSET('5  Control Accounts'!$FE$33,Q63,0))</f>
        <v>0</v>
      </c>
      <c r="T63" s="1930">
        <f t="shared" ca="1" si="5"/>
        <v>0</v>
      </c>
      <c r="U63" s="1930">
        <f t="shared" ca="1" si="6"/>
        <v>0</v>
      </c>
    </row>
    <row r="64" spans="1:21" s="750" customFormat="1" ht="15.9" customHeight="1" x14ac:dyDescent="0.3">
      <c r="A64" s="961" t="str">
        <f ca="1">IF(P64=0,"0",TEXT(OFFSET('5  Control Accounts'!$BF$33,Q64,0)&amp;"."&amp;OFFSET('5  Control Accounts'!$BH$33,Q64,0),"General"))</f>
        <v>0</v>
      </c>
      <c r="B64" s="961" t="str">
        <f t="shared" ca="1" si="10"/>
        <v>0</v>
      </c>
      <c r="C64" s="961" t="str">
        <f t="shared" ca="1" si="11"/>
        <v>0</v>
      </c>
      <c r="D64" s="961" t="str">
        <f ca="1">IF($P64=0,"0",TEXT(OFFSET('5  Control Accounts'!$DW$33,Q64,0),"General"))</f>
        <v>0</v>
      </c>
      <c r="E64" s="1327" t="str">
        <f ca="1">IF($P64=0,"0",TEXT(OFFSET('5  Control Accounts'!$Z$33,Q64,0),"##0.0"))</f>
        <v>0</v>
      </c>
      <c r="F64" s="961" t="str">
        <f ca="1">IF(P64=0,"0",TEXT(OFFSET('5  Control Accounts'!$FG$33,Q64,0),"##0.0"))</f>
        <v>0</v>
      </c>
      <c r="G64" s="961" t="str">
        <f ca="1">IF(P64=0,"0",TEXT(OFFSET('5  Control Accounts'!$FH$33,$Q64,0),"##0.0"))</f>
        <v>0</v>
      </c>
      <c r="H64" s="961" t="str">
        <f ca="1">IF(P64=0,"0",TEXT(OFFSET('5  Control Accounts'!$FP$33,$Q64,0),"##0.00"))</f>
        <v>0</v>
      </c>
      <c r="I64" s="961" t="str">
        <f ca="1">IF(P64=0,"0",TEXT(OFFSET('5  Control Accounts'!$FQ$33,$Q64,0),"0.0000"))</f>
        <v>0</v>
      </c>
      <c r="J64" s="961" t="str">
        <f ca="1">IF(P64=0,"0",TEXT(OFFSET('5  Control Accounts'!$FR$33,$Q64,0),"##0.00"))</f>
        <v>0</v>
      </c>
      <c r="K64" s="961" t="str">
        <f ca="1">IF(P64=0,"0",TEXT(OFFSET('5  Control Accounts'!$FX$33,Q64,0),"##0"))</f>
        <v>0</v>
      </c>
      <c r="L64" s="961" t="str">
        <f ca="1">IF(P64=0,"0",TEXT(OFFSET('5  Control Accounts'!$FU$33,Q64,0),"0.0000"))</f>
        <v>0</v>
      </c>
      <c r="M64" s="961" t="str">
        <f ca="1">IF(P64=0,"0",TEXT(OFFSET('5  Control Accounts'!$FY$33,Q64,0),"##0"))</f>
        <v>0</v>
      </c>
      <c r="N64" s="2346"/>
      <c r="P64" s="537">
        <f ca="1">$O$2*OFFSET('5  Control Accounts'!$CP$33,Q64,0)</f>
        <v>0</v>
      </c>
      <c r="Q64" s="537">
        <v>58</v>
      </c>
      <c r="R64" s="1411">
        <f ca="1">IF(P64=0,0,OFFSET('5  Control Accounts'!$FD$33,Q64,0))</f>
        <v>0</v>
      </c>
      <c r="S64" s="1411">
        <f ca="1">IF(P64=0,0,OFFSET('5  Control Accounts'!$FE$33,Q64,0))</f>
        <v>0</v>
      </c>
      <c r="T64" s="1930">
        <f t="shared" ca="1" si="5"/>
        <v>0</v>
      </c>
      <c r="U64" s="1930">
        <f t="shared" ca="1" si="6"/>
        <v>0</v>
      </c>
    </row>
    <row r="65" spans="1:21" s="750" customFormat="1" ht="15.9" customHeight="1" x14ac:dyDescent="0.3">
      <c r="A65" s="961" t="str">
        <f ca="1">IF(P65=0,"0",TEXT(OFFSET('5  Control Accounts'!$BF$33,Q65,0)&amp;"."&amp;OFFSET('5  Control Accounts'!$BH$33,Q65,0),"General"))</f>
        <v>0</v>
      </c>
      <c r="B65" s="961" t="str">
        <f t="shared" ca="1" si="10"/>
        <v>0</v>
      </c>
      <c r="C65" s="961" t="str">
        <f t="shared" ca="1" si="11"/>
        <v>0</v>
      </c>
      <c r="D65" s="961" t="str">
        <f ca="1">IF($P65=0,"0",TEXT(OFFSET('5  Control Accounts'!$DW$33,Q65,0),"General"))</f>
        <v>0</v>
      </c>
      <c r="E65" s="1327" t="str">
        <f ca="1">IF($P65=0,"0",TEXT(OFFSET('5  Control Accounts'!$Z$33,Q65,0),"##0.0"))</f>
        <v>0</v>
      </c>
      <c r="F65" s="961" t="str">
        <f ca="1">IF(P65=0,"0",TEXT(OFFSET('5  Control Accounts'!$FG$33,Q65,0),"##0.0"))</f>
        <v>0</v>
      </c>
      <c r="G65" s="961" t="str">
        <f ca="1">IF(P65=0,"0",TEXT(OFFSET('5  Control Accounts'!$FH$33,$Q65,0),"##0.0"))</f>
        <v>0</v>
      </c>
      <c r="H65" s="961" t="str">
        <f ca="1">IF(P65=0,"0",TEXT(OFFSET('5  Control Accounts'!$FP$33,$Q65,0),"##0.00"))</f>
        <v>0</v>
      </c>
      <c r="I65" s="961" t="str">
        <f ca="1">IF(P65=0,"0",TEXT(OFFSET('5  Control Accounts'!$FQ$33,$Q65,0),"0.0000"))</f>
        <v>0</v>
      </c>
      <c r="J65" s="961" t="str">
        <f ca="1">IF(P65=0,"0",TEXT(OFFSET('5  Control Accounts'!$FR$33,$Q65,0),"##0.00"))</f>
        <v>0</v>
      </c>
      <c r="K65" s="961" t="str">
        <f ca="1">IF(P65=0,"0",TEXT(OFFSET('5  Control Accounts'!$FX$33,Q65,0),"##0"))</f>
        <v>0</v>
      </c>
      <c r="L65" s="961" t="str">
        <f ca="1">IF(P65=0,"0",TEXT(OFFSET('5  Control Accounts'!$FU$33,Q65,0),"0.0000"))</f>
        <v>0</v>
      </c>
      <c r="M65" s="961" t="str">
        <f ca="1">IF(P65=0,"0",TEXT(OFFSET('5  Control Accounts'!$FY$33,Q65,0),"##0"))</f>
        <v>0</v>
      </c>
      <c r="N65" s="2346"/>
      <c r="P65" s="537">
        <f ca="1">$O$2*OFFSET('5  Control Accounts'!$CP$33,Q65,0)</f>
        <v>0</v>
      </c>
      <c r="Q65" s="537">
        <v>59</v>
      </c>
      <c r="R65" s="1411">
        <f ca="1">IF(P65=0,0,OFFSET('5  Control Accounts'!$FD$33,Q65,0))</f>
        <v>0</v>
      </c>
      <c r="S65" s="1411">
        <f ca="1">IF(P65=0,0,OFFSET('5  Control Accounts'!$FE$33,Q65,0))</f>
        <v>0</v>
      </c>
      <c r="T65" s="1930">
        <f t="shared" ca="1" si="5"/>
        <v>0</v>
      </c>
      <c r="U65" s="1930">
        <f t="shared" ca="1" si="6"/>
        <v>0</v>
      </c>
    </row>
    <row r="66" spans="1:21" s="750" customFormat="1" ht="15.9" customHeight="1" x14ac:dyDescent="0.3">
      <c r="A66" s="961" t="str">
        <f ca="1">IF(P66=0,"0",TEXT(OFFSET('5  Control Accounts'!$BF$33,Q66,0)&amp;"."&amp;OFFSET('5  Control Accounts'!$BH$33,Q66,0),"General"))</f>
        <v>0</v>
      </c>
      <c r="B66" s="961" t="str">
        <f t="shared" ca="1" si="10"/>
        <v>0</v>
      </c>
      <c r="C66" s="961" t="str">
        <f t="shared" ca="1" si="11"/>
        <v>0</v>
      </c>
      <c r="D66" s="961" t="str">
        <f ca="1">IF($P66=0,"0",TEXT(OFFSET('5  Control Accounts'!$DW$33,Q66,0),"General"))</f>
        <v>0</v>
      </c>
      <c r="E66" s="1327" t="str">
        <f ca="1">IF($P66=0,"0",TEXT(OFFSET('5  Control Accounts'!$Z$33,Q66,0),"##0.0"))</f>
        <v>0</v>
      </c>
      <c r="F66" s="961" t="str">
        <f ca="1">IF(P66=0,"0",TEXT(OFFSET('5  Control Accounts'!$FG$33,Q66,0),"##0.0"))</f>
        <v>0</v>
      </c>
      <c r="G66" s="961" t="str">
        <f ca="1">IF(P66=0,"0",TEXT(OFFSET('5  Control Accounts'!$FH$33,$Q66,0),"##0.0"))</f>
        <v>0</v>
      </c>
      <c r="H66" s="961" t="str">
        <f ca="1">IF(P66=0,"0",TEXT(OFFSET('5  Control Accounts'!$FP$33,$Q66,0),"##0.00"))</f>
        <v>0</v>
      </c>
      <c r="I66" s="961" t="str">
        <f ca="1">IF(P66=0,"0",TEXT(OFFSET('5  Control Accounts'!$FQ$33,$Q66,0),"0.0000"))</f>
        <v>0</v>
      </c>
      <c r="J66" s="961" t="str">
        <f ca="1">IF(P66=0,"0",TEXT(OFFSET('5  Control Accounts'!$FR$33,$Q66,0),"##0.00"))</f>
        <v>0</v>
      </c>
      <c r="K66" s="961" t="str">
        <f ca="1">IF(P66=0,"0",TEXT(OFFSET('5  Control Accounts'!$FX$33,Q66,0),"##0"))</f>
        <v>0</v>
      </c>
      <c r="L66" s="961" t="str">
        <f ca="1">IF(P66=0,"0",TEXT(OFFSET('5  Control Accounts'!$FU$33,Q66,0),"0.0000"))</f>
        <v>0</v>
      </c>
      <c r="M66" s="961" t="str">
        <f ca="1">IF(P66=0,"0",TEXT(OFFSET('5  Control Accounts'!$FY$33,Q66,0),"##0"))</f>
        <v>0</v>
      </c>
      <c r="N66" s="2346"/>
      <c r="P66" s="537">
        <f ca="1">$O$2*OFFSET('5  Control Accounts'!$CP$33,Q66,0)</f>
        <v>0</v>
      </c>
      <c r="Q66" s="537">
        <v>60</v>
      </c>
      <c r="R66" s="1411">
        <f ca="1">IF(P66=0,0,OFFSET('5  Control Accounts'!$FD$33,Q66,0))</f>
        <v>0</v>
      </c>
      <c r="S66" s="1411">
        <f ca="1">IF(P66=0,0,OFFSET('5  Control Accounts'!$FE$33,Q66,0))</f>
        <v>0</v>
      </c>
      <c r="T66" s="1930">
        <f t="shared" ca="1" si="5"/>
        <v>0</v>
      </c>
      <c r="U66" s="1930">
        <f t="shared" ca="1" si="6"/>
        <v>0</v>
      </c>
    </row>
    <row r="67" spans="1:21" s="750" customFormat="1" ht="15.9" customHeight="1" x14ac:dyDescent="0.3">
      <c r="A67" s="961" t="str">
        <f ca="1">IF(P67=0,"0",TEXT(OFFSET('5  Control Accounts'!$BF$33,Q67,0)&amp;"."&amp;OFFSET('5  Control Accounts'!$BH$33,Q67,0),"General"))</f>
        <v>0</v>
      </c>
      <c r="B67" s="961" t="str">
        <f t="shared" ca="1" si="10"/>
        <v>0</v>
      </c>
      <c r="C67" s="961" t="str">
        <f t="shared" ca="1" si="11"/>
        <v>0</v>
      </c>
      <c r="D67" s="961" t="str">
        <f ca="1">IF($P67=0,"0",TEXT(OFFSET('5  Control Accounts'!$DW$33,Q67,0),"General"))</f>
        <v>0</v>
      </c>
      <c r="E67" s="1327" t="str">
        <f ca="1">IF($P67=0,"0",TEXT(OFFSET('5  Control Accounts'!$Z$33,Q67,0),"##0.0"))</f>
        <v>0</v>
      </c>
      <c r="F67" s="961" t="str">
        <f ca="1">IF(P67=0,"0",TEXT(OFFSET('5  Control Accounts'!$FG$33,Q67,0),"##0.0"))</f>
        <v>0</v>
      </c>
      <c r="G67" s="961" t="str">
        <f ca="1">IF(P67=0,"0",TEXT(OFFSET('5  Control Accounts'!$FH$33,$Q67,0),"##0.0"))</f>
        <v>0</v>
      </c>
      <c r="H67" s="961" t="str">
        <f ca="1">IF(P67=0,"0",TEXT(OFFSET('5  Control Accounts'!$FP$33,$Q67,0),"##0.00"))</f>
        <v>0</v>
      </c>
      <c r="I67" s="961" t="str">
        <f ca="1">IF(P67=0,"0",TEXT(OFFSET('5  Control Accounts'!$FQ$33,$Q67,0),"0.0000"))</f>
        <v>0</v>
      </c>
      <c r="J67" s="961" t="str">
        <f ca="1">IF(P67=0,"0",TEXT(OFFSET('5  Control Accounts'!$FR$33,$Q67,0),"##0.00"))</f>
        <v>0</v>
      </c>
      <c r="K67" s="961" t="str">
        <f ca="1">IF(P67=0,"0",TEXT(OFFSET('5  Control Accounts'!$FX$33,Q67,0),"##0"))</f>
        <v>0</v>
      </c>
      <c r="L67" s="961" t="str">
        <f ca="1">IF(P67=0,"0",TEXT(OFFSET('5  Control Accounts'!$FU$33,Q67,0),"0.0000"))</f>
        <v>0</v>
      </c>
      <c r="M67" s="961" t="str">
        <f ca="1">IF(P67=0,"0",TEXT(OFFSET('5  Control Accounts'!$FY$33,Q67,0),"##0"))</f>
        <v>0</v>
      </c>
      <c r="N67" s="2346"/>
      <c r="P67" s="537">
        <f ca="1">$O$2*OFFSET('5  Control Accounts'!$CP$33,Q67,0)</f>
        <v>0</v>
      </c>
      <c r="Q67" s="537">
        <v>61</v>
      </c>
      <c r="R67" s="1411">
        <f ca="1">IF(P67=0,0,OFFSET('5  Control Accounts'!$FD$33,Q67,0))</f>
        <v>0</v>
      </c>
      <c r="S67" s="1411">
        <f ca="1">IF(P67=0,0,OFFSET('5  Control Accounts'!$FE$33,Q67,0))</f>
        <v>0</v>
      </c>
      <c r="T67" s="1930">
        <f t="shared" ref="T67:T126" ca="1" si="12">VALUE(K67)</f>
        <v>0</v>
      </c>
      <c r="U67" s="1930">
        <f t="shared" ref="U67:U126" ca="1" si="13">VALUE(M67)</f>
        <v>0</v>
      </c>
    </row>
    <row r="68" spans="1:21" s="750" customFormat="1" ht="15.9" customHeight="1" x14ac:dyDescent="0.3">
      <c r="A68" s="961" t="str">
        <f ca="1">IF(P68=0,"0",TEXT(OFFSET('5  Control Accounts'!$BF$33,Q68,0)&amp;"."&amp;OFFSET('5  Control Accounts'!$BH$33,Q68,0),"General"))</f>
        <v>0</v>
      </c>
      <c r="B68" s="961" t="str">
        <f t="shared" ca="1" si="10"/>
        <v>0</v>
      </c>
      <c r="C68" s="961" t="str">
        <f t="shared" ca="1" si="11"/>
        <v>0</v>
      </c>
      <c r="D68" s="961" t="str">
        <f ca="1">IF($P68=0,"0",TEXT(OFFSET('5  Control Accounts'!$DW$33,Q68,0),"General"))</f>
        <v>0</v>
      </c>
      <c r="E68" s="1327" t="str">
        <f ca="1">IF($P68=0,"0",TEXT(OFFSET('5  Control Accounts'!$Z$33,Q68,0),"##0.0"))</f>
        <v>0</v>
      </c>
      <c r="F68" s="961" t="str">
        <f ca="1">IF(P68=0,"0",TEXT(OFFSET('5  Control Accounts'!$FG$33,Q68,0),"##0.0"))</f>
        <v>0</v>
      </c>
      <c r="G68" s="961" t="str">
        <f ca="1">IF(P68=0,"0",TEXT(OFFSET('5  Control Accounts'!$FH$33,$Q68,0),"##0.0"))</f>
        <v>0</v>
      </c>
      <c r="H68" s="961" t="str">
        <f ca="1">IF(P68=0,"0",TEXT(OFFSET('5  Control Accounts'!$FP$33,$Q68,0),"##0.00"))</f>
        <v>0</v>
      </c>
      <c r="I68" s="961" t="str">
        <f ca="1">IF(P68=0,"0",TEXT(OFFSET('5  Control Accounts'!$FQ$33,$Q68,0),"0.0000"))</f>
        <v>0</v>
      </c>
      <c r="J68" s="961" t="str">
        <f ca="1">IF(P68=0,"0",TEXT(OFFSET('5  Control Accounts'!$FR$33,$Q68,0),"##0.00"))</f>
        <v>0</v>
      </c>
      <c r="K68" s="961" t="str">
        <f ca="1">IF(P68=0,"0",TEXT(OFFSET('5  Control Accounts'!$FX$33,Q68,0),"##0"))</f>
        <v>0</v>
      </c>
      <c r="L68" s="961" t="str">
        <f ca="1">IF(P68=0,"0",TEXT(OFFSET('5  Control Accounts'!$FU$33,Q68,0),"0.0000"))</f>
        <v>0</v>
      </c>
      <c r="M68" s="961" t="str">
        <f ca="1">IF(P68=0,"0",TEXT(OFFSET('5  Control Accounts'!$FY$33,Q68,0),"##0"))</f>
        <v>0</v>
      </c>
      <c r="N68" s="2346"/>
      <c r="P68" s="537">
        <f ca="1">$O$2*OFFSET('5  Control Accounts'!$CP$33,Q68,0)</f>
        <v>0</v>
      </c>
      <c r="Q68" s="537">
        <v>62</v>
      </c>
      <c r="R68" s="1411">
        <f ca="1">IF(P68=0,0,OFFSET('5  Control Accounts'!$FD$33,Q68,0))</f>
        <v>0</v>
      </c>
      <c r="S68" s="1411">
        <f ca="1">IF(P68=0,0,OFFSET('5  Control Accounts'!$FE$33,Q68,0))</f>
        <v>0</v>
      </c>
      <c r="T68" s="1930">
        <f t="shared" ca="1" si="12"/>
        <v>0</v>
      </c>
      <c r="U68" s="1930">
        <f t="shared" ca="1" si="13"/>
        <v>0</v>
      </c>
    </row>
    <row r="69" spans="1:21" s="750" customFormat="1" ht="15.9" customHeight="1" x14ac:dyDescent="0.3">
      <c r="A69" s="961" t="str">
        <f ca="1">IF(P69=0,"0",TEXT(OFFSET('5  Control Accounts'!$BF$33,Q69,0)&amp;"."&amp;OFFSET('5  Control Accounts'!$BH$33,Q69,0),"General"))</f>
        <v>0</v>
      </c>
      <c r="B69" s="961" t="str">
        <f t="shared" ca="1" si="10"/>
        <v>0</v>
      </c>
      <c r="C69" s="961" t="str">
        <f t="shared" ca="1" si="11"/>
        <v>0</v>
      </c>
      <c r="D69" s="961" t="str">
        <f ca="1">IF($P69=0,"0",TEXT(OFFSET('5  Control Accounts'!$DW$33,Q69,0),"General"))</f>
        <v>0</v>
      </c>
      <c r="E69" s="1327" t="str">
        <f ca="1">IF($P69=0,"0",TEXT(OFFSET('5  Control Accounts'!$Z$33,Q69,0),"##0.0"))</f>
        <v>0</v>
      </c>
      <c r="F69" s="961" t="str">
        <f ca="1">IF(P69=0,"0",TEXT(OFFSET('5  Control Accounts'!$FG$33,Q69,0),"##0.0"))</f>
        <v>0</v>
      </c>
      <c r="G69" s="961" t="str">
        <f ca="1">IF(P69=0,"0",TEXT(OFFSET('5  Control Accounts'!$FH$33,$Q69,0),"##0.0"))</f>
        <v>0</v>
      </c>
      <c r="H69" s="961" t="str">
        <f ca="1">IF(P69=0,"0",TEXT(OFFSET('5  Control Accounts'!$FP$33,$Q69,0),"##0.00"))</f>
        <v>0</v>
      </c>
      <c r="I69" s="961" t="str">
        <f ca="1">IF(P69=0,"0",TEXT(OFFSET('5  Control Accounts'!$FQ$33,$Q69,0),"0.0000"))</f>
        <v>0</v>
      </c>
      <c r="J69" s="961" t="str">
        <f ca="1">IF(P69=0,"0",TEXT(OFFSET('5  Control Accounts'!$FR$33,$Q69,0),"##0.00"))</f>
        <v>0</v>
      </c>
      <c r="K69" s="961" t="str">
        <f ca="1">IF(P69=0,"0",TEXT(OFFSET('5  Control Accounts'!$FX$33,Q69,0),"##0"))</f>
        <v>0</v>
      </c>
      <c r="L69" s="961" t="str">
        <f ca="1">IF(P69=0,"0",TEXT(OFFSET('5  Control Accounts'!$FU$33,Q69,0),"0.0000"))</f>
        <v>0</v>
      </c>
      <c r="M69" s="961" t="str">
        <f ca="1">IF(P69=0,"0",TEXT(OFFSET('5  Control Accounts'!$FY$33,Q69,0),"##0"))</f>
        <v>0</v>
      </c>
      <c r="N69" s="2346"/>
      <c r="P69" s="537">
        <f ca="1">$O$2*OFFSET('5  Control Accounts'!$CP$33,Q69,0)</f>
        <v>0</v>
      </c>
      <c r="Q69" s="537">
        <v>63</v>
      </c>
      <c r="R69" s="1411">
        <f ca="1">IF(P69=0,0,OFFSET('5  Control Accounts'!$FD$33,Q69,0))</f>
        <v>0</v>
      </c>
      <c r="S69" s="1411">
        <f ca="1">IF(P69=0,0,OFFSET('5  Control Accounts'!$FE$33,Q69,0))</f>
        <v>0</v>
      </c>
      <c r="T69" s="1930">
        <f t="shared" ca="1" si="12"/>
        <v>0</v>
      </c>
      <c r="U69" s="1930">
        <f t="shared" ca="1" si="13"/>
        <v>0</v>
      </c>
    </row>
    <row r="70" spans="1:21" s="750" customFormat="1" ht="15.9" customHeight="1" x14ac:dyDescent="0.3">
      <c r="A70" s="961" t="str">
        <f ca="1">IF(P70=0,"0",TEXT(OFFSET('5  Control Accounts'!$BF$33,Q70,0)&amp;"."&amp;OFFSET('5  Control Accounts'!$BH$33,Q70,0),"General"))</f>
        <v>0</v>
      </c>
      <c r="B70" s="961" t="str">
        <f t="shared" ca="1" si="10"/>
        <v>0</v>
      </c>
      <c r="C70" s="961" t="str">
        <f t="shared" ca="1" si="11"/>
        <v>0</v>
      </c>
      <c r="D70" s="961" t="str">
        <f ca="1">IF($P70=0,"0",TEXT(OFFSET('5  Control Accounts'!$DW$33,Q70,0),"General"))</f>
        <v>0</v>
      </c>
      <c r="E70" s="1327" t="str">
        <f ca="1">IF($P70=0,"0",TEXT(OFFSET('5  Control Accounts'!$Z$33,Q70,0),"##0.0"))</f>
        <v>0</v>
      </c>
      <c r="F70" s="961" t="str">
        <f ca="1">IF(P70=0,"0",TEXT(OFFSET('5  Control Accounts'!$FG$33,Q70,0),"##0.0"))</f>
        <v>0</v>
      </c>
      <c r="G70" s="961" t="str">
        <f ca="1">IF(P70=0,"0",TEXT(OFFSET('5  Control Accounts'!$FH$33,$Q70,0),"##0.0"))</f>
        <v>0</v>
      </c>
      <c r="H70" s="961" t="str">
        <f ca="1">IF(P70=0,"0",TEXT(OFFSET('5  Control Accounts'!$FP$33,$Q70,0),"##0.00"))</f>
        <v>0</v>
      </c>
      <c r="I70" s="961" t="str">
        <f ca="1">IF(P70=0,"0",TEXT(OFFSET('5  Control Accounts'!$FQ$33,$Q70,0),"0.0000"))</f>
        <v>0</v>
      </c>
      <c r="J70" s="961" t="str">
        <f ca="1">IF(P70=0,"0",TEXT(OFFSET('5  Control Accounts'!$FR$33,$Q70,0),"##0.00"))</f>
        <v>0</v>
      </c>
      <c r="K70" s="961" t="str">
        <f ca="1">IF(P70=0,"0",TEXT(OFFSET('5  Control Accounts'!$FX$33,Q70,0),"##0"))</f>
        <v>0</v>
      </c>
      <c r="L70" s="961" t="str">
        <f ca="1">IF(P70=0,"0",TEXT(OFFSET('5  Control Accounts'!$FU$33,Q70,0),"0.0000"))</f>
        <v>0</v>
      </c>
      <c r="M70" s="961" t="str">
        <f ca="1">IF(P70=0,"0",TEXT(OFFSET('5  Control Accounts'!$FY$33,Q70,0),"##0"))</f>
        <v>0</v>
      </c>
      <c r="N70" s="2346"/>
      <c r="P70" s="537">
        <f ca="1">$O$2*OFFSET('5  Control Accounts'!$CP$33,Q70,0)</f>
        <v>0</v>
      </c>
      <c r="Q70" s="537">
        <v>64</v>
      </c>
      <c r="R70" s="1411">
        <f ca="1">IF(P70=0,0,OFFSET('5  Control Accounts'!$FD$33,Q70,0))</f>
        <v>0</v>
      </c>
      <c r="S70" s="1411">
        <f ca="1">IF(P70=0,0,OFFSET('5  Control Accounts'!$FE$33,Q70,0))</f>
        <v>0</v>
      </c>
      <c r="T70" s="1930">
        <f t="shared" ca="1" si="12"/>
        <v>0</v>
      </c>
      <c r="U70" s="1930">
        <f t="shared" ca="1" si="13"/>
        <v>0</v>
      </c>
    </row>
    <row r="71" spans="1:21" s="750" customFormat="1" ht="15.9" customHeight="1" x14ac:dyDescent="0.3">
      <c r="A71" s="961" t="str">
        <f ca="1">IF(P71=0,"0",TEXT(OFFSET('5  Control Accounts'!$BF$33,Q71,0)&amp;"."&amp;OFFSET('5  Control Accounts'!$BH$33,Q71,0),"General"))</f>
        <v>0</v>
      </c>
      <c r="B71" s="961" t="str">
        <f t="shared" ca="1" si="10"/>
        <v>0</v>
      </c>
      <c r="C71" s="961" t="str">
        <f t="shared" ca="1" si="11"/>
        <v>0</v>
      </c>
      <c r="D71" s="961" t="str">
        <f ca="1">IF($P71=0,"0",TEXT(OFFSET('5  Control Accounts'!$DW$33,Q71,0),"General"))</f>
        <v>0</v>
      </c>
      <c r="E71" s="1327" t="str">
        <f ca="1">IF($P71=0,"0",TEXT(OFFSET('5  Control Accounts'!$Z$33,Q71,0),"##0.0"))</f>
        <v>0</v>
      </c>
      <c r="F71" s="961" t="str">
        <f ca="1">IF(P71=0,"0",TEXT(OFFSET('5  Control Accounts'!$FG$33,Q71,0),"##0.0"))</f>
        <v>0</v>
      </c>
      <c r="G71" s="961" t="str">
        <f ca="1">IF(P71=0,"0",TEXT(OFFSET('5  Control Accounts'!$FH$33,$Q71,0),"##0.0"))</f>
        <v>0</v>
      </c>
      <c r="H71" s="961" t="str">
        <f ca="1">IF(P71=0,"0",TEXT(OFFSET('5  Control Accounts'!$FP$33,$Q71,0),"##0.00"))</f>
        <v>0</v>
      </c>
      <c r="I71" s="961" t="str">
        <f ca="1">IF(P71=0,"0",TEXT(OFFSET('5  Control Accounts'!$FQ$33,$Q71,0),"0.0000"))</f>
        <v>0</v>
      </c>
      <c r="J71" s="961" t="str">
        <f ca="1">IF(P71=0,"0",TEXT(OFFSET('5  Control Accounts'!$FR$33,$Q71,0),"##0.00"))</f>
        <v>0</v>
      </c>
      <c r="K71" s="961" t="str">
        <f ca="1">IF(P71=0,"0",TEXT(OFFSET('5  Control Accounts'!$FX$33,Q71,0),"##0"))</f>
        <v>0</v>
      </c>
      <c r="L71" s="961" t="str">
        <f ca="1">IF(P71=0,"0",TEXT(OFFSET('5  Control Accounts'!$FU$33,Q71,0),"0.0000"))</f>
        <v>0</v>
      </c>
      <c r="M71" s="961" t="str">
        <f ca="1">IF(P71=0,"0",TEXT(OFFSET('5  Control Accounts'!$FY$33,Q71,0),"##0"))</f>
        <v>0</v>
      </c>
      <c r="N71" s="2346"/>
      <c r="P71" s="537">
        <f ca="1">$O$2*OFFSET('5  Control Accounts'!$CP$33,Q71,0)</f>
        <v>0</v>
      </c>
      <c r="Q71" s="537">
        <v>65</v>
      </c>
      <c r="R71" s="1411">
        <f ca="1">IF(P71=0,0,OFFSET('5  Control Accounts'!$FD$33,Q71,0))</f>
        <v>0</v>
      </c>
      <c r="S71" s="1411">
        <f ca="1">IF(P71=0,0,OFFSET('5  Control Accounts'!$FE$33,Q71,0))</f>
        <v>0</v>
      </c>
      <c r="T71" s="1930">
        <f t="shared" ca="1" si="12"/>
        <v>0</v>
      </c>
      <c r="U71" s="1930">
        <f t="shared" ca="1" si="13"/>
        <v>0</v>
      </c>
    </row>
    <row r="72" spans="1:21" s="750" customFormat="1" ht="15.9" customHeight="1" x14ac:dyDescent="0.3">
      <c r="A72" s="961" t="str">
        <f ca="1">IF(P72=0,"0",TEXT(OFFSET('5  Control Accounts'!$BF$33,Q72,0)&amp;"."&amp;OFFSET('5  Control Accounts'!$BH$33,Q72,0),"General"))</f>
        <v>0</v>
      </c>
      <c r="B72" s="961" t="str">
        <f t="shared" ref="B72:B126" ca="1" si="14">IF(OR(P72=0,R72=0),"0",TEXT(R72,"YYYY-MM-DD"))</f>
        <v>0</v>
      </c>
      <c r="C72" s="961" t="str">
        <f t="shared" ref="C72:C126" ca="1" si="15">IF(OR(P72=0,S72=0),"0",TEXT(S72,"YYYY-MM-DD"))</f>
        <v>0</v>
      </c>
      <c r="D72" s="961" t="str">
        <f ca="1">IF($P72=0,"0",TEXT(OFFSET('5  Control Accounts'!$DW$33,Q72,0),"General"))</f>
        <v>0</v>
      </c>
      <c r="E72" s="1327" t="str">
        <f ca="1">IF($P72=0,"0",TEXT(OFFSET('5  Control Accounts'!$Z$33,Q72,0),"##0.0"))</f>
        <v>0</v>
      </c>
      <c r="F72" s="961" t="str">
        <f ca="1">IF(P72=0,"0",TEXT(OFFSET('5  Control Accounts'!$FG$33,Q72,0),"##0.0"))</f>
        <v>0</v>
      </c>
      <c r="G72" s="961" t="str">
        <f ca="1">IF(P72=0,"0",TEXT(OFFSET('5  Control Accounts'!$FH$33,$Q72,0),"##0.0"))</f>
        <v>0</v>
      </c>
      <c r="H72" s="961" t="str">
        <f ca="1">IF(P72=0,"0",TEXT(OFFSET('5  Control Accounts'!$FP$33,$Q72,0),"##0.00"))</f>
        <v>0</v>
      </c>
      <c r="I72" s="961" t="str">
        <f ca="1">IF(P72=0,"0",TEXT(OFFSET('5  Control Accounts'!$FQ$33,$Q72,0),"0.0000"))</f>
        <v>0</v>
      </c>
      <c r="J72" s="961" t="str">
        <f ca="1">IF(P72=0,"0",TEXT(OFFSET('5  Control Accounts'!$FR$33,$Q72,0),"##0.00"))</f>
        <v>0</v>
      </c>
      <c r="K72" s="961" t="str">
        <f ca="1">IF(P72=0,"0",TEXT(OFFSET('5  Control Accounts'!$FX$33,Q72,0),"##0"))</f>
        <v>0</v>
      </c>
      <c r="L72" s="961" t="str">
        <f ca="1">IF(P72=0,"0",TEXT(OFFSET('5  Control Accounts'!$FU$33,Q72,0),"0.0000"))</f>
        <v>0</v>
      </c>
      <c r="M72" s="961" t="str">
        <f ca="1">IF(P72=0,"0",TEXT(OFFSET('5  Control Accounts'!$FY$33,Q72,0),"##0"))</f>
        <v>0</v>
      </c>
      <c r="N72" s="2346"/>
      <c r="P72" s="537">
        <f ca="1">$O$2*OFFSET('5  Control Accounts'!$CP$33,Q72,0)</f>
        <v>0</v>
      </c>
      <c r="Q72" s="537">
        <v>66</v>
      </c>
      <c r="R72" s="1411">
        <f ca="1">IF(P72=0,0,OFFSET('5  Control Accounts'!$FD$33,Q72,0))</f>
        <v>0</v>
      </c>
      <c r="S72" s="1411">
        <f ca="1">IF(P72=0,0,OFFSET('5  Control Accounts'!$FE$33,Q72,0))</f>
        <v>0</v>
      </c>
      <c r="T72" s="1930">
        <f t="shared" ca="1" si="12"/>
        <v>0</v>
      </c>
      <c r="U72" s="1930">
        <f t="shared" ca="1" si="13"/>
        <v>0</v>
      </c>
    </row>
    <row r="73" spans="1:21" s="750" customFormat="1" ht="15.9" customHeight="1" x14ac:dyDescent="0.3">
      <c r="A73" s="961" t="str">
        <f ca="1">IF(P73=0,"0",TEXT(OFFSET('5  Control Accounts'!$BF$33,Q73,0)&amp;"."&amp;OFFSET('5  Control Accounts'!$BH$33,Q73,0),"General"))</f>
        <v>0</v>
      </c>
      <c r="B73" s="961" t="str">
        <f t="shared" ca="1" si="14"/>
        <v>0</v>
      </c>
      <c r="C73" s="961" t="str">
        <f t="shared" ca="1" si="15"/>
        <v>0</v>
      </c>
      <c r="D73" s="961" t="str">
        <f ca="1">IF($P73=0,"0",TEXT(OFFSET('5  Control Accounts'!$DW$33,Q73,0),"General"))</f>
        <v>0</v>
      </c>
      <c r="E73" s="1327" t="str">
        <f ca="1">IF($P73=0,"0",TEXT(OFFSET('5  Control Accounts'!$Z$33,Q73,0),"##0.0"))</f>
        <v>0</v>
      </c>
      <c r="F73" s="961" t="str">
        <f ca="1">IF(P73=0,"0",TEXT(OFFSET('5  Control Accounts'!$FG$33,Q73,0),"##0.0"))</f>
        <v>0</v>
      </c>
      <c r="G73" s="961" t="str">
        <f ca="1">IF(P73=0,"0",TEXT(OFFSET('5  Control Accounts'!$FH$33,$Q73,0),"##0.0"))</f>
        <v>0</v>
      </c>
      <c r="H73" s="961" t="str">
        <f ca="1">IF(P73=0,"0",TEXT(OFFSET('5  Control Accounts'!$FP$33,$Q73,0),"##0.00"))</f>
        <v>0</v>
      </c>
      <c r="I73" s="961" t="str">
        <f ca="1">IF(P73=0,"0",TEXT(OFFSET('5  Control Accounts'!$FQ$33,$Q73,0),"0.0000"))</f>
        <v>0</v>
      </c>
      <c r="J73" s="961" t="str">
        <f ca="1">IF(P73=0,"0",TEXT(OFFSET('5  Control Accounts'!$FR$33,$Q73,0),"##0.00"))</f>
        <v>0</v>
      </c>
      <c r="K73" s="961" t="str">
        <f ca="1">IF(P73=0,"0",TEXT(OFFSET('5  Control Accounts'!$FX$33,Q73,0),"##0"))</f>
        <v>0</v>
      </c>
      <c r="L73" s="961" t="str">
        <f ca="1">IF(P73=0,"0",TEXT(OFFSET('5  Control Accounts'!$FU$33,Q73,0),"0.0000"))</f>
        <v>0</v>
      </c>
      <c r="M73" s="961" t="str">
        <f ca="1">IF(P73=0,"0",TEXT(OFFSET('5  Control Accounts'!$FY$33,Q73,0),"##0"))</f>
        <v>0</v>
      </c>
      <c r="N73" s="2346"/>
      <c r="P73" s="537">
        <f ca="1">$O$2*OFFSET('5  Control Accounts'!$CP$33,Q73,0)</f>
        <v>0</v>
      </c>
      <c r="Q73" s="537">
        <v>67</v>
      </c>
      <c r="R73" s="1411">
        <f ca="1">IF(P73=0,0,OFFSET('5  Control Accounts'!$FD$33,Q73,0))</f>
        <v>0</v>
      </c>
      <c r="S73" s="1411">
        <f ca="1">IF(P73=0,0,OFFSET('5  Control Accounts'!$FE$33,Q73,0))</f>
        <v>0</v>
      </c>
      <c r="T73" s="1930">
        <f t="shared" ca="1" si="12"/>
        <v>0</v>
      </c>
      <c r="U73" s="1930">
        <f t="shared" ca="1" si="13"/>
        <v>0</v>
      </c>
    </row>
    <row r="74" spans="1:21" s="750" customFormat="1" ht="15.9" customHeight="1" x14ac:dyDescent="0.3">
      <c r="A74" s="961" t="str">
        <f ca="1">IF(P74=0,"0",TEXT(OFFSET('5  Control Accounts'!$BF$33,Q74,0)&amp;"."&amp;OFFSET('5  Control Accounts'!$BH$33,Q74,0),"General"))</f>
        <v>0</v>
      </c>
      <c r="B74" s="961" t="str">
        <f t="shared" ca="1" si="14"/>
        <v>0</v>
      </c>
      <c r="C74" s="961" t="str">
        <f t="shared" ca="1" si="15"/>
        <v>0</v>
      </c>
      <c r="D74" s="961" t="str">
        <f ca="1">IF($P74=0,"0",TEXT(OFFSET('5  Control Accounts'!$DW$33,Q74,0),"General"))</f>
        <v>0</v>
      </c>
      <c r="E74" s="1327" t="str">
        <f ca="1">IF($P74=0,"0",TEXT(OFFSET('5  Control Accounts'!$Z$33,Q74,0),"##0.0"))</f>
        <v>0</v>
      </c>
      <c r="F74" s="961" t="str">
        <f ca="1">IF(P74=0,"0",TEXT(OFFSET('5  Control Accounts'!$FG$33,Q74,0),"##0.0"))</f>
        <v>0</v>
      </c>
      <c r="G74" s="961" t="str">
        <f ca="1">IF(P74=0,"0",TEXT(OFFSET('5  Control Accounts'!$FH$33,$Q74,0),"##0.0"))</f>
        <v>0</v>
      </c>
      <c r="H74" s="961" t="str">
        <f ca="1">IF(P74=0,"0",TEXT(OFFSET('5  Control Accounts'!$FP$33,$Q74,0),"##0.00"))</f>
        <v>0</v>
      </c>
      <c r="I74" s="961" t="str">
        <f ca="1">IF(P74=0,"0",TEXT(OFFSET('5  Control Accounts'!$FQ$33,$Q74,0),"0.0000"))</f>
        <v>0</v>
      </c>
      <c r="J74" s="961" t="str">
        <f ca="1">IF(P74=0,"0",TEXT(OFFSET('5  Control Accounts'!$FR$33,$Q74,0),"##0.00"))</f>
        <v>0</v>
      </c>
      <c r="K74" s="961" t="str">
        <f ca="1">IF(P74=0,"0",TEXT(OFFSET('5  Control Accounts'!$FX$33,Q74,0),"##0"))</f>
        <v>0</v>
      </c>
      <c r="L74" s="961" t="str">
        <f ca="1">IF(P74=0,"0",TEXT(OFFSET('5  Control Accounts'!$FU$33,Q74,0),"0.0000"))</f>
        <v>0</v>
      </c>
      <c r="M74" s="961" t="str">
        <f ca="1">IF(P74=0,"0",TEXT(OFFSET('5  Control Accounts'!$FY$33,Q74,0),"##0"))</f>
        <v>0</v>
      </c>
      <c r="N74" s="2346"/>
      <c r="P74" s="537">
        <f ca="1">$O$2*OFFSET('5  Control Accounts'!$CP$33,Q74,0)</f>
        <v>0</v>
      </c>
      <c r="Q74" s="537">
        <v>68</v>
      </c>
      <c r="R74" s="1411">
        <f ca="1">IF(P74=0,0,OFFSET('5  Control Accounts'!$FD$33,Q74,0))</f>
        <v>0</v>
      </c>
      <c r="S74" s="1411">
        <f ca="1">IF(P74=0,0,OFFSET('5  Control Accounts'!$FE$33,Q74,0))</f>
        <v>0</v>
      </c>
      <c r="T74" s="1930">
        <f t="shared" ca="1" si="12"/>
        <v>0</v>
      </c>
      <c r="U74" s="1930">
        <f t="shared" ca="1" si="13"/>
        <v>0</v>
      </c>
    </row>
    <row r="75" spans="1:21" s="750" customFormat="1" ht="15.9" customHeight="1" x14ac:dyDescent="0.3">
      <c r="A75" s="961" t="str">
        <f ca="1">IF(P75=0,"0",TEXT(OFFSET('5  Control Accounts'!$BF$33,Q75,0)&amp;"."&amp;OFFSET('5  Control Accounts'!$BH$33,Q75,0),"General"))</f>
        <v>0</v>
      </c>
      <c r="B75" s="961" t="str">
        <f t="shared" ca="1" si="14"/>
        <v>0</v>
      </c>
      <c r="C75" s="961" t="str">
        <f t="shared" ca="1" si="15"/>
        <v>0</v>
      </c>
      <c r="D75" s="961" t="str">
        <f ca="1">IF($P75=0,"0",TEXT(OFFSET('5  Control Accounts'!$DW$33,Q75,0),"General"))</f>
        <v>0</v>
      </c>
      <c r="E75" s="1327" t="str">
        <f ca="1">IF($P75=0,"0",TEXT(OFFSET('5  Control Accounts'!$Z$33,Q75,0),"##0.0"))</f>
        <v>0</v>
      </c>
      <c r="F75" s="961" t="str">
        <f ca="1">IF(P75=0,"0",TEXT(OFFSET('5  Control Accounts'!$FG$33,Q75,0),"##0.0"))</f>
        <v>0</v>
      </c>
      <c r="G75" s="961" t="str">
        <f ca="1">IF(P75=0,"0",TEXT(OFFSET('5  Control Accounts'!$FH$33,$Q75,0),"##0.0"))</f>
        <v>0</v>
      </c>
      <c r="H75" s="961" t="str">
        <f ca="1">IF(P75=0,"0",TEXT(OFFSET('5  Control Accounts'!$FP$33,$Q75,0),"##0.00"))</f>
        <v>0</v>
      </c>
      <c r="I75" s="961" t="str">
        <f ca="1">IF(P75=0,"0",TEXT(OFFSET('5  Control Accounts'!$FQ$33,$Q75,0),"0.0000"))</f>
        <v>0</v>
      </c>
      <c r="J75" s="961" t="str">
        <f ca="1">IF(P75=0,"0",TEXT(OFFSET('5  Control Accounts'!$FR$33,$Q75,0),"##0.00"))</f>
        <v>0</v>
      </c>
      <c r="K75" s="961" t="str">
        <f ca="1">IF(P75=0,"0",TEXT(OFFSET('5  Control Accounts'!$FX$33,Q75,0),"##0"))</f>
        <v>0</v>
      </c>
      <c r="L75" s="961" t="str">
        <f ca="1">IF(P75=0,"0",TEXT(OFFSET('5  Control Accounts'!$FU$33,Q75,0),"0.0000"))</f>
        <v>0</v>
      </c>
      <c r="M75" s="961" t="str">
        <f ca="1">IF(P75=0,"0",TEXT(OFFSET('5  Control Accounts'!$FY$33,Q75,0),"##0"))</f>
        <v>0</v>
      </c>
      <c r="N75" s="2346"/>
      <c r="P75" s="537">
        <f ca="1">$O$2*OFFSET('5  Control Accounts'!$CP$33,Q75,0)</f>
        <v>0</v>
      </c>
      <c r="Q75" s="537">
        <v>69</v>
      </c>
      <c r="R75" s="1411">
        <f ca="1">IF(P75=0,0,OFFSET('5  Control Accounts'!$FD$33,Q75,0))</f>
        <v>0</v>
      </c>
      <c r="S75" s="1411">
        <f ca="1">IF(P75=0,0,OFFSET('5  Control Accounts'!$FE$33,Q75,0))</f>
        <v>0</v>
      </c>
      <c r="T75" s="1930">
        <f t="shared" ca="1" si="12"/>
        <v>0</v>
      </c>
      <c r="U75" s="1930">
        <f t="shared" ca="1" si="13"/>
        <v>0</v>
      </c>
    </row>
    <row r="76" spans="1:21" s="750" customFormat="1" ht="15.9" customHeight="1" x14ac:dyDescent="0.3">
      <c r="A76" s="961" t="str">
        <f ca="1">IF(P76=0,"0",TEXT(OFFSET('5  Control Accounts'!$BF$33,Q76,0)&amp;"."&amp;OFFSET('5  Control Accounts'!$BH$33,Q76,0),"General"))</f>
        <v>0</v>
      </c>
      <c r="B76" s="961" t="str">
        <f t="shared" ca="1" si="14"/>
        <v>0</v>
      </c>
      <c r="C76" s="961" t="str">
        <f t="shared" ca="1" si="15"/>
        <v>0</v>
      </c>
      <c r="D76" s="961" t="str">
        <f ca="1">IF($P76=0,"0",TEXT(OFFSET('5  Control Accounts'!$DW$33,Q76,0),"General"))</f>
        <v>0</v>
      </c>
      <c r="E76" s="1327" t="str">
        <f ca="1">IF($P76=0,"0",TEXT(OFFSET('5  Control Accounts'!$Z$33,Q76,0),"##0.0"))</f>
        <v>0</v>
      </c>
      <c r="F76" s="961" t="str">
        <f ca="1">IF(P76=0,"0",TEXT(OFFSET('5  Control Accounts'!$FG$33,Q76,0),"##0.0"))</f>
        <v>0</v>
      </c>
      <c r="G76" s="961" t="str">
        <f ca="1">IF(P76=0,"0",TEXT(OFFSET('5  Control Accounts'!$FH$33,$Q76,0),"##0.0"))</f>
        <v>0</v>
      </c>
      <c r="H76" s="961" t="str">
        <f ca="1">IF(P76=0,"0",TEXT(OFFSET('5  Control Accounts'!$FP$33,$Q76,0),"##0.00"))</f>
        <v>0</v>
      </c>
      <c r="I76" s="961" t="str">
        <f ca="1">IF(P76=0,"0",TEXT(OFFSET('5  Control Accounts'!$FQ$33,$Q76,0),"0.0000"))</f>
        <v>0</v>
      </c>
      <c r="J76" s="961" t="str">
        <f ca="1">IF(P76=0,"0",TEXT(OFFSET('5  Control Accounts'!$FR$33,$Q76,0),"##0.00"))</f>
        <v>0</v>
      </c>
      <c r="K76" s="961" t="str">
        <f ca="1">IF(P76=0,"0",TEXT(OFFSET('5  Control Accounts'!$FX$33,Q76,0),"##0"))</f>
        <v>0</v>
      </c>
      <c r="L76" s="961" t="str">
        <f ca="1">IF(P76=0,"0",TEXT(OFFSET('5  Control Accounts'!$FU$33,Q76,0),"0.0000"))</f>
        <v>0</v>
      </c>
      <c r="M76" s="961" t="str">
        <f ca="1">IF(P76=0,"0",TEXT(OFFSET('5  Control Accounts'!$FY$33,Q76,0),"##0"))</f>
        <v>0</v>
      </c>
      <c r="N76" s="2346"/>
      <c r="P76" s="537">
        <f ca="1">$O$2*OFFSET('5  Control Accounts'!$CP$33,Q76,0)</f>
        <v>0</v>
      </c>
      <c r="Q76" s="537">
        <v>70</v>
      </c>
      <c r="R76" s="1411">
        <f ca="1">IF(P76=0,0,OFFSET('5  Control Accounts'!$FD$33,Q76,0))</f>
        <v>0</v>
      </c>
      <c r="S76" s="1411">
        <f ca="1">IF(P76=0,0,OFFSET('5  Control Accounts'!$FE$33,Q76,0))</f>
        <v>0</v>
      </c>
      <c r="T76" s="1930">
        <f t="shared" ca="1" si="12"/>
        <v>0</v>
      </c>
      <c r="U76" s="1930">
        <f t="shared" ca="1" si="13"/>
        <v>0</v>
      </c>
    </row>
    <row r="77" spans="1:21" s="750" customFormat="1" ht="15.9" customHeight="1" x14ac:dyDescent="0.3">
      <c r="A77" s="961" t="str">
        <f ca="1">IF(P77=0,"0",TEXT(OFFSET('5  Control Accounts'!$BF$33,Q77,0)&amp;"."&amp;OFFSET('5  Control Accounts'!$BH$33,Q77,0),"General"))</f>
        <v>0</v>
      </c>
      <c r="B77" s="961" t="str">
        <f t="shared" ca="1" si="14"/>
        <v>0</v>
      </c>
      <c r="C77" s="961" t="str">
        <f t="shared" ca="1" si="15"/>
        <v>0</v>
      </c>
      <c r="D77" s="961" t="str">
        <f ca="1">IF($P77=0,"0",TEXT(OFFSET('5  Control Accounts'!$DW$33,Q77,0),"General"))</f>
        <v>0</v>
      </c>
      <c r="E77" s="1327" t="str">
        <f ca="1">IF($P77=0,"0",TEXT(OFFSET('5  Control Accounts'!$Z$33,Q77,0),"##0.0"))</f>
        <v>0</v>
      </c>
      <c r="F77" s="961" t="str">
        <f ca="1">IF(P77=0,"0",TEXT(OFFSET('5  Control Accounts'!$FG$33,Q77,0),"##0.0"))</f>
        <v>0</v>
      </c>
      <c r="G77" s="961" t="str">
        <f ca="1">IF(P77=0,"0",TEXT(OFFSET('5  Control Accounts'!$FH$33,$Q77,0),"##0.0"))</f>
        <v>0</v>
      </c>
      <c r="H77" s="961" t="str">
        <f ca="1">IF(P77=0,"0",TEXT(OFFSET('5  Control Accounts'!$FP$33,$Q77,0),"##0.00"))</f>
        <v>0</v>
      </c>
      <c r="I77" s="961" t="str">
        <f ca="1">IF(P77=0,"0",TEXT(OFFSET('5  Control Accounts'!$FQ$33,$Q77,0),"0.0000"))</f>
        <v>0</v>
      </c>
      <c r="J77" s="961" t="str">
        <f ca="1">IF(P77=0,"0",TEXT(OFFSET('5  Control Accounts'!$FR$33,$Q77,0),"##0.00"))</f>
        <v>0</v>
      </c>
      <c r="K77" s="961" t="str">
        <f ca="1">IF(P77=0,"0",TEXT(OFFSET('5  Control Accounts'!$FX$33,Q77,0),"##0"))</f>
        <v>0</v>
      </c>
      <c r="L77" s="961" t="str">
        <f ca="1">IF(P77=0,"0",TEXT(OFFSET('5  Control Accounts'!$FU$33,Q77,0),"0.0000"))</f>
        <v>0</v>
      </c>
      <c r="M77" s="961" t="str">
        <f ca="1">IF(P77=0,"0",TEXT(OFFSET('5  Control Accounts'!$FY$33,Q77,0),"##0"))</f>
        <v>0</v>
      </c>
      <c r="N77" s="2346"/>
      <c r="P77" s="537">
        <f ca="1">$O$2*OFFSET('5  Control Accounts'!$CP$33,Q77,0)</f>
        <v>0</v>
      </c>
      <c r="Q77" s="537">
        <v>71</v>
      </c>
      <c r="R77" s="1411">
        <f ca="1">IF(P77=0,0,OFFSET('5  Control Accounts'!$FD$33,Q77,0))</f>
        <v>0</v>
      </c>
      <c r="S77" s="1411">
        <f ca="1">IF(P77=0,0,OFFSET('5  Control Accounts'!$FE$33,Q77,0))</f>
        <v>0</v>
      </c>
      <c r="T77" s="1930">
        <f t="shared" ca="1" si="12"/>
        <v>0</v>
      </c>
      <c r="U77" s="1930">
        <f t="shared" ca="1" si="13"/>
        <v>0</v>
      </c>
    </row>
    <row r="78" spans="1:21" s="750" customFormat="1" ht="15.9" customHeight="1" x14ac:dyDescent="0.3">
      <c r="A78" s="961" t="str">
        <f ca="1">IF(P78=0,"0",TEXT(OFFSET('5  Control Accounts'!$BF$33,Q78,0)&amp;"."&amp;OFFSET('5  Control Accounts'!$BH$33,Q78,0),"General"))</f>
        <v>0</v>
      </c>
      <c r="B78" s="961" t="str">
        <f t="shared" ca="1" si="14"/>
        <v>0</v>
      </c>
      <c r="C78" s="961" t="str">
        <f t="shared" ca="1" si="15"/>
        <v>0</v>
      </c>
      <c r="D78" s="961" t="str">
        <f ca="1">IF($P78=0,"0",TEXT(OFFSET('5  Control Accounts'!$DW$33,Q78,0),"General"))</f>
        <v>0</v>
      </c>
      <c r="E78" s="1327" t="str">
        <f ca="1">IF($P78=0,"0",TEXT(OFFSET('5  Control Accounts'!$Z$33,Q78,0),"##0.0"))</f>
        <v>0</v>
      </c>
      <c r="F78" s="961" t="str">
        <f ca="1">IF(P78=0,"0",TEXT(OFFSET('5  Control Accounts'!$FG$33,Q78,0),"##0.0"))</f>
        <v>0</v>
      </c>
      <c r="G78" s="961" t="str">
        <f ca="1">IF(P78=0,"0",TEXT(OFFSET('5  Control Accounts'!$FH$33,$Q78,0),"##0.0"))</f>
        <v>0</v>
      </c>
      <c r="H78" s="961" t="str">
        <f ca="1">IF(P78=0,"0",TEXT(OFFSET('5  Control Accounts'!$FP$33,$Q78,0),"##0.00"))</f>
        <v>0</v>
      </c>
      <c r="I78" s="961" t="str">
        <f ca="1">IF(P78=0,"0",TEXT(OFFSET('5  Control Accounts'!$FQ$33,$Q78,0),"0.0000"))</f>
        <v>0</v>
      </c>
      <c r="J78" s="961" t="str">
        <f ca="1">IF(P78=0,"0",TEXT(OFFSET('5  Control Accounts'!$FR$33,$Q78,0),"##0.00"))</f>
        <v>0</v>
      </c>
      <c r="K78" s="961" t="str">
        <f ca="1">IF(P78=0,"0",TEXT(OFFSET('5  Control Accounts'!$FX$33,Q78,0),"##0"))</f>
        <v>0</v>
      </c>
      <c r="L78" s="961" t="str">
        <f ca="1">IF(P78=0,"0",TEXT(OFFSET('5  Control Accounts'!$FU$33,Q78,0),"0.0000"))</f>
        <v>0</v>
      </c>
      <c r="M78" s="961" t="str">
        <f ca="1">IF(P78=0,"0",TEXT(OFFSET('5  Control Accounts'!$FY$33,Q78,0),"##0"))</f>
        <v>0</v>
      </c>
      <c r="N78" s="2346"/>
      <c r="P78" s="537">
        <f ca="1">$O$2*OFFSET('5  Control Accounts'!$CP$33,Q78,0)</f>
        <v>0</v>
      </c>
      <c r="Q78" s="537">
        <v>72</v>
      </c>
      <c r="R78" s="1411">
        <f ca="1">IF(P78=0,0,OFFSET('5  Control Accounts'!$FD$33,Q78,0))</f>
        <v>0</v>
      </c>
      <c r="S78" s="1411">
        <f ca="1">IF(P78=0,0,OFFSET('5  Control Accounts'!$FE$33,Q78,0))</f>
        <v>0</v>
      </c>
      <c r="T78" s="1930">
        <f t="shared" ca="1" si="12"/>
        <v>0</v>
      </c>
      <c r="U78" s="1930">
        <f t="shared" ca="1" si="13"/>
        <v>0</v>
      </c>
    </row>
    <row r="79" spans="1:21" s="750" customFormat="1" ht="15.9" customHeight="1" x14ac:dyDescent="0.3">
      <c r="A79" s="961" t="str">
        <f ca="1">IF(P79=0,"0",TEXT(OFFSET('5  Control Accounts'!$BF$33,Q79,0)&amp;"."&amp;OFFSET('5  Control Accounts'!$BH$33,Q79,0),"General"))</f>
        <v>0</v>
      </c>
      <c r="B79" s="961" t="str">
        <f t="shared" ca="1" si="14"/>
        <v>0</v>
      </c>
      <c r="C79" s="961" t="str">
        <f t="shared" ca="1" si="15"/>
        <v>0</v>
      </c>
      <c r="D79" s="961" t="str">
        <f ca="1">IF($P79=0,"0",TEXT(OFFSET('5  Control Accounts'!$DW$33,Q79,0),"General"))</f>
        <v>0</v>
      </c>
      <c r="E79" s="1327" t="str">
        <f ca="1">IF($P79=0,"0",TEXT(OFFSET('5  Control Accounts'!$Z$33,Q79,0),"##0.0"))</f>
        <v>0</v>
      </c>
      <c r="F79" s="961" t="str">
        <f ca="1">IF(P79=0,"0",TEXT(OFFSET('5  Control Accounts'!$FG$33,Q79,0),"##0.0"))</f>
        <v>0</v>
      </c>
      <c r="G79" s="961" t="str">
        <f ca="1">IF(P79=0,"0",TEXT(OFFSET('5  Control Accounts'!$FH$33,$Q79,0),"##0.0"))</f>
        <v>0</v>
      </c>
      <c r="H79" s="961" t="str">
        <f ca="1">IF(P79=0,"0",TEXT(OFFSET('5  Control Accounts'!$FP$33,$Q79,0),"##0.00"))</f>
        <v>0</v>
      </c>
      <c r="I79" s="961" t="str">
        <f ca="1">IF(P79=0,"0",TEXT(OFFSET('5  Control Accounts'!$FQ$33,$Q79,0),"0.0000"))</f>
        <v>0</v>
      </c>
      <c r="J79" s="961" t="str">
        <f ca="1">IF(P79=0,"0",TEXT(OFFSET('5  Control Accounts'!$FR$33,$Q79,0),"##0.00"))</f>
        <v>0</v>
      </c>
      <c r="K79" s="961" t="str">
        <f ca="1">IF(P79=0,"0",TEXT(OFFSET('5  Control Accounts'!$FX$33,Q79,0),"##0"))</f>
        <v>0</v>
      </c>
      <c r="L79" s="961" t="str">
        <f ca="1">IF(P79=0,"0",TEXT(OFFSET('5  Control Accounts'!$FU$33,Q79,0),"0.0000"))</f>
        <v>0</v>
      </c>
      <c r="M79" s="961" t="str">
        <f ca="1">IF(P79=0,"0",TEXT(OFFSET('5  Control Accounts'!$FY$33,Q79,0),"##0"))</f>
        <v>0</v>
      </c>
      <c r="N79" s="2346"/>
      <c r="P79" s="537">
        <f ca="1">$O$2*OFFSET('5  Control Accounts'!$CP$33,Q79,0)</f>
        <v>0</v>
      </c>
      <c r="Q79" s="537">
        <v>73</v>
      </c>
      <c r="R79" s="1411">
        <f ca="1">IF(P79=0,0,OFFSET('5  Control Accounts'!$FD$33,Q79,0))</f>
        <v>0</v>
      </c>
      <c r="S79" s="1411">
        <f ca="1">IF(P79=0,0,OFFSET('5  Control Accounts'!$FE$33,Q79,0))</f>
        <v>0</v>
      </c>
      <c r="T79" s="1930">
        <f t="shared" ca="1" si="12"/>
        <v>0</v>
      </c>
      <c r="U79" s="1930">
        <f t="shared" ca="1" si="13"/>
        <v>0</v>
      </c>
    </row>
    <row r="80" spans="1:21" s="750" customFormat="1" ht="15.9" customHeight="1" x14ac:dyDescent="0.3">
      <c r="A80" s="961" t="str">
        <f ca="1">IF(P80=0,"0",TEXT(OFFSET('5  Control Accounts'!$BF$33,Q80,0)&amp;"."&amp;OFFSET('5  Control Accounts'!$BH$33,Q80,0),"General"))</f>
        <v>0</v>
      </c>
      <c r="B80" s="961" t="str">
        <f t="shared" ca="1" si="14"/>
        <v>0</v>
      </c>
      <c r="C80" s="961" t="str">
        <f t="shared" ca="1" si="15"/>
        <v>0</v>
      </c>
      <c r="D80" s="961" t="str">
        <f ca="1">IF($P80=0,"0",TEXT(OFFSET('5  Control Accounts'!$DW$33,Q80,0),"General"))</f>
        <v>0</v>
      </c>
      <c r="E80" s="1327" t="str">
        <f ca="1">IF($P80=0,"0",TEXT(OFFSET('5  Control Accounts'!$Z$33,Q80,0),"##0.0"))</f>
        <v>0</v>
      </c>
      <c r="F80" s="961" t="str">
        <f ca="1">IF(P80=0,"0",TEXT(OFFSET('5  Control Accounts'!$FG$33,Q80,0),"##0.0"))</f>
        <v>0</v>
      </c>
      <c r="G80" s="961" t="str">
        <f ca="1">IF(P80=0,"0",TEXT(OFFSET('5  Control Accounts'!$FH$33,$Q80,0),"##0.0"))</f>
        <v>0</v>
      </c>
      <c r="H80" s="961" t="str">
        <f ca="1">IF(P80=0,"0",TEXT(OFFSET('5  Control Accounts'!$FP$33,$Q80,0),"##0.00"))</f>
        <v>0</v>
      </c>
      <c r="I80" s="961" t="str">
        <f ca="1">IF(P80=0,"0",TEXT(OFFSET('5  Control Accounts'!$FQ$33,$Q80,0),"0.0000"))</f>
        <v>0</v>
      </c>
      <c r="J80" s="961" t="str">
        <f ca="1">IF(P80=0,"0",TEXT(OFFSET('5  Control Accounts'!$FR$33,$Q80,0),"##0.00"))</f>
        <v>0</v>
      </c>
      <c r="K80" s="961" t="str">
        <f ca="1">IF(P80=0,"0",TEXT(OFFSET('5  Control Accounts'!$FX$33,Q80,0),"##0"))</f>
        <v>0</v>
      </c>
      <c r="L80" s="961" t="str">
        <f ca="1">IF(P80=0,"0",TEXT(OFFSET('5  Control Accounts'!$FU$33,Q80,0),"0.0000"))</f>
        <v>0</v>
      </c>
      <c r="M80" s="961" t="str">
        <f ca="1">IF(P80=0,"0",TEXT(OFFSET('5  Control Accounts'!$FY$33,Q80,0),"##0"))</f>
        <v>0</v>
      </c>
      <c r="N80" s="2346"/>
      <c r="P80" s="537">
        <f ca="1">$O$2*OFFSET('5  Control Accounts'!$CP$33,Q80,0)</f>
        <v>0</v>
      </c>
      <c r="Q80" s="537">
        <v>74</v>
      </c>
      <c r="R80" s="1411">
        <f ca="1">IF(P80=0,0,OFFSET('5  Control Accounts'!$FD$33,Q80,0))</f>
        <v>0</v>
      </c>
      <c r="S80" s="1411">
        <f ca="1">IF(P80=0,0,OFFSET('5  Control Accounts'!$FE$33,Q80,0))</f>
        <v>0</v>
      </c>
      <c r="T80" s="1930">
        <f t="shared" ca="1" si="12"/>
        <v>0</v>
      </c>
      <c r="U80" s="1930">
        <f t="shared" ca="1" si="13"/>
        <v>0</v>
      </c>
    </row>
    <row r="81" spans="1:21" s="750" customFormat="1" ht="15.9" customHeight="1" x14ac:dyDescent="0.3">
      <c r="A81" s="961" t="str">
        <f ca="1">IF(P81=0,"0",TEXT(OFFSET('5  Control Accounts'!$BF$33,Q81,0)&amp;"."&amp;OFFSET('5  Control Accounts'!$BH$33,Q81,0),"General"))</f>
        <v>0</v>
      </c>
      <c r="B81" s="961" t="str">
        <f t="shared" ca="1" si="14"/>
        <v>0</v>
      </c>
      <c r="C81" s="961" t="str">
        <f t="shared" ca="1" si="15"/>
        <v>0</v>
      </c>
      <c r="D81" s="961" t="str">
        <f ca="1">IF($P81=0,"0",TEXT(OFFSET('5  Control Accounts'!$DW$33,Q81,0),"General"))</f>
        <v>0</v>
      </c>
      <c r="E81" s="1327" t="str">
        <f ca="1">IF($P81=0,"0",TEXT(OFFSET('5  Control Accounts'!$Z$33,Q81,0),"##0.0"))</f>
        <v>0</v>
      </c>
      <c r="F81" s="961" t="str">
        <f ca="1">IF(P81=0,"0",TEXT(OFFSET('5  Control Accounts'!$FG$33,Q81,0),"##0.0"))</f>
        <v>0</v>
      </c>
      <c r="G81" s="961" t="str">
        <f ca="1">IF(P81=0,"0",TEXT(OFFSET('5  Control Accounts'!$FH$33,$Q81,0),"##0.0"))</f>
        <v>0</v>
      </c>
      <c r="H81" s="961" t="str">
        <f ca="1">IF(P81=0,"0",TEXT(OFFSET('5  Control Accounts'!$FP$33,$Q81,0),"##0.00"))</f>
        <v>0</v>
      </c>
      <c r="I81" s="961" t="str">
        <f ca="1">IF(P81=0,"0",TEXT(OFFSET('5  Control Accounts'!$FQ$33,$Q81,0),"0.0000"))</f>
        <v>0</v>
      </c>
      <c r="J81" s="961" t="str">
        <f ca="1">IF(P81=0,"0",TEXT(OFFSET('5  Control Accounts'!$FR$33,$Q81,0),"##0.00"))</f>
        <v>0</v>
      </c>
      <c r="K81" s="961" t="str">
        <f ca="1">IF(P81=0,"0",TEXT(OFFSET('5  Control Accounts'!$FX$33,Q81,0),"##0"))</f>
        <v>0</v>
      </c>
      <c r="L81" s="961" t="str">
        <f ca="1">IF(P81=0,"0",TEXT(OFFSET('5  Control Accounts'!$FU$33,Q81,0),"0.0000"))</f>
        <v>0</v>
      </c>
      <c r="M81" s="961" t="str">
        <f ca="1">IF(P81=0,"0",TEXT(OFFSET('5  Control Accounts'!$FY$33,Q81,0),"##0"))</f>
        <v>0</v>
      </c>
      <c r="N81" s="2346"/>
      <c r="P81" s="537">
        <f ca="1">$O$2*OFFSET('5  Control Accounts'!$CP$33,Q81,0)</f>
        <v>0</v>
      </c>
      <c r="Q81" s="537">
        <v>75</v>
      </c>
      <c r="R81" s="1411">
        <f ca="1">IF(P81=0,0,OFFSET('5  Control Accounts'!$FD$33,Q81,0))</f>
        <v>0</v>
      </c>
      <c r="S81" s="1411">
        <f ca="1">IF(P81=0,0,OFFSET('5  Control Accounts'!$FE$33,Q81,0))</f>
        <v>0</v>
      </c>
      <c r="T81" s="1930">
        <f t="shared" ca="1" si="12"/>
        <v>0</v>
      </c>
      <c r="U81" s="1930">
        <f t="shared" ca="1" si="13"/>
        <v>0</v>
      </c>
    </row>
    <row r="82" spans="1:21" s="750" customFormat="1" ht="15.9" customHeight="1" x14ac:dyDescent="0.3">
      <c r="A82" s="961" t="str">
        <f ca="1">IF(P82=0,"0",TEXT(OFFSET('5  Control Accounts'!$BF$33,Q82,0)&amp;"."&amp;OFFSET('5  Control Accounts'!$BH$33,Q82,0),"General"))</f>
        <v>0</v>
      </c>
      <c r="B82" s="961" t="str">
        <f t="shared" ca="1" si="14"/>
        <v>0</v>
      </c>
      <c r="C82" s="961" t="str">
        <f t="shared" ca="1" si="15"/>
        <v>0</v>
      </c>
      <c r="D82" s="961" t="str">
        <f ca="1">IF($P82=0,"0",TEXT(OFFSET('5  Control Accounts'!$DW$33,Q82,0),"General"))</f>
        <v>0</v>
      </c>
      <c r="E82" s="1327" t="str">
        <f ca="1">IF($P82=0,"0",TEXT(OFFSET('5  Control Accounts'!$Z$33,Q82,0),"##0.0"))</f>
        <v>0</v>
      </c>
      <c r="F82" s="961" t="str">
        <f ca="1">IF(P82=0,"0",TEXT(OFFSET('5  Control Accounts'!$FG$33,Q82,0),"##0.0"))</f>
        <v>0</v>
      </c>
      <c r="G82" s="961" t="str">
        <f ca="1">IF(P82=0,"0",TEXT(OFFSET('5  Control Accounts'!$FH$33,$Q82,0),"##0.0"))</f>
        <v>0</v>
      </c>
      <c r="H82" s="961" t="str">
        <f ca="1">IF(P82=0,"0",TEXT(OFFSET('5  Control Accounts'!$FP$33,$Q82,0),"##0.00"))</f>
        <v>0</v>
      </c>
      <c r="I82" s="961" t="str">
        <f ca="1">IF(P82=0,"0",TEXT(OFFSET('5  Control Accounts'!$FQ$33,$Q82,0),"0.0000"))</f>
        <v>0</v>
      </c>
      <c r="J82" s="961" t="str">
        <f ca="1">IF(P82=0,"0",TEXT(OFFSET('5  Control Accounts'!$FR$33,$Q82,0),"##0.00"))</f>
        <v>0</v>
      </c>
      <c r="K82" s="961" t="str">
        <f ca="1">IF(P82=0,"0",TEXT(OFFSET('5  Control Accounts'!$FX$33,Q82,0),"##0"))</f>
        <v>0</v>
      </c>
      <c r="L82" s="961" t="str">
        <f ca="1">IF(P82=0,"0",TEXT(OFFSET('5  Control Accounts'!$FU$33,Q82,0),"0.0000"))</f>
        <v>0</v>
      </c>
      <c r="M82" s="961" t="str">
        <f ca="1">IF(P82=0,"0",TEXT(OFFSET('5  Control Accounts'!$FY$33,Q82,0),"##0"))</f>
        <v>0</v>
      </c>
      <c r="N82" s="2346"/>
      <c r="P82" s="537">
        <f ca="1">$O$2*OFFSET('5  Control Accounts'!$CP$33,Q82,0)</f>
        <v>0</v>
      </c>
      <c r="Q82" s="537">
        <v>76</v>
      </c>
      <c r="R82" s="1411">
        <f ca="1">IF(P82=0,0,OFFSET('5  Control Accounts'!$FD$33,Q82,0))</f>
        <v>0</v>
      </c>
      <c r="S82" s="1411">
        <f ca="1">IF(P82=0,0,OFFSET('5  Control Accounts'!$FE$33,Q82,0))</f>
        <v>0</v>
      </c>
      <c r="T82" s="1930">
        <f t="shared" ca="1" si="12"/>
        <v>0</v>
      </c>
      <c r="U82" s="1930">
        <f t="shared" ca="1" si="13"/>
        <v>0</v>
      </c>
    </row>
    <row r="83" spans="1:21" s="750" customFormat="1" ht="15.9" customHeight="1" x14ac:dyDescent="0.3">
      <c r="A83" s="961" t="str">
        <f ca="1">IF(P83=0,"0",TEXT(OFFSET('5  Control Accounts'!$BF$33,Q83,0)&amp;"."&amp;OFFSET('5  Control Accounts'!$BH$33,Q83,0),"General"))</f>
        <v>0</v>
      </c>
      <c r="B83" s="961" t="str">
        <f t="shared" ca="1" si="14"/>
        <v>0</v>
      </c>
      <c r="C83" s="961" t="str">
        <f t="shared" ca="1" si="15"/>
        <v>0</v>
      </c>
      <c r="D83" s="961" t="str">
        <f ca="1">IF($P83=0,"0",TEXT(OFFSET('5  Control Accounts'!$DW$33,Q83,0),"General"))</f>
        <v>0</v>
      </c>
      <c r="E83" s="1327" t="str">
        <f ca="1">IF($P83=0,"0",TEXT(OFFSET('5  Control Accounts'!$Z$33,Q83,0),"##0.0"))</f>
        <v>0</v>
      </c>
      <c r="F83" s="961" t="str">
        <f ca="1">IF(P83=0,"0",TEXT(OFFSET('5  Control Accounts'!$FG$33,Q83,0),"##0.0"))</f>
        <v>0</v>
      </c>
      <c r="G83" s="961" t="str">
        <f ca="1">IF(P83=0,"0",TEXT(OFFSET('5  Control Accounts'!$FH$33,$Q83,0),"##0.0"))</f>
        <v>0</v>
      </c>
      <c r="H83" s="961" t="str">
        <f ca="1">IF(P83=0,"0",TEXT(OFFSET('5  Control Accounts'!$FP$33,$Q83,0),"##0.00"))</f>
        <v>0</v>
      </c>
      <c r="I83" s="961" t="str">
        <f ca="1">IF(P83=0,"0",TEXT(OFFSET('5  Control Accounts'!$FQ$33,$Q83,0),"0.0000"))</f>
        <v>0</v>
      </c>
      <c r="J83" s="961" t="str">
        <f ca="1">IF(P83=0,"0",TEXT(OFFSET('5  Control Accounts'!$FR$33,$Q83,0),"##0.00"))</f>
        <v>0</v>
      </c>
      <c r="K83" s="961" t="str">
        <f ca="1">IF(P83=0,"0",TEXT(OFFSET('5  Control Accounts'!$FX$33,Q83,0),"##0"))</f>
        <v>0</v>
      </c>
      <c r="L83" s="961" t="str">
        <f ca="1">IF(P83=0,"0",TEXT(OFFSET('5  Control Accounts'!$FU$33,Q83,0),"0.0000"))</f>
        <v>0</v>
      </c>
      <c r="M83" s="961" t="str">
        <f ca="1">IF(P83=0,"0",TEXT(OFFSET('5  Control Accounts'!$FY$33,Q83,0),"##0"))</f>
        <v>0</v>
      </c>
      <c r="N83" s="2346"/>
      <c r="P83" s="537">
        <f ca="1">$O$2*OFFSET('5  Control Accounts'!$CP$33,Q83,0)</f>
        <v>0</v>
      </c>
      <c r="Q83" s="537">
        <v>77</v>
      </c>
      <c r="R83" s="1411">
        <f ca="1">IF(P83=0,0,OFFSET('5  Control Accounts'!$FD$33,Q83,0))</f>
        <v>0</v>
      </c>
      <c r="S83" s="1411">
        <f ca="1">IF(P83=0,0,OFFSET('5  Control Accounts'!$FE$33,Q83,0))</f>
        <v>0</v>
      </c>
      <c r="T83" s="1930">
        <f t="shared" ca="1" si="12"/>
        <v>0</v>
      </c>
      <c r="U83" s="1930">
        <f t="shared" ca="1" si="13"/>
        <v>0</v>
      </c>
    </row>
    <row r="84" spans="1:21" s="750" customFormat="1" ht="15.9" customHeight="1" x14ac:dyDescent="0.3">
      <c r="A84" s="961" t="str">
        <f ca="1">IF(P84=0,"0",TEXT(OFFSET('5  Control Accounts'!$BF$33,Q84,0)&amp;"."&amp;OFFSET('5  Control Accounts'!$BH$33,Q84,0),"General"))</f>
        <v>0</v>
      </c>
      <c r="B84" s="961" t="str">
        <f t="shared" ca="1" si="14"/>
        <v>0</v>
      </c>
      <c r="C84" s="961" t="str">
        <f t="shared" ca="1" si="15"/>
        <v>0</v>
      </c>
      <c r="D84" s="961" t="str">
        <f ca="1">IF($P84=0,"0",TEXT(OFFSET('5  Control Accounts'!$DW$33,Q84,0),"General"))</f>
        <v>0</v>
      </c>
      <c r="E84" s="1327" t="str">
        <f ca="1">IF($P84=0,"0",TEXT(OFFSET('5  Control Accounts'!$Z$33,Q84,0),"##0.0"))</f>
        <v>0</v>
      </c>
      <c r="F84" s="961" t="str">
        <f ca="1">IF(P84=0,"0",TEXT(OFFSET('5  Control Accounts'!$FG$33,Q84,0),"##0.0"))</f>
        <v>0</v>
      </c>
      <c r="G84" s="961" t="str">
        <f ca="1">IF(P84=0,"0",TEXT(OFFSET('5  Control Accounts'!$FH$33,$Q84,0),"##0.0"))</f>
        <v>0</v>
      </c>
      <c r="H84" s="961" t="str">
        <f ca="1">IF(P84=0,"0",TEXT(OFFSET('5  Control Accounts'!$FP$33,$Q84,0),"##0.00"))</f>
        <v>0</v>
      </c>
      <c r="I84" s="961" t="str">
        <f ca="1">IF(P84=0,"0",TEXT(OFFSET('5  Control Accounts'!$FQ$33,$Q84,0),"0.0000"))</f>
        <v>0</v>
      </c>
      <c r="J84" s="961" t="str">
        <f ca="1">IF(P84=0,"0",TEXT(OFFSET('5  Control Accounts'!$FR$33,$Q84,0),"##0.00"))</f>
        <v>0</v>
      </c>
      <c r="K84" s="961" t="str">
        <f ca="1">IF(P84=0,"0",TEXT(OFFSET('5  Control Accounts'!$FX$33,Q84,0),"##0"))</f>
        <v>0</v>
      </c>
      <c r="L84" s="961" t="str">
        <f ca="1">IF(P84=0,"0",TEXT(OFFSET('5  Control Accounts'!$FU$33,Q84,0),"0.0000"))</f>
        <v>0</v>
      </c>
      <c r="M84" s="961" t="str">
        <f ca="1">IF(P84=0,"0",TEXT(OFFSET('5  Control Accounts'!$FY$33,Q84,0),"##0"))</f>
        <v>0</v>
      </c>
      <c r="N84" s="2346"/>
      <c r="P84" s="537">
        <f ca="1">$O$2*OFFSET('5  Control Accounts'!$CP$33,Q84,0)</f>
        <v>0</v>
      </c>
      <c r="Q84" s="537">
        <v>78</v>
      </c>
      <c r="R84" s="1411">
        <f ca="1">IF(P84=0,0,OFFSET('5  Control Accounts'!$FD$33,Q84,0))</f>
        <v>0</v>
      </c>
      <c r="S84" s="1411">
        <f ca="1">IF(P84=0,0,OFFSET('5  Control Accounts'!$FE$33,Q84,0))</f>
        <v>0</v>
      </c>
      <c r="T84" s="1930">
        <f t="shared" ca="1" si="12"/>
        <v>0</v>
      </c>
      <c r="U84" s="1930">
        <f t="shared" ca="1" si="13"/>
        <v>0</v>
      </c>
    </row>
    <row r="85" spans="1:21" s="750" customFormat="1" ht="15.9" customHeight="1" x14ac:dyDescent="0.3">
      <c r="A85" s="961" t="str">
        <f ca="1">IF(P85=0,"0",TEXT(OFFSET('5  Control Accounts'!$BF$33,Q85,0)&amp;"."&amp;OFFSET('5  Control Accounts'!$BH$33,Q85,0),"General"))</f>
        <v>0</v>
      </c>
      <c r="B85" s="961" t="str">
        <f t="shared" ca="1" si="14"/>
        <v>0</v>
      </c>
      <c r="C85" s="961" t="str">
        <f t="shared" ca="1" si="15"/>
        <v>0</v>
      </c>
      <c r="D85" s="961" t="str">
        <f ca="1">IF($P85=0,"0",TEXT(OFFSET('5  Control Accounts'!$DW$33,Q85,0),"General"))</f>
        <v>0</v>
      </c>
      <c r="E85" s="1327" t="str">
        <f ca="1">IF($P85=0,"0",TEXT(OFFSET('5  Control Accounts'!$Z$33,Q85,0),"##0.0"))</f>
        <v>0</v>
      </c>
      <c r="F85" s="961" t="str">
        <f ca="1">IF(P85=0,"0",TEXT(OFFSET('5  Control Accounts'!$FG$33,Q85,0),"##0.0"))</f>
        <v>0</v>
      </c>
      <c r="G85" s="961" t="str">
        <f ca="1">IF(P85=0,"0",TEXT(OFFSET('5  Control Accounts'!$FH$33,$Q85,0),"##0.0"))</f>
        <v>0</v>
      </c>
      <c r="H85" s="961" t="str">
        <f ca="1">IF(P85=0,"0",TEXT(OFFSET('5  Control Accounts'!$FP$33,$Q85,0),"##0.00"))</f>
        <v>0</v>
      </c>
      <c r="I85" s="961" t="str">
        <f ca="1">IF(P85=0,"0",TEXT(OFFSET('5  Control Accounts'!$FQ$33,$Q85,0),"0.0000"))</f>
        <v>0</v>
      </c>
      <c r="J85" s="961" t="str">
        <f ca="1">IF(P85=0,"0",TEXT(OFFSET('5  Control Accounts'!$FR$33,$Q85,0),"##0.00"))</f>
        <v>0</v>
      </c>
      <c r="K85" s="961" t="str">
        <f ca="1">IF(P85=0,"0",TEXT(OFFSET('5  Control Accounts'!$FX$33,Q85,0),"##0"))</f>
        <v>0</v>
      </c>
      <c r="L85" s="961" t="str">
        <f ca="1">IF(P85=0,"0",TEXT(OFFSET('5  Control Accounts'!$FU$33,Q85,0),"0.0000"))</f>
        <v>0</v>
      </c>
      <c r="M85" s="961" t="str">
        <f ca="1">IF(P85=0,"0",TEXT(OFFSET('5  Control Accounts'!$FY$33,Q85,0),"##0"))</f>
        <v>0</v>
      </c>
      <c r="N85" s="2346"/>
      <c r="P85" s="537">
        <f ca="1">$O$2*OFFSET('5  Control Accounts'!$CP$33,Q85,0)</f>
        <v>0</v>
      </c>
      <c r="Q85" s="537">
        <v>79</v>
      </c>
      <c r="R85" s="1411">
        <f ca="1">IF(P85=0,0,OFFSET('5  Control Accounts'!$FD$33,Q85,0))</f>
        <v>0</v>
      </c>
      <c r="S85" s="1411">
        <f ca="1">IF(P85=0,0,OFFSET('5  Control Accounts'!$FE$33,Q85,0))</f>
        <v>0</v>
      </c>
      <c r="T85" s="1930">
        <f t="shared" ca="1" si="12"/>
        <v>0</v>
      </c>
      <c r="U85" s="1930">
        <f t="shared" ca="1" si="13"/>
        <v>0</v>
      </c>
    </row>
    <row r="86" spans="1:21" s="750" customFormat="1" ht="15.9" customHeight="1" x14ac:dyDescent="0.3">
      <c r="A86" s="961" t="str">
        <f ca="1">IF(P86=0,"0",TEXT(OFFSET('5  Control Accounts'!$BF$33,Q86,0)&amp;"."&amp;OFFSET('5  Control Accounts'!$BH$33,Q86,0),"General"))</f>
        <v>0</v>
      </c>
      <c r="B86" s="961" t="str">
        <f t="shared" ca="1" si="14"/>
        <v>0</v>
      </c>
      <c r="C86" s="961" t="str">
        <f t="shared" ca="1" si="15"/>
        <v>0</v>
      </c>
      <c r="D86" s="961" t="str">
        <f ca="1">IF($P86=0,"0",TEXT(OFFSET('5  Control Accounts'!$DW$33,Q86,0),"General"))</f>
        <v>0</v>
      </c>
      <c r="E86" s="1327" t="str">
        <f ca="1">IF($P86=0,"0",TEXT(OFFSET('5  Control Accounts'!$Z$33,Q86,0),"##0.0"))</f>
        <v>0</v>
      </c>
      <c r="F86" s="961" t="str">
        <f ca="1">IF(P86=0,"0",TEXT(OFFSET('5  Control Accounts'!$FG$33,Q86,0),"##0.0"))</f>
        <v>0</v>
      </c>
      <c r="G86" s="961" t="str">
        <f ca="1">IF(P86=0,"0",TEXT(OFFSET('5  Control Accounts'!$FH$33,$Q86,0),"##0.0"))</f>
        <v>0</v>
      </c>
      <c r="H86" s="961" t="str">
        <f ca="1">IF(P86=0,"0",TEXT(OFFSET('5  Control Accounts'!$FP$33,$Q86,0),"##0.00"))</f>
        <v>0</v>
      </c>
      <c r="I86" s="961" t="str">
        <f ca="1">IF(P86=0,"0",TEXT(OFFSET('5  Control Accounts'!$FQ$33,$Q86,0),"0.0000"))</f>
        <v>0</v>
      </c>
      <c r="J86" s="961" t="str">
        <f ca="1">IF(P86=0,"0",TEXT(OFFSET('5  Control Accounts'!$FR$33,$Q86,0),"##0.00"))</f>
        <v>0</v>
      </c>
      <c r="K86" s="961" t="str">
        <f ca="1">IF(P86=0,"0",TEXT(OFFSET('5  Control Accounts'!$FX$33,Q86,0),"##0"))</f>
        <v>0</v>
      </c>
      <c r="L86" s="961" t="str">
        <f ca="1">IF(P86=0,"0",TEXT(OFFSET('5  Control Accounts'!$FU$33,Q86,0),"0.0000"))</f>
        <v>0</v>
      </c>
      <c r="M86" s="961" t="str">
        <f ca="1">IF(P86=0,"0",TEXT(OFFSET('5  Control Accounts'!$FY$33,Q86,0),"##0"))</f>
        <v>0</v>
      </c>
      <c r="N86" s="2346"/>
      <c r="P86" s="537">
        <f ca="1">$O$2*OFFSET('5  Control Accounts'!$CP$33,Q86,0)</f>
        <v>0</v>
      </c>
      <c r="Q86" s="537">
        <v>80</v>
      </c>
      <c r="R86" s="1411">
        <f ca="1">IF(P86=0,0,OFFSET('5  Control Accounts'!$FD$33,Q86,0))</f>
        <v>0</v>
      </c>
      <c r="S86" s="1411">
        <f ca="1">IF(P86=0,0,OFFSET('5  Control Accounts'!$FE$33,Q86,0))</f>
        <v>0</v>
      </c>
      <c r="T86" s="1930">
        <f t="shared" ca="1" si="12"/>
        <v>0</v>
      </c>
      <c r="U86" s="1930">
        <f t="shared" ca="1" si="13"/>
        <v>0</v>
      </c>
    </row>
    <row r="87" spans="1:21" s="750" customFormat="1" ht="15.9" customHeight="1" x14ac:dyDescent="0.3">
      <c r="A87" s="961" t="str">
        <f ca="1">IF(P87=0,"0",TEXT(OFFSET('5  Control Accounts'!$BF$33,Q87,0)&amp;"."&amp;OFFSET('5  Control Accounts'!$BH$33,Q87,0),"General"))</f>
        <v>0</v>
      </c>
      <c r="B87" s="961" t="str">
        <f t="shared" ca="1" si="14"/>
        <v>0</v>
      </c>
      <c r="C87" s="961" t="str">
        <f t="shared" ca="1" si="15"/>
        <v>0</v>
      </c>
      <c r="D87" s="961" t="str">
        <f ca="1">IF($P87=0,"0",TEXT(OFFSET('5  Control Accounts'!$DW$33,Q87,0),"General"))</f>
        <v>0</v>
      </c>
      <c r="E87" s="1327" t="str">
        <f ca="1">IF($P87=0,"0",TEXT(OFFSET('5  Control Accounts'!$Z$33,Q87,0),"##0.0"))</f>
        <v>0</v>
      </c>
      <c r="F87" s="961" t="str">
        <f ca="1">IF(P87=0,"0",TEXT(OFFSET('5  Control Accounts'!$FG$33,Q87,0),"##0.0"))</f>
        <v>0</v>
      </c>
      <c r="G87" s="961" t="str">
        <f ca="1">IF(P87=0,"0",TEXT(OFFSET('5  Control Accounts'!$FH$33,$Q87,0),"##0.0"))</f>
        <v>0</v>
      </c>
      <c r="H87" s="961" t="str">
        <f ca="1">IF(P87=0,"0",TEXT(OFFSET('5  Control Accounts'!$FP$33,$Q87,0),"##0.00"))</f>
        <v>0</v>
      </c>
      <c r="I87" s="961" t="str">
        <f ca="1">IF(P87=0,"0",TEXT(OFFSET('5  Control Accounts'!$FQ$33,$Q87,0),"0.0000"))</f>
        <v>0</v>
      </c>
      <c r="J87" s="961" t="str">
        <f ca="1">IF(P87=0,"0",TEXT(OFFSET('5  Control Accounts'!$FR$33,$Q87,0),"##0.00"))</f>
        <v>0</v>
      </c>
      <c r="K87" s="961" t="str">
        <f ca="1">IF(P87=0,"0",TEXT(OFFSET('5  Control Accounts'!$FX$33,Q87,0),"##0"))</f>
        <v>0</v>
      </c>
      <c r="L87" s="961" t="str">
        <f ca="1">IF(P87=0,"0",TEXT(OFFSET('5  Control Accounts'!$FU$33,Q87,0),"0.0000"))</f>
        <v>0</v>
      </c>
      <c r="M87" s="961" t="str">
        <f ca="1">IF(P87=0,"0",TEXT(OFFSET('5  Control Accounts'!$FY$33,Q87,0),"##0"))</f>
        <v>0</v>
      </c>
      <c r="N87" s="2346"/>
      <c r="P87" s="537">
        <f ca="1">$O$2*OFFSET('5  Control Accounts'!$CP$33,Q87,0)</f>
        <v>0</v>
      </c>
      <c r="Q87" s="537">
        <v>81</v>
      </c>
      <c r="R87" s="1411">
        <f ca="1">IF(P87=0,0,OFFSET('5  Control Accounts'!$FD$33,Q87,0))</f>
        <v>0</v>
      </c>
      <c r="S87" s="1411">
        <f ca="1">IF(P87=0,0,OFFSET('5  Control Accounts'!$FE$33,Q87,0))</f>
        <v>0</v>
      </c>
      <c r="T87" s="1930">
        <f t="shared" ca="1" si="12"/>
        <v>0</v>
      </c>
      <c r="U87" s="1930">
        <f t="shared" ca="1" si="13"/>
        <v>0</v>
      </c>
    </row>
    <row r="88" spans="1:21" s="750" customFormat="1" ht="15.9" customHeight="1" x14ac:dyDescent="0.3">
      <c r="A88" s="961" t="str">
        <f ca="1">IF(P88=0,"0",TEXT(OFFSET('5  Control Accounts'!$BF$33,Q88,0)&amp;"."&amp;OFFSET('5  Control Accounts'!$BH$33,Q88,0),"General"))</f>
        <v>0</v>
      </c>
      <c r="B88" s="961" t="str">
        <f t="shared" ca="1" si="14"/>
        <v>0</v>
      </c>
      <c r="C88" s="961" t="str">
        <f t="shared" ca="1" si="15"/>
        <v>0</v>
      </c>
      <c r="D88" s="961" t="str">
        <f ca="1">IF($P88=0,"0",TEXT(OFFSET('5  Control Accounts'!$DW$33,Q88,0),"General"))</f>
        <v>0</v>
      </c>
      <c r="E88" s="1327" t="str">
        <f ca="1">IF($P88=0,"0",TEXT(OFFSET('5  Control Accounts'!$Z$33,Q88,0),"##0.0"))</f>
        <v>0</v>
      </c>
      <c r="F88" s="961" t="str">
        <f ca="1">IF(P88=0,"0",TEXT(OFFSET('5  Control Accounts'!$FG$33,Q88,0),"##0.0"))</f>
        <v>0</v>
      </c>
      <c r="G88" s="961" t="str">
        <f ca="1">IF(P88=0,"0",TEXT(OFFSET('5  Control Accounts'!$FH$33,$Q88,0),"##0.0"))</f>
        <v>0</v>
      </c>
      <c r="H88" s="961" t="str">
        <f ca="1">IF(P88=0,"0",TEXT(OFFSET('5  Control Accounts'!$FP$33,$Q88,0),"##0.00"))</f>
        <v>0</v>
      </c>
      <c r="I88" s="961" t="str">
        <f ca="1">IF(P88=0,"0",TEXT(OFFSET('5  Control Accounts'!$FQ$33,$Q88,0),"0.0000"))</f>
        <v>0</v>
      </c>
      <c r="J88" s="961" t="str">
        <f ca="1">IF(P88=0,"0",TEXT(OFFSET('5  Control Accounts'!$FR$33,$Q88,0),"##0.00"))</f>
        <v>0</v>
      </c>
      <c r="K88" s="961" t="str">
        <f ca="1">IF(P88=0,"0",TEXT(OFFSET('5  Control Accounts'!$FX$33,Q88,0),"##0"))</f>
        <v>0</v>
      </c>
      <c r="L88" s="961" t="str">
        <f ca="1">IF(P88=0,"0",TEXT(OFFSET('5  Control Accounts'!$FU$33,Q88,0),"0.0000"))</f>
        <v>0</v>
      </c>
      <c r="M88" s="961" t="str">
        <f ca="1">IF(P88=0,"0",TEXT(OFFSET('5  Control Accounts'!$FY$33,Q88,0),"##0"))</f>
        <v>0</v>
      </c>
      <c r="N88" s="2346"/>
      <c r="P88" s="537">
        <f ca="1">$O$2*OFFSET('5  Control Accounts'!$CP$33,Q88,0)</f>
        <v>0</v>
      </c>
      <c r="Q88" s="537">
        <v>82</v>
      </c>
      <c r="R88" s="1411">
        <f ca="1">IF(P88=0,0,OFFSET('5  Control Accounts'!$FD$33,Q88,0))</f>
        <v>0</v>
      </c>
      <c r="S88" s="1411">
        <f ca="1">IF(P88=0,0,OFFSET('5  Control Accounts'!$FE$33,Q88,0))</f>
        <v>0</v>
      </c>
      <c r="T88" s="1930">
        <f t="shared" ca="1" si="12"/>
        <v>0</v>
      </c>
      <c r="U88" s="1930">
        <f t="shared" ca="1" si="13"/>
        <v>0</v>
      </c>
    </row>
    <row r="89" spans="1:21" s="750" customFormat="1" ht="15.9" customHeight="1" x14ac:dyDescent="0.3">
      <c r="A89" s="961" t="str">
        <f ca="1">IF(P89=0,"0",TEXT(OFFSET('5  Control Accounts'!$BF$33,Q89,0)&amp;"."&amp;OFFSET('5  Control Accounts'!$BH$33,Q89,0),"General"))</f>
        <v>0</v>
      </c>
      <c r="B89" s="961" t="str">
        <f t="shared" ca="1" si="14"/>
        <v>0</v>
      </c>
      <c r="C89" s="961" t="str">
        <f t="shared" ca="1" si="15"/>
        <v>0</v>
      </c>
      <c r="D89" s="961" t="str">
        <f ca="1">IF($P89=0,"0",TEXT(OFFSET('5  Control Accounts'!$DW$33,Q89,0),"General"))</f>
        <v>0</v>
      </c>
      <c r="E89" s="1327" t="str">
        <f ca="1">IF($P89=0,"0",TEXT(OFFSET('5  Control Accounts'!$Z$33,Q89,0),"##0.0"))</f>
        <v>0</v>
      </c>
      <c r="F89" s="961" t="str">
        <f ca="1">IF(P89=0,"0",TEXT(OFFSET('5  Control Accounts'!$FG$33,Q89,0),"##0.0"))</f>
        <v>0</v>
      </c>
      <c r="G89" s="961" t="str">
        <f ca="1">IF(P89=0,"0",TEXT(OFFSET('5  Control Accounts'!$FH$33,$Q89,0),"##0.0"))</f>
        <v>0</v>
      </c>
      <c r="H89" s="961" t="str">
        <f ca="1">IF(P89=0,"0",TEXT(OFFSET('5  Control Accounts'!$FP$33,$Q89,0),"##0.00"))</f>
        <v>0</v>
      </c>
      <c r="I89" s="961" t="str">
        <f ca="1">IF(P89=0,"0",TEXT(OFFSET('5  Control Accounts'!$FQ$33,$Q89,0),"0.0000"))</f>
        <v>0</v>
      </c>
      <c r="J89" s="961" t="str">
        <f ca="1">IF(P89=0,"0",TEXT(OFFSET('5  Control Accounts'!$FR$33,$Q89,0),"##0.00"))</f>
        <v>0</v>
      </c>
      <c r="K89" s="961" t="str">
        <f ca="1">IF(P89=0,"0",TEXT(OFFSET('5  Control Accounts'!$FX$33,Q89,0),"##0"))</f>
        <v>0</v>
      </c>
      <c r="L89" s="961" t="str">
        <f ca="1">IF(P89=0,"0",TEXT(OFFSET('5  Control Accounts'!$FU$33,Q89,0),"0.0000"))</f>
        <v>0</v>
      </c>
      <c r="M89" s="961" t="str">
        <f ca="1">IF(P89=0,"0",TEXT(OFFSET('5  Control Accounts'!$FY$33,Q89,0),"##0"))</f>
        <v>0</v>
      </c>
      <c r="N89" s="2346"/>
      <c r="P89" s="537">
        <f ca="1">$O$2*OFFSET('5  Control Accounts'!$CP$33,Q89,0)</f>
        <v>0</v>
      </c>
      <c r="Q89" s="537">
        <v>83</v>
      </c>
      <c r="R89" s="1411">
        <f ca="1">IF(P89=0,0,OFFSET('5  Control Accounts'!$FD$33,Q89,0))</f>
        <v>0</v>
      </c>
      <c r="S89" s="1411">
        <f ca="1">IF(P89=0,0,OFFSET('5  Control Accounts'!$FE$33,Q89,0))</f>
        <v>0</v>
      </c>
      <c r="T89" s="1930">
        <f t="shared" ca="1" si="12"/>
        <v>0</v>
      </c>
      <c r="U89" s="1930">
        <f t="shared" ca="1" si="13"/>
        <v>0</v>
      </c>
    </row>
    <row r="90" spans="1:21" s="750" customFormat="1" ht="15.9" customHeight="1" x14ac:dyDescent="0.3">
      <c r="A90" s="961" t="str">
        <f ca="1">IF(P90=0,"0",TEXT(OFFSET('5  Control Accounts'!$BF$33,Q90,0)&amp;"."&amp;OFFSET('5  Control Accounts'!$BH$33,Q90,0),"General"))</f>
        <v>0</v>
      </c>
      <c r="B90" s="961" t="str">
        <f t="shared" ca="1" si="14"/>
        <v>0</v>
      </c>
      <c r="C90" s="961" t="str">
        <f t="shared" ca="1" si="15"/>
        <v>0</v>
      </c>
      <c r="D90" s="961" t="str">
        <f ca="1">IF($P90=0,"0",TEXT(OFFSET('5  Control Accounts'!$DW$33,Q90,0),"General"))</f>
        <v>0</v>
      </c>
      <c r="E90" s="1327" t="str">
        <f ca="1">IF($P90=0,"0",TEXT(OFFSET('5  Control Accounts'!$Z$33,Q90,0),"##0.0"))</f>
        <v>0</v>
      </c>
      <c r="F90" s="961" t="str">
        <f ca="1">IF(P90=0,"0",TEXT(OFFSET('5  Control Accounts'!$FG$33,Q90,0),"##0.0"))</f>
        <v>0</v>
      </c>
      <c r="G90" s="961" t="str">
        <f ca="1">IF(P90=0,"0",TEXT(OFFSET('5  Control Accounts'!$FH$33,$Q90,0),"##0.0"))</f>
        <v>0</v>
      </c>
      <c r="H90" s="961" t="str">
        <f ca="1">IF(P90=0,"0",TEXT(OFFSET('5  Control Accounts'!$FP$33,$Q90,0),"##0.00"))</f>
        <v>0</v>
      </c>
      <c r="I90" s="961" t="str">
        <f ca="1">IF(P90=0,"0",TEXT(OFFSET('5  Control Accounts'!$FQ$33,$Q90,0),"0.0000"))</f>
        <v>0</v>
      </c>
      <c r="J90" s="961" t="str">
        <f ca="1">IF(P90=0,"0",TEXT(OFFSET('5  Control Accounts'!$FR$33,$Q90,0),"##0.00"))</f>
        <v>0</v>
      </c>
      <c r="K90" s="961" t="str">
        <f ca="1">IF(P90=0,"0",TEXT(OFFSET('5  Control Accounts'!$FX$33,Q90,0),"##0"))</f>
        <v>0</v>
      </c>
      <c r="L90" s="961" t="str">
        <f ca="1">IF(P90=0,"0",TEXT(OFFSET('5  Control Accounts'!$FU$33,Q90,0),"0.0000"))</f>
        <v>0</v>
      </c>
      <c r="M90" s="961" t="str">
        <f ca="1">IF(P90=0,"0",TEXT(OFFSET('5  Control Accounts'!$FY$33,Q90,0),"##0"))</f>
        <v>0</v>
      </c>
      <c r="N90" s="2346"/>
      <c r="P90" s="537">
        <f ca="1">$O$2*OFFSET('5  Control Accounts'!$CP$33,Q90,0)</f>
        <v>0</v>
      </c>
      <c r="Q90" s="537">
        <v>84</v>
      </c>
      <c r="R90" s="1411">
        <f ca="1">IF(P90=0,0,OFFSET('5  Control Accounts'!$FD$33,Q90,0))</f>
        <v>0</v>
      </c>
      <c r="S90" s="1411">
        <f ca="1">IF(P90=0,0,OFFSET('5  Control Accounts'!$FE$33,Q90,0))</f>
        <v>0</v>
      </c>
      <c r="T90" s="1930">
        <f t="shared" ca="1" si="12"/>
        <v>0</v>
      </c>
      <c r="U90" s="1930">
        <f t="shared" ca="1" si="13"/>
        <v>0</v>
      </c>
    </row>
    <row r="91" spans="1:21" s="750" customFormat="1" ht="15.9" customHeight="1" x14ac:dyDescent="0.3">
      <c r="A91" s="961" t="str">
        <f ca="1">IF(P91=0,"0",TEXT(OFFSET('5  Control Accounts'!$BF$33,Q91,0)&amp;"."&amp;OFFSET('5  Control Accounts'!$BH$33,Q91,0),"General"))</f>
        <v>0</v>
      </c>
      <c r="B91" s="961" t="str">
        <f t="shared" ca="1" si="14"/>
        <v>0</v>
      </c>
      <c r="C91" s="961" t="str">
        <f t="shared" ca="1" si="15"/>
        <v>0</v>
      </c>
      <c r="D91" s="961" t="str">
        <f ca="1">IF($P91=0,"0",TEXT(OFFSET('5  Control Accounts'!$DW$33,Q91,0),"General"))</f>
        <v>0</v>
      </c>
      <c r="E91" s="1327" t="str">
        <f ca="1">IF($P91=0,"0",TEXT(OFFSET('5  Control Accounts'!$Z$33,Q91,0),"##0.0"))</f>
        <v>0</v>
      </c>
      <c r="F91" s="961" t="str">
        <f ca="1">IF(P91=0,"0",TEXT(OFFSET('5  Control Accounts'!$FG$33,Q91,0),"##0.0"))</f>
        <v>0</v>
      </c>
      <c r="G91" s="961" t="str">
        <f ca="1">IF(P91=0,"0",TEXT(OFFSET('5  Control Accounts'!$FH$33,$Q91,0),"##0.0"))</f>
        <v>0</v>
      </c>
      <c r="H91" s="961" t="str">
        <f ca="1">IF(P91=0,"0",TEXT(OFFSET('5  Control Accounts'!$FP$33,$Q91,0),"##0.00"))</f>
        <v>0</v>
      </c>
      <c r="I91" s="961" t="str">
        <f ca="1">IF(P91=0,"0",TEXT(OFFSET('5  Control Accounts'!$FQ$33,$Q91,0),"0.0000"))</f>
        <v>0</v>
      </c>
      <c r="J91" s="961" t="str">
        <f ca="1">IF(P91=0,"0",TEXT(OFFSET('5  Control Accounts'!$FR$33,$Q91,0),"##0.00"))</f>
        <v>0</v>
      </c>
      <c r="K91" s="961" t="str">
        <f ca="1">IF(P91=0,"0",TEXT(OFFSET('5  Control Accounts'!$FX$33,Q91,0),"##0"))</f>
        <v>0</v>
      </c>
      <c r="L91" s="961" t="str">
        <f ca="1">IF(P91=0,"0",TEXT(OFFSET('5  Control Accounts'!$FU$33,Q91,0),"0.0000"))</f>
        <v>0</v>
      </c>
      <c r="M91" s="961" t="str">
        <f ca="1">IF(P91=0,"0",TEXT(OFFSET('5  Control Accounts'!$FY$33,Q91,0),"##0"))</f>
        <v>0</v>
      </c>
      <c r="N91" s="2346"/>
      <c r="P91" s="537">
        <f ca="1">$O$2*OFFSET('5  Control Accounts'!$CP$33,Q91,0)</f>
        <v>0</v>
      </c>
      <c r="Q91" s="537">
        <v>85</v>
      </c>
      <c r="R91" s="1411">
        <f ca="1">IF(P91=0,0,OFFSET('5  Control Accounts'!$FD$33,Q91,0))</f>
        <v>0</v>
      </c>
      <c r="S91" s="1411">
        <f ca="1">IF(P91=0,0,OFFSET('5  Control Accounts'!$FE$33,Q91,0))</f>
        <v>0</v>
      </c>
      <c r="T91" s="1930">
        <f t="shared" ca="1" si="12"/>
        <v>0</v>
      </c>
      <c r="U91" s="1930">
        <f t="shared" ca="1" si="13"/>
        <v>0</v>
      </c>
    </row>
    <row r="92" spans="1:21" s="750" customFormat="1" ht="15.9" customHeight="1" x14ac:dyDescent="0.3">
      <c r="A92" s="961" t="str">
        <f ca="1">IF(P92=0,"0",TEXT(OFFSET('5  Control Accounts'!$BF$33,Q92,0)&amp;"."&amp;OFFSET('5  Control Accounts'!$BH$33,Q92,0),"General"))</f>
        <v>0</v>
      </c>
      <c r="B92" s="961" t="str">
        <f t="shared" ca="1" si="14"/>
        <v>0</v>
      </c>
      <c r="C92" s="961" t="str">
        <f t="shared" ca="1" si="15"/>
        <v>0</v>
      </c>
      <c r="D92" s="961" t="str">
        <f ca="1">IF($P92=0,"0",TEXT(OFFSET('5  Control Accounts'!$DW$33,Q92,0),"General"))</f>
        <v>0</v>
      </c>
      <c r="E92" s="1327" t="str">
        <f ca="1">IF($P92=0,"0",TEXT(OFFSET('5  Control Accounts'!$Z$33,Q92,0),"##0.0"))</f>
        <v>0</v>
      </c>
      <c r="F92" s="961" t="str">
        <f ca="1">IF(P92=0,"0",TEXT(OFFSET('5  Control Accounts'!$FG$33,Q92,0),"##0.0"))</f>
        <v>0</v>
      </c>
      <c r="G92" s="961" t="str">
        <f ca="1">IF(P92=0,"0",TEXT(OFFSET('5  Control Accounts'!$FH$33,$Q92,0),"##0.0"))</f>
        <v>0</v>
      </c>
      <c r="H92" s="961" t="str">
        <f ca="1">IF(P92=0,"0",TEXT(OFFSET('5  Control Accounts'!$FP$33,$Q92,0),"##0.00"))</f>
        <v>0</v>
      </c>
      <c r="I92" s="961" t="str">
        <f ca="1">IF(P92=0,"0",TEXT(OFFSET('5  Control Accounts'!$FQ$33,$Q92,0),"0.0000"))</f>
        <v>0</v>
      </c>
      <c r="J92" s="961" t="str">
        <f ca="1">IF(P92=0,"0",TEXT(OFFSET('5  Control Accounts'!$FR$33,$Q92,0),"##0.00"))</f>
        <v>0</v>
      </c>
      <c r="K92" s="961" t="str">
        <f ca="1">IF(P92=0,"0",TEXT(OFFSET('5  Control Accounts'!$FX$33,Q92,0),"##0"))</f>
        <v>0</v>
      </c>
      <c r="L92" s="961" t="str">
        <f ca="1">IF(P92=0,"0",TEXT(OFFSET('5  Control Accounts'!$FU$33,Q92,0),"0.0000"))</f>
        <v>0</v>
      </c>
      <c r="M92" s="961" t="str">
        <f ca="1">IF(P92=0,"0",TEXT(OFFSET('5  Control Accounts'!$FY$33,Q92,0),"##0"))</f>
        <v>0</v>
      </c>
      <c r="N92" s="2346"/>
      <c r="P92" s="537">
        <f ca="1">$O$2*OFFSET('5  Control Accounts'!$CP$33,Q92,0)</f>
        <v>0</v>
      </c>
      <c r="Q92" s="537">
        <v>86</v>
      </c>
      <c r="R92" s="1411">
        <f ca="1">IF(P92=0,0,OFFSET('5  Control Accounts'!$FD$33,Q92,0))</f>
        <v>0</v>
      </c>
      <c r="S92" s="1411">
        <f ca="1">IF(P92=0,0,OFFSET('5  Control Accounts'!$FE$33,Q92,0))</f>
        <v>0</v>
      </c>
      <c r="T92" s="1930">
        <f t="shared" ca="1" si="12"/>
        <v>0</v>
      </c>
      <c r="U92" s="1930">
        <f t="shared" ca="1" si="13"/>
        <v>0</v>
      </c>
    </row>
    <row r="93" spans="1:21" s="750" customFormat="1" ht="15.9" customHeight="1" x14ac:dyDescent="0.3">
      <c r="A93" s="961" t="str">
        <f ca="1">IF(P93=0,"0",TEXT(OFFSET('5  Control Accounts'!$BF$33,Q93,0)&amp;"."&amp;OFFSET('5  Control Accounts'!$BH$33,Q93,0),"General"))</f>
        <v>0</v>
      </c>
      <c r="B93" s="961" t="str">
        <f t="shared" ca="1" si="14"/>
        <v>0</v>
      </c>
      <c r="C93" s="961" t="str">
        <f t="shared" ca="1" si="15"/>
        <v>0</v>
      </c>
      <c r="D93" s="961" t="str">
        <f ca="1">IF($P93=0,"0",TEXT(OFFSET('5  Control Accounts'!$DW$33,Q93,0),"General"))</f>
        <v>0</v>
      </c>
      <c r="E93" s="1327" t="str">
        <f ca="1">IF($P93=0,"0",TEXT(OFFSET('5  Control Accounts'!$Z$33,Q93,0),"##0.0"))</f>
        <v>0</v>
      </c>
      <c r="F93" s="961" t="str">
        <f ca="1">IF(P93=0,"0",TEXT(OFFSET('5  Control Accounts'!$FG$33,Q93,0),"##0.0"))</f>
        <v>0</v>
      </c>
      <c r="G93" s="961" t="str">
        <f ca="1">IF(P93=0,"0",TEXT(OFFSET('5  Control Accounts'!$FH$33,$Q93,0),"##0.0"))</f>
        <v>0</v>
      </c>
      <c r="H93" s="961" t="str">
        <f ca="1">IF(P93=0,"0",TEXT(OFFSET('5  Control Accounts'!$FP$33,$Q93,0),"##0.00"))</f>
        <v>0</v>
      </c>
      <c r="I93" s="961" t="str">
        <f ca="1">IF(P93=0,"0",TEXT(OFFSET('5  Control Accounts'!$FQ$33,$Q93,0),"0.0000"))</f>
        <v>0</v>
      </c>
      <c r="J93" s="961" t="str">
        <f ca="1">IF(P93=0,"0",TEXT(OFFSET('5  Control Accounts'!$FR$33,$Q93,0),"##0.00"))</f>
        <v>0</v>
      </c>
      <c r="K93" s="961" t="str">
        <f ca="1">IF(P93=0,"0",TEXT(OFFSET('5  Control Accounts'!$FX$33,Q93,0),"##0"))</f>
        <v>0</v>
      </c>
      <c r="L93" s="961" t="str">
        <f ca="1">IF(P93=0,"0",TEXT(OFFSET('5  Control Accounts'!$FU$33,Q93,0),"0.0000"))</f>
        <v>0</v>
      </c>
      <c r="M93" s="961" t="str">
        <f ca="1">IF(P93=0,"0",TEXT(OFFSET('5  Control Accounts'!$FY$33,Q93,0),"##0"))</f>
        <v>0</v>
      </c>
      <c r="N93" s="2346"/>
      <c r="P93" s="537">
        <f ca="1">$O$2*OFFSET('5  Control Accounts'!$CP$33,Q93,0)</f>
        <v>0</v>
      </c>
      <c r="Q93" s="537">
        <v>87</v>
      </c>
      <c r="R93" s="1411">
        <f ca="1">IF(P93=0,0,OFFSET('5  Control Accounts'!$FD$33,Q93,0))</f>
        <v>0</v>
      </c>
      <c r="S93" s="1411">
        <f ca="1">IF(P93=0,0,OFFSET('5  Control Accounts'!$FE$33,Q93,0))</f>
        <v>0</v>
      </c>
      <c r="T93" s="1930">
        <f t="shared" ca="1" si="12"/>
        <v>0</v>
      </c>
      <c r="U93" s="1930">
        <f t="shared" ca="1" si="13"/>
        <v>0</v>
      </c>
    </row>
    <row r="94" spans="1:21" s="750" customFormat="1" ht="15.9" customHeight="1" x14ac:dyDescent="0.3">
      <c r="A94" s="961" t="str">
        <f ca="1">IF(P94=0,"0",TEXT(OFFSET('5  Control Accounts'!$BF$33,Q94,0)&amp;"."&amp;OFFSET('5  Control Accounts'!$BH$33,Q94,0),"General"))</f>
        <v>0</v>
      </c>
      <c r="B94" s="961" t="str">
        <f t="shared" ca="1" si="14"/>
        <v>0</v>
      </c>
      <c r="C94" s="961" t="str">
        <f t="shared" ca="1" si="15"/>
        <v>0</v>
      </c>
      <c r="D94" s="961" t="str">
        <f ca="1">IF($P94=0,"0",TEXT(OFFSET('5  Control Accounts'!$DW$33,Q94,0),"General"))</f>
        <v>0</v>
      </c>
      <c r="E94" s="1327" t="str">
        <f ca="1">IF($P94=0,"0",TEXT(OFFSET('5  Control Accounts'!$Z$33,Q94,0),"##0.0"))</f>
        <v>0</v>
      </c>
      <c r="F94" s="961" t="str">
        <f ca="1">IF(P94=0,"0",TEXT(OFFSET('5  Control Accounts'!$FG$33,Q94,0),"##0.0"))</f>
        <v>0</v>
      </c>
      <c r="G94" s="961" t="str">
        <f ca="1">IF(P94=0,"0",TEXT(OFFSET('5  Control Accounts'!$FH$33,$Q94,0),"##0.0"))</f>
        <v>0</v>
      </c>
      <c r="H94" s="961" t="str">
        <f ca="1">IF(P94=0,"0",TEXT(OFFSET('5  Control Accounts'!$FP$33,$Q94,0),"##0.00"))</f>
        <v>0</v>
      </c>
      <c r="I94" s="961" t="str">
        <f ca="1">IF(P94=0,"0",TEXT(OFFSET('5  Control Accounts'!$FQ$33,$Q94,0),"0.0000"))</f>
        <v>0</v>
      </c>
      <c r="J94" s="961" t="str">
        <f ca="1">IF(P94=0,"0",TEXT(OFFSET('5  Control Accounts'!$FR$33,$Q94,0),"##0.00"))</f>
        <v>0</v>
      </c>
      <c r="K94" s="961" t="str">
        <f ca="1">IF(P94=0,"0",TEXT(OFFSET('5  Control Accounts'!$FX$33,Q94,0),"##0"))</f>
        <v>0</v>
      </c>
      <c r="L94" s="961" t="str">
        <f ca="1">IF(P94=0,"0",TEXT(OFFSET('5  Control Accounts'!$FU$33,Q94,0),"0.0000"))</f>
        <v>0</v>
      </c>
      <c r="M94" s="961" t="str">
        <f ca="1">IF(P94=0,"0",TEXT(OFFSET('5  Control Accounts'!$FY$33,Q94,0),"##0"))</f>
        <v>0</v>
      </c>
      <c r="N94" s="2346"/>
      <c r="P94" s="537">
        <f ca="1">$O$2*OFFSET('5  Control Accounts'!$CP$33,Q94,0)</f>
        <v>0</v>
      </c>
      <c r="Q94" s="537">
        <v>88</v>
      </c>
      <c r="R94" s="1411">
        <f ca="1">IF(P94=0,0,OFFSET('5  Control Accounts'!$FD$33,Q94,0))</f>
        <v>0</v>
      </c>
      <c r="S94" s="1411">
        <f ca="1">IF(P94=0,0,OFFSET('5  Control Accounts'!$FE$33,Q94,0))</f>
        <v>0</v>
      </c>
      <c r="T94" s="1930">
        <f t="shared" ca="1" si="12"/>
        <v>0</v>
      </c>
      <c r="U94" s="1930">
        <f t="shared" ca="1" si="13"/>
        <v>0</v>
      </c>
    </row>
    <row r="95" spans="1:21" s="750" customFormat="1" ht="15.9" customHeight="1" x14ac:dyDescent="0.3">
      <c r="A95" s="961" t="str">
        <f ca="1">IF(P95=0,"0",TEXT(OFFSET('5  Control Accounts'!$BF$33,Q95,0)&amp;"."&amp;OFFSET('5  Control Accounts'!$BH$33,Q95,0),"General"))</f>
        <v>0</v>
      </c>
      <c r="B95" s="961" t="str">
        <f t="shared" ca="1" si="14"/>
        <v>0</v>
      </c>
      <c r="C95" s="961" t="str">
        <f t="shared" ca="1" si="15"/>
        <v>0</v>
      </c>
      <c r="D95" s="961" t="str">
        <f ca="1">IF($P95=0,"0",TEXT(OFFSET('5  Control Accounts'!$DW$33,Q95,0),"General"))</f>
        <v>0</v>
      </c>
      <c r="E95" s="1327" t="str">
        <f ca="1">IF($P95=0,"0",TEXT(OFFSET('5  Control Accounts'!$Z$33,Q95,0),"##0.0"))</f>
        <v>0</v>
      </c>
      <c r="F95" s="961" t="str">
        <f ca="1">IF(P95=0,"0",TEXT(OFFSET('5  Control Accounts'!$FG$33,Q95,0),"##0.0"))</f>
        <v>0</v>
      </c>
      <c r="G95" s="961" t="str">
        <f ca="1">IF(P95=0,"0",TEXT(OFFSET('5  Control Accounts'!$FH$33,$Q95,0),"##0.0"))</f>
        <v>0</v>
      </c>
      <c r="H95" s="961" t="str">
        <f ca="1">IF(P95=0,"0",TEXT(OFFSET('5  Control Accounts'!$FP$33,$Q95,0),"##0.00"))</f>
        <v>0</v>
      </c>
      <c r="I95" s="961" t="str">
        <f ca="1">IF(P95=0,"0",TEXT(OFFSET('5  Control Accounts'!$FQ$33,$Q95,0),"0.0000"))</f>
        <v>0</v>
      </c>
      <c r="J95" s="961" t="str">
        <f ca="1">IF(P95=0,"0",TEXT(OFFSET('5  Control Accounts'!$FR$33,$Q95,0),"##0.00"))</f>
        <v>0</v>
      </c>
      <c r="K95" s="961" t="str">
        <f ca="1">IF(P95=0,"0",TEXT(OFFSET('5  Control Accounts'!$FX$33,Q95,0),"##0"))</f>
        <v>0</v>
      </c>
      <c r="L95" s="961" t="str">
        <f ca="1">IF(P95=0,"0",TEXT(OFFSET('5  Control Accounts'!$FU$33,Q95,0),"0.0000"))</f>
        <v>0</v>
      </c>
      <c r="M95" s="961" t="str">
        <f ca="1">IF(P95=0,"0",TEXT(OFFSET('5  Control Accounts'!$FY$33,Q95,0),"##0"))</f>
        <v>0</v>
      </c>
      <c r="N95" s="2346"/>
      <c r="P95" s="537">
        <f ca="1">$O$2*OFFSET('5  Control Accounts'!$CP$33,Q95,0)</f>
        <v>0</v>
      </c>
      <c r="Q95" s="537">
        <v>89</v>
      </c>
      <c r="R95" s="1411">
        <f ca="1">IF(P95=0,0,OFFSET('5  Control Accounts'!$FD$33,Q95,0))</f>
        <v>0</v>
      </c>
      <c r="S95" s="1411">
        <f ca="1">IF(P95=0,0,OFFSET('5  Control Accounts'!$FE$33,Q95,0))</f>
        <v>0</v>
      </c>
      <c r="T95" s="1930">
        <f t="shared" ca="1" si="12"/>
        <v>0</v>
      </c>
      <c r="U95" s="1930">
        <f t="shared" ca="1" si="13"/>
        <v>0</v>
      </c>
    </row>
    <row r="96" spans="1:21" s="750" customFormat="1" ht="15.9" customHeight="1" x14ac:dyDescent="0.3">
      <c r="A96" s="961" t="str">
        <f ca="1">IF(P96=0,"0",TEXT(OFFSET('5  Control Accounts'!$BF$33,Q96,0)&amp;"."&amp;OFFSET('5  Control Accounts'!$BH$33,Q96,0),"General"))</f>
        <v>0</v>
      </c>
      <c r="B96" s="961" t="str">
        <f t="shared" ca="1" si="14"/>
        <v>0</v>
      </c>
      <c r="C96" s="961" t="str">
        <f t="shared" ca="1" si="15"/>
        <v>0</v>
      </c>
      <c r="D96" s="961" t="str">
        <f ca="1">IF($P96=0,"0",TEXT(OFFSET('5  Control Accounts'!$DW$33,Q96,0),"General"))</f>
        <v>0</v>
      </c>
      <c r="E96" s="1327" t="str">
        <f ca="1">IF($P96=0,"0",TEXT(OFFSET('5  Control Accounts'!$Z$33,Q96,0),"##0.0"))</f>
        <v>0</v>
      </c>
      <c r="F96" s="961" t="str">
        <f ca="1">IF(P96=0,"0",TEXT(OFFSET('5  Control Accounts'!$FG$33,Q96,0),"##0.0"))</f>
        <v>0</v>
      </c>
      <c r="G96" s="961" t="str">
        <f ca="1">IF(P96=0,"0",TEXT(OFFSET('5  Control Accounts'!$FH$33,$Q96,0),"##0.0"))</f>
        <v>0</v>
      </c>
      <c r="H96" s="961" t="str">
        <f ca="1">IF(P96=0,"0",TEXT(OFFSET('5  Control Accounts'!$FP$33,$Q96,0),"##0.00"))</f>
        <v>0</v>
      </c>
      <c r="I96" s="961" t="str">
        <f ca="1">IF(P96=0,"0",TEXT(OFFSET('5  Control Accounts'!$FQ$33,$Q96,0),"0.0000"))</f>
        <v>0</v>
      </c>
      <c r="J96" s="961" t="str">
        <f ca="1">IF(P96=0,"0",TEXT(OFFSET('5  Control Accounts'!$FR$33,$Q96,0),"##0.00"))</f>
        <v>0</v>
      </c>
      <c r="K96" s="961" t="str">
        <f ca="1">IF(P96=0,"0",TEXT(OFFSET('5  Control Accounts'!$FX$33,Q96,0),"##0"))</f>
        <v>0</v>
      </c>
      <c r="L96" s="961" t="str">
        <f ca="1">IF(P96=0,"0",TEXT(OFFSET('5  Control Accounts'!$FU$33,Q96,0),"0.0000"))</f>
        <v>0</v>
      </c>
      <c r="M96" s="961" t="str">
        <f ca="1">IF(P96=0,"0",TEXT(OFFSET('5  Control Accounts'!$FY$33,Q96,0),"##0"))</f>
        <v>0</v>
      </c>
      <c r="N96" s="2346"/>
      <c r="P96" s="537">
        <f ca="1">$O$2*OFFSET('5  Control Accounts'!$CP$33,Q96,0)</f>
        <v>0</v>
      </c>
      <c r="Q96" s="537">
        <v>90</v>
      </c>
      <c r="R96" s="1411">
        <f ca="1">IF(P96=0,0,OFFSET('5  Control Accounts'!$FD$33,Q96,0))</f>
        <v>0</v>
      </c>
      <c r="S96" s="1411">
        <f ca="1">IF(P96=0,0,OFFSET('5  Control Accounts'!$FE$33,Q96,0))</f>
        <v>0</v>
      </c>
      <c r="T96" s="1930">
        <f t="shared" ca="1" si="12"/>
        <v>0</v>
      </c>
      <c r="U96" s="1930">
        <f t="shared" ca="1" si="13"/>
        <v>0</v>
      </c>
    </row>
    <row r="97" spans="1:21" s="750" customFormat="1" ht="15.9" customHeight="1" x14ac:dyDescent="0.3">
      <c r="A97" s="961" t="str">
        <f ca="1">IF(P97=0,"0",TEXT(OFFSET('5  Control Accounts'!$BF$33,Q97,0)&amp;"."&amp;OFFSET('5  Control Accounts'!$BH$33,Q97,0),"General"))</f>
        <v>0</v>
      </c>
      <c r="B97" s="961" t="str">
        <f t="shared" ca="1" si="14"/>
        <v>0</v>
      </c>
      <c r="C97" s="961" t="str">
        <f t="shared" ca="1" si="15"/>
        <v>0</v>
      </c>
      <c r="D97" s="961" t="str">
        <f ca="1">IF($P97=0,"0",TEXT(OFFSET('5  Control Accounts'!$DW$33,Q97,0),"General"))</f>
        <v>0</v>
      </c>
      <c r="E97" s="1327" t="str">
        <f ca="1">IF($P97=0,"0",TEXT(OFFSET('5  Control Accounts'!$Z$33,Q97,0),"##0.0"))</f>
        <v>0</v>
      </c>
      <c r="F97" s="961" t="str">
        <f ca="1">IF(P97=0,"0",TEXT(OFFSET('5  Control Accounts'!$FG$33,Q97,0),"##0.0"))</f>
        <v>0</v>
      </c>
      <c r="G97" s="961" t="str">
        <f ca="1">IF(P97=0,"0",TEXT(OFFSET('5  Control Accounts'!$FH$33,$Q97,0),"##0.0"))</f>
        <v>0</v>
      </c>
      <c r="H97" s="961" t="str">
        <f ca="1">IF(P97=0,"0",TEXT(OFFSET('5  Control Accounts'!$FP$33,$Q97,0),"##0.00"))</f>
        <v>0</v>
      </c>
      <c r="I97" s="961" t="str">
        <f ca="1">IF(P97=0,"0",TEXT(OFFSET('5  Control Accounts'!$FQ$33,$Q97,0),"0.0000"))</f>
        <v>0</v>
      </c>
      <c r="J97" s="961" t="str">
        <f ca="1">IF(P97=0,"0",TEXT(OFFSET('5  Control Accounts'!$FR$33,$Q97,0),"##0.00"))</f>
        <v>0</v>
      </c>
      <c r="K97" s="961" t="str">
        <f ca="1">IF(P97=0,"0",TEXT(OFFSET('5  Control Accounts'!$FX$33,Q97,0),"##0"))</f>
        <v>0</v>
      </c>
      <c r="L97" s="961" t="str">
        <f ca="1">IF(P97=0,"0",TEXT(OFFSET('5  Control Accounts'!$FU$33,Q97,0),"0.0000"))</f>
        <v>0</v>
      </c>
      <c r="M97" s="961" t="str">
        <f ca="1">IF(P97=0,"0",TEXT(OFFSET('5  Control Accounts'!$FY$33,Q97,0),"##0"))</f>
        <v>0</v>
      </c>
      <c r="N97" s="2346"/>
      <c r="P97" s="537">
        <f ca="1">$O$2*OFFSET('5  Control Accounts'!$CP$33,Q97,0)</f>
        <v>0</v>
      </c>
      <c r="Q97" s="537">
        <v>91</v>
      </c>
      <c r="R97" s="1411">
        <f ca="1">IF(P97=0,0,OFFSET('5  Control Accounts'!$FD$33,Q97,0))</f>
        <v>0</v>
      </c>
      <c r="S97" s="1411">
        <f ca="1">IF(P97=0,0,OFFSET('5  Control Accounts'!$FE$33,Q97,0))</f>
        <v>0</v>
      </c>
      <c r="T97" s="1930">
        <f t="shared" ca="1" si="12"/>
        <v>0</v>
      </c>
      <c r="U97" s="1930">
        <f t="shared" ca="1" si="13"/>
        <v>0</v>
      </c>
    </row>
    <row r="98" spans="1:21" s="750" customFormat="1" ht="15.9" customHeight="1" x14ac:dyDescent="0.3">
      <c r="A98" s="961" t="str">
        <f ca="1">IF(P98=0,"0",TEXT(OFFSET('5  Control Accounts'!$BF$33,Q98,0)&amp;"."&amp;OFFSET('5  Control Accounts'!$BH$33,Q98,0),"General"))</f>
        <v>0</v>
      </c>
      <c r="B98" s="961" t="str">
        <f t="shared" ca="1" si="14"/>
        <v>0</v>
      </c>
      <c r="C98" s="961" t="str">
        <f t="shared" ca="1" si="15"/>
        <v>0</v>
      </c>
      <c r="D98" s="961" t="str">
        <f ca="1">IF($P98=0,"0",TEXT(OFFSET('5  Control Accounts'!$DW$33,Q98,0),"General"))</f>
        <v>0</v>
      </c>
      <c r="E98" s="1327" t="str">
        <f ca="1">IF($P98=0,"0",TEXT(OFFSET('5  Control Accounts'!$Z$33,Q98,0),"##0.0"))</f>
        <v>0</v>
      </c>
      <c r="F98" s="961" t="str">
        <f ca="1">IF(P98=0,"0",TEXT(OFFSET('5  Control Accounts'!$FG$33,Q98,0),"##0.0"))</f>
        <v>0</v>
      </c>
      <c r="G98" s="961" t="str">
        <f ca="1">IF(P98=0,"0",TEXT(OFFSET('5  Control Accounts'!$FH$33,$Q98,0),"##0.0"))</f>
        <v>0</v>
      </c>
      <c r="H98" s="961" t="str">
        <f ca="1">IF(P98=0,"0",TEXT(OFFSET('5  Control Accounts'!$FP$33,$Q98,0),"##0.00"))</f>
        <v>0</v>
      </c>
      <c r="I98" s="961" t="str">
        <f ca="1">IF(P98=0,"0",TEXT(OFFSET('5  Control Accounts'!$FQ$33,$Q98,0),"0.0000"))</f>
        <v>0</v>
      </c>
      <c r="J98" s="961" t="str">
        <f ca="1">IF(P98=0,"0",TEXT(OFFSET('5  Control Accounts'!$FR$33,$Q98,0),"##0.00"))</f>
        <v>0</v>
      </c>
      <c r="K98" s="961" t="str">
        <f ca="1">IF(P98=0,"0",TEXT(OFFSET('5  Control Accounts'!$FX$33,Q98,0),"##0"))</f>
        <v>0</v>
      </c>
      <c r="L98" s="961" t="str">
        <f ca="1">IF(P98=0,"0",TEXT(OFFSET('5  Control Accounts'!$FU$33,Q98,0),"0.0000"))</f>
        <v>0</v>
      </c>
      <c r="M98" s="961" t="str">
        <f ca="1">IF(P98=0,"0",TEXT(OFFSET('5  Control Accounts'!$FY$33,Q98,0),"##0"))</f>
        <v>0</v>
      </c>
      <c r="N98" s="2346"/>
      <c r="P98" s="537">
        <f ca="1">$O$2*OFFSET('5  Control Accounts'!$CP$33,Q98,0)</f>
        <v>0</v>
      </c>
      <c r="Q98" s="537">
        <v>92</v>
      </c>
      <c r="R98" s="1411">
        <f ca="1">IF(P98=0,0,OFFSET('5  Control Accounts'!$FD$33,Q98,0))</f>
        <v>0</v>
      </c>
      <c r="S98" s="1411">
        <f ca="1">IF(P98=0,0,OFFSET('5  Control Accounts'!$FE$33,Q98,0))</f>
        <v>0</v>
      </c>
      <c r="T98" s="1930">
        <f t="shared" ca="1" si="12"/>
        <v>0</v>
      </c>
      <c r="U98" s="1930">
        <f t="shared" ca="1" si="13"/>
        <v>0</v>
      </c>
    </row>
    <row r="99" spans="1:21" s="750" customFormat="1" ht="15.9" customHeight="1" x14ac:dyDescent="0.3">
      <c r="A99" s="961" t="str">
        <f ca="1">IF(P99=0,"0",TEXT(OFFSET('5  Control Accounts'!$BF$33,Q99,0)&amp;"."&amp;OFFSET('5  Control Accounts'!$BH$33,Q99,0),"General"))</f>
        <v>0</v>
      </c>
      <c r="B99" s="961" t="str">
        <f t="shared" ca="1" si="14"/>
        <v>0</v>
      </c>
      <c r="C99" s="961" t="str">
        <f t="shared" ca="1" si="15"/>
        <v>0</v>
      </c>
      <c r="D99" s="961" t="str">
        <f ca="1">IF($P99=0,"0",TEXT(OFFSET('5  Control Accounts'!$DW$33,Q99,0),"General"))</f>
        <v>0</v>
      </c>
      <c r="E99" s="1327" t="str">
        <f ca="1">IF($P99=0,"0",TEXT(OFFSET('5  Control Accounts'!$Z$33,Q99,0),"##0.0"))</f>
        <v>0</v>
      </c>
      <c r="F99" s="961" t="str">
        <f ca="1">IF(P99=0,"0",TEXT(OFFSET('5  Control Accounts'!$FG$33,Q99,0),"##0.0"))</f>
        <v>0</v>
      </c>
      <c r="G99" s="961" t="str">
        <f ca="1">IF(P99=0,"0",TEXT(OFFSET('5  Control Accounts'!$FH$33,$Q99,0),"##0.0"))</f>
        <v>0</v>
      </c>
      <c r="H99" s="961" t="str">
        <f ca="1">IF(P99=0,"0",TEXT(OFFSET('5  Control Accounts'!$FP$33,$Q99,0),"##0.00"))</f>
        <v>0</v>
      </c>
      <c r="I99" s="961" t="str">
        <f ca="1">IF(P99=0,"0",TEXT(OFFSET('5  Control Accounts'!$FQ$33,$Q99,0),"0.0000"))</f>
        <v>0</v>
      </c>
      <c r="J99" s="961" t="str">
        <f ca="1">IF(P99=0,"0",TEXT(OFFSET('5  Control Accounts'!$FR$33,$Q99,0),"##0.00"))</f>
        <v>0</v>
      </c>
      <c r="K99" s="961" t="str">
        <f ca="1">IF(P99=0,"0",TEXT(OFFSET('5  Control Accounts'!$FX$33,Q99,0),"##0"))</f>
        <v>0</v>
      </c>
      <c r="L99" s="961" t="str">
        <f ca="1">IF(P99=0,"0",TEXT(OFFSET('5  Control Accounts'!$FU$33,Q99,0),"0.0000"))</f>
        <v>0</v>
      </c>
      <c r="M99" s="961" t="str">
        <f ca="1">IF(P99=0,"0",TEXT(OFFSET('5  Control Accounts'!$FY$33,Q99,0),"##0"))</f>
        <v>0</v>
      </c>
      <c r="N99" s="2346"/>
      <c r="P99" s="537">
        <f ca="1">$O$2*OFFSET('5  Control Accounts'!$CP$33,Q99,0)</f>
        <v>0</v>
      </c>
      <c r="Q99" s="537">
        <v>93</v>
      </c>
      <c r="R99" s="1411">
        <f ca="1">IF(P99=0,0,OFFSET('5  Control Accounts'!$FD$33,Q99,0))</f>
        <v>0</v>
      </c>
      <c r="S99" s="1411">
        <f ca="1">IF(P99=0,0,OFFSET('5  Control Accounts'!$FE$33,Q99,0))</f>
        <v>0</v>
      </c>
      <c r="T99" s="1930">
        <f t="shared" ca="1" si="12"/>
        <v>0</v>
      </c>
      <c r="U99" s="1930">
        <f t="shared" ca="1" si="13"/>
        <v>0</v>
      </c>
    </row>
    <row r="100" spans="1:21" s="750" customFormat="1" ht="15.9" customHeight="1" x14ac:dyDescent="0.3">
      <c r="A100" s="961" t="str">
        <f ca="1">IF(P100=0,"0",TEXT(OFFSET('5  Control Accounts'!$BF$33,Q100,0)&amp;"."&amp;OFFSET('5  Control Accounts'!$BH$33,Q100,0),"General"))</f>
        <v>0</v>
      </c>
      <c r="B100" s="961" t="str">
        <f t="shared" ca="1" si="14"/>
        <v>0</v>
      </c>
      <c r="C100" s="961" t="str">
        <f t="shared" ca="1" si="15"/>
        <v>0</v>
      </c>
      <c r="D100" s="961" t="str">
        <f ca="1">IF($P100=0,"0",TEXT(OFFSET('5  Control Accounts'!$DW$33,Q100,0),"General"))</f>
        <v>0</v>
      </c>
      <c r="E100" s="1327" t="str">
        <f ca="1">IF($P100=0,"0",TEXT(OFFSET('5  Control Accounts'!$Z$33,Q100,0),"##0.0"))</f>
        <v>0</v>
      </c>
      <c r="F100" s="961" t="str">
        <f ca="1">IF(P100=0,"0",TEXT(OFFSET('5  Control Accounts'!$FG$33,Q100,0),"##0.0"))</f>
        <v>0</v>
      </c>
      <c r="G100" s="961" t="str">
        <f ca="1">IF(P100=0,"0",TEXT(OFFSET('5  Control Accounts'!$FH$33,$Q100,0),"##0.0"))</f>
        <v>0</v>
      </c>
      <c r="H100" s="961" t="str">
        <f ca="1">IF(P100=0,"0",TEXT(OFFSET('5  Control Accounts'!$FP$33,$Q100,0),"##0.00"))</f>
        <v>0</v>
      </c>
      <c r="I100" s="961" t="str">
        <f ca="1">IF(P100=0,"0",TEXT(OFFSET('5  Control Accounts'!$FQ$33,$Q100,0),"0.0000"))</f>
        <v>0</v>
      </c>
      <c r="J100" s="961" t="str">
        <f ca="1">IF(P100=0,"0",TEXT(OFFSET('5  Control Accounts'!$FR$33,$Q100,0),"##0.00"))</f>
        <v>0</v>
      </c>
      <c r="K100" s="961" t="str">
        <f ca="1">IF(P100=0,"0",TEXT(OFFSET('5  Control Accounts'!$FX$33,Q100,0),"##0"))</f>
        <v>0</v>
      </c>
      <c r="L100" s="961" t="str">
        <f ca="1">IF(P100=0,"0",TEXT(OFFSET('5  Control Accounts'!$FU$33,Q100,0),"0.0000"))</f>
        <v>0</v>
      </c>
      <c r="M100" s="961" t="str">
        <f ca="1">IF(P100=0,"0",TEXT(OFFSET('5  Control Accounts'!$FY$33,Q100,0),"##0"))</f>
        <v>0</v>
      </c>
      <c r="N100" s="2346"/>
      <c r="P100" s="537">
        <f ca="1">$O$2*OFFSET('5  Control Accounts'!$CP$33,Q100,0)</f>
        <v>0</v>
      </c>
      <c r="Q100" s="537">
        <v>94</v>
      </c>
      <c r="R100" s="1411">
        <f ca="1">IF(P100=0,0,OFFSET('5  Control Accounts'!$FD$33,Q100,0))</f>
        <v>0</v>
      </c>
      <c r="S100" s="1411">
        <f ca="1">IF(P100=0,0,OFFSET('5  Control Accounts'!$FE$33,Q100,0))</f>
        <v>0</v>
      </c>
      <c r="T100" s="1930">
        <f t="shared" ca="1" si="12"/>
        <v>0</v>
      </c>
      <c r="U100" s="1930">
        <f t="shared" ca="1" si="13"/>
        <v>0</v>
      </c>
    </row>
    <row r="101" spans="1:21" s="750" customFormat="1" ht="15.9" customHeight="1" x14ac:dyDescent="0.3">
      <c r="A101" s="961" t="str">
        <f ca="1">IF(P101=0,"0",TEXT(OFFSET('5  Control Accounts'!$BF$33,Q101,0)&amp;"."&amp;OFFSET('5  Control Accounts'!$BH$33,Q101,0),"General"))</f>
        <v>0</v>
      </c>
      <c r="B101" s="961" t="str">
        <f t="shared" ca="1" si="14"/>
        <v>0</v>
      </c>
      <c r="C101" s="961" t="str">
        <f t="shared" ca="1" si="15"/>
        <v>0</v>
      </c>
      <c r="D101" s="961" t="str">
        <f ca="1">IF($P101=0,"0",TEXT(OFFSET('5  Control Accounts'!$DW$33,Q101,0),"General"))</f>
        <v>0</v>
      </c>
      <c r="E101" s="1327" t="str">
        <f ca="1">IF($P101=0,"0",TEXT(OFFSET('5  Control Accounts'!$Z$33,Q101,0),"##0.0"))</f>
        <v>0</v>
      </c>
      <c r="F101" s="961" t="str">
        <f ca="1">IF(P101=0,"0",TEXT(OFFSET('5  Control Accounts'!$FG$33,Q101,0),"##0.0"))</f>
        <v>0</v>
      </c>
      <c r="G101" s="961" t="str">
        <f ca="1">IF(P101=0,"0",TEXT(OFFSET('5  Control Accounts'!$FH$33,$Q101,0),"##0.0"))</f>
        <v>0</v>
      </c>
      <c r="H101" s="961" t="str">
        <f ca="1">IF(P101=0,"0",TEXT(OFFSET('5  Control Accounts'!$FP$33,$Q101,0),"##0.00"))</f>
        <v>0</v>
      </c>
      <c r="I101" s="961" t="str">
        <f ca="1">IF(P101=0,"0",TEXT(OFFSET('5  Control Accounts'!$FQ$33,$Q101,0),"0.0000"))</f>
        <v>0</v>
      </c>
      <c r="J101" s="961" t="str">
        <f ca="1">IF(P101=0,"0",TEXT(OFFSET('5  Control Accounts'!$FR$33,$Q101,0),"##0.00"))</f>
        <v>0</v>
      </c>
      <c r="K101" s="961" t="str">
        <f ca="1">IF(P101=0,"0",TEXT(OFFSET('5  Control Accounts'!$FX$33,Q101,0),"##0"))</f>
        <v>0</v>
      </c>
      <c r="L101" s="961" t="str">
        <f ca="1">IF(P101=0,"0",TEXT(OFFSET('5  Control Accounts'!$FU$33,Q101,0),"0.0000"))</f>
        <v>0</v>
      </c>
      <c r="M101" s="961" t="str">
        <f ca="1">IF(P101=0,"0",TEXT(OFFSET('5  Control Accounts'!$FY$33,Q101,0),"##0"))</f>
        <v>0</v>
      </c>
      <c r="N101" s="2346"/>
      <c r="P101" s="537">
        <f ca="1">$O$2*OFFSET('5  Control Accounts'!$CP$33,Q101,0)</f>
        <v>0</v>
      </c>
      <c r="Q101" s="537">
        <v>95</v>
      </c>
      <c r="R101" s="1411">
        <f ca="1">IF(P101=0,0,OFFSET('5  Control Accounts'!$FD$33,Q101,0))</f>
        <v>0</v>
      </c>
      <c r="S101" s="1411">
        <f ca="1">IF(P101=0,0,OFFSET('5  Control Accounts'!$FE$33,Q101,0))</f>
        <v>0</v>
      </c>
      <c r="T101" s="1930">
        <f t="shared" ca="1" si="12"/>
        <v>0</v>
      </c>
      <c r="U101" s="1930">
        <f t="shared" ca="1" si="13"/>
        <v>0</v>
      </c>
    </row>
    <row r="102" spans="1:21" s="750" customFormat="1" ht="15.9" customHeight="1" x14ac:dyDescent="0.3">
      <c r="A102" s="961" t="str">
        <f ca="1">IF(P102=0,"0",TEXT(OFFSET('5  Control Accounts'!$BF$33,Q102,0)&amp;"."&amp;OFFSET('5  Control Accounts'!$BH$33,Q102,0),"General"))</f>
        <v>0</v>
      </c>
      <c r="B102" s="961" t="str">
        <f t="shared" ca="1" si="14"/>
        <v>0</v>
      </c>
      <c r="C102" s="961" t="str">
        <f t="shared" ca="1" si="15"/>
        <v>0</v>
      </c>
      <c r="D102" s="961" t="str">
        <f ca="1">IF($P102=0,"0",TEXT(OFFSET('5  Control Accounts'!$DW$33,Q102,0),"General"))</f>
        <v>0</v>
      </c>
      <c r="E102" s="1327" t="str">
        <f ca="1">IF($P102=0,"0",TEXT(OFFSET('5  Control Accounts'!$Z$33,Q102,0),"##0.0"))</f>
        <v>0</v>
      </c>
      <c r="F102" s="961" t="str">
        <f ca="1">IF(P102=0,"0",TEXT(OFFSET('5  Control Accounts'!$FG$33,Q102,0),"##0.0"))</f>
        <v>0</v>
      </c>
      <c r="G102" s="961" t="str">
        <f ca="1">IF(P102=0,"0",TEXT(OFFSET('5  Control Accounts'!$FH$33,$Q102,0),"##0.0"))</f>
        <v>0</v>
      </c>
      <c r="H102" s="961" t="str">
        <f ca="1">IF(P102=0,"0",TEXT(OFFSET('5  Control Accounts'!$FP$33,$Q102,0),"##0.00"))</f>
        <v>0</v>
      </c>
      <c r="I102" s="961" t="str">
        <f ca="1">IF(P102=0,"0",TEXT(OFFSET('5  Control Accounts'!$FQ$33,$Q102,0),"0.0000"))</f>
        <v>0</v>
      </c>
      <c r="J102" s="961" t="str">
        <f ca="1">IF(P102=0,"0",TEXT(OFFSET('5  Control Accounts'!$FR$33,$Q102,0),"##0.00"))</f>
        <v>0</v>
      </c>
      <c r="K102" s="961" t="str">
        <f ca="1">IF(P102=0,"0",TEXT(OFFSET('5  Control Accounts'!$FX$33,Q102,0),"##0"))</f>
        <v>0</v>
      </c>
      <c r="L102" s="961" t="str">
        <f ca="1">IF(P102=0,"0",TEXT(OFFSET('5  Control Accounts'!$FU$33,Q102,0),"0.0000"))</f>
        <v>0</v>
      </c>
      <c r="M102" s="961" t="str">
        <f ca="1">IF(P102=0,"0",TEXT(OFFSET('5  Control Accounts'!$FY$33,Q102,0),"##0"))</f>
        <v>0</v>
      </c>
      <c r="N102" s="2346"/>
      <c r="P102" s="537">
        <f ca="1">$O$2*OFFSET('5  Control Accounts'!$CP$33,Q102,0)</f>
        <v>0</v>
      </c>
      <c r="Q102" s="537">
        <v>96</v>
      </c>
      <c r="R102" s="1411">
        <f ca="1">IF(P102=0,0,OFFSET('5  Control Accounts'!$FD$33,Q102,0))</f>
        <v>0</v>
      </c>
      <c r="S102" s="1411">
        <f ca="1">IF(P102=0,0,OFFSET('5  Control Accounts'!$FE$33,Q102,0))</f>
        <v>0</v>
      </c>
      <c r="T102" s="1930">
        <f t="shared" ca="1" si="12"/>
        <v>0</v>
      </c>
      <c r="U102" s="1930">
        <f t="shared" ca="1" si="13"/>
        <v>0</v>
      </c>
    </row>
    <row r="103" spans="1:21" s="750" customFormat="1" ht="15.9" customHeight="1" x14ac:dyDescent="0.3">
      <c r="A103" s="961" t="str">
        <f ca="1">IF(P103=0,"0",TEXT(OFFSET('5  Control Accounts'!$BF$33,Q103,0)&amp;"."&amp;OFFSET('5  Control Accounts'!$BH$33,Q103,0),"General"))</f>
        <v>0</v>
      </c>
      <c r="B103" s="961" t="str">
        <f t="shared" ca="1" si="14"/>
        <v>0</v>
      </c>
      <c r="C103" s="961" t="str">
        <f t="shared" ca="1" si="15"/>
        <v>0</v>
      </c>
      <c r="D103" s="961" t="str">
        <f ca="1">IF($P103=0,"0",TEXT(OFFSET('5  Control Accounts'!$DW$33,Q103,0),"General"))</f>
        <v>0</v>
      </c>
      <c r="E103" s="1327" t="str">
        <f ca="1">IF($P103=0,"0",TEXT(OFFSET('5  Control Accounts'!$Z$33,Q103,0),"##0.0"))</f>
        <v>0</v>
      </c>
      <c r="F103" s="961" t="str">
        <f ca="1">IF(P103=0,"0",TEXT(OFFSET('5  Control Accounts'!$FG$33,Q103,0),"##0.0"))</f>
        <v>0</v>
      </c>
      <c r="G103" s="961" t="str">
        <f ca="1">IF(P103=0,"0",TEXT(OFFSET('5  Control Accounts'!$FH$33,$Q103,0),"##0.0"))</f>
        <v>0</v>
      </c>
      <c r="H103" s="961" t="str">
        <f ca="1">IF(P103=0,"0",TEXT(OFFSET('5  Control Accounts'!$FP$33,$Q103,0),"##0.00"))</f>
        <v>0</v>
      </c>
      <c r="I103" s="961" t="str">
        <f ca="1">IF(P103=0,"0",TEXT(OFFSET('5  Control Accounts'!$FQ$33,$Q103,0),"0.0000"))</f>
        <v>0</v>
      </c>
      <c r="J103" s="961" t="str">
        <f ca="1">IF(P103=0,"0",TEXT(OFFSET('5  Control Accounts'!$FR$33,$Q103,0),"##0.00"))</f>
        <v>0</v>
      </c>
      <c r="K103" s="961" t="str">
        <f ca="1">IF(P103=0,"0",TEXT(OFFSET('5  Control Accounts'!$FX$33,Q103,0),"##0"))</f>
        <v>0</v>
      </c>
      <c r="L103" s="961" t="str">
        <f ca="1">IF(P103=0,"0",TEXT(OFFSET('5  Control Accounts'!$FU$33,Q103,0),"0.0000"))</f>
        <v>0</v>
      </c>
      <c r="M103" s="961" t="str">
        <f ca="1">IF(P103=0,"0",TEXT(OFFSET('5  Control Accounts'!$FY$33,Q103,0),"##0"))</f>
        <v>0</v>
      </c>
      <c r="N103" s="2346"/>
      <c r="P103" s="537">
        <f ca="1">$O$2*OFFSET('5  Control Accounts'!$CP$33,Q103,0)</f>
        <v>0</v>
      </c>
      <c r="Q103" s="537">
        <v>97</v>
      </c>
      <c r="R103" s="1411">
        <f ca="1">IF(P103=0,0,OFFSET('5  Control Accounts'!$FD$33,Q103,0))</f>
        <v>0</v>
      </c>
      <c r="S103" s="1411">
        <f ca="1">IF(P103=0,0,OFFSET('5  Control Accounts'!$FE$33,Q103,0))</f>
        <v>0</v>
      </c>
      <c r="T103" s="1930">
        <f t="shared" ca="1" si="12"/>
        <v>0</v>
      </c>
      <c r="U103" s="1930">
        <f t="shared" ca="1" si="13"/>
        <v>0</v>
      </c>
    </row>
    <row r="104" spans="1:21" s="750" customFormat="1" ht="15.9" customHeight="1" x14ac:dyDescent="0.3">
      <c r="A104" s="961" t="str">
        <f ca="1">IF(P104=0,"0",TEXT(OFFSET('5  Control Accounts'!$BF$33,Q104,0)&amp;"."&amp;OFFSET('5  Control Accounts'!$BH$33,Q104,0),"General"))</f>
        <v>0</v>
      </c>
      <c r="B104" s="961" t="str">
        <f t="shared" ca="1" si="14"/>
        <v>0</v>
      </c>
      <c r="C104" s="961" t="str">
        <f t="shared" ca="1" si="15"/>
        <v>0</v>
      </c>
      <c r="D104" s="961" t="str">
        <f ca="1">IF($P104=0,"0",TEXT(OFFSET('5  Control Accounts'!$DW$33,Q104,0),"General"))</f>
        <v>0</v>
      </c>
      <c r="E104" s="1327" t="str">
        <f ca="1">IF($P104=0,"0",TEXT(OFFSET('5  Control Accounts'!$Z$33,Q104,0),"##0.0"))</f>
        <v>0</v>
      </c>
      <c r="F104" s="961" t="str">
        <f ca="1">IF(P104=0,"0",TEXT(OFFSET('5  Control Accounts'!$FG$33,Q104,0),"##0.0"))</f>
        <v>0</v>
      </c>
      <c r="G104" s="961" t="str">
        <f ca="1">IF(P104=0,"0",TEXT(OFFSET('5  Control Accounts'!$FH$33,$Q104,0),"##0.0"))</f>
        <v>0</v>
      </c>
      <c r="H104" s="961" t="str">
        <f ca="1">IF(P104=0,"0",TEXT(OFFSET('5  Control Accounts'!$FP$33,$Q104,0),"##0.00"))</f>
        <v>0</v>
      </c>
      <c r="I104" s="961" t="str">
        <f ca="1">IF(P104=0,"0",TEXT(OFFSET('5  Control Accounts'!$FQ$33,$Q104,0),"0.0000"))</f>
        <v>0</v>
      </c>
      <c r="J104" s="961" t="str">
        <f ca="1">IF(P104=0,"0",TEXT(OFFSET('5  Control Accounts'!$FR$33,$Q104,0),"##0.00"))</f>
        <v>0</v>
      </c>
      <c r="K104" s="961" t="str">
        <f ca="1">IF(P104=0,"0",TEXT(OFFSET('5  Control Accounts'!$FX$33,Q104,0),"##0"))</f>
        <v>0</v>
      </c>
      <c r="L104" s="961" t="str">
        <f ca="1">IF(P104=0,"0",TEXT(OFFSET('5  Control Accounts'!$FU$33,Q104,0),"0.0000"))</f>
        <v>0</v>
      </c>
      <c r="M104" s="961" t="str">
        <f ca="1">IF(P104=0,"0",TEXT(OFFSET('5  Control Accounts'!$FY$33,Q104,0),"##0"))</f>
        <v>0</v>
      </c>
      <c r="N104" s="2346"/>
      <c r="P104" s="537">
        <f ca="1">$O$2*OFFSET('5  Control Accounts'!$CP$33,Q104,0)</f>
        <v>0</v>
      </c>
      <c r="Q104" s="537">
        <v>98</v>
      </c>
      <c r="R104" s="1411">
        <f ca="1">IF(P104=0,0,OFFSET('5  Control Accounts'!$FD$33,Q104,0))</f>
        <v>0</v>
      </c>
      <c r="S104" s="1411">
        <f ca="1">IF(P104=0,0,OFFSET('5  Control Accounts'!$FE$33,Q104,0))</f>
        <v>0</v>
      </c>
      <c r="T104" s="1930">
        <f t="shared" ca="1" si="12"/>
        <v>0</v>
      </c>
      <c r="U104" s="1930">
        <f t="shared" ca="1" si="13"/>
        <v>0</v>
      </c>
    </row>
    <row r="105" spans="1:21" s="750" customFormat="1" ht="15.9" customHeight="1" x14ac:dyDescent="0.3">
      <c r="A105" s="961" t="str">
        <f ca="1">IF(P105=0,"0",TEXT(OFFSET('5  Control Accounts'!$BF$33,Q105,0)&amp;"."&amp;OFFSET('5  Control Accounts'!$BH$33,Q105,0),"General"))</f>
        <v>0</v>
      </c>
      <c r="B105" s="961" t="str">
        <f t="shared" ca="1" si="14"/>
        <v>0</v>
      </c>
      <c r="C105" s="961" t="str">
        <f t="shared" ca="1" si="15"/>
        <v>0</v>
      </c>
      <c r="D105" s="961" t="str">
        <f ca="1">IF($P105=0,"0",TEXT(OFFSET('5  Control Accounts'!$DW$33,Q105,0),"General"))</f>
        <v>0</v>
      </c>
      <c r="E105" s="1327" t="str">
        <f ca="1">IF($P105=0,"0",TEXT(OFFSET('5  Control Accounts'!$Z$33,Q105,0),"##0.0"))</f>
        <v>0</v>
      </c>
      <c r="F105" s="961" t="str">
        <f ca="1">IF(P105=0,"0",TEXT(OFFSET('5  Control Accounts'!$FG$33,Q105,0),"##0.0"))</f>
        <v>0</v>
      </c>
      <c r="G105" s="961" t="str">
        <f ca="1">IF(P105=0,"0",TEXT(OFFSET('5  Control Accounts'!$FH$33,$Q105,0),"##0.0"))</f>
        <v>0</v>
      </c>
      <c r="H105" s="961" t="str">
        <f ca="1">IF(P105=0,"0",TEXT(OFFSET('5  Control Accounts'!$FP$33,$Q105,0),"##0.00"))</f>
        <v>0</v>
      </c>
      <c r="I105" s="961" t="str">
        <f ca="1">IF(P105=0,"0",TEXT(OFFSET('5  Control Accounts'!$FQ$33,$Q105,0),"0.0000"))</f>
        <v>0</v>
      </c>
      <c r="J105" s="961" t="str">
        <f ca="1">IF(P105=0,"0",TEXT(OFFSET('5  Control Accounts'!$FR$33,$Q105,0),"##0.00"))</f>
        <v>0</v>
      </c>
      <c r="K105" s="961" t="str">
        <f ca="1">IF(P105=0,"0",TEXT(OFFSET('5  Control Accounts'!$FX$33,Q105,0),"##0"))</f>
        <v>0</v>
      </c>
      <c r="L105" s="961" t="str">
        <f ca="1">IF(P105=0,"0",TEXT(OFFSET('5  Control Accounts'!$FU$33,Q105,0),"0.0000"))</f>
        <v>0</v>
      </c>
      <c r="M105" s="961" t="str">
        <f ca="1">IF(P105=0,"0",TEXT(OFFSET('5  Control Accounts'!$FY$33,Q105,0),"##0"))</f>
        <v>0</v>
      </c>
      <c r="N105" s="2346"/>
      <c r="P105" s="537">
        <f ca="1">$O$2*OFFSET('5  Control Accounts'!$CP$33,Q105,0)</f>
        <v>0</v>
      </c>
      <c r="Q105" s="537">
        <v>99</v>
      </c>
      <c r="R105" s="1411">
        <f ca="1">IF(P105=0,0,OFFSET('5  Control Accounts'!$FD$33,Q105,0))</f>
        <v>0</v>
      </c>
      <c r="S105" s="1411">
        <f ca="1">IF(P105=0,0,OFFSET('5  Control Accounts'!$FE$33,Q105,0))</f>
        <v>0</v>
      </c>
      <c r="T105" s="1930">
        <f t="shared" ca="1" si="12"/>
        <v>0</v>
      </c>
      <c r="U105" s="1930">
        <f t="shared" ca="1" si="13"/>
        <v>0</v>
      </c>
    </row>
    <row r="106" spans="1:21" s="750" customFormat="1" ht="15.9" customHeight="1" x14ac:dyDescent="0.3">
      <c r="A106" s="961" t="str">
        <f ca="1">IF(P106=0,"0",TEXT(OFFSET('5  Control Accounts'!$BF$33,Q106,0)&amp;"."&amp;OFFSET('5  Control Accounts'!$BH$33,Q106,0),"General"))</f>
        <v>0</v>
      </c>
      <c r="B106" s="961" t="str">
        <f t="shared" ca="1" si="14"/>
        <v>0</v>
      </c>
      <c r="C106" s="961" t="str">
        <f t="shared" ca="1" si="15"/>
        <v>0</v>
      </c>
      <c r="D106" s="961" t="str">
        <f ca="1">IF($P106=0,"0",TEXT(OFFSET('5  Control Accounts'!$DW$33,Q106,0),"General"))</f>
        <v>0</v>
      </c>
      <c r="E106" s="1327" t="str">
        <f ca="1">IF($P106=0,"0",TEXT(OFFSET('5  Control Accounts'!$Z$33,Q106,0),"##0.0"))</f>
        <v>0</v>
      </c>
      <c r="F106" s="961" t="str">
        <f ca="1">IF(P106=0,"0",TEXT(OFFSET('5  Control Accounts'!$FG$33,Q106,0),"##0.0"))</f>
        <v>0</v>
      </c>
      <c r="G106" s="961" t="str">
        <f ca="1">IF(P106=0,"0",TEXT(OFFSET('5  Control Accounts'!$FH$33,$Q106,0),"##0.0"))</f>
        <v>0</v>
      </c>
      <c r="H106" s="961" t="str">
        <f ca="1">IF(P106=0,"0",TEXT(OFFSET('5  Control Accounts'!$FP$33,$Q106,0),"##0.00"))</f>
        <v>0</v>
      </c>
      <c r="I106" s="961" t="str">
        <f ca="1">IF(P106=0,"0",TEXT(OFFSET('5  Control Accounts'!$FQ$33,$Q106,0),"0.0000"))</f>
        <v>0</v>
      </c>
      <c r="J106" s="961" t="str">
        <f ca="1">IF(P106=0,"0",TEXT(OFFSET('5  Control Accounts'!$FR$33,$Q106,0),"##0.00"))</f>
        <v>0</v>
      </c>
      <c r="K106" s="961" t="str">
        <f ca="1">IF(P106=0,"0",TEXT(OFFSET('5  Control Accounts'!$FX$33,Q106,0),"##0"))</f>
        <v>0</v>
      </c>
      <c r="L106" s="961" t="str">
        <f ca="1">IF(P106=0,"0",TEXT(OFFSET('5  Control Accounts'!$FU$33,Q106,0),"0.0000"))</f>
        <v>0</v>
      </c>
      <c r="M106" s="961" t="str">
        <f ca="1">IF(P106=0,"0",TEXT(OFFSET('5  Control Accounts'!$FY$33,Q106,0),"##0"))</f>
        <v>0</v>
      </c>
      <c r="N106" s="2346"/>
      <c r="P106" s="537">
        <f ca="1">$O$2*OFFSET('5  Control Accounts'!$CP$33,Q106,0)</f>
        <v>0</v>
      </c>
      <c r="Q106" s="537">
        <v>100</v>
      </c>
      <c r="R106" s="1411">
        <f ca="1">IF(P106=0,0,OFFSET('5  Control Accounts'!$FD$33,Q106,0))</f>
        <v>0</v>
      </c>
      <c r="S106" s="1411">
        <f ca="1">IF(P106=0,0,OFFSET('5  Control Accounts'!$FE$33,Q106,0))</f>
        <v>0</v>
      </c>
      <c r="T106" s="1930">
        <f t="shared" ca="1" si="12"/>
        <v>0</v>
      </c>
      <c r="U106" s="1930">
        <f t="shared" ca="1" si="13"/>
        <v>0</v>
      </c>
    </row>
    <row r="107" spans="1:21" s="750" customFormat="1" ht="15.9" customHeight="1" x14ac:dyDescent="0.3">
      <c r="A107" s="961" t="str">
        <f ca="1">IF(P107=0,"0",TEXT(OFFSET('5  Control Accounts'!$BF$33,Q107,0)&amp;"."&amp;OFFSET('5  Control Accounts'!$BH$33,Q107,0),"General"))</f>
        <v>0</v>
      </c>
      <c r="B107" s="961" t="str">
        <f t="shared" ca="1" si="14"/>
        <v>0</v>
      </c>
      <c r="C107" s="961" t="str">
        <f t="shared" ca="1" si="15"/>
        <v>0</v>
      </c>
      <c r="D107" s="961" t="str">
        <f ca="1">IF($P107=0,"0",TEXT(OFFSET('5  Control Accounts'!$DW$33,Q107,0),"General"))</f>
        <v>0</v>
      </c>
      <c r="E107" s="1327" t="str">
        <f ca="1">IF($P107=0,"0",TEXT(OFFSET('5  Control Accounts'!$Z$33,Q107,0),"##0.0"))</f>
        <v>0</v>
      </c>
      <c r="F107" s="961" t="str">
        <f ca="1">IF(P107=0,"0",TEXT(OFFSET('5  Control Accounts'!$FG$33,Q107,0),"##0.0"))</f>
        <v>0</v>
      </c>
      <c r="G107" s="961" t="str">
        <f ca="1">IF(P107=0,"0",TEXT(OFFSET('5  Control Accounts'!$FH$33,$Q107,0),"##0.0"))</f>
        <v>0</v>
      </c>
      <c r="H107" s="961" t="str">
        <f ca="1">IF(P107=0,"0",TEXT(OFFSET('5  Control Accounts'!$FP$33,$Q107,0),"##0.00"))</f>
        <v>0</v>
      </c>
      <c r="I107" s="961" t="str">
        <f ca="1">IF(P107=0,"0",TEXT(OFFSET('5  Control Accounts'!$FQ$33,$Q107,0),"0.0000"))</f>
        <v>0</v>
      </c>
      <c r="J107" s="961" t="str">
        <f ca="1">IF(P107=0,"0",TEXT(OFFSET('5  Control Accounts'!$FR$33,$Q107,0),"##0.00"))</f>
        <v>0</v>
      </c>
      <c r="K107" s="961" t="str">
        <f ca="1">IF(P107=0,"0",TEXT(OFFSET('5  Control Accounts'!$FX$33,Q107,0),"##0"))</f>
        <v>0</v>
      </c>
      <c r="L107" s="961" t="str">
        <f ca="1">IF(P107=0,"0",TEXT(OFFSET('5  Control Accounts'!$FU$33,Q107,0),"0.0000"))</f>
        <v>0</v>
      </c>
      <c r="M107" s="961" t="str">
        <f ca="1">IF(P107=0,"0",TEXT(OFFSET('5  Control Accounts'!$FY$33,Q107,0),"##0"))</f>
        <v>0</v>
      </c>
      <c r="N107" s="2346"/>
      <c r="P107" s="537">
        <f ca="1">$O$2*OFFSET('5  Control Accounts'!$CP$33,Q107,0)</f>
        <v>0</v>
      </c>
      <c r="Q107" s="537">
        <v>101</v>
      </c>
      <c r="R107" s="1411">
        <f ca="1">IF(P107=0,0,OFFSET('5  Control Accounts'!$FD$33,Q107,0))</f>
        <v>0</v>
      </c>
      <c r="S107" s="1411">
        <f ca="1">IF(P107=0,0,OFFSET('5  Control Accounts'!$FE$33,Q107,0))</f>
        <v>0</v>
      </c>
      <c r="T107" s="1930">
        <f t="shared" ca="1" si="12"/>
        <v>0</v>
      </c>
      <c r="U107" s="1930">
        <f t="shared" ca="1" si="13"/>
        <v>0</v>
      </c>
    </row>
    <row r="108" spans="1:21" s="750" customFormat="1" ht="15.9" customHeight="1" x14ac:dyDescent="0.3">
      <c r="A108" s="961" t="str">
        <f ca="1">IF(P108=0,"0",TEXT(OFFSET('5  Control Accounts'!$BF$33,Q108,0)&amp;"."&amp;OFFSET('5  Control Accounts'!$BH$33,Q108,0),"General"))</f>
        <v>0</v>
      </c>
      <c r="B108" s="961" t="str">
        <f t="shared" ca="1" si="14"/>
        <v>0</v>
      </c>
      <c r="C108" s="961" t="str">
        <f t="shared" ca="1" si="15"/>
        <v>0</v>
      </c>
      <c r="D108" s="961" t="str">
        <f ca="1">IF($P108=0,"0",TEXT(OFFSET('5  Control Accounts'!$DW$33,Q108,0),"General"))</f>
        <v>0</v>
      </c>
      <c r="E108" s="1327" t="str">
        <f ca="1">IF($P108=0,"0",TEXT(OFFSET('5  Control Accounts'!$Z$33,Q108,0),"##0.0"))</f>
        <v>0</v>
      </c>
      <c r="F108" s="961" t="str">
        <f ca="1">IF(P108=0,"0",TEXT(OFFSET('5  Control Accounts'!$FG$33,Q108,0),"##0.0"))</f>
        <v>0</v>
      </c>
      <c r="G108" s="961" t="str">
        <f ca="1">IF(P108=0,"0",TEXT(OFFSET('5  Control Accounts'!$FH$33,$Q108,0),"##0.0"))</f>
        <v>0</v>
      </c>
      <c r="H108" s="961" t="str">
        <f ca="1">IF(P108=0,"0",TEXT(OFFSET('5  Control Accounts'!$FP$33,$Q108,0),"##0.00"))</f>
        <v>0</v>
      </c>
      <c r="I108" s="961" t="str">
        <f ca="1">IF(P108=0,"0",TEXT(OFFSET('5  Control Accounts'!$FQ$33,$Q108,0),"0.0000"))</f>
        <v>0</v>
      </c>
      <c r="J108" s="961" t="str">
        <f ca="1">IF(P108=0,"0",TEXT(OFFSET('5  Control Accounts'!$FR$33,$Q108,0),"##0.00"))</f>
        <v>0</v>
      </c>
      <c r="K108" s="961" t="str">
        <f ca="1">IF(P108=0,"0",TEXT(OFFSET('5  Control Accounts'!$FX$33,Q108,0),"##0"))</f>
        <v>0</v>
      </c>
      <c r="L108" s="961" t="str">
        <f ca="1">IF(P108=0,"0",TEXT(OFFSET('5  Control Accounts'!$FU$33,Q108,0),"0.0000"))</f>
        <v>0</v>
      </c>
      <c r="M108" s="961" t="str">
        <f ca="1">IF(P108=0,"0",TEXT(OFFSET('5  Control Accounts'!$FY$33,Q108,0),"##0"))</f>
        <v>0</v>
      </c>
      <c r="N108" s="2346"/>
      <c r="P108" s="537">
        <f ca="1">$O$2*OFFSET('5  Control Accounts'!$CP$33,Q108,0)</f>
        <v>0</v>
      </c>
      <c r="Q108" s="537">
        <v>102</v>
      </c>
      <c r="R108" s="1411">
        <f ca="1">IF(P108=0,0,OFFSET('5  Control Accounts'!$FD$33,Q108,0))</f>
        <v>0</v>
      </c>
      <c r="S108" s="1411">
        <f ca="1">IF(P108=0,0,OFFSET('5  Control Accounts'!$FE$33,Q108,0))</f>
        <v>0</v>
      </c>
      <c r="T108" s="1930">
        <f t="shared" ca="1" si="12"/>
        <v>0</v>
      </c>
      <c r="U108" s="1930">
        <f t="shared" ca="1" si="13"/>
        <v>0</v>
      </c>
    </row>
    <row r="109" spans="1:21" s="750" customFormat="1" ht="15.9" customHeight="1" x14ac:dyDescent="0.3">
      <c r="A109" s="961" t="str">
        <f ca="1">IF(P109=0,"0",TEXT(OFFSET('5  Control Accounts'!$BF$33,Q109,0)&amp;"."&amp;OFFSET('5  Control Accounts'!$BH$33,Q109,0),"General"))</f>
        <v>0</v>
      </c>
      <c r="B109" s="961" t="str">
        <f t="shared" ca="1" si="14"/>
        <v>0</v>
      </c>
      <c r="C109" s="961" t="str">
        <f t="shared" ca="1" si="15"/>
        <v>0</v>
      </c>
      <c r="D109" s="961" t="str">
        <f ca="1">IF($P109=0,"0",TEXT(OFFSET('5  Control Accounts'!$DW$33,Q109,0),"General"))</f>
        <v>0</v>
      </c>
      <c r="E109" s="1327" t="str">
        <f ca="1">IF($P109=0,"0",TEXT(OFFSET('5  Control Accounts'!$Z$33,Q109,0),"##0.0"))</f>
        <v>0</v>
      </c>
      <c r="F109" s="961" t="str">
        <f ca="1">IF(P109=0,"0",TEXT(OFFSET('5  Control Accounts'!$FG$33,Q109,0),"##0.0"))</f>
        <v>0</v>
      </c>
      <c r="G109" s="961" t="str">
        <f ca="1">IF(P109=0,"0",TEXT(OFFSET('5  Control Accounts'!$FH$33,$Q109,0),"##0.0"))</f>
        <v>0</v>
      </c>
      <c r="H109" s="961" t="str">
        <f ca="1">IF(P109=0,"0",TEXT(OFFSET('5  Control Accounts'!$FP$33,$Q109,0),"##0.00"))</f>
        <v>0</v>
      </c>
      <c r="I109" s="961" t="str">
        <f ca="1">IF(P109=0,"0",TEXT(OFFSET('5  Control Accounts'!$FQ$33,$Q109,0),"0.0000"))</f>
        <v>0</v>
      </c>
      <c r="J109" s="961" t="str">
        <f ca="1">IF(P109=0,"0",TEXT(OFFSET('5  Control Accounts'!$FR$33,$Q109,0),"##0.00"))</f>
        <v>0</v>
      </c>
      <c r="K109" s="961" t="str">
        <f ca="1">IF(P109=0,"0",TEXT(OFFSET('5  Control Accounts'!$FX$33,Q109,0),"##0"))</f>
        <v>0</v>
      </c>
      <c r="L109" s="961" t="str">
        <f ca="1">IF(P109=0,"0",TEXT(OFFSET('5  Control Accounts'!$FU$33,Q109,0),"0.0000"))</f>
        <v>0</v>
      </c>
      <c r="M109" s="961" t="str">
        <f ca="1">IF(P109=0,"0",TEXT(OFFSET('5  Control Accounts'!$FY$33,Q109,0),"##0"))</f>
        <v>0</v>
      </c>
      <c r="N109" s="2346"/>
      <c r="P109" s="537">
        <f ca="1">$O$2*OFFSET('5  Control Accounts'!$CP$33,Q109,0)</f>
        <v>0</v>
      </c>
      <c r="Q109" s="537">
        <v>103</v>
      </c>
      <c r="R109" s="1411">
        <f ca="1">IF(P109=0,0,OFFSET('5  Control Accounts'!$FD$33,Q109,0))</f>
        <v>0</v>
      </c>
      <c r="S109" s="1411">
        <f ca="1">IF(P109=0,0,OFFSET('5  Control Accounts'!$FE$33,Q109,0))</f>
        <v>0</v>
      </c>
      <c r="T109" s="1930">
        <f t="shared" ca="1" si="12"/>
        <v>0</v>
      </c>
      <c r="U109" s="1930">
        <f t="shared" ca="1" si="13"/>
        <v>0</v>
      </c>
    </row>
    <row r="110" spans="1:21" s="750" customFormat="1" ht="15.9" customHeight="1" x14ac:dyDescent="0.3">
      <c r="A110" s="961" t="str">
        <f ca="1">IF(P110=0,"0",TEXT(OFFSET('5  Control Accounts'!$BF$33,Q110,0)&amp;"."&amp;OFFSET('5  Control Accounts'!$BH$33,Q110,0),"General"))</f>
        <v>0</v>
      </c>
      <c r="B110" s="961" t="str">
        <f t="shared" ca="1" si="14"/>
        <v>0</v>
      </c>
      <c r="C110" s="961" t="str">
        <f t="shared" ca="1" si="15"/>
        <v>0</v>
      </c>
      <c r="D110" s="961" t="str">
        <f ca="1">IF($P110=0,"0",TEXT(OFFSET('5  Control Accounts'!$DW$33,Q110,0),"General"))</f>
        <v>0</v>
      </c>
      <c r="E110" s="1327" t="str">
        <f ca="1">IF($P110=0,"0",TEXT(OFFSET('5  Control Accounts'!$Z$33,Q110,0),"##0.0"))</f>
        <v>0</v>
      </c>
      <c r="F110" s="961" t="str">
        <f ca="1">IF(P110=0,"0",TEXT(OFFSET('5  Control Accounts'!$FG$33,Q110,0),"##0.0"))</f>
        <v>0</v>
      </c>
      <c r="G110" s="961" t="str">
        <f ca="1">IF(P110=0,"0",TEXT(OFFSET('5  Control Accounts'!$FH$33,$Q110,0),"##0.0"))</f>
        <v>0</v>
      </c>
      <c r="H110" s="961" t="str">
        <f ca="1">IF(P110=0,"0",TEXT(OFFSET('5  Control Accounts'!$FP$33,$Q110,0),"##0.00"))</f>
        <v>0</v>
      </c>
      <c r="I110" s="961" t="str">
        <f ca="1">IF(P110=0,"0",TEXT(OFFSET('5  Control Accounts'!$FQ$33,$Q110,0),"0.0000"))</f>
        <v>0</v>
      </c>
      <c r="J110" s="961" t="str">
        <f ca="1">IF(P110=0,"0",TEXT(OFFSET('5  Control Accounts'!$FR$33,$Q110,0),"##0.00"))</f>
        <v>0</v>
      </c>
      <c r="K110" s="961" t="str">
        <f ca="1">IF(P110=0,"0",TEXT(OFFSET('5  Control Accounts'!$FX$33,Q110,0),"##0"))</f>
        <v>0</v>
      </c>
      <c r="L110" s="961" t="str">
        <f ca="1">IF(P110=0,"0",TEXT(OFFSET('5  Control Accounts'!$FU$33,Q110,0),"0.0000"))</f>
        <v>0</v>
      </c>
      <c r="M110" s="961" t="str">
        <f ca="1">IF(P110=0,"0",TEXT(OFFSET('5  Control Accounts'!$FY$33,Q110,0),"##0"))</f>
        <v>0</v>
      </c>
      <c r="N110" s="2346"/>
      <c r="P110" s="537">
        <f ca="1">$O$2*OFFSET('5  Control Accounts'!$CP$33,Q110,0)</f>
        <v>0</v>
      </c>
      <c r="Q110" s="537">
        <v>104</v>
      </c>
      <c r="R110" s="1411">
        <f ca="1">IF(P110=0,0,OFFSET('5  Control Accounts'!$FD$33,Q110,0))</f>
        <v>0</v>
      </c>
      <c r="S110" s="1411">
        <f ca="1">IF(P110=0,0,OFFSET('5  Control Accounts'!$FE$33,Q110,0))</f>
        <v>0</v>
      </c>
      <c r="T110" s="1930">
        <f t="shared" ca="1" si="12"/>
        <v>0</v>
      </c>
      <c r="U110" s="1930">
        <f t="shared" ca="1" si="13"/>
        <v>0</v>
      </c>
    </row>
    <row r="111" spans="1:21" s="750" customFormat="1" ht="15.9" customHeight="1" x14ac:dyDescent="0.3">
      <c r="A111" s="961" t="str">
        <f ca="1">IF(P111=0,"0",TEXT(OFFSET('5  Control Accounts'!$BF$33,Q111,0)&amp;"."&amp;OFFSET('5  Control Accounts'!$BH$33,Q111,0),"General"))</f>
        <v>0</v>
      </c>
      <c r="B111" s="961" t="str">
        <f t="shared" ca="1" si="14"/>
        <v>0</v>
      </c>
      <c r="C111" s="961" t="str">
        <f t="shared" ca="1" si="15"/>
        <v>0</v>
      </c>
      <c r="D111" s="961" t="str">
        <f ca="1">IF($P111=0,"0",TEXT(OFFSET('5  Control Accounts'!$DW$33,Q111,0),"General"))</f>
        <v>0</v>
      </c>
      <c r="E111" s="1327" t="str">
        <f ca="1">IF($P111=0,"0",TEXT(OFFSET('5  Control Accounts'!$Z$33,Q111,0),"##0.0"))</f>
        <v>0</v>
      </c>
      <c r="F111" s="961" t="str">
        <f ca="1">IF(P111=0,"0",TEXT(OFFSET('5  Control Accounts'!$FG$33,Q111,0),"##0.0"))</f>
        <v>0</v>
      </c>
      <c r="G111" s="961" t="str">
        <f ca="1">IF(P111=0,"0",TEXT(OFFSET('5  Control Accounts'!$FH$33,$Q111,0),"##0.0"))</f>
        <v>0</v>
      </c>
      <c r="H111" s="961" t="str">
        <f ca="1">IF(P111=0,"0",TEXT(OFFSET('5  Control Accounts'!$FP$33,$Q111,0),"##0.00"))</f>
        <v>0</v>
      </c>
      <c r="I111" s="961" t="str">
        <f ca="1">IF(P111=0,"0",TEXT(OFFSET('5  Control Accounts'!$FQ$33,$Q111,0),"0.0000"))</f>
        <v>0</v>
      </c>
      <c r="J111" s="961" t="str">
        <f ca="1">IF(P111=0,"0",TEXT(OFFSET('5  Control Accounts'!$FR$33,$Q111,0),"##0.00"))</f>
        <v>0</v>
      </c>
      <c r="K111" s="961" t="str">
        <f ca="1">IF(P111=0,"0",TEXT(OFFSET('5  Control Accounts'!$FX$33,Q111,0),"##0"))</f>
        <v>0</v>
      </c>
      <c r="L111" s="961" t="str">
        <f ca="1">IF(P111=0,"0",TEXT(OFFSET('5  Control Accounts'!$FU$33,Q111,0),"0.0000"))</f>
        <v>0</v>
      </c>
      <c r="M111" s="961" t="str">
        <f ca="1">IF(P111=0,"0",TEXT(OFFSET('5  Control Accounts'!$FY$33,Q111,0),"##0"))</f>
        <v>0</v>
      </c>
      <c r="N111" s="2346"/>
      <c r="P111" s="537">
        <f ca="1">$O$2*OFFSET('5  Control Accounts'!$CP$33,Q111,0)</f>
        <v>0</v>
      </c>
      <c r="Q111" s="537">
        <v>105</v>
      </c>
      <c r="R111" s="1411">
        <f ca="1">IF(P111=0,0,OFFSET('5  Control Accounts'!$FD$33,Q111,0))</f>
        <v>0</v>
      </c>
      <c r="S111" s="1411">
        <f ca="1">IF(P111=0,0,OFFSET('5  Control Accounts'!$FE$33,Q111,0))</f>
        <v>0</v>
      </c>
      <c r="T111" s="1930">
        <f t="shared" ca="1" si="12"/>
        <v>0</v>
      </c>
      <c r="U111" s="1930">
        <f t="shared" ca="1" si="13"/>
        <v>0</v>
      </c>
    </row>
    <row r="112" spans="1:21" s="750" customFormat="1" ht="15.9" customHeight="1" x14ac:dyDescent="0.3">
      <c r="A112" s="961" t="str">
        <f ca="1">IF(P112=0,"0",TEXT(OFFSET('5  Control Accounts'!$BF$33,Q112,0)&amp;"."&amp;OFFSET('5  Control Accounts'!$BH$33,Q112,0),"General"))</f>
        <v>0</v>
      </c>
      <c r="B112" s="961" t="str">
        <f t="shared" ca="1" si="14"/>
        <v>0</v>
      </c>
      <c r="C112" s="961" t="str">
        <f t="shared" ca="1" si="15"/>
        <v>0</v>
      </c>
      <c r="D112" s="961" t="str">
        <f ca="1">IF($P112=0,"0",TEXT(OFFSET('5  Control Accounts'!$DW$33,Q112,0),"General"))</f>
        <v>0</v>
      </c>
      <c r="E112" s="1327" t="str">
        <f ca="1">IF($P112=0,"0",TEXT(OFFSET('5  Control Accounts'!$Z$33,Q112,0),"##0.0"))</f>
        <v>0</v>
      </c>
      <c r="F112" s="961" t="str">
        <f ca="1">IF(P112=0,"0",TEXT(OFFSET('5  Control Accounts'!$FG$33,Q112,0),"##0.0"))</f>
        <v>0</v>
      </c>
      <c r="G112" s="961" t="str">
        <f ca="1">IF(P112=0,"0",TEXT(OFFSET('5  Control Accounts'!$FH$33,$Q112,0),"##0.0"))</f>
        <v>0</v>
      </c>
      <c r="H112" s="961" t="str">
        <f ca="1">IF(P112=0,"0",TEXT(OFFSET('5  Control Accounts'!$FP$33,$Q112,0),"##0.00"))</f>
        <v>0</v>
      </c>
      <c r="I112" s="961" t="str">
        <f ca="1">IF(P112=0,"0",TEXT(OFFSET('5  Control Accounts'!$FQ$33,$Q112,0),"0.0000"))</f>
        <v>0</v>
      </c>
      <c r="J112" s="961" t="str">
        <f ca="1">IF(P112=0,"0",TEXT(OFFSET('5  Control Accounts'!$FR$33,$Q112,0),"##0.00"))</f>
        <v>0</v>
      </c>
      <c r="K112" s="961" t="str">
        <f ca="1">IF(P112=0,"0",TEXT(OFFSET('5  Control Accounts'!$FX$33,Q112,0),"##0"))</f>
        <v>0</v>
      </c>
      <c r="L112" s="961" t="str">
        <f ca="1">IF(P112=0,"0",TEXT(OFFSET('5  Control Accounts'!$FU$33,Q112,0),"0.0000"))</f>
        <v>0</v>
      </c>
      <c r="M112" s="961" t="str">
        <f ca="1">IF(P112=0,"0",TEXT(OFFSET('5  Control Accounts'!$FY$33,Q112,0),"##0"))</f>
        <v>0</v>
      </c>
      <c r="N112" s="2346"/>
      <c r="P112" s="537">
        <f ca="1">$O$2*OFFSET('5  Control Accounts'!$CP$33,Q112,0)</f>
        <v>0</v>
      </c>
      <c r="Q112" s="537">
        <v>106</v>
      </c>
      <c r="R112" s="1411">
        <f ca="1">IF(P112=0,0,OFFSET('5  Control Accounts'!$FD$33,Q112,0))</f>
        <v>0</v>
      </c>
      <c r="S112" s="1411">
        <f ca="1">IF(P112=0,0,OFFSET('5  Control Accounts'!$FE$33,Q112,0))</f>
        <v>0</v>
      </c>
      <c r="T112" s="1930">
        <f t="shared" ca="1" si="12"/>
        <v>0</v>
      </c>
      <c r="U112" s="1930">
        <f t="shared" ca="1" si="13"/>
        <v>0</v>
      </c>
    </row>
    <row r="113" spans="1:21" s="750" customFormat="1" ht="15.9" customHeight="1" x14ac:dyDescent="0.3">
      <c r="A113" s="961" t="str">
        <f ca="1">IF(P113=0,"0",TEXT(OFFSET('5  Control Accounts'!$BF$33,Q113,0)&amp;"."&amp;OFFSET('5  Control Accounts'!$BH$33,Q113,0),"General"))</f>
        <v>0</v>
      </c>
      <c r="B113" s="961" t="str">
        <f t="shared" ca="1" si="14"/>
        <v>0</v>
      </c>
      <c r="C113" s="961" t="str">
        <f t="shared" ca="1" si="15"/>
        <v>0</v>
      </c>
      <c r="D113" s="961" t="str">
        <f ca="1">IF($P113=0,"0",TEXT(OFFSET('5  Control Accounts'!$DW$33,Q113,0),"General"))</f>
        <v>0</v>
      </c>
      <c r="E113" s="1327" t="str">
        <f ca="1">IF($P113=0,"0",TEXT(OFFSET('5  Control Accounts'!$Z$33,Q113,0),"##0.0"))</f>
        <v>0</v>
      </c>
      <c r="F113" s="961" t="str">
        <f ca="1">IF(P113=0,"0",TEXT(OFFSET('5  Control Accounts'!$FG$33,Q113,0),"##0.0"))</f>
        <v>0</v>
      </c>
      <c r="G113" s="961" t="str">
        <f ca="1">IF(P113=0,"0",TEXT(OFFSET('5  Control Accounts'!$FH$33,$Q113,0),"##0.0"))</f>
        <v>0</v>
      </c>
      <c r="H113" s="961" t="str">
        <f ca="1">IF(P113=0,"0",TEXT(OFFSET('5  Control Accounts'!$FP$33,$Q113,0),"##0.00"))</f>
        <v>0</v>
      </c>
      <c r="I113" s="961" t="str">
        <f ca="1">IF(P113=0,"0",TEXT(OFFSET('5  Control Accounts'!$FQ$33,$Q113,0),"0.0000"))</f>
        <v>0</v>
      </c>
      <c r="J113" s="961" t="str">
        <f ca="1">IF(P113=0,"0",TEXT(OFFSET('5  Control Accounts'!$FR$33,$Q113,0),"##0.00"))</f>
        <v>0</v>
      </c>
      <c r="K113" s="961" t="str">
        <f ca="1">IF(P113=0,"0",TEXT(OFFSET('5  Control Accounts'!$FX$33,Q113,0),"##0"))</f>
        <v>0</v>
      </c>
      <c r="L113" s="961" t="str">
        <f ca="1">IF(P113=0,"0",TEXT(OFFSET('5  Control Accounts'!$FU$33,Q113,0),"0.0000"))</f>
        <v>0</v>
      </c>
      <c r="M113" s="961" t="str">
        <f ca="1">IF(P113=0,"0",TEXT(OFFSET('5  Control Accounts'!$FY$33,Q113,0),"##0"))</f>
        <v>0</v>
      </c>
      <c r="N113" s="2346"/>
      <c r="P113" s="537">
        <f ca="1">$O$2*OFFSET('5  Control Accounts'!$CP$33,Q113,0)</f>
        <v>0</v>
      </c>
      <c r="Q113" s="537">
        <v>107</v>
      </c>
      <c r="R113" s="1411">
        <f ca="1">IF(P113=0,0,OFFSET('5  Control Accounts'!$FD$33,Q113,0))</f>
        <v>0</v>
      </c>
      <c r="S113" s="1411">
        <f ca="1">IF(P113=0,0,OFFSET('5  Control Accounts'!$FE$33,Q113,0))</f>
        <v>0</v>
      </c>
      <c r="T113" s="1930">
        <f t="shared" ca="1" si="12"/>
        <v>0</v>
      </c>
      <c r="U113" s="1930">
        <f t="shared" ca="1" si="13"/>
        <v>0</v>
      </c>
    </row>
    <row r="114" spans="1:21" s="750" customFormat="1" ht="15.9" customHeight="1" x14ac:dyDescent="0.3">
      <c r="A114" s="961" t="str">
        <f ca="1">IF(P114=0,"0",TEXT(OFFSET('5  Control Accounts'!$BF$33,Q114,0)&amp;"."&amp;OFFSET('5  Control Accounts'!$BH$33,Q114,0),"General"))</f>
        <v>0</v>
      </c>
      <c r="B114" s="961" t="str">
        <f t="shared" ca="1" si="14"/>
        <v>0</v>
      </c>
      <c r="C114" s="961" t="str">
        <f t="shared" ca="1" si="15"/>
        <v>0</v>
      </c>
      <c r="D114" s="961" t="str">
        <f ca="1">IF($P114=0,"0",TEXT(OFFSET('5  Control Accounts'!$DW$33,Q114,0),"General"))</f>
        <v>0</v>
      </c>
      <c r="E114" s="1327" t="str">
        <f ca="1">IF($P114=0,"0",TEXT(OFFSET('5  Control Accounts'!$Z$33,Q114,0),"##0.0"))</f>
        <v>0</v>
      </c>
      <c r="F114" s="961" t="str">
        <f ca="1">IF(P114=0,"0",TEXT(OFFSET('5  Control Accounts'!$FG$33,Q114,0),"##0.0"))</f>
        <v>0</v>
      </c>
      <c r="G114" s="961" t="str">
        <f ca="1">IF(P114=0,"0",TEXT(OFFSET('5  Control Accounts'!$FH$33,$Q114,0),"##0.0"))</f>
        <v>0</v>
      </c>
      <c r="H114" s="961" t="str">
        <f ca="1">IF(P114=0,"0",TEXT(OFFSET('5  Control Accounts'!$FP$33,$Q114,0),"##0.00"))</f>
        <v>0</v>
      </c>
      <c r="I114" s="961" t="str">
        <f ca="1">IF(P114=0,"0",TEXT(OFFSET('5  Control Accounts'!$FQ$33,$Q114,0),"0.0000"))</f>
        <v>0</v>
      </c>
      <c r="J114" s="961" t="str">
        <f ca="1">IF(P114=0,"0",TEXT(OFFSET('5  Control Accounts'!$FR$33,$Q114,0),"##0.00"))</f>
        <v>0</v>
      </c>
      <c r="K114" s="961" t="str">
        <f ca="1">IF(P114=0,"0",TEXT(OFFSET('5  Control Accounts'!$FX$33,Q114,0),"##0"))</f>
        <v>0</v>
      </c>
      <c r="L114" s="961" t="str">
        <f ca="1">IF(P114=0,"0",TEXT(OFFSET('5  Control Accounts'!$FU$33,Q114,0),"0.0000"))</f>
        <v>0</v>
      </c>
      <c r="M114" s="961" t="str">
        <f ca="1">IF(P114=0,"0",TEXT(OFFSET('5  Control Accounts'!$FY$33,Q114,0),"##0"))</f>
        <v>0</v>
      </c>
      <c r="N114" s="2346"/>
      <c r="P114" s="537">
        <f ca="1">$O$2*OFFSET('5  Control Accounts'!$CP$33,Q114,0)</f>
        <v>0</v>
      </c>
      <c r="Q114" s="537">
        <v>108</v>
      </c>
      <c r="R114" s="1411">
        <f ca="1">IF(P114=0,0,OFFSET('5  Control Accounts'!$FD$33,Q114,0))</f>
        <v>0</v>
      </c>
      <c r="S114" s="1411">
        <f ca="1">IF(P114=0,0,OFFSET('5  Control Accounts'!$FE$33,Q114,0))</f>
        <v>0</v>
      </c>
      <c r="T114" s="1930">
        <f t="shared" ca="1" si="12"/>
        <v>0</v>
      </c>
      <c r="U114" s="1930">
        <f t="shared" ca="1" si="13"/>
        <v>0</v>
      </c>
    </row>
    <row r="115" spans="1:21" s="750" customFormat="1" ht="15.9" customHeight="1" x14ac:dyDescent="0.3">
      <c r="A115" s="961" t="str">
        <f ca="1">IF(P115=0,"0",TEXT(OFFSET('5  Control Accounts'!$BF$33,Q115,0)&amp;"."&amp;OFFSET('5  Control Accounts'!$BH$33,Q115,0),"General"))</f>
        <v>0</v>
      </c>
      <c r="B115" s="961" t="str">
        <f t="shared" ca="1" si="14"/>
        <v>0</v>
      </c>
      <c r="C115" s="961" t="str">
        <f t="shared" ca="1" si="15"/>
        <v>0</v>
      </c>
      <c r="D115" s="961" t="str">
        <f ca="1">IF($P115=0,"0",TEXT(OFFSET('5  Control Accounts'!$DW$33,Q115,0),"General"))</f>
        <v>0</v>
      </c>
      <c r="E115" s="1327" t="str">
        <f ca="1">IF($P115=0,"0",TEXT(OFFSET('5  Control Accounts'!$Z$33,Q115,0),"##0.0"))</f>
        <v>0</v>
      </c>
      <c r="F115" s="961" t="str">
        <f ca="1">IF(P115=0,"0",TEXT(OFFSET('5  Control Accounts'!$FG$33,Q115,0),"##0.0"))</f>
        <v>0</v>
      </c>
      <c r="G115" s="961" t="str">
        <f ca="1">IF(P115=0,"0",TEXT(OFFSET('5  Control Accounts'!$FH$33,$Q115,0),"##0.0"))</f>
        <v>0</v>
      </c>
      <c r="H115" s="961" t="str">
        <f ca="1">IF(P115=0,"0",TEXT(OFFSET('5  Control Accounts'!$FP$33,$Q115,0),"##0.00"))</f>
        <v>0</v>
      </c>
      <c r="I115" s="961" t="str">
        <f ca="1">IF(P115=0,"0",TEXT(OFFSET('5  Control Accounts'!$FQ$33,$Q115,0),"0.0000"))</f>
        <v>0</v>
      </c>
      <c r="J115" s="961" t="str">
        <f ca="1">IF(P115=0,"0",TEXT(OFFSET('5  Control Accounts'!$FR$33,$Q115,0),"##0.00"))</f>
        <v>0</v>
      </c>
      <c r="K115" s="961" t="str">
        <f ca="1">IF(P115=0,"0",TEXT(OFFSET('5  Control Accounts'!$FX$33,Q115,0),"##0"))</f>
        <v>0</v>
      </c>
      <c r="L115" s="961" t="str">
        <f ca="1">IF(P115=0,"0",TEXT(OFFSET('5  Control Accounts'!$FU$33,Q115,0),"0.0000"))</f>
        <v>0</v>
      </c>
      <c r="M115" s="961" t="str">
        <f ca="1">IF(P115=0,"0",TEXT(OFFSET('5  Control Accounts'!$FY$33,Q115,0),"##0"))</f>
        <v>0</v>
      </c>
      <c r="N115" s="2346"/>
      <c r="P115" s="537">
        <f ca="1">$O$2*OFFSET('5  Control Accounts'!$CP$33,Q115,0)</f>
        <v>0</v>
      </c>
      <c r="Q115" s="537">
        <v>109</v>
      </c>
      <c r="R115" s="1411">
        <f ca="1">IF(P115=0,0,OFFSET('5  Control Accounts'!$FD$33,Q115,0))</f>
        <v>0</v>
      </c>
      <c r="S115" s="1411">
        <f ca="1">IF(P115=0,0,OFFSET('5  Control Accounts'!$FE$33,Q115,0))</f>
        <v>0</v>
      </c>
      <c r="T115" s="1930">
        <f t="shared" ca="1" si="12"/>
        <v>0</v>
      </c>
      <c r="U115" s="1930">
        <f t="shared" ca="1" si="13"/>
        <v>0</v>
      </c>
    </row>
    <row r="116" spans="1:21" s="750" customFormat="1" ht="15.9" customHeight="1" x14ac:dyDescent="0.3">
      <c r="A116" s="961" t="str">
        <f ca="1">IF(P116=0,"0",TEXT(OFFSET('5  Control Accounts'!$BF$33,Q116,0)&amp;"."&amp;OFFSET('5  Control Accounts'!$BH$33,Q116,0),"General"))</f>
        <v>0</v>
      </c>
      <c r="B116" s="961" t="str">
        <f t="shared" ca="1" si="14"/>
        <v>0</v>
      </c>
      <c r="C116" s="961" t="str">
        <f t="shared" ca="1" si="15"/>
        <v>0</v>
      </c>
      <c r="D116" s="961" t="str">
        <f ca="1">IF($P116=0,"0",TEXT(OFFSET('5  Control Accounts'!$DW$33,Q116,0),"General"))</f>
        <v>0</v>
      </c>
      <c r="E116" s="1327" t="str">
        <f ca="1">IF($P116=0,"0",TEXT(OFFSET('5  Control Accounts'!$Z$33,Q116,0),"##0.0"))</f>
        <v>0</v>
      </c>
      <c r="F116" s="961" t="str">
        <f ca="1">IF(P116=0,"0",TEXT(OFFSET('5  Control Accounts'!$FG$33,Q116,0),"##0.0"))</f>
        <v>0</v>
      </c>
      <c r="G116" s="961" t="str">
        <f ca="1">IF(P116=0,"0",TEXT(OFFSET('5  Control Accounts'!$FH$33,$Q116,0),"##0.0"))</f>
        <v>0</v>
      </c>
      <c r="H116" s="961" t="str">
        <f ca="1">IF(P116=0,"0",TEXT(OFFSET('5  Control Accounts'!$FP$33,$Q116,0),"##0.00"))</f>
        <v>0</v>
      </c>
      <c r="I116" s="961" t="str">
        <f ca="1">IF(P116=0,"0",TEXT(OFFSET('5  Control Accounts'!$FQ$33,$Q116,0),"0.0000"))</f>
        <v>0</v>
      </c>
      <c r="J116" s="961" t="str">
        <f ca="1">IF(P116=0,"0",TEXT(OFFSET('5  Control Accounts'!$FR$33,$Q116,0),"##0.00"))</f>
        <v>0</v>
      </c>
      <c r="K116" s="961" t="str">
        <f ca="1">IF(P116=0,"0",TEXT(OFFSET('5  Control Accounts'!$FX$33,Q116,0),"##0"))</f>
        <v>0</v>
      </c>
      <c r="L116" s="961" t="str">
        <f ca="1">IF(P116=0,"0",TEXT(OFFSET('5  Control Accounts'!$FU$33,Q116,0),"0.0000"))</f>
        <v>0</v>
      </c>
      <c r="M116" s="961" t="str">
        <f ca="1">IF(P116=0,"0",TEXT(OFFSET('5  Control Accounts'!$FY$33,Q116,0),"##0"))</f>
        <v>0</v>
      </c>
      <c r="N116" s="2346"/>
      <c r="P116" s="537">
        <f ca="1">$O$2*OFFSET('5  Control Accounts'!$CP$33,Q116,0)</f>
        <v>0</v>
      </c>
      <c r="Q116" s="537">
        <v>110</v>
      </c>
      <c r="R116" s="1411">
        <f ca="1">IF(P116=0,0,OFFSET('5  Control Accounts'!$FD$33,Q116,0))</f>
        <v>0</v>
      </c>
      <c r="S116" s="1411">
        <f ca="1">IF(P116=0,0,OFFSET('5  Control Accounts'!$FE$33,Q116,0))</f>
        <v>0</v>
      </c>
      <c r="T116" s="1930">
        <f t="shared" ca="1" si="12"/>
        <v>0</v>
      </c>
      <c r="U116" s="1930">
        <f t="shared" ca="1" si="13"/>
        <v>0</v>
      </c>
    </row>
    <row r="117" spans="1:21" s="750" customFormat="1" ht="15.9" customHeight="1" x14ac:dyDescent="0.3">
      <c r="A117" s="961" t="str">
        <f ca="1">IF(P117=0,"0",TEXT(OFFSET('5  Control Accounts'!$BF$33,Q117,0)&amp;"."&amp;OFFSET('5  Control Accounts'!$BH$33,Q117,0),"General"))</f>
        <v>0</v>
      </c>
      <c r="B117" s="961" t="str">
        <f t="shared" ca="1" si="14"/>
        <v>0</v>
      </c>
      <c r="C117" s="961" t="str">
        <f t="shared" ca="1" si="15"/>
        <v>0</v>
      </c>
      <c r="D117" s="961" t="str">
        <f ca="1">IF($P117=0,"0",TEXT(OFFSET('5  Control Accounts'!$DW$33,Q117,0),"General"))</f>
        <v>0</v>
      </c>
      <c r="E117" s="1327" t="str">
        <f ca="1">IF($P117=0,"0",TEXT(OFFSET('5  Control Accounts'!$Z$33,Q117,0),"##0.0"))</f>
        <v>0</v>
      </c>
      <c r="F117" s="961" t="str">
        <f ca="1">IF(P117=0,"0",TEXT(OFFSET('5  Control Accounts'!$FG$33,Q117,0),"##0.0"))</f>
        <v>0</v>
      </c>
      <c r="G117" s="961" t="str">
        <f ca="1">IF(P117=0,"0",TEXT(OFFSET('5  Control Accounts'!$FH$33,$Q117,0),"##0.0"))</f>
        <v>0</v>
      </c>
      <c r="H117" s="961" t="str">
        <f ca="1">IF(P117=0,"0",TEXT(OFFSET('5  Control Accounts'!$FP$33,$Q117,0),"##0.00"))</f>
        <v>0</v>
      </c>
      <c r="I117" s="961" t="str">
        <f ca="1">IF(P117=0,"0",TEXT(OFFSET('5  Control Accounts'!$FQ$33,$Q117,0),"0.0000"))</f>
        <v>0</v>
      </c>
      <c r="J117" s="961" t="str">
        <f ca="1">IF(P117=0,"0",TEXT(OFFSET('5  Control Accounts'!$FR$33,$Q117,0),"##0.00"))</f>
        <v>0</v>
      </c>
      <c r="K117" s="961" t="str">
        <f ca="1">IF(P117=0,"0",TEXT(OFFSET('5  Control Accounts'!$FX$33,Q117,0),"##0"))</f>
        <v>0</v>
      </c>
      <c r="L117" s="961" t="str">
        <f ca="1">IF(P117=0,"0",TEXT(OFFSET('5  Control Accounts'!$FU$33,Q117,0),"0.0000"))</f>
        <v>0</v>
      </c>
      <c r="M117" s="961" t="str">
        <f ca="1">IF(P117=0,"0",TEXT(OFFSET('5  Control Accounts'!$FY$33,Q117,0),"##0"))</f>
        <v>0</v>
      </c>
      <c r="N117" s="2346"/>
      <c r="P117" s="537">
        <f ca="1">$O$2*OFFSET('5  Control Accounts'!$CP$33,Q117,0)</f>
        <v>0</v>
      </c>
      <c r="Q117" s="537">
        <v>111</v>
      </c>
      <c r="R117" s="1411">
        <f ca="1">IF(P117=0,0,OFFSET('5  Control Accounts'!$FD$33,Q117,0))</f>
        <v>0</v>
      </c>
      <c r="S117" s="1411">
        <f ca="1">IF(P117=0,0,OFFSET('5  Control Accounts'!$FE$33,Q117,0))</f>
        <v>0</v>
      </c>
      <c r="T117" s="1930">
        <f t="shared" ca="1" si="12"/>
        <v>0</v>
      </c>
      <c r="U117" s="1930">
        <f t="shared" ca="1" si="13"/>
        <v>0</v>
      </c>
    </row>
    <row r="118" spans="1:21" s="750" customFormat="1" ht="15.9" customHeight="1" x14ac:dyDescent="0.3">
      <c r="A118" s="961" t="str">
        <f ca="1">IF(P118=0,"0",TEXT(OFFSET('5  Control Accounts'!$BF$33,Q118,0)&amp;"."&amp;OFFSET('5  Control Accounts'!$BH$33,Q118,0),"General"))</f>
        <v>0</v>
      </c>
      <c r="B118" s="961" t="str">
        <f t="shared" ca="1" si="14"/>
        <v>0</v>
      </c>
      <c r="C118" s="961" t="str">
        <f t="shared" ca="1" si="15"/>
        <v>0</v>
      </c>
      <c r="D118" s="961" t="str">
        <f ca="1">IF($P118=0,"0",TEXT(OFFSET('5  Control Accounts'!$DW$33,Q118,0),"General"))</f>
        <v>0</v>
      </c>
      <c r="E118" s="1327" t="str">
        <f ca="1">IF($P118=0,"0",TEXT(OFFSET('5  Control Accounts'!$Z$33,Q118,0),"##0.0"))</f>
        <v>0</v>
      </c>
      <c r="F118" s="961" t="str">
        <f ca="1">IF(P118=0,"0",TEXT(OFFSET('5  Control Accounts'!$FG$33,Q118,0),"##0.0"))</f>
        <v>0</v>
      </c>
      <c r="G118" s="961" t="str">
        <f ca="1">IF(P118=0,"0",TEXT(OFFSET('5  Control Accounts'!$FH$33,$Q118,0),"##0.0"))</f>
        <v>0</v>
      </c>
      <c r="H118" s="961" t="str">
        <f ca="1">IF(P118=0,"0",TEXT(OFFSET('5  Control Accounts'!$FP$33,$Q118,0),"##0.00"))</f>
        <v>0</v>
      </c>
      <c r="I118" s="961" t="str">
        <f ca="1">IF(P118=0,"0",TEXT(OFFSET('5  Control Accounts'!$FQ$33,$Q118,0),"0.0000"))</f>
        <v>0</v>
      </c>
      <c r="J118" s="961" t="str">
        <f ca="1">IF(P118=0,"0",TEXT(OFFSET('5  Control Accounts'!$FR$33,$Q118,0),"##0.00"))</f>
        <v>0</v>
      </c>
      <c r="K118" s="961" t="str">
        <f ca="1">IF(P118=0,"0",TEXT(OFFSET('5  Control Accounts'!$FX$33,Q118,0),"##0"))</f>
        <v>0</v>
      </c>
      <c r="L118" s="961" t="str">
        <f ca="1">IF(P118=0,"0",TEXT(OFFSET('5  Control Accounts'!$FU$33,Q118,0),"0.0000"))</f>
        <v>0</v>
      </c>
      <c r="M118" s="961" t="str">
        <f ca="1">IF(P118=0,"0",TEXT(OFFSET('5  Control Accounts'!$FY$33,Q118,0),"##0"))</f>
        <v>0</v>
      </c>
      <c r="N118" s="2346"/>
      <c r="P118" s="537">
        <f ca="1">$O$2*OFFSET('5  Control Accounts'!$CP$33,Q118,0)</f>
        <v>0</v>
      </c>
      <c r="Q118" s="537">
        <v>112</v>
      </c>
      <c r="R118" s="1411">
        <f ca="1">IF(P118=0,0,OFFSET('5  Control Accounts'!$FD$33,Q118,0))</f>
        <v>0</v>
      </c>
      <c r="S118" s="1411">
        <f ca="1">IF(P118=0,0,OFFSET('5  Control Accounts'!$FE$33,Q118,0))</f>
        <v>0</v>
      </c>
      <c r="T118" s="1930">
        <f t="shared" ca="1" si="12"/>
        <v>0</v>
      </c>
      <c r="U118" s="1930">
        <f t="shared" ca="1" si="13"/>
        <v>0</v>
      </c>
    </row>
    <row r="119" spans="1:21" s="750" customFormat="1" ht="15.9" customHeight="1" x14ac:dyDescent="0.3">
      <c r="A119" s="961" t="str">
        <f ca="1">IF(P119=0,"0",TEXT(OFFSET('5  Control Accounts'!$BF$33,Q119,0)&amp;"."&amp;OFFSET('5  Control Accounts'!$BH$33,Q119,0),"General"))</f>
        <v>0</v>
      </c>
      <c r="B119" s="961" t="str">
        <f t="shared" ca="1" si="14"/>
        <v>0</v>
      </c>
      <c r="C119" s="961" t="str">
        <f t="shared" ca="1" si="15"/>
        <v>0</v>
      </c>
      <c r="D119" s="961" t="str">
        <f ca="1">IF($P119=0,"0",TEXT(OFFSET('5  Control Accounts'!$DW$33,Q119,0),"General"))</f>
        <v>0</v>
      </c>
      <c r="E119" s="1327" t="str">
        <f ca="1">IF($P119=0,"0",TEXT(OFFSET('5  Control Accounts'!$Z$33,Q119,0),"##0.0"))</f>
        <v>0</v>
      </c>
      <c r="F119" s="961" t="str">
        <f ca="1">IF(P119=0,"0",TEXT(OFFSET('5  Control Accounts'!$FG$33,Q119,0),"##0.0"))</f>
        <v>0</v>
      </c>
      <c r="G119" s="961" t="str">
        <f ca="1">IF(P119=0,"0",TEXT(OFFSET('5  Control Accounts'!$FH$33,$Q119,0),"##0.0"))</f>
        <v>0</v>
      </c>
      <c r="H119" s="961" t="str">
        <f ca="1">IF(P119=0,"0",TEXT(OFFSET('5  Control Accounts'!$FP$33,$Q119,0),"##0.00"))</f>
        <v>0</v>
      </c>
      <c r="I119" s="961" t="str">
        <f ca="1">IF(P119=0,"0",TEXT(OFFSET('5  Control Accounts'!$FQ$33,$Q119,0),"0.0000"))</f>
        <v>0</v>
      </c>
      <c r="J119" s="961" t="str">
        <f ca="1">IF(P119=0,"0",TEXT(OFFSET('5  Control Accounts'!$FR$33,$Q119,0),"##0.00"))</f>
        <v>0</v>
      </c>
      <c r="K119" s="961" t="str">
        <f ca="1">IF(P119=0,"0",TEXT(OFFSET('5  Control Accounts'!$FX$33,Q119,0),"##0"))</f>
        <v>0</v>
      </c>
      <c r="L119" s="961" t="str">
        <f ca="1">IF(P119=0,"0",TEXT(OFFSET('5  Control Accounts'!$FU$33,Q119,0),"0.0000"))</f>
        <v>0</v>
      </c>
      <c r="M119" s="961" t="str">
        <f ca="1">IF(P119=0,"0",TEXT(OFFSET('5  Control Accounts'!$FY$33,Q119,0),"##0"))</f>
        <v>0</v>
      </c>
      <c r="N119" s="2346"/>
      <c r="P119" s="537">
        <f ca="1">$O$2*OFFSET('5  Control Accounts'!$CP$33,Q119,0)</f>
        <v>0</v>
      </c>
      <c r="Q119" s="537">
        <v>113</v>
      </c>
      <c r="R119" s="1411">
        <f ca="1">IF(P119=0,0,OFFSET('5  Control Accounts'!$FD$33,Q119,0))</f>
        <v>0</v>
      </c>
      <c r="S119" s="1411">
        <f ca="1">IF(P119=0,0,OFFSET('5  Control Accounts'!$FE$33,Q119,0))</f>
        <v>0</v>
      </c>
      <c r="T119" s="1930">
        <f t="shared" ca="1" si="12"/>
        <v>0</v>
      </c>
      <c r="U119" s="1930">
        <f t="shared" ca="1" si="13"/>
        <v>0</v>
      </c>
    </row>
    <row r="120" spans="1:21" s="750" customFormat="1" ht="15.9" customHeight="1" x14ac:dyDescent="0.3">
      <c r="A120" s="961" t="str">
        <f ca="1">IF(P120=0,"0",TEXT(OFFSET('5  Control Accounts'!$BF$33,Q120,0)&amp;"."&amp;OFFSET('5  Control Accounts'!$BH$33,Q120,0),"General"))</f>
        <v>0</v>
      </c>
      <c r="B120" s="961" t="str">
        <f t="shared" ca="1" si="14"/>
        <v>0</v>
      </c>
      <c r="C120" s="961" t="str">
        <f t="shared" ca="1" si="15"/>
        <v>0</v>
      </c>
      <c r="D120" s="961" t="str">
        <f ca="1">IF($P120=0,"0",TEXT(OFFSET('5  Control Accounts'!$DW$33,Q120,0),"General"))</f>
        <v>0</v>
      </c>
      <c r="E120" s="1327" t="str">
        <f ca="1">IF($P120=0,"0",TEXT(OFFSET('5  Control Accounts'!$Z$33,Q120,0),"##0.0"))</f>
        <v>0</v>
      </c>
      <c r="F120" s="961" t="str">
        <f ca="1">IF(P120=0,"0",TEXT(OFFSET('5  Control Accounts'!$FG$33,Q120,0),"##0.0"))</f>
        <v>0</v>
      </c>
      <c r="G120" s="961" t="str">
        <f ca="1">IF(P120=0,"0",TEXT(OFFSET('5  Control Accounts'!$FH$33,$Q120,0),"##0.0"))</f>
        <v>0</v>
      </c>
      <c r="H120" s="961" t="str">
        <f ca="1">IF(P120=0,"0",TEXT(OFFSET('5  Control Accounts'!$FP$33,$Q120,0),"##0.00"))</f>
        <v>0</v>
      </c>
      <c r="I120" s="961" t="str">
        <f ca="1">IF(P120=0,"0",TEXT(OFFSET('5  Control Accounts'!$FQ$33,$Q120,0),"0.0000"))</f>
        <v>0</v>
      </c>
      <c r="J120" s="961" t="str">
        <f ca="1">IF(P120=0,"0",TEXT(OFFSET('5  Control Accounts'!$FR$33,$Q120,0),"##0.00"))</f>
        <v>0</v>
      </c>
      <c r="K120" s="961" t="str">
        <f ca="1">IF(P120=0,"0",TEXT(OFFSET('5  Control Accounts'!$FX$33,Q120,0),"##0"))</f>
        <v>0</v>
      </c>
      <c r="L120" s="961" t="str">
        <f ca="1">IF(P120=0,"0",TEXT(OFFSET('5  Control Accounts'!$FU$33,Q120,0),"0.0000"))</f>
        <v>0</v>
      </c>
      <c r="M120" s="961" t="str">
        <f ca="1">IF(P120=0,"0",TEXT(OFFSET('5  Control Accounts'!$FY$33,Q120,0),"##0"))</f>
        <v>0</v>
      </c>
      <c r="N120" s="2346"/>
      <c r="P120" s="537">
        <f ca="1">$O$2*OFFSET('5  Control Accounts'!$CP$33,Q120,0)</f>
        <v>0</v>
      </c>
      <c r="Q120" s="537">
        <v>114</v>
      </c>
      <c r="R120" s="1411">
        <f ca="1">IF(P120=0,0,OFFSET('5  Control Accounts'!$FD$33,Q120,0))</f>
        <v>0</v>
      </c>
      <c r="S120" s="1411">
        <f ca="1">IF(P120=0,0,OFFSET('5  Control Accounts'!$FE$33,Q120,0))</f>
        <v>0</v>
      </c>
      <c r="T120" s="1930">
        <f t="shared" ca="1" si="12"/>
        <v>0</v>
      </c>
      <c r="U120" s="1930">
        <f t="shared" ca="1" si="13"/>
        <v>0</v>
      </c>
    </row>
    <row r="121" spans="1:21" s="750" customFormat="1" ht="15.9" customHeight="1" x14ac:dyDescent="0.3">
      <c r="A121" s="961" t="str">
        <f ca="1">IF(P121=0,"0",TEXT(OFFSET('5  Control Accounts'!$BF$33,Q121,0)&amp;"."&amp;OFFSET('5  Control Accounts'!$BH$33,Q121,0),"General"))</f>
        <v>0</v>
      </c>
      <c r="B121" s="961" t="str">
        <f t="shared" ca="1" si="14"/>
        <v>0</v>
      </c>
      <c r="C121" s="961" t="str">
        <f t="shared" ca="1" si="15"/>
        <v>0</v>
      </c>
      <c r="D121" s="961" t="str">
        <f ca="1">IF($P121=0,"0",TEXT(OFFSET('5  Control Accounts'!$DW$33,Q121,0),"General"))</f>
        <v>0</v>
      </c>
      <c r="E121" s="1327" t="str">
        <f ca="1">IF($P121=0,"0",TEXT(OFFSET('5  Control Accounts'!$Z$33,Q121,0),"##0.0"))</f>
        <v>0</v>
      </c>
      <c r="F121" s="961" t="str">
        <f ca="1">IF(P121=0,"0",TEXT(OFFSET('5  Control Accounts'!$FG$33,Q121,0),"##0.0"))</f>
        <v>0</v>
      </c>
      <c r="G121" s="961" t="str">
        <f ca="1">IF(P121=0,"0",TEXT(OFFSET('5  Control Accounts'!$FH$33,$Q121,0),"##0.0"))</f>
        <v>0</v>
      </c>
      <c r="H121" s="961" t="str">
        <f ca="1">IF(P121=0,"0",TEXT(OFFSET('5  Control Accounts'!$FP$33,$Q121,0),"##0.00"))</f>
        <v>0</v>
      </c>
      <c r="I121" s="961" t="str">
        <f ca="1">IF(P121=0,"0",TEXT(OFFSET('5  Control Accounts'!$FQ$33,$Q121,0),"0.0000"))</f>
        <v>0</v>
      </c>
      <c r="J121" s="961" t="str">
        <f ca="1">IF(P121=0,"0",TEXT(OFFSET('5  Control Accounts'!$FR$33,$Q121,0),"##0.00"))</f>
        <v>0</v>
      </c>
      <c r="K121" s="961" t="str">
        <f ca="1">IF(P121=0,"0",TEXT(OFFSET('5  Control Accounts'!$FX$33,Q121,0),"##0"))</f>
        <v>0</v>
      </c>
      <c r="L121" s="961" t="str">
        <f ca="1">IF(P121=0,"0",TEXT(OFFSET('5  Control Accounts'!$FU$33,Q121,0),"0.0000"))</f>
        <v>0</v>
      </c>
      <c r="M121" s="961" t="str">
        <f ca="1">IF(P121=0,"0",TEXT(OFFSET('5  Control Accounts'!$FY$33,Q121,0),"##0"))</f>
        <v>0</v>
      </c>
      <c r="N121" s="2346"/>
      <c r="P121" s="537">
        <f ca="1">$O$2*OFFSET('5  Control Accounts'!$CP$33,Q121,0)</f>
        <v>0</v>
      </c>
      <c r="Q121" s="537">
        <v>115</v>
      </c>
      <c r="R121" s="1411">
        <f ca="1">IF(P121=0,0,OFFSET('5  Control Accounts'!$FD$33,Q121,0))</f>
        <v>0</v>
      </c>
      <c r="S121" s="1411">
        <f ca="1">IF(P121=0,0,OFFSET('5  Control Accounts'!$FE$33,Q121,0))</f>
        <v>0</v>
      </c>
      <c r="T121" s="1930">
        <f t="shared" ca="1" si="12"/>
        <v>0</v>
      </c>
      <c r="U121" s="1930">
        <f t="shared" ca="1" si="13"/>
        <v>0</v>
      </c>
    </row>
    <row r="122" spans="1:21" s="750" customFormat="1" ht="15.9" customHeight="1" x14ac:dyDescent="0.3">
      <c r="A122" s="961" t="str">
        <f ca="1">IF(P122=0,"0",TEXT(OFFSET('5  Control Accounts'!$BF$33,Q122,0)&amp;"."&amp;OFFSET('5  Control Accounts'!$BH$33,Q122,0),"General"))</f>
        <v>0</v>
      </c>
      <c r="B122" s="961" t="str">
        <f t="shared" ca="1" si="14"/>
        <v>0</v>
      </c>
      <c r="C122" s="961" t="str">
        <f t="shared" ca="1" si="15"/>
        <v>0</v>
      </c>
      <c r="D122" s="961" t="str">
        <f ca="1">IF($P122=0,"0",TEXT(OFFSET('5  Control Accounts'!$DW$33,Q122,0),"General"))</f>
        <v>0</v>
      </c>
      <c r="E122" s="1326" t="str">
        <f ca="1">IF($P122=0,"0",TEXT(OFFSET('5  Control Accounts'!$Z$33,Q122,0),"##0.0"))</f>
        <v>0</v>
      </c>
      <c r="F122" s="961" t="str">
        <f ca="1">IF(P122=0,"0",TEXT(OFFSET('5  Control Accounts'!$FG$33,Q122,0),"##0.0"))</f>
        <v>0</v>
      </c>
      <c r="G122" s="961" t="str">
        <f ca="1">IF(P122=0,"0",TEXT(OFFSET('5  Control Accounts'!$FH$33,$Q122,0),"##0.0"))</f>
        <v>0</v>
      </c>
      <c r="H122" s="961" t="str">
        <f ca="1">IF(P122=0,"0",TEXT(OFFSET('5  Control Accounts'!$FP$33,$Q122,0),"##0.00"))</f>
        <v>0</v>
      </c>
      <c r="I122" s="961" t="str">
        <f ca="1">IF(P122=0,"0",TEXT(OFFSET('5  Control Accounts'!$FQ$33,$Q122,0),"0.0000"))</f>
        <v>0</v>
      </c>
      <c r="J122" s="961" t="str">
        <f ca="1">IF(P122=0,"0",TEXT(OFFSET('5  Control Accounts'!$FR$33,$Q122,0),"##0.00"))</f>
        <v>0</v>
      </c>
      <c r="K122" s="961" t="str">
        <f ca="1">IF(P122=0,"0",TEXT(OFFSET('5  Control Accounts'!$FX$33,Q122,0),"##0"))</f>
        <v>0</v>
      </c>
      <c r="L122" s="961" t="str">
        <f ca="1">IF(P122=0,"0",TEXT(OFFSET('5  Control Accounts'!$FU$33,Q122,0),"0.0000"))</f>
        <v>0</v>
      </c>
      <c r="M122" s="961" t="str">
        <f ca="1">IF(P122=0,"0",TEXT(OFFSET('5  Control Accounts'!$FY$33,Q122,0),"##0"))</f>
        <v>0</v>
      </c>
      <c r="N122" s="2346"/>
      <c r="P122" s="537">
        <f ca="1">$O$2*OFFSET('5  Control Accounts'!$CP$33,Q122,0)</f>
        <v>0</v>
      </c>
      <c r="Q122" s="537">
        <v>116</v>
      </c>
      <c r="R122" s="1411">
        <f ca="1">IF(P122=0,0,OFFSET('5  Control Accounts'!$FD$33,Q122,0))</f>
        <v>0</v>
      </c>
      <c r="S122" s="1411">
        <f ca="1">IF(P122=0,0,OFFSET('5  Control Accounts'!$FE$33,Q122,0))</f>
        <v>0</v>
      </c>
      <c r="T122" s="1930">
        <f t="shared" ca="1" si="12"/>
        <v>0</v>
      </c>
      <c r="U122" s="1930">
        <f t="shared" ca="1" si="13"/>
        <v>0</v>
      </c>
    </row>
    <row r="123" spans="1:21" s="750" customFormat="1" ht="15.9" customHeight="1" x14ac:dyDescent="0.3">
      <c r="A123" s="961" t="str">
        <f ca="1">IF(P123=0,"0",TEXT(OFFSET('5  Control Accounts'!$BF$33,Q123,0)&amp;"."&amp;OFFSET('5  Control Accounts'!$BH$33,Q123,0),"General"))</f>
        <v>0</v>
      </c>
      <c r="B123" s="961" t="str">
        <f t="shared" ca="1" si="14"/>
        <v>0</v>
      </c>
      <c r="C123" s="961" t="str">
        <f t="shared" ca="1" si="15"/>
        <v>0</v>
      </c>
      <c r="D123" s="961" t="str">
        <f ca="1">IF($P123=0,"0",TEXT(OFFSET('5  Control Accounts'!$DW$33,Q123,0),"General"))</f>
        <v>0</v>
      </c>
      <c r="E123" s="1326" t="str">
        <f ca="1">IF($P123=0,"0",TEXT(OFFSET('5  Control Accounts'!$Z$33,Q123,0),"##0.0"))</f>
        <v>0</v>
      </c>
      <c r="F123" s="961" t="str">
        <f ca="1">IF(P123=0,"0",TEXT(OFFSET('5  Control Accounts'!$FG$33,Q123,0),"##0.0"))</f>
        <v>0</v>
      </c>
      <c r="G123" s="961" t="str">
        <f ca="1">IF(P123=0,"0",TEXT(OFFSET('5  Control Accounts'!$FH$33,$Q123,0),"##0.0"))</f>
        <v>0</v>
      </c>
      <c r="H123" s="961" t="str">
        <f ca="1">IF(P123=0,"0",TEXT(OFFSET('5  Control Accounts'!$FP$33,$Q123,0),"##0.00"))</f>
        <v>0</v>
      </c>
      <c r="I123" s="961" t="str">
        <f ca="1">IF(P123=0,"0",TEXT(OFFSET('5  Control Accounts'!$FQ$33,$Q123,0),"0.0000"))</f>
        <v>0</v>
      </c>
      <c r="J123" s="961" t="str">
        <f ca="1">IF(P123=0,"0",TEXT(OFFSET('5  Control Accounts'!$FR$33,$Q123,0),"##0.00"))</f>
        <v>0</v>
      </c>
      <c r="K123" s="961" t="str">
        <f ca="1">IF(P123=0,"0",TEXT(OFFSET('5  Control Accounts'!$FX$33,Q123,0),"##0"))</f>
        <v>0</v>
      </c>
      <c r="L123" s="961" t="str">
        <f ca="1">IF(P123=0,"0",TEXT(OFFSET('5  Control Accounts'!$FU$33,Q123,0),"0.0000"))</f>
        <v>0</v>
      </c>
      <c r="M123" s="961" t="str">
        <f ca="1">IF(P123=0,"0",TEXT(OFFSET('5  Control Accounts'!$FY$33,Q123,0),"##0"))</f>
        <v>0</v>
      </c>
      <c r="N123" s="2346"/>
      <c r="P123" s="537">
        <f ca="1">$O$2*OFFSET('5  Control Accounts'!$CP$33,Q123,0)</f>
        <v>0</v>
      </c>
      <c r="Q123" s="537">
        <v>117</v>
      </c>
      <c r="R123" s="1411">
        <f ca="1">IF(P123=0,0,OFFSET('5  Control Accounts'!$FD$33,Q123,0))</f>
        <v>0</v>
      </c>
      <c r="S123" s="1411">
        <f ca="1">IF(P123=0,0,OFFSET('5  Control Accounts'!$FE$33,Q123,0))</f>
        <v>0</v>
      </c>
      <c r="T123" s="1930">
        <f t="shared" ca="1" si="12"/>
        <v>0</v>
      </c>
      <c r="U123" s="1930">
        <f t="shared" ca="1" si="13"/>
        <v>0</v>
      </c>
    </row>
    <row r="124" spans="1:21" s="750" customFormat="1" ht="15.9" customHeight="1" x14ac:dyDescent="0.3">
      <c r="A124" s="961" t="str">
        <f ca="1">IF(P124=0,"0",TEXT(OFFSET('5  Control Accounts'!$BF$33,Q124,0)&amp;"."&amp;OFFSET('5  Control Accounts'!$BH$33,Q124,0),"General"))</f>
        <v>0</v>
      </c>
      <c r="B124" s="961" t="str">
        <f t="shared" ca="1" si="14"/>
        <v>0</v>
      </c>
      <c r="C124" s="961" t="str">
        <f t="shared" ca="1" si="15"/>
        <v>0</v>
      </c>
      <c r="D124" s="961" t="str">
        <f ca="1">IF($P124=0,"0",TEXT(OFFSET('5  Control Accounts'!$DW$33,Q124,0),"General"))</f>
        <v>0</v>
      </c>
      <c r="E124" s="1326" t="str">
        <f ca="1">IF($P124=0,"0",TEXT(OFFSET('5  Control Accounts'!$Z$33,Q124,0),"##0.0"))</f>
        <v>0</v>
      </c>
      <c r="F124" s="961" t="str">
        <f ca="1">IF(P124=0,"0",TEXT(OFFSET('5  Control Accounts'!$FG$33,Q124,0),"##0.0"))</f>
        <v>0</v>
      </c>
      <c r="G124" s="961" t="str">
        <f ca="1">IF(P124=0,"0",TEXT(OFFSET('5  Control Accounts'!$FH$33,$Q124,0),"##0.0"))</f>
        <v>0</v>
      </c>
      <c r="H124" s="961" t="str">
        <f ca="1">IF(P124=0,"0",TEXT(OFFSET('5  Control Accounts'!$FP$33,$Q124,0),"##0.00"))</f>
        <v>0</v>
      </c>
      <c r="I124" s="961" t="str">
        <f ca="1">IF(P124=0,"0",TEXT(OFFSET('5  Control Accounts'!$FQ$33,$Q124,0),"0.0000"))</f>
        <v>0</v>
      </c>
      <c r="J124" s="961" t="str">
        <f ca="1">IF(P124=0,"0",TEXT(OFFSET('5  Control Accounts'!$FR$33,$Q124,0),"##0.00"))</f>
        <v>0</v>
      </c>
      <c r="K124" s="961" t="str">
        <f ca="1">IF(P124=0,"0",TEXT(OFFSET('5  Control Accounts'!$FX$33,Q124,0),"##0"))</f>
        <v>0</v>
      </c>
      <c r="L124" s="961" t="str">
        <f ca="1">IF(P124=0,"0",TEXT(OFFSET('5  Control Accounts'!$FU$33,Q124,0),"0.0000"))</f>
        <v>0</v>
      </c>
      <c r="M124" s="961" t="str">
        <f ca="1">IF(P124=0,"0",TEXT(OFFSET('5  Control Accounts'!$FY$33,Q124,0),"##0"))</f>
        <v>0</v>
      </c>
      <c r="N124" s="2346"/>
      <c r="P124" s="537">
        <f ca="1">$O$2*OFFSET('5  Control Accounts'!$CP$33,Q124,0)</f>
        <v>0</v>
      </c>
      <c r="Q124" s="537">
        <v>118</v>
      </c>
      <c r="R124" s="1411">
        <f ca="1">IF(P124=0,0,OFFSET('5  Control Accounts'!$FD$33,Q124,0))</f>
        <v>0</v>
      </c>
      <c r="S124" s="1411">
        <f ca="1">IF(P124=0,0,OFFSET('5  Control Accounts'!$FE$33,Q124,0))</f>
        <v>0</v>
      </c>
      <c r="T124" s="1930">
        <f t="shared" ca="1" si="12"/>
        <v>0</v>
      </c>
      <c r="U124" s="1930">
        <f t="shared" ca="1" si="13"/>
        <v>0</v>
      </c>
    </row>
    <row r="125" spans="1:21" s="750" customFormat="1" ht="15.9" customHeight="1" x14ac:dyDescent="0.3">
      <c r="A125" s="961" t="str">
        <f ca="1">IF(P125=0,"0",TEXT(OFFSET('5  Control Accounts'!$BF$33,Q125,0)&amp;"."&amp;OFFSET('5  Control Accounts'!$BH$33,Q125,0),"General"))</f>
        <v>0</v>
      </c>
      <c r="B125" s="961" t="str">
        <f t="shared" ca="1" si="14"/>
        <v>0</v>
      </c>
      <c r="C125" s="961" t="str">
        <f t="shared" ca="1" si="15"/>
        <v>0</v>
      </c>
      <c r="D125" s="961" t="str">
        <f ca="1">IF($P125=0,"0",TEXT(OFFSET('5  Control Accounts'!$DW$33,Q125,0),"General"))</f>
        <v>0</v>
      </c>
      <c r="E125" s="1326" t="str">
        <f ca="1">IF($P125=0,"0",TEXT(OFFSET('5  Control Accounts'!$Z$33,Q125,0),"##0.0"))</f>
        <v>0</v>
      </c>
      <c r="F125" s="961" t="str">
        <f ca="1">IF(P125=0,"0",TEXT(OFFSET('5  Control Accounts'!$FG$33,Q125,0),"##0.0"))</f>
        <v>0</v>
      </c>
      <c r="G125" s="961" t="str">
        <f ca="1">IF(P125=0,"0",TEXT(OFFSET('5  Control Accounts'!$FH$33,$Q125,0),"##0.0"))</f>
        <v>0</v>
      </c>
      <c r="H125" s="961" t="str">
        <f ca="1">IF(P125=0,"0",TEXT(OFFSET('5  Control Accounts'!$FP$33,$Q125,0),"##0.00"))</f>
        <v>0</v>
      </c>
      <c r="I125" s="961" t="str">
        <f ca="1">IF(P125=0,"0",TEXT(OFFSET('5  Control Accounts'!$FQ$33,$Q125,0),"0.0000"))</f>
        <v>0</v>
      </c>
      <c r="J125" s="961" t="str">
        <f ca="1">IF(P125=0,"0",TEXT(OFFSET('5  Control Accounts'!$FR$33,$Q125,0),"##0.00"))</f>
        <v>0</v>
      </c>
      <c r="K125" s="961" t="str">
        <f ca="1">IF(P125=0,"0",TEXT(OFFSET('5  Control Accounts'!$FX$33,Q125,0),"##0"))</f>
        <v>0</v>
      </c>
      <c r="L125" s="961" t="str">
        <f ca="1">IF(P125=0,"0",TEXT(OFFSET('5  Control Accounts'!$FU$33,Q125,0),"0.0000"))</f>
        <v>0</v>
      </c>
      <c r="M125" s="961" t="str">
        <f ca="1">IF(P125=0,"0",TEXT(OFFSET('5  Control Accounts'!$FY$33,Q125,0),"##0"))</f>
        <v>0</v>
      </c>
      <c r="N125" s="2346"/>
      <c r="P125" s="537">
        <f ca="1">$O$2*OFFSET('5  Control Accounts'!$CP$33,Q125,0)</f>
        <v>0</v>
      </c>
      <c r="Q125" s="537">
        <v>119</v>
      </c>
      <c r="R125" s="1411">
        <f ca="1">IF(P125=0,0,OFFSET('5  Control Accounts'!$FD$33,Q125,0))</f>
        <v>0</v>
      </c>
      <c r="S125" s="1411">
        <f ca="1">IF(P125=0,0,OFFSET('5  Control Accounts'!$FE$33,Q125,0))</f>
        <v>0</v>
      </c>
      <c r="T125" s="1930">
        <f t="shared" ca="1" si="12"/>
        <v>0</v>
      </c>
      <c r="U125" s="1930">
        <f t="shared" ca="1" si="13"/>
        <v>0</v>
      </c>
    </row>
    <row r="126" spans="1:21" s="750" customFormat="1" ht="15.9" customHeight="1" x14ac:dyDescent="0.3">
      <c r="A126" s="961" t="str">
        <f ca="1">IF(P126=0,"0",TEXT(OFFSET('5  Control Accounts'!$BF$33,Q126,0)&amp;"."&amp;OFFSET('5  Control Accounts'!$BH$33,Q126,0),"General"))</f>
        <v>0</v>
      </c>
      <c r="B126" s="961" t="str">
        <f t="shared" ca="1" si="14"/>
        <v>0</v>
      </c>
      <c r="C126" s="961" t="str">
        <f t="shared" ca="1" si="15"/>
        <v>0</v>
      </c>
      <c r="D126" s="961" t="str">
        <f ca="1">IF($P126=0,"0",TEXT(OFFSET('5  Control Accounts'!$DW$33,Q126,0),"General"))</f>
        <v>0</v>
      </c>
      <c r="E126" s="961" t="str">
        <f ca="1">IF($P126=0,"0",TEXT(OFFSET('5  Control Accounts'!$Z$33,Q126,0),"##0.0"))</f>
        <v>0</v>
      </c>
      <c r="F126" s="961" t="str">
        <f ca="1">IF(P126=0,"0",TEXT(OFFSET('5  Control Accounts'!$FG$33,Q126,0),"##0.0"))</f>
        <v>0</v>
      </c>
      <c r="G126" s="961" t="str">
        <f ca="1">IF(P126=0,"0",TEXT(OFFSET('5  Control Accounts'!$FH$33,$Q126,0),"##0.0"))</f>
        <v>0</v>
      </c>
      <c r="H126" s="961" t="str">
        <f ca="1">IF(P126=0,"0",TEXT(OFFSET('5  Control Accounts'!$FP$33,$Q126,0),"##0.00"))</f>
        <v>0</v>
      </c>
      <c r="I126" s="961" t="str">
        <f ca="1">IF(P126=0,"0",TEXT(OFFSET('5  Control Accounts'!$FQ$33,$Q126,0),"0.0000"))</f>
        <v>0</v>
      </c>
      <c r="J126" s="961" t="str">
        <f ca="1">IF(P126=0,"0",TEXT(OFFSET('5  Control Accounts'!$FR$33,$Q126,0),"##0.00"))</f>
        <v>0</v>
      </c>
      <c r="K126" s="961" t="str">
        <f ca="1">IF(P126=0,"0",TEXT(OFFSET('5  Control Accounts'!$FX$33,Q126,0),"##0"))</f>
        <v>0</v>
      </c>
      <c r="L126" s="961" t="str">
        <f ca="1">IF(P126=0,"0",TEXT(OFFSET('5  Control Accounts'!$FU$33,Q126,0),"0.0000"))</f>
        <v>0</v>
      </c>
      <c r="M126" s="961" t="str">
        <f ca="1">IF(P126=0,"0",TEXT(OFFSET('5  Control Accounts'!$FY$33,Q126,0),"##0"))</f>
        <v>0</v>
      </c>
      <c r="N126" s="2346"/>
      <c r="P126" s="537">
        <f ca="1">$O$2*OFFSET('5  Control Accounts'!$CP$33,Q126,0)</f>
        <v>0</v>
      </c>
      <c r="Q126" s="537">
        <v>120</v>
      </c>
      <c r="R126" s="1411">
        <f ca="1">IF(P126=0,0,OFFSET('5  Control Accounts'!$FD$33,Q126,0))</f>
        <v>0</v>
      </c>
      <c r="S126" s="1411">
        <f ca="1">IF(P126=0,0,OFFSET('5  Control Accounts'!$FE$33,Q126,0))</f>
        <v>0</v>
      </c>
      <c r="T126" s="1930">
        <f t="shared" ca="1" si="12"/>
        <v>0</v>
      </c>
      <c r="U126" s="1930">
        <f t="shared" ca="1" si="13"/>
        <v>0</v>
      </c>
    </row>
  </sheetData>
  <conditionalFormatting sqref="B2:M126">
    <cfRule type="expression" dxfId="91" priority="2">
      <formula>ISNONTEXT(B2)</formula>
    </cfRule>
  </conditionalFormatting>
  <conditionalFormatting sqref="O3">
    <cfRule type="expression" dxfId="90" priority="1">
      <formula>NOT(ISBLANK(O3))</formula>
    </cfRule>
  </conditionalFormatting>
  <pageMargins left="0.7" right="0.7" top="0.75" bottom="0.75" header="0.3" footer="0.3"/>
  <pageSetup paperSize="9" orientation="portrait" verticalDpi="4294967293"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003397"/>
  </sheetPr>
  <dimension ref="A1:AI2"/>
  <sheetViews>
    <sheetView workbookViewId="0">
      <selection activeCell="AF2" sqref="AF2"/>
    </sheetView>
  </sheetViews>
  <sheetFormatPr defaultColWidth="8.88671875" defaultRowHeight="14.4" x14ac:dyDescent="0.3"/>
  <cols>
    <col min="1" max="3" width="8.88671875" style="1492"/>
    <col min="4" max="4" width="26.109375" style="1492" customWidth="1"/>
    <col min="5" max="14" width="8.88671875" style="1492"/>
    <col min="15" max="15" width="9.5546875" style="1492" bestFit="1" customWidth="1"/>
    <col min="16" max="23" width="8.88671875" style="1492"/>
    <col min="24" max="24" width="26" style="1492" customWidth="1"/>
    <col min="25" max="30" width="8.88671875" style="1492"/>
    <col min="31" max="31" width="6" style="1492" customWidth="1"/>
    <col min="32" max="33" width="8.88671875" style="1492"/>
    <col min="34" max="34" width="7.44140625" style="1492" customWidth="1"/>
    <col min="35" max="35" width="10.5546875" style="1492" customWidth="1"/>
    <col min="36" max="16384" width="8.88671875" style="1492"/>
  </cols>
  <sheetData>
    <row r="1" spans="1:35" ht="40.799999999999997" x14ac:dyDescent="0.3">
      <c r="A1" s="2294" t="s">
        <v>578</v>
      </c>
      <c r="B1" s="2294" t="s">
        <v>1314</v>
      </c>
      <c r="C1" s="2351" t="s">
        <v>2615</v>
      </c>
      <c r="D1" s="2294" t="s">
        <v>2616</v>
      </c>
      <c r="E1" s="2294" t="s">
        <v>2617</v>
      </c>
      <c r="F1" s="2351" t="s">
        <v>2618</v>
      </c>
      <c r="G1" s="2351" t="s">
        <v>2619</v>
      </c>
      <c r="H1" s="2351" t="s">
        <v>0</v>
      </c>
      <c r="I1" s="2351" t="s">
        <v>2620</v>
      </c>
      <c r="J1" s="2351" t="s">
        <v>2621</v>
      </c>
      <c r="K1" s="2351" t="s">
        <v>2622</v>
      </c>
      <c r="L1" s="2351" t="s">
        <v>2623</v>
      </c>
      <c r="M1" s="2351" t="s">
        <v>2624</v>
      </c>
      <c r="N1" s="2351" t="s">
        <v>2625</v>
      </c>
      <c r="O1" s="2294" t="s">
        <v>2626</v>
      </c>
      <c r="P1" s="2351" t="s">
        <v>2627</v>
      </c>
      <c r="Q1" s="2351" t="s">
        <v>2628</v>
      </c>
      <c r="R1" s="2351" t="s">
        <v>2629</v>
      </c>
      <c r="S1" s="2351" t="s">
        <v>2630</v>
      </c>
      <c r="T1" s="2351" t="s">
        <v>2631</v>
      </c>
      <c r="U1" s="2351" t="s">
        <v>2632</v>
      </c>
      <c r="V1" s="2351" t="s">
        <v>2633</v>
      </c>
      <c r="W1" s="2351" t="s">
        <v>2634</v>
      </c>
      <c r="X1" s="2294" t="s">
        <v>2635</v>
      </c>
      <c r="Y1" s="2351" t="s">
        <v>2636</v>
      </c>
      <c r="Z1" s="2351" t="s">
        <v>2637</v>
      </c>
      <c r="AA1" s="2351" t="s">
        <v>2638</v>
      </c>
      <c r="AB1" s="2351" t="s">
        <v>2639</v>
      </c>
      <c r="AC1" s="2351" t="s">
        <v>2640</v>
      </c>
      <c r="AD1" s="2351" t="s">
        <v>2641</v>
      </c>
      <c r="AF1" s="1002" t="s">
        <v>2657</v>
      </c>
      <c r="AG1" s="2303" t="s">
        <v>1402</v>
      </c>
      <c r="AH1" s="2303" t="s">
        <v>2659</v>
      </c>
      <c r="AI1" s="2303" t="s">
        <v>2626</v>
      </c>
    </row>
    <row r="2" spans="1:35" ht="15.9" customHeight="1" x14ac:dyDescent="0.3">
      <c r="A2" s="1406" t="str">
        <f>IF(AF2=0,"0",TEXT('5  Control Accounts'!$EA$16,"general"))</f>
        <v>B23672</v>
      </c>
      <c r="B2" s="1406" t="str">
        <f>IF(AF2=0,"0",'5  Control Accounts'!$EB$16&amp;"-"&amp;AG2)</f>
        <v>05-99</v>
      </c>
      <c r="C2" s="2335"/>
      <c r="D2" s="1406" t="e">
        <f>IF($AF2=0,"0",TEXT(INDEX('Change Log'!BR27:BR40,$AH2),"General"))</f>
        <v>#N/A</v>
      </c>
      <c r="E2" s="1406" t="e">
        <f>IF($AF2=0,"0",TEXT(INDEX('Change Log'!BT27:BT40,$AH2),"General"))</f>
        <v>#N/A</v>
      </c>
      <c r="F2" s="2335"/>
      <c r="G2" s="2335"/>
      <c r="H2" s="2335"/>
      <c r="I2" s="2335"/>
      <c r="J2" s="2335"/>
      <c r="K2" s="2335"/>
      <c r="L2" s="2335"/>
      <c r="M2" s="2335"/>
      <c r="N2" s="2335"/>
      <c r="O2" s="1406" t="e">
        <f>IF(OR(AF2=0,AI2=0),"0",TEXT(AI2,"yyyy-mm-dd"))</f>
        <v>#N/A</v>
      </c>
      <c r="P2" s="2335"/>
      <c r="Q2" s="2335"/>
      <c r="R2" s="2335"/>
      <c r="S2" s="2335"/>
      <c r="T2" s="2335"/>
      <c r="U2" s="2335"/>
      <c r="V2" s="2335"/>
      <c r="W2" s="2335"/>
      <c r="X2" s="1406" t="e">
        <f>IF($AF2=0,"0",TEXT(INDEX('Change Log'!BU27:BU40,$AH2),"General"))</f>
        <v>#N/A</v>
      </c>
      <c r="Y2" s="2335"/>
      <c r="Z2" s="2335"/>
      <c r="AA2" s="2335"/>
      <c r="AB2" s="2335"/>
      <c r="AC2" s="2335"/>
      <c r="AD2" s="2335"/>
      <c r="AE2" s="2333"/>
      <c r="AF2" s="2324">
        <f>IF(AND('1 Setup'!$G$3="B",'4 Sign-off'!S123&gt;0,ISBLANK('4 Sign-off'!$T$123),ISBLANK('4 Sign-off'!$U$123),ISBLANK('4 Sign-off'!$V$123),ISBLANK('4 Sign-off'!$W$123),ISBLANK('4 Sign-off'!$X$123)),1,0)</f>
        <v>1</v>
      </c>
      <c r="AG2" s="2334">
        <f>'4 Sign-off'!S123</f>
        <v>99</v>
      </c>
      <c r="AH2" s="2334" t="e">
        <f>MATCH(AG2,'Change Log'!BQ27:BQ40,0)</f>
        <v>#N/A</v>
      </c>
      <c r="AI2" s="824" t="e">
        <f>INDEX('Change Log'!BS27:BS40,AH2)</f>
        <v>#N/A</v>
      </c>
    </row>
  </sheetData>
  <conditionalFormatting sqref="A2">
    <cfRule type="expression" dxfId="89" priority="2">
      <formula>(A2="")</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00338D"/>
  </sheetPr>
  <dimension ref="A1:Z127"/>
  <sheetViews>
    <sheetView workbookViewId="0">
      <selection activeCell="T16" sqref="T16"/>
    </sheetView>
  </sheetViews>
  <sheetFormatPr defaultColWidth="8.88671875" defaultRowHeight="14.4" x14ac:dyDescent="0.3"/>
  <cols>
    <col min="1" max="2" width="8.88671875" style="1492"/>
    <col min="3" max="3" width="26.33203125" style="1492" customWidth="1"/>
    <col min="4" max="4" width="11.33203125" style="1492" bestFit="1" customWidth="1"/>
    <col min="5" max="5" width="10.33203125" style="1492" bestFit="1" customWidth="1"/>
    <col min="6" max="7" width="8.88671875" style="1492"/>
    <col min="8" max="8" width="13.6640625" style="1492" bestFit="1" customWidth="1"/>
    <col min="9" max="13" width="8.88671875" style="1492"/>
    <col min="14" max="14" width="11.33203125" style="1492" bestFit="1" customWidth="1"/>
    <col min="15" max="16384" width="8.88671875" style="1492"/>
  </cols>
  <sheetData>
    <row r="1" spans="1:26" ht="36.6" customHeight="1" thickBot="1" x14ac:dyDescent="0.35">
      <c r="A1" s="2294" t="s">
        <v>578</v>
      </c>
      <c r="B1" s="2294" t="s">
        <v>1314</v>
      </c>
      <c r="C1" s="2294" t="s">
        <v>100</v>
      </c>
      <c r="D1" s="2294" t="s">
        <v>744</v>
      </c>
      <c r="E1" s="2294" t="s">
        <v>745</v>
      </c>
      <c r="F1" s="2294" t="s">
        <v>2588</v>
      </c>
      <c r="G1" s="2351" t="s">
        <v>2643</v>
      </c>
      <c r="H1" s="2351" t="s">
        <v>16</v>
      </c>
      <c r="I1" s="2351" t="s">
        <v>2644</v>
      </c>
      <c r="J1" s="2351" t="s">
        <v>2645</v>
      </c>
      <c r="K1" s="2294" t="s">
        <v>102</v>
      </c>
      <c r="L1" s="2294" t="s">
        <v>103</v>
      </c>
      <c r="M1" s="2294" t="s">
        <v>54</v>
      </c>
      <c r="N1" s="2351" t="s">
        <v>304</v>
      </c>
      <c r="O1" s="2351" t="s">
        <v>2646</v>
      </c>
      <c r="P1" s="2294" t="s">
        <v>104</v>
      </c>
      <c r="Q1" s="2294" t="s">
        <v>105</v>
      </c>
      <c r="R1" s="2351" t="s">
        <v>107</v>
      </c>
      <c r="T1" s="2501" t="s">
        <v>2791</v>
      </c>
      <c r="U1" s="1002" t="s">
        <v>1168</v>
      </c>
      <c r="V1" s="1002" t="s">
        <v>747</v>
      </c>
      <c r="W1" s="2303" t="s">
        <v>2655</v>
      </c>
      <c r="X1" s="2303" t="s">
        <v>2656</v>
      </c>
      <c r="Y1" s="3297">
        <f ca="1">SUM(Y2:Y300)</f>
        <v>2357.9899999999998</v>
      </c>
      <c r="Z1" s="3297">
        <f ca="1">SUM(Z2:Z300)</f>
        <v>0</v>
      </c>
    </row>
    <row r="2" spans="1:26" s="2295" customFormat="1" ht="15.9" customHeight="1" thickBot="1" x14ac:dyDescent="0.35">
      <c r="A2" s="2296" t="str">
        <f>IF($U2=0,"0",'5  Control Accounts'!$EA$16)</f>
        <v>0</v>
      </c>
      <c r="B2" s="2296" t="str">
        <f>IF($U2=0,"0",'5  Control Accounts'!$EB$16&amp;"-"&amp;'4 Sign-off'!$S$123)</f>
        <v>0</v>
      </c>
      <c r="C2" s="1400" t="str">
        <f>IF(U2=0,"0",'5  Control Accounts'!$BF29&amp;"."&amp;'5  Control Accounts'!BH29)</f>
        <v>0</v>
      </c>
      <c r="D2" s="2296" t="str">
        <f>IF(U2=0,"0",TEXT(W2,"YYYY-MM-DD"))</f>
        <v>0</v>
      </c>
      <c r="E2" s="2296" t="str">
        <f>IF(U2=0,"0",TEXT(X2,"YYYY-MM-DD"))</f>
        <v>0</v>
      </c>
      <c r="F2" s="1325" t="str">
        <f>IF(U2=0,"0",'5  Control Accounts'!DW29)</f>
        <v>0</v>
      </c>
      <c r="G2" s="2307"/>
      <c r="H2" s="2307"/>
      <c r="I2" s="2307"/>
      <c r="J2" s="2307"/>
      <c r="K2" s="1325" t="str">
        <f>IF(U2=0,"0",TEXT('5  Control Accounts'!FG29,"##0.0"))</f>
        <v>0</v>
      </c>
      <c r="L2" s="1325" t="str">
        <f>IF(U2=0,"0",TEXT('5  Control Accounts'!FX29,"##0.00"))</f>
        <v>0</v>
      </c>
      <c r="M2" s="1325" t="str">
        <f>IF(U2=0,"0",'1 Setup'!$I$60)</f>
        <v>0</v>
      </c>
      <c r="N2" s="2307"/>
      <c r="O2" s="2307"/>
      <c r="P2" s="1325" t="str">
        <f>IF(U2=0,"0",TEXT('5  Control Accounts'!FH29,"##0.0"))</f>
        <v>0</v>
      </c>
      <c r="Q2" s="1325" t="str">
        <f>IF(U2=0,"0",TEXT('5  Control Accounts'!FY29,"##0.00"))</f>
        <v>0</v>
      </c>
      <c r="R2" s="2307"/>
      <c r="T2" s="2503">
        <f>IF(NOT(ISBLANK(T3)),1,ImportChangeHeaders!AF2)</f>
        <v>1</v>
      </c>
      <c r="U2" s="2502">
        <f>$T$2*'5  Control Accounts'!$CP$29</f>
        <v>0</v>
      </c>
      <c r="V2" s="2309" t="s">
        <v>141</v>
      </c>
      <c r="W2" s="1408">
        <f>IF(U2=0,0,'5  Control Accounts'!FD29)</f>
        <v>0</v>
      </c>
      <c r="X2" s="3296">
        <f>IF(U2=0,0,'5  Control Accounts'!FE29)</f>
        <v>0</v>
      </c>
      <c r="Y2" s="1406">
        <f>VALUE(L2)</f>
        <v>0</v>
      </c>
      <c r="Z2" s="1406">
        <f>VALUE(Q2)</f>
        <v>0</v>
      </c>
    </row>
    <row r="3" spans="1:26" s="2295" customFormat="1" ht="15.9" customHeight="1" thickBot="1" x14ac:dyDescent="0.35">
      <c r="A3" s="2304" t="str">
        <f>IF($U3=0,"0",'5  Control Accounts'!$EA$16)</f>
        <v>0</v>
      </c>
      <c r="B3" s="2304" t="str">
        <f>IF($U3=0,"0",'5  Control Accounts'!$EB$16&amp;"-"&amp;'4 Sign-off'!$S$123)</f>
        <v>0</v>
      </c>
      <c r="C3" s="2313" t="str">
        <f>IF(U3=0,"0",'5  Control Accounts'!$BF30&amp;"."&amp;'5  Control Accounts'!BH30)</f>
        <v>0</v>
      </c>
      <c r="D3" s="2304" t="str">
        <f t="shared" ref="D3:D11" si="0">IF(U3=0,"0",TEXT(W3,"YYYY-MM-DD"))</f>
        <v>0</v>
      </c>
      <c r="E3" s="2304" t="str">
        <f>IF(U3=0,"0",TEXT(X3,"YYYY-MM-DD"))</f>
        <v>0</v>
      </c>
      <c r="F3" s="2314" t="str">
        <f>IF(U3=0,"0",'5  Control Accounts'!DW30)</f>
        <v>0</v>
      </c>
      <c r="G3" s="2308"/>
      <c r="H3" s="2308"/>
      <c r="I3" s="2308"/>
      <c r="J3" s="2308"/>
      <c r="K3" s="2314" t="str">
        <f>"0"</f>
        <v>0</v>
      </c>
      <c r="L3" s="2314" t="str">
        <f>IF(U3=0,"0",TEXT('5  Control Accounts'!FX30,"##0.00"))</f>
        <v>0</v>
      </c>
      <c r="M3" s="2304" t="str">
        <f>IF(U3=0,"0",'1 Setup'!$I$60)</f>
        <v>0</v>
      </c>
      <c r="N3" s="2308"/>
      <c r="O3" s="2308"/>
      <c r="P3" s="2314" t="str">
        <f>"0"</f>
        <v>0</v>
      </c>
      <c r="Q3" s="2314" t="str">
        <f>IF(U3=0,"0",TEXT('5  Control Accounts'!FY30,"##0.00"))</f>
        <v>0</v>
      </c>
      <c r="R3" s="2308"/>
      <c r="T3" s="2503"/>
      <c r="U3" s="2502">
        <f>$T$2*'5  Control Accounts'!$CP$30</f>
        <v>0</v>
      </c>
      <c r="V3" s="2309" t="s">
        <v>142</v>
      </c>
      <c r="W3" s="1409">
        <f>IF(U3=0,0,'5  Control Accounts'!FD30)</f>
        <v>0</v>
      </c>
      <c r="X3" s="1409">
        <f>IF(U3=0,0,'5  Control Accounts'!FE30)</f>
        <v>0</v>
      </c>
      <c r="Y3" s="1406">
        <f t="shared" ref="Y3:Y66" si="1">VALUE(L3)</f>
        <v>0</v>
      </c>
      <c r="Z3" s="1406">
        <f t="shared" ref="Z3:Z66" si="2">VALUE(Q3)</f>
        <v>0</v>
      </c>
    </row>
    <row r="4" spans="1:26" s="2295" customFormat="1" ht="15.9" customHeight="1" x14ac:dyDescent="0.3">
      <c r="A4" s="2304" t="str">
        <f>IF($U4=0,"0",'5  Control Accounts'!$EA$16)</f>
        <v>0</v>
      </c>
      <c r="B4" s="2304" t="str">
        <f>IF($U4=0,"0",'5  Control Accounts'!$EB$16&amp;"-"&amp;'4 Sign-off'!$S$123)</f>
        <v>0</v>
      </c>
      <c r="C4" s="2315" t="str">
        <f>IF(U4=0,"0",'5  Control Accounts'!$BF31&amp;"."&amp;'5  Control Accounts'!BH31)</f>
        <v>0</v>
      </c>
      <c r="D4" s="2304" t="str">
        <f t="shared" si="0"/>
        <v>0</v>
      </c>
      <c r="E4" s="2304" t="str">
        <f t="shared" ref="E4:E11" si="3">IF(U4=0,"0",TEXT(X4,"YYYY-MM-DD"))</f>
        <v>0</v>
      </c>
      <c r="F4" s="2314" t="str">
        <f>IF(U4=0,"0",'5  Control Accounts'!DW31)</f>
        <v>0</v>
      </c>
      <c r="G4" s="2308"/>
      <c r="H4" s="2308"/>
      <c r="I4" s="2308"/>
      <c r="J4" s="2308"/>
      <c r="K4" s="2314" t="str">
        <f t="shared" ref="K4:K7" si="4">"0"</f>
        <v>0</v>
      </c>
      <c r="L4" s="2314" t="str">
        <f>IF(U4=0,"0",TEXT('5  Control Accounts'!FX31,"##0.00"))</f>
        <v>0</v>
      </c>
      <c r="M4" s="2304" t="str">
        <f>IF(U4=0,"0",'1 Setup'!$I$60)</f>
        <v>0</v>
      </c>
      <c r="N4" s="2308"/>
      <c r="O4" s="2308"/>
      <c r="P4" s="2314" t="str">
        <f t="shared" ref="P4:P7" si="5">"0"</f>
        <v>0</v>
      </c>
      <c r="Q4" s="2314" t="str">
        <f>IF(U4=0,"0",TEXT('5  Control Accounts'!FY31,"##0.00"))</f>
        <v>0</v>
      </c>
      <c r="R4" s="2308"/>
      <c r="T4" s="3235" t="s">
        <v>4168</v>
      </c>
      <c r="U4" s="2309">
        <f>$T$2*'5  Control Accounts'!$CP$31</f>
        <v>0</v>
      </c>
      <c r="V4" s="2309" t="s">
        <v>143</v>
      </c>
      <c r="W4" s="1409">
        <f>IF(U4=0,0,'5  Control Accounts'!FD31)</f>
        <v>0</v>
      </c>
      <c r="X4" s="1409">
        <f>IF(U4=0,0,'5  Control Accounts'!FE31)</f>
        <v>0</v>
      </c>
      <c r="Y4" s="1406">
        <f t="shared" si="1"/>
        <v>0</v>
      </c>
      <c r="Z4" s="1406">
        <f t="shared" si="2"/>
        <v>0</v>
      </c>
    </row>
    <row r="5" spans="1:26" s="2295" customFormat="1" ht="15.9" customHeight="1" x14ac:dyDescent="0.3">
      <c r="A5" s="2304" t="str">
        <f>IF($U5=0,"0",'5  Control Accounts'!$EA$16)</f>
        <v>0</v>
      </c>
      <c r="B5" s="2304" t="str">
        <f>IF($U5=0,"0",'5  Control Accounts'!$EB$16&amp;"-"&amp;'4 Sign-off'!$S$123)</f>
        <v>0</v>
      </c>
      <c r="C5" s="2315" t="str">
        <f>IF(U5=0,"0",'5  Control Accounts'!$BF32&amp;"."&amp;'5  Control Accounts'!BH32)</f>
        <v>0</v>
      </c>
      <c r="D5" s="2304" t="str">
        <f t="shared" si="0"/>
        <v>0</v>
      </c>
      <c r="E5" s="2304" t="str">
        <f t="shared" si="3"/>
        <v>0</v>
      </c>
      <c r="F5" s="2314" t="str">
        <f>IF(U5=0,"0",'5  Control Accounts'!DW32)</f>
        <v>0</v>
      </c>
      <c r="G5" s="2308"/>
      <c r="H5" s="2308"/>
      <c r="I5" s="2308"/>
      <c r="J5" s="2308"/>
      <c r="K5" s="2314" t="str">
        <f t="shared" si="4"/>
        <v>0</v>
      </c>
      <c r="L5" s="2314" t="str">
        <f>IF(U5=0,"0",TEXT('5  Control Accounts'!FX32,"##0.00"))</f>
        <v>0</v>
      </c>
      <c r="M5" s="2304" t="str">
        <f>IF(U5=0,"0",'1 Setup'!$I$60)</f>
        <v>0</v>
      </c>
      <c r="N5" s="2308"/>
      <c r="O5" s="2308"/>
      <c r="P5" s="2314" t="str">
        <f t="shared" si="5"/>
        <v>0</v>
      </c>
      <c r="Q5" s="2314" t="str">
        <f>IF(U5=0,"0",TEXT('5  Control Accounts'!FY32,"##0.00"))</f>
        <v>0</v>
      </c>
      <c r="R5" s="2308"/>
      <c r="T5" s="2310"/>
      <c r="U5" s="2309">
        <f>$T$2*'5  Control Accounts'!$CP$32</f>
        <v>0</v>
      </c>
      <c r="V5" s="2309" t="s">
        <v>144</v>
      </c>
      <c r="W5" s="1409">
        <f>IF(U5=0,0,'5  Control Accounts'!FD32)</f>
        <v>0</v>
      </c>
      <c r="X5" s="1409">
        <f>IF(U5=0,0,'5  Control Accounts'!FE32)</f>
        <v>0</v>
      </c>
      <c r="Y5" s="1406">
        <f t="shared" si="1"/>
        <v>0</v>
      </c>
      <c r="Z5" s="1406">
        <f t="shared" si="2"/>
        <v>0</v>
      </c>
    </row>
    <row r="6" spans="1:26" s="2295" customFormat="1" ht="15.9" customHeight="1" x14ac:dyDescent="0.3">
      <c r="A6" s="2304" t="str">
        <f>IF($U6=0,"0",'5  Control Accounts'!$EA$16)</f>
        <v>0</v>
      </c>
      <c r="B6" s="2304" t="str">
        <f>IF($U6=0,"0",'5  Control Accounts'!$EB$16&amp;"-"&amp;'4 Sign-off'!$S$123)</f>
        <v>0</v>
      </c>
      <c r="C6" s="2315" t="str">
        <f>IF(U6=0,"0",'5  Control Accounts'!#REF!&amp;"."&amp;'5  Control Accounts'!#REF!)</f>
        <v>0</v>
      </c>
      <c r="D6" s="2304" t="str">
        <f t="shared" si="0"/>
        <v>0</v>
      </c>
      <c r="E6" s="2304" t="str">
        <f t="shared" si="3"/>
        <v>0</v>
      </c>
      <c r="F6" s="2314" t="str">
        <f>IF(U6=0,"0",'5  Control Accounts'!#REF!)</f>
        <v>0</v>
      </c>
      <c r="G6" s="2308"/>
      <c r="H6" s="2308"/>
      <c r="I6" s="2308"/>
      <c r="J6" s="2308"/>
      <c r="K6" s="2314" t="str">
        <f t="shared" si="4"/>
        <v>0</v>
      </c>
      <c r="L6" s="2314" t="str">
        <f>IF(U6=0,"0",TEXT('5  Control Accounts'!#REF!,"##0.00"))</f>
        <v>0</v>
      </c>
      <c r="M6" s="2304" t="str">
        <f>IF(U6=0,"0",'1 Setup'!$I$60)</f>
        <v>0</v>
      </c>
      <c r="N6" s="2308"/>
      <c r="O6" s="2308"/>
      <c r="P6" s="2314" t="str">
        <f t="shared" si="5"/>
        <v>0</v>
      </c>
      <c r="Q6" s="2314" t="str">
        <f>IF(U6=0,"0",TEXT('5  Control Accounts'!#REF!,"##0.00"))</f>
        <v>0</v>
      </c>
      <c r="R6" s="2308"/>
      <c r="T6" s="2310"/>
      <c r="U6" s="2309">
        <v>0</v>
      </c>
      <c r="V6" s="2309" t="s">
        <v>145</v>
      </c>
      <c r="W6" s="1409">
        <f>IF(U6=0,0,'5  Control Accounts'!#REF!)</f>
        <v>0</v>
      </c>
      <c r="X6" s="1409">
        <f>IF(U6=0,0,'5  Control Accounts'!#REF!)</f>
        <v>0</v>
      </c>
      <c r="Y6" s="1406">
        <f t="shared" si="1"/>
        <v>0</v>
      </c>
      <c r="Z6" s="1406">
        <f t="shared" si="2"/>
        <v>0</v>
      </c>
    </row>
    <row r="7" spans="1:26" s="2295" customFormat="1" ht="15.9" customHeight="1" thickBot="1" x14ac:dyDescent="0.35">
      <c r="A7" s="2306" t="str">
        <f>IF($U7=0,"0",'5  Control Accounts'!$EA$16)</f>
        <v>B23672</v>
      </c>
      <c r="B7" s="2306" t="str">
        <f>IF($U7=0,"0",'5  Control Accounts'!$EB$16&amp;"-"&amp;'4 Sign-off'!$S$123)</f>
        <v>05-99</v>
      </c>
      <c r="C7" s="2316" t="str">
        <f>IF(U7=0,"0",'5  Control Accounts'!$BF33&amp;"."&amp;'5  Control Accounts'!BH33)</f>
        <v>B23672.05.B.PN.CMP.C.C</v>
      </c>
      <c r="D7" s="2306" t="str">
        <f t="shared" si="0"/>
        <v>2020-01-10</v>
      </c>
      <c r="E7" s="2306" t="str">
        <f t="shared" si="3"/>
        <v>2020-04-02</v>
      </c>
      <c r="F7" s="2317" t="str">
        <f>IF(U7=0,"0",'5  Control Accounts'!DW33)</f>
        <v>LIN</v>
      </c>
      <c r="G7" s="2318"/>
      <c r="H7" s="2318"/>
      <c r="I7" s="2318"/>
      <c r="J7" s="2318"/>
      <c r="K7" s="2317" t="str">
        <f t="shared" si="4"/>
        <v>0</v>
      </c>
      <c r="L7" s="2317" t="str">
        <f>IF(U7=0,"0",TEXT('5  Control Accounts'!FX33,"##0.00"))</f>
        <v>2357.99</v>
      </c>
      <c r="M7" s="2306" t="str">
        <f>IF(U7=0,"0",'1 Setup'!$I$60)</f>
        <v>GBP</v>
      </c>
      <c r="N7" s="2318"/>
      <c r="O7" s="2318"/>
      <c r="P7" s="2316" t="str">
        <f t="shared" si="5"/>
        <v>0</v>
      </c>
      <c r="Q7" s="2319" t="str">
        <f>IF(U7=0,"0",TEXT('5  Control Accounts'!FY33,"##0.00"))</f>
        <v>0.00</v>
      </c>
      <c r="R7" s="2318"/>
      <c r="T7" s="2310"/>
      <c r="U7" s="2311">
        <f>$T$2*'5  Control Accounts'!$CP$33</f>
        <v>1</v>
      </c>
      <c r="V7" s="2311" t="s">
        <v>1491</v>
      </c>
      <c r="W7" s="1410">
        <f>IF(U7=0,0,'5  Control Accounts'!FD33)</f>
        <v>43840</v>
      </c>
      <c r="X7" s="1410">
        <f>IF(U7=0,0,'5  Control Accounts'!FE33)</f>
        <v>43923</v>
      </c>
      <c r="Y7" s="1406">
        <f t="shared" si="1"/>
        <v>2357.9899999999998</v>
      </c>
      <c r="Z7" s="1406">
        <f t="shared" si="2"/>
        <v>0</v>
      </c>
    </row>
    <row r="8" spans="1:26" s="2295" customFormat="1" ht="15.9" customHeight="1" thickTop="1" x14ac:dyDescent="0.3">
      <c r="A8" s="2305" t="str">
        <f ca="1">IF($U8=0,"0",'5  Control Accounts'!$EA$16)</f>
        <v>0</v>
      </c>
      <c r="B8" s="2305" t="str">
        <f ca="1">IF($U8=0,"0",'5  Control Accounts'!$EB$16&amp;"-"&amp;'4 Sign-off'!$S$123)</f>
        <v>0</v>
      </c>
      <c r="C8" s="2320" t="str">
        <f ca="1">IF(U8=0,"0",OFFSET('5  Control Accounts'!$BF$33,V8,0)&amp;"."&amp;OFFSET('5  Control Accounts'!$BH$33,V8,0))</f>
        <v>0</v>
      </c>
      <c r="D8" s="2321" t="str">
        <f t="shared" ca="1" si="0"/>
        <v>0</v>
      </c>
      <c r="E8" s="2321" t="str">
        <f t="shared" ca="1" si="3"/>
        <v>0</v>
      </c>
      <c r="F8" s="1325" t="str">
        <f ca="1">IF(U8=0,"0",OFFSET('5  Control Accounts'!$DW$33,V8,0))</f>
        <v>0</v>
      </c>
      <c r="G8" s="2322"/>
      <c r="H8" s="2322"/>
      <c r="I8" s="2322"/>
      <c r="J8" s="2322"/>
      <c r="K8" s="1325" t="str">
        <f ca="1">IF(U8=0,"0",TEXT(OFFSET('5  Control Accounts'!$FG$33,V8,0),"##0.0"))</f>
        <v>0</v>
      </c>
      <c r="L8" s="1325" t="str">
        <f ca="1">IF(U8=0,"0",TEXT(OFFSET('5  Control Accounts'!$FX$33,V8,0),"##0.00"))</f>
        <v>0</v>
      </c>
      <c r="M8" s="2321" t="str">
        <f ca="1">IF(U8=0,"0",'1 Setup'!$I$60)</f>
        <v>0</v>
      </c>
      <c r="N8" s="2322"/>
      <c r="O8" s="2322"/>
      <c r="P8" s="1325" t="str">
        <f ca="1">IF(U8=0,"0",TEXT(OFFSET('5  Control Accounts'!$FH$33,V8,0),"##0.0"))</f>
        <v>0</v>
      </c>
      <c r="Q8" s="1325" t="str">
        <f ca="1">IF(U8=0,"0",TEXT(OFFSET('5  Control Accounts'!$FY$33,V8,0),"##0.00"))</f>
        <v>0</v>
      </c>
      <c r="R8" s="2322"/>
      <c r="T8" s="2310"/>
      <c r="U8" s="2312">
        <f ca="1">$T$2*OFFSET('5  Control Accounts'!$BR$33,V8,0)</f>
        <v>0</v>
      </c>
      <c r="V8" s="2312">
        <v>1</v>
      </c>
      <c r="W8" s="1411">
        <f ca="1">IF(U8=0,0,OFFSET('5  Control Accounts'!$FD$33,V8,0))</f>
        <v>0</v>
      </c>
      <c r="X8" s="1411">
        <f ca="1">IF(U8=0,0,OFFSET('5  Control Accounts'!$FE$33,V8,0))</f>
        <v>0</v>
      </c>
      <c r="Y8" s="1406">
        <f t="shared" ca="1" si="1"/>
        <v>0</v>
      </c>
      <c r="Z8" s="1406">
        <f t="shared" ca="1" si="2"/>
        <v>0</v>
      </c>
    </row>
    <row r="9" spans="1:26" s="2295" customFormat="1" ht="15.9" customHeight="1" x14ac:dyDescent="0.3">
      <c r="A9" s="2304" t="str">
        <f ca="1">IF($U9=0,"0",'5  Control Accounts'!$EA$16)</f>
        <v>0</v>
      </c>
      <c r="B9" s="2304" t="str">
        <f ca="1">IF($U9=0,"0",'5  Control Accounts'!$EB$16&amp;"-"&amp;'4 Sign-off'!$S$123)</f>
        <v>0</v>
      </c>
      <c r="C9" s="2323" t="str">
        <f ca="1">IF(U9=0,"0",OFFSET('5  Control Accounts'!$BF$33,V9,0)&amp;"."&amp;OFFSET('5  Control Accounts'!$BH$33,V9,0))</f>
        <v>0</v>
      </c>
      <c r="D9" s="2304" t="str">
        <f t="shared" ca="1" si="0"/>
        <v>0</v>
      </c>
      <c r="E9" s="2304" t="str">
        <f t="shared" ca="1" si="3"/>
        <v>0</v>
      </c>
      <c r="F9" s="2304" t="str">
        <f ca="1">IF(U9=0,"0",OFFSET('5  Control Accounts'!$DW$33,V9,0))</f>
        <v>0</v>
      </c>
      <c r="G9" s="2308"/>
      <c r="H9" s="2308"/>
      <c r="I9" s="2308"/>
      <c r="J9" s="2308"/>
      <c r="K9" s="2304" t="str">
        <f ca="1">IF(U9=0,"0",TEXT(OFFSET('5  Control Accounts'!$FG$33,V9,0),"##0.0"))</f>
        <v>0</v>
      </c>
      <c r="L9" s="2314" t="str">
        <f ca="1">IF(U9=0,"0",TEXT(OFFSET('5  Control Accounts'!$FX$33,V9,0),"##0.00"))</f>
        <v>0</v>
      </c>
      <c r="M9" s="2304" t="str">
        <f ca="1">IF(U9=0,"0",'1 Setup'!$I$60)</f>
        <v>0</v>
      </c>
      <c r="N9" s="2308"/>
      <c r="O9" s="2308"/>
      <c r="P9" s="2304" t="str">
        <f ca="1">IF(U9=0,"0",TEXT(OFFSET('5  Control Accounts'!$FH$33,V9,0),"##0.0"))</f>
        <v>0</v>
      </c>
      <c r="Q9" s="2304" t="str">
        <f ca="1">IF(U9=0,"0",TEXT(OFFSET('5  Control Accounts'!$FY$33,V9,0),"##0.00"))</f>
        <v>0</v>
      </c>
      <c r="R9" s="2308"/>
      <c r="T9" s="2310"/>
      <c r="U9" s="2309">
        <f ca="1">$T$2*OFFSET('5  Control Accounts'!$BR$33,V9,0)</f>
        <v>0</v>
      </c>
      <c r="V9" s="2309">
        <v>2</v>
      </c>
      <c r="W9" s="1411">
        <f ca="1">IF(U9=0,0,OFFSET('5  Control Accounts'!$FD$33,V9,0))</f>
        <v>0</v>
      </c>
      <c r="X9" s="1411">
        <f ca="1">IF(U9=0,0,OFFSET('5  Control Accounts'!$FE$33,V9,0))</f>
        <v>0</v>
      </c>
      <c r="Y9" s="1406">
        <f t="shared" ca="1" si="1"/>
        <v>0</v>
      </c>
      <c r="Z9" s="1406">
        <f t="shared" ca="1" si="2"/>
        <v>0</v>
      </c>
    </row>
    <row r="10" spans="1:26" s="2295" customFormat="1" ht="15.9" customHeight="1" x14ac:dyDescent="0.3">
      <c r="A10" s="2304" t="str">
        <f ca="1">IF($U10=0,"0",'5  Control Accounts'!$EA$16)</f>
        <v>0</v>
      </c>
      <c r="B10" s="2304" t="str">
        <f ca="1">IF($U10=0,"0",'5  Control Accounts'!$EB$16&amp;"-"&amp;'4 Sign-off'!$S$123)</f>
        <v>0</v>
      </c>
      <c r="C10" s="2323" t="str">
        <f ca="1">IF(U10=0,"0",OFFSET('5  Control Accounts'!$BF$33,V10,0)&amp;"."&amp;OFFSET('5  Control Accounts'!$BH$33,V10,0))</f>
        <v>0</v>
      </c>
      <c r="D10" s="2304" t="str">
        <f t="shared" ca="1" si="0"/>
        <v>0</v>
      </c>
      <c r="E10" s="2304" t="str">
        <f t="shared" ca="1" si="3"/>
        <v>0</v>
      </c>
      <c r="F10" s="2304" t="str">
        <f ca="1">IF(U10=0,"0",OFFSET('5  Control Accounts'!$DW$33,V10,0))</f>
        <v>0</v>
      </c>
      <c r="G10" s="2308"/>
      <c r="H10" s="2308"/>
      <c r="I10" s="2308"/>
      <c r="J10" s="2308"/>
      <c r="K10" s="2304" t="str">
        <f ca="1">IF(U10=0,"0",TEXT(OFFSET('5  Control Accounts'!$FG$33,V10,0),"##0.0"))</f>
        <v>0</v>
      </c>
      <c r="L10" s="2314" t="str">
        <f ca="1">IF(U10=0,"0",TEXT(OFFSET('5  Control Accounts'!$FX$33,V10,0),"##0.00"))</f>
        <v>0</v>
      </c>
      <c r="M10" s="2304" t="str">
        <f ca="1">IF(U10=0,"0",'1 Setup'!$I$60)</f>
        <v>0</v>
      </c>
      <c r="N10" s="2308"/>
      <c r="O10" s="2308"/>
      <c r="P10" s="2304" t="str">
        <f ca="1">IF(U10=0,"0",TEXT(OFFSET('5  Control Accounts'!$FH$33,V10,0),"##0.0"))</f>
        <v>0</v>
      </c>
      <c r="Q10" s="2304" t="str">
        <f ca="1">IF(U10=0,"0",TEXT(OFFSET('5  Control Accounts'!$FY$33,V10,0),"##0.00"))</f>
        <v>0</v>
      </c>
      <c r="R10" s="2308"/>
      <c r="T10" s="2310"/>
      <c r="U10" s="2309">
        <f ca="1">$T$2*OFFSET('5  Control Accounts'!$BR$33,V10,0)</f>
        <v>0</v>
      </c>
      <c r="V10" s="2309">
        <v>3</v>
      </c>
      <c r="W10" s="1411">
        <f ca="1">IF(U10=0,0,OFFSET('5  Control Accounts'!$FD$33,V10,0))</f>
        <v>0</v>
      </c>
      <c r="X10" s="1411">
        <f ca="1">IF(U10=0,0,OFFSET('5  Control Accounts'!$FE$33,V10,0))</f>
        <v>0</v>
      </c>
      <c r="Y10" s="1406">
        <f t="shared" ca="1" si="1"/>
        <v>0</v>
      </c>
      <c r="Z10" s="1406">
        <f t="shared" ca="1" si="2"/>
        <v>0</v>
      </c>
    </row>
    <row r="11" spans="1:26" s="2295" customFormat="1" ht="15.9" customHeight="1" x14ac:dyDescent="0.3">
      <c r="A11" s="2304" t="str">
        <f ca="1">IF($U11=0,"0",'5  Control Accounts'!$EA$16)</f>
        <v>0</v>
      </c>
      <c r="B11" s="2304" t="str">
        <f ca="1">IF($U11=0,"0",'5  Control Accounts'!$EB$16&amp;"-"&amp;'4 Sign-off'!$S$123)</f>
        <v>0</v>
      </c>
      <c r="C11" s="2323" t="str">
        <f ca="1">IF(U11=0,"0",OFFSET('5  Control Accounts'!$BF$33,V11,0)&amp;"."&amp;OFFSET('5  Control Accounts'!$BH$33,V11,0))</f>
        <v>0</v>
      </c>
      <c r="D11" s="2304" t="str">
        <f t="shared" ca="1" si="0"/>
        <v>0</v>
      </c>
      <c r="E11" s="2304" t="str">
        <f t="shared" ca="1" si="3"/>
        <v>0</v>
      </c>
      <c r="F11" s="2304" t="str">
        <f ca="1">IF(U11=0,"0",OFFSET('5  Control Accounts'!$DW$33,V11,0))</f>
        <v>0</v>
      </c>
      <c r="G11" s="2308"/>
      <c r="H11" s="2308"/>
      <c r="I11" s="2308"/>
      <c r="J11" s="2308"/>
      <c r="K11" s="2304" t="str">
        <f ca="1">IF(U11=0,"0",TEXT(OFFSET('5  Control Accounts'!$FG$33,V11,0),"##0.0"))</f>
        <v>0</v>
      </c>
      <c r="L11" s="2314" t="str">
        <f ca="1">IF(U11=0,"0",TEXT(OFFSET('5  Control Accounts'!$FX$33,V11,0),"##0.00"))</f>
        <v>0</v>
      </c>
      <c r="M11" s="2304" t="str">
        <f ca="1">IF(U11=0,"0",'1 Setup'!$I$60)</f>
        <v>0</v>
      </c>
      <c r="N11" s="2308"/>
      <c r="O11" s="2308"/>
      <c r="P11" s="2304" t="str">
        <f ca="1">IF(U11=0,"0",TEXT(OFFSET('5  Control Accounts'!$FH$33,V11,0),"##0.0"))</f>
        <v>0</v>
      </c>
      <c r="Q11" s="2304" t="str">
        <f ca="1">IF(U11=0,"0",TEXT(OFFSET('5  Control Accounts'!$FY$33,V11,0),"##0.00"))</f>
        <v>0</v>
      </c>
      <c r="R11" s="2308"/>
      <c r="T11" s="2310"/>
      <c r="U11" s="2309">
        <f ca="1">$T$2*OFFSET('5  Control Accounts'!$BR$33,V11,0)</f>
        <v>0</v>
      </c>
      <c r="V11" s="2309">
        <v>4</v>
      </c>
      <c r="W11" s="1411">
        <f ca="1">IF(U11=0,0,OFFSET('5  Control Accounts'!$FD$33,V11,0))</f>
        <v>0</v>
      </c>
      <c r="X11" s="1411">
        <f ca="1">IF(U11=0,0,OFFSET('5  Control Accounts'!$FE$33,V11,0))</f>
        <v>0</v>
      </c>
      <c r="Y11" s="1406">
        <f t="shared" ca="1" si="1"/>
        <v>0</v>
      </c>
      <c r="Z11" s="1406">
        <f t="shared" ca="1" si="2"/>
        <v>0</v>
      </c>
    </row>
    <row r="12" spans="1:26" s="2295" customFormat="1" ht="15.9" customHeight="1" x14ac:dyDescent="0.3">
      <c r="A12" s="2304" t="str">
        <f ca="1">IF($U12=0,"0",'5  Control Accounts'!$EA$16)</f>
        <v>0</v>
      </c>
      <c r="B12" s="2304" t="str">
        <f ca="1">IF($U12=0,"0",'5  Control Accounts'!$EB$16&amp;"-"&amp;'4 Sign-off'!$S$123)</f>
        <v>0</v>
      </c>
      <c r="C12" s="2323" t="str">
        <f ca="1">IF(U12=0,"0",OFFSET('5  Control Accounts'!$BF$33,V12,0)&amp;"."&amp;OFFSET('5  Control Accounts'!$BH$33,V12,0))</f>
        <v>0</v>
      </c>
      <c r="D12" s="2304" t="str">
        <f t="shared" ref="D12:D75" ca="1" si="6">IF(U12=0,"0",TEXT(W12,"YYYY-MM-DD"))</f>
        <v>0</v>
      </c>
      <c r="E12" s="2304" t="str">
        <f t="shared" ref="E12:E75" ca="1" si="7">IF(U12=0,"0",TEXT(X12,"YYYY-MM-DD"))</f>
        <v>0</v>
      </c>
      <c r="F12" s="2304" t="str">
        <f ca="1">IF(U12=0,"0",OFFSET('5  Control Accounts'!$DW$33,V12,0))</f>
        <v>0</v>
      </c>
      <c r="G12" s="2308"/>
      <c r="H12" s="2308"/>
      <c r="I12" s="2308"/>
      <c r="J12" s="2308"/>
      <c r="K12" s="2304" t="str">
        <f ca="1">IF(U12=0,"0",TEXT(OFFSET('5  Control Accounts'!$FG$33,V12,0),"##0.0"))</f>
        <v>0</v>
      </c>
      <c r="L12" s="2314" t="str">
        <f ca="1">IF(U12=0,"0",TEXT(OFFSET('5  Control Accounts'!$FX$33,V12,0),"##0.00"))</f>
        <v>0</v>
      </c>
      <c r="M12" s="2304" t="str">
        <f ca="1">IF(U12=0,"0",'1 Setup'!$I$60)</f>
        <v>0</v>
      </c>
      <c r="N12" s="2308"/>
      <c r="O12" s="2308"/>
      <c r="P12" s="2304" t="str">
        <f ca="1">IF(U12=0,"0",TEXT(OFFSET('5  Control Accounts'!$FH$33,V12,0),"##0.0"))</f>
        <v>0</v>
      </c>
      <c r="Q12" s="2304" t="str">
        <f ca="1">IF(U12=0,"0",TEXT(OFFSET('5  Control Accounts'!$FY$33,V12,0),"##0.00"))</f>
        <v>0</v>
      </c>
      <c r="R12" s="2308"/>
      <c r="T12" s="2310"/>
      <c r="U12" s="2309">
        <f ca="1">$T$2*OFFSET('5  Control Accounts'!$BR$33,V12,0)</f>
        <v>0</v>
      </c>
      <c r="V12" s="2309">
        <v>5</v>
      </c>
      <c r="W12" s="1411">
        <f ca="1">IF(U12=0,0,OFFSET('5  Control Accounts'!$FD$33,V12,0))</f>
        <v>0</v>
      </c>
      <c r="X12" s="1411">
        <f ca="1">IF(U12=0,0,OFFSET('5  Control Accounts'!$FE$33,V12,0))</f>
        <v>0</v>
      </c>
      <c r="Y12" s="1406">
        <f t="shared" ca="1" si="1"/>
        <v>0</v>
      </c>
      <c r="Z12" s="1406">
        <f t="shared" ca="1" si="2"/>
        <v>0</v>
      </c>
    </row>
    <row r="13" spans="1:26" s="2295" customFormat="1" ht="15.9" customHeight="1" x14ac:dyDescent="0.3">
      <c r="A13" s="2304" t="str">
        <f ca="1">IF($U13=0,"0",'5  Control Accounts'!$EA$16)</f>
        <v>0</v>
      </c>
      <c r="B13" s="2304" t="str">
        <f ca="1">IF($U13=0,"0",'5  Control Accounts'!$EB$16&amp;"-"&amp;'4 Sign-off'!$S$123)</f>
        <v>0</v>
      </c>
      <c r="C13" s="2323" t="str">
        <f ca="1">IF(U13=0,"0",OFFSET('5  Control Accounts'!$BF$33,V13,0)&amp;"."&amp;OFFSET('5  Control Accounts'!$BH$33,V13,0))</f>
        <v>0</v>
      </c>
      <c r="D13" s="2304" t="str">
        <f t="shared" ca="1" si="6"/>
        <v>0</v>
      </c>
      <c r="E13" s="2304" t="str">
        <f t="shared" ca="1" si="7"/>
        <v>0</v>
      </c>
      <c r="F13" s="2304" t="str">
        <f ca="1">IF(U13=0,"0",OFFSET('5  Control Accounts'!$DW$33,V13,0))</f>
        <v>0</v>
      </c>
      <c r="G13" s="2308"/>
      <c r="H13" s="2308"/>
      <c r="I13" s="2308"/>
      <c r="J13" s="2308"/>
      <c r="K13" s="2304" t="str">
        <f ca="1">IF(U13=0,"0",TEXT(OFFSET('5  Control Accounts'!$FG$33,V13,0),"##0.0"))</f>
        <v>0</v>
      </c>
      <c r="L13" s="2314" t="str">
        <f ca="1">IF(U13=0,"0",TEXT(OFFSET('5  Control Accounts'!$FX$33,V13,0),"##0.00"))</f>
        <v>0</v>
      </c>
      <c r="M13" s="2304" t="str">
        <f ca="1">IF(U13=0,"0",'1 Setup'!$I$60)</f>
        <v>0</v>
      </c>
      <c r="N13" s="2308"/>
      <c r="O13" s="2308"/>
      <c r="P13" s="2304" t="str">
        <f ca="1">IF(U13=0,"0",TEXT(OFFSET('5  Control Accounts'!$FH$33,V13,0),"##0.0"))</f>
        <v>0</v>
      </c>
      <c r="Q13" s="2304" t="str">
        <f ca="1">IF(U13=0,"0",TEXT(OFFSET('5  Control Accounts'!$FY$33,V13,0),"##0.00"))</f>
        <v>0</v>
      </c>
      <c r="R13" s="2308"/>
      <c r="T13" s="2310"/>
      <c r="U13" s="2309">
        <f ca="1">$T$2*OFFSET('5  Control Accounts'!$BR$33,V13,0)</f>
        <v>0</v>
      </c>
      <c r="V13" s="2309">
        <v>6</v>
      </c>
      <c r="W13" s="1411">
        <f ca="1">IF(U13=0,0,OFFSET('5  Control Accounts'!$FD$33,V13,0))</f>
        <v>0</v>
      </c>
      <c r="X13" s="1411">
        <f ca="1">IF(U13=0,0,OFFSET('5  Control Accounts'!$FE$33,V13,0))</f>
        <v>0</v>
      </c>
      <c r="Y13" s="1406">
        <f t="shared" ca="1" si="1"/>
        <v>0</v>
      </c>
      <c r="Z13" s="1406">
        <f t="shared" ca="1" si="2"/>
        <v>0</v>
      </c>
    </row>
    <row r="14" spans="1:26" s="2295" customFormat="1" ht="15.9" customHeight="1" x14ac:dyDescent="0.3">
      <c r="A14" s="2304" t="str">
        <f ca="1">IF($U14=0,"0",'5  Control Accounts'!$EA$16)</f>
        <v>0</v>
      </c>
      <c r="B14" s="2304" t="str">
        <f ca="1">IF($U14=0,"0",'5  Control Accounts'!$EB$16&amp;"-"&amp;'4 Sign-off'!$S$123)</f>
        <v>0</v>
      </c>
      <c r="C14" s="2323" t="str">
        <f ca="1">IF(U14=0,"0",OFFSET('5  Control Accounts'!$BF$33,V14,0)&amp;"."&amp;OFFSET('5  Control Accounts'!$BH$33,V14,0))</f>
        <v>0</v>
      </c>
      <c r="D14" s="2304" t="str">
        <f t="shared" ca="1" si="6"/>
        <v>0</v>
      </c>
      <c r="E14" s="2304" t="str">
        <f t="shared" ca="1" si="7"/>
        <v>0</v>
      </c>
      <c r="F14" s="2304" t="str">
        <f ca="1">IF(U14=0,"0",OFFSET('5  Control Accounts'!$DW$33,V14,0))</f>
        <v>0</v>
      </c>
      <c r="G14" s="2308"/>
      <c r="H14" s="2308"/>
      <c r="I14" s="2308"/>
      <c r="J14" s="2308"/>
      <c r="K14" s="2304" t="str">
        <f ca="1">IF(U14=0,"0",TEXT(OFFSET('5  Control Accounts'!$FG$33,V14,0),"##0.0"))</f>
        <v>0</v>
      </c>
      <c r="L14" s="2314" t="str">
        <f ca="1">IF(U14=0,"0",TEXT(OFFSET('5  Control Accounts'!$FX$33,V14,0),"##0.00"))</f>
        <v>0</v>
      </c>
      <c r="M14" s="2304" t="str">
        <f ca="1">IF(U14=0,"0",'1 Setup'!$I$60)</f>
        <v>0</v>
      </c>
      <c r="N14" s="2308"/>
      <c r="O14" s="2308"/>
      <c r="P14" s="2304" t="str">
        <f ca="1">IF(U14=0,"0",TEXT(OFFSET('5  Control Accounts'!$FH$33,V14,0),"##0.0"))</f>
        <v>0</v>
      </c>
      <c r="Q14" s="2304" t="str">
        <f ca="1">IF(U14=0,"0",TEXT(OFFSET('5  Control Accounts'!$FY$33,V14,0),"##0.00"))</f>
        <v>0</v>
      </c>
      <c r="R14" s="2308"/>
      <c r="T14" s="2310"/>
      <c r="U14" s="2309">
        <f ca="1">$T$2*OFFSET('5  Control Accounts'!$BR$33,V14,0)</f>
        <v>0</v>
      </c>
      <c r="V14" s="2309">
        <v>7</v>
      </c>
      <c r="W14" s="1411">
        <f ca="1">IF(U14=0,0,OFFSET('5  Control Accounts'!$FD$33,V14,0))</f>
        <v>0</v>
      </c>
      <c r="X14" s="1411">
        <f ca="1">IF(U14=0,0,OFFSET('5  Control Accounts'!$FE$33,V14,0))</f>
        <v>0</v>
      </c>
      <c r="Y14" s="1406">
        <f t="shared" ca="1" si="1"/>
        <v>0</v>
      </c>
      <c r="Z14" s="1406">
        <f t="shared" ca="1" si="2"/>
        <v>0</v>
      </c>
    </row>
    <row r="15" spans="1:26" s="2295" customFormat="1" ht="15.9" customHeight="1" x14ac:dyDescent="0.3">
      <c r="A15" s="2304" t="str">
        <f ca="1">IF($U15=0,"0",'5  Control Accounts'!$EA$16)</f>
        <v>0</v>
      </c>
      <c r="B15" s="2304" t="str">
        <f ca="1">IF($U15=0,"0",'5  Control Accounts'!$EB$16&amp;"-"&amp;'4 Sign-off'!$S$123)</f>
        <v>0</v>
      </c>
      <c r="C15" s="2323" t="str">
        <f ca="1">IF(U15=0,"0",OFFSET('5  Control Accounts'!$BF$33,V15,0)&amp;"."&amp;OFFSET('5  Control Accounts'!$BH$33,V15,0))</f>
        <v>0</v>
      </c>
      <c r="D15" s="2304" t="str">
        <f t="shared" ca="1" si="6"/>
        <v>0</v>
      </c>
      <c r="E15" s="2304" t="str">
        <f t="shared" ca="1" si="7"/>
        <v>0</v>
      </c>
      <c r="F15" s="2304" t="str">
        <f ca="1">IF(U15=0,"0",OFFSET('5  Control Accounts'!$DW$33,V15,0))</f>
        <v>0</v>
      </c>
      <c r="G15" s="2308"/>
      <c r="H15" s="2308"/>
      <c r="I15" s="2308"/>
      <c r="J15" s="2308"/>
      <c r="K15" s="2304" t="str">
        <f ca="1">IF(U15=0,"0",TEXT(OFFSET('5  Control Accounts'!$FG$33,V15,0),"##0.0"))</f>
        <v>0</v>
      </c>
      <c r="L15" s="2314" t="str">
        <f ca="1">IF(U15=0,"0",TEXT(OFFSET('5  Control Accounts'!$FX$33,V15,0),"##0.00"))</f>
        <v>0</v>
      </c>
      <c r="M15" s="2304" t="str">
        <f ca="1">IF(U15=0,"0",'1 Setup'!$I$60)</f>
        <v>0</v>
      </c>
      <c r="N15" s="2308"/>
      <c r="O15" s="2308"/>
      <c r="P15" s="2304" t="str">
        <f ca="1">IF(U15=0,"0",TEXT(OFFSET('5  Control Accounts'!$FH$33,V15,0),"##0.0"))</f>
        <v>0</v>
      </c>
      <c r="Q15" s="2304" t="str">
        <f ca="1">IF(U15=0,"0",TEXT(OFFSET('5  Control Accounts'!$FY$33,V15,0),"##0.00"))</f>
        <v>0</v>
      </c>
      <c r="R15" s="2308"/>
      <c r="T15" s="2310"/>
      <c r="U15" s="2309">
        <f ca="1">$T$2*OFFSET('5  Control Accounts'!$BR$33,V15,0)</f>
        <v>0</v>
      </c>
      <c r="V15" s="2309">
        <v>8</v>
      </c>
      <c r="W15" s="1411">
        <f ca="1">IF(U15=0,0,OFFSET('5  Control Accounts'!$FD$33,V15,0))</f>
        <v>0</v>
      </c>
      <c r="X15" s="1411">
        <f ca="1">IF(U15=0,0,OFFSET('5  Control Accounts'!$FE$33,V15,0))</f>
        <v>0</v>
      </c>
      <c r="Y15" s="1406">
        <f t="shared" ca="1" si="1"/>
        <v>0</v>
      </c>
      <c r="Z15" s="1406">
        <f t="shared" ca="1" si="2"/>
        <v>0</v>
      </c>
    </row>
    <row r="16" spans="1:26" s="2295" customFormat="1" ht="15.9" customHeight="1" x14ac:dyDescent="0.3">
      <c r="A16" s="2304" t="str">
        <f ca="1">IF($U16=0,"0",'5  Control Accounts'!$EA$16)</f>
        <v>0</v>
      </c>
      <c r="B16" s="2304" t="str">
        <f ca="1">IF($U16=0,"0",'5  Control Accounts'!$EB$16&amp;"-"&amp;'4 Sign-off'!$S$123)</f>
        <v>0</v>
      </c>
      <c r="C16" s="2323" t="str">
        <f ca="1">IF(U16=0,"0",OFFSET('5  Control Accounts'!$BF$33,V16,0)&amp;"."&amp;OFFSET('5  Control Accounts'!$BH$33,V16,0))</f>
        <v>0</v>
      </c>
      <c r="D16" s="2304" t="str">
        <f t="shared" ca="1" si="6"/>
        <v>0</v>
      </c>
      <c r="E16" s="2304" t="str">
        <f t="shared" ca="1" si="7"/>
        <v>0</v>
      </c>
      <c r="F16" s="2304" t="str">
        <f ca="1">IF(U16=0,"0",OFFSET('5  Control Accounts'!$DW$33,V16,0))</f>
        <v>0</v>
      </c>
      <c r="G16" s="2308"/>
      <c r="H16" s="2308"/>
      <c r="I16" s="2308"/>
      <c r="J16" s="2308"/>
      <c r="K16" s="2304" t="str">
        <f ca="1">IF(U16=0,"0",TEXT(OFFSET('5  Control Accounts'!$FG$33,V16,0),"##0.0"))</f>
        <v>0</v>
      </c>
      <c r="L16" s="2314" t="str">
        <f ca="1">IF(U16=0,"0",TEXT(OFFSET('5  Control Accounts'!$FX$33,V16,0),"##0.00"))</f>
        <v>0</v>
      </c>
      <c r="M16" s="2304" t="str">
        <f ca="1">IF(U16=0,"0",'1 Setup'!$I$60)</f>
        <v>0</v>
      </c>
      <c r="N16" s="2308"/>
      <c r="O16" s="2308"/>
      <c r="P16" s="2304" t="str">
        <f ca="1">IF(U16=0,"0",TEXT(OFFSET('5  Control Accounts'!$FH$33,V16,0),"##0.0"))</f>
        <v>0</v>
      </c>
      <c r="Q16" s="2304" t="str">
        <f ca="1">IF(U16=0,"0",TEXT(OFFSET('5  Control Accounts'!$FY$33,V16,0),"##0.00"))</f>
        <v>0</v>
      </c>
      <c r="R16" s="2308"/>
      <c r="T16" s="2310"/>
      <c r="U16" s="2309">
        <f ca="1">$T$2*OFFSET('5  Control Accounts'!$BR$33,V16,0)</f>
        <v>0</v>
      </c>
      <c r="V16" s="2309">
        <v>9</v>
      </c>
      <c r="W16" s="1411">
        <f ca="1">IF(U16=0,0,OFFSET('5  Control Accounts'!$FD$33,V16,0))</f>
        <v>0</v>
      </c>
      <c r="X16" s="1411">
        <f ca="1">IF(U16=0,0,OFFSET('5  Control Accounts'!$FE$33,V16,0))</f>
        <v>0</v>
      </c>
      <c r="Y16" s="1406">
        <f t="shared" ca="1" si="1"/>
        <v>0</v>
      </c>
      <c r="Z16" s="1406">
        <f t="shared" ca="1" si="2"/>
        <v>0</v>
      </c>
    </row>
    <row r="17" spans="1:26" s="2295" customFormat="1" ht="15.9" customHeight="1" x14ac:dyDescent="0.3">
      <c r="A17" s="2304" t="str">
        <f ca="1">IF($U17=0,"0",'5  Control Accounts'!$EA$16)</f>
        <v>0</v>
      </c>
      <c r="B17" s="2304" t="str">
        <f ca="1">IF($U17=0,"0",'5  Control Accounts'!$EB$16&amp;"-"&amp;'4 Sign-off'!$S$123)</f>
        <v>0</v>
      </c>
      <c r="C17" s="2323" t="str">
        <f ca="1">IF(U17=0,"0",OFFSET('5  Control Accounts'!$BF$33,V17,0)&amp;"."&amp;OFFSET('5  Control Accounts'!$BH$33,V17,0))</f>
        <v>0</v>
      </c>
      <c r="D17" s="2304" t="str">
        <f t="shared" ca="1" si="6"/>
        <v>0</v>
      </c>
      <c r="E17" s="2304" t="str">
        <f t="shared" ca="1" si="7"/>
        <v>0</v>
      </c>
      <c r="F17" s="2304" t="str">
        <f ca="1">IF(U17=0,"0",OFFSET('5  Control Accounts'!$DW$33,V17,0))</f>
        <v>0</v>
      </c>
      <c r="G17" s="2308"/>
      <c r="H17" s="2308"/>
      <c r="I17" s="2308"/>
      <c r="J17" s="2308"/>
      <c r="K17" s="2304" t="str">
        <f ca="1">IF(U17=0,"0",TEXT(OFFSET('5  Control Accounts'!$FG$33,V17,0),"##0.0"))</f>
        <v>0</v>
      </c>
      <c r="L17" s="2314" t="str">
        <f ca="1">IF(U17=0,"0",TEXT(OFFSET('5  Control Accounts'!$FX$33,V17,0),"##0.00"))</f>
        <v>0</v>
      </c>
      <c r="M17" s="2304" t="str">
        <f ca="1">IF(U17=0,"0",'1 Setup'!$I$60)</f>
        <v>0</v>
      </c>
      <c r="N17" s="2308"/>
      <c r="O17" s="2308"/>
      <c r="P17" s="2304" t="str">
        <f ca="1">IF(U17=0,"0",TEXT(OFFSET('5  Control Accounts'!$FH$33,V17,0),"##0.0"))</f>
        <v>0</v>
      </c>
      <c r="Q17" s="2304" t="str">
        <f ca="1">IF(U17=0,"0",TEXT(OFFSET('5  Control Accounts'!$FY$33,V17,0),"##0.00"))</f>
        <v>0</v>
      </c>
      <c r="R17" s="2308"/>
      <c r="T17" s="2310"/>
      <c r="U17" s="2309">
        <f ca="1">$T$2*OFFSET('5  Control Accounts'!$BR$33,V17,0)</f>
        <v>0</v>
      </c>
      <c r="V17" s="2309">
        <v>10</v>
      </c>
      <c r="W17" s="1411">
        <f ca="1">IF(U17=0,0,OFFSET('5  Control Accounts'!$FD$33,V17,0))</f>
        <v>0</v>
      </c>
      <c r="X17" s="1411">
        <f ca="1">IF(U17=0,0,OFFSET('5  Control Accounts'!$FE$33,V17,0))</f>
        <v>0</v>
      </c>
      <c r="Y17" s="1406">
        <f t="shared" ca="1" si="1"/>
        <v>0</v>
      </c>
      <c r="Z17" s="1406">
        <f t="shared" ca="1" si="2"/>
        <v>0</v>
      </c>
    </row>
    <row r="18" spans="1:26" s="2295" customFormat="1" ht="15.9" customHeight="1" x14ac:dyDescent="0.3">
      <c r="A18" s="2304" t="str">
        <f ca="1">IF($U18=0,"0",'5  Control Accounts'!$EA$16)</f>
        <v>0</v>
      </c>
      <c r="B18" s="2304" t="str">
        <f ca="1">IF($U18=0,"0",'5  Control Accounts'!$EB$16&amp;"-"&amp;'4 Sign-off'!$S$123)</f>
        <v>0</v>
      </c>
      <c r="C18" s="2323" t="str">
        <f ca="1">IF(U18=0,"0",OFFSET('5  Control Accounts'!$BF$33,V18,0)&amp;"."&amp;OFFSET('5  Control Accounts'!$BH$33,V18,0))</f>
        <v>0</v>
      </c>
      <c r="D18" s="2304" t="str">
        <f t="shared" ca="1" si="6"/>
        <v>0</v>
      </c>
      <c r="E18" s="2304" t="str">
        <f t="shared" ca="1" si="7"/>
        <v>0</v>
      </c>
      <c r="F18" s="2304" t="str">
        <f ca="1">IF(U18=0,"0",OFFSET('5  Control Accounts'!$DW$33,V18,0))</f>
        <v>0</v>
      </c>
      <c r="G18" s="2308"/>
      <c r="H18" s="2308"/>
      <c r="I18" s="2308"/>
      <c r="J18" s="2308"/>
      <c r="K18" s="2304" t="str">
        <f ca="1">IF(U18=0,"0",TEXT(OFFSET('5  Control Accounts'!$FG$33,V18,0),"##0.0"))</f>
        <v>0</v>
      </c>
      <c r="L18" s="2314" t="str">
        <f ca="1">IF(U18=0,"0",TEXT(OFFSET('5  Control Accounts'!$FX$33,V18,0),"##0.00"))</f>
        <v>0</v>
      </c>
      <c r="M18" s="2304" t="str">
        <f ca="1">IF(U18=0,"0",'1 Setup'!$I$60)</f>
        <v>0</v>
      </c>
      <c r="N18" s="2308"/>
      <c r="O18" s="2308"/>
      <c r="P18" s="2304" t="str">
        <f ca="1">IF(U18=0,"0",TEXT(OFFSET('5  Control Accounts'!$FH$33,V18,0),"##0.0"))</f>
        <v>0</v>
      </c>
      <c r="Q18" s="2304" t="str">
        <f ca="1">IF(U18=0,"0",TEXT(OFFSET('5  Control Accounts'!$FY$33,V18,0),"##0.00"))</f>
        <v>0</v>
      </c>
      <c r="R18" s="2308"/>
      <c r="T18" s="2310"/>
      <c r="U18" s="2309">
        <f ca="1">$T$2*OFFSET('5  Control Accounts'!$BR$33,V18,0)</f>
        <v>0</v>
      </c>
      <c r="V18" s="2309">
        <v>11</v>
      </c>
      <c r="W18" s="1411">
        <f ca="1">IF(U18=0,0,OFFSET('5  Control Accounts'!$FD$33,V18,0))</f>
        <v>0</v>
      </c>
      <c r="X18" s="1411">
        <f ca="1">IF(U18=0,0,OFFSET('5  Control Accounts'!$FE$33,V18,0))</f>
        <v>0</v>
      </c>
      <c r="Y18" s="1406">
        <f t="shared" ca="1" si="1"/>
        <v>0</v>
      </c>
      <c r="Z18" s="1406">
        <f t="shared" ca="1" si="2"/>
        <v>0</v>
      </c>
    </row>
    <row r="19" spans="1:26" s="2295" customFormat="1" ht="15.9" customHeight="1" x14ac:dyDescent="0.3">
      <c r="A19" s="2304" t="str">
        <f ca="1">IF($U19=0,"0",'5  Control Accounts'!$EA$16)</f>
        <v>0</v>
      </c>
      <c r="B19" s="2304" t="str">
        <f ca="1">IF($U19=0,"0",'5  Control Accounts'!$EB$16&amp;"-"&amp;'4 Sign-off'!$S$123)</f>
        <v>0</v>
      </c>
      <c r="C19" s="2323" t="str">
        <f ca="1">IF(U19=0,"0",OFFSET('5  Control Accounts'!$BF$33,V19,0)&amp;"."&amp;OFFSET('5  Control Accounts'!$BH$33,V19,0))</f>
        <v>0</v>
      </c>
      <c r="D19" s="2304" t="str">
        <f t="shared" ca="1" si="6"/>
        <v>0</v>
      </c>
      <c r="E19" s="2304" t="str">
        <f t="shared" ca="1" si="7"/>
        <v>0</v>
      </c>
      <c r="F19" s="2304" t="str">
        <f ca="1">IF(U19=0,"0",OFFSET('5  Control Accounts'!$DW$33,V19,0))</f>
        <v>0</v>
      </c>
      <c r="G19" s="2308"/>
      <c r="H19" s="2308"/>
      <c r="I19" s="2308"/>
      <c r="J19" s="2308"/>
      <c r="K19" s="2304" t="str">
        <f ca="1">IF(U19=0,"0",TEXT(OFFSET('5  Control Accounts'!$FG$33,V19,0),"##0.0"))</f>
        <v>0</v>
      </c>
      <c r="L19" s="2314" t="str">
        <f ca="1">IF(U19=0,"0",TEXT(OFFSET('5  Control Accounts'!$FX$33,V19,0),"##0.00"))</f>
        <v>0</v>
      </c>
      <c r="M19" s="2304" t="str">
        <f ca="1">IF(U19=0,"0",'1 Setup'!$I$60)</f>
        <v>0</v>
      </c>
      <c r="N19" s="2308"/>
      <c r="O19" s="2308"/>
      <c r="P19" s="2304" t="str">
        <f ca="1">IF(U19=0,"0",TEXT(OFFSET('5  Control Accounts'!$FH$33,V19,0),"##0.0"))</f>
        <v>0</v>
      </c>
      <c r="Q19" s="2304" t="str">
        <f ca="1">IF(U19=0,"0",TEXT(OFFSET('5  Control Accounts'!$FY$33,V19,0),"##0.00"))</f>
        <v>0</v>
      </c>
      <c r="R19" s="2308"/>
      <c r="T19" s="2310"/>
      <c r="U19" s="2309">
        <f ca="1">$T$2*OFFSET('5  Control Accounts'!$BR$33,V19,0)</f>
        <v>0</v>
      </c>
      <c r="V19" s="2309">
        <v>12</v>
      </c>
      <c r="W19" s="1411">
        <f ca="1">IF(U19=0,0,OFFSET('5  Control Accounts'!$FD$33,V19,0))</f>
        <v>0</v>
      </c>
      <c r="X19" s="1411">
        <f ca="1">IF(U19=0,0,OFFSET('5  Control Accounts'!$FE$33,V19,0))</f>
        <v>0</v>
      </c>
      <c r="Y19" s="1406">
        <f t="shared" ca="1" si="1"/>
        <v>0</v>
      </c>
      <c r="Z19" s="1406">
        <f t="shared" ca="1" si="2"/>
        <v>0</v>
      </c>
    </row>
    <row r="20" spans="1:26" s="2295" customFormat="1" ht="15.9" customHeight="1" x14ac:dyDescent="0.3">
      <c r="A20" s="2304" t="str">
        <f ca="1">IF($U20=0,"0",'5  Control Accounts'!$EA$16)</f>
        <v>0</v>
      </c>
      <c r="B20" s="2304" t="str">
        <f ca="1">IF($U20=0,"0",'5  Control Accounts'!$EB$16&amp;"-"&amp;'4 Sign-off'!$S$123)</f>
        <v>0</v>
      </c>
      <c r="C20" s="2323" t="str">
        <f ca="1">IF(U20=0,"0",OFFSET('5  Control Accounts'!$BF$33,V20,0)&amp;"."&amp;OFFSET('5  Control Accounts'!$BH$33,V20,0))</f>
        <v>0</v>
      </c>
      <c r="D20" s="2304" t="str">
        <f t="shared" ca="1" si="6"/>
        <v>0</v>
      </c>
      <c r="E20" s="2304" t="str">
        <f t="shared" ca="1" si="7"/>
        <v>0</v>
      </c>
      <c r="F20" s="2304" t="str">
        <f ca="1">IF(U20=0,"0",OFFSET('5  Control Accounts'!$DW$33,V20,0))</f>
        <v>0</v>
      </c>
      <c r="G20" s="2308"/>
      <c r="H20" s="2308"/>
      <c r="I20" s="2308"/>
      <c r="J20" s="2308"/>
      <c r="K20" s="2304" t="str">
        <f ca="1">IF(U20=0,"0",TEXT(OFFSET('5  Control Accounts'!$FG$33,V20,0),"##0.0"))</f>
        <v>0</v>
      </c>
      <c r="L20" s="2314" t="str">
        <f ca="1">IF(U20=0,"0",TEXT(OFFSET('5  Control Accounts'!$FX$33,V20,0),"##0.00"))</f>
        <v>0</v>
      </c>
      <c r="M20" s="2304" t="str">
        <f ca="1">IF(U20=0,"0",'1 Setup'!$I$60)</f>
        <v>0</v>
      </c>
      <c r="N20" s="2308"/>
      <c r="O20" s="2308"/>
      <c r="P20" s="2304" t="str">
        <f ca="1">IF(U20=0,"0",TEXT(OFFSET('5  Control Accounts'!$FH$33,V20,0),"##0.0"))</f>
        <v>0</v>
      </c>
      <c r="Q20" s="2304" t="str">
        <f ca="1">IF(U20=0,"0",TEXT(OFFSET('5  Control Accounts'!$FY$33,V20,0),"##0.00"))</f>
        <v>0</v>
      </c>
      <c r="R20" s="2308"/>
      <c r="T20" s="2310"/>
      <c r="U20" s="2309">
        <f ca="1">$T$2*OFFSET('5  Control Accounts'!$BR$33,V20,0)</f>
        <v>0</v>
      </c>
      <c r="V20" s="2309">
        <v>13</v>
      </c>
      <c r="W20" s="1411">
        <f ca="1">IF(U20=0,0,OFFSET('5  Control Accounts'!$FD$33,V20,0))</f>
        <v>0</v>
      </c>
      <c r="X20" s="1411">
        <f ca="1">IF(U20=0,0,OFFSET('5  Control Accounts'!$FE$33,V20,0))</f>
        <v>0</v>
      </c>
      <c r="Y20" s="1406">
        <f t="shared" ca="1" si="1"/>
        <v>0</v>
      </c>
      <c r="Z20" s="1406">
        <f t="shared" ca="1" si="2"/>
        <v>0</v>
      </c>
    </row>
    <row r="21" spans="1:26" s="2295" customFormat="1" ht="15.9" customHeight="1" x14ac:dyDescent="0.3">
      <c r="A21" s="2304" t="str">
        <f ca="1">IF($U21=0,"0",'5  Control Accounts'!$EA$16)</f>
        <v>0</v>
      </c>
      <c r="B21" s="2304" t="str">
        <f ca="1">IF($U21=0,"0",'5  Control Accounts'!$EB$16&amp;"-"&amp;'4 Sign-off'!$S$123)</f>
        <v>0</v>
      </c>
      <c r="C21" s="2323" t="str">
        <f ca="1">IF(U21=0,"0",OFFSET('5  Control Accounts'!$BF$33,V21,0)&amp;"."&amp;OFFSET('5  Control Accounts'!$BH$33,V21,0))</f>
        <v>0</v>
      </c>
      <c r="D21" s="2304" t="str">
        <f t="shared" ca="1" si="6"/>
        <v>0</v>
      </c>
      <c r="E21" s="2304" t="str">
        <f t="shared" ca="1" si="7"/>
        <v>0</v>
      </c>
      <c r="F21" s="2304" t="str">
        <f ca="1">IF(U21=0,"0",OFFSET('5  Control Accounts'!$DW$33,V21,0))</f>
        <v>0</v>
      </c>
      <c r="G21" s="2308"/>
      <c r="H21" s="2308"/>
      <c r="I21" s="2308"/>
      <c r="J21" s="2308"/>
      <c r="K21" s="2304" t="str">
        <f ca="1">IF(U21=0,"0",TEXT(OFFSET('5  Control Accounts'!$FG$33,V21,0),"##0.0"))</f>
        <v>0</v>
      </c>
      <c r="L21" s="2314" t="str">
        <f ca="1">IF(U21=0,"0",TEXT(OFFSET('5  Control Accounts'!$FX$33,V21,0),"##0.00"))</f>
        <v>0</v>
      </c>
      <c r="M21" s="2304" t="str">
        <f ca="1">IF(U21=0,"0",'1 Setup'!$I$60)</f>
        <v>0</v>
      </c>
      <c r="N21" s="2308"/>
      <c r="O21" s="2308"/>
      <c r="P21" s="2304" t="str">
        <f ca="1">IF(U21=0,"0",TEXT(OFFSET('5  Control Accounts'!$FH$33,V21,0),"##0.0"))</f>
        <v>0</v>
      </c>
      <c r="Q21" s="2304" t="str">
        <f ca="1">IF(U21=0,"0",TEXT(OFFSET('5  Control Accounts'!$FY$33,V21,0),"##0.00"))</f>
        <v>0</v>
      </c>
      <c r="R21" s="2308"/>
      <c r="T21" s="2310"/>
      <c r="U21" s="2309">
        <f ca="1">$T$2*OFFSET('5  Control Accounts'!$BR$33,V21,0)</f>
        <v>0</v>
      </c>
      <c r="V21" s="2309">
        <v>14</v>
      </c>
      <c r="W21" s="1411">
        <f ca="1">IF(U21=0,0,OFFSET('5  Control Accounts'!$FD$33,V21,0))</f>
        <v>0</v>
      </c>
      <c r="X21" s="1411">
        <f ca="1">IF(U21=0,0,OFFSET('5  Control Accounts'!$FE$33,V21,0))</f>
        <v>0</v>
      </c>
      <c r="Y21" s="1406">
        <f t="shared" ca="1" si="1"/>
        <v>0</v>
      </c>
      <c r="Z21" s="1406">
        <f t="shared" ca="1" si="2"/>
        <v>0</v>
      </c>
    </row>
    <row r="22" spans="1:26" s="2295" customFormat="1" ht="15.9" customHeight="1" x14ac:dyDescent="0.3">
      <c r="A22" s="2304" t="str">
        <f ca="1">IF($U22=0,"0",'5  Control Accounts'!$EA$16)</f>
        <v>0</v>
      </c>
      <c r="B22" s="2304" t="str">
        <f ca="1">IF($U22=0,"0",'5  Control Accounts'!$EB$16&amp;"-"&amp;'4 Sign-off'!$S$123)</f>
        <v>0</v>
      </c>
      <c r="C22" s="2323" t="str">
        <f ca="1">IF(U22=0,"0",OFFSET('5  Control Accounts'!$BF$33,V22,0)&amp;"."&amp;OFFSET('5  Control Accounts'!$BH$33,V22,0))</f>
        <v>0</v>
      </c>
      <c r="D22" s="2304" t="str">
        <f t="shared" ca="1" si="6"/>
        <v>0</v>
      </c>
      <c r="E22" s="2304" t="str">
        <f t="shared" ca="1" si="7"/>
        <v>0</v>
      </c>
      <c r="F22" s="2304" t="str">
        <f ca="1">IF(U22=0,"0",OFFSET('5  Control Accounts'!$DW$33,V22,0))</f>
        <v>0</v>
      </c>
      <c r="G22" s="2308"/>
      <c r="H22" s="2308"/>
      <c r="I22" s="2308"/>
      <c r="J22" s="2308"/>
      <c r="K22" s="2304" t="str">
        <f ca="1">IF(U22=0,"0",TEXT(OFFSET('5  Control Accounts'!$FG$33,V22,0),"##0.0"))</f>
        <v>0</v>
      </c>
      <c r="L22" s="2314" t="str">
        <f ca="1">IF(U22=0,"0",TEXT(OFFSET('5  Control Accounts'!$FX$33,V22,0),"##0.00"))</f>
        <v>0</v>
      </c>
      <c r="M22" s="2304" t="str">
        <f ca="1">IF(U22=0,"0",'1 Setup'!$I$60)</f>
        <v>0</v>
      </c>
      <c r="N22" s="2308"/>
      <c r="O22" s="2308"/>
      <c r="P22" s="2304" t="str">
        <f ca="1">IF(U22=0,"0",TEXT(OFFSET('5  Control Accounts'!$FH$33,V22,0),"##0.0"))</f>
        <v>0</v>
      </c>
      <c r="Q22" s="2304" t="str">
        <f ca="1">IF(U22=0,"0",TEXT(OFFSET('5  Control Accounts'!$FY$33,V22,0),"##0.00"))</f>
        <v>0</v>
      </c>
      <c r="R22" s="2308"/>
      <c r="T22" s="2310"/>
      <c r="U22" s="2309">
        <f ca="1">$T$2*OFFSET('5  Control Accounts'!$BR$33,V22,0)</f>
        <v>0</v>
      </c>
      <c r="V22" s="2309">
        <v>15</v>
      </c>
      <c r="W22" s="1411">
        <f ca="1">IF(U22=0,0,OFFSET('5  Control Accounts'!$FD$33,V22,0))</f>
        <v>0</v>
      </c>
      <c r="X22" s="1411">
        <f ca="1">IF(U22=0,0,OFFSET('5  Control Accounts'!$FE$33,V22,0))</f>
        <v>0</v>
      </c>
      <c r="Y22" s="1406">
        <f t="shared" ca="1" si="1"/>
        <v>0</v>
      </c>
      <c r="Z22" s="1406">
        <f t="shared" ca="1" si="2"/>
        <v>0</v>
      </c>
    </row>
    <row r="23" spans="1:26" s="2295" customFormat="1" ht="15.9" customHeight="1" x14ac:dyDescent="0.3">
      <c r="A23" s="2304" t="str">
        <f ca="1">IF($U23=0,"0",'5  Control Accounts'!$EA$16)</f>
        <v>0</v>
      </c>
      <c r="B23" s="2304" t="str">
        <f ca="1">IF($U23=0,"0",'5  Control Accounts'!$EB$16&amp;"-"&amp;'4 Sign-off'!$S$123)</f>
        <v>0</v>
      </c>
      <c r="C23" s="2323" t="str">
        <f ca="1">IF(U23=0,"0",OFFSET('5  Control Accounts'!$BF$33,V23,0)&amp;"."&amp;OFFSET('5  Control Accounts'!$BH$33,V23,0))</f>
        <v>0</v>
      </c>
      <c r="D23" s="2304" t="str">
        <f t="shared" ca="1" si="6"/>
        <v>0</v>
      </c>
      <c r="E23" s="2304" t="str">
        <f t="shared" ca="1" si="7"/>
        <v>0</v>
      </c>
      <c r="F23" s="2304" t="str">
        <f ca="1">IF(U23=0,"0",OFFSET('5  Control Accounts'!$DW$33,V23,0))</f>
        <v>0</v>
      </c>
      <c r="G23" s="2308"/>
      <c r="H23" s="2308"/>
      <c r="I23" s="2308"/>
      <c r="J23" s="2308"/>
      <c r="K23" s="2304" t="str">
        <f ca="1">IF(U23=0,"0",TEXT(OFFSET('5  Control Accounts'!$FG$33,V23,0),"##0.0"))</f>
        <v>0</v>
      </c>
      <c r="L23" s="2314" t="str">
        <f ca="1">IF(U23=0,"0",TEXT(OFFSET('5  Control Accounts'!$FX$33,V23,0),"##0.00"))</f>
        <v>0</v>
      </c>
      <c r="M23" s="2304" t="str">
        <f ca="1">IF(U23=0,"0",'1 Setup'!$I$60)</f>
        <v>0</v>
      </c>
      <c r="N23" s="2308"/>
      <c r="O23" s="2308"/>
      <c r="P23" s="2304" t="str">
        <f ca="1">IF(U23=0,"0",TEXT(OFFSET('5  Control Accounts'!$FH$33,V23,0),"##0.0"))</f>
        <v>0</v>
      </c>
      <c r="Q23" s="2304" t="str">
        <f ca="1">IF(U23=0,"0",TEXT(OFFSET('5  Control Accounts'!$FY$33,V23,0),"##0.00"))</f>
        <v>0</v>
      </c>
      <c r="R23" s="2308"/>
      <c r="T23" s="2310"/>
      <c r="U23" s="2309">
        <f ca="1">$T$2*OFFSET('5  Control Accounts'!$BR$33,V23,0)</f>
        <v>0</v>
      </c>
      <c r="V23" s="2309">
        <v>16</v>
      </c>
      <c r="W23" s="1411">
        <f ca="1">IF(U23=0,0,OFFSET('5  Control Accounts'!$FD$33,V23,0))</f>
        <v>0</v>
      </c>
      <c r="X23" s="1411">
        <f ca="1">IF(U23=0,0,OFFSET('5  Control Accounts'!$FE$33,V23,0))</f>
        <v>0</v>
      </c>
      <c r="Y23" s="1406">
        <f t="shared" ca="1" si="1"/>
        <v>0</v>
      </c>
      <c r="Z23" s="1406">
        <f t="shared" ca="1" si="2"/>
        <v>0</v>
      </c>
    </row>
    <row r="24" spans="1:26" s="2295" customFormat="1" ht="15.9" customHeight="1" x14ac:dyDescent="0.3">
      <c r="A24" s="2304" t="str">
        <f ca="1">IF($U24=0,"0",'5  Control Accounts'!$EA$16)</f>
        <v>0</v>
      </c>
      <c r="B24" s="2304" t="str">
        <f ca="1">IF($U24=0,"0",'5  Control Accounts'!$EB$16&amp;"-"&amp;'4 Sign-off'!$S$123)</f>
        <v>0</v>
      </c>
      <c r="C24" s="2323" t="str">
        <f ca="1">IF(U24=0,"0",OFFSET('5  Control Accounts'!$BF$33,V24,0)&amp;"."&amp;OFFSET('5  Control Accounts'!$BH$33,V24,0))</f>
        <v>0</v>
      </c>
      <c r="D24" s="2304" t="str">
        <f t="shared" ca="1" si="6"/>
        <v>0</v>
      </c>
      <c r="E24" s="2304" t="str">
        <f t="shared" ca="1" si="7"/>
        <v>0</v>
      </c>
      <c r="F24" s="2304" t="str">
        <f ca="1">IF(U24=0,"0",OFFSET('5  Control Accounts'!$DW$33,V24,0))</f>
        <v>0</v>
      </c>
      <c r="G24" s="2308"/>
      <c r="H24" s="2308"/>
      <c r="I24" s="2308"/>
      <c r="J24" s="2308"/>
      <c r="K24" s="2304" t="str">
        <f ca="1">IF(U24=0,"0",TEXT(OFFSET('5  Control Accounts'!$FG$33,V24,0),"##0.0"))</f>
        <v>0</v>
      </c>
      <c r="L24" s="2314" t="str">
        <f ca="1">IF(U24=0,"0",TEXT(OFFSET('5  Control Accounts'!$FX$33,V24,0),"##0.00"))</f>
        <v>0</v>
      </c>
      <c r="M24" s="2304" t="str">
        <f ca="1">IF(U24=0,"0",'1 Setup'!$I$60)</f>
        <v>0</v>
      </c>
      <c r="N24" s="2308"/>
      <c r="O24" s="2308"/>
      <c r="P24" s="2304" t="str">
        <f ca="1">IF(U24=0,"0",TEXT(OFFSET('5  Control Accounts'!$FH$33,V24,0),"##0.0"))</f>
        <v>0</v>
      </c>
      <c r="Q24" s="2304" t="str">
        <f ca="1">IF(U24=0,"0",TEXT(OFFSET('5  Control Accounts'!$FY$33,V24,0),"##0.00"))</f>
        <v>0</v>
      </c>
      <c r="R24" s="2308"/>
      <c r="T24" s="2310"/>
      <c r="U24" s="2309">
        <f ca="1">$T$2*OFFSET('5  Control Accounts'!$BR$33,V24,0)</f>
        <v>0</v>
      </c>
      <c r="V24" s="2309">
        <v>17</v>
      </c>
      <c r="W24" s="1411">
        <f ca="1">IF(U24=0,0,OFFSET('5  Control Accounts'!$FD$33,V24,0))</f>
        <v>0</v>
      </c>
      <c r="X24" s="1411">
        <f ca="1">IF(U24=0,0,OFFSET('5  Control Accounts'!$FE$33,V24,0))</f>
        <v>0</v>
      </c>
      <c r="Y24" s="1406">
        <f t="shared" ca="1" si="1"/>
        <v>0</v>
      </c>
      <c r="Z24" s="1406">
        <f t="shared" ca="1" si="2"/>
        <v>0</v>
      </c>
    </row>
    <row r="25" spans="1:26" s="2295" customFormat="1" ht="15.9" customHeight="1" x14ac:dyDescent="0.3">
      <c r="A25" s="2304" t="str">
        <f ca="1">IF($U25=0,"0",'5  Control Accounts'!$EA$16)</f>
        <v>0</v>
      </c>
      <c r="B25" s="2304" t="str">
        <f ca="1">IF($U25=0,"0",'5  Control Accounts'!$EB$16&amp;"-"&amp;'4 Sign-off'!$S$123)</f>
        <v>0</v>
      </c>
      <c r="C25" s="2323" t="str">
        <f ca="1">IF(U25=0,"0",OFFSET('5  Control Accounts'!$BF$33,V25,0)&amp;"."&amp;OFFSET('5  Control Accounts'!$BH$33,V25,0))</f>
        <v>0</v>
      </c>
      <c r="D25" s="2304" t="str">
        <f t="shared" ca="1" si="6"/>
        <v>0</v>
      </c>
      <c r="E25" s="2304" t="str">
        <f t="shared" ca="1" si="7"/>
        <v>0</v>
      </c>
      <c r="F25" s="2304" t="str">
        <f ca="1">IF(U25=0,"0",OFFSET('5  Control Accounts'!$DW$33,V25,0))</f>
        <v>0</v>
      </c>
      <c r="G25" s="2308"/>
      <c r="H25" s="2308"/>
      <c r="I25" s="2308"/>
      <c r="J25" s="2308"/>
      <c r="K25" s="2304" t="str">
        <f ca="1">IF(U25=0,"0",TEXT(OFFSET('5  Control Accounts'!$FG$33,V25,0),"##0.0"))</f>
        <v>0</v>
      </c>
      <c r="L25" s="2314" t="str">
        <f ca="1">IF(U25=0,"0",TEXT(OFFSET('5  Control Accounts'!$FX$33,V25,0),"##0.00"))</f>
        <v>0</v>
      </c>
      <c r="M25" s="2304" t="str">
        <f ca="1">IF(U25=0,"0",'1 Setup'!$I$60)</f>
        <v>0</v>
      </c>
      <c r="N25" s="2308"/>
      <c r="O25" s="2308"/>
      <c r="P25" s="2304" t="str">
        <f ca="1">IF(U25=0,"0",TEXT(OFFSET('5  Control Accounts'!$FH$33,V25,0),"##0.0"))</f>
        <v>0</v>
      </c>
      <c r="Q25" s="2304" t="str">
        <f ca="1">IF(U25=0,"0",TEXT(OFFSET('5  Control Accounts'!$FY$33,V25,0),"##0.00"))</f>
        <v>0</v>
      </c>
      <c r="R25" s="2308"/>
      <c r="T25" s="2310"/>
      <c r="U25" s="2309">
        <f ca="1">$T$2*OFFSET('5  Control Accounts'!$BR$33,V25,0)</f>
        <v>0</v>
      </c>
      <c r="V25" s="2309">
        <v>18</v>
      </c>
      <c r="W25" s="1411">
        <f ca="1">IF(U25=0,0,OFFSET('5  Control Accounts'!$FD$33,V25,0))</f>
        <v>0</v>
      </c>
      <c r="X25" s="1411">
        <f ca="1">IF(U25=0,0,OFFSET('5  Control Accounts'!$FE$33,V25,0))</f>
        <v>0</v>
      </c>
      <c r="Y25" s="1406">
        <f t="shared" ca="1" si="1"/>
        <v>0</v>
      </c>
      <c r="Z25" s="1406">
        <f t="shared" ca="1" si="2"/>
        <v>0</v>
      </c>
    </row>
    <row r="26" spans="1:26" s="2295" customFormat="1" ht="15.9" customHeight="1" x14ac:dyDescent="0.3">
      <c r="A26" s="2304" t="str">
        <f ca="1">IF($U26=0,"0",'5  Control Accounts'!$EA$16)</f>
        <v>0</v>
      </c>
      <c r="B26" s="2304" t="str">
        <f ca="1">IF($U26=0,"0",'5  Control Accounts'!$EB$16&amp;"-"&amp;'4 Sign-off'!$S$123)</f>
        <v>0</v>
      </c>
      <c r="C26" s="2323" t="str">
        <f ca="1">IF(U26=0,"0",OFFSET('5  Control Accounts'!$BF$33,V26,0)&amp;"."&amp;OFFSET('5  Control Accounts'!$BH$33,V26,0))</f>
        <v>0</v>
      </c>
      <c r="D26" s="2304" t="str">
        <f t="shared" ca="1" si="6"/>
        <v>0</v>
      </c>
      <c r="E26" s="2304" t="str">
        <f t="shared" ca="1" si="7"/>
        <v>0</v>
      </c>
      <c r="F26" s="2304" t="str">
        <f ca="1">IF(U26=0,"0",OFFSET('5  Control Accounts'!$DW$33,V26,0))</f>
        <v>0</v>
      </c>
      <c r="G26" s="2308"/>
      <c r="H26" s="2308"/>
      <c r="I26" s="2308"/>
      <c r="J26" s="2308"/>
      <c r="K26" s="2304" t="str">
        <f ca="1">IF(U26=0,"0",TEXT(OFFSET('5  Control Accounts'!$FG$33,V26,0),"##0.0"))</f>
        <v>0</v>
      </c>
      <c r="L26" s="2314" t="str">
        <f ca="1">IF(U26=0,"0",TEXT(OFFSET('5  Control Accounts'!$FX$33,V26,0),"##0.00"))</f>
        <v>0</v>
      </c>
      <c r="M26" s="2304" t="str">
        <f ca="1">IF(U26=0,"0",'1 Setup'!$I$60)</f>
        <v>0</v>
      </c>
      <c r="N26" s="2308"/>
      <c r="O26" s="2308"/>
      <c r="P26" s="2304" t="str">
        <f ca="1">IF(U26=0,"0",TEXT(OFFSET('5  Control Accounts'!$FH$33,V26,0),"##0.0"))</f>
        <v>0</v>
      </c>
      <c r="Q26" s="2304" t="str">
        <f ca="1">IF(U26=0,"0",TEXT(OFFSET('5  Control Accounts'!$FY$33,V26,0),"##0.00"))</f>
        <v>0</v>
      </c>
      <c r="R26" s="2308"/>
      <c r="T26" s="2310"/>
      <c r="U26" s="2309">
        <f ca="1">$T$2*OFFSET('5  Control Accounts'!$BR$33,V26,0)</f>
        <v>0</v>
      </c>
      <c r="V26" s="2309">
        <v>19</v>
      </c>
      <c r="W26" s="1411">
        <f ca="1">IF(U26=0,0,OFFSET('5  Control Accounts'!$FD$33,V26,0))</f>
        <v>0</v>
      </c>
      <c r="X26" s="1411">
        <f ca="1">IF(U26=0,0,OFFSET('5  Control Accounts'!$FE$33,V26,0))</f>
        <v>0</v>
      </c>
      <c r="Y26" s="1406">
        <f t="shared" ca="1" si="1"/>
        <v>0</v>
      </c>
      <c r="Z26" s="1406">
        <f t="shared" ca="1" si="2"/>
        <v>0</v>
      </c>
    </row>
    <row r="27" spans="1:26" s="2295" customFormat="1" ht="15.9" customHeight="1" x14ac:dyDescent="0.3">
      <c r="A27" s="2304" t="str">
        <f ca="1">IF($U27=0,"0",'5  Control Accounts'!$EA$16)</f>
        <v>0</v>
      </c>
      <c r="B27" s="2304" t="str">
        <f ca="1">IF($U27=0,"0",'5  Control Accounts'!$EB$16&amp;"-"&amp;'4 Sign-off'!$S$123)</f>
        <v>0</v>
      </c>
      <c r="C27" s="2323" t="str">
        <f ca="1">IF(U27=0,"0",OFFSET('5  Control Accounts'!$BF$33,V27,0)&amp;"."&amp;OFFSET('5  Control Accounts'!$BH$33,V27,0))</f>
        <v>0</v>
      </c>
      <c r="D27" s="2304" t="str">
        <f t="shared" ca="1" si="6"/>
        <v>0</v>
      </c>
      <c r="E27" s="2304" t="str">
        <f t="shared" ca="1" si="7"/>
        <v>0</v>
      </c>
      <c r="F27" s="2304" t="str">
        <f ca="1">IF(U27=0,"0",OFFSET('5  Control Accounts'!$DW$33,V27,0))</f>
        <v>0</v>
      </c>
      <c r="G27" s="2308"/>
      <c r="H27" s="2308"/>
      <c r="I27" s="2308"/>
      <c r="J27" s="2308"/>
      <c r="K27" s="2304" t="str">
        <f ca="1">IF(U27=0,"0",TEXT(OFFSET('5  Control Accounts'!$FG$33,V27,0),"##0.0"))</f>
        <v>0</v>
      </c>
      <c r="L27" s="2314" t="str">
        <f ca="1">IF(U27=0,"0",TEXT(OFFSET('5  Control Accounts'!$FX$33,V27,0),"##0.00"))</f>
        <v>0</v>
      </c>
      <c r="M27" s="2304" t="str">
        <f ca="1">IF(U27=0,"0",'1 Setup'!$I$60)</f>
        <v>0</v>
      </c>
      <c r="N27" s="2308"/>
      <c r="O27" s="2308"/>
      <c r="P27" s="2304" t="str">
        <f ca="1">IF(U27=0,"0",TEXT(OFFSET('5  Control Accounts'!$FH$33,V27,0),"##0.0"))</f>
        <v>0</v>
      </c>
      <c r="Q27" s="2304" t="str">
        <f ca="1">IF(U27=0,"0",TEXT(OFFSET('5  Control Accounts'!$FY$33,V27,0),"##0.00"))</f>
        <v>0</v>
      </c>
      <c r="R27" s="2308"/>
      <c r="T27" s="2310"/>
      <c r="U27" s="2309">
        <f ca="1">$T$2*OFFSET('5  Control Accounts'!$BR$33,V27,0)</f>
        <v>0</v>
      </c>
      <c r="V27" s="2309">
        <v>20</v>
      </c>
      <c r="W27" s="1411">
        <f ca="1">IF(U27=0,0,OFFSET('5  Control Accounts'!$FD$33,V27,0))</f>
        <v>0</v>
      </c>
      <c r="X27" s="1411">
        <f ca="1">IF(U27=0,0,OFFSET('5  Control Accounts'!$FE$33,V27,0))</f>
        <v>0</v>
      </c>
      <c r="Y27" s="1406">
        <f t="shared" ca="1" si="1"/>
        <v>0</v>
      </c>
      <c r="Z27" s="1406">
        <f t="shared" ca="1" si="2"/>
        <v>0</v>
      </c>
    </row>
    <row r="28" spans="1:26" s="2295" customFormat="1" ht="15.9" customHeight="1" x14ac:dyDescent="0.3">
      <c r="A28" s="2304" t="str">
        <f ca="1">IF($U28=0,"0",'5  Control Accounts'!$EA$16)</f>
        <v>0</v>
      </c>
      <c r="B28" s="2304" t="str">
        <f ca="1">IF($U28=0,"0",'5  Control Accounts'!$EB$16&amp;"-"&amp;'4 Sign-off'!$S$123)</f>
        <v>0</v>
      </c>
      <c r="C28" s="2323" t="str">
        <f ca="1">IF(U28=0,"0",OFFSET('5  Control Accounts'!$BF$33,V28,0)&amp;"."&amp;OFFSET('5  Control Accounts'!$BH$33,V28,0))</f>
        <v>0</v>
      </c>
      <c r="D28" s="2304" t="str">
        <f t="shared" ca="1" si="6"/>
        <v>0</v>
      </c>
      <c r="E28" s="2304" t="str">
        <f t="shared" ca="1" si="7"/>
        <v>0</v>
      </c>
      <c r="F28" s="2304" t="str">
        <f ca="1">IF(U28=0,"0",OFFSET('5  Control Accounts'!$DW$33,V28,0))</f>
        <v>0</v>
      </c>
      <c r="G28" s="2308"/>
      <c r="H28" s="2308"/>
      <c r="I28" s="2308"/>
      <c r="J28" s="2308"/>
      <c r="K28" s="2304" t="str">
        <f ca="1">IF(U28=0,"0",TEXT(OFFSET('5  Control Accounts'!$FG$33,V28,0),"##0.0"))</f>
        <v>0</v>
      </c>
      <c r="L28" s="2314" t="str">
        <f ca="1">IF(U28=0,"0",TEXT(OFFSET('5  Control Accounts'!$FX$33,V28,0),"##0.00"))</f>
        <v>0</v>
      </c>
      <c r="M28" s="2304" t="str">
        <f ca="1">IF(U28=0,"0",'1 Setup'!$I$60)</f>
        <v>0</v>
      </c>
      <c r="N28" s="2308"/>
      <c r="O28" s="2308"/>
      <c r="P28" s="2304" t="str">
        <f ca="1">IF(U28=0,"0",TEXT(OFFSET('5  Control Accounts'!$FH$33,V28,0),"##0.0"))</f>
        <v>0</v>
      </c>
      <c r="Q28" s="2304" t="str">
        <f ca="1">IF(U28=0,"0",TEXT(OFFSET('5  Control Accounts'!$FY$33,V28,0),"##0.00"))</f>
        <v>0</v>
      </c>
      <c r="R28" s="2308"/>
      <c r="T28" s="2310"/>
      <c r="U28" s="2309">
        <f ca="1">$T$2*OFFSET('5  Control Accounts'!$BR$33,V28,0)</f>
        <v>0</v>
      </c>
      <c r="V28" s="2309">
        <v>21</v>
      </c>
      <c r="W28" s="1411">
        <f ca="1">IF(U28=0,0,OFFSET('5  Control Accounts'!$FD$33,V28,0))</f>
        <v>0</v>
      </c>
      <c r="X28" s="1411">
        <f ca="1">IF(U28=0,0,OFFSET('5  Control Accounts'!$FE$33,V28,0))</f>
        <v>0</v>
      </c>
      <c r="Y28" s="1406">
        <f t="shared" ca="1" si="1"/>
        <v>0</v>
      </c>
      <c r="Z28" s="1406">
        <f t="shared" ca="1" si="2"/>
        <v>0</v>
      </c>
    </row>
    <row r="29" spans="1:26" s="2295" customFormat="1" ht="15.9" customHeight="1" x14ac:dyDescent="0.3">
      <c r="A29" s="2304" t="str">
        <f ca="1">IF($U29=0,"0",'5  Control Accounts'!$EA$16)</f>
        <v>0</v>
      </c>
      <c r="B29" s="2304" t="str">
        <f ca="1">IF($U29=0,"0",'5  Control Accounts'!$EB$16&amp;"-"&amp;'4 Sign-off'!$S$123)</f>
        <v>0</v>
      </c>
      <c r="C29" s="2323" t="str">
        <f ca="1">IF(U29=0,"0",OFFSET('5  Control Accounts'!$BF$33,V29,0)&amp;"."&amp;OFFSET('5  Control Accounts'!$BH$33,V29,0))</f>
        <v>0</v>
      </c>
      <c r="D29" s="2304" t="str">
        <f t="shared" ca="1" si="6"/>
        <v>0</v>
      </c>
      <c r="E29" s="2304" t="str">
        <f t="shared" ca="1" si="7"/>
        <v>0</v>
      </c>
      <c r="F29" s="2304" t="str">
        <f ca="1">IF(U29=0,"0",OFFSET('5  Control Accounts'!$DW$33,V29,0))</f>
        <v>0</v>
      </c>
      <c r="G29" s="2308"/>
      <c r="H29" s="2308"/>
      <c r="I29" s="2308"/>
      <c r="J29" s="2308"/>
      <c r="K29" s="2304" t="str">
        <f ca="1">IF(U29=0,"0",TEXT(OFFSET('5  Control Accounts'!$FG$33,V29,0),"##0.0"))</f>
        <v>0</v>
      </c>
      <c r="L29" s="2314" t="str">
        <f ca="1">IF(U29=0,"0",TEXT(OFFSET('5  Control Accounts'!$FX$33,V29,0),"##0.00"))</f>
        <v>0</v>
      </c>
      <c r="M29" s="2304" t="str">
        <f ca="1">IF(U29=0,"0",'1 Setup'!$I$60)</f>
        <v>0</v>
      </c>
      <c r="N29" s="2308"/>
      <c r="O29" s="2308"/>
      <c r="P29" s="2304" t="str">
        <f ca="1">IF(U29=0,"0",TEXT(OFFSET('5  Control Accounts'!$FH$33,V29,0),"##0.0"))</f>
        <v>0</v>
      </c>
      <c r="Q29" s="2304" t="str">
        <f ca="1">IF(U29=0,"0",TEXT(OFFSET('5  Control Accounts'!$FY$33,V29,0),"##0.00"))</f>
        <v>0</v>
      </c>
      <c r="R29" s="2308"/>
      <c r="T29" s="2310"/>
      <c r="U29" s="2309">
        <f ca="1">$T$2*OFFSET('5  Control Accounts'!$BR$33,V29,0)</f>
        <v>0</v>
      </c>
      <c r="V29" s="2309">
        <v>22</v>
      </c>
      <c r="W29" s="1411">
        <f ca="1">IF(U29=0,0,OFFSET('5  Control Accounts'!$FD$33,V29,0))</f>
        <v>0</v>
      </c>
      <c r="X29" s="1411">
        <f ca="1">IF(U29=0,0,OFFSET('5  Control Accounts'!$FE$33,V29,0))</f>
        <v>0</v>
      </c>
      <c r="Y29" s="1406">
        <f t="shared" ca="1" si="1"/>
        <v>0</v>
      </c>
      <c r="Z29" s="1406">
        <f t="shared" ca="1" si="2"/>
        <v>0</v>
      </c>
    </row>
    <row r="30" spans="1:26" s="2295" customFormat="1" ht="15.9" customHeight="1" x14ac:dyDescent="0.3">
      <c r="A30" s="2304" t="str">
        <f ca="1">IF($U30=0,"0",'5  Control Accounts'!$EA$16)</f>
        <v>0</v>
      </c>
      <c r="B30" s="2304" t="str">
        <f ca="1">IF($U30=0,"0",'5  Control Accounts'!$EB$16&amp;"-"&amp;'4 Sign-off'!$S$123)</f>
        <v>0</v>
      </c>
      <c r="C30" s="2323" t="str">
        <f ca="1">IF(U30=0,"0",OFFSET('5  Control Accounts'!$BF$33,V30,0)&amp;"."&amp;OFFSET('5  Control Accounts'!$BH$33,V30,0))</f>
        <v>0</v>
      </c>
      <c r="D30" s="2304" t="str">
        <f t="shared" ca="1" si="6"/>
        <v>0</v>
      </c>
      <c r="E30" s="2304" t="str">
        <f t="shared" ca="1" si="7"/>
        <v>0</v>
      </c>
      <c r="F30" s="2304" t="str">
        <f ca="1">IF(U30=0,"0",OFFSET('5  Control Accounts'!$DW$33,V30,0))</f>
        <v>0</v>
      </c>
      <c r="G30" s="2308"/>
      <c r="H30" s="2308"/>
      <c r="I30" s="2308"/>
      <c r="J30" s="2308"/>
      <c r="K30" s="2304" t="str">
        <f ca="1">IF(U30=0,"0",TEXT(OFFSET('5  Control Accounts'!$FG$33,V30,0),"##0.0"))</f>
        <v>0</v>
      </c>
      <c r="L30" s="2314" t="str">
        <f ca="1">IF(U30=0,"0",TEXT(OFFSET('5  Control Accounts'!$FX$33,V30,0),"##0.00"))</f>
        <v>0</v>
      </c>
      <c r="M30" s="2304" t="str">
        <f ca="1">IF(U30=0,"0",'1 Setup'!$I$60)</f>
        <v>0</v>
      </c>
      <c r="N30" s="2308"/>
      <c r="O30" s="2308"/>
      <c r="P30" s="2304" t="str">
        <f ca="1">IF(U30=0,"0",TEXT(OFFSET('5  Control Accounts'!$FH$33,V30,0),"##0.0"))</f>
        <v>0</v>
      </c>
      <c r="Q30" s="2304" t="str">
        <f ca="1">IF(U30=0,"0",TEXT(OFFSET('5  Control Accounts'!$FY$33,V30,0),"##0.00"))</f>
        <v>0</v>
      </c>
      <c r="R30" s="2308"/>
      <c r="T30" s="2310"/>
      <c r="U30" s="2309">
        <f ca="1">$T$2*OFFSET('5  Control Accounts'!$BR$33,V30,0)</f>
        <v>0</v>
      </c>
      <c r="V30" s="2309">
        <v>23</v>
      </c>
      <c r="W30" s="1411">
        <f ca="1">IF(U30=0,0,OFFSET('5  Control Accounts'!$FD$33,V30,0))</f>
        <v>0</v>
      </c>
      <c r="X30" s="1411">
        <f ca="1">IF(U30=0,0,OFFSET('5  Control Accounts'!$FE$33,V30,0))</f>
        <v>0</v>
      </c>
      <c r="Y30" s="1406">
        <f t="shared" ca="1" si="1"/>
        <v>0</v>
      </c>
      <c r="Z30" s="1406">
        <f t="shared" ca="1" si="2"/>
        <v>0</v>
      </c>
    </row>
    <row r="31" spans="1:26" s="2295" customFormat="1" ht="15.9" customHeight="1" x14ac:dyDescent="0.3">
      <c r="A31" s="2304" t="str">
        <f ca="1">IF($U31=0,"0",'5  Control Accounts'!$EA$16)</f>
        <v>0</v>
      </c>
      <c r="B31" s="2304" t="str">
        <f ca="1">IF($U31=0,"0",'5  Control Accounts'!$EB$16&amp;"-"&amp;'4 Sign-off'!$S$123)</f>
        <v>0</v>
      </c>
      <c r="C31" s="2323" t="str">
        <f ca="1">IF(U31=0,"0",OFFSET('5  Control Accounts'!$BF$33,V31,0)&amp;"."&amp;OFFSET('5  Control Accounts'!$BH$33,V31,0))</f>
        <v>0</v>
      </c>
      <c r="D31" s="2304" t="str">
        <f t="shared" ca="1" si="6"/>
        <v>0</v>
      </c>
      <c r="E31" s="2304" t="str">
        <f t="shared" ca="1" si="7"/>
        <v>0</v>
      </c>
      <c r="F31" s="2304" t="str">
        <f ca="1">IF(U31=0,"0",OFFSET('5  Control Accounts'!$DW$33,V31,0))</f>
        <v>0</v>
      </c>
      <c r="G31" s="2308"/>
      <c r="H31" s="2308"/>
      <c r="I31" s="2308"/>
      <c r="J31" s="2308"/>
      <c r="K31" s="2304" t="str">
        <f ca="1">IF(U31=0,"0",TEXT(OFFSET('5  Control Accounts'!$FG$33,V31,0),"##0.0"))</f>
        <v>0</v>
      </c>
      <c r="L31" s="2314" t="str">
        <f ca="1">IF(U31=0,"0",TEXT(OFFSET('5  Control Accounts'!$FX$33,V31,0),"##0.00"))</f>
        <v>0</v>
      </c>
      <c r="M31" s="2304" t="str">
        <f ca="1">IF(U31=0,"0",'1 Setup'!$I$60)</f>
        <v>0</v>
      </c>
      <c r="N31" s="2308"/>
      <c r="O31" s="2308"/>
      <c r="P31" s="2304" t="str">
        <f ca="1">IF(U31=0,"0",TEXT(OFFSET('5  Control Accounts'!$FH$33,V31,0),"##0.0"))</f>
        <v>0</v>
      </c>
      <c r="Q31" s="2304" t="str">
        <f ca="1">IF(U31=0,"0",TEXT(OFFSET('5  Control Accounts'!$FY$33,V31,0),"##0.00"))</f>
        <v>0</v>
      </c>
      <c r="R31" s="2308"/>
      <c r="T31" s="2310"/>
      <c r="U31" s="2309">
        <f ca="1">$T$2*OFFSET('5  Control Accounts'!$BR$33,V31,0)</f>
        <v>0</v>
      </c>
      <c r="V31" s="2309">
        <v>24</v>
      </c>
      <c r="W31" s="1411">
        <f ca="1">IF(U31=0,0,OFFSET('5  Control Accounts'!$FD$33,V31,0))</f>
        <v>0</v>
      </c>
      <c r="X31" s="1411">
        <f ca="1">IF(U31=0,0,OFFSET('5  Control Accounts'!$FE$33,V31,0))</f>
        <v>0</v>
      </c>
      <c r="Y31" s="1406">
        <f t="shared" ca="1" si="1"/>
        <v>0</v>
      </c>
      <c r="Z31" s="1406">
        <f t="shared" ca="1" si="2"/>
        <v>0</v>
      </c>
    </row>
    <row r="32" spans="1:26" s="2295" customFormat="1" ht="15.9" customHeight="1" x14ac:dyDescent="0.3">
      <c r="A32" s="2304" t="str">
        <f ca="1">IF($U32=0,"0",'5  Control Accounts'!$EA$16)</f>
        <v>0</v>
      </c>
      <c r="B32" s="2304" t="str">
        <f ca="1">IF($U32=0,"0",'5  Control Accounts'!$EB$16&amp;"-"&amp;'4 Sign-off'!$S$123)</f>
        <v>0</v>
      </c>
      <c r="C32" s="2323" t="str">
        <f ca="1">IF(U32=0,"0",OFFSET('5  Control Accounts'!$BF$33,V32,0)&amp;"."&amp;OFFSET('5  Control Accounts'!$BH$33,V32,0))</f>
        <v>0</v>
      </c>
      <c r="D32" s="2304" t="str">
        <f t="shared" ca="1" si="6"/>
        <v>0</v>
      </c>
      <c r="E32" s="2304" t="str">
        <f t="shared" ca="1" si="7"/>
        <v>0</v>
      </c>
      <c r="F32" s="2304" t="str">
        <f ca="1">IF(U32=0,"0",OFFSET('5  Control Accounts'!$DW$33,V32,0))</f>
        <v>0</v>
      </c>
      <c r="G32" s="2308"/>
      <c r="H32" s="2308"/>
      <c r="I32" s="2308"/>
      <c r="J32" s="2308"/>
      <c r="K32" s="2304" t="str">
        <f ca="1">IF(U32=0,"0",TEXT(OFFSET('5  Control Accounts'!$FG$33,V32,0),"##0.0"))</f>
        <v>0</v>
      </c>
      <c r="L32" s="2314" t="str">
        <f ca="1">IF(U32=0,"0",TEXT(OFFSET('5  Control Accounts'!$FX$33,V32,0),"##0.00"))</f>
        <v>0</v>
      </c>
      <c r="M32" s="2304" t="str">
        <f ca="1">IF(U32=0,"0",'1 Setup'!$I$60)</f>
        <v>0</v>
      </c>
      <c r="N32" s="2308"/>
      <c r="O32" s="2308"/>
      <c r="P32" s="2304" t="str">
        <f ca="1">IF(U32=0,"0",TEXT(OFFSET('5  Control Accounts'!$FH$33,V32,0),"##0.0"))</f>
        <v>0</v>
      </c>
      <c r="Q32" s="2304" t="str">
        <f ca="1">IF(U32=0,"0",TEXT(OFFSET('5  Control Accounts'!$FY$33,V32,0),"##0.00"))</f>
        <v>0</v>
      </c>
      <c r="R32" s="2308"/>
      <c r="T32" s="2310"/>
      <c r="U32" s="2309">
        <f ca="1">$T$2*OFFSET('5  Control Accounts'!$BR$33,V32,0)</f>
        <v>0</v>
      </c>
      <c r="V32" s="2309">
        <v>25</v>
      </c>
      <c r="W32" s="1411">
        <f ca="1">IF(U32=0,0,OFFSET('5  Control Accounts'!$FD$33,V32,0))</f>
        <v>0</v>
      </c>
      <c r="X32" s="1411">
        <f ca="1">IF(U32=0,0,OFFSET('5  Control Accounts'!$FE$33,V32,0))</f>
        <v>0</v>
      </c>
      <c r="Y32" s="1406">
        <f t="shared" ca="1" si="1"/>
        <v>0</v>
      </c>
      <c r="Z32" s="1406">
        <f t="shared" ca="1" si="2"/>
        <v>0</v>
      </c>
    </row>
    <row r="33" spans="1:26" s="2295" customFormat="1" ht="15.9" customHeight="1" x14ac:dyDescent="0.3">
      <c r="A33" s="2304" t="str">
        <f ca="1">IF($U33=0,"0",'5  Control Accounts'!$EA$16)</f>
        <v>0</v>
      </c>
      <c r="B33" s="2304" t="str">
        <f ca="1">IF($U33=0,"0",'5  Control Accounts'!$EB$16&amp;"-"&amp;'4 Sign-off'!$S$123)</f>
        <v>0</v>
      </c>
      <c r="C33" s="2323" t="str">
        <f ca="1">IF(U33=0,"0",OFFSET('5  Control Accounts'!$BF$33,V33,0)&amp;"."&amp;OFFSET('5  Control Accounts'!$BH$33,V33,0))</f>
        <v>0</v>
      </c>
      <c r="D33" s="2304" t="str">
        <f t="shared" ca="1" si="6"/>
        <v>0</v>
      </c>
      <c r="E33" s="2304" t="str">
        <f t="shared" ca="1" si="7"/>
        <v>0</v>
      </c>
      <c r="F33" s="2304" t="str">
        <f ca="1">IF(U33=0,"0",OFFSET('5  Control Accounts'!$DW$33,V33,0))</f>
        <v>0</v>
      </c>
      <c r="G33" s="2308"/>
      <c r="H33" s="2308"/>
      <c r="I33" s="2308"/>
      <c r="J33" s="2308"/>
      <c r="K33" s="2304" t="str">
        <f ca="1">IF(U33=0,"0",TEXT(OFFSET('5  Control Accounts'!$FG$33,V33,0),"##0.0"))</f>
        <v>0</v>
      </c>
      <c r="L33" s="2314" t="str">
        <f ca="1">IF(U33=0,"0",TEXT(OFFSET('5  Control Accounts'!$FX$33,V33,0),"##0.00"))</f>
        <v>0</v>
      </c>
      <c r="M33" s="2304" t="str">
        <f ca="1">IF(U33=0,"0",'1 Setup'!$I$60)</f>
        <v>0</v>
      </c>
      <c r="N33" s="2308"/>
      <c r="O33" s="2308"/>
      <c r="P33" s="2304" t="str">
        <f ca="1">IF(U33=0,"0",TEXT(OFFSET('5  Control Accounts'!$FH$33,V33,0),"##0.0"))</f>
        <v>0</v>
      </c>
      <c r="Q33" s="2304" t="str">
        <f ca="1">IF(U33=0,"0",TEXT(OFFSET('5  Control Accounts'!$FY$33,V33,0),"##0.00"))</f>
        <v>0</v>
      </c>
      <c r="R33" s="2308"/>
      <c r="T33" s="2310"/>
      <c r="U33" s="2309">
        <f ca="1">$T$2*OFFSET('5  Control Accounts'!$BR$33,V33,0)</f>
        <v>0</v>
      </c>
      <c r="V33" s="2309">
        <v>26</v>
      </c>
      <c r="W33" s="1411">
        <f ca="1">IF(U33=0,0,OFFSET('5  Control Accounts'!$FD$33,V33,0))</f>
        <v>0</v>
      </c>
      <c r="X33" s="1411">
        <f ca="1">IF(U33=0,0,OFFSET('5  Control Accounts'!$FE$33,V33,0))</f>
        <v>0</v>
      </c>
      <c r="Y33" s="1406">
        <f t="shared" ca="1" si="1"/>
        <v>0</v>
      </c>
      <c r="Z33" s="1406">
        <f t="shared" ca="1" si="2"/>
        <v>0</v>
      </c>
    </row>
    <row r="34" spans="1:26" s="2295" customFormat="1" ht="15.9" customHeight="1" x14ac:dyDescent="0.3">
      <c r="A34" s="2304" t="str">
        <f ca="1">IF($U34=0,"0",'5  Control Accounts'!$EA$16)</f>
        <v>0</v>
      </c>
      <c r="B34" s="2304" t="str">
        <f ca="1">IF($U34=0,"0",'5  Control Accounts'!$EB$16&amp;"-"&amp;'4 Sign-off'!$S$123)</f>
        <v>0</v>
      </c>
      <c r="C34" s="2323" t="str">
        <f ca="1">IF(U34=0,"0",OFFSET('5  Control Accounts'!$BF$33,V34,0)&amp;"."&amp;OFFSET('5  Control Accounts'!$BH$33,V34,0))</f>
        <v>0</v>
      </c>
      <c r="D34" s="2304" t="str">
        <f t="shared" ca="1" si="6"/>
        <v>0</v>
      </c>
      <c r="E34" s="2304" t="str">
        <f t="shared" ca="1" si="7"/>
        <v>0</v>
      </c>
      <c r="F34" s="2304" t="str">
        <f ca="1">IF(U34=0,"0",OFFSET('5  Control Accounts'!$DW$33,V34,0))</f>
        <v>0</v>
      </c>
      <c r="G34" s="2308"/>
      <c r="H34" s="2308"/>
      <c r="I34" s="2308"/>
      <c r="J34" s="2308"/>
      <c r="K34" s="2304" t="str">
        <f ca="1">IF(U34=0,"0",TEXT(OFFSET('5  Control Accounts'!$FG$33,V34,0),"##0.0"))</f>
        <v>0</v>
      </c>
      <c r="L34" s="2314" t="str">
        <f ca="1">IF(U34=0,"0",TEXT(OFFSET('5  Control Accounts'!$FX$33,V34,0),"##0.00"))</f>
        <v>0</v>
      </c>
      <c r="M34" s="2304" t="str">
        <f ca="1">IF(U34=0,"0",'1 Setup'!$I$60)</f>
        <v>0</v>
      </c>
      <c r="N34" s="2308"/>
      <c r="O34" s="2308"/>
      <c r="P34" s="2304" t="str">
        <f ca="1">IF(U34=0,"0",TEXT(OFFSET('5  Control Accounts'!$FH$33,V34,0),"##0.0"))</f>
        <v>0</v>
      </c>
      <c r="Q34" s="2304" t="str">
        <f ca="1">IF(U34=0,"0",TEXT(OFFSET('5  Control Accounts'!$FY$33,V34,0),"##0.00"))</f>
        <v>0</v>
      </c>
      <c r="R34" s="2308"/>
      <c r="T34" s="2310"/>
      <c r="U34" s="2309">
        <f ca="1">$T$2*OFFSET('5  Control Accounts'!$BR$33,V34,0)</f>
        <v>0</v>
      </c>
      <c r="V34" s="2309">
        <v>27</v>
      </c>
      <c r="W34" s="1411">
        <f ca="1">IF(U34=0,0,OFFSET('5  Control Accounts'!$FD$33,V34,0))</f>
        <v>0</v>
      </c>
      <c r="X34" s="1411">
        <f ca="1">IF(U34=0,0,OFFSET('5  Control Accounts'!$FE$33,V34,0))</f>
        <v>0</v>
      </c>
      <c r="Y34" s="1406">
        <f t="shared" ca="1" si="1"/>
        <v>0</v>
      </c>
      <c r="Z34" s="1406">
        <f t="shared" ca="1" si="2"/>
        <v>0</v>
      </c>
    </row>
    <row r="35" spans="1:26" s="2295" customFormat="1" ht="15.9" customHeight="1" x14ac:dyDescent="0.3">
      <c r="A35" s="2304" t="str">
        <f ca="1">IF($U35=0,"0",'5  Control Accounts'!$EA$16)</f>
        <v>0</v>
      </c>
      <c r="B35" s="2304" t="str">
        <f ca="1">IF($U35=0,"0",'5  Control Accounts'!$EB$16&amp;"-"&amp;'4 Sign-off'!$S$123)</f>
        <v>0</v>
      </c>
      <c r="C35" s="2323" t="str">
        <f ca="1">IF(U35=0,"0",OFFSET('5  Control Accounts'!$BF$33,V35,0)&amp;"."&amp;OFFSET('5  Control Accounts'!$BH$33,V35,0))</f>
        <v>0</v>
      </c>
      <c r="D35" s="2304" t="str">
        <f t="shared" ca="1" si="6"/>
        <v>0</v>
      </c>
      <c r="E35" s="2304" t="str">
        <f t="shared" ca="1" si="7"/>
        <v>0</v>
      </c>
      <c r="F35" s="2304" t="str">
        <f ca="1">IF(U35=0,"0",OFFSET('5  Control Accounts'!$DW$33,V35,0))</f>
        <v>0</v>
      </c>
      <c r="G35" s="2308"/>
      <c r="H35" s="2308"/>
      <c r="I35" s="2308"/>
      <c r="J35" s="2308"/>
      <c r="K35" s="2304" t="str">
        <f ca="1">IF(U35=0,"0",TEXT(OFFSET('5  Control Accounts'!$FG$33,V35,0),"##0.0"))</f>
        <v>0</v>
      </c>
      <c r="L35" s="2314" t="str">
        <f ca="1">IF(U35=0,"0",TEXT(OFFSET('5  Control Accounts'!$FX$33,V35,0),"##0.00"))</f>
        <v>0</v>
      </c>
      <c r="M35" s="2304" t="str">
        <f ca="1">IF(U35=0,"0",'1 Setup'!$I$60)</f>
        <v>0</v>
      </c>
      <c r="N35" s="2308"/>
      <c r="O35" s="2308"/>
      <c r="P35" s="2304" t="str">
        <f ca="1">IF(U35=0,"0",TEXT(OFFSET('5  Control Accounts'!$FH$33,V35,0),"##0.0"))</f>
        <v>0</v>
      </c>
      <c r="Q35" s="2304" t="str">
        <f ca="1">IF(U35=0,"0",TEXT(OFFSET('5  Control Accounts'!$FY$33,V35,0),"##0.00"))</f>
        <v>0</v>
      </c>
      <c r="R35" s="2308"/>
      <c r="T35" s="2310"/>
      <c r="U35" s="2309">
        <f ca="1">$T$2*OFFSET('5  Control Accounts'!$BR$33,V35,0)</f>
        <v>0</v>
      </c>
      <c r="V35" s="2309">
        <v>28</v>
      </c>
      <c r="W35" s="1411">
        <f ca="1">IF(U35=0,0,OFFSET('5  Control Accounts'!$FD$33,V35,0))</f>
        <v>0</v>
      </c>
      <c r="X35" s="1411">
        <f ca="1">IF(U35=0,0,OFFSET('5  Control Accounts'!$FE$33,V35,0))</f>
        <v>0</v>
      </c>
      <c r="Y35" s="1406">
        <f t="shared" ca="1" si="1"/>
        <v>0</v>
      </c>
      <c r="Z35" s="1406">
        <f t="shared" ca="1" si="2"/>
        <v>0</v>
      </c>
    </row>
    <row r="36" spans="1:26" s="2295" customFormat="1" ht="15.9" customHeight="1" x14ac:dyDescent="0.3">
      <c r="A36" s="2304" t="str">
        <f ca="1">IF($U36=0,"0",'5  Control Accounts'!$EA$16)</f>
        <v>0</v>
      </c>
      <c r="B36" s="2304" t="str">
        <f ca="1">IF($U36=0,"0",'5  Control Accounts'!$EB$16&amp;"-"&amp;'4 Sign-off'!$S$123)</f>
        <v>0</v>
      </c>
      <c r="C36" s="2323" t="str">
        <f ca="1">IF(U36=0,"0",OFFSET('5  Control Accounts'!$BF$33,V36,0)&amp;"."&amp;OFFSET('5  Control Accounts'!$BH$33,V36,0))</f>
        <v>0</v>
      </c>
      <c r="D36" s="2304" t="str">
        <f t="shared" ca="1" si="6"/>
        <v>0</v>
      </c>
      <c r="E36" s="2304" t="str">
        <f t="shared" ca="1" si="7"/>
        <v>0</v>
      </c>
      <c r="F36" s="2304" t="str">
        <f ca="1">IF(U36=0,"0",OFFSET('5  Control Accounts'!$DW$33,V36,0))</f>
        <v>0</v>
      </c>
      <c r="G36" s="2308"/>
      <c r="H36" s="2308"/>
      <c r="I36" s="2308"/>
      <c r="J36" s="2308"/>
      <c r="K36" s="2304" t="str">
        <f ca="1">IF(U36=0,"0",TEXT(OFFSET('5  Control Accounts'!$FG$33,V36,0),"##0.0"))</f>
        <v>0</v>
      </c>
      <c r="L36" s="2314" t="str">
        <f ca="1">IF(U36=0,"0",TEXT(OFFSET('5  Control Accounts'!$FX$33,V36,0),"##0.00"))</f>
        <v>0</v>
      </c>
      <c r="M36" s="2304" t="str">
        <f ca="1">IF(U36=0,"0",'1 Setup'!$I$60)</f>
        <v>0</v>
      </c>
      <c r="N36" s="2308"/>
      <c r="O36" s="2308"/>
      <c r="P36" s="2304" t="str">
        <f ca="1">IF(U36=0,"0",TEXT(OFFSET('5  Control Accounts'!$FH$33,V36,0),"##0.0"))</f>
        <v>0</v>
      </c>
      <c r="Q36" s="2304" t="str">
        <f ca="1">IF(U36=0,"0",TEXT(OFFSET('5  Control Accounts'!$FY$33,V36,0),"##0.00"))</f>
        <v>0</v>
      </c>
      <c r="R36" s="2308"/>
      <c r="T36" s="2310"/>
      <c r="U36" s="2309">
        <f ca="1">$T$2*OFFSET('5  Control Accounts'!$BR$33,V36,0)</f>
        <v>0</v>
      </c>
      <c r="V36" s="2309">
        <v>29</v>
      </c>
      <c r="W36" s="1411">
        <f ca="1">IF(U36=0,0,OFFSET('5  Control Accounts'!$FD$33,V36,0))</f>
        <v>0</v>
      </c>
      <c r="X36" s="1411">
        <f ca="1">IF(U36=0,0,OFFSET('5  Control Accounts'!$FE$33,V36,0))</f>
        <v>0</v>
      </c>
      <c r="Y36" s="1406">
        <f t="shared" ca="1" si="1"/>
        <v>0</v>
      </c>
      <c r="Z36" s="1406">
        <f t="shared" ca="1" si="2"/>
        <v>0</v>
      </c>
    </row>
    <row r="37" spans="1:26" s="2295" customFormat="1" ht="15.9" customHeight="1" x14ac:dyDescent="0.3">
      <c r="A37" s="2304" t="str">
        <f ca="1">IF($U37=0,"0",'5  Control Accounts'!$EA$16)</f>
        <v>0</v>
      </c>
      <c r="B37" s="2304" t="str">
        <f ca="1">IF($U37=0,"0",'5  Control Accounts'!$EB$16&amp;"-"&amp;'4 Sign-off'!$S$123)</f>
        <v>0</v>
      </c>
      <c r="C37" s="2323" t="str">
        <f ca="1">IF(U37=0,"0",OFFSET('5  Control Accounts'!$BF$33,V37,0)&amp;"."&amp;OFFSET('5  Control Accounts'!$BH$33,V37,0))</f>
        <v>0</v>
      </c>
      <c r="D37" s="2304" t="str">
        <f t="shared" ca="1" si="6"/>
        <v>0</v>
      </c>
      <c r="E37" s="2304" t="str">
        <f t="shared" ca="1" si="7"/>
        <v>0</v>
      </c>
      <c r="F37" s="2304" t="str">
        <f ca="1">IF(U37=0,"0",OFFSET('5  Control Accounts'!$DW$33,V37,0))</f>
        <v>0</v>
      </c>
      <c r="G37" s="2308"/>
      <c r="H37" s="2308"/>
      <c r="I37" s="2308"/>
      <c r="J37" s="2308"/>
      <c r="K37" s="2304" t="str">
        <f ca="1">IF(U37=0,"0",TEXT(OFFSET('5  Control Accounts'!$FG$33,V37,0),"##0.0"))</f>
        <v>0</v>
      </c>
      <c r="L37" s="2314" t="str">
        <f ca="1">IF(U37=0,"0",TEXT(OFFSET('5  Control Accounts'!$FX$33,V37,0),"##0.00"))</f>
        <v>0</v>
      </c>
      <c r="M37" s="2304" t="str">
        <f ca="1">IF(U37=0,"0",'1 Setup'!$I$60)</f>
        <v>0</v>
      </c>
      <c r="N37" s="2308"/>
      <c r="O37" s="2308"/>
      <c r="P37" s="2304" t="str">
        <f ca="1">IF(U37=0,"0",TEXT(OFFSET('5  Control Accounts'!$FH$33,V37,0),"##0.0"))</f>
        <v>0</v>
      </c>
      <c r="Q37" s="2304" t="str">
        <f ca="1">IF(U37=0,"0",TEXT(OFFSET('5  Control Accounts'!$FY$33,V37,0),"##0.00"))</f>
        <v>0</v>
      </c>
      <c r="R37" s="2308"/>
      <c r="T37" s="2310"/>
      <c r="U37" s="2309">
        <f ca="1">$T$2*OFFSET('5  Control Accounts'!$BR$33,V37,0)</f>
        <v>0</v>
      </c>
      <c r="V37" s="2309">
        <v>30</v>
      </c>
      <c r="W37" s="1411">
        <f ca="1">IF(U37=0,0,OFFSET('5  Control Accounts'!$FD$33,V37,0))</f>
        <v>0</v>
      </c>
      <c r="X37" s="1411">
        <f ca="1">IF(U37=0,0,OFFSET('5  Control Accounts'!$FE$33,V37,0))</f>
        <v>0</v>
      </c>
      <c r="Y37" s="1406">
        <f t="shared" ca="1" si="1"/>
        <v>0</v>
      </c>
      <c r="Z37" s="1406">
        <f t="shared" ca="1" si="2"/>
        <v>0</v>
      </c>
    </row>
    <row r="38" spans="1:26" s="2295" customFormat="1" ht="15.9" customHeight="1" x14ac:dyDescent="0.3">
      <c r="A38" s="2304" t="str">
        <f ca="1">IF($U38=0,"0",'5  Control Accounts'!$EA$16)</f>
        <v>0</v>
      </c>
      <c r="B38" s="2304" t="str">
        <f ca="1">IF($U38=0,"0",'5  Control Accounts'!$EB$16&amp;"-"&amp;'4 Sign-off'!$S$123)</f>
        <v>0</v>
      </c>
      <c r="C38" s="2323" t="str">
        <f ca="1">IF(U38=0,"0",OFFSET('5  Control Accounts'!$BF$33,V38,0)&amp;"."&amp;OFFSET('5  Control Accounts'!$BH$33,V38,0))</f>
        <v>0</v>
      </c>
      <c r="D38" s="2304" t="str">
        <f t="shared" ca="1" si="6"/>
        <v>0</v>
      </c>
      <c r="E38" s="2304" t="str">
        <f t="shared" ca="1" si="7"/>
        <v>0</v>
      </c>
      <c r="F38" s="2304" t="str">
        <f ca="1">IF(U38=0,"0",OFFSET('5  Control Accounts'!$DW$33,V38,0))</f>
        <v>0</v>
      </c>
      <c r="G38" s="2308"/>
      <c r="H38" s="2308"/>
      <c r="I38" s="2308"/>
      <c r="J38" s="2308"/>
      <c r="K38" s="2304" t="str">
        <f ca="1">IF(U38=0,"0",TEXT(OFFSET('5  Control Accounts'!$FG$33,V38,0),"##0.0"))</f>
        <v>0</v>
      </c>
      <c r="L38" s="2314" t="str">
        <f ca="1">IF(U38=0,"0",TEXT(OFFSET('5  Control Accounts'!$FX$33,V38,0),"##0.00"))</f>
        <v>0</v>
      </c>
      <c r="M38" s="2304" t="str">
        <f ca="1">IF(U38=0,"0",'1 Setup'!$I$60)</f>
        <v>0</v>
      </c>
      <c r="N38" s="2308"/>
      <c r="O38" s="2308"/>
      <c r="P38" s="2304" t="str">
        <f ca="1">IF(U38=0,"0",TEXT(OFFSET('5  Control Accounts'!$FH$33,V38,0),"##0.0"))</f>
        <v>0</v>
      </c>
      <c r="Q38" s="2304" t="str">
        <f ca="1">IF(U38=0,"0",TEXT(OFFSET('5  Control Accounts'!$FY$33,V38,0),"##0.00"))</f>
        <v>0</v>
      </c>
      <c r="R38" s="2308"/>
      <c r="T38" s="2310"/>
      <c r="U38" s="2309">
        <f ca="1">$T$2*OFFSET('5  Control Accounts'!$BR$33,V38,0)</f>
        <v>0</v>
      </c>
      <c r="V38" s="2309">
        <v>31</v>
      </c>
      <c r="W38" s="1411">
        <f ca="1">IF(U38=0,0,OFFSET('5  Control Accounts'!$FD$33,V38,0))</f>
        <v>0</v>
      </c>
      <c r="X38" s="1411">
        <f ca="1">IF(U38=0,0,OFFSET('5  Control Accounts'!$FE$33,V38,0))</f>
        <v>0</v>
      </c>
      <c r="Y38" s="1406">
        <f t="shared" ca="1" si="1"/>
        <v>0</v>
      </c>
      <c r="Z38" s="1406">
        <f t="shared" ca="1" si="2"/>
        <v>0</v>
      </c>
    </row>
    <row r="39" spans="1:26" s="2295" customFormat="1" ht="15.9" customHeight="1" x14ac:dyDescent="0.3">
      <c r="A39" s="2304" t="str">
        <f ca="1">IF($U39=0,"0",'5  Control Accounts'!$EA$16)</f>
        <v>0</v>
      </c>
      <c r="B39" s="2304" t="str">
        <f ca="1">IF($U39=0,"0",'5  Control Accounts'!$EB$16&amp;"-"&amp;'4 Sign-off'!$S$123)</f>
        <v>0</v>
      </c>
      <c r="C39" s="2323" t="str">
        <f ca="1">IF(U39=0,"0",OFFSET('5  Control Accounts'!$BF$33,V39,0)&amp;"."&amp;OFFSET('5  Control Accounts'!$BH$33,V39,0))</f>
        <v>0</v>
      </c>
      <c r="D39" s="2304" t="str">
        <f t="shared" ca="1" si="6"/>
        <v>0</v>
      </c>
      <c r="E39" s="2304" t="str">
        <f t="shared" ca="1" si="7"/>
        <v>0</v>
      </c>
      <c r="F39" s="2304" t="str">
        <f ca="1">IF(U39=0,"0",OFFSET('5  Control Accounts'!$DW$33,V39,0))</f>
        <v>0</v>
      </c>
      <c r="G39" s="2308"/>
      <c r="H39" s="2308"/>
      <c r="I39" s="2308"/>
      <c r="J39" s="2308"/>
      <c r="K39" s="2304" t="str">
        <f ca="1">IF(U39=0,"0",TEXT(OFFSET('5  Control Accounts'!$FG$33,V39,0),"##0.0"))</f>
        <v>0</v>
      </c>
      <c r="L39" s="2314" t="str">
        <f ca="1">IF(U39=0,"0",TEXT(OFFSET('5  Control Accounts'!$FX$33,V39,0),"##0.00"))</f>
        <v>0</v>
      </c>
      <c r="M39" s="2304" t="str">
        <f ca="1">IF(U39=0,"0",'1 Setup'!$I$60)</f>
        <v>0</v>
      </c>
      <c r="N39" s="2308"/>
      <c r="O39" s="2308"/>
      <c r="P39" s="2304" t="str">
        <f ca="1">IF(U39=0,"0",TEXT(OFFSET('5  Control Accounts'!$FH$33,V39,0),"##0.0"))</f>
        <v>0</v>
      </c>
      <c r="Q39" s="2304" t="str">
        <f ca="1">IF(U39=0,"0",TEXT(OFFSET('5  Control Accounts'!$FY$33,V39,0),"##0.00"))</f>
        <v>0</v>
      </c>
      <c r="R39" s="2308"/>
      <c r="T39" s="2310"/>
      <c r="U39" s="2309">
        <f ca="1">$T$2*OFFSET('5  Control Accounts'!$BR$33,V39,0)</f>
        <v>0</v>
      </c>
      <c r="V39" s="2309">
        <v>32</v>
      </c>
      <c r="W39" s="1411">
        <f ca="1">IF(U39=0,0,OFFSET('5  Control Accounts'!$FD$33,V39,0))</f>
        <v>0</v>
      </c>
      <c r="X39" s="1411">
        <f ca="1">IF(U39=0,0,OFFSET('5  Control Accounts'!$FE$33,V39,0))</f>
        <v>0</v>
      </c>
      <c r="Y39" s="1406">
        <f t="shared" ca="1" si="1"/>
        <v>0</v>
      </c>
      <c r="Z39" s="1406">
        <f t="shared" ca="1" si="2"/>
        <v>0</v>
      </c>
    </row>
    <row r="40" spans="1:26" s="2295" customFormat="1" ht="15.9" customHeight="1" x14ac:dyDescent="0.3">
      <c r="A40" s="2304" t="str">
        <f ca="1">IF($U40=0,"0",'5  Control Accounts'!$EA$16)</f>
        <v>0</v>
      </c>
      <c r="B40" s="2304" t="str">
        <f ca="1">IF($U40=0,"0",'5  Control Accounts'!$EB$16&amp;"-"&amp;'4 Sign-off'!$S$123)</f>
        <v>0</v>
      </c>
      <c r="C40" s="2323" t="str">
        <f ca="1">IF(U40=0,"0",OFFSET('5  Control Accounts'!$BF$33,V40,0)&amp;"."&amp;OFFSET('5  Control Accounts'!$BH$33,V40,0))</f>
        <v>0</v>
      </c>
      <c r="D40" s="2304" t="str">
        <f t="shared" ca="1" si="6"/>
        <v>0</v>
      </c>
      <c r="E40" s="2304" t="str">
        <f t="shared" ca="1" si="7"/>
        <v>0</v>
      </c>
      <c r="F40" s="2304" t="str">
        <f ca="1">IF(U40=0,"0",OFFSET('5  Control Accounts'!$DW$33,V40,0))</f>
        <v>0</v>
      </c>
      <c r="G40" s="2308"/>
      <c r="H40" s="2308"/>
      <c r="I40" s="2308"/>
      <c r="J40" s="2308"/>
      <c r="K40" s="2304" t="str">
        <f ca="1">IF(U40=0,"0",TEXT(OFFSET('5  Control Accounts'!$FG$33,V40,0),"##0.0"))</f>
        <v>0</v>
      </c>
      <c r="L40" s="2314" t="str">
        <f ca="1">IF(U40=0,"0",TEXT(OFFSET('5  Control Accounts'!$FX$33,V40,0),"##0.00"))</f>
        <v>0</v>
      </c>
      <c r="M40" s="2304" t="str">
        <f ca="1">IF(U40=0,"0",'1 Setup'!$I$60)</f>
        <v>0</v>
      </c>
      <c r="N40" s="2308"/>
      <c r="O40" s="2308"/>
      <c r="P40" s="2304" t="str">
        <f ca="1">IF(U40=0,"0",TEXT(OFFSET('5  Control Accounts'!$FH$33,V40,0),"##0.0"))</f>
        <v>0</v>
      </c>
      <c r="Q40" s="2304" t="str">
        <f ca="1">IF(U40=0,"0",TEXT(OFFSET('5  Control Accounts'!$FY$33,V40,0),"##0.00"))</f>
        <v>0</v>
      </c>
      <c r="R40" s="2308"/>
      <c r="T40" s="2310"/>
      <c r="U40" s="2309">
        <f ca="1">$T$2*OFFSET('5  Control Accounts'!$BR$33,V40,0)</f>
        <v>0</v>
      </c>
      <c r="V40" s="2309">
        <v>33</v>
      </c>
      <c r="W40" s="1411">
        <f ca="1">IF(U40=0,0,OFFSET('5  Control Accounts'!$FD$33,V40,0))</f>
        <v>0</v>
      </c>
      <c r="X40" s="1411">
        <f ca="1">IF(U40=0,0,OFFSET('5  Control Accounts'!$FE$33,V40,0))</f>
        <v>0</v>
      </c>
      <c r="Y40" s="1406">
        <f t="shared" ca="1" si="1"/>
        <v>0</v>
      </c>
      <c r="Z40" s="1406">
        <f t="shared" ca="1" si="2"/>
        <v>0</v>
      </c>
    </row>
    <row r="41" spans="1:26" s="2295" customFormat="1" ht="15.9" customHeight="1" x14ac:dyDescent="0.3">
      <c r="A41" s="2304" t="str">
        <f ca="1">IF($U41=0,"0",'5  Control Accounts'!$EA$16)</f>
        <v>0</v>
      </c>
      <c r="B41" s="2304" t="str">
        <f ca="1">IF($U41=0,"0",'5  Control Accounts'!$EB$16&amp;"-"&amp;'4 Sign-off'!$S$123)</f>
        <v>0</v>
      </c>
      <c r="C41" s="2323" t="str">
        <f ca="1">IF(U41=0,"0",OFFSET('5  Control Accounts'!$BF$33,V41,0)&amp;"."&amp;OFFSET('5  Control Accounts'!$BH$33,V41,0))</f>
        <v>0</v>
      </c>
      <c r="D41" s="2304" t="str">
        <f t="shared" ca="1" si="6"/>
        <v>0</v>
      </c>
      <c r="E41" s="2304" t="str">
        <f t="shared" ca="1" si="7"/>
        <v>0</v>
      </c>
      <c r="F41" s="2304" t="str">
        <f ca="1">IF(U41=0,"0",OFFSET('5  Control Accounts'!$DW$33,V41,0))</f>
        <v>0</v>
      </c>
      <c r="G41" s="2308"/>
      <c r="H41" s="2308"/>
      <c r="I41" s="2308"/>
      <c r="J41" s="2308"/>
      <c r="K41" s="2304" t="str">
        <f ca="1">IF(U41=0,"0",TEXT(OFFSET('5  Control Accounts'!$FG$33,V41,0),"##0.0"))</f>
        <v>0</v>
      </c>
      <c r="L41" s="2314" t="str">
        <f ca="1">IF(U41=0,"0",TEXT(OFFSET('5  Control Accounts'!$FX$33,V41,0),"##0.00"))</f>
        <v>0</v>
      </c>
      <c r="M41" s="2304" t="str">
        <f ca="1">IF(U41=0,"0",'1 Setup'!$I$60)</f>
        <v>0</v>
      </c>
      <c r="N41" s="2308"/>
      <c r="O41" s="2308"/>
      <c r="P41" s="2304" t="str">
        <f ca="1">IF(U41=0,"0",TEXT(OFFSET('5  Control Accounts'!$FH$33,V41,0),"##0.0"))</f>
        <v>0</v>
      </c>
      <c r="Q41" s="2304" t="str">
        <f ca="1">IF(U41=0,"0",TEXT(OFFSET('5  Control Accounts'!$FY$33,V41,0),"##0.00"))</f>
        <v>0</v>
      </c>
      <c r="R41" s="2308"/>
      <c r="T41" s="2310"/>
      <c r="U41" s="2309">
        <f ca="1">$T$2*OFFSET('5  Control Accounts'!$BR$33,V41,0)</f>
        <v>0</v>
      </c>
      <c r="V41" s="2309">
        <v>34</v>
      </c>
      <c r="W41" s="1411">
        <f ca="1">IF(U41=0,0,OFFSET('5  Control Accounts'!$FD$33,V41,0))</f>
        <v>0</v>
      </c>
      <c r="X41" s="1411">
        <f ca="1">IF(U41=0,0,OFFSET('5  Control Accounts'!$FE$33,V41,0))</f>
        <v>0</v>
      </c>
      <c r="Y41" s="1406">
        <f t="shared" ca="1" si="1"/>
        <v>0</v>
      </c>
      <c r="Z41" s="1406">
        <f t="shared" ca="1" si="2"/>
        <v>0</v>
      </c>
    </row>
    <row r="42" spans="1:26" s="2295" customFormat="1" ht="15.9" customHeight="1" x14ac:dyDescent="0.3">
      <c r="A42" s="2304" t="str">
        <f ca="1">IF($U42=0,"0",'5  Control Accounts'!$EA$16)</f>
        <v>0</v>
      </c>
      <c r="B42" s="2304" t="str">
        <f ca="1">IF($U42=0,"0",'5  Control Accounts'!$EB$16&amp;"-"&amp;'4 Sign-off'!$S$123)</f>
        <v>0</v>
      </c>
      <c r="C42" s="2323" t="str">
        <f ca="1">IF(U42=0,"0",OFFSET('5  Control Accounts'!$BF$33,V42,0)&amp;"."&amp;OFFSET('5  Control Accounts'!$BH$33,V42,0))</f>
        <v>0</v>
      </c>
      <c r="D42" s="2304" t="str">
        <f t="shared" ca="1" si="6"/>
        <v>0</v>
      </c>
      <c r="E42" s="2304" t="str">
        <f t="shared" ca="1" si="7"/>
        <v>0</v>
      </c>
      <c r="F42" s="2304" t="str">
        <f ca="1">IF(U42=0,"0",OFFSET('5  Control Accounts'!$DW$33,V42,0))</f>
        <v>0</v>
      </c>
      <c r="G42" s="2308"/>
      <c r="H42" s="2308"/>
      <c r="I42" s="2308"/>
      <c r="J42" s="2308"/>
      <c r="K42" s="2304" t="str">
        <f ca="1">IF(U42=0,"0",TEXT(OFFSET('5  Control Accounts'!$FG$33,V42,0),"##0.0"))</f>
        <v>0</v>
      </c>
      <c r="L42" s="2314" t="str">
        <f ca="1">IF(U42=0,"0",TEXT(OFFSET('5  Control Accounts'!$FX$33,V42,0),"##0.00"))</f>
        <v>0</v>
      </c>
      <c r="M42" s="2304" t="str">
        <f ca="1">IF(U42=0,"0",'1 Setup'!$I$60)</f>
        <v>0</v>
      </c>
      <c r="N42" s="2308"/>
      <c r="O42" s="2308"/>
      <c r="P42" s="2304" t="str">
        <f ca="1">IF(U42=0,"0",TEXT(OFFSET('5  Control Accounts'!$FH$33,V42,0),"##0.0"))</f>
        <v>0</v>
      </c>
      <c r="Q42" s="2304" t="str">
        <f ca="1">IF(U42=0,"0",TEXT(OFFSET('5  Control Accounts'!$FY$33,V42,0),"##0.00"))</f>
        <v>0</v>
      </c>
      <c r="R42" s="2308"/>
      <c r="T42" s="2310"/>
      <c r="U42" s="2309">
        <f ca="1">$T$2*OFFSET('5  Control Accounts'!$BR$33,V42,0)</f>
        <v>0</v>
      </c>
      <c r="V42" s="2309">
        <v>35</v>
      </c>
      <c r="W42" s="1411">
        <f ca="1">IF(U42=0,0,OFFSET('5  Control Accounts'!$FD$33,V42,0))</f>
        <v>0</v>
      </c>
      <c r="X42" s="1411">
        <f ca="1">IF(U42=0,0,OFFSET('5  Control Accounts'!$FE$33,V42,0))</f>
        <v>0</v>
      </c>
      <c r="Y42" s="1406">
        <f t="shared" ca="1" si="1"/>
        <v>0</v>
      </c>
      <c r="Z42" s="1406">
        <f t="shared" ca="1" si="2"/>
        <v>0</v>
      </c>
    </row>
    <row r="43" spans="1:26" s="2295" customFormat="1" ht="15.9" customHeight="1" x14ac:dyDescent="0.3">
      <c r="A43" s="2304" t="str">
        <f ca="1">IF($U43=0,"0",'5  Control Accounts'!$EA$16)</f>
        <v>0</v>
      </c>
      <c r="B43" s="2304" t="str">
        <f ca="1">IF($U43=0,"0",'5  Control Accounts'!$EB$16&amp;"-"&amp;'4 Sign-off'!$S$123)</f>
        <v>0</v>
      </c>
      <c r="C43" s="2323" t="str">
        <f ca="1">IF(U43=0,"0",OFFSET('5  Control Accounts'!$BF$33,V43,0)&amp;"."&amp;OFFSET('5  Control Accounts'!$BH$33,V43,0))</f>
        <v>0</v>
      </c>
      <c r="D43" s="2304" t="str">
        <f t="shared" ca="1" si="6"/>
        <v>0</v>
      </c>
      <c r="E43" s="2304" t="str">
        <f t="shared" ca="1" si="7"/>
        <v>0</v>
      </c>
      <c r="F43" s="2304" t="str">
        <f ca="1">IF(U43=0,"0",OFFSET('5  Control Accounts'!$DW$33,V43,0))</f>
        <v>0</v>
      </c>
      <c r="G43" s="2308"/>
      <c r="H43" s="2308"/>
      <c r="I43" s="2308"/>
      <c r="J43" s="2308"/>
      <c r="K43" s="2304" t="str">
        <f ca="1">IF(U43=0,"0",TEXT(OFFSET('5  Control Accounts'!$FG$33,V43,0),"##0.0"))</f>
        <v>0</v>
      </c>
      <c r="L43" s="2314" t="str">
        <f ca="1">IF(U43=0,"0",TEXT(OFFSET('5  Control Accounts'!$FX$33,V43,0),"##0.00"))</f>
        <v>0</v>
      </c>
      <c r="M43" s="2304" t="str">
        <f ca="1">IF(U43=0,"0",'1 Setup'!$I$60)</f>
        <v>0</v>
      </c>
      <c r="N43" s="2308"/>
      <c r="O43" s="2308"/>
      <c r="P43" s="2304" t="str">
        <f ca="1">IF(U43=0,"0",TEXT(OFFSET('5  Control Accounts'!$FH$33,V43,0),"##0.0"))</f>
        <v>0</v>
      </c>
      <c r="Q43" s="2304" t="str">
        <f ca="1">IF(U43=0,"0",TEXT(OFFSET('5  Control Accounts'!$FY$33,V43,0),"##0.00"))</f>
        <v>0</v>
      </c>
      <c r="R43" s="2308"/>
      <c r="T43" s="2310"/>
      <c r="U43" s="2309">
        <f ca="1">$T$2*OFFSET('5  Control Accounts'!$BR$33,V43,0)</f>
        <v>0</v>
      </c>
      <c r="V43" s="2309">
        <v>36</v>
      </c>
      <c r="W43" s="1411">
        <f ca="1">IF(U43=0,0,OFFSET('5  Control Accounts'!$FD$33,V43,0))</f>
        <v>0</v>
      </c>
      <c r="X43" s="1411">
        <f ca="1">IF(U43=0,0,OFFSET('5  Control Accounts'!$FE$33,V43,0))</f>
        <v>0</v>
      </c>
      <c r="Y43" s="1406">
        <f t="shared" ca="1" si="1"/>
        <v>0</v>
      </c>
      <c r="Z43" s="1406">
        <f t="shared" ca="1" si="2"/>
        <v>0</v>
      </c>
    </row>
    <row r="44" spans="1:26" s="2295" customFormat="1" ht="15.9" customHeight="1" x14ac:dyDescent="0.3">
      <c r="A44" s="2304" t="str">
        <f ca="1">IF($U44=0,"0",'5  Control Accounts'!$EA$16)</f>
        <v>0</v>
      </c>
      <c r="B44" s="2304" t="str">
        <f ca="1">IF($U44=0,"0",'5  Control Accounts'!$EB$16&amp;"-"&amp;'4 Sign-off'!$S$123)</f>
        <v>0</v>
      </c>
      <c r="C44" s="2323" t="str">
        <f ca="1">IF(U44=0,"0",OFFSET('5  Control Accounts'!$BF$33,V44,0)&amp;"."&amp;OFFSET('5  Control Accounts'!$BH$33,V44,0))</f>
        <v>0</v>
      </c>
      <c r="D44" s="2304" t="str">
        <f t="shared" ca="1" si="6"/>
        <v>0</v>
      </c>
      <c r="E44" s="2304" t="str">
        <f t="shared" ca="1" si="7"/>
        <v>0</v>
      </c>
      <c r="F44" s="2304" t="str">
        <f ca="1">IF(U44=0,"0",OFFSET('5  Control Accounts'!$DW$33,V44,0))</f>
        <v>0</v>
      </c>
      <c r="G44" s="2308"/>
      <c r="H44" s="2308"/>
      <c r="I44" s="2308"/>
      <c r="J44" s="2308"/>
      <c r="K44" s="2304" t="str">
        <f ca="1">IF(U44=0,"0",TEXT(OFFSET('5  Control Accounts'!$FG$33,V44,0),"##0.0"))</f>
        <v>0</v>
      </c>
      <c r="L44" s="2314" t="str">
        <f ca="1">IF(U44=0,"0",TEXT(OFFSET('5  Control Accounts'!$FX$33,V44,0),"##0.00"))</f>
        <v>0</v>
      </c>
      <c r="M44" s="2304" t="str">
        <f ca="1">IF(U44=0,"0",'1 Setup'!$I$60)</f>
        <v>0</v>
      </c>
      <c r="N44" s="2308"/>
      <c r="O44" s="2308"/>
      <c r="P44" s="2304" t="str">
        <f ca="1">IF(U44=0,"0",TEXT(OFFSET('5  Control Accounts'!$FH$33,V44,0),"##0.0"))</f>
        <v>0</v>
      </c>
      <c r="Q44" s="2304" t="str">
        <f ca="1">IF(U44=0,"0",TEXT(OFFSET('5  Control Accounts'!$FY$33,V44,0),"##0.00"))</f>
        <v>0</v>
      </c>
      <c r="R44" s="2308"/>
      <c r="T44" s="2310"/>
      <c r="U44" s="2309">
        <f ca="1">$T$2*OFFSET('5  Control Accounts'!$BR$33,V44,0)</f>
        <v>0</v>
      </c>
      <c r="V44" s="2309">
        <v>37</v>
      </c>
      <c r="W44" s="1411">
        <f ca="1">IF(U44=0,0,OFFSET('5  Control Accounts'!$FD$33,V44,0))</f>
        <v>0</v>
      </c>
      <c r="X44" s="1411">
        <f ca="1">IF(U44=0,0,OFFSET('5  Control Accounts'!$FE$33,V44,0))</f>
        <v>0</v>
      </c>
      <c r="Y44" s="1406">
        <f t="shared" ca="1" si="1"/>
        <v>0</v>
      </c>
      <c r="Z44" s="1406">
        <f t="shared" ca="1" si="2"/>
        <v>0</v>
      </c>
    </row>
    <row r="45" spans="1:26" s="2295" customFormat="1" ht="15.9" customHeight="1" x14ac:dyDescent="0.3">
      <c r="A45" s="2304" t="str">
        <f ca="1">IF($U45=0,"0",'5  Control Accounts'!$EA$16)</f>
        <v>0</v>
      </c>
      <c r="B45" s="2304" t="str">
        <f ca="1">IF($U45=0,"0",'5  Control Accounts'!$EB$16&amp;"-"&amp;'4 Sign-off'!$S$123)</f>
        <v>0</v>
      </c>
      <c r="C45" s="2323" t="str">
        <f ca="1">IF(U45=0,"0",OFFSET('5  Control Accounts'!$BF$33,V45,0)&amp;"."&amp;OFFSET('5  Control Accounts'!$BH$33,V45,0))</f>
        <v>0</v>
      </c>
      <c r="D45" s="2304" t="str">
        <f t="shared" ca="1" si="6"/>
        <v>0</v>
      </c>
      <c r="E45" s="2304" t="str">
        <f t="shared" ca="1" si="7"/>
        <v>0</v>
      </c>
      <c r="F45" s="2304" t="str">
        <f ca="1">IF(U45=0,"0",OFFSET('5  Control Accounts'!$DW$33,V45,0))</f>
        <v>0</v>
      </c>
      <c r="G45" s="2308"/>
      <c r="H45" s="2308"/>
      <c r="I45" s="2308"/>
      <c r="J45" s="2308"/>
      <c r="K45" s="2304" t="str">
        <f ca="1">IF(U45=0,"0",TEXT(OFFSET('5  Control Accounts'!$FG$33,V45,0),"##0.0"))</f>
        <v>0</v>
      </c>
      <c r="L45" s="2314" t="str">
        <f ca="1">IF(U45=0,"0",TEXT(OFFSET('5  Control Accounts'!$FX$33,V45,0),"##0.00"))</f>
        <v>0</v>
      </c>
      <c r="M45" s="2304" t="str">
        <f ca="1">IF(U45=0,"0",'1 Setup'!$I$60)</f>
        <v>0</v>
      </c>
      <c r="N45" s="2308"/>
      <c r="O45" s="2308"/>
      <c r="P45" s="2304" t="str">
        <f ca="1">IF(U45=0,"0",TEXT(OFFSET('5  Control Accounts'!$FH$33,V45,0),"##0.0"))</f>
        <v>0</v>
      </c>
      <c r="Q45" s="2304" t="str">
        <f ca="1">IF(U45=0,"0",TEXT(OFFSET('5  Control Accounts'!$FY$33,V45,0),"##0.00"))</f>
        <v>0</v>
      </c>
      <c r="R45" s="2308"/>
      <c r="T45" s="2310"/>
      <c r="U45" s="2309">
        <f ca="1">$T$2*OFFSET('5  Control Accounts'!$BR$33,V45,0)</f>
        <v>0</v>
      </c>
      <c r="V45" s="2309">
        <v>38</v>
      </c>
      <c r="W45" s="1411">
        <f ca="1">IF(U45=0,0,OFFSET('5  Control Accounts'!$FD$33,V45,0))</f>
        <v>0</v>
      </c>
      <c r="X45" s="1411">
        <f ca="1">IF(U45=0,0,OFFSET('5  Control Accounts'!$FE$33,V45,0))</f>
        <v>0</v>
      </c>
      <c r="Y45" s="1406">
        <f t="shared" ca="1" si="1"/>
        <v>0</v>
      </c>
      <c r="Z45" s="1406">
        <f t="shared" ca="1" si="2"/>
        <v>0</v>
      </c>
    </row>
    <row r="46" spans="1:26" s="2295" customFormat="1" ht="15.9" customHeight="1" x14ac:dyDescent="0.3">
      <c r="A46" s="2304" t="str">
        <f ca="1">IF($U46=0,"0",'5  Control Accounts'!$EA$16)</f>
        <v>0</v>
      </c>
      <c r="B46" s="2304" t="str">
        <f ca="1">IF($U46=0,"0",'5  Control Accounts'!$EB$16&amp;"-"&amp;'4 Sign-off'!$S$123)</f>
        <v>0</v>
      </c>
      <c r="C46" s="2323" t="str">
        <f ca="1">IF(U46=0,"0",OFFSET('5  Control Accounts'!$BF$33,V46,0)&amp;"."&amp;OFFSET('5  Control Accounts'!$BH$33,V46,0))</f>
        <v>0</v>
      </c>
      <c r="D46" s="2304" t="str">
        <f t="shared" ca="1" si="6"/>
        <v>0</v>
      </c>
      <c r="E46" s="2304" t="str">
        <f t="shared" ca="1" si="7"/>
        <v>0</v>
      </c>
      <c r="F46" s="2304" t="str">
        <f ca="1">IF(U46=0,"0",OFFSET('5  Control Accounts'!$DW$33,V46,0))</f>
        <v>0</v>
      </c>
      <c r="G46" s="2308"/>
      <c r="H46" s="2308"/>
      <c r="I46" s="2308"/>
      <c r="J46" s="2308"/>
      <c r="K46" s="2304" t="str">
        <f ca="1">IF(U46=0,"0",TEXT(OFFSET('5  Control Accounts'!$FG$33,V46,0),"##0.0"))</f>
        <v>0</v>
      </c>
      <c r="L46" s="2314" t="str">
        <f ca="1">IF(U46=0,"0",TEXT(OFFSET('5  Control Accounts'!$FX$33,V46,0),"##0.00"))</f>
        <v>0</v>
      </c>
      <c r="M46" s="2304" t="str">
        <f ca="1">IF(U46=0,"0",'1 Setup'!$I$60)</f>
        <v>0</v>
      </c>
      <c r="N46" s="2308"/>
      <c r="O46" s="2308"/>
      <c r="P46" s="2304" t="str">
        <f ca="1">IF(U46=0,"0",TEXT(OFFSET('5  Control Accounts'!$FH$33,V46,0),"##0.0"))</f>
        <v>0</v>
      </c>
      <c r="Q46" s="2304" t="str">
        <f ca="1">IF(U46=0,"0",TEXT(OFFSET('5  Control Accounts'!$FY$33,V46,0),"##0.00"))</f>
        <v>0</v>
      </c>
      <c r="R46" s="2308"/>
      <c r="T46" s="2310"/>
      <c r="U46" s="2309">
        <f ca="1">$T$2*OFFSET('5  Control Accounts'!$BR$33,V46,0)</f>
        <v>0</v>
      </c>
      <c r="V46" s="2309">
        <v>39</v>
      </c>
      <c r="W46" s="1411">
        <f ca="1">IF(U46=0,0,OFFSET('5  Control Accounts'!$FD$33,V46,0))</f>
        <v>0</v>
      </c>
      <c r="X46" s="1411">
        <f ca="1">IF(U46=0,0,OFFSET('5  Control Accounts'!$FE$33,V46,0))</f>
        <v>0</v>
      </c>
      <c r="Y46" s="1406">
        <f t="shared" ca="1" si="1"/>
        <v>0</v>
      </c>
      <c r="Z46" s="1406">
        <f t="shared" ca="1" si="2"/>
        <v>0</v>
      </c>
    </row>
    <row r="47" spans="1:26" s="2295" customFormat="1" ht="15.9" customHeight="1" x14ac:dyDescent="0.3">
      <c r="A47" s="2304" t="str">
        <f ca="1">IF($U47=0,"0",'5  Control Accounts'!$EA$16)</f>
        <v>0</v>
      </c>
      <c r="B47" s="2304" t="str">
        <f ca="1">IF($U47=0,"0",'5  Control Accounts'!$EB$16&amp;"-"&amp;'4 Sign-off'!$S$123)</f>
        <v>0</v>
      </c>
      <c r="C47" s="2323" t="str">
        <f ca="1">IF(U47=0,"0",OFFSET('5  Control Accounts'!$BF$33,V47,0)&amp;"."&amp;OFFSET('5  Control Accounts'!$BH$33,V47,0))</f>
        <v>0</v>
      </c>
      <c r="D47" s="2304" t="str">
        <f t="shared" ca="1" si="6"/>
        <v>0</v>
      </c>
      <c r="E47" s="2304" t="str">
        <f t="shared" ca="1" si="7"/>
        <v>0</v>
      </c>
      <c r="F47" s="2304" t="str">
        <f ca="1">IF(U47=0,"0",OFFSET('5  Control Accounts'!$DW$33,V47,0))</f>
        <v>0</v>
      </c>
      <c r="G47" s="2308"/>
      <c r="H47" s="2308"/>
      <c r="I47" s="2308"/>
      <c r="J47" s="2308"/>
      <c r="K47" s="2304" t="str">
        <f ca="1">IF(U47=0,"0",TEXT(OFFSET('5  Control Accounts'!$FG$33,V47,0),"##0.0"))</f>
        <v>0</v>
      </c>
      <c r="L47" s="2314" t="str">
        <f ca="1">IF(U47=0,"0",TEXT(OFFSET('5  Control Accounts'!$FX$33,V47,0),"##0.00"))</f>
        <v>0</v>
      </c>
      <c r="M47" s="2304" t="str">
        <f ca="1">IF(U47=0,"0",'1 Setup'!$I$60)</f>
        <v>0</v>
      </c>
      <c r="N47" s="2308"/>
      <c r="O47" s="2308"/>
      <c r="P47" s="2304" t="str">
        <f ca="1">IF(U47=0,"0",TEXT(OFFSET('5  Control Accounts'!$FH$33,V47,0),"##0.0"))</f>
        <v>0</v>
      </c>
      <c r="Q47" s="2304" t="str">
        <f ca="1">IF(U47=0,"0",TEXT(OFFSET('5  Control Accounts'!$FY$33,V47,0),"##0.00"))</f>
        <v>0</v>
      </c>
      <c r="R47" s="2308"/>
      <c r="T47" s="2310"/>
      <c r="U47" s="2309">
        <f ca="1">$T$2*OFFSET('5  Control Accounts'!$BR$33,V47,0)</f>
        <v>0</v>
      </c>
      <c r="V47" s="2309">
        <v>40</v>
      </c>
      <c r="W47" s="1411">
        <f ca="1">IF(U47=0,0,OFFSET('5  Control Accounts'!$FD$33,V47,0))</f>
        <v>0</v>
      </c>
      <c r="X47" s="1411">
        <f ca="1">IF(U47=0,0,OFFSET('5  Control Accounts'!$FE$33,V47,0))</f>
        <v>0</v>
      </c>
      <c r="Y47" s="1406">
        <f t="shared" ca="1" si="1"/>
        <v>0</v>
      </c>
      <c r="Z47" s="1406">
        <f t="shared" ca="1" si="2"/>
        <v>0</v>
      </c>
    </row>
    <row r="48" spans="1:26" s="2295" customFormat="1" ht="15.9" customHeight="1" x14ac:dyDescent="0.3">
      <c r="A48" s="2304" t="str">
        <f ca="1">IF($U48=0,"0",'5  Control Accounts'!$EA$16)</f>
        <v>0</v>
      </c>
      <c r="B48" s="2304" t="str">
        <f ca="1">IF($U48=0,"0",'5  Control Accounts'!$EB$16&amp;"-"&amp;'4 Sign-off'!$S$123)</f>
        <v>0</v>
      </c>
      <c r="C48" s="2323" t="str">
        <f ca="1">IF(U48=0,"0",OFFSET('5  Control Accounts'!$BF$33,V48,0)&amp;"."&amp;OFFSET('5  Control Accounts'!$BH$33,V48,0))</f>
        <v>0</v>
      </c>
      <c r="D48" s="2304" t="str">
        <f t="shared" ca="1" si="6"/>
        <v>0</v>
      </c>
      <c r="E48" s="2304" t="str">
        <f t="shared" ca="1" si="7"/>
        <v>0</v>
      </c>
      <c r="F48" s="2304" t="str">
        <f ca="1">IF(U48=0,"0",OFFSET('5  Control Accounts'!$DW$33,V48,0))</f>
        <v>0</v>
      </c>
      <c r="G48" s="2308"/>
      <c r="H48" s="2308"/>
      <c r="I48" s="2308"/>
      <c r="J48" s="2308"/>
      <c r="K48" s="2304" t="str">
        <f ca="1">IF(U48=0,"0",TEXT(OFFSET('5  Control Accounts'!$FG$33,V48,0),"##0.0"))</f>
        <v>0</v>
      </c>
      <c r="L48" s="2314" t="str">
        <f ca="1">IF(U48=0,"0",TEXT(OFFSET('5  Control Accounts'!$FX$33,V48,0),"##0.00"))</f>
        <v>0</v>
      </c>
      <c r="M48" s="2304" t="str">
        <f ca="1">IF(U48=0,"0",'1 Setup'!$I$60)</f>
        <v>0</v>
      </c>
      <c r="N48" s="2308"/>
      <c r="O48" s="2308"/>
      <c r="P48" s="2304" t="str">
        <f ca="1">IF(U48=0,"0",TEXT(OFFSET('5  Control Accounts'!$FH$33,V48,0),"##0.0"))</f>
        <v>0</v>
      </c>
      <c r="Q48" s="2304" t="str">
        <f ca="1">IF(U48=0,"0",TEXT(OFFSET('5  Control Accounts'!$FY$33,V48,0),"##0.00"))</f>
        <v>0</v>
      </c>
      <c r="R48" s="2308"/>
      <c r="T48" s="2310"/>
      <c r="U48" s="2309">
        <f ca="1">$T$2*OFFSET('5  Control Accounts'!$BR$33,V48,0)</f>
        <v>0</v>
      </c>
      <c r="V48" s="2309">
        <v>41</v>
      </c>
      <c r="W48" s="1411">
        <f ca="1">IF(U48=0,0,OFFSET('5  Control Accounts'!$FD$33,V48,0))</f>
        <v>0</v>
      </c>
      <c r="X48" s="1411">
        <f ca="1">IF(U48=0,0,OFFSET('5  Control Accounts'!$FE$33,V48,0))</f>
        <v>0</v>
      </c>
      <c r="Y48" s="1406">
        <f t="shared" ca="1" si="1"/>
        <v>0</v>
      </c>
      <c r="Z48" s="1406">
        <f t="shared" ca="1" si="2"/>
        <v>0</v>
      </c>
    </row>
    <row r="49" spans="1:26" s="2295" customFormat="1" ht="15.9" customHeight="1" x14ac:dyDescent="0.3">
      <c r="A49" s="2304" t="str">
        <f ca="1">IF($U49=0,"0",'5  Control Accounts'!$EA$16)</f>
        <v>0</v>
      </c>
      <c r="B49" s="2304" t="str">
        <f ca="1">IF($U49=0,"0",'5  Control Accounts'!$EB$16&amp;"-"&amp;'4 Sign-off'!$S$123)</f>
        <v>0</v>
      </c>
      <c r="C49" s="2323" t="str">
        <f ca="1">IF(U49=0,"0",OFFSET('5  Control Accounts'!$BF$33,V49,0)&amp;"."&amp;OFFSET('5  Control Accounts'!$BH$33,V49,0))</f>
        <v>0</v>
      </c>
      <c r="D49" s="2304" t="str">
        <f t="shared" ca="1" si="6"/>
        <v>0</v>
      </c>
      <c r="E49" s="2304" t="str">
        <f t="shared" ca="1" si="7"/>
        <v>0</v>
      </c>
      <c r="F49" s="2304" t="str">
        <f ca="1">IF(U49=0,"0",OFFSET('5  Control Accounts'!$DW$33,V49,0))</f>
        <v>0</v>
      </c>
      <c r="G49" s="2308"/>
      <c r="H49" s="2308"/>
      <c r="I49" s="2308"/>
      <c r="J49" s="2308"/>
      <c r="K49" s="2304" t="str">
        <f ca="1">IF(U49=0,"0",TEXT(OFFSET('5  Control Accounts'!$FG$33,V49,0),"##0.0"))</f>
        <v>0</v>
      </c>
      <c r="L49" s="2314" t="str">
        <f ca="1">IF(U49=0,"0",TEXT(OFFSET('5  Control Accounts'!$FX$33,V49,0),"##0.00"))</f>
        <v>0</v>
      </c>
      <c r="M49" s="2304" t="str">
        <f ca="1">IF(U49=0,"0",'1 Setup'!$I$60)</f>
        <v>0</v>
      </c>
      <c r="N49" s="2308"/>
      <c r="O49" s="2308"/>
      <c r="P49" s="2304" t="str">
        <f ca="1">IF(U49=0,"0",TEXT(OFFSET('5  Control Accounts'!$FH$33,V49,0),"##0.0"))</f>
        <v>0</v>
      </c>
      <c r="Q49" s="2304" t="str">
        <f ca="1">IF(U49=0,"0",TEXT(OFFSET('5  Control Accounts'!$FY$33,V49,0),"##0.00"))</f>
        <v>0</v>
      </c>
      <c r="R49" s="2308"/>
      <c r="T49" s="2310"/>
      <c r="U49" s="2309">
        <f ca="1">$T$2*OFFSET('5  Control Accounts'!$BR$33,V49,0)</f>
        <v>0</v>
      </c>
      <c r="V49" s="2309">
        <v>42</v>
      </c>
      <c r="W49" s="1411">
        <f ca="1">IF(U49=0,0,OFFSET('5  Control Accounts'!$FD$33,V49,0))</f>
        <v>0</v>
      </c>
      <c r="X49" s="1411">
        <f ca="1">IF(U49=0,0,OFFSET('5  Control Accounts'!$FE$33,V49,0))</f>
        <v>0</v>
      </c>
      <c r="Y49" s="1406">
        <f t="shared" ca="1" si="1"/>
        <v>0</v>
      </c>
      <c r="Z49" s="1406">
        <f t="shared" ca="1" si="2"/>
        <v>0</v>
      </c>
    </row>
    <row r="50" spans="1:26" s="2295" customFormat="1" ht="15.9" customHeight="1" x14ac:dyDescent="0.3">
      <c r="A50" s="2304" t="str">
        <f ca="1">IF($U50=0,"0",'5  Control Accounts'!$EA$16)</f>
        <v>0</v>
      </c>
      <c r="B50" s="2304" t="str">
        <f ca="1">IF($U50=0,"0",'5  Control Accounts'!$EB$16&amp;"-"&amp;'4 Sign-off'!$S$123)</f>
        <v>0</v>
      </c>
      <c r="C50" s="2323" t="str">
        <f ca="1">IF(U50=0,"0",OFFSET('5  Control Accounts'!$BF$33,V50,0)&amp;"."&amp;OFFSET('5  Control Accounts'!$BH$33,V50,0))</f>
        <v>0</v>
      </c>
      <c r="D50" s="2304" t="str">
        <f t="shared" ca="1" si="6"/>
        <v>0</v>
      </c>
      <c r="E50" s="2304" t="str">
        <f t="shared" ca="1" si="7"/>
        <v>0</v>
      </c>
      <c r="F50" s="2304" t="str">
        <f ca="1">IF(U50=0,"0",OFFSET('5  Control Accounts'!$DW$33,V50,0))</f>
        <v>0</v>
      </c>
      <c r="G50" s="2308"/>
      <c r="H50" s="2308"/>
      <c r="I50" s="2308"/>
      <c r="J50" s="2308"/>
      <c r="K50" s="2304" t="str">
        <f ca="1">IF(U50=0,"0",TEXT(OFFSET('5  Control Accounts'!$FG$33,V50,0),"##0.0"))</f>
        <v>0</v>
      </c>
      <c r="L50" s="2314" t="str">
        <f ca="1">IF(U50=0,"0",TEXT(OFFSET('5  Control Accounts'!$FX$33,V50,0),"##0.00"))</f>
        <v>0</v>
      </c>
      <c r="M50" s="2304" t="str">
        <f ca="1">IF(U50=0,"0",'1 Setup'!$I$60)</f>
        <v>0</v>
      </c>
      <c r="N50" s="2308"/>
      <c r="O50" s="2308"/>
      <c r="P50" s="2304" t="str">
        <f ca="1">IF(U50=0,"0",TEXT(OFFSET('5  Control Accounts'!$FH$33,V50,0),"##0.0"))</f>
        <v>0</v>
      </c>
      <c r="Q50" s="2304" t="str">
        <f ca="1">IF(U50=0,"0",TEXT(OFFSET('5  Control Accounts'!$FY$33,V50,0),"##0.00"))</f>
        <v>0</v>
      </c>
      <c r="R50" s="2308"/>
      <c r="T50" s="2310"/>
      <c r="U50" s="2309">
        <f ca="1">$T$2*OFFSET('5  Control Accounts'!$BR$33,V50,0)</f>
        <v>0</v>
      </c>
      <c r="V50" s="2309">
        <v>43</v>
      </c>
      <c r="W50" s="1411">
        <f ca="1">IF(U50=0,0,OFFSET('5  Control Accounts'!$FD$33,V50,0))</f>
        <v>0</v>
      </c>
      <c r="X50" s="1411">
        <f ca="1">IF(U50=0,0,OFFSET('5  Control Accounts'!$FE$33,V50,0))</f>
        <v>0</v>
      </c>
      <c r="Y50" s="1406">
        <f t="shared" ca="1" si="1"/>
        <v>0</v>
      </c>
      <c r="Z50" s="1406">
        <f t="shared" ca="1" si="2"/>
        <v>0</v>
      </c>
    </row>
    <row r="51" spans="1:26" s="2295" customFormat="1" ht="15.9" customHeight="1" x14ac:dyDescent="0.3">
      <c r="A51" s="2304" t="str">
        <f ca="1">IF($U51=0,"0",'5  Control Accounts'!$EA$16)</f>
        <v>0</v>
      </c>
      <c r="B51" s="2304" t="str">
        <f ca="1">IF($U51=0,"0",'5  Control Accounts'!$EB$16&amp;"-"&amp;'4 Sign-off'!$S$123)</f>
        <v>0</v>
      </c>
      <c r="C51" s="2323" t="str">
        <f ca="1">IF(U51=0,"0",OFFSET('5  Control Accounts'!$BF$33,V51,0)&amp;"."&amp;OFFSET('5  Control Accounts'!$BH$33,V51,0))</f>
        <v>0</v>
      </c>
      <c r="D51" s="2304" t="str">
        <f t="shared" ca="1" si="6"/>
        <v>0</v>
      </c>
      <c r="E51" s="2304" t="str">
        <f t="shared" ca="1" si="7"/>
        <v>0</v>
      </c>
      <c r="F51" s="2304" t="str">
        <f ca="1">IF(U51=0,"0",OFFSET('5  Control Accounts'!$DW$33,V51,0))</f>
        <v>0</v>
      </c>
      <c r="G51" s="2308"/>
      <c r="H51" s="2308"/>
      <c r="I51" s="2308"/>
      <c r="J51" s="2308"/>
      <c r="K51" s="2304" t="str">
        <f ca="1">IF(U51=0,"0",TEXT(OFFSET('5  Control Accounts'!$FG$33,V51,0),"##0.0"))</f>
        <v>0</v>
      </c>
      <c r="L51" s="2314" t="str">
        <f ca="1">IF(U51=0,"0",TEXT(OFFSET('5  Control Accounts'!$FX$33,V51,0),"##0.00"))</f>
        <v>0</v>
      </c>
      <c r="M51" s="2304" t="str">
        <f ca="1">IF(U51=0,"0",'1 Setup'!$I$60)</f>
        <v>0</v>
      </c>
      <c r="N51" s="2308"/>
      <c r="O51" s="2308"/>
      <c r="P51" s="2304" t="str">
        <f ca="1">IF(U51=0,"0",TEXT(OFFSET('5  Control Accounts'!$FH$33,V51,0),"##0.0"))</f>
        <v>0</v>
      </c>
      <c r="Q51" s="2304" t="str">
        <f ca="1">IF(U51=0,"0",TEXT(OFFSET('5  Control Accounts'!$FY$33,V51,0),"##0.00"))</f>
        <v>0</v>
      </c>
      <c r="R51" s="2308"/>
      <c r="T51" s="2310"/>
      <c r="U51" s="2309">
        <f ca="1">$T$2*OFFSET('5  Control Accounts'!$BR$33,V51,0)</f>
        <v>0</v>
      </c>
      <c r="V51" s="2309">
        <v>44</v>
      </c>
      <c r="W51" s="1411">
        <f ca="1">IF(U51=0,0,OFFSET('5  Control Accounts'!$FD$33,V51,0))</f>
        <v>0</v>
      </c>
      <c r="X51" s="1411">
        <f ca="1">IF(U51=0,0,OFFSET('5  Control Accounts'!$FE$33,V51,0))</f>
        <v>0</v>
      </c>
      <c r="Y51" s="1406">
        <f t="shared" ca="1" si="1"/>
        <v>0</v>
      </c>
      <c r="Z51" s="1406">
        <f t="shared" ca="1" si="2"/>
        <v>0</v>
      </c>
    </row>
    <row r="52" spans="1:26" s="2295" customFormat="1" ht="15.9" customHeight="1" x14ac:dyDescent="0.3">
      <c r="A52" s="2304" t="str">
        <f ca="1">IF($U52=0,"0",'5  Control Accounts'!$EA$16)</f>
        <v>0</v>
      </c>
      <c r="B52" s="2304" t="str">
        <f ca="1">IF($U52=0,"0",'5  Control Accounts'!$EB$16&amp;"-"&amp;'4 Sign-off'!$S$123)</f>
        <v>0</v>
      </c>
      <c r="C52" s="2323" t="str">
        <f ca="1">IF(U52=0,"0",OFFSET('5  Control Accounts'!$BF$33,V52,0)&amp;"."&amp;OFFSET('5  Control Accounts'!$BH$33,V52,0))</f>
        <v>0</v>
      </c>
      <c r="D52" s="2304" t="str">
        <f t="shared" ca="1" si="6"/>
        <v>0</v>
      </c>
      <c r="E52" s="2304" t="str">
        <f t="shared" ca="1" si="7"/>
        <v>0</v>
      </c>
      <c r="F52" s="2304" t="str">
        <f ca="1">IF(U52=0,"0",OFFSET('5  Control Accounts'!$DW$33,V52,0))</f>
        <v>0</v>
      </c>
      <c r="G52" s="2308"/>
      <c r="H52" s="2308"/>
      <c r="I52" s="2308"/>
      <c r="J52" s="2308"/>
      <c r="K52" s="2304" t="str">
        <f ca="1">IF(U52=0,"0",TEXT(OFFSET('5  Control Accounts'!$FG$33,V52,0),"##0.0"))</f>
        <v>0</v>
      </c>
      <c r="L52" s="2314" t="str">
        <f ca="1">IF(U52=0,"0",TEXT(OFFSET('5  Control Accounts'!$FX$33,V52,0),"##0.00"))</f>
        <v>0</v>
      </c>
      <c r="M52" s="2304" t="str">
        <f ca="1">IF(U52=0,"0",'1 Setup'!$I$60)</f>
        <v>0</v>
      </c>
      <c r="N52" s="2308"/>
      <c r="O52" s="2308"/>
      <c r="P52" s="2304" t="str">
        <f ca="1">IF(U52=0,"0",TEXT(OFFSET('5  Control Accounts'!$FH$33,V52,0),"##0.0"))</f>
        <v>0</v>
      </c>
      <c r="Q52" s="2304" t="str">
        <f ca="1">IF(U52=0,"0",TEXT(OFFSET('5  Control Accounts'!$FY$33,V52,0),"##0.00"))</f>
        <v>0</v>
      </c>
      <c r="R52" s="2308"/>
      <c r="T52" s="2310"/>
      <c r="U52" s="2309">
        <f ca="1">$T$2*OFFSET('5  Control Accounts'!$BR$33,V52,0)</f>
        <v>0</v>
      </c>
      <c r="V52" s="2309">
        <v>45</v>
      </c>
      <c r="W52" s="1411">
        <f ca="1">IF(U52=0,0,OFFSET('5  Control Accounts'!$FD$33,V52,0))</f>
        <v>0</v>
      </c>
      <c r="X52" s="1411">
        <f ca="1">IF(U52=0,0,OFFSET('5  Control Accounts'!$FE$33,V52,0))</f>
        <v>0</v>
      </c>
      <c r="Y52" s="1406">
        <f t="shared" ca="1" si="1"/>
        <v>0</v>
      </c>
      <c r="Z52" s="1406">
        <f t="shared" ca="1" si="2"/>
        <v>0</v>
      </c>
    </row>
    <row r="53" spans="1:26" s="2295" customFormat="1" ht="15.9" customHeight="1" x14ac:dyDescent="0.3">
      <c r="A53" s="2304" t="str">
        <f ca="1">IF($U53=0,"0",'5  Control Accounts'!$EA$16)</f>
        <v>0</v>
      </c>
      <c r="B53" s="2304" t="str">
        <f ca="1">IF($U53=0,"0",'5  Control Accounts'!$EB$16&amp;"-"&amp;'4 Sign-off'!$S$123)</f>
        <v>0</v>
      </c>
      <c r="C53" s="2323" t="str">
        <f ca="1">IF(U53=0,"0",OFFSET('5  Control Accounts'!$BF$33,V53,0)&amp;"."&amp;OFFSET('5  Control Accounts'!$BH$33,V53,0))</f>
        <v>0</v>
      </c>
      <c r="D53" s="2304" t="str">
        <f t="shared" ca="1" si="6"/>
        <v>0</v>
      </c>
      <c r="E53" s="2304" t="str">
        <f t="shared" ca="1" si="7"/>
        <v>0</v>
      </c>
      <c r="F53" s="2304" t="str">
        <f ca="1">IF(U53=0,"0",OFFSET('5  Control Accounts'!$DW$33,V53,0))</f>
        <v>0</v>
      </c>
      <c r="G53" s="2308"/>
      <c r="H53" s="2308"/>
      <c r="I53" s="2308"/>
      <c r="J53" s="2308"/>
      <c r="K53" s="2304" t="str">
        <f ca="1">IF(U53=0,"0",TEXT(OFFSET('5  Control Accounts'!$FG$33,V53,0),"##0.0"))</f>
        <v>0</v>
      </c>
      <c r="L53" s="2314" t="str">
        <f ca="1">IF(U53=0,"0",TEXT(OFFSET('5  Control Accounts'!$FX$33,V53,0),"##0.00"))</f>
        <v>0</v>
      </c>
      <c r="M53" s="2304" t="str">
        <f ca="1">IF(U53=0,"0",'1 Setup'!$I$60)</f>
        <v>0</v>
      </c>
      <c r="N53" s="2308"/>
      <c r="O53" s="2308"/>
      <c r="P53" s="2304" t="str">
        <f ca="1">IF(U53=0,"0",TEXT(OFFSET('5  Control Accounts'!$FH$33,V53,0),"##0.0"))</f>
        <v>0</v>
      </c>
      <c r="Q53" s="2304" t="str">
        <f ca="1">IF(U53=0,"0",TEXT(OFFSET('5  Control Accounts'!$FY$33,V53,0),"##0.00"))</f>
        <v>0</v>
      </c>
      <c r="R53" s="2308"/>
      <c r="T53" s="2310"/>
      <c r="U53" s="2309">
        <f ca="1">$T$2*OFFSET('5  Control Accounts'!$BR$33,V53,0)</f>
        <v>0</v>
      </c>
      <c r="V53" s="2309">
        <v>46</v>
      </c>
      <c r="W53" s="1411">
        <f ca="1">IF(U53=0,0,OFFSET('5  Control Accounts'!$FD$33,V53,0))</f>
        <v>0</v>
      </c>
      <c r="X53" s="1411">
        <f ca="1">IF(U53=0,0,OFFSET('5  Control Accounts'!$FE$33,V53,0))</f>
        <v>0</v>
      </c>
      <c r="Y53" s="1406">
        <f t="shared" ca="1" si="1"/>
        <v>0</v>
      </c>
      <c r="Z53" s="1406">
        <f t="shared" ca="1" si="2"/>
        <v>0</v>
      </c>
    </row>
    <row r="54" spans="1:26" s="2295" customFormat="1" ht="15.9" customHeight="1" x14ac:dyDescent="0.3">
      <c r="A54" s="2304" t="str">
        <f ca="1">IF($U54=0,"0",'5  Control Accounts'!$EA$16)</f>
        <v>0</v>
      </c>
      <c r="B54" s="2304" t="str">
        <f ca="1">IF($U54=0,"0",'5  Control Accounts'!$EB$16&amp;"-"&amp;'4 Sign-off'!$S$123)</f>
        <v>0</v>
      </c>
      <c r="C54" s="2323" t="str">
        <f ca="1">IF(U54=0,"0",OFFSET('5  Control Accounts'!$BF$33,V54,0)&amp;"."&amp;OFFSET('5  Control Accounts'!$BH$33,V54,0))</f>
        <v>0</v>
      </c>
      <c r="D54" s="2304" t="str">
        <f t="shared" ca="1" si="6"/>
        <v>0</v>
      </c>
      <c r="E54" s="2304" t="str">
        <f t="shared" ca="1" si="7"/>
        <v>0</v>
      </c>
      <c r="F54" s="2304" t="str">
        <f ca="1">IF(U54=0,"0",OFFSET('5  Control Accounts'!$DW$33,V54,0))</f>
        <v>0</v>
      </c>
      <c r="G54" s="2308"/>
      <c r="H54" s="2308"/>
      <c r="I54" s="2308"/>
      <c r="J54" s="2308"/>
      <c r="K54" s="2304" t="str">
        <f ca="1">IF(U54=0,"0",TEXT(OFFSET('5  Control Accounts'!$FG$33,V54,0),"##0.0"))</f>
        <v>0</v>
      </c>
      <c r="L54" s="2314" t="str">
        <f ca="1">IF(U54=0,"0",TEXT(OFFSET('5  Control Accounts'!$FX$33,V54,0),"##0.00"))</f>
        <v>0</v>
      </c>
      <c r="M54" s="2304" t="str">
        <f ca="1">IF(U54=0,"0",'1 Setup'!$I$60)</f>
        <v>0</v>
      </c>
      <c r="N54" s="2308"/>
      <c r="O54" s="2308"/>
      <c r="P54" s="2304" t="str">
        <f ca="1">IF(U54=0,"0",TEXT(OFFSET('5  Control Accounts'!$FH$33,V54,0),"##0.0"))</f>
        <v>0</v>
      </c>
      <c r="Q54" s="2304" t="str">
        <f ca="1">IF(U54=0,"0",TEXT(OFFSET('5  Control Accounts'!$FY$33,V54,0),"##0.00"))</f>
        <v>0</v>
      </c>
      <c r="R54" s="2308"/>
      <c r="T54" s="2310"/>
      <c r="U54" s="2309">
        <f ca="1">$T$2*OFFSET('5  Control Accounts'!$BR$33,V54,0)</f>
        <v>0</v>
      </c>
      <c r="V54" s="2309">
        <v>47</v>
      </c>
      <c r="W54" s="1411">
        <f ca="1">IF(U54=0,0,OFFSET('5  Control Accounts'!$FD$33,V54,0))</f>
        <v>0</v>
      </c>
      <c r="X54" s="1411">
        <f ca="1">IF(U54=0,0,OFFSET('5  Control Accounts'!$FE$33,V54,0))</f>
        <v>0</v>
      </c>
      <c r="Y54" s="1406">
        <f t="shared" ca="1" si="1"/>
        <v>0</v>
      </c>
      <c r="Z54" s="1406">
        <f t="shared" ca="1" si="2"/>
        <v>0</v>
      </c>
    </row>
    <row r="55" spans="1:26" s="2295" customFormat="1" ht="15.9" customHeight="1" x14ac:dyDescent="0.3">
      <c r="A55" s="2304" t="str">
        <f ca="1">IF($U55=0,"0",'5  Control Accounts'!$EA$16)</f>
        <v>0</v>
      </c>
      <c r="B55" s="2304" t="str">
        <f ca="1">IF($U55=0,"0",'5  Control Accounts'!$EB$16&amp;"-"&amp;'4 Sign-off'!$S$123)</f>
        <v>0</v>
      </c>
      <c r="C55" s="2323" t="str">
        <f ca="1">IF(U55=0,"0",OFFSET('5  Control Accounts'!$BF$33,V55,0)&amp;"."&amp;OFFSET('5  Control Accounts'!$BH$33,V55,0))</f>
        <v>0</v>
      </c>
      <c r="D55" s="2304" t="str">
        <f t="shared" ca="1" si="6"/>
        <v>0</v>
      </c>
      <c r="E55" s="2304" t="str">
        <f t="shared" ca="1" si="7"/>
        <v>0</v>
      </c>
      <c r="F55" s="2304" t="str">
        <f ca="1">IF(U55=0,"0",OFFSET('5  Control Accounts'!$DW$33,V55,0))</f>
        <v>0</v>
      </c>
      <c r="G55" s="2308"/>
      <c r="H55" s="2308"/>
      <c r="I55" s="2308"/>
      <c r="J55" s="2308"/>
      <c r="K55" s="2304" t="str">
        <f ca="1">IF(U55=0,"0",TEXT(OFFSET('5  Control Accounts'!$FG$33,V55,0),"##0.0"))</f>
        <v>0</v>
      </c>
      <c r="L55" s="2314" t="str">
        <f ca="1">IF(U55=0,"0",TEXT(OFFSET('5  Control Accounts'!$FX$33,V55,0),"##0.00"))</f>
        <v>0</v>
      </c>
      <c r="M55" s="2304" t="str">
        <f ca="1">IF(U55=0,"0",'1 Setup'!$I$60)</f>
        <v>0</v>
      </c>
      <c r="N55" s="2308"/>
      <c r="O55" s="2308"/>
      <c r="P55" s="2304" t="str">
        <f ca="1">IF(U55=0,"0",TEXT(OFFSET('5  Control Accounts'!$FH$33,V55,0),"##0.0"))</f>
        <v>0</v>
      </c>
      <c r="Q55" s="2304" t="str">
        <f ca="1">IF(U55=0,"0",TEXT(OFFSET('5  Control Accounts'!$FY$33,V55,0),"##0.00"))</f>
        <v>0</v>
      </c>
      <c r="R55" s="2308"/>
      <c r="T55" s="2310"/>
      <c r="U55" s="2309">
        <f ca="1">$T$2*OFFSET('5  Control Accounts'!$BR$33,V55,0)</f>
        <v>0</v>
      </c>
      <c r="V55" s="2309">
        <v>48</v>
      </c>
      <c r="W55" s="1411">
        <f ca="1">IF(U55=0,0,OFFSET('5  Control Accounts'!$FD$33,V55,0))</f>
        <v>0</v>
      </c>
      <c r="X55" s="1411">
        <f ca="1">IF(U55=0,0,OFFSET('5  Control Accounts'!$FE$33,V55,0))</f>
        <v>0</v>
      </c>
      <c r="Y55" s="1406">
        <f t="shared" ca="1" si="1"/>
        <v>0</v>
      </c>
      <c r="Z55" s="1406">
        <f t="shared" ca="1" si="2"/>
        <v>0</v>
      </c>
    </row>
    <row r="56" spans="1:26" s="2295" customFormat="1" ht="15.9" customHeight="1" x14ac:dyDescent="0.3">
      <c r="A56" s="2304" t="str">
        <f ca="1">IF($U56=0,"0",'5  Control Accounts'!$EA$16)</f>
        <v>0</v>
      </c>
      <c r="B56" s="2304" t="str">
        <f ca="1">IF($U56=0,"0",'5  Control Accounts'!$EB$16&amp;"-"&amp;'4 Sign-off'!$S$123)</f>
        <v>0</v>
      </c>
      <c r="C56" s="2323" t="str">
        <f ca="1">IF(U56=0,"0",OFFSET('5  Control Accounts'!$BF$33,V56,0)&amp;"."&amp;OFFSET('5  Control Accounts'!$BH$33,V56,0))</f>
        <v>0</v>
      </c>
      <c r="D56" s="2304" t="str">
        <f t="shared" ca="1" si="6"/>
        <v>0</v>
      </c>
      <c r="E56" s="2304" t="str">
        <f t="shared" ca="1" si="7"/>
        <v>0</v>
      </c>
      <c r="F56" s="2304" t="str">
        <f ca="1">IF(U56=0,"0",OFFSET('5  Control Accounts'!$DW$33,V56,0))</f>
        <v>0</v>
      </c>
      <c r="G56" s="2308"/>
      <c r="H56" s="2308"/>
      <c r="I56" s="2308"/>
      <c r="J56" s="2308"/>
      <c r="K56" s="2304" t="str">
        <f ca="1">IF(U56=0,"0",TEXT(OFFSET('5  Control Accounts'!$FG$33,V56,0),"##0.0"))</f>
        <v>0</v>
      </c>
      <c r="L56" s="2314" t="str">
        <f ca="1">IF(U56=0,"0",TEXT(OFFSET('5  Control Accounts'!$FX$33,V56,0),"##0.00"))</f>
        <v>0</v>
      </c>
      <c r="M56" s="2304" t="str">
        <f ca="1">IF(U56=0,"0",'1 Setup'!$I$60)</f>
        <v>0</v>
      </c>
      <c r="N56" s="2308"/>
      <c r="O56" s="2308"/>
      <c r="P56" s="2304" t="str">
        <f ca="1">IF(U56=0,"0",TEXT(OFFSET('5  Control Accounts'!$FH$33,V56,0),"##0.0"))</f>
        <v>0</v>
      </c>
      <c r="Q56" s="2304" t="str">
        <f ca="1">IF(U56=0,"0",TEXT(OFFSET('5  Control Accounts'!$FY$33,V56,0),"##0.00"))</f>
        <v>0</v>
      </c>
      <c r="R56" s="2308"/>
      <c r="T56" s="2310"/>
      <c r="U56" s="2309">
        <f ca="1">$T$2*OFFSET('5  Control Accounts'!$BR$33,V56,0)</f>
        <v>0</v>
      </c>
      <c r="V56" s="2309">
        <v>49</v>
      </c>
      <c r="W56" s="1411">
        <f ca="1">IF(U56=0,0,OFFSET('5  Control Accounts'!$FD$33,V56,0))</f>
        <v>0</v>
      </c>
      <c r="X56" s="1411">
        <f ca="1">IF(U56=0,0,OFFSET('5  Control Accounts'!$FE$33,V56,0))</f>
        <v>0</v>
      </c>
      <c r="Y56" s="1406">
        <f t="shared" ca="1" si="1"/>
        <v>0</v>
      </c>
      <c r="Z56" s="1406">
        <f t="shared" ca="1" si="2"/>
        <v>0</v>
      </c>
    </row>
    <row r="57" spans="1:26" s="2295" customFormat="1" ht="15.9" customHeight="1" x14ac:dyDescent="0.3">
      <c r="A57" s="2304" t="str">
        <f ca="1">IF($U57=0,"0",'5  Control Accounts'!$EA$16)</f>
        <v>0</v>
      </c>
      <c r="B57" s="2304" t="str">
        <f ca="1">IF($U57=0,"0",'5  Control Accounts'!$EB$16&amp;"-"&amp;'4 Sign-off'!$S$123)</f>
        <v>0</v>
      </c>
      <c r="C57" s="2323" t="str">
        <f ca="1">IF(U57=0,"0",OFFSET('5  Control Accounts'!$BF$33,V57,0)&amp;"."&amp;OFFSET('5  Control Accounts'!$BH$33,V57,0))</f>
        <v>0</v>
      </c>
      <c r="D57" s="2304" t="str">
        <f t="shared" ca="1" si="6"/>
        <v>0</v>
      </c>
      <c r="E57" s="2304" t="str">
        <f t="shared" ca="1" si="7"/>
        <v>0</v>
      </c>
      <c r="F57" s="2304" t="str">
        <f ca="1">IF(U57=0,"0",OFFSET('5  Control Accounts'!$DW$33,V57,0))</f>
        <v>0</v>
      </c>
      <c r="G57" s="2308"/>
      <c r="H57" s="2308"/>
      <c r="I57" s="2308"/>
      <c r="J57" s="2308"/>
      <c r="K57" s="2304" t="str">
        <f ca="1">IF(U57=0,"0",TEXT(OFFSET('5  Control Accounts'!$FG$33,V57,0),"##0.0"))</f>
        <v>0</v>
      </c>
      <c r="L57" s="2314" t="str">
        <f ca="1">IF(U57=0,"0",TEXT(OFFSET('5  Control Accounts'!$FX$33,V57,0),"##0.00"))</f>
        <v>0</v>
      </c>
      <c r="M57" s="2304" t="str">
        <f ca="1">IF(U57=0,"0",'1 Setup'!$I$60)</f>
        <v>0</v>
      </c>
      <c r="N57" s="2308"/>
      <c r="O57" s="2308"/>
      <c r="P57" s="2304" t="str">
        <f ca="1">IF(U57=0,"0",TEXT(OFFSET('5  Control Accounts'!$FH$33,V57,0),"##0.0"))</f>
        <v>0</v>
      </c>
      <c r="Q57" s="2304" t="str">
        <f ca="1">IF(U57=0,"0",TEXT(OFFSET('5  Control Accounts'!$FY$33,V57,0),"##0.00"))</f>
        <v>0</v>
      </c>
      <c r="R57" s="2308"/>
      <c r="T57" s="2310"/>
      <c r="U57" s="2309">
        <f ca="1">$T$2*OFFSET('5  Control Accounts'!$BR$33,V57,0)</f>
        <v>0</v>
      </c>
      <c r="V57" s="2309">
        <v>50</v>
      </c>
      <c r="W57" s="1411">
        <f ca="1">IF(U57=0,0,OFFSET('5  Control Accounts'!$FD$33,V57,0))</f>
        <v>0</v>
      </c>
      <c r="X57" s="1411">
        <f ca="1">IF(U57=0,0,OFFSET('5  Control Accounts'!$FE$33,V57,0))</f>
        <v>0</v>
      </c>
      <c r="Y57" s="1406">
        <f t="shared" ca="1" si="1"/>
        <v>0</v>
      </c>
      <c r="Z57" s="1406">
        <f t="shared" ca="1" si="2"/>
        <v>0</v>
      </c>
    </row>
    <row r="58" spans="1:26" s="2295" customFormat="1" ht="15.9" customHeight="1" x14ac:dyDescent="0.3">
      <c r="A58" s="2304" t="str">
        <f ca="1">IF($U58=0,"0",'5  Control Accounts'!$EA$16)</f>
        <v>0</v>
      </c>
      <c r="B58" s="2304" t="str">
        <f ca="1">IF($U58=0,"0",'5  Control Accounts'!$EB$16&amp;"-"&amp;'4 Sign-off'!$S$123)</f>
        <v>0</v>
      </c>
      <c r="C58" s="2323" t="str">
        <f ca="1">IF(U58=0,"0",OFFSET('5  Control Accounts'!$BF$33,V58,0)&amp;"."&amp;OFFSET('5  Control Accounts'!$BH$33,V58,0))</f>
        <v>0</v>
      </c>
      <c r="D58" s="2304" t="str">
        <f t="shared" ca="1" si="6"/>
        <v>0</v>
      </c>
      <c r="E58" s="2304" t="str">
        <f t="shared" ca="1" si="7"/>
        <v>0</v>
      </c>
      <c r="F58" s="2304" t="str">
        <f ca="1">IF(U58=0,"0",OFFSET('5  Control Accounts'!$DW$33,V58,0))</f>
        <v>0</v>
      </c>
      <c r="G58" s="2308"/>
      <c r="H58" s="2308"/>
      <c r="I58" s="2308"/>
      <c r="J58" s="2308"/>
      <c r="K58" s="2304" t="str">
        <f ca="1">IF(U58=0,"0",TEXT(OFFSET('5  Control Accounts'!$FG$33,V58,0),"##0.0"))</f>
        <v>0</v>
      </c>
      <c r="L58" s="2314" t="str">
        <f ca="1">IF(U58=0,"0",TEXT(OFFSET('5  Control Accounts'!$FX$33,V58,0),"##0.00"))</f>
        <v>0</v>
      </c>
      <c r="M58" s="2304" t="str">
        <f ca="1">IF(U58=0,"0",'1 Setup'!$I$60)</f>
        <v>0</v>
      </c>
      <c r="N58" s="2308"/>
      <c r="O58" s="2308"/>
      <c r="P58" s="2304" t="str">
        <f ca="1">IF(U58=0,"0",TEXT(OFFSET('5  Control Accounts'!$FH$33,V58,0),"##0.0"))</f>
        <v>0</v>
      </c>
      <c r="Q58" s="2304" t="str">
        <f ca="1">IF(U58=0,"0",TEXT(OFFSET('5  Control Accounts'!$FY$33,V58,0),"##0.00"))</f>
        <v>0</v>
      </c>
      <c r="R58" s="2308"/>
      <c r="T58" s="2310"/>
      <c r="U58" s="2309">
        <f ca="1">$T$2*OFFSET('5  Control Accounts'!$BR$33,V58,0)</f>
        <v>0</v>
      </c>
      <c r="V58" s="2309">
        <v>51</v>
      </c>
      <c r="W58" s="1411">
        <f ca="1">IF(U58=0,0,OFFSET('5  Control Accounts'!$FD$33,V58,0))</f>
        <v>0</v>
      </c>
      <c r="X58" s="1411">
        <f ca="1">IF(U58=0,0,OFFSET('5  Control Accounts'!$FE$33,V58,0))</f>
        <v>0</v>
      </c>
      <c r="Y58" s="1406">
        <f t="shared" ca="1" si="1"/>
        <v>0</v>
      </c>
      <c r="Z58" s="1406">
        <f t="shared" ca="1" si="2"/>
        <v>0</v>
      </c>
    </row>
    <row r="59" spans="1:26" s="2295" customFormat="1" ht="15.9" customHeight="1" x14ac:dyDescent="0.3">
      <c r="A59" s="2304" t="str">
        <f ca="1">IF($U59=0,"0",'5  Control Accounts'!$EA$16)</f>
        <v>0</v>
      </c>
      <c r="B59" s="2304" t="str">
        <f ca="1">IF($U59=0,"0",'5  Control Accounts'!$EB$16&amp;"-"&amp;'4 Sign-off'!$S$123)</f>
        <v>0</v>
      </c>
      <c r="C59" s="2323" t="str">
        <f ca="1">IF(U59=0,"0",OFFSET('5  Control Accounts'!$BF$33,V59,0)&amp;"."&amp;OFFSET('5  Control Accounts'!$BH$33,V59,0))</f>
        <v>0</v>
      </c>
      <c r="D59" s="2304" t="str">
        <f t="shared" ca="1" si="6"/>
        <v>0</v>
      </c>
      <c r="E59" s="2304" t="str">
        <f t="shared" ca="1" si="7"/>
        <v>0</v>
      </c>
      <c r="F59" s="2304" t="str">
        <f ca="1">IF(U59=0,"0",OFFSET('5  Control Accounts'!$DW$33,V59,0))</f>
        <v>0</v>
      </c>
      <c r="G59" s="2308"/>
      <c r="H59" s="2308"/>
      <c r="I59" s="2308"/>
      <c r="J59" s="2308"/>
      <c r="K59" s="2304" t="str">
        <f ca="1">IF(U59=0,"0",TEXT(OFFSET('5  Control Accounts'!$FG$33,V59,0),"##0.0"))</f>
        <v>0</v>
      </c>
      <c r="L59" s="2314" t="str">
        <f ca="1">IF(U59=0,"0",TEXT(OFFSET('5  Control Accounts'!$FX$33,V59,0),"##0.00"))</f>
        <v>0</v>
      </c>
      <c r="M59" s="2304" t="str">
        <f ca="1">IF(U59=0,"0",'1 Setup'!$I$60)</f>
        <v>0</v>
      </c>
      <c r="N59" s="2308"/>
      <c r="O59" s="2308"/>
      <c r="P59" s="2304" t="str">
        <f ca="1">IF(U59=0,"0",TEXT(OFFSET('5  Control Accounts'!$FH$33,V59,0),"##0.0"))</f>
        <v>0</v>
      </c>
      <c r="Q59" s="2304" t="str">
        <f ca="1">IF(U59=0,"0",TEXT(OFFSET('5  Control Accounts'!$FY$33,V59,0),"##0.00"))</f>
        <v>0</v>
      </c>
      <c r="R59" s="2308"/>
      <c r="T59" s="2310"/>
      <c r="U59" s="2309">
        <f ca="1">$T$2*OFFSET('5  Control Accounts'!$BR$33,V59,0)</f>
        <v>0</v>
      </c>
      <c r="V59" s="2309">
        <v>52</v>
      </c>
      <c r="W59" s="1411">
        <f ca="1">IF(U59=0,0,OFFSET('5  Control Accounts'!$FD$33,V59,0))</f>
        <v>0</v>
      </c>
      <c r="X59" s="1411">
        <f ca="1">IF(U59=0,0,OFFSET('5  Control Accounts'!$FE$33,V59,0))</f>
        <v>0</v>
      </c>
      <c r="Y59" s="1406">
        <f t="shared" ca="1" si="1"/>
        <v>0</v>
      </c>
      <c r="Z59" s="1406">
        <f t="shared" ca="1" si="2"/>
        <v>0</v>
      </c>
    </row>
    <row r="60" spans="1:26" s="2295" customFormat="1" ht="15.9" customHeight="1" x14ac:dyDescent="0.3">
      <c r="A60" s="2304" t="str">
        <f ca="1">IF($U60=0,"0",'5  Control Accounts'!$EA$16)</f>
        <v>0</v>
      </c>
      <c r="B60" s="2304" t="str">
        <f ca="1">IF($U60=0,"0",'5  Control Accounts'!$EB$16&amp;"-"&amp;'4 Sign-off'!$S$123)</f>
        <v>0</v>
      </c>
      <c r="C60" s="2323" t="str">
        <f ca="1">IF(U60=0,"0",OFFSET('5  Control Accounts'!$BF$33,V60,0)&amp;"."&amp;OFFSET('5  Control Accounts'!$BH$33,V60,0))</f>
        <v>0</v>
      </c>
      <c r="D60" s="2304" t="str">
        <f t="shared" ca="1" si="6"/>
        <v>0</v>
      </c>
      <c r="E60" s="2304" t="str">
        <f t="shared" ca="1" si="7"/>
        <v>0</v>
      </c>
      <c r="F60" s="2304" t="str">
        <f ca="1">IF(U60=0,"0",OFFSET('5  Control Accounts'!$DW$33,V60,0))</f>
        <v>0</v>
      </c>
      <c r="G60" s="2308"/>
      <c r="H60" s="2308"/>
      <c r="I60" s="2308"/>
      <c r="J60" s="2308"/>
      <c r="K60" s="2304" t="str">
        <f ca="1">IF(U60=0,"0",TEXT(OFFSET('5  Control Accounts'!$FG$33,V60,0),"##0.0"))</f>
        <v>0</v>
      </c>
      <c r="L60" s="2314" t="str">
        <f ca="1">IF(U60=0,"0",TEXT(OFFSET('5  Control Accounts'!$FX$33,V60,0),"##0.00"))</f>
        <v>0</v>
      </c>
      <c r="M60" s="2304" t="str">
        <f ca="1">IF(U60=0,"0",'1 Setup'!$I$60)</f>
        <v>0</v>
      </c>
      <c r="N60" s="2308"/>
      <c r="O60" s="2308"/>
      <c r="P60" s="2304" t="str">
        <f ca="1">IF(U60=0,"0",TEXT(OFFSET('5  Control Accounts'!$FH$33,V60,0),"##0.0"))</f>
        <v>0</v>
      </c>
      <c r="Q60" s="2304" t="str">
        <f ca="1">IF(U60=0,"0",TEXT(OFFSET('5  Control Accounts'!$FY$33,V60,0),"##0.00"))</f>
        <v>0</v>
      </c>
      <c r="R60" s="2308"/>
      <c r="T60" s="2310"/>
      <c r="U60" s="2309">
        <f ca="1">$T$2*OFFSET('5  Control Accounts'!$BR$33,V60,0)</f>
        <v>0</v>
      </c>
      <c r="V60" s="2309">
        <v>53</v>
      </c>
      <c r="W60" s="1411">
        <f ca="1">IF(U60=0,0,OFFSET('5  Control Accounts'!$FD$33,V60,0))</f>
        <v>0</v>
      </c>
      <c r="X60" s="1411">
        <f ca="1">IF(U60=0,0,OFFSET('5  Control Accounts'!$FE$33,V60,0))</f>
        <v>0</v>
      </c>
      <c r="Y60" s="1406">
        <f t="shared" ca="1" si="1"/>
        <v>0</v>
      </c>
      <c r="Z60" s="1406">
        <f t="shared" ca="1" si="2"/>
        <v>0</v>
      </c>
    </row>
    <row r="61" spans="1:26" s="2295" customFormat="1" ht="15.9" customHeight="1" x14ac:dyDescent="0.3">
      <c r="A61" s="2304" t="str">
        <f ca="1">IF($U61=0,"0",'5  Control Accounts'!$EA$16)</f>
        <v>0</v>
      </c>
      <c r="B61" s="2304" t="str">
        <f ca="1">IF($U61=0,"0",'5  Control Accounts'!$EB$16&amp;"-"&amp;'4 Sign-off'!$S$123)</f>
        <v>0</v>
      </c>
      <c r="C61" s="2323" t="str">
        <f ca="1">IF(U61=0,"0",OFFSET('5  Control Accounts'!$BF$33,V61,0)&amp;"."&amp;OFFSET('5  Control Accounts'!$BH$33,V61,0))</f>
        <v>0</v>
      </c>
      <c r="D61" s="2304" t="str">
        <f t="shared" ca="1" si="6"/>
        <v>0</v>
      </c>
      <c r="E61" s="2304" t="str">
        <f t="shared" ca="1" si="7"/>
        <v>0</v>
      </c>
      <c r="F61" s="2304" t="str">
        <f ca="1">IF(U61=0,"0",OFFSET('5  Control Accounts'!$DW$33,V61,0))</f>
        <v>0</v>
      </c>
      <c r="G61" s="2308"/>
      <c r="H61" s="2308"/>
      <c r="I61" s="2308"/>
      <c r="J61" s="2308"/>
      <c r="K61" s="2304" t="str">
        <f ca="1">IF(U61=0,"0",TEXT(OFFSET('5  Control Accounts'!$FG$33,V61,0),"##0.0"))</f>
        <v>0</v>
      </c>
      <c r="L61" s="2314" t="str">
        <f ca="1">IF(U61=0,"0",TEXT(OFFSET('5  Control Accounts'!$FX$33,V61,0),"##0.00"))</f>
        <v>0</v>
      </c>
      <c r="M61" s="2304" t="str">
        <f ca="1">IF(U61=0,"0",'1 Setup'!$I$60)</f>
        <v>0</v>
      </c>
      <c r="N61" s="2308"/>
      <c r="O61" s="2308"/>
      <c r="P61" s="2304" t="str">
        <f ca="1">IF(U61=0,"0",TEXT(OFFSET('5  Control Accounts'!$FH$33,V61,0),"##0.0"))</f>
        <v>0</v>
      </c>
      <c r="Q61" s="2304" t="str">
        <f ca="1">IF(U61=0,"0",TEXT(OFFSET('5  Control Accounts'!$FY$33,V61,0),"##0.00"))</f>
        <v>0</v>
      </c>
      <c r="R61" s="2308"/>
      <c r="T61" s="2310"/>
      <c r="U61" s="2309">
        <f ca="1">$T$2*OFFSET('5  Control Accounts'!$BR$33,V61,0)</f>
        <v>0</v>
      </c>
      <c r="V61" s="2309">
        <v>54</v>
      </c>
      <c r="W61" s="1411">
        <f ca="1">IF(U61=0,0,OFFSET('5  Control Accounts'!$FD$33,V61,0))</f>
        <v>0</v>
      </c>
      <c r="X61" s="1411">
        <f ca="1">IF(U61=0,0,OFFSET('5  Control Accounts'!$FE$33,V61,0))</f>
        <v>0</v>
      </c>
      <c r="Y61" s="1406">
        <f t="shared" ca="1" si="1"/>
        <v>0</v>
      </c>
      <c r="Z61" s="1406">
        <f t="shared" ca="1" si="2"/>
        <v>0</v>
      </c>
    </row>
    <row r="62" spans="1:26" s="2295" customFormat="1" ht="15.9" customHeight="1" x14ac:dyDescent="0.3">
      <c r="A62" s="2304" t="str">
        <f ca="1">IF($U62=0,"0",'5  Control Accounts'!$EA$16)</f>
        <v>0</v>
      </c>
      <c r="B62" s="2304" t="str">
        <f ca="1">IF($U62=0,"0",'5  Control Accounts'!$EB$16&amp;"-"&amp;'4 Sign-off'!$S$123)</f>
        <v>0</v>
      </c>
      <c r="C62" s="2323" t="str">
        <f ca="1">IF(U62=0,"0",OFFSET('5  Control Accounts'!$BF$33,V62,0)&amp;"."&amp;OFFSET('5  Control Accounts'!$BH$33,V62,0))</f>
        <v>0</v>
      </c>
      <c r="D62" s="2304" t="str">
        <f t="shared" ca="1" si="6"/>
        <v>0</v>
      </c>
      <c r="E62" s="2304" t="str">
        <f t="shared" ca="1" si="7"/>
        <v>0</v>
      </c>
      <c r="F62" s="2304" t="str">
        <f ca="1">IF(U62=0,"0",OFFSET('5  Control Accounts'!$DW$33,V62,0))</f>
        <v>0</v>
      </c>
      <c r="G62" s="2308"/>
      <c r="H62" s="2308"/>
      <c r="I62" s="2308"/>
      <c r="J62" s="2308"/>
      <c r="K62" s="2304" t="str">
        <f ca="1">IF(U62=0,"0",TEXT(OFFSET('5  Control Accounts'!$FG$33,V62,0),"##0.0"))</f>
        <v>0</v>
      </c>
      <c r="L62" s="2314" t="str">
        <f ca="1">IF(U62=0,"0",TEXT(OFFSET('5  Control Accounts'!$FX$33,V62,0),"##0.00"))</f>
        <v>0</v>
      </c>
      <c r="M62" s="2304" t="str">
        <f ca="1">IF(U62=0,"0",'1 Setup'!$I$60)</f>
        <v>0</v>
      </c>
      <c r="N62" s="2308"/>
      <c r="O62" s="2308"/>
      <c r="P62" s="2304" t="str">
        <f ca="1">IF(U62=0,"0",TEXT(OFFSET('5  Control Accounts'!$FH$33,V62,0),"##0.0"))</f>
        <v>0</v>
      </c>
      <c r="Q62" s="2304" t="str">
        <f ca="1">IF(U62=0,"0",TEXT(OFFSET('5  Control Accounts'!$FY$33,V62,0),"##0.00"))</f>
        <v>0</v>
      </c>
      <c r="R62" s="2308"/>
      <c r="T62" s="2310"/>
      <c r="U62" s="2309">
        <f ca="1">$T$2*OFFSET('5  Control Accounts'!$BR$33,V62,0)</f>
        <v>0</v>
      </c>
      <c r="V62" s="2309">
        <v>55</v>
      </c>
      <c r="W62" s="1411">
        <f ca="1">IF(U62=0,0,OFFSET('5  Control Accounts'!$FD$33,V62,0))</f>
        <v>0</v>
      </c>
      <c r="X62" s="1411">
        <f ca="1">IF(U62=0,0,OFFSET('5  Control Accounts'!$FE$33,V62,0))</f>
        <v>0</v>
      </c>
      <c r="Y62" s="1406">
        <f t="shared" ca="1" si="1"/>
        <v>0</v>
      </c>
      <c r="Z62" s="1406">
        <f t="shared" ca="1" si="2"/>
        <v>0</v>
      </c>
    </row>
    <row r="63" spans="1:26" s="2295" customFormat="1" ht="15.9" customHeight="1" x14ac:dyDescent="0.3">
      <c r="A63" s="2304" t="str">
        <f ca="1">IF($U63=0,"0",'5  Control Accounts'!$EA$16)</f>
        <v>0</v>
      </c>
      <c r="B63" s="2304" t="str">
        <f ca="1">IF($U63=0,"0",'5  Control Accounts'!$EB$16&amp;"-"&amp;'4 Sign-off'!$S$123)</f>
        <v>0</v>
      </c>
      <c r="C63" s="2323" t="str">
        <f ca="1">IF(U63=0,"0",OFFSET('5  Control Accounts'!$BF$33,V63,0)&amp;"."&amp;OFFSET('5  Control Accounts'!$BH$33,V63,0))</f>
        <v>0</v>
      </c>
      <c r="D63" s="2304" t="str">
        <f t="shared" ca="1" si="6"/>
        <v>0</v>
      </c>
      <c r="E63" s="2304" t="str">
        <f t="shared" ca="1" si="7"/>
        <v>0</v>
      </c>
      <c r="F63" s="2304" t="str">
        <f ca="1">IF(U63=0,"0",OFFSET('5  Control Accounts'!$DW$33,V63,0))</f>
        <v>0</v>
      </c>
      <c r="G63" s="2308"/>
      <c r="H63" s="2308"/>
      <c r="I63" s="2308"/>
      <c r="J63" s="2308"/>
      <c r="K63" s="2304" t="str">
        <f ca="1">IF(U63=0,"0",TEXT(OFFSET('5  Control Accounts'!$FG$33,V63,0),"##0.0"))</f>
        <v>0</v>
      </c>
      <c r="L63" s="2314" t="str">
        <f ca="1">IF(U63=0,"0",TEXT(OFFSET('5  Control Accounts'!$FX$33,V63,0),"##0.00"))</f>
        <v>0</v>
      </c>
      <c r="M63" s="2304" t="str">
        <f ca="1">IF(U63=0,"0",'1 Setup'!$I$60)</f>
        <v>0</v>
      </c>
      <c r="N63" s="2308"/>
      <c r="O63" s="2308"/>
      <c r="P63" s="2304" t="str">
        <f ca="1">IF(U63=0,"0",TEXT(OFFSET('5  Control Accounts'!$FH$33,V63,0),"##0.0"))</f>
        <v>0</v>
      </c>
      <c r="Q63" s="2304" t="str">
        <f ca="1">IF(U63=0,"0",TEXT(OFFSET('5  Control Accounts'!$FY$33,V63,0),"##0.00"))</f>
        <v>0</v>
      </c>
      <c r="R63" s="2308"/>
      <c r="T63" s="2310"/>
      <c r="U63" s="2309">
        <f ca="1">$T$2*OFFSET('5  Control Accounts'!$BR$33,V63,0)</f>
        <v>0</v>
      </c>
      <c r="V63" s="2309">
        <v>56</v>
      </c>
      <c r="W63" s="1411">
        <f ca="1">IF(U63=0,0,OFFSET('5  Control Accounts'!$FD$33,V63,0))</f>
        <v>0</v>
      </c>
      <c r="X63" s="1411">
        <f ca="1">IF(U63=0,0,OFFSET('5  Control Accounts'!$FE$33,V63,0))</f>
        <v>0</v>
      </c>
      <c r="Y63" s="1406">
        <f t="shared" ca="1" si="1"/>
        <v>0</v>
      </c>
      <c r="Z63" s="1406">
        <f t="shared" ca="1" si="2"/>
        <v>0</v>
      </c>
    </row>
    <row r="64" spans="1:26" s="2295" customFormat="1" ht="15.9" customHeight="1" x14ac:dyDescent="0.3">
      <c r="A64" s="2304" t="str">
        <f ca="1">IF($U64=0,"0",'5  Control Accounts'!$EA$16)</f>
        <v>0</v>
      </c>
      <c r="B64" s="2304" t="str">
        <f ca="1">IF($U64=0,"0",'5  Control Accounts'!$EB$16&amp;"-"&amp;'4 Sign-off'!$S$123)</f>
        <v>0</v>
      </c>
      <c r="C64" s="2323" t="str">
        <f ca="1">IF(U64=0,"0",OFFSET('5  Control Accounts'!$BF$33,V64,0)&amp;"."&amp;OFFSET('5  Control Accounts'!$BH$33,V64,0))</f>
        <v>0</v>
      </c>
      <c r="D64" s="2304" t="str">
        <f t="shared" ca="1" si="6"/>
        <v>0</v>
      </c>
      <c r="E64" s="2304" t="str">
        <f t="shared" ca="1" si="7"/>
        <v>0</v>
      </c>
      <c r="F64" s="2304" t="str">
        <f ca="1">IF(U64=0,"0",OFFSET('5  Control Accounts'!$DW$33,V64,0))</f>
        <v>0</v>
      </c>
      <c r="G64" s="2308"/>
      <c r="H64" s="2308"/>
      <c r="I64" s="2308"/>
      <c r="J64" s="2308"/>
      <c r="K64" s="2304" t="str">
        <f ca="1">IF(U64=0,"0",TEXT(OFFSET('5  Control Accounts'!$FG$33,V64,0),"##0.0"))</f>
        <v>0</v>
      </c>
      <c r="L64" s="2314" t="str">
        <f ca="1">IF(U64=0,"0",TEXT(OFFSET('5  Control Accounts'!$FX$33,V64,0),"##0.00"))</f>
        <v>0</v>
      </c>
      <c r="M64" s="2304" t="str">
        <f ca="1">IF(U64=0,"0",'1 Setup'!$I$60)</f>
        <v>0</v>
      </c>
      <c r="N64" s="2308"/>
      <c r="O64" s="2308"/>
      <c r="P64" s="2304" t="str">
        <f ca="1">IF(U64=0,"0",TEXT(OFFSET('5  Control Accounts'!$FH$33,V64,0),"##0.0"))</f>
        <v>0</v>
      </c>
      <c r="Q64" s="2304" t="str">
        <f ca="1">IF(U64=0,"0",TEXT(OFFSET('5  Control Accounts'!$FY$33,V64,0),"##0.00"))</f>
        <v>0</v>
      </c>
      <c r="R64" s="2308"/>
      <c r="T64" s="2310"/>
      <c r="U64" s="2309">
        <f ca="1">$T$2*OFFSET('5  Control Accounts'!$BR$33,V64,0)</f>
        <v>0</v>
      </c>
      <c r="V64" s="2309">
        <v>57</v>
      </c>
      <c r="W64" s="1411">
        <f ca="1">IF(U64=0,0,OFFSET('5  Control Accounts'!$FD$33,V64,0))</f>
        <v>0</v>
      </c>
      <c r="X64" s="1411">
        <f ca="1">IF(U64=0,0,OFFSET('5  Control Accounts'!$FE$33,V64,0))</f>
        <v>0</v>
      </c>
      <c r="Y64" s="1406">
        <f t="shared" ca="1" si="1"/>
        <v>0</v>
      </c>
      <c r="Z64" s="1406">
        <f t="shared" ca="1" si="2"/>
        <v>0</v>
      </c>
    </row>
    <row r="65" spans="1:26" s="2295" customFormat="1" ht="15.9" customHeight="1" x14ac:dyDescent="0.3">
      <c r="A65" s="2304" t="str">
        <f ca="1">IF($U65=0,"0",'5  Control Accounts'!$EA$16)</f>
        <v>0</v>
      </c>
      <c r="B65" s="2304" t="str">
        <f ca="1">IF($U65=0,"0",'5  Control Accounts'!$EB$16&amp;"-"&amp;'4 Sign-off'!$S$123)</f>
        <v>0</v>
      </c>
      <c r="C65" s="2323" t="str">
        <f ca="1">IF(U65=0,"0",OFFSET('5  Control Accounts'!$BF$33,V65,0)&amp;"."&amp;OFFSET('5  Control Accounts'!$BH$33,V65,0))</f>
        <v>0</v>
      </c>
      <c r="D65" s="2304" t="str">
        <f t="shared" ca="1" si="6"/>
        <v>0</v>
      </c>
      <c r="E65" s="2304" t="str">
        <f t="shared" ca="1" si="7"/>
        <v>0</v>
      </c>
      <c r="F65" s="2304" t="str">
        <f ca="1">IF(U65=0,"0",OFFSET('5  Control Accounts'!$DW$33,V65,0))</f>
        <v>0</v>
      </c>
      <c r="G65" s="2308"/>
      <c r="H65" s="2308"/>
      <c r="I65" s="2308"/>
      <c r="J65" s="2308"/>
      <c r="K65" s="2304" t="str">
        <f ca="1">IF(U65=0,"0",TEXT(OFFSET('5  Control Accounts'!$FG$33,V65,0),"##0.0"))</f>
        <v>0</v>
      </c>
      <c r="L65" s="2314" t="str">
        <f ca="1">IF(U65=0,"0",TEXT(OFFSET('5  Control Accounts'!$FX$33,V65,0),"##0.00"))</f>
        <v>0</v>
      </c>
      <c r="M65" s="2304" t="str">
        <f ca="1">IF(U65=0,"0",'1 Setup'!$I$60)</f>
        <v>0</v>
      </c>
      <c r="N65" s="2308"/>
      <c r="O65" s="2308"/>
      <c r="P65" s="2304" t="str">
        <f ca="1">IF(U65=0,"0",TEXT(OFFSET('5  Control Accounts'!$FH$33,V65,0),"##0.0"))</f>
        <v>0</v>
      </c>
      <c r="Q65" s="2304" t="str">
        <f ca="1">IF(U65=0,"0",TEXT(OFFSET('5  Control Accounts'!$FY$33,V65,0),"##0.00"))</f>
        <v>0</v>
      </c>
      <c r="R65" s="2308"/>
      <c r="T65" s="2310"/>
      <c r="U65" s="2309">
        <f ca="1">$T$2*OFFSET('5  Control Accounts'!$BR$33,V65,0)</f>
        <v>0</v>
      </c>
      <c r="V65" s="2309">
        <v>58</v>
      </c>
      <c r="W65" s="1411">
        <f ca="1">IF(U65=0,0,OFFSET('5  Control Accounts'!$FD$33,V65,0))</f>
        <v>0</v>
      </c>
      <c r="X65" s="1411">
        <f ca="1">IF(U65=0,0,OFFSET('5  Control Accounts'!$FE$33,V65,0))</f>
        <v>0</v>
      </c>
      <c r="Y65" s="1406">
        <f t="shared" ca="1" si="1"/>
        <v>0</v>
      </c>
      <c r="Z65" s="1406">
        <f t="shared" ca="1" si="2"/>
        <v>0</v>
      </c>
    </row>
    <row r="66" spans="1:26" s="2295" customFormat="1" ht="15.9" customHeight="1" x14ac:dyDescent="0.3">
      <c r="A66" s="2304" t="str">
        <f ca="1">IF($U66=0,"0",'5  Control Accounts'!$EA$16)</f>
        <v>0</v>
      </c>
      <c r="B66" s="2304" t="str">
        <f ca="1">IF($U66=0,"0",'5  Control Accounts'!$EB$16&amp;"-"&amp;'4 Sign-off'!$S$123)</f>
        <v>0</v>
      </c>
      <c r="C66" s="2323" t="str">
        <f ca="1">IF(U66=0,"0",OFFSET('5  Control Accounts'!$BF$33,V66,0)&amp;"."&amp;OFFSET('5  Control Accounts'!$BH$33,V66,0))</f>
        <v>0</v>
      </c>
      <c r="D66" s="2304" t="str">
        <f t="shared" ca="1" si="6"/>
        <v>0</v>
      </c>
      <c r="E66" s="2304" t="str">
        <f t="shared" ca="1" si="7"/>
        <v>0</v>
      </c>
      <c r="F66" s="2304" t="str">
        <f ca="1">IF(U66=0,"0",OFFSET('5  Control Accounts'!$DW$33,V66,0))</f>
        <v>0</v>
      </c>
      <c r="G66" s="2308"/>
      <c r="H66" s="2308"/>
      <c r="I66" s="2308"/>
      <c r="J66" s="2308"/>
      <c r="K66" s="2304" t="str">
        <f ca="1">IF(U66=0,"0",TEXT(OFFSET('5  Control Accounts'!$FG$33,V66,0),"##0.0"))</f>
        <v>0</v>
      </c>
      <c r="L66" s="2314" t="str">
        <f ca="1">IF(U66=0,"0",TEXT(OFFSET('5  Control Accounts'!$FX$33,V66,0),"##0.00"))</f>
        <v>0</v>
      </c>
      <c r="M66" s="2304" t="str">
        <f ca="1">IF(U66=0,"0",'1 Setup'!$I$60)</f>
        <v>0</v>
      </c>
      <c r="N66" s="2308"/>
      <c r="O66" s="2308"/>
      <c r="P66" s="2304" t="str">
        <f ca="1">IF(U66=0,"0",TEXT(OFFSET('5  Control Accounts'!$FH$33,V66,0),"##0.0"))</f>
        <v>0</v>
      </c>
      <c r="Q66" s="2304" t="str">
        <f ca="1">IF(U66=0,"0",TEXT(OFFSET('5  Control Accounts'!$FY$33,V66,0),"##0.00"))</f>
        <v>0</v>
      </c>
      <c r="R66" s="2308"/>
      <c r="T66" s="2310"/>
      <c r="U66" s="2309">
        <f ca="1">$T$2*OFFSET('5  Control Accounts'!$BR$33,V66,0)</f>
        <v>0</v>
      </c>
      <c r="V66" s="2309">
        <v>59</v>
      </c>
      <c r="W66" s="1411">
        <f ca="1">IF(U66=0,0,OFFSET('5  Control Accounts'!$FD$33,V66,0))</f>
        <v>0</v>
      </c>
      <c r="X66" s="1411">
        <f ca="1">IF(U66=0,0,OFFSET('5  Control Accounts'!$FE$33,V66,0))</f>
        <v>0</v>
      </c>
      <c r="Y66" s="1406">
        <f t="shared" ca="1" si="1"/>
        <v>0</v>
      </c>
      <c r="Z66" s="1406">
        <f t="shared" ca="1" si="2"/>
        <v>0</v>
      </c>
    </row>
    <row r="67" spans="1:26" s="2295" customFormat="1" ht="15.9" customHeight="1" x14ac:dyDescent="0.3">
      <c r="A67" s="2304" t="str">
        <f ca="1">IF($U67=0,"0",'5  Control Accounts'!$EA$16)</f>
        <v>0</v>
      </c>
      <c r="B67" s="2304" t="str">
        <f ca="1">IF($U67=0,"0",'5  Control Accounts'!$EB$16&amp;"-"&amp;'4 Sign-off'!$S$123)</f>
        <v>0</v>
      </c>
      <c r="C67" s="2323" t="str">
        <f ca="1">IF(U67=0,"0",OFFSET('5  Control Accounts'!$BF$33,V67,0)&amp;"."&amp;OFFSET('5  Control Accounts'!$BH$33,V67,0))</f>
        <v>0</v>
      </c>
      <c r="D67" s="2304" t="str">
        <f t="shared" ca="1" si="6"/>
        <v>0</v>
      </c>
      <c r="E67" s="2304" t="str">
        <f t="shared" ca="1" si="7"/>
        <v>0</v>
      </c>
      <c r="F67" s="2304" t="str">
        <f ca="1">IF(U67=0,"0",OFFSET('5  Control Accounts'!$DW$33,V67,0))</f>
        <v>0</v>
      </c>
      <c r="G67" s="2308"/>
      <c r="H67" s="2308"/>
      <c r="I67" s="2308"/>
      <c r="J67" s="2308"/>
      <c r="K67" s="2304" t="str">
        <f ca="1">IF(U67=0,"0",TEXT(OFFSET('5  Control Accounts'!$FG$33,V67,0),"##0.0"))</f>
        <v>0</v>
      </c>
      <c r="L67" s="2314" t="str">
        <f ca="1">IF(U67=0,"0",TEXT(OFFSET('5  Control Accounts'!$FX$33,V67,0),"##0.00"))</f>
        <v>0</v>
      </c>
      <c r="M67" s="2304" t="str">
        <f ca="1">IF(U67=0,"0",'1 Setup'!$I$60)</f>
        <v>0</v>
      </c>
      <c r="N67" s="2308"/>
      <c r="O67" s="2308"/>
      <c r="P67" s="2304" t="str">
        <f ca="1">IF(U67=0,"0",TEXT(OFFSET('5  Control Accounts'!$FH$33,V67,0),"##0.0"))</f>
        <v>0</v>
      </c>
      <c r="Q67" s="2304" t="str">
        <f ca="1">IF(U67=0,"0",TEXT(OFFSET('5  Control Accounts'!$FY$33,V67,0),"##0.00"))</f>
        <v>0</v>
      </c>
      <c r="R67" s="2308"/>
      <c r="T67" s="2310"/>
      <c r="U67" s="2309">
        <f ca="1">$T$2*OFFSET('5  Control Accounts'!$BR$33,V67,0)</f>
        <v>0</v>
      </c>
      <c r="V67" s="2309">
        <v>60</v>
      </c>
      <c r="W67" s="1411">
        <f ca="1">IF(U67=0,0,OFFSET('5  Control Accounts'!$FD$33,V67,0))</f>
        <v>0</v>
      </c>
      <c r="X67" s="1411">
        <f ca="1">IF(U67=0,0,OFFSET('5  Control Accounts'!$FE$33,V67,0))</f>
        <v>0</v>
      </c>
      <c r="Y67" s="1406">
        <f t="shared" ref="Y67:Y127" ca="1" si="8">VALUE(L67)</f>
        <v>0</v>
      </c>
      <c r="Z67" s="1406">
        <f t="shared" ref="Z67:Z127" ca="1" si="9">VALUE(Q67)</f>
        <v>0</v>
      </c>
    </row>
    <row r="68" spans="1:26" s="2295" customFormat="1" ht="15.9" customHeight="1" x14ac:dyDescent="0.3">
      <c r="A68" s="2304" t="str">
        <f ca="1">IF($U68=0,"0",'5  Control Accounts'!$EA$16)</f>
        <v>0</v>
      </c>
      <c r="B68" s="2304" t="str">
        <f ca="1">IF($U68=0,"0",'5  Control Accounts'!$EB$16&amp;"-"&amp;'4 Sign-off'!$S$123)</f>
        <v>0</v>
      </c>
      <c r="C68" s="2323" t="str">
        <f ca="1">IF(U68=0,"0",OFFSET('5  Control Accounts'!$BF$33,V68,0)&amp;"."&amp;OFFSET('5  Control Accounts'!$BH$33,V68,0))</f>
        <v>0</v>
      </c>
      <c r="D68" s="2304" t="str">
        <f t="shared" ca="1" si="6"/>
        <v>0</v>
      </c>
      <c r="E68" s="2304" t="str">
        <f t="shared" ca="1" si="7"/>
        <v>0</v>
      </c>
      <c r="F68" s="2304" t="str">
        <f ca="1">IF(U68=0,"0",OFFSET('5  Control Accounts'!$DW$33,V68,0))</f>
        <v>0</v>
      </c>
      <c r="G68" s="2308"/>
      <c r="H68" s="2308"/>
      <c r="I68" s="2308"/>
      <c r="J68" s="2308"/>
      <c r="K68" s="2304" t="str">
        <f ca="1">IF(U68=0,"0",TEXT(OFFSET('5  Control Accounts'!$FG$33,V68,0),"##0.0"))</f>
        <v>0</v>
      </c>
      <c r="L68" s="2314" t="str">
        <f ca="1">IF(U68=0,"0",TEXT(OFFSET('5  Control Accounts'!$FX$33,V68,0),"##0.00"))</f>
        <v>0</v>
      </c>
      <c r="M68" s="2304" t="str">
        <f ca="1">IF(U68=0,"0",'1 Setup'!$I$60)</f>
        <v>0</v>
      </c>
      <c r="N68" s="2308"/>
      <c r="O68" s="2308"/>
      <c r="P68" s="2304" t="str">
        <f ca="1">IF(U68=0,"0",TEXT(OFFSET('5  Control Accounts'!$FH$33,V68,0),"##0.0"))</f>
        <v>0</v>
      </c>
      <c r="Q68" s="2304" t="str">
        <f ca="1">IF(U68=0,"0",TEXT(OFFSET('5  Control Accounts'!$FY$33,V68,0),"##0.00"))</f>
        <v>0</v>
      </c>
      <c r="R68" s="2308"/>
      <c r="T68" s="2310"/>
      <c r="U68" s="2309">
        <f ca="1">$T$2*OFFSET('5  Control Accounts'!$BR$33,V68,0)</f>
        <v>0</v>
      </c>
      <c r="V68" s="2309">
        <v>61</v>
      </c>
      <c r="W68" s="1411">
        <f ca="1">IF(U68=0,0,OFFSET('5  Control Accounts'!$FD$33,V68,0))</f>
        <v>0</v>
      </c>
      <c r="X68" s="1411">
        <f ca="1">IF(U68=0,0,OFFSET('5  Control Accounts'!$FE$33,V68,0))</f>
        <v>0</v>
      </c>
      <c r="Y68" s="1406">
        <f t="shared" ca="1" si="8"/>
        <v>0</v>
      </c>
      <c r="Z68" s="1406">
        <f t="shared" ca="1" si="9"/>
        <v>0</v>
      </c>
    </row>
    <row r="69" spans="1:26" s="2295" customFormat="1" ht="15.9" customHeight="1" x14ac:dyDescent="0.3">
      <c r="A69" s="2304" t="str">
        <f ca="1">IF($U69=0,"0",'5  Control Accounts'!$EA$16)</f>
        <v>0</v>
      </c>
      <c r="B69" s="2304" t="str">
        <f ca="1">IF($U69=0,"0",'5  Control Accounts'!$EB$16&amp;"-"&amp;'4 Sign-off'!$S$123)</f>
        <v>0</v>
      </c>
      <c r="C69" s="2323" t="str">
        <f ca="1">IF(U69=0,"0",OFFSET('5  Control Accounts'!$BF$33,V69,0)&amp;"."&amp;OFFSET('5  Control Accounts'!$BH$33,V69,0))</f>
        <v>0</v>
      </c>
      <c r="D69" s="2304" t="str">
        <f t="shared" ca="1" si="6"/>
        <v>0</v>
      </c>
      <c r="E69" s="2304" t="str">
        <f t="shared" ca="1" si="7"/>
        <v>0</v>
      </c>
      <c r="F69" s="2304" t="str">
        <f ca="1">IF(U69=0,"0",OFFSET('5  Control Accounts'!$DW$33,V69,0))</f>
        <v>0</v>
      </c>
      <c r="G69" s="2308"/>
      <c r="H69" s="2308"/>
      <c r="I69" s="2308"/>
      <c r="J69" s="2308"/>
      <c r="K69" s="2304" t="str">
        <f ca="1">IF(U69=0,"0",TEXT(OFFSET('5  Control Accounts'!$FG$33,V69,0),"##0.0"))</f>
        <v>0</v>
      </c>
      <c r="L69" s="2314" t="str">
        <f ca="1">IF(U69=0,"0",TEXT(OFFSET('5  Control Accounts'!$FX$33,V69,0),"##0.00"))</f>
        <v>0</v>
      </c>
      <c r="M69" s="2304" t="str">
        <f ca="1">IF(U69=0,"0",'1 Setup'!$I$60)</f>
        <v>0</v>
      </c>
      <c r="N69" s="2308"/>
      <c r="O69" s="2308"/>
      <c r="P69" s="2304" t="str">
        <f ca="1">IF(U69=0,"0",TEXT(OFFSET('5  Control Accounts'!$FH$33,V69,0),"##0.0"))</f>
        <v>0</v>
      </c>
      <c r="Q69" s="2304" t="str">
        <f ca="1">IF(U69=0,"0",TEXT(OFFSET('5  Control Accounts'!$FY$33,V69,0),"##0.00"))</f>
        <v>0</v>
      </c>
      <c r="R69" s="2308"/>
      <c r="T69" s="2310"/>
      <c r="U69" s="2309">
        <f ca="1">$T$2*OFFSET('5  Control Accounts'!$BR$33,V69,0)</f>
        <v>0</v>
      </c>
      <c r="V69" s="2309">
        <v>62</v>
      </c>
      <c r="W69" s="1411">
        <f ca="1">IF(U69=0,0,OFFSET('5  Control Accounts'!$FD$33,V69,0))</f>
        <v>0</v>
      </c>
      <c r="X69" s="1411">
        <f ca="1">IF(U69=0,0,OFFSET('5  Control Accounts'!$FE$33,V69,0))</f>
        <v>0</v>
      </c>
      <c r="Y69" s="1406">
        <f t="shared" ca="1" si="8"/>
        <v>0</v>
      </c>
      <c r="Z69" s="1406">
        <f t="shared" ca="1" si="9"/>
        <v>0</v>
      </c>
    </row>
    <row r="70" spans="1:26" s="2295" customFormat="1" ht="15.9" customHeight="1" x14ac:dyDescent="0.3">
      <c r="A70" s="2304" t="str">
        <f ca="1">IF($U70=0,"0",'5  Control Accounts'!$EA$16)</f>
        <v>0</v>
      </c>
      <c r="B70" s="2304" t="str">
        <f ca="1">IF($U70=0,"0",'5  Control Accounts'!$EB$16&amp;"-"&amp;'4 Sign-off'!$S$123)</f>
        <v>0</v>
      </c>
      <c r="C70" s="2323" t="str">
        <f ca="1">IF(U70=0,"0",OFFSET('5  Control Accounts'!$BF$33,V70,0)&amp;"."&amp;OFFSET('5  Control Accounts'!$BH$33,V70,0))</f>
        <v>0</v>
      </c>
      <c r="D70" s="2304" t="str">
        <f t="shared" ca="1" si="6"/>
        <v>0</v>
      </c>
      <c r="E70" s="2304" t="str">
        <f t="shared" ca="1" si="7"/>
        <v>0</v>
      </c>
      <c r="F70" s="2304" t="str">
        <f ca="1">IF(U70=0,"0",OFFSET('5  Control Accounts'!$DW$33,V70,0))</f>
        <v>0</v>
      </c>
      <c r="G70" s="2308"/>
      <c r="H70" s="2308"/>
      <c r="I70" s="2308"/>
      <c r="J70" s="2308"/>
      <c r="K70" s="2304" t="str">
        <f ca="1">IF(U70=0,"0",TEXT(OFFSET('5  Control Accounts'!$FG$33,V70,0),"##0.0"))</f>
        <v>0</v>
      </c>
      <c r="L70" s="2314" t="str">
        <f ca="1">IF(U70=0,"0",TEXT(OFFSET('5  Control Accounts'!$FX$33,V70,0),"##0.00"))</f>
        <v>0</v>
      </c>
      <c r="M70" s="2304" t="str">
        <f ca="1">IF(U70=0,"0",'1 Setup'!$I$60)</f>
        <v>0</v>
      </c>
      <c r="N70" s="2308"/>
      <c r="O70" s="2308"/>
      <c r="P70" s="2304" t="str">
        <f ca="1">IF(U70=0,"0",TEXT(OFFSET('5  Control Accounts'!$FH$33,V70,0),"##0.0"))</f>
        <v>0</v>
      </c>
      <c r="Q70" s="2304" t="str">
        <f ca="1">IF(U70=0,"0",TEXT(OFFSET('5  Control Accounts'!$FY$33,V70,0),"##0.00"))</f>
        <v>0</v>
      </c>
      <c r="R70" s="2308"/>
      <c r="T70" s="2310"/>
      <c r="U70" s="2309">
        <f ca="1">$T$2*OFFSET('5  Control Accounts'!$BR$33,V70,0)</f>
        <v>0</v>
      </c>
      <c r="V70" s="2309">
        <v>63</v>
      </c>
      <c r="W70" s="1411">
        <f ca="1">IF(U70=0,0,OFFSET('5  Control Accounts'!$FD$33,V70,0))</f>
        <v>0</v>
      </c>
      <c r="X70" s="1411">
        <f ca="1">IF(U70=0,0,OFFSET('5  Control Accounts'!$FE$33,V70,0))</f>
        <v>0</v>
      </c>
      <c r="Y70" s="1406">
        <f t="shared" ca="1" si="8"/>
        <v>0</v>
      </c>
      <c r="Z70" s="1406">
        <f t="shared" ca="1" si="9"/>
        <v>0</v>
      </c>
    </row>
    <row r="71" spans="1:26" s="2295" customFormat="1" ht="15.9" customHeight="1" x14ac:dyDescent="0.3">
      <c r="A71" s="2304" t="str">
        <f ca="1">IF($U71=0,"0",'5  Control Accounts'!$EA$16)</f>
        <v>0</v>
      </c>
      <c r="B71" s="2304" t="str">
        <f ca="1">IF($U71=0,"0",'5  Control Accounts'!$EB$16&amp;"-"&amp;'4 Sign-off'!$S$123)</f>
        <v>0</v>
      </c>
      <c r="C71" s="2323" t="str">
        <f ca="1">IF(U71=0,"0",OFFSET('5  Control Accounts'!$BF$33,V71,0)&amp;"."&amp;OFFSET('5  Control Accounts'!$BH$33,V71,0))</f>
        <v>0</v>
      </c>
      <c r="D71" s="2304" t="str">
        <f t="shared" ca="1" si="6"/>
        <v>0</v>
      </c>
      <c r="E71" s="2304" t="str">
        <f t="shared" ca="1" si="7"/>
        <v>0</v>
      </c>
      <c r="F71" s="2304" t="str">
        <f ca="1">IF(U71=0,"0",OFFSET('5  Control Accounts'!$DW$33,V71,0))</f>
        <v>0</v>
      </c>
      <c r="G71" s="2308"/>
      <c r="H71" s="2308"/>
      <c r="I71" s="2308"/>
      <c r="J71" s="2308"/>
      <c r="K71" s="2304" t="str">
        <f ca="1">IF(U71=0,"0",TEXT(OFFSET('5  Control Accounts'!$FG$33,V71,0),"##0.0"))</f>
        <v>0</v>
      </c>
      <c r="L71" s="2314" t="str">
        <f ca="1">IF(U71=0,"0",TEXT(OFFSET('5  Control Accounts'!$FX$33,V71,0),"##0.00"))</f>
        <v>0</v>
      </c>
      <c r="M71" s="2304" t="str">
        <f ca="1">IF(U71=0,"0",'1 Setup'!$I$60)</f>
        <v>0</v>
      </c>
      <c r="N71" s="2308"/>
      <c r="O71" s="2308"/>
      <c r="P71" s="2304" t="str">
        <f ca="1">IF(U71=0,"0",TEXT(OFFSET('5  Control Accounts'!$FH$33,V71,0),"##0.0"))</f>
        <v>0</v>
      </c>
      <c r="Q71" s="2304" t="str">
        <f ca="1">IF(U71=0,"0",TEXT(OFFSET('5  Control Accounts'!$FY$33,V71,0),"##0.00"))</f>
        <v>0</v>
      </c>
      <c r="R71" s="2308"/>
      <c r="T71" s="2310"/>
      <c r="U71" s="2309">
        <f ca="1">$T$2*OFFSET('5  Control Accounts'!$BR$33,V71,0)</f>
        <v>0</v>
      </c>
      <c r="V71" s="2309">
        <v>64</v>
      </c>
      <c r="W71" s="1411">
        <f ca="1">IF(U71=0,0,OFFSET('5  Control Accounts'!$FD$33,V71,0))</f>
        <v>0</v>
      </c>
      <c r="X71" s="1411">
        <f ca="1">IF(U71=0,0,OFFSET('5  Control Accounts'!$FE$33,V71,0))</f>
        <v>0</v>
      </c>
      <c r="Y71" s="1406">
        <f t="shared" ca="1" si="8"/>
        <v>0</v>
      </c>
      <c r="Z71" s="1406">
        <f t="shared" ca="1" si="9"/>
        <v>0</v>
      </c>
    </row>
    <row r="72" spans="1:26" s="2295" customFormat="1" ht="15.9" customHeight="1" x14ac:dyDescent="0.3">
      <c r="A72" s="2304" t="str">
        <f ca="1">IF($U72=0,"0",'5  Control Accounts'!$EA$16)</f>
        <v>0</v>
      </c>
      <c r="B72" s="2304" t="str">
        <f ca="1">IF($U72=0,"0",'5  Control Accounts'!$EB$16&amp;"-"&amp;'4 Sign-off'!$S$123)</f>
        <v>0</v>
      </c>
      <c r="C72" s="2323" t="str">
        <f ca="1">IF(U72=0,"0",OFFSET('5  Control Accounts'!$BF$33,V72,0)&amp;"."&amp;OFFSET('5  Control Accounts'!$BH$33,V72,0))</f>
        <v>0</v>
      </c>
      <c r="D72" s="2304" t="str">
        <f t="shared" ca="1" si="6"/>
        <v>0</v>
      </c>
      <c r="E72" s="2304" t="str">
        <f t="shared" ca="1" si="7"/>
        <v>0</v>
      </c>
      <c r="F72" s="2304" t="str">
        <f ca="1">IF(U72=0,"0",OFFSET('5  Control Accounts'!$DW$33,V72,0))</f>
        <v>0</v>
      </c>
      <c r="G72" s="2308"/>
      <c r="H72" s="2308"/>
      <c r="I72" s="2308"/>
      <c r="J72" s="2308"/>
      <c r="K72" s="2304" t="str">
        <f ca="1">IF(U72=0,"0",TEXT(OFFSET('5  Control Accounts'!$FG$33,V72,0),"##0.0"))</f>
        <v>0</v>
      </c>
      <c r="L72" s="2314" t="str">
        <f ca="1">IF(U72=0,"0",TEXT(OFFSET('5  Control Accounts'!$FX$33,V72,0),"##0.00"))</f>
        <v>0</v>
      </c>
      <c r="M72" s="2304" t="str">
        <f ca="1">IF(U72=0,"0",'1 Setup'!$I$60)</f>
        <v>0</v>
      </c>
      <c r="N72" s="2308"/>
      <c r="O72" s="2308"/>
      <c r="P72" s="2304" t="str">
        <f ca="1">IF(U72=0,"0",TEXT(OFFSET('5  Control Accounts'!$FH$33,V72,0),"##0.0"))</f>
        <v>0</v>
      </c>
      <c r="Q72" s="2304" t="str">
        <f ca="1">IF(U72=0,"0",TEXT(OFFSET('5  Control Accounts'!$FY$33,V72,0),"##0.00"))</f>
        <v>0</v>
      </c>
      <c r="R72" s="2308"/>
      <c r="T72" s="2310"/>
      <c r="U72" s="2309">
        <f ca="1">$T$2*OFFSET('5  Control Accounts'!$BR$33,V72,0)</f>
        <v>0</v>
      </c>
      <c r="V72" s="2309">
        <v>65</v>
      </c>
      <c r="W72" s="1411">
        <f ca="1">IF(U72=0,0,OFFSET('5  Control Accounts'!$FD$33,V72,0))</f>
        <v>0</v>
      </c>
      <c r="X72" s="1411">
        <f ca="1">IF(U72=0,0,OFFSET('5  Control Accounts'!$FE$33,V72,0))</f>
        <v>0</v>
      </c>
      <c r="Y72" s="1406">
        <f t="shared" ca="1" si="8"/>
        <v>0</v>
      </c>
      <c r="Z72" s="1406">
        <f t="shared" ca="1" si="9"/>
        <v>0</v>
      </c>
    </row>
    <row r="73" spans="1:26" s="2295" customFormat="1" ht="15.9" customHeight="1" x14ac:dyDescent="0.3">
      <c r="A73" s="2304" t="str">
        <f ca="1">IF($U73=0,"0",'5  Control Accounts'!$EA$16)</f>
        <v>0</v>
      </c>
      <c r="B73" s="2304" t="str">
        <f ca="1">IF($U73=0,"0",'5  Control Accounts'!$EB$16&amp;"-"&amp;'4 Sign-off'!$S$123)</f>
        <v>0</v>
      </c>
      <c r="C73" s="2323" t="str">
        <f ca="1">IF(U73=0,"0",OFFSET('5  Control Accounts'!$BF$33,V73,0)&amp;"."&amp;OFFSET('5  Control Accounts'!$BH$33,V73,0))</f>
        <v>0</v>
      </c>
      <c r="D73" s="2304" t="str">
        <f t="shared" ca="1" si="6"/>
        <v>0</v>
      </c>
      <c r="E73" s="2304" t="str">
        <f t="shared" ca="1" si="7"/>
        <v>0</v>
      </c>
      <c r="F73" s="2304" t="str">
        <f ca="1">IF(U73=0,"0",OFFSET('5  Control Accounts'!$DW$33,V73,0))</f>
        <v>0</v>
      </c>
      <c r="G73" s="2308"/>
      <c r="H73" s="2308"/>
      <c r="I73" s="2308"/>
      <c r="J73" s="2308"/>
      <c r="K73" s="2304" t="str">
        <f ca="1">IF(U73=0,"0",TEXT(OFFSET('5  Control Accounts'!$FG$33,V73,0),"##0.0"))</f>
        <v>0</v>
      </c>
      <c r="L73" s="2314" t="str">
        <f ca="1">IF(U73=0,"0",TEXT(OFFSET('5  Control Accounts'!$FX$33,V73,0),"##0.00"))</f>
        <v>0</v>
      </c>
      <c r="M73" s="2304" t="str">
        <f ca="1">IF(U73=0,"0",'1 Setup'!$I$60)</f>
        <v>0</v>
      </c>
      <c r="N73" s="2308"/>
      <c r="O73" s="2308"/>
      <c r="P73" s="2304" t="str">
        <f ca="1">IF(U73=0,"0",TEXT(OFFSET('5  Control Accounts'!$FH$33,V73,0),"##0.0"))</f>
        <v>0</v>
      </c>
      <c r="Q73" s="2304" t="str">
        <f ca="1">IF(U73=0,"0",TEXT(OFFSET('5  Control Accounts'!$FY$33,V73,0),"##0.00"))</f>
        <v>0</v>
      </c>
      <c r="R73" s="2308"/>
      <c r="T73" s="2310"/>
      <c r="U73" s="2309">
        <f ca="1">$T$2*OFFSET('5  Control Accounts'!$BR$33,V73,0)</f>
        <v>0</v>
      </c>
      <c r="V73" s="2309">
        <v>66</v>
      </c>
      <c r="W73" s="1411">
        <f ca="1">IF(U73=0,0,OFFSET('5  Control Accounts'!$FD$33,V73,0))</f>
        <v>0</v>
      </c>
      <c r="X73" s="1411">
        <f ca="1">IF(U73=0,0,OFFSET('5  Control Accounts'!$FE$33,V73,0))</f>
        <v>0</v>
      </c>
      <c r="Y73" s="1406">
        <f t="shared" ca="1" si="8"/>
        <v>0</v>
      </c>
      <c r="Z73" s="1406">
        <f t="shared" ca="1" si="9"/>
        <v>0</v>
      </c>
    </row>
    <row r="74" spans="1:26" s="2295" customFormat="1" ht="15.9" customHeight="1" x14ac:dyDescent="0.3">
      <c r="A74" s="2304" t="str">
        <f ca="1">IF($U74=0,"0",'5  Control Accounts'!$EA$16)</f>
        <v>0</v>
      </c>
      <c r="B74" s="2304" t="str">
        <f ca="1">IF($U74=0,"0",'5  Control Accounts'!$EB$16&amp;"-"&amp;'4 Sign-off'!$S$123)</f>
        <v>0</v>
      </c>
      <c r="C74" s="2323" t="str">
        <f ca="1">IF(U74=0,"0",OFFSET('5  Control Accounts'!$BF$33,V74,0)&amp;"."&amp;OFFSET('5  Control Accounts'!$BH$33,V74,0))</f>
        <v>0</v>
      </c>
      <c r="D74" s="2304" t="str">
        <f t="shared" ca="1" si="6"/>
        <v>0</v>
      </c>
      <c r="E74" s="2304" t="str">
        <f t="shared" ca="1" si="7"/>
        <v>0</v>
      </c>
      <c r="F74" s="2304" t="str">
        <f ca="1">IF(U74=0,"0",OFFSET('5  Control Accounts'!$DW$33,V74,0))</f>
        <v>0</v>
      </c>
      <c r="G74" s="2308"/>
      <c r="H74" s="2308"/>
      <c r="I74" s="2308"/>
      <c r="J74" s="2308"/>
      <c r="K74" s="2304" t="str">
        <f ca="1">IF(U74=0,"0",TEXT(OFFSET('5  Control Accounts'!$FG$33,V74,0),"##0.0"))</f>
        <v>0</v>
      </c>
      <c r="L74" s="2314" t="str">
        <f ca="1">IF(U74=0,"0",TEXT(OFFSET('5  Control Accounts'!$FX$33,V74,0),"##0.00"))</f>
        <v>0</v>
      </c>
      <c r="M74" s="2304" t="str">
        <f ca="1">IF(U74=0,"0",'1 Setup'!$I$60)</f>
        <v>0</v>
      </c>
      <c r="N74" s="2308"/>
      <c r="O74" s="2308"/>
      <c r="P74" s="2304" t="str">
        <f ca="1">IF(U74=0,"0",TEXT(OFFSET('5  Control Accounts'!$FH$33,V74,0),"##0.0"))</f>
        <v>0</v>
      </c>
      <c r="Q74" s="2304" t="str">
        <f ca="1">IF(U74=0,"0",TEXT(OFFSET('5  Control Accounts'!$FY$33,V74,0),"##0.00"))</f>
        <v>0</v>
      </c>
      <c r="R74" s="2308"/>
      <c r="T74" s="2310"/>
      <c r="U74" s="2309">
        <f ca="1">$T$2*OFFSET('5  Control Accounts'!$BR$33,V74,0)</f>
        <v>0</v>
      </c>
      <c r="V74" s="2309">
        <v>67</v>
      </c>
      <c r="W74" s="1411">
        <f ca="1">IF(U74=0,0,OFFSET('5  Control Accounts'!$FD$33,V74,0))</f>
        <v>0</v>
      </c>
      <c r="X74" s="1411">
        <f ca="1">IF(U74=0,0,OFFSET('5  Control Accounts'!$FE$33,V74,0))</f>
        <v>0</v>
      </c>
      <c r="Y74" s="1406">
        <f t="shared" ca="1" si="8"/>
        <v>0</v>
      </c>
      <c r="Z74" s="1406">
        <f t="shared" ca="1" si="9"/>
        <v>0</v>
      </c>
    </row>
    <row r="75" spans="1:26" s="2295" customFormat="1" ht="15.9" customHeight="1" x14ac:dyDescent="0.3">
      <c r="A75" s="2304" t="str">
        <f ca="1">IF($U75=0,"0",'5  Control Accounts'!$EA$16)</f>
        <v>0</v>
      </c>
      <c r="B75" s="2304" t="str">
        <f ca="1">IF($U75=0,"0",'5  Control Accounts'!$EB$16&amp;"-"&amp;'4 Sign-off'!$S$123)</f>
        <v>0</v>
      </c>
      <c r="C75" s="2323" t="str">
        <f ca="1">IF(U75=0,"0",OFFSET('5  Control Accounts'!$BF$33,V75,0)&amp;"."&amp;OFFSET('5  Control Accounts'!$BH$33,V75,0))</f>
        <v>0</v>
      </c>
      <c r="D75" s="2304" t="str">
        <f t="shared" ca="1" si="6"/>
        <v>0</v>
      </c>
      <c r="E75" s="2304" t="str">
        <f t="shared" ca="1" si="7"/>
        <v>0</v>
      </c>
      <c r="F75" s="2304" t="str">
        <f ca="1">IF(U75=0,"0",OFFSET('5  Control Accounts'!$DW$33,V75,0))</f>
        <v>0</v>
      </c>
      <c r="G75" s="2308"/>
      <c r="H75" s="2308"/>
      <c r="I75" s="2308"/>
      <c r="J75" s="2308"/>
      <c r="K75" s="2304" t="str">
        <f ca="1">IF(U75=0,"0",TEXT(OFFSET('5  Control Accounts'!$FG$33,V75,0),"##0.0"))</f>
        <v>0</v>
      </c>
      <c r="L75" s="2314" t="str">
        <f ca="1">IF(U75=0,"0",TEXT(OFFSET('5  Control Accounts'!$FX$33,V75,0),"##0.00"))</f>
        <v>0</v>
      </c>
      <c r="M75" s="2304" t="str">
        <f ca="1">IF(U75=0,"0",'1 Setup'!$I$60)</f>
        <v>0</v>
      </c>
      <c r="N75" s="2308"/>
      <c r="O75" s="2308"/>
      <c r="P75" s="2304" t="str">
        <f ca="1">IF(U75=0,"0",TEXT(OFFSET('5  Control Accounts'!$FH$33,V75,0),"##0.0"))</f>
        <v>0</v>
      </c>
      <c r="Q75" s="2304" t="str">
        <f ca="1">IF(U75=0,"0",TEXT(OFFSET('5  Control Accounts'!$FY$33,V75,0),"##0.00"))</f>
        <v>0</v>
      </c>
      <c r="R75" s="2308"/>
      <c r="T75" s="2310"/>
      <c r="U75" s="2309">
        <f ca="1">$T$2*OFFSET('5  Control Accounts'!$BR$33,V75,0)</f>
        <v>0</v>
      </c>
      <c r="V75" s="2309">
        <v>68</v>
      </c>
      <c r="W75" s="1411">
        <f ca="1">IF(U75=0,0,OFFSET('5  Control Accounts'!$FD$33,V75,0))</f>
        <v>0</v>
      </c>
      <c r="X75" s="1411">
        <f ca="1">IF(U75=0,0,OFFSET('5  Control Accounts'!$FE$33,V75,0))</f>
        <v>0</v>
      </c>
      <c r="Y75" s="1406">
        <f t="shared" ca="1" si="8"/>
        <v>0</v>
      </c>
      <c r="Z75" s="1406">
        <f t="shared" ca="1" si="9"/>
        <v>0</v>
      </c>
    </row>
    <row r="76" spans="1:26" s="2295" customFormat="1" ht="15.9" customHeight="1" x14ac:dyDescent="0.3">
      <c r="A76" s="2304" t="str">
        <f ca="1">IF($U76=0,"0",'5  Control Accounts'!$EA$16)</f>
        <v>0</v>
      </c>
      <c r="B76" s="2304" t="str">
        <f ca="1">IF($U76=0,"0",'5  Control Accounts'!$EB$16&amp;"-"&amp;'4 Sign-off'!$S$123)</f>
        <v>0</v>
      </c>
      <c r="C76" s="2323" t="str">
        <f ca="1">IF(U76=0,"0",OFFSET('5  Control Accounts'!$BF$33,V76,0)&amp;"."&amp;OFFSET('5  Control Accounts'!$BH$33,V76,0))</f>
        <v>0</v>
      </c>
      <c r="D76" s="2304" t="str">
        <f t="shared" ref="D76:D127" ca="1" si="10">IF(U76=0,"0",TEXT(W76,"YYYY-MM-DD"))</f>
        <v>0</v>
      </c>
      <c r="E76" s="2304" t="str">
        <f t="shared" ref="E76:E127" ca="1" si="11">IF(U76=0,"0",TEXT(X76,"YYYY-MM-DD"))</f>
        <v>0</v>
      </c>
      <c r="F76" s="2304" t="str">
        <f ca="1">IF(U76=0,"0",OFFSET('5  Control Accounts'!$DW$33,V76,0))</f>
        <v>0</v>
      </c>
      <c r="G76" s="2308"/>
      <c r="H76" s="2308"/>
      <c r="I76" s="2308"/>
      <c r="J76" s="2308"/>
      <c r="K76" s="2304" t="str">
        <f ca="1">IF(U76=0,"0",TEXT(OFFSET('5  Control Accounts'!$FG$33,V76,0),"##0.0"))</f>
        <v>0</v>
      </c>
      <c r="L76" s="2314" t="str">
        <f ca="1">IF(U76=0,"0",TEXT(OFFSET('5  Control Accounts'!$FX$33,V76,0),"##0.00"))</f>
        <v>0</v>
      </c>
      <c r="M76" s="2304" t="str">
        <f ca="1">IF(U76=0,"0",'1 Setup'!$I$60)</f>
        <v>0</v>
      </c>
      <c r="N76" s="2308"/>
      <c r="O76" s="2308"/>
      <c r="P76" s="2304" t="str">
        <f ca="1">IF(U76=0,"0",TEXT(OFFSET('5  Control Accounts'!$FH$33,V76,0),"##0.0"))</f>
        <v>0</v>
      </c>
      <c r="Q76" s="2304" t="str">
        <f ca="1">IF(U76=0,"0",TEXT(OFFSET('5  Control Accounts'!$FY$33,V76,0),"##0.00"))</f>
        <v>0</v>
      </c>
      <c r="R76" s="2308"/>
      <c r="T76" s="2310"/>
      <c r="U76" s="2309">
        <f ca="1">$T$2*OFFSET('5  Control Accounts'!$BR$33,V76,0)</f>
        <v>0</v>
      </c>
      <c r="V76" s="2309">
        <v>69</v>
      </c>
      <c r="W76" s="1411">
        <f ca="1">IF(U76=0,0,OFFSET('5  Control Accounts'!$FD$33,V76,0))</f>
        <v>0</v>
      </c>
      <c r="X76" s="1411">
        <f ca="1">IF(U76=0,0,OFFSET('5  Control Accounts'!$FE$33,V76,0))</f>
        <v>0</v>
      </c>
      <c r="Y76" s="1406">
        <f t="shared" ca="1" si="8"/>
        <v>0</v>
      </c>
      <c r="Z76" s="1406">
        <f t="shared" ca="1" si="9"/>
        <v>0</v>
      </c>
    </row>
    <row r="77" spans="1:26" s="2295" customFormat="1" ht="15.9" customHeight="1" x14ac:dyDescent="0.3">
      <c r="A77" s="2304" t="str">
        <f ca="1">IF($U77=0,"0",'5  Control Accounts'!$EA$16)</f>
        <v>0</v>
      </c>
      <c r="B77" s="2304" t="str">
        <f ca="1">IF($U77=0,"0",'5  Control Accounts'!$EB$16&amp;"-"&amp;'4 Sign-off'!$S$123)</f>
        <v>0</v>
      </c>
      <c r="C77" s="2323" t="str">
        <f ca="1">IF(U77=0,"0",OFFSET('5  Control Accounts'!$BF$33,V77,0)&amp;"."&amp;OFFSET('5  Control Accounts'!$BH$33,V77,0))</f>
        <v>0</v>
      </c>
      <c r="D77" s="2304" t="str">
        <f t="shared" ca="1" si="10"/>
        <v>0</v>
      </c>
      <c r="E77" s="2304" t="str">
        <f t="shared" ca="1" si="11"/>
        <v>0</v>
      </c>
      <c r="F77" s="2304" t="str">
        <f ca="1">IF(U77=0,"0",OFFSET('5  Control Accounts'!$DW$33,V77,0))</f>
        <v>0</v>
      </c>
      <c r="G77" s="2308"/>
      <c r="H77" s="2308"/>
      <c r="I77" s="2308"/>
      <c r="J77" s="2308"/>
      <c r="K77" s="2304" t="str">
        <f ca="1">IF(U77=0,"0",TEXT(OFFSET('5  Control Accounts'!$FG$33,V77,0),"##0.0"))</f>
        <v>0</v>
      </c>
      <c r="L77" s="2314" t="str">
        <f ca="1">IF(U77=0,"0",TEXT(OFFSET('5  Control Accounts'!$FX$33,V77,0),"##0.00"))</f>
        <v>0</v>
      </c>
      <c r="M77" s="2304" t="str">
        <f ca="1">IF(U77=0,"0",'1 Setup'!$I$60)</f>
        <v>0</v>
      </c>
      <c r="N77" s="2308"/>
      <c r="O77" s="2308"/>
      <c r="P77" s="2304" t="str">
        <f ca="1">IF(U77=0,"0",TEXT(OFFSET('5  Control Accounts'!$FH$33,V77,0),"##0.0"))</f>
        <v>0</v>
      </c>
      <c r="Q77" s="2304" t="str">
        <f ca="1">IF(U77=0,"0",TEXT(OFFSET('5  Control Accounts'!$FY$33,V77,0),"##0.00"))</f>
        <v>0</v>
      </c>
      <c r="R77" s="2308"/>
      <c r="T77" s="2310"/>
      <c r="U77" s="2309">
        <f ca="1">$T$2*OFFSET('5  Control Accounts'!$BR$33,V77,0)</f>
        <v>0</v>
      </c>
      <c r="V77" s="2309">
        <v>70</v>
      </c>
      <c r="W77" s="1411">
        <f ca="1">IF(U77=0,0,OFFSET('5  Control Accounts'!$FD$33,V77,0))</f>
        <v>0</v>
      </c>
      <c r="X77" s="1411">
        <f ca="1">IF(U77=0,0,OFFSET('5  Control Accounts'!$FE$33,V77,0))</f>
        <v>0</v>
      </c>
      <c r="Y77" s="1406">
        <f t="shared" ca="1" si="8"/>
        <v>0</v>
      </c>
      <c r="Z77" s="1406">
        <f t="shared" ca="1" si="9"/>
        <v>0</v>
      </c>
    </row>
    <row r="78" spans="1:26" s="2295" customFormat="1" ht="15.9" customHeight="1" x14ac:dyDescent="0.3">
      <c r="A78" s="2304" t="str">
        <f ca="1">IF($U78=0,"0",'5  Control Accounts'!$EA$16)</f>
        <v>0</v>
      </c>
      <c r="B78" s="2304" t="str">
        <f ca="1">IF($U78=0,"0",'5  Control Accounts'!$EB$16&amp;"-"&amp;'4 Sign-off'!$S$123)</f>
        <v>0</v>
      </c>
      <c r="C78" s="2323" t="str">
        <f ca="1">IF(U78=0,"0",OFFSET('5  Control Accounts'!$BF$33,V78,0)&amp;"."&amp;OFFSET('5  Control Accounts'!$BH$33,V78,0))</f>
        <v>0</v>
      </c>
      <c r="D78" s="2304" t="str">
        <f t="shared" ca="1" si="10"/>
        <v>0</v>
      </c>
      <c r="E78" s="2304" t="str">
        <f t="shared" ca="1" si="11"/>
        <v>0</v>
      </c>
      <c r="F78" s="2304" t="str">
        <f ca="1">IF(U78=0,"0",OFFSET('5  Control Accounts'!$DW$33,V78,0))</f>
        <v>0</v>
      </c>
      <c r="G78" s="2308"/>
      <c r="H78" s="2308"/>
      <c r="I78" s="2308"/>
      <c r="J78" s="2308"/>
      <c r="K78" s="2304" t="str">
        <f ca="1">IF(U78=0,"0",TEXT(OFFSET('5  Control Accounts'!$FG$33,V78,0),"##0.0"))</f>
        <v>0</v>
      </c>
      <c r="L78" s="2314" t="str">
        <f ca="1">IF(U78=0,"0",TEXT(OFFSET('5  Control Accounts'!$FX$33,V78,0),"##0.00"))</f>
        <v>0</v>
      </c>
      <c r="M78" s="2304" t="str">
        <f ca="1">IF(U78=0,"0",'1 Setup'!$I$60)</f>
        <v>0</v>
      </c>
      <c r="N78" s="2308"/>
      <c r="O78" s="2308"/>
      <c r="P78" s="2304" t="str">
        <f ca="1">IF(U78=0,"0",TEXT(OFFSET('5  Control Accounts'!$FH$33,V78,0),"##0.0"))</f>
        <v>0</v>
      </c>
      <c r="Q78" s="2304" t="str">
        <f ca="1">IF(U78=0,"0",TEXT(OFFSET('5  Control Accounts'!$FY$33,V78,0),"##0.00"))</f>
        <v>0</v>
      </c>
      <c r="R78" s="2308"/>
      <c r="T78" s="2310"/>
      <c r="U78" s="2309">
        <f ca="1">$T$2*OFFSET('5  Control Accounts'!$BR$33,V78,0)</f>
        <v>0</v>
      </c>
      <c r="V78" s="2309">
        <v>71</v>
      </c>
      <c r="W78" s="1411">
        <f ca="1">IF(U78=0,0,OFFSET('5  Control Accounts'!$FD$33,V78,0))</f>
        <v>0</v>
      </c>
      <c r="X78" s="1411">
        <f ca="1">IF(U78=0,0,OFFSET('5  Control Accounts'!$FE$33,V78,0))</f>
        <v>0</v>
      </c>
      <c r="Y78" s="1406">
        <f t="shared" ca="1" si="8"/>
        <v>0</v>
      </c>
      <c r="Z78" s="1406">
        <f t="shared" ca="1" si="9"/>
        <v>0</v>
      </c>
    </row>
    <row r="79" spans="1:26" s="2295" customFormat="1" ht="15.9" customHeight="1" x14ac:dyDescent="0.3">
      <c r="A79" s="2304" t="str">
        <f ca="1">IF($U79=0,"0",'5  Control Accounts'!$EA$16)</f>
        <v>0</v>
      </c>
      <c r="B79" s="2304" t="str">
        <f ca="1">IF($U79=0,"0",'5  Control Accounts'!$EB$16&amp;"-"&amp;'4 Sign-off'!$S$123)</f>
        <v>0</v>
      </c>
      <c r="C79" s="2323" t="str">
        <f ca="1">IF(U79=0,"0",OFFSET('5  Control Accounts'!$BF$33,V79,0)&amp;"."&amp;OFFSET('5  Control Accounts'!$BH$33,V79,0))</f>
        <v>0</v>
      </c>
      <c r="D79" s="2304" t="str">
        <f t="shared" ca="1" si="10"/>
        <v>0</v>
      </c>
      <c r="E79" s="2304" t="str">
        <f t="shared" ca="1" si="11"/>
        <v>0</v>
      </c>
      <c r="F79" s="2304" t="str">
        <f ca="1">IF(U79=0,"0",OFFSET('5  Control Accounts'!$DW$33,V79,0))</f>
        <v>0</v>
      </c>
      <c r="G79" s="2308"/>
      <c r="H79" s="2308"/>
      <c r="I79" s="2308"/>
      <c r="J79" s="2308"/>
      <c r="K79" s="2304" t="str">
        <f ca="1">IF(U79=0,"0",TEXT(OFFSET('5  Control Accounts'!$FG$33,V79,0),"##0.0"))</f>
        <v>0</v>
      </c>
      <c r="L79" s="2314" t="str">
        <f ca="1">IF(U79=0,"0",TEXT(OFFSET('5  Control Accounts'!$FX$33,V79,0),"##0.00"))</f>
        <v>0</v>
      </c>
      <c r="M79" s="2304" t="str">
        <f ca="1">IF(U79=0,"0",'1 Setup'!$I$60)</f>
        <v>0</v>
      </c>
      <c r="N79" s="2308"/>
      <c r="O79" s="2308"/>
      <c r="P79" s="2304" t="str">
        <f ca="1">IF(U79=0,"0",TEXT(OFFSET('5  Control Accounts'!$FH$33,V79,0),"##0.0"))</f>
        <v>0</v>
      </c>
      <c r="Q79" s="2304" t="str">
        <f ca="1">IF(U79=0,"0",TEXT(OFFSET('5  Control Accounts'!$FY$33,V79,0),"##0.00"))</f>
        <v>0</v>
      </c>
      <c r="R79" s="2308"/>
      <c r="T79" s="2310"/>
      <c r="U79" s="2309">
        <f ca="1">$T$2*OFFSET('5  Control Accounts'!$BR$33,V79,0)</f>
        <v>0</v>
      </c>
      <c r="V79" s="2309">
        <v>72</v>
      </c>
      <c r="W79" s="1411">
        <f ca="1">IF(U79=0,0,OFFSET('5  Control Accounts'!$FD$33,V79,0))</f>
        <v>0</v>
      </c>
      <c r="X79" s="1411">
        <f ca="1">IF(U79=0,0,OFFSET('5  Control Accounts'!$FE$33,V79,0))</f>
        <v>0</v>
      </c>
      <c r="Y79" s="1406">
        <f t="shared" ca="1" si="8"/>
        <v>0</v>
      </c>
      <c r="Z79" s="1406">
        <f t="shared" ca="1" si="9"/>
        <v>0</v>
      </c>
    </row>
    <row r="80" spans="1:26" s="2295" customFormat="1" ht="15.9" customHeight="1" x14ac:dyDescent="0.3">
      <c r="A80" s="2304" t="str">
        <f ca="1">IF($U80=0,"0",'5  Control Accounts'!$EA$16)</f>
        <v>0</v>
      </c>
      <c r="B80" s="2304" t="str">
        <f ca="1">IF($U80=0,"0",'5  Control Accounts'!$EB$16&amp;"-"&amp;'4 Sign-off'!$S$123)</f>
        <v>0</v>
      </c>
      <c r="C80" s="2323" t="str">
        <f ca="1">IF(U80=0,"0",OFFSET('5  Control Accounts'!$BF$33,V80,0)&amp;"."&amp;OFFSET('5  Control Accounts'!$BH$33,V80,0))</f>
        <v>0</v>
      </c>
      <c r="D80" s="2304" t="str">
        <f t="shared" ca="1" si="10"/>
        <v>0</v>
      </c>
      <c r="E80" s="2304" t="str">
        <f t="shared" ca="1" si="11"/>
        <v>0</v>
      </c>
      <c r="F80" s="2304" t="str">
        <f ca="1">IF(U80=0,"0",OFFSET('5  Control Accounts'!$DW$33,V80,0))</f>
        <v>0</v>
      </c>
      <c r="G80" s="2308"/>
      <c r="H80" s="2308"/>
      <c r="I80" s="2308"/>
      <c r="J80" s="2308"/>
      <c r="K80" s="2304" t="str">
        <f ca="1">IF(U80=0,"0",TEXT(OFFSET('5  Control Accounts'!$FG$33,V80,0),"##0.0"))</f>
        <v>0</v>
      </c>
      <c r="L80" s="2314" t="str">
        <f ca="1">IF(U80=0,"0",TEXT(OFFSET('5  Control Accounts'!$FX$33,V80,0),"##0.00"))</f>
        <v>0</v>
      </c>
      <c r="M80" s="2304" t="str">
        <f ca="1">IF(U80=0,"0",'1 Setup'!$I$60)</f>
        <v>0</v>
      </c>
      <c r="N80" s="2308"/>
      <c r="O80" s="2308"/>
      <c r="P80" s="2304" t="str">
        <f ca="1">IF(U80=0,"0",TEXT(OFFSET('5  Control Accounts'!$FH$33,V80,0),"##0.0"))</f>
        <v>0</v>
      </c>
      <c r="Q80" s="2304" t="str">
        <f ca="1">IF(U80=0,"0",TEXT(OFFSET('5  Control Accounts'!$FY$33,V80,0),"##0.00"))</f>
        <v>0</v>
      </c>
      <c r="R80" s="2308"/>
      <c r="T80" s="2310"/>
      <c r="U80" s="2309">
        <f ca="1">$T$2*OFFSET('5  Control Accounts'!$BR$33,V80,0)</f>
        <v>0</v>
      </c>
      <c r="V80" s="2309">
        <v>73</v>
      </c>
      <c r="W80" s="1411">
        <f ca="1">IF(U80=0,0,OFFSET('5  Control Accounts'!$FD$33,V80,0))</f>
        <v>0</v>
      </c>
      <c r="X80" s="1411">
        <f ca="1">IF(U80=0,0,OFFSET('5  Control Accounts'!$FE$33,V80,0))</f>
        <v>0</v>
      </c>
      <c r="Y80" s="1406">
        <f t="shared" ca="1" si="8"/>
        <v>0</v>
      </c>
      <c r="Z80" s="1406">
        <f t="shared" ca="1" si="9"/>
        <v>0</v>
      </c>
    </row>
    <row r="81" spans="1:26" s="2295" customFormat="1" ht="15.9" customHeight="1" x14ac:dyDescent="0.3">
      <c r="A81" s="2304" t="str">
        <f ca="1">IF($U81=0,"0",'5  Control Accounts'!$EA$16)</f>
        <v>0</v>
      </c>
      <c r="B81" s="2304" t="str">
        <f ca="1">IF($U81=0,"0",'5  Control Accounts'!$EB$16&amp;"-"&amp;'4 Sign-off'!$S$123)</f>
        <v>0</v>
      </c>
      <c r="C81" s="2323" t="str">
        <f ca="1">IF(U81=0,"0",OFFSET('5  Control Accounts'!$BF$33,V81,0)&amp;"."&amp;OFFSET('5  Control Accounts'!$BH$33,V81,0))</f>
        <v>0</v>
      </c>
      <c r="D81" s="2304" t="str">
        <f t="shared" ca="1" si="10"/>
        <v>0</v>
      </c>
      <c r="E81" s="2304" t="str">
        <f t="shared" ca="1" si="11"/>
        <v>0</v>
      </c>
      <c r="F81" s="2304" t="str">
        <f ca="1">IF(U81=0,"0",OFFSET('5  Control Accounts'!$DW$33,V81,0))</f>
        <v>0</v>
      </c>
      <c r="G81" s="2308"/>
      <c r="H81" s="2308"/>
      <c r="I81" s="2308"/>
      <c r="J81" s="2308"/>
      <c r="K81" s="2304" t="str">
        <f ca="1">IF(U81=0,"0",TEXT(OFFSET('5  Control Accounts'!$FG$33,V81,0),"##0.0"))</f>
        <v>0</v>
      </c>
      <c r="L81" s="2314" t="str">
        <f ca="1">IF(U81=0,"0",TEXT(OFFSET('5  Control Accounts'!$FX$33,V81,0),"##0.00"))</f>
        <v>0</v>
      </c>
      <c r="M81" s="2304" t="str">
        <f ca="1">IF(U81=0,"0",'1 Setup'!$I$60)</f>
        <v>0</v>
      </c>
      <c r="N81" s="2308"/>
      <c r="O81" s="2308"/>
      <c r="P81" s="2304" t="str">
        <f ca="1">IF(U81=0,"0",TEXT(OFFSET('5  Control Accounts'!$FH$33,V81,0),"##0.0"))</f>
        <v>0</v>
      </c>
      <c r="Q81" s="2304" t="str">
        <f ca="1">IF(U81=0,"0",TEXT(OFFSET('5  Control Accounts'!$FY$33,V81,0),"##0.00"))</f>
        <v>0</v>
      </c>
      <c r="R81" s="2308"/>
      <c r="T81" s="2310"/>
      <c r="U81" s="2309">
        <f ca="1">$T$2*OFFSET('5  Control Accounts'!$BR$33,V81,0)</f>
        <v>0</v>
      </c>
      <c r="V81" s="2309">
        <v>74</v>
      </c>
      <c r="W81" s="1411">
        <f ca="1">IF(U81=0,0,OFFSET('5  Control Accounts'!$FD$33,V81,0))</f>
        <v>0</v>
      </c>
      <c r="X81" s="1411">
        <f ca="1">IF(U81=0,0,OFFSET('5  Control Accounts'!$FE$33,V81,0))</f>
        <v>0</v>
      </c>
      <c r="Y81" s="1406">
        <f t="shared" ca="1" si="8"/>
        <v>0</v>
      </c>
      <c r="Z81" s="1406">
        <f t="shared" ca="1" si="9"/>
        <v>0</v>
      </c>
    </row>
    <row r="82" spans="1:26" s="2295" customFormat="1" ht="15.9" customHeight="1" x14ac:dyDescent="0.3">
      <c r="A82" s="2304" t="str">
        <f ca="1">IF($U82=0,"0",'5  Control Accounts'!$EA$16)</f>
        <v>0</v>
      </c>
      <c r="B82" s="2304" t="str">
        <f ca="1">IF($U82=0,"0",'5  Control Accounts'!$EB$16&amp;"-"&amp;'4 Sign-off'!$S$123)</f>
        <v>0</v>
      </c>
      <c r="C82" s="2323" t="str">
        <f ca="1">IF(U82=0,"0",OFFSET('5  Control Accounts'!$BF$33,V82,0)&amp;"."&amp;OFFSET('5  Control Accounts'!$BH$33,V82,0))</f>
        <v>0</v>
      </c>
      <c r="D82" s="2304" t="str">
        <f t="shared" ca="1" si="10"/>
        <v>0</v>
      </c>
      <c r="E82" s="2304" t="str">
        <f t="shared" ca="1" si="11"/>
        <v>0</v>
      </c>
      <c r="F82" s="2304" t="str">
        <f ca="1">IF(U82=0,"0",OFFSET('5  Control Accounts'!$DW$33,V82,0))</f>
        <v>0</v>
      </c>
      <c r="G82" s="2308"/>
      <c r="H82" s="2308"/>
      <c r="I82" s="2308"/>
      <c r="J82" s="2308"/>
      <c r="K82" s="2304" t="str">
        <f ca="1">IF(U82=0,"0",TEXT(OFFSET('5  Control Accounts'!$FG$33,V82,0),"##0.0"))</f>
        <v>0</v>
      </c>
      <c r="L82" s="2314" t="str">
        <f ca="1">IF(U82=0,"0",TEXT(OFFSET('5  Control Accounts'!$FX$33,V82,0),"##0.00"))</f>
        <v>0</v>
      </c>
      <c r="M82" s="2304" t="str">
        <f ca="1">IF(U82=0,"0",'1 Setup'!$I$60)</f>
        <v>0</v>
      </c>
      <c r="N82" s="2308"/>
      <c r="O82" s="2308"/>
      <c r="P82" s="2304" t="str">
        <f ca="1">IF(U82=0,"0",TEXT(OFFSET('5  Control Accounts'!$FH$33,V82,0),"##0.0"))</f>
        <v>0</v>
      </c>
      <c r="Q82" s="2304" t="str">
        <f ca="1">IF(U82=0,"0",TEXT(OFFSET('5  Control Accounts'!$FY$33,V82,0),"##0.00"))</f>
        <v>0</v>
      </c>
      <c r="R82" s="2308"/>
      <c r="T82" s="2310"/>
      <c r="U82" s="2309">
        <f ca="1">$T$2*OFFSET('5  Control Accounts'!$BR$33,V82,0)</f>
        <v>0</v>
      </c>
      <c r="V82" s="2309">
        <v>75</v>
      </c>
      <c r="W82" s="1411">
        <f ca="1">IF(U82=0,0,OFFSET('5  Control Accounts'!$FD$33,V82,0))</f>
        <v>0</v>
      </c>
      <c r="X82" s="1411">
        <f ca="1">IF(U82=0,0,OFFSET('5  Control Accounts'!$FE$33,V82,0))</f>
        <v>0</v>
      </c>
      <c r="Y82" s="1406">
        <f t="shared" ca="1" si="8"/>
        <v>0</v>
      </c>
      <c r="Z82" s="1406">
        <f t="shared" ca="1" si="9"/>
        <v>0</v>
      </c>
    </row>
    <row r="83" spans="1:26" s="2295" customFormat="1" ht="15.9" customHeight="1" x14ac:dyDescent="0.3">
      <c r="A83" s="2304" t="str">
        <f ca="1">IF($U83=0,"0",'5  Control Accounts'!$EA$16)</f>
        <v>0</v>
      </c>
      <c r="B83" s="2304" t="str">
        <f ca="1">IF($U83=0,"0",'5  Control Accounts'!$EB$16&amp;"-"&amp;'4 Sign-off'!$S$123)</f>
        <v>0</v>
      </c>
      <c r="C83" s="2323" t="str">
        <f ca="1">IF(U83=0,"0",OFFSET('5  Control Accounts'!$BF$33,V83,0)&amp;"."&amp;OFFSET('5  Control Accounts'!$BH$33,V83,0))</f>
        <v>0</v>
      </c>
      <c r="D83" s="2304" t="str">
        <f t="shared" ca="1" si="10"/>
        <v>0</v>
      </c>
      <c r="E83" s="2304" t="str">
        <f t="shared" ca="1" si="11"/>
        <v>0</v>
      </c>
      <c r="F83" s="2304" t="str">
        <f ca="1">IF(U83=0,"0",OFFSET('5  Control Accounts'!$DW$33,V83,0))</f>
        <v>0</v>
      </c>
      <c r="G83" s="2308"/>
      <c r="H83" s="2308"/>
      <c r="I83" s="2308"/>
      <c r="J83" s="2308"/>
      <c r="K83" s="2304" t="str">
        <f ca="1">IF(U83=0,"0",TEXT(OFFSET('5  Control Accounts'!$FG$33,V83,0),"##0.0"))</f>
        <v>0</v>
      </c>
      <c r="L83" s="2314" t="str">
        <f ca="1">IF(U83=0,"0",TEXT(OFFSET('5  Control Accounts'!$FX$33,V83,0),"##0.00"))</f>
        <v>0</v>
      </c>
      <c r="M83" s="2304" t="str">
        <f ca="1">IF(U83=0,"0",'1 Setup'!$I$60)</f>
        <v>0</v>
      </c>
      <c r="N83" s="2308"/>
      <c r="O83" s="2308"/>
      <c r="P83" s="2304" t="str">
        <f ca="1">IF(U83=0,"0",TEXT(OFFSET('5  Control Accounts'!$FH$33,V83,0),"##0.0"))</f>
        <v>0</v>
      </c>
      <c r="Q83" s="2304" t="str">
        <f ca="1">IF(U83=0,"0",TEXT(OFFSET('5  Control Accounts'!$FY$33,V83,0),"##0.00"))</f>
        <v>0</v>
      </c>
      <c r="R83" s="2308"/>
      <c r="T83" s="2310"/>
      <c r="U83" s="2309">
        <f ca="1">$T$2*OFFSET('5  Control Accounts'!$BR$33,V83,0)</f>
        <v>0</v>
      </c>
      <c r="V83" s="2309">
        <v>76</v>
      </c>
      <c r="W83" s="1411">
        <f ca="1">IF(U83=0,0,OFFSET('5  Control Accounts'!$FD$33,V83,0))</f>
        <v>0</v>
      </c>
      <c r="X83" s="1411">
        <f ca="1">IF(U83=0,0,OFFSET('5  Control Accounts'!$FE$33,V83,0))</f>
        <v>0</v>
      </c>
      <c r="Y83" s="1406">
        <f t="shared" ca="1" si="8"/>
        <v>0</v>
      </c>
      <c r="Z83" s="1406">
        <f t="shared" ca="1" si="9"/>
        <v>0</v>
      </c>
    </row>
    <row r="84" spans="1:26" s="2295" customFormat="1" ht="15.9" customHeight="1" x14ac:dyDescent="0.3">
      <c r="A84" s="2304" t="str">
        <f ca="1">IF($U84=0,"0",'5  Control Accounts'!$EA$16)</f>
        <v>0</v>
      </c>
      <c r="B84" s="2304" t="str">
        <f ca="1">IF($U84=0,"0",'5  Control Accounts'!$EB$16&amp;"-"&amp;'4 Sign-off'!$S$123)</f>
        <v>0</v>
      </c>
      <c r="C84" s="2323" t="str">
        <f ca="1">IF(U84=0,"0",OFFSET('5  Control Accounts'!$BF$33,V84,0)&amp;"."&amp;OFFSET('5  Control Accounts'!$BH$33,V84,0))</f>
        <v>0</v>
      </c>
      <c r="D84" s="2304" t="str">
        <f t="shared" ca="1" si="10"/>
        <v>0</v>
      </c>
      <c r="E84" s="2304" t="str">
        <f t="shared" ca="1" si="11"/>
        <v>0</v>
      </c>
      <c r="F84" s="2304" t="str">
        <f ca="1">IF(U84=0,"0",OFFSET('5  Control Accounts'!$DW$33,V84,0))</f>
        <v>0</v>
      </c>
      <c r="G84" s="2308"/>
      <c r="H84" s="2308"/>
      <c r="I84" s="2308"/>
      <c r="J84" s="2308"/>
      <c r="K84" s="2304" t="str">
        <f ca="1">IF(U84=0,"0",TEXT(OFFSET('5  Control Accounts'!$FG$33,V84,0),"##0.0"))</f>
        <v>0</v>
      </c>
      <c r="L84" s="2314" t="str">
        <f ca="1">IF(U84=0,"0",TEXT(OFFSET('5  Control Accounts'!$FX$33,V84,0),"##0.00"))</f>
        <v>0</v>
      </c>
      <c r="M84" s="2304" t="str">
        <f ca="1">IF(U84=0,"0",'1 Setup'!$I$60)</f>
        <v>0</v>
      </c>
      <c r="N84" s="2308"/>
      <c r="O84" s="2308"/>
      <c r="P84" s="2304" t="str">
        <f ca="1">IF(U84=0,"0",TEXT(OFFSET('5  Control Accounts'!$FH$33,V84,0),"##0.0"))</f>
        <v>0</v>
      </c>
      <c r="Q84" s="2304" t="str">
        <f ca="1">IF(U84=0,"0",TEXT(OFFSET('5  Control Accounts'!$FY$33,V84,0),"##0.00"))</f>
        <v>0</v>
      </c>
      <c r="R84" s="2308"/>
      <c r="T84" s="2310"/>
      <c r="U84" s="2309">
        <f ca="1">$T$2*OFFSET('5  Control Accounts'!$BR$33,V84,0)</f>
        <v>0</v>
      </c>
      <c r="V84" s="2309">
        <v>77</v>
      </c>
      <c r="W84" s="1411">
        <f ca="1">IF(U84=0,0,OFFSET('5  Control Accounts'!$FD$33,V84,0))</f>
        <v>0</v>
      </c>
      <c r="X84" s="1411">
        <f ca="1">IF(U84=0,0,OFFSET('5  Control Accounts'!$FE$33,V84,0))</f>
        <v>0</v>
      </c>
      <c r="Y84" s="1406">
        <f t="shared" ca="1" si="8"/>
        <v>0</v>
      </c>
      <c r="Z84" s="1406">
        <f t="shared" ca="1" si="9"/>
        <v>0</v>
      </c>
    </row>
    <row r="85" spans="1:26" s="2295" customFormat="1" ht="15.9" customHeight="1" x14ac:dyDescent="0.3">
      <c r="A85" s="2304" t="str">
        <f ca="1">IF($U85=0,"0",'5  Control Accounts'!$EA$16)</f>
        <v>0</v>
      </c>
      <c r="B85" s="2304" t="str">
        <f ca="1">IF($U85=0,"0",'5  Control Accounts'!$EB$16&amp;"-"&amp;'4 Sign-off'!$S$123)</f>
        <v>0</v>
      </c>
      <c r="C85" s="2323" t="str">
        <f ca="1">IF(U85=0,"0",OFFSET('5  Control Accounts'!$BF$33,V85,0)&amp;"."&amp;OFFSET('5  Control Accounts'!$BH$33,V85,0))</f>
        <v>0</v>
      </c>
      <c r="D85" s="2304" t="str">
        <f t="shared" ca="1" si="10"/>
        <v>0</v>
      </c>
      <c r="E85" s="2304" t="str">
        <f t="shared" ca="1" si="11"/>
        <v>0</v>
      </c>
      <c r="F85" s="2304" t="str">
        <f ca="1">IF(U85=0,"0",OFFSET('5  Control Accounts'!$DW$33,V85,0))</f>
        <v>0</v>
      </c>
      <c r="G85" s="2308"/>
      <c r="H85" s="2308"/>
      <c r="I85" s="2308"/>
      <c r="J85" s="2308"/>
      <c r="K85" s="2304" t="str">
        <f ca="1">IF(U85=0,"0",TEXT(OFFSET('5  Control Accounts'!$FG$33,V85,0),"##0.0"))</f>
        <v>0</v>
      </c>
      <c r="L85" s="2314" t="str">
        <f ca="1">IF(U85=0,"0",TEXT(OFFSET('5  Control Accounts'!$FX$33,V85,0),"##0.00"))</f>
        <v>0</v>
      </c>
      <c r="M85" s="2304" t="str">
        <f ca="1">IF(U85=0,"0",'1 Setup'!$I$60)</f>
        <v>0</v>
      </c>
      <c r="N85" s="2308"/>
      <c r="O85" s="2308"/>
      <c r="P85" s="2304" t="str">
        <f ca="1">IF(U85=0,"0",TEXT(OFFSET('5  Control Accounts'!$FH$33,V85,0),"##0.0"))</f>
        <v>0</v>
      </c>
      <c r="Q85" s="2304" t="str">
        <f ca="1">IF(U85=0,"0",TEXT(OFFSET('5  Control Accounts'!$FY$33,V85,0),"##0.00"))</f>
        <v>0</v>
      </c>
      <c r="R85" s="2308"/>
      <c r="T85" s="2310"/>
      <c r="U85" s="2309">
        <f ca="1">$T$2*OFFSET('5  Control Accounts'!$BR$33,V85,0)</f>
        <v>0</v>
      </c>
      <c r="V85" s="2309">
        <v>78</v>
      </c>
      <c r="W85" s="1411">
        <f ca="1">IF(U85=0,0,OFFSET('5  Control Accounts'!$FD$33,V85,0))</f>
        <v>0</v>
      </c>
      <c r="X85" s="1411">
        <f ca="1">IF(U85=0,0,OFFSET('5  Control Accounts'!$FE$33,V85,0))</f>
        <v>0</v>
      </c>
      <c r="Y85" s="1406">
        <f t="shared" ca="1" si="8"/>
        <v>0</v>
      </c>
      <c r="Z85" s="1406">
        <f t="shared" ca="1" si="9"/>
        <v>0</v>
      </c>
    </row>
    <row r="86" spans="1:26" s="2295" customFormat="1" ht="15.9" customHeight="1" x14ac:dyDescent="0.3">
      <c r="A86" s="2304" t="str">
        <f ca="1">IF($U86=0,"0",'5  Control Accounts'!$EA$16)</f>
        <v>0</v>
      </c>
      <c r="B86" s="2304" t="str">
        <f ca="1">IF($U86=0,"0",'5  Control Accounts'!$EB$16&amp;"-"&amp;'4 Sign-off'!$S$123)</f>
        <v>0</v>
      </c>
      <c r="C86" s="2323" t="str">
        <f ca="1">IF(U86=0,"0",OFFSET('5  Control Accounts'!$BF$33,V86,0)&amp;"."&amp;OFFSET('5  Control Accounts'!$BH$33,V86,0))</f>
        <v>0</v>
      </c>
      <c r="D86" s="2304" t="str">
        <f t="shared" ca="1" si="10"/>
        <v>0</v>
      </c>
      <c r="E86" s="2304" t="str">
        <f t="shared" ca="1" si="11"/>
        <v>0</v>
      </c>
      <c r="F86" s="2304" t="str">
        <f ca="1">IF(U86=0,"0",OFFSET('5  Control Accounts'!$DW$33,V86,0))</f>
        <v>0</v>
      </c>
      <c r="G86" s="2308"/>
      <c r="H86" s="2308"/>
      <c r="I86" s="2308"/>
      <c r="J86" s="2308"/>
      <c r="K86" s="2304" t="str">
        <f ca="1">IF(U86=0,"0",TEXT(OFFSET('5  Control Accounts'!$FG$33,V86,0),"##0.0"))</f>
        <v>0</v>
      </c>
      <c r="L86" s="2314" t="str">
        <f ca="1">IF(U86=0,"0",TEXT(OFFSET('5  Control Accounts'!$FX$33,V86,0),"##0.00"))</f>
        <v>0</v>
      </c>
      <c r="M86" s="2304" t="str">
        <f ca="1">IF(U86=0,"0",'1 Setup'!$I$60)</f>
        <v>0</v>
      </c>
      <c r="N86" s="2308"/>
      <c r="O86" s="2308"/>
      <c r="P86" s="2304" t="str">
        <f ca="1">IF(U86=0,"0",TEXT(OFFSET('5  Control Accounts'!$FH$33,V86,0),"##0.0"))</f>
        <v>0</v>
      </c>
      <c r="Q86" s="2304" t="str">
        <f ca="1">IF(U86=0,"0",TEXT(OFFSET('5  Control Accounts'!$FY$33,V86,0),"##0.00"))</f>
        <v>0</v>
      </c>
      <c r="R86" s="2308"/>
      <c r="T86" s="2310"/>
      <c r="U86" s="2309">
        <f ca="1">$T$2*OFFSET('5  Control Accounts'!$BR$33,V86,0)</f>
        <v>0</v>
      </c>
      <c r="V86" s="2309">
        <v>79</v>
      </c>
      <c r="W86" s="1411">
        <f ca="1">IF(U86=0,0,OFFSET('5  Control Accounts'!$FD$33,V86,0))</f>
        <v>0</v>
      </c>
      <c r="X86" s="1411">
        <f ca="1">IF(U86=0,0,OFFSET('5  Control Accounts'!$FE$33,V86,0))</f>
        <v>0</v>
      </c>
      <c r="Y86" s="1406">
        <f t="shared" ca="1" si="8"/>
        <v>0</v>
      </c>
      <c r="Z86" s="1406">
        <f t="shared" ca="1" si="9"/>
        <v>0</v>
      </c>
    </row>
    <row r="87" spans="1:26" s="2295" customFormat="1" ht="15.9" customHeight="1" x14ac:dyDescent="0.3">
      <c r="A87" s="2304" t="str">
        <f ca="1">IF($U87=0,"0",'5  Control Accounts'!$EA$16)</f>
        <v>0</v>
      </c>
      <c r="B87" s="2304" t="str">
        <f ca="1">IF($U87=0,"0",'5  Control Accounts'!$EB$16&amp;"-"&amp;'4 Sign-off'!$S$123)</f>
        <v>0</v>
      </c>
      <c r="C87" s="2323" t="str">
        <f ca="1">IF(U87=0,"0",OFFSET('5  Control Accounts'!$BF$33,V87,0)&amp;"."&amp;OFFSET('5  Control Accounts'!$BH$33,V87,0))</f>
        <v>0</v>
      </c>
      <c r="D87" s="2304" t="str">
        <f t="shared" ca="1" si="10"/>
        <v>0</v>
      </c>
      <c r="E87" s="2304" t="str">
        <f t="shared" ca="1" si="11"/>
        <v>0</v>
      </c>
      <c r="F87" s="2304" t="str">
        <f ca="1">IF(U87=0,"0",OFFSET('5  Control Accounts'!$DW$33,V87,0))</f>
        <v>0</v>
      </c>
      <c r="G87" s="2308"/>
      <c r="H87" s="2308"/>
      <c r="I87" s="2308"/>
      <c r="J87" s="2308"/>
      <c r="K87" s="2304" t="str">
        <f ca="1">IF(U87=0,"0",TEXT(OFFSET('5  Control Accounts'!$FG$33,V87,0),"##0.0"))</f>
        <v>0</v>
      </c>
      <c r="L87" s="2314" t="str">
        <f ca="1">IF(U87=0,"0",TEXT(OFFSET('5  Control Accounts'!$FX$33,V87,0),"##0.00"))</f>
        <v>0</v>
      </c>
      <c r="M87" s="2304" t="str">
        <f ca="1">IF(U87=0,"0",'1 Setup'!$I$60)</f>
        <v>0</v>
      </c>
      <c r="N87" s="2308"/>
      <c r="O87" s="2308"/>
      <c r="P87" s="2304" t="str">
        <f ca="1">IF(U87=0,"0",TEXT(OFFSET('5  Control Accounts'!$FH$33,V87,0),"##0.0"))</f>
        <v>0</v>
      </c>
      <c r="Q87" s="2304" t="str">
        <f ca="1">IF(U87=0,"0",TEXT(OFFSET('5  Control Accounts'!$FY$33,V87,0),"##0.00"))</f>
        <v>0</v>
      </c>
      <c r="R87" s="2308"/>
      <c r="T87" s="2310"/>
      <c r="U87" s="2309">
        <f ca="1">$T$2*OFFSET('5  Control Accounts'!$BR$33,V87,0)</f>
        <v>0</v>
      </c>
      <c r="V87" s="2309">
        <v>80</v>
      </c>
      <c r="W87" s="1411">
        <f ca="1">IF(U87=0,0,OFFSET('5  Control Accounts'!$FD$33,V87,0))</f>
        <v>0</v>
      </c>
      <c r="X87" s="1411">
        <f ca="1">IF(U87=0,0,OFFSET('5  Control Accounts'!$FE$33,V87,0))</f>
        <v>0</v>
      </c>
      <c r="Y87" s="1406">
        <f t="shared" ca="1" si="8"/>
        <v>0</v>
      </c>
      <c r="Z87" s="1406">
        <f t="shared" ca="1" si="9"/>
        <v>0</v>
      </c>
    </row>
    <row r="88" spans="1:26" s="2295" customFormat="1" ht="15.9" customHeight="1" x14ac:dyDescent="0.3">
      <c r="A88" s="2304" t="str">
        <f ca="1">IF($U88=0,"0",'5  Control Accounts'!$EA$16)</f>
        <v>0</v>
      </c>
      <c r="B88" s="2304" t="str">
        <f ca="1">IF($U88=0,"0",'5  Control Accounts'!$EB$16&amp;"-"&amp;'4 Sign-off'!$S$123)</f>
        <v>0</v>
      </c>
      <c r="C88" s="2323" t="str">
        <f ca="1">IF(U88=0,"0",OFFSET('5  Control Accounts'!$BF$33,V88,0)&amp;"."&amp;OFFSET('5  Control Accounts'!$BH$33,V88,0))</f>
        <v>0</v>
      </c>
      <c r="D88" s="2304" t="str">
        <f t="shared" ca="1" si="10"/>
        <v>0</v>
      </c>
      <c r="E88" s="2304" t="str">
        <f t="shared" ca="1" si="11"/>
        <v>0</v>
      </c>
      <c r="F88" s="2304" t="str">
        <f ca="1">IF(U88=0,"0",OFFSET('5  Control Accounts'!$DW$33,V88,0))</f>
        <v>0</v>
      </c>
      <c r="G88" s="2308"/>
      <c r="H88" s="2308"/>
      <c r="I88" s="2308"/>
      <c r="J88" s="2308"/>
      <c r="K88" s="2304" t="str">
        <f ca="1">IF(U88=0,"0",TEXT(OFFSET('5  Control Accounts'!$FG$33,V88,0),"##0.0"))</f>
        <v>0</v>
      </c>
      <c r="L88" s="2314" t="str">
        <f ca="1">IF(U88=0,"0",TEXT(OFFSET('5  Control Accounts'!$FX$33,V88,0),"##0.00"))</f>
        <v>0</v>
      </c>
      <c r="M88" s="2304" t="str">
        <f ca="1">IF(U88=0,"0",'1 Setup'!$I$60)</f>
        <v>0</v>
      </c>
      <c r="N88" s="2308"/>
      <c r="O88" s="2308"/>
      <c r="P88" s="2304" t="str">
        <f ca="1">IF(U88=0,"0",TEXT(OFFSET('5  Control Accounts'!$FH$33,V88,0),"##0.0"))</f>
        <v>0</v>
      </c>
      <c r="Q88" s="2304" t="str">
        <f ca="1">IF(U88=0,"0",TEXT(OFFSET('5  Control Accounts'!$FY$33,V88,0),"##0.00"))</f>
        <v>0</v>
      </c>
      <c r="R88" s="2308"/>
      <c r="T88" s="2310"/>
      <c r="U88" s="2309">
        <f ca="1">$T$2*OFFSET('5  Control Accounts'!$BR$33,V88,0)</f>
        <v>0</v>
      </c>
      <c r="V88" s="2309">
        <v>81</v>
      </c>
      <c r="W88" s="1411">
        <f ca="1">IF(U88=0,0,OFFSET('5  Control Accounts'!$FD$33,V88,0))</f>
        <v>0</v>
      </c>
      <c r="X88" s="1411">
        <f ca="1">IF(U88=0,0,OFFSET('5  Control Accounts'!$FE$33,V88,0))</f>
        <v>0</v>
      </c>
      <c r="Y88" s="1406">
        <f t="shared" ca="1" si="8"/>
        <v>0</v>
      </c>
      <c r="Z88" s="1406">
        <f t="shared" ca="1" si="9"/>
        <v>0</v>
      </c>
    </row>
    <row r="89" spans="1:26" s="2295" customFormat="1" ht="15.9" customHeight="1" x14ac:dyDescent="0.3">
      <c r="A89" s="2304" t="str">
        <f ca="1">IF($U89=0,"0",'5  Control Accounts'!$EA$16)</f>
        <v>0</v>
      </c>
      <c r="B89" s="2304" t="str">
        <f ca="1">IF($U89=0,"0",'5  Control Accounts'!$EB$16&amp;"-"&amp;'4 Sign-off'!$S$123)</f>
        <v>0</v>
      </c>
      <c r="C89" s="2323" t="str">
        <f ca="1">IF(U89=0,"0",OFFSET('5  Control Accounts'!$BF$33,V89,0)&amp;"."&amp;OFFSET('5  Control Accounts'!$BH$33,V89,0))</f>
        <v>0</v>
      </c>
      <c r="D89" s="2304" t="str">
        <f t="shared" ca="1" si="10"/>
        <v>0</v>
      </c>
      <c r="E89" s="2304" t="str">
        <f t="shared" ca="1" si="11"/>
        <v>0</v>
      </c>
      <c r="F89" s="2304" t="str">
        <f ca="1">IF(U89=0,"0",OFFSET('5  Control Accounts'!$DW$33,V89,0))</f>
        <v>0</v>
      </c>
      <c r="G89" s="2308"/>
      <c r="H89" s="2308"/>
      <c r="I89" s="2308"/>
      <c r="J89" s="2308"/>
      <c r="K89" s="2304" t="str">
        <f ca="1">IF(U89=0,"0",TEXT(OFFSET('5  Control Accounts'!$FG$33,V89,0),"##0.0"))</f>
        <v>0</v>
      </c>
      <c r="L89" s="2314" t="str">
        <f ca="1">IF(U89=0,"0",TEXT(OFFSET('5  Control Accounts'!$FX$33,V89,0),"##0.00"))</f>
        <v>0</v>
      </c>
      <c r="M89" s="2304" t="str">
        <f ca="1">IF(U89=0,"0",'1 Setup'!$I$60)</f>
        <v>0</v>
      </c>
      <c r="N89" s="2308"/>
      <c r="O89" s="2308"/>
      <c r="P89" s="2304" t="str">
        <f ca="1">IF(U89=0,"0",TEXT(OFFSET('5  Control Accounts'!$FH$33,V89,0),"##0.0"))</f>
        <v>0</v>
      </c>
      <c r="Q89" s="2304" t="str">
        <f ca="1">IF(U89=0,"0",TEXT(OFFSET('5  Control Accounts'!$FY$33,V89,0),"##0.00"))</f>
        <v>0</v>
      </c>
      <c r="R89" s="2308"/>
      <c r="T89" s="2310"/>
      <c r="U89" s="2309">
        <f ca="1">$T$2*OFFSET('5  Control Accounts'!$BR$33,V89,0)</f>
        <v>0</v>
      </c>
      <c r="V89" s="2309">
        <v>82</v>
      </c>
      <c r="W89" s="1411">
        <f ca="1">IF(U89=0,0,OFFSET('5  Control Accounts'!$FD$33,V89,0))</f>
        <v>0</v>
      </c>
      <c r="X89" s="1411">
        <f ca="1">IF(U89=0,0,OFFSET('5  Control Accounts'!$FE$33,V89,0))</f>
        <v>0</v>
      </c>
      <c r="Y89" s="1406">
        <f t="shared" ca="1" si="8"/>
        <v>0</v>
      </c>
      <c r="Z89" s="1406">
        <f t="shared" ca="1" si="9"/>
        <v>0</v>
      </c>
    </row>
    <row r="90" spans="1:26" s="2295" customFormat="1" ht="15.9" customHeight="1" x14ac:dyDescent="0.3">
      <c r="A90" s="2304" t="str">
        <f ca="1">IF($U90=0,"0",'5  Control Accounts'!$EA$16)</f>
        <v>0</v>
      </c>
      <c r="B90" s="2304" t="str">
        <f ca="1">IF($U90=0,"0",'5  Control Accounts'!$EB$16&amp;"-"&amp;'4 Sign-off'!$S$123)</f>
        <v>0</v>
      </c>
      <c r="C90" s="2323" t="str">
        <f ca="1">IF(U90=0,"0",OFFSET('5  Control Accounts'!$BF$33,V90,0)&amp;"."&amp;OFFSET('5  Control Accounts'!$BH$33,V90,0))</f>
        <v>0</v>
      </c>
      <c r="D90" s="2304" t="str">
        <f t="shared" ca="1" si="10"/>
        <v>0</v>
      </c>
      <c r="E90" s="2304" t="str">
        <f t="shared" ca="1" si="11"/>
        <v>0</v>
      </c>
      <c r="F90" s="2304" t="str">
        <f ca="1">IF(U90=0,"0",OFFSET('5  Control Accounts'!$DW$33,V90,0))</f>
        <v>0</v>
      </c>
      <c r="G90" s="2308"/>
      <c r="H90" s="2308"/>
      <c r="I90" s="2308"/>
      <c r="J90" s="2308"/>
      <c r="K90" s="2304" t="str">
        <f ca="1">IF(U90=0,"0",TEXT(OFFSET('5  Control Accounts'!$FG$33,V90,0),"##0.0"))</f>
        <v>0</v>
      </c>
      <c r="L90" s="2314" t="str">
        <f ca="1">IF(U90=0,"0",TEXT(OFFSET('5  Control Accounts'!$FX$33,V90,0),"##0.00"))</f>
        <v>0</v>
      </c>
      <c r="M90" s="2304" t="str">
        <f ca="1">IF(U90=0,"0",'1 Setup'!$I$60)</f>
        <v>0</v>
      </c>
      <c r="N90" s="2308"/>
      <c r="O90" s="2308"/>
      <c r="P90" s="2304" t="str">
        <f ca="1">IF(U90=0,"0",TEXT(OFFSET('5  Control Accounts'!$FH$33,V90,0),"##0.0"))</f>
        <v>0</v>
      </c>
      <c r="Q90" s="2304" t="str">
        <f ca="1">IF(U90=0,"0",TEXT(OFFSET('5  Control Accounts'!$FY$33,V90,0),"##0.00"))</f>
        <v>0</v>
      </c>
      <c r="R90" s="2308"/>
      <c r="T90" s="2310"/>
      <c r="U90" s="2309">
        <f ca="1">$T$2*OFFSET('5  Control Accounts'!$BR$33,V90,0)</f>
        <v>0</v>
      </c>
      <c r="V90" s="2309">
        <v>83</v>
      </c>
      <c r="W90" s="1411">
        <f ca="1">IF(U90=0,0,OFFSET('5  Control Accounts'!$FD$33,V90,0))</f>
        <v>0</v>
      </c>
      <c r="X90" s="1411">
        <f ca="1">IF(U90=0,0,OFFSET('5  Control Accounts'!$FE$33,V90,0))</f>
        <v>0</v>
      </c>
      <c r="Y90" s="1406">
        <f t="shared" ca="1" si="8"/>
        <v>0</v>
      </c>
      <c r="Z90" s="1406">
        <f t="shared" ca="1" si="9"/>
        <v>0</v>
      </c>
    </row>
    <row r="91" spans="1:26" s="2295" customFormat="1" ht="15.9" customHeight="1" x14ac:dyDescent="0.3">
      <c r="A91" s="2304" t="str">
        <f ca="1">IF($U91=0,"0",'5  Control Accounts'!$EA$16)</f>
        <v>0</v>
      </c>
      <c r="B91" s="2304" t="str">
        <f ca="1">IF($U91=0,"0",'5  Control Accounts'!$EB$16&amp;"-"&amp;'4 Sign-off'!$S$123)</f>
        <v>0</v>
      </c>
      <c r="C91" s="2323" t="str">
        <f ca="1">IF(U91=0,"0",OFFSET('5  Control Accounts'!$BF$33,V91,0)&amp;"."&amp;OFFSET('5  Control Accounts'!$BH$33,V91,0))</f>
        <v>0</v>
      </c>
      <c r="D91" s="2304" t="str">
        <f t="shared" ca="1" si="10"/>
        <v>0</v>
      </c>
      <c r="E91" s="2304" t="str">
        <f t="shared" ca="1" si="11"/>
        <v>0</v>
      </c>
      <c r="F91" s="2304" t="str">
        <f ca="1">IF(U91=0,"0",OFFSET('5  Control Accounts'!$DW$33,V91,0))</f>
        <v>0</v>
      </c>
      <c r="G91" s="2308"/>
      <c r="H91" s="2308"/>
      <c r="I91" s="2308"/>
      <c r="J91" s="2308"/>
      <c r="K91" s="2304" t="str">
        <f ca="1">IF(U91=0,"0",TEXT(OFFSET('5  Control Accounts'!$FG$33,V91,0),"##0.0"))</f>
        <v>0</v>
      </c>
      <c r="L91" s="2314" t="str">
        <f ca="1">IF(U91=0,"0",TEXT(OFFSET('5  Control Accounts'!$FX$33,V91,0),"##0.00"))</f>
        <v>0</v>
      </c>
      <c r="M91" s="2304" t="str">
        <f ca="1">IF(U91=0,"0",'1 Setup'!$I$60)</f>
        <v>0</v>
      </c>
      <c r="N91" s="2308"/>
      <c r="O91" s="2308"/>
      <c r="P91" s="2304" t="str">
        <f ca="1">IF(U91=0,"0",TEXT(OFFSET('5  Control Accounts'!$FH$33,V91,0),"##0.0"))</f>
        <v>0</v>
      </c>
      <c r="Q91" s="2304" t="str">
        <f ca="1">IF(U91=0,"0",TEXT(OFFSET('5  Control Accounts'!$FY$33,V91,0),"##0.00"))</f>
        <v>0</v>
      </c>
      <c r="R91" s="2308"/>
      <c r="T91" s="2310"/>
      <c r="U91" s="2309">
        <f ca="1">$T$2*OFFSET('5  Control Accounts'!$BR$33,V91,0)</f>
        <v>0</v>
      </c>
      <c r="V91" s="2309">
        <v>84</v>
      </c>
      <c r="W91" s="1411">
        <f ca="1">IF(U91=0,0,OFFSET('5  Control Accounts'!$FD$33,V91,0))</f>
        <v>0</v>
      </c>
      <c r="X91" s="1411">
        <f ca="1">IF(U91=0,0,OFFSET('5  Control Accounts'!$FE$33,V91,0))</f>
        <v>0</v>
      </c>
      <c r="Y91" s="1406">
        <f t="shared" ca="1" si="8"/>
        <v>0</v>
      </c>
      <c r="Z91" s="1406">
        <f t="shared" ca="1" si="9"/>
        <v>0</v>
      </c>
    </row>
    <row r="92" spans="1:26" s="2295" customFormat="1" ht="15.9" customHeight="1" x14ac:dyDescent="0.3">
      <c r="A92" s="2304" t="str">
        <f ca="1">IF($U92=0,"0",'5  Control Accounts'!$EA$16)</f>
        <v>0</v>
      </c>
      <c r="B92" s="2304" t="str">
        <f ca="1">IF($U92=0,"0",'5  Control Accounts'!$EB$16&amp;"-"&amp;'4 Sign-off'!$S$123)</f>
        <v>0</v>
      </c>
      <c r="C92" s="2323" t="str">
        <f ca="1">IF(U92=0,"0",OFFSET('5  Control Accounts'!$BF$33,V92,0)&amp;"."&amp;OFFSET('5  Control Accounts'!$BH$33,V92,0))</f>
        <v>0</v>
      </c>
      <c r="D92" s="2304" t="str">
        <f t="shared" ca="1" si="10"/>
        <v>0</v>
      </c>
      <c r="E92" s="2304" t="str">
        <f t="shared" ca="1" si="11"/>
        <v>0</v>
      </c>
      <c r="F92" s="2304" t="str">
        <f ca="1">IF(U92=0,"0",OFFSET('5  Control Accounts'!$DW$33,V92,0))</f>
        <v>0</v>
      </c>
      <c r="G92" s="2308"/>
      <c r="H92" s="2308"/>
      <c r="I92" s="2308"/>
      <c r="J92" s="2308"/>
      <c r="K92" s="2304" t="str">
        <f ca="1">IF(U92=0,"0",TEXT(OFFSET('5  Control Accounts'!$FG$33,V92,0),"##0.0"))</f>
        <v>0</v>
      </c>
      <c r="L92" s="2314" t="str">
        <f ca="1">IF(U92=0,"0",TEXT(OFFSET('5  Control Accounts'!$FX$33,V92,0),"##0.00"))</f>
        <v>0</v>
      </c>
      <c r="M92" s="2304" t="str">
        <f ca="1">IF(U92=0,"0",'1 Setup'!$I$60)</f>
        <v>0</v>
      </c>
      <c r="N92" s="2308"/>
      <c r="O92" s="2308"/>
      <c r="P92" s="2304" t="str">
        <f ca="1">IF(U92=0,"0",TEXT(OFFSET('5  Control Accounts'!$FH$33,V92,0),"##0.0"))</f>
        <v>0</v>
      </c>
      <c r="Q92" s="2304" t="str">
        <f ca="1">IF(U92=0,"0",TEXT(OFFSET('5  Control Accounts'!$FY$33,V92,0),"##0.00"))</f>
        <v>0</v>
      </c>
      <c r="R92" s="2308"/>
      <c r="T92" s="2310"/>
      <c r="U92" s="2309">
        <f ca="1">$T$2*OFFSET('5  Control Accounts'!$BR$33,V92,0)</f>
        <v>0</v>
      </c>
      <c r="V92" s="2309">
        <v>85</v>
      </c>
      <c r="W92" s="1411">
        <f ca="1">IF(U92=0,0,OFFSET('5  Control Accounts'!$FD$33,V92,0))</f>
        <v>0</v>
      </c>
      <c r="X92" s="1411">
        <f ca="1">IF(U92=0,0,OFFSET('5  Control Accounts'!$FE$33,V92,0))</f>
        <v>0</v>
      </c>
      <c r="Y92" s="1406">
        <f t="shared" ca="1" si="8"/>
        <v>0</v>
      </c>
      <c r="Z92" s="1406">
        <f t="shared" ca="1" si="9"/>
        <v>0</v>
      </c>
    </row>
    <row r="93" spans="1:26" s="2295" customFormat="1" ht="15.9" customHeight="1" x14ac:dyDescent="0.3">
      <c r="A93" s="2304" t="str">
        <f ca="1">IF($U93=0,"0",'5  Control Accounts'!$EA$16)</f>
        <v>0</v>
      </c>
      <c r="B93" s="2304" t="str">
        <f ca="1">IF($U93=0,"0",'5  Control Accounts'!$EB$16&amp;"-"&amp;'4 Sign-off'!$S$123)</f>
        <v>0</v>
      </c>
      <c r="C93" s="2323" t="str">
        <f ca="1">IF(U93=0,"0",OFFSET('5  Control Accounts'!$BF$33,V93,0)&amp;"."&amp;OFFSET('5  Control Accounts'!$BH$33,V93,0))</f>
        <v>0</v>
      </c>
      <c r="D93" s="2304" t="str">
        <f t="shared" ca="1" si="10"/>
        <v>0</v>
      </c>
      <c r="E93" s="2304" t="str">
        <f t="shared" ca="1" si="11"/>
        <v>0</v>
      </c>
      <c r="F93" s="2304" t="str">
        <f ca="1">IF(U93=0,"0",OFFSET('5  Control Accounts'!$DW$33,V93,0))</f>
        <v>0</v>
      </c>
      <c r="G93" s="2308"/>
      <c r="H93" s="2308"/>
      <c r="I93" s="2308"/>
      <c r="J93" s="2308"/>
      <c r="K93" s="2304" t="str">
        <f ca="1">IF(U93=0,"0",TEXT(OFFSET('5  Control Accounts'!$FG$33,V93,0),"##0.0"))</f>
        <v>0</v>
      </c>
      <c r="L93" s="2314" t="str">
        <f ca="1">IF(U93=0,"0",TEXT(OFFSET('5  Control Accounts'!$FX$33,V93,0),"##0.00"))</f>
        <v>0</v>
      </c>
      <c r="M93" s="2304" t="str">
        <f ca="1">IF(U93=0,"0",'1 Setup'!$I$60)</f>
        <v>0</v>
      </c>
      <c r="N93" s="2308"/>
      <c r="O93" s="2308"/>
      <c r="P93" s="2304" t="str">
        <f ca="1">IF(U93=0,"0",TEXT(OFFSET('5  Control Accounts'!$FH$33,V93,0),"##0.0"))</f>
        <v>0</v>
      </c>
      <c r="Q93" s="2304" t="str">
        <f ca="1">IF(U93=0,"0",TEXT(OFFSET('5  Control Accounts'!$FY$33,V93,0),"##0.00"))</f>
        <v>0</v>
      </c>
      <c r="R93" s="2308"/>
      <c r="T93" s="2310"/>
      <c r="U93" s="2309">
        <f ca="1">$T$2*OFFSET('5  Control Accounts'!$BR$33,V93,0)</f>
        <v>0</v>
      </c>
      <c r="V93" s="2309">
        <v>86</v>
      </c>
      <c r="W93" s="1411">
        <f ca="1">IF(U93=0,0,OFFSET('5  Control Accounts'!$FD$33,V93,0))</f>
        <v>0</v>
      </c>
      <c r="X93" s="1411">
        <f ca="1">IF(U93=0,0,OFFSET('5  Control Accounts'!$FE$33,V93,0))</f>
        <v>0</v>
      </c>
      <c r="Y93" s="1406">
        <f t="shared" ca="1" si="8"/>
        <v>0</v>
      </c>
      <c r="Z93" s="1406">
        <f t="shared" ca="1" si="9"/>
        <v>0</v>
      </c>
    </row>
    <row r="94" spans="1:26" s="2295" customFormat="1" ht="15.9" customHeight="1" x14ac:dyDescent="0.3">
      <c r="A94" s="2304" t="str">
        <f ca="1">IF($U94=0,"0",'5  Control Accounts'!$EA$16)</f>
        <v>0</v>
      </c>
      <c r="B94" s="2304" t="str">
        <f ca="1">IF($U94=0,"0",'5  Control Accounts'!$EB$16&amp;"-"&amp;'4 Sign-off'!$S$123)</f>
        <v>0</v>
      </c>
      <c r="C94" s="2323" t="str">
        <f ca="1">IF(U94=0,"0",OFFSET('5  Control Accounts'!$BF$33,V94,0)&amp;"."&amp;OFFSET('5  Control Accounts'!$BH$33,V94,0))</f>
        <v>0</v>
      </c>
      <c r="D94" s="2304" t="str">
        <f t="shared" ca="1" si="10"/>
        <v>0</v>
      </c>
      <c r="E94" s="2304" t="str">
        <f t="shared" ca="1" si="11"/>
        <v>0</v>
      </c>
      <c r="F94" s="2304" t="str">
        <f ca="1">IF(U94=0,"0",OFFSET('5  Control Accounts'!$DW$33,V94,0))</f>
        <v>0</v>
      </c>
      <c r="G94" s="2308"/>
      <c r="H94" s="2308"/>
      <c r="I94" s="2308"/>
      <c r="J94" s="2308"/>
      <c r="K94" s="2304" t="str">
        <f ca="1">IF(U94=0,"0",TEXT(OFFSET('5  Control Accounts'!$FG$33,V94,0),"##0.0"))</f>
        <v>0</v>
      </c>
      <c r="L94" s="2314" t="str">
        <f ca="1">IF(U94=0,"0",TEXT(OFFSET('5  Control Accounts'!$FX$33,V94,0),"##0.00"))</f>
        <v>0</v>
      </c>
      <c r="M94" s="2304" t="str">
        <f ca="1">IF(U94=0,"0",'1 Setup'!$I$60)</f>
        <v>0</v>
      </c>
      <c r="N94" s="2308"/>
      <c r="O94" s="2308"/>
      <c r="P94" s="2304" t="str">
        <f ca="1">IF(U94=0,"0",TEXT(OFFSET('5  Control Accounts'!$FH$33,V94,0),"##0.0"))</f>
        <v>0</v>
      </c>
      <c r="Q94" s="2304" t="str">
        <f ca="1">IF(U94=0,"0",TEXT(OFFSET('5  Control Accounts'!$FY$33,V94,0),"##0.00"))</f>
        <v>0</v>
      </c>
      <c r="R94" s="2308"/>
      <c r="T94" s="2310"/>
      <c r="U94" s="2309">
        <f ca="1">$T$2*OFFSET('5  Control Accounts'!$BR$33,V94,0)</f>
        <v>0</v>
      </c>
      <c r="V94" s="2309">
        <v>87</v>
      </c>
      <c r="W94" s="1411">
        <f ca="1">IF(U94=0,0,OFFSET('5  Control Accounts'!$FD$33,V94,0))</f>
        <v>0</v>
      </c>
      <c r="X94" s="1411">
        <f ca="1">IF(U94=0,0,OFFSET('5  Control Accounts'!$FE$33,V94,0))</f>
        <v>0</v>
      </c>
      <c r="Y94" s="1406">
        <f t="shared" ca="1" si="8"/>
        <v>0</v>
      </c>
      <c r="Z94" s="1406">
        <f t="shared" ca="1" si="9"/>
        <v>0</v>
      </c>
    </row>
    <row r="95" spans="1:26" s="2295" customFormat="1" ht="15.9" customHeight="1" x14ac:dyDescent="0.3">
      <c r="A95" s="2304" t="str">
        <f ca="1">IF($U95=0,"0",'5  Control Accounts'!$EA$16)</f>
        <v>0</v>
      </c>
      <c r="B95" s="2304" t="str">
        <f ca="1">IF($U95=0,"0",'5  Control Accounts'!$EB$16&amp;"-"&amp;'4 Sign-off'!$S$123)</f>
        <v>0</v>
      </c>
      <c r="C95" s="2323" t="str">
        <f ca="1">IF(U95=0,"0",OFFSET('5  Control Accounts'!$BF$33,V95,0)&amp;"."&amp;OFFSET('5  Control Accounts'!$BH$33,V95,0))</f>
        <v>0</v>
      </c>
      <c r="D95" s="2304" t="str">
        <f t="shared" ca="1" si="10"/>
        <v>0</v>
      </c>
      <c r="E95" s="2304" t="str">
        <f t="shared" ca="1" si="11"/>
        <v>0</v>
      </c>
      <c r="F95" s="2304" t="str">
        <f ca="1">IF(U95=0,"0",OFFSET('5  Control Accounts'!$DW$33,V95,0))</f>
        <v>0</v>
      </c>
      <c r="G95" s="2308"/>
      <c r="H95" s="2308"/>
      <c r="I95" s="2308"/>
      <c r="J95" s="2308"/>
      <c r="K95" s="2304" t="str">
        <f ca="1">IF(U95=0,"0",TEXT(OFFSET('5  Control Accounts'!$FG$33,V95,0),"##0.0"))</f>
        <v>0</v>
      </c>
      <c r="L95" s="2314" t="str">
        <f ca="1">IF(U95=0,"0",TEXT(OFFSET('5  Control Accounts'!$FX$33,V95,0),"##0.00"))</f>
        <v>0</v>
      </c>
      <c r="M95" s="2304" t="str">
        <f ca="1">IF(U95=0,"0",'1 Setup'!$I$60)</f>
        <v>0</v>
      </c>
      <c r="N95" s="2308"/>
      <c r="O95" s="2308"/>
      <c r="P95" s="2304" t="str">
        <f ca="1">IF(U95=0,"0",TEXT(OFFSET('5  Control Accounts'!$FH$33,V95,0),"##0.0"))</f>
        <v>0</v>
      </c>
      <c r="Q95" s="2304" t="str">
        <f ca="1">IF(U95=0,"0",TEXT(OFFSET('5  Control Accounts'!$FY$33,V95,0),"##0.00"))</f>
        <v>0</v>
      </c>
      <c r="R95" s="2308"/>
      <c r="T95" s="2310"/>
      <c r="U95" s="2309">
        <f ca="1">$T$2*OFFSET('5  Control Accounts'!$BR$33,V95,0)</f>
        <v>0</v>
      </c>
      <c r="V95" s="2309">
        <v>88</v>
      </c>
      <c r="W95" s="1411">
        <f ca="1">IF(U95=0,0,OFFSET('5  Control Accounts'!$FD$33,V95,0))</f>
        <v>0</v>
      </c>
      <c r="X95" s="1411">
        <f ca="1">IF(U95=0,0,OFFSET('5  Control Accounts'!$FE$33,V95,0))</f>
        <v>0</v>
      </c>
      <c r="Y95" s="1406">
        <f t="shared" ca="1" si="8"/>
        <v>0</v>
      </c>
      <c r="Z95" s="1406">
        <f t="shared" ca="1" si="9"/>
        <v>0</v>
      </c>
    </row>
    <row r="96" spans="1:26" s="2295" customFormat="1" ht="15.9" customHeight="1" x14ac:dyDescent="0.3">
      <c r="A96" s="2304" t="str">
        <f ca="1">IF($U96=0,"0",'5  Control Accounts'!$EA$16)</f>
        <v>0</v>
      </c>
      <c r="B96" s="2304" t="str">
        <f ca="1">IF($U96=0,"0",'5  Control Accounts'!$EB$16&amp;"-"&amp;'4 Sign-off'!$S$123)</f>
        <v>0</v>
      </c>
      <c r="C96" s="2323" t="str">
        <f ca="1">IF(U96=0,"0",OFFSET('5  Control Accounts'!$BF$33,V96,0)&amp;"."&amp;OFFSET('5  Control Accounts'!$BH$33,V96,0))</f>
        <v>0</v>
      </c>
      <c r="D96" s="2304" t="str">
        <f t="shared" ca="1" si="10"/>
        <v>0</v>
      </c>
      <c r="E96" s="2304" t="str">
        <f t="shared" ca="1" si="11"/>
        <v>0</v>
      </c>
      <c r="F96" s="2304" t="str">
        <f ca="1">IF(U96=0,"0",OFFSET('5  Control Accounts'!$DW$33,V96,0))</f>
        <v>0</v>
      </c>
      <c r="G96" s="2308"/>
      <c r="H96" s="2308"/>
      <c r="I96" s="2308"/>
      <c r="J96" s="2308"/>
      <c r="K96" s="2304" t="str">
        <f ca="1">IF(U96=0,"0",TEXT(OFFSET('5  Control Accounts'!$FG$33,V96,0),"##0.0"))</f>
        <v>0</v>
      </c>
      <c r="L96" s="2314" t="str">
        <f ca="1">IF(U96=0,"0",TEXT(OFFSET('5  Control Accounts'!$FX$33,V96,0),"##0.00"))</f>
        <v>0</v>
      </c>
      <c r="M96" s="2304" t="str">
        <f ca="1">IF(U96=0,"0",'1 Setup'!$I$60)</f>
        <v>0</v>
      </c>
      <c r="N96" s="2308"/>
      <c r="O96" s="2308"/>
      <c r="P96" s="2304" t="str">
        <f ca="1">IF(U96=0,"0",TEXT(OFFSET('5  Control Accounts'!$FH$33,V96,0),"##0.0"))</f>
        <v>0</v>
      </c>
      <c r="Q96" s="2304" t="str">
        <f ca="1">IF(U96=0,"0",TEXT(OFFSET('5  Control Accounts'!$FY$33,V96,0),"##0.00"))</f>
        <v>0</v>
      </c>
      <c r="R96" s="2308"/>
      <c r="T96" s="2310"/>
      <c r="U96" s="2309">
        <f ca="1">$T$2*OFFSET('5  Control Accounts'!$BR$33,V96,0)</f>
        <v>0</v>
      </c>
      <c r="V96" s="2309">
        <v>89</v>
      </c>
      <c r="W96" s="1411">
        <f ca="1">IF(U96=0,0,OFFSET('5  Control Accounts'!$FD$33,V96,0))</f>
        <v>0</v>
      </c>
      <c r="X96" s="1411">
        <f ca="1">IF(U96=0,0,OFFSET('5  Control Accounts'!$FE$33,V96,0))</f>
        <v>0</v>
      </c>
      <c r="Y96" s="1406">
        <f t="shared" ca="1" si="8"/>
        <v>0</v>
      </c>
      <c r="Z96" s="1406">
        <f t="shared" ca="1" si="9"/>
        <v>0</v>
      </c>
    </row>
    <row r="97" spans="1:26" s="2295" customFormat="1" ht="15.9" customHeight="1" x14ac:dyDescent="0.3">
      <c r="A97" s="2304" t="str">
        <f ca="1">IF($U97=0,"0",'5  Control Accounts'!$EA$16)</f>
        <v>0</v>
      </c>
      <c r="B97" s="2304" t="str">
        <f ca="1">IF($U97=0,"0",'5  Control Accounts'!$EB$16&amp;"-"&amp;'4 Sign-off'!$S$123)</f>
        <v>0</v>
      </c>
      <c r="C97" s="2323" t="str">
        <f ca="1">IF(U97=0,"0",OFFSET('5  Control Accounts'!$BF$33,V97,0)&amp;"."&amp;OFFSET('5  Control Accounts'!$BH$33,V97,0))</f>
        <v>0</v>
      </c>
      <c r="D97" s="2304" t="str">
        <f t="shared" ca="1" si="10"/>
        <v>0</v>
      </c>
      <c r="E97" s="2304" t="str">
        <f t="shared" ca="1" si="11"/>
        <v>0</v>
      </c>
      <c r="F97" s="2304" t="str">
        <f ca="1">IF(U97=0,"0",OFFSET('5  Control Accounts'!$DW$33,V97,0))</f>
        <v>0</v>
      </c>
      <c r="G97" s="2308"/>
      <c r="H97" s="2308"/>
      <c r="I97" s="2308"/>
      <c r="J97" s="2308"/>
      <c r="K97" s="2304" t="str">
        <f ca="1">IF(U97=0,"0",TEXT(OFFSET('5  Control Accounts'!$FG$33,V97,0),"##0.0"))</f>
        <v>0</v>
      </c>
      <c r="L97" s="2314" t="str">
        <f ca="1">IF(U97=0,"0",TEXT(OFFSET('5  Control Accounts'!$FX$33,V97,0),"##0.00"))</f>
        <v>0</v>
      </c>
      <c r="M97" s="2304" t="str">
        <f ca="1">IF(U97=0,"0",'1 Setup'!$I$60)</f>
        <v>0</v>
      </c>
      <c r="N97" s="2308"/>
      <c r="O97" s="2308"/>
      <c r="P97" s="2304" t="str">
        <f ca="1">IF(U97=0,"0",TEXT(OFFSET('5  Control Accounts'!$FH$33,V97,0),"##0.0"))</f>
        <v>0</v>
      </c>
      <c r="Q97" s="2304" t="str">
        <f ca="1">IF(U97=0,"0",TEXT(OFFSET('5  Control Accounts'!$FY$33,V97,0),"##0.00"))</f>
        <v>0</v>
      </c>
      <c r="R97" s="2308"/>
      <c r="T97" s="2310"/>
      <c r="U97" s="2309">
        <f ca="1">$T$2*OFFSET('5  Control Accounts'!$BR$33,V97,0)</f>
        <v>0</v>
      </c>
      <c r="V97" s="2309">
        <v>90</v>
      </c>
      <c r="W97" s="1411">
        <f ca="1">IF(U97=0,0,OFFSET('5  Control Accounts'!$FD$33,V97,0))</f>
        <v>0</v>
      </c>
      <c r="X97" s="1411">
        <f ca="1">IF(U97=0,0,OFFSET('5  Control Accounts'!$FE$33,V97,0))</f>
        <v>0</v>
      </c>
      <c r="Y97" s="1406">
        <f t="shared" ca="1" si="8"/>
        <v>0</v>
      </c>
      <c r="Z97" s="1406">
        <f t="shared" ca="1" si="9"/>
        <v>0</v>
      </c>
    </row>
    <row r="98" spans="1:26" s="2295" customFormat="1" ht="15.9" customHeight="1" x14ac:dyDescent="0.3">
      <c r="A98" s="2304" t="str">
        <f ca="1">IF($U98=0,"0",'5  Control Accounts'!$EA$16)</f>
        <v>0</v>
      </c>
      <c r="B98" s="2304" t="str">
        <f ca="1">IF($U98=0,"0",'5  Control Accounts'!$EB$16&amp;"-"&amp;'4 Sign-off'!$S$123)</f>
        <v>0</v>
      </c>
      <c r="C98" s="2323" t="str">
        <f ca="1">IF(U98=0,"0",OFFSET('5  Control Accounts'!$BF$33,V98,0)&amp;"."&amp;OFFSET('5  Control Accounts'!$BH$33,V98,0))</f>
        <v>0</v>
      </c>
      <c r="D98" s="2304" t="str">
        <f t="shared" ca="1" si="10"/>
        <v>0</v>
      </c>
      <c r="E98" s="2304" t="str">
        <f t="shared" ca="1" si="11"/>
        <v>0</v>
      </c>
      <c r="F98" s="2304" t="str">
        <f ca="1">IF(U98=0,"0",OFFSET('5  Control Accounts'!$DW$33,V98,0))</f>
        <v>0</v>
      </c>
      <c r="G98" s="2308"/>
      <c r="H98" s="2308"/>
      <c r="I98" s="2308"/>
      <c r="J98" s="2308"/>
      <c r="K98" s="2304" t="str">
        <f ca="1">IF(U98=0,"0",TEXT(OFFSET('5  Control Accounts'!$FG$33,V98,0),"##0.0"))</f>
        <v>0</v>
      </c>
      <c r="L98" s="2314" t="str">
        <f ca="1">IF(U98=0,"0",TEXT(OFFSET('5  Control Accounts'!$FX$33,V98,0),"##0.00"))</f>
        <v>0</v>
      </c>
      <c r="M98" s="2304" t="str">
        <f ca="1">IF(U98=0,"0",'1 Setup'!$I$60)</f>
        <v>0</v>
      </c>
      <c r="N98" s="2308"/>
      <c r="O98" s="2308"/>
      <c r="P98" s="2304" t="str">
        <f ca="1">IF(U98=0,"0",TEXT(OFFSET('5  Control Accounts'!$FH$33,V98,0),"##0.0"))</f>
        <v>0</v>
      </c>
      <c r="Q98" s="2304" t="str">
        <f ca="1">IF(U98=0,"0",TEXT(OFFSET('5  Control Accounts'!$FY$33,V98,0),"##0.00"))</f>
        <v>0</v>
      </c>
      <c r="R98" s="2308"/>
      <c r="T98" s="2310"/>
      <c r="U98" s="2309">
        <f ca="1">$T$2*OFFSET('5  Control Accounts'!$BR$33,V98,0)</f>
        <v>0</v>
      </c>
      <c r="V98" s="2309">
        <v>91</v>
      </c>
      <c r="W98" s="1411">
        <f ca="1">IF(U98=0,0,OFFSET('5  Control Accounts'!$FD$33,V98,0))</f>
        <v>0</v>
      </c>
      <c r="X98" s="1411">
        <f ca="1">IF(U98=0,0,OFFSET('5  Control Accounts'!$FE$33,V98,0))</f>
        <v>0</v>
      </c>
      <c r="Y98" s="1406">
        <f t="shared" ca="1" si="8"/>
        <v>0</v>
      </c>
      <c r="Z98" s="1406">
        <f t="shared" ca="1" si="9"/>
        <v>0</v>
      </c>
    </row>
    <row r="99" spans="1:26" s="2295" customFormat="1" ht="15.9" customHeight="1" x14ac:dyDescent="0.3">
      <c r="A99" s="2304" t="str">
        <f ca="1">IF($U99=0,"0",'5  Control Accounts'!$EA$16)</f>
        <v>0</v>
      </c>
      <c r="B99" s="2304" t="str">
        <f ca="1">IF($U99=0,"0",'5  Control Accounts'!$EB$16&amp;"-"&amp;'4 Sign-off'!$S$123)</f>
        <v>0</v>
      </c>
      <c r="C99" s="2323" t="str">
        <f ca="1">IF(U99=0,"0",OFFSET('5  Control Accounts'!$BF$33,V99,0)&amp;"."&amp;OFFSET('5  Control Accounts'!$BH$33,V99,0))</f>
        <v>0</v>
      </c>
      <c r="D99" s="2304" t="str">
        <f t="shared" ca="1" si="10"/>
        <v>0</v>
      </c>
      <c r="E99" s="2304" t="str">
        <f t="shared" ca="1" si="11"/>
        <v>0</v>
      </c>
      <c r="F99" s="2304" t="str">
        <f ca="1">IF(U99=0,"0",OFFSET('5  Control Accounts'!$DW$33,V99,0))</f>
        <v>0</v>
      </c>
      <c r="G99" s="2308"/>
      <c r="H99" s="2308"/>
      <c r="I99" s="2308"/>
      <c r="J99" s="2308"/>
      <c r="K99" s="2304" t="str">
        <f ca="1">IF(U99=0,"0",TEXT(OFFSET('5  Control Accounts'!$FG$33,V99,0),"##0.0"))</f>
        <v>0</v>
      </c>
      <c r="L99" s="2314" t="str">
        <f ca="1">IF(U99=0,"0",TEXT(OFFSET('5  Control Accounts'!$FX$33,V99,0),"##0.00"))</f>
        <v>0</v>
      </c>
      <c r="M99" s="2304" t="str">
        <f ca="1">IF(U99=0,"0",'1 Setup'!$I$60)</f>
        <v>0</v>
      </c>
      <c r="N99" s="2308"/>
      <c r="O99" s="2308"/>
      <c r="P99" s="2304" t="str">
        <f ca="1">IF(U99=0,"0",TEXT(OFFSET('5  Control Accounts'!$FH$33,V99,0),"##0.0"))</f>
        <v>0</v>
      </c>
      <c r="Q99" s="2304" t="str">
        <f ca="1">IF(U99=0,"0",TEXT(OFFSET('5  Control Accounts'!$FY$33,V99,0),"##0.00"))</f>
        <v>0</v>
      </c>
      <c r="R99" s="2308"/>
      <c r="T99" s="2310"/>
      <c r="U99" s="2309">
        <f ca="1">$T$2*OFFSET('5  Control Accounts'!$BR$33,V99,0)</f>
        <v>0</v>
      </c>
      <c r="V99" s="2309">
        <v>92</v>
      </c>
      <c r="W99" s="1411">
        <f ca="1">IF(U99=0,0,OFFSET('5  Control Accounts'!$FD$33,V99,0))</f>
        <v>0</v>
      </c>
      <c r="X99" s="1411">
        <f ca="1">IF(U99=0,0,OFFSET('5  Control Accounts'!$FE$33,V99,0))</f>
        <v>0</v>
      </c>
      <c r="Y99" s="1406">
        <f t="shared" ca="1" si="8"/>
        <v>0</v>
      </c>
      <c r="Z99" s="1406">
        <f t="shared" ca="1" si="9"/>
        <v>0</v>
      </c>
    </row>
    <row r="100" spans="1:26" s="2295" customFormat="1" ht="15.9" customHeight="1" x14ac:dyDescent="0.3">
      <c r="A100" s="2304" t="str">
        <f ca="1">IF($U100=0,"0",'5  Control Accounts'!$EA$16)</f>
        <v>0</v>
      </c>
      <c r="B100" s="2304" t="str">
        <f ca="1">IF($U100=0,"0",'5  Control Accounts'!$EB$16&amp;"-"&amp;'4 Sign-off'!$S$123)</f>
        <v>0</v>
      </c>
      <c r="C100" s="2323" t="str">
        <f ca="1">IF(U100=0,"0",OFFSET('5  Control Accounts'!$BF$33,V100,0)&amp;"."&amp;OFFSET('5  Control Accounts'!$BH$33,V100,0))</f>
        <v>0</v>
      </c>
      <c r="D100" s="2304" t="str">
        <f t="shared" ca="1" si="10"/>
        <v>0</v>
      </c>
      <c r="E100" s="2304" t="str">
        <f t="shared" ca="1" si="11"/>
        <v>0</v>
      </c>
      <c r="F100" s="2304" t="str">
        <f ca="1">IF(U100=0,"0",OFFSET('5  Control Accounts'!$DW$33,V100,0))</f>
        <v>0</v>
      </c>
      <c r="G100" s="2308"/>
      <c r="H100" s="2308"/>
      <c r="I100" s="2308"/>
      <c r="J100" s="2308"/>
      <c r="K100" s="2304" t="str">
        <f ca="1">IF(U100=0,"0",TEXT(OFFSET('5  Control Accounts'!$FG$33,V100,0),"##0.0"))</f>
        <v>0</v>
      </c>
      <c r="L100" s="2314" t="str">
        <f ca="1">IF(U100=0,"0",TEXT(OFFSET('5  Control Accounts'!$FX$33,V100,0),"##0.00"))</f>
        <v>0</v>
      </c>
      <c r="M100" s="2304" t="str">
        <f ca="1">IF(U100=0,"0",'1 Setup'!$I$60)</f>
        <v>0</v>
      </c>
      <c r="N100" s="2308"/>
      <c r="O100" s="2308"/>
      <c r="P100" s="2304" t="str">
        <f ca="1">IF(U100=0,"0",TEXT(OFFSET('5  Control Accounts'!$FH$33,V100,0),"##0.0"))</f>
        <v>0</v>
      </c>
      <c r="Q100" s="2304" t="str">
        <f ca="1">IF(U100=0,"0",TEXT(OFFSET('5  Control Accounts'!$FY$33,V100,0),"##0.00"))</f>
        <v>0</v>
      </c>
      <c r="R100" s="2308"/>
      <c r="T100" s="2310"/>
      <c r="U100" s="2309">
        <f ca="1">$T$2*OFFSET('5  Control Accounts'!$BR$33,V100,0)</f>
        <v>0</v>
      </c>
      <c r="V100" s="2309">
        <v>93</v>
      </c>
      <c r="W100" s="1411">
        <f ca="1">IF(U100=0,0,OFFSET('5  Control Accounts'!$FD$33,V100,0))</f>
        <v>0</v>
      </c>
      <c r="X100" s="1411">
        <f ca="1">IF(U100=0,0,OFFSET('5  Control Accounts'!$FE$33,V100,0))</f>
        <v>0</v>
      </c>
      <c r="Y100" s="1406">
        <f t="shared" ca="1" si="8"/>
        <v>0</v>
      </c>
      <c r="Z100" s="1406">
        <f t="shared" ca="1" si="9"/>
        <v>0</v>
      </c>
    </row>
    <row r="101" spans="1:26" s="2295" customFormat="1" ht="15.9" customHeight="1" x14ac:dyDescent="0.3">
      <c r="A101" s="2304" t="str">
        <f ca="1">IF($U101=0,"0",'5  Control Accounts'!$EA$16)</f>
        <v>0</v>
      </c>
      <c r="B101" s="2304" t="str">
        <f ca="1">IF($U101=0,"0",'5  Control Accounts'!$EB$16&amp;"-"&amp;'4 Sign-off'!$S$123)</f>
        <v>0</v>
      </c>
      <c r="C101" s="2323" t="str">
        <f ca="1">IF(U101=0,"0",OFFSET('5  Control Accounts'!$BF$33,V101,0)&amp;"."&amp;OFFSET('5  Control Accounts'!$BH$33,V101,0))</f>
        <v>0</v>
      </c>
      <c r="D101" s="2304" t="str">
        <f t="shared" ca="1" si="10"/>
        <v>0</v>
      </c>
      <c r="E101" s="2304" t="str">
        <f t="shared" ca="1" si="11"/>
        <v>0</v>
      </c>
      <c r="F101" s="2304" t="str">
        <f ca="1">IF(U101=0,"0",OFFSET('5  Control Accounts'!$DW$33,V101,0))</f>
        <v>0</v>
      </c>
      <c r="G101" s="2308"/>
      <c r="H101" s="2308"/>
      <c r="I101" s="2308"/>
      <c r="J101" s="2308"/>
      <c r="K101" s="2304" t="str">
        <f ca="1">IF(U101=0,"0",TEXT(OFFSET('5  Control Accounts'!$FG$33,V101,0),"##0.0"))</f>
        <v>0</v>
      </c>
      <c r="L101" s="2314" t="str">
        <f ca="1">IF(U101=0,"0",TEXT(OFFSET('5  Control Accounts'!$FX$33,V101,0),"##0.00"))</f>
        <v>0</v>
      </c>
      <c r="M101" s="2304" t="str">
        <f ca="1">IF(U101=0,"0",'1 Setup'!$I$60)</f>
        <v>0</v>
      </c>
      <c r="N101" s="2308"/>
      <c r="O101" s="2308"/>
      <c r="P101" s="2304" t="str">
        <f ca="1">IF(U101=0,"0",TEXT(OFFSET('5  Control Accounts'!$FH$33,V101,0),"##0.0"))</f>
        <v>0</v>
      </c>
      <c r="Q101" s="2304" t="str">
        <f ca="1">IF(U101=0,"0",TEXT(OFFSET('5  Control Accounts'!$FY$33,V101,0),"##0.00"))</f>
        <v>0</v>
      </c>
      <c r="R101" s="2308"/>
      <c r="T101" s="2310"/>
      <c r="U101" s="2309">
        <f ca="1">$T$2*OFFSET('5  Control Accounts'!$BR$33,V101,0)</f>
        <v>0</v>
      </c>
      <c r="V101" s="2309">
        <v>94</v>
      </c>
      <c r="W101" s="1411">
        <f ca="1">IF(U101=0,0,OFFSET('5  Control Accounts'!$FD$33,V101,0))</f>
        <v>0</v>
      </c>
      <c r="X101" s="1411">
        <f ca="1">IF(U101=0,0,OFFSET('5  Control Accounts'!$FE$33,V101,0))</f>
        <v>0</v>
      </c>
      <c r="Y101" s="1406">
        <f t="shared" ca="1" si="8"/>
        <v>0</v>
      </c>
      <c r="Z101" s="1406">
        <f t="shared" ca="1" si="9"/>
        <v>0</v>
      </c>
    </row>
    <row r="102" spans="1:26" s="2295" customFormat="1" ht="15.9" customHeight="1" x14ac:dyDescent="0.3">
      <c r="A102" s="2304" t="str">
        <f ca="1">IF($U102=0,"0",'5  Control Accounts'!$EA$16)</f>
        <v>0</v>
      </c>
      <c r="B102" s="2304" t="str">
        <f ca="1">IF($U102=0,"0",'5  Control Accounts'!$EB$16&amp;"-"&amp;'4 Sign-off'!$S$123)</f>
        <v>0</v>
      </c>
      <c r="C102" s="2323" t="str">
        <f ca="1">IF(U102=0,"0",OFFSET('5  Control Accounts'!$BF$33,V102,0)&amp;"."&amp;OFFSET('5  Control Accounts'!$BH$33,V102,0))</f>
        <v>0</v>
      </c>
      <c r="D102" s="2304" t="str">
        <f t="shared" ca="1" si="10"/>
        <v>0</v>
      </c>
      <c r="E102" s="2304" t="str">
        <f t="shared" ca="1" si="11"/>
        <v>0</v>
      </c>
      <c r="F102" s="2304" t="str">
        <f ca="1">IF(U102=0,"0",OFFSET('5  Control Accounts'!$DW$33,V102,0))</f>
        <v>0</v>
      </c>
      <c r="G102" s="2308"/>
      <c r="H102" s="2308"/>
      <c r="I102" s="2308"/>
      <c r="J102" s="2308"/>
      <c r="K102" s="2304" t="str">
        <f ca="1">IF(U102=0,"0",TEXT(OFFSET('5  Control Accounts'!$FG$33,V102,0),"##0.0"))</f>
        <v>0</v>
      </c>
      <c r="L102" s="2314" t="str">
        <f ca="1">IF(U102=0,"0",TEXT(OFFSET('5  Control Accounts'!$FX$33,V102,0),"##0.00"))</f>
        <v>0</v>
      </c>
      <c r="M102" s="2304" t="str">
        <f ca="1">IF(U102=0,"0",'1 Setup'!$I$60)</f>
        <v>0</v>
      </c>
      <c r="N102" s="2308"/>
      <c r="O102" s="2308"/>
      <c r="P102" s="2304" t="str">
        <f ca="1">IF(U102=0,"0",TEXT(OFFSET('5  Control Accounts'!$FH$33,V102,0),"##0.0"))</f>
        <v>0</v>
      </c>
      <c r="Q102" s="2304" t="str">
        <f ca="1">IF(U102=0,"0",TEXT(OFFSET('5  Control Accounts'!$FY$33,V102,0),"##0.00"))</f>
        <v>0</v>
      </c>
      <c r="R102" s="2308"/>
      <c r="T102" s="2310"/>
      <c r="U102" s="2309">
        <f ca="1">$T$2*OFFSET('5  Control Accounts'!$BR$33,V102,0)</f>
        <v>0</v>
      </c>
      <c r="V102" s="2309">
        <v>95</v>
      </c>
      <c r="W102" s="1411">
        <f ca="1">IF(U102=0,0,OFFSET('5  Control Accounts'!$FD$33,V102,0))</f>
        <v>0</v>
      </c>
      <c r="X102" s="1411">
        <f ca="1">IF(U102=0,0,OFFSET('5  Control Accounts'!$FE$33,V102,0))</f>
        <v>0</v>
      </c>
      <c r="Y102" s="1406">
        <f t="shared" ca="1" si="8"/>
        <v>0</v>
      </c>
      <c r="Z102" s="1406">
        <f t="shared" ca="1" si="9"/>
        <v>0</v>
      </c>
    </row>
    <row r="103" spans="1:26" s="2295" customFormat="1" ht="15.9" customHeight="1" x14ac:dyDescent="0.3">
      <c r="A103" s="2304" t="str">
        <f ca="1">IF($U103=0,"0",'5  Control Accounts'!$EA$16)</f>
        <v>0</v>
      </c>
      <c r="B103" s="2304" t="str">
        <f ca="1">IF($U103=0,"0",'5  Control Accounts'!$EB$16&amp;"-"&amp;'4 Sign-off'!$S$123)</f>
        <v>0</v>
      </c>
      <c r="C103" s="2323" t="str">
        <f ca="1">IF(U103=0,"0",OFFSET('5  Control Accounts'!$BF$33,V103,0)&amp;"."&amp;OFFSET('5  Control Accounts'!$BH$33,V103,0))</f>
        <v>0</v>
      </c>
      <c r="D103" s="2304" t="str">
        <f t="shared" ca="1" si="10"/>
        <v>0</v>
      </c>
      <c r="E103" s="2304" t="str">
        <f t="shared" ca="1" si="11"/>
        <v>0</v>
      </c>
      <c r="F103" s="2304" t="str">
        <f ca="1">IF(U103=0,"0",OFFSET('5  Control Accounts'!$DW$33,V103,0))</f>
        <v>0</v>
      </c>
      <c r="G103" s="2308"/>
      <c r="H103" s="2308"/>
      <c r="I103" s="2308"/>
      <c r="J103" s="2308"/>
      <c r="K103" s="2304" t="str">
        <f ca="1">IF(U103=0,"0",TEXT(OFFSET('5  Control Accounts'!$FG$33,V103,0),"##0.0"))</f>
        <v>0</v>
      </c>
      <c r="L103" s="2314" t="str">
        <f ca="1">IF(U103=0,"0",TEXT(OFFSET('5  Control Accounts'!$FX$33,V103,0),"##0.00"))</f>
        <v>0</v>
      </c>
      <c r="M103" s="2304" t="str">
        <f ca="1">IF(U103=0,"0",'1 Setup'!$I$60)</f>
        <v>0</v>
      </c>
      <c r="N103" s="2308"/>
      <c r="O103" s="2308"/>
      <c r="P103" s="2304" t="str">
        <f ca="1">IF(U103=0,"0",TEXT(OFFSET('5  Control Accounts'!$FH$33,V103,0),"##0.0"))</f>
        <v>0</v>
      </c>
      <c r="Q103" s="2304" t="str">
        <f ca="1">IF(U103=0,"0",TEXT(OFFSET('5  Control Accounts'!$FY$33,V103,0),"##0.00"))</f>
        <v>0</v>
      </c>
      <c r="R103" s="2308"/>
      <c r="T103" s="2310"/>
      <c r="U103" s="2309">
        <f ca="1">$T$2*OFFSET('5  Control Accounts'!$BR$33,V103,0)</f>
        <v>0</v>
      </c>
      <c r="V103" s="2309">
        <v>96</v>
      </c>
      <c r="W103" s="1411">
        <f ca="1">IF(U103=0,0,OFFSET('5  Control Accounts'!$FD$33,V103,0))</f>
        <v>0</v>
      </c>
      <c r="X103" s="1411">
        <f ca="1">IF(U103=0,0,OFFSET('5  Control Accounts'!$FE$33,V103,0))</f>
        <v>0</v>
      </c>
      <c r="Y103" s="1406">
        <f t="shared" ca="1" si="8"/>
        <v>0</v>
      </c>
      <c r="Z103" s="1406">
        <f t="shared" ca="1" si="9"/>
        <v>0</v>
      </c>
    </row>
    <row r="104" spans="1:26" s="2295" customFormat="1" ht="15.9" customHeight="1" x14ac:dyDescent="0.3">
      <c r="A104" s="2304" t="str">
        <f ca="1">IF($U104=0,"0",'5  Control Accounts'!$EA$16)</f>
        <v>0</v>
      </c>
      <c r="B104" s="2304" t="str">
        <f ca="1">IF($U104=0,"0",'5  Control Accounts'!$EB$16&amp;"-"&amp;'4 Sign-off'!$S$123)</f>
        <v>0</v>
      </c>
      <c r="C104" s="2323" t="str">
        <f ca="1">IF(U104=0,"0",OFFSET('5  Control Accounts'!$BF$33,V104,0)&amp;"."&amp;OFFSET('5  Control Accounts'!$BH$33,V104,0))</f>
        <v>0</v>
      </c>
      <c r="D104" s="2304" t="str">
        <f t="shared" ca="1" si="10"/>
        <v>0</v>
      </c>
      <c r="E104" s="2304" t="str">
        <f t="shared" ca="1" si="11"/>
        <v>0</v>
      </c>
      <c r="F104" s="2304" t="str">
        <f ca="1">IF(U104=0,"0",OFFSET('5  Control Accounts'!$DW$33,V104,0))</f>
        <v>0</v>
      </c>
      <c r="G104" s="2308"/>
      <c r="H104" s="2308"/>
      <c r="I104" s="2308"/>
      <c r="J104" s="2308"/>
      <c r="K104" s="2304" t="str">
        <f ca="1">IF(U104=0,"0",TEXT(OFFSET('5  Control Accounts'!$FG$33,V104,0),"##0.0"))</f>
        <v>0</v>
      </c>
      <c r="L104" s="2314" t="str">
        <f ca="1">IF(U104=0,"0",TEXT(OFFSET('5  Control Accounts'!$FX$33,V104,0),"##0.00"))</f>
        <v>0</v>
      </c>
      <c r="M104" s="2304" t="str">
        <f ca="1">IF(U104=0,"0",'1 Setup'!$I$60)</f>
        <v>0</v>
      </c>
      <c r="N104" s="2308"/>
      <c r="O104" s="2308"/>
      <c r="P104" s="2304" t="str">
        <f ca="1">IF(U104=0,"0",TEXT(OFFSET('5  Control Accounts'!$FH$33,V104,0),"##0.0"))</f>
        <v>0</v>
      </c>
      <c r="Q104" s="2304" t="str">
        <f ca="1">IF(U104=0,"0",TEXT(OFFSET('5  Control Accounts'!$FY$33,V104,0),"##0.00"))</f>
        <v>0</v>
      </c>
      <c r="R104" s="2308"/>
      <c r="T104" s="2310"/>
      <c r="U104" s="2309">
        <f ca="1">$T$2*OFFSET('5  Control Accounts'!$BR$33,V104,0)</f>
        <v>0</v>
      </c>
      <c r="V104" s="2309">
        <v>97</v>
      </c>
      <c r="W104" s="1411">
        <f ca="1">IF(U104=0,0,OFFSET('5  Control Accounts'!$FD$33,V104,0))</f>
        <v>0</v>
      </c>
      <c r="X104" s="1411">
        <f ca="1">IF(U104=0,0,OFFSET('5  Control Accounts'!$FE$33,V104,0))</f>
        <v>0</v>
      </c>
      <c r="Y104" s="1406">
        <f t="shared" ca="1" si="8"/>
        <v>0</v>
      </c>
      <c r="Z104" s="1406">
        <f t="shared" ca="1" si="9"/>
        <v>0</v>
      </c>
    </row>
    <row r="105" spans="1:26" s="2295" customFormat="1" ht="15.9" customHeight="1" x14ac:dyDescent="0.3">
      <c r="A105" s="2304" t="str">
        <f ca="1">IF($U105=0,"0",'5  Control Accounts'!$EA$16)</f>
        <v>0</v>
      </c>
      <c r="B105" s="2304" t="str">
        <f ca="1">IF($U105=0,"0",'5  Control Accounts'!$EB$16&amp;"-"&amp;'4 Sign-off'!$S$123)</f>
        <v>0</v>
      </c>
      <c r="C105" s="2323" t="str">
        <f ca="1">IF(U105=0,"0",OFFSET('5  Control Accounts'!$BF$33,V105,0)&amp;"."&amp;OFFSET('5  Control Accounts'!$BH$33,V105,0))</f>
        <v>0</v>
      </c>
      <c r="D105" s="2304" t="str">
        <f t="shared" ca="1" si="10"/>
        <v>0</v>
      </c>
      <c r="E105" s="2304" t="str">
        <f t="shared" ca="1" si="11"/>
        <v>0</v>
      </c>
      <c r="F105" s="2304" t="str">
        <f ca="1">IF(U105=0,"0",OFFSET('5  Control Accounts'!$DW$33,V105,0))</f>
        <v>0</v>
      </c>
      <c r="G105" s="2308"/>
      <c r="H105" s="2308"/>
      <c r="I105" s="2308"/>
      <c r="J105" s="2308"/>
      <c r="K105" s="2304" t="str">
        <f ca="1">IF(U105=0,"0",TEXT(OFFSET('5  Control Accounts'!$FG$33,V105,0),"##0.0"))</f>
        <v>0</v>
      </c>
      <c r="L105" s="2314" t="str">
        <f ca="1">IF(U105=0,"0",TEXT(OFFSET('5  Control Accounts'!$FX$33,V105,0),"##0.00"))</f>
        <v>0</v>
      </c>
      <c r="M105" s="2304" t="str">
        <f ca="1">IF(U105=0,"0",'1 Setup'!$I$60)</f>
        <v>0</v>
      </c>
      <c r="N105" s="2308"/>
      <c r="O105" s="2308"/>
      <c r="P105" s="2304" t="str">
        <f ca="1">IF(U105=0,"0",TEXT(OFFSET('5  Control Accounts'!$FH$33,V105,0),"##0.0"))</f>
        <v>0</v>
      </c>
      <c r="Q105" s="2304" t="str">
        <f ca="1">IF(U105=0,"0",TEXT(OFFSET('5  Control Accounts'!$FY$33,V105,0),"##0.00"))</f>
        <v>0</v>
      </c>
      <c r="R105" s="2308"/>
      <c r="T105" s="2310"/>
      <c r="U105" s="2309">
        <f ca="1">$T$2*OFFSET('5  Control Accounts'!$BR$33,V105,0)</f>
        <v>0</v>
      </c>
      <c r="V105" s="2309">
        <v>98</v>
      </c>
      <c r="W105" s="1411">
        <f ca="1">IF(U105=0,0,OFFSET('5  Control Accounts'!$FD$33,V105,0))</f>
        <v>0</v>
      </c>
      <c r="X105" s="1411">
        <f ca="1">IF(U105=0,0,OFFSET('5  Control Accounts'!$FE$33,V105,0))</f>
        <v>0</v>
      </c>
      <c r="Y105" s="1406">
        <f t="shared" ca="1" si="8"/>
        <v>0</v>
      </c>
      <c r="Z105" s="1406">
        <f t="shared" ca="1" si="9"/>
        <v>0</v>
      </c>
    </row>
    <row r="106" spans="1:26" s="2295" customFormat="1" ht="15.9" customHeight="1" x14ac:dyDescent="0.3">
      <c r="A106" s="2304" t="str">
        <f ca="1">IF($U106=0,"0",'5  Control Accounts'!$EA$16)</f>
        <v>0</v>
      </c>
      <c r="B106" s="2304" t="str">
        <f ca="1">IF($U106=0,"0",'5  Control Accounts'!$EB$16&amp;"-"&amp;'4 Sign-off'!$S$123)</f>
        <v>0</v>
      </c>
      <c r="C106" s="2323" t="str">
        <f ca="1">IF(U106=0,"0",OFFSET('5  Control Accounts'!$BF$33,V106,0)&amp;"."&amp;OFFSET('5  Control Accounts'!$BH$33,V106,0))</f>
        <v>0</v>
      </c>
      <c r="D106" s="2304" t="str">
        <f t="shared" ca="1" si="10"/>
        <v>0</v>
      </c>
      <c r="E106" s="2304" t="str">
        <f t="shared" ca="1" si="11"/>
        <v>0</v>
      </c>
      <c r="F106" s="2304" t="str">
        <f ca="1">IF(U106=0,"0",OFFSET('5  Control Accounts'!$DW$33,V106,0))</f>
        <v>0</v>
      </c>
      <c r="G106" s="2308"/>
      <c r="H106" s="2308"/>
      <c r="I106" s="2308"/>
      <c r="J106" s="2308"/>
      <c r="K106" s="2304" t="str">
        <f ca="1">IF(U106=0,"0",TEXT(OFFSET('5  Control Accounts'!$FG$33,V106,0),"##0.0"))</f>
        <v>0</v>
      </c>
      <c r="L106" s="2314" t="str">
        <f ca="1">IF(U106=0,"0",TEXT(OFFSET('5  Control Accounts'!$FX$33,V106,0),"##0.00"))</f>
        <v>0</v>
      </c>
      <c r="M106" s="2304" t="str">
        <f ca="1">IF(U106=0,"0",'1 Setup'!$I$60)</f>
        <v>0</v>
      </c>
      <c r="N106" s="2308"/>
      <c r="O106" s="2308"/>
      <c r="P106" s="2304" t="str">
        <f ca="1">IF(U106=0,"0",TEXT(OFFSET('5  Control Accounts'!$FH$33,V106,0),"##0.0"))</f>
        <v>0</v>
      </c>
      <c r="Q106" s="2304" t="str">
        <f ca="1">IF(U106=0,"0",TEXT(OFFSET('5  Control Accounts'!$FY$33,V106,0),"##0.00"))</f>
        <v>0</v>
      </c>
      <c r="R106" s="2308"/>
      <c r="T106" s="2310"/>
      <c r="U106" s="2309">
        <f ca="1">$T$2*OFFSET('5  Control Accounts'!$BR$33,V106,0)</f>
        <v>0</v>
      </c>
      <c r="V106" s="2309">
        <v>99</v>
      </c>
      <c r="W106" s="1411">
        <f ca="1">IF(U106=0,0,OFFSET('5  Control Accounts'!$FD$33,V106,0))</f>
        <v>0</v>
      </c>
      <c r="X106" s="1411">
        <f ca="1">IF(U106=0,0,OFFSET('5  Control Accounts'!$FE$33,V106,0))</f>
        <v>0</v>
      </c>
      <c r="Y106" s="1406">
        <f t="shared" ca="1" si="8"/>
        <v>0</v>
      </c>
      <c r="Z106" s="1406">
        <f t="shared" ca="1" si="9"/>
        <v>0</v>
      </c>
    </row>
    <row r="107" spans="1:26" s="2295" customFormat="1" ht="15.9" customHeight="1" x14ac:dyDescent="0.3">
      <c r="A107" s="2304" t="str">
        <f ca="1">IF($U107=0,"0",'5  Control Accounts'!$EA$16)</f>
        <v>0</v>
      </c>
      <c r="B107" s="2304" t="str">
        <f ca="1">IF($U107=0,"0",'5  Control Accounts'!$EB$16&amp;"-"&amp;'4 Sign-off'!$S$123)</f>
        <v>0</v>
      </c>
      <c r="C107" s="2323" t="str">
        <f ca="1">IF(U107=0,"0",OFFSET('5  Control Accounts'!$BF$33,V107,0)&amp;"."&amp;OFFSET('5  Control Accounts'!$BH$33,V107,0))</f>
        <v>0</v>
      </c>
      <c r="D107" s="2304" t="str">
        <f t="shared" ca="1" si="10"/>
        <v>0</v>
      </c>
      <c r="E107" s="2304" t="str">
        <f t="shared" ca="1" si="11"/>
        <v>0</v>
      </c>
      <c r="F107" s="2304" t="str">
        <f ca="1">IF(U107=0,"0",OFFSET('5  Control Accounts'!$DW$33,V107,0))</f>
        <v>0</v>
      </c>
      <c r="G107" s="2308"/>
      <c r="H107" s="2308"/>
      <c r="I107" s="2308"/>
      <c r="J107" s="2308"/>
      <c r="K107" s="2304" t="str">
        <f ca="1">IF(U107=0,"0",TEXT(OFFSET('5  Control Accounts'!$FG$33,V107,0),"##0.0"))</f>
        <v>0</v>
      </c>
      <c r="L107" s="2314" t="str">
        <f ca="1">IF(U107=0,"0",TEXT(OFFSET('5  Control Accounts'!$FX$33,V107,0),"##0.00"))</f>
        <v>0</v>
      </c>
      <c r="M107" s="2304" t="str">
        <f ca="1">IF(U107=0,"0",'1 Setup'!$I$60)</f>
        <v>0</v>
      </c>
      <c r="N107" s="2308"/>
      <c r="O107" s="2308"/>
      <c r="P107" s="2304" t="str">
        <f ca="1">IF(U107=0,"0",TEXT(OFFSET('5  Control Accounts'!$FH$33,V107,0),"##0.0"))</f>
        <v>0</v>
      </c>
      <c r="Q107" s="2304" t="str">
        <f ca="1">IF(U107=0,"0",TEXT(OFFSET('5  Control Accounts'!$FY$33,V107,0),"##0.00"))</f>
        <v>0</v>
      </c>
      <c r="R107" s="2308"/>
      <c r="T107" s="2310"/>
      <c r="U107" s="2309">
        <f ca="1">$T$2*OFFSET('5  Control Accounts'!$BR$33,V107,0)</f>
        <v>0</v>
      </c>
      <c r="V107" s="2309">
        <v>100</v>
      </c>
      <c r="W107" s="1411">
        <f ca="1">IF(U107=0,0,OFFSET('5  Control Accounts'!$FD$33,V107,0))</f>
        <v>0</v>
      </c>
      <c r="X107" s="1411">
        <f ca="1">IF(U107=0,0,OFFSET('5  Control Accounts'!$FE$33,V107,0))</f>
        <v>0</v>
      </c>
      <c r="Y107" s="1406">
        <f t="shared" ca="1" si="8"/>
        <v>0</v>
      </c>
      <c r="Z107" s="1406">
        <f t="shared" ca="1" si="9"/>
        <v>0</v>
      </c>
    </row>
    <row r="108" spans="1:26" s="2295" customFormat="1" ht="15.9" customHeight="1" x14ac:dyDescent="0.3">
      <c r="A108" s="2304" t="str">
        <f ca="1">IF($U108=0,"0",'5  Control Accounts'!$EA$16)</f>
        <v>0</v>
      </c>
      <c r="B108" s="2304" t="str">
        <f ca="1">IF($U108=0,"0",'5  Control Accounts'!$EB$16&amp;"-"&amp;'4 Sign-off'!$S$123)</f>
        <v>0</v>
      </c>
      <c r="C108" s="2323" t="str">
        <f ca="1">IF(U108=0,"0",OFFSET('5  Control Accounts'!$BF$33,V108,0)&amp;"."&amp;OFFSET('5  Control Accounts'!$BH$33,V108,0))</f>
        <v>0</v>
      </c>
      <c r="D108" s="2304" t="str">
        <f t="shared" ca="1" si="10"/>
        <v>0</v>
      </c>
      <c r="E108" s="2304" t="str">
        <f t="shared" ca="1" si="11"/>
        <v>0</v>
      </c>
      <c r="F108" s="2304" t="str">
        <f ca="1">IF(U108=0,"0",OFFSET('5  Control Accounts'!$DW$33,V108,0))</f>
        <v>0</v>
      </c>
      <c r="G108" s="2308"/>
      <c r="H108" s="2308"/>
      <c r="I108" s="2308"/>
      <c r="J108" s="2308"/>
      <c r="K108" s="2304" t="str">
        <f ca="1">IF(U108=0,"0",TEXT(OFFSET('5  Control Accounts'!$FG$33,V108,0),"##0.0"))</f>
        <v>0</v>
      </c>
      <c r="L108" s="2314" t="str">
        <f ca="1">IF(U108=0,"0",TEXT(OFFSET('5  Control Accounts'!$FX$33,V108,0),"##0.00"))</f>
        <v>0</v>
      </c>
      <c r="M108" s="2304" t="str">
        <f ca="1">IF(U108=0,"0",'1 Setup'!$I$60)</f>
        <v>0</v>
      </c>
      <c r="N108" s="2308"/>
      <c r="O108" s="2308"/>
      <c r="P108" s="2304" t="str">
        <f ca="1">IF(U108=0,"0",TEXT(OFFSET('5  Control Accounts'!$FH$33,V108,0),"##0.0"))</f>
        <v>0</v>
      </c>
      <c r="Q108" s="2304" t="str">
        <f ca="1">IF(U108=0,"0",TEXT(OFFSET('5  Control Accounts'!$FY$33,V108,0),"##0.00"))</f>
        <v>0</v>
      </c>
      <c r="R108" s="2308"/>
      <c r="T108" s="2310"/>
      <c r="U108" s="2309">
        <f ca="1">$T$2*OFFSET('5  Control Accounts'!$BR$33,V108,0)</f>
        <v>0</v>
      </c>
      <c r="V108" s="2309">
        <v>101</v>
      </c>
      <c r="W108" s="1411">
        <f ca="1">IF(U108=0,0,OFFSET('5  Control Accounts'!$FD$33,V108,0))</f>
        <v>0</v>
      </c>
      <c r="X108" s="1411">
        <f ca="1">IF(U108=0,0,OFFSET('5  Control Accounts'!$FE$33,V108,0))</f>
        <v>0</v>
      </c>
      <c r="Y108" s="1406">
        <f t="shared" ca="1" si="8"/>
        <v>0</v>
      </c>
      <c r="Z108" s="1406">
        <f t="shared" ca="1" si="9"/>
        <v>0</v>
      </c>
    </row>
    <row r="109" spans="1:26" s="2295" customFormat="1" ht="15.9" customHeight="1" x14ac:dyDescent="0.3">
      <c r="A109" s="2304" t="str">
        <f ca="1">IF($U109=0,"0",'5  Control Accounts'!$EA$16)</f>
        <v>0</v>
      </c>
      <c r="B109" s="2304" t="str">
        <f ca="1">IF($U109=0,"0",'5  Control Accounts'!$EB$16&amp;"-"&amp;'4 Sign-off'!$S$123)</f>
        <v>0</v>
      </c>
      <c r="C109" s="2323" t="str">
        <f ca="1">IF(U109=0,"0",OFFSET('5  Control Accounts'!$BF$33,V109,0)&amp;"."&amp;OFFSET('5  Control Accounts'!$BH$33,V109,0))</f>
        <v>0</v>
      </c>
      <c r="D109" s="2304" t="str">
        <f t="shared" ca="1" si="10"/>
        <v>0</v>
      </c>
      <c r="E109" s="2304" t="str">
        <f t="shared" ca="1" si="11"/>
        <v>0</v>
      </c>
      <c r="F109" s="2304" t="str">
        <f ca="1">IF(U109=0,"0",OFFSET('5  Control Accounts'!$DW$33,V109,0))</f>
        <v>0</v>
      </c>
      <c r="G109" s="2308"/>
      <c r="H109" s="2308"/>
      <c r="I109" s="2308"/>
      <c r="J109" s="2308"/>
      <c r="K109" s="2304" t="str">
        <f ca="1">IF(U109=0,"0",TEXT(OFFSET('5  Control Accounts'!$FG$33,V109,0),"##0.0"))</f>
        <v>0</v>
      </c>
      <c r="L109" s="2314" t="str">
        <f ca="1">IF(U109=0,"0",TEXT(OFFSET('5  Control Accounts'!$FX$33,V109,0),"##0.00"))</f>
        <v>0</v>
      </c>
      <c r="M109" s="2304" t="str">
        <f ca="1">IF(U109=0,"0",'1 Setup'!$I$60)</f>
        <v>0</v>
      </c>
      <c r="N109" s="2308"/>
      <c r="O109" s="2308"/>
      <c r="P109" s="2304" t="str">
        <f ca="1">IF(U109=0,"0",TEXT(OFFSET('5  Control Accounts'!$FH$33,V109,0),"##0.0"))</f>
        <v>0</v>
      </c>
      <c r="Q109" s="2304" t="str">
        <f ca="1">IF(U109=0,"0",TEXT(OFFSET('5  Control Accounts'!$FY$33,V109,0),"##0.00"))</f>
        <v>0</v>
      </c>
      <c r="R109" s="2308"/>
      <c r="T109" s="2310"/>
      <c r="U109" s="2309">
        <f ca="1">$T$2*OFFSET('5  Control Accounts'!$BR$33,V109,0)</f>
        <v>0</v>
      </c>
      <c r="V109" s="2309">
        <v>102</v>
      </c>
      <c r="W109" s="1411">
        <f ca="1">IF(U109=0,0,OFFSET('5  Control Accounts'!$FD$33,V109,0))</f>
        <v>0</v>
      </c>
      <c r="X109" s="1411">
        <f ca="1">IF(U109=0,0,OFFSET('5  Control Accounts'!$FE$33,V109,0))</f>
        <v>0</v>
      </c>
      <c r="Y109" s="1406">
        <f t="shared" ca="1" si="8"/>
        <v>0</v>
      </c>
      <c r="Z109" s="1406">
        <f t="shared" ca="1" si="9"/>
        <v>0</v>
      </c>
    </row>
    <row r="110" spans="1:26" s="2295" customFormat="1" ht="15.9" customHeight="1" x14ac:dyDescent="0.3">
      <c r="A110" s="2304" t="str">
        <f ca="1">IF($U110=0,"0",'5  Control Accounts'!$EA$16)</f>
        <v>0</v>
      </c>
      <c r="B110" s="2304" t="str">
        <f ca="1">IF($U110=0,"0",'5  Control Accounts'!$EB$16&amp;"-"&amp;'4 Sign-off'!$S$123)</f>
        <v>0</v>
      </c>
      <c r="C110" s="2323" t="str">
        <f ca="1">IF(U110=0,"0",OFFSET('5  Control Accounts'!$BF$33,V110,0)&amp;"."&amp;OFFSET('5  Control Accounts'!$BH$33,V110,0))</f>
        <v>0</v>
      </c>
      <c r="D110" s="2304" t="str">
        <f t="shared" ca="1" si="10"/>
        <v>0</v>
      </c>
      <c r="E110" s="2304" t="str">
        <f t="shared" ca="1" si="11"/>
        <v>0</v>
      </c>
      <c r="F110" s="2304" t="str">
        <f ca="1">IF(U110=0,"0",OFFSET('5  Control Accounts'!$DW$33,V110,0))</f>
        <v>0</v>
      </c>
      <c r="G110" s="2308"/>
      <c r="H110" s="2308"/>
      <c r="I110" s="2308"/>
      <c r="J110" s="2308"/>
      <c r="K110" s="2304" t="str">
        <f ca="1">IF(U110=0,"0",TEXT(OFFSET('5  Control Accounts'!$FG$33,V110,0),"##0.0"))</f>
        <v>0</v>
      </c>
      <c r="L110" s="2314" t="str">
        <f ca="1">IF(U110=0,"0",TEXT(OFFSET('5  Control Accounts'!$FX$33,V110,0),"##0.00"))</f>
        <v>0</v>
      </c>
      <c r="M110" s="2304" t="str">
        <f ca="1">IF(U110=0,"0",'1 Setup'!$I$60)</f>
        <v>0</v>
      </c>
      <c r="N110" s="2308"/>
      <c r="O110" s="2308"/>
      <c r="P110" s="2304" t="str">
        <f ca="1">IF(U110=0,"0",TEXT(OFFSET('5  Control Accounts'!$FH$33,V110,0),"##0.0"))</f>
        <v>0</v>
      </c>
      <c r="Q110" s="2304" t="str">
        <f ca="1">IF(U110=0,"0",TEXT(OFFSET('5  Control Accounts'!$FY$33,V110,0),"##0.00"))</f>
        <v>0</v>
      </c>
      <c r="R110" s="2308"/>
      <c r="T110" s="2310"/>
      <c r="U110" s="2309">
        <f ca="1">$T$2*OFFSET('5  Control Accounts'!$BR$33,V110,0)</f>
        <v>0</v>
      </c>
      <c r="V110" s="2309">
        <v>103</v>
      </c>
      <c r="W110" s="1411">
        <f ca="1">IF(U110=0,0,OFFSET('5  Control Accounts'!$FD$33,V110,0))</f>
        <v>0</v>
      </c>
      <c r="X110" s="1411">
        <f ca="1">IF(U110=0,0,OFFSET('5  Control Accounts'!$FE$33,V110,0))</f>
        <v>0</v>
      </c>
      <c r="Y110" s="1406">
        <f t="shared" ca="1" si="8"/>
        <v>0</v>
      </c>
      <c r="Z110" s="1406">
        <f t="shared" ca="1" si="9"/>
        <v>0</v>
      </c>
    </row>
    <row r="111" spans="1:26" s="2295" customFormat="1" ht="15.9" customHeight="1" x14ac:dyDescent="0.3">
      <c r="A111" s="2304" t="str">
        <f ca="1">IF($U111=0,"0",'5  Control Accounts'!$EA$16)</f>
        <v>0</v>
      </c>
      <c r="B111" s="2304" t="str">
        <f ca="1">IF($U111=0,"0",'5  Control Accounts'!$EB$16&amp;"-"&amp;'4 Sign-off'!$S$123)</f>
        <v>0</v>
      </c>
      <c r="C111" s="2323" t="str">
        <f ca="1">IF(U111=0,"0",OFFSET('5  Control Accounts'!$BF$33,V111,0)&amp;"."&amp;OFFSET('5  Control Accounts'!$BH$33,V111,0))</f>
        <v>0</v>
      </c>
      <c r="D111" s="2304" t="str">
        <f t="shared" ca="1" si="10"/>
        <v>0</v>
      </c>
      <c r="E111" s="2304" t="str">
        <f t="shared" ca="1" si="11"/>
        <v>0</v>
      </c>
      <c r="F111" s="2304" t="str">
        <f ca="1">IF(U111=0,"0",OFFSET('5  Control Accounts'!$DW$33,V111,0))</f>
        <v>0</v>
      </c>
      <c r="G111" s="2308"/>
      <c r="H111" s="2308"/>
      <c r="I111" s="2308"/>
      <c r="J111" s="2308"/>
      <c r="K111" s="2304" t="str">
        <f ca="1">IF(U111=0,"0",TEXT(OFFSET('5  Control Accounts'!$FG$33,V111,0),"##0.0"))</f>
        <v>0</v>
      </c>
      <c r="L111" s="2314" t="str">
        <f ca="1">IF(U111=0,"0",TEXT(OFFSET('5  Control Accounts'!$FX$33,V111,0),"##0.00"))</f>
        <v>0</v>
      </c>
      <c r="M111" s="2304" t="str">
        <f ca="1">IF(U111=0,"0",'1 Setup'!$I$60)</f>
        <v>0</v>
      </c>
      <c r="N111" s="2308"/>
      <c r="O111" s="2308"/>
      <c r="P111" s="2304" t="str">
        <f ca="1">IF(U111=0,"0",TEXT(OFFSET('5  Control Accounts'!$FH$33,V111,0),"##0.0"))</f>
        <v>0</v>
      </c>
      <c r="Q111" s="2304" t="str">
        <f ca="1">IF(U111=0,"0",TEXT(OFFSET('5  Control Accounts'!$FY$33,V111,0),"##0.00"))</f>
        <v>0</v>
      </c>
      <c r="R111" s="2308"/>
      <c r="T111" s="2310"/>
      <c r="U111" s="2309">
        <f ca="1">$T$2*OFFSET('5  Control Accounts'!$BR$33,V111,0)</f>
        <v>0</v>
      </c>
      <c r="V111" s="2309">
        <v>104</v>
      </c>
      <c r="W111" s="1411">
        <f ca="1">IF(U111=0,0,OFFSET('5  Control Accounts'!$FD$33,V111,0))</f>
        <v>0</v>
      </c>
      <c r="X111" s="1411">
        <f ca="1">IF(U111=0,0,OFFSET('5  Control Accounts'!$FE$33,V111,0))</f>
        <v>0</v>
      </c>
      <c r="Y111" s="1406">
        <f t="shared" ca="1" si="8"/>
        <v>0</v>
      </c>
      <c r="Z111" s="1406">
        <f t="shared" ca="1" si="9"/>
        <v>0</v>
      </c>
    </row>
    <row r="112" spans="1:26" s="2295" customFormat="1" ht="15.9" customHeight="1" x14ac:dyDescent="0.3">
      <c r="A112" s="2304" t="str">
        <f ca="1">IF($U112=0,"0",'5  Control Accounts'!$EA$16)</f>
        <v>0</v>
      </c>
      <c r="B112" s="2304" t="str">
        <f ca="1">IF($U112=0,"0",'5  Control Accounts'!$EB$16&amp;"-"&amp;'4 Sign-off'!$S$123)</f>
        <v>0</v>
      </c>
      <c r="C112" s="2323" t="str">
        <f ca="1">IF(U112=0,"0",OFFSET('5  Control Accounts'!$BF$33,V112,0)&amp;"."&amp;OFFSET('5  Control Accounts'!$BH$33,V112,0))</f>
        <v>0</v>
      </c>
      <c r="D112" s="2304" t="str">
        <f t="shared" ca="1" si="10"/>
        <v>0</v>
      </c>
      <c r="E112" s="2304" t="str">
        <f t="shared" ca="1" si="11"/>
        <v>0</v>
      </c>
      <c r="F112" s="2304" t="str">
        <f ca="1">IF(U112=0,"0",OFFSET('5  Control Accounts'!$DW$33,V112,0))</f>
        <v>0</v>
      </c>
      <c r="G112" s="2308"/>
      <c r="H112" s="2308"/>
      <c r="I112" s="2308"/>
      <c r="J112" s="2308"/>
      <c r="K112" s="2304" t="str">
        <f ca="1">IF(U112=0,"0",TEXT(OFFSET('5  Control Accounts'!$FG$33,V112,0),"##0.0"))</f>
        <v>0</v>
      </c>
      <c r="L112" s="2314" t="str">
        <f ca="1">IF(U112=0,"0",TEXT(OFFSET('5  Control Accounts'!$FX$33,V112,0),"##0.00"))</f>
        <v>0</v>
      </c>
      <c r="M112" s="2304" t="str">
        <f ca="1">IF(U112=0,"0",'1 Setup'!$I$60)</f>
        <v>0</v>
      </c>
      <c r="N112" s="2308"/>
      <c r="O112" s="2308"/>
      <c r="P112" s="2304" t="str">
        <f ca="1">IF(U112=0,"0",TEXT(OFFSET('5  Control Accounts'!$FH$33,V112,0),"##0.0"))</f>
        <v>0</v>
      </c>
      <c r="Q112" s="2304" t="str">
        <f ca="1">IF(U112=0,"0",TEXT(OFFSET('5  Control Accounts'!$FY$33,V112,0),"##0.00"))</f>
        <v>0</v>
      </c>
      <c r="R112" s="2308"/>
      <c r="T112" s="2310"/>
      <c r="U112" s="2309">
        <f ca="1">$T$2*OFFSET('5  Control Accounts'!$BR$33,V112,0)</f>
        <v>0</v>
      </c>
      <c r="V112" s="2309">
        <v>105</v>
      </c>
      <c r="W112" s="1411">
        <f ca="1">IF(U112=0,0,OFFSET('5  Control Accounts'!$FD$33,V112,0))</f>
        <v>0</v>
      </c>
      <c r="X112" s="1411">
        <f ca="1">IF(U112=0,0,OFFSET('5  Control Accounts'!$FE$33,V112,0))</f>
        <v>0</v>
      </c>
      <c r="Y112" s="1406">
        <f t="shared" ca="1" si="8"/>
        <v>0</v>
      </c>
      <c r="Z112" s="1406">
        <f t="shared" ca="1" si="9"/>
        <v>0</v>
      </c>
    </row>
    <row r="113" spans="1:26" s="2295" customFormat="1" ht="15.9" customHeight="1" x14ac:dyDescent="0.3">
      <c r="A113" s="2304" t="str">
        <f ca="1">IF($U113=0,"0",'5  Control Accounts'!$EA$16)</f>
        <v>0</v>
      </c>
      <c r="B113" s="2304" t="str">
        <f ca="1">IF($U113=0,"0",'5  Control Accounts'!$EB$16&amp;"-"&amp;'4 Sign-off'!$S$123)</f>
        <v>0</v>
      </c>
      <c r="C113" s="2323" t="str">
        <f ca="1">IF(U113=0,"0",OFFSET('5  Control Accounts'!$BF$33,V113,0)&amp;"."&amp;OFFSET('5  Control Accounts'!$BH$33,V113,0))</f>
        <v>0</v>
      </c>
      <c r="D113" s="2304" t="str">
        <f t="shared" ca="1" si="10"/>
        <v>0</v>
      </c>
      <c r="E113" s="2304" t="str">
        <f t="shared" ca="1" si="11"/>
        <v>0</v>
      </c>
      <c r="F113" s="2304" t="str">
        <f ca="1">IF(U113=0,"0",OFFSET('5  Control Accounts'!$DW$33,V113,0))</f>
        <v>0</v>
      </c>
      <c r="G113" s="2308"/>
      <c r="H113" s="2308"/>
      <c r="I113" s="2308"/>
      <c r="J113" s="2308"/>
      <c r="K113" s="2304" t="str">
        <f ca="1">IF(U113=0,"0",TEXT(OFFSET('5  Control Accounts'!$FG$33,V113,0),"##0.0"))</f>
        <v>0</v>
      </c>
      <c r="L113" s="2314" t="str">
        <f ca="1">IF(U113=0,"0",TEXT(OFFSET('5  Control Accounts'!$FX$33,V113,0),"##0.00"))</f>
        <v>0</v>
      </c>
      <c r="M113" s="2304" t="str">
        <f ca="1">IF(U113=0,"0",'1 Setup'!$I$60)</f>
        <v>0</v>
      </c>
      <c r="N113" s="2308"/>
      <c r="O113" s="2308"/>
      <c r="P113" s="2304" t="str">
        <f ca="1">IF(U113=0,"0",TEXT(OFFSET('5  Control Accounts'!$FH$33,V113,0),"##0.0"))</f>
        <v>0</v>
      </c>
      <c r="Q113" s="2304" t="str">
        <f ca="1">IF(U113=0,"0",TEXT(OFFSET('5  Control Accounts'!$FY$33,V113,0),"##0.00"))</f>
        <v>0</v>
      </c>
      <c r="R113" s="2308"/>
      <c r="T113" s="2310"/>
      <c r="U113" s="2309">
        <f ca="1">$T$2*OFFSET('5  Control Accounts'!$BR$33,V113,0)</f>
        <v>0</v>
      </c>
      <c r="V113" s="2309">
        <v>106</v>
      </c>
      <c r="W113" s="1411">
        <f ca="1">IF(U113=0,0,OFFSET('5  Control Accounts'!$FD$33,V113,0))</f>
        <v>0</v>
      </c>
      <c r="X113" s="1411">
        <f ca="1">IF(U113=0,0,OFFSET('5  Control Accounts'!$FE$33,V113,0))</f>
        <v>0</v>
      </c>
      <c r="Y113" s="1406">
        <f t="shared" ca="1" si="8"/>
        <v>0</v>
      </c>
      <c r="Z113" s="1406">
        <f t="shared" ca="1" si="9"/>
        <v>0</v>
      </c>
    </row>
    <row r="114" spans="1:26" s="2295" customFormat="1" ht="15.9" customHeight="1" x14ac:dyDescent="0.3">
      <c r="A114" s="2304" t="str">
        <f ca="1">IF($U114=0,"0",'5  Control Accounts'!$EA$16)</f>
        <v>0</v>
      </c>
      <c r="B114" s="2304" t="str">
        <f ca="1">IF($U114=0,"0",'5  Control Accounts'!$EB$16&amp;"-"&amp;'4 Sign-off'!$S$123)</f>
        <v>0</v>
      </c>
      <c r="C114" s="2323" t="str">
        <f ca="1">IF(U114=0,"0",OFFSET('5  Control Accounts'!$BF$33,V114,0)&amp;"."&amp;OFFSET('5  Control Accounts'!$BH$33,V114,0))</f>
        <v>0</v>
      </c>
      <c r="D114" s="2304" t="str">
        <f t="shared" ca="1" si="10"/>
        <v>0</v>
      </c>
      <c r="E114" s="2304" t="str">
        <f t="shared" ca="1" si="11"/>
        <v>0</v>
      </c>
      <c r="F114" s="2304" t="str">
        <f ca="1">IF(U114=0,"0",OFFSET('5  Control Accounts'!$DW$33,V114,0))</f>
        <v>0</v>
      </c>
      <c r="G114" s="2308"/>
      <c r="H114" s="2308"/>
      <c r="I114" s="2308"/>
      <c r="J114" s="2308"/>
      <c r="K114" s="2304" t="str">
        <f ca="1">IF(U114=0,"0",TEXT(OFFSET('5  Control Accounts'!$FG$33,V114,0),"##0.0"))</f>
        <v>0</v>
      </c>
      <c r="L114" s="2314" t="str">
        <f ca="1">IF(U114=0,"0",TEXT(OFFSET('5  Control Accounts'!$FX$33,V114,0),"##0.00"))</f>
        <v>0</v>
      </c>
      <c r="M114" s="2304" t="str">
        <f ca="1">IF(U114=0,"0",'1 Setup'!$I$60)</f>
        <v>0</v>
      </c>
      <c r="N114" s="2308"/>
      <c r="O114" s="2308"/>
      <c r="P114" s="2304" t="str">
        <f ca="1">IF(U114=0,"0",TEXT(OFFSET('5  Control Accounts'!$FH$33,V114,0),"##0.0"))</f>
        <v>0</v>
      </c>
      <c r="Q114" s="2304" t="str">
        <f ca="1">IF(U114=0,"0",TEXT(OFFSET('5  Control Accounts'!$FY$33,V114,0),"##0.00"))</f>
        <v>0</v>
      </c>
      <c r="R114" s="2308"/>
      <c r="T114" s="2310"/>
      <c r="U114" s="2309">
        <f ca="1">$T$2*OFFSET('5  Control Accounts'!$BR$33,V114,0)</f>
        <v>0</v>
      </c>
      <c r="V114" s="2309">
        <v>107</v>
      </c>
      <c r="W114" s="1411">
        <f ca="1">IF(U114=0,0,OFFSET('5  Control Accounts'!$FD$33,V114,0))</f>
        <v>0</v>
      </c>
      <c r="X114" s="1411">
        <f ca="1">IF(U114=0,0,OFFSET('5  Control Accounts'!$FE$33,V114,0))</f>
        <v>0</v>
      </c>
      <c r="Y114" s="1406">
        <f t="shared" ca="1" si="8"/>
        <v>0</v>
      </c>
      <c r="Z114" s="1406">
        <f t="shared" ca="1" si="9"/>
        <v>0</v>
      </c>
    </row>
    <row r="115" spans="1:26" s="2295" customFormat="1" ht="15.9" customHeight="1" x14ac:dyDescent="0.3">
      <c r="A115" s="2304" t="str">
        <f ca="1">IF($U115=0,"0",'5  Control Accounts'!$EA$16)</f>
        <v>0</v>
      </c>
      <c r="B115" s="2304" t="str">
        <f ca="1">IF($U115=0,"0",'5  Control Accounts'!$EB$16&amp;"-"&amp;'4 Sign-off'!$S$123)</f>
        <v>0</v>
      </c>
      <c r="C115" s="2323" t="str">
        <f ca="1">IF(U115=0,"0",OFFSET('5  Control Accounts'!$BF$33,V115,0)&amp;"."&amp;OFFSET('5  Control Accounts'!$BH$33,V115,0))</f>
        <v>0</v>
      </c>
      <c r="D115" s="2304" t="str">
        <f t="shared" ca="1" si="10"/>
        <v>0</v>
      </c>
      <c r="E115" s="2304" t="str">
        <f t="shared" ca="1" si="11"/>
        <v>0</v>
      </c>
      <c r="F115" s="2304" t="str">
        <f ca="1">IF(U115=0,"0",OFFSET('5  Control Accounts'!$DW$33,V115,0))</f>
        <v>0</v>
      </c>
      <c r="G115" s="2308"/>
      <c r="H115" s="2308"/>
      <c r="I115" s="2308"/>
      <c r="J115" s="2308"/>
      <c r="K115" s="2304" t="str">
        <f ca="1">IF(U115=0,"0",TEXT(OFFSET('5  Control Accounts'!$FG$33,V115,0),"##0.0"))</f>
        <v>0</v>
      </c>
      <c r="L115" s="2314" t="str">
        <f ca="1">IF(U115=0,"0",TEXT(OFFSET('5  Control Accounts'!$FX$33,V115,0),"##0.00"))</f>
        <v>0</v>
      </c>
      <c r="M115" s="2304" t="str">
        <f ca="1">IF(U115=0,"0",'1 Setup'!$I$60)</f>
        <v>0</v>
      </c>
      <c r="N115" s="2308"/>
      <c r="O115" s="2308"/>
      <c r="P115" s="2304" t="str">
        <f ca="1">IF(U115=0,"0",TEXT(OFFSET('5  Control Accounts'!$FH$33,V115,0),"##0.0"))</f>
        <v>0</v>
      </c>
      <c r="Q115" s="2304" t="str">
        <f ca="1">IF(U115=0,"0",TEXT(OFFSET('5  Control Accounts'!$FY$33,V115,0),"##0.00"))</f>
        <v>0</v>
      </c>
      <c r="R115" s="2308"/>
      <c r="T115" s="2310"/>
      <c r="U115" s="2309">
        <f ca="1">$T$2*OFFSET('5  Control Accounts'!$BR$33,V115,0)</f>
        <v>0</v>
      </c>
      <c r="V115" s="2309">
        <v>108</v>
      </c>
      <c r="W115" s="1411">
        <f ca="1">IF(U115=0,0,OFFSET('5  Control Accounts'!$FD$33,V115,0))</f>
        <v>0</v>
      </c>
      <c r="X115" s="1411">
        <f ca="1">IF(U115=0,0,OFFSET('5  Control Accounts'!$FE$33,V115,0))</f>
        <v>0</v>
      </c>
      <c r="Y115" s="1406">
        <f t="shared" ca="1" si="8"/>
        <v>0</v>
      </c>
      <c r="Z115" s="1406">
        <f t="shared" ca="1" si="9"/>
        <v>0</v>
      </c>
    </row>
    <row r="116" spans="1:26" s="2295" customFormat="1" ht="15.9" customHeight="1" x14ac:dyDescent="0.3">
      <c r="A116" s="2304" t="str">
        <f ca="1">IF($U116=0,"0",'5  Control Accounts'!$EA$16)</f>
        <v>0</v>
      </c>
      <c r="B116" s="2304" t="str">
        <f ca="1">IF($U116=0,"0",'5  Control Accounts'!$EB$16&amp;"-"&amp;'4 Sign-off'!$S$123)</f>
        <v>0</v>
      </c>
      <c r="C116" s="2323" t="str">
        <f ca="1">IF(U116=0,"0",OFFSET('5  Control Accounts'!$BF$33,V116,0)&amp;"."&amp;OFFSET('5  Control Accounts'!$BH$33,V116,0))</f>
        <v>0</v>
      </c>
      <c r="D116" s="2304" t="str">
        <f t="shared" ca="1" si="10"/>
        <v>0</v>
      </c>
      <c r="E116" s="2304" t="str">
        <f t="shared" ca="1" si="11"/>
        <v>0</v>
      </c>
      <c r="F116" s="2304" t="str">
        <f ca="1">IF(U116=0,"0",OFFSET('5  Control Accounts'!$DW$33,V116,0))</f>
        <v>0</v>
      </c>
      <c r="G116" s="2308"/>
      <c r="H116" s="2308"/>
      <c r="I116" s="2308"/>
      <c r="J116" s="2308"/>
      <c r="K116" s="2304" t="str">
        <f ca="1">IF(U116=0,"0",TEXT(OFFSET('5  Control Accounts'!$FG$33,V116,0),"##0.0"))</f>
        <v>0</v>
      </c>
      <c r="L116" s="2314" t="str">
        <f ca="1">IF(U116=0,"0",TEXT(OFFSET('5  Control Accounts'!$FX$33,V116,0),"##0.00"))</f>
        <v>0</v>
      </c>
      <c r="M116" s="2304" t="str">
        <f ca="1">IF(U116=0,"0",'1 Setup'!$I$60)</f>
        <v>0</v>
      </c>
      <c r="N116" s="2308"/>
      <c r="O116" s="2308"/>
      <c r="P116" s="2304" t="str">
        <f ca="1">IF(U116=0,"0",TEXT(OFFSET('5  Control Accounts'!$FH$33,V116,0),"##0.0"))</f>
        <v>0</v>
      </c>
      <c r="Q116" s="2304" t="str">
        <f ca="1">IF(U116=0,"0",TEXT(OFFSET('5  Control Accounts'!$FY$33,V116,0),"##0.00"))</f>
        <v>0</v>
      </c>
      <c r="R116" s="2308"/>
      <c r="T116" s="2310"/>
      <c r="U116" s="2309">
        <f ca="1">$T$2*OFFSET('5  Control Accounts'!$BR$33,V116,0)</f>
        <v>0</v>
      </c>
      <c r="V116" s="2309">
        <v>109</v>
      </c>
      <c r="W116" s="1411">
        <f ca="1">IF(U116=0,0,OFFSET('5  Control Accounts'!$FD$33,V116,0))</f>
        <v>0</v>
      </c>
      <c r="X116" s="1411">
        <f ca="1">IF(U116=0,0,OFFSET('5  Control Accounts'!$FE$33,V116,0))</f>
        <v>0</v>
      </c>
      <c r="Y116" s="1406">
        <f t="shared" ca="1" si="8"/>
        <v>0</v>
      </c>
      <c r="Z116" s="1406">
        <f t="shared" ca="1" si="9"/>
        <v>0</v>
      </c>
    </row>
    <row r="117" spans="1:26" s="2295" customFormat="1" ht="15.9" customHeight="1" x14ac:dyDescent="0.3">
      <c r="A117" s="2304" t="str">
        <f ca="1">IF($U117=0,"0",'5  Control Accounts'!$EA$16)</f>
        <v>0</v>
      </c>
      <c r="B117" s="2304" t="str">
        <f ca="1">IF($U117=0,"0",'5  Control Accounts'!$EB$16&amp;"-"&amp;'4 Sign-off'!$S$123)</f>
        <v>0</v>
      </c>
      <c r="C117" s="2323" t="str">
        <f ca="1">IF(U117=0,"0",OFFSET('5  Control Accounts'!$BF$33,V117,0)&amp;"."&amp;OFFSET('5  Control Accounts'!$BH$33,V117,0))</f>
        <v>0</v>
      </c>
      <c r="D117" s="2304" t="str">
        <f t="shared" ca="1" si="10"/>
        <v>0</v>
      </c>
      <c r="E117" s="2304" t="str">
        <f t="shared" ca="1" si="11"/>
        <v>0</v>
      </c>
      <c r="F117" s="2304" t="str">
        <f ca="1">IF(U117=0,"0",OFFSET('5  Control Accounts'!$DW$33,V117,0))</f>
        <v>0</v>
      </c>
      <c r="G117" s="2308"/>
      <c r="H117" s="2308"/>
      <c r="I117" s="2308"/>
      <c r="J117" s="2308"/>
      <c r="K117" s="2304" t="str">
        <f ca="1">IF(U117=0,"0",TEXT(OFFSET('5  Control Accounts'!$FG$33,V117,0),"##0.0"))</f>
        <v>0</v>
      </c>
      <c r="L117" s="2314" t="str">
        <f ca="1">IF(U117=0,"0",TEXT(OFFSET('5  Control Accounts'!$FX$33,V117,0),"##0.00"))</f>
        <v>0</v>
      </c>
      <c r="M117" s="2304" t="str">
        <f ca="1">IF(U117=0,"0",'1 Setup'!$I$60)</f>
        <v>0</v>
      </c>
      <c r="N117" s="2308"/>
      <c r="O117" s="2308"/>
      <c r="P117" s="2304" t="str">
        <f ca="1">IF(U117=0,"0",TEXT(OFFSET('5  Control Accounts'!$FH$33,V117,0),"##0.0"))</f>
        <v>0</v>
      </c>
      <c r="Q117" s="2304" t="str">
        <f ca="1">IF(U117=0,"0",TEXT(OFFSET('5  Control Accounts'!$FY$33,V117,0),"##0.00"))</f>
        <v>0</v>
      </c>
      <c r="R117" s="2308"/>
      <c r="T117" s="2310"/>
      <c r="U117" s="2309">
        <f ca="1">$T$2*OFFSET('5  Control Accounts'!$BR$33,V117,0)</f>
        <v>0</v>
      </c>
      <c r="V117" s="2309">
        <v>110</v>
      </c>
      <c r="W117" s="1411">
        <f ca="1">IF(U117=0,0,OFFSET('5  Control Accounts'!$FD$33,V117,0))</f>
        <v>0</v>
      </c>
      <c r="X117" s="1411">
        <f ca="1">IF(U117=0,0,OFFSET('5  Control Accounts'!$FE$33,V117,0))</f>
        <v>0</v>
      </c>
      <c r="Y117" s="1406">
        <f t="shared" ca="1" si="8"/>
        <v>0</v>
      </c>
      <c r="Z117" s="1406">
        <f t="shared" ca="1" si="9"/>
        <v>0</v>
      </c>
    </row>
    <row r="118" spans="1:26" s="2295" customFormat="1" ht="15.9" customHeight="1" x14ac:dyDescent="0.3">
      <c r="A118" s="2304" t="str">
        <f ca="1">IF($U118=0,"0",'5  Control Accounts'!$EA$16)</f>
        <v>0</v>
      </c>
      <c r="B118" s="2304" t="str">
        <f ca="1">IF($U118=0,"0",'5  Control Accounts'!$EB$16&amp;"-"&amp;'4 Sign-off'!$S$123)</f>
        <v>0</v>
      </c>
      <c r="C118" s="2323" t="str">
        <f ca="1">IF(U118=0,"0",OFFSET('5  Control Accounts'!$BF$33,V118,0)&amp;"."&amp;OFFSET('5  Control Accounts'!$BH$33,V118,0))</f>
        <v>0</v>
      </c>
      <c r="D118" s="2304" t="str">
        <f t="shared" ca="1" si="10"/>
        <v>0</v>
      </c>
      <c r="E118" s="2304" t="str">
        <f t="shared" ca="1" si="11"/>
        <v>0</v>
      </c>
      <c r="F118" s="2304" t="str">
        <f ca="1">IF(U118=0,"0",OFFSET('5  Control Accounts'!$DW$33,V118,0))</f>
        <v>0</v>
      </c>
      <c r="G118" s="2308"/>
      <c r="H118" s="2308"/>
      <c r="I118" s="2308"/>
      <c r="J118" s="2308"/>
      <c r="K118" s="2304" t="str">
        <f ca="1">IF(U118=0,"0",TEXT(OFFSET('5  Control Accounts'!$FG$33,V118,0),"##0.0"))</f>
        <v>0</v>
      </c>
      <c r="L118" s="2314" t="str">
        <f ca="1">IF(U118=0,"0",TEXT(OFFSET('5  Control Accounts'!$FX$33,V118,0),"##0.00"))</f>
        <v>0</v>
      </c>
      <c r="M118" s="2304" t="str">
        <f ca="1">IF(U118=0,"0",'1 Setup'!$I$60)</f>
        <v>0</v>
      </c>
      <c r="N118" s="2308"/>
      <c r="O118" s="2308"/>
      <c r="P118" s="2304" t="str">
        <f ca="1">IF(U118=0,"0",TEXT(OFFSET('5  Control Accounts'!$FH$33,V118,0),"##0.0"))</f>
        <v>0</v>
      </c>
      <c r="Q118" s="2304" t="str">
        <f ca="1">IF(U118=0,"0",TEXT(OFFSET('5  Control Accounts'!$FY$33,V118,0),"##0.00"))</f>
        <v>0</v>
      </c>
      <c r="R118" s="2308"/>
      <c r="T118" s="2310"/>
      <c r="U118" s="2309">
        <f ca="1">$T$2*OFFSET('5  Control Accounts'!$BR$33,V118,0)</f>
        <v>0</v>
      </c>
      <c r="V118" s="2309">
        <v>111</v>
      </c>
      <c r="W118" s="1411">
        <f ca="1">IF(U118=0,0,OFFSET('5  Control Accounts'!$FD$33,V118,0))</f>
        <v>0</v>
      </c>
      <c r="X118" s="1411">
        <f ca="1">IF(U118=0,0,OFFSET('5  Control Accounts'!$FE$33,V118,0))</f>
        <v>0</v>
      </c>
      <c r="Y118" s="1406">
        <f t="shared" ca="1" si="8"/>
        <v>0</v>
      </c>
      <c r="Z118" s="1406">
        <f t="shared" ca="1" si="9"/>
        <v>0</v>
      </c>
    </row>
    <row r="119" spans="1:26" s="2295" customFormat="1" ht="15.9" customHeight="1" x14ac:dyDescent="0.3">
      <c r="A119" s="2304" t="str">
        <f ca="1">IF($U119=0,"0",'5  Control Accounts'!$EA$16)</f>
        <v>0</v>
      </c>
      <c r="B119" s="2304" t="str">
        <f ca="1">IF($U119=0,"0",'5  Control Accounts'!$EB$16&amp;"-"&amp;'4 Sign-off'!$S$123)</f>
        <v>0</v>
      </c>
      <c r="C119" s="2323" t="str">
        <f ca="1">IF(U119=0,"0",OFFSET('5  Control Accounts'!$BF$33,V119,0)&amp;"."&amp;OFFSET('5  Control Accounts'!$BH$33,V119,0))</f>
        <v>0</v>
      </c>
      <c r="D119" s="2304" t="str">
        <f t="shared" ca="1" si="10"/>
        <v>0</v>
      </c>
      <c r="E119" s="2304" t="str">
        <f t="shared" ca="1" si="11"/>
        <v>0</v>
      </c>
      <c r="F119" s="2304" t="str">
        <f ca="1">IF(U119=0,"0",OFFSET('5  Control Accounts'!$DW$33,V119,0))</f>
        <v>0</v>
      </c>
      <c r="G119" s="2308"/>
      <c r="H119" s="2308"/>
      <c r="I119" s="2308"/>
      <c r="J119" s="2308"/>
      <c r="K119" s="2304" t="str">
        <f ca="1">IF(U119=0,"0",TEXT(OFFSET('5  Control Accounts'!$FG$33,V119,0),"##0.0"))</f>
        <v>0</v>
      </c>
      <c r="L119" s="2314" t="str">
        <f ca="1">IF(U119=0,"0",TEXT(OFFSET('5  Control Accounts'!$FX$33,V119,0),"##0.00"))</f>
        <v>0</v>
      </c>
      <c r="M119" s="2304" t="str">
        <f ca="1">IF(U119=0,"0",'1 Setup'!$I$60)</f>
        <v>0</v>
      </c>
      <c r="N119" s="2308"/>
      <c r="O119" s="2308"/>
      <c r="P119" s="2304" t="str">
        <f ca="1">IF(U119=0,"0",TEXT(OFFSET('5  Control Accounts'!$FH$33,V119,0),"##0.0"))</f>
        <v>0</v>
      </c>
      <c r="Q119" s="2304" t="str">
        <f ca="1">IF(U119=0,"0",TEXT(OFFSET('5  Control Accounts'!$FY$33,V119,0),"##0.00"))</f>
        <v>0</v>
      </c>
      <c r="R119" s="2308"/>
      <c r="T119" s="2310"/>
      <c r="U119" s="2309">
        <f ca="1">$T$2*OFFSET('5  Control Accounts'!$BR$33,V119,0)</f>
        <v>0</v>
      </c>
      <c r="V119" s="2309">
        <v>112</v>
      </c>
      <c r="W119" s="1411">
        <f ca="1">IF(U119=0,0,OFFSET('5  Control Accounts'!$FD$33,V119,0))</f>
        <v>0</v>
      </c>
      <c r="X119" s="1411">
        <f ca="1">IF(U119=0,0,OFFSET('5  Control Accounts'!$FE$33,V119,0))</f>
        <v>0</v>
      </c>
      <c r="Y119" s="1406">
        <f t="shared" ca="1" si="8"/>
        <v>0</v>
      </c>
      <c r="Z119" s="1406">
        <f t="shared" ca="1" si="9"/>
        <v>0</v>
      </c>
    </row>
    <row r="120" spans="1:26" s="2295" customFormat="1" ht="15.9" customHeight="1" x14ac:dyDescent="0.3">
      <c r="A120" s="2304" t="str">
        <f ca="1">IF($U120=0,"0",'5  Control Accounts'!$EA$16)</f>
        <v>0</v>
      </c>
      <c r="B120" s="2304" t="str">
        <f ca="1">IF($U120=0,"0",'5  Control Accounts'!$EB$16&amp;"-"&amp;'4 Sign-off'!$S$123)</f>
        <v>0</v>
      </c>
      <c r="C120" s="2323" t="str">
        <f ca="1">IF(U120=0,"0",OFFSET('5  Control Accounts'!$BF$33,V120,0)&amp;"."&amp;OFFSET('5  Control Accounts'!$BH$33,V120,0))</f>
        <v>0</v>
      </c>
      <c r="D120" s="2304" t="str">
        <f t="shared" ca="1" si="10"/>
        <v>0</v>
      </c>
      <c r="E120" s="2304" t="str">
        <f t="shared" ca="1" si="11"/>
        <v>0</v>
      </c>
      <c r="F120" s="2304" t="str">
        <f ca="1">IF(U120=0,"0",OFFSET('5  Control Accounts'!$DW$33,V120,0))</f>
        <v>0</v>
      </c>
      <c r="G120" s="2308"/>
      <c r="H120" s="2308"/>
      <c r="I120" s="2308"/>
      <c r="J120" s="2308"/>
      <c r="K120" s="2304" t="str">
        <f ca="1">IF(U120=0,"0",TEXT(OFFSET('5  Control Accounts'!$FG$33,V120,0),"##0.0"))</f>
        <v>0</v>
      </c>
      <c r="L120" s="2314" t="str">
        <f ca="1">IF(U120=0,"0",TEXT(OFFSET('5  Control Accounts'!$FX$33,V120,0),"##0.00"))</f>
        <v>0</v>
      </c>
      <c r="M120" s="2304" t="str">
        <f ca="1">IF(U120=0,"0",'1 Setup'!$I$60)</f>
        <v>0</v>
      </c>
      <c r="N120" s="2308"/>
      <c r="O120" s="2308"/>
      <c r="P120" s="2304" t="str">
        <f ca="1">IF(U120=0,"0",TEXT(OFFSET('5  Control Accounts'!$FH$33,V120,0),"##0.0"))</f>
        <v>0</v>
      </c>
      <c r="Q120" s="2304" t="str">
        <f ca="1">IF(U120=0,"0",TEXT(OFFSET('5  Control Accounts'!$FY$33,V120,0),"##0.00"))</f>
        <v>0</v>
      </c>
      <c r="R120" s="2308"/>
      <c r="T120" s="2310"/>
      <c r="U120" s="2309">
        <f ca="1">$T$2*OFFSET('5  Control Accounts'!$BR$33,V120,0)</f>
        <v>0</v>
      </c>
      <c r="V120" s="2309">
        <v>113</v>
      </c>
      <c r="W120" s="1411">
        <f ca="1">IF(U120=0,0,OFFSET('5  Control Accounts'!$FD$33,V120,0))</f>
        <v>0</v>
      </c>
      <c r="X120" s="1411">
        <f ca="1">IF(U120=0,0,OFFSET('5  Control Accounts'!$FE$33,V120,0))</f>
        <v>0</v>
      </c>
      <c r="Y120" s="1406">
        <f t="shared" ca="1" si="8"/>
        <v>0</v>
      </c>
      <c r="Z120" s="1406">
        <f t="shared" ca="1" si="9"/>
        <v>0</v>
      </c>
    </row>
    <row r="121" spans="1:26" s="2295" customFormat="1" ht="15.9" customHeight="1" x14ac:dyDescent="0.3">
      <c r="A121" s="2304" t="str">
        <f ca="1">IF($U121=0,"0",'5  Control Accounts'!$EA$16)</f>
        <v>0</v>
      </c>
      <c r="B121" s="2304" t="str">
        <f ca="1">IF($U121=0,"0",'5  Control Accounts'!$EB$16&amp;"-"&amp;'4 Sign-off'!$S$123)</f>
        <v>0</v>
      </c>
      <c r="C121" s="2323" t="str">
        <f ca="1">IF(U121=0,"0",OFFSET('5  Control Accounts'!$BF$33,V121,0)&amp;"."&amp;OFFSET('5  Control Accounts'!$BH$33,V121,0))</f>
        <v>0</v>
      </c>
      <c r="D121" s="2304" t="str">
        <f t="shared" ca="1" si="10"/>
        <v>0</v>
      </c>
      <c r="E121" s="2304" t="str">
        <f t="shared" ca="1" si="11"/>
        <v>0</v>
      </c>
      <c r="F121" s="2304" t="str">
        <f ca="1">IF(U121=0,"0",OFFSET('5  Control Accounts'!$DW$33,V121,0))</f>
        <v>0</v>
      </c>
      <c r="G121" s="2308"/>
      <c r="H121" s="2308"/>
      <c r="I121" s="2308"/>
      <c r="J121" s="2308"/>
      <c r="K121" s="2304" t="str">
        <f ca="1">IF(U121=0,"0",TEXT(OFFSET('5  Control Accounts'!$FG$33,V121,0),"##0.0"))</f>
        <v>0</v>
      </c>
      <c r="L121" s="2314" t="str">
        <f ca="1">IF(U121=0,"0",TEXT(OFFSET('5  Control Accounts'!$FX$33,V121,0),"##0.00"))</f>
        <v>0</v>
      </c>
      <c r="M121" s="2304" t="str">
        <f ca="1">IF(U121=0,"0",'1 Setup'!$I$60)</f>
        <v>0</v>
      </c>
      <c r="N121" s="2308"/>
      <c r="O121" s="2308"/>
      <c r="P121" s="2304" t="str">
        <f ca="1">IF(U121=0,"0",TEXT(OFFSET('5  Control Accounts'!$FH$33,V121,0),"##0.0"))</f>
        <v>0</v>
      </c>
      <c r="Q121" s="2304" t="str">
        <f ca="1">IF(U121=0,"0",TEXT(OFFSET('5  Control Accounts'!$FY$33,V121,0),"##0.00"))</f>
        <v>0</v>
      </c>
      <c r="R121" s="2308"/>
      <c r="T121" s="2310"/>
      <c r="U121" s="2309">
        <f ca="1">$T$2*OFFSET('5  Control Accounts'!$BR$33,V121,0)</f>
        <v>0</v>
      </c>
      <c r="V121" s="2309">
        <v>114</v>
      </c>
      <c r="W121" s="1411">
        <f ca="1">IF(U121=0,0,OFFSET('5  Control Accounts'!$FD$33,V121,0))</f>
        <v>0</v>
      </c>
      <c r="X121" s="1411">
        <f ca="1">IF(U121=0,0,OFFSET('5  Control Accounts'!$FE$33,V121,0))</f>
        <v>0</v>
      </c>
      <c r="Y121" s="1406">
        <f t="shared" ca="1" si="8"/>
        <v>0</v>
      </c>
      <c r="Z121" s="1406">
        <f t="shared" ca="1" si="9"/>
        <v>0</v>
      </c>
    </row>
    <row r="122" spans="1:26" s="2295" customFormat="1" ht="15.9" customHeight="1" x14ac:dyDescent="0.3">
      <c r="A122" s="2304" t="str">
        <f ca="1">IF($U122=0,"0",'5  Control Accounts'!$EA$16)</f>
        <v>0</v>
      </c>
      <c r="B122" s="2304" t="str">
        <f ca="1">IF($U122=0,"0",'5  Control Accounts'!$EB$16&amp;"-"&amp;'4 Sign-off'!$S$123)</f>
        <v>0</v>
      </c>
      <c r="C122" s="2323" t="str">
        <f ca="1">IF(U122=0,"0",OFFSET('5  Control Accounts'!$BF$33,V122,0)&amp;"."&amp;OFFSET('5  Control Accounts'!$BH$33,V122,0))</f>
        <v>0</v>
      </c>
      <c r="D122" s="2304" t="str">
        <f t="shared" ca="1" si="10"/>
        <v>0</v>
      </c>
      <c r="E122" s="2304" t="str">
        <f t="shared" ca="1" si="11"/>
        <v>0</v>
      </c>
      <c r="F122" s="2304" t="str">
        <f ca="1">IF(U122=0,"0",OFFSET('5  Control Accounts'!$DW$33,V122,0))</f>
        <v>0</v>
      </c>
      <c r="G122" s="2308"/>
      <c r="H122" s="2308"/>
      <c r="I122" s="2308"/>
      <c r="J122" s="2308"/>
      <c r="K122" s="2304" t="str">
        <f ca="1">IF(U122=0,"0",TEXT(OFFSET('5  Control Accounts'!$FG$33,V122,0),"##0.0"))</f>
        <v>0</v>
      </c>
      <c r="L122" s="2314" t="str">
        <f ca="1">IF(U122=0,"0",TEXT(OFFSET('5  Control Accounts'!$FX$33,V122,0),"##0.00"))</f>
        <v>0</v>
      </c>
      <c r="M122" s="2304" t="str">
        <f ca="1">IF(U122=0,"0",'1 Setup'!$I$60)</f>
        <v>0</v>
      </c>
      <c r="N122" s="2308"/>
      <c r="O122" s="2308"/>
      <c r="P122" s="2304" t="str">
        <f ca="1">IF(U122=0,"0",TEXT(OFFSET('5  Control Accounts'!$FH$33,V122,0),"##0.0"))</f>
        <v>0</v>
      </c>
      <c r="Q122" s="2304" t="str">
        <f ca="1">IF(U122=0,"0",TEXT(OFFSET('5  Control Accounts'!$FY$33,V122,0),"##0.00"))</f>
        <v>0</v>
      </c>
      <c r="R122" s="2308"/>
      <c r="T122" s="2310"/>
      <c r="U122" s="2309">
        <f ca="1">$T$2*OFFSET('5  Control Accounts'!$BR$33,V122,0)</f>
        <v>0</v>
      </c>
      <c r="V122" s="2309">
        <v>115</v>
      </c>
      <c r="W122" s="1411">
        <f ca="1">IF(U122=0,0,OFFSET('5  Control Accounts'!$FD$33,V122,0))</f>
        <v>0</v>
      </c>
      <c r="X122" s="1411">
        <f ca="1">IF(U122=0,0,OFFSET('5  Control Accounts'!$FE$33,V122,0))</f>
        <v>0</v>
      </c>
      <c r="Y122" s="1406">
        <f t="shared" ca="1" si="8"/>
        <v>0</v>
      </c>
      <c r="Z122" s="1406">
        <f t="shared" ca="1" si="9"/>
        <v>0</v>
      </c>
    </row>
    <row r="123" spans="1:26" s="2295" customFormat="1" ht="15.9" customHeight="1" x14ac:dyDescent="0.3">
      <c r="A123" s="2304" t="str">
        <f ca="1">IF($U123=0,"0",'5  Control Accounts'!$EA$16)</f>
        <v>0</v>
      </c>
      <c r="B123" s="2304" t="str">
        <f ca="1">IF($U123=0,"0",'5  Control Accounts'!$EB$16&amp;"-"&amp;'4 Sign-off'!$S$123)</f>
        <v>0</v>
      </c>
      <c r="C123" s="2323" t="str">
        <f ca="1">IF(U123=0,"0",OFFSET('5  Control Accounts'!$BF$33,V123,0)&amp;"."&amp;OFFSET('5  Control Accounts'!$BH$33,V123,0))</f>
        <v>0</v>
      </c>
      <c r="D123" s="2304" t="str">
        <f t="shared" ca="1" si="10"/>
        <v>0</v>
      </c>
      <c r="E123" s="2304" t="str">
        <f t="shared" ca="1" si="11"/>
        <v>0</v>
      </c>
      <c r="F123" s="2304" t="str">
        <f ca="1">IF(U123=0,"0",OFFSET('5  Control Accounts'!$DW$33,V123,0))</f>
        <v>0</v>
      </c>
      <c r="G123" s="2308"/>
      <c r="H123" s="2308"/>
      <c r="I123" s="2308"/>
      <c r="J123" s="2308"/>
      <c r="K123" s="2304" t="str">
        <f ca="1">IF(U123=0,"0",TEXT(OFFSET('5  Control Accounts'!$FG$33,V123,0),"##0.0"))</f>
        <v>0</v>
      </c>
      <c r="L123" s="2314" t="str">
        <f ca="1">IF(U123=0,"0",TEXT(OFFSET('5  Control Accounts'!$FX$33,V123,0),"##0.00"))</f>
        <v>0</v>
      </c>
      <c r="M123" s="2304" t="str">
        <f ca="1">IF(U123=0,"0",'1 Setup'!$I$60)</f>
        <v>0</v>
      </c>
      <c r="N123" s="2308"/>
      <c r="O123" s="2308"/>
      <c r="P123" s="2304" t="str">
        <f ca="1">IF(U123=0,"0",TEXT(OFFSET('5  Control Accounts'!$FH$33,V123,0),"##0.0"))</f>
        <v>0</v>
      </c>
      <c r="Q123" s="2304" t="str">
        <f ca="1">IF(U123=0,"0",TEXT(OFFSET('5  Control Accounts'!$FY$33,V123,0),"##0.00"))</f>
        <v>0</v>
      </c>
      <c r="R123" s="2308"/>
      <c r="T123" s="2310"/>
      <c r="U123" s="2309">
        <f ca="1">$T$2*OFFSET('5  Control Accounts'!$BR$33,V123,0)</f>
        <v>0</v>
      </c>
      <c r="V123" s="2309">
        <v>116</v>
      </c>
      <c r="W123" s="1411">
        <f ca="1">IF(U123=0,0,OFFSET('5  Control Accounts'!$FD$33,V123,0))</f>
        <v>0</v>
      </c>
      <c r="X123" s="1411">
        <f ca="1">IF(U123=0,0,OFFSET('5  Control Accounts'!$FE$33,V123,0))</f>
        <v>0</v>
      </c>
      <c r="Y123" s="1406">
        <f t="shared" ca="1" si="8"/>
        <v>0</v>
      </c>
      <c r="Z123" s="1406">
        <f t="shared" ca="1" si="9"/>
        <v>0</v>
      </c>
    </row>
    <row r="124" spans="1:26" s="2295" customFormat="1" ht="15.9" customHeight="1" x14ac:dyDescent="0.3">
      <c r="A124" s="2304" t="str">
        <f ca="1">IF($U124=0,"0",'5  Control Accounts'!$EA$16)</f>
        <v>0</v>
      </c>
      <c r="B124" s="2304" t="str">
        <f ca="1">IF($U124=0,"0",'5  Control Accounts'!$EB$16&amp;"-"&amp;'4 Sign-off'!$S$123)</f>
        <v>0</v>
      </c>
      <c r="C124" s="2323" t="str">
        <f ca="1">IF(U124=0,"0",OFFSET('5  Control Accounts'!$BF$33,V124,0)&amp;"."&amp;OFFSET('5  Control Accounts'!$BH$33,V124,0))</f>
        <v>0</v>
      </c>
      <c r="D124" s="2304" t="str">
        <f t="shared" ca="1" si="10"/>
        <v>0</v>
      </c>
      <c r="E124" s="2304" t="str">
        <f t="shared" ca="1" si="11"/>
        <v>0</v>
      </c>
      <c r="F124" s="2304" t="str">
        <f ca="1">IF(U124=0,"0",OFFSET('5  Control Accounts'!$DW$33,V124,0))</f>
        <v>0</v>
      </c>
      <c r="G124" s="2308"/>
      <c r="H124" s="2308"/>
      <c r="I124" s="2308"/>
      <c r="J124" s="2308"/>
      <c r="K124" s="2304" t="str">
        <f ca="1">IF(U124=0,"0",TEXT(OFFSET('5  Control Accounts'!$FG$33,V124,0),"##0.0"))</f>
        <v>0</v>
      </c>
      <c r="L124" s="2314" t="str">
        <f ca="1">IF(U124=0,"0",TEXT(OFFSET('5  Control Accounts'!$FX$33,V124,0),"##0.00"))</f>
        <v>0</v>
      </c>
      <c r="M124" s="2304" t="str">
        <f ca="1">IF(U124=0,"0",'1 Setup'!$I$60)</f>
        <v>0</v>
      </c>
      <c r="N124" s="2308"/>
      <c r="O124" s="2308"/>
      <c r="P124" s="2304" t="str">
        <f ca="1">IF(U124=0,"0",TEXT(OFFSET('5  Control Accounts'!$FH$33,V124,0),"##0.0"))</f>
        <v>0</v>
      </c>
      <c r="Q124" s="2304" t="str">
        <f ca="1">IF(U124=0,"0",TEXT(OFFSET('5  Control Accounts'!$FY$33,V124,0),"##0.00"))</f>
        <v>0</v>
      </c>
      <c r="R124" s="2308"/>
      <c r="T124" s="2310"/>
      <c r="U124" s="2309">
        <f ca="1">$T$2*OFFSET('5  Control Accounts'!$BR$33,V124,0)</f>
        <v>0</v>
      </c>
      <c r="V124" s="2309">
        <v>117</v>
      </c>
      <c r="W124" s="1411">
        <f ca="1">IF(U124=0,0,OFFSET('5  Control Accounts'!$FD$33,V124,0))</f>
        <v>0</v>
      </c>
      <c r="X124" s="1411">
        <f ca="1">IF(U124=0,0,OFFSET('5  Control Accounts'!$FE$33,V124,0))</f>
        <v>0</v>
      </c>
      <c r="Y124" s="1406">
        <f t="shared" ca="1" si="8"/>
        <v>0</v>
      </c>
      <c r="Z124" s="1406">
        <f t="shared" ca="1" si="9"/>
        <v>0</v>
      </c>
    </row>
    <row r="125" spans="1:26" s="2295" customFormat="1" ht="15.9" customHeight="1" x14ac:dyDescent="0.3">
      <c r="A125" s="2304" t="str">
        <f ca="1">IF($U125=0,"0",'5  Control Accounts'!$EA$16)</f>
        <v>0</v>
      </c>
      <c r="B125" s="2304" t="str">
        <f ca="1">IF($U125=0,"0",'5  Control Accounts'!$EB$16&amp;"-"&amp;'4 Sign-off'!$S$123)</f>
        <v>0</v>
      </c>
      <c r="C125" s="2323" t="str">
        <f ca="1">IF(U125=0,"0",OFFSET('5  Control Accounts'!$BF$33,V125,0)&amp;"."&amp;OFFSET('5  Control Accounts'!$BH$33,V125,0))</f>
        <v>0</v>
      </c>
      <c r="D125" s="2304" t="str">
        <f t="shared" ca="1" si="10"/>
        <v>0</v>
      </c>
      <c r="E125" s="2304" t="str">
        <f t="shared" ca="1" si="11"/>
        <v>0</v>
      </c>
      <c r="F125" s="2304" t="str">
        <f ca="1">IF(U125=0,"0",OFFSET('5  Control Accounts'!$DW$33,V125,0))</f>
        <v>0</v>
      </c>
      <c r="G125" s="2308"/>
      <c r="H125" s="2308"/>
      <c r="I125" s="2308"/>
      <c r="J125" s="2308"/>
      <c r="K125" s="2304" t="str">
        <f ca="1">IF(U125=0,"0",TEXT(OFFSET('5  Control Accounts'!$FG$33,V125,0),"##0.0"))</f>
        <v>0</v>
      </c>
      <c r="L125" s="2314" t="str">
        <f ca="1">IF(U125=0,"0",TEXT(OFFSET('5  Control Accounts'!$FX$33,V125,0),"##0.00"))</f>
        <v>0</v>
      </c>
      <c r="M125" s="2304" t="str">
        <f ca="1">IF(U125=0,"0",'1 Setup'!$I$60)</f>
        <v>0</v>
      </c>
      <c r="N125" s="2308"/>
      <c r="O125" s="2308"/>
      <c r="P125" s="2304" t="str">
        <f ca="1">IF(U125=0,"0",TEXT(OFFSET('5  Control Accounts'!$FH$33,V125,0),"##0.0"))</f>
        <v>0</v>
      </c>
      <c r="Q125" s="2304" t="str">
        <f ca="1">IF(U125=0,"0",TEXT(OFFSET('5  Control Accounts'!$FY$33,V125,0),"##0.00"))</f>
        <v>0</v>
      </c>
      <c r="R125" s="2308"/>
      <c r="T125" s="2310"/>
      <c r="U125" s="2309">
        <f ca="1">$T$2*OFFSET('5  Control Accounts'!$BR$33,V125,0)</f>
        <v>0</v>
      </c>
      <c r="V125" s="2309">
        <v>118</v>
      </c>
      <c r="W125" s="1411">
        <f ca="1">IF(U125=0,0,OFFSET('5  Control Accounts'!$FD$33,V125,0))</f>
        <v>0</v>
      </c>
      <c r="X125" s="1411">
        <f ca="1">IF(U125=0,0,OFFSET('5  Control Accounts'!$FE$33,V125,0))</f>
        <v>0</v>
      </c>
      <c r="Y125" s="1406">
        <f t="shared" ca="1" si="8"/>
        <v>0</v>
      </c>
      <c r="Z125" s="1406">
        <f t="shared" ca="1" si="9"/>
        <v>0</v>
      </c>
    </row>
    <row r="126" spans="1:26" s="2295" customFormat="1" ht="15.9" customHeight="1" x14ac:dyDescent="0.3">
      <c r="A126" s="2304" t="str">
        <f ca="1">IF($U126=0,"0",'5  Control Accounts'!$EA$16)</f>
        <v>0</v>
      </c>
      <c r="B126" s="2304" t="str">
        <f ca="1">IF($U126=0,"0",'5  Control Accounts'!$EB$16&amp;"-"&amp;'4 Sign-off'!$S$123)</f>
        <v>0</v>
      </c>
      <c r="C126" s="2323" t="str">
        <f ca="1">IF(U126=0,"0",OFFSET('5  Control Accounts'!$BF$33,V126,0)&amp;"."&amp;OFFSET('5  Control Accounts'!$BH$33,V126,0))</f>
        <v>0</v>
      </c>
      <c r="D126" s="2304" t="str">
        <f t="shared" ca="1" si="10"/>
        <v>0</v>
      </c>
      <c r="E126" s="2304" t="str">
        <f t="shared" ca="1" si="11"/>
        <v>0</v>
      </c>
      <c r="F126" s="2304" t="str">
        <f ca="1">IF(U126=0,"0",OFFSET('5  Control Accounts'!$DW$33,V126,0))</f>
        <v>0</v>
      </c>
      <c r="G126" s="2308"/>
      <c r="H126" s="2308"/>
      <c r="I126" s="2308"/>
      <c r="J126" s="2308"/>
      <c r="K126" s="2304" t="str">
        <f ca="1">IF(U126=0,"0",TEXT(OFFSET('5  Control Accounts'!$FG$33,V126,0),"##0.0"))</f>
        <v>0</v>
      </c>
      <c r="L126" s="2314" t="str">
        <f ca="1">IF(U126=0,"0",TEXT(OFFSET('5  Control Accounts'!$FX$33,V126,0),"##0.00"))</f>
        <v>0</v>
      </c>
      <c r="M126" s="2304" t="str">
        <f ca="1">IF(U126=0,"0",'1 Setup'!$I$60)</f>
        <v>0</v>
      </c>
      <c r="N126" s="2308"/>
      <c r="O126" s="2308"/>
      <c r="P126" s="2304" t="str">
        <f ca="1">IF(U126=0,"0",TEXT(OFFSET('5  Control Accounts'!$FH$33,V126,0),"##0.0"))</f>
        <v>0</v>
      </c>
      <c r="Q126" s="2304" t="str">
        <f ca="1">IF(U126=0,"0",TEXT(OFFSET('5  Control Accounts'!$FY$33,V126,0),"##0.00"))</f>
        <v>0</v>
      </c>
      <c r="R126" s="2308"/>
      <c r="T126" s="2310"/>
      <c r="U126" s="2309">
        <f ca="1">$T$2*OFFSET('5  Control Accounts'!$BR$33,V126,0)</f>
        <v>0</v>
      </c>
      <c r="V126" s="2309">
        <v>119</v>
      </c>
      <c r="W126" s="1411">
        <f ca="1">IF(U126=0,0,OFFSET('5  Control Accounts'!$FD$33,V126,0))</f>
        <v>0</v>
      </c>
      <c r="X126" s="1411">
        <f ca="1">IF(U126=0,0,OFFSET('5  Control Accounts'!$FE$33,V126,0))</f>
        <v>0</v>
      </c>
      <c r="Y126" s="1406">
        <f t="shared" ca="1" si="8"/>
        <v>0</v>
      </c>
      <c r="Z126" s="1406">
        <f t="shared" ca="1" si="9"/>
        <v>0</v>
      </c>
    </row>
    <row r="127" spans="1:26" s="2295" customFormat="1" ht="15.9" customHeight="1" x14ac:dyDescent="0.3">
      <c r="A127" s="2304" t="str">
        <f ca="1">IF($U127=0,"0",'5  Control Accounts'!$EA$16)</f>
        <v>0</v>
      </c>
      <c r="B127" s="2304" t="str">
        <f ca="1">IF($U127=0,"0",'5  Control Accounts'!$EB$16&amp;"-"&amp;'4 Sign-off'!$S$123)</f>
        <v>0</v>
      </c>
      <c r="C127" s="2323" t="str">
        <f ca="1">IF(U127=0,"0",OFFSET('5  Control Accounts'!$BF$33,V127,0)&amp;"."&amp;OFFSET('5  Control Accounts'!$BH$33,V127,0))</f>
        <v>0</v>
      </c>
      <c r="D127" s="2304" t="str">
        <f t="shared" ca="1" si="10"/>
        <v>0</v>
      </c>
      <c r="E127" s="2304" t="str">
        <f t="shared" ca="1" si="11"/>
        <v>0</v>
      </c>
      <c r="F127" s="2304" t="str">
        <f ca="1">IF(U127=0,"0",OFFSET('5  Control Accounts'!$DW$33,V127,0))</f>
        <v>0</v>
      </c>
      <c r="G127" s="2308"/>
      <c r="H127" s="2308"/>
      <c r="I127" s="2308"/>
      <c r="J127" s="2308"/>
      <c r="K127" s="2304" t="str">
        <f ca="1">IF(U127=0,"0",TEXT(OFFSET('5  Control Accounts'!$FG$33,V127,0),"##0.0"))</f>
        <v>0</v>
      </c>
      <c r="L127" s="2314" t="str">
        <f ca="1">IF(U127=0,"0",TEXT(OFFSET('5  Control Accounts'!$FX$33,V127,0),"##0.00"))</f>
        <v>0</v>
      </c>
      <c r="M127" s="2304" t="str">
        <f ca="1">IF(U127=0,"0",'1 Setup'!$I$60)</f>
        <v>0</v>
      </c>
      <c r="N127" s="2308"/>
      <c r="O127" s="2308"/>
      <c r="P127" s="2304" t="str">
        <f ca="1">IF(U127=0,"0",TEXT(OFFSET('5  Control Accounts'!$FH$33,V127,0),"##0.0"))</f>
        <v>0</v>
      </c>
      <c r="Q127" s="2304" t="str">
        <f ca="1">IF(U127=0,"0",TEXT(OFFSET('5  Control Accounts'!$FY$33,V127,0),"##0.00"))</f>
        <v>0</v>
      </c>
      <c r="R127" s="2308"/>
      <c r="T127" s="2310"/>
      <c r="U127" s="2309">
        <f ca="1">$T$2*OFFSET('5  Control Accounts'!$BR$33,V127,0)</f>
        <v>0</v>
      </c>
      <c r="V127" s="2309">
        <v>120</v>
      </c>
      <c r="W127" s="1411">
        <f ca="1">IF(U127=0,0,OFFSET('5  Control Accounts'!$FD$33,V127,0))</f>
        <v>0</v>
      </c>
      <c r="X127" s="1411">
        <f ca="1">IF(U127=0,0,OFFSET('5  Control Accounts'!$FE$33,V127,0))</f>
        <v>0</v>
      </c>
      <c r="Y127" s="1406">
        <f t="shared" ca="1" si="8"/>
        <v>0</v>
      </c>
      <c r="Z127" s="1406">
        <f t="shared" ca="1" si="9"/>
        <v>0</v>
      </c>
    </row>
  </sheetData>
  <conditionalFormatting sqref="A2:B127">
    <cfRule type="expression" dxfId="88" priority="14">
      <formula>(A2="")</formula>
    </cfRule>
  </conditionalFormatting>
  <conditionalFormatting sqref="F2:F8">
    <cfRule type="expression" dxfId="87" priority="10">
      <formula>ISNONTEXT(F2)</formula>
    </cfRule>
  </conditionalFormatting>
  <conditionalFormatting sqref="M2">
    <cfRule type="expression" dxfId="86" priority="9">
      <formula>ISNONTEXT(M2)</formula>
    </cfRule>
  </conditionalFormatting>
  <conditionalFormatting sqref="K2:K8 L2:L7">
    <cfRule type="expression" dxfId="85" priority="8">
      <formula>ISNONTEXT(K2)</formula>
    </cfRule>
  </conditionalFormatting>
  <conditionalFormatting sqref="L8:L127">
    <cfRule type="expression" dxfId="84" priority="7">
      <formula>ISNONTEXT(L8)</formula>
    </cfRule>
  </conditionalFormatting>
  <conditionalFormatting sqref="P2">
    <cfRule type="expression" dxfId="83" priority="6">
      <formula>ISNONTEXT(P2)</formula>
    </cfRule>
  </conditionalFormatting>
  <conditionalFormatting sqref="P3:P7">
    <cfRule type="expression" dxfId="82" priority="5">
      <formula>ISNONTEXT(P3)</formula>
    </cfRule>
  </conditionalFormatting>
  <conditionalFormatting sqref="Q8">
    <cfRule type="expression" dxfId="81" priority="2">
      <formula>ISNONTEXT(Q8)</formula>
    </cfRule>
  </conditionalFormatting>
  <conditionalFormatting sqref="P8">
    <cfRule type="expression" dxfId="80" priority="4">
      <formula>ISNONTEXT(P8)</formula>
    </cfRule>
  </conditionalFormatting>
  <conditionalFormatting sqref="Q2:Q7">
    <cfRule type="expression" dxfId="79" priority="3">
      <formula>ISNONTEXT(Q2)</formula>
    </cfRule>
  </conditionalFormatting>
  <conditionalFormatting sqref="T3">
    <cfRule type="expression" dxfId="78" priority="1">
      <formula>NOT(ISBLANK(T3))</formula>
    </cfRule>
  </conditionalFormatting>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773F0154E41F247B09A7A1611CEB857" ma:contentTypeVersion="0" ma:contentTypeDescription="Create a new document." ma:contentTypeScope="" ma:versionID="2710d6fda5b68227dc17cc9402abd68d">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00BF4E3-5011-4B12-8DC3-A26C3B2B746C}">
  <ds:schemaRefs>
    <ds:schemaRef ds:uri="http://schemas.microsoft.com/office/2006/metadata/properties"/>
    <ds:schemaRef ds:uri="http://schemas.microsoft.com/office/infopath/2007/PartnerControls"/>
    <ds:schemaRef ds:uri="http://purl.org/dc/terms/"/>
    <ds:schemaRef ds:uri="http://schemas.microsoft.com/office/2006/documentManagement/types"/>
    <ds:schemaRef ds:uri="http://purl.org/dc/elements/1.1/"/>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AD936269-34CB-4DAA-8AC5-E2070C94E751}">
  <ds:schemaRefs>
    <ds:schemaRef ds:uri="http://schemas.microsoft.com/sharepoint/v3/contenttype/forms"/>
  </ds:schemaRefs>
</ds:datastoreItem>
</file>

<file path=customXml/itemProps3.xml><?xml version="1.0" encoding="utf-8"?>
<ds:datastoreItem xmlns:ds="http://schemas.openxmlformats.org/officeDocument/2006/customXml" ds:itemID="{82AD2EEF-257B-470F-B9E2-EAF211E70B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11</vt:i4>
      </vt:variant>
    </vt:vector>
  </HeadingPairs>
  <TitlesOfParts>
    <vt:vector size="34" baseType="lpstr">
      <vt:lpstr>Fringe Data</vt:lpstr>
      <vt:lpstr>Category Rates Data</vt:lpstr>
      <vt:lpstr>Currency Data</vt:lpstr>
      <vt:lpstr>IPCS Data</vt:lpstr>
      <vt:lpstr>PU List</vt:lpstr>
      <vt:lpstr>Overview</vt:lpstr>
      <vt:lpstr>1 Setup</vt:lpstr>
      <vt:lpstr>2 Staff List</vt:lpstr>
      <vt:lpstr>3a Staff Plan</vt:lpstr>
      <vt:lpstr>3b Activity Plan</vt:lpstr>
      <vt:lpstr>3c Plan Analysis</vt:lpstr>
      <vt:lpstr>4 Sign-off</vt:lpstr>
      <vt:lpstr>5  Control Accounts</vt:lpstr>
      <vt:lpstr>Change Log</vt:lpstr>
      <vt:lpstr>User Guide</vt:lpstr>
      <vt:lpstr>ImportRoot</vt:lpstr>
      <vt:lpstr>ImportControlAccount</vt:lpstr>
      <vt:lpstr>ImportReferenceData</vt:lpstr>
      <vt:lpstr>ImportOriginalBudget</vt:lpstr>
      <vt:lpstr>ImportTiming</vt:lpstr>
      <vt:lpstr>ImportForecast</vt:lpstr>
      <vt:lpstr>ImportChangeHeaders</vt:lpstr>
      <vt:lpstr>ImportChangeDetails</vt:lpstr>
      <vt:lpstr>Country</vt:lpstr>
      <vt:lpstr>Currency</vt:lpstr>
      <vt:lpstr>FieldBurden</vt:lpstr>
      <vt:lpstr>JobshopperBurden</vt:lpstr>
      <vt:lpstr>LBOBurden</vt:lpstr>
      <vt:lpstr>'3a Staff Plan'!Print_Area</vt:lpstr>
      <vt:lpstr>'3b Activity Plan'!Print_Area</vt:lpstr>
      <vt:lpstr>'4 Sign-off'!Print_Area</vt:lpstr>
      <vt:lpstr>'Change Log'!Print_Area</vt:lpstr>
      <vt:lpstr>'User Guide'!Print_Area</vt:lpstr>
      <vt:lpstr>StaffBurden</vt:lpstr>
    </vt:vector>
  </TitlesOfParts>
  <Company>Jacobs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nmatthews</dc:creator>
  <cp:lastModifiedBy>Robinson, Emma/UWO</cp:lastModifiedBy>
  <cp:lastPrinted>2018-06-13T03:25:58Z</cp:lastPrinted>
  <dcterms:created xsi:type="dcterms:W3CDTF">2011-06-16T21:11:55Z</dcterms:created>
  <dcterms:modified xsi:type="dcterms:W3CDTF">2020-01-02T13:34:07Z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0x0101005773F0154E41F247B09A7A1611CEB857</vt:lpwstr>
  </property>
  <property fmtid="{D5CDD505-2E9C-101B-9397-08002B2CF9AE}" pid="3" name="jive_modification_date">
    <vt:lpwstr>1444258253475</vt:lpwstr>
  </property>
  <property fmtid="{D5CDD505-2E9C-101B-9397-08002B2CF9AE}" pid="4" name="jive_language">
    <vt:lpwstr>en</vt:lpwstr>
  </property>
  <property fmtid="{D5CDD505-2E9C-101B-9397-08002B2CF9AE}" pid="5" name="jive_modified_by_user_name">
    <vt:lpwstr>Nick John Matthews</vt:lpwstr>
  </property>
  <property fmtid="{D5CDD505-2E9C-101B-9397-08002B2CF9AE}" pid="6" name="jive_document_state">
    <vt:lpwstr>published</vt:lpwstr>
  </property>
  <property fmtid="{D5CDD505-2E9C-101B-9397-08002B2CF9AE}" pid="7" name="jive_modified_by_user_id">
    <vt:lpwstr>58744</vt:lpwstr>
  </property>
  <property fmtid="{D5CDD505-2E9C-101B-9397-08002B2CF9AE}" pid="8" name="jive_document_type">
    <vt:lpwstr>Default</vt:lpwstr>
  </property>
  <property fmtid="{D5CDD505-2E9C-101B-9397-08002B2CF9AE}" pid="9" name="jive_subject">
    <vt:lpwstr>MTM - Ver 1.4 (WorkedExample1).xlsm</vt:lpwstr>
  </property>
  <property fmtid="{D5CDD505-2E9C-101B-9397-08002B2CF9AE}" pid="10" name="jive_summary">
    <vt:lpwstr>&lt;body&gt;&lt;/body&gt;</vt:lpwstr>
  </property>
  <property fmtid="{D5CDD505-2E9C-101B-9397-08002B2CF9AE}" pid="11" name="JiveHidden">
    <vt:lpwstr>true</vt:lpwstr>
  </property>
  <property fmtid="{D5CDD505-2E9C-101B-9397-08002B2CF9AE}" pid="12" name="jive_status">
    <vt:lpwstr>Published</vt:lpwstr>
  </property>
  <property fmtid="{D5CDD505-2E9C-101B-9397-08002B2CF9AE}" pid="13" name="jive_document_id">
    <vt:lpwstr>DOC-268095</vt:lpwstr>
  </property>
  <property fmtid="{D5CDD505-2E9C-101B-9397-08002B2CF9AE}" pid="14" name="Offisync_ProviderInitializationData">
    <vt:lpwstr>https://jacobsconnect.jacobs.com</vt:lpwstr>
  </property>
  <property fmtid="{D5CDD505-2E9C-101B-9397-08002B2CF9AE}" pid="15" name="Offisync_UniqueId">
    <vt:lpwstr>305142</vt:lpwstr>
  </property>
  <property fmtid="{D5CDD505-2E9C-101B-9397-08002B2CF9AE}" pid="16" name="Offisync_UpdateToken">
    <vt:lpwstr>1</vt:lpwstr>
  </property>
  <property fmtid="{D5CDD505-2E9C-101B-9397-08002B2CF9AE}" pid="17" name="Jive_VersionGuid">
    <vt:lpwstr>78460332-d6ac-41c3-842e-88470711ca96</vt:lpwstr>
  </property>
  <property fmtid="{D5CDD505-2E9C-101B-9397-08002B2CF9AE}" pid="18" name="Jive_LatestUserAccountName">
    <vt:lpwstr>amanda.hutchinson@jacobs.com</vt:lpwstr>
  </property>
  <property fmtid="{D5CDD505-2E9C-101B-9397-08002B2CF9AE}" pid="19" name="Offisync_ServerID">
    <vt:lpwstr>9cccfa22-076e-4cdd-971e-89631ff06cda</vt:lpwstr>
  </property>
</Properties>
</file>